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bookViews>
    <workbookView xWindow="-15" yWindow="60" windowWidth="12300" windowHeight="4770"/>
  </bookViews>
  <sheets>
    <sheet name="ZFET final for AFT comparison" sheetId="5" r:id="rId1"/>
    <sheet name="Zebrafish LC50 mM" sheetId="1" r:id="rId2"/>
    <sheet name="Zebrafish LC50 mg L" sheetId="7" r:id="rId3"/>
    <sheet name="LC50 non-zebrafish" sheetId="4" r:id="rId4"/>
    <sheet name="Phys-chem references" sheetId="2" r:id="rId5"/>
    <sheet name="References FET" sheetId="3" r:id="rId6"/>
  </sheets>
  <definedNames>
    <definedName name="_xlnm._FilterDatabase" localSheetId="2" hidden="1">'Zebrafish LC50 mg L'!$A$2:$CY$2038</definedName>
    <definedName name="_xlnm._FilterDatabase" localSheetId="1" hidden="1">'Zebrafish LC50 mM'!$A$2:$CY$2038</definedName>
    <definedName name="_xlnm._FilterDatabase" localSheetId="0" hidden="1">'ZFET final for AFT comparison'!$A$1:$A$157</definedName>
    <definedName name="OLE_LINK2" localSheetId="2">'Zebrafish LC50 mg L'!$AT$1982</definedName>
    <definedName name="OLE_LINK2" localSheetId="1">'Zebrafish LC50 mM'!$AT$1982</definedName>
  </definedNames>
  <calcPr calcId="145621"/>
</workbook>
</file>

<file path=xl/calcChain.xml><?xml version="1.0" encoding="utf-8"?>
<calcChain xmlns="http://schemas.openxmlformats.org/spreadsheetml/2006/main">
  <c r="X174" i="1" l="1"/>
  <c r="X401" i="1"/>
  <c r="X710" i="1"/>
  <c r="X216" i="1"/>
  <c r="X505" i="1"/>
  <c r="CL1973" i="7" l="1"/>
  <c r="CK174" i="1"/>
  <c r="CK216" i="1"/>
  <c r="CK220" i="1"/>
  <c r="CK223" i="1"/>
  <c r="CK224" i="1"/>
  <c r="CK247" i="1"/>
  <c r="CK296" i="1"/>
  <c r="CK333" i="1"/>
  <c r="CK372" i="1"/>
  <c r="CK401" i="1"/>
  <c r="CK402" i="1"/>
  <c r="CK404" i="1"/>
  <c r="CK415" i="1"/>
  <c r="CK418" i="1"/>
  <c r="CK420" i="1"/>
  <c r="CK421" i="1"/>
  <c r="CK422" i="1"/>
  <c r="CK423" i="1"/>
  <c r="CK424" i="1"/>
  <c r="CK425" i="1"/>
  <c r="CK426" i="1"/>
  <c r="CK463" i="1"/>
  <c r="CK499" i="1"/>
  <c r="CK603" i="1"/>
  <c r="CK684" i="1"/>
  <c r="CK690" i="1"/>
  <c r="CK691" i="1"/>
  <c r="CK697" i="1"/>
  <c r="CK701" i="1"/>
  <c r="CK703" i="1"/>
  <c r="CK705" i="1"/>
  <c r="CK706" i="1"/>
  <c r="CK707" i="1"/>
  <c r="CK710" i="1"/>
  <c r="CK717" i="1"/>
  <c r="CK720" i="1"/>
  <c r="CK721" i="1"/>
  <c r="CK1293" i="1"/>
  <c r="CK1373" i="1"/>
  <c r="CK1440" i="1"/>
  <c r="CK1490" i="1"/>
  <c r="CK1538" i="1"/>
  <c r="CK1561" i="1"/>
  <c r="CK1582" i="1"/>
  <c r="CK1590" i="1"/>
  <c r="CK1591" i="1"/>
  <c r="CK1593" i="1"/>
  <c r="CK1594" i="1"/>
  <c r="CK1600" i="1"/>
  <c r="CK1605" i="1"/>
  <c r="CK1606" i="1"/>
  <c r="CK1607" i="1"/>
  <c r="CK1608" i="1"/>
  <c r="CK1639" i="1"/>
  <c r="CK1865" i="1"/>
  <c r="CK1870" i="1"/>
  <c r="CK1887" i="1"/>
  <c r="CK1889" i="1"/>
  <c r="CK1914" i="1"/>
  <c r="CK1937" i="1"/>
  <c r="CK1938" i="1"/>
  <c r="CK1957" i="1"/>
  <c r="CK1974" i="1"/>
  <c r="CK1975" i="1"/>
  <c r="CK1976" i="1"/>
  <c r="CK1977" i="1"/>
  <c r="CK1978" i="1"/>
  <c r="CK1979" i="1"/>
  <c r="CK1980" i="1"/>
  <c r="CK1981" i="1"/>
  <c r="CK1982" i="1"/>
  <c r="CK1983" i="1"/>
  <c r="CK1984" i="1"/>
  <c r="CK1985" i="1"/>
  <c r="CK1986" i="1"/>
  <c r="CK1987" i="1"/>
  <c r="CK1988" i="1"/>
  <c r="CK1989" i="1"/>
  <c r="CK1990" i="1"/>
  <c r="CK1991" i="1"/>
  <c r="CK1992" i="1"/>
  <c r="CK1993" i="1"/>
  <c r="CK1999" i="1"/>
  <c r="CK2000" i="1"/>
  <c r="CK2001" i="1"/>
  <c r="CK2002" i="1"/>
  <c r="CK2003" i="1"/>
  <c r="CK2004" i="1"/>
  <c r="CK2005" i="1"/>
  <c r="CK2006" i="1"/>
  <c r="CK2007" i="1"/>
  <c r="CK2008" i="1"/>
  <c r="CK2009" i="1"/>
  <c r="CK2010" i="1"/>
  <c r="CK2011" i="1"/>
  <c r="CK2012" i="1"/>
  <c r="CK2013" i="1"/>
  <c r="CK2014" i="1"/>
  <c r="CK2015" i="1"/>
  <c r="CK2017" i="1"/>
  <c r="CK2019" i="1"/>
  <c r="CK2020" i="1"/>
  <c r="CK2024" i="1"/>
  <c r="CK2025" i="1"/>
  <c r="CK2026" i="1"/>
  <c r="CK2028" i="1"/>
  <c r="CK2029" i="1"/>
  <c r="AF51" i="1" l="1"/>
  <c r="CN1159" i="7" l="1"/>
  <c r="CN2025" i="7"/>
  <c r="CN1196" i="7"/>
  <c r="CN1777" i="7"/>
  <c r="CN1232" i="7"/>
  <c r="CN1920" i="7"/>
  <c r="CN1650" i="7"/>
  <c r="CN1780" i="7"/>
  <c r="CN1779" i="7"/>
  <c r="CN1625" i="7"/>
  <c r="CN1964" i="7"/>
  <c r="CN1881" i="7"/>
  <c r="CN1656" i="7"/>
  <c r="CN1661" i="7"/>
  <c r="CN1202" i="7"/>
  <c r="CN1880" i="7"/>
  <c r="CN1224" i="7"/>
  <c r="CN1963" i="7"/>
  <c r="CN1156" i="7"/>
  <c r="CN1155" i="7"/>
  <c r="CN1153" i="7"/>
  <c r="CN2023" i="7"/>
  <c r="CN2022" i="7"/>
  <c r="CN1826" i="7"/>
  <c r="CN1268" i="7"/>
  <c r="CN1267" i="7"/>
  <c r="CN1265" i="7"/>
  <c r="CN1264" i="7"/>
  <c r="CN1261" i="7"/>
  <c r="CN11" i="7"/>
  <c r="CN1696" i="7"/>
  <c r="CN10" i="7"/>
  <c r="CN1720" i="7"/>
  <c r="CN1255" i="7"/>
  <c r="CN14" i="7"/>
  <c r="CN26" i="7"/>
  <c r="CN1718" i="7"/>
  <c r="CN1788" i="7"/>
  <c r="CN1170" i="7"/>
  <c r="CN2035" i="7"/>
  <c r="CN82" i="7"/>
  <c r="CN1253" i="7"/>
  <c r="CN1222" i="7"/>
  <c r="CN1734" i="7"/>
  <c r="CN1717" i="7"/>
  <c r="CN1218" i="7"/>
  <c r="CN1802" i="7"/>
  <c r="CN1715" i="7"/>
  <c r="CN1214" i="7"/>
  <c r="CN1732" i="7"/>
  <c r="CN1639" i="7"/>
  <c r="CN1212" i="7"/>
  <c r="CN1226" i="7"/>
  <c r="CN2030" i="7"/>
  <c r="CN1711" i="7"/>
  <c r="CN1252" i="7"/>
  <c r="CN1921" i="7"/>
  <c r="CN1250" i="7"/>
  <c r="CN1637" i="7"/>
  <c r="CN1635" i="7"/>
  <c r="CN1178" i="7"/>
  <c r="CN1241" i="7"/>
  <c r="CN1208" i="7"/>
  <c r="CN1729" i="7"/>
  <c r="CN1724" i="7"/>
  <c r="CN1204" i="7"/>
  <c r="CN1047" i="7"/>
  <c r="CN1003" i="7"/>
  <c r="CN991" i="7"/>
  <c r="CN979" i="7"/>
  <c r="CN954" i="7"/>
  <c r="CN931" i="7"/>
  <c r="CN912" i="7"/>
  <c r="CN877" i="7"/>
  <c r="CN863" i="7"/>
  <c r="CN852" i="7"/>
  <c r="CN796" i="7"/>
  <c r="CN752" i="7"/>
  <c r="CN736" i="7"/>
  <c r="CN694" i="7"/>
  <c r="CN686" i="7"/>
  <c r="CN680" i="7"/>
  <c r="CN1491" i="7"/>
  <c r="CN647" i="7"/>
  <c r="CN595" i="7"/>
  <c r="CN547" i="7"/>
  <c r="CN1482" i="7"/>
  <c r="CN1481" i="7"/>
  <c r="CN500" i="7"/>
  <c r="CN1478" i="7"/>
  <c r="CN467" i="7"/>
  <c r="CN434" i="7"/>
  <c r="CN421" i="7"/>
  <c r="CN412" i="7"/>
  <c r="CN386" i="7"/>
  <c r="CN371" i="7"/>
  <c r="CN370" i="7"/>
  <c r="CN366" i="7"/>
  <c r="CN357" i="7"/>
  <c r="CN345" i="7"/>
  <c r="CN343" i="7"/>
  <c r="CN331" i="7"/>
  <c r="CN329" i="7"/>
  <c r="CN319" i="7"/>
  <c r="CN315" i="7"/>
  <c r="CN1463" i="7"/>
  <c r="CN303" i="7"/>
  <c r="CN301" i="7"/>
  <c r="CN288" i="7"/>
  <c r="CN1462" i="7"/>
  <c r="CN284" i="7"/>
  <c r="CN279" i="7"/>
  <c r="CN265" i="7"/>
  <c r="CN264" i="7"/>
  <c r="CN243" i="7"/>
  <c r="CN1458" i="7"/>
  <c r="CN1641" i="7"/>
  <c r="CN1457" i="7"/>
  <c r="CN1184" i="7"/>
  <c r="CN229" i="7"/>
  <c r="CN228" i="7"/>
  <c r="CN1693" i="7"/>
  <c r="CN1455" i="7"/>
  <c r="CN1454" i="7"/>
  <c r="CN1451" i="7"/>
  <c r="CN41" i="7"/>
  <c r="CN1448" i="7"/>
  <c r="CN1447" i="7"/>
  <c r="CN1445" i="7"/>
  <c r="CN1444" i="7"/>
  <c r="CN1443" i="7"/>
  <c r="CN226" i="7"/>
  <c r="CN1829" i="7"/>
  <c r="CN225" i="7"/>
  <c r="CN223" i="7"/>
  <c r="CN1442" i="7"/>
  <c r="CN1441" i="7"/>
  <c r="CN1440" i="7"/>
  <c r="CN222" i="7"/>
  <c r="CN1828" i="7"/>
  <c r="CN1439" i="7"/>
  <c r="CN1438" i="7"/>
  <c r="CN1878" i="7"/>
  <c r="CN221" i="7"/>
  <c r="CN220" i="7"/>
  <c r="CN219" i="7"/>
  <c r="CN218" i="7"/>
  <c r="CN1623" i="7"/>
  <c r="CN1437" i="7"/>
  <c r="CN1436" i="7"/>
  <c r="CN1434" i="7"/>
  <c r="CN1433" i="7"/>
  <c r="CN1432" i="7"/>
  <c r="CN1431" i="7"/>
  <c r="CN1430" i="7"/>
  <c r="CN1427" i="7"/>
  <c r="CN197" i="7"/>
  <c r="CN1424" i="7"/>
  <c r="CN1423" i="7"/>
  <c r="CN1420" i="7"/>
  <c r="CN1417" i="7"/>
  <c r="CN1416" i="7"/>
  <c r="CN190" i="7"/>
  <c r="CN1411" i="7"/>
  <c r="CN1410" i="7"/>
  <c r="CN1408" i="7"/>
  <c r="CN1407" i="7"/>
  <c r="CN1690" i="7"/>
  <c r="CN189" i="7"/>
  <c r="CN188" i="7"/>
  <c r="CN1402" i="7"/>
  <c r="CN1400" i="7"/>
  <c r="CN1397" i="7"/>
  <c r="CN1396" i="7"/>
  <c r="CN1395" i="7"/>
  <c r="CN1394" i="7"/>
  <c r="CN1393" i="7"/>
  <c r="CN1391" i="7"/>
  <c r="CN1390" i="7"/>
  <c r="CN183" i="7"/>
  <c r="CN1387" i="7"/>
  <c r="CN1385" i="7"/>
  <c r="CN180" i="7"/>
  <c r="CN179" i="7"/>
  <c r="CN177" i="7"/>
  <c r="CN176" i="7"/>
  <c r="CN173" i="7"/>
  <c r="CN171" i="7"/>
  <c r="CN169" i="7"/>
  <c r="CN1380" i="7"/>
  <c r="CN1871" i="7"/>
  <c r="CN1379" i="7"/>
  <c r="CN1688" i="7"/>
  <c r="CN1376" i="7"/>
  <c r="CN1374" i="7"/>
  <c r="CN1372" i="7"/>
  <c r="CN1371" i="7"/>
  <c r="CN1367" i="7"/>
  <c r="CN1366" i="7"/>
  <c r="CN1364" i="7"/>
  <c r="CN1361" i="7"/>
  <c r="CN1687" i="7"/>
  <c r="CN1863" i="7"/>
  <c r="CN1686" i="7"/>
  <c r="CN164" i="7"/>
  <c r="CN162" i="7"/>
  <c r="CN1164" i="7"/>
  <c r="CN151" i="7"/>
  <c r="CN1632" i="7"/>
  <c r="CN1360" i="7"/>
  <c r="CN1827" i="7"/>
  <c r="CN146" i="7"/>
  <c r="CN145" i="7"/>
  <c r="CN1357" i="7"/>
  <c r="CN142" i="7"/>
  <c r="CN1355" i="7"/>
  <c r="CN1352" i="7"/>
  <c r="CN1350" i="7"/>
  <c r="CN1344" i="7"/>
  <c r="CN1800" i="7"/>
  <c r="CN129" i="7"/>
  <c r="CN1336" i="7"/>
  <c r="CN1335" i="7"/>
  <c r="CN1333" i="7"/>
  <c r="CN1332" i="7"/>
  <c r="CN1331" i="7"/>
  <c r="CN1330" i="7"/>
  <c r="CN1326" i="7"/>
  <c r="CN1324" i="7"/>
  <c r="CN1323" i="7"/>
  <c r="CN1320" i="7"/>
  <c r="CN73" i="7"/>
  <c r="CN120" i="7"/>
  <c r="CN2033" i="7"/>
  <c r="CN116" i="7"/>
  <c r="CN1161" i="7"/>
  <c r="CN1930" i="7"/>
  <c r="CN1988" i="7"/>
  <c r="CN1986" i="7"/>
  <c r="CN1657" i="7"/>
  <c r="CN1703" i="7"/>
  <c r="CN1160" i="7"/>
  <c r="CN1310" i="7"/>
  <c r="CN1982" i="7"/>
  <c r="CN69" i="7"/>
  <c r="CN1981" i="7"/>
  <c r="CN1980" i="7"/>
  <c r="CN2032" i="7"/>
  <c r="CN1795" i="7"/>
  <c r="CN1970" i="7"/>
  <c r="CN1866" i="7"/>
  <c r="CN1966" i="7"/>
  <c r="CJ1157" i="7"/>
  <c r="CR1157" i="7" s="1"/>
  <c r="CJ1843" i="7"/>
  <c r="CR1843" i="7" s="1"/>
  <c r="CR1778" i="7"/>
  <c r="CJ1660" i="7"/>
  <c r="CR1660" i="7" s="1"/>
  <c r="CJ2023" i="7"/>
  <c r="CL1768" i="7"/>
  <c r="CL1286" i="7"/>
  <c r="CJ1270" i="7"/>
  <c r="CJ1755" i="7"/>
  <c r="CU1766" i="7"/>
  <c r="CW1766" i="7" s="1"/>
  <c r="CJ1262" i="7"/>
  <c r="CR1262" i="7" s="1"/>
  <c r="CJ97" i="7"/>
  <c r="CR1621" i="7"/>
  <c r="CJ94" i="7"/>
  <c r="CL1304" i="7"/>
  <c r="CU1235" i="7"/>
  <c r="CW1235" i="7" s="1"/>
  <c r="CR1256" i="7"/>
  <c r="CL90" i="7"/>
  <c r="CJ86" i="7"/>
  <c r="CJ1300" i="7"/>
  <c r="CJ85" i="7"/>
  <c r="CU1909" i="7"/>
  <c r="CW1909" i="7" s="1"/>
  <c r="CU1761" i="7"/>
  <c r="CW1761" i="7" s="1"/>
  <c r="CU1182" i="7"/>
  <c r="CW1182" i="7" s="1"/>
  <c r="CJ1229" i="7"/>
  <c r="CR1229" i="7" s="1"/>
  <c r="CJ100" i="7"/>
  <c r="CU1297" i="7"/>
  <c r="CW1297" i="7" s="1"/>
  <c r="CJ1169" i="7"/>
  <c r="CL1669" i="7"/>
  <c r="CU1667" i="7"/>
  <c r="CW1667" i="7" s="1"/>
  <c r="CR1254" i="7"/>
  <c r="CJ1735" i="7"/>
  <c r="CL1168" i="7"/>
  <c r="CL1222" i="7"/>
  <c r="CJ1220" i="7"/>
  <c r="CU1758" i="7"/>
  <c r="CW1758" i="7" s="1"/>
  <c r="CJ1901" i="7"/>
  <c r="CL1895" i="7"/>
  <c r="CJ1892" i="7"/>
  <c r="CJ1824" i="7"/>
  <c r="CJ1947" i="7"/>
  <c r="CR1947" i="7" s="1"/>
  <c r="CL1716" i="7"/>
  <c r="CL1757" i="7"/>
  <c r="CL1732" i="7"/>
  <c r="CJ1886" i="7"/>
  <c r="CJ1884" i="7"/>
  <c r="CJ1226" i="7"/>
  <c r="CL2036" i="7"/>
  <c r="CJ81" i="7"/>
  <c r="CR81" i="7" s="1"/>
  <c r="CJ1821" i="7"/>
  <c r="CU2038" i="7"/>
  <c r="CW2038" i="7" s="1"/>
  <c r="CU1815" i="7"/>
  <c r="CW1815" i="7" s="1"/>
  <c r="CJ1882" i="7"/>
  <c r="CR1882" i="7" s="1"/>
  <c r="CJ1944" i="7"/>
  <c r="CL1178" i="7"/>
  <c r="CL1240" i="7"/>
  <c r="CU1290" i="7"/>
  <c r="CW1290" i="7" s="1"/>
  <c r="CJ70" i="7"/>
  <c r="CU1938" i="7"/>
  <c r="CW1938" i="7" s="1"/>
  <c r="CJ1309" i="7"/>
  <c r="CR1309" i="7" s="1"/>
  <c r="CL1723" i="7"/>
  <c r="CL1204" i="7"/>
  <c r="CR1074" i="7"/>
  <c r="CR1584" i="7"/>
  <c r="CR1009" i="7"/>
  <c r="CR982" i="7"/>
  <c r="CR1562" i="7"/>
  <c r="CR959" i="7"/>
  <c r="CR1552" i="7"/>
  <c r="CR1549" i="7"/>
  <c r="CR900" i="7"/>
  <c r="CR1525" i="7"/>
  <c r="CR1517" i="7"/>
  <c r="CR1511" i="7"/>
  <c r="CR796" i="7"/>
  <c r="CR788" i="7"/>
  <c r="CR748" i="7"/>
  <c r="CR1497" i="7"/>
  <c r="CR726" i="7"/>
  <c r="CR720" i="7"/>
  <c r="CR1494" i="7"/>
  <c r="CR707" i="7"/>
  <c r="CR680" i="7"/>
  <c r="CR673" i="7"/>
  <c r="CR667" i="7"/>
  <c r="CR663" i="7"/>
  <c r="CR1490" i="7"/>
  <c r="CR644" i="7"/>
  <c r="CR632" i="7"/>
  <c r="CR612" i="7"/>
  <c r="CR597" i="7"/>
  <c r="CR553" i="7"/>
  <c r="CR535" i="7"/>
  <c r="CR531" i="7"/>
  <c r="CR520" i="7"/>
  <c r="CR506" i="7"/>
  <c r="CR384" i="7"/>
  <c r="CR370" i="7"/>
  <c r="CR353" i="7"/>
  <c r="CR345" i="7"/>
  <c r="CR341" i="7"/>
  <c r="CR280" i="7"/>
  <c r="CR1461" i="7"/>
  <c r="CU1459" i="7"/>
  <c r="CW1459" i="7" s="1"/>
  <c r="CU1457" i="7"/>
  <c r="CW1457" i="7" s="1"/>
  <c r="CJ1201" i="7"/>
  <c r="CJ1248" i="7"/>
  <c r="CJ1879" i="7"/>
  <c r="CR1879" i="7" s="1"/>
  <c r="CJ228" i="7"/>
  <c r="CU1694" i="7"/>
  <c r="CW1694" i="7" s="1"/>
  <c r="CU1455" i="7"/>
  <c r="CW1455" i="7" s="1"/>
  <c r="CJ1453" i="7"/>
  <c r="CR1453" i="7" s="1"/>
  <c r="CJ1451" i="7"/>
  <c r="CU41" i="7"/>
  <c r="CW41" i="7" s="1"/>
  <c r="CJ1830" i="7"/>
  <c r="CJ1449" i="7"/>
  <c r="CR1449" i="7" s="1"/>
  <c r="CU1447" i="7"/>
  <c r="CW1447" i="7" s="1"/>
  <c r="CJ1443" i="7"/>
  <c r="CJ1829" i="7"/>
  <c r="CR1829" i="7" s="1"/>
  <c r="CU224" i="7"/>
  <c r="CW224" i="7" s="1"/>
  <c r="CU1692" i="7"/>
  <c r="CW1692" i="7" s="1"/>
  <c r="CJ1781" i="7"/>
  <c r="CL1440" i="7"/>
  <c r="CJ1828" i="7"/>
  <c r="CR1828" i="7" s="1"/>
  <c r="CJ1247" i="7"/>
  <c r="CJ1439" i="7"/>
  <c r="CR1439" i="7" s="1"/>
  <c r="CJ1878" i="7"/>
  <c r="CJ1936" i="7"/>
  <c r="CJ220" i="7"/>
  <c r="CU1935" i="7"/>
  <c r="CW1935" i="7" s="1"/>
  <c r="CL217" i="7"/>
  <c r="CJ1933" i="7"/>
  <c r="CU1436" i="7"/>
  <c r="CW1436" i="7" s="1"/>
  <c r="CL1431" i="7"/>
  <c r="CJ1814" i="7"/>
  <c r="CU210" i="7"/>
  <c r="CW210" i="7" s="1"/>
  <c r="CJ2020" i="7"/>
  <c r="CU1429" i="7"/>
  <c r="CW1429" i="7" s="1"/>
  <c r="CL208" i="7"/>
  <c r="CU206" i="7"/>
  <c r="CW206" i="7" s="1"/>
  <c r="CL204" i="7"/>
  <c r="CU203" i="7"/>
  <c r="CW203" i="7" s="1"/>
  <c r="CL2017" i="7"/>
  <c r="CU1166" i="7"/>
  <c r="CW1166" i="7" s="1"/>
  <c r="CJ1875" i="7"/>
  <c r="CR1875" i="7" s="1"/>
  <c r="CJ1425" i="7"/>
  <c r="CJ1423" i="7"/>
  <c r="CR1423" i="7" s="1"/>
  <c r="CJ194" i="7"/>
  <c r="CJ1418" i="7"/>
  <c r="CJ193" i="7"/>
  <c r="CL192" i="7"/>
  <c r="CU191" i="7"/>
  <c r="CW191" i="7" s="1"/>
  <c r="CJ190" i="7"/>
  <c r="CR190" i="7" s="1"/>
  <c r="CL1415" i="7"/>
  <c r="CJ1413" i="7"/>
  <c r="CJ1411" i="7"/>
  <c r="CJ1409" i="7"/>
  <c r="CJ1407" i="7"/>
  <c r="CJ1690" i="7"/>
  <c r="CL77" i="7"/>
  <c r="CU1406" i="7"/>
  <c r="CW1406" i="7" s="1"/>
  <c r="CL1405" i="7"/>
  <c r="CU1402" i="7"/>
  <c r="CW1402" i="7" s="1"/>
  <c r="CL1401" i="7"/>
  <c r="CJ1400" i="7"/>
  <c r="CU184" i="7"/>
  <c r="CW184" i="7" s="1"/>
  <c r="CJ1397" i="7"/>
  <c r="CL1395" i="7"/>
  <c r="CJ2016" i="7"/>
  <c r="CJ1387" i="7"/>
  <c r="CL1385" i="7"/>
  <c r="CJ1384" i="7"/>
  <c r="CU1839" i="7"/>
  <c r="CW1839" i="7" s="1"/>
  <c r="CJ2015" i="7"/>
  <c r="CJ181" i="7"/>
  <c r="CU1705" i="7"/>
  <c r="CW1705" i="7" s="1"/>
  <c r="CJ179" i="7"/>
  <c r="CU5" i="7"/>
  <c r="CW5" i="7" s="1"/>
  <c r="CJ176" i="7"/>
  <c r="CL174" i="7"/>
  <c r="CU173" i="7"/>
  <c r="CW173" i="7" s="1"/>
  <c r="CL172" i="7"/>
  <c r="CL171" i="7"/>
  <c r="CJ169" i="7"/>
  <c r="CU1375" i="7"/>
  <c r="CW1375" i="7" s="1"/>
  <c r="CL168" i="7"/>
  <c r="CJ1845" i="7"/>
  <c r="CL167" i="7"/>
  <c r="CU1370" i="7"/>
  <c r="CW1370" i="7" s="1"/>
  <c r="CL1368" i="7"/>
  <c r="CJ1366" i="7"/>
  <c r="CJ1364" i="7"/>
  <c r="CJ42" i="7"/>
  <c r="CU75" i="7"/>
  <c r="CW75" i="7" s="1"/>
  <c r="CU1862" i="7"/>
  <c r="CW1862" i="7" s="1"/>
  <c r="CU1685" i="7"/>
  <c r="CW1685" i="7" s="1"/>
  <c r="CJ2013" i="7"/>
  <c r="CL162" i="7"/>
  <c r="CJ160" i="7"/>
  <c r="CU157" i="7"/>
  <c r="CW157" i="7" s="1"/>
  <c r="CL155" i="7"/>
  <c r="CJ152" i="7"/>
  <c r="CR152" i="7" s="1"/>
  <c r="CL149" i="7"/>
  <c r="CL2010" i="7"/>
  <c r="CU2008" i="7"/>
  <c r="CW2008" i="7" s="1"/>
  <c r="CU1827" i="7"/>
  <c r="CW1827" i="7" s="1"/>
  <c r="CU2006" i="7"/>
  <c r="CW2006" i="7" s="1"/>
  <c r="CU144" i="7"/>
  <c r="CW144" i="7" s="1"/>
  <c r="CJ1357" i="7"/>
  <c r="CR1357" i="7" s="1"/>
  <c r="CJ142" i="7"/>
  <c r="CU1356" i="7"/>
  <c r="CW1356" i="7" s="1"/>
  <c r="CJ2003" i="7"/>
  <c r="CL1353" i="7"/>
  <c r="CJ2002" i="7"/>
  <c r="CJ1350" i="7"/>
  <c r="CR1350" i="7" s="1"/>
  <c r="CJ1348" i="7"/>
  <c r="CL1347" i="7"/>
  <c r="CU2026" i="7"/>
  <c r="CW2026" i="7" s="1"/>
  <c r="CL1343" i="7"/>
  <c r="CJ136" i="7"/>
  <c r="CU1784" i="7"/>
  <c r="CW1784" i="7" s="1"/>
  <c r="CJ1838" i="7"/>
  <c r="CU1631" i="7"/>
  <c r="CW1631" i="7" s="1"/>
  <c r="CU74" i="7"/>
  <c r="CW74" i="7" s="1"/>
  <c r="CL131" i="7"/>
  <c r="CJ1340" i="7"/>
  <c r="CJ1998" i="7"/>
  <c r="CU12" i="7"/>
  <c r="CW12" i="7" s="1"/>
  <c r="CL127" i="7"/>
  <c r="CU1996" i="7"/>
  <c r="CW1996" i="7" s="1"/>
  <c r="CU126" i="7"/>
  <c r="CW126" i="7" s="1"/>
  <c r="CU61" i="7"/>
  <c r="CW61" i="7" s="1"/>
  <c r="CJ1332" i="7"/>
  <c r="CJ1179" i="7"/>
  <c r="CU124" i="7"/>
  <c r="CW124" i="7" s="1"/>
  <c r="CL1329" i="7"/>
  <c r="CJ123" i="7"/>
  <c r="CJ1325" i="7"/>
  <c r="CJ122" i="7"/>
  <c r="CJ1322" i="7"/>
  <c r="CJ1989" i="7"/>
  <c r="CJ1317" i="7"/>
  <c r="CR1317" i="7" s="1"/>
  <c r="CJ1315" i="7"/>
  <c r="CJ1314" i="7"/>
  <c r="CR1314" i="7" s="1"/>
  <c r="CL1313" i="7"/>
  <c r="CJ116" i="7"/>
  <c r="CJ72" i="7"/>
  <c r="CR72" i="7" s="1"/>
  <c r="CU113" i="7"/>
  <c r="CW113" i="7" s="1"/>
  <c r="CL1161" i="7"/>
  <c r="CJ1930" i="7"/>
  <c r="CR1930" i="7" s="1"/>
  <c r="CJ111" i="7"/>
  <c r="CU110" i="7"/>
  <c r="CW110" i="7" s="1"/>
  <c r="CJ1193" i="7"/>
  <c r="CJ108" i="7"/>
  <c r="CU1704" i="7"/>
  <c r="CW1704" i="7" s="1"/>
  <c r="CJ1986" i="7"/>
  <c r="CJ1984" i="7"/>
  <c r="CJ1703" i="7"/>
  <c r="CL1983" i="7"/>
  <c r="CJ1811" i="7"/>
  <c r="CR1811" i="7" s="1"/>
  <c r="CJ1244" i="7"/>
  <c r="CU1702" i="7"/>
  <c r="CW1702" i="7" s="1"/>
  <c r="CU1701" i="7"/>
  <c r="CW1701" i="7" s="1"/>
  <c r="CJ106" i="7"/>
  <c r="CJ69" i="7"/>
  <c r="CJ1673" i="7"/>
  <c r="CR1673" i="7" s="1"/>
  <c r="CJ1979" i="7"/>
  <c r="CR1979" i="7" s="1"/>
  <c r="CJ1978" i="7"/>
  <c r="CJ1977" i="7"/>
  <c r="CJ1976" i="7"/>
  <c r="CU104" i="7"/>
  <c r="CW104" i="7" s="1"/>
  <c r="CU1975" i="7"/>
  <c r="CW1975" i="7" s="1"/>
  <c r="CJ1928" i="7"/>
  <c r="CJ1797" i="7"/>
  <c r="CR1797" i="7" s="1"/>
  <c r="CJ102" i="7"/>
  <c r="CJ1926" i="7"/>
  <c r="CU1925" i="7"/>
  <c r="CW1925" i="7" s="1"/>
  <c r="CJ1967" i="7"/>
  <c r="CR1967" i="7" s="1"/>
  <c r="CJ1670" i="7"/>
  <c r="CJ101" i="7"/>
  <c r="CL1287" i="7"/>
  <c r="CL1283" i="7"/>
  <c r="CL1279" i="7"/>
  <c r="CL1275" i="7"/>
  <c r="CL1271" i="7"/>
  <c r="CL1752" i="7"/>
  <c r="CL1265" i="7"/>
  <c r="CL93" i="7"/>
  <c r="CL2029" i="7"/>
  <c r="CL1917" i="7"/>
  <c r="CK1772" i="7"/>
  <c r="CL87" i="7"/>
  <c r="CK1818" i="7"/>
  <c r="CL1630" i="7"/>
  <c r="CL1912" i="7"/>
  <c r="CK1956" i="7"/>
  <c r="CK1954" i="7"/>
  <c r="CK1736" i="7"/>
  <c r="CL1665" i="7"/>
  <c r="CL1953" i="7"/>
  <c r="CL1734" i="7"/>
  <c r="CK1952" i="7"/>
  <c r="CK1897" i="7"/>
  <c r="CK1948" i="7"/>
  <c r="CL1802" i="7"/>
  <c r="CL1946" i="7"/>
  <c r="CL1638" i="7"/>
  <c r="CL1252" i="7"/>
  <c r="CL1167" i="7"/>
  <c r="CL1945" i="7"/>
  <c r="CL1942" i="7"/>
  <c r="CL1209" i="7"/>
  <c r="CK1208" i="7"/>
  <c r="CL1289" i="7"/>
  <c r="CL16" i="7"/>
  <c r="CK715" i="7"/>
  <c r="CK649" i="7"/>
  <c r="CK646" i="7"/>
  <c r="CK606" i="7"/>
  <c r="CK566" i="7"/>
  <c r="CK559" i="7"/>
  <c r="CK533" i="7"/>
  <c r="CK515" i="7"/>
  <c r="CK1482" i="7"/>
  <c r="CK469" i="7"/>
  <c r="CK1476" i="7"/>
  <c r="CK456" i="7"/>
  <c r="CK448" i="7"/>
  <c r="CK444" i="7"/>
  <c r="CK440" i="7"/>
  <c r="CK436" i="7"/>
  <c r="CK432" i="7"/>
  <c r="CK425" i="7"/>
  <c r="CK405" i="7"/>
  <c r="CK1648" i="7"/>
  <c r="CK387" i="7"/>
  <c r="CK375" i="7"/>
  <c r="CK332" i="7"/>
  <c r="CK324" i="7"/>
  <c r="CK1464" i="7"/>
  <c r="CK303" i="7"/>
  <c r="CK299" i="7"/>
  <c r="CK288" i="7"/>
  <c r="CK281" i="7"/>
  <c r="CK278" i="7"/>
  <c r="CK275" i="7"/>
  <c r="CK271" i="7"/>
  <c r="CL1192" i="7"/>
  <c r="CK1459" i="7"/>
  <c r="CL1641" i="7"/>
  <c r="CL1803" i="7"/>
  <c r="CK1456" i="7"/>
  <c r="CK1200" i="7"/>
  <c r="CK229" i="7"/>
  <c r="CL1693" i="7"/>
  <c r="CK1452" i="7"/>
  <c r="CK227" i="7"/>
  <c r="CK1448" i="7"/>
  <c r="CL1444" i="7"/>
  <c r="CK1443" i="7"/>
  <c r="CL225" i="7"/>
  <c r="CK1442" i="7"/>
  <c r="CK1877" i="7"/>
  <c r="CK220" i="7"/>
  <c r="CK218" i="7"/>
  <c r="CK217" i="7"/>
  <c r="CK1623" i="7"/>
  <c r="CK1932" i="7"/>
  <c r="CK1437" i="7"/>
  <c r="CL215" i="7"/>
  <c r="CL211" i="7"/>
  <c r="CL2019" i="7"/>
  <c r="CL1428" i="7"/>
  <c r="CK202" i="7"/>
  <c r="CL196" i="7"/>
  <c r="CK1419" i="7"/>
  <c r="CL1873" i="7"/>
  <c r="CK2028" i="7"/>
  <c r="CL1652" i="7"/>
  <c r="CK1690" i="7"/>
  <c r="CL189" i="7"/>
  <c r="CK1406" i="7"/>
  <c r="CK1405" i="7"/>
  <c r="CK1400" i="7"/>
  <c r="CL1398" i="7"/>
  <c r="CL1394" i="7"/>
  <c r="CK1393" i="7"/>
  <c r="CL1391" i="7"/>
  <c r="CL182" i="7"/>
  <c r="CK1383" i="7"/>
  <c r="CL180" i="7"/>
  <c r="CK6" i="7"/>
  <c r="CL177" i="7"/>
  <c r="CL1849" i="7"/>
  <c r="CK170" i="7"/>
  <c r="CK1379" i="7"/>
  <c r="CL1377" i="7"/>
  <c r="CK1376" i="7"/>
  <c r="CL1825" i="7"/>
  <c r="CK1374" i="7"/>
  <c r="CL1371" i="7"/>
  <c r="CK1370" i="7"/>
  <c r="CL1365" i="7"/>
  <c r="CK1364" i="7"/>
  <c r="CL1361" i="7"/>
  <c r="CK165" i="7"/>
  <c r="CK1771" i="7"/>
  <c r="CK161" i="7"/>
  <c r="CL158" i="7"/>
  <c r="CK157" i="7"/>
  <c r="CL2012" i="7"/>
  <c r="CK2011" i="7"/>
  <c r="CK2009" i="7"/>
  <c r="CK2008" i="7"/>
  <c r="CL2007" i="7"/>
  <c r="CK143" i="7"/>
  <c r="CK1352" i="7"/>
  <c r="CL1349" i="7"/>
  <c r="CL1344" i="7"/>
  <c r="CL1342" i="7"/>
  <c r="CK1646" i="7"/>
  <c r="CL1163" i="7"/>
  <c r="CK132" i="7"/>
  <c r="CL2000" i="7"/>
  <c r="CK131" i="7"/>
  <c r="CL1800" i="7"/>
  <c r="CL129" i="7"/>
  <c r="CL1335" i="7"/>
  <c r="CK12" i="7"/>
  <c r="CK1334" i="7"/>
  <c r="CK1994" i="7"/>
  <c r="CK1333" i="7"/>
  <c r="CK1332" i="7"/>
  <c r="CK40" i="7"/>
  <c r="CL1330" i="7"/>
  <c r="CK1328" i="7"/>
  <c r="CK1326" i="7"/>
  <c r="CL1323" i="7"/>
  <c r="CK1316" i="7"/>
  <c r="CK121" i="7"/>
  <c r="CL1683" i="7"/>
  <c r="CK119" i="7"/>
  <c r="CL2033" i="7"/>
  <c r="CK116" i="7"/>
  <c r="CL1312" i="7"/>
  <c r="CK1311" i="7"/>
  <c r="CL115" i="7"/>
  <c r="CK113" i="7"/>
  <c r="CK112" i="7"/>
  <c r="CK111" i="7"/>
  <c r="CK1988" i="7"/>
  <c r="CK1678" i="7"/>
  <c r="CK109" i="7"/>
  <c r="CL2034" i="7"/>
  <c r="CL1812" i="7"/>
  <c r="CL1676" i="7"/>
  <c r="CL1982" i="7"/>
  <c r="CK1199" i="7"/>
  <c r="CK69" i="7"/>
  <c r="CL1981" i="7"/>
  <c r="CL1672" i="7"/>
  <c r="CK105" i="7"/>
  <c r="CK103" i="7"/>
  <c r="CK1975" i="7"/>
  <c r="CK1973" i="7"/>
  <c r="CL68" i="7"/>
  <c r="CK1794" i="7"/>
  <c r="CK1926" i="7"/>
  <c r="CK1970" i="7"/>
  <c r="CK1670" i="7"/>
  <c r="CN2024" i="7"/>
  <c r="CN1843" i="7"/>
  <c r="CV1224" i="7"/>
  <c r="CV1834" i="7"/>
  <c r="CW1834" i="7" s="1"/>
  <c r="CK1287" i="7"/>
  <c r="CK1283" i="7"/>
  <c r="CK1279" i="7"/>
  <c r="CK1275" i="7"/>
  <c r="CK1271" i="7"/>
  <c r="CK1266" i="7"/>
  <c r="CV1262" i="7"/>
  <c r="CV1260" i="7"/>
  <c r="CV1259" i="7"/>
  <c r="CV1750" i="7"/>
  <c r="CW1750" i="7" s="1"/>
  <c r="CK28" i="7"/>
  <c r="CK1922" i="7"/>
  <c r="CV60" i="7"/>
  <c r="CW60" i="7" s="1"/>
  <c r="CK1746" i="7"/>
  <c r="CV1960" i="7"/>
  <c r="CK1808" i="7"/>
  <c r="CK1745" i="7"/>
  <c r="CV7" i="7"/>
  <c r="CK2029" i="7"/>
  <c r="CV38" i="7"/>
  <c r="CV1651" i="7"/>
  <c r="CV37" i="7"/>
  <c r="CV1720" i="7"/>
  <c r="CW1720" i="7" s="1"/>
  <c r="CV86" i="7"/>
  <c r="CV1255" i="7"/>
  <c r="CW1255" i="7" s="1"/>
  <c r="CV1630" i="7"/>
  <c r="CV1911" i="7"/>
  <c r="CK1909" i="7"/>
  <c r="CV1737" i="7"/>
  <c r="CK3" i="7"/>
  <c r="CK1170" i="7"/>
  <c r="CV64" i="7"/>
  <c r="CW64" i="7" s="1"/>
  <c r="CK35" i="7"/>
  <c r="CV34" i="7"/>
  <c r="CV1221" i="7"/>
  <c r="CV1733" i="7"/>
  <c r="CW1733" i="7" s="1"/>
  <c r="CV1903" i="7"/>
  <c r="CV1949" i="7"/>
  <c r="CV1892" i="7"/>
  <c r="CK1629" i="7"/>
  <c r="CV1228" i="7"/>
  <c r="CV1889" i="7"/>
  <c r="CV1215" i="7"/>
  <c r="CN1227" i="7"/>
  <c r="CV1654" i="7"/>
  <c r="CV1211" i="7"/>
  <c r="CV1210" i="7"/>
  <c r="CN2038" i="7"/>
  <c r="CV1252" i="7"/>
  <c r="CV2031" i="7"/>
  <c r="CV1251" i="7"/>
  <c r="CW1251" i="7" s="1"/>
  <c r="CV1167" i="7"/>
  <c r="CV1719" i="7"/>
  <c r="CW1719" i="7" s="1"/>
  <c r="CV1945" i="7"/>
  <c r="CK1943" i="7"/>
  <c r="CK1636" i="7"/>
  <c r="CV79" i="7"/>
  <c r="CW79" i="7" s="1"/>
  <c r="CV1728" i="7"/>
  <c r="CW1728" i="7" s="1"/>
  <c r="CV1150" i="7"/>
  <c r="CW1150" i="7" s="1"/>
  <c r="CV1234" i="7"/>
  <c r="CW1234" i="7" s="1"/>
  <c r="CV969" i="7"/>
  <c r="CW969" i="7" s="1"/>
  <c r="CV891" i="7"/>
  <c r="CW891" i="7" s="1"/>
  <c r="CV1855" i="7"/>
  <c r="CW1855" i="7" s="1"/>
  <c r="CV836" i="7"/>
  <c r="CW836" i="7" s="1"/>
  <c r="CV818" i="7"/>
  <c r="CW818" i="7" s="1"/>
  <c r="CV811" i="7"/>
  <c r="CW811" i="7" s="1"/>
  <c r="CV799" i="7"/>
  <c r="CW799" i="7" s="1"/>
  <c r="CK793" i="7"/>
  <c r="CK772" i="7"/>
  <c r="CV1505" i="7"/>
  <c r="CW1505" i="7" s="1"/>
  <c r="CV710" i="7"/>
  <c r="CW710" i="7" s="1"/>
  <c r="CV698" i="7"/>
  <c r="CW698" i="7" s="1"/>
  <c r="CV1708" i="7"/>
  <c r="CW1708" i="7" s="1"/>
  <c r="CV678" i="7"/>
  <c r="CW678" i="7" s="1"/>
  <c r="CV674" i="7"/>
  <c r="CW674" i="7" s="1"/>
  <c r="CV650" i="7"/>
  <c r="CW650" i="7" s="1"/>
  <c r="CV648" i="7"/>
  <c r="CW648" i="7" s="1"/>
  <c r="CV635" i="7"/>
  <c r="CW635" i="7" s="1"/>
  <c r="CV631" i="7"/>
  <c r="CW631" i="7" s="1"/>
  <c r="CV625" i="7"/>
  <c r="CW625" i="7" s="1"/>
  <c r="CV619" i="7"/>
  <c r="CW619" i="7" s="1"/>
  <c r="CV611" i="7"/>
  <c r="CW611" i="7" s="1"/>
  <c r="CV1853" i="7"/>
  <c r="CW1853" i="7" s="1"/>
  <c r="CV1487" i="7"/>
  <c r="CW1487" i="7" s="1"/>
  <c r="CV550" i="7"/>
  <c r="CW550" i="7" s="1"/>
  <c r="CV536" i="7"/>
  <c r="CW536" i="7" s="1"/>
  <c r="CV528" i="7"/>
  <c r="CW528" i="7" s="1"/>
  <c r="CV526" i="7"/>
  <c r="CW526" i="7" s="1"/>
  <c r="CV512" i="7"/>
  <c r="CW512" i="7" s="1"/>
  <c r="CK507" i="7"/>
  <c r="CV1480" i="7"/>
  <c r="CW1480" i="7" s="1"/>
  <c r="CV491" i="7"/>
  <c r="CW491" i="7" s="1"/>
  <c r="CV479" i="7"/>
  <c r="CW479" i="7" s="1"/>
  <c r="CK475" i="7"/>
  <c r="CV1478" i="7"/>
  <c r="CW1478" i="7" s="1"/>
  <c r="CV1707" i="7"/>
  <c r="CW1707" i="7" s="1"/>
  <c r="CK466" i="7"/>
  <c r="CV461" i="7"/>
  <c r="CW461" i="7" s="1"/>
  <c r="CK455" i="7"/>
  <c r="CV445" i="7"/>
  <c r="CW445" i="7" s="1"/>
  <c r="CV441" i="7"/>
  <c r="CW441" i="7" s="1"/>
  <c r="CV435" i="7"/>
  <c r="CW435" i="7" s="1"/>
  <c r="CV433" i="7"/>
  <c r="CW433" i="7" s="1"/>
  <c r="CV424" i="7"/>
  <c r="CW424" i="7" s="1"/>
  <c r="CV422" i="7"/>
  <c r="CW422" i="7" s="1"/>
  <c r="CV401" i="7"/>
  <c r="CW401" i="7" s="1"/>
  <c r="CK397" i="7"/>
  <c r="CV393" i="7"/>
  <c r="CW393" i="7" s="1"/>
  <c r="CV376" i="7"/>
  <c r="CW376" i="7" s="1"/>
  <c r="CV369" i="7"/>
  <c r="CW369" i="7" s="1"/>
  <c r="CV356" i="7"/>
  <c r="CW356" i="7" s="1"/>
  <c r="CV349" i="7"/>
  <c r="CW349" i="7" s="1"/>
  <c r="CK346" i="7"/>
  <c r="CK338" i="7"/>
  <c r="CV333" i="7"/>
  <c r="CW333" i="7" s="1"/>
  <c r="CK320" i="7"/>
  <c r="CV315" i="7"/>
  <c r="CW315" i="7" s="1"/>
  <c r="CV1463" i="7"/>
  <c r="CW1463" i="7" s="1"/>
  <c r="CK310" i="7"/>
  <c r="CK306" i="7"/>
  <c r="CV304" i="7"/>
  <c r="CW304" i="7" s="1"/>
  <c r="CV302" i="7"/>
  <c r="CW302" i="7" s="1"/>
  <c r="CV298" i="7"/>
  <c r="CW298" i="7" s="1"/>
  <c r="CK294" i="7"/>
  <c r="CV290" i="7"/>
  <c r="CW290" i="7" s="1"/>
  <c r="CV283" i="7"/>
  <c r="CW283" i="7" s="1"/>
  <c r="CV1785" i="7"/>
  <c r="CW1785" i="7" s="1"/>
  <c r="CV275" i="7"/>
  <c r="CW275" i="7" s="1"/>
  <c r="CV273" i="7"/>
  <c r="CW273" i="7" s="1"/>
  <c r="CV269" i="7"/>
  <c r="CW269" i="7" s="1"/>
  <c r="CV258" i="7"/>
  <c r="CW258" i="7" s="1"/>
  <c r="CV254" i="7"/>
  <c r="CW254" i="7" s="1"/>
  <c r="CV250" i="7"/>
  <c r="CW250" i="7" s="1"/>
  <c r="CK235" i="7"/>
  <c r="CV234" i="7"/>
  <c r="CW234" i="7" s="1"/>
  <c r="CV232" i="7"/>
  <c r="CW232" i="7" s="1"/>
  <c r="CV1832" i="7"/>
  <c r="CV1453" i="7"/>
  <c r="CV41" i="7"/>
  <c r="CV1830" i="7"/>
  <c r="CK1446" i="7"/>
  <c r="CK1801" i="7"/>
  <c r="CV1878" i="7"/>
  <c r="CK1935" i="7"/>
  <c r="CK1633" i="7"/>
  <c r="CK212" i="7"/>
  <c r="CV2019" i="7"/>
  <c r="CV2017" i="7"/>
  <c r="CV1166" i="7"/>
  <c r="CV1426" i="7"/>
  <c r="CV1425" i="7"/>
  <c r="CV195" i="7"/>
  <c r="CK1418" i="7"/>
  <c r="CV193" i="7"/>
  <c r="CV191" i="7"/>
  <c r="CK190" i="7"/>
  <c r="CV1415" i="7"/>
  <c r="CV1409" i="7"/>
  <c r="CV1626" i="7"/>
  <c r="CK1404" i="7"/>
  <c r="CK186" i="7"/>
  <c r="CV185" i="7"/>
  <c r="CV1398" i="7"/>
  <c r="CV1392" i="7"/>
  <c r="CV179" i="7"/>
  <c r="CV5" i="7"/>
  <c r="CV178" i="7"/>
  <c r="CN174" i="7"/>
  <c r="CV172" i="7"/>
  <c r="CV1825" i="7"/>
  <c r="CK1369" i="7"/>
  <c r="CV1367" i="7"/>
  <c r="CV1365" i="7"/>
  <c r="CV1363" i="7"/>
  <c r="CV1862" i="7"/>
  <c r="CV1203" i="7"/>
  <c r="CK1685" i="7"/>
  <c r="CV160" i="7"/>
  <c r="CK13" i="7"/>
  <c r="CV157" i="7"/>
  <c r="CK155" i="7"/>
  <c r="CV1923" i="7"/>
  <c r="CN152" i="7"/>
  <c r="CV149" i="7"/>
  <c r="CV2011" i="7"/>
  <c r="CV2010" i="7"/>
  <c r="CV145" i="7"/>
  <c r="CK1353" i="7"/>
  <c r="CV1348" i="7"/>
  <c r="CV1347" i="7"/>
  <c r="CV1345" i="7"/>
  <c r="CV2026" i="7"/>
  <c r="CV1342" i="7"/>
  <c r="CV1776" i="7"/>
  <c r="CV131" i="7"/>
  <c r="CK1340" i="7"/>
  <c r="CV1337" i="7"/>
  <c r="CV1998" i="7"/>
  <c r="CK1336" i="7"/>
  <c r="CV127" i="7"/>
  <c r="CV126" i="7"/>
  <c r="CV61" i="7"/>
  <c r="CN1329" i="7"/>
  <c r="CV1317" i="7"/>
  <c r="CV1314" i="7"/>
  <c r="CV1683" i="7"/>
  <c r="CV118" i="7"/>
  <c r="CV1312" i="7"/>
  <c r="CK1870" i="7"/>
  <c r="CV1837" i="7"/>
  <c r="CV113" i="7"/>
  <c r="CV111" i="7"/>
  <c r="CK110" i="7"/>
  <c r="CV1984" i="7"/>
  <c r="CK1983" i="7"/>
  <c r="CV1310" i="7"/>
  <c r="CV1790" i="7"/>
  <c r="CV1979" i="7"/>
  <c r="CV1977" i="7"/>
  <c r="CV104" i="7"/>
  <c r="CV1975" i="7"/>
  <c r="CV1798" i="7"/>
  <c r="CV102" i="7"/>
  <c r="CV1925" i="7"/>
  <c r="CW1159" i="7"/>
  <c r="CR1159" i="7"/>
  <c r="AJ1159" i="7"/>
  <c r="AL1159" i="7" s="1"/>
  <c r="CW1158" i="7"/>
  <c r="CN1158" i="7"/>
  <c r="CR1158" i="7"/>
  <c r="CW1620" i="7"/>
  <c r="CN1620" i="7"/>
  <c r="CR1620" i="7"/>
  <c r="CW1624" i="7"/>
  <c r="CJ1624" i="7"/>
  <c r="CR1624" i="7" s="1"/>
  <c r="CW2025" i="7"/>
  <c r="CJ2025" i="7"/>
  <c r="CR2025" i="7" s="1"/>
  <c r="AJ2025" i="7"/>
  <c r="AL2025" i="7" s="1"/>
  <c r="CW1157" i="7"/>
  <c r="CN1157" i="7"/>
  <c r="CW1196" i="7"/>
  <c r="CJ1196" i="7"/>
  <c r="CR1196" i="7" s="1"/>
  <c r="CW2024" i="7"/>
  <c r="CW1777" i="7"/>
  <c r="CJ1777" i="7"/>
  <c r="CR1777" i="7" s="1"/>
  <c r="CW1308" i="7"/>
  <c r="CW1232" i="7"/>
  <c r="CR1232" i="7"/>
  <c r="CW1843" i="7"/>
  <c r="CW1920" i="7"/>
  <c r="CW1650" i="7"/>
  <c r="CW1198" i="7"/>
  <c r="CJ1198" i="7"/>
  <c r="CW1780" i="7"/>
  <c r="CW1779" i="7"/>
  <c r="CR1779" i="7"/>
  <c r="CW1778" i="7"/>
  <c r="CN1778" i="7"/>
  <c r="CW1625" i="7"/>
  <c r="CJ1625" i="7"/>
  <c r="CR1625" i="7" s="1"/>
  <c r="CW1964" i="7"/>
  <c r="CW99" i="7"/>
  <c r="CW1662" i="7"/>
  <c r="CN1662" i="7"/>
  <c r="AJ1662" i="7"/>
  <c r="CW1881" i="7"/>
  <c r="CJ1881" i="7"/>
  <c r="AJ1881" i="7"/>
  <c r="AL1881" i="7" s="1"/>
  <c r="CW1656" i="7"/>
  <c r="AJ1656" i="7"/>
  <c r="AL1656" i="7" s="1"/>
  <c r="CW1661" i="7"/>
  <c r="CJ1661" i="7"/>
  <c r="CR1661" i="7" s="1"/>
  <c r="AJ1661" i="7"/>
  <c r="AL1661" i="7" s="1"/>
  <c r="CW1660" i="7"/>
  <c r="CN1660" i="7"/>
  <c r="AJ1660" i="7"/>
  <c r="CW1202" i="7"/>
  <c r="CJ1202" i="7"/>
  <c r="CR1202" i="7" s="1"/>
  <c r="AJ1202" i="7"/>
  <c r="CW1880" i="7"/>
  <c r="AJ1880" i="7"/>
  <c r="CU1224" i="7"/>
  <c r="CW1224" i="7" s="1"/>
  <c r="CJ1224" i="7"/>
  <c r="CR1224" i="7" s="1"/>
  <c r="AK1224" i="7"/>
  <c r="AL1224" i="7" s="1"/>
  <c r="AJ1224" i="7"/>
  <c r="AF1224" i="7"/>
  <c r="CN1655" i="7"/>
  <c r="AK1655" i="7"/>
  <c r="AL1655" i="7" s="1"/>
  <c r="AJ1655" i="7"/>
  <c r="AF1655" i="7"/>
  <c r="CV1655" i="7"/>
  <c r="CU1963" i="7"/>
  <c r="CW1963" i="7" s="1"/>
  <c r="CJ1963" i="7"/>
  <c r="CR1963" i="7" s="1"/>
  <c r="AK1963" i="7"/>
  <c r="AL1963" i="7" s="1"/>
  <c r="AJ1963" i="7"/>
  <c r="AF1963" i="7"/>
  <c r="CV1963" i="7"/>
  <c r="CW1156" i="7"/>
  <c r="AJ1156" i="7"/>
  <c r="AL1156" i="7" s="1"/>
  <c r="CW1155" i="7"/>
  <c r="CR1155" i="7"/>
  <c r="CN1154" i="7"/>
  <c r="AK1154" i="7"/>
  <c r="AL1154" i="7" s="1"/>
  <c r="AJ1154" i="7"/>
  <c r="AF1154" i="7"/>
  <c r="CV1154" i="7"/>
  <c r="CW1154" i="7" s="1"/>
  <c r="CW1153" i="7"/>
  <c r="CR1153" i="7"/>
  <c r="CW2023" i="7"/>
  <c r="AJ2023" i="7"/>
  <c r="AL2023" i="7" s="1"/>
  <c r="CW2022" i="7"/>
  <c r="CJ2022" i="7"/>
  <c r="CR2022" i="7" s="1"/>
  <c r="AJ2022" i="7"/>
  <c r="AL2022" i="7" s="1"/>
  <c r="CW2021" i="7"/>
  <c r="CN2021" i="7"/>
  <c r="CW29" i="7"/>
  <c r="CN29" i="7"/>
  <c r="CJ29" i="7"/>
  <c r="CR29" i="7" s="1"/>
  <c r="AJ29" i="7"/>
  <c r="AL29" i="7" s="1"/>
  <c r="CW1826" i="7"/>
  <c r="AF1826" i="7"/>
  <c r="CW1836" i="7"/>
  <c r="AJ1836" i="7"/>
  <c r="AL1836" i="7" s="1"/>
  <c r="AF1836" i="7"/>
  <c r="CR1835" i="7"/>
  <c r="AK1835" i="7"/>
  <c r="AL1835" i="7" s="1"/>
  <c r="AJ1835" i="7"/>
  <c r="AF1835" i="7"/>
  <c r="CV1835" i="7"/>
  <c r="CW1835" i="7" s="1"/>
  <c r="CJ1768" i="7"/>
  <c r="AJ1768" i="7"/>
  <c r="AL1768" i="7" s="1"/>
  <c r="AF1768" i="7"/>
  <c r="CJ1767" i="7"/>
  <c r="CL1767" i="7"/>
  <c r="AJ1767" i="7"/>
  <c r="AL1767" i="7" s="1"/>
  <c r="AF1767" i="7"/>
  <c r="CU1767" i="7"/>
  <c r="CW1767" i="7" s="1"/>
  <c r="CW1288" i="7"/>
  <c r="CK1288" i="7"/>
  <c r="CW1287" i="7"/>
  <c r="CJ1287" i="7"/>
  <c r="CW1286" i="7"/>
  <c r="CK1286" i="7"/>
  <c r="CW1285" i="7"/>
  <c r="CJ1285" i="7"/>
  <c r="CL1285" i="7"/>
  <c r="CW1284" i="7"/>
  <c r="CK1284" i="7"/>
  <c r="CW1283" i="7"/>
  <c r="CJ1283" i="7"/>
  <c r="CW1282" i="7"/>
  <c r="CK1282" i="7"/>
  <c r="CW1281" i="7"/>
  <c r="CJ1281" i="7"/>
  <c r="CL1281" i="7"/>
  <c r="CW1280" i="7"/>
  <c r="CK1280" i="7"/>
  <c r="CW1279" i="7"/>
  <c r="CJ1279" i="7"/>
  <c r="CW1278" i="7"/>
  <c r="CK1278" i="7"/>
  <c r="CW1277" i="7"/>
  <c r="CJ1277" i="7"/>
  <c r="CL1277" i="7"/>
  <c r="CW1276" i="7"/>
  <c r="CK1276" i="7"/>
  <c r="CW1275" i="7"/>
  <c r="CJ1275" i="7"/>
  <c r="CW1274" i="7"/>
  <c r="CK1274" i="7"/>
  <c r="CW1273" i="7"/>
  <c r="CK1273" i="7"/>
  <c r="CJ1273" i="7"/>
  <c r="CL1273" i="7"/>
  <c r="CW1272" i="7"/>
  <c r="CK1272" i="7"/>
  <c r="CW1271" i="7"/>
  <c r="CJ1271" i="7"/>
  <c r="CW1270" i="7"/>
  <c r="CK1270" i="7"/>
  <c r="CW1269" i="7"/>
  <c r="CK1269" i="7"/>
  <c r="CJ1269" i="7"/>
  <c r="CL1269" i="7"/>
  <c r="CK1962" i="7"/>
  <c r="AJ1962" i="7"/>
  <c r="AL1962" i="7" s="1"/>
  <c r="AF1962" i="7"/>
  <c r="CV1962" i="7"/>
  <c r="CW1177" i="7"/>
  <c r="AF1177" i="7"/>
  <c r="CW1176" i="7"/>
  <c r="AF1176" i="7"/>
  <c r="CW1175" i="7"/>
  <c r="AF1175" i="7"/>
  <c r="CW1174" i="7"/>
  <c r="AF1174" i="7"/>
  <c r="CJ1173" i="7"/>
  <c r="AJ1173" i="7"/>
  <c r="AL1173" i="7" s="1"/>
  <c r="AF1173" i="7"/>
  <c r="CV1173" i="7"/>
  <c r="CL1755" i="7"/>
  <c r="AJ1755" i="7"/>
  <c r="AL1755" i="7" s="1"/>
  <c r="AF1755" i="7"/>
  <c r="CJ1754" i="7"/>
  <c r="AJ1754" i="7"/>
  <c r="AL1754" i="7" s="1"/>
  <c r="CL1753" i="7"/>
  <c r="AJ1753" i="7"/>
  <c r="AL1753" i="7" s="1"/>
  <c r="CV1753" i="7"/>
  <c r="CU1752" i="7"/>
  <c r="CW1752" i="7" s="1"/>
  <c r="CJ1752" i="7"/>
  <c r="AJ1752" i="7"/>
  <c r="AL1752" i="7" s="1"/>
  <c r="AF1752" i="7"/>
  <c r="CV1752" i="7"/>
  <c r="AJ1268" i="7"/>
  <c r="AL1268" i="7" s="1"/>
  <c r="AF1268" i="7"/>
  <c r="CJ98" i="7"/>
  <c r="AJ98" i="7"/>
  <c r="AL98" i="7" s="1"/>
  <c r="AF98" i="7"/>
  <c r="CU98" i="7"/>
  <c r="CW98" i="7" s="1"/>
  <c r="CJ1766" i="7"/>
  <c r="AJ1766" i="7"/>
  <c r="AL1766" i="7" s="1"/>
  <c r="AF1766" i="7"/>
  <c r="CW1238" i="7"/>
  <c r="CW1237" i="7"/>
  <c r="CU1267" i="7"/>
  <c r="CW1267" i="7" s="1"/>
  <c r="CK1267" i="7"/>
  <c r="CJ1267" i="7"/>
  <c r="CR1267" i="7" s="1"/>
  <c r="CL1267" i="7"/>
  <c r="AJ1267" i="7"/>
  <c r="AL1267" i="7" s="1"/>
  <c r="AF1267" i="7"/>
  <c r="CV1267" i="7"/>
  <c r="CR1266" i="7"/>
  <c r="CV1265" i="7"/>
  <c r="CU1265" i="7"/>
  <c r="CW1265" i="7" s="1"/>
  <c r="CK1265" i="7"/>
  <c r="CJ1265" i="7"/>
  <c r="CR1265" i="7" s="1"/>
  <c r="AJ1265" i="7"/>
  <c r="AL1265" i="7" s="1"/>
  <c r="AF1265" i="7"/>
  <c r="AJ1264" i="7"/>
  <c r="AL1264" i="7" s="1"/>
  <c r="AF1264" i="7"/>
  <c r="CV1264" i="7"/>
  <c r="CW1264" i="7" s="1"/>
  <c r="CK1263" i="7"/>
  <c r="CJ1263" i="7"/>
  <c r="CL1263" i="7"/>
  <c r="AK1263" i="7"/>
  <c r="AL1263" i="7" s="1"/>
  <c r="AJ1263" i="7"/>
  <c r="AF1263" i="7"/>
  <c r="AK1262" i="7"/>
  <c r="AL1262" i="7" s="1"/>
  <c r="AJ1262" i="7"/>
  <c r="AF1262" i="7"/>
  <c r="CV1261" i="7"/>
  <c r="CW1261" i="7" s="1"/>
  <c r="CR1261" i="7"/>
  <c r="AJ1261" i="7"/>
  <c r="AL1261" i="7" s="1"/>
  <c r="AF1261" i="7"/>
  <c r="AK1260" i="7"/>
  <c r="AL1260" i="7" s="1"/>
  <c r="AJ1260" i="7"/>
  <c r="AF1260" i="7"/>
  <c r="CK1195" i="7"/>
  <c r="CJ1195" i="7"/>
  <c r="CL1195" i="7"/>
  <c r="AF1195" i="7"/>
  <c r="CV1195" i="7"/>
  <c r="AK1259" i="7"/>
  <c r="AL1259" i="7" s="1"/>
  <c r="AJ1259" i="7"/>
  <c r="AF1259" i="7"/>
  <c r="CJ1307" i="7"/>
  <c r="AJ1307" i="7"/>
  <c r="AL1307" i="7" s="1"/>
  <c r="AF1307" i="7"/>
  <c r="CU1307" i="7"/>
  <c r="CW1307" i="7" s="1"/>
  <c r="CW57" i="7"/>
  <c r="AK1765" i="7"/>
  <c r="AL1765" i="7" s="1"/>
  <c r="AJ1765" i="7"/>
  <c r="AF1765" i="7"/>
  <c r="CV1770" i="7"/>
  <c r="CW1770" i="7" s="1"/>
  <c r="CN1770" i="7"/>
  <c r="AK1770" i="7"/>
  <c r="AL1770" i="7" s="1"/>
  <c r="AJ1770" i="7"/>
  <c r="AF1770" i="7"/>
  <c r="CU1961" i="7"/>
  <c r="CW1961" i="7" s="1"/>
  <c r="CJ1961" i="7"/>
  <c r="AJ1961" i="7"/>
  <c r="AL1961" i="7" s="1"/>
  <c r="AF1961" i="7"/>
  <c r="CV1961" i="7"/>
  <c r="CK1751" i="7"/>
  <c r="AJ1751" i="7"/>
  <c r="AL1751" i="7" s="1"/>
  <c r="AF1751" i="7"/>
  <c r="CV1751" i="7"/>
  <c r="CW1751" i="7" s="1"/>
  <c r="AJ1750" i="7"/>
  <c r="AL1750" i="7" s="1"/>
  <c r="AF1750" i="7"/>
  <c r="CK97" i="7"/>
  <c r="AJ97" i="7"/>
  <c r="AL97" i="7" s="1"/>
  <c r="CU1306" i="7"/>
  <c r="CW1306" i="7" s="1"/>
  <c r="CJ1306" i="7"/>
  <c r="AJ1306" i="7"/>
  <c r="AL1306" i="7" s="1"/>
  <c r="AF1306" i="7"/>
  <c r="CW56" i="7"/>
  <c r="CR1258" i="7"/>
  <c r="CR1622" i="7"/>
  <c r="AK1622" i="7"/>
  <c r="AL1622" i="7" s="1"/>
  <c r="AJ1622" i="7"/>
  <c r="AF1622" i="7"/>
  <c r="CV1622" i="7"/>
  <c r="CW1622" i="7" s="1"/>
  <c r="AJ55" i="7"/>
  <c r="AL55" i="7" s="1"/>
  <c r="CU54" i="7"/>
  <c r="CW54" i="7" s="1"/>
  <c r="CJ54" i="7"/>
  <c r="CR54" i="7" s="1"/>
  <c r="AJ54" i="7"/>
  <c r="AL54" i="7" s="1"/>
  <c r="AF54" i="7"/>
  <c r="AJ53" i="7"/>
  <c r="AL53" i="7" s="1"/>
  <c r="AF53" i="7"/>
  <c r="CW52" i="7"/>
  <c r="CR52" i="7"/>
  <c r="AK1922" i="7"/>
  <c r="AL1922" i="7" s="1"/>
  <c r="AJ1922" i="7"/>
  <c r="AF1922" i="7"/>
  <c r="CJ51" i="7"/>
  <c r="CR51" i="7" s="1"/>
  <c r="AJ51" i="7"/>
  <c r="AL51" i="7" s="1"/>
  <c r="AF51" i="7"/>
  <c r="CU51" i="7"/>
  <c r="CW51" i="7" s="1"/>
  <c r="CK1621" i="7"/>
  <c r="AK1621" i="7"/>
  <c r="AL1621" i="7" s="1"/>
  <c r="AJ1621" i="7"/>
  <c r="AF1621" i="7"/>
  <c r="CV1621" i="7"/>
  <c r="CW1621" i="7" s="1"/>
  <c r="CW1236" i="7"/>
  <c r="CR1236" i="7"/>
  <c r="CK1257" i="7"/>
  <c r="AK1257" i="7"/>
  <c r="AL1257" i="7" s="1"/>
  <c r="AJ1257" i="7"/>
  <c r="AF1257" i="7"/>
  <c r="CV1257" i="7"/>
  <c r="CW1257" i="7" s="1"/>
  <c r="CJ96" i="7"/>
  <c r="AJ96" i="7"/>
  <c r="AL96" i="7" s="1"/>
  <c r="AF96" i="7"/>
  <c r="CV96" i="7"/>
  <c r="CW50" i="7"/>
  <c r="CW49" i="7"/>
  <c r="CR49" i="7"/>
  <c r="CW95" i="7"/>
  <c r="AJ95" i="7"/>
  <c r="AL95" i="7" s="1"/>
  <c r="AF95" i="7"/>
  <c r="CJ1305" i="7"/>
  <c r="AJ1305" i="7"/>
  <c r="AL1305" i="7" s="1"/>
  <c r="AF1305" i="7"/>
  <c r="CU1305" i="7"/>
  <c r="CW1305" i="7" s="1"/>
  <c r="CK94" i="7"/>
  <c r="AJ94" i="7"/>
  <c r="AL94" i="7" s="1"/>
  <c r="AF94" i="7"/>
  <c r="CJ93" i="7"/>
  <c r="CR93" i="7" s="1"/>
  <c r="AJ93" i="7"/>
  <c r="AL93" i="7" s="1"/>
  <c r="AF93" i="7"/>
  <c r="CJ1304" i="7"/>
  <c r="AJ1304" i="7"/>
  <c r="AL1304" i="7" s="1"/>
  <c r="AF1304" i="7"/>
  <c r="CL1645" i="7"/>
  <c r="CJ1645" i="7"/>
  <c r="CK1645" i="7"/>
  <c r="AJ1645" i="7"/>
  <c r="AL1645" i="7" s="1"/>
  <c r="AF1645" i="7"/>
  <c r="CU1645" i="7"/>
  <c r="CW1645" i="7" s="1"/>
  <c r="CJ11" i="7"/>
  <c r="AK11" i="7"/>
  <c r="AL11" i="7" s="1"/>
  <c r="AJ11" i="7"/>
  <c r="AF11" i="7"/>
  <c r="CV11" i="7"/>
  <c r="AK1696" i="7"/>
  <c r="AL1696" i="7" s="1"/>
  <c r="AJ1696" i="7"/>
  <c r="AF1696" i="7"/>
  <c r="CV1764" i="7"/>
  <c r="CU1764" i="7"/>
  <c r="CW1764" i="7" s="1"/>
  <c r="CL1764" i="7"/>
  <c r="CK1764" i="7"/>
  <c r="CJ1764" i="7"/>
  <c r="CJ1763" i="7"/>
  <c r="AJ1763" i="7"/>
  <c r="AL1763" i="7" s="1"/>
  <c r="AF1763" i="7"/>
  <c r="CU1763" i="7"/>
  <c r="CW1763" i="7" s="1"/>
  <c r="CJ1774" i="7"/>
  <c r="AJ1774" i="7"/>
  <c r="AL1774" i="7" s="1"/>
  <c r="AF1774" i="7"/>
  <c r="CV10" i="7"/>
  <c r="CL10" i="7"/>
  <c r="CJ10" i="7"/>
  <c r="CR10" i="7" s="1"/>
  <c r="CK10" i="7"/>
  <c r="AK10" i="7"/>
  <c r="AL10" i="7" s="1"/>
  <c r="AJ10" i="7"/>
  <c r="AF10" i="7"/>
  <c r="CN1256" i="7"/>
  <c r="AJ1256" i="7"/>
  <c r="AL1256" i="7" s="1"/>
  <c r="AF1256" i="7"/>
  <c r="CV1256" i="7"/>
  <c r="CW1256" i="7" s="1"/>
  <c r="AJ60" i="7"/>
  <c r="AL60" i="7" s="1"/>
  <c r="AF60" i="7"/>
  <c r="AJ1749" i="7"/>
  <c r="AL1749" i="7" s="1"/>
  <c r="AF1749" i="7"/>
  <c r="CV1749" i="7"/>
  <c r="CJ1748" i="7"/>
  <c r="AJ1748" i="7"/>
  <c r="AL1748" i="7" s="1"/>
  <c r="AF1748" i="7"/>
  <c r="AJ1303" i="7"/>
  <c r="AL1303" i="7" s="1"/>
  <c r="AF1303" i="7"/>
  <c r="CV1747" i="7"/>
  <c r="CW1747" i="7" s="1"/>
  <c r="AJ1747" i="7"/>
  <c r="AL1747" i="7" s="1"/>
  <c r="AF1747" i="7"/>
  <c r="AJ1746" i="7"/>
  <c r="AL1746" i="7" s="1"/>
  <c r="AF1746" i="7"/>
  <c r="CL1810" i="7"/>
  <c r="CJ1810" i="7"/>
  <c r="CK1810" i="7"/>
  <c r="AJ1810" i="7"/>
  <c r="AL1810" i="7" s="1"/>
  <c r="AF1810" i="7"/>
  <c r="CK1960" i="7"/>
  <c r="AJ1960" i="7"/>
  <c r="AL1960" i="7" s="1"/>
  <c r="AF1960" i="7"/>
  <c r="CW1695" i="7"/>
  <c r="AJ1695" i="7"/>
  <c r="AL1695" i="7" s="1"/>
  <c r="AF1695" i="7"/>
  <c r="CV1809" i="7"/>
  <c r="CK1809" i="7"/>
  <c r="CU1808" i="7"/>
  <c r="CW1808" i="7" s="1"/>
  <c r="CJ1808" i="7"/>
  <c r="CL1808" i="7"/>
  <c r="AJ1808" i="7"/>
  <c r="AL1808" i="7" s="1"/>
  <c r="AF1808" i="7"/>
  <c r="CV1808" i="7"/>
  <c r="CK1787" i="7"/>
  <c r="AJ1787" i="7"/>
  <c r="AL1787" i="7" s="1"/>
  <c r="AF1787" i="7"/>
  <c r="CV1787" i="7"/>
  <c r="CW1787" i="7" s="1"/>
  <c r="CJ1302" i="7"/>
  <c r="AJ1302" i="7"/>
  <c r="AL1302" i="7" s="1"/>
  <c r="AF1302" i="7"/>
  <c r="CU1302" i="7"/>
  <c r="CW1302" i="7" s="1"/>
  <c r="AJ1959" i="7"/>
  <c r="AL1959" i="7" s="1"/>
  <c r="AF1959" i="7"/>
  <c r="CV1959" i="7"/>
  <c r="CW1959" i="7" s="1"/>
  <c r="CU1745" i="7"/>
  <c r="CW1745" i="7" s="1"/>
  <c r="CJ1745" i="7"/>
  <c r="CL1745" i="7"/>
  <c r="AJ1745" i="7"/>
  <c r="AL1745" i="7" s="1"/>
  <c r="AF1745" i="7"/>
  <c r="CV1745" i="7"/>
  <c r="CV1659" i="7"/>
  <c r="AK1659" i="7"/>
  <c r="AL1659" i="7" s="1"/>
  <c r="AJ1659" i="7"/>
  <c r="AF1659" i="7"/>
  <c r="CJ1807" i="7"/>
  <c r="AJ1807" i="7"/>
  <c r="AL1807" i="7" s="1"/>
  <c r="AF1807" i="7"/>
  <c r="AJ1744" i="7"/>
  <c r="AL1744" i="7" s="1"/>
  <c r="AF1744" i="7"/>
  <c r="CV1744" i="7"/>
  <c r="CW1744" i="7" s="1"/>
  <c r="CK7" i="7"/>
  <c r="CJ7" i="7"/>
  <c r="CU7" i="7"/>
  <c r="CW7" i="7" s="1"/>
  <c r="CL7" i="7"/>
  <c r="AJ7" i="7"/>
  <c r="AL7" i="7" s="1"/>
  <c r="AF7" i="7"/>
  <c r="CV1793" i="7"/>
  <c r="CK1793" i="7"/>
  <c r="CL39" i="7"/>
  <c r="AJ39" i="7"/>
  <c r="AL39" i="7" s="1"/>
  <c r="AF39" i="7"/>
  <c r="CV39" i="7"/>
  <c r="CV1958" i="7"/>
  <c r="CK1958" i="7"/>
  <c r="CJ92" i="7"/>
  <c r="CR92" i="7" s="1"/>
  <c r="AJ92" i="7"/>
  <c r="AL92" i="7" s="1"/>
  <c r="AF92" i="7"/>
  <c r="CU92" i="7"/>
  <c r="CW92" i="7" s="1"/>
  <c r="CK1743" i="7"/>
  <c r="AJ1743" i="7"/>
  <c r="AL1743" i="7" s="1"/>
  <c r="AF1743" i="7"/>
  <c r="CV1743" i="7"/>
  <c r="CV27" i="7"/>
  <c r="CJ27" i="7"/>
  <c r="AK27" i="7"/>
  <c r="AL27" i="7" s="1"/>
  <c r="AJ27" i="7"/>
  <c r="AF27" i="7"/>
  <c r="CU27" i="7"/>
  <c r="CW27" i="7" s="1"/>
  <c r="CV59" i="7"/>
  <c r="CK59" i="7"/>
  <c r="AJ59" i="7"/>
  <c r="AL59" i="7" s="1"/>
  <c r="AF59" i="7"/>
  <c r="CK91" i="7"/>
  <c r="AJ91" i="7"/>
  <c r="AL91" i="7" s="1"/>
  <c r="AF91" i="7"/>
  <c r="CV91" i="7"/>
  <c r="CJ1742" i="7"/>
  <c r="AJ1742" i="7"/>
  <c r="AL1742" i="7" s="1"/>
  <c r="AF1742" i="7"/>
  <c r="CU2029" i="7"/>
  <c r="CW2029" i="7" s="1"/>
  <c r="CJ2029" i="7"/>
  <c r="AJ2029" i="7"/>
  <c r="AL2029" i="7" s="1"/>
  <c r="AF2029" i="7"/>
  <c r="CV2029" i="7"/>
  <c r="CJ1172" i="7"/>
  <c r="AF1172" i="7"/>
  <c r="CV1172" i="7"/>
  <c r="CV15" i="7"/>
  <c r="CW15" i="7" s="1"/>
  <c r="CK15" i="7"/>
  <c r="AK15" i="7"/>
  <c r="AL15" i="7" s="1"/>
  <c r="AJ15" i="7"/>
  <c r="AF15" i="7"/>
  <c r="CJ90" i="7"/>
  <c r="AJ90" i="7"/>
  <c r="AL90" i="7" s="1"/>
  <c r="AF90" i="7"/>
  <c r="CV90" i="7"/>
  <c r="CJ1917" i="7"/>
  <c r="AK1917" i="7"/>
  <c r="AL1917" i="7" s="1"/>
  <c r="AJ1917" i="7"/>
  <c r="AF1917" i="7"/>
  <c r="CU1917" i="7"/>
  <c r="CW1917" i="7" s="1"/>
  <c r="AK1833" i="7"/>
  <c r="AL1833" i="7" s="1"/>
  <c r="AJ1833" i="7"/>
  <c r="AF1833" i="7"/>
  <c r="CV1833" i="7"/>
  <c r="CW1833" i="7" s="1"/>
  <c r="CU1762" i="7"/>
  <c r="CW1762" i="7" s="1"/>
  <c r="CJ1762" i="7"/>
  <c r="CL1762" i="7"/>
  <c r="AJ1762" i="7"/>
  <c r="AL1762" i="7" s="1"/>
  <c r="AF1762" i="7"/>
  <c r="AJ1773" i="7"/>
  <c r="AL1773" i="7" s="1"/>
  <c r="AF1773" i="7"/>
  <c r="CW1783" i="7"/>
  <c r="AJ48" i="7"/>
  <c r="AL48" i="7" s="1"/>
  <c r="AF48" i="7"/>
  <c r="CL1957" i="7"/>
  <c r="CK1957" i="7"/>
  <c r="CJ1957" i="7"/>
  <c r="AJ1916" i="7"/>
  <c r="AL1916" i="7" s="1"/>
  <c r="AF1916" i="7"/>
  <c r="CJ1789" i="7"/>
  <c r="AJ1789" i="7"/>
  <c r="AL1789" i="7" s="1"/>
  <c r="AF1789" i="7"/>
  <c r="CK1171" i="7"/>
  <c r="CL1171" i="7"/>
  <c r="AJ1171" i="7"/>
  <c r="AL1171" i="7" s="1"/>
  <c r="AF1171" i="7"/>
  <c r="CK89" i="7"/>
  <c r="AJ89" i="7"/>
  <c r="AL89" i="7" s="1"/>
  <c r="AF89" i="7"/>
  <c r="CK38" i="7"/>
  <c r="CJ38" i="7"/>
  <c r="AJ38" i="7"/>
  <c r="AL38" i="7" s="1"/>
  <c r="AF38" i="7"/>
  <c r="CJ1772" i="7"/>
  <c r="AJ1772" i="7"/>
  <c r="AL1772" i="7" s="1"/>
  <c r="AF1772" i="7"/>
  <c r="CK1651" i="7"/>
  <c r="AJ1651" i="7"/>
  <c r="AL1651" i="7" s="1"/>
  <c r="AF1651" i="7"/>
  <c r="CL1301" i="7"/>
  <c r="CJ1301" i="7"/>
  <c r="AJ1301" i="7"/>
  <c r="AL1301" i="7" s="1"/>
  <c r="AF1301" i="7"/>
  <c r="CU1301" i="7"/>
  <c r="CW1301" i="7" s="1"/>
  <c r="AJ88" i="7"/>
  <c r="AL88" i="7" s="1"/>
  <c r="AF88" i="7"/>
  <c r="CV88" i="7"/>
  <c r="CU87" i="7"/>
  <c r="CW87" i="7" s="1"/>
  <c r="CJ87" i="7"/>
  <c r="AJ87" i="7"/>
  <c r="AL87" i="7" s="1"/>
  <c r="AF87" i="7"/>
  <c r="AJ47" i="7"/>
  <c r="AL47" i="7" s="1"/>
  <c r="AF47" i="7"/>
  <c r="AJ1819" i="7"/>
  <c r="AL1819" i="7" s="1"/>
  <c r="AF1819" i="7"/>
  <c r="CV1819" i="7"/>
  <c r="CW1819" i="7" s="1"/>
  <c r="CK37" i="7"/>
  <c r="AJ37" i="7"/>
  <c r="AL37" i="7" s="1"/>
  <c r="AF37" i="7"/>
  <c r="CV1741" i="7"/>
  <c r="CJ1741" i="7"/>
  <c r="AJ1741" i="7"/>
  <c r="AL1741" i="7" s="1"/>
  <c r="AF1741" i="7"/>
  <c r="CU1741" i="7"/>
  <c r="CW1741" i="7" s="1"/>
  <c r="AK1720" i="7"/>
  <c r="AL1720" i="7" s="1"/>
  <c r="AJ1720" i="7"/>
  <c r="AF1720" i="7"/>
  <c r="CJ1806" i="7"/>
  <c r="AJ1806" i="7"/>
  <c r="AL1806" i="7" s="1"/>
  <c r="AF1806" i="7"/>
  <c r="AJ86" i="7"/>
  <c r="AL86" i="7" s="1"/>
  <c r="AF86" i="7"/>
  <c r="CV1818" i="7"/>
  <c r="CW1818" i="7" s="1"/>
  <c r="AJ1818" i="7"/>
  <c r="AL1818" i="7" s="1"/>
  <c r="AF1818" i="7"/>
  <c r="AK1255" i="7"/>
  <c r="AL1255" i="7" s="1"/>
  <c r="AJ1255" i="7"/>
  <c r="AF1255" i="7"/>
  <c r="CL1915" i="7"/>
  <c r="CJ1915" i="7"/>
  <c r="CK1915" i="7"/>
  <c r="AJ1915" i="7"/>
  <c r="AL1915" i="7" s="1"/>
  <c r="AF1915" i="7"/>
  <c r="CU1915" i="7"/>
  <c r="CW1915" i="7" s="1"/>
  <c r="AK1914" i="7"/>
  <c r="AL1914" i="7" s="1"/>
  <c r="AJ1914" i="7"/>
  <c r="AF1914" i="7"/>
  <c r="CV14" i="7"/>
  <c r="CJ14" i="7"/>
  <c r="CR14" i="7" s="1"/>
  <c r="AK14" i="7"/>
  <c r="AL14" i="7" s="1"/>
  <c r="AJ14" i="7"/>
  <c r="AF14" i="7"/>
  <c r="CV26" i="7"/>
  <c r="CW26" i="7" s="1"/>
  <c r="CK26" i="7"/>
  <c r="AK26" i="7"/>
  <c r="AL26" i="7" s="1"/>
  <c r="AJ26" i="7"/>
  <c r="AF26" i="7"/>
  <c r="CV1718" i="7"/>
  <c r="CJ1718" i="7"/>
  <c r="CL1718" i="7"/>
  <c r="AK1718" i="7"/>
  <c r="AL1718" i="7" s="1"/>
  <c r="AJ1718" i="7"/>
  <c r="AF1718" i="7"/>
  <c r="CU1718" i="7"/>
  <c r="CW1718" i="7" s="1"/>
  <c r="CV67" i="7"/>
  <c r="CW67" i="7" s="1"/>
  <c r="CK67" i="7"/>
  <c r="AJ67" i="7"/>
  <c r="AL67" i="7" s="1"/>
  <c r="AF67" i="7"/>
  <c r="CJ1630" i="7"/>
  <c r="AK1630" i="7"/>
  <c r="AL1630" i="7" s="1"/>
  <c r="AJ1630" i="7"/>
  <c r="AF1630" i="7"/>
  <c r="CV1860" i="7"/>
  <c r="CW1860" i="7" s="1"/>
  <c r="CK1860" i="7"/>
  <c r="AJ1860" i="7"/>
  <c r="AL1860" i="7" s="1"/>
  <c r="AF1860" i="7"/>
  <c r="CJ1913" i="7"/>
  <c r="CL1913" i="7"/>
  <c r="AJ1913" i="7"/>
  <c r="AL1913" i="7" s="1"/>
  <c r="AF1913" i="7"/>
  <c r="AJ1300" i="7"/>
  <c r="AL1300" i="7" s="1"/>
  <c r="AF1300" i="7"/>
  <c r="CU36" i="7"/>
  <c r="CW36" i="7" s="1"/>
  <c r="CJ36" i="7"/>
  <c r="AJ36" i="7"/>
  <c r="AL36" i="7" s="1"/>
  <c r="AF36" i="7"/>
  <c r="CV36" i="7"/>
  <c r="AJ85" i="7"/>
  <c r="AL85" i="7" s="1"/>
  <c r="AF85" i="7"/>
  <c r="CJ1299" i="7"/>
  <c r="CL1299" i="7"/>
  <c r="AJ1299" i="7"/>
  <c r="AL1299" i="7" s="1"/>
  <c r="CU1299" i="7"/>
  <c r="CW1299" i="7" s="1"/>
  <c r="CK1663" i="7"/>
  <c r="AJ1663" i="7"/>
  <c r="AL1663" i="7" s="1"/>
  <c r="AF1663" i="7"/>
  <c r="CV1663" i="7"/>
  <c r="CJ1912" i="7"/>
  <c r="AJ1912" i="7"/>
  <c r="AL1912" i="7" s="1"/>
  <c r="AF1912" i="7"/>
  <c r="AJ1740" i="7"/>
  <c r="AL1740" i="7" s="1"/>
  <c r="AF1740" i="7"/>
  <c r="CV1740" i="7"/>
  <c r="CW1740" i="7" s="1"/>
  <c r="CU1911" i="7"/>
  <c r="CW1911" i="7" s="1"/>
  <c r="CK1911" i="7"/>
  <c r="CJ1911" i="7"/>
  <c r="CL1911" i="7"/>
  <c r="AJ1911" i="7"/>
  <c r="AL1911" i="7" s="1"/>
  <c r="AF1911" i="7"/>
  <c r="CV1739" i="7"/>
  <c r="CW1739" i="7" s="1"/>
  <c r="CK1739" i="7"/>
  <c r="AJ1739" i="7"/>
  <c r="AL1739" i="7" s="1"/>
  <c r="AF1739" i="7"/>
  <c r="CV1738" i="7"/>
  <c r="CW1738" i="7" s="1"/>
  <c r="AJ1738" i="7"/>
  <c r="AL1738" i="7" s="1"/>
  <c r="AF1738" i="7"/>
  <c r="AJ1298" i="7"/>
  <c r="AL1298" i="7" s="1"/>
  <c r="AF1298" i="7"/>
  <c r="CV1231" i="7"/>
  <c r="CL1231" i="7"/>
  <c r="CJ1231" i="7"/>
  <c r="CK1231" i="7"/>
  <c r="AJ1231" i="7"/>
  <c r="AL1231" i="7" s="1"/>
  <c r="AF1231" i="7"/>
  <c r="CU1231" i="7"/>
  <c r="CW1231" i="7" s="1"/>
  <c r="AJ46" i="7"/>
  <c r="AL46" i="7" s="1"/>
  <c r="AF46" i="7"/>
  <c r="CV1910" i="7"/>
  <c r="AK1910" i="7"/>
  <c r="AL1910" i="7" s="1"/>
  <c r="AJ1910" i="7"/>
  <c r="AF1910" i="7"/>
  <c r="CJ1909" i="7"/>
  <c r="AJ1909" i="7"/>
  <c r="AL1909" i="7" s="1"/>
  <c r="AF1909" i="7"/>
  <c r="CV1909" i="7"/>
  <c r="CV25" i="7"/>
  <c r="CL25" i="7"/>
  <c r="CJ25" i="7"/>
  <c r="CR25" i="7" s="1"/>
  <c r="CK25" i="7"/>
  <c r="AJ25" i="7"/>
  <c r="AL25" i="7" s="1"/>
  <c r="AF25" i="7"/>
  <c r="CU25" i="7"/>
  <c r="CW25" i="7" s="1"/>
  <c r="CK1230" i="7"/>
  <c r="AJ1230" i="7"/>
  <c r="AL1230" i="7" s="1"/>
  <c r="AF1230" i="7"/>
  <c r="CV1956" i="7"/>
  <c r="CL1956" i="7"/>
  <c r="CJ1956" i="7"/>
  <c r="AK1956" i="7"/>
  <c r="AL1956" i="7" s="1"/>
  <c r="AJ1956" i="7"/>
  <c r="AF1956" i="7"/>
  <c r="CU1956" i="7"/>
  <c r="CW1956" i="7" s="1"/>
  <c r="CK1737" i="7"/>
  <c r="AJ1737" i="7"/>
  <c r="AL1737" i="7" s="1"/>
  <c r="CV1908" i="7"/>
  <c r="CJ1908" i="7"/>
  <c r="CL1908" i="7"/>
  <c r="CK1908" i="7"/>
  <c r="AJ1908" i="7"/>
  <c r="AL1908" i="7" s="1"/>
  <c r="AF1908" i="7"/>
  <c r="CU1908" i="7"/>
  <c r="CW1908" i="7" s="1"/>
  <c r="CL1761" i="7"/>
  <c r="AJ1761" i="7"/>
  <c r="AL1761" i="7" s="1"/>
  <c r="AF1761" i="7"/>
  <c r="CR24" i="7"/>
  <c r="AK24" i="7"/>
  <c r="AL24" i="7" s="1"/>
  <c r="AJ24" i="7"/>
  <c r="AF24" i="7"/>
  <c r="CV24" i="7"/>
  <c r="CW24" i="7" s="1"/>
  <c r="CJ1760" i="7"/>
  <c r="AJ1760" i="7"/>
  <c r="AL1760" i="7" s="1"/>
  <c r="AF1760" i="7"/>
  <c r="CV3" i="7"/>
  <c r="CW3" i="7" s="1"/>
  <c r="AJ3" i="7"/>
  <c r="AL3" i="7" s="1"/>
  <c r="AF3" i="7"/>
  <c r="CK1907" i="7"/>
  <c r="AJ1907" i="7"/>
  <c r="AL1907" i="7" s="1"/>
  <c r="AF1907" i="7"/>
  <c r="CV1907" i="7"/>
  <c r="CJ1183" i="7"/>
  <c r="AJ1183" i="7"/>
  <c r="AL1183" i="7" s="1"/>
  <c r="AF1183" i="7"/>
  <c r="AJ1182" i="7"/>
  <c r="AL1182" i="7" s="1"/>
  <c r="AF1182" i="7"/>
  <c r="CU1759" i="7"/>
  <c r="CW1759" i="7" s="1"/>
  <c r="CJ1759" i="7"/>
  <c r="AJ1759" i="7"/>
  <c r="AL1759" i="7" s="1"/>
  <c r="AF1759" i="7"/>
  <c r="AJ45" i="7"/>
  <c r="AL45" i="7" s="1"/>
  <c r="AF45" i="7"/>
  <c r="CV1788" i="7"/>
  <c r="CJ1788" i="7"/>
  <c r="AK1788" i="7"/>
  <c r="AL1788" i="7" s="1"/>
  <c r="AJ1788" i="7"/>
  <c r="AF1788" i="7"/>
  <c r="CU1788" i="7"/>
  <c r="CW1788" i="7" s="1"/>
  <c r="AK1170" i="7"/>
  <c r="AL1170" i="7" s="1"/>
  <c r="AJ1170" i="7"/>
  <c r="AF1170" i="7"/>
  <c r="CL1223" i="7"/>
  <c r="CJ1223" i="7"/>
  <c r="CR1223" i="7" s="1"/>
  <c r="CK1223" i="7"/>
  <c r="AJ1223" i="7"/>
  <c r="AL1223" i="7" s="1"/>
  <c r="AF1223" i="7"/>
  <c r="CU1223" i="7"/>
  <c r="CW1223" i="7" s="1"/>
  <c r="AJ1229" i="7"/>
  <c r="AL1229" i="7" s="1"/>
  <c r="AF1229" i="7"/>
  <c r="CV84" i="7"/>
  <c r="CJ84" i="7"/>
  <c r="CR84" i="7" s="1"/>
  <c r="AK84" i="7"/>
  <c r="AL84" i="7" s="1"/>
  <c r="AJ84" i="7"/>
  <c r="AF84" i="7"/>
  <c r="CU84" i="7"/>
  <c r="CW84" i="7" s="1"/>
  <c r="CK100" i="7"/>
  <c r="AJ100" i="7"/>
  <c r="AL100" i="7" s="1"/>
  <c r="AF100" i="7"/>
  <c r="CK23" i="7"/>
  <c r="AJ23" i="7"/>
  <c r="AL23" i="7" s="1"/>
  <c r="AF23" i="7"/>
  <c r="CV23" i="7"/>
  <c r="CW23" i="7" s="1"/>
  <c r="AJ1297" i="7"/>
  <c r="AL1297" i="7" s="1"/>
  <c r="AF1297" i="7"/>
  <c r="CJ1955" i="7"/>
  <c r="AJ1955" i="7"/>
  <c r="AL1955" i="7" s="1"/>
  <c r="AF1955" i="7"/>
  <c r="CU1955" i="7"/>
  <c r="CW1955" i="7" s="1"/>
  <c r="AJ1169" i="7"/>
  <c r="AL1169" i="7" s="1"/>
  <c r="AF1169" i="7"/>
  <c r="CU1296" i="7"/>
  <c r="CW1296" i="7" s="1"/>
  <c r="CJ1296" i="7"/>
  <c r="CL1296" i="7"/>
  <c r="AJ1296" i="7"/>
  <c r="AL1296" i="7" s="1"/>
  <c r="AF1296" i="7"/>
  <c r="AJ1295" i="7"/>
  <c r="AL1295" i="7" s="1"/>
  <c r="AF1295" i="7"/>
  <c r="CJ1294" i="7"/>
  <c r="AJ1294" i="7"/>
  <c r="AL1294" i="7" s="1"/>
  <c r="AF1294" i="7"/>
  <c r="CU1294" i="7"/>
  <c r="CW1294" i="7" s="1"/>
  <c r="CK1805" i="7"/>
  <c r="AJ1805" i="7"/>
  <c r="AL1805" i="7" s="1"/>
  <c r="AF1805" i="7"/>
  <c r="CL22" i="7"/>
  <c r="CJ22" i="7"/>
  <c r="CK22" i="7"/>
  <c r="AJ22" i="7"/>
  <c r="AL22" i="7" s="1"/>
  <c r="AF22" i="7"/>
  <c r="AJ66" i="7"/>
  <c r="AL66" i="7" s="1"/>
  <c r="AF66" i="7"/>
  <c r="CU65" i="7"/>
  <c r="CW65" i="7" s="1"/>
  <c r="CJ65" i="7"/>
  <c r="AJ65" i="7"/>
  <c r="AL65" i="7" s="1"/>
  <c r="AF65" i="7"/>
  <c r="CV65" i="7"/>
  <c r="AJ64" i="7"/>
  <c r="AL64" i="7" s="1"/>
  <c r="AF64" i="7"/>
  <c r="CV63" i="7"/>
  <c r="CJ63" i="7"/>
  <c r="AJ63" i="7"/>
  <c r="AL63" i="7" s="1"/>
  <c r="AF63" i="7"/>
  <c r="CU63" i="7"/>
  <c r="CW63" i="7" s="1"/>
  <c r="AK1669" i="7"/>
  <c r="AL1669" i="7" s="1"/>
  <c r="AJ1669" i="7"/>
  <c r="AF1669" i="7"/>
  <c r="CJ1668" i="7"/>
  <c r="AK1668" i="7"/>
  <c r="AL1668" i="7" s="1"/>
  <c r="AJ1668" i="7"/>
  <c r="AF1668" i="7"/>
  <c r="AK1667" i="7"/>
  <c r="AL1667" i="7" s="1"/>
  <c r="AJ1667" i="7"/>
  <c r="AF1667" i="7"/>
  <c r="CU2035" i="7"/>
  <c r="CW2035" i="7" s="1"/>
  <c r="CK2035" i="7"/>
  <c r="CJ2035" i="7"/>
  <c r="CR2035" i="7" s="1"/>
  <c r="CL2035" i="7"/>
  <c r="AK2035" i="7"/>
  <c r="AL2035" i="7" s="1"/>
  <c r="AJ2035" i="7"/>
  <c r="AF2035" i="7"/>
  <c r="CV2035" i="7"/>
  <c r="AK1254" i="7"/>
  <c r="AL1254" i="7" s="1"/>
  <c r="AJ1254" i="7"/>
  <c r="AF1254" i="7"/>
  <c r="CV1254" i="7"/>
  <c r="CW1254" i="7" s="1"/>
  <c r="CU1954" i="7"/>
  <c r="CW1954" i="7" s="1"/>
  <c r="CJ1954" i="7"/>
  <c r="CL1954" i="7"/>
  <c r="AJ1954" i="7"/>
  <c r="AL1954" i="7" s="1"/>
  <c r="AF1954" i="7"/>
  <c r="CV1954" i="7"/>
  <c r="CV35" i="7"/>
  <c r="CW35" i="7" s="1"/>
  <c r="AJ35" i="7"/>
  <c r="AL35" i="7" s="1"/>
  <c r="AF35" i="7"/>
  <c r="CV58" i="7"/>
  <c r="CW58" i="7" s="1"/>
  <c r="CK58" i="7"/>
  <c r="AJ58" i="7"/>
  <c r="AL58" i="7" s="1"/>
  <c r="AF58" i="7"/>
  <c r="AJ83" i="7"/>
  <c r="AL83" i="7" s="1"/>
  <c r="AF83" i="7"/>
  <c r="CR1736" i="7"/>
  <c r="AJ1736" i="7"/>
  <c r="AL1736" i="7" s="1"/>
  <c r="AF1736" i="7"/>
  <c r="CV1736" i="7"/>
  <c r="CW1736" i="7" s="1"/>
  <c r="CK1735" i="7"/>
  <c r="AK1735" i="7"/>
  <c r="AL1735" i="7" s="1"/>
  <c r="AJ1735" i="7"/>
  <c r="AF1735" i="7"/>
  <c r="CV1712" i="7"/>
  <c r="CJ1712" i="7"/>
  <c r="AJ1712" i="7"/>
  <c r="AL1712" i="7" s="1"/>
  <c r="AF1712" i="7"/>
  <c r="CU1712" i="7"/>
  <c r="CW1712" i="7" s="1"/>
  <c r="CW1666" i="7"/>
  <c r="AJ1666" i="7"/>
  <c r="AL1666" i="7" s="1"/>
  <c r="AF1666" i="7"/>
  <c r="CW1665" i="7"/>
  <c r="CJ1665" i="7"/>
  <c r="AJ1665" i="7"/>
  <c r="AL1665" i="7" s="1"/>
  <c r="AF1665" i="7"/>
  <c r="CW1664" i="7"/>
  <c r="AJ1664" i="7"/>
  <c r="AL1664" i="7" s="1"/>
  <c r="AF1664" i="7"/>
  <c r="CU1816" i="7"/>
  <c r="CW1816" i="7" s="1"/>
  <c r="CJ1816" i="7"/>
  <c r="CL1816" i="7"/>
  <c r="AJ1816" i="7"/>
  <c r="AL1816" i="7" s="1"/>
  <c r="AF1816" i="7"/>
  <c r="CV1906" i="7"/>
  <c r="AK1906" i="7"/>
  <c r="AL1906" i="7" s="1"/>
  <c r="AJ1906" i="7"/>
  <c r="AF1906" i="7"/>
  <c r="CJ1953" i="7"/>
  <c r="CR1953" i="7" s="1"/>
  <c r="AK1953" i="7"/>
  <c r="AL1953" i="7" s="1"/>
  <c r="AJ1953" i="7"/>
  <c r="AF1953" i="7"/>
  <c r="CU1953" i="7"/>
  <c r="CW1953" i="7" s="1"/>
  <c r="CK82" i="7"/>
  <c r="AK82" i="7"/>
  <c r="AL82" i="7" s="1"/>
  <c r="AJ82" i="7"/>
  <c r="AF82" i="7"/>
  <c r="CK1253" i="7"/>
  <c r="CJ1253" i="7"/>
  <c r="CL1253" i="7"/>
  <c r="AK1253" i="7"/>
  <c r="AL1253" i="7" s="1"/>
  <c r="AJ1253" i="7"/>
  <c r="AF1253" i="7"/>
  <c r="CV1168" i="7"/>
  <c r="CK1168" i="7"/>
  <c r="CU34" i="7"/>
  <c r="CW34" i="7" s="1"/>
  <c r="CJ34" i="7"/>
  <c r="AJ34" i="7"/>
  <c r="AL34" i="7" s="1"/>
  <c r="AF34" i="7"/>
  <c r="CK1222" i="7"/>
  <c r="AK1222" i="7"/>
  <c r="AL1222" i="7" s="1"/>
  <c r="AJ1222" i="7"/>
  <c r="AF1222" i="7"/>
  <c r="CV1222" i="7"/>
  <c r="AK1221" i="7"/>
  <c r="AL1221" i="7" s="1"/>
  <c r="AJ1221" i="7"/>
  <c r="AF1221" i="7"/>
  <c r="CV1220" i="7"/>
  <c r="CN1220" i="7"/>
  <c r="CK1220" i="7"/>
  <c r="CL1220" i="7"/>
  <c r="AK1220" i="7"/>
  <c r="AL1220" i="7" s="1"/>
  <c r="AJ1220" i="7"/>
  <c r="AF1220" i="7"/>
  <c r="CJ1734" i="7"/>
  <c r="AK1734" i="7"/>
  <c r="AL1734" i="7" s="1"/>
  <c r="AJ1734" i="7"/>
  <c r="AF1734" i="7"/>
  <c r="CV1905" i="7"/>
  <c r="CL1905" i="7"/>
  <c r="CK1905" i="7"/>
  <c r="AK1905" i="7"/>
  <c r="AL1905" i="7" s="1"/>
  <c r="AJ1905" i="7"/>
  <c r="AF1905" i="7"/>
  <c r="CU2037" i="7"/>
  <c r="CW2037" i="7" s="1"/>
  <c r="CK2037" i="7"/>
  <c r="CJ2037" i="7"/>
  <c r="CR2037" i="7" s="1"/>
  <c r="AK2037" i="7"/>
  <c r="AL2037" i="7" s="1"/>
  <c r="AJ2037" i="7"/>
  <c r="AF2037" i="7"/>
  <c r="CV2037" i="7"/>
  <c r="AJ1758" i="7"/>
  <c r="AL1758" i="7" s="1"/>
  <c r="AF1758" i="7"/>
  <c r="CU1952" i="7"/>
  <c r="CW1952" i="7" s="1"/>
  <c r="CJ1952" i="7"/>
  <c r="AK1952" i="7"/>
  <c r="AL1952" i="7" s="1"/>
  <c r="AJ1952" i="7"/>
  <c r="AF1952" i="7"/>
  <c r="CV1952" i="7"/>
  <c r="AK1239" i="7"/>
  <c r="AL1239" i="7" s="1"/>
  <c r="AJ1239" i="7"/>
  <c r="AF1239" i="7"/>
  <c r="CK1717" i="7"/>
  <c r="CJ1717" i="7"/>
  <c r="CR1717" i="7" s="1"/>
  <c r="CL1717" i="7"/>
  <c r="AK1717" i="7"/>
  <c r="AL1717" i="7" s="1"/>
  <c r="AJ1717" i="7"/>
  <c r="AF1717" i="7"/>
  <c r="AJ1733" i="7"/>
  <c r="AL1733" i="7" s="1"/>
  <c r="AF1733" i="7"/>
  <c r="CV1640" i="7"/>
  <c r="CJ1640" i="7"/>
  <c r="CR1640" i="7" s="1"/>
  <c r="AJ1640" i="7"/>
  <c r="AL1640" i="7" s="1"/>
  <c r="AF1640" i="7"/>
  <c r="CU1640" i="7"/>
  <c r="CW1640" i="7" s="1"/>
  <c r="CL1904" i="7"/>
  <c r="AJ1904" i="7"/>
  <c r="AL1904" i="7" s="1"/>
  <c r="AF1904" i="7"/>
  <c r="CV1951" i="7"/>
  <c r="CL1951" i="7"/>
  <c r="CJ1951" i="7"/>
  <c r="CK1951" i="7"/>
  <c r="AK1951" i="7"/>
  <c r="AL1951" i="7" s="1"/>
  <c r="AJ1951" i="7"/>
  <c r="AF1951" i="7"/>
  <c r="CU1951" i="7"/>
  <c r="CW1951" i="7" s="1"/>
  <c r="AK1903" i="7"/>
  <c r="AL1903" i="7" s="1"/>
  <c r="AJ1903" i="7"/>
  <c r="AF1903" i="7"/>
  <c r="CV1219" i="7"/>
  <c r="CJ1219" i="7"/>
  <c r="CR1219" i="7" s="1"/>
  <c r="AK1219" i="7"/>
  <c r="AL1219" i="7" s="1"/>
  <c r="AJ1219" i="7"/>
  <c r="AF1219" i="7"/>
  <c r="CU1219" i="7"/>
  <c r="CW1219" i="7" s="1"/>
  <c r="AK1950" i="7"/>
  <c r="AL1950" i="7" s="1"/>
  <c r="AJ1950" i="7"/>
  <c r="AF1950" i="7"/>
  <c r="CK1902" i="7"/>
  <c r="CJ1902" i="7"/>
  <c r="CR1902" i="7" s="1"/>
  <c r="CL1902" i="7"/>
  <c r="AK1902" i="7"/>
  <c r="AL1902" i="7" s="1"/>
  <c r="AJ1902" i="7"/>
  <c r="AF1902" i="7"/>
  <c r="CV1902" i="7"/>
  <c r="CL1901" i="7"/>
  <c r="AJ1901" i="7"/>
  <c r="AL1901" i="7" s="1"/>
  <c r="AF1901" i="7"/>
  <c r="CJ1900" i="7"/>
  <c r="AK1900" i="7"/>
  <c r="AL1900" i="7" s="1"/>
  <c r="AJ1900" i="7"/>
  <c r="AF1900" i="7"/>
  <c r="CK1949" i="7"/>
  <c r="CL1949" i="7"/>
  <c r="AJ1949" i="7"/>
  <c r="AL1949" i="7" s="1"/>
  <c r="AF1949" i="7"/>
  <c r="CV1899" i="7"/>
  <c r="CU1899" i="7"/>
  <c r="CW1899" i="7" s="1"/>
  <c r="CK1899" i="7"/>
  <c r="CJ1899" i="7"/>
  <c r="CR1899" i="7" s="1"/>
  <c r="CL1899" i="7"/>
  <c r="AK1899" i="7"/>
  <c r="AL1899" i="7" s="1"/>
  <c r="AJ1899" i="7"/>
  <c r="AF1899" i="7"/>
  <c r="CU1898" i="7"/>
  <c r="CW1898" i="7" s="1"/>
  <c r="AK1898" i="7"/>
  <c r="AL1898" i="7" s="1"/>
  <c r="AJ1898" i="7"/>
  <c r="AF1898" i="7"/>
  <c r="CJ1897" i="7"/>
  <c r="AK1897" i="7"/>
  <c r="AL1897" i="7" s="1"/>
  <c r="AJ1897" i="7"/>
  <c r="AF1897" i="7"/>
  <c r="CV1897" i="7"/>
  <c r="CV1896" i="7"/>
  <c r="CJ1896" i="7"/>
  <c r="AK1896" i="7"/>
  <c r="AL1896" i="7" s="1"/>
  <c r="AJ1896" i="7"/>
  <c r="AF1896" i="7"/>
  <c r="CU1896" i="7"/>
  <c r="CW1896" i="7" s="1"/>
  <c r="CV1658" i="7"/>
  <c r="CL1658" i="7"/>
  <c r="CK1658" i="7"/>
  <c r="CJ1658" i="7"/>
  <c r="AK1658" i="7"/>
  <c r="AL1658" i="7" s="1"/>
  <c r="AJ1658" i="7"/>
  <c r="AF1658" i="7"/>
  <c r="CU1658" i="7"/>
  <c r="CW1658" i="7" s="1"/>
  <c r="CK1895" i="7"/>
  <c r="CJ1895" i="7"/>
  <c r="CR1895" i="7" s="1"/>
  <c r="AK1895" i="7"/>
  <c r="AL1895" i="7" s="1"/>
  <c r="AJ1895" i="7"/>
  <c r="AF1895" i="7"/>
  <c r="CJ1948" i="7"/>
  <c r="CU1948" i="7"/>
  <c r="CW1948" i="7" s="1"/>
  <c r="AJ1948" i="7"/>
  <c r="AL1948" i="7" s="1"/>
  <c r="AF1948" i="7"/>
  <c r="CV1948" i="7"/>
  <c r="AK1894" i="7"/>
  <c r="AL1894" i="7" s="1"/>
  <c r="AJ1894" i="7"/>
  <c r="AF1894" i="7"/>
  <c r="CV1894" i="7"/>
  <c r="CK1893" i="7"/>
  <c r="CJ1893" i="7"/>
  <c r="CR1893" i="7" s="1"/>
  <c r="CL1893" i="7"/>
  <c r="AK1893" i="7"/>
  <c r="AL1893" i="7" s="1"/>
  <c r="AJ1893" i="7"/>
  <c r="AF1893" i="7"/>
  <c r="CV1893" i="7"/>
  <c r="AJ1892" i="7"/>
  <c r="AL1892" i="7" s="1"/>
  <c r="AF1892" i="7"/>
  <c r="CU1218" i="7"/>
  <c r="CW1218" i="7" s="1"/>
  <c r="CJ1218" i="7"/>
  <c r="AK1218" i="7"/>
  <c r="AL1218" i="7" s="1"/>
  <c r="AJ1218" i="7"/>
  <c r="AF1218" i="7"/>
  <c r="CV1218" i="7"/>
  <c r="AK1824" i="7"/>
  <c r="AL1824" i="7" s="1"/>
  <c r="AJ1824" i="7"/>
  <c r="AF1824" i="7"/>
  <c r="CV1891" i="7"/>
  <c r="CL1891" i="7"/>
  <c r="CJ1891" i="7"/>
  <c r="CR1891" i="7" s="1"/>
  <c r="CK1891" i="7"/>
  <c r="AK1891" i="7"/>
  <c r="AL1891" i="7" s="1"/>
  <c r="AJ1891" i="7"/>
  <c r="AF1891" i="7"/>
  <c r="CU1891" i="7"/>
  <c r="CW1891" i="7" s="1"/>
  <c r="AK1629" i="7"/>
  <c r="AL1629" i="7" s="1"/>
  <c r="AJ1629" i="7"/>
  <c r="AF1629" i="7"/>
  <c r="CJ1217" i="7"/>
  <c r="AK1217" i="7"/>
  <c r="AL1217" i="7" s="1"/>
  <c r="AJ1217" i="7"/>
  <c r="AF1217" i="7"/>
  <c r="AK1228" i="7"/>
  <c r="AL1228" i="7" s="1"/>
  <c r="AJ1228" i="7"/>
  <c r="AF1228" i="7"/>
  <c r="CV1890" i="7"/>
  <c r="CL1890" i="7"/>
  <c r="CJ1890" i="7"/>
  <c r="CR1890" i="7" s="1"/>
  <c r="CK1890" i="7"/>
  <c r="AK1890" i="7"/>
  <c r="AL1890" i="7" s="1"/>
  <c r="AJ1890" i="7"/>
  <c r="AF1890" i="7"/>
  <c r="CJ1889" i="7"/>
  <c r="AJ1889" i="7"/>
  <c r="AL1889" i="7" s="1"/>
  <c r="AF1889" i="7"/>
  <c r="CV1700" i="7"/>
  <c r="CJ1700" i="7"/>
  <c r="AK1700" i="7"/>
  <c r="AL1700" i="7" s="1"/>
  <c r="AJ1700" i="7"/>
  <c r="AF1700" i="7"/>
  <c r="CV1699" i="7"/>
  <c r="AK1699" i="7"/>
  <c r="AL1699" i="7" s="1"/>
  <c r="AJ1699" i="7"/>
  <c r="AF1699" i="7"/>
  <c r="CJ1698" i="7"/>
  <c r="CR1698" i="7" s="1"/>
  <c r="CK1698" i="7"/>
  <c r="AK1698" i="7"/>
  <c r="AL1698" i="7" s="1"/>
  <c r="AJ1698" i="7"/>
  <c r="AF1698" i="7"/>
  <c r="CV1698" i="7"/>
  <c r="CK1947" i="7"/>
  <c r="CL1947" i="7"/>
  <c r="AK1947" i="7"/>
  <c r="AL1947" i="7" s="1"/>
  <c r="AJ1947" i="7"/>
  <c r="AF1947" i="7"/>
  <c r="CV1947" i="7"/>
  <c r="CV1888" i="7"/>
  <c r="CJ1888" i="7"/>
  <c r="AK1888" i="7"/>
  <c r="AL1888" i="7" s="1"/>
  <c r="AJ1888" i="7"/>
  <c r="AF1888" i="7"/>
  <c r="AK1216" i="7"/>
  <c r="AL1216" i="7" s="1"/>
  <c r="AJ1216" i="7"/>
  <c r="AF1216" i="7"/>
  <c r="CU1216" i="7"/>
  <c r="CW1216" i="7" s="1"/>
  <c r="CJ1697" i="7"/>
  <c r="CR1697" i="7" s="1"/>
  <c r="AK1697" i="7"/>
  <c r="AL1697" i="7" s="1"/>
  <c r="AJ1697" i="7"/>
  <c r="AF1697" i="7"/>
  <c r="CK1716" i="7"/>
  <c r="CJ1716" i="7"/>
  <c r="CR1716" i="7" s="1"/>
  <c r="AK1716" i="7"/>
  <c r="AL1716" i="7" s="1"/>
  <c r="AJ1716" i="7"/>
  <c r="AF1716" i="7"/>
  <c r="CV1802" i="7"/>
  <c r="CJ1802" i="7"/>
  <c r="AK1802" i="7"/>
  <c r="AL1802" i="7" s="1"/>
  <c r="AJ1802" i="7"/>
  <c r="AF1802" i="7"/>
  <c r="CU1802" i="7"/>
  <c r="CW1802" i="7" s="1"/>
  <c r="AK1215" i="7"/>
  <c r="AL1215" i="7" s="1"/>
  <c r="AJ1215" i="7"/>
  <c r="AF1215" i="7"/>
  <c r="CV1715" i="7"/>
  <c r="CK1715" i="7"/>
  <c r="CJ1715" i="7"/>
  <c r="CR1715" i="7" s="1"/>
  <c r="CL1715" i="7"/>
  <c r="AK1715" i="7"/>
  <c r="AL1715" i="7" s="1"/>
  <c r="AJ1715" i="7"/>
  <c r="AF1715" i="7"/>
  <c r="CU1715" i="7"/>
  <c r="CW1715" i="7" s="1"/>
  <c r="AK1823" i="7"/>
  <c r="AL1823" i="7" s="1"/>
  <c r="AJ1823" i="7"/>
  <c r="AF1823" i="7"/>
  <c r="CV1214" i="7"/>
  <c r="CJ1214" i="7"/>
  <c r="AK1214" i="7"/>
  <c r="AL1214" i="7" s="1"/>
  <c r="AJ1214" i="7"/>
  <c r="AF1214" i="7"/>
  <c r="CU1214" i="7"/>
  <c r="CW1214" i="7" s="1"/>
  <c r="CK1227" i="7"/>
  <c r="AK1227" i="7"/>
  <c r="AL1227" i="7" s="1"/>
  <c r="AJ1227" i="7"/>
  <c r="AF1227" i="7"/>
  <c r="CR21" i="7"/>
  <c r="AK21" i="7"/>
  <c r="AL21" i="7" s="1"/>
  <c r="AJ21" i="7"/>
  <c r="AF21" i="7"/>
  <c r="CV21" i="7"/>
  <c r="CW21" i="7" s="1"/>
  <c r="CJ1757" i="7"/>
  <c r="AK1757" i="7"/>
  <c r="AL1757" i="7" s="1"/>
  <c r="AJ1757" i="7"/>
  <c r="AF1757" i="7"/>
  <c r="CV1714" i="7"/>
  <c r="CJ1714" i="7"/>
  <c r="CR1714" i="7" s="1"/>
  <c r="AK1714" i="7"/>
  <c r="AL1714" i="7" s="1"/>
  <c r="AJ1714" i="7"/>
  <c r="AF1714" i="7"/>
  <c r="CJ1732" i="7"/>
  <c r="AJ1732" i="7"/>
  <c r="AL1732" i="7" s="1"/>
  <c r="AF1732" i="7"/>
  <c r="CU1887" i="7"/>
  <c r="CW1887" i="7" s="1"/>
  <c r="CK1887" i="7"/>
  <c r="CJ1887" i="7"/>
  <c r="CL1887" i="7"/>
  <c r="AK1887" i="7"/>
  <c r="AL1887" i="7" s="1"/>
  <c r="AJ1887" i="7"/>
  <c r="AF1887" i="7"/>
  <c r="CV1887" i="7"/>
  <c r="CV1886" i="7"/>
  <c r="AK1886" i="7"/>
  <c r="AL1886" i="7" s="1"/>
  <c r="AJ1886" i="7"/>
  <c r="AF1886" i="7"/>
  <c r="CV1885" i="7"/>
  <c r="CJ1885" i="7"/>
  <c r="CR1885" i="7" s="1"/>
  <c r="AJ1885" i="7"/>
  <c r="AL1885" i="7" s="1"/>
  <c r="AF1885" i="7"/>
  <c r="CU1885" i="7"/>
  <c r="CW1885" i="7" s="1"/>
  <c r="CJ1213" i="7"/>
  <c r="AK1213" i="7"/>
  <c r="AL1213" i="7" s="1"/>
  <c r="AJ1213" i="7"/>
  <c r="AF1213" i="7"/>
  <c r="CJ1822" i="7"/>
  <c r="AK1822" i="7"/>
  <c r="AL1822" i="7" s="1"/>
  <c r="AJ1822" i="7"/>
  <c r="AF1822" i="7"/>
  <c r="CV1731" i="7"/>
  <c r="AJ1731" i="7"/>
  <c r="AL1731" i="7" s="1"/>
  <c r="AF1731" i="7"/>
  <c r="CU1946" i="7"/>
  <c r="CW1946" i="7" s="1"/>
  <c r="CJ1946" i="7"/>
  <c r="AJ1946" i="7"/>
  <c r="AL1946" i="7" s="1"/>
  <c r="AF1946" i="7"/>
  <c r="CV1946" i="7"/>
  <c r="CV1884" i="7"/>
  <c r="AK1884" i="7"/>
  <c r="AL1884" i="7" s="1"/>
  <c r="AJ1884" i="7"/>
  <c r="AF1884" i="7"/>
  <c r="CU1639" i="7"/>
  <c r="CW1639" i="7" s="1"/>
  <c r="CJ1639" i="7"/>
  <c r="CR1639" i="7" s="1"/>
  <c r="CL1639" i="7"/>
  <c r="AK1639" i="7"/>
  <c r="AL1639" i="7" s="1"/>
  <c r="AJ1639" i="7"/>
  <c r="AF1639" i="7"/>
  <c r="CN20" i="7"/>
  <c r="CK20" i="7"/>
  <c r="AK20" i="7"/>
  <c r="AL20" i="7" s="1"/>
  <c r="AJ20" i="7"/>
  <c r="AF20" i="7"/>
  <c r="CV20" i="7"/>
  <c r="CJ1212" i="7"/>
  <c r="AK1212" i="7"/>
  <c r="AL1212" i="7" s="1"/>
  <c r="AJ1212" i="7"/>
  <c r="AF1212" i="7"/>
  <c r="CV1226" i="7"/>
  <c r="AK1226" i="7"/>
  <c r="AL1226" i="7" s="1"/>
  <c r="AJ1226" i="7"/>
  <c r="AF1226" i="7"/>
  <c r="CU1226" i="7"/>
  <c r="CW1226" i="7" s="1"/>
  <c r="CL1654" i="7"/>
  <c r="CJ1654" i="7"/>
  <c r="CR1654" i="7" s="1"/>
  <c r="AK1654" i="7"/>
  <c r="AL1654" i="7" s="1"/>
  <c r="AJ1654" i="7"/>
  <c r="AF1654" i="7"/>
  <c r="CN2036" i="7"/>
  <c r="CK2036" i="7"/>
  <c r="AK2036" i="7"/>
  <c r="AL2036" i="7" s="1"/>
  <c r="AJ2036" i="7"/>
  <c r="AF2036" i="7"/>
  <c r="CV2036" i="7"/>
  <c r="CJ1756" i="7"/>
  <c r="AJ1756" i="7"/>
  <c r="AL1756" i="7" s="1"/>
  <c r="AF1756" i="7"/>
  <c r="AJ1181" i="7"/>
  <c r="AL1181" i="7" s="1"/>
  <c r="AF1181" i="7"/>
  <c r="CJ1211" i="7"/>
  <c r="CL1211" i="7"/>
  <c r="AK1211" i="7"/>
  <c r="AL1211" i="7" s="1"/>
  <c r="AJ1211" i="7"/>
  <c r="AF1211" i="7"/>
  <c r="CU1211" i="7"/>
  <c r="CW1211" i="7" s="1"/>
  <c r="CK1225" i="7"/>
  <c r="AK1225" i="7"/>
  <c r="AL1225" i="7" s="1"/>
  <c r="AJ1225" i="7"/>
  <c r="AF1225" i="7"/>
  <c r="CV1225" i="7"/>
  <c r="AJ1817" i="7"/>
  <c r="AL1817" i="7" s="1"/>
  <c r="AF1817" i="7"/>
  <c r="CV1817" i="7"/>
  <c r="CW1817" i="7" s="1"/>
  <c r="CV1653" i="7"/>
  <c r="AK1653" i="7"/>
  <c r="AL1653" i="7" s="1"/>
  <c r="AJ1653" i="7"/>
  <c r="AF1653" i="7"/>
  <c r="CL1210" i="7"/>
  <c r="CJ1210" i="7"/>
  <c r="CR1210" i="7" s="1"/>
  <c r="AK1210" i="7"/>
  <c r="AL1210" i="7" s="1"/>
  <c r="AJ1210" i="7"/>
  <c r="AF1210" i="7"/>
  <c r="CN81" i="7"/>
  <c r="CK81" i="7"/>
  <c r="CL81" i="7"/>
  <c r="AK81" i="7"/>
  <c r="AL81" i="7" s="1"/>
  <c r="AJ81" i="7"/>
  <c r="AF81" i="7"/>
  <c r="CU1638" i="7"/>
  <c r="CW1638" i="7" s="1"/>
  <c r="CJ1638" i="7"/>
  <c r="AK1638" i="7"/>
  <c r="AL1638" i="7" s="1"/>
  <c r="AJ1638" i="7"/>
  <c r="AF1638" i="7"/>
  <c r="AK1821" i="7"/>
  <c r="AL1821" i="7" s="1"/>
  <c r="AJ1821" i="7"/>
  <c r="AF1821" i="7"/>
  <c r="CU2030" i="7"/>
  <c r="CW2030" i="7" s="1"/>
  <c r="CJ2030" i="7"/>
  <c r="CR2030" i="7" s="1"/>
  <c r="CL2030" i="7"/>
  <c r="AK2030" i="7"/>
  <c r="AL2030" i="7" s="1"/>
  <c r="AJ2030" i="7"/>
  <c r="AF2030" i="7"/>
  <c r="CV2030" i="7"/>
  <c r="CJ2038" i="7"/>
  <c r="AK2038" i="7"/>
  <c r="AL2038" i="7" s="1"/>
  <c r="AJ2038" i="7"/>
  <c r="AF2038" i="7"/>
  <c r="CV1711" i="7"/>
  <c r="CJ1711" i="7"/>
  <c r="AK1711" i="7"/>
  <c r="AL1711" i="7" s="1"/>
  <c r="AJ1711" i="7"/>
  <c r="AF1711" i="7"/>
  <c r="CJ1815" i="7"/>
  <c r="CR1815" i="7" s="1"/>
  <c r="AK1815" i="7"/>
  <c r="AL1815" i="7" s="1"/>
  <c r="AJ1815" i="7"/>
  <c r="AF1815" i="7"/>
  <c r="AJ1293" i="7"/>
  <c r="AL1293" i="7" s="1"/>
  <c r="AF1293" i="7"/>
  <c r="CN1713" i="7"/>
  <c r="CK1713" i="7"/>
  <c r="AK1713" i="7"/>
  <c r="AL1713" i="7" s="1"/>
  <c r="AJ1713" i="7"/>
  <c r="AF1713" i="7"/>
  <c r="CV1713" i="7"/>
  <c r="CJ1252" i="7"/>
  <c r="AJ1252" i="7"/>
  <c r="AL1252" i="7" s="1"/>
  <c r="AF1252" i="7"/>
  <c r="AJ1292" i="7"/>
  <c r="AL1292" i="7" s="1"/>
  <c r="AF1292" i="7"/>
  <c r="CK1921" i="7"/>
  <c r="CJ1921" i="7"/>
  <c r="CR1921" i="7" s="1"/>
  <c r="CL1921" i="7"/>
  <c r="AJ1921" i="7"/>
  <c r="AL1921" i="7" s="1"/>
  <c r="AF1921" i="7"/>
  <c r="CN2031" i="7"/>
  <c r="CK2031" i="7"/>
  <c r="AJ2031" i="7"/>
  <c r="AL2031" i="7" s="1"/>
  <c r="AF2031" i="7"/>
  <c r="AJ1644" i="7"/>
  <c r="AL1644" i="7" s="1"/>
  <c r="AF1644" i="7"/>
  <c r="CV1634" i="7"/>
  <c r="CN1634" i="7"/>
  <c r="CK1634" i="7"/>
  <c r="AJ1634" i="7"/>
  <c r="AL1634" i="7" s="1"/>
  <c r="AF1634" i="7"/>
  <c r="AJ1730" i="7"/>
  <c r="AL1730" i="7" s="1"/>
  <c r="AF1730" i="7"/>
  <c r="CV1730" i="7"/>
  <c r="CV1883" i="7"/>
  <c r="CK1883" i="7"/>
  <c r="AK1883" i="7"/>
  <c r="AL1883" i="7" s="1"/>
  <c r="AJ1883" i="7"/>
  <c r="AF1883" i="7"/>
  <c r="CN1251" i="7"/>
  <c r="CR1251" i="7"/>
  <c r="AK1251" i="7"/>
  <c r="AL1251" i="7" s="1"/>
  <c r="AJ1251" i="7"/>
  <c r="AF1251" i="7"/>
  <c r="CK1250" i="7"/>
  <c r="AK1250" i="7"/>
  <c r="AL1250" i="7" s="1"/>
  <c r="AJ1250" i="7"/>
  <c r="AF1250" i="7"/>
  <c r="CV1250" i="7"/>
  <c r="CW1250" i="7" s="1"/>
  <c r="CV62" i="7"/>
  <c r="CW62" i="7" s="1"/>
  <c r="AK62" i="7"/>
  <c r="AL62" i="7" s="1"/>
  <c r="AJ62" i="7"/>
  <c r="AF62" i="7"/>
  <c r="CU1882" i="7"/>
  <c r="CW1882" i="7" s="1"/>
  <c r="CK1882" i="7"/>
  <c r="AK1882" i="7"/>
  <c r="AL1882" i="7" s="1"/>
  <c r="AJ1882" i="7"/>
  <c r="AF1882" i="7"/>
  <c r="CV1882" i="7"/>
  <c r="CJ1167" i="7"/>
  <c r="AK1167" i="7"/>
  <c r="AL1167" i="7" s="1"/>
  <c r="AJ1167" i="7"/>
  <c r="AF1167" i="7"/>
  <c r="CV1242" i="7"/>
  <c r="CK1242" i="7"/>
  <c r="AK1242" i="7"/>
  <c r="AL1242" i="7" s="1"/>
  <c r="AJ1242" i="7"/>
  <c r="AF1242" i="7"/>
  <c r="CK1719" i="7"/>
  <c r="CR1719" i="7"/>
  <c r="AK1719" i="7"/>
  <c r="AL1719" i="7" s="1"/>
  <c r="AJ1719" i="7"/>
  <c r="AF1719" i="7"/>
  <c r="CV1628" i="7"/>
  <c r="CK1628" i="7"/>
  <c r="AK1628" i="7"/>
  <c r="AL1628" i="7" s="1"/>
  <c r="AJ1628" i="7"/>
  <c r="AF1628" i="7"/>
  <c r="CU1945" i="7"/>
  <c r="CW1945" i="7" s="1"/>
  <c r="CJ1945" i="7"/>
  <c r="AJ1945" i="7"/>
  <c r="AL1945" i="7" s="1"/>
  <c r="AF1945" i="7"/>
  <c r="CV1944" i="7"/>
  <c r="AJ1944" i="7"/>
  <c r="AL1944" i="7" s="1"/>
  <c r="AF1944" i="7"/>
  <c r="CV1943" i="7"/>
  <c r="CJ1943" i="7"/>
  <c r="CR1943" i="7" s="1"/>
  <c r="CL1943" i="7"/>
  <c r="AJ1943" i="7"/>
  <c r="AL1943" i="7" s="1"/>
  <c r="AF1943" i="7"/>
  <c r="CU1943" i="7"/>
  <c r="CW1943" i="7" s="1"/>
  <c r="CV1792" i="7"/>
  <c r="CK1792" i="7"/>
  <c r="AK1792" i="7"/>
  <c r="AL1792" i="7" s="1"/>
  <c r="AJ1792" i="7"/>
  <c r="AF1792" i="7"/>
  <c r="CJ1942" i="7"/>
  <c r="CR1942" i="7" s="1"/>
  <c r="AK1942" i="7"/>
  <c r="AL1942" i="7" s="1"/>
  <c r="AJ1942" i="7"/>
  <c r="AF1942" i="7"/>
  <c r="CK1637" i="7"/>
  <c r="AK1637" i="7"/>
  <c r="AL1637" i="7" s="1"/>
  <c r="AJ1637" i="7"/>
  <c r="AF1637" i="7"/>
  <c r="CV1637" i="7"/>
  <c r="CU1636" i="7"/>
  <c r="CW1636" i="7" s="1"/>
  <c r="CJ1636" i="7"/>
  <c r="CL1636" i="7"/>
  <c r="AK1636" i="7"/>
  <c r="AL1636" i="7" s="1"/>
  <c r="AJ1636" i="7"/>
  <c r="AF1636" i="7"/>
  <c r="CV1782" i="7"/>
  <c r="AK1782" i="7"/>
  <c r="AL1782" i="7" s="1"/>
  <c r="AJ1782" i="7"/>
  <c r="AF1782" i="7"/>
  <c r="CJ1941" i="7"/>
  <c r="CR1941" i="7" s="1"/>
  <c r="AK1941" i="7"/>
  <c r="AL1941" i="7" s="1"/>
  <c r="AJ1941" i="7"/>
  <c r="AF1941" i="7"/>
  <c r="CK80" i="7"/>
  <c r="AK80" i="7"/>
  <c r="AL80" i="7" s="1"/>
  <c r="AJ80" i="7"/>
  <c r="AF80" i="7"/>
  <c r="CV80" i="7"/>
  <c r="CJ1820" i="7"/>
  <c r="CR1820" i="7" s="1"/>
  <c r="CL1820" i="7"/>
  <c r="AK1820" i="7"/>
  <c r="AL1820" i="7" s="1"/>
  <c r="AJ1820" i="7"/>
  <c r="AF1820" i="7"/>
  <c r="CL1291" i="7"/>
  <c r="AJ1291" i="7"/>
  <c r="AL1291" i="7" s="1"/>
  <c r="AF1291" i="7"/>
  <c r="CV1209" i="7"/>
  <c r="CJ1209" i="7"/>
  <c r="CR1209" i="7" s="1"/>
  <c r="CK1209" i="7"/>
  <c r="AK1209" i="7"/>
  <c r="AL1209" i="7" s="1"/>
  <c r="AJ1209" i="7"/>
  <c r="AF1209" i="7"/>
  <c r="CU1209" i="7"/>
  <c r="CW1209" i="7" s="1"/>
  <c r="CK1940" i="7"/>
  <c r="AK1940" i="7"/>
  <c r="AL1940" i="7" s="1"/>
  <c r="AJ1940" i="7"/>
  <c r="AF1940" i="7"/>
  <c r="CV1635" i="7"/>
  <c r="CJ1635" i="7"/>
  <c r="CK1635" i="7"/>
  <c r="AK1635" i="7"/>
  <c r="AL1635" i="7" s="1"/>
  <c r="AJ1635" i="7"/>
  <c r="AF1635" i="7"/>
  <c r="CU1635" i="7"/>
  <c r="CW1635" i="7" s="1"/>
  <c r="CN1939" i="7"/>
  <c r="CK1939" i="7"/>
  <c r="AK1939" i="7"/>
  <c r="AL1939" i="7" s="1"/>
  <c r="AJ1939" i="7"/>
  <c r="AF1939" i="7"/>
  <c r="CV1939" i="7"/>
  <c r="CR1649" i="7"/>
  <c r="AK1649" i="7"/>
  <c r="AL1649" i="7" s="1"/>
  <c r="AJ1649" i="7"/>
  <c r="AF1649" i="7"/>
  <c r="CK1178" i="7"/>
  <c r="AK1178" i="7"/>
  <c r="AL1178" i="7" s="1"/>
  <c r="AJ1178" i="7"/>
  <c r="AF1178" i="7"/>
  <c r="CK1241" i="7"/>
  <c r="CJ1241" i="7"/>
  <c r="CR1241" i="7" s="1"/>
  <c r="CL1241" i="7"/>
  <c r="AK1241" i="7"/>
  <c r="AL1241" i="7" s="1"/>
  <c r="AJ1241" i="7"/>
  <c r="AF1241" i="7"/>
  <c r="CN1240" i="7"/>
  <c r="CK1240" i="7"/>
  <c r="AK1240" i="7"/>
  <c r="AL1240" i="7" s="1"/>
  <c r="AJ1240" i="7"/>
  <c r="AF1240" i="7"/>
  <c r="CV1240" i="7"/>
  <c r="CV1208" i="7"/>
  <c r="AK1208" i="7"/>
  <c r="AL1208" i="7" s="1"/>
  <c r="AJ1208" i="7"/>
  <c r="AF1208" i="7"/>
  <c r="AK1729" i="7"/>
  <c r="AL1729" i="7" s="1"/>
  <c r="AJ1729" i="7"/>
  <c r="AF1729" i="7"/>
  <c r="CV1729" i="7"/>
  <c r="CJ1197" i="7"/>
  <c r="CL1197" i="7"/>
  <c r="AK1197" i="7"/>
  <c r="AL1197" i="7" s="1"/>
  <c r="AJ1197" i="7"/>
  <c r="AF1197" i="7"/>
  <c r="CU1197" i="7"/>
  <c r="CW1197" i="7" s="1"/>
  <c r="CV1207" i="7"/>
  <c r="CN1207" i="7"/>
  <c r="CK1207" i="7"/>
  <c r="AK1207" i="7"/>
  <c r="AL1207" i="7" s="1"/>
  <c r="AJ1207" i="7"/>
  <c r="AF1207" i="7"/>
  <c r="CJ1206" i="7"/>
  <c r="AJ1206" i="7"/>
  <c r="AL1206" i="7" s="1"/>
  <c r="AF1206" i="7"/>
  <c r="CU1206" i="7"/>
  <c r="CW1206" i="7" s="1"/>
  <c r="AJ1290" i="7"/>
  <c r="AL1290" i="7" s="1"/>
  <c r="AF1290" i="7"/>
  <c r="CR79" i="7"/>
  <c r="AK79" i="7"/>
  <c r="AL79" i="7" s="1"/>
  <c r="AJ79" i="7"/>
  <c r="AF79" i="7"/>
  <c r="CN19" i="7"/>
  <c r="CK19" i="7"/>
  <c r="CR19" i="7"/>
  <c r="AK19" i="7"/>
  <c r="AL19" i="7" s="1"/>
  <c r="AJ19" i="7"/>
  <c r="AF19" i="7"/>
  <c r="CV19" i="7"/>
  <c r="CW19" i="7" s="1"/>
  <c r="CJ1205" i="7"/>
  <c r="AK1205" i="7"/>
  <c r="AL1205" i="7" s="1"/>
  <c r="AJ1205" i="7"/>
  <c r="AF1205" i="7"/>
  <c r="CV70" i="7"/>
  <c r="CL70" i="7"/>
  <c r="CK70" i="7"/>
  <c r="AJ70" i="7"/>
  <c r="AL70" i="7" s="1"/>
  <c r="AF70" i="7"/>
  <c r="AJ1728" i="7"/>
  <c r="AL1728" i="7" s="1"/>
  <c r="AF1728" i="7"/>
  <c r="CV1924" i="7"/>
  <c r="CW1924" i="7" s="1"/>
  <c r="CK1924" i="7"/>
  <c r="AJ1924" i="7"/>
  <c r="AL1924" i="7" s="1"/>
  <c r="AF1924" i="7"/>
  <c r="CU1289" i="7"/>
  <c r="CW1289" i="7" s="1"/>
  <c r="CJ1289" i="7"/>
  <c r="AJ1289" i="7"/>
  <c r="AL1289" i="7" s="1"/>
  <c r="AF1289" i="7"/>
  <c r="CK1727" i="7"/>
  <c r="AJ1727" i="7"/>
  <c r="AL1727" i="7" s="1"/>
  <c r="AF1727" i="7"/>
  <c r="CV1727" i="7"/>
  <c r="CU1726" i="7"/>
  <c r="CW1726" i="7" s="1"/>
  <c r="CL1726" i="7"/>
  <c r="CK1726" i="7"/>
  <c r="CJ1726" i="7"/>
  <c r="CR1726" i="7" s="1"/>
  <c r="AJ1726" i="7"/>
  <c r="AL1726" i="7" s="1"/>
  <c r="AF1726" i="7"/>
  <c r="AJ33" i="7"/>
  <c r="AL33" i="7" s="1"/>
  <c r="AF33" i="7"/>
  <c r="CV33" i="7"/>
  <c r="CW33" i="7" s="1"/>
  <c r="CJ44" i="7"/>
  <c r="AJ44" i="7"/>
  <c r="AL44" i="7" s="1"/>
  <c r="AF44" i="7"/>
  <c r="CU44" i="7"/>
  <c r="CW44" i="7" s="1"/>
  <c r="CK1725" i="7"/>
  <c r="AJ1725" i="7"/>
  <c r="AL1725" i="7" s="1"/>
  <c r="AF1725" i="7"/>
  <c r="CV1725" i="7"/>
  <c r="CJ18" i="7"/>
  <c r="AJ18" i="7"/>
  <c r="AL18" i="7" s="1"/>
  <c r="AF18" i="7"/>
  <c r="AJ1859" i="7"/>
  <c r="AL1859" i="7" s="1"/>
  <c r="AF1859" i="7"/>
  <c r="CV1859" i="7"/>
  <c r="CW1859" i="7" s="1"/>
  <c r="AK17" i="7"/>
  <c r="AL17" i="7" s="1"/>
  <c r="AJ17" i="7"/>
  <c r="AF17" i="7"/>
  <c r="CV1938" i="7"/>
  <c r="CK1938" i="7"/>
  <c r="AJ1938" i="7"/>
  <c r="AL1938" i="7" s="1"/>
  <c r="AF1938" i="7"/>
  <c r="CR1249" i="7"/>
  <c r="AJ1249" i="7"/>
  <c r="AL1249" i="7" s="1"/>
  <c r="AF1249" i="7"/>
  <c r="CN1309" i="7"/>
  <c r="CK1309" i="7"/>
  <c r="AJ1309" i="7"/>
  <c r="AL1309" i="7" s="1"/>
  <c r="AF1309" i="7"/>
  <c r="CV1309" i="7"/>
  <c r="CJ32" i="7"/>
  <c r="AJ32" i="7"/>
  <c r="AL32" i="7" s="1"/>
  <c r="AF32" i="7"/>
  <c r="CK1724" i="7"/>
  <c r="AJ1724" i="7"/>
  <c r="AL1724" i="7" s="1"/>
  <c r="AF1724" i="7"/>
  <c r="CV1724" i="7"/>
  <c r="CU31" i="7"/>
  <c r="CW31" i="7" s="1"/>
  <c r="CK31" i="7"/>
  <c r="CJ31" i="7"/>
  <c r="CL31" i="7"/>
  <c r="AJ31" i="7"/>
  <c r="AL31" i="7" s="1"/>
  <c r="AF31" i="7"/>
  <c r="CK1723" i="7"/>
  <c r="AJ1723" i="7"/>
  <c r="AL1723" i="7" s="1"/>
  <c r="AF1723" i="7"/>
  <c r="CV1723" i="7"/>
  <c r="CV16" i="7"/>
  <c r="CJ16" i="7"/>
  <c r="AK16" i="7"/>
  <c r="AL16" i="7" s="1"/>
  <c r="AJ16" i="7"/>
  <c r="AF16" i="7"/>
  <c r="CU16" i="7"/>
  <c r="CW16" i="7" s="1"/>
  <c r="CK1204" i="7"/>
  <c r="CJ1204" i="7"/>
  <c r="AK1204" i="7"/>
  <c r="AL1204" i="7" s="1"/>
  <c r="AJ1204" i="7"/>
  <c r="AF1204" i="7"/>
  <c r="CJ1710" i="7"/>
  <c r="CR1710" i="7" s="1"/>
  <c r="AK1710" i="7"/>
  <c r="AL1710" i="7" s="1"/>
  <c r="AJ1710" i="7"/>
  <c r="AF1710" i="7"/>
  <c r="CV1722" i="7"/>
  <c r="AK1722" i="7"/>
  <c r="AL1722" i="7" s="1"/>
  <c r="AJ1722" i="7"/>
  <c r="AF1722" i="7"/>
  <c r="CJ1804" i="7"/>
  <c r="AJ1804" i="7"/>
  <c r="AL1804" i="7" s="1"/>
  <c r="AF1804" i="7"/>
  <c r="AJ1937" i="7"/>
  <c r="AL1937" i="7" s="1"/>
  <c r="AF1937" i="7"/>
  <c r="CV1937" i="7"/>
  <c r="CW1937" i="7" s="1"/>
  <c r="CJ30" i="7"/>
  <c r="CL30" i="7"/>
  <c r="AK30" i="7"/>
  <c r="AL30" i="7" s="1"/>
  <c r="AJ30" i="7"/>
  <c r="AF30" i="7"/>
  <c r="CK1721" i="7"/>
  <c r="AJ1721" i="7"/>
  <c r="AL1721" i="7" s="1"/>
  <c r="AF1721" i="7"/>
  <c r="AJ1152" i="7"/>
  <c r="AL1152" i="7" s="1"/>
  <c r="AF1152" i="7"/>
  <c r="AJ1151" i="7"/>
  <c r="AL1151" i="7" s="1"/>
  <c r="AF1151" i="7"/>
  <c r="CV1151" i="7"/>
  <c r="CW1151" i="7" s="1"/>
  <c r="AJ1150" i="7"/>
  <c r="AL1150" i="7" s="1"/>
  <c r="AF1150" i="7"/>
  <c r="AJ1149" i="7"/>
  <c r="AL1149" i="7" s="1"/>
  <c r="AF1149" i="7"/>
  <c r="CV1149" i="7"/>
  <c r="CW1149" i="7" s="1"/>
  <c r="AF1148" i="7"/>
  <c r="CK1147" i="7"/>
  <c r="AJ1147" i="7"/>
  <c r="AL1147" i="7" s="1"/>
  <c r="AF1147" i="7"/>
  <c r="CV1147" i="7"/>
  <c r="CW1147" i="7" s="1"/>
  <c r="AJ1146" i="7"/>
  <c r="AL1146" i="7" s="1"/>
  <c r="AF1146" i="7"/>
  <c r="CK1145" i="7"/>
  <c r="AJ1145" i="7"/>
  <c r="AL1145" i="7" s="1"/>
  <c r="AF1145" i="7"/>
  <c r="CV1145" i="7"/>
  <c r="CW1145" i="7" s="1"/>
  <c r="AJ1144" i="7"/>
  <c r="AL1144" i="7" s="1"/>
  <c r="AF1144" i="7"/>
  <c r="CV1143" i="7"/>
  <c r="CW1143" i="7" s="1"/>
  <c r="CK1143" i="7"/>
  <c r="AJ1143" i="7"/>
  <c r="AL1143" i="7" s="1"/>
  <c r="AF1143" i="7"/>
  <c r="AJ1142" i="7"/>
  <c r="AL1142" i="7" s="1"/>
  <c r="AF1142" i="7"/>
  <c r="CV1141" i="7"/>
  <c r="CW1141" i="7" s="1"/>
  <c r="CK1141" i="7"/>
  <c r="AJ1141" i="7"/>
  <c r="AL1141" i="7" s="1"/>
  <c r="AF1141" i="7"/>
  <c r="AJ1140" i="7"/>
  <c r="AL1140" i="7" s="1"/>
  <c r="AF1140" i="7"/>
  <c r="CV1139" i="7"/>
  <c r="CW1139" i="7" s="1"/>
  <c r="CK1139" i="7"/>
  <c r="AJ1139" i="7"/>
  <c r="AL1139" i="7" s="1"/>
  <c r="AF1139" i="7"/>
  <c r="AJ1138" i="7"/>
  <c r="AL1138" i="7" s="1"/>
  <c r="AF1138" i="7"/>
  <c r="CK1137" i="7"/>
  <c r="AF1137" i="7"/>
  <c r="CV1137" i="7"/>
  <c r="CW1137" i="7" s="1"/>
  <c r="AJ1136" i="7"/>
  <c r="AL1136" i="7" s="1"/>
  <c r="AF1136" i="7"/>
  <c r="AJ1135" i="7"/>
  <c r="AL1135" i="7" s="1"/>
  <c r="AF1135" i="7"/>
  <c r="CV1135" i="7"/>
  <c r="CW1135" i="7" s="1"/>
  <c r="AF1134" i="7"/>
  <c r="CK1133" i="7"/>
  <c r="AJ1133" i="7"/>
  <c r="AL1133" i="7" s="1"/>
  <c r="AF1133" i="7"/>
  <c r="CV1133" i="7"/>
  <c r="CW1133" i="7" s="1"/>
  <c r="AJ1132" i="7"/>
  <c r="AL1132" i="7" s="1"/>
  <c r="AF1132" i="7"/>
  <c r="CK1131" i="7"/>
  <c r="AJ1131" i="7"/>
  <c r="AL1131" i="7" s="1"/>
  <c r="AF1131" i="7"/>
  <c r="CV1131" i="7"/>
  <c r="CW1131" i="7" s="1"/>
  <c r="AF1130" i="7"/>
  <c r="CV1129" i="7"/>
  <c r="CW1129" i="7" s="1"/>
  <c r="CK1129" i="7"/>
  <c r="AJ1129" i="7"/>
  <c r="AL1129" i="7" s="1"/>
  <c r="AF1129" i="7"/>
  <c r="AJ1128" i="7"/>
  <c r="AL1128" i="7" s="1"/>
  <c r="AF1128" i="7"/>
  <c r="CV1127" i="7"/>
  <c r="CW1127" i="7" s="1"/>
  <c r="CK1127" i="7"/>
  <c r="AJ1127" i="7"/>
  <c r="AL1127" i="7" s="1"/>
  <c r="AF1127" i="7"/>
  <c r="AJ1126" i="7"/>
  <c r="AL1126" i="7" s="1"/>
  <c r="AF1126" i="7"/>
  <c r="AJ1125" i="7"/>
  <c r="AL1125" i="7" s="1"/>
  <c r="AF1125" i="7"/>
  <c r="CV1124" i="7"/>
  <c r="CW1124" i="7" s="1"/>
  <c r="AJ1124" i="7"/>
  <c r="AL1124" i="7" s="1"/>
  <c r="AF1124" i="7"/>
  <c r="CK1123" i="7"/>
  <c r="AF1123" i="7"/>
  <c r="CV1123" i="7"/>
  <c r="CW1123" i="7" s="1"/>
  <c r="AJ1122" i="7"/>
  <c r="AL1122" i="7" s="1"/>
  <c r="AF1122" i="7"/>
  <c r="AJ1121" i="7"/>
  <c r="AL1121" i="7" s="1"/>
  <c r="AF1121" i="7"/>
  <c r="CV1121" i="7"/>
  <c r="CW1121" i="7" s="1"/>
  <c r="AJ1120" i="7"/>
  <c r="AL1120" i="7" s="1"/>
  <c r="AF1120" i="7"/>
  <c r="AJ1119" i="7"/>
  <c r="AL1119" i="7" s="1"/>
  <c r="AF1119" i="7"/>
  <c r="CV1119" i="7"/>
  <c r="CW1119" i="7" s="1"/>
  <c r="AJ1118" i="7"/>
  <c r="AL1118" i="7" s="1"/>
  <c r="AF1118" i="7"/>
  <c r="AJ1117" i="7"/>
  <c r="AL1117" i="7" s="1"/>
  <c r="AF1117" i="7"/>
  <c r="CV1117" i="7"/>
  <c r="CW1117" i="7" s="1"/>
  <c r="AJ1116" i="7"/>
  <c r="AL1116" i="7" s="1"/>
  <c r="AF1116" i="7"/>
  <c r="AJ1115" i="7"/>
  <c r="AL1115" i="7" s="1"/>
  <c r="AF1115" i="7"/>
  <c r="CV1115" i="7"/>
  <c r="CW1115" i="7" s="1"/>
  <c r="AJ1114" i="7"/>
  <c r="AL1114" i="7" s="1"/>
  <c r="AF1114" i="7"/>
  <c r="AJ1113" i="7"/>
  <c r="AL1113" i="7" s="1"/>
  <c r="AF1113" i="7"/>
  <c r="CV1113" i="7"/>
  <c r="CW1113" i="7" s="1"/>
  <c r="AJ1112" i="7"/>
  <c r="AL1112" i="7" s="1"/>
  <c r="AF1112" i="7"/>
  <c r="AJ1111" i="7"/>
  <c r="AL1111" i="7" s="1"/>
  <c r="AF1111" i="7"/>
  <c r="CV1111" i="7"/>
  <c r="CW1111" i="7" s="1"/>
  <c r="AJ1110" i="7"/>
  <c r="AL1110" i="7" s="1"/>
  <c r="AF1110" i="7"/>
  <c r="AJ1109" i="7"/>
  <c r="AL1109" i="7" s="1"/>
  <c r="AF1109" i="7"/>
  <c r="CV1109" i="7"/>
  <c r="CW1109" i="7" s="1"/>
  <c r="AJ1108" i="7"/>
  <c r="AL1108" i="7" s="1"/>
  <c r="AF1108" i="7"/>
  <c r="AJ1107" i="7"/>
  <c r="AL1107" i="7" s="1"/>
  <c r="AF1107" i="7"/>
  <c r="CV1107" i="7"/>
  <c r="CW1107" i="7" s="1"/>
  <c r="AJ1106" i="7"/>
  <c r="AL1106" i="7" s="1"/>
  <c r="AF1106" i="7"/>
  <c r="AJ1105" i="7"/>
  <c r="AL1105" i="7" s="1"/>
  <c r="AF1105" i="7"/>
  <c r="CV1105" i="7"/>
  <c r="CW1105" i="7" s="1"/>
  <c r="AJ1104" i="7"/>
  <c r="AL1104" i="7" s="1"/>
  <c r="AF1104" i="7"/>
  <c r="AJ1103" i="7"/>
  <c r="AL1103" i="7" s="1"/>
  <c r="AF1103" i="7"/>
  <c r="CV1103" i="7"/>
  <c r="CW1103" i="7" s="1"/>
  <c r="AJ1102" i="7"/>
  <c r="AL1102" i="7" s="1"/>
  <c r="AF1102" i="7"/>
  <c r="CK1101" i="7"/>
  <c r="AJ1101" i="7"/>
  <c r="AL1101" i="7" s="1"/>
  <c r="CV1101" i="7"/>
  <c r="CW1101" i="7" s="1"/>
  <c r="AJ1100" i="7"/>
  <c r="AL1100" i="7" s="1"/>
  <c r="AF1100" i="7"/>
  <c r="CV1099" i="7"/>
  <c r="CW1099" i="7" s="1"/>
  <c r="CK1099" i="7"/>
  <c r="AJ1099" i="7"/>
  <c r="AL1099" i="7" s="1"/>
  <c r="AF1099" i="7"/>
  <c r="AJ1098" i="7"/>
  <c r="AL1098" i="7" s="1"/>
  <c r="AF1098" i="7"/>
  <c r="CV1097" i="7"/>
  <c r="CW1097" i="7" s="1"/>
  <c r="CK1097" i="7"/>
  <c r="AJ1097" i="7"/>
  <c r="AL1097" i="7" s="1"/>
  <c r="AF1097" i="7"/>
  <c r="AJ1096" i="7"/>
  <c r="AL1096" i="7" s="1"/>
  <c r="AF1096" i="7"/>
  <c r="CV1619" i="7"/>
  <c r="CW1619" i="7" s="1"/>
  <c r="CK1619" i="7"/>
  <c r="AJ1619" i="7"/>
  <c r="AL1619" i="7" s="1"/>
  <c r="AF1619" i="7"/>
  <c r="AJ1095" i="7"/>
  <c r="AL1095" i="7" s="1"/>
  <c r="AF1095" i="7"/>
  <c r="CK1094" i="7"/>
  <c r="AF1094" i="7"/>
  <c r="CV1094" i="7"/>
  <c r="CW1094" i="7" s="1"/>
  <c r="AJ1093" i="7"/>
  <c r="AL1093" i="7" s="1"/>
  <c r="AF1093" i="7"/>
  <c r="AJ1618" i="7"/>
  <c r="AL1618" i="7" s="1"/>
  <c r="AF1618" i="7"/>
  <c r="CV1618" i="7"/>
  <c r="CW1618" i="7" s="1"/>
  <c r="AJ1617" i="7"/>
  <c r="AL1617" i="7" s="1"/>
  <c r="AF1617" i="7"/>
  <c r="AJ1092" i="7"/>
  <c r="AL1092" i="7" s="1"/>
  <c r="AF1092" i="7"/>
  <c r="CV1092" i="7"/>
  <c r="CW1092" i="7" s="1"/>
  <c r="AJ1091" i="7"/>
  <c r="AL1091" i="7" s="1"/>
  <c r="AF1091" i="7"/>
  <c r="AJ1090" i="7"/>
  <c r="AL1090" i="7" s="1"/>
  <c r="AF1090" i="7"/>
  <c r="CV1090" i="7"/>
  <c r="CW1090" i="7" s="1"/>
  <c r="AJ1616" i="7"/>
  <c r="AL1616" i="7" s="1"/>
  <c r="AF1616" i="7"/>
  <c r="AJ1089" i="7"/>
  <c r="AL1089" i="7" s="1"/>
  <c r="AF1089" i="7"/>
  <c r="CV1089" i="7"/>
  <c r="CW1089" i="7" s="1"/>
  <c r="AJ1088" i="7"/>
  <c r="AL1088" i="7" s="1"/>
  <c r="AF1088" i="7"/>
  <c r="AJ1087" i="7"/>
  <c r="AL1087" i="7" s="1"/>
  <c r="AF1087" i="7"/>
  <c r="AJ1086" i="7"/>
  <c r="AL1086" i="7" s="1"/>
  <c r="AF1086" i="7"/>
  <c r="AJ1085" i="7"/>
  <c r="AL1085" i="7" s="1"/>
  <c r="AF1085" i="7"/>
  <c r="CV1085" i="7"/>
  <c r="CW1085" i="7" s="1"/>
  <c r="AJ1084" i="7"/>
  <c r="AL1084" i="7" s="1"/>
  <c r="AF1084" i="7"/>
  <c r="CV1083" i="7"/>
  <c r="CW1083" i="7" s="1"/>
  <c r="CK1083" i="7"/>
  <c r="AJ1083" i="7"/>
  <c r="AL1083" i="7" s="1"/>
  <c r="AF1083" i="7"/>
  <c r="AJ1082" i="7"/>
  <c r="AL1082" i="7" s="1"/>
  <c r="AF1082" i="7"/>
  <c r="CK1081" i="7"/>
  <c r="AJ1081" i="7"/>
  <c r="AL1081" i="7" s="1"/>
  <c r="AF1081" i="7"/>
  <c r="CV1081" i="7"/>
  <c r="CW1081" i="7" s="1"/>
  <c r="AJ1080" i="7"/>
  <c r="AL1080" i="7" s="1"/>
  <c r="AF1080" i="7"/>
  <c r="AJ1615" i="7"/>
  <c r="AL1615" i="7" s="1"/>
  <c r="AF1615" i="7"/>
  <c r="CV1615" i="7"/>
  <c r="CW1615" i="7" s="1"/>
  <c r="AJ1079" i="7"/>
  <c r="AL1079" i="7" s="1"/>
  <c r="AF1079" i="7"/>
  <c r="CV1078" i="7"/>
  <c r="CW1078" i="7" s="1"/>
  <c r="CK1078" i="7"/>
  <c r="AJ1078" i="7"/>
  <c r="AL1078" i="7" s="1"/>
  <c r="AF1078" i="7"/>
  <c r="AJ1077" i="7"/>
  <c r="AL1077" i="7" s="1"/>
  <c r="AF1077" i="7"/>
  <c r="CV1076" i="7"/>
  <c r="CW1076" i="7" s="1"/>
  <c r="CK1076" i="7"/>
  <c r="AJ1076" i="7"/>
  <c r="AL1076" i="7" s="1"/>
  <c r="AF1076" i="7"/>
  <c r="AJ1075" i="7"/>
  <c r="AL1075" i="7" s="1"/>
  <c r="AF1075" i="7"/>
  <c r="CV1074" i="7"/>
  <c r="CW1074" i="7" s="1"/>
  <c r="CN1074" i="7"/>
  <c r="CK1074" i="7"/>
  <c r="AJ1074" i="7"/>
  <c r="AL1074" i="7" s="1"/>
  <c r="AF1074" i="7"/>
  <c r="AJ1073" i="7"/>
  <c r="AL1073" i="7" s="1"/>
  <c r="AF1073" i="7"/>
  <c r="CV1614" i="7"/>
  <c r="CW1614" i="7" s="1"/>
  <c r="CK1614" i="7"/>
  <c r="AJ1614" i="7"/>
  <c r="AL1614" i="7" s="1"/>
  <c r="AF1614" i="7"/>
  <c r="CR1072" i="7"/>
  <c r="AJ1072" i="7"/>
  <c r="AL1072" i="7" s="1"/>
  <c r="AF1072" i="7"/>
  <c r="CV1613" i="7"/>
  <c r="CW1613" i="7" s="1"/>
  <c r="CK1613" i="7"/>
  <c r="CR1613" i="7"/>
  <c r="AJ1613" i="7"/>
  <c r="AL1613" i="7" s="1"/>
  <c r="AF1613" i="7"/>
  <c r="AJ1071" i="7"/>
  <c r="AL1071" i="7" s="1"/>
  <c r="AF1071" i="7"/>
  <c r="CV1070" i="7"/>
  <c r="CW1070" i="7" s="1"/>
  <c r="CK1070" i="7"/>
  <c r="AJ1070" i="7"/>
  <c r="AL1070" i="7" s="1"/>
  <c r="AF1070" i="7"/>
  <c r="AJ1069" i="7"/>
  <c r="AL1069" i="7" s="1"/>
  <c r="AF1069" i="7"/>
  <c r="CV1612" i="7"/>
  <c r="CW1612" i="7" s="1"/>
  <c r="CK1612" i="7"/>
  <c r="AJ1612" i="7"/>
  <c r="AL1612" i="7" s="1"/>
  <c r="AF1612" i="7"/>
  <c r="AJ1611" i="7"/>
  <c r="AL1611" i="7" s="1"/>
  <c r="AF1611" i="7"/>
  <c r="CV1068" i="7"/>
  <c r="CW1068" i="7" s="1"/>
  <c r="CK1068" i="7"/>
  <c r="AJ1068" i="7"/>
  <c r="AL1068" i="7" s="1"/>
  <c r="AF1068" i="7"/>
  <c r="AJ1610" i="7"/>
  <c r="AL1610" i="7" s="1"/>
  <c r="AF1610" i="7"/>
  <c r="CN1067" i="7"/>
  <c r="CK1067" i="7"/>
  <c r="AK1067" i="7"/>
  <c r="AL1067" i="7" s="1"/>
  <c r="AJ1067" i="7"/>
  <c r="AF1067" i="7"/>
  <c r="CV1067" i="7"/>
  <c r="CW1067" i="7" s="1"/>
  <c r="AK1066" i="7"/>
  <c r="AL1066" i="7" s="1"/>
  <c r="AJ1066" i="7"/>
  <c r="AF1066" i="7"/>
  <c r="AK1609" i="7"/>
  <c r="AL1609" i="7" s="1"/>
  <c r="AJ1609" i="7"/>
  <c r="AF1609" i="7"/>
  <c r="CV1609" i="7"/>
  <c r="CW1609" i="7" s="1"/>
  <c r="AJ1065" i="7"/>
  <c r="AL1065" i="7" s="1"/>
  <c r="AF1065" i="7"/>
  <c r="CV1064" i="7"/>
  <c r="CW1064" i="7" s="1"/>
  <c r="CK1064" i="7"/>
  <c r="AJ1064" i="7"/>
  <c r="AL1064" i="7" s="1"/>
  <c r="AF1064" i="7"/>
  <c r="AK1063" i="7"/>
  <c r="AL1063" i="7" s="1"/>
  <c r="AJ1063" i="7"/>
  <c r="AF1063" i="7"/>
  <c r="CK1608" i="7"/>
  <c r="AK1608" i="7"/>
  <c r="AL1608" i="7" s="1"/>
  <c r="AJ1608" i="7"/>
  <c r="AF1608" i="7"/>
  <c r="CV1608" i="7"/>
  <c r="CW1608" i="7" s="1"/>
  <c r="CR1234" i="7"/>
  <c r="AK1234" i="7"/>
  <c r="AL1234" i="7" s="1"/>
  <c r="AJ1234" i="7"/>
  <c r="AF1234" i="7"/>
  <c r="CV1062" i="7"/>
  <c r="CW1062" i="7" s="1"/>
  <c r="CK1062" i="7"/>
  <c r="AF1062" i="7"/>
  <c r="AJ1061" i="7"/>
  <c r="AL1061" i="7" s="1"/>
  <c r="AF1061" i="7"/>
  <c r="AJ1607" i="7"/>
  <c r="AL1607" i="7" s="1"/>
  <c r="AF1607" i="7"/>
  <c r="CV1607" i="7"/>
  <c r="CW1607" i="7" s="1"/>
  <c r="AK1060" i="7"/>
  <c r="AL1060" i="7" s="1"/>
  <c r="AJ1060" i="7"/>
  <c r="AF1060" i="7"/>
  <c r="CV1059" i="7"/>
  <c r="CW1059" i="7" s="1"/>
  <c r="CN1059" i="7"/>
  <c r="CK1059" i="7"/>
  <c r="AJ1059" i="7"/>
  <c r="AL1059" i="7" s="1"/>
  <c r="AF1059" i="7"/>
  <c r="AJ1058" i="7"/>
  <c r="AL1058" i="7" s="1"/>
  <c r="AF1058" i="7"/>
  <c r="CV1606" i="7"/>
  <c r="CW1606" i="7" s="1"/>
  <c r="CK1606" i="7"/>
  <c r="AJ1606" i="7"/>
  <c r="AL1606" i="7" s="1"/>
  <c r="AF1606" i="7"/>
  <c r="CR1057" i="7"/>
  <c r="AK1057" i="7"/>
  <c r="AL1057" i="7" s="1"/>
  <c r="AJ1057" i="7"/>
  <c r="AF1057" i="7"/>
  <c r="CV1056" i="7"/>
  <c r="CW1056" i="7" s="1"/>
  <c r="CN1056" i="7"/>
  <c r="CK1056" i="7"/>
  <c r="CR1056" i="7"/>
  <c r="AK1056" i="7"/>
  <c r="AL1056" i="7" s="1"/>
  <c r="AJ1056" i="7"/>
  <c r="AF1056" i="7"/>
  <c r="AJ1055" i="7"/>
  <c r="AL1055" i="7" s="1"/>
  <c r="AF1055" i="7"/>
  <c r="AJ1054" i="7"/>
  <c r="AL1054" i="7" s="1"/>
  <c r="AF1054" i="7"/>
  <c r="CV1054" i="7"/>
  <c r="CW1054" i="7" s="1"/>
  <c r="AF1605" i="7"/>
  <c r="CV1053" i="7"/>
  <c r="CW1053" i="7" s="1"/>
  <c r="CN1053" i="7"/>
  <c r="CK1053" i="7"/>
  <c r="AJ1053" i="7"/>
  <c r="AL1053" i="7" s="1"/>
  <c r="AF1053" i="7"/>
  <c r="AJ1604" i="7"/>
  <c r="AL1604" i="7" s="1"/>
  <c r="AF1604" i="7"/>
  <c r="CV1052" i="7"/>
  <c r="CW1052" i="7" s="1"/>
  <c r="CK1052" i="7"/>
  <c r="AJ1052" i="7"/>
  <c r="AL1052" i="7" s="1"/>
  <c r="AF1052" i="7"/>
  <c r="AJ1051" i="7"/>
  <c r="AL1051" i="7" s="1"/>
  <c r="AF1051" i="7"/>
  <c r="CV1603" i="7"/>
  <c r="CW1603" i="7" s="1"/>
  <c r="CK1603" i="7"/>
  <c r="AJ1603" i="7"/>
  <c r="AL1603" i="7" s="1"/>
  <c r="AF1603" i="7"/>
  <c r="AJ1050" i="7"/>
  <c r="AL1050" i="7" s="1"/>
  <c r="AF1050" i="7"/>
  <c r="CV1602" i="7"/>
  <c r="CW1602" i="7" s="1"/>
  <c r="CK1602" i="7"/>
  <c r="AJ1602" i="7"/>
  <c r="AL1602" i="7" s="1"/>
  <c r="AF1602" i="7"/>
  <c r="AJ1049" i="7"/>
  <c r="AL1049" i="7" s="1"/>
  <c r="AK1601" i="7"/>
  <c r="AL1601" i="7" s="1"/>
  <c r="AJ1601" i="7"/>
  <c r="AF1601" i="7"/>
  <c r="CV1601" i="7"/>
  <c r="CW1601" i="7" s="1"/>
  <c r="AK1048" i="7"/>
  <c r="AL1048" i="7" s="1"/>
  <c r="AJ1048" i="7"/>
  <c r="AF1048" i="7"/>
  <c r="CV1047" i="7"/>
  <c r="CW1047" i="7" s="1"/>
  <c r="CK1047" i="7"/>
  <c r="AK1047" i="7"/>
  <c r="AL1047" i="7" s="1"/>
  <c r="AJ1047" i="7"/>
  <c r="AF1047" i="7"/>
  <c r="AJ1046" i="7"/>
  <c r="AL1046" i="7" s="1"/>
  <c r="AF1046" i="7"/>
  <c r="CV1600" i="7"/>
  <c r="CW1600" i="7" s="1"/>
  <c r="CK1600" i="7"/>
  <c r="AJ1600" i="7"/>
  <c r="AL1600" i="7" s="1"/>
  <c r="AF1600" i="7"/>
  <c r="AK1045" i="7"/>
  <c r="AL1045" i="7" s="1"/>
  <c r="AJ1045" i="7"/>
  <c r="AF1045" i="7"/>
  <c r="CK1044" i="7"/>
  <c r="AJ1044" i="7"/>
  <c r="AL1044" i="7" s="1"/>
  <c r="AF1044" i="7"/>
  <c r="CV1044" i="7"/>
  <c r="CW1044" i="7" s="1"/>
  <c r="CR1043" i="7"/>
  <c r="AK1043" i="7"/>
  <c r="AL1043" i="7" s="1"/>
  <c r="AJ1043" i="7"/>
  <c r="AF1043" i="7"/>
  <c r="AJ1042" i="7"/>
  <c r="AL1042" i="7" s="1"/>
  <c r="AF1042" i="7"/>
  <c r="CV1042" i="7"/>
  <c r="CW1042" i="7" s="1"/>
  <c r="AJ1041" i="7"/>
  <c r="AL1041" i="7" s="1"/>
  <c r="AF1041" i="7"/>
  <c r="AJ1040" i="7"/>
  <c r="AL1040" i="7" s="1"/>
  <c r="AF1040" i="7"/>
  <c r="CV1040" i="7"/>
  <c r="CW1040" i="7" s="1"/>
  <c r="AJ1039" i="7"/>
  <c r="AL1039" i="7" s="1"/>
  <c r="AF1039" i="7"/>
  <c r="CK1858" i="7"/>
  <c r="CV1858" i="7"/>
  <c r="CW1858" i="7" s="1"/>
  <c r="AJ1038" i="7"/>
  <c r="AL1038" i="7" s="1"/>
  <c r="AF1038" i="7"/>
  <c r="CV1599" i="7"/>
  <c r="CW1599" i="7" s="1"/>
  <c r="CK1599" i="7"/>
  <c r="AJ1599" i="7"/>
  <c r="AL1599" i="7" s="1"/>
  <c r="AF1599" i="7"/>
  <c r="CR1037" i="7"/>
  <c r="AK1037" i="7"/>
  <c r="AL1037" i="7" s="1"/>
  <c r="AJ1037" i="7"/>
  <c r="AF1037" i="7"/>
  <c r="CV1598" i="7"/>
  <c r="CW1598" i="7" s="1"/>
  <c r="CK1598" i="7"/>
  <c r="AK1598" i="7"/>
  <c r="AL1598" i="7" s="1"/>
  <c r="AJ1598" i="7"/>
  <c r="AF1598" i="7"/>
  <c r="AK1036" i="7"/>
  <c r="AL1036" i="7" s="1"/>
  <c r="AJ1036" i="7"/>
  <c r="AF1036" i="7"/>
  <c r="AK1035" i="7"/>
  <c r="AL1035" i="7" s="1"/>
  <c r="AJ1035" i="7"/>
  <c r="AF1035" i="7"/>
  <c r="CV1035" i="7"/>
  <c r="CW1035" i="7" s="1"/>
  <c r="AJ1034" i="7"/>
  <c r="AL1034" i="7" s="1"/>
  <c r="AF1034" i="7"/>
  <c r="CV1033" i="7"/>
  <c r="CW1033" i="7" s="1"/>
  <c r="CN1033" i="7"/>
  <c r="CK1033" i="7"/>
  <c r="AK1033" i="7"/>
  <c r="AL1033" i="7" s="1"/>
  <c r="AJ1033" i="7"/>
  <c r="AF1033" i="7"/>
  <c r="AJ1032" i="7"/>
  <c r="AL1032" i="7" s="1"/>
  <c r="AF1032" i="7"/>
  <c r="CV1031" i="7"/>
  <c r="CW1031" i="7" s="1"/>
  <c r="CK1031" i="7"/>
  <c r="AJ1031" i="7"/>
  <c r="AL1031" i="7" s="1"/>
  <c r="AF1031" i="7"/>
  <c r="AJ1597" i="7"/>
  <c r="AL1597" i="7" s="1"/>
  <c r="AF1597" i="7"/>
  <c r="CV1596" i="7"/>
  <c r="CW1596" i="7" s="1"/>
  <c r="CK1596" i="7"/>
  <c r="AJ1596" i="7"/>
  <c r="AL1596" i="7" s="1"/>
  <c r="AF1596" i="7"/>
  <c r="CR1030" i="7"/>
  <c r="AK1030" i="7"/>
  <c r="AL1030" i="7" s="1"/>
  <c r="AJ1030" i="7"/>
  <c r="AF1030" i="7"/>
  <c r="CK1595" i="7"/>
  <c r="AK1595" i="7"/>
  <c r="AL1595" i="7" s="1"/>
  <c r="AJ1595" i="7"/>
  <c r="AF1595" i="7"/>
  <c r="CV1595" i="7"/>
  <c r="CW1595" i="7" s="1"/>
  <c r="AJ1029" i="7"/>
  <c r="AL1029" i="7" s="1"/>
  <c r="AF1029" i="7"/>
  <c r="AJ1594" i="7"/>
  <c r="AL1594" i="7" s="1"/>
  <c r="AF1594" i="7"/>
  <c r="CV1594" i="7"/>
  <c r="CW1594" i="7" s="1"/>
  <c r="CR1028" i="7"/>
  <c r="AK1028" i="7"/>
  <c r="AL1028" i="7" s="1"/>
  <c r="AJ1028" i="7"/>
  <c r="AF1028" i="7"/>
  <c r="CV1593" i="7"/>
  <c r="CW1593" i="7" s="1"/>
  <c r="CK1593" i="7"/>
  <c r="AK1593" i="7"/>
  <c r="AL1593" i="7" s="1"/>
  <c r="AJ1593" i="7"/>
  <c r="AF1593" i="7"/>
  <c r="AK1592" i="7"/>
  <c r="AL1592" i="7" s="1"/>
  <c r="AJ1592" i="7"/>
  <c r="AF1592" i="7"/>
  <c r="CN1027" i="7"/>
  <c r="CK1027" i="7"/>
  <c r="AK1027" i="7"/>
  <c r="AL1027" i="7" s="1"/>
  <c r="AJ1027" i="7"/>
  <c r="AF1027" i="7"/>
  <c r="CV1027" i="7"/>
  <c r="CW1027" i="7" s="1"/>
  <c r="CR1026" i="7"/>
  <c r="AK1026" i="7"/>
  <c r="AL1026" i="7" s="1"/>
  <c r="AJ1026" i="7"/>
  <c r="AF1026" i="7"/>
  <c r="CV1591" i="7"/>
  <c r="CW1591" i="7" s="1"/>
  <c r="CK1591" i="7"/>
  <c r="AK1591" i="7"/>
  <c r="AL1591" i="7" s="1"/>
  <c r="AJ1591" i="7"/>
  <c r="AF1591" i="7"/>
  <c r="AJ1857" i="7"/>
  <c r="AL1857" i="7" s="1"/>
  <c r="AF1857" i="7"/>
  <c r="CN1025" i="7"/>
  <c r="CK1025" i="7"/>
  <c r="AK1025" i="7"/>
  <c r="AL1025" i="7" s="1"/>
  <c r="AJ1025" i="7"/>
  <c r="AF1025" i="7"/>
  <c r="CV1025" i="7"/>
  <c r="CW1025" i="7" s="1"/>
  <c r="AK1024" i="7"/>
  <c r="AL1024" i="7" s="1"/>
  <c r="AJ1024" i="7"/>
  <c r="AF1024" i="7"/>
  <c r="CV1590" i="7"/>
  <c r="CW1590" i="7" s="1"/>
  <c r="CK1590" i="7"/>
  <c r="AK1590" i="7"/>
  <c r="AL1590" i="7" s="1"/>
  <c r="AJ1590" i="7"/>
  <c r="AF1590" i="7"/>
  <c r="AJ1023" i="7"/>
  <c r="AL1023" i="7" s="1"/>
  <c r="AF1023" i="7"/>
  <c r="CV1022" i="7"/>
  <c r="CW1022" i="7" s="1"/>
  <c r="CK1022" i="7"/>
  <c r="AJ1022" i="7"/>
  <c r="AL1022" i="7" s="1"/>
  <c r="AF1022" i="7"/>
  <c r="AJ1021" i="7"/>
  <c r="AL1021" i="7" s="1"/>
  <c r="AF1021" i="7"/>
  <c r="CV1020" i="7"/>
  <c r="CW1020" i="7" s="1"/>
  <c r="CK1020" i="7"/>
  <c r="AJ1020" i="7"/>
  <c r="AL1020" i="7" s="1"/>
  <c r="AF1020" i="7"/>
  <c r="CK1019" i="7"/>
  <c r="AJ1019" i="7"/>
  <c r="AL1019" i="7" s="1"/>
  <c r="AF1019" i="7"/>
  <c r="CV1589" i="7"/>
  <c r="CW1589" i="7" s="1"/>
  <c r="CK1589" i="7"/>
  <c r="CR1589" i="7"/>
  <c r="AJ1589" i="7"/>
  <c r="AL1589" i="7" s="1"/>
  <c r="AF1589" i="7"/>
  <c r="AK1018" i="7"/>
  <c r="AL1018" i="7" s="1"/>
  <c r="AJ1018" i="7"/>
  <c r="AF1018" i="7"/>
  <c r="CK1588" i="7"/>
  <c r="AK1588" i="7"/>
  <c r="AL1588" i="7" s="1"/>
  <c r="AJ1588" i="7"/>
  <c r="AF1588" i="7"/>
  <c r="CV1588" i="7"/>
  <c r="CW1588" i="7" s="1"/>
  <c r="AJ1017" i="7"/>
  <c r="AL1017" i="7" s="1"/>
  <c r="AF1017" i="7"/>
  <c r="AK1016" i="7"/>
  <c r="AL1016" i="7" s="1"/>
  <c r="AJ1016" i="7"/>
  <c r="AF1016" i="7"/>
  <c r="CV1016" i="7"/>
  <c r="CW1016" i="7" s="1"/>
  <c r="AF1015" i="7"/>
  <c r="CV1587" i="7"/>
  <c r="CW1587" i="7" s="1"/>
  <c r="CK1587" i="7"/>
  <c r="AJ1587" i="7"/>
  <c r="AL1587" i="7" s="1"/>
  <c r="AF1587" i="7"/>
  <c r="CV1014" i="7"/>
  <c r="CW1014" i="7" s="1"/>
  <c r="AK1014" i="7"/>
  <c r="AL1014" i="7" s="1"/>
  <c r="AJ1014" i="7"/>
  <c r="AF1014" i="7"/>
  <c r="AK1586" i="7"/>
  <c r="AL1586" i="7" s="1"/>
  <c r="AJ1586" i="7"/>
  <c r="AF1586" i="7"/>
  <c r="CV1586" i="7"/>
  <c r="CW1586" i="7" s="1"/>
  <c r="AJ1013" i="7"/>
  <c r="AL1013" i="7" s="1"/>
  <c r="AF1013" i="7"/>
  <c r="AJ1585" i="7"/>
  <c r="AL1585" i="7" s="1"/>
  <c r="AF1585" i="7"/>
  <c r="CV1585" i="7"/>
  <c r="CW1585" i="7" s="1"/>
  <c r="AJ1012" i="7"/>
  <c r="AL1012" i="7" s="1"/>
  <c r="AF1012" i="7"/>
  <c r="AJ1584" i="7"/>
  <c r="AL1584" i="7" s="1"/>
  <c r="AF1584" i="7"/>
  <c r="CV1584" i="7"/>
  <c r="CW1584" i="7" s="1"/>
  <c r="AJ1011" i="7"/>
  <c r="AL1011" i="7" s="1"/>
  <c r="AF1011" i="7"/>
  <c r="AJ1583" i="7"/>
  <c r="AL1583" i="7" s="1"/>
  <c r="AF1583" i="7"/>
  <c r="CV1583" i="7"/>
  <c r="CW1583" i="7" s="1"/>
  <c r="AJ1010" i="7"/>
  <c r="AL1010" i="7" s="1"/>
  <c r="AF1010" i="7"/>
  <c r="CN1009" i="7"/>
  <c r="AK1009" i="7"/>
  <c r="AL1009" i="7" s="1"/>
  <c r="AJ1009" i="7"/>
  <c r="AF1009" i="7"/>
  <c r="CV1009" i="7"/>
  <c r="CW1009" i="7" s="1"/>
  <c r="AK1008" i="7"/>
  <c r="AL1008" i="7" s="1"/>
  <c r="AJ1008" i="7"/>
  <c r="AF1008" i="7"/>
  <c r="CK1582" i="7"/>
  <c r="AK1582" i="7"/>
  <c r="AL1582" i="7" s="1"/>
  <c r="AJ1582" i="7"/>
  <c r="AF1582" i="7"/>
  <c r="CV1582" i="7"/>
  <c r="CW1582" i="7" s="1"/>
  <c r="CR1007" i="7"/>
  <c r="AK1007" i="7"/>
  <c r="AL1007" i="7" s="1"/>
  <c r="AJ1007" i="7"/>
  <c r="AF1007" i="7"/>
  <c r="CN1006" i="7"/>
  <c r="CR1006" i="7"/>
  <c r="AK1006" i="7"/>
  <c r="AL1006" i="7" s="1"/>
  <c r="AJ1006" i="7"/>
  <c r="AF1006" i="7"/>
  <c r="CV1006" i="7"/>
  <c r="CW1006" i="7" s="1"/>
  <c r="AK1581" i="7"/>
  <c r="AL1581" i="7" s="1"/>
  <c r="AJ1581" i="7"/>
  <c r="AF1581" i="7"/>
  <c r="CK1005" i="7"/>
  <c r="AK1005" i="7"/>
  <c r="AL1005" i="7" s="1"/>
  <c r="AJ1005" i="7"/>
  <c r="AF1005" i="7"/>
  <c r="CV1005" i="7"/>
  <c r="CW1005" i="7" s="1"/>
  <c r="AK1580" i="7"/>
  <c r="AL1580" i="7" s="1"/>
  <c r="AJ1580" i="7"/>
  <c r="AF1580" i="7"/>
  <c r="AJ1004" i="7"/>
  <c r="AL1004" i="7" s="1"/>
  <c r="AF1004" i="7"/>
  <c r="CV1004" i="7"/>
  <c r="CW1004" i="7" s="1"/>
  <c r="AJ1579" i="7"/>
  <c r="AL1579" i="7" s="1"/>
  <c r="AF1579" i="7"/>
  <c r="AK1003" i="7"/>
  <c r="AL1003" i="7" s="1"/>
  <c r="AJ1003" i="7"/>
  <c r="AF1003" i="7"/>
  <c r="CV1003" i="7"/>
  <c r="CW1003" i="7" s="1"/>
  <c r="AJ1002" i="7"/>
  <c r="AL1002" i="7" s="1"/>
  <c r="AF1002" i="7"/>
  <c r="CV1001" i="7"/>
  <c r="CW1001" i="7" s="1"/>
  <c r="CK1001" i="7"/>
  <c r="AJ1001" i="7"/>
  <c r="AL1001" i="7" s="1"/>
  <c r="AF1001" i="7"/>
  <c r="CR1000" i="7"/>
  <c r="AK1000" i="7"/>
  <c r="AL1000" i="7" s="1"/>
  <c r="AJ1000" i="7"/>
  <c r="AF1000" i="7"/>
  <c r="CK1578" i="7"/>
  <c r="AK1578" i="7"/>
  <c r="AL1578" i="7" s="1"/>
  <c r="AJ1578" i="7"/>
  <c r="AF1578" i="7"/>
  <c r="CV1578" i="7"/>
  <c r="CW1578" i="7" s="1"/>
  <c r="AK999" i="7"/>
  <c r="AL999" i="7" s="1"/>
  <c r="AJ999" i="7"/>
  <c r="AF999" i="7"/>
  <c r="CN998" i="7"/>
  <c r="AK998" i="7"/>
  <c r="AL998" i="7" s="1"/>
  <c r="AJ998" i="7"/>
  <c r="AF998" i="7"/>
  <c r="CV998" i="7"/>
  <c r="CW998" i="7" s="1"/>
  <c r="CR997" i="7"/>
  <c r="AK997" i="7"/>
  <c r="AL997" i="7" s="1"/>
  <c r="AJ997" i="7"/>
  <c r="AF997" i="7"/>
  <c r="CK1709" i="7"/>
  <c r="AK1709" i="7"/>
  <c r="AL1709" i="7" s="1"/>
  <c r="AJ1709" i="7"/>
  <c r="AF1709" i="7"/>
  <c r="CV1709" i="7"/>
  <c r="CW1709" i="7" s="1"/>
  <c r="AK996" i="7"/>
  <c r="AL996" i="7" s="1"/>
  <c r="AJ996" i="7"/>
  <c r="AF996" i="7"/>
  <c r="AK1577" i="7"/>
  <c r="AL1577" i="7" s="1"/>
  <c r="AJ1577" i="7"/>
  <c r="AF1577" i="7"/>
  <c r="CV1577" i="7"/>
  <c r="CW1577" i="7" s="1"/>
  <c r="AJ995" i="7"/>
  <c r="AL995" i="7" s="1"/>
  <c r="AF995" i="7"/>
  <c r="CV1576" i="7"/>
  <c r="CW1576" i="7" s="1"/>
  <c r="CK1576" i="7"/>
  <c r="AK1576" i="7"/>
  <c r="AL1576" i="7" s="1"/>
  <c r="AJ1576" i="7"/>
  <c r="AF1576" i="7"/>
  <c r="AJ994" i="7"/>
  <c r="AL994" i="7" s="1"/>
  <c r="AF994" i="7"/>
  <c r="CV993" i="7"/>
  <c r="CW993" i="7" s="1"/>
  <c r="CN993" i="7"/>
  <c r="CK993" i="7"/>
  <c r="AK993" i="7"/>
  <c r="AL993" i="7" s="1"/>
  <c r="AJ993" i="7"/>
  <c r="AF993" i="7"/>
  <c r="AK992" i="7"/>
  <c r="AL992" i="7" s="1"/>
  <c r="AJ992" i="7"/>
  <c r="AF992" i="7"/>
  <c r="AK991" i="7"/>
  <c r="AL991" i="7" s="1"/>
  <c r="AJ991" i="7"/>
  <c r="AF991" i="7"/>
  <c r="CV991" i="7"/>
  <c r="CW991" i="7" s="1"/>
  <c r="CR990" i="7"/>
  <c r="AK990" i="7"/>
  <c r="AL990" i="7" s="1"/>
  <c r="AJ990" i="7"/>
  <c r="AF990" i="7"/>
  <c r="CV989" i="7"/>
  <c r="CW989" i="7" s="1"/>
  <c r="CK989" i="7"/>
  <c r="AK989" i="7"/>
  <c r="AL989" i="7" s="1"/>
  <c r="AJ989" i="7"/>
  <c r="AF989" i="7"/>
  <c r="AK1575" i="7"/>
  <c r="AL1575" i="7" s="1"/>
  <c r="AJ1575" i="7"/>
  <c r="AF1575" i="7"/>
  <c r="AK988" i="7"/>
  <c r="AL988" i="7" s="1"/>
  <c r="AJ988" i="7"/>
  <c r="AF988" i="7"/>
  <c r="CR1574" i="7"/>
  <c r="AJ1574" i="7"/>
  <c r="AL1574" i="7" s="1"/>
  <c r="AF1574" i="7"/>
  <c r="CV987" i="7"/>
  <c r="CW987" i="7" s="1"/>
  <c r="CK987" i="7"/>
  <c r="AK987" i="7"/>
  <c r="AL987" i="7" s="1"/>
  <c r="AJ987" i="7"/>
  <c r="AF987" i="7"/>
  <c r="AK1573" i="7"/>
  <c r="AL1573" i="7" s="1"/>
  <c r="AJ1573" i="7"/>
  <c r="AF1573" i="7"/>
  <c r="AK986" i="7"/>
  <c r="AL986" i="7" s="1"/>
  <c r="AJ986" i="7"/>
  <c r="AF986" i="7"/>
  <c r="CV986" i="7"/>
  <c r="CW986" i="7" s="1"/>
  <c r="CR985" i="7"/>
  <c r="AK985" i="7"/>
  <c r="AL985" i="7" s="1"/>
  <c r="AJ985" i="7"/>
  <c r="AF985" i="7"/>
  <c r="CK1572" i="7"/>
  <c r="AK1572" i="7"/>
  <c r="AL1572" i="7" s="1"/>
  <c r="AJ1572" i="7"/>
  <c r="AF1572" i="7"/>
  <c r="CV1572" i="7"/>
  <c r="CW1572" i="7" s="1"/>
  <c r="AK984" i="7"/>
  <c r="AL984" i="7" s="1"/>
  <c r="AJ984" i="7"/>
  <c r="AF984" i="7"/>
  <c r="CK983" i="7"/>
  <c r="AJ983" i="7"/>
  <c r="AL983" i="7" s="1"/>
  <c r="AF983" i="7"/>
  <c r="CV983" i="7"/>
  <c r="CW983" i="7" s="1"/>
  <c r="CR1571" i="7"/>
  <c r="AJ1571" i="7"/>
  <c r="AL1571" i="7" s="1"/>
  <c r="AF1571" i="7"/>
  <c r="CK982" i="7"/>
  <c r="AK982" i="7"/>
  <c r="AL982" i="7" s="1"/>
  <c r="AJ982" i="7"/>
  <c r="AF982" i="7"/>
  <c r="CV982" i="7"/>
  <c r="CW982" i="7" s="1"/>
  <c r="AK1570" i="7"/>
  <c r="AL1570" i="7" s="1"/>
  <c r="AJ1570" i="7"/>
  <c r="AF1570" i="7"/>
  <c r="CV981" i="7"/>
  <c r="CW981" i="7" s="1"/>
  <c r="CK981" i="7"/>
  <c r="AK981" i="7"/>
  <c r="AL981" i="7" s="1"/>
  <c r="AJ981" i="7"/>
  <c r="AF981" i="7"/>
  <c r="AK1569" i="7"/>
  <c r="AL1569" i="7" s="1"/>
  <c r="AJ1569" i="7"/>
  <c r="AF1569" i="7"/>
  <c r="AK980" i="7"/>
  <c r="AL980" i="7" s="1"/>
  <c r="AJ980" i="7"/>
  <c r="AF980" i="7"/>
  <c r="CV980" i="7"/>
  <c r="CW980" i="7" s="1"/>
  <c r="CR1568" i="7"/>
  <c r="AK1568" i="7"/>
  <c r="AL1568" i="7" s="1"/>
  <c r="AJ1568" i="7"/>
  <c r="AF1568" i="7"/>
  <c r="CK979" i="7"/>
  <c r="AK979" i="7"/>
  <c r="AL979" i="7" s="1"/>
  <c r="AJ979" i="7"/>
  <c r="AF979" i="7"/>
  <c r="CV979" i="7"/>
  <c r="CW979" i="7" s="1"/>
  <c r="AJ978" i="7"/>
  <c r="AL978" i="7" s="1"/>
  <c r="AF978" i="7"/>
  <c r="CK977" i="7"/>
  <c r="AJ977" i="7"/>
  <c r="AL977" i="7" s="1"/>
  <c r="AF977" i="7"/>
  <c r="CV977" i="7"/>
  <c r="CW977" i="7" s="1"/>
  <c r="AJ1567" i="7"/>
  <c r="AL1567" i="7" s="1"/>
  <c r="AF1567" i="7"/>
  <c r="CV976" i="7"/>
  <c r="CW976" i="7" s="1"/>
  <c r="AK976" i="7"/>
  <c r="AL976" i="7" s="1"/>
  <c r="AJ976" i="7"/>
  <c r="AF976" i="7"/>
  <c r="AK1566" i="7"/>
  <c r="AL1566" i="7" s="1"/>
  <c r="AJ1566" i="7"/>
  <c r="AF1566" i="7"/>
  <c r="CK1565" i="7"/>
  <c r="AF1565" i="7"/>
  <c r="CV1565" i="7"/>
  <c r="CW1565" i="7" s="1"/>
  <c r="CR975" i="7"/>
  <c r="AK975" i="7"/>
  <c r="AL975" i="7" s="1"/>
  <c r="AJ975" i="7"/>
  <c r="AF975" i="7"/>
  <c r="CV975" i="7"/>
  <c r="CW975" i="7" s="1"/>
  <c r="CK1564" i="7"/>
  <c r="AK1564" i="7"/>
  <c r="AL1564" i="7" s="1"/>
  <c r="AJ1564" i="7"/>
  <c r="AF1564" i="7"/>
  <c r="CV1564" i="7"/>
  <c r="CW1564" i="7" s="1"/>
  <c r="AK974" i="7"/>
  <c r="AL974" i="7" s="1"/>
  <c r="AJ974" i="7"/>
  <c r="AF974" i="7"/>
  <c r="CV1563" i="7"/>
  <c r="CW1563" i="7" s="1"/>
  <c r="CK1563" i="7"/>
  <c r="AK1563" i="7"/>
  <c r="AL1563" i="7" s="1"/>
  <c r="AJ1563" i="7"/>
  <c r="AF1563" i="7"/>
  <c r="AJ973" i="7"/>
  <c r="AL973" i="7" s="1"/>
  <c r="AF973" i="7"/>
  <c r="CW972" i="7"/>
  <c r="AK971" i="7"/>
  <c r="AL971" i="7" s="1"/>
  <c r="AJ971" i="7"/>
  <c r="AF971" i="7"/>
  <c r="CV1562" i="7"/>
  <c r="CW1562" i="7" s="1"/>
  <c r="CK1562" i="7"/>
  <c r="AK1562" i="7"/>
  <c r="AL1562" i="7" s="1"/>
  <c r="AJ1562" i="7"/>
  <c r="AF1562" i="7"/>
  <c r="CR970" i="7"/>
  <c r="AK970" i="7"/>
  <c r="AL970" i="7" s="1"/>
  <c r="AJ970" i="7"/>
  <c r="AF970" i="7"/>
  <c r="AK1561" i="7"/>
  <c r="AL1561" i="7" s="1"/>
  <c r="AJ1561" i="7"/>
  <c r="AF1561" i="7"/>
  <c r="CV1561" i="7"/>
  <c r="CW1561" i="7" s="1"/>
  <c r="AK969" i="7"/>
  <c r="AL969" i="7" s="1"/>
  <c r="AJ969" i="7"/>
  <c r="AF969" i="7"/>
  <c r="AK968" i="7"/>
  <c r="AL968" i="7" s="1"/>
  <c r="AJ968" i="7"/>
  <c r="AF968" i="7"/>
  <c r="CV968" i="7"/>
  <c r="CW968" i="7" s="1"/>
  <c r="AJ967" i="7"/>
  <c r="AL967" i="7" s="1"/>
  <c r="AF967" i="7"/>
  <c r="CV966" i="7"/>
  <c r="CW966" i="7" s="1"/>
  <c r="AK966" i="7"/>
  <c r="AL966" i="7" s="1"/>
  <c r="AJ966" i="7"/>
  <c r="AF966" i="7"/>
  <c r="AK1560" i="7"/>
  <c r="AL1560" i="7" s="1"/>
  <c r="AJ1560" i="7"/>
  <c r="AF1560" i="7"/>
  <c r="CK965" i="7"/>
  <c r="AK965" i="7"/>
  <c r="AL965" i="7" s="1"/>
  <c r="AJ965" i="7"/>
  <c r="AF965" i="7"/>
  <c r="CV965" i="7"/>
  <c r="CW965" i="7" s="1"/>
  <c r="AJ964" i="7"/>
  <c r="AL964" i="7" s="1"/>
  <c r="AF964" i="7"/>
  <c r="CN963" i="7"/>
  <c r="CK963" i="7"/>
  <c r="AK963" i="7"/>
  <c r="AL963" i="7" s="1"/>
  <c r="AJ963" i="7"/>
  <c r="AF963" i="7"/>
  <c r="CV963" i="7"/>
  <c r="CW963" i="7" s="1"/>
  <c r="AJ962" i="7"/>
  <c r="AL962" i="7" s="1"/>
  <c r="AF962" i="7"/>
  <c r="CV961" i="7"/>
  <c r="CW961" i="7" s="1"/>
  <c r="AK961" i="7"/>
  <c r="AL961" i="7" s="1"/>
  <c r="AJ961" i="7"/>
  <c r="AF961" i="7"/>
  <c r="AK960" i="7"/>
  <c r="AL960" i="7" s="1"/>
  <c r="AJ960" i="7"/>
  <c r="AF960" i="7"/>
  <c r="CV1559" i="7"/>
  <c r="CW1559" i="7" s="1"/>
  <c r="CK1559" i="7"/>
  <c r="AK1559" i="7"/>
  <c r="AL1559" i="7" s="1"/>
  <c r="AJ1559" i="7"/>
  <c r="AF1559" i="7"/>
  <c r="CR1558" i="7"/>
  <c r="AK1558" i="7"/>
  <c r="AL1558" i="7" s="1"/>
  <c r="AJ1558" i="7"/>
  <c r="AF1558" i="7"/>
  <c r="CV959" i="7"/>
  <c r="CW959" i="7" s="1"/>
  <c r="AK959" i="7"/>
  <c r="AL959" i="7" s="1"/>
  <c r="AJ959" i="7"/>
  <c r="AF959" i="7"/>
  <c r="AJ958" i="7"/>
  <c r="AL958" i="7" s="1"/>
  <c r="AF958" i="7"/>
  <c r="CV957" i="7"/>
  <c r="CW957" i="7" s="1"/>
  <c r="CK957" i="7"/>
  <c r="AJ957" i="7"/>
  <c r="AL957" i="7" s="1"/>
  <c r="AF957" i="7"/>
  <c r="CR956" i="7"/>
  <c r="AK956" i="7"/>
  <c r="AL956" i="7" s="1"/>
  <c r="AJ956" i="7"/>
  <c r="AF956" i="7"/>
  <c r="CK955" i="7"/>
  <c r="AK955" i="7"/>
  <c r="AL955" i="7" s="1"/>
  <c r="AJ955" i="7"/>
  <c r="AF955" i="7"/>
  <c r="CV955" i="7"/>
  <c r="CW955" i="7" s="1"/>
  <c r="CR1557" i="7"/>
  <c r="AK1557" i="7"/>
  <c r="AL1557" i="7" s="1"/>
  <c r="AJ1557" i="7"/>
  <c r="AF1557" i="7"/>
  <c r="CV954" i="7"/>
  <c r="CW954" i="7" s="1"/>
  <c r="AK954" i="7"/>
  <c r="AL954" i="7" s="1"/>
  <c r="AJ954" i="7"/>
  <c r="AF954" i="7"/>
  <c r="CR953" i="7"/>
  <c r="AK953" i="7"/>
  <c r="AL953" i="7" s="1"/>
  <c r="AJ953" i="7"/>
  <c r="AF953" i="7"/>
  <c r="CV952" i="7"/>
  <c r="CW952" i="7" s="1"/>
  <c r="CK952" i="7"/>
  <c r="AJ952" i="7"/>
  <c r="AL952" i="7" s="1"/>
  <c r="AK951" i="7"/>
  <c r="AL951" i="7" s="1"/>
  <c r="AJ951" i="7"/>
  <c r="AF951" i="7"/>
  <c r="CK1556" i="7"/>
  <c r="AK1556" i="7"/>
  <c r="AL1556" i="7" s="1"/>
  <c r="AJ1556" i="7"/>
  <c r="AF1556" i="7"/>
  <c r="CV1556" i="7"/>
  <c r="CW1556" i="7" s="1"/>
  <c r="CR950" i="7"/>
  <c r="AK950" i="7"/>
  <c r="AL950" i="7" s="1"/>
  <c r="AJ950" i="7"/>
  <c r="AF950" i="7"/>
  <c r="CV1555" i="7"/>
  <c r="CW1555" i="7" s="1"/>
  <c r="CR1555" i="7"/>
  <c r="AK1555" i="7"/>
  <c r="AL1555" i="7" s="1"/>
  <c r="AJ1555" i="7"/>
  <c r="AF1555" i="7"/>
  <c r="AJ949" i="7"/>
  <c r="AL949" i="7" s="1"/>
  <c r="AF949" i="7"/>
  <c r="AJ948" i="7"/>
  <c r="AL948" i="7" s="1"/>
  <c r="AJ1554" i="7"/>
  <c r="AL1554" i="7" s="1"/>
  <c r="AJ947" i="7"/>
  <c r="AL947" i="7" s="1"/>
  <c r="AF947" i="7"/>
  <c r="CV947" i="7"/>
  <c r="CW947" i="7" s="1"/>
  <c r="AK946" i="7"/>
  <c r="AL946" i="7" s="1"/>
  <c r="AJ946" i="7"/>
  <c r="AF946" i="7"/>
  <c r="CV1553" i="7"/>
  <c r="CW1553" i="7" s="1"/>
  <c r="AK1553" i="7"/>
  <c r="AL1553" i="7" s="1"/>
  <c r="AJ1553" i="7"/>
  <c r="AF1553" i="7"/>
  <c r="AJ945" i="7"/>
  <c r="AL945" i="7" s="1"/>
  <c r="AF945" i="7"/>
  <c r="CV1552" i="7"/>
  <c r="CW1552" i="7" s="1"/>
  <c r="CK1552" i="7"/>
  <c r="AJ1552" i="7"/>
  <c r="AL1552" i="7" s="1"/>
  <c r="AF1552" i="7"/>
  <c r="CR944" i="7"/>
  <c r="AK944" i="7"/>
  <c r="AL944" i="7" s="1"/>
  <c r="AJ944" i="7"/>
  <c r="AF944" i="7"/>
  <c r="CV1551" i="7"/>
  <c r="CW1551" i="7" s="1"/>
  <c r="CK1551" i="7"/>
  <c r="AK1551" i="7"/>
  <c r="AL1551" i="7" s="1"/>
  <c r="AJ1551" i="7"/>
  <c r="AF1551" i="7"/>
  <c r="AJ943" i="7"/>
  <c r="AL943" i="7" s="1"/>
  <c r="AF943" i="7"/>
  <c r="CN942" i="7"/>
  <c r="AK942" i="7"/>
  <c r="AL942" i="7" s="1"/>
  <c r="AJ942" i="7"/>
  <c r="AF942" i="7"/>
  <c r="CV942" i="7"/>
  <c r="CW942" i="7" s="1"/>
  <c r="AJ941" i="7"/>
  <c r="AL941" i="7" s="1"/>
  <c r="AJ1550" i="7"/>
  <c r="AL1550" i="7" s="1"/>
  <c r="CV1550" i="7"/>
  <c r="CW1550" i="7" s="1"/>
  <c r="CR940" i="7"/>
  <c r="AK940" i="7"/>
  <c r="AL940" i="7" s="1"/>
  <c r="AJ940" i="7"/>
  <c r="AF940" i="7"/>
  <c r="AK1549" i="7"/>
  <c r="AL1549" i="7" s="1"/>
  <c r="AJ1549" i="7"/>
  <c r="AF1549" i="7"/>
  <c r="CV1549" i="7"/>
  <c r="CW1549" i="7" s="1"/>
  <c r="AK939" i="7"/>
  <c r="AL939" i="7" s="1"/>
  <c r="AJ939" i="7"/>
  <c r="AF939" i="7"/>
  <c r="CV1548" i="7"/>
  <c r="CW1548" i="7" s="1"/>
  <c r="CK1548" i="7"/>
  <c r="AK1548" i="7"/>
  <c r="AL1548" i="7" s="1"/>
  <c r="AJ1548" i="7"/>
  <c r="AF1548" i="7"/>
  <c r="CR938" i="7"/>
  <c r="AJ938" i="7"/>
  <c r="AL938" i="7" s="1"/>
  <c r="AF938" i="7"/>
  <c r="CV937" i="7"/>
  <c r="CW937" i="7" s="1"/>
  <c r="CK937" i="7"/>
  <c r="AJ937" i="7"/>
  <c r="AL937" i="7" s="1"/>
  <c r="AF937" i="7"/>
  <c r="CR936" i="7"/>
  <c r="AK936" i="7"/>
  <c r="AL936" i="7" s="1"/>
  <c r="AJ936" i="7"/>
  <c r="AF936" i="7"/>
  <c r="CN1547" i="7"/>
  <c r="AK1547" i="7"/>
  <c r="AL1547" i="7" s="1"/>
  <c r="AJ1547" i="7"/>
  <c r="AF1547" i="7"/>
  <c r="CV1547" i="7"/>
  <c r="CW1547" i="7" s="1"/>
  <c r="AJ1856" i="7"/>
  <c r="AL1856" i="7" s="1"/>
  <c r="AF1856" i="7"/>
  <c r="CV935" i="7"/>
  <c r="CW935" i="7" s="1"/>
  <c r="CN935" i="7"/>
  <c r="CK935" i="7"/>
  <c r="AK935" i="7"/>
  <c r="AL935" i="7" s="1"/>
  <c r="AJ935" i="7"/>
  <c r="AF935" i="7"/>
  <c r="CR1546" i="7"/>
  <c r="AK1546" i="7"/>
  <c r="AL1546" i="7" s="1"/>
  <c r="AJ1546" i="7"/>
  <c r="AF1546" i="7"/>
  <c r="CK934" i="7"/>
  <c r="AK934" i="7"/>
  <c r="AL934" i="7" s="1"/>
  <c r="AJ934" i="7"/>
  <c r="AF934" i="7"/>
  <c r="CV934" i="7"/>
  <c r="CW934" i="7" s="1"/>
  <c r="AK1545" i="7"/>
  <c r="AL1545" i="7" s="1"/>
  <c r="AJ1545" i="7"/>
  <c r="AF1545" i="7"/>
  <c r="CK933" i="7"/>
  <c r="AJ933" i="7"/>
  <c r="AL933" i="7" s="1"/>
  <c r="CV933" i="7"/>
  <c r="CW933" i="7" s="1"/>
  <c r="AJ932" i="7"/>
  <c r="AL932" i="7" s="1"/>
  <c r="AF932" i="7"/>
  <c r="CV931" i="7"/>
  <c r="CW931" i="7" s="1"/>
  <c r="AK931" i="7"/>
  <c r="AL931" i="7" s="1"/>
  <c r="AJ931" i="7"/>
  <c r="AF931" i="7"/>
  <c r="CR930" i="7"/>
  <c r="AK930" i="7"/>
  <c r="AL930" i="7" s="1"/>
  <c r="AJ930" i="7"/>
  <c r="AF930" i="7"/>
  <c r="CK1544" i="7"/>
  <c r="AK1544" i="7"/>
  <c r="AL1544" i="7" s="1"/>
  <c r="AJ1544" i="7"/>
  <c r="AF1544" i="7"/>
  <c r="CV1544" i="7"/>
  <c r="CW1544" i="7" s="1"/>
  <c r="AJ929" i="7"/>
  <c r="AL929" i="7" s="1"/>
  <c r="AF929" i="7"/>
  <c r="CK1543" i="7"/>
  <c r="AJ1543" i="7"/>
  <c r="AL1543" i="7" s="1"/>
  <c r="AF1543" i="7"/>
  <c r="CV1543" i="7"/>
  <c r="CW1543" i="7" s="1"/>
  <c r="AJ928" i="7"/>
  <c r="AL928" i="7" s="1"/>
  <c r="CV928" i="7"/>
  <c r="CW928" i="7" s="1"/>
  <c r="CV927" i="7"/>
  <c r="CW927" i="7" s="1"/>
  <c r="CK927" i="7"/>
  <c r="AK927" i="7"/>
  <c r="AL927" i="7" s="1"/>
  <c r="AJ927" i="7"/>
  <c r="AF927" i="7"/>
  <c r="AK1542" i="7"/>
  <c r="AL1542" i="7" s="1"/>
  <c r="AJ1542" i="7"/>
  <c r="AF1542" i="7"/>
  <c r="AJ926" i="7"/>
  <c r="AL926" i="7" s="1"/>
  <c r="AF926" i="7"/>
  <c r="CV926" i="7"/>
  <c r="CW926" i="7" s="1"/>
  <c r="AJ925" i="7"/>
  <c r="AL925" i="7" s="1"/>
  <c r="AF925" i="7"/>
  <c r="AJ924" i="7"/>
  <c r="AL924" i="7" s="1"/>
  <c r="AF924" i="7"/>
  <c r="CV924" i="7"/>
  <c r="CW924" i="7" s="1"/>
  <c r="AK923" i="7"/>
  <c r="AL923" i="7" s="1"/>
  <c r="AJ923" i="7"/>
  <c r="AF923" i="7"/>
  <c r="CV1541" i="7"/>
  <c r="CW1541" i="7" s="1"/>
  <c r="CK1541" i="7"/>
  <c r="AK1541" i="7"/>
  <c r="AL1541" i="7" s="1"/>
  <c r="AJ1541" i="7"/>
  <c r="AF1541" i="7"/>
  <c r="CR922" i="7"/>
  <c r="AJ922" i="7"/>
  <c r="AL922" i="7" s="1"/>
  <c r="AF922" i="7"/>
  <c r="CV1540" i="7"/>
  <c r="CW1540" i="7" s="1"/>
  <c r="CN1540" i="7"/>
  <c r="CK1540" i="7"/>
  <c r="AJ1540" i="7"/>
  <c r="AL1540" i="7" s="1"/>
  <c r="AF1540" i="7"/>
  <c r="AK921" i="7"/>
  <c r="AL921" i="7" s="1"/>
  <c r="AJ921" i="7"/>
  <c r="AF921" i="7"/>
  <c r="AJ920" i="7"/>
  <c r="AL920" i="7" s="1"/>
  <c r="AF920" i="7"/>
  <c r="CV920" i="7"/>
  <c r="CW920" i="7" s="1"/>
  <c r="CR1539" i="7"/>
  <c r="AJ1539" i="7"/>
  <c r="AL1539" i="7" s="1"/>
  <c r="AF1539" i="7"/>
  <c r="CK919" i="7"/>
  <c r="AK919" i="7"/>
  <c r="AL919" i="7" s="1"/>
  <c r="AJ919" i="7"/>
  <c r="AF919" i="7"/>
  <c r="CV919" i="7"/>
  <c r="CW919" i="7" s="1"/>
  <c r="AJ918" i="7"/>
  <c r="AL918" i="7" s="1"/>
  <c r="AF918" i="7"/>
  <c r="CW917" i="7"/>
  <c r="AF1538" i="7"/>
  <c r="AJ1537" i="7"/>
  <c r="AL1537" i="7" s="1"/>
  <c r="AF1537" i="7"/>
  <c r="CV1537" i="7"/>
  <c r="CW1537" i="7" s="1"/>
  <c r="AK916" i="7"/>
  <c r="AL916" i="7" s="1"/>
  <c r="AJ916" i="7"/>
  <c r="AF916" i="7"/>
  <c r="CV915" i="7"/>
  <c r="CW915" i="7" s="1"/>
  <c r="CK915" i="7"/>
  <c r="AK915" i="7"/>
  <c r="AL915" i="7" s="1"/>
  <c r="AJ915" i="7"/>
  <c r="AF915" i="7"/>
  <c r="CR1536" i="7"/>
  <c r="AK1536" i="7"/>
  <c r="AL1536" i="7" s="1"/>
  <c r="AJ1536" i="7"/>
  <c r="AF1536" i="7"/>
  <c r="CV914" i="7"/>
  <c r="CW914" i="7" s="1"/>
  <c r="CR913" i="7"/>
  <c r="AJ913" i="7"/>
  <c r="AL913" i="7" s="1"/>
  <c r="AF913" i="7"/>
  <c r="CV912" i="7"/>
  <c r="CW912" i="7" s="1"/>
  <c r="AK912" i="7"/>
  <c r="AL912" i="7" s="1"/>
  <c r="AJ912" i="7"/>
  <c r="AF912" i="7"/>
  <c r="AJ911" i="7"/>
  <c r="AL911" i="7" s="1"/>
  <c r="AF911" i="7"/>
  <c r="CV910" i="7"/>
  <c r="CW910" i="7" s="1"/>
  <c r="CK910" i="7"/>
  <c r="AK910" i="7"/>
  <c r="AL910" i="7" s="1"/>
  <c r="AJ910" i="7"/>
  <c r="AF910" i="7"/>
  <c r="AK1535" i="7"/>
  <c r="AL1535" i="7" s="1"/>
  <c r="AJ1535" i="7"/>
  <c r="AF1535" i="7"/>
  <c r="AK909" i="7"/>
  <c r="AL909" i="7" s="1"/>
  <c r="AJ909" i="7"/>
  <c r="AF909" i="7"/>
  <c r="CV909" i="7"/>
  <c r="CW909" i="7" s="1"/>
  <c r="AK1534" i="7"/>
  <c r="AL1534" i="7" s="1"/>
  <c r="AJ1534" i="7"/>
  <c r="AF1534" i="7"/>
  <c r="CV908" i="7"/>
  <c r="CW908" i="7" s="1"/>
  <c r="CK908" i="7"/>
  <c r="AJ908" i="7"/>
  <c r="AL908" i="7" s="1"/>
  <c r="AF908" i="7"/>
  <c r="AJ907" i="7"/>
  <c r="AL907" i="7" s="1"/>
  <c r="AF907" i="7"/>
  <c r="CK906" i="7"/>
  <c r="AF906" i="7"/>
  <c r="CV906" i="7"/>
  <c r="CW906" i="7" s="1"/>
  <c r="AJ905" i="7"/>
  <c r="AL905" i="7" s="1"/>
  <c r="AF905" i="7"/>
  <c r="AJ904" i="7"/>
  <c r="AL904" i="7" s="1"/>
  <c r="AF904" i="7"/>
  <c r="CV904" i="7"/>
  <c r="CW904" i="7" s="1"/>
  <c r="AJ903" i="7"/>
  <c r="AL903" i="7" s="1"/>
  <c r="AF903" i="7"/>
  <c r="CK902" i="7"/>
  <c r="AJ902" i="7"/>
  <c r="AL902" i="7" s="1"/>
  <c r="AF902" i="7"/>
  <c r="CV902" i="7"/>
  <c r="CW902" i="7" s="1"/>
  <c r="AK901" i="7"/>
  <c r="AL901" i="7" s="1"/>
  <c r="AJ901" i="7"/>
  <c r="AF901" i="7"/>
  <c r="CV900" i="7"/>
  <c r="CW900" i="7" s="1"/>
  <c r="AK900" i="7"/>
  <c r="AL900" i="7" s="1"/>
  <c r="AJ900" i="7"/>
  <c r="AF900" i="7"/>
  <c r="CR1533" i="7"/>
  <c r="AK1533" i="7"/>
  <c r="AL1533" i="7" s="1"/>
  <c r="AJ1533" i="7"/>
  <c r="AF1533" i="7"/>
  <c r="CV899" i="7"/>
  <c r="CW899" i="7" s="1"/>
  <c r="CK899" i="7"/>
  <c r="AJ899" i="7"/>
  <c r="AL899" i="7" s="1"/>
  <c r="AF899" i="7"/>
  <c r="AJ898" i="7"/>
  <c r="AL898" i="7" s="1"/>
  <c r="AF898" i="7"/>
  <c r="CV897" i="7"/>
  <c r="CW897" i="7" s="1"/>
  <c r="CK897" i="7"/>
  <c r="AJ897" i="7"/>
  <c r="AL897" i="7" s="1"/>
  <c r="AF897" i="7"/>
  <c r="AJ896" i="7"/>
  <c r="AL896" i="7" s="1"/>
  <c r="AF896" i="7"/>
  <c r="CV895" i="7"/>
  <c r="CW895" i="7" s="1"/>
  <c r="CK895" i="7"/>
  <c r="AJ895" i="7"/>
  <c r="AL895" i="7" s="1"/>
  <c r="AF895" i="7"/>
  <c r="AJ894" i="7"/>
  <c r="AL894" i="7" s="1"/>
  <c r="AF894" i="7"/>
  <c r="CV1532" i="7"/>
  <c r="CW1532" i="7" s="1"/>
  <c r="CK1532" i="7"/>
  <c r="AJ1532" i="7"/>
  <c r="AL1532" i="7" s="1"/>
  <c r="AF1532" i="7"/>
  <c r="AJ893" i="7"/>
  <c r="AL893" i="7" s="1"/>
  <c r="AF893" i="7"/>
  <c r="CV892" i="7"/>
  <c r="CW892" i="7" s="1"/>
  <c r="CK892" i="7"/>
  <c r="AJ892" i="7"/>
  <c r="AL892" i="7" s="1"/>
  <c r="AF892" i="7"/>
  <c r="CR891" i="7"/>
  <c r="AJ891" i="7"/>
  <c r="AL891" i="7" s="1"/>
  <c r="AF891" i="7"/>
  <c r="CV890" i="7"/>
  <c r="CW890" i="7" s="1"/>
  <c r="CK890" i="7"/>
  <c r="AJ890" i="7"/>
  <c r="AL890" i="7" s="1"/>
  <c r="AF890" i="7"/>
  <c r="AJ889" i="7"/>
  <c r="AL889" i="7" s="1"/>
  <c r="AF889" i="7"/>
  <c r="CV888" i="7"/>
  <c r="CW888" i="7" s="1"/>
  <c r="CK888" i="7"/>
  <c r="AJ888" i="7"/>
  <c r="AL888" i="7" s="1"/>
  <c r="AJ887" i="7"/>
  <c r="AL887" i="7" s="1"/>
  <c r="AJ886" i="7"/>
  <c r="AL886" i="7" s="1"/>
  <c r="AF886" i="7"/>
  <c r="CV886" i="7"/>
  <c r="CW886" i="7" s="1"/>
  <c r="AJ885" i="7"/>
  <c r="AL885" i="7" s="1"/>
  <c r="AF885" i="7"/>
  <c r="CV885" i="7"/>
  <c r="CW885" i="7" s="1"/>
  <c r="AJ884" i="7"/>
  <c r="AL884" i="7" s="1"/>
  <c r="AF884" i="7"/>
  <c r="CV884" i="7"/>
  <c r="CW884" i="7" s="1"/>
  <c r="AJ1531" i="7"/>
  <c r="AL1531" i="7" s="1"/>
  <c r="AF1531" i="7"/>
  <c r="AJ883" i="7"/>
  <c r="AL883" i="7" s="1"/>
  <c r="AF883" i="7"/>
  <c r="CV883" i="7"/>
  <c r="CW883" i="7" s="1"/>
  <c r="AJ882" i="7"/>
  <c r="AL882" i="7" s="1"/>
  <c r="AF882" i="7"/>
  <c r="AJ881" i="7"/>
  <c r="AL881" i="7" s="1"/>
  <c r="AF881" i="7"/>
  <c r="CV881" i="7"/>
  <c r="CW881" i="7" s="1"/>
  <c r="AJ880" i="7"/>
  <c r="AL880" i="7" s="1"/>
  <c r="AF880" i="7"/>
  <c r="AJ879" i="7"/>
  <c r="AL879" i="7" s="1"/>
  <c r="AF879" i="7"/>
  <c r="CV879" i="7"/>
  <c r="CW879" i="7" s="1"/>
  <c r="AJ878" i="7"/>
  <c r="AL878" i="7" s="1"/>
  <c r="AF878" i="7"/>
  <c r="CV877" i="7"/>
  <c r="CW877" i="7" s="1"/>
  <c r="AK877" i="7"/>
  <c r="AL877" i="7" s="1"/>
  <c r="AJ877" i="7"/>
  <c r="AF877" i="7"/>
  <c r="CR1233" i="7"/>
  <c r="AK1233" i="7"/>
  <c r="AL1233" i="7" s="1"/>
  <c r="AJ1233" i="7"/>
  <c r="AF1233" i="7"/>
  <c r="CV876" i="7"/>
  <c r="CW876" i="7" s="1"/>
  <c r="CK876" i="7"/>
  <c r="AJ876" i="7"/>
  <c r="AL876" i="7" s="1"/>
  <c r="AF876" i="7"/>
  <c r="AJ875" i="7"/>
  <c r="AL875" i="7" s="1"/>
  <c r="AF875" i="7"/>
  <c r="CV874" i="7"/>
  <c r="CW874" i="7" s="1"/>
  <c r="CK874" i="7"/>
  <c r="AJ874" i="7"/>
  <c r="AL874" i="7" s="1"/>
  <c r="AF874" i="7"/>
  <c r="AK873" i="7"/>
  <c r="AL873" i="7" s="1"/>
  <c r="AJ873" i="7"/>
  <c r="AF873" i="7"/>
  <c r="AK1530" i="7"/>
  <c r="AL1530" i="7" s="1"/>
  <c r="AJ1530" i="7"/>
  <c r="AF1530" i="7"/>
  <c r="CV1530" i="7"/>
  <c r="CW1530" i="7" s="1"/>
  <c r="AJ872" i="7"/>
  <c r="AL872" i="7" s="1"/>
  <c r="AF872" i="7"/>
  <c r="AJ871" i="7"/>
  <c r="AL871" i="7" s="1"/>
  <c r="AF871" i="7"/>
  <c r="CV871" i="7"/>
  <c r="CW871" i="7" s="1"/>
  <c r="CR870" i="7"/>
  <c r="AK870" i="7"/>
  <c r="AL870" i="7" s="1"/>
  <c r="AJ870" i="7"/>
  <c r="AF870" i="7"/>
  <c r="CV1529" i="7"/>
  <c r="CW1529" i="7" s="1"/>
  <c r="CK1529" i="7"/>
  <c r="AK1529" i="7"/>
  <c r="AL1529" i="7" s="1"/>
  <c r="AJ1529" i="7"/>
  <c r="AF1529" i="7"/>
  <c r="AJ869" i="7"/>
  <c r="AL869" i="7" s="1"/>
  <c r="AF869" i="7"/>
  <c r="CV868" i="7"/>
  <c r="CW868" i="7" s="1"/>
  <c r="CK868" i="7"/>
  <c r="AJ868" i="7"/>
  <c r="AL868" i="7" s="1"/>
  <c r="AF868" i="7"/>
  <c r="CV867" i="7"/>
  <c r="CW867" i="7" s="1"/>
  <c r="AJ867" i="7"/>
  <c r="AL867" i="7" s="1"/>
  <c r="AF867" i="7"/>
  <c r="CV866" i="7"/>
  <c r="CW866" i="7" s="1"/>
  <c r="CK866" i="7"/>
  <c r="AJ866" i="7"/>
  <c r="AL866" i="7" s="1"/>
  <c r="AF866" i="7"/>
  <c r="AK865" i="7"/>
  <c r="AL865" i="7" s="1"/>
  <c r="AJ865" i="7"/>
  <c r="AF865" i="7"/>
  <c r="AJ864" i="7"/>
  <c r="AL864" i="7" s="1"/>
  <c r="AF864" i="7"/>
  <c r="CV864" i="7"/>
  <c r="CW864" i="7" s="1"/>
  <c r="CR863" i="7"/>
  <c r="AK863" i="7"/>
  <c r="AL863" i="7" s="1"/>
  <c r="AJ863" i="7"/>
  <c r="AF863" i="7"/>
  <c r="CV863" i="7"/>
  <c r="CW863" i="7" s="1"/>
  <c r="AJ862" i="7"/>
  <c r="AL862" i="7" s="1"/>
  <c r="AF862" i="7"/>
  <c r="CV862" i="7"/>
  <c r="CW862" i="7" s="1"/>
  <c r="AJ861" i="7"/>
  <c r="AL861" i="7" s="1"/>
  <c r="AF861" i="7"/>
  <c r="CV861" i="7"/>
  <c r="CW861" i="7" s="1"/>
  <c r="CV860" i="7"/>
  <c r="CW860" i="7" s="1"/>
  <c r="AK860" i="7"/>
  <c r="AL860" i="7" s="1"/>
  <c r="AJ860" i="7"/>
  <c r="AF860" i="7"/>
  <c r="CV1528" i="7"/>
  <c r="CW1528" i="7" s="1"/>
  <c r="AK1528" i="7"/>
  <c r="AL1528" i="7" s="1"/>
  <c r="AJ1528" i="7"/>
  <c r="AF1528" i="7"/>
  <c r="CK859" i="7"/>
  <c r="AK859" i="7"/>
  <c r="AL859" i="7" s="1"/>
  <c r="AJ859" i="7"/>
  <c r="AF859" i="7"/>
  <c r="CV859" i="7"/>
  <c r="CW859" i="7" s="1"/>
  <c r="CR1527" i="7"/>
  <c r="AK1527" i="7"/>
  <c r="AL1527" i="7" s="1"/>
  <c r="AJ1527" i="7"/>
  <c r="AF1527" i="7"/>
  <c r="CV858" i="7"/>
  <c r="CW858" i="7" s="1"/>
  <c r="AK858" i="7"/>
  <c r="AL858" i="7" s="1"/>
  <c r="AJ858" i="7"/>
  <c r="AF858" i="7"/>
  <c r="AJ857" i="7"/>
  <c r="AL857" i="7" s="1"/>
  <c r="CV856" i="7"/>
  <c r="CW856" i="7" s="1"/>
  <c r="AK856" i="7"/>
  <c r="AL856" i="7" s="1"/>
  <c r="AJ856" i="7"/>
  <c r="AF856" i="7"/>
  <c r="AK1526" i="7"/>
  <c r="AL1526" i="7" s="1"/>
  <c r="AJ1526" i="7"/>
  <c r="AF1526" i="7"/>
  <c r="CV855" i="7"/>
  <c r="CW855" i="7" s="1"/>
  <c r="CK855" i="7"/>
  <c r="AJ855" i="7"/>
  <c r="AL855" i="7" s="1"/>
  <c r="AF855" i="7"/>
  <c r="CR854" i="7"/>
  <c r="AK854" i="7"/>
  <c r="AL854" i="7" s="1"/>
  <c r="AJ854" i="7"/>
  <c r="AF854" i="7"/>
  <c r="AK1525" i="7"/>
  <c r="AL1525" i="7" s="1"/>
  <c r="AJ1525" i="7"/>
  <c r="AF1525" i="7"/>
  <c r="CV1525" i="7"/>
  <c r="CW1525" i="7" s="1"/>
  <c r="AK853" i="7"/>
  <c r="AL853" i="7" s="1"/>
  <c r="AJ853" i="7"/>
  <c r="AF853" i="7"/>
  <c r="CV852" i="7"/>
  <c r="CW852" i="7" s="1"/>
  <c r="CK852" i="7"/>
  <c r="AK852" i="7"/>
  <c r="AL852" i="7" s="1"/>
  <c r="AJ852" i="7"/>
  <c r="AF852" i="7"/>
  <c r="CR1524" i="7"/>
  <c r="AK1524" i="7"/>
  <c r="AL1524" i="7" s="1"/>
  <c r="AJ1524" i="7"/>
  <c r="AF1524" i="7"/>
  <c r="CK851" i="7"/>
  <c r="AK851" i="7"/>
  <c r="AL851" i="7" s="1"/>
  <c r="AJ851" i="7"/>
  <c r="AF851" i="7"/>
  <c r="CV851" i="7"/>
  <c r="CW851" i="7" s="1"/>
  <c r="AK1523" i="7"/>
  <c r="AL1523" i="7" s="1"/>
  <c r="AJ1523" i="7"/>
  <c r="AF1523" i="7"/>
  <c r="CV850" i="7"/>
  <c r="CW850" i="7" s="1"/>
  <c r="CN850" i="7"/>
  <c r="CK850" i="7"/>
  <c r="AK850" i="7"/>
  <c r="AL850" i="7" s="1"/>
  <c r="AJ850" i="7"/>
  <c r="AF850" i="7"/>
  <c r="CK1522" i="7"/>
  <c r="CR1522" i="7"/>
  <c r="AK1522" i="7"/>
  <c r="AL1522" i="7" s="1"/>
  <c r="AJ1522" i="7"/>
  <c r="AF1522" i="7"/>
  <c r="CR849" i="7"/>
  <c r="AK849" i="7"/>
  <c r="AL849" i="7" s="1"/>
  <c r="AJ849" i="7"/>
  <c r="AF849" i="7"/>
  <c r="CV849" i="7"/>
  <c r="CW849" i="7" s="1"/>
  <c r="AK1521" i="7"/>
  <c r="AL1521" i="7" s="1"/>
  <c r="AJ1521" i="7"/>
  <c r="AF1521" i="7"/>
  <c r="CV848" i="7"/>
  <c r="CW848" i="7" s="1"/>
  <c r="CK848" i="7"/>
  <c r="AK848" i="7"/>
  <c r="AL848" i="7" s="1"/>
  <c r="AJ848" i="7"/>
  <c r="AF848" i="7"/>
  <c r="CR847" i="7"/>
  <c r="AJ847" i="7"/>
  <c r="AL847" i="7" s="1"/>
  <c r="AF847" i="7"/>
  <c r="CK846" i="7"/>
  <c r="AK846" i="7"/>
  <c r="AL846" i="7" s="1"/>
  <c r="AJ846" i="7"/>
  <c r="AF846" i="7"/>
  <c r="CV846" i="7"/>
  <c r="CW846" i="7" s="1"/>
  <c r="AK1520" i="7"/>
  <c r="AL1520" i="7" s="1"/>
  <c r="AJ1520" i="7"/>
  <c r="AF1520" i="7"/>
  <c r="CV845" i="7"/>
  <c r="CW845" i="7" s="1"/>
  <c r="AK845" i="7"/>
  <c r="AL845" i="7" s="1"/>
  <c r="AJ845" i="7"/>
  <c r="AF845" i="7"/>
  <c r="AK1519" i="7"/>
  <c r="AL1519" i="7" s="1"/>
  <c r="AJ1519" i="7"/>
  <c r="AF1519" i="7"/>
  <c r="CV844" i="7"/>
  <c r="CW844" i="7" s="1"/>
  <c r="CK844" i="7"/>
  <c r="AJ844" i="7"/>
  <c r="AL844" i="7" s="1"/>
  <c r="AF844" i="7"/>
  <c r="AK843" i="7"/>
  <c r="AL843" i="7" s="1"/>
  <c r="AJ843" i="7"/>
  <c r="AF843" i="7"/>
  <c r="CK1518" i="7"/>
  <c r="AK1518" i="7"/>
  <c r="AL1518" i="7" s="1"/>
  <c r="AJ1518" i="7"/>
  <c r="AF1518" i="7"/>
  <c r="CV1518" i="7"/>
  <c r="CW1518" i="7" s="1"/>
  <c r="AK842" i="7"/>
  <c r="AL842" i="7" s="1"/>
  <c r="AJ842" i="7"/>
  <c r="AF842" i="7"/>
  <c r="CV1517" i="7"/>
  <c r="CW1517" i="7" s="1"/>
  <c r="CK1517" i="7"/>
  <c r="AK1517" i="7"/>
  <c r="AL1517" i="7" s="1"/>
  <c r="AJ1517" i="7"/>
  <c r="AF1517" i="7"/>
  <c r="CR841" i="7"/>
  <c r="AK841" i="7"/>
  <c r="AL841" i="7" s="1"/>
  <c r="AJ841" i="7"/>
  <c r="AF841" i="7"/>
  <c r="AK1516" i="7"/>
  <c r="AL1516" i="7" s="1"/>
  <c r="AJ1516" i="7"/>
  <c r="AF1516" i="7"/>
  <c r="CV1516" i="7"/>
  <c r="CW1516" i="7" s="1"/>
  <c r="AK840" i="7"/>
  <c r="AL840" i="7" s="1"/>
  <c r="AJ840" i="7"/>
  <c r="AF840" i="7"/>
  <c r="CV1515" i="7"/>
  <c r="CW1515" i="7" s="1"/>
  <c r="CK1515" i="7"/>
  <c r="CR1515" i="7"/>
  <c r="AK1515" i="7"/>
  <c r="AL1515" i="7" s="1"/>
  <c r="AJ1515" i="7"/>
  <c r="AF1515" i="7"/>
  <c r="CR839" i="7"/>
  <c r="AK839" i="7"/>
  <c r="AL839" i="7" s="1"/>
  <c r="AJ839" i="7"/>
  <c r="AF839" i="7"/>
  <c r="CK838" i="7"/>
  <c r="AK838" i="7"/>
  <c r="AL838" i="7" s="1"/>
  <c r="AJ838" i="7"/>
  <c r="AF838" i="7"/>
  <c r="CV838" i="7"/>
  <c r="CW838" i="7" s="1"/>
  <c r="AJ1855" i="7"/>
  <c r="AL1855" i="7" s="1"/>
  <c r="AF1855" i="7"/>
  <c r="CV837" i="7"/>
  <c r="CW837" i="7" s="1"/>
  <c r="CK837" i="7"/>
  <c r="AF837" i="7"/>
  <c r="AJ836" i="7"/>
  <c r="AL836" i="7" s="1"/>
  <c r="AF836" i="7"/>
  <c r="CK835" i="7"/>
  <c r="AK835" i="7"/>
  <c r="AL835" i="7" s="1"/>
  <c r="AJ835" i="7"/>
  <c r="AF835" i="7"/>
  <c r="CV835" i="7"/>
  <c r="CW835" i="7" s="1"/>
  <c r="CR1514" i="7"/>
  <c r="AK1514" i="7"/>
  <c r="AL1514" i="7" s="1"/>
  <c r="AJ1514" i="7"/>
  <c r="AF1514" i="7"/>
  <c r="CV834" i="7"/>
  <c r="CW834" i="7" s="1"/>
  <c r="CK834" i="7"/>
  <c r="AJ834" i="7"/>
  <c r="AL834" i="7" s="1"/>
  <c r="AF834" i="7"/>
  <c r="AJ833" i="7"/>
  <c r="AL833" i="7" s="1"/>
  <c r="AF833" i="7"/>
  <c r="CV832" i="7"/>
  <c r="CW832" i="7" s="1"/>
  <c r="CK832" i="7"/>
  <c r="AK832" i="7"/>
  <c r="AL832" i="7" s="1"/>
  <c r="AJ832" i="7"/>
  <c r="AF832" i="7"/>
  <c r="AK1513" i="7"/>
  <c r="AL1513" i="7" s="1"/>
  <c r="AJ1513" i="7"/>
  <c r="AF1513" i="7"/>
  <c r="AJ831" i="7"/>
  <c r="AL831" i="7" s="1"/>
  <c r="AF831" i="7"/>
  <c r="CV831" i="7"/>
  <c r="CW831" i="7" s="1"/>
  <c r="AK830" i="7"/>
  <c r="AL830" i="7" s="1"/>
  <c r="AJ830" i="7"/>
  <c r="AF830" i="7"/>
  <c r="CV829" i="7"/>
  <c r="CW829" i="7" s="1"/>
  <c r="AK829" i="7"/>
  <c r="AL829" i="7" s="1"/>
  <c r="AJ829" i="7"/>
  <c r="AF829" i="7"/>
  <c r="AJ828" i="7"/>
  <c r="AL828" i="7" s="1"/>
  <c r="AJ827" i="7"/>
  <c r="AL827" i="7" s="1"/>
  <c r="CV827" i="7"/>
  <c r="CW827" i="7" s="1"/>
  <c r="AK826" i="7"/>
  <c r="AL826" i="7" s="1"/>
  <c r="AJ826" i="7"/>
  <c r="AF826" i="7"/>
  <c r="AJ825" i="7"/>
  <c r="AL825" i="7" s="1"/>
  <c r="AF825" i="7"/>
  <c r="CV825" i="7"/>
  <c r="CW825" i="7" s="1"/>
  <c r="AJ1512" i="7"/>
  <c r="AL1512" i="7" s="1"/>
  <c r="AF1512" i="7"/>
  <c r="AJ824" i="7"/>
  <c r="AL824" i="7" s="1"/>
  <c r="AF824" i="7"/>
  <c r="CV824" i="7"/>
  <c r="CW824" i="7" s="1"/>
  <c r="CR823" i="7"/>
  <c r="AK823" i="7"/>
  <c r="AL823" i="7" s="1"/>
  <c r="AJ823" i="7"/>
  <c r="AF823" i="7"/>
  <c r="CV1511" i="7"/>
  <c r="CW1511" i="7" s="1"/>
  <c r="CK1511" i="7"/>
  <c r="AK1511" i="7"/>
  <c r="AL1511" i="7" s="1"/>
  <c r="AJ1511" i="7"/>
  <c r="AF1511" i="7"/>
  <c r="AJ822" i="7"/>
  <c r="AL822" i="7" s="1"/>
  <c r="AF822" i="7"/>
  <c r="CK821" i="7"/>
  <c r="AK821" i="7"/>
  <c r="AL821" i="7" s="1"/>
  <c r="AJ821" i="7"/>
  <c r="AF821" i="7"/>
  <c r="CV821" i="7"/>
  <c r="CW821" i="7" s="1"/>
  <c r="AK820" i="7"/>
  <c r="AL820" i="7" s="1"/>
  <c r="AJ820" i="7"/>
  <c r="AF820" i="7"/>
  <c r="AJ819" i="7"/>
  <c r="AL819" i="7" s="1"/>
  <c r="AF819" i="7"/>
  <c r="CV819" i="7"/>
  <c r="CW819" i="7" s="1"/>
  <c r="AK818" i="7"/>
  <c r="AL818" i="7" s="1"/>
  <c r="AJ818" i="7"/>
  <c r="AF818" i="7"/>
  <c r="CV1510" i="7"/>
  <c r="CW1510" i="7" s="1"/>
  <c r="CK1510" i="7"/>
  <c r="CR1510" i="7"/>
  <c r="AK1510" i="7"/>
  <c r="AL1510" i="7" s="1"/>
  <c r="AJ1510" i="7"/>
  <c r="AF1510" i="7"/>
  <c r="AJ817" i="7"/>
  <c r="AL817" i="7" s="1"/>
  <c r="AF817" i="7"/>
  <c r="CK816" i="7"/>
  <c r="AK816" i="7"/>
  <c r="AL816" i="7" s="1"/>
  <c r="AJ816" i="7"/>
  <c r="AF816" i="7"/>
  <c r="CV816" i="7"/>
  <c r="CW816" i="7" s="1"/>
  <c r="AJ815" i="7"/>
  <c r="AL815" i="7" s="1"/>
  <c r="AF815" i="7"/>
  <c r="CK814" i="7"/>
  <c r="AJ814" i="7"/>
  <c r="AL814" i="7" s="1"/>
  <c r="AF814" i="7"/>
  <c r="CV814" i="7"/>
  <c r="CW814" i="7" s="1"/>
  <c r="CR813" i="7"/>
  <c r="AK813" i="7"/>
  <c r="AL813" i="7" s="1"/>
  <c r="AJ813" i="7"/>
  <c r="AF813" i="7"/>
  <c r="CV1509" i="7"/>
  <c r="CW1509" i="7" s="1"/>
  <c r="AK1509" i="7"/>
  <c r="AL1509" i="7" s="1"/>
  <c r="AJ1509" i="7"/>
  <c r="AF1509" i="7"/>
  <c r="AK812" i="7"/>
  <c r="AL812" i="7" s="1"/>
  <c r="AJ812" i="7"/>
  <c r="AF812" i="7"/>
  <c r="CK1854" i="7"/>
  <c r="AJ1854" i="7"/>
  <c r="AL1854" i="7" s="1"/>
  <c r="AF1854" i="7"/>
  <c r="CV1854" i="7"/>
  <c r="CW1854" i="7" s="1"/>
  <c r="CR811" i="7"/>
  <c r="AK811" i="7"/>
  <c r="AL811" i="7" s="1"/>
  <c r="AJ811" i="7"/>
  <c r="AF811" i="7"/>
  <c r="AJ810" i="7"/>
  <c r="AL810" i="7" s="1"/>
  <c r="AF810" i="7"/>
  <c r="CV810" i="7"/>
  <c r="CW810" i="7" s="1"/>
  <c r="CR809" i="7"/>
  <c r="AK809" i="7"/>
  <c r="AL809" i="7" s="1"/>
  <c r="AJ809" i="7"/>
  <c r="AF809" i="7"/>
  <c r="CV808" i="7"/>
  <c r="CW808" i="7" s="1"/>
  <c r="CK808" i="7"/>
  <c r="AK808" i="7"/>
  <c r="AL808" i="7" s="1"/>
  <c r="AJ808" i="7"/>
  <c r="AF808" i="7"/>
  <c r="AJ807" i="7"/>
  <c r="AL807" i="7" s="1"/>
  <c r="AF807" i="7"/>
  <c r="CV806" i="7"/>
  <c r="CW806" i="7" s="1"/>
  <c r="CK806" i="7"/>
  <c r="AJ806" i="7"/>
  <c r="AL806" i="7" s="1"/>
  <c r="AF806" i="7"/>
  <c r="AK805" i="7"/>
  <c r="AL805" i="7" s="1"/>
  <c r="AJ805" i="7"/>
  <c r="AF805" i="7"/>
  <c r="AK804" i="7"/>
  <c r="AL804" i="7" s="1"/>
  <c r="AJ804" i="7"/>
  <c r="AF804" i="7"/>
  <c r="CV804" i="7"/>
  <c r="CW804" i="7" s="1"/>
  <c r="AK803" i="7"/>
  <c r="AL803" i="7" s="1"/>
  <c r="AJ803" i="7"/>
  <c r="AF803" i="7"/>
  <c r="CV802" i="7"/>
  <c r="CW802" i="7" s="1"/>
  <c r="CK802" i="7"/>
  <c r="AK802" i="7"/>
  <c r="AL802" i="7" s="1"/>
  <c r="AJ802" i="7"/>
  <c r="AF802" i="7"/>
  <c r="AJ801" i="7"/>
  <c r="AL801" i="7" s="1"/>
  <c r="AF801" i="7"/>
  <c r="CK800" i="7"/>
  <c r="AK800" i="7"/>
  <c r="AL800" i="7" s="1"/>
  <c r="AJ800" i="7"/>
  <c r="AF800" i="7"/>
  <c r="CV800" i="7"/>
  <c r="CW800" i="7" s="1"/>
  <c r="AJ799" i="7"/>
  <c r="AL799" i="7" s="1"/>
  <c r="AF799" i="7"/>
  <c r="CK798" i="7"/>
  <c r="AJ798" i="7"/>
  <c r="AL798" i="7" s="1"/>
  <c r="AF798" i="7"/>
  <c r="CV798" i="7"/>
  <c r="CW798" i="7" s="1"/>
  <c r="CR797" i="7"/>
  <c r="AJ797" i="7"/>
  <c r="AL797" i="7" s="1"/>
  <c r="AF797" i="7"/>
  <c r="AK796" i="7"/>
  <c r="AL796" i="7" s="1"/>
  <c r="AJ796" i="7"/>
  <c r="AF796" i="7"/>
  <c r="CV796" i="7"/>
  <c r="CW796" i="7" s="1"/>
  <c r="AJ795" i="7"/>
  <c r="AL795" i="7" s="1"/>
  <c r="AF795" i="7"/>
  <c r="CV794" i="7"/>
  <c r="CW794" i="7" s="1"/>
  <c r="AK794" i="7"/>
  <c r="AL794" i="7" s="1"/>
  <c r="AJ794" i="7"/>
  <c r="AF794" i="7"/>
  <c r="AK793" i="7"/>
  <c r="AL793" i="7" s="1"/>
  <c r="AJ793" i="7"/>
  <c r="AF793" i="7"/>
  <c r="CN792" i="7"/>
  <c r="CK792" i="7"/>
  <c r="AK792" i="7"/>
  <c r="AL792" i="7" s="1"/>
  <c r="AJ792" i="7"/>
  <c r="AF792" i="7"/>
  <c r="CV792" i="7"/>
  <c r="CW792" i="7" s="1"/>
  <c r="AJ791" i="7"/>
  <c r="AL791" i="7" s="1"/>
  <c r="AF791" i="7"/>
  <c r="CK790" i="7"/>
  <c r="AK790" i="7"/>
  <c r="AL790" i="7" s="1"/>
  <c r="AJ790" i="7"/>
  <c r="AF790" i="7"/>
  <c r="CV790" i="7"/>
  <c r="CW790" i="7" s="1"/>
  <c r="CR789" i="7"/>
  <c r="AK789" i="7"/>
  <c r="AL789" i="7" s="1"/>
  <c r="AJ789" i="7"/>
  <c r="AF789" i="7"/>
  <c r="CV788" i="7"/>
  <c r="CW788" i="7" s="1"/>
  <c r="CK788" i="7"/>
  <c r="AK788" i="7"/>
  <c r="AL788" i="7" s="1"/>
  <c r="AJ788" i="7"/>
  <c r="AF788" i="7"/>
  <c r="AK787" i="7"/>
  <c r="AL787" i="7" s="1"/>
  <c r="AJ787" i="7"/>
  <c r="AF787" i="7"/>
  <c r="AK1508" i="7"/>
  <c r="AL1508" i="7" s="1"/>
  <c r="AJ1508" i="7"/>
  <c r="AF1508" i="7"/>
  <c r="CV1508" i="7"/>
  <c r="CW1508" i="7" s="1"/>
  <c r="CR786" i="7"/>
  <c r="AK786" i="7"/>
  <c r="AL786" i="7" s="1"/>
  <c r="AJ786" i="7"/>
  <c r="AF786" i="7"/>
  <c r="CV785" i="7"/>
  <c r="CW785" i="7" s="1"/>
  <c r="CK785" i="7"/>
  <c r="AJ785" i="7"/>
  <c r="AL785" i="7" s="1"/>
  <c r="AF785" i="7"/>
  <c r="CR784" i="7"/>
  <c r="AK784" i="7"/>
  <c r="AL784" i="7" s="1"/>
  <c r="AJ784" i="7"/>
  <c r="AF784" i="7"/>
  <c r="CV783" i="7"/>
  <c r="CW783" i="7" s="1"/>
  <c r="CK783" i="7"/>
  <c r="AJ783" i="7"/>
  <c r="AL783" i="7" s="1"/>
  <c r="AF783" i="7"/>
  <c r="AK782" i="7"/>
  <c r="AL782" i="7" s="1"/>
  <c r="AJ782" i="7"/>
  <c r="AF782" i="7"/>
  <c r="CK781" i="7"/>
  <c r="AJ781" i="7"/>
  <c r="AL781" i="7" s="1"/>
  <c r="AF781" i="7"/>
  <c r="CV781" i="7"/>
  <c r="CW781" i="7" s="1"/>
  <c r="AJ780" i="7"/>
  <c r="AL780" i="7" s="1"/>
  <c r="AF780" i="7"/>
  <c r="AJ779" i="7"/>
  <c r="AL779" i="7" s="1"/>
  <c r="AF779" i="7"/>
  <c r="CV779" i="7"/>
  <c r="CW779" i="7" s="1"/>
  <c r="AJ778" i="7"/>
  <c r="AL778" i="7" s="1"/>
  <c r="AF778" i="7"/>
  <c r="CK777" i="7"/>
  <c r="AJ777" i="7"/>
  <c r="AL777" i="7" s="1"/>
  <c r="AF777" i="7"/>
  <c r="CV777" i="7"/>
  <c r="CW777" i="7" s="1"/>
  <c r="AK776" i="7"/>
  <c r="AL776" i="7" s="1"/>
  <c r="AJ776" i="7"/>
  <c r="AF776" i="7"/>
  <c r="CV1507" i="7"/>
  <c r="CW1507" i="7" s="1"/>
  <c r="AK1507" i="7"/>
  <c r="AL1507" i="7" s="1"/>
  <c r="AJ1507" i="7"/>
  <c r="AF1507" i="7"/>
  <c r="AJ775" i="7"/>
  <c r="AL775" i="7" s="1"/>
  <c r="AF775" i="7"/>
  <c r="CV774" i="7"/>
  <c r="CW774" i="7" s="1"/>
  <c r="CK774" i="7"/>
  <c r="AJ774" i="7"/>
  <c r="AL774" i="7" s="1"/>
  <c r="AF774" i="7"/>
  <c r="CV773" i="7"/>
  <c r="CW773" i="7" s="1"/>
  <c r="AJ773" i="7"/>
  <c r="AL773" i="7" s="1"/>
  <c r="AF773" i="7"/>
  <c r="CV1506" i="7"/>
  <c r="CW1506" i="7" s="1"/>
  <c r="CK1506" i="7"/>
  <c r="AJ1506" i="7"/>
  <c r="AL1506" i="7" s="1"/>
  <c r="AF1506" i="7"/>
  <c r="AK772" i="7"/>
  <c r="AL772" i="7" s="1"/>
  <c r="AJ772" i="7"/>
  <c r="AF772" i="7"/>
  <c r="CN771" i="7"/>
  <c r="CK771" i="7"/>
  <c r="CR771" i="7"/>
  <c r="AK771" i="7"/>
  <c r="AL771" i="7" s="1"/>
  <c r="AJ771" i="7"/>
  <c r="AF771" i="7"/>
  <c r="CV771" i="7"/>
  <c r="CW771" i="7" s="1"/>
  <c r="AK770" i="7"/>
  <c r="AL770" i="7" s="1"/>
  <c r="AJ770" i="7"/>
  <c r="AF770" i="7"/>
  <c r="CV769" i="7"/>
  <c r="CW769" i="7" s="1"/>
  <c r="AK769" i="7"/>
  <c r="AL769" i="7" s="1"/>
  <c r="AJ769" i="7"/>
  <c r="AF769" i="7"/>
  <c r="CR1505" i="7"/>
  <c r="AK1505" i="7"/>
  <c r="AL1505" i="7" s="1"/>
  <c r="AJ1505" i="7"/>
  <c r="AF1505" i="7"/>
  <c r="CV768" i="7"/>
  <c r="CW768" i="7" s="1"/>
  <c r="CK768" i="7"/>
  <c r="AK768" i="7"/>
  <c r="AL768" i="7" s="1"/>
  <c r="AJ768" i="7"/>
  <c r="AF768" i="7"/>
  <c r="AK767" i="7"/>
  <c r="AL767" i="7" s="1"/>
  <c r="AJ767" i="7"/>
  <c r="AF767" i="7"/>
  <c r="CV767" i="7"/>
  <c r="CW767" i="7" s="1"/>
  <c r="CV1504" i="7"/>
  <c r="CW1504" i="7" s="1"/>
  <c r="AK1504" i="7"/>
  <c r="AL1504" i="7" s="1"/>
  <c r="AJ1504" i="7"/>
  <c r="AF1504" i="7"/>
  <c r="CV766" i="7"/>
  <c r="CW766" i="7" s="1"/>
  <c r="AJ766" i="7"/>
  <c r="AL766" i="7" s="1"/>
  <c r="AF766" i="7"/>
  <c r="CV765" i="7"/>
  <c r="CW765" i="7" s="1"/>
  <c r="CN765" i="7"/>
  <c r="CK765" i="7"/>
  <c r="CR765" i="7"/>
  <c r="AK765" i="7"/>
  <c r="AL765" i="7" s="1"/>
  <c r="AJ765" i="7"/>
  <c r="AF765" i="7"/>
  <c r="CK764" i="7"/>
  <c r="CR764" i="7"/>
  <c r="AJ764" i="7"/>
  <c r="AL764" i="7" s="1"/>
  <c r="AF764" i="7"/>
  <c r="CV763" i="7"/>
  <c r="CW763" i="7" s="1"/>
  <c r="CK763" i="7"/>
  <c r="AK763" i="7"/>
  <c r="AL763" i="7" s="1"/>
  <c r="AJ763" i="7"/>
  <c r="AF763" i="7"/>
  <c r="AK1503" i="7"/>
  <c r="AL1503" i="7" s="1"/>
  <c r="AJ1503" i="7"/>
  <c r="AF1503" i="7"/>
  <c r="CV762" i="7"/>
  <c r="CW762" i="7" s="1"/>
  <c r="CR762" i="7"/>
  <c r="AK762" i="7"/>
  <c r="AL762" i="7" s="1"/>
  <c r="AJ762" i="7"/>
  <c r="AF762" i="7"/>
  <c r="AK761" i="7"/>
  <c r="AL761" i="7" s="1"/>
  <c r="AJ761" i="7"/>
  <c r="AF761" i="7"/>
  <c r="CK1502" i="7"/>
  <c r="AK1502" i="7"/>
  <c r="AL1502" i="7" s="1"/>
  <c r="AJ1502" i="7"/>
  <c r="AF1502" i="7"/>
  <c r="CV1502" i="7"/>
  <c r="CW1502" i="7" s="1"/>
  <c r="AJ760" i="7"/>
  <c r="AL760" i="7" s="1"/>
  <c r="AF760" i="7"/>
  <c r="CK759" i="7"/>
  <c r="AJ759" i="7"/>
  <c r="AL759" i="7" s="1"/>
  <c r="AF759" i="7"/>
  <c r="CV759" i="7"/>
  <c r="CW759" i="7" s="1"/>
  <c r="AK758" i="7"/>
  <c r="AL758" i="7" s="1"/>
  <c r="AJ758" i="7"/>
  <c r="AF758" i="7"/>
  <c r="CN757" i="7"/>
  <c r="AJ757" i="7"/>
  <c r="AL757" i="7" s="1"/>
  <c r="AF757" i="7"/>
  <c r="CV757" i="7"/>
  <c r="CW757" i="7" s="1"/>
  <c r="CR756" i="7"/>
  <c r="AK756" i="7"/>
  <c r="AL756" i="7" s="1"/>
  <c r="AJ756" i="7"/>
  <c r="AF756" i="7"/>
  <c r="CV755" i="7"/>
  <c r="CW755" i="7" s="1"/>
  <c r="CK755" i="7"/>
  <c r="AJ755" i="7"/>
  <c r="AL755" i="7" s="1"/>
  <c r="AF755" i="7"/>
  <c r="AK754" i="7"/>
  <c r="AL754" i="7" s="1"/>
  <c r="AJ754" i="7"/>
  <c r="AF754" i="7"/>
  <c r="CV753" i="7"/>
  <c r="CW753" i="7" s="1"/>
  <c r="CK753" i="7"/>
  <c r="AJ753" i="7"/>
  <c r="AL753" i="7" s="1"/>
  <c r="AF753" i="7"/>
  <c r="AK752" i="7"/>
  <c r="AL752" i="7" s="1"/>
  <c r="AJ752" i="7"/>
  <c r="AF752" i="7"/>
  <c r="CR751" i="7"/>
  <c r="AK751" i="7"/>
  <c r="AL751" i="7" s="1"/>
  <c r="AJ751" i="7"/>
  <c r="AF751" i="7"/>
  <c r="CV751" i="7"/>
  <c r="CW751" i="7" s="1"/>
  <c r="CR750" i="7"/>
  <c r="AK750" i="7"/>
  <c r="AL750" i="7" s="1"/>
  <c r="AJ750" i="7"/>
  <c r="AF750" i="7"/>
  <c r="CV749" i="7"/>
  <c r="CW749" i="7" s="1"/>
  <c r="CK749" i="7"/>
  <c r="AK749" i="7"/>
  <c r="AL749" i="7" s="1"/>
  <c r="AJ749" i="7"/>
  <c r="AF749" i="7"/>
  <c r="AK1501" i="7"/>
  <c r="AL1501" i="7" s="1"/>
  <c r="AJ1501" i="7"/>
  <c r="AF1501" i="7"/>
  <c r="CN748" i="7"/>
  <c r="CK748" i="7"/>
  <c r="AJ748" i="7"/>
  <c r="AL748" i="7" s="1"/>
  <c r="AF748" i="7"/>
  <c r="CV748" i="7"/>
  <c r="CW748" i="7" s="1"/>
  <c r="AJ747" i="7"/>
  <c r="AL747" i="7" s="1"/>
  <c r="AF747" i="7"/>
  <c r="AJ746" i="7"/>
  <c r="AL746" i="7" s="1"/>
  <c r="AF746" i="7"/>
  <c r="CV746" i="7"/>
  <c r="CW746" i="7" s="1"/>
  <c r="CK745" i="7"/>
  <c r="AJ745" i="7"/>
  <c r="AL745" i="7" s="1"/>
  <c r="AF745" i="7"/>
  <c r="CV745" i="7"/>
  <c r="CW745" i="7" s="1"/>
  <c r="CK744" i="7"/>
  <c r="AK744" i="7"/>
  <c r="AL744" i="7" s="1"/>
  <c r="AJ744" i="7"/>
  <c r="AF744" i="7"/>
  <c r="CV744" i="7"/>
  <c r="CW744" i="7" s="1"/>
  <c r="AK1500" i="7"/>
  <c r="AL1500" i="7" s="1"/>
  <c r="AJ1500" i="7"/>
  <c r="AF1500" i="7"/>
  <c r="CV743" i="7"/>
  <c r="CW743" i="7" s="1"/>
  <c r="CK743" i="7"/>
  <c r="AJ743" i="7"/>
  <c r="AL743" i="7" s="1"/>
  <c r="AF743" i="7"/>
  <c r="CK742" i="7"/>
  <c r="CR742" i="7"/>
  <c r="AK742" i="7"/>
  <c r="AL742" i="7" s="1"/>
  <c r="AJ742" i="7"/>
  <c r="AF742" i="7"/>
  <c r="CV741" i="7"/>
  <c r="CW741" i="7" s="1"/>
  <c r="CK741" i="7"/>
  <c r="AK741" i="7"/>
  <c r="AL741" i="7" s="1"/>
  <c r="AJ741" i="7"/>
  <c r="AF741" i="7"/>
  <c r="AJ740" i="7"/>
  <c r="AL740" i="7" s="1"/>
  <c r="AF740" i="7"/>
  <c r="AJ1499" i="7"/>
  <c r="AL1499" i="7" s="1"/>
  <c r="AF1499" i="7"/>
  <c r="CV1499" i="7"/>
  <c r="CW1499" i="7" s="1"/>
  <c r="CR739" i="7"/>
  <c r="AK739" i="7"/>
  <c r="AL739" i="7" s="1"/>
  <c r="AJ739" i="7"/>
  <c r="AF739" i="7"/>
  <c r="AJ738" i="7"/>
  <c r="AL738" i="7" s="1"/>
  <c r="AF738" i="7"/>
  <c r="CV738" i="7"/>
  <c r="CW738" i="7" s="1"/>
  <c r="CV737" i="7"/>
  <c r="CW737" i="7" s="1"/>
  <c r="AK737" i="7"/>
  <c r="AL737" i="7" s="1"/>
  <c r="AJ737" i="7"/>
  <c r="AF737" i="7"/>
  <c r="CV736" i="7"/>
  <c r="CW736" i="7" s="1"/>
  <c r="CK736" i="7"/>
  <c r="AK736" i="7"/>
  <c r="AL736" i="7" s="1"/>
  <c r="AJ736" i="7"/>
  <c r="AF736" i="7"/>
  <c r="AK735" i="7"/>
  <c r="AL735" i="7" s="1"/>
  <c r="AJ735" i="7"/>
  <c r="AF735" i="7"/>
  <c r="CK734" i="7"/>
  <c r="AJ734" i="7"/>
  <c r="AL734" i="7" s="1"/>
  <c r="AF734" i="7"/>
  <c r="CV734" i="7"/>
  <c r="CW734" i="7" s="1"/>
  <c r="AJ1498" i="7"/>
  <c r="AL1498" i="7" s="1"/>
  <c r="AF1498" i="7"/>
  <c r="AJ733" i="7"/>
  <c r="AL733" i="7" s="1"/>
  <c r="AF733" i="7"/>
  <c r="CV733" i="7"/>
  <c r="CW733" i="7" s="1"/>
  <c r="AK732" i="7"/>
  <c r="AL732" i="7" s="1"/>
  <c r="AJ732" i="7"/>
  <c r="AF732" i="7"/>
  <c r="CV1497" i="7"/>
  <c r="CW1497" i="7" s="1"/>
  <c r="AK1497" i="7"/>
  <c r="AL1497" i="7" s="1"/>
  <c r="AJ1497" i="7"/>
  <c r="AF1497" i="7"/>
  <c r="AJ731" i="7"/>
  <c r="AL731" i="7" s="1"/>
  <c r="AF731" i="7"/>
  <c r="CV730" i="7"/>
  <c r="CW730" i="7" s="1"/>
  <c r="CK730" i="7"/>
  <c r="AJ730" i="7"/>
  <c r="AL730" i="7" s="1"/>
  <c r="AF730" i="7"/>
  <c r="AJ729" i="7"/>
  <c r="AL729" i="7" s="1"/>
  <c r="AF729" i="7"/>
  <c r="CV728" i="7"/>
  <c r="CW728" i="7" s="1"/>
  <c r="CK728" i="7"/>
  <c r="CR728" i="7"/>
  <c r="AJ728" i="7"/>
  <c r="AL728" i="7" s="1"/>
  <c r="AF728" i="7"/>
  <c r="AK727" i="7"/>
  <c r="AL727" i="7" s="1"/>
  <c r="AJ727" i="7"/>
  <c r="AF727" i="7"/>
  <c r="CV726" i="7"/>
  <c r="CW726" i="7" s="1"/>
  <c r="CK726" i="7"/>
  <c r="AJ726" i="7"/>
  <c r="AL726" i="7" s="1"/>
  <c r="AF726" i="7"/>
  <c r="AJ725" i="7"/>
  <c r="AL725" i="7" s="1"/>
  <c r="AF725" i="7"/>
  <c r="CK724" i="7"/>
  <c r="AK724" i="7"/>
  <c r="AL724" i="7" s="1"/>
  <c r="AJ724" i="7"/>
  <c r="AF724" i="7"/>
  <c r="CV724" i="7"/>
  <c r="CW724" i="7" s="1"/>
  <c r="AK723" i="7"/>
  <c r="AL723" i="7" s="1"/>
  <c r="AJ723" i="7"/>
  <c r="AF723" i="7"/>
  <c r="CV722" i="7"/>
  <c r="CW722" i="7" s="1"/>
  <c r="AK722" i="7"/>
  <c r="AL722" i="7" s="1"/>
  <c r="AJ722" i="7"/>
  <c r="AF722" i="7"/>
  <c r="AK721" i="7"/>
  <c r="AL721" i="7" s="1"/>
  <c r="AJ721" i="7"/>
  <c r="AF721" i="7"/>
  <c r="CV720" i="7"/>
  <c r="CW720" i="7" s="1"/>
  <c r="CK720" i="7"/>
  <c r="AK720" i="7"/>
  <c r="AL720" i="7" s="1"/>
  <c r="AJ720" i="7"/>
  <c r="AF720" i="7"/>
  <c r="AK719" i="7"/>
  <c r="AL719" i="7" s="1"/>
  <c r="AJ719" i="7"/>
  <c r="AF719" i="7"/>
  <c r="CV718" i="7"/>
  <c r="CW718" i="7" s="1"/>
  <c r="AK718" i="7"/>
  <c r="AL718" i="7" s="1"/>
  <c r="AJ718" i="7"/>
  <c r="AF718" i="7"/>
  <c r="CK717" i="7"/>
  <c r="AJ717" i="7"/>
  <c r="AL717" i="7" s="1"/>
  <c r="AF717" i="7"/>
  <c r="CV1496" i="7"/>
  <c r="CW1496" i="7" s="1"/>
  <c r="CK1496" i="7"/>
  <c r="AJ1496" i="7"/>
  <c r="AL1496" i="7" s="1"/>
  <c r="AF1496" i="7"/>
  <c r="AK716" i="7"/>
  <c r="AL716" i="7" s="1"/>
  <c r="AJ716" i="7"/>
  <c r="AF716" i="7"/>
  <c r="AK715" i="7"/>
  <c r="AL715" i="7" s="1"/>
  <c r="AJ715" i="7"/>
  <c r="AF715" i="7"/>
  <c r="CV715" i="7"/>
  <c r="CW715" i="7" s="1"/>
  <c r="CR1495" i="7"/>
  <c r="AK1495" i="7"/>
  <c r="AL1495" i="7" s="1"/>
  <c r="AJ1495" i="7"/>
  <c r="AF1495" i="7"/>
  <c r="CV714" i="7"/>
  <c r="CW714" i="7" s="1"/>
  <c r="CK714" i="7"/>
  <c r="AK714" i="7"/>
  <c r="AL714" i="7" s="1"/>
  <c r="AJ714" i="7"/>
  <c r="AF714" i="7"/>
  <c r="AK713" i="7"/>
  <c r="AL713" i="7" s="1"/>
  <c r="AJ713" i="7"/>
  <c r="AF713" i="7"/>
  <c r="CV1494" i="7"/>
  <c r="CW1494" i="7" s="1"/>
  <c r="AK1494" i="7"/>
  <c r="AL1494" i="7" s="1"/>
  <c r="AJ1494" i="7"/>
  <c r="AF1494" i="7"/>
  <c r="CR712" i="7"/>
  <c r="AK712" i="7"/>
  <c r="AL712" i="7" s="1"/>
  <c r="AJ712" i="7"/>
  <c r="AF712" i="7"/>
  <c r="AJ711" i="7"/>
  <c r="AL711" i="7" s="1"/>
  <c r="AF711" i="7"/>
  <c r="CV711" i="7"/>
  <c r="CW711" i="7" s="1"/>
  <c r="AJ710" i="7"/>
  <c r="AL710" i="7" s="1"/>
  <c r="AF710" i="7"/>
  <c r="CV709" i="7"/>
  <c r="CW709" i="7" s="1"/>
  <c r="CN709" i="7"/>
  <c r="AK709" i="7"/>
  <c r="AL709" i="7" s="1"/>
  <c r="AJ709" i="7"/>
  <c r="AF709" i="7"/>
  <c r="CV708" i="7"/>
  <c r="CW708" i="7" s="1"/>
  <c r="AK708" i="7"/>
  <c r="AL708" i="7" s="1"/>
  <c r="AJ708" i="7"/>
  <c r="AF708" i="7"/>
  <c r="CV707" i="7"/>
  <c r="CW707" i="7" s="1"/>
  <c r="CK707" i="7"/>
  <c r="AK707" i="7"/>
  <c r="AL707" i="7" s="1"/>
  <c r="AJ707" i="7"/>
  <c r="AF707" i="7"/>
  <c r="CR706" i="7"/>
  <c r="AK706" i="7"/>
  <c r="AL706" i="7" s="1"/>
  <c r="AJ706" i="7"/>
  <c r="AF706" i="7"/>
  <c r="AJ705" i="7"/>
  <c r="AL705" i="7" s="1"/>
  <c r="AF705" i="7"/>
  <c r="CV705" i="7"/>
  <c r="CW705" i="7" s="1"/>
  <c r="AK704" i="7"/>
  <c r="AL704" i="7" s="1"/>
  <c r="AJ704" i="7"/>
  <c r="AF704" i="7"/>
  <c r="CV703" i="7"/>
  <c r="CW703" i="7" s="1"/>
  <c r="CK703" i="7"/>
  <c r="AK703" i="7"/>
  <c r="AL703" i="7" s="1"/>
  <c r="AJ703" i="7"/>
  <c r="AF703" i="7"/>
  <c r="AK702" i="7"/>
  <c r="AL702" i="7" s="1"/>
  <c r="AJ702" i="7"/>
  <c r="AF702" i="7"/>
  <c r="AJ701" i="7"/>
  <c r="AL701" i="7" s="1"/>
  <c r="AF701" i="7"/>
  <c r="CV701" i="7"/>
  <c r="CW701" i="7" s="1"/>
  <c r="AK700" i="7"/>
  <c r="AL700" i="7" s="1"/>
  <c r="AJ700" i="7"/>
  <c r="AF700" i="7"/>
  <c r="CV700" i="7"/>
  <c r="CW700" i="7" s="1"/>
  <c r="AJ699" i="7"/>
  <c r="AL699" i="7" s="1"/>
  <c r="AF699" i="7"/>
  <c r="CV699" i="7"/>
  <c r="CW699" i="7" s="1"/>
  <c r="CR698" i="7"/>
  <c r="AJ698" i="7"/>
  <c r="AL698" i="7" s="1"/>
  <c r="AF698" i="7"/>
  <c r="AJ1493" i="7"/>
  <c r="AL1493" i="7" s="1"/>
  <c r="AF1493" i="7"/>
  <c r="CV1493" i="7"/>
  <c r="CW1493" i="7" s="1"/>
  <c r="AK697" i="7"/>
  <c r="AL697" i="7" s="1"/>
  <c r="AJ697" i="7"/>
  <c r="AF697" i="7"/>
  <c r="CV696" i="7"/>
  <c r="CW696" i="7" s="1"/>
  <c r="CK696" i="7"/>
  <c r="AJ696" i="7"/>
  <c r="AL696" i="7" s="1"/>
  <c r="AF696" i="7"/>
  <c r="AJ695" i="7"/>
  <c r="AL695" i="7" s="1"/>
  <c r="AF695" i="7"/>
  <c r="CV694" i="7"/>
  <c r="CW694" i="7" s="1"/>
  <c r="CR694" i="7"/>
  <c r="AJ694" i="7"/>
  <c r="AL694" i="7" s="1"/>
  <c r="AF694" i="7"/>
  <c r="AK693" i="7"/>
  <c r="AL693" i="7" s="1"/>
  <c r="AJ693" i="7"/>
  <c r="AF693" i="7"/>
  <c r="CK692" i="7"/>
  <c r="AJ692" i="7"/>
  <c r="AL692" i="7" s="1"/>
  <c r="AF692" i="7"/>
  <c r="CV692" i="7"/>
  <c r="CW692" i="7" s="1"/>
  <c r="CR691" i="7"/>
  <c r="AJ691" i="7"/>
  <c r="AL691" i="7" s="1"/>
  <c r="AF691" i="7"/>
  <c r="CV691" i="7"/>
  <c r="CW691" i="7" s="1"/>
  <c r="CV690" i="7"/>
  <c r="CW690" i="7" s="1"/>
  <c r="AK690" i="7"/>
  <c r="AL690" i="7" s="1"/>
  <c r="AJ690" i="7"/>
  <c r="AF690" i="7"/>
  <c r="AJ689" i="7"/>
  <c r="AL689" i="7" s="1"/>
  <c r="AF689" i="7"/>
  <c r="CV689" i="7"/>
  <c r="CW689" i="7" s="1"/>
  <c r="CK688" i="7"/>
  <c r="AJ688" i="7"/>
  <c r="AL688" i="7" s="1"/>
  <c r="AF688" i="7"/>
  <c r="CV688" i="7"/>
  <c r="CW688" i="7" s="1"/>
  <c r="AK687" i="7"/>
  <c r="AL687" i="7" s="1"/>
  <c r="AJ687" i="7"/>
  <c r="AF687" i="7"/>
  <c r="CV686" i="7"/>
  <c r="CW686" i="7" s="1"/>
  <c r="AK686" i="7"/>
  <c r="AL686" i="7" s="1"/>
  <c r="AJ686" i="7"/>
  <c r="AF686" i="7"/>
  <c r="CR1492" i="7"/>
  <c r="AK1492" i="7"/>
  <c r="AL1492" i="7" s="1"/>
  <c r="AJ1492" i="7"/>
  <c r="AF1492" i="7"/>
  <c r="CV1492" i="7"/>
  <c r="CW1492" i="7" s="1"/>
  <c r="CK685" i="7"/>
  <c r="AK685" i="7"/>
  <c r="AL685" i="7" s="1"/>
  <c r="AJ685" i="7"/>
  <c r="AF685" i="7"/>
  <c r="CV685" i="7"/>
  <c r="CW685" i="7" s="1"/>
  <c r="AK684" i="7"/>
  <c r="AL684" i="7" s="1"/>
  <c r="AJ684" i="7"/>
  <c r="AF684" i="7"/>
  <c r="CV683" i="7"/>
  <c r="CW683" i="7" s="1"/>
  <c r="AJ683" i="7"/>
  <c r="AL683" i="7" s="1"/>
  <c r="AF683" i="7"/>
  <c r="AK1708" i="7"/>
  <c r="AL1708" i="7" s="1"/>
  <c r="AJ1708" i="7"/>
  <c r="AF1708" i="7"/>
  <c r="CV682" i="7"/>
  <c r="CW682" i="7" s="1"/>
  <c r="CN682" i="7"/>
  <c r="CK682" i="7"/>
  <c r="AK682" i="7"/>
  <c r="AL682" i="7" s="1"/>
  <c r="AJ682" i="7"/>
  <c r="AF682" i="7"/>
  <c r="AJ681" i="7"/>
  <c r="AL681" i="7" s="1"/>
  <c r="AF681" i="7"/>
  <c r="CV680" i="7"/>
  <c r="CW680" i="7" s="1"/>
  <c r="AK680" i="7"/>
  <c r="AL680" i="7" s="1"/>
  <c r="AJ680" i="7"/>
  <c r="AF680" i="7"/>
  <c r="CR1491" i="7"/>
  <c r="AK1491" i="7"/>
  <c r="AL1491" i="7" s="1"/>
  <c r="AJ1491" i="7"/>
  <c r="AF1491" i="7"/>
  <c r="AJ679" i="7"/>
  <c r="AL679" i="7" s="1"/>
  <c r="AF679" i="7"/>
  <c r="CV679" i="7"/>
  <c r="CW679" i="7" s="1"/>
  <c r="AJ678" i="7"/>
  <c r="AL678" i="7" s="1"/>
  <c r="AF678" i="7"/>
  <c r="AJ677" i="7"/>
  <c r="AL677" i="7" s="1"/>
  <c r="AF677" i="7"/>
  <c r="CV677" i="7"/>
  <c r="CW677" i="7" s="1"/>
  <c r="AJ676" i="7"/>
  <c r="AL676" i="7" s="1"/>
  <c r="AF676" i="7"/>
  <c r="CK675" i="7"/>
  <c r="AJ675" i="7"/>
  <c r="AL675" i="7" s="1"/>
  <c r="AF675" i="7"/>
  <c r="CV675" i="7"/>
  <c r="CW675" i="7" s="1"/>
  <c r="CR674" i="7"/>
  <c r="AJ674" i="7"/>
  <c r="AL674" i="7" s="1"/>
  <c r="AF674" i="7"/>
  <c r="AK673" i="7"/>
  <c r="AL673" i="7" s="1"/>
  <c r="AJ673" i="7"/>
  <c r="AF673" i="7"/>
  <c r="CV673" i="7"/>
  <c r="CW673" i="7" s="1"/>
  <c r="AK672" i="7"/>
  <c r="AL672" i="7" s="1"/>
  <c r="AJ672" i="7"/>
  <c r="AF672" i="7"/>
  <c r="CV671" i="7"/>
  <c r="CW671" i="7" s="1"/>
  <c r="CK671" i="7"/>
  <c r="AJ671" i="7"/>
  <c r="AL671" i="7" s="1"/>
  <c r="AF671" i="7"/>
  <c r="AK670" i="7"/>
  <c r="AL670" i="7" s="1"/>
  <c r="AJ670" i="7"/>
  <c r="AF670" i="7"/>
  <c r="CV669" i="7"/>
  <c r="CW669" i="7" s="1"/>
  <c r="AK669" i="7"/>
  <c r="AL669" i="7" s="1"/>
  <c r="AJ669" i="7"/>
  <c r="AF669" i="7"/>
  <c r="AK668" i="7"/>
  <c r="AL668" i="7" s="1"/>
  <c r="AJ668" i="7"/>
  <c r="AF668" i="7"/>
  <c r="CV667" i="7"/>
  <c r="CW667" i="7" s="1"/>
  <c r="AK667" i="7"/>
  <c r="AL667" i="7" s="1"/>
  <c r="AJ667" i="7"/>
  <c r="AF667" i="7"/>
  <c r="AK666" i="7"/>
  <c r="AL666" i="7" s="1"/>
  <c r="AJ666" i="7"/>
  <c r="AF666" i="7"/>
  <c r="CV665" i="7"/>
  <c r="CW665" i="7" s="1"/>
  <c r="AJ665" i="7"/>
  <c r="AL665" i="7" s="1"/>
  <c r="AF665" i="7"/>
  <c r="CR664" i="7"/>
  <c r="AK664" i="7"/>
  <c r="AL664" i="7" s="1"/>
  <c r="AJ664" i="7"/>
  <c r="AF664" i="7"/>
  <c r="CK663" i="7"/>
  <c r="AK663" i="7"/>
  <c r="AL663" i="7" s="1"/>
  <c r="AJ663" i="7"/>
  <c r="AF663" i="7"/>
  <c r="CV663" i="7"/>
  <c r="CW663" i="7" s="1"/>
  <c r="AJ662" i="7"/>
  <c r="AL662" i="7" s="1"/>
  <c r="AF662" i="7"/>
  <c r="CV661" i="7"/>
  <c r="CW661" i="7" s="1"/>
  <c r="AK661" i="7"/>
  <c r="AL661" i="7" s="1"/>
  <c r="AJ661" i="7"/>
  <c r="AF661" i="7"/>
  <c r="CR660" i="7"/>
  <c r="AK660" i="7"/>
  <c r="AL660" i="7" s="1"/>
  <c r="AJ660" i="7"/>
  <c r="AF660" i="7"/>
  <c r="CV659" i="7"/>
  <c r="CW659" i="7" s="1"/>
  <c r="CK659" i="7"/>
  <c r="AJ659" i="7"/>
  <c r="AL659" i="7" s="1"/>
  <c r="AF659" i="7"/>
  <c r="CV658" i="7"/>
  <c r="CW658" i="7" s="1"/>
  <c r="AJ658" i="7"/>
  <c r="AL658" i="7" s="1"/>
  <c r="AF658" i="7"/>
  <c r="CV657" i="7"/>
  <c r="CW657" i="7" s="1"/>
  <c r="AK657" i="7"/>
  <c r="AL657" i="7" s="1"/>
  <c r="AJ657" i="7"/>
  <c r="AF657" i="7"/>
  <c r="AK656" i="7"/>
  <c r="AL656" i="7" s="1"/>
  <c r="AJ656" i="7"/>
  <c r="AF656" i="7"/>
  <c r="CV655" i="7"/>
  <c r="CW655" i="7" s="1"/>
  <c r="AK655" i="7"/>
  <c r="AL655" i="7" s="1"/>
  <c r="AJ655" i="7"/>
  <c r="AF655" i="7"/>
  <c r="AJ654" i="7"/>
  <c r="AL654" i="7" s="1"/>
  <c r="AF654" i="7"/>
  <c r="CV653" i="7"/>
  <c r="CW653" i="7" s="1"/>
  <c r="AK653" i="7"/>
  <c r="AL653" i="7" s="1"/>
  <c r="AJ653" i="7"/>
  <c r="AF653" i="7"/>
  <c r="AK652" i="7"/>
  <c r="AL652" i="7" s="1"/>
  <c r="AJ652" i="7"/>
  <c r="AF652" i="7"/>
  <c r="CK651" i="7"/>
  <c r="AJ651" i="7"/>
  <c r="AL651" i="7" s="1"/>
  <c r="AF651" i="7"/>
  <c r="CV651" i="7"/>
  <c r="CW651" i="7" s="1"/>
  <c r="AJ650" i="7"/>
  <c r="AL650" i="7" s="1"/>
  <c r="AF650" i="7"/>
  <c r="AK649" i="7"/>
  <c r="AL649" i="7" s="1"/>
  <c r="AJ649" i="7"/>
  <c r="AF649" i="7"/>
  <c r="CV649" i="7"/>
  <c r="CW649" i="7" s="1"/>
  <c r="CR648" i="7"/>
  <c r="AK648" i="7"/>
  <c r="AL648" i="7" s="1"/>
  <c r="AJ648" i="7"/>
  <c r="AF648" i="7"/>
  <c r="CV1490" i="7"/>
  <c r="CW1490" i="7" s="1"/>
  <c r="CK1490" i="7"/>
  <c r="AK1490" i="7"/>
  <c r="AL1490" i="7" s="1"/>
  <c r="AJ1490" i="7"/>
  <c r="AF1490" i="7"/>
  <c r="AK647" i="7"/>
  <c r="AL647" i="7" s="1"/>
  <c r="AJ647" i="7"/>
  <c r="AF647" i="7"/>
  <c r="AK646" i="7"/>
  <c r="AL646" i="7" s="1"/>
  <c r="AJ646" i="7"/>
  <c r="AF646" i="7"/>
  <c r="CV646" i="7"/>
  <c r="CW646" i="7" s="1"/>
  <c r="CR645" i="7"/>
  <c r="AK645" i="7"/>
  <c r="AL645" i="7" s="1"/>
  <c r="AJ645" i="7"/>
  <c r="AF645" i="7"/>
  <c r="CV644" i="7"/>
  <c r="CW644" i="7" s="1"/>
  <c r="CK644" i="7"/>
  <c r="AK644" i="7"/>
  <c r="AL644" i="7" s="1"/>
  <c r="AJ644" i="7"/>
  <c r="AF644" i="7"/>
  <c r="AJ643" i="7"/>
  <c r="AL643" i="7" s="1"/>
  <c r="AF643" i="7"/>
  <c r="CV642" i="7"/>
  <c r="CW642" i="7" s="1"/>
  <c r="AK642" i="7"/>
  <c r="AL642" i="7" s="1"/>
  <c r="AJ642" i="7"/>
  <c r="AF642" i="7"/>
  <c r="AJ641" i="7"/>
  <c r="AL641" i="7" s="1"/>
  <c r="AF641" i="7"/>
  <c r="CR640" i="7"/>
  <c r="CK640" i="7"/>
  <c r="AK640" i="7"/>
  <c r="AL640" i="7" s="1"/>
  <c r="AJ640" i="7"/>
  <c r="AF640" i="7"/>
  <c r="CV640" i="7"/>
  <c r="CW640" i="7" s="1"/>
  <c r="AK639" i="7"/>
  <c r="AL639" i="7" s="1"/>
  <c r="AJ639" i="7"/>
  <c r="AF639" i="7"/>
  <c r="CV638" i="7"/>
  <c r="CW638" i="7" s="1"/>
  <c r="AK638" i="7"/>
  <c r="AL638" i="7" s="1"/>
  <c r="AJ638" i="7"/>
  <c r="AF638" i="7"/>
  <c r="AK637" i="7"/>
  <c r="AL637" i="7" s="1"/>
  <c r="AJ637" i="7"/>
  <c r="AF637" i="7"/>
  <c r="CK636" i="7"/>
  <c r="AK636" i="7"/>
  <c r="AL636" i="7" s="1"/>
  <c r="AJ636" i="7"/>
  <c r="AF636" i="7"/>
  <c r="CV636" i="7"/>
  <c r="CW636" i="7" s="1"/>
  <c r="AK635" i="7"/>
  <c r="AL635" i="7" s="1"/>
  <c r="AJ635" i="7"/>
  <c r="AF635" i="7"/>
  <c r="CV634" i="7"/>
  <c r="CW634" i="7" s="1"/>
  <c r="AK634" i="7"/>
  <c r="AL634" i="7" s="1"/>
  <c r="AJ634" i="7"/>
  <c r="AF634" i="7"/>
  <c r="AJ633" i="7"/>
  <c r="AL633" i="7" s="1"/>
  <c r="AF633" i="7"/>
  <c r="CV632" i="7"/>
  <c r="CW632" i="7" s="1"/>
  <c r="CK632" i="7"/>
  <c r="AK632" i="7"/>
  <c r="AL632" i="7" s="1"/>
  <c r="AJ632" i="7"/>
  <c r="AF632" i="7"/>
  <c r="CR631" i="7"/>
  <c r="AK631" i="7"/>
  <c r="AL631" i="7" s="1"/>
  <c r="AJ631" i="7"/>
  <c r="AF631" i="7"/>
  <c r="AJ630" i="7"/>
  <c r="AL630" i="7" s="1"/>
  <c r="AF630" i="7"/>
  <c r="CV630" i="7"/>
  <c r="CW630" i="7" s="1"/>
  <c r="AJ629" i="7"/>
  <c r="AL629" i="7" s="1"/>
  <c r="AF629" i="7"/>
  <c r="CV628" i="7"/>
  <c r="CW628" i="7" s="1"/>
  <c r="AK628" i="7"/>
  <c r="AL628" i="7" s="1"/>
  <c r="AJ628" i="7"/>
  <c r="AF628" i="7"/>
  <c r="AK627" i="7"/>
  <c r="AL627" i="7" s="1"/>
  <c r="AJ627" i="7"/>
  <c r="AF627" i="7"/>
  <c r="CV626" i="7"/>
  <c r="CW626" i="7" s="1"/>
  <c r="AK626" i="7"/>
  <c r="AL626" i="7" s="1"/>
  <c r="AJ626" i="7"/>
  <c r="AF626" i="7"/>
  <c r="CR625" i="7"/>
  <c r="AK625" i="7"/>
  <c r="AL625" i="7" s="1"/>
  <c r="AJ625" i="7"/>
  <c r="AF625" i="7"/>
  <c r="CV624" i="7"/>
  <c r="CW624" i="7" s="1"/>
  <c r="AK624" i="7"/>
  <c r="AL624" i="7" s="1"/>
  <c r="AJ624" i="7"/>
  <c r="AF624" i="7"/>
  <c r="AJ623" i="7"/>
  <c r="AL623" i="7" s="1"/>
  <c r="AF623" i="7"/>
  <c r="CV622" i="7"/>
  <c r="CW622" i="7" s="1"/>
  <c r="AK622" i="7"/>
  <c r="AL622" i="7" s="1"/>
  <c r="AJ622" i="7"/>
  <c r="AF622" i="7"/>
  <c r="AK621" i="7"/>
  <c r="AL621" i="7" s="1"/>
  <c r="AJ621" i="7"/>
  <c r="AF621" i="7"/>
  <c r="CK620" i="7"/>
  <c r="AJ620" i="7"/>
  <c r="AL620" i="7" s="1"/>
  <c r="AF620" i="7"/>
  <c r="CV620" i="7"/>
  <c r="CW620" i="7" s="1"/>
  <c r="CR619" i="7"/>
  <c r="AJ619" i="7"/>
  <c r="AL619" i="7" s="1"/>
  <c r="AF619" i="7"/>
  <c r="AJ618" i="7"/>
  <c r="AL618" i="7" s="1"/>
  <c r="AF618" i="7"/>
  <c r="CV618" i="7"/>
  <c r="CW618" i="7" s="1"/>
  <c r="CR617" i="7"/>
  <c r="AK617" i="7"/>
  <c r="AL617" i="7" s="1"/>
  <c r="AJ617" i="7"/>
  <c r="AF617" i="7"/>
  <c r="AJ616" i="7"/>
  <c r="AL616" i="7" s="1"/>
  <c r="AF616" i="7"/>
  <c r="CV616" i="7"/>
  <c r="CW616" i="7" s="1"/>
  <c r="AK615" i="7"/>
  <c r="AL615" i="7" s="1"/>
  <c r="AJ615" i="7"/>
  <c r="AF615" i="7"/>
  <c r="CV614" i="7"/>
  <c r="CW614" i="7" s="1"/>
  <c r="AK614" i="7"/>
  <c r="AL614" i="7" s="1"/>
  <c r="AJ614" i="7"/>
  <c r="AF614" i="7"/>
  <c r="AK613" i="7"/>
  <c r="AL613" i="7" s="1"/>
  <c r="AJ613" i="7"/>
  <c r="AF613" i="7"/>
  <c r="CN612" i="7"/>
  <c r="CK612" i="7"/>
  <c r="AJ612" i="7"/>
  <c r="AL612" i="7" s="1"/>
  <c r="AF612" i="7"/>
  <c r="CV612" i="7"/>
  <c r="CW612" i="7" s="1"/>
  <c r="AK611" i="7"/>
  <c r="AL611" i="7" s="1"/>
  <c r="AJ611" i="7"/>
  <c r="AF611" i="7"/>
  <c r="CV610" i="7"/>
  <c r="CW610" i="7" s="1"/>
  <c r="AK610" i="7"/>
  <c r="AL610" i="7" s="1"/>
  <c r="AJ610" i="7"/>
  <c r="AF610" i="7"/>
  <c r="AK609" i="7"/>
  <c r="AL609" i="7" s="1"/>
  <c r="AJ609" i="7"/>
  <c r="AF609" i="7"/>
  <c r="CV608" i="7"/>
  <c r="CW608" i="7" s="1"/>
  <c r="CK608" i="7"/>
  <c r="AK608" i="7"/>
  <c r="AL608" i="7" s="1"/>
  <c r="AJ608" i="7"/>
  <c r="AF608" i="7"/>
  <c r="AK607" i="7"/>
  <c r="AL607" i="7" s="1"/>
  <c r="AJ607" i="7"/>
  <c r="AF607" i="7"/>
  <c r="AK606" i="7"/>
  <c r="AL606" i="7" s="1"/>
  <c r="AJ606" i="7"/>
  <c r="AF606" i="7"/>
  <c r="CV606" i="7"/>
  <c r="CW606" i="7" s="1"/>
  <c r="AJ1853" i="7"/>
  <c r="AL1853" i="7" s="1"/>
  <c r="AF1853" i="7"/>
  <c r="CV605" i="7"/>
  <c r="CW605" i="7" s="1"/>
  <c r="CK605" i="7"/>
  <c r="AJ605" i="7"/>
  <c r="AL605" i="7" s="1"/>
  <c r="AF605" i="7"/>
  <c r="AJ604" i="7"/>
  <c r="AL604" i="7" s="1"/>
  <c r="AF604" i="7"/>
  <c r="CV603" i="7"/>
  <c r="CW603" i="7" s="1"/>
  <c r="AJ603" i="7"/>
  <c r="AL603" i="7" s="1"/>
  <c r="AF603" i="7"/>
  <c r="AJ602" i="7"/>
  <c r="AL602" i="7" s="1"/>
  <c r="AF602" i="7"/>
  <c r="CV601" i="7"/>
  <c r="CW601" i="7" s="1"/>
  <c r="CK601" i="7"/>
  <c r="AJ601" i="7"/>
  <c r="AL601" i="7" s="1"/>
  <c r="AF601" i="7"/>
  <c r="CV600" i="7"/>
  <c r="CW600" i="7" s="1"/>
  <c r="AJ600" i="7"/>
  <c r="AL600" i="7" s="1"/>
  <c r="AF600" i="7"/>
  <c r="CV599" i="7"/>
  <c r="CW599" i="7" s="1"/>
  <c r="AJ599" i="7"/>
  <c r="AL599" i="7" s="1"/>
  <c r="AF599" i="7"/>
  <c r="CR598" i="7"/>
  <c r="AJ598" i="7"/>
  <c r="AL598" i="7" s="1"/>
  <c r="AF598" i="7"/>
  <c r="CV597" i="7"/>
  <c r="CW597" i="7" s="1"/>
  <c r="CK597" i="7"/>
  <c r="AK597" i="7"/>
  <c r="AL597" i="7" s="1"/>
  <c r="AJ597" i="7"/>
  <c r="AF597" i="7"/>
  <c r="AK1489" i="7"/>
  <c r="AL1489" i="7" s="1"/>
  <c r="AJ1489" i="7"/>
  <c r="AF1489" i="7"/>
  <c r="AJ596" i="7"/>
  <c r="AL596" i="7" s="1"/>
  <c r="AF596" i="7"/>
  <c r="CV596" i="7"/>
  <c r="CW596" i="7" s="1"/>
  <c r="CK1488" i="7"/>
  <c r="AJ1488" i="7"/>
  <c r="AL1488" i="7" s="1"/>
  <c r="AF1488" i="7"/>
  <c r="CV1488" i="7"/>
  <c r="CW1488" i="7" s="1"/>
  <c r="CK595" i="7"/>
  <c r="AK595" i="7"/>
  <c r="AL595" i="7" s="1"/>
  <c r="AJ595" i="7"/>
  <c r="AF595" i="7"/>
  <c r="CV595" i="7"/>
  <c r="CW595" i="7" s="1"/>
  <c r="CR594" i="7"/>
  <c r="AK594" i="7"/>
  <c r="AL594" i="7" s="1"/>
  <c r="AJ594" i="7"/>
  <c r="AF594" i="7"/>
  <c r="CV593" i="7"/>
  <c r="CW593" i="7" s="1"/>
  <c r="AK593" i="7"/>
  <c r="AL593" i="7" s="1"/>
  <c r="AJ593" i="7"/>
  <c r="AF593" i="7"/>
  <c r="CR592" i="7"/>
  <c r="AK592" i="7"/>
  <c r="AL592" i="7" s="1"/>
  <c r="AJ592" i="7"/>
  <c r="AF592" i="7"/>
  <c r="CR591" i="7"/>
  <c r="CK591" i="7"/>
  <c r="AJ591" i="7"/>
  <c r="AL591" i="7" s="1"/>
  <c r="AF591" i="7"/>
  <c r="CV591" i="7"/>
  <c r="CW591" i="7" s="1"/>
  <c r="AK590" i="7"/>
  <c r="AL590" i="7" s="1"/>
  <c r="AJ590" i="7"/>
  <c r="AF590" i="7"/>
  <c r="CV590" i="7"/>
  <c r="CW590" i="7" s="1"/>
  <c r="CV589" i="7"/>
  <c r="CW589" i="7" s="1"/>
  <c r="AK589" i="7"/>
  <c r="AL589" i="7" s="1"/>
  <c r="AJ589" i="7"/>
  <c r="AF589" i="7"/>
  <c r="CV588" i="7"/>
  <c r="CW588" i="7" s="1"/>
  <c r="CR588" i="7"/>
  <c r="AK588" i="7"/>
  <c r="AL588" i="7" s="1"/>
  <c r="AJ588" i="7"/>
  <c r="AF588" i="7"/>
  <c r="CK587" i="7"/>
  <c r="AK587" i="7"/>
  <c r="AL587" i="7" s="1"/>
  <c r="AJ587" i="7"/>
  <c r="AF587" i="7"/>
  <c r="CV587" i="7"/>
  <c r="CW587" i="7" s="1"/>
  <c r="AK586" i="7"/>
  <c r="AL586" i="7" s="1"/>
  <c r="AJ586" i="7"/>
  <c r="AF586" i="7"/>
  <c r="CV585" i="7"/>
  <c r="CW585" i="7" s="1"/>
  <c r="AK585" i="7"/>
  <c r="AL585" i="7" s="1"/>
  <c r="AJ585" i="7"/>
  <c r="AF585" i="7"/>
  <c r="AJ584" i="7"/>
  <c r="AL584" i="7" s="1"/>
  <c r="AF584" i="7"/>
  <c r="CV583" i="7"/>
  <c r="CW583" i="7" s="1"/>
  <c r="CK583" i="7"/>
  <c r="AJ583" i="7"/>
  <c r="AL583" i="7" s="1"/>
  <c r="AF583" i="7"/>
  <c r="AJ582" i="7"/>
  <c r="AL582" i="7" s="1"/>
  <c r="AF582" i="7"/>
  <c r="CV581" i="7"/>
  <c r="CW581" i="7" s="1"/>
  <c r="AK581" i="7"/>
  <c r="AL581" i="7" s="1"/>
  <c r="AJ581" i="7"/>
  <c r="AF581" i="7"/>
  <c r="CV580" i="7"/>
  <c r="CW580" i="7" s="1"/>
  <c r="AJ580" i="7"/>
  <c r="AL580" i="7" s="1"/>
  <c r="AF580" i="7"/>
  <c r="CV579" i="7"/>
  <c r="CW579" i="7" s="1"/>
  <c r="CK579" i="7"/>
  <c r="AJ579" i="7"/>
  <c r="AL579" i="7" s="1"/>
  <c r="AF579" i="7"/>
  <c r="AJ578" i="7"/>
  <c r="AL578" i="7" s="1"/>
  <c r="AF578" i="7"/>
  <c r="CV577" i="7"/>
  <c r="CW577" i="7" s="1"/>
  <c r="AK577" i="7"/>
  <c r="AL577" i="7" s="1"/>
  <c r="AJ577" i="7"/>
  <c r="AF577" i="7"/>
  <c r="AJ576" i="7"/>
  <c r="AL576" i="7" s="1"/>
  <c r="AF576" i="7"/>
  <c r="CK575" i="7"/>
  <c r="AK575" i="7"/>
  <c r="AL575" i="7" s="1"/>
  <c r="AJ575" i="7"/>
  <c r="AF575" i="7"/>
  <c r="CV575" i="7"/>
  <c r="CW575" i="7" s="1"/>
  <c r="AK1487" i="7"/>
  <c r="AL1487" i="7" s="1"/>
  <c r="AJ1487" i="7"/>
  <c r="AF1487" i="7"/>
  <c r="CV574" i="7"/>
  <c r="CW574" i="7" s="1"/>
  <c r="AK574" i="7"/>
  <c r="AL574" i="7" s="1"/>
  <c r="AJ574" i="7"/>
  <c r="AF574" i="7"/>
  <c r="AK573" i="7"/>
  <c r="AL573" i="7" s="1"/>
  <c r="AJ573" i="7"/>
  <c r="AF573" i="7"/>
  <c r="CK572" i="7"/>
  <c r="AK572" i="7"/>
  <c r="AL572" i="7" s="1"/>
  <c r="AJ572" i="7"/>
  <c r="AF572" i="7"/>
  <c r="CV572" i="7"/>
  <c r="CW572" i="7" s="1"/>
  <c r="AK571" i="7"/>
  <c r="AL571" i="7" s="1"/>
  <c r="AJ571" i="7"/>
  <c r="AF571" i="7"/>
  <c r="CV570" i="7"/>
  <c r="CW570" i="7" s="1"/>
  <c r="AJ570" i="7"/>
  <c r="AL570" i="7" s="1"/>
  <c r="AF570" i="7"/>
  <c r="CV569" i="7"/>
  <c r="CW569" i="7" s="1"/>
  <c r="CR569" i="7"/>
  <c r="AK569" i="7"/>
  <c r="AL569" i="7" s="1"/>
  <c r="AJ569" i="7"/>
  <c r="AF569" i="7"/>
  <c r="CV568" i="7"/>
  <c r="CW568" i="7" s="1"/>
  <c r="CK568" i="7"/>
  <c r="AJ568" i="7"/>
  <c r="AL568" i="7" s="1"/>
  <c r="AF568" i="7"/>
  <c r="AK567" i="7"/>
  <c r="AL567" i="7" s="1"/>
  <c r="AJ567" i="7"/>
  <c r="AF567" i="7"/>
  <c r="AJ566" i="7"/>
  <c r="AL566" i="7" s="1"/>
  <c r="AF566" i="7"/>
  <c r="CV566" i="7"/>
  <c r="CW566" i="7" s="1"/>
  <c r="AK565" i="7"/>
  <c r="AL565" i="7" s="1"/>
  <c r="AJ565" i="7"/>
  <c r="AF565" i="7"/>
  <c r="AJ564" i="7"/>
  <c r="AL564" i="7" s="1"/>
  <c r="AF564" i="7"/>
  <c r="CV564" i="7"/>
  <c r="CW564" i="7" s="1"/>
  <c r="AJ1486" i="7"/>
  <c r="AL1486" i="7" s="1"/>
  <c r="AF1486" i="7"/>
  <c r="AJ563" i="7"/>
  <c r="AL563" i="7" s="1"/>
  <c r="AF563" i="7"/>
  <c r="CV563" i="7"/>
  <c r="CW563" i="7" s="1"/>
  <c r="AK562" i="7"/>
  <c r="AL562" i="7" s="1"/>
  <c r="AJ562" i="7"/>
  <c r="AF562" i="7"/>
  <c r="CV561" i="7"/>
  <c r="CW561" i="7" s="1"/>
  <c r="CK561" i="7"/>
  <c r="AK561" i="7"/>
  <c r="AL561" i="7" s="1"/>
  <c r="AJ561" i="7"/>
  <c r="AF561" i="7"/>
  <c r="AK560" i="7"/>
  <c r="AL560" i="7" s="1"/>
  <c r="AJ560" i="7"/>
  <c r="AF560" i="7"/>
  <c r="AK559" i="7"/>
  <c r="AL559" i="7" s="1"/>
  <c r="AJ559" i="7"/>
  <c r="AF559" i="7"/>
  <c r="CV559" i="7"/>
  <c r="CW559" i="7" s="1"/>
  <c r="CR558" i="7"/>
  <c r="AJ558" i="7"/>
  <c r="AL558" i="7" s="1"/>
  <c r="AF558" i="7"/>
  <c r="CV557" i="7"/>
  <c r="CW557" i="7" s="1"/>
  <c r="CR557" i="7"/>
  <c r="AK557" i="7"/>
  <c r="AL557" i="7" s="1"/>
  <c r="AJ557" i="7"/>
  <c r="AF557" i="7"/>
  <c r="AK556" i="7"/>
  <c r="AL556" i="7" s="1"/>
  <c r="AJ556" i="7"/>
  <c r="AF556" i="7"/>
  <c r="AK555" i="7"/>
  <c r="AL555" i="7" s="1"/>
  <c r="AJ555" i="7"/>
  <c r="AF555" i="7"/>
  <c r="CV555" i="7"/>
  <c r="CW555" i="7" s="1"/>
  <c r="CK554" i="7"/>
  <c r="AK554" i="7"/>
  <c r="AL554" i="7" s="1"/>
  <c r="AJ554" i="7"/>
  <c r="AF554" i="7"/>
  <c r="CV553" i="7"/>
  <c r="CW553" i="7" s="1"/>
  <c r="AK553" i="7"/>
  <c r="AL553" i="7" s="1"/>
  <c r="AJ553" i="7"/>
  <c r="AF553" i="7"/>
  <c r="AK552" i="7"/>
  <c r="AL552" i="7" s="1"/>
  <c r="AJ552" i="7"/>
  <c r="AF552" i="7"/>
  <c r="CV551" i="7"/>
  <c r="CW551" i="7" s="1"/>
  <c r="AK551" i="7"/>
  <c r="AL551" i="7" s="1"/>
  <c r="AJ551" i="7"/>
  <c r="AF551" i="7"/>
  <c r="AK550" i="7"/>
  <c r="AL550" i="7" s="1"/>
  <c r="AJ550" i="7"/>
  <c r="AF550" i="7"/>
  <c r="AJ549" i="7"/>
  <c r="AL549" i="7" s="1"/>
  <c r="AF549" i="7"/>
  <c r="CV549" i="7"/>
  <c r="CW549" i="7" s="1"/>
  <c r="CR548" i="7"/>
  <c r="AJ548" i="7"/>
  <c r="AL548" i="7" s="1"/>
  <c r="AF548" i="7"/>
  <c r="CV547" i="7"/>
  <c r="CW547" i="7" s="1"/>
  <c r="AK547" i="7"/>
  <c r="AL547" i="7" s="1"/>
  <c r="AJ547" i="7"/>
  <c r="AF547" i="7"/>
  <c r="CN1485" i="7"/>
  <c r="CR1485" i="7"/>
  <c r="AK1485" i="7"/>
  <c r="AL1485" i="7" s="1"/>
  <c r="AJ1485" i="7"/>
  <c r="AF1485" i="7"/>
  <c r="CV546" i="7"/>
  <c r="CW546" i="7" s="1"/>
  <c r="CK546" i="7"/>
  <c r="AK546" i="7"/>
  <c r="AL546" i="7" s="1"/>
  <c r="AJ546" i="7"/>
  <c r="AF546" i="7"/>
  <c r="CR1484" i="7"/>
  <c r="AK1484" i="7"/>
  <c r="AL1484" i="7" s="1"/>
  <c r="AJ1484" i="7"/>
  <c r="AF1484" i="7"/>
  <c r="AJ545" i="7"/>
  <c r="AL545" i="7" s="1"/>
  <c r="AF545" i="7"/>
  <c r="CV545" i="7"/>
  <c r="CW545" i="7" s="1"/>
  <c r="AJ544" i="7"/>
  <c r="AL544" i="7" s="1"/>
  <c r="AF544" i="7"/>
  <c r="CV543" i="7"/>
  <c r="CW543" i="7" s="1"/>
  <c r="CR543" i="7"/>
  <c r="AK543" i="7"/>
  <c r="AL543" i="7" s="1"/>
  <c r="AJ543" i="7"/>
  <c r="AF543" i="7"/>
  <c r="CV542" i="7"/>
  <c r="CW542" i="7" s="1"/>
  <c r="AJ542" i="7"/>
  <c r="AL542" i="7" s="1"/>
  <c r="AF542" i="7"/>
  <c r="CV541" i="7"/>
  <c r="CW541" i="7" s="1"/>
  <c r="AJ541" i="7"/>
  <c r="AL541" i="7" s="1"/>
  <c r="AF541" i="7"/>
  <c r="AK540" i="7"/>
  <c r="AL540" i="7" s="1"/>
  <c r="AJ540" i="7"/>
  <c r="AF540" i="7"/>
  <c r="CV539" i="7"/>
  <c r="CW539" i="7" s="1"/>
  <c r="CK539" i="7"/>
  <c r="AK539" i="7"/>
  <c r="AL539" i="7" s="1"/>
  <c r="AJ539" i="7"/>
  <c r="AF539" i="7"/>
  <c r="AK538" i="7"/>
  <c r="AL538" i="7" s="1"/>
  <c r="AJ538" i="7"/>
  <c r="AF538" i="7"/>
  <c r="AJ537" i="7"/>
  <c r="AL537" i="7" s="1"/>
  <c r="AF537" i="7"/>
  <c r="CV537" i="7"/>
  <c r="CW537" i="7" s="1"/>
  <c r="AK536" i="7"/>
  <c r="AL536" i="7" s="1"/>
  <c r="AJ536" i="7"/>
  <c r="AF536" i="7"/>
  <c r="CV535" i="7"/>
  <c r="CW535" i="7" s="1"/>
  <c r="CK535" i="7"/>
  <c r="AJ535" i="7"/>
  <c r="AL535" i="7" s="1"/>
  <c r="AF535" i="7"/>
  <c r="AK534" i="7"/>
  <c r="AL534" i="7" s="1"/>
  <c r="AJ534" i="7"/>
  <c r="AF534" i="7"/>
  <c r="CV533" i="7"/>
  <c r="CW533" i="7" s="1"/>
  <c r="AK533" i="7"/>
  <c r="AL533" i="7" s="1"/>
  <c r="AJ533" i="7"/>
  <c r="AF533" i="7"/>
  <c r="CN532" i="7"/>
  <c r="CR532" i="7"/>
  <c r="CK532" i="7"/>
  <c r="AK532" i="7"/>
  <c r="AL532" i="7" s="1"/>
  <c r="AJ532" i="7"/>
  <c r="AF532" i="7"/>
  <c r="CV532" i="7"/>
  <c r="CW532" i="7" s="1"/>
  <c r="CV531" i="7"/>
  <c r="CW531" i="7" s="1"/>
  <c r="AK531" i="7"/>
  <c r="AL531" i="7" s="1"/>
  <c r="AJ531" i="7"/>
  <c r="AF531" i="7"/>
  <c r="CV530" i="7"/>
  <c r="CW530" i="7" s="1"/>
  <c r="AK530" i="7"/>
  <c r="AL530" i="7" s="1"/>
  <c r="AJ530" i="7"/>
  <c r="AF530" i="7"/>
  <c r="AK529" i="7"/>
  <c r="AL529" i="7" s="1"/>
  <c r="AJ529" i="7"/>
  <c r="AF529" i="7"/>
  <c r="CV529" i="7"/>
  <c r="CW529" i="7" s="1"/>
  <c r="AJ528" i="7"/>
  <c r="AL528" i="7" s="1"/>
  <c r="AF528" i="7"/>
  <c r="CK527" i="7"/>
  <c r="AK527" i="7"/>
  <c r="AL527" i="7" s="1"/>
  <c r="AJ527" i="7"/>
  <c r="AF527" i="7"/>
  <c r="CV527" i="7"/>
  <c r="CW527" i="7" s="1"/>
  <c r="AJ526" i="7"/>
  <c r="AL526" i="7" s="1"/>
  <c r="AF526" i="7"/>
  <c r="CV525" i="7"/>
  <c r="CW525" i="7" s="1"/>
  <c r="AK525" i="7"/>
  <c r="AL525" i="7" s="1"/>
  <c r="AJ525" i="7"/>
  <c r="AF525" i="7"/>
  <c r="AJ524" i="7"/>
  <c r="AL524" i="7" s="1"/>
  <c r="AF524" i="7"/>
  <c r="CV523" i="7"/>
  <c r="CW523" i="7" s="1"/>
  <c r="CK523" i="7"/>
  <c r="AJ523" i="7"/>
  <c r="AL523" i="7" s="1"/>
  <c r="AF523" i="7"/>
  <c r="CR1483" i="7"/>
  <c r="AJ1483" i="7"/>
  <c r="AL1483" i="7" s="1"/>
  <c r="AF1483" i="7"/>
  <c r="CV522" i="7"/>
  <c r="CW522" i="7" s="1"/>
  <c r="AJ522" i="7"/>
  <c r="AL522" i="7" s="1"/>
  <c r="AF522" i="7"/>
  <c r="AK521" i="7"/>
  <c r="AL521" i="7" s="1"/>
  <c r="AJ521" i="7"/>
  <c r="AF521" i="7"/>
  <c r="CV520" i="7"/>
  <c r="CW520" i="7" s="1"/>
  <c r="CK520" i="7"/>
  <c r="AK520" i="7"/>
  <c r="AL520" i="7" s="1"/>
  <c r="AJ520" i="7"/>
  <c r="AF520" i="7"/>
  <c r="AK519" i="7"/>
  <c r="AL519" i="7" s="1"/>
  <c r="AJ519" i="7"/>
  <c r="AF519" i="7"/>
  <c r="CV519" i="7"/>
  <c r="CW519" i="7" s="1"/>
  <c r="CV518" i="7"/>
  <c r="CW518" i="7" s="1"/>
  <c r="CN518" i="7"/>
  <c r="AK518" i="7"/>
  <c r="AL518" i="7" s="1"/>
  <c r="AJ518" i="7"/>
  <c r="AF518" i="7"/>
  <c r="CV517" i="7"/>
  <c r="CW517" i="7" s="1"/>
  <c r="CR517" i="7"/>
  <c r="AJ517" i="7"/>
  <c r="AL517" i="7" s="1"/>
  <c r="AF517" i="7"/>
  <c r="CV516" i="7"/>
  <c r="CW516" i="7" s="1"/>
  <c r="CK516" i="7"/>
  <c r="CR516" i="7"/>
  <c r="AK516" i="7"/>
  <c r="AL516" i="7" s="1"/>
  <c r="AJ516" i="7"/>
  <c r="AF516" i="7"/>
  <c r="AK515" i="7"/>
  <c r="AL515" i="7" s="1"/>
  <c r="AJ515" i="7"/>
  <c r="AF515" i="7"/>
  <c r="AJ1482" i="7"/>
  <c r="AL1482" i="7" s="1"/>
  <c r="CV1482" i="7"/>
  <c r="CW1482" i="7" s="1"/>
  <c r="CR514" i="7"/>
  <c r="AK514" i="7"/>
  <c r="AL514" i="7" s="1"/>
  <c r="AJ514" i="7"/>
  <c r="AF514" i="7"/>
  <c r="CK513" i="7"/>
  <c r="AJ513" i="7"/>
  <c r="AL513" i="7" s="1"/>
  <c r="AF513" i="7"/>
  <c r="CV513" i="7"/>
  <c r="CW513" i="7" s="1"/>
  <c r="AK512" i="7"/>
  <c r="AL512" i="7" s="1"/>
  <c r="AJ512" i="7"/>
  <c r="AF512" i="7"/>
  <c r="AJ1481" i="7"/>
  <c r="AL1481" i="7" s="1"/>
  <c r="AF1481" i="7"/>
  <c r="CV1481" i="7"/>
  <c r="CW1481" i="7" s="1"/>
  <c r="AJ511" i="7"/>
  <c r="AL511" i="7" s="1"/>
  <c r="AF511" i="7"/>
  <c r="CV511" i="7"/>
  <c r="CW511" i="7" s="1"/>
  <c r="AJ510" i="7"/>
  <c r="AL510" i="7" s="1"/>
  <c r="AF510" i="7"/>
  <c r="CV510" i="7"/>
  <c r="CW510" i="7" s="1"/>
  <c r="CV509" i="7"/>
  <c r="CW509" i="7" s="1"/>
  <c r="CR509" i="7"/>
  <c r="AK509" i="7"/>
  <c r="AL509" i="7" s="1"/>
  <c r="AJ509" i="7"/>
  <c r="AF509" i="7"/>
  <c r="CV508" i="7"/>
  <c r="CW508" i="7" s="1"/>
  <c r="AJ508" i="7"/>
  <c r="AL508" i="7" s="1"/>
  <c r="AF508" i="7"/>
  <c r="CR507" i="7"/>
  <c r="AK507" i="7"/>
  <c r="AL507" i="7" s="1"/>
  <c r="AJ507" i="7"/>
  <c r="AF507" i="7"/>
  <c r="CK506" i="7"/>
  <c r="AK506" i="7"/>
  <c r="AL506" i="7" s="1"/>
  <c r="AJ506" i="7"/>
  <c r="AF506" i="7"/>
  <c r="CV506" i="7"/>
  <c r="CW506" i="7" s="1"/>
  <c r="AJ505" i="7"/>
  <c r="AL505" i="7" s="1"/>
  <c r="AF505" i="7"/>
  <c r="AJ1852" i="7"/>
  <c r="AL1852" i="7" s="1"/>
  <c r="AF1852" i="7"/>
  <c r="AJ1480" i="7"/>
  <c r="AL1480" i="7" s="1"/>
  <c r="AF1480" i="7"/>
  <c r="AJ504" i="7"/>
  <c r="AL504" i="7" s="1"/>
  <c r="AF504" i="7"/>
  <c r="CV504" i="7"/>
  <c r="CW504" i="7" s="1"/>
  <c r="CV503" i="7"/>
  <c r="CW503" i="7" s="1"/>
  <c r="AK503" i="7"/>
  <c r="AL503" i="7" s="1"/>
  <c r="AJ503" i="7"/>
  <c r="AF503" i="7"/>
  <c r="CV502" i="7"/>
  <c r="CW502" i="7" s="1"/>
  <c r="AJ502" i="7"/>
  <c r="AL502" i="7" s="1"/>
  <c r="AF502" i="7"/>
  <c r="AK501" i="7"/>
  <c r="AL501" i="7" s="1"/>
  <c r="AJ501" i="7"/>
  <c r="AF501" i="7"/>
  <c r="CV500" i="7"/>
  <c r="CW500" i="7" s="1"/>
  <c r="CK500" i="7"/>
  <c r="AK500" i="7"/>
  <c r="AL500" i="7" s="1"/>
  <c r="AJ500" i="7"/>
  <c r="AF500" i="7"/>
  <c r="CR499" i="7"/>
  <c r="AK499" i="7"/>
  <c r="AL499" i="7" s="1"/>
  <c r="AJ499" i="7"/>
  <c r="AF499" i="7"/>
  <c r="CV499" i="7"/>
  <c r="CW499" i="7" s="1"/>
  <c r="CV498" i="7"/>
  <c r="CW498" i="7" s="1"/>
  <c r="AK498" i="7"/>
  <c r="AL498" i="7" s="1"/>
  <c r="AJ498" i="7"/>
  <c r="AF498" i="7"/>
  <c r="CV497" i="7"/>
  <c r="CW497" i="7" s="1"/>
  <c r="AK497" i="7"/>
  <c r="AL497" i="7" s="1"/>
  <c r="AJ497" i="7"/>
  <c r="AF497" i="7"/>
  <c r="CV496" i="7"/>
  <c r="CW496" i="7" s="1"/>
  <c r="CK496" i="7"/>
  <c r="AJ496" i="7"/>
  <c r="AL496" i="7" s="1"/>
  <c r="AF496" i="7"/>
  <c r="CV495" i="7"/>
  <c r="CW495" i="7" s="1"/>
  <c r="AJ495" i="7"/>
  <c r="AL495" i="7" s="1"/>
  <c r="AF495" i="7"/>
  <c r="CV494" i="7"/>
  <c r="CW494" i="7" s="1"/>
  <c r="AK494" i="7"/>
  <c r="AL494" i="7" s="1"/>
  <c r="AJ494" i="7"/>
  <c r="AF494" i="7"/>
  <c r="CK493" i="7"/>
  <c r="AJ493" i="7"/>
  <c r="AL493" i="7" s="1"/>
  <c r="AF493" i="7"/>
  <c r="CV493" i="7"/>
  <c r="CW493" i="7" s="1"/>
  <c r="CK492" i="7"/>
  <c r="AJ492" i="7"/>
  <c r="AL492" i="7" s="1"/>
  <c r="AF492" i="7"/>
  <c r="CV492" i="7"/>
  <c r="CW492" i="7" s="1"/>
  <c r="CR491" i="7"/>
  <c r="AK491" i="7"/>
  <c r="AL491" i="7" s="1"/>
  <c r="AJ491" i="7"/>
  <c r="AF491" i="7"/>
  <c r="AJ490" i="7"/>
  <c r="AL490" i="7" s="1"/>
  <c r="AF490" i="7"/>
  <c r="CV490" i="7"/>
  <c r="CW490" i="7" s="1"/>
  <c r="CR489" i="7"/>
  <c r="AK489" i="7"/>
  <c r="AL489" i="7" s="1"/>
  <c r="AJ489" i="7"/>
  <c r="AF489" i="7"/>
  <c r="CV488" i="7"/>
  <c r="CW488" i="7" s="1"/>
  <c r="CK488" i="7"/>
  <c r="AK488" i="7"/>
  <c r="AL488" i="7" s="1"/>
  <c r="AJ488" i="7"/>
  <c r="AF488" i="7"/>
  <c r="AF487" i="7"/>
  <c r="AF1479" i="7"/>
  <c r="CV1479" i="7"/>
  <c r="CW1479" i="7" s="1"/>
  <c r="AK486" i="7"/>
  <c r="AL486" i="7" s="1"/>
  <c r="AJ486" i="7"/>
  <c r="AF486" i="7"/>
  <c r="CK485" i="7"/>
  <c r="AJ485" i="7"/>
  <c r="AL485" i="7" s="1"/>
  <c r="AF485" i="7"/>
  <c r="CV485" i="7"/>
  <c r="CW485" i="7" s="1"/>
  <c r="AK78" i="7"/>
  <c r="AL78" i="7" s="1"/>
  <c r="AJ78" i="7"/>
  <c r="AF78" i="7"/>
  <c r="CV484" i="7"/>
  <c r="CW484" i="7" s="1"/>
  <c r="AK484" i="7"/>
  <c r="AL484" i="7" s="1"/>
  <c r="AJ484" i="7"/>
  <c r="AF484" i="7"/>
  <c r="AJ483" i="7"/>
  <c r="AL483" i="7" s="1"/>
  <c r="AJ482" i="7"/>
  <c r="AL482" i="7" s="1"/>
  <c r="AF482" i="7"/>
  <c r="CV482" i="7"/>
  <c r="CW482" i="7" s="1"/>
  <c r="AJ481" i="7"/>
  <c r="AL481" i="7" s="1"/>
  <c r="AF481" i="7"/>
  <c r="AJ480" i="7"/>
  <c r="AL480" i="7" s="1"/>
  <c r="AF480" i="7"/>
  <c r="CV480" i="7"/>
  <c r="CW480" i="7" s="1"/>
  <c r="CR479" i="7"/>
  <c r="AK479" i="7"/>
  <c r="AL479" i="7" s="1"/>
  <c r="AJ479" i="7"/>
  <c r="AF479" i="7"/>
  <c r="CV478" i="7"/>
  <c r="CW478" i="7" s="1"/>
  <c r="CK478" i="7"/>
  <c r="AJ478" i="7"/>
  <c r="AL478" i="7" s="1"/>
  <c r="AF478" i="7"/>
  <c r="AJ477" i="7"/>
  <c r="AL477" i="7" s="1"/>
  <c r="AF477" i="7"/>
  <c r="CV476" i="7"/>
  <c r="CW476" i="7" s="1"/>
  <c r="CK476" i="7"/>
  <c r="AK476" i="7"/>
  <c r="AL476" i="7" s="1"/>
  <c r="AJ476" i="7"/>
  <c r="AF476" i="7"/>
  <c r="CV475" i="7"/>
  <c r="CW475" i="7" s="1"/>
  <c r="AJ475" i="7"/>
  <c r="AL475" i="7" s="1"/>
  <c r="AF475" i="7"/>
  <c r="CV474" i="7"/>
  <c r="CW474" i="7" s="1"/>
  <c r="CK474" i="7"/>
  <c r="AJ474" i="7"/>
  <c r="AL474" i="7" s="1"/>
  <c r="AF474" i="7"/>
  <c r="AK473" i="7"/>
  <c r="AL473" i="7" s="1"/>
  <c r="AJ473" i="7"/>
  <c r="AF473" i="7"/>
  <c r="CN472" i="7"/>
  <c r="CK472" i="7"/>
  <c r="AK472" i="7"/>
  <c r="AL472" i="7" s="1"/>
  <c r="AJ472" i="7"/>
  <c r="AF472" i="7"/>
  <c r="CV472" i="7"/>
  <c r="CW472" i="7" s="1"/>
  <c r="CR1478" i="7"/>
  <c r="AK1478" i="7"/>
  <c r="AL1478" i="7" s="1"/>
  <c r="AJ1478" i="7"/>
  <c r="AF1478" i="7"/>
  <c r="CV471" i="7"/>
  <c r="CW471" i="7" s="1"/>
  <c r="CK471" i="7"/>
  <c r="AJ471" i="7"/>
  <c r="AL471" i="7" s="1"/>
  <c r="AF471" i="7"/>
  <c r="AK470" i="7"/>
  <c r="AL470" i="7" s="1"/>
  <c r="AJ470" i="7"/>
  <c r="AF470" i="7"/>
  <c r="AK469" i="7"/>
  <c r="AL469" i="7" s="1"/>
  <c r="AJ469" i="7"/>
  <c r="AF469" i="7"/>
  <c r="CV469" i="7"/>
  <c r="CW469" i="7" s="1"/>
  <c r="CK1477" i="7"/>
  <c r="AK1477" i="7"/>
  <c r="AL1477" i="7" s="1"/>
  <c r="AJ1477" i="7"/>
  <c r="AF1477" i="7"/>
  <c r="AJ468" i="7"/>
  <c r="AL468" i="7" s="1"/>
  <c r="AF468" i="7"/>
  <c r="CV468" i="7"/>
  <c r="CW468" i="7" s="1"/>
  <c r="AK1707" i="7"/>
  <c r="AL1707" i="7" s="1"/>
  <c r="AJ1707" i="7"/>
  <c r="AF1707" i="7"/>
  <c r="CV467" i="7"/>
  <c r="CW467" i="7" s="1"/>
  <c r="AK467" i="7"/>
  <c r="AL467" i="7" s="1"/>
  <c r="AJ467" i="7"/>
  <c r="AF467" i="7"/>
  <c r="CV466" i="7"/>
  <c r="CW466" i="7" s="1"/>
  <c r="AJ466" i="7"/>
  <c r="AL466" i="7" s="1"/>
  <c r="AF466" i="7"/>
  <c r="CV465" i="7"/>
  <c r="CW465" i="7" s="1"/>
  <c r="CK465" i="7"/>
  <c r="AJ465" i="7"/>
  <c r="AL465" i="7" s="1"/>
  <c r="AF465" i="7"/>
  <c r="AK464" i="7"/>
  <c r="AL464" i="7" s="1"/>
  <c r="AJ464" i="7"/>
  <c r="AF464" i="7"/>
  <c r="AK1476" i="7"/>
  <c r="AL1476" i="7" s="1"/>
  <c r="AJ1476" i="7"/>
  <c r="AF1476" i="7"/>
  <c r="CV1476" i="7"/>
  <c r="CW1476" i="7" s="1"/>
  <c r="AJ463" i="7"/>
  <c r="AL463" i="7" s="1"/>
  <c r="AF463" i="7"/>
  <c r="CV463" i="7"/>
  <c r="CW463" i="7" s="1"/>
  <c r="AJ462" i="7"/>
  <c r="AL462" i="7" s="1"/>
  <c r="AF462" i="7"/>
  <c r="CV462" i="7"/>
  <c r="CW462" i="7" s="1"/>
  <c r="AJ461" i="7"/>
  <c r="AL461" i="7" s="1"/>
  <c r="AF461" i="7"/>
  <c r="AJ460" i="7"/>
  <c r="AL460" i="7" s="1"/>
  <c r="AF460" i="7"/>
  <c r="CV460" i="7"/>
  <c r="CW460" i="7" s="1"/>
  <c r="CV459" i="7"/>
  <c r="CW459" i="7" s="1"/>
  <c r="CR459" i="7"/>
  <c r="AK459" i="7"/>
  <c r="AL459" i="7" s="1"/>
  <c r="AJ459" i="7"/>
  <c r="AF459" i="7"/>
  <c r="CV458" i="7"/>
  <c r="CW458" i="7" s="1"/>
  <c r="CK458" i="7"/>
  <c r="AJ458" i="7"/>
  <c r="AL458" i="7" s="1"/>
  <c r="AF458" i="7"/>
  <c r="AJ457" i="7"/>
  <c r="AL457" i="7" s="1"/>
  <c r="AF457" i="7"/>
  <c r="CV456" i="7"/>
  <c r="CW456" i="7" s="1"/>
  <c r="AJ456" i="7"/>
  <c r="AL456" i="7" s="1"/>
  <c r="AF456" i="7"/>
  <c r="CV455" i="7"/>
  <c r="CW455" i="7" s="1"/>
  <c r="CR455" i="7"/>
  <c r="AK455" i="7"/>
  <c r="AL455" i="7" s="1"/>
  <c r="AJ455" i="7"/>
  <c r="AF455" i="7"/>
  <c r="CV454" i="7"/>
  <c r="CW454" i="7" s="1"/>
  <c r="CK454" i="7"/>
  <c r="AJ454" i="7"/>
  <c r="AL454" i="7" s="1"/>
  <c r="AF454" i="7"/>
  <c r="CV453" i="7"/>
  <c r="CW453" i="7" s="1"/>
  <c r="AJ453" i="7"/>
  <c r="AL453" i="7" s="1"/>
  <c r="AF453" i="7"/>
  <c r="CV452" i="7"/>
  <c r="CW452" i="7" s="1"/>
  <c r="AJ452" i="7"/>
  <c r="AL452" i="7" s="1"/>
  <c r="AF452" i="7"/>
  <c r="CR451" i="7"/>
  <c r="AJ451" i="7"/>
  <c r="AL451" i="7" s="1"/>
  <c r="AF451" i="7"/>
  <c r="CV450" i="7"/>
  <c r="CW450" i="7" s="1"/>
  <c r="CK450" i="7"/>
  <c r="AJ450" i="7"/>
  <c r="AL450" i="7" s="1"/>
  <c r="AF450" i="7"/>
  <c r="CV449" i="7"/>
  <c r="CW449" i="7" s="1"/>
  <c r="AJ449" i="7"/>
  <c r="AL449" i="7" s="1"/>
  <c r="AF449" i="7"/>
  <c r="CV448" i="7"/>
  <c r="CW448" i="7" s="1"/>
  <c r="AJ448" i="7"/>
  <c r="AL448" i="7" s="1"/>
  <c r="AF448" i="7"/>
  <c r="AJ447" i="7"/>
  <c r="AL447" i="7" s="1"/>
  <c r="AF447" i="7"/>
  <c r="CV446" i="7"/>
  <c r="CW446" i="7" s="1"/>
  <c r="CK446" i="7"/>
  <c r="CR446" i="7"/>
  <c r="AK446" i="7"/>
  <c r="AL446" i="7" s="1"/>
  <c r="AJ446" i="7"/>
  <c r="AF446" i="7"/>
  <c r="AJ445" i="7"/>
  <c r="AL445" i="7" s="1"/>
  <c r="AF445" i="7"/>
  <c r="AJ444" i="7"/>
  <c r="AL444" i="7" s="1"/>
  <c r="AF444" i="7"/>
  <c r="CV444" i="7"/>
  <c r="CW444" i="7" s="1"/>
  <c r="CK443" i="7"/>
  <c r="AJ443" i="7"/>
  <c r="AL443" i="7" s="1"/>
  <c r="AF443" i="7"/>
  <c r="CV443" i="7"/>
  <c r="CW443" i="7" s="1"/>
  <c r="CK442" i="7"/>
  <c r="AK442" i="7"/>
  <c r="AL442" i="7" s="1"/>
  <c r="AJ442" i="7"/>
  <c r="AF442" i="7"/>
  <c r="CV442" i="7"/>
  <c r="CW442" i="7" s="1"/>
  <c r="AK441" i="7"/>
  <c r="AL441" i="7" s="1"/>
  <c r="AJ441" i="7"/>
  <c r="AF441" i="7"/>
  <c r="CV440" i="7"/>
  <c r="CW440" i="7" s="1"/>
  <c r="AJ440" i="7"/>
  <c r="AL440" i="7" s="1"/>
  <c r="AF440" i="7"/>
  <c r="CK439" i="7"/>
  <c r="AJ439" i="7"/>
  <c r="AL439" i="7" s="1"/>
  <c r="AF439" i="7"/>
  <c r="CV438" i="7"/>
  <c r="CW438" i="7" s="1"/>
  <c r="CN438" i="7"/>
  <c r="CK438" i="7"/>
  <c r="CR438" i="7"/>
  <c r="AK438" i="7"/>
  <c r="AL438" i="7" s="1"/>
  <c r="AJ438" i="7"/>
  <c r="AF438" i="7"/>
  <c r="CR437" i="7"/>
  <c r="AK437" i="7"/>
  <c r="AL437" i="7" s="1"/>
  <c r="AJ437" i="7"/>
  <c r="AF437" i="7"/>
  <c r="AJ436" i="7"/>
  <c r="AL436" i="7" s="1"/>
  <c r="AF436" i="7"/>
  <c r="CV436" i="7"/>
  <c r="CW436" i="7" s="1"/>
  <c r="AJ435" i="7"/>
  <c r="AL435" i="7" s="1"/>
  <c r="AF435" i="7"/>
  <c r="CK434" i="7"/>
  <c r="AJ434" i="7"/>
  <c r="AL434" i="7" s="1"/>
  <c r="AF434" i="7"/>
  <c r="CV434" i="7"/>
  <c r="CW434" i="7" s="1"/>
  <c r="AJ433" i="7"/>
  <c r="AL433" i="7" s="1"/>
  <c r="AF433" i="7"/>
  <c r="AJ432" i="7"/>
  <c r="AL432" i="7" s="1"/>
  <c r="AF432" i="7"/>
  <c r="CV432" i="7"/>
  <c r="CW432" i="7" s="1"/>
  <c r="CK431" i="7"/>
  <c r="AJ431" i="7"/>
  <c r="AL431" i="7" s="1"/>
  <c r="AF431" i="7"/>
  <c r="CV431" i="7"/>
  <c r="CW431" i="7" s="1"/>
  <c r="CK430" i="7"/>
  <c r="AJ430" i="7"/>
  <c r="AL430" i="7" s="1"/>
  <c r="AF430" i="7"/>
  <c r="CV430" i="7"/>
  <c r="CW430" i="7" s="1"/>
  <c r="AK429" i="7"/>
  <c r="AL429" i="7" s="1"/>
  <c r="AJ429" i="7"/>
  <c r="AF429" i="7"/>
  <c r="CV429" i="7"/>
  <c r="CW429" i="7" s="1"/>
  <c r="CV1475" i="7"/>
  <c r="CW1475" i="7" s="1"/>
  <c r="AK1475" i="7"/>
  <c r="AL1475" i="7" s="1"/>
  <c r="AJ1475" i="7"/>
  <c r="AF1475" i="7"/>
  <c r="CV428" i="7"/>
  <c r="CW428" i="7" s="1"/>
  <c r="CR428" i="7"/>
  <c r="AK428" i="7"/>
  <c r="AL428" i="7" s="1"/>
  <c r="AJ428" i="7"/>
  <c r="AF428" i="7"/>
  <c r="CV427" i="7"/>
  <c r="CW427" i="7" s="1"/>
  <c r="CK427" i="7"/>
  <c r="AJ427" i="7"/>
  <c r="AL427" i="7" s="1"/>
  <c r="AF427" i="7"/>
  <c r="AK426" i="7"/>
  <c r="AL426" i="7" s="1"/>
  <c r="AJ426" i="7"/>
  <c r="AF426" i="7"/>
  <c r="CV426" i="7"/>
  <c r="CW426" i="7" s="1"/>
  <c r="AJ425" i="7"/>
  <c r="AL425" i="7" s="1"/>
  <c r="AF425" i="7"/>
  <c r="CV425" i="7"/>
  <c r="CW425" i="7" s="1"/>
  <c r="AJ424" i="7"/>
  <c r="AL424" i="7" s="1"/>
  <c r="AF424" i="7"/>
  <c r="CK423" i="7"/>
  <c r="AJ423" i="7"/>
  <c r="AL423" i="7" s="1"/>
  <c r="AF423" i="7"/>
  <c r="CV423" i="7"/>
  <c r="CW423" i="7" s="1"/>
  <c r="AK422" i="7"/>
  <c r="AL422" i="7" s="1"/>
  <c r="AJ422" i="7"/>
  <c r="AF422" i="7"/>
  <c r="CV421" i="7"/>
  <c r="CW421" i="7" s="1"/>
  <c r="AK421" i="7"/>
  <c r="AL421" i="7" s="1"/>
  <c r="AJ421" i="7"/>
  <c r="AF421" i="7"/>
  <c r="AJ420" i="7"/>
  <c r="AL420" i="7" s="1"/>
  <c r="AF420" i="7"/>
  <c r="CV419" i="7"/>
  <c r="CW419" i="7" s="1"/>
  <c r="CK419" i="7"/>
  <c r="AJ419" i="7"/>
  <c r="AL419" i="7" s="1"/>
  <c r="AF419" i="7"/>
  <c r="AJ418" i="7"/>
  <c r="AL418" i="7" s="1"/>
  <c r="AF418" i="7"/>
  <c r="AJ417" i="7"/>
  <c r="AL417" i="7" s="1"/>
  <c r="AF417" i="7"/>
  <c r="CV417" i="7"/>
  <c r="CW417" i="7" s="1"/>
  <c r="CW416" i="7"/>
  <c r="CK415" i="7"/>
  <c r="AJ415" i="7"/>
  <c r="AL415" i="7" s="1"/>
  <c r="AF415" i="7"/>
  <c r="CV415" i="7"/>
  <c r="CW415" i="7" s="1"/>
  <c r="AJ414" i="7"/>
  <c r="AL414" i="7" s="1"/>
  <c r="AF414" i="7"/>
  <c r="CW413" i="7"/>
  <c r="AK412" i="7"/>
  <c r="AL412" i="7" s="1"/>
  <c r="AJ412" i="7"/>
  <c r="AF412" i="7"/>
  <c r="CV411" i="7"/>
  <c r="CW411" i="7" s="1"/>
  <c r="CK411" i="7"/>
  <c r="AJ411" i="7"/>
  <c r="AL411" i="7" s="1"/>
  <c r="AJ410" i="7"/>
  <c r="AL410" i="7" s="1"/>
  <c r="AF410" i="7"/>
  <c r="CV409" i="7"/>
  <c r="CW409" i="7" s="1"/>
  <c r="CK409" i="7"/>
  <c r="AJ409" i="7"/>
  <c r="AL409" i="7" s="1"/>
  <c r="AF409" i="7"/>
  <c r="AJ408" i="7"/>
  <c r="AL408" i="7" s="1"/>
  <c r="AF408" i="7"/>
  <c r="CV407" i="7"/>
  <c r="CW407" i="7" s="1"/>
  <c r="CK407" i="7"/>
  <c r="AJ407" i="7"/>
  <c r="AL407" i="7" s="1"/>
  <c r="AF407" i="7"/>
  <c r="AJ406" i="7"/>
  <c r="AL406" i="7" s="1"/>
  <c r="AF406" i="7"/>
  <c r="AJ405" i="7"/>
  <c r="AL405" i="7" s="1"/>
  <c r="AF405" i="7"/>
  <c r="CV405" i="7"/>
  <c r="CW405" i="7" s="1"/>
  <c r="CK404" i="7"/>
  <c r="AJ404" i="7"/>
  <c r="AL404" i="7" s="1"/>
  <c r="AF404" i="7"/>
  <c r="CV404" i="7"/>
  <c r="CW404" i="7" s="1"/>
  <c r="CK403" i="7"/>
  <c r="AJ403" i="7"/>
  <c r="AL403" i="7" s="1"/>
  <c r="AF403" i="7"/>
  <c r="CV403" i="7"/>
  <c r="CW403" i="7" s="1"/>
  <c r="CV402" i="7"/>
  <c r="CW402" i="7" s="1"/>
  <c r="AJ402" i="7"/>
  <c r="AL402" i="7" s="1"/>
  <c r="AF402" i="7"/>
  <c r="CW1648" i="7"/>
  <c r="AJ401" i="7"/>
  <c r="AL401" i="7" s="1"/>
  <c r="AF401" i="7"/>
  <c r="CK400" i="7"/>
  <c r="AJ400" i="7"/>
  <c r="AL400" i="7" s="1"/>
  <c r="AF400" i="7"/>
  <c r="CV400" i="7"/>
  <c r="CW400" i="7" s="1"/>
  <c r="AJ399" i="7"/>
  <c r="AL399" i="7" s="1"/>
  <c r="AF399" i="7"/>
  <c r="CV398" i="7"/>
  <c r="CW398" i="7" s="1"/>
  <c r="AJ398" i="7"/>
  <c r="AL398" i="7" s="1"/>
  <c r="AF398" i="7"/>
  <c r="CV397" i="7"/>
  <c r="CW397" i="7" s="1"/>
  <c r="AJ397" i="7"/>
  <c r="AL397" i="7" s="1"/>
  <c r="AF397" i="7"/>
  <c r="CV396" i="7"/>
  <c r="CW396" i="7" s="1"/>
  <c r="CK396" i="7"/>
  <c r="AJ396" i="7"/>
  <c r="AL396" i="7" s="1"/>
  <c r="AF396" i="7"/>
  <c r="AF395" i="7"/>
  <c r="CK394" i="7"/>
  <c r="AJ394" i="7"/>
  <c r="AL394" i="7" s="1"/>
  <c r="AF394" i="7"/>
  <c r="CV394" i="7"/>
  <c r="CW394" i="7" s="1"/>
  <c r="AJ393" i="7"/>
  <c r="AL393" i="7" s="1"/>
  <c r="AF393" i="7"/>
  <c r="CK392" i="7"/>
  <c r="AJ392" i="7"/>
  <c r="AL392" i="7" s="1"/>
  <c r="AF392" i="7"/>
  <c r="CV392" i="7"/>
  <c r="CW392" i="7" s="1"/>
  <c r="CK391" i="7"/>
  <c r="AJ391" i="7"/>
  <c r="AL391" i="7" s="1"/>
  <c r="AF391" i="7"/>
  <c r="CV391" i="7"/>
  <c r="CW391" i="7" s="1"/>
  <c r="AJ390" i="7"/>
  <c r="AL390" i="7" s="1"/>
  <c r="AF390" i="7"/>
  <c r="CV390" i="7"/>
  <c r="CW390" i="7" s="1"/>
  <c r="CV389" i="7"/>
  <c r="CW389" i="7" s="1"/>
  <c r="AJ389" i="7"/>
  <c r="AL389" i="7" s="1"/>
  <c r="AF389" i="7"/>
  <c r="CV388" i="7"/>
  <c r="CW388" i="7" s="1"/>
  <c r="CK388" i="7"/>
  <c r="AJ388" i="7"/>
  <c r="AL388" i="7" s="1"/>
  <c r="AF388" i="7"/>
  <c r="AJ387" i="7"/>
  <c r="AL387" i="7" s="1"/>
  <c r="AF387" i="7"/>
  <c r="CV386" i="7"/>
  <c r="CW386" i="7" s="1"/>
  <c r="AK386" i="7"/>
  <c r="AL386" i="7" s="1"/>
  <c r="AJ386" i="7"/>
  <c r="AF386" i="7"/>
  <c r="CK385" i="7"/>
  <c r="AJ385" i="7"/>
  <c r="AL385" i="7" s="1"/>
  <c r="AF385" i="7"/>
  <c r="CV385" i="7"/>
  <c r="CW385" i="7" s="1"/>
  <c r="CK384" i="7"/>
  <c r="AK384" i="7"/>
  <c r="AL384" i="7" s="1"/>
  <c r="AJ384" i="7"/>
  <c r="AF384" i="7"/>
  <c r="CV384" i="7"/>
  <c r="CW384" i="7" s="1"/>
  <c r="AJ383" i="7"/>
  <c r="AL383" i="7" s="1"/>
  <c r="AF383" i="7"/>
  <c r="CV383" i="7"/>
  <c r="CW383" i="7" s="1"/>
  <c r="AJ382" i="7"/>
  <c r="AL382" i="7" s="1"/>
  <c r="AF382" i="7"/>
  <c r="CV382" i="7"/>
  <c r="CW382" i="7" s="1"/>
  <c r="AJ1474" i="7"/>
  <c r="AL1474" i="7" s="1"/>
  <c r="AF1474" i="7"/>
  <c r="CK381" i="7"/>
  <c r="AJ381" i="7"/>
  <c r="AL381" i="7" s="1"/>
  <c r="AF381" i="7"/>
  <c r="CV381" i="7"/>
  <c r="CW381" i="7" s="1"/>
  <c r="AK380" i="7"/>
  <c r="AL380" i="7" s="1"/>
  <c r="AJ380" i="7"/>
  <c r="AF380" i="7"/>
  <c r="AJ379" i="7"/>
  <c r="AL379" i="7" s="1"/>
  <c r="AF379" i="7"/>
  <c r="CV379" i="7"/>
  <c r="CW379" i="7" s="1"/>
  <c r="AJ378" i="7"/>
  <c r="AL378" i="7" s="1"/>
  <c r="AF378" i="7"/>
  <c r="AJ377" i="7"/>
  <c r="AL377" i="7" s="1"/>
  <c r="AF377" i="7"/>
  <c r="CV377" i="7"/>
  <c r="CW377" i="7" s="1"/>
  <c r="CR376" i="7"/>
  <c r="AK376" i="7"/>
  <c r="AL376" i="7" s="1"/>
  <c r="AJ376" i="7"/>
  <c r="AF376" i="7"/>
  <c r="CV375" i="7"/>
  <c r="CW375" i="7" s="1"/>
  <c r="AJ375" i="7"/>
  <c r="AL375" i="7" s="1"/>
  <c r="AF375" i="7"/>
  <c r="AK374" i="7"/>
  <c r="AL374" i="7" s="1"/>
  <c r="AJ374" i="7"/>
  <c r="AF374" i="7"/>
  <c r="CV373" i="7"/>
  <c r="CW373" i="7" s="1"/>
  <c r="CK373" i="7"/>
  <c r="AJ373" i="7"/>
  <c r="AL373" i="7" s="1"/>
  <c r="AF373" i="7"/>
  <c r="CR1473" i="7"/>
  <c r="AK1473" i="7"/>
  <c r="AL1473" i="7" s="1"/>
  <c r="AJ1473" i="7"/>
  <c r="AF1473" i="7"/>
  <c r="CV1473" i="7"/>
  <c r="CW1473" i="7" s="1"/>
  <c r="AJ372" i="7"/>
  <c r="AL372" i="7" s="1"/>
  <c r="AF372" i="7"/>
  <c r="CV372" i="7"/>
  <c r="CW372" i="7" s="1"/>
  <c r="CR371" i="7"/>
  <c r="AJ371" i="7"/>
  <c r="AL371" i="7" s="1"/>
  <c r="AF371" i="7"/>
  <c r="CK370" i="7"/>
  <c r="AJ370" i="7"/>
  <c r="AL370" i="7" s="1"/>
  <c r="AF370" i="7"/>
  <c r="CV370" i="7"/>
  <c r="CW370" i="7" s="1"/>
  <c r="AJ369" i="7"/>
  <c r="AL369" i="7" s="1"/>
  <c r="AF369" i="7"/>
  <c r="CK368" i="7"/>
  <c r="AK368" i="7"/>
  <c r="AL368" i="7" s="1"/>
  <c r="AJ368" i="7"/>
  <c r="AF368" i="7"/>
  <c r="CV368" i="7"/>
  <c r="CW368" i="7" s="1"/>
  <c r="CR1472" i="7"/>
  <c r="AK1472" i="7"/>
  <c r="AL1472" i="7" s="1"/>
  <c r="AJ1472" i="7"/>
  <c r="AF1472" i="7"/>
  <c r="CV367" i="7"/>
  <c r="CW367" i="7" s="1"/>
  <c r="CK367" i="7"/>
  <c r="AJ367" i="7"/>
  <c r="AL367" i="7" s="1"/>
  <c r="AF367" i="7"/>
  <c r="CV366" i="7"/>
  <c r="CW366" i="7" s="1"/>
  <c r="CR366" i="7"/>
  <c r="AJ366" i="7"/>
  <c r="AL366" i="7" s="1"/>
  <c r="AF366" i="7"/>
  <c r="CV365" i="7"/>
  <c r="CW365" i="7" s="1"/>
  <c r="AJ365" i="7"/>
  <c r="AL365" i="7" s="1"/>
  <c r="AF365" i="7"/>
  <c r="CV364" i="7"/>
  <c r="CW364" i="7" s="1"/>
  <c r="AK364" i="7"/>
  <c r="AL364" i="7" s="1"/>
  <c r="AJ364" i="7"/>
  <c r="AF364" i="7"/>
  <c r="CK1471" i="7"/>
  <c r="AK1471" i="7"/>
  <c r="AL1471" i="7" s="1"/>
  <c r="AJ1471" i="7"/>
  <c r="AF1471" i="7"/>
  <c r="CV1471" i="7"/>
  <c r="CW1471" i="7" s="1"/>
  <c r="CR363" i="7"/>
  <c r="AK363" i="7"/>
  <c r="AL363" i="7" s="1"/>
  <c r="AJ363" i="7"/>
  <c r="AF363" i="7"/>
  <c r="AJ362" i="7"/>
  <c r="AL362" i="7" s="1"/>
  <c r="AF362" i="7"/>
  <c r="CV362" i="7"/>
  <c r="CW362" i="7" s="1"/>
  <c r="CR1470" i="7"/>
  <c r="AK1470" i="7"/>
  <c r="AL1470" i="7" s="1"/>
  <c r="AJ1470" i="7"/>
  <c r="AF1470" i="7"/>
  <c r="CV361" i="7"/>
  <c r="CW361" i="7" s="1"/>
  <c r="CK361" i="7"/>
  <c r="AJ361" i="7"/>
  <c r="AL361" i="7" s="1"/>
  <c r="AF361" i="7"/>
  <c r="CV360" i="7"/>
  <c r="CW360" i="7" s="1"/>
  <c r="AK360" i="7"/>
  <c r="AL360" i="7" s="1"/>
  <c r="AJ360" i="7"/>
  <c r="AF360" i="7"/>
  <c r="AK359" i="7"/>
  <c r="AL359" i="7" s="1"/>
  <c r="AJ359" i="7"/>
  <c r="AF359" i="7"/>
  <c r="CV359" i="7"/>
  <c r="CW359" i="7" s="1"/>
  <c r="CK358" i="7"/>
  <c r="AK358" i="7"/>
  <c r="AL358" i="7" s="1"/>
  <c r="AJ358" i="7"/>
  <c r="AF358" i="7"/>
  <c r="CR357" i="7"/>
  <c r="AJ357" i="7"/>
  <c r="AL357" i="7" s="1"/>
  <c r="AF357" i="7"/>
  <c r="CV357" i="7"/>
  <c r="CW357" i="7" s="1"/>
  <c r="AJ356" i="7"/>
  <c r="AL356" i="7" s="1"/>
  <c r="AF356" i="7"/>
  <c r="AJ355" i="7"/>
  <c r="AL355" i="7" s="1"/>
  <c r="AF355" i="7"/>
  <c r="CV355" i="7"/>
  <c r="CW355" i="7" s="1"/>
  <c r="AJ354" i="7"/>
  <c r="AL354" i="7" s="1"/>
  <c r="AF354" i="7"/>
  <c r="CV354" i="7"/>
  <c r="CW354" i="7" s="1"/>
  <c r="CV353" i="7"/>
  <c r="CW353" i="7" s="1"/>
  <c r="CN353" i="7"/>
  <c r="AK353" i="7"/>
  <c r="AL353" i="7" s="1"/>
  <c r="AJ353" i="7"/>
  <c r="AF353" i="7"/>
  <c r="AK1706" i="7"/>
  <c r="AL1706" i="7" s="1"/>
  <c r="AJ1706" i="7"/>
  <c r="AF1706" i="7"/>
  <c r="CV352" i="7"/>
  <c r="CW352" i="7" s="1"/>
  <c r="AK352" i="7"/>
  <c r="AL352" i="7" s="1"/>
  <c r="AJ352" i="7"/>
  <c r="AF352" i="7"/>
  <c r="CK1469" i="7"/>
  <c r="AK1469" i="7"/>
  <c r="AL1469" i="7" s="1"/>
  <c r="AJ1469" i="7"/>
  <c r="AF1469" i="7"/>
  <c r="CV351" i="7"/>
  <c r="CW351" i="7" s="1"/>
  <c r="CK351" i="7"/>
  <c r="AJ351" i="7"/>
  <c r="AL351" i="7" s="1"/>
  <c r="AF351" i="7"/>
  <c r="CV350" i="7"/>
  <c r="CW350" i="7" s="1"/>
  <c r="AK350" i="7"/>
  <c r="AL350" i="7" s="1"/>
  <c r="AJ350" i="7"/>
  <c r="AF350" i="7"/>
  <c r="CK1468" i="7"/>
  <c r="AJ1468" i="7"/>
  <c r="AL1468" i="7" s="1"/>
  <c r="AF1468" i="7"/>
  <c r="CV1468" i="7"/>
  <c r="CW1468" i="7" s="1"/>
  <c r="AJ349" i="7"/>
  <c r="AL349" i="7" s="1"/>
  <c r="AF349" i="7"/>
  <c r="CK348" i="7"/>
  <c r="AJ348" i="7"/>
  <c r="AL348" i="7" s="1"/>
  <c r="AF348" i="7"/>
  <c r="CV348" i="7"/>
  <c r="CW348" i="7" s="1"/>
  <c r="AK347" i="7"/>
  <c r="AL347" i="7" s="1"/>
  <c r="AJ347" i="7"/>
  <c r="AF347" i="7"/>
  <c r="CV347" i="7"/>
  <c r="CW347" i="7" s="1"/>
  <c r="CV1467" i="7"/>
  <c r="CW1467" i="7" s="1"/>
  <c r="AK1467" i="7"/>
  <c r="AL1467" i="7" s="1"/>
  <c r="AJ1467" i="7"/>
  <c r="AF1467" i="7"/>
  <c r="CV346" i="7"/>
  <c r="CW346" i="7" s="1"/>
  <c r="CR346" i="7"/>
  <c r="AJ346" i="7"/>
  <c r="AL346" i="7" s="1"/>
  <c r="AF346" i="7"/>
  <c r="CV345" i="7"/>
  <c r="CW345" i="7" s="1"/>
  <c r="CK345" i="7"/>
  <c r="AJ345" i="7"/>
  <c r="AL345" i="7" s="1"/>
  <c r="AF345" i="7"/>
  <c r="CV344" i="7"/>
  <c r="CW344" i="7" s="1"/>
  <c r="AK344" i="7"/>
  <c r="AL344" i="7" s="1"/>
  <c r="AJ344" i="7"/>
  <c r="AF344" i="7"/>
  <c r="AK343" i="7"/>
  <c r="AL343" i="7" s="1"/>
  <c r="AJ343" i="7"/>
  <c r="AF343" i="7"/>
  <c r="CV343" i="7"/>
  <c r="CW343" i="7" s="1"/>
  <c r="CR342" i="7"/>
  <c r="AK342" i="7"/>
  <c r="AL342" i="7" s="1"/>
  <c r="AJ342" i="7"/>
  <c r="AF342" i="7"/>
  <c r="CV341" i="7"/>
  <c r="CW341" i="7" s="1"/>
  <c r="CN341" i="7"/>
  <c r="AK341" i="7"/>
  <c r="AL341" i="7" s="1"/>
  <c r="AJ341" i="7"/>
  <c r="AF341" i="7"/>
  <c r="AK340" i="7"/>
  <c r="AL340" i="7" s="1"/>
  <c r="AJ340" i="7"/>
  <c r="AF340" i="7"/>
  <c r="CV339" i="7"/>
  <c r="CW339" i="7" s="1"/>
  <c r="AJ339" i="7"/>
  <c r="AL339" i="7" s="1"/>
  <c r="AF339" i="7"/>
  <c r="AK338" i="7"/>
  <c r="AL338" i="7" s="1"/>
  <c r="AJ338" i="7"/>
  <c r="AF338" i="7"/>
  <c r="CK337" i="7"/>
  <c r="AJ337" i="7"/>
  <c r="AL337" i="7" s="1"/>
  <c r="AF337" i="7"/>
  <c r="CV337" i="7"/>
  <c r="CW337" i="7" s="1"/>
  <c r="AK1466" i="7"/>
  <c r="AL1466" i="7" s="1"/>
  <c r="AJ1466" i="7"/>
  <c r="AF1466" i="7"/>
  <c r="CV336" i="7"/>
  <c r="CW336" i="7" s="1"/>
  <c r="AK336" i="7"/>
  <c r="AL336" i="7" s="1"/>
  <c r="AJ336" i="7"/>
  <c r="AF336" i="7"/>
  <c r="CR335" i="7"/>
  <c r="AK335" i="7"/>
  <c r="AL335" i="7" s="1"/>
  <c r="AJ335" i="7"/>
  <c r="AF335" i="7"/>
  <c r="CK334" i="7"/>
  <c r="AK334" i="7"/>
  <c r="AL334" i="7" s="1"/>
  <c r="AJ334" i="7"/>
  <c r="AF334" i="7"/>
  <c r="CV334" i="7"/>
  <c r="CW334" i="7" s="1"/>
  <c r="AJ333" i="7"/>
  <c r="AL333" i="7" s="1"/>
  <c r="AF333" i="7"/>
  <c r="CN332" i="7"/>
  <c r="AK332" i="7"/>
  <c r="AL332" i="7" s="1"/>
  <c r="AJ332" i="7"/>
  <c r="AF332" i="7"/>
  <c r="CV332" i="7"/>
  <c r="CW332" i="7" s="1"/>
  <c r="CR331" i="7"/>
  <c r="AK331" i="7"/>
  <c r="AL331" i="7" s="1"/>
  <c r="AJ331" i="7"/>
  <c r="AF331" i="7"/>
  <c r="CV330" i="7"/>
  <c r="CW330" i="7" s="1"/>
  <c r="CK330" i="7"/>
  <c r="CR330" i="7"/>
  <c r="AJ330" i="7"/>
  <c r="AL330" i="7" s="1"/>
  <c r="AF330" i="7"/>
  <c r="CV329" i="7"/>
  <c r="CW329" i="7" s="1"/>
  <c r="AK329" i="7"/>
  <c r="AL329" i="7" s="1"/>
  <c r="AJ329" i="7"/>
  <c r="AF329" i="7"/>
  <c r="CV328" i="7"/>
  <c r="CW328" i="7" s="1"/>
  <c r="AK327" i="7"/>
  <c r="AL327" i="7" s="1"/>
  <c r="AJ327" i="7"/>
  <c r="AF327" i="7"/>
  <c r="CV326" i="7"/>
  <c r="CW326" i="7" s="1"/>
  <c r="AK326" i="7"/>
  <c r="AL326" i="7" s="1"/>
  <c r="AJ326" i="7"/>
  <c r="AF326" i="7"/>
  <c r="CV325" i="7"/>
  <c r="CW325" i="7" s="1"/>
  <c r="AJ325" i="7"/>
  <c r="AL325" i="7" s="1"/>
  <c r="AF325" i="7"/>
  <c r="CV324" i="7"/>
  <c r="CW324" i="7" s="1"/>
  <c r="AJ324" i="7"/>
  <c r="AL324" i="7" s="1"/>
  <c r="AF324" i="7"/>
  <c r="CK1465" i="7"/>
  <c r="CR1465" i="7"/>
  <c r="AK1465" i="7"/>
  <c r="AL1465" i="7" s="1"/>
  <c r="AJ1465" i="7"/>
  <c r="AF1465" i="7"/>
  <c r="CV323" i="7"/>
  <c r="CW323" i="7" s="1"/>
  <c r="CK323" i="7"/>
  <c r="AJ323" i="7"/>
  <c r="AL323" i="7" s="1"/>
  <c r="AF323" i="7"/>
  <c r="AJ322" i="7"/>
  <c r="AL322" i="7" s="1"/>
  <c r="AF322" i="7"/>
  <c r="CV321" i="7"/>
  <c r="CW321" i="7" s="1"/>
  <c r="AJ321" i="7"/>
  <c r="AL321" i="7" s="1"/>
  <c r="AF321" i="7"/>
  <c r="AJ320" i="7"/>
  <c r="AL320" i="7" s="1"/>
  <c r="AF320" i="7"/>
  <c r="CV319" i="7"/>
  <c r="CW319" i="7" s="1"/>
  <c r="CK319" i="7"/>
  <c r="CR319" i="7"/>
  <c r="AJ319" i="7"/>
  <c r="AL319" i="7" s="1"/>
  <c r="AF319" i="7"/>
  <c r="CR318" i="7"/>
  <c r="AK318" i="7"/>
  <c r="AL318" i="7" s="1"/>
  <c r="AJ318" i="7"/>
  <c r="AF318" i="7"/>
  <c r="AJ1464" i="7"/>
  <c r="AL1464" i="7" s="1"/>
  <c r="AF1464" i="7"/>
  <c r="CV1464" i="7"/>
  <c r="CW1464" i="7" s="1"/>
  <c r="AJ317" i="7"/>
  <c r="AL317" i="7" s="1"/>
  <c r="AF317" i="7"/>
  <c r="CN316" i="7"/>
  <c r="CR316" i="7"/>
  <c r="CK316" i="7"/>
  <c r="AK316" i="7"/>
  <c r="AL316" i="7" s="1"/>
  <c r="AJ316" i="7"/>
  <c r="AF316" i="7"/>
  <c r="CV316" i="7"/>
  <c r="CW316" i="7" s="1"/>
  <c r="CR315" i="7"/>
  <c r="AK315" i="7"/>
  <c r="AL315" i="7" s="1"/>
  <c r="AJ315" i="7"/>
  <c r="AF315" i="7"/>
  <c r="AJ314" i="7"/>
  <c r="AL314" i="7" s="1"/>
  <c r="AF314" i="7"/>
  <c r="CV314" i="7"/>
  <c r="CW314" i="7" s="1"/>
  <c r="AJ313" i="7"/>
  <c r="AL313" i="7" s="1"/>
  <c r="AF313" i="7"/>
  <c r="AJ312" i="7"/>
  <c r="AL312" i="7" s="1"/>
  <c r="AF312" i="7"/>
  <c r="CV312" i="7"/>
  <c r="CW312" i="7" s="1"/>
  <c r="CR1463" i="7"/>
  <c r="AK1463" i="7"/>
  <c r="AL1463" i="7" s="1"/>
  <c r="AJ1463" i="7"/>
  <c r="AF1463" i="7"/>
  <c r="CV311" i="7"/>
  <c r="CW311" i="7" s="1"/>
  <c r="AJ311" i="7"/>
  <c r="AL311" i="7" s="1"/>
  <c r="AF311" i="7"/>
  <c r="AJ310" i="7"/>
  <c r="AL310" i="7" s="1"/>
  <c r="AF310" i="7"/>
  <c r="CV309" i="7"/>
  <c r="CW309" i="7" s="1"/>
  <c r="CK309" i="7"/>
  <c r="AJ309" i="7"/>
  <c r="AL309" i="7" s="1"/>
  <c r="AF309" i="7"/>
  <c r="AJ308" i="7"/>
  <c r="AL308" i="7" s="1"/>
  <c r="AF308" i="7"/>
  <c r="CV307" i="7"/>
  <c r="CW307" i="7" s="1"/>
  <c r="AJ307" i="7"/>
  <c r="AL307" i="7" s="1"/>
  <c r="AF307" i="7"/>
  <c r="CV306" i="7"/>
  <c r="CW306" i="7" s="1"/>
  <c r="AK306" i="7"/>
  <c r="AL306" i="7" s="1"/>
  <c r="AJ306" i="7"/>
  <c r="AF306" i="7"/>
  <c r="CV305" i="7"/>
  <c r="CW305" i="7" s="1"/>
  <c r="CK305" i="7"/>
  <c r="AJ305" i="7"/>
  <c r="AL305" i="7" s="1"/>
  <c r="AF305" i="7"/>
  <c r="CR304" i="7"/>
  <c r="AK304" i="7"/>
  <c r="AL304" i="7" s="1"/>
  <c r="AJ304" i="7"/>
  <c r="AF304" i="7"/>
  <c r="AK303" i="7"/>
  <c r="AL303" i="7" s="1"/>
  <c r="AJ303" i="7"/>
  <c r="AF303" i="7"/>
  <c r="CV303" i="7"/>
  <c r="CW303" i="7" s="1"/>
  <c r="CN302" i="7"/>
  <c r="CR302" i="7"/>
  <c r="AK302" i="7"/>
  <c r="AL302" i="7" s="1"/>
  <c r="AJ302" i="7"/>
  <c r="AF302" i="7"/>
  <c r="CV301" i="7"/>
  <c r="CW301" i="7" s="1"/>
  <c r="CK301" i="7"/>
  <c r="AK301" i="7"/>
  <c r="AL301" i="7" s="1"/>
  <c r="AJ301" i="7"/>
  <c r="AF301" i="7"/>
  <c r="AJ300" i="7"/>
  <c r="AL300" i="7" s="1"/>
  <c r="AF300" i="7"/>
  <c r="CV299" i="7"/>
  <c r="CW299" i="7" s="1"/>
  <c r="AJ299" i="7"/>
  <c r="AL299" i="7" s="1"/>
  <c r="AF299" i="7"/>
  <c r="AJ298" i="7"/>
  <c r="AL298" i="7" s="1"/>
  <c r="AF298" i="7"/>
  <c r="CV297" i="7"/>
  <c r="CW297" i="7" s="1"/>
  <c r="CK297" i="7"/>
  <c r="AJ297" i="7"/>
  <c r="AL297" i="7" s="1"/>
  <c r="AF297" i="7"/>
  <c r="CV296" i="7"/>
  <c r="CW296" i="7" s="1"/>
  <c r="AJ296" i="7"/>
  <c r="AL296" i="7" s="1"/>
  <c r="AF296" i="7"/>
  <c r="CV295" i="7"/>
  <c r="CW295" i="7" s="1"/>
  <c r="AJ295" i="7"/>
  <c r="AL295" i="7" s="1"/>
  <c r="AF295" i="7"/>
  <c r="AJ294" i="7"/>
  <c r="AL294" i="7" s="1"/>
  <c r="AF294" i="7"/>
  <c r="CV293" i="7"/>
  <c r="CW293" i="7" s="1"/>
  <c r="CK293" i="7"/>
  <c r="AJ293" i="7"/>
  <c r="AL293" i="7" s="1"/>
  <c r="AF293" i="7"/>
  <c r="AJ292" i="7"/>
  <c r="AL292" i="7" s="1"/>
  <c r="AF292" i="7"/>
  <c r="CV291" i="7"/>
  <c r="CW291" i="7" s="1"/>
  <c r="AJ291" i="7"/>
  <c r="AL291" i="7" s="1"/>
  <c r="AF291" i="7"/>
  <c r="CK290" i="7"/>
  <c r="AK290" i="7"/>
  <c r="AL290" i="7" s="1"/>
  <c r="AJ290" i="7"/>
  <c r="AF290" i="7"/>
  <c r="CK289" i="7"/>
  <c r="AJ289" i="7"/>
  <c r="AL289" i="7" s="1"/>
  <c r="AF289" i="7"/>
  <c r="CV289" i="7"/>
  <c r="CW289" i="7" s="1"/>
  <c r="CR288" i="7"/>
  <c r="AK288" i="7"/>
  <c r="AL288" i="7" s="1"/>
  <c r="AJ288" i="7"/>
  <c r="AF288" i="7"/>
  <c r="CV288" i="7"/>
  <c r="CW288" i="7" s="1"/>
  <c r="AJ287" i="7"/>
  <c r="AL287" i="7" s="1"/>
  <c r="AF287" i="7"/>
  <c r="CV287" i="7"/>
  <c r="CW287" i="7" s="1"/>
  <c r="AJ286" i="7"/>
  <c r="AL286" i="7" s="1"/>
  <c r="AF286" i="7"/>
  <c r="CV286" i="7"/>
  <c r="CW286" i="7" s="1"/>
  <c r="CV285" i="7"/>
  <c r="CW285" i="7" s="1"/>
  <c r="AK285" i="7"/>
  <c r="AL285" i="7" s="1"/>
  <c r="AJ285" i="7"/>
  <c r="AF285" i="7"/>
  <c r="CV1462" i="7"/>
  <c r="CW1462" i="7" s="1"/>
  <c r="CK1462" i="7"/>
  <c r="CR1462" i="7"/>
  <c r="AK1462" i="7"/>
  <c r="AL1462" i="7" s="1"/>
  <c r="AJ1462" i="7"/>
  <c r="AF1462" i="7"/>
  <c r="AK284" i="7"/>
  <c r="AL284" i="7" s="1"/>
  <c r="AJ284" i="7"/>
  <c r="AF284" i="7"/>
  <c r="CV284" i="7"/>
  <c r="CW284" i="7" s="1"/>
  <c r="AK283" i="7"/>
  <c r="AL283" i="7" s="1"/>
  <c r="AJ283" i="7"/>
  <c r="AF283" i="7"/>
  <c r="CV282" i="7"/>
  <c r="CW282" i="7" s="1"/>
  <c r="AK282" i="7"/>
  <c r="AL282" i="7" s="1"/>
  <c r="AJ282" i="7"/>
  <c r="AF282" i="7"/>
  <c r="CV1786" i="7"/>
  <c r="CW1786" i="7" s="1"/>
  <c r="AJ1786" i="7"/>
  <c r="AL1786" i="7" s="1"/>
  <c r="AF1786" i="7"/>
  <c r="AJ281" i="7"/>
  <c r="AL281" i="7" s="1"/>
  <c r="AF281" i="7"/>
  <c r="CV281" i="7"/>
  <c r="CW281" i="7" s="1"/>
  <c r="AJ1785" i="7"/>
  <c r="AL1785" i="7" s="1"/>
  <c r="AF1785" i="7"/>
  <c r="CV280" i="7"/>
  <c r="CW280" i="7" s="1"/>
  <c r="CK280" i="7"/>
  <c r="AK280" i="7"/>
  <c r="AL280" i="7" s="1"/>
  <c r="AJ280" i="7"/>
  <c r="AF280" i="7"/>
  <c r="CR279" i="7"/>
  <c r="AK279" i="7"/>
  <c r="AL279" i="7" s="1"/>
  <c r="AJ279" i="7"/>
  <c r="AF279" i="7"/>
  <c r="CV279" i="7"/>
  <c r="CW279" i="7" s="1"/>
  <c r="AK278" i="7"/>
  <c r="AL278" i="7" s="1"/>
  <c r="AJ278" i="7"/>
  <c r="AF278" i="7"/>
  <c r="CV278" i="7"/>
  <c r="CW278" i="7" s="1"/>
  <c r="AJ277" i="7"/>
  <c r="AL277" i="7" s="1"/>
  <c r="AF277" i="7"/>
  <c r="CV277" i="7"/>
  <c r="CW277" i="7" s="1"/>
  <c r="CV276" i="7"/>
  <c r="CW276" i="7" s="1"/>
  <c r="AJ276" i="7"/>
  <c r="AL276" i="7" s="1"/>
  <c r="AK275" i="7"/>
  <c r="AL275" i="7" s="1"/>
  <c r="AJ275" i="7"/>
  <c r="AF275" i="7"/>
  <c r="AJ274" i="7"/>
  <c r="AL274" i="7" s="1"/>
  <c r="AF274" i="7"/>
  <c r="CV274" i="7"/>
  <c r="CW274" i="7" s="1"/>
  <c r="AK273" i="7"/>
  <c r="AL273" i="7" s="1"/>
  <c r="AJ273" i="7"/>
  <c r="AF273" i="7"/>
  <c r="CV272" i="7"/>
  <c r="CW272" i="7" s="1"/>
  <c r="CK272" i="7"/>
  <c r="AJ272" i="7"/>
  <c r="AL272" i="7" s="1"/>
  <c r="AF272" i="7"/>
  <c r="CV271" i="7"/>
  <c r="CW271" i="7" s="1"/>
  <c r="AJ271" i="7"/>
  <c r="AL271" i="7" s="1"/>
  <c r="AF271" i="7"/>
  <c r="CV270" i="7"/>
  <c r="CW270" i="7" s="1"/>
  <c r="AK270" i="7"/>
  <c r="AL270" i="7" s="1"/>
  <c r="AJ270" i="7"/>
  <c r="AF270" i="7"/>
  <c r="AJ269" i="7"/>
  <c r="AL269" i="7" s="1"/>
  <c r="AF269" i="7"/>
  <c r="AJ268" i="7"/>
  <c r="AL268" i="7" s="1"/>
  <c r="AF268" i="7"/>
  <c r="CV268" i="7"/>
  <c r="CW268" i="7" s="1"/>
  <c r="AJ267" i="7"/>
  <c r="AL267" i="7" s="1"/>
  <c r="AF267" i="7"/>
  <c r="CV266" i="7"/>
  <c r="CW266" i="7" s="1"/>
  <c r="AK266" i="7"/>
  <c r="AL266" i="7" s="1"/>
  <c r="AJ266" i="7"/>
  <c r="AF266" i="7"/>
  <c r="CK265" i="7"/>
  <c r="AK265" i="7"/>
  <c r="AL265" i="7" s="1"/>
  <c r="AJ265" i="7"/>
  <c r="AF265" i="7"/>
  <c r="CV265" i="7"/>
  <c r="CW265" i="7" s="1"/>
  <c r="CV264" i="7"/>
  <c r="CW264" i="7" s="1"/>
  <c r="AK264" i="7"/>
  <c r="AL264" i="7" s="1"/>
  <c r="AJ264" i="7"/>
  <c r="AF264" i="7"/>
  <c r="AK263" i="7"/>
  <c r="AL263" i="7" s="1"/>
  <c r="AJ263" i="7"/>
  <c r="AF263" i="7"/>
  <c r="AK262" i="7"/>
  <c r="AL262" i="7" s="1"/>
  <c r="AJ262" i="7"/>
  <c r="AF262" i="7"/>
  <c r="CV262" i="7"/>
  <c r="CW262" i="7" s="1"/>
  <c r="CK261" i="7"/>
  <c r="AJ261" i="7"/>
  <c r="AL261" i="7" s="1"/>
  <c r="AF261" i="7"/>
  <c r="CV261" i="7"/>
  <c r="CW261" i="7" s="1"/>
  <c r="CK1461" i="7"/>
  <c r="AK1461" i="7"/>
  <c r="AL1461" i="7" s="1"/>
  <c r="AJ1461" i="7"/>
  <c r="AF1461" i="7"/>
  <c r="CV1461" i="7"/>
  <c r="CW1461" i="7" s="1"/>
  <c r="AJ260" i="7"/>
  <c r="AL260" i="7" s="1"/>
  <c r="AF260" i="7"/>
  <c r="CV259" i="7"/>
  <c r="CW259" i="7" s="1"/>
  <c r="AJ259" i="7"/>
  <c r="AL259" i="7" s="1"/>
  <c r="AF259" i="7"/>
  <c r="CK258" i="7"/>
  <c r="AK258" i="7"/>
  <c r="AL258" i="7" s="1"/>
  <c r="AJ258" i="7"/>
  <c r="AF258" i="7"/>
  <c r="CV257" i="7"/>
  <c r="CW257" i="7" s="1"/>
  <c r="CK257" i="7"/>
  <c r="AK257" i="7"/>
  <c r="AL257" i="7" s="1"/>
  <c r="AJ257" i="7"/>
  <c r="AF257" i="7"/>
  <c r="AJ256" i="7"/>
  <c r="AL256" i="7" s="1"/>
  <c r="AF256" i="7"/>
  <c r="CV255" i="7"/>
  <c r="CW255" i="7" s="1"/>
  <c r="AK255" i="7"/>
  <c r="AL255" i="7" s="1"/>
  <c r="AJ255" i="7"/>
  <c r="AF255" i="7"/>
  <c r="CR254" i="7"/>
  <c r="AK254" i="7"/>
  <c r="AL254" i="7" s="1"/>
  <c r="AJ254" i="7"/>
  <c r="AF254" i="7"/>
  <c r="CK253" i="7"/>
  <c r="AJ253" i="7"/>
  <c r="AL253" i="7" s="1"/>
  <c r="AF253" i="7"/>
  <c r="CV253" i="7"/>
  <c r="CW253" i="7" s="1"/>
  <c r="AJ252" i="7"/>
  <c r="AL252" i="7" s="1"/>
  <c r="AF252" i="7"/>
  <c r="CV252" i="7"/>
  <c r="CW252" i="7" s="1"/>
  <c r="CV251" i="7"/>
  <c r="CW251" i="7" s="1"/>
  <c r="AJ251" i="7"/>
  <c r="AL251" i="7" s="1"/>
  <c r="AF251" i="7"/>
  <c r="CK250" i="7"/>
  <c r="CR250" i="7"/>
  <c r="AJ250" i="7"/>
  <c r="AL250" i="7" s="1"/>
  <c r="AF250" i="7"/>
  <c r="CK249" i="7"/>
  <c r="AJ249" i="7"/>
  <c r="AL249" i="7" s="1"/>
  <c r="AF249" i="7"/>
  <c r="CV249" i="7"/>
  <c r="CW249" i="7" s="1"/>
  <c r="AJ248" i="7"/>
  <c r="AL248" i="7" s="1"/>
  <c r="AF248" i="7"/>
  <c r="CV248" i="7"/>
  <c r="CW248" i="7" s="1"/>
  <c r="CV247" i="7"/>
  <c r="CW247" i="7" s="1"/>
  <c r="AK247" i="7"/>
  <c r="AL247" i="7" s="1"/>
  <c r="AJ247" i="7"/>
  <c r="AF247" i="7"/>
  <c r="CV246" i="7"/>
  <c r="CW246" i="7" s="1"/>
  <c r="CK246" i="7"/>
  <c r="AJ246" i="7"/>
  <c r="AL246" i="7" s="1"/>
  <c r="AF246" i="7"/>
  <c r="CV1460" i="7"/>
  <c r="CW1460" i="7" s="1"/>
  <c r="CK1460" i="7"/>
  <c r="CR1460" i="7"/>
  <c r="AJ1460" i="7"/>
  <c r="AL1460" i="7" s="1"/>
  <c r="AF1460" i="7"/>
  <c r="CV245" i="7"/>
  <c r="CW245" i="7" s="1"/>
  <c r="AJ245" i="7"/>
  <c r="AL245" i="7" s="1"/>
  <c r="AF245" i="7"/>
  <c r="CV244" i="7"/>
  <c r="CW244" i="7" s="1"/>
  <c r="AJ244" i="7"/>
  <c r="AL244" i="7" s="1"/>
  <c r="AF244" i="7"/>
  <c r="CV243" i="7"/>
  <c r="CW243" i="7" s="1"/>
  <c r="CK243" i="7"/>
  <c r="CR243" i="7"/>
  <c r="AK243" i="7"/>
  <c r="AL243" i="7" s="1"/>
  <c r="AJ243" i="7"/>
  <c r="AF243" i="7"/>
  <c r="CV242" i="7"/>
  <c r="CW242" i="7" s="1"/>
  <c r="AK242" i="7"/>
  <c r="AL242" i="7" s="1"/>
  <c r="AJ242" i="7"/>
  <c r="AF242" i="7"/>
  <c r="AK241" i="7"/>
  <c r="AL241" i="7" s="1"/>
  <c r="AJ241" i="7"/>
  <c r="AF241" i="7"/>
  <c r="CV241" i="7"/>
  <c r="CW241" i="7" s="1"/>
  <c r="CV240" i="7"/>
  <c r="CW240" i="7" s="1"/>
  <c r="AK240" i="7"/>
  <c r="AL240" i="7" s="1"/>
  <c r="AJ240" i="7"/>
  <c r="AF240" i="7"/>
  <c r="CK239" i="7"/>
  <c r="CR239" i="7"/>
  <c r="AK239" i="7"/>
  <c r="AL239" i="7" s="1"/>
  <c r="AJ239" i="7"/>
  <c r="AF239" i="7"/>
  <c r="CV239" i="7"/>
  <c r="CW239" i="7" s="1"/>
  <c r="CK238" i="7"/>
  <c r="AK238" i="7"/>
  <c r="AL238" i="7" s="1"/>
  <c r="AJ238" i="7"/>
  <c r="AF238" i="7"/>
  <c r="CV238" i="7"/>
  <c r="CW238" i="7" s="1"/>
  <c r="AK237" i="7"/>
  <c r="AL237" i="7" s="1"/>
  <c r="AJ237" i="7"/>
  <c r="AF237" i="7"/>
  <c r="CV236" i="7"/>
  <c r="CW236" i="7" s="1"/>
  <c r="AK236" i="7"/>
  <c r="AL236" i="7" s="1"/>
  <c r="AJ236" i="7"/>
  <c r="AF236" i="7"/>
  <c r="CR235" i="7"/>
  <c r="AK235" i="7"/>
  <c r="AL235" i="7" s="1"/>
  <c r="AJ235" i="7"/>
  <c r="AF235" i="7"/>
  <c r="CV71" i="7"/>
  <c r="CW71" i="7" s="1"/>
  <c r="AJ71" i="7"/>
  <c r="AL71" i="7" s="1"/>
  <c r="AF71" i="7"/>
  <c r="AK234" i="7"/>
  <c r="AL234" i="7" s="1"/>
  <c r="AJ234" i="7"/>
  <c r="AF234" i="7"/>
  <c r="AK233" i="7"/>
  <c r="AL233" i="7" s="1"/>
  <c r="AJ233" i="7"/>
  <c r="AF233" i="7"/>
  <c r="CV233" i="7"/>
  <c r="CW233" i="7" s="1"/>
  <c r="AK232" i="7"/>
  <c r="AL232" i="7" s="1"/>
  <c r="AJ232" i="7"/>
  <c r="AF232" i="7"/>
  <c r="CK231" i="7"/>
  <c r="AK231" i="7"/>
  <c r="AL231" i="7" s="1"/>
  <c r="AJ231" i="7"/>
  <c r="AF231" i="7"/>
  <c r="CV231" i="7"/>
  <c r="CW231" i="7" s="1"/>
  <c r="AK230" i="7"/>
  <c r="AL230" i="7" s="1"/>
  <c r="AJ230" i="7"/>
  <c r="AF230" i="7"/>
  <c r="CV230" i="7"/>
  <c r="CW230" i="7" s="1"/>
  <c r="AJ1180" i="7"/>
  <c r="AL1180" i="7" s="1"/>
  <c r="AF1180" i="7"/>
  <c r="CV1180" i="7"/>
  <c r="CW1180" i="7" s="1"/>
  <c r="CJ9" i="7"/>
  <c r="CU9" i="7"/>
  <c r="CW9" i="7" s="1"/>
  <c r="CL9" i="7"/>
  <c r="AJ9" i="7"/>
  <c r="AL9" i="7" s="1"/>
  <c r="AF9" i="7"/>
  <c r="CU8" i="7"/>
  <c r="CW8" i="7" s="1"/>
  <c r="CJ8" i="7"/>
  <c r="CL8" i="7"/>
  <c r="AJ8" i="7"/>
  <c r="AL8" i="7" s="1"/>
  <c r="AF8" i="7"/>
  <c r="CJ1192" i="7"/>
  <c r="AJ1192" i="7"/>
  <c r="AL1192" i="7" s="1"/>
  <c r="AF1192" i="7"/>
  <c r="CU1192" i="7"/>
  <c r="CW1192" i="7" s="1"/>
  <c r="CN1459" i="7"/>
  <c r="CJ1459" i="7"/>
  <c r="AJ1459" i="7"/>
  <c r="AL1459" i="7" s="1"/>
  <c r="AF1459" i="7"/>
  <c r="CV1459" i="7"/>
  <c r="CV1458" i="7"/>
  <c r="CJ1458" i="7"/>
  <c r="CR1458" i="7" s="1"/>
  <c r="CK1458" i="7"/>
  <c r="AK1458" i="7"/>
  <c r="AL1458" i="7" s="1"/>
  <c r="AJ1458" i="7"/>
  <c r="AF1458" i="7"/>
  <c r="CU1458" i="7"/>
  <c r="CW1458" i="7" s="1"/>
  <c r="AJ1191" i="7"/>
  <c r="AL1191" i="7" s="1"/>
  <c r="AF1191" i="7"/>
  <c r="CU1641" i="7"/>
  <c r="CW1641" i="7" s="1"/>
  <c r="CJ1641" i="7"/>
  <c r="CR1641" i="7" s="1"/>
  <c r="AK1641" i="7"/>
  <c r="AL1641" i="7" s="1"/>
  <c r="AJ1641" i="7"/>
  <c r="AF1641" i="7"/>
  <c r="CV1641" i="7"/>
  <c r="AK1190" i="7"/>
  <c r="AL1190" i="7" s="1"/>
  <c r="AJ1190" i="7"/>
  <c r="AF1190" i="7"/>
  <c r="CL1189" i="7"/>
  <c r="AJ1189" i="7"/>
  <c r="AL1189" i="7" s="1"/>
  <c r="AF1189" i="7"/>
  <c r="CV1457" i="7"/>
  <c r="CJ1457" i="7"/>
  <c r="CK1457" i="7"/>
  <c r="AK1457" i="7"/>
  <c r="AL1457" i="7" s="1"/>
  <c r="AJ1457" i="7"/>
  <c r="AF1457" i="7"/>
  <c r="CU1803" i="7"/>
  <c r="CW1803" i="7" s="1"/>
  <c r="CJ1803" i="7"/>
  <c r="AJ1803" i="7"/>
  <c r="AL1803" i="7" s="1"/>
  <c r="CV1456" i="7"/>
  <c r="AF1456" i="7"/>
  <c r="CU1456" i="7"/>
  <c r="CW1456" i="7" s="1"/>
  <c r="CL1832" i="7"/>
  <c r="CJ1832" i="7"/>
  <c r="CR1832" i="7" s="1"/>
  <c r="AK1832" i="7"/>
  <c r="AL1832" i="7" s="1"/>
  <c r="AJ1832" i="7"/>
  <c r="AF1832" i="7"/>
  <c r="CU1832" i="7"/>
  <c r="CW1832" i="7" s="1"/>
  <c r="CU1201" i="7"/>
  <c r="CW1201" i="7" s="1"/>
  <c r="CK1201" i="7"/>
  <c r="CL1201" i="7"/>
  <c r="AJ1201" i="7"/>
  <c r="AL1201" i="7" s="1"/>
  <c r="AF1201" i="7"/>
  <c r="CV1201" i="7"/>
  <c r="CJ1200" i="7"/>
  <c r="AJ1200" i="7"/>
  <c r="AL1200" i="7" s="1"/>
  <c r="AF1200" i="7"/>
  <c r="CU1200" i="7"/>
  <c r="CW1200" i="7" s="1"/>
  <c r="CU1248" i="7"/>
  <c r="CW1248" i="7" s="1"/>
  <c r="AJ1248" i="7"/>
  <c r="AL1248" i="7" s="1"/>
  <c r="AF1248" i="7"/>
  <c r="CV1184" i="7"/>
  <c r="CU1184" i="7"/>
  <c r="CW1184" i="7" s="1"/>
  <c r="CL1184" i="7"/>
  <c r="CJ1184" i="7"/>
  <c r="CR1184" i="7" s="1"/>
  <c r="CK1184" i="7"/>
  <c r="AJ1184" i="7"/>
  <c r="AL1184" i="7" s="1"/>
  <c r="AF1184" i="7"/>
  <c r="CU1879" i="7"/>
  <c r="CW1879" i="7" s="1"/>
  <c r="AK1879" i="7"/>
  <c r="AL1879" i="7" s="1"/>
  <c r="AJ1879" i="7"/>
  <c r="AF1879" i="7"/>
  <c r="CV229" i="7"/>
  <c r="CJ229" i="7"/>
  <c r="CR229" i="7" s="1"/>
  <c r="AK229" i="7"/>
  <c r="AL229" i="7" s="1"/>
  <c r="AJ229" i="7"/>
  <c r="AF229" i="7"/>
  <c r="CU229" i="7"/>
  <c r="CW229" i="7" s="1"/>
  <c r="CU228" i="7"/>
  <c r="CW228" i="7" s="1"/>
  <c r="AK228" i="7"/>
  <c r="AL228" i="7" s="1"/>
  <c r="AJ228" i="7"/>
  <c r="AF228" i="7"/>
  <c r="CV228" i="7"/>
  <c r="CN1831" i="7"/>
  <c r="CK1831" i="7"/>
  <c r="CJ1831" i="7"/>
  <c r="CR1831" i="7" s="1"/>
  <c r="CL1831" i="7"/>
  <c r="AK1831" i="7"/>
  <c r="AL1831" i="7" s="1"/>
  <c r="AJ1831" i="7"/>
  <c r="AF1831" i="7"/>
  <c r="CV1831" i="7"/>
  <c r="CJ1694" i="7"/>
  <c r="CR1694" i="7" s="1"/>
  <c r="AJ1694" i="7"/>
  <c r="AL1694" i="7" s="1"/>
  <c r="AF1694" i="7"/>
  <c r="CU1693" i="7"/>
  <c r="CW1693" i="7" s="1"/>
  <c r="CK1693" i="7"/>
  <c r="CJ1693" i="7"/>
  <c r="CR1693" i="7" s="1"/>
  <c r="AJ1693" i="7"/>
  <c r="AL1693" i="7" s="1"/>
  <c r="AF1693" i="7"/>
  <c r="CV1693" i="7"/>
  <c r="CJ1455" i="7"/>
  <c r="AJ1455" i="7"/>
  <c r="AL1455" i="7" s="1"/>
  <c r="AF1455" i="7"/>
  <c r="CU1454" i="7"/>
  <c r="CW1454" i="7" s="1"/>
  <c r="CK1454" i="7"/>
  <c r="CJ1454" i="7"/>
  <c r="CR1454" i="7" s="1"/>
  <c r="CL1454" i="7"/>
  <c r="AJ1454" i="7"/>
  <c r="AL1454" i="7" s="1"/>
  <c r="AF1454" i="7"/>
  <c r="CV1454" i="7"/>
  <c r="CN1453" i="7"/>
  <c r="AK1453" i="7"/>
  <c r="AL1453" i="7" s="1"/>
  <c r="AJ1453" i="7"/>
  <c r="AF1453" i="7"/>
  <c r="CN1452" i="7"/>
  <c r="CJ1452" i="7"/>
  <c r="AJ1452" i="7"/>
  <c r="AL1452" i="7" s="1"/>
  <c r="AF1452" i="7"/>
  <c r="CU1452" i="7"/>
  <c r="CW1452" i="7" s="1"/>
  <c r="AK1451" i="7"/>
  <c r="AL1451" i="7" s="1"/>
  <c r="AJ1451" i="7"/>
  <c r="AF1451" i="7"/>
  <c r="CV1450" i="7"/>
  <c r="CN1450" i="7"/>
  <c r="CJ1450" i="7"/>
  <c r="CR1450" i="7" s="1"/>
  <c r="CK1450" i="7"/>
  <c r="AK1450" i="7"/>
  <c r="AL1450" i="7" s="1"/>
  <c r="AJ1450" i="7"/>
  <c r="AF1450" i="7"/>
  <c r="CU1450" i="7"/>
  <c r="CW1450" i="7" s="1"/>
  <c r="CJ41" i="7"/>
  <c r="CR41" i="7" s="1"/>
  <c r="AK41" i="7"/>
  <c r="AL41" i="7" s="1"/>
  <c r="AJ41" i="7"/>
  <c r="AF41" i="7"/>
  <c r="CU227" i="7"/>
  <c r="CW227" i="7" s="1"/>
  <c r="CN227" i="7"/>
  <c r="CJ227" i="7"/>
  <c r="AJ227" i="7"/>
  <c r="AL227" i="7" s="1"/>
  <c r="AF227" i="7"/>
  <c r="CV227" i="7"/>
  <c r="AK1830" i="7"/>
  <c r="AL1830" i="7" s="1"/>
  <c r="AJ1830" i="7"/>
  <c r="AF1830" i="7"/>
  <c r="CJ1188" i="7"/>
  <c r="CR1188" i="7" s="1"/>
  <c r="CL1188" i="7"/>
  <c r="AJ1188" i="7"/>
  <c r="AL1188" i="7" s="1"/>
  <c r="AF1188" i="7"/>
  <c r="CU1449" i="7"/>
  <c r="CW1449" i="7" s="1"/>
  <c r="CN1449" i="7"/>
  <c r="CK1449" i="7"/>
  <c r="CL1449" i="7"/>
  <c r="AJ1449" i="7"/>
  <c r="AL1449" i="7" s="1"/>
  <c r="AF1449" i="7"/>
  <c r="CV1449" i="7"/>
  <c r="CJ1448" i="7"/>
  <c r="AJ1448" i="7"/>
  <c r="AL1448" i="7" s="1"/>
  <c r="AF1448" i="7"/>
  <c r="CU1448" i="7"/>
  <c r="CW1448" i="7" s="1"/>
  <c r="CK1447" i="7"/>
  <c r="CJ1447" i="7"/>
  <c r="AK1447" i="7"/>
  <c r="AL1447" i="7" s="1"/>
  <c r="AJ1447" i="7"/>
  <c r="AF1447" i="7"/>
  <c r="CV1447" i="7"/>
  <c r="CN1446" i="7"/>
  <c r="CJ1446" i="7"/>
  <c r="CR1446" i="7" s="1"/>
  <c r="CL1446" i="7"/>
  <c r="AK1446" i="7"/>
  <c r="AL1446" i="7" s="1"/>
  <c r="AJ1446" i="7"/>
  <c r="AF1446" i="7"/>
  <c r="CV1446" i="7"/>
  <c r="CV1445" i="7"/>
  <c r="CJ1445" i="7"/>
  <c r="CR1445" i="7" s="1"/>
  <c r="CK1445" i="7"/>
  <c r="AK1445" i="7"/>
  <c r="AL1445" i="7" s="1"/>
  <c r="AJ1445" i="7"/>
  <c r="AF1445" i="7"/>
  <c r="CU1445" i="7"/>
  <c r="CW1445" i="7" s="1"/>
  <c r="CJ1444" i="7"/>
  <c r="AK1444" i="7"/>
  <c r="AL1444" i="7" s="1"/>
  <c r="AJ1444" i="7"/>
  <c r="AF1444" i="7"/>
  <c r="CU1444" i="7"/>
  <c r="CW1444" i="7" s="1"/>
  <c r="CU1443" i="7"/>
  <c r="CW1443" i="7" s="1"/>
  <c r="AK1443" i="7"/>
  <c r="AL1443" i="7" s="1"/>
  <c r="AJ1443" i="7"/>
  <c r="AF1443" i="7"/>
  <c r="CV1443" i="7"/>
  <c r="CK226" i="7"/>
  <c r="CJ226" i="7"/>
  <c r="CR226" i="7" s="1"/>
  <c r="CL226" i="7"/>
  <c r="AK226" i="7"/>
  <c r="AL226" i="7" s="1"/>
  <c r="AJ226" i="7"/>
  <c r="AF226" i="7"/>
  <c r="CV1829" i="7"/>
  <c r="CK1829" i="7"/>
  <c r="AK1829" i="7"/>
  <c r="AL1829" i="7" s="1"/>
  <c r="AJ1829" i="7"/>
  <c r="AF1829" i="7"/>
  <c r="CU1829" i="7"/>
  <c r="CW1829" i="7" s="1"/>
  <c r="CJ225" i="7"/>
  <c r="AJ225" i="7"/>
  <c r="AL225" i="7" s="1"/>
  <c r="AF225" i="7"/>
  <c r="CU225" i="7"/>
  <c r="CW225" i="7" s="1"/>
  <c r="CN224" i="7"/>
  <c r="CJ224" i="7"/>
  <c r="AJ224" i="7"/>
  <c r="AL224" i="7" s="1"/>
  <c r="AF224" i="7"/>
  <c r="CV224" i="7"/>
  <c r="CJ223" i="7"/>
  <c r="CR223" i="7" s="1"/>
  <c r="AJ223" i="7"/>
  <c r="AL223" i="7" s="1"/>
  <c r="AF223" i="7"/>
  <c r="CU223" i="7"/>
  <c r="CW223" i="7" s="1"/>
  <c r="CK1692" i="7"/>
  <c r="CJ1692" i="7"/>
  <c r="CR1692" i="7" s="1"/>
  <c r="AJ1692" i="7"/>
  <c r="AL1692" i="7" s="1"/>
  <c r="AF1692" i="7"/>
  <c r="CV1692" i="7"/>
  <c r="CJ1442" i="7"/>
  <c r="AJ1442" i="7"/>
  <c r="AL1442" i="7" s="1"/>
  <c r="AF1442" i="7"/>
  <c r="CU1442" i="7"/>
  <c r="CW1442" i="7" s="1"/>
  <c r="CW1781" i="7"/>
  <c r="CJ1441" i="7"/>
  <c r="AJ1441" i="7"/>
  <c r="AL1441" i="7" s="1"/>
  <c r="AF1441" i="7"/>
  <c r="CU1441" i="7"/>
  <c r="CW1441" i="7" s="1"/>
  <c r="CK1440" i="7"/>
  <c r="AK1440" i="7"/>
  <c r="AL1440" i="7" s="1"/>
  <c r="AJ1440" i="7"/>
  <c r="AF1440" i="7"/>
  <c r="CV1440" i="7"/>
  <c r="CJ1842" i="7"/>
  <c r="AK1842" i="7"/>
  <c r="AL1842" i="7" s="1"/>
  <c r="AJ1842" i="7"/>
  <c r="AF1842" i="7"/>
  <c r="CU1842" i="7"/>
  <c r="CW1842" i="7" s="1"/>
  <c r="CK222" i="7"/>
  <c r="CJ222" i="7"/>
  <c r="AK222" i="7"/>
  <c r="AL222" i="7" s="1"/>
  <c r="AJ222" i="7"/>
  <c r="AF222" i="7"/>
  <c r="CV222" i="7"/>
  <c r="CJ1801" i="7"/>
  <c r="CL1801" i="7"/>
  <c r="AK1801" i="7"/>
  <c r="AL1801" i="7" s="1"/>
  <c r="AJ1801" i="7"/>
  <c r="AF1801" i="7"/>
  <c r="CV1828" i="7"/>
  <c r="CK1828" i="7"/>
  <c r="AK1828" i="7"/>
  <c r="AL1828" i="7" s="1"/>
  <c r="AJ1828" i="7"/>
  <c r="AF1828" i="7"/>
  <c r="CU1861" i="7"/>
  <c r="CW1861" i="7" s="1"/>
  <c r="CJ1861" i="7"/>
  <c r="CL1861" i="7"/>
  <c r="AK1861" i="7"/>
  <c r="AL1861" i="7" s="1"/>
  <c r="AJ1861" i="7"/>
  <c r="AF1861" i="7"/>
  <c r="AJ1247" i="7"/>
  <c r="AL1247" i="7" s="1"/>
  <c r="AF1247" i="7"/>
  <c r="CK1691" i="7"/>
  <c r="CJ1691" i="7"/>
  <c r="CL1691" i="7"/>
  <c r="AK1691" i="7"/>
  <c r="AL1691" i="7" s="1"/>
  <c r="AJ1691" i="7"/>
  <c r="AF1691" i="7"/>
  <c r="CV1691" i="7"/>
  <c r="CV1439" i="7"/>
  <c r="AK1439" i="7"/>
  <c r="AL1439" i="7" s="1"/>
  <c r="AJ1439" i="7"/>
  <c r="AF1439" i="7"/>
  <c r="CJ1438" i="7"/>
  <c r="CR1438" i="7" s="1"/>
  <c r="CK1438" i="7"/>
  <c r="AJ1438" i="7"/>
  <c r="AL1438" i="7" s="1"/>
  <c r="AF1438" i="7"/>
  <c r="CU1438" i="7"/>
  <c r="CW1438" i="7" s="1"/>
  <c r="AJ1878" i="7"/>
  <c r="AL1878" i="7" s="1"/>
  <c r="AF1878" i="7"/>
  <c r="CJ221" i="7"/>
  <c r="CR221" i="7" s="1"/>
  <c r="CK221" i="7"/>
  <c r="AJ221" i="7"/>
  <c r="AL221" i="7" s="1"/>
  <c r="AF221" i="7"/>
  <c r="CU221" i="7"/>
  <c r="CW221" i="7" s="1"/>
  <c r="CK1936" i="7"/>
  <c r="CL1936" i="7"/>
  <c r="AK1936" i="7"/>
  <c r="AL1936" i="7" s="1"/>
  <c r="AJ1936" i="7"/>
  <c r="AF1936" i="7"/>
  <c r="CV1877" i="7"/>
  <c r="CN1877" i="7"/>
  <c r="AJ1877" i="7"/>
  <c r="AL1877" i="7" s="1"/>
  <c r="AF1877" i="7"/>
  <c r="CV220" i="7"/>
  <c r="AK220" i="7"/>
  <c r="AL220" i="7" s="1"/>
  <c r="AJ220" i="7"/>
  <c r="AF220" i="7"/>
  <c r="CJ219" i="7"/>
  <c r="CR219" i="7" s="1"/>
  <c r="CK219" i="7"/>
  <c r="AJ219" i="7"/>
  <c r="AL219" i="7" s="1"/>
  <c r="AF219" i="7"/>
  <c r="CU219" i="7"/>
  <c r="CW219" i="7" s="1"/>
  <c r="CJ1935" i="7"/>
  <c r="CL1935" i="7"/>
  <c r="AJ1935" i="7"/>
  <c r="AL1935" i="7" s="1"/>
  <c r="AF1935" i="7"/>
  <c r="CV1935" i="7"/>
  <c r="CV218" i="7"/>
  <c r="CJ218" i="7"/>
  <c r="CR218" i="7" s="1"/>
  <c r="AK218" i="7"/>
  <c r="AL218" i="7" s="1"/>
  <c r="AJ218" i="7"/>
  <c r="AF218" i="7"/>
  <c r="CU218" i="7"/>
  <c r="CW218" i="7" s="1"/>
  <c r="CU217" i="7"/>
  <c r="CW217" i="7" s="1"/>
  <c r="CN217" i="7"/>
  <c r="AJ217" i="7"/>
  <c r="AL217" i="7" s="1"/>
  <c r="AF217" i="7"/>
  <c r="CV217" i="7"/>
  <c r="CJ1934" i="7"/>
  <c r="CK1934" i="7"/>
  <c r="AJ1934" i="7"/>
  <c r="AL1934" i="7" s="1"/>
  <c r="AF1934" i="7"/>
  <c r="CU1933" i="7"/>
  <c r="CW1933" i="7" s="1"/>
  <c r="CK1933" i="7"/>
  <c r="AK1933" i="7"/>
  <c r="AL1933" i="7" s="1"/>
  <c r="AJ1933" i="7"/>
  <c r="AF1933" i="7"/>
  <c r="CV1933" i="7"/>
  <c r="CJ1623" i="7"/>
  <c r="CU1623" i="7"/>
  <c r="CW1623" i="7" s="1"/>
  <c r="CL1623" i="7"/>
  <c r="AJ1623" i="7"/>
  <c r="AL1623" i="7" s="1"/>
  <c r="AF1623" i="7"/>
  <c r="CV1623" i="7"/>
  <c r="CJ1932" i="7"/>
  <c r="AJ1932" i="7"/>
  <c r="AL1932" i="7" s="1"/>
  <c r="AF1932" i="7"/>
  <c r="CU1932" i="7"/>
  <c r="CW1932" i="7" s="1"/>
  <c r="CK1931" i="7"/>
  <c r="CJ1931" i="7"/>
  <c r="CU1931" i="7"/>
  <c r="CW1931" i="7" s="1"/>
  <c r="CL1931" i="7"/>
  <c r="AJ1931" i="7"/>
  <c r="AL1931" i="7" s="1"/>
  <c r="AF1931" i="7"/>
  <c r="CV1931" i="7"/>
  <c r="CJ1246" i="7"/>
  <c r="CR1246" i="7" s="1"/>
  <c r="AJ1246" i="7"/>
  <c r="AL1246" i="7" s="1"/>
  <c r="AF1246" i="7"/>
  <c r="CV1437" i="7"/>
  <c r="CJ1437" i="7"/>
  <c r="AK1437" i="7"/>
  <c r="AL1437" i="7" s="1"/>
  <c r="AJ1437" i="7"/>
  <c r="AF1437" i="7"/>
  <c r="CU1437" i="7"/>
  <c r="CW1437" i="7" s="1"/>
  <c r="AK1436" i="7"/>
  <c r="AL1436" i="7" s="1"/>
  <c r="AJ1436" i="7"/>
  <c r="AF1436" i="7"/>
  <c r="CU1435" i="7"/>
  <c r="CW1435" i="7" s="1"/>
  <c r="CN1435" i="7"/>
  <c r="CK1435" i="7"/>
  <c r="CJ1435" i="7"/>
  <c r="CL1435" i="7"/>
  <c r="AJ1435" i="7"/>
  <c r="AL1435" i="7" s="1"/>
  <c r="AF1435" i="7"/>
  <c r="CV1435" i="7"/>
  <c r="CJ1434" i="7"/>
  <c r="CR1434" i="7" s="1"/>
  <c r="AJ1434" i="7"/>
  <c r="AL1434" i="7" s="1"/>
  <c r="AF1434" i="7"/>
  <c r="CU1433" i="7"/>
  <c r="CW1433" i="7" s="1"/>
  <c r="CJ1433" i="7"/>
  <c r="CR1433" i="7" s="1"/>
  <c r="AK1433" i="7"/>
  <c r="AL1433" i="7" s="1"/>
  <c r="AJ1433" i="7"/>
  <c r="AF1433" i="7"/>
  <c r="CV1433" i="7"/>
  <c r="CW1876" i="7"/>
  <c r="CJ1876" i="7"/>
  <c r="CV1432" i="7"/>
  <c r="CJ1432" i="7"/>
  <c r="CR1432" i="7" s="1"/>
  <c r="CK1432" i="7"/>
  <c r="AK1432" i="7"/>
  <c r="AL1432" i="7" s="1"/>
  <c r="AJ1432" i="7"/>
  <c r="AF1432" i="7"/>
  <c r="CU1432" i="7"/>
  <c r="CW1432" i="7" s="1"/>
  <c r="CK1431" i="7"/>
  <c r="CJ1431" i="7"/>
  <c r="CR1431" i="7" s="1"/>
  <c r="AK1431" i="7"/>
  <c r="AL1431" i="7" s="1"/>
  <c r="AJ1431" i="7"/>
  <c r="AF1431" i="7"/>
  <c r="CV1431" i="7"/>
  <c r="CJ1430" i="7"/>
  <c r="CR1430" i="7" s="1"/>
  <c r="AK1430" i="7"/>
  <c r="AL1430" i="7" s="1"/>
  <c r="AJ1430" i="7"/>
  <c r="AF1430" i="7"/>
  <c r="CV1430" i="7"/>
  <c r="AK1814" i="7"/>
  <c r="AL1814" i="7" s="1"/>
  <c r="AJ1814" i="7"/>
  <c r="AF1814" i="7"/>
  <c r="CU1633" i="7"/>
  <c r="CW1633" i="7" s="1"/>
  <c r="CL1633" i="7"/>
  <c r="CJ1633" i="7"/>
  <c r="CV1633" i="7"/>
  <c r="CK216" i="7"/>
  <c r="AJ216" i="7"/>
  <c r="AL216" i="7" s="1"/>
  <c r="AF216" i="7"/>
  <c r="CU215" i="7"/>
  <c r="CW215" i="7" s="1"/>
  <c r="CJ215" i="7"/>
  <c r="AJ215" i="7"/>
  <c r="AL215" i="7" s="1"/>
  <c r="AF215" i="7"/>
  <c r="AJ214" i="7"/>
  <c r="AL214" i="7" s="1"/>
  <c r="AF214" i="7"/>
  <c r="CV213" i="7"/>
  <c r="CU213" i="7"/>
  <c r="CW213" i="7" s="1"/>
  <c r="CL213" i="7"/>
  <c r="CK213" i="7"/>
  <c r="CJ213" i="7"/>
  <c r="AJ213" i="7"/>
  <c r="AL213" i="7" s="1"/>
  <c r="AF213" i="7"/>
  <c r="CL212" i="7"/>
  <c r="CJ212" i="7"/>
  <c r="AJ212" i="7"/>
  <c r="AL212" i="7" s="1"/>
  <c r="AF212" i="7"/>
  <c r="CU212" i="7"/>
  <c r="CW212" i="7" s="1"/>
  <c r="CU211" i="7"/>
  <c r="CW211" i="7" s="1"/>
  <c r="CJ211" i="7"/>
  <c r="AJ211" i="7"/>
  <c r="AL211" i="7" s="1"/>
  <c r="AF211" i="7"/>
  <c r="CV210" i="7"/>
  <c r="AJ210" i="7"/>
  <c r="AL210" i="7" s="1"/>
  <c r="AF210" i="7"/>
  <c r="CW1647" i="7"/>
  <c r="CK2020" i="7"/>
  <c r="AJ2020" i="7"/>
  <c r="AL2020" i="7" s="1"/>
  <c r="CU2019" i="7"/>
  <c r="CW2019" i="7" s="1"/>
  <c r="CJ2019" i="7"/>
  <c r="AJ2019" i="7"/>
  <c r="AL2019" i="7" s="1"/>
  <c r="AF2019" i="7"/>
  <c r="CV1429" i="7"/>
  <c r="CJ1429" i="7"/>
  <c r="AF1429" i="7"/>
  <c r="CL209" i="7"/>
  <c r="CJ209" i="7"/>
  <c r="CK209" i="7"/>
  <c r="AJ209" i="7"/>
  <c r="AL209" i="7" s="1"/>
  <c r="AF209" i="7"/>
  <c r="CV209" i="7"/>
  <c r="CK208" i="7"/>
  <c r="CU208" i="7"/>
  <c r="CW208" i="7" s="1"/>
  <c r="AJ208" i="7"/>
  <c r="AL208" i="7" s="1"/>
  <c r="AF208" i="7"/>
  <c r="CV208" i="7"/>
  <c r="CJ207" i="7"/>
  <c r="CL207" i="7"/>
  <c r="AJ207" i="7"/>
  <c r="AL207" i="7" s="1"/>
  <c r="AF207" i="7"/>
  <c r="AJ206" i="7"/>
  <c r="AL206" i="7" s="1"/>
  <c r="AF206" i="7"/>
  <c r="CV206" i="7"/>
  <c r="CU205" i="7"/>
  <c r="CW205" i="7" s="1"/>
  <c r="CL205" i="7"/>
  <c r="CJ205" i="7"/>
  <c r="AJ205" i="7"/>
  <c r="AL205" i="7" s="1"/>
  <c r="AF205" i="7"/>
  <c r="CK204" i="7"/>
  <c r="CU204" i="7"/>
  <c r="CW204" i="7" s="1"/>
  <c r="AJ204" i="7"/>
  <c r="AL204" i="7" s="1"/>
  <c r="AF204" i="7"/>
  <c r="CV1428" i="7"/>
  <c r="CJ1428" i="7"/>
  <c r="AJ1428" i="7"/>
  <c r="AL1428" i="7" s="1"/>
  <c r="AF1428" i="7"/>
  <c r="CU1428" i="7"/>
  <c r="CW1428" i="7" s="1"/>
  <c r="AJ203" i="7"/>
  <c r="AL203" i="7" s="1"/>
  <c r="AF203" i="7"/>
  <c r="CV203" i="7"/>
  <c r="CL1427" i="7"/>
  <c r="CJ1427" i="7"/>
  <c r="CR1427" i="7" s="1"/>
  <c r="CK1427" i="7"/>
  <c r="AK1427" i="7"/>
  <c r="AL1427" i="7" s="1"/>
  <c r="AJ1427" i="7"/>
  <c r="AF1427" i="7"/>
  <c r="CJ1194" i="7"/>
  <c r="CR1194" i="7" s="1"/>
  <c r="CL1194" i="7"/>
  <c r="AK1194" i="7"/>
  <c r="AL1194" i="7" s="1"/>
  <c r="AJ1194" i="7"/>
  <c r="AF1194" i="7"/>
  <c r="CU1194" i="7"/>
  <c r="CW1194" i="7" s="1"/>
  <c r="CJ202" i="7"/>
  <c r="AJ202" i="7"/>
  <c r="AL202" i="7" s="1"/>
  <c r="AF202" i="7"/>
  <c r="CU202" i="7"/>
  <c r="CW202" i="7" s="1"/>
  <c r="CU201" i="7"/>
  <c r="CW201" i="7" s="1"/>
  <c r="AJ201" i="7"/>
  <c r="AL201" i="7" s="1"/>
  <c r="AF201" i="7"/>
  <c r="CV201" i="7"/>
  <c r="CV2018" i="7"/>
  <c r="CU2018" i="7"/>
  <c r="CW2018" i="7" s="1"/>
  <c r="CL2018" i="7"/>
  <c r="CK2018" i="7"/>
  <c r="CJ2018" i="7"/>
  <c r="AJ2018" i="7"/>
  <c r="AL2018" i="7" s="1"/>
  <c r="AF2018" i="7"/>
  <c r="F2018" i="7"/>
  <c r="CU2017" i="7"/>
  <c r="CW2017" i="7" s="1"/>
  <c r="AJ2017" i="7"/>
  <c r="AL2017" i="7" s="1"/>
  <c r="AF2017" i="7"/>
  <c r="CJ200" i="7"/>
  <c r="CU200" i="7"/>
  <c r="CW200" i="7" s="1"/>
  <c r="AJ200" i="7"/>
  <c r="AL200" i="7" s="1"/>
  <c r="AF200" i="7"/>
  <c r="CV200" i="7"/>
  <c r="CJ199" i="7"/>
  <c r="AJ199" i="7"/>
  <c r="AL199" i="7" s="1"/>
  <c r="AF199" i="7"/>
  <c r="CK198" i="7"/>
  <c r="CU198" i="7"/>
  <c r="CW198" i="7" s="1"/>
  <c r="CL198" i="7"/>
  <c r="AJ198" i="7"/>
  <c r="AL198" i="7" s="1"/>
  <c r="AF198" i="7"/>
  <c r="CV198" i="7"/>
  <c r="CL1166" i="7"/>
  <c r="CJ1166" i="7"/>
  <c r="CR1166" i="7" s="1"/>
  <c r="AK1166" i="7"/>
  <c r="AL1166" i="7" s="1"/>
  <c r="AJ1166" i="7"/>
  <c r="AF1166" i="7"/>
  <c r="CU197" i="7"/>
  <c r="CW197" i="7" s="1"/>
  <c r="CJ197" i="7"/>
  <c r="AJ197" i="7"/>
  <c r="AL197" i="7" s="1"/>
  <c r="AF197" i="7"/>
  <c r="CV197" i="7"/>
  <c r="CJ1426" i="7"/>
  <c r="AJ1426" i="7"/>
  <c r="AL1426" i="7" s="1"/>
  <c r="AF1426" i="7"/>
  <c r="CU1426" i="7"/>
  <c r="CW1426" i="7" s="1"/>
  <c r="CU1165" i="7"/>
  <c r="CW1165" i="7" s="1"/>
  <c r="CK1165" i="7"/>
  <c r="CJ1165" i="7"/>
  <c r="CR1165" i="7" s="1"/>
  <c r="CL1165" i="7"/>
  <c r="AK1165" i="7"/>
  <c r="AL1165" i="7" s="1"/>
  <c r="AJ1165" i="7"/>
  <c r="AF1165" i="7"/>
  <c r="CV1165" i="7"/>
  <c r="AK1875" i="7"/>
  <c r="AL1875" i="7" s="1"/>
  <c r="AJ1875" i="7"/>
  <c r="AF1875" i="7"/>
  <c r="CV1875" i="7"/>
  <c r="CV196" i="7"/>
  <c r="CJ196" i="7"/>
  <c r="CK196" i="7"/>
  <c r="AJ196" i="7"/>
  <c r="AL196" i="7" s="1"/>
  <c r="AF196" i="7"/>
  <c r="CU196" i="7"/>
  <c r="CW196" i="7" s="1"/>
  <c r="AJ1425" i="7"/>
  <c r="AL1425" i="7" s="1"/>
  <c r="AF1425" i="7"/>
  <c r="CV1424" i="7"/>
  <c r="CL1424" i="7"/>
  <c r="CJ1424" i="7"/>
  <c r="CR1424" i="7" s="1"/>
  <c r="CK1424" i="7"/>
  <c r="AK1424" i="7"/>
  <c r="AL1424" i="7" s="1"/>
  <c r="AJ1424" i="7"/>
  <c r="AF1424" i="7"/>
  <c r="CU1424" i="7"/>
  <c r="CW1424" i="7" s="1"/>
  <c r="CV1423" i="7"/>
  <c r="CU1423" i="7"/>
  <c r="CW1423" i="7" s="1"/>
  <c r="CK1423" i="7"/>
  <c r="AK1423" i="7"/>
  <c r="AL1423" i="7" s="1"/>
  <c r="AJ1423" i="7"/>
  <c r="AF1423" i="7"/>
  <c r="CU1422" i="7"/>
  <c r="CW1422" i="7" s="1"/>
  <c r="CN1422" i="7"/>
  <c r="CJ1422" i="7"/>
  <c r="AK1422" i="7"/>
  <c r="AL1422" i="7" s="1"/>
  <c r="AJ1422" i="7"/>
  <c r="AF1422" i="7"/>
  <c r="CV1422" i="7"/>
  <c r="CJ1421" i="7"/>
  <c r="AK1421" i="7"/>
  <c r="AL1421" i="7" s="1"/>
  <c r="AJ1421" i="7"/>
  <c r="AF1421" i="7"/>
  <c r="CV1420" i="7"/>
  <c r="CJ1420" i="7"/>
  <c r="CK1420" i="7"/>
  <c r="AJ1420" i="7"/>
  <c r="AL1420" i="7" s="1"/>
  <c r="AF1420" i="7"/>
  <c r="CU1420" i="7"/>
  <c r="CW1420" i="7" s="1"/>
  <c r="CK195" i="7"/>
  <c r="CJ195" i="7"/>
  <c r="AJ195" i="7"/>
  <c r="AL195" i="7" s="1"/>
  <c r="AF195" i="7"/>
  <c r="CV1419" i="7"/>
  <c r="CJ1419" i="7"/>
  <c r="AJ1419" i="7"/>
  <c r="AL1419" i="7" s="1"/>
  <c r="AF1419" i="7"/>
  <c r="CU1419" i="7"/>
  <c r="CW1419" i="7" s="1"/>
  <c r="AJ194" i="7"/>
  <c r="AL194" i="7" s="1"/>
  <c r="AF194" i="7"/>
  <c r="CV1643" i="7"/>
  <c r="CJ1643" i="7"/>
  <c r="CK1643" i="7"/>
  <c r="AJ1643" i="7"/>
  <c r="AL1643" i="7" s="1"/>
  <c r="AF1643" i="7"/>
  <c r="CU1643" i="7"/>
  <c r="CW1643" i="7" s="1"/>
  <c r="CL1418" i="7"/>
  <c r="AK1418" i="7"/>
  <c r="AL1418" i="7" s="1"/>
  <c r="AJ1418" i="7"/>
  <c r="AF1418" i="7"/>
  <c r="CJ1874" i="7"/>
  <c r="CR1874" i="7" s="1"/>
  <c r="AK1874" i="7"/>
  <c r="AL1874" i="7" s="1"/>
  <c r="AJ1874" i="7"/>
  <c r="AF1874" i="7"/>
  <c r="CV1874" i="7"/>
  <c r="AJ193" i="7"/>
  <c r="AL193" i="7" s="1"/>
  <c r="AF193" i="7"/>
  <c r="CU193" i="7"/>
  <c r="CW193" i="7" s="1"/>
  <c r="CU1417" i="7"/>
  <c r="CW1417" i="7" s="1"/>
  <c r="CK1417" i="7"/>
  <c r="CJ1417" i="7"/>
  <c r="CR1417" i="7" s="1"/>
  <c r="CL1417" i="7"/>
  <c r="AJ1417" i="7"/>
  <c r="AL1417" i="7" s="1"/>
  <c r="AF1417" i="7"/>
  <c r="CV1417" i="7"/>
  <c r="CJ192" i="7"/>
  <c r="AJ192" i="7"/>
  <c r="AL192" i="7" s="1"/>
  <c r="AF192" i="7"/>
  <c r="CJ1873" i="7"/>
  <c r="AJ1873" i="7"/>
  <c r="AL1873" i="7" s="1"/>
  <c r="AF1873" i="7"/>
  <c r="CV1873" i="7"/>
  <c r="AJ191" i="7"/>
  <c r="AL191" i="7" s="1"/>
  <c r="AF191" i="7"/>
  <c r="CV1416" i="7"/>
  <c r="CU1416" i="7"/>
  <c r="CW1416" i="7" s="1"/>
  <c r="CL1416" i="7"/>
  <c r="CK1416" i="7"/>
  <c r="CJ1416" i="7"/>
  <c r="AK1416" i="7"/>
  <c r="AL1416" i="7" s="1"/>
  <c r="AJ1416" i="7"/>
  <c r="AF1416" i="7"/>
  <c r="CU190" i="7"/>
  <c r="CW190" i="7" s="1"/>
  <c r="CL190" i="7"/>
  <c r="AJ190" i="7"/>
  <c r="AL190" i="7" s="1"/>
  <c r="AF190" i="7"/>
  <c r="CJ2028" i="7"/>
  <c r="AJ2028" i="7"/>
  <c r="AL2028" i="7" s="1"/>
  <c r="AF2028" i="7"/>
  <c r="CU2028" i="7"/>
  <c r="CW2028" i="7" s="1"/>
  <c r="AK1841" i="7"/>
  <c r="AL1841" i="7" s="1"/>
  <c r="AJ1841" i="7"/>
  <c r="AF1841" i="7"/>
  <c r="CU1840" i="7"/>
  <c r="CW1840" i="7" s="1"/>
  <c r="CJ1840" i="7"/>
  <c r="CL1840" i="7"/>
  <c r="AK1840" i="7"/>
  <c r="AL1840" i="7" s="1"/>
  <c r="AJ1840" i="7"/>
  <c r="AF1840" i="7"/>
  <c r="CN1415" i="7"/>
  <c r="CU1415" i="7"/>
  <c r="CW1415" i="7" s="1"/>
  <c r="AJ1415" i="7"/>
  <c r="AL1415" i="7" s="1"/>
  <c r="AF1415" i="7"/>
  <c r="CV1414" i="7"/>
  <c r="CN1414" i="7"/>
  <c r="CL1414" i="7"/>
  <c r="CK1414" i="7"/>
  <c r="CJ1414" i="7"/>
  <c r="CR1414" i="7" s="1"/>
  <c r="AJ1414" i="7"/>
  <c r="AL1414" i="7" s="1"/>
  <c r="AF1414" i="7"/>
  <c r="CU1414" i="7"/>
  <c r="CW1414" i="7" s="1"/>
  <c r="AK1413" i="7"/>
  <c r="AL1413" i="7" s="1"/>
  <c r="AJ1413" i="7"/>
  <c r="AF1413" i="7"/>
  <c r="CV1413" i="7"/>
  <c r="CV1412" i="7"/>
  <c r="CN1412" i="7"/>
  <c r="CJ1412" i="7"/>
  <c r="CR1412" i="7" s="1"/>
  <c r="CK1412" i="7"/>
  <c r="AJ1412" i="7"/>
  <c r="AL1412" i="7" s="1"/>
  <c r="AF1412" i="7"/>
  <c r="CU1412" i="7"/>
  <c r="CW1412" i="7" s="1"/>
  <c r="CL1411" i="7"/>
  <c r="AJ1411" i="7"/>
  <c r="AL1411" i="7" s="1"/>
  <c r="AF1411" i="7"/>
  <c r="CV1410" i="7"/>
  <c r="CJ1410" i="7"/>
  <c r="CR1410" i="7" s="1"/>
  <c r="CK1410" i="7"/>
  <c r="AK1410" i="7"/>
  <c r="AL1410" i="7" s="1"/>
  <c r="AJ1410" i="7"/>
  <c r="AF1410" i="7"/>
  <c r="CU1410" i="7"/>
  <c r="CW1410" i="7" s="1"/>
  <c r="AK1409" i="7"/>
  <c r="AL1409" i="7" s="1"/>
  <c r="AJ1409" i="7"/>
  <c r="AF1409" i="7"/>
  <c r="CU1408" i="7"/>
  <c r="CW1408" i="7" s="1"/>
  <c r="CK1408" i="7"/>
  <c r="CJ1408" i="7"/>
  <c r="CL1408" i="7"/>
  <c r="AK1408" i="7"/>
  <c r="AL1408" i="7" s="1"/>
  <c r="AJ1408" i="7"/>
  <c r="AF1408" i="7"/>
  <c r="CV1408" i="7"/>
  <c r="CK1407" i="7"/>
  <c r="AK1407" i="7"/>
  <c r="AL1407" i="7" s="1"/>
  <c r="AJ1407" i="7"/>
  <c r="AF1407" i="7"/>
  <c r="CU1652" i="7"/>
  <c r="CW1652" i="7" s="1"/>
  <c r="CJ1652" i="7"/>
  <c r="CR1652" i="7" s="1"/>
  <c r="AJ1652" i="7"/>
  <c r="AL1652" i="7" s="1"/>
  <c r="AF1652" i="7"/>
  <c r="AK1690" i="7"/>
  <c r="AL1690" i="7" s="1"/>
  <c r="AJ1690" i="7"/>
  <c r="AF1690" i="7"/>
  <c r="CV1690" i="7"/>
  <c r="CN1626" i="7"/>
  <c r="CL1626" i="7"/>
  <c r="CJ1626" i="7"/>
  <c r="CR1626" i="7" s="1"/>
  <c r="AK1626" i="7"/>
  <c r="AL1626" i="7" s="1"/>
  <c r="AJ1626" i="7"/>
  <c r="AF1626" i="7"/>
  <c r="CU1626" i="7"/>
  <c r="CW1626" i="7" s="1"/>
  <c r="CJ77" i="7"/>
  <c r="AJ77" i="7"/>
  <c r="AL77" i="7" s="1"/>
  <c r="AF77" i="7"/>
  <c r="CJ189" i="7"/>
  <c r="CR189" i="7" s="1"/>
  <c r="AK189" i="7"/>
  <c r="AL189" i="7" s="1"/>
  <c r="AJ189" i="7"/>
  <c r="AF189" i="7"/>
  <c r="CU189" i="7"/>
  <c r="CW189" i="7" s="1"/>
  <c r="CJ1406" i="7"/>
  <c r="AK1406" i="7"/>
  <c r="AL1406" i="7" s="1"/>
  <c r="AJ1406" i="7"/>
  <c r="AF1406" i="7"/>
  <c r="CV1406" i="7"/>
  <c r="CJ188" i="7"/>
  <c r="CR188" i="7" s="1"/>
  <c r="CL188" i="7"/>
  <c r="AK188" i="7"/>
  <c r="AL188" i="7" s="1"/>
  <c r="AJ188" i="7"/>
  <c r="AF188" i="7"/>
  <c r="CV1851" i="7"/>
  <c r="CJ1851" i="7"/>
  <c r="CK1851" i="7"/>
  <c r="AJ1851" i="7"/>
  <c r="AL1851" i="7" s="1"/>
  <c r="AF1851" i="7"/>
  <c r="CU1851" i="7"/>
  <c r="CW1851" i="7" s="1"/>
  <c r="CU1245" i="7"/>
  <c r="CW1245" i="7" s="1"/>
  <c r="AJ1245" i="7"/>
  <c r="AL1245" i="7" s="1"/>
  <c r="AF1245" i="7"/>
  <c r="CN1405" i="7"/>
  <c r="CJ1405" i="7"/>
  <c r="AK1405" i="7"/>
  <c r="AL1405" i="7" s="1"/>
  <c r="AJ1405" i="7"/>
  <c r="AF1405" i="7"/>
  <c r="CV1405" i="7"/>
  <c r="CU1404" i="7"/>
  <c r="CW1404" i="7" s="1"/>
  <c r="CJ1404" i="7"/>
  <c r="CL1404" i="7"/>
  <c r="AJ1404" i="7"/>
  <c r="AL1404" i="7" s="1"/>
  <c r="AF1404" i="7"/>
  <c r="CV1404" i="7"/>
  <c r="CV187" i="7"/>
  <c r="CJ187" i="7"/>
  <c r="CK187" i="7"/>
  <c r="AK187" i="7"/>
  <c r="AL187" i="7" s="1"/>
  <c r="AJ187" i="7"/>
  <c r="AF187" i="7"/>
  <c r="CV1403" i="7"/>
  <c r="CU1403" i="7"/>
  <c r="CW1403" i="7" s="1"/>
  <c r="CJ1403" i="7"/>
  <c r="CL1403" i="7"/>
  <c r="AK1403" i="7"/>
  <c r="AL1403" i="7" s="1"/>
  <c r="AJ1403" i="7"/>
  <c r="AF1403" i="7"/>
  <c r="CJ1402" i="7"/>
  <c r="AK1402" i="7"/>
  <c r="AL1402" i="7" s="1"/>
  <c r="AJ1402" i="7"/>
  <c r="AF1402" i="7"/>
  <c r="CV1402" i="7"/>
  <c r="CJ186" i="7"/>
  <c r="CL186" i="7"/>
  <c r="AK186" i="7"/>
  <c r="AL186" i="7" s="1"/>
  <c r="AJ186" i="7"/>
  <c r="AF186" i="7"/>
  <c r="CV186" i="7"/>
  <c r="CV1401" i="7"/>
  <c r="CJ1401" i="7"/>
  <c r="CK1401" i="7"/>
  <c r="AK1401" i="7"/>
  <c r="AL1401" i="7" s="1"/>
  <c r="AJ1401" i="7"/>
  <c r="AF1401" i="7"/>
  <c r="CU1401" i="7"/>
  <c r="CW1401" i="7" s="1"/>
  <c r="CU185" i="7"/>
  <c r="CW185" i="7" s="1"/>
  <c r="CL185" i="7"/>
  <c r="CJ185" i="7"/>
  <c r="AJ185" i="7"/>
  <c r="AL185" i="7" s="1"/>
  <c r="AF185" i="7"/>
  <c r="AK1400" i="7"/>
  <c r="AL1400" i="7" s="1"/>
  <c r="AJ1400" i="7"/>
  <c r="AF1400" i="7"/>
  <c r="CV1400" i="7"/>
  <c r="CV1399" i="7"/>
  <c r="CN1399" i="7"/>
  <c r="CL1399" i="7"/>
  <c r="CJ1399" i="7"/>
  <c r="CR1399" i="7" s="1"/>
  <c r="CK1399" i="7"/>
  <c r="AJ1399" i="7"/>
  <c r="AL1399" i="7" s="1"/>
  <c r="AF1399" i="7"/>
  <c r="CU1399" i="7"/>
  <c r="CW1399" i="7" s="1"/>
  <c r="CK184" i="7"/>
  <c r="CL184" i="7"/>
  <c r="AJ184" i="7"/>
  <c r="AL184" i="7" s="1"/>
  <c r="AF184" i="7"/>
  <c r="CV184" i="7"/>
  <c r="CJ1398" i="7"/>
  <c r="AJ1398" i="7"/>
  <c r="AL1398" i="7" s="1"/>
  <c r="AF1398" i="7"/>
  <c r="CU1398" i="7"/>
  <c r="CW1398" i="7" s="1"/>
  <c r="CU1397" i="7"/>
  <c r="CW1397" i="7" s="1"/>
  <c r="AJ1397" i="7"/>
  <c r="AL1397" i="7" s="1"/>
  <c r="AF1397" i="7"/>
  <c r="CV1397" i="7"/>
  <c r="CV1396" i="7"/>
  <c r="CL1396" i="7"/>
  <c r="CJ1396" i="7"/>
  <c r="CR1396" i="7" s="1"/>
  <c r="CK1396" i="7"/>
  <c r="AK1396" i="7"/>
  <c r="AL1396" i="7" s="1"/>
  <c r="AJ1396" i="7"/>
  <c r="AF1396" i="7"/>
  <c r="CU1396" i="7"/>
  <c r="CW1396" i="7" s="1"/>
  <c r="CV1395" i="7"/>
  <c r="CU1395" i="7"/>
  <c r="CW1395" i="7" s="1"/>
  <c r="CK1395" i="7"/>
  <c r="CJ1395" i="7"/>
  <c r="CR1395" i="7" s="1"/>
  <c r="AK1395" i="7"/>
  <c r="AL1395" i="7" s="1"/>
  <c r="AJ1395" i="7"/>
  <c r="AF1395" i="7"/>
  <c r="CU1394" i="7"/>
  <c r="CW1394" i="7" s="1"/>
  <c r="CJ1394" i="7"/>
  <c r="AK1394" i="7"/>
  <c r="AL1394" i="7" s="1"/>
  <c r="AJ1394" i="7"/>
  <c r="AF1394" i="7"/>
  <c r="CJ1393" i="7"/>
  <c r="AK1393" i="7"/>
  <c r="AL1393" i="7" s="1"/>
  <c r="AJ1393" i="7"/>
  <c r="AF1393" i="7"/>
  <c r="CV1393" i="7"/>
  <c r="CJ1392" i="7"/>
  <c r="AJ1392" i="7"/>
  <c r="AL1392" i="7" s="1"/>
  <c r="AF1392" i="7"/>
  <c r="CU1392" i="7"/>
  <c r="CW1392" i="7" s="1"/>
  <c r="CL2016" i="7"/>
  <c r="CK2016" i="7"/>
  <c r="AF2016" i="7"/>
  <c r="CV2016" i="7"/>
  <c r="CJ1391" i="7"/>
  <c r="CR1391" i="7" s="1"/>
  <c r="AK1391" i="7"/>
  <c r="AL1391" i="7" s="1"/>
  <c r="AJ1391" i="7"/>
  <c r="AF1391" i="7"/>
  <c r="CJ1390" i="7"/>
  <c r="CR1390" i="7" s="1"/>
  <c r="AK1390" i="7"/>
  <c r="AL1390" i="7" s="1"/>
  <c r="AJ1390" i="7"/>
  <c r="AF1390" i="7"/>
  <c r="CV1390" i="7"/>
  <c r="CV1389" i="7"/>
  <c r="CJ1389" i="7"/>
  <c r="CR1389" i="7" s="1"/>
  <c r="AK1389" i="7"/>
  <c r="AL1389" i="7" s="1"/>
  <c r="AJ1389" i="7"/>
  <c r="AF1389" i="7"/>
  <c r="CJ183" i="7"/>
  <c r="CR183" i="7" s="1"/>
  <c r="CL183" i="7"/>
  <c r="AJ183" i="7"/>
  <c r="AL183" i="7" s="1"/>
  <c r="AF183" i="7"/>
  <c r="CU183" i="7"/>
  <c r="CW183" i="7" s="1"/>
  <c r="CU1388" i="7"/>
  <c r="CW1388" i="7" s="1"/>
  <c r="CL1388" i="7"/>
  <c r="AJ1388" i="7"/>
  <c r="AL1388" i="7" s="1"/>
  <c r="AF1388" i="7"/>
  <c r="CV1388" i="7"/>
  <c r="CV1387" i="7"/>
  <c r="CU1387" i="7"/>
  <c r="CW1387" i="7" s="1"/>
  <c r="AJ1387" i="7"/>
  <c r="AL1387" i="7" s="1"/>
  <c r="AF1387" i="7"/>
  <c r="CK1386" i="7"/>
  <c r="CU1386" i="7"/>
  <c r="CW1386" i="7" s="1"/>
  <c r="CL1386" i="7"/>
  <c r="AJ1386" i="7"/>
  <c r="AL1386" i="7" s="1"/>
  <c r="AF1386" i="7"/>
  <c r="CV1386" i="7"/>
  <c r="CV1385" i="7"/>
  <c r="CK1385" i="7"/>
  <c r="CJ1385" i="7"/>
  <c r="CR1385" i="7" s="1"/>
  <c r="AK1385" i="7"/>
  <c r="AL1385" i="7" s="1"/>
  <c r="AJ1385" i="7"/>
  <c r="AF1385" i="7"/>
  <c r="CU1385" i="7"/>
  <c r="CW1385" i="7" s="1"/>
  <c r="CJ182" i="7"/>
  <c r="AF182" i="7"/>
  <c r="AK1384" i="7"/>
  <c r="AL1384" i="7" s="1"/>
  <c r="AJ1384" i="7"/>
  <c r="AF1384" i="7"/>
  <c r="CV1384" i="7"/>
  <c r="CK2027" i="7"/>
  <c r="CU2027" i="7"/>
  <c r="CW2027" i="7" s="1"/>
  <c r="CL2027" i="7"/>
  <c r="AJ2027" i="7"/>
  <c r="AL2027" i="7" s="1"/>
  <c r="AF2027" i="7"/>
  <c r="CV2027" i="7"/>
  <c r="CN1839" i="7"/>
  <c r="CL1839" i="7"/>
  <c r="AJ1839" i="7"/>
  <c r="AL1839" i="7" s="1"/>
  <c r="AF1839" i="7"/>
  <c r="CV1383" i="7"/>
  <c r="CJ1383" i="7"/>
  <c r="AK1383" i="7"/>
  <c r="AL1383" i="7" s="1"/>
  <c r="AJ1383" i="7"/>
  <c r="AF1383" i="7"/>
  <c r="CU1383" i="7"/>
  <c r="CW1383" i="7" s="1"/>
  <c r="CN2015" i="7"/>
  <c r="AJ2015" i="7"/>
  <c r="AL2015" i="7" s="1"/>
  <c r="AF2015" i="7"/>
  <c r="CN1689" i="7"/>
  <c r="CK1689" i="7"/>
  <c r="CJ1689" i="7"/>
  <c r="CR1689" i="7" s="1"/>
  <c r="AK1689" i="7"/>
  <c r="AL1689" i="7" s="1"/>
  <c r="AJ1689" i="7"/>
  <c r="AF1689" i="7"/>
  <c r="CV1689" i="7"/>
  <c r="CK181" i="7"/>
  <c r="AJ181" i="7"/>
  <c r="AL181" i="7" s="1"/>
  <c r="AF181" i="7"/>
  <c r="CU180" i="7"/>
  <c r="CW180" i="7" s="1"/>
  <c r="CJ180" i="7"/>
  <c r="AK180" i="7"/>
  <c r="AL180" i="7" s="1"/>
  <c r="AJ180" i="7"/>
  <c r="AF180" i="7"/>
  <c r="CV180" i="7"/>
  <c r="CL1705" i="7"/>
  <c r="CJ1705" i="7"/>
  <c r="AK1705" i="7"/>
  <c r="AL1705" i="7" s="1"/>
  <c r="AJ1705" i="7"/>
  <c r="AF1705" i="7"/>
  <c r="CK1382" i="7"/>
  <c r="CJ1382" i="7"/>
  <c r="CL1382" i="7"/>
  <c r="AK1382" i="7"/>
  <c r="AL1382" i="7" s="1"/>
  <c r="AJ1382" i="7"/>
  <c r="AF1382" i="7"/>
  <c r="CV1382" i="7"/>
  <c r="CK179" i="7"/>
  <c r="CL179" i="7"/>
  <c r="AK179" i="7"/>
  <c r="AL179" i="7" s="1"/>
  <c r="AJ179" i="7"/>
  <c r="AF179" i="7"/>
  <c r="CV6" i="7"/>
  <c r="CJ6" i="7"/>
  <c r="AK6" i="7"/>
  <c r="AL6" i="7" s="1"/>
  <c r="AJ6" i="7"/>
  <c r="AF6" i="7"/>
  <c r="CJ5" i="7"/>
  <c r="AK5" i="7"/>
  <c r="AL5" i="7" s="1"/>
  <c r="AJ5" i="7"/>
  <c r="AF5" i="7"/>
  <c r="CU4" i="7"/>
  <c r="CW4" i="7" s="1"/>
  <c r="CK4" i="7"/>
  <c r="CJ4" i="7"/>
  <c r="CL4" i="7"/>
  <c r="AK4" i="7"/>
  <c r="AL4" i="7" s="1"/>
  <c r="AJ4" i="7"/>
  <c r="AF4" i="7"/>
  <c r="CV4" i="7"/>
  <c r="CK178" i="7"/>
  <c r="CJ178" i="7"/>
  <c r="CR178" i="7" s="1"/>
  <c r="CL178" i="7"/>
  <c r="AK178" i="7"/>
  <c r="AL178" i="7" s="1"/>
  <c r="AJ178" i="7"/>
  <c r="AF178" i="7"/>
  <c r="CV177" i="7"/>
  <c r="CJ177" i="7"/>
  <c r="CR177" i="7" s="1"/>
  <c r="AK177" i="7"/>
  <c r="AL177" i="7" s="1"/>
  <c r="AJ177" i="7"/>
  <c r="AF177" i="7"/>
  <c r="CU177" i="7"/>
  <c r="CW177" i="7" s="1"/>
  <c r="CV176" i="7"/>
  <c r="CU176" i="7"/>
  <c r="CW176" i="7" s="1"/>
  <c r="AJ176" i="7"/>
  <c r="AL176" i="7" s="1"/>
  <c r="AF176" i="7"/>
  <c r="CK175" i="7"/>
  <c r="CU175" i="7"/>
  <c r="CW175" i="7" s="1"/>
  <c r="CL175" i="7"/>
  <c r="AJ175" i="7"/>
  <c r="AL175" i="7" s="1"/>
  <c r="AF175" i="7"/>
  <c r="CV175" i="7"/>
  <c r="CV174" i="7"/>
  <c r="CK174" i="7"/>
  <c r="CJ174" i="7"/>
  <c r="AJ174" i="7"/>
  <c r="AL174" i="7" s="1"/>
  <c r="AF174" i="7"/>
  <c r="CU174" i="7"/>
  <c r="CW174" i="7" s="1"/>
  <c r="CJ1872" i="7"/>
  <c r="CR1872" i="7" s="1"/>
  <c r="CN1872" i="7"/>
  <c r="AK1872" i="7"/>
  <c r="AL1872" i="7" s="1"/>
  <c r="AJ1872" i="7"/>
  <c r="AF1872" i="7"/>
  <c r="CV1872" i="7"/>
  <c r="CV173" i="7"/>
  <c r="CJ173" i="7"/>
  <c r="CK173" i="7"/>
  <c r="AK173" i="7"/>
  <c r="AL173" i="7" s="1"/>
  <c r="AJ173" i="7"/>
  <c r="AF173" i="7"/>
  <c r="CV1850" i="7"/>
  <c r="CU1850" i="7"/>
  <c r="CW1850" i="7" s="1"/>
  <c r="CL1850" i="7"/>
  <c r="CK1850" i="7"/>
  <c r="CJ1850" i="7"/>
  <c r="AJ1850" i="7"/>
  <c r="AL1850" i="7" s="1"/>
  <c r="AF1850" i="7"/>
  <c r="CK172" i="7"/>
  <c r="CJ172" i="7"/>
  <c r="CR172" i="7" s="1"/>
  <c r="AK172" i="7"/>
  <c r="AL172" i="7" s="1"/>
  <c r="AJ172" i="7"/>
  <c r="AF172" i="7"/>
  <c r="CV1849" i="7"/>
  <c r="CJ1849" i="7"/>
  <c r="CK1849" i="7"/>
  <c r="AJ1849" i="7"/>
  <c r="AL1849" i="7" s="1"/>
  <c r="AF1849" i="7"/>
  <c r="CU1849" i="7"/>
  <c r="CW1849" i="7" s="1"/>
  <c r="CU1381" i="7"/>
  <c r="CW1381" i="7" s="1"/>
  <c r="CJ1381" i="7"/>
  <c r="CL1381" i="7"/>
  <c r="AK1381" i="7"/>
  <c r="AL1381" i="7" s="1"/>
  <c r="AJ1381" i="7"/>
  <c r="AF1381" i="7"/>
  <c r="CV1381" i="7"/>
  <c r="CK1848" i="7"/>
  <c r="CU1848" i="7"/>
  <c r="CW1848" i="7" s="1"/>
  <c r="CL1848" i="7"/>
  <c r="AJ1848" i="7"/>
  <c r="AL1848" i="7" s="1"/>
  <c r="AF1848" i="7"/>
  <c r="CV1848" i="7"/>
  <c r="CV171" i="7"/>
  <c r="CK171" i="7"/>
  <c r="CJ171" i="7"/>
  <c r="AJ171" i="7"/>
  <c r="AL171" i="7" s="1"/>
  <c r="AF171" i="7"/>
  <c r="CU171" i="7"/>
  <c r="CW171" i="7" s="1"/>
  <c r="AF170" i="7"/>
  <c r="CV170" i="7"/>
  <c r="CV169" i="7"/>
  <c r="AK169" i="7"/>
  <c r="AL169" i="7" s="1"/>
  <c r="AJ169" i="7"/>
  <c r="AF169" i="7"/>
  <c r="CL1380" i="7"/>
  <c r="CJ1380" i="7"/>
  <c r="CK1380" i="7"/>
  <c r="AK1380" i="7"/>
  <c r="AL1380" i="7" s="1"/>
  <c r="AJ1380" i="7"/>
  <c r="AF1380" i="7"/>
  <c r="CV1380" i="7"/>
  <c r="CJ1871" i="7"/>
  <c r="CR1871" i="7" s="1"/>
  <c r="CL1871" i="7"/>
  <c r="AK1871" i="7"/>
  <c r="AL1871" i="7" s="1"/>
  <c r="AJ1871" i="7"/>
  <c r="AF1871" i="7"/>
  <c r="CV1871" i="7"/>
  <c r="CU1379" i="7"/>
  <c r="CW1379" i="7" s="1"/>
  <c r="AJ1379" i="7"/>
  <c r="AL1379" i="7" s="1"/>
  <c r="AF1379" i="7"/>
  <c r="CV1379" i="7"/>
  <c r="CJ1688" i="7"/>
  <c r="AK1688" i="7"/>
  <c r="AL1688" i="7" s="1"/>
  <c r="AJ1688" i="7"/>
  <c r="AF1688" i="7"/>
  <c r="CV1688" i="7"/>
  <c r="AK76" i="7"/>
  <c r="AL76" i="7" s="1"/>
  <c r="AJ76" i="7"/>
  <c r="AF76" i="7"/>
  <c r="CN1378" i="7"/>
  <c r="CL1378" i="7"/>
  <c r="CJ1378" i="7"/>
  <c r="CK1378" i="7"/>
  <c r="AJ1378" i="7"/>
  <c r="AL1378" i="7" s="1"/>
  <c r="AF1378" i="7"/>
  <c r="CV1378" i="7"/>
  <c r="CJ1377" i="7"/>
  <c r="CR1377" i="7" s="1"/>
  <c r="AK1377" i="7"/>
  <c r="AL1377" i="7" s="1"/>
  <c r="AJ1377" i="7"/>
  <c r="AF1377" i="7"/>
  <c r="CV1376" i="7"/>
  <c r="CJ1376" i="7"/>
  <c r="AK1376" i="7"/>
  <c r="AL1376" i="7" s="1"/>
  <c r="AJ1376" i="7"/>
  <c r="AF1376" i="7"/>
  <c r="CU1376" i="7"/>
  <c r="CW1376" i="7" s="1"/>
  <c r="CL1847" i="7"/>
  <c r="CJ1847" i="7"/>
  <c r="AJ1847" i="7"/>
  <c r="AL1847" i="7" s="1"/>
  <c r="AF1847" i="7"/>
  <c r="CN1375" i="7"/>
  <c r="CK1375" i="7"/>
  <c r="CJ1375" i="7"/>
  <c r="AJ1375" i="7"/>
  <c r="AL1375" i="7" s="1"/>
  <c r="AF1375" i="7"/>
  <c r="CV1375" i="7"/>
  <c r="CJ1825" i="7"/>
  <c r="AJ1825" i="7"/>
  <c r="AL1825" i="7" s="1"/>
  <c r="AF1825" i="7"/>
  <c r="CV1374" i="7"/>
  <c r="CJ1374" i="7"/>
  <c r="AK1374" i="7"/>
  <c r="AL1374" i="7" s="1"/>
  <c r="AJ1374" i="7"/>
  <c r="AF1374" i="7"/>
  <c r="CU1374" i="7"/>
  <c r="CW1374" i="7" s="1"/>
  <c r="CN1373" i="7"/>
  <c r="CL1373" i="7"/>
  <c r="CJ1373" i="7"/>
  <c r="CR1373" i="7" s="1"/>
  <c r="AK1373" i="7"/>
  <c r="AL1373" i="7" s="1"/>
  <c r="AJ1373" i="7"/>
  <c r="AF1373" i="7"/>
  <c r="CV1373" i="7"/>
  <c r="CU168" i="7"/>
  <c r="CW168" i="7" s="1"/>
  <c r="CK168" i="7"/>
  <c r="CJ168" i="7"/>
  <c r="AJ168" i="7"/>
  <c r="AL168" i="7" s="1"/>
  <c r="AF168" i="7"/>
  <c r="CV168" i="7"/>
  <c r="CJ1846" i="7"/>
  <c r="AJ1846" i="7"/>
  <c r="AL1846" i="7" s="1"/>
  <c r="AF1846" i="7"/>
  <c r="AJ1845" i="7"/>
  <c r="AL1845" i="7" s="1"/>
  <c r="AF1845" i="7"/>
  <c r="CV1845" i="7"/>
  <c r="CV1372" i="7"/>
  <c r="CJ1372" i="7"/>
  <c r="CR1372" i="7" s="1"/>
  <c r="AK1372" i="7"/>
  <c r="AL1372" i="7" s="1"/>
  <c r="AJ1372" i="7"/>
  <c r="AF1372" i="7"/>
  <c r="CJ167" i="7"/>
  <c r="AJ167" i="7"/>
  <c r="AL167" i="7" s="1"/>
  <c r="AF167" i="7"/>
  <c r="CJ1371" i="7"/>
  <c r="AK1371" i="7"/>
  <c r="AL1371" i="7" s="1"/>
  <c r="AJ1371" i="7"/>
  <c r="AF1371" i="7"/>
  <c r="CN1370" i="7"/>
  <c r="CJ1370" i="7"/>
  <c r="AJ1370" i="7"/>
  <c r="AL1370" i="7" s="1"/>
  <c r="AF1370" i="7"/>
  <c r="CJ1369" i="7"/>
  <c r="CR1369" i="7" s="1"/>
  <c r="CL1369" i="7"/>
  <c r="AK1369" i="7"/>
  <c r="AL1369" i="7" s="1"/>
  <c r="AJ1369" i="7"/>
  <c r="AF1369" i="7"/>
  <c r="CN1368" i="7"/>
  <c r="CK1368" i="7"/>
  <c r="CJ1368" i="7"/>
  <c r="CR1368" i="7" s="1"/>
  <c r="AK1368" i="7"/>
  <c r="AL1368" i="7" s="1"/>
  <c r="AJ1368" i="7"/>
  <c r="AF1368" i="7"/>
  <c r="CV1368" i="7"/>
  <c r="CJ1367" i="7"/>
  <c r="AK1367" i="7"/>
  <c r="AL1367" i="7" s="1"/>
  <c r="AJ1367" i="7"/>
  <c r="AF1367" i="7"/>
  <c r="CV1366" i="7"/>
  <c r="CU1366" i="7"/>
  <c r="CW1366" i="7" s="1"/>
  <c r="CL1366" i="7"/>
  <c r="AK1366" i="7"/>
  <c r="AL1366" i="7" s="1"/>
  <c r="AJ1366" i="7"/>
  <c r="AF1366" i="7"/>
  <c r="CU166" i="7"/>
  <c r="CW166" i="7" s="1"/>
  <c r="CJ166" i="7"/>
  <c r="CL166" i="7"/>
  <c r="AF166" i="7"/>
  <c r="CK1844" i="7"/>
  <c r="CU1844" i="7"/>
  <c r="CW1844" i="7" s="1"/>
  <c r="AJ1844" i="7"/>
  <c r="AL1844" i="7" s="1"/>
  <c r="AF1844" i="7"/>
  <c r="CV1844" i="7"/>
  <c r="CJ1365" i="7"/>
  <c r="CR1365" i="7" s="1"/>
  <c r="AK1365" i="7"/>
  <c r="AL1365" i="7" s="1"/>
  <c r="AJ1365" i="7"/>
  <c r="AF1365" i="7"/>
  <c r="AK1364" i="7"/>
  <c r="AL1364" i="7" s="1"/>
  <c r="AJ1364" i="7"/>
  <c r="AF1364" i="7"/>
  <c r="CV1364" i="7"/>
  <c r="CK1363" i="7"/>
  <c r="CJ1363" i="7"/>
  <c r="CL1363" i="7"/>
  <c r="AK1363" i="7"/>
  <c r="AL1363" i="7" s="1"/>
  <c r="AJ1363" i="7"/>
  <c r="AF1363" i="7"/>
  <c r="CV1362" i="7"/>
  <c r="CN1362" i="7"/>
  <c r="CJ1362" i="7"/>
  <c r="CK1362" i="7"/>
  <c r="AK1362" i="7"/>
  <c r="AL1362" i="7" s="1"/>
  <c r="AJ1362" i="7"/>
  <c r="AF1362" i="7"/>
  <c r="CJ1361" i="7"/>
  <c r="AJ1361" i="7"/>
  <c r="AL1361" i="7" s="1"/>
  <c r="AF1361" i="7"/>
  <c r="CU1361" i="7"/>
  <c r="CW1361" i="7" s="1"/>
  <c r="CN165" i="7"/>
  <c r="CJ165" i="7"/>
  <c r="AK165" i="7"/>
  <c r="AL165" i="7" s="1"/>
  <c r="AJ165" i="7"/>
  <c r="AF165" i="7"/>
  <c r="CV165" i="7"/>
  <c r="CJ1687" i="7"/>
  <c r="CR1687" i="7" s="1"/>
  <c r="CK1687" i="7"/>
  <c r="AK1687" i="7"/>
  <c r="AL1687" i="7" s="1"/>
  <c r="AJ1687" i="7"/>
  <c r="AF1687" i="7"/>
  <c r="CL42" i="7"/>
  <c r="AJ42" i="7"/>
  <c r="AL42" i="7" s="1"/>
  <c r="AF42" i="7"/>
  <c r="CV42" i="7"/>
  <c r="CJ1863" i="7"/>
  <c r="CR1863" i="7" s="1"/>
  <c r="AK1863" i="7"/>
  <c r="AL1863" i="7" s="1"/>
  <c r="AJ1863" i="7"/>
  <c r="AF1863" i="7"/>
  <c r="CV1863" i="7"/>
  <c r="AJ75" i="7"/>
  <c r="AL75" i="7" s="1"/>
  <c r="AF75" i="7"/>
  <c r="CV2014" i="7"/>
  <c r="CL2014" i="7"/>
  <c r="CJ2014" i="7"/>
  <c r="CK2014" i="7"/>
  <c r="AJ2014" i="7"/>
  <c r="AL2014" i="7" s="1"/>
  <c r="AF2014" i="7"/>
  <c r="CU2014" i="7"/>
  <c r="CW2014" i="7" s="1"/>
  <c r="F2014" i="7"/>
  <c r="CJ1862" i="7"/>
  <c r="CR1862" i="7" s="1"/>
  <c r="CL1862" i="7"/>
  <c r="AK1862" i="7"/>
  <c r="AL1862" i="7" s="1"/>
  <c r="AJ1862" i="7"/>
  <c r="AF1862" i="7"/>
  <c r="CU1686" i="7"/>
  <c r="CW1686" i="7" s="1"/>
  <c r="CJ1686" i="7"/>
  <c r="CR1686" i="7" s="1"/>
  <c r="AK1686" i="7"/>
  <c r="AL1686" i="7" s="1"/>
  <c r="AJ1686" i="7"/>
  <c r="AF1686" i="7"/>
  <c r="CV1686" i="7"/>
  <c r="CJ1203" i="7"/>
  <c r="AK1203" i="7"/>
  <c r="AL1203" i="7" s="1"/>
  <c r="AJ1203" i="7"/>
  <c r="AF1203" i="7"/>
  <c r="CU1203" i="7"/>
  <c r="CW1203" i="7" s="1"/>
  <c r="CL164" i="7"/>
  <c r="CJ164" i="7"/>
  <c r="CR164" i="7" s="1"/>
  <c r="CK164" i="7"/>
  <c r="AK164" i="7"/>
  <c r="AL164" i="7" s="1"/>
  <c r="AJ164" i="7"/>
  <c r="AF164" i="7"/>
  <c r="CV164" i="7"/>
  <c r="CJ1685" i="7"/>
  <c r="CR1685" i="7" s="1"/>
  <c r="CL1685" i="7"/>
  <c r="AJ1685" i="7"/>
  <c r="AL1685" i="7" s="1"/>
  <c r="AF1685" i="7"/>
  <c r="CV1685" i="7"/>
  <c r="CV1771" i="7"/>
  <c r="CN1771" i="7"/>
  <c r="AK1771" i="7"/>
  <c r="AL1771" i="7" s="1"/>
  <c r="AJ1771" i="7"/>
  <c r="AF1771" i="7"/>
  <c r="CV2013" i="7"/>
  <c r="AJ2013" i="7"/>
  <c r="AL2013" i="7" s="1"/>
  <c r="AF2013" i="7"/>
  <c r="CN163" i="7"/>
  <c r="CK163" i="7"/>
  <c r="CU163" i="7"/>
  <c r="CW163" i="7" s="1"/>
  <c r="AK163" i="7"/>
  <c r="AL163" i="7" s="1"/>
  <c r="AJ163" i="7"/>
  <c r="AF163" i="7"/>
  <c r="CV163" i="7"/>
  <c r="CV162" i="7"/>
  <c r="CJ162" i="7"/>
  <c r="AJ162" i="7"/>
  <c r="AL162" i="7" s="1"/>
  <c r="AF162" i="7"/>
  <c r="CU161" i="7"/>
  <c r="CW161" i="7" s="1"/>
  <c r="CJ161" i="7"/>
  <c r="CR161" i="7" s="1"/>
  <c r="AJ161" i="7"/>
  <c r="AL161" i="7" s="1"/>
  <c r="AF161" i="7"/>
  <c r="CV161" i="7"/>
  <c r="AJ160" i="7"/>
  <c r="AL160" i="7" s="1"/>
  <c r="AF160" i="7"/>
  <c r="CU159" i="7"/>
  <c r="CW159" i="7" s="1"/>
  <c r="CK159" i="7"/>
  <c r="CJ159" i="7"/>
  <c r="CR159" i="7" s="1"/>
  <c r="CL159" i="7"/>
  <c r="AJ159" i="7"/>
  <c r="AL159" i="7" s="1"/>
  <c r="AF159" i="7"/>
  <c r="CV159" i="7"/>
  <c r="CV13" i="7"/>
  <c r="CL13" i="7"/>
  <c r="CJ13" i="7"/>
  <c r="AJ13" i="7"/>
  <c r="AL13" i="7" s="1"/>
  <c r="AF13" i="7"/>
  <c r="CJ158" i="7"/>
  <c r="AJ158" i="7"/>
  <c r="AL158" i="7" s="1"/>
  <c r="AF158" i="7"/>
  <c r="CU158" i="7"/>
  <c r="CW158" i="7" s="1"/>
  <c r="AJ157" i="7"/>
  <c r="AL157" i="7" s="1"/>
  <c r="AF157" i="7"/>
  <c r="CJ156" i="7"/>
  <c r="CR156" i="7" s="1"/>
  <c r="CL156" i="7"/>
  <c r="AJ156" i="7"/>
  <c r="AL156" i="7" s="1"/>
  <c r="AF156" i="7"/>
  <c r="CV156" i="7"/>
  <c r="CU155" i="7"/>
  <c r="CW155" i="7" s="1"/>
  <c r="AJ155" i="7"/>
  <c r="AL155" i="7" s="1"/>
  <c r="AF155" i="7"/>
  <c r="CJ154" i="7"/>
  <c r="CR154" i="7" s="1"/>
  <c r="CL154" i="7"/>
  <c r="AJ154" i="7"/>
  <c r="AL154" i="7" s="1"/>
  <c r="AF154" i="7"/>
  <c r="CU154" i="7"/>
  <c r="CW154" i="7" s="1"/>
  <c r="CU1923" i="7"/>
  <c r="CW1923" i="7" s="1"/>
  <c r="AJ1923" i="7"/>
  <c r="AL1923" i="7" s="1"/>
  <c r="AF1923" i="7"/>
  <c r="CV153" i="7"/>
  <c r="CN153" i="7"/>
  <c r="CJ153" i="7"/>
  <c r="CR153" i="7" s="1"/>
  <c r="CL153" i="7"/>
  <c r="AK153" i="7"/>
  <c r="AL153" i="7" s="1"/>
  <c r="AJ153" i="7"/>
  <c r="AF153" i="7"/>
  <c r="CL152" i="7"/>
  <c r="AK152" i="7"/>
  <c r="AL152" i="7" s="1"/>
  <c r="AJ152" i="7"/>
  <c r="AF152" i="7"/>
  <c r="CJ1164" i="7"/>
  <c r="CR1164" i="7" s="1"/>
  <c r="AK1164" i="7"/>
  <c r="AL1164" i="7" s="1"/>
  <c r="AJ1164" i="7"/>
  <c r="AF1164" i="7"/>
  <c r="CV1164" i="7"/>
  <c r="CV151" i="7"/>
  <c r="CJ151" i="7"/>
  <c r="AK151" i="7"/>
  <c r="AL151" i="7" s="1"/>
  <c r="AJ151" i="7"/>
  <c r="AF151" i="7"/>
  <c r="CU151" i="7"/>
  <c r="CW151" i="7" s="1"/>
  <c r="CJ150" i="7"/>
  <c r="CL150" i="7"/>
  <c r="AJ150" i="7"/>
  <c r="AL150" i="7" s="1"/>
  <c r="AF150" i="7"/>
  <c r="CU150" i="7"/>
  <c r="CW150" i="7" s="1"/>
  <c r="CK149" i="7"/>
  <c r="CU149" i="7"/>
  <c r="CW149" i="7" s="1"/>
  <c r="AJ149" i="7"/>
  <c r="AL149" i="7" s="1"/>
  <c r="AF149" i="7"/>
  <c r="CJ2012" i="7"/>
  <c r="AJ2012" i="7"/>
  <c r="AL2012" i="7" s="1"/>
  <c r="AF2012" i="7"/>
  <c r="CU2012" i="7"/>
  <c r="CW2012" i="7" s="1"/>
  <c r="F2012" i="7"/>
  <c r="CU2011" i="7"/>
  <c r="CW2011" i="7" s="1"/>
  <c r="CJ2011" i="7"/>
  <c r="AJ2011" i="7"/>
  <c r="AL2011" i="7" s="1"/>
  <c r="AF2011" i="7"/>
  <c r="F2011" i="7"/>
  <c r="CK1632" i="7"/>
  <c r="CU1632" i="7"/>
  <c r="CW1632" i="7" s="1"/>
  <c r="CL1632" i="7"/>
  <c r="AJ1632" i="7"/>
  <c r="AL1632" i="7" s="1"/>
  <c r="AF1632" i="7"/>
  <c r="CV1632" i="7"/>
  <c r="AJ2010" i="7"/>
  <c r="AL2010" i="7" s="1"/>
  <c r="AF2010" i="7"/>
  <c r="F2010" i="7"/>
  <c r="CU2009" i="7"/>
  <c r="CW2009" i="7" s="1"/>
  <c r="CJ2009" i="7"/>
  <c r="CL2009" i="7"/>
  <c r="AJ2009" i="7"/>
  <c r="AL2009" i="7" s="1"/>
  <c r="AF2009" i="7"/>
  <c r="CV2009" i="7"/>
  <c r="AJ2008" i="7"/>
  <c r="AL2008" i="7" s="1"/>
  <c r="AF2008" i="7"/>
  <c r="CK1360" i="7"/>
  <c r="CJ1360" i="7"/>
  <c r="CR1360" i="7" s="1"/>
  <c r="CL1360" i="7"/>
  <c r="AK1360" i="7"/>
  <c r="AL1360" i="7" s="1"/>
  <c r="AJ1360" i="7"/>
  <c r="AF1360" i="7"/>
  <c r="CV1360" i="7"/>
  <c r="CJ1827" i="7"/>
  <c r="CL1827" i="7"/>
  <c r="AK1827" i="7"/>
  <c r="AL1827" i="7" s="1"/>
  <c r="AJ1827" i="7"/>
  <c r="AF1827" i="7"/>
  <c r="CK2007" i="7"/>
  <c r="CJ2007" i="7"/>
  <c r="AF2007" i="7"/>
  <c r="CU2007" i="7"/>
  <c r="CW2007" i="7" s="1"/>
  <c r="CJ2006" i="7"/>
  <c r="F2006" i="7"/>
  <c r="CJ148" i="7"/>
  <c r="CK148" i="7"/>
  <c r="AJ148" i="7"/>
  <c r="AL148" i="7" s="1"/>
  <c r="AF148" i="7"/>
  <c r="CU148" i="7"/>
  <c r="CW148" i="7" s="1"/>
  <c r="CJ1359" i="7"/>
  <c r="AJ1359" i="7"/>
  <c r="AL1359" i="7" s="1"/>
  <c r="AF1359" i="7"/>
  <c r="CU1359" i="7"/>
  <c r="CW1359" i="7" s="1"/>
  <c r="CV2005" i="7"/>
  <c r="CU2005" i="7"/>
  <c r="CW2005" i="7" s="1"/>
  <c r="CJ2005" i="7"/>
  <c r="AJ2005" i="7"/>
  <c r="AL2005" i="7" s="1"/>
  <c r="AF2005" i="7"/>
  <c r="F2005" i="7"/>
  <c r="CU147" i="7"/>
  <c r="CW147" i="7" s="1"/>
  <c r="AJ147" i="7"/>
  <c r="AL147" i="7" s="1"/>
  <c r="AF147" i="7"/>
  <c r="CV146" i="7"/>
  <c r="CK146" i="7"/>
  <c r="CJ146" i="7"/>
  <c r="AJ146" i="7"/>
  <c r="AL146" i="7" s="1"/>
  <c r="AF146" i="7"/>
  <c r="CU145" i="7"/>
  <c r="CW145" i="7" s="1"/>
  <c r="AJ145" i="7"/>
  <c r="AL145" i="7" s="1"/>
  <c r="AF145" i="7"/>
  <c r="CK2004" i="7"/>
  <c r="CJ2004" i="7"/>
  <c r="AJ2004" i="7"/>
  <c r="AL2004" i="7" s="1"/>
  <c r="AF2004" i="7"/>
  <c r="CU2004" i="7"/>
  <c r="CW2004" i="7" s="1"/>
  <c r="F2004" i="7"/>
  <c r="AJ144" i="7"/>
  <c r="AL144" i="7" s="1"/>
  <c r="AF144" i="7"/>
  <c r="CV144" i="7"/>
  <c r="CU1358" i="7"/>
  <c r="CW1358" i="7" s="1"/>
  <c r="CK1358" i="7"/>
  <c r="CJ1358" i="7"/>
  <c r="CL1358" i="7"/>
  <c r="AJ1358" i="7"/>
  <c r="AL1358" i="7" s="1"/>
  <c r="AF1358" i="7"/>
  <c r="CV1358" i="7"/>
  <c r="CL1357" i="7"/>
  <c r="AK1357" i="7"/>
  <c r="AL1357" i="7" s="1"/>
  <c r="AJ1357" i="7"/>
  <c r="AF1357" i="7"/>
  <c r="CJ143" i="7"/>
  <c r="AJ143" i="7"/>
  <c r="AL143" i="7" s="1"/>
  <c r="AF143" i="7"/>
  <c r="CU143" i="7"/>
  <c r="CW143" i="7" s="1"/>
  <c r="AK142" i="7"/>
  <c r="AL142" i="7" s="1"/>
  <c r="AJ142" i="7"/>
  <c r="AF142" i="7"/>
  <c r="CV142" i="7"/>
  <c r="CN141" i="7"/>
  <c r="CK141" i="7"/>
  <c r="CJ141" i="7"/>
  <c r="CL141" i="7"/>
  <c r="AK141" i="7"/>
  <c r="AL141" i="7" s="1"/>
  <c r="AJ141" i="7"/>
  <c r="AF141" i="7"/>
  <c r="CV141" i="7"/>
  <c r="AJ1356" i="7"/>
  <c r="AL1356" i="7" s="1"/>
  <c r="AF1356" i="7"/>
  <c r="CU1355" i="7"/>
  <c r="CW1355" i="7" s="1"/>
  <c r="CJ1355" i="7"/>
  <c r="CR1355" i="7" s="1"/>
  <c r="AJ1355" i="7"/>
  <c r="AL1355" i="7" s="1"/>
  <c r="AF1355" i="7"/>
  <c r="CV1355" i="7"/>
  <c r="AJ2003" i="7"/>
  <c r="AL2003" i="7" s="1"/>
  <c r="AF2003" i="7"/>
  <c r="CU2003" i="7"/>
  <c r="CW2003" i="7" s="1"/>
  <c r="F2003" i="7"/>
  <c r="CN1354" i="7"/>
  <c r="CK1354" i="7"/>
  <c r="CJ1354" i="7"/>
  <c r="CR1354" i="7" s="1"/>
  <c r="CL1354" i="7"/>
  <c r="AK1354" i="7"/>
  <c r="AL1354" i="7" s="1"/>
  <c r="AJ1354" i="7"/>
  <c r="AF1354" i="7"/>
  <c r="CV1354" i="7"/>
  <c r="CU1353" i="7"/>
  <c r="CW1353" i="7" s="1"/>
  <c r="CJ1353" i="7"/>
  <c r="CR1353" i="7" s="1"/>
  <c r="AJ1353" i="7"/>
  <c r="AL1353" i="7" s="1"/>
  <c r="AF1353" i="7"/>
  <c r="CV1353" i="7"/>
  <c r="CV1352" i="7"/>
  <c r="CJ1352" i="7"/>
  <c r="AK1352" i="7"/>
  <c r="AL1352" i="7" s="1"/>
  <c r="AJ1352" i="7"/>
  <c r="AF1352" i="7"/>
  <c r="CU1352" i="7"/>
  <c r="CW1352" i="7" s="1"/>
  <c r="CU2002" i="7"/>
  <c r="CW2002" i="7" s="1"/>
  <c r="AJ2002" i="7"/>
  <c r="AL2002" i="7" s="1"/>
  <c r="AF2002" i="7"/>
  <c r="CK1351" i="7"/>
  <c r="CJ1351" i="7"/>
  <c r="CL1351" i="7"/>
  <c r="AJ1351" i="7"/>
  <c r="AL1351" i="7" s="1"/>
  <c r="AF1351" i="7"/>
  <c r="CV1351" i="7"/>
  <c r="CU1350" i="7"/>
  <c r="CW1350" i="7" s="1"/>
  <c r="AJ1350" i="7"/>
  <c r="AL1350" i="7" s="1"/>
  <c r="AF1350" i="7"/>
  <c r="CK1349" i="7"/>
  <c r="CJ1349" i="7"/>
  <c r="CR1349" i="7" s="1"/>
  <c r="AK1349" i="7"/>
  <c r="AL1349" i="7" s="1"/>
  <c r="AJ1349" i="7"/>
  <c r="AF1349" i="7"/>
  <c r="CV1349" i="7"/>
  <c r="AK1348" i="7"/>
  <c r="AL1348" i="7" s="1"/>
  <c r="AJ1348" i="7"/>
  <c r="AF1348" i="7"/>
  <c r="CU140" i="7"/>
  <c r="CW140" i="7" s="1"/>
  <c r="CK140" i="7"/>
  <c r="CJ140" i="7"/>
  <c r="CL140" i="7"/>
  <c r="AJ140" i="7"/>
  <c r="AL140" i="7" s="1"/>
  <c r="AF140" i="7"/>
  <c r="CV140" i="7"/>
  <c r="CK1347" i="7"/>
  <c r="CJ1347" i="7"/>
  <c r="AK1347" i="7"/>
  <c r="AL1347" i="7" s="1"/>
  <c r="AJ1347" i="7"/>
  <c r="AF1347" i="7"/>
  <c r="CJ139" i="7"/>
  <c r="CK139" i="7"/>
  <c r="AJ139" i="7"/>
  <c r="AL139" i="7" s="1"/>
  <c r="AF139" i="7"/>
  <c r="CU139" i="7"/>
  <c r="CW139" i="7" s="1"/>
  <c r="CJ1346" i="7"/>
  <c r="AK1346" i="7"/>
  <c r="AL1346" i="7" s="1"/>
  <c r="AJ1346" i="7"/>
  <c r="AF1346" i="7"/>
  <c r="CU1346" i="7"/>
  <c r="CW1346" i="7" s="1"/>
  <c r="CN138" i="7"/>
  <c r="CK138" i="7"/>
  <c r="CJ138" i="7"/>
  <c r="CR138" i="7" s="1"/>
  <c r="CL138" i="7"/>
  <c r="AK138" i="7"/>
  <c r="AL138" i="7" s="1"/>
  <c r="AJ138" i="7"/>
  <c r="AF138" i="7"/>
  <c r="CV138" i="7"/>
  <c r="CJ1345" i="7"/>
  <c r="AK1345" i="7"/>
  <c r="AL1345" i="7" s="1"/>
  <c r="AJ1345" i="7"/>
  <c r="AF1345" i="7"/>
  <c r="CU1345" i="7"/>
  <c r="CW1345" i="7" s="1"/>
  <c r="CK1344" i="7"/>
  <c r="CJ1344" i="7"/>
  <c r="AK1344" i="7"/>
  <c r="AL1344" i="7" s="1"/>
  <c r="AJ1344" i="7"/>
  <c r="AF1344" i="7"/>
  <c r="CU1344" i="7"/>
  <c r="CW1344" i="7" s="1"/>
  <c r="CJ2026" i="7"/>
  <c r="AJ2026" i="7"/>
  <c r="AL2026" i="7" s="1"/>
  <c r="AF2026" i="7"/>
  <c r="CJ137" i="7"/>
  <c r="CK137" i="7"/>
  <c r="AJ137" i="7"/>
  <c r="AL137" i="7" s="1"/>
  <c r="AF137" i="7"/>
  <c r="CU137" i="7"/>
  <c r="CW137" i="7" s="1"/>
  <c r="CJ1343" i="7"/>
  <c r="CR1343" i="7" s="1"/>
  <c r="AK1343" i="7"/>
  <c r="AL1343" i="7" s="1"/>
  <c r="AJ1343" i="7"/>
  <c r="AF1343" i="7"/>
  <c r="CJ1627" i="7"/>
  <c r="CR1627" i="7" s="1"/>
  <c r="AK1627" i="7"/>
  <c r="AL1627" i="7" s="1"/>
  <c r="AJ1627" i="7"/>
  <c r="AF1627" i="7"/>
  <c r="CU1627" i="7"/>
  <c r="CW1627" i="7" s="1"/>
  <c r="CN136" i="7"/>
  <c r="AK136" i="7"/>
  <c r="AL136" i="7" s="1"/>
  <c r="AJ136" i="7"/>
  <c r="AF136" i="7"/>
  <c r="CV136" i="7"/>
  <c r="CJ1684" i="7"/>
  <c r="CR1684" i="7" s="1"/>
  <c r="CL1684" i="7"/>
  <c r="AK1684" i="7"/>
  <c r="AL1684" i="7" s="1"/>
  <c r="AJ1684" i="7"/>
  <c r="AF1684" i="7"/>
  <c r="CU1684" i="7"/>
  <c r="CW1684" i="7" s="1"/>
  <c r="CK135" i="7"/>
  <c r="CJ135" i="7"/>
  <c r="CL135" i="7"/>
  <c r="AJ135" i="7"/>
  <c r="AL135" i="7" s="1"/>
  <c r="AF135" i="7"/>
  <c r="CV135" i="7"/>
  <c r="CU1342" i="7"/>
  <c r="CW1342" i="7" s="1"/>
  <c r="CK1342" i="7"/>
  <c r="CJ1342" i="7"/>
  <c r="AJ1342" i="7"/>
  <c r="AL1342" i="7" s="1"/>
  <c r="AF1342" i="7"/>
  <c r="CJ1646" i="7"/>
  <c r="AJ1646" i="7"/>
  <c r="AL1646" i="7" s="1"/>
  <c r="AF1646" i="7"/>
  <c r="CV1646" i="7"/>
  <c r="CU1776" i="7"/>
  <c r="CW1776" i="7" s="1"/>
  <c r="CK1776" i="7"/>
  <c r="CJ1776" i="7"/>
  <c r="CL1776" i="7"/>
  <c r="AJ1776" i="7"/>
  <c r="AL1776" i="7" s="1"/>
  <c r="AF1776" i="7"/>
  <c r="CL1784" i="7"/>
  <c r="AJ1784" i="7"/>
  <c r="AL1784" i="7" s="1"/>
  <c r="AF1784" i="7"/>
  <c r="CV1784" i="7"/>
  <c r="CJ1163" i="7"/>
  <c r="AK1163" i="7"/>
  <c r="AL1163" i="7" s="1"/>
  <c r="AJ1163" i="7"/>
  <c r="AF1163" i="7"/>
  <c r="AJ1838" i="7"/>
  <c r="AL1838" i="7" s="1"/>
  <c r="AF1838" i="7"/>
  <c r="CU134" i="7"/>
  <c r="CW134" i="7" s="1"/>
  <c r="CN134" i="7"/>
  <c r="CK134" i="7"/>
  <c r="CJ134" i="7"/>
  <c r="CR134" i="7" s="1"/>
  <c r="CL134" i="7"/>
  <c r="AJ134" i="7"/>
  <c r="AL134" i="7" s="1"/>
  <c r="AF134" i="7"/>
  <c r="CV134" i="7"/>
  <c r="AJ1631" i="7"/>
  <c r="AL1631" i="7" s="1"/>
  <c r="AF1631" i="7"/>
  <c r="CU133" i="7"/>
  <c r="CW133" i="7" s="1"/>
  <c r="CJ133" i="7"/>
  <c r="AJ133" i="7"/>
  <c r="AL133" i="7" s="1"/>
  <c r="AF133" i="7"/>
  <c r="CV133" i="7"/>
  <c r="CJ132" i="7"/>
  <c r="AJ132" i="7"/>
  <c r="AL132" i="7" s="1"/>
  <c r="AF132" i="7"/>
  <c r="CU132" i="7"/>
  <c r="CW132" i="7" s="1"/>
  <c r="CV2001" i="7"/>
  <c r="CU2001" i="7"/>
  <c r="CW2001" i="7" s="1"/>
  <c r="CL2001" i="7"/>
  <c r="CK2001" i="7"/>
  <c r="CJ2001" i="7"/>
  <c r="AJ2001" i="7"/>
  <c r="AL2001" i="7" s="1"/>
  <c r="AF2001" i="7"/>
  <c r="F2001" i="7"/>
  <c r="AK74" i="7"/>
  <c r="AL74" i="7" s="1"/>
  <c r="AJ74" i="7"/>
  <c r="AF74" i="7"/>
  <c r="CU2000" i="7"/>
  <c r="CW2000" i="7" s="1"/>
  <c r="CJ2000" i="7"/>
  <c r="AJ2000" i="7"/>
  <c r="AL2000" i="7" s="1"/>
  <c r="AF2000" i="7"/>
  <c r="CV2000" i="7"/>
  <c r="F2000" i="7"/>
  <c r="CJ131" i="7"/>
  <c r="AJ131" i="7"/>
  <c r="AL131" i="7" s="1"/>
  <c r="AF131" i="7"/>
  <c r="CV1341" i="7"/>
  <c r="CN1341" i="7"/>
  <c r="CJ1341" i="7"/>
  <c r="CK1341" i="7"/>
  <c r="AK1341" i="7"/>
  <c r="AL1341" i="7" s="1"/>
  <c r="AJ1341" i="7"/>
  <c r="AF1341" i="7"/>
  <c r="CU1341" i="7"/>
  <c r="CW1341" i="7" s="1"/>
  <c r="CU1340" i="7"/>
  <c r="CW1340" i="7" s="1"/>
  <c r="CL1340" i="7"/>
  <c r="AJ1340" i="7"/>
  <c r="AL1340" i="7" s="1"/>
  <c r="AF1340" i="7"/>
  <c r="CV1340" i="7"/>
  <c r="CK1800" i="7"/>
  <c r="CJ1800" i="7"/>
  <c r="CR1800" i="7" s="1"/>
  <c r="AJ1800" i="7"/>
  <c r="AL1800" i="7" s="1"/>
  <c r="AF1800" i="7"/>
  <c r="CV1800" i="7"/>
  <c r="AK1187" i="7"/>
  <c r="AL1187" i="7" s="1"/>
  <c r="AJ1187" i="7"/>
  <c r="AF1187" i="7"/>
  <c r="CV1999" i="7"/>
  <c r="CU1999" i="7"/>
  <c r="CW1999" i="7" s="1"/>
  <c r="CK1999" i="7"/>
  <c r="CJ1999" i="7"/>
  <c r="CL1999" i="7"/>
  <c r="AJ1999" i="7"/>
  <c r="AL1999" i="7" s="1"/>
  <c r="F1999" i="7"/>
  <c r="CU130" i="7"/>
  <c r="CW130" i="7" s="1"/>
  <c r="CL130" i="7"/>
  <c r="AJ130" i="7"/>
  <c r="AL130" i="7" s="1"/>
  <c r="AF130" i="7"/>
  <c r="CV130" i="7"/>
  <c r="CJ129" i="7"/>
  <c r="AK129" i="7"/>
  <c r="AL129" i="7" s="1"/>
  <c r="AJ129" i="7"/>
  <c r="AF129" i="7"/>
  <c r="CU129" i="7"/>
  <c r="CW129" i="7" s="1"/>
  <c r="CJ1339" i="7"/>
  <c r="AK1339" i="7"/>
  <c r="AL1339" i="7" s="1"/>
  <c r="AJ1339" i="7"/>
  <c r="AF1339" i="7"/>
  <c r="CN1338" i="7"/>
  <c r="CK1338" i="7"/>
  <c r="CJ1338" i="7"/>
  <c r="CR1338" i="7" s="1"/>
  <c r="CL1338" i="7"/>
  <c r="AK1338" i="7"/>
  <c r="AL1338" i="7" s="1"/>
  <c r="AJ1338" i="7"/>
  <c r="AF1338" i="7"/>
  <c r="CV1338" i="7"/>
  <c r="CN1337" i="7"/>
  <c r="CJ1337" i="7"/>
  <c r="CR1337" i="7" s="1"/>
  <c r="AK1337" i="7"/>
  <c r="AL1337" i="7" s="1"/>
  <c r="AJ1337" i="7"/>
  <c r="AF1337" i="7"/>
  <c r="CU1337" i="7"/>
  <c r="CW1337" i="7" s="1"/>
  <c r="CV1919" i="7"/>
  <c r="CL1919" i="7"/>
  <c r="AK1919" i="7"/>
  <c r="AL1919" i="7" s="1"/>
  <c r="AJ1919" i="7"/>
  <c r="AF1919" i="7"/>
  <c r="CU1998" i="7"/>
  <c r="CW1998" i="7" s="1"/>
  <c r="AJ1998" i="7"/>
  <c r="AL1998" i="7" s="1"/>
  <c r="CJ128" i="7"/>
  <c r="CK128" i="7"/>
  <c r="AJ128" i="7"/>
  <c r="AL128" i="7" s="1"/>
  <c r="AF128" i="7"/>
  <c r="CU128" i="7"/>
  <c r="CW128" i="7" s="1"/>
  <c r="CJ1336" i="7"/>
  <c r="CL1336" i="7"/>
  <c r="AK1336" i="7"/>
  <c r="AL1336" i="7" s="1"/>
  <c r="AJ1336" i="7"/>
  <c r="AF1336" i="7"/>
  <c r="CV1336" i="7"/>
  <c r="CK1335" i="7"/>
  <c r="CJ1335" i="7"/>
  <c r="AK1335" i="7"/>
  <c r="AL1335" i="7" s="1"/>
  <c r="AJ1335" i="7"/>
  <c r="AF1335" i="7"/>
  <c r="CV1335" i="7"/>
  <c r="CJ12" i="7"/>
  <c r="AJ12" i="7"/>
  <c r="AL12" i="7" s="1"/>
  <c r="CK1997" i="7"/>
  <c r="CJ1997" i="7"/>
  <c r="CL1997" i="7"/>
  <c r="AJ1997" i="7"/>
  <c r="AL1997" i="7" s="1"/>
  <c r="CV1997" i="7"/>
  <c r="F1997" i="7"/>
  <c r="CK127" i="7"/>
  <c r="CJ127" i="7"/>
  <c r="AJ127" i="7"/>
  <c r="AL127" i="7" s="1"/>
  <c r="AF127" i="7"/>
  <c r="CJ1334" i="7"/>
  <c r="CR1334" i="7" s="1"/>
  <c r="AK1334" i="7"/>
  <c r="AL1334" i="7" s="1"/>
  <c r="AJ1334" i="7"/>
  <c r="AF1334" i="7"/>
  <c r="CV1334" i="7"/>
  <c r="CJ1996" i="7"/>
  <c r="AJ1996" i="7"/>
  <c r="AL1996" i="7" s="1"/>
  <c r="AF1996" i="7"/>
  <c r="CU1642" i="7"/>
  <c r="CW1642" i="7" s="1"/>
  <c r="CK1642" i="7"/>
  <c r="CJ1642" i="7"/>
  <c r="CL1642" i="7"/>
  <c r="AJ1642" i="7"/>
  <c r="AL1642" i="7" s="1"/>
  <c r="AF1642" i="7"/>
  <c r="CV1642" i="7"/>
  <c r="CJ1995" i="7"/>
  <c r="CK1995" i="7"/>
  <c r="AJ1995" i="7"/>
  <c r="AL1995" i="7" s="1"/>
  <c r="AF1995" i="7"/>
  <c r="CU1995" i="7"/>
  <c r="CW1995" i="7" s="1"/>
  <c r="F1995" i="7"/>
  <c r="CU1994" i="7"/>
  <c r="CW1994" i="7" s="1"/>
  <c r="CJ1994" i="7"/>
  <c r="CL1994" i="7"/>
  <c r="AJ1994" i="7"/>
  <c r="AL1994" i="7" s="1"/>
  <c r="AF1994" i="7"/>
  <c r="CV1994" i="7"/>
  <c r="F1994" i="7"/>
  <c r="CJ126" i="7"/>
  <c r="AJ126" i="7"/>
  <c r="AL126" i="7" s="1"/>
  <c r="AF126" i="7"/>
  <c r="CJ125" i="7"/>
  <c r="CK125" i="7"/>
  <c r="AJ125" i="7"/>
  <c r="AL125" i="7" s="1"/>
  <c r="AF125" i="7"/>
  <c r="CU125" i="7"/>
  <c r="CW125" i="7" s="1"/>
  <c r="CK61" i="7"/>
  <c r="CJ61" i="7"/>
  <c r="CL61" i="7"/>
  <c r="AJ61" i="7"/>
  <c r="AL61" i="7" s="1"/>
  <c r="AF61" i="7"/>
  <c r="CV1333" i="7"/>
  <c r="CJ1333" i="7"/>
  <c r="AK1333" i="7"/>
  <c r="AL1333" i="7" s="1"/>
  <c r="AJ1333" i="7"/>
  <c r="AF1333" i="7"/>
  <c r="CU1333" i="7"/>
  <c r="CW1333" i="7" s="1"/>
  <c r="AK1332" i="7"/>
  <c r="AL1332" i="7" s="1"/>
  <c r="AJ1332" i="7"/>
  <c r="AF1332" i="7"/>
  <c r="CK1331" i="7"/>
  <c r="CJ1331" i="7"/>
  <c r="CL1331" i="7"/>
  <c r="AK1331" i="7"/>
  <c r="AL1331" i="7" s="1"/>
  <c r="AJ1331" i="7"/>
  <c r="AF1331" i="7"/>
  <c r="CU1331" i="7"/>
  <c r="CW1331" i="7" s="1"/>
  <c r="CL1179" i="7"/>
  <c r="AJ1179" i="7"/>
  <c r="AL1179" i="7" s="1"/>
  <c r="AF1179" i="7"/>
  <c r="CU40" i="7"/>
  <c r="CW40" i="7" s="1"/>
  <c r="CJ40" i="7"/>
  <c r="CL40" i="7"/>
  <c r="AJ40" i="7"/>
  <c r="AL40" i="7" s="1"/>
  <c r="AF40" i="7"/>
  <c r="CV40" i="7"/>
  <c r="CJ124" i="7"/>
  <c r="AJ124" i="7"/>
  <c r="AL124" i="7" s="1"/>
  <c r="AF124" i="7"/>
  <c r="CU1769" i="7"/>
  <c r="CW1769" i="7" s="1"/>
  <c r="CK1769" i="7"/>
  <c r="CJ1769" i="7"/>
  <c r="CL1769" i="7"/>
  <c r="AJ1769" i="7"/>
  <c r="AL1769" i="7" s="1"/>
  <c r="AF1769" i="7"/>
  <c r="CV1769" i="7"/>
  <c r="CJ1993" i="7"/>
  <c r="CK1993" i="7"/>
  <c r="AJ1993" i="7"/>
  <c r="AL1993" i="7" s="1"/>
  <c r="AF1993" i="7"/>
  <c r="CU1993" i="7"/>
  <c r="CW1993" i="7" s="1"/>
  <c r="CK1330" i="7"/>
  <c r="CJ1330" i="7"/>
  <c r="CR1330" i="7" s="1"/>
  <c r="AK1330" i="7"/>
  <c r="AL1330" i="7" s="1"/>
  <c r="AJ1330" i="7"/>
  <c r="AF1330" i="7"/>
  <c r="CU1330" i="7"/>
  <c r="CW1330" i="7" s="1"/>
  <c r="CJ1992" i="7"/>
  <c r="CL1992" i="7"/>
  <c r="AJ1992" i="7"/>
  <c r="AL1992" i="7" s="1"/>
  <c r="F1992" i="7"/>
  <c r="CV1991" i="7"/>
  <c r="CU1991" i="7"/>
  <c r="CW1991" i="7" s="1"/>
  <c r="CK1991" i="7"/>
  <c r="CJ1991" i="7"/>
  <c r="CL1991" i="7"/>
  <c r="AJ1991" i="7"/>
  <c r="AL1991" i="7" s="1"/>
  <c r="F1991" i="7"/>
  <c r="CJ1329" i="7"/>
  <c r="CR1329" i="7" s="1"/>
  <c r="AK1329" i="7"/>
  <c r="AL1329" i="7" s="1"/>
  <c r="AJ1329" i="7"/>
  <c r="AF1329" i="7"/>
  <c r="CV1329" i="7"/>
  <c r="CV1328" i="7"/>
  <c r="CN1328" i="7"/>
  <c r="CJ1328" i="7"/>
  <c r="AK1328" i="7"/>
  <c r="AL1328" i="7" s="1"/>
  <c r="AJ1328" i="7"/>
  <c r="AF1328" i="7"/>
  <c r="CU1328" i="7"/>
  <c r="CW1328" i="7" s="1"/>
  <c r="AK123" i="7"/>
  <c r="AL123" i="7" s="1"/>
  <c r="AJ123" i="7"/>
  <c r="AF123" i="7"/>
  <c r="CU1990" i="7"/>
  <c r="CW1990" i="7" s="1"/>
  <c r="CK1990" i="7"/>
  <c r="CJ1990" i="7"/>
  <c r="CL1990" i="7"/>
  <c r="AJ1990" i="7"/>
  <c r="AL1990" i="7" s="1"/>
  <c r="AF1990" i="7"/>
  <c r="CV1990" i="7"/>
  <c r="CV1327" i="7"/>
  <c r="CN1327" i="7"/>
  <c r="CJ1327" i="7"/>
  <c r="AK1327" i="7"/>
  <c r="AL1327" i="7" s="1"/>
  <c r="AJ1327" i="7"/>
  <c r="AF1327" i="7"/>
  <c r="CU1327" i="7"/>
  <c r="CW1327" i="7" s="1"/>
  <c r="CJ1326" i="7"/>
  <c r="CR1326" i="7" s="1"/>
  <c r="AK1326" i="7"/>
  <c r="AL1326" i="7" s="1"/>
  <c r="AJ1326" i="7"/>
  <c r="AF1326" i="7"/>
  <c r="CV1326" i="7"/>
  <c r="CN1325" i="7"/>
  <c r="AK1325" i="7"/>
  <c r="AL1325" i="7" s="1"/>
  <c r="AJ1325" i="7"/>
  <c r="AF1325" i="7"/>
  <c r="CK1324" i="7"/>
  <c r="CJ1324" i="7"/>
  <c r="CL1324" i="7"/>
  <c r="AK1324" i="7"/>
  <c r="AL1324" i="7" s="1"/>
  <c r="AJ1324" i="7"/>
  <c r="AF1324" i="7"/>
  <c r="CV1324" i="7"/>
  <c r="CK122" i="7"/>
  <c r="AJ122" i="7"/>
  <c r="AL122" i="7" s="1"/>
  <c r="AF122" i="7"/>
  <c r="CJ1323" i="7"/>
  <c r="AK1323" i="7"/>
  <c r="AL1323" i="7" s="1"/>
  <c r="AJ1323" i="7"/>
  <c r="AF1323" i="7"/>
  <c r="CU1323" i="7"/>
  <c r="CW1323" i="7" s="1"/>
  <c r="CN1322" i="7"/>
  <c r="AK1322" i="7"/>
  <c r="AL1322" i="7" s="1"/>
  <c r="AJ1322" i="7"/>
  <c r="AF1322" i="7"/>
  <c r="CV1322" i="7"/>
  <c r="CV1321" i="7"/>
  <c r="CN1321" i="7"/>
  <c r="CJ1321" i="7"/>
  <c r="CR1321" i="7" s="1"/>
  <c r="CK1321" i="7"/>
  <c r="AK1321" i="7"/>
  <c r="AL1321" i="7" s="1"/>
  <c r="AJ1321" i="7"/>
  <c r="AF1321" i="7"/>
  <c r="CU1321" i="7"/>
  <c r="CW1321" i="7" s="1"/>
  <c r="CV1989" i="7"/>
  <c r="CU1989" i="7"/>
  <c r="CW1989" i="7" s="1"/>
  <c r="CK1989" i="7"/>
  <c r="CL1989" i="7"/>
  <c r="AJ1989" i="7"/>
  <c r="AL1989" i="7" s="1"/>
  <c r="CV1320" i="7"/>
  <c r="CJ1320" i="7"/>
  <c r="CK1320" i="7"/>
  <c r="AK1320" i="7"/>
  <c r="AL1320" i="7" s="1"/>
  <c r="AJ1320" i="7"/>
  <c r="AF1320" i="7"/>
  <c r="CU1320" i="7"/>
  <c r="CW1320" i="7" s="1"/>
  <c r="CJ1319" i="7"/>
  <c r="AK1319" i="7"/>
  <c r="AL1319" i="7" s="1"/>
  <c r="AJ1319" i="7"/>
  <c r="AF1319" i="7"/>
  <c r="CV1319" i="7"/>
  <c r="CN1318" i="7"/>
  <c r="CK1318" i="7"/>
  <c r="CJ1318" i="7"/>
  <c r="CR1318" i="7" s="1"/>
  <c r="CL1318" i="7"/>
  <c r="AK1318" i="7"/>
  <c r="AL1318" i="7" s="1"/>
  <c r="AJ1318" i="7"/>
  <c r="AF1318" i="7"/>
  <c r="CV1318" i="7"/>
  <c r="CK1317" i="7"/>
  <c r="CL1317" i="7"/>
  <c r="AK1317" i="7"/>
  <c r="AL1317" i="7" s="1"/>
  <c r="AJ1317" i="7"/>
  <c r="AF1317" i="7"/>
  <c r="CN1316" i="7"/>
  <c r="CJ1316" i="7"/>
  <c r="CR1316" i="7" s="1"/>
  <c r="AJ1316" i="7"/>
  <c r="AL1316" i="7" s="1"/>
  <c r="AF1316" i="7"/>
  <c r="CU1316" i="7"/>
  <c r="CW1316" i="7" s="1"/>
  <c r="CN1315" i="7"/>
  <c r="AK1315" i="7"/>
  <c r="AL1315" i="7" s="1"/>
  <c r="AJ1315" i="7"/>
  <c r="AF1315" i="7"/>
  <c r="CK1791" i="7"/>
  <c r="CJ1791" i="7"/>
  <c r="CL1791" i="7"/>
  <c r="AK1791" i="7"/>
  <c r="AL1791" i="7" s="1"/>
  <c r="AJ1791" i="7"/>
  <c r="AF1791" i="7"/>
  <c r="CV1791" i="7"/>
  <c r="CK1314" i="7"/>
  <c r="AK1314" i="7"/>
  <c r="AL1314" i="7" s="1"/>
  <c r="AJ1314" i="7"/>
  <c r="AF1314" i="7"/>
  <c r="CU1314" i="7"/>
  <c r="CW1314" i="7" s="1"/>
  <c r="CJ73" i="7"/>
  <c r="CR73" i="7" s="1"/>
  <c r="AK73" i="7"/>
  <c r="AL73" i="7" s="1"/>
  <c r="AJ73" i="7"/>
  <c r="AF73" i="7"/>
  <c r="CU73" i="7"/>
  <c r="CW73" i="7" s="1"/>
  <c r="CJ121" i="7"/>
  <c r="CL121" i="7"/>
  <c r="AJ121" i="7"/>
  <c r="AL121" i="7" s="1"/>
  <c r="AF121" i="7"/>
  <c r="CV121" i="7"/>
  <c r="CJ120" i="7"/>
  <c r="CL120" i="7"/>
  <c r="AK120" i="7"/>
  <c r="AL120" i="7" s="1"/>
  <c r="AJ120" i="7"/>
  <c r="AF120" i="7"/>
  <c r="CN1313" i="7"/>
  <c r="CK1313" i="7"/>
  <c r="CJ1313" i="7"/>
  <c r="CR1313" i="7" s="1"/>
  <c r="AK1313" i="7"/>
  <c r="AL1313" i="7" s="1"/>
  <c r="AJ1313" i="7"/>
  <c r="AF1313" i="7"/>
  <c r="CV1313" i="7"/>
  <c r="CJ1683" i="7"/>
  <c r="AK1683" i="7"/>
  <c r="AL1683" i="7" s="1"/>
  <c r="AJ1683" i="7"/>
  <c r="AF1683" i="7"/>
  <c r="CN119" i="7"/>
  <c r="CJ119" i="7"/>
  <c r="AJ119" i="7"/>
  <c r="AL119" i="7" s="1"/>
  <c r="AF119" i="7"/>
  <c r="CU119" i="7"/>
  <c r="CW119" i="7" s="1"/>
  <c r="CU118" i="7"/>
  <c r="CW118" i="7" s="1"/>
  <c r="CK118" i="7"/>
  <c r="CJ118" i="7"/>
  <c r="CL118" i="7"/>
  <c r="AJ118" i="7"/>
  <c r="AL118" i="7" s="1"/>
  <c r="AF118" i="7"/>
  <c r="CN117" i="7"/>
  <c r="CJ117" i="7"/>
  <c r="CR117" i="7" s="1"/>
  <c r="CK117" i="7"/>
  <c r="AJ117" i="7"/>
  <c r="AL117" i="7" s="1"/>
  <c r="AF117" i="7"/>
  <c r="CU117" i="7"/>
  <c r="CW117" i="7" s="1"/>
  <c r="CU2033" i="7"/>
  <c r="CW2033" i="7" s="1"/>
  <c r="CJ2033" i="7"/>
  <c r="CR2033" i="7" s="1"/>
  <c r="AJ2033" i="7"/>
  <c r="AL2033" i="7" s="1"/>
  <c r="AF2033" i="7"/>
  <c r="CV116" i="7"/>
  <c r="AK116" i="7"/>
  <c r="AL116" i="7" s="1"/>
  <c r="AJ116" i="7"/>
  <c r="AF116" i="7"/>
  <c r="CJ1682" i="7"/>
  <c r="CL1682" i="7"/>
  <c r="AK1682" i="7"/>
  <c r="AL1682" i="7" s="1"/>
  <c r="AJ1682" i="7"/>
  <c r="AF1682" i="7"/>
  <c r="CK1681" i="7"/>
  <c r="CJ1681" i="7"/>
  <c r="CR1681" i="7" s="1"/>
  <c r="CL1681" i="7"/>
  <c r="AK1681" i="7"/>
  <c r="AL1681" i="7" s="1"/>
  <c r="AJ1681" i="7"/>
  <c r="AF1681" i="7"/>
  <c r="CU1681" i="7"/>
  <c r="CW1681" i="7" s="1"/>
  <c r="CN1312" i="7"/>
  <c r="CJ1312" i="7"/>
  <c r="AK1312" i="7"/>
  <c r="AL1312" i="7" s="1"/>
  <c r="AJ1312" i="7"/>
  <c r="AF1312" i="7"/>
  <c r="CV1311" i="7"/>
  <c r="CN1311" i="7"/>
  <c r="CJ1311" i="7"/>
  <c r="AK1311" i="7"/>
  <c r="AL1311" i="7" s="1"/>
  <c r="AJ1311" i="7"/>
  <c r="AF1311" i="7"/>
  <c r="CU1311" i="7"/>
  <c r="CW1311" i="7" s="1"/>
  <c r="CV1870" i="7"/>
  <c r="AK1870" i="7"/>
  <c r="AL1870" i="7" s="1"/>
  <c r="AJ1870" i="7"/>
  <c r="AF1870" i="7"/>
  <c r="CV1162" i="7"/>
  <c r="CJ1162" i="7"/>
  <c r="CR1162" i="7" s="1"/>
  <c r="CK1162" i="7"/>
  <c r="AK1162" i="7"/>
  <c r="AL1162" i="7" s="1"/>
  <c r="AJ1162" i="7"/>
  <c r="AF1162" i="7"/>
  <c r="CU1162" i="7"/>
  <c r="CW1162" i="7" s="1"/>
  <c r="CJ115" i="7"/>
  <c r="AK115" i="7"/>
  <c r="AL115" i="7" s="1"/>
  <c r="AJ115" i="7"/>
  <c r="AF115" i="7"/>
  <c r="CK1680" i="7"/>
  <c r="CJ1680" i="7"/>
  <c r="AK1680" i="7"/>
  <c r="AL1680" i="7" s="1"/>
  <c r="AJ1680" i="7"/>
  <c r="AF1680" i="7"/>
  <c r="CV1680" i="7"/>
  <c r="CK1837" i="7"/>
  <c r="CJ1837" i="7"/>
  <c r="CL1837" i="7"/>
  <c r="AK1837" i="7"/>
  <c r="AL1837" i="7" s="1"/>
  <c r="AJ1837" i="7"/>
  <c r="AF1837" i="7"/>
  <c r="CU72" i="7"/>
  <c r="CW72" i="7" s="1"/>
  <c r="AJ72" i="7"/>
  <c r="AL72" i="7" s="1"/>
  <c r="AF72" i="7"/>
  <c r="CV114" i="7"/>
  <c r="CJ114" i="7"/>
  <c r="CK114" i="7"/>
  <c r="AK114" i="7"/>
  <c r="AL114" i="7" s="1"/>
  <c r="AJ114" i="7"/>
  <c r="AF114" i="7"/>
  <c r="CU114" i="7"/>
  <c r="CW114" i="7" s="1"/>
  <c r="AJ113" i="7"/>
  <c r="AL113" i="7" s="1"/>
  <c r="AF113" i="7"/>
  <c r="CJ1965" i="7"/>
  <c r="CR1965" i="7" s="1"/>
  <c r="CL1965" i="7"/>
  <c r="AK1965" i="7"/>
  <c r="AL1965" i="7" s="1"/>
  <c r="AJ1965" i="7"/>
  <c r="AF1965" i="7"/>
  <c r="CU1965" i="7"/>
  <c r="CW1965" i="7" s="1"/>
  <c r="CK1161" i="7"/>
  <c r="CJ1161" i="7"/>
  <c r="CR1161" i="7" s="1"/>
  <c r="AK1161" i="7"/>
  <c r="AL1161" i="7" s="1"/>
  <c r="AJ1161" i="7"/>
  <c r="AF1161" i="7"/>
  <c r="AK1186" i="7"/>
  <c r="AL1186" i="7" s="1"/>
  <c r="AJ1186" i="7"/>
  <c r="AF1186" i="7"/>
  <c r="CU1186" i="7"/>
  <c r="CW1186" i="7" s="1"/>
  <c r="CJ1185" i="7"/>
  <c r="AJ1185" i="7"/>
  <c r="AL1185" i="7" s="1"/>
  <c r="AF1185" i="7"/>
  <c r="CU1185" i="7"/>
  <c r="CW1185" i="7" s="1"/>
  <c r="CV1869" i="7"/>
  <c r="CL1869" i="7"/>
  <c r="AK1869" i="7"/>
  <c r="AL1869" i="7" s="1"/>
  <c r="AJ1869" i="7"/>
  <c r="AF1869" i="7"/>
  <c r="CL1930" i="7"/>
  <c r="AK1930" i="7"/>
  <c r="AL1930" i="7" s="1"/>
  <c r="AJ1930" i="7"/>
  <c r="AF1930" i="7"/>
  <c r="CU1930" i="7"/>
  <c r="CW1930" i="7" s="1"/>
  <c r="CJ112" i="7"/>
  <c r="CL112" i="7"/>
  <c r="AK112" i="7"/>
  <c r="AL112" i="7" s="1"/>
  <c r="AJ112" i="7"/>
  <c r="AF112" i="7"/>
  <c r="CV112" i="7"/>
  <c r="AK111" i="7"/>
  <c r="AL111" i="7" s="1"/>
  <c r="AJ111" i="7"/>
  <c r="AF111" i="7"/>
  <c r="CV1679" i="7"/>
  <c r="CJ1679" i="7"/>
  <c r="CR1679" i="7" s="1"/>
  <c r="CK1679" i="7"/>
  <c r="AK1679" i="7"/>
  <c r="AL1679" i="7" s="1"/>
  <c r="AJ1679" i="7"/>
  <c r="AF1679" i="7"/>
  <c r="CU1679" i="7"/>
  <c r="CW1679" i="7" s="1"/>
  <c r="CJ110" i="7"/>
  <c r="CL110" i="7"/>
  <c r="AJ110" i="7"/>
  <c r="AL110" i="7" s="1"/>
  <c r="AF110" i="7"/>
  <c r="CV110" i="7"/>
  <c r="CJ1988" i="7"/>
  <c r="CR1988" i="7" s="1"/>
  <c r="AJ1988" i="7"/>
  <c r="AL1988" i="7" s="1"/>
  <c r="AF1988" i="7"/>
  <c r="CV1988" i="7"/>
  <c r="F1988" i="7"/>
  <c r="CV1678" i="7"/>
  <c r="CJ1678" i="7"/>
  <c r="AK1678" i="7"/>
  <c r="AL1678" i="7" s="1"/>
  <c r="AJ1678" i="7"/>
  <c r="AF1678" i="7"/>
  <c r="CU1678" i="7"/>
  <c r="CW1678" i="7" s="1"/>
  <c r="CJ1813" i="7"/>
  <c r="CR1813" i="7" s="1"/>
  <c r="CL1813" i="7"/>
  <c r="AK1813" i="7"/>
  <c r="AL1813" i="7" s="1"/>
  <c r="AJ1813" i="7"/>
  <c r="AF1813" i="7"/>
  <c r="CU1813" i="7"/>
  <c r="CW1813" i="7" s="1"/>
  <c r="AK1193" i="7"/>
  <c r="AL1193" i="7" s="1"/>
  <c r="AJ1193" i="7"/>
  <c r="AF1193" i="7"/>
  <c r="CU1193" i="7"/>
  <c r="CW1193" i="7" s="1"/>
  <c r="CU109" i="7"/>
  <c r="CW109" i="7" s="1"/>
  <c r="CJ109" i="7"/>
  <c r="CL109" i="7"/>
  <c r="AJ109" i="7"/>
  <c r="AL109" i="7" s="1"/>
  <c r="AF109" i="7"/>
  <c r="CV109" i="7"/>
  <c r="CJ1677" i="7"/>
  <c r="AK1677" i="7"/>
  <c r="AL1677" i="7" s="1"/>
  <c r="AJ1677" i="7"/>
  <c r="AF1677" i="7"/>
  <c r="CV1677" i="7"/>
  <c r="CV1987" i="7"/>
  <c r="CJ1987" i="7"/>
  <c r="CK1987" i="7"/>
  <c r="AK1987" i="7"/>
  <c r="AL1987" i="7" s="1"/>
  <c r="AJ1987" i="7"/>
  <c r="AF1987" i="7"/>
  <c r="CU1987" i="7"/>
  <c r="CW1987" i="7" s="1"/>
  <c r="F1987" i="7"/>
  <c r="CK108" i="7"/>
  <c r="AJ108" i="7"/>
  <c r="AL108" i="7" s="1"/>
  <c r="AF108" i="7"/>
  <c r="CU43" i="7"/>
  <c r="CW43" i="7" s="1"/>
  <c r="CJ43" i="7"/>
  <c r="CR43" i="7" s="1"/>
  <c r="AJ43" i="7"/>
  <c r="AL43" i="7" s="1"/>
  <c r="AF43" i="7"/>
  <c r="CV43" i="7"/>
  <c r="AK1704" i="7"/>
  <c r="AL1704" i="7" s="1"/>
  <c r="AJ1704" i="7"/>
  <c r="AF1704" i="7"/>
  <c r="CK107" i="7"/>
  <c r="CU107" i="7"/>
  <c r="CW107" i="7" s="1"/>
  <c r="CL107" i="7"/>
  <c r="AJ107" i="7"/>
  <c r="AL107" i="7" s="1"/>
  <c r="AF107" i="7"/>
  <c r="CV107" i="7"/>
  <c r="CK1986" i="7"/>
  <c r="CL1986" i="7"/>
  <c r="AK1986" i="7"/>
  <c r="AL1986" i="7" s="1"/>
  <c r="AJ1986" i="7"/>
  <c r="AF1986" i="7"/>
  <c r="CN2034" i="7"/>
  <c r="CK2034" i="7"/>
  <c r="CJ2034" i="7"/>
  <c r="AK2034" i="7"/>
  <c r="AL2034" i="7" s="1"/>
  <c r="AJ2034" i="7"/>
  <c r="AF2034" i="7"/>
  <c r="CU2034" i="7"/>
  <c r="CW2034" i="7" s="1"/>
  <c r="CJ1657" i="7"/>
  <c r="AK1657" i="7"/>
  <c r="AL1657" i="7" s="1"/>
  <c r="AJ1657" i="7"/>
  <c r="AF1657" i="7"/>
  <c r="CV1657" i="7"/>
  <c r="CV1985" i="7"/>
  <c r="CN1985" i="7"/>
  <c r="CJ1985" i="7"/>
  <c r="CR1985" i="7" s="1"/>
  <c r="CK1985" i="7"/>
  <c r="AK1985" i="7"/>
  <c r="AL1985" i="7" s="1"/>
  <c r="AJ1985" i="7"/>
  <c r="AF1985" i="7"/>
  <c r="CU1985" i="7"/>
  <c r="CW1985" i="7" s="1"/>
  <c r="F1985" i="7"/>
  <c r="CK1984" i="7"/>
  <c r="AK1984" i="7"/>
  <c r="AL1984" i="7" s="1"/>
  <c r="AJ1984" i="7"/>
  <c r="AF1984" i="7"/>
  <c r="CU1984" i="7"/>
  <c r="CW1984" i="7" s="1"/>
  <c r="F1984" i="7"/>
  <c r="CJ1812" i="7"/>
  <c r="CR1812" i="7" s="1"/>
  <c r="AK1812" i="7"/>
  <c r="AL1812" i="7" s="1"/>
  <c r="AJ1812" i="7"/>
  <c r="AF1812" i="7"/>
  <c r="CU1812" i="7"/>
  <c r="CW1812" i="7" s="1"/>
  <c r="AK1703" i="7"/>
  <c r="AL1703" i="7" s="1"/>
  <c r="AJ1703" i="7"/>
  <c r="AF1703" i="7"/>
  <c r="CV1160" i="7"/>
  <c r="CJ1160" i="7"/>
  <c r="CR1160" i="7" s="1"/>
  <c r="CK1160" i="7"/>
  <c r="AK1160" i="7"/>
  <c r="AL1160" i="7" s="1"/>
  <c r="AJ1160" i="7"/>
  <c r="AF1160" i="7"/>
  <c r="CU1160" i="7"/>
  <c r="CW1160" i="7" s="1"/>
  <c r="CJ1983" i="7"/>
  <c r="AJ1983" i="7"/>
  <c r="AL1983" i="7" s="1"/>
  <c r="AF1983" i="7"/>
  <c r="CV1983" i="7"/>
  <c r="F1983" i="7"/>
  <c r="CU1676" i="7"/>
  <c r="CW1676" i="7" s="1"/>
  <c r="CK1676" i="7"/>
  <c r="CJ1676" i="7"/>
  <c r="AJ1676" i="7"/>
  <c r="AL1676" i="7" s="1"/>
  <c r="AF1676" i="7"/>
  <c r="CV1676" i="7"/>
  <c r="CJ1310" i="7"/>
  <c r="AK1310" i="7"/>
  <c r="AL1310" i="7" s="1"/>
  <c r="AJ1310" i="7"/>
  <c r="AF1310" i="7"/>
  <c r="CU1310" i="7"/>
  <c r="CW1310" i="7" s="1"/>
  <c r="CV1868" i="7"/>
  <c r="CK1868" i="7"/>
  <c r="AJ1868" i="7"/>
  <c r="AL1868" i="7" s="1"/>
  <c r="AF1868" i="7"/>
  <c r="CL1811" i="7"/>
  <c r="AK1811" i="7"/>
  <c r="AL1811" i="7" s="1"/>
  <c r="AJ1811" i="7"/>
  <c r="AF1811" i="7"/>
  <c r="CU1811" i="7"/>
  <c r="CW1811" i="7" s="1"/>
  <c r="CK1982" i="7"/>
  <c r="CJ1982" i="7"/>
  <c r="AK1982" i="7"/>
  <c r="AL1982" i="7" s="1"/>
  <c r="AJ1982" i="7"/>
  <c r="AF1982" i="7"/>
  <c r="CV1982" i="7"/>
  <c r="F1982" i="7"/>
  <c r="AK1244" i="7"/>
  <c r="AL1244" i="7" s="1"/>
  <c r="AJ1244" i="7"/>
  <c r="AF1244" i="7"/>
  <c r="CW1243" i="7"/>
  <c r="CL1243" i="7"/>
  <c r="CJ1243" i="7"/>
  <c r="CR1243" i="7" s="1"/>
  <c r="AK1702" i="7"/>
  <c r="AL1702" i="7" s="1"/>
  <c r="AJ1702" i="7"/>
  <c r="AF1702" i="7"/>
  <c r="CJ1199" i="7"/>
  <c r="AJ1199" i="7"/>
  <c r="AL1199" i="7" s="1"/>
  <c r="AF1199" i="7"/>
  <c r="CU1199" i="7"/>
  <c r="CW1199" i="7" s="1"/>
  <c r="CJ1701" i="7"/>
  <c r="AJ1701" i="7"/>
  <c r="AL1701" i="7" s="1"/>
  <c r="CK1675" i="7"/>
  <c r="CJ1675" i="7"/>
  <c r="CR1675" i="7" s="1"/>
  <c r="CL1675" i="7"/>
  <c r="AK1675" i="7"/>
  <c r="AL1675" i="7" s="1"/>
  <c r="AJ1675" i="7"/>
  <c r="AF1675" i="7"/>
  <c r="CV1675" i="7"/>
  <c r="CK106" i="7"/>
  <c r="AJ106" i="7"/>
  <c r="AL106" i="7" s="1"/>
  <c r="AF106" i="7"/>
  <c r="CU1674" i="7"/>
  <c r="CW1674" i="7" s="1"/>
  <c r="CJ1674" i="7"/>
  <c r="CR1674" i="7" s="1"/>
  <c r="AJ1674" i="7"/>
  <c r="AL1674" i="7" s="1"/>
  <c r="AF1674" i="7"/>
  <c r="CV1674" i="7"/>
  <c r="CV69" i="7"/>
  <c r="AK69" i="7"/>
  <c r="AL69" i="7" s="1"/>
  <c r="AJ69" i="7"/>
  <c r="AF69" i="7"/>
  <c r="CV1867" i="7"/>
  <c r="CK1867" i="7"/>
  <c r="AJ1867" i="7"/>
  <c r="AL1867" i="7" s="1"/>
  <c r="AF1867" i="7"/>
  <c r="CU1673" i="7"/>
  <c r="CW1673" i="7" s="1"/>
  <c r="AJ1673" i="7"/>
  <c r="AL1673" i="7" s="1"/>
  <c r="AF1673" i="7"/>
  <c r="CV1673" i="7"/>
  <c r="CK1981" i="7"/>
  <c r="CJ1981" i="7"/>
  <c r="CR1981" i="7" s="1"/>
  <c r="AK1981" i="7"/>
  <c r="AL1981" i="7" s="1"/>
  <c r="AJ1981" i="7"/>
  <c r="AF1981" i="7"/>
  <c r="CV1981" i="7"/>
  <c r="F1981" i="7"/>
  <c r="CJ1790" i="7"/>
  <c r="AK1790" i="7"/>
  <c r="AL1790" i="7" s="1"/>
  <c r="AJ1790" i="7"/>
  <c r="AF1790" i="7"/>
  <c r="CV1980" i="7"/>
  <c r="CJ1980" i="7"/>
  <c r="CR1980" i="7" s="1"/>
  <c r="CK1980" i="7"/>
  <c r="AK1980" i="7"/>
  <c r="AL1980" i="7" s="1"/>
  <c r="AJ1980" i="7"/>
  <c r="AF1980" i="7"/>
  <c r="CU1980" i="7"/>
  <c r="CW1980" i="7" s="1"/>
  <c r="CU1979" i="7"/>
  <c r="CW1979" i="7" s="1"/>
  <c r="CN1979" i="7"/>
  <c r="CK1979" i="7"/>
  <c r="CL1979" i="7"/>
  <c r="AJ1979" i="7"/>
  <c r="AL1979" i="7" s="1"/>
  <c r="AF1979" i="7"/>
  <c r="F1979" i="7"/>
  <c r="CJ1672" i="7"/>
  <c r="CR1672" i="7" s="1"/>
  <c r="AK1672" i="7"/>
  <c r="AL1672" i="7" s="1"/>
  <c r="AJ1672" i="7"/>
  <c r="AF1672" i="7"/>
  <c r="CV1672" i="7"/>
  <c r="AJ1978" i="7"/>
  <c r="AL1978" i="7" s="1"/>
  <c r="AF1978" i="7"/>
  <c r="CV1978" i="7"/>
  <c r="F1978" i="7"/>
  <c r="CV2032" i="7"/>
  <c r="CJ2032" i="7"/>
  <c r="CR2032" i="7" s="1"/>
  <c r="CK2032" i="7"/>
  <c r="AK2032" i="7"/>
  <c r="AL2032" i="7" s="1"/>
  <c r="AJ2032" i="7"/>
  <c r="AF2032" i="7"/>
  <c r="CU2032" i="7"/>
  <c r="CW2032" i="7" s="1"/>
  <c r="CU1977" i="7"/>
  <c r="CW1977" i="7" s="1"/>
  <c r="CK1977" i="7"/>
  <c r="AJ1977" i="7"/>
  <c r="AL1977" i="7" s="1"/>
  <c r="AF1977" i="7"/>
  <c r="CJ105" i="7"/>
  <c r="CL105" i="7"/>
  <c r="AJ105" i="7"/>
  <c r="AL105" i="7" s="1"/>
  <c r="CV105" i="7"/>
  <c r="CV1976" i="7"/>
  <c r="CU1976" i="7"/>
  <c r="CW1976" i="7" s="1"/>
  <c r="CK1976" i="7"/>
  <c r="AJ1976" i="7"/>
  <c r="AL1976" i="7" s="1"/>
  <c r="F1976" i="7"/>
  <c r="CV1929" i="7"/>
  <c r="CJ1929" i="7"/>
  <c r="CR1929" i="7" s="1"/>
  <c r="CK1929" i="7"/>
  <c r="AK1929" i="7"/>
  <c r="AL1929" i="7" s="1"/>
  <c r="AJ1929" i="7"/>
  <c r="AF1929" i="7"/>
  <c r="CU1929" i="7"/>
  <c r="CW1929" i="7" s="1"/>
  <c r="CK104" i="7"/>
  <c r="CJ104" i="7"/>
  <c r="CL104" i="7"/>
  <c r="AJ104" i="7"/>
  <c r="AL104" i="7" s="1"/>
  <c r="AF104" i="7"/>
  <c r="CU103" i="7"/>
  <c r="CW103" i="7" s="1"/>
  <c r="CL103" i="7"/>
  <c r="AJ103" i="7"/>
  <c r="AL103" i="7" s="1"/>
  <c r="AF103" i="7"/>
  <c r="CV103" i="7"/>
  <c r="CJ1975" i="7"/>
  <c r="AJ1975" i="7"/>
  <c r="AL1975" i="7" s="1"/>
  <c r="F1975" i="7"/>
  <c r="CK1974" i="7"/>
  <c r="CJ1974" i="7"/>
  <c r="CL1974" i="7"/>
  <c r="AJ1974" i="7"/>
  <c r="AL1974" i="7" s="1"/>
  <c r="AF1974" i="7"/>
  <c r="CV1974" i="7"/>
  <c r="CJ1671" i="7"/>
  <c r="CR1671" i="7" s="1"/>
  <c r="CL1671" i="7"/>
  <c r="AK1671" i="7"/>
  <c r="AL1671" i="7" s="1"/>
  <c r="AJ1671" i="7"/>
  <c r="AF1671" i="7"/>
  <c r="CJ1799" i="7"/>
  <c r="CR1799" i="7" s="1"/>
  <c r="AK1799" i="7"/>
  <c r="AL1799" i="7" s="1"/>
  <c r="AJ1799" i="7"/>
  <c r="AF1799" i="7"/>
  <c r="CU1799" i="7"/>
  <c r="CW1799" i="7" s="1"/>
  <c r="CN1798" i="7"/>
  <c r="CJ1798" i="7"/>
  <c r="AK1798" i="7"/>
  <c r="AL1798" i="7" s="1"/>
  <c r="AJ1798" i="7"/>
  <c r="AF1798" i="7"/>
  <c r="CV1918" i="7"/>
  <c r="CK1918" i="7"/>
  <c r="AK1918" i="7"/>
  <c r="AL1918" i="7" s="1"/>
  <c r="AJ1918" i="7"/>
  <c r="AF1918" i="7"/>
  <c r="CU1918" i="7"/>
  <c r="CW1918" i="7" s="1"/>
  <c r="CV1928" i="7"/>
  <c r="AK1928" i="7"/>
  <c r="AL1928" i="7" s="1"/>
  <c r="AJ1928" i="7"/>
  <c r="AF1928" i="7"/>
  <c r="CJ1973" i="7"/>
  <c r="AK1973" i="7"/>
  <c r="AL1973" i="7" s="1"/>
  <c r="AJ1973" i="7"/>
  <c r="AF1973" i="7"/>
  <c r="CV1973" i="7"/>
  <c r="CN1797" i="7"/>
  <c r="AK1797" i="7"/>
  <c r="AL1797" i="7" s="1"/>
  <c r="AJ1797" i="7"/>
  <c r="AF1797" i="7"/>
  <c r="CV1797" i="7"/>
  <c r="CK1796" i="7"/>
  <c r="CJ1796" i="7"/>
  <c r="CL1796" i="7"/>
  <c r="AK1796" i="7"/>
  <c r="AL1796" i="7" s="1"/>
  <c r="AJ1796" i="7"/>
  <c r="AF1796" i="7"/>
  <c r="CV1796" i="7"/>
  <c r="CJ1795" i="7"/>
  <c r="CR1795" i="7" s="1"/>
  <c r="CK1795" i="7"/>
  <c r="AJ1795" i="7"/>
  <c r="AL1795" i="7" s="1"/>
  <c r="AF1795" i="7"/>
  <c r="CU1795" i="7"/>
  <c r="CW1795" i="7" s="1"/>
  <c r="CU68" i="7"/>
  <c r="CW68" i="7" s="1"/>
  <c r="CJ68" i="7"/>
  <c r="AJ68" i="7"/>
  <c r="AL68" i="7" s="1"/>
  <c r="AF68" i="7"/>
  <c r="CV68" i="7"/>
  <c r="CV1794" i="7"/>
  <c r="CJ1794" i="7"/>
  <c r="CR1794" i="7" s="1"/>
  <c r="AK1794" i="7"/>
  <c r="AL1794" i="7" s="1"/>
  <c r="AJ1794" i="7"/>
  <c r="AF1794" i="7"/>
  <c r="CU1794" i="7"/>
  <c r="CW1794" i="7" s="1"/>
  <c r="CU1972" i="7"/>
  <c r="CW1972" i="7" s="1"/>
  <c r="CK1972" i="7"/>
  <c r="CJ1972" i="7"/>
  <c r="CL1972" i="7"/>
  <c r="AJ1972" i="7"/>
  <c r="AL1972" i="7" s="1"/>
  <c r="AF1972" i="7"/>
  <c r="CV1972" i="7"/>
  <c r="F1972" i="7"/>
  <c r="CK102" i="7"/>
  <c r="AJ102" i="7"/>
  <c r="AL102" i="7" s="1"/>
  <c r="AF102" i="7"/>
  <c r="CV1927" i="7"/>
  <c r="CJ1927" i="7"/>
  <c r="CR1927" i="7" s="1"/>
  <c r="CK1927" i="7"/>
  <c r="AK1927" i="7"/>
  <c r="AL1927" i="7" s="1"/>
  <c r="AJ1927" i="7"/>
  <c r="AF1927" i="7"/>
  <c r="CU1927" i="7"/>
  <c r="CW1927" i="7" s="1"/>
  <c r="AK1926" i="7"/>
  <c r="AL1926" i="7" s="1"/>
  <c r="AJ1926" i="7"/>
  <c r="AF1926" i="7"/>
  <c r="CV1926" i="7"/>
  <c r="CU1971" i="7"/>
  <c r="CW1971" i="7" s="1"/>
  <c r="CK1971" i="7"/>
  <c r="CJ1971" i="7"/>
  <c r="CL1971" i="7"/>
  <c r="AJ1971" i="7"/>
  <c r="AL1971" i="7" s="1"/>
  <c r="AF1971" i="7"/>
  <c r="CV1971" i="7"/>
  <c r="CJ1925" i="7"/>
  <c r="CR1925" i="7" s="1"/>
  <c r="CK1925" i="7"/>
  <c r="AK1925" i="7"/>
  <c r="AL1925" i="7" s="1"/>
  <c r="AJ1925" i="7"/>
  <c r="AF1925" i="7"/>
  <c r="CJ1970" i="7"/>
  <c r="CR1970" i="7" s="1"/>
  <c r="AK1970" i="7"/>
  <c r="AL1970" i="7" s="1"/>
  <c r="AJ1970" i="7"/>
  <c r="AF1970" i="7"/>
  <c r="CV1970" i="7"/>
  <c r="F1970" i="7"/>
  <c r="CV1969" i="7"/>
  <c r="CU1969" i="7"/>
  <c r="CW1969" i="7" s="1"/>
  <c r="CJ1969" i="7"/>
  <c r="AJ1969" i="7"/>
  <c r="AL1969" i="7" s="1"/>
  <c r="CJ1968" i="7"/>
  <c r="CK1968" i="7"/>
  <c r="AJ1968" i="7"/>
  <c r="AL1968" i="7" s="1"/>
  <c r="AF1968" i="7"/>
  <c r="CU1968" i="7"/>
  <c r="CW1968" i="7" s="1"/>
  <c r="AK1967" i="7"/>
  <c r="AL1967" i="7" s="1"/>
  <c r="AJ1967" i="7"/>
  <c r="AF1967" i="7"/>
  <c r="F1967" i="7"/>
  <c r="CV1866" i="7"/>
  <c r="AK1866" i="7"/>
  <c r="AL1866" i="7" s="1"/>
  <c r="AJ1866" i="7"/>
  <c r="AF1866" i="7"/>
  <c r="AK1670" i="7"/>
  <c r="AL1670" i="7" s="1"/>
  <c r="AJ1670" i="7"/>
  <c r="AF1670" i="7"/>
  <c r="CV1670" i="7"/>
  <c r="CU1865" i="7"/>
  <c r="CW1865" i="7" s="1"/>
  <c r="CL1865" i="7"/>
  <c r="AJ1865" i="7"/>
  <c r="AL1865" i="7" s="1"/>
  <c r="AF1865" i="7"/>
  <c r="CK101" i="7"/>
  <c r="AJ101" i="7"/>
  <c r="AL101" i="7" s="1"/>
  <c r="AF101" i="7"/>
  <c r="CV101" i="7"/>
  <c r="CN1864" i="7"/>
  <c r="AK1864" i="7"/>
  <c r="AL1864" i="7" s="1"/>
  <c r="AJ1864" i="7"/>
  <c r="AF1864" i="7"/>
  <c r="CV1966" i="7"/>
  <c r="CK1966" i="7"/>
  <c r="CL1966" i="7"/>
  <c r="AK1966" i="7"/>
  <c r="AL1966" i="7" s="1"/>
  <c r="AJ1966" i="7"/>
  <c r="AF1966" i="7"/>
  <c r="CR100" i="7" l="1"/>
  <c r="CR1678" i="7"/>
  <c r="CR1376" i="7"/>
  <c r="CR173" i="7"/>
  <c r="CR1796" i="7"/>
  <c r="CR165" i="7"/>
  <c r="CR303" i="7"/>
  <c r="CR858" i="7"/>
  <c r="CR1213" i="7"/>
  <c r="CR1833" i="7"/>
  <c r="CR1322" i="7"/>
  <c r="CR1364" i="7"/>
  <c r="CR169" i="7"/>
  <c r="CR336" i="7"/>
  <c r="CR386" i="7"/>
  <c r="CR589" i="7"/>
  <c r="CR610" i="7"/>
  <c r="CR638" i="7"/>
  <c r="CR832" i="7"/>
  <c r="CR1543" i="7"/>
  <c r="CR1561" i="7"/>
  <c r="CR1003" i="7"/>
  <c r="CR2023" i="7"/>
  <c r="CR240" i="7"/>
  <c r="CR467" i="7"/>
  <c r="CR757" i="7"/>
  <c r="CR1204" i="7"/>
  <c r="CR1400" i="7"/>
  <c r="CR1409" i="7"/>
  <c r="CR220" i="7"/>
  <c r="CR1468" i="7"/>
  <c r="CR365" i="7"/>
  <c r="CR547" i="7"/>
  <c r="CR574" i="7"/>
  <c r="CR1677" i="7"/>
  <c r="CR1393" i="7"/>
  <c r="CR1402" i="7"/>
  <c r="CR224" i="7"/>
  <c r="CR343" i="7"/>
  <c r="CR359" i="7"/>
  <c r="CR1482" i="7"/>
  <c r="CR1315" i="7"/>
  <c r="CR1690" i="7"/>
  <c r="CR472" i="7"/>
  <c r="CR494" i="7"/>
  <c r="CR581" i="7"/>
  <c r="CR769" i="7"/>
  <c r="CR912" i="7"/>
  <c r="CR976" i="7"/>
  <c r="CR988" i="7"/>
  <c r="CR1884" i="7"/>
  <c r="CR1798" i="7"/>
  <c r="CR119" i="7"/>
  <c r="CR1346" i="7"/>
  <c r="CR1370" i="7"/>
  <c r="CR1250" i="7"/>
  <c r="CR160" i="7"/>
  <c r="CR1366" i="7"/>
  <c r="CR176" i="7"/>
  <c r="CR1397" i="7"/>
  <c r="CR1413" i="7"/>
  <c r="CR1814" i="7"/>
  <c r="CR1878" i="7"/>
  <c r="CR1830" i="7"/>
  <c r="CR1248" i="7"/>
  <c r="CR1467" i="7"/>
  <c r="CR352" i="7"/>
  <c r="CR368" i="7"/>
  <c r="CR563" i="7"/>
  <c r="CR669" i="7"/>
  <c r="CR715" i="7"/>
  <c r="CR1507" i="7"/>
  <c r="CR860" i="7"/>
  <c r="CR920" i="7"/>
  <c r="CR931" i="7"/>
  <c r="CR954" i="7"/>
  <c r="CR1608" i="7"/>
  <c r="CR1821" i="7"/>
  <c r="CR1199" i="7"/>
  <c r="CR1982" i="7"/>
  <c r="CR1657" i="7"/>
  <c r="CR1680" i="7"/>
  <c r="CR1312" i="7"/>
  <c r="CR1683" i="7"/>
  <c r="CR1328" i="7"/>
  <c r="CR1333" i="7"/>
  <c r="CR1367" i="7"/>
  <c r="CR1371" i="7"/>
  <c r="CR1688" i="7"/>
  <c r="CR180" i="7"/>
  <c r="CR1394" i="7"/>
  <c r="CR1873" i="7"/>
  <c r="CR1422" i="7"/>
  <c r="CR1623" i="7"/>
  <c r="CR1861" i="7"/>
  <c r="CR1842" i="7"/>
  <c r="CR1803" i="7"/>
  <c r="CR1459" i="7"/>
  <c r="CR263" i="7"/>
  <c r="CR275" i="7"/>
  <c r="CR340" i="7"/>
  <c r="CR344" i="7"/>
  <c r="CR347" i="7"/>
  <c r="CR1706" i="7"/>
  <c r="CR356" i="7"/>
  <c r="CR426" i="7"/>
  <c r="CR1707" i="7"/>
  <c r="CR470" i="7"/>
  <c r="CR515" i="7"/>
  <c r="CR534" i="7"/>
  <c r="CR542" i="7"/>
  <c r="CR552" i="7"/>
  <c r="CR1487" i="7"/>
  <c r="CR909" i="7"/>
  <c r="CR991" i="7"/>
  <c r="CR1824" i="7"/>
  <c r="CR1780" i="7"/>
  <c r="CR626" i="7"/>
  <c r="CR643" i="7"/>
  <c r="CR684" i="7"/>
  <c r="CR702" i="7"/>
  <c r="CR731" i="7"/>
  <c r="CR761" i="7"/>
  <c r="CR1521" i="7"/>
  <c r="CR1523" i="7"/>
  <c r="CR872" i="7"/>
  <c r="CR877" i="7"/>
  <c r="CR1535" i="7"/>
  <c r="CR966" i="7"/>
  <c r="CR1570" i="7"/>
  <c r="CR1013" i="7"/>
  <c r="CR1066" i="7"/>
  <c r="CR1703" i="7"/>
  <c r="CR116" i="7"/>
  <c r="CR1325" i="7"/>
  <c r="CR1838" i="7"/>
  <c r="CR142" i="7"/>
  <c r="CR1387" i="7"/>
  <c r="CR1425" i="7"/>
  <c r="CR233" i="7"/>
  <c r="CR421" i="7"/>
  <c r="CR484" i="7"/>
  <c r="CR585" i="7"/>
  <c r="CR606" i="7"/>
  <c r="CR1509" i="7"/>
  <c r="CR1516" i="7"/>
  <c r="CR1720" i="7"/>
  <c r="CR56" i="7"/>
  <c r="CR1701" i="7"/>
  <c r="CR1341" i="7"/>
  <c r="CR1344" i="7"/>
  <c r="CR1347" i="7"/>
  <c r="CR151" i="7"/>
  <c r="CR1416" i="7"/>
  <c r="CR1437" i="7"/>
  <c r="CR237" i="7"/>
  <c r="CR374" i="7"/>
  <c r="CR613" i="7"/>
  <c r="CR713" i="7"/>
  <c r="CR840" i="7"/>
  <c r="CR1582" i="7"/>
  <c r="CR1071" i="7"/>
  <c r="CR1289" i="7"/>
  <c r="CR1638" i="7"/>
  <c r="CR1475" i="7"/>
  <c r="CR661" i="7"/>
  <c r="CR835" i="7"/>
  <c r="CR998" i="7"/>
  <c r="CR1310" i="7"/>
  <c r="CR118" i="7"/>
  <c r="CR1320" i="7"/>
  <c r="CR1323" i="7"/>
  <c r="CR1676" i="7"/>
  <c r="CR2034" i="7"/>
  <c r="CR1185" i="7"/>
  <c r="CR1837" i="7"/>
  <c r="CR1311" i="7"/>
  <c r="CR1682" i="7"/>
  <c r="CR1319" i="7"/>
  <c r="CR1324" i="7"/>
  <c r="CR1327" i="7"/>
  <c r="CR1331" i="7"/>
  <c r="CR1335" i="7"/>
  <c r="CR129" i="7"/>
  <c r="CR1345" i="7"/>
  <c r="CR1352" i="7"/>
  <c r="CR141" i="7"/>
  <c r="CR146" i="7"/>
  <c r="CR158" i="7"/>
  <c r="CR162" i="7"/>
  <c r="CR174" i="7"/>
  <c r="CR1705" i="7"/>
  <c r="CR1405" i="7"/>
  <c r="CR1408" i="7"/>
  <c r="CR1840" i="7"/>
  <c r="CR1420" i="7"/>
  <c r="CR197" i="7"/>
  <c r="CR1441" i="7"/>
  <c r="CR1448" i="7"/>
  <c r="CR1452" i="7"/>
  <c r="CR1455" i="7"/>
  <c r="CR1457" i="7"/>
  <c r="CR230" i="7"/>
  <c r="CR241" i="7"/>
  <c r="CR265" i="7"/>
  <c r="CR369" i="7"/>
  <c r="CR429" i="7"/>
  <c r="CR447" i="7"/>
  <c r="CR464" i="7"/>
  <c r="CR469" i="7"/>
  <c r="CR493" i="7"/>
  <c r="CR512" i="7"/>
  <c r="CR120" i="7"/>
  <c r="CR1361" i="7"/>
  <c r="CR1374" i="7"/>
  <c r="CR1801" i="7"/>
  <c r="CR1447" i="7"/>
  <c r="CR306" i="7"/>
  <c r="CR1469" i="7"/>
  <c r="CR360" i="7"/>
  <c r="CR412" i="7"/>
  <c r="CR492" i="7"/>
  <c r="CR518" i="7"/>
  <c r="CR708" i="7"/>
  <c r="CR752" i="7"/>
  <c r="CR776" i="7"/>
  <c r="CR923" i="7"/>
  <c r="CR951" i="7"/>
  <c r="CR1063" i="7"/>
  <c r="CR2015" i="7"/>
  <c r="CR1407" i="7"/>
  <c r="CR1443" i="7"/>
  <c r="CR264" i="7"/>
  <c r="CR332" i="7"/>
  <c r="CR523" i="7"/>
  <c r="CR555" i="7"/>
  <c r="CR1499" i="7"/>
  <c r="CR983" i="7"/>
  <c r="CR1886" i="7"/>
  <c r="CR1901" i="7"/>
  <c r="CR1264" i="7"/>
  <c r="CR121" i="7"/>
  <c r="CR1336" i="7"/>
  <c r="CR1339" i="7"/>
  <c r="CR1827" i="7"/>
  <c r="CR1203" i="7"/>
  <c r="CR1362" i="7"/>
  <c r="CR1375" i="7"/>
  <c r="CR1378" i="7"/>
  <c r="CR1380" i="7"/>
  <c r="CR171" i="7"/>
  <c r="CR77" i="7"/>
  <c r="CR1691" i="7"/>
  <c r="CR222" i="7"/>
  <c r="CR1442" i="7"/>
  <c r="CR225" i="7"/>
  <c r="CR1444" i="7"/>
  <c r="CR227" i="7"/>
  <c r="CR232" i="7"/>
  <c r="CR329" i="7"/>
  <c r="CR1466" i="7"/>
  <c r="CR441" i="7"/>
  <c r="CR1476" i="7"/>
  <c r="CR1477" i="7"/>
  <c r="CR78" i="7"/>
  <c r="CR488" i="7"/>
  <c r="CR500" i="7"/>
  <c r="CR556" i="7"/>
  <c r="CR560" i="7"/>
  <c r="CR561" i="7"/>
  <c r="CR614" i="7"/>
  <c r="CR633" i="7"/>
  <c r="CR646" i="7"/>
  <c r="CR652" i="7"/>
  <c r="CR662" i="7"/>
  <c r="CR665" i="7"/>
  <c r="CR672" i="7"/>
  <c r="CR704" i="7"/>
  <c r="CR716" i="7"/>
  <c r="CR719" i="7"/>
  <c r="CR727" i="7"/>
  <c r="CR767" i="7"/>
  <c r="CR770" i="7"/>
  <c r="CR782" i="7"/>
  <c r="CR787" i="7"/>
  <c r="CR793" i="7"/>
  <c r="CR812" i="7"/>
  <c r="CR818" i="7"/>
  <c r="CR1528" i="7"/>
  <c r="CR865" i="7"/>
  <c r="CR1530" i="7"/>
  <c r="CR921" i="7"/>
  <c r="CR1542" i="7"/>
  <c r="CR939" i="7"/>
  <c r="CR1575" i="7"/>
  <c r="CR989" i="7"/>
  <c r="CR1027" i="7"/>
  <c r="CR1599" i="7"/>
  <c r="CR1048" i="7"/>
  <c r="CR1080" i="7"/>
  <c r="CR1636" i="7"/>
  <c r="CR1822" i="7"/>
  <c r="CR1214" i="7"/>
  <c r="CR1888" i="7"/>
  <c r="CR1897" i="7"/>
  <c r="CR58" i="7"/>
  <c r="CR519" i="7"/>
  <c r="CR540" i="7"/>
  <c r="CR571" i="7"/>
  <c r="CR578" i="7"/>
  <c r="CR604" i="7"/>
  <c r="CR641" i="7"/>
  <c r="CR666" i="7"/>
  <c r="CR671" i="7"/>
  <c r="CR682" i="7"/>
  <c r="CR686" i="7"/>
  <c r="CR763" i="7"/>
  <c r="CR799" i="7"/>
  <c r="CR1513" i="7"/>
  <c r="CR842" i="7"/>
  <c r="CR1529" i="7"/>
  <c r="CR882" i="7"/>
  <c r="CR901" i="7"/>
  <c r="CR1534" i="7"/>
  <c r="CR915" i="7"/>
  <c r="CR929" i="7"/>
  <c r="CR932" i="7"/>
  <c r="CR1545" i="7"/>
  <c r="CR945" i="7"/>
  <c r="CR1559" i="7"/>
  <c r="CR1560" i="7"/>
  <c r="CR1566" i="7"/>
  <c r="CR1573" i="7"/>
  <c r="CR992" i="7"/>
  <c r="CR1579" i="7"/>
  <c r="CR1004" i="7"/>
  <c r="CR1012" i="7"/>
  <c r="CR1585" i="7"/>
  <c r="CR1019" i="7"/>
  <c r="CR1038" i="7"/>
  <c r="CR1059" i="7"/>
  <c r="CR1060" i="7"/>
  <c r="CR1086" i="7"/>
  <c r="CR17" i="7"/>
  <c r="CR44" i="7"/>
  <c r="CR2038" i="7"/>
  <c r="CR1732" i="7"/>
  <c r="CR1700" i="7"/>
  <c r="CR1218" i="7"/>
  <c r="CR1658" i="7"/>
  <c r="CR1788" i="7"/>
  <c r="CR1718" i="7"/>
  <c r="CR1695" i="7"/>
  <c r="CR1834" i="7"/>
  <c r="CR1986" i="7"/>
  <c r="CR136" i="7"/>
  <c r="CR1348" i="7"/>
  <c r="CR1411" i="7"/>
  <c r="CR238" i="7"/>
  <c r="CR1464" i="7"/>
  <c r="CR326" i="7"/>
  <c r="CR367" i="7"/>
  <c r="CR1481" i="7"/>
  <c r="CR575" i="7"/>
  <c r="CR628" i="7"/>
  <c r="CR657" i="7"/>
  <c r="CR675" i="7"/>
  <c r="CR1493" i="7"/>
  <c r="CR749" i="7"/>
  <c r="CR1508" i="7"/>
  <c r="CR850" i="7"/>
  <c r="CR910" i="7"/>
  <c r="CR919" i="7"/>
  <c r="CR987" i="7"/>
  <c r="CR993" i="7"/>
  <c r="CR1033" i="7"/>
  <c r="CR1226" i="7"/>
  <c r="CR1220" i="7"/>
  <c r="CR1696" i="7"/>
  <c r="CR1770" i="7"/>
  <c r="CR533" i="7"/>
  <c r="CR550" i="7"/>
  <c r="CR551" i="7"/>
  <c r="CR573" i="7"/>
  <c r="CR586" i="7"/>
  <c r="CR590" i="7"/>
  <c r="CR1489" i="7"/>
  <c r="CR621" i="7"/>
  <c r="CR627" i="7"/>
  <c r="CR647" i="7"/>
  <c r="CR678" i="7"/>
  <c r="CR1708" i="7"/>
  <c r="CR687" i="7"/>
  <c r="CR697" i="7"/>
  <c r="CR709" i="7"/>
  <c r="CR732" i="7"/>
  <c r="CR735" i="7"/>
  <c r="CR740" i="7"/>
  <c r="CR1501" i="7"/>
  <c r="CR1502" i="7"/>
  <c r="CR1503" i="7"/>
  <c r="CR820" i="7"/>
  <c r="CR826" i="7"/>
  <c r="CR1520" i="7"/>
  <c r="CR853" i="7"/>
  <c r="CR1526" i="7"/>
  <c r="CR873" i="7"/>
  <c r="CR935" i="7"/>
  <c r="CR960" i="7"/>
  <c r="CR971" i="7"/>
  <c r="CR984" i="7"/>
  <c r="CR1008" i="7"/>
  <c r="CR1035" i="7"/>
  <c r="CR16" i="7"/>
  <c r="CR1205" i="7"/>
  <c r="CR1197" i="7"/>
  <c r="CR1635" i="7"/>
  <c r="CR1252" i="7"/>
  <c r="CR1711" i="7"/>
  <c r="CR1211" i="7"/>
  <c r="CR1212" i="7"/>
  <c r="CR1802" i="7"/>
  <c r="CR1217" i="7"/>
  <c r="CR1952" i="7"/>
  <c r="CR1734" i="7"/>
  <c r="CR1253" i="7"/>
  <c r="CR1712" i="7"/>
  <c r="CR1668" i="7"/>
  <c r="CR1956" i="7"/>
  <c r="CR1917" i="7"/>
  <c r="CR27" i="7"/>
  <c r="CR11" i="7"/>
  <c r="CR1881" i="7"/>
  <c r="CR1198" i="7"/>
  <c r="CR1928" i="7"/>
  <c r="CR69" i="7"/>
  <c r="CR1244" i="7"/>
  <c r="CR1984" i="7"/>
  <c r="CR1193" i="7"/>
  <c r="CR1332" i="7"/>
  <c r="CR179" i="7"/>
  <c r="CR1418" i="7"/>
  <c r="CR1247" i="7"/>
  <c r="CR1451" i="7"/>
  <c r="CR228" i="7"/>
  <c r="CR284" i="7"/>
  <c r="CR334" i="7"/>
  <c r="CR355" i="7"/>
  <c r="CR476" i="7"/>
  <c r="CR527" i="7"/>
  <c r="CR587" i="7"/>
  <c r="CR595" i="7"/>
  <c r="CR624" i="7"/>
  <c r="CR636" i="7"/>
  <c r="CR1504" i="7"/>
  <c r="CR792" i="7"/>
  <c r="CR800" i="7"/>
  <c r="CR848" i="7"/>
  <c r="CR856" i="7"/>
  <c r="CR1547" i="7"/>
  <c r="CR942" i="7"/>
  <c r="CR980" i="7"/>
  <c r="CR1609" i="7"/>
  <c r="CR1735" i="7"/>
  <c r="CR97" i="7"/>
  <c r="CR1926" i="7"/>
  <c r="CR1670" i="7"/>
  <c r="CR1548" i="7"/>
  <c r="CJ1841" i="7"/>
  <c r="CR1841" i="7" s="1"/>
  <c r="CU1841" i="7"/>
  <c r="CW1841" i="7" s="1"/>
  <c r="CU195" i="7"/>
  <c r="CW195" i="7" s="1"/>
  <c r="CL195" i="7"/>
  <c r="CR546" i="7"/>
  <c r="CR736" i="7"/>
  <c r="CR846" i="7"/>
  <c r="CR851" i="7"/>
  <c r="CR955" i="7"/>
  <c r="CR1564" i="7"/>
  <c r="CR1572" i="7"/>
  <c r="CR1709" i="7"/>
  <c r="CR1053" i="7"/>
  <c r="CL1721" i="7"/>
  <c r="CJ1721" i="7"/>
  <c r="CJ1722" i="7"/>
  <c r="CU1722" i="7"/>
  <c r="CW1722" i="7" s="1"/>
  <c r="CU1724" i="7"/>
  <c r="CW1724" i="7" s="1"/>
  <c r="CJ1724" i="7"/>
  <c r="CR1724" i="7" s="1"/>
  <c r="CL1724" i="7"/>
  <c r="CJ1725" i="7"/>
  <c r="CU1725" i="7"/>
  <c r="CW1725" i="7" s="1"/>
  <c r="CL1725" i="7"/>
  <c r="CL1940" i="7"/>
  <c r="CJ1940" i="7"/>
  <c r="CR1940" i="7" s="1"/>
  <c r="CU1291" i="7"/>
  <c r="CW1291" i="7" s="1"/>
  <c r="CJ1291" i="7"/>
  <c r="CR1291" i="7" s="1"/>
  <c r="CJ1782" i="7"/>
  <c r="CR1782" i="7" s="1"/>
  <c r="CU1782" i="7"/>
  <c r="CW1782" i="7" s="1"/>
  <c r="CJ1792" i="7"/>
  <c r="CR1792" i="7" s="1"/>
  <c r="CL1792" i="7"/>
  <c r="CU1792" i="7"/>
  <c r="CW1792" i="7" s="1"/>
  <c r="CU1242" i="7"/>
  <c r="CW1242" i="7" s="1"/>
  <c r="CL1242" i="7"/>
  <c r="CJ2031" i="7"/>
  <c r="CR2031" i="7" s="1"/>
  <c r="CU2031" i="7"/>
  <c r="CW2031" i="7" s="1"/>
  <c r="CL2031" i="7"/>
  <c r="CJ1713" i="7"/>
  <c r="CR1713" i="7" s="1"/>
  <c r="CL1713" i="7"/>
  <c r="CJ1225" i="7"/>
  <c r="CR1225" i="7" s="1"/>
  <c r="CU1225" i="7"/>
  <c r="CW1225" i="7" s="1"/>
  <c r="CL1225" i="7"/>
  <c r="CJ1731" i="7"/>
  <c r="CU1731" i="7"/>
  <c r="CW1731" i="7" s="1"/>
  <c r="CJ1227" i="7"/>
  <c r="CR1227" i="7" s="1"/>
  <c r="CU1227" i="7"/>
  <c r="CW1227" i="7" s="1"/>
  <c r="CU1889" i="7"/>
  <c r="CW1889" i="7" s="1"/>
  <c r="CL1889" i="7"/>
  <c r="CJ1629" i="7"/>
  <c r="CR1629" i="7" s="1"/>
  <c r="CL1629" i="7"/>
  <c r="CJ1898" i="7"/>
  <c r="CL1898" i="7"/>
  <c r="CL1903" i="7"/>
  <c r="CU1903" i="7"/>
  <c r="CW1903" i="7" s="1"/>
  <c r="CJ1903" i="7"/>
  <c r="CR1903" i="7" s="1"/>
  <c r="CL1239" i="7"/>
  <c r="CJ1239" i="7"/>
  <c r="CR1239" i="7" s="1"/>
  <c r="CJ1905" i="7"/>
  <c r="CU1905" i="7"/>
  <c r="CW1905" i="7" s="1"/>
  <c r="CJ82" i="7"/>
  <c r="CR82" i="7" s="1"/>
  <c r="CL82" i="7"/>
  <c r="CJ1664" i="7"/>
  <c r="CL1664" i="7"/>
  <c r="CU83" i="7"/>
  <c r="CW83" i="7" s="1"/>
  <c r="CJ83" i="7"/>
  <c r="CR83" i="7" s="1"/>
  <c r="CL83" i="7"/>
  <c r="CU1295" i="7"/>
  <c r="CW1295" i="7" s="1"/>
  <c r="CJ1295" i="7"/>
  <c r="CR1295" i="7" s="1"/>
  <c r="CL1295" i="7"/>
  <c r="CU1907" i="7"/>
  <c r="CW1907" i="7" s="1"/>
  <c r="CL1907" i="7"/>
  <c r="CJ1907" i="7"/>
  <c r="CL1737" i="7"/>
  <c r="CU1737" i="7"/>
  <c r="CW1737" i="7" s="1"/>
  <c r="CJ1737" i="7"/>
  <c r="CJ1298" i="7"/>
  <c r="CU1298" i="7"/>
  <c r="CW1298" i="7" s="1"/>
  <c r="CU1663" i="7"/>
  <c r="CW1663" i="7" s="1"/>
  <c r="CJ1663" i="7"/>
  <c r="CL1663" i="7"/>
  <c r="CR1860" i="7"/>
  <c r="CJ1914" i="7"/>
  <c r="CR1914" i="7" s="1"/>
  <c r="CL1914" i="7"/>
  <c r="CU1914" i="7"/>
  <c r="CW1914" i="7" s="1"/>
  <c r="CU37" i="7"/>
  <c r="CW37" i="7" s="1"/>
  <c r="CL37" i="7"/>
  <c r="CJ88" i="7"/>
  <c r="CL88" i="7"/>
  <c r="CL38" i="7"/>
  <c r="CU38" i="7"/>
  <c r="CW38" i="7" s="1"/>
  <c r="CJ1916" i="7"/>
  <c r="CU1916" i="7"/>
  <c r="CW1916" i="7" s="1"/>
  <c r="CL1916" i="7"/>
  <c r="CL1773" i="7"/>
  <c r="CJ1773" i="7"/>
  <c r="CU1773" i="7"/>
  <c r="CW1773" i="7" s="1"/>
  <c r="CU1743" i="7"/>
  <c r="CW1743" i="7" s="1"/>
  <c r="CJ1743" i="7"/>
  <c r="CR1743" i="7" s="1"/>
  <c r="CL1743" i="7"/>
  <c r="CU1793" i="7"/>
  <c r="CW1793" i="7" s="1"/>
  <c r="CJ1793" i="7"/>
  <c r="CL1793" i="7"/>
  <c r="CJ1809" i="7"/>
  <c r="CU1809" i="7"/>
  <c r="CW1809" i="7" s="1"/>
  <c r="CJ1922" i="7"/>
  <c r="CR1922" i="7" s="1"/>
  <c r="CU1922" i="7"/>
  <c r="CW1922" i="7" s="1"/>
  <c r="CL1922" i="7"/>
  <c r="CJ53" i="7"/>
  <c r="CR53" i="7" s="1"/>
  <c r="CU53" i="7"/>
  <c r="CW53" i="7" s="1"/>
  <c r="CL1259" i="7"/>
  <c r="CU1259" i="7"/>
  <c r="CW1259" i="7" s="1"/>
  <c r="CJ1259" i="7"/>
  <c r="CR1259" i="7" s="1"/>
  <c r="CR1237" i="7"/>
  <c r="CR1268" i="7"/>
  <c r="CU1962" i="7"/>
  <c r="CW1962" i="7" s="1"/>
  <c r="CL1962" i="7"/>
  <c r="CJ1962" i="7"/>
  <c r="CJ1662" i="7"/>
  <c r="CR1662" i="7" s="1"/>
  <c r="CJ1308" i="7"/>
  <c r="CR1308" i="7" s="1"/>
  <c r="CL101" i="7"/>
  <c r="CU101" i="7"/>
  <c r="CW101" i="7" s="1"/>
  <c r="CU1967" i="7"/>
  <c r="CW1967" i="7" s="1"/>
  <c r="CL1967" i="7"/>
  <c r="CL102" i="7"/>
  <c r="CU102" i="7"/>
  <c r="CW102" i="7" s="1"/>
  <c r="CL1977" i="7"/>
  <c r="CL1673" i="7"/>
  <c r="CU69" i="7"/>
  <c r="CW69" i="7" s="1"/>
  <c r="CU106" i="7"/>
  <c r="CW106" i="7" s="1"/>
  <c r="CL1702" i="7"/>
  <c r="CU1244" i="7"/>
  <c r="CW1244" i="7" s="1"/>
  <c r="CU1983" i="7"/>
  <c r="CW1983" i="7" s="1"/>
  <c r="CJ1704" i="7"/>
  <c r="CR1704" i="7" s="1"/>
  <c r="CU108" i="7"/>
  <c r="CW108" i="7" s="1"/>
  <c r="CJ113" i="7"/>
  <c r="CL72" i="7"/>
  <c r="CU116" i="7"/>
  <c r="CW116" i="7" s="1"/>
  <c r="CU122" i="7"/>
  <c r="CW122" i="7" s="1"/>
  <c r="CU1179" i="7"/>
  <c r="CW1179" i="7" s="1"/>
  <c r="CU127" i="7"/>
  <c r="CW127" i="7" s="1"/>
  <c r="CU131" i="7"/>
  <c r="CW131" i="7" s="1"/>
  <c r="CJ1631" i="7"/>
  <c r="CL1350" i="7"/>
  <c r="CJ1356" i="7"/>
  <c r="CL2008" i="7"/>
  <c r="CJ2010" i="7"/>
  <c r="CL157" i="7"/>
  <c r="CU162" i="7"/>
  <c r="CW162" i="7" s="1"/>
  <c r="CJ75" i="7"/>
  <c r="CR75" i="7" s="1"/>
  <c r="CU1845" i="7"/>
  <c r="CW1845" i="7" s="1"/>
  <c r="CL1375" i="7"/>
  <c r="CU181" i="7"/>
  <c r="CW181" i="7" s="1"/>
  <c r="CU2015" i="7"/>
  <c r="CW2015" i="7" s="1"/>
  <c r="CJ1839" i="7"/>
  <c r="CR1839" i="7" s="1"/>
  <c r="CJ184" i="7"/>
  <c r="CU1409" i="7"/>
  <c r="CW1409" i="7" s="1"/>
  <c r="CU192" i="7"/>
  <c r="CW192" i="7" s="1"/>
  <c r="CU1425" i="7"/>
  <c r="CW1425" i="7" s="1"/>
  <c r="CJ2017" i="7"/>
  <c r="CJ208" i="7"/>
  <c r="CL2020" i="7"/>
  <c r="CJ210" i="7"/>
  <c r="CU1814" i="7"/>
  <c r="CW1814" i="7" s="1"/>
  <c r="CJ1436" i="7"/>
  <c r="CR1436" i="7" s="1"/>
  <c r="CL1933" i="7"/>
  <c r="CJ217" i="7"/>
  <c r="CR217" i="7" s="1"/>
  <c r="CU1878" i="7"/>
  <c r="CW1878" i="7" s="1"/>
  <c r="CU1247" i="7"/>
  <c r="CW1247" i="7" s="1"/>
  <c r="CJ1440" i="7"/>
  <c r="CR1440" i="7" s="1"/>
  <c r="CR257" i="7"/>
  <c r="CR351" i="7"/>
  <c r="CR442" i="7"/>
  <c r="CR703" i="7"/>
  <c r="CR759" i="7"/>
  <c r="CR768" i="7"/>
  <c r="CR838" i="7"/>
  <c r="CR859" i="7"/>
  <c r="CR1540" i="7"/>
  <c r="CR1551" i="7"/>
  <c r="CR979" i="7"/>
  <c r="CU1309" i="7"/>
  <c r="CW1309" i="7" s="1"/>
  <c r="CU70" i="7"/>
  <c r="CW70" i="7" s="1"/>
  <c r="CJ1240" i="7"/>
  <c r="CR1240" i="7" s="1"/>
  <c r="CJ1178" i="7"/>
  <c r="CR1178" i="7" s="1"/>
  <c r="CU1944" i="7"/>
  <c r="CW1944" i="7" s="1"/>
  <c r="CJ1242" i="7"/>
  <c r="CR1242" i="7" s="1"/>
  <c r="CJ1182" i="7"/>
  <c r="CL86" i="7"/>
  <c r="CJ37" i="7"/>
  <c r="CL1809" i="7"/>
  <c r="CJ1286" i="7"/>
  <c r="CU1768" i="7"/>
  <c r="CW1768" i="7" s="1"/>
  <c r="CR1154" i="7"/>
  <c r="CU1246" i="7"/>
  <c r="CW1246" i="7" s="1"/>
  <c r="CL1246" i="7"/>
  <c r="CR852" i="7"/>
  <c r="CR1541" i="7"/>
  <c r="CR927" i="7"/>
  <c r="CR1544" i="7"/>
  <c r="CR934" i="7"/>
  <c r="CR1556" i="7"/>
  <c r="CR965" i="7"/>
  <c r="CR1578" i="7"/>
  <c r="CR1025" i="7"/>
  <c r="CR1591" i="7"/>
  <c r="CR1593" i="7"/>
  <c r="CR1598" i="7"/>
  <c r="CR1067" i="7"/>
  <c r="CL1938" i="7"/>
  <c r="CJ1938" i="7"/>
  <c r="CJ1729" i="7"/>
  <c r="CR1729" i="7" s="1"/>
  <c r="CU1729" i="7"/>
  <c r="CW1729" i="7" s="1"/>
  <c r="CJ80" i="7"/>
  <c r="CR80" i="7" s="1"/>
  <c r="CL80" i="7"/>
  <c r="CJ1637" i="7"/>
  <c r="CR1637" i="7" s="1"/>
  <c r="CL1637" i="7"/>
  <c r="CU1292" i="7"/>
  <c r="CW1292" i="7" s="1"/>
  <c r="CJ1292" i="7"/>
  <c r="CR1292" i="7" s="1"/>
  <c r="CL1653" i="7"/>
  <c r="CU1653" i="7"/>
  <c r="CW1653" i="7" s="1"/>
  <c r="CJ1653" i="7"/>
  <c r="CR1653" i="7" s="1"/>
  <c r="CJ1181" i="7"/>
  <c r="CU1181" i="7"/>
  <c r="CW1181" i="7" s="1"/>
  <c r="CL1181" i="7"/>
  <c r="CJ20" i="7"/>
  <c r="CR20" i="7" s="1"/>
  <c r="CU20" i="7"/>
  <c r="CW20" i="7" s="1"/>
  <c r="CU1213" i="7"/>
  <c r="CW1213" i="7" s="1"/>
  <c r="CL1213" i="7"/>
  <c r="CL1823" i="7"/>
  <c r="CU1823" i="7"/>
  <c r="CW1823" i="7" s="1"/>
  <c r="CJ1823" i="7"/>
  <c r="CR1823" i="7" s="1"/>
  <c r="CL1215" i="7"/>
  <c r="CJ1215" i="7"/>
  <c r="CR1215" i="7" s="1"/>
  <c r="CL1216" i="7"/>
  <c r="CJ1216" i="7"/>
  <c r="CR1216" i="7" s="1"/>
  <c r="CU1699" i="7"/>
  <c r="CW1699" i="7" s="1"/>
  <c r="CJ1699" i="7"/>
  <c r="CR1699" i="7" s="1"/>
  <c r="CL1228" i="7"/>
  <c r="CU1228" i="7"/>
  <c r="CW1228" i="7" s="1"/>
  <c r="CJ1894" i="7"/>
  <c r="CR1894" i="7" s="1"/>
  <c r="CU1894" i="7"/>
  <c r="CW1894" i="7" s="1"/>
  <c r="CJ1949" i="7"/>
  <c r="CR1949" i="7" s="1"/>
  <c r="CU1949" i="7"/>
  <c r="CW1949" i="7" s="1"/>
  <c r="CL1950" i="7"/>
  <c r="CJ1950" i="7"/>
  <c r="CR1950" i="7" s="1"/>
  <c r="CJ1904" i="7"/>
  <c r="CR1904" i="7" s="1"/>
  <c r="CU1904" i="7"/>
  <c r="CW1904" i="7" s="1"/>
  <c r="CU1168" i="7"/>
  <c r="CW1168" i="7" s="1"/>
  <c r="CJ1168" i="7"/>
  <c r="CR1168" i="7" s="1"/>
  <c r="CJ1906" i="7"/>
  <c r="CU1906" i="7"/>
  <c r="CW1906" i="7" s="1"/>
  <c r="CR35" i="7"/>
  <c r="CJ1667" i="7"/>
  <c r="CR1667" i="7" s="1"/>
  <c r="CL1667" i="7"/>
  <c r="CJ1805" i="7"/>
  <c r="CU1805" i="7"/>
  <c r="CW1805" i="7" s="1"/>
  <c r="CL1805" i="7"/>
  <c r="CJ1170" i="7"/>
  <c r="CR1170" i="7" s="1"/>
  <c r="CL1170" i="7"/>
  <c r="CL45" i="7"/>
  <c r="CU45" i="7"/>
  <c r="CW45" i="7" s="1"/>
  <c r="CJ45" i="7"/>
  <c r="CR45" i="7" s="1"/>
  <c r="CJ1230" i="7"/>
  <c r="CR1230" i="7" s="1"/>
  <c r="CL1230" i="7"/>
  <c r="CR26" i="7"/>
  <c r="CL47" i="7"/>
  <c r="CU47" i="7"/>
  <c r="CW47" i="7" s="1"/>
  <c r="CJ47" i="7"/>
  <c r="CU1651" i="7"/>
  <c r="CW1651" i="7" s="1"/>
  <c r="CL1651" i="7"/>
  <c r="CJ1651" i="7"/>
  <c r="CJ1171" i="7"/>
  <c r="CU1171" i="7"/>
  <c r="CW1171" i="7" s="1"/>
  <c r="CL48" i="7"/>
  <c r="CJ48" i="7"/>
  <c r="CR48" i="7" s="1"/>
  <c r="CU48" i="7"/>
  <c r="CW48" i="7" s="1"/>
  <c r="CU59" i="7"/>
  <c r="CW59" i="7" s="1"/>
  <c r="CJ59" i="7"/>
  <c r="CL59" i="7"/>
  <c r="CL1958" i="7"/>
  <c r="CJ1958" i="7"/>
  <c r="CU1958" i="7"/>
  <c r="CW1958" i="7" s="1"/>
  <c r="CJ1659" i="7"/>
  <c r="CR1659" i="7" s="1"/>
  <c r="CU1659" i="7"/>
  <c r="CW1659" i="7" s="1"/>
  <c r="CL1960" i="7"/>
  <c r="CU1960" i="7"/>
  <c r="CW1960" i="7" s="1"/>
  <c r="CU1303" i="7"/>
  <c r="CW1303" i="7" s="1"/>
  <c r="CL1303" i="7"/>
  <c r="CJ1303" i="7"/>
  <c r="CL1749" i="7"/>
  <c r="CJ1749" i="7"/>
  <c r="CL1774" i="7"/>
  <c r="CU1774" i="7"/>
  <c r="CW1774" i="7" s="1"/>
  <c r="CR1257" i="7"/>
  <c r="CJ55" i="7"/>
  <c r="CU55" i="7"/>
  <c r="CW55" i="7" s="1"/>
  <c r="CL55" i="7"/>
  <c r="CJ1753" i="7"/>
  <c r="CU1753" i="7"/>
  <c r="CW1753" i="7" s="1"/>
  <c r="CL1274" i="7"/>
  <c r="CJ1274" i="7"/>
  <c r="CJ1278" i="7"/>
  <c r="CL1278" i="7"/>
  <c r="CL1282" i="7"/>
  <c r="CJ1282" i="7"/>
  <c r="CR1156" i="7"/>
  <c r="CJ1650" i="7"/>
  <c r="CR1650" i="7" s="1"/>
  <c r="CU1928" i="7"/>
  <c r="CW1928" i="7" s="1"/>
  <c r="CU1703" i="7"/>
  <c r="CW1703" i="7" s="1"/>
  <c r="CU1161" i="7"/>
  <c r="CW1161" i="7" s="1"/>
  <c r="CU1315" i="7"/>
  <c r="CW1315" i="7" s="1"/>
  <c r="CU1325" i="7"/>
  <c r="CW1325" i="7" s="1"/>
  <c r="CU1838" i="7"/>
  <c r="CW1838" i="7" s="1"/>
  <c r="CU1343" i="7"/>
  <c r="CW1343" i="7" s="1"/>
  <c r="CU1348" i="7"/>
  <c r="CW1348" i="7" s="1"/>
  <c r="CU160" i="7"/>
  <c r="CW160" i="7" s="1"/>
  <c r="CU167" i="7"/>
  <c r="CW167" i="7" s="1"/>
  <c r="CU169" i="7"/>
  <c r="CW169" i="7" s="1"/>
  <c r="CL1407" i="7"/>
  <c r="CU1411" i="7"/>
  <c r="CW1411" i="7" s="1"/>
  <c r="CU1418" i="7"/>
  <c r="CW1418" i="7" s="1"/>
  <c r="CU194" i="7"/>
  <c r="CW194" i="7" s="1"/>
  <c r="CL1423" i="7"/>
  <c r="CU220" i="7"/>
  <c r="CW220" i="7" s="1"/>
  <c r="CU1439" i="7"/>
  <c r="CW1439" i="7" s="1"/>
  <c r="CU1828" i="7"/>
  <c r="CW1828" i="7" s="1"/>
  <c r="CL1692" i="7"/>
  <c r="CL1443" i="7"/>
  <c r="CU1830" i="7"/>
  <c r="CW1830" i="7" s="1"/>
  <c r="CU1453" i="7"/>
  <c r="CW1453" i="7" s="1"/>
  <c r="CR301" i="7"/>
  <c r="CR434" i="7"/>
  <c r="CR513" i="7"/>
  <c r="CR539" i="7"/>
  <c r="CR659" i="7"/>
  <c r="CR714" i="7"/>
  <c r="CR753" i="7"/>
  <c r="CR963" i="7"/>
  <c r="CR1047" i="7"/>
  <c r="CL1815" i="7"/>
  <c r="CL2038" i="7"/>
  <c r="CJ2036" i="7"/>
  <c r="CR2036" i="7" s="1"/>
  <c r="CL20" i="7"/>
  <c r="CU1757" i="7"/>
  <c r="CW1757" i="7" s="1"/>
  <c r="CJ1228" i="7"/>
  <c r="CR1228" i="7" s="1"/>
  <c r="CL1892" i="7"/>
  <c r="CU1239" i="7"/>
  <c r="CW1239" i="7" s="1"/>
  <c r="CU1220" i="7"/>
  <c r="CW1220" i="7" s="1"/>
  <c r="CJ1297" i="7"/>
  <c r="CU1230" i="7"/>
  <c r="CW1230" i="7" s="1"/>
  <c r="CL1909" i="7"/>
  <c r="CL1298" i="7"/>
  <c r="CU1300" i="7"/>
  <c r="CW1300" i="7" s="1"/>
  <c r="CR1255" i="7"/>
  <c r="CU1304" i="7"/>
  <c r="CW1304" i="7" s="1"/>
  <c r="CL1270" i="7"/>
  <c r="CL1969" i="7"/>
  <c r="CL1797" i="7"/>
  <c r="CL1798" i="7"/>
  <c r="CL1976" i="7"/>
  <c r="CL1978" i="7"/>
  <c r="CL1790" i="7"/>
  <c r="CL1657" i="7"/>
  <c r="CL1677" i="7"/>
  <c r="CL1680" i="7"/>
  <c r="CL1315" i="7"/>
  <c r="CL1319" i="7"/>
  <c r="CL1322" i="7"/>
  <c r="CL1325" i="7"/>
  <c r="CL123" i="7"/>
  <c r="CL126" i="7"/>
  <c r="CL1998" i="7"/>
  <c r="CL1339" i="7"/>
  <c r="CL136" i="7"/>
  <c r="CL2026" i="7"/>
  <c r="CL1346" i="7"/>
  <c r="CL2002" i="7"/>
  <c r="CL142" i="7"/>
  <c r="CL144" i="7"/>
  <c r="CL160" i="7"/>
  <c r="CL1203" i="7"/>
  <c r="CL1688" i="7"/>
  <c r="CL173" i="7"/>
  <c r="CL176" i="7"/>
  <c r="CL5" i="7"/>
  <c r="CL2015" i="7"/>
  <c r="CL1384" i="7"/>
  <c r="CL1387" i="7"/>
  <c r="CL1397" i="7"/>
  <c r="CL1402" i="7"/>
  <c r="CL1409" i="7"/>
  <c r="CL1841" i="7"/>
  <c r="CL191" i="7"/>
  <c r="CL193" i="7"/>
  <c r="CL194" i="7"/>
  <c r="CL199" i="7"/>
  <c r="CL201" i="7"/>
  <c r="CL206" i="7"/>
  <c r="CL1429" i="7"/>
  <c r="CL1876" i="7"/>
  <c r="CL1436" i="7"/>
  <c r="CL222" i="7"/>
  <c r="CL1781" i="7"/>
  <c r="CL1447" i="7"/>
  <c r="CL1451" i="7"/>
  <c r="CL1248" i="7"/>
  <c r="CL1704" i="7"/>
  <c r="CL2006" i="7"/>
  <c r="CK2006" i="7"/>
  <c r="CK1923" i="7"/>
  <c r="CL1923" i="7"/>
  <c r="CL75" i="7"/>
  <c r="CL1845" i="7"/>
  <c r="CK1845" i="7"/>
  <c r="CK1390" i="7"/>
  <c r="CL1390" i="7"/>
  <c r="CL1425" i="7"/>
  <c r="CK1425" i="7"/>
  <c r="CL224" i="7"/>
  <c r="CK224" i="7"/>
  <c r="CK228" i="7"/>
  <c r="CL228" i="7"/>
  <c r="CK240" i="7"/>
  <c r="CK244" i="7"/>
  <c r="CK270" i="7"/>
  <c r="CK284" i="7"/>
  <c r="CK295" i="7"/>
  <c r="CK311" i="7"/>
  <c r="CK314" i="7"/>
  <c r="CK328" i="7"/>
  <c r="CK359" i="7"/>
  <c r="CK365" i="7"/>
  <c r="CK382" i="7"/>
  <c r="CK386" i="7"/>
  <c r="CK390" i="7"/>
  <c r="CK398" i="7"/>
  <c r="CK417" i="7"/>
  <c r="CK452" i="7"/>
  <c r="CK467" i="7"/>
  <c r="CK494" i="7"/>
  <c r="CK502" i="7"/>
  <c r="CK508" i="7"/>
  <c r="CK529" i="7"/>
  <c r="CK541" i="7"/>
  <c r="CK551" i="7"/>
  <c r="CK555" i="7"/>
  <c r="CK570" i="7"/>
  <c r="CK574" i="7"/>
  <c r="CK577" i="7"/>
  <c r="CK593" i="7"/>
  <c r="CK596" i="7"/>
  <c r="CK599" i="7"/>
  <c r="CK614" i="7"/>
  <c r="CK618" i="7"/>
  <c r="CK622" i="7"/>
  <c r="CK626" i="7"/>
  <c r="CK634" i="7"/>
  <c r="CK638" i="7"/>
  <c r="CK642" i="7"/>
  <c r="CK653" i="7"/>
  <c r="CK657" i="7"/>
  <c r="CK665" i="7"/>
  <c r="CK669" i="7"/>
  <c r="CK673" i="7"/>
  <c r="CK677" i="7"/>
  <c r="CK683" i="7"/>
  <c r="CK690" i="7"/>
  <c r="CK1493" i="7"/>
  <c r="CK709" i="7"/>
  <c r="CK1494" i="7"/>
  <c r="CL1799" i="7"/>
  <c r="CK1799" i="7"/>
  <c r="CL43" i="7"/>
  <c r="CK43" i="7"/>
  <c r="CL2005" i="7"/>
  <c r="CK2005" i="7"/>
  <c r="CK1164" i="7"/>
  <c r="CL1164" i="7"/>
  <c r="CK200" i="7"/>
  <c r="CL200" i="7"/>
  <c r="CK267" i="7"/>
  <c r="CK318" i="7"/>
  <c r="CK586" i="7"/>
  <c r="CK1030" i="7"/>
  <c r="CK1214" i="7"/>
  <c r="CL1214" i="7"/>
  <c r="CL1217" i="7"/>
  <c r="CK1217" i="7"/>
  <c r="CL1218" i="7"/>
  <c r="CK1218" i="7"/>
  <c r="CL1294" i="7"/>
  <c r="CL84" i="7"/>
  <c r="CK84" i="7"/>
  <c r="CL1244" i="7"/>
  <c r="CK129" i="7"/>
  <c r="CL1646" i="7"/>
  <c r="CL1364" i="7"/>
  <c r="CK177" i="7"/>
  <c r="CK1384" i="7"/>
  <c r="CK1387" i="7"/>
  <c r="CK1397" i="7"/>
  <c r="CK189" i="7"/>
  <c r="CL227" i="7"/>
  <c r="CK263" i="7"/>
  <c r="CK291" i="7"/>
  <c r="CK321" i="7"/>
  <c r="CK343" i="7"/>
  <c r="CK694" i="7"/>
  <c r="CL1926" i="7"/>
  <c r="CK1798" i="7"/>
  <c r="CL1703" i="7"/>
  <c r="CL111" i="7"/>
  <c r="CL113" i="7"/>
  <c r="CL1400" i="7"/>
  <c r="CK1402" i="7"/>
  <c r="CK266" i="7"/>
  <c r="CK307" i="7"/>
  <c r="CL1674" i="7"/>
  <c r="CK1674" i="7"/>
  <c r="CL133" i="7"/>
  <c r="CK133" i="7"/>
  <c r="CK1355" i="7"/>
  <c r="CL1355" i="7"/>
  <c r="CK1686" i="7"/>
  <c r="CL1686" i="7"/>
  <c r="CK1422" i="7"/>
  <c r="CL1422" i="7"/>
  <c r="CL197" i="7"/>
  <c r="CK197" i="7"/>
  <c r="CK1430" i="7"/>
  <c r="CL1430" i="7"/>
  <c r="CK1433" i="7"/>
  <c r="CL1433" i="7"/>
  <c r="CK304" i="7"/>
  <c r="CK487" i="7"/>
  <c r="CK604" i="7"/>
  <c r="CK716" i="7"/>
  <c r="CK907" i="7"/>
  <c r="CK1649" i="7"/>
  <c r="CL1756" i="7"/>
  <c r="CL1900" i="7"/>
  <c r="CK1900" i="7"/>
  <c r="CK1640" i="7"/>
  <c r="CL1640" i="7"/>
  <c r="CK65" i="7"/>
  <c r="CL65" i="7"/>
  <c r="CK1955" i="7"/>
  <c r="CL1955" i="7"/>
  <c r="CL1788" i="7"/>
  <c r="CK1788" i="7"/>
  <c r="CK24" i="7"/>
  <c r="CK36" i="7"/>
  <c r="CL36" i="7"/>
  <c r="CK1747" i="7"/>
  <c r="CL1970" i="7"/>
  <c r="CK68" i="7"/>
  <c r="CL1975" i="7"/>
  <c r="CK1790" i="7"/>
  <c r="CL1670" i="7"/>
  <c r="CK1672" i="7"/>
  <c r="CL1988" i="7"/>
  <c r="CL73" i="7"/>
  <c r="CK1323" i="7"/>
  <c r="CL1326" i="7"/>
  <c r="CL1332" i="7"/>
  <c r="CL1334" i="7"/>
  <c r="CK2000" i="7"/>
  <c r="CK1163" i="7"/>
  <c r="CK136" i="7"/>
  <c r="CL2011" i="7"/>
  <c r="CL161" i="7"/>
  <c r="CL1771" i="7"/>
  <c r="CL165" i="7"/>
  <c r="CK1688" i="7"/>
  <c r="CK176" i="7"/>
  <c r="CK180" i="7"/>
  <c r="CL1406" i="7"/>
  <c r="CL1690" i="7"/>
  <c r="CL218" i="7"/>
  <c r="CK1781" i="7"/>
  <c r="CL1442" i="7"/>
  <c r="CL229" i="7"/>
  <c r="CK1641" i="7"/>
  <c r="CL1459" i="7"/>
  <c r="CK233" i="7"/>
  <c r="CK245" i="7"/>
  <c r="CK339" i="7"/>
  <c r="CK372" i="7"/>
  <c r="CK437" i="7"/>
  <c r="CK522" i="7"/>
  <c r="CK581" i="7"/>
  <c r="CK603" i="7"/>
  <c r="CK680" i="7"/>
  <c r="CK1953" i="7"/>
  <c r="CK1261" i="7"/>
  <c r="CK1797" i="7"/>
  <c r="CK1346" i="7"/>
  <c r="CK142" i="7"/>
  <c r="CK147" i="7"/>
  <c r="CK2013" i="7"/>
  <c r="CK1377" i="7"/>
  <c r="CK1381" i="7"/>
  <c r="CK1413" i="7"/>
  <c r="CK194" i="7"/>
  <c r="CK1803" i="7"/>
  <c r="CK256" i="7"/>
  <c r="CK279" i="7"/>
  <c r="CK1786" i="7"/>
  <c r="CK292" i="7"/>
  <c r="CK296" i="7"/>
  <c r="CK300" i="7"/>
  <c r="CK308" i="7"/>
  <c r="CK344" i="7"/>
  <c r="CK360" i="7"/>
  <c r="CK1473" i="7"/>
  <c r="CK402" i="7"/>
  <c r="CK449" i="7"/>
  <c r="CK457" i="7"/>
  <c r="CK495" i="7"/>
  <c r="CK542" i="7"/>
  <c r="CK552" i="7"/>
  <c r="CK754" i="7"/>
  <c r="CK817" i="7"/>
  <c r="CK839" i="7"/>
  <c r="CK1205" i="7"/>
  <c r="CK1638" i="7"/>
  <c r="CK1946" i="7"/>
  <c r="CK1734" i="7"/>
  <c r="CL170" i="7"/>
  <c r="CK1917" i="7"/>
  <c r="CK1657" i="7"/>
  <c r="CK115" i="7"/>
  <c r="CK1315" i="7"/>
  <c r="CK1319" i="7"/>
  <c r="CK1322" i="7"/>
  <c r="CK1325" i="7"/>
  <c r="CK2015" i="7"/>
  <c r="CK182" i="7"/>
  <c r="CK203" i="7"/>
  <c r="CK206" i="7"/>
  <c r="CK1429" i="7"/>
  <c r="CK214" i="7"/>
  <c r="CK1914" i="7"/>
  <c r="CK87" i="7"/>
  <c r="CN1308" i="7"/>
  <c r="CN1198" i="7"/>
  <c r="CK1277" i="7"/>
  <c r="CK1281" i="7"/>
  <c r="CK1285" i="7"/>
  <c r="CV1268" i="7"/>
  <c r="CW1268" i="7" s="1"/>
  <c r="CK1268" i="7"/>
  <c r="CK1755" i="7"/>
  <c r="CK1753" i="7"/>
  <c r="CN1259" i="7"/>
  <c r="CN1260" i="7"/>
  <c r="CN1262" i="7"/>
  <c r="CV1266" i="7"/>
  <c r="CW1266" i="7" s="1"/>
  <c r="CV28" i="7"/>
  <c r="CW28" i="7" s="1"/>
  <c r="CN1922" i="7"/>
  <c r="CV1922" i="7"/>
  <c r="CV93" i="7"/>
  <c r="CV1696" i="7"/>
  <c r="CW1696" i="7" s="1"/>
  <c r="CK1748" i="7"/>
  <c r="CK60" i="7"/>
  <c r="CV1746" i="7"/>
  <c r="CW1746" i="7" s="1"/>
  <c r="CK39" i="7"/>
  <c r="CV1917" i="7"/>
  <c r="CV1171" i="7"/>
  <c r="CK1916" i="7"/>
  <c r="CV1916" i="7"/>
  <c r="CV87" i="7"/>
  <c r="CV1914" i="7"/>
  <c r="CK1255" i="7"/>
  <c r="CK1630" i="7"/>
  <c r="CK85" i="7"/>
  <c r="CK1738" i="7"/>
  <c r="CK1912" i="7"/>
  <c r="CV1230" i="7"/>
  <c r="CK64" i="7"/>
  <c r="CV66" i="7"/>
  <c r="CW66" i="7" s="1"/>
  <c r="CV1805" i="7"/>
  <c r="CV1953" i="7"/>
  <c r="CK1221" i="7"/>
  <c r="CK1898" i="7"/>
  <c r="CK1904" i="7"/>
  <c r="CK1903" i="7"/>
  <c r="CK1733" i="7"/>
  <c r="CK1901" i="7"/>
  <c r="CK1950" i="7"/>
  <c r="CV1898" i="7"/>
  <c r="CV1904" i="7"/>
  <c r="CN1215" i="7"/>
  <c r="CK1216" i="7"/>
  <c r="CV1216" i="7"/>
  <c r="CK1889" i="7"/>
  <c r="CK1215" i="7"/>
  <c r="CV1213" i="7"/>
  <c r="CK1732" i="7"/>
  <c r="CK1654" i="7"/>
  <c r="CN1654" i="7"/>
  <c r="CV1212" i="7"/>
  <c r="CV1639" i="7"/>
  <c r="CK1210" i="7"/>
  <c r="CK1211" i="7"/>
  <c r="CV1638" i="7"/>
  <c r="CN1638" i="7"/>
  <c r="CK2038" i="7"/>
  <c r="CV2038" i="7"/>
  <c r="CK1730" i="7"/>
  <c r="CK1167" i="7"/>
  <c r="CV1636" i="7"/>
  <c r="CK1942" i="7"/>
  <c r="CK1728" i="7"/>
  <c r="CV1726" i="7"/>
  <c r="CV1205" i="7"/>
  <c r="CN1205" i="7"/>
  <c r="CK79" i="7"/>
  <c r="CV1206" i="7"/>
  <c r="CN79" i="7"/>
  <c r="CV318" i="7"/>
  <c r="CW318" i="7" s="1"/>
  <c r="CK322" i="7"/>
  <c r="CV322" i="7"/>
  <c r="CW322" i="7" s="1"/>
  <c r="CV335" i="7"/>
  <c r="CW335" i="7" s="1"/>
  <c r="CN335" i="7"/>
  <c r="CV342" i="7"/>
  <c r="CW342" i="7" s="1"/>
  <c r="CN342" i="7"/>
  <c r="CK1706" i="7"/>
  <c r="CV1706" i="7"/>
  <c r="CW1706" i="7" s="1"/>
  <c r="CK395" i="7"/>
  <c r="CV395" i="7"/>
  <c r="CW395" i="7" s="1"/>
  <c r="CK408" i="7"/>
  <c r="CV408" i="7"/>
  <c r="CW408" i="7" s="1"/>
  <c r="CK412" i="7"/>
  <c r="CV412" i="7"/>
  <c r="CW412" i="7" s="1"/>
  <c r="CK420" i="7"/>
  <c r="CV420" i="7"/>
  <c r="CW420" i="7" s="1"/>
  <c r="CV447" i="7"/>
  <c r="CW447" i="7" s="1"/>
  <c r="CV464" i="7"/>
  <c r="CW464" i="7" s="1"/>
  <c r="CK477" i="7"/>
  <c r="CV477" i="7"/>
  <c r="CW477" i="7" s="1"/>
  <c r="CV481" i="7"/>
  <c r="CW481" i="7" s="1"/>
  <c r="CV78" i="7"/>
  <c r="CW78" i="7" s="1"/>
  <c r="CV487" i="7"/>
  <c r="CW487" i="7" s="1"/>
  <c r="CV489" i="7"/>
  <c r="CW489" i="7" s="1"/>
  <c r="CN489" i="7"/>
  <c r="CK514" i="7"/>
  <c r="CV514" i="7"/>
  <c r="CW514" i="7" s="1"/>
  <c r="CK521" i="7"/>
  <c r="CV521" i="7"/>
  <c r="CW521" i="7" s="1"/>
  <c r="CK524" i="7"/>
  <c r="CV524" i="7"/>
  <c r="CW524" i="7" s="1"/>
  <c r="CV1484" i="7"/>
  <c r="CW1484" i="7" s="1"/>
  <c r="CV554" i="7"/>
  <c r="CW554" i="7" s="1"/>
  <c r="CK556" i="7"/>
  <c r="CV560" i="7"/>
  <c r="CW560" i="7" s="1"/>
  <c r="CK560" i="7"/>
  <c r="CV562" i="7"/>
  <c r="CW562" i="7" s="1"/>
  <c r="CV565" i="7"/>
  <c r="CW565" i="7" s="1"/>
  <c r="CK573" i="7"/>
  <c r="CV573" i="7"/>
  <c r="CW573" i="7" s="1"/>
  <c r="CV576" i="7"/>
  <c r="CW576" i="7" s="1"/>
  <c r="CV586" i="7"/>
  <c r="CW586" i="7" s="1"/>
  <c r="CV598" i="7"/>
  <c r="CW598" i="7" s="1"/>
  <c r="CK602" i="7"/>
  <c r="CV604" i="7"/>
  <c r="CW604" i="7" s="1"/>
  <c r="CK607" i="7"/>
  <c r="CV607" i="7"/>
  <c r="CW607" i="7" s="1"/>
  <c r="CK609" i="7"/>
  <c r="CV609" i="7"/>
  <c r="CW609" i="7" s="1"/>
  <c r="CK613" i="7"/>
  <c r="CK623" i="7"/>
  <c r="CV623" i="7"/>
  <c r="CW623" i="7" s="1"/>
  <c r="CV627" i="7"/>
  <c r="CW627" i="7" s="1"/>
  <c r="CN627" i="7"/>
  <c r="CK627" i="7"/>
  <c r="CK637" i="7"/>
  <c r="CV641" i="7"/>
  <c r="CW641" i="7" s="1"/>
  <c r="CV645" i="7"/>
  <c r="CW645" i="7" s="1"/>
  <c r="CN645" i="7"/>
  <c r="CK652" i="7"/>
  <c r="CV652" i="7"/>
  <c r="CW652" i="7" s="1"/>
  <c r="CV656" i="7"/>
  <c r="CW656" i="7" s="1"/>
  <c r="CK660" i="7"/>
  <c r="CV660" i="7"/>
  <c r="CW660" i="7" s="1"/>
  <c r="CV664" i="7"/>
  <c r="CW664" i="7" s="1"/>
  <c r="CV668" i="7"/>
  <c r="CW668" i="7" s="1"/>
  <c r="CV681" i="7"/>
  <c r="CW681" i="7" s="1"/>
  <c r="CK681" i="7"/>
  <c r="CV684" i="7"/>
  <c r="CW684" i="7" s="1"/>
  <c r="CV687" i="7"/>
  <c r="CW687" i="7" s="1"/>
  <c r="CN687" i="7"/>
  <c r="CK691" i="7"/>
  <c r="CK695" i="7"/>
  <c r="CV695" i="7"/>
  <c r="CW695" i="7" s="1"/>
  <c r="CV697" i="7"/>
  <c r="CW697" i="7" s="1"/>
  <c r="CV704" i="7"/>
  <c r="CW704" i="7" s="1"/>
  <c r="CK713" i="7"/>
  <c r="CV713" i="7"/>
  <c r="CW713" i="7" s="1"/>
  <c r="CV716" i="7"/>
  <c r="CW716" i="7" s="1"/>
  <c r="CV723" i="7"/>
  <c r="CW723" i="7" s="1"/>
  <c r="CK727" i="7"/>
  <c r="CV727" i="7"/>
  <c r="CW727" i="7" s="1"/>
  <c r="CK731" i="7"/>
  <c r="CV731" i="7"/>
  <c r="CW731" i="7" s="1"/>
  <c r="CV1498" i="7"/>
  <c r="CW1498" i="7" s="1"/>
  <c r="CV735" i="7"/>
  <c r="CW735" i="7" s="1"/>
  <c r="CK735" i="7"/>
  <c r="CV740" i="7"/>
  <c r="CW740" i="7" s="1"/>
  <c r="CN742" i="7"/>
  <c r="CV742" i="7"/>
  <c r="CW742" i="7" s="1"/>
  <c r="CV1501" i="7"/>
  <c r="CW1501" i="7" s="1"/>
  <c r="CK1501" i="7"/>
  <c r="CV760" i="7"/>
  <c r="CW760" i="7" s="1"/>
  <c r="CV1503" i="7"/>
  <c r="CW1503" i="7" s="1"/>
  <c r="CN770" i="7"/>
  <c r="CV770" i="7"/>
  <c r="CW770" i="7" s="1"/>
  <c r="CK773" i="7"/>
  <c r="CV776" i="7"/>
  <c r="CW776" i="7" s="1"/>
  <c r="CV780" i="7"/>
  <c r="CW780" i="7" s="1"/>
  <c r="CV784" i="7"/>
  <c r="CW784" i="7" s="1"/>
  <c r="CV787" i="7"/>
  <c r="CW787" i="7" s="1"/>
  <c r="CV791" i="7"/>
  <c r="CW791" i="7" s="1"/>
  <c r="CV803" i="7"/>
  <c r="CW803" i="7" s="1"/>
  <c r="CV807" i="7"/>
  <c r="CW807" i="7" s="1"/>
  <c r="CK807" i="7"/>
  <c r="CN809" i="7"/>
  <c r="CV809" i="7"/>
  <c r="CW809" i="7" s="1"/>
  <c r="CN812" i="7"/>
  <c r="CV812" i="7"/>
  <c r="CW812" i="7" s="1"/>
  <c r="CK812" i="7"/>
  <c r="CV815" i="7"/>
  <c r="CW815" i="7" s="1"/>
  <c r="CV822" i="7"/>
  <c r="CW822" i="7" s="1"/>
  <c r="CK822" i="7"/>
  <c r="CV1512" i="7"/>
  <c r="CW1512" i="7" s="1"/>
  <c r="CV828" i="7"/>
  <c r="CW828" i="7" s="1"/>
  <c r="CV1513" i="7"/>
  <c r="CW1513" i="7" s="1"/>
  <c r="CK1513" i="7"/>
  <c r="CK841" i="7"/>
  <c r="CV841" i="7"/>
  <c r="CW841" i="7" s="1"/>
  <c r="CV843" i="7"/>
  <c r="CW843" i="7" s="1"/>
  <c r="CV1519" i="7"/>
  <c r="CW1519" i="7" s="1"/>
  <c r="CK1519" i="7"/>
  <c r="CK847" i="7"/>
  <c r="CV847" i="7"/>
  <c r="CW847" i="7" s="1"/>
  <c r="CV1522" i="7"/>
  <c r="CW1522" i="7" s="1"/>
  <c r="CN1522" i="7"/>
  <c r="CV1524" i="7"/>
  <c r="CW1524" i="7" s="1"/>
  <c r="CK1524" i="7"/>
  <c r="CK854" i="7"/>
  <c r="CV854" i="7"/>
  <c r="CW854" i="7" s="1"/>
  <c r="CK1526" i="7"/>
  <c r="CV1527" i="7"/>
  <c r="CW1527" i="7" s="1"/>
  <c r="CV865" i="7"/>
  <c r="CW865" i="7" s="1"/>
  <c r="CK865" i="7"/>
  <c r="CK869" i="7"/>
  <c r="CV869" i="7"/>
  <c r="CW869" i="7" s="1"/>
  <c r="CV872" i="7"/>
  <c r="CW872" i="7" s="1"/>
  <c r="CK875" i="7"/>
  <c r="CV875" i="7"/>
  <c r="CW875" i="7" s="1"/>
  <c r="CV1233" i="7"/>
  <c r="CW1233" i="7" s="1"/>
  <c r="CN1233" i="7"/>
  <c r="CK1233" i="7"/>
  <c r="CV880" i="7"/>
  <c r="CW880" i="7" s="1"/>
  <c r="CK889" i="7"/>
  <c r="CV889" i="7"/>
  <c r="CW889" i="7" s="1"/>
  <c r="CV893" i="7"/>
  <c r="CW893" i="7" s="1"/>
  <c r="CK893" i="7"/>
  <c r="CV896" i="7"/>
  <c r="CW896" i="7" s="1"/>
  <c r="CK896" i="7"/>
  <c r="CK1533" i="7"/>
  <c r="CV1533" i="7"/>
  <c r="CW1533" i="7" s="1"/>
  <c r="CV903" i="7"/>
  <c r="CW903" i="7" s="1"/>
  <c r="CV907" i="7"/>
  <c r="CW907" i="7" s="1"/>
  <c r="CK1535" i="7"/>
  <c r="CV1535" i="7"/>
  <c r="CW1535" i="7" s="1"/>
  <c r="CV913" i="7"/>
  <c r="CW913" i="7" s="1"/>
  <c r="CV916" i="7"/>
  <c r="CW916" i="7" s="1"/>
  <c r="CV918" i="7"/>
  <c r="CW918" i="7" s="1"/>
  <c r="CV921" i="7"/>
  <c r="CW921" i="7" s="1"/>
  <c r="CK921" i="7"/>
  <c r="CV923" i="7"/>
  <c r="CW923" i="7" s="1"/>
  <c r="CV925" i="7"/>
  <c r="CW925" i="7" s="1"/>
  <c r="CV1542" i="7"/>
  <c r="CW1542" i="7" s="1"/>
  <c r="CV929" i="7"/>
  <c r="CW929" i="7" s="1"/>
  <c r="CN932" i="7"/>
  <c r="CV932" i="7"/>
  <c r="CW932" i="7" s="1"/>
  <c r="CN1546" i="7"/>
  <c r="CK1546" i="7"/>
  <c r="CV1546" i="7"/>
  <c r="CW1546" i="7" s="1"/>
  <c r="CK936" i="7"/>
  <c r="CV936" i="7"/>
  <c r="CW936" i="7" s="1"/>
  <c r="CN936" i="7"/>
  <c r="CV939" i="7"/>
  <c r="CW939" i="7" s="1"/>
  <c r="CV941" i="7"/>
  <c r="CW941" i="7" s="1"/>
  <c r="CV944" i="7"/>
  <c r="CW944" i="7" s="1"/>
  <c r="CK944" i="7"/>
  <c r="CV946" i="7"/>
  <c r="CW946" i="7" s="1"/>
  <c r="CV949" i="7"/>
  <c r="CW949" i="7" s="1"/>
  <c r="CK949" i="7"/>
  <c r="CK951" i="7"/>
  <c r="CV951" i="7"/>
  <c r="CW951" i="7" s="1"/>
  <c r="CV1557" i="7"/>
  <c r="CW1557" i="7" s="1"/>
  <c r="CK958" i="7"/>
  <c r="CV958" i="7"/>
  <c r="CW958" i="7" s="1"/>
  <c r="CV960" i="7"/>
  <c r="CW960" i="7" s="1"/>
  <c r="CK960" i="7"/>
  <c r="CV964" i="7"/>
  <c r="CW964" i="7" s="1"/>
  <c r="CV971" i="7"/>
  <c r="CW971" i="7" s="1"/>
  <c r="CK971" i="7"/>
  <c r="CV1567" i="7"/>
  <c r="CW1567" i="7" s="1"/>
  <c r="CK1567" i="7"/>
  <c r="CV1568" i="7"/>
  <c r="CW1568" i="7" s="1"/>
  <c r="CV1570" i="7"/>
  <c r="CW1570" i="7" s="1"/>
  <c r="CK1570" i="7"/>
  <c r="CN984" i="7"/>
  <c r="CV984" i="7"/>
  <c r="CW984" i="7" s="1"/>
  <c r="CK1573" i="7"/>
  <c r="CV1573" i="7"/>
  <c r="CW1573" i="7" s="1"/>
  <c r="CV1575" i="7"/>
  <c r="CW1575" i="7" s="1"/>
  <c r="CN992" i="7"/>
  <c r="CV992" i="7"/>
  <c r="CW992" i="7" s="1"/>
  <c r="CV995" i="7"/>
  <c r="CW995" i="7" s="1"/>
  <c r="CK995" i="7"/>
  <c r="CV996" i="7"/>
  <c r="CW996" i="7" s="1"/>
  <c r="CV999" i="7"/>
  <c r="CW999" i="7" s="1"/>
  <c r="CV1002" i="7"/>
  <c r="CW1002" i="7" s="1"/>
  <c r="CK1002" i="7"/>
  <c r="CV1580" i="7"/>
  <c r="CW1580" i="7" s="1"/>
  <c r="CV1007" i="7"/>
  <c r="CW1007" i="7" s="1"/>
  <c r="CN1007" i="7"/>
  <c r="CV1010" i="7"/>
  <c r="CW1010" i="7" s="1"/>
  <c r="CV1012" i="7"/>
  <c r="CW1012" i="7" s="1"/>
  <c r="CK1014" i="7"/>
  <c r="CV1017" i="7"/>
  <c r="CW1017" i="7" s="1"/>
  <c r="CV1019" i="7"/>
  <c r="CW1019" i="7" s="1"/>
  <c r="CK1023" i="7"/>
  <c r="CV1023" i="7"/>
  <c r="CW1023" i="7" s="1"/>
  <c r="CK1857" i="7"/>
  <c r="CV1857" i="7"/>
  <c r="CW1857" i="7" s="1"/>
  <c r="CK1592" i="7"/>
  <c r="CV1592" i="7"/>
  <c r="CW1592" i="7" s="1"/>
  <c r="CV1029" i="7"/>
  <c r="CW1029" i="7" s="1"/>
  <c r="CK1597" i="7"/>
  <c r="CK1034" i="7"/>
  <c r="CV1034" i="7"/>
  <c r="CW1034" i="7" s="1"/>
  <c r="CK1037" i="7"/>
  <c r="CV1037" i="7"/>
  <c r="CW1037" i="7" s="1"/>
  <c r="CV1039" i="7"/>
  <c r="CW1039" i="7" s="1"/>
  <c r="CV1043" i="7"/>
  <c r="CW1043" i="7" s="1"/>
  <c r="CN1043" i="7"/>
  <c r="CK1046" i="7"/>
  <c r="CV1046" i="7"/>
  <c r="CW1046" i="7" s="1"/>
  <c r="CK1049" i="7"/>
  <c r="CV1049" i="7"/>
  <c r="CW1049" i="7" s="1"/>
  <c r="CK1051" i="7"/>
  <c r="CV1051" i="7"/>
  <c r="CW1051" i="7" s="1"/>
  <c r="CV1605" i="7"/>
  <c r="CW1605" i="7" s="1"/>
  <c r="CK1057" i="7"/>
  <c r="CN1057" i="7"/>
  <c r="CV1057" i="7"/>
  <c r="CW1057" i="7" s="1"/>
  <c r="CV1065" i="7"/>
  <c r="CW1065" i="7" s="1"/>
  <c r="CK1610" i="7"/>
  <c r="CV1610" i="7"/>
  <c r="CW1610" i="7" s="1"/>
  <c r="CV1069" i="7"/>
  <c r="CW1069" i="7" s="1"/>
  <c r="CK1069" i="7"/>
  <c r="CV1072" i="7"/>
  <c r="CW1072" i="7" s="1"/>
  <c r="CK1072" i="7"/>
  <c r="CV1075" i="7"/>
  <c r="CW1075" i="7" s="1"/>
  <c r="CK1075" i="7"/>
  <c r="CV1079" i="7"/>
  <c r="CW1079" i="7" s="1"/>
  <c r="CV1082" i="7"/>
  <c r="CW1082" i="7" s="1"/>
  <c r="CK1082" i="7"/>
  <c r="CN1086" i="7"/>
  <c r="CK1086" i="7"/>
  <c r="CV1086" i="7"/>
  <c r="CW1086" i="7" s="1"/>
  <c r="CV1616" i="7"/>
  <c r="CW1616" i="7" s="1"/>
  <c r="CV1617" i="7"/>
  <c r="CW1617" i="7" s="1"/>
  <c r="CV1095" i="7"/>
  <c r="CW1095" i="7" s="1"/>
  <c r="CK1095" i="7"/>
  <c r="CV1098" i="7"/>
  <c r="CW1098" i="7" s="1"/>
  <c r="CK1098" i="7"/>
  <c r="CV1102" i="7"/>
  <c r="CW1102" i="7" s="1"/>
  <c r="CV1106" i="7"/>
  <c r="CW1106" i="7" s="1"/>
  <c r="CV1110" i="7"/>
  <c r="CW1110" i="7" s="1"/>
  <c r="CV1114" i="7"/>
  <c r="CW1114" i="7" s="1"/>
  <c r="CV1118" i="7"/>
  <c r="CW1118" i="7" s="1"/>
  <c r="CV1120" i="7"/>
  <c r="CW1120" i="7" s="1"/>
  <c r="CK1124" i="7"/>
  <c r="CV1128" i="7"/>
  <c r="CW1128" i="7" s="1"/>
  <c r="CK1128" i="7"/>
  <c r="CV1132" i="7"/>
  <c r="CW1132" i="7" s="1"/>
  <c r="CV1136" i="7"/>
  <c r="CW1136" i="7" s="1"/>
  <c r="CK1140" i="7"/>
  <c r="CV1140" i="7"/>
  <c r="CW1140" i="7" s="1"/>
  <c r="CK1144" i="7"/>
  <c r="CV1144" i="7"/>
  <c r="CW1144" i="7" s="1"/>
  <c r="CK1146" i="7"/>
  <c r="CV1146" i="7"/>
  <c r="CW1146" i="7" s="1"/>
  <c r="CV1152" i="7"/>
  <c r="CW1152" i="7" s="1"/>
  <c r="CV30" i="7"/>
  <c r="CK30" i="7"/>
  <c r="CK1710" i="7"/>
  <c r="CV1710" i="7"/>
  <c r="CN1710" i="7"/>
  <c r="CN16" i="7"/>
  <c r="CK16" i="7"/>
  <c r="CV31" i="7"/>
  <c r="CV1249" i="7"/>
  <c r="CW1249" i="7" s="1"/>
  <c r="CN1249" i="7"/>
  <c r="CV235" i="7"/>
  <c r="CW235" i="7" s="1"/>
  <c r="CV237" i="7"/>
  <c r="CW237" i="7" s="1"/>
  <c r="CV256" i="7"/>
  <c r="CW256" i="7" s="1"/>
  <c r="CV260" i="7"/>
  <c r="CW260" i="7" s="1"/>
  <c r="CV263" i="7"/>
  <c r="CW263" i="7" s="1"/>
  <c r="CV267" i="7"/>
  <c r="CW267" i="7" s="1"/>
  <c r="CV292" i="7"/>
  <c r="CW292" i="7" s="1"/>
  <c r="CV294" i="7"/>
  <c r="CW294" i="7" s="1"/>
  <c r="CK298" i="7"/>
  <c r="CV300" i="7"/>
  <c r="CW300" i="7" s="1"/>
  <c r="CN304" i="7"/>
  <c r="CV310" i="7"/>
  <c r="CW310" i="7" s="1"/>
  <c r="CV313" i="7"/>
  <c r="CW313" i="7" s="1"/>
  <c r="CV317" i="7"/>
  <c r="CW317" i="7" s="1"/>
  <c r="CK317" i="7"/>
  <c r="CV1465" i="7"/>
  <c r="CW1465" i="7" s="1"/>
  <c r="CV327" i="7"/>
  <c r="CW327" i="7" s="1"/>
  <c r="CK329" i="7"/>
  <c r="CK335" i="7"/>
  <c r="CV338" i="7"/>
  <c r="CW338" i="7" s="1"/>
  <c r="CK342" i="7"/>
  <c r="CK366" i="7"/>
  <c r="CV371" i="7"/>
  <c r="CW371" i="7" s="1"/>
  <c r="CK371" i="7"/>
  <c r="CV378" i="7"/>
  <c r="CW378" i="7" s="1"/>
  <c r="CK383" i="7"/>
  <c r="CV387" i="7"/>
  <c r="CW387" i="7" s="1"/>
  <c r="CK429" i="7"/>
  <c r="CV437" i="7"/>
  <c r="CW437" i="7" s="1"/>
  <c r="CK453" i="7"/>
  <c r="CK499" i="7"/>
  <c r="CV507" i="7"/>
  <c r="CW507" i="7" s="1"/>
  <c r="CN514" i="7"/>
  <c r="CK519" i="7"/>
  <c r="CK530" i="7"/>
  <c r="CV538" i="7"/>
  <c r="CW538" i="7" s="1"/>
  <c r="CK580" i="7"/>
  <c r="CK598" i="7"/>
  <c r="CV613" i="7"/>
  <c r="CW613" i="7" s="1"/>
  <c r="CV629" i="7"/>
  <c r="CW629" i="7" s="1"/>
  <c r="CK664" i="7"/>
  <c r="CV672" i="7"/>
  <c r="CW672" i="7" s="1"/>
  <c r="CV676" i="7"/>
  <c r="CW676" i="7" s="1"/>
  <c r="CK676" i="7"/>
  <c r="CV719" i="7"/>
  <c r="CW719" i="7" s="1"/>
  <c r="CV750" i="7"/>
  <c r="CW750" i="7" s="1"/>
  <c r="CK752" i="7"/>
  <c r="CV756" i="7"/>
  <c r="CW756" i="7" s="1"/>
  <c r="CV758" i="7"/>
  <c r="CW758" i="7" s="1"/>
  <c r="CK784" i="7"/>
  <c r="CK787" i="7"/>
  <c r="CV817" i="7"/>
  <c r="CW817" i="7" s="1"/>
  <c r="CK843" i="7"/>
  <c r="CV1520" i="7"/>
  <c r="CW1520" i="7" s="1"/>
  <c r="CN1524" i="7"/>
  <c r="CV1526" i="7"/>
  <c r="CW1526" i="7" s="1"/>
  <c r="CV857" i="7"/>
  <c r="CW857" i="7" s="1"/>
  <c r="CK857" i="7"/>
  <c r="CV1531" i="7"/>
  <c r="CW1531" i="7" s="1"/>
  <c r="CV1466" i="7"/>
  <c r="CW1466" i="7" s="1"/>
  <c r="CK340" i="7"/>
  <c r="CV340" i="7"/>
  <c r="CW340" i="7" s="1"/>
  <c r="CV1469" i="7"/>
  <c r="CW1469" i="7" s="1"/>
  <c r="CV358" i="7"/>
  <c r="CW358" i="7" s="1"/>
  <c r="CK374" i="7"/>
  <c r="CV374" i="7"/>
  <c r="CW374" i="7" s="1"/>
  <c r="CK399" i="7"/>
  <c r="CV399" i="7"/>
  <c r="CW399" i="7" s="1"/>
  <c r="CK406" i="7"/>
  <c r="CV406" i="7"/>
  <c r="CW406" i="7" s="1"/>
  <c r="CK410" i="7"/>
  <c r="CV410" i="7"/>
  <c r="CW410" i="7" s="1"/>
  <c r="CK418" i="7"/>
  <c r="CV418" i="7"/>
  <c r="CW418" i="7" s="1"/>
  <c r="CV439" i="7"/>
  <c r="CW439" i="7" s="1"/>
  <c r="CK451" i="7"/>
  <c r="CV451" i="7"/>
  <c r="CW451" i="7" s="1"/>
  <c r="CK470" i="7"/>
  <c r="CV470" i="7"/>
  <c r="CW470" i="7" s="1"/>
  <c r="CV473" i="7"/>
  <c r="CW473" i="7" s="1"/>
  <c r="CK473" i="7"/>
  <c r="CK483" i="7"/>
  <c r="CV483" i="7"/>
  <c r="CW483" i="7" s="1"/>
  <c r="CV486" i="7"/>
  <c r="CW486" i="7" s="1"/>
  <c r="CK501" i="7"/>
  <c r="CV501" i="7"/>
  <c r="CW501" i="7" s="1"/>
  <c r="CV515" i="7"/>
  <c r="CW515" i="7" s="1"/>
  <c r="CN515" i="7"/>
  <c r="CK1483" i="7"/>
  <c r="CV1483" i="7"/>
  <c r="CW1483" i="7" s="1"/>
  <c r="CK534" i="7"/>
  <c r="CV534" i="7"/>
  <c r="CW534" i="7" s="1"/>
  <c r="CK540" i="7"/>
  <c r="CV540" i="7"/>
  <c r="CW540" i="7" s="1"/>
  <c r="CV544" i="7"/>
  <c r="CW544" i="7" s="1"/>
  <c r="CK1485" i="7"/>
  <c r="CV1485" i="7"/>
  <c r="CW1485" i="7" s="1"/>
  <c r="CN548" i="7"/>
  <c r="CV548" i="7"/>
  <c r="CW548" i="7" s="1"/>
  <c r="CV552" i="7"/>
  <c r="CW552" i="7" s="1"/>
  <c r="CV567" i="7"/>
  <c r="CW567" i="7" s="1"/>
  <c r="CK569" i="7"/>
  <c r="CK578" i="7"/>
  <c r="CV578" i="7"/>
  <c r="CW578" i="7" s="1"/>
  <c r="CK582" i="7"/>
  <c r="CK584" i="7"/>
  <c r="CV584" i="7"/>
  <c r="CW584" i="7" s="1"/>
  <c r="CK588" i="7"/>
  <c r="CK592" i="7"/>
  <c r="CV592" i="7"/>
  <c r="CW592" i="7" s="1"/>
  <c r="CV594" i="7"/>
  <c r="CW594" i="7" s="1"/>
  <c r="CV1489" i="7"/>
  <c r="CW1489" i="7" s="1"/>
  <c r="CK600" i="7"/>
  <c r="CV615" i="7"/>
  <c r="CW615" i="7" s="1"/>
  <c r="CV617" i="7"/>
  <c r="CW617" i="7" s="1"/>
  <c r="CK621" i="7"/>
  <c r="CV621" i="7"/>
  <c r="CW621" i="7" s="1"/>
  <c r="CK633" i="7"/>
  <c r="CV633" i="7"/>
  <c r="CW633" i="7" s="1"/>
  <c r="CK643" i="7"/>
  <c r="CV643" i="7"/>
  <c r="CW643" i="7" s="1"/>
  <c r="CK647" i="7"/>
  <c r="CV647" i="7"/>
  <c r="CW647" i="7" s="1"/>
  <c r="CV654" i="7"/>
  <c r="CW654" i="7" s="1"/>
  <c r="CK658" i="7"/>
  <c r="CV662" i="7"/>
  <c r="CW662" i="7" s="1"/>
  <c r="CV666" i="7"/>
  <c r="CW666" i="7" s="1"/>
  <c r="CK666" i="7"/>
  <c r="CK670" i="7"/>
  <c r="CV670" i="7"/>
  <c r="CW670" i="7" s="1"/>
  <c r="CN1492" i="7"/>
  <c r="CK1492" i="7"/>
  <c r="CV693" i="7"/>
  <c r="CW693" i="7" s="1"/>
  <c r="CK693" i="7"/>
  <c r="CK698" i="7"/>
  <c r="CV706" i="7"/>
  <c r="CW706" i="7" s="1"/>
  <c r="CN708" i="7"/>
  <c r="CK708" i="7"/>
  <c r="CV712" i="7"/>
  <c r="CW712" i="7" s="1"/>
  <c r="CN712" i="7"/>
  <c r="CV1495" i="7"/>
  <c r="CW1495" i="7" s="1"/>
  <c r="CV717" i="7"/>
  <c r="CW717" i="7" s="1"/>
  <c r="CK721" i="7"/>
  <c r="CV721" i="7"/>
  <c r="CW721" i="7" s="1"/>
  <c r="CK725" i="7"/>
  <c r="CV725" i="7"/>
  <c r="CW725" i="7" s="1"/>
  <c r="CK729" i="7"/>
  <c r="CV729" i="7"/>
  <c r="CW729" i="7" s="1"/>
  <c r="CV732" i="7"/>
  <c r="CW732" i="7" s="1"/>
  <c r="CV739" i="7"/>
  <c r="CW739" i="7" s="1"/>
  <c r="CV1500" i="7"/>
  <c r="CW1500" i="7" s="1"/>
  <c r="CV754" i="7"/>
  <c r="CW754" i="7" s="1"/>
  <c r="CK761" i="7"/>
  <c r="CV761" i="7"/>
  <c r="CW761" i="7" s="1"/>
  <c r="CV764" i="7"/>
  <c r="CW764" i="7" s="1"/>
  <c r="CK766" i="7"/>
  <c r="CK1505" i="7"/>
  <c r="CK775" i="7"/>
  <c r="CV775" i="7"/>
  <c r="CW775" i="7" s="1"/>
  <c r="CV778" i="7"/>
  <c r="CW778" i="7" s="1"/>
  <c r="CV782" i="7"/>
  <c r="CW782" i="7" s="1"/>
  <c r="CV786" i="7"/>
  <c r="CW786" i="7" s="1"/>
  <c r="CV789" i="7"/>
  <c r="CW789" i="7" s="1"/>
  <c r="CV797" i="7"/>
  <c r="CW797" i="7" s="1"/>
  <c r="CV801" i="7"/>
  <c r="CW801" i="7" s="1"/>
  <c r="CV805" i="7"/>
  <c r="CW805" i="7" s="1"/>
  <c r="CK805" i="7"/>
  <c r="CV813" i="7"/>
  <c r="CW813" i="7" s="1"/>
  <c r="CV820" i="7"/>
  <c r="CW820" i="7" s="1"/>
  <c r="CV823" i="7"/>
  <c r="CW823" i="7" s="1"/>
  <c r="CV826" i="7"/>
  <c r="CW826" i="7" s="1"/>
  <c r="CV830" i="7"/>
  <c r="CW830" i="7" s="1"/>
  <c r="CV833" i="7"/>
  <c r="CW833" i="7" s="1"/>
  <c r="CK833" i="7"/>
  <c r="CV1514" i="7"/>
  <c r="CW1514" i="7" s="1"/>
  <c r="CV840" i="7"/>
  <c r="CW840" i="7" s="1"/>
  <c r="CV842" i="7"/>
  <c r="CW842" i="7" s="1"/>
  <c r="CV1521" i="7"/>
  <c r="CW1521" i="7" s="1"/>
  <c r="CV1523" i="7"/>
  <c r="CW1523" i="7" s="1"/>
  <c r="CV853" i="7"/>
  <c r="CW853" i="7" s="1"/>
  <c r="CK1528" i="7"/>
  <c r="CK867" i="7"/>
  <c r="CV870" i="7"/>
  <c r="CW870" i="7" s="1"/>
  <c r="CV873" i="7"/>
  <c r="CW873" i="7" s="1"/>
  <c r="CK873" i="7"/>
  <c r="CV882" i="7"/>
  <c r="CW882" i="7" s="1"/>
  <c r="CK887" i="7"/>
  <c r="CV887" i="7"/>
  <c r="CW887" i="7" s="1"/>
  <c r="CK891" i="7"/>
  <c r="CK894" i="7"/>
  <c r="CV894" i="7"/>
  <c r="CW894" i="7" s="1"/>
  <c r="CK898" i="7"/>
  <c r="CV898" i="7"/>
  <c r="CW898" i="7" s="1"/>
  <c r="CV901" i="7"/>
  <c r="CW901" i="7" s="1"/>
  <c r="CV905" i="7"/>
  <c r="CW905" i="7" s="1"/>
  <c r="CV1534" i="7"/>
  <c r="CW1534" i="7" s="1"/>
  <c r="CK911" i="7"/>
  <c r="CV911" i="7"/>
  <c r="CW911" i="7" s="1"/>
  <c r="CV1536" i="7"/>
  <c r="CW1536" i="7" s="1"/>
  <c r="CK1536" i="7"/>
  <c r="CK1538" i="7"/>
  <c r="CV1538" i="7"/>
  <c r="CW1538" i="7" s="1"/>
  <c r="CV1539" i="7"/>
  <c r="CW1539" i="7" s="1"/>
  <c r="CV922" i="7"/>
  <c r="CW922" i="7" s="1"/>
  <c r="CK922" i="7"/>
  <c r="CN922" i="7"/>
  <c r="CK930" i="7"/>
  <c r="CV930" i="7"/>
  <c r="CW930" i="7" s="1"/>
  <c r="CV1545" i="7"/>
  <c r="CW1545" i="7" s="1"/>
  <c r="CV1856" i="7"/>
  <c r="CW1856" i="7" s="1"/>
  <c r="CN938" i="7"/>
  <c r="CV938" i="7"/>
  <c r="CW938" i="7" s="1"/>
  <c r="CK938" i="7"/>
  <c r="CV940" i="7"/>
  <c r="CW940" i="7" s="1"/>
  <c r="CK940" i="7"/>
  <c r="CV943" i="7"/>
  <c r="CW943" i="7" s="1"/>
  <c r="CV945" i="7"/>
  <c r="CW945" i="7" s="1"/>
  <c r="CK945" i="7"/>
  <c r="CV1554" i="7"/>
  <c r="CW1554" i="7" s="1"/>
  <c r="CV950" i="7"/>
  <c r="CW950" i="7" s="1"/>
  <c r="CK953" i="7"/>
  <c r="CV953" i="7"/>
  <c r="CW953" i="7" s="1"/>
  <c r="CN953" i="7"/>
  <c r="CK956" i="7"/>
  <c r="CN956" i="7"/>
  <c r="CV956" i="7"/>
  <c r="CW956" i="7" s="1"/>
  <c r="CV1558" i="7"/>
  <c r="CW1558" i="7" s="1"/>
  <c r="CV962" i="7"/>
  <c r="CW962" i="7" s="1"/>
  <c r="CK1560" i="7"/>
  <c r="CV1560" i="7"/>
  <c r="CW1560" i="7" s="1"/>
  <c r="CV967" i="7"/>
  <c r="CW967" i="7" s="1"/>
  <c r="CK970" i="7"/>
  <c r="CV970" i="7"/>
  <c r="CW970" i="7" s="1"/>
  <c r="CK973" i="7"/>
  <c r="CV973" i="7"/>
  <c r="CW973" i="7" s="1"/>
  <c r="CV974" i="7"/>
  <c r="CW974" i="7" s="1"/>
  <c r="CK974" i="7"/>
  <c r="CV1566" i="7"/>
  <c r="CW1566" i="7" s="1"/>
  <c r="CV978" i="7"/>
  <c r="CW978" i="7" s="1"/>
  <c r="CK1569" i="7"/>
  <c r="CV1569" i="7"/>
  <c r="CW1569" i="7" s="1"/>
  <c r="CV1571" i="7"/>
  <c r="CW1571" i="7" s="1"/>
  <c r="CV985" i="7"/>
  <c r="CW985" i="7" s="1"/>
  <c r="CV1574" i="7"/>
  <c r="CW1574" i="7" s="1"/>
  <c r="CK1574" i="7"/>
  <c r="CV990" i="7"/>
  <c r="CW990" i="7" s="1"/>
  <c r="CK990" i="7"/>
  <c r="CN990" i="7"/>
  <c r="CV994" i="7"/>
  <c r="CW994" i="7" s="1"/>
  <c r="CK994" i="7"/>
  <c r="CN997" i="7"/>
  <c r="CK997" i="7"/>
  <c r="CV997" i="7"/>
  <c r="CW997" i="7" s="1"/>
  <c r="CV1000" i="7"/>
  <c r="CW1000" i="7" s="1"/>
  <c r="CK1000" i="7"/>
  <c r="CV1579" i="7"/>
  <c r="CW1579" i="7" s="1"/>
  <c r="CK1581" i="7"/>
  <c r="CV1581" i="7"/>
  <c r="CW1581" i="7" s="1"/>
  <c r="CV1008" i="7"/>
  <c r="CW1008" i="7" s="1"/>
  <c r="CK1008" i="7"/>
  <c r="CV1011" i="7"/>
  <c r="CW1011" i="7" s="1"/>
  <c r="CV1013" i="7"/>
  <c r="CW1013" i="7" s="1"/>
  <c r="CK1015" i="7"/>
  <c r="CV1015" i="7"/>
  <c r="CW1015" i="7" s="1"/>
  <c r="CK1018" i="7"/>
  <c r="CV1018" i="7"/>
  <c r="CW1018" i="7" s="1"/>
  <c r="CK1021" i="7"/>
  <c r="CV1021" i="7"/>
  <c r="CW1021" i="7" s="1"/>
  <c r="CV1024" i="7"/>
  <c r="CW1024" i="7" s="1"/>
  <c r="CV1026" i="7"/>
  <c r="CW1026" i="7" s="1"/>
  <c r="CV1028" i="7"/>
  <c r="CW1028" i="7" s="1"/>
  <c r="CN1030" i="7"/>
  <c r="CV1030" i="7"/>
  <c r="CW1030" i="7" s="1"/>
  <c r="CV1032" i="7"/>
  <c r="CW1032" i="7" s="1"/>
  <c r="CV1036" i="7"/>
  <c r="CW1036" i="7" s="1"/>
  <c r="CV1038" i="7"/>
  <c r="CW1038" i="7" s="1"/>
  <c r="CK1038" i="7"/>
  <c r="CV1041" i="7"/>
  <c r="CW1041" i="7" s="1"/>
  <c r="CK1045" i="7"/>
  <c r="CV1045" i="7"/>
  <c r="CW1045" i="7" s="1"/>
  <c r="CN1048" i="7"/>
  <c r="CV1048" i="7"/>
  <c r="CW1048" i="7" s="1"/>
  <c r="CV1050" i="7"/>
  <c r="CW1050" i="7" s="1"/>
  <c r="CK1050" i="7"/>
  <c r="CK1604" i="7"/>
  <c r="CV1604" i="7"/>
  <c r="CW1604" i="7" s="1"/>
  <c r="CV1055" i="7"/>
  <c r="CW1055" i="7" s="1"/>
  <c r="CK1058" i="7"/>
  <c r="CV1058" i="7"/>
  <c r="CW1058" i="7" s="1"/>
  <c r="CV1060" i="7"/>
  <c r="CW1060" i="7" s="1"/>
  <c r="CN1060" i="7"/>
  <c r="CV1061" i="7"/>
  <c r="CW1061" i="7" s="1"/>
  <c r="CK1063" i="7"/>
  <c r="CV1063" i="7"/>
  <c r="CW1063" i="7" s="1"/>
  <c r="CV1066" i="7"/>
  <c r="CW1066" i="7" s="1"/>
  <c r="CK1611" i="7"/>
  <c r="CV1611" i="7"/>
  <c r="CW1611" i="7" s="1"/>
  <c r="CN1071" i="7"/>
  <c r="CV1071" i="7"/>
  <c r="CW1071" i="7" s="1"/>
  <c r="CK1071" i="7"/>
  <c r="CK1073" i="7"/>
  <c r="CV1073" i="7"/>
  <c r="CW1073" i="7" s="1"/>
  <c r="CK1077" i="7"/>
  <c r="CV1077" i="7"/>
  <c r="CW1077" i="7" s="1"/>
  <c r="CK1080" i="7"/>
  <c r="CV1080" i="7"/>
  <c r="CW1080" i="7" s="1"/>
  <c r="CV1084" i="7"/>
  <c r="CW1084" i="7" s="1"/>
  <c r="CV1088" i="7"/>
  <c r="CW1088" i="7" s="1"/>
  <c r="CV1091" i="7"/>
  <c r="CW1091" i="7" s="1"/>
  <c r="CV1093" i="7"/>
  <c r="CW1093" i="7" s="1"/>
  <c r="CV1096" i="7"/>
  <c r="CW1096" i="7" s="1"/>
  <c r="CK1096" i="7"/>
  <c r="CK1100" i="7"/>
  <c r="CV1100" i="7"/>
  <c r="CW1100" i="7" s="1"/>
  <c r="CV1104" i="7"/>
  <c r="CW1104" i="7" s="1"/>
  <c r="CV1112" i="7"/>
  <c r="CW1112" i="7" s="1"/>
  <c r="CV1116" i="7"/>
  <c r="CW1116" i="7" s="1"/>
  <c r="CV1122" i="7"/>
  <c r="CW1122" i="7" s="1"/>
  <c r="CK1122" i="7"/>
  <c r="CK1126" i="7"/>
  <c r="CV1126" i="7"/>
  <c r="CW1126" i="7" s="1"/>
  <c r="CV1130" i="7"/>
  <c r="CW1130" i="7" s="1"/>
  <c r="CK1130" i="7"/>
  <c r="CV1134" i="7"/>
  <c r="CW1134" i="7" s="1"/>
  <c r="CK1134" i="7"/>
  <c r="CV1138" i="7"/>
  <c r="CW1138" i="7" s="1"/>
  <c r="CK1138" i="7"/>
  <c r="CK1142" i="7"/>
  <c r="CV1142" i="7"/>
  <c r="CW1142" i="7" s="1"/>
  <c r="CV17" i="7"/>
  <c r="CW17" i="7" s="1"/>
  <c r="CN17" i="7"/>
  <c r="CK237" i="7"/>
  <c r="CK1785" i="7"/>
  <c r="CK283" i="7"/>
  <c r="CN306" i="7"/>
  <c r="CV308" i="7"/>
  <c r="CW308" i="7" s="1"/>
  <c r="CV320" i="7"/>
  <c r="CW320" i="7" s="1"/>
  <c r="CK325" i="7"/>
  <c r="CV331" i="7"/>
  <c r="CW331" i="7" s="1"/>
  <c r="CK1466" i="7"/>
  <c r="CN346" i="7"/>
  <c r="CK350" i="7"/>
  <c r="CV1470" i="7"/>
  <c r="CW1470" i="7" s="1"/>
  <c r="CV363" i="7"/>
  <c r="CW363" i="7" s="1"/>
  <c r="CK364" i="7"/>
  <c r="CV1472" i="7"/>
  <c r="CW1472" i="7" s="1"/>
  <c r="CV380" i="7"/>
  <c r="CW380" i="7" s="1"/>
  <c r="CV1474" i="7"/>
  <c r="CW1474" i="7" s="1"/>
  <c r="CK1474" i="7"/>
  <c r="CK389" i="7"/>
  <c r="CK426" i="7"/>
  <c r="CK428" i="7"/>
  <c r="CN441" i="7"/>
  <c r="CK447" i="7"/>
  <c r="CN455" i="7"/>
  <c r="CV457" i="7"/>
  <c r="CW457" i="7" s="1"/>
  <c r="CK464" i="7"/>
  <c r="CV1477" i="7"/>
  <c r="CW1477" i="7" s="1"/>
  <c r="CK486" i="7"/>
  <c r="CK497" i="7"/>
  <c r="CV505" i="7"/>
  <c r="CW505" i="7" s="1"/>
  <c r="CK505" i="7"/>
  <c r="CK517" i="7"/>
  <c r="CK538" i="7"/>
  <c r="CV556" i="7"/>
  <c r="CW556" i="7" s="1"/>
  <c r="CV558" i="7"/>
  <c r="CW558" i="7" s="1"/>
  <c r="CV1486" i="7"/>
  <c r="CW1486" i="7" s="1"/>
  <c r="CK565" i="7"/>
  <c r="CK567" i="7"/>
  <c r="CV571" i="7"/>
  <c r="CW571" i="7" s="1"/>
  <c r="CV582" i="7"/>
  <c r="CW582" i="7" s="1"/>
  <c r="CK1489" i="7"/>
  <c r="CV602" i="7"/>
  <c r="CW602" i="7" s="1"/>
  <c r="CV637" i="7"/>
  <c r="CW637" i="7" s="1"/>
  <c r="CV639" i="7"/>
  <c r="CW639" i="7" s="1"/>
  <c r="CK654" i="7"/>
  <c r="CN678" i="7"/>
  <c r="CV1491" i="7"/>
  <c r="CW1491" i="7" s="1"/>
  <c r="CV702" i="7"/>
  <c r="CW702" i="7" s="1"/>
  <c r="CV747" i="7"/>
  <c r="CW747" i="7" s="1"/>
  <c r="CV752" i="7"/>
  <c r="CW752" i="7" s="1"/>
  <c r="CV772" i="7"/>
  <c r="CW772" i="7" s="1"/>
  <c r="CK782" i="7"/>
  <c r="CV793" i="7"/>
  <c r="CW793" i="7" s="1"/>
  <c r="CV795" i="7"/>
  <c r="CW795" i="7" s="1"/>
  <c r="CK801" i="7"/>
  <c r="CK828" i="7"/>
  <c r="CV839" i="7"/>
  <c r="CW839" i="7" s="1"/>
  <c r="CV878" i="7"/>
  <c r="CW878" i="7" s="1"/>
  <c r="CV1597" i="7"/>
  <c r="CW1597" i="7" s="1"/>
  <c r="CK1032" i="7"/>
  <c r="CK1065" i="7"/>
  <c r="CK327" i="7"/>
  <c r="CK333" i="7"/>
  <c r="CK347" i="7"/>
  <c r="CK349" i="7"/>
  <c r="CK363" i="7"/>
  <c r="CK369" i="7"/>
  <c r="CK380" i="7"/>
  <c r="CK393" i="7"/>
  <c r="CK401" i="7"/>
  <c r="CK424" i="7"/>
  <c r="CK435" i="7"/>
  <c r="CK656" i="7"/>
  <c r="CK1495" i="7"/>
  <c r="CK758" i="7"/>
  <c r="CK815" i="7"/>
  <c r="CK1539" i="7"/>
  <c r="CK422" i="7"/>
  <c r="CK433" i="7"/>
  <c r="CK445" i="7"/>
  <c r="CK1707" i="7"/>
  <c r="CK78" i="7"/>
  <c r="CK491" i="7"/>
  <c r="CK512" i="7"/>
  <c r="CK528" i="7"/>
  <c r="CK1484" i="7"/>
  <c r="CK550" i="7"/>
  <c r="CK576" i="7"/>
  <c r="CK611" i="7"/>
  <c r="CK668" i="7"/>
  <c r="CK778" i="7"/>
  <c r="CK590" i="7"/>
  <c r="CK631" i="7"/>
  <c r="CK641" i="7"/>
  <c r="CK674" i="7"/>
  <c r="CK700" i="7"/>
  <c r="CK836" i="7"/>
  <c r="CK929" i="7"/>
  <c r="CK1557" i="7"/>
  <c r="CK1055" i="7"/>
  <c r="CK617" i="7"/>
  <c r="CK619" i="7"/>
  <c r="CK625" i="7"/>
  <c r="CK650" i="7"/>
  <c r="CK684" i="7"/>
  <c r="CK1498" i="7"/>
  <c r="CK740" i="7"/>
  <c r="CK1503" i="7"/>
  <c r="CK770" i="7"/>
  <c r="CK797" i="7"/>
  <c r="CK1136" i="7"/>
  <c r="CK903" i="7"/>
  <c r="CK964" i="7"/>
  <c r="CK820" i="7"/>
  <c r="CK830" i="7"/>
  <c r="CK946" i="7"/>
  <c r="CK1580" i="7"/>
  <c r="CK996" i="7"/>
  <c r="CK984" i="7"/>
  <c r="CK992" i="7"/>
  <c r="CK1066" i="7"/>
  <c r="CV1803" i="7"/>
  <c r="CK1832" i="7"/>
  <c r="CN1830" i="7"/>
  <c r="CK1451" i="7"/>
  <c r="CK1830" i="7"/>
  <c r="CK1455" i="7"/>
  <c r="CK1694" i="7"/>
  <c r="CK41" i="7"/>
  <c r="CV1451" i="7"/>
  <c r="CK1453" i="7"/>
  <c r="CK223" i="7"/>
  <c r="CV226" i="7"/>
  <c r="CV1801" i="7"/>
  <c r="CN1801" i="7"/>
  <c r="CK1441" i="7"/>
  <c r="CK1444" i="7"/>
  <c r="CV1444" i="7"/>
  <c r="CK225" i="7"/>
  <c r="CV1936" i="7"/>
  <c r="CK1439" i="7"/>
  <c r="CK1434" i="7"/>
  <c r="CK1436" i="7"/>
  <c r="CV1436" i="7"/>
  <c r="CK1428" i="7"/>
  <c r="CV204" i="7"/>
  <c r="CK205" i="7"/>
  <c r="CV205" i="7"/>
  <c r="CV207" i="7"/>
  <c r="CK2019" i="7"/>
  <c r="CK210" i="7"/>
  <c r="CK211" i="7"/>
  <c r="CV211" i="7"/>
  <c r="CK215" i="7"/>
  <c r="CV215" i="7"/>
  <c r="CV1427" i="7"/>
  <c r="CV1407" i="7"/>
  <c r="CV190" i="7"/>
  <c r="CV194" i="7"/>
  <c r="CN1425" i="7"/>
  <c r="CN1166" i="7"/>
  <c r="CK201" i="7"/>
  <c r="CK1409" i="7"/>
  <c r="CV1411" i="7"/>
  <c r="CN1413" i="7"/>
  <c r="CK1415" i="7"/>
  <c r="CK191" i="7"/>
  <c r="CK192" i="7"/>
  <c r="CV192" i="7"/>
  <c r="CV1418" i="7"/>
  <c r="CN1418" i="7"/>
  <c r="CV1421" i="7"/>
  <c r="CK1426" i="7"/>
  <c r="CK1166" i="7"/>
  <c r="CV199" i="7"/>
  <c r="CN1409" i="7"/>
  <c r="CK1411" i="7"/>
  <c r="CK193" i="7"/>
  <c r="CK1421" i="7"/>
  <c r="CK2017" i="7"/>
  <c r="CK188" i="7"/>
  <c r="CV189" i="7"/>
  <c r="CK1626" i="7"/>
  <c r="CV188" i="7"/>
  <c r="CV182" i="7"/>
  <c r="CK1388" i="7"/>
  <c r="CK1389" i="7"/>
  <c r="CV1391" i="7"/>
  <c r="CK1391" i="7"/>
  <c r="CK1394" i="7"/>
  <c r="CK1392" i="7"/>
  <c r="CV1394" i="7"/>
  <c r="CK1398" i="7"/>
  <c r="CK185" i="7"/>
  <c r="CV181" i="7"/>
  <c r="CV2015" i="7"/>
  <c r="CK169" i="7"/>
  <c r="CN172" i="7"/>
  <c r="CN178" i="7"/>
  <c r="CN1365" i="7"/>
  <c r="CK166" i="7"/>
  <c r="CV1687" i="7"/>
  <c r="CN1369" i="7"/>
  <c r="CV1371" i="7"/>
  <c r="CV1847" i="7"/>
  <c r="CK1847" i="7"/>
  <c r="CV1377" i="7"/>
  <c r="CN1377" i="7"/>
  <c r="CV166" i="7"/>
  <c r="CK1371" i="7"/>
  <c r="CK1372" i="7"/>
  <c r="CK1373" i="7"/>
  <c r="CK1365" i="7"/>
  <c r="CK1367" i="7"/>
  <c r="CV1369" i="7"/>
  <c r="CK1846" i="7"/>
  <c r="CK1343" i="7"/>
  <c r="CN1347" i="7"/>
  <c r="CK2002" i="7"/>
  <c r="CK1356" i="7"/>
  <c r="CK1357" i="7"/>
  <c r="CK144" i="7"/>
  <c r="CV2006" i="7"/>
  <c r="CK151" i="7"/>
  <c r="CK152" i="7"/>
  <c r="CN1862" i="7"/>
  <c r="CK2026" i="7"/>
  <c r="CK1345" i="7"/>
  <c r="CN1346" i="7"/>
  <c r="CK1348" i="7"/>
  <c r="CV1350" i="7"/>
  <c r="CV2002" i="7"/>
  <c r="CN1353" i="7"/>
  <c r="CV1357" i="7"/>
  <c r="CK145" i="7"/>
  <c r="CK160" i="7"/>
  <c r="CK162" i="7"/>
  <c r="CN1685" i="7"/>
  <c r="CN1345" i="7"/>
  <c r="CN1348" i="7"/>
  <c r="CK1350" i="7"/>
  <c r="CV147" i="7"/>
  <c r="CK2010" i="7"/>
  <c r="CV155" i="7"/>
  <c r="CN1203" i="7"/>
  <c r="CK2003" i="7"/>
  <c r="CK1359" i="7"/>
  <c r="CV152" i="7"/>
  <c r="CK1203" i="7"/>
  <c r="CV1163" i="7"/>
  <c r="CK1684" i="7"/>
  <c r="CK1631" i="7"/>
  <c r="CV1332" i="7"/>
  <c r="CK1339" i="7"/>
  <c r="CK130" i="7"/>
  <c r="CK126" i="7"/>
  <c r="CK1996" i="7"/>
  <c r="CV12" i="7"/>
  <c r="CK1998" i="7"/>
  <c r="CK1337" i="7"/>
  <c r="CV1339" i="7"/>
  <c r="CN1314" i="7"/>
  <c r="CN1317" i="7"/>
  <c r="CK1327" i="7"/>
  <c r="CK123" i="7"/>
  <c r="CK1329" i="7"/>
  <c r="CV1992" i="7"/>
  <c r="CK1992" i="7"/>
  <c r="CV123" i="7"/>
  <c r="CK124" i="7"/>
  <c r="CK1682" i="7"/>
  <c r="CK120" i="7"/>
  <c r="CV115" i="7"/>
  <c r="CK1312" i="7"/>
  <c r="CV2033" i="7"/>
  <c r="CK1683" i="7"/>
  <c r="CK2033" i="7"/>
  <c r="CN118" i="7"/>
  <c r="CV1682" i="7"/>
  <c r="CV120" i="7"/>
  <c r="CK1930" i="7"/>
  <c r="CK1677" i="7"/>
  <c r="CN1984" i="7"/>
  <c r="CV1986" i="7"/>
  <c r="CK1310" i="7"/>
  <c r="CK1967" i="7"/>
  <c r="CK1969" i="7"/>
  <c r="CK1928" i="7"/>
  <c r="CK1671" i="7"/>
  <c r="CK1978" i="7"/>
  <c r="CK1673" i="7"/>
  <c r="CV1671" i="7"/>
  <c r="CU1966" i="7"/>
  <c r="CW1966" i="7" s="1"/>
  <c r="CU1866" i="7"/>
  <c r="CW1866" i="7" s="1"/>
  <c r="CJ1866" i="7"/>
  <c r="CR1866" i="7" s="1"/>
  <c r="CU1187" i="7"/>
  <c r="CW1187" i="7" s="1"/>
  <c r="CJ1187" i="7"/>
  <c r="CR1187" i="7" s="1"/>
  <c r="CJ1918" i="7"/>
  <c r="CR1918" i="7" s="1"/>
  <c r="CL1918" i="7"/>
  <c r="CJ1867" i="7"/>
  <c r="CR1867" i="7" s="1"/>
  <c r="CL1867" i="7"/>
  <c r="CU1867" i="7"/>
  <c r="CW1867" i="7" s="1"/>
  <c r="CU1868" i="7"/>
  <c r="CW1868" i="7" s="1"/>
  <c r="CJ1868" i="7"/>
  <c r="CR1868" i="7" s="1"/>
  <c r="CU1869" i="7"/>
  <c r="CW1869" i="7" s="1"/>
  <c r="CJ1869" i="7"/>
  <c r="CR1869" i="7" s="1"/>
  <c r="CJ1864" i="7"/>
  <c r="CR1864" i="7" s="1"/>
  <c r="CL1864" i="7"/>
  <c r="CL1186" i="7"/>
  <c r="CJ1186" i="7"/>
  <c r="CR1186" i="7" s="1"/>
  <c r="CJ1919" i="7"/>
  <c r="CU1919" i="7"/>
  <c r="CW1919" i="7" s="1"/>
  <c r="CU1864" i="7"/>
  <c r="CW1864" i="7" s="1"/>
  <c r="CL1866" i="7"/>
  <c r="CJ1870" i="7"/>
  <c r="CR1870" i="7" s="1"/>
  <c r="CU1870" i="7"/>
  <c r="CW1870" i="7" s="1"/>
  <c r="CL1870" i="7"/>
  <c r="CU1670" i="7"/>
  <c r="CW1670" i="7" s="1"/>
  <c r="CU1970" i="7"/>
  <c r="CW1970" i="7" s="1"/>
  <c r="CU1926" i="7"/>
  <c r="CW1926" i="7" s="1"/>
  <c r="CL1927" i="7"/>
  <c r="CL1795" i="7"/>
  <c r="CV1795" i="7"/>
  <c r="CL1928" i="7"/>
  <c r="CL1929" i="7"/>
  <c r="CL106" i="7"/>
  <c r="CV106" i="7"/>
  <c r="CV1199" i="7"/>
  <c r="CL1160" i="7"/>
  <c r="CL1984" i="7"/>
  <c r="CL1985" i="7"/>
  <c r="CU1986" i="7"/>
  <c r="CW1986" i="7" s="1"/>
  <c r="CV108" i="7"/>
  <c r="CL1679" i="7"/>
  <c r="CU115" i="7"/>
  <c r="CW115" i="7" s="1"/>
  <c r="CL1162" i="7"/>
  <c r="CL1311" i="7"/>
  <c r="CL116" i="7"/>
  <c r="CL117" i="7"/>
  <c r="CV117" i="7"/>
  <c r="CU120" i="7"/>
  <c r="CW120" i="7" s="1"/>
  <c r="CL1314" i="7"/>
  <c r="CL1320" i="7"/>
  <c r="CL1321" i="7"/>
  <c r="CL122" i="7"/>
  <c r="CU123" i="7"/>
  <c r="CW123" i="7" s="1"/>
  <c r="CL1328" i="7"/>
  <c r="CV1993" i="7"/>
  <c r="CL124" i="7"/>
  <c r="CV124" i="7"/>
  <c r="CL1333" i="7"/>
  <c r="CL125" i="7"/>
  <c r="CV125" i="7"/>
  <c r="CV1995" i="7"/>
  <c r="CL1996" i="7"/>
  <c r="CV1996" i="7"/>
  <c r="CL12" i="7"/>
  <c r="CL128" i="7"/>
  <c r="CK1919" i="7"/>
  <c r="CL74" i="7"/>
  <c r="CV132" i="7"/>
  <c r="CV1631" i="7"/>
  <c r="CU1163" i="7"/>
  <c r="CW1163" i="7" s="1"/>
  <c r="CU136" i="7"/>
  <c r="CW136" i="7" s="1"/>
  <c r="CL1627" i="7"/>
  <c r="CL137" i="7"/>
  <c r="CV137" i="7"/>
  <c r="CL1345" i="7"/>
  <c r="CL139" i="7"/>
  <c r="CV139" i="7"/>
  <c r="CL1348" i="7"/>
  <c r="CL1352" i="7"/>
  <c r="CU1354" i="7"/>
  <c r="CW1354" i="7" s="1"/>
  <c r="CL2003" i="7"/>
  <c r="CV2003" i="7"/>
  <c r="CL143" i="7"/>
  <c r="CV143" i="7"/>
  <c r="CU146" i="7"/>
  <c r="CW146" i="7" s="1"/>
  <c r="CL148" i="7"/>
  <c r="CU2013" i="7"/>
  <c r="CW2013" i="7" s="1"/>
  <c r="CL1863" i="7"/>
  <c r="CK1863" i="7"/>
  <c r="CU182" i="7"/>
  <c r="CW182" i="7" s="1"/>
  <c r="CV202" i="7"/>
  <c r="CV221" i="7"/>
  <c r="CV1438" i="7"/>
  <c r="CK232" i="7"/>
  <c r="CK248" i="7"/>
  <c r="CK262" i="7"/>
  <c r="CJ1966" i="7"/>
  <c r="CR1966" i="7" s="1"/>
  <c r="CJ1865" i="7"/>
  <c r="CR1865" i="7" s="1"/>
  <c r="CK1866" i="7"/>
  <c r="CU1797" i="7"/>
  <c r="CW1797" i="7" s="1"/>
  <c r="CJ103" i="7"/>
  <c r="CU1672" i="7"/>
  <c r="CW1672" i="7" s="1"/>
  <c r="CU1982" i="7"/>
  <c r="CW1982" i="7" s="1"/>
  <c r="CJ107" i="7"/>
  <c r="CU112" i="7"/>
  <c r="CW112" i="7" s="1"/>
  <c r="CV1930" i="7"/>
  <c r="CK1869" i="7"/>
  <c r="CL1185" i="7"/>
  <c r="CU1680" i="7"/>
  <c r="CW1680" i="7" s="1"/>
  <c r="CU1313" i="7"/>
  <c r="CW1313" i="7" s="1"/>
  <c r="CU1318" i="7"/>
  <c r="CW1318" i="7" s="1"/>
  <c r="CU1336" i="7"/>
  <c r="CW1336" i="7" s="1"/>
  <c r="CU1339" i="7"/>
  <c r="CW1339" i="7" s="1"/>
  <c r="CV129" i="7"/>
  <c r="CJ130" i="7"/>
  <c r="CJ1784" i="7"/>
  <c r="CV1344" i="7"/>
  <c r="CU142" i="7"/>
  <c r="CW142" i="7" s="1"/>
  <c r="CJ144" i="7"/>
  <c r="CV2004" i="7"/>
  <c r="CJ145" i="7"/>
  <c r="CR145" i="7" s="1"/>
  <c r="CJ147" i="7"/>
  <c r="CK1827" i="7"/>
  <c r="CJ2008" i="7"/>
  <c r="CU152" i="7"/>
  <c r="CW152" i="7" s="1"/>
  <c r="CU156" i="7"/>
  <c r="CW156" i="7" s="1"/>
  <c r="CJ163" i="7"/>
  <c r="CR163" i="7" s="1"/>
  <c r="CJ1771" i="7"/>
  <c r="CR1771" i="7" s="1"/>
  <c r="CK1862" i="7"/>
  <c r="CU42" i="7"/>
  <c r="CW42" i="7" s="1"/>
  <c r="CL1687" i="7"/>
  <c r="CJ1844" i="7"/>
  <c r="CL1370" i="7"/>
  <c r="CL1389" i="7"/>
  <c r="CU2016" i="7"/>
  <c r="CW2016" i="7" s="1"/>
  <c r="CL187" i="7"/>
  <c r="CJ1245" i="7"/>
  <c r="CR1245" i="7" s="1"/>
  <c r="CU77" i="7"/>
  <c r="CW77" i="7" s="1"/>
  <c r="CV2028" i="7"/>
  <c r="CU199" i="7"/>
  <c r="CW199" i="7" s="1"/>
  <c r="CJ203" i="7"/>
  <c r="CU207" i="7"/>
  <c r="CW207" i="7" s="1"/>
  <c r="CJ214" i="7"/>
  <c r="CL214" i="7"/>
  <c r="CJ216" i="7"/>
  <c r="CL216" i="7"/>
  <c r="CV219" i="7"/>
  <c r="CK234" i="7"/>
  <c r="CK264" i="7"/>
  <c r="CV1967" i="7"/>
  <c r="CU1796" i="7"/>
  <c r="CW1796" i="7" s="1"/>
  <c r="CU1798" i="7"/>
  <c r="CW1798" i="7" s="1"/>
  <c r="CV1799" i="7"/>
  <c r="CU1974" i="7"/>
  <c r="CW1974" i="7" s="1"/>
  <c r="CU105" i="7"/>
  <c r="CW105" i="7" s="1"/>
  <c r="CU1978" i="7"/>
  <c r="CW1978" i="7" s="1"/>
  <c r="CU1790" i="7"/>
  <c r="CW1790" i="7" s="1"/>
  <c r="CU1981" i="7"/>
  <c r="CW1981" i="7" s="1"/>
  <c r="CU1675" i="7"/>
  <c r="CW1675" i="7" s="1"/>
  <c r="CL1868" i="7"/>
  <c r="CU1657" i="7"/>
  <c r="CW1657" i="7" s="1"/>
  <c r="CV2034" i="7"/>
  <c r="CU1677" i="7"/>
  <c r="CW1677" i="7" s="1"/>
  <c r="CU1988" i="7"/>
  <c r="CW1988" i="7" s="1"/>
  <c r="CU111" i="7"/>
  <c r="CW111" i="7" s="1"/>
  <c r="CV1161" i="7"/>
  <c r="CU1837" i="7"/>
  <c r="CW1837" i="7" s="1"/>
  <c r="CU1312" i="7"/>
  <c r="CW1312" i="7" s="1"/>
  <c r="CV1681" i="7"/>
  <c r="CU1683" i="7"/>
  <c r="CW1683" i="7" s="1"/>
  <c r="CU121" i="7"/>
  <c r="CW121" i="7" s="1"/>
  <c r="CU1791" i="7"/>
  <c r="CW1791" i="7" s="1"/>
  <c r="CV1315" i="7"/>
  <c r="CU1317" i="7"/>
  <c r="CW1317" i="7" s="1"/>
  <c r="CU1322" i="7"/>
  <c r="CW1322" i="7" s="1"/>
  <c r="CV1323" i="7"/>
  <c r="CU1324" i="7"/>
  <c r="CW1324" i="7" s="1"/>
  <c r="CV1325" i="7"/>
  <c r="CU1329" i="7"/>
  <c r="CW1329" i="7" s="1"/>
  <c r="CU1992" i="7"/>
  <c r="CW1992" i="7" s="1"/>
  <c r="CV1330" i="7"/>
  <c r="CV1331" i="7"/>
  <c r="CU1334" i="7"/>
  <c r="CW1334" i="7" s="1"/>
  <c r="CU1997" i="7"/>
  <c r="CW1997" i="7" s="1"/>
  <c r="CU1335" i="7"/>
  <c r="CW1335" i="7" s="1"/>
  <c r="CU1338" i="7"/>
  <c r="CW1338" i="7" s="1"/>
  <c r="CL1187" i="7"/>
  <c r="CU1800" i="7"/>
  <c r="CW1800" i="7" s="1"/>
  <c r="CJ74" i="7"/>
  <c r="CR74" i="7" s="1"/>
  <c r="CK1784" i="7"/>
  <c r="CU1646" i="7"/>
  <c r="CW1646" i="7" s="1"/>
  <c r="CU135" i="7"/>
  <c r="CW135" i="7" s="1"/>
  <c r="CV1684" i="7"/>
  <c r="CV1343" i="7"/>
  <c r="CU138" i="7"/>
  <c r="CW138" i="7" s="1"/>
  <c r="CV1346" i="7"/>
  <c r="CU1347" i="7"/>
  <c r="CW1347" i="7" s="1"/>
  <c r="CU1349" i="7"/>
  <c r="CW1349" i="7" s="1"/>
  <c r="CU1351" i="7"/>
  <c r="CW1351" i="7" s="1"/>
  <c r="CU141" i="7"/>
  <c r="CW141" i="7" s="1"/>
  <c r="CU1357" i="7"/>
  <c r="CW1357" i="7" s="1"/>
  <c r="CL2004" i="7"/>
  <c r="CL146" i="7"/>
  <c r="CV1359" i="7"/>
  <c r="CV2007" i="7"/>
  <c r="CU1360" i="7"/>
  <c r="CW1360" i="7" s="1"/>
  <c r="CU2010" i="7"/>
  <c r="CW2010" i="7" s="1"/>
  <c r="CK2012" i="7"/>
  <c r="CV2012" i="7"/>
  <c r="CJ149" i="7"/>
  <c r="CK150" i="7"/>
  <c r="CV150" i="7"/>
  <c r="CK153" i="7"/>
  <c r="CJ1923" i="7"/>
  <c r="CK154" i="7"/>
  <c r="CV154" i="7"/>
  <c r="CJ155" i="7"/>
  <c r="CR155" i="7" s="1"/>
  <c r="CK156" i="7"/>
  <c r="CJ157" i="7"/>
  <c r="CR157" i="7" s="1"/>
  <c r="CK158" i="7"/>
  <c r="CV158" i="7"/>
  <c r="CL2013" i="7"/>
  <c r="CU164" i="7"/>
  <c r="CW164" i="7" s="1"/>
  <c r="CK42" i="7"/>
  <c r="CK1361" i="7"/>
  <c r="CV1361" i="7"/>
  <c r="CU1365" i="7"/>
  <c r="CW1365" i="7" s="1"/>
  <c r="CK1366" i="7"/>
  <c r="CK167" i="7"/>
  <c r="CV167" i="7"/>
  <c r="CU1373" i="7"/>
  <c r="CW1373" i="7" s="1"/>
  <c r="CL1374" i="7"/>
  <c r="CK1825" i="7"/>
  <c r="CU1847" i="7"/>
  <c r="CW1847" i="7" s="1"/>
  <c r="CL1376" i="7"/>
  <c r="CU1378" i="7"/>
  <c r="CW1378" i="7" s="1"/>
  <c r="CL76" i="7"/>
  <c r="CU1688" i="7"/>
  <c r="CW1688" i="7" s="1"/>
  <c r="CU1380" i="7"/>
  <c r="CW1380" i="7" s="1"/>
  <c r="CL169" i="7"/>
  <c r="CJ1848" i="7"/>
  <c r="CL1872" i="7"/>
  <c r="CK1872" i="7"/>
  <c r="CJ175" i="7"/>
  <c r="CK5" i="7"/>
  <c r="CJ1386" i="7"/>
  <c r="CK183" i="7"/>
  <c r="CV183" i="7"/>
  <c r="CK1403" i="7"/>
  <c r="CU1405" i="7"/>
  <c r="CW1405" i="7" s="1"/>
  <c r="CL1851" i="7"/>
  <c r="CJ1415" i="7"/>
  <c r="CR1415" i="7" s="1"/>
  <c r="CU1873" i="7"/>
  <c r="CW1873" i="7" s="1"/>
  <c r="CL1874" i="7"/>
  <c r="CK1874" i="7"/>
  <c r="CL1875" i="7"/>
  <c r="CK1875" i="7"/>
  <c r="CK199" i="7"/>
  <c r="CL202" i="7"/>
  <c r="CU1427" i="7"/>
  <c r="CW1427" i="7" s="1"/>
  <c r="CJ204" i="7"/>
  <c r="CK207" i="7"/>
  <c r="CU209" i="7"/>
  <c r="CW209" i="7" s="1"/>
  <c r="CL210" i="7"/>
  <c r="CU1431" i="7"/>
  <c r="CW1431" i="7" s="1"/>
  <c r="CL1432" i="7"/>
  <c r="CL1932" i="7"/>
  <c r="CJ1877" i="7"/>
  <c r="CR1877" i="7" s="1"/>
  <c r="CL1877" i="7"/>
  <c r="CL221" i="7"/>
  <c r="CL1878" i="7"/>
  <c r="CK1878" i="7"/>
  <c r="CL1438" i="7"/>
  <c r="CL1247" i="7"/>
  <c r="CU1440" i="7"/>
  <c r="CW1440" i="7" s="1"/>
  <c r="CL41" i="7"/>
  <c r="CL1452" i="7"/>
  <c r="CJ1456" i="7"/>
  <c r="CR1456" i="7" s="1"/>
  <c r="CL1456" i="7"/>
  <c r="CL1457" i="7"/>
  <c r="CK230" i="7"/>
  <c r="CK241" i="7"/>
  <c r="CK254" i="7"/>
  <c r="CL1968" i="7"/>
  <c r="CV1968" i="7"/>
  <c r="CL1925" i="7"/>
  <c r="CL1794" i="7"/>
  <c r="CU1973" i="7"/>
  <c r="CW1973" i="7" s="1"/>
  <c r="CU1671" i="7"/>
  <c r="CW1671" i="7" s="1"/>
  <c r="CL2032" i="7"/>
  <c r="CL1980" i="7"/>
  <c r="CL69" i="7"/>
  <c r="CL1701" i="7"/>
  <c r="CL1199" i="7"/>
  <c r="CL1310" i="7"/>
  <c r="CL108" i="7"/>
  <c r="CL1987" i="7"/>
  <c r="CL1193" i="7"/>
  <c r="CL1678" i="7"/>
  <c r="CL114" i="7"/>
  <c r="CU1682" i="7"/>
  <c r="CW1682" i="7" s="1"/>
  <c r="CL119" i="7"/>
  <c r="CV119" i="7"/>
  <c r="CL1316" i="7"/>
  <c r="CV1316" i="7"/>
  <c r="CU1319" i="7"/>
  <c r="CW1319" i="7" s="1"/>
  <c r="CV122" i="7"/>
  <c r="CU1326" i="7"/>
  <c r="CW1326" i="7" s="1"/>
  <c r="CL1327" i="7"/>
  <c r="CL1993" i="7"/>
  <c r="CU1332" i="7"/>
  <c r="CW1332" i="7" s="1"/>
  <c r="CL1995" i="7"/>
  <c r="CV128" i="7"/>
  <c r="CL1337" i="7"/>
  <c r="CL1341" i="7"/>
  <c r="CL132" i="7"/>
  <c r="CL1631" i="7"/>
  <c r="CL1838" i="7"/>
  <c r="CL1356" i="7"/>
  <c r="CV1356" i="7"/>
  <c r="CV148" i="7"/>
  <c r="CU1846" i="7"/>
  <c r="CW1846" i="7" s="1"/>
  <c r="CV1932" i="7"/>
  <c r="CV1452" i="7"/>
  <c r="CL1191" i="7"/>
  <c r="CJ1191" i="7"/>
  <c r="CJ1702" i="7"/>
  <c r="CR1702" i="7" s="1"/>
  <c r="CV2008" i="7"/>
  <c r="CU153" i="7"/>
  <c r="CW153" i="7" s="1"/>
  <c r="CL1362" i="7"/>
  <c r="CL1367" i="7"/>
  <c r="CL1372" i="7"/>
  <c r="CL1846" i="7"/>
  <c r="CU1825" i="7"/>
  <c r="CW1825" i="7" s="1"/>
  <c r="CU76" i="7"/>
  <c r="CW76" i="7" s="1"/>
  <c r="CJ76" i="7"/>
  <c r="CR76" i="7" s="1"/>
  <c r="CJ1379" i="7"/>
  <c r="CR1379" i="7" s="1"/>
  <c r="CK1871" i="7"/>
  <c r="CJ170" i="7"/>
  <c r="CR170" i="7" s="1"/>
  <c r="CL6" i="7"/>
  <c r="CU214" i="7"/>
  <c r="CW214" i="7" s="1"/>
  <c r="CV214" i="7"/>
  <c r="CU216" i="7"/>
  <c r="CW216" i="7" s="1"/>
  <c r="CV216" i="7"/>
  <c r="CU1434" i="7"/>
  <c r="CW1434" i="7" s="1"/>
  <c r="CU1934" i="7"/>
  <c r="CW1934" i="7" s="1"/>
  <c r="CV223" i="7"/>
  <c r="CV1879" i="7"/>
  <c r="CJ1189" i="7"/>
  <c r="CU1189" i="7"/>
  <c r="CW1189" i="7" s="1"/>
  <c r="CJ1190" i="7"/>
  <c r="CL1190" i="7"/>
  <c r="CK252" i="7"/>
  <c r="CK260" i="7"/>
  <c r="CL145" i="7"/>
  <c r="CL147" i="7"/>
  <c r="CL1359" i="7"/>
  <c r="CV1827" i="7"/>
  <c r="CJ1632" i="7"/>
  <c r="CR1632" i="7" s="1"/>
  <c r="CL151" i="7"/>
  <c r="CU1164" i="7"/>
  <c r="CW1164" i="7" s="1"/>
  <c r="CU13" i="7"/>
  <c r="CW13" i="7" s="1"/>
  <c r="CL163" i="7"/>
  <c r="CU1771" i="7"/>
  <c r="CW1771" i="7" s="1"/>
  <c r="CU1687" i="7"/>
  <c r="CW1687" i="7" s="1"/>
  <c r="CU1362" i="7"/>
  <c r="CW1362" i="7" s="1"/>
  <c r="CU1364" i="7"/>
  <c r="CW1364" i="7" s="1"/>
  <c r="CL1844" i="7"/>
  <c r="CU1367" i="7"/>
  <c r="CW1367" i="7" s="1"/>
  <c r="CU1369" i="7"/>
  <c r="CW1369" i="7" s="1"/>
  <c r="CV1370" i="7"/>
  <c r="CU1372" i="7"/>
  <c r="CW1372" i="7" s="1"/>
  <c r="CV1846" i="7"/>
  <c r="CL1379" i="7"/>
  <c r="CU1871" i="7"/>
  <c r="CW1871" i="7" s="1"/>
  <c r="CU6" i="7"/>
  <c r="CW6" i="7" s="1"/>
  <c r="CU1382" i="7"/>
  <c r="CW1382" i="7" s="1"/>
  <c r="CL181" i="7"/>
  <c r="CL1689" i="7"/>
  <c r="CL1383" i="7"/>
  <c r="CJ2027" i="7"/>
  <c r="CU1384" i="7"/>
  <c r="CW1384" i="7" s="1"/>
  <c r="CJ1388" i="7"/>
  <c r="CU1389" i="7"/>
  <c r="CW1389" i="7" s="1"/>
  <c r="CU1391" i="7"/>
  <c r="CW1391" i="7" s="1"/>
  <c r="CL1392" i="7"/>
  <c r="CL1393" i="7"/>
  <c r="CU187" i="7"/>
  <c r="CW187" i="7" s="1"/>
  <c r="CL1245" i="7"/>
  <c r="CL1410" i="7"/>
  <c r="CL1412" i="7"/>
  <c r="CL1413" i="7"/>
  <c r="CL2028" i="7"/>
  <c r="CJ191" i="7"/>
  <c r="CK1873" i="7"/>
  <c r="CL1643" i="7"/>
  <c r="CL1419" i="7"/>
  <c r="CL1420" i="7"/>
  <c r="CL1421" i="7"/>
  <c r="CL1426" i="7"/>
  <c r="CJ198" i="7"/>
  <c r="CJ201" i="7"/>
  <c r="CL203" i="7"/>
  <c r="CJ206" i="7"/>
  <c r="CV2020" i="7"/>
  <c r="CU2020" i="7"/>
  <c r="CW2020" i="7" s="1"/>
  <c r="CV212" i="7"/>
  <c r="CL1814" i="7"/>
  <c r="CL219" i="7"/>
  <c r="CU1877" i="7"/>
  <c r="CW1877" i="7" s="1"/>
  <c r="CU222" i="7"/>
  <c r="CW222" i="7" s="1"/>
  <c r="CL1842" i="7"/>
  <c r="CV1442" i="7"/>
  <c r="CL223" i="7"/>
  <c r="CV225" i="7"/>
  <c r="CU1188" i="7"/>
  <c r="CW1188" i="7" s="1"/>
  <c r="CU1190" i="7"/>
  <c r="CW1190" i="7" s="1"/>
  <c r="CU1191" i="7"/>
  <c r="CW1191" i="7" s="1"/>
  <c r="CK268" i="7"/>
  <c r="CK1876" i="7"/>
  <c r="CL1434" i="7"/>
  <c r="CV1434" i="7"/>
  <c r="CL1437" i="7"/>
  <c r="CL1934" i="7"/>
  <c r="CV1934" i="7"/>
  <c r="CL220" i="7"/>
  <c r="CL1439" i="7"/>
  <c r="CL1828" i="7"/>
  <c r="CL1441" i="7"/>
  <c r="CV1441" i="7"/>
  <c r="CL1829" i="7"/>
  <c r="CL1445" i="7"/>
  <c r="CL1448" i="7"/>
  <c r="CV1448" i="7"/>
  <c r="CL1830" i="7"/>
  <c r="CL1450" i="7"/>
  <c r="CL1453" i="7"/>
  <c r="CL1455" i="7"/>
  <c r="CV1455" i="7"/>
  <c r="CL1694" i="7"/>
  <c r="CV1694" i="7"/>
  <c r="CL1200" i="7"/>
  <c r="CV1200" i="7"/>
  <c r="CL1458" i="7"/>
  <c r="CK285" i="7"/>
  <c r="CK286" i="7"/>
  <c r="CK336" i="7"/>
  <c r="CK1467" i="7"/>
  <c r="CK352" i="7"/>
  <c r="CK356" i="7"/>
  <c r="CK376" i="7"/>
  <c r="CK377" i="7"/>
  <c r="CK441" i="7"/>
  <c r="CK463" i="7"/>
  <c r="CK482" i="7"/>
  <c r="CK498" i="7"/>
  <c r="CK503" i="7"/>
  <c r="CK504" i="7"/>
  <c r="CK1481" i="7"/>
  <c r="CK518" i="7"/>
  <c r="CK531" i="7"/>
  <c r="CK536" i="7"/>
  <c r="CK537" i="7"/>
  <c r="CK545" i="7"/>
  <c r="CK549" i="7"/>
  <c r="CK562" i="7"/>
  <c r="CK563" i="7"/>
  <c r="CK630" i="7"/>
  <c r="CK635" i="7"/>
  <c r="CK645" i="7"/>
  <c r="CK655" i="7"/>
  <c r="CK661" i="7"/>
  <c r="CK662" i="7"/>
  <c r="CK667" i="7"/>
  <c r="CK672" i="7"/>
  <c r="CK678" i="7"/>
  <c r="CK679" i="7"/>
  <c r="CK719" i="7"/>
  <c r="CK1500" i="7"/>
  <c r="CK751" i="7"/>
  <c r="CK776" i="7"/>
  <c r="CK779" i="7"/>
  <c r="CK780" i="7"/>
  <c r="CK827" i="7"/>
  <c r="CK863" i="7"/>
  <c r="CK864" i="7"/>
  <c r="CK872" i="7"/>
  <c r="CK1530" i="7"/>
  <c r="CK880" i="7"/>
  <c r="CK914" i="7"/>
  <c r="CK1537" i="7"/>
  <c r="CK920" i="7"/>
  <c r="CK975" i="7"/>
  <c r="CK986" i="7"/>
  <c r="CK1089" i="7"/>
  <c r="CK1618" i="7"/>
  <c r="CJ1207" i="7"/>
  <c r="CR1207" i="7" s="1"/>
  <c r="CL1207" i="7"/>
  <c r="CU1629" i="7"/>
  <c r="CW1629" i="7" s="1"/>
  <c r="CV1629" i="7"/>
  <c r="CU1253" i="7"/>
  <c r="CW1253" i="7" s="1"/>
  <c r="CV1253" i="7"/>
  <c r="CK1712" i="7"/>
  <c r="CL1712" i="7"/>
  <c r="CK66" i="7"/>
  <c r="CV1223" i="7"/>
  <c r="CL1182" i="7"/>
  <c r="CK1264" i="7"/>
  <c r="CK313" i="7"/>
  <c r="CK326" i="7"/>
  <c r="CK331" i="7"/>
  <c r="CK355" i="7"/>
  <c r="CK1472" i="7"/>
  <c r="CK462" i="7"/>
  <c r="CK481" i="7"/>
  <c r="CK484" i="7"/>
  <c r="CK511" i="7"/>
  <c r="CK543" i="7"/>
  <c r="CK544" i="7"/>
  <c r="CK547" i="7"/>
  <c r="CK548" i="7"/>
  <c r="CK553" i="7"/>
  <c r="CK571" i="7"/>
  <c r="CK585" i="7"/>
  <c r="CK615" i="7"/>
  <c r="CK616" i="7"/>
  <c r="CK628" i="7"/>
  <c r="CK629" i="7"/>
  <c r="CK1491" i="7"/>
  <c r="CK686" i="7"/>
  <c r="CK689" i="7"/>
  <c r="CK704" i="7"/>
  <c r="CK705" i="7"/>
  <c r="CK710" i="7"/>
  <c r="CK711" i="7"/>
  <c r="CK723" i="7"/>
  <c r="CK746" i="7"/>
  <c r="CK747" i="7"/>
  <c r="CK756" i="7"/>
  <c r="CK757" i="7"/>
  <c r="CK767" i="7"/>
  <c r="CK1508" i="7"/>
  <c r="CK791" i="7"/>
  <c r="CK795" i="7"/>
  <c r="CK796" i="7"/>
  <c r="CK799" i="7"/>
  <c r="CK831" i="7"/>
  <c r="CK1514" i="7"/>
  <c r="CK1520" i="7"/>
  <c r="CK870" i="7"/>
  <c r="CK871" i="7"/>
  <c r="CK879" i="7"/>
  <c r="CK886" i="7"/>
  <c r="CK916" i="7"/>
  <c r="CK926" i="7"/>
  <c r="CK1542" i="7"/>
  <c r="CK1545" i="7"/>
  <c r="CK1550" i="7"/>
  <c r="CK1558" i="7"/>
  <c r="CK978" i="7"/>
  <c r="CK1571" i="7"/>
  <c r="CK1583" i="7"/>
  <c r="CK1585" i="7"/>
  <c r="CK1039" i="7"/>
  <c r="CK1234" i="7"/>
  <c r="CK1152" i="7"/>
  <c r="CL1221" i="7"/>
  <c r="CJ1221" i="7"/>
  <c r="CR1221" i="7" s="1"/>
  <c r="CK1659" i="7"/>
  <c r="CL1659" i="7"/>
  <c r="CU1748" i="7"/>
  <c r="CW1748" i="7" s="1"/>
  <c r="CV1748" i="7"/>
  <c r="CL53" i="7"/>
  <c r="CJ1260" i="7"/>
  <c r="CR1260" i="7" s="1"/>
  <c r="CU1260" i="7"/>
  <c r="CW1260" i="7" s="1"/>
  <c r="CJ1288" i="7"/>
  <c r="CL1288" i="7"/>
  <c r="CU1863" i="7"/>
  <c r="CW1863" i="7" s="1"/>
  <c r="CU165" i="7"/>
  <c r="CW165" i="7" s="1"/>
  <c r="CU1363" i="7"/>
  <c r="CW1363" i="7" s="1"/>
  <c r="CU1368" i="7"/>
  <c r="CW1368" i="7" s="1"/>
  <c r="CU1371" i="7"/>
  <c r="CW1371" i="7" s="1"/>
  <c r="CU1377" i="7"/>
  <c r="CW1377" i="7" s="1"/>
  <c r="CU170" i="7"/>
  <c r="CW170" i="7" s="1"/>
  <c r="CU172" i="7"/>
  <c r="CW172" i="7" s="1"/>
  <c r="CU1872" i="7"/>
  <c r="CW1872" i="7" s="1"/>
  <c r="CU178" i="7"/>
  <c r="CW178" i="7" s="1"/>
  <c r="CU179" i="7"/>
  <c r="CW179" i="7" s="1"/>
  <c r="CU1689" i="7"/>
  <c r="CW1689" i="7" s="1"/>
  <c r="CU1390" i="7"/>
  <c r="CW1390" i="7" s="1"/>
  <c r="CU1393" i="7"/>
  <c r="CW1393" i="7" s="1"/>
  <c r="CU1400" i="7"/>
  <c r="CW1400" i="7" s="1"/>
  <c r="CU186" i="7"/>
  <c r="CW186" i="7" s="1"/>
  <c r="CU188" i="7"/>
  <c r="CW188" i="7" s="1"/>
  <c r="CU1690" i="7"/>
  <c r="CW1690" i="7" s="1"/>
  <c r="CU1407" i="7"/>
  <c r="CW1407" i="7" s="1"/>
  <c r="CU1413" i="7"/>
  <c r="CW1413" i="7" s="1"/>
  <c r="CU1874" i="7"/>
  <c r="CW1874" i="7" s="1"/>
  <c r="CU1421" i="7"/>
  <c r="CW1421" i="7" s="1"/>
  <c r="CU1875" i="7"/>
  <c r="CW1875" i="7" s="1"/>
  <c r="CU1430" i="7"/>
  <c r="CW1430" i="7" s="1"/>
  <c r="CU1936" i="7"/>
  <c r="CW1936" i="7" s="1"/>
  <c r="CU1691" i="7"/>
  <c r="CW1691" i="7" s="1"/>
  <c r="CU1801" i="7"/>
  <c r="CW1801" i="7" s="1"/>
  <c r="CU226" i="7"/>
  <c r="CW226" i="7" s="1"/>
  <c r="CU1446" i="7"/>
  <c r="CW1446" i="7" s="1"/>
  <c r="CU1451" i="7"/>
  <c r="CW1451" i="7" s="1"/>
  <c r="CU1831" i="7"/>
  <c r="CW1831" i="7" s="1"/>
  <c r="CK1180" i="7"/>
  <c r="CK236" i="7"/>
  <c r="CK242" i="7"/>
  <c r="CK247" i="7"/>
  <c r="CK251" i="7"/>
  <c r="CK255" i="7"/>
  <c r="CK259" i="7"/>
  <c r="CK269" i="7"/>
  <c r="CK273" i="7"/>
  <c r="CK276" i="7"/>
  <c r="CK282" i="7"/>
  <c r="CK1463" i="7"/>
  <c r="CK312" i="7"/>
  <c r="CK315" i="7"/>
  <c r="CK341" i="7"/>
  <c r="CK353" i="7"/>
  <c r="CK354" i="7"/>
  <c r="CK1470" i="7"/>
  <c r="CK362" i="7"/>
  <c r="CK379" i="7"/>
  <c r="CK461" i="7"/>
  <c r="CK1478" i="7"/>
  <c r="CK479" i="7"/>
  <c r="CK480" i="7"/>
  <c r="CK509" i="7"/>
  <c r="CK510" i="7"/>
  <c r="CK525" i="7"/>
  <c r="CK526" i="7"/>
  <c r="CK564" i="7"/>
  <c r="CK594" i="7"/>
  <c r="CK1853" i="7"/>
  <c r="CK610" i="7"/>
  <c r="CK639" i="7"/>
  <c r="CK648" i="7"/>
  <c r="CK701" i="7"/>
  <c r="CK702" i="7"/>
  <c r="CK706" i="7"/>
  <c r="CK712" i="7"/>
  <c r="CK718" i="7"/>
  <c r="CK732" i="7"/>
  <c r="CK733" i="7"/>
  <c r="CK739" i="7"/>
  <c r="CK1499" i="7"/>
  <c r="CK760" i="7"/>
  <c r="CK769" i="7"/>
  <c r="CK789" i="7"/>
  <c r="CK794" i="7"/>
  <c r="CK811" i="7"/>
  <c r="CK825" i="7"/>
  <c r="CK826" i="7"/>
  <c r="CK1855" i="7"/>
  <c r="CK1516" i="7"/>
  <c r="CK849" i="7"/>
  <c r="CK1527" i="7"/>
  <c r="CK861" i="7"/>
  <c r="CK1531" i="7"/>
  <c r="CK901" i="7"/>
  <c r="CK904" i="7"/>
  <c r="CK905" i="7"/>
  <c r="CK909" i="7"/>
  <c r="CK925" i="7"/>
  <c r="CK1547" i="7"/>
  <c r="CK947" i="7"/>
  <c r="CK950" i="7"/>
  <c r="CK954" i="7"/>
  <c r="CK961" i="7"/>
  <c r="CK962" i="7"/>
  <c r="CK1568" i="7"/>
  <c r="CK1007" i="7"/>
  <c r="CK1010" i="7"/>
  <c r="CK1012" i="7"/>
  <c r="CK1026" i="7"/>
  <c r="CK1035" i="7"/>
  <c r="CK1036" i="7"/>
  <c r="CK1042" i="7"/>
  <c r="CK1043" i="7"/>
  <c r="CK1060" i="7"/>
  <c r="CK1607" i="7"/>
  <c r="CK1061" i="7"/>
  <c r="CK1109" i="7"/>
  <c r="CK1117" i="7"/>
  <c r="CK17" i="7"/>
  <c r="CK1859" i="7"/>
  <c r="CU18" i="7"/>
  <c r="CW18" i="7" s="1"/>
  <c r="CV18" i="7"/>
  <c r="CK1697" i="7"/>
  <c r="CL1697" i="7"/>
  <c r="CK274" i="7"/>
  <c r="CK277" i="7"/>
  <c r="CK287" i="7"/>
  <c r="CK302" i="7"/>
  <c r="CK357" i="7"/>
  <c r="CK378" i="7"/>
  <c r="CK421" i="7"/>
  <c r="CK1475" i="7"/>
  <c r="CK459" i="7"/>
  <c r="CK460" i="7"/>
  <c r="CK468" i="7"/>
  <c r="CK1479" i="7"/>
  <c r="CK489" i="7"/>
  <c r="CK490" i="7"/>
  <c r="CK1480" i="7"/>
  <c r="CV1852" i="7"/>
  <c r="CW1852" i="7" s="1"/>
  <c r="CK1852" i="7"/>
  <c r="CK557" i="7"/>
  <c r="CK558" i="7"/>
  <c r="CK1486" i="7"/>
  <c r="CK1487" i="7"/>
  <c r="CK589" i="7"/>
  <c r="CK624" i="7"/>
  <c r="CK687" i="7"/>
  <c r="CK697" i="7"/>
  <c r="CK699" i="7"/>
  <c r="CK762" i="7"/>
  <c r="CK804" i="7"/>
  <c r="CK813" i="7"/>
  <c r="CK1512" i="7"/>
  <c r="CK829" i="7"/>
  <c r="CK842" i="7"/>
  <c r="CK1523" i="7"/>
  <c r="CK1525" i="7"/>
  <c r="CK856" i="7"/>
  <c r="CK860" i="7"/>
  <c r="CK883" i="7"/>
  <c r="CK918" i="7"/>
  <c r="CK928" i="7"/>
  <c r="CK1549" i="7"/>
  <c r="CK942" i="7"/>
  <c r="CK943" i="7"/>
  <c r="CK1553" i="7"/>
  <c r="CK968" i="7"/>
  <c r="CK969" i="7"/>
  <c r="CK1566" i="7"/>
  <c r="CK976" i="7"/>
  <c r="CK991" i="7"/>
  <c r="CV1204" i="7"/>
  <c r="CU1204" i="7"/>
  <c r="CW1204" i="7" s="1"/>
  <c r="CV32" i="7"/>
  <c r="CU32" i="7"/>
  <c r="CW32" i="7" s="1"/>
  <c r="CL32" i="7"/>
  <c r="CK32" i="7"/>
  <c r="CJ1208" i="7"/>
  <c r="CR1208" i="7" s="1"/>
  <c r="CL1208" i="7"/>
  <c r="CJ1628" i="7"/>
  <c r="CR1628" i="7" s="1"/>
  <c r="CU1628" i="7"/>
  <c r="CW1628" i="7" s="1"/>
  <c r="CJ1293" i="7"/>
  <c r="CL1293" i="7"/>
  <c r="CK722" i="7"/>
  <c r="CK1497" i="7"/>
  <c r="CK750" i="7"/>
  <c r="CK818" i="7"/>
  <c r="CK819" i="7"/>
  <c r="CK823" i="7"/>
  <c r="CK824" i="7"/>
  <c r="CK845" i="7"/>
  <c r="CK858" i="7"/>
  <c r="CK877" i="7"/>
  <c r="CK878" i="7"/>
  <c r="CK882" i="7"/>
  <c r="CK885" i="7"/>
  <c r="CK923" i="7"/>
  <c r="CK924" i="7"/>
  <c r="CK1856" i="7"/>
  <c r="CK939" i="7"/>
  <c r="CK1555" i="7"/>
  <c r="CK1561" i="7"/>
  <c r="CK980" i="7"/>
  <c r="CK985" i="7"/>
  <c r="CK1009" i="7"/>
  <c r="CK1584" i="7"/>
  <c r="CK1024" i="7"/>
  <c r="CK1041" i="7"/>
  <c r="CK1605" i="7"/>
  <c r="CK1054" i="7"/>
  <c r="CK1088" i="7"/>
  <c r="CK1617" i="7"/>
  <c r="CK1722" i="7"/>
  <c r="CL1722" i="7"/>
  <c r="CL1727" i="7"/>
  <c r="CU1921" i="7"/>
  <c r="CW1921" i="7" s="1"/>
  <c r="CV1921" i="7"/>
  <c r="CK1708" i="7"/>
  <c r="CK737" i="7"/>
  <c r="CK738" i="7"/>
  <c r="CK1504" i="7"/>
  <c r="CK1507" i="7"/>
  <c r="CK786" i="7"/>
  <c r="CK803" i="7"/>
  <c r="CK809" i="7"/>
  <c r="CK810" i="7"/>
  <c r="CK1509" i="7"/>
  <c r="CK840" i="7"/>
  <c r="CK1521" i="7"/>
  <c r="CK853" i="7"/>
  <c r="CK862" i="7"/>
  <c r="CK881" i="7"/>
  <c r="CK884" i="7"/>
  <c r="CK900" i="7"/>
  <c r="CK1534" i="7"/>
  <c r="CK912" i="7"/>
  <c r="CK913" i="7"/>
  <c r="CK931" i="7"/>
  <c r="CK932" i="7"/>
  <c r="CK941" i="7"/>
  <c r="CK1554" i="7"/>
  <c r="CK959" i="7"/>
  <c r="CK966" i="7"/>
  <c r="CK967" i="7"/>
  <c r="CK1575" i="7"/>
  <c r="CK999" i="7"/>
  <c r="CK1011" i="7"/>
  <c r="CK1013" i="7"/>
  <c r="CK1586" i="7"/>
  <c r="CK1040" i="7"/>
  <c r="CK1048" i="7"/>
  <c r="CK1601" i="7"/>
  <c r="CK1102" i="7"/>
  <c r="CK1110" i="7"/>
  <c r="CK1118" i="7"/>
  <c r="CU1721" i="7"/>
  <c r="CW1721" i="7" s="1"/>
  <c r="CV1721" i="7"/>
  <c r="CK1937" i="7"/>
  <c r="CV1804" i="7"/>
  <c r="CU1804" i="7"/>
  <c r="CW1804" i="7" s="1"/>
  <c r="CK1804" i="7"/>
  <c r="CL1804" i="7"/>
  <c r="CK18" i="7"/>
  <c r="CL18" i="7"/>
  <c r="CU1727" i="7"/>
  <c r="CW1727" i="7" s="1"/>
  <c r="CJ1727" i="7"/>
  <c r="CR1727" i="7" s="1"/>
  <c r="CL1729" i="7"/>
  <c r="CK1729" i="7"/>
  <c r="CV1178" i="7"/>
  <c r="CU1178" i="7"/>
  <c r="CW1178" i="7" s="1"/>
  <c r="CU1939" i="7"/>
  <c r="CW1939" i="7" s="1"/>
  <c r="CJ1939" i="7"/>
  <c r="CR1939" i="7" s="1"/>
  <c r="CK1944" i="7"/>
  <c r="CL1944" i="7"/>
  <c r="CL1628" i="7"/>
  <c r="CU81" i="7"/>
  <c r="CW81" i="7" s="1"/>
  <c r="CV81" i="7"/>
  <c r="CV1895" i="7"/>
  <c r="CU1895" i="7"/>
  <c r="CW1895" i="7" s="1"/>
  <c r="CK1577" i="7"/>
  <c r="CK1003" i="7"/>
  <c r="CK1579" i="7"/>
  <c r="CK1004" i="7"/>
  <c r="CK1016" i="7"/>
  <c r="CK1017" i="7"/>
  <c r="CK1028" i="7"/>
  <c r="CK1594" i="7"/>
  <c r="CK1029" i="7"/>
  <c r="CK1609" i="7"/>
  <c r="CK1079" i="7"/>
  <c r="CK1615" i="7"/>
  <c r="CK1084" i="7"/>
  <c r="CK1085" i="7"/>
  <c r="CK1090" i="7"/>
  <c r="CK1106" i="7"/>
  <c r="CK1114" i="7"/>
  <c r="CK1151" i="7"/>
  <c r="CU1723" i="7"/>
  <c r="CW1723" i="7" s="1"/>
  <c r="CJ1723" i="7"/>
  <c r="CK1249" i="7"/>
  <c r="CL44" i="7"/>
  <c r="CK33" i="7"/>
  <c r="CK1206" i="7"/>
  <c r="CL1206" i="7"/>
  <c r="CU1940" i="7"/>
  <c r="CW1940" i="7" s="1"/>
  <c r="CV1940" i="7"/>
  <c r="CK1941" i="7"/>
  <c r="CL1941" i="7"/>
  <c r="CK1782" i="7"/>
  <c r="CL1782" i="7"/>
  <c r="CJ1883" i="7"/>
  <c r="CU1883" i="7"/>
  <c r="CW1883" i="7" s="1"/>
  <c r="CU1730" i="7"/>
  <c r="CW1730" i="7" s="1"/>
  <c r="CJ1730" i="7"/>
  <c r="CL1227" i="7"/>
  <c r="CK1699" i="7"/>
  <c r="CL1699" i="7"/>
  <c r="CV1900" i="7"/>
  <c r="CU1900" i="7"/>
  <c r="CW1900" i="7" s="1"/>
  <c r="CK998" i="7"/>
  <c r="CK1006" i="7"/>
  <c r="CK1616" i="7"/>
  <c r="CK1105" i="7"/>
  <c r="CK1113" i="7"/>
  <c r="CK1121" i="7"/>
  <c r="CK1132" i="7"/>
  <c r="CK1135" i="7"/>
  <c r="CJ1290" i="7"/>
  <c r="CV1241" i="7"/>
  <c r="CU1241" i="7"/>
  <c r="CW1241" i="7" s="1"/>
  <c r="CN1649" i="7"/>
  <c r="CV1649" i="7"/>
  <c r="CW1649" i="7" s="1"/>
  <c r="CV1942" i="7"/>
  <c r="CU1942" i="7"/>
  <c r="CW1942" i="7" s="1"/>
  <c r="CK1251" i="7"/>
  <c r="CJ1634" i="7"/>
  <c r="CR1634" i="7" s="1"/>
  <c r="CU1634" i="7"/>
  <c r="CW1634" i="7" s="1"/>
  <c r="CU1644" i="7"/>
  <c r="CW1644" i="7" s="1"/>
  <c r="CJ1644" i="7"/>
  <c r="CR1644" i="7" s="1"/>
  <c r="CL1292" i="7"/>
  <c r="CK21" i="7"/>
  <c r="CU1697" i="7"/>
  <c r="CW1697" i="7" s="1"/>
  <c r="CV1697" i="7"/>
  <c r="CK1219" i="7"/>
  <c r="CL1219" i="7"/>
  <c r="CU22" i="7"/>
  <c r="CW22" i="7" s="1"/>
  <c r="CV22" i="7"/>
  <c r="CU1183" i="7"/>
  <c r="CW1183" i="7" s="1"/>
  <c r="CL1183" i="7"/>
  <c r="CK1092" i="7"/>
  <c r="CK1104" i="7"/>
  <c r="CK1112" i="7"/>
  <c r="CK1116" i="7"/>
  <c r="CK1120" i="7"/>
  <c r="CK1150" i="7"/>
  <c r="CL1710" i="7"/>
  <c r="CL1309" i="7"/>
  <c r="CL1205" i="7"/>
  <c r="CU1207" i="7"/>
  <c r="CW1207" i="7" s="1"/>
  <c r="CL1635" i="7"/>
  <c r="CK1945" i="7"/>
  <c r="CK62" i="7"/>
  <c r="CL1821" i="7"/>
  <c r="CK1817" i="7"/>
  <c r="CK1731" i="7"/>
  <c r="CL1731" i="7"/>
  <c r="CK1885" i="7"/>
  <c r="CL1885" i="7"/>
  <c r="CV1227" i="7"/>
  <c r="CV1716" i="7"/>
  <c r="CU1716" i="7"/>
  <c r="CW1716" i="7" s="1"/>
  <c r="CU1888" i="7"/>
  <c r="CW1888" i="7" s="1"/>
  <c r="CL1888" i="7"/>
  <c r="CL1698" i="7"/>
  <c r="CK1896" i="7"/>
  <c r="CL1896" i="7"/>
  <c r="CU1901" i="7"/>
  <c r="CW1901" i="7" s="1"/>
  <c r="CV1901" i="7"/>
  <c r="CJ1666" i="7"/>
  <c r="CL1666" i="7"/>
  <c r="CU1169" i="7"/>
  <c r="CW1169" i="7" s="1"/>
  <c r="CV1169" i="7"/>
  <c r="CK1229" i="7"/>
  <c r="CL1229" i="7"/>
  <c r="CU1170" i="7"/>
  <c r="CW1170" i="7" s="1"/>
  <c r="CV1170" i="7"/>
  <c r="CJ89" i="7"/>
  <c r="CL89" i="7"/>
  <c r="CK1091" i="7"/>
  <c r="CK1093" i="7"/>
  <c r="CK1103" i="7"/>
  <c r="CK1107" i="7"/>
  <c r="CK1111" i="7"/>
  <c r="CK1115" i="7"/>
  <c r="CK1119" i="7"/>
  <c r="CK1149" i="7"/>
  <c r="CL1290" i="7"/>
  <c r="CU1208" i="7"/>
  <c r="CW1208" i="7" s="1"/>
  <c r="CV1941" i="7"/>
  <c r="CU1941" i="7"/>
  <c r="CW1941" i="7" s="1"/>
  <c r="CL1883" i="7"/>
  <c r="CL1634" i="7"/>
  <c r="CK1226" i="7"/>
  <c r="CL1226" i="7"/>
  <c r="CK1884" i="7"/>
  <c r="CL1884" i="7"/>
  <c r="CK1213" i="7"/>
  <c r="CU1714" i="7"/>
  <c r="CW1714" i="7" s="1"/>
  <c r="CL1714" i="7"/>
  <c r="CV1217" i="7"/>
  <c r="CU1217" i="7"/>
  <c r="CW1217" i="7" s="1"/>
  <c r="CU1824" i="7"/>
  <c r="CW1824" i="7" s="1"/>
  <c r="CL1824" i="7"/>
  <c r="CL1894" i="7"/>
  <c r="CK1894" i="7"/>
  <c r="CV1950" i="7"/>
  <c r="CU1950" i="7"/>
  <c r="CW1950" i="7" s="1"/>
  <c r="CV1717" i="7"/>
  <c r="CU1717" i="7"/>
  <c r="CW1717" i="7" s="1"/>
  <c r="CU1734" i="7"/>
  <c r="CW1734" i="7" s="1"/>
  <c r="CV1734" i="7"/>
  <c r="CV82" i="7"/>
  <c r="CU82" i="7"/>
  <c r="CW82" i="7" s="1"/>
  <c r="CK1760" i="7"/>
  <c r="CL1760" i="7"/>
  <c r="CU46" i="7"/>
  <c r="CW46" i="7" s="1"/>
  <c r="CJ46" i="7"/>
  <c r="CU1806" i="7"/>
  <c r="CW1806" i="7" s="1"/>
  <c r="CV1806" i="7"/>
  <c r="CK1806" i="7"/>
  <c r="CL1806" i="7"/>
  <c r="CU30" i="7"/>
  <c r="CW30" i="7" s="1"/>
  <c r="CU1710" i="7"/>
  <c r="CW1710" i="7" s="1"/>
  <c r="CU1205" i="7"/>
  <c r="CW1205" i="7" s="1"/>
  <c r="CU1240" i="7"/>
  <c r="CW1240" i="7" s="1"/>
  <c r="CU80" i="7"/>
  <c r="CW80" i="7" s="1"/>
  <c r="CU1637" i="7"/>
  <c r="CW1637" i="7" s="1"/>
  <c r="CU1167" i="7"/>
  <c r="CW1167" i="7" s="1"/>
  <c r="CU1713" i="7"/>
  <c r="CW1713" i="7" s="1"/>
  <c r="CK2030" i="7"/>
  <c r="CU1210" i="7"/>
  <c r="CW1210" i="7" s="1"/>
  <c r="CU1756" i="7"/>
  <c r="CW1756" i="7" s="1"/>
  <c r="CU2036" i="7"/>
  <c r="CW2036" i="7" s="1"/>
  <c r="CU1654" i="7"/>
  <c r="CW1654" i="7" s="1"/>
  <c r="CK1639" i="7"/>
  <c r="CU1732" i="7"/>
  <c r="CW1732" i="7" s="1"/>
  <c r="CV1732" i="7"/>
  <c r="CU1215" i="7"/>
  <c r="CW1215" i="7" s="1"/>
  <c r="CU1947" i="7"/>
  <c r="CW1947" i="7" s="1"/>
  <c r="CU1698" i="7"/>
  <c r="CW1698" i="7" s="1"/>
  <c r="CU1890" i="7"/>
  <c r="CW1890" i="7" s="1"/>
  <c r="CU1893" i="7"/>
  <c r="CW1893" i="7" s="1"/>
  <c r="CL1948" i="7"/>
  <c r="CJ1758" i="7"/>
  <c r="CR1758" i="7" s="1"/>
  <c r="CL1758" i="7"/>
  <c r="CU1222" i="7"/>
  <c r="CW1222" i="7" s="1"/>
  <c r="CJ1222" i="7"/>
  <c r="CR1222" i="7" s="1"/>
  <c r="CL34" i="7"/>
  <c r="CK34" i="7"/>
  <c r="CK1906" i="7"/>
  <c r="CL1906" i="7"/>
  <c r="CK1254" i="7"/>
  <c r="CL1668" i="7"/>
  <c r="CU1668" i="7"/>
  <c r="CW1668" i="7" s="1"/>
  <c r="CK63" i="7"/>
  <c r="CL63" i="7"/>
  <c r="CV100" i="7"/>
  <c r="CU100" i="7"/>
  <c r="CW100" i="7" s="1"/>
  <c r="CU1229" i="7"/>
  <c r="CW1229" i="7" s="1"/>
  <c r="CV1229" i="7"/>
  <c r="CJ1910" i="7"/>
  <c r="CU1910" i="7"/>
  <c r="CW1910" i="7" s="1"/>
  <c r="CK1913" i="7"/>
  <c r="CU1789" i="7"/>
  <c r="CW1789" i="7" s="1"/>
  <c r="CV1789" i="7"/>
  <c r="CK1789" i="7"/>
  <c r="CL1789" i="7"/>
  <c r="CL1939" i="7"/>
  <c r="CU1820" i="7"/>
  <c r="CW1820" i="7" s="1"/>
  <c r="CL1882" i="7"/>
  <c r="CL1730" i="7"/>
  <c r="CL1644" i="7"/>
  <c r="CU1293" i="7"/>
  <c r="CW1293" i="7" s="1"/>
  <c r="CU1711" i="7"/>
  <c r="CW1711" i="7" s="1"/>
  <c r="CL1711" i="7"/>
  <c r="CU1821" i="7"/>
  <c r="CW1821" i="7" s="1"/>
  <c r="CU1212" i="7"/>
  <c r="CW1212" i="7" s="1"/>
  <c r="CL1212" i="7"/>
  <c r="CU1884" i="7"/>
  <c r="CW1884" i="7" s="1"/>
  <c r="CU1822" i="7"/>
  <c r="CW1822" i="7" s="1"/>
  <c r="CL1822" i="7"/>
  <c r="CU1886" i="7"/>
  <c r="CW1886" i="7" s="1"/>
  <c r="CL1886" i="7"/>
  <c r="CU1700" i="7"/>
  <c r="CW1700" i="7" s="1"/>
  <c r="CL1700" i="7"/>
  <c r="CL1897" i="7"/>
  <c r="CL1300" i="7"/>
  <c r="CU1913" i="7"/>
  <c r="CW1913" i="7" s="1"/>
  <c r="CV1913" i="7"/>
  <c r="CU91" i="7"/>
  <c r="CW91" i="7" s="1"/>
  <c r="CJ91" i="7"/>
  <c r="CK1252" i="7"/>
  <c r="CU1252" i="7"/>
  <c r="CW1252" i="7" s="1"/>
  <c r="CK1711" i="7"/>
  <c r="CK1653" i="7"/>
  <c r="CK1212" i="7"/>
  <c r="CK1886" i="7"/>
  <c r="CK1714" i="7"/>
  <c r="CK1802" i="7"/>
  <c r="CK1888" i="7"/>
  <c r="CK1700" i="7"/>
  <c r="CK1228" i="7"/>
  <c r="CK1892" i="7"/>
  <c r="CU1892" i="7"/>
  <c r="CW1892" i="7" s="1"/>
  <c r="CU1897" i="7"/>
  <c r="CW1897" i="7" s="1"/>
  <c r="CU1902" i="7"/>
  <c r="CW1902" i="7" s="1"/>
  <c r="CU1760" i="7"/>
  <c r="CW1760" i="7" s="1"/>
  <c r="CV1760" i="7"/>
  <c r="CK1720" i="7"/>
  <c r="CK1741" i="7"/>
  <c r="CL1741" i="7"/>
  <c r="CV1742" i="7"/>
  <c r="CU1742" i="7"/>
  <c r="CW1742" i="7" s="1"/>
  <c r="CK1742" i="7"/>
  <c r="CL1742" i="7"/>
  <c r="CK27" i="7"/>
  <c r="CL27" i="7"/>
  <c r="CU39" i="7"/>
  <c r="CW39" i="7" s="1"/>
  <c r="CJ39" i="7"/>
  <c r="CK1744" i="7"/>
  <c r="CV1807" i="7"/>
  <c r="CU1807" i="7"/>
  <c r="CW1807" i="7" s="1"/>
  <c r="CK1807" i="7"/>
  <c r="CL1807" i="7"/>
  <c r="CK11" i="7"/>
  <c r="CL11" i="7"/>
  <c r="CJ1765" i="7"/>
  <c r="CR1765" i="7" s="1"/>
  <c r="CU1765" i="7"/>
  <c r="CW1765" i="7" s="1"/>
  <c r="CL1952" i="7"/>
  <c r="CL2037" i="7"/>
  <c r="CU1221" i="7"/>
  <c r="CW1221" i="7" s="1"/>
  <c r="CU1735" i="7"/>
  <c r="CW1735" i="7" s="1"/>
  <c r="CL1735" i="7"/>
  <c r="CU1669" i="7"/>
  <c r="CW1669" i="7" s="1"/>
  <c r="CJ1669" i="7"/>
  <c r="CR1669" i="7" s="1"/>
  <c r="CK1169" i="7"/>
  <c r="CL1169" i="7"/>
  <c r="CV1955" i="7"/>
  <c r="CL1297" i="7"/>
  <c r="CK1910" i="7"/>
  <c r="CL1910" i="7"/>
  <c r="CL46" i="7"/>
  <c r="CL85" i="7"/>
  <c r="CL1772" i="7"/>
  <c r="CU1957" i="7"/>
  <c r="CW1957" i="7" s="1"/>
  <c r="CV1957" i="7"/>
  <c r="CK1833" i="7"/>
  <c r="CK1172" i="7"/>
  <c r="CL1172" i="7"/>
  <c r="CK1750" i="7"/>
  <c r="CU1755" i="7"/>
  <c r="CW1755" i="7" s="1"/>
  <c r="CV1755" i="7"/>
  <c r="CV1735" i="7"/>
  <c r="CL100" i="7"/>
  <c r="CL1759" i="7"/>
  <c r="CJ1761" i="7"/>
  <c r="CK1740" i="7"/>
  <c r="CU1912" i="7"/>
  <c r="CW1912" i="7" s="1"/>
  <c r="CV1912" i="7"/>
  <c r="CU85" i="7"/>
  <c r="CW85" i="7" s="1"/>
  <c r="CV85" i="7"/>
  <c r="CU14" i="7"/>
  <c r="CW14" i="7" s="1"/>
  <c r="CL14" i="7"/>
  <c r="CU1772" i="7"/>
  <c r="CW1772" i="7" s="1"/>
  <c r="CV1772" i="7"/>
  <c r="CU89" i="7"/>
  <c r="CW89" i="7" s="1"/>
  <c r="CV89" i="7"/>
  <c r="CK1959" i="7"/>
  <c r="CL1302" i="7"/>
  <c r="CK1256" i="7"/>
  <c r="CL1260" i="7"/>
  <c r="CK1260" i="7"/>
  <c r="CL1766" i="7"/>
  <c r="CJ1284" i="7"/>
  <c r="CL1284" i="7"/>
  <c r="CJ1880" i="7"/>
  <c r="CR1880" i="7" s="1"/>
  <c r="CU1630" i="7"/>
  <c r="CW1630" i="7" s="1"/>
  <c r="CV1915" i="7"/>
  <c r="CK1819" i="7"/>
  <c r="CL92" i="7"/>
  <c r="CV97" i="7"/>
  <c r="CU97" i="7"/>
  <c r="CW97" i="7" s="1"/>
  <c r="CK1718" i="7"/>
  <c r="CK14" i="7"/>
  <c r="CK86" i="7"/>
  <c r="CU86" i="7"/>
  <c r="CW86" i="7" s="1"/>
  <c r="CK88" i="7"/>
  <c r="CU88" i="7"/>
  <c r="CW88" i="7" s="1"/>
  <c r="CK90" i="7"/>
  <c r="CU90" i="7"/>
  <c r="CW90" i="7" s="1"/>
  <c r="CU1172" i="7"/>
  <c r="CW1172" i="7" s="1"/>
  <c r="CU1775" i="7"/>
  <c r="CW1775" i="7" s="1"/>
  <c r="CL1235" i="7"/>
  <c r="CJ1235" i="7"/>
  <c r="CR1235" i="7" s="1"/>
  <c r="CL94" i="7"/>
  <c r="CL51" i="7"/>
  <c r="CK1622" i="7"/>
  <c r="CL91" i="7"/>
  <c r="CV1810" i="7"/>
  <c r="CU1810" i="7"/>
  <c r="CW1810" i="7" s="1"/>
  <c r="CJ1775" i="7"/>
  <c r="CL1775" i="7"/>
  <c r="CV94" i="7"/>
  <c r="CU94" i="7"/>
  <c r="CW94" i="7" s="1"/>
  <c r="CL1765" i="7"/>
  <c r="CU1262" i="7"/>
  <c r="CW1262" i="7" s="1"/>
  <c r="CK1262" i="7"/>
  <c r="CL1262" i="7"/>
  <c r="CV1263" i="7"/>
  <c r="CU1263" i="7"/>
  <c r="CW1263" i="7" s="1"/>
  <c r="CL98" i="7"/>
  <c r="CL1748" i="7"/>
  <c r="CK1749" i="7"/>
  <c r="CU1749" i="7"/>
  <c r="CW1749" i="7" s="1"/>
  <c r="CU10" i="7"/>
  <c r="CW10" i="7" s="1"/>
  <c r="CU11" i="7"/>
  <c r="CW11" i="7" s="1"/>
  <c r="CV1645" i="7"/>
  <c r="CL1961" i="7"/>
  <c r="CK1961" i="7"/>
  <c r="CK1770" i="7"/>
  <c r="CU1195" i="7"/>
  <c r="CW1195" i="7" s="1"/>
  <c r="CV1754" i="7"/>
  <c r="CU1754" i="7"/>
  <c r="CW1754" i="7" s="1"/>
  <c r="CJ1960" i="7"/>
  <c r="CL1763" i="7"/>
  <c r="CK1696" i="7"/>
  <c r="CL1305" i="7"/>
  <c r="CL96" i="7"/>
  <c r="CL97" i="7"/>
  <c r="CL1173" i="7"/>
  <c r="CJ1272" i="7"/>
  <c r="CL1272" i="7"/>
  <c r="CK93" i="7"/>
  <c r="CU93" i="7"/>
  <c r="CW93" i="7" s="1"/>
  <c r="CK96" i="7"/>
  <c r="CU96" i="7"/>
  <c r="CW96" i="7" s="1"/>
  <c r="CL54" i="7"/>
  <c r="CL1306" i="7"/>
  <c r="CL1307" i="7"/>
  <c r="CK1259" i="7"/>
  <c r="CK1752" i="7"/>
  <c r="CJ1276" i="7"/>
  <c r="CL1276" i="7"/>
  <c r="CL1754" i="7"/>
  <c r="CJ1280" i="7"/>
  <c r="CL1280" i="7"/>
  <c r="CK1754" i="7"/>
  <c r="CK1173" i="7"/>
  <c r="CU1173" i="7"/>
  <c r="CW1173" i="7" s="1"/>
  <c r="CJ1964" i="7"/>
  <c r="CR1964" i="7" s="1"/>
  <c r="CJ1920" i="7"/>
  <c r="CR1920" i="7" s="1"/>
  <c r="CJ2024" i="7"/>
  <c r="CR2024" i="7" s="1"/>
  <c r="CJ1826" i="7"/>
  <c r="CR1826" i="7" s="1"/>
  <c r="CJ2021" i="7"/>
  <c r="CR2021" i="7" s="1"/>
  <c r="CJ1655" i="7"/>
  <c r="CR1655" i="7" s="1"/>
  <c r="CJ1656" i="7"/>
  <c r="CR1656" i="7" s="1"/>
  <c r="CJ99" i="7"/>
  <c r="CR99" i="7" s="1"/>
  <c r="CU1655" i="7"/>
  <c r="CW1655" i="7" s="1"/>
  <c r="AF2010" i="1" l="1"/>
  <c r="AF2009" i="1"/>
  <c r="AF2008" i="1"/>
  <c r="AF2005" i="1"/>
  <c r="AF1999" i="1"/>
  <c r="AF1998" i="1"/>
  <c r="AF1997" i="1"/>
  <c r="AF1995" i="1"/>
  <c r="AF1994" i="1"/>
  <c r="AF1973" i="1"/>
  <c r="AF1972" i="1"/>
  <c r="AF1971" i="1"/>
  <c r="AF1970" i="1"/>
  <c r="AF1969" i="1"/>
  <c r="AF1968" i="1"/>
  <c r="AF1967" i="1"/>
  <c r="AF1964" i="1"/>
  <c r="AF1963" i="1"/>
  <c r="AF1962" i="1"/>
  <c r="AF1961" i="1"/>
  <c r="AF1958" i="1"/>
  <c r="AF1956" i="1"/>
  <c r="AF1955" i="1"/>
  <c r="AF1954" i="1"/>
  <c r="AF1953" i="1"/>
  <c r="AF1952" i="1"/>
  <c r="AF1951" i="1"/>
  <c r="AF1950" i="1"/>
  <c r="AF1949" i="1"/>
  <c r="AF1948" i="1"/>
  <c r="AF1946" i="1"/>
  <c r="AF1945" i="1"/>
  <c r="AF1944" i="1"/>
  <c r="AF1943" i="1"/>
  <c r="AF1942" i="1"/>
  <c r="AF1940" i="1"/>
  <c r="AF1936" i="1"/>
  <c r="AF1934" i="1"/>
  <c r="AF1933" i="1"/>
  <c r="AF1931" i="1"/>
  <c r="AF1930" i="1"/>
  <c r="AF1929" i="1"/>
  <c r="AF1927" i="1"/>
  <c r="AF1926" i="1"/>
  <c r="AF1923" i="1"/>
  <c r="AF1922" i="1"/>
  <c r="AF1921" i="1"/>
  <c r="AF1920" i="1"/>
  <c r="AF1919" i="1"/>
  <c r="AF1918" i="1"/>
  <c r="AF1916" i="1"/>
  <c r="AF1915" i="1"/>
  <c r="AF1912" i="1"/>
  <c r="AF1911" i="1"/>
  <c r="AF1910" i="1"/>
  <c r="AF1909" i="1"/>
  <c r="AF1908" i="1"/>
  <c r="AF1907" i="1"/>
  <c r="AF1906" i="1"/>
  <c r="AF1905" i="1"/>
  <c r="AF1904" i="1"/>
  <c r="AF1903" i="1"/>
  <c r="AF1902" i="1"/>
  <c r="AF1901" i="1"/>
  <c r="AF1900" i="1"/>
  <c r="AF1898" i="1"/>
  <c r="AF1897" i="1"/>
  <c r="AF1896" i="1"/>
  <c r="AF1895" i="1"/>
  <c r="AF1894" i="1"/>
  <c r="AF1893" i="1"/>
  <c r="AF1892" i="1"/>
  <c r="AF1891" i="1"/>
  <c r="AF1890" i="1"/>
  <c r="AF1888" i="1"/>
  <c r="AF1886" i="1"/>
  <c r="AF1885" i="1"/>
  <c r="AF1884" i="1"/>
  <c r="AF1883" i="1"/>
  <c r="AF1882" i="1"/>
  <c r="AF1881" i="1"/>
  <c r="AF1880" i="1"/>
  <c r="AF1879" i="1"/>
  <c r="AF1878" i="1"/>
  <c r="AF1877" i="1"/>
  <c r="AF1876" i="1"/>
  <c r="AF1875" i="1"/>
  <c r="AF1874" i="1"/>
  <c r="AF1873" i="1"/>
  <c r="AF1871" i="1"/>
  <c r="AF1869" i="1"/>
  <c r="AF1868" i="1"/>
  <c r="AF1867" i="1"/>
  <c r="AF1866" i="1"/>
  <c r="AF1865" i="1"/>
  <c r="AF1864" i="1"/>
  <c r="AF1863" i="1"/>
  <c r="AF1862" i="1"/>
  <c r="AF1861" i="1"/>
  <c r="AF1860" i="1"/>
  <c r="AF1859" i="1"/>
  <c r="AF1858" i="1"/>
  <c r="AF1857" i="1"/>
  <c r="AF1856" i="1"/>
  <c r="AF1855" i="1"/>
  <c r="AF1854" i="1"/>
  <c r="AF1853" i="1"/>
  <c r="AF1852" i="1"/>
  <c r="AF1851" i="1"/>
  <c r="AF1850" i="1"/>
  <c r="AF1849" i="1"/>
  <c r="AF1848" i="1"/>
  <c r="AF1847" i="1"/>
  <c r="AF1846" i="1"/>
  <c r="AF1845" i="1"/>
  <c r="AF1844" i="1"/>
  <c r="AF1843" i="1"/>
  <c r="AF1842" i="1"/>
  <c r="AF1841" i="1"/>
  <c r="AF1840" i="1"/>
  <c r="AF1839" i="1"/>
  <c r="AF1837" i="1"/>
  <c r="AF1836" i="1"/>
  <c r="AF1835" i="1"/>
  <c r="AF1834" i="1"/>
  <c r="AF1833" i="1"/>
  <c r="AF1832" i="1"/>
  <c r="AF1831" i="1"/>
  <c r="AF1830" i="1"/>
  <c r="AF1829" i="1"/>
  <c r="AF1828" i="1"/>
  <c r="AF1827" i="1"/>
  <c r="AF1826" i="1"/>
  <c r="AF1825" i="1"/>
  <c r="AF1824" i="1"/>
  <c r="AF1822" i="1"/>
  <c r="AF1821" i="1"/>
  <c r="AF1820" i="1"/>
  <c r="AF1819" i="1"/>
  <c r="AF1818" i="1"/>
  <c r="AF1817" i="1"/>
  <c r="AF1816" i="1"/>
  <c r="AF1815" i="1"/>
  <c r="AF1814" i="1"/>
  <c r="AF1813" i="1"/>
  <c r="AF1812" i="1"/>
  <c r="AF1811" i="1"/>
  <c r="AF1810" i="1"/>
  <c r="AF1809" i="1"/>
  <c r="AF1808" i="1"/>
  <c r="AF1807" i="1"/>
  <c r="AF1806" i="1"/>
  <c r="AF1805" i="1"/>
  <c r="AF1804" i="1"/>
  <c r="AF1803" i="1"/>
  <c r="AF1802" i="1"/>
  <c r="AF1801" i="1"/>
  <c r="AF1800" i="1"/>
  <c r="AF1799" i="1"/>
  <c r="AF1798" i="1"/>
  <c r="AF1797" i="1"/>
  <c r="AF1796" i="1"/>
  <c r="AF1795" i="1"/>
  <c r="AF1794" i="1"/>
  <c r="AF1793" i="1"/>
  <c r="AF1792" i="1"/>
  <c r="AF1791" i="1"/>
  <c r="AF1790" i="1"/>
  <c r="AF1789" i="1"/>
  <c r="AF1788" i="1"/>
  <c r="AF1787" i="1"/>
  <c r="AF1786" i="1"/>
  <c r="AF1785" i="1"/>
  <c r="AF1784" i="1"/>
  <c r="AF1783" i="1"/>
  <c r="AF1782" i="1"/>
  <c r="AF1781" i="1"/>
  <c r="AF1780" i="1"/>
  <c r="AF1779" i="1"/>
  <c r="AF1778" i="1"/>
  <c r="AF1777" i="1"/>
  <c r="AF1776" i="1"/>
  <c r="AF1775" i="1"/>
  <c r="AF1774" i="1"/>
  <c r="AF1772" i="1"/>
  <c r="AF1771" i="1"/>
  <c r="AF1770" i="1"/>
  <c r="AF1769" i="1"/>
  <c r="AF1768" i="1"/>
  <c r="AF1767" i="1"/>
  <c r="AF1766" i="1"/>
  <c r="AF1765" i="1"/>
  <c r="AF1764" i="1"/>
  <c r="AF1763" i="1"/>
  <c r="AF1762" i="1"/>
  <c r="AF1761" i="1"/>
  <c r="AF1760" i="1"/>
  <c r="AF1759" i="1"/>
  <c r="AF1758" i="1"/>
  <c r="AF1757" i="1"/>
  <c r="AF1756" i="1"/>
  <c r="AF1755" i="1"/>
  <c r="AF1754" i="1"/>
  <c r="AF1753" i="1"/>
  <c r="AF1752" i="1"/>
  <c r="AF1751" i="1"/>
  <c r="AF1750" i="1"/>
  <c r="AF1749" i="1"/>
  <c r="AF1748" i="1"/>
  <c r="AF1747" i="1"/>
  <c r="AF1746" i="1"/>
  <c r="AF1745" i="1"/>
  <c r="AF1744" i="1"/>
  <c r="AF1743" i="1"/>
  <c r="AF1742" i="1"/>
  <c r="AF1741" i="1"/>
  <c r="AF1740" i="1"/>
  <c r="AF1739" i="1"/>
  <c r="AF1738" i="1"/>
  <c r="AF1737" i="1"/>
  <c r="AF1736" i="1"/>
  <c r="AF1735" i="1"/>
  <c r="AF1734" i="1"/>
  <c r="AF1733" i="1"/>
  <c r="AF1732" i="1"/>
  <c r="AF1731" i="1"/>
  <c r="AF1730" i="1"/>
  <c r="AF1729" i="1"/>
  <c r="AF1728" i="1"/>
  <c r="AF1727" i="1"/>
  <c r="AF1726" i="1"/>
  <c r="AF1725" i="1"/>
  <c r="AF1724" i="1"/>
  <c r="AF1723" i="1"/>
  <c r="AF1722" i="1"/>
  <c r="AF1721" i="1"/>
  <c r="AF1720" i="1"/>
  <c r="AF1719" i="1"/>
  <c r="AF1718" i="1"/>
  <c r="AF1717" i="1"/>
  <c r="AF1716" i="1"/>
  <c r="AF1715" i="1"/>
  <c r="AF1714" i="1"/>
  <c r="AF1713" i="1"/>
  <c r="AF1712" i="1"/>
  <c r="AF1711" i="1"/>
  <c r="AF1710" i="1"/>
  <c r="AF1709" i="1"/>
  <c r="AF1708" i="1"/>
  <c r="AF1707" i="1"/>
  <c r="AF1706" i="1"/>
  <c r="AF1705" i="1"/>
  <c r="AF1704" i="1"/>
  <c r="AF1703" i="1"/>
  <c r="AF1702" i="1"/>
  <c r="AF1701" i="1"/>
  <c r="AF1700" i="1"/>
  <c r="AF1699" i="1"/>
  <c r="AF1698" i="1"/>
  <c r="AF1697" i="1"/>
  <c r="AF1696" i="1"/>
  <c r="AF1695" i="1"/>
  <c r="AF1694" i="1"/>
  <c r="AF1693" i="1"/>
  <c r="AF1692" i="1"/>
  <c r="AF1691" i="1"/>
  <c r="AF1690" i="1"/>
  <c r="AF1689" i="1"/>
  <c r="AF1688" i="1"/>
  <c r="AF1687" i="1"/>
  <c r="AF1686" i="1"/>
  <c r="AF1685" i="1"/>
  <c r="AF1684" i="1"/>
  <c r="AF1683" i="1"/>
  <c r="AF1682" i="1"/>
  <c r="AF1681" i="1"/>
  <c r="AF1680" i="1"/>
  <c r="AF1679" i="1"/>
  <c r="AF1678" i="1"/>
  <c r="AF1677" i="1"/>
  <c r="AF1676" i="1"/>
  <c r="AF1675" i="1"/>
  <c r="AF1674" i="1"/>
  <c r="AF1673" i="1"/>
  <c r="AF1672" i="1"/>
  <c r="AF1671" i="1"/>
  <c r="AF1670" i="1"/>
  <c r="AF1669" i="1"/>
  <c r="AF1668" i="1"/>
  <c r="AF1667" i="1"/>
  <c r="AF1666" i="1"/>
  <c r="AF1665" i="1"/>
  <c r="AF1664" i="1"/>
  <c r="AF1663" i="1"/>
  <c r="AF1662" i="1"/>
  <c r="AF1661" i="1"/>
  <c r="AF1660" i="1"/>
  <c r="AF1659" i="1"/>
  <c r="AF1658" i="1"/>
  <c r="AF1657" i="1"/>
  <c r="AF1656" i="1"/>
  <c r="AF1655" i="1"/>
  <c r="AF1654" i="1"/>
  <c r="AF1653" i="1"/>
  <c r="AF1652" i="1"/>
  <c r="AF1651" i="1"/>
  <c r="AF1650" i="1"/>
  <c r="AF1649" i="1"/>
  <c r="AF1648" i="1"/>
  <c r="AF1647" i="1"/>
  <c r="AF1646" i="1"/>
  <c r="AF1645" i="1"/>
  <c r="AF1644" i="1"/>
  <c r="AF1643" i="1"/>
  <c r="AF1642" i="1"/>
  <c r="AF1641" i="1"/>
  <c r="AF1640" i="1"/>
  <c r="AF1639" i="1"/>
  <c r="AF1638" i="1"/>
  <c r="AF1637" i="1"/>
  <c r="AF1636" i="1"/>
  <c r="AF1635" i="1"/>
  <c r="AF1634" i="1"/>
  <c r="AF1633" i="1"/>
  <c r="AF1632" i="1"/>
  <c r="AF1631" i="1"/>
  <c r="AF1630" i="1"/>
  <c r="AF1629" i="1"/>
  <c r="AF1628" i="1"/>
  <c r="AF1627" i="1"/>
  <c r="AF1626" i="1"/>
  <c r="AF1625" i="1"/>
  <c r="AF1624" i="1"/>
  <c r="AF1623" i="1"/>
  <c r="AF1622" i="1"/>
  <c r="AF1621" i="1"/>
  <c r="AF1620" i="1"/>
  <c r="AF1619" i="1"/>
  <c r="AF1618" i="1"/>
  <c r="AF1617" i="1"/>
  <c r="AF1616" i="1"/>
  <c r="AF1615" i="1"/>
  <c r="AF1614" i="1"/>
  <c r="AF1613" i="1"/>
  <c r="AF1612" i="1"/>
  <c r="AF1611" i="1"/>
  <c r="AF1610" i="1"/>
  <c r="AF1609" i="1"/>
  <c r="AF1608" i="1"/>
  <c r="AF1607" i="1"/>
  <c r="AF1606" i="1"/>
  <c r="AF1605" i="1"/>
  <c r="AF1604" i="1"/>
  <c r="AF1603" i="1"/>
  <c r="AF1602" i="1"/>
  <c r="AF1601" i="1"/>
  <c r="AF1600" i="1"/>
  <c r="AF1599" i="1"/>
  <c r="AF1598" i="1"/>
  <c r="AF1597" i="1"/>
  <c r="AF1596" i="1"/>
  <c r="AF1595" i="1"/>
  <c r="AF1594" i="1"/>
  <c r="AF1593" i="1"/>
  <c r="AF1592" i="1"/>
  <c r="AF1591" i="1"/>
  <c r="AF1590" i="1"/>
  <c r="AF1589" i="1"/>
  <c r="AF1588" i="1"/>
  <c r="AF1587" i="1"/>
  <c r="AF1586" i="1"/>
  <c r="AF1585" i="1"/>
  <c r="AF1584" i="1"/>
  <c r="AF1583" i="1"/>
  <c r="AF1582" i="1"/>
  <c r="AF1581" i="1"/>
  <c r="AF1580" i="1"/>
  <c r="AF1579" i="1"/>
  <c r="AF1578" i="1"/>
  <c r="AF1577" i="1"/>
  <c r="AF1576" i="1"/>
  <c r="AF1575" i="1"/>
  <c r="AF1574" i="1"/>
  <c r="AF1573" i="1"/>
  <c r="AF1572" i="1"/>
  <c r="AF1571" i="1"/>
  <c r="AF1570" i="1"/>
  <c r="AF1569" i="1"/>
  <c r="AF1568" i="1"/>
  <c r="AF1567" i="1"/>
  <c r="AF1566" i="1"/>
  <c r="AF1565" i="1"/>
  <c r="AF1564" i="1"/>
  <c r="AF1563" i="1"/>
  <c r="AF1562" i="1"/>
  <c r="AF1560" i="1"/>
  <c r="AF1559" i="1"/>
  <c r="AF1558" i="1"/>
  <c r="AF1557" i="1"/>
  <c r="AF1556" i="1"/>
  <c r="AF1555" i="1"/>
  <c r="AF1554" i="1"/>
  <c r="AF1553" i="1"/>
  <c r="AF1552" i="1"/>
  <c r="AF1551" i="1"/>
  <c r="AF1550" i="1"/>
  <c r="AF1549" i="1"/>
  <c r="AF1548" i="1"/>
  <c r="AF1547" i="1"/>
  <c r="AF1546" i="1"/>
  <c r="AF1545" i="1"/>
  <c r="AF1544" i="1"/>
  <c r="AF1543" i="1"/>
  <c r="AF1542" i="1"/>
  <c r="AF1541" i="1"/>
  <c r="AF1540" i="1"/>
  <c r="AF1539" i="1"/>
  <c r="AF1538" i="1"/>
  <c r="AF1537" i="1"/>
  <c r="AF1536" i="1"/>
  <c r="AF1535" i="1"/>
  <c r="AF1534" i="1"/>
  <c r="AF1533" i="1"/>
  <c r="AF1532" i="1"/>
  <c r="AF1531" i="1"/>
  <c r="AF1530" i="1"/>
  <c r="AF1529" i="1"/>
  <c r="AF1528" i="1"/>
  <c r="AF1527" i="1"/>
  <c r="AF1526" i="1"/>
  <c r="AF1525" i="1"/>
  <c r="AF1524" i="1"/>
  <c r="AF1523" i="1"/>
  <c r="AF1522" i="1"/>
  <c r="AF1521" i="1"/>
  <c r="AF1520" i="1"/>
  <c r="AF1519" i="1"/>
  <c r="AF1518" i="1"/>
  <c r="AF1517" i="1"/>
  <c r="AF1516" i="1"/>
  <c r="AF1515" i="1"/>
  <c r="AF1514" i="1"/>
  <c r="AF1513" i="1"/>
  <c r="AF1512" i="1"/>
  <c r="AF1511" i="1"/>
  <c r="AF1510" i="1"/>
  <c r="AF1509" i="1"/>
  <c r="AF1508" i="1"/>
  <c r="AF1507" i="1"/>
  <c r="AF1506" i="1"/>
  <c r="AF1505" i="1"/>
  <c r="AF1504" i="1"/>
  <c r="AF1503" i="1"/>
  <c r="AF1502" i="1"/>
  <c r="AF1501" i="1"/>
  <c r="AF1500" i="1"/>
  <c r="AF1499" i="1"/>
  <c r="AF1498" i="1"/>
  <c r="AF1497" i="1"/>
  <c r="AF1496" i="1"/>
  <c r="AF1495" i="1"/>
  <c r="AF1494" i="1"/>
  <c r="AF1493" i="1"/>
  <c r="AF1492" i="1"/>
  <c r="AF1491" i="1"/>
  <c r="AF1489" i="1"/>
  <c r="AF1488" i="1"/>
  <c r="AF1487" i="1"/>
  <c r="AF1486" i="1"/>
  <c r="AF1485" i="1"/>
  <c r="AF1484" i="1"/>
  <c r="AF1483" i="1"/>
  <c r="AF1482" i="1"/>
  <c r="AF1481" i="1"/>
  <c r="AF1480" i="1"/>
  <c r="AF1479" i="1"/>
  <c r="AF1478" i="1"/>
  <c r="AF1476" i="1"/>
  <c r="AF1475" i="1"/>
  <c r="AF1474" i="1"/>
  <c r="AF1473" i="1"/>
  <c r="AF1472" i="1"/>
  <c r="AF1471" i="1"/>
  <c r="AF1470" i="1"/>
  <c r="AF1469" i="1"/>
  <c r="AF1468" i="1"/>
  <c r="AF1467" i="1"/>
  <c r="AF1466" i="1"/>
  <c r="AF1465" i="1"/>
  <c r="AF1464" i="1"/>
  <c r="AF1463" i="1"/>
  <c r="AF1462" i="1"/>
  <c r="AF1461" i="1"/>
  <c r="AF1460" i="1"/>
  <c r="AF1459" i="1"/>
  <c r="AF1458" i="1"/>
  <c r="AF1457" i="1"/>
  <c r="AF1456" i="1"/>
  <c r="AF1455" i="1"/>
  <c r="AF1454" i="1"/>
  <c r="AF1453" i="1"/>
  <c r="AF1452" i="1"/>
  <c r="AF1451" i="1"/>
  <c r="AF1450" i="1"/>
  <c r="AF1449" i="1"/>
  <c r="AF1448" i="1"/>
  <c r="AF1447" i="1"/>
  <c r="AF1446" i="1"/>
  <c r="AF1445" i="1"/>
  <c r="AF1444" i="1"/>
  <c r="AF1443" i="1"/>
  <c r="AF1442" i="1"/>
  <c r="AF1441" i="1"/>
  <c r="AF1440" i="1"/>
  <c r="AF1439" i="1"/>
  <c r="AF1438" i="1"/>
  <c r="AF1437" i="1"/>
  <c r="AF1436" i="1"/>
  <c r="AF1435" i="1"/>
  <c r="AF1434" i="1"/>
  <c r="AF1433" i="1"/>
  <c r="AF1432" i="1"/>
  <c r="AF1431" i="1"/>
  <c r="AF1430" i="1"/>
  <c r="AF1429" i="1"/>
  <c r="AF1428" i="1"/>
  <c r="AF1427" i="1"/>
  <c r="AF1426" i="1"/>
  <c r="AF1425" i="1"/>
  <c r="AF1424" i="1"/>
  <c r="AF1423" i="1"/>
  <c r="AF1422" i="1"/>
  <c r="AF1421" i="1"/>
  <c r="AF1420" i="1"/>
  <c r="AF1419" i="1"/>
  <c r="AF1418" i="1"/>
  <c r="AF1417" i="1"/>
  <c r="AF1416" i="1"/>
  <c r="AF1415" i="1"/>
  <c r="AF1414" i="1"/>
  <c r="AF1413" i="1"/>
  <c r="AF1412" i="1"/>
  <c r="AF1411" i="1"/>
  <c r="AF1410" i="1"/>
  <c r="AF1409" i="1"/>
  <c r="AF1408" i="1"/>
  <c r="AF1407" i="1"/>
  <c r="AF1406" i="1"/>
  <c r="AF1405" i="1"/>
  <c r="AF1404" i="1"/>
  <c r="AF1403" i="1"/>
  <c r="AF1402" i="1"/>
  <c r="AF1401" i="1"/>
  <c r="AF1400" i="1"/>
  <c r="AF711" i="1"/>
  <c r="AF710" i="1"/>
  <c r="AF1399" i="1"/>
  <c r="AF1398" i="1"/>
  <c r="AF1397" i="1"/>
  <c r="AF1396" i="1"/>
  <c r="AF1395" i="1"/>
  <c r="AF1394" i="1"/>
  <c r="AF1393" i="1"/>
  <c r="AF1392" i="1"/>
  <c r="AF1391" i="1"/>
  <c r="AF1390" i="1"/>
  <c r="AF1389" i="1"/>
  <c r="AF1388" i="1"/>
  <c r="AF1387" i="1"/>
  <c r="AF1386" i="1"/>
  <c r="AF1385" i="1"/>
  <c r="AF1384" i="1"/>
  <c r="AF1383" i="1"/>
  <c r="AF1382" i="1"/>
  <c r="AF1381" i="1"/>
  <c r="AF1380" i="1"/>
  <c r="AF1379" i="1"/>
  <c r="AF1378" i="1"/>
  <c r="AF1377" i="1"/>
  <c r="AF1376" i="1"/>
  <c r="AF1375" i="1"/>
  <c r="AF1374" i="1"/>
  <c r="AF1372" i="1"/>
  <c r="AF1371" i="1"/>
  <c r="AF1370" i="1"/>
  <c r="AF1369" i="1"/>
  <c r="AF1368" i="1"/>
  <c r="AF1367" i="1"/>
  <c r="AF1366" i="1"/>
  <c r="AF1365" i="1"/>
  <c r="AF1364" i="1"/>
  <c r="AF1363" i="1"/>
  <c r="AF1362" i="1"/>
  <c r="AF1361" i="1"/>
  <c r="AF1360" i="1"/>
  <c r="AF1359" i="1"/>
  <c r="AF1358" i="1"/>
  <c r="AF1357" i="1"/>
  <c r="AF1356" i="1"/>
  <c r="AF1355" i="1"/>
  <c r="AF1354" i="1"/>
  <c r="AF1353" i="1"/>
  <c r="AF1352" i="1"/>
  <c r="AF1351" i="1"/>
  <c r="AF1350" i="1"/>
  <c r="AF1349" i="1"/>
  <c r="AF1348" i="1"/>
  <c r="AF1346" i="1"/>
  <c r="AF1345" i="1"/>
  <c r="AF1344" i="1"/>
  <c r="AF1343" i="1"/>
  <c r="AF1342" i="1"/>
  <c r="AF1339" i="1"/>
  <c r="AF1338" i="1"/>
  <c r="AF1337" i="1"/>
  <c r="AF1336" i="1"/>
  <c r="AF1335" i="1"/>
  <c r="AF1334" i="1"/>
  <c r="AF1333" i="1"/>
  <c r="AF1332" i="1"/>
  <c r="AF1331" i="1"/>
  <c r="AF1328" i="1"/>
  <c r="AF1327" i="1"/>
  <c r="AF1326" i="1"/>
  <c r="AF1325" i="1"/>
  <c r="AF1324" i="1"/>
  <c r="AF1323" i="1"/>
  <c r="AF1322" i="1"/>
  <c r="AF1321" i="1"/>
  <c r="AF1320" i="1"/>
  <c r="AF1319" i="1"/>
  <c r="AF1318" i="1"/>
  <c r="AF1317" i="1"/>
  <c r="AF1316" i="1"/>
  <c r="AF1314" i="1"/>
  <c r="AF1313" i="1"/>
  <c r="AF1312" i="1"/>
  <c r="AF1311" i="1"/>
  <c r="AF1310" i="1"/>
  <c r="AF1309" i="1"/>
  <c r="AF1307" i="1"/>
  <c r="AF1306" i="1"/>
  <c r="AF1305" i="1"/>
  <c r="AF1304" i="1"/>
  <c r="AF1303" i="1"/>
  <c r="AF1302" i="1"/>
  <c r="AF1301" i="1"/>
  <c r="AF1300" i="1"/>
  <c r="AF1299" i="1"/>
  <c r="AF1298" i="1"/>
  <c r="AF1297" i="1"/>
  <c r="AF1296" i="1"/>
  <c r="AF1295" i="1"/>
  <c r="AF1294" i="1"/>
  <c r="AF1292" i="1"/>
  <c r="AF1291" i="1"/>
  <c r="AF1290" i="1"/>
  <c r="AF1289" i="1"/>
  <c r="AF1288" i="1"/>
  <c r="AF1286" i="1"/>
  <c r="AF1285" i="1"/>
  <c r="AF1284" i="1"/>
  <c r="AF1283" i="1"/>
  <c r="AF1282" i="1"/>
  <c r="AF1281" i="1"/>
  <c r="AF1280" i="1"/>
  <c r="AF1279" i="1"/>
  <c r="AF1278" i="1"/>
  <c r="AF1277" i="1"/>
  <c r="AF1276" i="1"/>
  <c r="AF1275" i="1"/>
  <c r="AF1274" i="1"/>
  <c r="AF1273" i="1"/>
  <c r="AF1272" i="1"/>
  <c r="AF1271" i="1"/>
  <c r="AF1270" i="1"/>
  <c r="AF1269" i="1"/>
  <c r="AF1268" i="1"/>
  <c r="AF1267" i="1"/>
  <c r="AF1266" i="1"/>
  <c r="AF1265" i="1"/>
  <c r="AF1264" i="1"/>
  <c r="AF1263" i="1"/>
  <c r="AF1262" i="1"/>
  <c r="AF1261" i="1"/>
  <c r="AF1260" i="1"/>
  <c r="AF1259" i="1"/>
  <c r="AF1258" i="1"/>
  <c r="AF1255" i="1"/>
  <c r="AF1254" i="1"/>
  <c r="AF1253" i="1"/>
  <c r="AF1252" i="1"/>
  <c r="AF1251" i="1"/>
  <c r="AF1250" i="1"/>
  <c r="AF1249" i="1"/>
  <c r="AF1248" i="1"/>
  <c r="AF1247" i="1"/>
  <c r="AF1246" i="1"/>
  <c r="AF1245" i="1"/>
  <c r="AF1244" i="1"/>
  <c r="AF1243" i="1"/>
  <c r="AF1242" i="1"/>
  <c r="AF1241" i="1"/>
  <c r="AF1240" i="1"/>
  <c r="AF1239" i="1"/>
  <c r="AF1238" i="1"/>
  <c r="AF1237" i="1"/>
  <c r="AF1236" i="1"/>
  <c r="AF1235" i="1"/>
  <c r="AF1234" i="1"/>
  <c r="AF1233" i="1"/>
  <c r="AF1232" i="1"/>
  <c r="AF1231" i="1"/>
  <c r="AF1230" i="1"/>
  <c r="AF1229" i="1"/>
  <c r="AF1228" i="1"/>
  <c r="AF1227" i="1"/>
  <c r="AF1226" i="1"/>
  <c r="AF1225" i="1"/>
  <c r="AF1224" i="1"/>
  <c r="AF1223" i="1"/>
  <c r="AF1222" i="1"/>
  <c r="AF1221" i="1"/>
  <c r="AF1219" i="1"/>
  <c r="AF1218" i="1"/>
  <c r="AF1217" i="1"/>
  <c r="AF1216" i="1"/>
  <c r="AF1215" i="1"/>
  <c r="AF1214" i="1"/>
  <c r="AF1213"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19" i="1"/>
  <c r="AF718" i="1"/>
  <c r="AF716" i="1"/>
  <c r="AF714" i="1"/>
  <c r="AF713" i="1"/>
  <c r="AF712" i="1"/>
  <c r="AF709" i="1"/>
  <c r="AF708" i="1"/>
  <c r="AF707" i="1"/>
  <c r="AF706" i="1"/>
  <c r="AF705" i="1"/>
  <c r="AF704"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0" i="1"/>
  <c r="AF429" i="1"/>
  <c r="AF428" i="1"/>
  <c r="AF427" i="1"/>
  <c r="AF425" i="1"/>
  <c r="AF424" i="1"/>
  <c r="AF423" i="1"/>
  <c r="AF422" i="1"/>
  <c r="AF421" i="1"/>
  <c r="AF420" i="1"/>
  <c r="AF419"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5" i="1"/>
  <c r="AF164" i="1"/>
  <c r="AF163" i="1"/>
  <c r="AF162" i="1"/>
  <c r="AF161" i="1"/>
  <c r="AF160" i="1"/>
  <c r="AF158" i="1"/>
  <c r="AF157" i="1"/>
  <c r="AF156" i="1"/>
  <c r="AF153" i="1"/>
  <c r="AF152" i="1"/>
  <c r="AF151" i="1"/>
  <c r="AF150" i="1"/>
  <c r="AF149" i="1"/>
  <c r="AF148" i="1"/>
  <c r="AF147" i="1"/>
  <c r="AF146" i="1"/>
  <c r="AF145" i="1"/>
  <c r="AF144" i="1"/>
  <c r="AF143" i="1"/>
  <c r="AF142" i="1"/>
  <c r="AF141" i="1"/>
  <c r="AF140" i="1"/>
  <c r="AF139" i="1"/>
  <c r="AF138" i="1"/>
  <c r="AF137" i="1"/>
  <c r="AF136" i="1"/>
  <c r="AF133" i="1"/>
  <c r="AF132" i="1"/>
  <c r="AF131" i="1"/>
  <c r="AF130" i="1"/>
  <c r="AF129" i="1"/>
  <c r="AF128" i="1"/>
  <c r="AF127" i="1"/>
  <c r="AF126" i="1"/>
  <c r="AF125" i="1"/>
  <c r="AF124" i="1"/>
  <c r="AF123" i="1"/>
  <c r="AF122"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3" i="1"/>
  <c r="AF52" i="1"/>
  <c r="AF50" i="1"/>
  <c r="AF49" i="1"/>
  <c r="AF48" i="1"/>
  <c r="AF47" i="1"/>
  <c r="AF46" i="1"/>
  <c r="AF45" i="1"/>
  <c r="AF44" i="1"/>
  <c r="AF43" i="1"/>
  <c r="AF42" i="1"/>
  <c r="AF41" i="1"/>
  <c r="AF40" i="1"/>
  <c r="AF39" i="1"/>
  <c r="AF38" i="1"/>
  <c r="AF37" i="1"/>
  <c r="AF34" i="1"/>
  <c r="AF33" i="1"/>
  <c r="AF32" i="1"/>
  <c r="AF30" i="1"/>
  <c r="AF29" i="1"/>
  <c r="AF28" i="1"/>
  <c r="AF27" i="1"/>
  <c r="AF26" i="1"/>
  <c r="AF25" i="1"/>
  <c r="AF24" i="1"/>
  <c r="AF23" i="1"/>
  <c r="AF22" i="1"/>
  <c r="AF21" i="1"/>
  <c r="AF20" i="1"/>
  <c r="AF19" i="1"/>
  <c r="AF18" i="1"/>
  <c r="AF17" i="1"/>
  <c r="AF16" i="1"/>
  <c r="AF15" i="1"/>
  <c r="AF14" i="1"/>
  <c r="AF13" i="1"/>
  <c r="AF12" i="1"/>
  <c r="AF10" i="1"/>
  <c r="AF9" i="1"/>
  <c r="AF4" i="1"/>
  <c r="AF5" i="1"/>
  <c r="AF6" i="1"/>
  <c r="AF7" i="1"/>
  <c r="AF8" i="1"/>
  <c r="AF3" i="1"/>
  <c r="AK2010" i="1" l="1"/>
  <c r="AL2010" i="1" s="1"/>
  <c r="AK2009" i="1"/>
  <c r="AL2009" i="1" s="1"/>
  <c r="AK2008" i="1"/>
  <c r="AL2008" i="1" s="1"/>
  <c r="AK2005" i="1"/>
  <c r="AL2005" i="1" s="1"/>
  <c r="AK1997" i="1"/>
  <c r="AL1997" i="1" s="1"/>
  <c r="AK1954" i="1"/>
  <c r="AL1954" i="1" s="1"/>
  <c r="AK1953" i="1"/>
  <c r="AL1953" i="1" s="1"/>
  <c r="AK1951" i="1"/>
  <c r="AL1951" i="1" s="1"/>
  <c r="AK1949" i="1"/>
  <c r="AL1949" i="1" s="1"/>
  <c r="AK1946" i="1"/>
  <c r="AL1946" i="1" s="1"/>
  <c r="AK1945" i="1"/>
  <c r="AL1945" i="1" s="1"/>
  <c r="AK1936" i="1"/>
  <c r="AL1936" i="1" s="1"/>
  <c r="AK1931" i="1"/>
  <c r="AL1931" i="1" s="1"/>
  <c r="AK1929" i="1"/>
  <c r="AL1929" i="1" s="1"/>
  <c r="AK1927" i="1"/>
  <c r="AL1927" i="1" s="1"/>
  <c r="AK1916" i="1"/>
  <c r="AL1916" i="1" s="1"/>
  <c r="AK1915" i="1"/>
  <c r="AL1915" i="1" s="1"/>
  <c r="AK1910" i="1"/>
  <c r="AL1910" i="1" s="1"/>
  <c r="AK1893" i="1"/>
  <c r="AL1893" i="1" s="1"/>
  <c r="AK1884" i="1"/>
  <c r="AL1884" i="1" s="1"/>
  <c r="AK1878" i="1"/>
  <c r="AL1878" i="1" s="1"/>
  <c r="AK1876" i="1"/>
  <c r="AL1876" i="1" s="1"/>
  <c r="AK1875" i="1"/>
  <c r="AL1875" i="1" s="1"/>
  <c r="AK1855" i="1"/>
  <c r="AL1855" i="1" s="1"/>
  <c r="AK1851" i="1"/>
  <c r="AL1851" i="1" s="1"/>
  <c r="AK1849" i="1"/>
  <c r="AL1849" i="1" s="1"/>
  <c r="AK1848" i="1"/>
  <c r="AL1848" i="1" s="1"/>
  <c r="AK1847" i="1"/>
  <c r="AL1847" i="1" s="1"/>
  <c r="AK1846" i="1"/>
  <c r="AL1846" i="1" s="1"/>
  <c r="AK1844" i="1"/>
  <c r="AL1844" i="1" s="1"/>
  <c r="AK1828" i="1"/>
  <c r="AL1828" i="1" s="1"/>
  <c r="AK1824" i="1"/>
  <c r="AL1824" i="1" s="1"/>
  <c r="AK1820" i="1"/>
  <c r="AL1820" i="1" s="1"/>
  <c r="AK1812" i="1"/>
  <c r="AL1812" i="1" s="1"/>
  <c r="AK1811" i="1"/>
  <c r="AL1811" i="1" s="1"/>
  <c r="AK1808" i="1"/>
  <c r="AL1808" i="1" s="1"/>
  <c r="AK1793" i="1"/>
  <c r="AL1793" i="1" s="1"/>
  <c r="AK1792" i="1"/>
  <c r="AL1792" i="1" s="1"/>
  <c r="AK1791" i="1"/>
  <c r="AL1791" i="1" s="1"/>
  <c r="AK1790" i="1"/>
  <c r="AL1790" i="1" s="1"/>
  <c r="AK1789" i="1"/>
  <c r="AL1789" i="1" s="1"/>
  <c r="AK1783" i="1"/>
  <c r="AL1783" i="1" s="1"/>
  <c r="AK1777" i="1"/>
  <c r="AL1777" i="1" s="1"/>
  <c r="AK1776" i="1"/>
  <c r="AL1776" i="1" s="1"/>
  <c r="AK1775" i="1"/>
  <c r="AL1775" i="1" s="1"/>
  <c r="AK1774" i="1"/>
  <c r="AL1774" i="1" s="1"/>
  <c r="AK1771" i="1"/>
  <c r="AL1771" i="1" s="1"/>
  <c r="AK1770" i="1"/>
  <c r="AL1770" i="1" s="1"/>
  <c r="AK1769" i="1"/>
  <c r="AL1769" i="1" s="1"/>
  <c r="AK1768" i="1"/>
  <c r="AL1768" i="1" s="1"/>
  <c r="AK1767" i="1"/>
  <c r="AL1767" i="1" s="1"/>
  <c r="AK1766" i="1"/>
  <c r="AL1766" i="1" s="1"/>
  <c r="AK1764" i="1"/>
  <c r="AL1764" i="1" s="1"/>
  <c r="AK1763" i="1"/>
  <c r="AL1763" i="1" s="1"/>
  <c r="AK1762" i="1"/>
  <c r="AL1762" i="1" s="1"/>
  <c r="AK1758" i="1"/>
  <c r="AL1758" i="1" s="1"/>
  <c r="AK1757" i="1"/>
  <c r="AL1757" i="1" s="1"/>
  <c r="AK1756" i="1"/>
  <c r="AL1756" i="1" s="1"/>
  <c r="AK1755" i="1"/>
  <c r="AL1755" i="1" s="1"/>
  <c r="AK1754" i="1"/>
  <c r="AL1754" i="1" s="1"/>
  <c r="AK1752" i="1"/>
  <c r="AL1752" i="1" s="1"/>
  <c r="AK1750" i="1"/>
  <c r="AL1750" i="1" s="1"/>
  <c r="AK1749" i="1"/>
  <c r="AL1749" i="1" s="1"/>
  <c r="AK1748" i="1"/>
  <c r="AL1748" i="1" s="1"/>
  <c r="AK1747" i="1"/>
  <c r="AL1747" i="1" s="1"/>
  <c r="AK1746" i="1"/>
  <c r="AL1746" i="1" s="1"/>
  <c r="AK1745" i="1"/>
  <c r="AL1745" i="1" s="1"/>
  <c r="AK1743" i="1"/>
  <c r="AL1743" i="1" s="1"/>
  <c r="AK1742" i="1"/>
  <c r="AL1742" i="1" s="1"/>
  <c r="AK1740" i="1"/>
  <c r="AL1740" i="1" s="1"/>
  <c r="AK1739" i="1"/>
  <c r="AL1739" i="1" s="1"/>
  <c r="AK1738" i="1"/>
  <c r="AL1738" i="1" s="1"/>
  <c r="AK1737" i="1"/>
  <c r="AL1737" i="1" s="1"/>
  <c r="AK1736" i="1"/>
  <c r="AL1736" i="1" s="1"/>
  <c r="AK1735" i="1"/>
  <c r="AL1735" i="1" s="1"/>
  <c r="AK1734" i="1"/>
  <c r="AL1734" i="1" s="1"/>
  <c r="AK1732" i="1"/>
  <c r="AL1732" i="1" s="1"/>
  <c r="AK1731" i="1"/>
  <c r="AL1731" i="1" s="1"/>
  <c r="AK1730" i="1"/>
  <c r="AL1730" i="1" s="1"/>
  <c r="AK1729" i="1"/>
  <c r="AL1729" i="1" s="1"/>
  <c r="AK1728" i="1"/>
  <c r="AL1728" i="1" s="1"/>
  <c r="AK1727" i="1"/>
  <c r="AL1727" i="1" s="1"/>
  <c r="AK1726" i="1"/>
  <c r="AL1726" i="1" s="1"/>
  <c r="AK1725" i="1"/>
  <c r="AL1725" i="1" s="1"/>
  <c r="AK1724" i="1"/>
  <c r="AL1724" i="1" s="1"/>
  <c r="AK1723" i="1"/>
  <c r="AL1723" i="1" s="1"/>
  <c r="AK1722" i="1"/>
  <c r="AL1722" i="1" s="1"/>
  <c r="AK1721" i="1"/>
  <c r="AL1721" i="1" s="1"/>
  <c r="AK1720" i="1"/>
  <c r="AL1720" i="1" s="1"/>
  <c r="AK1719" i="1"/>
  <c r="AL1719" i="1" s="1"/>
  <c r="AK1718" i="1"/>
  <c r="AL1718" i="1" s="1"/>
  <c r="AK1717" i="1"/>
  <c r="AL1717" i="1" s="1"/>
  <c r="AK1716" i="1"/>
  <c r="AL1716" i="1" s="1"/>
  <c r="AK1714" i="1"/>
  <c r="AL1714" i="1" s="1"/>
  <c r="AK1713" i="1"/>
  <c r="AL1713" i="1" s="1"/>
  <c r="AK1711" i="1"/>
  <c r="AL1711" i="1" s="1"/>
  <c r="AK1710" i="1"/>
  <c r="AL1710" i="1" s="1"/>
  <c r="AK1707" i="1"/>
  <c r="AL1707" i="1" s="1"/>
  <c r="AK1706" i="1"/>
  <c r="AL1706" i="1" s="1"/>
  <c r="AK1705" i="1"/>
  <c r="AL1705" i="1" s="1"/>
  <c r="AK1704" i="1"/>
  <c r="AL1704" i="1" s="1"/>
  <c r="AK1703" i="1"/>
  <c r="AL1703" i="1" s="1"/>
  <c r="AK1702" i="1"/>
  <c r="AL1702" i="1" s="1"/>
  <c r="AK1701" i="1"/>
  <c r="AL1701" i="1" s="1"/>
  <c r="AK1698" i="1"/>
  <c r="AL1698" i="1" s="1"/>
  <c r="AK1697" i="1"/>
  <c r="AL1697" i="1" s="1"/>
  <c r="AK1695" i="1"/>
  <c r="AL1695" i="1" s="1"/>
  <c r="AK1694" i="1"/>
  <c r="AL1694" i="1" s="1"/>
  <c r="AK1693" i="1"/>
  <c r="AL1693" i="1" s="1"/>
  <c r="AK1692" i="1"/>
  <c r="AL1692" i="1" s="1"/>
  <c r="AK1691" i="1"/>
  <c r="AL1691" i="1" s="1"/>
  <c r="AK1690" i="1"/>
  <c r="AL1690" i="1" s="1"/>
  <c r="AK1689" i="1"/>
  <c r="AL1689" i="1" s="1"/>
  <c r="AK1688" i="1"/>
  <c r="AL1688" i="1" s="1"/>
  <c r="AK1687" i="1"/>
  <c r="AL1687" i="1" s="1"/>
  <c r="AK1685" i="1"/>
  <c r="AL1685" i="1" s="1"/>
  <c r="AK1677" i="1"/>
  <c r="AL1677" i="1" s="1"/>
  <c r="AK1676" i="1"/>
  <c r="AL1676" i="1" s="1"/>
  <c r="AK1675" i="1"/>
  <c r="AL1675" i="1" s="1"/>
  <c r="AK1674" i="1"/>
  <c r="AL1674" i="1" s="1"/>
  <c r="AK1673" i="1"/>
  <c r="AL1673" i="1" s="1"/>
  <c r="AK1672" i="1"/>
  <c r="AL1672" i="1" s="1"/>
  <c r="AK1671" i="1"/>
  <c r="AL1671" i="1" s="1"/>
  <c r="AK1670" i="1"/>
  <c r="AL1670" i="1" s="1"/>
  <c r="AK1669" i="1"/>
  <c r="AL1669" i="1" s="1"/>
  <c r="AK1665" i="1"/>
  <c r="AL1665" i="1" s="1"/>
  <c r="AK1664" i="1"/>
  <c r="AL1664" i="1" s="1"/>
  <c r="AK1663" i="1"/>
  <c r="AL1663" i="1" s="1"/>
  <c r="AK1662" i="1"/>
  <c r="AL1662" i="1" s="1"/>
  <c r="AK1661" i="1"/>
  <c r="AL1661" i="1" s="1"/>
  <c r="AK1660" i="1"/>
  <c r="AL1660" i="1" s="1"/>
  <c r="AK1659" i="1"/>
  <c r="AL1659" i="1" s="1"/>
  <c r="AK1658" i="1"/>
  <c r="AL1658" i="1" s="1"/>
  <c r="AK1656" i="1"/>
  <c r="AL1656" i="1" s="1"/>
  <c r="AK1655" i="1"/>
  <c r="AL1655" i="1" s="1"/>
  <c r="AK1654" i="1"/>
  <c r="AL1654" i="1" s="1"/>
  <c r="AK1653" i="1"/>
  <c r="AL1653" i="1" s="1"/>
  <c r="AK1652" i="1"/>
  <c r="AL1652" i="1" s="1"/>
  <c r="AK1651" i="1"/>
  <c r="AL1651" i="1" s="1"/>
  <c r="AK1650" i="1"/>
  <c r="AL1650" i="1" s="1"/>
  <c r="AK1649" i="1"/>
  <c r="AL1649" i="1" s="1"/>
  <c r="AK1648" i="1"/>
  <c r="AL1648" i="1" s="1"/>
  <c r="AK1647" i="1"/>
  <c r="AL1647" i="1" s="1"/>
  <c r="AK1646" i="1"/>
  <c r="AL1646" i="1" s="1"/>
  <c r="AK1645" i="1"/>
  <c r="AL1645" i="1" s="1"/>
  <c r="AK1642" i="1"/>
  <c r="AL1642" i="1" s="1"/>
  <c r="AK1641" i="1"/>
  <c r="AL1641" i="1" s="1"/>
  <c r="AK1640" i="1"/>
  <c r="AL1640" i="1" s="1"/>
  <c r="AK1628" i="1"/>
  <c r="AL1628" i="1" s="1"/>
  <c r="AK1620" i="1"/>
  <c r="AL1620" i="1" s="1"/>
  <c r="AK1619" i="1"/>
  <c r="AL1619" i="1" s="1"/>
  <c r="AK1618" i="1"/>
  <c r="AL1618" i="1" s="1"/>
  <c r="AK1617" i="1"/>
  <c r="AL1617" i="1" s="1"/>
  <c r="AK1614" i="1"/>
  <c r="AL1614" i="1" s="1"/>
  <c r="AK1517" i="1"/>
  <c r="AL1517" i="1" s="1"/>
  <c r="AK1516" i="1"/>
  <c r="AL1516" i="1" s="1"/>
  <c r="AK1515" i="1"/>
  <c r="AL1515" i="1" s="1"/>
  <c r="AK1512" i="1"/>
  <c r="AL1512" i="1" s="1"/>
  <c r="AK1511" i="1"/>
  <c r="AL1511" i="1" s="1"/>
  <c r="AK1510" i="1"/>
  <c r="AL1510" i="1" s="1"/>
  <c r="AK1506" i="1"/>
  <c r="AL1506" i="1" s="1"/>
  <c r="AK1502" i="1"/>
  <c r="AL1502" i="1" s="1"/>
  <c r="AK1501" i="1"/>
  <c r="AL1501" i="1" s="1"/>
  <c r="AK1489" i="1"/>
  <c r="AL1489" i="1" s="1"/>
  <c r="AK1488" i="1"/>
  <c r="AL1488" i="1" s="1"/>
  <c r="AK1487" i="1"/>
  <c r="AL1487" i="1" s="1"/>
  <c r="AK1484" i="1"/>
  <c r="AL1484" i="1" s="1"/>
  <c r="AK1482" i="1"/>
  <c r="AL1482" i="1" s="1"/>
  <c r="AK1474" i="1"/>
  <c r="AL1474" i="1" s="1"/>
  <c r="AK1473" i="1"/>
  <c r="AL1473" i="1" s="1"/>
  <c r="AK1472" i="1"/>
  <c r="AL1472" i="1" s="1"/>
  <c r="AK1471" i="1"/>
  <c r="AL1471" i="1" s="1"/>
  <c r="AK1469" i="1"/>
  <c r="AL1469" i="1" s="1"/>
  <c r="AK1464" i="1"/>
  <c r="AL1464" i="1" s="1"/>
  <c r="AK1463" i="1"/>
  <c r="AL1463" i="1" s="1"/>
  <c r="AK1460" i="1"/>
  <c r="AL1460" i="1" s="1"/>
  <c r="AK1459" i="1"/>
  <c r="AL1459" i="1" s="1"/>
  <c r="AK1458" i="1"/>
  <c r="AL1458" i="1" s="1"/>
  <c r="AK1457" i="1"/>
  <c r="AL1457" i="1" s="1"/>
  <c r="AK1456" i="1"/>
  <c r="AL1456" i="1" s="1"/>
  <c r="AK1455" i="1"/>
  <c r="AL1455" i="1" s="1"/>
  <c r="AK1453" i="1"/>
  <c r="AL1453" i="1" s="1"/>
  <c r="AK1452" i="1"/>
  <c r="AL1452" i="1" s="1"/>
  <c r="AK1451" i="1"/>
  <c r="AL1451" i="1" s="1"/>
  <c r="AK1444" i="1"/>
  <c r="AL1444" i="1" s="1"/>
  <c r="AK1443" i="1"/>
  <c r="AL1443" i="1" s="1"/>
  <c r="AK1441" i="1"/>
  <c r="AL1441" i="1" s="1"/>
  <c r="AK1438" i="1"/>
  <c r="AL1438" i="1" s="1"/>
  <c r="AK1437" i="1"/>
  <c r="AL1437" i="1" s="1"/>
  <c r="AK1429" i="1"/>
  <c r="AL1429" i="1" s="1"/>
  <c r="AK1428" i="1"/>
  <c r="AL1428" i="1" s="1"/>
  <c r="AK1427" i="1"/>
  <c r="AL1427" i="1" s="1"/>
  <c r="AK1426" i="1"/>
  <c r="AL1426" i="1" s="1"/>
  <c r="AK1425" i="1"/>
  <c r="AL1425" i="1" s="1"/>
  <c r="AK1424" i="1"/>
  <c r="AL1424" i="1" s="1"/>
  <c r="AK1423" i="1"/>
  <c r="AL1423" i="1" s="1"/>
  <c r="AK1422" i="1"/>
  <c r="AL1422" i="1" s="1"/>
  <c r="AK1419" i="1"/>
  <c r="AL1419" i="1" s="1"/>
  <c r="AK1416" i="1"/>
  <c r="AL1416" i="1" s="1"/>
  <c r="AK1415" i="1"/>
  <c r="AL1415" i="1" s="1"/>
  <c r="AK1414" i="1"/>
  <c r="AL1414" i="1" s="1"/>
  <c r="AK1413" i="1"/>
  <c r="AL1413" i="1" s="1"/>
  <c r="AK1412" i="1"/>
  <c r="AL1412" i="1" s="1"/>
  <c r="AK1411" i="1"/>
  <c r="AL1411" i="1" s="1"/>
  <c r="AK1410" i="1"/>
  <c r="AL1410" i="1" s="1"/>
  <c r="AK1409" i="1"/>
  <c r="AL1409" i="1" s="1"/>
  <c r="AK1407" i="1"/>
  <c r="AL1407" i="1" s="1"/>
  <c r="AK1405" i="1"/>
  <c r="AL1405" i="1" s="1"/>
  <c r="AK1404" i="1"/>
  <c r="AL1404" i="1" s="1"/>
  <c r="AK1403" i="1"/>
  <c r="AL1403" i="1" s="1"/>
  <c r="AK1402" i="1"/>
  <c r="AL1402" i="1" s="1"/>
  <c r="AK1401" i="1"/>
  <c r="AL1401" i="1" s="1"/>
  <c r="AK1400" i="1"/>
  <c r="AL1400" i="1" s="1"/>
  <c r="AK711" i="1"/>
  <c r="AL711" i="1" s="1"/>
  <c r="AK1399" i="1"/>
  <c r="AL1399" i="1" s="1"/>
  <c r="AK1398" i="1"/>
  <c r="AL1398" i="1" s="1"/>
  <c r="AK1397" i="1"/>
  <c r="AL1397" i="1" s="1"/>
  <c r="AK1396" i="1"/>
  <c r="AL1396" i="1" s="1"/>
  <c r="AK1395" i="1"/>
  <c r="AL1395" i="1" s="1"/>
  <c r="AK1394" i="1"/>
  <c r="AL1394" i="1" s="1"/>
  <c r="AK1391" i="1"/>
  <c r="AL1391" i="1" s="1"/>
  <c r="AK1390" i="1"/>
  <c r="AL1390" i="1" s="1"/>
  <c r="AK1389" i="1"/>
  <c r="AL1389" i="1" s="1"/>
  <c r="AK1388" i="1"/>
  <c r="AL1388" i="1" s="1"/>
  <c r="AK1387" i="1"/>
  <c r="AL1387" i="1" s="1"/>
  <c r="AK1386" i="1"/>
  <c r="AL1386" i="1" s="1"/>
  <c r="AK1385" i="1"/>
  <c r="AL1385" i="1" s="1"/>
  <c r="AK1381" i="1"/>
  <c r="AL1381" i="1" s="1"/>
  <c r="AK1380" i="1"/>
  <c r="AL1380" i="1" s="1"/>
  <c r="AK1378" i="1"/>
  <c r="AL1378" i="1" s="1"/>
  <c r="AK1377" i="1"/>
  <c r="AL1377" i="1" s="1"/>
  <c r="AK1376" i="1"/>
  <c r="AL1376" i="1" s="1"/>
  <c r="AK1375" i="1"/>
  <c r="AL1375" i="1" s="1"/>
  <c r="AK1372" i="1"/>
  <c r="AL1372" i="1" s="1"/>
  <c r="AK1371" i="1"/>
  <c r="AL1371" i="1" s="1"/>
  <c r="AK1370" i="1"/>
  <c r="AL1370" i="1" s="1"/>
  <c r="AK1369" i="1"/>
  <c r="AL1369" i="1" s="1"/>
  <c r="AK1368" i="1"/>
  <c r="AL1368" i="1" s="1"/>
  <c r="AK1367" i="1"/>
  <c r="AL1367" i="1" s="1"/>
  <c r="AK1365" i="1"/>
  <c r="AL1365" i="1" s="1"/>
  <c r="AK1364" i="1"/>
  <c r="AL1364" i="1" s="1"/>
  <c r="AK1363" i="1"/>
  <c r="AL1363" i="1" s="1"/>
  <c r="AK1361" i="1"/>
  <c r="AL1361" i="1" s="1"/>
  <c r="AK1359" i="1"/>
  <c r="AL1359" i="1" s="1"/>
  <c r="AK1358" i="1"/>
  <c r="AL1358" i="1" s="1"/>
  <c r="AK1357" i="1"/>
  <c r="AL1357" i="1" s="1"/>
  <c r="AK1356" i="1"/>
  <c r="AL1356" i="1" s="1"/>
  <c r="AK1355" i="1"/>
  <c r="AL1355" i="1" s="1"/>
  <c r="AK1352" i="1"/>
  <c r="AL1352" i="1" s="1"/>
  <c r="AK1351" i="1"/>
  <c r="AL1351" i="1" s="1"/>
  <c r="AK1350" i="1"/>
  <c r="AL1350" i="1" s="1"/>
  <c r="AK1349" i="1"/>
  <c r="AL1349" i="1" s="1"/>
  <c r="AK1348" i="1"/>
  <c r="AL1348" i="1" s="1"/>
  <c r="AK1346" i="1"/>
  <c r="AL1346" i="1" s="1"/>
  <c r="AK1345" i="1"/>
  <c r="AL1345" i="1" s="1"/>
  <c r="AK1344" i="1"/>
  <c r="AL1344" i="1" s="1"/>
  <c r="AK1343" i="1"/>
  <c r="AL1343" i="1" s="1"/>
  <c r="AK1338" i="1"/>
  <c r="AL1338" i="1" s="1"/>
  <c r="AK1337" i="1"/>
  <c r="AL1337" i="1" s="1"/>
  <c r="AK1334" i="1"/>
  <c r="AL1334" i="1" s="1"/>
  <c r="AK1333" i="1"/>
  <c r="AL1333" i="1" s="1"/>
  <c r="AK1331" i="1"/>
  <c r="AL1331" i="1" s="1"/>
  <c r="AK1328" i="1"/>
  <c r="AL1328" i="1" s="1"/>
  <c r="AK1327" i="1"/>
  <c r="AL1327" i="1" s="1"/>
  <c r="AK1326" i="1"/>
  <c r="AL1326" i="1" s="1"/>
  <c r="AK1325" i="1"/>
  <c r="AL1325" i="1" s="1"/>
  <c r="AK1322" i="1"/>
  <c r="AL1322" i="1" s="1"/>
  <c r="AK1321" i="1"/>
  <c r="AL1321" i="1" s="1"/>
  <c r="AK1319" i="1"/>
  <c r="AL1319" i="1" s="1"/>
  <c r="AK1318" i="1"/>
  <c r="AL1318" i="1" s="1"/>
  <c r="AK1317" i="1"/>
  <c r="AL1317" i="1" s="1"/>
  <c r="AK1316" i="1"/>
  <c r="AL1316" i="1" s="1"/>
  <c r="AK1313" i="1"/>
  <c r="AL1313" i="1" s="1"/>
  <c r="AK1312" i="1"/>
  <c r="AL1312" i="1" s="1"/>
  <c r="AK1311" i="1"/>
  <c r="AL1311" i="1" s="1"/>
  <c r="AK1307" i="1"/>
  <c r="AL1307" i="1" s="1"/>
  <c r="AK1306" i="1"/>
  <c r="AL1306" i="1" s="1"/>
  <c r="AK1302" i="1"/>
  <c r="AL1302" i="1" s="1"/>
  <c r="AK1301" i="1"/>
  <c r="AL1301" i="1" s="1"/>
  <c r="AK1298" i="1"/>
  <c r="AL1298" i="1" s="1"/>
  <c r="AK1295" i="1"/>
  <c r="AL1295" i="1" s="1"/>
  <c r="AK1290" i="1"/>
  <c r="AL1290" i="1" s="1"/>
  <c r="AK1289" i="1"/>
  <c r="AL1289" i="1" s="1"/>
  <c r="AK1288" i="1"/>
  <c r="AL1288" i="1" s="1"/>
  <c r="AK1285" i="1"/>
  <c r="AL1285" i="1" s="1"/>
  <c r="AK1283" i="1"/>
  <c r="AL1283" i="1" s="1"/>
  <c r="AK1282" i="1"/>
  <c r="AL1282" i="1" s="1"/>
  <c r="AK1281" i="1"/>
  <c r="AL1281" i="1" s="1"/>
  <c r="AK1280" i="1"/>
  <c r="AL1280" i="1" s="1"/>
  <c r="AK1272" i="1"/>
  <c r="AL1272" i="1" s="1"/>
  <c r="AK1271" i="1"/>
  <c r="AL1271" i="1" s="1"/>
  <c r="AK1270" i="1"/>
  <c r="AL1270" i="1" s="1"/>
  <c r="AK1245" i="1"/>
  <c r="AL1245" i="1" s="1"/>
  <c r="AK1244" i="1"/>
  <c r="AL1244" i="1" s="1"/>
  <c r="AK1240" i="1"/>
  <c r="AL1240" i="1" s="1"/>
  <c r="AK1239" i="1"/>
  <c r="AL1239" i="1" s="1"/>
  <c r="AK1236" i="1"/>
  <c r="AL1236" i="1" s="1"/>
  <c r="AK1235" i="1"/>
  <c r="AL1235" i="1" s="1"/>
  <c r="AK1230" i="1"/>
  <c r="AL1230" i="1" s="1"/>
  <c r="AK1228" i="1"/>
  <c r="AL1228" i="1" s="1"/>
  <c r="AK1225" i="1"/>
  <c r="AL1225" i="1" s="1"/>
  <c r="AK1224" i="1"/>
  <c r="AL1224" i="1" s="1"/>
  <c r="AK1223" i="1"/>
  <c r="AL1223" i="1" s="1"/>
  <c r="AK1222" i="1"/>
  <c r="AL1222" i="1" s="1"/>
  <c r="AK1221" i="1"/>
  <c r="AL1221" i="1" s="1"/>
  <c r="AK1219" i="1"/>
  <c r="AL1219" i="1" s="1"/>
  <c r="AK1218" i="1"/>
  <c r="AL1218" i="1" s="1"/>
  <c r="AK1216" i="1"/>
  <c r="AL1216" i="1" s="1"/>
  <c r="AK1215" i="1"/>
  <c r="AL1215" i="1" s="1"/>
  <c r="AK1214" i="1"/>
  <c r="AL1214" i="1" s="1"/>
  <c r="AK1213" i="1"/>
  <c r="AL1213" i="1" s="1"/>
  <c r="AK1212" i="1"/>
  <c r="AL1212" i="1" s="1"/>
  <c r="AK1211" i="1"/>
  <c r="AL1211" i="1" s="1"/>
  <c r="AK1210" i="1"/>
  <c r="AL1210" i="1" s="1"/>
  <c r="AK1209" i="1"/>
  <c r="AL1209" i="1" s="1"/>
  <c r="AK1208" i="1"/>
  <c r="AL1208" i="1" s="1"/>
  <c r="AK1207" i="1"/>
  <c r="AL1207" i="1" s="1"/>
  <c r="AK1206" i="1"/>
  <c r="AL1206" i="1" s="1"/>
  <c r="AK1205" i="1"/>
  <c r="AL1205" i="1" s="1"/>
  <c r="AK1203" i="1"/>
  <c r="AL1203" i="1" s="1"/>
  <c r="AK1202" i="1"/>
  <c r="AL1202" i="1" s="1"/>
  <c r="AK1201" i="1"/>
  <c r="AL1201" i="1" s="1"/>
  <c r="AK1200" i="1"/>
  <c r="AL1200" i="1" s="1"/>
  <c r="AK1198" i="1"/>
  <c r="AL1198" i="1" s="1"/>
  <c r="AK1197" i="1"/>
  <c r="AL1197" i="1" s="1"/>
  <c r="AK1196" i="1"/>
  <c r="AL1196" i="1" s="1"/>
  <c r="AK1195" i="1"/>
  <c r="AL1195" i="1" s="1"/>
  <c r="AK1194" i="1"/>
  <c r="AL1194" i="1" s="1"/>
  <c r="AK1193" i="1"/>
  <c r="AL1193" i="1" s="1"/>
  <c r="AK1192" i="1"/>
  <c r="AL1192" i="1" s="1"/>
  <c r="AK1191" i="1"/>
  <c r="AL1191" i="1" s="1"/>
  <c r="AK1190" i="1"/>
  <c r="AL1190" i="1" s="1"/>
  <c r="AK1189" i="1"/>
  <c r="AL1189" i="1" s="1"/>
  <c r="AK1185" i="1"/>
  <c r="AL1185" i="1" s="1"/>
  <c r="AK1184" i="1"/>
  <c r="AL1184" i="1" s="1"/>
  <c r="AK1181" i="1"/>
  <c r="AL1181" i="1" s="1"/>
  <c r="AK1180" i="1"/>
  <c r="AL1180" i="1" s="1"/>
  <c r="AK1178" i="1"/>
  <c r="AL1178" i="1" s="1"/>
  <c r="AK1177" i="1"/>
  <c r="AL1177" i="1" s="1"/>
  <c r="AK1174" i="1"/>
  <c r="AL1174" i="1" s="1"/>
  <c r="AK1170" i="1"/>
  <c r="AL1170" i="1" s="1"/>
  <c r="AK1169" i="1"/>
  <c r="AL1169" i="1" s="1"/>
  <c r="AK1167" i="1"/>
  <c r="AL1167" i="1" s="1"/>
  <c r="AK1166" i="1"/>
  <c r="AL1166" i="1" s="1"/>
  <c r="AK1164" i="1"/>
  <c r="AL1164" i="1" s="1"/>
  <c r="AK1163" i="1"/>
  <c r="AL1163" i="1" s="1"/>
  <c r="AK1161" i="1"/>
  <c r="AL1161" i="1" s="1"/>
  <c r="AK1158" i="1"/>
  <c r="AL1158" i="1" s="1"/>
  <c r="AK1157" i="1"/>
  <c r="AL1157" i="1" s="1"/>
  <c r="AK1156" i="1"/>
  <c r="AL1156" i="1" s="1"/>
  <c r="AK1154" i="1"/>
  <c r="AL1154" i="1" s="1"/>
  <c r="AK1152" i="1"/>
  <c r="AL1152" i="1" s="1"/>
  <c r="AK1151" i="1"/>
  <c r="AL1151" i="1" s="1"/>
  <c r="AK1148" i="1"/>
  <c r="AL1148" i="1" s="1"/>
  <c r="AK1147" i="1"/>
  <c r="AL1147" i="1" s="1"/>
  <c r="AK1146" i="1"/>
  <c r="AL1146" i="1" s="1"/>
  <c r="AK1145" i="1"/>
  <c r="AL1145" i="1" s="1"/>
  <c r="AK1143" i="1"/>
  <c r="AL1143" i="1" s="1"/>
  <c r="AK1139" i="1"/>
  <c r="AL1139" i="1" s="1"/>
  <c r="AK1137" i="1"/>
  <c r="AL1137" i="1" s="1"/>
  <c r="AK1136" i="1"/>
  <c r="AL1136" i="1" s="1"/>
  <c r="AK1135" i="1"/>
  <c r="AL1135" i="1" s="1"/>
  <c r="AK1133" i="1"/>
  <c r="AL1133" i="1" s="1"/>
  <c r="AK1132" i="1"/>
  <c r="AL1132" i="1" s="1"/>
  <c r="AK1131" i="1"/>
  <c r="AL1131" i="1" s="1"/>
  <c r="AK1130" i="1"/>
  <c r="AL1130" i="1" s="1"/>
  <c r="AK1129" i="1"/>
  <c r="AL1129" i="1" s="1"/>
  <c r="AK1128" i="1"/>
  <c r="AL1128" i="1" s="1"/>
  <c r="AK1126" i="1"/>
  <c r="AL1126" i="1" s="1"/>
  <c r="AK1124" i="1"/>
  <c r="AL1124" i="1" s="1"/>
  <c r="AK1118" i="1"/>
  <c r="AL1118" i="1" s="1"/>
  <c r="AK1117" i="1"/>
  <c r="AL1117" i="1" s="1"/>
  <c r="AK1112" i="1"/>
  <c r="AL1112" i="1" s="1"/>
  <c r="AK1111" i="1"/>
  <c r="AL1111" i="1" s="1"/>
  <c r="AK1110" i="1"/>
  <c r="AL1110" i="1" s="1"/>
  <c r="AK1109" i="1"/>
  <c r="AL1109" i="1" s="1"/>
  <c r="AK1108" i="1"/>
  <c r="AL1108" i="1" s="1"/>
  <c r="AK1107" i="1"/>
  <c r="AL1107" i="1" s="1"/>
  <c r="AK1106" i="1"/>
  <c r="AL1106" i="1" s="1"/>
  <c r="AK1105" i="1"/>
  <c r="AL1105" i="1" s="1"/>
  <c r="AK1103" i="1"/>
  <c r="AL1103" i="1" s="1"/>
  <c r="AK1101" i="1"/>
  <c r="AL1101" i="1" s="1"/>
  <c r="AK1100" i="1"/>
  <c r="AL1100" i="1" s="1"/>
  <c r="AK1099" i="1"/>
  <c r="AL1099" i="1" s="1"/>
  <c r="AK1098" i="1"/>
  <c r="AL1098" i="1" s="1"/>
  <c r="AK1097" i="1"/>
  <c r="AL1097" i="1" s="1"/>
  <c r="AK1094" i="1"/>
  <c r="AL1094" i="1" s="1"/>
  <c r="AK1092" i="1"/>
  <c r="AL1092" i="1" s="1"/>
  <c r="AK1090" i="1"/>
  <c r="AL1090" i="1" s="1"/>
  <c r="AK1088" i="1"/>
  <c r="AL1088" i="1" s="1"/>
  <c r="AK1087" i="1"/>
  <c r="AL1087" i="1" s="1"/>
  <c r="AK1086" i="1"/>
  <c r="AL1086" i="1" s="1"/>
  <c r="AK1085" i="1"/>
  <c r="AL1085" i="1" s="1"/>
  <c r="AK1084" i="1"/>
  <c r="AL1084" i="1" s="1"/>
  <c r="AK1079" i="1"/>
  <c r="AL1079" i="1" s="1"/>
  <c r="AK1078" i="1"/>
  <c r="AL1078" i="1" s="1"/>
  <c r="AK1076" i="1"/>
  <c r="AL1076" i="1" s="1"/>
  <c r="AK1075" i="1"/>
  <c r="AL1075" i="1" s="1"/>
  <c r="AK1072" i="1"/>
  <c r="AL1072" i="1" s="1"/>
  <c r="AK1070" i="1"/>
  <c r="AL1070" i="1" s="1"/>
  <c r="AK1069" i="1"/>
  <c r="AL1069" i="1" s="1"/>
  <c r="AK1068" i="1"/>
  <c r="AL1068" i="1" s="1"/>
  <c r="AK1064" i="1"/>
  <c r="AL1064" i="1" s="1"/>
  <c r="AK1063" i="1"/>
  <c r="AL1063" i="1" s="1"/>
  <c r="AK1058" i="1"/>
  <c r="AL1058" i="1" s="1"/>
  <c r="AK1055" i="1"/>
  <c r="AL1055" i="1" s="1"/>
  <c r="AK1054" i="1"/>
  <c r="AL1054" i="1" s="1"/>
  <c r="AK1053" i="1"/>
  <c r="AL1053" i="1" s="1"/>
  <c r="AK1052" i="1"/>
  <c r="AL1052" i="1" s="1"/>
  <c r="AK1051" i="1"/>
  <c r="AL1051" i="1" s="1"/>
  <c r="AK1050" i="1"/>
  <c r="AL1050" i="1" s="1"/>
  <c r="AK1049" i="1"/>
  <c r="AL1049" i="1" s="1"/>
  <c r="AK1046" i="1"/>
  <c r="AL1046" i="1" s="1"/>
  <c r="AK1045" i="1"/>
  <c r="AL1045" i="1" s="1"/>
  <c r="AK1044" i="1"/>
  <c r="AL1044" i="1" s="1"/>
  <c r="AK1043" i="1"/>
  <c r="AL1043" i="1" s="1"/>
  <c r="AK1042" i="1"/>
  <c r="AL1042" i="1" s="1"/>
  <c r="AK1041" i="1"/>
  <c r="AL1041" i="1" s="1"/>
  <c r="AK1040" i="1"/>
  <c r="AL1040" i="1" s="1"/>
  <c r="AK1037" i="1"/>
  <c r="AL1037" i="1" s="1"/>
  <c r="AK1036" i="1"/>
  <c r="AL1036" i="1" s="1"/>
  <c r="AK1035" i="1"/>
  <c r="AL1035" i="1" s="1"/>
  <c r="AK1034" i="1"/>
  <c r="AL1034" i="1" s="1"/>
  <c r="AK1032" i="1"/>
  <c r="AL1032" i="1" s="1"/>
  <c r="AK1031" i="1"/>
  <c r="AL1031" i="1" s="1"/>
  <c r="AK1030" i="1"/>
  <c r="AL1030" i="1" s="1"/>
  <c r="AK1028" i="1"/>
  <c r="AL1028" i="1" s="1"/>
  <c r="AK1024" i="1"/>
  <c r="AL1024" i="1" s="1"/>
  <c r="AK1020" i="1"/>
  <c r="AL1020" i="1" s="1"/>
  <c r="AK1017" i="1"/>
  <c r="AL1017" i="1" s="1"/>
  <c r="AK1014" i="1"/>
  <c r="AL1014" i="1" s="1"/>
  <c r="AK1013" i="1"/>
  <c r="AL1013" i="1" s="1"/>
  <c r="AK1012" i="1"/>
  <c r="AL1012" i="1" s="1"/>
  <c r="AK1011" i="1"/>
  <c r="AL1011" i="1" s="1"/>
  <c r="AK1010" i="1"/>
  <c r="AL1010" i="1" s="1"/>
  <c r="AK1008" i="1"/>
  <c r="AL1008" i="1" s="1"/>
  <c r="AK1007" i="1"/>
  <c r="AL1007" i="1" s="1"/>
  <c r="AK1005" i="1"/>
  <c r="AL1005" i="1" s="1"/>
  <c r="AK1004" i="1"/>
  <c r="AL1004" i="1" s="1"/>
  <c r="AK997" i="1"/>
  <c r="AL997" i="1" s="1"/>
  <c r="AK996" i="1"/>
  <c r="AL996" i="1" s="1"/>
  <c r="AK994" i="1"/>
  <c r="AL994" i="1" s="1"/>
  <c r="AK993" i="1"/>
  <c r="AL993" i="1" s="1"/>
  <c r="AK992" i="1"/>
  <c r="AL992" i="1" s="1"/>
  <c r="AK991" i="1"/>
  <c r="AL991" i="1" s="1"/>
  <c r="AK990" i="1"/>
  <c r="AL990" i="1" s="1"/>
  <c r="AK988" i="1"/>
  <c r="AL988" i="1" s="1"/>
  <c r="AK987" i="1"/>
  <c r="AL987" i="1" s="1"/>
  <c r="AK985" i="1"/>
  <c r="AL985" i="1" s="1"/>
  <c r="AK984" i="1"/>
  <c r="AL984" i="1" s="1"/>
  <c r="AK981" i="1"/>
  <c r="AL981" i="1" s="1"/>
  <c r="AK980" i="1"/>
  <c r="AL980" i="1" s="1"/>
  <c r="AK979" i="1"/>
  <c r="AL979" i="1" s="1"/>
  <c r="AK977" i="1"/>
  <c r="AL977" i="1" s="1"/>
  <c r="AK976" i="1"/>
  <c r="AL976" i="1" s="1"/>
  <c r="AK973" i="1"/>
  <c r="AL973" i="1" s="1"/>
  <c r="AK972" i="1"/>
  <c r="AL972" i="1" s="1"/>
  <c r="AK971" i="1"/>
  <c r="AL971" i="1" s="1"/>
  <c r="AK970" i="1"/>
  <c r="AL970" i="1" s="1"/>
  <c r="AK969" i="1"/>
  <c r="AL969" i="1" s="1"/>
  <c r="AK968" i="1"/>
  <c r="AL968" i="1" s="1"/>
  <c r="AK967" i="1"/>
  <c r="AL967" i="1" s="1"/>
  <c r="AK965" i="1"/>
  <c r="AL965" i="1" s="1"/>
  <c r="AK963" i="1"/>
  <c r="AL963" i="1" s="1"/>
  <c r="AK962" i="1"/>
  <c r="AL962" i="1" s="1"/>
  <c r="AK961" i="1"/>
  <c r="AL961" i="1" s="1"/>
  <c r="AK960" i="1"/>
  <c r="AL960" i="1" s="1"/>
  <c r="AK959" i="1"/>
  <c r="AL959" i="1" s="1"/>
  <c r="AK958" i="1"/>
  <c r="AL958" i="1" s="1"/>
  <c r="AK957" i="1"/>
  <c r="AL957" i="1" s="1"/>
  <c r="AK955" i="1"/>
  <c r="AL955" i="1" s="1"/>
  <c r="AK954" i="1"/>
  <c r="AL954" i="1" s="1"/>
  <c r="AK951" i="1"/>
  <c r="AL951" i="1" s="1"/>
  <c r="AK950" i="1"/>
  <c r="AL950" i="1" s="1"/>
  <c r="AK949" i="1"/>
  <c r="AL949" i="1" s="1"/>
  <c r="AK948" i="1"/>
  <c r="AL948" i="1" s="1"/>
  <c r="AK947" i="1"/>
  <c r="AL947" i="1" s="1"/>
  <c r="AK945" i="1"/>
  <c r="AL945" i="1" s="1"/>
  <c r="AK944" i="1"/>
  <c r="AL944" i="1" s="1"/>
  <c r="AK940" i="1"/>
  <c r="AL940" i="1" s="1"/>
  <c r="AK938" i="1"/>
  <c r="AL938" i="1" s="1"/>
  <c r="AK937" i="1"/>
  <c r="AL937" i="1" s="1"/>
  <c r="AK936" i="1"/>
  <c r="AL936" i="1" s="1"/>
  <c r="AK934" i="1"/>
  <c r="AL934" i="1" s="1"/>
  <c r="AK933" i="1"/>
  <c r="AL933" i="1" s="1"/>
  <c r="AK932" i="1"/>
  <c r="AL932" i="1" s="1"/>
  <c r="AK931" i="1"/>
  <c r="AL931" i="1" s="1"/>
  <c r="AK930" i="1"/>
  <c r="AL930" i="1" s="1"/>
  <c r="AK929" i="1"/>
  <c r="AL929" i="1" s="1"/>
  <c r="AK919" i="1"/>
  <c r="AL919" i="1" s="1"/>
  <c r="AK918" i="1"/>
  <c r="AL918" i="1" s="1"/>
  <c r="AK915" i="1"/>
  <c r="AL915" i="1" s="1"/>
  <c r="AK914" i="1"/>
  <c r="AL914" i="1" s="1"/>
  <c r="AK913" i="1"/>
  <c r="AL913" i="1" s="1"/>
  <c r="AK912" i="1"/>
  <c r="AL912" i="1" s="1"/>
  <c r="AK910" i="1"/>
  <c r="AL910" i="1" s="1"/>
  <c r="AK909" i="1"/>
  <c r="AL909" i="1" s="1"/>
  <c r="AK908" i="1"/>
  <c r="AL908" i="1" s="1"/>
  <c r="AK907" i="1"/>
  <c r="AL907" i="1" s="1"/>
  <c r="AK906" i="1"/>
  <c r="AL906" i="1" s="1"/>
  <c r="AK905" i="1"/>
  <c r="AL905" i="1" s="1"/>
  <c r="AK901" i="1"/>
  <c r="AL901" i="1" s="1"/>
  <c r="AK897" i="1"/>
  <c r="AL897" i="1" s="1"/>
  <c r="AK895" i="1"/>
  <c r="AL895" i="1" s="1"/>
  <c r="AK894" i="1"/>
  <c r="AL894" i="1" s="1"/>
  <c r="AK893" i="1"/>
  <c r="AL893" i="1" s="1"/>
  <c r="AK892" i="1"/>
  <c r="AL892" i="1" s="1"/>
  <c r="AK891" i="1"/>
  <c r="AL891" i="1" s="1"/>
  <c r="AK890" i="1"/>
  <c r="AL890" i="1" s="1"/>
  <c r="AK888" i="1"/>
  <c r="AL888" i="1" s="1"/>
  <c r="AK886" i="1"/>
  <c r="AL886" i="1" s="1"/>
  <c r="AK884" i="1"/>
  <c r="AL884" i="1" s="1"/>
  <c r="AK880" i="1"/>
  <c r="AL880" i="1" s="1"/>
  <c r="AK879" i="1"/>
  <c r="AL879" i="1" s="1"/>
  <c r="AK878" i="1"/>
  <c r="AL878" i="1" s="1"/>
  <c r="AK877" i="1"/>
  <c r="AL877" i="1" s="1"/>
  <c r="AK875" i="1"/>
  <c r="AL875" i="1" s="1"/>
  <c r="AK874" i="1"/>
  <c r="AL874" i="1" s="1"/>
  <c r="AK873" i="1"/>
  <c r="AL873" i="1" s="1"/>
  <c r="AK872" i="1"/>
  <c r="AL872" i="1" s="1"/>
  <c r="AK871" i="1"/>
  <c r="AL871" i="1" s="1"/>
  <c r="AK870" i="1"/>
  <c r="AL870" i="1" s="1"/>
  <c r="AK869" i="1"/>
  <c r="AL869" i="1" s="1"/>
  <c r="AK868" i="1"/>
  <c r="AL868" i="1" s="1"/>
  <c r="AK865" i="1"/>
  <c r="AL865" i="1" s="1"/>
  <c r="AK864" i="1"/>
  <c r="AL864" i="1" s="1"/>
  <c r="AK863" i="1"/>
  <c r="AL863" i="1" s="1"/>
  <c r="AK862" i="1"/>
  <c r="AL862" i="1" s="1"/>
  <c r="AK859" i="1"/>
  <c r="AL859" i="1" s="1"/>
  <c r="AK856" i="1"/>
  <c r="AL856" i="1" s="1"/>
  <c r="AK855" i="1"/>
  <c r="AL855" i="1" s="1"/>
  <c r="AK854" i="1"/>
  <c r="AL854" i="1" s="1"/>
  <c r="AK852" i="1"/>
  <c r="AL852" i="1" s="1"/>
  <c r="AK850" i="1"/>
  <c r="AL850" i="1" s="1"/>
  <c r="AK849" i="1"/>
  <c r="AL849" i="1" s="1"/>
  <c r="AK848" i="1"/>
  <c r="AL848" i="1" s="1"/>
  <c r="AK847" i="1"/>
  <c r="AL847" i="1" s="1"/>
  <c r="AK846" i="1"/>
  <c r="AL846" i="1" s="1"/>
  <c r="AK845" i="1"/>
  <c r="AL845" i="1" s="1"/>
  <c r="AK843" i="1"/>
  <c r="AL843" i="1" s="1"/>
  <c r="AK841" i="1"/>
  <c r="AL841" i="1" s="1"/>
  <c r="AK836" i="1"/>
  <c r="AL836" i="1" s="1"/>
  <c r="AK835" i="1"/>
  <c r="AL835" i="1" s="1"/>
  <c r="AK834" i="1"/>
  <c r="AL834" i="1" s="1"/>
  <c r="AK833" i="1"/>
  <c r="AL833" i="1" s="1"/>
  <c r="AK831" i="1"/>
  <c r="AL831" i="1" s="1"/>
  <c r="AK830" i="1"/>
  <c r="AL830" i="1" s="1"/>
  <c r="AK828" i="1"/>
  <c r="AL828" i="1" s="1"/>
  <c r="AK826" i="1"/>
  <c r="AL826" i="1" s="1"/>
  <c r="AK822" i="1"/>
  <c r="AL822" i="1" s="1"/>
  <c r="AK820" i="1"/>
  <c r="AL820" i="1" s="1"/>
  <c r="AK819" i="1"/>
  <c r="AL819" i="1" s="1"/>
  <c r="AK814" i="1"/>
  <c r="AL814" i="1" s="1"/>
  <c r="AK812" i="1"/>
  <c r="AL812" i="1" s="1"/>
  <c r="AK811" i="1"/>
  <c r="AL811" i="1" s="1"/>
  <c r="AK810" i="1"/>
  <c r="AL810" i="1" s="1"/>
  <c r="AK809" i="1"/>
  <c r="AL809" i="1" s="1"/>
  <c r="AK808" i="1"/>
  <c r="AL808" i="1" s="1"/>
  <c r="AK805" i="1"/>
  <c r="AL805" i="1" s="1"/>
  <c r="AK802" i="1"/>
  <c r="AL802" i="1" s="1"/>
  <c r="AK800" i="1"/>
  <c r="AL800" i="1" s="1"/>
  <c r="AK799" i="1"/>
  <c r="AL799" i="1" s="1"/>
  <c r="AK796" i="1"/>
  <c r="AL796" i="1" s="1"/>
  <c r="AK794" i="1"/>
  <c r="AL794" i="1" s="1"/>
  <c r="AK793" i="1"/>
  <c r="AL793" i="1" s="1"/>
  <c r="AK788" i="1"/>
  <c r="AL788" i="1" s="1"/>
  <c r="AK785" i="1"/>
  <c r="AL785" i="1" s="1"/>
  <c r="AK782" i="1"/>
  <c r="AL782" i="1" s="1"/>
  <c r="AK781" i="1"/>
  <c r="AL781" i="1" s="1"/>
  <c r="AK780" i="1"/>
  <c r="AL780" i="1" s="1"/>
  <c r="AK778" i="1"/>
  <c r="AL778" i="1" s="1"/>
  <c r="AK777" i="1"/>
  <c r="AL777" i="1" s="1"/>
  <c r="AK776" i="1"/>
  <c r="AL776" i="1" s="1"/>
  <c r="AK774" i="1"/>
  <c r="AL774" i="1" s="1"/>
  <c r="AK773" i="1"/>
  <c r="AL773" i="1" s="1"/>
  <c r="AK770" i="1"/>
  <c r="AL770" i="1" s="1"/>
  <c r="AK769" i="1"/>
  <c r="AL769" i="1" s="1"/>
  <c r="AK764" i="1"/>
  <c r="AL764" i="1" s="1"/>
  <c r="AK760" i="1"/>
  <c r="AL760" i="1" s="1"/>
  <c r="AK751" i="1"/>
  <c r="AL751" i="1" s="1"/>
  <c r="AK747" i="1"/>
  <c r="AL747" i="1" s="1"/>
  <c r="AK746" i="1"/>
  <c r="AL746" i="1" s="1"/>
  <c r="AK743" i="1"/>
  <c r="AL743" i="1" s="1"/>
  <c r="AK742" i="1"/>
  <c r="AL742" i="1" s="1"/>
  <c r="AK734" i="1"/>
  <c r="AL734" i="1" s="1"/>
  <c r="AK733" i="1"/>
  <c r="AL733" i="1" s="1"/>
  <c r="AK732" i="1"/>
  <c r="AL732" i="1" s="1"/>
  <c r="AK730" i="1"/>
  <c r="AL730" i="1" s="1"/>
  <c r="AK726" i="1"/>
  <c r="AL726" i="1" s="1"/>
  <c r="AK725" i="1"/>
  <c r="AL725" i="1" s="1"/>
  <c r="AK716" i="1"/>
  <c r="AL716" i="1" s="1"/>
  <c r="AK687" i="1"/>
  <c r="AL687" i="1" s="1"/>
  <c r="AK685" i="1"/>
  <c r="AL685" i="1" s="1"/>
  <c r="AK680" i="1"/>
  <c r="AL680" i="1" s="1"/>
  <c r="AK676" i="1"/>
  <c r="AL676" i="1" s="1"/>
  <c r="AK674" i="1"/>
  <c r="AL674" i="1" s="1"/>
  <c r="AK672" i="1"/>
  <c r="AL672" i="1" s="1"/>
  <c r="AK667" i="1"/>
  <c r="AL667" i="1" s="1"/>
  <c r="AK666" i="1"/>
  <c r="AL666" i="1" s="1"/>
  <c r="AK662" i="1"/>
  <c r="AL662" i="1" s="1"/>
  <c r="AK661" i="1"/>
  <c r="AL661" i="1" s="1"/>
  <c r="AK660" i="1"/>
  <c r="AL660" i="1" s="1"/>
  <c r="AK658" i="1"/>
  <c r="AL658" i="1" s="1"/>
  <c r="AK656" i="1"/>
  <c r="AL656" i="1" s="1"/>
  <c r="AK655" i="1"/>
  <c r="AL655" i="1" s="1"/>
  <c r="AK654" i="1"/>
  <c r="AL654" i="1" s="1"/>
  <c r="AK649" i="1"/>
  <c r="AL649" i="1" s="1"/>
  <c r="AK648" i="1"/>
  <c r="AL648" i="1" s="1"/>
  <c r="AK647" i="1"/>
  <c r="AL647" i="1" s="1"/>
  <c r="AK646" i="1"/>
  <c r="AL646" i="1" s="1"/>
  <c r="AK644" i="1"/>
  <c r="AL644" i="1" s="1"/>
  <c r="AK640" i="1"/>
  <c r="AL640" i="1" s="1"/>
  <c r="AK639" i="1"/>
  <c r="AL639" i="1" s="1"/>
  <c r="AK636" i="1"/>
  <c r="AL636" i="1" s="1"/>
  <c r="AK635" i="1"/>
  <c r="AL635" i="1" s="1"/>
  <c r="AK634" i="1"/>
  <c r="AL634" i="1" s="1"/>
  <c r="AK633" i="1"/>
  <c r="AL633" i="1" s="1"/>
  <c r="AK632" i="1"/>
  <c r="AL632" i="1" s="1"/>
  <c r="AK630" i="1"/>
  <c r="AL630" i="1" s="1"/>
  <c r="AK628" i="1"/>
  <c r="AL628" i="1" s="1"/>
  <c r="AK627" i="1"/>
  <c r="AL627" i="1" s="1"/>
  <c r="AK626" i="1"/>
  <c r="AL626" i="1" s="1"/>
  <c r="AK625" i="1"/>
  <c r="AL625" i="1" s="1"/>
  <c r="AK623" i="1"/>
  <c r="AL623" i="1" s="1"/>
  <c r="AK622" i="1"/>
  <c r="AL622" i="1" s="1"/>
  <c r="AK620" i="1"/>
  <c r="AL620" i="1" s="1"/>
  <c r="AK618" i="1"/>
  <c r="AL618" i="1" s="1"/>
  <c r="AK617" i="1"/>
  <c r="AL617" i="1" s="1"/>
  <c r="AK614" i="1"/>
  <c r="AL614" i="1" s="1"/>
  <c r="AK608" i="1"/>
  <c r="AL608" i="1" s="1"/>
  <c r="AK605" i="1"/>
  <c r="AL605" i="1" s="1"/>
  <c r="AK604" i="1"/>
  <c r="AL604" i="1" s="1"/>
  <c r="AK600" i="1"/>
  <c r="AL600" i="1" s="1"/>
  <c r="AK594" i="1"/>
  <c r="AL594" i="1" s="1"/>
  <c r="AK592" i="1"/>
  <c r="AL592" i="1" s="1"/>
  <c r="AK591" i="1"/>
  <c r="AL591" i="1" s="1"/>
  <c r="AK590" i="1"/>
  <c r="AL590" i="1" s="1"/>
  <c r="AK589" i="1"/>
  <c r="AL589" i="1" s="1"/>
  <c r="AK578" i="1"/>
  <c r="AL578" i="1" s="1"/>
  <c r="AK576" i="1"/>
  <c r="AL576" i="1" s="1"/>
  <c r="AK573" i="1"/>
  <c r="AL573" i="1" s="1"/>
  <c r="AK572" i="1"/>
  <c r="AL572" i="1" s="1"/>
  <c r="AK571" i="1"/>
  <c r="AL571" i="1" s="1"/>
  <c r="AK570" i="1"/>
  <c r="AL570" i="1" s="1"/>
  <c r="AK569" i="1"/>
  <c r="AL569" i="1" s="1"/>
  <c r="AK565" i="1"/>
  <c r="AL565" i="1" s="1"/>
  <c r="AK564" i="1"/>
  <c r="AL564" i="1" s="1"/>
  <c r="AK563" i="1"/>
  <c r="AL563" i="1" s="1"/>
  <c r="AK560" i="1"/>
  <c r="AL560" i="1" s="1"/>
  <c r="AK558" i="1"/>
  <c r="AL558" i="1" s="1"/>
  <c r="AK555" i="1"/>
  <c r="AL555" i="1" s="1"/>
  <c r="AK551" i="1"/>
  <c r="AL551" i="1" s="1"/>
  <c r="AK550" i="1"/>
  <c r="AL550" i="1" s="1"/>
  <c r="AK549" i="1"/>
  <c r="AL549" i="1" s="1"/>
  <c r="AK548" i="1"/>
  <c r="AL548" i="1" s="1"/>
  <c r="AK547" i="1"/>
  <c r="AL547" i="1" s="1"/>
  <c r="AK545" i="1"/>
  <c r="AL545" i="1" s="1"/>
  <c r="AK542" i="1"/>
  <c r="AL542" i="1" s="1"/>
  <c r="AK541" i="1"/>
  <c r="AL541" i="1" s="1"/>
  <c r="AK539" i="1"/>
  <c r="AL539" i="1" s="1"/>
  <c r="AK538" i="1"/>
  <c r="AL538" i="1" s="1"/>
  <c r="AK531" i="1"/>
  <c r="AL531" i="1" s="1"/>
  <c r="AK526" i="1"/>
  <c r="AL526" i="1" s="1"/>
  <c r="AK525" i="1"/>
  <c r="AL525" i="1" s="1"/>
  <c r="AK524" i="1"/>
  <c r="AL524" i="1" s="1"/>
  <c r="AK523" i="1"/>
  <c r="AL523" i="1" s="1"/>
  <c r="AK522" i="1"/>
  <c r="AL522" i="1" s="1"/>
  <c r="AK521" i="1"/>
  <c r="AL521" i="1" s="1"/>
  <c r="AK520" i="1"/>
  <c r="AL520" i="1" s="1"/>
  <c r="AK519" i="1"/>
  <c r="AL519" i="1" s="1"/>
  <c r="AK518" i="1"/>
  <c r="AL518" i="1" s="1"/>
  <c r="AK516" i="1"/>
  <c r="AL516" i="1" s="1"/>
  <c r="AK515" i="1"/>
  <c r="AL515" i="1" s="1"/>
  <c r="AK514" i="1"/>
  <c r="AL514" i="1" s="1"/>
  <c r="AK513" i="1"/>
  <c r="AL513" i="1" s="1"/>
  <c r="AK512" i="1"/>
  <c r="AL512" i="1" s="1"/>
  <c r="AK506" i="1"/>
  <c r="AL506" i="1" s="1"/>
  <c r="AK504" i="1"/>
  <c r="AL504" i="1" s="1"/>
  <c r="AK503" i="1"/>
  <c r="AL503" i="1" s="1"/>
  <c r="AK501" i="1"/>
  <c r="AL501" i="1" s="1"/>
  <c r="AK498" i="1"/>
  <c r="AL498" i="1" s="1"/>
  <c r="AK493" i="1"/>
  <c r="AL493" i="1" s="1"/>
  <c r="AK492" i="1"/>
  <c r="AL492" i="1" s="1"/>
  <c r="AK491" i="1"/>
  <c r="AL491" i="1" s="1"/>
  <c r="AK490" i="1"/>
  <c r="AL490" i="1" s="1"/>
  <c r="AK485" i="1"/>
  <c r="AL485" i="1" s="1"/>
  <c r="AK483" i="1"/>
  <c r="AL483" i="1" s="1"/>
  <c r="AK482" i="1"/>
  <c r="AL482" i="1" s="1"/>
  <c r="AK481" i="1"/>
  <c r="AL481" i="1" s="1"/>
  <c r="AK479" i="1"/>
  <c r="AL479" i="1" s="1"/>
  <c r="AK475" i="1"/>
  <c r="AL475" i="1" s="1"/>
  <c r="AK474" i="1"/>
  <c r="AL474" i="1" s="1"/>
  <c r="AK473" i="1"/>
  <c r="AL473" i="1" s="1"/>
  <c r="AK472" i="1"/>
  <c r="AL472" i="1" s="1"/>
  <c r="AK471" i="1"/>
  <c r="AL471" i="1" s="1"/>
  <c r="AK470" i="1"/>
  <c r="AL470" i="1" s="1"/>
  <c r="AK469" i="1"/>
  <c r="AL469" i="1" s="1"/>
  <c r="AK461" i="1"/>
  <c r="AL461" i="1" s="1"/>
  <c r="AK460" i="1"/>
  <c r="AL460" i="1" s="1"/>
  <c r="AK459" i="1"/>
  <c r="AL459" i="1" s="1"/>
  <c r="AK458" i="1"/>
  <c r="AL458" i="1" s="1"/>
  <c r="AK457" i="1"/>
  <c r="AL457" i="1" s="1"/>
  <c r="AK456" i="1"/>
  <c r="AL456" i="1" s="1"/>
  <c r="AK454" i="1"/>
  <c r="AL454" i="1" s="1"/>
  <c r="AK453" i="1"/>
  <c r="AL453" i="1" s="1"/>
  <c r="AK449" i="1"/>
  <c r="AL449" i="1" s="1"/>
  <c r="AK447" i="1"/>
  <c r="AL447" i="1" s="1"/>
  <c r="AK444" i="1"/>
  <c r="AL444" i="1" s="1"/>
  <c r="AK441" i="1"/>
  <c r="AL441" i="1" s="1"/>
  <c r="AK436" i="1"/>
  <c r="AL436" i="1" s="1"/>
  <c r="AK435" i="1"/>
  <c r="AL435" i="1" s="1"/>
  <c r="AK432" i="1"/>
  <c r="AL432" i="1" s="1"/>
  <c r="AK430" i="1"/>
  <c r="AL430" i="1" s="1"/>
  <c r="AK429" i="1"/>
  <c r="AL429" i="1" s="1"/>
  <c r="AK428" i="1"/>
  <c r="AL428" i="1" s="1"/>
  <c r="AK427" i="1"/>
  <c r="AL427" i="1" s="1"/>
  <c r="AK406" i="1"/>
  <c r="AL406" i="1" s="1"/>
  <c r="AK405" i="1"/>
  <c r="AL405" i="1" s="1"/>
  <c r="AK397" i="1"/>
  <c r="AL397" i="1" s="1"/>
  <c r="AK394" i="1"/>
  <c r="AL394" i="1" s="1"/>
  <c r="AK393" i="1"/>
  <c r="AL393" i="1" s="1"/>
  <c r="AK390" i="1"/>
  <c r="AL390" i="1" s="1"/>
  <c r="AK389" i="1"/>
  <c r="AL389" i="1" s="1"/>
  <c r="AK388" i="1"/>
  <c r="AL388" i="1" s="1"/>
  <c r="AK387" i="1"/>
  <c r="AL387" i="1" s="1"/>
  <c r="AK381" i="1"/>
  <c r="AL381" i="1" s="1"/>
  <c r="AK380" i="1"/>
  <c r="AL380" i="1" s="1"/>
  <c r="AK374" i="1"/>
  <c r="AL374" i="1" s="1"/>
  <c r="AK371" i="1"/>
  <c r="AL371" i="1" s="1"/>
  <c r="AK370" i="1"/>
  <c r="AL370" i="1" s="1"/>
  <c r="AK367" i="1"/>
  <c r="AL367" i="1" s="1"/>
  <c r="AK364" i="1"/>
  <c r="AL364" i="1" s="1"/>
  <c r="AK363" i="1"/>
  <c r="AL363" i="1" s="1"/>
  <c r="AK362" i="1"/>
  <c r="AL362" i="1" s="1"/>
  <c r="AK361" i="1"/>
  <c r="AL361" i="1" s="1"/>
  <c r="AK359" i="1"/>
  <c r="AL359" i="1" s="1"/>
  <c r="AK358" i="1"/>
  <c r="AL358" i="1" s="1"/>
  <c r="AK356" i="1"/>
  <c r="AL356" i="1" s="1"/>
  <c r="AK355" i="1"/>
  <c r="AL355" i="1" s="1"/>
  <c r="AK354" i="1"/>
  <c r="AL354" i="1" s="1"/>
  <c r="AK351" i="1"/>
  <c r="AL351" i="1" s="1"/>
  <c r="AK349" i="1"/>
  <c r="AL349" i="1" s="1"/>
  <c r="AK348" i="1"/>
  <c r="AL348" i="1" s="1"/>
  <c r="AK347" i="1"/>
  <c r="AL347" i="1" s="1"/>
  <c r="AK346" i="1"/>
  <c r="AL346" i="1" s="1"/>
  <c r="AK345" i="1"/>
  <c r="AL345" i="1" s="1"/>
  <c r="AK343" i="1"/>
  <c r="AL343" i="1" s="1"/>
  <c r="AK338" i="1"/>
  <c r="AL338" i="1" s="1"/>
  <c r="AK337" i="1"/>
  <c r="AL337" i="1" s="1"/>
  <c r="AK336" i="1"/>
  <c r="AL336" i="1" s="1"/>
  <c r="AK335" i="1"/>
  <c r="AL335" i="1" s="1"/>
  <c r="AK332" i="1"/>
  <c r="AL332" i="1" s="1"/>
  <c r="AK331" i="1"/>
  <c r="AL331" i="1" s="1"/>
  <c r="AK330" i="1"/>
  <c r="AL330" i="1" s="1"/>
  <c r="AK325" i="1"/>
  <c r="AL325" i="1" s="1"/>
  <c r="AK323" i="1"/>
  <c r="AL323" i="1" s="1"/>
  <c r="AK320" i="1"/>
  <c r="AL320" i="1" s="1"/>
  <c r="AK318" i="1"/>
  <c r="AL318" i="1" s="1"/>
  <c r="AK316" i="1"/>
  <c r="AL316" i="1" s="1"/>
  <c r="AK315" i="1"/>
  <c r="AL315" i="1" s="1"/>
  <c r="AK314" i="1"/>
  <c r="AL314" i="1" s="1"/>
  <c r="AK313" i="1"/>
  <c r="AL313" i="1" s="1"/>
  <c r="AK312" i="1"/>
  <c r="AL312" i="1" s="1"/>
  <c r="AK311" i="1"/>
  <c r="AL311" i="1" s="1"/>
  <c r="AK310" i="1"/>
  <c r="AL310" i="1" s="1"/>
  <c r="AK309" i="1"/>
  <c r="AL309" i="1" s="1"/>
  <c r="AK308" i="1"/>
  <c r="AL308" i="1" s="1"/>
  <c r="AK304" i="1"/>
  <c r="AL304" i="1" s="1"/>
  <c r="AK303" i="1"/>
  <c r="AL303" i="1" s="1"/>
  <c r="AK301" i="1"/>
  <c r="AL301" i="1" s="1"/>
  <c r="AK299" i="1"/>
  <c r="AL299" i="1" s="1"/>
  <c r="AK295" i="1"/>
  <c r="AL295" i="1" s="1"/>
  <c r="AK294" i="1"/>
  <c r="AL294" i="1" s="1"/>
  <c r="AK293" i="1"/>
  <c r="AL293" i="1" s="1"/>
  <c r="AK291" i="1"/>
  <c r="AL291" i="1" s="1"/>
  <c r="AK290" i="1"/>
  <c r="AL290" i="1" s="1"/>
  <c r="AK288" i="1"/>
  <c r="AL288" i="1" s="1"/>
  <c r="AK287" i="1"/>
  <c r="AL287" i="1" s="1"/>
  <c r="AK283" i="1"/>
  <c r="AL283" i="1" s="1"/>
  <c r="AK282" i="1"/>
  <c r="AL282" i="1" s="1"/>
  <c r="AK278" i="1"/>
  <c r="AL278" i="1" s="1"/>
  <c r="AK276" i="1"/>
  <c r="AL276" i="1" s="1"/>
  <c r="AK274" i="1"/>
  <c r="AL274" i="1" s="1"/>
  <c r="AK273" i="1"/>
  <c r="AL273" i="1" s="1"/>
  <c r="AK272" i="1"/>
  <c r="AL272" i="1" s="1"/>
  <c r="AK271" i="1"/>
  <c r="AL271" i="1" s="1"/>
  <c r="AK268" i="1"/>
  <c r="AL268" i="1" s="1"/>
  <c r="AK267" i="1"/>
  <c r="AL267" i="1" s="1"/>
  <c r="AK266" i="1"/>
  <c r="AL266" i="1" s="1"/>
  <c r="AK265" i="1"/>
  <c r="AL265" i="1" s="1"/>
  <c r="AK263" i="1"/>
  <c r="AL263" i="1" s="1"/>
  <c r="AK262" i="1"/>
  <c r="AL262" i="1" s="1"/>
  <c r="AK260" i="1"/>
  <c r="AL260" i="1" s="1"/>
  <c r="AK257" i="1"/>
  <c r="AL257" i="1" s="1"/>
  <c r="AK256" i="1"/>
  <c r="AL256" i="1" s="1"/>
  <c r="AK255" i="1"/>
  <c r="AL255" i="1" s="1"/>
  <c r="AK254" i="1"/>
  <c r="AL254" i="1" s="1"/>
  <c r="AK252" i="1"/>
  <c r="AL252" i="1" s="1"/>
  <c r="AK250" i="1"/>
  <c r="AL250" i="1" s="1"/>
  <c r="AK238" i="1"/>
  <c r="AL238" i="1" s="1"/>
  <c r="AK237" i="1"/>
  <c r="AL237" i="1" s="1"/>
  <c r="AK236" i="1"/>
  <c r="AL236" i="1" s="1"/>
  <c r="AK235" i="1"/>
  <c r="AL235" i="1" s="1"/>
  <c r="AK226" i="1"/>
  <c r="AL226" i="1" s="1"/>
  <c r="AK225" i="1"/>
  <c r="AL225" i="1" s="1"/>
  <c r="AK213" i="1"/>
  <c r="AL213" i="1" s="1"/>
  <c r="AK211" i="1"/>
  <c r="AL211" i="1" s="1"/>
  <c r="AK210" i="1"/>
  <c r="AL210" i="1" s="1"/>
  <c r="AK206" i="1"/>
  <c r="AL206" i="1" s="1"/>
  <c r="AK204" i="1"/>
  <c r="AL204" i="1" s="1"/>
  <c r="AK200" i="1"/>
  <c r="AL200" i="1" s="1"/>
  <c r="AK199" i="1"/>
  <c r="AL199" i="1" s="1"/>
  <c r="AK197" i="1"/>
  <c r="AL197" i="1" s="1"/>
  <c r="AK195" i="1"/>
  <c r="AL195" i="1" s="1"/>
  <c r="AK194" i="1"/>
  <c r="AL194" i="1" s="1"/>
  <c r="AK193" i="1"/>
  <c r="AL193" i="1" s="1"/>
  <c r="AK192" i="1"/>
  <c r="AL192" i="1" s="1"/>
  <c r="AK189" i="1"/>
  <c r="AL189" i="1" s="1"/>
  <c r="AK188" i="1"/>
  <c r="AL188" i="1" s="1"/>
  <c r="AK187" i="1"/>
  <c r="AL187" i="1" s="1"/>
  <c r="AK186" i="1"/>
  <c r="AL186" i="1" s="1"/>
  <c r="AK180" i="1"/>
  <c r="AL180" i="1" s="1"/>
  <c r="AK173" i="1"/>
  <c r="AL173" i="1" s="1"/>
  <c r="AK170" i="1"/>
  <c r="AL170" i="1" s="1"/>
  <c r="AK167" i="1"/>
  <c r="AL167" i="1" s="1"/>
  <c r="AK164" i="1"/>
  <c r="AL164" i="1" s="1"/>
  <c r="AK163" i="1"/>
  <c r="AL163" i="1" s="1"/>
  <c r="AK162" i="1"/>
  <c r="AL162" i="1" s="1"/>
  <c r="AK161" i="1"/>
  <c r="AL161" i="1" s="1"/>
  <c r="AK160" i="1"/>
  <c r="AL160" i="1" s="1"/>
  <c r="AK157" i="1"/>
  <c r="AL157" i="1" s="1"/>
  <c r="AK156" i="1"/>
  <c r="AL156" i="1" s="1"/>
  <c r="AK152" i="1"/>
  <c r="AL152" i="1" s="1"/>
  <c r="AK144" i="1"/>
  <c r="AL144" i="1" s="1"/>
  <c r="AK143" i="1"/>
  <c r="AL143" i="1" s="1"/>
  <c r="AK142" i="1"/>
  <c r="AL142" i="1" s="1"/>
  <c r="AK136" i="1"/>
  <c r="AL136" i="1" s="1"/>
  <c r="AK133" i="1"/>
  <c r="AL133" i="1" s="1"/>
  <c r="AK132" i="1"/>
  <c r="AL132" i="1" s="1"/>
  <c r="AK131" i="1"/>
  <c r="AL131" i="1" s="1"/>
  <c r="AK129" i="1"/>
  <c r="AL129" i="1" s="1"/>
  <c r="AK128" i="1"/>
  <c r="AL128" i="1" s="1"/>
  <c r="AK127" i="1"/>
  <c r="AL127" i="1" s="1"/>
  <c r="AK126" i="1"/>
  <c r="AL126" i="1" s="1"/>
  <c r="AK124" i="1"/>
  <c r="AL124" i="1" s="1"/>
  <c r="AK123" i="1"/>
  <c r="AL123" i="1" s="1"/>
  <c r="AK122" i="1"/>
  <c r="AL122" i="1" s="1"/>
  <c r="AK120" i="1"/>
  <c r="AL120" i="1" s="1"/>
  <c r="AK119" i="1"/>
  <c r="AL119" i="1" s="1"/>
  <c r="AK118" i="1"/>
  <c r="AL118" i="1" s="1"/>
  <c r="AK117" i="1"/>
  <c r="AL117" i="1" s="1"/>
  <c r="AK115" i="1"/>
  <c r="AL115" i="1" s="1"/>
  <c r="AK114" i="1"/>
  <c r="AL114" i="1" s="1"/>
  <c r="AK113" i="1"/>
  <c r="AL113" i="1" s="1"/>
  <c r="AK112" i="1"/>
  <c r="AL112" i="1" s="1"/>
  <c r="AK110" i="1"/>
  <c r="AL110" i="1" s="1"/>
  <c r="AK109" i="1"/>
  <c r="AL109" i="1" s="1"/>
  <c r="AK108" i="1"/>
  <c r="AL108" i="1" s="1"/>
  <c r="AK103" i="1"/>
  <c r="AL103" i="1" s="1"/>
  <c r="AK102" i="1"/>
  <c r="AL102" i="1" s="1"/>
  <c r="AK101" i="1"/>
  <c r="AL101" i="1" s="1"/>
  <c r="AK100" i="1"/>
  <c r="AL100" i="1" s="1"/>
  <c r="AK99" i="1"/>
  <c r="AL99" i="1" s="1"/>
  <c r="AK98" i="1"/>
  <c r="AL98" i="1" s="1"/>
  <c r="AK97" i="1"/>
  <c r="AL97" i="1" s="1"/>
  <c r="AK96" i="1"/>
  <c r="AL96" i="1" s="1"/>
  <c r="AK95" i="1"/>
  <c r="AL95" i="1" s="1"/>
  <c r="AK94" i="1"/>
  <c r="AL94" i="1" s="1"/>
  <c r="AK92" i="1"/>
  <c r="AL92" i="1" s="1"/>
  <c r="AK90" i="1"/>
  <c r="AL90" i="1" s="1"/>
  <c r="AK89" i="1"/>
  <c r="AL89" i="1" s="1"/>
  <c r="AK88" i="1"/>
  <c r="AL88" i="1" s="1"/>
  <c r="AK86" i="1"/>
  <c r="AL86" i="1" s="1"/>
  <c r="AK85" i="1"/>
  <c r="AL85" i="1" s="1"/>
  <c r="AK84" i="1"/>
  <c r="AL84" i="1" s="1"/>
  <c r="AK83" i="1"/>
  <c r="AL83" i="1" s="1"/>
  <c r="AK82" i="1"/>
  <c r="AL82" i="1" s="1"/>
  <c r="AK79" i="1"/>
  <c r="AL79" i="1" s="1"/>
  <c r="AK78" i="1"/>
  <c r="AL78" i="1" s="1"/>
  <c r="AK77" i="1"/>
  <c r="AL77" i="1" s="1"/>
  <c r="AK75" i="1"/>
  <c r="AL75" i="1" s="1"/>
  <c r="AK74" i="1"/>
  <c r="AL74" i="1" s="1"/>
  <c r="AK71" i="1"/>
  <c r="AL71" i="1" s="1"/>
  <c r="AK69" i="1"/>
  <c r="AL69" i="1" s="1"/>
  <c r="AK68" i="1"/>
  <c r="AL68" i="1" s="1"/>
  <c r="AK67" i="1"/>
  <c r="AL67" i="1" s="1"/>
  <c r="AK66" i="1"/>
  <c r="AL66" i="1" s="1"/>
  <c r="AK65" i="1"/>
  <c r="AL65" i="1" s="1"/>
  <c r="AK64" i="1"/>
  <c r="AL64" i="1" s="1"/>
  <c r="AK63" i="1"/>
  <c r="AL63" i="1" s="1"/>
  <c r="AK62" i="1"/>
  <c r="AL62" i="1" s="1"/>
  <c r="AK59" i="1"/>
  <c r="AL59" i="1" s="1"/>
  <c r="AK57" i="1"/>
  <c r="AL57" i="1" s="1"/>
  <c r="AK56" i="1"/>
  <c r="AL56" i="1" s="1"/>
  <c r="AK55" i="1"/>
  <c r="AL55" i="1" s="1"/>
  <c r="AK53" i="1"/>
  <c r="AL53" i="1" s="1"/>
  <c r="AK50" i="1"/>
  <c r="AL50" i="1" s="1"/>
  <c r="AK47" i="1"/>
  <c r="AL47" i="1" s="1"/>
  <c r="AK44" i="1"/>
  <c r="AL44" i="1" s="1"/>
  <c r="AK43" i="1"/>
  <c r="AL43" i="1" s="1"/>
  <c r="AK42" i="1"/>
  <c r="AL42" i="1" s="1"/>
  <c r="AK40" i="1"/>
  <c r="AL40" i="1" s="1"/>
  <c r="AK38" i="1"/>
  <c r="AL38" i="1" s="1"/>
  <c r="AK34" i="1"/>
  <c r="AL34" i="1" s="1"/>
  <c r="AK29" i="1"/>
  <c r="AL29" i="1" s="1"/>
  <c r="AK28" i="1"/>
  <c r="AL28" i="1" s="1"/>
  <c r="AK27" i="1"/>
  <c r="AL27" i="1" s="1"/>
  <c r="AK26" i="1"/>
  <c r="AL26" i="1" s="1"/>
  <c r="AK25" i="1"/>
  <c r="AL25" i="1" s="1"/>
  <c r="AK24" i="1"/>
  <c r="AL24" i="1" s="1"/>
  <c r="AK23" i="1"/>
  <c r="AL23" i="1" s="1"/>
  <c r="AK22" i="1"/>
  <c r="AL22" i="1" s="1"/>
  <c r="AK19" i="1"/>
  <c r="AL19" i="1" s="1"/>
  <c r="AK16" i="1"/>
  <c r="AL16" i="1" s="1"/>
  <c r="AK15" i="1"/>
  <c r="AL15" i="1" s="1"/>
  <c r="AK13" i="1"/>
  <c r="AL13" i="1" s="1"/>
  <c r="AK12" i="1"/>
  <c r="AL12" i="1" s="1"/>
  <c r="AK9" i="1"/>
  <c r="AL9" i="1" s="1"/>
  <c r="AK8" i="1"/>
  <c r="AL8" i="1" s="1"/>
  <c r="AK7" i="1"/>
  <c r="AL7" i="1" s="1"/>
  <c r="AK4" i="1"/>
  <c r="AL4" i="1" s="1"/>
  <c r="AK3" i="1"/>
  <c r="AL3" i="1" s="1"/>
  <c r="AJ2038" i="1"/>
  <c r="AL2038" i="1" s="1"/>
  <c r="AJ2034" i="1"/>
  <c r="AL2034" i="1" s="1"/>
  <c r="AJ2017" i="1"/>
  <c r="AJ2016" i="1"/>
  <c r="AL2016" i="1" s="1"/>
  <c r="AJ2015" i="1"/>
  <c r="AL2015" i="1" s="1"/>
  <c r="AJ2014" i="1"/>
  <c r="AL2014" i="1" s="1"/>
  <c r="AJ2013" i="1"/>
  <c r="AJ2012" i="1"/>
  <c r="AJ2011" i="1"/>
  <c r="AJ2010" i="1"/>
  <c r="AJ2009" i="1"/>
  <c r="AJ2008" i="1"/>
  <c r="AJ2007" i="1"/>
  <c r="AL2007" i="1" s="1"/>
  <c r="AJ2005" i="1"/>
  <c r="AJ2003" i="1"/>
  <c r="AL2003" i="1" s="1"/>
  <c r="AJ2002" i="1"/>
  <c r="AL2002" i="1" s="1"/>
  <c r="AJ2000" i="1"/>
  <c r="AL2000" i="1" s="1"/>
  <c r="AJ1998" i="1"/>
  <c r="AL1998" i="1" s="1"/>
  <c r="AJ1997" i="1"/>
  <c r="AJ1995" i="1"/>
  <c r="AL1995" i="1" s="1"/>
  <c r="AJ1994" i="1"/>
  <c r="AL1994" i="1" s="1"/>
  <c r="AJ1973" i="1"/>
  <c r="AL1973" i="1" s="1"/>
  <c r="AJ1968" i="1"/>
  <c r="AL1968" i="1" s="1"/>
  <c r="AJ1967" i="1"/>
  <c r="AL1967" i="1" s="1"/>
  <c r="AJ1966" i="1"/>
  <c r="AL1966" i="1" s="1"/>
  <c r="AJ1965" i="1"/>
  <c r="AL1965" i="1" s="1"/>
  <c r="AJ1964" i="1"/>
  <c r="AL1964" i="1" s="1"/>
  <c r="AJ1963" i="1"/>
  <c r="AL1963" i="1" s="1"/>
  <c r="AJ1962" i="1"/>
  <c r="AL1962" i="1" s="1"/>
  <c r="AJ1961" i="1"/>
  <c r="AL1961" i="1" s="1"/>
  <c r="AJ1958" i="1"/>
  <c r="AL1958" i="1" s="1"/>
  <c r="AJ1956" i="1"/>
  <c r="AL1956" i="1" s="1"/>
  <c r="AJ1955" i="1"/>
  <c r="AL1955" i="1" s="1"/>
  <c r="AJ1954" i="1"/>
  <c r="AJ1953" i="1"/>
  <c r="AJ1952" i="1"/>
  <c r="AL1952" i="1" s="1"/>
  <c r="AJ1951" i="1"/>
  <c r="AJ1949" i="1"/>
  <c r="AJ1948" i="1"/>
  <c r="AL1948" i="1" s="1"/>
  <c r="AJ1946" i="1"/>
  <c r="AJ1945" i="1"/>
  <c r="AJ1944" i="1"/>
  <c r="AL1944" i="1" s="1"/>
  <c r="AJ1943" i="1"/>
  <c r="AL1943" i="1" s="1"/>
  <c r="AJ1942" i="1"/>
  <c r="AL1942" i="1" s="1"/>
  <c r="AJ1941" i="1"/>
  <c r="AL1941" i="1" s="1"/>
  <c r="AJ1940" i="1"/>
  <c r="AL1940" i="1" s="1"/>
  <c r="AJ1936" i="1"/>
  <c r="AJ1935" i="1"/>
  <c r="AL1935" i="1" s="1"/>
  <c r="AJ1934" i="1"/>
  <c r="AL1934" i="1" s="1"/>
  <c r="AJ1933" i="1"/>
  <c r="AL1933" i="1" s="1"/>
  <c r="AJ1931" i="1"/>
  <c r="AJ1930" i="1"/>
  <c r="AL1930" i="1" s="1"/>
  <c r="AJ1929" i="1"/>
  <c r="AJ1927" i="1"/>
  <c r="AJ1926" i="1"/>
  <c r="AL1926" i="1" s="1"/>
  <c r="AJ1923" i="1"/>
  <c r="AL1923" i="1" s="1"/>
  <c r="AJ1922" i="1"/>
  <c r="AL1922" i="1" s="1"/>
  <c r="AJ1921" i="1"/>
  <c r="AL1921" i="1" s="1"/>
  <c r="AJ1920" i="1"/>
  <c r="AL1920" i="1" s="1"/>
  <c r="AJ1919" i="1"/>
  <c r="AL1919" i="1" s="1"/>
  <c r="AJ1918" i="1"/>
  <c r="AL1918" i="1" s="1"/>
  <c r="AJ1916" i="1"/>
  <c r="AJ1915" i="1"/>
  <c r="AJ1912" i="1"/>
  <c r="AL1912" i="1" s="1"/>
  <c r="AJ1911" i="1"/>
  <c r="AL1911" i="1" s="1"/>
  <c r="AJ1910" i="1"/>
  <c r="AJ1909" i="1"/>
  <c r="AL1909" i="1" s="1"/>
  <c r="AJ1908" i="1"/>
  <c r="AL1908" i="1" s="1"/>
  <c r="AJ1907" i="1"/>
  <c r="AL1907" i="1" s="1"/>
  <c r="AJ1906" i="1"/>
  <c r="AL1906" i="1" s="1"/>
  <c r="AJ1905" i="1"/>
  <c r="AL1905" i="1" s="1"/>
  <c r="AJ1904" i="1"/>
  <c r="AL1904" i="1" s="1"/>
  <c r="AJ1903" i="1"/>
  <c r="AL1903" i="1" s="1"/>
  <c r="AJ1902" i="1"/>
  <c r="AL1902" i="1" s="1"/>
  <c r="AJ1901" i="1"/>
  <c r="AL1901" i="1" s="1"/>
  <c r="AJ1900" i="1"/>
  <c r="AL1900" i="1" s="1"/>
  <c r="AJ1898" i="1"/>
  <c r="AL1898" i="1" s="1"/>
  <c r="AJ1897" i="1"/>
  <c r="AL1897" i="1" s="1"/>
  <c r="AJ1896" i="1"/>
  <c r="AL1896" i="1" s="1"/>
  <c r="AJ1895" i="1"/>
  <c r="AL1895" i="1" s="1"/>
  <c r="AJ1894" i="1"/>
  <c r="AL1894" i="1" s="1"/>
  <c r="AJ1893" i="1"/>
  <c r="AJ1892" i="1"/>
  <c r="AL1892" i="1" s="1"/>
  <c r="AJ1891" i="1"/>
  <c r="AL1891" i="1" s="1"/>
  <c r="AJ1890" i="1"/>
  <c r="AL1890" i="1" s="1"/>
  <c r="AJ1888" i="1"/>
  <c r="AL1888" i="1" s="1"/>
  <c r="AJ1886" i="1"/>
  <c r="AL1886" i="1" s="1"/>
  <c r="AJ1885" i="1"/>
  <c r="AL1885" i="1" s="1"/>
  <c r="AJ1884" i="1"/>
  <c r="AJ1883" i="1"/>
  <c r="AL1883" i="1" s="1"/>
  <c r="AJ1882" i="1"/>
  <c r="AL1882" i="1" s="1"/>
  <c r="AJ1881" i="1"/>
  <c r="AL1881" i="1" s="1"/>
  <c r="AJ1880" i="1"/>
  <c r="AL1880" i="1" s="1"/>
  <c r="AJ1878" i="1"/>
  <c r="AJ1877" i="1"/>
  <c r="AL1877" i="1" s="1"/>
  <c r="AJ1876" i="1"/>
  <c r="AJ1875" i="1"/>
  <c r="AJ1874" i="1"/>
  <c r="AL1874" i="1" s="1"/>
  <c r="AJ1873" i="1"/>
  <c r="AL1873" i="1" s="1"/>
  <c r="AJ1871" i="1"/>
  <c r="AL1871" i="1" s="1"/>
  <c r="AJ1869" i="1"/>
  <c r="AL1869" i="1" s="1"/>
  <c r="AJ1868" i="1"/>
  <c r="AL1868" i="1" s="1"/>
  <c r="AJ1867" i="1"/>
  <c r="AL1867" i="1" s="1"/>
  <c r="AJ1866" i="1"/>
  <c r="AL1866" i="1" s="1"/>
  <c r="AJ1865" i="1"/>
  <c r="AL1865" i="1" s="1"/>
  <c r="AJ1864" i="1"/>
  <c r="AL1864" i="1" s="1"/>
  <c r="AJ1863" i="1"/>
  <c r="AL1863" i="1" s="1"/>
  <c r="AJ1862" i="1"/>
  <c r="AL1862" i="1" s="1"/>
  <c r="AJ1861" i="1"/>
  <c r="AL1861" i="1" s="1"/>
  <c r="AJ1860" i="1"/>
  <c r="AL1860" i="1" s="1"/>
  <c r="AJ1859" i="1"/>
  <c r="AL1859" i="1" s="1"/>
  <c r="AJ1858" i="1"/>
  <c r="AL1858" i="1" s="1"/>
  <c r="AJ1857" i="1"/>
  <c r="AL1857" i="1" s="1"/>
  <c r="AJ1856" i="1"/>
  <c r="AL1856" i="1" s="1"/>
  <c r="AJ1855" i="1"/>
  <c r="AJ1854" i="1"/>
  <c r="AL1854" i="1" s="1"/>
  <c r="AJ1853" i="1"/>
  <c r="AL1853" i="1" s="1"/>
  <c r="AJ1852" i="1"/>
  <c r="AL1852" i="1" s="1"/>
  <c r="AJ1851" i="1"/>
  <c r="AJ1850" i="1"/>
  <c r="AL1850" i="1" s="1"/>
  <c r="AJ1849" i="1"/>
  <c r="AJ1848" i="1"/>
  <c r="AJ1847" i="1"/>
  <c r="AJ1846" i="1"/>
  <c r="AJ1845" i="1"/>
  <c r="AL1845" i="1" s="1"/>
  <c r="AJ1844" i="1"/>
  <c r="AJ1843" i="1"/>
  <c r="AL1843" i="1" s="1"/>
  <c r="AJ1842" i="1"/>
  <c r="AL1842" i="1" s="1"/>
  <c r="AJ1841" i="1"/>
  <c r="AL1841" i="1" s="1"/>
  <c r="AJ1840" i="1"/>
  <c r="AL1840" i="1" s="1"/>
  <c r="AJ1839" i="1"/>
  <c r="AL1839" i="1" s="1"/>
  <c r="AJ1838" i="1"/>
  <c r="AL1838" i="1" s="1"/>
  <c r="AJ1837" i="1"/>
  <c r="AL1837" i="1" s="1"/>
  <c r="AJ1836" i="1"/>
  <c r="AL1836" i="1" s="1"/>
  <c r="AJ1835" i="1"/>
  <c r="AL1835" i="1" s="1"/>
  <c r="AJ1834" i="1"/>
  <c r="AL1834" i="1" s="1"/>
  <c r="AJ1833" i="1"/>
  <c r="AL1833" i="1" s="1"/>
  <c r="AJ1832" i="1"/>
  <c r="AL1832" i="1" s="1"/>
  <c r="AJ1831" i="1"/>
  <c r="AL1831" i="1" s="1"/>
  <c r="AJ1830" i="1"/>
  <c r="AL1830" i="1" s="1"/>
  <c r="AJ1829" i="1"/>
  <c r="AL1829" i="1" s="1"/>
  <c r="AJ1828" i="1"/>
  <c r="AJ1827" i="1"/>
  <c r="AL1827" i="1" s="1"/>
  <c r="AJ1826" i="1"/>
  <c r="AL1826" i="1" s="1"/>
  <c r="AJ1825" i="1"/>
  <c r="AL1825" i="1" s="1"/>
  <c r="AJ1824" i="1"/>
  <c r="AJ1823" i="1"/>
  <c r="AL1823" i="1" s="1"/>
  <c r="AJ1822" i="1"/>
  <c r="AL1822" i="1" s="1"/>
  <c r="AJ1821" i="1"/>
  <c r="AL1821" i="1" s="1"/>
  <c r="AJ1820" i="1"/>
  <c r="AJ1819" i="1"/>
  <c r="AL1819" i="1" s="1"/>
  <c r="AJ1818" i="1"/>
  <c r="AL1818" i="1" s="1"/>
  <c r="AJ1817" i="1"/>
  <c r="AL1817" i="1" s="1"/>
  <c r="AJ1816" i="1"/>
  <c r="AL1816" i="1" s="1"/>
  <c r="AJ1815" i="1"/>
  <c r="AL1815" i="1" s="1"/>
  <c r="AJ1814" i="1"/>
  <c r="AL1814" i="1" s="1"/>
  <c r="AJ1813" i="1"/>
  <c r="AL1813" i="1" s="1"/>
  <c r="AJ1812" i="1"/>
  <c r="AJ1811" i="1"/>
  <c r="AJ1810" i="1"/>
  <c r="AL1810" i="1" s="1"/>
  <c r="AJ1809" i="1"/>
  <c r="AL1809" i="1" s="1"/>
  <c r="AJ1808" i="1"/>
  <c r="AJ1807" i="1"/>
  <c r="AL1807" i="1" s="1"/>
  <c r="AJ1806" i="1"/>
  <c r="AL1806" i="1" s="1"/>
  <c r="AJ1805" i="1"/>
  <c r="AL1805" i="1" s="1"/>
  <c r="AJ1804" i="1"/>
  <c r="AL1804" i="1" s="1"/>
  <c r="AJ1803" i="1"/>
  <c r="AL1803" i="1" s="1"/>
  <c r="AJ1802" i="1"/>
  <c r="AL1802" i="1" s="1"/>
  <c r="AJ1801" i="1"/>
  <c r="AL1801" i="1" s="1"/>
  <c r="AJ1800" i="1"/>
  <c r="AL1800" i="1" s="1"/>
  <c r="AJ1799" i="1"/>
  <c r="AL1799" i="1" s="1"/>
  <c r="AJ1798" i="1"/>
  <c r="AL1798" i="1" s="1"/>
  <c r="AJ1797" i="1"/>
  <c r="AL1797" i="1" s="1"/>
  <c r="AJ1796" i="1"/>
  <c r="AL1796" i="1" s="1"/>
  <c r="AJ1795" i="1"/>
  <c r="AL1795" i="1" s="1"/>
  <c r="AJ1794" i="1"/>
  <c r="AL1794" i="1" s="1"/>
  <c r="AJ1793" i="1"/>
  <c r="AJ1792" i="1"/>
  <c r="AJ1791" i="1"/>
  <c r="AJ1790" i="1"/>
  <c r="AJ1789" i="1"/>
  <c r="AJ1788" i="1"/>
  <c r="AL1788" i="1" s="1"/>
  <c r="AJ1787" i="1"/>
  <c r="AL1787" i="1" s="1"/>
  <c r="AJ1786" i="1"/>
  <c r="AL1786" i="1" s="1"/>
  <c r="AJ1785" i="1"/>
  <c r="AL1785" i="1" s="1"/>
  <c r="AJ1784" i="1"/>
  <c r="AL1784" i="1" s="1"/>
  <c r="AJ1783" i="1"/>
  <c r="AJ1782" i="1"/>
  <c r="AL1782" i="1" s="1"/>
  <c r="AJ1781" i="1"/>
  <c r="AL1781" i="1" s="1"/>
  <c r="AJ1780" i="1"/>
  <c r="AL1780" i="1" s="1"/>
  <c r="AJ1779" i="1"/>
  <c r="AL1779" i="1" s="1"/>
  <c r="AJ1778" i="1"/>
  <c r="AL1778" i="1" s="1"/>
  <c r="AJ1777" i="1"/>
  <c r="AJ1776" i="1"/>
  <c r="AJ1775" i="1"/>
  <c r="AJ1774" i="1"/>
  <c r="AJ1772" i="1"/>
  <c r="AL1772" i="1" s="1"/>
  <c r="AJ1771" i="1"/>
  <c r="AJ1770" i="1"/>
  <c r="AJ1769" i="1"/>
  <c r="AJ1768" i="1"/>
  <c r="AJ1767" i="1"/>
  <c r="AJ1766" i="1"/>
  <c r="AJ1765" i="1"/>
  <c r="AL1765" i="1" s="1"/>
  <c r="AJ1764" i="1"/>
  <c r="AJ1763" i="1"/>
  <c r="AJ1762" i="1"/>
  <c r="AJ1761" i="1"/>
  <c r="AL1761" i="1" s="1"/>
  <c r="AJ1760" i="1"/>
  <c r="AL1760" i="1" s="1"/>
  <c r="AJ1759" i="1"/>
  <c r="AL1759" i="1" s="1"/>
  <c r="AJ1758" i="1"/>
  <c r="AJ1757" i="1"/>
  <c r="AJ1756" i="1"/>
  <c r="AJ1755" i="1"/>
  <c r="AJ1754" i="1"/>
  <c r="AJ1753" i="1"/>
  <c r="AL1753" i="1" s="1"/>
  <c r="AJ1752" i="1"/>
  <c r="AJ1751" i="1"/>
  <c r="AL1751" i="1" s="1"/>
  <c r="AJ1750" i="1"/>
  <c r="AJ1749" i="1"/>
  <c r="AJ1748" i="1"/>
  <c r="AJ1747" i="1"/>
  <c r="AJ1746" i="1"/>
  <c r="AJ1745" i="1"/>
  <c r="AJ1744" i="1"/>
  <c r="AL1744" i="1" s="1"/>
  <c r="AJ1743" i="1"/>
  <c r="AJ1742" i="1"/>
  <c r="AJ1741" i="1"/>
  <c r="AL1741" i="1" s="1"/>
  <c r="AJ1740" i="1"/>
  <c r="AJ1739" i="1"/>
  <c r="AJ1738" i="1"/>
  <c r="AJ1737" i="1"/>
  <c r="AJ1736" i="1"/>
  <c r="AJ1735" i="1"/>
  <c r="AJ1734" i="1"/>
  <c r="AJ1733" i="1"/>
  <c r="AL1733" i="1" s="1"/>
  <c r="AJ1732" i="1"/>
  <c r="AJ1731" i="1"/>
  <c r="AJ1730" i="1"/>
  <c r="AJ1729" i="1"/>
  <c r="AJ1728" i="1"/>
  <c r="AJ1727" i="1"/>
  <c r="AJ1726" i="1"/>
  <c r="AJ1725" i="1"/>
  <c r="AJ1724" i="1"/>
  <c r="AJ1723" i="1"/>
  <c r="AJ1722" i="1"/>
  <c r="AJ1721" i="1"/>
  <c r="AJ1720" i="1"/>
  <c r="AJ1719" i="1"/>
  <c r="AJ1718" i="1"/>
  <c r="AJ1717" i="1"/>
  <c r="AJ1716" i="1"/>
  <c r="AJ1715" i="1"/>
  <c r="AL1715" i="1" s="1"/>
  <c r="AJ1714" i="1"/>
  <c r="AJ1713" i="1"/>
  <c r="AJ1712" i="1"/>
  <c r="AL1712" i="1" s="1"/>
  <c r="AJ1711" i="1"/>
  <c r="AJ1710" i="1"/>
  <c r="AJ1709" i="1"/>
  <c r="AL1709" i="1" s="1"/>
  <c r="AJ1708" i="1"/>
  <c r="AL1708" i="1" s="1"/>
  <c r="AJ1707" i="1"/>
  <c r="AJ1706" i="1"/>
  <c r="AJ1705" i="1"/>
  <c r="AJ1704" i="1"/>
  <c r="AJ1703" i="1"/>
  <c r="AJ1702" i="1"/>
  <c r="AJ1701" i="1"/>
  <c r="AJ1700" i="1"/>
  <c r="AL1700" i="1" s="1"/>
  <c r="AJ1699" i="1"/>
  <c r="AL1699" i="1" s="1"/>
  <c r="AJ1698" i="1"/>
  <c r="AJ1697" i="1"/>
  <c r="AJ1696" i="1"/>
  <c r="AL1696" i="1" s="1"/>
  <c r="AJ1695" i="1"/>
  <c r="AJ1694" i="1"/>
  <c r="AJ1693" i="1"/>
  <c r="AJ1692" i="1"/>
  <c r="AJ1691" i="1"/>
  <c r="AJ1690" i="1"/>
  <c r="AJ1689" i="1"/>
  <c r="AJ1688" i="1"/>
  <c r="AJ1687" i="1"/>
  <c r="AJ1686" i="1"/>
  <c r="AL1686" i="1" s="1"/>
  <c r="AJ1685" i="1"/>
  <c r="AJ1684" i="1"/>
  <c r="AL1684" i="1" s="1"/>
  <c r="AJ1683" i="1"/>
  <c r="AL1683" i="1" s="1"/>
  <c r="AJ1682" i="1"/>
  <c r="AL1682" i="1" s="1"/>
  <c r="AJ1681" i="1"/>
  <c r="AL1681" i="1" s="1"/>
  <c r="AJ1680" i="1"/>
  <c r="AL1680" i="1" s="1"/>
  <c r="AJ1679" i="1"/>
  <c r="AL1679" i="1" s="1"/>
  <c r="AJ1678" i="1"/>
  <c r="AL1678" i="1" s="1"/>
  <c r="AJ1677" i="1"/>
  <c r="AJ1676" i="1"/>
  <c r="AJ1675" i="1"/>
  <c r="AJ1674" i="1"/>
  <c r="AJ1673" i="1"/>
  <c r="AJ1672" i="1"/>
  <c r="AJ1671" i="1"/>
  <c r="AJ1670" i="1"/>
  <c r="AJ1669" i="1"/>
  <c r="AJ1668" i="1"/>
  <c r="AL1668" i="1" s="1"/>
  <c r="AJ1667" i="1"/>
  <c r="AL1667" i="1" s="1"/>
  <c r="AJ1666" i="1"/>
  <c r="AL1666" i="1" s="1"/>
  <c r="AJ1665" i="1"/>
  <c r="AJ1664" i="1"/>
  <c r="AJ1663" i="1"/>
  <c r="AJ1662" i="1"/>
  <c r="AJ1661" i="1"/>
  <c r="AJ1660" i="1"/>
  <c r="AJ1659" i="1"/>
  <c r="AJ1658" i="1"/>
  <c r="AJ1657" i="1"/>
  <c r="AL1657" i="1" s="1"/>
  <c r="AJ1656" i="1"/>
  <c r="AJ1655" i="1"/>
  <c r="AJ1654" i="1"/>
  <c r="AJ1653" i="1"/>
  <c r="AJ1652" i="1"/>
  <c r="AJ1651" i="1"/>
  <c r="AJ1650" i="1"/>
  <c r="AJ1649" i="1"/>
  <c r="AJ1648" i="1"/>
  <c r="AJ1647" i="1"/>
  <c r="AJ1646" i="1"/>
  <c r="AJ1645" i="1"/>
  <c r="AJ1644" i="1"/>
  <c r="AL1644" i="1" s="1"/>
  <c r="AJ1643" i="1"/>
  <c r="AL1643" i="1" s="1"/>
  <c r="AJ1642" i="1"/>
  <c r="AJ1641" i="1"/>
  <c r="AJ1640" i="1"/>
  <c r="AJ1639" i="1"/>
  <c r="AL1639" i="1" s="1"/>
  <c r="AJ1638" i="1"/>
  <c r="AL1638" i="1" s="1"/>
  <c r="AJ1637" i="1"/>
  <c r="AL1637" i="1" s="1"/>
  <c r="AJ1636" i="1"/>
  <c r="AL1636" i="1" s="1"/>
  <c r="AJ1635" i="1"/>
  <c r="AL1635" i="1" s="1"/>
  <c r="AJ1634" i="1"/>
  <c r="AL1634" i="1" s="1"/>
  <c r="AJ1633" i="1"/>
  <c r="AL1633" i="1" s="1"/>
  <c r="AJ1632" i="1"/>
  <c r="AL1632" i="1" s="1"/>
  <c r="AJ1631" i="1"/>
  <c r="AL1631" i="1" s="1"/>
  <c r="AJ1630" i="1"/>
  <c r="AL1630" i="1" s="1"/>
  <c r="AJ1629" i="1"/>
  <c r="AL1629" i="1" s="1"/>
  <c r="AJ1628" i="1"/>
  <c r="AJ1627" i="1"/>
  <c r="AL1627" i="1" s="1"/>
  <c r="AJ1626" i="1"/>
  <c r="AL1626" i="1" s="1"/>
  <c r="AJ1625" i="1"/>
  <c r="AL1625" i="1" s="1"/>
  <c r="AJ1624" i="1"/>
  <c r="AL1624" i="1" s="1"/>
  <c r="AJ1623" i="1"/>
  <c r="AL1623" i="1" s="1"/>
  <c r="AJ1622" i="1"/>
  <c r="AL1622" i="1" s="1"/>
  <c r="AJ1621" i="1"/>
  <c r="AL1621" i="1" s="1"/>
  <c r="AJ1620" i="1"/>
  <c r="AJ1619" i="1"/>
  <c r="AJ1618" i="1"/>
  <c r="AJ1617" i="1"/>
  <c r="AJ1616" i="1"/>
  <c r="AL1616" i="1" s="1"/>
  <c r="AJ1615" i="1"/>
  <c r="AL1615" i="1" s="1"/>
  <c r="AJ1614" i="1"/>
  <c r="AJ1613" i="1"/>
  <c r="AL1613" i="1" s="1"/>
  <c r="AJ1612" i="1"/>
  <c r="AL1612" i="1" s="1"/>
  <c r="AJ1611" i="1"/>
  <c r="AL1611" i="1" s="1"/>
  <c r="AJ1610" i="1"/>
  <c r="AL1610" i="1" s="1"/>
  <c r="AJ1609" i="1"/>
  <c r="AL1609" i="1" s="1"/>
  <c r="AJ1607" i="1"/>
  <c r="AL1607" i="1" s="1"/>
  <c r="AJ1606" i="1"/>
  <c r="AL1606" i="1" s="1"/>
  <c r="AJ1605" i="1"/>
  <c r="AL1605" i="1" s="1"/>
  <c r="AJ1604" i="1"/>
  <c r="AL1604" i="1" s="1"/>
  <c r="AJ1603" i="1"/>
  <c r="AL1603" i="1" s="1"/>
  <c r="AJ1602" i="1"/>
  <c r="AL1602" i="1" s="1"/>
  <c r="AJ1601" i="1"/>
  <c r="AL1601" i="1" s="1"/>
  <c r="AJ1600" i="1"/>
  <c r="AL1600" i="1" s="1"/>
  <c r="AJ1599" i="1"/>
  <c r="AL1599" i="1" s="1"/>
  <c r="AJ1598" i="1"/>
  <c r="AL1598" i="1" s="1"/>
  <c r="AJ1596" i="1"/>
  <c r="AL1596" i="1" s="1"/>
  <c r="AJ1595" i="1"/>
  <c r="AL1595" i="1" s="1"/>
  <c r="AJ1593" i="1"/>
  <c r="AL1593" i="1" s="1"/>
  <c r="AJ1592" i="1"/>
  <c r="AL1592" i="1" s="1"/>
  <c r="AJ1591" i="1"/>
  <c r="AL1591" i="1" s="1"/>
  <c r="AJ1589" i="1"/>
  <c r="AL1589" i="1" s="1"/>
  <c r="AJ1588" i="1"/>
  <c r="AL1588" i="1" s="1"/>
  <c r="AJ1587" i="1"/>
  <c r="AL1587" i="1" s="1"/>
  <c r="AJ1586" i="1"/>
  <c r="AL1586" i="1" s="1"/>
  <c r="AJ1585" i="1"/>
  <c r="AL1585" i="1" s="1"/>
  <c r="AJ1584" i="1"/>
  <c r="AL1584" i="1" s="1"/>
  <c r="AJ1582" i="1"/>
  <c r="AL1582" i="1" s="1"/>
  <c r="AJ1581" i="1"/>
  <c r="AL1581" i="1" s="1"/>
  <c r="AJ1580" i="1"/>
  <c r="AL1580" i="1" s="1"/>
  <c r="AJ1579" i="1"/>
  <c r="AL1579" i="1" s="1"/>
  <c r="AJ1578" i="1"/>
  <c r="AL1578" i="1" s="1"/>
  <c r="AJ1577" i="1"/>
  <c r="AL1577" i="1" s="1"/>
  <c r="AJ1576" i="1"/>
  <c r="AL1576" i="1" s="1"/>
  <c r="AJ1575" i="1"/>
  <c r="AL1575" i="1" s="1"/>
  <c r="AJ1574" i="1"/>
  <c r="AL1574" i="1" s="1"/>
  <c r="AJ1573" i="1"/>
  <c r="AL1573" i="1" s="1"/>
  <c r="AJ1572" i="1"/>
  <c r="AL1572" i="1" s="1"/>
  <c r="AJ1571" i="1"/>
  <c r="AL1571" i="1" s="1"/>
  <c r="AJ1570" i="1"/>
  <c r="AL1570" i="1" s="1"/>
  <c r="AJ1569" i="1"/>
  <c r="AL1569" i="1" s="1"/>
  <c r="AJ1568" i="1"/>
  <c r="AL1568" i="1" s="1"/>
  <c r="AJ1567" i="1"/>
  <c r="AL1567" i="1" s="1"/>
  <c r="AJ1566" i="1"/>
  <c r="AL1566" i="1" s="1"/>
  <c r="AJ1565" i="1"/>
  <c r="AL1565" i="1" s="1"/>
  <c r="AJ1564" i="1"/>
  <c r="AL1564" i="1" s="1"/>
  <c r="AJ1563" i="1"/>
  <c r="AL1563" i="1" s="1"/>
  <c r="AJ1562" i="1"/>
  <c r="AL1562" i="1" s="1"/>
  <c r="AJ1561" i="1"/>
  <c r="AL1561" i="1" s="1"/>
  <c r="AJ1560" i="1"/>
  <c r="AL1560" i="1" s="1"/>
  <c r="AJ1559" i="1"/>
  <c r="AL1559" i="1" s="1"/>
  <c r="AJ1558" i="1"/>
  <c r="AL1558" i="1" s="1"/>
  <c r="AJ1557" i="1"/>
  <c r="AL1557" i="1" s="1"/>
  <c r="AJ1556" i="1"/>
  <c r="AL1556" i="1" s="1"/>
  <c r="AJ1555" i="1"/>
  <c r="AL1555" i="1" s="1"/>
  <c r="AJ1554" i="1"/>
  <c r="AL1554" i="1" s="1"/>
  <c r="AJ1552" i="1"/>
  <c r="AL1552" i="1" s="1"/>
  <c r="AJ1551" i="1"/>
  <c r="AL1551" i="1" s="1"/>
  <c r="AJ1550" i="1"/>
  <c r="AL1550" i="1" s="1"/>
  <c r="AJ1549" i="1"/>
  <c r="AL1549" i="1" s="1"/>
  <c r="AJ1548" i="1"/>
  <c r="AL1548" i="1" s="1"/>
  <c r="AJ1547" i="1"/>
  <c r="AL1547" i="1" s="1"/>
  <c r="AJ1546" i="1"/>
  <c r="AL1546" i="1" s="1"/>
  <c r="AJ1545" i="1"/>
  <c r="AL1545" i="1" s="1"/>
  <c r="AJ1544" i="1"/>
  <c r="AL1544" i="1" s="1"/>
  <c r="AJ1543" i="1"/>
  <c r="AL1543" i="1" s="1"/>
  <c r="AJ1542" i="1"/>
  <c r="AL1542" i="1" s="1"/>
  <c r="AJ1541" i="1"/>
  <c r="AL1541" i="1" s="1"/>
  <c r="AJ1540" i="1"/>
  <c r="AL1540" i="1" s="1"/>
  <c r="AJ1539" i="1"/>
  <c r="AL1539" i="1" s="1"/>
  <c r="AJ1538" i="1"/>
  <c r="AL1538" i="1" s="1"/>
  <c r="AJ1537" i="1"/>
  <c r="AL1537" i="1" s="1"/>
  <c r="AJ1536" i="1"/>
  <c r="AL1536" i="1" s="1"/>
  <c r="AJ1535" i="1"/>
  <c r="AL1535" i="1" s="1"/>
  <c r="AJ1534" i="1"/>
  <c r="AL1534" i="1" s="1"/>
  <c r="AJ1533" i="1"/>
  <c r="AL1533" i="1" s="1"/>
  <c r="AJ1532" i="1"/>
  <c r="AL1532" i="1" s="1"/>
  <c r="AJ1531" i="1"/>
  <c r="AL1531" i="1" s="1"/>
  <c r="AJ1530" i="1"/>
  <c r="AL1530" i="1" s="1"/>
  <c r="AJ1529" i="1"/>
  <c r="AL1529" i="1" s="1"/>
  <c r="AJ1528" i="1"/>
  <c r="AL1528" i="1" s="1"/>
  <c r="AJ1527" i="1"/>
  <c r="AL1527" i="1" s="1"/>
  <c r="AJ1526" i="1"/>
  <c r="AL1526" i="1" s="1"/>
  <c r="AJ1525" i="1"/>
  <c r="AL1525" i="1" s="1"/>
  <c r="AJ1524" i="1"/>
  <c r="AL1524" i="1" s="1"/>
  <c r="AJ1523" i="1"/>
  <c r="AL1523" i="1" s="1"/>
  <c r="AJ1522" i="1"/>
  <c r="AL1522" i="1" s="1"/>
  <c r="AJ1521" i="1"/>
  <c r="AL1521" i="1" s="1"/>
  <c r="AJ1520" i="1"/>
  <c r="AL1520" i="1" s="1"/>
  <c r="AJ1519" i="1"/>
  <c r="AL1519" i="1" s="1"/>
  <c r="AJ1518" i="1"/>
  <c r="AL1518" i="1" s="1"/>
  <c r="AJ1517" i="1"/>
  <c r="AJ1516" i="1"/>
  <c r="AJ1515" i="1"/>
  <c r="AJ1514" i="1"/>
  <c r="AL1514" i="1" s="1"/>
  <c r="AJ1513" i="1"/>
  <c r="AL1513" i="1" s="1"/>
  <c r="AJ1512" i="1"/>
  <c r="AJ1511" i="1"/>
  <c r="AJ1510" i="1"/>
  <c r="AJ1508" i="1"/>
  <c r="AL1508" i="1" s="1"/>
  <c r="AJ1507" i="1"/>
  <c r="AL1507" i="1" s="1"/>
  <c r="AJ1506" i="1"/>
  <c r="AJ1505" i="1"/>
  <c r="AL1505" i="1" s="1"/>
  <c r="AJ1504" i="1"/>
  <c r="AL1504" i="1" s="1"/>
  <c r="AJ1503" i="1"/>
  <c r="AL1503" i="1" s="1"/>
  <c r="AJ1502" i="1"/>
  <c r="AJ1501" i="1"/>
  <c r="AJ1500" i="1"/>
  <c r="AL1500" i="1" s="1"/>
  <c r="AJ1499" i="1"/>
  <c r="AL1499" i="1" s="1"/>
  <c r="AJ1497" i="1"/>
  <c r="AL1497" i="1" s="1"/>
  <c r="AJ1496" i="1"/>
  <c r="AL1496" i="1" s="1"/>
  <c r="AJ1495" i="1"/>
  <c r="AL1495" i="1" s="1"/>
  <c r="AJ1494" i="1"/>
  <c r="AL1494" i="1" s="1"/>
  <c r="AJ1493" i="1"/>
  <c r="AL1493" i="1" s="1"/>
  <c r="AJ1492" i="1"/>
  <c r="AL1492" i="1" s="1"/>
  <c r="AJ1491" i="1"/>
  <c r="AL1491" i="1" s="1"/>
  <c r="AJ1490" i="1"/>
  <c r="AL1490" i="1" s="1"/>
  <c r="AJ1489" i="1"/>
  <c r="AJ1488" i="1"/>
  <c r="AJ1487" i="1"/>
  <c r="AJ1486" i="1"/>
  <c r="AL1486" i="1" s="1"/>
  <c r="AJ1485" i="1"/>
  <c r="AL1485" i="1" s="1"/>
  <c r="AJ1484" i="1"/>
  <c r="AJ1483" i="1"/>
  <c r="AL1483" i="1" s="1"/>
  <c r="AJ1482" i="1"/>
  <c r="AJ1481" i="1"/>
  <c r="AL1481" i="1" s="1"/>
  <c r="AJ1480" i="1"/>
  <c r="AL1480" i="1" s="1"/>
  <c r="AJ1479" i="1"/>
  <c r="AL1479" i="1" s="1"/>
  <c r="AJ1478" i="1"/>
  <c r="AL1478" i="1" s="1"/>
  <c r="AJ1476" i="1"/>
  <c r="AL1476" i="1" s="1"/>
  <c r="AJ1475" i="1"/>
  <c r="AL1475" i="1" s="1"/>
  <c r="AJ1474" i="1"/>
  <c r="AJ1473" i="1"/>
  <c r="AJ1472" i="1"/>
  <c r="AJ1471" i="1"/>
  <c r="AJ1470" i="1"/>
  <c r="AL1470" i="1" s="1"/>
  <c r="AJ1469" i="1"/>
  <c r="AJ1468" i="1"/>
  <c r="AL1468" i="1" s="1"/>
  <c r="AJ1467" i="1"/>
  <c r="AL1467" i="1" s="1"/>
  <c r="AJ1466" i="1"/>
  <c r="AL1466" i="1" s="1"/>
  <c r="AJ1465" i="1"/>
  <c r="AL1465" i="1" s="1"/>
  <c r="AJ1464" i="1"/>
  <c r="AJ1463" i="1"/>
  <c r="AJ1462" i="1"/>
  <c r="AL1462" i="1" s="1"/>
  <c r="AJ1461" i="1"/>
  <c r="AL1461" i="1" s="1"/>
  <c r="AJ1460" i="1"/>
  <c r="AJ1459" i="1"/>
  <c r="AJ1458" i="1"/>
  <c r="AJ1457" i="1"/>
  <c r="AJ1456" i="1"/>
  <c r="AJ1455" i="1"/>
  <c r="AJ1454" i="1"/>
  <c r="AL1454" i="1" s="1"/>
  <c r="AJ1453" i="1"/>
  <c r="AJ1452" i="1"/>
  <c r="AJ1451" i="1"/>
  <c r="AJ1450" i="1"/>
  <c r="AL1450" i="1" s="1"/>
  <c r="AJ1449" i="1"/>
  <c r="AL1449" i="1" s="1"/>
  <c r="AJ1448" i="1"/>
  <c r="AL1448" i="1" s="1"/>
  <c r="AJ1447" i="1"/>
  <c r="AL1447" i="1" s="1"/>
  <c r="AJ1446" i="1"/>
  <c r="AL1446" i="1" s="1"/>
  <c r="AJ1445" i="1"/>
  <c r="AL1445" i="1" s="1"/>
  <c r="AJ1444" i="1"/>
  <c r="AJ1443" i="1"/>
  <c r="AJ1442" i="1"/>
  <c r="AL1442" i="1" s="1"/>
  <c r="AJ1441" i="1"/>
  <c r="AJ1439" i="1"/>
  <c r="AL1439" i="1" s="1"/>
  <c r="AJ1438" i="1"/>
  <c r="AJ1437" i="1"/>
  <c r="AJ1436" i="1"/>
  <c r="AL1436" i="1" s="1"/>
  <c r="AJ1435" i="1"/>
  <c r="AL1435" i="1" s="1"/>
  <c r="AJ1434" i="1"/>
  <c r="AL1434" i="1" s="1"/>
  <c r="AJ1433" i="1"/>
  <c r="AL1433" i="1" s="1"/>
  <c r="AJ1432" i="1"/>
  <c r="AL1432" i="1" s="1"/>
  <c r="AJ1431" i="1"/>
  <c r="AL1431" i="1" s="1"/>
  <c r="AJ1430" i="1"/>
  <c r="AL1430" i="1" s="1"/>
  <c r="AJ1429" i="1"/>
  <c r="AJ1428" i="1"/>
  <c r="AJ1427" i="1"/>
  <c r="AJ1426" i="1"/>
  <c r="AJ1425" i="1"/>
  <c r="AJ1424" i="1"/>
  <c r="AJ1423" i="1"/>
  <c r="AJ1422" i="1"/>
  <c r="AJ1421" i="1"/>
  <c r="AL1421" i="1" s="1"/>
  <c r="AJ1420" i="1"/>
  <c r="AL1420" i="1" s="1"/>
  <c r="AJ1419" i="1"/>
  <c r="AJ1418" i="1"/>
  <c r="AL1418" i="1" s="1"/>
  <c r="AJ1417" i="1"/>
  <c r="AL1417" i="1" s="1"/>
  <c r="AJ1416" i="1"/>
  <c r="AJ1415" i="1"/>
  <c r="AJ1414" i="1"/>
  <c r="AJ1413" i="1"/>
  <c r="AJ1412" i="1"/>
  <c r="AJ1411" i="1"/>
  <c r="AJ1410" i="1"/>
  <c r="AJ1409" i="1"/>
  <c r="AJ1408" i="1"/>
  <c r="AL1408" i="1" s="1"/>
  <c r="AJ1407" i="1"/>
  <c r="AJ1406" i="1"/>
  <c r="AL1406" i="1" s="1"/>
  <c r="AJ1405" i="1"/>
  <c r="AJ1404" i="1"/>
  <c r="AJ1403" i="1"/>
  <c r="AJ1402" i="1"/>
  <c r="AJ1401" i="1"/>
  <c r="AJ1400" i="1"/>
  <c r="AJ711" i="1"/>
  <c r="AJ710" i="1"/>
  <c r="AL710" i="1" s="1"/>
  <c r="AJ1399" i="1"/>
  <c r="AJ1398" i="1"/>
  <c r="AJ1397" i="1"/>
  <c r="AJ1396" i="1"/>
  <c r="AJ1395" i="1"/>
  <c r="AJ1394" i="1"/>
  <c r="AJ1393" i="1"/>
  <c r="AL1393" i="1" s="1"/>
  <c r="AJ1392" i="1"/>
  <c r="AL1392" i="1" s="1"/>
  <c r="AJ1391" i="1"/>
  <c r="AJ1390" i="1"/>
  <c r="AJ1389" i="1"/>
  <c r="AJ1388" i="1"/>
  <c r="AJ1387" i="1"/>
  <c r="AJ1386" i="1"/>
  <c r="AJ1385" i="1"/>
  <c r="AJ1384" i="1"/>
  <c r="AL1384" i="1" s="1"/>
  <c r="AJ1383" i="1"/>
  <c r="AL1383" i="1" s="1"/>
  <c r="AJ1382" i="1"/>
  <c r="AL1382" i="1" s="1"/>
  <c r="AJ1381" i="1"/>
  <c r="AJ1380" i="1"/>
  <c r="AJ1378" i="1"/>
  <c r="AJ1377" i="1"/>
  <c r="AJ1376" i="1"/>
  <c r="AJ1375" i="1"/>
  <c r="AJ1374" i="1"/>
  <c r="AL1374" i="1" s="1"/>
  <c r="AJ1372" i="1"/>
  <c r="AJ1371" i="1"/>
  <c r="AJ1370" i="1"/>
  <c r="AJ1369" i="1"/>
  <c r="AJ1368" i="1"/>
  <c r="AJ1367" i="1"/>
  <c r="AJ1366" i="1"/>
  <c r="AL1366" i="1" s="1"/>
  <c r="AJ1365" i="1"/>
  <c r="AJ1364" i="1"/>
  <c r="AJ1363" i="1"/>
  <c r="AJ1362" i="1"/>
  <c r="AL1362" i="1" s="1"/>
  <c r="AJ1361" i="1"/>
  <c r="AJ1360" i="1"/>
  <c r="AL1360" i="1" s="1"/>
  <c r="AJ1359" i="1"/>
  <c r="AJ1358" i="1"/>
  <c r="AJ1357" i="1"/>
  <c r="AJ1356" i="1"/>
  <c r="AJ1355" i="1"/>
  <c r="AJ1354" i="1"/>
  <c r="AL1354" i="1" s="1"/>
  <c r="AJ1353" i="1"/>
  <c r="AL1353" i="1" s="1"/>
  <c r="AJ1352" i="1"/>
  <c r="AJ1351" i="1"/>
  <c r="AJ1350" i="1"/>
  <c r="AJ1349" i="1"/>
  <c r="AJ1348" i="1"/>
  <c r="AJ1347" i="1"/>
  <c r="AL1347" i="1" s="1"/>
  <c r="AJ1346" i="1"/>
  <c r="AJ1345" i="1"/>
  <c r="AJ1344" i="1"/>
  <c r="AJ1343" i="1"/>
  <c r="AJ1342" i="1"/>
  <c r="AL1342" i="1" s="1"/>
  <c r="AJ1341" i="1"/>
  <c r="AL1341" i="1" s="1"/>
  <c r="AJ1340" i="1"/>
  <c r="AL1340" i="1" s="1"/>
  <c r="AJ1339" i="1"/>
  <c r="AL1339" i="1" s="1"/>
  <c r="AJ1338" i="1"/>
  <c r="AJ1337" i="1"/>
  <c r="AJ1336" i="1"/>
  <c r="AL1336" i="1" s="1"/>
  <c r="AJ1335" i="1"/>
  <c r="AL1335" i="1" s="1"/>
  <c r="AJ1334" i="1"/>
  <c r="AJ1333" i="1"/>
  <c r="AJ1332" i="1"/>
  <c r="AL1332" i="1" s="1"/>
  <c r="AJ1331" i="1"/>
  <c r="AJ1330" i="1"/>
  <c r="AL1330" i="1" s="1"/>
  <c r="AJ1329" i="1"/>
  <c r="AL1329" i="1" s="1"/>
  <c r="AJ1328" i="1"/>
  <c r="AJ1327" i="1"/>
  <c r="AJ1326" i="1"/>
  <c r="AJ1325" i="1"/>
  <c r="AJ1324" i="1"/>
  <c r="AL1324" i="1" s="1"/>
  <c r="AJ1323" i="1"/>
  <c r="AL1323" i="1" s="1"/>
  <c r="AJ1322" i="1"/>
  <c r="AJ1321" i="1"/>
  <c r="AJ1320" i="1"/>
  <c r="AL1320" i="1" s="1"/>
  <c r="AJ1319" i="1"/>
  <c r="AJ1318" i="1"/>
  <c r="AJ1317" i="1"/>
  <c r="AJ1316" i="1"/>
  <c r="AJ1315" i="1"/>
  <c r="AL1315" i="1" s="1"/>
  <c r="AJ1314" i="1"/>
  <c r="AL1314" i="1" s="1"/>
  <c r="AJ1313" i="1"/>
  <c r="AJ1312" i="1"/>
  <c r="AJ1311" i="1"/>
  <c r="AJ1310" i="1"/>
  <c r="AL1310" i="1" s="1"/>
  <c r="AJ1309" i="1"/>
  <c r="AL1309" i="1" s="1"/>
  <c r="AJ1308" i="1"/>
  <c r="AL1308" i="1" s="1"/>
  <c r="AJ1307" i="1"/>
  <c r="AJ1306" i="1"/>
  <c r="AJ1305" i="1"/>
  <c r="AL1305" i="1" s="1"/>
  <c r="AJ1304" i="1"/>
  <c r="AL1304" i="1" s="1"/>
  <c r="AJ1303" i="1"/>
  <c r="AL1303" i="1" s="1"/>
  <c r="AJ1302" i="1"/>
  <c r="AJ1301" i="1"/>
  <c r="AJ1300" i="1"/>
  <c r="AL1300" i="1" s="1"/>
  <c r="AJ1299" i="1"/>
  <c r="AL1299" i="1" s="1"/>
  <c r="AJ1298" i="1"/>
  <c r="AJ1297" i="1"/>
  <c r="AL1297" i="1" s="1"/>
  <c r="AJ1296" i="1"/>
  <c r="AL1296" i="1" s="1"/>
  <c r="AJ1295" i="1"/>
  <c r="AJ1294" i="1"/>
  <c r="AL1294" i="1" s="1"/>
  <c r="AJ1291" i="1"/>
  <c r="AL1291" i="1" s="1"/>
  <c r="AJ1290" i="1"/>
  <c r="AJ1289" i="1"/>
  <c r="AJ1288" i="1"/>
  <c r="AJ1286" i="1"/>
  <c r="AL1286" i="1" s="1"/>
  <c r="AJ1285" i="1"/>
  <c r="AJ1284" i="1"/>
  <c r="AL1284" i="1" s="1"/>
  <c r="AJ1283" i="1"/>
  <c r="AJ1282" i="1"/>
  <c r="AJ1281" i="1"/>
  <c r="AJ1280" i="1"/>
  <c r="AJ1279" i="1"/>
  <c r="AL1279" i="1" s="1"/>
  <c r="AJ1278" i="1"/>
  <c r="AL1278" i="1" s="1"/>
  <c r="AJ1276" i="1"/>
  <c r="AL1276" i="1" s="1"/>
  <c r="AJ1275" i="1"/>
  <c r="AL1275" i="1" s="1"/>
  <c r="AJ1274" i="1"/>
  <c r="AL1274" i="1" s="1"/>
  <c r="AJ1273" i="1"/>
  <c r="AL1273" i="1" s="1"/>
  <c r="AJ1272" i="1"/>
  <c r="AJ1271" i="1"/>
  <c r="AJ1270" i="1"/>
  <c r="AJ1269" i="1"/>
  <c r="AL1269" i="1" s="1"/>
  <c r="AJ1268" i="1"/>
  <c r="AL1268" i="1" s="1"/>
  <c r="AJ1267" i="1"/>
  <c r="AL1267" i="1" s="1"/>
  <c r="AJ1266" i="1"/>
  <c r="AL1266" i="1" s="1"/>
  <c r="AJ1265" i="1"/>
  <c r="AL1265" i="1" s="1"/>
  <c r="AJ1264" i="1"/>
  <c r="AL1264" i="1" s="1"/>
  <c r="AJ1263" i="1"/>
  <c r="AL1263" i="1" s="1"/>
  <c r="AJ1262" i="1"/>
  <c r="AL1262" i="1" s="1"/>
  <c r="AJ1261" i="1"/>
  <c r="AL1261" i="1" s="1"/>
  <c r="AJ1260" i="1"/>
  <c r="AL1260" i="1" s="1"/>
  <c r="AJ1259" i="1"/>
  <c r="AL1259" i="1" s="1"/>
  <c r="AJ1258" i="1"/>
  <c r="AL1258" i="1" s="1"/>
  <c r="AJ1257" i="1"/>
  <c r="AL1257" i="1" s="1"/>
  <c r="AJ1256" i="1"/>
  <c r="AL1256" i="1" s="1"/>
  <c r="AJ1255" i="1"/>
  <c r="AL1255" i="1" s="1"/>
  <c r="AJ1254" i="1"/>
  <c r="AL1254" i="1" s="1"/>
  <c r="AJ1253" i="1"/>
  <c r="AL1253" i="1" s="1"/>
  <c r="AJ1252" i="1"/>
  <c r="AL1252" i="1" s="1"/>
  <c r="AJ1251" i="1"/>
  <c r="AL1251" i="1" s="1"/>
  <c r="AJ1250" i="1"/>
  <c r="AL1250" i="1" s="1"/>
  <c r="AJ1249" i="1"/>
  <c r="AL1249" i="1" s="1"/>
  <c r="AJ1248" i="1"/>
  <c r="AL1248" i="1" s="1"/>
  <c r="AJ1247" i="1"/>
  <c r="AL1247" i="1" s="1"/>
  <c r="AJ1246" i="1"/>
  <c r="AL1246" i="1" s="1"/>
  <c r="AJ1245" i="1"/>
  <c r="AJ1244" i="1"/>
  <c r="AJ1243" i="1"/>
  <c r="AL1243" i="1" s="1"/>
  <c r="AJ1242" i="1"/>
  <c r="AL1242" i="1" s="1"/>
  <c r="AJ1241" i="1"/>
  <c r="AL1241" i="1" s="1"/>
  <c r="AJ1240" i="1"/>
  <c r="AJ1239" i="1"/>
  <c r="AJ1238" i="1"/>
  <c r="AL1238" i="1" s="1"/>
  <c r="AJ1237" i="1"/>
  <c r="AL1237" i="1" s="1"/>
  <c r="AJ1236" i="1"/>
  <c r="AJ1235" i="1"/>
  <c r="AJ1234" i="1"/>
  <c r="AL1234" i="1" s="1"/>
  <c r="AJ1233" i="1"/>
  <c r="AL1233" i="1" s="1"/>
  <c r="AJ1232" i="1"/>
  <c r="AL1232" i="1" s="1"/>
  <c r="AJ1231" i="1"/>
  <c r="AL1231" i="1" s="1"/>
  <c r="AJ1230" i="1"/>
  <c r="AJ1229" i="1"/>
  <c r="AL1229" i="1" s="1"/>
  <c r="AJ1228" i="1"/>
  <c r="AJ1227" i="1"/>
  <c r="AL1227" i="1" s="1"/>
  <c r="AJ1226" i="1"/>
  <c r="AL1226" i="1" s="1"/>
  <c r="AJ1225" i="1"/>
  <c r="AJ1224" i="1"/>
  <c r="AJ1223" i="1"/>
  <c r="AJ1222" i="1"/>
  <c r="AJ1221" i="1"/>
  <c r="AJ1220" i="1"/>
  <c r="AL1220" i="1" s="1"/>
  <c r="AJ1219" i="1"/>
  <c r="AJ1218" i="1"/>
  <c r="AJ1217" i="1"/>
  <c r="AL1217" i="1" s="1"/>
  <c r="AJ1216" i="1"/>
  <c r="AJ1215" i="1"/>
  <c r="AJ1214" i="1"/>
  <c r="AJ1213" i="1"/>
  <c r="AJ1212" i="1"/>
  <c r="AJ1211" i="1"/>
  <c r="AJ1210" i="1"/>
  <c r="AJ1209" i="1"/>
  <c r="AJ1208" i="1"/>
  <c r="AJ1207" i="1"/>
  <c r="AJ1206" i="1"/>
  <c r="AJ1205" i="1"/>
  <c r="AJ1204" i="1"/>
  <c r="AL1204" i="1" s="1"/>
  <c r="AJ1203" i="1"/>
  <c r="AJ1202" i="1"/>
  <c r="AJ1201" i="1"/>
  <c r="AJ1200" i="1"/>
  <c r="AJ1199" i="1"/>
  <c r="AL1199" i="1" s="1"/>
  <c r="AJ1198" i="1"/>
  <c r="AJ1197" i="1"/>
  <c r="AJ1196" i="1"/>
  <c r="AJ1195" i="1"/>
  <c r="AJ1194" i="1"/>
  <c r="AJ1193" i="1"/>
  <c r="AJ1192" i="1"/>
  <c r="AJ1191" i="1"/>
  <c r="AJ1190" i="1"/>
  <c r="AJ1189" i="1"/>
  <c r="AJ1188" i="1"/>
  <c r="AL1188" i="1" s="1"/>
  <c r="AJ1186" i="1"/>
  <c r="AL1186" i="1" s="1"/>
  <c r="AJ1185" i="1"/>
  <c r="AJ1184" i="1"/>
  <c r="AJ1183" i="1"/>
  <c r="AL1183" i="1" s="1"/>
  <c r="AJ1182" i="1"/>
  <c r="AL1182" i="1" s="1"/>
  <c r="AJ1181" i="1"/>
  <c r="AJ1180" i="1"/>
  <c r="AJ1179" i="1"/>
  <c r="AL1179" i="1" s="1"/>
  <c r="AJ1178" i="1"/>
  <c r="AJ1177" i="1"/>
  <c r="AJ1176" i="1"/>
  <c r="AL1176" i="1" s="1"/>
  <c r="AJ1175" i="1"/>
  <c r="AL1175" i="1" s="1"/>
  <c r="AJ1174" i="1"/>
  <c r="AJ1173" i="1"/>
  <c r="AL1173" i="1" s="1"/>
  <c r="AJ1172" i="1"/>
  <c r="AL1172" i="1" s="1"/>
  <c r="AJ1171" i="1"/>
  <c r="AL1171" i="1" s="1"/>
  <c r="AJ1170" i="1"/>
  <c r="AJ1169" i="1"/>
  <c r="AJ1168" i="1"/>
  <c r="AL1168" i="1" s="1"/>
  <c r="AJ1167" i="1"/>
  <c r="AJ1166" i="1"/>
  <c r="AJ1165" i="1"/>
  <c r="AL1165" i="1" s="1"/>
  <c r="AJ1164" i="1"/>
  <c r="AJ1163" i="1"/>
  <c r="AJ1162" i="1"/>
  <c r="AL1162" i="1" s="1"/>
  <c r="AJ1161" i="1"/>
  <c r="AJ1160" i="1"/>
  <c r="AL1160" i="1" s="1"/>
  <c r="AJ1159" i="1"/>
  <c r="AL1159" i="1" s="1"/>
  <c r="AJ1158" i="1"/>
  <c r="AJ1157" i="1"/>
  <c r="AJ1156" i="1"/>
  <c r="AJ1155" i="1"/>
  <c r="AL1155" i="1" s="1"/>
  <c r="AJ1154" i="1"/>
  <c r="AJ1153" i="1"/>
  <c r="AL1153" i="1" s="1"/>
  <c r="AJ1152" i="1"/>
  <c r="AJ1151" i="1"/>
  <c r="AJ1150" i="1"/>
  <c r="AL1150" i="1" s="1"/>
  <c r="AJ1149" i="1"/>
  <c r="AL1149" i="1" s="1"/>
  <c r="AJ1148" i="1"/>
  <c r="AJ1147" i="1"/>
  <c r="AJ1146" i="1"/>
  <c r="AJ1145" i="1"/>
  <c r="AJ1144" i="1"/>
  <c r="AL1144" i="1" s="1"/>
  <c r="AJ1143" i="1"/>
  <c r="AJ1142" i="1"/>
  <c r="AL1142" i="1" s="1"/>
  <c r="AJ1141" i="1"/>
  <c r="AL1141" i="1" s="1"/>
  <c r="AJ1140" i="1"/>
  <c r="AL1140" i="1" s="1"/>
  <c r="AJ1139" i="1"/>
  <c r="AJ1138" i="1"/>
  <c r="AL1138" i="1" s="1"/>
  <c r="AJ1137" i="1"/>
  <c r="AJ1136" i="1"/>
  <c r="AJ1135" i="1"/>
  <c r="AJ1134" i="1"/>
  <c r="AL1134" i="1" s="1"/>
  <c r="AJ1133" i="1"/>
  <c r="AJ1132" i="1"/>
  <c r="AJ1131" i="1"/>
  <c r="AJ1130" i="1"/>
  <c r="AJ1129" i="1"/>
  <c r="AJ1128" i="1"/>
  <c r="AJ1127" i="1"/>
  <c r="AL1127" i="1" s="1"/>
  <c r="AJ1126" i="1"/>
  <c r="AJ1125" i="1"/>
  <c r="AL1125" i="1" s="1"/>
  <c r="AJ1124" i="1"/>
  <c r="AJ1123" i="1"/>
  <c r="AL1123" i="1" s="1"/>
  <c r="AJ1122" i="1"/>
  <c r="AL1122" i="1" s="1"/>
  <c r="AJ1121" i="1"/>
  <c r="AL1121" i="1" s="1"/>
  <c r="AJ1120" i="1"/>
  <c r="AL1120" i="1" s="1"/>
  <c r="AJ1119" i="1"/>
  <c r="AL1119" i="1" s="1"/>
  <c r="AJ1118" i="1"/>
  <c r="AJ1117" i="1"/>
  <c r="AJ1116" i="1"/>
  <c r="AL1116" i="1" s="1"/>
  <c r="AJ1115" i="1"/>
  <c r="AL1115" i="1" s="1"/>
  <c r="AJ1114" i="1"/>
  <c r="AL1114" i="1" s="1"/>
  <c r="AJ1113" i="1"/>
  <c r="AL1113" i="1" s="1"/>
  <c r="AJ1112" i="1"/>
  <c r="AJ1111" i="1"/>
  <c r="AJ1110" i="1"/>
  <c r="AJ1109" i="1"/>
  <c r="AJ1108" i="1"/>
  <c r="AJ1107" i="1"/>
  <c r="AJ1106" i="1"/>
  <c r="AJ1105" i="1"/>
  <c r="AJ1104" i="1"/>
  <c r="AL1104" i="1" s="1"/>
  <c r="AJ1103" i="1"/>
  <c r="AJ1102" i="1"/>
  <c r="AL1102" i="1" s="1"/>
  <c r="AJ1101" i="1"/>
  <c r="AJ1100" i="1"/>
  <c r="AJ1099" i="1"/>
  <c r="AJ1098" i="1"/>
  <c r="AJ1097" i="1"/>
  <c r="AJ1096" i="1"/>
  <c r="AL1096" i="1" s="1"/>
  <c r="AJ1095" i="1"/>
  <c r="AL1095" i="1" s="1"/>
  <c r="AJ1094" i="1"/>
  <c r="AJ1093" i="1"/>
  <c r="AL1093" i="1" s="1"/>
  <c r="AJ1092" i="1"/>
  <c r="AJ1091" i="1"/>
  <c r="AL1091" i="1" s="1"/>
  <c r="AJ1090" i="1"/>
  <c r="AJ1089" i="1"/>
  <c r="AL1089" i="1" s="1"/>
  <c r="AJ1088" i="1"/>
  <c r="AJ1087" i="1"/>
  <c r="AJ1086" i="1"/>
  <c r="AJ1085" i="1"/>
  <c r="AJ1084" i="1"/>
  <c r="AJ1083" i="1"/>
  <c r="AL1083" i="1" s="1"/>
  <c r="AJ1082" i="1"/>
  <c r="AL1082" i="1" s="1"/>
  <c r="AJ1081" i="1"/>
  <c r="AL1081" i="1" s="1"/>
  <c r="AJ1080" i="1"/>
  <c r="AL1080" i="1" s="1"/>
  <c r="AJ1079" i="1"/>
  <c r="AJ1078" i="1"/>
  <c r="AJ1077" i="1"/>
  <c r="AL1077" i="1" s="1"/>
  <c r="AJ1076" i="1"/>
  <c r="AJ1075" i="1"/>
  <c r="AJ1074" i="1"/>
  <c r="AL1074" i="1" s="1"/>
  <c r="AJ1073" i="1"/>
  <c r="AL1073" i="1" s="1"/>
  <c r="AJ1072" i="1"/>
  <c r="AJ1071" i="1"/>
  <c r="AL1071" i="1" s="1"/>
  <c r="AJ1070" i="1"/>
  <c r="AJ1069" i="1"/>
  <c r="AJ1068" i="1"/>
  <c r="AJ1067" i="1"/>
  <c r="AL1067" i="1" s="1"/>
  <c r="AJ1066" i="1"/>
  <c r="AL1066" i="1" s="1"/>
  <c r="AJ1065" i="1"/>
  <c r="AL1065" i="1" s="1"/>
  <c r="AJ1064" i="1"/>
  <c r="AJ1063" i="1"/>
  <c r="AJ1062" i="1"/>
  <c r="AL1062" i="1" s="1"/>
  <c r="AJ1061" i="1"/>
  <c r="AL1061" i="1" s="1"/>
  <c r="AJ1060" i="1"/>
  <c r="AL1060" i="1" s="1"/>
  <c r="AJ1059" i="1"/>
  <c r="AL1059" i="1" s="1"/>
  <c r="AJ1058" i="1"/>
  <c r="AJ1057" i="1"/>
  <c r="AL1057" i="1" s="1"/>
  <c r="AJ1056" i="1"/>
  <c r="AL1056" i="1" s="1"/>
  <c r="AJ1055" i="1"/>
  <c r="AJ1054" i="1"/>
  <c r="AJ1053" i="1"/>
  <c r="AJ1052" i="1"/>
  <c r="AJ1051" i="1"/>
  <c r="AJ1050" i="1"/>
  <c r="AJ1049" i="1"/>
  <c r="AJ1048" i="1"/>
  <c r="AL1048" i="1" s="1"/>
  <c r="AJ1047" i="1"/>
  <c r="AL1047" i="1" s="1"/>
  <c r="AJ1046" i="1"/>
  <c r="AJ1045" i="1"/>
  <c r="AJ1044" i="1"/>
  <c r="AJ1043" i="1"/>
  <c r="AJ1042" i="1"/>
  <c r="AJ1041" i="1"/>
  <c r="AJ1040" i="1"/>
  <c r="AJ1039" i="1"/>
  <c r="AL1039" i="1" s="1"/>
  <c r="AJ1038" i="1"/>
  <c r="AL1038" i="1" s="1"/>
  <c r="AJ1037" i="1"/>
  <c r="AJ1036" i="1"/>
  <c r="AJ1035" i="1"/>
  <c r="AJ1034" i="1"/>
  <c r="AJ1033" i="1"/>
  <c r="AL1033" i="1" s="1"/>
  <c r="AJ1032" i="1"/>
  <c r="AJ1031" i="1"/>
  <c r="AJ1030" i="1"/>
  <c r="AJ1029" i="1"/>
  <c r="AL1029" i="1" s="1"/>
  <c r="AJ1028" i="1"/>
  <c r="AJ1027" i="1"/>
  <c r="AL1027" i="1" s="1"/>
  <c r="AJ1026" i="1"/>
  <c r="AL1026" i="1" s="1"/>
  <c r="AJ1025" i="1"/>
  <c r="AL1025" i="1" s="1"/>
  <c r="AJ1024" i="1"/>
  <c r="AJ1023" i="1"/>
  <c r="AL1023" i="1" s="1"/>
  <c r="AJ1022" i="1"/>
  <c r="AL1022" i="1" s="1"/>
  <c r="AJ1021" i="1"/>
  <c r="AL1021" i="1" s="1"/>
  <c r="AJ1020" i="1"/>
  <c r="AJ1019" i="1"/>
  <c r="AL1019" i="1" s="1"/>
  <c r="AJ1018" i="1"/>
  <c r="AL1018" i="1" s="1"/>
  <c r="AJ1017" i="1"/>
  <c r="AJ1016" i="1"/>
  <c r="AL1016" i="1" s="1"/>
  <c r="AJ1015" i="1"/>
  <c r="AL1015" i="1" s="1"/>
  <c r="AJ1014" i="1"/>
  <c r="AJ1013" i="1"/>
  <c r="AJ1012" i="1"/>
  <c r="AJ1011" i="1"/>
  <c r="AJ1010" i="1"/>
  <c r="AJ1009" i="1"/>
  <c r="AL1009" i="1" s="1"/>
  <c r="AJ1008" i="1"/>
  <c r="AJ1007" i="1"/>
  <c r="AJ1006" i="1"/>
  <c r="AL1006" i="1" s="1"/>
  <c r="AJ1005" i="1"/>
  <c r="AJ1004" i="1"/>
  <c r="AJ1003" i="1"/>
  <c r="AL1003" i="1" s="1"/>
  <c r="AJ1002" i="1"/>
  <c r="AL1002" i="1" s="1"/>
  <c r="AJ1001" i="1"/>
  <c r="AL1001" i="1" s="1"/>
  <c r="AJ1000" i="1"/>
  <c r="AL1000" i="1" s="1"/>
  <c r="AJ999" i="1"/>
  <c r="AL999" i="1" s="1"/>
  <c r="AJ998" i="1"/>
  <c r="AL998" i="1" s="1"/>
  <c r="AJ997" i="1"/>
  <c r="AJ996" i="1"/>
  <c r="AJ995" i="1"/>
  <c r="AL995" i="1" s="1"/>
  <c r="AJ994" i="1"/>
  <c r="AJ993" i="1"/>
  <c r="AJ992" i="1"/>
  <c r="AJ991" i="1"/>
  <c r="AJ990" i="1"/>
  <c r="AJ989" i="1"/>
  <c r="AL989" i="1" s="1"/>
  <c r="AJ988" i="1"/>
  <c r="AJ987" i="1"/>
  <c r="AJ986" i="1"/>
  <c r="AL986" i="1" s="1"/>
  <c r="AJ985" i="1"/>
  <c r="AJ984" i="1"/>
  <c r="AJ983" i="1"/>
  <c r="AL983" i="1" s="1"/>
  <c r="AJ982" i="1"/>
  <c r="AL982" i="1" s="1"/>
  <c r="AJ981" i="1"/>
  <c r="AJ980" i="1"/>
  <c r="AJ979" i="1"/>
  <c r="AJ978" i="1"/>
  <c r="AL978" i="1" s="1"/>
  <c r="AJ977" i="1"/>
  <c r="AJ976" i="1"/>
  <c r="AJ975" i="1"/>
  <c r="AL975" i="1" s="1"/>
  <c r="AJ974" i="1"/>
  <c r="AL974" i="1" s="1"/>
  <c r="AJ973" i="1"/>
  <c r="AJ972" i="1"/>
  <c r="AJ971" i="1"/>
  <c r="AJ970" i="1"/>
  <c r="AJ969" i="1"/>
  <c r="AJ968" i="1"/>
  <c r="AJ967" i="1"/>
  <c r="AJ966" i="1"/>
  <c r="AL966" i="1" s="1"/>
  <c r="AJ965" i="1"/>
  <c r="AJ964" i="1"/>
  <c r="AL964" i="1" s="1"/>
  <c r="AJ963" i="1"/>
  <c r="AJ962" i="1"/>
  <c r="AJ961" i="1"/>
  <c r="AJ960" i="1"/>
  <c r="AJ959" i="1"/>
  <c r="AJ958" i="1"/>
  <c r="AJ957" i="1"/>
  <c r="AJ956" i="1"/>
  <c r="AL956" i="1" s="1"/>
  <c r="AJ955" i="1"/>
  <c r="AJ954" i="1"/>
  <c r="AJ953" i="1"/>
  <c r="AL953" i="1" s="1"/>
  <c r="AJ952" i="1"/>
  <c r="AL952" i="1" s="1"/>
  <c r="AJ951" i="1"/>
  <c r="AJ950" i="1"/>
  <c r="AJ949" i="1"/>
  <c r="AJ948" i="1"/>
  <c r="AJ947" i="1"/>
  <c r="AJ946" i="1"/>
  <c r="AL946" i="1" s="1"/>
  <c r="AJ945" i="1"/>
  <c r="AJ944" i="1"/>
  <c r="AJ943" i="1"/>
  <c r="AL943" i="1" s="1"/>
  <c r="AJ942" i="1"/>
  <c r="AL942" i="1" s="1"/>
  <c r="AJ941" i="1"/>
  <c r="AL941" i="1" s="1"/>
  <c r="AJ940" i="1"/>
  <c r="AJ939" i="1"/>
  <c r="AL939" i="1" s="1"/>
  <c r="AJ938" i="1"/>
  <c r="AJ937" i="1"/>
  <c r="AJ936" i="1"/>
  <c r="AJ935" i="1"/>
  <c r="AL935" i="1" s="1"/>
  <c r="AJ934" i="1"/>
  <c r="AJ933" i="1"/>
  <c r="AJ932" i="1"/>
  <c r="AJ931" i="1"/>
  <c r="AJ930" i="1"/>
  <c r="AJ929" i="1"/>
  <c r="AJ928" i="1"/>
  <c r="AL928" i="1" s="1"/>
  <c r="AJ927" i="1"/>
  <c r="AL927" i="1" s="1"/>
  <c r="AJ926" i="1"/>
  <c r="AL926" i="1" s="1"/>
  <c r="AJ925" i="1"/>
  <c r="AL925" i="1" s="1"/>
  <c r="AJ924" i="1"/>
  <c r="AL924" i="1" s="1"/>
  <c r="AJ923" i="1"/>
  <c r="AL923" i="1" s="1"/>
  <c r="AJ922" i="1"/>
  <c r="AL922" i="1" s="1"/>
  <c r="AJ921" i="1"/>
  <c r="AL921" i="1" s="1"/>
  <c r="AJ920" i="1"/>
  <c r="AL920" i="1" s="1"/>
  <c r="AJ919" i="1"/>
  <c r="AJ918" i="1"/>
  <c r="AJ917" i="1"/>
  <c r="AL917" i="1" s="1"/>
  <c r="AJ916" i="1"/>
  <c r="AL916" i="1" s="1"/>
  <c r="AJ915" i="1"/>
  <c r="AJ914" i="1"/>
  <c r="AJ913" i="1"/>
  <c r="AJ912" i="1"/>
  <c r="AJ911" i="1"/>
  <c r="AL911" i="1" s="1"/>
  <c r="AJ910" i="1"/>
  <c r="AJ909" i="1"/>
  <c r="AJ908" i="1"/>
  <c r="AJ907" i="1"/>
  <c r="AJ906" i="1"/>
  <c r="AJ905" i="1"/>
  <c r="AJ904" i="1"/>
  <c r="AL904" i="1" s="1"/>
  <c r="AJ903" i="1"/>
  <c r="AL903" i="1" s="1"/>
  <c r="AJ902" i="1"/>
  <c r="AL902" i="1" s="1"/>
  <c r="AJ901" i="1"/>
  <c r="AJ900" i="1"/>
  <c r="AL900" i="1" s="1"/>
  <c r="AJ899" i="1"/>
  <c r="AL899" i="1" s="1"/>
  <c r="AJ898" i="1"/>
  <c r="AL898" i="1" s="1"/>
  <c r="AJ897" i="1"/>
  <c r="AJ896" i="1"/>
  <c r="AL896" i="1" s="1"/>
  <c r="AJ895" i="1"/>
  <c r="AJ894" i="1"/>
  <c r="AJ893" i="1"/>
  <c r="AJ892" i="1"/>
  <c r="AJ891" i="1"/>
  <c r="AJ890" i="1"/>
  <c r="AJ889" i="1"/>
  <c r="AL889" i="1" s="1"/>
  <c r="AJ888" i="1"/>
  <c r="AJ887" i="1"/>
  <c r="AL887" i="1" s="1"/>
  <c r="AJ886" i="1"/>
  <c r="AJ885" i="1"/>
  <c r="AL885" i="1" s="1"/>
  <c r="AJ884" i="1"/>
  <c r="AJ883" i="1"/>
  <c r="AL883" i="1" s="1"/>
  <c r="AJ882" i="1"/>
  <c r="AL882" i="1" s="1"/>
  <c r="AJ881" i="1"/>
  <c r="AL881" i="1" s="1"/>
  <c r="AJ880" i="1"/>
  <c r="AJ879" i="1"/>
  <c r="AJ878" i="1"/>
  <c r="AJ877" i="1"/>
  <c r="AJ876" i="1"/>
  <c r="AL876" i="1" s="1"/>
  <c r="AJ875" i="1"/>
  <c r="AJ874" i="1"/>
  <c r="AJ873" i="1"/>
  <c r="AJ872" i="1"/>
  <c r="AJ871" i="1"/>
  <c r="AJ870" i="1"/>
  <c r="AJ869" i="1"/>
  <c r="AJ868" i="1"/>
  <c r="AJ867" i="1"/>
  <c r="AL867" i="1" s="1"/>
  <c r="AJ866" i="1"/>
  <c r="AL866" i="1" s="1"/>
  <c r="AJ865" i="1"/>
  <c r="AJ864" i="1"/>
  <c r="AJ863" i="1"/>
  <c r="AJ862" i="1"/>
  <c r="AJ861" i="1"/>
  <c r="AL861" i="1" s="1"/>
  <c r="AJ860" i="1"/>
  <c r="AL860" i="1" s="1"/>
  <c r="AJ859" i="1"/>
  <c r="AJ858" i="1"/>
  <c r="AL858" i="1" s="1"/>
  <c r="AJ857" i="1"/>
  <c r="AL857" i="1" s="1"/>
  <c r="AJ856" i="1"/>
  <c r="AJ855" i="1"/>
  <c r="AJ854" i="1"/>
  <c r="AJ853" i="1"/>
  <c r="AL853" i="1" s="1"/>
  <c r="AJ852" i="1"/>
  <c r="AJ851" i="1"/>
  <c r="AL851" i="1" s="1"/>
  <c r="AJ850" i="1"/>
  <c r="AJ849" i="1"/>
  <c r="AJ848" i="1"/>
  <c r="AJ847" i="1"/>
  <c r="AJ846" i="1"/>
  <c r="AJ845" i="1"/>
  <c r="AJ844" i="1"/>
  <c r="AL844" i="1" s="1"/>
  <c r="AJ843" i="1"/>
  <c r="AJ842" i="1"/>
  <c r="AL842" i="1" s="1"/>
  <c r="AJ841" i="1"/>
  <c r="AJ840" i="1"/>
  <c r="AL840" i="1" s="1"/>
  <c r="AJ839" i="1"/>
  <c r="AL839" i="1" s="1"/>
  <c r="AJ838" i="1"/>
  <c r="AL838" i="1" s="1"/>
  <c r="AJ837" i="1"/>
  <c r="AL837" i="1" s="1"/>
  <c r="AJ836" i="1"/>
  <c r="AJ835" i="1"/>
  <c r="AJ834" i="1"/>
  <c r="AJ833" i="1"/>
  <c r="AJ832" i="1"/>
  <c r="AL832" i="1" s="1"/>
  <c r="AJ831" i="1"/>
  <c r="AJ830" i="1"/>
  <c r="AJ829" i="1"/>
  <c r="AL829" i="1" s="1"/>
  <c r="AJ828" i="1"/>
  <c r="AJ827" i="1"/>
  <c r="AL827" i="1" s="1"/>
  <c r="AJ826" i="1"/>
  <c r="AJ825" i="1"/>
  <c r="AL825" i="1" s="1"/>
  <c r="AJ824" i="1"/>
  <c r="AL824" i="1" s="1"/>
  <c r="AJ823" i="1"/>
  <c r="AL823" i="1" s="1"/>
  <c r="AJ822" i="1"/>
  <c r="AJ821" i="1"/>
  <c r="AL821" i="1" s="1"/>
  <c r="AJ820" i="1"/>
  <c r="AJ819" i="1"/>
  <c r="AJ818" i="1"/>
  <c r="AL818" i="1" s="1"/>
  <c r="AJ817" i="1"/>
  <c r="AL817" i="1" s="1"/>
  <c r="AJ816" i="1"/>
  <c r="AL816" i="1" s="1"/>
  <c r="AJ815" i="1"/>
  <c r="AL815" i="1" s="1"/>
  <c r="AJ814" i="1"/>
  <c r="AJ813" i="1"/>
  <c r="AL813" i="1" s="1"/>
  <c r="AJ812" i="1"/>
  <c r="AJ811" i="1"/>
  <c r="AJ810" i="1"/>
  <c r="AJ809" i="1"/>
  <c r="AJ808" i="1"/>
  <c r="AJ807" i="1"/>
  <c r="AL807" i="1" s="1"/>
  <c r="AJ806" i="1"/>
  <c r="AL806" i="1" s="1"/>
  <c r="AJ805" i="1"/>
  <c r="AJ804" i="1"/>
  <c r="AL804" i="1" s="1"/>
  <c r="AJ803" i="1"/>
  <c r="AL803" i="1" s="1"/>
  <c r="AJ802" i="1"/>
  <c r="AJ801" i="1"/>
  <c r="AL801" i="1" s="1"/>
  <c r="AJ800" i="1"/>
  <c r="AJ799" i="1"/>
  <c r="AJ796" i="1"/>
  <c r="AJ795" i="1"/>
  <c r="AL795" i="1" s="1"/>
  <c r="AJ794" i="1"/>
  <c r="AJ793" i="1"/>
  <c r="AJ792" i="1"/>
  <c r="AL792" i="1" s="1"/>
  <c r="AJ791" i="1"/>
  <c r="AL791" i="1" s="1"/>
  <c r="AJ790" i="1"/>
  <c r="AL790" i="1" s="1"/>
  <c r="AJ789" i="1"/>
  <c r="AL789" i="1" s="1"/>
  <c r="AJ788" i="1"/>
  <c r="AJ787" i="1"/>
  <c r="AL787" i="1" s="1"/>
  <c r="AJ786" i="1"/>
  <c r="AL786" i="1" s="1"/>
  <c r="AJ785" i="1"/>
  <c r="AJ784" i="1"/>
  <c r="AL784" i="1" s="1"/>
  <c r="AJ783" i="1"/>
  <c r="AL783" i="1" s="1"/>
  <c r="AJ782" i="1"/>
  <c r="AJ781" i="1"/>
  <c r="AJ780" i="1"/>
  <c r="AJ779" i="1"/>
  <c r="AL779" i="1" s="1"/>
  <c r="AJ778" i="1"/>
  <c r="AJ777" i="1"/>
  <c r="AJ776" i="1"/>
  <c r="AJ775" i="1"/>
  <c r="AL775" i="1" s="1"/>
  <c r="AJ774" i="1"/>
  <c r="AJ773" i="1"/>
  <c r="AJ772" i="1"/>
  <c r="AL772" i="1" s="1"/>
  <c r="AJ771" i="1"/>
  <c r="AL771" i="1" s="1"/>
  <c r="AJ770" i="1"/>
  <c r="AJ769" i="1"/>
  <c r="AJ768" i="1"/>
  <c r="AL768" i="1" s="1"/>
  <c r="AJ767" i="1"/>
  <c r="AL767" i="1" s="1"/>
  <c r="AJ766" i="1"/>
  <c r="AL766" i="1" s="1"/>
  <c r="AJ765" i="1"/>
  <c r="AL765" i="1" s="1"/>
  <c r="AJ764" i="1"/>
  <c r="AJ763" i="1"/>
  <c r="AL763" i="1" s="1"/>
  <c r="AJ762" i="1"/>
  <c r="AL762" i="1" s="1"/>
  <c r="AJ761" i="1"/>
  <c r="AL761" i="1" s="1"/>
  <c r="AJ760" i="1"/>
  <c r="AJ759" i="1"/>
  <c r="AL759" i="1" s="1"/>
  <c r="AJ758" i="1"/>
  <c r="AL758" i="1" s="1"/>
  <c r="AJ757" i="1"/>
  <c r="AL757" i="1" s="1"/>
  <c r="AJ756" i="1"/>
  <c r="AL756" i="1" s="1"/>
  <c r="AJ755" i="1"/>
  <c r="AL755" i="1" s="1"/>
  <c r="AJ754" i="1"/>
  <c r="AL754" i="1" s="1"/>
  <c r="AJ753" i="1"/>
  <c r="AL753" i="1" s="1"/>
  <c r="AJ752" i="1"/>
  <c r="AL752" i="1" s="1"/>
  <c r="AJ751" i="1"/>
  <c r="AJ750" i="1"/>
  <c r="AL750" i="1" s="1"/>
  <c r="AJ749" i="1"/>
  <c r="AL749" i="1" s="1"/>
  <c r="AJ748" i="1"/>
  <c r="AL748" i="1" s="1"/>
  <c r="AJ747" i="1"/>
  <c r="AJ746" i="1"/>
  <c r="AJ745" i="1"/>
  <c r="AL745" i="1" s="1"/>
  <c r="AJ744" i="1"/>
  <c r="AL744" i="1" s="1"/>
  <c r="AJ743" i="1"/>
  <c r="AJ742" i="1"/>
  <c r="AJ741" i="1"/>
  <c r="AL741" i="1" s="1"/>
  <c r="AJ740" i="1"/>
  <c r="AL740" i="1" s="1"/>
  <c r="AJ739" i="1"/>
  <c r="AL739" i="1" s="1"/>
  <c r="AJ738" i="1"/>
  <c r="AL738" i="1" s="1"/>
  <c r="AJ737" i="1"/>
  <c r="AL737" i="1" s="1"/>
  <c r="AJ736" i="1"/>
  <c r="AL736" i="1" s="1"/>
  <c r="AJ735" i="1"/>
  <c r="AL735" i="1" s="1"/>
  <c r="AJ734" i="1"/>
  <c r="AJ733" i="1"/>
  <c r="AJ732" i="1"/>
  <c r="AJ731" i="1"/>
  <c r="AL731" i="1" s="1"/>
  <c r="AJ730" i="1"/>
  <c r="AJ729" i="1"/>
  <c r="AL729" i="1" s="1"/>
  <c r="AJ728" i="1"/>
  <c r="AL728" i="1" s="1"/>
  <c r="AJ727" i="1"/>
  <c r="AL727" i="1" s="1"/>
  <c r="AJ726" i="1"/>
  <c r="AJ725" i="1"/>
  <c r="AJ724" i="1"/>
  <c r="AL724" i="1" s="1"/>
  <c r="AJ723" i="1"/>
  <c r="AL723" i="1" s="1"/>
  <c r="AJ722" i="1"/>
  <c r="AL722" i="1" s="1"/>
  <c r="AJ721" i="1"/>
  <c r="AL721" i="1" s="1"/>
  <c r="AJ719" i="1"/>
  <c r="AL719" i="1" s="1"/>
  <c r="AJ718" i="1"/>
  <c r="AL718" i="1" s="1"/>
  <c r="AJ716" i="1"/>
  <c r="AJ715" i="1"/>
  <c r="AL715" i="1" s="1"/>
  <c r="AJ714" i="1"/>
  <c r="AL714" i="1" s="1"/>
  <c r="AJ713" i="1"/>
  <c r="AL713" i="1" s="1"/>
  <c r="AJ712" i="1"/>
  <c r="AL712" i="1" s="1"/>
  <c r="AJ709" i="1"/>
  <c r="AL709" i="1" s="1"/>
  <c r="AJ708" i="1"/>
  <c r="AL708" i="1" s="1"/>
  <c r="AJ707" i="1"/>
  <c r="AL707" i="1" s="1"/>
  <c r="AJ706" i="1"/>
  <c r="AL706" i="1" s="1"/>
  <c r="AJ705" i="1"/>
  <c r="AL705" i="1" s="1"/>
  <c r="AJ704" i="1"/>
  <c r="AL704" i="1" s="1"/>
  <c r="AJ702" i="1"/>
  <c r="AL702" i="1" s="1"/>
  <c r="AJ701" i="1"/>
  <c r="AL701" i="1" s="1"/>
  <c r="AJ700" i="1"/>
  <c r="AL700" i="1" s="1"/>
  <c r="AJ699" i="1"/>
  <c r="AL699" i="1" s="1"/>
  <c r="AJ698" i="1"/>
  <c r="AL698" i="1" s="1"/>
  <c r="AJ697" i="1"/>
  <c r="AL697" i="1" s="1"/>
  <c r="AJ695" i="1"/>
  <c r="AL695" i="1" s="1"/>
  <c r="AJ694" i="1"/>
  <c r="AL694" i="1" s="1"/>
  <c r="AJ693" i="1"/>
  <c r="AL693" i="1" s="1"/>
  <c r="AJ692" i="1"/>
  <c r="AL692" i="1" s="1"/>
  <c r="AJ691" i="1"/>
  <c r="AL691" i="1" s="1"/>
  <c r="AJ690" i="1"/>
  <c r="AL690" i="1" s="1"/>
  <c r="AJ689" i="1"/>
  <c r="AL689" i="1" s="1"/>
  <c r="AJ688" i="1"/>
  <c r="AL688" i="1" s="1"/>
  <c r="AJ687" i="1"/>
  <c r="AJ686" i="1"/>
  <c r="AL686" i="1" s="1"/>
  <c r="AJ685" i="1"/>
  <c r="AJ684" i="1"/>
  <c r="AL684" i="1" s="1"/>
  <c r="AJ683" i="1"/>
  <c r="AL683" i="1" s="1"/>
  <c r="AJ682" i="1"/>
  <c r="AL682" i="1" s="1"/>
  <c r="AJ681" i="1"/>
  <c r="AL681" i="1" s="1"/>
  <c r="AJ680" i="1"/>
  <c r="AJ679" i="1"/>
  <c r="AL679" i="1" s="1"/>
  <c r="AJ678" i="1"/>
  <c r="AL678" i="1" s="1"/>
  <c r="AJ677" i="1"/>
  <c r="AL677" i="1" s="1"/>
  <c r="AJ676" i="1"/>
  <c r="AJ675" i="1"/>
  <c r="AL675" i="1" s="1"/>
  <c r="AJ674" i="1"/>
  <c r="AJ673" i="1"/>
  <c r="AL673" i="1" s="1"/>
  <c r="AJ672" i="1"/>
  <c r="AJ671" i="1"/>
  <c r="AL671" i="1" s="1"/>
  <c r="AJ670" i="1"/>
  <c r="AL670" i="1" s="1"/>
  <c r="AJ669" i="1"/>
  <c r="AL669" i="1" s="1"/>
  <c r="AJ668" i="1"/>
  <c r="AL668" i="1" s="1"/>
  <c r="AJ667" i="1"/>
  <c r="AJ666" i="1"/>
  <c r="AJ665" i="1"/>
  <c r="AL665" i="1" s="1"/>
  <c r="AJ664" i="1"/>
  <c r="AL664" i="1" s="1"/>
  <c r="AJ663" i="1"/>
  <c r="AL663" i="1" s="1"/>
  <c r="AJ662" i="1"/>
  <c r="AJ661" i="1"/>
  <c r="AJ660" i="1"/>
  <c r="AJ659" i="1"/>
  <c r="AL659" i="1" s="1"/>
  <c r="AJ658" i="1"/>
  <c r="AJ657" i="1"/>
  <c r="AL657" i="1" s="1"/>
  <c r="AJ656" i="1"/>
  <c r="AJ655" i="1"/>
  <c r="AJ654" i="1"/>
  <c r="AJ653" i="1"/>
  <c r="AL653" i="1" s="1"/>
  <c r="AJ652" i="1"/>
  <c r="AL652" i="1" s="1"/>
  <c r="AJ651" i="1"/>
  <c r="AL651" i="1" s="1"/>
  <c r="AJ650" i="1"/>
  <c r="AL650" i="1" s="1"/>
  <c r="AJ649" i="1"/>
  <c r="AJ648" i="1"/>
  <c r="AJ647" i="1"/>
  <c r="AJ646" i="1"/>
  <c r="AJ645" i="1"/>
  <c r="AL645" i="1" s="1"/>
  <c r="AJ644" i="1"/>
  <c r="AJ643" i="1"/>
  <c r="AL643" i="1" s="1"/>
  <c r="AJ642" i="1"/>
  <c r="AL642" i="1" s="1"/>
  <c r="AJ641" i="1"/>
  <c r="AL641" i="1" s="1"/>
  <c r="AJ640" i="1"/>
  <c r="AJ639" i="1"/>
  <c r="AJ638" i="1"/>
  <c r="AL638" i="1" s="1"/>
  <c r="AJ637" i="1"/>
  <c r="AL637" i="1" s="1"/>
  <c r="AJ636" i="1"/>
  <c r="AJ635" i="1"/>
  <c r="AJ634" i="1"/>
  <c r="AJ633" i="1"/>
  <c r="AJ632" i="1"/>
  <c r="AJ631" i="1"/>
  <c r="AL631" i="1" s="1"/>
  <c r="AJ630" i="1"/>
  <c r="AJ629" i="1"/>
  <c r="AL629" i="1" s="1"/>
  <c r="AJ628" i="1"/>
  <c r="AJ627" i="1"/>
  <c r="AJ626" i="1"/>
  <c r="AJ625" i="1"/>
  <c r="AJ624" i="1"/>
  <c r="AL624" i="1" s="1"/>
  <c r="AJ623" i="1"/>
  <c r="AJ622" i="1"/>
  <c r="AJ621" i="1"/>
  <c r="AL621" i="1" s="1"/>
  <c r="AJ620" i="1"/>
  <c r="AJ618" i="1"/>
  <c r="AJ617" i="1"/>
  <c r="AJ616" i="1"/>
  <c r="AL616" i="1" s="1"/>
  <c r="AJ615" i="1"/>
  <c r="AL615" i="1" s="1"/>
  <c r="AJ614" i="1"/>
  <c r="AJ613" i="1"/>
  <c r="AL613" i="1" s="1"/>
  <c r="AJ612" i="1"/>
  <c r="AL612" i="1" s="1"/>
  <c r="AJ611" i="1"/>
  <c r="AL611" i="1" s="1"/>
  <c r="AJ610" i="1"/>
  <c r="AL610" i="1" s="1"/>
  <c r="AJ609" i="1"/>
  <c r="AL609" i="1" s="1"/>
  <c r="AJ608" i="1"/>
  <c r="AJ607" i="1"/>
  <c r="AL607" i="1" s="1"/>
  <c r="AJ606" i="1"/>
  <c r="AL606" i="1" s="1"/>
  <c r="AJ605" i="1"/>
  <c r="AJ604" i="1"/>
  <c r="AJ603" i="1"/>
  <c r="AL603" i="1" s="1"/>
  <c r="AJ602" i="1"/>
  <c r="AL602" i="1" s="1"/>
  <c r="AJ601" i="1"/>
  <c r="AL601" i="1" s="1"/>
  <c r="AJ600" i="1"/>
  <c r="AJ599" i="1"/>
  <c r="AL599" i="1" s="1"/>
  <c r="AJ598" i="1"/>
  <c r="AL598" i="1" s="1"/>
  <c r="AJ597" i="1"/>
  <c r="AL597" i="1" s="1"/>
  <c r="AJ596" i="1"/>
  <c r="AL596" i="1" s="1"/>
  <c r="AJ595" i="1"/>
  <c r="AL595" i="1" s="1"/>
  <c r="AJ594" i="1"/>
  <c r="AJ593" i="1"/>
  <c r="AL593" i="1" s="1"/>
  <c r="AJ592" i="1"/>
  <c r="AJ591" i="1"/>
  <c r="AJ590" i="1"/>
  <c r="AJ589" i="1"/>
  <c r="AJ588" i="1"/>
  <c r="AL588" i="1" s="1"/>
  <c r="AJ587" i="1"/>
  <c r="AL587" i="1" s="1"/>
  <c r="AJ586" i="1"/>
  <c r="AL586" i="1" s="1"/>
  <c r="AJ585" i="1"/>
  <c r="AL585" i="1" s="1"/>
  <c r="AJ584" i="1"/>
  <c r="AL584" i="1" s="1"/>
  <c r="AJ583" i="1"/>
  <c r="AL583" i="1" s="1"/>
  <c r="AJ582" i="1"/>
  <c r="AL582" i="1" s="1"/>
  <c r="AJ581" i="1"/>
  <c r="AL581" i="1" s="1"/>
  <c r="AJ580" i="1"/>
  <c r="AL580" i="1" s="1"/>
  <c r="AJ579" i="1"/>
  <c r="AL579" i="1" s="1"/>
  <c r="AJ578" i="1"/>
  <c r="AJ577" i="1"/>
  <c r="AL577" i="1" s="1"/>
  <c r="AJ576" i="1"/>
  <c r="AJ575" i="1"/>
  <c r="AL575" i="1" s="1"/>
  <c r="AJ574" i="1"/>
  <c r="AL574" i="1" s="1"/>
  <c r="AJ573" i="1"/>
  <c r="AJ572" i="1"/>
  <c r="AJ571" i="1"/>
  <c r="AJ570" i="1"/>
  <c r="AJ569" i="1"/>
  <c r="AJ568" i="1"/>
  <c r="AL568" i="1" s="1"/>
  <c r="AJ567" i="1"/>
  <c r="AL567" i="1" s="1"/>
  <c r="AJ566" i="1"/>
  <c r="AL566" i="1" s="1"/>
  <c r="AJ565" i="1"/>
  <c r="AJ564" i="1"/>
  <c r="AJ563" i="1"/>
  <c r="AJ562" i="1"/>
  <c r="AL562" i="1" s="1"/>
  <c r="AJ561" i="1"/>
  <c r="AL561" i="1" s="1"/>
  <c r="AJ560" i="1"/>
  <c r="AJ559" i="1"/>
  <c r="AL559" i="1" s="1"/>
  <c r="AJ558" i="1"/>
  <c r="AJ557" i="1"/>
  <c r="AL557" i="1" s="1"/>
  <c r="AJ556" i="1"/>
  <c r="AL556" i="1" s="1"/>
  <c r="AJ555" i="1"/>
  <c r="AJ554" i="1"/>
  <c r="AL554" i="1" s="1"/>
  <c r="AJ553" i="1"/>
  <c r="AL553" i="1" s="1"/>
  <c r="AJ552" i="1"/>
  <c r="AL552" i="1" s="1"/>
  <c r="AJ551" i="1"/>
  <c r="AJ550" i="1"/>
  <c r="AJ549" i="1"/>
  <c r="AJ548" i="1"/>
  <c r="AJ547" i="1"/>
  <c r="AJ546" i="1"/>
  <c r="AL546" i="1" s="1"/>
  <c r="AJ545" i="1"/>
  <c r="AJ544" i="1"/>
  <c r="AL544" i="1" s="1"/>
  <c r="AJ543" i="1"/>
  <c r="AL543" i="1" s="1"/>
  <c r="AJ542" i="1"/>
  <c r="AJ541" i="1"/>
  <c r="AJ540" i="1"/>
  <c r="AL540" i="1" s="1"/>
  <c r="AJ539" i="1"/>
  <c r="AJ538" i="1"/>
  <c r="AJ537" i="1"/>
  <c r="AL537" i="1" s="1"/>
  <c r="AJ536" i="1"/>
  <c r="AL536" i="1" s="1"/>
  <c r="AJ535" i="1"/>
  <c r="AL535" i="1" s="1"/>
  <c r="AJ534" i="1"/>
  <c r="AL534" i="1" s="1"/>
  <c r="AJ533" i="1"/>
  <c r="AL533" i="1" s="1"/>
  <c r="AJ532" i="1"/>
  <c r="AL532" i="1" s="1"/>
  <c r="AJ531" i="1"/>
  <c r="AJ530" i="1"/>
  <c r="AL530" i="1" s="1"/>
  <c r="AJ529" i="1"/>
  <c r="AL529" i="1" s="1"/>
  <c r="AJ528" i="1"/>
  <c r="AL528" i="1" s="1"/>
  <c r="AJ527" i="1"/>
  <c r="AL527" i="1" s="1"/>
  <c r="AJ526" i="1"/>
  <c r="AJ525" i="1"/>
  <c r="AJ524" i="1"/>
  <c r="AJ523" i="1"/>
  <c r="AJ522" i="1"/>
  <c r="AJ521" i="1"/>
  <c r="AJ520" i="1"/>
  <c r="AJ519" i="1"/>
  <c r="AJ518" i="1"/>
  <c r="AJ517" i="1"/>
  <c r="AL517" i="1" s="1"/>
  <c r="AJ516" i="1"/>
  <c r="AJ515" i="1"/>
  <c r="AJ514" i="1"/>
  <c r="AJ513" i="1"/>
  <c r="AJ512" i="1"/>
  <c r="AJ511" i="1"/>
  <c r="AL511" i="1" s="1"/>
  <c r="AJ225" i="1"/>
  <c r="AJ226" i="1"/>
  <c r="AJ227" i="1"/>
  <c r="AL227" i="1" s="1"/>
  <c r="AJ228" i="1"/>
  <c r="AL228" i="1" s="1"/>
  <c r="AJ229" i="1"/>
  <c r="AL229" i="1" s="1"/>
  <c r="AJ230" i="1"/>
  <c r="AL230" i="1" s="1"/>
  <c r="AJ231" i="1"/>
  <c r="AL231" i="1" s="1"/>
  <c r="AJ232" i="1"/>
  <c r="AL232" i="1" s="1"/>
  <c r="AJ233" i="1"/>
  <c r="AL233" i="1" s="1"/>
  <c r="AJ234" i="1"/>
  <c r="AL234" i="1" s="1"/>
  <c r="AJ235" i="1"/>
  <c r="AJ236" i="1"/>
  <c r="AJ237" i="1"/>
  <c r="AJ238" i="1"/>
  <c r="AJ239" i="1"/>
  <c r="AL239" i="1" s="1"/>
  <c r="AJ240" i="1"/>
  <c r="AL240" i="1" s="1"/>
  <c r="AJ241" i="1"/>
  <c r="AL241" i="1" s="1"/>
  <c r="AJ242" i="1"/>
  <c r="AL242" i="1" s="1"/>
  <c r="AJ243" i="1"/>
  <c r="AL243" i="1" s="1"/>
  <c r="AJ244" i="1"/>
  <c r="AL244" i="1" s="1"/>
  <c r="AJ245" i="1"/>
  <c r="AL245" i="1" s="1"/>
  <c r="AJ246" i="1"/>
  <c r="AL246" i="1" s="1"/>
  <c r="AJ247" i="1"/>
  <c r="AL247" i="1" s="1"/>
  <c r="AJ248" i="1"/>
  <c r="AL248" i="1" s="1"/>
  <c r="AJ249" i="1"/>
  <c r="AL249" i="1" s="1"/>
  <c r="AJ250" i="1"/>
  <c r="AJ251" i="1"/>
  <c r="AL251" i="1" s="1"/>
  <c r="AJ252" i="1"/>
  <c r="AJ253" i="1"/>
  <c r="AL253" i="1" s="1"/>
  <c r="AJ254" i="1"/>
  <c r="AJ255" i="1"/>
  <c r="AJ256" i="1"/>
  <c r="AJ257" i="1"/>
  <c r="AJ258" i="1"/>
  <c r="AL258" i="1" s="1"/>
  <c r="AJ259" i="1"/>
  <c r="AL259" i="1" s="1"/>
  <c r="AJ260" i="1"/>
  <c r="AJ261" i="1"/>
  <c r="AL261" i="1" s="1"/>
  <c r="AJ262" i="1"/>
  <c r="AJ263" i="1"/>
  <c r="AJ264" i="1"/>
  <c r="AL264" i="1" s="1"/>
  <c r="AJ265" i="1"/>
  <c r="AJ266" i="1"/>
  <c r="AJ267" i="1"/>
  <c r="AJ268" i="1"/>
  <c r="AJ269" i="1"/>
  <c r="AL269" i="1" s="1"/>
  <c r="AJ271" i="1"/>
  <c r="AJ272" i="1"/>
  <c r="AJ273" i="1"/>
  <c r="AJ274" i="1"/>
  <c r="AJ275" i="1"/>
  <c r="AL275" i="1" s="1"/>
  <c r="AJ276" i="1"/>
  <c r="AJ277" i="1"/>
  <c r="AL277" i="1" s="1"/>
  <c r="AJ278" i="1"/>
  <c r="AJ279" i="1"/>
  <c r="AL279" i="1" s="1"/>
  <c r="AJ280" i="1"/>
  <c r="AL280" i="1" s="1"/>
  <c r="AJ281" i="1"/>
  <c r="AL281" i="1" s="1"/>
  <c r="AJ282" i="1"/>
  <c r="AJ283" i="1"/>
  <c r="AJ284" i="1"/>
  <c r="AL284" i="1" s="1"/>
  <c r="AJ285" i="1"/>
  <c r="AL285" i="1" s="1"/>
  <c r="AJ286" i="1"/>
  <c r="AL286" i="1" s="1"/>
  <c r="AJ287" i="1"/>
  <c r="AJ288" i="1"/>
  <c r="AJ289" i="1"/>
  <c r="AL289" i="1" s="1"/>
  <c r="AJ290" i="1"/>
  <c r="AJ291" i="1"/>
  <c r="AJ292" i="1"/>
  <c r="AL292" i="1" s="1"/>
  <c r="AJ293" i="1"/>
  <c r="AJ294" i="1"/>
  <c r="AJ295" i="1"/>
  <c r="AJ297" i="1"/>
  <c r="AL297" i="1" s="1"/>
  <c r="AJ298" i="1"/>
  <c r="AL298" i="1" s="1"/>
  <c r="AJ299" i="1"/>
  <c r="AJ300" i="1"/>
  <c r="AL300" i="1" s="1"/>
  <c r="AJ301" i="1"/>
  <c r="AJ302" i="1"/>
  <c r="AL302" i="1" s="1"/>
  <c r="AJ303" i="1"/>
  <c r="AJ304" i="1"/>
  <c r="AJ305" i="1"/>
  <c r="AL305" i="1" s="1"/>
  <c r="AJ306" i="1"/>
  <c r="AL306" i="1" s="1"/>
  <c r="AJ307" i="1"/>
  <c r="AL307" i="1" s="1"/>
  <c r="AJ308" i="1"/>
  <c r="AJ309" i="1"/>
  <c r="AJ310" i="1"/>
  <c r="AJ311" i="1"/>
  <c r="AJ312" i="1"/>
  <c r="AJ313" i="1"/>
  <c r="AJ314" i="1"/>
  <c r="AJ315" i="1"/>
  <c r="AJ316" i="1"/>
  <c r="AJ317" i="1"/>
  <c r="AL317" i="1" s="1"/>
  <c r="AJ318" i="1"/>
  <c r="AJ319" i="1"/>
  <c r="AL319" i="1" s="1"/>
  <c r="AJ320" i="1"/>
  <c r="AJ321" i="1"/>
  <c r="AL321" i="1" s="1"/>
  <c r="AJ322" i="1"/>
  <c r="AL322" i="1" s="1"/>
  <c r="AJ323" i="1"/>
  <c r="AJ325" i="1"/>
  <c r="AJ326" i="1"/>
  <c r="AL326" i="1" s="1"/>
  <c r="AJ327" i="1"/>
  <c r="AL327" i="1" s="1"/>
  <c r="AJ328" i="1"/>
  <c r="AL328" i="1" s="1"/>
  <c r="AJ329" i="1"/>
  <c r="AL329" i="1" s="1"/>
  <c r="AJ330" i="1"/>
  <c r="AJ331" i="1"/>
  <c r="AJ332" i="1"/>
  <c r="AJ334" i="1"/>
  <c r="AL334" i="1" s="1"/>
  <c r="AJ335" i="1"/>
  <c r="AJ336" i="1"/>
  <c r="AJ337" i="1"/>
  <c r="AJ338" i="1"/>
  <c r="AJ339" i="1"/>
  <c r="AL339" i="1" s="1"/>
  <c r="AJ340" i="1"/>
  <c r="AL340" i="1" s="1"/>
  <c r="AJ341" i="1"/>
  <c r="AL341" i="1" s="1"/>
  <c r="AJ342" i="1"/>
  <c r="AL342" i="1" s="1"/>
  <c r="AJ343" i="1"/>
  <c r="AJ344" i="1"/>
  <c r="AL344" i="1" s="1"/>
  <c r="AJ345" i="1"/>
  <c r="AJ346" i="1"/>
  <c r="AJ347" i="1"/>
  <c r="AJ348" i="1"/>
  <c r="AJ349" i="1"/>
  <c r="AJ350" i="1"/>
  <c r="AL350" i="1" s="1"/>
  <c r="AJ351" i="1"/>
  <c r="AJ352" i="1"/>
  <c r="AL352" i="1" s="1"/>
  <c r="AJ353" i="1"/>
  <c r="AL353" i="1" s="1"/>
  <c r="AJ354" i="1"/>
  <c r="AJ355" i="1"/>
  <c r="AJ356" i="1"/>
  <c r="AJ357" i="1"/>
  <c r="AL357" i="1" s="1"/>
  <c r="AJ358" i="1"/>
  <c r="AJ359" i="1"/>
  <c r="AJ360" i="1"/>
  <c r="AL360" i="1" s="1"/>
  <c r="AJ361" i="1"/>
  <c r="AJ362" i="1"/>
  <c r="AJ363" i="1"/>
  <c r="AJ364" i="1"/>
  <c r="AJ365" i="1"/>
  <c r="AL365" i="1" s="1"/>
  <c r="AJ366" i="1"/>
  <c r="AL366" i="1" s="1"/>
  <c r="AJ367" i="1"/>
  <c r="AJ368" i="1"/>
  <c r="AL368" i="1" s="1"/>
  <c r="AJ369" i="1"/>
  <c r="AL369" i="1" s="1"/>
  <c r="AJ370" i="1"/>
  <c r="AJ371" i="1"/>
  <c r="AJ372" i="1"/>
  <c r="AL372" i="1" s="1"/>
  <c r="AJ373" i="1"/>
  <c r="AL373" i="1" s="1"/>
  <c r="AJ374" i="1"/>
  <c r="AJ375" i="1"/>
  <c r="AL375" i="1" s="1"/>
  <c r="AJ376" i="1"/>
  <c r="AL376" i="1" s="1"/>
  <c r="AJ377" i="1"/>
  <c r="AL377" i="1" s="1"/>
  <c r="AJ378" i="1"/>
  <c r="AL378" i="1" s="1"/>
  <c r="AJ379" i="1"/>
  <c r="AL379" i="1" s="1"/>
  <c r="AJ380" i="1"/>
  <c r="AJ381" i="1"/>
  <c r="AJ382" i="1"/>
  <c r="AL382" i="1" s="1"/>
  <c r="AJ383" i="1"/>
  <c r="AL383" i="1" s="1"/>
  <c r="AJ384" i="1"/>
  <c r="AL384" i="1" s="1"/>
  <c r="AJ385" i="1"/>
  <c r="AL385" i="1" s="1"/>
  <c r="AJ386" i="1"/>
  <c r="AL386" i="1" s="1"/>
  <c r="AJ387" i="1"/>
  <c r="AJ388" i="1"/>
  <c r="AJ389" i="1"/>
  <c r="AJ390" i="1"/>
  <c r="AJ391" i="1"/>
  <c r="AL391" i="1" s="1"/>
  <c r="AJ392" i="1"/>
  <c r="AL392" i="1" s="1"/>
  <c r="AJ393" i="1"/>
  <c r="AJ394" i="1"/>
  <c r="AJ395" i="1"/>
  <c r="AL395" i="1" s="1"/>
  <c r="AJ396" i="1"/>
  <c r="AL396" i="1" s="1"/>
  <c r="AJ397" i="1"/>
  <c r="AJ398" i="1"/>
  <c r="AL398" i="1" s="1"/>
  <c r="AJ399" i="1"/>
  <c r="AL399" i="1" s="1"/>
  <c r="AJ400" i="1"/>
  <c r="AL400" i="1" s="1"/>
  <c r="AJ401" i="1"/>
  <c r="AL401" i="1" s="1"/>
  <c r="AJ402" i="1"/>
  <c r="AL402" i="1" s="1"/>
  <c r="AJ403" i="1"/>
  <c r="AL403" i="1" s="1"/>
  <c r="AJ404" i="1"/>
  <c r="AL404" i="1" s="1"/>
  <c r="AJ405" i="1"/>
  <c r="AJ406" i="1"/>
  <c r="AJ407" i="1"/>
  <c r="AL407" i="1" s="1"/>
  <c r="AJ408" i="1"/>
  <c r="AL408" i="1" s="1"/>
  <c r="AJ409" i="1"/>
  <c r="AL409" i="1" s="1"/>
  <c r="AJ410" i="1"/>
  <c r="AL410" i="1" s="1"/>
  <c r="AJ411" i="1"/>
  <c r="AL411" i="1" s="1"/>
  <c r="AJ412" i="1"/>
  <c r="AL412" i="1" s="1"/>
  <c r="AJ413" i="1"/>
  <c r="AL413" i="1" s="1"/>
  <c r="AJ414" i="1"/>
  <c r="AL414" i="1" s="1"/>
  <c r="AJ416" i="1"/>
  <c r="AL416" i="1" s="1"/>
  <c r="AJ417" i="1"/>
  <c r="AL417" i="1" s="1"/>
  <c r="AJ419" i="1"/>
  <c r="AL419" i="1" s="1"/>
  <c r="AJ420" i="1"/>
  <c r="AL420" i="1" s="1"/>
  <c r="AJ421" i="1"/>
  <c r="AL421" i="1" s="1"/>
  <c r="AJ422" i="1"/>
  <c r="AL422" i="1" s="1"/>
  <c r="AJ423" i="1"/>
  <c r="AL423" i="1" s="1"/>
  <c r="AJ424" i="1"/>
  <c r="AL424" i="1" s="1"/>
  <c r="AJ425" i="1"/>
  <c r="AL425" i="1" s="1"/>
  <c r="AJ427" i="1"/>
  <c r="AJ428" i="1"/>
  <c r="AJ429" i="1"/>
  <c r="AJ430" i="1"/>
  <c r="AJ432" i="1"/>
  <c r="AJ433" i="1"/>
  <c r="AL433" i="1" s="1"/>
  <c r="AJ434" i="1"/>
  <c r="AL434" i="1" s="1"/>
  <c r="AJ435" i="1"/>
  <c r="AJ436" i="1"/>
  <c r="AJ437" i="1"/>
  <c r="AL437" i="1" s="1"/>
  <c r="AJ438" i="1"/>
  <c r="AL438" i="1" s="1"/>
  <c r="AJ439" i="1"/>
  <c r="AL439" i="1" s="1"/>
  <c r="AJ440" i="1"/>
  <c r="AL440" i="1" s="1"/>
  <c r="AJ441" i="1"/>
  <c r="AJ442" i="1"/>
  <c r="AL442" i="1" s="1"/>
  <c r="AJ443" i="1"/>
  <c r="AL443" i="1" s="1"/>
  <c r="AJ444" i="1"/>
  <c r="AJ445" i="1"/>
  <c r="AL445" i="1" s="1"/>
  <c r="AJ446" i="1"/>
  <c r="AL446" i="1" s="1"/>
  <c r="AJ447" i="1"/>
  <c r="AJ448" i="1"/>
  <c r="AL448" i="1" s="1"/>
  <c r="AJ449" i="1"/>
  <c r="AJ450" i="1"/>
  <c r="AL450" i="1" s="1"/>
  <c r="AJ451" i="1"/>
  <c r="AL451" i="1" s="1"/>
  <c r="AJ452" i="1"/>
  <c r="AL452" i="1" s="1"/>
  <c r="AJ453" i="1"/>
  <c r="AJ454" i="1"/>
  <c r="AJ455" i="1"/>
  <c r="AL455" i="1" s="1"/>
  <c r="AJ456" i="1"/>
  <c r="AJ457" i="1"/>
  <c r="AJ458" i="1"/>
  <c r="AJ459" i="1"/>
  <c r="AJ460" i="1"/>
  <c r="AJ461" i="1"/>
  <c r="AJ462" i="1"/>
  <c r="AL462" i="1" s="1"/>
  <c r="AJ464" i="1"/>
  <c r="AL464" i="1" s="1"/>
  <c r="AJ465" i="1"/>
  <c r="AL465" i="1" s="1"/>
  <c r="AJ466" i="1"/>
  <c r="AL466" i="1" s="1"/>
  <c r="AJ467" i="1"/>
  <c r="AL467" i="1" s="1"/>
  <c r="AJ468" i="1"/>
  <c r="AL468" i="1" s="1"/>
  <c r="AJ469" i="1"/>
  <c r="AJ470" i="1"/>
  <c r="AJ471" i="1"/>
  <c r="AJ472" i="1"/>
  <c r="AJ473" i="1"/>
  <c r="AJ474" i="1"/>
  <c r="AJ475" i="1"/>
  <c r="AJ476" i="1"/>
  <c r="AL476" i="1" s="1"/>
  <c r="AJ477" i="1"/>
  <c r="AL477" i="1" s="1"/>
  <c r="AJ478" i="1"/>
  <c r="AL478" i="1" s="1"/>
  <c r="AJ479" i="1"/>
  <c r="AJ480" i="1"/>
  <c r="AL480" i="1" s="1"/>
  <c r="AJ481" i="1"/>
  <c r="AJ482" i="1"/>
  <c r="AJ483" i="1"/>
  <c r="AJ484" i="1"/>
  <c r="AL484" i="1" s="1"/>
  <c r="AJ485" i="1"/>
  <c r="AJ486" i="1"/>
  <c r="AL486" i="1" s="1"/>
  <c r="AJ487" i="1"/>
  <c r="AL487" i="1" s="1"/>
  <c r="AJ488" i="1"/>
  <c r="AL488" i="1" s="1"/>
  <c r="AJ489" i="1"/>
  <c r="AL489" i="1" s="1"/>
  <c r="AJ490" i="1"/>
  <c r="AJ491" i="1"/>
  <c r="AJ492" i="1"/>
  <c r="AJ493" i="1"/>
  <c r="AJ494" i="1"/>
  <c r="AL494" i="1" s="1"/>
  <c r="AJ495" i="1"/>
  <c r="AL495" i="1" s="1"/>
  <c r="AJ496" i="1"/>
  <c r="AL496" i="1" s="1"/>
  <c r="AJ497" i="1"/>
  <c r="AL497" i="1" s="1"/>
  <c r="AJ498" i="1"/>
  <c r="AJ500" i="1"/>
  <c r="AL500" i="1" s="1"/>
  <c r="AJ501" i="1"/>
  <c r="AJ502" i="1"/>
  <c r="AL502" i="1" s="1"/>
  <c r="AJ503" i="1"/>
  <c r="AJ504" i="1"/>
  <c r="AJ505" i="1"/>
  <c r="AL505" i="1" s="1"/>
  <c r="AJ506" i="1"/>
  <c r="AJ507" i="1"/>
  <c r="AL507" i="1" s="1"/>
  <c r="AJ508" i="1"/>
  <c r="AL508" i="1" s="1"/>
  <c r="AJ509" i="1"/>
  <c r="AL509" i="1" s="1"/>
  <c r="AJ510" i="1"/>
  <c r="AL510" i="1" s="1"/>
  <c r="AJ175" i="1"/>
  <c r="AL175" i="1" s="1"/>
  <c r="AJ176" i="1"/>
  <c r="AL176" i="1" s="1"/>
  <c r="AJ177" i="1"/>
  <c r="AL177" i="1" s="1"/>
  <c r="AJ178" i="1"/>
  <c r="AL178" i="1" s="1"/>
  <c r="AJ179" i="1"/>
  <c r="AL179" i="1" s="1"/>
  <c r="AJ180" i="1"/>
  <c r="AJ181" i="1"/>
  <c r="AL181" i="1" s="1"/>
  <c r="AJ182" i="1"/>
  <c r="AL182" i="1" s="1"/>
  <c r="AJ183" i="1"/>
  <c r="AL183" i="1" s="1"/>
  <c r="AJ184" i="1"/>
  <c r="AL184" i="1" s="1"/>
  <c r="AJ185" i="1"/>
  <c r="AL185" i="1" s="1"/>
  <c r="AJ186" i="1"/>
  <c r="AJ187" i="1"/>
  <c r="AJ188" i="1"/>
  <c r="AJ189" i="1"/>
  <c r="AJ190" i="1"/>
  <c r="AL190" i="1" s="1"/>
  <c r="AJ191" i="1"/>
  <c r="AL191" i="1" s="1"/>
  <c r="AJ192" i="1"/>
  <c r="AJ193" i="1"/>
  <c r="AJ194" i="1"/>
  <c r="AJ195" i="1"/>
  <c r="AJ196" i="1"/>
  <c r="AL196" i="1" s="1"/>
  <c r="AJ197" i="1"/>
  <c r="AJ198" i="1"/>
  <c r="AL198" i="1" s="1"/>
  <c r="AJ199" i="1"/>
  <c r="AJ200" i="1"/>
  <c r="AJ201" i="1"/>
  <c r="AL201" i="1" s="1"/>
  <c r="AJ202" i="1"/>
  <c r="AL202" i="1" s="1"/>
  <c r="AJ203" i="1"/>
  <c r="AL203" i="1" s="1"/>
  <c r="AJ204" i="1"/>
  <c r="AJ205" i="1"/>
  <c r="AL205" i="1" s="1"/>
  <c r="AJ206" i="1"/>
  <c r="AJ207" i="1"/>
  <c r="AL207" i="1" s="1"/>
  <c r="AJ208" i="1"/>
  <c r="AL208" i="1" s="1"/>
  <c r="AJ209" i="1"/>
  <c r="AL209" i="1" s="1"/>
  <c r="AJ210" i="1"/>
  <c r="AJ211" i="1"/>
  <c r="AJ212" i="1"/>
  <c r="AL212" i="1" s="1"/>
  <c r="AJ213" i="1"/>
  <c r="AJ214" i="1"/>
  <c r="AL214" i="1" s="1"/>
  <c r="AJ215" i="1"/>
  <c r="AL215" i="1" s="1"/>
  <c r="AJ216" i="1"/>
  <c r="AL216" i="1" s="1"/>
  <c r="AJ217" i="1"/>
  <c r="AL217" i="1" s="1"/>
  <c r="AJ218" i="1"/>
  <c r="AL218" i="1" s="1"/>
  <c r="AJ219" i="1"/>
  <c r="AL219" i="1" s="1"/>
  <c r="AJ220" i="1"/>
  <c r="AL220" i="1" s="1"/>
  <c r="AJ221" i="1"/>
  <c r="AL221" i="1" s="1"/>
  <c r="AJ222" i="1"/>
  <c r="AL222" i="1" s="1"/>
  <c r="AJ162" i="1"/>
  <c r="AJ163" i="1"/>
  <c r="AJ164" i="1"/>
  <c r="AJ165" i="1"/>
  <c r="AL165" i="1" s="1"/>
  <c r="AJ166" i="1"/>
  <c r="AL166" i="1" s="1"/>
  <c r="AJ167" i="1"/>
  <c r="AJ168" i="1"/>
  <c r="AL168" i="1" s="1"/>
  <c r="AJ169" i="1"/>
  <c r="AL169" i="1" s="1"/>
  <c r="AJ170" i="1"/>
  <c r="AJ171" i="1"/>
  <c r="AL171" i="1" s="1"/>
  <c r="AJ172" i="1"/>
  <c r="AL172" i="1" s="1"/>
  <c r="AJ173" i="1"/>
  <c r="AJ174" i="1"/>
  <c r="AL174" i="1" s="1"/>
  <c r="AJ147" i="1"/>
  <c r="AL147" i="1" s="1"/>
  <c r="AJ148" i="1"/>
  <c r="AL148" i="1" s="1"/>
  <c r="AJ149" i="1"/>
  <c r="AL149" i="1" s="1"/>
  <c r="AJ150" i="1"/>
  <c r="AL150" i="1" s="1"/>
  <c r="AJ151" i="1"/>
  <c r="AL151" i="1" s="1"/>
  <c r="AJ152" i="1"/>
  <c r="AJ153" i="1"/>
  <c r="AL153" i="1" s="1"/>
  <c r="AJ154" i="1"/>
  <c r="AL154" i="1" s="1"/>
  <c r="AJ155" i="1"/>
  <c r="AL155" i="1" s="1"/>
  <c r="AJ156" i="1"/>
  <c r="AJ157" i="1"/>
  <c r="AJ158" i="1"/>
  <c r="AL158" i="1" s="1"/>
  <c r="AJ159" i="1"/>
  <c r="AL159" i="1" s="1"/>
  <c r="AJ160" i="1"/>
  <c r="AJ161" i="1"/>
  <c r="AJ142" i="1"/>
  <c r="AJ143" i="1"/>
  <c r="AJ144" i="1"/>
  <c r="AJ145" i="1"/>
  <c r="AL145" i="1" s="1"/>
  <c r="AJ146" i="1"/>
  <c r="AL146" i="1" s="1"/>
  <c r="AJ4" i="1"/>
  <c r="AJ3" i="1"/>
  <c r="AJ5" i="1"/>
  <c r="AL5" i="1" s="1"/>
  <c r="AJ6" i="1"/>
  <c r="AL6" i="1" s="1"/>
  <c r="AJ7" i="1"/>
  <c r="AJ8" i="1"/>
  <c r="AJ9" i="1"/>
  <c r="AJ10" i="1"/>
  <c r="AL10" i="1" s="1"/>
  <c r="AJ11" i="1"/>
  <c r="AL11" i="1" s="1"/>
  <c r="AJ12" i="1"/>
  <c r="AJ13" i="1"/>
  <c r="AJ14" i="1"/>
  <c r="AL14" i="1" s="1"/>
  <c r="AJ15" i="1"/>
  <c r="AJ16" i="1"/>
  <c r="AJ17" i="1"/>
  <c r="AL17" i="1" s="1"/>
  <c r="AJ18" i="1"/>
  <c r="AL18" i="1" s="1"/>
  <c r="AJ19" i="1"/>
  <c r="AJ20" i="1"/>
  <c r="AL20" i="1" s="1"/>
  <c r="AJ21" i="1"/>
  <c r="AL21" i="1" s="1"/>
  <c r="AJ22" i="1"/>
  <c r="AJ23" i="1"/>
  <c r="AJ24" i="1"/>
  <c r="AJ25" i="1"/>
  <c r="AJ26" i="1"/>
  <c r="AJ27" i="1"/>
  <c r="AJ28" i="1"/>
  <c r="AJ29" i="1"/>
  <c r="AJ30" i="1"/>
  <c r="AL30" i="1" s="1"/>
  <c r="AJ31" i="1"/>
  <c r="AL31" i="1" s="1"/>
  <c r="AJ32" i="1"/>
  <c r="AL32" i="1" s="1"/>
  <c r="AJ33" i="1"/>
  <c r="AL33" i="1" s="1"/>
  <c r="AJ34" i="1"/>
  <c r="AJ35" i="1"/>
  <c r="AL35" i="1" s="1"/>
  <c r="AJ36" i="1"/>
  <c r="AL36" i="1" s="1"/>
  <c r="AJ37" i="1"/>
  <c r="AL37" i="1" s="1"/>
  <c r="AJ38" i="1"/>
  <c r="AJ39" i="1"/>
  <c r="AL39" i="1" s="1"/>
  <c r="AJ40" i="1"/>
  <c r="AJ41" i="1"/>
  <c r="AL41" i="1" s="1"/>
  <c r="AJ42" i="1"/>
  <c r="AJ43" i="1"/>
  <c r="AJ44" i="1"/>
  <c r="AJ45" i="1"/>
  <c r="AL45" i="1" s="1"/>
  <c r="AJ46" i="1"/>
  <c r="AL46" i="1" s="1"/>
  <c r="AJ47" i="1"/>
  <c r="AJ48" i="1"/>
  <c r="AL48" i="1" s="1"/>
  <c r="AJ49" i="1"/>
  <c r="AL49" i="1" s="1"/>
  <c r="AJ50" i="1"/>
  <c r="AJ51" i="1"/>
  <c r="AL51" i="1" s="1"/>
  <c r="AJ52" i="1"/>
  <c r="AL52" i="1" s="1"/>
  <c r="AJ53" i="1"/>
  <c r="AJ55" i="1"/>
  <c r="AJ56" i="1"/>
  <c r="AJ57" i="1"/>
  <c r="AJ58" i="1"/>
  <c r="AL58" i="1" s="1"/>
  <c r="AJ59" i="1"/>
  <c r="AJ60" i="1"/>
  <c r="AL60" i="1" s="1"/>
  <c r="AJ61" i="1"/>
  <c r="AL61" i="1" s="1"/>
  <c r="AJ62" i="1"/>
  <c r="AJ63" i="1"/>
  <c r="AJ64" i="1"/>
  <c r="AJ65" i="1"/>
  <c r="AJ66" i="1"/>
  <c r="AJ67" i="1"/>
  <c r="AJ68" i="1"/>
  <c r="AJ69" i="1"/>
  <c r="AJ70" i="1"/>
  <c r="AL70" i="1" s="1"/>
  <c r="AJ71" i="1"/>
  <c r="AJ72" i="1"/>
  <c r="AL72" i="1" s="1"/>
  <c r="AJ73" i="1"/>
  <c r="AL73" i="1" s="1"/>
  <c r="AJ74" i="1"/>
  <c r="AJ75" i="1"/>
  <c r="AJ76" i="1"/>
  <c r="AL76" i="1" s="1"/>
  <c r="AJ77" i="1"/>
  <c r="AJ78" i="1"/>
  <c r="AJ79" i="1"/>
  <c r="AJ80" i="1"/>
  <c r="AL80" i="1" s="1"/>
  <c r="AJ81" i="1"/>
  <c r="AL81" i="1" s="1"/>
  <c r="AJ82" i="1"/>
  <c r="AJ83" i="1"/>
  <c r="AJ84" i="1"/>
  <c r="AJ85" i="1"/>
  <c r="AJ86" i="1"/>
  <c r="AJ87" i="1"/>
  <c r="AL87" i="1" s="1"/>
  <c r="AJ88" i="1"/>
  <c r="AJ89" i="1"/>
  <c r="AJ90" i="1"/>
  <c r="AJ91" i="1"/>
  <c r="AL91" i="1" s="1"/>
  <c r="AJ92" i="1"/>
  <c r="AJ93" i="1"/>
  <c r="AL93" i="1" s="1"/>
  <c r="AJ94" i="1"/>
  <c r="AJ95" i="1"/>
  <c r="AJ96" i="1"/>
  <c r="AJ97" i="1"/>
  <c r="AJ98" i="1"/>
  <c r="AJ99" i="1"/>
  <c r="AJ100" i="1"/>
  <c r="AJ101" i="1"/>
  <c r="AJ102" i="1"/>
  <c r="AJ103" i="1"/>
  <c r="AJ104" i="1"/>
  <c r="AL104" i="1" s="1"/>
  <c r="AJ105" i="1"/>
  <c r="AL105" i="1" s="1"/>
  <c r="AJ106" i="1"/>
  <c r="AL106" i="1" s="1"/>
  <c r="AJ107" i="1"/>
  <c r="AL107" i="1" s="1"/>
  <c r="AJ108" i="1"/>
  <c r="AJ109" i="1"/>
  <c r="AJ110" i="1"/>
  <c r="AJ111" i="1"/>
  <c r="AL111" i="1" s="1"/>
  <c r="AJ112" i="1"/>
  <c r="AJ113" i="1"/>
  <c r="AJ114" i="1"/>
  <c r="AJ115" i="1"/>
  <c r="AJ116" i="1"/>
  <c r="AL116" i="1" s="1"/>
  <c r="AJ117" i="1"/>
  <c r="AJ118" i="1"/>
  <c r="AJ119" i="1"/>
  <c r="AJ120" i="1"/>
  <c r="AJ121" i="1"/>
  <c r="AL121" i="1" s="1"/>
  <c r="AJ122" i="1"/>
  <c r="AJ123" i="1"/>
  <c r="AJ124" i="1"/>
  <c r="AJ125" i="1"/>
  <c r="AL125" i="1" s="1"/>
  <c r="AJ126" i="1"/>
  <c r="AJ127" i="1"/>
  <c r="AJ128" i="1"/>
  <c r="AJ129" i="1"/>
  <c r="AJ130" i="1"/>
  <c r="AL130" i="1" s="1"/>
  <c r="AJ131" i="1"/>
  <c r="AJ132" i="1"/>
  <c r="AJ133" i="1"/>
  <c r="AJ134" i="1"/>
  <c r="AL134" i="1" s="1"/>
  <c r="AJ135" i="1"/>
  <c r="AL135" i="1" s="1"/>
  <c r="AJ136" i="1"/>
  <c r="AJ137" i="1"/>
  <c r="AL137" i="1" s="1"/>
  <c r="AJ138" i="1"/>
  <c r="AL138" i="1" s="1"/>
  <c r="AJ139" i="1"/>
  <c r="AL139" i="1" s="1"/>
  <c r="AJ140" i="1"/>
  <c r="AL140" i="1" s="1"/>
  <c r="AJ141" i="1"/>
  <c r="AL141" i="1" s="1"/>
  <c r="V220" i="1"/>
  <c r="U216" i="1"/>
  <c r="V216" i="1"/>
  <c r="U174" i="1"/>
  <c r="V174" i="1"/>
  <c r="V141" i="1"/>
  <c r="V1865" i="1"/>
  <c r="V1781" i="1"/>
  <c r="V1780" i="1"/>
  <c r="V1779" i="1"/>
  <c r="V1607" i="1"/>
  <c r="V1606" i="1"/>
  <c r="V1605" i="1"/>
  <c r="V1600" i="1"/>
  <c r="V1593" i="1"/>
  <c r="V1591" i="1"/>
  <c r="V1590" i="1"/>
  <c r="V1582" i="1"/>
  <c r="V1538" i="1"/>
  <c r="U710" i="1"/>
  <c r="V710" i="1"/>
  <c r="V721" i="1"/>
  <c r="V707" i="1"/>
  <c r="V706" i="1"/>
  <c r="V705" i="1"/>
  <c r="V690" i="1"/>
  <c r="U505" i="1"/>
  <c r="V505" i="1"/>
  <c r="V425" i="1"/>
  <c r="V424" i="1"/>
  <c r="V423" i="1"/>
  <c r="V422" i="1"/>
  <c r="V421" i="1"/>
  <c r="V420" i="1"/>
  <c r="V402" i="1"/>
  <c r="U401" i="1"/>
  <c r="V401" i="1"/>
  <c r="V372" i="1"/>
  <c r="V333" i="1"/>
  <c r="V224" i="1"/>
  <c r="V223" i="1"/>
  <c r="CW54" i="1" l="1"/>
  <c r="CW418" i="1"/>
  <c r="CW431" i="1"/>
  <c r="CW463" i="1"/>
  <c r="CW703" i="1"/>
  <c r="CV3" i="1"/>
  <c r="X2010" i="1"/>
  <c r="CV2010" i="1" s="1"/>
  <c r="X2009" i="1"/>
  <c r="CV2009" i="1" s="1"/>
  <c r="X2008" i="1"/>
  <c r="CV2008" i="1" s="1"/>
  <c r="X2005" i="1"/>
  <c r="CV2005" i="1" s="1"/>
  <c r="X1998" i="1"/>
  <c r="X1996" i="1"/>
  <c r="X1995" i="1"/>
  <c r="X1994" i="1"/>
  <c r="X1973" i="1"/>
  <c r="CV1973" i="1" s="1"/>
  <c r="X1968" i="1"/>
  <c r="CV1968" i="1" s="1"/>
  <c r="X1967" i="1"/>
  <c r="CV1967" i="1" s="1"/>
  <c r="X1966" i="1"/>
  <c r="CV1966" i="1" s="1"/>
  <c r="X1965" i="1"/>
  <c r="CV1965" i="1" s="1"/>
  <c r="X1964" i="1"/>
  <c r="CV1964" i="1" s="1"/>
  <c r="X1963" i="1"/>
  <c r="CV1963" i="1" s="1"/>
  <c r="X1962" i="1"/>
  <c r="X1961" i="1"/>
  <c r="X1958" i="1"/>
  <c r="CV1958" i="1" s="1"/>
  <c r="X1957" i="1"/>
  <c r="CV1957" i="1" s="1"/>
  <c r="X1956" i="1"/>
  <c r="CV1956" i="1" s="1"/>
  <c r="X1955" i="1"/>
  <c r="CV1955" i="1" s="1"/>
  <c r="CV1954" i="1"/>
  <c r="CV1953" i="1"/>
  <c r="CV1952" i="1"/>
  <c r="CV1951" i="1"/>
  <c r="X1950" i="1"/>
  <c r="CV1950" i="1" s="1"/>
  <c r="CV1949" i="1"/>
  <c r="X1948" i="1"/>
  <c r="CV1945" i="1"/>
  <c r="X1944" i="1"/>
  <c r="CV1944" i="1" s="1"/>
  <c r="X1943" i="1"/>
  <c r="CV1943" i="1" s="1"/>
  <c r="X1942" i="1"/>
  <c r="CV1942" i="1" s="1"/>
  <c r="X1941" i="1"/>
  <c r="CV1941" i="1" s="1"/>
  <c r="X1940" i="1"/>
  <c r="X1938" i="1"/>
  <c r="CV1938" i="1" s="1"/>
  <c r="X1937" i="1"/>
  <c r="CV1937" i="1" s="1"/>
  <c r="CV1936" i="1"/>
  <c r="X1935" i="1"/>
  <c r="X1934" i="1"/>
  <c r="X1933" i="1"/>
  <c r="CV1931" i="1"/>
  <c r="X1930" i="1"/>
  <c r="CV1929" i="1"/>
  <c r="CV1927" i="1"/>
  <c r="X1926" i="1"/>
  <c r="CV1926" i="1" s="1"/>
  <c r="X1923" i="1"/>
  <c r="X1922" i="1"/>
  <c r="X1921" i="1"/>
  <c r="CV1921" i="1" s="1"/>
  <c r="X1920" i="1"/>
  <c r="CV1920" i="1" s="1"/>
  <c r="X1919" i="1"/>
  <c r="X1918" i="1"/>
  <c r="CV1918" i="1" s="1"/>
  <c r="X1917" i="1"/>
  <c r="CV1916" i="1"/>
  <c r="CV1915" i="1"/>
  <c r="X1914" i="1"/>
  <c r="CV1914" i="1" s="1"/>
  <c r="X1913" i="1"/>
  <c r="X1912" i="1"/>
  <c r="X1911" i="1"/>
  <c r="CV1910" i="1"/>
  <c r="CV1909" i="1"/>
  <c r="CV1908" i="1"/>
  <c r="CV1907" i="1"/>
  <c r="CV1906" i="1"/>
  <c r="X1905" i="1"/>
  <c r="X1904" i="1"/>
  <c r="CV1904" i="1" s="1"/>
  <c r="X1903" i="1"/>
  <c r="CV1903" i="1" s="1"/>
  <c r="X1902" i="1"/>
  <c r="CV1902" i="1" s="1"/>
  <c r="X1901" i="1"/>
  <c r="CV1901" i="1" s="1"/>
  <c r="X1900" i="1"/>
  <c r="X1899" i="1"/>
  <c r="CV1899" i="1" s="1"/>
  <c r="X1898" i="1"/>
  <c r="CV1898" i="1" s="1"/>
  <c r="X1897" i="1"/>
  <c r="X1896" i="1"/>
  <c r="X1895" i="1"/>
  <c r="CV1895" i="1" s="1"/>
  <c r="CV1894" i="1"/>
  <c r="CV1893" i="1"/>
  <c r="X1892" i="1"/>
  <c r="CV1892" i="1" s="1"/>
  <c r="X1891" i="1"/>
  <c r="CV1891" i="1" s="1"/>
  <c r="X1890" i="1"/>
  <c r="CV1890" i="1" s="1"/>
  <c r="X1889" i="1"/>
  <c r="CV1889" i="1" s="1"/>
  <c r="X1888" i="1"/>
  <c r="CV1888" i="1" s="1"/>
  <c r="X1887" i="1"/>
  <c r="CV1887" i="1" s="1"/>
  <c r="CV1885" i="1"/>
  <c r="CV1884" i="1"/>
  <c r="CV1883" i="1"/>
  <c r="CV1882" i="1"/>
  <c r="CV1881" i="1"/>
  <c r="CV1880" i="1"/>
  <c r="CV1879" i="1"/>
  <c r="X1877" i="1"/>
  <c r="CV1877" i="1" s="1"/>
  <c r="CV1876" i="1"/>
  <c r="CV1875" i="1"/>
  <c r="X1874" i="1"/>
  <c r="X1873" i="1"/>
  <c r="X1871" i="1"/>
  <c r="X1870" i="1"/>
  <c r="CV1870" i="1" s="1"/>
  <c r="X1869" i="1"/>
  <c r="CV1869" i="1" s="1"/>
  <c r="CV1868" i="1"/>
  <c r="CV1867" i="1"/>
  <c r="X1866" i="1"/>
  <c r="CV1866" i="1" s="1"/>
  <c r="X1865" i="1"/>
  <c r="CV1865" i="1" s="1"/>
  <c r="X1864" i="1"/>
  <c r="CV1864" i="1" s="1"/>
  <c r="X1863" i="1"/>
  <c r="CV1863" i="1" s="1"/>
  <c r="X1862" i="1"/>
  <c r="X1861" i="1"/>
  <c r="CV1861" i="1" s="1"/>
  <c r="X1860" i="1"/>
  <c r="CV1860" i="1" s="1"/>
  <c r="X1859" i="1"/>
  <c r="X1858" i="1"/>
  <c r="CV1858" i="1" s="1"/>
  <c r="X1857" i="1"/>
  <c r="CV1857" i="1" s="1"/>
  <c r="X1856" i="1"/>
  <c r="CV1856" i="1" s="1"/>
  <c r="CV1855" i="1"/>
  <c r="X1854" i="1"/>
  <c r="CV1854" i="1" s="1"/>
  <c r="X1853" i="1"/>
  <c r="CV1853" i="1" s="1"/>
  <c r="X1852" i="1"/>
  <c r="CV1852" i="1" s="1"/>
  <c r="CV1851" i="1"/>
  <c r="X1850" i="1"/>
  <c r="CV1850" i="1" s="1"/>
  <c r="CV1849" i="1"/>
  <c r="CV1848" i="1"/>
  <c r="CV1847" i="1"/>
  <c r="CV1846" i="1"/>
  <c r="X1845" i="1"/>
  <c r="CV1845" i="1" s="1"/>
  <c r="CV1844" i="1"/>
  <c r="CV1843" i="1"/>
  <c r="CV1842" i="1"/>
  <c r="X1841" i="1"/>
  <c r="X1840" i="1"/>
  <c r="CV1840" i="1" s="1"/>
  <c r="X1839" i="1"/>
  <c r="CV1839" i="1" s="1"/>
  <c r="X1838" i="1"/>
  <c r="X1837" i="1"/>
  <c r="CV1837" i="1" s="1"/>
  <c r="X1836" i="1"/>
  <c r="CV1836" i="1" s="1"/>
  <c r="X1835" i="1"/>
  <c r="CV1835" i="1" s="1"/>
  <c r="X1834" i="1"/>
  <c r="CV1834" i="1" s="1"/>
  <c r="CV1833" i="1"/>
  <c r="CV1832" i="1"/>
  <c r="X1831" i="1"/>
  <c r="CV1830" i="1"/>
  <c r="CV1828" i="1"/>
  <c r="X1827" i="1"/>
  <c r="CV1827" i="1" s="1"/>
  <c r="CV1826" i="1"/>
  <c r="CV1825" i="1"/>
  <c r="CV1824" i="1"/>
  <c r="X1823" i="1"/>
  <c r="CV1823" i="1" s="1"/>
  <c r="CV1822" i="1"/>
  <c r="CV1820" i="1"/>
  <c r="X1819" i="1"/>
  <c r="CV1819" i="1" s="1"/>
  <c r="X1818" i="1"/>
  <c r="CV1818" i="1" s="1"/>
  <c r="X1817" i="1"/>
  <c r="CV1817" i="1" s="1"/>
  <c r="X1813" i="1"/>
  <c r="CV1812" i="1"/>
  <c r="CV1811" i="1"/>
  <c r="CV1810" i="1"/>
  <c r="CV1809" i="1"/>
  <c r="CV1808" i="1"/>
  <c r="X1806" i="1"/>
  <c r="CV1806" i="1" s="1"/>
  <c r="X1805" i="1"/>
  <c r="CV1804" i="1"/>
  <c r="X1803" i="1"/>
  <c r="CV1803" i="1" s="1"/>
  <c r="X1801" i="1"/>
  <c r="X1800" i="1"/>
  <c r="X1799" i="1"/>
  <c r="CV1799" i="1" s="1"/>
  <c r="X1798" i="1"/>
  <c r="CV1798" i="1" s="1"/>
  <c r="X1797" i="1"/>
  <c r="CV1797" i="1" s="1"/>
  <c r="X1796" i="1"/>
  <c r="CV1796" i="1" s="1"/>
  <c r="X1795" i="1"/>
  <c r="CV1795" i="1" s="1"/>
  <c r="X1794" i="1"/>
  <c r="CV1794" i="1" s="1"/>
  <c r="CV1790" i="1"/>
  <c r="CV1789" i="1"/>
  <c r="X1788" i="1"/>
  <c r="CV1788" i="1" s="1"/>
  <c r="CV1787" i="1"/>
  <c r="CV1786" i="1"/>
  <c r="CV1784" i="1"/>
  <c r="CV1783" i="1"/>
  <c r="X1782" i="1"/>
  <c r="CV1782" i="1" s="1"/>
  <c r="X1778" i="1"/>
  <c r="CV1777" i="1"/>
  <c r="CV1776" i="1"/>
  <c r="CV1775" i="1"/>
  <c r="CV1774" i="1"/>
  <c r="X1773" i="1"/>
  <c r="CV1773" i="1" s="1"/>
  <c r="CV1772" i="1"/>
  <c r="CV1771" i="1"/>
  <c r="CV1770" i="1"/>
  <c r="CV1769" i="1"/>
  <c r="CV1768" i="1"/>
  <c r="CV1767" i="1"/>
  <c r="CV1766" i="1"/>
  <c r="X1764" i="1"/>
  <c r="CV1764" i="1" s="1"/>
  <c r="CV1762" i="1"/>
  <c r="X1761" i="1"/>
  <c r="CV1761" i="1" s="1"/>
  <c r="CV1760" i="1"/>
  <c r="X1759" i="1"/>
  <c r="CV1759" i="1" s="1"/>
  <c r="CV1758" i="1"/>
  <c r="CV1757" i="1"/>
  <c r="CV1756" i="1"/>
  <c r="CV1755" i="1"/>
  <c r="CV1754" i="1"/>
  <c r="X1753" i="1"/>
  <c r="CV1753" i="1" s="1"/>
  <c r="CV1752" i="1"/>
  <c r="CV1751" i="1"/>
  <c r="CV1750" i="1"/>
  <c r="CV1749" i="1"/>
  <c r="CV1748" i="1"/>
  <c r="CV1747" i="1"/>
  <c r="CV1746" i="1"/>
  <c r="CV1745" i="1"/>
  <c r="X1744" i="1"/>
  <c r="CV1744" i="1" s="1"/>
  <c r="CV1743" i="1"/>
  <c r="CV1742" i="1"/>
  <c r="X1741" i="1"/>
  <c r="CV1741" i="1" s="1"/>
  <c r="CV1740" i="1"/>
  <c r="CV1738" i="1"/>
  <c r="CV1737" i="1"/>
  <c r="CV1736" i="1"/>
  <c r="CV1735" i="1"/>
  <c r="CV1734" i="1"/>
  <c r="X1733" i="1"/>
  <c r="CV1733" i="1" s="1"/>
  <c r="CV1732" i="1"/>
  <c r="CV1731" i="1"/>
  <c r="CV1730" i="1"/>
  <c r="CV1729" i="1"/>
  <c r="CV1728" i="1"/>
  <c r="CV1727" i="1"/>
  <c r="CV1726" i="1"/>
  <c r="CV1725" i="1"/>
  <c r="CV1724" i="1"/>
  <c r="CV1723" i="1"/>
  <c r="CV1722" i="1"/>
  <c r="CV1720" i="1"/>
  <c r="CV1719" i="1"/>
  <c r="CV1718" i="1"/>
  <c r="CV1716" i="1"/>
  <c r="CV1715" i="1"/>
  <c r="CV1714" i="1"/>
  <c r="CV1713" i="1"/>
  <c r="CV1712" i="1"/>
  <c r="CV1711" i="1"/>
  <c r="CV1709" i="1"/>
  <c r="CV1708" i="1"/>
  <c r="CV1707" i="1"/>
  <c r="CV1706" i="1"/>
  <c r="CV1705" i="1"/>
  <c r="CV1704" i="1"/>
  <c r="CV1703" i="1"/>
  <c r="CV1702" i="1"/>
  <c r="CV1701" i="1"/>
  <c r="X1700" i="1"/>
  <c r="CV1698" i="1"/>
  <c r="CV1697" i="1"/>
  <c r="CV1696" i="1"/>
  <c r="CV1695" i="1"/>
  <c r="CV1694" i="1"/>
  <c r="CV1693" i="1"/>
  <c r="CV1692" i="1"/>
  <c r="CV1690" i="1"/>
  <c r="CV1689" i="1"/>
  <c r="CV1688" i="1"/>
  <c r="X1686" i="1"/>
  <c r="CV1685" i="1"/>
  <c r="CV1684" i="1"/>
  <c r="CV1682" i="1"/>
  <c r="CV1681" i="1"/>
  <c r="X1680" i="1"/>
  <c r="X1679" i="1"/>
  <c r="CV1679" i="1" s="1"/>
  <c r="CV1678" i="1"/>
  <c r="CV1677" i="1"/>
  <c r="CV1676" i="1"/>
  <c r="CV1675" i="1"/>
  <c r="CV1674" i="1"/>
  <c r="CV1673" i="1"/>
  <c r="CV1672" i="1"/>
  <c r="CV1671" i="1"/>
  <c r="CV1670" i="1"/>
  <c r="CV1669" i="1"/>
  <c r="CV1668" i="1"/>
  <c r="X1667" i="1"/>
  <c r="CV1667" i="1" s="1"/>
  <c r="X1666" i="1"/>
  <c r="CV1666" i="1" s="1"/>
  <c r="CV1665" i="1"/>
  <c r="CV1664" i="1"/>
  <c r="CV1663" i="1"/>
  <c r="CV1662" i="1"/>
  <c r="CV1661" i="1"/>
  <c r="CV1660" i="1"/>
  <c r="CV1659" i="1"/>
  <c r="X1657" i="1"/>
  <c r="CV1656" i="1"/>
  <c r="CV1655" i="1"/>
  <c r="CV1654" i="1"/>
  <c r="CV1653" i="1"/>
  <c r="CV1651" i="1"/>
  <c r="CV1650" i="1"/>
  <c r="CV1649" i="1"/>
  <c r="CV1648" i="1"/>
  <c r="CV1647" i="1"/>
  <c r="CV1645" i="1"/>
  <c r="CV1644" i="1"/>
  <c r="CV1642" i="1"/>
  <c r="CV1641" i="1"/>
  <c r="CV1640" i="1"/>
  <c r="CV1638" i="1"/>
  <c r="CV1637" i="1"/>
  <c r="CV1635" i="1"/>
  <c r="CV1634" i="1"/>
  <c r="CV1633" i="1"/>
  <c r="CV1631" i="1"/>
  <c r="X1630" i="1"/>
  <c r="CV1630" i="1" s="1"/>
  <c r="CV1629" i="1"/>
  <c r="CV1628" i="1"/>
  <c r="CV1627" i="1"/>
  <c r="CV1626" i="1"/>
  <c r="CV1625" i="1"/>
  <c r="X1624" i="1"/>
  <c r="CV1624" i="1" s="1"/>
  <c r="X1623" i="1"/>
  <c r="CV1623" i="1" s="1"/>
  <c r="CV1622" i="1"/>
  <c r="CV1621" i="1"/>
  <c r="CV1620" i="1"/>
  <c r="CV1619" i="1"/>
  <c r="CV1618" i="1"/>
  <c r="CV1617" i="1"/>
  <c r="CV1616" i="1"/>
  <c r="CV1615" i="1"/>
  <c r="CV1614" i="1"/>
  <c r="CV1613" i="1"/>
  <c r="X1612" i="1"/>
  <c r="CV1612" i="1" s="1"/>
  <c r="X1611" i="1"/>
  <c r="CV1611" i="1" s="1"/>
  <c r="X1610" i="1"/>
  <c r="CV1610" i="1" s="1"/>
  <c r="X1609" i="1"/>
  <c r="CV1609" i="1" s="1"/>
  <c r="X1608" i="1"/>
  <c r="CV1608" i="1" s="1"/>
  <c r="X1607" i="1"/>
  <c r="CV1607" i="1" s="1"/>
  <c r="X1606" i="1"/>
  <c r="CV1606" i="1" s="1"/>
  <c r="X1605" i="1"/>
  <c r="CV1605" i="1" s="1"/>
  <c r="X1604" i="1"/>
  <c r="CV1604" i="1" s="1"/>
  <c r="X1603" i="1"/>
  <c r="CV1603" i="1" s="1"/>
  <c r="X1602" i="1"/>
  <c r="CV1602" i="1" s="1"/>
  <c r="X1601" i="1"/>
  <c r="CV1601" i="1" s="1"/>
  <c r="X1600" i="1"/>
  <c r="CV1600" i="1" s="1"/>
  <c r="X1599" i="1"/>
  <c r="CV1599" i="1" s="1"/>
  <c r="X1598" i="1"/>
  <c r="CV1598" i="1" s="1"/>
  <c r="X1597" i="1"/>
  <c r="CV1597" i="1" s="1"/>
  <c r="X1596" i="1"/>
  <c r="CV1596" i="1" s="1"/>
  <c r="X1595" i="1"/>
  <c r="CV1595" i="1" s="1"/>
  <c r="X1594" i="1"/>
  <c r="CV1594" i="1" s="1"/>
  <c r="X1593" i="1"/>
  <c r="CV1593" i="1" s="1"/>
  <c r="X1592" i="1"/>
  <c r="CV1592" i="1" s="1"/>
  <c r="X1591" i="1"/>
  <c r="CV1591" i="1" s="1"/>
  <c r="X1590" i="1"/>
  <c r="CV1590" i="1" s="1"/>
  <c r="X1589" i="1"/>
  <c r="CV1589" i="1" s="1"/>
  <c r="X1588" i="1"/>
  <c r="CV1588" i="1" s="1"/>
  <c r="X1587" i="1"/>
  <c r="CV1587" i="1" s="1"/>
  <c r="X1586" i="1"/>
  <c r="CV1586" i="1" s="1"/>
  <c r="X1585" i="1"/>
  <c r="CV1585" i="1" s="1"/>
  <c r="X1584" i="1"/>
  <c r="CV1584" i="1" s="1"/>
  <c r="X1583" i="1"/>
  <c r="CV1583" i="1" s="1"/>
  <c r="X1582" i="1"/>
  <c r="CV1582" i="1" s="1"/>
  <c r="X1581" i="1"/>
  <c r="CV1581" i="1" s="1"/>
  <c r="X1580" i="1"/>
  <c r="CV1580" i="1" s="1"/>
  <c r="X1579" i="1"/>
  <c r="CV1579" i="1" s="1"/>
  <c r="X1578" i="1"/>
  <c r="CV1578" i="1" s="1"/>
  <c r="X1577" i="1"/>
  <c r="CV1577" i="1" s="1"/>
  <c r="X1576" i="1"/>
  <c r="CV1576" i="1" s="1"/>
  <c r="X1575" i="1"/>
  <c r="CV1575" i="1" s="1"/>
  <c r="X1574" i="1"/>
  <c r="CV1574" i="1" s="1"/>
  <c r="CV1573" i="1"/>
  <c r="X1572" i="1"/>
  <c r="CV1572" i="1" s="1"/>
  <c r="X1571" i="1"/>
  <c r="CV1571" i="1" s="1"/>
  <c r="X1570" i="1"/>
  <c r="CV1570" i="1" s="1"/>
  <c r="X1569" i="1"/>
  <c r="CV1569" i="1" s="1"/>
  <c r="X1568" i="1"/>
  <c r="CV1568" i="1" s="1"/>
  <c r="CV1567" i="1"/>
  <c r="X1566" i="1"/>
  <c r="CV1566" i="1" s="1"/>
  <c r="X1565" i="1"/>
  <c r="CV1565" i="1" s="1"/>
  <c r="X1564" i="1"/>
  <c r="CV1564" i="1" s="1"/>
  <c r="X1563" i="1"/>
  <c r="CV1563" i="1" s="1"/>
  <c r="X1562" i="1"/>
  <c r="CV1562" i="1" s="1"/>
  <c r="X1561" i="1"/>
  <c r="CV1561" i="1" s="1"/>
  <c r="X1560" i="1"/>
  <c r="CV1560" i="1" s="1"/>
  <c r="X1559" i="1"/>
  <c r="CV1559" i="1" s="1"/>
  <c r="X1558" i="1"/>
  <c r="CV1558" i="1" s="1"/>
  <c r="X1557" i="1"/>
  <c r="CV1557" i="1" s="1"/>
  <c r="X1556" i="1"/>
  <c r="CV1556" i="1" s="1"/>
  <c r="X1555" i="1"/>
  <c r="CV1555" i="1" s="1"/>
  <c r="X1554" i="1"/>
  <c r="CV1554" i="1" s="1"/>
  <c r="X1553" i="1"/>
  <c r="CV1553" i="1" s="1"/>
  <c r="X1552" i="1"/>
  <c r="CV1552" i="1" s="1"/>
  <c r="X1551" i="1"/>
  <c r="CV1551" i="1" s="1"/>
  <c r="X1550" i="1"/>
  <c r="CV1550" i="1" s="1"/>
  <c r="X1549" i="1"/>
  <c r="CV1549" i="1" s="1"/>
  <c r="X1548" i="1"/>
  <c r="CV1548" i="1" s="1"/>
  <c r="X1547" i="1"/>
  <c r="CV1547" i="1" s="1"/>
  <c r="X1546" i="1"/>
  <c r="CV1546" i="1" s="1"/>
  <c r="X1545" i="1"/>
  <c r="CV1545" i="1" s="1"/>
  <c r="X1544" i="1"/>
  <c r="CV1544" i="1" s="1"/>
  <c r="X1543" i="1"/>
  <c r="CV1543" i="1" s="1"/>
  <c r="X1542" i="1"/>
  <c r="CV1542" i="1" s="1"/>
  <c r="X1541" i="1"/>
  <c r="CV1541" i="1" s="1"/>
  <c r="X1540" i="1"/>
  <c r="CV1540" i="1" s="1"/>
  <c r="X1539" i="1"/>
  <c r="CV1539" i="1" s="1"/>
  <c r="X1538" i="1"/>
  <c r="CV1538" i="1" s="1"/>
  <c r="X1537" i="1"/>
  <c r="CV1537" i="1" s="1"/>
  <c r="X1536" i="1"/>
  <c r="CV1536" i="1" s="1"/>
  <c r="X1535" i="1"/>
  <c r="CV1535" i="1" s="1"/>
  <c r="X1534" i="1"/>
  <c r="CV1534" i="1" s="1"/>
  <c r="X1533" i="1"/>
  <c r="CV1533" i="1" s="1"/>
  <c r="X1532" i="1"/>
  <c r="CV1532" i="1" s="1"/>
  <c r="X1531" i="1"/>
  <c r="CV1531" i="1" s="1"/>
  <c r="X1530" i="1"/>
  <c r="CV1530" i="1" s="1"/>
  <c r="X1529" i="1"/>
  <c r="CV1529" i="1" s="1"/>
  <c r="X1528" i="1"/>
  <c r="CV1528" i="1" s="1"/>
  <c r="X1527" i="1"/>
  <c r="CV1527" i="1" s="1"/>
  <c r="X1526" i="1"/>
  <c r="CV1526" i="1" s="1"/>
  <c r="X1525" i="1"/>
  <c r="CV1525" i="1" s="1"/>
  <c r="CV1524" i="1"/>
  <c r="X1523" i="1"/>
  <c r="CV1523" i="1" s="1"/>
  <c r="X1522" i="1"/>
  <c r="CV1522" i="1" s="1"/>
  <c r="X1521" i="1"/>
  <c r="CV1521" i="1" s="1"/>
  <c r="CV1520" i="1"/>
  <c r="X1519" i="1"/>
  <c r="CV1519" i="1" s="1"/>
  <c r="X1518" i="1"/>
  <c r="CV1518" i="1" s="1"/>
  <c r="CV1517" i="1"/>
  <c r="CV1516" i="1"/>
  <c r="CV1515" i="1"/>
  <c r="X1514" i="1"/>
  <c r="CV1514" i="1" s="1"/>
  <c r="X1513" i="1"/>
  <c r="CV1513" i="1" s="1"/>
  <c r="CV1512" i="1"/>
  <c r="CV1511" i="1"/>
  <c r="X1509" i="1"/>
  <c r="CV1509" i="1" s="1"/>
  <c r="CV1508" i="1"/>
  <c r="CV1507" i="1"/>
  <c r="CV1506" i="1"/>
  <c r="X1505" i="1"/>
  <c r="CV1505" i="1" s="1"/>
  <c r="CV1504" i="1"/>
  <c r="CV1503" i="1"/>
  <c r="CV1502" i="1"/>
  <c r="CV1501" i="1"/>
  <c r="X1500" i="1"/>
  <c r="CV1500" i="1" s="1"/>
  <c r="X1499" i="1"/>
  <c r="CV1499" i="1" s="1"/>
  <c r="X1498" i="1"/>
  <c r="CV1498" i="1" s="1"/>
  <c r="X1497" i="1"/>
  <c r="CV1497" i="1" s="1"/>
  <c r="X1496" i="1"/>
  <c r="CV1496" i="1" s="1"/>
  <c r="X1495" i="1"/>
  <c r="CV1495" i="1" s="1"/>
  <c r="X1494" i="1"/>
  <c r="CV1494" i="1" s="1"/>
  <c r="X1493" i="1"/>
  <c r="CV1493" i="1" s="1"/>
  <c r="CV1492" i="1"/>
  <c r="CV1491" i="1"/>
  <c r="X1490" i="1"/>
  <c r="CV1490" i="1" s="1"/>
  <c r="CV1489" i="1"/>
  <c r="CV1488" i="1"/>
  <c r="CV1487" i="1"/>
  <c r="X1486" i="1"/>
  <c r="CV1486" i="1" s="1"/>
  <c r="X1485" i="1"/>
  <c r="CV1485" i="1" s="1"/>
  <c r="CV1484" i="1"/>
  <c r="X1483" i="1"/>
  <c r="CV1483" i="1" s="1"/>
  <c r="CV1482" i="1"/>
  <c r="CV1481" i="1"/>
  <c r="X1480" i="1"/>
  <c r="CV1480" i="1" s="1"/>
  <c r="X1479" i="1"/>
  <c r="CV1479" i="1" s="1"/>
  <c r="X1478" i="1"/>
  <c r="CV1478" i="1" s="1"/>
  <c r="X1477" i="1"/>
  <c r="X1476" i="1"/>
  <c r="CV1476" i="1" s="1"/>
  <c r="X1475" i="1"/>
  <c r="CV1475" i="1" s="1"/>
  <c r="X1474" i="1"/>
  <c r="CV1474" i="1" s="1"/>
  <c r="X1473" i="1"/>
  <c r="CV1473" i="1" s="1"/>
  <c r="CV1472" i="1"/>
  <c r="CV1471" i="1"/>
  <c r="X1470" i="1"/>
  <c r="CV1470" i="1" s="1"/>
  <c r="CV1469" i="1"/>
  <c r="X1468" i="1"/>
  <c r="CV1468" i="1" s="1"/>
  <c r="X1467" i="1"/>
  <c r="CV1467" i="1" s="1"/>
  <c r="X1466" i="1"/>
  <c r="CV1466" i="1" s="1"/>
  <c r="CV1465" i="1"/>
  <c r="CV1464" i="1"/>
  <c r="CV1463" i="1"/>
  <c r="CV1462" i="1"/>
  <c r="CV1461" i="1"/>
  <c r="CV1460" i="1"/>
  <c r="CV1459" i="1"/>
  <c r="CV1458" i="1"/>
  <c r="CV1457" i="1"/>
  <c r="CV1456" i="1"/>
  <c r="CV1455" i="1"/>
  <c r="X1454" i="1"/>
  <c r="CV1453" i="1"/>
  <c r="CV1452" i="1"/>
  <c r="CV1451" i="1"/>
  <c r="CV1450" i="1"/>
  <c r="X1449" i="1"/>
  <c r="CV1449" i="1" s="1"/>
  <c r="X1448" i="1"/>
  <c r="CV1448" i="1" s="1"/>
  <c r="CV1447" i="1"/>
  <c r="CV1446" i="1"/>
  <c r="CV1445" i="1"/>
  <c r="CV1444" i="1"/>
  <c r="CV1443" i="1"/>
  <c r="X1442" i="1"/>
  <c r="CV1442" i="1" s="1"/>
  <c r="CV1441" i="1"/>
  <c r="X1440" i="1"/>
  <c r="CV1440" i="1" s="1"/>
  <c r="CV1439" i="1"/>
  <c r="CV1438" i="1"/>
  <c r="CV1437" i="1"/>
  <c r="CV1436" i="1"/>
  <c r="CV1435" i="1"/>
  <c r="CV1434" i="1"/>
  <c r="CV1433" i="1"/>
  <c r="CV1432" i="1"/>
  <c r="CV1431" i="1"/>
  <c r="X1430" i="1"/>
  <c r="CV1430" i="1" s="1"/>
  <c r="CV1429" i="1"/>
  <c r="CV1428" i="1"/>
  <c r="CV1427" i="1"/>
  <c r="CV1426" i="1"/>
  <c r="CV1425" i="1"/>
  <c r="CV1424" i="1"/>
  <c r="CV1423" i="1"/>
  <c r="CV1422" i="1"/>
  <c r="CV1421" i="1"/>
  <c r="CV1420" i="1"/>
  <c r="CV1419" i="1"/>
  <c r="CV1418" i="1"/>
  <c r="X1417" i="1"/>
  <c r="CV1417" i="1" s="1"/>
  <c r="CV1416" i="1"/>
  <c r="CV1415" i="1"/>
  <c r="CV1414" i="1"/>
  <c r="CV1413" i="1"/>
  <c r="CV1412" i="1"/>
  <c r="CV1411" i="1"/>
  <c r="CV1410" i="1"/>
  <c r="CV1409" i="1"/>
  <c r="X1408" i="1"/>
  <c r="CV1408" i="1" s="1"/>
  <c r="CV1407" i="1"/>
  <c r="X1406" i="1"/>
  <c r="CV1406" i="1" s="1"/>
  <c r="CV1405" i="1"/>
  <c r="CV1404" i="1"/>
  <c r="CV1403" i="1"/>
  <c r="CV1402" i="1"/>
  <c r="CV1401" i="1"/>
  <c r="CV1400" i="1"/>
  <c r="CV711" i="1"/>
  <c r="CV710" i="1"/>
  <c r="CV1399" i="1"/>
  <c r="CV1398" i="1"/>
  <c r="CV1397" i="1"/>
  <c r="CV1396" i="1"/>
  <c r="CV1395" i="1"/>
  <c r="CV1394" i="1"/>
  <c r="CV1393" i="1"/>
  <c r="CV1392" i="1"/>
  <c r="CV1391" i="1"/>
  <c r="CV1390" i="1"/>
  <c r="CV1389" i="1"/>
  <c r="CV1388" i="1"/>
  <c r="CV1387" i="1"/>
  <c r="CV1386" i="1"/>
  <c r="CV1385" i="1"/>
  <c r="X1384" i="1"/>
  <c r="CV1384" i="1" s="1"/>
  <c r="CV1383" i="1"/>
  <c r="CV1382" i="1"/>
  <c r="CV1381" i="1"/>
  <c r="CV1380" i="1"/>
  <c r="CV1379" i="1"/>
  <c r="CV1378" i="1"/>
  <c r="CV1377" i="1"/>
  <c r="CV1376" i="1"/>
  <c r="CV1375" i="1"/>
  <c r="X1374" i="1"/>
  <c r="CV1374" i="1" s="1"/>
  <c r="CV1372" i="1"/>
  <c r="CV1371" i="1"/>
  <c r="CV1370" i="1"/>
  <c r="CV1369" i="1"/>
  <c r="CV1368" i="1"/>
  <c r="CV1367" i="1"/>
  <c r="CV1366" i="1"/>
  <c r="CV1365" i="1"/>
  <c r="CV1364" i="1"/>
  <c r="CV1363" i="1"/>
  <c r="X1362" i="1"/>
  <c r="CV1362" i="1" s="1"/>
  <c r="CV1361" i="1"/>
  <c r="X1360" i="1"/>
  <c r="CV1360" i="1" s="1"/>
  <c r="CV1359" i="1"/>
  <c r="CV1358" i="1"/>
  <c r="CV1357" i="1"/>
  <c r="CV1356" i="1"/>
  <c r="CV1355" i="1"/>
  <c r="CV1354" i="1"/>
  <c r="X1353" i="1"/>
  <c r="CV1353" i="1" s="1"/>
  <c r="CV1352" i="1"/>
  <c r="CV1351" i="1"/>
  <c r="CV1350" i="1"/>
  <c r="CV1349" i="1"/>
  <c r="CV1348" i="1"/>
  <c r="X1347" i="1"/>
  <c r="CV1347" i="1" s="1"/>
  <c r="CV1346" i="1"/>
  <c r="CV1345" i="1"/>
  <c r="CV1344" i="1"/>
  <c r="CV1343" i="1"/>
  <c r="X1342" i="1"/>
  <c r="CV1342" i="1" s="1"/>
  <c r="CV1341" i="1"/>
  <c r="CV1340" i="1"/>
  <c r="CV1339" i="1"/>
  <c r="CV1338" i="1"/>
  <c r="CV1337" i="1"/>
  <c r="CV1336" i="1"/>
  <c r="CV1335" i="1"/>
  <c r="CV1334" i="1"/>
  <c r="CV1333" i="1"/>
  <c r="X1332" i="1"/>
  <c r="CV1332" i="1" s="1"/>
  <c r="CV1331" i="1"/>
  <c r="X1330" i="1"/>
  <c r="CV1330" i="1" s="1"/>
  <c r="X1329" i="1"/>
  <c r="CV1329" i="1" s="1"/>
  <c r="CV1328" i="1"/>
  <c r="CV1327" i="1"/>
  <c r="CV1326" i="1"/>
  <c r="CV1325" i="1"/>
  <c r="CV1324" i="1"/>
  <c r="X1323" i="1"/>
  <c r="CV1323" i="1" s="1"/>
  <c r="CV1322" i="1"/>
  <c r="CV1321" i="1"/>
  <c r="X1320" i="1"/>
  <c r="CV1319" i="1"/>
  <c r="CV1318" i="1"/>
  <c r="CV1317" i="1"/>
  <c r="CV1316" i="1"/>
  <c r="X1315" i="1"/>
  <c r="CV1315" i="1" s="1"/>
  <c r="CV1314" i="1"/>
  <c r="CV1313" i="1"/>
  <c r="CV1312" i="1"/>
  <c r="CV1311" i="1"/>
  <c r="CV1310" i="1"/>
  <c r="CV1309" i="1"/>
  <c r="X1308" i="1"/>
  <c r="CV1308" i="1" s="1"/>
  <c r="CV1307" i="1"/>
  <c r="CV1306" i="1"/>
  <c r="CV1305" i="1"/>
  <c r="X1304" i="1"/>
  <c r="CV1304" i="1" s="1"/>
  <c r="CV1303" i="1"/>
  <c r="CV1302" i="1"/>
  <c r="CV1301" i="1"/>
  <c r="X1300" i="1"/>
  <c r="CV1300" i="1" s="1"/>
  <c r="X1299" i="1"/>
  <c r="CV1299" i="1" s="1"/>
  <c r="CV1298" i="1"/>
  <c r="CV1297" i="1"/>
  <c r="CV1296" i="1"/>
  <c r="CV1295" i="1"/>
  <c r="X1294" i="1"/>
  <c r="CV1294" i="1" s="1"/>
  <c r="X1292" i="1"/>
  <c r="CV1292" i="1" s="1"/>
  <c r="X1291" i="1"/>
  <c r="CV1291" i="1" s="1"/>
  <c r="CV1290" i="1"/>
  <c r="CV1289" i="1"/>
  <c r="CV1288" i="1"/>
  <c r="X1287" i="1"/>
  <c r="CV1287" i="1" s="1"/>
  <c r="X1286" i="1"/>
  <c r="CV1286" i="1" s="1"/>
  <c r="CV1285" i="1"/>
  <c r="X1284" i="1"/>
  <c r="CV1284" i="1" s="1"/>
  <c r="CV1283" i="1"/>
  <c r="CV1282" i="1"/>
  <c r="CV1281" i="1"/>
  <c r="CV1280" i="1"/>
  <c r="CV1279" i="1"/>
  <c r="CV1278" i="1"/>
  <c r="CV1277" i="1"/>
  <c r="X1276" i="1"/>
  <c r="CV1276" i="1" s="1"/>
  <c r="CV1275" i="1"/>
  <c r="X1274" i="1"/>
  <c r="CV1274" i="1" s="1"/>
  <c r="X1273" i="1"/>
  <c r="CV1273" i="1" s="1"/>
  <c r="CV1272" i="1"/>
  <c r="CV1271" i="1"/>
  <c r="CV1270" i="1"/>
  <c r="CV1269" i="1"/>
  <c r="X1268" i="1"/>
  <c r="CV1268" i="1" s="1"/>
  <c r="X1267" i="1"/>
  <c r="CV1267" i="1" s="1"/>
  <c r="X1266" i="1"/>
  <c r="CV1266" i="1" s="1"/>
  <c r="X1265" i="1"/>
  <c r="CV1265" i="1" s="1"/>
  <c r="CV1264" i="1"/>
  <c r="X1263" i="1"/>
  <c r="CV1263" i="1" s="1"/>
  <c r="X1262" i="1"/>
  <c r="CV1262" i="1" s="1"/>
  <c r="X1261" i="1"/>
  <c r="CV1261" i="1" s="1"/>
  <c r="CV1260" i="1"/>
  <c r="X1259" i="1"/>
  <c r="CV1259" i="1" s="1"/>
  <c r="X1258" i="1"/>
  <c r="CV1258" i="1" s="1"/>
  <c r="X1257" i="1"/>
  <c r="CV1257" i="1" s="1"/>
  <c r="X1256" i="1"/>
  <c r="CV1256" i="1" s="1"/>
  <c r="X1255" i="1"/>
  <c r="CV1255" i="1" s="1"/>
  <c r="X1254" i="1"/>
  <c r="CV1254" i="1" s="1"/>
  <c r="CV1253" i="1"/>
  <c r="CV1252" i="1"/>
  <c r="CV1251" i="1"/>
  <c r="X1250" i="1"/>
  <c r="CV1250" i="1" s="1"/>
  <c r="X1249" i="1"/>
  <c r="CV1249" i="1" s="1"/>
  <c r="X1248" i="1"/>
  <c r="CV1248" i="1" s="1"/>
  <c r="X1247" i="1"/>
  <c r="CV1247" i="1" s="1"/>
  <c r="X1246" i="1"/>
  <c r="CV1246" i="1" s="1"/>
  <c r="CV1245" i="1"/>
  <c r="CV1244" i="1"/>
  <c r="X1243" i="1"/>
  <c r="CV1243" i="1" s="1"/>
  <c r="X1242" i="1"/>
  <c r="CV1242" i="1" s="1"/>
  <c r="X1241" i="1"/>
  <c r="CV1241" i="1" s="1"/>
  <c r="CV1240" i="1"/>
  <c r="CV1239" i="1"/>
  <c r="X1238" i="1"/>
  <c r="CV1238" i="1" s="1"/>
  <c r="X1237" i="1"/>
  <c r="CV1237" i="1" s="1"/>
  <c r="CV1236" i="1"/>
  <c r="CV1235" i="1"/>
  <c r="X1234" i="1"/>
  <c r="CV1234" i="1" s="1"/>
  <c r="X1233" i="1"/>
  <c r="CV1233" i="1" s="1"/>
  <c r="X1232" i="1"/>
  <c r="CV1232" i="1" s="1"/>
  <c r="X1231" i="1"/>
  <c r="CV1231" i="1" s="1"/>
  <c r="CV1230" i="1"/>
  <c r="X1229" i="1"/>
  <c r="CV1229" i="1" s="1"/>
  <c r="CV1228" i="1"/>
  <c r="CV1227" i="1"/>
  <c r="X1226" i="1"/>
  <c r="CV1226" i="1" s="1"/>
  <c r="CV1225" i="1"/>
  <c r="CV1224" i="1"/>
  <c r="CV1223" i="1"/>
  <c r="CV1222" i="1"/>
  <c r="CV1221" i="1"/>
  <c r="X1220" i="1"/>
  <c r="CV1220" i="1" s="1"/>
  <c r="CV1219" i="1"/>
  <c r="CV1218" i="1"/>
  <c r="X1217" i="1"/>
  <c r="CV1217" i="1" s="1"/>
  <c r="CV1216" i="1"/>
  <c r="CV1215" i="1"/>
  <c r="CV1214" i="1"/>
  <c r="CV1213" i="1"/>
  <c r="CV1212" i="1"/>
  <c r="CV1211" i="1"/>
  <c r="CV1210" i="1"/>
  <c r="CV1209" i="1"/>
  <c r="CV1208" i="1"/>
  <c r="CV1207" i="1"/>
  <c r="CV1206" i="1"/>
  <c r="CV1205" i="1"/>
  <c r="CV1204" i="1"/>
  <c r="CV1203" i="1"/>
  <c r="CV1202" i="1"/>
  <c r="CV1201" i="1"/>
  <c r="CV1200" i="1"/>
  <c r="X1199" i="1"/>
  <c r="CV1199" i="1" s="1"/>
  <c r="CV1198" i="1"/>
  <c r="CV1197" i="1"/>
  <c r="CV1196" i="1"/>
  <c r="CV1195" i="1"/>
  <c r="CV1194" i="1"/>
  <c r="CV1193" i="1"/>
  <c r="CV1192" i="1"/>
  <c r="CV1191" i="1"/>
  <c r="CV1190" i="1"/>
  <c r="CV1189" i="1"/>
  <c r="X1187" i="1"/>
  <c r="CV1187" i="1" s="1"/>
  <c r="CV1186" i="1"/>
  <c r="CV1185" i="1"/>
  <c r="CV1184" i="1"/>
  <c r="CV1183" i="1"/>
  <c r="X1182" i="1"/>
  <c r="CV1182" i="1" s="1"/>
  <c r="CV1181" i="1"/>
  <c r="CV1180" i="1"/>
  <c r="X1179" i="1"/>
  <c r="CV1179" i="1" s="1"/>
  <c r="CV1178" i="1"/>
  <c r="CV1177" i="1"/>
  <c r="X1176" i="1"/>
  <c r="CV1176" i="1" s="1"/>
  <c r="CV1175" i="1"/>
  <c r="CV1174" i="1"/>
  <c r="CV1173" i="1"/>
  <c r="CV1172" i="1"/>
  <c r="X1171" i="1"/>
  <c r="CV1171" i="1" s="1"/>
  <c r="CV1170" i="1"/>
  <c r="CV1169" i="1"/>
  <c r="X1168" i="1"/>
  <c r="CV1168" i="1" s="1"/>
  <c r="CV1167" i="1"/>
  <c r="CV1166" i="1"/>
  <c r="X1165" i="1"/>
  <c r="CV1165" i="1" s="1"/>
  <c r="CV1164" i="1"/>
  <c r="CV1163" i="1"/>
  <c r="CV1162" i="1"/>
  <c r="CV1161" i="1"/>
  <c r="X1160" i="1"/>
  <c r="CV1160" i="1" s="1"/>
  <c r="CV1159" i="1"/>
  <c r="CV1158" i="1"/>
  <c r="CV1157" i="1"/>
  <c r="CV1156" i="1"/>
  <c r="CV1154" i="1"/>
  <c r="CV1153" i="1"/>
  <c r="CV1152" i="1"/>
  <c r="CV1151" i="1"/>
  <c r="X1150" i="1"/>
  <c r="CV1150" i="1" s="1"/>
  <c r="X1149" i="1"/>
  <c r="CV1149" i="1" s="1"/>
  <c r="CV1148" i="1"/>
  <c r="CV1147" i="1"/>
  <c r="CV1146" i="1"/>
  <c r="CV1145" i="1"/>
  <c r="X1144" i="1"/>
  <c r="CV1144" i="1" s="1"/>
  <c r="X1143" i="1"/>
  <c r="CV1143" i="1" s="1"/>
  <c r="CV1142" i="1"/>
  <c r="X1141" i="1"/>
  <c r="CV1141" i="1" s="1"/>
  <c r="X1140" i="1"/>
  <c r="CV1140" i="1" s="1"/>
  <c r="CV1139" i="1"/>
  <c r="X1138" i="1"/>
  <c r="CV1138" i="1" s="1"/>
  <c r="CV1137" i="1"/>
  <c r="CV1136" i="1"/>
  <c r="CV1135" i="1"/>
  <c r="CV1134" i="1"/>
  <c r="CV1133" i="1"/>
  <c r="CV1132" i="1"/>
  <c r="CV1131" i="1"/>
  <c r="CV1130" i="1"/>
  <c r="CV1129" i="1"/>
  <c r="CV1128" i="1"/>
  <c r="X1127" i="1"/>
  <c r="CV1127" i="1" s="1"/>
  <c r="CV1126" i="1"/>
  <c r="CV1125" i="1"/>
  <c r="CV1124" i="1"/>
  <c r="X1123" i="1"/>
  <c r="CV1123" i="1" s="1"/>
  <c r="X1122" i="1"/>
  <c r="CV1122" i="1" s="1"/>
  <c r="X1121" i="1"/>
  <c r="CV1121" i="1" s="1"/>
  <c r="X1120" i="1"/>
  <c r="CV1120" i="1" s="1"/>
  <c r="X1119" i="1"/>
  <c r="CV1119" i="1" s="1"/>
  <c r="CV1118" i="1"/>
  <c r="CV1117" i="1"/>
  <c r="X1116" i="1"/>
  <c r="CV1116" i="1" s="1"/>
  <c r="X1115" i="1"/>
  <c r="CV1115" i="1" s="1"/>
  <c r="X1114" i="1"/>
  <c r="CV1114" i="1" s="1"/>
  <c r="X1113" i="1"/>
  <c r="CV1113" i="1" s="1"/>
  <c r="CV1112" i="1"/>
  <c r="CV1111" i="1"/>
  <c r="CV1110" i="1"/>
  <c r="CV1109" i="1"/>
  <c r="CV1108" i="1"/>
  <c r="CV1107" i="1"/>
  <c r="CV1106" i="1"/>
  <c r="CV1105" i="1"/>
  <c r="X1104" i="1"/>
  <c r="CV1104" i="1" s="1"/>
  <c r="CV1103" i="1"/>
  <c r="CV1102" i="1"/>
  <c r="CV1101" i="1"/>
  <c r="CV1100" i="1"/>
  <c r="CV1099" i="1"/>
  <c r="CV1098" i="1"/>
  <c r="CV1097" i="1"/>
  <c r="X1096" i="1"/>
  <c r="CV1096" i="1" s="1"/>
  <c r="X1095" i="1"/>
  <c r="CV1095" i="1" s="1"/>
  <c r="CV1094" i="1"/>
  <c r="X1093" i="1"/>
  <c r="CV1093" i="1" s="1"/>
  <c r="CV1092" i="1"/>
  <c r="CV1091" i="1"/>
  <c r="CV1090" i="1"/>
  <c r="CV1089" i="1"/>
  <c r="CV1088" i="1"/>
  <c r="CV1087" i="1"/>
  <c r="CV1086" i="1"/>
  <c r="CV1085" i="1"/>
  <c r="CV1084" i="1"/>
  <c r="CV1083" i="1"/>
  <c r="X1082" i="1"/>
  <c r="CV1082" i="1" s="1"/>
  <c r="X1081" i="1"/>
  <c r="CV1081" i="1" s="1"/>
  <c r="X1080" i="1"/>
  <c r="CV1080" i="1" s="1"/>
  <c r="CV1079" i="1"/>
  <c r="CV1078" i="1"/>
  <c r="CV1077" i="1"/>
  <c r="CV1076" i="1"/>
  <c r="CV1075" i="1"/>
  <c r="X1074" i="1"/>
  <c r="CV1074" i="1" s="1"/>
  <c r="X1073" i="1"/>
  <c r="CV1073" i="1" s="1"/>
  <c r="CV1072" i="1"/>
  <c r="CV1071" i="1"/>
  <c r="CV1070" i="1"/>
  <c r="CV1069" i="1"/>
  <c r="CV1068" i="1"/>
  <c r="X1067" i="1"/>
  <c r="CV1067" i="1" s="1"/>
  <c r="X1066" i="1"/>
  <c r="CV1066" i="1" s="1"/>
  <c r="X1065" i="1"/>
  <c r="CV1065" i="1" s="1"/>
  <c r="CV1064" i="1"/>
  <c r="CV1063" i="1"/>
  <c r="X1062" i="1"/>
  <c r="CV1062" i="1" s="1"/>
  <c r="X1061" i="1"/>
  <c r="CV1061" i="1" s="1"/>
  <c r="CV1060" i="1"/>
  <c r="X1059" i="1"/>
  <c r="CV1059" i="1" s="1"/>
  <c r="CV1058" i="1"/>
  <c r="CV1057" i="1"/>
  <c r="CV1056" i="1"/>
  <c r="CV1055" i="1"/>
  <c r="CV1054" i="1"/>
  <c r="CV1053" i="1"/>
  <c r="CV1052" i="1"/>
  <c r="CV1051" i="1"/>
  <c r="CV1050" i="1"/>
  <c r="CV1049" i="1"/>
  <c r="CV1048" i="1"/>
  <c r="CV1047" i="1"/>
  <c r="CV1046" i="1"/>
  <c r="CV1045" i="1"/>
  <c r="CV1044" i="1"/>
  <c r="CV1043" i="1"/>
  <c r="CV1042" i="1"/>
  <c r="CV1041" i="1"/>
  <c r="CV1040" i="1"/>
  <c r="CV1039" i="1"/>
  <c r="CV1038" i="1"/>
  <c r="CV1037" i="1"/>
  <c r="CV1036" i="1"/>
  <c r="CV1035" i="1"/>
  <c r="CV1034" i="1"/>
  <c r="X1033" i="1"/>
  <c r="CV1033" i="1" s="1"/>
  <c r="CV1032" i="1"/>
  <c r="CV1031" i="1"/>
  <c r="CV1030" i="1"/>
  <c r="X1029" i="1"/>
  <c r="CV1029" i="1" s="1"/>
  <c r="CV1028" i="1"/>
  <c r="CV1027" i="1"/>
  <c r="CV1026" i="1"/>
  <c r="CV1025" i="1"/>
  <c r="CV1024" i="1"/>
  <c r="CV1023" i="1"/>
  <c r="CV1022" i="1"/>
  <c r="CV1021" i="1"/>
  <c r="CV1020" i="1"/>
  <c r="CV1019" i="1"/>
  <c r="CV1018" i="1"/>
  <c r="CV1017" i="1"/>
  <c r="CV1016" i="1"/>
  <c r="CV1015" i="1"/>
  <c r="CV1014" i="1"/>
  <c r="CV1013" i="1"/>
  <c r="CV1012" i="1"/>
  <c r="CV1011" i="1"/>
  <c r="CV1010" i="1"/>
  <c r="CV1009" i="1"/>
  <c r="CV1007" i="1"/>
  <c r="CV1006" i="1"/>
  <c r="CV1005" i="1"/>
  <c r="CV1004" i="1"/>
  <c r="X1003" i="1"/>
  <c r="CV1003" i="1" s="1"/>
  <c r="X1002" i="1"/>
  <c r="CV1002" i="1" s="1"/>
  <c r="CV1001" i="1"/>
  <c r="X1000" i="1"/>
  <c r="CV1000" i="1" s="1"/>
  <c r="X999" i="1"/>
  <c r="CV999" i="1" s="1"/>
  <c r="CV998" i="1"/>
  <c r="CV997" i="1"/>
  <c r="CV996" i="1"/>
  <c r="CV995" i="1"/>
  <c r="CV994" i="1"/>
  <c r="CV993" i="1"/>
  <c r="CV992" i="1"/>
  <c r="CV991" i="1"/>
  <c r="CV990" i="1"/>
  <c r="CV989" i="1"/>
  <c r="CV988" i="1"/>
  <c r="CV987" i="1"/>
  <c r="CV986" i="1"/>
  <c r="CV985" i="1"/>
  <c r="CV984" i="1"/>
  <c r="X983" i="1"/>
  <c r="CV983" i="1" s="1"/>
  <c r="X982" i="1"/>
  <c r="CV982" i="1" s="1"/>
  <c r="CV981" i="1"/>
  <c r="CV980" i="1"/>
  <c r="CV979" i="1"/>
  <c r="CV978" i="1"/>
  <c r="CV977" i="1"/>
  <c r="CV976" i="1"/>
  <c r="CV975" i="1"/>
  <c r="X974" i="1"/>
  <c r="CV974" i="1" s="1"/>
  <c r="CV973" i="1"/>
  <c r="CV972" i="1"/>
  <c r="CV971" i="1"/>
  <c r="CV970" i="1"/>
  <c r="CV969" i="1"/>
  <c r="CV968" i="1"/>
  <c r="CV967" i="1"/>
  <c r="CV966" i="1"/>
  <c r="CV965" i="1"/>
  <c r="X964" i="1"/>
  <c r="CV964" i="1" s="1"/>
  <c r="CV963" i="1"/>
  <c r="CV962" i="1"/>
  <c r="CV961" i="1"/>
  <c r="CV960" i="1"/>
  <c r="CV959" i="1"/>
  <c r="CV958" i="1"/>
  <c r="CV957" i="1"/>
  <c r="CV956" i="1"/>
  <c r="CV955" i="1"/>
  <c r="CV954" i="1"/>
  <c r="X953" i="1"/>
  <c r="CV953" i="1" s="1"/>
  <c r="CV952" i="1"/>
  <c r="CV951" i="1"/>
  <c r="CV950" i="1"/>
  <c r="CV949" i="1"/>
  <c r="CV948" i="1"/>
  <c r="CV947" i="1"/>
  <c r="X946" i="1"/>
  <c r="CV946" i="1" s="1"/>
  <c r="CV945" i="1"/>
  <c r="CV944" i="1"/>
  <c r="X943" i="1"/>
  <c r="CV943" i="1" s="1"/>
  <c r="X942" i="1"/>
  <c r="CV942" i="1" s="1"/>
  <c r="X941" i="1"/>
  <c r="CV941" i="1" s="1"/>
  <c r="CV940" i="1"/>
  <c r="CV939" i="1"/>
  <c r="CV938" i="1"/>
  <c r="CV937" i="1"/>
  <c r="CV936" i="1"/>
  <c r="CV935" i="1"/>
  <c r="CV934" i="1"/>
  <c r="CV933" i="1"/>
  <c r="CV932" i="1"/>
  <c r="CV931" i="1"/>
  <c r="CV930" i="1"/>
  <c r="CV929" i="1"/>
  <c r="X928" i="1"/>
  <c r="CV927" i="1"/>
  <c r="X926" i="1"/>
  <c r="CV926" i="1" s="1"/>
  <c r="CV925" i="1"/>
  <c r="X924" i="1"/>
  <c r="CV924" i="1" s="1"/>
  <c r="X923" i="1"/>
  <c r="CV923" i="1" s="1"/>
  <c r="CV922" i="1"/>
  <c r="X921" i="1"/>
  <c r="CV921" i="1" s="1"/>
  <c r="X920" i="1"/>
  <c r="CV920" i="1" s="1"/>
  <c r="CV919" i="1"/>
  <c r="CV918" i="1"/>
  <c r="CV917" i="1"/>
  <c r="CV916" i="1"/>
  <c r="CV915" i="1"/>
  <c r="CV914" i="1"/>
  <c r="CV913" i="1"/>
  <c r="CV912" i="1"/>
  <c r="CV911" i="1"/>
  <c r="CV910" i="1"/>
  <c r="CV909" i="1"/>
  <c r="CV908" i="1"/>
  <c r="CV907" i="1"/>
  <c r="CV906" i="1"/>
  <c r="CV905" i="1"/>
  <c r="CV904" i="1"/>
  <c r="CV903" i="1"/>
  <c r="CV902" i="1"/>
  <c r="CV901" i="1"/>
  <c r="X900" i="1"/>
  <c r="CV900" i="1" s="1"/>
  <c r="CV899" i="1"/>
  <c r="X898" i="1"/>
  <c r="CV898" i="1" s="1"/>
  <c r="CV897" i="1"/>
  <c r="X896" i="1"/>
  <c r="CV896" i="1" s="1"/>
  <c r="CV895" i="1"/>
  <c r="CV894" i="1"/>
  <c r="CV893" i="1"/>
  <c r="CV892" i="1"/>
  <c r="CV891" i="1"/>
  <c r="CV890" i="1"/>
  <c r="CV889" i="1"/>
  <c r="CV888" i="1"/>
  <c r="X887" i="1"/>
  <c r="CV887" i="1" s="1"/>
  <c r="CV886" i="1"/>
  <c r="X885" i="1"/>
  <c r="CV885" i="1" s="1"/>
  <c r="CV884" i="1"/>
  <c r="CV883" i="1"/>
  <c r="CV882" i="1"/>
  <c r="CV881" i="1"/>
  <c r="CV880" i="1"/>
  <c r="CV879" i="1"/>
  <c r="CV878" i="1"/>
  <c r="CV877" i="1"/>
  <c r="X876" i="1"/>
  <c r="CV876" i="1" s="1"/>
  <c r="CV875" i="1"/>
  <c r="CV874" i="1"/>
  <c r="CV873" i="1"/>
  <c r="CV872" i="1"/>
  <c r="CV871" i="1"/>
  <c r="CV870" i="1"/>
  <c r="CV869" i="1"/>
  <c r="CV868" i="1"/>
  <c r="CV867" i="1"/>
  <c r="CV866" i="1"/>
  <c r="CV865" i="1"/>
  <c r="CV864" i="1"/>
  <c r="CV863" i="1"/>
  <c r="CV862" i="1"/>
  <c r="X861" i="1"/>
  <c r="CV861" i="1" s="1"/>
  <c r="X860" i="1"/>
  <c r="CV860" i="1" s="1"/>
  <c r="CV859" i="1"/>
  <c r="CV858" i="1"/>
  <c r="CV857" i="1"/>
  <c r="CV856" i="1"/>
  <c r="CV855" i="1"/>
  <c r="CV854" i="1"/>
  <c r="X853" i="1"/>
  <c r="CV853" i="1" s="1"/>
  <c r="CV852" i="1"/>
  <c r="X851" i="1"/>
  <c r="CV851" i="1" s="1"/>
  <c r="CV850" i="1"/>
  <c r="CV849" i="1"/>
  <c r="CV848" i="1"/>
  <c r="CV847" i="1"/>
  <c r="CV846" i="1"/>
  <c r="CV845" i="1"/>
  <c r="X844" i="1"/>
  <c r="CV844" i="1" s="1"/>
  <c r="CV843" i="1"/>
  <c r="X842" i="1"/>
  <c r="CV842" i="1" s="1"/>
  <c r="CV841" i="1"/>
  <c r="X840" i="1"/>
  <c r="CV840" i="1" s="1"/>
  <c r="CV839" i="1"/>
  <c r="CV838" i="1"/>
  <c r="CV837" i="1"/>
  <c r="CV836" i="1"/>
  <c r="CV835" i="1"/>
  <c r="CV834" i="1"/>
  <c r="CV833" i="1"/>
  <c r="CV832" i="1"/>
  <c r="CV831" i="1"/>
  <c r="CV830" i="1"/>
  <c r="CV829" i="1"/>
  <c r="CV828" i="1"/>
  <c r="CV827" i="1"/>
  <c r="CV826" i="1"/>
  <c r="CV825" i="1"/>
  <c r="CV824" i="1"/>
  <c r="X823" i="1"/>
  <c r="CV823" i="1" s="1"/>
  <c r="CV822" i="1"/>
  <c r="CV821" i="1"/>
  <c r="CV820" i="1"/>
  <c r="CV819" i="1"/>
  <c r="CV818" i="1"/>
  <c r="CV816" i="1"/>
  <c r="X815" i="1"/>
  <c r="CV815" i="1" s="1"/>
  <c r="CV814" i="1"/>
  <c r="X813" i="1"/>
  <c r="CV813" i="1" s="1"/>
  <c r="CV812" i="1"/>
  <c r="CV811" i="1"/>
  <c r="CV810" i="1"/>
  <c r="CV809" i="1"/>
  <c r="CV808" i="1"/>
  <c r="CV807" i="1"/>
  <c r="X806" i="1"/>
  <c r="CV806" i="1" s="1"/>
  <c r="CV805" i="1"/>
  <c r="CV804" i="1"/>
  <c r="X803" i="1"/>
  <c r="CV803" i="1" s="1"/>
  <c r="CV802" i="1"/>
  <c r="CV801" i="1"/>
  <c r="CV800" i="1"/>
  <c r="CV799" i="1"/>
  <c r="CV798" i="1"/>
  <c r="CV797" i="1"/>
  <c r="CV796" i="1"/>
  <c r="CV795" i="1"/>
  <c r="CV794" i="1"/>
  <c r="CV793" i="1"/>
  <c r="X792" i="1"/>
  <c r="CV792" i="1" s="1"/>
  <c r="CV791" i="1"/>
  <c r="CV790" i="1"/>
  <c r="CV789" i="1"/>
  <c r="CV788" i="1"/>
  <c r="CV787" i="1"/>
  <c r="X786" i="1"/>
  <c r="CV786" i="1" s="1"/>
  <c r="CV785" i="1"/>
  <c r="X784" i="1"/>
  <c r="CV784" i="1" s="1"/>
  <c r="CV783" i="1"/>
  <c r="CV782" i="1"/>
  <c r="CV781" i="1"/>
  <c r="CV780" i="1"/>
  <c r="CV779" i="1"/>
  <c r="CV778" i="1"/>
  <c r="CV777" i="1"/>
  <c r="CV776" i="1"/>
  <c r="CV775" i="1"/>
  <c r="CV773" i="1"/>
  <c r="X772" i="1"/>
  <c r="CV772" i="1" s="1"/>
  <c r="CV771" i="1"/>
  <c r="CV770" i="1"/>
  <c r="CV769" i="1"/>
  <c r="CV768" i="1"/>
  <c r="CV767" i="1"/>
  <c r="CV766" i="1"/>
  <c r="CV765" i="1"/>
  <c r="CV764" i="1"/>
  <c r="CV763" i="1"/>
  <c r="X762" i="1"/>
  <c r="CV762" i="1" s="1"/>
  <c r="CV761" i="1"/>
  <c r="CV760" i="1"/>
  <c r="CV759" i="1"/>
  <c r="CV758" i="1"/>
  <c r="X757" i="1"/>
  <c r="CV757" i="1" s="1"/>
  <c r="CV756" i="1"/>
  <c r="CV755" i="1"/>
  <c r="CV754" i="1"/>
  <c r="CV753" i="1"/>
  <c r="CV752" i="1"/>
  <c r="CV751" i="1"/>
  <c r="CV750" i="1"/>
  <c r="CV749" i="1"/>
  <c r="X748" i="1"/>
  <c r="CV748" i="1" s="1"/>
  <c r="CV747" i="1"/>
  <c r="CV746" i="1"/>
  <c r="CV745" i="1"/>
  <c r="X744" i="1"/>
  <c r="CV744" i="1" s="1"/>
  <c r="CV743" i="1"/>
  <c r="CV742" i="1"/>
  <c r="CV741" i="1"/>
  <c r="X740" i="1"/>
  <c r="CV740" i="1" s="1"/>
  <c r="CV739" i="1"/>
  <c r="CV738" i="1"/>
  <c r="CV737" i="1"/>
  <c r="X736" i="1"/>
  <c r="CV736" i="1" s="1"/>
  <c r="CV735" i="1"/>
  <c r="CV734" i="1"/>
  <c r="CV733" i="1"/>
  <c r="CV732" i="1"/>
  <c r="CV731" i="1"/>
  <c r="CV730" i="1"/>
  <c r="CV729" i="1"/>
  <c r="X728" i="1"/>
  <c r="CV728" i="1" s="1"/>
  <c r="CV727" i="1"/>
  <c r="CV726" i="1"/>
  <c r="CV725" i="1"/>
  <c r="CV724" i="1"/>
  <c r="CV723" i="1"/>
  <c r="CV722" i="1"/>
  <c r="X721" i="1"/>
  <c r="CV721" i="1" s="1"/>
  <c r="X719" i="1"/>
  <c r="CV719" i="1" s="1"/>
  <c r="X718" i="1"/>
  <c r="CV718" i="1" s="1"/>
  <c r="CV716" i="1"/>
  <c r="X715" i="1"/>
  <c r="CV715" i="1" s="1"/>
  <c r="X714" i="1"/>
  <c r="CV714" i="1" s="1"/>
  <c r="X713" i="1"/>
  <c r="CV713" i="1" s="1"/>
  <c r="CV712" i="1"/>
  <c r="X709" i="1"/>
  <c r="CV709" i="1" s="1"/>
  <c r="X708" i="1"/>
  <c r="CV708" i="1" s="1"/>
  <c r="X707" i="1"/>
  <c r="CV707" i="1" s="1"/>
  <c r="X706" i="1"/>
  <c r="CV706" i="1" s="1"/>
  <c r="X705" i="1"/>
  <c r="CV705" i="1" s="1"/>
  <c r="X704" i="1"/>
  <c r="CV704" i="1" s="1"/>
  <c r="X702" i="1"/>
  <c r="CV702" i="1" s="1"/>
  <c r="X701" i="1"/>
  <c r="CV701" i="1" s="1"/>
  <c r="X700" i="1"/>
  <c r="CV700" i="1" s="1"/>
  <c r="X699" i="1"/>
  <c r="CV699" i="1" s="1"/>
  <c r="X698" i="1"/>
  <c r="CV698" i="1" s="1"/>
  <c r="X697" i="1"/>
  <c r="CV697" i="1" s="1"/>
  <c r="X696" i="1"/>
  <c r="CV696" i="1" s="1"/>
  <c r="X695" i="1"/>
  <c r="CV695" i="1" s="1"/>
  <c r="X694" i="1"/>
  <c r="CV694" i="1" s="1"/>
  <c r="X693" i="1"/>
  <c r="CV693" i="1" s="1"/>
  <c r="X692" i="1"/>
  <c r="CV692" i="1" s="1"/>
  <c r="X691" i="1"/>
  <c r="CV691" i="1" s="1"/>
  <c r="X690" i="1"/>
  <c r="CV690" i="1" s="1"/>
  <c r="X689" i="1"/>
  <c r="CV689" i="1" s="1"/>
  <c r="X688" i="1"/>
  <c r="CV688" i="1" s="1"/>
  <c r="CV687" i="1"/>
  <c r="X686" i="1"/>
  <c r="CV686" i="1" s="1"/>
  <c r="CV685" i="1"/>
  <c r="X684" i="1"/>
  <c r="CV684" i="1" s="1"/>
  <c r="CV683" i="1"/>
  <c r="CV682" i="1"/>
  <c r="X681" i="1"/>
  <c r="CV681" i="1" s="1"/>
  <c r="CV680" i="1"/>
  <c r="X679" i="1"/>
  <c r="CV679" i="1" s="1"/>
  <c r="X678" i="1"/>
  <c r="CV678" i="1" s="1"/>
  <c r="X677" i="1"/>
  <c r="CV677" i="1" s="1"/>
  <c r="CV676" i="1"/>
  <c r="X675" i="1"/>
  <c r="CV675" i="1" s="1"/>
  <c r="CV674" i="1"/>
  <c r="X673" i="1"/>
  <c r="CV673" i="1" s="1"/>
  <c r="CV672" i="1"/>
  <c r="X671" i="1"/>
  <c r="CV671" i="1" s="1"/>
  <c r="X670" i="1"/>
  <c r="CV670" i="1" s="1"/>
  <c r="X669" i="1"/>
  <c r="CV669" i="1" s="1"/>
  <c r="X668" i="1"/>
  <c r="CV668" i="1" s="1"/>
  <c r="CV667" i="1"/>
  <c r="CV666" i="1"/>
  <c r="X665" i="1"/>
  <c r="CV665" i="1" s="1"/>
  <c r="CV664" i="1"/>
  <c r="CV663" i="1"/>
  <c r="CV662" i="1"/>
  <c r="CV661" i="1"/>
  <c r="CV660" i="1"/>
  <c r="CV659" i="1"/>
  <c r="CV658" i="1"/>
  <c r="X657" i="1"/>
  <c r="CV657" i="1" s="1"/>
  <c r="CV656" i="1"/>
  <c r="CV655" i="1"/>
  <c r="CV654" i="1"/>
  <c r="X653" i="1"/>
  <c r="CV653" i="1" s="1"/>
  <c r="X652" i="1"/>
  <c r="CV652" i="1" s="1"/>
  <c r="CV651" i="1"/>
  <c r="X650" i="1"/>
  <c r="CV650" i="1" s="1"/>
  <c r="CV649" i="1"/>
  <c r="CV647" i="1"/>
  <c r="CV646" i="1"/>
  <c r="CV645" i="1"/>
  <c r="CV644" i="1"/>
  <c r="CV643" i="1"/>
  <c r="X642" i="1"/>
  <c r="CV642" i="1" s="1"/>
  <c r="X641" i="1"/>
  <c r="CV641" i="1" s="1"/>
  <c r="CV640" i="1"/>
  <c r="CV639" i="1"/>
  <c r="CV638" i="1"/>
  <c r="X637" i="1"/>
  <c r="CV637" i="1" s="1"/>
  <c r="CV636" i="1"/>
  <c r="CV635" i="1"/>
  <c r="CV634" i="1"/>
  <c r="CV633" i="1"/>
  <c r="CV632" i="1"/>
  <c r="X631" i="1"/>
  <c r="CV631" i="1" s="1"/>
  <c r="CV630" i="1"/>
  <c r="X629" i="1"/>
  <c r="CV629" i="1" s="1"/>
  <c r="CV628" i="1"/>
  <c r="CV627" i="1"/>
  <c r="CV626" i="1"/>
  <c r="CV625" i="1"/>
  <c r="X624" i="1"/>
  <c r="CV624" i="1" s="1"/>
  <c r="CV623" i="1"/>
  <c r="CV622" i="1"/>
  <c r="X621" i="1"/>
  <c r="CV621" i="1" s="1"/>
  <c r="CV620" i="1"/>
  <c r="X619" i="1"/>
  <c r="CV619" i="1" s="1"/>
  <c r="CV618" i="1"/>
  <c r="CV617" i="1"/>
  <c r="X616" i="1"/>
  <c r="CV616" i="1" s="1"/>
  <c r="CV615" i="1"/>
  <c r="CV614" i="1"/>
  <c r="CV613" i="1"/>
  <c r="X612" i="1"/>
  <c r="CV612" i="1" s="1"/>
  <c r="X611" i="1"/>
  <c r="CV611" i="1" s="1"/>
  <c r="X610" i="1"/>
  <c r="CV610" i="1" s="1"/>
  <c r="CV609" i="1"/>
  <c r="CV608" i="1"/>
  <c r="X607" i="1"/>
  <c r="CV607" i="1" s="1"/>
  <c r="X606" i="1"/>
  <c r="CV606" i="1" s="1"/>
  <c r="CV605" i="1"/>
  <c r="CV604" i="1"/>
  <c r="X603" i="1"/>
  <c r="CV603" i="1" s="1"/>
  <c r="CV602" i="1"/>
  <c r="X601" i="1"/>
  <c r="CV601" i="1" s="1"/>
  <c r="CV600" i="1"/>
  <c r="X599" i="1"/>
  <c r="CV599" i="1" s="1"/>
  <c r="X598" i="1"/>
  <c r="CV598" i="1" s="1"/>
  <c r="X597" i="1"/>
  <c r="CV597" i="1" s="1"/>
  <c r="CV596" i="1"/>
  <c r="X595" i="1"/>
  <c r="CV595" i="1" s="1"/>
  <c r="CV594" i="1"/>
  <c r="X593" i="1"/>
  <c r="CV593" i="1" s="1"/>
  <c r="CV592" i="1"/>
  <c r="CV591" i="1"/>
  <c r="CV590" i="1"/>
  <c r="CV589" i="1"/>
  <c r="X588" i="1"/>
  <c r="CV588" i="1" s="1"/>
  <c r="X587" i="1"/>
  <c r="CV587" i="1" s="1"/>
  <c r="X586" i="1"/>
  <c r="CV586" i="1" s="1"/>
  <c r="X585" i="1"/>
  <c r="CV585" i="1" s="1"/>
  <c r="X584" i="1"/>
  <c r="CV584" i="1" s="1"/>
  <c r="X583" i="1"/>
  <c r="CV583" i="1" s="1"/>
  <c r="X582" i="1"/>
  <c r="CV582" i="1" s="1"/>
  <c r="X581" i="1"/>
  <c r="CV581" i="1" s="1"/>
  <c r="X580" i="1"/>
  <c r="CV580" i="1" s="1"/>
  <c r="X579" i="1"/>
  <c r="CV579" i="1" s="1"/>
  <c r="CV578" i="1"/>
  <c r="X577" i="1"/>
  <c r="CV577" i="1" s="1"/>
  <c r="CV576" i="1"/>
  <c r="X575" i="1"/>
  <c r="CV575" i="1" s="1"/>
  <c r="CV574" i="1"/>
  <c r="CV573" i="1"/>
  <c r="CV572" i="1"/>
  <c r="CV571" i="1"/>
  <c r="CV570" i="1"/>
  <c r="CV569" i="1"/>
  <c r="X568" i="1"/>
  <c r="X567" i="1"/>
  <c r="CV567" i="1" s="1"/>
  <c r="X566" i="1"/>
  <c r="CV565" i="1"/>
  <c r="CV564" i="1"/>
  <c r="CV563" i="1"/>
  <c r="X562" i="1"/>
  <c r="CV562" i="1" s="1"/>
  <c r="X561" i="1"/>
  <c r="CV561" i="1" s="1"/>
  <c r="CV560" i="1"/>
  <c r="CV559" i="1"/>
  <c r="CV558" i="1"/>
  <c r="CV557" i="1"/>
  <c r="CV556" i="1"/>
  <c r="CV555" i="1"/>
  <c r="CV554" i="1"/>
  <c r="X553" i="1"/>
  <c r="CV553" i="1" s="1"/>
  <c r="X552" i="1"/>
  <c r="CV552" i="1" s="1"/>
  <c r="CV551" i="1"/>
  <c r="CV550" i="1"/>
  <c r="CV549" i="1"/>
  <c r="CV548" i="1"/>
  <c r="CV547" i="1"/>
  <c r="X546" i="1"/>
  <c r="CV546" i="1" s="1"/>
  <c r="CV545" i="1"/>
  <c r="X544" i="1"/>
  <c r="CV544" i="1" s="1"/>
  <c r="X543" i="1"/>
  <c r="CV543" i="1" s="1"/>
  <c r="CV542" i="1"/>
  <c r="CV541" i="1"/>
  <c r="X540" i="1"/>
  <c r="CV540" i="1" s="1"/>
  <c r="CV539" i="1"/>
  <c r="CV538" i="1"/>
  <c r="X537" i="1"/>
  <c r="CV537" i="1" s="1"/>
  <c r="CV536" i="1"/>
  <c r="CV535" i="1"/>
  <c r="CV534" i="1"/>
  <c r="X533" i="1"/>
  <c r="CV533" i="1" s="1"/>
  <c r="X532" i="1"/>
  <c r="CV532" i="1" s="1"/>
  <c r="CV531" i="1"/>
  <c r="CV530" i="1"/>
  <c r="CV529" i="1"/>
  <c r="CV528" i="1"/>
  <c r="X527" i="1"/>
  <c r="CV527" i="1" s="1"/>
  <c r="CV526" i="1"/>
  <c r="CV525" i="1"/>
  <c r="CV524" i="1"/>
  <c r="CV523" i="1"/>
  <c r="CV522" i="1"/>
  <c r="CV521" i="1"/>
  <c r="CV520" i="1"/>
  <c r="CV519" i="1"/>
  <c r="CV518" i="1"/>
  <c r="CV517" i="1"/>
  <c r="CV516" i="1"/>
  <c r="CV515" i="1"/>
  <c r="CV514" i="1"/>
  <c r="CV513" i="1"/>
  <c r="CV512" i="1"/>
  <c r="CV511" i="1"/>
  <c r="X510" i="1"/>
  <c r="X509" i="1"/>
  <c r="X508" i="1"/>
  <c r="X507" i="1"/>
  <c r="CV507" i="1" s="1"/>
  <c r="CV506" i="1"/>
  <c r="CV504" i="1"/>
  <c r="X502" i="1"/>
  <c r="CV501" i="1"/>
  <c r="X500" i="1"/>
  <c r="CV500" i="1" s="1"/>
  <c r="X499" i="1"/>
  <c r="CV499" i="1" s="1"/>
  <c r="CV498" i="1"/>
  <c r="CV497" i="1"/>
  <c r="X496" i="1"/>
  <c r="CV496" i="1" s="1"/>
  <c r="X495" i="1"/>
  <c r="X493" i="1"/>
  <c r="CV492" i="1"/>
  <c r="CV491" i="1"/>
  <c r="CV490" i="1"/>
  <c r="CV489" i="1"/>
  <c r="CV488" i="1"/>
  <c r="X487" i="1"/>
  <c r="CV487" i="1" s="1"/>
  <c r="CV486" i="1"/>
  <c r="CV485" i="1"/>
  <c r="X484" i="1"/>
  <c r="CV484" i="1" s="1"/>
  <c r="CV483" i="1"/>
  <c r="CV482" i="1"/>
  <c r="CV481" i="1"/>
  <c r="CV480" i="1"/>
  <c r="CV479" i="1"/>
  <c r="X478" i="1"/>
  <c r="X477" i="1"/>
  <c r="CV477" i="1" s="1"/>
  <c r="CV476" i="1"/>
  <c r="CV475" i="1"/>
  <c r="CV474" i="1"/>
  <c r="CV473" i="1"/>
  <c r="CV472" i="1"/>
  <c r="CV471" i="1"/>
  <c r="CV470" i="1"/>
  <c r="CV469" i="1"/>
  <c r="X468" i="1"/>
  <c r="CV468" i="1" s="1"/>
  <c r="CV467" i="1"/>
  <c r="X466" i="1"/>
  <c r="CV466" i="1" s="1"/>
  <c r="CV465" i="1"/>
  <c r="X464" i="1"/>
  <c r="CV464" i="1" s="1"/>
  <c r="CV462" i="1"/>
  <c r="CV461" i="1"/>
  <c r="CV459" i="1"/>
  <c r="CV458" i="1"/>
  <c r="CV457" i="1"/>
  <c r="CV454" i="1"/>
  <c r="CV453" i="1"/>
  <c r="CV452" i="1"/>
  <c r="X450" i="1"/>
  <c r="CV450" i="1" s="1"/>
  <c r="CV449" i="1"/>
  <c r="X448" i="1"/>
  <c r="CV448" i="1" s="1"/>
  <c r="CV447" i="1"/>
  <c r="X446" i="1"/>
  <c r="CV446" i="1" s="1"/>
  <c r="CV445" i="1"/>
  <c r="CV444" i="1"/>
  <c r="X443" i="1"/>
  <c r="CV443" i="1" s="1"/>
  <c r="X442" i="1"/>
  <c r="CV442" i="1" s="1"/>
  <c r="CV441" i="1"/>
  <c r="CV440" i="1"/>
  <c r="X439" i="1"/>
  <c r="CV439" i="1" s="1"/>
  <c r="CV438" i="1"/>
  <c r="X437" i="1"/>
  <c r="CV436" i="1"/>
  <c r="CV435" i="1"/>
  <c r="CV434" i="1"/>
  <c r="X433" i="1"/>
  <c r="CV433" i="1" s="1"/>
  <c r="CV432" i="1"/>
  <c r="CV430" i="1"/>
  <c r="CV429" i="1"/>
  <c r="CV428" i="1"/>
  <c r="X426" i="1"/>
  <c r="CV426" i="1" s="1"/>
  <c r="X425" i="1"/>
  <c r="CV425" i="1" s="1"/>
  <c r="X424" i="1"/>
  <c r="CV424" i="1" s="1"/>
  <c r="X423" i="1"/>
  <c r="CV423" i="1" s="1"/>
  <c r="X422" i="1"/>
  <c r="CV422" i="1" s="1"/>
  <c r="X421" i="1"/>
  <c r="CV421" i="1" s="1"/>
  <c r="X420" i="1"/>
  <c r="CV420" i="1" s="1"/>
  <c r="CV419" i="1"/>
  <c r="X417" i="1"/>
  <c r="CV417" i="1" s="1"/>
  <c r="X416" i="1"/>
  <c r="CV416" i="1" s="1"/>
  <c r="X415" i="1"/>
  <c r="CV415" i="1" s="1"/>
  <c r="X414" i="1"/>
  <c r="CV414" i="1" s="1"/>
  <c r="X413" i="1"/>
  <c r="CV413" i="1" s="1"/>
  <c r="X412" i="1"/>
  <c r="CV412" i="1" s="1"/>
  <c r="X411" i="1"/>
  <c r="CV411" i="1" s="1"/>
  <c r="X410" i="1"/>
  <c r="CV410" i="1" s="1"/>
  <c r="X409" i="1"/>
  <c r="CV409" i="1" s="1"/>
  <c r="X408" i="1"/>
  <c r="CV408" i="1" s="1"/>
  <c r="X407" i="1"/>
  <c r="CV407" i="1" s="1"/>
  <c r="CV406" i="1"/>
  <c r="X404" i="1"/>
  <c r="CV404" i="1" s="1"/>
  <c r="X403" i="1"/>
  <c r="CV403" i="1" s="1"/>
  <c r="X402" i="1"/>
  <c r="CV402" i="1" s="1"/>
  <c r="CV401" i="1"/>
  <c r="X400" i="1"/>
  <c r="CV400" i="1" s="1"/>
  <c r="X399" i="1"/>
  <c r="CV399" i="1" s="1"/>
  <c r="X398" i="1"/>
  <c r="CV398" i="1" s="1"/>
  <c r="CV397" i="1"/>
  <c r="X396" i="1"/>
  <c r="CV396" i="1" s="1"/>
  <c r="X395" i="1"/>
  <c r="CV395" i="1" s="1"/>
  <c r="CV394" i="1"/>
  <c r="X392" i="1"/>
  <c r="CV392" i="1" s="1"/>
  <c r="X391" i="1"/>
  <c r="CV391" i="1" s="1"/>
  <c r="CV390" i="1"/>
  <c r="CV389" i="1"/>
  <c r="CV388" i="1"/>
  <c r="CV387" i="1"/>
  <c r="CV386" i="1"/>
  <c r="X385" i="1"/>
  <c r="CV385" i="1" s="1"/>
  <c r="X384" i="1"/>
  <c r="CV384" i="1" s="1"/>
  <c r="X383" i="1"/>
  <c r="CV383" i="1" s="1"/>
  <c r="X382" i="1"/>
  <c r="CV382" i="1" s="1"/>
  <c r="CV381" i="1"/>
  <c r="X379" i="1"/>
  <c r="CV379" i="1" s="1"/>
  <c r="X378" i="1"/>
  <c r="CV378" i="1" s="1"/>
  <c r="X377" i="1"/>
  <c r="CV377" i="1" s="1"/>
  <c r="X376" i="1"/>
  <c r="CV376" i="1" s="1"/>
  <c r="X375" i="1"/>
  <c r="CV375" i="1" s="1"/>
  <c r="CV374" i="1"/>
  <c r="CV373" i="1"/>
  <c r="X372" i="1"/>
  <c r="CV372" i="1" s="1"/>
  <c r="CV369" i="1"/>
  <c r="X368" i="1"/>
  <c r="CV368" i="1" s="1"/>
  <c r="CV367" i="1"/>
  <c r="CV366" i="1"/>
  <c r="X365" i="1"/>
  <c r="CV365" i="1" s="1"/>
  <c r="CV364" i="1"/>
  <c r="CV363" i="1"/>
  <c r="CV362" i="1"/>
  <c r="CV361" i="1"/>
  <c r="X360" i="1"/>
  <c r="CV359" i="1"/>
  <c r="CV358" i="1"/>
  <c r="X357" i="1"/>
  <c r="CV356" i="1"/>
  <c r="CV355" i="1"/>
  <c r="CV354" i="1"/>
  <c r="X353" i="1"/>
  <c r="CV353" i="1" s="1"/>
  <c r="X352" i="1"/>
  <c r="CV351" i="1"/>
  <c r="CV350" i="1"/>
  <c r="CV349" i="1"/>
  <c r="CV348" i="1"/>
  <c r="CV347" i="1"/>
  <c r="CV346" i="1"/>
  <c r="CV345" i="1"/>
  <c r="X344" i="1"/>
  <c r="CV344" i="1" s="1"/>
  <c r="CV343" i="1"/>
  <c r="X342" i="1"/>
  <c r="CV342" i="1" s="1"/>
  <c r="X341" i="1"/>
  <c r="CV341" i="1" s="1"/>
  <c r="CV340" i="1"/>
  <c r="X339" i="1"/>
  <c r="CV339" i="1" s="1"/>
  <c r="CV338" i="1"/>
  <c r="CV337" i="1"/>
  <c r="CV336" i="1"/>
  <c r="CV335" i="1"/>
  <c r="CV334" i="1"/>
  <c r="X333" i="1"/>
  <c r="CV333" i="1" s="1"/>
  <c r="CV332" i="1"/>
  <c r="CV331" i="1"/>
  <c r="CV330" i="1"/>
  <c r="X329" i="1"/>
  <c r="CV329" i="1" s="1"/>
  <c r="CV328" i="1"/>
  <c r="CV327" i="1"/>
  <c r="CV326" i="1"/>
  <c r="CV325" i="1"/>
  <c r="X324" i="1"/>
  <c r="CV324" i="1" s="1"/>
  <c r="CV323" i="1"/>
  <c r="X322" i="1"/>
  <c r="CV322" i="1" s="1"/>
  <c r="X321" i="1"/>
  <c r="CV320" i="1"/>
  <c r="X319" i="1"/>
  <c r="CV319" i="1" s="1"/>
  <c r="CV318" i="1"/>
  <c r="CV317" i="1"/>
  <c r="CV316" i="1"/>
  <c r="CV314" i="1"/>
  <c r="CV313" i="1"/>
  <c r="CV312" i="1"/>
  <c r="CV311" i="1"/>
  <c r="CV310" i="1"/>
  <c r="CV309" i="1"/>
  <c r="CV308" i="1"/>
  <c r="X307" i="1"/>
  <c r="CV307" i="1" s="1"/>
  <c r="X306" i="1"/>
  <c r="CV306" i="1" s="1"/>
  <c r="CV305" i="1"/>
  <c r="CV303" i="1"/>
  <c r="X302" i="1"/>
  <c r="CV302" i="1" s="1"/>
  <c r="CV301" i="1"/>
  <c r="X300" i="1"/>
  <c r="CV300" i="1" s="1"/>
  <c r="CV299" i="1"/>
  <c r="X298" i="1"/>
  <c r="CV298" i="1" s="1"/>
  <c r="X297" i="1"/>
  <c r="CV297" i="1" s="1"/>
  <c r="X296" i="1"/>
  <c r="CV296" i="1" s="1"/>
  <c r="CV295" i="1"/>
  <c r="CV294" i="1"/>
  <c r="X292" i="1"/>
  <c r="CV292" i="1" s="1"/>
  <c r="CV291" i="1"/>
  <c r="CV289" i="1"/>
  <c r="CV288" i="1"/>
  <c r="CV287" i="1"/>
  <c r="X286" i="1"/>
  <c r="CV286" i="1" s="1"/>
  <c r="CV285" i="1"/>
  <c r="CV283" i="1"/>
  <c r="CV282" i="1"/>
  <c r="X281" i="1"/>
  <c r="CV281" i="1" s="1"/>
  <c r="X280" i="1"/>
  <c r="CV280" i="1" s="1"/>
  <c r="X279" i="1"/>
  <c r="CV279" i="1" s="1"/>
  <c r="CV278" i="1"/>
  <c r="X277" i="1"/>
  <c r="CV277" i="1" s="1"/>
  <c r="CV276" i="1"/>
  <c r="CV275" i="1"/>
  <c r="CV274" i="1"/>
  <c r="CV273" i="1"/>
  <c r="CV272" i="1"/>
  <c r="CV271" i="1"/>
  <c r="CV270" i="1"/>
  <c r="X269" i="1"/>
  <c r="CV269" i="1" s="1"/>
  <c r="CV268" i="1"/>
  <c r="CV267" i="1"/>
  <c r="CV266" i="1"/>
  <c r="CV265" i="1"/>
  <c r="CV264" i="1"/>
  <c r="CV263" i="1"/>
  <c r="CV262" i="1"/>
  <c r="X261" i="1"/>
  <c r="CV261" i="1" s="1"/>
  <c r="X258" i="1"/>
  <c r="CV258" i="1" s="1"/>
  <c r="CV256" i="1"/>
  <c r="CV255" i="1"/>
  <c r="CV254" i="1"/>
  <c r="X253" i="1"/>
  <c r="CV253" i="1" s="1"/>
  <c r="CV252" i="1"/>
  <c r="X251" i="1"/>
  <c r="CV251" i="1" s="1"/>
  <c r="CV250" i="1"/>
  <c r="X249" i="1"/>
  <c r="CV249" i="1" s="1"/>
  <c r="X248" i="1"/>
  <c r="CV248" i="1" s="1"/>
  <c r="X247" i="1"/>
  <c r="CV247" i="1" s="1"/>
  <c r="X246" i="1"/>
  <c r="CV246" i="1" s="1"/>
  <c r="X244" i="1"/>
  <c r="CV244" i="1" s="1"/>
  <c r="X243" i="1"/>
  <c r="CV243" i="1" s="1"/>
  <c r="CV242" i="1"/>
  <c r="CV241" i="1"/>
  <c r="CV240" i="1"/>
  <c r="X239" i="1"/>
  <c r="CV239" i="1" s="1"/>
  <c r="CV238" i="1"/>
  <c r="CV237" i="1"/>
  <c r="CV236" i="1"/>
  <c r="CV235" i="1"/>
  <c r="CV234" i="1"/>
  <c r="CV233" i="1"/>
  <c r="X232" i="1"/>
  <c r="CV232" i="1" s="1"/>
  <c r="X231" i="1"/>
  <c r="CV231" i="1" s="1"/>
  <c r="CV230" i="1"/>
  <c r="CV229" i="1"/>
  <c r="CV228" i="1"/>
  <c r="X227" i="1"/>
  <c r="CV227" i="1" s="1"/>
  <c r="CV226" i="1"/>
  <c r="X224" i="1"/>
  <c r="CV224" i="1" s="1"/>
  <c r="X223" i="1"/>
  <c r="CV223" i="1" s="1"/>
  <c r="X222" i="1"/>
  <c r="CV222" i="1" s="1"/>
  <c r="X221" i="1"/>
  <c r="CV221" i="1" s="1"/>
  <c r="X220" i="1"/>
  <c r="CV220" i="1" s="1"/>
  <c r="X219" i="1"/>
  <c r="CV219" i="1" s="1"/>
  <c r="CV218" i="1"/>
  <c r="CV217" i="1"/>
  <c r="CV216" i="1"/>
  <c r="X215" i="1"/>
  <c r="CV215" i="1" s="1"/>
  <c r="X214" i="1"/>
  <c r="CV214" i="1" s="1"/>
  <c r="CV213" i="1"/>
  <c r="X212" i="1"/>
  <c r="CV212" i="1" s="1"/>
  <c r="CV211" i="1"/>
  <c r="CV210" i="1"/>
  <c r="X209" i="1"/>
  <c r="CV209" i="1" s="1"/>
  <c r="CV208" i="1"/>
  <c r="X207" i="1"/>
  <c r="CV207" i="1" s="1"/>
  <c r="CV206" i="1"/>
  <c r="X205" i="1"/>
  <c r="CV205" i="1" s="1"/>
  <c r="CV204" i="1"/>
  <c r="CV203" i="1"/>
  <c r="X202" i="1"/>
  <c r="CV202" i="1" s="1"/>
  <c r="CV201" i="1"/>
  <c r="CV200" i="1"/>
  <c r="CV199" i="1"/>
  <c r="X198" i="1"/>
  <c r="CV198" i="1" s="1"/>
  <c r="CV197" i="1"/>
  <c r="X196" i="1"/>
  <c r="CV196" i="1" s="1"/>
  <c r="CV195" i="1"/>
  <c r="CV194" i="1"/>
  <c r="CV193" i="1"/>
  <c r="CV192" i="1"/>
  <c r="CV191" i="1"/>
  <c r="X190" i="1"/>
  <c r="CV190" i="1" s="1"/>
  <c r="CV189" i="1"/>
  <c r="CV187" i="1"/>
  <c r="CV186" i="1"/>
  <c r="X185" i="1"/>
  <c r="CV185" i="1" s="1"/>
  <c r="X184" i="1"/>
  <c r="CV184" i="1" s="1"/>
  <c r="X183" i="1"/>
  <c r="CV183" i="1" s="1"/>
  <c r="X182" i="1"/>
  <c r="CV182" i="1" s="1"/>
  <c r="X181" i="1"/>
  <c r="CV180" i="1"/>
  <c r="CV178" i="1"/>
  <c r="X177" i="1"/>
  <c r="CV177" i="1" s="1"/>
  <c r="X176" i="1"/>
  <c r="CV176" i="1" s="1"/>
  <c r="CV175" i="1"/>
  <c r="CV174" i="1"/>
  <c r="X172" i="1"/>
  <c r="CV172" i="1" s="1"/>
  <c r="CV171" i="1"/>
  <c r="CV170" i="1"/>
  <c r="X169" i="1"/>
  <c r="CV169" i="1" s="1"/>
  <c r="X168" i="1"/>
  <c r="CV168" i="1" s="1"/>
  <c r="X166" i="1"/>
  <c r="CV166" i="1" s="1"/>
  <c r="X165" i="1"/>
  <c r="CV165" i="1" s="1"/>
  <c r="CV164" i="1"/>
  <c r="CV163" i="1"/>
  <c r="CV162" i="1"/>
  <c r="CV161" i="1"/>
  <c r="CV160" i="1"/>
  <c r="X159" i="1"/>
  <c r="CV159" i="1" s="1"/>
  <c r="X158" i="1"/>
  <c r="CV158" i="1" s="1"/>
  <c r="CV157" i="1"/>
  <c r="CV156" i="1"/>
  <c r="X155" i="1"/>
  <c r="CV155" i="1" s="1"/>
  <c r="X154" i="1"/>
  <c r="CV154" i="1" s="1"/>
  <c r="CV153" i="1"/>
  <c r="CV152" i="1"/>
  <c r="X151" i="1"/>
  <c r="CV151" i="1" s="1"/>
  <c r="X150" i="1"/>
  <c r="CV150" i="1" s="1"/>
  <c r="CV149" i="1"/>
  <c r="X148" i="1"/>
  <c r="CV148" i="1" s="1"/>
  <c r="X147" i="1"/>
  <c r="CV147" i="1" s="1"/>
  <c r="X146" i="1"/>
  <c r="CV146" i="1" s="1"/>
  <c r="X145" i="1"/>
  <c r="CV145" i="1" s="1"/>
  <c r="CV144" i="1"/>
  <c r="CV143" i="1"/>
  <c r="CV142" i="1"/>
  <c r="X140" i="1"/>
  <c r="CV140" i="1" s="1"/>
  <c r="X139" i="1"/>
  <c r="CV139" i="1" s="1"/>
  <c r="X138" i="1"/>
  <c r="CV138" i="1" s="1"/>
  <c r="CV137" i="1"/>
  <c r="CV136" i="1"/>
  <c r="X135" i="1"/>
  <c r="CV135" i="1" s="1"/>
  <c r="X134" i="1"/>
  <c r="CV134" i="1" s="1"/>
  <c r="CV133" i="1"/>
  <c r="CV132" i="1"/>
  <c r="CV131" i="1"/>
  <c r="X130" i="1"/>
  <c r="CV130" i="1" s="1"/>
  <c r="CV129" i="1"/>
  <c r="CV128" i="1"/>
  <c r="CV127" i="1"/>
  <c r="CV126" i="1"/>
  <c r="CV125" i="1"/>
  <c r="CV124" i="1"/>
  <c r="CV123" i="1"/>
  <c r="CV122" i="1"/>
  <c r="X121" i="1"/>
  <c r="CV121" i="1" s="1"/>
  <c r="CV120" i="1"/>
  <c r="CV119" i="1"/>
  <c r="CV118" i="1"/>
  <c r="CV117" i="1"/>
  <c r="CV116" i="1"/>
  <c r="CV115" i="1"/>
  <c r="CV114" i="1"/>
  <c r="CV113" i="1"/>
  <c r="X111" i="1"/>
  <c r="CV111" i="1" s="1"/>
  <c r="CV110" i="1"/>
  <c r="CV109" i="1"/>
  <c r="CV108" i="1"/>
  <c r="X107" i="1"/>
  <c r="CV107" i="1" s="1"/>
  <c r="CV106" i="1"/>
  <c r="CV105" i="1"/>
  <c r="CV104" i="1"/>
  <c r="CV103" i="1"/>
  <c r="CV102" i="1"/>
  <c r="CV101" i="1"/>
  <c r="CV100" i="1"/>
  <c r="CV99" i="1"/>
  <c r="CV98" i="1"/>
  <c r="CV97" i="1"/>
  <c r="CV96" i="1"/>
  <c r="CV95" i="1"/>
  <c r="CV94" i="1"/>
  <c r="X93" i="1"/>
  <c r="CV92" i="1"/>
  <c r="X91" i="1"/>
  <c r="CV91" i="1" s="1"/>
  <c r="CV89" i="1"/>
  <c r="X87" i="1"/>
  <c r="CV86" i="1"/>
  <c r="CV85" i="1"/>
  <c r="CV84" i="1"/>
  <c r="CV83" i="1"/>
  <c r="CV82" i="1"/>
  <c r="X81" i="1"/>
  <c r="CV81" i="1" s="1"/>
  <c r="CV80" i="1"/>
  <c r="CV79" i="1"/>
  <c r="CV76" i="1"/>
  <c r="CV75" i="1"/>
  <c r="CV74" i="1"/>
  <c r="CV73" i="1"/>
  <c r="X72" i="1"/>
  <c r="CV72" i="1" s="1"/>
  <c r="X70" i="1"/>
  <c r="CV70" i="1" s="1"/>
  <c r="CV69" i="1"/>
  <c r="CV68" i="1"/>
  <c r="CV67" i="1"/>
  <c r="CV66" i="1"/>
  <c r="CV65" i="1"/>
  <c r="CV62" i="1"/>
  <c r="CV61" i="1"/>
  <c r="X60" i="1"/>
  <c r="CV60" i="1" s="1"/>
  <c r="CV59" i="1"/>
  <c r="CV56" i="1"/>
  <c r="CV52" i="1"/>
  <c r="CV50" i="1"/>
  <c r="X49" i="1"/>
  <c r="CV49" i="1" s="1"/>
  <c r="CV48" i="1"/>
  <c r="CV47" i="1"/>
  <c r="X46" i="1"/>
  <c r="CV46" i="1" s="1"/>
  <c r="CV45" i="1"/>
  <c r="CV44" i="1"/>
  <c r="CV43" i="1"/>
  <c r="CV42" i="1"/>
  <c r="CV41" i="1"/>
  <c r="CV40" i="1"/>
  <c r="CV39" i="1"/>
  <c r="CV38" i="1"/>
  <c r="CV37" i="1"/>
  <c r="X36" i="1"/>
  <c r="CV36" i="1" s="1"/>
  <c r="X35" i="1"/>
  <c r="CV35" i="1" s="1"/>
  <c r="CV34" i="1"/>
  <c r="X33" i="1"/>
  <c r="CV33" i="1" s="1"/>
  <c r="CV32" i="1"/>
  <c r="CV31" i="1"/>
  <c r="CV30" i="1"/>
  <c r="CV29" i="1"/>
  <c r="CV28" i="1"/>
  <c r="CV27" i="1"/>
  <c r="X26" i="1"/>
  <c r="CV26" i="1" s="1"/>
  <c r="CV25" i="1"/>
  <c r="CV24" i="1"/>
  <c r="CV23" i="1"/>
  <c r="CV22" i="1"/>
  <c r="CV21" i="1"/>
  <c r="CV20" i="1"/>
  <c r="CV19" i="1"/>
  <c r="CV18" i="1"/>
  <c r="CV17" i="1"/>
  <c r="CV16" i="1"/>
  <c r="CV15" i="1"/>
  <c r="CV14" i="1"/>
  <c r="CV13" i="1"/>
  <c r="CV12" i="1"/>
  <c r="CV10" i="1"/>
  <c r="CV9" i="1"/>
  <c r="CV8" i="1"/>
  <c r="CV7" i="1"/>
  <c r="X5" i="1"/>
  <c r="CV5" i="1" s="1"/>
  <c r="X11" i="1"/>
  <c r="CV11" i="1" s="1"/>
  <c r="CU1639" i="1" l="1"/>
  <c r="CV1639" i="1"/>
  <c r="CW1998" i="1"/>
  <c r="CW1960" i="1"/>
  <c r="CW1959" i="1"/>
  <c r="CW1947" i="1"/>
  <c r="CW1939" i="1"/>
  <c r="CW1928" i="1"/>
  <c r="CW1925" i="1"/>
  <c r="CW1924" i="1"/>
  <c r="CW1923" i="1"/>
  <c r="CW1900" i="1"/>
  <c r="CW1872" i="1"/>
  <c r="CI2033" i="1" l="1"/>
  <c r="CK2032" i="1"/>
  <c r="CI2032" i="1"/>
  <c r="CW2032" i="1" l="1"/>
  <c r="CW2033" i="1"/>
  <c r="CJ2033" i="1"/>
  <c r="CR2033" i="1" s="1"/>
  <c r="CJ2032" i="1"/>
  <c r="CR2032" i="1" s="1"/>
  <c r="CK2033" i="1"/>
  <c r="BI648" i="1"/>
  <c r="BJ648" i="1"/>
  <c r="CV648" i="1" s="1"/>
  <c r="CR648" i="1"/>
  <c r="BL648" i="1"/>
  <c r="BJ1997" i="1"/>
  <c r="CV1997" i="1" s="1"/>
  <c r="BI1997" i="1"/>
  <c r="BJ1996" i="1"/>
  <c r="CV1996" i="1" s="1"/>
  <c r="BI1996" i="1"/>
  <c r="CW517" i="1"/>
  <c r="CK648" i="1" l="1"/>
  <c r="CW1996" i="1"/>
  <c r="CW1997" i="1"/>
  <c r="CW648" i="1"/>
  <c r="CW2007" i="1" l="1"/>
  <c r="CW2006" i="1"/>
  <c r="CW2005" i="1"/>
  <c r="CW2004" i="1"/>
  <c r="CW1963" i="1"/>
  <c r="CW1957" i="1"/>
  <c r="CW1955" i="1"/>
  <c r="CW1952" i="1"/>
  <c r="CW1945" i="1"/>
  <c r="CW1943" i="1"/>
  <c r="CW1942" i="1"/>
  <c r="CW1937" i="1"/>
  <c r="CW1936" i="1"/>
  <c r="CW1929" i="1"/>
  <c r="CW1927" i="1"/>
  <c r="CW1915" i="1"/>
  <c r="CW1909" i="1"/>
  <c r="CW1908" i="1"/>
  <c r="CW1904" i="1"/>
  <c r="CW1895" i="1"/>
  <c r="CW1891" i="1"/>
  <c r="CW1875" i="1"/>
  <c r="CW1858" i="1"/>
  <c r="CW1855" i="1"/>
  <c r="CW1852" i="1"/>
  <c r="CW1851" i="1"/>
  <c r="CW1847" i="1"/>
  <c r="CW1845" i="1"/>
  <c r="CW1843" i="1"/>
  <c r="CW1835" i="1"/>
  <c r="CW1833" i="1"/>
  <c r="CW1832" i="1"/>
  <c r="CW1820" i="1"/>
  <c r="CW1818" i="1"/>
  <c r="CW1806" i="1"/>
  <c r="CW1797" i="1"/>
  <c r="CW1795" i="1"/>
  <c r="CW1789" i="1"/>
  <c r="CW1787" i="1"/>
  <c r="CW1786" i="1"/>
  <c r="CW1784" i="1"/>
  <c r="CW1761" i="1"/>
  <c r="CW1718" i="1"/>
  <c r="CW1696" i="1"/>
  <c r="CW1676" i="1"/>
  <c r="CW1675" i="1"/>
  <c r="CW1674" i="1"/>
  <c r="CW1670" i="1"/>
  <c r="CW1642" i="1"/>
  <c r="CW1641" i="1"/>
  <c r="CW1638" i="1"/>
  <c r="CW1637" i="1"/>
  <c r="CW1633" i="1"/>
  <c r="CW1629" i="1"/>
  <c r="CW1628" i="1"/>
  <c r="CW1626" i="1"/>
  <c r="CW1615" i="1"/>
  <c r="CW1612" i="1"/>
  <c r="CW1611" i="1"/>
  <c r="CW1610" i="1"/>
  <c r="CW1609" i="1"/>
  <c r="CW1608" i="1"/>
  <c r="CW1607" i="1"/>
  <c r="CW1606" i="1"/>
  <c r="CW1605" i="1"/>
  <c r="CW1604" i="1"/>
  <c r="CW1603" i="1"/>
  <c r="CW1602" i="1"/>
  <c r="CW1601" i="1"/>
  <c r="CW1600" i="1"/>
  <c r="CW1599" i="1"/>
  <c r="CW1598" i="1"/>
  <c r="CW1597" i="1"/>
  <c r="CW1596" i="1"/>
  <c r="CW1595" i="1"/>
  <c r="CW1594" i="1"/>
  <c r="CW1593" i="1"/>
  <c r="CW1592" i="1"/>
  <c r="CW1591" i="1"/>
  <c r="CW1590" i="1"/>
  <c r="CW1589" i="1"/>
  <c r="CW1588" i="1"/>
  <c r="CW1587" i="1"/>
  <c r="CW1586" i="1"/>
  <c r="CW1585" i="1"/>
  <c r="CW1584" i="1"/>
  <c r="CW1583" i="1"/>
  <c r="CW1582" i="1"/>
  <c r="CW1581" i="1"/>
  <c r="CW1580" i="1"/>
  <c r="CW1579" i="1"/>
  <c r="CW1578" i="1"/>
  <c r="CW1577" i="1"/>
  <c r="CW1576" i="1"/>
  <c r="CW1575" i="1"/>
  <c r="CW1574" i="1"/>
  <c r="CW1573" i="1"/>
  <c r="CW1572" i="1"/>
  <c r="CW1571" i="1"/>
  <c r="CW1570" i="1"/>
  <c r="CW1569" i="1"/>
  <c r="CW1568" i="1"/>
  <c r="CW1567" i="1"/>
  <c r="CW1566" i="1"/>
  <c r="CW1565" i="1"/>
  <c r="CW1564" i="1"/>
  <c r="CW1563" i="1"/>
  <c r="CW1562" i="1"/>
  <c r="CW1561" i="1"/>
  <c r="CW1560" i="1"/>
  <c r="CW1559" i="1"/>
  <c r="CW1558" i="1"/>
  <c r="CW1557" i="1"/>
  <c r="CW1556" i="1"/>
  <c r="CW1555" i="1"/>
  <c r="CW1554" i="1"/>
  <c r="CW1553" i="1"/>
  <c r="CW1552" i="1"/>
  <c r="CW1551" i="1"/>
  <c r="CW1550" i="1"/>
  <c r="CW1549" i="1"/>
  <c r="CW1548" i="1"/>
  <c r="CW1547" i="1"/>
  <c r="CW1546" i="1"/>
  <c r="CW1545" i="1"/>
  <c r="CW1544" i="1"/>
  <c r="CW1543" i="1"/>
  <c r="CW1542" i="1"/>
  <c r="CW1541" i="1"/>
  <c r="CW1540" i="1"/>
  <c r="CW1539" i="1"/>
  <c r="CW1538" i="1"/>
  <c r="CW1537" i="1"/>
  <c r="CW1536" i="1"/>
  <c r="CW1535" i="1"/>
  <c r="CW1534" i="1"/>
  <c r="CW1533" i="1"/>
  <c r="CW1532" i="1"/>
  <c r="CW1531" i="1"/>
  <c r="CW1530" i="1"/>
  <c r="CW1529" i="1"/>
  <c r="CW1528" i="1"/>
  <c r="CW1527" i="1"/>
  <c r="CW1526" i="1"/>
  <c r="CW1525" i="1"/>
  <c r="CW1524" i="1"/>
  <c r="CW1523" i="1"/>
  <c r="CW1522" i="1"/>
  <c r="CW1521" i="1"/>
  <c r="CW1520" i="1"/>
  <c r="CW1519" i="1"/>
  <c r="CW1518" i="1"/>
  <c r="CW1517" i="1"/>
  <c r="CW1516" i="1"/>
  <c r="CW1515" i="1"/>
  <c r="CW1514" i="1"/>
  <c r="CW1513" i="1"/>
  <c r="CW1512" i="1"/>
  <c r="CW1511" i="1"/>
  <c r="CW1509" i="1"/>
  <c r="CW1508" i="1"/>
  <c r="CW1507" i="1"/>
  <c r="CW1506" i="1"/>
  <c r="CW1505" i="1"/>
  <c r="CW1504" i="1"/>
  <c r="CW1503" i="1"/>
  <c r="CW1502" i="1"/>
  <c r="CW1501" i="1"/>
  <c r="CW1500" i="1"/>
  <c r="CW1499" i="1"/>
  <c r="CW1498" i="1"/>
  <c r="CW1497" i="1"/>
  <c r="CW1496" i="1"/>
  <c r="CW1495" i="1"/>
  <c r="CW1494" i="1"/>
  <c r="CW1493" i="1"/>
  <c r="CW1492" i="1"/>
  <c r="CW1491" i="1"/>
  <c r="CW1490" i="1"/>
  <c r="CW1489" i="1"/>
  <c r="CW1488" i="1"/>
  <c r="CW1487" i="1"/>
  <c r="CW1486" i="1"/>
  <c r="CW1485" i="1"/>
  <c r="CW1484" i="1"/>
  <c r="CW1483" i="1"/>
  <c r="CW1482" i="1"/>
  <c r="CW1481" i="1"/>
  <c r="CW1480" i="1"/>
  <c r="CW1479" i="1"/>
  <c r="CW1478" i="1"/>
  <c r="CW1476" i="1"/>
  <c r="CW1475" i="1"/>
  <c r="CW1474" i="1"/>
  <c r="CW1473" i="1"/>
  <c r="CW1472" i="1"/>
  <c r="CW1471" i="1"/>
  <c r="CW1470" i="1"/>
  <c r="CW1469" i="1"/>
  <c r="CW1468" i="1"/>
  <c r="CW1467" i="1"/>
  <c r="CW1466" i="1"/>
  <c r="CW1465" i="1"/>
  <c r="CW1464" i="1"/>
  <c r="CW1463" i="1"/>
  <c r="CW1462" i="1"/>
  <c r="CW1461" i="1"/>
  <c r="CW1460" i="1"/>
  <c r="CW1459" i="1"/>
  <c r="CW1458" i="1"/>
  <c r="CW1457" i="1"/>
  <c r="CW1456" i="1"/>
  <c r="CW1455" i="1"/>
  <c r="CW1453" i="1"/>
  <c r="CW1452" i="1"/>
  <c r="CW1451" i="1"/>
  <c r="CW1450" i="1"/>
  <c r="CW1449" i="1"/>
  <c r="CW1448" i="1"/>
  <c r="CW1447" i="1"/>
  <c r="CW1446" i="1"/>
  <c r="CW1445" i="1"/>
  <c r="CW1444" i="1"/>
  <c r="CW1443" i="1"/>
  <c r="CW1442" i="1"/>
  <c r="CW1441" i="1"/>
  <c r="CW1440" i="1"/>
  <c r="CW1439" i="1"/>
  <c r="CW1438" i="1"/>
  <c r="CW1437" i="1"/>
  <c r="CW1436" i="1"/>
  <c r="CW1435" i="1"/>
  <c r="CW1434" i="1"/>
  <c r="CW1433" i="1"/>
  <c r="CW1432" i="1"/>
  <c r="CW1431" i="1"/>
  <c r="CW1430" i="1"/>
  <c r="CW1429" i="1"/>
  <c r="CW1428" i="1"/>
  <c r="CW1427" i="1"/>
  <c r="CW1426" i="1"/>
  <c r="CW1425" i="1"/>
  <c r="CW1424" i="1"/>
  <c r="CW1423" i="1"/>
  <c r="CW1422" i="1"/>
  <c r="CW1421" i="1"/>
  <c r="CW1420" i="1"/>
  <c r="CW1419" i="1"/>
  <c r="CW1418" i="1"/>
  <c r="CW1417" i="1"/>
  <c r="CW1416" i="1"/>
  <c r="CW1415" i="1"/>
  <c r="CW1414" i="1"/>
  <c r="CW1413" i="1"/>
  <c r="CW1412" i="1"/>
  <c r="CW1411" i="1"/>
  <c r="CW1410" i="1"/>
  <c r="CW1409" i="1"/>
  <c r="CW1408" i="1"/>
  <c r="CW1407" i="1"/>
  <c r="CW1406" i="1"/>
  <c r="CW1405" i="1"/>
  <c r="CW1404" i="1"/>
  <c r="CW1403" i="1"/>
  <c r="CW1402" i="1"/>
  <c r="CW1401" i="1"/>
  <c r="CW1400" i="1"/>
  <c r="CW711" i="1"/>
  <c r="CW1399" i="1"/>
  <c r="CW1398" i="1"/>
  <c r="CW1397" i="1"/>
  <c r="CW1396" i="1"/>
  <c r="CW1395" i="1"/>
  <c r="CW1394" i="1"/>
  <c r="CW1393" i="1"/>
  <c r="CW1392" i="1"/>
  <c r="CW1391" i="1"/>
  <c r="CW1390" i="1"/>
  <c r="CW1389" i="1"/>
  <c r="CW1388" i="1"/>
  <c r="CW1387" i="1"/>
  <c r="CW1386" i="1"/>
  <c r="CW1385" i="1"/>
  <c r="CW1384" i="1"/>
  <c r="CW1383" i="1"/>
  <c r="CW1382" i="1"/>
  <c r="CW1381" i="1"/>
  <c r="CW1380" i="1"/>
  <c r="CW1379" i="1"/>
  <c r="CW1378" i="1"/>
  <c r="CW1377" i="1"/>
  <c r="CW1376" i="1"/>
  <c r="CW1375" i="1"/>
  <c r="CW1374" i="1"/>
  <c r="CW1373" i="1"/>
  <c r="CW1372" i="1"/>
  <c r="CW1371" i="1"/>
  <c r="CW1370" i="1"/>
  <c r="CW1369" i="1"/>
  <c r="CW1368" i="1"/>
  <c r="CW1367" i="1"/>
  <c r="CW1366" i="1"/>
  <c r="CW1365" i="1"/>
  <c r="CW1364" i="1"/>
  <c r="CW1363" i="1"/>
  <c r="CW1362" i="1"/>
  <c r="CW1361" i="1"/>
  <c r="CW1360" i="1"/>
  <c r="CW1359" i="1"/>
  <c r="CW1358" i="1"/>
  <c r="CW1357" i="1"/>
  <c r="CW1356" i="1"/>
  <c r="CW1355" i="1"/>
  <c r="CW1354" i="1"/>
  <c r="CW1353" i="1"/>
  <c r="CW1352" i="1"/>
  <c r="CW1351" i="1"/>
  <c r="CW1350" i="1"/>
  <c r="CW1349" i="1"/>
  <c r="CW1348" i="1"/>
  <c r="CW1347" i="1"/>
  <c r="CW1346" i="1"/>
  <c r="CW1345" i="1"/>
  <c r="CW2038" i="1"/>
  <c r="CW1344" i="1"/>
  <c r="CW1343" i="1"/>
  <c r="CW1342" i="1"/>
  <c r="CW1341" i="1"/>
  <c r="CW1340" i="1"/>
  <c r="CW1339" i="1"/>
  <c r="CW1338" i="1"/>
  <c r="CW1337" i="1"/>
  <c r="CW1336" i="1"/>
  <c r="CW1335" i="1"/>
  <c r="CW1334" i="1"/>
  <c r="CW1333" i="1"/>
  <c r="CW1332" i="1"/>
  <c r="CW1331" i="1"/>
  <c r="CW1330" i="1"/>
  <c r="CW1329" i="1"/>
  <c r="CW1328" i="1"/>
  <c r="CW1327" i="1"/>
  <c r="CW1326" i="1"/>
  <c r="CW1325" i="1"/>
  <c r="CW1324" i="1"/>
  <c r="CW1323" i="1"/>
  <c r="CW1322" i="1"/>
  <c r="CW1321" i="1"/>
  <c r="CW1319" i="1"/>
  <c r="CW1318" i="1"/>
  <c r="CW1317" i="1"/>
  <c r="CW1316" i="1"/>
  <c r="CW1315" i="1"/>
  <c r="CW1314" i="1"/>
  <c r="CW1313" i="1"/>
  <c r="CW1312" i="1"/>
  <c r="CW1311" i="1"/>
  <c r="CW1310" i="1"/>
  <c r="CW1309" i="1"/>
  <c r="CW1308" i="1"/>
  <c r="CW1307" i="1"/>
  <c r="CW1306" i="1"/>
  <c r="CW1305" i="1"/>
  <c r="CW1304" i="1"/>
  <c r="CW1303" i="1"/>
  <c r="CW1302" i="1"/>
  <c r="CW1301" i="1"/>
  <c r="CW1300" i="1"/>
  <c r="CW1299" i="1"/>
  <c r="CW1298" i="1"/>
  <c r="CW1297" i="1"/>
  <c r="CW1296" i="1"/>
  <c r="CW1295" i="1"/>
  <c r="CW1294" i="1"/>
  <c r="CW2037" i="1"/>
  <c r="CW2036" i="1"/>
  <c r="CW1293" i="1"/>
  <c r="CW1292" i="1"/>
  <c r="CW1291" i="1"/>
  <c r="CW1290" i="1"/>
  <c r="CW1289" i="1"/>
  <c r="CW1288" i="1"/>
  <c r="CW1287" i="1"/>
  <c r="CW1286" i="1"/>
  <c r="CW1285" i="1"/>
  <c r="CW1284" i="1"/>
  <c r="CW1283" i="1"/>
  <c r="CW1282" i="1"/>
  <c r="CW1281" i="1"/>
  <c r="CW1280" i="1"/>
  <c r="CW1279" i="1"/>
  <c r="CW1278" i="1"/>
  <c r="CW1277" i="1"/>
  <c r="CW1276" i="1"/>
  <c r="CW1275" i="1"/>
  <c r="CW1274" i="1"/>
  <c r="CW1273" i="1"/>
  <c r="CW1272" i="1"/>
  <c r="CW1271" i="1"/>
  <c r="CW1270" i="1"/>
  <c r="CW1269" i="1"/>
  <c r="CW1268" i="1"/>
  <c r="CW1267" i="1"/>
  <c r="CW1266" i="1"/>
  <c r="CW1265" i="1"/>
  <c r="CW1264" i="1"/>
  <c r="CW1263" i="1"/>
  <c r="CW1262" i="1"/>
  <c r="CW1261" i="1"/>
  <c r="CW1260" i="1"/>
  <c r="CW1259" i="1"/>
  <c r="CW1258" i="1"/>
  <c r="CW1257" i="1"/>
  <c r="CW1256" i="1"/>
  <c r="CW1255" i="1"/>
  <c r="CW1254" i="1"/>
  <c r="CW1253" i="1"/>
  <c r="CW1252" i="1"/>
  <c r="CW1251" i="1"/>
  <c r="CW1250" i="1"/>
  <c r="CW1249" i="1"/>
  <c r="CW1248" i="1"/>
  <c r="CW1247" i="1"/>
  <c r="CW1246" i="1"/>
  <c r="CW1245" i="1"/>
  <c r="CW1244" i="1"/>
  <c r="CW1243" i="1"/>
  <c r="CW1242" i="1"/>
  <c r="CW1241" i="1"/>
  <c r="CW1240" i="1"/>
  <c r="CW1239" i="1"/>
  <c r="CW1238" i="1"/>
  <c r="CW1237" i="1"/>
  <c r="CW1236" i="1"/>
  <c r="CW1235" i="1"/>
  <c r="CW1234" i="1"/>
  <c r="CW1233" i="1"/>
  <c r="CW1232" i="1"/>
  <c r="CW1231" i="1"/>
  <c r="CW1230" i="1"/>
  <c r="CW1229" i="1"/>
  <c r="CW1228" i="1"/>
  <c r="CW1227" i="1"/>
  <c r="CW1226" i="1"/>
  <c r="CW1225" i="1"/>
  <c r="CW1224" i="1"/>
  <c r="CW1223" i="1"/>
  <c r="CW1222" i="1"/>
  <c r="CW1221" i="1"/>
  <c r="CW1220" i="1"/>
  <c r="CW1219" i="1"/>
  <c r="CW1218" i="1"/>
  <c r="CW1217" i="1"/>
  <c r="CW1216" i="1"/>
  <c r="CW1215" i="1"/>
  <c r="CW1214" i="1"/>
  <c r="CW1213" i="1"/>
  <c r="CW1212" i="1"/>
  <c r="CW1211" i="1"/>
  <c r="CW1210" i="1"/>
  <c r="CW1209" i="1"/>
  <c r="CW1208" i="1"/>
  <c r="CW1207" i="1"/>
  <c r="CW1206" i="1"/>
  <c r="CW1205" i="1"/>
  <c r="CW1204" i="1"/>
  <c r="CW1203" i="1"/>
  <c r="CW1202" i="1"/>
  <c r="CW1201" i="1"/>
  <c r="CW1200" i="1"/>
  <c r="CW1199" i="1"/>
  <c r="CW1198" i="1"/>
  <c r="CW1197" i="1"/>
  <c r="CW1196" i="1"/>
  <c r="CW1195" i="1"/>
  <c r="CW1194" i="1"/>
  <c r="CW1193" i="1"/>
  <c r="CW1192" i="1"/>
  <c r="CW1191" i="1"/>
  <c r="CW1190" i="1"/>
  <c r="CW1189" i="1"/>
  <c r="CW1187" i="1"/>
  <c r="CW1186" i="1"/>
  <c r="CW1185" i="1"/>
  <c r="CW1184" i="1"/>
  <c r="CW1183" i="1"/>
  <c r="CW1182" i="1"/>
  <c r="CW1181" i="1"/>
  <c r="CW1180" i="1"/>
  <c r="CW1179" i="1"/>
  <c r="CW1178" i="1"/>
  <c r="CW1177" i="1"/>
  <c r="CW1176" i="1"/>
  <c r="CW1175" i="1"/>
  <c r="CW1174" i="1"/>
  <c r="CW1173" i="1"/>
  <c r="CW1172" i="1"/>
  <c r="CW1171" i="1"/>
  <c r="CW1170" i="1"/>
  <c r="CW1169" i="1"/>
  <c r="CW1168" i="1"/>
  <c r="CW1167" i="1"/>
  <c r="CW1166" i="1"/>
  <c r="CW1165" i="1"/>
  <c r="CW1164" i="1"/>
  <c r="CW1163" i="1"/>
  <c r="CW1162" i="1"/>
  <c r="CW1161" i="1"/>
  <c r="CW1160" i="1"/>
  <c r="CW1159" i="1"/>
  <c r="CW1158" i="1"/>
  <c r="CW1157" i="1"/>
  <c r="CW1156" i="1"/>
  <c r="CW1154" i="1"/>
  <c r="CW1153" i="1"/>
  <c r="CW1152" i="1"/>
  <c r="CW1151" i="1"/>
  <c r="CW1150" i="1"/>
  <c r="CW1149" i="1"/>
  <c r="CW1148" i="1"/>
  <c r="CW1147" i="1"/>
  <c r="CW1146" i="1"/>
  <c r="CW1145" i="1"/>
  <c r="CW1144" i="1"/>
  <c r="CW1143" i="1"/>
  <c r="CW1142" i="1"/>
  <c r="CW1141" i="1"/>
  <c r="CW1140" i="1"/>
  <c r="CW1139" i="1"/>
  <c r="CW1138" i="1"/>
  <c r="CW1137" i="1"/>
  <c r="CW1136" i="1"/>
  <c r="CW1135" i="1"/>
  <c r="CW1134" i="1"/>
  <c r="CW1133" i="1"/>
  <c r="CW1132" i="1"/>
  <c r="CW1131" i="1"/>
  <c r="CW1130" i="1"/>
  <c r="CW1129" i="1"/>
  <c r="CW1128" i="1"/>
  <c r="CW1127" i="1"/>
  <c r="CW1126" i="1"/>
  <c r="CW1125" i="1"/>
  <c r="CW1124" i="1"/>
  <c r="CW1123" i="1"/>
  <c r="CW1122" i="1"/>
  <c r="CW1121" i="1"/>
  <c r="CW1120" i="1"/>
  <c r="CW1119" i="1"/>
  <c r="CW1118" i="1"/>
  <c r="CW1117" i="1"/>
  <c r="CW1116" i="1"/>
  <c r="CW1115" i="1"/>
  <c r="CW1114" i="1"/>
  <c r="CW1113" i="1"/>
  <c r="CW1112" i="1"/>
  <c r="CW1111" i="1"/>
  <c r="CW1110" i="1"/>
  <c r="CW1109" i="1"/>
  <c r="CW1108" i="1"/>
  <c r="CW1107" i="1"/>
  <c r="CW1106" i="1"/>
  <c r="CW1105" i="1"/>
  <c r="CW1104" i="1"/>
  <c r="CW1103" i="1"/>
  <c r="CW1102" i="1"/>
  <c r="CW1101" i="1"/>
  <c r="CW1100" i="1"/>
  <c r="CW1099" i="1"/>
  <c r="CW1098" i="1"/>
  <c r="CW1097" i="1"/>
  <c r="CW1096" i="1"/>
  <c r="CW1095" i="1"/>
  <c r="CW1094" i="1"/>
  <c r="CW1093" i="1"/>
  <c r="CW1092" i="1"/>
  <c r="CW1091" i="1"/>
  <c r="CW1090" i="1"/>
  <c r="CW1089" i="1"/>
  <c r="CW1088" i="1"/>
  <c r="CW1087" i="1"/>
  <c r="CW1086" i="1"/>
  <c r="CW1085" i="1"/>
  <c r="CW1084" i="1"/>
  <c r="CW1083" i="1"/>
  <c r="CW1082" i="1"/>
  <c r="CW1081" i="1"/>
  <c r="CW1080" i="1"/>
  <c r="CW1079" i="1"/>
  <c r="CW1078" i="1"/>
  <c r="CW1077" i="1"/>
  <c r="CW1076" i="1"/>
  <c r="CW1075" i="1"/>
  <c r="CW1074" i="1"/>
  <c r="CW1073" i="1"/>
  <c r="CW1072" i="1"/>
  <c r="CW1071" i="1"/>
  <c r="CW1070" i="1"/>
  <c r="CW1069" i="1"/>
  <c r="CW1068" i="1"/>
  <c r="CW1067" i="1"/>
  <c r="CW1066" i="1"/>
  <c r="CW1065" i="1"/>
  <c r="CW1064" i="1"/>
  <c r="CW1063" i="1"/>
  <c r="CW1062" i="1"/>
  <c r="CW1061" i="1"/>
  <c r="CW1060" i="1"/>
  <c r="CW1059" i="1"/>
  <c r="CW1058" i="1"/>
  <c r="CW1057" i="1"/>
  <c r="CW1056" i="1"/>
  <c r="CW1055" i="1"/>
  <c r="CW1054" i="1"/>
  <c r="CW1053" i="1"/>
  <c r="CW1052" i="1"/>
  <c r="CW1051" i="1"/>
  <c r="CW1050" i="1"/>
  <c r="CW1049" i="1"/>
  <c r="CW1048" i="1"/>
  <c r="CW1047" i="1"/>
  <c r="CW1046" i="1"/>
  <c r="CW1045" i="1"/>
  <c r="CW1044" i="1"/>
  <c r="CW1043" i="1"/>
  <c r="CW1042" i="1"/>
  <c r="CW1041" i="1"/>
  <c r="CW1040" i="1"/>
  <c r="CW1039" i="1"/>
  <c r="CW1038" i="1"/>
  <c r="CW1037" i="1"/>
  <c r="CW1036" i="1"/>
  <c r="CW1035" i="1"/>
  <c r="CW1034" i="1"/>
  <c r="CW1033" i="1"/>
  <c r="CW1032" i="1"/>
  <c r="CW1031" i="1"/>
  <c r="CW1030" i="1"/>
  <c r="CW1029" i="1"/>
  <c r="CW1028" i="1"/>
  <c r="CW1027" i="1"/>
  <c r="CW1026" i="1"/>
  <c r="CW1025" i="1"/>
  <c r="CW1024" i="1"/>
  <c r="CW1023" i="1"/>
  <c r="CW1022" i="1"/>
  <c r="CW1021" i="1"/>
  <c r="CW1020" i="1"/>
  <c r="CW1019" i="1"/>
  <c r="CW1018" i="1"/>
  <c r="CW1017" i="1"/>
  <c r="CW1016" i="1"/>
  <c r="CW1015" i="1"/>
  <c r="CW1014" i="1"/>
  <c r="CW1013" i="1"/>
  <c r="CW1012" i="1"/>
  <c r="CW1011" i="1"/>
  <c r="CW1010" i="1"/>
  <c r="CW1009" i="1"/>
  <c r="CW1007" i="1"/>
  <c r="CW1006" i="1"/>
  <c r="CW1005" i="1"/>
  <c r="CW1004" i="1"/>
  <c r="CW1003" i="1"/>
  <c r="CW1002" i="1"/>
  <c r="CW1001" i="1"/>
  <c r="CW1000" i="1"/>
  <c r="CW999" i="1"/>
  <c r="CW998" i="1"/>
  <c r="CW997" i="1"/>
  <c r="CW996" i="1"/>
  <c r="CW995" i="1"/>
  <c r="CW994" i="1"/>
  <c r="CW993" i="1"/>
  <c r="CW992" i="1"/>
  <c r="CW991" i="1"/>
  <c r="CW990" i="1"/>
  <c r="CW989" i="1"/>
  <c r="CW988" i="1"/>
  <c r="CW987" i="1"/>
  <c r="CW986" i="1"/>
  <c r="CW985" i="1"/>
  <c r="CW984" i="1"/>
  <c r="CW983" i="1"/>
  <c r="CW982" i="1"/>
  <c r="CW981" i="1"/>
  <c r="CW980" i="1"/>
  <c r="CW979" i="1"/>
  <c r="CW978" i="1"/>
  <c r="CW977" i="1"/>
  <c r="CW976" i="1"/>
  <c r="CW975" i="1"/>
  <c r="CW974" i="1"/>
  <c r="CW973" i="1"/>
  <c r="CW972" i="1"/>
  <c r="CW971" i="1"/>
  <c r="CW970" i="1"/>
  <c r="CW969" i="1"/>
  <c r="CW968" i="1"/>
  <c r="CW967" i="1"/>
  <c r="CW966" i="1"/>
  <c r="CW965" i="1"/>
  <c r="CW964" i="1"/>
  <c r="CW963" i="1"/>
  <c r="CW962" i="1"/>
  <c r="CW961" i="1"/>
  <c r="CW960" i="1"/>
  <c r="CW959" i="1"/>
  <c r="CW958" i="1"/>
  <c r="CW957" i="1"/>
  <c r="CW956" i="1"/>
  <c r="CW955" i="1"/>
  <c r="CW954" i="1"/>
  <c r="CW953" i="1"/>
  <c r="CW952" i="1"/>
  <c r="CW951" i="1"/>
  <c r="CW950" i="1"/>
  <c r="CW949" i="1"/>
  <c r="CW948" i="1"/>
  <c r="CW947" i="1"/>
  <c r="CW946" i="1"/>
  <c r="CW945" i="1"/>
  <c r="CW944" i="1"/>
  <c r="CW943" i="1"/>
  <c r="CW942" i="1"/>
  <c r="CW941" i="1"/>
  <c r="CW940" i="1"/>
  <c r="CW939" i="1"/>
  <c r="CW938" i="1"/>
  <c r="CW937" i="1"/>
  <c r="CW936" i="1"/>
  <c r="CW935" i="1"/>
  <c r="CW934" i="1"/>
  <c r="CW933" i="1"/>
  <c r="CW932" i="1"/>
  <c r="CW931" i="1"/>
  <c r="CW930" i="1"/>
  <c r="CW929" i="1"/>
  <c r="CW927" i="1"/>
  <c r="CW926" i="1"/>
  <c r="CW925" i="1"/>
  <c r="CW924" i="1"/>
  <c r="CW923" i="1"/>
  <c r="CW922" i="1"/>
  <c r="CW921" i="1"/>
  <c r="CW920" i="1"/>
  <c r="CW919" i="1"/>
  <c r="CW918" i="1"/>
  <c r="CW917" i="1"/>
  <c r="CW916" i="1"/>
  <c r="CW915" i="1"/>
  <c r="CW914" i="1"/>
  <c r="CW913" i="1"/>
  <c r="CW912" i="1"/>
  <c r="CW911" i="1"/>
  <c r="CW910" i="1"/>
  <c r="CW909" i="1"/>
  <c r="CW908" i="1"/>
  <c r="CW907" i="1"/>
  <c r="CW906" i="1"/>
  <c r="CW905" i="1"/>
  <c r="CW904" i="1"/>
  <c r="CW903" i="1"/>
  <c r="CW902" i="1"/>
  <c r="CW901" i="1"/>
  <c r="CW900" i="1"/>
  <c r="CW899" i="1"/>
  <c r="CW898" i="1"/>
  <c r="CW897" i="1"/>
  <c r="CW896" i="1"/>
  <c r="CW895" i="1"/>
  <c r="CW894" i="1"/>
  <c r="CW893" i="1"/>
  <c r="CW892" i="1"/>
  <c r="CW891" i="1"/>
  <c r="CW890" i="1"/>
  <c r="CW889" i="1"/>
  <c r="CW888" i="1"/>
  <c r="CW887" i="1"/>
  <c r="CW886" i="1"/>
  <c r="CW885" i="1"/>
  <c r="CW884" i="1"/>
  <c r="CW883" i="1"/>
  <c r="CW882" i="1"/>
  <c r="CW881" i="1"/>
  <c r="CW880" i="1"/>
  <c r="CW879" i="1"/>
  <c r="CW878" i="1"/>
  <c r="CW877" i="1"/>
  <c r="CW876" i="1"/>
  <c r="CW875" i="1"/>
  <c r="CW874" i="1"/>
  <c r="CW873" i="1"/>
  <c r="CW872" i="1"/>
  <c r="CW871" i="1"/>
  <c r="CW870" i="1"/>
  <c r="CW869" i="1"/>
  <c r="CW868" i="1"/>
  <c r="CW867" i="1"/>
  <c r="CW866" i="1"/>
  <c r="CW865" i="1"/>
  <c r="CW864" i="1"/>
  <c r="CW863" i="1"/>
  <c r="CW862" i="1"/>
  <c r="CW861" i="1"/>
  <c r="CW860" i="1"/>
  <c r="CW859" i="1"/>
  <c r="CW858" i="1"/>
  <c r="CW857" i="1"/>
  <c r="CW856" i="1"/>
  <c r="CW855" i="1"/>
  <c r="CW854" i="1"/>
  <c r="CW853" i="1"/>
  <c r="CW852" i="1"/>
  <c r="CW851" i="1"/>
  <c r="CW850" i="1"/>
  <c r="CW849" i="1"/>
  <c r="CW848" i="1"/>
  <c r="CW847" i="1"/>
  <c r="CW846" i="1"/>
  <c r="CW845" i="1"/>
  <c r="CW844" i="1"/>
  <c r="CW843" i="1"/>
  <c r="CW842" i="1"/>
  <c r="CW841" i="1"/>
  <c r="CW840" i="1"/>
  <c r="CW839" i="1"/>
  <c r="CW838" i="1"/>
  <c r="CW837" i="1"/>
  <c r="CW836" i="1"/>
  <c r="CW835" i="1"/>
  <c r="CW834" i="1"/>
  <c r="CW833" i="1"/>
  <c r="CW832" i="1"/>
  <c r="CW831" i="1"/>
  <c r="CW830" i="1"/>
  <c r="CW829" i="1"/>
  <c r="CW828" i="1"/>
  <c r="CW827" i="1"/>
  <c r="CW826" i="1"/>
  <c r="CW825" i="1"/>
  <c r="CW824" i="1"/>
  <c r="CW823" i="1"/>
  <c r="CW822" i="1"/>
  <c r="CW821" i="1"/>
  <c r="CW820" i="1"/>
  <c r="CW819" i="1"/>
  <c r="CW818" i="1"/>
  <c r="CW816" i="1"/>
  <c r="CW815" i="1"/>
  <c r="CW814" i="1"/>
  <c r="CW813" i="1"/>
  <c r="CW812" i="1"/>
  <c r="CW811" i="1"/>
  <c r="CW810" i="1"/>
  <c r="CW809" i="1"/>
  <c r="CW808" i="1"/>
  <c r="CW807" i="1"/>
  <c r="CW806" i="1"/>
  <c r="CW805" i="1"/>
  <c r="CW804" i="1"/>
  <c r="CW803" i="1"/>
  <c r="CW802" i="1"/>
  <c r="CW801" i="1"/>
  <c r="CW800" i="1"/>
  <c r="CW799" i="1"/>
  <c r="CW798" i="1"/>
  <c r="CW797" i="1"/>
  <c r="CW796" i="1"/>
  <c r="CW795" i="1"/>
  <c r="CW794" i="1"/>
  <c r="CW793" i="1"/>
  <c r="CW792" i="1"/>
  <c r="CW791" i="1"/>
  <c r="CW790" i="1"/>
  <c r="CW789" i="1"/>
  <c r="CW788" i="1"/>
  <c r="CW787" i="1"/>
  <c r="CW786" i="1"/>
  <c r="CW785" i="1"/>
  <c r="CW784" i="1"/>
  <c r="CW783" i="1"/>
  <c r="CW782" i="1"/>
  <c r="CW781" i="1"/>
  <c r="CW780" i="1"/>
  <c r="CW779" i="1"/>
  <c r="CW778" i="1"/>
  <c r="CW777" i="1"/>
  <c r="CW776" i="1"/>
  <c r="CW775" i="1"/>
  <c r="CW773" i="1"/>
  <c r="CW772" i="1"/>
  <c r="CW771" i="1"/>
  <c r="CW770" i="1"/>
  <c r="CW769" i="1"/>
  <c r="CW768" i="1"/>
  <c r="CW767" i="1"/>
  <c r="CW766" i="1"/>
  <c r="CW765" i="1"/>
  <c r="CW764" i="1"/>
  <c r="CW763" i="1"/>
  <c r="CW762" i="1"/>
  <c r="CW761" i="1"/>
  <c r="CW760" i="1"/>
  <c r="CW759" i="1"/>
  <c r="CW758" i="1"/>
  <c r="CW757" i="1"/>
  <c r="CW756" i="1"/>
  <c r="CW755" i="1"/>
  <c r="CW754" i="1"/>
  <c r="CW753" i="1"/>
  <c r="CW752" i="1"/>
  <c r="CW751" i="1"/>
  <c r="CW750" i="1"/>
  <c r="CW749" i="1"/>
  <c r="CW748" i="1"/>
  <c r="CW747" i="1"/>
  <c r="CW746" i="1"/>
  <c r="CW745" i="1"/>
  <c r="CW744" i="1"/>
  <c r="CW743" i="1"/>
  <c r="CW742" i="1"/>
  <c r="CW741" i="1"/>
  <c r="CW740" i="1"/>
  <c r="CW739" i="1"/>
  <c r="CW738" i="1"/>
  <c r="CW737" i="1"/>
  <c r="CW736" i="1"/>
  <c r="CW735" i="1"/>
  <c r="CW734" i="1"/>
  <c r="CW733" i="1"/>
  <c r="CW732" i="1"/>
  <c r="CW731" i="1"/>
  <c r="CW730" i="1"/>
  <c r="CW729" i="1"/>
  <c r="CW728" i="1"/>
  <c r="CW727" i="1"/>
  <c r="CW726" i="1"/>
  <c r="CW725" i="1"/>
  <c r="CW724" i="1"/>
  <c r="CW723" i="1"/>
  <c r="CW722" i="1"/>
  <c r="CW721" i="1"/>
  <c r="CW720" i="1"/>
  <c r="CW719" i="1"/>
  <c r="CW718" i="1"/>
  <c r="CW717" i="1"/>
  <c r="CW716" i="1"/>
  <c r="CW715" i="1"/>
  <c r="CW714" i="1"/>
  <c r="CW713" i="1"/>
  <c r="CW712" i="1"/>
  <c r="CW709" i="1"/>
  <c r="CW708" i="1"/>
  <c r="CW707" i="1"/>
  <c r="CW706" i="1"/>
  <c r="CW705" i="1"/>
  <c r="CW704" i="1"/>
  <c r="CW702" i="1"/>
  <c r="CW701" i="1"/>
  <c r="CW700" i="1"/>
  <c r="CW699" i="1"/>
  <c r="CW698" i="1"/>
  <c r="CW697" i="1"/>
  <c r="CW696" i="1"/>
  <c r="CW695" i="1"/>
  <c r="CW694" i="1"/>
  <c r="CW693" i="1"/>
  <c r="CW692" i="1"/>
  <c r="CW691" i="1"/>
  <c r="CW690" i="1"/>
  <c r="CW689" i="1"/>
  <c r="CW688" i="1"/>
  <c r="CW670" i="1"/>
  <c r="CW686" i="1"/>
  <c r="CW607" i="1"/>
  <c r="CW684" i="1"/>
  <c r="CW683" i="1"/>
  <c r="CW682" i="1"/>
  <c r="CW681" i="1"/>
  <c r="CW680" i="1"/>
  <c r="CW679" i="1"/>
  <c r="CW678" i="1"/>
  <c r="CW677" i="1"/>
  <c r="CW637" i="1"/>
  <c r="CW675" i="1"/>
  <c r="CW664" i="1"/>
  <c r="CW673" i="1"/>
  <c r="CW649" i="1"/>
  <c r="CW671" i="1"/>
  <c r="CW645" i="1"/>
  <c r="CW643" i="1"/>
  <c r="CW635" i="1"/>
  <c r="CW634" i="1"/>
  <c r="CW656" i="1"/>
  <c r="CW534" i="1"/>
  <c r="CW529" i="1"/>
  <c r="CW655" i="1"/>
  <c r="CW662" i="1"/>
  <c r="CW661" i="1"/>
  <c r="CW633" i="1"/>
  <c r="CW659" i="1"/>
  <c r="CW638" i="1"/>
  <c r="CW657" i="1"/>
  <c r="CW653" i="1"/>
  <c r="CW623" i="1"/>
  <c r="CW654" i="1"/>
  <c r="CW685" i="1"/>
  <c r="CW576" i="1"/>
  <c r="CW572" i="1"/>
  <c r="CW650" i="1"/>
  <c r="CW636" i="1"/>
  <c r="CW651" i="1"/>
  <c r="CW660" i="1"/>
  <c r="CW658" i="1"/>
  <c r="CW644" i="1"/>
  <c r="CW592" i="1"/>
  <c r="CW642" i="1"/>
  <c r="CW641" i="1"/>
  <c r="CW617" i="1"/>
  <c r="CW614" i="1"/>
  <c r="CW605" i="1"/>
  <c r="CW594" i="1"/>
  <c r="CW647" i="1"/>
  <c r="CW646" i="1"/>
  <c r="CW667" i="1"/>
  <c r="CW666" i="1"/>
  <c r="CW538" i="1"/>
  <c r="CW631" i="1"/>
  <c r="CW630" i="1"/>
  <c r="CW629" i="1"/>
  <c r="CW589" i="1"/>
  <c r="CW604" i="1"/>
  <c r="CW600" i="1"/>
  <c r="CW526" i="1"/>
  <c r="CW624" i="1"/>
  <c r="CW625" i="1"/>
  <c r="CW620" i="1"/>
  <c r="CW674" i="1"/>
  <c r="CW672" i="1"/>
  <c r="CW619" i="1"/>
  <c r="CW618" i="1"/>
  <c r="CW590" i="1"/>
  <c r="CW616" i="1"/>
  <c r="CW615" i="1"/>
  <c r="CW676" i="1"/>
  <c r="CW613" i="1"/>
  <c r="CW612" i="1"/>
  <c r="CW611" i="1"/>
  <c r="CW610" i="1"/>
  <c r="CW622" i="1"/>
  <c r="CW591" i="1"/>
  <c r="CW608" i="1"/>
  <c r="CW606" i="1"/>
  <c r="CW640" i="1"/>
  <c r="CW639" i="1"/>
  <c r="CW603" i="1"/>
  <c r="CW602" i="1"/>
  <c r="CW601" i="1"/>
  <c r="CW549" i="1"/>
  <c r="CW599" i="1"/>
  <c r="CW598" i="1"/>
  <c r="CW597" i="1"/>
  <c r="CW596" i="1"/>
  <c r="CW595" i="1"/>
  <c r="CW550" i="1"/>
  <c r="CW593" i="1"/>
  <c r="CW514" i="1"/>
  <c r="CW626" i="1"/>
  <c r="CW609" i="1"/>
  <c r="CW621" i="1"/>
  <c r="CW588" i="1"/>
  <c r="CW587" i="1"/>
  <c r="CW586" i="1"/>
  <c r="CW585" i="1"/>
  <c r="CW584" i="1"/>
  <c r="CW583" i="1"/>
  <c r="CW582" i="1"/>
  <c r="CW581" i="1"/>
  <c r="CW580" i="1"/>
  <c r="CW579" i="1"/>
  <c r="CW578" i="1"/>
  <c r="CW577" i="1"/>
  <c r="CW663" i="1"/>
  <c r="CW575" i="1"/>
  <c r="CW574" i="1"/>
  <c r="CW573" i="1"/>
  <c r="CW665" i="1"/>
  <c r="CW560" i="1"/>
  <c r="CW570" i="1"/>
  <c r="CW569" i="1"/>
  <c r="CW567" i="1"/>
  <c r="CW518" i="1"/>
  <c r="CW512" i="1"/>
  <c r="CW563" i="1"/>
  <c r="CW562" i="1"/>
  <c r="CW561" i="1"/>
  <c r="CW652" i="1"/>
  <c r="CW559" i="1"/>
  <c r="CW558" i="1"/>
  <c r="CW557" i="1"/>
  <c r="CW556" i="1"/>
  <c r="CW555" i="1"/>
  <c r="CW554" i="1"/>
  <c r="CW553" i="1"/>
  <c r="CW552" i="1"/>
  <c r="CW551" i="1"/>
  <c r="CW548" i="1"/>
  <c r="CW545" i="1"/>
  <c r="CW571" i="1"/>
  <c r="CW547" i="1"/>
  <c r="CW546" i="1"/>
  <c r="CW565" i="1"/>
  <c r="CW544" i="1"/>
  <c r="CW543" i="1"/>
  <c r="CW542" i="1"/>
  <c r="CW627" i="1"/>
  <c r="CW540" i="1"/>
  <c r="CW539" i="1"/>
  <c r="CW669" i="1"/>
  <c r="CW537" i="1"/>
  <c r="CW536" i="1"/>
  <c r="CW535" i="1"/>
  <c r="CW520" i="1"/>
  <c r="CW533" i="1"/>
  <c r="CW532" i="1"/>
  <c r="CW531" i="1"/>
  <c r="CW530" i="1"/>
  <c r="CW541" i="1"/>
  <c r="CW528" i="1"/>
  <c r="CW527" i="1"/>
  <c r="CW564" i="1"/>
  <c r="CW525" i="1"/>
  <c r="CW687" i="1"/>
  <c r="CW523" i="1"/>
  <c r="CW521" i="1"/>
  <c r="CW524" i="1"/>
  <c r="CW668" i="1"/>
  <c r="CW519" i="1"/>
  <c r="CW515" i="1"/>
  <c r="CW516" i="1"/>
  <c r="CW632" i="1"/>
  <c r="CW628" i="1"/>
  <c r="CW513" i="1"/>
  <c r="CW522" i="1"/>
  <c r="CW511" i="1"/>
  <c r="CW2022" i="1" l="1"/>
  <c r="CW1938" i="1"/>
  <c r="CW2023" i="1"/>
  <c r="CW1903" i="1"/>
  <c r="CW2028" i="1"/>
  <c r="CW2021" i="1"/>
  <c r="CW710" i="1"/>
  <c r="CW1639" i="1" l="1"/>
  <c r="CI6" i="1" l="1"/>
  <c r="CU6" i="1" s="1"/>
  <c r="CW6" i="1" s="1"/>
  <c r="BL6" i="1"/>
  <c r="BQ4" i="1"/>
  <c r="BO4" i="1"/>
  <c r="CN4" i="1"/>
  <c r="BL4" i="1"/>
  <c r="BQ8" i="1"/>
  <c r="BO8" i="1"/>
  <c r="BQ2016" i="1"/>
  <c r="BO2016" i="1"/>
  <c r="BQ46" i="1"/>
  <c r="BO46" i="1"/>
  <c r="BJ58" i="1"/>
  <c r="CV58" i="1" s="1"/>
  <c r="BI58" i="1"/>
  <c r="BQ58" i="1"/>
  <c r="BO58" i="1"/>
  <c r="BL58" i="1"/>
  <c r="CK58" i="1" s="1"/>
  <c r="BQ86" i="1"/>
  <c r="BO86" i="1"/>
  <c r="BL86" i="1"/>
  <c r="CK86" i="1" s="1"/>
  <c r="BQ98" i="1"/>
  <c r="BO98" i="1"/>
  <c r="BJ304" i="1"/>
  <c r="CV304" i="1" s="1"/>
  <c r="BI304" i="1"/>
  <c r="BQ304" i="1"/>
  <c r="BO304" i="1"/>
  <c r="CN304" i="1"/>
  <c r="BL304" i="1"/>
  <c r="CK304" i="1" s="1"/>
  <c r="BJ293" i="1"/>
  <c r="BI293" i="1"/>
  <c r="BQ293" i="1"/>
  <c r="BO293" i="1"/>
  <c r="BL293" i="1"/>
  <c r="CK293" i="1" s="1"/>
  <c r="BJ431" i="1"/>
  <c r="CK431" i="1" s="1"/>
  <c r="BI431" i="1"/>
  <c r="BQ431" i="1"/>
  <c r="CI431" i="1" s="1"/>
  <c r="BJ260" i="1"/>
  <c r="CV260" i="1" s="1"/>
  <c r="BI260" i="1"/>
  <c r="BQ260" i="1"/>
  <c r="BO260" i="1"/>
  <c r="BL260" i="1"/>
  <c r="CK260" i="1" s="1"/>
  <c r="BJ257" i="1"/>
  <c r="CV257" i="1" s="1"/>
  <c r="BI257" i="1"/>
  <c r="BO257" i="1"/>
  <c r="BQ257" i="1"/>
  <c r="BL257" i="1"/>
  <c r="CK257" i="1" s="1"/>
  <c r="BJ380" i="1"/>
  <c r="CV380" i="1" s="1"/>
  <c r="BI380" i="1"/>
  <c r="BQ380" i="1"/>
  <c r="BO380" i="1"/>
  <c r="BJ393" i="1"/>
  <c r="CV393" i="1" s="1"/>
  <c r="BI393" i="1"/>
  <c r="BQ393" i="1"/>
  <c r="BO393" i="1"/>
  <c r="BL393" i="1"/>
  <c r="CK393" i="1" s="1"/>
  <c r="BJ451" i="1"/>
  <c r="CV451" i="1" s="1"/>
  <c r="BI451" i="1"/>
  <c r="BQ451" i="1"/>
  <c r="BO451" i="1"/>
  <c r="BQ493" i="1"/>
  <c r="BO493" i="1"/>
  <c r="BJ493" i="1"/>
  <c r="CV493" i="1" s="1"/>
  <c r="BI493" i="1"/>
  <c r="CN257" i="1" l="1"/>
  <c r="CN293" i="1"/>
  <c r="CV293" i="1"/>
  <c r="CN260" i="1"/>
  <c r="CI493" i="1"/>
  <c r="CU493" i="1" s="1"/>
  <c r="CI257" i="1"/>
  <c r="CU257" i="1" s="1"/>
  <c r="CW257" i="1" s="1"/>
  <c r="CI4" i="1"/>
  <c r="CU4" i="1" s="1"/>
  <c r="CW4" i="1" s="1"/>
  <c r="CI304" i="1"/>
  <c r="CU304" i="1" s="1"/>
  <c r="CW304" i="1" s="1"/>
  <c r="CI86" i="1"/>
  <c r="CU86" i="1" s="1"/>
  <c r="CW86" i="1" s="1"/>
  <c r="CL6" i="1"/>
  <c r="CJ6" i="1"/>
  <c r="CR6" i="1" s="1"/>
  <c r="CI58" i="1"/>
  <c r="CU58" i="1" s="1"/>
  <c r="CW58" i="1" s="1"/>
  <c r="CI293" i="1"/>
  <c r="CU293" i="1" s="1"/>
  <c r="CW293" i="1" s="1"/>
  <c r="CL431" i="1"/>
  <c r="CJ431" i="1"/>
  <c r="CI260" i="1"/>
  <c r="CU260" i="1" s="1"/>
  <c r="CW260" i="1" s="1"/>
  <c r="CI393" i="1"/>
  <c r="CU393" i="1" s="1"/>
  <c r="CW393" i="1" s="1"/>
  <c r="CL86" i="1" l="1"/>
  <c r="CL304" i="1"/>
  <c r="CW493" i="1"/>
  <c r="CJ58" i="1"/>
  <c r="CR58" i="1" s="1"/>
  <c r="CJ4" i="1"/>
  <c r="CR4" i="1" s="1"/>
  <c r="CL257" i="1"/>
  <c r="CJ257" i="1"/>
  <c r="CR257" i="1" s="1"/>
  <c r="CL58" i="1"/>
  <c r="CJ493" i="1"/>
  <c r="CR493" i="1" s="1"/>
  <c r="CJ86" i="1"/>
  <c r="CR86" i="1" s="1"/>
  <c r="CL260" i="1"/>
  <c r="CJ304" i="1"/>
  <c r="CR304" i="1" s="1"/>
  <c r="CL4" i="1"/>
  <c r="CJ293" i="1"/>
  <c r="CR293" i="1" s="1"/>
  <c r="CL293" i="1"/>
  <c r="CJ260" i="1"/>
  <c r="CR260" i="1" s="1"/>
  <c r="CJ393" i="1"/>
  <c r="CR393" i="1" s="1"/>
  <c r="CL393" i="1"/>
  <c r="BA31" i="4" l="1"/>
  <c r="BS31" i="4" s="1"/>
  <c r="AV31" i="4"/>
  <c r="BV31" i="4" s="1"/>
  <c r="AU31" i="4"/>
  <c r="BU31" i="4" s="1"/>
  <c r="CA30" i="4"/>
  <c r="BS30" i="4"/>
  <c r="BW30" i="4" s="1"/>
  <c r="AV30" i="4"/>
  <c r="BV30" i="4" s="1"/>
  <c r="AU30" i="4"/>
  <c r="BS29" i="4"/>
  <c r="BW29" i="4" s="1"/>
  <c r="AV29" i="4"/>
  <c r="BV29" i="4" s="1"/>
  <c r="AU29" i="4"/>
  <c r="BS28" i="4"/>
  <c r="BT28" i="4" s="1"/>
  <c r="AV28" i="4"/>
  <c r="BV28" i="4" s="1"/>
  <c r="AU28" i="4"/>
  <c r="BY30" i="4" l="1"/>
  <c r="BY28" i="4"/>
  <c r="BT29" i="4"/>
  <c r="BY29" i="4"/>
  <c r="BX29" i="4"/>
  <c r="BW31" i="4"/>
  <c r="BX31" i="4"/>
  <c r="BT31" i="4"/>
  <c r="BY31" i="4"/>
  <c r="BW28" i="4"/>
  <c r="BU30" i="4"/>
  <c r="BX28" i="4"/>
  <c r="BT30" i="4"/>
  <c r="BX30" i="4"/>
  <c r="BU29" i="4"/>
  <c r="BU28" i="4"/>
  <c r="BL672" i="1" l="1"/>
  <c r="CK672" i="1" s="1"/>
  <c r="CR672" i="1"/>
  <c r="BL674" i="1"/>
  <c r="CK674" i="1" s="1"/>
  <c r="CR674" i="1"/>
  <c r="BQ27" i="4" l="1"/>
  <c r="BS27" i="4" s="1"/>
  <c r="AV27" i="4"/>
  <c r="AU27" i="4"/>
  <c r="AS27" i="4"/>
  <c r="AR27" i="4"/>
  <c r="BS26" i="4"/>
  <c r="BT26" i="4" s="1"/>
  <c r="BS25" i="4"/>
  <c r="BW25" i="4" s="1"/>
  <c r="AV25" i="4"/>
  <c r="BV25" i="4" s="1"/>
  <c r="AU25" i="4"/>
  <c r="BU25" i="4" s="1"/>
  <c r="BS24" i="4"/>
  <c r="AV24" i="4"/>
  <c r="BV24" i="4" s="1"/>
  <c r="AU24" i="4"/>
  <c r="BU24" i="4" s="1"/>
  <c r="BS23" i="4"/>
  <c r="BW23" i="4" s="1"/>
  <c r="AV23" i="4"/>
  <c r="BV23" i="4" s="1"/>
  <c r="AU23" i="4"/>
  <c r="BU23" i="4" s="1"/>
  <c r="CA22" i="4"/>
  <c r="BS22" i="4"/>
  <c r="BW22" i="4" s="1"/>
  <c r="AV22" i="4"/>
  <c r="BV22" i="4" s="1"/>
  <c r="AU22" i="4"/>
  <c r="BS21" i="4"/>
  <c r="AV21" i="4"/>
  <c r="BV21" i="4" s="1"/>
  <c r="AU21" i="4"/>
  <c r="BU21" i="4" s="1"/>
  <c r="BX20" i="4"/>
  <c r="BW20" i="4"/>
  <c r="AV20" i="4"/>
  <c r="BV20" i="4" s="1"/>
  <c r="AU20" i="4"/>
  <c r="BY20" i="4" s="1"/>
  <c r="CA19" i="4"/>
  <c r="BS19" i="4"/>
  <c r="AV19" i="4"/>
  <c r="BV19" i="4" s="1"/>
  <c r="AU19" i="4"/>
  <c r="P19" i="4"/>
  <c r="BS18" i="4"/>
  <c r="BW18" i="4" s="1"/>
  <c r="BS17" i="4"/>
  <c r="BW17" i="4" s="1"/>
  <c r="AV17" i="4"/>
  <c r="BV17" i="4" s="1"/>
  <c r="AU17" i="4"/>
  <c r="CA16" i="4"/>
  <c r="BS16" i="4"/>
  <c r="BW16" i="4" s="1"/>
  <c r="AV16" i="4"/>
  <c r="BV16" i="4" s="1"/>
  <c r="AU16" i="4"/>
  <c r="CA15" i="4"/>
  <c r="BS15" i="4"/>
  <c r="BW15" i="4" s="1"/>
  <c r="AV15" i="4"/>
  <c r="BV15" i="4" s="1"/>
  <c r="AU15" i="4"/>
  <c r="CA14" i="4"/>
  <c r="BP14" i="4"/>
  <c r="BO14" i="4"/>
  <c r="AV14" i="4"/>
  <c r="BV14" i="4" s="1"/>
  <c r="AU14" i="4"/>
  <c r="CA13" i="4"/>
  <c r="BP13" i="4"/>
  <c r="BO13" i="4"/>
  <c r="BN13" i="4"/>
  <c r="AV13" i="4"/>
  <c r="BV13" i="4" s="1"/>
  <c r="AU13" i="4"/>
  <c r="BU13" i="4" s="1"/>
  <c r="BS12" i="4"/>
  <c r="BW12" i="4" s="1"/>
  <c r="AV12" i="4"/>
  <c r="AU12" i="4"/>
  <c r="BS11" i="4"/>
  <c r="BW11" i="4" s="1"/>
  <c r="AV11" i="4"/>
  <c r="BV11" i="4" s="1"/>
  <c r="AU11" i="4"/>
  <c r="CA10" i="4"/>
  <c r="BS10" i="4"/>
  <c r="BW10" i="4" s="1"/>
  <c r="AV10" i="4"/>
  <c r="BV10" i="4" s="1"/>
  <c r="AU10" i="4"/>
  <c r="BX9" i="4"/>
  <c r="BW9" i="4"/>
  <c r="AV9" i="4"/>
  <c r="BV9" i="4" s="1"/>
  <c r="AU9" i="4"/>
  <c r="BU9" i="4" s="1"/>
  <c r="BW8" i="4"/>
  <c r="AV8" i="4"/>
  <c r="BV8" i="4" s="1"/>
  <c r="AU8" i="4"/>
  <c r="BU8" i="4" s="1"/>
  <c r="BS7" i="4"/>
  <c r="BX7" i="4" s="1"/>
  <c r="BV7" i="4"/>
  <c r="BU7" i="4"/>
  <c r="BA6" i="4"/>
  <c r="AZ6" i="4"/>
  <c r="AY6" i="4"/>
  <c r="AX6" i="4"/>
  <c r="AV6" i="4"/>
  <c r="BS5" i="4"/>
  <c r="BW5" i="4" s="1"/>
  <c r="AV5" i="4"/>
  <c r="BV5" i="4" s="1"/>
  <c r="AU5" i="4"/>
  <c r="BT25" i="4" l="1"/>
  <c r="BV27" i="4"/>
  <c r="BU27" i="4"/>
  <c r="BT27" i="4"/>
  <c r="BY27" i="4"/>
  <c r="BX23" i="4"/>
  <c r="BY24" i="4"/>
  <c r="BY26" i="4"/>
  <c r="BY25" i="4"/>
  <c r="BW24" i="4"/>
  <c r="BT23" i="4"/>
  <c r="BT24" i="4"/>
  <c r="BY23" i="4"/>
  <c r="BY22" i="4"/>
  <c r="BX22" i="4"/>
  <c r="BT22" i="4"/>
  <c r="BW19" i="4"/>
  <c r="BU22" i="4"/>
  <c r="BS14" i="4"/>
  <c r="BW14" i="4" s="1"/>
  <c r="BY21" i="4"/>
  <c r="BW21" i="4"/>
  <c r="BT21" i="4"/>
  <c r="BU20" i="4"/>
  <c r="BT19" i="4"/>
  <c r="BT18" i="4"/>
  <c r="BY19" i="4"/>
  <c r="BX19" i="4"/>
  <c r="BU19" i="4"/>
  <c r="BT16" i="4"/>
  <c r="BY18" i="4"/>
  <c r="BY17" i="4"/>
  <c r="BX17" i="4"/>
  <c r="BY16" i="4"/>
  <c r="BX16" i="4"/>
  <c r="BT11" i="4"/>
  <c r="BT17" i="4"/>
  <c r="BU17" i="4"/>
  <c r="BT15" i="4"/>
  <c r="BU16" i="4"/>
  <c r="BY15" i="4"/>
  <c r="BX15" i="4"/>
  <c r="BU15" i="4"/>
  <c r="BS13" i="4"/>
  <c r="BX13" i="4" s="1"/>
  <c r="BY11" i="4"/>
  <c r="BX11" i="4"/>
  <c r="BU14" i="4"/>
  <c r="BY12" i="4"/>
  <c r="BT12" i="4"/>
  <c r="BX12" i="4"/>
  <c r="BT10" i="4"/>
  <c r="BU11" i="4"/>
  <c r="BY10" i="4"/>
  <c r="BX10" i="4"/>
  <c r="BU10" i="4"/>
  <c r="BS6" i="4"/>
  <c r="BX6" i="4" s="1"/>
  <c r="BT7" i="4"/>
  <c r="BY7" i="4"/>
  <c r="BY5" i="4"/>
  <c r="BT5" i="4"/>
  <c r="BX5" i="4"/>
  <c r="BU5" i="4"/>
  <c r="CI59" i="1"/>
  <c r="CU59" i="1" s="1"/>
  <c r="CW59" i="1" s="1"/>
  <c r="BT14" i="4" l="1"/>
  <c r="BX14" i="4"/>
  <c r="BY14" i="4"/>
  <c r="BT6" i="4"/>
  <c r="BY13" i="4"/>
  <c r="BW13" i="4"/>
  <c r="BT13" i="4"/>
  <c r="BY6" i="4"/>
  <c r="CA4" i="4"/>
  <c r="BS4" i="4"/>
  <c r="BX4" i="4" s="1"/>
  <c r="AV4" i="4"/>
  <c r="BV4" i="4" s="1"/>
  <c r="AU4" i="4"/>
  <c r="CA3" i="4"/>
  <c r="BS3" i="4"/>
  <c r="BT3" i="4" s="1"/>
  <c r="AV3" i="4"/>
  <c r="BV3" i="4" s="1"/>
  <c r="AU3" i="4"/>
  <c r="CR545" i="1"/>
  <c r="CR572" i="1"/>
  <c r="CR529" i="1"/>
  <c r="CR646" i="1"/>
  <c r="CR614" i="1"/>
  <c r="CR639" i="1"/>
  <c r="CR600" i="1"/>
  <c r="CR643" i="1"/>
  <c r="CR607" i="1"/>
  <c r="CR628" i="1"/>
  <c r="CR676" i="1"/>
  <c r="CR655" i="1"/>
  <c r="CR656" i="1"/>
  <c r="CR658" i="1"/>
  <c r="CR666" i="1"/>
  <c r="CR550" i="1"/>
  <c r="CR649" i="1"/>
  <c r="CR633" i="1"/>
  <c r="CR522" i="1"/>
  <c r="CR576" i="1"/>
  <c r="CR534" i="1"/>
  <c r="CR647" i="1"/>
  <c r="CR651" i="1"/>
  <c r="CR668" i="1"/>
  <c r="CR521" i="1"/>
  <c r="CR589" i="1"/>
  <c r="CR617" i="1"/>
  <c r="CR640" i="1"/>
  <c r="CR524" i="1"/>
  <c r="CR604" i="1"/>
  <c r="CR637" i="1"/>
  <c r="CR645" i="1"/>
  <c r="CR560" i="1"/>
  <c r="CR609" i="1"/>
  <c r="CR669" i="1"/>
  <c r="CR632" i="1"/>
  <c r="CR620" i="1"/>
  <c r="CR538" i="1"/>
  <c r="CR625" i="1"/>
  <c r="CR665" i="1"/>
  <c r="CR608" i="1"/>
  <c r="CR548" i="1"/>
  <c r="CR663" i="1"/>
  <c r="CR514" i="1"/>
  <c r="CR523" i="1"/>
  <c r="CR660" i="1"/>
  <c r="CR627" i="1"/>
  <c r="CR515" i="1"/>
  <c r="CR636" i="1"/>
  <c r="CR541" i="1"/>
  <c r="CR667" i="1"/>
  <c r="CR652" i="1"/>
  <c r="CR687" i="1"/>
  <c r="CR518" i="1"/>
  <c r="CR512" i="1"/>
  <c r="CR520" i="1"/>
  <c r="CR621" i="1"/>
  <c r="CR626" i="1"/>
  <c r="CR549" i="1"/>
  <c r="CR565" i="1"/>
  <c r="CR635" i="1"/>
  <c r="CR634" i="1"/>
  <c r="CR594" i="1"/>
  <c r="CR653" i="1"/>
  <c r="CR592" i="1"/>
  <c r="CR716" i="1"/>
  <c r="CR526" i="1"/>
  <c r="CR622" i="1"/>
  <c r="CR638" i="1"/>
  <c r="CR605" i="1"/>
  <c r="CR664" i="1"/>
  <c r="CR590" i="1"/>
  <c r="CR564" i="1"/>
  <c r="CR591" i="1"/>
  <c r="CR571" i="1"/>
  <c r="CR623" i="1"/>
  <c r="CR670" i="1"/>
  <c r="CR685" i="1"/>
  <c r="CR2004" i="1"/>
  <c r="CR1205" i="1"/>
  <c r="CR1111" i="1"/>
  <c r="CR1529" i="1"/>
  <c r="CR1427" i="1"/>
  <c r="CR1487" i="1"/>
  <c r="CR831" i="1"/>
  <c r="CR1392" i="1"/>
  <c r="CR1536" i="1"/>
  <c r="CR1505" i="1"/>
  <c r="CR1363" i="1"/>
  <c r="CR1428" i="1"/>
  <c r="CR1010" i="1"/>
  <c r="CR1393" i="1"/>
  <c r="CR1204" i="1"/>
  <c r="CR1425" i="1"/>
  <c r="CR1093" i="1"/>
  <c r="CR1024" i="1"/>
  <c r="CR830" i="1"/>
  <c r="CR1412" i="1"/>
  <c r="CR1174" i="1"/>
  <c r="CR773" i="1"/>
  <c r="CR793" i="1"/>
  <c r="CR1497" i="1"/>
  <c r="CR1156" i="1"/>
  <c r="CR1228" i="1"/>
  <c r="CR828" i="1"/>
  <c r="CR920" i="1"/>
  <c r="CR999" i="1"/>
  <c r="CR1107" i="1"/>
  <c r="CR760" i="1"/>
  <c r="CR915" i="1"/>
  <c r="CR1420" i="1"/>
  <c r="CR1501" i="1"/>
  <c r="CR1482" i="1"/>
  <c r="CR1453" i="1"/>
  <c r="CR1429" i="1"/>
  <c r="CR1524" i="1"/>
  <c r="CR1413" i="1"/>
  <c r="CR752" i="1"/>
  <c r="CR1517" i="1"/>
  <c r="CR1031" i="1"/>
  <c r="CR835" i="1"/>
  <c r="CR1469" i="1"/>
  <c r="CR1405" i="1"/>
  <c r="CR827" i="1"/>
  <c r="CR1421" i="1"/>
  <c r="CR1191" i="1"/>
  <c r="CR1361" i="1"/>
  <c r="CR1352" i="1"/>
  <c r="CR1457" i="1"/>
  <c r="CR1206" i="1"/>
  <c r="CR1333" i="1"/>
  <c r="CR998" i="1"/>
  <c r="CR1471" i="1"/>
  <c r="CR1100" i="1"/>
  <c r="CR743" i="1"/>
  <c r="CR802" i="1"/>
  <c r="CR1221" i="1"/>
  <c r="CR829" i="1"/>
  <c r="CR1404" i="1"/>
  <c r="CR1192" i="1"/>
  <c r="CR1207" i="1"/>
  <c r="CR834" i="1"/>
  <c r="CR1334" i="1"/>
  <c r="CR1101" i="1"/>
  <c r="CR1244" i="1"/>
  <c r="CR1348" i="1"/>
  <c r="CR1099" i="1"/>
  <c r="CR825" i="1"/>
  <c r="CR1215" i="1"/>
  <c r="CR1371" i="1"/>
  <c r="CR1349" i="1"/>
  <c r="CR1139" i="1"/>
  <c r="CR996" i="1"/>
  <c r="CR905" i="1"/>
  <c r="CR936" i="1"/>
  <c r="CR1058" i="1"/>
  <c r="CR1216" i="1"/>
  <c r="CR822" i="1"/>
  <c r="CR1426" i="1"/>
  <c r="CR1395" i="1"/>
  <c r="CR1372" i="1"/>
  <c r="CR856" i="1"/>
  <c r="CR1068" i="1"/>
  <c r="CR1169" i="1"/>
  <c r="CR1306" i="1"/>
  <c r="CR1542" i="1"/>
  <c r="CR1473" i="1"/>
  <c r="CR847" i="1"/>
  <c r="CR725" i="1"/>
  <c r="CR1385" i="1"/>
  <c r="CR1377" i="1"/>
  <c r="CR1396" i="1"/>
  <c r="CR1170" i="1"/>
  <c r="CR1307" i="1"/>
  <c r="CR1076" i="1"/>
  <c r="CR1502" i="1"/>
  <c r="CR1474" i="1"/>
  <c r="CR1321" i="1"/>
  <c r="CR942" i="1"/>
  <c r="CR1301" i="1"/>
  <c r="CR851" i="1"/>
  <c r="CR1378" i="1"/>
  <c r="CR833" i="1"/>
  <c r="CR1488" i="1"/>
  <c r="CR1059" i="1"/>
  <c r="CR1218" i="1"/>
  <c r="CR1239" i="1"/>
  <c r="CR1043" i="1"/>
  <c r="CR1445" i="1"/>
  <c r="CR1390" i="1"/>
  <c r="CR874" i="1"/>
  <c r="CR1324" i="1"/>
  <c r="CR1302" i="1"/>
  <c r="CR949" i="1"/>
  <c r="CR1132" i="1"/>
  <c r="CR870" i="1"/>
  <c r="CR848" i="1"/>
  <c r="CR1380" i="1"/>
  <c r="CR1180" i="1"/>
  <c r="CR1515" i="1"/>
  <c r="CR1394" i="1"/>
  <c r="CR1219" i="1"/>
  <c r="CR1455" i="1"/>
  <c r="CR1350" i="1"/>
  <c r="CR1419" i="1"/>
  <c r="CR866" i="1"/>
  <c r="CR1240" i="1"/>
  <c r="CR1089" i="1"/>
  <c r="CR1184" i="1"/>
  <c r="CR1446" i="1"/>
  <c r="CR1391" i="1"/>
  <c r="CR933" i="1"/>
  <c r="CR1381" i="1"/>
  <c r="CR1152" i="1"/>
  <c r="CR1235" i="1"/>
  <c r="CR1181" i="1"/>
  <c r="CR1007" i="1"/>
  <c r="CR1516" i="1"/>
  <c r="CR1002" i="1"/>
  <c r="CR1456" i="1"/>
  <c r="CR1282" i="1"/>
  <c r="CR1351" i="1"/>
  <c r="CR746" i="1"/>
  <c r="CR1185" i="1"/>
  <c r="CR1025" i="1"/>
  <c r="CR1069" i="1"/>
  <c r="CR1260" i="1"/>
  <c r="CR1245" i="1"/>
  <c r="CR947" i="1"/>
  <c r="CR869" i="1"/>
  <c r="CR849" i="1"/>
  <c r="CR1236" i="1"/>
  <c r="CR859" i="1"/>
  <c r="CR1214" i="1"/>
  <c r="CR918" i="1"/>
  <c r="CR855" i="1"/>
  <c r="CR993" i="1"/>
  <c r="CR1026" i="1"/>
  <c r="CR1210" i="1"/>
  <c r="CR820" i="1"/>
  <c r="CR1398" i="1"/>
  <c r="CR832" i="1"/>
  <c r="CR1126" i="1"/>
  <c r="CR1230" i="1"/>
  <c r="CR1525" i="1"/>
  <c r="CR919" i="1"/>
  <c r="CR1032" i="1"/>
  <c r="CR1211" i="1"/>
  <c r="CR944" i="1"/>
  <c r="CR1357" i="1"/>
  <c r="CR1040" i="1"/>
  <c r="CR1399" i="1"/>
  <c r="CR1364" i="1"/>
  <c r="CR1272" i="1"/>
  <c r="CR1526" i="1"/>
  <c r="CR1459" i="1"/>
  <c r="CR1345" i="1"/>
  <c r="CR1285" i="1"/>
  <c r="CR990" i="1"/>
  <c r="CR1108" i="1"/>
  <c r="CR1358" i="1"/>
  <c r="CR1157" i="1"/>
  <c r="CR1163" i="1"/>
  <c r="CR1506" i="1"/>
  <c r="CR1365" i="1"/>
  <c r="CR864" i="1"/>
  <c r="CR1343" i="1"/>
  <c r="CR906" i="1"/>
  <c r="CR764" i="1"/>
  <c r="CR926" i="1"/>
  <c r="CR1088" i="1"/>
  <c r="CR1460" i="1"/>
  <c r="CR1346" i="1"/>
  <c r="CR1283" i="1"/>
  <c r="CR1109" i="1"/>
  <c r="CR1154" i="1"/>
  <c r="CR1073" i="1"/>
  <c r="CR1158" i="1"/>
  <c r="CR1164" i="1"/>
  <c r="CR1102" i="1"/>
  <c r="CR1208" i="1"/>
  <c r="CR865" i="1"/>
  <c r="CR1344" i="1"/>
  <c r="CR780" i="1"/>
  <c r="CR937" i="1"/>
  <c r="CR1021" i="1"/>
  <c r="CR1105" i="1"/>
  <c r="CR1074" i="1"/>
  <c r="CR1209" i="1"/>
  <c r="CR862" i="1"/>
  <c r="CR875" i="1"/>
  <c r="CR1136" i="1"/>
  <c r="CR940" i="1"/>
  <c r="CR826" i="1"/>
  <c r="CR1097" i="1"/>
  <c r="CR1224" i="1"/>
  <c r="CR1195" i="1"/>
  <c r="CR1212" i="1"/>
  <c r="CR1369" i="1"/>
  <c r="CR1095" i="1"/>
  <c r="CR1433" i="1"/>
  <c r="CR1106" i="1"/>
  <c r="CR1103" i="1"/>
  <c r="CR1037" i="1"/>
  <c r="CR1270" i="1"/>
  <c r="CR863" i="1"/>
  <c r="CR1098" i="1"/>
  <c r="CR1225" i="1"/>
  <c r="CR1196" i="1"/>
  <c r="CR1213" i="1"/>
  <c r="CR1370" i="1"/>
  <c r="CR1434" i="1"/>
  <c r="CR1110" i="1"/>
  <c r="CR1318" i="1"/>
  <c r="CR1271" i="1"/>
  <c r="CR894" i="1"/>
  <c r="CR879" i="1"/>
  <c r="CR1400" i="1"/>
  <c r="CR1475" i="1"/>
  <c r="CR873" i="1"/>
  <c r="CR1041" i="1"/>
  <c r="CR1202" i="1"/>
  <c r="CR1036" i="1"/>
  <c r="CR1331" i="1"/>
  <c r="CR908" i="1"/>
  <c r="CR850" i="1"/>
  <c r="CR1319" i="1"/>
  <c r="CR858" i="1"/>
  <c r="CR1355" i="1"/>
  <c r="CR1325" i="1"/>
  <c r="CR1004" i="1"/>
  <c r="CR1435" i="1"/>
  <c r="CR895" i="1"/>
  <c r="CR1401" i="1"/>
  <c r="CR1476" i="1"/>
  <c r="CR1042" i="1"/>
  <c r="CR1203" i="1"/>
  <c r="CR1222" i="1"/>
  <c r="CR1190" i="1"/>
  <c r="CR1326" i="1"/>
  <c r="CR1005" i="1"/>
  <c r="CR1436" i="1"/>
  <c r="CR1140" i="1"/>
  <c r="CR1403" i="1"/>
  <c r="CR948" i="1"/>
  <c r="CR868" i="1"/>
  <c r="CR1223" i="1"/>
  <c r="CR893" i="1"/>
  <c r="CR843" i="1"/>
  <c r="CR907" i="1"/>
  <c r="CR1128" i="1"/>
  <c r="CR1092" i="1"/>
  <c r="CR794" i="1"/>
  <c r="CR810" i="1"/>
  <c r="CR1313" i="1"/>
  <c r="CR1129" i="1"/>
  <c r="CR950" i="1"/>
  <c r="CR1386" i="1"/>
  <c r="CR1415" i="1"/>
  <c r="CR1012" i="1"/>
  <c r="CR774" i="1"/>
  <c r="CR819" i="1"/>
  <c r="CR1063" i="1"/>
  <c r="CR1130" i="1"/>
  <c r="CR1238" i="1"/>
  <c r="CR1510" i="1"/>
  <c r="CR1387" i="1"/>
  <c r="CR1189" i="1"/>
  <c r="CR1416" i="1"/>
  <c r="CR1335" i="1"/>
  <c r="CR878" i="1"/>
  <c r="CR1013" i="1"/>
  <c r="CR1014" i="1"/>
  <c r="CR890" i="1"/>
  <c r="CR1064" i="1"/>
  <c r="CR961" i="1"/>
  <c r="CR871" i="1"/>
  <c r="CR951" i="1"/>
  <c r="CR1086" i="1"/>
  <c r="CR1336" i="1"/>
  <c r="CR1314" i="1"/>
  <c r="CR1135" i="1"/>
  <c r="CR985" i="1"/>
  <c r="CR1142" i="1"/>
  <c r="CR1034" i="1"/>
  <c r="CR1143" i="1"/>
  <c r="CR1464" i="1"/>
  <c r="CR970" i="1"/>
  <c r="CR785" i="1"/>
  <c r="CR1316" i="1"/>
  <c r="CR892" i="1"/>
  <c r="CR800" i="1"/>
  <c r="CR1299" i="1"/>
  <c r="CR1322" i="1"/>
  <c r="CR739" i="1"/>
  <c r="CR1044" i="1"/>
  <c r="CR1317" i="1"/>
  <c r="CR976" i="1"/>
  <c r="CR1250" i="1"/>
  <c r="CR1511" i="1"/>
  <c r="CR1300" i="1"/>
  <c r="CR769" i="1"/>
  <c r="CR1045" i="1"/>
  <c r="CR1035" i="1"/>
  <c r="CR1512" i="1"/>
  <c r="CR1072" i="1"/>
  <c r="CR898" i="1"/>
  <c r="CR1051" i="1"/>
  <c r="CR770" i="1"/>
  <c r="CR776" i="1"/>
  <c r="CR912" i="1"/>
  <c r="CR1131" i="1"/>
  <c r="CR1298" i="1"/>
  <c r="CR1124" i="1"/>
  <c r="CR963" i="1"/>
  <c r="CR799" i="1"/>
  <c r="CR1030" i="1"/>
  <c r="CR968" i="1"/>
  <c r="CR910" i="1"/>
  <c r="CR777" i="1"/>
  <c r="CR901" i="1"/>
  <c r="CR969" i="1"/>
  <c r="CR1311" i="1"/>
  <c r="CR733" i="1"/>
  <c r="CR710" i="1"/>
  <c r="CR888" i="1"/>
  <c r="CR1312" i="1"/>
  <c r="CR1062" i="1"/>
  <c r="CR935" i="1"/>
  <c r="CR967" i="1"/>
  <c r="CR734" i="1"/>
  <c r="CR881" i="1"/>
  <c r="CR997" i="1"/>
  <c r="CR1046" i="1"/>
  <c r="CR876" i="1"/>
  <c r="CR987" i="1"/>
  <c r="CR711" i="1"/>
  <c r="CR988" i="1"/>
  <c r="CR742" i="1"/>
  <c r="CR1411" i="1"/>
  <c r="CR909" i="1"/>
  <c r="CR981" i="1"/>
  <c r="CR956" i="1"/>
  <c r="CR1286" i="1"/>
  <c r="CR911" i="1"/>
  <c r="CR1288" i="1"/>
  <c r="CR838" i="1"/>
  <c r="CR1050" i="1"/>
  <c r="CR1327" i="1"/>
  <c r="CR1295" i="1"/>
  <c r="CR1289" i="1"/>
  <c r="CR839" i="1"/>
  <c r="CR954" i="1"/>
  <c r="CR1328" i="1"/>
  <c r="CR983" i="1"/>
  <c r="CR803" i="1"/>
  <c r="CR1084" i="1"/>
  <c r="CR959" i="1"/>
  <c r="CR1402" i="1"/>
  <c r="CR991" i="1"/>
  <c r="CR1280" i="1"/>
  <c r="CR1085" i="1"/>
  <c r="CR964" i="1"/>
  <c r="CR1356" i="1"/>
  <c r="CR778" i="1"/>
  <c r="CR1281" i="1"/>
  <c r="CR1018" i="1"/>
  <c r="CR1166" i="1"/>
  <c r="CR756" i="1"/>
  <c r="CR788" i="1"/>
  <c r="CR1296" i="1"/>
  <c r="CR805" i="1"/>
  <c r="CR781" i="1"/>
  <c r="CR1117" i="1"/>
  <c r="CR730" i="1"/>
  <c r="CR1297" i="1"/>
  <c r="CR971" i="1"/>
  <c r="CR811" i="1"/>
  <c r="CR804" i="1"/>
  <c r="CR989" i="1"/>
  <c r="CR1118" i="1"/>
  <c r="CR914" i="1"/>
  <c r="CR972" i="1"/>
  <c r="CR1309" i="1"/>
  <c r="CR1087" i="1"/>
  <c r="CR1310" i="1"/>
  <c r="CR751" i="1"/>
  <c r="CR1193" i="1"/>
  <c r="CR966" i="1"/>
  <c r="CR1194" i="1"/>
  <c r="CR955" i="1"/>
  <c r="CR986" i="1"/>
  <c r="CR995" i="1"/>
  <c r="CR1008" i="1"/>
  <c r="CR732" i="1"/>
  <c r="CR1083" i="1"/>
  <c r="CR984" i="1"/>
  <c r="CR2005" i="1"/>
  <c r="CR929" i="1"/>
  <c r="CR747" i="1"/>
  <c r="CR1057" i="1"/>
  <c r="CR2038" i="1"/>
  <c r="CR2006" i="1"/>
  <c r="CR2036" i="1"/>
  <c r="CR2037" i="1"/>
  <c r="CR2007" i="1"/>
  <c r="CR1843" i="1"/>
  <c r="CR1996" i="1"/>
  <c r="CR1997" i="1"/>
  <c r="CR1875" i="1"/>
  <c r="CR1945" i="1"/>
  <c r="CR1784" i="1"/>
  <c r="CR1855" i="1"/>
  <c r="CR1670" i="1"/>
  <c r="CR1915" i="1"/>
  <c r="CR1900" i="1"/>
  <c r="CR1929" i="1"/>
  <c r="CR1936" i="1"/>
  <c r="CR1626" i="1"/>
  <c r="CR1963" i="1"/>
  <c r="CR1955" i="1"/>
  <c r="CR1675" i="1"/>
  <c r="CR1927" i="1"/>
  <c r="CR1851" i="1"/>
  <c r="CR1676" i="1"/>
  <c r="CR1952" i="1"/>
  <c r="CR1909" i="1"/>
  <c r="CR1789" i="1"/>
  <c r="CR1938" i="1"/>
  <c r="CR1957" i="1"/>
  <c r="CR1928" i="1"/>
  <c r="CR1959" i="1"/>
  <c r="CR2028" i="1"/>
  <c r="CR1642" i="1"/>
  <c r="CJ1639" i="1"/>
  <c r="CR1786" i="1"/>
  <c r="CR1924" i="1"/>
  <c r="CR1939" i="1"/>
  <c r="CR1787" i="1"/>
  <c r="CR1641" i="1"/>
  <c r="CR1628" i="1"/>
  <c r="CR1718" i="1"/>
  <c r="CR1847" i="1"/>
  <c r="CR1820" i="1"/>
  <c r="CR2021" i="1"/>
  <c r="CR2022" i="1"/>
  <c r="CR2023" i="1"/>
  <c r="BY4" i="4" l="1"/>
  <c r="BW4" i="4"/>
  <c r="BT4" i="4"/>
  <c r="BU4" i="4"/>
  <c r="BX3" i="4"/>
  <c r="BW3" i="4"/>
  <c r="BY3" i="4"/>
  <c r="BU3" i="4"/>
  <c r="BJ774" i="1" l="1"/>
  <c r="CV774" i="1" s="1"/>
  <c r="BJ1008" i="1"/>
  <c r="CV1008" i="1" s="1"/>
  <c r="CW774" i="1" l="1"/>
  <c r="CW1008" i="1"/>
  <c r="BP1791" i="1"/>
  <c r="BL931" i="1" l="1"/>
  <c r="CK931" i="1" s="1"/>
  <c r="BL1008" i="1"/>
  <c r="CK1008" i="1" s="1"/>
  <c r="BL774" i="1"/>
  <c r="CK774" i="1" s="1"/>
  <c r="BL517" i="1"/>
  <c r="CN1910" i="1"/>
  <c r="CN1916" i="1"/>
  <c r="CN1703" i="1"/>
  <c r="CN1719" i="1"/>
  <c r="CN1640" i="1"/>
  <c r="CN1909" i="1"/>
  <c r="CN1626" i="1"/>
  <c r="CN1963" i="1"/>
  <c r="CN1955" i="1"/>
  <c r="CN1675" i="1"/>
  <c r="CN1702" i="1"/>
  <c r="CN504" i="1"/>
  <c r="CN1706" i="1"/>
  <c r="CN1654" i="1"/>
  <c r="CN1663" i="1"/>
  <c r="CN1692" i="1"/>
  <c r="CN448" i="1"/>
  <c r="CN1945" i="1"/>
  <c r="CN1768" i="1"/>
  <c r="CN1647" i="1"/>
  <c r="CN1715" i="1"/>
  <c r="CN1623" i="1"/>
  <c r="CN1855" i="1"/>
  <c r="CN1846" i="1"/>
  <c r="CN1685" i="1"/>
  <c r="CN1762" i="1"/>
  <c r="CN1722" i="1"/>
  <c r="CN1688" i="1"/>
  <c r="CN1618" i="1"/>
  <c r="CN488" i="1"/>
  <c r="CN318" i="1"/>
  <c r="CN291" i="1"/>
  <c r="CN262" i="1"/>
  <c r="CN256" i="1"/>
  <c r="CN253" i="1"/>
  <c r="CN359" i="1"/>
  <c r="CN1915" i="1"/>
  <c r="CN1724" i="1"/>
  <c r="CN85" i="1"/>
  <c r="CN1653" i="1"/>
  <c r="CN1682" i="1"/>
  <c r="CN1931" i="1"/>
  <c r="CN572" i="1"/>
  <c r="CN600" i="1"/>
  <c r="CN825" i="1"/>
  <c r="CN1321" i="1"/>
  <c r="CN1299" i="1"/>
  <c r="CN780" i="1"/>
  <c r="CN1318" i="1"/>
  <c r="CN1208" i="1"/>
  <c r="CN1212" i="1"/>
  <c r="CN864" i="1"/>
  <c r="CN829" i="1"/>
  <c r="CN1012" i="1"/>
  <c r="CN1004" i="1"/>
  <c r="CN1244" i="1"/>
  <c r="CN1007" i="1"/>
  <c r="CN550" i="1"/>
  <c r="CN833" i="1"/>
  <c r="CN1076" i="1"/>
  <c r="CN1482" i="1"/>
  <c r="CN760" i="1"/>
  <c r="CN1069" i="1"/>
  <c r="CN1245" i="1"/>
  <c r="CN1037" i="1"/>
  <c r="CN746" i="1"/>
  <c r="CN1103" i="1"/>
  <c r="CN1111" i="1"/>
  <c r="CN915" i="1"/>
  <c r="CN1505" i="1"/>
  <c r="CN1469" i="1"/>
  <c r="CN1502" i="1"/>
  <c r="CN1002" i="1"/>
  <c r="CN1413" i="1"/>
  <c r="CN1524" i="1"/>
  <c r="CN649" i="1"/>
  <c r="CN1300" i="1"/>
  <c r="CN1506" i="1"/>
  <c r="CN1348" i="1"/>
  <c r="CN1497" i="1"/>
  <c r="CN1404" i="1"/>
  <c r="CN1517" i="1"/>
  <c r="CN1464" i="1"/>
  <c r="CN1040" i="1"/>
  <c r="CN1453" i="1"/>
  <c r="CN1314" i="1"/>
  <c r="CN1088" i="1"/>
  <c r="CN633" i="1"/>
  <c r="CN1405" i="1"/>
  <c r="CN1429" i="1"/>
  <c r="CN1412" i="1"/>
  <c r="CN1093" i="1"/>
  <c r="CN950" i="1"/>
  <c r="CN848" i="1"/>
  <c r="CN1110" i="1"/>
  <c r="CN866" i="1"/>
  <c r="CN1152" i="1"/>
  <c r="CN1319" i="1"/>
  <c r="CN1385" i="1"/>
  <c r="CN1331" i="1"/>
  <c r="CN1209" i="1"/>
  <c r="CN1394" i="1"/>
  <c r="CN1213" i="1"/>
  <c r="CN1426" i="1"/>
  <c r="CN1021" i="1"/>
  <c r="CN970" i="1"/>
  <c r="CN1402" i="1"/>
  <c r="CN1488" i="1"/>
  <c r="CN1036" i="1"/>
  <c r="CN865" i="1"/>
  <c r="CN1083" i="1"/>
  <c r="CN811" i="1"/>
  <c r="CN781" i="1"/>
  <c r="CN935" i="1"/>
  <c r="CN1135" i="1"/>
  <c r="CN1013" i="1"/>
  <c r="CN1014" i="1"/>
  <c r="CN739" i="1"/>
  <c r="CN968" i="1"/>
  <c r="CN800" i="1"/>
  <c r="CN1005" i="1"/>
  <c r="CN1322" i="1"/>
  <c r="CN1403" i="1"/>
  <c r="CN1313" i="1"/>
  <c r="CN576" i="1"/>
  <c r="CN604" i="1"/>
  <c r="CN589" i="1"/>
  <c r="CN773" i="1"/>
  <c r="CN1285" i="1"/>
  <c r="CN687" i="1"/>
  <c r="CN1324" i="1"/>
  <c r="CN1139" i="1"/>
  <c r="CN620" i="1"/>
  <c r="CN1349" i="1"/>
  <c r="CN669" i="1"/>
  <c r="CN1487" i="1"/>
  <c r="CN626" i="1"/>
  <c r="CN609" i="1"/>
  <c r="CN549" i="1"/>
  <c r="CN1457" i="1"/>
  <c r="CN725" i="1"/>
  <c r="CN1529" i="1"/>
  <c r="CN1501" i="1"/>
  <c r="CN637" i="1"/>
  <c r="CN634" i="1"/>
  <c r="CN571" i="1"/>
  <c r="CN526" i="1"/>
  <c r="CN592" i="1"/>
  <c r="CN638" i="1"/>
  <c r="CN1361" i="1"/>
  <c r="CN830" i="1"/>
  <c r="CN653" i="1"/>
  <c r="CN622" i="1"/>
  <c r="CN605" i="1"/>
  <c r="CN564" i="1"/>
  <c r="CN1352" i="1"/>
  <c r="CN635" i="1"/>
  <c r="CN743" i="1"/>
  <c r="CN1425" i="1"/>
  <c r="CN1156" i="1"/>
  <c r="CN1228" i="1"/>
  <c r="CN1419" i="1"/>
  <c r="CN590" i="1"/>
  <c r="CN664" i="1"/>
  <c r="CN828" i="1"/>
  <c r="CN594" i="1"/>
  <c r="CN716" i="1"/>
  <c r="CN591" i="1"/>
  <c r="CN1542" i="1"/>
  <c r="CN670" i="1"/>
  <c r="CN623" i="1"/>
  <c r="CN1689" i="1"/>
  <c r="CN1701" i="1"/>
  <c r="CN1790" i="1"/>
  <c r="CN1649" i="1"/>
  <c r="CN1650" i="1"/>
  <c r="CN1681" i="1"/>
  <c r="CN1690" i="1"/>
  <c r="CN1811" i="1"/>
  <c r="CN1651" i="1"/>
  <c r="CN1812" i="1"/>
  <c r="CN1625" i="1"/>
  <c r="CN1679" i="1"/>
  <c r="CN1951" i="1"/>
  <c r="CN1774" i="1"/>
  <c r="CN1684" i="1"/>
  <c r="CN1949" i="1"/>
  <c r="CN1958" i="1"/>
  <c r="CN1956" i="1"/>
  <c r="CN1953" i="1"/>
  <c r="CN1851" i="1"/>
  <c r="CN1676" i="1"/>
  <c r="CN1952" i="1"/>
  <c r="CN1619" i="1"/>
  <c r="CN1704" i="1"/>
  <c r="CN1769" i="1"/>
  <c r="CN1648" i="1"/>
  <c r="CN1771" i="1"/>
  <c r="CN1720" i="1"/>
  <c r="CN1723" i="1"/>
  <c r="CN1740" i="1"/>
  <c r="CN1645" i="1"/>
  <c r="CN8" i="1"/>
  <c r="CN451" i="1"/>
  <c r="CN1693" i="1"/>
  <c r="CN1775" i="1"/>
  <c r="CN1642" i="1"/>
  <c r="CN1705" i="1"/>
  <c r="CN1620" i="1"/>
  <c r="CN1641" i="1"/>
  <c r="CN1628" i="1"/>
  <c r="CN1847" i="1"/>
  <c r="CN1848" i="1"/>
  <c r="CN450" i="1"/>
  <c r="CN447" i="1"/>
  <c r="CN406" i="1"/>
  <c r="CN397" i="1"/>
  <c r="CN386" i="1"/>
  <c r="CN390" i="1"/>
  <c r="CN391" i="1"/>
  <c r="CN388" i="1"/>
  <c r="CN389" i="1"/>
  <c r="CN381" i="1"/>
  <c r="CN378" i="1"/>
  <c r="CN295" i="1"/>
  <c r="CN374" i="1"/>
  <c r="CN369" i="1"/>
  <c r="CN368" i="1"/>
  <c r="CN364" i="1"/>
  <c r="CN363" i="1"/>
  <c r="CN365" i="1"/>
  <c r="CN362" i="1"/>
  <c r="CN367" i="1"/>
  <c r="CN361" i="1"/>
  <c r="CN366" i="1"/>
  <c r="CN358" i="1"/>
  <c r="CN263" i="1"/>
  <c r="CN316" i="1"/>
  <c r="CN103" i="1"/>
  <c r="CN217" i="1"/>
  <c r="CN351" i="1"/>
  <c r="CN347" i="1"/>
  <c r="CN336" i="1"/>
  <c r="CN338" i="1"/>
  <c r="CN337" i="1"/>
  <c r="CN331" i="1"/>
  <c r="CN335" i="1"/>
  <c r="CN342" i="1"/>
  <c r="CN332" i="1"/>
  <c r="CN339" i="1"/>
  <c r="CN343" i="1"/>
  <c r="CN327" i="1"/>
  <c r="CN325" i="1"/>
  <c r="CN321" i="1"/>
  <c r="CN319" i="1"/>
  <c r="CN294" i="1"/>
  <c r="CN292" i="1"/>
  <c r="CN268" i="1"/>
  <c r="CN282" i="1"/>
  <c r="CN275" i="1"/>
  <c r="CN274" i="1"/>
  <c r="CN267" i="1"/>
  <c r="CN272" i="1"/>
  <c r="CN278" i="1"/>
  <c r="CN265" i="1"/>
  <c r="CN276" i="1"/>
  <c r="CN271" i="1"/>
  <c r="CN288" i="1"/>
  <c r="CN285" i="1"/>
  <c r="CN289" i="1"/>
  <c r="CN287" i="1"/>
  <c r="CN283" i="1"/>
  <c r="CN273" i="1"/>
  <c r="CN264" i="1"/>
  <c r="CN38" i="1"/>
  <c r="CN354" i="1"/>
  <c r="CN255" i="1"/>
  <c r="CN252" i="1"/>
  <c r="CN187" i="1"/>
  <c r="CN307" i="1"/>
  <c r="CN313" i="1"/>
  <c r="CN106" i="1"/>
  <c r="CN308" i="1"/>
  <c r="CN301" i="1"/>
  <c r="CN210" i="1"/>
  <c r="CN250" i="1"/>
  <c r="CN178" i="1"/>
  <c r="CN254" i="1"/>
  <c r="CN218" i="1"/>
  <c r="CN211" i="1"/>
  <c r="CN164" i="1"/>
  <c r="CN110" i="1"/>
  <c r="CN237" i="1"/>
  <c r="CN194" i="1"/>
  <c r="CN235" i="1"/>
  <c r="CN305" i="1"/>
  <c r="CN236" i="1"/>
  <c r="CN230" i="1"/>
  <c r="CN226" i="1"/>
  <c r="CN213" i="1"/>
  <c r="CN208" i="1"/>
  <c r="CN206" i="1"/>
  <c r="CN199" i="1"/>
  <c r="CN205" i="1"/>
  <c r="CN201" i="1"/>
  <c r="CN197" i="1"/>
  <c r="CN195" i="1"/>
  <c r="CN204" i="1"/>
  <c r="CN193" i="1"/>
  <c r="CN192" i="1"/>
  <c r="CN170" i="1"/>
  <c r="CN168" i="1"/>
  <c r="CN120" i="1"/>
  <c r="CN122" i="1"/>
  <c r="CN133" i="1"/>
  <c r="CN132" i="1"/>
  <c r="CN126" i="1"/>
  <c r="CN128" i="1"/>
  <c r="CN161" i="1"/>
  <c r="CN123" i="1"/>
  <c r="CN143" i="1"/>
  <c r="CN157" i="1"/>
  <c r="CN129" i="1"/>
  <c r="CN144" i="1"/>
  <c r="CN136" i="1"/>
  <c r="CN117" i="1"/>
  <c r="CN124" i="1"/>
  <c r="CN116" i="1"/>
  <c r="CN118" i="1"/>
  <c r="CN127" i="1"/>
  <c r="CN156" i="1"/>
  <c r="CN142" i="1"/>
  <c r="CN162" i="1"/>
  <c r="CN115" i="1"/>
  <c r="CN113" i="1"/>
  <c r="CN112" i="1"/>
  <c r="CN109" i="1"/>
  <c r="CN238" i="1"/>
  <c r="CN100" i="1"/>
  <c r="CN99" i="1"/>
  <c r="CN89" i="1"/>
  <c r="CN80" i="1"/>
  <c r="CN69" i="1"/>
  <c r="CN68" i="1"/>
  <c r="CN67" i="1"/>
  <c r="CN66" i="1"/>
  <c r="CN65" i="1"/>
  <c r="CN63" i="1"/>
  <c r="CN62" i="1"/>
  <c r="CN59" i="1"/>
  <c r="CN56" i="1"/>
  <c r="CN47" i="1"/>
  <c r="CN44" i="1"/>
  <c r="CN42" i="1"/>
  <c r="CN41" i="1"/>
  <c r="CN104" i="1"/>
  <c r="CN27" i="1"/>
  <c r="CN23" i="1"/>
  <c r="CN21" i="1"/>
  <c r="CN12" i="1"/>
  <c r="CN3" i="1"/>
  <c r="CN483" i="1"/>
  <c r="CN487" i="1"/>
  <c r="CN482" i="1"/>
  <c r="CN486" i="1"/>
  <c r="CN481" i="1"/>
  <c r="CN492" i="1"/>
  <c r="CN467" i="1"/>
  <c r="CN470" i="1"/>
  <c r="CN480" i="1"/>
  <c r="CN491" i="1"/>
  <c r="CN479" i="1"/>
  <c r="CN477" i="1"/>
  <c r="CN475" i="1"/>
  <c r="CN476" i="1"/>
  <c r="CN471" i="1"/>
  <c r="CN472" i="1"/>
  <c r="CN473" i="1"/>
  <c r="CN474" i="1"/>
  <c r="CN469" i="1"/>
  <c r="CN462" i="1"/>
  <c r="CN461" i="1"/>
  <c r="CN464" i="1"/>
  <c r="CN105" i="1"/>
  <c r="CN297" i="1"/>
  <c r="CN468" i="1"/>
  <c r="CN303" i="1"/>
  <c r="CN458" i="1"/>
  <c r="CN457" i="1"/>
  <c r="CN453" i="1"/>
  <c r="CN452" i="1"/>
  <c r="CN459" i="1"/>
  <c r="CN440" i="1"/>
  <c r="CN436" i="1"/>
  <c r="CN435" i="1"/>
  <c r="CN434" i="1"/>
  <c r="CN430" i="1"/>
  <c r="CN429" i="1"/>
  <c r="CN432" i="1"/>
  <c r="CN433" i="1"/>
  <c r="CN428" i="1"/>
  <c r="CN446" i="1"/>
  <c r="CN466" i="1"/>
  <c r="CN444" i="1"/>
  <c r="CN107" i="1"/>
  <c r="CN443" i="1"/>
  <c r="CN501" i="1"/>
  <c r="CN329" i="1"/>
  <c r="CN490" i="1"/>
  <c r="CN484" i="1"/>
  <c r="CN485" i="1"/>
  <c r="CN506" i="1"/>
  <c r="CN507" i="1"/>
  <c r="CN373" i="1"/>
  <c r="CN396" i="1"/>
  <c r="CN356" i="1"/>
  <c r="CN249" i="1"/>
  <c r="CI1690" i="1"/>
  <c r="CU1690" i="1" s="1"/>
  <c r="BL1690" i="1"/>
  <c r="CK1690" i="1" s="1"/>
  <c r="CI1681" i="1"/>
  <c r="CU1681" i="1" s="1"/>
  <c r="BL1681" i="1"/>
  <c r="CK1681" i="1" s="1"/>
  <c r="CI104" i="1"/>
  <c r="CU104" i="1" s="1"/>
  <c r="CW104" i="1" s="1"/>
  <c r="BL104" i="1"/>
  <c r="CK104" i="1" s="1"/>
  <c r="CI38" i="1"/>
  <c r="CU38" i="1" s="1"/>
  <c r="CW38" i="1" s="1"/>
  <c r="BL38" i="1"/>
  <c r="CK38" i="1" s="1"/>
  <c r="CI1671" i="1"/>
  <c r="CU1671" i="1" s="1"/>
  <c r="BL1671" i="1"/>
  <c r="CK1671" i="1" s="1"/>
  <c r="CI1650" i="1"/>
  <c r="CU1650" i="1" s="1"/>
  <c r="BL1650" i="1"/>
  <c r="CK1650" i="1" s="1"/>
  <c r="CI1649" i="1"/>
  <c r="CU1649" i="1" s="1"/>
  <c r="BL1649" i="1"/>
  <c r="CK1649" i="1" s="1"/>
  <c r="CI68" i="1"/>
  <c r="CU68" i="1" s="1"/>
  <c r="CW68" i="1" s="1"/>
  <c r="BL68" i="1"/>
  <c r="CK68" i="1" s="1"/>
  <c r="CI1790" i="1"/>
  <c r="CU1790" i="1" s="1"/>
  <c r="BL1790" i="1"/>
  <c r="CK1790" i="1" s="1"/>
  <c r="CI1701" i="1"/>
  <c r="CU1701" i="1" s="1"/>
  <c r="BL1701" i="1"/>
  <c r="CK1701" i="1" s="1"/>
  <c r="CI1766" i="1"/>
  <c r="CU1766" i="1" s="1"/>
  <c r="BL1766" i="1"/>
  <c r="CK1766" i="1" s="1"/>
  <c r="CI1689" i="1"/>
  <c r="CU1689" i="1" s="1"/>
  <c r="BL1689" i="1"/>
  <c r="CK1689" i="1" s="1"/>
  <c r="CI1844" i="1"/>
  <c r="CU1844" i="1" s="1"/>
  <c r="BL1844" i="1"/>
  <c r="CK1844" i="1" s="1"/>
  <c r="CI1737" i="1"/>
  <c r="CU1737" i="1" s="1"/>
  <c r="BL1737" i="1"/>
  <c r="CK1737" i="1" s="1"/>
  <c r="CI1669" i="1"/>
  <c r="CU1669" i="1" s="1"/>
  <c r="BL1669" i="1"/>
  <c r="CK1669" i="1" s="1"/>
  <c r="CI1863" i="1"/>
  <c r="CU1863" i="1" s="1"/>
  <c r="BL1863" i="1"/>
  <c r="CK1863" i="1" s="1"/>
  <c r="CI255" i="1"/>
  <c r="CU255" i="1" s="1"/>
  <c r="CW255" i="1" s="1"/>
  <c r="BL255" i="1"/>
  <c r="CK255" i="1" s="1"/>
  <c r="CI2026" i="1"/>
  <c r="CI2025" i="1"/>
  <c r="CI2024" i="1"/>
  <c r="BJ1652" i="1"/>
  <c r="CV1652" i="1" s="1"/>
  <c r="BI1652" i="1"/>
  <c r="BI1897" i="1"/>
  <c r="BI568" i="1"/>
  <c r="BJ1897" i="1"/>
  <c r="CV1897" i="1" s="1"/>
  <c r="BJ568" i="1"/>
  <c r="CV568" i="1" s="1"/>
  <c r="BL1897" i="1"/>
  <c r="CK1897" i="1" s="1"/>
  <c r="BI181" i="1"/>
  <c r="BJ181" i="1"/>
  <c r="CV181" i="1" s="1"/>
  <c r="BI566" i="1"/>
  <c r="BJ566" i="1"/>
  <c r="CV566" i="1" s="1"/>
  <c r="BQ181" i="1"/>
  <c r="BR181" i="1"/>
  <c r="BJ1807" i="1"/>
  <c r="CV1807" i="1" s="1"/>
  <c r="BI1807" i="1"/>
  <c r="BJ225" i="1"/>
  <c r="CV225" i="1" s="1"/>
  <c r="BI225" i="1"/>
  <c r="BU284" i="1"/>
  <c r="CI284" i="1" s="1"/>
  <c r="CU284" i="1" s="1"/>
  <c r="CW284" i="1" s="1"/>
  <c r="BJ284" i="1"/>
  <c r="CV284" i="1" s="1"/>
  <c r="BI284" i="1"/>
  <c r="BJ494" i="1"/>
  <c r="CV494" i="1" s="1"/>
  <c r="BI494" i="1"/>
  <c r="BJ245" i="1"/>
  <c r="CV245" i="1" s="1"/>
  <c r="BI245" i="1"/>
  <c r="CN309" i="1"/>
  <c r="BL545" i="1"/>
  <c r="CK545" i="1" s="1"/>
  <c r="BL485" i="1"/>
  <c r="CK485" i="1" s="1"/>
  <c r="CL1639" i="1"/>
  <c r="BL1543" i="1"/>
  <c r="CK1543" i="1" s="1"/>
  <c r="BL1568" i="1"/>
  <c r="CK1568" i="1" s="1"/>
  <c r="BL341" i="1"/>
  <c r="CK341" i="1" s="1"/>
  <c r="CI470" i="1"/>
  <c r="CU470" i="1" s="1"/>
  <c r="D5" i="2"/>
  <c r="D4" i="2"/>
  <c r="CI312" i="1"/>
  <c r="CU312" i="1" s="1"/>
  <c r="CW312" i="1" s="1"/>
  <c r="BL312" i="1"/>
  <c r="CK312" i="1" s="1"/>
  <c r="CI310" i="1"/>
  <c r="CU310" i="1" s="1"/>
  <c r="CW310" i="1" s="1"/>
  <c r="BL310" i="1"/>
  <c r="CK310" i="1" s="1"/>
  <c r="CI311" i="1"/>
  <c r="CU311" i="1" s="1"/>
  <c r="CW311" i="1" s="1"/>
  <c r="BL311" i="1"/>
  <c r="CK311" i="1" s="1"/>
  <c r="CI1890" i="1"/>
  <c r="CU1890" i="1" s="1"/>
  <c r="BL1890" i="1"/>
  <c r="CK1890" i="1" s="1"/>
  <c r="CI1910" i="1"/>
  <c r="CU1910" i="1" s="1"/>
  <c r="BL1910" i="1"/>
  <c r="CK1910" i="1" s="1"/>
  <c r="CI1916" i="1"/>
  <c r="CU1916" i="1" s="1"/>
  <c r="BL1916" i="1"/>
  <c r="CK1916" i="1" s="1"/>
  <c r="CI155" i="1"/>
  <c r="CU155" i="1" s="1"/>
  <c r="CW155" i="1" s="1"/>
  <c r="BL155" i="1"/>
  <c r="CK155" i="1" s="1"/>
  <c r="CI140" i="1"/>
  <c r="CU140" i="1" s="1"/>
  <c r="CW140" i="1" s="1"/>
  <c r="BL140" i="1"/>
  <c r="CK140" i="1" s="1"/>
  <c r="CI481" i="1"/>
  <c r="CU481" i="1" s="1"/>
  <c r="BL481" i="1"/>
  <c r="CK481" i="1" s="1"/>
  <c r="CI72" i="1"/>
  <c r="CU72" i="1" s="1"/>
  <c r="CW72" i="1" s="1"/>
  <c r="BL72" i="1"/>
  <c r="CK72" i="1" s="1"/>
  <c r="BL1845" i="1"/>
  <c r="CK1845" i="1" s="1"/>
  <c r="CI1796" i="1"/>
  <c r="CU1796" i="1" s="1"/>
  <c r="BL1796" i="1"/>
  <c r="CK1796" i="1" s="1"/>
  <c r="CI145" i="1"/>
  <c r="CU145" i="1" s="1"/>
  <c r="CW145" i="1" s="1"/>
  <c r="BL145" i="1"/>
  <c r="CK145" i="1" s="1"/>
  <c r="BL1797" i="1"/>
  <c r="CK1797" i="1" s="1"/>
  <c r="CI1794" i="1"/>
  <c r="CU1794" i="1" s="1"/>
  <c r="BL1794" i="1"/>
  <c r="CK1794" i="1" s="1"/>
  <c r="BL1795" i="1"/>
  <c r="CK1795" i="1" s="1"/>
  <c r="BL1674" i="1"/>
  <c r="CK1674" i="1" s="1"/>
  <c r="BL511" i="1"/>
  <c r="CK511" i="1" s="1"/>
  <c r="CI141" i="1"/>
  <c r="CU141" i="1" s="1"/>
  <c r="CW141" i="1" s="1"/>
  <c r="CI1954" i="1"/>
  <c r="CU1954" i="1" s="1"/>
  <c r="BL1954" i="1"/>
  <c r="CK1954" i="1" s="1"/>
  <c r="CI1949" i="1"/>
  <c r="CU1949" i="1" s="1"/>
  <c r="BL1949" i="1"/>
  <c r="CK1949" i="1" s="1"/>
  <c r="BL1927" i="1"/>
  <c r="CK1927" i="1" s="1"/>
  <c r="BL1675" i="1"/>
  <c r="CK1675" i="1" s="1"/>
  <c r="BL1676" i="1"/>
  <c r="CK1676" i="1" s="1"/>
  <c r="CI1774" i="1"/>
  <c r="CU1774" i="1" s="1"/>
  <c r="BL1774" i="1"/>
  <c r="CK1774" i="1" s="1"/>
  <c r="CI1956" i="1"/>
  <c r="CU1956" i="1" s="1"/>
  <c r="BL1956" i="1"/>
  <c r="CK1956" i="1" s="1"/>
  <c r="CI1953" i="1"/>
  <c r="CU1953" i="1" s="1"/>
  <c r="BL1953" i="1"/>
  <c r="CK1953" i="1" s="1"/>
  <c r="BL1851" i="1"/>
  <c r="CK1851" i="1" s="1"/>
  <c r="BL1626" i="1"/>
  <c r="CK1626" i="1" s="1"/>
  <c r="CI1951" i="1"/>
  <c r="CU1951" i="1" s="1"/>
  <c r="BL1951" i="1"/>
  <c r="CK1951" i="1" s="1"/>
  <c r="BL1952" i="1"/>
  <c r="CK1952" i="1" s="1"/>
  <c r="BL1789" i="1"/>
  <c r="CK1789" i="1" s="1"/>
  <c r="BL1963" i="1"/>
  <c r="CK1963" i="1" s="1"/>
  <c r="CI1684" i="1"/>
  <c r="CU1684" i="1" s="1"/>
  <c r="BL1684" i="1"/>
  <c r="CK1684" i="1" s="1"/>
  <c r="BL1909" i="1"/>
  <c r="CK1909" i="1" s="1"/>
  <c r="CI1958" i="1"/>
  <c r="CU1958" i="1" s="1"/>
  <c r="BL1958" i="1"/>
  <c r="CK1958" i="1" s="1"/>
  <c r="BL1955" i="1"/>
  <c r="CK1955" i="1" s="1"/>
  <c r="CI1978" i="1"/>
  <c r="CI1974" i="1"/>
  <c r="CI1989" i="1"/>
  <c r="CI1984" i="1"/>
  <c r="CI1983" i="1"/>
  <c r="CI1985" i="1"/>
  <c r="CI1981" i="1"/>
  <c r="CI1980" i="1"/>
  <c r="CI1993" i="1"/>
  <c r="CI1992" i="1"/>
  <c r="CI1991" i="1"/>
  <c r="CI1979" i="1"/>
  <c r="CI1976" i="1"/>
  <c r="CI1975" i="1"/>
  <c r="CI1990" i="1"/>
  <c r="CI1988" i="1"/>
  <c r="CI1986" i="1"/>
  <c r="CI1987" i="1"/>
  <c r="CI1982" i="1"/>
  <c r="CI1977" i="1"/>
  <c r="CI1838" i="1"/>
  <c r="CU1838" i="1" s="1"/>
  <c r="BL1838" i="1"/>
  <c r="CI1657" i="1"/>
  <c r="CU1657" i="1" s="1"/>
  <c r="BL1657" i="1"/>
  <c r="CI1643" i="1"/>
  <c r="CU1643" i="1" s="1"/>
  <c r="BL1643" i="1"/>
  <c r="CI1802" i="1"/>
  <c r="CU1802" i="1" s="1"/>
  <c r="BL1802" i="1"/>
  <c r="CI1800" i="1"/>
  <c r="CU1800" i="1" s="1"/>
  <c r="BL1800" i="1"/>
  <c r="CI1636" i="1"/>
  <c r="CU1636" i="1" s="1"/>
  <c r="BL1636" i="1"/>
  <c r="CI1686" i="1"/>
  <c r="CU1686" i="1" s="1"/>
  <c r="BL1686" i="1"/>
  <c r="CI1801" i="1"/>
  <c r="CU1801" i="1" s="1"/>
  <c r="BL1801" i="1"/>
  <c r="CI1922" i="1"/>
  <c r="CU1922" i="1" s="1"/>
  <c r="BL1922" i="1"/>
  <c r="CI1905" i="1"/>
  <c r="CU1905" i="1" s="1"/>
  <c r="BL1905" i="1"/>
  <c r="CI1896" i="1"/>
  <c r="CU1896" i="1" s="1"/>
  <c r="BL1896" i="1"/>
  <c r="CI1919" i="1"/>
  <c r="CU1919" i="1" s="1"/>
  <c r="BL1919" i="1"/>
  <c r="CI1862" i="1"/>
  <c r="CU1862" i="1" s="1"/>
  <c r="BL1862" i="1"/>
  <c r="CI1948" i="1"/>
  <c r="CU1948" i="1" s="1"/>
  <c r="BL1948" i="1"/>
  <c r="CI1841" i="1"/>
  <c r="CU1841" i="1" s="1"/>
  <c r="BL1841" i="1"/>
  <c r="CI1831" i="1"/>
  <c r="CU1831" i="1" s="1"/>
  <c r="BL1831" i="1"/>
  <c r="CI1940" i="1"/>
  <c r="CU1940" i="1" s="1"/>
  <c r="BL1940" i="1"/>
  <c r="CI1805" i="1"/>
  <c r="CU1805" i="1" s="1"/>
  <c r="BL1805" i="1"/>
  <c r="CI1683" i="1"/>
  <c r="CU1683" i="1" s="1"/>
  <c r="BL1683" i="1"/>
  <c r="CI2029" i="1"/>
  <c r="CI2020" i="1"/>
  <c r="CI382" i="1"/>
  <c r="CU382" i="1" s="1"/>
  <c r="CW382" i="1" s="1"/>
  <c r="BL382" i="1"/>
  <c r="CK382" i="1" s="1"/>
  <c r="CI150" i="1"/>
  <c r="CU150" i="1" s="1"/>
  <c r="CW150" i="1" s="1"/>
  <c r="BL150" i="1"/>
  <c r="CK150" i="1" s="1"/>
  <c r="CI183" i="1"/>
  <c r="CU183" i="1" s="1"/>
  <c r="CW183" i="1" s="1"/>
  <c r="BL183" i="1"/>
  <c r="CK183" i="1" s="1"/>
  <c r="CI418" i="1"/>
  <c r="CI1792" i="1"/>
  <c r="CU1792" i="1" s="1"/>
  <c r="BL1792" i="1"/>
  <c r="CI1793" i="1"/>
  <c r="CU1793" i="1" s="1"/>
  <c r="BL1793" i="1"/>
  <c r="CI1791" i="1"/>
  <c r="CU1791" i="1" s="1"/>
  <c r="BL1791" i="1"/>
  <c r="CI1779" i="1"/>
  <c r="CI1780" i="1"/>
  <c r="CI1781" i="1"/>
  <c r="CI1730" i="1"/>
  <c r="CU1730" i="1" s="1"/>
  <c r="BL1730" i="1"/>
  <c r="CK1730" i="1" s="1"/>
  <c r="CI1731" i="1"/>
  <c r="CU1731" i="1" s="1"/>
  <c r="BL1731" i="1"/>
  <c r="CK1731" i="1" s="1"/>
  <c r="CI1732" i="1"/>
  <c r="CU1732" i="1" s="1"/>
  <c r="BL1732" i="1"/>
  <c r="CK1732" i="1" s="1"/>
  <c r="CI1726" i="1"/>
  <c r="CU1726" i="1" s="1"/>
  <c r="BL1726" i="1"/>
  <c r="CK1726" i="1" s="1"/>
  <c r="CI138" i="1"/>
  <c r="CU138" i="1" s="1"/>
  <c r="CW138" i="1" s="1"/>
  <c r="BL138" i="1"/>
  <c r="CK138" i="1" s="1"/>
  <c r="CI252" i="1"/>
  <c r="CU252" i="1" s="1"/>
  <c r="CW252" i="1" s="1"/>
  <c r="BL252" i="1"/>
  <c r="CK252" i="1" s="1"/>
  <c r="CI2030" i="1"/>
  <c r="CI1616" i="1"/>
  <c r="CU1616" i="1" s="1"/>
  <c r="BL1616" i="1"/>
  <c r="CK1616" i="1" s="1"/>
  <c r="CI1799" i="1"/>
  <c r="CU1799" i="1" s="1"/>
  <c r="BL1799" i="1"/>
  <c r="CK1799" i="1" s="1"/>
  <c r="CI1892" i="1"/>
  <c r="CU1892" i="1" s="1"/>
  <c r="BL1892" i="1"/>
  <c r="CK1892" i="1" s="1"/>
  <c r="CI1899" i="1"/>
  <c r="CU1899" i="1" s="1"/>
  <c r="BL1899" i="1"/>
  <c r="CK1899" i="1" s="1"/>
  <c r="CI1902" i="1"/>
  <c r="CU1902" i="1" s="1"/>
  <c r="BL1902" i="1"/>
  <c r="CK1902" i="1" s="1"/>
  <c r="CI1854" i="1"/>
  <c r="CU1854" i="1" s="1"/>
  <c r="BL1854" i="1"/>
  <c r="CK1854" i="1" s="1"/>
  <c r="CI1898" i="1"/>
  <c r="CU1898" i="1" s="1"/>
  <c r="BL1898" i="1"/>
  <c r="CK1898" i="1" s="1"/>
  <c r="CI1687" i="1"/>
  <c r="CU1687" i="1" s="1"/>
  <c r="BL1687" i="1"/>
  <c r="CI1778" i="1"/>
  <c r="CU1778" i="1" s="1"/>
  <c r="BL1778" i="1"/>
  <c r="BL1696" i="1"/>
  <c r="CK1696" i="1" s="1"/>
  <c r="BL1858" i="1"/>
  <c r="CK1858" i="1" s="1"/>
  <c r="BL1852" i="1"/>
  <c r="CK1852" i="1" s="1"/>
  <c r="BL284" i="1"/>
  <c r="CK284" i="1" s="1"/>
  <c r="CI1679" i="1"/>
  <c r="CU1679" i="1" s="1"/>
  <c r="BL1679" i="1"/>
  <c r="CK1679" i="1" s="1"/>
  <c r="CI360" i="1"/>
  <c r="CU360" i="1" s="1"/>
  <c r="CW360" i="1" s="1"/>
  <c r="BL360" i="1"/>
  <c r="BL568" i="1"/>
  <c r="CK568" i="1" s="1"/>
  <c r="BL181" i="1"/>
  <c r="CK181" i="1" s="1"/>
  <c r="CI1625" i="1"/>
  <c r="CU1625" i="1" s="1"/>
  <c r="BL1625" i="1"/>
  <c r="CK1625" i="1" s="1"/>
  <c r="CI1812" i="1"/>
  <c r="CU1812" i="1" s="1"/>
  <c r="BL1812" i="1"/>
  <c r="CK1812" i="1" s="1"/>
  <c r="CI1811" i="1"/>
  <c r="CU1811" i="1" s="1"/>
  <c r="BL1811" i="1"/>
  <c r="CK1811" i="1" s="1"/>
  <c r="BL1652" i="1"/>
  <c r="CK1652" i="1" s="1"/>
  <c r="CI1651" i="1"/>
  <c r="CU1651" i="1" s="1"/>
  <c r="BL1651" i="1"/>
  <c r="CK1651" i="1" s="1"/>
  <c r="CI494" i="1"/>
  <c r="CU494" i="1" s="1"/>
  <c r="BL494" i="1"/>
  <c r="CK494" i="1" s="1"/>
  <c r="CI1970" i="1"/>
  <c r="CI1867" i="1"/>
  <c r="CU1867" i="1" s="1"/>
  <c r="BL1867" i="1"/>
  <c r="CK1867" i="1" s="1"/>
  <c r="CI1868" i="1"/>
  <c r="CU1868" i="1" s="1"/>
  <c r="BL1868" i="1"/>
  <c r="CK1868" i="1" s="1"/>
  <c r="CI1807" i="1"/>
  <c r="CU1807" i="1" s="1"/>
  <c r="BL1807" i="1"/>
  <c r="CI1971" i="1"/>
  <c r="CI225" i="1"/>
  <c r="CU225" i="1" s="1"/>
  <c r="CW225" i="1" s="1"/>
  <c r="BL225" i="1"/>
  <c r="CI1879" i="1"/>
  <c r="CU1879" i="1" s="1"/>
  <c r="BL1879" i="1"/>
  <c r="CK1879" i="1" s="1"/>
  <c r="BL566" i="1"/>
  <c r="CI1815" i="1"/>
  <c r="CU1815" i="1" s="1"/>
  <c r="BL1815" i="1"/>
  <c r="CI1699" i="1"/>
  <c r="CU1699" i="1" s="1"/>
  <c r="BL1699" i="1"/>
  <c r="CI1803" i="1"/>
  <c r="CU1803" i="1" s="1"/>
  <c r="BL1803" i="1"/>
  <c r="CK1803" i="1" s="1"/>
  <c r="CI1969" i="1"/>
  <c r="CI1816" i="1"/>
  <c r="CU1816" i="1" s="1"/>
  <c r="BL1816" i="1"/>
  <c r="CI1773" i="1"/>
  <c r="CU1773" i="1" s="1"/>
  <c r="BL1773" i="1"/>
  <c r="CK1773" i="1" s="1"/>
  <c r="CI1972" i="1"/>
  <c r="CI1968" i="1"/>
  <c r="CU1968" i="1" s="1"/>
  <c r="BL1968" i="1"/>
  <c r="CK1968" i="1" s="1"/>
  <c r="CI1999" i="1"/>
  <c r="CI1864" i="1"/>
  <c r="CU1864" i="1" s="1"/>
  <c r="BL1864" i="1"/>
  <c r="CK1864" i="1" s="1"/>
  <c r="CI1880" i="1"/>
  <c r="CU1880" i="1" s="1"/>
  <c r="BL1880" i="1"/>
  <c r="CK1880" i="1" s="1"/>
  <c r="CI1672" i="1"/>
  <c r="CU1672" i="1" s="1"/>
  <c r="BL1672" i="1"/>
  <c r="CK1672" i="1" s="1"/>
  <c r="CI245" i="1"/>
  <c r="CU245" i="1" s="1"/>
  <c r="CW245" i="1" s="1"/>
  <c r="BL245" i="1"/>
  <c r="CK245" i="1" s="1"/>
  <c r="CI321" i="1"/>
  <c r="CU321" i="1" s="1"/>
  <c r="CW321" i="1" s="1"/>
  <c r="BL321" i="1"/>
  <c r="CI371" i="1"/>
  <c r="CU371" i="1" s="1"/>
  <c r="CW371" i="1" s="1"/>
  <c r="BL371" i="1"/>
  <c r="CI370" i="1"/>
  <c r="CU370" i="1" s="1"/>
  <c r="CW370" i="1" s="1"/>
  <c r="BL370" i="1"/>
  <c r="CI460" i="1"/>
  <c r="CU460" i="1" s="1"/>
  <c r="BL460" i="1"/>
  <c r="CI179" i="1"/>
  <c r="CU179" i="1" s="1"/>
  <c r="CW179" i="1" s="1"/>
  <c r="BL179" i="1"/>
  <c r="BL1629" i="1"/>
  <c r="CK1629" i="1" s="1"/>
  <c r="BL1843" i="1"/>
  <c r="CK1843" i="1" s="1"/>
  <c r="CI456" i="1"/>
  <c r="CU456" i="1" s="1"/>
  <c r="BL456" i="1"/>
  <c r="CI239" i="1"/>
  <c r="CU239" i="1" s="1"/>
  <c r="CW239" i="1" s="1"/>
  <c r="BL239" i="1"/>
  <c r="CK239" i="1" s="1"/>
  <c r="CI322" i="1"/>
  <c r="CU322" i="1" s="1"/>
  <c r="CW322" i="1" s="1"/>
  <c r="BL322" i="1"/>
  <c r="CK322" i="1" s="1"/>
  <c r="CI372" i="1"/>
  <c r="CU372" i="1" s="1"/>
  <c r="CW372" i="1" s="1"/>
  <c r="CI191" i="1"/>
  <c r="CU191" i="1" s="1"/>
  <c r="CW191" i="1" s="1"/>
  <c r="BL191" i="1"/>
  <c r="CK191" i="1" s="1"/>
  <c r="BL1529" i="1"/>
  <c r="CK1529" i="1" s="1"/>
  <c r="BL1479" i="1"/>
  <c r="CK1479" i="1" s="1"/>
  <c r="BL671" i="1"/>
  <c r="CK671" i="1" s="1"/>
  <c r="BL1514" i="1"/>
  <c r="CK1514" i="1" s="1"/>
  <c r="BL902" i="1"/>
  <c r="CK902" i="1" s="1"/>
  <c r="BL730" i="1"/>
  <c r="CK730" i="1" s="1"/>
  <c r="BL1178" i="1"/>
  <c r="CK1178" i="1" s="1"/>
  <c r="BL657" i="1"/>
  <c r="CK657" i="1" s="1"/>
  <c r="BL1504" i="1"/>
  <c r="CK1504" i="1" s="1"/>
  <c r="BL596" i="1"/>
  <c r="CK596" i="1" s="1"/>
  <c r="BL525" i="1"/>
  <c r="CK525" i="1" s="1"/>
  <c r="BL1339" i="1"/>
  <c r="CK1339" i="1" s="1"/>
  <c r="BL537" i="1"/>
  <c r="CK537" i="1" s="1"/>
  <c r="BL532" i="1"/>
  <c r="CK532" i="1" s="1"/>
  <c r="BL629" i="1"/>
  <c r="CK629" i="1" s="1"/>
  <c r="BL1232" i="1"/>
  <c r="CK1232" i="1" s="1"/>
  <c r="BL1192" i="1"/>
  <c r="CK1192" i="1" s="1"/>
  <c r="BL1413" i="1"/>
  <c r="CK1413" i="1" s="1"/>
  <c r="BL982" i="1"/>
  <c r="CK982" i="1" s="1"/>
  <c r="BL860" i="1"/>
  <c r="CK860" i="1" s="1"/>
  <c r="BL995" i="1"/>
  <c r="CK995" i="1" s="1"/>
  <c r="BL1246" i="1"/>
  <c r="CK1246" i="1" s="1"/>
  <c r="BL929" i="1"/>
  <c r="CK929" i="1" s="1"/>
  <c r="BL611" i="1"/>
  <c r="CK611" i="1" s="1"/>
  <c r="BL1399" i="1"/>
  <c r="CK1399" i="1" s="1"/>
  <c r="BL800" i="1"/>
  <c r="CK800" i="1" s="1"/>
  <c r="BL564" i="1"/>
  <c r="CK564" i="1" s="1"/>
  <c r="BL1394" i="1"/>
  <c r="CK1394" i="1" s="1"/>
  <c r="BL1378" i="1"/>
  <c r="CK1378" i="1" s="1"/>
  <c r="BL1228" i="1"/>
  <c r="CK1228" i="1" s="1"/>
  <c r="BL623" i="1"/>
  <c r="CK623" i="1" s="1"/>
  <c r="BL1140" i="1"/>
  <c r="CK1140" i="1" s="1"/>
  <c r="BL1183" i="1"/>
  <c r="CK1183" i="1" s="1"/>
  <c r="BL1499" i="1"/>
  <c r="CK1499" i="1" s="1"/>
  <c r="BL845" i="1"/>
  <c r="CK845" i="1" s="1"/>
  <c r="BL1076" i="1"/>
  <c r="CK1076" i="1" s="1"/>
  <c r="BL1403" i="1"/>
  <c r="CK1403" i="1" s="1"/>
  <c r="BL1348" i="1"/>
  <c r="CK1348" i="1" s="1"/>
  <c r="BL1389" i="1"/>
  <c r="CK1389" i="1" s="1"/>
  <c r="BL656" i="1"/>
  <c r="CK656" i="1" s="1"/>
  <c r="BL1528" i="1"/>
  <c r="CK1528" i="1" s="1"/>
  <c r="BL759" i="1"/>
  <c r="CK759" i="1" s="1"/>
  <c r="BL824" i="1"/>
  <c r="CK824" i="1" s="1"/>
  <c r="BL1285" i="1"/>
  <c r="CK1285" i="1" s="1"/>
  <c r="BL771" i="1"/>
  <c r="CK771" i="1" s="1"/>
  <c r="BL754" i="1"/>
  <c r="CK754" i="1" s="1"/>
  <c r="BL1144" i="1"/>
  <c r="CK1144" i="1" s="1"/>
  <c r="BL608" i="1"/>
  <c r="CK608" i="1" s="1"/>
  <c r="BL1271" i="1"/>
  <c r="CK1271" i="1" s="1"/>
  <c r="BL660" i="1"/>
  <c r="CK660" i="1" s="1"/>
  <c r="BL1365" i="1"/>
  <c r="CK1365" i="1" s="1"/>
  <c r="BL1457" i="1"/>
  <c r="CK1457" i="1" s="1"/>
  <c r="BL662" i="1"/>
  <c r="CK662" i="1" s="1"/>
  <c r="BL1471" i="1"/>
  <c r="CK1471" i="1" s="1"/>
  <c r="BL1488" i="1"/>
  <c r="CK1488" i="1" s="1"/>
  <c r="BL1141" i="1"/>
  <c r="CK1141" i="1" s="1"/>
  <c r="BL556" i="1"/>
  <c r="CK556" i="1" s="1"/>
  <c r="BL750" i="1"/>
  <c r="CK750" i="1" s="1"/>
  <c r="BL878" i="1"/>
  <c r="CK878" i="1" s="1"/>
  <c r="BL1248" i="1"/>
  <c r="CK1248" i="1" s="1"/>
  <c r="BL1484" i="1"/>
  <c r="CK1484" i="1" s="1"/>
  <c r="BL583" i="1"/>
  <c r="CK583" i="1" s="1"/>
  <c r="BL975" i="1"/>
  <c r="CK975" i="1" s="1"/>
  <c r="BL582" i="1"/>
  <c r="CK582" i="1" s="1"/>
  <c r="BL1151" i="1"/>
  <c r="CK1151" i="1" s="1"/>
  <c r="BL1275" i="1"/>
  <c r="CK1275" i="1" s="1"/>
  <c r="BL612" i="1"/>
  <c r="CK612" i="1" s="1"/>
  <c r="BL1264" i="1"/>
  <c r="CK1264" i="1" s="1"/>
  <c r="BL1287" i="1"/>
  <c r="CK1287" i="1" s="1"/>
  <c r="BL1128" i="1"/>
  <c r="CK1128" i="1" s="1"/>
  <c r="BL1509" i="1"/>
  <c r="CK1509" i="1" s="1"/>
  <c r="BL1468" i="1"/>
  <c r="CK1468" i="1" s="1"/>
  <c r="BL1161" i="1"/>
  <c r="CK1161" i="1" s="1"/>
  <c r="BL1586" i="1"/>
  <c r="CK1586" i="1" s="1"/>
  <c r="BL1611" i="1"/>
  <c r="CK1611" i="1" s="1"/>
  <c r="BL1421" i="1"/>
  <c r="CK1421" i="1" s="1"/>
  <c r="BL861" i="1"/>
  <c r="CK861" i="1" s="1"/>
  <c r="BL1158" i="1"/>
  <c r="CK1158" i="1" s="1"/>
  <c r="BL1349" i="1"/>
  <c r="CK1349" i="1" s="1"/>
  <c r="BL963" i="1"/>
  <c r="CK963" i="1" s="1"/>
  <c r="BL640" i="1"/>
  <c r="CK640" i="1" s="1"/>
  <c r="BL724" i="1"/>
  <c r="CK724" i="1" s="1"/>
  <c r="BL1425" i="1"/>
  <c r="CK1425" i="1" s="1"/>
  <c r="BL850" i="1"/>
  <c r="CK850" i="1" s="1"/>
  <c r="BL1494" i="1"/>
  <c r="CK1494" i="1" s="1"/>
  <c r="BL653" i="1"/>
  <c r="CK653" i="1" s="1"/>
  <c r="BL757" i="1"/>
  <c r="CK757" i="1" s="1"/>
  <c r="BL784" i="1"/>
  <c r="CK784" i="1" s="1"/>
  <c r="BL558" i="1"/>
  <c r="CK558" i="1" s="1"/>
  <c r="BL664" i="1"/>
  <c r="CK664" i="1" s="1"/>
  <c r="BL1492" i="1"/>
  <c r="CK1492" i="1" s="1"/>
  <c r="BL1334" i="1"/>
  <c r="CK1334" i="1" s="1"/>
  <c r="BL933" i="1"/>
  <c r="CK933" i="1" s="1"/>
  <c r="BL1038" i="1"/>
  <c r="CK1038" i="1" s="1"/>
  <c r="BL1539" i="1"/>
  <c r="CK1539" i="1" s="1"/>
  <c r="BL1005" i="1"/>
  <c r="CK1005" i="1" s="1"/>
  <c r="BL1358" i="1"/>
  <c r="CK1358" i="1" s="1"/>
  <c r="BL1079" i="1"/>
  <c r="CK1079" i="1" s="1"/>
  <c r="BL626" i="1"/>
  <c r="CK626" i="1" s="1"/>
  <c r="BL1152" i="1"/>
  <c r="CK1152" i="1" s="1"/>
  <c r="BL1341" i="1"/>
  <c r="CK1341" i="1" s="1"/>
  <c r="BL1283" i="1"/>
  <c r="CK1283" i="1" s="1"/>
  <c r="BL1351" i="1"/>
  <c r="CK1351" i="1" s="1"/>
  <c r="BL1359" i="1"/>
  <c r="CK1359" i="1" s="1"/>
  <c r="BL522" i="1"/>
  <c r="CK522" i="1" s="1"/>
  <c r="BL523" i="1"/>
  <c r="CK523" i="1" s="1"/>
  <c r="BL616" i="1"/>
  <c r="CK616" i="1" s="1"/>
  <c r="BL1326" i="1"/>
  <c r="CK1326" i="1" s="1"/>
  <c r="BL1580" i="1"/>
  <c r="CK1580" i="1" s="1"/>
  <c r="BL978" i="1"/>
  <c r="CK978" i="1" s="1"/>
  <c r="BL1478" i="1"/>
  <c r="CK1478" i="1" s="1"/>
  <c r="BL1213" i="1"/>
  <c r="CK1213" i="1" s="1"/>
  <c r="BL1154" i="1"/>
  <c r="CK1154" i="1" s="1"/>
  <c r="BL609" i="1"/>
  <c r="CK609" i="1" s="1"/>
  <c r="BL1099" i="1"/>
  <c r="CK1099" i="1" s="1"/>
  <c r="BL801" i="1"/>
  <c r="CK801" i="1" s="1"/>
  <c r="BL748" i="1"/>
  <c r="CK748" i="1" s="1"/>
  <c r="BL830" i="1"/>
  <c r="CK830" i="1" s="1"/>
  <c r="BL589" i="1"/>
  <c r="CK589" i="1" s="1"/>
  <c r="BL1114" i="1"/>
  <c r="CK1114" i="1" s="1"/>
  <c r="BL1104" i="1"/>
  <c r="CK1104" i="1" s="1"/>
  <c r="BL1115" i="1"/>
  <c r="CK1115" i="1" s="1"/>
  <c r="BL567" i="1"/>
  <c r="CK567" i="1" s="1"/>
  <c r="BL1081" i="1"/>
  <c r="CK1081" i="1" s="1"/>
  <c r="BL1009" i="1"/>
  <c r="CK1009" i="1" s="1"/>
  <c r="BL573" i="1"/>
  <c r="CK573" i="1" s="1"/>
  <c r="BL621" i="1"/>
  <c r="CK621" i="1" s="1"/>
  <c r="BL1556" i="1"/>
  <c r="CK1556" i="1" s="1"/>
  <c r="BL1372" i="1"/>
  <c r="CK1372" i="1" s="1"/>
  <c r="BL1426" i="1"/>
  <c r="CK1426" i="1" s="1"/>
  <c r="BL905" i="1"/>
  <c r="CK905" i="1" s="1"/>
  <c r="BL1220" i="1"/>
  <c r="CK1220" i="1" s="1"/>
  <c r="BL1274" i="1"/>
  <c r="CK1274" i="1" s="1"/>
  <c r="BL1314" i="1"/>
  <c r="CK1314" i="1" s="1"/>
  <c r="BL578" i="1"/>
  <c r="CK578" i="1" s="1"/>
  <c r="BL1249" i="1"/>
  <c r="CK1249" i="1" s="1"/>
  <c r="BL1055" i="1"/>
  <c r="CK1055" i="1" s="1"/>
  <c r="BL570" i="1"/>
  <c r="CK570" i="1" s="1"/>
  <c r="BL1221" i="1"/>
  <c r="CK1221" i="1" s="1"/>
  <c r="BL1159" i="1"/>
  <c r="CK1159" i="1" s="1"/>
  <c r="BL789" i="1"/>
  <c r="CK789" i="1" s="1"/>
  <c r="BL927" i="1"/>
  <c r="CK927" i="1" s="1"/>
  <c r="BL906" i="1"/>
  <c r="CK906" i="1" s="1"/>
  <c r="BL974" i="1"/>
  <c r="CK974" i="1" s="1"/>
  <c r="BL1284" i="1"/>
  <c r="CK1284" i="1" s="1"/>
  <c r="BL788" i="1"/>
  <c r="CK788" i="1" s="1"/>
  <c r="BL1237" i="1"/>
  <c r="CK1237" i="1" s="1"/>
  <c r="BL911" i="1"/>
  <c r="CK911" i="1" s="1"/>
  <c r="BL855" i="1"/>
  <c r="CK855" i="1" s="1"/>
  <c r="BL1074" i="1"/>
  <c r="CK1074" i="1" s="1"/>
  <c r="BL766" i="1"/>
  <c r="CK766" i="1" s="1"/>
  <c r="BL787" i="1"/>
  <c r="CK787" i="1" s="1"/>
  <c r="BL1204" i="1"/>
  <c r="CK1204" i="1" s="1"/>
  <c r="BL892" i="1"/>
  <c r="CK892" i="1" s="1"/>
  <c r="BL1216" i="1"/>
  <c r="CK1216" i="1" s="1"/>
  <c r="BL739" i="1"/>
  <c r="CK739" i="1" s="1"/>
  <c r="BL695" i="1"/>
  <c r="CK695" i="1" s="1"/>
  <c r="BL1307" i="1"/>
  <c r="CK1307" i="1" s="1"/>
  <c r="BL849" i="1"/>
  <c r="CK849" i="1" s="1"/>
  <c r="BL700" i="1"/>
  <c r="CK700" i="1" s="1"/>
  <c r="BL1145" i="1"/>
  <c r="CK1145" i="1" s="1"/>
  <c r="BL778" i="1"/>
  <c r="CK778" i="1" s="1"/>
  <c r="BL1167" i="1"/>
  <c r="CK1167" i="1" s="1"/>
  <c r="BL812" i="1"/>
  <c r="CK812" i="1" s="1"/>
  <c r="BL1166" i="1"/>
  <c r="CK1166" i="1" s="1"/>
  <c r="BL934" i="1"/>
  <c r="CK934" i="1" s="1"/>
  <c r="BL926" i="1"/>
  <c r="CK926" i="1" s="1"/>
  <c r="BL692" i="1"/>
  <c r="CK692" i="1" s="1"/>
  <c r="BL1558" i="1"/>
  <c r="CK1558" i="1" s="1"/>
  <c r="BL1544" i="1"/>
  <c r="CK1544" i="1" s="1"/>
  <c r="BL1587" i="1"/>
  <c r="CK1587" i="1" s="1"/>
  <c r="BL1603" i="1"/>
  <c r="CK1603" i="1" s="1"/>
  <c r="BL597" i="1"/>
  <c r="CK597" i="1" s="1"/>
  <c r="BL1585" i="1"/>
  <c r="CK1585" i="1" s="1"/>
  <c r="BL1575" i="1"/>
  <c r="CK1575" i="1" s="1"/>
  <c r="BL1578" i="1"/>
  <c r="CK1578" i="1" s="1"/>
  <c r="BL681" i="1"/>
  <c r="CK681" i="1" s="1"/>
  <c r="BL1583" i="1"/>
  <c r="CK1583" i="1" s="1"/>
  <c r="BL688" i="1"/>
  <c r="CK688" i="1" s="1"/>
  <c r="BL1453" i="1"/>
  <c r="CK1453" i="1" s="1"/>
  <c r="BL1262" i="1"/>
  <c r="CK1262" i="1" s="1"/>
  <c r="BL1067" i="1"/>
  <c r="CK1067" i="1" s="1"/>
  <c r="BL1233" i="1"/>
  <c r="CK1233" i="1" s="1"/>
  <c r="BL514" i="1"/>
  <c r="CK514" i="1" s="1"/>
  <c r="BL1289" i="1"/>
  <c r="CK1289" i="1" s="1"/>
  <c r="BL1317" i="1"/>
  <c r="CK1317" i="1" s="1"/>
  <c r="BL904" i="1"/>
  <c r="CK904" i="1" s="1"/>
  <c r="BL1020" i="1"/>
  <c r="CK1020" i="1" s="1"/>
  <c r="BL1098" i="1"/>
  <c r="CK1098" i="1" s="1"/>
  <c r="BL979" i="1"/>
  <c r="CK979" i="1" s="1"/>
  <c r="BL786" i="1"/>
  <c r="CK786" i="1" s="1"/>
  <c r="BL1135" i="1"/>
  <c r="CK1135" i="1" s="1"/>
  <c r="BL543" i="1"/>
  <c r="CK543" i="1" s="1"/>
  <c r="BL683" i="1"/>
  <c r="CK683" i="1" s="1"/>
  <c r="BL762" i="1"/>
  <c r="CK762" i="1" s="1"/>
  <c r="BL772" i="1"/>
  <c r="CK772" i="1" s="1"/>
  <c r="BL1170" i="1"/>
  <c r="CK1170" i="1" s="1"/>
  <c r="BL914" i="1"/>
  <c r="CK914" i="1" s="1"/>
  <c r="BL813" i="1"/>
  <c r="CK813" i="1" s="1"/>
  <c r="BL1277" i="1"/>
  <c r="CK1277" i="1" s="1"/>
  <c r="BL1467" i="1"/>
  <c r="CK1467" i="1" s="1"/>
  <c r="BL1336" i="1"/>
  <c r="CK1336" i="1" s="1"/>
  <c r="BL1472" i="1"/>
  <c r="CK1472" i="1" s="1"/>
  <c r="BL1300" i="1"/>
  <c r="CK1300" i="1" s="1"/>
  <c r="BL1048" i="1"/>
  <c r="CK1048" i="1" s="1"/>
  <c r="BL1110" i="1"/>
  <c r="CK1110" i="1" s="1"/>
  <c r="BL760" i="1"/>
  <c r="CK760" i="1" s="1"/>
  <c r="BL716" i="1"/>
  <c r="CK716" i="1" s="1"/>
  <c r="BL795" i="1"/>
  <c r="CK795" i="1" s="1"/>
  <c r="BL837" i="1"/>
  <c r="CK837" i="1" s="1"/>
  <c r="BL1516" i="1"/>
  <c r="CK1516" i="1" s="1"/>
  <c r="BL728" i="1"/>
  <c r="CK728" i="1" s="1"/>
  <c r="BL1259" i="1"/>
  <c r="CK1259" i="1" s="1"/>
  <c r="BL810" i="1"/>
  <c r="CK810" i="1" s="1"/>
  <c r="BL1051" i="1"/>
  <c r="CK1051" i="1" s="1"/>
  <c r="BL1353" i="1"/>
  <c r="CK1353" i="1" s="1"/>
  <c r="BL887" i="1"/>
  <c r="CK887" i="1" s="1"/>
  <c r="BL1376" i="1"/>
  <c r="CK1376" i="1" s="1"/>
  <c r="BL1519" i="1"/>
  <c r="CK1519" i="1" s="1"/>
  <c r="BL1541" i="1"/>
  <c r="CK1541" i="1" s="1"/>
  <c r="BL738" i="1"/>
  <c r="CK738" i="1" s="1"/>
  <c r="BL1436" i="1"/>
  <c r="CK1436" i="1" s="1"/>
  <c r="BL1434" i="1"/>
  <c r="CK1434" i="1" s="1"/>
  <c r="BL659" i="1"/>
  <c r="CK659" i="1" s="1"/>
  <c r="BL1481" i="1"/>
  <c r="CK1481" i="1" s="1"/>
  <c r="BL1574" i="1"/>
  <c r="CK1574" i="1" s="1"/>
  <c r="BL1486" i="1"/>
  <c r="CK1486" i="1" s="1"/>
  <c r="BL761" i="1"/>
  <c r="CK761" i="1" s="1"/>
  <c r="BL1428" i="1"/>
  <c r="CK1428" i="1" s="1"/>
  <c r="BL1086" i="1"/>
  <c r="CK1086" i="1" s="1"/>
  <c r="BL1362" i="1"/>
  <c r="CK1362" i="1" s="1"/>
  <c r="BL1053" i="1"/>
  <c r="CK1053" i="1" s="1"/>
  <c r="BL987" i="1"/>
  <c r="CK987" i="1" s="1"/>
  <c r="BL1323" i="1"/>
  <c r="CK1323" i="1" s="1"/>
  <c r="BL654" i="1"/>
  <c r="CK654" i="1" s="1"/>
  <c r="BL569" i="1"/>
  <c r="CK569" i="1" s="1"/>
  <c r="BL802" i="1"/>
  <c r="CK802" i="1" s="1"/>
  <c r="BL980" i="1"/>
  <c r="CK980" i="1" s="1"/>
  <c r="BL1174" i="1"/>
  <c r="CK1174" i="1" s="1"/>
  <c r="BL687" i="1"/>
  <c r="CK687" i="1" s="1"/>
  <c r="BL735" i="1"/>
  <c r="CK735" i="1" s="1"/>
  <c r="BL1134" i="1"/>
  <c r="CK1134" i="1" s="1"/>
  <c r="BL941" i="1"/>
  <c r="CK941" i="1" s="1"/>
  <c r="BL1330" i="1"/>
  <c r="CK1330" i="1" s="1"/>
  <c r="BL796" i="1"/>
  <c r="CK796" i="1" s="1"/>
  <c r="BL1418" i="1"/>
  <c r="CK1418" i="1" s="1"/>
  <c r="BL1069" i="1"/>
  <c r="CK1069" i="1" s="1"/>
  <c r="BL763" i="1"/>
  <c r="CK763" i="1" s="1"/>
  <c r="BL1482" i="1"/>
  <c r="CK1482" i="1" s="1"/>
  <c r="BL1304" i="1"/>
  <c r="CK1304" i="1" s="1"/>
  <c r="BL1416" i="1"/>
  <c r="CK1416" i="1" s="1"/>
  <c r="BL538" i="1"/>
  <c r="CK538" i="1" s="1"/>
  <c r="BL834" i="1"/>
  <c r="CK834" i="1" s="1"/>
  <c r="BL512" i="1"/>
  <c r="CK512" i="1" s="1"/>
  <c r="BL1223" i="1"/>
  <c r="CK1223" i="1" s="1"/>
  <c r="BL1464" i="1"/>
  <c r="CK1464" i="1" s="1"/>
  <c r="BL1462" i="1"/>
  <c r="CK1462" i="1" s="1"/>
  <c r="BL1542" i="1"/>
  <c r="CK1542" i="1" s="1"/>
  <c r="BL1517" i="1"/>
  <c r="CK1517" i="1" s="1"/>
  <c r="BL644" i="1"/>
  <c r="CK644" i="1" s="1"/>
  <c r="BL592" i="1"/>
  <c r="CK592" i="1" s="1"/>
  <c r="BL1487" i="1"/>
  <c r="CK1487" i="1" s="1"/>
  <c r="BL594" i="1"/>
  <c r="CK594" i="1" s="1"/>
  <c r="BL1040" i="1"/>
  <c r="CK1040" i="1" s="1"/>
  <c r="BL1497" i="1"/>
  <c r="CK1497" i="1" s="1"/>
  <c r="BL655" i="1"/>
  <c r="CK655" i="1" s="1"/>
  <c r="BL1404" i="1"/>
  <c r="CK1404" i="1" s="1"/>
  <c r="BL1080" i="1"/>
  <c r="CK1080" i="1" s="1"/>
  <c r="BL1242" i="1"/>
  <c r="CK1242" i="1" s="1"/>
  <c r="BL1217" i="1"/>
  <c r="CK1217" i="1" s="1"/>
  <c r="BL1257" i="1"/>
  <c r="CK1257" i="1" s="1"/>
  <c r="BL689" i="1"/>
  <c r="CK689" i="1" s="1"/>
  <c r="BL886" i="1"/>
  <c r="CK886" i="1" s="1"/>
  <c r="BL1236" i="1"/>
  <c r="CK1236" i="1" s="1"/>
  <c r="BL680" i="1"/>
  <c r="CK680" i="1" s="1"/>
  <c r="BL651" i="1"/>
  <c r="CK651" i="1" s="1"/>
  <c r="BL1027" i="1"/>
  <c r="CK1027" i="1" s="1"/>
  <c r="CI92" i="1"/>
  <c r="CU92" i="1" s="1"/>
  <c r="CW92" i="1" s="1"/>
  <c r="BL92" i="1"/>
  <c r="CK92" i="1" s="1"/>
  <c r="BL938" i="1"/>
  <c r="CK938" i="1" s="1"/>
  <c r="BL1601" i="1"/>
  <c r="CK1601" i="1" s="1"/>
  <c r="BL1302" i="1"/>
  <c r="CK1302" i="1" s="1"/>
  <c r="BL560" i="1"/>
  <c r="CK560" i="1" s="1"/>
  <c r="BL1310" i="1"/>
  <c r="CK1310" i="1" s="1"/>
  <c r="BL1083" i="1"/>
  <c r="CK1083" i="1" s="1"/>
  <c r="BL1396" i="1"/>
  <c r="CK1396" i="1" s="1"/>
  <c r="BL1003" i="1"/>
  <c r="CK1003" i="1" s="1"/>
  <c r="BL1087" i="1"/>
  <c r="CK1087" i="1" s="1"/>
  <c r="BL1007" i="1"/>
  <c r="CK1007" i="1" s="1"/>
  <c r="BL554" i="1"/>
  <c r="CK554" i="1" s="1"/>
  <c r="BL665" i="1"/>
  <c r="CK665" i="1" s="1"/>
  <c r="BL1109" i="1"/>
  <c r="CK1109" i="1" s="1"/>
  <c r="BL638" i="1"/>
  <c r="CK638" i="1" s="1"/>
  <c r="BL1101" i="1"/>
  <c r="CK1101" i="1" s="1"/>
  <c r="BL1567" i="1"/>
  <c r="CK1567" i="1" s="1"/>
  <c r="BL1276" i="1"/>
  <c r="CK1276" i="1" s="1"/>
  <c r="BL613" i="1"/>
  <c r="CK613" i="1" s="1"/>
  <c r="BL577" i="1"/>
  <c r="CK577" i="1" s="1"/>
  <c r="BL561" i="1"/>
  <c r="CK561" i="1" s="1"/>
  <c r="BL559" i="1"/>
  <c r="CK559" i="1" s="1"/>
  <c r="BL551" i="1"/>
  <c r="CK551" i="1" s="1"/>
  <c r="BL1444" i="1"/>
  <c r="CK1444" i="1" s="1"/>
  <c r="BL815" i="1"/>
  <c r="CK815" i="1" s="1"/>
  <c r="CI96" i="1"/>
  <c r="CU96" i="1" s="1"/>
  <c r="CW96" i="1" s="1"/>
  <c r="BL96" i="1"/>
  <c r="CK96" i="1" s="1"/>
  <c r="BL1028" i="1"/>
  <c r="CK1028" i="1" s="1"/>
  <c r="BL805" i="1"/>
  <c r="CK805" i="1" s="1"/>
  <c r="BL952" i="1"/>
  <c r="CK952" i="1" s="1"/>
  <c r="BL1064" i="1"/>
  <c r="CK1064" i="1" s="1"/>
  <c r="BL1177" i="1"/>
  <c r="CK1177" i="1" s="1"/>
  <c r="BL1147" i="1"/>
  <c r="CK1147" i="1" s="1"/>
  <c r="BL1162" i="1"/>
  <c r="CK1162" i="1" s="1"/>
  <c r="BL1474" i="1"/>
  <c r="CK1474" i="1" s="1"/>
  <c r="BL770" i="1"/>
  <c r="CK770" i="1" s="1"/>
  <c r="BL1397" i="1"/>
  <c r="CK1397" i="1" s="1"/>
  <c r="BL1189" i="1"/>
  <c r="CK1189" i="1" s="1"/>
  <c r="BL615" i="1"/>
  <c r="CK615" i="1" s="1"/>
  <c r="BL1082" i="1"/>
  <c r="CK1082" i="1" s="1"/>
  <c r="BL531" i="1"/>
  <c r="CK531" i="1" s="1"/>
  <c r="CI270" i="1"/>
  <c r="CU270" i="1" s="1"/>
  <c r="CW270" i="1" s="1"/>
  <c r="BL270" i="1"/>
  <c r="CK270" i="1" s="1"/>
  <c r="BL634" i="1"/>
  <c r="CK634" i="1" s="1"/>
  <c r="BL989" i="1"/>
  <c r="CK989" i="1" s="1"/>
  <c r="BL1046" i="1"/>
  <c r="CK1046" i="1" s="1"/>
  <c r="BL984" i="1"/>
  <c r="CK984" i="1" s="1"/>
  <c r="BL1234" i="1"/>
  <c r="CK1234" i="1" s="1"/>
  <c r="BL1085" i="1"/>
  <c r="CK1085" i="1" s="1"/>
  <c r="BL571" i="1"/>
  <c r="CK571" i="1" s="1"/>
  <c r="BL1522" i="1"/>
  <c r="CK1522" i="1" s="1"/>
  <c r="BL895" i="1"/>
  <c r="CK895" i="1" s="1"/>
  <c r="BL526" i="1"/>
  <c r="CK526" i="1" s="1"/>
  <c r="BL777" i="1"/>
  <c r="CK777" i="1" s="1"/>
  <c r="BL814" i="1"/>
  <c r="CK814" i="1" s="1"/>
  <c r="BL1211" i="1"/>
  <c r="CK1211" i="1" s="1"/>
  <c r="BL828" i="1"/>
  <c r="CK828" i="1" s="1"/>
  <c r="BL942" i="1"/>
  <c r="CK942" i="1" s="1"/>
  <c r="BL542" i="1"/>
  <c r="CK542" i="1" s="1"/>
  <c r="BL1111" i="1"/>
  <c r="CK1111" i="1" s="1"/>
  <c r="BL1050" i="1"/>
  <c r="CK1050" i="1" s="1"/>
  <c r="BL676" i="1"/>
  <c r="CK676" i="1" s="1"/>
  <c r="BL548" i="1"/>
  <c r="CK548" i="1" s="1"/>
  <c r="BL539" i="1"/>
  <c r="CK539" i="1" s="1"/>
  <c r="BL973" i="1"/>
  <c r="CK973" i="1" s="1"/>
  <c r="BL1229" i="1"/>
  <c r="CK1229" i="1" s="1"/>
  <c r="BL1112" i="1"/>
  <c r="CK1112" i="1" s="1"/>
  <c r="BL555" i="1"/>
  <c r="CK555" i="1" s="1"/>
  <c r="BL1130" i="1"/>
  <c r="CK1130" i="1" s="1"/>
  <c r="BL818" i="1"/>
  <c r="CK818" i="1" s="1"/>
  <c r="BL1194" i="1"/>
  <c r="CK1194" i="1" s="1"/>
  <c r="BL791" i="1"/>
  <c r="CK791" i="1" s="1"/>
  <c r="BL792" i="1"/>
  <c r="CK792" i="1" s="1"/>
  <c r="BL1410" i="1"/>
  <c r="CK1410" i="1" s="1"/>
  <c r="BL1456" i="1"/>
  <c r="CK1456" i="1" s="1"/>
  <c r="BL635" i="1"/>
  <c r="CK635" i="1" s="1"/>
  <c r="BL617" i="1"/>
  <c r="CK617" i="1" s="1"/>
  <c r="BL1273" i="1"/>
  <c r="CK1273" i="1" s="1"/>
  <c r="BL1153" i="1"/>
  <c r="CK1153" i="1" s="1"/>
  <c r="BL967" i="1"/>
  <c r="CK967" i="1" s="1"/>
  <c r="BL969" i="1"/>
  <c r="CK969" i="1" s="1"/>
  <c r="BL968" i="1"/>
  <c r="CK968" i="1" s="1"/>
  <c r="BL1181" i="1"/>
  <c r="CK1181" i="1" s="1"/>
  <c r="BL1319" i="1"/>
  <c r="CK1319" i="1" s="1"/>
  <c r="BL632" i="1"/>
  <c r="CK632" i="1" s="1"/>
  <c r="BL722" i="1"/>
  <c r="CK722" i="1" s="1"/>
  <c r="BL610" i="1"/>
  <c r="CK610" i="1" s="1"/>
  <c r="BL1552" i="1"/>
  <c r="CK1552" i="1" s="1"/>
  <c r="BL711" i="1"/>
  <c r="CK711" i="1" s="1"/>
  <c r="BL917" i="1"/>
  <c r="CK917" i="1" s="1"/>
  <c r="BL1438" i="1"/>
  <c r="CK1438" i="1" s="1"/>
  <c r="BL1423" i="1"/>
  <c r="CK1423" i="1" s="1"/>
  <c r="BL1261" i="1"/>
  <c r="CK1261" i="1" s="1"/>
  <c r="BL943" i="1"/>
  <c r="CK943" i="1" s="1"/>
  <c r="BL808" i="1"/>
  <c r="CK808" i="1" s="1"/>
  <c r="BL1205" i="1"/>
  <c r="CK1205" i="1" s="1"/>
  <c r="BL550" i="1"/>
  <c r="CK550" i="1" s="1"/>
  <c r="BL1124" i="1"/>
  <c r="CK1124" i="1" s="1"/>
  <c r="BL1201" i="1"/>
  <c r="CK1201" i="1" s="1"/>
  <c r="BL1393" i="1"/>
  <c r="CK1393" i="1" s="1"/>
  <c r="BL1070" i="1"/>
  <c r="CK1070" i="1" s="1"/>
  <c r="BL1533" i="1"/>
  <c r="CK1533" i="1" s="1"/>
  <c r="BL1030" i="1"/>
  <c r="CK1030" i="1" s="1"/>
  <c r="BL1531" i="1"/>
  <c r="CK1531" i="1" s="1"/>
  <c r="BL1014" i="1"/>
  <c r="CK1014" i="1" s="1"/>
  <c r="BL939" i="1"/>
  <c r="CK939" i="1" s="1"/>
  <c r="BL713" i="1"/>
  <c r="CK713" i="1" s="1"/>
  <c r="BL650" i="1"/>
  <c r="CK650" i="1" s="1"/>
  <c r="BL936" i="1"/>
  <c r="CK936" i="1" s="1"/>
  <c r="BL1219" i="1"/>
  <c r="CK1219" i="1" s="1"/>
  <c r="BL1075" i="1"/>
  <c r="CK1075" i="1" s="1"/>
  <c r="BL958" i="1"/>
  <c r="CK958" i="1" s="1"/>
  <c r="BL1367" i="1"/>
  <c r="CK1367" i="1" s="1"/>
  <c r="BL622" i="1"/>
  <c r="CK622" i="1" s="1"/>
  <c r="BL1414" i="1"/>
  <c r="CK1414" i="1" s="1"/>
  <c r="BL732" i="1"/>
  <c r="CK732" i="1" s="1"/>
  <c r="BL1106" i="1"/>
  <c r="CK1106" i="1" s="1"/>
  <c r="BL992" i="1"/>
  <c r="CK992" i="1" s="1"/>
  <c r="BL602" i="1"/>
  <c r="CK602" i="1" s="1"/>
  <c r="BL540" i="1"/>
  <c r="CK540" i="1" s="1"/>
  <c r="BL553" i="1"/>
  <c r="CK553" i="1" s="1"/>
  <c r="BL985" i="1"/>
  <c r="CK985" i="1" s="1"/>
  <c r="BL856" i="1"/>
  <c r="CK856" i="1" s="1"/>
  <c r="BL1107" i="1"/>
  <c r="CK1107" i="1" s="1"/>
  <c r="BL1560" i="1"/>
  <c r="CK1560" i="1" s="1"/>
  <c r="BL912" i="1"/>
  <c r="CK912" i="1" s="1"/>
  <c r="BL889" i="1"/>
  <c r="CK889" i="1" s="1"/>
  <c r="BL1095" i="1"/>
  <c r="CK1095" i="1" s="1"/>
  <c r="BL563" i="1"/>
  <c r="CK563" i="1" s="1"/>
  <c r="BL858" i="1"/>
  <c r="CK858" i="1" s="1"/>
  <c r="BL513" i="1"/>
  <c r="CK513" i="1" s="1"/>
  <c r="BL1338" i="1"/>
  <c r="CK1338" i="1" s="1"/>
  <c r="BL1156" i="1"/>
  <c r="CK1156" i="1" s="1"/>
  <c r="BL1313" i="1"/>
  <c r="CK1313" i="1" s="1"/>
  <c r="BL1207" i="1"/>
  <c r="CK1207" i="1" s="1"/>
  <c r="BL1322" i="1"/>
  <c r="CK1322" i="1" s="1"/>
  <c r="BL932" i="1"/>
  <c r="CK932" i="1" s="1"/>
  <c r="BL833" i="1"/>
  <c r="CK833" i="1" s="1"/>
  <c r="BL1368" i="1"/>
  <c r="CK1368" i="1" s="1"/>
  <c r="BL1209" i="1"/>
  <c r="CK1209" i="1" s="1"/>
  <c r="BL1253" i="1"/>
  <c r="CK1253" i="1" s="1"/>
  <c r="BL726" i="1"/>
  <c r="CK726" i="1" s="1"/>
  <c r="BL1573" i="1"/>
  <c r="CK1573" i="1" s="1"/>
  <c r="BL1182" i="1"/>
  <c r="CK1182" i="1" s="1"/>
  <c r="BL1024" i="1"/>
  <c r="CK1024" i="1" s="1"/>
  <c r="BL915" i="1"/>
  <c r="CK915" i="1" s="1"/>
  <c r="BL1176" i="1"/>
  <c r="CK1176" i="1" s="1"/>
  <c r="BL590" i="1"/>
  <c r="CK590" i="1" s="1"/>
  <c r="BL1139" i="1"/>
  <c r="CK1139" i="1" s="1"/>
  <c r="BL518" i="1"/>
  <c r="CK518" i="1" s="1"/>
  <c r="BL1013" i="1"/>
  <c r="CK1013" i="1" s="1"/>
  <c r="BL811" i="1"/>
  <c r="CK811" i="1" s="1"/>
  <c r="BL1383" i="1"/>
  <c r="CK1383" i="1" s="1"/>
  <c r="BL806" i="1"/>
  <c r="CK806" i="1" s="1"/>
  <c r="BL807" i="1"/>
  <c r="CK807" i="1" s="1"/>
  <c r="BL890" i="1"/>
  <c r="CK890" i="1" s="1"/>
  <c r="BL781" i="1"/>
  <c r="CK781" i="1" s="1"/>
  <c r="BL1508" i="1"/>
  <c r="CK1508" i="1" s="1"/>
  <c r="BL935" i="1"/>
  <c r="CK935" i="1" s="1"/>
  <c r="BL768" i="1"/>
  <c r="CK768" i="1" s="1"/>
  <c r="BL1094" i="1"/>
  <c r="CK1094" i="1" s="1"/>
  <c r="BL822" i="1"/>
  <c r="CK822" i="1" s="1"/>
  <c r="BL519" i="1"/>
  <c r="CK519" i="1" s="1"/>
  <c r="BL1545" i="1"/>
  <c r="CK1545" i="1" s="1"/>
  <c r="BL562" i="1"/>
  <c r="CK562" i="1" s="1"/>
  <c r="BL729" i="1"/>
  <c r="CK729" i="1" s="1"/>
  <c r="BL745" i="1"/>
  <c r="CK745" i="1" s="1"/>
  <c r="BL1598" i="1"/>
  <c r="CK1598" i="1" s="1"/>
  <c r="BL804" i="1"/>
  <c r="CK804" i="1" s="1"/>
  <c r="BL1548" i="1"/>
  <c r="CK1548" i="1" s="1"/>
  <c r="BL727" i="1"/>
  <c r="CK727" i="1" s="1"/>
  <c r="BL702" i="1"/>
  <c r="CK702" i="1" s="1"/>
  <c r="BL1374" i="1"/>
  <c r="CK1374" i="1" s="1"/>
  <c r="BL923" i="1"/>
  <c r="CK923" i="1" s="1"/>
  <c r="BL921" i="1"/>
  <c r="CK921" i="1" s="1"/>
  <c r="BL1133" i="1"/>
  <c r="CK1133" i="1" s="1"/>
  <c r="BL953" i="1"/>
  <c r="CK953" i="1" s="1"/>
  <c r="BL1360" i="1"/>
  <c r="CK1360" i="1" s="1"/>
  <c r="BL584" i="1"/>
  <c r="CK584" i="1" s="1"/>
  <c r="BL907" i="1"/>
  <c r="CK907" i="1" s="1"/>
  <c r="BL910" i="1"/>
  <c r="CK910" i="1" s="1"/>
  <c r="BL775" i="1"/>
  <c r="CK775" i="1" s="1"/>
  <c r="BL909" i="1"/>
  <c r="CK909" i="1" s="1"/>
  <c r="BL951" i="1"/>
  <c r="CK951" i="1" s="1"/>
  <c r="BL641" i="1"/>
  <c r="CK641" i="1" s="1"/>
  <c r="BL1035" i="1"/>
  <c r="CK1035" i="1" s="1"/>
  <c r="BL714" i="1"/>
  <c r="CK714" i="1" s="1"/>
  <c r="BL601" i="1"/>
  <c r="CK601" i="1" s="1"/>
  <c r="BL533" i="1"/>
  <c r="CK533" i="1" s="1"/>
  <c r="BL1231" i="1"/>
  <c r="CK1231" i="1" s="1"/>
  <c r="BL947" i="1"/>
  <c r="CK947" i="1" s="1"/>
  <c r="BL1267" i="1"/>
  <c r="CK1267" i="1" s="1"/>
  <c r="BL764" i="1"/>
  <c r="CK764" i="1" s="1"/>
  <c r="BL704" i="1"/>
  <c r="CK704" i="1" s="1"/>
  <c r="BL884" i="1"/>
  <c r="CK884" i="1" s="1"/>
  <c r="BL1091" i="1"/>
  <c r="CK1091" i="1" s="1"/>
  <c r="BL767" i="1"/>
  <c r="CK767" i="1" s="1"/>
  <c r="BL1138" i="1"/>
  <c r="CK1138" i="1" s="1"/>
  <c r="BL1268" i="1"/>
  <c r="CK1268" i="1" s="1"/>
  <c r="BL1559" i="1"/>
  <c r="CK1559" i="1" s="1"/>
  <c r="BL579" i="1"/>
  <c r="CK579" i="1" s="1"/>
  <c r="BL875" i="1"/>
  <c r="CK875" i="1" s="1"/>
  <c r="BL897" i="1"/>
  <c r="CK897" i="1" s="1"/>
  <c r="BL1123" i="1"/>
  <c r="CK1123" i="1" s="1"/>
  <c r="BL1022" i="1"/>
  <c r="CK1022" i="1" s="1"/>
  <c r="BL1354" i="1"/>
  <c r="CK1354" i="1" s="1"/>
  <c r="BL913" i="1"/>
  <c r="CK913" i="1" s="1"/>
  <c r="BL1254" i="1"/>
  <c r="CK1254" i="1" s="1"/>
  <c r="BL1052" i="1"/>
  <c r="CK1052" i="1" s="1"/>
  <c r="BL961" i="1"/>
  <c r="CK961" i="1" s="1"/>
  <c r="BL1554" i="1"/>
  <c r="CK1554" i="1" s="1"/>
  <c r="BL1061" i="1"/>
  <c r="CK1061" i="1" s="1"/>
  <c r="BL1146" i="1"/>
  <c r="CK1146" i="1" s="1"/>
  <c r="BL1572" i="1"/>
  <c r="CK1572" i="1" s="1"/>
  <c r="BL679" i="1"/>
  <c r="CK679" i="1" s="1"/>
  <c r="BL719" i="1"/>
  <c r="CK719" i="1" s="1"/>
  <c r="BL1143" i="1"/>
  <c r="CK1143" i="1" s="1"/>
  <c r="BL1136" i="1"/>
  <c r="CK1136" i="1" s="1"/>
  <c r="BL836" i="1"/>
  <c r="CK836" i="1" s="1"/>
  <c r="BL1137" i="1"/>
  <c r="CK1137" i="1" s="1"/>
  <c r="BL557" i="1"/>
  <c r="CK557" i="1" s="1"/>
  <c r="BL877" i="1"/>
  <c r="CK877" i="1" s="1"/>
  <c r="BL527" i="1"/>
  <c r="CK527" i="1" s="1"/>
  <c r="BL1059" i="1"/>
  <c r="CK1059" i="1" s="1"/>
  <c r="BL663" i="1"/>
  <c r="CK663" i="1" s="1"/>
  <c r="BL1126" i="1"/>
  <c r="CK1126" i="1" s="1"/>
  <c r="BL1034" i="1"/>
  <c r="CK1034" i="1" s="1"/>
  <c r="BL940" i="1"/>
  <c r="CK940" i="1" s="1"/>
  <c r="BL876" i="1"/>
  <c r="CK876" i="1" s="1"/>
  <c r="BL552" i="1"/>
  <c r="CK552" i="1" s="1"/>
  <c r="BL1230" i="1"/>
  <c r="CK1230" i="1" s="1"/>
  <c r="BL1065" i="1"/>
  <c r="CK1065" i="1" s="1"/>
  <c r="BL1168" i="1"/>
  <c r="CK1168" i="1" s="1"/>
  <c r="BL1251" i="1"/>
  <c r="CK1251" i="1" s="1"/>
  <c r="BL1595" i="1"/>
  <c r="CK1595" i="1" s="1"/>
  <c r="BL1417" i="1"/>
  <c r="CK1417" i="1" s="1"/>
  <c r="BL841" i="1"/>
  <c r="CK841" i="1" s="1"/>
  <c r="BL1033" i="1"/>
  <c r="CK1033" i="1" s="1"/>
  <c r="BL885" i="1"/>
  <c r="CK885" i="1" s="1"/>
  <c r="BL1045" i="1"/>
  <c r="CK1045" i="1" s="1"/>
  <c r="BL843" i="1"/>
  <c r="CK843" i="1" s="1"/>
  <c r="BL868" i="1"/>
  <c r="CK868" i="1" s="1"/>
  <c r="BL898" i="1"/>
  <c r="CK898" i="1" s="1"/>
  <c r="BL863" i="1"/>
  <c r="CK863" i="1" s="1"/>
  <c r="BL1090" i="1"/>
  <c r="CK1090" i="1" s="1"/>
  <c r="BL937" i="1"/>
  <c r="CK937" i="1" s="1"/>
  <c r="BL981" i="1"/>
  <c r="CK981" i="1" s="1"/>
  <c r="BL977" i="1"/>
  <c r="CK977" i="1" s="1"/>
  <c r="BL869" i="1"/>
  <c r="CK869" i="1" s="1"/>
  <c r="BL873" i="1"/>
  <c r="CK873" i="1" s="1"/>
  <c r="BL954" i="1"/>
  <c r="CK954" i="1" s="1"/>
  <c r="BL881" i="1"/>
  <c r="CK881" i="1" s="1"/>
  <c r="BL924" i="1"/>
  <c r="CK924" i="1" s="1"/>
  <c r="BL846" i="1"/>
  <c r="CK846" i="1" s="1"/>
  <c r="BL1017" i="1"/>
  <c r="CK1017" i="1" s="1"/>
  <c r="BL1557" i="1"/>
  <c r="CK1557" i="1" s="1"/>
  <c r="BL1057" i="1"/>
  <c r="CK1057" i="1" s="1"/>
  <c r="BL994" i="1"/>
  <c r="CK994" i="1" s="1"/>
  <c r="BL586" i="1"/>
  <c r="CK586" i="1" s="1"/>
  <c r="BL1096" i="1"/>
  <c r="CK1096" i="1" s="1"/>
  <c r="BL790" i="1"/>
  <c r="CK790" i="1" s="1"/>
  <c r="BL1160" i="1"/>
  <c r="CK1160" i="1" s="1"/>
  <c r="BL1266" i="1"/>
  <c r="CK1266" i="1" s="1"/>
  <c r="BL1227" i="1"/>
  <c r="CK1227" i="1" s="1"/>
  <c r="BL949" i="1"/>
  <c r="CK949" i="1" s="1"/>
  <c r="BL901" i="1"/>
  <c r="CK901" i="1" s="1"/>
  <c r="BL900" i="1"/>
  <c r="CK900" i="1" s="1"/>
  <c r="BL1132" i="1"/>
  <c r="CK1132" i="1" s="1"/>
  <c r="BL678" i="1"/>
  <c r="CK678" i="1" s="1"/>
  <c r="BL1018" i="1"/>
  <c r="CK1018" i="1" s="1"/>
  <c r="BL957" i="1"/>
  <c r="CK957" i="1" s="1"/>
  <c r="BL1039" i="1"/>
  <c r="CK1039" i="1" s="1"/>
  <c r="BL520" i="1"/>
  <c r="CK520" i="1" s="1"/>
  <c r="BL1031" i="1"/>
  <c r="CK1031" i="1" s="1"/>
  <c r="BL879" i="1"/>
  <c r="CK879" i="1" s="1"/>
  <c r="BL867" i="1"/>
  <c r="CK867" i="1" s="1"/>
  <c r="BL872" i="1"/>
  <c r="CK872" i="1" s="1"/>
  <c r="BL1043" i="1"/>
  <c r="CK1043" i="1" s="1"/>
  <c r="BL896" i="1"/>
  <c r="CK896" i="1" s="1"/>
  <c r="BL823" i="1"/>
  <c r="CK823" i="1" s="1"/>
  <c r="BL870" i="1"/>
  <c r="CK870" i="1" s="1"/>
  <c r="BL1238" i="1"/>
  <c r="CK1238" i="1" s="1"/>
  <c r="BL642" i="1"/>
  <c r="CK642" i="1" s="1"/>
  <c r="BL998" i="1"/>
  <c r="CK998" i="1" s="1"/>
  <c r="BL546" i="1"/>
  <c r="CK546" i="1" s="1"/>
  <c r="BL574" i="1"/>
  <c r="CK574" i="1" s="1"/>
  <c r="BL990" i="1"/>
  <c r="CK990" i="1" s="1"/>
  <c r="BL847" i="1"/>
  <c r="CK847" i="1" s="1"/>
  <c r="BL959" i="1"/>
  <c r="CK959" i="1" s="1"/>
  <c r="BL565" i="1"/>
  <c r="CK565" i="1" s="1"/>
  <c r="BL996" i="1"/>
  <c r="CK996" i="1" s="1"/>
  <c r="BL1308" i="1"/>
  <c r="CK1308" i="1" s="1"/>
  <c r="BL1523" i="1"/>
  <c r="CK1523" i="1" s="1"/>
  <c r="BL1537" i="1"/>
  <c r="CK1537" i="1" s="1"/>
  <c r="BL1332" i="1"/>
  <c r="CK1332" i="1" s="1"/>
  <c r="BL675" i="1"/>
  <c r="CK675" i="1" s="1"/>
  <c r="BL699" i="1"/>
  <c r="CK699" i="1" s="1"/>
  <c r="BL1454" i="1"/>
  <c r="BJ1454" i="1"/>
  <c r="CV1454" i="1" s="1"/>
  <c r="BJ1477" i="1"/>
  <c r="CK1477" i="1" s="1"/>
  <c r="BL1188" i="1"/>
  <c r="BJ1188" i="1"/>
  <c r="CV1188" i="1" s="1"/>
  <c r="BL1155" i="1"/>
  <c r="BJ1155" i="1"/>
  <c r="CV1155" i="1" s="1"/>
  <c r="BL928" i="1"/>
  <c r="BJ928" i="1"/>
  <c r="CV928" i="1" s="1"/>
  <c r="BL1320" i="1"/>
  <c r="BJ1320" i="1"/>
  <c r="CV1320" i="1" s="1"/>
  <c r="BL817" i="1"/>
  <c r="BJ817" i="1"/>
  <c r="CV817" i="1" s="1"/>
  <c r="BL1878" i="1"/>
  <c r="CK1878" i="1" s="1"/>
  <c r="BJ1878" i="1"/>
  <c r="CV1878" i="1" s="1"/>
  <c r="BL1244" i="1"/>
  <c r="CK1244" i="1" s="1"/>
  <c r="BL1895" i="1"/>
  <c r="CK1895" i="1" s="1"/>
  <c r="BL1615" i="1"/>
  <c r="CK1615" i="1" s="1"/>
  <c r="BL1637" i="1"/>
  <c r="CK1637" i="1" s="1"/>
  <c r="BL1875" i="1"/>
  <c r="CK1875" i="1" s="1"/>
  <c r="BL1908" i="1"/>
  <c r="CK1908" i="1" s="1"/>
  <c r="BL1786" i="1"/>
  <c r="CK1786" i="1" s="1"/>
  <c r="BL1633" i="1"/>
  <c r="CK1633" i="1" s="1"/>
  <c r="BL1787" i="1"/>
  <c r="CK1787" i="1" s="1"/>
  <c r="BL1945" i="1"/>
  <c r="CK1945" i="1" s="1"/>
  <c r="BL1642" i="1"/>
  <c r="CK1642" i="1" s="1"/>
  <c r="BL1670" i="1"/>
  <c r="CK1670" i="1" s="1"/>
  <c r="BL1936" i="1"/>
  <c r="CK1936" i="1" s="1"/>
  <c r="BL1929" i="1"/>
  <c r="CK1929" i="1" s="1"/>
  <c r="BL1855" i="1"/>
  <c r="CK1855" i="1" s="1"/>
  <c r="BL1923" i="1"/>
  <c r="BL1818" i="1"/>
  <c r="CK1818" i="1" s="1"/>
  <c r="BL1628" i="1"/>
  <c r="CK1628" i="1" s="1"/>
  <c r="BL1641" i="1"/>
  <c r="CK1641" i="1" s="1"/>
  <c r="BL1847" i="1"/>
  <c r="CK1847" i="1" s="1"/>
  <c r="BL1820" i="1"/>
  <c r="CK1820" i="1" s="1"/>
  <c r="BL1718" i="1"/>
  <c r="CK1718" i="1" s="1"/>
  <c r="BL1806" i="1"/>
  <c r="CK1806" i="1" s="1"/>
  <c r="BL1915" i="1"/>
  <c r="CK1915" i="1" s="1"/>
  <c r="BL1900" i="1"/>
  <c r="BL1380" i="1"/>
  <c r="CK1380" i="1" s="1"/>
  <c r="BL1503" i="1"/>
  <c r="CK1503" i="1" s="1"/>
  <c r="BL1496" i="1"/>
  <c r="CK1496" i="1" s="1"/>
  <c r="BL1191" i="1"/>
  <c r="CK1191" i="1" s="1"/>
  <c r="BL1546" i="1"/>
  <c r="CK1546" i="1" s="1"/>
  <c r="BL1398" i="1"/>
  <c r="CK1398" i="1" s="1"/>
  <c r="BL733" i="1"/>
  <c r="CK733" i="1" s="1"/>
  <c r="BL1463" i="1"/>
  <c r="CK1463" i="1" s="1"/>
  <c r="BL1439" i="1"/>
  <c r="CK1439" i="1" s="1"/>
  <c r="BL1377" i="1"/>
  <c r="CK1377" i="1" s="1"/>
  <c r="BL1388" i="1"/>
  <c r="CK1388" i="1" s="1"/>
  <c r="BL1527" i="1"/>
  <c r="CK1527" i="1" s="1"/>
  <c r="BL1475" i="1"/>
  <c r="CK1475" i="1" s="1"/>
  <c r="BL1270" i="1"/>
  <c r="CK1270" i="1" s="1"/>
  <c r="BL1525" i="1"/>
  <c r="CK1525" i="1" s="1"/>
  <c r="BL658" i="1"/>
  <c r="CK658" i="1" s="1"/>
  <c r="BL1364" i="1"/>
  <c r="CK1364" i="1" s="1"/>
  <c r="BL661" i="1"/>
  <c r="CK661" i="1" s="1"/>
  <c r="BL838" i="1"/>
  <c r="CK838" i="1" s="1"/>
  <c r="BL1041" i="1"/>
  <c r="CK1041" i="1" s="1"/>
  <c r="BL1420" i="1"/>
  <c r="CK1420" i="1" s="1"/>
  <c r="BL825" i="1"/>
  <c r="CK825" i="1" s="1"/>
  <c r="BL1489" i="1"/>
  <c r="CK1489" i="1" s="1"/>
  <c r="BL639" i="1"/>
  <c r="CK639" i="1" s="1"/>
  <c r="BL643" i="1"/>
  <c r="CK643" i="1" s="1"/>
  <c r="BL1445" i="1"/>
  <c r="CK1445" i="1" s="1"/>
  <c r="BL1493" i="1"/>
  <c r="CK1493" i="1" s="1"/>
  <c r="BL1390" i="1"/>
  <c r="CK1390" i="1" s="1"/>
  <c r="BL1491" i="1"/>
  <c r="CK1491" i="1" s="1"/>
  <c r="BL1333" i="1"/>
  <c r="CK1333" i="1" s="1"/>
  <c r="BL1004" i="1"/>
  <c r="CK1004" i="1" s="1"/>
  <c r="BL1357" i="1"/>
  <c r="CK1357" i="1" s="1"/>
  <c r="BL1078" i="1"/>
  <c r="CK1078" i="1" s="1"/>
  <c r="BL1340" i="1"/>
  <c r="CK1340" i="1" s="1"/>
  <c r="BL1282" i="1"/>
  <c r="CK1282" i="1" s="1"/>
  <c r="BL1195" i="1"/>
  <c r="CK1195" i="1" s="1"/>
  <c r="BL1498" i="1"/>
  <c r="CK1498" i="1" s="1"/>
  <c r="BL1350" i="1"/>
  <c r="CK1350" i="1" s="1"/>
  <c r="BL1325" i="1"/>
  <c r="CK1325" i="1" s="1"/>
  <c r="BL1212" i="1"/>
  <c r="CK1212" i="1" s="1"/>
  <c r="BL1044" i="1"/>
  <c r="CK1044" i="1" s="1"/>
  <c r="BL1113" i="1"/>
  <c r="CK1113" i="1" s="1"/>
  <c r="BL1555" i="1"/>
  <c r="CK1555" i="1" s="1"/>
  <c r="BL1371" i="1"/>
  <c r="CK1371" i="1" s="1"/>
  <c r="BL1097" i="1"/>
  <c r="CK1097" i="1" s="1"/>
  <c r="BL816" i="1"/>
  <c r="CK816" i="1" s="1"/>
  <c r="BL1520" i="1"/>
  <c r="CK1520" i="1" s="1"/>
  <c r="BL1327" i="1"/>
  <c r="CK1327" i="1" s="1"/>
  <c r="BL529" i="1"/>
  <c r="CK529" i="1" s="1"/>
  <c r="BL1345" i="1"/>
  <c r="CK1345" i="1" s="1"/>
  <c r="BL1215" i="1"/>
  <c r="CK1215" i="1" s="1"/>
  <c r="BL1306" i="1"/>
  <c r="CK1306" i="1" s="1"/>
  <c r="BL1280" i="1"/>
  <c r="CK1280" i="1" s="1"/>
  <c r="BL1066" i="1"/>
  <c r="CK1066" i="1" s="1"/>
  <c r="BL1224" i="1"/>
  <c r="CK1224" i="1" s="1"/>
  <c r="BL1288" i="1"/>
  <c r="CK1288" i="1" s="1"/>
  <c r="BL1424" i="1"/>
  <c r="CK1424" i="1" s="1"/>
  <c r="BL1316" i="1"/>
  <c r="CK1316" i="1" s="1"/>
  <c r="BL1292" i="1"/>
  <c r="CK1292" i="1" s="1"/>
  <c r="BL1263" i="1"/>
  <c r="CK1263" i="1" s="1"/>
  <c r="BL971" i="1"/>
  <c r="CK971" i="1" s="1"/>
  <c r="BL682" i="1"/>
  <c r="CK682" i="1" s="1"/>
  <c r="BL1311" i="1"/>
  <c r="CK1311" i="1" s="1"/>
  <c r="BL1169" i="1"/>
  <c r="CK1169" i="1" s="1"/>
  <c r="BL1296" i="1"/>
  <c r="CK1296" i="1" s="1"/>
  <c r="BL1400" i="1"/>
  <c r="CK1400" i="1" s="1"/>
  <c r="BL1466" i="1"/>
  <c r="CK1466" i="1" s="1"/>
  <c r="BL1550" i="1"/>
  <c r="CK1550" i="1" s="1"/>
  <c r="BL1335" i="1"/>
  <c r="CK1335" i="1" s="1"/>
  <c r="BL862" i="1"/>
  <c r="CK862" i="1" s="1"/>
  <c r="BL1299" i="1"/>
  <c r="CK1299" i="1" s="1"/>
  <c r="BL1291" i="1"/>
  <c r="CK1291" i="1" s="1"/>
  <c r="BL1047" i="1"/>
  <c r="CK1047" i="1" s="1"/>
  <c r="BL1197" i="1"/>
  <c r="CK1197" i="1" s="1"/>
  <c r="BL1515" i="1"/>
  <c r="CK1515" i="1" s="1"/>
  <c r="BL1375" i="1"/>
  <c r="CK1375" i="1" s="1"/>
  <c r="BL1369" i="1"/>
  <c r="CK1369" i="1" s="1"/>
  <c r="BL1518" i="1"/>
  <c r="CK1518" i="1" s="1"/>
  <c r="BL607" i="1"/>
  <c r="CK607" i="1" s="1"/>
  <c r="BL1511" i="1"/>
  <c r="CK1511" i="1" s="1"/>
  <c r="BL1435" i="1"/>
  <c r="CK1435" i="1" s="1"/>
  <c r="BL1433" i="1"/>
  <c r="CK1433" i="1" s="1"/>
  <c r="BL1431" i="1"/>
  <c r="CK1431" i="1" s="1"/>
  <c r="BL1465" i="1"/>
  <c r="CK1465" i="1" s="1"/>
  <c r="BL1485" i="1"/>
  <c r="CK1485" i="1" s="1"/>
  <c r="BL1427" i="1"/>
  <c r="CK1427" i="1" s="1"/>
  <c r="BL1386" i="1"/>
  <c r="CK1386" i="1" s="1"/>
  <c r="BL1459" i="1"/>
  <c r="CK1459" i="1" s="1"/>
  <c r="BL1329" i="1"/>
  <c r="CK1329" i="1" s="1"/>
  <c r="BL1535" i="1"/>
  <c r="CK1535" i="1" s="1"/>
  <c r="BL1415" i="1"/>
  <c r="CK1415" i="1" s="1"/>
  <c r="BL1222" i="1"/>
  <c r="CK1222" i="1" s="1"/>
  <c r="BL1461" i="1"/>
  <c r="CK1461" i="1" s="1"/>
  <c r="BL666" i="1"/>
  <c r="CK666" i="1" s="1"/>
  <c r="BL1321" i="1"/>
  <c r="CK1321" i="1" s="1"/>
  <c r="BL1235" i="1"/>
  <c r="CK1235" i="1" s="1"/>
  <c r="BL882" i="1"/>
  <c r="CK882" i="1" s="1"/>
  <c r="BL1301" i="1"/>
  <c r="CK1301" i="1" s="1"/>
  <c r="BL1343" i="1"/>
  <c r="CK1343" i="1" s="1"/>
  <c r="BL1309" i="1"/>
  <c r="CK1309" i="1" s="1"/>
  <c r="BL1458" i="1"/>
  <c r="CK1458" i="1" s="1"/>
  <c r="BL1395" i="1"/>
  <c r="CK1395" i="1" s="1"/>
  <c r="BL646" i="1"/>
  <c r="CK646" i="1" s="1"/>
  <c r="BL1157" i="1"/>
  <c r="CK1157" i="1" s="1"/>
  <c r="BL1108" i="1"/>
  <c r="CK1108" i="1" s="1"/>
  <c r="BL1100" i="1"/>
  <c r="CK1100" i="1" s="1"/>
  <c r="BL829" i="1"/>
  <c r="CK829" i="1" s="1"/>
  <c r="BL1063" i="1"/>
  <c r="CK1063" i="1" s="1"/>
  <c r="BL1473" i="1"/>
  <c r="CK1473" i="1" s="1"/>
  <c r="BL769" i="1"/>
  <c r="CK769" i="1" s="1"/>
  <c r="BL1379" i="1"/>
  <c r="CK1379" i="1" s="1"/>
  <c r="BL1073" i="1"/>
  <c r="CK1073" i="1" s="1"/>
  <c r="BL1084" i="1"/>
  <c r="CK1084" i="1" s="1"/>
  <c r="BL1521" i="1"/>
  <c r="CK1521" i="1" s="1"/>
  <c r="BL776" i="1"/>
  <c r="CK776" i="1" s="1"/>
  <c r="BL1025" i="1"/>
  <c r="CK1025" i="1" s="1"/>
  <c r="BL894" i="1"/>
  <c r="CK894" i="1" s="1"/>
  <c r="BL1184" i="1"/>
  <c r="CK1184" i="1" s="1"/>
  <c r="BL1210" i="1"/>
  <c r="CK1210" i="1" s="1"/>
  <c r="BL1129" i="1"/>
  <c r="CK1129" i="1" s="1"/>
  <c r="BL1193" i="1"/>
  <c r="CK1193" i="1" s="1"/>
  <c r="BL1409" i="1"/>
  <c r="CK1409" i="1" s="1"/>
  <c r="BL1455" i="1"/>
  <c r="CK1455" i="1" s="1"/>
  <c r="BL600" i="1"/>
  <c r="CK600" i="1" s="1"/>
  <c r="BL614" i="1"/>
  <c r="CK614" i="1" s="1"/>
  <c r="BL1180" i="1"/>
  <c r="CK1180" i="1" s="1"/>
  <c r="BL1318" i="1"/>
  <c r="CK1318" i="1" s="1"/>
  <c r="BL1117" i="1"/>
  <c r="CK1117" i="1" s="1"/>
  <c r="BL628" i="1"/>
  <c r="CK628" i="1" s="1"/>
  <c r="BL1551" i="1"/>
  <c r="CK1551" i="1" s="1"/>
  <c r="BL1202" i="1"/>
  <c r="CK1202" i="1" s="1"/>
  <c r="BL916" i="1"/>
  <c r="CK916" i="1" s="1"/>
  <c r="BL1437" i="1"/>
  <c r="CK1437" i="1" s="1"/>
  <c r="BL1422" i="1"/>
  <c r="CK1422" i="1" s="1"/>
  <c r="BL1451" i="1"/>
  <c r="CK1451" i="1" s="1"/>
  <c r="BL1407" i="1"/>
  <c r="CK1407" i="1" s="1"/>
  <c r="BL918" i="1"/>
  <c r="CK918" i="1" s="1"/>
  <c r="BL1239" i="1"/>
  <c r="CK1239" i="1" s="1"/>
  <c r="BL1200" i="1"/>
  <c r="CK1200" i="1" s="1"/>
  <c r="BL1392" i="1"/>
  <c r="CK1392" i="1" s="1"/>
  <c r="BL780" i="1"/>
  <c r="CK780" i="1" s="1"/>
  <c r="BL797" i="1"/>
  <c r="CK797" i="1" s="1"/>
  <c r="BL1218" i="1"/>
  <c r="CK1218" i="1" s="1"/>
  <c r="BL1105" i="1"/>
  <c r="CK1105" i="1" s="1"/>
  <c r="BL572" i="1"/>
  <c r="CK572" i="1" s="1"/>
  <c r="BL1337" i="1"/>
  <c r="CK1337" i="1" s="1"/>
  <c r="BL1443" i="1"/>
  <c r="CK1443" i="1" s="1"/>
  <c r="BL1206" i="1"/>
  <c r="CK1206" i="1" s="1"/>
  <c r="BL1208" i="1"/>
  <c r="CK1208" i="1" s="1"/>
  <c r="BL1252" i="1"/>
  <c r="CK1252" i="1" s="1"/>
  <c r="BL1163" i="1"/>
  <c r="CK1163" i="1" s="1"/>
  <c r="BL1012" i="1"/>
  <c r="CK1012" i="1" s="1"/>
  <c r="BL1382" i="1"/>
  <c r="CK1382" i="1" s="1"/>
  <c r="BL1507" i="1"/>
  <c r="CK1507" i="1" s="1"/>
  <c r="BL1356" i="1"/>
  <c r="CK1356" i="1" s="1"/>
  <c r="BL1172" i="1"/>
  <c r="CK1172" i="1" s="1"/>
  <c r="BL864" i="1"/>
  <c r="CK864" i="1" s="1"/>
  <c r="BL1638" i="1"/>
  <c r="CK1638" i="1" s="1"/>
  <c r="BL1904" i="1"/>
  <c r="CK1904" i="1" s="1"/>
  <c r="BL1835" i="1"/>
  <c r="CK1835" i="1" s="1"/>
  <c r="BL1903" i="1"/>
  <c r="CK1903" i="1" s="1"/>
  <c r="BL1891" i="1"/>
  <c r="CK1891" i="1" s="1"/>
  <c r="BL1784" i="1"/>
  <c r="CK1784" i="1" s="1"/>
  <c r="BL1833" i="1"/>
  <c r="CK1833" i="1" s="1"/>
  <c r="BL1832" i="1"/>
  <c r="CK1832" i="1" s="1"/>
  <c r="BL1942" i="1"/>
  <c r="CK1942" i="1" s="1"/>
  <c r="BL1761" i="1"/>
  <c r="CK1761" i="1" s="1"/>
  <c r="BL1943" i="1"/>
  <c r="CK1943" i="1" s="1"/>
  <c r="BL1480" i="1"/>
  <c r="CK1480" i="1" s="1"/>
  <c r="BL1549" i="1"/>
  <c r="CK1549" i="1" s="1"/>
  <c r="BL59" i="1"/>
  <c r="CK59" i="1" s="1"/>
  <c r="BL1565" i="1"/>
  <c r="CK1565" i="1" s="1"/>
  <c r="CI295" i="1"/>
  <c r="CU295" i="1" s="1"/>
  <c r="CW295" i="1" s="1"/>
  <c r="BL295" i="1"/>
  <c r="CK295" i="1" s="1"/>
  <c r="BL1610" i="1"/>
  <c r="CK1610" i="1" s="1"/>
  <c r="BL820" i="1"/>
  <c r="CK820" i="1" s="1"/>
  <c r="BL1534" i="1"/>
  <c r="CK1534" i="1" s="1"/>
  <c r="BL1381" i="1"/>
  <c r="CK1381" i="1" s="1"/>
  <c r="BL945" i="1"/>
  <c r="CK945" i="1" s="1"/>
  <c r="BL1214" i="1"/>
  <c r="CK1214" i="1" s="1"/>
  <c r="BL686" i="1"/>
  <c r="CK686" i="1" s="1"/>
  <c r="BL1599" i="1"/>
  <c r="CK1599" i="1" s="1"/>
  <c r="BL1011" i="1"/>
  <c r="CK1011" i="1" s="1"/>
  <c r="BL1571" i="1"/>
  <c r="CK1571" i="1" s="1"/>
  <c r="BL1305" i="1"/>
  <c r="CK1305" i="1" s="1"/>
  <c r="BL1513" i="1"/>
  <c r="CK1513" i="1" s="1"/>
  <c r="CI492" i="1"/>
  <c r="CU492" i="1" s="1"/>
  <c r="BL492" i="1"/>
  <c r="CK492" i="1" s="1"/>
  <c r="BL1010" i="1"/>
  <c r="CK1010" i="1" s="1"/>
  <c r="BL1547" i="1"/>
  <c r="CK1547" i="1" s="1"/>
  <c r="BL1588" i="1"/>
  <c r="CK1588" i="1" s="1"/>
  <c r="BL637" i="1"/>
  <c r="CK637" i="1" s="1"/>
  <c r="BL694" i="1"/>
  <c r="CK694" i="1" s="1"/>
  <c r="BL1000" i="1"/>
  <c r="CK1000" i="1" s="1"/>
  <c r="BL809" i="1"/>
  <c r="CK809" i="1" s="1"/>
  <c r="BL1564" i="1"/>
  <c r="CK1564" i="1" s="1"/>
  <c r="CI305" i="1"/>
  <c r="CU305" i="1" s="1"/>
  <c r="CW305" i="1" s="1"/>
  <c r="BL305" i="1"/>
  <c r="CK305" i="1" s="1"/>
  <c r="BL669" i="1"/>
  <c r="CK669" i="1" s="1"/>
  <c r="BL734" i="1"/>
  <c r="CK734" i="1" s="1"/>
  <c r="CI450" i="1"/>
  <c r="CU450" i="1" s="1"/>
  <c r="BL450" i="1"/>
  <c r="CK450" i="1" s="1"/>
  <c r="CI175" i="1"/>
  <c r="CU175" i="1" s="1"/>
  <c r="CW175" i="1" s="1"/>
  <c r="BL175" i="1"/>
  <c r="CK175" i="1" s="1"/>
  <c r="BL1058" i="1"/>
  <c r="CK1058" i="1" s="1"/>
  <c r="BL1056" i="1"/>
  <c r="CK1056" i="1" s="1"/>
  <c r="BL930" i="1"/>
  <c r="CK930" i="1" s="1"/>
  <c r="CI139" i="1"/>
  <c r="CU139" i="1" s="1"/>
  <c r="CW139" i="1" s="1"/>
  <c r="BL139" i="1"/>
  <c r="CK139" i="1" s="1"/>
  <c r="BL619" i="1"/>
  <c r="CK619" i="1" s="1"/>
  <c r="BL1331" i="1"/>
  <c r="CK1331" i="1" s="1"/>
  <c r="BL1476" i="1"/>
  <c r="CK1476" i="1" s="1"/>
  <c r="BL1088" i="1"/>
  <c r="CK1088" i="1" s="1"/>
  <c r="BL712" i="1"/>
  <c r="CK712" i="1" s="1"/>
  <c r="BL633" i="1"/>
  <c r="CK633" i="1" s="1"/>
  <c r="CI190" i="1"/>
  <c r="CU190" i="1" s="1"/>
  <c r="CW190" i="1" s="1"/>
  <c r="BL190" i="1"/>
  <c r="CK190" i="1" s="1"/>
  <c r="CI84" i="1"/>
  <c r="CU84" i="1" s="1"/>
  <c r="CW84" i="1" s="1"/>
  <c r="BL84" i="1"/>
  <c r="CK84" i="1" s="1"/>
  <c r="BL1272" i="1"/>
  <c r="CK1272" i="1" s="1"/>
  <c r="BL1526" i="1"/>
  <c r="CK1526" i="1" s="1"/>
  <c r="CI373" i="1"/>
  <c r="CU373" i="1" s="1"/>
  <c r="CW373" i="1" s="1"/>
  <c r="BL373" i="1"/>
  <c r="CK373" i="1" s="1"/>
  <c r="BL1187" i="1"/>
  <c r="CK1187" i="1" s="1"/>
  <c r="CI281" i="1"/>
  <c r="CU281" i="1" s="1"/>
  <c r="CW281" i="1" s="1"/>
  <c r="BL281" i="1"/>
  <c r="CK281" i="1" s="1"/>
  <c r="BL606" i="1"/>
  <c r="CK606" i="1" s="1"/>
  <c r="BL839" i="1"/>
  <c r="CK839" i="1" s="1"/>
  <c r="CI403" i="1"/>
  <c r="CU403" i="1" s="1"/>
  <c r="CW403" i="1" s="1"/>
  <c r="BL403" i="1"/>
  <c r="CK403" i="1" s="1"/>
  <c r="CI111" i="1"/>
  <c r="CU111" i="1" s="1"/>
  <c r="CW111" i="1" s="1"/>
  <c r="BL111" i="1"/>
  <c r="CK111" i="1" s="1"/>
  <c r="BL731" i="1"/>
  <c r="CK731" i="1" s="1"/>
  <c r="BL677" i="1"/>
  <c r="CK677" i="1" s="1"/>
  <c r="CI249" i="1"/>
  <c r="CU249" i="1" s="1"/>
  <c r="CW249" i="1" s="1"/>
  <c r="BL249" i="1"/>
  <c r="CK249" i="1" s="1"/>
  <c r="BL1071" i="1"/>
  <c r="CK1071" i="1" s="1"/>
  <c r="BL580" i="1"/>
  <c r="CK580" i="1" s="1"/>
  <c r="BL1093" i="1"/>
  <c r="CK1093" i="1" s="1"/>
  <c r="BL1062" i="1"/>
  <c r="CK1062" i="1" s="1"/>
  <c r="BL1604" i="1"/>
  <c r="CK1604" i="1" s="1"/>
  <c r="BL1576" i="1"/>
  <c r="CK1576" i="1" s="1"/>
  <c r="BL1255" i="1"/>
  <c r="CK1255" i="1" s="1"/>
  <c r="BL708" i="1"/>
  <c r="CK708" i="1" s="1"/>
  <c r="CI317" i="1"/>
  <c r="CU317" i="1" s="1"/>
  <c r="CW317" i="1" s="1"/>
  <c r="BL317" i="1"/>
  <c r="CK317" i="1" s="1"/>
  <c r="BL1042" i="1"/>
  <c r="CK1042" i="1" s="1"/>
  <c r="CI480" i="1"/>
  <c r="CU480" i="1" s="1"/>
  <c r="BL480" i="1"/>
  <c r="CK480" i="1" s="1"/>
  <c r="BL1303" i="1"/>
  <c r="CK1303" i="1" s="1"/>
  <c r="BL668" i="1"/>
  <c r="CK668" i="1" s="1"/>
  <c r="BL1442" i="1"/>
  <c r="CK1442" i="1" s="1"/>
  <c r="BL645" i="1"/>
  <c r="CK645" i="1" s="1"/>
  <c r="BL1446" i="1"/>
  <c r="CK1446" i="1" s="1"/>
  <c r="BL1016" i="1"/>
  <c r="CK1016" i="1" s="1"/>
  <c r="BL1391" i="1"/>
  <c r="CK1391" i="1" s="1"/>
  <c r="CI237" i="1"/>
  <c r="CU237" i="1" s="1"/>
  <c r="CW237" i="1" s="1"/>
  <c r="BL237" i="1"/>
  <c r="CK237" i="1" s="1"/>
  <c r="CI468" i="1"/>
  <c r="CU468" i="1" s="1"/>
  <c r="BL468" i="1"/>
  <c r="CK468" i="1" s="1"/>
  <c r="CI241" i="1"/>
  <c r="CU241" i="1" s="1"/>
  <c r="CW241" i="1" s="1"/>
  <c r="BL241" i="1"/>
  <c r="CK241" i="1" s="1"/>
  <c r="BL1405" i="1"/>
  <c r="CK1405" i="1" s="1"/>
  <c r="BL1366" i="1"/>
  <c r="CK1366" i="1" s="1"/>
  <c r="BL1196" i="1"/>
  <c r="CK1196" i="1" s="1"/>
  <c r="BL753" i="1"/>
  <c r="CK753" i="1" s="1"/>
  <c r="BL620" i="1"/>
  <c r="CK620" i="1" s="1"/>
  <c r="BL605" i="1"/>
  <c r="CK605" i="1" s="1"/>
  <c r="BL736" i="1"/>
  <c r="CK736" i="1" s="1"/>
  <c r="BL1430" i="1"/>
  <c r="CK1430" i="1" s="1"/>
  <c r="BL1324" i="1"/>
  <c r="CK1324" i="1" s="1"/>
  <c r="BL521" i="1"/>
  <c r="CK521" i="1" s="1"/>
  <c r="CI198" i="1"/>
  <c r="CU198" i="1" s="1"/>
  <c r="CW198" i="1" s="1"/>
  <c r="BL198" i="1"/>
  <c r="CK198" i="1" s="1"/>
  <c r="BL1258" i="1"/>
  <c r="CK1258" i="1" s="1"/>
  <c r="BL1384" i="1"/>
  <c r="CK1384" i="1" s="1"/>
  <c r="BL1352" i="1"/>
  <c r="CK1352" i="1" s="1"/>
  <c r="CI217" i="1"/>
  <c r="CU217" i="1" s="1"/>
  <c r="CW217" i="1" s="1"/>
  <c r="BL217" i="1"/>
  <c r="CK217" i="1" s="1"/>
  <c r="BL1483" i="1"/>
  <c r="CK1483" i="1" s="1"/>
  <c r="CI491" i="1"/>
  <c r="CU491" i="1" s="1"/>
  <c r="BL491" i="1"/>
  <c r="CK491" i="1" s="1"/>
  <c r="BL857" i="1"/>
  <c r="CK857" i="1" s="1"/>
  <c r="BL821" i="1"/>
  <c r="CK821" i="1" s="1"/>
  <c r="BL970" i="1"/>
  <c r="CK970" i="1" s="1"/>
  <c r="BL587" i="1"/>
  <c r="CK587" i="1" s="1"/>
  <c r="CI165" i="1"/>
  <c r="CU165" i="1" s="1"/>
  <c r="CW165" i="1" s="1"/>
  <c r="BL165" i="1"/>
  <c r="CK165" i="1" s="1"/>
  <c r="CI185" i="1"/>
  <c r="CU185" i="1" s="1"/>
  <c r="CW185" i="1" s="1"/>
  <c r="BL185" i="1"/>
  <c r="CK185" i="1" s="1"/>
  <c r="BL1116" i="1"/>
  <c r="CK1116" i="1" s="1"/>
  <c r="BL1148" i="1"/>
  <c r="CK1148" i="1" s="1"/>
  <c r="BL976" i="1"/>
  <c r="CK976" i="1" s="1"/>
  <c r="CI459" i="1"/>
  <c r="CU459" i="1" s="1"/>
  <c r="BL459" i="1"/>
  <c r="CK459" i="1" s="1"/>
  <c r="BL541" i="1"/>
  <c r="CK541" i="1" s="1"/>
  <c r="BL920" i="1"/>
  <c r="CK920" i="1" s="1"/>
  <c r="BL746" i="1"/>
  <c r="CK746" i="1" s="1"/>
  <c r="BL625" i="1"/>
  <c r="CK625" i="1" s="1"/>
  <c r="BL1328" i="1"/>
  <c r="CK1328" i="1" s="1"/>
  <c r="BL591" i="1"/>
  <c r="CK591" i="1" s="1"/>
  <c r="CI171" i="1"/>
  <c r="CU171" i="1" s="1"/>
  <c r="CW171" i="1" s="1"/>
  <c r="BL171" i="1"/>
  <c r="CK171" i="1" s="1"/>
  <c r="CI447" i="1"/>
  <c r="CU447" i="1" s="1"/>
  <c r="BL447" i="1"/>
  <c r="CK447" i="1" s="1"/>
  <c r="BL1054" i="1"/>
  <c r="CK1054" i="1" s="1"/>
  <c r="BL516" i="1"/>
  <c r="CK516" i="1" s="1"/>
  <c r="BL585" i="1"/>
  <c r="CK585" i="1" s="1"/>
  <c r="BL840" i="1"/>
  <c r="CK840" i="1" s="1"/>
  <c r="CI246" i="1"/>
  <c r="CU246" i="1" s="1"/>
  <c r="CW246" i="1" s="1"/>
  <c r="BL246" i="1"/>
  <c r="CK246" i="1" s="1"/>
  <c r="BL534" i="1"/>
  <c r="CK534" i="1" s="1"/>
  <c r="BL1346" i="1"/>
  <c r="CK1346" i="1" s="1"/>
  <c r="BL993" i="1"/>
  <c r="CK993" i="1" s="1"/>
  <c r="BL1247" i="1"/>
  <c r="CK1247" i="1" s="1"/>
  <c r="BL832" i="1"/>
  <c r="CK832" i="1" s="1"/>
  <c r="BL742" i="1"/>
  <c r="CK742" i="1" s="1"/>
  <c r="BL1036" i="1"/>
  <c r="CK1036" i="1" s="1"/>
  <c r="BL599" i="1"/>
  <c r="CK599" i="1" s="1"/>
  <c r="BL1077" i="1"/>
  <c r="CK1077" i="1" s="1"/>
  <c r="BL1406" i="1"/>
  <c r="CK1406" i="1" s="1"/>
  <c r="BL765" i="1"/>
  <c r="CK765" i="1" s="1"/>
  <c r="BL725" i="1"/>
  <c r="CK725" i="1" s="1"/>
  <c r="BL1103" i="1"/>
  <c r="CK1103" i="1" s="1"/>
  <c r="BL1597" i="1"/>
  <c r="CK1597" i="1" s="1"/>
  <c r="CI422" i="1"/>
  <c r="CU422" i="1" s="1"/>
  <c r="CW422" i="1" s="1"/>
  <c r="BL1589" i="1"/>
  <c r="CK1589" i="1" s="1"/>
  <c r="BL1566" i="1"/>
  <c r="CK1566" i="1" s="1"/>
  <c r="BL1448" i="1"/>
  <c r="CK1448" i="1" s="1"/>
  <c r="BL1049" i="1"/>
  <c r="CK1049" i="1" s="1"/>
  <c r="BL1092" i="1"/>
  <c r="CK1092" i="1" s="1"/>
  <c r="BL1281" i="1"/>
  <c r="CK1281" i="1" s="1"/>
  <c r="BL598" i="1"/>
  <c r="CK598" i="1" s="1"/>
  <c r="BL1225" i="1"/>
  <c r="CK1225" i="1" s="1"/>
  <c r="CI419" i="1"/>
  <c r="CU419" i="1" s="1"/>
  <c r="CW419" i="1" s="1"/>
  <c r="BL419" i="1"/>
  <c r="CK419" i="1" s="1"/>
  <c r="CI324" i="1"/>
  <c r="CU324" i="1" s="1"/>
  <c r="CW324" i="1" s="1"/>
  <c r="BL324" i="1"/>
  <c r="CK324" i="1" s="1"/>
  <c r="CI73" i="1"/>
  <c r="CU73" i="1" s="1"/>
  <c r="CW73" i="1" s="1"/>
  <c r="BL73" i="1"/>
  <c r="CK73" i="1" s="1"/>
  <c r="BL1002" i="1"/>
  <c r="CK1002" i="1" s="1"/>
  <c r="BL1385" i="1"/>
  <c r="CK1385" i="1" s="1"/>
  <c r="BL859" i="1"/>
  <c r="CK859" i="1" s="1"/>
  <c r="CI307" i="1"/>
  <c r="CU307" i="1" s="1"/>
  <c r="CW307" i="1" s="1"/>
  <c r="BL307" i="1"/>
  <c r="CK307" i="1" s="1"/>
  <c r="BL1072" i="1"/>
  <c r="CK1072" i="1" s="1"/>
  <c r="BL524" i="1"/>
  <c r="CK524" i="1" s="1"/>
  <c r="BL1312" i="1"/>
  <c r="CK1312" i="1" s="1"/>
  <c r="BL1297" i="1"/>
  <c r="CK1297" i="1" s="1"/>
  <c r="BL1175" i="1"/>
  <c r="CK1175" i="1" s="1"/>
  <c r="BL1401" i="1"/>
  <c r="CK1401" i="1" s="1"/>
  <c r="BL530" i="1"/>
  <c r="CK530" i="1" s="1"/>
  <c r="BL1226" i="1"/>
  <c r="CK1226" i="1" s="1"/>
  <c r="BL1019" i="1"/>
  <c r="CK1019" i="1" s="1"/>
  <c r="BL1037" i="1"/>
  <c r="CK1037" i="1" s="1"/>
  <c r="BL1198" i="1"/>
  <c r="CK1198" i="1" s="1"/>
  <c r="CI306" i="1"/>
  <c r="CU306" i="1" s="1"/>
  <c r="CW306" i="1" s="1"/>
  <c r="BL306" i="1"/>
  <c r="CK306" i="1" s="1"/>
  <c r="BL1408" i="1"/>
  <c r="CK1408" i="1" s="1"/>
  <c r="CI194" i="1"/>
  <c r="CU194" i="1" s="1"/>
  <c r="CW194" i="1" s="1"/>
  <c r="BL194" i="1"/>
  <c r="CK194" i="1" s="1"/>
  <c r="BL1441" i="1"/>
  <c r="CK1441" i="1" s="1"/>
  <c r="BL1363" i="1"/>
  <c r="CK1363" i="1" s="1"/>
  <c r="BL946" i="1"/>
  <c r="CK946" i="1" s="1"/>
  <c r="BL741" i="1"/>
  <c r="CK741" i="1" s="1"/>
  <c r="BL1370" i="1"/>
  <c r="CK1370" i="1" s="1"/>
  <c r="BL1536" i="1"/>
  <c r="CK1536" i="1" s="1"/>
  <c r="BL1512" i="1"/>
  <c r="CK1512" i="1" s="1"/>
  <c r="BL1432" i="1"/>
  <c r="CK1432" i="1" s="1"/>
  <c r="CI238" i="1"/>
  <c r="CU238" i="1" s="1"/>
  <c r="CW238" i="1" s="1"/>
  <c r="BL238" i="1"/>
  <c r="CK238" i="1" s="1"/>
  <c r="BL1060" i="1"/>
  <c r="CK1060" i="1" s="1"/>
  <c r="CI277" i="1"/>
  <c r="CU277" i="1" s="1"/>
  <c r="CW277" i="1" s="1"/>
  <c r="BL277" i="1"/>
  <c r="CK277" i="1" s="1"/>
  <c r="CI444" i="1"/>
  <c r="CU444" i="1" s="1"/>
  <c r="BL444" i="1"/>
  <c r="CK444" i="1" s="1"/>
  <c r="BL1387" i="1"/>
  <c r="CK1387" i="1" s="1"/>
  <c r="BL1429" i="1"/>
  <c r="CK1429" i="1" s="1"/>
  <c r="BL747" i="1"/>
  <c r="CK747" i="1" s="1"/>
  <c r="BL983" i="1"/>
  <c r="CK983" i="1" s="1"/>
  <c r="BL944" i="1"/>
  <c r="CK944" i="1" s="1"/>
  <c r="CI153" i="1"/>
  <c r="CU153" i="1" s="1"/>
  <c r="CW153" i="1" s="1"/>
  <c r="BL153" i="1"/>
  <c r="CK153" i="1" s="1"/>
  <c r="CI146" i="1"/>
  <c r="CU146" i="1" s="1"/>
  <c r="CW146" i="1" s="1"/>
  <c r="BL146" i="1"/>
  <c r="CK146" i="1" s="1"/>
  <c r="BL888" i="1"/>
  <c r="CK888" i="1" s="1"/>
  <c r="BL673" i="1"/>
  <c r="CK673" i="1" s="1"/>
  <c r="BL1460" i="1"/>
  <c r="CK1460" i="1" s="1"/>
  <c r="CI110" i="1"/>
  <c r="CU110" i="1" s="1"/>
  <c r="CW110" i="1" s="1"/>
  <c r="BL110" i="1"/>
  <c r="CK110" i="1" s="1"/>
  <c r="BL1412" i="1"/>
  <c r="CK1412" i="1" s="1"/>
  <c r="BL1447" i="1"/>
  <c r="CK1447" i="1" s="1"/>
  <c r="BL636" i="1"/>
  <c r="CK636" i="1" s="1"/>
  <c r="CI107" i="1"/>
  <c r="CU107" i="1" s="1"/>
  <c r="CW107" i="1" s="1"/>
  <c r="BL107" i="1"/>
  <c r="CK107" i="1" s="1"/>
  <c r="BL1450" i="1"/>
  <c r="CK1450" i="1" s="1"/>
  <c r="BL667" i="1"/>
  <c r="CK667" i="1" s="1"/>
  <c r="CI303" i="1"/>
  <c r="CU303" i="1" s="1"/>
  <c r="CW303" i="1" s="1"/>
  <c r="BL303" i="1"/>
  <c r="CK303" i="1" s="1"/>
  <c r="BL1449" i="1"/>
  <c r="CK1449" i="1" s="1"/>
  <c r="CI105" i="1"/>
  <c r="CU105" i="1" s="1"/>
  <c r="CW105" i="1" s="1"/>
  <c r="BL105" i="1"/>
  <c r="CK105" i="1" s="1"/>
  <c r="BL743" i="1"/>
  <c r="CK743" i="1" s="1"/>
  <c r="CI346" i="1"/>
  <c r="CU346" i="1" s="1"/>
  <c r="CW346" i="1" s="1"/>
  <c r="BL346" i="1"/>
  <c r="CK346" i="1" s="1"/>
  <c r="BL1419" i="1"/>
  <c r="CK1419" i="1" s="1"/>
  <c r="BL624" i="1"/>
  <c r="CK624" i="1" s="1"/>
  <c r="CI187" i="1"/>
  <c r="CU187" i="1" s="1"/>
  <c r="CW187" i="1" s="1"/>
  <c r="BL187" i="1"/>
  <c r="CK187" i="1" s="1"/>
  <c r="CI329" i="1"/>
  <c r="CU329" i="1" s="1"/>
  <c r="CW329" i="1" s="1"/>
  <c r="BL329" i="1"/>
  <c r="CK329" i="1" s="1"/>
  <c r="CI398" i="1"/>
  <c r="CU398" i="1" s="1"/>
  <c r="CW398" i="1" s="1"/>
  <c r="BL398" i="1"/>
  <c r="CK398" i="1" s="1"/>
  <c r="BL1501" i="1"/>
  <c r="CK1501" i="1" s="1"/>
  <c r="BL1500" i="1"/>
  <c r="CK1500" i="1" s="1"/>
  <c r="BL883" i="1"/>
  <c r="CK883" i="1" s="1"/>
  <c r="BL955" i="1"/>
  <c r="CK955" i="1" s="1"/>
  <c r="CI413" i="1"/>
  <c r="CU413" i="1" s="1"/>
  <c r="CW413" i="1" s="1"/>
  <c r="BL413" i="1"/>
  <c r="CK413" i="1" s="1"/>
  <c r="BL851" i="1"/>
  <c r="CK851" i="1" s="1"/>
  <c r="BL1344" i="1"/>
  <c r="CK1344" i="1" s="1"/>
  <c r="BL737" i="1"/>
  <c r="CK737" i="1" s="1"/>
  <c r="BL647" i="1"/>
  <c r="CK647" i="1" s="1"/>
  <c r="BL793" i="1"/>
  <c r="CK793" i="1" s="1"/>
  <c r="CI247" i="1"/>
  <c r="CU247" i="1" s="1"/>
  <c r="CW247" i="1" s="1"/>
  <c r="BL1570" i="1"/>
  <c r="CK1570" i="1" s="1"/>
  <c r="BL544" i="1"/>
  <c r="CK544" i="1" s="1"/>
  <c r="CI244" i="1"/>
  <c r="CU244" i="1" s="1"/>
  <c r="CW244" i="1" s="1"/>
  <c r="BL244" i="1"/>
  <c r="CK244" i="1" s="1"/>
  <c r="BL1347" i="1"/>
  <c r="CK1347" i="1" s="1"/>
  <c r="BL536" i="1"/>
  <c r="CK536" i="1" s="1"/>
  <c r="CI443" i="1"/>
  <c r="CU443" i="1" s="1"/>
  <c r="BL443" i="1"/>
  <c r="CK443" i="1" s="1"/>
  <c r="CI254" i="1"/>
  <c r="CU254" i="1" s="1"/>
  <c r="CW254" i="1" s="1"/>
  <c r="BL254" i="1"/>
  <c r="CK254" i="1" s="1"/>
  <c r="BL593" i="1"/>
  <c r="CK593" i="1" s="1"/>
  <c r="BL470" i="1"/>
  <c r="CK470" i="1" s="1"/>
  <c r="BL798" i="1"/>
  <c r="CK798" i="1" s="1"/>
  <c r="BL964" i="1"/>
  <c r="CK964" i="1" s="1"/>
  <c r="CI210" i="1"/>
  <c r="CU210" i="1" s="1"/>
  <c r="CW210" i="1" s="1"/>
  <c r="BL210" i="1"/>
  <c r="CK210" i="1" s="1"/>
  <c r="BL827" i="1"/>
  <c r="CK827" i="1" s="1"/>
  <c r="CI17" i="1"/>
  <c r="CU17" i="1" s="1"/>
  <c r="CW17" i="1" s="1"/>
  <c r="BL17" i="1"/>
  <c r="CK17" i="1" s="1"/>
  <c r="BL709" i="1"/>
  <c r="CK709" i="1" s="1"/>
  <c r="BL986" i="1"/>
  <c r="CK986" i="1" s="1"/>
  <c r="BL782" i="1"/>
  <c r="CK782" i="1" s="1"/>
  <c r="BL826" i="1"/>
  <c r="CK826" i="1" s="1"/>
  <c r="BL773" i="1"/>
  <c r="CK773" i="1" s="1"/>
  <c r="CI243" i="1"/>
  <c r="CU243" i="1" s="1"/>
  <c r="CW243" i="1" s="1"/>
  <c r="BL243" i="1"/>
  <c r="CK243" i="1" s="1"/>
  <c r="BL528" i="1"/>
  <c r="CK528" i="1" s="1"/>
  <c r="CI233" i="1"/>
  <c r="CU233" i="1" s="1"/>
  <c r="CW233" i="1" s="1"/>
  <c r="BL233" i="1"/>
  <c r="CK233" i="1" s="1"/>
  <c r="BL1026" i="1"/>
  <c r="CK1026" i="1" s="1"/>
  <c r="BL1185" i="1"/>
  <c r="CK1185" i="1" s="1"/>
  <c r="BL1250" i="1"/>
  <c r="CK1250" i="1" s="1"/>
  <c r="BL1068" i="1"/>
  <c r="CK1068" i="1" s="1"/>
  <c r="BL1171" i="1"/>
  <c r="CK1171" i="1" s="1"/>
  <c r="CI240" i="1"/>
  <c r="CU240" i="1" s="1"/>
  <c r="CW240" i="1" s="1"/>
  <c r="BL240" i="1"/>
  <c r="CK240" i="1" s="1"/>
  <c r="BL1173" i="1"/>
  <c r="CK1173" i="1" s="1"/>
  <c r="CI379" i="1"/>
  <c r="CU379" i="1" s="1"/>
  <c r="CW379" i="1" s="1"/>
  <c r="BL379" i="1"/>
  <c r="CK379" i="1" s="1"/>
  <c r="BL799" i="1"/>
  <c r="CK799" i="1" s="1"/>
  <c r="BL1122" i="1"/>
  <c r="CK1122" i="1" s="1"/>
  <c r="BL1119" i="1"/>
  <c r="CK1119" i="1" s="1"/>
  <c r="CI103" i="1"/>
  <c r="CU103" i="1" s="1"/>
  <c r="CW103" i="1" s="1"/>
  <c r="BL103" i="1"/>
  <c r="CK103" i="1" s="1"/>
  <c r="BL604" i="1"/>
  <c r="CK604" i="1" s="1"/>
  <c r="BL1402" i="1"/>
  <c r="CK1402" i="1" s="1"/>
  <c r="BL1265" i="1"/>
  <c r="CK1265" i="1" s="1"/>
  <c r="CI32" i="1"/>
  <c r="CU32" i="1" s="1"/>
  <c r="CW32" i="1" s="1"/>
  <c r="BL32" i="1"/>
  <c r="CK32" i="1" s="1"/>
  <c r="CI349" i="1"/>
  <c r="CU349" i="1" s="1"/>
  <c r="CW349" i="1" s="1"/>
  <c r="BL349" i="1"/>
  <c r="CK349" i="1" s="1"/>
  <c r="CI466" i="1"/>
  <c r="CU466" i="1" s="1"/>
  <c r="BL466" i="1"/>
  <c r="CK466" i="1" s="1"/>
  <c r="BL966" i="1"/>
  <c r="CK966" i="1" s="1"/>
  <c r="BL1118" i="1"/>
  <c r="CK1118" i="1" s="1"/>
  <c r="BL819" i="1"/>
  <c r="CK819" i="1" s="1"/>
  <c r="BL854" i="1"/>
  <c r="CK854" i="1" s="1"/>
  <c r="BL1121" i="1"/>
  <c r="CK1121" i="1" s="1"/>
  <c r="BL783" i="1"/>
  <c r="CK783" i="1" s="1"/>
  <c r="BL1290" i="1"/>
  <c r="CK1290" i="1" s="1"/>
  <c r="CI235" i="1"/>
  <c r="CU235" i="1" s="1"/>
  <c r="CW235" i="1" s="1"/>
  <c r="BL235" i="1"/>
  <c r="CK235" i="1" s="1"/>
  <c r="BL1203" i="1"/>
  <c r="CK1203" i="1" s="1"/>
  <c r="CI5" i="1"/>
  <c r="CU5" i="1" s="1"/>
  <c r="CW5" i="1" s="1"/>
  <c r="BL5" i="1"/>
  <c r="CK5" i="1" s="1"/>
  <c r="BL1149" i="1"/>
  <c r="CK1149" i="1" s="1"/>
  <c r="BL1469" i="1"/>
  <c r="CK1469" i="1" s="1"/>
  <c r="CI399" i="1"/>
  <c r="CU399" i="1" s="1"/>
  <c r="CW399" i="1" s="1"/>
  <c r="BL399" i="1"/>
  <c r="CK399" i="1" s="1"/>
  <c r="BL1452" i="1"/>
  <c r="CK1452" i="1" s="1"/>
  <c r="BL549" i="1"/>
  <c r="CK549" i="1" s="1"/>
  <c r="CI215" i="1"/>
  <c r="CU215" i="1" s="1"/>
  <c r="CW215" i="1" s="1"/>
  <c r="BL215" i="1"/>
  <c r="CK215" i="1" s="1"/>
  <c r="BL919" i="1"/>
  <c r="CK919" i="1" s="1"/>
  <c r="CI36" i="1"/>
  <c r="CU36" i="1" s="1"/>
  <c r="CW36" i="1" s="1"/>
  <c r="BL36" i="1"/>
  <c r="CK36" i="1" s="1"/>
  <c r="CI263" i="1"/>
  <c r="CU263" i="1" s="1"/>
  <c r="CW263" i="1" s="1"/>
  <c r="BL263" i="1"/>
  <c r="CK263" i="1" s="1"/>
  <c r="BL1240" i="1"/>
  <c r="CK1240" i="1" s="1"/>
  <c r="BL1006" i="1"/>
  <c r="CK1006" i="1" s="1"/>
  <c r="BL515" i="1"/>
  <c r="CK515" i="1" s="1"/>
  <c r="BL1186" i="1"/>
  <c r="CK1186" i="1" s="1"/>
  <c r="BL649" i="1"/>
  <c r="CK649" i="1" s="1"/>
  <c r="CI250" i="1"/>
  <c r="CU250" i="1" s="1"/>
  <c r="CW250" i="1" s="1"/>
  <c r="BL250" i="1"/>
  <c r="CK250" i="1" s="1"/>
  <c r="BL630" i="1"/>
  <c r="CK630" i="1" s="1"/>
  <c r="BL1190" i="1"/>
  <c r="CK1190" i="1" s="1"/>
  <c r="BL1298" i="1"/>
  <c r="CK1298" i="1" s="1"/>
  <c r="BL1102" i="1"/>
  <c r="CK1102" i="1" s="1"/>
  <c r="BL1540" i="1"/>
  <c r="CK1540" i="1" s="1"/>
  <c r="CI309" i="1"/>
  <c r="CU309" i="1" s="1"/>
  <c r="CW309" i="1" s="1"/>
  <c r="BL309" i="1"/>
  <c r="CK309" i="1" s="1"/>
  <c r="BL1245" i="1"/>
  <c r="CK1245" i="1" s="1"/>
  <c r="BL756" i="1"/>
  <c r="CK756" i="1" s="1"/>
  <c r="BL718" i="1"/>
  <c r="CK718" i="1" s="1"/>
  <c r="CI76" i="1"/>
  <c r="CU76" i="1" s="1"/>
  <c r="CW76" i="1" s="1"/>
  <c r="BL76" i="1"/>
  <c r="CK76" i="1" s="1"/>
  <c r="BL831" i="1"/>
  <c r="CK831" i="1" s="1"/>
  <c r="BL1361" i="1"/>
  <c r="CK1361" i="1" s="1"/>
  <c r="BL1505" i="1"/>
  <c r="CK1505" i="1" s="1"/>
  <c r="BL744" i="1"/>
  <c r="CK744" i="1" s="1"/>
  <c r="CI354" i="1"/>
  <c r="CU354" i="1" s="1"/>
  <c r="CW354" i="1" s="1"/>
  <c r="BL354" i="1"/>
  <c r="CK354" i="1" s="1"/>
  <c r="BL670" i="1"/>
  <c r="CK670" i="1" s="1"/>
  <c r="CI49" i="1"/>
  <c r="CU49" i="1" s="1"/>
  <c r="CW49" i="1" s="1"/>
  <c r="BL49" i="1"/>
  <c r="CK49" i="1" s="1"/>
  <c r="CI176" i="1"/>
  <c r="CU176" i="1" s="1"/>
  <c r="CW176" i="1" s="1"/>
  <c r="BL176" i="1"/>
  <c r="CK176" i="1" s="1"/>
  <c r="CI218" i="1"/>
  <c r="CU218" i="1" s="1"/>
  <c r="CW218" i="1" s="1"/>
  <c r="BL218" i="1"/>
  <c r="CK218" i="1" s="1"/>
  <c r="BL576" i="1"/>
  <c r="CK576" i="1" s="1"/>
  <c r="BL1524" i="1"/>
  <c r="CK1524" i="1" s="1"/>
  <c r="BL631" i="1"/>
  <c r="CK631" i="1" s="1"/>
  <c r="BL1021" i="1"/>
  <c r="CK1021" i="1" s="1"/>
  <c r="BL785" i="1"/>
  <c r="CK785" i="1" s="1"/>
  <c r="BL891" i="1"/>
  <c r="CK891" i="1" s="1"/>
  <c r="CI234" i="1"/>
  <c r="CU234" i="1" s="1"/>
  <c r="CW234" i="1" s="1"/>
  <c r="BL234" i="1"/>
  <c r="CK234" i="1" s="1"/>
  <c r="BL1502" i="1"/>
  <c r="CK1502" i="1" s="1"/>
  <c r="BL1120" i="1"/>
  <c r="CK1120" i="1" s="1"/>
  <c r="BL1256" i="1"/>
  <c r="CK1256" i="1" s="1"/>
  <c r="BL1315" i="1"/>
  <c r="CK1315" i="1" s="1"/>
  <c r="BL1164" i="1"/>
  <c r="CK1164" i="1" s="1"/>
  <c r="BL1342" i="1"/>
  <c r="CK1342" i="1" s="1"/>
  <c r="BL1199" i="1"/>
  <c r="CK1199" i="1" s="1"/>
  <c r="CI301" i="1"/>
  <c r="CU301" i="1" s="1"/>
  <c r="CW301" i="1" s="1"/>
  <c r="BL301" i="1"/>
  <c r="CK301" i="1" s="1"/>
  <c r="BL1506" i="1"/>
  <c r="CK1506" i="1" s="1"/>
  <c r="CI106" i="1"/>
  <c r="CU106" i="1" s="1"/>
  <c r="CW106" i="1" s="1"/>
  <c r="BL106" i="1"/>
  <c r="CK106" i="1" s="1"/>
  <c r="BL1355" i="1"/>
  <c r="CK1355" i="1" s="1"/>
  <c r="CI296" i="1"/>
  <c r="CU296" i="1" s="1"/>
  <c r="CW296" i="1" s="1"/>
  <c r="CI147" i="1"/>
  <c r="CU147" i="1" s="1"/>
  <c r="CW147" i="1" s="1"/>
  <c r="BL147" i="1"/>
  <c r="CK147" i="1" s="1"/>
  <c r="CI131" i="1"/>
  <c r="CU131" i="1" s="1"/>
  <c r="CW131" i="1" s="1"/>
  <c r="BL131" i="1"/>
  <c r="CK131" i="1" s="1"/>
  <c r="BL853" i="1"/>
  <c r="CK853" i="1" s="1"/>
  <c r="CI377" i="1"/>
  <c r="CU377" i="1" s="1"/>
  <c r="CW377" i="1" s="1"/>
  <c r="BL377" i="1"/>
  <c r="CK377" i="1" s="1"/>
  <c r="CI409" i="1"/>
  <c r="CU409" i="1" s="1"/>
  <c r="CW409" i="1" s="1"/>
  <c r="BL409" i="1"/>
  <c r="CK409" i="1" s="1"/>
  <c r="BL1581" i="1"/>
  <c r="CK1581" i="1" s="1"/>
  <c r="CI344" i="1"/>
  <c r="CU344" i="1" s="1"/>
  <c r="CW344" i="1" s="1"/>
  <c r="BL344" i="1"/>
  <c r="CK344" i="1" s="1"/>
  <c r="CI91" i="1"/>
  <c r="CU91" i="1" s="1"/>
  <c r="CW91" i="1" s="1"/>
  <c r="BL91" i="1"/>
  <c r="CK91" i="1" s="1"/>
  <c r="BL1602" i="1"/>
  <c r="CK1602" i="1" s="1"/>
  <c r="BL1286" i="1"/>
  <c r="CK1286" i="1" s="1"/>
  <c r="CI297" i="1"/>
  <c r="CU297" i="1" s="1"/>
  <c r="CW297" i="1" s="1"/>
  <c r="BL297" i="1"/>
  <c r="CK297" i="1" s="1"/>
  <c r="BL1243" i="1"/>
  <c r="CK1243" i="1" s="1"/>
  <c r="BL1125" i="1"/>
  <c r="CK1125" i="1" s="1"/>
  <c r="BL749" i="1"/>
  <c r="CK749" i="1" s="1"/>
  <c r="BL1532" i="1"/>
  <c r="CK1532" i="1" s="1"/>
  <c r="CI425" i="1"/>
  <c r="CU425" i="1" s="1"/>
  <c r="CW425" i="1" s="1"/>
  <c r="BL1609" i="1"/>
  <c r="CK1609" i="1" s="1"/>
  <c r="CI164" i="1"/>
  <c r="CU164" i="1" s="1"/>
  <c r="CW164" i="1" s="1"/>
  <c r="BL164" i="1"/>
  <c r="CK164" i="1" s="1"/>
  <c r="BL685" i="1"/>
  <c r="CK685" i="1" s="1"/>
  <c r="BL627" i="1"/>
  <c r="CK627" i="1" s="1"/>
  <c r="BL948" i="1"/>
  <c r="CK948" i="1" s="1"/>
  <c r="BL960" i="1"/>
  <c r="CK960" i="1" s="1"/>
  <c r="CI125" i="1"/>
  <c r="CU125" i="1" s="1"/>
  <c r="CW125" i="1" s="1"/>
  <c r="BL125" i="1"/>
  <c r="CK125" i="1" s="1"/>
  <c r="CI158" i="1"/>
  <c r="CU158" i="1" s="1"/>
  <c r="CW158" i="1" s="1"/>
  <c r="BL158" i="1"/>
  <c r="CK158" i="1" s="1"/>
  <c r="BL950" i="1"/>
  <c r="CK950" i="1" s="1"/>
  <c r="CI81" i="1"/>
  <c r="CU81" i="1" s="1"/>
  <c r="CW81" i="1" s="1"/>
  <c r="BL81" i="1"/>
  <c r="CK81" i="1" s="1"/>
  <c r="BL693" i="1"/>
  <c r="CK693" i="1" s="1"/>
  <c r="BL779" i="1"/>
  <c r="CK779" i="1" s="1"/>
  <c r="BL740" i="1"/>
  <c r="CK740" i="1" s="1"/>
  <c r="BL922" i="1"/>
  <c r="CK922" i="1" s="1"/>
  <c r="BL1165" i="1"/>
  <c r="CK1165" i="1" s="1"/>
  <c r="CI414" i="1"/>
  <c r="CU414" i="1" s="1"/>
  <c r="CW414" i="1" s="1"/>
  <c r="BL414" i="1"/>
  <c r="CK414" i="1" s="1"/>
  <c r="BL903" i="1"/>
  <c r="CK903" i="1" s="1"/>
  <c r="CI178" i="1"/>
  <c r="CU178" i="1" s="1"/>
  <c r="CW178" i="1" s="1"/>
  <c r="BL178" i="1"/>
  <c r="CK178" i="1" s="1"/>
  <c r="BL866" i="1"/>
  <c r="CK866" i="1" s="1"/>
  <c r="BL652" i="1"/>
  <c r="CK652" i="1" s="1"/>
  <c r="BL1569" i="1"/>
  <c r="CK1569" i="1" s="1"/>
  <c r="BL893" i="1"/>
  <c r="CK893" i="1" s="1"/>
  <c r="CI248" i="1"/>
  <c r="CU248" i="1" s="1"/>
  <c r="CW248" i="1" s="1"/>
  <c r="BL248" i="1"/>
  <c r="CK248" i="1" s="1"/>
  <c r="CI219" i="1"/>
  <c r="CU219" i="1" s="1"/>
  <c r="CW219" i="1" s="1"/>
  <c r="BL219" i="1"/>
  <c r="CK219" i="1" s="1"/>
  <c r="CI424" i="1"/>
  <c r="CU424" i="1" s="1"/>
  <c r="CW424" i="1" s="1"/>
  <c r="BL1269" i="1"/>
  <c r="CK1269" i="1" s="1"/>
  <c r="BL1278" i="1"/>
  <c r="CK1278" i="1" s="1"/>
  <c r="BL1023" i="1"/>
  <c r="CK1023" i="1" s="1"/>
  <c r="BL715" i="1"/>
  <c r="CK715" i="1" s="1"/>
  <c r="BL588" i="1"/>
  <c r="CK588" i="1" s="1"/>
  <c r="BL1150" i="1"/>
  <c r="CK1150" i="1" s="1"/>
  <c r="CI446" i="1"/>
  <c r="CU446" i="1" s="1"/>
  <c r="BL446" i="1"/>
  <c r="CK446" i="1" s="1"/>
  <c r="CI33" i="1"/>
  <c r="CU33" i="1" s="1"/>
  <c r="CW33" i="1" s="1"/>
  <c r="BL33" i="1"/>
  <c r="CK33" i="1" s="1"/>
  <c r="BL1577" i="1"/>
  <c r="CK1577" i="1" s="1"/>
  <c r="CI407" i="1"/>
  <c r="CU407" i="1" s="1"/>
  <c r="CW407" i="1" s="1"/>
  <c r="BL407" i="1"/>
  <c r="CK407" i="1" s="1"/>
  <c r="CI410" i="1"/>
  <c r="CU410" i="1" s="1"/>
  <c r="CW410" i="1" s="1"/>
  <c r="BL410" i="1"/>
  <c r="CK410" i="1" s="1"/>
  <c r="BL1562" i="1"/>
  <c r="CK1562" i="1" s="1"/>
  <c r="CI375" i="1"/>
  <c r="CU375" i="1" s="1"/>
  <c r="CW375" i="1" s="1"/>
  <c r="BL375" i="1"/>
  <c r="CK375" i="1" s="1"/>
  <c r="BL842" i="1"/>
  <c r="CK842" i="1" s="1"/>
  <c r="BL848" i="1"/>
  <c r="CK848" i="1" s="1"/>
  <c r="BL852" i="1"/>
  <c r="CK852" i="1" s="1"/>
  <c r="CI211" i="1"/>
  <c r="CU211" i="1" s="1"/>
  <c r="CW211" i="1" s="1"/>
  <c r="BL211" i="1"/>
  <c r="CK211" i="1" s="1"/>
  <c r="BL871" i="1"/>
  <c r="CK871" i="1" s="1"/>
  <c r="BL1131" i="1"/>
  <c r="CK1131" i="1" s="1"/>
  <c r="BL956" i="1"/>
  <c r="CK956" i="1" s="1"/>
  <c r="BL972" i="1"/>
  <c r="CK972" i="1" s="1"/>
  <c r="BL899" i="1"/>
  <c r="CK899" i="1" s="1"/>
  <c r="BL1029" i="1"/>
  <c r="CK1029" i="1" s="1"/>
  <c r="BL1089" i="1"/>
  <c r="CK1089" i="1" s="1"/>
  <c r="BL1279" i="1"/>
  <c r="CK1279" i="1" s="1"/>
  <c r="CI412" i="1"/>
  <c r="CU412" i="1" s="1"/>
  <c r="CW412" i="1" s="1"/>
  <c r="BL412" i="1"/>
  <c r="CK412" i="1" s="1"/>
  <c r="BL1127" i="1"/>
  <c r="CK1127" i="1" s="1"/>
  <c r="BL988" i="1"/>
  <c r="CK988" i="1" s="1"/>
  <c r="BL1612" i="1"/>
  <c r="CK1612" i="1" s="1"/>
  <c r="CI83" i="1"/>
  <c r="CU83" i="1" s="1"/>
  <c r="CW83" i="1" s="1"/>
  <c r="BL83" i="1"/>
  <c r="CK83" i="1" s="1"/>
  <c r="CI392" i="1"/>
  <c r="CU392" i="1" s="1"/>
  <c r="CW392" i="1" s="1"/>
  <c r="BL392" i="1"/>
  <c r="CK392" i="1" s="1"/>
  <c r="CI70" i="1"/>
  <c r="CU70" i="1" s="1"/>
  <c r="CW70" i="1" s="1"/>
  <c r="BL70" i="1"/>
  <c r="CK70" i="1" s="1"/>
  <c r="BL535" i="1"/>
  <c r="CK535" i="1" s="1"/>
  <c r="CI308" i="1"/>
  <c r="CU308" i="1" s="1"/>
  <c r="CW308" i="1" s="1"/>
  <c r="BL308" i="1"/>
  <c r="CK308" i="1" s="1"/>
  <c r="BL865" i="1"/>
  <c r="CK865" i="1" s="1"/>
  <c r="BL1032" i="1"/>
  <c r="CK1032" i="1" s="1"/>
  <c r="BL1241" i="1"/>
  <c r="CK1241" i="1" s="1"/>
  <c r="CI313" i="1"/>
  <c r="CU313" i="1" s="1"/>
  <c r="CW313" i="1" s="1"/>
  <c r="BL313" i="1"/>
  <c r="CK313" i="1" s="1"/>
  <c r="CI316" i="1"/>
  <c r="CU316" i="1" s="1"/>
  <c r="CW316" i="1" s="1"/>
  <c r="BL316" i="1"/>
  <c r="CK316" i="1" s="1"/>
  <c r="BL1142" i="1"/>
  <c r="CK1142" i="1" s="1"/>
  <c r="CI196" i="1"/>
  <c r="CU196" i="1" s="1"/>
  <c r="CW196" i="1" s="1"/>
  <c r="BL196" i="1"/>
  <c r="CK196" i="1" s="1"/>
  <c r="BL1295" i="1"/>
  <c r="CK1295" i="1" s="1"/>
  <c r="BL595" i="1"/>
  <c r="CK595" i="1" s="1"/>
  <c r="CI222" i="1"/>
  <c r="CU222" i="1" s="1"/>
  <c r="CW222" i="1" s="1"/>
  <c r="BL222" i="1"/>
  <c r="CK222" i="1" s="1"/>
  <c r="CI404" i="1"/>
  <c r="CU404" i="1" s="1"/>
  <c r="CW404" i="1" s="1"/>
  <c r="BL698" i="1"/>
  <c r="CK698" i="1" s="1"/>
  <c r="BL1001" i="1"/>
  <c r="CK1001" i="1" s="1"/>
  <c r="CI467" i="1"/>
  <c r="CU467" i="1" s="1"/>
  <c r="BL467" i="1"/>
  <c r="CK467" i="1" s="1"/>
  <c r="BL844" i="1"/>
  <c r="CK844" i="1" s="1"/>
  <c r="BL1553" i="1"/>
  <c r="CK1553" i="1" s="1"/>
  <c r="BL991" i="1"/>
  <c r="CK991" i="1" s="1"/>
  <c r="BL997" i="1"/>
  <c r="CK997" i="1" s="1"/>
  <c r="BL1495" i="1"/>
  <c r="CK1495" i="1" s="1"/>
  <c r="BL999" i="1"/>
  <c r="CK999" i="1" s="1"/>
  <c r="BL581" i="1"/>
  <c r="CK581" i="1" s="1"/>
  <c r="BL547" i="1"/>
  <c r="CK547" i="1" s="1"/>
  <c r="CI212" i="1"/>
  <c r="CU212" i="1" s="1"/>
  <c r="CW212" i="1" s="1"/>
  <c r="BL212" i="1"/>
  <c r="CK212" i="1" s="1"/>
  <c r="BL618" i="1"/>
  <c r="CK618" i="1" s="1"/>
  <c r="CI242" i="1"/>
  <c r="CU242" i="1" s="1"/>
  <c r="CW242" i="1" s="1"/>
  <c r="BL242" i="1"/>
  <c r="CK242" i="1" s="1"/>
  <c r="BL908" i="1"/>
  <c r="CK908" i="1" s="1"/>
  <c r="BL758" i="1"/>
  <c r="CK758" i="1" s="1"/>
  <c r="BL1294" i="1"/>
  <c r="CK1294" i="1" s="1"/>
  <c r="BL723" i="1"/>
  <c r="CK723" i="1" s="1"/>
  <c r="BL752" i="1"/>
  <c r="CK752" i="1" s="1"/>
  <c r="BL755" i="1"/>
  <c r="CK755" i="1" s="1"/>
  <c r="BL1179" i="1"/>
  <c r="CK1179" i="1" s="1"/>
  <c r="BL925" i="1"/>
  <c r="CK925" i="1" s="1"/>
  <c r="BL880" i="1"/>
  <c r="CK880" i="1" s="1"/>
  <c r="BL803" i="1"/>
  <c r="CK803" i="1" s="1"/>
  <c r="BL962" i="1"/>
  <c r="CK962" i="1" s="1"/>
  <c r="BL965" i="1"/>
  <c r="CK965" i="1" s="1"/>
  <c r="BL751" i="1"/>
  <c r="CK751" i="1" s="1"/>
  <c r="CI356" i="1"/>
  <c r="CU356" i="1" s="1"/>
  <c r="CW356" i="1" s="1"/>
  <c r="BL356" i="1"/>
  <c r="CK356" i="1" s="1"/>
  <c r="CI396" i="1"/>
  <c r="CU396" i="1" s="1"/>
  <c r="CW396" i="1" s="1"/>
  <c r="BL396" i="1"/>
  <c r="CK396" i="1" s="1"/>
  <c r="BL874" i="1"/>
  <c r="CK874" i="1" s="1"/>
  <c r="BL835" i="1"/>
  <c r="CK835" i="1" s="1"/>
  <c r="BL575" i="1"/>
  <c r="CK575" i="1" s="1"/>
  <c r="CI421" i="1"/>
  <c r="CU421" i="1" s="1"/>
  <c r="CW421" i="1" s="1"/>
  <c r="BL1470" i="1"/>
  <c r="CK1470" i="1" s="1"/>
  <c r="BL1563" i="1"/>
  <c r="CK1563" i="1" s="1"/>
  <c r="BL1530" i="1"/>
  <c r="CK1530" i="1" s="1"/>
  <c r="CI400" i="1"/>
  <c r="CU400" i="1" s="1"/>
  <c r="CW400" i="1" s="1"/>
  <c r="BL400" i="1"/>
  <c r="CK400" i="1" s="1"/>
  <c r="CI420" i="1"/>
  <c r="CU420" i="1" s="1"/>
  <c r="CW420" i="1" s="1"/>
  <c r="BL1015" i="1"/>
  <c r="CK1015" i="1" s="1"/>
  <c r="CI411" i="1"/>
  <c r="CU411" i="1" s="1"/>
  <c r="CW411" i="1" s="1"/>
  <c r="BL411" i="1"/>
  <c r="CK411" i="1" s="1"/>
  <c r="CI385" i="1"/>
  <c r="CU385" i="1" s="1"/>
  <c r="CW385" i="1" s="1"/>
  <c r="BL385" i="1"/>
  <c r="CK385" i="1" s="1"/>
  <c r="BL1260" i="1"/>
  <c r="CK1260" i="1" s="1"/>
  <c r="BL1584" i="1"/>
  <c r="CK1584" i="1" s="1"/>
  <c r="BL1596" i="1"/>
  <c r="CK1596" i="1" s="1"/>
  <c r="BL1592" i="1"/>
  <c r="CK1592" i="1" s="1"/>
  <c r="CI383" i="1"/>
  <c r="CU383" i="1" s="1"/>
  <c r="CW383" i="1" s="1"/>
  <c r="BL383" i="1"/>
  <c r="CK383" i="1" s="1"/>
  <c r="BL1579" i="1"/>
  <c r="CK1579" i="1" s="1"/>
  <c r="BL696" i="1"/>
  <c r="CK696" i="1" s="1"/>
  <c r="CI423" i="1"/>
  <c r="CU423" i="1" s="1"/>
  <c r="CW423" i="1" s="1"/>
  <c r="CI341" i="1"/>
  <c r="CU341" i="1" s="1"/>
  <c r="CW341" i="1" s="1"/>
  <c r="CI259" i="1"/>
  <c r="CU259" i="1" s="1"/>
  <c r="CW259" i="1" s="1"/>
  <c r="BL259" i="1"/>
  <c r="CI112" i="1"/>
  <c r="CU112" i="1" s="1"/>
  <c r="CW112" i="1" s="1"/>
  <c r="BL112" i="1"/>
  <c r="CI357" i="1"/>
  <c r="CU357" i="1" s="1"/>
  <c r="CW357" i="1" s="1"/>
  <c r="BL357" i="1"/>
  <c r="CI290" i="1"/>
  <c r="CU290" i="1" s="1"/>
  <c r="CW290" i="1" s="1"/>
  <c r="BL290" i="1"/>
  <c r="BL794" i="1"/>
  <c r="CK794" i="1" s="1"/>
  <c r="CI173" i="1"/>
  <c r="CU173" i="1" s="1"/>
  <c r="CW173" i="1" s="1"/>
  <c r="BL173" i="1"/>
  <c r="CI93" i="1"/>
  <c r="CU93" i="1" s="1"/>
  <c r="CW93" i="1" s="1"/>
  <c r="BL93" i="1"/>
  <c r="CI53" i="1"/>
  <c r="CU53" i="1" s="1"/>
  <c r="CW53" i="1" s="1"/>
  <c r="BL53" i="1"/>
  <c r="BL1411" i="1"/>
  <c r="CK1411" i="1" s="1"/>
  <c r="CI315" i="1"/>
  <c r="CU315" i="1" s="1"/>
  <c r="CW315" i="1" s="1"/>
  <c r="BL315" i="1"/>
  <c r="CI51" i="1"/>
  <c r="CU51" i="1" s="1"/>
  <c r="CW51" i="1" s="1"/>
  <c r="BL51" i="1"/>
  <c r="CI63" i="1"/>
  <c r="CU63" i="1" s="1"/>
  <c r="CW63" i="1" s="1"/>
  <c r="BL63" i="1"/>
  <c r="CI71" i="1"/>
  <c r="CU71" i="1" s="1"/>
  <c r="CW71" i="1" s="1"/>
  <c r="BL71" i="1"/>
  <c r="BQ90" i="1"/>
  <c r="BP90" i="1"/>
  <c r="BO90" i="1"/>
  <c r="BN90" i="1"/>
  <c r="BL90" i="1"/>
  <c r="CI1763" i="1"/>
  <c r="CU1763" i="1" s="1"/>
  <c r="BL1763" i="1"/>
  <c r="CI1837" i="1"/>
  <c r="CU1837" i="1" s="1"/>
  <c r="BL1837" i="1"/>
  <c r="CK1837" i="1" s="1"/>
  <c r="BL1510" i="1"/>
  <c r="CK1510" i="1" s="1"/>
  <c r="BJ1510" i="1"/>
  <c r="CV1510" i="1" s="1"/>
  <c r="BI1510" i="1"/>
  <c r="CI1935" i="1"/>
  <c r="CU1935" i="1" s="1"/>
  <c r="BL1935" i="1"/>
  <c r="CI1934" i="1"/>
  <c r="CU1934" i="1" s="1"/>
  <c r="BL1934" i="1"/>
  <c r="CI1933" i="1"/>
  <c r="CU1933" i="1" s="1"/>
  <c r="BL1933" i="1"/>
  <c r="CI1932" i="1"/>
  <c r="CI1930" i="1"/>
  <c r="CU1930" i="1" s="1"/>
  <c r="BL1930" i="1"/>
  <c r="CI1917" i="1"/>
  <c r="CU1917" i="1" s="1"/>
  <c r="BQ376" i="1"/>
  <c r="CI376" i="1" s="1"/>
  <c r="CU376" i="1" s="1"/>
  <c r="CW376" i="1" s="1"/>
  <c r="BL376" i="1"/>
  <c r="CK376" i="1" s="1"/>
  <c r="CI1893" i="1"/>
  <c r="CU1893" i="1" s="1"/>
  <c r="BL1893" i="1"/>
  <c r="CK1893" i="1" s="1"/>
  <c r="BQ505" i="1"/>
  <c r="CI505" i="1" s="1"/>
  <c r="CU505" i="1" s="1"/>
  <c r="CI1889" i="1"/>
  <c r="CU1889" i="1" s="1"/>
  <c r="BQ500" i="1"/>
  <c r="CI500" i="1" s="1"/>
  <c r="CU500" i="1" s="1"/>
  <c r="BL500" i="1"/>
  <c r="CK500" i="1" s="1"/>
  <c r="CI1871" i="1"/>
  <c r="CU1871" i="1" s="1"/>
  <c r="BL1871" i="1"/>
  <c r="CI2017" i="1"/>
  <c r="CI2014" i="1"/>
  <c r="CI2013" i="1"/>
  <c r="BQ2011" i="1"/>
  <c r="BO2011" i="1"/>
  <c r="CI1859" i="1"/>
  <c r="CU1859" i="1" s="1"/>
  <c r="BL1859" i="1"/>
  <c r="BQ448" i="1"/>
  <c r="BO448" i="1"/>
  <c r="BL448" i="1"/>
  <c r="CK448" i="1" s="1"/>
  <c r="CI1829" i="1"/>
  <c r="CU1829" i="1" s="1"/>
  <c r="BL1829" i="1"/>
  <c r="BQ508" i="1"/>
  <c r="CI508" i="1" s="1"/>
  <c r="CU508" i="1" s="1"/>
  <c r="BL508" i="1"/>
  <c r="CI1813" i="1"/>
  <c r="CU1813" i="1" s="1"/>
  <c r="BL1813" i="1"/>
  <c r="BQ478" i="1"/>
  <c r="BO478" i="1"/>
  <c r="BL478" i="1"/>
  <c r="BQ87" i="1"/>
  <c r="CI87" i="1" s="1"/>
  <c r="CU87" i="1" s="1"/>
  <c r="CW87" i="1" s="1"/>
  <c r="BL87" i="1"/>
  <c r="BQ502" i="1"/>
  <c r="BO502" i="1"/>
  <c r="BL502" i="1"/>
  <c r="BQ167" i="1"/>
  <c r="BO167" i="1"/>
  <c r="BL167" i="1"/>
  <c r="CI1746" i="1"/>
  <c r="CU1746" i="1" s="1"/>
  <c r="BL1746" i="1"/>
  <c r="CK1746" i="1" s="1"/>
  <c r="BQ503" i="1"/>
  <c r="CI503" i="1" s="1"/>
  <c r="CU503" i="1" s="1"/>
  <c r="BL503" i="1"/>
  <c r="BQ88" i="1"/>
  <c r="CI88" i="1" s="1"/>
  <c r="CU88" i="1" s="1"/>
  <c r="CW88" i="1" s="1"/>
  <c r="BL88" i="1"/>
  <c r="CI1680" i="1"/>
  <c r="CU1680" i="1" s="1"/>
  <c r="BL1680" i="1"/>
  <c r="CI1632" i="1"/>
  <c r="CU1632" i="1" s="1"/>
  <c r="BL1632" i="1"/>
  <c r="CI288" i="1"/>
  <c r="CU288" i="1" s="1"/>
  <c r="CW288" i="1" s="1"/>
  <c r="BL288" i="1"/>
  <c r="CK288" i="1" s="1"/>
  <c r="CI331" i="1"/>
  <c r="CU331" i="1" s="1"/>
  <c r="CW331" i="1" s="1"/>
  <c r="BL331" i="1"/>
  <c r="CK331" i="1" s="1"/>
  <c r="CI358" i="1"/>
  <c r="CU358" i="1" s="1"/>
  <c r="CW358" i="1" s="1"/>
  <c r="BL358" i="1"/>
  <c r="CK358" i="1" s="1"/>
  <c r="CI47" i="1"/>
  <c r="CU47" i="1" s="1"/>
  <c r="CW47" i="1" s="1"/>
  <c r="BL47" i="1"/>
  <c r="CK47" i="1" s="1"/>
  <c r="CI20" i="1"/>
  <c r="CU20" i="1" s="1"/>
  <c r="CW20" i="1" s="1"/>
  <c r="BL20" i="1"/>
  <c r="CK20" i="1" s="1"/>
  <c r="CI1782" i="1"/>
  <c r="CU1782" i="1" s="1"/>
  <c r="BL1782" i="1"/>
  <c r="CK1782" i="1" s="1"/>
  <c r="CI1618" i="1"/>
  <c r="CU1618" i="1" s="1"/>
  <c r="BL1618" i="1"/>
  <c r="CK1618" i="1" s="1"/>
  <c r="CI1688" i="1"/>
  <c r="CU1688" i="1" s="1"/>
  <c r="BL1688" i="1"/>
  <c r="CK1688" i="1" s="1"/>
  <c r="CI180" i="1"/>
  <c r="CU180" i="1" s="1"/>
  <c r="CW180" i="1" s="1"/>
  <c r="BL180" i="1"/>
  <c r="CK180" i="1" s="1"/>
  <c r="CI394" i="1"/>
  <c r="CU394" i="1" s="1"/>
  <c r="CW394" i="1" s="1"/>
  <c r="BL394" i="1"/>
  <c r="CK394" i="1" s="1"/>
  <c r="CI397" i="1"/>
  <c r="CU397" i="1" s="1"/>
  <c r="CW397" i="1" s="1"/>
  <c r="BL397" i="1"/>
  <c r="CK397" i="1" s="1"/>
  <c r="CI236" i="1"/>
  <c r="CU236" i="1" s="1"/>
  <c r="CW236" i="1" s="1"/>
  <c r="BL236" i="1"/>
  <c r="CK236" i="1" s="1"/>
  <c r="CI97" i="1"/>
  <c r="CU97" i="1" s="1"/>
  <c r="CW97" i="1" s="1"/>
  <c r="BL97" i="1"/>
  <c r="CK97" i="1" s="1"/>
  <c r="CI62" i="1"/>
  <c r="CU62" i="1" s="1"/>
  <c r="CW62" i="1" s="1"/>
  <c r="BL62" i="1"/>
  <c r="CK62" i="1" s="1"/>
  <c r="CI89" i="1"/>
  <c r="CU89" i="1" s="1"/>
  <c r="CW89" i="1" s="1"/>
  <c r="BL89" i="1"/>
  <c r="CK89" i="1" s="1"/>
  <c r="CI298" i="1"/>
  <c r="CU298" i="1" s="1"/>
  <c r="CW298" i="1" s="1"/>
  <c r="BL298" i="1"/>
  <c r="CK298" i="1" s="1"/>
  <c r="CI300" i="1"/>
  <c r="CU300" i="1" s="1"/>
  <c r="CW300" i="1" s="1"/>
  <c r="BL300" i="1"/>
  <c r="CK300" i="1" s="1"/>
  <c r="CI302" i="1"/>
  <c r="CU302" i="1" s="1"/>
  <c r="CW302" i="1" s="1"/>
  <c r="BL302" i="1"/>
  <c r="CK302" i="1" s="1"/>
  <c r="CI353" i="1"/>
  <c r="CU353" i="1" s="1"/>
  <c r="CW353" i="1" s="1"/>
  <c r="BL353" i="1"/>
  <c r="CK353" i="1" s="1"/>
  <c r="CI279" i="1"/>
  <c r="CU279" i="1" s="1"/>
  <c r="CW279" i="1" s="1"/>
  <c r="BL279" i="1"/>
  <c r="CK279" i="1" s="1"/>
  <c r="CI269" i="1"/>
  <c r="CU269" i="1" s="1"/>
  <c r="CW269" i="1" s="1"/>
  <c r="BL269" i="1"/>
  <c r="CK269" i="1" s="1"/>
  <c r="CI286" i="1"/>
  <c r="CU286" i="1" s="1"/>
  <c r="CW286" i="1" s="1"/>
  <c r="BL286" i="1"/>
  <c r="CK286" i="1" s="1"/>
  <c r="CI280" i="1"/>
  <c r="CU280" i="1" s="1"/>
  <c r="CW280" i="1" s="1"/>
  <c r="BL280" i="1"/>
  <c r="CK280" i="1" s="1"/>
  <c r="CI182" i="1"/>
  <c r="CU182" i="1" s="1"/>
  <c r="CW182" i="1" s="1"/>
  <c r="BL182" i="1"/>
  <c r="CK182" i="1" s="1"/>
  <c r="BR26" i="1"/>
  <c r="CI26" i="1" s="1"/>
  <c r="CU26" i="1" s="1"/>
  <c r="CW26" i="1" s="1"/>
  <c r="BL26" i="1"/>
  <c r="CK26" i="1" s="1"/>
  <c r="BR160" i="1"/>
  <c r="CI160" i="1" s="1"/>
  <c r="CU160" i="1" s="1"/>
  <c r="CW160" i="1" s="1"/>
  <c r="BL160" i="1"/>
  <c r="CK160" i="1" s="1"/>
  <c r="CI188" i="1"/>
  <c r="CU188" i="1" s="1"/>
  <c r="CW188" i="1" s="1"/>
  <c r="BL188" i="1"/>
  <c r="CI426" i="1"/>
  <c r="CU426" i="1" s="1"/>
  <c r="CW426" i="1" s="1"/>
  <c r="CI177" i="1"/>
  <c r="CU177" i="1" s="1"/>
  <c r="CW177" i="1" s="1"/>
  <c r="BL177" i="1"/>
  <c r="CK177" i="1" s="1"/>
  <c r="CI230" i="1"/>
  <c r="CU230" i="1" s="1"/>
  <c r="CW230" i="1" s="1"/>
  <c r="BL230" i="1"/>
  <c r="CK230" i="1" s="1"/>
  <c r="CI440" i="1"/>
  <c r="CU440" i="1" s="1"/>
  <c r="BL440" i="1"/>
  <c r="CK440" i="1" s="1"/>
  <c r="CI504" i="1"/>
  <c r="CU504" i="1" s="1"/>
  <c r="BL504" i="1"/>
  <c r="CK504" i="1" s="1"/>
  <c r="CI463" i="1"/>
  <c r="CI1661" i="1"/>
  <c r="CU1661" i="1" s="1"/>
  <c r="BL1661" i="1"/>
  <c r="CK1661" i="1" s="1"/>
  <c r="CI2012" i="1"/>
  <c r="CI52" i="1"/>
  <c r="CU52" i="1" s="1"/>
  <c r="CW52" i="1" s="1"/>
  <c r="BL52" i="1"/>
  <c r="CK52" i="1" s="1"/>
  <c r="CI497" i="1"/>
  <c r="CU497" i="1" s="1"/>
  <c r="BL497" i="1"/>
  <c r="CK497" i="1" s="1"/>
  <c r="CI496" i="1"/>
  <c r="CU496" i="1" s="1"/>
  <c r="BL496" i="1"/>
  <c r="CK496" i="1" s="1"/>
  <c r="CI261" i="1"/>
  <c r="CU261" i="1" s="1"/>
  <c r="CW261" i="1" s="1"/>
  <c r="BL261" i="1"/>
  <c r="CK261" i="1" s="1"/>
  <c r="CI1646" i="1"/>
  <c r="CU1646" i="1" s="1"/>
  <c r="BL1646" i="1"/>
  <c r="CI457" i="1"/>
  <c r="CU457" i="1" s="1"/>
  <c r="BL457" i="1"/>
  <c r="CK457" i="1" s="1"/>
  <c r="CI469" i="1"/>
  <c r="CU469" i="1" s="1"/>
  <c r="BL469" i="1"/>
  <c r="CK469" i="1" s="1"/>
  <c r="CI479" i="1"/>
  <c r="CU479" i="1" s="1"/>
  <c r="BL479" i="1"/>
  <c r="CK479" i="1" s="1"/>
  <c r="CI490" i="1"/>
  <c r="CU490" i="1" s="1"/>
  <c r="BL490" i="1"/>
  <c r="CK490" i="1" s="1"/>
  <c r="CI498" i="1"/>
  <c r="CU498" i="1" s="1"/>
  <c r="BL498" i="1"/>
  <c r="CK498" i="1" s="1"/>
  <c r="CI1946" i="1"/>
  <c r="CU1946" i="1" s="1"/>
  <c r="BL1946" i="1"/>
  <c r="CI1961" i="1"/>
  <c r="CU1961" i="1" s="1"/>
  <c r="BL1961" i="1"/>
  <c r="CI1994" i="1"/>
  <c r="CU1994" i="1" s="1"/>
  <c r="BL1994" i="1"/>
  <c r="CI1995" i="1"/>
  <c r="CU1995" i="1" s="1"/>
  <c r="BL1995" i="1"/>
  <c r="CI1883" i="1"/>
  <c r="CU1883" i="1" s="1"/>
  <c r="BL1883" i="1"/>
  <c r="CK1883" i="1" s="1"/>
  <c r="CI94" i="1"/>
  <c r="CU94" i="1" s="1"/>
  <c r="CW94" i="1" s="1"/>
  <c r="BL94" i="1"/>
  <c r="CK94" i="1" s="1"/>
  <c r="CI510" i="1"/>
  <c r="CU510" i="1" s="1"/>
  <c r="BL510" i="1"/>
  <c r="CI509" i="1"/>
  <c r="CU509" i="1" s="1"/>
  <c r="BL509" i="1"/>
  <c r="CI67" i="1"/>
  <c r="CU67" i="1" s="1"/>
  <c r="CW67" i="1" s="1"/>
  <c r="BL67" i="1"/>
  <c r="CK67" i="1" s="1"/>
  <c r="CI1622" i="1"/>
  <c r="CU1622" i="1" s="1"/>
  <c r="BL1622" i="1"/>
  <c r="CK1622" i="1" s="1"/>
  <c r="CI1888" i="1"/>
  <c r="CU1888" i="1" s="1"/>
  <c r="BL1888" i="1"/>
  <c r="CK1888" i="1" s="1"/>
  <c r="CI1857" i="1"/>
  <c r="CU1857" i="1" s="1"/>
  <c r="BL1857" i="1"/>
  <c r="CK1857" i="1" s="1"/>
  <c r="CI1865" i="1"/>
  <c r="CU1865" i="1" s="1"/>
  <c r="CI1772" i="1"/>
  <c r="CU1772" i="1" s="1"/>
  <c r="BL1772" i="1"/>
  <c r="CK1772" i="1" s="1"/>
  <c r="CI1840" i="1"/>
  <c r="CU1840" i="1" s="1"/>
  <c r="BL1840" i="1"/>
  <c r="CK1840" i="1" s="1"/>
  <c r="CI1614" i="1"/>
  <c r="CU1614" i="1" s="1"/>
  <c r="BL1614" i="1"/>
  <c r="CK1614" i="1" s="1"/>
  <c r="CI1624" i="1"/>
  <c r="CU1624" i="1" s="1"/>
  <c r="BL1624" i="1"/>
  <c r="CK1624" i="1" s="1"/>
  <c r="CI1950" i="1"/>
  <c r="CU1950" i="1" s="1"/>
  <c r="BL1950" i="1"/>
  <c r="CK1950" i="1" s="1"/>
  <c r="CI1762" i="1"/>
  <c r="CU1762" i="1" s="1"/>
  <c r="BL1762" i="1"/>
  <c r="CK1762" i="1" s="1"/>
  <c r="CI1685" i="1"/>
  <c r="CU1685" i="1" s="1"/>
  <c r="BL1685" i="1"/>
  <c r="CK1685" i="1" s="1"/>
  <c r="CI1846" i="1"/>
  <c r="CU1846" i="1" s="1"/>
  <c r="BL1846" i="1"/>
  <c r="CK1846" i="1" s="1"/>
  <c r="CI1716" i="1"/>
  <c r="CU1716" i="1" s="1"/>
  <c r="BL1716" i="1"/>
  <c r="CK1716" i="1" s="1"/>
  <c r="CI1722" i="1"/>
  <c r="CU1722" i="1" s="1"/>
  <c r="BL1722" i="1"/>
  <c r="CK1722" i="1" s="1"/>
  <c r="CI1725" i="1"/>
  <c r="CU1725" i="1" s="1"/>
  <c r="BL1725" i="1"/>
  <c r="CK1725" i="1" s="1"/>
  <c r="CI8" i="1"/>
  <c r="CU8" i="1" s="1"/>
  <c r="CW8" i="1" s="1"/>
  <c r="BL8" i="1"/>
  <c r="CK8" i="1" s="1"/>
  <c r="CI380" i="1"/>
  <c r="CU380" i="1" s="1"/>
  <c r="CW380" i="1" s="1"/>
  <c r="BL380" i="1"/>
  <c r="CK380" i="1" s="1"/>
  <c r="CI46" i="1"/>
  <c r="CU46" i="1" s="1"/>
  <c r="CW46" i="1" s="1"/>
  <c r="BL46" i="1"/>
  <c r="CK46" i="1" s="1"/>
  <c r="CI2016" i="1"/>
  <c r="CI98" i="1"/>
  <c r="CU98" i="1" s="1"/>
  <c r="CW98" i="1" s="1"/>
  <c r="BL98" i="1"/>
  <c r="CK98" i="1" s="1"/>
  <c r="CI451" i="1"/>
  <c r="CU451" i="1" s="1"/>
  <c r="BL451" i="1"/>
  <c r="CK451" i="1" s="1"/>
  <c r="CI1866" i="1"/>
  <c r="CU1866" i="1" s="1"/>
  <c r="BL1866" i="1"/>
  <c r="CK1866" i="1" s="1"/>
  <c r="CI1877" i="1"/>
  <c r="CU1877" i="1" s="1"/>
  <c r="BL1877" i="1"/>
  <c r="CK1877" i="1" s="1"/>
  <c r="CI1839" i="1"/>
  <c r="CU1839" i="1" s="1"/>
  <c r="BL1839" i="1"/>
  <c r="CK1839" i="1" s="1"/>
  <c r="CI1860" i="1"/>
  <c r="CU1860" i="1" s="1"/>
  <c r="BL1860" i="1"/>
  <c r="CK1860" i="1" s="1"/>
  <c r="CI1861" i="1"/>
  <c r="CU1861" i="1" s="1"/>
  <c r="BL1861" i="1"/>
  <c r="CK1861" i="1" s="1"/>
  <c r="CI1853" i="1"/>
  <c r="CU1853" i="1" s="1"/>
  <c r="BL1853" i="1"/>
  <c r="CK1853" i="1" s="1"/>
  <c r="CI1962" i="1"/>
  <c r="CU1962" i="1" s="1"/>
  <c r="BL1962" i="1"/>
  <c r="CI1941" i="1"/>
  <c r="CU1941" i="1" s="1"/>
  <c r="BL1941" i="1"/>
  <c r="CK1941" i="1" s="1"/>
  <c r="CI1926" i="1"/>
  <c r="CU1926" i="1" s="1"/>
  <c r="BL1926" i="1"/>
  <c r="CK1926" i="1" s="1"/>
  <c r="CI1921" i="1"/>
  <c r="CU1921" i="1" s="1"/>
  <c r="BL1921" i="1"/>
  <c r="CK1921" i="1" s="1"/>
  <c r="CI1920" i="1"/>
  <c r="CU1920" i="1" s="1"/>
  <c r="BL1920" i="1"/>
  <c r="CK1920" i="1" s="1"/>
  <c r="CI1775" i="1"/>
  <c r="CU1775" i="1" s="1"/>
  <c r="BL1775" i="1"/>
  <c r="CK1775" i="1" s="1"/>
  <c r="CI1659" i="1"/>
  <c r="CU1659" i="1" s="1"/>
  <c r="BL1659" i="1"/>
  <c r="CK1659" i="1" s="1"/>
  <c r="CI1808" i="1"/>
  <c r="CU1808" i="1" s="1"/>
  <c r="BL1808" i="1"/>
  <c r="CK1808" i="1" s="1"/>
  <c r="CI1693" i="1"/>
  <c r="CU1693" i="1" s="1"/>
  <c r="BL1693" i="1"/>
  <c r="CK1693" i="1" s="1"/>
  <c r="CI1785" i="1"/>
  <c r="CU1785" i="1" s="1"/>
  <c r="BL1785" i="1"/>
  <c r="CI1886" i="1"/>
  <c r="CU1886" i="1" s="1"/>
  <c r="BL1886" i="1"/>
  <c r="CI1882" i="1"/>
  <c r="CU1882" i="1" s="1"/>
  <c r="BL1882" i="1"/>
  <c r="CK1882" i="1" s="1"/>
  <c r="CI1825" i="1"/>
  <c r="CU1825" i="1" s="1"/>
  <c r="BL1825" i="1"/>
  <c r="CK1825" i="1" s="1"/>
  <c r="CI1703" i="1"/>
  <c r="CU1703" i="1" s="1"/>
  <c r="BL1703" i="1"/>
  <c r="CK1703" i="1" s="1"/>
  <c r="CI2018" i="1"/>
  <c r="CI1830" i="1"/>
  <c r="CU1830" i="1" s="1"/>
  <c r="BL1830" i="1"/>
  <c r="CK1830" i="1" s="1"/>
  <c r="CI1809" i="1"/>
  <c r="CU1809" i="1" s="1"/>
  <c r="BL1809" i="1"/>
  <c r="CK1809" i="1" s="1"/>
  <c r="CI1719" i="1"/>
  <c r="CU1719" i="1" s="1"/>
  <c r="BL1719" i="1"/>
  <c r="CK1719" i="1" s="1"/>
  <c r="CI1735" i="1"/>
  <c r="CU1735" i="1" s="1"/>
  <c r="BL1735" i="1"/>
  <c r="CK1735" i="1" s="1"/>
  <c r="CI1697" i="1"/>
  <c r="CU1697" i="1" s="1"/>
  <c r="BL1697" i="1"/>
  <c r="CK1697" i="1" s="1"/>
  <c r="CI2000" i="1"/>
  <c r="CI1630" i="1"/>
  <c r="CU1630" i="1" s="1"/>
  <c r="BL1630" i="1"/>
  <c r="CK1630" i="1" s="1"/>
  <c r="CI1798" i="1"/>
  <c r="CU1798" i="1" s="1"/>
  <c r="BL1798" i="1"/>
  <c r="CK1798" i="1" s="1"/>
  <c r="CI1884" i="1"/>
  <c r="CU1884" i="1" s="1"/>
  <c r="BL1884" i="1"/>
  <c r="CK1884" i="1" s="1"/>
  <c r="CI1620" i="1"/>
  <c r="CU1620" i="1" s="1"/>
  <c r="BL1620" i="1"/>
  <c r="CK1620" i="1" s="1"/>
  <c r="CI1826" i="1"/>
  <c r="CU1826" i="1" s="1"/>
  <c r="BL1826" i="1"/>
  <c r="CK1826" i="1" s="1"/>
  <c r="CI1705" i="1"/>
  <c r="CU1705" i="1" s="1"/>
  <c r="BL1705" i="1"/>
  <c r="CK1705" i="1" s="1"/>
  <c r="CI253" i="1"/>
  <c r="CU253" i="1" s="1"/>
  <c r="CW253" i="1" s="1"/>
  <c r="BL253" i="1"/>
  <c r="CK253" i="1" s="1"/>
  <c r="CI48" i="1"/>
  <c r="CU48" i="1" s="1"/>
  <c r="CW48" i="1" s="1"/>
  <c r="BL48" i="1"/>
  <c r="CK48" i="1" s="1"/>
  <c r="CI108" i="1"/>
  <c r="CU108" i="1" s="1"/>
  <c r="CW108" i="1" s="1"/>
  <c r="BL108" i="1"/>
  <c r="CK108" i="1" s="1"/>
  <c r="CI7" i="1"/>
  <c r="CU7" i="1" s="1"/>
  <c r="CW7" i="1" s="1"/>
  <c r="BL7" i="1"/>
  <c r="CK7" i="1" s="1"/>
  <c r="CI256" i="1"/>
  <c r="CU256" i="1" s="1"/>
  <c r="CW256" i="1" s="1"/>
  <c r="BL256" i="1"/>
  <c r="CK256" i="1" s="1"/>
  <c r="CI488" i="1"/>
  <c r="CU488" i="1" s="1"/>
  <c r="BL488" i="1"/>
  <c r="CK488" i="1" s="1"/>
  <c r="CI186" i="1"/>
  <c r="CU186" i="1" s="1"/>
  <c r="CW186" i="1" s="1"/>
  <c r="BL186" i="1"/>
  <c r="CK186" i="1" s="1"/>
  <c r="CI318" i="1"/>
  <c r="CU318" i="1" s="1"/>
  <c r="CW318" i="1" s="1"/>
  <c r="BL318" i="1"/>
  <c r="CK318" i="1" s="1"/>
  <c r="CI489" i="1"/>
  <c r="CU489" i="1" s="1"/>
  <c r="BL489" i="1"/>
  <c r="CK489" i="1" s="1"/>
  <c r="CI60" i="1"/>
  <c r="CU60" i="1" s="1"/>
  <c r="CW60" i="1" s="1"/>
  <c r="BL60" i="1"/>
  <c r="CK60" i="1" s="1"/>
  <c r="CI454" i="1"/>
  <c r="CU454" i="1" s="1"/>
  <c r="BL454" i="1"/>
  <c r="CK454" i="1" s="1"/>
  <c r="CI50" i="1"/>
  <c r="CU50" i="1" s="1"/>
  <c r="CW50" i="1" s="1"/>
  <c r="BL50" i="1"/>
  <c r="CK50" i="1" s="1"/>
  <c r="CI465" i="1"/>
  <c r="CU465" i="1" s="1"/>
  <c r="BL465" i="1"/>
  <c r="CK465" i="1" s="1"/>
  <c r="CI75" i="1"/>
  <c r="CU75" i="1" s="1"/>
  <c r="CW75" i="1" s="1"/>
  <c r="BL75" i="1"/>
  <c r="CK75" i="1" s="1"/>
  <c r="CI40" i="1"/>
  <c r="CU40" i="1" s="1"/>
  <c r="CW40" i="1" s="1"/>
  <c r="BL40" i="1"/>
  <c r="CK40" i="1" s="1"/>
  <c r="CI262" i="1"/>
  <c r="CU262" i="1" s="1"/>
  <c r="CW262" i="1" s="1"/>
  <c r="BL262" i="1"/>
  <c r="CK262" i="1" s="1"/>
  <c r="CI291" i="1"/>
  <c r="CU291" i="1" s="1"/>
  <c r="CW291" i="1" s="1"/>
  <c r="BL291" i="1"/>
  <c r="CK291" i="1" s="1"/>
  <c r="CI95" i="1"/>
  <c r="CU95" i="1" s="1"/>
  <c r="CW95" i="1" s="1"/>
  <c r="BL95" i="1"/>
  <c r="CK95" i="1" s="1"/>
  <c r="CI79" i="1"/>
  <c r="CU79" i="1" s="1"/>
  <c r="CW79" i="1" s="1"/>
  <c r="BL79" i="1"/>
  <c r="CK79" i="1" s="1"/>
  <c r="CI29" i="1"/>
  <c r="CU29" i="1" s="1"/>
  <c r="CW29" i="1" s="1"/>
  <c r="BL29" i="1"/>
  <c r="CK29" i="1" s="1"/>
  <c r="CI101" i="1"/>
  <c r="CU101" i="1" s="1"/>
  <c r="CW101" i="1" s="1"/>
  <c r="BL101" i="1"/>
  <c r="CK101" i="1" s="1"/>
  <c r="CI102" i="1"/>
  <c r="CU102" i="1" s="1"/>
  <c r="CW102" i="1" s="1"/>
  <c r="BL102" i="1"/>
  <c r="CK102" i="1" s="1"/>
  <c r="CI359" i="1"/>
  <c r="CU359" i="1" s="1"/>
  <c r="CW359" i="1" s="1"/>
  <c r="BL359" i="1"/>
  <c r="CK359" i="1" s="1"/>
  <c r="CI82" i="1"/>
  <c r="CU82" i="1" s="1"/>
  <c r="CW82" i="1" s="1"/>
  <c r="BL82" i="1"/>
  <c r="CK82" i="1" s="1"/>
  <c r="CI45" i="1"/>
  <c r="CU45" i="1" s="1"/>
  <c r="CW45" i="1" s="1"/>
  <c r="BL45" i="1"/>
  <c r="CK45" i="1" s="1"/>
  <c r="CI2035" i="1"/>
  <c r="CI1708" i="1"/>
  <c r="CU1708" i="1" s="1"/>
  <c r="BL1708" i="1"/>
  <c r="CK1708" i="1" s="1"/>
  <c r="CI2010" i="1"/>
  <c r="CU2010" i="1" s="1"/>
  <c r="CI2009" i="1"/>
  <c r="CU2009" i="1" s="1"/>
  <c r="CI1760" i="1"/>
  <c r="CU1760" i="1" s="1"/>
  <c r="BL1760" i="1"/>
  <c r="CK1760" i="1" s="1"/>
  <c r="CI437" i="1"/>
  <c r="CU437" i="1" s="1"/>
  <c r="BL437" i="1"/>
  <c r="CI455" i="1"/>
  <c r="CU455" i="1" s="1"/>
  <c r="BL455" i="1"/>
  <c r="CI495" i="1"/>
  <c r="CU495" i="1" s="1"/>
  <c r="BL495" i="1"/>
  <c r="CI1765" i="1"/>
  <c r="CU1765" i="1" s="1"/>
  <c r="BL1765" i="1"/>
  <c r="CI2015" i="1"/>
  <c r="CI1724" i="1"/>
  <c r="CU1724" i="1" s="1"/>
  <c r="BL1724" i="1"/>
  <c r="CK1724" i="1" s="1"/>
  <c r="CI1931" i="1"/>
  <c r="CU1931" i="1" s="1"/>
  <c r="BL1931" i="1"/>
  <c r="CK1931" i="1" s="1"/>
  <c r="CI55" i="1"/>
  <c r="CU55" i="1" s="1"/>
  <c r="CW55" i="1" s="1"/>
  <c r="BL55" i="1"/>
  <c r="CI1739" i="1"/>
  <c r="CU1739" i="1" s="1"/>
  <c r="BL1739" i="1"/>
  <c r="CI1740" i="1"/>
  <c r="CU1740" i="1" s="1"/>
  <c r="BL1740" i="1"/>
  <c r="CK1740" i="1" s="1"/>
  <c r="CI1682" i="1"/>
  <c r="CU1682" i="1" s="1"/>
  <c r="BL1682" i="1"/>
  <c r="CK1682" i="1" s="1"/>
  <c r="CI1691" i="1"/>
  <c r="CU1691" i="1" s="1"/>
  <c r="BL1691" i="1"/>
  <c r="CI405" i="1"/>
  <c r="CU405" i="1" s="1"/>
  <c r="CW405" i="1" s="1"/>
  <c r="BL405" i="1"/>
  <c r="CI1692" i="1"/>
  <c r="CU1692" i="1" s="1"/>
  <c r="BL1692" i="1"/>
  <c r="CK1692" i="1" s="1"/>
  <c r="CI1756" i="1"/>
  <c r="CU1756" i="1" s="1"/>
  <c r="BL1756" i="1"/>
  <c r="CK1756" i="1" s="1"/>
  <c r="CI1710" i="1"/>
  <c r="CU1710" i="1" s="1"/>
  <c r="BL1710" i="1"/>
  <c r="BO1711" i="1"/>
  <c r="CI1711" i="1" s="1"/>
  <c r="CU1711" i="1" s="1"/>
  <c r="BL1711" i="1"/>
  <c r="CK1711" i="1" s="1"/>
  <c r="CI1644" i="1"/>
  <c r="CU1644" i="1" s="1"/>
  <c r="BL1644" i="1"/>
  <c r="CK1644" i="1" s="1"/>
  <c r="CI1695" i="1"/>
  <c r="CU1695" i="1" s="1"/>
  <c r="BL1695" i="1"/>
  <c r="CK1695" i="1" s="1"/>
  <c r="CI1694" i="1"/>
  <c r="CU1694" i="1" s="1"/>
  <c r="BL1694" i="1"/>
  <c r="CK1694" i="1" s="1"/>
  <c r="CI1918" i="1"/>
  <c r="CU1918" i="1" s="1"/>
  <c r="BL1918" i="1"/>
  <c r="CK1918" i="1" s="1"/>
  <c r="CI114" i="1"/>
  <c r="CU114" i="1" s="1"/>
  <c r="CW114" i="1" s="1"/>
  <c r="BL114" i="1"/>
  <c r="CK114" i="1" s="1"/>
  <c r="CI57" i="1"/>
  <c r="CU57" i="1" s="1"/>
  <c r="CW57" i="1" s="1"/>
  <c r="BL57" i="1"/>
  <c r="CI458" i="1"/>
  <c r="CU458" i="1" s="1"/>
  <c r="BL458" i="1"/>
  <c r="CK458" i="1" s="1"/>
  <c r="CI22" i="1"/>
  <c r="CU22" i="1" s="1"/>
  <c r="CW22" i="1" s="1"/>
  <c r="BL22" i="1"/>
  <c r="CK22" i="1" s="1"/>
  <c r="CI1658" i="1"/>
  <c r="CU1658" i="1" s="1"/>
  <c r="BL1658" i="1"/>
  <c r="BO1769" i="1"/>
  <c r="CI1769" i="1" s="1"/>
  <c r="CU1769" i="1" s="1"/>
  <c r="BL1769" i="1"/>
  <c r="CK1769" i="1" s="1"/>
  <c r="CI1640" i="1"/>
  <c r="CU1640" i="1" s="1"/>
  <c r="BL1640" i="1"/>
  <c r="CK1640" i="1" s="1"/>
  <c r="CI19" i="1"/>
  <c r="CU19" i="1" s="1"/>
  <c r="CW19" i="1" s="1"/>
  <c r="BL19" i="1"/>
  <c r="CK19" i="1" s="1"/>
  <c r="CI1771" i="1"/>
  <c r="CU1771" i="1" s="1"/>
  <c r="BL1771" i="1"/>
  <c r="CK1771" i="1" s="1"/>
  <c r="CI43" i="1"/>
  <c r="CU43" i="1" s="1"/>
  <c r="CW43" i="1" s="1"/>
  <c r="BL43" i="1"/>
  <c r="CK43" i="1" s="1"/>
  <c r="CI1654" i="1"/>
  <c r="CU1654" i="1" s="1"/>
  <c r="BL1654" i="1"/>
  <c r="CK1654" i="1" s="1"/>
  <c r="CI352" i="1"/>
  <c r="CU352" i="1" s="1"/>
  <c r="CW352" i="1" s="1"/>
  <c r="BL352" i="1"/>
  <c r="CI1619" i="1"/>
  <c r="CU1619" i="1" s="1"/>
  <c r="BL1619" i="1"/>
  <c r="CK1619" i="1" s="1"/>
  <c r="CI427" i="1"/>
  <c r="CU427" i="1" s="1"/>
  <c r="CW427" i="1" s="1"/>
  <c r="BL427" i="1"/>
  <c r="CI1663" i="1"/>
  <c r="CU1663" i="1" s="1"/>
  <c r="BL1663" i="1"/>
  <c r="CK1663" i="1" s="1"/>
  <c r="CI54" i="1"/>
  <c r="CI1665" i="1"/>
  <c r="CU1665" i="1" s="1"/>
  <c r="BL1665" i="1"/>
  <c r="CK1665" i="1" s="1"/>
  <c r="CI64" i="1"/>
  <c r="CU64" i="1" s="1"/>
  <c r="CW64" i="1" s="1"/>
  <c r="BL64" i="1"/>
  <c r="CI28" i="1"/>
  <c r="CU28" i="1" s="1"/>
  <c r="CW28" i="1" s="1"/>
  <c r="BL28" i="1"/>
  <c r="CK28" i="1" s="1"/>
  <c r="CI1702" i="1"/>
  <c r="CU1702" i="1" s="1"/>
  <c r="BL1702" i="1"/>
  <c r="CK1702" i="1" s="1"/>
  <c r="CI1704" i="1"/>
  <c r="CU1704" i="1" s="1"/>
  <c r="BL1704" i="1"/>
  <c r="CK1704" i="1" s="1"/>
  <c r="CI1810" i="1"/>
  <c r="CU1810" i="1" s="1"/>
  <c r="BL1810" i="1"/>
  <c r="CK1810" i="1" s="1"/>
  <c r="CI1819" i="1"/>
  <c r="CU1819" i="1" s="1"/>
  <c r="BL1819" i="1"/>
  <c r="CK1819" i="1" s="1"/>
  <c r="CI1821" i="1"/>
  <c r="CU1821" i="1" s="1"/>
  <c r="BL1821" i="1"/>
  <c r="CI23" i="1"/>
  <c r="CU23" i="1" s="1"/>
  <c r="CW23" i="1" s="1"/>
  <c r="BL23" i="1"/>
  <c r="CK23" i="1" s="1"/>
  <c r="CI78" i="1"/>
  <c r="CU78" i="1" s="1"/>
  <c r="CW78" i="1" s="1"/>
  <c r="BL78" i="1"/>
  <c r="CI1721" i="1"/>
  <c r="CU1721" i="1" s="1"/>
  <c r="BL1721" i="1"/>
  <c r="CI77" i="1"/>
  <c r="CU77" i="1" s="1"/>
  <c r="CW77" i="1" s="1"/>
  <c r="BL77" i="1"/>
  <c r="CI1723" i="1"/>
  <c r="CU1723" i="1" s="1"/>
  <c r="BL1723" i="1"/>
  <c r="CK1723" i="1" s="1"/>
  <c r="CI1720" i="1"/>
  <c r="CU1720" i="1" s="1"/>
  <c r="BL1720" i="1"/>
  <c r="CK1720" i="1" s="1"/>
  <c r="CI1736" i="1"/>
  <c r="CU1736" i="1" s="1"/>
  <c r="BL1736" i="1"/>
  <c r="CK1736" i="1" s="1"/>
  <c r="CI1698" i="1"/>
  <c r="CU1698" i="1" s="1"/>
  <c r="BL1698" i="1"/>
  <c r="CK1698" i="1" s="1"/>
  <c r="CI168" i="1"/>
  <c r="CU168" i="1" s="1"/>
  <c r="CW168" i="1" s="1"/>
  <c r="BL168" i="1"/>
  <c r="CK168" i="1" s="1"/>
  <c r="CI1648" i="1"/>
  <c r="CU1648" i="1" s="1"/>
  <c r="BL1648" i="1"/>
  <c r="CK1648" i="1" s="1"/>
  <c r="CI2027" i="1"/>
  <c r="CI1706" i="1"/>
  <c r="CU1706" i="1" s="1"/>
  <c r="BL1706" i="1"/>
  <c r="CK1706" i="1" s="1"/>
  <c r="CI1717" i="1"/>
  <c r="CU1717" i="1" s="1"/>
  <c r="BL1717" i="1"/>
  <c r="CI1814" i="1"/>
  <c r="CU1814" i="1" s="1"/>
  <c r="BL1814" i="1"/>
  <c r="CI1700" i="1"/>
  <c r="CU1700" i="1" s="1"/>
  <c r="BL1700" i="1"/>
  <c r="CI1912" i="1"/>
  <c r="CU1912" i="1" s="1"/>
  <c r="BL1912" i="1"/>
  <c r="CI1911" i="1"/>
  <c r="CU1911" i="1" s="1"/>
  <c r="BL1911" i="1"/>
  <c r="CI1874" i="1"/>
  <c r="CU1874" i="1" s="1"/>
  <c r="BL1874" i="1"/>
  <c r="CI1873" i="1"/>
  <c r="CU1873" i="1" s="1"/>
  <c r="BL1873" i="1"/>
  <c r="CI1914" i="1"/>
  <c r="CU1914" i="1" s="1"/>
  <c r="CI1913" i="1"/>
  <c r="CU1913" i="1" s="1"/>
  <c r="CI1656" i="1"/>
  <c r="CU1656" i="1" s="1"/>
  <c r="BL1656" i="1"/>
  <c r="CK1656" i="1" s="1"/>
  <c r="CI1848" i="1"/>
  <c r="CU1848" i="1" s="1"/>
  <c r="BL1848" i="1"/>
  <c r="CK1848" i="1" s="1"/>
  <c r="BO1645" i="1"/>
  <c r="CI1645" i="1" s="1"/>
  <c r="CU1645" i="1" s="1"/>
  <c r="BL1645" i="1"/>
  <c r="CK1645" i="1" s="1"/>
  <c r="CI27" i="1"/>
  <c r="CU27" i="1" s="1"/>
  <c r="CW27" i="1" s="1"/>
  <c r="BL27" i="1"/>
  <c r="CK27" i="1" s="1"/>
  <c r="CI1770" i="1"/>
  <c r="CU1770" i="1" s="1"/>
  <c r="BL1770" i="1"/>
  <c r="CK1770" i="1" s="1"/>
  <c r="CI21" i="1"/>
  <c r="CU21" i="1" s="1"/>
  <c r="CW21" i="1" s="1"/>
  <c r="BL21" i="1"/>
  <c r="CK21" i="1" s="1"/>
  <c r="CI1727" i="1"/>
  <c r="CU1727" i="1" s="1"/>
  <c r="BL1727" i="1"/>
  <c r="CK1727" i="1" s="1"/>
  <c r="CI1662" i="1"/>
  <c r="CU1662" i="1" s="1"/>
  <c r="BL1662" i="1"/>
  <c r="CK1662" i="1" s="1"/>
  <c r="CI368" i="1"/>
  <c r="CU368" i="1" s="1"/>
  <c r="CW368" i="1" s="1"/>
  <c r="BL368" i="1"/>
  <c r="CK368" i="1" s="1"/>
  <c r="CI435" i="1"/>
  <c r="CU435" i="1" s="1"/>
  <c r="BL435" i="1"/>
  <c r="CK435" i="1" s="1"/>
  <c r="CI477" i="1"/>
  <c r="CU477" i="1" s="1"/>
  <c r="BL477" i="1"/>
  <c r="CK477" i="1" s="1"/>
  <c r="CI386" i="1"/>
  <c r="CU386" i="1" s="1"/>
  <c r="CW386" i="1" s="1"/>
  <c r="BL386" i="1"/>
  <c r="CK386" i="1" s="1"/>
  <c r="CI482" i="1"/>
  <c r="CU482" i="1" s="1"/>
  <c r="BL482" i="1"/>
  <c r="CK482" i="1" s="1"/>
  <c r="CI133" i="1"/>
  <c r="CU133" i="1" s="1"/>
  <c r="CW133" i="1" s="1"/>
  <c r="BL133" i="1"/>
  <c r="CK133" i="1" s="1"/>
  <c r="CI193" i="1"/>
  <c r="CU193" i="1" s="1"/>
  <c r="CW193" i="1" s="1"/>
  <c r="BL193" i="1"/>
  <c r="CK193" i="1" s="1"/>
  <c r="CI142" i="1"/>
  <c r="CU142" i="1" s="1"/>
  <c r="CW142" i="1" s="1"/>
  <c r="BL142" i="1"/>
  <c r="CK142" i="1" s="1"/>
  <c r="CI472" i="1"/>
  <c r="CU472" i="1" s="1"/>
  <c r="BL472" i="1"/>
  <c r="CK472" i="1" s="1"/>
  <c r="CI389" i="1"/>
  <c r="CU389" i="1" s="1"/>
  <c r="CW389" i="1" s="1"/>
  <c r="BL389" i="1"/>
  <c r="CK389" i="1" s="1"/>
  <c r="CI132" i="1"/>
  <c r="CU132" i="1" s="1"/>
  <c r="CW132" i="1" s="1"/>
  <c r="BL132" i="1"/>
  <c r="CK132" i="1" s="1"/>
  <c r="CI226" i="1"/>
  <c r="CU226" i="1" s="1"/>
  <c r="CW226" i="1" s="1"/>
  <c r="BL226" i="1"/>
  <c r="CK226" i="1" s="1"/>
  <c r="CI163" i="1"/>
  <c r="CU163" i="1" s="1"/>
  <c r="CW163" i="1" s="1"/>
  <c r="BL163" i="1"/>
  <c r="CK163" i="1" s="1"/>
  <c r="CI129" i="1"/>
  <c r="CU129" i="1" s="1"/>
  <c r="CW129" i="1" s="1"/>
  <c r="BL129" i="1"/>
  <c r="CK129" i="1" s="1"/>
  <c r="CI268" i="1"/>
  <c r="CU268" i="1" s="1"/>
  <c r="CW268" i="1" s="1"/>
  <c r="BL268" i="1"/>
  <c r="CK268" i="1" s="1"/>
  <c r="CI144" i="1"/>
  <c r="CU144" i="1" s="1"/>
  <c r="CW144" i="1" s="1"/>
  <c r="BL144" i="1"/>
  <c r="CK144" i="1" s="1"/>
  <c r="CI294" i="1"/>
  <c r="CU294" i="1" s="1"/>
  <c r="CW294" i="1" s="1"/>
  <c r="BL294" i="1"/>
  <c r="CK294" i="1" s="1"/>
  <c r="CI476" i="1"/>
  <c r="CU476" i="1" s="1"/>
  <c r="BL476" i="1"/>
  <c r="CK476" i="1" s="1"/>
  <c r="CI462" i="1"/>
  <c r="CU462" i="1" s="1"/>
  <c r="BL462" i="1"/>
  <c r="CK462" i="1" s="1"/>
  <c r="CI162" i="1"/>
  <c r="CU162" i="1" s="1"/>
  <c r="CW162" i="1" s="1"/>
  <c r="BL162" i="1"/>
  <c r="CK162" i="1" s="1"/>
  <c r="CI355" i="1"/>
  <c r="CU355" i="1" s="1"/>
  <c r="CW355" i="1" s="1"/>
  <c r="BL355" i="1"/>
  <c r="CK355" i="1" s="1"/>
  <c r="CI384" i="1"/>
  <c r="CU384" i="1" s="1"/>
  <c r="CW384" i="1" s="1"/>
  <c r="BL384" i="1"/>
  <c r="CK384" i="1" s="1"/>
  <c r="CI436" i="1"/>
  <c r="CU436" i="1" s="1"/>
  <c r="BL436" i="1"/>
  <c r="CK436" i="1" s="1"/>
  <c r="CI428" i="1"/>
  <c r="CU428" i="1" s="1"/>
  <c r="CW428" i="1" s="1"/>
  <c r="BL428" i="1"/>
  <c r="CK428" i="1" s="1"/>
  <c r="CI119" i="1"/>
  <c r="CU119" i="1" s="1"/>
  <c r="CW119" i="1" s="1"/>
  <c r="BL119" i="1"/>
  <c r="CK119" i="1" s="1"/>
  <c r="CI205" i="1"/>
  <c r="CU205" i="1" s="1"/>
  <c r="CW205" i="1" s="1"/>
  <c r="BL205" i="1"/>
  <c r="CK205" i="1" s="1"/>
  <c r="CI506" i="1"/>
  <c r="CU506" i="1" s="1"/>
  <c r="BL506" i="1"/>
  <c r="CK506" i="1" s="1"/>
  <c r="CI486" i="1"/>
  <c r="CU486" i="1" s="1"/>
  <c r="BL486" i="1"/>
  <c r="CK486" i="1" s="1"/>
  <c r="CI484" i="1"/>
  <c r="CU484" i="1" s="1"/>
  <c r="BL484" i="1"/>
  <c r="CK484" i="1" s="1"/>
  <c r="CI334" i="1"/>
  <c r="CU334" i="1" s="1"/>
  <c r="CW334" i="1" s="1"/>
  <c r="BL334" i="1"/>
  <c r="CK334" i="1" s="1"/>
  <c r="CI395" i="1"/>
  <c r="CU395" i="1" s="1"/>
  <c r="CW395" i="1" s="1"/>
  <c r="BL395" i="1"/>
  <c r="CK395" i="1" s="1"/>
  <c r="CI136" i="1"/>
  <c r="CU136" i="1" s="1"/>
  <c r="CW136" i="1" s="1"/>
  <c r="BL136" i="1"/>
  <c r="CK136" i="1" s="1"/>
  <c r="CI483" i="1"/>
  <c r="CU483" i="1" s="1"/>
  <c r="BL483" i="1"/>
  <c r="CK483" i="1" s="1"/>
  <c r="CI118" i="1"/>
  <c r="CU118" i="1" s="1"/>
  <c r="CW118" i="1" s="1"/>
  <c r="BL118" i="1"/>
  <c r="CK118" i="1" s="1"/>
  <c r="CI282" i="1"/>
  <c r="CU282" i="1" s="1"/>
  <c r="CW282" i="1" s="1"/>
  <c r="BL282" i="1"/>
  <c r="CK282" i="1" s="1"/>
  <c r="CI351" i="1"/>
  <c r="CU351" i="1" s="1"/>
  <c r="CW351" i="1" s="1"/>
  <c r="BL351" i="1"/>
  <c r="CK351" i="1" s="1"/>
  <c r="CI366" i="1"/>
  <c r="CU366" i="1" s="1"/>
  <c r="CW366" i="1" s="1"/>
  <c r="BL366" i="1"/>
  <c r="CK366" i="1" s="1"/>
  <c r="CI369" i="1"/>
  <c r="CU369" i="1" s="1"/>
  <c r="CW369" i="1" s="1"/>
  <c r="BL369" i="1"/>
  <c r="CK369" i="1" s="1"/>
  <c r="CI278" i="1"/>
  <c r="CU278" i="1" s="1"/>
  <c r="CW278" i="1" s="1"/>
  <c r="BL278" i="1"/>
  <c r="CK278" i="1" s="1"/>
  <c r="CI289" i="1"/>
  <c r="CU289" i="1" s="1"/>
  <c r="CW289" i="1" s="1"/>
  <c r="BL289" i="1"/>
  <c r="CK289" i="1" s="1"/>
  <c r="CI209" i="1"/>
  <c r="CU209" i="1" s="1"/>
  <c r="CW209" i="1" s="1"/>
  <c r="BL209" i="1"/>
  <c r="CK209" i="1" s="1"/>
  <c r="CI275" i="1"/>
  <c r="CU275" i="1" s="1"/>
  <c r="CW275" i="1" s="1"/>
  <c r="BL275" i="1"/>
  <c r="CK275" i="1" s="1"/>
  <c r="CI170" i="1"/>
  <c r="CU170" i="1" s="1"/>
  <c r="CW170" i="1" s="1"/>
  <c r="BL170" i="1"/>
  <c r="CK170" i="1" s="1"/>
  <c r="CI184" i="1"/>
  <c r="CU184" i="1" s="1"/>
  <c r="CW184" i="1" s="1"/>
  <c r="BL184" i="1"/>
  <c r="CK184" i="1" s="1"/>
  <c r="CI109" i="1"/>
  <c r="CU109" i="1" s="1"/>
  <c r="CW109" i="1" s="1"/>
  <c r="BL109" i="1"/>
  <c r="CK109" i="1" s="1"/>
  <c r="CI113" i="1"/>
  <c r="CU113" i="1" s="1"/>
  <c r="CW113" i="1" s="1"/>
  <c r="BL113" i="1"/>
  <c r="CK113" i="1" s="1"/>
  <c r="CI200" i="1"/>
  <c r="CU200" i="1" s="1"/>
  <c r="CW200" i="1" s="1"/>
  <c r="BL200" i="1"/>
  <c r="CK200" i="1" s="1"/>
  <c r="CI347" i="1"/>
  <c r="CU347" i="1" s="1"/>
  <c r="CW347" i="1" s="1"/>
  <c r="BL347" i="1"/>
  <c r="CK347" i="1" s="1"/>
  <c r="CI285" i="1"/>
  <c r="CU285" i="1" s="1"/>
  <c r="CW285" i="1" s="1"/>
  <c r="BL285" i="1"/>
  <c r="CK285" i="1" s="1"/>
  <c r="CI453" i="1"/>
  <c r="CU453" i="1" s="1"/>
  <c r="BL453" i="1"/>
  <c r="CK453" i="1" s="1"/>
  <c r="CI274" i="1"/>
  <c r="CU274" i="1" s="1"/>
  <c r="CW274" i="1" s="1"/>
  <c r="BL274" i="1"/>
  <c r="CK274" i="1" s="1"/>
  <c r="CI143" i="1"/>
  <c r="CU143" i="1" s="1"/>
  <c r="CW143" i="1" s="1"/>
  <c r="BL143" i="1"/>
  <c r="CK143" i="1" s="1"/>
  <c r="CI434" i="1"/>
  <c r="CU434" i="1" s="1"/>
  <c r="BL434" i="1"/>
  <c r="CK434" i="1" s="1"/>
  <c r="CI342" i="1"/>
  <c r="CU342" i="1" s="1"/>
  <c r="CW342" i="1" s="1"/>
  <c r="BL342" i="1"/>
  <c r="CK342" i="1" s="1"/>
  <c r="CI127" i="1"/>
  <c r="CU127" i="1" s="1"/>
  <c r="CW127" i="1" s="1"/>
  <c r="BL127" i="1"/>
  <c r="CK127" i="1" s="1"/>
  <c r="CI365" i="1"/>
  <c r="CU365" i="1" s="1"/>
  <c r="CW365" i="1" s="1"/>
  <c r="BL365" i="1"/>
  <c r="CK365" i="1" s="1"/>
  <c r="CI330" i="1"/>
  <c r="CU330" i="1" s="1"/>
  <c r="CW330" i="1" s="1"/>
  <c r="BL330" i="1"/>
  <c r="CK330" i="1" s="1"/>
  <c r="CI221" i="1"/>
  <c r="CU221" i="1" s="1"/>
  <c r="CW221" i="1" s="1"/>
  <c r="BL221" i="1"/>
  <c r="CK221" i="1" s="1"/>
  <c r="CI213" i="1"/>
  <c r="CU213" i="1" s="1"/>
  <c r="CW213" i="1" s="1"/>
  <c r="BL213" i="1"/>
  <c r="CK213" i="1" s="1"/>
  <c r="CI99" i="1"/>
  <c r="CU99" i="1" s="1"/>
  <c r="CW99" i="1" s="1"/>
  <c r="BL99" i="1"/>
  <c r="CK99" i="1" s="1"/>
  <c r="CI115" i="1"/>
  <c r="CU115" i="1" s="1"/>
  <c r="CW115" i="1" s="1"/>
  <c r="BL115" i="1"/>
  <c r="CK115" i="1" s="1"/>
  <c r="CI474" i="1"/>
  <c r="CU474" i="1" s="1"/>
  <c r="BL474" i="1"/>
  <c r="CK474" i="1" s="1"/>
  <c r="CI320" i="1"/>
  <c r="CU320" i="1" s="1"/>
  <c r="CW320" i="1" s="1"/>
  <c r="BL320" i="1"/>
  <c r="CK320" i="1" s="1"/>
  <c r="CI350" i="1"/>
  <c r="CU350" i="1" s="1"/>
  <c r="CW350" i="1" s="1"/>
  <c r="BL350" i="1"/>
  <c r="CK350" i="1" s="1"/>
  <c r="CI381" i="1"/>
  <c r="CU381" i="1" s="1"/>
  <c r="CW381" i="1" s="1"/>
  <c r="BL381" i="1"/>
  <c r="CK381" i="1" s="1"/>
  <c r="CI204" i="1"/>
  <c r="CU204" i="1" s="1"/>
  <c r="CW204" i="1" s="1"/>
  <c r="BL204" i="1"/>
  <c r="CK204" i="1" s="1"/>
  <c r="CI340" i="1"/>
  <c r="CU340" i="1" s="1"/>
  <c r="CW340" i="1" s="1"/>
  <c r="BL340" i="1"/>
  <c r="CK340" i="1" s="1"/>
  <c r="CI156" i="1"/>
  <c r="CU156" i="1" s="1"/>
  <c r="CW156" i="1" s="1"/>
  <c r="BL156" i="1"/>
  <c r="CK156" i="1" s="1"/>
  <c r="CI337" i="1"/>
  <c r="CU337" i="1" s="1"/>
  <c r="CW337" i="1" s="1"/>
  <c r="BL337" i="1"/>
  <c r="CK337" i="1" s="1"/>
  <c r="CI283" i="1"/>
  <c r="CU283" i="1" s="1"/>
  <c r="CW283" i="1" s="1"/>
  <c r="BL283" i="1"/>
  <c r="CK283" i="1" s="1"/>
  <c r="CI501" i="1"/>
  <c r="CU501" i="1" s="1"/>
  <c r="BL501" i="1"/>
  <c r="CK501" i="1" s="1"/>
  <c r="CI326" i="1"/>
  <c r="CU326" i="1" s="1"/>
  <c r="CW326" i="1" s="1"/>
  <c r="BL326" i="1"/>
  <c r="CK326" i="1" s="1"/>
  <c r="CI152" i="1"/>
  <c r="CU152" i="1" s="1"/>
  <c r="CW152" i="1" s="1"/>
  <c r="BL152" i="1"/>
  <c r="CK152" i="1" s="1"/>
  <c r="CI487" i="1"/>
  <c r="CU487" i="1" s="1"/>
  <c r="BL487" i="1"/>
  <c r="CK487" i="1" s="1"/>
  <c r="CI343" i="1"/>
  <c r="CU343" i="1" s="1"/>
  <c r="CW343" i="1" s="1"/>
  <c r="BL343" i="1"/>
  <c r="CK343" i="1" s="1"/>
  <c r="CI328" i="1"/>
  <c r="CU328" i="1" s="1"/>
  <c r="CW328" i="1" s="1"/>
  <c r="BL328" i="1"/>
  <c r="CK328" i="1" s="1"/>
  <c r="CI464" i="1"/>
  <c r="CU464" i="1" s="1"/>
  <c r="BL464" i="1"/>
  <c r="CK464" i="1" s="1"/>
  <c r="CI161" i="1"/>
  <c r="CU161" i="1" s="1"/>
  <c r="CW161" i="1" s="1"/>
  <c r="BL161" i="1"/>
  <c r="CK161" i="1" s="1"/>
  <c r="CI367" i="1"/>
  <c r="CU367" i="1" s="1"/>
  <c r="CW367" i="1" s="1"/>
  <c r="BL367" i="1"/>
  <c r="CK367" i="1" s="1"/>
  <c r="CI452" i="1"/>
  <c r="CU452" i="1" s="1"/>
  <c r="BL452" i="1"/>
  <c r="CK452" i="1" s="1"/>
  <c r="CI314" i="1"/>
  <c r="CU314" i="1" s="1"/>
  <c r="CW314" i="1" s="1"/>
  <c r="BL314" i="1"/>
  <c r="CK314" i="1" s="1"/>
  <c r="CI335" i="1"/>
  <c r="CU335" i="1" s="1"/>
  <c r="CW335" i="1" s="1"/>
  <c r="BL335" i="1"/>
  <c r="CK335" i="1" s="1"/>
  <c r="CI206" i="1"/>
  <c r="CU206" i="1" s="1"/>
  <c r="CW206" i="1" s="1"/>
  <c r="BL206" i="1"/>
  <c r="CK206" i="1" s="1"/>
  <c r="CI485" i="1"/>
  <c r="CU485" i="1" s="1"/>
  <c r="CI265" i="1"/>
  <c r="CU265" i="1" s="1"/>
  <c r="CW265" i="1" s="1"/>
  <c r="BL265" i="1"/>
  <c r="CK265" i="1" s="1"/>
  <c r="CI271" i="1"/>
  <c r="CU271" i="1" s="1"/>
  <c r="CW271" i="1" s="1"/>
  <c r="BL271" i="1"/>
  <c r="CK271" i="1" s="1"/>
  <c r="CI388" i="1"/>
  <c r="CU388" i="1" s="1"/>
  <c r="CW388" i="1" s="1"/>
  <c r="BL388" i="1"/>
  <c r="CK388" i="1" s="1"/>
  <c r="CI123" i="1"/>
  <c r="CU123" i="1" s="1"/>
  <c r="CW123" i="1" s="1"/>
  <c r="BL123" i="1"/>
  <c r="CK123" i="1" s="1"/>
  <c r="CI339" i="1"/>
  <c r="CU339" i="1" s="1"/>
  <c r="CW339" i="1" s="1"/>
  <c r="BL339" i="1"/>
  <c r="CK339" i="1" s="1"/>
  <c r="CI189" i="1"/>
  <c r="CU189" i="1" s="1"/>
  <c r="CW189" i="1" s="1"/>
  <c r="BL189" i="1"/>
  <c r="CK189" i="1" s="1"/>
  <c r="CI128" i="1"/>
  <c r="CU128" i="1" s="1"/>
  <c r="CW128" i="1" s="1"/>
  <c r="BL128" i="1"/>
  <c r="CK128" i="1" s="1"/>
  <c r="CI391" i="1"/>
  <c r="CU391" i="1" s="1"/>
  <c r="CW391" i="1" s="1"/>
  <c r="BL391" i="1"/>
  <c r="CK391" i="1" s="1"/>
  <c r="CI475" i="1"/>
  <c r="CU475" i="1" s="1"/>
  <c r="BL475" i="1"/>
  <c r="CK475" i="1" s="1"/>
  <c r="CI387" i="1"/>
  <c r="CU387" i="1" s="1"/>
  <c r="CW387" i="1" s="1"/>
  <c r="BL387" i="1"/>
  <c r="CK387" i="1" s="1"/>
  <c r="CI336" i="1"/>
  <c r="CU336" i="1" s="1"/>
  <c r="CW336" i="1" s="1"/>
  <c r="BL336" i="1"/>
  <c r="CK336" i="1" s="1"/>
  <c r="CI415" i="1"/>
  <c r="CU415" i="1" s="1"/>
  <c r="CW415" i="1" s="1"/>
  <c r="CI264" i="1"/>
  <c r="CU264" i="1" s="1"/>
  <c r="CW264" i="1" s="1"/>
  <c r="BL264" i="1"/>
  <c r="CK264" i="1" s="1"/>
  <c r="CI117" i="1"/>
  <c r="CU117" i="1" s="1"/>
  <c r="CW117" i="1" s="1"/>
  <c r="BL117" i="1"/>
  <c r="CK117" i="1" s="1"/>
  <c r="CI323" i="1"/>
  <c r="CU323" i="1" s="1"/>
  <c r="CW323" i="1" s="1"/>
  <c r="BL323" i="1"/>
  <c r="CK323" i="1" s="1"/>
  <c r="CI157" i="1"/>
  <c r="CU157" i="1" s="1"/>
  <c r="CW157" i="1" s="1"/>
  <c r="BL157" i="1"/>
  <c r="CK157" i="1" s="1"/>
  <c r="CI364" i="1"/>
  <c r="CU364" i="1" s="1"/>
  <c r="CW364" i="1" s="1"/>
  <c r="BL364" i="1"/>
  <c r="CK364" i="1" s="1"/>
  <c r="CI267" i="1"/>
  <c r="CU267" i="1" s="1"/>
  <c r="CW267" i="1" s="1"/>
  <c r="BL267" i="1"/>
  <c r="CK267" i="1" s="1"/>
  <c r="CI374" i="1"/>
  <c r="CU374" i="1" s="1"/>
  <c r="CW374" i="1" s="1"/>
  <c r="BL374" i="1"/>
  <c r="CK374" i="1" s="1"/>
  <c r="CI406" i="1"/>
  <c r="CU406" i="1" s="1"/>
  <c r="CW406" i="1" s="1"/>
  <c r="BL406" i="1"/>
  <c r="CK406" i="1" s="1"/>
  <c r="CI169" i="1"/>
  <c r="CU169" i="1" s="1"/>
  <c r="CW169" i="1" s="1"/>
  <c r="BL169" i="1"/>
  <c r="CK169" i="1" s="1"/>
  <c r="CI122" i="1"/>
  <c r="CU122" i="1" s="1"/>
  <c r="CW122" i="1" s="1"/>
  <c r="BL122" i="1"/>
  <c r="CK122" i="1" s="1"/>
  <c r="CI338" i="1"/>
  <c r="CU338" i="1" s="1"/>
  <c r="CW338" i="1" s="1"/>
  <c r="BL338" i="1"/>
  <c r="CK338" i="1" s="1"/>
  <c r="CI287" i="1"/>
  <c r="CU287" i="1" s="1"/>
  <c r="CW287" i="1" s="1"/>
  <c r="BL287" i="1"/>
  <c r="CK287" i="1" s="1"/>
  <c r="CI100" i="1"/>
  <c r="CU100" i="1" s="1"/>
  <c r="CW100" i="1" s="1"/>
  <c r="BL100" i="1"/>
  <c r="CK100" i="1" s="1"/>
  <c r="CI390" i="1"/>
  <c r="CU390" i="1" s="1"/>
  <c r="CW390" i="1" s="1"/>
  <c r="BL390" i="1"/>
  <c r="CK390" i="1" s="1"/>
  <c r="CI348" i="1"/>
  <c r="CU348" i="1" s="1"/>
  <c r="CW348" i="1" s="1"/>
  <c r="BL348" i="1"/>
  <c r="CK348" i="1" s="1"/>
  <c r="CI378" i="1"/>
  <c r="CU378" i="1" s="1"/>
  <c r="CW378" i="1" s="1"/>
  <c r="BL378" i="1"/>
  <c r="CK378" i="1" s="1"/>
  <c r="CI332" i="1"/>
  <c r="CU332" i="1" s="1"/>
  <c r="CW332" i="1" s="1"/>
  <c r="BL332" i="1"/>
  <c r="CK332" i="1" s="1"/>
  <c r="CI473" i="1"/>
  <c r="CU473" i="1" s="1"/>
  <c r="BL473" i="1"/>
  <c r="CK473" i="1" s="1"/>
  <c r="CI120" i="1"/>
  <c r="CU120" i="1" s="1"/>
  <c r="CW120" i="1" s="1"/>
  <c r="BL120" i="1"/>
  <c r="CK120" i="1" s="1"/>
  <c r="CI214" i="1"/>
  <c r="CU214" i="1" s="1"/>
  <c r="CW214" i="1" s="1"/>
  <c r="BL214" i="1"/>
  <c r="CK214" i="1" s="1"/>
  <c r="CI325" i="1"/>
  <c r="CU325" i="1" s="1"/>
  <c r="CW325" i="1" s="1"/>
  <c r="BL325" i="1"/>
  <c r="CK325" i="1" s="1"/>
  <c r="CI471" i="1"/>
  <c r="CU471" i="1" s="1"/>
  <c r="BL471" i="1"/>
  <c r="CK471" i="1" s="1"/>
  <c r="CI461" i="1"/>
  <c r="CU461" i="1" s="1"/>
  <c r="BL461" i="1"/>
  <c r="CK461" i="1" s="1"/>
  <c r="CI361" i="1"/>
  <c r="CU361" i="1" s="1"/>
  <c r="CW361" i="1" s="1"/>
  <c r="BL361" i="1"/>
  <c r="CK361" i="1" s="1"/>
  <c r="CI429" i="1"/>
  <c r="CU429" i="1" s="1"/>
  <c r="CW429" i="1" s="1"/>
  <c r="BL429" i="1"/>
  <c r="CK429" i="1" s="1"/>
  <c r="CI430" i="1"/>
  <c r="CU430" i="1" s="1"/>
  <c r="CW430" i="1" s="1"/>
  <c r="BL430" i="1"/>
  <c r="CK430" i="1" s="1"/>
  <c r="CI272" i="1"/>
  <c r="CU272" i="1" s="1"/>
  <c r="CW272" i="1" s="1"/>
  <c r="BL272" i="1"/>
  <c r="CK272" i="1" s="1"/>
  <c r="CI507" i="1"/>
  <c r="CU507" i="1" s="1"/>
  <c r="BL507" i="1"/>
  <c r="CK507" i="1" s="1"/>
  <c r="CI362" i="1"/>
  <c r="CU362" i="1" s="1"/>
  <c r="CW362" i="1" s="1"/>
  <c r="BL362" i="1"/>
  <c r="CK362" i="1" s="1"/>
  <c r="CI299" i="1"/>
  <c r="CU299" i="1" s="1"/>
  <c r="CW299" i="1" s="1"/>
  <c r="BL299" i="1"/>
  <c r="CK299" i="1" s="1"/>
  <c r="CI273" i="1"/>
  <c r="CU273" i="1" s="1"/>
  <c r="CW273" i="1" s="1"/>
  <c r="BL273" i="1"/>
  <c r="CK273" i="1" s="1"/>
  <c r="CI292" i="1"/>
  <c r="CU292" i="1" s="1"/>
  <c r="CW292" i="1" s="1"/>
  <c r="BL292" i="1"/>
  <c r="CK292" i="1" s="1"/>
  <c r="CI116" i="1"/>
  <c r="CU116" i="1" s="1"/>
  <c r="CW116" i="1" s="1"/>
  <c r="BL116" i="1"/>
  <c r="CK116" i="1" s="1"/>
  <c r="CI327" i="1"/>
  <c r="CU327" i="1" s="1"/>
  <c r="CW327" i="1" s="1"/>
  <c r="BL327" i="1"/>
  <c r="CK327" i="1" s="1"/>
  <c r="CI276" i="1"/>
  <c r="CU276" i="1" s="1"/>
  <c r="CW276" i="1" s="1"/>
  <c r="BL276" i="1"/>
  <c r="CK276" i="1" s="1"/>
  <c r="CI432" i="1"/>
  <c r="CU432" i="1" s="1"/>
  <c r="BL432" i="1"/>
  <c r="CK432" i="1" s="1"/>
  <c r="CI126" i="1"/>
  <c r="CU126" i="1" s="1"/>
  <c r="CW126" i="1" s="1"/>
  <c r="BL126" i="1"/>
  <c r="CK126" i="1" s="1"/>
  <c r="CI363" i="1"/>
  <c r="CU363" i="1" s="1"/>
  <c r="CW363" i="1" s="1"/>
  <c r="BL363" i="1"/>
  <c r="CK363" i="1" s="1"/>
  <c r="CI192" i="1"/>
  <c r="CU192" i="1" s="1"/>
  <c r="CW192" i="1" s="1"/>
  <c r="BL192" i="1"/>
  <c r="CK192" i="1" s="1"/>
  <c r="CI266" i="1"/>
  <c r="CU266" i="1" s="1"/>
  <c r="CW266" i="1" s="1"/>
  <c r="BL266" i="1"/>
  <c r="CK266" i="1" s="1"/>
  <c r="CI199" i="1"/>
  <c r="CU199" i="1" s="1"/>
  <c r="CW199" i="1" s="1"/>
  <c r="BL199" i="1"/>
  <c r="CK199" i="1" s="1"/>
  <c r="CI197" i="1"/>
  <c r="CU197" i="1" s="1"/>
  <c r="CW197" i="1" s="1"/>
  <c r="BL197" i="1"/>
  <c r="CK197" i="1" s="1"/>
  <c r="CI195" i="1"/>
  <c r="CU195" i="1" s="1"/>
  <c r="CW195" i="1" s="1"/>
  <c r="BL195" i="1"/>
  <c r="CK195" i="1" s="1"/>
  <c r="CI201" i="1"/>
  <c r="CU201" i="1" s="1"/>
  <c r="CW201" i="1" s="1"/>
  <c r="BL201" i="1"/>
  <c r="CK201" i="1" s="1"/>
  <c r="CI499" i="1"/>
  <c r="CU499" i="1" s="1"/>
  <c r="CI408" i="1"/>
  <c r="CU408" i="1" s="1"/>
  <c r="CW408" i="1" s="1"/>
  <c r="BL408" i="1"/>
  <c r="CK408" i="1" s="1"/>
  <c r="CI124" i="1"/>
  <c r="CU124" i="1" s="1"/>
  <c r="CW124" i="1" s="1"/>
  <c r="BL124" i="1"/>
  <c r="CK124" i="1" s="1"/>
  <c r="CI433" i="1"/>
  <c r="CU433" i="1" s="1"/>
  <c r="BL433" i="1"/>
  <c r="CK433" i="1" s="1"/>
  <c r="CI208" i="1"/>
  <c r="CU208" i="1" s="1"/>
  <c r="CW208" i="1" s="1"/>
  <c r="BL208" i="1"/>
  <c r="CK208" i="1" s="1"/>
  <c r="CI202" i="1"/>
  <c r="CU202" i="1" s="1"/>
  <c r="CW202" i="1" s="1"/>
  <c r="BL202" i="1"/>
  <c r="CK202" i="1" s="1"/>
  <c r="CI345" i="1"/>
  <c r="CU345" i="1" s="1"/>
  <c r="CW345" i="1" s="1"/>
  <c r="BL345" i="1"/>
  <c r="CK345" i="1" s="1"/>
  <c r="CI1714" i="1"/>
  <c r="CU1714" i="1" s="1"/>
  <c r="BL1714" i="1"/>
  <c r="CK1714" i="1" s="1"/>
  <c r="CI1713" i="1"/>
  <c r="CU1713" i="1" s="1"/>
  <c r="BL1713" i="1"/>
  <c r="CK1713" i="1" s="1"/>
  <c r="CI1869" i="1"/>
  <c r="CU1869" i="1" s="1"/>
  <c r="BL1869" i="1"/>
  <c r="CK1869" i="1" s="1"/>
  <c r="CI1707" i="1"/>
  <c r="CU1707" i="1" s="1"/>
  <c r="BL1707" i="1"/>
  <c r="CK1707" i="1" s="1"/>
  <c r="CI1834" i="1"/>
  <c r="CU1834" i="1" s="1"/>
  <c r="BL1834" i="1"/>
  <c r="CK1834" i="1" s="1"/>
  <c r="CI1767" i="1"/>
  <c r="CU1767" i="1" s="1"/>
  <c r="BL1767" i="1"/>
  <c r="CK1767" i="1" s="1"/>
  <c r="CI1836" i="1"/>
  <c r="CU1836" i="1" s="1"/>
  <c r="BL1836" i="1"/>
  <c r="CK1836" i="1" s="1"/>
  <c r="CI1828" i="1"/>
  <c r="CU1828" i="1" s="1"/>
  <c r="BL1828" i="1"/>
  <c r="CK1828" i="1" s="1"/>
  <c r="CI1822" i="1"/>
  <c r="CU1822" i="1" s="1"/>
  <c r="BL1822" i="1"/>
  <c r="CK1822" i="1" s="1"/>
  <c r="CI1817" i="1"/>
  <c r="CU1817" i="1" s="1"/>
  <c r="BL1817" i="1"/>
  <c r="CK1817" i="1" s="1"/>
  <c r="CI1712" i="1"/>
  <c r="CU1712" i="1" s="1"/>
  <c r="BL1712" i="1"/>
  <c r="CK1712" i="1" s="1"/>
  <c r="CI1850" i="1"/>
  <c r="CU1850" i="1" s="1"/>
  <c r="BL1850" i="1"/>
  <c r="CK1850" i="1" s="1"/>
  <c r="CI1757" i="1"/>
  <c r="CU1757" i="1" s="1"/>
  <c r="BL1757" i="1"/>
  <c r="CK1757" i="1" s="1"/>
  <c r="CI1749" i="1"/>
  <c r="CU1749" i="1" s="1"/>
  <c r="BL1749" i="1"/>
  <c r="CK1749" i="1" s="1"/>
  <c r="CI1842" i="1"/>
  <c r="CU1842" i="1" s="1"/>
  <c r="BL1842" i="1"/>
  <c r="CK1842" i="1" s="1"/>
  <c r="CI1777" i="1"/>
  <c r="CU1777" i="1" s="1"/>
  <c r="BL1777" i="1"/>
  <c r="CK1777" i="1" s="1"/>
  <c r="CI1734" i="1"/>
  <c r="CU1734" i="1" s="1"/>
  <c r="BL1734" i="1"/>
  <c r="CK1734" i="1" s="1"/>
  <c r="CI1752" i="1"/>
  <c r="CU1752" i="1" s="1"/>
  <c r="BL1752" i="1"/>
  <c r="CK1752" i="1" s="1"/>
  <c r="CI1827" i="1"/>
  <c r="CU1827" i="1" s="1"/>
  <c r="BL1827" i="1"/>
  <c r="CK1827" i="1" s="1"/>
  <c r="CI1741" i="1"/>
  <c r="CU1741" i="1" s="1"/>
  <c r="BL1741" i="1"/>
  <c r="CK1741" i="1" s="1"/>
  <c r="CI1747" i="1"/>
  <c r="CU1747" i="1" s="1"/>
  <c r="BL1747" i="1"/>
  <c r="CK1747" i="1" s="1"/>
  <c r="CI1748" i="1"/>
  <c r="CU1748" i="1" s="1"/>
  <c r="BL1748" i="1"/>
  <c r="CK1748" i="1" s="1"/>
  <c r="CI1743" i="1"/>
  <c r="CU1743" i="1" s="1"/>
  <c r="BL1743" i="1"/>
  <c r="CK1743" i="1" s="1"/>
  <c r="CI1849" i="1"/>
  <c r="CU1849" i="1" s="1"/>
  <c r="BL1849" i="1"/>
  <c r="CK1849" i="1" s="1"/>
  <c r="CI1759" i="1"/>
  <c r="CU1759" i="1" s="1"/>
  <c r="BL1759" i="1"/>
  <c r="CK1759" i="1" s="1"/>
  <c r="CI1754" i="1"/>
  <c r="CU1754" i="1" s="1"/>
  <c r="BL1754" i="1"/>
  <c r="CK1754" i="1" s="1"/>
  <c r="CI1753" i="1"/>
  <c r="CU1753" i="1" s="1"/>
  <c r="BL1753" i="1"/>
  <c r="CK1753" i="1" s="1"/>
  <c r="CI1750" i="1"/>
  <c r="CU1750" i="1" s="1"/>
  <c r="BL1750" i="1"/>
  <c r="CK1750" i="1" s="1"/>
  <c r="CI1738" i="1"/>
  <c r="CU1738" i="1" s="1"/>
  <c r="BL1738" i="1"/>
  <c r="CK1738" i="1" s="1"/>
  <c r="CI1733" i="1"/>
  <c r="CU1733" i="1" s="1"/>
  <c r="BL1733" i="1"/>
  <c r="CK1733" i="1" s="1"/>
  <c r="CI1745" i="1"/>
  <c r="CU1745" i="1" s="1"/>
  <c r="BL1745" i="1"/>
  <c r="CK1745" i="1" s="1"/>
  <c r="CI1677" i="1"/>
  <c r="CU1677" i="1" s="1"/>
  <c r="BL1677" i="1"/>
  <c r="CK1677" i="1" s="1"/>
  <c r="CI1876" i="1"/>
  <c r="CU1876" i="1" s="1"/>
  <c r="BL1876" i="1"/>
  <c r="CK1876" i="1" s="1"/>
  <c r="CI1742" i="1"/>
  <c r="CU1742" i="1" s="1"/>
  <c r="BL1742" i="1"/>
  <c r="CK1742" i="1" s="1"/>
  <c r="CI1673" i="1"/>
  <c r="CU1673" i="1" s="1"/>
  <c r="BL1673" i="1"/>
  <c r="CK1673" i="1" s="1"/>
  <c r="CI1728" i="1"/>
  <c r="CU1728" i="1" s="1"/>
  <c r="BL1728" i="1"/>
  <c r="CK1728" i="1" s="1"/>
  <c r="CI1751" i="1"/>
  <c r="CU1751" i="1" s="1"/>
  <c r="BL1751" i="1"/>
  <c r="CK1751" i="1" s="1"/>
  <c r="CI1804" i="1"/>
  <c r="CU1804" i="1" s="1"/>
  <c r="BL1804" i="1"/>
  <c r="CK1804" i="1" s="1"/>
  <c r="CI1668" i="1"/>
  <c r="CU1668" i="1" s="1"/>
  <c r="BL1668" i="1"/>
  <c r="CK1668" i="1" s="1"/>
  <c r="CI449" i="1"/>
  <c r="CU449" i="1" s="1"/>
  <c r="BL449" i="1"/>
  <c r="CK449" i="1" s="1"/>
  <c r="CI2008" i="1"/>
  <c r="CU2008" i="1" s="1"/>
  <c r="CI13" i="1"/>
  <c r="CU13" i="1" s="1"/>
  <c r="CW13" i="1" s="1"/>
  <c r="BL13" i="1"/>
  <c r="CK13" i="1" s="1"/>
  <c r="CI1627" i="1"/>
  <c r="CU1627" i="1" s="1"/>
  <c r="BL1627" i="1"/>
  <c r="CK1627" i="1" s="1"/>
  <c r="CI1653" i="1"/>
  <c r="CU1653" i="1" s="1"/>
  <c r="BL1653" i="1"/>
  <c r="CK1653" i="1" s="1"/>
  <c r="CI1660" i="1"/>
  <c r="CU1660" i="1" s="1"/>
  <c r="BL1660" i="1"/>
  <c r="CK1660" i="1" s="1"/>
  <c r="CI15" i="1"/>
  <c r="CU15" i="1" s="1"/>
  <c r="CW15" i="1" s="1"/>
  <c r="BL15" i="1"/>
  <c r="CK15" i="1" s="1"/>
  <c r="CI16" i="1"/>
  <c r="CU16" i="1" s="1"/>
  <c r="CW16" i="1" s="1"/>
  <c r="BL16" i="1"/>
  <c r="CK16" i="1" s="1"/>
  <c r="CI1664" i="1"/>
  <c r="CU1664" i="1" s="1"/>
  <c r="BL1664" i="1"/>
  <c r="CK1664" i="1" s="1"/>
  <c r="CI1944" i="1"/>
  <c r="CU1944" i="1" s="1"/>
  <c r="BL1944" i="1"/>
  <c r="CK1944" i="1" s="1"/>
  <c r="CI1758" i="1"/>
  <c r="CU1758" i="1" s="1"/>
  <c r="BL1758" i="1"/>
  <c r="CK1758" i="1" s="1"/>
  <c r="CI1744" i="1"/>
  <c r="CU1744" i="1" s="1"/>
  <c r="BL1744" i="1"/>
  <c r="CK1744" i="1" s="1"/>
  <c r="CI445" i="1"/>
  <c r="CU445" i="1" s="1"/>
  <c r="BL445" i="1"/>
  <c r="CK445" i="1" s="1"/>
  <c r="CI1776" i="1"/>
  <c r="CU1776" i="1" s="1"/>
  <c r="BL1776" i="1"/>
  <c r="CK1776" i="1" s="1"/>
  <c r="CI1667" i="1"/>
  <c r="CU1667" i="1" s="1"/>
  <c r="BL1667" i="1"/>
  <c r="CK1667" i="1" s="1"/>
  <c r="CI25" i="1"/>
  <c r="CU25" i="1" s="1"/>
  <c r="CW25" i="1" s="1"/>
  <c r="BL25" i="1"/>
  <c r="CK25" i="1" s="1"/>
  <c r="CI442" i="1"/>
  <c r="CU442" i="1" s="1"/>
  <c r="BL442" i="1"/>
  <c r="CK442" i="1" s="1"/>
  <c r="CI34" i="1"/>
  <c r="CU34" i="1" s="1"/>
  <c r="CW34" i="1" s="1"/>
  <c r="BL34" i="1"/>
  <c r="CK34" i="1" s="1"/>
  <c r="CI1729" i="1"/>
  <c r="CU1729" i="1" s="1"/>
  <c r="BL1729" i="1"/>
  <c r="CK1729" i="1" s="1"/>
  <c r="CI1973" i="1"/>
  <c r="CU1973" i="1" s="1"/>
  <c r="BL1973" i="1"/>
  <c r="CK1973" i="1" s="1"/>
  <c r="CI1870" i="1"/>
  <c r="CU1870" i="1" s="1"/>
  <c r="CI1901" i="1"/>
  <c r="CU1901" i="1" s="1"/>
  <c r="BL1901" i="1"/>
  <c r="CK1901" i="1" s="1"/>
  <c r="CI1824" i="1"/>
  <c r="CU1824" i="1" s="1"/>
  <c r="BL1824" i="1"/>
  <c r="CK1824" i="1" s="1"/>
  <c r="CI441" i="1"/>
  <c r="CU441" i="1" s="1"/>
  <c r="BL441" i="1"/>
  <c r="CK441" i="1" s="1"/>
  <c r="CI85" i="1"/>
  <c r="CU85" i="1" s="1"/>
  <c r="CW85" i="1" s="1"/>
  <c r="BL85" i="1"/>
  <c r="CK85" i="1" s="1"/>
  <c r="CI1655" i="1"/>
  <c r="CU1655" i="1" s="1"/>
  <c r="BL1655" i="1"/>
  <c r="CK1655" i="1" s="1"/>
  <c r="CI1755" i="1"/>
  <c r="CU1755" i="1" s="1"/>
  <c r="BL1755" i="1"/>
  <c r="CK1755" i="1" s="1"/>
  <c r="CI1887" i="1"/>
  <c r="CU1887" i="1" s="1"/>
  <c r="CI439" i="1"/>
  <c r="CU439" i="1" s="1"/>
  <c r="BL439" i="1"/>
  <c r="CK439" i="1" s="1"/>
  <c r="CI438" i="1"/>
  <c r="CU438" i="1" s="1"/>
  <c r="BL438" i="1"/>
  <c r="CK438" i="1" s="1"/>
  <c r="CI1788" i="1"/>
  <c r="CU1788" i="1" s="1"/>
  <c r="BL1788" i="1"/>
  <c r="CK1788" i="1" s="1"/>
  <c r="CI1666" i="1"/>
  <c r="CU1666" i="1" s="1"/>
  <c r="BL1666" i="1"/>
  <c r="CK1666" i="1" s="1"/>
  <c r="CI2019" i="1"/>
  <c r="CI1764" i="1"/>
  <c r="CU1764" i="1" s="1"/>
  <c r="BL1764" i="1"/>
  <c r="CK1764" i="1" s="1"/>
  <c r="CI1856" i="1"/>
  <c r="CU1856" i="1" s="1"/>
  <c r="BL1856" i="1"/>
  <c r="CK1856" i="1" s="1"/>
  <c r="CI1613" i="1"/>
  <c r="CU1613" i="1" s="1"/>
  <c r="BL1613" i="1"/>
  <c r="CK1613" i="1" s="1"/>
  <c r="CI1635" i="1"/>
  <c r="CU1635" i="1" s="1"/>
  <c r="BL1635" i="1"/>
  <c r="CK1635" i="1" s="1"/>
  <c r="CI1783" i="1"/>
  <c r="CU1783" i="1" s="1"/>
  <c r="BL1783" i="1"/>
  <c r="CK1783" i="1" s="1"/>
  <c r="CI1768" i="1"/>
  <c r="CU1768" i="1" s="1"/>
  <c r="BL1768" i="1"/>
  <c r="CK1768" i="1" s="1"/>
  <c r="CI1647" i="1"/>
  <c r="CU1647" i="1" s="1"/>
  <c r="BL1647" i="1"/>
  <c r="CK1647" i="1" s="1"/>
  <c r="CI1623" i="1"/>
  <c r="CU1623" i="1" s="1"/>
  <c r="BL1623" i="1"/>
  <c r="CK1623" i="1" s="1"/>
  <c r="CI1967" i="1"/>
  <c r="CU1967" i="1" s="1"/>
  <c r="BL1967" i="1"/>
  <c r="CK1967" i="1" s="1"/>
  <c r="CI1634" i="1"/>
  <c r="CU1634" i="1" s="1"/>
  <c r="BL1634" i="1"/>
  <c r="CK1634" i="1" s="1"/>
  <c r="CI1906" i="1"/>
  <c r="CU1906" i="1" s="1"/>
  <c r="BL1906" i="1"/>
  <c r="CK1906" i="1" s="1"/>
  <c r="CI1965" i="1"/>
  <c r="CU1965" i="1" s="1"/>
  <c r="BL1965" i="1"/>
  <c r="CK1965" i="1" s="1"/>
  <c r="CI1966" i="1"/>
  <c r="CU1966" i="1" s="1"/>
  <c r="BL1966" i="1"/>
  <c r="CK1966" i="1" s="1"/>
  <c r="CI1907" i="1"/>
  <c r="CU1907" i="1" s="1"/>
  <c r="BL1907" i="1"/>
  <c r="CK1907" i="1" s="1"/>
  <c r="CI1964" i="1"/>
  <c r="CU1964" i="1" s="1"/>
  <c r="BL1964" i="1"/>
  <c r="CK1964" i="1" s="1"/>
  <c r="CI1709" i="1"/>
  <c r="CU1709" i="1" s="1"/>
  <c r="BL1709" i="1"/>
  <c r="CK1709" i="1" s="1"/>
  <c r="CI1621" i="1"/>
  <c r="CU1621" i="1" s="1"/>
  <c r="BL1621" i="1"/>
  <c r="CK1621" i="1" s="1"/>
  <c r="CI1823" i="1"/>
  <c r="CU1823" i="1" s="1"/>
  <c r="BL1823" i="1"/>
  <c r="CK1823" i="1" s="1"/>
  <c r="CI1678" i="1"/>
  <c r="CU1678" i="1" s="1"/>
  <c r="BL1678" i="1"/>
  <c r="CK1678" i="1" s="1"/>
  <c r="CI1631" i="1"/>
  <c r="CU1631" i="1" s="1"/>
  <c r="BL1631" i="1"/>
  <c r="CK1631" i="1" s="1"/>
  <c r="CI1715" i="1"/>
  <c r="CU1715" i="1" s="1"/>
  <c r="BL1715" i="1"/>
  <c r="CK1715" i="1" s="1"/>
  <c r="CI1894" i="1"/>
  <c r="CU1894" i="1" s="1"/>
  <c r="BL1894" i="1"/>
  <c r="CK1894" i="1" s="1"/>
  <c r="CI1885" i="1"/>
  <c r="CU1885" i="1" s="1"/>
  <c r="BL1885" i="1"/>
  <c r="CK1885" i="1" s="1"/>
  <c r="CI1881" i="1"/>
  <c r="CU1881" i="1" s="1"/>
  <c r="BL1881" i="1"/>
  <c r="CK1881" i="1" s="1"/>
  <c r="CI1617" i="1"/>
  <c r="CU1617" i="1" s="1"/>
  <c r="BL1617" i="1"/>
  <c r="CK1617" i="1" s="1"/>
  <c r="CI130" i="1"/>
  <c r="CU130" i="1" s="1"/>
  <c r="CW130" i="1" s="1"/>
  <c r="BL130" i="1"/>
  <c r="CK130" i="1" s="1"/>
  <c r="CI319" i="1"/>
  <c r="CU319" i="1" s="1"/>
  <c r="CW319" i="1" s="1"/>
  <c r="BL319" i="1"/>
  <c r="CK319" i="1" s="1"/>
  <c r="CI154" i="1"/>
  <c r="CU154" i="1" s="1"/>
  <c r="CW154" i="1" s="1"/>
  <c r="BL154" i="1"/>
  <c r="CK154" i="1" s="1"/>
  <c r="F154" i="1"/>
  <c r="CI333" i="1"/>
  <c r="CU333" i="1" s="1"/>
  <c r="CW333" i="1" s="1"/>
  <c r="CI166" i="1"/>
  <c r="CU166" i="1" s="1"/>
  <c r="CW166" i="1" s="1"/>
  <c r="BL166" i="1"/>
  <c r="CK166" i="1" s="1"/>
  <c r="F166" i="1"/>
  <c r="CI66" i="1"/>
  <c r="CU66" i="1" s="1"/>
  <c r="CW66" i="1" s="1"/>
  <c r="BL66" i="1"/>
  <c r="CK66" i="1" s="1"/>
  <c r="F66" i="1"/>
  <c r="CI12" i="1"/>
  <c r="CU12" i="1" s="1"/>
  <c r="CW12" i="1" s="1"/>
  <c r="BL12" i="1"/>
  <c r="CK12" i="1" s="1"/>
  <c r="F12" i="1"/>
  <c r="CI2034" i="1"/>
  <c r="CI56" i="1"/>
  <c r="CU56" i="1" s="1"/>
  <c r="CW56" i="1" s="1"/>
  <c r="BL56" i="1"/>
  <c r="CK56" i="1" s="1"/>
  <c r="F56" i="1"/>
  <c r="CI134" i="1"/>
  <c r="CU134" i="1" s="1"/>
  <c r="CW134" i="1" s="1"/>
  <c r="BL134" i="1"/>
  <c r="CK134" i="1" s="1"/>
  <c r="F134" i="1"/>
  <c r="CI172" i="1"/>
  <c r="CU172" i="1" s="1"/>
  <c r="CW172" i="1" s="1"/>
  <c r="BL172" i="1"/>
  <c r="CK172" i="1" s="1"/>
  <c r="F172" i="1"/>
  <c r="CI135" i="1"/>
  <c r="CU135" i="1" s="1"/>
  <c r="CW135" i="1" s="1"/>
  <c r="BL135" i="1"/>
  <c r="CK135" i="1" s="1"/>
  <c r="F135" i="1"/>
  <c r="CI14" i="1"/>
  <c r="CU14" i="1" s="1"/>
  <c r="CW14" i="1" s="1"/>
  <c r="BL14" i="1"/>
  <c r="CK14" i="1" s="1"/>
  <c r="CI35" i="1"/>
  <c r="CU35" i="1" s="1"/>
  <c r="CW35" i="1" s="1"/>
  <c r="BL35" i="1"/>
  <c r="CK35" i="1" s="1"/>
  <c r="F35" i="1"/>
  <c r="CI232" i="1"/>
  <c r="CU232" i="1" s="1"/>
  <c r="CW232" i="1" s="1"/>
  <c r="BL232" i="1"/>
  <c r="CK232" i="1" s="1"/>
  <c r="F232" i="1"/>
  <c r="CI24" i="1"/>
  <c r="CU24" i="1" s="1"/>
  <c r="CW24" i="1" s="1"/>
  <c r="BL24" i="1"/>
  <c r="CK24" i="1" s="1"/>
  <c r="CI41" i="1"/>
  <c r="CU41" i="1" s="1"/>
  <c r="CW41" i="1" s="1"/>
  <c r="BL41" i="1"/>
  <c r="CK41" i="1" s="1"/>
  <c r="F41" i="1"/>
  <c r="CI216" i="1"/>
  <c r="CU216" i="1" s="1"/>
  <c r="CW216" i="1" s="1"/>
  <c r="F216" i="1"/>
  <c r="CI37" i="1"/>
  <c r="CU37" i="1" s="1"/>
  <c r="CW37" i="1" s="1"/>
  <c r="BL37" i="1"/>
  <c r="CK37" i="1" s="1"/>
  <c r="CI65" i="1"/>
  <c r="CU65" i="1" s="1"/>
  <c r="CW65" i="1" s="1"/>
  <c r="BL65" i="1"/>
  <c r="CK65" i="1" s="1"/>
  <c r="F65" i="1"/>
  <c r="CI44" i="1"/>
  <c r="CU44" i="1" s="1"/>
  <c r="CW44" i="1" s="1"/>
  <c r="BL44" i="1"/>
  <c r="CK44" i="1" s="1"/>
  <c r="F44" i="1"/>
  <c r="CI69" i="1"/>
  <c r="CU69" i="1" s="1"/>
  <c r="CW69" i="1" s="1"/>
  <c r="BL69" i="1"/>
  <c r="CK69" i="1" s="1"/>
  <c r="CI42" i="1"/>
  <c r="CU42" i="1" s="1"/>
  <c r="CW42" i="1" s="1"/>
  <c r="BL42" i="1"/>
  <c r="CK42" i="1" s="1"/>
  <c r="CI227" i="1"/>
  <c r="CU227" i="1" s="1"/>
  <c r="CW227" i="1" s="1"/>
  <c r="BL227" i="1"/>
  <c r="CK227" i="1" s="1"/>
  <c r="CI9" i="1"/>
  <c r="CU9" i="1" s="1"/>
  <c r="CW9" i="1" s="1"/>
  <c r="BL9" i="1"/>
  <c r="CK9" i="1" s="1"/>
  <c r="F9" i="1"/>
  <c r="CI3" i="1"/>
  <c r="CU3" i="1" s="1"/>
  <c r="BL3" i="1"/>
  <c r="CI18" i="1"/>
  <c r="CU18" i="1" s="1"/>
  <c r="CW18" i="1" s="1"/>
  <c r="BL18" i="1"/>
  <c r="CK18" i="1" s="1"/>
  <c r="F18" i="1"/>
  <c r="CI2002" i="1"/>
  <c r="CI2001" i="1"/>
  <c r="CI2031" i="1"/>
  <c r="CK2031" i="1"/>
  <c r="CI2003" i="1"/>
  <c r="CI207" i="1"/>
  <c r="CU207" i="1" s="1"/>
  <c r="CW207" i="1" s="1"/>
  <c r="BL207" i="1"/>
  <c r="CK207" i="1" s="1"/>
  <c r="F207" i="1"/>
  <c r="CI402" i="1"/>
  <c r="CU402" i="1" s="1"/>
  <c r="CW402" i="1" s="1"/>
  <c r="F402" i="1"/>
  <c r="CI224" i="1"/>
  <c r="CU224" i="1" s="1"/>
  <c r="CW224" i="1" s="1"/>
  <c r="CI229" i="1"/>
  <c r="CU229" i="1" s="1"/>
  <c r="CW229" i="1" s="1"/>
  <c r="BL229" i="1"/>
  <c r="CK229" i="1" s="1"/>
  <c r="F229" i="1"/>
  <c r="CI231" i="1"/>
  <c r="CU231" i="1" s="1"/>
  <c r="CW231" i="1" s="1"/>
  <c r="BL231" i="1"/>
  <c r="CK231" i="1" s="1"/>
  <c r="F231" i="1"/>
  <c r="CI228" i="1"/>
  <c r="CU228" i="1" s="1"/>
  <c r="CW228" i="1" s="1"/>
  <c r="BL228" i="1"/>
  <c r="CK228" i="1" s="1"/>
  <c r="CI251" i="1"/>
  <c r="CU251" i="1" s="1"/>
  <c r="CW251" i="1" s="1"/>
  <c r="BL251" i="1"/>
  <c r="CK251" i="1" s="1"/>
  <c r="CI151" i="1"/>
  <c r="CU151" i="1" s="1"/>
  <c r="CW151" i="1" s="1"/>
  <c r="BL151" i="1"/>
  <c r="CK151" i="1" s="1"/>
  <c r="CI417" i="1"/>
  <c r="CU417" i="1" s="1"/>
  <c r="CW417" i="1" s="1"/>
  <c r="BL417" i="1"/>
  <c r="CK417" i="1" s="1"/>
  <c r="CI416" i="1"/>
  <c r="CU416" i="1" s="1"/>
  <c r="CW416" i="1" s="1"/>
  <c r="BL416" i="1"/>
  <c r="CK416" i="1" s="1"/>
  <c r="CI39" i="1"/>
  <c r="CU39" i="1" s="1"/>
  <c r="CW39" i="1" s="1"/>
  <c r="BL39" i="1"/>
  <c r="CK39" i="1" s="1"/>
  <c r="F39" i="1"/>
  <c r="CI74" i="1"/>
  <c r="CU74" i="1" s="1"/>
  <c r="CW74" i="1" s="1"/>
  <c r="BL74" i="1"/>
  <c r="CK74" i="1" s="1"/>
  <c r="F74" i="1"/>
  <c r="CI149" i="1"/>
  <c r="CU149" i="1" s="1"/>
  <c r="CW149" i="1" s="1"/>
  <c r="BL149" i="1"/>
  <c r="CK149" i="1" s="1"/>
  <c r="F149" i="1"/>
  <c r="CI148" i="1"/>
  <c r="CU148" i="1" s="1"/>
  <c r="CW148" i="1" s="1"/>
  <c r="BL148" i="1"/>
  <c r="CK148" i="1" s="1"/>
  <c r="F148" i="1"/>
  <c r="CI258" i="1"/>
  <c r="CU258" i="1" s="1"/>
  <c r="CW258" i="1" s="1"/>
  <c r="BL258" i="1"/>
  <c r="CK258" i="1" s="1"/>
  <c r="F258" i="1"/>
  <c r="CI31" i="1"/>
  <c r="CU31" i="1" s="1"/>
  <c r="CW31" i="1" s="1"/>
  <c r="BL31" i="1"/>
  <c r="CK31" i="1" s="1"/>
  <c r="F31" i="1"/>
  <c r="CI223" i="1"/>
  <c r="CU223" i="1" s="1"/>
  <c r="CW223" i="1" s="1"/>
  <c r="F223" i="1"/>
  <c r="CI61" i="1"/>
  <c r="CU61" i="1" s="1"/>
  <c r="CW61" i="1" s="1"/>
  <c r="BL61" i="1"/>
  <c r="CK61" i="1" s="1"/>
  <c r="F61" i="1"/>
  <c r="CI174" i="1"/>
  <c r="CU174" i="1" s="1"/>
  <c r="CW174" i="1" s="1"/>
  <c r="F174" i="1"/>
  <c r="CI220" i="1"/>
  <c r="CU220" i="1" s="1"/>
  <c r="CW220" i="1" s="1"/>
  <c r="F220" i="1"/>
  <c r="CI401" i="1"/>
  <c r="CU401" i="1" s="1"/>
  <c r="CW401" i="1" s="1"/>
  <c r="CI80" i="1"/>
  <c r="CU80" i="1" s="1"/>
  <c r="CW80" i="1" s="1"/>
  <c r="BL80" i="1"/>
  <c r="CK80" i="1" s="1"/>
  <c r="F80" i="1"/>
  <c r="CI11" i="1"/>
  <c r="CU11" i="1" s="1"/>
  <c r="CW11" i="1" s="1"/>
  <c r="BL11" i="1"/>
  <c r="CK11" i="1" s="1"/>
  <c r="CI121" i="1"/>
  <c r="CU121" i="1" s="1"/>
  <c r="CW121" i="1" s="1"/>
  <c r="BL121" i="1"/>
  <c r="CK121" i="1" s="1"/>
  <c r="CI203" i="1"/>
  <c r="CU203" i="1" s="1"/>
  <c r="CW203" i="1" s="1"/>
  <c r="BL203" i="1"/>
  <c r="CK203" i="1" s="1"/>
  <c r="CI30" i="1"/>
  <c r="CU30" i="1" s="1"/>
  <c r="CW30" i="1" s="1"/>
  <c r="BL30" i="1"/>
  <c r="CK30" i="1" s="1"/>
  <c r="CI159" i="1"/>
  <c r="CU159" i="1" s="1"/>
  <c r="CW159" i="1" s="1"/>
  <c r="BL159" i="1"/>
  <c r="CK159" i="1" s="1"/>
  <c r="CI10" i="1"/>
  <c r="CU10" i="1" s="1"/>
  <c r="CW10" i="1" s="1"/>
  <c r="BL10" i="1"/>
  <c r="CK10" i="1" s="1"/>
  <c r="CI137" i="1"/>
  <c r="CU137" i="1" s="1"/>
  <c r="CW137" i="1" s="1"/>
  <c r="BL137" i="1"/>
  <c r="CK137" i="1" s="1"/>
  <c r="CK225" i="1" l="1"/>
  <c r="CK1807" i="1"/>
  <c r="CK566" i="1"/>
  <c r="CK817" i="1"/>
  <c r="CK928" i="1"/>
  <c r="CK1188" i="1"/>
  <c r="CK1454" i="1"/>
  <c r="CK1320" i="1"/>
  <c r="CK1155" i="1"/>
  <c r="CV1477" i="1"/>
  <c r="CW1477" i="1" s="1"/>
  <c r="CK3" i="1"/>
  <c r="CL3" i="1"/>
  <c r="CW485" i="1"/>
  <c r="CW474" i="1"/>
  <c r="CW1662" i="1"/>
  <c r="CW1848" i="1"/>
  <c r="CW1717" i="1"/>
  <c r="CW1721" i="1"/>
  <c r="CW1819" i="1"/>
  <c r="CW1825" i="1"/>
  <c r="CW1693" i="1"/>
  <c r="CW1926" i="1"/>
  <c r="CW1722" i="1"/>
  <c r="CW1762" i="1"/>
  <c r="CW1865" i="1"/>
  <c r="CW1661" i="1"/>
  <c r="CW1782" i="1"/>
  <c r="CW1933" i="1"/>
  <c r="CW480" i="1"/>
  <c r="CW1672" i="1"/>
  <c r="CW1968" i="1"/>
  <c r="CW1625" i="1"/>
  <c r="CW1898" i="1"/>
  <c r="CW1902" i="1"/>
  <c r="CW1892" i="1"/>
  <c r="CW1616" i="1"/>
  <c r="CW1726" i="1"/>
  <c r="CW1781" i="1"/>
  <c r="CW1793" i="1"/>
  <c r="CW1684" i="1"/>
  <c r="CW1794" i="1"/>
  <c r="CW1916" i="1"/>
  <c r="CW1890" i="1"/>
  <c r="CW2034" i="1"/>
  <c r="CW1885" i="1"/>
  <c r="CW1678" i="1"/>
  <c r="CW1964" i="1"/>
  <c r="CW1967" i="1"/>
  <c r="CW1783" i="1"/>
  <c r="CW1764" i="1"/>
  <c r="CW438" i="1"/>
  <c r="CW1655" i="1"/>
  <c r="CW1744" i="1"/>
  <c r="CW1660" i="1"/>
  <c r="CW2008" i="1"/>
  <c r="CW1751" i="1"/>
  <c r="CW1876" i="1"/>
  <c r="CW1738" i="1"/>
  <c r="CW1759" i="1"/>
  <c r="CW1747" i="1"/>
  <c r="CW1734" i="1"/>
  <c r="CW1757" i="1"/>
  <c r="CW1822" i="1"/>
  <c r="CW1834" i="1"/>
  <c r="CW1714" i="1"/>
  <c r="CW433" i="1"/>
  <c r="CW432" i="1"/>
  <c r="CW471" i="1"/>
  <c r="CW473" i="1"/>
  <c r="CW1769" i="1"/>
  <c r="CW1918" i="1"/>
  <c r="CW1695" i="1"/>
  <c r="CW1711" i="1"/>
  <c r="CW1756" i="1"/>
  <c r="CW1682" i="1"/>
  <c r="CW1739" i="1"/>
  <c r="CW1931" i="1"/>
  <c r="CW2015" i="1"/>
  <c r="CW437" i="1"/>
  <c r="CW2009" i="1"/>
  <c r="CW1708" i="1"/>
  <c r="CW1884" i="1"/>
  <c r="CW1697" i="1"/>
  <c r="CW1830" i="1"/>
  <c r="CW505" i="1"/>
  <c r="CW450" i="1"/>
  <c r="CW1940" i="1"/>
  <c r="CW1862" i="1"/>
  <c r="CW1922" i="1"/>
  <c r="CW1686" i="1"/>
  <c r="CW1643" i="1"/>
  <c r="CW1953" i="1"/>
  <c r="CW1737" i="1"/>
  <c r="CW1701" i="1"/>
  <c r="CW1650" i="1"/>
  <c r="CW1681" i="1"/>
  <c r="CW464" i="1"/>
  <c r="CW434" i="1"/>
  <c r="CW483" i="1"/>
  <c r="CW484" i="1"/>
  <c r="CW436" i="1"/>
  <c r="CW472" i="1"/>
  <c r="CW482" i="1"/>
  <c r="CW477" i="1"/>
  <c r="CW1727" i="1"/>
  <c r="CW1770" i="1"/>
  <c r="CW1645" i="1"/>
  <c r="CW1656" i="1"/>
  <c r="CW1874" i="1"/>
  <c r="CW1814" i="1"/>
  <c r="CW1706" i="1"/>
  <c r="CW1648" i="1"/>
  <c r="CW1698" i="1"/>
  <c r="CW1720" i="1"/>
  <c r="CW1821" i="1"/>
  <c r="CW1810" i="1"/>
  <c r="CW1702" i="1"/>
  <c r="CW1703" i="1"/>
  <c r="CW1882" i="1"/>
  <c r="CW1785" i="1"/>
  <c r="CW1808" i="1"/>
  <c r="CW1775" i="1"/>
  <c r="CW1921" i="1"/>
  <c r="CW1941" i="1"/>
  <c r="CW1853" i="1"/>
  <c r="CW1860" i="1"/>
  <c r="CW1877" i="1"/>
  <c r="CW2016" i="1"/>
  <c r="CW1725" i="1"/>
  <c r="CW1716" i="1"/>
  <c r="CW1685" i="1"/>
  <c r="CW1950" i="1"/>
  <c r="CW1614" i="1"/>
  <c r="CW1772" i="1"/>
  <c r="CW1857" i="1"/>
  <c r="CW1622" i="1"/>
  <c r="CW509" i="1"/>
  <c r="CW479" i="1"/>
  <c r="CW2012" i="1"/>
  <c r="CW440" i="1"/>
  <c r="CW1618" i="1"/>
  <c r="CW1813" i="1"/>
  <c r="CW1829" i="1"/>
  <c r="CW2014" i="1"/>
  <c r="CW1871" i="1"/>
  <c r="CW1932" i="1"/>
  <c r="CW1934" i="1"/>
  <c r="CW467" i="1"/>
  <c r="CW444" i="1"/>
  <c r="CW492" i="1"/>
  <c r="CW1880" i="1"/>
  <c r="CW1999" i="1"/>
  <c r="CW1816" i="1"/>
  <c r="CW1803" i="1"/>
  <c r="CW1815" i="1"/>
  <c r="CW1812" i="1"/>
  <c r="CW1679" i="1"/>
  <c r="CW1687" i="1"/>
  <c r="CW1854" i="1"/>
  <c r="CW1899" i="1"/>
  <c r="CW1799" i="1"/>
  <c r="CW1732" i="1"/>
  <c r="CW1730" i="1"/>
  <c r="CW1780" i="1"/>
  <c r="CW1791" i="1"/>
  <c r="CW1792" i="1"/>
  <c r="CW1949" i="1"/>
  <c r="CW481" i="1"/>
  <c r="CW1910" i="1"/>
  <c r="CW476" i="1"/>
  <c r="CW435" i="1"/>
  <c r="CW1873" i="1"/>
  <c r="CW1700" i="1"/>
  <c r="CW1736" i="1"/>
  <c r="CW1723" i="1"/>
  <c r="CW1704" i="1"/>
  <c r="CW1665" i="1"/>
  <c r="CW2018" i="1"/>
  <c r="CW1886" i="1"/>
  <c r="CW1659" i="1"/>
  <c r="CW1920" i="1"/>
  <c r="CW1962" i="1"/>
  <c r="CW1861" i="1"/>
  <c r="CW1839" i="1"/>
  <c r="CW1846" i="1"/>
  <c r="CW1624" i="1"/>
  <c r="CW1840" i="1"/>
  <c r="CW1888" i="1"/>
  <c r="CW510" i="1"/>
  <c r="CW1883" i="1"/>
  <c r="CW469" i="1"/>
  <c r="CW1646" i="1"/>
  <c r="CW504" i="1"/>
  <c r="CW1688" i="1"/>
  <c r="CW508" i="1"/>
  <c r="CW2013" i="1"/>
  <c r="CW2017" i="1"/>
  <c r="CW1930" i="1"/>
  <c r="CW1935" i="1"/>
  <c r="CW1864" i="1"/>
  <c r="CW1773" i="1"/>
  <c r="CW1699" i="1"/>
  <c r="CW1811" i="1"/>
  <c r="CW1778" i="1"/>
  <c r="CW1731" i="1"/>
  <c r="CW1779" i="1"/>
  <c r="CW1954" i="1"/>
  <c r="CW2031" i="1"/>
  <c r="CW2002" i="1"/>
  <c r="CW1617" i="1"/>
  <c r="CW1715" i="1"/>
  <c r="CW1621" i="1"/>
  <c r="CW1966" i="1"/>
  <c r="CW1906" i="1"/>
  <c r="CW1647" i="1"/>
  <c r="CW1613" i="1"/>
  <c r="CW1666" i="1"/>
  <c r="CW1887" i="1"/>
  <c r="CW441" i="1"/>
  <c r="CW1901" i="1"/>
  <c r="CW1944" i="1"/>
  <c r="CW1627" i="1"/>
  <c r="CW1668" i="1"/>
  <c r="CW1673" i="1"/>
  <c r="CW1745" i="1"/>
  <c r="CW1753" i="1"/>
  <c r="CW1743" i="1"/>
  <c r="CW1827" i="1"/>
  <c r="CW1842" i="1"/>
  <c r="CW1712" i="1"/>
  <c r="CW1836" i="1"/>
  <c r="CW1869" i="1"/>
  <c r="CW465" i="1"/>
  <c r="CW1630" i="1"/>
  <c r="CW1719" i="1"/>
  <c r="CW1632" i="1"/>
  <c r="CW1746" i="1"/>
  <c r="CW468" i="1"/>
  <c r="CW1879" i="1"/>
  <c r="CW1868" i="1"/>
  <c r="CW1651" i="1"/>
  <c r="CW2020" i="1"/>
  <c r="CW1683" i="1"/>
  <c r="CW1841" i="1"/>
  <c r="CW1896" i="1"/>
  <c r="CW1800" i="1"/>
  <c r="CW1838" i="1"/>
  <c r="CW1958" i="1"/>
  <c r="CW1951" i="1"/>
  <c r="CW1774" i="1"/>
  <c r="CW1796" i="1"/>
  <c r="CW2024" i="1"/>
  <c r="CW1863" i="1"/>
  <c r="CW1689" i="1"/>
  <c r="CW2003" i="1"/>
  <c r="CW2001" i="1"/>
  <c r="CW1881" i="1"/>
  <c r="CW1894" i="1"/>
  <c r="CW1631" i="1"/>
  <c r="CW1823" i="1"/>
  <c r="CW1709" i="1"/>
  <c r="CW1907" i="1"/>
  <c r="CW1965" i="1"/>
  <c r="CW1634" i="1"/>
  <c r="CW1623" i="1"/>
  <c r="CW1768" i="1"/>
  <c r="CW1635" i="1"/>
  <c r="CW1856" i="1"/>
  <c r="CW2019" i="1"/>
  <c r="CW1788" i="1"/>
  <c r="CW439" i="1"/>
  <c r="CW1755" i="1"/>
  <c r="CW1824" i="1"/>
  <c r="CW1870" i="1"/>
  <c r="CW1729" i="1"/>
  <c r="CW442" i="1"/>
  <c r="CW1667" i="1"/>
  <c r="CW1758" i="1"/>
  <c r="CW1664" i="1"/>
  <c r="CW1653" i="1"/>
  <c r="CW449" i="1"/>
  <c r="CW1804" i="1"/>
  <c r="CW1728" i="1"/>
  <c r="CW1742" i="1"/>
  <c r="CW1677" i="1"/>
  <c r="CW1733" i="1"/>
  <c r="CW1750" i="1"/>
  <c r="CW1754" i="1"/>
  <c r="CW1849" i="1"/>
  <c r="CW1748" i="1"/>
  <c r="CW1741" i="1"/>
  <c r="CW1752" i="1"/>
  <c r="CW1777" i="1"/>
  <c r="CW1749" i="1"/>
  <c r="CW1850" i="1"/>
  <c r="CW1817" i="1"/>
  <c r="CW1828" i="1"/>
  <c r="CW1767" i="1"/>
  <c r="CW1707" i="1"/>
  <c r="CW1713" i="1"/>
  <c r="CW475" i="1"/>
  <c r="CW1663" i="1"/>
  <c r="CW1619" i="1"/>
  <c r="CW1654" i="1"/>
  <c r="CW1771" i="1"/>
  <c r="CW1640" i="1"/>
  <c r="CW1658" i="1"/>
  <c r="CW1694" i="1"/>
  <c r="CW1644" i="1"/>
  <c r="CW1710" i="1"/>
  <c r="CW1692" i="1"/>
  <c r="CW1691" i="1"/>
  <c r="CW1740" i="1"/>
  <c r="CW1724" i="1"/>
  <c r="CW1765" i="1"/>
  <c r="CW1760" i="1"/>
  <c r="CW2010" i="1"/>
  <c r="CW2035" i="1"/>
  <c r="CW1705" i="1"/>
  <c r="CW1620" i="1"/>
  <c r="CW1798" i="1"/>
  <c r="CW1735" i="1"/>
  <c r="CW1809" i="1"/>
  <c r="CW1680" i="1"/>
  <c r="CW503" i="1"/>
  <c r="CW1859" i="1"/>
  <c r="CW1889" i="1"/>
  <c r="CW1893" i="1"/>
  <c r="CW1917" i="1"/>
  <c r="CW1763" i="1"/>
  <c r="CW446" i="1"/>
  <c r="CW443" i="1"/>
  <c r="CW1807" i="1"/>
  <c r="CW1867" i="1"/>
  <c r="CW494" i="1"/>
  <c r="CW2029" i="1"/>
  <c r="CW1805" i="1"/>
  <c r="CW1831" i="1"/>
  <c r="CW1948" i="1"/>
  <c r="CW1919" i="1"/>
  <c r="CW1905" i="1"/>
  <c r="CW1801" i="1"/>
  <c r="CW1636" i="1"/>
  <c r="CW1802" i="1"/>
  <c r="CW1657" i="1"/>
  <c r="CW1956" i="1"/>
  <c r="CW2025" i="1"/>
  <c r="CW1669" i="1"/>
  <c r="CW1844" i="1"/>
  <c r="CW1766" i="1"/>
  <c r="CW1790" i="1"/>
  <c r="CW1649" i="1"/>
  <c r="CW1671" i="1"/>
  <c r="CW1690" i="1"/>
  <c r="CW3" i="1"/>
  <c r="CW487" i="1"/>
  <c r="CW1994" i="1"/>
  <c r="CW496" i="1"/>
  <c r="CW456" i="1"/>
  <c r="CW495" i="1"/>
  <c r="CW454" i="1"/>
  <c r="CW489" i="1"/>
  <c r="CW459" i="1"/>
  <c r="CW486" i="1"/>
  <c r="CW490" i="1"/>
  <c r="CW1914" i="1"/>
  <c r="CW1912" i="1"/>
  <c r="CW451" i="1"/>
  <c r="CW1995" i="1"/>
  <c r="CW498" i="1"/>
  <c r="CW457" i="1"/>
  <c r="CW497" i="1"/>
  <c r="CW460" i="1"/>
  <c r="CW452" i="1"/>
  <c r="CW453" i="1"/>
  <c r="CW1913" i="1"/>
  <c r="CW1911" i="1"/>
  <c r="CW1973" i="1"/>
  <c r="CW462" i="1"/>
  <c r="CW1961" i="1"/>
  <c r="CW461" i="1"/>
  <c r="CW458" i="1"/>
  <c r="CW455" i="1"/>
  <c r="CW488" i="1"/>
  <c r="CW1866" i="1"/>
  <c r="CW1776" i="1"/>
  <c r="CW507" i="1"/>
  <c r="CW500" i="1"/>
  <c r="CW491" i="1"/>
  <c r="CW817" i="1"/>
  <c r="CW1454" i="1"/>
  <c r="CW447" i="1"/>
  <c r="CW928" i="1"/>
  <c r="CW1188" i="1"/>
  <c r="CW1320" i="1"/>
  <c r="CW1155" i="1"/>
  <c r="CW566" i="1"/>
  <c r="CN494" i="1"/>
  <c r="CW1897" i="1"/>
  <c r="CN1652" i="1"/>
  <c r="CW1652" i="1"/>
  <c r="CN225" i="1"/>
  <c r="CW1878" i="1"/>
  <c r="CW1510" i="1"/>
  <c r="CW568" i="1"/>
  <c r="CJ1964" i="1"/>
  <c r="CJ1647" i="1"/>
  <c r="CR1647" i="1" s="1"/>
  <c r="CJ1666" i="1"/>
  <c r="CR1666" i="1" s="1"/>
  <c r="CJ1887" i="1"/>
  <c r="CJ1973" i="1"/>
  <c r="CJ1627" i="1"/>
  <c r="CJ1827" i="1"/>
  <c r="CJ1698" i="1"/>
  <c r="CR1698" i="1" s="1"/>
  <c r="CJ1658" i="1"/>
  <c r="CR1658" i="1" s="1"/>
  <c r="CJ1692" i="1"/>
  <c r="CR1692" i="1" s="1"/>
  <c r="CJ1844" i="1"/>
  <c r="CJ1790" i="1"/>
  <c r="CR1790" i="1" s="1"/>
  <c r="CJ1690" i="1"/>
  <c r="CR1690" i="1" s="1"/>
  <c r="CR1652" i="1"/>
  <c r="CJ1911" i="1"/>
  <c r="CJ1825" i="1"/>
  <c r="CR1825" i="1" s="1"/>
  <c r="CJ1920" i="1"/>
  <c r="CR1920" i="1" s="1"/>
  <c r="CJ1661" i="1"/>
  <c r="CR1661" i="1" s="1"/>
  <c r="CJ1813" i="1"/>
  <c r="CR1813" i="1" s="1"/>
  <c r="CJ1893" i="1"/>
  <c r="CR1893" i="1" s="1"/>
  <c r="CJ1778" i="1"/>
  <c r="CJ1616" i="1"/>
  <c r="CJ1726" i="1"/>
  <c r="CR1726" i="1" s="1"/>
  <c r="CJ1801" i="1"/>
  <c r="CR1801" i="1" s="1"/>
  <c r="CJ1988" i="1"/>
  <c r="CJ1984" i="1"/>
  <c r="CJ1916" i="1"/>
  <c r="CR1916" i="1" s="1"/>
  <c r="CJ2002" i="1"/>
  <c r="CR2002" i="1" s="1"/>
  <c r="CJ1764" i="1"/>
  <c r="CR1764" i="1" s="1"/>
  <c r="CJ2008" i="1"/>
  <c r="CR2008" i="1" s="1"/>
  <c r="CJ1810" i="1"/>
  <c r="CR1810" i="1" s="1"/>
  <c r="CJ1640" i="1"/>
  <c r="CR1640" i="1" s="1"/>
  <c r="CJ1765" i="1"/>
  <c r="CR1765" i="1" s="1"/>
  <c r="CJ1703" i="1"/>
  <c r="CR1703" i="1" s="1"/>
  <c r="CJ1785" i="1"/>
  <c r="CR1785" i="1" s="1"/>
  <c r="CJ1775" i="1"/>
  <c r="CR1775" i="1" s="1"/>
  <c r="CJ1772" i="1"/>
  <c r="CJ1871" i="1"/>
  <c r="CR1871" i="1" s="1"/>
  <c r="CJ1854" i="1"/>
  <c r="CJ1730" i="1"/>
  <c r="CR1730" i="1" s="1"/>
  <c r="CJ1791" i="1"/>
  <c r="CR1791" i="1" s="1"/>
  <c r="CJ1986" i="1"/>
  <c r="CJ1993" i="1"/>
  <c r="CJ1983" i="1"/>
  <c r="CJ1978" i="1"/>
  <c r="CJ1774" i="1"/>
  <c r="CR1774" i="1" s="1"/>
  <c r="CJ1794" i="1"/>
  <c r="CJ1766" i="1"/>
  <c r="CR1766" i="1" s="1"/>
  <c r="CJ1649" i="1"/>
  <c r="CR1649" i="1" s="1"/>
  <c r="CJ1644" i="1"/>
  <c r="CJ1808" i="1"/>
  <c r="CR1808" i="1" s="1"/>
  <c r="CJ1857" i="1"/>
  <c r="CJ1995" i="1"/>
  <c r="CJ1867" i="1"/>
  <c r="CJ1687" i="1"/>
  <c r="CR1687" i="1" s="1"/>
  <c r="CJ1899" i="1"/>
  <c r="CJ1732" i="1"/>
  <c r="CR1732" i="1" s="1"/>
  <c r="CJ1683" i="1"/>
  <c r="CR1683" i="1" s="1"/>
  <c r="CJ1982" i="1"/>
  <c r="CJ1990" i="1"/>
  <c r="CJ1981" i="1"/>
  <c r="CJ1953" i="1"/>
  <c r="CR1953" i="1" s="1"/>
  <c r="CJ2003" i="1"/>
  <c r="CR2003" i="1" s="1"/>
  <c r="CJ2009" i="1"/>
  <c r="CR2009" i="1" s="1"/>
  <c r="CJ1697" i="1"/>
  <c r="CR1697" i="1" s="1"/>
  <c r="CJ1693" i="1"/>
  <c r="CR1693" i="1" s="1"/>
  <c r="CJ1839" i="1"/>
  <c r="CW1946" i="1"/>
  <c r="CW1837" i="1"/>
  <c r="CJ1737" i="1"/>
  <c r="CR1737" i="1" s="1"/>
  <c r="CJ1752" i="1"/>
  <c r="CJ2027" i="1"/>
  <c r="CR2027" i="1" s="1"/>
  <c r="CJ1819" i="1"/>
  <c r="CJ1918" i="1"/>
  <c r="CJ2015" i="1"/>
  <c r="CR2015" i="1" s="1"/>
  <c r="CW1826" i="1"/>
  <c r="CJ1630" i="1"/>
  <c r="CJ1926" i="1"/>
  <c r="CJ1861" i="1"/>
  <c r="CJ1866" i="1"/>
  <c r="CJ1840" i="1"/>
  <c r="CJ1888" i="1"/>
  <c r="CJ1646" i="1"/>
  <c r="CR1646" i="1" s="1"/>
  <c r="CJ2017" i="1"/>
  <c r="CR2017" i="1" s="1"/>
  <c r="CJ1917" i="1"/>
  <c r="CR1917" i="1" s="1"/>
  <c r="CJ1932" i="1"/>
  <c r="CR1932" i="1" s="1"/>
  <c r="CJ1970" i="1"/>
  <c r="CJ1811" i="1"/>
  <c r="CR1811" i="1" s="1"/>
  <c r="CJ1679" i="1"/>
  <c r="CR1679" i="1" s="1"/>
  <c r="CJ1731" i="1"/>
  <c r="CR1731" i="1" s="1"/>
  <c r="CJ1992" i="1"/>
  <c r="CJ1985" i="1"/>
  <c r="CJ1974" i="1"/>
  <c r="CJ1956" i="1"/>
  <c r="CR1956" i="1" s="1"/>
  <c r="CJ1796" i="1"/>
  <c r="CJ1890" i="1"/>
  <c r="CJ2024" i="1"/>
  <c r="CR2024" i="1" s="1"/>
  <c r="CJ1863" i="1"/>
  <c r="CJ1689" i="1"/>
  <c r="CR1689" i="1" s="1"/>
  <c r="CJ509" i="1"/>
  <c r="CJ500" i="1"/>
  <c r="CR500" i="1" s="1"/>
  <c r="CJ291" i="1"/>
  <c r="CR291" i="1" s="1"/>
  <c r="CJ253" i="1"/>
  <c r="CR253" i="1" s="1"/>
  <c r="CJ451" i="1"/>
  <c r="CR451" i="1" s="1"/>
  <c r="CW445" i="1"/>
  <c r="CJ465" i="1"/>
  <c r="CR465" i="1" s="1"/>
  <c r="CJ256" i="1"/>
  <c r="CR256" i="1" s="1"/>
  <c r="CJ88" i="1"/>
  <c r="CR88" i="1" s="1"/>
  <c r="CJ54" i="1"/>
  <c r="CR54" i="1" s="1"/>
  <c r="CJ352" i="1"/>
  <c r="CR352" i="1" s="1"/>
  <c r="CJ454" i="1"/>
  <c r="CR454" i="1" s="1"/>
  <c r="CJ510" i="1"/>
  <c r="CJ313" i="1"/>
  <c r="CR313" i="1" s="1"/>
  <c r="CJ248" i="1"/>
  <c r="CR248" i="1" s="1"/>
  <c r="CJ414" i="1"/>
  <c r="CJ425" i="1"/>
  <c r="CJ91" i="1"/>
  <c r="CJ409" i="1"/>
  <c r="CJ73" i="1"/>
  <c r="CJ403" i="1"/>
  <c r="CJ305" i="1"/>
  <c r="CR305" i="1" s="1"/>
  <c r="CJ96" i="1"/>
  <c r="CJ179" i="1"/>
  <c r="CR179" i="1" s="1"/>
  <c r="CJ224" i="1"/>
  <c r="CJ115" i="1"/>
  <c r="CR115" i="1" s="1"/>
  <c r="CJ261" i="1"/>
  <c r="CJ315" i="1"/>
  <c r="CR315" i="1" s="1"/>
  <c r="CJ242" i="1"/>
  <c r="CR242" i="1" s="1"/>
  <c r="CJ316" i="1"/>
  <c r="CR316" i="1" s="1"/>
  <c r="CJ106" i="1"/>
  <c r="CR106" i="1" s="1"/>
  <c r="CJ175" i="1"/>
  <c r="CJ30" i="1"/>
  <c r="CJ401" i="1"/>
  <c r="CJ61" i="1"/>
  <c r="CJ2031" i="1"/>
  <c r="CR2031" i="1" s="1"/>
  <c r="CJ319" i="1"/>
  <c r="CR319" i="1" s="1"/>
  <c r="CJ473" i="1"/>
  <c r="CR473" i="1" s="1"/>
  <c r="CJ122" i="1"/>
  <c r="CR122" i="1" s="1"/>
  <c r="CJ117" i="1"/>
  <c r="CR117" i="1" s="1"/>
  <c r="CJ189" i="1"/>
  <c r="CR189" i="1" s="1"/>
  <c r="CJ343" i="1"/>
  <c r="CR343" i="1" s="1"/>
  <c r="CW501" i="1"/>
  <c r="CJ320" i="1"/>
  <c r="CJ213" i="1"/>
  <c r="CR213" i="1" s="1"/>
  <c r="CJ127" i="1"/>
  <c r="CR127" i="1" s="1"/>
  <c r="CJ274" i="1"/>
  <c r="CR274" i="1" s="1"/>
  <c r="CW506" i="1"/>
  <c r="CJ132" i="1"/>
  <c r="CR132" i="1" s="1"/>
  <c r="CJ477" i="1"/>
  <c r="CR477" i="1" s="1"/>
  <c r="CJ114" i="1"/>
  <c r="CJ53" i="1"/>
  <c r="CR53" i="1" s="1"/>
  <c r="CJ297" i="1"/>
  <c r="CR297" i="1" s="1"/>
  <c r="CJ344" i="1"/>
  <c r="CJ377" i="1"/>
  <c r="CJ215" i="1"/>
  <c r="CJ466" i="1"/>
  <c r="CR466" i="1" s="1"/>
  <c r="CW466" i="1"/>
  <c r="CJ17" i="1"/>
  <c r="CJ413" i="1"/>
  <c r="CJ105" i="1"/>
  <c r="CR105" i="1" s="1"/>
  <c r="CJ239" i="1"/>
  <c r="CJ460" i="1"/>
  <c r="CR460" i="1" s="1"/>
  <c r="CJ2030" i="1"/>
  <c r="CR2030" i="1" s="1"/>
  <c r="CJ145" i="1"/>
  <c r="CJ481" i="1"/>
  <c r="CR481" i="1" s="1"/>
  <c r="CJ312" i="1"/>
  <c r="CJ11" i="1"/>
  <c r="CJ333" i="1"/>
  <c r="CJ69" i="1"/>
  <c r="CR69" i="1" s="1"/>
  <c r="CJ507" i="1"/>
  <c r="CR507" i="1" s="1"/>
  <c r="CJ361" i="1"/>
  <c r="CR361" i="1" s="1"/>
  <c r="CJ415" i="1"/>
  <c r="CJ294" i="1"/>
  <c r="CR294" i="1" s="1"/>
  <c r="CJ368" i="1"/>
  <c r="CR368" i="1" s="1"/>
  <c r="CJ188" i="1"/>
  <c r="CR188" i="1" s="1"/>
  <c r="CJ373" i="1"/>
  <c r="CR373" i="1" s="1"/>
  <c r="CJ494" i="1"/>
  <c r="CR494" i="1" s="1"/>
  <c r="CJ418" i="1"/>
  <c r="CJ155" i="1"/>
  <c r="CJ311" i="1"/>
  <c r="CJ104" i="1"/>
  <c r="CR104" i="1" s="1"/>
  <c r="CJ159" i="1"/>
  <c r="CJ80" i="1"/>
  <c r="CR80" i="1" s="1"/>
  <c r="CJ216" i="1"/>
  <c r="CJ461" i="1"/>
  <c r="CR461" i="1" s="1"/>
  <c r="CJ120" i="1"/>
  <c r="CR120" i="1" s="1"/>
  <c r="CJ338" i="1"/>
  <c r="CR338" i="1" s="1"/>
  <c r="CJ374" i="1"/>
  <c r="CR374" i="1" s="1"/>
  <c r="CJ485" i="1"/>
  <c r="CR485" i="1" s="1"/>
  <c r="CJ328" i="1"/>
  <c r="CJ365" i="1"/>
  <c r="CR365" i="1" s="1"/>
  <c r="CJ347" i="1"/>
  <c r="CR347" i="1" s="1"/>
  <c r="CJ162" i="1"/>
  <c r="CR162" i="1" s="1"/>
  <c r="CJ144" i="1"/>
  <c r="CR144" i="1" s="1"/>
  <c r="CJ386" i="1"/>
  <c r="CR386" i="1" s="1"/>
  <c r="CJ43" i="1"/>
  <c r="CJ67" i="1"/>
  <c r="CR67" i="1" s="1"/>
  <c r="CJ212" i="1"/>
  <c r="CJ412" i="1"/>
  <c r="CJ147" i="1"/>
  <c r="CJ187" i="1"/>
  <c r="CR187" i="1" s="1"/>
  <c r="CJ459" i="1"/>
  <c r="CR459" i="1" s="1"/>
  <c r="CJ185" i="1"/>
  <c r="CJ310" i="1"/>
  <c r="CJ44" i="1"/>
  <c r="CR44" i="1" s="1"/>
  <c r="CJ378" i="1"/>
  <c r="CR378" i="1" s="1"/>
  <c r="CJ287" i="1"/>
  <c r="CR287" i="1" s="1"/>
  <c r="CJ406" i="1"/>
  <c r="CR406" i="1" s="1"/>
  <c r="CJ381" i="1"/>
  <c r="CR381" i="1" s="1"/>
  <c r="CJ109" i="1"/>
  <c r="CR109" i="1" s="1"/>
  <c r="CJ383" i="1"/>
  <c r="CJ81" i="1"/>
  <c r="CJ32" i="1"/>
  <c r="CJ416" i="1"/>
  <c r="CJ229" i="1"/>
  <c r="CJ172" i="1"/>
  <c r="CJ499" i="1"/>
  <c r="CR499" i="1" s="1"/>
  <c r="CJ325" i="1"/>
  <c r="CR325" i="1" s="1"/>
  <c r="CJ332" i="1"/>
  <c r="CR332" i="1" s="1"/>
  <c r="CJ100" i="1"/>
  <c r="CR100" i="1" s="1"/>
  <c r="CJ169" i="1"/>
  <c r="CJ335" i="1"/>
  <c r="CR335" i="1" s="1"/>
  <c r="CJ161" i="1"/>
  <c r="CR161" i="1" s="1"/>
  <c r="CJ487" i="1"/>
  <c r="CR487" i="1" s="1"/>
  <c r="CJ474" i="1"/>
  <c r="CR474" i="1" s="1"/>
  <c r="CJ221" i="1"/>
  <c r="CJ453" i="1"/>
  <c r="CR453" i="1" s="1"/>
  <c r="CJ275" i="1"/>
  <c r="CR275" i="1" s="1"/>
  <c r="CJ369" i="1"/>
  <c r="CR369" i="1" s="1"/>
  <c r="CJ118" i="1"/>
  <c r="CR118" i="1" s="1"/>
  <c r="CJ476" i="1"/>
  <c r="CR476" i="1" s="1"/>
  <c r="CJ389" i="1"/>
  <c r="CR389" i="1" s="1"/>
  <c r="CJ133" i="1"/>
  <c r="CR133" i="1" s="1"/>
  <c r="CJ435" i="1"/>
  <c r="CR435" i="1" s="1"/>
  <c r="CJ28" i="1"/>
  <c r="CR28" i="1" s="1"/>
  <c r="CJ490" i="1"/>
  <c r="CR490" i="1" s="1"/>
  <c r="CJ421" i="1"/>
  <c r="CJ70" i="1"/>
  <c r="CJ178" i="1"/>
  <c r="CR178" i="1" s="1"/>
  <c r="CJ76" i="1"/>
  <c r="CJ295" i="1"/>
  <c r="CR295" i="1" s="1"/>
  <c r="CJ191" i="1"/>
  <c r="CJ382" i="1"/>
  <c r="CJ470" i="1"/>
  <c r="CR470" i="1" s="1"/>
  <c r="CJ68" i="1"/>
  <c r="CR68" i="1" s="1"/>
  <c r="CJ38" i="1"/>
  <c r="CR38" i="1" s="1"/>
  <c r="CJ360" i="1"/>
  <c r="CR360" i="1" s="1"/>
  <c r="CJ1975" i="1"/>
  <c r="CJ1989" i="1"/>
  <c r="CJ1949" i="1"/>
  <c r="CR1949" i="1" s="1"/>
  <c r="CI181" i="1"/>
  <c r="CU181" i="1" s="1"/>
  <c r="CW181" i="1" s="1"/>
  <c r="CJ166" i="1"/>
  <c r="CJ206" i="1"/>
  <c r="CR206" i="1" s="1"/>
  <c r="CJ314" i="1"/>
  <c r="CJ452" i="1"/>
  <c r="CR452" i="1" s="1"/>
  <c r="CJ367" i="1"/>
  <c r="CR367" i="1" s="1"/>
  <c r="CJ464" i="1"/>
  <c r="CR464" i="1" s="1"/>
  <c r="CJ152" i="1"/>
  <c r="CR152" i="1" s="1"/>
  <c r="CJ326" i="1"/>
  <c r="CJ501" i="1"/>
  <c r="CR501" i="1" s="1"/>
  <c r="CJ283" i="1"/>
  <c r="CR283" i="1" s="1"/>
  <c r="CJ337" i="1"/>
  <c r="CR337" i="1" s="1"/>
  <c r="CJ156" i="1"/>
  <c r="CR156" i="1" s="1"/>
  <c r="CJ340" i="1"/>
  <c r="CJ204" i="1"/>
  <c r="CR204" i="1" s="1"/>
  <c r="CJ350" i="1"/>
  <c r="CJ99" i="1"/>
  <c r="CR99" i="1" s="1"/>
  <c r="CJ330" i="1"/>
  <c r="CR330" i="1" s="1"/>
  <c r="CJ342" i="1"/>
  <c r="CR342" i="1" s="1"/>
  <c r="CJ434" i="1"/>
  <c r="CJ143" i="1"/>
  <c r="CR143" i="1" s="1"/>
  <c r="CJ285" i="1"/>
  <c r="CR285" i="1" s="1"/>
  <c r="CJ200" i="1"/>
  <c r="CR200" i="1" s="1"/>
  <c r="CJ113" i="1"/>
  <c r="CR113" i="1" s="1"/>
  <c r="CJ184" i="1"/>
  <c r="CJ170" i="1"/>
  <c r="CR170" i="1" s="1"/>
  <c r="CJ209" i="1"/>
  <c r="CJ289" i="1"/>
  <c r="CR289" i="1" s="1"/>
  <c r="CJ278" i="1"/>
  <c r="CR278" i="1" s="1"/>
  <c r="CJ366" i="1"/>
  <c r="CR366" i="1" s="1"/>
  <c r="CJ351" i="1"/>
  <c r="CR351" i="1" s="1"/>
  <c r="CJ282" i="1"/>
  <c r="CR282" i="1" s="1"/>
  <c r="CJ483" i="1"/>
  <c r="CR483" i="1" s="1"/>
  <c r="CJ136" i="1"/>
  <c r="CR136" i="1" s="1"/>
  <c r="CJ395" i="1"/>
  <c r="CJ334" i="1"/>
  <c r="CJ484" i="1"/>
  <c r="CR484" i="1" s="1"/>
  <c r="CJ486" i="1"/>
  <c r="CR486" i="1" s="1"/>
  <c r="CJ506" i="1"/>
  <c r="CR506" i="1" s="1"/>
  <c r="CJ205" i="1"/>
  <c r="CR205" i="1" s="1"/>
  <c r="CJ119" i="1"/>
  <c r="CR119" i="1" s="1"/>
  <c r="CJ428" i="1"/>
  <c r="CR428" i="1" s="1"/>
  <c r="CJ436" i="1"/>
  <c r="CR436" i="1" s="1"/>
  <c r="CJ384" i="1"/>
  <c r="CJ355" i="1"/>
  <c r="CJ462" i="1"/>
  <c r="CR462" i="1" s="1"/>
  <c r="CJ268" i="1"/>
  <c r="CR268" i="1" s="1"/>
  <c r="CJ129" i="1"/>
  <c r="CR129" i="1" s="1"/>
  <c r="CJ163" i="1"/>
  <c r="CR163" i="1" s="1"/>
  <c r="CJ226" i="1"/>
  <c r="CR226" i="1" s="1"/>
  <c r="CJ472" i="1"/>
  <c r="CR472" i="1" s="1"/>
  <c r="CJ142" i="1"/>
  <c r="CR142" i="1" s="1"/>
  <c r="CJ193" i="1"/>
  <c r="CR193" i="1" s="1"/>
  <c r="CJ482" i="1"/>
  <c r="CR482" i="1" s="1"/>
  <c r="CJ1662" i="1"/>
  <c r="CR1662" i="1" s="1"/>
  <c r="CJ1727" i="1"/>
  <c r="CR1727" i="1" s="1"/>
  <c r="CJ21" i="1"/>
  <c r="CR21" i="1" s="1"/>
  <c r="CJ1770" i="1"/>
  <c r="CR1770" i="1" s="1"/>
  <c r="CJ27" i="1"/>
  <c r="CR27" i="1" s="1"/>
  <c r="CJ1645" i="1"/>
  <c r="CR1645" i="1" s="1"/>
  <c r="CJ1848" i="1"/>
  <c r="CR1848" i="1" s="1"/>
  <c r="CJ1656" i="1"/>
  <c r="CR1656" i="1" s="1"/>
  <c r="CJ1913" i="1"/>
  <c r="CJ1914" i="1"/>
  <c r="CJ1873" i="1"/>
  <c r="CJ1874" i="1"/>
  <c r="CJ1912" i="1"/>
  <c r="CJ1700" i="1"/>
  <c r="CJ1814" i="1"/>
  <c r="CJ1717" i="1"/>
  <c r="CJ1706" i="1"/>
  <c r="CR1706" i="1" s="1"/>
  <c r="CJ1648" i="1"/>
  <c r="CR1648" i="1" s="1"/>
  <c r="CJ168" i="1"/>
  <c r="CR168" i="1" s="1"/>
  <c r="CJ1736" i="1"/>
  <c r="CR1736" i="1" s="1"/>
  <c r="CJ1720" i="1"/>
  <c r="CR1720" i="1" s="1"/>
  <c r="CJ1723" i="1"/>
  <c r="CR1723" i="1" s="1"/>
  <c r="CJ77" i="1"/>
  <c r="CR77" i="1" s="1"/>
  <c r="CJ1721" i="1"/>
  <c r="CR1721" i="1" s="1"/>
  <c r="CJ78" i="1"/>
  <c r="CR78" i="1" s="1"/>
  <c r="CJ23" i="1"/>
  <c r="CR23" i="1" s="1"/>
  <c r="CJ1821" i="1"/>
  <c r="CJ1704" i="1"/>
  <c r="CR1704" i="1" s="1"/>
  <c r="CJ1702" i="1"/>
  <c r="CR1702" i="1" s="1"/>
  <c r="CJ64" i="1"/>
  <c r="CR64" i="1" s="1"/>
  <c r="CJ1665" i="1"/>
  <c r="CR1665" i="1" s="1"/>
  <c r="CJ1620" i="1"/>
  <c r="CR1620" i="1" s="1"/>
  <c r="CJ1884" i="1"/>
  <c r="CR1884" i="1" s="1"/>
  <c r="CJ1798" i="1"/>
  <c r="CJ2000" i="1"/>
  <c r="CR2000" i="1" s="1"/>
  <c r="CJ1735" i="1"/>
  <c r="CR1735" i="1" s="1"/>
  <c r="CJ1719" i="1"/>
  <c r="CR1719" i="1" s="1"/>
  <c r="CJ1809" i="1"/>
  <c r="CR1809" i="1" s="1"/>
  <c r="CJ1830" i="1"/>
  <c r="CJ2018" i="1"/>
  <c r="CR2018" i="1" s="1"/>
  <c r="CJ1882" i="1"/>
  <c r="CJ1886" i="1"/>
  <c r="CR1886" i="1" s="1"/>
  <c r="CJ1659" i="1"/>
  <c r="CR1659" i="1" s="1"/>
  <c r="CJ1921" i="1"/>
  <c r="CJ1941" i="1"/>
  <c r="CR1941" i="1" s="1"/>
  <c r="CJ1962" i="1"/>
  <c r="CJ1853" i="1"/>
  <c r="CJ1860" i="1"/>
  <c r="CJ1877" i="1"/>
  <c r="CJ98" i="1"/>
  <c r="CR98" i="1" s="1"/>
  <c r="CJ87" i="1"/>
  <c r="CR87" i="1" s="1"/>
  <c r="CJ1930" i="1"/>
  <c r="CR1930" i="1" s="1"/>
  <c r="CJ1933" i="1"/>
  <c r="CR1933" i="1" s="1"/>
  <c r="CJ1934" i="1"/>
  <c r="CR1934" i="1" s="1"/>
  <c r="CJ1935" i="1"/>
  <c r="CJ301" i="1"/>
  <c r="CR301" i="1" s="1"/>
  <c r="CJ263" i="1"/>
  <c r="CR263" i="1" s="1"/>
  <c r="CJ36" i="1"/>
  <c r="CJ349" i="1"/>
  <c r="CJ103" i="1"/>
  <c r="CR103" i="1" s="1"/>
  <c r="CJ379" i="1"/>
  <c r="CJ240" i="1"/>
  <c r="CR240" i="1" s="1"/>
  <c r="CJ346" i="1"/>
  <c r="CJ422" i="1"/>
  <c r="CJ246" i="1"/>
  <c r="CR246" i="1" s="1"/>
  <c r="CJ447" i="1"/>
  <c r="CR447" i="1" s="1"/>
  <c r="CJ171" i="1"/>
  <c r="CJ165" i="1"/>
  <c r="CJ241" i="1"/>
  <c r="CR241" i="1" s="1"/>
  <c r="CJ468" i="1"/>
  <c r="CR468" i="1" s="1"/>
  <c r="CJ237" i="1"/>
  <c r="CR237" i="1" s="1"/>
  <c r="CJ480" i="1"/>
  <c r="CR480" i="1" s="1"/>
  <c r="CJ317" i="1"/>
  <c r="CJ249" i="1"/>
  <c r="CR249" i="1" s="1"/>
  <c r="CJ139" i="1"/>
  <c r="CJ2029" i="1"/>
  <c r="CR2029" i="1" s="1"/>
  <c r="CJ1805" i="1"/>
  <c r="CJ1940" i="1"/>
  <c r="CJ1831" i="1"/>
  <c r="CJ1841" i="1"/>
  <c r="CJ1948" i="1"/>
  <c r="CJ1862" i="1"/>
  <c r="CJ1919" i="1"/>
  <c r="CJ1896" i="1"/>
  <c r="CJ1905" i="1"/>
  <c r="CJ1922" i="1"/>
  <c r="CJ1686" i="1"/>
  <c r="CJ1636" i="1"/>
  <c r="CR1636" i="1" s="1"/>
  <c r="CJ1800" i="1"/>
  <c r="CJ1802" i="1"/>
  <c r="CJ1643" i="1"/>
  <c r="CJ1657" i="1"/>
  <c r="CR1657" i="1" s="1"/>
  <c r="CJ1838" i="1"/>
  <c r="CJ1977" i="1"/>
  <c r="CJ1987" i="1"/>
  <c r="CJ1976" i="1"/>
  <c r="CJ1979" i="1"/>
  <c r="CJ1991" i="1"/>
  <c r="CJ1980" i="1"/>
  <c r="CJ1951" i="1"/>
  <c r="CR1951" i="1" s="1"/>
  <c r="CJ1954" i="1"/>
  <c r="CJ2026" i="1"/>
  <c r="CR2026" i="1" s="1"/>
  <c r="CJ255" i="1"/>
  <c r="CR255" i="1" s="1"/>
  <c r="CJ1669" i="1"/>
  <c r="CR1669" i="1" s="1"/>
  <c r="CJ1681" i="1"/>
  <c r="CR1681" i="1" s="1"/>
  <c r="CJ154" i="1"/>
  <c r="CJ130" i="1"/>
  <c r="CJ1617" i="1"/>
  <c r="CJ1881" i="1"/>
  <c r="CJ1885" i="1"/>
  <c r="CR1885" i="1" s="1"/>
  <c r="CJ1894" i="1"/>
  <c r="CJ1715" i="1"/>
  <c r="CR1715" i="1" s="1"/>
  <c r="CJ1631" i="1"/>
  <c r="CJ1678" i="1"/>
  <c r="CJ1823" i="1"/>
  <c r="CJ1621" i="1"/>
  <c r="CJ1709" i="1"/>
  <c r="CJ1907" i="1"/>
  <c r="CJ1966" i="1"/>
  <c r="CJ1965" i="1"/>
  <c r="CJ1906" i="1"/>
  <c r="CJ1634" i="1"/>
  <c r="CR1634" i="1" s="1"/>
  <c r="CJ1967" i="1"/>
  <c r="CJ1623" i="1"/>
  <c r="CR1623" i="1" s="1"/>
  <c r="CJ1768" i="1"/>
  <c r="CR1768" i="1" s="1"/>
  <c r="CJ1783" i="1"/>
  <c r="CR1783" i="1" s="1"/>
  <c r="CJ1635" i="1"/>
  <c r="CR1635" i="1" s="1"/>
  <c r="CJ1613" i="1"/>
  <c r="CJ1856" i="1"/>
  <c r="CJ2019" i="1"/>
  <c r="CR2019" i="1" s="1"/>
  <c r="CJ1788" i="1"/>
  <c r="CJ438" i="1"/>
  <c r="CJ439" i="1"/>
  <c r="CJ1755" i="1"/>
  <c r="CR1755" i="1" s="1"/>
  <c r="CJ1655" i="1"/>
  <c r="CR1655" i="1" s="1"/>
  <c r="CJ85" i="1"/>
  <c r="CR85" i="1" s="1"/>
  <c r="CJ441" i="1"/>
  <c r="CJ1824" i="1"/>
  <c r="CR1824" i="1" s="1"/>
  <c r="CJ1901" i="1"/>
  <c r="CJ1870" i="1"/>
  <c r="CJ1729" i="1"/>
  <c r="CR1729" i="1" s="1"/>
  <c r="CJ34" i="1"/>
  <c r="CR34" i="1" s="1"/>
  <c r="CJ442" i="1"/>
  <c r="CJ25" i="1"/>
  <c r="CR25" i="1" s="1"/>
  <c r="CJ1667" i="1"/>
  <c r="CJ1776" i="1"/>
  <c r="CR1776" i="1" s="1"/>
  <c r="CJ445" i="1"/>
  <c r="CJ1744" i="1"/>
  <c r="CJ1758" i="1"/>
  <c r="CJ1944" i="1"/>
  <c r="CJ1664" i="1"/>
  <c r="CR1664" i="1" s="1"/>
  <c r="CJ16" i="1"/>
  <c r="CR16" i="1" s="1"/>
  <c r="CJ15" i="1"/>
  <c r="CR15" i="1" s="1"/>
  <c r="CJ1660" i="1"/>
  <c r="CR1660" i="1" s="1"/>
  <c r="CJ1653" i="1"/>
  <c r="CR1653" i="1" s="1"/>
  <c r="CJ13" i="1"/>
  <c r="CR13" i="1" s="1"/>
  <c r="CJ449" i="1"/>
  <c r="CJ1668" i="1"/>
  <c r="CJ1804" i="1"/>
  <c r="CJ1751" i="1"/>
  <c r="CR1751" i="1" s="1"/>
  <c r="CJ1728" i="1"/>
  <c r="CR1728" i="1" s="1"/>
  <c r="CJ1673" i="1"/>
  <c r="CR1673" i="1" s="1"/>
  <c r="CJ1742" i="1"/>
  <c r="CR1742" i="1" s="1"/>
  <c r="CJ1876" i="1"/>
  <c r="CR1876" i="1" s="1"/>
  <c r="CJ1677" i="1"/>
  <c r="CJ1745" i="1"/>
  <c r="CR1745" i="1" s="1"/>
  <c r="CJ1733" i="1"/>
  <c r="CJ1738" i="1"/>
  <c r="CR1738" i="1" s="1"/>
  <c r="CJ1750" i="1"/>
  <c r="CR1750" i="1" s="1"/>
  <c r="CJ1753" i="1"/>
  <c r="CR1753" i="1" s="1"/>
  <c r="CJ1754" i="1"/>
  <c r="CR1754" i="1" s="1"/>
  <c r="CJ1759" i="1"/>
  <c r="CR1759" i="1" s="1"/>
  <c r="CJ1849" i="1"/>
  <c r="CR1849" i="1" s="1"/>
  <c r="CJ1743" i="1"/>
  <c r="CR1743" i="1" s="1"/>
  <c r="CJ1748" i="1"/>
  <c r="CR1748" i="1" s="1"/>
  <c r="CJ1747" i="1"/>
  <c r="CJ1741" i="1"/>
  <c r="CJ1734" i="1"/>
  <c r="CR1734" i="1" s="1"/>
  <c r="CJ1777" i="1"/>
  <c r="CJ1842" i="1"/>
  <c r="CJ1749" i="1"/>
  <c r="CJ1757" i="1"/>
  <c r="CR1757" i="1" s="1"/>
  <c r="CJ1850" i="1"/>
  <c r="CJ1712" i="1"/>
  <c r="CR1712" i="1" s="1"/>
  <c r="CJ1817" i="1"/>
  <c r="CJ1822" i="1"/>
  <c r="CJ1828" i="1"/>
  <c r="CJ1836" i="1"/>
  <c r="CJ1767" i="1"/>
  <c r="CJ1834" i="1"/>
  <c r="CJ1707" i="1"/>
  <c r="CR1707" i="1" s="1"/>
  <c r="CJ1869" i="1"/>
  <c r="CJ1713" i="1"/>
  <c r="CR1713" i="1" s="1"/>
  <c r="CJ1714" i="1"/>
  <c r="CJ345" i="1"/>
  <c r="CJ202" i="1"/>
  <c r="CJ208" i="1"/>
  <c r="CR208" i="1" s="1"/>
  <c r="CJ433" i="1"/>
  <c r="CR433" i="1" s="1"/>
  <c r="CJ124" i="1"/>
  <c r="CR124" i="1" s="1"/>
  <c r="CJ408" i="1"/>
  <c r="CJ201" i="1"/>
  <c r="CR201" i="1" s="1"/>
  <c r="CJ195" i="1"/>
  <c r="CR195" i="1" s="1"/>
  <c r="CJ197" i="1"/>
  <c r="CR197" i="1" s="1"/>
  <c r="CJ199" i="1"/>
  <c r="CR199" i="1" s="1"/>
  <c r="CJ266" i="1"/>
  <c r="CJ192" i="1"/>
  <c r="CR192" i="1" s="1"/>
  <c r="CJ363" i="1"/>
  <c r="CR363" i="1" s="1"/>
  <c r="CJ126" i="1"/>
  <c r="CR126" i="1" s="1"/>
  <c r="CJ432" i="1"/>
  <c r="CR432" i="1" s="1"/>
  <c r="CJ276" i="1"/>
  <c r="CR276" i="1" s="1"/>
  <c r="CJ327" i="1"/>
  <c r="CR327" i="1" s="1"/>
  <c r="CJ116" i="1"/>
  <c r="CR116" i="1" s="1"/>
  <c r="CJ292" i="1"/>
  <c r="CR292" i="1" s="1"/>
  <c r="CJ273" i="1"/>
  <c r="CR273" i="1" s="1"/>
  <c r="CJ299" i="1"/>
  <c r="CJ362" i="1"/>
  <c r="CR362" i="1" s="1"/>
  <c r="CJ272" i="1"/>
  <c r="CR272" i="1" s="1"/>
  <c r="CJ430" i="1"/>
  <c r="CR430" i="1" s="1"/>
  <c r="CJ429" i="1"/>
  <c r="CR429" i="1" s="1"/>
  <c r="CJ471" i="1"/>
  <c r="CR471" i="1" s="1"/>
  <c r="CJ214" i="1"/>
  <c r="CJ348" i="1"/>
  <c r="CJ390" i="1"/>
  <c r="CR390" i="1" s="1"/>
  <c r="CJ267" i="1"/>
  <c r="CR267" i="1" s="1"/>
  <c r="CJ364" i="1"/>
  <c r="CR364" i="1" s="1"/>
  <c r="CJ157" i="1"/>
  <c r="CR157" i="1" s="1"/>
  <c r="CJ323" i="1"/>
  <c r="CJ264" i="1"/>
  <c r="CR264" i="1" s="1"/>
  <c r="CJ336" i="1"/>
  <c r="CR336" i="1" s="1"/>
  <c r="CJ387" i="1"/>
  <c r="CJ475" i="1"/>
  <c r="CR475" i="1" s="1"/>
  <c r="CJ391" i="1"/>
  <c r="CR391" i="1" s="1"/>
  <c r="CJ128" i="1"/>
  <c r="CR128" i="1" s="1"/>
  <c r="CJ339" i="1"/>
  <c r="CR339" i="1" s="1"/>
  <c r="CJ123" i="1"/>
  <c r="CR123" i="1" s="1"/>
  <c r="CJ388" i="1"/>
  <c r="CR388" i="1" s="1"/>
  <c r="CJ271" i="1"/>
  <c r="CR271" i="1" s="1"/>
  <c r="CJ265" i="1"/>
  <c r="CR265" i="1" s="1"/>
  <c r="CJ1624" i="1"/>
  <c r="CJ1614" i="1"/>
  <c r="CJ1865" i="1"/>
  <c r="CJ1622" i="1"/>
  <c r="CJ94" i="1"/>
  <c r="CR94" i="1" s="1"/>
  <c r="CJ1883" i="1"/>
  <c r="CJ1994" i="1"/>
  <c r="CJ1961" i="1"/>
  <c r="CJ1946" i="1"/>
  <c r="CR1946" i="1" s="1"/>
  <c r="CJ498" i="1"/>
  <c r="CR498" i="1" s="1"/>
  <c r="CJ479" i="1"/>
  <c r="CR479" i="1" s="1"/>
  <c r="CJ469" i="1"/>
  <c r="CR469" i="1" s="1"/>
  <c r="CJ457" i="1"/>
  <c r="CR457" i="1" s="1"/>
  <c r="CJ496" i="1"/>
  <c r="CJ497" i="1"/>
  <c r="CJ52" i="1"/>
  <c r="CR52" i="1" s="1"/>
  <c r="CJ2012" i="1"/>
  <c r="CR2012" i="1" s="1"/>
  <c r="CJ463" i="1"/>
  <c r="CJ504" i="1"/>
  <c r="CR504" i="1" s="1"/>
  <c r="CJ440" i="1"/>
  <c r="CR440" i="1" s="1"/>
  <c r="CJ230" i="1"/>
  <c r="CR230" i="1" s="1"/>
  <c r="CJ177" i="1"/>
  <c r="CJ426" i="1"/>
  <c r="CJ160" i="1"/>
  <c r="CJ26" i="1"/>
  <c r="CR26" i="1" s="1"/>
  <c r="CJ182" i="1"/>
  <c r="CJ280" i="1"/>
  <c r="CJ286" i="1"/>
  <c r="CJ269" i="1"/>
  <c r="CJ279" i="1"/>
  <c r="CJ353" i="1"/>
  <c r="CJ302" i="1"/>
  <c r="CJ300" i="1"/>
  <c r="CJ298" i="1"/>
  <c r="CJ89" i="1"/>
  <c r="CR89" i="1" s="1"/>
  <c r="CJ62" i="1"/>
  <c r="CR62" i="1" s="1"/>
  <c r="CJ97" i="1"/>
  <c r="CR97" i="1" s="1"/>
  <c r="CJ236" i="1"/>
  <c r="CR236" i="1" s="1"/>
  <c r="CJ397" i="1"/>
  <c r="CR397" i="1" s="1"/>
  <c r="CJ394" i="1"/>
  <c r="CR394" i="1" s="1"/>
  <c r="CJ180" i="1"/>
  <c r="CJ1688" i="1"/>
  <c r="CR1688" i="1" s="1"/>
  <c r="CJ1618" i="1"/>
  <c r="CR1618" i="1" s="1"/>
  <c r="CJ1782" i="1"/>
  <c r="CR1782" i="1" s="1"/>
  <c r="CJ20" i="1"/>
  <c r="CJ508" i="1"/>
  <c r="CJ1829" i="1"/>
  <c r="CJ71" i="1"/>
  <c r="CR71" i="1" s="1"/>
  <c r="CJ63" i="1"/>
  <c r="CR63" i="1" s="1"/>
  <c r="CJ51" i="1"/>
  <c r="CR51" i="1" s="1"/>
  <c r="CJ93" i="1"/>
  <c r="CR93" i="1" s="1"/>
  <c r="CJ173" i="1"/>
  <c r="CR173" i="1" s="1"/>
  <c r="CJ341" i="1"/>
  <c r="CJ423" i="1"/>
  <c r="CJ131" i="1"/>
  <c r="CJ296" i="1"/>
  <c r="CR296" i="1" s="1"/>
  <c r="CJ354" i="1"/>
  <c r="CR354" i="1" s="1"/>
  <c r="CJ309" i="1"/>
  <c r="CR309" i="1" s="1"/>
  <c r="CJ250" i="1"/>
  <c r="CR250" i="1" s="1"/>
  <c r="CJ110" i="1"/>
  <c r="CR110" i="1" s="1"/>
  <c r="CJ194" i="1"/>
  <c r="CR194" i="1" s="1"/>
  <c r="CJ306" i="1"/>
  <c r="CJ324" i="1"/>
  <c r="CJ419" i="1"/>
  <c r="CJ84" i="1"/>
  <c r="CJ190" i="1"/>
  <c r="CJ141" i="1"/>
  <c r="CJ72" i="1"/>
  <c r="CR72" i="1" s="1"/>
  <c r="CJ140" i="1"/>
  <c r="CJ1910" i="1"/>
  <c r="CR1910" i="1" s="1"/>
  <c r="CJ2025" i="1"/>
  <c r="CR2025" i="1" s="1"/>
  <c r="CJ220" i="1"/>
  <c r="CJ31" i="1"/>
  <c r="CJ74" i="1"/>
  <c r="CJ258" i="1"/>
  <c r="CJ39" i="1"/>
  <c r="CJ417" i="1"/>
  <c r="CJ251" i="1"/>
  <c r="CJ228" i="1"/>
  <c r="CJ207" i="1"/>
  <c r="CJ2001" i="1"/>
  <c r="CR2001" i="1" s="1"/>
  <c r="CJ65" i="1"/>
  <c r="CR65" i="1" s="1"/>
  <c r="CJ37" i="1"/>
  <c r="CL24" i="1"/>
  <c r="CJ35" i="1"/>
  <c r="CJ14" i="1"/>
  <c r="CJ56" i="1"/>
  <c r="CR56" i="1" s="1"/>
  <c r="CJ2034" i="1"/>
  <c r="CR2034" i="1" s="1"/>
  <c r="CJ137" i="1"/>
  <c r="CJ10" i="1"/>
  <c r="CJ203" i="1"/>
  <c r="CJ121" i="1"/>
  <c r="CJ148" i="1"/>
  <c r="CJ231" i="1"/>
  <c r="CJ18" i="1"/>
  <c r="CJ3" i="1"/>
  <c r="CR3" i="1" s="1"/>
  <c r="CJ135" i="1"/>
  <c r="CJ12" i="1"/>
  <c r="CR12" i="1" s="1"/>
  <c r="CL1884" i="1"/>
  <c r="CL1735" i="1"/>
  <c r="CL1830" i="1"/>
  <c r="CL1882" i="1"/>
  <c r="CL1785" i="1"/>
  <c r="CL1808" i="1"/>
  <c r="CL1860" i="1"/>
  <c r="CL451" i="1"/>
  <c r="CJ47" i="1"/>
  <c r="CR47" i="1" s="1"/>
  <c r="CJ358" i="1"/>
  <c r="CR358" i="1" s="1"/>
  <c r="CJ331" i="1"/>
  <c r="CR331" i="1" s="1"/>
  <c r="CJ288" i="1"/>
  <c r="CR288" i="1" s="1"/>
  <c r="CJ1632" i="1"/>
  <c r="CR1632" i="1" s="1"/>
  <c r="CJ1680" i="1"/>
  <c r="CR1680" i="1" s="1"/>
  <c r="CJ503" i="1"/>
  <c r="CJ1746" i="1"/>
  <c r="CR1746" i="1" s="1"/>
  <c r="CJ1859" i="1"/>
  <c r="CL1935" i="1"/>
  <c r="CJ1837" i="1"/>
  <c r="CJ1763" i="1"/>
  <c r="CR1763" i="1" s="1"/>
  <c r="CJ290" i="1"/>
  <c r="CR290" i="1" s="1"/>
  <c r="CJ357" i="1"/>
  <c r="CR357" i="1" s="1"/>
  <c r="CJ112" i="1"/>
  <c r="CR112" i="1" s="1"/>
  <c r="CL259" i="1"/>
  <c r="CJ259" i="1"/>
  <c r="CR259" i="1" s="1"/>
  <c r="CJ396" i="1"/>
  <c r="CR396" i="1" s="1"/>
  <c r="CJ356" i="1"/>
  <c r="CR356" i="1" s="1"/>
  <c r="CJ467" i="1"/>
  <c r="CR467" i="1" s="1"/>
  <c r="CJ404" i="1"/>
  <c r="CJ222" i="1"/>
  <c r="CJ196" i="1"/>
  <c r="CJ308" i="1"/>
  <c r="CR308" i="1" s="1"/>
  <c r="CJ392" i="1"/>
  <c r="CJ83" i="1"/>
  <c r="CJ211" i="1"/>
  <c r="CR211" i="1" s="1"/>
  <c r="CJ375" i="1"/>
  <c r="CJ410" i="1"/>
  <c r="CJ407" i="1"/>
  <c r="CJ33" i="1"/>
  <c r="CJ446" i="1"/>
  <c r="CR446" i="1" s="1"/>
  <c r="CJ424" i="1"/>
  <c r="CJ219" i="1"/>
  <c r="CJ164" i="1"/>
  <c r="CR164" i="1" s="1"/>
  <c r="CJ218" i="1"/>
  <c r="CR218" i="1" s="1"/>
  <c r="CJ176" i="1"/>
  <c r="CJ49" i="1"/>
  <c r="CL36" i="1"/>
  <c r="CJ5" i="1"/>
  <c r="CJ235" i="1"/>
  <c r="CR235" i="1" s="1"/>
  <c r="CL103" i="1"/>
  <c r="CL240" i="1"/>
  <c r="CJ210" i="1"/>
  <c r="CR210" i="1" s="1"/>
  <c r="CJ107" i="1"/>
  <c r="CR107" i="1" s="1"/>
  <c r="CJ307" i="1"/>
  <c r="CR307" i="1" s="1"/>
  <c r="CL422" i="1"/>
  <c r="CL246" i="1"/>
  <c r="CL447" i="1"/>
  <c r="CL171" i="1"/>
  <c r="CL459" i="1"/>
  <c r="CL185" i="1"/>
  <c r="CJ281" i="1"/>
  <c r="CJ450" i="1"/>
  <c r="CR450" i="1" s="1"/>
  <c r="CJ59" i="1"/>
  <c r="CR59" i="1" s="1"/>
  <c r="CJ372" i="1"/>
  <c r="CJ322" i="1"/>
  <c r="CJ456" i="1"/>
  <c r="CR456" i="1" s="1"/>
  <c r="CJ1879" i="1"/>
  <c r="CJ225" i="1"/>
  <c r="CR225" i="1" s="1"/>
  <c r="CJ1971" i="1"/>
  <c r="CJ1807" i="1"/>
  <c r="CR1807" i="1" s="1"/>
  <c r="CJ1868" i="1"/>
  <c r="CJ1651" i="1"/>
  <c r="CR1651" i="1" s="1"/>
  <c r="CJ1812" i="1"/>
  <c r="CR1812" i="1" s="1"/>
  <c r="CL1625" i="1"/>
  <c r="CJ1625" i="1"/>
  <c r="CR1625" i="1" s="1"/>
  <c r="CL1679" i="1"/>
  <c r="CL1805" i="1"/>
  <c r="CL1831" i="1"/>
  <c r="CL1896" i="1"/>
  <c r="CL1636" i="1"/>
  <c r="CL1800" i="1"/>
  <c r="CL1802" i="1"/>
  <c r="CL1643" i="1"/>
  <c r="CJ1958" i="1"/>
  <c r="CR1958" i="1" s="1"/>
  <c r="CL1684" i="1"/>
  <c r="CJ1684" i="1"/>
  <c r="CR1684" i="1" s="1"/>
  <c r="CL1949" i="1"/>
  <c r="CJ402" i="1"/>
  <c r="CJ232" i="1"/>
  <c r="CJ134" i="1"/>
  <c r="CJ174" i="1"/>
  <c r="CJ151" i="1"/>
  <c r="CJ223" i="1"/>
  <c r="CJ149" i="1"/>
  <c r="CJ9" i="1"/>
  <c r="CR9" i="1" s="1"/>
  <c r="CJ227" i="1"/>
  <c r="CJ42" i="1"/>
  <c r="CR42" i="1" s="1"/>
  <c r="CJ41" i="1"/>
  <c r="CR41" i="1" s="1"/>
  <c r="CJ24" i="1"/>
  <c r="CJ66" i="1"/>
  <c r="CR66" i="1" s="1"/>
  <c r="CJ1663" i="1"/>
  <c r="CR1663" i="1" s="1"/>
  <c r="CJ427" i="1"/>
  <c r="CR427" i="1" s="1"/>
  <c r="CJ1619" i="1"/>
  <c r="CR1619" i="1" s="1"/>
  <c r="CJ1654" i="1"/>
  <c r="CR1654" i="1" s="1"/>
  <c r="CJ1771" i="1"/>
  <c r="CR1771" i="1" s="1"/>
  <c r="CJ19" i="1"/>
  <c r="CR19" i="1" s="1"/>
  <c r="CJ1769" i="1"/>
  <c r="CR1769" i="1" s="1"/>
  <c r="CJ22" i="1"/>
  <c r="CR22" i="1" s="1"/>
  <c r="CJ458" i="1"/>
  <c r="CR458" i="1" s="1"/>
  <c r="CJ57" i="1"/>
  <c r="CR57" i="1" s="1"/>
  <c r="CJ1694" i="1"/>
  <c r="CR1694" i="1" s="1"/>
  <c r="CJ1695" i="1"/>
  <c r="CR1695" i="1" s="1"/>
  <c r="CJ1711" i="1"/>
  <c r="CR1711" i="1" s="1"/>
  <c r="CJ1710" i="1"/>
  <c r="CR1710" i="1" s="1"/>
  <c r="CJ1756" i="1"/>
  <c r="CR1756" i="1" s="1"/>
  <c r="CJ405" i="1"/>
  <c r="CR405" i="1" s="1"/>
  <c r="CJ1691" i="1"/>
  <c r="CR1691" i="1" s="1"/>
  <c r="CJ1682" i="1"/>
  <c r="CR1682" i="1" s="1"/>
  <c r="CJ1740" i="1"/>
  <c r="CR1740" i="1" s="1"/>
  <c r="CJ1739" i="1"/>
  <c r="CR1739" i="1" s="1"/>
  <c r="CJ55" i="1"/>
  <c r="CR55" i="1" s="1"/>
  <c r="CJ1931" i="1"/>
  <c r="CR1931" i="1" s="1"/>
  <c r="CJ1724" i="1"/>
  <c r="CR1724" i="1" s="1"/>
  <c r="CJ495" i="1"/>
  <c r="CR495" i="1" s="1"/>
  <c r="CJ455" i="1"/>
  <c r="CR455" i="1" s="1"/>
  <c r="CJ437" i="1"/>
  <c r="CR437" i="1" s="1"/>
  <c r="CJ1760" i="1"/>
  <c r="CR1760" i="1" s="1"/>
  <c r="CJ2010" i="1"/>
  <c r="CR2010" i="1" s="1"/>
  <c r="CJ1708" i="1"/>
  <c r="CJ2035" i="1"/>
  <c r="CR2035" i="1" s="1"/>
  <c r="CJ45" i="1"/>
  <c r="CR45" i="1" s="1"/>
  <c r="CJ82" i="1"/>
  <c r="CR82" i="1" s="1"/>
  <c r="CJ359" i="1"/>
  <c r="CR359" i="1" s="1"/>
  <c r="CJ102" i="1"/>
  <c r="CR102" i="1" s="1"/>
  <c r="CJ101" i="1"/>
  <c r="CR101" i="1" s="1"/>
  <c r="CJ29" i="1"/>
  <c r="CR29" i="1" s="1"/>
  <c r="CJ79" i="1"/>
  <c r="CR79" i="1" s="1"/>
  <c r="CJ95" i="1"/>
  <c r="CR95" i="1" s="1"/>
  <c r="CJ262" i="1"/>
  <c r="CR262" i="1" s="1"/>
  <c r="CJ40" i="1"/>
  <c r="CR40" i="1" s="1"/>
  <c r="CJ75" i="1"/>
  <c r="CR75" i="1" s="1"/>
  <c r="CJ50" i="1"/>
  <c r="CR50" i="1" s="1"/>
  <c r="CJ60" i="1"/>
  <c r="CR60" i="1" s="1"/>
  <c r="CJ489" i="1"/>
  <c r="CR489" i="1" s="1"/>
  <c r="CJ318" i="1"/>
  <c r="CR318" i="1" s="1"/>
  <c r="CJ186" i="1"/>
  <c r="CR186" i="1" s="1"/>
  <c r="CJ488" i="1"/>
  <c r="CR488" i="1" s="1"/>
  <c r="CJ7" i="1"/>
  <c r="CR7" i="1" s="1"/>
  <c r="CJ108" i="1"/>
  <c r="CR108" i="1" s="1"/>
  <c r="CJ48" i="1"/>
  <c r="CR48" i="1" s="1"/>
  <c r="CJ1705" i="1"/>
  <c r="CR1705" i="1" s="1"/>
  <c r="CJ1826" i="1"/>
  <c r="CR1826" i="1" s="1"/>
  <c r="CJ2016" i="1"/>
  <c r="CR2016" i="1" s="1"/>
  <c r="CJ46" i="1"/>
  <c r="CR46" i="1" s="1"/>
  <c r="CJ380" i="1"/>
  <c r="CR380" i="1" s="1"/>
  <c r="CJ8" i="1"/>
  <c r="CR8" i="1" s="1"/>
  <c r="CJ1725" i="1"/>
  <c r="CR1725" i="1" s="1"/>
  <c r="CJ1722" i="1"/>
  <c r="CR1722" i="1" s="1"/>
  <c r="CJ1716" i="1"/>
  <c r="CR1716" i="1" s="1"/>
  <c r="CJ1846" i="1"/>
  <c r="CR1846" i="1" s="1"/>
  <c r="CJ1685" i="1"/>
  <c r="CR1685" i="1" s="1"/>
  <c r="CJ1762" i="1"/>
  <c r="CR1762" i="1" s="1"/>
  <c r="CJ1950" i="1"/>
  <c r="CJ2013" i="1"/>
  <c r="CR2013" i="1" s="1"/>
  <c r="CJ2014" i="1"/>
  <c r="CR2014" i="1" s="1"/>
  <c r="CJ1889" i="1"/>
  <c r="CJ505" i="1"/>
  <c r="CJ376" i="1"/>
  <c r="CR376" i="1" s="1"/>
  <c r="CJ385" i="1"/>
  <c r="CJ411" i="1"/>
  <c r="CJ420" i="1"/>
  <c r="CJ400" i="1"/>
  <c r="CJ158" i="1"/>
  <c r="CJ125" i="1"/>
  <c r="CJ234" i="1"/>
  <c r="CJ399" i="1"/>
  <c r="CJ233" i="1"/>
  <c r="CJ243" i="1"/>
  <c r="CR243" i="1" s="1"/>
  <c r="CJ254" i="1"/>
  <c r="CR254" i="1" s="1"/>
  <c r="CJ443" i="1"/>
  <c r="CR443" i="1" s="1"/>
  <c r="CJ244" i="1"/>
  <c r="CR244" i="1" s="1"/>
  <c r="CJ247" i="1"/>
  <c r="CR247" i="1" s="1"/>
  <c r="CJ398" i="1"/>
  <c r="CJ329" i="1"/>
  <c r="CR329" i="1" s="1"/>
  <c r="CJ303" i="1"/>
  <c r="CR303" i="1" s="1"/>
  <c r="CJ146" i="1"/>
  <c r="CJ153" i="1"/>
  <c r="CJ444" i="1"/>
  <c r="CR444" i="1" s="1"/>
  <c r="CJ277" i="1"/>
  <c r="CJ238" i="1"/>
  <c r="CR238" i="1" s="1"/>
  <c r="CJ491" i="1"/>
  <c r="CR491" i="1" s="1"/>
  <c r="CJ217" i="1"/>
  <c r="CR217" i="1" s="1"/>
  <c r="CJ198" i="1"/>
  <c r="CJ111" i="1"/>
  <c r="CR111" i="1" s="1"/>
  <c r="CJ492" i="1"/>
  <c r="CR492" i="1" s="1"/>
  <c r="CJ270" i="1"/>
  <c r="CJ92" i="1"/>
  <c r="CJ370" i="1"/>
  <c r="CR370" i="1" s="1"/>
  <c r="CJ371" i="1"/>
  <c r="CR371" i="1" s="1"/>
  <c r="CJ321" i="1"/>
  <c r="CR321" i="1" s="1"/>
  <c r="CJ245" i="1"/>
  <c r="CJ1672" i="1"/>
  <c r="CJ1880" i="1"/>
  <c r="CJ1864" i="1"/>
  <c r="CJ1999" i="1"/>
  <c r="CR1999" i="1" s="1"/>
  <c r="CJ1968" i="1"/>
  <c r="CJ1972" i="1"/>
  <c r="CJ1773" i="1"/>
  <c r="CR1773" i="1" s="1"/>
  <c r="CJ1816" i="1"/>
  <c r="CJ1969" i="1"/>
  <c r="CJ1803" i="1"/>
  <c r="CJ1699" i="1"/>
  <c r="CJ1815" i="1"/>
  <c r="CJ1898" i="1"/>
  <c r="CJ1902" i="1"/>
  <c r="CJ1892" i="1"/>
  <c r="CJ1799" i="1"/>
  <c r="CJ252" i="1"/>
  <c r="CR252" i="1" s="1"/>
  <c r="CJ138" i="1"/>
  <c r="CJ1781" i="1"/>
  <c r="CJ1780" i="1"/>
  <c r="CJ1779" i="1"/>
  <c r="CJ1793" i="1"/>
  <c r="CR1793" i="1" s="1"/>
  <c r="CJ1792" i="1"/>
  <c r="CR1792" i="1" s="1"/>
  <c r="CJ183" i="1"/>
  <c r="CJ150" i="1"/>
  <c r="CJ2020" i="1"/>
  <c r="CR2020" i="1" s="1"/>
  <c r="CJ284" i="1"/>
  <c r="CJ1701" i="1"/>
  <c r="CR1701" i="1" s="1"/>
  <c r="CJ1650" i="1"/>
  <c r="CR1650" i="1" s="1"/>
  <c r="CJ1671" i="1"/>
  <c r="CR1671" i="1" s="1"/>
  <c r="CL1617" i="1"/>
  <c r="CL1906" i="1"/>
  <c r="CL1824" i="1"/>
  <c r="CL1728" i="1"/>
  <c r="CL1828" i="1"/>
  <c r="CL37" i="1"/>
  <c r="CL14" i="1"/>
  <c r="CL241" i="1"/>
  <c r="CL237" i="1"/>
  <c r="CL480" i="1"/>
  <c r="CL317" i="1"/>
  <c r="CL249" i="1"/>
  <c r="CL191" i="1"/>
  <c r="CL239" i="1"/>
  <c r="CL1977" i="1"/>
  <c r="CL1987" i="1"/>
  <c r="CL1991" i="1"/>
  <c r="CL1989" i="1"/>
  <c r="CL283" i="1"/>
  <c r="CL275" i="1"/>
  <c r="CL102" i="1"/>
  <c r="CL1762" i="1"/>
  <c r="CL1840" i="1"/>
  <c r="CL509" i="1"/>
  <c r="CL1646" i="1"/>
  <c r="CL1661" i="1"/>
  <c r="CL254" i="1"/>
  <c r="CL247" i="1"/>
  <c r="CL303" i="1"/>
  <c r="CL146" i="1"/>
  <c r="CL238" i="1"/>
  <c r="CL491" i="1"/>
  <c r="CL217" i="1"/>
  <c r="CL245" i="1"/>
  <c r="CL1864" i="1"/>
  <c r="CL1898" i="1"/>
  <c r="CL1731" i="1"/>
  <c r="CI2011" i="1"/>
  <c r="CL230" i="1"/>
  <c r="CL426" i="1"/>
  <c r="CL182" i="1"/>
  <c r="CL269" i="1"/>
  <c r="CL298" i="1"/>
  <c r="CL97" i="1"/>
  <c r="CL397" i="1"/>
  <c r="CL394" i="1"/>
  <c r="CL20" i="1"/>
  <c r="CL1829" i="1"/>
  <c r="CL1893" i="1"/>
  <c r="CL92" i="1"/>
  <c r="CL148" i="1"/>
  <c r="CL211" i="1"/>
  <c r="CL396" i="1"/>
  <c r="CL375" i="1"/>
  <c r="CL107" i="1"/>
  <c r="CL346" i="1"/>
  <c r="CL1862" i="1"/>
  <c r="CL1837" i="1"/>
  <c r="CL126" i="1"/>
  <c r="CI448" i="1"/>
  <c r="CU448" i="1" s="1"/>
  <c r="CL1779" i="1"/>
  <c r="CL445" i="1"/>
  <c r="CL1738" i="1"/>
  <c r="CL468" i="1"/>
  <c r="CL424" i="1"/>
  <c r="CL125" i="1"/>
  <c r="CL111" i="1"/>
  <c r="CL305" i="1"/>
  <c r="CL295" i="1"/>
  <c r="CL371" i="1"/>
  <c r="CL1968" i="1"/>
  <c r="CL1773" i="1"/>
  <c r="CL1816" i="1"/>
  <c r="CL1803" i="1"/>
  <c r="CL1902" i="1"/>
  <c r="CL1794" i="1"/>
  <c r="CL1796" i="1"/>
  <c r="CL1890" i="1"/>
  <c r="CL455" i="1"/>
  <c r="CL45" i="1"/>
  <c r="CL8" i="1"/>
  <c r="CL1950" i="1"/>
  <c r="CL300" i="1"/>
  <c r="CL147" i="1"/>
  <c r="CL1672" i="1"/>
  <c r="CL1972" i="1"/>
  <c r="CL1969" i="1"/>
  <c r="CL1699" i="1"/>
  <c r="CL1726" i="1"/>
  <c r="CL150" i="1"/>
  <c r="CL310" i="1"/>
  <c r="CL1653" i="1"/>
  <c r="CL165" i="1"/>
  <c r="CL1948" i="1"/>
  <c r="CL1978" i="1"/>
  <c r="CL1932" i="1"/>
  <c r="CL1763" i="1"/>
  <c r="CL112" i="1"/>
  <c r="CL392" i="1"/>
  <c r="CL407" i="1"/>
  <c r="CL33" i="1"/>
  <c r="CL164" i="1"/>
  <c r="CL301" i="1"/>
  <c r="CL49" i="1"/>
  <c r="CL477" i="1"/>
  <c r="CL1665" i="1"/>
  <c r="CL465" i="1"/>
  <c r="CL296" i="1"/>
  <c r="CL1694" i="1"/>
  <c r="CL1846" i="1"/>
  <c r="CL510" i="1"/>
  <c r="CL160" i="1"/>
  <c r="CL1782" i="1"/>
  <c r="CL508" i="1"/>
  <c r="CL243" i="1"/>
  <c r="CL373" i="1"/>
  <c r="CK2038" i="1"/>
  <c r="CL46" i="1"/>
  <c r="CL306" i="1"/>
  <c r="CL177" i="1"/>
  <c r="CL352" i="1"/>
  <c r="CL1719" i="1"/>
  <c r="CL1809" i="1"/>
  <c r="CL1926" i="1"/>
  <c r="CL322" i="1"/>
  <c r="CL494" i="1"/>
  <c r="CL1811" i="1"/>
  <c r="CL1994" i="1"/>
  <c r="CL1683" i="1"/>
  <c r="CL233" i="1"/>
  <c r="CL328" i="1"/>
  <c r="CL343" i="1"/>
  <c r="CL453" i="1"/>
  <c r="CL1819" i="1"/>
  <c r="CL1810" i="1"/>
  <c r="CL261" i="1"/>
  <c r="CL280" i="1"/>
  <c r="CL286" i="1"/>
  <c r="CL279" i="1"/>
  <c r="CL302" i="1"/>
  <c r="CL411" i="1"/>
  <c r="CL398" i="1"/>
  <c r="CL270" i="1"/>
  <c r="CL1889" i="1"/>
  <c r="CL329" i="1"/>
  <c r="CL1619" i="1"/>
  <c r="CL1798" i="1"/>
  <c r="CL1941" i="1"/>
  <c r="CL175" i="1"/>
  <c r="CL372" i="1"/>
  <c r="CL1970" i="1"/>
  <c r="CL1940" i="1"/>
  <c r="CL1919" i="1"/>
  <c r="CL1801" i="1"/>
  <c r="CL1657" i="1"/>
  <c r="CL1838" i="1"/>
  <c r="CL1982" i="1"/>
  <c r="CL1981" i="1"/>
  <c r="CL1958" i="1"/>
  <c r="CL1774" i="1"/>
  <c r="CL1954" i="1"/>
  <c r="CL1710" i="1"/>
  <c r="CL13" i="1"/>
  <c r="CL332" i="1"/>
  <c r="CL378" i="1"/>
  <c r="CL169" i="1"/>
  <c r="CL1888" i="1"/>
  <c r="CL67" i="1"/>
  <c r="CL354" i="1"/>
  <c r="CL309" i="1"/>
  <c r="CL250" i="1"/>
  <c r="CL110" i="1"/>
  <c r="CL190" i="1"/>
  <c r="CL1772" i="1"/>
  <c r="CL496" i="1"/>
  <c r="CL315" i="1"/>
  <c r="CL1715" i="1"/>
  <c r="CL1614" i="1"/>
  <c r="CL419" i="1"/>
  <c r="CL337" i="1"/>
  <c r="CL347" i="1"/>
  <c r="CL200" i="1"/>
  <c r="CL278" i="1"/>
  <c r="CI167" i="1"/>
  <c r="CU167" i="1" s="1"/>
  <c r="CW167" i="1" s="1"/>
  <c r="CL410" i="1"/>
  <c r="CL446" i="1"/>
  <c r="CL219" i="1"/>
  <c r="CL281" i="1"/>
  <c r="CL1822" i="1"/>
  <c r="CL1859" i="1"/>
  <c r="CL17" i="1"/>
  <c r="CL307" i="1"/>
  <c r="CL1880" i="1"/>
  <c r="CL1815" i="1"/>
  <c r="CL252" i="1"/>
  <c r="CL1732" i="1"/>
  <c r="CL418" i="1"/>
  <c r="CL183" i="1"/>
  <c r="CL481" i="1"/>
  <c r="CL460" i="1"/>
  <c r="CL16" i="1"/>
  <c r="CL1707" i="1"/>
  <c r="CL1713" i="1"/>
  <c r="CL122" i="1"/>
  <c r="CL264" i="1"/>
  <c r="CL391" i="1"/>
  <c r="CL189" i="1"/>
  <c r="CL265" i="1"/>
  <c r="CL1740" i="1"/>
  <c r="CL1765" i="1"/>
  <c r="CL437" i="1"/>
  <c r="CL1760" i="1"/>
  <c r="CL82" i="1"/>
  <c r="CL359" i="1"/>
  <c r="CL101" i="1"/>
  <c r="CL75" i="1"/>
  <c r="CL440" i="1"/>
  <c r="CL492" i="1"/>
  <c r="CL138" i="1"/>
  <c r="CL1792" i="1"/>
  <c r="CL145" i="1"/>
  <c r="CL470" i="1"/>
  <c r="CL436" i="1"/>
  <c r="CL77" i="1"/>
  <c r="CL1876" i="1"/>
  <c r="CL1867" i="1"/>
  <c r="CL1956" i="1"/>
  <c r="CL1922" i="1"/>
  <c r="CL1812" i="1"/>
  <c r="CL370" i="1"/>
  <c r="CL1722" i="1"/>
  <c r="CL1685" i="1"/>
  <c r="CL1857" i="1"/>
  <c r="CL1995" i="1"/>
  <c r="CL498" i="1"/>
  <c r="CL469" i="1"/>
  <c r="CL89" i="1"/>
  <c r="CL244" i="1"/>
  <c r="CL153" i="1"/>
  <c r="CL73" i="1"/>
  <c r="CL198" i="1"/>
  <c r="CL139" i="1"/>
  <c r="CL23" i="1"/>
  <c r="CL1752" i="1"/>
  <c r="CL1869" i="1"/>
  <c r="CL338" i="1"/>
  <c r="CL96" i="1"/>
  <c r="CL1651" i="1"/>
  <c r="CL1868" i="1"/>
  <c r="CL1660" i="1"/>
  <c r="CL1712" i="1"/>
  <c r="CL1841" i="1"/>
  <c r="CL272" i="1"/>
  <c r="CL1983" i="1"/>
  <c r="CL1807" i="1"/>
  <c r="CL1804" i="1"/>
  <c r="CL1624" i="1"/>
  <c r="CL1961" i="1"/>
  <c r="CL443" i="1"/>
  <c r="CL84" i="1"/>
  <c r="CL194" i="1"/>
  <c r="CL123" i="1"/>
  <c r="CL205" i="1"/>
  <c r="CL458" i="1"/>
  <c r="CL242" i="1"/>
  <c r="CL379" i="1"/>
  <c r="CL210" i="1"/>
  <c r="CL227" i="1"/>
  <c r="CL66" i="1"/>
  <c r="CL503" i="1"/>
  <c r="CI478" i="1"/>
  <c r="CU478" i="1" s="1"/>
  <c r="CL71" i="1"/>
  <c r="CL81" i="1"/>
  <c r="CL218" i="1"/>
  <c r="CL413" i="1"/>
  <c r="CL442" i="1"/>
  <c r="CL15" i="1"/>
  <c r="CL1668" i="1"/>
  <c r="CL1742" i="1"/>
  <c r="CL1743" i="1"/>
  <c r="CL1842" i="1"/>
  <c r="CL1749" i="1"/>
  <c r="CL1836" i="1"/>
  <c r="CL1834" i="1"/>
  <c r="CL1714" i="1"/>
  <c r="CL208" i="1"/>
  <c r="CL266" i="1"/>
  <c r="CL292" i="1"/>
  <c r="CL430" i="1"/>
  <c r="CL361" i="1"/>
  <c r="CL325" i="1"/>
  <c r="CL214" i="1"/>
  <c r="CL27" i="1"/>
  <c r="CL1913" i="1"/>
  <c r="CL1914" i="1"/>
  <c r="CL1736" i="1"/>
  <c r="CL291" i="1"/>
  <c r="CL262" i="1"/>
  <c r="CL50" i="1"/>
  <c r="CL318" i="1"/>
  <c r="CL253" i="1"/>
  <c r="CL1877" i="1"/>
  <c r="CL1866" i="1"/>
  <c r="CI502" i="1"/>
  <c r="CU502" i="1" s="1"/>
  <c r="CL87" i="1"/>
  <c r="CL158" i="1"/>
  <c r="CL5" i="1"/>
  <c r="CL1687" i="1"/>
  <c r="CL140" i="1"/>
  <c r="CL1910" i="1"/>
  <c r="CL311" i="1"/>
  <c r="CL134" i="1"/>
  <c r="CL1887" i="1"/>
  <c r="CL1776" i="1"/>
  <c r="CL369" i="1"/>
  <c r="CL366" i="1"/>
  <c r="CL351" i="1"/>
  <c r="CL282" i="1"/>
  <c r="CL118" i="1"/>
  <c r="CL136" i="1"/>
  <c r="CL395" i="1"/>
  <c r="CL334" i="1"/>
  <c r="CL486" i="1"/>
  <c r="CL506" i="1"/>
  <c r="CL119" i="1"/>
  <c r="CL428" i="1"/>
  <c r="CL193" i="1"/>
  <c r="CL133" i="1"/>
  <c r="CL435" i="1"/>
  <c r="CL368" i="1"/>
  <c r="CL1662" i="1"/>
  <c r="CL21" i="1"/>
  <c r="CL1770" i="1"/>
  <c r="CL1618" i="1"/>
  <c r="CL179" i="1"/>
  <c r="CL321" i="1"/>
  <c r="CL1971" i="1"/>
  <c r="CL1986" i="1"/>
  <c r="CL1990" i="1"/>
  <c r="CL1953" i="1"/>
  <c r="CL10" i="1"/>
  <c r="CL231" i="1"/>
  <c r="CL1656" i="1"/>
  <c r="CL1700" i="1"/>
  <c r="CL1640" i="1"/>
  <c r="CL1658" i="1"/>
  <c r="CL1705" i="1"/>
  <c r="CL1620" i="1"/>
  <c r="CL1701" i="1"/>
  <c r="CL1826" i="1"/>
  <c r="CL1664" i="1"/>
  <c r="CL161" i="1"/>
  <c r="CL152" i="1"/>
  <c r="CL144" i="1"/>
  <c r="CL268" i="1"/>
  <c r="CL256" i="1"/>
  <c r="CL1645" i="1"/>
  <c r="CL55" i="1"/>
  <c r="CL132" i="1"/>
  <c r="CL449" i="1"/>
  <c r="CL1962" i="1"/>
  <c r="CL1853" i="1"/>
  <c r="CL1861" i="1"/>
  <c r="CL47" i="1"/>
  <c r="CL88" i="1"/>
  <c r="CL1746" i="1"/>
  <c r="CL421" i="1"/>
  <c r="CL316" i="1"/>
  <c r="CL313" i="1"/>
  <c r="CL70" i="1"/>
  <c r="CL178" i="1"/>
  <c r="CL414" i="1"/>
  <c r="CL425" i="1"/>
  <c r="CL91" i="1"/>
  <c r="CL344" i="1"/>
  <c r="CL409" i="1"/>
  <c r="CL377" i="1"/>
  <c r="CL106" i="1"/>
  <c r="CL234" i="1"/>
  <c r="CL176" i="1"/>
  <c r="CL76" i="1"/>
  <c r="CL32" i="1"/>
  <c r="CL1778" i="1"/>
  <c r="CL1854" i="1"/>
  <c r="CL1899" i="1"/>
  <c r="CL1892" i="1"/>
  <c r="CL1799" i="1"/>
  <c r="CL1616" i="1"/>
  <c r="CL141" i="1"/>
  <c r="CL72" i="1"/>
  <c r="CL155" i="1"/>
  <c r="CL1916" i="1"/>
  <c r="CL312" i="1"/>
  <c r="CL1848" i="1"/>
  <c r="CL1739" i="1"/>
  <c r="CL489" i="1"/>
  <c r="CL7" i="1"/>
  <c r="CL485" i="1"/>
  <c r="CL488" i="1"/>
  <c r="CL1825" i="1"/>
  <c r="CL450" i="1"/>
  <c r="CL59" i="1"/>
  <c r="CL333" i="1"/>
  <c r="CL1627" i="1"/>
  <c r="CL475" i="1"/>
  <c r="CL1988" i="1"/>
  <c r="CL1993" i="1"/>
  <c r="CL1985" i="1"/>
  <c r="CL1984" i="1"/>
  <c r="CL1974" i="1"/>
  <c r="CL1764" i="1"/>
  <c r="CL1870" i="1"/>
  <c r="CL25" i="1"/>
  <c r="CL94" i="1"/>
  <c r="CL479" i="1"/>
  <c r="CL1813" i="1"/>
  <c r="CL63" i="1"/>
  <c r="CL1730" i="1"/>
  <c r="CL382" i="1"/>
  <c r="CL127" i="1"/>
  <c r="CL184" i="1"/>
  <c r="CL170" i="1"/>
  <c r="CL355" i="1"/>
  <c r="CL473" i="1"/>
  <c r="CL29" i="1"/>
  <c r="CL357" i="1"/>
  <c r="CL456" i="1"/>
  <c r="CL174" i="1"/>
  <c r="CL74" i="1"/>
  <c r="CL18" i="1"/>
  <c r="CL56" i="1"/>
  <c r="CL213" i="1"/>
  <c r="CL289" i="1"/>
  <c r="CL1727" i="1"/>
  <c r="CL1693" i="1"/>
  <c r="CL98" i="1"/>
  <c r="CL504" i="1"/>
  <c r="CL62" i="1"/>
  <c r="CL433" i="1"/>
  <c r="CL201" i="1"/>
  <c r="CL221" i="1"/>
  <c r="CL330" i="1"/>
  <c r="CL274" i="1"/>
  <c r="CL113" i="1"/>
  <c r="CL462" i="1"/>
  <c r="CL389" i="1"/>
  <c r="CL427" i="1"/>
  <c r="CL405" i="1"/>
  <c r="CL1931" i="1"/>
  <c r="CL1697" i="1"/>
  <c r="CL380" i="1"/>
  <c r="CL1883" i="1"/>
  <c r="CL51" i="1"/>
  <c r="CL53" i="1"/>
  <c r="CL404" i="1"/>
  <c r="CL222" i="1"/>
  <c r="CL466" i="1"/>
  <c r="CL349" i="1"/>
  <c r="CL1647" i="1"/>
  <c r="CL1666" i="1"/>
  <c r="CL474" i="1"/>
  <c r="CL290" i="1"/>
  <c r="CL1975" i="1"/>
  <c r="CL1992" i="1"/>
  <c r="CL1737" i="1"/>
  <c r="CL12" i="1"/>
  <c r="CL151" i="1"/>
  <c r="CL137" i="1"/>
  <c r="CL80" i="1"/>
  <c r="CL1667" i="1"/>
  <c r="CL1751" i="1"/>
  <c r="CL415" i="1"/>
  <c r="CL128" i="1"/>
  <c r="CL180" i="1"/>
  <c r="CL1686" i="1"/>
  <c r="CL1879" i="1"/>
  <c r="CL1944" i="1"/>
  <c r="CL1823" i="1"/>
  <c r="CL438" i="1"/>
  <c r="CL64" i="1"/>
  <c r="CL1648" i="1"/>
  <c r="CL52" i="1"/>
  <c r="CL1755" i="1"/>
  <c r="CL1783" i="1"/>
  <c r="CL1621" i="1"/>
  <c r="CL287" i="1"/>
  <c r="CL1980" i="1"/>
  <c r="CL1976" i="1"/>
  <c r="CL401" i="1"/>
  <c r="CL39" i="1"/>
  <c r="CL417" i="1"/>
  <c r="CL362" i="1"/>
  <c r="CL471" i="1"/>
  <c r="CL326" i="1"/>
  <c r="CL1865" i="1"/>
  <c r="CL35" i="1"/>
  <c r="CL319" i="1"/>
  <c r="CL1964" i="1"/>
  <c r="CL320" i="1"/>
  <c r="CL1911" i="1"/>
  <c r="CL1912" i="1"/>
  <c r="CL95" i="1"/>
  <c r="CL1934" i="1"/>
  <c r="CL1613" i="1"/>
  <c r="CL1966" i="1"/>
  <c r="CL1979" i="1"/>
  <c r="CL225" i="1"/>
  <c r="CL1758" i="1"/>
  <c r="CL142" i="1"/>
  <c r="CL1680" i="1"/>
  <c r="CL1790" i="1"/>
  <c r="CL1681" i="1"/>
  <c r="CK2034" i="1"/>
  <c r="CL1873" i="1"/>
  <c r="CL1744" i="1"/>
  <c r="CL1678" i="1"/>
  <c r="CL1905" i="1"/>
  <c r="CL497" i="1"/>
  <c r="CL1967" i="1"/>
  <c r="CL1885" i="1"/>
  <c r="CL331" i="1"/>
  <c r="CL236" i="1"/>
  <c r="CL154" i="1"/>
  <c r="CL350" i="1"/>
  <c r="CL223" i="1"/>
  <c r="CL65" i="1"/>
  <c r="CL1655" i="1"/>
  <c r="CL1973" i="1"/>
  <c r="CL348" i="1"/>
  <c r="CL1821" i="1"/>
  <c r="CL1663" i="1"/>
  <c r="CL114" i="1"/>
  <c r="CL1918" i="1"/>
  <c r="CL1692" i="1"/>
  <c r="CL1703" i="1"/>
  <c r="CL1716" i="1"/>
  <c r="CL1917" i="1"/>
  <c r="CL356" i="1"/>
  <c r="CL501" i="1"/>
  <c r="CL159" i="1"/>
  <c r="CL156" i="1"/>
  <c r="CL294" i="1"/>
  <c r="CL1745" i="1"/>
  <c r="CL1733" i="1"/>
  <c r="CL1748" i="1"/>
  <c r="CL1817" i="1"/>
  <c r="CL429" i="1"/>
  <c r="CL206" i="1"/>
  <c r="CL204" i="1"/>
  <c r="CL143" i="1"/>
  <c r="CL1721" i="1"/>
  <c r="CL1704" i="1"/>
  <c r="CL1702" i="1"/>
  <c r="CL28" i="1"/>
  <c r="CL1756" i="1"/>
  <c r="CL79" i="1"/>
  <c r="CL40" i="1"/>
  <c r="CL60" i="1"/>
  <c r="CL1775" i="1"/>
  <c r="CL1920" i="1"/>
  <c r="CL341" i="1"/>
  <c r="CL423" i="1"/>
  <c r="CL38" i="1"/>
  <c r="CL228" i="1"/>
  <c r="CL42" i="1"/>
  <c r="CL232" i="1"/>
  <c r="CL441" i="1"/>
  <c r="CL323" i="1"/>
  <c r="CL335" i="1"/>
  <c r="CL314" i="1"/>
  <c r="CL367" i="1"/>
  <c r="CL168" i="1"/>
  <c r="CL1886" i="1"/>
  <c r="CL1688" i="1"/>
  <c r="CL1632" i="1"/>
  <c r="CL1933" i="1"/>
  <c r="CL1650" i="1"/>
  <c r="CL1723" i="1"/>
  <c r="CL1682" i="1"/>
  <c r="CL1724" i="1"/>
  <c r="CL1708" i="1"/>
  <c r="CL186" i="1"/>
  <c r="CL1630" i="1"/>
  <c r="CL1659" i="1"/>
  <c r="CL1946" i="1"/>
  <c r="CL1930" i="1"/>
  <c r="CL93" i="1"/>
  <c r="CL173" i="1"/>
  <c r="CL308" i="1"/>
  <c r="CL215" i="1"/>
  <c r="CL360" i="1"/>
  <c r="CL1791" i="1"/>
  <c r="CL1951" i="1"/>
  <c r="CL131" i="1"/>
  <c r="CL490" i="1"/>
  <c r="CL420" i="1"/>
  <c r="CL412" i="1"/>
  <c r="CL1689" i="1"/>
  <c r="CL364" i="1"/>
  <c r="CL483" i="1"/>
  <c r="CL374" i="1"/>
  <c r="CL388" i="1"/>
  <c r="CL365" i="1"/>
  <c r="CL226" i="1"/>
  <c r="CL1644" i="1"/>
  <c r="CL235" i="1"/>
  <c r="CL1780" i="1"/>
  <c r="CL1771" i="1"/>
  <c r="CL1706" i="1"/>
  <c r="CL1921" i="1"/>
  <c r="CL1711" i="1"/>
  <c r="CL31" i="1"/>
  <c r="CL203" i="1"/>
  <c r="CL416" i="1"/>
  <c r="CL44" i="1"/>
  <c r="CL499" i="1"/>
  <c r="CL199" i="1"/>
  <c r="CL432" i="1"/>
  <c r="CL116" i="1"/>
  <c r="CL507" i="1"/>
  <c r="CL461" i="1"/>
  <c r="CL129" i="1"/>
  <c r="CL1654" i="1"/>
  <c r="CL353" i="1"/>
  <c r="CL248" i="1"/>
  <c r="CL297" i="1"/>
  <c r="CL463" i="1"/>
  <c r="CL188" i="1"/>
  <c r="CL1871" i="1"/>
  <c r="CL383" i="1"/>
  <c r="CL196" i="1"/>
  <c r="CL1863" i="1"/>
  <c r="CL48" i="1"/>
  <c r="CL216" i="1"/>
  <c r="CL83" i="1"/>
  <c r="CL385" i="1"/>
  <c r="CL457" i="1"/>
  <c r="CL1827" i="1"/>
  <c r="CL406" i="1"/>
  <c r="CL285" i="1"/>
  <c r="CL109" i="1"/>
  <c r="CL209" i="1"/>
  <c r="CL163" i="1"/>
  <c r="CL1698" i="1"/>
  <c r="CL19" i="1"/>
  <c r="CL22" i="1"/>
  <c r="CL454" i="1"/>
  <c r="CL212" i="1"/>
  <c r="CL1673" i="1"/>
  <c r="CL1717" i="1"/>
  <c r="CL11" i="1"/>
  <c r="CL467" i="1"/>
  <c r="CL339" i="1"/>
  <c r="CL342" i="1"/>
  <c r="CL9" i="1"/>
  <c r="CL85" i="1"/>
  <c r="CL1753" i="1"/>
  <c r="CL1754" i="1"/>
  <c r="CL100" i="1"/>
  <c r="CL336" i="1"/>
  <c r="CL452" i="1"/>
  <c r="CL386" i="1"/>
  <c r="CL495" i="1"/>
  <c r="CL358" i="1"/>
  <c r="CL187" i="1"/>
  <c r="CL105" i="1"/>
  <c r="CL121" i="1"/>
  <c r="CL220" i="1"/>
  <c r="CL149" i="1"/>
  <c r="CL41" i="1"/>
  <c r="CL345" i="1"/>
  <c r="CL195" i="1"/>
  <c r="CL273" i="1"/>
  <c r="CL476" i="1"/>
  <c r="CL500" i="1"/>
  <c r="CL229" i="1"/>
  <c r="CL69" i="1"/>
  <c r="CL390" i="1"/>
  <c r="CL387" i="1"/>
  <c r="CL271" i="1"/>
  <c r="CL54" i="1"/>
  <c r="CL166" i="1"/>
  <c r="CL130" i="1"/>
  <c r="CL1894" i="1"/>
  <c r="CL1907" i="1"/>
  <c r="CL1965" i="1"/>
  <c r="CL1634" i="1"/>
  <c r="CL1768" i="1"/>
  <c r="CL1856" i="1"/>
  <c r="CL1788" i="1"/>
  <c r="CL1759" i="1"/>
  <c r="CL1734" i="1"/>
  <c r="CL120" i="1"/>
  <c r="CL267" i="1"/>
  <c r="CL99" i="1"/>
  <c r="CL434" i="1"/>
  <c r="CL1839" i="1"/>
  <c r="CL1725" i="1"/>
  <c r="CI90" i="1"/>
  <c r="CU90" i="1" s="1"/>
  <c r="CW90" i="1" s="1"/>
  <c r="CL263" i="1"/>
  <c r="CL68" i="1"/>
  <c r="CL444" i="1"/>
  <c r="CL1669" i="1"/>
  <c r="CL1671" i="1"/>
  <c r="CL403" i="1"/>
  <c r="CL1769" i="1"/>
  <c r="CL1631" i="1"/>
  <c r="CL1767" i="1"/>
  <c r="CL1777" i="1"/>
  <c r="CL1741" i="1"/>
  <c r="CL376" i="1"/>
  <c r="CL34" i="1"/>
  <c r="CL1901" i="1"/>
  <c r="CL1635" i="1"/>
  <c r="CL1623" i="1"/>
  <c r="CL1709" i="1"/>
  <c r="CL1881" i="1"/>
  <c r="CL399" i="1"/>
  <c r="CL288" i="1"/>
  <c r="CL135" i="1"/>
  <c r="CL30" i="1"/>
  <c r="CL117" i="1"/>
  <c r="CL43" i="1"/>
  <c r="CL327" i="1"/>
  <c r="CL363" i="1"/>
  <c r="CL197" i="1"/>
  <c r="CL408" i="1"/>
  <c r="CL202" i="1"/>
  <c r="CL258" i="1"/>
  <c r="CL472" i="1"/>
  <c r="CL162" i="1"/>
  <c r="CL484" i="1"/>
  <c r="CL115" i="1"/>
  <c r="CL340" i="1"/>
  <c r="CL464" i="1"/>
  <c r="CL402" i="1"/>
  <c r="CL108" i="1"/>
  <c r="CL57" i="1"/>
  <c r="CL1757" i="1"/>
  <c r="CL1622" i="1"/>
  <c r="CL1849" i="1"/>
  <c r="CL1850" i="1"/>
  <c r="CL1747" i="1"/>
  <c r="CL1695" i="1"/>
  <c r="CL505" i="1"/>
  <c r="CL1729" i="1"/>
  <c r="CL439" i="1"/>
  <c r="CL324" i="1"/>
  <c r="CL26" i="1"/>
  <c r="CL157" i="1"/>
  <c r="CL276" i="1"/>
  <c r="CL192" i="1"/>
  <c r="CL124" i="1"/>
  <c r="CL207" i="1"/>
  <c r="CL482" i="1"/>
  <c r="CL224" i="1"/>
  <c r="CL255" i="1"/>
  <c r="CL1649" i="1"/>
  <c r="CL1814" i="1"/>
  <c r="CL1874" i="1"/>
  <c r="CL1691" i="1"/>
  <c r="CL1750" i="1"/>
  <c r="CL1677" i="1"/>
  <c r="CL78" i="1"/>
  <c r="CL1720" i="1"/>
  <c r="CL61" i="1"/>
  <c r="CL400" i="1"/>
  <c r="CL299" i="1"/>
  <c r="CL487" i="1"/>
  <c r="CL277" i="1"/>
  <c r="CL251" i="1"/>
  <c r="CL172" i="1"/>
  <c r="CL381" i="1"/>
  <c r="CL384" i="1"/>
  <c r="CL1766" i="1"/>
  <c r="CL1690" i="1"/>
  <c r="CL284" i="1"/>
  <c r="CL1844" i="1"/>
  <c r="CL104" i="1"/>
  <c r="CK2037" i="1"/>
  <c r="CK2036" i="1"/>
  <c r="CL1781" i="1"/>
  <c r="CL1793" i="1"/>
  <c r="CW502" i="1" l="1"/>
  <c r="CW2011" i="1"/>
  <c r="CW478" i="1"/>
  <c r="CW448" i="1"/>
  <c r="CW1970" i="1"/>
  <c r="CW1983" i="1"/>
  <c r="CW1976" i="1"/>
  <c r="CW1980" i="1"/>
  <c r="CW1977" i="1"/>
  <c r="CW2030" i="1"/>
  <c r="CW1985" i="1"/>
  <c r="CW1975" i="1"/>
  <c r="CW1990" i="1"/>
  <c r="CW1986" i="1"/>
  <c r="CW2000" i="1"/>
  <c r="CW1979" i="1"/>
  <c r="CW1987" i="1"/>
  <c r="CW1971" i="1"/>
  <c r="CW1989" i="1"/>
  <c r="CW1978" i="1"/>
  <c r="CW1993" i="1"/>
  <c r="CW2026" i="1"/>
  <c r="CW1984" i="1"/>
  <c r="CW1988" i="1"/>
  <c r="CW1991" i="1"/>
  <c r="CW1974" i="1"/>
  <c r="CW1992" i="1"/>
  <c r="CW1969" i="1"/>
  <c r="CW2027" i="1"/>
  <c r="CW1981" i="1"/>
  <c r="CW1982" i="1"/>
  <c r="CW1972" i="1"/>
  <c r="CW499" i="1"/>
  <c r="CW470" i="1"/>
  <c r="CL448" i="1"/>
  <c r="CJ181" i="1"/>
  <c r="CL181" i="1"/>
  <c r="CJ167" i="1"/>
  <c r="CR167" i="1" s="1"/>
  <c r="CJ502" i="1"/>
  <c r="CL478" i="1"/>
  <c r="CJ478" i="1"/>
  <c r="CR478" i="1" s="1"/>
  <c r="CJ90" i="1"/>
  <c r="CR90" i="1" s="1"/>
  <c r="CJ448" i="1"/>
  <c r="CR448" i="1" s="1"/>
  <c r="CJ2011" i="1"/>
  <c r="CR2011" i="1" s="1"/>
  <c r="CL167" i="1"/>
  <c r="CL502" i="1"/>
  <c r="CL90" i="1"/>
</calcChain>
</file>

<file path=xl/comments1.xml><?xml version="1.0" encoding="utf-8"?>
<comments xmlns="http://schemas.openxmlformats.org/spreadsheetml/2006/main">
  <authors>
    <author>Stefan Scholz2</author>
  </authors>
  <commentList>
    <comment ref="F1263" authorId="0">
      <text>
        <r>
          <rPr>
            <b/>
            <sz val="8"/>
            <color indexed="81"/>
            <rFont val="Tahoma"/>
            <family val="2"/>
          </rPr>
          <t>Stefan Scholz2:</t>
        </r>
        <r>
          <rPr>
            <sz val="8"/>
            <color indexed="81"/>
            <rFont val="Tahoma"/>
            <family val="2"/>
          </rPr>
          <t xml:space="preserve">
CAS number was changed from original article in order to match the compound name.</t>
        </r>
      </text>
    </comment>
    <comment ref="G1263" authorId="0">
      <text>
        <r>
          <rPr>
            <b/>
            <sz val="8"/>
            <color indexed="81"/>
            <rFont val="Tahoma"/>
            <family val="2"/>
          </rPr>
          <t>Stefan Scholz2:</t>
        </r>
        <r>
          <rPr>
            <sz val="8"/>
            <color indexed="81"/>
            <rFont val="Tahoma"/>
            <family val="2"/>
          </rPr>
          <t xml:space="preserve">
CAS number was changed from original article in order to match the compound name.</t>
        </r>
      </text>
    </comment>
  </commentList>
</comments>
</file>

<file path=xl/comments2.xml><?xml version="1.0" encoding="utf-8"?>
<comments xmlns="http://schemas.openxmlformats.org/spreadsheetml/2006/main">
  <authors>
    <author/>
  </authors>
  <commentList>
    <comment ref="AC1" authorId="0">
      <text>
        <r>
          <rPr>
            <sz val="10"/>
            <color rgb="FF000000"/>
            <rFont val="Arial"/>
            <family val="2"/>
          </rPr>
          <t>his we had already - I think we do not need it. This column show experimental pKa values - for consistency we should remove this column but keep it for later actions
	-nils.kluever</t>
        </r>
      </text>
    </comment>
    <comment ref="AR1" authorId="0">
      <text>
        <r>
          <rPr>
            <sz val="10"/>
            <color rgb="FF000000"/>
            <rFont val="Arial"/>
            <family val="2"/>
          </rPr>
          <t>Stefan Scholz:
Concentration range will be provided for newly added data and for compounds of concern.</t>
        </r>
      </text>
    </comment>
    <comment ref="AC2" authorId="0">
      <text>
        <r>
          <rPr>
            <sz val="10"/>
            <color rgb="FF000000"/>
            <rFont val="Arial"/>
            <family val="2"/>
          </rPr>
          <t>Stefan Scholz:
If not otherwise indicated, data have been retrieved from [3]</t>
        </r>
      </text>
    </comment>
  </commentList>
</comments>
</file>

<file path=xl/sharedStrings.xml><?xml version="1.0" encoding="utf-8"?>
<sst xmlns="http://schemas.openxmlformats.org/spreadsheetml/2006/main" count="120683" uniqueCount="8729">
  <si>
    <t>Refernces</t>
  </si>
  <si>
    <t>Source of physico-chemical data</t>
  </si>
  <si>
    <t>Akhtar, M. T.; Ali, S.; Rashidi, H.; van der Kooy, F.; Verpoorte, R.; Richardson, M. K., Developmental effects of cannabinoids on zebrafish larvae. Zebrafish 2013, 10, (3), 283-93.</t>
  </si>
  <si>
    <t>[1]</t>
  </si>
  <si>
    <t>Product information sigma aldrich</t>
  </si>
  <si>
    <t>www.sigmaaldrich.com</t>
  </si>
  <si>
    <t>[2]</t>
  </si>
  <si>
    <t>ChemIdPlusAdvanced</t>
  </si>
  <si>
    <t>#FET</t>
  </si>
  <si>
    <t>Compound</t>
  </si>
  <si>
    <t>Ali, S., Champagne, D.L., Richardson, M.K., 2012. Behavioral profiling of zebrafish embryos exposed to a panel of 60 water-soluble compounds. Behav. Brain Res. 228, 272-283.</t>
  </si>
  <si>
    <t>Ali, S., Mil, H. G. J. van, &amp; Richardson, M. K. (2011). Large-Scale Assessment of the Zebrafish Embryo as a Possible Predictive Model in Toxicity Testing. PLoS ONE, 6(6)</t>
  </si>
  <si>
    <t>Bachmann, J. (2002). Entwicklung und Erprobung eines Teratogenitäts-Screening Testes mit Embryonen des Zebrabärblings Danio rerio. Fakultät für Forst-, Geo- und Hydrowissenschaften. Dresden, Technischen Universität Dresden. Doctor rerum naturalium (Dr. rer. nat.).</t>
  </si>
  <si>
    <t>Bakkiyanathan, A., Nathan, J. R., Ravikumar, S., Gopalakrishnan, T. S., Aruldas, F. M. M., &amp; Malathi, R. (2012). Anti-angiogenic effects of theophylline on developing zebrafish (Danio rerio) embryos. Biomedicine &amp; Preventive Nutrition, 2(3), 174–178.</t>
  </si>
  <si>
    <t>Bakos, K.; Kovacs, R.; Staszny, A.; Sipos, D. K.; Urbanyi, B.; Muller, F.; Csenki, Z.; Kovacs, B., Developmental toxicity and estrogenic potency of zearalenone in zebrafish (Danio rerio). Aquat Toxicol 2013, 136-137, 13-21.</t>
  </si>
  <si>
    <t>Baumann, L., 2008. Effects of Endocrine Disruptors in Zebrafish (Danio rerio) as Revealed with the Fish Sexual Development Test. MSc Thesis, Faculty of for Biosciences, Univ. Heidelberg., 91 pp.</t>
  </si>
  <si>
    <t>Belanger, S.E., Rawlings, J.M., Carr, G.J., 2013. Use of fish embryo toxicity tests for the prediction of acute fish toxicity to chemicals. Environ. Toxicol. Chem. 32, 1768-1783.</t>
  </si>
  <si>
    <t>Bonventre, Josephine A., White, Lori A., Cooper, Keith R. (2012). Craniofacial abnormalities and altered wnt and mmp mRNA expression in zebrafish embryos exposed to gasoline oxygenates ETBE and TAME. Elsevier-Aquatic Toxicology 120-121 (2012): 45-53.</t>
  </si>
  <si>
    <t>Brust, K. (2001). Toxicity of aliphatic amines on the embryos of zebrafish Danio rerio - experimental studies and QSAR. Fakultät für Forst-, Geo- und Hydrowissenschaften. Dresden, Technischen Universität. doctor rerum naturalium (Dr. rer. nat.).</t>
  </si>
  <si>
    <t>Butler, J. D.; Parkerton, T. F.; Letinski, D. J.; Bragin, G. E.; Lampi, M. A.; Cooper, K. R., A novel passive dosing system for determining the toxicity of phenanthrene to early life stages of zebrafish. Sci Total Environ 2013, 463-464, 952-8.</t>
  </si>
  <si>
    <t>Campinho, M. A.; Power, D. M., Waterborne exposure of zebrafish embryos to micromole concentrations of ioxynil and diethylstilbestrol disrupts thyrocyte development. Aquat Toxicol 2013, 140-141, 279-87.</t>
  </si>
  <si>
    <t>Carlsson, G., Patring, J., Kreuger, J., Norrgren, L., &amp; Oskarsson, A. (2012). Toxicity of 15 veterinary pharmaceuticals in zebrafish (Danio rerio) embryos. Aquatic toxicology, 126C, 30–41. doi:10.1016/j.aquatox.2012.10.008</t>
  </si>
  <si>
    <t>Cheng, S.H., Wai, A.W.K., So, C.H., Wu, R.S.S.(2000). Cellular and molecular basis of cadmium-induced deformities in zebrafish embryos. Environ. Toxicol. Chem. 19, 3024–3031.</t>
  </si>
  <si>
    <t>Chow, W. S.; Chan, W. K.; Chan, K. M., Toxicity assessment and vitellogenin expression in zebrafish (Danio rerio) embryos and larvae acutely exposed to bisphenol A, endosulfan, heptachlor, methoxychlor and tetrabromobisphenol A. J Appl Toxicol 2013, 33, (7), 670-8.</t>
  </si>
  <si>
    <t>Coelho, S., R. Oliveira, et al. (2011). Assessing lethal and sub-lethal effects of trichlorfon on different trophic levels. Aquat Toxicol 103(3-4): 191-198.</t>
  </si>
  <si>
    <t>DeMicco, A., K. R. Cooper, et al. (2010). Developmental neurotoxicity of pyrethroid insecticides in zebrafish embryos. Toxicol Sci 113(1): 177-186.</t>
  </si>
  <si>
    <t>Sector</t>
  </si>
  <si>
    <t>Devlin EW. (2006). Acute toxicity, uptake and histopathology of aqueous methyl mercury to fathead minnow embryos. Ecotoxicology 15:97‐110</t>
  </si>
  <si>
    <t>Devlin, E.W., Brammer, J.D., Puyear, R.L., 1982. Acute toxicity of toluene to three age groups of fathead minnows (Pimephales promelas). Bull. Environ. Contam. Toxicol. 29, 12-17.</t>
  </si>
  <si>
    <t>Ducharme, N. A.; Peterson, L. E.; Benfenati, E.; Reif, D.; McCollum, C. W.; Gustafsson, J. A.; Bondesson, M., Meta-analysis of toxicity and teratogenicity of 133 chemicals from zebrafish developmental toxicity studies. Reprod Toxicol 2013, 41, 98-108.</t>
  </si>
  <si>
    <t>Ensenbach, U., (1987). Kinetik, akute Toxizität und Verteilung von Umweltchemikalien beim Ei des Zebrabärblings (BrachyDanio rerio). MSc Thesis, Johannes-Gutenberg-University Mainz, 74 pp.</t>
  </si>
  <si>
    <t>Fent, K.; Chew, G.; Li, J.; Gomez, E., Benzotriazole UV-stabilizers and benzotriazole: Antiandrogenic activity in vitro and activation of aryl hydrocarbon receptor pathway in zebrafish eleuthero-embryos. Sci Total Environ 2014, 482-483, 125-36.</t>
  </si>
  <si>
    <t>Fischer, S.; Kluver, N.; Burkhardt-Medicke, K.; Pietsch, M.; Schmidt, A. M.; Wellner, P.; Schirmer, K.; Luckenbach, T., Abcb4 acts as multixenobiotic transporter and active barrier against chemical uptake in zebrafish (Danio rerio) embryos. BMC Biol 2013, 11, 69.</t>
  </si>
  <si>
    <t>Foerster, F., (2008). Effects of the exposure duration
of various chemicals on the fish embryo test
with the zebrafish Danio rerio. MSc Thesis, Faculty of for Biosciences, Univ. Heidelberg. 75 pp.</t>
  </si>
  <si>
    <t>Frantzen, M., Falk-Petersen, I.-B., Nahrgang, J., et al. (2011). Toxicity of crude oil and pyrene to the embryos of beach spawning capelin (Mallotus villosus). Elsevier-Aquatic Toxicology (2012) 108: 42-52.</t>
  </si>
  <si>
    <t>Gao, X. P.; Feng, F.; Zhang, X. Q.; Liu, X. X.; Wang, Y. B.; She, J. X.; He, Z. H.; He, M. F., Toxicity assessment of 7 anticancer compounds in zebrafish. Int J Toxicol 2014, 33, (2), 98-105.</t>
  </si>
  <si>
    <t>Goka K. (1999). Embryotoxicity of zinc pyrithione, an antidandruff chemical, in fish. Env Res (A) 81:81‐83.</t>
  </si>
  <si>
    <t>Gonzalez-Doncel, M.; Garcia-Maurino, J. E.; San Segundo, L.; Beltran, E. M.; Sastre, S.; Fernandez Torija, C., Embryonic exposure of medaka (Oryzias latipes) to propylparaben: effects on early development and post-hatching growth. Environ Pollut 2014, 184, 360-9.</t>
  </si>
  <si>
    <t>Groth G, Kronauer K, Freundt KJ. (1994). Effects of N,N‐dimethylformamide and its degradation products in zebrafish embryos. Toxicol In Vitro 8:401–406</t>
  </si>
  <si>
    <t>Groth, G., Schreeb, K., Herdt, V., Freundt, K.J., (1993). Toxicity studies in fertilized zebrafish fish eggs treated with N-methylamine, N,N-dimethylamine, 2-aminoethanol, isopropylamine, aniline, N-methylaniline, N,N-dimethylaniline, quinone, chloroacetaldehyde, or cyclohexanol. Bull. Environ. Contam. Toxicol. 50, 878–882.</t>
  </si>
  <si>
    <t>Hamm, J.T., Wilson, B.W., Hinton, D.E., (2001). Increasing uptake and bioactivation with development positively modulate diazinon toxicity in early life stage medaka (Oryzias latipes). Toxicol. Sci. 61, 304–313.</t>
  </si>
  <si>
    <t>Hassan SF, Moussa EA, Abbott LC. (2008). Effects of Quillaja Saponin (Quillaja saponaria) on early embryonic zebrafish (Danio rerio). Development Int J Toxicol 27:273‐278</t>
  </si>
  <si>
    <t>Henn, K. and T. Braunbeck (2011). Dechorionation as a tool to improve the fish embryo toxicity test (FET) with the zebrafish (Danio rerio). Comp Biochem Physiol C Toxicol Pharmacol 153(1): 91-98.</t>
  </si>
  <si>
    <t>Hua, J.; Vijver, M. G.; Ahmad, F.; Richardson, M. K.; Peijnenburg, W. J., Toxicity of different-sized copper nano- and submicron particles and their shed copper ions to zebrafish embryos. Environ Toxicol Chem 2014, 33, (8), 1774-82.</t>
  </si>
  <si>
    <t>Huang, H., Huang, C., Wang, L., et al. (2010). Toxicity, uptake and behavior assessment in zebrafish embryos following exposure to perfluorooctanesulphonicacid (PFOS). Elsevier-Aquatic Toxicology 98 (2010): 139-147.</t>
  </si>
  <si>
    <t>ISIS, (2003). Identifizierung sedimentgebundener Schadstoffe: Toxizitätstest-geleitete Analytik (BMBF-Projekt F0271A-C).</t>
  </si>
  <si>
    <t>[3]</t>
  </si>
  <si>
    <t>Obtained from</t>
  </si>
  <si>
    <t>Jarvinen, A.W., Tanner, D.K., Kline, E.R., (1988). Toxicity of chlorpyrifos, endrin, or fenvalerate to fathead minnows following episodic or continuous exposure. Ecotoxicol. Environ. Saf. 15, 78–95.</t>
  </si>
  <si>
    <t>Jeffries, M. K.; Stultz, A. E.; Smith, A. W.; Rawlings, J. M.; Belanger, S. E.; Oris, J. T., Alternative methods for toxicity assessments in fish: comparison of the fish embryo toxicity and the larval growth and survival tests in zebrafish and fathead minnows. Environ Toxicol Chem 2014, 33, (11), 2584-94.</t>
  </si>
  <si>
    <t>Jin, M.Q., Zhang, X.F., Wang, L.J., Huang, C.J., Zhang, Y., Zhao, M.R., (2009). Developmental toxicity of bifenthrin in embryo-larval stages of zebrafish. Aquat. Toxicol. 95, 347-354.</t>
  </si>
  <si>
    <t>Jonas, A.; Buranova, V.; Scholz, S.; Fetter, E.; Novakova, K.; Kohoutek, J.; Hilscherova, K., Retinoid-like activity and teratogenic effects of cyanobacterial exudates. Aquat Toxicol 2014, 155, 283-90.</t>
  </si>
  <si>
    <t>Kammann, U., Vobach, M., Wosniok, W., (2006). Toxic effects of brominated indoles and phenols on zebrafish embryos. Arch. Environ. Contam. Toxicol. 51, 97–102.</t>
  </si>
  <si>
    <t>Kehrer, A. (2008). Die Wirkung von Pharmaka und Pestiziden einzeln und in Kombination auf die Embryonalentwicklung des Zebrabärblings (Danio rerio). Fakultät Forst-, Geo- und Hydrowissenschaften. Dresden, Technischen Universität.</t>
  </si>
  <si>
    <t>Klüver, N., Scholz, S., 2012. Abschlussbericht BMBF-Verbundprojekt Förderkennzeichen PTJ-BIO/0315190C: Optimierung des Genexpressions-Danio rerio-Embryotests (Gen-DarT) als Ersatzmethode für chronische Fischtests (Gen-DarT 2) Teilprojekt 1 - Charakterisierung der Markergene und Entwicklung eines Multiplex-RT-PCR-Nachweisverfahrens. Available at http://edok01.tib.uni-hannover.de.</t>
  </si>
  <si>
    <t>[4]</t>
  </si>
  <si>
    <t>Klüver, N., Yang, L., Busch, W., Scheffler, K., Renner, P., Strahle, U., &amp; Scholz, S. (2011). Transcriptional response of zebrafish embryos exposed to neurotoxic compounds reveals a muscle activity dependent hspb11 expression. PLoS One, 6(12), e29063. doi:10.1371/journal.pone.0029063</t>
  </si>
  <si>
    <t>Based on the CAS no, obtained from</t>
  </si>
  <si>
    <t>http://pubchem.ncbi.nlm.nih.gov</t>
  </si>
  <si>
    <t>Kluver, N.; Ortmann, J.; Paschke, H.; Renner, P.; Ritter, A. P.; Scholz, S., Transient overexpression of adh8a increases allyl alcohol toxicity in zebrafish embryos. PLoS One 2014, 9, (3), e90619.</t>
  </si>
  <si>
    <t>[5]</t>
  </si>
  <si>
    <t>Hansch C. et.al.; 1995 (ecosar)</t>
  </si>
  <si>
    <t>Knöbel M, Busser F, Rico Rico A, Kramer NI, Hermens JLM, Hafner C, Tanneberger K, Schirmer K, Scholz S (2012). Predicting adult fish acute lethality with the zebrafish embryo: relevance of test duration, endpoints, compound properties and exposure concentration analysis. Environ Sci Technol, 46: 9690-9700.</t>
  </si>
  <si>
    <t>[6]</t>
  </si>
  <si>
    <t>Calculated by EPISUITE using the CAS registry number or SMILES code obtained from [2] or by drawing the structure.</t>
  </si>
  <si>
    <t>Kristofco, L. A.; Du, B.; Chambliss, C. K.; Berninger, J. P.; Brooks, B. W., Comparative pharmacology and toxicology of pharmaceuticals in the environment: diphenhydramine protection of diazinon toxicity in Danio rerio but not Daphnia magna. AAPS J 2015, 17, (1), 175-83.</t>
  </si>
  <si>
    <t>Küster, E., Altenburger, R., 2006. Comparison of cholin- and carboxylesterase enzyme inhibition and visible effects in the zebra fish embryo bioassay under short-term paraoxon-methyl exposure. Biomarkers 11, 341-354.
Küster, E., Altenburger, R., 2006. Comparison of cholin- and carboxylesterase enzyme inhibition and visible effects in the zebra fish embryo bioassay under short-term paraoxon-methyl exposure. Biomarkers 11, 341-354.</t>
  </si>
  <si>
    <t>Lahnsteiner F. (2008). The sensitivity and reproducibility of the zebrafish (Danio rerio) embryo test for the screening of waste water quality and for testing the toxicity of chemicals. ATLA 36:299‐311</t>
  </si>
  <si>
    <t>Lammer E., Kamp H.G., Hisgen V., Koch M., Reinhard D., Salinas E.R., Wendler K., Zok S., Braunbeck T.; (2009). Development of a flow-through system for the fish embryo toxicity test (FET) with the zebrafish (Danio rerio); Toxicology in Vitro; 23: 1436-1442</t>
  </si>
  <si>
    <t>[7]</t>
  </si>
  <si>
    <t>Lammer, E., Carr, G.J., Wendler, K., Rawlings, J.M., Belanger, S.E., Braunbeck, T., 2009b. Is the fish embryo toxicity test (FET) with the zebrafish (Danio rerio) a potential alternative for the fish acute toxicity test? Comp. Biochem. Phys. C 149, 196-209.</t>
  </si>
  <si>
    <t>Adlard M, et al; 1995 (ecosar)</t>
  </si>
  <si>
    <t>[8]</t>
  </si>
  <si>
    <t>Lange, M., Gebauer,W., Markl, J., Nagel, R., (1995). Comparison of testing acute toxicity on embryo of zebrafish, BrachyDanio rerio and RGT-2 cytotoxicity as possible alternatives to the acute fish test. Chemosphere 30/11, 2087–2102.</t>
  </si>
  <si>
    <t>Sangster, J. (1989). Octanol-water partition coefficients of simple organic compounds. J.Adlard M, et al; 1995 (ecosar) Phys. Chem. Ref. Data 18, 1111-1230.</t>
  </si>
  <si>
    <t>[9]</t>
  </si>
  <si>
    <t>Li, S. P.; Lau, C. T.; Louie, M. W.; Lam, Y. W.; Cheng, S. H.; Lo, K. K., Mitochondria-targeting cyclometalated iridium(III)-PEG complexes with tunable photodynamic activity. Biomaterials 2013, 34, (30), 7519-32.</t>
  </si>
  <si>
    <t>Hansch, C. and Leo, A.J. (1981). Medchem Project. Issue No. 19. Claremont, CA, Pomona; College, USA.</t>
  </si>
  <si>
    <t>[10]</t>
  </si>
  <si>
    <t>Li, Y.; Han, Z.; Zheng, X.; Ma, Z.; Liu, H.; Giesy, J. P.; Xie, Y.; Yu, H., Comparison of waterborne and in ovo nanoinjection exposures to assess effects of PFOS on zebrafish embryos. Environ Sci Pollut Res Int 2015, 22, (3), 2303-10.</t>
  </si>
  <si>
    <t>Abraham, M.H., Chadha, H.S., Whiting, G.S., and Mitchell, R.C. (1994). Hydrogen bonding. 32. An analysis of water-octanol and water-alkane partitioning and the log P parameter of Seiler. J. Pharm. Sci. 83, 1085-1100.</t>
  </si>
  <si>
    <t>[11]</t>
  </si>
  <si>
    <t>Liu H, Liu X, Wang X, Wang X, Yu H. (2007b). Toxicity of BPA and TBBPA to Daphnia magna and zebrafish Brachydanio rerio. Chinese J Env Sci 26:1784‐1787.</t>
  </si>
  <si>
    <t>berechnet mit KowWin 1.9 (in Brust, K. (2001). Toxicity of aliphatic amines on the embryos of zebrafish Danio rerio - experimental studies and QSAR. Fakultät für Forst-, Geo- und Hydrowissenschaften. Dresden, Technischen Universität. doctor rerum naturalium (Dr. rer. nat.).)</t>
  </si>
  <si>
    <t>Liu, H., Yu, H., Giesy, J.P., Sun, Y.,Wang, X., (2007a). Toxicity of HC Orange No. 1 to Daphnia magna, zebrafish (BrachyDanio rerio) embryos, and goldfish (Carassius auratus). Chemosphere 66, 2159–2165.</t>
  </si>
  <si>
    <t>[12]</t>
  </si>
  <si>
    <t>Hansch, C. and Leo, A.J. (1985). Medchem Project. Issue No. 26. Claremont, CA, Pomona College, USA.</t>
  </si>
  <si>
    <t>[13]</t>
  </si>
  <si>
    <t>Lu, Z. G.; Li, M. H.; Wang, J. S.; Wei, D. D.; Liu, Q. W.; Kong, L. Y., Developmental toxicity and neurotoxicity of two matrine-type alkaloids, matrine and sophocarpine, in zebrafish (Danio rerio) embryos/larvae. Reprod Toxicol 2014, 47, 33-41.</t>
  </si>
  <si>
    <t>Ma, Y., L. Chen, et al. (2009). Enantioselectivity in aquatic toxicity of synthetic pyrethroid insecticide fenvalerate. Ecotoxicol Environ Saf 72(7): 1913-1918.</t>
  </si>
  <si>
    <t>[14]</t>
  </si>
  <si>
    <t>Kehrer, A. (2008). Die Wirkung von Pharmaka und Pestiziden einzeln und in Kombination auf die Embryonalentwicklung des Zebrabärblings (Danio rerio). Fakultät Forst-, Geo- und Hydrowissenschaften. Dresden, Technischen Universität. doctor rerum naturalium (Dr. rer. nat.).</t>
  </si>
  <si>
    <t>Maiwald, S., (1997). T von Lösungsvermittlern und lipophilen Substanzen auf die Embryonalentwicklung des Zebrabärblings (Danio rerio). MSc Thesis, PhD Thesis, Faculty for Forestry, Geo and Hydrosciences, Dresden Techn. Univ., 135 pp.</t>
  </si>
  <si>
    <t>[15]</t>
  </si>
  <si>
    <t>FORTH, W., ,HENSCHLER, D., RUMMEL, W., FÖRSTERMANN, U., STARKE, K., 2001, Allgemeine und spezielle Pharmakologie und Toxikologie, Urban &amp; Fischer, 8.Auflage</t>
  </si>
  <si>
    <t>1st strongest acid pKa</t>
  </si>
  <si>
    <t>[16]</t>
  </si>
  <si>
    <t>1st strongest base pKa</t>
  </si>
  <si>
    <t>1st strongest acid pKa (1)</t>
  </si>
  <si>
    <t>Marimuthu, K.; Muthu, N.; Xavier, R.; Arockiaraj, J.; Rahman, M. A.; Subramaniam, S., Toxicity of buprofezin on the survival of embryo and larvae of African catfish, Clarias gariepinus (Bloch). PLoS One 2013, 8, (10), e75545.</t>
  </si>
  <si>
    <t>MIEGE, C., FAVIER, M., BROSSE, C., CANLER, J.-P., COQUERRY, M., 2006, Occurrence of betablockers in effluents of wastewater treatment plants from the Lyon area (France) and risk assessment for the downstream rivers, Talanta 70, 739- 744</t>
  </si>
  <si>
    <t>1st strongest base pKa (1)</t>
  </si>
  <si>
    <t>[17]</t>
  </si>
  <si>
    <t>BARCELO, D., PETROVIC, M., DE ALDA, M., J., L., HERNANDO, M., D., 2006, Recent advances in LC-MS/ MS analysis of emerging contaminants in environmental samples, www.cid.csic.es/emco/Opatija-Damia.pdf</t>
  </si>
  <si>
    <t>McCormick, J. M., T. Van Es, et al. (2011). Microbially mediated O-methylation of bisphenol A results in metabolites with increased toxicity to the developing zebrafish (Danio rerio) embryo. Environ Sci Technol 45(15): 6567-6574.</t>
  </si>
  <si>
    <t>[18]</t>
  </si>
  <si>
    <t>ARGE-ELBE, Arbeitsgemeinschaft für die Reinerhaltung der Elbe, 2002, Arzneistoffe in Elbe und Saale</t>
  </si>
  <si>
    <t>[19]</t>
  </si>
  <si>
    <t>KNOX, C., 2008, Terbutaline http://www.drugbank.ca/dugs/D800871</t>
  </si>
  <si>
    <t>[20]</t>
  </si>
  <si>
    <t>Mhadhbi, L., Beiras, R. (2012b). Acute Toxicity of Seven Selected Pesticides (Alachlor, Atrazine, Dieldrin, Diuron, Pirimiphos-Methyl, Chlorpyrifos, Diazinon) to Marine Fish (Turbot, Psetta maxima). Water Air Soil Pollut (2012) 223: 5917-5930.</t>
  </si>
  <si>
    <t>SANDRA, P., TIENPONT, B., DAVID, F., 2003, Stir Bar Sorptive Extraction (Twister TM) RTLCGS- MS, A Versatile Method to Monitor more than 400 Pesticides in different Matrices (Water, Berverages, Fruits, Vegetables, Baby Food), Research Institute for Chromotography, Application Note 2003-1, www.richrom.com/assets/appnote2003-1.pdf</t>
  </si>
  <si>
    <t>[21]</t>
  </si>
  <si>
    <t>Mhadhbi, L., Boumaiza, M. (2011) . Toxic Effects of Acute Exposure of Diazoninin turbot (Psetta maxima) Early Life Stage (ELS). Int. J. Environ. Res. 6(1):139-144.</t>
  </si>
  <si>
    <t>KNOX, C., 2008, Oxytetrazyklin http://www.drugbank.ca/cgi-bin/showdrug. cgi?CARD=D800595</t>
  </si>
  <si>
    <t>[22]</t>
  </si>
  <si>
    <t>FELDMANN, D., F., 2005, Modellberechnungen zum Verhalten und Verbleib von Arzneimittelrückständen im Krankenhausabwasser und Beurteilungsmöglichkeiten ihres ökotoxikologischen Gefährdungspotentials, Dissertation, Fakultät IIIProzesswissenschaften der Technischen Universität Berlin</t>
  </si>
  <si>
    <t>Mhadhbi, L., Fumega, J., Boumaiza, M., et al. (2012a). Acute Toxicity of polybrominated diphenyl ethers (PBDEs) for turbot (Psetta maxima) early life stages (ELS). Environ. Sci. Pollut. Res. (2012) 19: 708-717</t>
  </si>
  <si>
    <t>[23]</t>
  </si>
  <si>
    <t>http://chem.sis.nlm.nih.gov/chemidplus/</t>
  </si>
  <si>
    <t>[24]</t>
  </si>
  <si>
    <t>Modra, H., D. Vrskova, et al. (2011). Comparison of diazinon toxicity to embryos of Xenopus laevis and Danio rerio; degradation of diazinon in water. Bull Environ Contam Toxicol 86(6): 601-604.</t>
  </si>
  <si>
    <t>Schüürmann, G., Kühne, R., Kleint, F., Ebert, R.U., Rothenbacher, C., Herth, P., 1997. A software system for automatic chemical property estimation from molecular structure, QSAR in Environmental Sciences VII. SETAC Press, Pensacola, FL, USA. SETAC Press, Pensacola, FL, pp. 93–114.</t>
  </si>
  <si>
    <t>Meylan and Howard prediction
UFZ unpublished method for log Kow prediction</t>
  </si>
  <si>
    <t>Software ChemProp</t>
  </si>
  <si>
    <t>[25]</t>
  </si>
  <si>
    <t>Mu, X., Pang, S., Sun, X., Gao, J., Chen, J., Chen, X., Li, X., Wang, C., (2013). Evaluation of acute and developmental effects of difenoconazole via multiple stage zebrafish assays. Environ Pollut 175C, 147-157.</t>
  </si>
  <si>
    <t>Shaukat Ali, Harald G. J. van Mil, Michael K. Richardson; 2011; Large-Scale Assessment of the Zebrafish Embryo as a
Possible Predictive Model in Toxicity Testing; PLoS ONE; volume 6; Issue 6</t>
  </si>
  <si>
    <t>Species</t>
  </si>
  <si>
    <t>Muth-Kohne, E.; Sonnack, L.; Schlich, K.; Hischen, F.; Baumgartner, W.; Hund-Rinke, K.; Schafers, C.; Fenske, M., The toxicity of silver nanoparticles to zebrafish embryos increases through sewage treatment processes. Ecotoxicology 2013, 22, (8), 1264-77.</t>
  </si>
  <si>
    <t>Nguyen, L.T., Janssen, C.R., (2001). Comparative sensitivity of embryo-larval toxicity assays with African catfish (Clarias gariepinus) and zebra fish (Danio rerio). Environ. Toxicol. 16, 566–571.</t>
  </si>
  <si>
    <t>OECD, (2012). Validation report (phase 2) for the zebrafish embryo toxicity test. Series on Testing and Assessment No. 179. Available at www.oecd.org.</t>
  </si>
  <si>
    <t>Oliveira, R., I. Domingues, et al. (2009). Effects of triclosan on zebrafish early-life stages and adults. Environ Sci Pollut Res Int 16(6): 679-688.</t>
  </si>
  <si>
    <t>Ortmann, J., 2011. Charakterisierung von Umweltchemikalien durch die Photomotor Response im Zebrabärblingsembryomodell. Masterarbeit zur Erlangung des akademischen Grades eines Master of Science. Beuth Hochschule für Technik Berlin/Helmholtz-Zentrum für Umweltforschung.</t>
  </si>
  <si>
    <t>Padilla, S., Corum, D., Padnos, B., Hunter, D. L., Beam, A., Houck, K. A., Sipes, N., et al. (2012). Zebrafish developmental screening of the ToxCastTM Phase I chemical library. Reproductive toxicology (Elmsford, N.Y.), 33(2), 174–87</t>
  </si>
  <si>
    <t>[26]</t>
  </si>
  <si>
    <t>Mhadhbi, L., Beiras, R. (2012). "Acute Toxicity of Seven Selected Pesticides (Alachlor, Atrazine, Dieldrin, Diuron, Pirimiphos-Methyl, Chlorpyrifos, Diazinon) to Marine Fish (Turbot, Psetta maxima)". Water Air Soil Pollut (2012) 223: 5917-5930.</t>
  </si>
  <si>
    <t>Pandey, M. R. and H. Guo (2014). "Evaluation of cytotoxicity, genotoxicity and embryotoxicity of insecticide propoxur using flounder gill (FG) cells and zebrafish embryos."  28(3): 340-353.</t>
  </si>
  <si>
    <t>Pandey, M. R.; Guo, H., Evaluation of cytotoxicity, genotoxicity and embryotoxicity of insecticide propoxur using flounder gill (FG) cells and zebrafish embryos. Toxicol In Vitro 2014, 28, (3), 340-53.</t>
  </si>
  <si>
    <t>Park, Y. J.; Lee, M. J.; Kim, H. R.; Chung, K. H.; Oh, S. M., Developmental toxicity of 2,3,7,8-tetrachlorodibenzo-p-dioxin in artificially fertilized crucian carp (Carassius auratus) embryo. Sci Total Environ 2014, 491-492, 271-8.</t>
  </si>
  <si>
    <t>Pasqualetti, S.; Banfi, G.; Mariotti, M., The effects of strontium on skeletal development in zebrafish embryo. J Trace Elem Med Biol 2013, 27, (4), 375-9.</t>
  </si>
  <si>
    <t>Stage at start of exposure (hpf)</t>
  </si>
  <si>
    <t>Pinho, B. R.; Santos, M. M.; Fonseca-Silva, A.; Valentao, P.; Andrade, P. B.; Oliveira, J. M., How mitochondrial dysfunction affects zebrafish development and cardiovascular function: an in vivo model for testing mitochondria-targeted drugs. Br J Pharmacol 2013, 169, (5), 1072-90.</t>
  </si>
  <si>
    <t>Stage at end or exposure (hpf)</t>
  </si>
  <si>
    <t>Puerto Galvis, C. E.; Kouznetsov, V. V., Regio- and stereoselective synthesis of spirooxindole 1'-nitro pyrrolizidines with five concurrent stereocenters under aqueous medium and their bioprospection using the zebrafish (Danio rerio) embryo model. Org Biomol Chem 2013, 11, (42), 7372-86.</t>
  </si>
  <si>
    <t>[27]</t>
  </si>
  <si>
    <t>Total duration of exposure (h)</t>
  </si>
  <si>
    <t>Bonventre, Josephine A., White, Lori A., Cooper, Keith R. (2012). "Craniofacial abnormalities and altered wnt and mmp mRNA expression in zebrafish embryos exposed to gasoline oxygenates ETBE and TAME". Elsevier-Aquatic Toxicology 120-121 (2012): 45-53.</t>
  </si>
  <si>
    <t>[28]</t>
  </si>
  <si>
    <t>Exposure conditions</t>
  </si>
  <si>
    <t>Rakotobe, L., Mezhoud, K., Berkal, M., Djediat, C., Jeannoda, V., Bodo, B., Puiseux-Dao, S., Mambu, L., Edery, M., (2010). Acute toxic effects of 8-epidiosbulbin E, a 19-norclerodane diterpene from yam Dioscorea antaly, on medaka Oryzias latipes embryos. Journal of Fish Biology 77, 870-878.</t>
  </si>
  <si>
    <t>Mhadhbi, L., Fumega, J., Boumaiza, M., et al. (2011). "Acute Toxicity of polybrominated diphenyl ethers (PBDEs) for turbot (Psetta maxima) early life stages (ELS)". Environ. Sci. Pollut. Res. (2012) 19: 708-717</t>
  </si>
  <si>
    <t>[29]</t>
  </si>
  <si>
    <t>Huang, H., Huang, C., Wang, L., et al. (2010). "Toxicity, uptake and behavior assessment in zebrafish embryos following exposure to perfluorooctanesulphonicacid (PFOS)". Elsevier-Aquatic Toxicology 98 (2010): 139-147.</t>
  </si>
  <si>
    <t>Rawlings, J.M., Belanger, S.E., submitted for publication. Comparative Toxicity of 6 Compounds to Zebrafish (Danio rerio) fish embryos, eleutheroembryos and juveniles. Cited in "Belanger, S.E., Rawlings, J.M., Carr, G.J., 2013. Use of fish embryo toxicity tests for the prediction of acute fish toxicity to chemicals. Environ. Toxicol. Chem. 32, 1768-1783.</t>
  </si>
  <si>
    <t>[30]</t>
  </si>
  <si>
    <t>Roseth S, Edvardsson T, Botten TM, Fuglestad J, Fonnum F, Stenersen J. (1996). Comparison of acute toxicity of process chemicals used in the oil refinery industry, tested with the diatom Chaetoceros gracilis, the flagellate Isochrysis galbana, and the zebra fish, Brachydanio rerio. Environ Toxicol Chem 15:1211‐1217.</t>
  </si>
  <si>
    <t>Scheil, V., Köhler, H.-R., 2009. Influence of nickel chloride, chlorpyrifos, and imidacloprid in combination with different temperatures on the embryogenesis of the zebrafish Danio rerio. Arch. Environ. Contam. Toxicol. 56, 238-243.</t>
  </si>
  <si>
    <t>Scholz, S., Voelker, D., Vess, C., 2007. Analyse toxischer Wirkungen auf der Basis veränderter Genexpression im Danio rerio Embryotest (Gen-DarT). Abschlussbericht zum BMBF-Projekt. FKZ 0313016. Available at http://edok01.tib.uni-hannover.de.</t>
  </si>
  <si>
    <t>Schulte, C., (1997). Entwicklung und Validierung einer Methode zur Ermittlung der Toxizität von Chemikalien gegenüber Embryonen von BrachyDanio rerio. PhD thesis, Faculty for Forestry, Geo and Hydrosciences, Dresden Techn. Univ., 171 pp.</t>
  </si>
  <si>
    <t>Selderslaghs, I. W., A. R. Van Rompay, et al. (2009). Development of a screening assay to identify teratogenic and embryotoxic chemicals using the zebrafish embryo. Reprod Toxicol 28(3): 308-320.</t>
  </si>
  <si>
    <t>Sisman, T. (2010). Dichlorvos-induced developmental toxicity in zebrafish. Toxicol Ind Health 26(9): 567-573.</t>
  </si>
  <si>
    <t>Song, C., Gao, H.-W., Wu, L.-L., (2011). Transmembrane Transport of Microcystin to Danio rerio Zygotes: Insights into the Developmental Toxicity of Environmental Contaminants. Tox. Sci. 122, 395-405.</t>
  </si>
  <si>
    <t>Spencer, H.B., Hussein, W.R., Tchounwou, P.B., (2002). Effects of tetrachloroethylene on the viability and development of embryos of the Japanese medaka, Oryzias latipes. Arch. Environ. Contam. Toxicol. 42, 463–469.</t>
  </si>
  <si>
    <t>Stangl, P., (1991). Auswirkungen der Umweltchemikalien 4-Chlorphenol und Pentachlorphenol auf die Embryonalentwicklung des Zebrabärblings, BrachyDanio rerio. MSc Thesis, Univ. of Mainz, 88 pp.</t>
  </si>
  <si>
    <t>Steinbach, C.; Fedorova, G.; Prokes, M.; Grabicova, K.; Machova, J.; Grabic, R.; Valentova, O.; Kroupova, H. K., Toxic effects, bioconcentration and depuration of verapamil in the early life stages of common carp (Cyprinus carpio L.). Sci Total Environ 2013, 461-462, 198-206.</t>
  </si>
  <si>
    <t>Štěpánová, S., Doleželová, P., Plhalová, L., Prokeš, M., Maršálek, P., Škorič, M., &amp; Svobodová, Z. (2012). The effects of metribuzin on early life stages of common carp (Cyprinus carpio). Pesticide Biochemistry and Physiology, 103(2), 152–158. doi:10.1016/j.pestbp.2012.04.013</t>
  </si>
  <si>
    <t>Tested range of concentrations (mM)</t>
  </si>
  <si>
    <t>Strecker R, Braunbeck T. (2012). Unpublished data provided to “Belanger, S.E., Rawlings, J.M., Carr, G.J., 2013. The use of fish embryo toxicity tests for the prediction of acute fish toxicity to chemicals. Environ. Toxicol. Chem. 32, 1768-1783.”</t>
  </si>
  <si>
    <t>ChemSpider</t>
  </si>
  <si>
    <t>Sun, L.; Xin, L.; Peng, Z.; Jin, R.; Jin, Y.; Qian, H.; Fu, Z., Toxicity and enantiospecific differences of two beta-blockers, propranolol and metoprolol, in the embryos and larvae of zebrafish (Danio rerio). Environ Toxicol 2014, 29, (12), 1367-78.</t>
  </si>
  <si>
    <t>Ton, C., Lin, Y., &amp; Willett, C. (2006). Zebrafish as a model for developmental neurotoxicity testing. Birth defects research. Part A, Clinical and molecular teratology, 76(7), 553–67.</t>
  </si>
  <si>
    <t>Truong, L., D. M. Reif, et al. (2014). "Multidimensional In Vivo Hazard Assessment Using Zebrafish." Toxicological Sciences 137(1): 212-233.</t>
  </si>
  <si>
    <t>http://www.chemspider.com/</t>
  </si>
  <si>
    <t>UFZ, OECD: Data provided for "OECD, 2011. Validation report (phase 1) for the zebrafish embryo toxicity test - part 1. Series on Testing and  assessment, No. 157. Available at www.oecd.org.</t>
  </si>
  <si>
    <t>Ulhaq, M.; Carlsson, G.; Orn, S.; Norrgren, L., Comparison of developmental toxicity of seven perfluoroalkyl acids to zebrafish embryos. Environ Toxicol Pharmacol 2013, 36, (2), 423-6.</t>
  </si>
  <si>
    <t>van den Brandhof, E. J. and M. Montforts (2010). Fish embryo toxicity of carbamazepine, diclofenac and metoprolol. Ecotoxicol Environ Saf 73(8): 1862-1866.</t>
  </si>
  <si>
    <t>Vaughan M, van Egmond R. (2010). The use of the zebrafish (Danio rerio) embryo for the acute toxicity testing of surfactants, as a possible alternative to the acute fish test. ATLA 38:231‐238.</t>
  </si>
  <si>
    <t>Vincze, K.; Gehring, M.; Braunbeck, T., (Eco)toxicological effects of 2,4,7,9-tetramethyl-5-decyne-4,7-diol (TMDD) in zebrafish (Danio rerio) and permanent fish cell cultures. Environ Sci Pollut Res Int 2014, 21, (13), 8233-41.</t>
  </si>
  <si>
    <t>Wang, S., K. Liu, et al. (2011). Toxic effects of celastrol on embryonic development of zebrafish (Danio rerio). Drug Chem Toxicol 34(1): 61-65.</t>
  </si>
  <si>
    <t>Wang, W. D.; Chen, G. T.; Hsu, H. J.; Wu, C. Y., Aryl hydrocarbon receptor 2 mediates the toxicity of Paclobutrazol on the digestive system of zebrafish embryos. Aquat Toxicol 2015, 159, 13-22.</t>
  </si>
  <si>
    <t>Wang, Y.; Chen, J.; Du, C.; Li, C.; Huang, C.; Dong, Q., Characterization of retinoic acid-induced neurobehavioral effects in developing zebrafish. Environ Toxicol Chem 2014, 33, (2), 431-7.</t>
  </si>
  <si>
    <t>Analysis of exposure concentration (empty field = no analysis)</t>
  </si>
  <si>
    <t>Weigt S., Hübler N., Strecker R., Braunbeck T., Broschard T.; (2011); Zebrafish (Danio rerio) embryos as a model for testing proteratogens; Toxicology; 281: 25-36</t>
  </si>
  <si>
    <t>Weil, M., Sacher, F., Scholz, S., Zimmer, M., Duis, K., (2009). Gene expression analysis in zebrafish embryos: a potential approach to predict effect concentrations in the fish early life stage test. Environ. Toxicol. Chem. 28, 1970-1978.</t>
  </si>
  <si>
    <t>Wiegand, C., 2000. Uptake, Toxicity, and Effects on Detoxication Enzymes of Atrazine and Trifluoroacetate in Embryos of Zebrafish. Ecotoxicology and Environmental Safety 45: 122-131.</t>
  </si>
  <si>
    <t>Yang, M.; Qiu, W.; Chen, J.; Zhan, J.; Pan, C.; Lei, X.; Wu, M., Growth inhibition and coordinated physiological regulation of zebrafish (Danio rerio) embryos upon sublethal exposure to antidepressant amitriptyline. Aquat Toxicol 2014, 151, 68-76.</t>
  </si>
  <si>
    <t>Yang, Y.; Ma, H.; Zhou, J.; Liu, J.; Liu, W., Joint toxicity of permethrin and cypermethrin at sublethal concentrations to the embryo-larval zebrafish. Chemosphere 2014, 96, 146-54.</t>
  </si>
  <si>
    <t>Ye, L., L. L. Wu, et al. (2009). [Toxicological study of PFOS/PFOA to zebrafish (Danio rerio) embryos]. Huan Jing Ke Xue 30(6): 1727-1732.</t>
  </si>
  <si>
    <t>Yuan, G.; Wang, Y.; Yuan, X.; Zhang, T.; Zhao, J.; Huang, L.; Peng, S., T-2 toxin induces developmental toxicity and apoptosis in zebrafish embryos. J Environ Sci (China) 2014, 26, (4), 917-25.</t>
  </si>
  <si>
    <t>Zhu, B.; Gong, Y. X.; Liu, L.; Li, D. L.; Wang, Y.; Ling, F.; Wang, G. X., Toxic effects of triazophos on rare minnow (Gobiocypris rarus) embryos and larvae. Chemosphere 2014, 108, 46-54.</t>
  </si>
  <si>
    <t>Zhuang, S.; Zhang, Z.; Zhang, W.; Bao, L.; Xu, C.; Zhang, H., Enantioselective developmental toxicity and immunotoxicity of pyraclofos toward zebrafish (Danio rerio). Aquat Toxicol 2015, 159, 119-26.</t>
  </si>
  <si>
    <t>Baseline toxicity</t>
  </si>
  <si>
    <t>Zimmer, M., Nagel, R., 2007. Entwicklung eines Fischembryotests als Alternative für verlängerte und chronische Fischtests: Analyse toxischer Wirkungen auf der Basis veränderter Genexpression im Danio rerio-Embryotest (Gen-DarT) - Teilprojekt 2: Toxizitätstests (DarT und FELST). FKZ 0313017.</t>
  </si>
  <si>
    <t>[31]</t>
  </si>
  <si>
    <t>ACD/Percepta, ACD/Labs 2015 Release (Build 2726. 27 Nov 2014), Advanced Chemistry Development, Inc., Toronto, On, Canada, www.acdlabs.com, 2015.</t>
  </si>
  <si>
    <t>Control mortality</t>
  </si>
  <si>
    <t>Effect concentrations</t>
  </si>
  <si>
    <t>Ratio LC50 vs water solubility EPI suite</t>
  </si>
  <si>
    <t>Ratio LC50 vs predicted water solubility ACF model</t>
  </si>
  <si>
    <t>Comments</t>
  </si>
  <si>
    <t>Reference (full bibliography see bottom of table)</t>
  </si>
  <si>
    <t>Common name</t>
  </si>
  <si>
    <t>CAS</t>
  </si>
  <si>
    <t>CAS#2
(for sorting)</t>
  </si>
  <si>
    <t>SMILES</t>
  </si>
  <si>
    <t>InChIKey</t>
  </si>
  <si>
    <t>ECOSAR grouping</t>
  </si>
  <si>
    <t>(Industrial chemical, pesticide, etc.)</t>
  </si>
  <si>
    <t>Reference for MoA</t>
  </si>
  <si>
    <t>Molecular weight (g/mol)</t>
  </si>
  <si>
    <t>Water solubility (mmol/L) - EPI Suite</t>
  </si>
  <si>
    <t>log Sw (mol/L) - ACF-based model selection</t>
  </si>
  <si>
    <t>log Kow - EPI Suite</t>
  </si>
  <si>
    <t>log Kow
consensus modelling</t>
  </si>
  <si>
    <t>Henry's law constant (atm*m³/mol) - EPI Suite</t>
  </si>
  <si>
    <t>log Kaw - EPI Suite</t>
  </si>
  <si>
    <t>log Kaw by UFZ (unpublished)</t>
  </si>
  <si>
    <t>GALAS model - ACD</t>
  </si>
  <si>
    <t>Classic model - ACD</t>
  </si>
  <si>
    <t xml:space="preserve">Reference </t>
  </si>
  <si>
    <t>Temperature (°C)</t>
  </si>
  <si>
    <t>Light regime (hours light:dark)</t>
  </si>
  <si>
    <t>Density (embryo/ml or test vessel)</t>
  </si>
  <si>
    <t>Number of embryos per replicate and concentration</t>
  </si>
  <si>
    <t>Expsoure vessels</t>
  </si>
  <si>
    <t>Exposure medium</t>
  </si>
  <si>
    <t>Type</t>
  </si>
  <si>
    <t>Oxygen analysis</t>
  </si>
  <si>
    <t>pH adjustment or measured</t>
  </si>
  <si>
    <t>Solvent</t>
  </si>
  <si>
    <t>lowest</t>
  </si>
  <si>
    <t>highest</t>
  </si>
  <si>
    <t>ECOSAR 96 h acute fish test (mM)</t>
  </si>
  <si>
    <t>ECOSAR based on consensus log Kow (mM)</t>
  </si>
  <si>
    <t>(percent)</t>
  </si>
  <si>
    <t>LC50 0-24 hpf (mM)</t>
  </si>
  <si>
    <t>LC50 0-48 hpf (mM)</t>
  </si>
  <si>
    <t>LC50 0-72 hpf (mM)</t>
  </si>
  <si>
    <t>LC50 0-96 hpf (mM)</t>
  </si>
  <si>
    <t>LC50 0-120 hpf (mM)</t>
  </si>
  <si>
    <t>LC50 0-120 (140) hpf (mM)</t>
  </si>
  <si>
    <t>LC50 0-144 hpf (mM)</t>
  </si>
  <si>
    <t>LEL 0-120 hpf (mM)</t>
  </si>
  <si>
    <t>LC50 4-56 hpf (mM)</t>
  </si>
  <si>
    <t>LC50 4-80 hpf (mM)</t>
  </si>
  <si>
    <t>LC50 12-48 hpf (mM)</t>
  </si>
  <si>
    <t>LC50 24-48 hpf (mM)</t>
  </si>
  <si>
    <t>LC50 24-72 hpf (mM)</t>
  </si>
  <si>
    <t>LC50 24-96 hpf (mM)</t>
  </si>
  <si>
    <t>LC50 24-120 hpf (mM)</t>
  </si>
  <si>
    <t>LC50 48-72 hpf (mM)</t>
  </si>
  <si>
    <t>LC50 72-96 hpf (mM)</t>
  </si>
  <si>
    <t>LC50 72-120 hpf (mM)</t>
  </si>
  <si>
    <t>LC50 72-144 hpf (mM)</t>
  </si>
  <si>
    <t>LC50  144-240 hpf (mM)</t>
  </si>
  <si>
    <t>LC50  168-240 hpf (mM)</t>
  </si>
  <si>
    <t>Summary for regression (lowest value)</t>
  </si>
  <si>
    <t>Published log Kow</t>
  </si>
  <si>
    <t>Consensus log Kow</t>
  </si>
  <si>
    <t>Aconitine</t>
  </si>
  <si>
    <t>302-27-2</t>
  </si>
  <si>
    <t>C1C(O)C(COC)(CN3CC)C2C(OC)C4C(OC(=O)C)(C(O)C6OC)C5C(OC(=O)c7ccccc7)C6(O)CC5C2(C34)C1OC</t>
  </si>
  <si>
    <t>WENKGSGGXGQHSH-RILOQBQWDH  </t>
  </si>
  <si>
    <t>Aliphatic Amines +  Esters</t>
  </si>
  <si>
    <t>[2, 25, 30]</t>
  </si>
  <si>
    <t>Danio rerio</t>
  </si>
  <si>
    <t>14:10</t>
  </si>
  <si>
    <t>1/0.25</t>
  </si>
  <si>
    <t>96well</t>
  </si>
  <si>
    <t>10 % Hanks</t>
  </si>
  <si>
    <t>Static</t>
  </si>
  <si>
    <t>No</t>
  </si>
  <si>
    <t>Exposure in 96 well plates; 28°C ; 48 embryos per concentration in 3 independent series</t>
  </si>
  <si>
    <t>Ali et al. 2011, Ali et al 2012</t>
  </si>
  <si>
    <t>Atropine</t>
  </si>
  <si>
    <t>51-55-8</t>
  </si>
  <si>
    <t>O=C(OC(CC(N(C1C2)C)C2)C1)C(c(cccc3)c3)CO</t>
  </si>
  <si>
    <t>RKUNBYITZUJHSG-FZKCQIBNBH</t>
  </si>
  <si>
    <t>Drug</t>
  </si>
  <si>
    <t>Atropine binds to and inhibit muscarinic acetylcholine receptors, producing a wide range of anticholinergic effects.</t>
  </si>
  <si>
    <t>DrugBank</t>
  </si>
  <si>
    <t>[2, 3, 25]</t>
  </si>
  <si>
    <t xml:space="preserve">Berberine chloride </t>
  </si>
  <si>
    <t>633-65-8</t>
  </si>
  <si>
    <t>O(CO1)c(cc(c2CC3)c(cc(ccc4OC)c5c4OC)n3(Cl)c5)c1c2</t>
  </si>
  <si>
    <t>BQBQAWXALAGUIW-JORWGXHDDH  </t>
  </si>
  <si>
    <t xml:space="preserve">Benzodioxoles </t>
  </si>
  <si>
    <t>-</t>
  </si>
  <si>
    <t>[3, 25]</t>
  </si>
  <si>
    <t>Colchicine</t>
  </si>
  <si>
    <t>64-86-8</t>
  </si>
  <si>
    <t>O=C(NC(C(C(c(c(cc(OC)c1OC)C2)c1OC)=CC=C(OC)C3=O)=C3)C2)C</t>
  </si>
  <si>
    <t>IAKHMKGGTNLKSZ-IKNPWOKSDD</t>
  </si>
  <si>
    <t xml:space="preserve">Vinyl/Allyl Ketones +  Vinyl/Allyl Ethers +  Amides </t>
  </si>
  <si>
    <t>Mitosis inhibitor</t>
  </si>
  <si>
    <t>Coniine</t>
  </si>
  <si>
    <t>3238-60-6</t>
  </si>
  <si>
    <t>N1C(CCC)CCCC1</t>
  </si>
  <si>
    <t>NDNUANOUGZGEPO-QMMMGPOBBO  </t>
  </si>
  <si>
    <t>Aliphatic Amines</t>
  </si>
  <si>
    <t>[6, 25]</t>
  </si>
  <si>
    <t>α-Lobeline hydrochloride</t>
  </si>
  <si>
    <t>134-63-4</t>
  </si>
  <si>
    <t>O=C(c(cccc1)c1)CC(N(Cl)(H)(C(CC2)CC(O)c(cccc3)c3)C)C2</t>
  </si>
  <si>
    <t>FJQXCDYVZAHXNS-UNTBIKODBT  </t>
  </si>
  <si>
    <t>Benzyl Alcohols</t>
  </si>
  <si>
    <t>Morphine hydrochloride</t>
  </si>
  <si>
    <t>52-26-6</t>
  </si>
  <si>
    <t>Oc4c1OC3C25c1c(cc4)CC(N(Cl)(H)(CC5)C)C2C=CC3O</t>
  </si>
  <si>
    <t>NHOKSNCJGWZALI-NOSXKOESBC  </t>
  </si>
  <si>
    <t>Phenols +  Vinyl/Allyl Alcohols</t>
  </si>
  <si>
    <t>Nicotine</t>
  </si>
  <si>
    <t>n(cccc1C(N(CC2)C)C2)c1</t>
  </si>
  <si>
    <t>SNICXCGAKADSCV-JTQLQIEIBP  </t>
  </si>
  <si>
    <t>Aliphatic Amines +  Nicotinoids</t>
  </si>
  <si>
    <t>Drug/Pesticide</t>
  </si>
  <si>
    <t>Binding to acetylcholin receptor</t>
  </si>
  <si>
    <t>Haass, M., Kübler, W., 1997. Nicotine and sympathetic neurotransmission. Cardiovasc. Drugs Ther. 10, 657-665.</t>
  </si>
  <si>
    <t>207671-44-1</t>
  </si>
  <si>
    <t>COc1ccc2c(c1)c(ccn2)[C@H]([C@@H]3C[C@@H]4CCN3C[C@@H]4C=C)O.OS(=O)(=O)O</t>
  </si>
  <si>
    <t>ZHNFLHYOFXQIOW-DOAMRULGDX  </t>
  </si>
  <si>
    <t>(-)-Scopolamine hydrobromide trihydrate</t>
  </si>
  <si>
    <t>CN1[C@@H]2C[C@H](C[C@H]1[C@H]3[C@@H]2O3)OC(=O)[C@H](CO)c4ccccc4.O.O.O.Br</t>
  </si>
  <si>
    <t>LACQPOBCQQPVIT-SEYKEWMNBD  </t>
  </si>
  <si>
    <t>[4, 25]</t>
  </si>
  <si>
    <t>Strychnine hydrochloride</t>
  </si>
  <si>
    <t>c1ccc2c(c1)[C@]34CCN5[C@H]3C[C@@H]6[C@@H]7[C@@H]4N2C(=O)C[C@@H]7OCC=C6C5.Cl</t>
  </si>
  <si>
    <t>PPUBECWJGFRCEU-UHFFFAOYAR  </t>
  </si>
  <si>
    <t>[5, 25]</t>
  </si>
  <si>
    <t>Theobromine</t>
  </si>
  <si>
    <t>N1C(=O)N(C)c2ncn(C)c2C1(=O)</t>
  </si>
  <si>
    <t>YAPQBXQYLJRXSA-BGGKNDAXCS  </t>
  </si>
  <si>
    <t xml:space="preserve">Imidazoles +  Carbonyl Ureas </t>
  </si>
  <si>
    <t>Theobromine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and theobromine act as antagonist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xanthine derivatives such as theobromine and caffeine. Blockade of the adenosine A1 receptor in the heart leads to the accelerated, pronounced "pounding" of the heart upon caffeine intake.</t>
  </si>
  <si>
    <t>(+)-Tubocurarine chloride hydrate</t>
  </si>
  <si>
    <t>XEANIURBPHCHMG-JAMRXYFZDW  </t>
  </si>
  <si>
    <t>Tubocurarine, the chief alkaloid in tobacco products, binds stereo-selectively to nicotinic-cholinergic receptors at the autonomic ganglia, in the adrenal medulla, at neuromuscular junctions, and in the brain. Two types of central nervous system effects are believed to be the basis of Tubocurarine's positively reinforcing properties. A stimulating effect is exerted mainly in the cortex via the locus ceruleus and a reward effect is exerted in the limbic system. At low doses the stimulant effects predominate while at high doses the reward effects predominate. Intermittent intravenous administration of Tubocurarine activates neurohormonal pathways, releasing acetylcholine, norepinephrine, dopamine, serotonin, vasopressin, beta-endorphin, growth hormone, and ACTH.</t>
  </si>
  <si>
    <t>Yohimbine hydrochloride</t>
  </si>
  <si>
    <t>c(ccc1c2CC3)cc1nc2C(CC(C(C(O)C4)C(=O)OC)C5C4)N3(Cl)(H)C5</t>
  </si>
  <si>
    <t>YKGYQYOQRGPFTO-UHFFFAOYAF  </t>
  </si>
  <si>
    <t xml:space="preserve">Esters +  Pyrazoles/Pyrroles </t>
  </si>
  <si>
    <t>Amygdalin</t>
  </si>
  <si>
    <t>N#CC(c1ccccc1)OC2C(C(O)C(C(O2)COC3C(C(O)C(C(O3)CO)O)O)O)O</t>
  </si>
  <si>
    <t>XUCIJNAGGSZNQT-AZXNJXERBC  </t>
  </si>
  <si>
    <t xml:space="preserve">Benzyl Nitriles </t>
  </si>
  <si>
    <t>Arbutin</t>
  </si>
  <si>
    <t>O1C(CO)C(O)C(O)C(O)C1Oc2ccc(O)cc2</t>
  </si>
  <si>
    <t>BJRNKVDFDLYUGJ-WTPMCQDGBR  </t>
  </si>
  <si>
    <t>Phenols</t>
  </si>
  <si>
    <t>Convallatoxin</t>
  </si>
  <si>
    <t>CC6OC(OC4CCC3(C=O)C2CCC1(C)C(CCC1(O)C2CCC3(O)C4)C5=CC(=O)OC5)C(O)C(O)C6O</t>
  </si>
  <si>
    <t>UGCKPLHQISYRBC-YMQCMXKZCC  </t>
  </si>
  <si>
    <t>Aldehydes (Mono) +  Esters +  Vinyl/Allyl Esters</t>
  </si>
  <si>
    <t>Coumarin</t>
  </si>
  <si>
    <t>c1cc2OC(=O)C=Cc2cc1</t>
  </si>
  <si>
    <t>ZYGHJZDHTFUPRJ-UHFFFAOYAC</t>
  </si>
  <si>
    <t>Esters</t>
  </si>
  <si>
    <t>Digitoxin</t>
  </si>
  <si>
    <t>C1C(OC6OC(C)C(OC7OC(C)C(OC8OC(C)C(O)C(O)C8)C(O)C7)C(O)C6)CC2CCC3C4(O)CCC(C5=CC(=O)OC5)C4(C)CCC3C2(C)C1</t>
  </si>
  <si>
    <t>WDJUZGPOPHTGOT-CZOZVJPVBC  </t>
  </si>
  <si>
    <t>Esters +  Vinyl/Allyl Esters</t>
  </si>
  <si>
    <t>Digitoxin inhibits the Na-K-ATPase membrane pump, resulting in an increase in intracellular sodium and calcium concentrations. Increased intracellular concentrations of calcium may promote activation of contractile proteins (e.g., actin, myosin). Digitoxin also acts on the electrical activity of the heart, increasing the slope of phase 4 depolarization, shortening the action potential duration, and decreasing the maximal diastolic potential.</t>
  </si>
  <si>
    <t>1403-66-3 (1405-41-0)</t>
  </si>
  <si>
    <t>1403663 (1405410)</t>
  </si>
  <si>
    <t>O1C(C(C)NC)CC(OC2C(N)CC(N)C(OC3OCCCC3O)C2O)C(N)C1</t>
  </si>
  <si>
    <t>CEAZRRDELHUEMR-FZTWPEOOBD  </t>
  </si>
  <si>
    <t xml:space="preserve">53956-04-0 / 1405-86-3 </t>
  </si>
  <si>
    <t xml:space="preserve">53956040 / 1405863 </t>
  </si>
  <si>
    <t>O6C(C(=O)ON(H)(H)(H)H)C(C(C(C6OC1C(OC7CCC3(C4C(=O)C=C5C(C4(CCC3C7(C)C)C)(CCC2(C5CC(C(=O)O)(CC2)C)C)C)C)OC(C(=O)O)C(C1O)O)O)O)O</t>
  </si>
  <si>
    <t>BURQAUPLKHKMCV-UHFFFAOYAR  </t>
  </si>
  <si>
    <t>Vinyl/Allyl Ketones</t>
  </si>
  <si>
    <t>Hesperidin</t>
  </si>
  <si>
    <t>520-26-3</t>
  </si>
  <si>
    <t>O=C(c(c(OC1c(ccc(OC)c2O)c2)cc(OC(OC(C(O)C3O)COC(OC(C(O)C4O)C)C4O)C3O)c5)c5O)C1</t>
  </si>
  <si>
    <t>QUQPHWDTPGMPEX-QJBIFVCTBQ  </t>
  </si>
  <si>
    <t xml:space="preserve">Phenols, Poly </t>
  </si>
  <si>
    <t>Kanamycin monosulfate</t>
  </si>
  <si>
    <t>25389-94-0</t>
  </si>
  <si>
    <t>O(CCCC1)C1OC(C(O)C(OC(OC(C(O)C2O)CN)C2N)C(N)C3)C3N</t>
  </si>
  <si>
    <t>XMMMDTGTSGQHCQ-PWAHTWEZCC  </t>
  </si>
  <si>
    <t>Naringin</t>
  </si>
  <si>
    <t>10236-47-2</t>
  </si>
  <si>
    <t>O4C(C)C(O)C(O)C(O)C4OC5C(O)C(O)C(CO)OC5Oc1cc(O)c2C(=O)CC(c3ccc(O)cc3)Oc2c1</t>
  </si>
  <si>
    <t>RBVWDDMDGRYJHJ-UHFFFAOYAV  </t>
  </si>
  <si>
    <t>Neohesperidin</t>
  </si>
  <si>
    <t>c42OC(c3cc(O)c(OC)cc3)CC(=O)c4c(O)cc(OC5OC(CO)C(O)C(O)C5OC1OC(C)C(O)C(O)C1O)c2</t>
  </si>
  <si>
    <t>YNWPFZJSTZZBSK-UHFFFAOYAO  </t>
  </si>
  <si>
    <t>Ouabain octahydrate</t>
  </si>
  <si>
    <t>O=C1C=C(C2C3(CC(C4C5(C(CC(OC6C(C(O)C(C(O6)C)O)O)CC5O)(CCC4C3(CC2)O)O)CO)O)C)CO1</t>
  </si>
  <si>
    <t>TYBARJRCFHUHSN-DMJRSANLBS  </t>
  </si>
  <si>
    <t>Phloridzin dihydrate</t>
  </si>
  <si>
    <t>7061-54-3</t>
  </si>
  <si>
    <t>O=C(c2c(O[C@@H]1O[C@@H]([C@@H](O)[C@H](O)[C@H]1O)CO)cc(O)cc2O)CCc3ccc(O)cc3.O.O</t>
  </si>
  <si>
    <t>XQWBNXSENPTIDY-YXMARJSJBY  </t>
  </si>
  <si>
    <t>C[C@H]1[C@@H]([C@H]([C@H]([C@@H](O1)OC[C@@H]2[C@H]([C@@H]([C@H]([C@@H](O2)Oc3c(=O)c4c(cc(cc4oc3c5ccc(c(c5)O)O)O)O)O)O)O)O)O)O.O.O.O</t>
  </si>
  <si>
    <t>PCHRQWYWUQBKNK-UHFFFAOYAC  </t>
  </si>
  <si>
    <t>Streptomycin sulfate</t>
  </si>
  <si>
    <t>N=C(NC1C(C(C(OC3C(C(C(O3)C)(C(=O))O)OC2C(C(O)C(C(O2)CO)O)NC)C(C1O)O)NC(=NOS(=O)(=O)O)N)O)N</t>
  </si>
  <si>
    <t>Aldehydes (Mono) +  Aliphatic Amines</t>
  </si>
  <si>
    <t>Cadmium(II) chloride</t>
  </si>
  <si>
    <t>10108-64-2</t>
  </si>
  <si>
    <t>Cl[Cd]Cl</t>
  </si>
  <si>
    <t xml:space="preserve">SHOULD NOT BE PROFILED </t>
  </si>
  <si>
    <t>n/a</t>
  </si>
  <si>
    <t>Copper(II) nitrate trihydrate</t>
  </si>
  <si>
    <t xml:space="preserve">10031-43-3 </t>
  </si>
  <si>
    <t>[N+](=O)([O-])[O-].[N+](=O)([O-])[O-].O.O.O.[Cu+2]</t>
  </si>
  <si>
    <t>WLCBSNWPLODTHY-UHFFFAOYAX  </t>
  </si>
  <si>
    <t>Lead acetate trihydrate</t>
  </si>
  <si>
    <t>6080-56-4</t>
  </si>
  <si>
    <t>CC(=O)O[Pb]OC(=O)C</t>
  </si>
  <si>
    <t>HFYDCQXDAXDHAW-UHFFFAOYAB  </t>
  </si>
  <si>
    <t>Lithium chloride</t>
  </si>
  <si>
    <t>7447-41-8</t>
  </si>
  <si>
    <t>[Li]Cl</t>
  </si>
  <si>
    <t>Inorganic Compound</t>
  </si>
  <si>
    <t>Chloramphenicol</t>
  </si>
  <si>
    <t>O=C(NC(C(O)c(ccc(N(=O)(=O))c1)c1)CO)C(Cl)Cl</t>
  </si>
  <si>
    <t>IAXZOCZRJGXWLF-UIACVUGMDX  </t>
  </si>
  <si>
    <t>Benzyl Alcohols +  Haloacetamides</t>
  </si>
  <si>
    <t>Chloramphenicol is lipid-soluble, allowing it to diffuse through the bacterial cell membrane. It then reversibly binds to the L16 protein of the 50S subunit of bacterial ribosomes, where transfer of amino acids to growing peptide chains is prevented (perhaps by suppression of peptidyl transferase activity), thus inhibiting peptide bond formation and subsequent protein synthesis.</t>
  </si>
  <si>
    <t>Ethanol</t>
  </si>
  <si>
    <t>64-17-5</t>
  </si>
  <si>
    <t>OCC</t>
  </si>
  <si>
    <t>LFQSCWFLJHTTHZ-UHFFFAOYAB</t>
  </si>
  <si>
    <t>Neutral Organics</t>
  </si>
  <si>
    <t>Ethanol affects the brain’s neurons in several ways. It alters their membranes as well as their ion channels, enzymes, and receptors. Alcohol also binds directly to the receptors for acetylcholine, serotonin, GABA, and the NMDA receptors for glutamate.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t>
  </si>
  <si>
    <t>Glycerol</t>
  </si>
  <si>
    <t>OCC(O)CO</t>
  </si>
  <si>
    <t>PEDCQBHIVMGVHV-UHFFFAOYAF</t>
  </si>
  <si>
    <t>Tween 80</t>
  </si>
  <si>
    <t>9005-65-6</t>
  </si>
  <si>
    <t>OCCOCCOCCOCCOCCOC(COC(CCCCCCCC=CCCCCCCCC)=O)C1C(OCCOCCOCCOCCOCCO)C(OCCOCCOCCOCCOCCO)CO1</t>
  </si>
  <si>
    <t>HDTIFOGXOGLRCB-RTUPGUSZBW  </t>
  </si>
  <si>
    <t>Acetic acid</t>
  </si>
  <si>
    <t>64-19-7</t>
  </si>
  <si>
    <t>O=C(O)C</t>
  </si>
  <si>
    <t>QTBSBXVTEAMEQO-TULZNQERCK</t>
  </si>
  <si>
    <t>Salicylic acid</t>
  </si>
  <si>
    <t>69-72-7</t>
  </si>
  <si>
    <t>O=C(O)c(c(O)ccc1)c1</t>
  </si>
  <si>
    <t>YGSDEFSMJLZEOE-BGGKNDAXCM</t>
  </si>
  <si>
    <t>Salicylic acid directly and irreversibly inhibits the activity of both types of cyclo-oxygenases (COX-1 and COX-2) to decrease the formation of precursors of prostaglandins and thromboxanes from arachidonic acid.  Salicylate may competitively inhibit prostaglandin formation. Salicylate's antirheumatic (nonsteroidal anti-inflammatory) actions are a result of its analgesic and anti-inflammatory mechanisms. Salicylic acid is a key ingredient in many skin-care products for the treatment of acne, psoriasis, calluses, corns, keratosis pilaris, and warts. It works by causing the cells of the epidermis to slough off more readily, preventing pores from clogging up, and allowing room for new cell growth. Because of its effect on skin cells, salicylic acid is used in several shampoos used to treat dandruff. Salicylic acid is also used as an active ingredient in gels which remove verrucas (plantar warts). Salicylic acid inhibits the oxidation of uridine-5-diphosphoglucose (UDPG) competitively with nicotinamide adenosine dinucleotide (NAD) and noncompetitively with UDPG. It also competitively inhibits the transferring of glucuronyl group of uridine-5-phosphoglucuronic acid (UDPGA) to the phenolic acceptor. The wound-healing retardation action of salicylates is probably due mainly to its inhibitory action on mucopolysaccharide synthesis.</t>
  </si>
  <si>
    <t>Sodium oxalate</t>
  </si>
  <si>
    <t>OC(=O)C(=O)O</t>
  </si>
  <si>
    <t>NVVZEKTVIXIUKW-UHFFFAOYAG  </t>
  </si>
  <si>
    <t>Trichloroacetic acid</t>
  </si>
  <si>
    <t>O=C(O)C(Cl)(Cl)Cl</t>
  </si>
  <si>
    <t>YNJBWRMUSHSURL-BRMMOCHJCE</t>
  </si>
  <si>
    <t xml:space="preserve">Halo Acids </t>
  </si>
  <si>
    <t>Ampicillin  sodium</t>
  </si>
  <si>
    <t>69-52-3</t>
  </si>
  <si>
    <t>N12C(=O)C(NC(=O)C(N)c3ccccc3)C1SC(C)(C)C2C(=O)O</t>
  </si>
  <si>
    <t>XFSBVAOIAHNAPC-FJCNLIIVBC  </t>
  </si>
  <si>
    <t xml:space="preserve">Aliphatic Amines +  Amides </t>
  </si>
  <si>
    <t>Cyclophosphamide monohydrate, Cytoxan</t>
  </si>
  <si>
    <t>C1CNP(=O)(OC1)N(CCCl)CCCl.O</t>
  </si>
  <si>
    <t>QIWQQMZFTOCFGF-DZQCGVKKCN  </t>
  </si>
  <si>
    <t>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t>
  </si>
  <si>
    <t>[6, 30]</t>
  </si>
  <si>
    <t>Paracetamol (Acetaminophen)</t>
  </si>
  <si>
    <t>O=C(Nc(ccc(O)c1)c1)C</t>
  </si>
  <si>
    <t>RZVAJINKPMORJF-BGGKNDAXCW  </t>
  </si>
  <si>
    <t xml:space="preserve">Phenols +  Amides  +  Phenol Amines </t>
  </si>
  <si>
    <t xml:space="preserve">Acetaminophen is thought to act primarily in the CNS, increasing the pain threshold by inhibiting both isoforms of cyclooxygenase, COX-1, COX-2, and COX-3 enzymes involved in prostaglandin (PG) synthesis. Unlike NSAIDs, acetaminophen does not inhibit cyclooxygenase in peripheral tissues and, thus, has no peripheral anti-inflammatory affects. While aspirin acts as an irreversible inhibitor of COX and directly blocks the enzyme's active site, studies have found that acetaminophen indirectly blocks COX, and that this blockade is ineffective in the presence of peroxides. This might explain why acetaminophen is effective in the central nervous system and in endothelial cells but not in platelets and immune cells which have high levels of peroxides. Studies also report data suggesting that acetaminophen selectively blocks a variant of the COX enzyme that is different from the known variants COX-1 and COX-2. This enzyme is now referred to as COX-3. Its exact mechanism of action is still poorly understood, but future research may provide further insight into how it works. The antipyretic properties of acetaminophen are likely due to direct effects on the heat-regulating centres of the hypothalamus resulting in peripheral vasodilation, sweating and hence heat dissipation. </t>
  </si>
  <si>
    <t>Methanol</t>
  </si>
  <si>
    <t>Phenacetin</t>
  </si>
  <si>
    <t>62-44-2</t>
  </si>
  <si>
    <t>CC(=O)Nc1ccc(OCC)cc1</t>
  </si>
  <si>
    <t>CPJSUEIXXCENMM-WXRBYKJCCO</t>
  </si>
  <si>
    <t xml:space="preserve">Amides </t>
  </si>
  <si>
    <t>Benserazide hydrochloride</t>
  </si>
  <si>
    <t>NNC(=O)C(N)(CO)Cc1c(O)c(O)c(O)cc1</t>
  </si>
  <si>
    <t>ILTRWWGSIZFEIW-JOCHJYFZBK  </t>
  </si>
  <si>
    <t xml:space="preserve">Aliphatic Amines +  Hydrazines +  Amides  +  Phenols, Poly  +  Phenol Amines </t>
  </si>
  <si>
    <t>Chlorpromazine hydrochloride</t>
  </si>
  <si>
    <t>Clc(ccc1Sc2cc3)cc1N(c2cc3)CCCN(H)(Cl)(C)C</t>
  </si>
  <si>
    <t>QULLOTSYPAOTIW-UEBCHADLDV  </t>
  </si>
  <si>
    <t>Isoniazid</t>
  </si>
  <si>
    <t>54-85-3</t>
  </si>
  <si>
    <t>NNC(=O)c1ccncc1</t>
  </si>
  <si>
    <t>QRXWMOHMRWLFEY-BGGKNDAXCZ  </t>
  </si>
  <si>
    <t xml:space="preserve">Hydrazines +  Amides </t>
  </si>
  <si>
    <t>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&lt;i&gt;Mycobacterium tuberculosis&lt;/i&gt; organisms. Specifically isoniazid inhibits InhA, the enoyl reductase from &lt;i&gt;Mycobacterium tuberculosis&lt;/i&gt;, by forming a covalent adduct with the NAD cofactor. It is the INH-NAD adduct that acts as a slow, tight-binding competitive inhibitor of InhA.</t>
  </si>
  <si>
    <t xml:space="preserve">Phenelzine sulfate </t>
  </si>
  <si>
    <t>c1ccccc1CCNN(H)(H)(H)OS(O)(=O)=O</t>
  </si>
  <si>
    <t>RXBKMJIPNDOHFR-ATDHBCBACU  </t>
  </si>
  <si>
    <t>Ethambutol dihydrochloride</t>
  </si>
  <si>
    <t>OCC(CC)NCCNC(CC)CO</t>
  </si>
  <si>
    <t>AEUTYOVWOVBAKS-NXEZZACHBH  </t>
  </si>
  <si>
    <t>Verapamil hydrochloride</t>
  </si>
  <si>
    <t>C(#N)C(c(ccc(OC)c1OC)c1)(C(C)C)CCCN(H)(H)(Cl)CCCc(ccc(OC)c2OC)c2</t>
  </si>
  <si>
    <t>DOQPXTMNIUCOSY-HZPIKELBBG  </t>
  </si>
  <si>
    <t>Phenol</t>
  </si>
  <si>
    <t>Oc(cccc1)c1</t>
  </si>
  <si>
    <t>ISWSIDIOOBJBQZ-UHFFFAOYAI</t>
  </si>
  <si>
    <t>* Oxidative dephosphorylation uncoupler</t>
  </si>
  <si>
    <t>QSAR</t>
  </si>
  <si>
    <t>Sodium azide</t>
  </si>
  <si>
    <t>26628-22-8</t>
  </si>
  <si>
    <t>N=N#N</t>
  </si>
  <si>
    <t>FYXIWBMDWWLXNJ-UHFFFAOYAH</t>
  </si>
  <si>
    <t>[3, 24, 25]</t>
  </si>
  <si>
    <t>Dimethyl sulfoxide</t>
  </si>
  <si>
    <t>O=S(C)C</t>
  </si>
  <si>
    <t>IAZDPXIOMUYVGZ-UHFFFAOYAR</t>
  </si>
  <si>
    <t>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t>
  </si>
  <si>
    <t>Formaldehyde</t>
  </si>
  <si>
    <t>O=C</t>
  </si>
  <si>
    <t>WSFSSNUMVMOOMR-UHFFFAOYAT</t>
  </si>
  <si>
    <t>Aldehydes (Mono)</t>
  </si>
  <si>
    <t>Phenformin hydrochloride</t>
  </si>
  <si>
    <t>NC(=N)NC(=N(Cl)(H)H)NCCc1ccccc1</t>
  </si>
  <si>
    <t>YSUCWSWKRIOILX-RCJUKXFWCU  </t>
  </si>
  <si>
    <t>91374-20-8</t>
  </si>
  <si>
    <t>CCCN(CCC)CCc1cccc2c1CC(=O)N2.Cl</t>
  </si>
  <si>
    <t>GSFXBCHUGXNVFH-MQOCCKKGCW  </t>
  </si>
  <si>
    <t>[7, 25]</t>
  </si>
  <si>
    <t>Amitriptyline hydrochloride</t>
  </si>
  <si>
    <t>c(ccc1CC2)cc1C(c(ccc3)c2c3)=CCCN(H)(Cl)(C)C</t>
  </si>
  <si>
    <t>YRWAMUUJAOVZDL-UHFFFAOYAB  </t>
  </si>
  <si>
    <t>Sodium dodecyl sulfate</t>
  </si>
  <si>
    <t>151-21-3</t>
  </si>
  <si>
    <t>CCCCCCCCCCCCOS(=O)(=O)O</t>
  </si>
  <si>
    <t>DFDGKOXSCKOINJ-UHFFFAOYAB  </t>
  </si>
  <si>
    <t>Surfactant</t>
  </si>
  <si>
    <t>Barbital sodium (Barbitalum natricum, Ph.Helv.)</t>
  </si>
  <si>
    <t>144-02-5</t>
  </si>
  <si>
    <t>C1(=O)N=C(O)NC(=O)C1(CC)CC</t>
  </si>
  <si>
    <t>BMFYCFSWWDXEPB-UHFFFAOYAK  </t>
  </si>
  <si>
    <t>50-78-2</t>
  </si>
  <si>
    <t>O=C(Oc(c(ccc1)C(=O)O)c1)C</t>
  </si>
  <si>
    <t>BSYNRYMUTXBXSQ-WXRBYKJCCW</t>
  </si>
  <si>
    <t>The analgesic, antipyretic, and anti-inflammatory effects of acetylsalicylic acid are due to actions by both the acetyl and the salicylate portions of the intact molecule as well as by the active salicylate metabolite. Acetylsalicylic acid directly and irreversibly inhibits the activity of both types of cyclooxygenase (COX-1 and COX-2) to decrease the formation of precursors of prostaglandins and thromboxanes from arachidonic acid. This makes acetylsalicylic acid different from other NSAIDS (such as diclofenac and ibuprofen) which are reversible inhibitors. Salicylate may competitively inhibit prostaglandin formation. Acetylsalicylic acid's antirheumatic (nonsteroidal anti-inflammatory) actions are a result of its analgesic and anti-inflammatory mechanisms; the therapeutic effects are not due to pituitary-adrenal stimulation. The platelet aggregation-inhibiting effect of acetylsalicylic acid specifically involves the compound's ability to act as an acetyl donor to cyclooxygenase; the nonacetylated salicylates have no clinically significant effect on platelet aggregation. Irreversible acetylation renders cyclooxygenase inactive, thereby preventing the formation of the aggregating agent thromboxane A2 in platelets. Since platelets lack the ability to synthesize new proteins, the effects persist for the life of the exposed platelets (7-10 days). Acetylsalicylic acid may also inhibit production of the platelet aggregation inhibitor, prostacyclin (prostaglandin I2), by blood vessel endothelial cells; however, inhibition prostacyclin production is not permanent as endothelial cells can produce more cyclooxygenase to replace the non-functional enzyme.</t>
  </si>
  <si>
    <t>n.i.</t>
  </si>
  <si>
    <t xml:space="preserve"> 1/2</t>
  </si>
  <si>
    <t>24well</t>
  </si>
  <si>
    <t>ISO15088</t>
  </si>
  <si>
    <t>Yes</t>
  </si>
  <si>
    <t>measured</t>
  </si>
  <si>
    <t>≤ 10</t>
  </si>
  <si>
    <t>Kehrer et al. 2008</t>
  </si>
  <si>
    <t>Diclofenac</t>
  </si>
  <si>
    <t>15307-79-6</t>
  </si>
  <si>
    <t>c1(Cl)cccc(Cl)c1Nc2ccccc2CC(=O)O</t>
  </si>
  <si>
    <t>FDRDAZMYQODICR-UHFFFAOYAU  </t>
  </si>
  <si>
    <t>Prostaglandinsynthetase inhibitor</t>
  </si>
  <si>
    <t>Ibuprofen</t>
  </si>
  <si>
    <t>15687-27-1</t>
  </si>
  <si>
    <t>O=C(O)C(c(ccc(c1)CC(C)C)c1)C</t>
  </si>
  <si>
    <t>HEFNNWSXXWATRW-PSHKNSREDY  </t>
  </si>
  <si>
    <t>Naproxen</t>
  </si>
  <si>
    <t>26159-34-2</t>
  </si>
  <si>
    <t>C[C@@H](c1ccc2cc(ccc2c1)OC)C(=O)O</t>
  </si>
  <si>
    <t>PPBRVHVIAQMNGA-FVGYRXGTBT  </t>
  </si>
  <si>
    <t>103-90-2</t>
  </si>
  <si>
    <t>56-75-7</t>
  </si>
  <si>
    <t>79-57-2</t>
  </si>
  <si>
    <t>O=C(N)C(=C(O)C(N(C)C)C(C1(O)C(O)=C(C2C(O)(c(c3c(O)cc4)c4)C)C3(=O))C2O)C1(=O)</t>
  </si>
  <si>
    <t>IWVCMVBTMGNXQD-ZQJGMTHKDD  </t>
  </si>
  <si>
    <t xml:space="preserve">Aliphatic Amines +  Phenols +  Vinyl/Allyl Ketones +  Benzyl Alcohols +  Acrylamides +  Vinyl/Allyl Alcohols +  Ketone alcohols +  Phenol Amines </t>
  </si>
  <si>
    <t>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t>
  </si>
  <si>
    <t>Based on pH adjusted experiments</t>
  </si>
  <si>
    <t>616-91-1</t>
  </si>
  <si>
    <t>O=C(NC(C(=O)O)CS)C</t>
  </si>
  <si>
    <t>PWKSKIMOESPYIA-JVBVHTJODB</t>
  </si>
  <si>
    <t xml:space="preserve">Thiols and Mercaptans +  Amides </t>
  </si>
  <si>
    <t>Acetylcysteine may protect against acetaminophen overdose-induced hepatotoxicity by maintaining or restoring hepatic concentrations of glutathione. It does this by producing the glutathione precursor cysteine. Glutathione is required to inactivate an intermediate metabolite (N-acetyl-p-benzoquinoneimine) of acetaminophen that is thought to be hepatotoxic. In acetaminophen overdose, excessive quantities of this metabolite are formed because the primary metabolic (glucuronide and sulfate conjugation) pathways become saturated. Acetylcysteine may act by reducing the metabolite to the parent compound and/or by providing sulfhydryl for conjugation of the metabolite. Experimental evidence also suggests that a sulfhydryl-containing compound such as acetylcysteine may also directly inactivate the metabolite. When inhaled, cetylcysteine exerts its mucolytic action through its free sulfhydryl group, which opens the disulfide bonds and lowers mucus viscosity. This action increases with increasing pH and is most significant at pH 7 to 9. The mucolytic action of acetylcysteine is not affected by the presence of DNA. Acetylcysteine is also an antioxidant and reduces oxidative stress.</t>
  </si>
  <si>
    <t>99-66-1</t>
  </si>
  <si>
    <t>CCCC(CCC)C(O)=O</t>
  </si>
  <si>
    <t>NIJJYAXOARWZEE-BGGKNDAXCP  </t>
  </si>
  <si>
    <t>Valproic Acid binds to and inhibits GABA transaminase. The drug's anticonvulsant activity may be related to increased brain concentrations of gamma-aminobutyric acid (GABA), an inhibitory neurotransmitter in the CNS, by inhibiting enzymes that catabolize GABA or block the reuptake of GABA into glia and nerve endings. Valproic Acid may also work by suppressing repetitive neuronal firing through inhibition of voltage-sensitive sodium channels. It is also a histone deacetylase inhibitor.</t>
  </si>
  <si>
    <t>Bisoprolol</t>
  </si>
  <si>
    <t>104344-23-2/(66722-44-9)</t>
  </si>
  <si>
    <t>104344232/(66722449)</t>
  </si>
  <si>
    <t>CC(C)OCCOCc(c1)ccc(c1)OCC(O)CNC(C)C</t>
  </si>
  <si>
    <t>FQZYTYWMLGAPFJ-AZWDOQOLDO  </t>
  </si>
  <si>
    <t>Metoprolol</t>
  </si>
  <si>
    <t>51384-51-1</t>
  </si>
  <si>
    <t>CC(C)NCC(O)COc1ccc(CCOC)cc1</t>
  </si>
  <si>
    <t>IUBSYMUCCVWXPE-CQSZACIVBY  </t>
  </si>
  <si>
    <t>Propranolol</t>
  </si>
  <si>
    <t>318-98-9 / 4199-10-4 / (525-66-6)</t>
  </si>
  <si>
    <t>318989 / 4199104 / (525666)</t>
  </si>
  <si>
    <t>c12c(OCC(O)CN(Cl)(H)(H)C(C)C)cccc1cccc2</t>
  </si>
  <si>
    <t>YXWCBRDRVXHABN-RYMFKXGFBA  </t>
  </si>
  <si>
    <t>Clenbuterol</t>
  </si>
  <si>
    <t>21898-19-1 / (37148-27-9)</t>
  </si>
  <si>
    <t>21898191 / (37148279)</t>
  </si>
  <si>
    <t>OC(CN(H)(H)(Cl)C(C)(C)C)c1cc(Cl)c(N)c(Cl)c1</t>
  </si>
  <si>
    <t>DRQOXZJWZHECAP-MGDILKBHBE  </t>
  </si>
  <si>
    <t>Anilines (Unhindered) +  Benzyl Alcohols</t>
  </si>
  <si>
    <t>Salbutamol</t>
  </si>
  <si>
    <t>51022-70-9</t>
  </si>
  <si>
    <t>OCc1c(O)ccc(C(O)CNC(C)(C)C)c1</t>
  </si>
  <si>
    <t>NDAUXUAQIAJITI-LBPRGKRZBB  </t>
  </si>
  <si>
    <t xml:space="preserve">Aliphatic Amines +  Phenols +  Benzyl Alcohols +  Phenol Amines </t>
  </si>
  <si>
    <t>57-63-6</t>
  </si>
  <si>
    <t>OC(C#C)(C(C(C(C(c(c(cc(O)c1)C2)c1)C3)C2)C4)(C3)C)C4</t>
  </si>
  <si>
    <t>BFPYWIDHMRZLRN-SLHNCBLABF  </t>
  </si>
  <si>
    <t>Phenols +  Propargyl Alcohol-hindered</t>
  </si>
  <si>
    <t>Estrogenic</t>
  </si>
  <si>
    <t>Tamoxifen</t>
  </si>
  <si>
    <t>CC/C(=C(\c1ccccc1)/c2ccc(cc2)OCCN(C)C)/c3ccccc3</t>
  </si>
  <si>
    <t>NKANXQFJJICGDU-OCEACIFDBD</t>
  </si>
  <si>
    <t>Antiestrogen</t>
  </si>
  <si>
    <t>52-53-9</t>
  </si>
  <si>
    <t>COc2ccc(CCN(C)CCCC(C#N)(C(C)C)c1ccc(OC)c(OC)c1)cc2OC</t>
  </si>
  <si>
    <t>SGTNSNPWRIOYBX-HHHXNRCGBB  </t>
  </si>
  <si>
    <t xml:space="preserve">Aliphatic Amines +  Benzyl Nitriles </t>
  </si>
  <si>
    <t xml:space="preserve">Calcium flux antagonist (sarcolemma) </t>
  </si>
  <si>
    <t>Carbaryl</t>
  </si>
  <si>
    <t>63-25-2</t>
  </si>
  <si>
    <t>O=C(Oc(c(c(ccc1)cc2)c1)c2)NC</t>
  </si>
  <si>
    <t>CVXBEEMKQHEXEN-NDKGDYFDCM</t>
  </si>
  <si>
    <t>Carbamate Esters, Phenyl</t>
  </si>
  <si>
    <t>Pesticide</t>
  </si>
  <si>
    <t>AChE inhibition</t>
  </si>
  <si>
    <t>Jeon, J., Kretschmann, A., Escher, B.I., Hollender, J., 2013. Characterization of acetylcholinesterase inhibition and energy allocation in Daphnia magna exposed to carbaryl. Ecotoxicol Environ Saf 98, 28-35.</t>
  </si>
  <si>
    <t>Malathion</t>
  </si>
  <si>
    <t>121-75-5</t>
  </si>
  <si>
    <t>CCOC(=O)CC(SP(=S)(OC)OC)C(=O)OCC</t>
  </si>
  <si>
    <t>JXSJBGJIGXNWCI-QMMMGPOBBB</t>
  </si>
  <si>
    <t>Esters +  Esters, Dithiophosphates</t>
  </si>
  <si>
    <t>298-00-0</t>
  </si>
  <si>
    <t>COP(=S)(OC)Oc1ccc(cc1)N(=O)=O</t>
  </si>
  <si>
    <t>BSTUYMRURSGHBM-UHFFFAOYAL</t>
  </si>
  <si>
    <t>Esters, Monothiophosphates</t>
  </si>
  <si>
    <t>Caffeine</t>
  </si>
  <si>
    <t>58-08-2</t>
  </si>
  <si>
    <t>CN1C(=O)N(C)c2ncn(C)c2C1(=O)</t>
  </si>
  <si>
    <t>RYYVLZVUVIJVGH-UHFFFAOYAW  </t>
  </si>
  <si>
    <t>Caffeine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act as antagonists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caffeine. Blockade of the adenosine A1 receptor in the heart leads to the accelerated, pronounced "pounding" of the heart upon caffeine intake.</t>
  </si>
  <si>
    <t>50-18-0</t>
  </si>
  <si>
    <t>C1CCNP(=O)(N(CCCl)CCCl)O1</t>
  </si>
  <si>
    <t>CMSMOCZEIVJLDB-RLURMQESDV  </t>
  </si>
  <si>
    <t>Esters +  Esters (phosphate)</t>
  </si>
  <si>
    <t>Ifosfamide</t>
  </si>
  <si>
    <t>3778-73-2</t>
  </si>
  <si>
    <t>ClCCNP1(=O)OCCCN1CCCl</t>
  </si>
  <si>
    <t>HOMGKSMUEGBAAB-RLURMQESDA</t>
  </si>
  <si>
    <t>The exact mechanism of ifosfamide has not been determined, but appears to be similar to other alkylating agents. Ifosfamide requires biotransformation in the liver by mixed-function  oxidases (cytochrome P450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t>
  </si>
  <si>
    <t>115-09-3</t>
  </si>
  <si>
    <t>Cl[Hg]C</t>
  </si>
  <si>
    <t>BABMCXWQNSQAOC-IMOFHULNCR</t>
  </si>
  <si>
    <t>48 (120)</t>
  </si>
  <si>
    <t>12:12</t>
  </si>
  <si>
    <t>ISO15088 5x diluted</t>
  </si>
  <si>
    <t>Static/sealed</t>
  </si>
  <si>
    <t>Stock solution</t>
  </si>
  <si>
    <t>Bachmann 2002</t>
  </si>
  <si>
    <t>Copper(II) sulfate pentahydrat</t>
  </si>
  <si>
    <t>7758-99-8</t>
  </si>
  <si>
    <t>O1S(=O)(=O)O[Cu]1</t>
  </si>
  <si>
    <t>IPUFHUJZZBUADO-UHFFFAOYAT</t>
  </si>
  <si>
    <t>68-26-8</t>
  </si>
  <si>
    <t>OCC=C(C=CC=C(C=CC(=C(CCC1)C)C1(C)C)C)C</t>
  </si>
  <si>
    <t>FPIPGXGPPPQFEQ-OVSJKPMPBW  </t>
  </si>
  <si>
    <t>Vinyl/Allyl Alcohols</t>
  </si>
  <si>
    <t>Vision:Vitamin A (all-&lt;i&gt;trans&lt;/i&gt; retinol) is converted in the retina to the 11-&lt;i&gt;cis&lt;/i&gt;-isomer of retinaldehyde or 11-&lt;i&gt;cis&lt;/i&gt;-retinal. 11-&lt;i&gt;cis&lt;/i&gt;-retinal functions in the retina in the transduction of light into the neural signals necessary for vision. 11-&lt;i&gt;cis&lt;/i&gt;-retinal, while attached to opsin in rhodopsin is isomerized to all-&lt;i&gt;trans&lt;/i&gt;-retinal by light. This is the event that triggers the nerve impulse to the brain which allows for the perception of light. All-&lt;i&gt;trans&lt;/i&gt;-retinal is then released from opsin and reduced to all-&lt;i&gt;trans&lt;/i&gt;-retinol. All-&lt;i&gt;trans&lt;/i&gt;-retinol is isomerized to 11-&lt;i&gt;cis&lt;/i&gt;-retinol in the dark, and then oxidized to 11-&lt;i&gt;cis&lt;/i&gt;-retinal. 11-&lt;i&gt;cis&lt;/i&gt;-retinal recombines with opsin to re-form rhodopsin. Night blindness or defective vision at low illumination results from a failure to re-synthesize 11-&lt;i&gt;cis&lt;/i&gt; retinal rapidly. &lt;br/&gt;Epithelial differentiation: The role of Vitamin A in epithelial differentiation, as well as in other physiological processes, involves the binding of Vitamin A to two families of nuclear retinoid receptors (retinoic acid receptors, RARs; and retinoid-X receptors, RXRs). These receptors function as ligand-activated transcription factors that modulate gene transcription. When there is not enough Vitamin A to bind these receptors, natural cell differentiation and growth are interrupted.</t>
  </si>
  <si>
    <t>302-79-4</t>
  </si>
  <si>
    <t>O=C(O)C=C(C=CC=C(C=CC(=C(CCC1)C)C1(C)C)C)C</t>
  </si>
  <si>
    <t>SHGAZHPCJJPHSC-FWNNKZREDV  </t>
  </si>
  <si>
    <t>Tretinoin binds to alpha, beta, and gamma retinoic acid receptors (RARs). RAR-alpha and RAR-beta have been associated with the development of acute promyelocytic leukemia and squamous cell cancers, respectively. RAR-gamma is associated with retinoid effects on mucocutaneous tissues and bone. Although the exact mechanism of action of tretinoin is unknown, current evidence suggests that the effectiveness of tretinoin in acne is due primarily to its ability to modify abnormal follicular keratinization. Comedones form in follicles with an excess of keratinized epithelial cells. Tretinoin promotes detachment of cornified cells and the enhanced shedding of corneocytes from the follicle. By increasing the mitotic activity of follicular epithelia, tretinoin also increases the turnover rate of thin, loosely-adherent corneocytes. Through these actions, the comedo contents are extruded and the formation of the microcomedo, the precursor lesion of acne vulgaris, is reduced. Tretinoin is not a cytolytic agent but instead induces cytodifferentiation and decreased proliferation of APL cells in culture and in vivo. When Tretinoin is given systemically to APL patients, tretinoin treatment produces an initial maturation of the primitive promyelocytes derived from the leukemic clone, followed by a repopulation of the bone marrow and peripheral blood by normal, polyclonal hematopoietic cells in patients achieving complete remission (CR). The exact mechanism of action of tretinoin in APL is unknown.</t>
  </si>
  <si>
    <t>66-81-9</t>
  </si>
  <si>
    <t>CC1CC(C)C(=O)C(C1)C(O)CC2CC(=O)NC(=O)C2</t>
  </si>
  <si>
    <t>YPHMISFOHDHNIV-QPXJXIFCDL  </t>
  </si>
  <si>
    <t>Imides +  Ketone alcohols</t>
  </si>
  <si>
    <t>477-30-5</t>
  </si>
  <si>
    <t>C1Cc2cc(OC)c(OC)c(OC)c2C3=CC=C(OC)C(=O)C=C3C1NC</t>
  </si>
  <si>
    <t>NNJPGOLRFBJNIW-HNNXBMFYBY  </t>
  </si>
  <si>
    <t>Aliphatic Amines +  Vinyl/Allyl Ketones +  Vinyl/Allyl Ethers</t>
  </si>
  <si>
    <t>Methoxy acetic acid-O-propylester</t>
  </si>
  <si>
    <t>17640-21-0</t>
  </si>
  <si>
    <t>XYXFJNIUUWEUIJ-UHFFFAOYAV</t>
  </si>
  <si>
    <t>1-Octanol</t>
  </si>
  <si>
    <t>111-87-5</t>
  </si>
  <si>
    <t>OCCCCCCCC</t>
  </si>
  <si>
    <t>KBPLFHHGFOOTCA-UHFFFAOYAH</t>
  </si>
  <si>
    <t>65-85-0</t>
  </si>
  <si>
    <t>O=C(O)c(cccc1)c1</t>
  </si>
  <si>
    <t>WPYMKLBDIGXBTP-FZOZFQFYCI</t>
  </si>
  <si>
    <t>625-45-6</t>
  </si>
  <si>
    <t>O=C(O)COC</t>
  </si>
  <si>
    <t>RMIODHQZRUFFFF-JLSKMEETCT  </t>
  </si>
  <si>
    <t>Methylcarbamoylglutathion</t>
  </si>
  <si>
    <t>38126-73-7</t>
  </si>
  <si>
    <t>CNC(=O)SC[C@@H](C(=O)NCC(=O)O)NC(=O)CC[C@@H](C(=O)O)N</t>
  </si>
  <si>
    <t>ZYZCGGRZINLQBL-FBABDYRVDG  </t>
  </si>
  <si>
    <t xml:space="preserve">Aliphatic Amines +  Amides  +  Thiocarbamates, Mono </t>
  </si>
  <si>
    <t>Methylcarbamoylcystein</t>
  </si>
  <si>
    <t>7324-17-6</t>
  </si>
  <si>
    <t>QLFZZSKTJWDQOS-MALLYMETBE  </t>
  </si>
  <si>
    <t>Isobutyl-ethyl-Valproic acid</t>
  </si>
  <si>
    <t>C(=O)(C(OC(=O)C([H])([H])[H])(C(C(=O)OC(C([H])([H])[H])([H])[H])([H])[H])C(C(=O)OC(C([H])([H])[H])([H])[H])([H])[H])OC(C([H])([H])[H])([H])[H]</t>
  </si>
  <si>
    <t>WEAPVABOECTMGR-UHFFFAOYAA  </t>
  </si>
  <si>
    <t>107-15-3</t>
  </si>
  <si>
    <t>NCCN</t>
  </si>
  <si>
    <t>PIICEJLVQHRZGT-UHFFFAOYAH</t>
  </si>
  <si>
    <t>Butyldiglykol</t>
  </si>
  <si>
    <t>112-34-5</t>
  </si>
  <si>
    <t>O(CCOCCO)CCCC</t>
  </si>
  <si>
    <t>OAYXUHPQHDHDDZ-UHFFFAOYAO</t>
  </si>
  <si>
    <t>2430-27-5</t>
  </si>
  <si>
    <t>NC(=O)C(CCC)CCC</t>
  </si>
  <si>
    <t>OMOMUFTZPTXCHP-JSGPKCTECG</t>
  </si>
  <si>
    <t>3-Methyl-1-butanol</t>
  </si>
  <si>
    <t>123-51-3</t>
  </si>
  <si>
    <t>OCCC(C)C</t>
  </si>
  <si>
    <t>PHTQWCKDNZKARW-UHFFFAOYAW</t>
  </si>
  <si>
    <t>69-57-8</t>
  </si>
  <si>
    <t>N12C(=O)C(NC(=O)Cc3ccccc3)C1SC(C)(C)C2C(=O)O</t>
  </si>
  <si>
    <t>YPXOLEMKNYZJEK-IJTGIZBMDK</t>
  </si>
  <si>
    <t>141-78-6</t>
  </si>
  <si>
    <t>O=C(OCC)C</t>
  </si>
  <si>
    <t>XEKOWRVHYACXOJ-UHFFFAOYAD</t>
  </si>
  <si>
    <t>127-07-1</t>
  </si>
  <si>
    <t>NC(=O)NO</t>
  </si>
  <si>
    <t>VSNHCAURESNICA-DTXNPOPMCG  </t>
  </si>
  <si>
    <t>Hydroxyurea is converted to a free radical nitroxide (NO) in vivo, and transported by diffusion into cells where it quenches the tyrosyl free radical at the active site of the M2 protein subunit of ribonucleotide reductase, inactivating the enzyme. The entire replicase complex, including ribonucleotide reductase, is inactivated and DNA synthesis is selectively inhibited, producing cell death in S phase and synchronization of the fraction of cells that survive. Repair of DNA damaged by chemicals or irradiation is also inhibited by hydroxyurea, offering potential synergy between hydroxyurea and radiation or alkylating agents. Hydroxyurea also increases the level of fetal hemoglobin, leading to a reduction in the incidence of vasoocclusive crises in sickle cell anemia. Levels of fetal hemoglobin increase in response to activation of soluble guanylyl cyclase (sGC) by hydroxyurea-derived NO.</t>
  </si>
  <si>
    <t>110-13-4</t>
  </si>
  <si>
    <t>O=C(CCC(=O)C)C</t>
  </si>
  <si>
    <t>OJVAMHKKJGICOG-UHFFFAOYAH  </t>
  </si>
  <si>
    <t>111-96-6</t>
  </si>
  <si>
    <t>O(CCOC)CCOC</t>
  </si>
  <si>
    <t>SBZXBUIDTXKZTM-UHFFFAOYAG</t>
  </si>
  <si>
    <t>Saccharin sodium salt dihydrate</t>
  </si>
  <si>
    <t>82385-42-0</t>
  </si>
  <si>
    <t>c1ccc2c(c1)C(=O)[N-]S2(=O)=O.[Na+]</t>
  </si>
  <si>
    <t>YJALQVHBZPEJFG-UHFFFAOYAC</t>
  </si>
  <si>
    <t xml:space="preserve">Thiazolones (Iso-) +  Amides </t>
  </si>
  <si>
    <t>[3, 24, UFZ]</t>
  </si>
  <si>
    <t>68-12-2</t>
  </si>
  <si>
    <t>O=CN(C)C</t>
  </si>
  <si>
    <t>ZMXDDKWLCZADIW-UHFFFAOYAS</t>
  </si>
  <si>
    <t>2-Propanol</t>
  </si>
  <si>
    <t>67-63-0</t>
  </si>
  <si>
    <t>OC(C)C</t>
  </si>
  <si>
    <t>KFZMGEQAYNKOFK-UHFFFAOYAH</t>
  </si>
  <si>
    <t>1-Methoxy-2-propanol</t>
  </si>
  <si>
    <t>107-98-2</t>
  </si>
  <si>
    <t>O(CC(O)C)C</t>
  </si>
  <si>
    <t>ARXJGSRGQADJSQ-BYPYZUCNBQ</t>
  </si>
  <si>
    <t>67-64-1</t>
  </si>
  <si>
    <t>O=C(C)C</t>
  </si>
  <si>
    <t>CSCPPACGZOOCGX-UHFFFAOYAF</t>
  </si>
  <si>
    <t>2-Methoxyethanol</t>
  </si>
  <si>
    <t>109-86-4</t>
  </si>
  <si>
    <t>O(CCO)C</t>
  </si>
  <si>
    <t>XNWFRZJHXBZDAG-UHFFFAOYAC</t>
  </si>
  <si>
    <t>Urea</t>
  </si>
  <si>
    <t>57-13-6</t>
  </si>
  <si>
    <t>O=C(N)N</t>
  </si>
  <si>
    <t>XSQUKJJJFZCRTK-UBUOBULFCP  </t>
  </si>
  <si>
    <t>N-Methylformamid</t>
  </si>
  <si>
    <t>123-39-7</t>
  </si>
  <si>
    <t>O=CNC</t>
  </si>
  <si>
    <t>ATHHXGZTWNVVOU-TULZNQERCH</t>
  </si>
  <si>
    <t>69-65-8</t>
  </si>
  <si>
    <t>OCC(O)C(O)C(O)C(O)CO</t>
  </si>
  <si>
    <t>FBPFZTCFMRRESA-BXKVDMCEBD</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</si>
  <si>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10% tubular reabsorption. Therefore, its urinary excretion rate may serve as a measurement of glomerular filtration rate (GFR).</t>
  </si>
  <si>
    <t>492-62-6</t>
  </si>
  <si>
    <t>OC1OC(CO)C(O)C(O)C1O</t>
  </si>
  <si>
    <t>WQZGKKKJIJFFOK-DVKNGEFBBQ</t>
  </si>
  <si>
    <t>111-46-6</t>
  </si>
  <si>
    <t>O(CCO)CCO</t>
  </si>
  <si>
    <t>MTHSVFCYNBDYFN-UHFFFAOYAK  </t>
  </si>
  <si>
    <t>107-10-8</t>
  </si>
  <si>
    <t>NCCC</t>
  </si>
  <si>
    <t>WGYKZJWCGVVSQN-UHFFFAOYAG</t>
  </si>
  <si>
    <t>Brust 2001</t>
  </si>
  <si>
    <t>Isopropylamine</t>
  </si>
  <si>
    <t>75-31-0</t>
  </si>
  <si>
    <t>NC(C)C</t>
  </si>
  <si>
    <t>JJWLVOIRVHMVIS-UHFFFAOYAH  </t>
  </si>
  <si>
    <t>109-73-9</t>
  </si>
  <si>
    <t>NCCCC</t>
  </si>
  <si>
    <t>HQABUPZFAYXKJW-UHFFFAOYAE</t>
  </si>
  <si>
    <t>sec-Butylamine</t>
  </si>
  <si>
    <t>13952-84-6</t>
  </si>
  <si>
    <t>NC(CC)C</t>
  </si>
  <si>
    <t>BHRZNVHARXXAHW-SCSAIBSYBW</t>
  </si>
  <si>
    <t>78-81-9</t>
  </si>
  <si>
    <t>NCC(C)C</t>
  </si>
  <si>
    <t>KDSNLYIMUZNERS-UHFFFAOYAP  </t>
  </si>
  <si>
    <t>110-58-7</t>
  </si>
  <si>
    <t>NCCCCC</t>
  </si>
  <si>
    <t>DPBLXKKOBLCELK-UHFFFAOYAN</t>
  </si>
  <si>
    <t>107-85-7</t>
  </si>
  <si>
    <t>NCCC(C)C</t>
  </si>
  <si>
    <t>BMFVGAAISNGQNM-UHFFFAOYAE  </t>
  </si>
  <si>
    <t>108-91-8</t>
  </si>
  <si>
    <t>NC(CCCC1)C1</t>
  </si>
  <si>
    <t>PAFZNILMFXTMIY-UHFFFAOYAP</t>
  </si>
  <si>
    <t>111-26-2</t>
  </si>
  <si>
    <t>NCCCCCC</t>
  </si>
  <si>
    <t>BMVXCPBXGZKUPN-UHFFFAOYAQ</t>
  </si>
  <si>
    <t>111-68-2</t>
  </si>
  <si>
    <t>NCCCCCCC</t>
  </si>
  <si>
    <t>WJYIASZWHGOTOU-UHFFFAOYAD</t>
  </si>
  <si>
    <t>111-86-4</t>
  </si>
  <si>
    <t>NCCCCCCCC</t>
  </si>
  <si>
    <t>IOQPZZOEVPZRBK-UHFFFAOYAR</t>
  </si>
  <si>
    <t>112-20-9</t>
  </si>
  <si>
    <t>NCCCCCCCCC</t>
  </si>
  <si>
    <t>FJDUDHYHRVPMJZ-UHFFFAOYAQ  </t>
  </si>
  <si>
    <t>2016-57-1</t>
  </si>
  <si>
    <t>NCCCCCCCCCC</t>
  </si>
  <si>
    <t>MHZGKXUYDGKKIU-UHFFFAOYAV</t>
  </si>
  <si>
    <t>109-89-7</t>
  </si>
  <si>
    <t>N(CC)CC</t>
  </si>
  <si>
    <t>HPNMFZURTQLUMO-UHFFFAOYAD</t>
  </si>
  <si>
    <t>110-91-8</t>
  </si>
  <si>
    <t>O(CCNC1)C1</t>
  </si>
  <si>
    <t>YNAVUWVOSKDBBP-UHFFFAOYAU</t>
  </si>
  <si>
    <t>110-89-4</t>
  </si>
  <si>
    <t>N(CCCC1)C1</t>
  </si>
  <si>
    <t>NQRYJNQNLNOLGT-UHFFFAOYAY</t>
  </si>
  <si>
    <t>109-05-7</t>
  </si>
  <si>
    <t>N(C(CCC1)C)C1</t>
  </si>
  <si>
    <t>NNWUEBIEOFQMSS-LURJTMIEBW  </t>
  </si>
  <si>
    <t>626-58-4</t>
  </si>
  <si>
    <t>N(CCC(C1)C)C1</t>
  </si>
  <si>
    <t>UZOFELREXGAFOI-UHFFFAOYAR  </t>
  </si>
  <si>
    <t>111-49-9</t>
  </si>
  <si>
    <t>N(CCCCC1)C1</t>
  </si>
  <si>
    <t>ZSIQJIWKELUFRJ-UHFFFAOYAF</t>
  </si>
  <si>
    <t>108-18-9</t>
  </si>
  <si>
    <t>N(C(C)C)C(C)C</t>
  </si>
  <si>
    <t>UAOMVDZJSHZZME-UHFFFAOYAA</t>
  </si>
  <si>
    <t>142-84-7</t>
  </si>
  <si>
    <t>N(CCC)CCC</t>
  </si>
  <si>
    <t>WEHWNAOGRSTTBQ-UHFFFAOYAP</t>
  </si>
  <si>
    <t>[2, 8]</t>
  </si>
  <si>
    <t>1484-80-6</t>
  </si>
  <si>
    <t>N(C(CCC1)CC)C1</t>
  </si>
  <si>
    <t>QBBKKFZGCDJDQK-SSDOTTSWBA  </t>
  </si>
  <si>
    <t>110-96-3</t>
  </si>
  <si>
    <t>N(CC(C)C)CC(C)C</t>
  </si>
  <si>
    <t>NJBCRXCAPCODGX-UHFFFAOYAJ</t>
  </si>
  <si>
    <t>111-92-2</t>
  </si>
  <si>
    <t>N(CCCC)CCCC</t>
  </si>
  <si>
    <t>JQVDAXLFBXTEQA-UHFFFAOYAO</t>
  </si>
  <si>
    <t>2050-92-2</t>
  </si>
  <si>
    <t>N(CCCCC)CCCCC</t>
  </si>
  <si>
    <t>JACMPVXHEARCBO-UHFFFAOYAA</t>
  </si>
  <si>
    <t>101-83-7</t>
  </si>
  <si>
    <t>N(C(CCCC1)C1)C(CCCC2)C2</t>
  </si>
  <si>
    <t>XBPCUCUWBYBCDP-UHFFFAOYAM  </t>
  </si>
  <si>
    <t>598-56-1</t>
  </si>
  <si>
    <t>N(CC)(C)C</t>
  </si>
  <si>
    <t>DAZXVJBJRMWXJP-UHFFFAOYAA  </t>
  </si>
  <si>
    <t>616-39-7</t>
  </si>
  <si>
    <t>N(CC)(CC)C</t>
  </si>
  <si>
    <t>GNVRJGIVDSQCOP-UHFFFAOYAA  </t>
  </si>
  <si>
    <t>626-67-5</t>
  </si>
  <si>
    <t>N(CCCC1)(C1)C</t>
  </si>
  <si>
    <t>PAMIQIKDUOTOBW-UHFFFAOYAB</t>
  </si>
  <si>
    <t>927-62-8</t>
  </si>
  <si>
    <t>N(CCCC)(C)C</t>
  </si>
  <si>
    <t>DJEQZVQFEPKLOY-UHFFFAOYAQ  </t>
  </si>
  <si>
    <t>121-44-8</t>
  </si>
  <si>
    <t>N(CC)(CC)CC</t>
  </si>
  <si>
    <t>ZMANZCXQSJIPKH-UHFFFAOYAU</t>
  </si>
  <si>
    <t>* Narcosis</t>
  </si>
  <si>
    <t>766-09-6</t>
  </si>
  <si>
    <t>N(CCCC1)(C1)CC</t>
  </si>
  <si>
    <t>HTLZVHNRZJPSMI-UHFFFAOYAG  </t>
  </si>
  <si>
    <t>98-94-2</t>
  </si>
  <si>
    <t>N(C(CCCC1)C1)(C)C</t>
  </si>
  <si>
    <t>SVYKKECYCPFKGB-UHFFFAOYAZ</t>
  </si>
  <si>
    <t>N,N-Diisopropylethylamine</t>
  </si>
  <si>
    <t>7087-68-5</t>
  </si>
  <si>
    <t>N(C(C)C)(C(C)C)CC</t>
  </si>
  <si>
    <t>JGFZNNIVVJXRND-UHFFFAOYAV  </t>
  </si>
  <si>
    <t>102-69-2</t>
  </si>
  <si>
    <t>N(CCC)(CCC)CCC</t>
  </si>
  <si>
    <t>YFTHZRPMJXBUME-UHFFFAOYAE</t>
  </si>
  <si>
    <t>102-82-9</t>
  </si>
  <si>
    <t>N(CCCC)(CCCC)CCCC</t>
  </si>
  <si>
    <t>IMFACGCPASFAPR-UHFFFAOYAY</t>
  </si>
  <si>
    <t>(Z,E)-Fenpyroximate</t>
  </si>
  <si>
    <t>111812-58-9</t>
  </si>
  <si>
    <t>c1cc(C(=O)OC(C)(C)C)ccc1CON=Cc2c(Oc3ccccc3)n(C)nc2C</t>
  </si>
  <si>
    <t>YYJNOYZRYGDPNH-MFKUBSTIBX</t>
  </si>
  <si>
    <t xml:space="preserve">Aliphatic Amines +  Esters +  Pyrazoles/Pyrroles </t>
  </si>
  <si>
    <t>96well plate</t>
  </si>
  <si>
    <t>24h renewal/sealed</t>
  </si>
  <si>
    <t>0.4 % DMSO</t>
  </si>
  <si>
    <t>≤ 12.5</t>
  </si>
  <si>
    <t>Reanalysed to obtain LC50</t>
  </si>
  <si>
    <t>Padilla et al. 2012</t>
  </si>
  <si>
    <t>2,2-Bis(4-hydroxyphenyl)-1,1,1-trichloroethane (HPTE)</t>
  </si>
  <si>
    <t>2971-36-0</t>
  </si>
  <si>
    <t>Oc(ccc(c1)C(c(ccc(O)c2)c2)C(Cl)(Cl)Cl)c1</t>
  </si>
  <si>
    <t>LHYMPSWMHXUWSK-STZFKDTABE  </t>
  </si>
  <si>
    <t>94-82-6</t>
  </si>
  <si>
    <t>OC(=O)CCCOc1ccc(Cl)cc1Cl</t>
  </si>
  <si>
    <t>YIVXMZJTEQBPQO-NDKGDYFDCX</t>
  </si>
  <si>
    <t>2,5-Pyridinedicarboxylic acid, dipropyl ester</t>
  </si>
  <si>
    <t>136-45-8</t>
  </si>
  <si>
    <t>n1cc(C(=O)OCCC)ccc1C(=O)OCCC</t>
  </si>
  <si>
    <t>IITCWRFYJWUUPC-UHFFFAOYAM  </t>
  </si>
  <si>
    <t>2-Phenylphenol</t>
  </si>
  <si>
    <t>90-43-7</t>
  </si>
  <si>
    <t>Oc(c(c(cccc1)c1)ccc2)c2</t>
  </si>
  <si>
    <t>LLEMOWNGBBNAJR-UHFFFAOYAF  </t>
  </si>
  <si>
    <t>555406-53-6</t>
  </si>
  <si>
    <t>CCCCNC(=O)OCC#CI</t>
  </si>
  <si>
    <t>DQXSGWOIACZXCA-UHFFFAOYAL  </t>
  </si>
  <si>
    <t xml:space="preserve">Vinyl/Allyl Halides +  Propargyl Halide </t>
  </si>
  <si>
    <t>Abamectin</t>
  </si>
  <si>
    <t>71751-41-2</t>
  </si>
  <si>
    <t>CC[C@H](C)[C@@H]1[C@H](C=C[C@@]2(O1)C[C@@H]3C[C@H](O2)C/C=C(/[C@H]([C@H](/C=C/C=C/4\CO[C@H]5[C@@]4([C@@H](C=C([C@H]5O)C)C(=O)O3)O)C)O[C@H]6C[C@@H]([C@H]([C@@H](O6)C)O[C@H]7C[C@@H]([C@H]([C@@H](O7)C)O)OC)OC)\C)C.C[C@H]1/C=C/C=C/2\CO[C@H]3[C@@]2([C@@H](C=C([C@H]3O)C)C(=O)O[C@H]4C[C@@H](C/C=C(/[C@H]1O[C@H]5C[C@@H]([C@H]([C@@H](O5)C)O[C@H]6C[C@@H]([C@H]([C@@H](O6)C)O)OC)OC)\C)O[C@]7(C4)C=C[C@@H]([C@H](O7)C(C)C)C)O</t>
  </si>
  <si>
    <t>RRZXIRBKKLTSOM-XPNPUAGNBB  </t>
  </si>
  <si>
    <t>Chloride channel activators</t>
  </si>
  <si>
    <t>IRAC</t>
  </si>
  <si>
    <t>[24, 30]</t>
  </si>
  <si>
    <t>Acetochlor</t>
  </si>
  <si>
    <t>34256-82-1</t>
  </si>
  <si>
    <t>Cc1cccc(CC)c1N(C(=O)CCl)COCC</t>
  </si>
  <si>
    <t>VTNQPKFIQCLBDU-UHFFFAOYAJ</t>
  </si>
  <si>
    <t>Haloacetamides</t>
  </si>
  <si>
    <t>Alachlor</t>
  </si>
  <si>
    <t>15972-60-8</t>
  </si>
  <si>
    <t>CCc1cccc(CC)c1N(COC)C(=O)CCl</t>
  </si>
  <si>
    <t>XCSGPAVHZFQHGE-UHFFFAOYAO</t>
  </si>
  <si>
    <t>reactive* (Herbicide, multisite action)</t>
  </si>
  <si>
    <t>Fairchild, J.F., Ruessler, D.S., Haverland, P.S., Carlson, A.R., 1997. Comparative sensitivity of Selenastrum capricornutum and Lemna minor to sixteen herbicides. Arch. Environ. Contam. Toxicol. 32, 353-357.</t>
  </si>
  <si>
    <t>Amitraz</t>
  </si>
  <si>
    <t>33089-61-1</t>
  </si>
  <si>
    <t>CN(C=Nc1ccc(C)cc1C)C=Nc2ccc(C)cc2C</t>
  </si>
  <si>
    <t>QXAITBQSYVNQDR-ZIOPAAQOBL</t>
  </si>
  <si>
    <t>Octopamine receptor agonists</t>
  </si>
  <si>
    <t>Anilazine</t>
  </si>
  <si>
    <t>101-05-3</t>
  </si>
  <si>
    <t>Clc2nc(Cl)nc(Nc1ccccc1Cl)n2</t>
  </si>
  <si>
    <t>IMHBYKMAHXWHRP-NDKGDYFDCD</t>
  </si>
  <si>
    <t>Triazines, Aromatic</t>
  </si>
  <si>
    <t>Azamethiphos</t>
  </si>
  <si>
    <t>35575-96-3</t>
  </si>
  <si>
    <t>Clc1cnc2N(CSP(=O)(OC)OC)C(=O)Oc2c1</t>
  </si>
  <si>
    <t>VNKBTWQZTQIWDV-UHFFFAOYAD</t>
  </si>
  <si>
    <t>Esters +  Esters (phosphate) +  Halopyrdines  +  Carbamate Esters, Phenyl</t>
  </si>
  <si>
    <t>ACHE inhibtion</t>
  </si>
  <si>
    <t>Azinphos-methyl</t>
  </si>
  <si>
    <t>86-50-0</t>
  </si>
  <si>
    <t>S=P(OC)(OC)SCN1N=Nc2ccccc2C1(=O)</t>
  </si>
  <si>
    <t>CJJOSEISRRTUQB-UHFFFAOYAL</t>
  </si>
  <si>
    <t>Amides  +  Esters, Dithiophosphates</t>
  </si>
  <si>
    <t>Klüver, N., Yang, L., Busch, W., Scheffler, K., Renner, P., Strähle, U., Scholz, S., 2011. Transcriptional response of zebrafish embryos exposed to neurotoxic compounds reveals a muscle activity dependent hspb11 expression. PLoS ONE http://dx.plos.org/10.1371/journal.pone.0029063.</t>
  </si>
  <si>
    <t>Azoxystrobin</t>
  </si>
  <si>
    <t>131860-33-8</t>
  </si>
  <si>
    <t>N#Cc1ccccc1Oc2ncnc(Oc3ccccc3C(C(=O)OC)=COC)c2</t>
  </si>
  <si>
    <t>WFDXOXNFNRHQEC-LGMDPLHJBN</t>
  </si>
  <si>
    <t>Esters +  Vinyl/Allyl Ethers</t>
  </si>
  <si>
    <t>Bendiocarb</t>
  </si>
  <si>
    <t>22781-23-3</t>
  </si>
  <si>
    <t>CNC(=O)Oc1cccc2OC(C)(C)Oc12</t>
  </si>
  <si>
    <t>XEGGRYVFLWGFHI-XWKXFZRBCY</t>
  </si>
  <si>
    <t>Benzodioxoles  +  Carbamate Esters, Phenyl</t>
  </si>
  <si>
    <t>Benomyl</t>
  </si>
  <si>
    <t>17804-35-2</t>
  </si>
  <si>
    <t>c1ccc2N=C(NC(=O)OC)N(C(=O)NCCCC)c2c1</t>
  </si>
  <si>
    <t>RIOXQFHNBCKOKP-KJQBJTEXCD</t>
  </si>
  <si>
    <t xml:space="preserve">Imidazoles +  Carbamate Esters </t>
  </si>
  <si>
    <t>Bensulide</t>
  </si>
  <si>
    <t>741-58-2</t>
  </si>
  <si>
    <t>CC(C)OP(=S)(OC(C)C)SCCNS(=O)(=O)c1ccccc1</t>
  </si>
  <si>
    <t>RRNIZKPFKNDSRS-UHFFFAOYAE</t>
  </si>
  <si>
    <t>Bifenazate</t>
  </si>
  <si>
    <t>149877-41-8</t>
  </si>
  <si>
    <t>c1ccccc1c2ccc(OC)c(NNC(=O)OC(C)C)c2</t>
  </si>
  <si>
    <t>VHLKTXFWDRXILV-LILDFLRNCL</t>
  </si>
  <si>
    <t xml:space="preserve">Hydrazines +  Carbamate Esters </t>
  </si>
  <si>
    <t>Bisphenol A</t>
  </si>
  <si>
    <t>80-05-7</t>
  </si>
  <si>
    <t>Oc(ccc(c1)C(c(ccc(O)c2)c2)(C)C)c1</t>
  </si>
  <si>
    <t>IISBACLAFKSPIT-UHFFFAOYAI  </t>
  </si>
  <si>
    <t>Olea, N., Pulgar, R., Perez, P., Olea-Serrano, F., Rivas, A., Novillo-Fertrell, N., Pedraza, V., Sonnenschein, C., 1996. Estrogenicity of resin-based composites and sealants used in dentistry. Environ. Health Perspect. 104, 298-305.</t>
  </si>
  <si>
    <t>Boscalid</t>
  </si>
  <si>
    <t>188425-85-6</t>
  </si>
  <si>
    <t>c2nc(Cl)c(cc2)C(Nc3c(cccc3)c1ccc(cc1)Cl)=O</t>
  </si>
  <si>
    <t>WYEMLYFITZORAB-QWOVJGMICZ</t>
  </si>
  <si>
    <t xml:space="preserve">Amides  +  Halopyrdines </t>
  </si>
  <si>
    <t>Bromoxynil</t>
  </si>
  <si>
    <t>1689-84-5</t>
  </si>
  <si>
    <t>Oc1c(Br)cc(C#N)cc1Br</t>
  </si>
  <si>
    <t>UPMXNNIRAGDFEH-UHFFFAOYAP</t>
  </si>
  <si>
    <t>Oxidative dephosphorylation* (Herbicide mode of action is PS II inhibitor)</t>
  </si>
  <si>
    <t>Zottini, M., Scoccianti, V., Zannoni, D., 1994. Effects of 3, 5-dibromo-4-hydroxybenzonitrile (bromoxynil) on bioenergetics of higher plant mitochondria (Pisum sativum). Plant Physiology 106, 1483-1488.</t>
  </si>
  <si>
    <t>Buprofezin</t>
  </si>
  <si>
    <t>69327-76-0</t>
  </si>
  <si>
    <t>c1ccccc1N2CSC(=NC(C)(C)C)N(C(C)C)C2(=O)</t>
  </si>
  <si>
    <t>PRLVTUNWOQKEAI-VKAVYKQEBI</t>
  </si>
  <si>
    <t>Inhibitors of chitin biosynthesis, type 1</t>
  </si>
  <si>
    <t>Butachlor</t>
  </si>
  <si>
    <t>23184-66-9</t>
  </si>
  <si>
    <t>CCCCOCN(C(=O)CCl)c1c(CC)cccc1CC</t>
  </si>
  <si>
    <t>HKPHPIREJKHECO-UHFFFAOYAE</t>
  </si>
  <si>
    <t>Butafenacil</t>
  </si>
  <si>
    <t>134605-64-4</t>
  </si>
  <si>
    <t>CC(C)(C(=O)OCC=C)OC(=O)c1cc(ccc1Cl)n2c(=O)cc(n(c2=O)C)C(F)(F)F</t>
  </si>
  <si>
    <t>JEDYYFXHPAIBGR-UHFFFAOYAX</t>
  </si>
  <si>
    <t xml:space="preserve">Esters +  Vinyl/Allyl Esters +  Carbonyl Ureas </t>
  </si>
  <si>
    <t>Butralin</t>
  </si>
  <si>
    <t>33629-47-9</t>
  </si>
  <si>
    <t>O=N(=O)c(c(NC(CC)C)c(N(=O)=O)cc1C(C)(C)C)c1</t>
  </si>
  <si>
    <t>MLECVKZMPRPMQI-VIFPVBQEBF</t>
  </si>
  <si>
    <t>Polynitrobenzenes</t>
  </si>
  <si>
    <t>Captafol</t>
  </si>
  <si>
    <t>2939-80-2</t>
  </si>
  <si>
    <t>O=C1N(C(=O)C2C1CC=CC2)SC(C(Cl)Cl)(Cl)Cl</t>
  </si>
  <si>
    <t>JHRWWRDRBPCWTF-PHDIDXHHBF</t>
  </si>
  <si>
    <t xml:space="preserve">Imides +  Thiophthalimides </t>
  </si>
  <si>
    <t>Captan</t>
  </si>
  <si>
    <t>133-06-2</t>
  </si>
  <si>
    <t>O=C(N(SC(Cl)(Cl)Cl)C(=O)C1CC=CC2)C12</t>
  </si>
  <si>
    <t>LDVVMCZRFWMZSG-PHDIDXHHBP</t>
  </si>
  <si>
    <t>Carboxin</t>
  </si>
  <si>
    <t>5234-68-4</t>
  </si>
  <si>
    <t>CC1=C(SCCO1)C(=O)Nc2ccccc2</t>
  </si>
  <si>
    <t>GYSSRZJIHXQEHQ-NDKGDYFDCC</t>
  </si>
  <si>
    <t>Vinyl/Allyl Ethers +  Acrylamides</t>
  </si>
  <si>
    <t>Carfentrazone-ethyl</t>
  </si>
  <si>
    <t>128639-02-1</t>
  </si>
  <si>
    <t>Fc1cc(Cl)c(CC(Cl)C(=O)OCC)cc1N2C(=O)N(C(F)F)C(C)=N2</t>
  </si>
  <si>
    <t>MLKCGVHIFJBRCD-JTQLQIEIBH</t>
  </si>
  <si>
    <t xml:space="preserve">Hydrazines +  Halo Ester </t>
  </si>
  <si>
    <t>Chlorothalonil</t>
  </si>
  <si>
    <t>1897-45-6</t>
  </si>
  <si>
    <t>N#Cc(c(c(c(c1C#N)Cl)Cl)Cl)c1Cl</t>
  </si>
  <si>
    <t>CRQQGFGUEAVUIL-UHFFFAOYAB</t>
  </si>
  <si>
    <t>Tillman, R.W., Siegel, M.R., Long, J.W., 1973. Mechanism of action and fate of the fungicide chlorothalonil (2, 4, 5, 6-tetrachloroisophthalonitrile) in biological systems: I. Reactions with cells and subcellular components of Saccharomyces pastorianus. Pestic. Biochem. Phys. 3, 160-167.</t>
  </si>
  <si>
    <t>Chlorpyrifos-ethyl</t>
  </si>
  <si>
    <t>2921-88-2</t>
  </si>
  <si>
    <t>CCOP(=S)(OCC)Oc1nc(Cl)c(Cl)cc1Cl</t>
  </si>
  <si>
    <t>SBPBAQFWLVIOKP-UHFFFAOYAG</t>
  </si>
  <si>
    <t xml:space="preserve">Esters, Monothiophosphates +  Halopyrdines </t>
  </si>
  <si>
    <t>Jarvinen, A.W., Tanner, D.K., 1982. Toxicity of selected controlled release and corresponding unformulated technical grade pesticides to the fathead minnow Pimephales promelas. Environmental Pollution Series A, Ecological and Biological 27, 179-195.</t>
  </si>
  <si>
    <t>Chlorpyrifos oxon</t>
  </si>
  <si>
    <t>5598-15-2</t>
  </si>
  <si>
    <t>O=P(Oc1nc(c(cc1Cl)Cl)Cl)(OCC)OCC</t>
  </si>
  <si>
    <t>OTMOUPHCTWPNSL-UHFFFAOYAK  </t>
  </si>
  <si>
    <t xml:space="preserve">Esters +  Esters (phosphate) +  Halopyrdines </t>
  </si>
  <si>
    <t>Chlorpyrifos-methyl</t>
  </si>
  <si>
    <t>5598-13-0</t>
  </si>
  <si>
    <t>COP(=S)(OC)Oc1nc(Cl)c(Cl)cc1Cl</t>
  </si>
  <si>
    <t>HRBKVYFZANMGRE-UHFFFAOYAJ</t>
  </si>
  <si>
    <t>Clodinafop-propargyl</t>
  </si>
  <si>
    <t>105512-06-9</t>
  </si>
  <si>
    <t>n1cc(Cl)cc(F)c1Oc2ccc(OC(C)C(=O)OCC#C)cc2</t>
  </si>
  <si>
    <t>JBDHZKLJNAIJNC-NSHDSACABH</t>
  </si>
  <si>
    <t xml:space="preserve">Esters +  Halopyrdines </t>
  </si>
  <si>
    <t>Clorophene</t>
  </si>
  <si>
    <t>120-32-1</t>
  </si>
  <si>
    <t>Oc(c(cc(c1)Cl)Cc(cccc2)c2)c1</t>
  </si>
  <si>
    <t>NCKMMSIFQUPKCK-UHFFFAOYAC  </t>
  </si>
  <si>
    <t>Cyazofamid</t>
  </si>
  <si>
    <t>120116-88-3</t>
  </si>
  <si>
    <t>c2(c(n(c(n2)C#N)S(N(C)C)(=O)=O)c1ccc(cc1)C)Cl</t>
  </si>
  <si>
    <t>YXKMMRDKEKCERS-UHFFFAOYAH  </t>
  </si>
  <si>
    <t>Imidazoles</t>
  </si>
  <si>
    <t>113136-77-9</t>
  </si>
  <si>
    <t>c1cc(Cl)cc(Cl)c1NC(=O)C2CC2C(=O)O</t>
  </si>
  <si>
    <t>DIOZMSACJPTBST-MDGKJLIPDV  </t>
  </si>
  <si>
    <t>Cyhalofop-butyl</t>
  </si>
  <si>
    <t>122008-85-9</t>
  </si>
  <si>
    <t>C(C(C)Oc2ccc(cc2)Oc1c(cc(cc1)C#N)F)(=O)OCCCC</t>
  </si>
  <si>
    <t>TYIYMOAHACZAMQ-CQSZACIVBF</t>
  </si>
  <si>
    <t>Cymoxanil</t>
  </si>
  <si>
    <t>57966-95-7</t>
  </si>
  <si>
    <t>O=C(NCC)NC(=O)C(=NOC)C#N</t>
  </si>
  <si>
    <t>XERJKGMBORTKEO-JUUSTPHJDT</t>
  </si>
  <si>
    <t xml:space="preserve">Aliphatic Amines +  Carbonyl Ureas </t>
  </si>
  <si>
    <t>Cyprodinil</t>
  </si>
  <si>
    <t>121552-61-2</t>
  </si>
  <si>
    <t>c1ccccc1Nc2nc(C3CC3)cc(C)n2</t>
  </si>
  <si>
    <t>HAORKNGNJCEJBX-WYUMXYHSCD</t>
  </si>
  <si>
    <t>d-cis,trans-Allethrin</t>
  </si>
  <si>
    <t>584-79-2</t>
  </si>
  <si>
    <t>O=C(OC(C(=C(C1=O)CC=C)C)C1)C(C2(C)C)C2C=C(C)C</t>
  </si>
  <si>
    <t>ZCVAOQKBXKSDMS-DJIMGWMZBO</t>
  </si>
  <si>
    <t xml:space="preserve">Esters +  Vinyl/Allyl Ketones +  Vinyl/Allyl Esters +  Pyrethroids </t>
  </si>
  <si>
    <t>Sodium channel modulators</t>
  </si>
  <si>
    <t>Diazinon</t>
  </si>
  <si>
    <t>333-41-5</t>
  </si>
  <si>
    <t>O(P(OCC)(Oc(nc(nc1C)C(C)C)c1)=S)CC</t>
  </si>
  <si>
    <t>FHIVAFMUCKRCQO-UHFFFAOYAQ</t>
  </si>
  <si>
    <t>Diazoxon</t>
  </si>
  <si>
    <t>962-58-3</t>
  </si>
  <si>
    <t>CCOP(=O)(OCC)Oc1cc(C)nc(n1)C(C)C</t>
  </si>
  <si>
    <t>VBLJFQYCTRKKKF-UHFFFAOYAT  </t>
  </si>
  <si>
    <t>Di-n-butylorthophtalate</t>
  </si>
  <si>
    <t>84-74-2</t>
  </si>
  <si>
    <t>O=C(OCCCC)c(c(ccc1)C(=O)OCCCC)c1</t>
  </si>
  <si>
    <t>DOIRQSBPFJWKBE-UHFFFAOYAM</t>
  </si>
  <si>
    <t>Diclofop-methyl</t>
  </si>
  <si>
    <t>51338-27-3</t>
  </si>
  <si>
    <t>COC(=O)C(C)Oc2ccc(Oc1ccc(Cl)cc1Cl)cc2</t>
  </si>
  <si>
    <t>BACHBFVBHLGWSL-JTQLQIEIBG</t>
  </si>
  <si>
    <t>Dicofol</t>
  </si>
  <si>
    <t>115-32-2</t>
  </si>
  <si>
    <t>OC(c1ccc(Cl)cc1)(c2ccc(Cl)cc2)C(Cl)(Cl)Cl</t>
  </si>
  <si>
    <t>UOAMTSKGCBMZTC-UHFFFAOYAZ</t>
  </si>
  <si>
    <t xml:space="preserve">Benzyl Alcohols +  Halo Alcohols </t>
  </si>
  <si>
    <t>Difenoconazole</t>
  </si>
  <si>
    <t>119446-68-3</t>
  </si>
  <si>
    <t>O1CC(C)OC1(Cn2ncnc2)c3c(Cl)cc(Oc4ccc(Cl)cc4)cc3</t>
  </si>
  <si>
    <t>BQYJATMQXGBDHF-BFUOFWGJBI</t>
  </si>
  <si>
    <t>Triazoles (Non-Fused)</t>
  </si>
  <si>
    <t>Dimethenamid</t>
  </si>
  <si>
    <t>87674-68-8</t>
  </si>
  <si>
    <t>Cc1csc(C)c1N(C(C)COC)C(=O)CCl</t>
  </si>
  <si>
    <t>JLYFCTQDENRSOL-VIFPVBQEBL</t>
  </si>
  <si>
    <t>Thiophenes +  Haloacetamides</t>
  </si>
  <si>
    <t>Diniconazole</t>
  </si>
  <si>
    <t>83657-24-3</t>
  </si>
  <si>
    <t>Clc1cc(Cl)ccc1C=C(C(O)C(C)(C)C)n2ncnc2</t>
  </si>
  <si>
    <t>FBOUIAKEJMZPQG-BLXFFLACBZ  </t>
  </si>
  <si>
    <t>Vinyl/Allyl Alcohols +  Triazoles (Non-Fused)</t>
  </si>
  <si>
    <t>Diphenylamine</t>
  </si>
  <si>
    <t>122-39-4</t>
  </si>
  <si>
    <t>N(c(cccc1)c1)c(cccc2)c2</t>
  </si>
  <si>
    <t>DMBHHRLKUKUOEG-UHFFFAOYAJ</t>
  </si>
  <si>
    <t>Dithiopyr</t>
  </si>
  <si>
    <t>97886-45-8</t>
  </si>
  <si>
    <t>n1c(C(F)F)c(C(=O)SC)c(CC(C)C)c(C(=O)SC)c1C(F)(F)F</t>
  </si>
  <si>
    <t>YUBJPYNSGLJZPQ-UHFFFAOYAT</t>
  </si>
  <si>
    <t>119791-41-2 (155569-91-8)</t>
  </si>
  <si>
    <t>119791412 (155569918)</t>
  </si>
  <si>
    <t>CC[C@H](C)[C@@H]1[C@H](C=C[C@@]2(O1)C[C@@H]3C[C@H](O2)C/C=C(/[C@H]([C@H](/C=C/C=C/4\CO[C@H]5[C@@]4([C@@H](C=C([C@H]5O)C)C(=O)O3)O)C)O[C@H]6C[C@@H]([C@H]([C@@H](O6)C)O[C@H]7C[C@@H]([C@H]([C@@H](O7)C)NC)OC)OC)\C)C.C[C@H]1/C=C/C=C/2\CO[C@H]3[C@@]2([C@@H](C=C([C@H]3O)C)C(=O)O[C@H]4C[C@@H](C/C=C(/[C@H]1O[C@H]5C[C@@H]([C@H]([C@@H](O5)C)O[C@H]6C[C@@H]([C@H]([C@@H](O6)C)NC)OC)OC)\C)O[C@]7(C4)C=C[C@@H]([C@H](O7)C(C)C)C)O</t>
  </si>
  <si>
    <t>UVHIKTJIUUBWKR-PCOIGEMRBK  </t>
  </si>
  <si>
    <t>Endosulfan</t>
  </si>
  <si>
    <t>115-29-7</t>
  </si>
  <si>
    <t>ClC2=C(Cl)C3(Cl)C1COS(=O)OCC1C2(Cl)C3(Cl)Cl</t>
  </si>
  <si>
    <t>RDYMFSUJUZBWLH-GAXYEAKUBD</t>
  </si>
  <si>
    <t>Vinyl/Allyl Halides</t>
  </si>
  <si>
    <t>GABA-gated chloride channel antagonists</t>
  </si>
  <si>
    <t>153233-91-1</t>
  </si>
  <si>
    <t>Fc1cccc(F)c1C2=NC(c3ccc(C(C)(C)C)cc3OCC)CO2</t>
  </si>
  <si>
    <t>IXSZQYVWNJNRAL-QGZVFWFLBR</t>
  </si>
  <si>
    <t>Mite growth inhibitors</t>
  </si>
  <si>
    <t>Famoxadone</t>
  </si>
  <si>
    <t>131807-57-3</t>
  </si>
  <si>
    <t>c1cc(Oc2ccccc2)ccc1C3(C)C(=O)N(Nc4ccccc4)C(=O)O3</t>
  </si>
  <si>
    <t>PCCSBWNGDMYFCW-QFIPXVFZBL  </t>
  </si>
  <si>
    <t xml:space="preserve">Imides +  Carbamate Esters </t>
  </si>
  <si>
    <t>Fenamidone</t>
  </si>
  <si>
    <t>161326-34-7</t>
  </si>
  <si>
    <t>C[C@@]1(C(=O)N(C(=N1)SC)NC2=CC=CC=C2)C3=CC=CC=C3</t>
  </si>
  <si>
    <t>LMVPQMGRYSRMIW-KRWDZBQOBL</t>
  </si>
  <si>
    <t>[2, 6]</t>
  </si>
  <si>
    <t>Fenarimol</t>
  </si>
  <si>
    <t>60168-88-9</t>
  </si>
  <si>
    <t>n(cc(C(O)(c(ccc(c1)Cl)c1)c(c(ccc2)Cl)c2)cn3)c3</t>
  </si>
  <si>
    <t>NHOWDZOIZKMVAI-QGZVFWFLBJ  </t>
  </si>
  <si>
    <t>Fenbuconazole</t>
  </si>
  <si>
    <t>114369-43-6</t>
  </si>
  <si>
    <t>c1cc(Cl)ccc1CCC(C#N)(c2ccccc2)Cn3ncnc3</t>
  </si>
  <si>
    <t>RQDJADAKIFFEKQ-IBGZPJMEBC</t>
  </si>
  <si>
    <t>Benzyl Nitriles  +  Triazoles (Non-Fused)</t>
  </si>
  <si>
    <t>Fenhexamid</t>
  </si>
  <si>
    <t>126833-17-8</t>
  </si>
  <si>
    <t>C2CCCC(C2)(C)C(Nc1ccc(c(c1Cl)Cl)O)=O</t>
  </si>
  <si>
    <t>SOUAROJHQHXSBY-UHFFFAOYAD</t>
  </si>
  <si>
    <t>Fenitrothion</t>
  </si>
  <si>
    <t>122-14-5</t>
  </si>
  <si>
    <t>COP(=S)(OC)Oc1ccc(N(=O)=O)c(C)c1</t>
  </si>
  <si>
    <t>QZKZZIFJNPGMTE-UHFFFAOYAF</t>
  </si>
  <si>
    <t>Fenoxaprop-ethyl</t>
  </si>
  <si>
    <t>66441-23-4</t>
  </si>
  <si>
    <t>o1c2cc(Cl)ccc2nc1Oc3ccc(OC(C)C(=O)OCC)cc3</t>
  </si>
  <si>
    <t>PQKBPHSEKWERTG-NSHDSACABL</t>
  </si>
  <si>
    <t>Fenoxycarb</t>
  </si>
  <si>
    <t>72490-01-8</t>
  </si>
  <si>
    <t>CCOC(=O)NCCOc1ccc(Oc2ccccc2)cc1</t>
  </si>
  <si>
    <t>HJUFTIJOISQSKQ-GPQMBLKYCL</t>
  </si>
  <si>
    <t xml:space="preserve">Carbamate Esters </t>
  </si>
  <si>
    <t>Fenthion</t>
  </si>
  <si>
    <t>55-38-9</t>
  </si>
  <si>
    <t>COP(=S)(OC)Oc1ccc(SC)c(C)c1</t>
  </si>
  <si>
    <t>PNVJTZOFSHSLTO-UHFFFAOYAH</t>
  </si>
  <si>
    <t>76-87-9</t>
  </si>
  <si>
    <t>O[Sn](c1ccccc1)(c2ccccc2)c3ccccc3</t>
  </si>
  <si>
    <t>BFWMWWXRWVJXSE-HEMOZLSJCM</t>
  </si>
  <si>
    <t>Fipronil</t>
  </si>
  <si>
    <t>120068-37-3</t>
  </si>
  <si>
    <t>Clc1cc(C(F)(F)F)cc(Cl)c1N2C(N)=C(S(=O)C(F)(F)F)C(C#N)=N2</t>
  </si>
  <si>
    <t>ZOCSXAVNDGMNBV-AREMUKBSBU</t>
  </si>
  <si>
    <t xml:space="preserve">Anilines (Unhindered) +  Pyrazoles/Pyrroles </t>
  </si>
  <si>
    <t>Fluazifop-butyl</t>
  </si>
  <si>
    <t>69806-50-4</t>
  </si>
  <si>
    <t>n1cc(C(F)(F)F)ccc1Oc2ccc(OC(C)C(=O)OCCCC)cc2</t>
  </si>
  <si>
    <t>VAIZTNZGPYBOGF-CYBMUJFWBN</t>
  </si>
  <si>
    <t>Fluazifop-P-butyl</t>
  </si>
  <si>
    <t>79241-46-6</t>
  </si>
  <si>
    <t>Fluazinam</t>
  </si>
  <si>
    <t>79622-59-6</t>
  </si>
  <si>
    <t>n1cc(C(F)(F)F)cc(Cl)c1Nc2c(N(=O)(=O))c(Cl)c(C(F)(F)F)cc2N(=O)(=O)</t>
  </si>
  <si>
    <t>JFQMRTDXKLYGJP-MPIMZMORCX</t>
  </si>
  <si>
    <t xml:space="preserve">Polynitrobenzenes +  Halopyrdines </t>
  </si>
  <si>
    <t>Fludioxonil</t>
  </si>
  <si>
    <t>131341-86-1</t>
  </si>
  <si>
    <t>c12OC(F)(F)Oc2cccc1C3=CNC=C3C#N</t>
  </si>
  <si>
    <t>MUJOIMFVNIBMKC-UHFFFAOYAI</t>
  </si>
  <si>
    <t xml:space="preserve">Benzodioxoles  +  Pyrazoles/Pyrroles </t>
  </si>
  <si>
    <t>Flufenacet</t>
  </si>
  <si>
    <t>142459-58-3</t>
  </si>
  <si>
    <t>c1cc(F)ccc1N(C(C)C)C(=O)COC2=NN=C(C(F)(F)F)S2</t>
  </si>
  <si>
    <t>IANUJLZYFUDJIH-UHFFFAOYAX</t>
  </si>
  <si>
    <t>Flufenpyr-ethyl</t>
  </si>
  <si>
    <t>188489-07-8</t>
  </si>
  <si>
    <t>CCOC(=O)COc1cc(c(cc1Cl)F)n2c(=O)c(c(cn2)C(F)(F)F)C</t>
  </si>
  <si>
    <t>KOCFTADHOAAXFC-UHFFFAOYAZ  </t>
  </si>
  <si>
    <t>Esters +  Hydrazines</t>
  </si>
  <si>
    <t>87546-18-7</t>
  </si>
  <si>
    <t>Fc1cc(Cl)c(OCC(=O)OCCCCC)cc1N2C(=O)C(CCCC3)=C3C2=O</t>
  </si>
  <si>
    <t>IRECWLYBCAZIJM-UHFFFAOYAY  </t>
  </si>
  <si>
    <t>Esters +  Imides</t>
  </si>
  <si>
    <t>Flumioxazin</t>
  </si>
  <si>
    <t>103361-09-7</t>
  </si>
  <si>
    <t>Fc1cc2OCC(=O)N(CC#C)c2cc1N3C(=O)C(CCCC4)=C4C3=O</t>
  </si>
  <si>
    <t>FOUWCSDKDDHKQP-UHFFFAOYAN  </t>
  </si>
  <si>
    <t xml:space="preserve">Imides +  Amides </t>
  </si>
  <si>
    <t>Fluoxastrobin</t>
  </si>
  <si>
    <t>361377-29-9</t>
  </si>
  <si>
    <t>CO/N=C(\C1=CC=CC=C1OC2=C(C(=NC=N2)OC3=CC=CC=C3Cl)F)/C4=NOCCO4</t>
  </si>
  <si>
    <t>UFEODZBUAFNAEU-NLRVBDNBBQ  </t>
  </si>
  <si>
    <t>Fluroxypyr-meptyl</t>
  </si>
  <si>
    <t>81406-37-3</t>
  </si>
  <si>
    <t>n1c(F)c(Cl)c(N)c(Cl)c1OCC(=O)OC(C)CCCCCC</t>
  </si>
  <si>
    <t>OLZQTUCTGLHFTQ-TWBQLLEMDK</t>
  </si>
  <si>
    <t xml:space="preserve">Anilines (Unhindered) +  Esters +  Halopyrdines </t>
  </si>
  <si>
    <t>85509-19-9</t>
  </si>
  <si>
    <t>c1cc(F)ccc1[Si](C)(c2ccc(F)cc2)Cn3ncnc3</t>
  </si>
  <si>
    <t>FQKUGOMFVDPBIZ-UHFFFAOYAI</t>
  </si>
  <si>
    <t>Fluthiacet-methyl</t>
  </si>
  <si>
    <t>117337-19-6</t>
  </si>
  <si>
    <t>N12CCCCN1C(=O)SC2=Nc3cc(SCC(=O)OC)c(Cl)cc3F</t>
  </si>
  <si>
    <t>ZCNQYNHDVRPZIH-JXAWBTAJBF  </t>
  </si>
  <si>
    <t xml:space="preserve">Hydrazines +  Thiocarbamates, Mono </t>
  </si>
  <si>
    <t>Flutolanil</t>
  </si>
  <si>
    <t>66332-96-5</t>
  </si>
  <si>
    <t>C(F)(F)(F)c1ccccc1C(=O)Nc2cccc(OC(C)C)c2</t>
  </si>
  <si>
    <t>PTCGDEVVHUXTMP-PKSOQXRJCK</t>
  </si>
  <si>
    <t>Folpet</t>
  </si>
  <si>
    <t>133-07-3</t>
  </si>
  <si>
    <t>O=C(N(SC(Cl)(Cl)Cl)C(=O)c1cccc2)c12</t>
  </si>
  <si>
    <t>HKIOYBQGHSTUDB-UHFFFAOYAD</t>
  </si>
  <si>
    <t>Forchlorfenuron</t>
  </si>
  <si>
    <t>68157-60-8</t>
  </si>
  <si>
    <t>c1c(Cl)nccc1NC(=O)Nc2ccccc2</t>
  </si>
  <si>
    <t>GPXLRLUVLMHHIK-LUXCBXFACD</t>
  </si>
  <si>
    <t xml:space="preserve">Substituted Ureas +  Halopyrdines </t>
  </si>
  <si>
    <t>100784-20-1</t>
  </si>
  <si>
    <t>COC(=O)c1c(Cl)nn(C)c1S(=O)(=O)NC(=O)Nc2nc(OC)cc(OC)n2</t>
  </si>
  <si>
    <t>FMGZEUWROYGLAY-FQFUPTBWCS  </t>
  </si>
  <si>
    <t xml:space="preserve">Esters +  Sulfonyl Ureas  +  Pyrazoles/Pyrroles </t>
  </si>
  <si>
    <t>Hexaconazole</t>
  </si>
  <si>
    <t>79983-71-4</t>
  </si>
  <si>
    <t>Clc2c(ccc(c2)Cl)C(Cn1ncnc1)(O)CCCC</t>
  </si>
  <si>
    <t>STMIIPIFODONDC-CQSZACIVBG</t>
  </si>
  <si>
    <t>Benzyl Alcohols +  Triazoles (Non-Fused)</t>
  </si>
  <si>
    <t>Imazalil</t>
  </si>
  <si>
    <t>35554-44-0</t>
  </si>
  <si>
    <t>c1cc(Cl)cc(Cl)c1C(OCC=C)Cn2cncc2</t>
  </si>
  <si>
    <t>PZBPKYOVPCNPJY-AWEZNQCLBI</t>
  </si>
  <si>
    <t>Vinyl/Allyl Ethers +  Imidazoles</t>
  </si>
  <si>
    <t>114311-32-9</t>
  </si>
  <si>
    <t>OC(=O)c1cc(COC)cnc1C2=NC(C)(C(C)C)C(=O)N2</t>
  </si>
  <si>
    <t>NUPJIGQFXCQJBK-FWOIFZPWDP  </t>
  </si>
  <si>
    <t>Isoxaben</t>
  </si>
  <si>
    <t>82558-50-7</t>
  </si>
  <si>
    <t>COc1cccc(OC)c1C(=O)Nc2onc(C(C)(CC)CC)c2</t>
  </si>
  <si>
    <t>PMHURSZHKKJGBM-LILDFLRNCJ</t>
  </si>
  <si>
    <t>Lactofen</t>
  </si>
  <si>
    <t>77501-63-4</t>
  </si>
  <si>
    <t>Clc1cc(C(F)(F)F)ccc1Oc2cc(C(=O)OC(C)C(=O)OCC)c(N(=O)(=O))cc2</t>
  </si>
  <si>
    <t>LVUNZBFIUHRPEI-JTQLQIEIBM</t>
  </si>
  <si>
    <t>Lindane</t>
  </si>
  <si>
    <t>58-89-9</t>
  </si>
  <si>
    <t>C(C(C(C(C1Cl)Cl)Cl)Cl)(C1Cl)Cl</t>
  </si>
  <si>
    <t>JLYXXMFPNIAWKQ-GPIVLXJGBO</t>
  </si>
  <si>
    <t xml:space="preserve">GABA-inhibitor </t>
  </si>
  <si>
    <t>Ogata, N., Vogel, S.M., Narahashi, T., 1988. Lindane but not deltamethrin blocks a component of GABA-activated chloride channels. The FASEB Journal 2, 2895-2900.</t>
  </si>
  <si>
    <t>Linuron</t>
  </si>
  <si>
    <t>330-55-2</t>
  </si>
  <si>
    <t>O=C(N(OC)C)Nc(ccc(c1Cl)Cl)c1</t>
  </si>
  <si>
    <t>XKJMBINCVNINCA-XWKXFZRBCI</t>
  </si>
  <si>
    <t>Substituted Ureas</t>
  </si>
  <si>
    <t>Metam-sodium hydrate</t>
  </si>
  <si>
    <t>6734-80-1</t>
  </si>
  <si>
    <t>CNC(=S)S</t>
  </si>
  <si>
    <t>YKUWUDFLMHTSJL-GIXWTRONCY  </t>
  </si>
  <si>
    <t>Thiocarbamate,Di(free acid)</t>
  </si>
  <si>
    <t>Methoxychlor</t>
  </si>
  <si>
    <t>72-43-5</t>
  </si>
  <si>
    <t>COc1ccc(cc1)C(c2ccc(OC)cc2)C(Cl)(Cl)Cl</t>
  </si>
  <si>
    <t>IAKOZHOLGAGEJT-UHFFFAOYAO</t>
  </si>
  <si>
    <t>Methylene bis(thiocyanate)</t>
  </si>
  <si>
    <t>6317-18-6</t>
  </si>
  <si>
    <t>C(#N)SCSC(#N)</t>
  </si>
  <si>
    <t>JWZXKXIUSSIAMR-UHFFFAOYAO  </t>
  </si>
  <si>
    <t>Thiocyanates +  Nitriles, Polyaliphatic</t>
  </si>
  <si>
    <t>Metolachlor</t>
  </si>
  <si>
    <t>51218-45-2</t>
  </si>
  <si>
    <t>CCc1cccc(C)c1N(C(C)COC)C(=O)CCl</t>
  </si>
  <si>
    <t>WVQBLGZPHOPPFO-GFCCVEGCBH</t>
  </si>
  <si>
    <t>113-48-4</t>
  </si>
  <si>
    <t>CCCCC(CC)CN3C(=O)C2C1CC(C=C1)C2C3(=O)</t>
  </si>
  <si>
    <t>WLLGXSLBOPFWQV-AHDPXTMNBA  </t>
  </si>
  <si>
    <t>Imides</t>
  </si>
  <si>
    <t>Milbemectin (mix of &gt;70% Milbemycin A4 CAS 51596-11-3; &lt;30% Milbemycin A3 CAS 51596-10-2)</t>
  </si>
  <si>
    <t>51596-10-2</t>
  </si>
  <si>
    <t>CC1CC(C)=CCC2OC3(CCC(C)C(C)O3)CC(C2)OC(=O)C4C=C(C)C(O)C5OCC(C45O)=CC=C1</t>
  </si>
  <si>
    <t>Esters +  Vinyl/Allyl Ethers +  Vinyl/Allyl Alcohols</t>
  </si>
  <si>
    <t>Myclobutanil</t>
  </si>
  <si>
    <t>88671-89-0</t>
  </si>
  <si>
    <t>c1cc(Cl)ccc1C(C#N)(CCCC)Cn2ncnc2</t>
  </si>
  <si>
    <t>HZJKXKUJVSEEFU-HNNXBMFYBX</t>
  </si>
  <si>
    <t>Naled</t>
  </si>
  <si>
    <t>300-76-5</t>
  </si>
  <si>
    <t>COP(=O)(OC)OC(Br)C(Cl)(Cl)Br</t>
  </si>
  <si>
    <t>BUYMVQAILCEWRR-VKHMYHEABK</t>
  </si>
  <si>
    <t>Niclosamide</t>
  </si>
  <si>
    <t>50-65-7</t>
  </si>
  <si>
    <t>Clc1cc(N(=O)(=O))ccc1NC(=O)c2cc(Cl)ccc2O</t>
  </si>
  <si>
    <t>RTHRBWZRCWAYKD-WYUMXYHSCP</t>
  </si>
  <si>
    <t>Niclosamide works by killing tapeworms on contact. Adult worms (but not ova) are rapidly killed, presumably due to uncoupling of oxidative phosphorylation or stimulation of ATPase activity. The killed worms are then passed in the stool or sometimes destroyed in the intestine. Niclosamide may work as a molluscicide by binding to and damaging DNA.</t>
  </si>
  <si>
    <t>Oryzalin</t>
  </si>
  <si>
    <t>19044-88-3</t>
  </si>
  <si>
    <t>CCCN(CCC)c1c(cc(cc1N(=O)=O)S(N)(=O)=O)N(=O)=O</t>
  </si>
  <si>
    <t>JOKURVUBGCLTQL-DLGLGFIGCC  </t>
  </si>
  <si>
    <t xml:space="preserve">Polynitrobenzenes +  Amides </t>
  </si>
  <si>
    <t>Oxadiazon</t>
  </si>
  <si>
    <t>19666-30-9</t>
  </si>
  <si>
    <t>CC(C)Oc1cc(c(Cl)cc1Cl)N2N=C(OC2=O)C(C)(C)C</t>
  </si>
  <si>
    <t>CHNUNORXWHYHNE-UHFFFAOYAH</t>
  </si>
  <si>
    <t>Oxyfluorfen</t>
  </si>
  <si>
    <t>42874-03-3</t>
  </si>
  <si>
    <t>Clc1cc(C(F)(F)F)ccc1Oc2cc(OCC)c(N(=O)(=O))cc2</t>
  </si>
  <si>
    <t>SFRDGCOWVIFRNR-UHFFFAOYAJ</t>
  </si>
  <si>
    <t>Paclobutrazol</t>
  </si>
  <si>
    <t>76738-62-0</t>
  </si>
  <si>
    <t>c1ncnn1C(C(O)C(C)(C)C)Cc2ccc(Cl)cc2</t>
  </si>
  <si>
    <t>RMOGWMIKYWRTKW-KBPBESRZBQ</t>
  </si>
  <si>
    <t>Parathion-ethyl</t>
  </si>
  <si>
    <t>56-38-2</t>
  </si>
  <si>
    <t>CCOP(=S)(OCC)Oc1ccc(cc1)N(=O)=O</t>
  </si>
  <si>
    <t>AXUNYIKKLFGDAE-UHFFFAOYAI</t>
  </si>
  <si>
    <t>Hoffmann, U., Papendorf, T., 2006. Organophosphate poisonings with parathion and dimethoate. Intensive Care Med. 32, 464-468.</t>
  </si>
  <si>
    <t>Perfluorooctane sulfonic acid</t>
  </si>
  <si>
    <t>1763-23-1</t>
  </si>
  <si>
    <t>O=S(=O)(O)C(F)(F)C(F)(F)C(F)(F)C(F)(F)C(F)(F)C(F)(F)C(F)(F)C(F)(F)F</t>
  </si>
  <si>
    <t>YFSUTJLHUFNCNZ-HXTKINSTCJ</t>
  </si>
  <si>
    <t>[6],[30]</t>
  </si>
  <si>
    <t>Permethrin</t>
  </si>
  <si>
    <t>52645-53-1</t>
  </si>
  <si>
    <t>CC1(C)C(C=C(Cl)Cl)C1C(=O)OCc3cccc(Oc2ccccc2)c3</t>
  </si>
  <si>
    <t>RLLPVAHGXHCWKJ-IEBWSBKVBC</t>
  </si>
  <si>
    <t xml:space="preserve">Esters +  Vinyl/Allyl Halides +  Pyrethroids </t>
  </si>
  <si>
    <t xml:space="preserve">Pyrethroid (sodium channel binding) </t>
  </si>
  <si>
    <t>Vijverberg, H.P.M., vanden Bercken, J., 1990. Neurotoxicological effects and the mode of action of pyrethroid insecticides. CRC Crit. Rev. Toxicol. 21, 105-126.</t>
  </si>
  <si>
    <t>Phosalone</t>
  </si>
  <si>
    <t>2310-17-0</t>
  </si>
  <si>
    <t>S=P(OCC)(OCC)SCN1C(=O)Oc2cc(Cl)ccc12</t>
  </si>
  <si>
    <t>IOUNQDKNJZEDEP-UHFFFAOYAA</t>
  </si>
  <si>
    <t>Esters, Dithiophosphates +  Carbamate Esters, Phenyl</t>
  </si>
  <si>
    <t>Phthalic acid, mono-2-ethylhexyl ester</t>
  </si>
  <si>
    <t>4376-20-9</t>
  </si>
  <si>
    <t>CCCCC(CC)COC(=O)c1ccccc1C(O)=O</t>
  </si>
  <si>
    <t>DJDSLBVSSOQSLW-YRIRCGKTDQ  </t>
  </si>
  <si>
    <t>Piperonyl butoxide</t>
  </si>
  <si>
    <t>51-03-6</t>
  </si>
  <si>
    <t>O(c(c(O1)cc(c2CCC)COCCOCCOCCCC)c2)C1</t>
  </si>
  <si>
    <t>FIPWRIJSWJWJAI-UHFFFAOYAD  </t>
  </si>
  <si>
    <t>Pirimiphos-methyl</t>
  </si>
  <si>
    <t>29232-93-7</t>
  </si>
  <si>
    <t>CCN(CC)c1nc(C)cc(OP(=S)(OC)OC)n1</t>
  </si>
  <si>
    <t>QHOQHJPRIBSPCY-UHFFFAOYAW</t>
  </si>
  <si>
    <t>Prallethrin</t>
  </si>
  <si>
    <t>23031-36-9</t>
  </si>
  <si>
    <t>CC(C)=CC1C(C)(C)C1C(=O)OC2C(C)=C(CC#C)C(=O)C2</t>
  </si>
  <si>
    <t>SMKRKQBMYOFFMU-DJIMGWMZBD  </t>
  </si>
  <si>
    <t>Primisulfuron-methyl</t>
  </si>
  <si>
    <t>86209-51-0</t>
  </si>
  <si>
    <t>COC(=O)c1ccccc1S(=O)(=O)NC(=O)Nc2nc(OC(F)F)cc(OC(F)F)n2</t>
  </si>
  <si>
    <t>ZTYVMAQSHCZXLF-PDJAEHLQCM  </t>
  </si>
  <si>
    <t xml:space="preserve">Esters +  Sulfonyl Ureas </t>
  </si>
  <si>
    <t>Prochloraz</t>
  </si>
  <si>
    <t>67747-09-5</t>
  </si>
  <si>
    <t>Clc1cc(Cl)cc(Cl)c1OCCN(CCC)C(=O)n2cncc2</t>
  </si>
  <si>
    <t>TVLSRXXIMLFWEO-UHFFFAOYAV</t>
  </si>
  <si>
    <t>Profenofos</t>
  </si>
  <si>
    <t>41198-08-7</t>
  </si>
  <si>
    <t>CCCSP(=O)(OCC)Oc1ccc(Br)cc1Cl</t>
  </si>
  <si>
    <t>QYMMJNLHFKGANY-KRWDZBQOBQ</t>
  </si>
  <si>
    <t>Propanil</t>
  </si>
  <si>
    <t>709-98-8</t>
  </si>
  <si>
    <t>CCC(=O)Nc1ccc(Cl)c(Cl)c1</t>
  </si>
  <si>
    <t>LFULEKSKNZEWOE-XWKXFZRBCA</t>
  </si>
  <si>
    <t>Herbicide (PS II inhibitor)</t>
  </si>
  <si>
    <t>Moreland, D.E., Hill, K.L., 1963. Inhibition of Photochemical Activity of Isolated Chloroplasts by Acylanilides. Weeds 11, 55-60.</t>
  </si>
  <si>
    <t>Propargite</t>
  </si>
  <si>
    <t>2312-35-8</t>
  </si>
  <si>
    <t>CC(C)(C)c2ccc(OC1CCCCC1OS(=O)OCC#C)cc2</t>
  </si>
  <si>
    <t>ZYHMJXZULPZUED-NXMSCROEBG</t>
  </si>
  <si>
    <t>Inhibitors of mitochondrial ATP synthase</t>
  </si>
  <si>
    <t>Propiconazole</t>
  </si>
  <si>
    <t>60207-90-1</t>
  </si>
  <si>
    <t>Clc1cc(Cl)ccc1C2(Cn3ncnc3)OC(CCC)CO2</t>
  </si>
  <si>
    <t>STJLVHWMYQXCPB-DOMZBBRYBH</t>
  </si>
  <si>
    <t>181274-15-7</t>
  </si>
  <si>
    <t>CCCOc1nn(C(=O)NS(=O)(=O)c2ccccc2C(=O)OC)c(=O)n1C</t>
  </si>
  <si>
    <t>PPSULCJRSGTGBJ-UHFFFAOYAJ  </t>
  </si>
  <si>
    <t xml:space="preserve">Esters +  Carbonyl Ureas </t>
  </si>
  <si>
    <t>94125-34-5</t>
  </si>
  <si>
    <t>C(F)(F)(F)CCc1ccccc1S(=O)(=O)NC(=O)Nc2nc(C)nc(OC)n2</t>
  </si>
  <si>
    <t>LTUNNEGNEKBSEH-NPQUBYNZCB</t>
  </si>
  <si>
    <t xml:space="preserve">Triazines, Aromatic +  Sulfonyl Ureas </t>
  </si>
  <si>
    <t>Pyraclostrobin</t>
  </si>
  <si>
    <t>175013-18-0</t>
  </si>
  <si>
    <t>c1(ccc(n2ccc(OCc3c(cccc3)N(OC)C(OC)=O)n2)cc1)Cl</t>
  </si>
  <si>
    <t>HZRSNVGNWUDEFX-UHFFFAOYAU</t>
  </si>
  <si>
    <t xml:space="preserve">Carbamate Esters  +  Pyrazoles/Pyrroles </t>
  </si>
  <si>
    <t>Pyraflufen-ethyl</t>
  </si>
  <si>
    <t>129630-19-9</t>
  </si>
  <si>
    <t>C(COc2c(cc(c(c2)c1nn(c(c1Cl)OC(F)F)C)F)Cl)(=O)OCC</t>
  </si>
  <si>
    <t>APTZNLHMIGJTEW-UHFFFAOYAJ  </t>
  </si>
  <si>
    <t>Pyridaben</t>
  </si>
  <si>
    <t>96489-71-3</t>
  </si>
  <si>
    <t>c1cc(C(C)(C)C)ccc1CSC2=C(Cl)C(=O)N(C(C)(C)C)N=C2</t>
  </si>
  <si>
    <t>DWFZBUWUXWZWKD-UHFFFAOYAC  </t>
  </si>
  <si>
    <t>Hydrazines +  Vinyl/Allyl Halides</t>
  </si>
  <si>
    <t>Pyriproxyfen</t>
  </si>
  <si>
    <t>95737-68-1</t>
  </si>
  <si>
    <t>n1ccccc1OC(C)COc2ccc(Oc3ccccc3)cc2</t>
  </si>
  <si>
    <t>NHDHVHZZCFYRSB-INIZCTEOBG  </t>
  </si>
  <si>
    <t>Quintozene</t>
  </si>
  <si>
    <t>82-68-8</t>
  </si>
  <si>
    <t>O=N(=O)c(c(c(c(c1Cl)Cl)Cl)Cl)c1Cl</t>
  </si>
  <si>
    <t>ICAJRZFYSZMOBQ-UHFFFAOYAX</t>
  </si>
  <si>
    <t>Quizalofop-ethyl</t>
  </si>
  <si>
    <t>76578-14-8</t>
  </si>
  <si>
    <t>n1c2ccc(Cl)cc2ncc1Oc3ccc(OC(C)C(=O)OCC)cc3</t>
  </si>
  <si>
    <t>OSUHJPCHFDQAIT-GFCCVEGCBL</t>
  </si>
  <si>
    <t>S-Bioallethrin</t>
  </si>
  <si>
    <t>28434-00-6</t>
  </si>
  <si>
    <t>CC(C)=CC2C(C(=O)OC1CC(=O)C(=C1C)CC=C)C2(C)C</t>
  </si>
  <si>
    <t>ZCVAOQKBXKSDMS-PVAVHDDUBR  </t>
  </si>
  <si>
    <t>148477-71-8</t>
  </si>
  <si>
    <t>C(C(CC)(C)C)(=O)OC3=C(C(OC23CCCCC2)=O)c1c(cc(cc1)Cl)Cl</t>
  </si>
  <si>
    <t>LTXAQJVATUNZGS-UHFFFAOYAZ</t>
  </si>
  <si>
    <t>Inhibitors of acetyl CoA carboxylase</t>
  </si>
  <si>
    <t>118134-30-8</t>
  </si>
  <si>
    <t>C1CC(C(C)(C)C)CCC12(OCC(CN(CC)CCC)O2)</t>
  </si>
  <si>
    <t>PUYXTUJWRLOUCW-JFIYKMOQBA</t>
  </si>
  <si>
    <t>Sulfentrazone</t>
  </si>
  <si>
    <t>122836-35-5</t>
  </si>
  <si>
    <t>Clc1cc(Cl)c(NS(=O)(=O)C)cc1N2N=C(C)N(C(F)F)C2=O</t>
  </si>
  <si>
    <t>OORLZFUTLGXMEF-UHFFFAOYAF</t>
  </si>
  <si>
    <t>TCMTB</t>
  </si>
  <si>
    <t>21564-17-0</t>
  </si>
  <si>
    <t>c1ccc2N=C(SCSC(#N))Sc2c1</t>
  </si>
  <si>
    <t>TUBQDCKAWGHZPF-UHFFFAOYAC  </t>
  </si>
  <si>
    <t>Thiocyanates</t>
  </si>
  <si>
    <t>Tebufenpyrad</t>
  </si>
  <si>
    <t>119168-77-3</t>
  </si>
  <si>
    <t>Clc1c(CC)nn(C)c1C(=O)NCc2ccc(C(C)(C)C)cc2</t>
  </si>
  <si>
    <t>ZZYSLNWGKKDOML-UYBDAZJACP</t>
  </si>
  <si>
    <t xml:space="preserve">Amides  +  Pyrazoles/Pyrroles </t>
  </si>
  <si>
    <t>Tebupirimfos</t>
  </si>
  <si>
    <t>96182-53-5</t>
  </si>
  <si>
    <t>c1nc(C(C)(C)C)ncc1OP(=S)(OCC)OC(C)C</t>
  </si>
  <si>
    <t>AWYOMXWDGWUJHS-IBGZPJMEBS</t>
  </si>
  <si>
    <t>Tetraconazole</t>
  </si>
  <si>
    <t>112281-77-3</t>
  </si>
  <si>
    <t>Clc1cc(Cl)ccc1C(Cn2ncnc2)COC(F)(F)C(F)F</t>
  </si>
  <si>
    <t>LQDARGUHUSPFNL-QMMMGPOBBQ</t>
  </si>
  <si>
    <t>Tetramethrin</t>
  </si>
  <si>
    <t>7696-12-0</t>
  </si>
  <si>
    <t>CC(C)=CC1C(C)(C)C1C(=O)OCN2C(=O)C(CCCC3)=C3C2(=O)</t>
  </si>
  <si>
    <t>CXBMCYHAMVGWJQ-GJZGRUSLBN</t>
  </si>
  <si>
    <t xml:space="preserve">Esters +  Imides +  Pyrethroids </t>
  </si>
  <si>
    <t>Thiabendazole</t>
  </si>
  <si>
    <t>148-79-8</t>
  </si>
  <si>
    <t>c2ccc1nc(nc1c2)c3cscn3</t>
  </si>
  <si>
    <t>WJCNZQLZVWNLKY-XWKXFZRBCN</t>
  </si>
  <si>
    <t>Thiazopyr</t>
  </si>
  <si>
    <t>117718-60-2</t>
  </si>
  <si>
    <t>S1CCN=C1c2c(C(F)(F)F)nc(C(F)F)c(C(=O)OC)c2CC(C)C</t>
  </si>
  <si>
    <t>YIJZJEYQBAAWRJ-UHFFFAOYAP</t>
  </si>
  <si>
    <t>Thiobencarb</t>
  </si>
  <si>
    <t>28249-77-6</t>
  </si>
  <si>
    <t>CCN(CC)C(=O)SCc1ccc(Cl)cc1</t>
  </si>
  <si>
    <t>QHTQREMOGMZHJV-UHFFFAOYAI</t>
  </si>
  <si>
    <t xml:space="preserve">Thiocarbamates, Mono </t>
  </si>
  <si>
    <t>Thiodicarb</t>
  </si>
  <si>
    <t>59669-26-0</t>
  </si>
  <si>
    <t>CC(SC)=NOC(=O)N(C)SN(C)C(=O)ON=C(SC)C</t>
  </si>
  <si>
    <t>XDOTVMNBCQVZKG-MKICQXMIBD</t>
  </si>
  <si>
    <t xml:space="preserve">Oxime Carbamate Ester </t>
  </si>
  <si>
    <t>Thiophanate-methyl</t>
  </si>
  <si>
    <t>23564-05-8</t>
  </si>
  <si>
    <t>COC(=O)NC(=S)Nc1ccccc1NC(=S)NC(=O)OC</t>
  </si>
  <si>
    <t>QGHREAKMXXNCOA-DPZIWVPECD  </t>
  </si>
  <si>
    <t xml:space="preserve">Carbamate Esters  +  Thioureas  +  Carbonyl Ureas </t>
  </si>
  <si>
    <t>Thiram</t>
  </si>
  <si>
    <t>137-26-8</t>
  </si>
  <si>
    <t>N(C(=S)SSC(N(C)C)=S)(C)C</t>
  </si>
  <si>
    <t>KUAZQDVKQLNFPE-UHFFFAOYAK</t>
  </si>
  <si>
    <t>Thiocarbamate, Di(Substit)</t>
  </si>
  <si>
    <t>Inhibition of lysyl oxidase/extracellular matrix</t>
  </si>
  <si>
    <t>van Boxtel, A.L., Kamstra, J.H., Fluitsma, D.M., Legler, J., 2010. Dithiocarbamates are teratogenic to developing zebrafish through inhibition of lysyl oxidase activity. Toxicol. Appl. Pharmacol. 244, 156-161.</t>
  </si>
  <si>
    <t>Tralkoxydim</t>
  </si>
  <si>
    <t>87820-88-0</t>
  </si>
  <si>
    <t>Cc1cc(C)cc(C)c1C2CC(=O)C(C(CC)=NOCC)=C(O)C2</t>
  </si>
  <si>
    <t>DQFPEYARZIQXRM-SSPLZPMDBQ</t>
  </si>
  <si>
    <t>Aliphatic Amines +  Vinyl/Allyl Ketones +  Vinyl/Allyl Alcohols</t>
  </si>
  <si>
    <t>Triadimenol</t>
  </si>
  <si>
    <t>55219-65-3</t>
  </si>
  <si>
    <t>c1cc(Cl)ccc1OC(n2ncnc2)C(O)C(C)(C)C</t>
  </si>
  <si>
    <t>BAZVSMNPJJMILC-CHWSQXEVBZ</t>
  </si>
  <si>
    <t>Tri-allate</t>
  </si>
  <si>
    <t>2303-17-5</t>
  </si>
  <si>
    <t>CC(C)N(C(C)C)C(=O)SCC(Cl)=C(Cl)Cl</t>
  </si>
  <si>
    <t>MWBPRDONLNQCFV-UHFFFAOYAU</t>
  </si>
  <si>
    <t xml:space="preserve">Vinyl/Allyl Halides +  Thiocarbamates, Mono </t>
  </si>
  <si>
    <t>Tribufos</t>
  </si>
  <si>
    <t>78-48-8</t>
  </si>
  <si>
    <t>O=P(SCCCC)(SCCCC)SCCCC</t>
  </si>
  <si>
    <t>ZOKXUAHZSKEQSS-UHFFFAOYAN</t>
  </si>
  <si>
    <t>Triclosan</t>
  </si>
  <si>
    <t>3380-34-5</t>
  </si>
  <si>
    <t>O(c(c(O)cc(c1)Cl)c1)c(c(cc(c2)Cl)Cl)c2</t>
  </si>
  <si>
    <t>XEFQLINVKFYRCS-UHFFFAOYAS  </t>
  </si>
  <si>
    <t>Trifloxystrobin</t>
  </si>
  <si>
    <t>141517-21-7</t>
  </si>
  <si>
    <t>c2(C(F)(F)F)cc(ccc2)C(=NOCc1c(cccc1)C(C(=O)OC)=NOC)C</t>
  </si>
  <si>
    <t>ONCZDRURRATYFI-QTCHDTBABP</t>
  </si>
  <si>
    <t>Triflumizole</t>
  </si>
  <si>
    <t>68694-11-1</t>
  </si>
  <si>
    <t>C(F)(F)(F)c1cc(Cl)ccc1N=C(COCCC)n2cncc2</t>
  </si>
  <si>
    <t>HSMVPDGQOIQYSR-STZFKDTABQ</t>
  </si>
  <si>
    <t>Zoxamide</t>
  </si>
  <si>
    <t>156052-68-5</t>
  </si>
  <si>
    <t>c1(cc(C(NC(C(CCl)=O)(CC)C)=O)cc(c1C)Cl)Cl</t>
  </si>
  <si>
    <t>SOUGWDPPRBKJEX-LPOXYMQJDF  </t>
  </si>
  <si>
    <t>Amides  +  Halo Ketones (2 free H)</t>
  </si>
  <si>
    <t>≤ 5</t>
  </si>
  <si>
    <t>Maiwald 1997</t>
  </si>
  <si>
    <t>107-02-8</t>
  </si>
  <si>
    <t>O=CC=C</t>
  </si>
  <si>
    <t>HGINCPLSRVDWNT-UHFFFAOYAQ</t>
  </si>
  <si>
    <t>Vinyl/Allyl Aldehydes</t>
  </si>
  <si>
    <t>Schulte 1997</t>
  </si>
  <si>
    <t>2-Aminoethanol</t>
  </si>
  <si>
    <t>141-43-5</t>
  </si>
  <si>
    <t>OCCN</t>
  </si>
  <si>
    <t>HZAXFHJVJLSVMW-UHFFFAOYAD</t>
  </si>
  <si>
    <t>1/0.1</t>
  </si>
  <si>
    <t>Groth et al. 1993</t>
  </si>
  <si>
    <t>123-30-8</t>
  </si>
  <si>
    <t>Oc(ccc(N)c1)c1</t>
  </si>
  <si>
    <t>PLIKAWJENQZMHA-UHFFFAOYAD  </t>
  </si>
  <si>
    <t xml:space="preserve">Anilines (Unhindered) +  Phenols +  Phenol Amines </t>
  </si>
  <si>
    <t>Aniline</t>
  </si>
  <si>
    <t>62-53-3</t>
  </si>
  <si>
    <t>Nc(cccc1)c1</t>
  </si>
  <si>
    <t>PAYRUJLWNCNPSJ-UHFFFAOYAP</t>
  </si>
  <si>
    <t>Anilines (Unhindered)</t>
  </si>
  <si>
    <t>Atrazine</t>
  </si>
  <si>
    <t>1912-24-9</t>
  </si>
  <si>
    <t>n(c(nc(n1)NC(C)C)NCC)c1Cl</t>
  </si>
  <si>
    <t>MXWJVTOOROXGIU-PZWAIHAUCQ</t>
  </si>
  <si>
    <t>Glas petri dish</t>
  </si>
  <si>
    <t>≤ 4</t>
  </si>
  <si>
    <t>Wiegand et al. 2000</t>
  </si>
  <si>
    <t>4-Bromoindole</t>
  </si>
  <si>
    <t>52488-36-5</t>
  </si>
  <si>
    <t>GRJZJFUBQYULKL-UHFFFAOYAR</t>
  </si>
  <si>
    <t>Not indicated</t>
  </si>
  <si>
    <t>ISIS 2003</t>
  </si>
  <si>
    <t xml:space="preserve"> 5/1</t>
  </si>
  <si>
    <t>1 % DMSO</t>
  </si>
  <si>
    <t>≤ 11</t>
  </si>
  <si>
    <t>Kammann et al. 2006</t>
  </si>
  <si>
    <t>5-Bromoindole</t>
  </si>
  <si>
    <t>10075-50-0</t>
  </si>
  <si>
    <t>Brc2ccc1nccc1c2</t>
  </si>
  <si>
    <t>VXWVFZFZYXOBTA-UHFFFAOYAR  </t>
  </si>
  <si>
    <t xml:space="preserve">Pyrazoles/Pyrroles </t>
  </si>
  <si>
    <t>6-Bromoindole</t>
  </si>
  <si>
    <t>52415-29-9</t>
  </si>
  <si>
    <t>c1cc(cc2c1cc[nH]2)Br</t>
  </si>
  <si>
    <t>MAWGHOPSCKCTPA-UHFFFAOYAV</t>
  </si>
  <si>
    <t>95-56-7</t>
  </si>
  <si>
    <t>Oc(c(ccc1)Br)c1</t>
  </si>
  <si>
    <t>VADKRMSMGWJZCF-UHFFFAOYAR  </t>
  </si>
  <si>
    <t>591-20-8</t>
  </si>
  <si>
    <t>Oc(cccc1Br)c1</t>
  </si>
  <si>
    <t>MNOJRWOWILAHAV-UHFFFAOYAF  </t>
  </si>
  <si>
    <t>106-41-2</t>
  </si>
  <si>
    <t>Oc(ccc(c1)Br)c1</t>
  </si>
  <si>
    <t>GZFGOTFRPZRKDS-UHFFFAOYAE</t>
  </si>
  <si>
    <t>98-54-4</t>
  </si>
  <si>
    <t>Oc(ccc(c1)C(C)(C)C)c1</t>
  </si>
  <si>
    <t>QHPQWRBYOIRBIT-UHFFFAOYAM</t>
  </si>
  <si>
    <t>Cadmium (chloride?)</t>
  </si>
  <si>
    <t xml:space="preserve"> 20/5</t>
  </si>
  <si>
    <t>Petri dish</t>
  </si>
  <si>
    <t>19.3 mM NaCl, 0.23 mM KCl, 0.13mM, MgSO4·7H2O, 0.2 mM Ca(NO3)2, 1.67 mM Hepes [pH 7.2]</t>
  </si>
  <si>
    <t>Hepes</t>
  </si>
  <si>
    <t>10 (mean)</t>
  </si>
  <si>
    <t>Cheng et al. 2000</t>
  </si>
  <si>
    <t>MgSO4·7H2O, 0.2 mM Ca(NO3)2, 1.67 mM Hepes [pH 7.2]</t>
  </si>
  <si>
    <t>Chloroacetaldehyde</t>
  </si>
  <si>
    <t>107-20-0</t>
  </si>
  <si>
    <t>O=CCCl</t>
  </si>
  <si>
    <t>QSKPIOLLBIHNAC-UHFFFAOYAP</t>
  </si>
  <si>
    <t>95-51-2</t>
  </si>
  <si>
    <t>Nc(c(ccc1)Cl)c1</t>
  </si>
  <si>
    <t>AKCRQHGQIJBRMN-UHFFFAOYAL</t>
  </si>
  <si>
    <t>108-42-9</t>
  </si>
  <si>
    <t>Nc(cccc1Cl)c1</t>
  </si>
  <si>
    <t>PNPCRKVUWYDDST-UHFFFAOYAH</t>
  </si>
  <si>
    <t>Methem-induction</t>
  </si>
  <si>
    <t>OECD, 2011. Report of the Workshop on Using Mechanistic Information in Forming Chemical Categories, Series on Testing and Assessment No. 138, 8-10 December 2010, Crystal City VA, USA. ENV/JM/MONO(2011)8.</t>
  </si>
  <si>
    <t>4-Chloroaniline</t>
  </si>
  <si>
    <t>106-47-8</t>
  </si>
  <si>
    <t>Nc(ccc(c1)Cl)c1</t>
  </si>
  <si>
    <t>QSNSCYSYFYORTR-UHFFFAOYAA</t>
  </si>
  <si>
    <t>4-Chlorophenol</t>
  </si>
  <si>
    <t>106-48-9</t>
  </si>
  <si>
    <t>Oc(ccc(c1)Cl)c1</t>
  </si>
  <si>
    <t>WXNZTHHGJRFXKQ-UHFFFAOYAX</t>
  </si>
  <si>
    <t>n.a.</t>
  </si>
  <si>
    <t>Original not available</t>
  </si>
  <si>
    <t>Original publication not available</t>
  </si>
  <si>
    <t>Stangl 1991</t>
  </si>
  <si>
    <t>Ensenbach 1987</t>
  </si>
  <si>
    <t>24well plate</t>
  </si>
  <si>
    <t>Foerster 2008</t>
  </si>
  <si>
    <t>Pimephales promelas</t>
  </si>
  <si>
    <t>10/200</t>
  </si>
  <si>
    <t>Beaker</t>
  </si>
  <si>
    <t>Lake water</t>
  </si>
  <si>
    <t>Jarvinen et al. 1988</t>
  </si>
  <si>
    <t>Cyclohexanol</t>
  </si>
  <si>
    <t>108-93-0</t>
  </si>
  <si>
    <t>OC(CCCC1)C1</t>
  </si>
  <si>
    <t>HPXRVTGHNJAIIH-UHFFFAOYAN</t>
  </si>
  <si>
    <t>Oryzias latipes</t>
  </si>
  <si>
    <t xml:space="preserve"> 5/2</t>
  </si>
  <si>
    <t>Borosilicate vials</t>
  </si>
  <si>
    <t>ERM</t>
  </si>
  <si>
    <t>Hamm et al. 2001</t>
  </si>
  <si>
    <t>615-58-7</t>
  </si>
  <si>
    <t>Oc(c(cc(c1)Br)Br)c1</t>
  </si>
  <si>
    <t>FAXWFCTVSHEODL-UHFFFAOYAP  </t>
  </si>
  <si>
    <t>608-33-3</t>
  </si>
  <si>
    <t>Oc(c(ccc1)Br)c1Br</t>
  </si>
  <si>
    <t>SSIZLKDLDKIHEV-UHFFFAOYAG  </t>
  </si>
  <si>
    <t>554-00-7</t>
  </si>
  <si>
    <t>Nc(c(cc(c1)Cl)Cl)c1</t>
  </si>
  <si>
    <t>KQCMTOWTPBNWDB-UHFFFAOYAS  </t>
  </si>
  <si>
    <t>3.4-Dichloroaniline</t>
  </si>
  <si>
    <t>95-76-1</t>
  </si>
  <si>
    <t>Nc(ccc(c1Cl)Cl)c1</t>
  </si>
  <si>
    <t>SDYWXFYBZPNOFX-UHFFFAOYAY</t>
  </si>
  <si>
    <t>Lange et al. 1995</t>
  </si>
  <si>
    <t>N,N-Dimethylamine</t>
  </si>
  <si>
    <t>124-40-3</t>
  </si>
  <si>
    <t>N(C)C</t>
  </si>
  <si>
    <t>ROSDSFDQCJNGOL-UHFFFAOYAM</t>
  </si>
  <si>
    <t>N,N-Dimethylanilin</t>
  </si>
  <si>
    <t>121-69-7</t>
  </si>
  <si>
    <t>N(c(cccc1)c1)(C)C</t>
  </si>
  <si>
    <t>JLTDJTHDQAWBAV-UHFFFAOYAJ</t>
  </si>
  <si>
    <t xml:space="preserve"> 1/0.1</t>
  </si>
  <si>
    <t>Yes (pH 8)</t>
  </si>
  <si>
    <t>Groth et al. 1994</t>
  </si>
  <si>
    <t>C8-10 N, N-dimethyl-N-(2-hydroxyethyl)-N-alkonium chloride</t>
  </si>
  <si>
    <t>80439-32-0</t>
  </si>
  <si>
    <t>No Smiles code available</t>
  </si>
  <si>
    <t xml:space="preserve">Rawlings et al. </t>
  </si>
  <si>
    <t>67-68-5</t>
  </si>
  <si>
    <t>534-52-1</t>
  </si>
  <si>
    <t>N(=O)(=O)c(cc(N(=O)(=O))c(O)c1C)c1</t>
  </si>
  <si>
    <t>NSYCRFVFISJGST-UHFFFAOYAS</t>
  </si>
  <si>
    <t>Phenols +  Polynitrophenols</t>
  </si>
  <si>
    <t>Oxidative dephosphorylation uncoupler</t>
  </si>
  <si>
    <t>Castilho, R.F., Vicente, J.A.F., Kowaltowski, A.J., Vercesi, A.E., 1997. 4, 6-Dinitro-o-cresol uncouples oxidative phosphorylation and induces membrane permeability transition in rat liver mitochondria. The International Journal of Biochemistry &amp; Cell Biology 29, 1005-1011.</t>
  </si>
  <si>
    <t>51-28-5</t>
  </si>
  <si>
    <t>N(=O)(=O)c(ccc(O)c1N(=O)(=O))c1</t>
  </si>
  <si>
    <t>IMUJHWPWYJDWIX-UHFFFAOYAX</t>
  </si>
  <si>
    <t>27176-87-0</t>
  </si>
  <si>
    <t>O=S(=O)(c1ccc(cc1)CCCCCCCCCCCC)O</t>
  </si>
  <si>
    <t>Endrin</t>
  </si>
  <si>
    <t>72-20-8</t>
  </si>
  <si>
    <t>ClC4=C(Cl)C5(Cl)C3C1CC(C2OC12)C3C4(Cl)C5(Cl)Cl</t>
  </si>
  <si>
    <t>DFBKLUNHFCTMDC-GKRDHZSOBD</t>
  </si>
  <si>
    <t>Epoxides, mono +  Vinyl/Allyl Halides</t>
  </si>
  <si>
    <t>Documentation, M.V., 2002. Endrin, The MAK-Collection for Occupational Health and Safety. Wiley-VCH Verlag GmbH &amp; Co. KGaA.</t>
  </si>
  <si>
    <t>Fenvalerate</t>
  </si>
  <si>
    <t>51630-58-1</t>
  </si>
  <si>
    <t>CC(C)C(C(=O)OC(C#N)c2cccc(Oc1ccccc1)c2)c3ccc(Cl)cc3</t>
  </si>
  <si>
    <t>NYPJDWWKZLNGGM-RPWUZVMVBW</t>
  </si>
  <si>
    <t xml:space="preserve">Esters +  Benzyl Nitriles  +  Pyrethroids </t>
  </si>
  <si>
    <t>24h renewal</t>
  </si>
  <si>
    <t>Formamide</t>
  </si>
  <si>
    <t>75-12-7</t>
  </si>
  <si>
    <t>O=CN</t>
  </si>
  <si>
    <t>ZHNUHDYFZUAESO-RZDQGJFACD  </t>
  </si>
  <si>
    <t>High solubility alkyl sulfate</t>
  </si>
  <si>
    <t>343978-24-5</t>
  </si>
  <si>
    <t>Hydroquinone</t>
  </si>
  <si>
    <t>123-31-9</t>
  </si>
  <si>
    <t>Oc(ccc(O)c1)c1</t>
  </si>
  <si>
    <t>QIGBRXMKCJKVMJ-UHFFFAOYAX</t>
  </si>
  <si>
    <t xml:space="preserve">Phenols, Poly  +  Hydroquinones </t>
  </si>
  <si>
    <t>67-56-1</t>
  </si>
  <si>
    <t>OC</t>
  </si>
  <si>
    <t>OKKJLVBELUTLKV-UHFFFAOYAX</t>
  </si>
  <si>
    <t>N-Methylamine</t>
  </si>
  <si>
    <t>74-89-5</t>
  </si>
  <si>
    <t>NC</t>
  </si>
  <si>
    <t>BAVYZALUXZFZLV-UHFFFAOYAN</t>
  </si>
  <si>
    <t>N-Methylaniline</t>
  </si>
  <si>
    <t>100-61-8</t>
  </si>
  <si>
    <t>N(c(cccc1)c1)C</t>
  </si>
  <si>
    <t>AFBPFSWMIHJQDM-UHFFFAOYAQ</t>
  </si>
  <si>
    <t>2-Nitro-4′-hydroxydiphenylamine (HC orange)</t>
  </si>
  <si>
    <t>54381-08-7</t>
  </si>
  <si>
    <t>O=N(=O)c(c(Nc(ccc(O)c1)c1)ccc2)c2</t>
  </si>
  <si>
    <t>VABSAECKJBFKHN-UHFFFAOYAA</t>
  </si>
  <si>
    <t>Methanol (0.1 %)</t>
  </si>
  <si>
    <t>Near zero</t>
  </si>
  <si>
    <t>Liu et al. 2007</t>
  </si>
  <si>
    <t>88-74-4</t>
  </si>
  <si>
    <t>N(=O)(=O)c(c(N)ccc1)c1</t>
  </si>
  <si>
    <t>JEPCNGULFBGNNO-UHFFFAOYAZ</t>
  </si>
  <si>
    <t>91-23-6</t>
  </si>
  <si>
    <t>O=N(=O)c(c(OC)ccc1)c1</t>
  </si>
  <si>
    <t>WQJBSVYEBUTBNV-UHFFFAOYAL</t>
  </si>
  <si>
    <t>62-23-7</t>
  </si>
  <si>
    <t>O=C(O)c(ccc(N(=O)(=O))c1)c1</t>
  </si>
  <si>
    <t>JNNZYHVKFSRAPW-BGGKNDAXCU  </t>
  </si>
  <si>
    <t>4-Nitrophenol</t>
  </si>
  <si>
    <t>100-02-7</t>
  </si>
  <si>
    <t>N(=O)(=O)c(ccc(O)c1)c1</t>
  </si>
  <si>
    <t>PTWUMOKAKAEFPG-UHFFFAOYAT</t>
  </si>
  <si>
    <t>Brecken-Folse, J.A., Mayer, F.L., Pedigo, L.E., Marking, L.L., 1994. ACUTE TOXICITY OF 4-NITROPHENOL, 2,4-DINITROPHENOL, TERBUFOS AND TRICHLORFON TO GRASS SHRIMP (PALAEMONETES spp.) AND SHEEPSHEAD MINNOWS (CYPRINODON VARIEGATUS) AS AFFECTED BY SALINITY AND TEMPERATURE. Environ. Toxicol. Chem. 13, 67-77.</t>
  </si>
  <si>
    <t>Pentachlorophenol</t>
  </si>
  <si>
    <t>87-86-5</t>
  </si>
  <si>
    <t>Oc(c(c(c(c1Cl)Cl)Cl)Cl)c1Cl</t>
  </si>
  <si>
    <t>IZUPBVBPLAPZRR-UHFFFAOYAG</t>
  </si>
  <si>
    <t>80-46-6</t>
  </si>
  <si>
    <t>Oc(ccc(c1)C(CC)(C)C)c1</t>
  </si>
  <si>
    <t>NRZWYNLTFLDQQX-UHFFFAOYAF  </t>
  </si>
  <si>
    <t>Gimeno, S., Jobling, S., Sumpter, J., Bowmer, T., 1998. Demasculinisation of sexually mature males common carp, Cyprinus carpio, exposed to 4-tert-pentylphenol during spermatogenesis. Aquat. Toxicol. 43, 93-109.</t>
  </si>
  <si>
    <t>24well plates</t>
  </si>
  <si>
    <t>DMSO 1 %</t>
  </si>
  <si>
    <t>Baumann 2008</t>
  </si>
  <si>
    <t>108-95-2</t>
  </si>
  <si>
    <t>106-51-4</t>
  </si>
  <si>
    <t>C1(=O)C=CC(=O)C=C1</t>
  </si>
  <si>
    <t>AZQWKYJCGOJGHM-UHFFFAOYAR</t>
  </si>
  <si>
    <t>Quinones</t>
  </si>
  <si>
    <t>Sodium chloride</t>
  </si>
  <si>
    <t>7647-14-5</t>
  </si>
  <si>
    <t>Cl</t>
  </si>
  <si>
    <t>KDKFVHBXNUADIP-UHFFFAOYAA</t>
  </si>
  <si>
    <t>Tetrachloroethylene</t>
  </si>
  <si>
    <t>127-18-4</t>
  </si>
  <si>
    <t>C(=C(Cl)Cl)(Cl)Cl</t>
  </si>
  <si>
    <t>CYTYCFOTNPOANT-UHFFFAOYAO</t>
  </si>
  <si>
    <t>16:08</t>
  </si>
  <si>
    <t xml:space="preserve"> 20/50</t>
  </si>
  <si>
    <t>Closed glass vials</t>
  </si>
  <si>
    <t>10g/L NaCl, 0.3g/L KCl, 0.4g/L CaCl2, and 1.63g/L MgSO4</t>
  </si>
  <si>
    <t>Spencer et al. 2002</t>
  </si>
  <si>
    <t>118-79-6</t>
  </si>
  <si>
    <t>Oc(c(cc(c1)Br)Br)c1Br</t>
  </si>
  <si>
    <t>BSWWXRFVMJHFBN-UHFFFAOYAF  </t>
  </si>
  <si>
    <t>Triclocarban</t>
  </si>
  <si>
    <t>101-20-2</t>
  </si>
  <si>
    <t>O=C(Nc(ccc(c1)Cl)c1)Nc(ccc(c2Cl)Cl)c2</t>
  </si>
  <si>
    <t>ICUTUKXCWQYESQ-JLGFQASFCL</t>
  </si>
  <si>
    <t>[2, 30]</t>
  </si>
  <si>
    <t>24938-91-8</t>
  </si>
  <si>
    <t>CCCCCCCCCCCCCOCCOCCOCCOCCOCCO</t>
  </si>
  <si>
    <t>Triethylene glycol</t>
  </si>
  <si>
    <t>112-27-6</t>
  </si>
  <si>
    <t>O(CCOCCO)CCO</t>
  </si>
  <si>
    <t>ZIBGPFATKBEMQZ-UHFFFAOYAS  </t>
  </si>
  <si>
    <t>Zinc (Zinc sulfate heptahydrate)</t>
  </si>
  <si>
    <t>7446-20-0</t>
  </si>
  <si>
    <t>[Zn]OS(=O)(=O)O</t>
  </si>
  <si>
    <t>Tap water (Hardness 200 mg/L as CaCO3)</t>
  </si>
  <si>
    <t>Nguyen and Janssen 2001</t>
  </si>
  <si>
    <t>2,2,2-Trichloroethanol</t>
  </si>
  <si>
    <t>115-20-8</t>
  </si>
  <si>
    <t>OCC(Cl)(Cl)Cl</t>
  </si>
  <si>
    <t>KPWDGTGXUYRARH-UHFFFAOYAW</t>
  </si>
  <si>
    <t xml:space="preserve">Halo Alcohols </t>
  </si>
  <si>
    <t>Static/sealed/renewal at 48hpf</t>
  </si>
  <si>
    <t>GC-ECD</t>
  </si>
  <si>
    <t>Knöbel et al. 2012</t>
  </si>
  <si>
    <t>Diethyl phthalate</t>
  </si>
  <si>
    <t>84-66-2</t>
  </si>
  <si>
    <t>O=C(OCC)c(c(ccc1)C(=O)OCC)c1</t>
  </si>
  <si>
    <t>FLKPEMZONWLCSK-UHFFFAOYAV</t>
  </si>
  <si>
    <t>Naphthalene</t>
  </si>
  <si>
    <t>91-20-3</t>
  </si>
  <si>
    <t>c(c(ccc1)ccc2)(c1)c2</t>
  </si>
  <si>
    <t>UFWIBTONFRDIAS-UHFFFAOYAC</t>
  </si>
  <si>
    <t>0.01% DMSO</t>
  </si>
  <si>
    <t>GC-FID</t>
  </si>
  <si>
    <t>1,2-Dichlorobenzene</t>
  </si>
  <si>
    <t>95-50-1</t>
  </si>
  <si>
    <t>c(c(ccc1)Cl)(c1)Cl</t>
  </si>
  <si>
    <t>RFFLAFLAYFXFSW-UHFFFAOYAE</t>
  </si>
  <si>
    <t>Dichloromethane</t>
  </si>
  <si>
    <t>75-09-2</t>
  </si>
  <si>
    <t>ClCCl</t>
  </si>
  <si>
    <t>YMWUJEATGCHHMB-UHFFFAOYAG</t>
  </si>
  <si>
    <t>1,2,4-Trichlorobenzene</t>
  </si>
  <si>
    <t>120-82-1</t>
  </si>
  <si>
    <t>c(ccc(c1Cl)Cl)(c1)Cl</t>
  </si>
  <si>
    <t>PBKONEOXTCPAFI-UHFFFAOYAE</t>
  </si>
  <si>
    <t xml:space="preserve"> 3/6</t>
  </si>
  <si>
    <t>2,4,6-Trichlorophenol</t>
  </si>
  <si>
    <t>88-06-2</t>
  </si>
  <si>
    <t>Oc(c(cc(c1)Cl)Cl)c1Cl</t>
  </si>
  <si>
    <t>LINPIYWFGCPVIE-UHFFFAOYAP</t>
  </si>
  <si>
    <t>Allyl alcohol</t>
  </si>
  <si>
    <t>107-18-6</t>
  </si>
  <si>
    <t>OCC=C</t>
  </si>
  <si>
    <t>XXROGKLTLUQVRX-UHFFFAOYAC</t>
  </si>
  <si>
    <t>HPLC-UV</t>
  </si>
  <si>
    <t>Acetaldehyde / Ethanal</t>
  </si>
  <si>
    <t>75-07-0</t>
  </si>
  <si>
    <t>O=CC</t>
  </si>
  <si>
    <t>IKHGUXGNUITLKF-UHFFFAOYAB</t>
  </si>
  <si>
    <t>58-27-5</t>
  </si>
  <si>
    <t>c1cc2C(=O)C=C(C)C(=O)c2cc1</t>
  </si>
  <si>
    <t>MJVAVZPDRWSRRC-UHFFFAOYAY  </t>
  </si>
  <si>
    <t>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t>
  </si>
  <si>
    <t>2,3-Dimethyl-1,3-butadiene</t>
  </si>
  <si>
    <t>513-81-5</t>
  </si>
  <si>
    <t>C(C(=C)C)(=C)C</t>
  </si>
  <si>
    <t>SDJHPPZKZZWAKF-UHFFFAOYAQ</t>
  </si>
  <si>
    <t>97-23-4</t>
  </si>
  <si>
    <t>Oc(c(cc(c1)Cl)Cc(c(O)ccc2Cl)c2)c1</t>
  </si>
  <si>
    <t>MDNWOSOZYLHTCG-UHFFFAOYAJ</t>
  </si>
  <si>
    <t>4-Fluoroaniline</t>
  </si>
  <si>
    <t>371-40-4</t>
  </si>
  <si>
    <t>Fc(ccc(N)c1)c1</t>
  </si>
  <si>
    <t>KRZCOLNOCZKSDF-UHFFFAOYAY</t>
  </si>
  <si>
    <t>70-30-4</t>
  </si>
  <si>
    <t>Oc(c(c(c(c1)Cl)Cl)Cc(c(c(cc2Cl)Cl)Cl)c2O)c1Cl</t>
  </si>
  <si>
    <t>ACGUYXCXAPNIKK-UHFFFAOYAL  </t>
  </si>
  <si>
    <t>LC/MS/MS</t>
  </si>
  <si>
    <t>Malathion is a nonsystemic, wide-spectrum organophosphate insecticide. It inhibits acetylcholinesterase activity of most eukaryotes. Malathion is toxic to aquatic organisms, but has a relatively low toxicity for birds and mammals. The major metabolites of malathion are mono- and di-carboxylic acid derivatives, and malaoxon is a minor metabolite. However, it is malaoxon that is the strongest cholinesterase inhibitor. Cholinesterases catalyze the hydrolysis of the neurotransmitter acetylcholine into choline and acetic acid, a reaction necessary to allow a cholinergic neuron to return to its resting state after activation. Because of its essential function, chemicals that interfere with the action of cholinesterase are potent neurotoxins, causing muscle spasms and ultimately death.</t>
  </si>
  <si>
    <t>Disulfoton</t>
  </si>
  <si>
    <t>298-04-4</t>
  </si>
  <si>
    <t>CCOP(=S)(OCC)SCCSCC</t>
  </si>
  <si>
    <t>DOFZAZXDOSGAJZ-UHFFFAOYAD</t>
  </si>
  <si>
    <t>Esters, Dithiophosphates</t>
  </si>
  <si>
    <t>Short-term effects of organophos- Mayer, F. L., and Ellersieck, M. R. (1986). Manual of Acute Toxicity:</t>
  </si>
  <si>
    <t>Rotenone</t>
  </si>
  <si>
    <t>83-79-4</t>
  </si>
  <si>
    <t>COc5cc4OCC3Oc2c1CC(Oc1ccc2C(=O)C3c4cc5OC)C(C)=C</t>
  </si>
  <si>
    <t>JUVIOZPCNVVQFO-CZAAIQMYBF  </t>
  </si>
  <si>
    <t>Vinyl/Allyl Ethers</t>
  </si>
  <si>
    <t>Hexamethylene-tetramine</t>
  </si>
  <si>
    <t>100-97-0</t>
  </si>
  <si>
    <t>N(CN(CN1CN23)C3)(C1)C2</t>
  </si>
  <si>
    <t>VKYKSIONXSXAKP-UHFFFAOYAW</t>
  </si>
  <si>
    <t xml:space="preserve">Aliphatic Amines +  Triazines, Aliphatic </t>
  </si>
  <si>
    <t>Like other surfactants, SLS is amphiphilic. It thus migrates to the surface of liquids, where its alignment and aggregation with other SLS molecules lowers the surface tension. This allows for easier spreading and mixing of the liquid. SLS has potent protein denaturing activity and inhibits the infectivity of viruses by by solubilizing the viral envelope and/or by denaturing envelope and/or capsid proteins.</t>
  </si>
  <si>
    <t xml:space="preserve"> 10/100</t>
  </si>
  <si>
    <t>Crystallisation dish</t>
  </si>
  <si>
    <t>ISO15088 diluted 5x</t>
  </si>
  <si>
    <t>Exposure in crystallisation dishes</t>
  </si>
  <si>
    <t>Weil et al. 2009</t>
  </si>
  <si>
    <t>626-43-7</t>
  </si>
  <si>
    <t>Nc(cc(cc1Cl)Cl)c1</t>
  </si>
  <si>
    <t>UQRLKWGPEVNVHT-UHFFFAOYAN  </t>
  </si>
  <si>
    <t>15/20</t>
  </si>
  <si>
    <t>2,4-Dinitrophenol</t>
  </si>
  <si>
    <t>Chlorotoluron</t>
  </si>
  <si>
    <t>15545-48-9</t>
  </si>
  <si>
    <t>CN(C)C(=O)Nc1ccc(C)c(Cl)c1</t>
  </si>
  <si>
    <t>JXCGFZXSOMJFOA-XWKXFZRBCW</t>
  </si>
  <si>
    <t>Genistein</t>
  </si>
  <si>
    <t>446-72-0</t>
  </si>
  <si>
    <t>Oc1cc(O)c2C(=O)C(c3ccc(O)cc3)=COc2c1</t>
  </si>
  <si>
    <t>TZBJGXHYKVUXJN-UHFFFAOYAH  </t>
  </si>
  <si>
    <t xml:space="preserve">Vinyl/Allyl Ketones +  Vinyl/Allyl Ethers +  Phenols, Poly </t>
  </si>
  <si>
    <t>Tyrosine kinase inhibition, topoisomarase inhibition, estrogenic</t>
  </si>
  <si>
    <t>Akiyama, T., Ishida, J., Nakagawa, S., Ogawara, H., Watanabe, S., Itoh, N., Shibuya, M., Fukami, Y., 1987. Genistein, a specific inhibitor of tyrosine-specific protein kinases. J. Biol. Chem. 262, 5592-5595.
Bingham, S.A., Atkinson, C., Liggins, J., Bluck, L., Coward, A., 1998. Phyto-oestrogens: where are we now? Br. J. Nutr. 79, 393-406.
Ye, R., Bodero, A., Zhou, B.-B., Khanna, K.K., Lavin, M.F., Lees-Miller, S.P., 2001. The Plant Isoflavenoid Genistein Activates p53 and Chk2 in an ATM-dependent Manner. J. Biol. Chem. 276, 4828-4833.</t>
  </si>
  <si>
    <t>56-57-5</t>
  </si>
  <si>
    <t>O=N(=O)c1ccn(=O)c2ccccc12</t>
  </si>
  <si>
    <t>JKLZVYFFGQBYNJ-UHFFFAOYAI  </t>
  </si>
  <si>
    <t xml:space="preserve">Genotoxic (guanine and adenine DNA adducts) </t>
  </si>
  <si>
    <t>Diekmann, M., Hultsch, V., Nagel, R., 2004. On the relevance of genotoxicity for fish populations I: effects of a model genotoxicant on zebrafish (Danio rerio) in a complete life-cycle test. Aquat Toxicol 68, 13-26.</t>
  </si>
  <si>
    <t>XZPOBCBNKOYCMR-UHFFFAOYAM  </t>
  </si>
  <si>
    <t xml:space="preserve"> 25/10</t>
  </si>
  <si>
    <t>Scholz et al 2007</t>
  </si>
  <si>
    <t>634-93-5</t>
  </si>
  <si>
    <t>Nc(c(cc(c1)Cl)Cl)c1Cl</t>
  </si>
  <si>
    <t>NATVSFWWYVJTAZ-UHFFFAOYAL  </t>
  </si>
  <si>
    <t>Cadmium chloride</t>
  </si>
  <si>
    <t>Copper sulfate</t>
  </si>
  <si>
    <t>7758-98-7</t>
  </si>
  <si>
    <t xml:space="preserve"> 10/10</t>
  </si>
  <si>
    <t xml:space="preserve">UFZ, unpublished </t>
  </si>
  <si>
    <t>The exact mechanism of action of ibuprofen is unknown. Ibuprofen is a non-selective inhibitor of cyclooxygenase, an enzyme invovled in prostaglandin synthesis via the arachidonic acid pathway. Its pharmacological effects are believed to be due to inhibition cylooxygenase-2 (COX-2) which decreases the synthesis of  prostaglandins involved in mediating inflammation, pain, fever and swelling. Antipyretic effects may be due to action on the hypothalamus, resulting in an increased peripheral blood flow, vasodilation, and subsequent heat dissipation. Inhibition of COX-1 is thought to cause some of the side effects of ibuprofen including GI ulceration. Ibuprofen is administered as a racemic mixture. The R-enantiomer undergoes extensive interconversion to the S-enantiomer  &lt;i&gt;in vivo&lt;/i&gt;. The S-enantiomer is believed to be the more pharmacologically active enantiomer.</t>
  </si>
  <si>
    <t>Carbamazepine</t>
  </si>
  <si>
    <t>298-46-4</t>
  </si>
  <si>
    <t>NC(=O)N2c1ccccc1C=Cc3ccccc23</t>
  </si>
  <si>
    <t>FFGPTBGBLSHEPO-ZHLVXTBQCX  </t>
  </si>
  <si>
    <t>Carbamazepine inhibits sustained repetitive firing by blocking use-dependent sodium channels. Pain relief is believed to be associated with blockade of synaptic transmission in the trigeminal nucleus and seizure control with reduction of post-tetanic potentiation of synaptic transmission in the spinal cord. Carbamazepine also possesses anticholinergic, central antidiuretic, antiarrhythmic, muscle relaxant, antidepressant (possibly through blockade of norepinephrine release), sedative, and neuromuscular-blocking properties.</t>
  </si>
  <si>
    <t>Fluoxetin</t>
  </si>
  <si>
    <t>56296-78-7</t>
  </si>
  <si>
    <t>FC(F)(F)c1ccc(OC(c2ccccc2)CCNC)cc1</t>
  </si>
  <si>
    <t>RTHCYVBBDHJXIQ-MRXNPFEDBG  </t>
  </si>
  <si>
    <t>Zimelidine</t>
  </si>
  <si>
    <t>56775-88-3</t>
  </si>
  <si>
    <t>CN(C)CC=C(c1ccc(Br)cc1)c2cccnc2</t>
  </si>
  <si>
    <t>ROWIKVIWEBGFSY-LZNIQIDYDG  </t>
  </si>
  <si>
    <t>Paroxetin</t>
  </si>
  <si>
    <t>61869-08-7</t>
  </si>
  <si>
    <t>Fc4ccc(cc4)C1C(OCc2cc3c(cc2)OCO3)CNCC1</t>
  </si>
  <si>
    <t>AHOUBRCZNHFOSL-YOEHRIQHBL  </t>
  </si>
  <si>
    <t xml:space="preserve">Aliphatic Amines +  Benzodioxoles </t>
  </si>
  <si>
    <t>Paroxetine is a potent and highly selective inhibitor of neuronal serotonin reuptake. Paroxetine likely inhibits the reuptake of serotonin at the neuronal membrane, enhances serotonergic neurotransmission by reducing turnover of the neurotransmitter, therefore it prolongs its activity at synaptic receptor sites and potentiates 5-HT in the CNS; paroxetine is more potent than both sertraline and fluoxetine in its ability to inhibit 5-HT reuptake. Compared to the tricyclic antidepressants, SSRIs have dramatically decreased binding to histamine, acetylcholine, and norepinephrine receptors.</t>
  </si>
  <si>
    <t>Sertralin</t>
  </si>
  <si>
    <t>79559-97-0</t>
  </si>
  <si>
    <t>Clc3c(ccc(c3)C1(c2c(cccc2)C(CC1)(N(Cl)(H)(H)C)))Cl</t>
  </si>
  <si>
    <t>BLFQGGGGFNSJKA-LWHGMNCYBJ</t>
  </si>
  <si>
    <t>Tamiflu</t>
  </si>
  <si>
    <t>196618-13-0</t>
  </si>
  <si>
    <t>O(C(CC)CC)C1C(C(N)CC(=C1)C(OCC)=O)NC(C)=O</t>
  </si>
  <si>
    <t>KQJSQWZMSAGSHN-VBAZPSTBDQ  </t>
  </si>
  <si>
    <t xml:space="preserve">Aliphatic Amines +  Esters +  Vinyl/Allyl Ethers +  Amides </t>
  </si>
  <si>
    <t>2530-26-9</t>
  </si>
  <si>
    <t>n1cc(N(=O)(=O))ccc1</t>
  </si>
  <si>
    <t>BVTBIJUDCQISTD-UHFFFAOYAX  </t>
  </si>
  <si>
    <t>2-Chlor-5-Nitropyridin</t>
  </si>
  <si>
    <t>4548-45-2</t>
  </si>
  <si>
    <t>n1c(Cl)ccc(N(=O)=O)c1</t>
  </si>
  <si>
    <t>PFPXIKCLRHVQAE-UHFFFAOYAR  </t>
  </si>
  <si>
    <t xml:space="preserve">Halopyrdines </t>
  </si>
  <si>
    <t>2-Amino-5-Nitropyridin</t>
  </si>
  <si>
    <t>4214-76-0</t>
  </si>
  <si>
    <t>O=N(=O)c(ccc(n1)N)c1</t>
  </si>
  <si>
    <t>PBDZRTDJLBEQSH-MDVJYLRGCP  </t>
  </si>
  <si>
    <t>1124-33-0</t>
  </si>
  <si>
    <t>O=N(=O)c(ccn(=O)c1)c1</t>
  </si>
  <si>
    <t>XBAQHDLMXLAFKG-UHFFFAOYAJ</t>
  </si>
  <si>
    <t>2-Chlor-4-Nitropyridin-N-oxid</t>
  </si>
  <si>
    <t>14432-16-7</t>
  </si>
  <si>
    <t>n1(=O)c(Cl)cc(N(=O)=O)cc1</t>
  </si>
  <si>
    <t>LUVXHMJTVXZFPD-YXSUSBOTDD  </t>
  </si>
  <si>
    <t>2-Amino-4-Methyl-3-Nitropyridin</t>
  </si>
  <si>
    <t>6635-86-5</t>
  </si>
  <si>
    <t>CC1=C(C(=NC=C1)N)[N+](=O)[O-]</t>
  </si>
  <si>
    <t>JGWRYOXVHUMHMJ-IAUQMDSZCY</t>
  </si>
  <si>
    <t>Measured</t>
  </si>
  <si>
    <t>2,3,6-Trimethylphenol</t>
  </si>
  <si>
    <t>2416-94-6</t>
  </si>
  <si>
    <t>Oc(c(ccc1C)C)c1C</t>
  </si>
  <si>
    <t>QQOMQLYQAXGHSU-UHFFFAOYAC  </t>
  </si>
  <si>
    <t>Manganese chlorid (MnCl2)</t>
  </si>
  <si>
    <t xml:space="preserve"> 7773-01-5</t>
  </si>
  <si>
    <t>[Mn](Cl)Cl</t>
  </si>
  <si>
    <t>6-Methyl-5-hepten-one</t>
  </si>
  <si>
    <t>110-93-0</t>
  </si>
  <si>
    <t>O=C(CCC=C(C)C)C</t>
  </si>
  <si>
    <t>UHEPJGULSIKKTP-UHFFFAOYAX  </t>
  </si>
  <si>
    <t>105-76-0</t>
  </si>
  <si>
    <t>O=C(OCCCC)C=CC(=O)OCCCC</t>
  </si>
  <si>
    <t>SFZIWDDWHPYDIR-UHFFFAOYAL</t>
  </si>
  <si>
    <t>106-93-4</t>
  </si>
  <si>
    <t>BrCCBr</t>
  </si>
  <si>
    <t>PAAZPARNPHGIKF-UHFFFAOYAZ</t>
  </si>
  <si>
    <t>Klüver and Scholz, 2012</t>
  </si>
  <si>
    <t>2,4-Dimethylphenol</t>
  </si>
  <si>
    <t xml:space="preserve">105-67-9 </t>
  </si>
  <si>
    <t>Oc(c(cc(c1)C)C)c1</t>
  </si>
  <si>
    <t>KUFFULVDNCHOFZ-UHFFFAOYAC</t>
  </si>
  <si>
    <t>Propoxur</t>
  </si>
  <si>
    <t>114-26-1</t>
  </si>
  <si>
    <t>CNC(=O)Oc1ccccc1OC(C)C</t>
  </si>
  <si>
    <t>ISRUGXGCCGIOQO-XWKXFZRBCZ</t>
  </si>
  <si>
    <t>Ruppert, P.H., Cook, L.L., Dean, K.F., Reiter, L.W., 1983. Acute behavioral toxicity of carbaryl and propoxur in adults rats. Pharmacol. Biochem. Behav. 18, 579-584.</t>
  </si>
  <si>
    <t>Microcystin-LR</t>
  </si>
  <si>
    <t>101043-37-2</t>
  </si>
  <si>
    <t>C[C@H]1[C@@H](NC(=O)[C@@H](NC(=O)[C@H]([C@@H](NC(=O)[C@@H](NC(=O)[C@H](NC(=O)C(=C)N(C(=O)CC[C@@H](NC1=O)C(=O)O)C)C)CC(C)C)C(=O)O)C)CCCNC(=N)N)/C=C/C(=C/[C@H](C)[C@H](Cc2ccccc2)OC)/C</t>
  </si>
  <si>
    <t>HXTGXYRHXAGCFP-OAQYLSRUBD  </t>
  </si>
  <si>
    <t xml:space="preserve">Aliphatic Amines +  Acrylamides +  Amides </t>
  </si>
  <si>
    <t>[6][2]</t>
  </si>
  <si>
    <t xml:space="preserve"> 10/1</t>
  </si>
  <si>
    <t>Song et al. 2011</t>
  </si>
  <si>
    <t>8-epidiosbulbin 1</t>
  </si>
  <si>
    <t>Not available</t>
  </si>
  <si>
    <t>10:14</t>
  </si>
  <si>
    <t>12well plate</t>
  </si>
  <si>
    <t>Yamamoto embryo rearing medium</t>
  </si>
  <si>
    <t>Rakotobe et al. 2010</t>
  </si>
  <si>
    <t>53-96-3</t>
  </si>
  <si>
    <t>O=C(Nc(ccc(c1Cc2cccc3)c23)c1)C</t>
  </si>
  <si>
    <t>CZIHNRWJTSTCEX-WYUMXYHSCF  </t>
  </si>
  <si>
    <t>Tris-buffer</t>
  </si>
  <si>
    <t>DMSO 0.5 %</t>
  </si>
  <si>
    <t>Weigt et al. 2011</t>
  </si>
  <si>
    <t>50-32-8</t>
  </si>
  <si>
    <t>c(c(c(cc1)ccc2)c2cc3)(c3cc(c4ccc5)c5)c14</t>
  </si>
  <si>
    <t>FMMWHPNWAFZXNH-UHFFFAOYAQ</t>
  </si>
  <si>
    <t>1162-65-8</t>
  </si>
  <si>
    <t>C12C=COC1Oc3cc(OC)c(C(C5)=C(C(=O)C5)C(=O)O4)c4c23</t>
  </si>
  <si>
    <t>OQIQSTLJSLGHID-WNWIJWBNBK  </t>
  </si>
  <si>
    <t>Esters +  Vinyl/Allyl Ketones +  Vinyl/Allyl Ethers</t>
  </si>
  <si>
    <t>127-48-0</t>
  </si>
  <si>
    <t>O=C1N(C)C(=O)OC1(C)C</t>
  </si>
  <si>
    <t>IRYJRGCIQBGHIV-UHFFFAOYAZ  </t>
  </si>
  <si>
    <t>Dione anticonvulsants reduce T-type calcium currents in thalamic neurons, including thalamic relay neurons. It does so via the inhibition of voltage dependent T-type calcium channels. This raises the threshold for repetitive activity in the thalamus, and inhibits corticothalamic transmission. Thus, the abnormal thalamocortical rhythmicity, which is thought to underlie the 3-Hz spike-and-wave discharge seen on electroencephalogram(EEG) with absence seizures, is dampened.</t>
  </si>
  <si>
    <t>6055-19-2</t>
  </si>
  <si>
    <t>FCBQJNCAKZSIAH-AMNNPQQEDB  </t>
  </si>
  <si>
    <t>Tegafur</t>
  </si>
  <si>
    <t>17902-23-7</t>
  </si>
  <si>
    <t>O=C(N(C=C(F)C1=O)C(OCC2)C2)N1</t>
  </si>
  <si>
    <t>WFWLQNSHRPWKFK-FQEUWBHXDX</t>
  </si>
  <si>
    <t xml:space="preserve">Carbonyl Ureas </t>
  </si>
  <si>
    <t>52-24-4</t>
  </si>
  <si>
    <t>S=P(N1CC1)(N2CC2)N3CC3</t>
  </si>
  <si>
    <t>FOCVUCIESVLUNU-UHFFFAOYAI  </t>
  </si>
  <si>
    <t>Aziridines</t>
  </si>
  <si>
    <t>The alkyl group is attached to the guanine base of DNA, at the number 7 nitrogen atom of the imidazole ring. They stop tumor growth by crosslinking guanine nucleobases in DNA double-helix strands, directly attacking DNA. This makes the strands unable to uncoil and separate. As this is necessary in DNA replication, the cells can no longer divide. These drugs act nonspecifically.</t>
  </si>
  <si>
    <t>Static/sealed?</t>
  </si>
  <si>
    <t>&lt; 10</t>
  </si>
  <si>
    <t>Lammer et al. 2009</t>
  </si>
  <si>
    <t>Original in Chinese</t>
  </si>
  <si>
    <t>Ye et al. 2009</t>
  </si>
  <si>
    <t>335-67-1</t>
  </si>
  <si>
    <t>O=C(O)C(F)(F)C(F)(F)C(F)(F)C(F)(F)C(F)(F)C(F)(F)C(F)(F)F</t>
  </si>
  <si>
    <t>SNGREZUHAYWORS-LQFNOIFHCP</t>
  </si>
  <si>
    <t>Trichlorfon</t>
  </si>
  <si>
    <t>52-68-6</t>
  </si>
  <si>
    <t>COP(=O)(OC)C(O)C(Cl)(Cl)Cl</t>
  </si>
  <si>
    <t>NFACJZMKEDPNKN-GSVOUGTGBO</t>
  </si>
  <si>
    <t xml:space="preserve">Esters +  Esters (phosphate) +  Halo Alcohols </t>
  </si>
  <si>
    <t xml:space="preserve"> 1/well</t>
  </si>
  <si>
    <t>48?</t>
  </si>
  <si>
    <t>Dissolved sea salt (750 µS conductivity)</t>
  </si>
  <si>
    <t>≤ 20 (mean)</t>
  </si>
  <si>
    <t>Coelho et al. 2011</t>
  </si>
  <si>
    <t>Diclofenac (sodium salt)</t>
  </si>
  <si>
    <t>Dutch standard water</t>
  </si>
  <si>
    <t>&gt;6.6 mg/L</t>
  </si>
  <si>
    <t>LC-MS</t>
  </si>
  <si>
    <t>van den Brandhof et al 2010</t>
  </si>
  <si>
    <t>2-Bromo-353-Nonylphenol</t>
  </si>
  <si>
    <t>[Br]c1c(c(c(c(c1O[H])[H])[H])C(C(C([H])(C(C([H])([H])[H])([H])[H])C([H])([H])[H])([H])[H])(C([H])([H])[H])C(C([H])([H])[H])([H])[H])[H]</t>
  </si>
  <si>
    <t>CDOCCKVCAQQTKY-ABAIWWIYBW  </t>
  </si>
  <si>
    <t>2-nitro-353-Nonylphenol</t>
  </si>
  <si>
    <t>[N+](=O)([O-])c1c(c(c(c(c1O[H])[H])[H])C(C(C([H])(C(C([H])([H])[H])([H])[H])C([H])([H])[H])([H])[H])(C([H])([H])[H])C(C([H])([H])[H])([H])[H])[H]</t>
  </si>
  <si>
    <t>FVXFYUKWKUWAOE-ABAIWWIYBP  </t>
  </si>
  <si>
    <t>353-Nonylphenol</t>
  </si>
  <si>
    <t>186825-36-5</t>
  </si>
  <si>
    <t>C(C(C(C(c1c(c2c(o1)c(c(c(c2[H])[H])[H])[H])C(=O)c1c(c(c(c(c1[H])I)OC(C(N(C(C([H])([H])[H])([H])[H])C(C([H])([H])[H])([H])[H])([H])[H])([H])[H])I)[H])([H])[H])([H])[H])([H])[H])([H])([H])[H]</t>
  </si>
  <si>
    <t>ITPDYQOUSLNIHG-UHFFFAOYAF  </t>
  </si>
  <si>
    <t>technical Nonylphenol</t>
  </si>
  <si>
    <t>84852-15-3</t>
  </si>
  <si>
    <t>Oc1ccc(cc1)C(C)CC(C)CC(C)C</t>
  </si>
  <si>
    <t>Soto, A., Justicia, H., Wray, J.W., Sonnenschein, C., 1991. p-Nonylphenol: An estrogenic xenobiotic released from "modified" polysterene. Environ. Health Perspect. 92, 167-173.</t>
  </si>
  <si>
    <t>Deltamethrin</t>
  </si>
  <si>
    <t>52918-63-5</t>
  </si>
  <si>
    <t>CC1(C)C(C=C(Br)Br)C1C(=O)OC(C#N)c3cccc(Oc2ccccc2)c3</t>
  </si>
  <si>
    <t>OWZREIFADZCYQD-QWFCFKBJBS</t>
  </si>
  <si>
    <t xml:space="preserve">Esters +  Vinyl/Allyl Halides +  Benzyl Nitriles  +  Pyrethroids </t>
  </si>
  <si>
    <t>Glass vials</t>
  </si>
  <si>
    <t>Tank water</t>
  </si>
  <si>
    <t>N,N-dimethylformamide 0.01 %</t>
  </si>
  <si>
    <t>≤ 20</t>
  </si>
  <si>
    <t>DeMicco et al. 2010</t>
  </si>
  <si>
    <t>Cypermethrin</t>
  </si>
  <si>
    <t>52315-07-8</t>
  </si>
  <si>
    <t>ClC(Cl)=CC1C(C)(C)C1C(=O)OC(C#N)c2cccc(Oc3ccccc3)c2</t>
  </si>
  <si>
    <t>KAATUXNTWXVJKI-NSHGMRRFBM</t>
  </si>
  <si>
    <t>Modelled LC50 is above the solubility</t>
  </si>
  <si>
    <t>λ-Cyhalothrin</t>
  </si>
  <si>
    <t>68085-85-8</t>
  </si>
  <si>
    <t>FC(F)(F)C(Cl)=CC1C(C)(C)C1C(=O)OC(C#N)c2cc(Oc3ccccc3)ccc2</t>
  </si>
  <si>
    <t>ZXQYGBMAQZUVMI-GCMPRSNUBO</t>
  </si>
  <si>
    <t>Bifenthrin</t>
  </si>
  <si>
    <t>82657-04-3</t>
  </si>
  <si>
    <t>c1ccccc1c2c(C)c(COC(=O)C3C(C)(C)C3C=C(Cl)C(F)(F)F)ccc2</t>
  </si>
  <si>
    <t>OMFRMAHOUUJSGP-IRHGGOMRBK</t>
  </si>
  <si>
    <t>62-73-7</t>
  </si>
  <si>
    <t>O=P(OC)(OC)OC=C(Cl)Cl</t>
  </si>
  <si>
    <t>OEBRKCOSUFCWJD-UHFFFAOYAU</t>
  </si>
  <si>
    <t>Esters +  Esters (phosphate) +  Vinyl/Allyl Halides</t>
  </si>
  <si>
    <t>10/dish</t>
  </si>
  <si>
    <t>Reconstituted water (OECD 1992)</t>
  </si>
  <si>
    <t>Acetone (concentrations depending on dilutions of stock?)</t>
  </si>
  <si>
    <t>Sisman 2010</t>
  </si>
  <si>
    <t>Celastrol</t>
  </si>
  <si>
    <t>34157-83-0</t>
  </si>
  <si>
    <t>CC1=C(C(=O)C=C2C1=CC=C3[C@]2(CC[C@@]4([C@@]3(CC[C@@]5([C@H]4C[C@](CC5)(C)C(=O)O)C)C)C)C)O</t>
  </si>
  <si>
    <t>JMBYBVLCYODBJQ-HFMPRLQTBO  </t>
  </si>
  <si>
    <t>Vinyl/Allyl Ketones +  Vinyl/Allyl Alcohols</t>
  </si>
  <si>
    <t xml:space="preserve"> 1/0.3</t>
  </si>
  <si>
    <t>DMSO 0.1 %</t>
  </si>
  <si>
    <t>Wang et al. 2011</t>
  </si>
  <si>
    <t>OECD TG 203</t>
  </si>
  <si>
    <t>&gt;80%</t>
  </si>
  <si>
    <t xml:space="preserve"> 6.8-8</t>
  </si>
  <si>
    <t>DMSO (sublethal, concentration used not indicated)</t>
  </si>
  <si>
    <t>24 hpf and 72 hpf LC50 are also available</t>
  </si>
  <si>
    <t>Selderslaghs et al. 2009</t>
  </si>
  <si>
    <t>1069-66-5</t>
  </si>
  <si>
    <t>OC(=O)C(CCC)CCC</t>
  </si>
  <si>
    <t>TUPKOWFPVAXQFP-OFNKIYASBM  </t>
  </si>
  <si>
    <t>Henn et al. 2011</t>
  </si>
  <si>
    <t>95144-24-4</t>
  </si>
  <si>
    <t>SPDSBAAOZITVID-UHFFFAOYAI  </t>
  </si>
  <si>
    <t>Ma et al. 2009</t>
  </si>
  <si>
    <t>Tank water ? (conductivity 500 µS)</t>
  </si>
  <si>
    <t>Acetone 0.025 %</t>
  </si>
  <si>
    <t>Oliveira et al. 2009</t>
  </si>
  <si>
    <t>28 (adults)</t>
  </si>
  <si>
    <t>1/vial</t>
  </si>
  <si>
    <t>Glass vials  4 ml</t>
  </si>
  <si>
    <t>Sterile water</t>
  </si>
  <si>
    <t>DMSO 0.15 %</t>
  </si>
  <si>
    <t>McCormick et al. 2011</t>
  </si>
  <si>
    <t>Bisphenol A dimethyl ether</t>
  </si>
  <si>
    <t>1568-83-8</t>
  </si>
  <si>
    <t>CC(C)(C1=CC=C(C=C1)OC)C2=CC=C(C=C2)OC</t>
  </si>
  <si>
    <t>WSDSEIUBXJOEIQ-VSXTZQEZDV  </t>
  </si>
  <si>
    <t>WPVCFEULGFXPJD-UHFFFAOYAU  </t>
  </si>
  <si>
    <t>20/vial</t>
  </si>
  <si>
    <t>Tap water</t>
  </si>
  <si>
    <t>Measured (method not indicated)</t>
  </si>
  <si>
    <t>Modra et al. 2011</t>
  </si>
  <si>
    <t>Ethyl tert-butyl ether (ETBE)</t>
  </si>
  <si>
    <t>637-92-3</t>
  </si>
  <si>
    <t>O(C(C)(C)C)CC</t>
  </si>
  <si>
    <t>NUMQCACRALPSHD-UHFFFAOYAB</t>
  </si>
  <si>
    <t>[2, 3, 27]</t>
  </si>
  <si>
    <t>15/vial</t>
  </si>
  <si>
    <t>Sealed glass vials</t>
  </si>
  <si>
    <t>Sea salt (60 mg/L)</t>
  </si>
  <si>
    <t>Bonventre et al. 2012</t>
  </si>
  <si>
    <t>Tertiary amyl methyl ether (TAME)</t>
  </si>
  <si>
    <t>994-05-8</t>
  </si>
  <si>
    <t>COC(C)(C)CC</t>
  </si>
  <si>
    <t>HVZJRWJGKQPSFL-UHFFFAOYAC</t>
  </si>
  <si>
    <t>[2, 6, 29]</t>
  </si>
  <si>
    <t xml:space="preserve"> 1/0.2</t>
  </si>
  <si>
    <t>96well Plate, sealed</t>
  </si>
  <si>
    <t>LC/MS, also internal dose</t>
  </si>
  <si>
    <t>Huang et al. 2010</t>
  </si>
  <si>
    <t>Albendazole</t>
  </si>
  <si>
    <t>54965-21-8</t>
  </si>
  <si>
    <t>O=C(Nc1nc2c(n1)ccc(c2)SCCC)OC</t>
  </si>
  <si>
    <t>HXHWSAZORRCQMX-YENFCIRVCU</t>
  </si>
  <si>
    <t>Albendazole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t>
  </si>
  <si>
    <t xml:space="preserve"> 1/250</t>
  </si>
  <si>
    <t>96well plate, sealed</t>
  </si>
  <si>
    <t>DMSO</t>
  </si>
  <si>
    <t>SPE–LC–MS/MS</t>
  </si>
  <si>
    <t>Exposure &gt; 120 h</t>
  </si>
  <si>
    <t>Carlsson et al. 2013</t>
  </si>
  <si>
    <t>Febantel</t>
  </si>
  <si>
    <t>58306-30-2</t>
  </si>
  <si>
    <t>COC(=O)NC(NC(=O)OC)=Nc1c(NC(=O)COC)cc(Sc2ccccc2)cc1</t>
  </si>
  <si>
    <t>HMCCXLBXIJMERM-RYHVEFIIDN  </t>
  </si>
  <si>
    <t xml:space="preserve">Amides  +  Carbamate Esters </t>
  </si>
  <si>
    <t>Fenbendazol</t>
  </si>
  <si>
    <t>43210-67-9</t>
  </si>
  <si>
    <t>O=C(OC)Nc(nc(c1ccc2Sc(cccc3)c3)c2)n1</t>
  </si>
  <si>
    <t>HDDSHPAODJUKPD-CUNFQGHECV</t>
  </si>
  <si>
    <t>Oxfendazol</t>
  </si>
  <si>
    <t>53716-50-0</t>
  </si>
  <si>
    <t>O=C(OC)Nc(nc(c1ccc2S(=O)c(cccc3)c3)c2)n1</t>
  </si>
  <si>
    <t>BEZZFPOZAYTVHN-FWUARTTPDX</t>
  </si>
  <si>
    <t>117704-25-3</t>
  </si>
  <si>
    <t>C=5C2(OC(C(C5)C)C6CCCCC6)CC1CC(CC=C(C(OC7OC(C(OC8CC(OC)C(O)C(C)O8)C(C7)OC)C)C(C=CC=C3C4(C(OC3)C(C(=CC4C(O1)=O)C)O)O)C)C)O2</t>
  </si>
  <si>
    <t>ZIWFCOIGUNPHPM-HKUYNNGSBD  </t>
  </si>
  <si>
    <t>Ivermectin B1A/B1B</t>
  </si>
  <si>
    <t>70288-86-7</t>
  </si>
  <si>
    <t>COC1C(O)C(C)OC(OC2C(C)OC(OC(C(C)=CCC3CC6CC7(OC(C(C)C)C(C)CC7)O3)C(C=CC=C4C5(O)C(C(O)C(C)=CC5C(O6)=O)OC4)C)CC2OC)C1</t>
  </si>
  <si>
    <t>Ivermectin binds selectively and with high affinity to glutamate-gated chloride ion channels in invertebrate muscle and nerve cells of the microfilaria. This binding causes an increase in the permeability of the cell membrane to chloride ions and results in hyperpolarization of the cell, leading to paralysis and death of the parasite. Ivermectin also is believed to act as an agonist of the neurotransmitter gamma-aminobutyric acid (GABA), thereby disrupting GABA-mediated central nervous system (CNS) neurosynaptic transmission. Ivermectin may also impair normal intrauterine development of O. volvulus microfilariae and may inhibit their release from the uteri of gravid female worms.</t>
  </si>
  <si>
    <t>Flumethrin</t>
  </si>
  <si>
    <t>69770-45-2</t>
  </si>
  <si>
    <t>c1cc(Cl)ccc1C(Cl)=CC2C(C)(C)C2C(=O)OC(C#N)c3ccc(F)c(Oc4ccccc4)c3</t>
  </si>
  <si>
    <t>PWOQRKCAHTVFLB-MXXAPHSEDA  </t>
  </si>
  <si>
    <t>Toltrazuril</t>
  </si>
  <si>
    <t>69004-03-1</t>
  </si>
  <si>
    <t>Cc1cc(ccc1Oc2ccc(cc2)SC(F)(F)F)n3c(=O)[nH]c(=O)n(c3=O)C</t>
  </si>
  <si>
    <t>RYIHVIPUIXFRNI-WFASDCNBBU  </t>
  </si>
  <si>
    <t>2,4-Dichlorophenoxyacetic acid</t>
  </si>
  <si>
    <t>94-75-7</t>
  </si>
  <si>
    <t>O=C(O)COc(c(cc(c1)Cl)Cl)c1</t>
  </si>
  <si>
    <t>OVSKIKFHRZPJSS-WXRBYKJCCM</t>
  </si>
  <si>
    <t xml:space="preserve"> 30/3</t>
  </si>
  <si>
    <t>Sea salt (1 g/L)</t>
  </si>
  <si>
    <t>Ton et al. 2006</t>
  </si>
  <si>
    <t>Dichlorodiphenyltrichloroethane (DDT)</t>
  </si>
  <si>
    <t>50-29-3</t>
  </si>
  <si>
    <t>c(ccc(c1)Cl)(c1)C(c(ccc(c2)Cl)c2)C(Cl)(Cl)Cl</t>
  </si>
  <si>
    <t>YVGGHNCTFXOJCH-UHFFFAOYAJ</t>
  </si>
  <si>
    <t>&gt;1</t>
  </si>
  <si>
    <t>Dieldrin</t>
  </si>
  <si>
    <t>60-57-1</t>
  </si>
  <si>
    <t>DFBKLUNHFCTMDC-AUGFTSMQBH</t>
  </si>
  <si>
    <t>Zhao, X., Salgado, V.L., Yeh, J.Z., Narahashi, T., 2003. Differential Actions of Fipronil and Dieldrin Insecticides on GABA-Gated Chloride Channels in Cockroach Neurons. Journal of Pharmacology and Experimental Therapeutics 306, 914-924 %R 910.1124/jpet.1103.051839.</t>
  </si>
  <si>
    <t>DrugBank/IRAC</t>
  </si>
  <si>
    <t>TCDD</t>
  </si>
  <si>
    <t>1746-01-6</t>
  </si>
  <si>
    <t>Clc3cc2Oc1cc(Cl)c(Cl)cc1Oc2cc3Cl</t>
  </si>
  <si>
    <t>HGUFODBRKLSHSI-UHFFFAOYAA</t>
  </si>
  <si>
    <t>&gt;0,1</t>
  </si>
  <si>
    <t xml:space="preserve"> 50/100</t>
  </si>
  <si>
    <t>Static/24h renewal</t>
  </si>
  <si>
    <t>GC/MS</t>
  </si>
  <si>
    <t>Klüver et al. 2011</t>
  </si>
  <si>
    <t>150-78-7</t>
  </si>
  <si>
    <t>O(c(ccc(OC)c1)c1)C</t>
  </si>
  <si>
    <t>OHBQPCCCRFSCAX-UHFFFAOYAX  </t>
  </si>
  <si>
    <t>Theophylline</t>
  </si>
  <si>
    <t>58-55-9</t>
  </si>
  <si>
    <t>CN1C(=O)N(C)c2ncnc2C1(=O)</t>
  </si>
  <si>
    <t>ZFXYFBGIUFBOJW-FZOZFQFYCY</t>
  </si>
  <si>
    <t>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t>
  </si>
  <si>
    <t>&gt;27.7</t>
  </si>
  <si>
    <t>UFZ, unpublished data (to be published elsewhere)</t>
  </si>
  <si>
    <t>&gt;2.8</t>
  </si>
  <si>
    <t>pH adjusted</t>
  </si>
  <si>
    <t>Acetone (concentration not indicated)</t>
  </si>
  <si>
    <t>Mu et al. 2013</t>
  </si>
  <si>
    <t>Methyl isothiocyanate</t>
  </si>
  <si>
    <t>556-61-6</t>
  </si>
  <si>
    <t>N(=C=S)C</t>
  </si>
  <si>
    <t>LGDSHSYDSCRFAB-UHFFFAOYAS</t>
  </si>
  <si>
    <t xml:space="preserve"> 1/0.25</t>
  </si>
  <si>
    <t>96well plates, sealed</t>
  </si>
  <si>
    <t>DMSO 0.4 %</t>
  </si>
  <si>
    <t>Acibenzolar-S-Methyl</t>
  </si>
  <si>
    <t>135158-54-2</t>
  </si>
  <si>
    <t>c1ccc2N=NSc2c1C(=O)SC</t>
  </si>
  <si>
    <t>UELITFHSCLAHKR-UHFFFAOYAA</t>
  </si>
  <si>
    <t>57-09-0</t>
  </si>
  <si>
    <t>CCCCCCCCCCCCCCCCN(Br)(C)(C)C</t>
  </si>
  <si>
    <t>XPWXGCQQKGOYBH-UHFFFAOYAS  </t>
  </si>
  <si>
    <t xml:space="preserve"> 1/3</t>
  </si>
  <si>
    <t>carbon filtered tap water</t>
  </si>
  <si>
    <t>24h renewal (83 %)</t>
  </si>
  <si>
    <t>Daily</t>
  </si>
  <si>
    <t>Spectrophotometric and HPLC</t>
  </si>
  <si>
    <t>Vaughan et al. 2010</t>
  </si>
  <si>
    <t>79-94-7</t>
  </si>
  <si>
    <t>Oc(c(cc(c1)C(c(cc(c(O)c2Br)Br)c2)(C)C)Br)c1Br</t>
  </si>
  <si>
    <t>VEORPZCZECFIRK-UHFFFAOYAW</t>
  </si>
  <si>
    <t>Liu et al. 2007b</t>
  </si>
  <si>
    <t>Quinoline</t>
  </si>
  <si>
    <t>91-22-5</t>
  </si>
  <si>
    <t>n(c(c(ccc1)cc2)c1)c2</t>
  </si>
  <si>
    <t>SMWDFEZZVXVKRB-UHFFFAOYAU</t>
  </si>
  <si>
    <t>Strecker et al. 2012</t>
  </si>
  <si>
    <t>100-63-0</t>
  </si>
  <si>
    <t>N(N)c(cccc1)c1</t>
  </si>
  <si>
    <t>HKOOXMFOFWEVGF-UHFFFAOYAN</t>
  </si>
  <si>
    <t>Hydrazines</t>
  </si>
  <si>
    <t>Toluene</t>
  </si>
  <si>
    <t>108-88-3</t>
  </si>
  <si>
    <t>c(cccc1)(c1)C</t>
  </si>
  <si>
    <t>YXFVVABEGXRONW-UHFFFAOYAT</t>
  </si>
  <si>
    <t xml:space="preserve"> 10-30/100?</t>
  </si>
  <si>
    <t xml:space="preserve"> 10-30</t>
  </si>
  <si>
    <t>Glass jars with egg cups</t>
  </si>
  <si>
    <t>Flow Through</t>
  </si>
  <si>
    <t>Atomic adsoprtion analyser</t>
  </si>
  <si>
    <t>Devlin et al. 1982</t>
  </si>
  <si>
    <t>110-82-7</t>
  </si>
  <si>
    <t>C(CCCC1)C1</t>
  </si>
  <si>
    <t>XDTMQSROBMDMFD-UHFFFAOYAZ</t>
  </si>
  <si>
    <t>Lahnsteiner et al. 2008</t>
  </si>
  <si>
    <t>2,4-Dichlorophenol</t>
  </si>
  <si>
    <t>120-83-2</t>
  </si>
  <si>
    <t>Oc(c(cc(c1)Cl)Cl)c1</t>
  </si>
  <si>
    <t>HFZWRUODUSTPEG-UHFFFAOYAU</t>
  </si>
  <si>
    <t>130-37-0</t>
  </si>
  <si>
    <t>CC2(CC(=O)c1ccccc1C2=O)S(O)(=O)=O</t>
  </si>
  <si>
    <t>KKEWHWNRZJNDEL-UHFFFAOYAN  </t>
  </si>
  <si>
    <t>Benzofuran</t>
  </si>
  <si>
    <t>271-89-6</t>
  </si>
  <si>
    <t>c1ccc2ccoc2c1</t>
  </si>
  <si>
    <t>IANQTJSKSUMEQM-UHFFFAOYAU  </t>
  </si>
  <si>
    <t>481-39-0</t>
  </si>
  <si>
    <t>Oc1cccc2C(=O)C=CC(=O)c12</t>
  </si>
  <si>
    <t>KQPYUDDGWXQXHS-UHFFFAOYAH  </t>
  </si>
  <si>
    <t>Phenols +  Quinones</t>
  </si>
  <si>
    <t>577-11-7</t>
  </si>
  <si>
    <t>CCCCC(CC)COC(=O)CC(C(=O)OCC(CC)CCCC)S(=O)(=O)O</t>
  </si>
  <si>
    <t>NKKGZVMAXAVBRW-UVJOBNTFBD  </t>
  </si>
  <si>
    <t>613-94-5</t>
  </si>
  <si>
    <t>O=C(NN)c(cccc1)c1</t>
  </si>
  <si>
    <t>WARCRYXKINZHGQ-BGGKNDAXCF  </t>
  </si>
  <si>
    <t>629-25-4</t>
  </si>
  <si>
    <t>OC(=O)CCCCCCCCCCC</t>
  </si>
  <si>
    <t>AVNWSCCYDJZPRB-UHFFFAOYAD  </t>
  </si>
  <si>
    <t>van Egmond, R., Hambling, S., Marshall, S., 1999. Bioconcentration, biotransformation, and chronic toxicity of sodium laurate to zebrafish (Danio rerio). Environ. Toxicol. Chem. 18, 466-473.</t>
  </si>
  <si>
    <t>1191-50-0</t>
  </si>
  <si>
    <t>S(=O)(=O)(O)OCCCCCCCCCCCCCC</t>
  </si>
  <si>
    <t>JKOAXMCACDNYKE-UHFFFAOYAH  </t>
  </si>
  <si>
    <t>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t>
  </si>
  <si>
    <t>Fatty alkyl ester sulphonate (C14)</t>
  </si>
  <si>
    <t>4016-22-2</t>
  </si>
  <si>
    <t>S(=O)(=O)(O)C(CCCCCCCCCCCC)C(=O)OC</t>
  </si>
  <si>
    <t>7440-50-8</t>
  </si>
  <si>
    <t>[Cu]</t>
  </si>
  <si>
    <t>Mercury</t>
  </si>
  <si>
    <t>7487-94-7</t>
  </si>
  <si>
    <t>Cl[Hg]Cl</t>
  </si>
  <si>
    <t>Sodium nitrite</t>
  </si>
  <si>
    <t>7632-00-0</t>
  </si>
  <si>
    <t>ON=O</t>
  </si>
  <si>
    <t>Nickel</t>
  </si>
  <si>
    <t>7718-54-9</t>
  </si>
  <si>
    <t>Cl[Ni]Cl</t>
  </si>
  <si>
    <t>Chromium</t>
  </si>
  <si>
    <t>7778-50-9</t>
  </si>
  <si>
    <t>O[Cr](=O)(=O)O[Cr](=O)(=O)O</t>
  </si>
  <si>
    <t>Out of QSAR domain</t>
  </si>
  <si>
    <t>C. gariepinus</t>
  </si>
  <si>
    <t>Coco dimethyl benzyl ammonium chloride (C12‐C14)</t>
  </si>
  <si>
    <t>8001-54-5</t>
  </si>
  <si>
    <t>CN(Cl)(CC1=CC=CC=C1)(CCCCCCCCCCCC)C</t>
  </si>
  <si>
    <t>Quillaja saponin extract</t>
  </si>
  <si>
    <t>8047-15-2</t>
  </si>
  <si>
    <t>no defined structure</t>
  </si>
  <si>
    <t xml:space="preserve"> 2/2</t>
  </si>
  <si>
    <t>20?</t>
  </si>
  <si>
    <t>Ethanol 2 %</t>
  </si>
  <si>
    <t>7384 µg/L</t>
  </si>
  <si>
    <t>Hassan et al. 2008</t>
  </si>
  <si>
    <t>13463-41-7</t>
  </si>
  <si>
    <t>c2(n(cccc2)=O)S[Zn]Sc1n(cccc1)=O</t>
  </si>
  <si>
    <t>GICWQOOQUPSZIX-UHFFFAOYAS  </t>
  </si>
  <si>
    <t xml:space="preserve"> 10-15/25</t>
  </si>
  <si>
    <t xml:space="preserve"> 10-15</t>
  </si>
  <si>
    <t>Glass flasks</t>
  </si>
  <si>
    <t>Reconstituted water</t>
  </si>
  <si>
    <t>Measured (7.2)</t>
  </si>
  <si>
    <t>DMSO 0.01 %</t>
  </si>
  <si>
    <t>Goka 1999</t>
  </si>
  <si>
    <t>N‐(Hydroxymethyl)‐N-methylformamide</t>
  </si>
  <si>
    <t>20546-32-1</t>
  </si>
  <si>
    <t>VYPPJFNVTXOFSK-KODQONTIBH  </t>
  </si>
  <si>
    <t>20570-96-1 (555-96-4 )</t>
  </si>
  <si>
    <t>20570961 (555964 )</t>
  </si>
  <si>
    <t>C1=CC=C(C=C1)CNN.Cl</t>
  </si>
  <si>
    <t>MSJHOJKVMMEMNX-UHFFFAOYAP  </t>
  </si>
  <si>
    <t>Nonylphenol</t>
  </si>
  <si>
    <t>25154-52-3</t>
  </si>
  <si>
    <t>Oc1ccc(cc1)CCCCCCCCC</t>
  </si>
  <si>
    <t>26062-79-3</t>
  </si>
  <si>
    <t>C=CCN(Cl)(CC=C)(C)C</t>
  </si>
  <si>
    <t>LVCMHQCPNBYOGQ-UHFFFAOYAH  </t>
  </si>
  <si>
    <t>Nalco 7607</t>
  </si>
  <si>
    <t>52722-38-0</t>
  </si>
  <si>
    <t>CXFHEQHLNHYWOA-UHFFFAOYAQ  </t>
  </si>
  <si>
    <t>hatching</t>
  </si>
  <si>
    <t>Aquaria</t>
  </si>
  <si>
    <t>8 mg/L</t>
  </si>
  <si>
    <t xml:space="preserve"> 6.5-7</t>
  </si>
  <si>
    <t>Roseth et al. 1996</t>
  </si>
  <si>
    <t>Primary alcohol sulphate (C12‐C15)</t>
  </si>
  <si>
    <t>61711-25-9</t>
  </si>
  <si>
    <t>640 µg/L</t>
  </si>
  <si>
    <t>Disodium cocoamido monoethanolamide sulphosuccinate (C12‐C14)</t>
  </si>
  <si>
    <t>61791-66-0</t>
  </si>
  <si>
    <t>520 µg/L</t>
  </si>
  <si>
    <t>Nalco 625</t>
  </si>
  <si>
    <t>63798-36-7</t>
  </si>
  <si>
    <t>135 mg/L</t>
  </si>
  <si>
    <t>Alkyl ether sulphate (C12‐C13,3EO)</t>
  </si>
  <si>
    <t>66455-14-9</t>
  </si>
  <si>
    <t>CCCCCCCCCCCCOCC</t>
  </si>
  <si>
    <t>Lizotte Jr, R.E., Wong, D.C.L., Dorn, P.B., Rodgers Jr, J.H., 1999. Effects of a homologous series of linear alcohol ethoxylate surfactants on fathead minnow early life stages. Arch. Environ. Contam. Toxicol. 37, 536-541.</t>
  </si>
  <si>
    <t>Primary alcohol ethoxylate (C12‐C14, 3EO)</t>
  </si>
  <si>
    <t>68007-97-1</t>
  </si>
  <si>
    <t>µg/L</t>
  </si>
  <si>
    <t>Linear alkylbenzene sulphonate (C11.6)</t>
  </si>
  <si>
    <t>68411-30-3</t>
  </si>
  <si>
    <t>OS(=O)(=O)c1cc(ccc1)CCCCCCCCCC</t>
  </si>
  <si>
    <t>Primary alcohol ethoxylate (C12‐C14, 7EO)</t>
  </si>
  <si>
    <t>68439-50-9</t>
  </si>
  <si>
    <t>Coconut alkyl pentaethoxymethyl ammonium methosulphate (C12‐C14)</t>
  </si>
  <si>
    <t>68989-03-7</t>
  </si>
  <si>
    <t>CCCCCCCCCCCCN(C)(CCO)(CCOCCOCCOCCOCCOCCO)OS(=O)(=O)OC</t>
  </si>
  <si>
    <t>Alpha olefin sulphonate (C14‐C18)</t>
  </si>
  <si>
    <t>72674-05-6</t>
  </si>
  <si>
    <t>140 µg/L</t>
  </si>
  <si>
    <t>Lauryl dimethyl hydroxyethyl ammonium chloride</t>
  </si>
  <si>
    <t>85736-63-6</t>
  </si>
  <si>
    <t>3900 µg/L</t>
  </si>
  <si>
    <t>Nalco 537-DA</t>
  </si>
  <si>
    <t>181314-88-5</t>
  </si>
  <si>
    <t>15.2 mg/L</t>
  </si>
  <si>
    <t>Ivamin</t>
  </si>
  <si>
    <t>181314-95-4</t>
  </si>
  <si>
    <t>20.0 mg/L</t>
  </si>
  <si>
    <t>Methylmercury hydroxid</t>
  </si>
  <si>
    <t>1184-57-2</t>
  </si>
  <si>
    <t>O[Hg]C</t>
  </si>
  <si>
    <t>KRZWEBVPFGCYMY-UHFFFAOYSA-M</t>
  </si>
  <si>
    <t xml:space="preserve"> 50/jar</t>
  </si>
  <si>
    <t>Glass jar with egg cups</t>
  </si>
  <si>
    <t>Devlin et al. 2006</t>
  </si>
  <si>
    <t>138261-41-3</t>
  </si>
  <si>
    <t>c1nc(Cl)ccc1CN2C(=NN(=O)=O)NCC2</t>
  </si>
  <si>
    <t>PVSGXWMWNRGTKE-PGTVFHINDG  </t>
  </si>
  <si>
    <t>Aliphatic Amines +  Halopyrdines  +  Neonicotinoids</t>
  </si>
  <si>
    <t>Nicotinic acetylcholine receptor (nAChR) agonists</t>
  </si>
  <si>
    <t>26, 28, 30, 33.5</t>
  </si>
  <si>
    <t xml:space="preserve"> 10/dish</t>
  </si>
  <si>
    <t>≤ 10 (mean)</t>
  </si>
  <si>
    <t>Scheil and Köhler 2009</t>
  </si>
  <si>
    <t>950-35-6</t>
  </si>
  <si>
    <t>COP(=O)(OC)Oc1ccc(cc1)N(=O)=O</t>
  </si>
  <si>
    <t>DDUSKUYQCXIBND-UHFFFAOYAX  </t>
  </si>
  <si>
    <t>&gt;0.2</t>
  </si>
  <si>
    <t>Küster and Altenburger 2006</t>
  </si>
  <si>
    <t>Renner, unpublished</t>
  </si>
  <si>
    <t>Andrade et al, unpublished</t>
  </si>
  <si>
    <t>Cyanazine</t>
  </si>
  <si>
    <t>CCNc1nc(Cl)nc(NC(C)(C)C(#N))n1</t>
  </si>
  <si>
    <t>MZZBPDKVEFVLFF-KSKJGAJJCX</t>
  </si>
  <si>
    <t>OECD TG 236</t>
  </si>
  <si>
    <t>static</t>
  </si>
  <si>
    <t>Klüver et al. 2015</t>
  </si>
  <si>
    <t>Picloram</t>
  </si>
  <si>
    <t>Nc1c(Cl)c(Cl)nc(C(O)=O)c1Cl</t>
  </si>
  <si>
    <t>NQQVFXUMIDALNH-FSHPWJEWCF</t>
  </si>
  <si>
    <t xml:space="preserve">Anilines (Unhindered) +  Halopyrdines  +  Pyridine-alpha-Acid </t>
  </si>
  <si>
    <t>Diquatdibromide</t>
  </si>
  <si>
    <t>C2Cn1(Br)ccccc1c3ccccn23(Br)</t>
  </si>
  <si>
    <t>SRPSQRKVKBBCJG-UHFFFAOYAE  </t>
  </si>
  <si>
    <t>24well plates / glass petri dish</t>
  </si>
  <si>
    <t>0.01% Acetone</t>
  </si>
  <si>
    <t>no tox</t>
  </si>
  <si>
    <t>Esfenvalerate</t>
  </si>
  <si>
    <t>c1cc(Cl)ccc1C(C(C)C)C(=O)OC(C#N)c2cccc(Oc3ccccc3)c2</t>
  </si>
  <si>
    <t>NYPJDWWKZLNGGM-BJKOFHAPBE</t>
  </si>
  <si>
    <t>Aldicarb</t>
  </si>
  <si>
    <t>O=C(ON=CC(SC)(C)C)NC</t>
  </si>
  <si>
    <t>QGLZXHRNAYXIBU-MGRUMOMHDC</t>
  </si>
  <si>
    <t>Küster, E., Altenburger, R., 2007. Suborganismic and organismic effects of aldicarb and its metabolite aldicarb-sulfoxide to the zebrafish embryo (Danio rerio). Chemosphere 68, 751-760.</t>
  </si>
  <si>
    <t>Verapamil (V-HCL)</t>
  </si>
  <si>
    <t>Reimer, K.A., Lowe, J.E., Jennings, R.B., 1977. Effect of the calcium antagonist verapamil on necrosis following temporary coronary artery occlusion in dogs. Circulation 55, 581-587 %R 510.1161/1101.CIR.1155.1164.1581.</t>
  </si>
  <si>
    <t>UFZ, unpublished (L'ORÉAL - 2014)</t>
  </si>
  <si>
    <t>Fonofos</t>
  </si>
  <si>
    <t>944-22-9</t>
  </si>
  <si>
    <t>S=P(OCC)(Sc1ccccc1)CC</t>
  </si>
  <si>
    <t>KVGLBTYUCJYMND-GFCCVEGCBT</t>
  </si>
  <si>
    <t>Maxwell, D.M., Brecht, K.M., 1992. Quantitative structure-activity analysis of acetylcholinesterase inhibition by oxono and thiono analogs of organophosphorus compounds. Chem. Res. Toxicol. 5, 66-71.</t>
  </si>
  <si>
    <t>Maneb</t>
  </si>
  <si>
    <t>12427-38-2</t>
  </si>
  <si>
    <t>SC(=S)NCCNC(=S)S</t>
  </si>
  <si>
    <t>NHMUMDFAPSQHSS-GXKYRRQDCT</t>
  </si>
  <si>
    <t>Benzophenone</t>
  </si>
  <si>
    <t>119-61-9</t>
  </si>
  <si>
    <t>O=C(c(cccc1)c1)c(cccc2)c2</t>
  </si>
  <si>
    <t>RWCCWEUUXYIKHB-UHFFFAOYAX  </t>
  </si>
  <si>
    <t>102409-92-7</t>
  </si>
  <si>
    <t>96well plates</t>
  </si>
  <si>
    <t>0.64 % DMSO</t>
  </si>
  <si>
    <t>For some compounds well above 10 %. Individual levels will be inserted later.</t>
  </si>
  <si>
    <t>Embryos were dechorionated using pronase at stage 4 dpf prior to exposure. LC50 are based on a reanalysis of the original raw data set.</t>
  </si>
  <si>
    <t>Truong et al. 2014</t>
  </si>
  <si>
    <t>NOCAS_47377</t>
  </si>
  <si>
    <t>Cl.Clc1ccc(s1)c5onc(Cn3c4ccc(cc4cc3C(=O)NC2CCN(CC2)C(C)C)C(=O)O[C@@H](C)OC(=O)OCC)c5</t>
  </si>
  <si>
    <t>QVUNQDRANLXLAJ-AUJBHAMZDL  </t>
  </si>
  <si>
    <t>444610-91-7</t>
  </si>
  <si>
    <t>C(C([H])([H])[H])(OC(C(C(C(C(C(C(C([Si]([H])([H])[H])([H])[H])([H])[H])([H])[H])([H])[H])([H])[H])([H])[H])([H])[H])(OC(C([H])([H])[H])([H])[H])OC(C([H])([H])[H])([H])[H])([H])[H]</t>
  </si>
  <si>
    <t>GYTXPPLONNRNLK-UHFFFAOYAP  </t>
  </si>
  <si>
    <t>Mortality below 50 % at highgest test concentration or above 10 % in controls</t>
  </si>
  <si>
    <t>588941-45-1</t>
  </si>
  <si>
    <t>[Cl]c1c(c(c(c(c1C(=O)NS(=O)(=O)\C(=C(\c1c(c(c(c(c1[H])[H])OC([H])([H])[H])[H])[H])[H])[H])[H])[H])C([H])([H])[H])[H]</t>
  </si>
  <si>
    <t>WRHGZWSNUHPHIX-RRABGKBLBD  </t>
  </si>
  <si>
    <t>145742-28-5</t>
  </si>
  <si>
    <t>C(Oc1c(c(c2c(c1[H])S(N(C2=O)C(OC1=C(C(N2C(=N1)C(=C(C(=C2[H])[H])[H])OC(C(N1C(C(C(C(C1([H])[H])([H])[H])([H])[H])([H])[H])([H])[H])([H])[H])([H])[H])=O)[H])([H])[H])(=O)=O)C(C([H])([H])[H])(C([H])([H])[H])[H])[H])([H])([H])[H]</t>
  </si>
  <si>
    <t>DRZXDZYWZSKFDL-UHFFFAOYAJ  </t>
  </si>
  <si>
    <t xml:space="preserve">Aliphatic Amines +  Thiazolones (Iso-) +  Vinyl/Allyl Ethers +  Amides </t>
  </si>
  <si>
    <t>NOCAS_47305</t>
  </si>
  <si>
    <t>Cc5cc(COc4ccc(Cl)cc4CNc3ncnc2c3ncn2[C@@H]1O[C@H](C(=O)NC)[C@@H](N)[C@H]1O)on5</t>
  </si>
  <si>
    <t>IPKZCLGGYKRDES-YXSUSBOTDM  </t>
  </si>
  <si>
    <t xml:space="preserve">Aliphatic Amines +  Imidazoles +  Amides </t>
  </si>
  <si>
    <t>NOCAS_47333</t>
  </si>
  <si>
    <t>Cc1ncc(cn1)[C@H](CC(=O)O)CCCCCCc2ccc3CCCNc3n2</t>
  </si>
  <si>
    <t>HULMNSIAKWANQO-OLALXZLRBO  </t>
  </si>
  <si>
    <t>1191914-21-2</t>
  </si>
  <si>
    <t>C(C(C(C([H])([H])[H])([H])[H])([H])[H])(N(C(=O)OC#CC(I)([H])[H])[H])([H])[H]</t>
  </si>
  <si>
    <t>DNKGZSOYWMQDTK-KZFATGLACM  </t>
  </si>
  <si>
    <t xml:space="preserve">Propargyl Halide </t>
  </si>
  <si>
    <t>4180-23-8</t>
  </si>
  <si>
    <t>O(c(ccc(c1)C=CC)c1)C</t>
  </si>
  <si>
    <t>RUVINXPYWBROJD-ONEGZZNKBR  </t>
  </si>
  <si>
    <t>149413-74-1</t>
  </si>
  <si>
    <t>C(C([H])([H])[H])(C1([H])N(C(C(C(C1([H])[H])([H])[H])([H])N(C(c1c(c2c(c(c1OC([H])([H])[H])[H])C1([H])C(C1([H])C(=O)N2C([H])([H])[H])([H])[H])[H])([H])[H])[H])([H])c1c(c(c(c(c1[H])[H])[H])[H])[H])[H])([H])[H]</t>
  </si>
  <si>
    <t>KDGDTPNBDMVKHC-XIAWMOHYBF  </t>
  </si>
  <si>
    <t>725228-45-5</t>
  </si>
  <si>
    <t>O1C(C(C(C(C1([H])[H])([H])[H])([H])[H])([H])[H])([H])OC1([H])C(C(C(C(C1([H])O[H])([H])OC1([H])C(C(C(C(O1)([H])C(N([H])[H])([H])[H])([H])O[H])([H])O[H])([H])N([H])[H])([H])N([H])[H])([H])[H])([H])N([H])[H]</t>
  </si>
  <si>
    <t>ISSMHUBSFYGXPD-VDENQLOHBD  </t>
  </si>
  <si>
    <t>NOCAS_47381</t>
  </si>
  <si>
    <t>Cl.CCCOc1sc(c(C)c1Br)C(=O)N2CCC(CC2)c3cc(CN)ccc3F</t>
  </si>
  <si>
    <t>GLHHFOSVBQQNAW-GJJHOYQHDH  </t>
  </si>
  <si>
    <t>116-25-6</t>
  </si>
  <si>
    <t>O=C(N(C(C1(=O))(C)C)CO)N1</t>
  </si>
  <si>
    <t>SIQZJFKTROUNPI-QDQILVOLCO  </t>
  </si>
  <si>
    <t>NOCAS_47342</t>
  </si>
  <si>
    <t>Cl.COc1cccc(c1)c2ccc(cc2Cl)/C=C\CN3CCCCCC3</t>
  </si>
  <si>
    <t>NABQUWRBLWGYTM-ZEGCLDTFCI  </t>
  </si>
  <si>
    <t>203942-49-8</t>
  </si>
  <si>
    <t>C(c1nc(c(n1c1c(c(c(c(c1[H])[H])Sc1c(c(c(c(c1[H])C1(C(C(OC(C1([H])[H])([H])[H])([H])[H])([H])[H])C(=O)N([H])[H])[H])[H])[H])[H])[H])[H])[H])([H])([H])[H]</t>
  </si>
  <si>
    <t>WRQQAESBKZTAFL-MTOSELNWCQ  </t>
  </si>
  <si>
    <t xml:space="preserve">Imidazoles +  Amides </t>
  </si>
  <si>
    <t>158081-99-3</t>
  </si>
  <si>
    <t>C1(C(C(N(C(=N1)O[H])[H])=O)(C(C([H])([H])[H])([H])[H])C(C([H])([H])[H])([H])[H])=O</t>
  </si>
  <si>
    <t>FTOAOBMCPZCFFF-OMYQGEOFCS  </t>
  </si>
  <si>
    <t>289716-94-5</t>
  </si>
  <si>
    <t>[Cl]c1c(c(c(c(c1C(=O)NS(=O)(=O)\C(=C(\c1c(c(c(c(c1[H])[H])[H])[H])[H])[H])[H])[H])[H])F)[H]</t>
  </si>
  <si>
    <t>WWUDHKRYEFNPQR-HRNDJLQDBG  </t>
  </si>
  <si>
    <t>107071-66-9</t>
  </si>
  <si>
    <t>C1(C(C(C(C1([H])[H])([H])[H])([H])[H])([H])[H])(N1C(C(C(N(c2c1nc(nc2[H])N(c1c(c(c(c(c1OC([H])([H])[H])[H])C(=O)N(C1(C(C(N(C(C1([H])[H])([H])[H])C([H])([H])[H])([H])[H])([H])[H])[H])[H])[H])[H])[H])C([H])([H])[H])=O)(F)F)([H])[H])[H]</t>
  </si>
  <si>
    <t>DJNZZLZKAXGMMC-WUSLAWIHCL  </t>
  </si>
  <si>
    <t>NOCAS_47353</t>
  </si>
  <si>
    <t>Cl.O=C(N3CC(CCN1CCC(CC1)(C(=O)N(C)C)N2CCCCC2)(OCC3)c4ccc(Cl)c(Cl)c4)c5ccccc5</t>
  </si>
  <si>
    <t>KXZHIBIURCLFBV-DLNNOTFIDZ  </t>
  </si>
  <si>
    <t>678-39-7</t>
  </si>
  <si>
    <t>FC(F)(F)C(F)(F)C(F)(F)C(F)(F)C(F)(F)C(F)(F)C(F)(F)C(F)(F)CCO</t>
  </si>
  <si>
    <t>JJUBFBTUBACDHW-UHFFFAOYAM</t>
  </si>
  <si>
    <t>87-61-6</t>
  </si>
  <si>
    <t>c(c(c(cc1)Cl)Cl)(c1)Cl</t>
  </si>
  <si>
    <t>RELMFMZEBKVZJC-UHFFFAOYAX</t>
  </si>
  <si>
    <t>95-63-6</t>
  </si>
  <si>
    <t>c(ccc(c1C)C)(c1)C</t>
  </si>
  <si>
    <t>GWHJZXXIDMPWGX-UHFFFAOYAF</t>
  </si>
  <si>
    <t>12-Benzenedicarboxaldehyde</t>
  </si>
  <si>
    <t>643-79-8</t>
  </si>
  <si>
    <t>O=Cc(c(ccc1)C(=O))c1</t>
  </si>
  <si>
    <t>ZWLUXSQADUDCSB-UHFFFAOYAD  </t>
  </si>
  <si>
    <t>Aldehydes (Poly)</t>
  </si>
  <si>
    <t>12-Dinitrobenzene</t>
  </si>
  <si>
    <t>528-29-0</t>
  </si>
  <si>
    <t>O=N(=O)c1ccccc1N(=O)=O</t>
  </si>
  <si>
    <t>SDOWOBCKJLFOBX-UHFFFAOYAG  </t>
  </si>
  <si>
    <t>57-55-6</t>
  </si>
  <si>
    <t>OCC(O)C</t>
  </si>
  <si>
    <t>DNIAPMSPPWPWGF-GSVOUGTGBJ</t>
  </si>
  <si>
    <t>108-67-8</t>
  </si>
  <si>
    <t>c(cc(cc1C)C)(c1)C</t>
  </si>
  <si>
    <t>AUHZEENZYGFFBQ-UHFFFAOYAK</t>
  </si>
  <si>
    <t>108-45-2</t>
  </si>
  <si>
    <t>Nc(cccc1N)c1</t>
  </si>
  <si>
    <t>WZCQRUWWHSTZEM-UHFFFAOYAM</t>
  </si>
  <si>
    <t>Anilines (Unhindered) +  Anilines (amino-meta)</t>
  </si>
  <si>
    <t>77-48-5</t>
  </si>
  <si>
    <t>O=C(N(C(C1(=O))(C)C)Br)N1Br</t>
  </si>
  <si>
    <t>VRLDVERQJMEPIF-UHFFFAOYAQ  </t>
  </si>
  <si>
    <t xml:space="preserve">Haloimides </t>
  </si>
  <si>
    <t>96-23-1</t>
  </si>
  <si>
    <t>OC(CCl)CCl</t>
  </si>
  <si>
    <t>DEWLEGDTCGBNGU-UHFFFAOYAR</t>
  </si>
  <si>
    <t>102-06-7</t>
  </si>
  <si>
    <t>N=C(Nc(cccc1)c1)Nc(cccc2)c2</t>
  </si>
  <si>
    <t>OWRCNXZUPFZXOS-RVQYIEHVCR  </t>
  </si>
  <si>
    <t>1120-71-4</t>
  </si>
  <si>
    <t>O=S(=O)(OCC1)C1</t>
  </si>
  <si>
    <t>57-91-0</t>
  </si>
  <si>
    <t>c1c(O)cc2CCC3C4CCC(O)C4(C)CCC3c2c1</t>
  </si>
  <si>
    <t>Larsson, D.G.J., Adolfson-Erici, M., Parkkonen, J., Pettersson, M., Berg, A.H., Olsson, P.-E., Förlin, L., 1999. Ethinyloestradiol - an undesired fish contraceptive? Aquat. Toxicol. 45, 91-97.</t>
  </si>
  <si>
    <t>50-28-2</t>
  </si>
  <si>
    <t>CC34CCC1C(CCc2cc(O)ccc12)C3CCC4O</t>
  </si>
  <si>
    <t>VOXZDWNPVJITMN-ZBRFXRBCBJ</t>
  </si>
  <si>
    <t>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t>
  </si>
  <si>
    <t>10161-33-8</t>
  </si>
  <si>
    <t>C1C2C3C(=C4C(=CC(=O)CC4)CC3)C=CC2(C(O)C1)C</t>
  </si>
  <si>
    <t>MEHHPFQKXOUFFV-OWSLCNJRBI  </t>
  </si>
  <si>
    <t>58-18-4</t>
  </si>
  <si>
    <t>O=C(C=C(C(C(C(C(C(C(O)(C)C1)(C2)C)C1)C3)C2)(C4)C)C3)C4</t>
  </si>
  <si>
    <t>GCKMFJBGXUYNAG-CFSBILQPBL  </t>
  </si>
  <si>
    <t>Androgenic</t>
  </si>
  <si>
    <t>Piferrer, F.C., Baker, I.J., Donaldson, E.M., 1993. Effects of natural, synthetic, aromatizable, and nonaromatizable androgens in inducing male sex differentiation in genotypic female chinook salmon (Oncorhynchus tshawytscha). Gen. Comp. Endocr. 91, 59-65.</t>
  </si>
  <si>
    <t>100-00-5</t>
  </si>
  <si>
    <t>N(=O)(=O)c(ccc(c1)Cl)c1</t>
  </si>
  <si>
    <t>DJGZGPARGFXQNX-UHFFFAOYAM</t>
  </si>
  <si>
    <t>1-Dodecyl-2-pyrrolidinone</t>
  </si>
  <si>
    <t>2687-96-9</t>
  </si>
  <si>
    <t>O=C1CCCN1CCCCCCCCCCCC</t>
  </si>
  <si>
    <t>NJPQAIBZIHNJDO-UHFFFAOYAA</t>
  </si>
  <si>
    <t>349495-42-7</t>
  </si>
  <si>
    <t>36653-82-4</t>
  </si>
  <si>
    <t>OCCCCCCCCCCCCCCCC</t>
  </si>
  <si>
    <t>BXWNKGSJHAJOGX-UHFFFAOYAS</t>
  </si>
  <si>
    <t>1-Hydroxypyrene</t>
  </si>
  <si>
    <t>5315-79-7</t>
  </si>
  <si>
    <t>Oc4ccc2c3c4ccc1cccc(c13)cc2</t>
  </si>
  <si>
    <t>BIJNHUAPTJVVNQ-UHFFFAOYAT  </t>
  </si>
  <si>
    <t>112-72-1</t>
  </si>
  <si>
    <t>OCCCCCCCCCCCCCC</t>
  </si>
  <si>
    <t>HLZKNKRTKFSKGZ-UHFFFAOYAP</t>
  </si>
  <si>
    <t>1120-36-1</t>
  </si>
  <si>
    <t>C(=C)CCCCCCCCCCCC</t>
  </si>
  <si>
    <t>HFDVRLIODXPAHB-UHFFFAOYAK  </t>
  </si>
  <si>
    <t>112-42-5</t>
  </si>
  <si>
    <t>OCCCCCCCCCCC</t>
  </si>
  <si>
    <t>KJIOQYGWTQBHNH-UHFFFAOYAP</t>
  </si>
  <si>
    <t>124378-77-4</t>
  </si>
  <si>
    <t>O1c2c(OC1([H])[H])c(c(c(c2[H])[H])Oc1c(c(c(c(n1)[H])[H])[H])C(=O)N(C(c1c(c(c(c(c1F)[H])OC([H])(C(=O)O[H])C([H])([H])[H])[H])[H])([H])[H])[H])[H]</t>
  </si>
  <si>
    <t>CNIGFESSDPOCKS-CESXVTINDW  </t>
  </si>
  <si>
    <t xml:space="preserve">Amides  +  Benzodioxoles </t>
  </si>
  <si>
    <t>NOCAS_48172</t>
  </si>
  <si>
    <t>O=C(O)/C=C/C(=O)O.O=C5c1ccccc1C(=O)N5CCc2nc(on2)c4ccc(CN3CCCCCC3)s4</t>
  </si>
  <si>
    <t>RBWGAPACMHUDKS-VXZWESAODM  </t>
  </si>
  <si>
    <t>111-90-0</t>
  </si>
  <si>
    <t>O(CCOCC)CCO</t>
  </si>
  <si>
    <t>XXJWXESWEXIICW-UHFFFAOYAC  </t>
  </si>
  <si>
    <t>214535-77-0</t>
  </si>
  <si>
    <t>FOC(=O)C(C(C(C(C(C(C([H])([H])[H])([H])[H])([H])[H])([H])[H])([H])[H])([H])[H])([H])[H]</t>
  </si>
  <si>
    <t>RDKFRONJBUXNSG-UHFFFAOYAE  </t>
  </si>
  <si>
    <t>89-72-5</t>
  </si>
  <si>
    <t>Oc(c(ccc1)C(CC)C)c1</t>
  </si>
  <si>
    <t>NGFPWHGISWUQOI-MRVPVSSYBG</t>
  </si>
  <si>
    <t>2-(Thiocyanomethylthio)benzothiazole</t>
  </si>
  <si>
    <t>112-50-5</t>
  </si>
  <si>
    <t>O(CCOCCOCC)CCO</t>
  </si>
  <si>
    <t>WFSMVVDJSNMRAR-UHFFFAOYAB  </t>
  </si>
  <si>
    <t>825643-57-0</t>
  </si>
  <si>
    <t>Fc1c(c(c2c(c1[H])c(c(n2C(c1c(c(c(c(c1[H])F)[H])[H])[H])([H])[H])C(=O)N(c1c(c(c2c(c1[H])c(c(n2[H])[H])[H])[H])[H])[H])[H])[H])[H]</t>
  </si>
  <si>
    <t>OCSHTBUKRNOLMC-LBOYIXSDCR  </t>
  </si>
  <si>
    <t>344930-95-6</t>
  </si>
  <si>
    <t>FC(c1c(c(c(c(c1[H])C(=O)N(C(C([H])(C(C([N+]12C(C(C(C(C1([H])[H])([H])[H])(C(C2([H])[H])([H])[H])C1(C(C(C(C(C1([H])[H])([H])[H])([H])[H])([H])[H])([H])[H])[H])([H])[H])([H])[H])([H])[H])([H])[H])c1c(c(c(c(c1[H])[Cl])[Cl])[H])[H])([H])[H])C([H])([H])[H])[H])C(F)(F)F)[H])(F)F</t>
  </si>
  <si>
    <t>DOEFHKCJVNNSBI-GNAFDRTKBD  </t>
  </si>
  <si>
    <t>224-Trimethyl-13-pentanediol diisobutyrate</t>
  </si>
  <si>
    <t>6846-50-0</t>
  </si>
  <si>
    <t>O=C(OCC(C)(C)C(OC(=O)C(C)C)C(C)C)C(C)C</t>
  </si>
  <si>
    <t>OMVSWZDEEGIJJI-ZDUSSCGKBV  </t>
  </si>
  <si>
    <t>IUGDILGOLSSKNE-UHFFFAOYAH  </t>
  </si>
  <si>
    <t>10222-01-2</t>
  </si>
  <si>
    <t>O=C(N)C(C#N)(Br)Br</t>
  </si>
  <si>
    <t>UUIVKBHZENILKB-IAUQMDSZCW  </t>
  </si>
  <si>
    <t xml:space="preserve">Haloacetamides +  Halo Nitriles </t>
  </si>
  <si>
    <t>23-Diaminotoluene</t>
  </si>
  <si>
    <t>2687-25-4</t>
  </si>
  <si>
    <t>Nc(c(ccc1)C)c1N</t>
  </si>
  <si>
    <t>AXNUJYHFQHQZBE-UHFFFAOYAT</t>
  </si>
  <si>
    <t>Anilines (amino-ortho)</t>
  </si>
  <si>
    <t>602-01-7</t>
  </si>
  <si>
    <t>O=N(=O)c(c(N(=O)=O)c(cc1)C)c1</t>
  </si>
  <si>
    <t>RSUJMRKEUQUMKL-UHFFFAOYAT</t>
  </si>
  <si>
    <t>245-Trichlorophenol</t>
  </si>
  <si>
    <t>95-95-4</t>
  </si>
  <si>
    <t>Oc(c(cc(c1Cl)Cl)Cl)c1</t>
  </si>
  <si>
    <t>LHJGJYXLEPZJPM-UHFFFAOYAR</t>
  </si>
  <si>
    <t>246-Trichlorophenol</t>
  </si>
  <si>
    <t>2772-45-4</t>
  </si>
  <si>
    <t>OC3(C(C(C)(C)C1(=CC=CC=C1))=CC(C(C)(C)C2(=CC=CC=C2))=CC=3)</t>
  </si>
  <si>
    <t>FXKFFTMLFPWYFH-MRKCVTOXDA  </t>
  </si>
  <si>
    <t>24-Dinitrophenol</t>
  </si>
  <si>
    <t>96-76-4</t>
  </si>
  <si>
    <t>Oc(c(cc(c1)C(C)(C)C)C(C)(C)C)c1</t>
  </si>
  <si>
    <t>ICKWICRCANNIBI-UHFFFAOYAJ  </t>
  </si>
  <si>
    <t>25-Di-tert-butylbenzene-14-diol</t>
  </si>
  <si>
    <t>88-58-4</t>
  </si>
  <si>
    <t>Oc(c(cc(O)c1C(C)(C)C)C(C)(C)C)c1</t>
  </si>
  <si>
    <t>JZODKRWQWUWGCD-UHFFFAOYAA  </t>
  </si>
  <si>
    <t>174185-16-1</t>
  </si>
  <si>
    <t>[Cl]c1c(c(c(c(c1C=1c3c(N(c2c(N1)c(n(n2)[H])C([H])([H])[H])[H])c(c(c(c3[H])[N+](=O)[O-])[H])[H])[H])[H])[H])[H]</t>
  </si>
  <si>
    <t>BMVKQRLYWSGGMM-PXPUHDKACU  </t>
  </si>
  <si>
    <t xml:space="preserve">Aliphatic Amines +  Pyrazoles/Pyrroles </t>
  </si>
  <si>
    <t>2-Amino-5-azotoluene</t>
  </si>
  <si>
    <t>97-56-3</t>
  </si>
  <si>
    <t>N(=Nc(c(ccc1)C)c1)c(ccc(N)c2C)c2</t>
  </si>
  <si>
    <t>PFRYFZZSECNQOL-WUKNDPDIBU  </t>
  </si>
  <si>
    <t>Anilines (Hindered)</t>
  </si>
  <si>
    <t>NOCAS_48518</t>
  </si>
  <si>
    <t>O=S(=O)(/C=C/c1cccs1)NC(=O)c2ccc(F)cc2Br</t>
  </si>
  <si>
    <t>QXWJDGMLSMFETH-SEUDNJCODI  </t>
  </si>
  <si>
    <t xml:space="preserve">Thiophenes +  Amides </t>
  </si>
  <si>
    <t>111-76-2</t>
  </si>
  <si>
    <t>O(CCCC)CCO</t>
  </si>
  <si>
    <t>POAOYUHQDCAZBD-UHFFFAOYAB</t>
  </si>
  <si>
    <t>532-27-4</t>
  </si>
  <si>
    <t>O=C(c(cccc1)c1)CCl</t>
  </si>
  <si>
    <t>IMACFCSSMIZSPP-UHFFFAOYAN  </t>
  </si>
  <si>
    <t>Halo Ketones (2 free H)</t>
  </si>
  <si>
    <t>742693-38-5</t>
  </si>
  <si>
    <t>[Cl]c1c(c2c(c(c1F)[H])C([H])(C(=O)N2C(=O)N([H])[H])C(=O)c1c(c(c(s1)[H])[Cl])[H])[H]</t>
  </si>
  <si>
    <t>TVBUSVDXSSKDSK-SJAHAVEEDU  </t>
  </si>
  <si>
    <t xml:space="preserve">Thiophenes +  Carbonyl Ureas </t>
  </si>
  <si>
    <t>6915-15-7</t>
  </si>
  <si>
    <t>O=C(O)CC(O)C(=O)O</t>
  </si>
  <si>
    <t>BJEPYKJPYRNKOW-UNARHQRYDX  </t>
  </si>
  <si>
    <t>149-30-4</t>
  </si>
  <si>
    <t>N(c(c(S1)ccc2)c2)=C1S</t>
  </si>
  <si>
    <t>YXIWHUQXZSMYRE-BGGKNDAXCG</t>
  </si>
  <si>
    <t>Thiols and Mercaptans</t>
  </si>
  <si>
    <t>120-71-8</t>
  </si>
  <si>
    <t>O(c(c(N)cc(c1)C)c1)C</t>
  </si>
  <si>
    <t>WXWCDTXEKCVRRO-UHFFFAOYAY  </t>
  </si>
  <si>
    <t>99-59-2</t>
  </si>
  <si>
    <t>O=N(=O)c(ccc(OC)c1N)c1</t>
  </si>
  <si>
    <t>XEGCKDVRHORJTK-UHFFFAOYAP  </t>
  </si>
  <si>
    <t>107-41-5</t>
  </si>
  <si>
    <t>OC(CC(O)(C)C)C</t>
  </si>
  <si>
    <t>SVTBMSDMJJWYQN-YFKPBYRVBS  </t>
  </si>
  <si>
    <t>95-53-4</t>
  </si>
  <si>
    <t>Nc(c(ccc1)C)c1</t>
  </si>
  <si>
    <t>RNVCVTLRINQCPJ-UHFFFAOYAD</t>
  </si>
  <si>
    <t>2-Naphthalenol</t>
  </si>
  <si>
    <t>135-19-3</t>
  </si>
  <si>
    <t>Oc(ccc(c1ccc2)c2)c1</t>
  </si>
  <si>
    <t>JWAZRIHNYRIHIV-UHFFFAOYAV</t>
  </si>
  <si>
    <t>91-59-8</t>
  </si>
  <si>
    <t>c(c(ccc1N)ccc2)(c2)c1</t>
  </si>
  <si>
    <t>JBIJLHTVPXGSAM-UHFFFAOYAA</t>
  </si>
  <si>
    <t>88-60-8</t>
  </si>
  <si>
    <t>Oc(c(ccc1C)C(C)(C)C)c1</t>
  </si>
  <si>
    <t>XOUQAVYLRNOXDO-UHFFFAOYAI  </t>
  </si>
  <si>
    <t>134002-60-1</t>
  </si>
  <si>
    <t>Fc1c(c(c(c(c1c1c(oc(n1)[H])C1=C(n2c(C(=C1[H])[H])nnc2C(C([H])([H])[H])(C([H])([H])[H])[H])[H])[H])F)[H])[H]</t>
  </si>
  <si>
    <t>UACOXBQBNWQWOK-UHFFFAOYAB  </t>
  </si>
  <si>
    <t>264618-44-2</t>
  </si>
  <si>
    <t>C(=O)(c1c(c(c(c(c1[H])[H])[H])[H])[H])OC(C(C(C(C(OC(=O)c1c(c(c(c(c1[H])[H])[H])[H])[H])([H])[H])([H])[H])([H])[H])([H])[H])([H])[H]</t>
  </si>
  <si>
    <t>UMNVFYKZOXQOLL-UHFFFAOYAA  </t>
  </si>
  <si>
    <t>686756-87-6</t>
  </si>
  <si>
    <t>[Br]c1c(c(c(c(c1N1C(c2c(N(C1=O)C([H])([H])[H])nc(nc2[H])N(c1c(c(c2c(c1[H])OC(C(O2)([H])C(O[H])([H])[H])([H])[H])[H])[H])[H])([H])[H])[H])[H])[H])[H]</t>
  </si>
  <si>
    <t>KCIDXSZMKJKCSV-NPIRHHPODV  </t>
  </si>
  <si>
    <t>402910-27-4</t>
  </si>
  <si>
    <t>C(N1C2(C(C(C1([H])[H])([H])N(C2([H])[H])c1c(c2c(c(c1F)[H])C(C(=C(N2C1(C(C1([H])[H])([H])[H])[H])[H])C(=O)O[H])=O)[H])([H])[H])[H])([H])([H])[H]</t>
  </si>
  <si>
    <t>QMLVECGLEOSESV-BVQQUMTRDC  </t>
  </si>
  <si>
    <t>Aliphatic Amines +  Vinyl/Allyl Ketones</t>
  </si>
  <si>
    <t>501027-49-2</t>
  </si>
  <si>
    <t>C(c1nc(c(c(n1)[H])C([H])(C(C(=O)O[H])([H])[H])C(C(C(C(C(C(c1c(c(c2c(n1)N(C(C(C2([H])[H])([H])[H])([H])[H])[H])[H])[H])([H])[H])([H])[H])([H])[H])([H])[H])([H])[H])([H])[H])[H])([H])([H])[H]</t>
  </si>
  <si>
    <t>NJDBZBVQIMZWPP-PCFASMRFDE  </t>
  </si>
  <si>
    <t>33?55?-Tetraiodothyroacetic acid</t>
  </si>
  <si>
    <t>67-30-1</t>
  </si>
  <si>
    <t>OC(=O)Cc1cc(I)c(Oc2cc(I)c(O)c(I)c2)c(I)c1</t>
  </si>
  <si>
    <t>33’55’-Tetrabromobisphenol A</t>
  </si>
  <si>
    <t>647-42-7</t>
  </si>
  <si>
    <t>FC(F)(F)C(F)(F)C(F)(F)C(F)(F)C(F)(F)C(F)(F)CCO</t>
  </si>
  <si>
    <t>GRJRKPMIRMSBNK-UHFFFAOYAS</t>
  </si>
  <si>
    <t>2144-53-8</t>
  </si>
  <si>
    <t>O=C(OCCC(F)(F)C(F)(F)C(F)(F)C(F)(F)C(F)(F)C(F)(F)F)C(=C)C</t>
  </si>
  <si>
    <t>CDXFIRXEAJABAZ-UHFFFAOYAT  </t>
  </si>
  <si>
    <t>Methacrylates</t>
  </si>
  <si>
    <t>20325-40-0</t>
  </si>
  <si>
    <t>COc1c(N(H)(H)(H)Cl)ccc(c2cc(OC)c(N(H)(H)(H)Cl)cc2)c1</t>
  </si>
  <si>
    <t>WOWWMEJZBIHYNI-RYWNGCACBN  </t>
  </si>
  <si>
    <t>119-93-7</t>
  </si>
  <si>
    <t>Nc(c(cc(c(ccc(N)c1C)c1)c2)C)c2</t>
  </si>
  <si>
    <t>NUIURNJTPRWVAP-UHFFFAOYAK  </t>
  </si>
  <si>
    <t>NC(Cc2cc(I)c(Oc1ccc(O)c(I)c1)c(I)c2)C(O)=O</t>
  </si>
  <si>
    <t>AUYYCJSJGJYCDS-YROMPDBNDH  </t>
  </si>
  <si>
    <t xml:space="preserve">Aliphatic Amines +  Phenols +  Phenol Amines </t>
  </si>
  <si>
    <t>The hormones, T&lt;sub&gt;4&lt;/sub&gt; and T&lt;sub&gt;3&lt;/sub&gt;, are tyrosine-based hormones produced by the thyroid gland. Iodine is an important component in their synthesis. The major form of thyroid hormone in the blood is thyroxine (T4). This is converted to the more active liothyronine form by deiodinases in peripheral tissues. Liothyronine acts on the body to increase the basal metabolic rate, affect protein synthesis and increase the body's sensitivity to catecholamines (such as adrenaline). The thyroid hormones are essential to proper development and differentiation of all cells of the human body. To various extents T&lt;sub&gt;4&lt;/sub&gt; and T&lt;sub&gt;3&lt;/sub&gt; regulate protein, fat and carbohydrate metabolism. Their most pronounced effect is on how human cells use energetic compounds. The thyroid hormone derivatives bind to the thyroid hormone receptors initially to initiate their downstream effects.</t>
  </si>
  <si>
    <t>5392-40-5</t>
  </si>
  <si>
    <t>O=CC=C(CCC=C(C)C)C</t>
  </si>
  <si>
    <t>WTEVQBCEXWBHNA-YFHOEESVBQ</t>
  </si>
  <si>
    <t>NOCAS_47379</t>
  </si>
  <si>
    <t>Cl.CCN(Cc1cccnc1)C(=O)c2cccc(Cl)c2[C@@]5(C)c3cc(Cl)ccc3N(Cc4ccc(OC)cc4OC)C5=O</t>
  </si>
  <si>
    <t>PUFYTIICXQIWOC-CFYXSCKTBL  </t>
  </si>
  <si>
    <t>3-Hydroxyfluorene</t>
  </si>
  <si>
    <t>6344-67-8</t>
  </si>
  <si>
    <t>O(c1c(c2c(c(c1[H])[H])C(c1c2c(c(c(c1[H])[H])[H])[H])([H])[H])[H])[H]</t>
  </si>
  <si>
    <t>PVUBSZGNXLNTLX-UHFFFAOYAA  </t>
  </si>
  <si>
    <t>3-Iodo-2-propynyl-N-butylcarbamate</t>
  </si>
  <si>
    <t>55406-53-6</t>
  </si>
  <si>
    <t>O=C(OCC#CI)NCCCC</t>
  </si>
  <si>
    <t>PKUZHLZHLVHAIO-TXBXWOFEDI  </t>
  </si>
  <si>
    <t>99-08-1</t>
  </si>
  <si>
    <t>N(=O)(=O)c(cccc1C)c1</t>
  </si>
  <si>
    <t>AIGYQIGLHFLKJF-UHFFFAOYAD</t>
  </si>
  <si>
    <t>353280-07-6</t>
  </si>
  <si>
    <t>4-(1133-Tetramethylbutyl)phenol</t>
  </si>
  <si>
    <t>140-66-9</t>
  </si>
  <si>
    <t>Oc(ccc(c1)C(CC(C)(C)C)(C)C)c1</t>
  </si>
  <si>
    <t>ISAVYTVYFVQUDY-UHFFFAOYAR  </t>
  </si>
  <si>
    <t>4-(2-Methylbutan-2-yl)phenol</t>
  </si>
  <si>
    <t>99-71-8</t>
  </si>
  <si>
    <t>Oc(ccc(c1)C(CC)C)c1</t>
  </si>
  <si>
    <t>ZUTYZAFDFLLILI-MRVPVSSYBN  </t>
  </si>
  <si>
    <t>1062243-51-9</t>
  </si>
  <si>
    <t>C1(C(C(C(C(C1([H])[H])([H])[H])([H])[H])([H])[H])([H])[H])(C1(C(C(C(C(C1([H])[H])([H])[H])=O)([H])[H])([H])[H])[H])[H]</t>
  </si>
  <si>
    <t>JLYNSPSTPQAEAX-UHFFFAOYAC  </t>
  </si>
  <si>
    <t>838-88-0</t>
  </si>
  <si>
    <t>Cc2cc(Cc1ccc(N)c(C)c1)ccc2N</t>
  </si>
  <si>
    <t>WECDUOXQLAIPQW-UHFFFAOYAJ  </t>
  </si>
  <si>
    <t>101-77-9</t>
  </si>
  <si>
    <t>Nc(ccc(c1)Cc(ccc(N)c2)c2)c1</t>
  </si>
  <si>
    <t>YBRVSVVVWCFQMG-UHFFFAOYAE  </t>
  </si>
  <si>
    <t>54-62-6</t>
  </si>
  <si>
    <t>c32nc(N)nc(N)c3nc(CNc1ccc(C(=O)NC(C(=O)O)CCC(=O)O)cc1)cn2</t>
  </si>
  <si>
    <t>TVZGACDUOSZQKY-XBGCRKGSDS  </t>
  </si>
  <si>
    <t xml:space="preserve">Anilines (Unhindered) +  Anilines (amino-meta) +  Amides </t>
  </si>
  <si>
    <t>63-05-8</t>
  </si>
  <si>
    <t>C1C(=O)C=C2CCC3C4CCC(=O)C4(C)CCC3C2(C)C1</t>
  </si>
  <si>
    <t>298198-52-4</t>
  </si>
  <si>
    <t>N(c1c(c(c(c(c1[H])[H])C(C(C1(OC(C(=C(C1([H])[H])O[H])Sc1c(c(c(c(c1C(C([H])([H])[H])(C([H])([H])[H])C([H])([H])[H])[H])C(O[H])([H])[H])C([H])([H])[H])[H])=O)C(C([H])([H])[H])(C([H])([H])[H])[H])([H])[H])([H])[H])[H])[H])([H])[H]</t>
  </si>
  <si>
    <t>ZUBPKHVCBGWWGO-NDEPHWFRBQ  </t>
  </si>
  <si>
    <t>Anilines (Unhindered) +  Esters +  Benzyl Alcohols +  Vinyl/Allyl Alcohols</t>
  </si>
  <si>
    <t>4-Chloro-12-diaminobenzene</t>
  </si>
  <si>
    <t>95-83-0</t>
  </si>
  <si>
    <t>Nc(c(N)cc(c1)Cl)c1</t>
  </si>
  <si>
    <t>BXIXXXYDDJVHDL-UHFFFAOYAR  </t>
  </si>
  <si>
    <t>4-Cumylphenol</t>
  </si>
  <si>
    <t>599-64-4</t>
  </si>
  <si>
    <t>Oc(ccc(c1)C(c(cccc2)c2)(C)C)c1</t>
  </si>
  <si>
    <t>QBDSZLJBMIMQRS-UHFFFAOYAW  </t>
  </si>
  <si>
    <t>4-Hexylresorcinol</t>
  </si>
  <si>
    <t>136-77-6</t>
  </si>
  <si>
    <t>Oc(c(ccc1O)CCCCCC)c1</t>
  </si>
  <si>
    <t>WFJIVOKAWHGMBH-UHFFFAOYAH  </t>
  </si>
  <si>
    <t>108-11-2</t>
  </si>
  <si>
    <t>OC(CC(C)C)C</t>
  </si>
  <si>
    <t>WVYWICLMDOOCFB-ZCFIWIBFBH</t>
  </si>
  <si>
    <t>106-44-5</t>
  </si>
  <si>
    <t>Oc(ccc(c1)C)c1</t>
  </si>
  <si>
    <t>IWDCLRJOBJJRNH-UHFFFAOYAN</t>
  </si>
  <si>
    <t>4-Nonylphenol</t>
  </si>
  <si>
    <t>104-40-5</t>
  </si>
  <si>
    <t>Oc(ccc(c1)CCCCCCCCC)c1</t>
  </si>
  <si>
    <t>IGFHQQFPSIBGKE-UHFFFAOYAO</t>
  </si>
  <si>
    <t>4-tert-Butylphenol</t>
  </si>
  <si>
    <t>NOCAS_48505</t>
  </si>
  <si>
    <t>[O-][N+](=O)c1cc2C(=Nc3c(Nc2cc1)nnc3C)c4ccccc4Cl</t>
  </si>
  <si>
    <t>RGQXGYYWZOSCDW-VJQWGOFSCO  </t>
  </si>
  <si>
    <t>NOCAS_48522</t>
  </si>
  <si>
    <t>FC(F)(F)C(=O)O.CCN(CC)C(=O)c1cc(c(cc1N(CC)CCN(C)C)N2CCC(CC2)c3ccccc3)S(=O)(=O)Cc4ccccc4</t>
  </si>
  <si>
    <t>SSHUJWMTBKSEAN-UHFFFAOYAY  </t>
  </si>
  <si>
    <t>162706-14-1</t>
  </si>
  <si>
    <t>C(c1nc(nc(n1)N1C(C(N(C(C1([H])[H])([H])C([H])([H])[H])c1c(c(nc(n1)C([H])(C([H])([H])[H])O[H])[H])[H])([H])C([H])([H])[H])([H])[H])C([H])([H])[H])([H])([H])[H]</t>
  </si>
  <si>
    <t>FTEQMUXMWCGJAF-GRYCIOLGBJ  </t>
  </si>
  <si>
    <t>Triazines, Aromatic +  Benzyl Alcohols</t>
  </si>
  <si>
    <t>57-41-0</t>
  </si>
  <si>
    <t>O=C1NC(=O)C(N1)(c2ccccc2)c3ccccc3</t>
  </si>
  <si>
    <t>CXOFVDLJLONNDW-XQMQJMAZCS  </t>
  </si>
  <si>
    <t>Phenytoin acts on sodium channels on the neuronal cell membrane, limiting the spread of seizure activity and reducing seizure propagation.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t>
  </si>
  <si>
    <t>521-18-6</t>
  </si>
  <si>
    <t>C1C(=O)CC2CCC3C4CCC(O)C4(C)CCC3C2(C)C1</t>
  </si>
  <si>
    <t>NVKAWKQGWWIWPM-DDMDKDBABO  </t>
  </si>
  <si>
    <t>2835-95-2</t>
  </si>
  <si>
    <t>Oc(c(ccc1N)C)c1</t>
  </si>
  <si>
    <t>DBFYESDCPWWCHN-UHFFFAOYAE</t>
  </si>
  <si>
    <t>5-Chloro-2-methyl-3(2H)-isothiazolone</t>
  </si>
  <si>
    <t>26172-55-4</t>
  </si>
  <si>
    <t>S1N(C)C(=O)C=C1Cl</t>
  </si>
  <si>
    <t>DHNRXBZYEKSXIM-UHFFFAOYAV  </t>
  </si>
  <si>
    <t>Thiazolones (Iso-) +  Vinyl/Allyl Halides</t>
  </si>
  <si>
    <t>7747-35-5</t>
  </si>
  <si>
    <t>O(CC(N1CO2)(CC)C2)C1</t>
  </si>
  <si>
    <t>ZRCMGIXRGFOXNT-UHFFFAOYAP  </t>
  </si>
  <si>
    <t>NOCAS_47366</t>
  </si>
  <si>
    <t>Fc1c(c(c(c(c1c1c(c(c(c(c1C#N)[H])[H])[H])F)[H])c1n2c(nc1[H])N=C(C(=N2)[H])C(C([H])([H])[H])(C([H])([H])[H])O[H])[H])[H]</t>
  </si>
  <si>
    <t>PCZLQMGFNUNVOM-UHFFFAOYAU  </t>
  </si>
  <si>
    <t>Benzyl Alcohols +  Imidazoles</t>
  </si>
  <si>
    <t>5-Heptyldihydro-2(3H)-furanone</t>
  </si>
  <si>
    <t>104-67-6</t>
  </si>
  <si>
    <t>O=C(OC(C1)CCCCCCC)C1</t>
  </si>
  <si>
    <t>PHXATPHONSXBIL-JTQLQIEIBD</t>
  </si>
  <si>
    <t>105624-86-0</t>
  </si>
  <si>
    <t>O(c1c(c2c(c(c1[H])[H])C(N(C2=O)c1c(c(c(c(c1C(C([H])([H])[H])(C([H])([H])[H])[H])[H])[H])[H])C(C([H])([H])[H])(C([H])([H])[H])[H])=O)[H])[H]</t>
  </si>
  <si>
    <t>LAKWINYVWJPHQW-UHFFFAOYAF  </t>
  </si>
  <si>
    <t>Imides +  Phenols</t>
  </si>
  <si>
    <t>NOCAS_47349</t>
  </si>
  <si>
    <t>Cl.O.Fc1ccc(cc1)[C@H]5CN(C)CCN5Cc2cc(co2)c3ccc4nc(O)oc4c3</t>
  </si>
  <si>
    <t>AQQUEQHDBYMTIW-UHFFFAOYAX  </t>
  </si>
  <si>
    <t>668981-02-0</t>
  </si>
  <si>
    <t>Fc1c(c(c(c(c1[H])[H])C1(C(C(N(C(C1([H])[H])([H])[H])C1([H])C(c2c(OC1([H])[H])c(c(c(c2[H])[H])O[H])[H])([H])O[H])([H])[H])([H])[H])O[H])[H])[H]</t>
  </si>
  <si>
    <t>JGYVZUCCBOVDJE-MJGOQNOKBJ  </t>
  </si>
  <si>
    <t>676116-04-4</t>
  </si>
  <si>
    <t>[Cl]c1c(c(c(c(c1[H])OC([H])([H])[H])c1c(sc(n1)N(C(=O)c1c(c2c(n1C(C(=O)O[H])([H])[H])c(c(c(c2[H])C([H])([H])[H])[H])C([H])([H])[H])[H])[H])C(C(C1(C(C(C(C(C1([H])[H])([H])[H])([H])[H])([H])[H])([H])[H])[H])([H])[H])([H])[H])[H])OC([H])([H])[H]</t>
  </si>
  <si>
    <t>UJGBTZUTZSMGCO-YLLUFXGECX  </t>
  </si>
  <si>
    <t>135080-03-4</t>
  </si>
  <si>
    <t>[Cl]c1c(c(c2c(c1[H])C(C1([H])SC(=NC12O[H])c1c(c(c(c(c1[H])[H])[H])[H])[H])([H])[H])[H])[H]</t>
  </si>
  <si>
    <t>RUBKYBIDEVUTQU-HOCLYGCPBD  </t>
  </si>
  <si>
    <t>91-62-3</t>
  </si>
  <si>
    <t>n(c(c(cc(c1)C)cc2)c1)c2</t>
  </si>
  <si>
    <t>LUYISICIYVKBTA-UHFFFAOYAD  </t>
  </si>
  <si>
    <t>8-Hydroxyquinoline</t>
  </si>
  <si>
    <t>148-24-3</t>
  </si>
  <si>
    <t>n(c(c(ccc1)cc2)c1O)c2</t>
  </si>
  <si>
    <t>MCJGNVYPOGVAJF-UHFFFAOYAG</t>
  </si>
  <si>
    <t>9-Phenanthrol</t>
  </si>
  <si>
    <t>484-17-3</t>
  </si>
  <si>
    <t>Oc1cc2c(c3c1cccc3)cccc2</t>
  </si>
  <si>
    <t>DZKIUEHLEXLYKM-UHFFFAOYAP</t>
  </si>
  <si>
    <t>30560-19-1</t>
  </si>
  <si>
    <t>COP(=O)(NC(C)=O)SC</t>
  </si>
  <si>
    <t>IJDNQMDRQITEOD-UHFFFAOYAE</t>
  </si>
  <si>
    <t xml:space="preserve">Esters +  Esters (phosphate) +  Amides </t>
  </si>
  <si>
    <t>1646-75-9</t>
  </si>
  <si>
    <t>N(O)=CC(SC)(C)C</t>
  </si>
  <si>
    <t>ZFGMCJAXIZTVJA-GQCTYLIABI</t>
  </si>
  <si>
    <t>25956-17-6</t>
  </si>
  <si>
    <t>COc1cc(c(C)cc1N=Nc2c(O)ccc3cc(ccc23)S(O)(=O)=O)S(O)(=O)=O</t>
  </si>
  <si>
    <t>HRVYKUWGUNFOHT-MERQFXBCBL  </t>
  </si>
  <si>
    <t>834-12-8</t>
  </si>
  <si>
    <t>CCNc1nc(NC(C)C)nc(SC)n1</t>
  </si>
  <si>
    <t>RQVYBGPQFYCBGX-PZWAIHAUCN</t>
  </si>
  <si>
    <t>19774-82-4</t>
  </si>
  <si>
    <t>c12OC(CCCC)=C(C(=O)c3cc(I)c(OCCN(Cl)(H)(CC)CC)c(I)c3)c1cccc2</t>
  </si>
  <si>
    <t>QNNBMSGFNQRUEH-PBNHRNPLDZ  </t>
  </si>
  <si>
    <t>3825-26-1</t>
  </si>
  <si>
    <t>N(H)(H)(H)(H)OC(=O)C(F)(F)C(F)(F)C(F)(F)C(F)(F)C(F)(F)C(F)(F)C(F)(F)F</t>
  </si>
  <si>
    <t>MBADKKBTYNLLEY-RNFRBKRXBO  </t>
  </si>
  <si>
    <t>446-86-6</t>
  </si>
  <si>
    <t>N(=O)(=O)c1ncn(C)c1Sc2ncnc3ncnc23</t>
  </si>
  <si>
    <t>MGAAAVZXBNPSEB-KZFATGLACE</t>
  </si>
  <si>
    <t>Azathioprine antagonizes purine metabolism and may inhibit synthesis of DNA, RNA, and proteins. It may also interfere with cellular metabolism and inhibit mitosis. Its mechanism of action is likely due to incorporation of thiopurine analogues into the DNA structure, causing chain termination and cytotoxicity.</t>
  </si>
  <si>
    <t>Benodanil</t>
  </si>
  <si>
    <t>15310-01-7</t>
  </si>
  <si>
    <t>Ic1ccccc1C(=O)Nc2ccccc2</t>
  </si>
  <si>
    <t>LJOZMWRYMKECFF-YAQRNVERCL</t>
  </si>
  <si>
    <t>98-87-3</t>
  </si>
  <si>
    <t>c(cccc1)(c1)C(Cl)Cl</t>
  </si>
  <si>
    <t>CAHQGWAXKLQREW-UHFFFAOYAD</t>
  </si>
  <si>
    <t>Benzyl Halides</t>
  </si>
  <si>
    <t>WWZKQHOCKIZLMA-BGGKNDAXCD</t>
  </si>
  <si>
    <t>58394-64-2</t>
  </si>
  <si>
    <t>CCCCC(CC)COC(=O)CCCCC(=O)OCc1ccccc1</t>
  </si>
  <si>
    <t>AYWLCKHHUFBVGJ-UHFFFAOYAC  </t>
  </si>
  <si>
    <t>Bisphenol AF</t>
  </si>
  <si>
    <t>1478-61-1</t>
  </si>
  <si>
    <t>FC(F)(F)C(c(ccc(O)c1)c1)(c(ccc(O)c2)c2)C(F)(F)F</t>
  </si>
  <si>
    <t>XEBWQGVWTUSTLN-YDGHRLQMCI  </t>
  </si>
  <si>
    <t>Bisphenol B</t>
  </si>
  <si>
    <t>77-40-7</t>
  </si>
  <si>
    <t>CC(c1ccc(O)cc1)(c2ccc(O)cc2)CC</t>
  </si>
  <si>
    <t>HTVITOHKHWFJKO-UHFFFAOYAH  </t>
  </si>
  <si>
    <t>55-98-1</t>
  </si>
  <si>
    <t>CS(=O)(=O)OCCCCOS(C)(=O)=O</t>
  </si>
  <si>
    <t>COVZYZSDYWQREU-UHFFFAOYAO  </t>
  </si>
  <si>
    <t>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This occurs through an SN2 reaction in which the relatively nucleophilic guanine N7 attacks the carbon adjacent to the mesylate leaving group. This kind of damage cannot be repaired by cellular machinery and thus the cell undergoes apoptosis.</t>
  </si>
  <si>
    <t>85-68-7</t>
  </si>
  <si>
    <t>O=C(OCc(cccc1)c1)c(c(ccc2)C(=O)OCCCC)c2</t>
  </si>
  <si>
    <t>IRIAEXORFWYRCZ-UHFFFAOYAR</t>
  </si>
  <si>
    <t>Butylparaben</t>
  </si>
  <si>
    <t>94-26-8</t>
  </si>
  <si>
    <t>O=C(OCCCC)c(ccc(O)c1)c1</t>
  </si>
  <si>
    <t>QFOHBWFCKVYLES-UHFFFAOYAN</t>
  </si>
  <si>
    <t>Esters +  Phenols</t>
  </si>
  <si>
    <t>91082-17-6</t>
  </si>
  <si>
    <t>184653-84-7</t>
  </si>
  <si>
    <t>C1([H])(C(C(Oc2c1c(c(c(c2[H])[H])C(=O)C([H])([H])[H])[H])(C([H])([H])[H])C([H])([H])[H])([H])O[H])N(C(=O)c1c(c(c(c(c1[H])[H])F)[H])[H])[H]</t>
  </si>
  <si>
    <t>RCLXAPJEFHPYEG-PGMYIAJZDF  </t>
  </si>
  <si>
    <t>10605-21-7</t>
  </si>
  <si>
    <t>c1ccc2nc(NC(=O)OC)nc2c1</t>
  </si>
  <si>
    <t>TWFZGCMQGLPBSX-QIQUEDJNCZ</t>
  </si>
  <si>
    <t>1563-66-2</t>
  </si>
  <si>
    <t>O=C(Oc(c(OC(C1)(C)C)c1cc2)c2)NC</t>
  </si>
  <si>
    <t>DUEPRVBVGDRKAG-NDKGDYFDCO</t>
  </si>
  <si>
    <t>Pillai, U.A., Ace, L.N., Dick, R.M., Ferguson, P.W., 1993. Carbofuran Metabolism and Acetylcholinesterase Inhibition in the Isolated Perfused Rat Lung. Pestic. Biochem. Phys. 45, 141-146.</t>
  </si>
  <si>
    <t>55285-14-8</t>
  </si>
  <si>
    <t>c1(O2)c(CC2(C)C)cccc1OC(=O)N(C)SN(CCCC)CCCC</t>
  </si>
  <si>
    <t>JLQUFIHWVLZVTJ-UHFFFAOYAN</t>
  </si>
  <si>
    <t>Aliphatic Amines +  Carbamate Esters, Phenyl</t>
  </si>
  <si>
    <t>1260-17-9</t>
  </si>
  <si>
    <t>O=C(O)c(c(O)cc(c1C(=O)c(c2c(O)c(O)c3C(OC(C(O)C4O)CO)C4O)c3O)C2(=O))c1C</t>
  </si>
  <si>
    <t>DGQLVPJVXFOQEV-MFOAEAKKDY  </t>
  </si>
  <si>
    <t>Chlordane</t>
  </si>
  <si>
    <t>57-74-9</t>
  </si>
  <si>
    <t>ClC1CC2C(C1Cl)C3(Cl)C(=C(Cl)C2(Cl)C3(Cl)Cl)Cl</t>
  </si>
  <si>
    <t>BIWJNBZANLAXMG-DSTOCCCFBX</t>
  </si>
  <si>
    <t>115-28-6</t>
  </si>
  <si>
    <t>O=C(O)C(C(C(=C(C12Cl)Cl)Cl)(C1(Cl)Cl)Cl)C2C(=O)O</t>
  </si>
  <si>
    <t>DJKGDNKYTKCJKD-HHUVELLPDR  </t>
  </si>
  <si>
    <t>2675-77-6</t>
  </si>
  <si>
    <t>COc1cc(Cl)c(OC)cc1Cl</t>
  </si>
  <si>
    <t>PFIADAMVCJPXSF-UHFFFAOYAJ</t>
  </si>
  <si>
    <t>69-09-0</t>
  </si>
  <si>
    <t>BDNFQGRSKSQXRI-XMMPIXPABT  </t>
  </si>
  <si>
    <t>101-21-3</t>
  </si>
  <si>
    <t>CC(C)OC(=O)Nc1cccc(Cl)c1</t>
  </si>
  <si>
    <t>CWJSHJJYOPWUGX-XWKXFZRBCN</t>
  </si>
  <si>
    <t>87818-31-3</t>
  </si>
  <si>
    <t>C1C(C(C)C)(O2)CCC2(C)C1OCc3ccccc3C</t>
  </si>
  <si>
    <t>QMTNOLKHSWIQBE-KURKYZTEBA</t>
  </si>
  <si>
    <t>199171-88-5</t>
  </si>
  <si>
    <t>C(#N)C1(C(C(C(C(C1([H])[H])([H])[H])([H])C(=O)O[H])([H])[H])([H])[H])c1c(c2c(c(c1[H])[H])c(nn2C1(C(C(C(C(C1([H])[H])([H])[H])([H])[H])([H])[H])([H])[H])[H])C(C([H])([H])[H])([H])[H])[H]</t>
  </si>
  <si>
    <t>PRUGWHGQBHEDAX-IDUKOLOODL  </t>
  </si>
  <si>
    <t xml:space="preserve">Benzyl Nitriles  +  Pyrazoles/Pyrroles </t>
  </si>
  <si>
    <t>637-07-0</t>
  </si>
  <si>
    <t>CCOC(=O)C(C)(C)Oc1ccc(Cl)cc1</t>
  </si>
  <si>
    <t>KNHUKKLJHYUCFP-UHFFFAOYAE  </t>
  </si>
  <si>
    <t>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PPAR-α receptor[4] in muscle, liver, and other tissues. This agonism ultimately leads to modification in gene expression resulting in increased beta-oxidation, decreased triglyceride secretion, increased HDL, increased lipoprotein lipase activity.</t>
  </si>
  <si>
    <t>Clomiphene citrate</t>
  </si>
  <si>
    <t>50-41-9</t>
  </si>
  <si>
    <t>c1cc(OCCN(CC)CC)ccc1C(c2ccccc2)=C(c3ccccc3)Cl</t>
  </si>
  <si>
    <t>WCXCYMKDQGYICK-IRLTVCOSDE  </t>
  </si>
  <si>
    <t>Aliphatic Amines +  Vinyl/Allyl Halides</t>
  </si>
  <si>
    <t>1702-17-6</t>
  </si>
  <si>
    <t>OC(=O)c1nc(Cl)ccc1Cl</t>
  </si>
  <si>
    <t>HUBANNPOLNYSAD-KZFATGLACP</t>
  </si>
  <si>
    <t xml:space="preserve">Halopyrdines  +  Pyridine-alpha-Acid </t>
  </si>
  <si>
    <t>8000-34-8</t>
  </si>
  <si>
    <t>OC1=C(OC)C=C(CC=C)C=C1</t>
  </si>
  <si>
    <t>The precise mechanism of action has not been completely established. In patients with gout, colchicine apparently interrupts the cycle of monosodium urate crystal deposition in joint tissues and the resultant inflammatory response that initiates and sustains an acute attack. Colchicine decreases leukocyte chemotaxis and phagocytosis and inhibits the formation and release of a chemotactic glycoprotein that is produced during phagocytosis of urate crystals. Colchicine also inhibits urate crystal deposition, which is enhanced by a low pH in the tissues, probably by inhibiting oxidation of glucose and subsequent lactic acid production in leukocytes. Colchicine has no analgesic or antihyperuricemic activity. Colchicine inhibits microtubule assembly in various cells, including leukocytes, probably by binding to and interfering with polymerization of the microtubule subunit tubulin. Although some studies have found that this action probably does not contribute significantly to colchicine's antigout action, a recent in vitro study has shown that it may be at least partially involved.</t>
  </si>
  <si>
    <t>486-56-6</t>
  </si>
  <si>
    <t>c1ncccc1C2CCC(=O)N2C</t>
  </si>
  <si>
    <t>UIKROCXWUNQSPJ-VIFPVBQEBC  </t>
  </si>
  <si>
    <t>91-64-5</t>
  </si>
  <si>
    <t>80-15-9</t>
  </si>
  <si>
    <t>O(O)C(c(cccc1)c1)(C)C</t>
  </si>
  <si>
    <t>YQHLDYVWEZKEOX-UHFFFAOYAJ</t>
  </si>
  <si>
    <t>Peroxy Acids</t>
  </si>
  <si>
    <t>420-04-2</t>
  </si>
  <si>
    <t>N#CN</t>
  </si>
  <si>
    <t>XZMCDFZZKTWFGF-UHFFFAOYAW</t>
  </si>
  <si>
    <t>108-80-5</t>
  </si>
  <si>
    <t>N1C(=O)NC(=O)NC1=O</t>
  </si>
  <si>
    <t>ZFSLODLOARCGLH-BCPQCFKBCP</t>
  </si>
  <si>
    <t>Cycloheximide</t>
  </si>
  <si>
    <t>4449-51-8</t>
  </si>
  <si>
    <t>CC5=C6CC3C4(C(=CCC3C6CCC51OC2CC(C)CNC2C1C)CC(CC4)O)C</t>
  </si>
  <si>
    <t>FBHVLXPAVDSKAM-UHFFFAOYAU  </t>
  </si>
  <si>
    <t>Aliphatic Amines +  Vinyl/Allyl Ethers</t>
  </si>
  <si>
    <t>427-51-0</t>
  </si>
  <si>
    <t>C12(C)CCC3C4(C)C5CC5C(=O)C=C4C(Cl)=CC3C1CCC2(C(=O)C)OC(=O)C</t>
  </si>
  <si>
    <t>UWFYSQMTEOIJJG-FDTZYFLXBD  </t>
  </si>
  <si>
    <t>Esters +  Vinyl/Allyl Ketones +  Vinyl/Allyl Halides</t>
  </si>
  <si>
    <t>486-66-8</t>
  </si>
  <si>
    <t>Oc1ccc2C(=O)C(c3ccc(O)cc3)=COc2c1</t>
  </si>
  <si>
    <t>ZQSIJRDFPHDXIC-UHFFFAOYAG  </t>
  </si>
  <si>
    <t>75-99-0</t>
  </si>
  <si>
    <t>O=C(O)C(Cl)(Cl)C</t>
  </si>
  <si>
    <t>NDUPDOJHUQKPAG-BRMMOCHJCA</t>
  </si>
  <si>
    <t>139340-56-0</t>
  </si>
  <si>
    <t>c1(c(c(c(c(c1C(C(C(C([H])([H])[H])(C([H])([H])[H])C([H])([H])[H])([H])[H])(C([H])([H])[H])C([H])([H])[H])[H])[H])O[H])n1nc2c(n1)c(c(c(c2[H])[H])[H])[H])[H]</t>
  </si>
  <si>
    <t>IYAZLDLPUNDVAG-UHFFFAOYAH  </t>
  </si>
  <si>
    <t>Benzotriazoles +  Phenols</t>
  </si>
  <si>
    <t>1007-28-9</t>
  </si>
  <si>
    <t>Clc1nc(N)nc(NCC)n1</t>
  </si>
  <si>
    <t>IVENSCMCQBJAKW-XLKFYZMLCU  </t>
  </si>
  <si>
    <t>Anilines (Unhindered) +  Triazines, Aromatic</t>
  </si>
  <si>
    <t>Diallyl phthalate</t>
  </si>
  <si>
    <t>131-17-9</t>
  </si>
  <si>
    <t>O=C(OCC=C)c(c(ccc1)C(=O)OCC=C)c1</t>
  </si>
  <si>
    <t>QUDWYFHPNIMBFC-UHFFFAOYAG</t>
  </si>
  <si>
    <t>132-64-9</t>
  </si>
  <si>
    <t>o(c(c(c1cccc2)ccc3)c3)c12</t>
  </si>
  <si>
    <t>TXCDCPKCNAJMEE-UHFFFAOYAX</t>
  </si>
  <si>
    <t>3252-43-5</t>
  </si>
  <si>
    <t>N#CC(Br)Br</t>
  </si>
  <si>
    <t>NDSBDLSWTGLNQA-UHFFFAOYAF  </t>
  </si>
  <si>
    <t xml:space="preserve">Halo Nitriles </t>
  </si>
  <si>
    <t>1194-65-6</t>
  </si>
  <si>
    <t>Clc1cccc(Cl)c1C#N</t>
  </si>
  <si>
    <t>YOYAIZYFCNQIRF-UHFFFAOYAG</t>
  </si>
  <si>
    <t>120-36-5</t>
  </si>
  <si>
    <t>O=C(O)C(Oc(c(cc(c1)Cl)Cl)c1)C</t>
  </si>
  <si>
    <t>MZHCENGPTKEIGP-UYMMHKGLDC</t>
  </si>
  <si>
    <t>Diclofenac sodium</t>
  </si>
  <si>
    <t>80-43-3</t>
  </si>
  <si>
    <t>O(OC(c(cccc1)c1)(C)C)C(c(cccc2)c2)(C)C</t>
  </si>
  <si>
    <t>XMNIXWIUMCBBBL-UHFFFAOYAA  </t>
  </si>
  <si>
    <t>Didecyldimethylammonium chloride</t>
  </si>
  <si>
    <t>7173-51-5</t>
  </si>
  <si>
    <t>N(Cl)(C)(C)(CCCCCCCCCC)CCCCCCCCCC</t>
  </si>
  <si>
    <t>KWJVJLBVGUHGRW-UHFFFAOYAR  </t>
  </si>
  <si>
    <t>GABA-inhibitor</t>
  </si>
  <si>
    <t>64-67-5</t>
  </si>
  <si>
    <t>O=S(=O)(OCC)OCC</t>
  </si>
  <si>
    <t>DENRZWYUOJLTMF-UHFFFAOYAR</t>
  </si>
  <si>
    <t>120-55-8</t>
  </si>
  <si>
    <t>O=C(OCCOCCOC(=O)c(cccc1)c1)c(cccc2)c2</t>
  </si>
  <si>
    <t>GJRPAGNTTAPJCC-CSKMVECVCJ  </t>
  </si>
  <si>
    <t>Diethylstilbestrol</t>
  </si>
  <si>
    <t>56-53-1</t>
  </si>
  <si>
    <t>Oc(ccc(C(=C(c(ccc(O)c1)c1)CC)CC)c2)c2</t>
  </si>
  <si>
    <t>RGLYKWWBQGJZGM-ISLYRVAYBW  </t>
  </si>
  <si>
    <t>Estrogens diffuse into their target cells and interact with a protein receptor, the estrogen receptor. Target cells include the female reproductive tract, the mammary gland, the hypothalamus, and the pituitary. The effect of Estrogen binding their receptors causes downstream increases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t>
  </si>
  <si>
    <t>84-69-5</t>
  </si>
  <si>
    <t>O=C(OCC(C)C)c(c(ccc1)C(=O)OCC(C)C)c1</t>
  </si>
  <si>
    <t>MGWAVDBGNNKXQV-UHFFFAOYAA</t>
  </si>
  <si>
    <t>108-59-8</t>
  </si>
  <si>
    <t>O=C(OC)CC(=O)OC</t>
  </si>
  <si>
    <t>BEPAFCGSDWSTEL-UHFFFAOYAJ</t>
  </si>
  <si>
    <t>75-60-5</t>
  </si>
  <si>
    <t>C[As](C)(O)=O</t>
  </si>
  <si>
    <t>OGGXGZAMXPVRFZ-JLSKMEETCG  </t>
  </si>
  <si>
    <t>Dinoseb</t>
  </si>
  <si>
    <t>88-85-7</t>
  </si>
  <si>
    <t>N(=O)(=O)c(cc(N(=O)(=O))c(O)c1C(CC)C)c1</t>
  </si>
  <si>
    <t>JGRAPKJMMFUWNQ-LURJTMIEBG</t>
  </si>
  <si>
    <t>Palmeira, C.M., Moreno, A.J., Madeira, V.M.C., 1994. Interactions of herbicides 2, 4-D and dinoseb with liver mitochondrial bioenergetics. Toxicol. Appl. Pharmacol. 127, 50-57.</t>
  </si>
  <si>
    <t>2432-87-3</t>
  </si>
  <si>
    <t>CCCCCCCCOC(=O)CCCCCCCCC(=O)OCCCCCCCC</t>
  </si>
  <si>
    <t>YOWOTOHIKCWSMZ-UHFFFAOYAY  </t>
  </si>
  <si>
    <t>Dipropyl pyridine-25-dicarboxylate</t>
  </si>
  <si>
    <t>97-77-8</t>
  </si>
  <si>
    <t>N(C(=S)SSC(N(CC)CC)=S)(CC)CC</t>
  </si>
  <si>
    <t>AUZONCFQVSMFAP-UHFFFAOYAF  </t>
  </si>
  <si>
    <t>Alcohol dehydrogenase inhibition</t>
  </si>
  <si>
    <t>Carper, W.R., Dorey, R.C., Beber, J.H., 1987. Inhibitory effect of disulfiram (Antabuse) on alcohol dehydrogenase activity. Clin. Chem. 33, 1906-1908.</t>
  </si>
  <si>
    <t>27323-41-7</t>
  </si>
  <si>
    <t>c1cc(CCCCCCCCCCCC)ccc1S(=O)(=O)ON(CCO)(CCO)CCO</t>
  </si>
  <si>
    <t>Dodecylbenzenesulfonic acid</t>
  </si>
  <si>
    <t>WBIQQQGBSDOWNP-LILDFLRNCF</t>
  </si>
  <si>
    <t>112-00-5</t>
  </si>
  <si>
    <t>CCCCCCCCCCCCN(Cl)(C)(C)C</t>
  </si>
  <si>
    <t>IRDXQRRWKIIKDG-UHFFFAOYAV  </t>
  </si>
  <si>
    <t>361343-19-3</t>
  </si>
  <si>
    <t>[Cl]c1c(c(c2c(c1[H])C(C(=O)N2S(=O)(=O)c1c(c(c(c(c1OC([H])([H])[H])[H])OC([H])([H])[H])[H])[H])(c1c(c(c(c(c1OC([H])([H])[H])[H])[H])[H])[H])N1C(C(C(C1([H])C(=O)N(C([H])([H])[H])C([H])([H])[H])([H])[H])([H])O[H])([H])[H])[H])[H]</t>
  </si>
  <si>
    <t>NJXZWIIMWNEOGJ-WEWKHQNJBV  </t>
  </si>
  <si>
    <t>Emamectin benzoate</t>
  </si>
  <si>
    <t>155569-91-8</t>
  </si>
  <si>
    <t>C15(OC2(C(C(C1([H])[H])([H])OC(C4(C3(C(=C(C(=C(C(C(C(=C(C2([H])[H])[H])C([H])([H])[H])([H])OC1([H])OC(C(C(C1([H])[H])([H])OC([H])([H])[H])([H])OC1([H])OC(C(C(C1([H])[H])([H])OC([H])([H])[H])([H])N([H])C([H])([H])[H])([H])C([H])([H])[H])([H])C([H])([H])[H])([H])C([H])([H])[H])[H])[H])[H])C(OC3(C(C(=C4[H])C([H])([H])[H])([H])O[H])[H])([H])[H])O[H])[H])=O)([H])[H])[H])C(=C(C(C(O5)([H])C([H])(C(C([H])([H])[H])([H])[H])C([H])([H])[H])([H])C([H])([H])[H])[H])[H]</t>
  </si>
  <si>
    <t>DQMFHPAEYSWXLZ-XWVCPFKXBQ  </t>
  </si>
  <si>
    <t>Aliphatic Amines +  Esters +  Vinyl/Allyl Ethers +  Vinyl/Allyl Alcohols</t>
  </si>
  <si>
    <t>66230-04-4</t>
  </si>
  <si>
    <t>53-16-7</t>
  </si>
  <si>
    <t>O=C(C(C(C(C(c(c(cc(O)c1)C2)c1)C3)C2)C4)(C3)C)C4</t>
  </si>
  <si>
    <t>DNXHEGUUPJUMQT-CUSZFKRNBB  </t>
  </si>
  <si>
    <t>Estrogens enter the cells of responsive tissues (e.g. female organs, breasts, hypothalamus, pituitary) where they interact with estrogen receptors. Hormone-bound estrogen receptors dimerize, translocate to the nucleus of cells and bind to estrogen response elements (ERE) of genes. Binding to ERE alters the transcription rate of affected genes. Estrogens increase the hepatic synthesis of sex hormone binding globulin (SHBG), thyroid-binding globulin (TBG), and other serum proteins and suppress follicle-stimulating hormone (FSH) release from the anterior pituitary.</t>
  </si>
  <si>
    <t>26225-79-6</t>
  </si>
  <si>
    <t>CCOC2Oc1ccc(OS(C)(=O)=O)cc1C2(C)C</t>
  </si>
  <si>
    <t>IRCMYGHHKLLGHV-GFCCVEGCBX</t>
  </si>
  <si>
    <t>91-53-2</t>
  </si>
  <si>
    <t>O(c(ccc(NC(C=C1C)(C)C)c12)c2)CC</t>
  </si>
  <si>
    <t>DECIPOUIJURFOJ-UHFFFAOYAT</t>
  </si>
  <si>
    <t>929601-09-2</t>
  </si>
  <si>
    <t>[Cl]c1c(c(c(c2c1C(N1C(C(C(C(C(C1=N2)([H])[H])([H])[H])([H])[H])([H])[H])([H])[H])([H])[H])[H])[Cl])[H]</t>
  </si>
  <si>
    <t>KPVQNWQDBLOUQW-UHFFFAOYAL  </t>
  </si>
  <si>
    <t>NOCAS_47389</t>
  </si>
  <si>
    <t>Cl.CS(=O)(=O)Nc1cc(ccc1O)OC[C@@H](O)CN[C@H]2CC[C@@H](CC2)c3ccc(cc3)C(=O)OCC</t>
  </si>
  <si>
    <t>107-21-1</t>
  </si>
  <si>
    <t>OCCO</t>
  </si>
  <si>
    <t>LYCAIKOWRPUZTN-UHFFFAOYAD</t>
  </si>
  <si>
    <t>96-45-7</t>
  </si>
  <si>
    <t>N(C(=S)NC1)C1</t>
  </si>
  <si>
    <t>PDQAZBWRQCGBEV-NUMVZRSTCH</t>
  </si>
  <si>
    <t xml:space="preserve">Thioureas </t>
  </si>
  <si>
    <t>Breakdown products of Dithiocarbamate fungicide, MoA unknown or multisite</t>
  </si>
  <si>
    <t>129299-90-7</t>
  </si>
  <si>
    <t>n12c3c(c(c1C(C(C([H])(C2=O)C(c1nc(n(c1C([H])([H])[H])[H])[H])([H])[H])([H])[H])([H])[H])C([H])([H])[H])c(c(c(c3[H])[H])[H])[H]</t>
  </si>
  <si>
    <t>YCOYHAQXLVQKKA-CVIWWFOODY  </t>
  </si>
  <si>
    <t xml:space="preserve">Imidazoles +  Pyrazoles/Pyrroles </t>
  </si>
  <si>
    <t>196808-45-4</t>
  </si>
  <si>
    <t>C(=O)(c1c(c(c(c(c1[H])[H])[H])[H])[H])OC(C(C(C(C(C(OC(=O)c1c(c(c(c(c1[H])[H])[H])[H])[H])([H])[H])([H])[H])([H])[H])([H])[H])([H])[H])([H])[H]</t>
  </si>
  <si>
    <t>TYTTZVDFWCBYPG-UHFFFAOYAI  </t>
  </si>
  <si>
    <t>Fenamiphos</t>
  </si>
  <si>
    <t>22224-92-6</t>
  </si>
  <si>
    <t>CCOP(=O)(NC(C)C)Oc1ccc(SC)c(C)c1</t>
  </si>
  <si>
    <t>ZCJPOPBZHLUFHF-XWYFDJTIDI</t>
  </si>
  <si>
    <t>49562-28-9</t>
  </si>
  <si>
    <t>Clc1ccc(C(=O)c2ccc(OC(C)(C)C(=O)OC(C)C)cc2)cc1</t>
  </si>
  <si>
    <t>YMTINGFKWWXKFG-UHFFFAOYAW  </t>
  </si>
  <si>
    <t>Fenofibrate exerts its therapeutic effects through activation of peroxisome proliferator activated receptor a (PPARa). This increases lipolysis and elimination of triglyceride-rich particles from plasma by activating lipoprotein lipase and reducing production of apoprotein C-III. The resulting fall in triglycerides produces an alteration in the size and composition of LDL from small, dense particles, to large buoyant particles. These larger particles have a greater affinity for cholesterol receptors and are catabolized rapidly.</t>
  </si>
  <si>
    <t>86386-73-4</t>
  </si>
  <si>
    <t>OC(Cn1cncn1)(Cn2cncn2)c3ccc(F)cc3F</t>
  </si>
  <si>
    <t>RFHAOTPXVQNOHP-UHFFFAOYAZ  </t>
  </si>
  <si>
    <t>Fluconazole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Fluconazole may also inhibit endogenous respiration, interact with membrane phospholipids, inhibit the transformation of yeasts to mycelial forms, inhibit purine uptake, and impair triglyceride and/or phospholipid biosynthesis.</t>
  </si>
  <si>
    <t>Flumetralin</t>
  </si>
  <si>
    <t>62924-70-3</t>
  </si>
  <si>
    <t>N(=O)(=O)c1cc(C(F)(F)F)cc(N(=O)(=O))c1N(CC)Cc2c(F)cccc2Cl</t>
  </si>
  <si>
    <t>WGOZEJSHCDNHJL-UHFFFAOYAL</t>
  </si>
  <si>
    <t>98886-44-3</t>
  </si>
  <si>
    <t>O=P(OCC)(SC(C)CC)N1C(=O)SCC1</t>
  </si>
  <si>
    <t>DUFVKSUJRWYZQP-CLAHSXSEBW</t>
  </si>
  <si>
    <t xml:space="preserve">Esters (phosphate) +  Thiazolidinones +  Thiocarbamates, Mono </t>
  </si>
  <si>
    <t>330198-91-9</t>
  </si>
  <si>
    <t>129453-61-8</t>
  </si>
  <si>
    <t>c4cc2c(cc4O)CC(CCCCCCCCCS(CCCC(C(F)(F)F)(F)F)=O)C1C3C(C)(CCC21)C(O)CC3</t>
  </si>
  <si>
    <t>VWUXBMIQPBEWFH-CIAKRVSBBA  </t>
  </si>
  <si>
    <t>Fulvestrant competitively and reversibly binds to estrogen receptors present in cancer cells and achieves its anti-estrogen effects through two separate mechanisms. First, fulvestrant binds to the receptors and downregulates them so that estrogen is no longer able to bind to these receptors. Second, fulvestrant degrades the estrogen receptors to which it is bound. Both of these mechanisms inhibit the growth of tamoxifen-resistant as well as estrogen-sensitive human breast cancer cell lines.</t>
  </si>
  <si>
    <t>98-01-1</t>
  </si>
  <si>
    <t>O=CC(OC=C1)=C1</t>
  </si>
  <si>
    <t>HYBBIBNJHNGZAN-UHFFFAOYAD</t>
  </si>
  <si>
    <t>Gentian violet</t>
  </si>
  <si>
    <t>548-62-9</t>
  </si>
  <si>
    <t>CN(C)c1ccc(cc1)C(=C2C=CC(C=C2)=N(Cl)(C)C)c3ccc(cc3)N(C)C</t>
  </si>
  <si>
    <t>PRRAPKIUFVMGHC-UHFFFAOYAA  </t>
  </si>
  <si>
    <t>106-24-1</t>
  </si>
  <si>
    <t>OCC=C(CCC=C(C)C)C</t>
  </si>
  <si>
    <t>GLZPCOQZEFWAFX-JXMROGBWBZ  </t>
  </si>
  <si>
    <t>111-30-8</t>
  </si>
  <si>
    <t>O=CCCCC=O</t>
  </si>
  <si>
    <t>SXRSQZLOMIGNAQ-UHFFFAOYAO  </t>
  </si>
  <si>
    <t>56-81-5</t>
  </si>
  <si>
    <t>51235-04-2</t>
  </si>
  <si>
    <t>O=C(N=C(N(C1=O)C)N(C)C)N1C(CCCC2)C2</t>
  </si>
  <si>
    <t>CAWXEEYDBZRFPE-UHFFFAOYAU</t>
  </si>
  <si>
    <t>Aliphatic Amines +  Triazines, Aromatic</t>
  </si>
  <si>
    <t>Hydroxyflutamide</t>
  </si>
  <si>
    <t>52806-53-8</t>
  </si>
  <si>
    <t>c1c(C(F)(F)F)c(N(=O)=O)ccc1NC(=O)C(O)(C)C</t>
  </si>
  <si>
    <t>FYSMUJYRVCSGJV-YAQRNVERCH  </t>
  </si>
  <si>
    <t>81334-34-1</t>
  </si>
  <si>
    <t>n1cccc(C(=O)O)c1C2=NC(C)(C(C)C)C(=O)N2</t>
  </si>
  <si>
    <t>CLQMBPJKHLGMQK-BNFIZZJUDE  </t>
  </si>
  <si>
    <t>YSEIERAVWGKROM-DLSJENCCDX</t>
  </si>
  <si>
    <t>Indium arsenide</t>
  </si>
  <si>
    <t>1303-11-3</t>
  </si>
  <si>
    <t>[In]#[As]</t>
  </si>
  <si>
    <t>Indoxacarb</t>
  </si>
  <si>
    <t>173584-44-6</t>
  </si>
  <si>
    <t>Clc1ccc2C3=NN(C(=O)N(C(=O)OC)c4ccc(OC(F)(F)F)cc4)COC3(C(=O)OC)Cc2c1</t>
  </si>
  <si>
    <t>VBCVPMMZEGZULK-OAQYLSRUBR</t>
  </si>
  <si>
    <t xml:space="preserve">Hydrazines +  Carbamate Esters  +  Carbonyl Ureas </t>
  </si>
  <si>
    <t>Voltage-dependent sodium channel blockers</t>
  </si>
  <si>
    <t>36734-19-7</t>
  </si>
  <si>
    <t>c1c(Cl)cc(Cl)cc1N2C(=O)CN(C(=O)NC(C)C)C2(=O)</t>
  </si>
  <si>
    <t>ONUFESLQCSAYKA-WYUMXYHSCC</t>
  </si>
  <si>
    <t>106-27-4</t>
  </si>
  <si>
    <t>O=C(OCCC(C)C)CCC</t>
  </si>
  <si>
    <t>PQLMXFQTAMDXIZ-UHFFFAOYAT  </t>
  </si>
  <si>
    <t>33820-53-0</t>
  </si>
  <si>
    <t>CCCN(CCC)c1c(cc(cc1N(=O)=O)C(C)C)N(=O)=O</t>
  </si>
  <si>
    <t>RGDIUSXTJXDXRL-UHFFFAOYAT</t>
  </si>
  <si>
    <t>Kepone</t>
  </si>
  <si>
    <t>143-50-0</t>
  </si>
  <si>
    <t>ClC2(Cl)C4(Cl)C1(Cl)C5(Cl)C(=O)C3(Cl)C1(Cl)C2(Cl)C3(Cl)C45Cl</t>
  </si>
  <si>
    <t>LHHGDZSESBACKH-RCJZDJILBD</t>
  </si>
  <si>
    <t>65277-42-1</t>
  </si>
  <si>
    <t>CC(=O)N(C1)CCN(C1)c(c2)ccc(c2)OCC(CO3)OC3(Cn4cncc4)c5c(Cl)cc(Cl)cc5</t>
  </si>
  <si>
    <t>XMAYWYJOQHXEEK-OZXSUGGEBE</t>
  </si>
  <si>
    <t>Ketoconazole interacts with 14-&amp;alpha; demethylase, a cytochrome P-450 enzyme necessary for the conversion of lanosterol to ergosterol. This results in inhibition of ergosterol synthesis and increased fungal cellular permeability. Other mechanisms may involve the inhibition of endogenous respiration, interaction with membrane phospholipids, inhibition of yeast transformation to mycelial forms, inhibition of purine uptake, and impairment of triglyceride and/or phospholipid biosynthesis. Ketoconazole can also inhibit the synthesis of thromboxane and sterols such as aldosterone, cortisol, and testosterone.</t>
  </si>
  <si>
    <t>Lovastatin</t>
  </si>
  <si>
    <t>75330-75-5</t>
  </si>
  <si>
    <t>CCC(C)C(=O)OC1CC(C)C=C(C12)C=CC(C)C2CCC3OC(=O)CC(O)C3</t>
  </si>
  <si>
    <t>PCZOHLXUXFIOCF-FMNPGBCEBC  </t>
  </si>
  <si>
    <t>Lovastatin is structurally similar to the HMG, a substituent of the endogenous substrate of HMG-CoA reductase. Lovastatin is a prodrug that is activated &lt;i&gt;in vivo&lt;/i&gt; via hydrolysis of the lactone ring. The hydrolyzed lactone ring mimics the tetrahedral intermediate produced by the reductase allowing the agent to bind with 20,000 times greater affinity than its natural substrate. The bicyclic portion of lovastatin binds to the coenzyme A portion of the active site.</t>
  </si>
  <si>
    <t>1634-78-2</t>
  </si>
  <si>
    <t>CCOC(=O)CC(SP(=O)(OC)OC)C(=O)OCC</t>
  </si>
  <si>
    <t>WSORODGWGUUOBO-QMMMGPOBBT</t>
  </si>
  <si>
    <t>118-71-8</t>
  </si>
  <si>
    <t>O1C(C)=C(O)C(=O)C=C1</t>
  </si>
  <si>
    <t>XPCTZQVDEJYUGT-UHFFFAOYAH  </t>
  </si>
  <si>
    <t>Vinyl/Allyl Ketones +  Vinyl/Allyl Ethers +  Vinyl/Allyl Alcohols</t>
  </si>
  <si>
    <t>C(C(N(C(=S)S)[H])([H])[H])(N(C(=S)S)[H])([H])[H]</t>
  </si>
  <si>
    <t>AOTUWSCESXNXAT-UCJRBJLACR  </t>
  </si>
  <si>
    <t>Mercuric chloride</t>
  </si>
  <si>
    <t>84-16-2</t>
  </si>
  <si>
    <t>c1cc(O)ccc1C(CC)C(CC)c2ccc(O)cc2</t>
  </si>
  <si>
    <t>PBBGSZCBWVPOOL-HDICACEKBE  </t>
  </si>
  <si>
    <t>57837-19-1</t>
  </si>
  <si>
    <t>COCC(=O)N(C(C)C(=O)OC)c1c(C)cccc1C</t>
  </si>
  <si>
    <t>ZQEIXNIJLIKNTD-GFCCVEGCBU</t>
  </si>
  <si>
    <t xml:space="preserve">Esters +  Amides </t>
  </si>
  <si>
    <t>1095-90-5</t>
  </si>
  <si>
    <t>O=C(C(c(cccc1)c1)(c(cccc2)c2)CC(N(H)(Cl)(C)C)C)CC</t>
  </si>
  <si>
    <t>DNUAYCRATWAJQE-UHFFFAOYAK  </t>
  </si>
  <si>
    <t>10265-92-6</t>
  </si>
  <si>
    <t>COP(N)(=O)SC</t>
  </si>
  <si>
    <t>NNKVPIKMPCQWCG-VNBGZASDDA</t>
  </si>
  <si>
    <t>16752-77-5</t>
  </si>
  <si>
    <t>CNC(=O)ON=C(C)SC</t>
  </si>
  <si>
    <t>UHXUZOCRWCRNSJ-QLMXXTQJDY</t>
  </si>
  <si>
    <t>AChE-inhibition</t>
  </si>
  <si>
    <t>Xuereb, B., Lefevre, E., Garric, J., Geffard, O., 2009. Acetylcholinesterase activity in Gammarus fossarum (Crustacea Amphipoda): linking AChE inhibition and behavioural alteration. Aquat Toxicol 94, 114-122.</t>
  </si>
  <si>
    <t>questionable!!! No tox!!!!</t>
  </si>
  <si>
    <t>134-20-3</t>
  </si>
  <si>
    <t>O=C(OC)c(c(N)ccc1)c1</t>
  </si>
  <si>
    <t>VAMXMNNIEUEQDV-UHFFFAOYAV  </t>
  </si>
  <si>
    <t>Esters +  Anilines (Hindered)</t>
  </si>
  <si>
    <t>93-15-2</t>
  </si>
  <si>
    <t>O(c(c(OC)cc(c1)CC=C)c1)C</t>
  </si>
  <si>
    <t>HROZLGRKFUCIJJ-UHFFFAOYAP  </t>
  </si>
  <si>
    <t>MGK-264</t>
  </si>
  <si>
    <t>Michler's ketone</t>
  </si>
  <si>
    <t>90-94-8</t>
  </si>
  <si>
    <t>O=C(c(ccc(N(C)C)c1)c1)c(ccc(N(C)C)c2)c2</t>
  </si>
  <si>
    <t>VVBLNCFGVYUYGU-UHFFFAOYAE  </t>
  </si>
  <si>
    <t>Mifepristone</t>
  </si>
  <si>
    <t>84371-65-3</t>
  </si>
  <si>
    <t>C4=2C(C3C(C(C#CC)(O)CC3)(C)CC4c5ccc(N(C)C)cc5)CCC=1C2CCC(C1)=O</t>
  </si>
  <si>
    <t>VKHAHZOOUSRJNA-GCNJZUOMBS  </t>
  </si>
  <si>
    <t>Vinyl/Allyl Ketones +  Propargyl Alcohol-hindered</t>
  </si>
  <si>
    <t>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
In the treatment of Cushing's syndrome, Mifepristone blocks the binding of cortisol to its receptor. It does not decrease cortisol production but reduces the effects of excess cortisol, such as high blood sugar levels.</t>
  </si>
  <si>
    <t>NOCAS_34742</t>
  </si>
  <si>
    <t>O[C@@H]3C(C)=C[C@H]5C(=O)O[C@H]1C[C@H](O[C@]2(C1)CC[C@H](C)[C@@H](CC)O2)CC=C(C)C[C@@H](C)C=CC=C4CO[C@H]3[C@@]45O</t>
  </si>
  <si>
    <t>2212-67-1</t>
  </si>
  <si>
    <t>CCSC(=O)N1CCCCCC1</t>
  </si>
  <si>
    <t>DEDOPGXGGQYYMW-UHFFFAOYAB</t>
  </si>
  <si>
    <t>FHESUNXRPBHDQM-UHFFFAOYAW  </t>
  </si>
  <si>
    <t>6923-22-4</t>
  </si>
  <si>
    <t>CNC(=O)C=C(C)OP(=O)(OC)OC</t>
  </si>
  <si>
    <t>KRTSDMXIXPKRQR-KSBUXIQHDT</t>
  </si>
  <si>
    <t>Esters +  Esters (phosphate) +  Acrylamides</t>
  </si>
  <si>
    <t>150-68-5</t>
  </si>
  <si>
    <t>O=C(N(C)C)Nc(ccc(c1)Cl)c1</t>
  </si>
  <si>
    <t>BMLIZLVNXIYGCK-WXRBYKJCCS</t>
  </si>
  <si>
    <t>123-35-3</t>
  </si>
  <si>
    <t>C(C=C)(=C)CCC=C(C)C</t>
  </si>
  <si>
    <t>UAHWPYUMFXYFJY-UHFFFAOYAT</t>
  </si>
  <si>
    <t>85532-75-8</t>
  </si>
  <si>
    <t>C(c1c(c2c(n1C(C(C(C(C(=O)O[H])([H])[H])([H])[H])([H])[H])([H])[H])c(c(c(c2[H])[H])[H])[H])c1c(c(c(nc1[H])[H])[H])[H])([H])([H])[H]</t>
  </si>
  <si>
    <t>MYDPDVXVDQMNLD-QWOVJGMICD  </t>
  </si>
  <si>
    <t>313994-79-5</t>
  </si>
  <si>
    <t>C(c1c(c(c(c(c1[H])[H])[H])[H])[H])(Oc1c(c(c2c(c1[H])OC(C2([H])N(C(=O)N([H])[H])O[H])([H])[H])[H])[H])([H])[H]</t>
  </si>
  <si>
    <t>FYAQEFBDKOWIIL-NUKIWTPWDK  </t>
  </si>
  <si>
    <t>NOCAS_47291</t>
  </si>
  <si>
    <t>Nc2cc3C(=N[C@@H](NC(=O)c1cccnc1)C(=O)N4CCc(c2)c34)c5ccccc5</t>
  </si>
  <si>
    <t xml:space="preserve">Anilines (Unhindered) +  Amides </t>
  </si>
  <si>
    <t>NOCAS_47364</t>
  </si>
  <si>
    <t>Cl.FC(F)(F)c1ccc(Cl)c(c1Cl)C(=O)N[C@@H]([C@@H]3CN2CCC3CC2)c4ccccc4</t>
  </si>
  <si>
    <t>VEZDPEGPNPRTOH-PSLBYKFTBB  </t>
  </si>
  <si>
    <t>NOCAS_47334</t>
  </si>
  <si>
    <t>Fc1ccccc1[C@@H](F)CO[C@H]2CC[C@@H](CC2)NC=3NC=NC4=NN=CC=34</t>
  </si>
  <si>
    <t>RRRXPPIDPYTNJG-CKFYMFOVCN  </t>
  </si>
  <si>
    <t>Aliphatic Amines +  Hydrazines</t>
  </si>
  <si>
    <t>59-67-6</t>
  </si>
  <si>
    <t>O=C(O)c(cccn1)c1</t>
  </si>
  <si>
    <t>PVNIIMVLHYAWGP-FZOZFQFYCF  </t>
  </si>
  <si>
    <t>Niacin binds to Nicotinate D-ribonucleotide phyrophsopate phosphoribosyltransferase, Nicotinic acid phosphoribosyltransferase, Nicotinate N-methyltransferase and the Niacin receptor. Niacin is the precursor to nicotinamide adenine dinucleotide (NAD) and nicotinamide adenine dinucleotide phosphate (NADP), which are vital cofactors for dozens of enzymes. The mechanism by which niacin exerts its lipid lowering effects is not entirely understood, but may involve several actions, including a decrease in esterification of hepatic triglycerides. Niacin treatment also decreases the serum levels of apolipoprotein B-100 (apo B), the major protein component of the VLDL (very low-density lipoprotein) and LDL fractions.</t>
  </si>
  <si>
    <t>63612-50-0</t>
  </si>
  <si>
    <t>O=C1N(C(C(N1[H])(C([H])([H])[H])C([H])([H])[H])=O)c1c(c(c(c(c1[H])[H])[N+](=O)[O-])C(F)(F)F)[H]</t>
  </si>
  <si>
    <t>JJQJDLJPQLPOKX-WYUMXYHSCN  </t>
  </si>
  <si>
    <t>Nilutamide competes with androgen for the binding of androgen receptors, consequently blocking the action of androgens of adrenal and testicular origin that stimulate the growth of normal and malignant prostatic tissue. This blockade of androgen receptors may result in growth arrest or transient tumor regression through inhibition of androgen-dependent DNA and protein synthesis.</t>
  </si>
  <si>
    <t>139-13-9</t>
  </si>
  <si>
    <t>O=C(O)CN(CC(=O)O)CC(=O)O</t>
  </si>
  <si>
    <t>MGFYIUFZLHCRTH-SOMQBULBCI  </t>
  </si>
  <si>
    <t>4455-26-9</t>
  </si>
  <si>
    <t>N(CCCCCCCC)(CCCCCCCC)C</t>
  </si>
  <si>
    <t>YJLYANLCNIKXMG-UHFFFAOYAJ  </t>
  </si>
  <si>
    <t>55-18-5</t>
  </si>
  <si>
    <t>O=NN(CC)CC</t>
  </si>
  <si>
    <t>WBNQDOYYEUMPFS-UHFFFAOYAG</t>
  </si>
  <si>
    <t>86-30-6</t>
  </si>
  <si>
    <t>O=NN(c(cccc1)c1)c(cccc2)c2</t>
  </si>
  <si>
    <t>UBUCNCOMADRQHX-UHFFFAOYAX</t>
  </si>
  <si>
    <t>3033-77-0</t>
  </si>
  <si>
    <t>O(C1)C1CN(Cl)(C)(C)C</t>
  </si>
  <si>
    <t>NRISYFOLPZSXPQ-FYZOBXCZBV  </t>
  </si>
  <si>
    <t>Epoxides, mono</t>
  </si>
  <si>
    <t>112-05-0</t>
  </si>
  <si>
    <t>O=C(O)CCCCCCCC</t>
  </si>
  <si>
    <t>FBUKVWPVBMHYJY-KZFATGLACF</t>
  </si>
  <si>
    <t>27314-13-2</t>
  </si>
  <si>
    <t>c1c(C(F)(F)F)cccc1N2C(=O)C(Cl)=C(NC)C=N2</t>
  </si>
  <si>
    <t>NVGOPFQZYCNLDU-UHFFFAOYAZ</t>
  </si>
  <si>
    <t>Aliphatic Amines +  Hydrazines +  Vinyl/Allyl Halides</t>
  </si>
  <si>
    <t>Novaluron</t>
  </si>
  <si>
    <t>116714-46-6</t>
  </si>
  <si>
    <t>Fc1cccc(F)c1C(=O)NC(=O)Nc2cc(Cl)c(OC(F)(F)C(F)OC(F)(F)F)cc2</t>
  </si>
  <si>
    <t>NJPPVKZQTLUDBO-ZWCQWCBODG</t>
  </si>
  <si>
    <t>Inhibitors of chitin biosynthesis, type 0</t>
  </si>
  <si>
    <t>N-Phenyl-14-benzenediamine</t>
  </si>
  <si>
    <t>101-54-2</t>
  </si>
  <si>
    <t>N(c(ccc(N)c1)c1)c(cccc2)c2</t>
  </si>
  <si>
    <t>ATGUVEKSASEFFO-UHFFFAOYAN  </t>
  </si>
  <si>
    <t>88-12-0</t>
  </si>
  <si>
    <t>O=C(N(C=C)CC1)C1</t>
  </si>
  <si>
    <t>WHNWPMSKXPGLAX-UHFFFAOYAI  </t>
  </si>
  <si>
    <t>1843-05-6</t>
  </si>
  <si>
    <t>O=C(c(cccc1)c1)c(c(O)cc(OCCCCCCCC)c2)c2</t>
  </si>
  <si>
    <t>QUAMTGJKVDWJEQ-UHFFFAOYAM  </t>
  </si>
  <si>
    <t>57-11-4</t>
  </si>
  <si>
    <t>O=C(O)CCCCCCCCCCCCCCCCC</t>
  </si>
  <si>
    <t>QIQXTHQIDYTFRH-LILDFLRNCC  </t>
  </si>
  <si>
    <t>124-07-2</t>
  </si>
  <si>
    <t>O=C(O)CCCCCCC</t>
  </si>
  <si>
    <t>Octhilinone</t>
  </si>
  <si>
    <t>26530-20-1</t>
  </si>
  <si>
    <t>O=C1C=CSN1CCCCCCCC</t>
  </si>
  <si>
    <t>JPMIIZHYYWMHDT-UHFFFAOYAE</t>
  </si>
  <si>
    <t>Thiazolones (Iso-)</t>
  </si>
  <si>
    <t>Octyl gallate</t>
  </si>
  <si>
    <t>1034-01-1</t>
  </si>
  <si>
    <t>O=C(OCCCCCCCC)c(cc(O)c(O)c1O)c1</t>
  </si>
  <si>
    <t>NRPKURNSADTHLJ-UHFFFAOYAL</t>
  </si>
  <si>
    <t xml:space="preserve">Esters +  Phenols, Poly </t>
  </si>
  <si>
    <t>23135-22-0</t>
  </si>
  <si>
    <t>CNC(=O)ON=C(SC)C(=O)N(C)C</t>
  </si>
  <si>
    <t>KZAUOCCYDRDERY-MGRUMOMHDZ</t>
  </si>
  <si>
    <t xml:space="preserve">Amides  +  Oxime Carbamate Ester </t>
  </si>
  <si>
    <t>101-55-3</t>
  </si>
  <si>
    <t>O(c(ccc(c1)Br)c1)c(cccc2)c2</t>
  </si>
  <si>
    <t>JDUYPUMQALQRCN-UHFFFAOYAP</t>
  </si>
  <si>
    <t>110-62-3</t>
  </si>
  <si>
    <t>O=CCCCC</t>
  </si>
  <si>
    <t>HGBOYTHUEUWSSQ-UHFFFAOYAJ</t>
  </si>
  <si>
    <t>628-63-7</t>
  </si>
  <si>
    <t>O=C(OCCCCC)C</t>
  </si>
  <si>
    <t>PGMYKACGEOXYJE-UHFFFAOYAQ</t>
  </si>
  <si>
    <t>375-95-1</t>
  </si>
  <si>
    <t>O=C(O)C(F)(F)C(F)(F)C(F)(F)C(F)(F)C(F)(F)C(F)(F)C(F)(F)C(F)(F)F</t>
  </si>
  <si>
    <t>UZUFPBIDKMEQEQ-LELJVTLKCS  </t>
  </si>
  <si>
    <t>Perfluorooctanesulfonamide</t>
  </si>
  <si>
    <t>754-91-6</t>
  </si>
  <si>
    <t>NS(=O)(=O)C(F)(F)C(F)(F)C(F)(F)C(F)(F)C(F)(F)C(F)(F)C(F)(F)C(F)(F)F</t>
  </si>
  <si>
    <t>JJAPPCJXQFKMJL-VWLOTQADBJ  </t>
  </si>
  <si>
    <t>2058-94-8</t>
  </si>
  <si>
    <t>OC(=O)C(F)(F)C(F)(F)C(F)(F)C(F)(F)C(F)(F)C(F)(F)C(F)(F)C(F)(F)C(F)(F)C(F)(F)F</t>
  </si>
  <si>
    <t>SIDINRCMMRKXGQ-NSJMMFDCCK  </t>
  </si>
  <si>
    <t>81-90-3</t>
  </si>
  <si>
    <t>O=C(O)c(c(ccc1)C(c(ccc(O)c2)c2)c(ccc(O)c3)c3)c1</t>
  </si>
  <si>
    <t>FFFPYJTVNSSLBQ-MPIMZMORCS  </t>
  </si>
  <si>
    <t>92-84-2</t>
  </si>
  <si>
    <t>N(c(c(Sc1cccc2)ccc3)c3)c12</t>
  </si>
  <si>
    <t>WJFKNYWRSNBZNX-UHFFFAOYAI</t>
  </si>
  <si>
    <t>Phenylmercuric acetate</t>
  </si>
  <si>
    <t>62-38-4</t>
  </si>
  <si>
    <t>CC(=O)O[Hg]c1ccccc1</t>
  </si>
  <si>
    <t>SRRPEXWCHWWJOC-RHOVBWMCDG  </t>
  </si>
  <si>
    <t>117428-22-5</t>
  </si>
  <si>
    <t>FC(F)(F)c1nc(c(c(c1[H])[H])[H])OC(c1c(c(c(c(c1[H])[H])[H])[H])\C(=C(/OC([H])([H])[H])[H])C(=O)OC([H])([H])[H])([H])[H]</t>
  </si>
  <si>
    <t>IBSNKSODLGJUMQ-KAMYIIQDBM</t>
  </si>
  <si>
    <t>50892-23-4</t>
  </si>
  <si>
    <t>[Cl]c1c(c(nc(n1)SC(C(=O)O[H])([H])[H])N(c1c(c(c(c(c1C([H])([H])[H])C([H])([H])[H])[H])[H])[H])[H])[H]</t>
  </si>
  <si>
    <t>SZRPDCCEHVWOJX-YSFRZULJCA</t>
  </si>
  <si>
    <t>NOCAS_47328</t>
  </si>
  <si>
    <t>[K+].O.FC(F)(F)C(F)(F)COc3ccc(F)cc3c1cccc(c1)c2nc([n-]n2)C(N)=O</t>
  </si>
  <si>
    <t>ADGODYTXWSFUEZ-UUDVHLRWCQ  </t>
  </si>
  <si>
    <t>3871-99-6</t>
  </si>
  <si>
    <t>S(=O)(=O)(O)C(F)(F)C(F)(F)C(F)(F)C(F)(F)C(F)(F)C(F)(F)F</t>
  </si>
  <si>
    <t>XEQSHFOMHJZUNS-QTNFYWBSBT  </t>
  </si>
  <si>
    <t>Potassium perfluorooctanesulfonate</t>
  </si>
  <si>
    <t>2795-39-3</t>
  </si>
  <si>
    <t>S(=O)(=O)(O)C(F)(F)C(F)(F)C(F)(F)C(F)(F)C(F)(F)C(F)(F)C(F)(F)C(F)(F)F</t>
  </si>
  <si>
    <t>MFYQEXGNAIUHIE-DOTOQJQBBO  </t>
  </si>
  <si>
    <t>pp'-DDD</t>
  </si>
  <si>
    <t>72-54-8</t>
  </si>
  <si>
    <t>ClC(Cl)C(c1ccc(Cl)cc1)c2ccc(Cl)cc2</t>
  </si>
  <si>
    <t>AHJKRLASYNVKDZ-UHFFFAOYAJ</t>
  </si>
  <si>
    <t>81131-70-6</t>
  </si>
  <si>
    <t>C1C(O)C=C2C=CC(C)C(CCC(O)CC(O)CC(=O)O)C2C1OC(=O)C(C)CC</t>
  </si>
  <si>
    <t>ZJNCGXOJAZFELL-IYNICTALBS  </t>
  </si>
  <si>
    <t>Esters +  Vinyl/Allyl Alcohols</t>
  </si>
  <si>
    <t>53-03-2</t>
  </si>
  <si>
    <t>C1(=O)C=C2CCC3C4CCC(O)(C(=O)CO)C4(C)CC(=O)C3C2(C)C=C1</t>
  </si>
  <si>
    <t>XOFYZVNMUHMLCC-ZPOLXVRWBN  </t>
  </si>
  <si>
    <t>Vinyl/Allyl Ketones +  Ketone alcohols</t>
  </si>
  <si>
    <t>Prednisone is a glucocorticoid receptor agonist. It is first metabolized in the liver to its active form, prednisolone. Prednisolone crosses cell membranes and binds with high affinity to specific cytoplasmic receptors. The result includes inhibition of leukocyte infiltration at the site of inflammation, interference in the function of mediators of inflammatory response, suppression of humoral immune responses, and reduction in edema or scar tissue. The antiinflammatory actions of corticosteroids are thought to involve phospholipase A2 inhibitory proteins, lipocortins, which control the biosynthesis of potent mediators of inflammation such as prostaglandins and leukotrienes.</t>
  </si>
  <si>
    <t>57-83-0</t>
  </si>
  <si>
    <t>O=C(C(C(C(C(C(C(C(=CC(=O)C1)C2)(C1)C)C3)C2)C4)(C3)C)C4)C</t>
  </si>
  <si>
    <t>RJKFOVLPORLFTN-LEKSSAKUBC  </t>
  </si>
  <si>
    <t>Progesterone shares the pharmacological actions of the progestins. Progesterone binds to the progesterone and estrogen receptors. Target cells include the female reproductive tract, the mammary gland, the hypothalamus, and the pituitary. Once bound to the receptor, progestins like Progesterone will slow the frequency of release of gonadotropin releasing hormone (GnRH) from the hypothalamus and blunt the pre-ovulatory LH (luteinizing hormone) surge. In women who have adequate endogenous estrogen, progesterone transforms a proliferative endometrium into a secretory one. Progesterone is essential for the development of decidual tissue and is necessary to increase endometrial receptivity for implantation of an embryo. Once an embryo has been implanted, progesterone acts to maintain the pregnancy. Progesterone also stimulates the growth of mammary alveolar tissue and relaxes uterine smooth muscle. It has little estrogenic and androgenic activity.</t>
  </si>
  <si>
    <t>1610-18-0</t>
  </si>
  <si>
    <t>O(c(nc(nc1NC(C)C)NC(C)C)n1)C</t>
  </si>
  <si>
    <t>ISEUFVQQFVOBCY-WYCIUFAECT</t>
  </si>
  <si>
    <t>34590-94-8</t>
  </si>
  <si>
    <t>COC(C)COCC(C)O</t>
  </si>
  <si>
    <t>Propylparaben</t>
  </si>
  <si>
    <t>94-13-3</t>
  </si>
  <si>
    <t>O=C(OCCC)c(ccc(O)c1)c1</t>
  </si>
  <si>
    <t>QELSKZZBTMNZEB-UHFFFAOYAD</t>
  </si>
  <si>
    <t>53112-28-0</t>
  </si>
  <si>
    <t>c1ccccc1Nc2nc(C)cc(C)n2</t>
  </si>
  <si>
    <t>ZLIBICFPKPWGIZ-YAQRNVERCS</t>
  </si>
  <si>
    <t>117-39-5</t>
  </si>
  <si>
    <t>Oc1cc(O)c2C(=O)C(O)=C(c3cc(O)c(O)cc3)Oc2c1</t>
  </si>
  <si>
    <t>REFJWTPEDVJJIY-UHFFFAOYAW  </t>
  </si>
  <si>
    <t xml:space="preserve">Vinyl/Allyl Ketones +  Vinyl/Allyl Ethers +  Vinyl/Allyl Alcohols +  Phenols, Poly </t>
  </si>
  <si>
    <t>84087-01-4</t>
  </si>
  <si>
    <t>Clc1ccc2cc(Cl)cnc2c1C(=O)O</t>
  </si>
  <si>
    <t>FFSSWMQPCJRCRV-YHMJCDSICB  </t>
  </si>
  <si>
    <t>Quinoxyfen</t>
  </si>
  <si>
    <t>124495-18-7</t>
  </si>
  <si>
    <t>c1c(Cl)cc2nccc(Oc3ccc(F)cc3)c2c1Cl</t>
  </si>
  <si>
    <t>WRPIRSINYZBGPK-UHFFFAOYAE</t>
  </si>
  <si>
    <t>82640-04-8</t>
  </si>
  <si>
    <t>O=C(OC(C([H])([H])[H])([H])[H])C=1C(C(C(C(C1[H])([H])OC(C(C([H])([H])[H])([H])[H])(C(C([H])([H])[H])([H])[H])[H])([H])\N=C(/C([H])([H])[H])O[H])([H])N([H])[H])([H])[H]</t>
  </si>
  <si>
    <t>VSZGPKBBMSAYNT-ZQLPFLSJDZ  </t>
  </si>
  <si>
    <t>Aliphatic Amines +  Esters +  Vinyl/Allyl Ethers</t>
  </si>
  <si>
    <t>Retinol</t>
  </si>
  <si>
    <t>13292-46-1</t>
  </si>
  <si>
    <t>O1C=CC(OC)C(C)C(OC(=O)C)C(C)C(O)C(C)C(O)C(C)C=CC=C(C)C(=O)Nc(c2O)c(C=NN3CCN(C)CC3)c(O)c(c2c4O)c(c5c4C)C(=O)C1(O5)C</t>
  </si>
  <si>
    <t>FZYOVNIOYYPUPY-RMTKGQTGDX</t>
  </si>
  <si>
    <t xml:space="preserve">Aliphatic Amines +  Esters +  Hydrazines +  Vinyl/Allyl Ethers +  Acrylamides +  Phenols, Poly  +  Phenol Amines  +  Hydroquinones </t>
  </si>
  <si>
    <t>Rifampin acts via the inhibition of DNA-dependent RNA polymerase, leading to a suppression of RNA synthesis and cell death.</t>
  </si>
  <si>
    <t>122-34-9</t>
  </si>
  <si>
    <t>n(c(nc(n1)NCC)NCC)c1Cl</t>
  </si>
  <si>
    <t>ODCWYMIRDDJXKW-XMBMESGPCW</t>
  </si>
  <si>
    <t>Simvastatin</t>
  </si>
  <si>
    <t>79902-63-9</t>
  </si>
  <si>
    <t>CCC(C)(C)C(=O)OC1CC(C)C=C(C12)C=CC(C)C2CCC3OC(=O)CC(O)C3</t>
  </si>
  <si>
    <t>RYMZZMVNJRMUDD-CGVMPUAYBH  </t>
  </si>
  <si>
    <t>The 6-membered lactone ring of simvastatin is hydrolyzed &lt;i&gt;in vivo&lt;/i&gt; to generate the beta,delta-dihydroxy acid, an active metabolite structurally similar to HMG-CoA (hydroxymethylglutaryl CoA). Once hydrolyzed, simvastatin competes with HMG-CoA for HMG-CoA reductase, a hepatic microsomal enzyme. Interference with the activity of this enzyme reduces the quantity of mevalonic acid, a precursor of cholesterol.</t>
  </si>
  <si>
    <t>NOCAS_48514</t>
  </si>
  <si>
    <t>[Na+].O=C([N-]S(=O)(=O)/C=C/c1ccc(OC)cc1)c2ccc(C)cc2Cl</t>
  </si>
  <si>
    <t>UVYUBQAJIARVEU-QWOVJGMICC  </t>
  </si>
  <si>
    <t>3811-73-2</t>
  </si>
  <si>
    <t>n1(=O)c(S)cccc1</t>
  </si>
  <si>
    <t>PGSDZUPVGXQBHP-UHFFFAOYAS  </t>
  </si>
  <si>
    <t xml:space="preserve">Thiols and Mercaptans +  Omadines </t>
  </si>
  <si>
    <t>478263-98-8</t>
  </si>
  <si>
    <t>Fc1c(c(c(c(c1[H])[H])Oc1c(c(c(c(c1[H])OC1([H])C(C(C(=C1[H])[H])([H])N(C(=O)N([H])[H])O[H])([H])[H])[H])[H])[H])[H])[H]</t>
  </si>
  <si>
    <t>CJFQUWMJNVTKDJ-ORQYLWRFDU  </t>
  </si>
  <si>
    <t>Substituted Ureas +  Vinyl/Allyl Ethers</t>
  </si>
  <si>
    <t>NOCAS_47383</t>
  </si>
  <si>
    <t>[Na+].Clc1ccc(s1)c6onc(Cn4c5ccc(cc5nc4C(=O)NC2CCN(CC2)C3CC3)C([O-])=O)c6</t>
  </si>
  <si>
    <t>MDLKWDQMIZRIBY-SCSAIBSYBP  </t>
  </si>
  <si>
    <t xml:space="preserve">Aliphatic Amines +  Thiophenes +  Imidazoles +  Amides </t>
  </si>
  <si>
    <t>1061517-62-1</t>
  </si>
  <si>
    <t>C(=O)(c1c(c(c(c(c1C(=O)OC(C(C(C(C(C(C(C([H])([H])[H])(C([H])([H])[H])[H])([H])[H])([H])[H])([H])[H])([H])[H])([H])[H])([H])[H])[H])C(=O)OC(C(C(C(C(C(C(C([H])([H])[H])(C([H])([H])[H])[H])([H])[H])([H])[H])([H])[H])([H])[H])([H])[H])([H])[H])[H])[H])OC(C(C(C(C(C(C(C([H])([H])[H])(C([H])([H])[H])[H])([H])[H])([H])[H])([H])[H])([H])[H])([H])[H])([H])[H]</t>
  </si>
  <si>
    <t>YPDXSCXISVYHOB-UHFFFAOYAI  </t>
  </si>
  <si>
    <t>YPEBNTLKBTXNFE-UHFFFAOYAH  </t>
  </si>
  <si>
    <t>128-04-1</t>
  </si>
  <si>
    <t>CN(C)C(=S)S</t>
  </si>
  <si>
    <t>TTYSSBPEZJRBBX-UHFFFAOYAD  </t>
  </si>
  <si>
    <t>1120-01-0</t>
  </si>
  <si>
    <t>S(=O)(=O)(O)OCCCCCCCCCCCCCCCC</t>
  </si>
  <si>
    <t>LTAJYCABWGYAEZ-PKLMIRHRBM  </t>
  </si>
  <si>
    <t>134-03-2</t>
  </si>
  <si>
    <t>OCC(O)C1OC(=O)C(O)=C1O</t>
  </si>
  <si>
    <t>ILGGAJLDJXLZSO-RKJRWTFHBU</t>
  </si>
  <si>
    <t>Esters +  Vinyl/Allyl Alcohols +  Vinyl/Allyl Esters</t>
  </si>
  <si>
    <t>Sodium tetradecyl sulfate</t>
  </si>
  <si>
    <t>52-01-7</t>
  </si>
  <si>
    <t>O=C(OC(C(C(C(C(C(C(=CC(=O)C1)C2)(C1)C)C3)C2SC(=O)C)C4)(C3)C)(C4)C5)C5</t>
  </si>
  <si>
    <t>LXMSZDCAJNLERA-ZHYRCANABW  </t>
  </si>
  <si>
    <t>Esters +  Vinyl/Allyl Ketones</t>
  </si>
  <si>
    <t>Spironolactone is a specific pharmacologic antagonist of aldosterone, acting primarily through competitive binding of receptors at the aldosterone-dependent sodium-potassium exchange site in the distal convoluted renal tubule. Spironolactone causes increased amounts of sodium and water to be excreted, while potassium is retained. Spironolactone acts both as a diuretic and as an antihypertensive drug by this mechanism. It may be given alone or with other diuretic agents which act more proximally in the renal tubule. Aldosterone interacts with a cytoplasmic mineralocorticoid receptor to enhance the expression of the Na+, K+-ATPase and the Na+ channel involved in a Na+ K+ transport in the distal tubule . Spironolactone bind to this mineralcorticoid receptor, blocking the actions of aldosterone on gene expression. Aldosterone is a hormone; its primary function is to retain sodium and excrete potassium in the kidneys.</t>
  </si>
  <si>
    <t>Sulfluramid</t>
  </si>
  <si>
    <t>4151-50-2</t>
  </si>
  <si>
    <t>O=S(=O)(NCC)C(F)(F)C(F)(F)C(F)(F)C(F)(F)C(F)(F)C(F)(F)C(F)(F)C(F)(F)F</t>
  </si>
  <si>
    <t>CCEKAJIANROZEO-UHFFFAOYAF  </t>
  </si>
  <si>
    <t>Uncouplers of oxidative phosphorylation via disruption of the proton gradient</t>
  </si>
  <si>
    <t>288104-79-0</t>
  </si>
  <si>
    <t>[Br]c1c(c(c(c(c1[H])[H])c1n(nc(c1C(C([H])([H])[H])([H])[H])C(=O)N(N1C(C(C(C(C1([H])[H])([H])[H])([H])[H])([H])[H])([H])[H])[H])c1c(c(c(c(c1[Cl])[H])[Cl])[H])[H])[H])[H]</t>
  </si>
  <si>
    <t>HMXDWDSNPRNUKI-LBOYIXSDCH  </t>
  </si>
  <si>
    <t xml:space="preserve">Hydrazines +  Amides  +  Pyrazoles/Pyrroles </t>
  </si>
  <si>
    <t>87-90-1</t>
  </si>
  <si>
    <t>O=C(N(C(=O)N(C1(=O))Cl)Cl)N1Cl</t>
  </si>
  <si>
    <t>YRIZYWQGELRKNT-UHFFFAOYAR  </t>
  </si>
  <si>
    <t>10540-29-1</t>
  </si>
  <si>
    <t>Tamoxifen binds to estrogen receptors (ER), inducing a conformational change in the receptor. This results in a blockage or change in the expression of estrogen dependent genes. The prolonged binding of tamoxifen to the nuclear chromatin of these results in reduced DNA polymerase activity, impaired thymidine utilization, blockade of estradiol uptake, and decreased estrogen response. It is likely that tamoxifen interacts with other coactivators or corepressors in the tissue and binds with different estrogen receptors, ER-alpha or ER-beta, producing both estrogenic and antiestrogenic effects.</t>
  </si>
  <si>
    <t>Tamoxifen citrate</t>
  </si>
  <si>
    <t>54965-24-1</t>
  </si>
  <si>
    <t>C(C([H])([H])[H])(N(C(=O)c1c(c(c(c(c1[H])C([H])([H])[H])[H])OC(C([H])(C([H])([H])[H])N(c1c(c(nc(c1[H])[H])[H])[H])[H])([H])[H])[H])C(C([H])([H])[H])(C([H])([H])[H])[H])([H])[H]</t>
  </si>
  <si>
    <t>DGYJWEFQVJQFIA-OBCIMMPPDL  </t>
  </si>
  <si>
    <t>1401-55-4</t>
  </si>
  <si>
    <t>O=C(C1(C=C(O)C(O)=C(O)C=1))OC4(C(O)C(OC(=O)C2(=CC(O)=C(O)C(O)=C2))OC(COC(=O)C3(C=C(O)C(O)=C(O)C=3))C4O)</t>
  </si>
  <si>
    <t>149979-41-9</t>
  </si>
  <si>
    <t>C1COCCC1C2CC(O)=C(C(CC)=NOCC=CCl)C(=O)C2</t>
  </si>
  <si>
    <t>IOYNQIMAUDJVEI-IBBOPOJVBZ</t>
  </si>
  <si>
    <t>Aliphatic Amines +  Vinyl/Allyl Ketones +  Vinyl/Allyl Halides +  Vinyl/Allyl Alcohols</t>
  </si>
  <si>
    <t>5915-41-3</t>
  </si>
  <si>
    <t>n(c(nc(n1)NC(C)(C)C)NCC)c1Cl</t>
  </si>
  <si>
    <t>tert-Butylbenzene</t>
  </si>
  <si>
    <t>98-06-6</t>
  </si>
  <si>
    <t>c(cccc1)(c1)C(C)(C)C</t>
  </si>
  <si>
    <t>YTZKOQUCBOVLHL-UHFFFAOYAK</t>
  </si>
  <si>
    <t>tert-Butylhydroquinone</t>
  </si>
  <si>
    <t>1948-33-0</t>
  </si>
  <si>
    <t>Oc(c(cc(O)c1)C(C)(C)C)c1</t>
  </si>
  <si>
    <t>BGNXCDMCOKJUMV-UHFFFAOYAP  </t>
  </si>
  <si>
    <t>50-35-1</t>
  </si>
  <si>
    <t>c1ccc2C(=O)N(C3C(=O)NC(=O)CC3)C(=O)c2c1</t>
  </si>
  <si>
    <t>UEJJHQNACJXSKW-LBZSZPPHDB  </t>
  </si>
  <si>
    <t>In patients with erythema nodosum leprosum (ENL) the mechanism of action is not fully understood. Available data from in vitro studies and preliminary clinical trials suggest that the immunologic effects of this compound can vary substantially under different conditions, but may be related to suppression of excessive tumor necrosis factor-alpha (TNF-a) production and down-modulation of selected cell surface adhesion molecules involved in leukocyte migration. For example, administration of thalidomide has been reported to decrease circulating levels of TNF-a in patients with ENL, however, it has also been shown to increase plasma TNF-a levels in HIV-seropositive patients. As a cancer treatment, the drug may act as a VEGF inhibitor.</t>
  </si>
  <si>
    <t>111988-49-9</t>
  </si>
  <si>
    <t>S2C(N(CC2)Cc1ccc(nc1)Cl)=NC#N</t>
  </si>
  <si>
    <t>FYDACAYUFMRCPT-UVTDQMKNBW</t>
  </si>
  <si>
    <t>36673-16-2</t>
  </si>
  <si>
    <t>OCCN(CCO)CCO[Ti](OC(C)C)(OC(C)C)OCCN(CCO)CCO</t>
  </si>
  <si>
    <t>RAVIZVQZGXBOQO-AWEZNQCLBC  </t>
  </si>
  <si>
    <t>trans-Retinoic acid</t>
  </si>
  <si>
    <t>189003-92-7</t>
  </si>
  <si>
    <t>102-76-1</t>
  </si>
  <si>
    <t>O=C(OCC(OC(=O)C)COC(=O)C)C</t>
  </si>
  <si>
    <t>URAYPUMNDPQOKB-UHFFFAOYAH</t>
  </si>
  <si>
    <t>124-94-7</t>
  </si>
  <si>
    <t>CC34CC(O)C1(F)C(CCC2=CC(=O)C=CC12C)C3CC(O)C4(O)C(=O)CO</t>
  </si>
  <si>
    <t>GFNANZIMVAIWHM-KTSZLRCSBU  </t>
  </si>
  <si>
    <t>The antiinflammatory actions of corticosteroids are thought to involve lipocortins, phospholipase A2 inhibitory proteins which, through inhibition of arachidonic acid, control the biosynthesis of prostaglandins and leukotrienes. Firstly, however, these glucocorticoids bind to the glucocorticoid receptors which translocate into the nucleus and bind DNA (GRE) and change genetic expression both positively and negatively. The immune system is suppressed by corticosteroids due to a decrease in the function of the lymphatic system, a reduction in immunoglobulin and complement concentrations, the precipitation of lymphocytopenia, and interference with antigen-antibody binding.</t>
  </si>
  <si>
    <t>126-73-8</t>
  </si>
  <si>
    <t>O=P(OCCCC)(OCCCC)OCCCC</t>
  </si>
  <si>
    <t>STCOOQWBFONSKY-UHFFFAOYAN</t>
  </si>
  <si>
    <t>Tributyltin chloride</t>
  </si>
  <si>
    <t>1461-22-9</t>
  </si>
  <si>
    <t>Cl[Sn](CCCC)(CCCC)CCCC</t>
  </si>
  <si>
    <t>GCTFWCDSFPMHHS-KGFGLALJCQ  </t>
  </si>
  <si>
    <t>Endocrine disruption (aromatase inhibition, classification based on related compound tributyl tin oxide)</t>
  </si>
  <si>
    <t>McAllister, B., Kime, D.E., 2003. Early life exposure to environmental levels of the aromatase inhibitor tributyltin causes masculinisation and irreversible sperm damage in zebrafish (Danio rerio). Aquat. Toxicol. 65, 309-316.</t>
  </si>
  <si>
    <t>Tributyltin methacrylate</t>
  </si>
  <si>
    <t>2155-70-6</t>
  </si>
  <si>
    <t>[Sn](CCCC)(CCCC)(CCCC)OC(=O)C(=C)C</t>
  </si>
  <si>
    <t>OWUIDUUUFPRROI-UHFFFAOYAK  </t>
  </si>
  <si>
    <t>290352-28-2</t>
  </si>
  <si>
    <t>OC=1C=CC(=C2CCCC12)OC1=C(C=C(C=C1C)NC(C(=O)O)=O)C</t>
  </si>
  <si>
    <t>UUSBQRKQEFEXKB-ARKZRILECC  </t>
  </si>
  <si>
    <t>Vinyl/Allyl Ethers +  Vinyl/Allyl Alcohols</t>
  </si>
  <si>
    <t>77-93-0</t>
  </si>
  <si>
    <t>O=C(OCC)C(O)(CC(=O)OCC)CC(=O)OCC</t>
  </si>
  <si>
    <t>DOOTYTYQINUNNV-UHFFFAOYAG</t>
  </si>
  <si>
    <t>180084-01-9</t>
  </si>
  <si>
    <t>Cl.C(C)N1CCC2(COC3=CC=4CCN(C4C=C32)C(=O)C3=CC=C(C=C3)C3=C(C=C(C=C3)C=3OC(=NN3)C)C)CC1</t>
  </si>
  <si>
    <t>OPXKTCUYRHXSBK-HNCPQSOCBC  </t>
  </si>
  <si>
    <t>112-49-2</t>
  </si>
  <si>
    <t>O(CCOCCOC)CCOC</t>
  </si>
  <si>
    <t>YFNKIDBQEZZDLK-UHFFFAOYAB  </t>
  </si>
  <si>
    <t>368832-42-2</t>
  </si>
  <si>
    <t>C(C)[C@H]1CC[C@@H]([C@@H](N1)C1=CC=CC=C1)NCC=1C(=CC=2[C@@H]3[C@H](C(N(C2C1)C)=O)C3)OC</t>
  </si>
  <si>
    <t>FRQDZJMEHSJOPU-WOJBJXKFBN  </t>
  </si>
  <si>
    <t xml:space="preserve">Aliphatic Amines +  Vinyl/Allyl Ethers +  Amides </t>
  </si>
  <si>
    <t>NOCAS_47267</t>
  </si>
  <si>
    <t>CC1=NC(=NC(=N1)C)N1C[C@H](N([C@H](C1)C)C1=NC(=NC=C1)[C@@H](C)O)C</t>
  </si>
  <si>
    <t>WIXFIQKTHUVFDI-JRSOHDAHDG  </t>
  </si>
  <si>
    <t>199119-58-9</t>
  </si>
  <si>
    <t>COc1cc(nc(n1)[N-]C(=O)NS(=O)(=O)c2c(cccn2)OCC(F)(F)F)OC.[Na+]</t>
  </si>
  <si>
    <t>UFEIWEXHHOXPGP-UHFFFAOYSA-M</t>
  </si>
  <si>
    <t xml:space="preserve">Sulfonyl Ureas </t>
  </si>
  <si>
    <t>221671-62-1</t>
  </si>
  <si>
    <t>FC(C(=O)O)(F)F.ClC1=CC(=C(C=C1OC)C=1N=C(SC1CCC1CCCCC1)NC(=O)C=1N(C2=C(C=C(C=C2C1)C)C)CC(=O)O)OC</t>
  </si>
  <si>
    <t>QOOXCQFWUYVSGU-JWQCQUIFBX  </t>
  </si>
  <si>
    <t>115-86-6</t>
  </si>
  <si>
    <t>O=P(Oc(cccc1)c1)(Oc(cccc2)c2)Oc(cccc3)c3</t>
  </si>
  <si>
    <t>XZZNDPSIHUTMOC-UHFFFAOYAB</t>
  </si>
  <si>
    <t>NOCAS_47325</t>
  </si>
  <si>
    <t>Cl.FC1=CC=C(C=C1)/C=C/C(=O)NC1CCC(CC1)CCN1CCC2=C(CC1)C=CC(=C2)C2=NOC(=N2)C</t>
  </si>
  <si>
    <t>IHLRLJMHYXJRST-VYWOEEDOCZ  </t>
  </si>
  <si>
    <t>138472-01-2</t>
  </si>
  <si>
    <t>C(C)\C(=C/C(/C(=O)N)=N\O)\C(C)[N+](=O)[O-]</t>
  </si>
  <si>
    <t>CUUQUEAUUPYEKK-NXEZZACHBE  </t>
  </si>
  <si>
    <t>13674-87-8</t>
  </si>
  <si>
    <t>O=P(OC(CCl)CCl)(OC(CCl)CCl)OC(CCl)CCl</t>
  </si>
  <si>
    <t>ASLWPAWFJZFCKF-UHFFFAOYAY  </t>
  </si>
  <si>
    <t>445295-04-5</t>
  </si>
  <si>
    <t>O1COC2=C1C=CC(=C2)OC2=NC=CC=C2C(=O)NCC2=C(C=C(O[C@@H](C(=O)O)C)C=C2)F</t>
  </si>
  <si>
    <t>ILRKKHJEINIICQ-LSDFRABGDM  </t>
  </si>
  <si>
    <t>115-96-8</t>
  </si>
  <si>
    <t>O=P(OCCCl)(OCCCl)OCCCl</t>
  </si>
  <si>
    <t>HQUQLFOMPYWACS-UHFFFAOYAR</t>
  </si>
  <si>
    <t>NOCAS_47346</t>
  </si>
  <si>
    <t>FC1(C[C@H](N(C1)C(CNC1CC2CCC(C1)N2C2=NC=CC=N2)=O)C#N)F</t>
  </si>
  <si>
    <t>JBMXSISQMNRCRO-ZZVNAMTRDW  </t>
  </si>
  <si>
    <t>177785-47-6</t>
  </si>
  <si>
    <t>C[C@H]([C@@H](C(=O)O)N1SC2=C(C1=O)C=CC=C2)CC</t>
  </si>
  <si>
    <t>QASFUMOKHFSJGL-LAFRSMQTBZ  </t>
  </si>
  <si>
    <t>1929-77-7</t>
  </si>
  <si>
    <t>CCCSC(=O)N(CCC)CCC</t>
  </si>
  <si>
    <t>OKUGPJPKMAEJOE-UHFFFAOYAX</t>
  </si>
  <si>
    <t>106-25-2</t>
  </si>
  <si>
    <t>50471-44-8</t>
  </si>
  <si>
    <t>c1c(Cl)cc(Cl)cc1N2C(=O)C(C)(C=C)OC2(=O)</t>
  </si>
  <si>
    <t>FSCWZHGZWWDELK-GFCCVEGCBC</t>
  </si>
  <si>
    <t>171866-31-2</t>
  </si>
  <si>
    <t>FC1=CC=C(C=C1)C1(CCN(CC1)[C@@H]1COC2=CC(=CC=C2[C@@H]1O)O)O</t>
  </si>
  <si>
    <t>UHBUSMAHWHZQKS-LNNLXFCOCC  </t>
  </si>
  <si>
    <t>81-81-2</t>
  </si>
  <si>
    <t>c1ccc2C(O)=C(C(c3ccccc3)CC(=O)C)C(=O)Oc2c1</t>
  </si>
  <si>
    <t>PJVWKTKQMONHTI-OAHLLOKOBO</t>
  </si>
  <si>
    <t>Warfarin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t>
  </si>
  <si>
    <t>NOCAS_48509</t>
  </si>
  <si>
    <t>COC1=CC=C2CC[C@H](CC2=C1)N(C1CCN(CC1)C(=O)C1CCNCC1)CCC</t>
  </si>
  <si>
    <t>USMYHGCFKODWON-GGDSLZADBK  </t>
  </si>
  <si>
    <t>Ziram</t>
  </si>
  <si>
    <t>137-30-4</t>
  </si>
  <si>
    <t>CN(C)C(=S)S[Zn]SC(=S)N(C)C</t>
  </si>
  <si>
    <t>HXCTZTSGDJYHDH-UHFFFAOYAJ</t>
  </si>
  <si>
    <t>291305-06-1</t>
  </si>
  <si>
    <t>OJYIBEYSBXIQOP-UHFFFAOYAQ  </t>
  </si>
  <si>
    <t>01/02/2015</t>
  </si>
  <si>
    <t>E3 (5 mM NaCl, 0.17 mM KCl, 0.33 mM CaCl2 and 0.33 mM MgSO4, pH (7.0 ± 1.0))</t>
  </si>
  <si>
    <t>Pandey and Guo 2014</t>
  </si>
  <si>
    <t>207736-05-8</t>
  </si>
  <si>
    <t>NC1=CC=C(C=C1)CC[C@]1(CC(=C(C(O1)=O)SC1=C(C=C(C(=C1)C)CO)C(C)(C)C)O)C(C)C</t>
  </si>
  <si>
    <t>RLXYKIBAWPVPSA-WSLRCUSADT  </t>
  </si>
  <si>
    <t>113734-18-2</t>
  </si>
  <si>
    <t>OC(CNC(CC1=CC=C(OCC(=O)O)C=C1)C)C=1N=C(SC1)C(F)(F)F</t>
  </si>
  <si>
    <t>YVIXXPCJZAUQHJ-QKVNPXAVDL  </t>
  </si>
  <si>
    <t>Aliphatic Amines +  Vinyl/Allyl Alcohols</t>
  </si>
  <si>
    <t>Clarithromycin</t>
  </si>
  <si>
    <t>81103-11-9</t>
  </si>
  <si>
    <t>CC1C(=O)OC(CC)C(O)(C)C(O)C(C)C(=O)C(C)CC(OC)(C)C(OC2C(O)C(N(C)C)CC(C)O2)C(C)C1OC3CC(OC)(C)C(O)C(C)O3</t>
  </si>
  <si>
    <t>AGOYDEPGAOXOCK-JXQPFRCSBS  </t>
  </si>
  <si>
    <t>Aliphatic Amines +  Esters +  Ketone alcohols</t>
  </si>
  <si>
    <t>Clarithromycin is first metabolized to 14-OH clarithromycin, which is active and works synergistically with its parent compound. Like other macrolides, it then penetrates bacteria cell wall and reversibly binds to domain V of the 23S ribosomal RNA of the 50S subunit of the bacterial ribosome, blocking translocation of aminoacyl transfer-RNA and polypeptide synthesis. Clarithromycin also inhibits the hepatic microsomal CYP3A4 isoenzyme and P-glycoprotein, an energy-dependent drug efflux pump.</t>
  </si>
  <si>
    <t>≤</t>
  </si>
  <si>
    <t>Standard (ISO) 24well plate setup</t>
  </si>
  <si>
    <t>114-07-8</t>
  </si>
  <si>
    <t>CCC3OC(=O)C(C)C(OC1CC(C)(OC)C(O)C(C)O1)C(C)C(OC2OC(C)CC(C2O)N(C)C)C(C)(O)CC(C)C(=O)C(C)C(O)C3(C)O</t>
  </si>
  <si>
    <t>ULGZDMOVFRHVEP-RWJQBGPGBH</t>
  </si>
  <si>
    <t>Erythromycin acts by penetrating the bacterial cell membrane and reversibly binding to the 50 S subunit of bacterial ribosomes or near the &amp;ldquo;P&amp;rdquo; or donor site so that binding of tRNA (transfer RNA) to the donor site is blocked. Translocation of peptides from the &amp;ldquo;A&amp;rdquo; or acceptor site to the &amp;ldquo;P&amp;rdquo; or donor site is prevented, and subsequent protein synthesis is inhibited. Erythromycin is effective only against actively dividing organisms. The exact mechanism by which erythmromycin reduces lesions of acne vulgaris is not fully known: however, the effect appears to be due in part to the antibacterial activity of the drug.</t>
  </si>
  <si>
    <t>Roxithromycin</t>
  </si>
  <si>
    <t>80214-83-1</t>
  </si>
  <si>
    <t>O=C3C(C(C(C(OC2C(C(N(C)C)CC(O2)C)O)C(CC(C(=NOCOCCOC)C(C(C(O)(C)C(O3)CC)O)C)C)(O)C)C)OC1CC(OC)(C)C(C(O1)C)O)C</t>
  </si>
  <si>
    <t>RXZBMPWDPOLZGW-XMRMVWPWBP</t>
  </si>
  <si>
    <t>Roxithromycin prevents bacteria from growing, by interfering with their protein synthesis. Roxithromycin binds to the subunit 50S of the bacterial ribosome, and thus inhibits the translocation of peptides. Roxithromycin has similar antimicrobial spectrum as erythromycin, but is more effective against certain gram-negative bacteria, particularly &lt;i&gt;Legionella pneumophila&lt;/i&gt;.</t>
  </si>
  <si>
    <t>723-46-6</t>
  </si>
  <si>
    <t>Cc1cc(NS(=O)(=O)c2ccc(N)cc2)no1</t>
  </si>
  <si>
    <t>JLKIGFTWXXRPMT-NDKGDYFDCV  </t>
  </si>
  <si>
    <t>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t>
  </si>
  <si>
    <t>738-70-5</t>
  </si>
  <si>
    <t>COc2cc(Cc1cnc(N)nc1N)cc(OC)c2OC</t>
  </si>
  <si>
    <t>IEDVJHCEMCRBQM-CLRGVMNRCM  </t>
  </si>
  <si>
    <t>Anilines (Unhindered) +  Anilines (Hindered) +  Anilines (amino-meta)</t>
  </si>
  <si>
    <t>Trimethoprim binds to dihydrofolate reductase and inhibits the reduction of dihydrofolic acid (DHF) to tetrahydrofolic acid (THF). THF is an essential precursor in the thymidine synthesis pathway and interference with this pathway inhibits bacterial DNA synthesis. Trimethoprim's affinity for bacterial dihydrofolate reductase is several thousand times greater than its affinity for human dihydrofolate reductase. Sulfamethoxazole inhibits dihydrofolate synthetase (aka dihydropteroate synthetase), an enzyme involved further upstream in the same pathway. Trimethoprim and sulfamethoxazole are commonly used in combination due to their synergistic effects. This drug combination also reduces the development of resistance that is seen when either drug is used alone.</t>
  </si>
  <si>
    <t>Terbutalin</t>
  </si>
  <si>
    <t>23031-32-5</t>
  </si>
  <si>
    <t>Oc1cc(O)cc(C(O)CNC(C)(C)C)c1</t>
  </si>
  <si>
    <t>XWTYSIMOBUGWOL-NSHDSACABR  </t>
  </si>
  <si>
    <t xml:space="preserve">Aliphatic Amines +  Benzyl Alcohols +  Phenols, Poly  +  Phenol Amines </t>
  </si>
  <si>
    <t>Bezafibrat</t>
  </si>
  <si>
    <t>41859-67-0</t>
  </si>
  <si>
    <t>OC(=O)C(C)(C)Oc1ccc(CCNC(=O)c2ccc(Cl)cc2)cc1</t>
  </si>
  <si>
    <t>IIBYAHWJQTYFKB-NPQUBYNZCU  </t>
  </si>
  <si>
    <t>Like the other fibrates, bezafibrate is an agonist of PPAR&amp;alpha;; some studies suggest it may have some activity on PPAR&amp;gamma; and PPAR&amp;delta; as well.</t>
  </si>
  <si>
    <t>882-09-7</t>
  </si>
  <si>
    <t>CC(C)(Oc1ccc(Cl)cc1)C(O)=O</t>
  </si>
  <si>
    <t>TXCGAZHTZHNUAI-XWKXFZRBCH  </t>
  </si>
  <si>
    <t>Fenofibrat</t>
  </si>
  <si>
    <t>YASYVMFAVPKPKE-SEKQGNIGDG</t>
  </si>
  <si>
    <t>135410-20-7</t>
  </si>
  <si>
    <t>c1cc(Cl)ncc1CN(C)C(C)=NC#N</t>
  </si>
  <si>
    <t>WCXDHFDTOYPNIE-RIYZIHGNBY  </t>
  </si>
  <si>
    <t>50594-66-6</t>
  </si>
  <si>
    <t>O=C(O)c(c(N(=O)(=O))ccc1Oc(c(cc(c2)C(F)(F)F)Cl)c2)c1</t>
  </si>
  <si>
    <t>XWVIVLXGOISTSJ-UYBDAZJACM</t>
  </si>
  <si>
    <t>116-06-3</t>
  </si>
  <si>
    <t>3337-71-1</t>
  </si>
  <si>
    <t>COC(=O)NS(=O)(=O)c1ccc(N)cc1</t>
  </si>
  <si>
    <t>VGPYEHKOIGNJKV-KZFATGLACJ  </t>
  </si>
  <si>
    <t xml:space="preserve">Anilines (Unhindered) +  Carbamate Esters </t>
  </si>
  <si>
    <t>1861-40-1</t>
  </si>
  <si>
    <t>CCCCN(CC)c1c(cc(cc1N(=O)=O)C(F)(F)F)N(=O)=O</t>
  </si>
  <si>
    <t>NIELEBALJOIURH-UHFFFAOYAK</t>
  </si>
  <si>
    <t>83055-99-6</t>
  </si>
  <si>
    <t>n1c(OC)cc(OC)nc1NC(=O)NS(=O)(=O)Cc2ccccc2C(=O)OC</t>
  </si>
  <si>
    <t>XMQFTWRPUQYINF-NPVYFSBICV</t>
  </si>
  <si>
    <t>25057-89-0</t>
  </si>
  <si>
    <t>O=C(N(S(=O)(=O)Nc1cccc2)C(C)C)c12</t>
  </si>
  <si>
    <t>ZOMSMJKLGFBRBS-UHFFFAOYAA</t>
  </si>
  <si>
    <t>Boric acid</t>
  </si>
  <si>
    <t>10043-35-3</t>
  </si>
  <si>
    <t>OB(O)O</t>
  </si>
  <si>
    <t>KGBXLFKZBHKPEV-UHFFFAOYAI  </t>
  </si>
  <si>
    <t>Neutral Organics +  Inorganic Compound</t>
  </si>
  <si>
    <t>314-40-9</t>
  </si>
  <si>
    <t>N1C(=O)N(C(C)CC)C(=O)C(Br)=C1C</t>
  </si>
  <si>
    <t>CTSLUCNDVMMDHG-YKJHHVRMDW</t>
  </si>
  <si>
    <t xml:space="preserve">Vinyl/Allyl Halides +  Carbonyl Ureas </t>
  </si>
  <si>
    <t>2008-41-5</t>
  </si>
  <si>
    <t>O=C(N(CC(C)C)CC(C)C)SCC</t>
  </si>
  <si>
    <t>BMTAFVWTTFSTOG-UHFFFAOYAT</t>
  </si>
  <si>
    <t>54593-83-8</t>
  </si>
  <si>
    <t>S=P(OCC)(OCC)OC(Cl)C(Cl)(Cl)Cl</t>
  </si>
  <si>
    <t>XFDJMIHUAHSGKG-YFKPBYRVBJ</t>
  </si>
  <si>
    <t>1698-60-8</t>
  </si>
  <si>
    <t>c1ccccc1N2C(=O)C(Cl)=C(N)C=N2</t>
  </si>
  <si>
    <t>WYKYKTKDBLFHCY-UHFFFAOYAL</t>
  </si>
  <si>
    <t>64902-72-3</t>
  </si>
  <si>
    <t>n1c(OC)nc(C)nc1NC(=O)NS(=O)(=O)c2ccccc2Cl</t>
  </si>
  <si>
    <t>VJYIFXVZLXQVHO-CUNFQGHECO</t>
  </si>
  <si>
    <t>74115-24-5</t>
  </si>
  <si>
    <t>Clc1ccccc1c2nnc(c3ccccc3Cl)nn2</t>
  </si>
  <si>
    <t>UXADOQPNKNTIHB-UHFFFAOYAH</t>
  </si>
  <si>
    <t>81777-89-1</t>
  </si>
  <si>
    <t>O1CC(C)(C)C(=O)N1Cc2ccccc2Cl</t>
  </si>
  <si>
    <t>KIEDNEWSYUYDSN-UHFFFAOYAD</t>
  </si>
  <si>
    <t>101-10-0</t>
  </si>
  <si>
    <t>O=C(O)C(Oc(cccc1Cl)c1)C</t>
  </si>
  <si>
    <t>YNTJKQDWYXUTLZ-IQEQUCTPDG  </t>
  </si>
  <si>
    <t>57754-85-5</t>
  </si>
  <si>
    <t>NQQBTWVFKDDVIB-MJDAXUNECC  </t>
  </si>
  <si>
    <t>Mixture of two compounds</t>
  </si>
  <si>
    <t>210880-92-5</t>
  </si>
  <si>
    <t>CNC(=NN(=O)=O)NCc1cnc(s1)Cl</t>
  </si>
  <si>
    <t>XTTZVANFSSJDFX-IZZDOVSWBF</t>
  </si>
  <si>
    <t>Aliphatic Amines +  Neonicotinoids</t>
  </si>
  <si>
    <t>Coumaphos</t>
  </si>
  <si>
    <t>56-72-4</t>
  </si>
  <si>
    <t>S=P(OCC)(OCC)Oc1ccc2C(C)=C(Cl)C(=O)Oc2c1</t>
  </si>
  <si>
    <t>BXNANOICGRISHX-UHFFFAOYAO</t>
  </si>
  <si>
    <t>Esters +  Vinyl/Allyl Halides +  Esters, Monothiophosphates</t>
  </si>
  <si>
    <t>21725-46-2</t>
  </si>
  <si>
    <t>1134-23-2</t>
  </si>
  <si>
    <t>CCSC(=O)N(CC)C1CCCCC1</t>
  </si>
  <si>
    <t>DFCAFRGABIXSDS-UHFFFAOYAC</t>
  </si>
  <si>
    <t>Cyfluthrin</t>
  </si>
  <si>
    <t>68359-37-5</t>
  </si>
  <si>
    <t>CC1(C)C(C=C(Cl)Cl)C1C(=O)OC(C#N)c3ccc(F)c(Oc2ccccc2)c3</t>
  </si>
  <si>
    <t>QQODLKZGRKWIFG-XFQXTVEOBG</t>
  </si>
  <si>
    <t>94361-06-5</t>
  </si>
  <si>
    <t>c1cc(Cl)ccc1C(O)(C(C)C2CC2)Cn3ncnc3</t>
  </si>
  <si>
    <t>UFNOUKDBUJZYDE-NHYWBVRUBC</t>
  </si>
  <si>
    <t>66215-27-8</t>
  </si>
  <si>
    <t>n1c(N)nc(N)nc1NC2CC2</t>
  </si>
  <si>
    <t>LVQDKIWDGQRHTE-JMLXEIKVCC</t>
  </si>
  <si>
    <t xml:space="preserve">Anilines (amino-meta) +  Melamines </t>
  </si>
  <si>
    <t>Moulting disruptor, Dipteran</t>
  </si>
  <si>
    <t>1596-84-5</t>
  </si>
  <si>
    <t>CN(C)NC(=O)CCC(O)=O</t>
  </si>
  <si>
    <t>NOQGZXFMHARMLW-BVBTXPNWCL  </t>
  </si>
  <si>
    <t>533-74-4</t>
  </si>
  <si>
    <t>N(CSC(N1C)=S)(C1)C</t>
  </si>
  <si>
    <t>QAYICIQNSGETAS-UHFFFAOYAR</t>
  </si>
  <si>
    <t>Aliphatic Amines +  Thiocarbamate, Di(Substit)</t>
  </si>
  <si>
    <t>1918-00-9</t>
  </si>
  <si>
    <t>COc1c(Cl)ccc(Cl)c1C(O)=O</t>
  </si>
  <si>
    <t>IWEDIXLBFLAXBO-WXRBYKJCCV</t>
  </si>
  <si>
    <t>99-30-9</t>
  </si>
  <si>
    <t>O=N(=O)c(cc(c(N)c1Cl)Cl)c1</t>
  </si>
  <si>
    <t>ZZWMYAFUHXZTOA-UHFFFAOYAU</t>
  </si>
  <si>
    <t>145701-21-9</t>
  </si>
  <si>
    <t>c3(n2c(cc(n3)F)nc(n2)S(=O)(=O)Nc1c(cccc1Cl)Cl)OCC</t>
  </si>
  <si>
    <t>QNXAVFXEJCPCJO-UHFFFAOYAT</t>
  </si>
  <si>
    <t>Amides  +  Triazole Pyrimidine Sulfona</t>
  </si>
  <si>
    <t>141-66-2</t>
  </si>
  <si>
    <t>COP(=O)(OC)OC(C)=CC(=O)N(C)C</t>
  </si>
  <si>
    <t>VEENJGZXVHKXNB-VOTSOKGWBK</t>
  </si>
  <si>
    <t>Diethylhexyl phthalate (DEHP)</t>
  </si>
  <si>
    <t>117-81-7</t>
  </si>
  <si>
    <t>O=C(OCC(CCCC)CC)c(c(ccc1)C(=O)OCC(CCCC)CC)c1</t>
  </si>
  <si>
    <t>BJQHLKABXJIVAM-PMACEKPBBL</t>
  </si>
  <si>
    <t>134-62-3</t>
  </si>
  <si>
    <t>O=C(N(CC)CC)c(cccc1C)c1</t>
  </si>
  <si>
    <t>MMOXZBCLCQITDF-UHFFFAOYAE</t>
  </si>
  <si>
    <t>Difenzoquat metilsulfate</t>
  </si>
  <si>
    <t>43222-48-6</t>
  </si>
  <si>
    <t>c1ccccc1C2=CC(c3ccccc3)=N(C)(OS(=O)(=O)OC)N2C</t>
  </si>
  <si>
    <t>DVWHGGYQIQETNX-HXUWFJFHBO  </t>
  </si>
  <si>
    <t>60-51-5</t>
  </si>
  <si>
    <t>O=C(NC)CSP(OC)(OC)=S</t>
  </si>
  <si>
    <t>MCWXGJITAZMZEV-BRMMOCHJCN</t>
  </si>
  <si>
    <t>110488-70-5</t>
  </si>
  <si>
    <t>c1cc(Cl)ccc1C(c2cc(OC)c(OC)cc2)=CC(=O)N3CCOCC3</t>
  </si>
  <si>
    <t>QNBTYORWCCMPQP-NBVRZTHBBS</t>
  </si>
  <si>
    <t>Acrylamides</t>
  </si>
  <si>
    <t>131-11-3</t>
  </si>
  <si>
    <t>O=C(OC)c(c(ccc1)C(=O)OC)c1</t>
  </si>
  <si>
    <t>NIQCNGHVCWTJSM-UHFFFAOYAF</t>
  </si>
  <si>
    <t>85-00-7</t>
  </si>
  <si>
    <t>Diuron</t>
  </si>
  <si>
    <t>330-54-1</t>
  </si>
  <si>
    <t>O=C(N(C)C)Nc(ccc(c1Cl)Cl)c1</t>
  </si>
  <si>
    <t>XMTQQYYKAHVGBJ-XWKXFZRBCR</t>
  </si>
  <si>
    <t>Methemoglobin formation (herbicide)</t>
  </si>
  <si>
    <t>Wang, S.W., Chu, C.Y., Hsu, J.D., Wang, C.J., 1993. Haemotoxic effect of phenylurea herbicides in rats: role of haemoglobin-adduct formation in splenic toxicity. Food and Chemical Toxicology. 31, 285-295.</t>
  </si>
  <si>
    <t>759-94-4</t>
  </si>
  <si>
    <t>O=C(N(CCC)CCC)SCC</t>
  </si>
  <si>
    <t>GUVLYNGULCJVDO-UHFFFAOYAA</t>
  </si>
  <si>
    <t>Sodium-gated voltage channel antagonist</t>
  </si>
  <si>
    <t>55283-68-6</t>
  </si>
  <si>
    <t>O=N(=O)c(c(N(CC(=C)C)CC)c(N(=O)=O)cc1C(F)(F)F)c1</t>
  </si>
  <si>
    <t>YIMWFNZOISOJSF-UHFFFAOYAE</t>
  </si>
  <si>
    <t>97780-06-8</t>
  </si>
  <si>
    <t>COC(=O)c1ccccc1S(=O)(=O)NC(=O)Nc2nc(OCC)nc(NC)n2</t>
  </si>
  <si>
    <t>ZINJLDJMHCUBIP-IZAKSHOKCK</t>
  </si>
  <si>
    <t xml:space="preserve">Esters +  Triazines, Aromatic +  Sulfonyl Ureas </t>
  </si>
  <si>
    <t>16672-87-0</t>
  </si>
  <si>
    <t>O=P(O)(O)CCCl</t>
  </si>
  <si>
    <t>UDPGUMQDCGORJQ-NUMVZRSTCH  </t>
  </si>
  <si>
    <t>13194-48-4</t>
  </si>
  <si>
    <t>CCCSP(=O)(OCC)SCCC</t>
  </si>
  <si>
    <t>VJYFKVYYMZPMAB-UHFFFAOYAE</t>
  </si>
  <si>
    <t>Guo, J.-X., Wu, J.J.Q., Wright, J.B., Lushington, G.H., 2006. Mechanistic Insight into Acetylcholinesterase Inhibition and Acute Toxicity of Organophosphorus Compounds:  A Molecular Modeling Study. Chem. Res. Toxicol. 19, 209-216.</t>
  </si>
  <si>
    <t xml:space="preserve">Breakdown products of  Dithiocarbamate fungicide, MoA unknown or multisite </t>
  </si>
  <si>
    <t>2593-15-9</t>
  </si>
  <si>
    <t>CCOc1nc(ns1)C(Cl)(Cl)Cl</t>
  </si>
  <si>
    <t>KQTVWCSONPJJPE-UHFFFAOYAK</t>
  </si>
  <si>
    <t>Fenpropathrin</t>
  </si>
  <si>
    <t>39515-41-8</t>
  </si>
  <si>
    <t>CC3(C)C(C(=O)OC(C#N)c2cccc(Oc1ccccc1)c2)C3(C)C</t>
  </si>
  <si>
    <t>XQUXKZZNEFRCAW-GOSISDBHBW</t>
  </si>
  <si>
    <t>98967-40-9</t>
  </si>
  <si>
    <t>Fc1cccc(F)c1NS(=O)(=O)c2nc3nc(C)ccn3n2</t>
  </si>
  <si>
    <t>RXCPQSJAVKGONC-UHFFFAOYAP</t>
  </si>
  <si>
    <t>2164-17-2</t>
  </si>
  <si>
    <t>O=C(N(C)C)Nc(cccc1C(F)(F)F)c1</t>
  </si>
  <si>
    <t>RZILCCPWPBTYDO-YHMJCDSICM</t>
  </si>
  <si>
    <t>69377-81-7</t>
  </si>
  <si>
    <t>n1c(F)c(Cl)c(N)c(Cl)c1OCC(=O)O</t>
  </si>
  <si>
    <t>MEFQWPUMEMWTJP-VMIOWZCSCG</t>
  </si>
  <si>
    <t xml:space="preserve">Anilines (Unhindered) +  Halopyrdines </t>
  </si>
  <si>
    <t>173159-57-4</t>
  </si>
  <si>
    <t>c2(nc(cc(n2)OC)OC)NC(=O)NS(=O)(=O)c1c(cccc1C(=O)N(C)C)NC=O</t>
  </si>
  <si>
    <t>QBWWXFBJFABNEC-PCCCEYSUCK</t>
  </si>
  <si>
    <t xml:space="preserve">Amides  +  Sulfonyl Ureas </t>
  </si>
  <si>
    <t>23422-53-9</t>
  </si>
  <si>
    <t>CNC(=O)Oc1cccc(N=CN(Cl)(H)(C)C)c1</t>
  </si>
  <si>
    <t>MYPKGPZHHQEODQ-YODPLATKDM  </t>
  </si>
  <si>
    <t>78587-05-0</t>
  </si>
  <si>
    <t>c1cc(Cl)ccc1C2SC(=O)N(C(=O)NC3CCCCC3)C2C</t>
  </si>
  <si>
    <t>XGWIJUOSCAQSSV-SZOLMFQXDT</t>
  </si>
  <si>
    <t xml:space="preserve">Thiazolidinones +  Thiocarbamates, Mono  +  Carbonyl Ureas </t>
  </si>
  <si>
    <t>119515-38-7</t>
  </si>
  <si>
    <t>C1CC(N(C(=O)OC(CC)C)CC1)CCO</t>
  </si>
  <si>
    <t>QLHULAHOXSSASE-MNOVXSKEBO  </t>
  </si>
  <si>
    <t>104098-48-8</t>
  </si>
  <si>
    <t>OC(=O)c1cc(C)cnc1C2=NC(C)(C(C)C)C(=O)N2</t>
  </si>
  <si>
    <t>PVSGXWMWNRGTKE-NERLCZGFDN  </t>
  </si>
  <si>
    <t>81335-37-7</t>
  </si>
  <si>
    <t>CC(C)C1(C)N=C(NC1=O)c3nc2ccccc2cc3C(O)=O</t>
  </si>
  <si>
    <t>CABMTIJINOIHOD-AGKSJSBSDM  </t>
  </si>
  <si>
    <t>81335-77-5</t>
  </si>
  <si>
    <t>n1cc(CC)cc(C(=O)O)c1C2=NC(C)(C(C)C)C(=O)N2</t>
  </si>
  <si>
    <t>XVOKUMIPKHGGTN-FWOIFZPWDQ</t>
  </si>
  <si>
    <t>VBCVPMMZEGZULK-NRFANRHFBE  </t>
  </si>
  <si>
    <t>[6][30]</t>
  </si>
  <si>
    <t>144550-36-7</t>
  </si>
  <si>
    <t>ROWVIPOWWQWNGE-YQSQGLAYCQ  </t>
  </si>
  <si>
    <t>42509-80-8</t>
  </si>
  <si>
    <t>CCOP(=S)(OCC)Oc1nn(C(C)C)c(Cl)n1</t>
  </si>
  <si>
    <t>XRHGWAGWAHHFLF-UHFFFAOYAN</t>
  </si>
  <si>
    <t>Esters, Monothiophosphates +  Triazoles (Non-Fused)</t>
  </si>
  <si>
    <t>141112-29-0</t>
  </si>
  <si>
    <t>C1=NOC(C2CC2)=C1C(=O)c3ccc(C(F)(F)F)cc3S(=O)(=O)C</t>
  </si>
  <si>
    <t>OYIKARCXOQLFHF-UHFFFAOYAB</t>
  </si>
  <si>
    <t>123-33-1</t>
  </si>
  <si>
    <t>C1=CC(=O)NNC1(=O)</t>
  </si>
  <si>
    <t>BGRDGMRNKXEXQD-ZKXRSSAFCX</t>
  </si>
  <si>
    <t>8018-01-7</t>
  </si>
  <si>
    <t>S=C(S)NCCNC(=S)S</t>
  </si>
  <si>
    <t>94-74-6</t>
  </si>
  <si>
    <t>O=C(O)COc(c(cc(c1)Cl)C)c1</t>
  </si>
  <si>
    <t>WHKUVVPPKQRRBV-WXRBYKJCCG</t>
  </si>
  <si>
    <t>24307-26-4</t>
  </si>
  <si>
    <t>C1CCCCN1(Cl)(C)C</t>
  </si>
  <si>
    <t>JWUYUTNNNFSDGO-UHFFFAOYAY  </t>
  </si>
  <si>
    <t>208465-21-8</t>
  </si>
  <si>
    <t>c2(ccc(cc2S(=O)(=O)NC(=O)Nc1nc(cc(OC)n1)OC)CNS(=O)(=O)C)C(=O)OC</t>
  </si>
  <si>
    <t>NIFKBBMCXCMCAO-XBTAAFKLCR  </t>
  </si>
  <si>
    <t xml:space="preserve">Esters +  Amides  +  Sulfonyl Ureas </t>
  </si>
  <si>
    <t>104206-82-8</t>
  </si>
  <si>
    <t>C2(C(C(CCC2)=O)C(c1c(cc(cc1)S(=O)(=O)C)N(=O)=O)=O)=O</t>
  </si>
  <si>
    <t>WFSVYAWUPFWQMC-UHFFFAOYAT</t>
  </si>
  <si>
    <t>Benzoylcyclohexanedione</t>
  </si>
  <si>
    <t>950-37-8</t>
  </si>
  <si>
    <t>S=P(OC)(OC)SCN1C(=O)SC(OC)=N1</t>
  </si>
  <si>
    <t>MEBQXILRKZHVCX-UHFFFAOYAL</t>
  </si>
  <si>
    <t>Hydrazines +  Thiocarbamates, Mono  +  Esters, Dithiophosphates</t>
  </si>
  <si>
    <t xml:space="preserve">AChE-inhibition </t>
  </si>
  <si>
    <t>161050-58-4</t>
  </si>
  <si>
    <t>Cc1c(OC)cccc1C(=O)NN(C(C)(C)C)C(=O)c2cc(C)cc(C)c2</t>
  </si>
  <si>
    <t>QCAWEPFNJXQPAN-MPIMZMORCV  </t>
  </si>
  <si>
    <t>Ecdysone receptor agonists</t>
  </si>
  <si>
    <t>4376-18-5</t>
  </si>
  <si>
    <t>OC(=O)c1c(C(=O)OC)cccc1</t>
  </si>
  <si>
    <t>FNJSWIPFHMKRAT-KZFATGLACZ  </t>
  </si>
  <si>
    <t>9006-42-2</t>
  </si>
  <si>
    <t>S=C(S[Zn](SC(=S)NCCNC(=S)S)N)NCCNC(=S)S</t>
  </si>
  <si>
    <t>Metribuzin</t>
  </si>
  <si>
    <t>21087-64-9</t>
  </si>
  <si>
    <t>O=C1N(N)C(SC)=NN=C1C(C)(C)C</t>
  </si>
  <si>
    <t>FOXFZRUHNHCZPX-UHFFFAOYAI</t>
  </si>
  <si>
    <t>74223-64-6</t>
  </si>
  <si>
    <t>COC(=O)c1ccccc1S(=O)(=O)NC(=O)Nc2nc(OC)nc(C)n2</t>
  </si>
  <si>
    <t>RSMUVYRMZCOLBH-FQFUPTBWCN</t>
  </si>
  <si>
    <t>7786-34-7</t>
  </si>
  <si>
    <t>COC(=O)C=C(C)OP(=O)(OC)OC</t>
  </si>
  <si>
    <t>GEPDYQSQVLXLEU-AATRIKPKBH  </t>
  </si>
  <si>
    <t>131-70-4</t>
  </si>
  <si>
    <t>O=C(OCCCC)c(c(ccc1)C(=O)O)c1</t>
  </si>
  <si>
    <t>YZBOVSFWWNVKRJ-NDKGDYFDCM  </t>
  </si>
  <si>
    <t>15299-99-7</t>
  </si>
  <si>
    <t>CCN(CC)C(=O)C(C)Oc1cccc2ccccc12</t>
  </si>
  <si>
    <t>WXZVAROIGSFCFJ-ZDUSSCGKBR</t>
  </si>
  <si>
    <t>1929-82-4</t>
  </si>
  <si>
    <t>n(c(ccc1)C(Cl)(Cl)Cl)c1Cl</t>
  </si>
  <si>
    <t>DCUJJWWUNKIJPH-UHFFFAOYAC</t>
  </si>
  <si>
    <t xml:space="preserve">Benzyl Halides +  Halopyrdines </t>
  </si>
  <si>
    <t>144651-06-9</t>
  </si>
  <si>
    <t>n1c(C)cc(C)nc1NC(=O)NS(=O)(=O)c2ccccc2C(=O)OC3COC3</t>
  </si>
  <si>
    <t>IOXAXYHXMLCCJJ-BDGWVKIOCT  </t>
  </si>
  <si>
    <t xml:space="preserve">Esters +  Oxetanes  +  Sulfonyl Ureas </t>
  </si>
  <si>
    <t>40487-42-1</t>
  </si>
  <si>
    <t>CCC(CC)Nc1c(cc(C)c(C)c1N(=O)=O)N(=O)=O</t>
  </si>
  <si>
    <t>RSLVOMHGGDUHKB-UHFFFAOYAS</t>
  </si>
  <si>
    <t>219714-96-2</t>
  </si>
  <si>
    <t>COc1cnc(OC)n2nc(NS(=O)(=O)c3c(OCC(F)F)cccc3C(F)(F)F)nc12</t>
  </si>
  <si>
    <t>SYJGKVOENHZYMQ-LNNLXFCOCW</t>
  </si>
  <si>
    <t>122-99-6</t>
  </si>
  <si>
    <t>O(c(cccc1)c1)CCO</t>
  </si>
  <si>
    <t>QCDWFXQBSFUVSP-UHFFFAOYAU</t>
  </si>
  <si>
    <t>1918-02-1</t>
  </si>
  <si>
    <t xml:space="preserve">Methemoglobin formation/Synthetic auxin </t>
  </si>
  <si>
    <t>23103-98-2</t>
  </si>
  <si>
    <t>CN(C)C(=O)Oc1nc(nc(C)c1C)N(C)C</t>
  </si>
  <si>
    <t>YFGYUFNIOHWBOB-UHFFFAOYAL</t>
  </si>
  <si>
    <t>29091-21-2</t>
  </si>
  <si>
    <t>O=N(=O)c(c(N(CCC)CCC)c(N(=O)=O)c(N)c1C(F)(F)F)c1</t>
  </si>
  <si>
    <t>WFXSKVXWRXTDHF-UHFFFAOYAV</t>
  </si>
  <si>
    <t>Polynitroanilines +  Anilines (Hindered)</t>
  </si>
  <si>
    <t>127277-53-6</t>
  </si>
  <si>
    <t>CCC(=O)C1=C(O[Ca]OC2(=O))CC2CC1=O</t>
  </si>
  <si>
    <t>IOIKEKZHXXPDJU-UBLGPLQOCO  </t>
  </si>
  <si>
    <t>7287-19-6</t>
  </si>
  <si>
    <t>CSc1nc(NC(C)C)nc(NC(C)C)n1</t>
  </si>
  <si>
    <t>AAEVYOVXGOFMJO-WYCIUFAECN</t>
  </si>
  <si>
    <t>25606-41-1</t>
  </si>
  <si>
    <t>ClN(C)(C)(H)CCCNC(=O)OCCC</t>
  </si>
  <si>
    <t>MKIMSXGUTQTKJU-MJDAXUNECX  </t>
  </si>
  <si>
    <t>139-40-2</t>
  </si>
  <si>
    <t>CC(C)Nc1nc(Cl)nc(NC(C)C)n1</t>
  </si>
  <si>
    <t>WJNRPILHGGKWCK-WYCIUFAECA</t>
  </si>
  <si>
    <t>31218-83-4</t>
  </si>
  <si>
    <t>CCNP(=S)(OC)OC(C)=CC(=O)OC(C)C</t>
  </si>
  <si>
    <t>BZNDWPRGXNILMS-DEWPWDJXDA</t>
  </si>
  <si>
    <t>Esters +  Esters, Monothiophosphates</t>
  </si>
  <si>
    <t>23950-58-5</t>
  </si>
  <si>
    <t>CC(C)(NC(=O)c1cc(Cl)cc(Cl)c1)C#C</t>
  </si>
  <si>
    <t>PHNUZKMIPFFYSO-YAQRNVERCQ</t>
  </si>
  <si>
    <t>123312-89-0</t>
  </si>
  <si>
    <t>O=C1NN=C(C)CN1N=Cc2cccnc2</t>
  </si>
  <si>
    <t>QHMTXANCGGJZRX-DDDHARAIDH  </t>
  </si>
  <si>
    <t>Modulators of Chordotonal Organs</t>
  </si>
  <si>
    <t>123343-16-8</t>
  </si>
  <si>
    <t>OC(=O)c1c(Cl)cccc1Sc2nc(OC)cc(OC)n2</t>
  </si>
  <si>
    <t>XUIMLSVDQPZZRK-UHFFFAOYAV  </t>
  </si>
  <si>
    <t>Resmethrin</t>
  </si>
  <si>
    <t>10453-86-8</t>
  </si>
  <si>
    <t>CC(C)=CC3C(C(=O)OCc2coc(Cc1ccccc1)c2)C3(C)C</t>
  </si>
  <si>
    <t>VEMKTZHHVJILDY-PMACEKPBBE</t>
  </si>
  <si>
    <t xml:space="preserve">Esters +  Pyrethroids </t>
  </si>
  <si>
    <t>122931-48-0</t>
  </si>
  <si>
    <t>CCS(=O)(=O)c1cccnc1S(=O)(=O)NC(=O)Nc2nc(OC)cc(OC)n2</t>
  </si>
  <si>
    <t>MEFOUWRMVYJCQC-VEWCPZSHCR  </t>
  </si>
  <si>
    <t>74051-80-2</t>
  </si>
  <si>
    <t>CCCC(=NOCC)C1=C(O)CC(CC(C)SCC)CC1(=O)</t>
  </si>
  <si>
    <t>CSPPKDPQLUUTND-CRRCBQERBS</t>
  </si>
  <si>
    <t>112410-23-8</t>
  </si>
  <si>
    <t>c1cc(CC)ccc1C(=O)NN(C(C)(C)C)C(=O)c2cc(C)cc(C)c2</t>
  </si>
  <si>
    <t>QYPNKSZPJQQLRK-MPIMZMORCV  </t>
  </si>
  <si>
    <t>34014-18-1</t>
  </si>
  <si>
    <t>CNC(=O)N(C)c1nnc(s1)C(C)(C)C</t>
  </si>
  <si>
    <t>HBPDKDSFLXWOAE-KZFATGLACB</t>
  </si>
  <si>
    <t>Tefluthrin</t>
  </si>
  <si>
    <t>79538-32-2</t>
  </si>
  <si>
    <t>C(Cl)(C(F)(F)F)=CC1C(C)(C)C1C(=O)OCc2c(F)c(F)c(C)c(F)c2F</t>
  </si>
  <si>
    <t>ZFHGXWPMULPQSE-SZGBIDFHBO</t>
  </si>
  <si>
    <t>5902-51-2</t>
  </si>
  <si>
    <t>CC1=C(Cl)C(=O)N(C(C)(C)C)C(=O)N1</t>
  </si>
  <si>
    <t>NBQCNZYJJMBDKY-WXRBYKJCCV</t>
  </si>
  <si>
    <t>153719-23-4</t>
  </si>
  <si>
    <t>C2OCN(C(N2C)=NN(=O)=O)Cc1cnc(s1)Cl</t>
  </si>
  <si>
    <t>ILTUJHZJDLVMJV-DHZHZOJOBX</t>
  </si>
  <si>
    <t>51707-55-2</t>
  </si>
  <si>
    <t>c1ccccc1NC(=O)Nc2nnsc2</t>
  </si>
  <si>
    <t>HFCYZXMHUIHAQI-WYCIUFAECM</t>
  </si>
  <si>
    <t>43121-43-3</t>
  </si>
  <si>
    <t>CC(C)(C)C(=O)C(Oc1ccc(Cl)cc1)n2cncn2</t>
  </si>
  <si>
    <t>WURBVZBTWMNKQT-ZDUSSCGKBY</t>
  </si>
  <si>
    <t>82097-50-5</t>
  </si>
  <si>
    <t>ClCCOc1ccccc1S(=O)(=O)NC(=O)Nc2nc(OC)nc(C)n2</t>
  </si>
  <si>
    <t>XOPFESVZMSQIKC-CMLSCEPHCR</t>
  </si>
  <si>
    <t xml:space="preserve">Triazines, Aromatic +  Halo Ethers  +  Sulfonyl Ureas </t>
  </si>
  <si>
    <t>101200-48-0</t>
  </si>
  <si>
    <t>COC(=O)c1ccccc1S(=O)(=O)NC(=O)N(C)c2nc(OC)nc(C)n2</t>
  </si>
  <si>
    <t>VLCQZHSMCYCDJL-LILDFLRNCJ</t>
  </si>
  <si>
    <t>Esters +  Triazines, Aromatic</t>
  </si>
  <si>
    <t>55335-06-3</t>
  </si>
  <si>
    <t>OC(=O)COc1nc(Cl)c(Cl)cc1Cl</t>
  </si>
  <si>
    <t>REEQLXCGVXDJSQ-XWKXFZRBCW</t>
  </si>
  <si>
    <t>PNGXIFHUQCDOLE-IYBBYDNFCD  </t>
  </si>
  <si>
    <t>1582-09-8</t>
  </si>
  <si>
    <t>CCCN(CCC)c1c(cc(cc1N(=O)(=O))C(F)(F)F)N(=O)(=O)</t>
  </si>
  <si>
    <t>TXNNROUZNOXPNL-UHFFFAOYAA</t>
  </si>
  <si>
    <t>126535-15-7</t>
  </si>
  <si>
    <t>COC(=O)c1cccc(C)c1S(=O)(=O)NC(=O)Nc2nc(N(C)C)nc(OCC(F)(F)F)n2</t>
  </si>
  <si>
    <t>IMEVJVISCHQJRM-WKAABZQDCS</t>
  </si>
  <si>
    <t>131983-72-7</t>
  </si>
  <si>
    <t>c1cc(Cl)ccc1C=C2CCC(C)(C)C2(O)Cn3ncnc3</t>
  </si>
  <si>
    <t>PPDBOQMNKNNODG-ZGUWOUCSBZ  </t>
  </si>
  <si>
    <t>4-Decylaniline</t>
  </si>
  <si>
    <t>37529-30-9</t>
  </si>
  <si>
    <t>CCCCCCCCCCc1ccc(N)cc1</t>
  </si>
  <si>
    <t>WGENWPANMZLPIH-UHFFFAOYAC  </t>
  </si>
  <si>
    <t>0.01 % DMSO or acetone</t>
  </si>
  <si>
    <t>Standard 24well plate setup</t>
  </si>
  <si>
    <t>527-20-8</t>
  </si>
  <si>
    <t>Nc1c(Cl)c(Cl)c(Cl)c(Cl)c1Cl</t>
  </si>
  <si>
    <t>KHCZSJXTDDHLGJ-UHFFFAOYAH  </t>
  </si>
  <si>
    <t>106-46-7</t>
  </si>
  <si>
    <t>c(ccc(c1)Cl)(c1)Cl</t>
  </si>
  <si>
    <t>OCJBOOLMMGQPQU-UHFFFAOYAL</t>
  </si>
  <si>
    <t>10/100</t>
  </si>
  <si>
    <t>Erlemeyer flask completely filled and sealed</t>
  </si>
  <si>
    <t>608-93-5</t>
  </si>
  <si>
    <t>c(c(c(c(c1Cl)Cl)Cl)Cl)(c1)Cl</t>
  </si>
  <si>
    <t>CEOCDNVZRAIOQZ-UHFFFAOYAV</t>
  </si>
  <si>
    <t>Ivermectin (H2B1a)</t>
  </si>
  <si>
    <t>70161-11-4</t>
  </si>
  <si>
    <t>AZSNMRSAGSSBNP-WSBRSQPYBV</t>
  </si>
  <si>
    <t>Cristallysation dish</t>
  </si>
  <si>
    <t>Acetone 0.01 %</t>
  </si>
  <si>
    <t>608-31-1</t>
  </si>
  <si>
    <t>Nc(c(ccc1)Cl)c1Cl</t>
  </si>
  <si>
    <t>JDMFXJULNGEPOI-UHFFFAOYAF  </t>
  </si>
  <si>
    <t>Zimmer and Nagel 2007</t>
  </si>
  <si>
    <t>Citalopram</t>
  </si>
  <si>
    <t>59729-33-8</t>
  </si>
  <si>
    <t>c12C(CCCN(C)C)(c3ccc(F)cc3)OCc1cc(C#N)cc2</t>
  </si>
  <si>
    <t>WSEQXVZVJXJVFP-FQEVSTJZBT  </t>
  </si>
  <si>
    <t>The antidepressant, antiobsessive-compulsive, and antibulimic actions of citalopram are presumed to be linked to its inhibition of CNS neuronal uptake of serotonin. Citalopram blocks the reuptake of serotonin at the serotonin reuptake pump of the neuronal membrane, enhancing the actions of serotonin on 5HT&lt;sub&gt;1A&lt;/sub&gt; autoreceptors. SSRIs bind with significantly less affinity to histamine, acetylcholine, and norepinephrine receptors than tricyclic antidepressant drugs.</t>
  </si>
  <si>
    <t xml:space="preserve">2921-88-2 </t>
  </si>
  <si>
    <t>Klüver and Scholz 2012</t>
  </si>
  <si>
    <t>Ortmann 2011</t>
  </si>
  <si>
    <t>Flucythrinate</t>
  </si>
  <si>
    <t xml:space="preserve">70124-77-5 </t>
  </si>
  <si>
    <t>CC(C)C(C(=O)OC(C#N)c2cccc(Oc1ccccc1)c2)c3ccc(OC(F)F)cc3</t>
  </si>
  <si>
    <t>GBIHOLCMZGAKNG-DNQXCXABBY</t>
  </si>
  <si>
    <t xml:space="preserve"> 10/4</t>
  </si>
  <si>
    <t>6well plate</t>
  </si>
  <si>
    <t>0.137M NaCl, 5.4mM KCl, 0.25mM Na2HPO4, 0.44mM KH2PO4,
1.3mM CaCl2, 1.0mM MgSO4 and 4.2mM NaHCO3</t>
  </si>
  <si>
    <t>Phosphate buffered</t>
  </si>
  <si>
    <t>Jin et al. 2009</t>
  </si>
  <si>
    <t>Cyprinus carpio</t>
  </si>
  <si>
    <t>120(744)</t>
  </si>
  <si>
    <t xml:space="preserve"> 19-22</t>
  </si>
  <si>
    <t xml:space="preserve"> 100/900</t>
  </si>
  <si>
    <t>renewal twice daily</t>
  </si>
  <si>
    <t>&gt;60%</t>
  </si>
  <si>
    <t>7.5-8.5</t>
  </si>
  <si>
    <t>GC/IT MS</t>
  </si>
  <si>
    <t>≤ 8.7</t>
  </si>
  <si>
    <t>NO LC50 in OECD 210 testing regime. Maxim cumulativ mortality was 21% in the highest tested concentration of 32mg/L [0,1493mM]</t>
  </si>
  <si>
    <t>Stepanova et al. (2012)</t>
  </si>
  <si>
    <t xml:space="preserve"> 20/2</t>
  </si>
  <si>
    <t>Embryos exposed with 3mM for 24h resulted in 100% mortality. Observed 100%  lethality in 80 h exposed embryos with 2mM!</t>
  </si>
  <si>
    <t>Bakkiyanathan et al. 2012</t>
  </si>
  <si>
    <t>higher solubility at pH 9</t>
  </si>
  <si>
    <t xml:space="preserve">UFZ, unpublished data </t>
  </si>
  <si>
    <t>May rapidly hydrolyse in water</t>
  </si>
  <si>
    <t>EM-12</t>
  </si>
  <si>
    <t>26581-81-7</t>
  </si>
  <si>
    <t>c12C(=O)N(C3C(=O)NC(=O)C=C3)C(=O)c1cccc2</t>
  </si>
  <si>
    <t>ZYFREUWQRNXACX-DFDGXABRDR  </t>
  </si>
  <si>
    <t>Derivative of thalidomide</t>
  </si>
  <si>
    <t>Trifluoroacetat</t>
  </si>
  <si>
    <t>14477-72-6</t>
  </si>
  <si>
    <t>O=C(O)C(F)(F)F</t>
  </si>
  <si>
    <t>BKXVVCILCIUCLG-UHFFFAOYAL  </t>
  </si>
  <si>
    <t>Limit test</t>
  </si>
  <si>
    <t>22204-24-6</t>
  </si>
  <si>
    <t>N1=C(C=CC2=CC=CS2)N(C)CCC1</t>
  </si>
  <si>
    <t>XFJIYNUISLDNLP-UYBDAZJACK  </t>
  </si>
  <si>
    <t>Aliphatic Amines +  Thiophenes</t>
  </si>
  <si>
    <t>102-65-8</t>
  </si>
  <si>
    <t>n1c(NS(=O)(=O)c2ccc(N)cc2)cncc1Cl</t>
  </si>
  <si>
    <t>FRRIEWXMNUHSGK-AWEZNQCLBN  </t>
  </si>
  <si>
    <t>1401-69-0</t>
  </si>
  <si>
    <t>O=C3CC(C(C(OC4C(C(N(C)C)C(C(O4)C)OC2CC(O)(C)C(C(O2)C)O)O)C(CC(C(=O)C=CC(=CC(C(O3)CC)COC1C(C(OC)C(C(O1)C)O)OC)C)C)CC=O)C)O</t>
  </si>
  <si>
    <t>WBPYTXDJUQJLPQ-SLXBCWCXBN  </t>
  </si>
  <si>
    <t>Aldehydes (Mono) +  Aliphatic Amines +  Esters +  Vinyl/Allyl Ketones</t>
  </si>
  <si>
    <t>112398-08-0</t>
  </si>
  <si>
    <t>OCFIRCHPJWLACG-TWSSTFTODI  </t>
  </si>
  <si>
    <t>93106-60-6</t>
  </si>
  <si>
    <t>CCN1CCN(C4=C(C=C3C(C(C(O)=O)=CN(C3=C4)C2CC2)=O)F)CC1</t>
  </si>
  <si>
    <t>SPFYMRJSYKOXGV-LNNLXFCOCH  </t>
  </si>
  <si>
    <t>862243-29-6</t>
  </si>
  <si>
    <t>C(=O)(O[H])c1c(c(c(c(c1N1c2c(C(C(=C1[H])C(=O)O[H])=O)c(c(c(c2[H])[Cl])N(c1c(c(c(c(c1[Cl])[H])F)[H])F)[H])[H])[H])[H])[H])[H]</t>
  </si>
  <si>
    <t>OEMJXSVJXPIFMA-PINXXQJSCZ  </t>
  </si>
  <si>
    <t>139149-55-6</t>
  </si>
  <si>
    <t>[Cl]c1c(c(c(c(c1[H])C1(OC(C(N(C1([H])[H])c1c(c(c(c(c1[H])[H])[H])[H])[H])=O)([H])[H])C(C(N1C(C(C(C(C1([H])[H])([H])[H])(c1c(c(c(c(c1[H])F)[H])[H])[H])N(C(=O)C([H])([H])[H])[H])([H])[H])([H])[H])([H])[H])([H])[H])[H])[H])[Cl]</t>
  </si>
  <si>
    <t>XGCWGIQCKROJJU-YSXGMBQSDO  </t>
  </si>
  <si>
    <t>648917-13-9</t>
  </si>
  <si>
    <t>[Cl]c1c(c(c(c(c1[H])F)S(=O)(=O)N(C([H])([H])[H])[H])[H])C(=O)N1C(C(C(C(C1([H])[H])([H])[H])(C(C(N1C2(C(C(C(C1([H])C(C2([H])[H])([H])[H])([H])[H])([H])n1c2c(nc1C([H])([H])[H])c(c(c(c2[H])[H])[H])[H])([H])[H])[H])([H])[H])([H])[H])c1c(c(c(c(c1[H])F)[H])[H])[H])([H])[H])([H])[H]</t>
  </si>
  <si>
    <t>AWXQYTLSBPWDMJ-KUMHGWDABH  </t>
  </si>
  <si>
    <t>23779-32-0</t>
  </si>
  <si>
    <t>O=C(NCCC[Si](OCC)(OCC)OCC)N</t>
  </si>
  <si>
    <t>RQMCQKHPIPFQCZ-UHFFFAOYAH  </t>
  </si>
  <si>
    <t>Substituted Ureas +  Alkoxy Silanes</t>
  </si>
  <si>
    <t>NOCAS_47299</t>
  </si>
  <si>
    <t>CS(=O)(=O)O.CCOc1cccc(c1)[C@@]2(CC[C@@H](C)CC2)N3CCN(CC3)c4ccccc4</t>
  </si>
  <si>
    <t>KQNUHPXMGVVCMH-ZQIUZPCEBU  </t>
  </si>
  <si>
    <t>179465-71-5</t>
  </si>
  <si>
    <t>Fc1c(c(c(c(c1[H])[H])Oc1c(c(c(c(c1[H])[H])S(=O)(=O)N(C1(C(C(C(C1([H])[H])([H])[H])([H])[H])([H])[H])C(=O)N(O[H])[H])C(C(C(=O)O[H])([H])[H])([H])[H])[H])[H])[H])[H]</t>
  </si>
  <si>
    <t>VHHGUBHZBLPTKL-HPRFPMAVCG  </t>
  </si>
  <si>
    <t>NOCAS_47385</t>
  </si>
  <si>
    <t>CC(C)N4CCC(NC(=O)c3cc1cc(OCCOC)ncc1n3CC(=O)Nc2ccc(Cl)cn2)CC4.CC(=O)O</t>
  </si>
  <si>
    <t>OVOUKWFJRHALDD-UHFFFAOYAH  </t>
  </si>
  <si>
    <t>146011-65-6</t>
  </si>
  <si>
    <t>C(#N)c1c(c(c(c(c1[H])[H])N(C(C(F)(F)F)([H])[H])C(C(=O)N([H])[H])([H])[H])[H])C(F)(F)F</t>
  </si>
  <si>
    <t>ZDYGKWOTFUOWOA-HPHMPNDVCE  </t>
  </si>
  <si>
    <t>15619-48-4</t>
  </si>
  <si>
    <t>c(ccc1n(Cl)(c2)Cc(ccc3)cc3)cc1cc2</t>
  </si>
  <si>
    <t>ICMMLTHHAFELGG-UHFFFAOYAF  </t>
  </si>
  <si>
    <t>112-30-1</t>
  </si>
  <si>
    <t>OCCCCCCCCCC</t>
  </si>
  <si>
    <t>MWKFXSUHUHTGQN-UHFFFAOYAN</t>
  </si>
  <si>
    <t>1-Dodecanol</t>
  </si>
  <si>
    <t>112-53-8</t>
  </si>
  <si>
    <t>OCCCCCCCCCCCC</t>
  </si>
  <si>
    <t>LQZZUXJYWNFBMV-UHFFFAOYAU</t>
  </si>
  <si>
    <t>90-12-0</t>
  </si>
  <si>
    <t>c(c(c(cc1)C)ccc2)(c2)c1</t>
  </si>
  <si>
    <t>QPUYECUOLPXSFR-UHFFFAOYAD</t>
  </si>
  <si>
    <t>629-76-5</t>
  </si>
  <si>
    <t>OCCCCCCCCCCCCCCC</t>
  </si>
  <si>
    <t>REIUXOLGHVXAEO-UHFFFAOYAZ  </t>
  </si>
  <si>
    <t>112-70-9</t>
  </si>
  <si>
    <t>OCCCCCCCCCCCCC</t>
  </si>
  <si>
    <t>XFRVVPUIAFSTFO-UHFFFAOYAK</t>
  </si>
  <si>
    <t>112-38-9</t>
  </si>
  <si>
    <t>O=C(O)CCCCCCCCC=C</t>
  </si>
  <si>
    <t>ZDPHROOEEOARMN-XWKXFZRBCK  </t>
  </si>
  <si>
    <t>68515-49-1</t>
  </si>
  <si>
    <t>O=C(c1ccccc1C(=O)OCCCCCCC(C)(C)C)OCCCCCCC(C)(C)C</t>
  </si>
  <si>
    <t>2634-33-5</t>
  </si>
  <si>
    <t>O=C(NSc1cccc2)c12</t>
  </si>
  <si>
    <t>DMSMPAJRVJJAGA-FZOZFQFYCH  </t>
  </si>
  <si>
    <t>83-41-0</t>
  </si>
  <si>
    <t>O=N(=O)c(c(c(cc1)C)C)c1</t>
  </si>
  <si>
    <t>ICENLRAQMUWUPJ-UHFFFAOYAC  </t>
  </si>
  <si>
    <t>99-51-4</t>
  </si>
  <si>
    <t>O=N(=O)c(ccc(c1C)C)c1</t>
  </si>
  <si>
    <t>DYNXJZBNFURNLG-UHFFFAOYAK  </t>
  </si>
  <si>
    <t>122-66-7</t>
  </si>
  <si>
    <t>N(Nc(cccc1)c1)c(cccc2)c2</t>
  </si>
  <si>
    <t>YBQZXXMEJHZYMB-UHFFFAOYAR  </t>
  </si>
  <si>
    <t>95-54-5</t>
  </si>
  <si>
    <t>Nc(c(N)ccc1)c1</t>
  </si>
  <si>
    <t>GEYOCULIXLDCMW-UHFFFAOYAR</t>
  </si>
  <si>
    <t>95-14-7</t>
  </si>
  <si>
    <t>c1ccc2nnnc2c1</t>
  </si>
  <si>
    <t>QRUDEWIWKLJBPS-QDQILVOLCZ</t>
  </si>
  <si>
    <t>Benzotriazoles</t>
  </si>
  <si>
    <t>96-18-4</t>
  </si>
  <si>
    <t>ClCC(Cl)CCl</t>
  </si>
  <si>
    <t>CFXQEHVMCRXUSD-UHFFFAOYAC</t>
  </si>
  <si>
    <t>1245-Tetrachlorobenzene</t>
  </si>
  <si>
    <t>95-94-3</t>
  </si>
  <si>
    <t>c(c(cc(c1Cl)Cl)Cl)(c1)Cl</t>
  </si>
  <si>
    <t>JHBKHLUZVFWLAG-UHFFFAOYAS</t>
  </si>
  <si>
    <t>121-91-5</t>
  </si>
  <si>
    <t>O=C(O)c(cccc1C(=O)O)c1</t>
  </si>
  <si>
    <t>QQVIHTHCMHWDBS-FLKJISBTCH  </t>
  </si>
  <si>
    <t>107-88-0</t>
  </si>
  <si>
    <t>OCCC(O)C</t>
  </si>
  <si>
    <t>PUPZLCDOIYMWBV-BYPYZUCNBJ</t>
  </si>
  <si>
    <t>118-52-5</t>
  </si>
  <si>
    <t>O=C(N(C(C1(=O))(C)C)Cl)N1Cl</t>
  </si>
  <si>
    <t>KEQGZUUPPQEDPF-UHFFFAOYAB  </t>
  </si>
  <si>
    <t>149062-75-9</t>
  </si>
  <si>
    <t>Fc1c(c(c(c(c1[H])[H])\C(=C(\C(=O)N(C1([H])C(C(C(C(C1([H])[H])([H])[H])([H])C(C(N1C(C(c2c(C(C1([H])[H])([H])[H])c(c(c(c2[H])[H])c1nc(on1)C([H])([H])[H])[H])([H])[H])([H])[H])([H])[H])([H])[H])([H])[H])([H])[H])[H])[H])[H])[H])[H]</t>
  </si>
  <si>
    <t>ALRFQTSUTVIUOX-GJWNCJIVDZ  </t>
  </si>
  <si>
    <t>Aliphatic Amines +  Acrylamides</t>
  </si>
  <si>
    <t>541-73-1</t>
  </si>
  <si>
    <t>c(cccc1Cl)(c1)Cl</t>
  </si>
  <si>
    <t>ZPQOPVIELGIULI-UHFFFAOYAZ</t>
  </si>
  <si>
    <t>99-62-7</t>
  </si>
  <si>
    <t>c(cccc1C(C)C)(c1)C(C)C</t>
  </si>
  <si>
    <t>UNEATYXSUBPPKP-UHFFFAOYAQ  </t>
  </si>
  <si>
    <t>99-65-0</t>
  </si>
  <si>
    <t>N(=O)(=O)c(cccc1N(=O)(=O))c1</t>
  </si>
  <si>
    <t>CFRYVUUTAWXBKF-UHFFFAOYAS</t>
  </si>
  <si>
    <t>851916-42-2</t>
  </si>
  <si>
    <t>2243-62-1</t>
  </si>
  <si>
    <t>Nc1cccc2c(N)cccc12</t>
  </si>
  <si>
    <t>KQSABULTKYLFEV-UHFFFAOYAR  </t>
  </si>
  <si>
    <t>4904-61-4</t>
  </si>
  <si>
    <t>C(=CCCC=CCCC=CC1)C1</t>
  </si>
  <si>
    <t>ZOLLIQAKMYWTBR-FFWAUJBHBT  </t>
  </si>
  <si>
    <t>822-06-0</t>
  </si>
  <si>
    <t>O=C=NCCCCCCN=C=O</t>
  </si>
  <si>
    <t>RRAMGCGOFNQTLD-UHFFFAOYAI  </t>
  </si>
  <si>
    <t>68-96-2</t>
  </si>
  <si>
    <t>CC(=O)C3(O)CCC4C2CCC1=CC(=O)CCC1(C)C2CCC34C</t>
  </si>
  <si>
    <t>288-88-0</t>
  </si>
  <si>
    <t>n1ncnc1</t>
  </si>
  <si>
    <t>NSPMIYGKQJPBQR-JLSKMEETCQ  </t>
  </si>
  <si>
    <t>2043-57-4</t>
  </si>
  <si>
    <t>FC(F)(F)C(F)(F)C(F)(F)C(F)(F)C(F)(F)C(F)(F)CCI</t>
  </si>
  <si>
    <t>SNJDHCOPGIWPKD-AEHBMHADDJ  </t>
  </si>
  <si>
    <t>112-25-4</t>
  </si>
  <si>
    <t>O(CCCCCC)CCO</t>
  </si>
  <si>
    <t>UPGSWASWQBLSKZ-UHFFFAOYAH</t>
  </si>
  <si>
    <t>126-11-4</t>
  </si>
  <si>
    <t>N(=O)(=O)C(CO)(CO)CO</t>
  </si>
  <si>
    <t>LLKZPBVNUNKEBQ-UHFFFAOYAW  </t>
  </si>
  <si>
    <t xml:space="preserve">Nitro Alcohols </t>
  </si>
  <si>
    <t>219790-72-4</t>
  </si>
  <si>
    <t>Fc1c(c(c(c(c1[H])[H])Oc1c(c(c(c(c1[H])[H])S(=O)(=O)N(C1(C(C(OC(C1([H])[H])([H])[H])([H])[H])([H])[H])C(=O)N(O[H])[H])[H])[H])[H])[H])[H]</t>
  </si>
  <si>
    <t>ZBRHTUMWSDPCMI-UYBDAZJACW  </t>
  </si>
  <si>
    <t>117-79-3</t>
  </si>
  <si>
    <t>O=C(c(c(C(=O)c1cccc2)ccc3N)c3)c12</t>
  </si>
  <si>
    <t>XOGPDSATLSAZEK-UHFFFAOYAH</t>
  </si>
  <si>
    <t>90-04-0</t>
  </si>
  <si>
    <t>O(c(c(N)ccc1)c1)C</t>
  </si>
  <si>
    <t>VMPITZXILSNTON-UHFFFAOYAW</t>
  </si>
  <si>
    <t>101-86-0</t>
  </si>
  <si>
    <t>O=CC(=Cc(cccc1)c1)CCCCCC</t>
  </si>
  <si>
    <t>GUUHFMWKWLOQMM-QINSGFPZBN  </t>
  </si>
  <si>
    <t>96-29-7</t>
  </si>
  <si>
    <t>N(O)=C(CC)C</t>
  </si>
  <si>
    <t>WHIVNJATOVLWBW-SNAWJCMRBX  </t>
  </si>
  <si>
    <t>107-07-3</t>
  </si>
  <si>
    <t>OCCCl</t>
  </si>
  <si>
    <t>SZIFAVKTNFCBPC-UHFFFAOYAF</t>
  </si>
  <si>
    <t>* Reactive electrophile</t>
  </si>
  <si>
    <t>95-57-8</t>
  </si>
  <si>
    <t>Oc(c(ccc1)Cl)c1</t>
  </si>
  <si>
    <t>ISPYQTSUDJAMAB-UHFFFAOYAM</t>
  </si>
  <si>
    <t>95-49-8</t>
  </si>
  <si>
    <t>c(c(ccc1)Cl)(c1)C</t>
  </si>
  <si>
    <t>IBSQPLPBRSHTTG-UHFFFAOYAU</t>
  </si>
  <si>
    <t>110-80-5</t>
  </si>
  <si>
    <t>O(CCO)CC</t>
  </si>
  <si>
    <t>ZNQVEEAIQZEUHB-UHFFFAOYAD</t>
  </si>
  <si>
    <t>111-15-9</t>
  </si>
  <si>
    <t>O=C(OCCOCC)C</t>
  </si>
  <si>
    <t>SVONRAPFKPVNKG-UHFFFAOYAH</t>
  </si>
  <si>
    <t>104-76-7</t>
  </si>
  <si>
    <t>OCC(CCCC)CC</t>
  </si>
  <si>
    <t>YIWUKEYIRIRTPP-QMMMGPOBBL</t>
  </si>
  <si>
    <t>149-57-5</t>
  </si>
  <si>
    <t>O=C(O)C(CCCC)CC</t>
  </si>
  <si>
    <t>OBETXYAYXDNJHR-QAEBLCPIDC</t>
  </si>
  <si>
    <t>99-55-8</t>
  </si>
  <si>
    <t>O=N(=O)c(ccc(c1N)C)c1</t>
  </si>
  <si>
    <t>FKQZGSJTZJWWRX-UHFFFAOYAN  </t>
  </si>
  <si>
    <t>95-48-7</t>
  </si>
  <si>
    <t>Oc(c(ccc1)C)c1</t>
  </si>
  <si>
    <t>QWVGKYWNOKOFNN-UHFFFAOYAS</t>
  </si>
  <si>
    <t>88-72-2</t>
  </si>
  <si>
    <t>N(=O)(=O)c(c(ccc1)C)c1</t>
  </si>
  <si>
    <t>HIENPOQTMIJYBG-UHFFFAOYAV</t>
  </si>
  <si>
    <t>96-70-8</t>
  </si>
  <si>
    <t>Oc(c(cc(c1)CC)C(C)(C)C)c1</t>
  </si>
  <si>
    <t>BLKNVVQBILJJJV-PYHUOPOVDJ  </t>
  </si>
  <si>
    <t>121-00-6</t>
  </si>
  <si>
    <t>O(c(ccc(O)c1C(C)(C)C)c1)C</t>
  </si>
  <si>
    <t>MRBKEAMVRSLQPH-UHFFFAOYAK  </t>
  </si>
  <si>
    <t>88-18-6</t>
  </si>
  <si>
    <t>Oc(c(ccc1)C(C)(C)C)c1</t>
  </si>
  <si>
    <t>WJQOZHYUIDYNHM-UHFFFAOYAN  </t>
  </si>
  <si>
    <t>69655-05-6</t>
  </si>
  <si>
    <t>O1C(CO)CCC1N2c3ncnc(O)c3N=C2</t>
  </si>
  <si>
    <t>BXZVVICBKDXVGW-FOYGRADXDZ</t>
  </si>
  <si>
    <t>Phenols +  Imidazoles</t>
  </si>
  <si>
    <t>Didanosine (ddI) is metabolized intracellularly by a series of cellular enzymes to its active moiety, dideoxyadenosine triphosphate (ddATP), which inhibits the HIV reverse transcriptase enzyme competitively by competing with natural dATP. It also acts as a chain terminator by its incorporation into viral DNA as the lack of a 3'-OH group in the incorporated nucleoside analogue prevents the formation of the 5' to 3' phosphodiester linkage essential for DNA chain elongation, and therefore, the viral DNA growth is terminated.</t>
  </si>
  <si>
    <t>NOCAS_47330</t>
  </si>
  <si>
    <t>N#Cc1cccc(F)c1c2cc(ccc2F)c3cnc4nc(cnn34)C(C)(C)O</t>
  </si>
  <si>
    <t>ZDKIAVFEUPUCMR-UHFFFAOYAD  </t>
  </si>
  <si>
    <t>3296-90-0</t>
  </si>
  <si>
    <t>OCC(CBr)(CBr)CO</t>
  </si>
  <si>
    <t>CHUGKEQJSLOLHL-UHFFFAOYAT  </t>
  </si>
  <si>
    <t>929-59-9</t>
  </si>
  <si>
    <t>NCCOCCOCCN</t>
  </si>
  <si>
    <t>GWLFIMOOGVXSMZ-MPIMZMORCJ  </t>
  </si>
  <si>
    <t>131-55-5</t>
  </si>
  <si>
    <t>O=C(c(c(O)cc(O)c1)c1)c(c(O)cc(O)c2)c2</t>
  </si>
  <si>
    <t>WXNRYSGJLQFHBR-UHFFFAOYAO  </t>
  </si>
  <si>
    <t>120-95-6</t>
  </si>
  <si>
    <t>Oc(c(cc(c1)C(CC)(C)C)C(CC)(C)C)c1</t>
  </si>
  <si>
    <t>FZAUGDRYLQZWKM-UHFFFAOYAX  </t>
  </si>
  <si>
    <t>95-80-7</t>
  </si>
  <si>
    <t>Nc(c(ccc1N)C)c1</t>
  </si>
  <si>
    <t>VOZKAJLKRJDJLL-UHFFFAOYAX  </t>
  </si>
  <si>
    <t>105-67-9</t>
  </si>
  <si>
    <t>121-14-2</t>
  </si>
  <si>
    <t>N(=O)(=O)c(ccc(c1N(=O)(=O))C)c1</t>
  </si>
  <si>
    <t>SLZXTXLWNXLTJR-UHFFFAOYAZ</t>
  </si>
  <si>
    <t>527-60-6</t>
  </si>
  <si>
    <t>Oc(c(cc(c1)C)C)c1C</t>
  </si>
  <si>
    <t>BPRYUXCVCCNUFE-UHFFFAOYAC  </t>
  </si>
  <si>
    <t>246-Tris(tert-butyl)phenol</t>
  </si>
  <si>
    <t>732-26-3</t>
  </si>
  <si>
    <t>Oc(c(cc(c1)C(C)(C)C)C(C)(C)C)c1C(C)(C)C</t>
  </si>
  <si>
    <t>PFEFOYRSMXVNEL-UHFFFAOYAH  </t>
  </si>
  <si>
    <t>126-86-3</t>
  </si>
  <si>
    <t>OC(C#CC(O)(CC(C)C)C)(CC(C)C)C</t>
  </si>
  <si>
    <t>LXOFYPKXCSULTL-OKILXGFUBB  </t>
  </si>
  <si>
    <t>Propargyl Alcohol-hindered</t>
  </si>
  <si>
    <t>78-63-7</t>
  </si>
  <si>
    <t>O(OC(C)(C)C)C(CCC(OOC(C)(C)C)(C)C)(C)C</t>
  </si>
  <si>
    <t>DMWVYCCGCQPJEA-UHFFFAOYAR</t>
  </si>
  <si>
    <t>95-87-4</t>
  </si>
  <si>
    <t>Oc(c(ccc1C)C)c1</t>
  </si>
  <si>
    <t>NKTOLZVEWDHZMU-UHFFFAOYAH</t>
  </si>
  <si>
    <t>128-39-2</t>
  </si>
  <si>
    <t>Oc(c(ccc1)C(C)(C)C)c1C(C)(C)C</t>
  </si>
  <si>
    <t>DKCPKDPYUFEZCP-UHFFFAOYAK  </t>
  </si>
  <si>
    <t>579-66-8</t>
  </si>
  <si>
    <t>Nc(c(ccc1)CC)c1CC</t>
  </si>
  <si>
    <t>FOYHNROGBXVLLX-UHFFFAOYAD</t>
  </si>
  <si>
    <t>87-62-7</t>
  </si>
  <si>
    <t>Nc(c(ccc1)C)c1C</t>
  </si>
  <si>
    <t>UFFBMTHBGFGIHF-UHFFFAOYAI</t>
  </si>
  <si>
    <t>576-26-1</t>
  </si>
  <si>
    <t>Oc(c(ccc1)C)c1C</t>
  </si>
  <si>
    <t>NXXYKOUNUYWIHA-UHFFFAOYAM</t>
  </si>
  <si>
    <t>606-20-2</t>
  </si>
  <si>
    <t>N(=O)(=O)c(c(c(N(=O)(=O))cc1)C)c1</t>
  </si>
  <si>
    <t>YYXDENFSEKVLAO-UHFFFAOYAV</t>
  </si>
  <si>
    <t>181640-09-5</t>
  </si>
  <si>
    <t>C(c1c(c(c2c(c1[H])C(C(N2C(=O)N(c1c(c(c(nc1[H])Oc1c(c(c(nc1C([H])([H])[H])[H])[H])[H])[H])[H])[H])([H])[H])([H])[H])[H])C(F)(F)F)([H])([H])[H]</t>
  </si>
  <si>
    <t>OOOGUILTDUSZPA-YWDVUSEVCJ  </t>
  </si>
  <si>
    <t>151506-44-4</t>
  </si>
  <si>
    <t>Fc1c(c2c(c(c1[H])[H])sc(n2)C(Oc1c(c(c2c(c1[H])C([H])(C([H])(C(O2)([H])[H])C(c1c(c(c(c(c1[H])C(=O)O[H])[H])[H])[H])([H])[H])O[H])[H])[H])([H])[H])[H]</t>
  </si>
  <si>
    <t>RYSLZFOZDSIPHK-RUMHMBJYDE  </t>
  </si>
  <si>
    <t>NOCAS_47292</t>
  </si>
  <si>
    <t>Cl.NCC1(CCCCC1)CC=2NC(=O)ON=2</t>
  </si>
  <si>
    <t>SACPWGBTZTWBBH-UHFFFAOYAT  </t>
  </si>
  <si>
    <t>460081-99-6</t>
  </si>
  <si>
    <t>FC1(C(N(C(C1([H])[H])([H])C#N)C(=O)C(N(C1([H])C(C2(C(C(C(C1([H])[H])([H])N2c1nc(c(c(n1)[H])[H])[H])([H])[H])([H])[H])[H])([H])[H])[H])([H])[H])([H])[H])F</t>
  </si>
  <si>
    <t>FEUYWSUGGBUMAB-XGUBFFRZBT  </t>
  </si>
  <si>
    <t>627-18-9</t>
  </si>
  <si>
    <t>OCCCBr</t>
  </si>
  <si>
    <t>RQFUZUMFPRMVDX-UHFFFAOYAA</t>
  </si>
  <si>
    <t>127-51-5</t>
  </si>
  <si>
    <t>O=C(C(=CC(C(=CCC1)C)C1(C)C)C)C</t>
  </si>
  <si>
    <t>215297-27-1</t>
  </si>
  <si>
    <t>C(C([H])([H])[H])(O[Si](C(C(C(N(C(=O)N([H])[H])[H])([H])[H])([H])[H])([H])[H])(OC(C([H])([H])[H])([H])[H])OC(C([H])([H])[H])([H])[H])([H])[H]</t>
  </si>
  <si>
    <t>LVNLBBGBASVLLI-XLPACQNMCX  </t>
  </si>
  <si>
    <t>108-44-1</t>
  </si>
  <si>
    <t>Nc(cccc1C)c1</t>
  </si>
  <si>
    <t>JJYPMNFTHPTTDI-UHFFFAOYAY</t>
  </si>
  <si>
    <t>123-92-2</t>
  </si>
  <si>
    <t>O=C(OCCC(C)C)C</t>
  </si>
  <si>
    <t>MLFHJEHSLIIPHL-UHFFFAOYAI</t>
  </si>
  <si>
    <t>3739-38-6</t>
  </si>
  <si>
    <t>OC(=O)c2cccc(Oc1ccccc1)c2</t>
  </si>
  <si>
    <t>NXTDJHZGHOFSQG-YHMJCDSICZ  </t>
  </si>
  <si>
    <t>100-54-9</t>
  </si>
  <si>
    <t>N#Cc(cccn1)c1</t>
  </si>
  <si>
    <t>GZPHSAQLYPIAIN-UHFFFAOYAR</t>
  </si>
  <si>
    <t>30516-87-1</t>
  </si>
  <si>
    <t>C1=C(C)C(=O)NC(=O)N1C2OC(CO)C(N=N#N)C2</t>
  </si>
  <si>
    <t>BAGGFEPIWBYSTE-XTRDCWLADE</t>
  </si>
  <si>
    <t>Zidovudine, a structural analog of thymidine, inhibits the activity of HIV-1 reverse transcriptase (RT) both by competing with the natural substrate dGTP and by its incorporation into viral DNA.</t>
  </si>
  <si>
    <t>119-90-4</t>
  </si>
  <si>
    <t>O(c(c(N)ccc1c(ccc(N)c2OC)c2)c1)C</t>
  </si>
  <si>
    <t>JRBJSXQPQWSCCF-UHFFFAOYAM  </t>
  </si>
  <si>
    <t>496-72-0</t>
  </si>
  <si>
    <t>Nc(c(N)cc(c1)C)c1</t>
  </si>
  <si>
    <t>DGRGLKZMKWPMOH-UHFFFAOYAV</t>
  </si>
  <si>
    <t>99-54-7</t>
  </si>
  <si>
    <t>N(=O)(=O)c(ccc(c1Cl)Cl)c1</t>
  </si>
  <si>
    <t>PPMVNMABLGJFBE-UHFFFAOYAG</t>
  </si>
  <si>
    <t>95-65-8</t>
  </si>
  <si>
    <t>Oc(ccc(c1C)C)c1</t>
  </si>
  <si>
    <t>YCOXTKKNXUZSKD-UHFFFAOYAV</t>
  </si>
  <si>
    <t>826-62-0</t>
  </si>
  <si>
    <t>O=C(OC(=O)C1C(C=CC23)C2)C13</t>
  </si>
  <si>
    <t>UOWZUVNAGUAEQC-LILDFLRNCN  </t>
  </si>
  <si>
    <t>230954-09-3</t>
  </si>
  <si>
    <t>Fc1c(c2c(c(c1[H])[H])n(N(C(=O)c1c(nc(nc1[H])c1nc(c(c(c1[H])[H])[H])[H])C([H])([H])[H])[H])c(c2C([H])([H])[H])[H])[H]</t>
  </si>
  <si>
    <t>YNVKAENVJKEMOU-LNNLXFCOCA  </t>
  </si>
  <si>
    <t>5349-51-9</t>
  </si>
  <si>
    <t>OC(CCC(C(CC)(C)C)C1)C1</t>
  </si>
  <si>
    <t>RGEFZPVSFVCEFT-IYBBYDNFCJ  </t>
  </si>
  <si>
    <t>249296-43-3</t>
  </si>
  <si>
    <t>C(c1c(c(c(c(c1[H])[H])[H])[H])[H])(S(=O)(=O)c1c(c(c(c(c1N1C(C(C(C(C1([H])[H])([H])[H])(c1c(c(c(c(c1[H])[H])[H])[H])[H])[H])([H])[H])([H])[H])[H])N(C(C([H])([H])[H])([H])[H])C(C(N(C([H])([H])[H])C([H])([H])[H])([H])[H])([H])[H])C(=O)N(C(C([H])([H])[H])([H])[H])C(C([H])([H])[H])([H])[H])[H])([H])[H]</t>
  </si>
  <si>
    <t>XDSUEKSKAPHPTN-MHDRQOMSCZ  </t>
  </si>
  <si>
    <t>584-13-4</t>
  </si>
  <si>
    <t>N(N=C1)=CN1N</t>
  </si>
  <si>
    <t>FMCUPJKTGNBGEC-UHFFFAOYAB  </t>
  </si>
  <si>
    <t>60-09-3</t>
  </si>
  <si>
    <t>N(=Nc(cccc1)c1)c(ccc(N)c2)c2</t>
  </si>
  <si>
    <t>QPQKUYVSJWQSDY-CCEZHUSRBB  </t>
  </si>
  <si>
    <t>150-13-0</t>
  </si>
  <si>
    <t>O=C(O)c(ccc(N)c1)c1</t>
  </si>
  <si>
    <t>ALYNCZNDIQEVRV-BGGKNDAXCD  </t>
  </si>
  <si>
    <t>96-48-0</t>
  </si>
  <si>
    <t>O=C(OCC1)C1</t>
  </si>
  <si>
    <t>YEJRWHAVMIAJKC-UHFFFAOYAC  </t>
  </si>
  <si>
    <t>NOCAS_47311</t>
  </si>
  <si>
    <t>CNS(=O)(=O)c1cc(c(Cl)cc1F)C(=O)N2CCC(CC2)(CCN6C3CCC6CC(C3)n4c5ccccc5nc4C)c7cccc(F)c7</t>
  </si>
  <si>
    <t>59-50-7</t>
  </si>
  <si>
    <t>Oc(ccc(c1C)Cl)c1</t>
  </si>
  <si>
    <t>CFKMVGJGLGKFKI-UHFFFAOYAE</t>
  </si>
  <si>
    <t>5216-25-1</t>
  </si>
  <si>
    <t>c(ccc(c1)Cl)(c1)C(Cl)(Cl)Cl</t>
  </si>
  <si>
    <t>LVZPKYYPPLUECL-UHFFFAOYAH  </t>
  </si>
  <si>
    <t>106-43-4</t>
  </si>
  <si>
    <t>c(ccc(c1)Cl)(c1)C</t>
  </si>
  <si>
    <t>NPDACUSDTOMAMK-UHFFFAOYAI</t>
  </si>
  <si>
    <t>2433-14-9</t>
  </si>
  <si>
    <t>OC(CCC1C(CCC2)CC2)CC1</t>
  </si>
  <si>
    <t>KNDQHSIWLOJIGP-UMRXKNAABD  </t>
  </si>
  <si>
    <t>92-68-2</t>
  </si>
  <si>
    <t>O=C(CCC(C(CCCC1)C1)C2)C2</t>
  </si>
  <si>
    <t>ODHAQPXNQDBHSH-UHFFFAOYAS  </t>
  </si>
  <si>
    <t>5877-42-9</t>
  </si>
  <si>
    <t>OC(C#C)C(CCCC)CC</t>
  </si>
  <si>
    <t>CESIUPFUCGHEPP-JGQOHXQGCT  </t>
  </si>
  <si>
    <t>Propargyl Alcohols</t>
  </si>
  <si>
    <t>1987-50-4</t>
  </si>
  <si>
    <t>Oc(ccc(c1)CCCCCCC)c1</t>
  </si>
  <si>
    <t>KNDDEFBFJLKPFE-UHFFFAOYAP  </t>
  </si>
  <si>
    <t>121-33-5</t>
  </si>
  <si>
    <t>O=Cc(ccc(O)c1OC)c1</t>
  </si>
  <si>
    <t>MWOOGOJBHIARFG-UHFFFAOYAS</t>
  </si>
  <si>
    <t>Aldehydes (Mono) +  Phenols</t>
  </si>
  <si>
    <t>68392-35-8</t>
  </si>
  <si>
    <t>C(N(C(C(Oc1c(c(c(c(c1[H])[H])\C(=C(\C(C([H])([H])[H])([H])[H])c1c(c(c(c(c1[H])[H])[H])[H])[H])c1c(c(c(c(c1[H])[H])O[H])[H])[H])[H])[H])([H])[H])([H])[H])C([H])([H])[H])([H])([H])[H]</t>
  </si>
  <si>
    <t>TXUZVZSFRXZGTL-QPLCGJKRBX  </t>
  </si>
  <si>
    <t>106-49-0</t>
  </si>
  <si>
    <t>Nc(ccc(c1)C)c1</t>
  </si>
  <si>
    <t>RZXMPPFPUUCRFN-UHFFFAOYAP</t>
  </si>
  <si>
    <t>100-01-6</t>
  </si>
  <si>
    <t>N(=O)(=O)c(ccc(N)c1)c1</t>
  </si>
  <si>
    <t>DSJQUFVOZSXGQN-UHFFFAOYAE</t>
  </si>
  <si>
    <t>99-99-0</t>
  </si>
  <si>
    <t>N(=O)(=O)c(ccc(c1)C)c1</t>
  </si>
  <si>
    <t>OGVFLVFILXHSHJ-UHFFFAOYAL</t>
  </si>
  <si>
    <t>1806-26-4</t>
  </si>
  <si>
    <t>Oc(ccc(c1)CCCCCCCC)c1</t>
  </si>
  <si>
    <t>NTDQQZYCCIDJRK-UHFFFAOYAM  </t>
  </si>
  <si>
    <t>33228-44-3</t>
  </si>
  <si>
    <t>Nc(ccc(c1)CCCCC)c1</t>
  </si>
  <si>
    <t>DGFTWBUZRHAHTH-UHFFFAOYAT  </t>
  </si>
  <si>
    <t>106-87-6</t>
  </si>
  <si>
    <t>O(C1C(CC(O2)C2C3)C3)C1</t>
  </si>
  <si>
    <t>OECTYKWYRCHAKR-FKSUSPILBR  </t>
  </si>
  <si>
    <t>Epoxides, Poly</t>
  </si>
  <si>
    <t>553-26-4</t>
  </si>
  <si>
    <t>n(ccc(c1)c(ccnc2)c2)c1</t>
  </si>
  <si>
    <t>MWVTWFVJZLCBMC-UHFFFAOYAB</t>
  </si>
  <si>
    <t>101-61-1</t>
  </si>
  <si>
    <t>N(c(ccc(c1)Cc(ccc(N(C)C)c2)c2)c1)(C)C</t>
  </si>
  <si>
    <t>JNRLEMMIVRBKJE-UHFFFAOYAR  </t>
  </si>
  <si>
    <t>101-80-4</t>
  </si>
  <si>
    <t>O(c(ccc(N)c1)c1)c(ccc(N)c2)c2</t>
  </si>
  <si>
    <t>HLBLWEWZXPIGSM-UHFFFAOYAM  </t>
  </si>
  <si>
    <t>41481-66-7</t>
  </si>
  <si>
    <t>S(=O)(=O)(c1c(c(c(c(c1[H])C(\C(=C(/[H])[H])[H])([H])[H])O[H])[H])[H])c1c(c(c(c(c1[H])C(\C(=C(/[H])[H])[H])([H])[H])O[H])[H])[H]</t>
  </si>
  <si>
    <t>MTMKZABGIQJAEX-UHFFFAOYAY  </t>
  </si>
  <si>
    <t>C(C(c1c(c(c(c(c1[H])[H])O[H])[H])[H])(c1c(c(c(c(c1[H])[H])O[H])[H])[H])c1c(c(c(c(c1[H])[H])O[H])[H])[H])([H])([H])[H]</t>
  </si>
  <si>
    <t>BRPSWMCDEYMRPE-UHFFFAOYAL  </t>
  </si>
  <si>
    <t>NOCAS_48507</t>
  </si>
  <si>
    <t>Cl.CC(C)(O)CNc1ncc3c(n1)N(C)C(=O)C=C3Oc2ccc(F)cc2F</t>
  </si>
  <si>
    <t>XRGUAUFOUNIQRI-UHFFFAOYAQ  </t>
  </si>
  <si>
    <t>51-21-8</t>
  </si>
  <si>
    <t>N1C(=O)NC(=O)C(F)=C1</t>
  </si>
  <si>
    <t>FOJUVXFHIMBCGA-UHFFFAOYAO</t>
  </si>
  <si>
    <t>The precise mechanism of action has not been fully determined, but the main mechanism of fluorouracil is thought to be the binding of the deoxyribonucleotide of the drug (FdUMP) and the folate cofactor, N5–10-methylenetetrahydrofolate,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t>
  </si>
  <si>
    <t>200940-23-4</t>
  </si>
  <si>
    <t>[Cl]c1c(c(c(c(c1[H])C([H])(C(N(C1([H])C(c2c(C(C1([H])[H])([H])[H])c(c(c(c2[H])OC(C(=O)OC(C([H])([H])[H])([H])[H])([H])[H])[H])[H])([H])[H])[H])([H])[H])O[H])[H])[H])[H]</t>
  </si>
  <si>
    <t>NQIZCDQCNYCVAS-LZAGWAHOBY  </t>
  </si>
  <si>
    <t>Aliphatic Amines +  Esters +  Benzyl Alcohols</t>
  </si>
  <si>
    <t>77-71-4</t>
  </si>
  <si>
    <t>O=C(NC(C1=O)(C)C)N1</t>
  </si>
  <si>
    <t>YIROYDNZEPTFOL-ZDKSUBDRCW</t>
  </si>
  <si>
    <t>NOCAS_47338</t>
  </si>
  <si>
    <t>Clc1cc2CC3SC(=NC3(O)c2cc1)c4ccccc4</t>
  </si>
  <si>
    <t>HLHQLZSBCCRTLB-UHFFFAOYAD  </t>
  </si>
  <si>
    <t>56-04-2</t>
  </si>
  <si>
    <t>n(c(O)cc(n1)C)c1S</t>
  </si>
  <si>
    <t>HWGBHCRJGXAGEU-ZDKSUBDRCM</t>
  </si>
  <si>
    <t>51-52-5</t>
  </si>
  <si>
    <t>N1C(=S)NC(=O)C=C1CCC</t>
  </si>
  <si>
    <t>KNAHARQHSZJURB-DEPUQRHOCL</t>
  </si>
  <si>
    <t xml:space="preserve">Thioureas  +  Carbonyl Ureas </t>
  </si>
  <si>
    <t>Propylthiouracil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Therefore propylthiouracil effectively inhibits the production of new thyroid hormones.</t>
  </si>
  <si>
    <t>154-42-7</t>
  </si>
  <si>
    <t>N1C(N)=Nc2ncnc2C1=S</t>
  </si>
  <si>
    <t>FTLQSQQQFMZPKO-UHFFFAOYAZ  </t>
  </si>
  <si>
    <t>Thioguanine competes with hypoxanthine and guanine for the enzyme hypoxanthine-guanine phosphoribosyltransferase (HGPRTase) and is itself converted to 6-thioguanilyic acid (TGMP), which reaches high intracellular concentrations at therapeutic doses. TGMP interferes with the synthesis of guanine nucleotides by its inhibition of purine biosynthesis by pseudofeedback inhibition of glutamine-5-phosphoribosylpyrophosphate amidotransferase, the first enzyme unique to the de novo pathway of purine ribonucleotide synthesis. TGMP also inhibits the conversion of inosinic acid (IMP) to xanthylic acid (XMP) by competition for the enzyme IMP dehydrogenase. Thioguanine nucleotides are incorporated into both the DNA and the RNA by phosphodiester linkages, and some studies have shown that incorporation of such false bases contributes to the cytotoxicity of thioguanine. Its tumor inhibitory properties may be due to one or more of its effects on feedback inhibition of de novo purine synthesis; inhibition of purine nucleotide interconversions; or incorporation into the DNA and RNA. The overall result of its action is a sequential blockade of the utilization and synthesis of the purine nucleotides.</t>
  </si>
  <si>
    <t>197077-55-7</t>
  </si>
  <si>
    <t>[Cl]c1c(c(c(c(c1[H])Oc1c(c(c(c(c1C(N(C([H])([H])[H])[H])([H])[H])[H])F)[H])[H])[H])[H])[Cl]</t>
  </si>
  <si>
    <t>FQEBOQLYHASAOY-UHFFFAOYAR  </t>
  </si>
  <si>
    <t>57-97-6</t>
  </si>
  <si>
    <t>c(c(c(c(c1)ccc2)c2)c(c(c3ccc4)c4)C)(c3C)c1</t>
  </si>
  <si>
    <t>ARSRBNBHOADGJU-UHFFFAOYAX  </t>
  </si>
  <si>
    <t>83-32-9</t>
  </si>
  <si>
    <t>c(c(ccc1)ccc2)(c1CC3)c23</t>
  </si>
  <si>
    <t>CWRYPZZKDGJXCA-UHFFFAOYAW</t>
  </si>
  <si>
    <t>208-96-8</t>
  </si>
  <si>
    <t>c1ccc2cccc3c2c1C=C3</t>
  </si>
  <si>
    <t>HXGDTGSAIMULJN-UHFFFAOYAQ</t>
  </si>
  <si>
    <t>60-35-5</t>
  </si>
  <si>
    <t>O=C(N)C</t>
  </si>
  <si>
    <t>DLFVBJFMPXGRIB-ZZOWFUDICC</t>
  </si>
  <si>
    <t>Acetaminophen is thought to act primarily in the CNS, increasing the pain threshold by inhibiting both isoforms of cyclooxygenase, COX-1, COX-2, and COX-3 enzymes involved in prostaglandin (PG) synthesis. Unlike NSAIDs, acetaminophen does not inhibit cyclooxygenase in peripheral tissues and, thus, has no peripheral anti-inflammatory affects. While aspirin acts as an irreversible inhibitor of COX and directly blocks the enzyme's active site, studies have found that acetaminophen indirectly blocks COX, and that this blockade is ineffective in the presence of peroxides. This might explain why acetaminophen is effective in the central nervous system and in endothelial cells but not in platelets and immune cells which have high levels of peroxides. Studies also report data suggesting that acetaminophen selectively blocks a variant of the COX enzyme that is different from the known variants COX-1 and COX-2. This enzyme is now referred to as COX-3. Its exact mechanism of action is still poorly understood, but future research may provide further insight into how it works. The antipyretic properties of acetaminophen are likely due to direct effects on the heat-regulating centres of the hypothalamus resulting in peripheral vasodilation, sweating and hence heat dissipation.</t>
  </si>
  <si>
    <t>98-86-2</t>
  </si>
  <si>
    <t>O=C(c(cccc1)c1)C</t>
  </si>
  <si>
    <t>KWOLFJPFCHCOCG-UHFFFAOYAT</t>
  </si>
  <si>
    <t>77-90-7</t>
  </si>
  <si>
    <t>O=C(OC(C(=O)OCCCC)(CC(=O)OCCCC)CC(=O)OCCCC)C</t>
  </si>
  <si>
    <t>QZCLKYGREBVARF-UHFFFAOYAE  </t>
  </si>
  <si>
    <t>77-89-4</t>
  </si>
  <si>
    <t>O=C(OC(C(=O)OCC)(CC(=O)OCC)CC(=O)OCC)C</t>
  </si>
  <si>
    <t>XGGRLKVDUXPILZ-VPUMLTLACB  </t>
  </si>
  <si>
    <t>Acrylamide</t>
  </si>
  <si>
    <t>79-06-1</t>
  </si>
  <si>
    <t>O=C(N)C=C</t>
  </si>
  <si>
    <t>HRPVXLWXLXDGHG-LGEMBHMGCJ</t>
  </si>
  <si>
    <t>66456-53-9</t>
  </si>
  <si>
    <t>Aldrin</t>
  </si>
  <si>
    <t>309-00-2</t>
  </si>
  <si>
    <t>ClC3=C(Cl)C4(Cl)C2C1CC(C=C1)C2C3(Cl)C4(Cl)Cl</t>
  </si>
  <si>
    <t>QBYJBZPUGVGKQQ-LDGYJWSEBR</t>
  </si>
  <si>
    <t>10016-20-3</t>
  </si>
  <si>
    <t>1111-78-0</t>
  </si>
  <si>
    <t>NC(=O)ON(H)(H)(H)H</t>
  </si>
  <si>
    <t>GXJPADBYSPHLQT-UHFFFAOYAQ  </t>
  </si>
  <si>
    <t>120-12-7</t>
  </si>
  <si>
    <t>c(c(ccc1)cc(c2ccc3)c3)(c1)c2</t>
  </si>
  <si>
    <t>MWPLVEDNUUSJAV-UHFFFAOYAK</t>
  </si>
  <si>
    <t>1143-38-0</t>
  </si>
  <si>
    <t>c12C(=O)c3c(O)cccc3Cc1cccc2O</t>
  </si>
  <si>
    <t>YUTJCNNFTOIOGT-UHFFFAOYAA  </t>
  </si>
  <si>
    <t>461023-63-2</t>
  </si>
  <si>
    <t>C(Oc1c(c(c(c(c1[H])c1c(c(c(c(c1[H])OC([H])([H])[H])N([H])[H])[H])[H])[H])[H])N([H])[H])([H])([H])[H]</t>
  </si>
  <si>
    <t>UXTIAFYTYOEQHV-UHFFFAOYAR  </t>
  </si>
  <si>
    <t>103-33-3</t>
  </si>
  <si>
    <t>N(=Nc(cccc1)c1)c(cccc2)c2</t>
  </si>
  <si>
    <t>DMLAVOWQYNRWNQ-BUHFOSPRBP</t>
  </si>
  <si>
    <t>56-55-3</t>
  </si>
  <si>
    <t>c(c(c(c(c1)ccc2)c2)cc(c3ccc4)c4)(c1)c3</t>
  </si>
  <si>
    <t>DXBHBZVCASKNBY-UHFFFAOYAM</t>
  </si>
  <si>
    <t>92-87-5</t>
  </si>
  <si>
    <t>Nc(ccc(c(ccc(N)c1)c1)c2)c2</t>
  </si>
  <si>
    <t>HFACYLZERDEVSX-UHFFFAOYAX</t>
  </si>
  <si>
    <t>205-99-2</t>
  </si>
  <si>
    <t>c12ccccc1cc3c4ccccc4c5c3c2ccc5</t>
  </si>
  <si>
    <t>FTOVXSOBNPWTSH-UHFFFAOYAM</t>
  </si>
  <si>
    <t>98-07-7</t>
  </si>
  <si>
    <t>c(cccc1)(c1)C(Cl)(Cl)Cl</t>
  </si>
  <si>
    <t>XEMRAKSQROQPBR-UHFFFAOYAF</t>
  </si>
  <si>
    <t>100-51-6</t>
  </si>
  <si>
    <t>OCc(cccc1)c1</t>
  </si>
  <si>
    <t>WVDDGKGOMKODPV-UHFFFAOYAH</t>
  </si>
  <si>
    <t>253450-09-8</t>
  </si>
  <si>
    <t>C1(C(C(c2c1c(c1c(C(C(C1([H])[H])([H])[H])([H])[H])c2N(C(=O)N(S(=O)(=O)c1oc(c(c1[H])C(O[H])(C([H])([H])[H])C([H])([H])[H])[H])[H])[H])[H])([H])[H])([H])[H])([H])[H]</t>
  </si>
  <si>
    <t>HUUSXLKCTQDPGL-XBTAAFKLCJ  </t>
  </si>
  <si>
    <t xml:space="preserve">Benzyl Alcohols +  Sulfonyl Ureas </t>
  </si>
  <si>
    <t>319-85-7</t>
  </si>
  <si>
    <t>JLYXXMFPNIAWKQ-CDRYSYESBR</t>
  </si>
  <si>
    <t>92-52-4</t>
  </si>
  <si>
    <t>c(c(cccc1)c1)(cccc2)c2</t>
  </si>
  <si>
    <t>ZUOUZKKEUPVFJK-UHFFFAOYAV</t>
  </si>
  <si>
    <t>111-44-4</t>
  </si>
  <si>
    <t>O(CCCl)CCCl</t>
  </si>
  <si>
    <t>ZNSMNVMLTJELDZ-UHFFFAOYAN</t>
  </si>
  <si>
    <t xml:space="preserve">Halo Ethers </t>
  </si>
  <si>
    <t>122-62-3</t>
  </si>
  <si>
    <t>O=C(OCC(CCCC)CC)CCCCCCCCC(=O)OCC(CCCC)CC</t>
  </si>
  <si>
    <t>VJHINFRRDQUWOJ-PSWAGMNNBM  </t>
  </si>
  <si>
    <t>103-24-2</t>
  </si>
  <si>
    <t>O=C(OCC(CCCC)CC)CCCCCCCC(=O)OCC(CCCC)CC</t>
  </si>
  <si>
    <t>ZDWGXBPVPXVXMQ-ZRZAMGCNBS  </t>
  </si>
  <si>
    <t>6422-86-2</t>
  </si>
  <si>
    <t>O=C(OCC(CCCC)CC)c(ccc(c1)C(=O)OCC(CCCC)CC)c1</t>
  </si>
  <si>
    <t>RWPICVVBGZBXNA-PMACEKPBBQ</t>
  </si>
  <si>
    <t>52-51-7</t>
  </si>
  <si>
    <t>N(=O)(=O)C(Br)(CO)CO</t>
  </si>
  <si>
    <t>BUMGVLPIZNGIFO-UHFFFAOYAG</t>
  </si>
  <si>
    <t xml:space="preserve">Halo Alcohols  +  Nitro Alcohols </t>
  </si>
  <si>
    <t>35256-85-0</t>
  </si>
  <si>
    <t>c1ccccc1CN(C(=O)C(C)(C)C)C(C)C</t>
  </si>
  <si>
    <t>RJKCKKDSSSRYCB-UHFFFAOYAY  </t>
  </si>
  <si>
    <t>107-92-6</t>
  </si>
  <si>
    <t>O=C(O)CCC</t>
  </si>
  <si>
    <t>FERIUCNNQQJTOY-JSWHHWTPCW</t>
  </si>
  <si>
    <t>136-60-7</t>
  </si>
  <si>
    <t>O=C(OCCCC)c(cccc1)c1</t>
  </si>
  <si>
    <t>XSIFPSYPOVKYCO-UHFFFAOYAS  </t>
  </si>
  <si>
    <t>104-51-8</t>
  </si>
  <si>
    <t>c(cccc1)(c1)CCCC</t>
  </si>
  <si>
    <t>OCKPCBLVNKHBMX-UHFFFAOYAJ</t>
  </si>
  <si>
    <t>82469-79-2</t>
  </si>
  <si>
    <t>O=C(CC(CC(=O)OCCCCCC)(C(=O)OCCCCCC)OC(=O)CCC)OCCCCCC</t>
  </si>
  <si>
    <t>842-07-9</t>
  </si>
  <si>
    <t>Oc(ccc(c1ccc2)c2)c1N=Nc(cccc3)c3</t>
  </si>
  <si>
    <t>MRQIXHXHHPWVIL-ISLYRVAYBO</t>
  </si>
  <si>
    <t>123122-55-4</t>
  </si>
  <si>
    <t>C([H])(C(C1(C(C(C(C1([H])[H])([H])[H])([H])[H])([H])[H])C(=O)N(C1([H])C(C(C(C(C1([H])[H])([H])[H])([H])C(=O)O[H])([H])[H])([H])[H])[H])([H])[H])(C(OC(C(OC([H])([H])[H])([H])[H])([H])[H])([H])[H])C(=O)Oc1c(c(c2c(c1[H])C(C(C2([H])[H])([H])[H])([H])[H])[H])[H]</t>
  </si>
  <si>
    <t>ZTWZVMIYIIVABD-MORDGIAVDC  </t>
  </si>
  <si>
    <t>105-60-2</t>
  </si>
  <si>
    <t>O=C(NCCCC1)C1</t>
  </si>
  <si>
    <t>JBKVHLHDHHXQEQ-QDQILVOLCX</t>
  </si>
  <si>
    <t>159138-81-5</t>
  </si>
  <si>
    <t>c1(c(c(c(c(c1C([H])([H])[H])S(=O)(=O)O)[H])OC([H])([H])[H])N(\N=C/1C(C(=C(c2c1c(c(c(c2[H])S(=O)(=O)O)[H])[H])[H])[H])=O)[H])[H]</t>
  </si>
  <si>
    <t>UZWRXDIHRQAVLX-VIPPSAFOBZ  </t>
  </si>
  <si>
    <t>120-80-9</t>
  </si>
  <si>
    <t>Oc(c(O)ccc1)c1</t>
  </si>
  <si>
    <t>YCIMNLLNPGFGHC-UHFFFAOYAA</t>
  </si>
  <si>
    <t>169590-42-5</t>
  </si>
  <si>
    <t>FC(F)(F)C1=NN(C3=CC=C(C=C3)S(=O)(N)=O)C(C2=CC=C(C=C2)C)=C1</t>
  </si>
  <si>
    <t>RZEKVGVHFLEQIL-QVUQFMIFCW  </t>
  </si>
  <si>
    <t>The mechanism of action of celecoxib is believed to be due to inhibition of prostaglandin synthesis. Unlike most NSAIDs, which inhibit both types of cyclooxygenases (COX-1 and COX-2), celecoxib is a selective noncompetitive inhibitor of cyclooxygenase-2 (COX-2) enzyme. It binds with its polar sulfonamide side chain to a hydrophilic side pocket region close to the active COX-2 binding site. Both COX-1 and COX-2 catalyze the conversion of arachidonic acid to prostaglandin (PG) H2, the precursor of PGs and thromboxane.</t>
  </si>
  <si>
    <t>133-90-4</t>
  </si>
  <si>
    <t>O=C(O)c(c(c(N)cc1Cl)Cl)c1</t>
  </si>
  <si>
    <t>HSSBORCLYSCBJR-WXRBYKJCCE  </t>
  </si>
  <si>
    <t>510-15-6</t>
  </si>
  <si>
    <t>O=C(OCC)C(O)(c(ccc(c1)Cl)c1)c(ccc(c2)Cl)c2</t>
  </si>
  <si>
    <t>SKCNNQDRNPQEFU-UHFFFAOYAO  </t>
  </si>
  <si>
    <t>Esters +  Benzyl Alcohols</t>
  </si>
  <si>
    <t>Chlorpyrifos</t>
  </si>
  <si>
    <t>1861-32-1</t>
  </si>
  <si>
    <t>COC(=O)c1c(Cl)c(Cl)c(C(=O)OC)c(Cl)c1Cl</t>
  </si>
  <si>
    <t>NPOJQCVWMSKXDN-UHFFFAOYAS</t>
  </si>
  <si>
    <t>77-92-9</t>
  </si>
  <si>
    <t>O=C(O)C(O)(CC(=O)O)CC(=O)O</t>
  </si>
  <si>
    <t>KRKNYBCHXYNGOX-CUNNJMNPCP  </t>
  </si>
  <si>
    <t>106-22-9</t>
  </si>
  <si>
    <t>OCCC(CCC=C(C)C)C</t>
  </si>
  <si>
    <t>QMVPMAAFGQKVCJ-SNVBAGLBBU  </t>
  </si>
  <si>
    <t>4291-63-8</t>
  </si>
  <si>
    <t>Nc1nc(Cl)nc2n(cnc12)C3CC(O)C(CO)O3</t>
  </si>
  <si>
    <t>PTOAARAWEBMLNO-WQWZRESVDN  </t>
  </si>
  <si>
    <t>Anilines (Unhindered) +  Imidazoles</t>
  </si>
  <si>
    <t>Cladribine is structurally related to fludarabine and pentostatin but has a different mechanism of action. Although the exact mechanism of action has not been fully determined, evidence shows that cladribine is phosphorylated by deoxycytidine kinase to the nucleotidecladribine triphosphate (CdATP; 2-chloro-2′-deoxyadenosine 5′-triphosphate), which accumulates and is incorporated into DNA in cells such as lymphocytes that contain high levels of deoxycytidine kinase and low levels of deoxynucleotidase, resulting in DNA strand breakage and inhibition of DNA synthesis and repair. High levels of CdATP also appear to inhibit ribonucleotide reductase, which leads to an imbalance in triphosphorylated deoxynucleotide (dNTP) pools and subsequent DNA strand breaks, inhibition of DNA synthesis and repair, nicotinamide adenine dinucleotide (NAD) and ATP depletion, and cell death. Unlike other antimetabolite drugs, cladribine has cytotoxic effects on resting as well as proliferating lymphocytes. However, it does cause cells to accumulate at the G1/S phase junction, suggesting that cytotoxicity is associated with events critical to cell entry into S phase. It also binds purine nucleoside phosphorylase (PNP), however no relationship between this binding and a mechanism of action has been established.</t>
  </si>
  <si>
    <t>O(C(=O)c1c(c(c(c(n1)[Cl])[H])[H])[Cl])[H]</t>
  </si>
  <si>
    <t>23593-75-1</t>
  </si>
  <si>
    <t>Clc1ccccc1C(c2ccccc2)(c3ccccc3)n4ccnc4</t>
  </si>
  <si>
    <t>VNFPBHJOKIVQEB-UHFFFAOYAO  </t>
  </si>
  <si>
    <t>Clotrimazole interacts with yeast 14-&amp;alpha; demethylase, a cytochrome P-450 enzyme that converts lanosterol to ergosterol, an essential component of the membrane. In this way, clotrimazole inhibits ergosterol synthesis, resulting in increased cellular permeability. Clotrimazole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t>
  </si>
  <si>
    <t>50-22-6</t>
  </si>
  <si>
    <t>CC34CC(O)C1C(CCC2=CC(=O)CCC12C)C3CCC4C(=O)CO</t>
  </si>
  <si>
    <t>OMFXVFTZEKFJBZ-DXWVLXIHBI  </t>
  </si>
  <si>
    <t>108-94-1</t>
  </si>
  <si>
    <t>O=C(CCCC1)C1</t>
  </si>
  <si>
    <t>JHIVVAPYMSGYDF-UHFFFAOYAY</t>
  </si>
  <si>
    <t>712-50-5</t>
  </si>
  <si>
    <t>O=C(c(cccc1)c1)C(CCCC2)C2</t>
  </si>
  <si>
    <t>AFKMHDZOVNDWLO-HAQNSBGRBQ  </t>
  </si>
  <si>
    <t>C(N(C(=O)C1=C(N(c2c(C1=O)nc(OC(C([H])([H])[H])([H])[H])c(c2[H])[H])[H])[H])[H])(c1c(c(c(c(c1[H])[H])[H])[H])[H])([H])[H]</t>
  </si>
  <si>
    <t>DGFVZQGXKQCQGK-NPVYFSBICF  </t>
  </si>
  <si>
    <t>Vinyl/Allyl Ketones +  Acrylamides</t>
  </si>
  <si>
    <t>UFNOUKDBUJZYDE-XHDPSFHLBO  </t>
  </si>
  <si>
    <t>69-74-9</t>
  </si>
  <si>
    <t>n1(C2OC(CO)C(C2O)O)c(nc(N(Cl)(H)(H)(H))cc1)=O</t>
  </si>
  <si>
    <t>WZCUFWSNSWIPHX-ZPEWDUCLDQ  </t>
  </si>
  <si>
    <t>80-08-0</t>
  </si>
  <si>
    <t>O=S(=O)(c(ccc(N)c1)c1)c(ccc(N)c2)c2</t>
  </si>
  <si>
    <t>MQJKPEGWNLWLTK-UHFFFAOYAJ  </t>
  </si>
  <si>
    <t>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t>
  </si>
  <si>
    <t>124-18-5</t>
  </si>
  <si>
    <t>C(CCCCCCCC)C</t>
  </si>
  <si>
    <t>DIOQZVSQGTUSAI-UHFFFAOYAR</t>
  </si>
  <si>
    <t>334-48-5</t>
  </si>
  <si>
    <t>CCCCCCCCCC(=O)O</t>
  </si>
  <si>
    <t>GHVNFZFCNZKVNT-WXRBYKJCCC</t>
  </si>
  <si>
    <t>2392-39-4</t>
  </si>
  <si>
    <t>C12(C)C3(F)C(O)CC4(C)C(C(=O)COP(O)(O)=O)(O)C(C)CC4C3CCC2=CC(=O)C=C1</t>
  </si>
  <si>
    <t>DQDYUQWFRXFHMR-FCJDYXGNBH  </t>
  </si>
  <si>
    <t>110-05-4</t>
  </si>
  <si>
    <t>O(OC(C)(C)C)C(C)(C)C</t>
  </si>
  <si>
    <t>LSXWFXONGKSEMY-UHFFFAOYAY</t>
  </si>
  <si>
    <t>103-23-1</t>
  </si>
  <si>
    <t>O=C(OCC(CCCC)CC)CCCCC(=O)OCC(CCCC)CC</t>
  </si>
  <si>
    <t>SAOKZLXYCUGLFA-PMACEKPBBA</t>
  </si>
  <si>
    <t>Di(2-ethylhexyl) phthalate</t>
  </si>
  <si>
    <t>Di(propylene glycol) dibenzoate</t>
  </si>
  <si>
    <t>27138-31-4</t>
  </si>
  <si>
    <t>O=C(c1ccccc1)OCC(OC(COC(=O)c2ccccc2)C)C</t>
  </si>
  <si>
    <t>ZFVMWEVVKGLCIJ-UHFFFAOYAS  </t>
  </si>
  <si>
    <t>123-42-2</t>
  </si>
  <si>
    <t>O=C(CC(O)(C)C)C</t>
  </si>
  <si>
    <t>SWXVUIWOUIDPGS-UHFFFAOYAN  </t>
  </si>
  <si>
    <t>Ketone alcohols</t>
  </si>
  <si>
    <t>109-43-3</t>
  </si>
  <si>
    <t>O=C(OCCCC)CCCCCCCCC(=O)OCCCC</t>
  </si>
  <si>
    <t>PYGXAGIECVVIOZ-UHFFFAOYAE  </t>
  </si>
  <si>
    <t>105-99-7</t>
  </si>
  <si>
    <t>O=C(OCCCC)CCCCC(=O)OCCCC</t>
  </si>
  <si>
    <t>XTJFFFGAUHQWII-UHFFFAOYAW  </t>
  </si>
  <si>
    <t>79-43-6</t>
  </si>
  <si>
    <t>O=C(O)C(Cl)Cl</t>
  </si>
  <si>
    <t>JXTHNDFMNIQAHM-JSWHHWTPCR</t>
  </si>
  <si>
    <t>2550-40-5</t>
  </si>
  <si>
    <t>S(SC(CCCC1)C1)C(CCCC2)C2</t>
  </si>
  <si>
    <t>FNDLQABGYJQJPH-IOXJKJIPCG  </t>
  </si>
  <si>
    <t>111-42-2</t>
  </si>
  <si>
    <t>OCCNCCO</t>
  </si>
  <si>
    <t>ZBCBWPMODOFKDW-UHFFFAOYAO</t>
  </si>
  <si>
    <t>123-25-1</t>
  </si>
  <si>
    <t>O=C(OCC)CCC(=O)OCC</t>
  </si>
  <si>
    <t>DKMROQRQHGEIOW-UHFFFAOYAX</t>
  </si>
  <si>
    <t>111-77-3</t>
  </si>
  <si>
    <t>O(CCOC)CCO</t>
  </si>
  <si>
    <t>SBASXUCJHJRPEV-UHFFFAOYAD  </t>
  </si>
  <si>
    <t>84-75-3</t>
  </si>
  <si>
    <t>O=C(OCCCCCC)c(c(ccc1)C(=O)OCCCCCC)c1</t>
  </si>
  <si>
    <t>KCXZNSGUUQJJTR-UHFFFAOYAW</t>
  </si>
  <si>
    <t>141-04-8</t>
  </si>
  <si>
    <t>O=C(OCC(C)C)CCCCC(=O)OCC(C)C</t>
  </si>
  <si>
    <t>RDOFJDLLWVCMRU-UHFFFAOYAW  </t>
  </si>
  <si>
    <t>27178-16-1</t>
  </si>
  <si>
    <t>O=C(OCCCCCCCC(C)C)CCCCC(=O)OCCCCCCCC(C)C</t>
  </si>
  <si>
    <t>GVGUFUZHNYFZLC-UHFFFAOYAZ  </t>
  </si>
  <si>
    <t>166412-78-8</t>
  </si>
  <si>
    <t>C1(C(C(C(C(C1([H])[H])([H])[H])([H])[H])([H])C(=O)OC(C(C(C(C(C(C(C([H])([H])[H])(C([H])([H])[H])[H])([H])[H])([H])[H])([H])[H])([H])[H])([H])[H])([H])[H])([H])C(=O)OC(C(C(C(C(C(C(C([H])([H])[H])(C([H])([H])[H])[H])([H])[H])([H])[H])([H])[H])([H])[H])([H])[H])([H])[H])([H])[H]</t>
  </si>
  <si>
    <t>HORIEOQXBKUKGQ-DNQXCXABBV  </t>
  </si>
  <si>
    <t>1445-75-6</t>
  </si>
  <si>
    <t>O=P(OC(C)C)(OC(C)C)C</t>
  </si>
  <si>
    <t>WOAFDHWYKSOANX-UHFFFAOYAE</t>
  </si>
  <si>
    <t>55290-64-7</t>
  </si>
  <si>
    <t>CC1=C(C)S(=O)(=O)CCS1(=O)=O</t>
  </si>
  <si>
    <t>PHVNLLCAQHGNKU-UHFFFAOYAZ</t>
  </si>
  <si>
    <t>Vinyl/Allyl Sulfones</t>
  </si>
  <si>
    <t>828-00-2</t>
  </si>
  <si>
    <t>O=C(OC(OC(OC1C)C)C1)C</t>
  </si>
  <si>
    <t>PHMNXPYGVPEQSJ-ARDNSNSEBE  </t>
  </si>
  <si>
    <t>627-93-0</t>
  </si>
  <si>
    <t>O=C(OC)CCCCC(=O)OC</t>
  </si>
  <si>
    <t>UDSFAEKRVUSQDD-UHFFFAOYAJ</t>
  </si>
  <si>
    <t>1119-40-0</t>
  </si>
  <si>
    <t>O=C(OC)CCCC(=O)OC</t>
  </si>
  <si>
    <t>XTDYIOOONNVFMA-UHFFFAOYAM  </t>
  </si>
  <si>
    <t>106-65-0</t>
  </si>
  <si>
    <t>O=C(OC)CCC(=O)OC</t>
  </si>
  <si>
    <t>MUXOBHXGJLMRAB-UHFFFAOYAP</t>
  </si>
  <si>
    <t>77-78-1</t>
  </si>
  <si>
    <t>O=S(=O)(OC)OC</t>
  </si>
  <si>
    <t>VAYGXNSJCAHWJZ-UHFFFAOYAK</t>
  </si>
  <si>
    <t>120-61-6</t>
  </si>
  <si>
    <t>O=C(OC)c(ccc(c1)C(=O)OC)c1</t>
  </si>
  <si>
    <t>WOZVHXUHUFLZGK-UHFFFAOYAP</t>
  </si>
  <si>
    <t>Dimethylaminoethanol</t>
  </si>
  <si>
    <t>108-01-0</t>
  </si>
  <si>
    <t>OCCN(C)C</t>
  </si>
  <si>
    <t>CXGURXWCQYHDIR-NENXIMLWBU  </t>
  </si>
  <si>
    <t>79-44-7</t>
  </si>
  <si>
    <t>O=C(N(C)C)Cl</t>
  </si>
  <si>
    <t>YIIMEMSDCNDGTB-UHFFFAOYAG  </t>
  </si>
  <si>
    <t>Acid Halides</t>
  </si>
  <si>
    <t>117-84-0</t>
  </si>
  <si>
    <t>O=C(OCCCCCCCC)c(c(ccc1)C(=O)OCCCCCCCC)c1</t>
  </si>
  <si>
    <t>MQIUGAXCHLFZKX-UHFFFAOYAZ</t>
  </si>
  <si>
    <t>131-18-0</t>
  </si>
  <si>
    <t>O=C(OCCCCC)c(c(ccc1)C(=O)OCCCCC)c1</t>
  </si>
  <si>
    <t>IPKKHRVROFYTEK-UHFFFAOYAE  </t>
  </si>
  <si>
    <t>147-24-0</t>
  </si>
  <si>
    <t>C(c2ccccc2)(c1ccccc1)OCCN(Cl)(H)(C)C</t>
  </si>
  <si>
    <t>FBSMERQALIEGJT-UHFFFAOYAT  </t>
  </si>
  <si>
    <t>744-45-6</t>
  </si>
  <si>
    <t>O=C(Oc(cccc1)c1)c(cccc2C(=O)Oc(cccc3)c3)c2</t>
  </si>
  <si>
    <t>XWPBINGFFFZAOZ-RAIWOVJBDN  </t>
  </si>
  <si>
    <t>25265-71-8</t>
  </si>
  <si>
    <t>CC(O)COCC(O)C</t>
  </si>
  <si>
    <t>OMSPUVWUIHNYCS-HXTKINSTCM  </t>
  </si>
  <si>
    <t>6385-62-2</t>
  </si>
  <si>
    <t>c1(c(c(c([n+]2c1c1c(c(c(c([n+]1C(C2([H])[H])([H])[H])[H])[H])[H])[H])[H])[H])[H])[H]</t>
  </si>
  <si>
    <t>FMRQUUZDVMGHCP-UHFFFAOYAK  </t>
  </si>
  <si>
    <t>331623-06-4</t>
  </si>
  <si>
    <t>O1C(C(C(C(C1([H])C([H])([H])[H])([H])O[H])([H])O[H])([H])O[H])([H])OC1([H])C(OC(C(C1([H])O[H])([H])O[H])([H])C(O[H])([H])[H])([H])Oc1c(c2c(c(c1[H])O[H])C(=O)C(C([H])(c1c(c(c(c(c1[H])[H])O[H])[H])[H])O2)([H])[H])[H]</t>
  </si>
  <si>
    <t>DFPMSGMNTNDNHN-CSFYYQDEBO  </t>
  </si>
  <si>
    <t>Docusate sodium</t>
  </si>
  <si>
    <t>123-01-3</t>
  </si>
  <si>
    <t>c(cccc1)(c1)CCCCCCCCCCCC</t>
  </si>
  <si>
    <t>KWKXNDCHNDYVRT-UHFFFAOYAI  </t>
  </si>
  <si>
    <t>145-73-3</t>
  </si>
  <si>
    <t>O=C(O)C(C(C(=O)O)C(O1)CC2)C12</t>
  </si>
  <si>
    <t>GXEKYRXVRROBEV-FMIOHIQEDE</t>
  </si>
  <si>
    <t>Ethion</t>
  </si>
  <si>
    <t>563-12-2</t>
  </si>
  <si>
    <t>CCOP(=S)(OCC)SCSP(=S)(OCC)OCC</t>
  </si>
  <si>
    <t>RIZMRRKBZQXFOY-UHFFFAOYAJ</t>
  </si>
  <si>
    <t>NOCAS_47362</t>
  </si>
  <si>
    <t>O=C(OCC)[C@@]2(Oc1ccccc1[C@@H]2N)c3ccccc3</t>
  </si>
  <si>
    <t>GXSAWUDKOTXTIK-WFEQMAONDX  </t>
  </si>
  <si>
    <t>105-54-4</t>
  </si>
  <si>
    <t>O=C(OCC)CCC</t>
  </si>
  <si>
    <t>OBNCKNCVKJNDBV-UHFFFAOYAO</t>
  </si>
  <si>
    <t>Ethyl heptanoate</t>
  </si>
  <si>
    <t>106-30-9</t>
  </si>
  <si>
    <t>O=C(OCC)CCCCCC</t>
  </si>
  <si>
    <t>TVQGDYNRXLTQAP-UHFFFAOYAW</t>
  </si>
  <si>
    <t>120-47-8</t>
  </si>
  <si>
    <t>O=C(OCC)c(ccc(O)c1)c1</t>
  </si>
  <si>
    <t>NUVBSKCKDOMJSU-UHFFFAOYAQ</t>
  </si>
  <si>
    <t>Etofenprox</t>
  </si>
  <si>
    <t>80844-07-1</t>
  </si>
  <si>
    <t>c1cc(OCC)ccc1C(C)(C)COCc2cc(Oc3ccccc3)ccc2</t>
  </si>
  <si>
    <t>YREQHYQNNWYQCJ-UHFFFAOYAW</t>
  </si>
  <si>
    <t>97-53-0</t>
  </si>
  <si>
    <t>O(c(c(O)ccc1CC=C)c1)C</t>
  </si>
  <si>
    <t>RRAFCDWBNXTKKO-UHFFFAOYAJ</t>
  </si>
  <si>
    <t>221246-12-4</t>
  </si>
  <si>
    <t>C(=O)(c1c(c(c(c(c1[H])[H])[H])[H])[H])N1C(C(OC(C1([H])[H])(c1c(c(c(c(c1[H])F)F)[H])[H])C(C(N1C(C(C(C(C1([H])[H])([H])[H])(c1c(c(c(c(c1[H])[H])[H])[H])[H])N(C(=O)N(C([H])([H])[H])C([H])([H])[H])[H])([H])[H])([H])[H])([H])[H])([H])[H])([H])[H])([H])[H]</t>
  </si>
  <si>
    <t>CUYCXSCEWNTJEZ-NNFOHXAUDA  </t>
  </si>
  <si>
    <t xml:space="preserve">Aliphatic Amines +  Substituted Ureas +  Amides </t>
  </si>
  <si>
    <t>3844-45-9</t>
  </si>
  <si>
    <t>OS(=O)(=O)c1ccccc1C(=C2C=CC(=N(CC)Cc3cccc(S(=O)(=O)O)c3)C=C2)c4ccc(N(CC)Cc5cccc(S(=O)(=O)O)c5)cc4</t>
  </si>
  <si>
    <t>DGPUJFJHPXDICC-UHFFFAOYAW</t>
  </si>
  <si>
    <t>1934-21-0</t>
  </si>
  <si>
    <t>Oc2c(N=Nc1ccc(cc1)S(O)(=O)=O)c(nn2c3ccc(cc3)S(O)(=O)=O)C(O)=O</t>
  </si>
  <si>
    <t>CZEMGTITLOLPSS-VZKNQVNVDS  </t>
  </si>
  <si>
    <t xml:space="preserve">Phenols +  Pyrazoles/Pyrroles </t>
  </si>
  <si>
    <t>2783-94-0</t>
  </si>
  <si>
    <t>Oc2ccc1cc(ccc1c2N=Nc3ccc(cc3)S(O)(=O)=O)S(O)(=O)=O</t>
  </si>
  <si>
    <t>UXEPUTRJCNZUHY-QIKYXUGXBU</t>
  </si>
  <si>
    <t>140-56-7</t>
  </si>
  <si>
    <t>CN(C)c1ccc(N=NS(O)(=O)=O)cc1</t>
  </si>
  <si>
    <t>ZKKPJGAKZNJQTE-RRABGKBLBW  </t>
  </si>
  <si>
    <t>BAZGFSKJAVQJJI-PTPJNZECDB  </t>
  </si>
  <si>
    <t>Fluoranthene</t>
  </si>
  <si>
    <t>206-44-0</t>
  </si>
  <si>
    <t>c(c(ccc1)ccc2)(c1c(c3ccc4)c4)c23</t>
  </si>
  <si>
    <t>GVEPBJHOBDJJJI-UHFFFAOYAL</t>
  </si>
  <si>
    <t>86-73-7</t>
  </si>
  <si>
    <t>c(c(c(c1ccc2)c2)ccc3)(c3)C1</t>
  </si>
  <si>
    <t>NIHNNTQXNPWCJQ-UHFFFAOYAW</t>
  </si>
  <si>
    <t>Fluridone</t>
  </si>
  <si>
    <t>59756-60-4</t>
  </si>
  <si>
    <t>CN1C=C(c2ccccc2)C(=O)C(c3cc(C(F)(F)F)ccc3)=C1</t>
  </si>
  <si>
    <t>YWBVHLJPRPCRSD-UHFFFAOYAR</t>
  </si>
  <si>
    <t>13311-84-7</t>
  </si>
  <si>
    <t>c1c(C(F)(F)F)c(N(=O)=O)ccc1NC(=O)C(C)C</t>
  </si>
  <si>
    <t>WBKKIOWSRRQGJS-YAQRNVERCT</t>
  </si>
  <si>
    <t>Flutamide is a nonsteroidal antiandrogen that blocks the action of both endogenous and exogenous testosterone by binding to the androgen receptor. In addition Flutamide is a potent inhibitor of testosterone-stimulated prostatic DNA synthesis. Moreover, it is capable of inhibiting prostatic nuclear uptake of androgen.</t>
  </si>
  <si>
    <t>59-30-3</t>
  </si>
  <si>
    <t>NC1=NC(=O)c2nc(CNc3ccc(C(=O)NC(C(=O)O)CCC(=O)O)cc3)cnc2N1</t>
  </si>
  <si>
    <t>OVBPIULPVIDEAO-MIBLXQRJDO  </t>
  </si>
  <si>
    <t>Folic acid, as it is biochemically inactive, is converted to tetrahydrofolic acid and methyltetrahydrofolate by dihydrofolate reductase. These folic acid congeners are transported across cells by receptor-mediated endocytosis where they are needed to maintain normal erythropoiesis, synthesize purine and thymidylate nucleic acids, interconvert amino acids, methylate tRNA, and generate and use formate. Using vitamin B12 as a cofactor, folic acid can normalize high homocysteine levels by remethylation of homocysteine to methionine via methionine synthetase.</t>
  </si>
  <si>
    <t>72178-02-0</t>
  </si>
  <si>
    <t>c1cc(C(F)(F)F)cc(Cl)c1Oc2ccc(N(=O)=O)c(C(=O)NS(=O)(=O)C)c2</t>
  </si>
  <si>
    <t>UOWAJOPOVQMBHL-UYBDAZJACZ  </t>
  </si>
  <si>
    <t>105-87-3</t>
  </si>
  <si>
    <t>O=C(OCC=C(CCC=C(C)C)C)C</t>
  </si>
  <si>
    <t>HIGQPQRQIQDZMP-DHZHZOJOBM  </t>
  </si>
  <si>
    <t>556-52-5</t>
  </si>
  <si>
    <t>O(C1CO)C1</t>
  </si>
  <si>
    <t>CTKINSOISVBQLD-VKHMYHEABX  </t>
  </si>
  <si>
    <t>52-86-8</t>
  </si>
  <si>
    <t>OC2(CCN(CCCC(=O)c1ccc(F)cc1)CC2)c3ccc(Cl)cc3</t>
  </si>
  <si>
    <t>LNEPOXFFQSENCJ-UHFFFAOYAL  </t>
  </si>
  <si>
    <t>Aliphatic Amines +  Benzyl Alcohols</t>
  </si>
  <si>
    <t>The precise mechanism whereby the therapeutic effects of haloperidol are produced is not known, but the drug appears to depress the CNS at the subcortical level of the brain, midbrain, and brain stem reticular formation. Haloperidol seems to inhibit the ascending reticular activating system of the brain stem (possibly through the caudate nucleus), thereby interrupting the impulse between the diencephalon and the cortex. The drug may antagonize the actions of glutamic acid within the extrapyramidal system, and inhibitions of catecholamine receptors may also contribute to haloperidol's mechanism of action. Haloperidol may also inhibit the reuptake of various neurotransmitters in the midbrain, and appears to have a strong central antidopaminergic and weak central anticholinergic activity. The drug produces catalepsy and inhibits spontaneous motor activity and conditioned avoidance behaviours in animals. The exact mechanism of antiemetic action of haloperidol has also not been fully determined, but the drug has been shown to directly affect the chemoreceptor trigger zone (CTZ) through the blocking of dopamine receptors in the CTZ.</t>
  </si>
  <si>
    <t>Heptachlor</t>
  </si>
  <si>
    <t>76-44-8</t>
  </si>
  <si>
    <t>ClC1C=CC2C1C3(Cl)C(=C(Cl)C2(Cl)C3(Cl)Cl)Cl</t>
  </si>
  <si>
    <t>FRCCEHPWNOQAEU-AQCYNBHVBR</t>
  </si>
  <si>
    <t>1024-57-3</t>
  </si>
  <si>
    <t>ClC2C1OC1C3C2C4(Cl)C(=C(Cl)C3(Cl)C4(Cl)Cl)Cl</t>
  </si>
  <si>
    <t>ZXFXBSWRVIQKOD-SVIFSKQYBK</t>
  </si>
  <si>
    <t xml:space="preserve">Vinyl/Allyl Halides +  Halo Epoxides </t>
  </si>
  <si>
    <t>111-14-8</t>
  </si>
  <si>
    <t>O=C(O)CCCCCC</t>
  </si>
  <si>
    <t>MNWFXJYAOYHMED-FZOZFQFYCU</t>
  </si>
  <si>
    <t>77-47-4</t>
  </si>
  <si>
    <t>C(=C(C(=C1Cl)Cl)Cl)(C1(Cl)Cl)Cl</t>
  </si>
  <si>
    <t>VUNCWTMEJYMOOR-UHFFFAOYAM</t>
  </si>
  <si>
    <t>544-76-3</t>
  </si>
  <si>
    <t>C(CCCCCCCCCCCCCC)C</t>
  </si>
  <si>
    <t>DCAYPVUWAIABOU-UHFFFAOYAR  </t>
  </si>
  <si>
    <t>86479-06-3</t>
  </si>
  <si>
    <t>Fc1cccc(F)c1C(=O)NC(=O)Nc2cc(Cl)c(OC(F)(F)C(F)F)c(Cl)c2</t>
  </si>
  <si>
    <t>RGNPBRKPHBKNKX-SPEPDGBUCJ</t>
  </si>
  <si>
    <t>22915-73-7</t>
  </si>
  <si>
    <t>C(=O)(c1c(c(c(c(c1[H])[H])[H])[H])[H])OC(C(OC(C(OC(=O)c1c(c(c(c(c1[H])[H])[H])[H])[H])([H])[H])([H])[H])([H])[H])([H])[H]</t>
  </si>
  <si>
    <t>NXQMCAOPTPLPRL-UHFFFAOYAS  </t>
  </si>
  <si>
    <t>111-69-3</t>
  </si>
  <si>
    <t>C(#N)CCCCC(#N)</t>
  </si>
  <si>
    <t>BTGRAWJCKBQKAO-UHFFFAOYAW</t>
  </si>
  <si>
    <t>Nitriles, Polyaliphatic</t>
  </si>
  <si>
    <t>124-04-9</t>
  </si>
  <si>
    <t>O=C(O)CCCCC(=O)O</t>
  </si>
  <si>
    <t>WNLRTRBMVRJNCN-AUDIXQRPCS</t>
  </si>
  <si>
    <t>33703-08-1</t>
  </si>
  <si>
    <t>O=C(OCCCCCCCCC)CCCCC(=O)OCCCCCCCCC</t>
  </si>
  <si>
    <t>IWBOPFCKHIJFMS-UHFFFAOYAH  </t>
  </si>
  <si>
    <t>142-62-1</t>
  </si>
  <si>
    <t>O=C(O)CCCCC</t>
  </si>
  <si>
    <t>FUZZWVXGSFPDMH-QDQILVOLCQ</t>
  </si>
  <si>
    <t>58-93-5</t>
  </si>
  <si>
    <t>O=S(=O)(N)c(c(cc(NCNS1(=O)=O)c12)Cl)c2</t>
  </si>
  <si>
    <t>JZUFKLXOESDKRF-JSGPKCTECK  </t>
  </si>
  <si>
    <t>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t>
  </si>
  <si>
    <t>473289-62-2</t>
  </si>
  <si>
    <t>C(C(C([H])([H])[H])(N(C(C([H])(C(Oc1c(c(c(c(c1[H])[H])C(OC(C(OC(C([H])([H])[H])(C([H])([H])[H])[H])([H])[H])([H])[H])([H])[H])[H])[H])([H])[H])O[H])([H])[H])[H])[H])([H])([H])[H]</t>
  </si>
  <si>
    <t>VMDFASMUILANOL-OCLQLEKCDQ  </t>
  </si>
  <si>
    <t>KMNLXCBYBKHKSK-NSFPQWBKDU  </t>
  </si>
  <si>
    <t>53-86-1</t>
  </si>
  <si>
    <t>COc1ccc2n(C(=O)c3ccc(Cl)cc3)c(C)c(CC(=O)O)c2c1</t>
  </si>
  <si>
    <t>CGIGDMFJXJATDK-QWOVJGMICU  </t>
  </si>
  <si>
    <t>Indomethacin is a prostaglandin G/H synthase (also known as cyclooxygenase or COX) inhibitor that acts on both prostaglandin G/H synthase 1 and 2 (COX-1 and -2). Prostaglandin G/H synthase catalyzes the conversion of arachidonic acid to a number of prostaglandins involved in fever, pain, swelling, inflammation, and platelet aggregation. Indomethacin antagonizes COX by binding to the upper portion of the active site, preventing its substrate, arachidonic acid, from entering the active site. Indomethacin, unlike other NSAIDs, also inhibits phospholipase A2, the enzyme responsible for releasing arachidonic acid from phospholipids. Indomethacin is more selective for COX-1 than COX-2, which accounts for its increased adverse gastric effects relative to other NSAIDs. COX-1 is required for maintaining the protective gastric mucosal layer. The analgesic, antipyretic and anti-inflammatory effects of indomethacin occur as a result of decreased prostaglandin synthesis. Its antipyretic effects may be due to action on the hypothalamus, resulting in an increased peripheral blood flow, vasodilation, and subsequent heat dissipation.</t>
  </si>
  <si>
    <t>186392-65-4</t>
  </si>
  <si>
    <t>C([H])(C(=O)N1C(C(C(C1([H])[H])([H])O[H])([H])O[H])([H])[H])(C([H])(N(C(=O)c1n(c2c(c1[H])c(c(c(c2[H])[H])[Cl])[H])[H])[H])C(c1c(c(c(c(c1[H])[H])[H])[H])[H])([H])[H])O[H]</t>
  </si>
  <si>
    <t>GVDRRZOORHCTAN-LWCBGGRFDH  </t>
  </si>
  <si>
    <t>C(c1nc(nc(c1[H])OC([H])([H])[H])N(C(=O)NS(=O)(=O)c1c(c(c(c(c1C(=O)OC([H])([H])[H])[H])[H])I)[H])[H])([H])([H])[H]</t>
  </si>
  <si>
    <t>97-54-1</t>
  </si>
  <si>
    <t>O(c(c(O)ccc1C=CC)c1)C</t>
  </si>
  <si>
    <t>BJIOGJUNALELMI-ONEGZZNKBO  </t>
  </si>
  <si>
    <t>29590-42-9</t>
  </si>
  <si>
    <t>O=C(C=C)OCCCCCC(C)C</t>
  </si>
  <si>
    <t>DXPPIEDUBFUSEZ-UHFFFAOYAJ  </t>
  </si>
  <si>
    <t>Acrylates</t>
  </si>
  <si>
    <t>78-59-1</t>
  </si>
  <si>
    <t>O=C(C=C(CC1(C)C)C)C1</t>
  </si>
  <si>
    <t>HJOVHMDZYOCNQW-UHFFFAOYAC</t>
  </si>
  <si>
    <t>4098-71-9</t>
  </si>
  <si>
    <t>O=C=NCC(CC(N=C(=O))CC1(C)C)(C1)C</t>
  </si>
  <si>
    <t>NIMLQBUJDJZYEJ-CMPLNLGQBU  </t>
  </si>
  <si>
    <t>51-30-9</t>
  </si>
  <si>
    <t>c1cc(O)c(O)cc1C(O)CN(Cl)(H)(H)C(C)C</t>
  </si>
  <si>
    <t>YBVNFKZSMZGRAD-SCJVHLGJCW  </t>
  </si>
  <si>
    <t xml:space="preserve">Benzyl Alcohols +  Phenols, Poly </t>
  </si>
  <si>
    <t>87-69-4</t>
  </si>
  <si>
    <t>O=C(O)C(O)C(O)C(=O)O</t>
  </si>
  <si>
    <t>FEWJPZIEWOKRBE-IDFHPUPMDZ  </t>
  </si>
  <si>
    <t>73-22-3</t>
  </si>
  <si>
    <t>O=C(O)C(N)CC(c(c(N1)ccc2)c2)=C1</t>
  </si>
  <si>
    <t>QIVBCDIJIAJPQS-FKOBDKTLDJ  </t>
  </si>
  <si>
    <t>Aliphatic Amines +  Pyrazoles/Pyrroles  +  Nicotinoids</t>
  </si>
  <si>
    <t>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t>
  </si>
  <si>
    <t>BGRDGMRNKXEXQD-HMUXFHCVCE</t>
  </si>
  <si>
    <t>110235-47-7</t>
  </si>
  <si>
    <t>n1c(C#CC)cc(C)nc1Nc2ccccc2</t>
  </si>
  <si>
    <t>CIFWZNRJIBNXRE-WYUMXYHSCS</t>
  </si>
  <si>
    <t>VXQCBZSVUVAKAA-UHFFFAOYAX  </t>
  </si>
  <si>
    <t>CNC(=S)[S-].[Na+]</t>
  </si>
  <si>
    <t>BZBROHGVOZWXPZ-PQGGCCKLCX  </t>
  </si>
  <si>
    <t>79-39-0</t>
  </si>
  <si>
    <t>O=C(N)C(=C)C</t>
  </si>
  <si>
    <t>FQPSGWSUVKBHSU-GLFQYTTQCQ  </t>
  </si>
  <si>
    <t>60-56-0</t>
  </si>
  <si>
    <t>S=C1NC=CN1C</t>
  </si>
  <si>
    <t>PMRYVIKBURPHAH-JSWHHWTPCU</t>
  </si>
  <si>
    <t>Methimazole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So methimazole effectively inhibits the production of new thyroid hormones.</t>
  </si>
  <si>
    <t>59-05-2</t>
  </si>
  <si>
    <t>O=C(NC(C(=O)O)CCC(=O)O)c(ccc(N(Cc(nc(c(nc(n1)N)n2)c1N)c2)C)c3)c3</t>
  </si>
  <si>
    <t>FBOZXECLQNJBKD-SGDZJVHDDX</t>
  </si>
  <si>
    <t>Methotrexate anti-tumor activity is a result of the inhibition of folic acid reductase, leading to inhibition of DNA synthesis and inhibition of cellular replication. The mechanism involved in its activity against rheumatoid arthritis is not known.</t>
  </si>
  <si>
    <t>111-82-0</t>
  </si>
  <si>
    <t>O=C(OC)CCCCCCCCCCC</t>
  </si>
  <si>
    <t>UQDUPQYQJKYHQI-UHFFFAOYAP</t>
  </si>
  <si>
    <t>66-27-3</t>
  </si>
  <si>
    <t>O=S(=O)(OC)C</t>
  </si>
  <si>
    <t>MBABOKRGFJTBAE-UHFFFAOYAK  </t>
  </si>
  <si>
    <t>111-11-5</t>
  </si>
  <si>
    <t>O=C(OC)CCCCCCC</t>
  </si>
  <si>
    <t>JGHZJRVDZXSNKQ-UHFFFAOYAP</t>
  </si>
  <si>
    <t>119-36-8</t>
  </si>
  <si>
    <t>O=C(OC)c(c(O)ccc1)c1</t>
  </si>
  <si>
    <t>OSWPMRLSEDHDFF-UHFFFAOYAD</t>
  </si>
  <si>
    <t>41372-08-1</t>
  </si>
  <si>
    <t>99-76-3</t>
  </si>
  <si>
    <t>O=C(OC)c(ccc(O)c1)c1</t>
  </si>
  <si>
    <t>LXCFILQKKLGQFO-UHFFFAOYAH</t>
  </si>
  <si>
    <t>Mirex</t>
  </si>
  <si>
    <t>2385-85-5</t>
  </si>
  <si>
    <t>ClC2(Cl)C4(Cl)C1(Cl)C5(Cl)C(Cl)(Cl)C3(Cl)C1(Cl)C2(Cl)C3(Cl)C45Cl</t>
  </si>
  <si>
    <t>GVYLCNUFSHDAAW-DYXRAMCBBY</t>
  </si>
  <si>
    <t>2528-16-7</t>
  </si>
  <si>
    <t>O=C(OCc(cccc1)c1)c(c(ccc2)C(=O)O)c2</t>
  </si>
  <si>
    <t>FUSYFEXGXRDJNB-DHMQSIPVDP  </t>
  </si>
  <si>
    <t>NLLBWFFSGHKUSY-JPRRWYCFBG  </t>
  </si>
  <si>
    <t>ZNTFHKIYLBEAAK-UHFFFAOYAO  </t>
  </si>
  <si>
    <t>210826-40-7</t>
  </si>
  <si>
    <t>C(C(C([H])([H])[H])(c1c(c(c(c(c1[H])[H])[H])[H])[H])c1c(c(c(c(c1O[H])[H])[H])C(C([H])([H])[H])(C([H])([H])[H])c1c(c(c(c(c1[H])[H])[H])[H])[H])[H])([H])([H])[H]</t>
  </si>
  <si>
    <t>FMUYQRFTLHAARI-UHFFFAOYAU  </t>
  </si>
  <si>
    <t>1068967-96-3</t>
  </si>
  <si>
    <t>FOS(=O)(=O)C(C(C(C(C(C(C(C([H])([H])[H])([H])[H])([H])[H])([H])[H])([H])[H])([H])[H])([H])[H])([H])[H]</t>
  </si>
  <si>
    <t>CKBUMAMUGGYGKN-UHFFFAOYAR  </t>
  </si>
  <si>
    <t>155990-20-8</t>
  </si>
  <si>
    <t>C(N(c1c(c(nc2c1c(c(c(c2[H])[H])[H])[H])N(C(=O)c1c(c(c(c(c1[H])[H])OC([H])([H])[H])[H])[H])[H])C#N)[H])(c1c(c(c(c(c1[H])[H])[H])[H])[H])([H])[H]</t>
  </si>
  <si>
    <t>FFHQNQNMELQOEF-CATZCVBWCK  </t>
  </si>
  <si>
    <t>527680-56-4</t>
  </si>
  <si>
    <t>N1([H])C(c2c(N=C1N([H])[H])nc(n2[H])[H])=S</t>
  </si>
  <si>
    <t>WYWHKKSPHMUBEB-CQCWYMDMCX  </t>
  </si>
  <si>
    <t>478149-53-0</t>
  </si>
  <si>
    <t>N12C(C(C(N(C(C1([H])[H])([H])[H])C(=O)Oc1c(c(c(c(c1[H])[H])[Br])[H])[H])([H])C(C2([H])[H])([H])[H])([H])[H])([H])[H]</t>
  </si>
  <si>
    <t>RXLOZRCLQMJJLC-UHFFFAOYAQ  </t>
  </si>
  <si>
    <t>NOCAS_47248</t>
  </si>
  <si>
    <t>Cc2cc3C(=N[C@@H](NC(=O)c1ccncc1)C(=O)N4CCc(c2)c34)c5ccccc5</t>
  </si>
  <si>
    <t>396,45</t>
  </si>
  <si>
    <t>NOCAS_47387</t>
  </si>
  <si>
    <t>O=C2CO[C@](CN2c1ccccc1)(CCN3CCC(NC(C)=O)(CC3)c4cccc(F)c4)c5ccc(Cl)c(Cl)c5.O=C(O)CCC(=O)O</t>
  </si>
  <si>
    <t>CXXVJZRGOOIVOD-SANMLTNEBW  </t>
  </si>
  <si>
    <t>3855-32-1</t>
  </si>
  <si>
    <t>N(CCCN(CCCN(C)C)C)(C)C</t>
  </si>
  <si>
    <t>AQXXZDYPVDOQEE-VDJNMWSJDO  </t>
  </si>
  <si>
    <t>NOCAS_48176</t>
  </si>
  <si>
    <t>O=C(O)/C=C/C(=O)O.Cc6occc6C(=O)Nc1ccc(cc1)C(=O)N5CCC(F)(F)C(=C\C(=O)N2CCC(CC2)N3CCCCC3)/c4ccccc45.O=C(\C=C2\c1ccccc1N(CCC2(F)F)C(=O)c3ccc(cc3)NC(=O)c4ccoc4C)N5CCC(CC5)N6CCCCC6</t>
  </si>
  <si>
    <t>NOCAS_47374</t>
  </si>
  <si>
    <t>COc1ccc(cc1)C(=O)Nc3nc4ccccc4c(NCc2ccccc2)c3C#N</t>
  </si>
  <si>
    <t>NJBKEYQWAOMGHH-UHFFFAOYAY  </t>
  </si>
  <si>
    <t>NOCAS_47265</t>
  </si>
  <si>
    <t>O=S(=O)(N(CCC(=O)O)C1(CCCC1)C(=O)NO)c3ccc(Oc2ccc(F)cc2)cc3</t>
  </si>
  <si>
    <t>AMDAWGWXDBBDSF-UHFFFAOYAM  </t>
  </si>
  <si>
    <t>194098-25-4</t>
  </si>
  <si>
    <t>C(Oc1c(c2c(c(c1[H])[H])sc(c2OC(C([H])([H])[H])(C([H])([H])[H])[H])C(=O)N(c1[nH]nnn1)[H])[H])([H])([H])[H]</t>
  </si>
  <si>
    <t>SLCURANLHHLZQN-PGMRYZJXCL  </t>
  </si>
  <si>
    <t>220860-50-4</t>
  </si>
  <si>
    <t>C(=O)(OC([H])([H])[H])c1c(c(c(c(c1[H])[H])[H])[H])C(=O)O</t>
  </si>
  <si>
    <t>AYHXXMFEQMIFIT-UHFFFAOYAF  </t>
  </si>
  <si>
    <t>263553-33-9</t>
  </si>
  <si>
    <t>C(c1c(c(c(c(c1[H])N1C(N(C(N(C1=O)[H])=O)C([H])([H])[H])=O)[H])[H])Oc1c(c(c(c(c1[H])[H])SC(F)(F)F)[H])[H])([H])([H])[H]</t>
  </si>
  <si>
    <t>OCINXEZVIIVXFU-QWOVJGMICM  </t>
  </si>
  <si>
    <t>102-27-2</t>
  </si>
  <si>
    <t>N(c(cccc1C)c1)CC</t>
  </si>
  <si>
    <t>GUYMMHOQXYZMJQ-UHFFFAOYAR  </t>
  </si>
  <si>
    <t>103-69-5</t>
  </si>
  <si>
    <t>N(c(cccc1)c1)CC</t>
  </si>
  <si>
    <t>OJGMBLNIHDZDGS-UHFFFAOYAD</t>
  </si>
  <si>
    <t>872-50-4</t>
  </si>
  <si>
    <t>O=C1CCCN1C</t>
  </si>
  <si>
    <t>SECXISVLQFMRJM-UHFFFAOYAL</t>
  </si>
  <si>
    <t>79-16-3</t>
  </si>
  <si>
    <t>O=C(NC)C</t>
  </si>
  <si>
    <t>OHLUUHNLEMFGTQ-JLSKMEETCB</t>
  </si>
  <si>
    <t>924-16-3</t>
  </si>
  <si>
    <t>O=NN(CCCC)CCCC</t>
  </si>
  <si>
    <t>YGJHZCLPZAZIHH-UHFFFAOYAQ</t>
  </si>
  <si>
    <t>62-75-9</t>
  </si>
  <si>
    <t>O=NN(C)C</t>
  </si>
  <si>
    <t>UMFJAHHVKNCGLG-UHFFFAOYAI</t>
  </si>
  <si>
    <t>621-64-7</t>
  </si>
  <si>
    <t>O=NN(CCC)CCC</t>
  </si>
  <si>
    <t>YLKFDHTUAUWZPQ-UHFFFAOYAE</t>
  </si>
  <si>
    <t>864283-48-7</t>
  </si>
  <si>
    <t>C(=O)(C(C(C(=O)OC(C(C(C(C(C(C(C([H])([H])[H])([H])[H])([H])[H])([H])[H])([H])[H])([H])[H])([H])[H])([H])[H])([H])[H])([H])[H])OC(C(C(C(C(C(C(C([H])([H])[H])([H])[H])([H])[H])([H])[H])([H])[H])([H])[H])([H])[H])([H])[H]</t>
  </si>
  <si>
    <t>KWABLUYIOFEZOY-UHFFFAOYAH  </t>
  </si>
  <si>
    <t>NOCAS_47351</t>
  </si>
  <si>
    <t>Cl.CC(C)N(C)C(=O)[C@@H](Cc2ccc(CN1[C@H](C)CCC[C@@H]1C)cc2)NC(=O)C[C@@H](NS(=O)(=O)c3cc4ccc(OC)cc4cc3)c5ccc6OCOc6c5</t>
  </si>
  <si>
    <t>XVMLYXWYFQHDLM-UHFFFAOYAB  </t>
  </si>
  <si>
    <t>439687-69-1</t>
  </si>
  <si>
    <t>[Cl]c1c(c(c(c(c1C(=O)N(C([H])(C1([H])C(C(C(C(N1[H])([H])[H])([H])[H])([H])[H])([H])[H])c1c(c(c(c(c1[H])[H])[H])[H])[H])[H])[H])[H])[H])C(F)(F)F</t>
  </si>
  <si>
    <t>MEZRZVWPLXVLSO-ZNQYCEKBDM  </t>
  </si>
  <si>
    <t>54-11-5</t>
  </si>
  <si>
    <t>98-95-3</t>
  </si>
  <si>
    <t>N(=O)(=O)c(cccc1)c1</t>
  </si>
  <si>
    <t>YGXDJTBJHTUUPB-UHFFFAOYAD</t>
  </si>
  <si>
    <t>1836-75-5</t>
  </si>
  <si>
    <t>O=N(=O)c(ccc(Oc(c(cc(c1)Cl)Cl)c1)c2)c2</t>
  </si>
  <si>
    <t>MLFDFGJOFMNAEC-UHFFFAOYAY</t>
  </si>
  <si>
    <t>67-20-9</t>
  </si>
  <si>
    <t>O=C(N(N=CC(OC(N(=O)=O)=C1)=C1)CC2=O)N2</t>
  </si>
  <si>
    <t>HLDBOXMZPVBCCS-FLZDIJAGDM  </t>
  </si>
  <si>
    <t xml:space="preserve">Hydrazines +  Carbonyl Ureas </t>
  </si>
  <si>
    <t>Nitrofurantoin is activated by bacterial flavoproteins (nitrofuran reductase) to active reduced reactive intermediates that are thought to modulate and damage ribosomal proteins or other macromolecules, especially DNA, causing inhibition of DNA, RNA, protein, and cell wall synthesis. The overall effect is inhibition of bacterial growth or cell death.</t>
  </si>
  <si>
    <t>59-87-0</t>
  </si>
  <si>
    <t>O=C(N)NN=CC(OC(N(=O)=O)=C1)=C1</t>
  </si>
  <si>
    <t>IEYKZDKPJQAZJF-BAKCHHEWDA  </t>
  </si>
  <si>
    <t>The exact mechanism of action is unknown. Nitrofurazone inhibits several bacterial enzymes, especially those involved in the aerobic and anaerobic degradation of glucose and pyruvate. This activity is believed also to affect pyruvate dehydrogenase, citrate synthetase, malate dehydrogenase, glutathione reductase, and pyruvate decarboxylase.</t>
  </si>
  <si>
    <t>91-66-7</t>
  </si>
  <si>
    <t>N(c(cccc1)c1)(CC)CC</t>
  </si>
  <si>
    <t>GGSUCNLOZRCGPQ-UHFFFAOYAA</t>
  </si>
  <si>
    <t>100-37-8</t>
  </si>
  <si>
    <t>OCCN(CC)CC</t>
  </si>
  <si>
    <t>BFSVOASYOCHEOV-UHFFFAOYAC  </t>
  </si>
  <si>
    <t>2605-79-0</t>
  </si>
  <si>
    <t>O=N(CCCCCCCCCC)(C)C</t>
  </si>
  <si>
    <t>RHSCHEZEHHOEAW-UHFFFAOYAT  </t>
  </si>
  <si>
    <t>7378-99-6</t>
  </si>
  <si>
    <t>N(CCCCCCCC)(C)C</t>
  </si>
  <si>
    <t>UQKAOOAFEFCDGT-UHFFFAOYAF</t>
  </si>
  <si>
    <t>110-26-9</t>
  </si>
  <si>
    <t>O=C(NCNC(=O)C=C)C=C</t>
  </si>
  <si>
    <t>ZIUHHBKFKCYYJD-DEPUQRHOCU</t>
  </si>
  <si>
    <t>99-97-8</t>
  </si>
  <si>
    <t>N(c(ccc(c1)C)c1)(C)C</t>
  </si>
  <si>
    <t>GYVGXEWAOAAJEU-UHFFFAOYAY</t>
  </si>
  <si>
    <t>102-60-3</t>
  </si>
  <si>
    <t>OC(C)CN(CCN(CC(O)C)CC(O)C)CC(O)C</t>
  </si>
  <si>
    <t>NSOXQYCFHDMMGV-AAVRWANBBU</t>
  </si>
  <si>
    <t>68-22-4</t>
  </si>
  <si>
    <t>CC34CCC1C(CCC2=CC(=O)CCC12)C3CCC4(O)C#C</t>
  </si>
  <si>
    <t>VIKNJXKGJWUCNN-GXUNQHPWBJ  </t>
  </si>
  <si>
    <t>Progestins diffuse freely into target cells and bind to the progesterone receptor. Target cells include the female reproductive tract, the mammary gland, the hypothalamus, and the pituitary. Once bound to the receptor, progestins slow the frequency of release of gonadotropin releasing hormone (GnRH) from the hypothalamus and blunt the pre-ovulatory LH surge.</t>
  </si>
  <si>
    <t>DS, L.-M., GM, S., 2001. Estrogens and progestins, in: JG, H., LE, L., AG, G. (Eds.), Goodman &amp; Gilman’s The pharmacological basis of therapeutics. McGraw-Hill, New York, NY, pp. 1597–1634.</t>
  </si>
  <si>
    <t>797-63-7</t>
  </si>
  <si>
    <t>C12C3CCC4(CC)C(O)(C#C)CCC4C3CCC2=CC(=O)CC1</t>
  </si>
  <si>
    <t>WWYNJERNGUHSAO-XUDSTZEEBP  </t>
  </si>
  <si>
    <t>Binds to the progesterone and estrogen receptors. Target cells include the female reproductive tract, the mammary gland, the hypothalamus, and the pituitary. Once bound to the receptor, progestins like levonorgestrel will slow the frequency of release of gonadotropin releasing hormone (GnRH) from the hypothalamus and blunt the pre-ovulatory LH (luteinizing hormone) surge.</t>
  </si>
  <si>
    <t>2104-64-5</t>
  </si>
  <si>
    <t>CCOP(=S)(Oc1ccc(cc1)N(=O)=O)c2ccccc2</t>
  </si>
  <si>
    <t>WBRLBBQUSBFWNX-FQEVSTJZBM</t>
  </si>
  <si>
    <t>Awad, O.M., 1984. Molecular mechanism for the inhibition of acetylcholinesterase enzyme by organophosphorothionates. Enzyme 32, 193-200.</t>
  </si>
  <si>
    <t>556-67-2</t>
  </si>
  <si>
    <t>C[Si]1(C)O[Si](C)(C)O[Si](C)(C)O[Si](C)(C)O1</t>
  </si>
  <si>
    <t>HMMGMWAXVFQUOA-UHFFFAOYAZ</t>
  </si>
  <si>
    <t>124-13-0</t>
  </si>
  <si>
    <t>O=CCCCCCCC</t>
  </si>
  <si>
    <t>NUJGJRNETVAIRJ-UHFFFAOYAK</t>
  </si>
  <si>
    <t>3147-75-9</t>
  </si>
  <si>
    <t>Oc(c(n(nc(c1ccc2)c2)n1)cc(c3)C(CC(C)(C)C)(C)C)c3</t>
  </si>
  <si>
    <t>SXONDGSPUVNZLO-MPIMZMORCE  </t>
  </si>
  <si>
    <t>789-02-6</t>
  </si>
  <si>
    <t>Clc1ccc(cc1)C(c2ccccc2Cl)C(Cl)(Cl)Cl</t>
  </si>
  <si>
    <t>CVUGPAFCQJIYDT-CYBMUJFWBH</t>
  </si>
  <si>
    <t>6153-64-6</t>
  </si>
  <si>
    <t>c1(c(c2c(c(c1[H])[H])N3C4(C21C2(N(C(C1([H])[H])([H])[H])C(C=1C(C2([H])[H])([H])C4([H])C(C(C3=O)([H])[H])([H])OC(C1[H])([H])[H])([H])[H])[H])[H])[H])[H]</t>
  </si>
  <si>
    <t>VLXYTKMPCOQKEM-ZEYGOCRCBD  </t>
  </si>
  <si>
    <t>2058-46-0</t>
  </si>
  <si>
    <t>c12C(=O)C3=C(O)C4(O)C(=O)C(C(=O)N)=C(O)C(N(H)(Cl)(C)C)C4C(O)C3Cc1cccc2</t>
  </si>
  <si>
    <t>QRTMTZAUGTXZOA-ZGYDFYMOBK  </t>
  </si>
  <si>
    <t>Vinyl/Allyl Ketones +  Acrylamides +  Vinyl/Allyl Alcohols +  Ketone alcohols</t>
  </si>
  <si>
    <t>99-87-6</t>
  </si>
  <si>
    <t>c(ccc(c1)C)(c1)C(C)C</t>
  </si>
  <si>
    <t>HFPZCAJZSCWRBC-UHFFFAOYAD</t>
  </si>
  <si>
    <t>Pentachloropyridine</t>
  </si>
  <si>
    <t>2176-62-7</t>
  </si>
  <si>
    <t>n(c(c(c(c1Cl)Cl)Cl)Cl)c1Cl</t>
  </si>
  <si>
    <t>DNDPLEAVNVOOQZ-UHFFFAOYAW  </t>
  </si>
  <si>
    <t>629-62-9</t>
  </si>
  <si>
    <t>C(CCCCCCCCCCCCC)C</t>
  </si>
  <si>
    <t>YCOZIPAWZNQLMR-UHFFFAOYAP</t>
  </si>
  <si>
    <t>115-77-5</t>
  </si>
  <si>
    <t>OCC(CO)(CO)CO</t>
  </si>
  <si>
    <t>WXZMFSXDPGVJKK-UHFFFAOYAH  </t>
  </si>
  <si>
    <t>140-64-7</t>
  </si>
  <si>
    <t>N(OS(=O)(=O)CCO)=C(N)c1ccc(cc1)OCCCCCOc2ccc(C(=N(OS(=O)(=O)CCO))N)cc2</t>
  </si>
  <si>
    <t>BYQDGAVOOHIJQS-UHFFFAOYAY  </t>
  </si>
  <si>
    <t>6624-73-3</t>
  </si>
  <si>
    <t>C(c1c(c(c(c(c1[H])[H])[H])[H])[H])(c1c(c(n(n1)C(C([H])([H])[H])([H])[H])C1([H])C(C(N(C(C1([H])[H])([H])[H])C(C1([H])C(C(C(C1([H])[H])([H])N(C([H])(C(C([H])([H])[H])(C([H])([H])[H])[H])C(=O)O[H])C([H])([H])[H])([H])[H])([H])c1c(c(c(c(c1[H])F)[H])[H])[H])([H])[H])([H])[H])([H])[H])[H])([H])[H]</t>
  </si>
  <si>
    <t>ZTENZJJCFACIAK-ZDMQWMNSDY  </t>
  </si>
  <si>
    <t>335-76-2</t>
  </si>
  <si>
    <t>O=C(O)C(F)(F)C(F)(F)C(F)(F)C(F)(F)C(F)(F)C(F)(F)C(F)(F)C(F)(F)C(F)(F)F</t>
  </si>
  <si>
    <t>PCIUEQPBYFRTEM-SREBMQDQCG  </t>
  </si>
  <si>
    <t>375-85-9</t>
  </si>
  <si>
    <t>O=C(O)C(F)(F)C(F)(F)C(F)(F)C(F)(F)C(F)(F)C(F)(F)F</t>
  </si>
  <si>
    <t>ZWBAMYVPMDSJGQ-PKSOQXRJCT  </t>
  </si>
  <si>
    <t>307-24-4</t>
  </si>
  <si>
    <t>O=C(O)C(F)(F)C(F)(F)C(F)(F)C(F)(F)C(F)(F)F</t>
  </si>
  <si>
    <t>PXUULQAPEKKVAH-GPQMBLKYCG  </t>
  </si>
  <si>
    <t>Pyrethroid (sodium channel binding)</t>
  </si>
  <si>
    <t>Phenanthrene</t>
  </si>
  <si>
    <t>85-01-8</t>
  </si>
  <si>
    <t>c(c(c(c(c1)ccc2)c2)ccc3)(c1)c3</t>
  </si>
  <si>
    <t>YNPNZTXNASCQKK-UHFFFAOYAC</t>
  </si>
  <si>
    <t>57-30-7</t>
  </si>
  <si>
    <t>CCC1(C(=O)N=C(O)NC1=O)c2ccccc2</t>
  </si>
  <si>
    <t>ZVVIMHHEUCNWKF-LTLWCCLUDJ  </t>
  </si>
  <si>
    <t>77-09-8</t>
  </si>
  <si>
    <t>O=C(OC(c1cccc2)(c(ccc(O)c3)c3)c(ccc(O)c4)c4)c12</t>
  </si>
  <si>
    <t>KJFMBFZCATUALV-UHFFFAOYAH  </t>
  </si>
  <si>
    <t>298-02-2</t>
  </si>
  <si>
    <t>CCOP(=S)(OCC)SCSCC</t>
  </si>
  <si>
    <t>BULVZWIRKLYCBC-UHFFFAOYAA</t>
  </si>
  <si>
    <t>732-11-6</t>
  </si>
  <si>
    <t>COP(=S)(OC)SCN2C(=O)c1ccccc1C2=O</t>
  </si>
  <si>
    <t>LMNZTLDVJIUSHT-UHFFFAOYAV</t>
  </si>
  <si>
    <t>Imides +  Esters, Dithiophosphates</t>
  </si>
  <si>
    <t>112529-15-4</t>
  </si>
  <si>
    <t>c12c(C(C(C(O1)([H])c1c(c(c(c(c1[H])O[H])OC([H])([H])[H])[H])[H])([H])[H])=O)c(O[H])c(c(OC1([H])C(C(C(C(O1)([H])C(O[H])([H])[H])([H])O[H])([H])O[H])([H])OC1([H])C(C(C(C(O1)([H])C([H])([H])[H])([H])O[H])([H])O[H])([H])O[H])c2[H])[H]</t>
  </si>
  <si>
    <t>ARGKVCXINMKCAZ-FTATVBKGBS  </t>
  </si>
  <si>
    <t>110-85-0</t>
  </si>
  <si>
    <t>N(CCNC1)C1</t>
  </si>
  <si>
    <t>GLUUGHFHXGJENI-UHFFFAOYAS</t>
  </si>
  <si>
    <t>Piperazine is a GABA receptor agonist. Piperzine binds directly and selectively to muscle membrane GABA receptors, presumably causing hyperpolarization of nerve endings, resulting in flaccid paralysis of the worm. While the worm is paralyzed, it is dislodged from the intestinal lumen and expelled live from the body by normal intestinal peristalsis.</t>
  </si>
  <si>
    <t>625114-41-2</t>
  </si>
  <si>
    <t>s1c3c(c(n1)N1C(C(N(C(C1([H])[H])([H])[H])C(C(c1c(c(c2c(c1[H])C(C(C(=O)N2[H])([H])[H])(C([H])([H])[H])C([H])([H])[H])C([H])([H])[H])[H])([H])[H])([H])[H])([H])[H])([H])[H])c(c(c(c3[H])[H])[H])[H]</t>
  </si>
  <si>
    <t>SRGGJELKHPOIIN-BJTBNLMOCX  </t>
  </si>
  <si>
    <t>29420-49-3</t>
  </si>
  <si>
    <t>S(=O)(=O)(O)C(F)(F)C(F)(F)C(F)(F)C(F)(F)F</t>
  </si>
  <si>
    <t>GLUDVMFRXKAGHO-LBOYIXSDCY  </t>
  </si>
  <si>
    <t>pp'-DDE</t>
  </si>
  <si>
    <t>72-55-9</t>
  </si>
  <si>
    <t>ClC(Cl)=C(c1ccc(Cl)cc1)c2ccc(Cl)cc2</t>
  </si>
  <si>
    <t>UCNVFOCBFJOQAL-UHFFFAOYAE</t>
  </si>
  <si>
    <t>32809-16-8</t>
  </si>
  <si>
    <t>c1c(Cl)cc(Cl)cc1N2C(=O)C(C)(C3)C3(C)C2(=O)</t>
  </si>
  <si>
    <t>QXJKBPAVAHBARF-BETUJISGBA</t>
  </si>
  <si>
    <t>261947-38-0</t>
  </si>
  <si>
    <t>C(=O)(C([H])([H])[H])OC1([H])C(OC(C1([H])OC(=O)C([H])([H])[H])(OC1([H])C(C(C(C(O1)([H])C(OC(=O)C([H])([H])[H])([H])[H])([H])OC(=O)C([H])([H])[H])([H])OC(=O)C([H])([H])[H])([H])OC(=O)C([H])([H])[H])C(OC(=O)C([H])([H])[H])([H])[H])([H])C(OC(=O)C([H])([H])[H])([H])[H]</t>
  </si>
  <si>
    <t>ZIJKGAXBCRWEOL-SAXBRCJIBA  </t>
  </si>
  <si>
    <t>Herbicide</t>
  </si>
  <si>
    <t>121-79-9</t>
  </si>
  <si>
    <t>O=C(OCCC)c(cc(O)c(O)c1O)c1</t>
  </si>
  <si>
    <t>ZTHYODDOHIVTJV-UHFFFAOYAT  </t>
  </si>
  <si>
    <t>103-65-1</t>
  </si>
  <si>
    <t>c(cccc1)(c1)CCC</t>
  </si>
  <si>
    <t>ODLMAHJVESYWTB-UHFFFAOYAK</t>
  </si>
  <si>
    <t>129-00-0</t>
  </si>
  <si>
    <t>c(c(c(cc1)ccc2)c2cc3)(c1ccc4)c34</t>
  </si>
  <si>
    <t>BBEAQIROQSPTKN-UHFFFAOYAB</t>
  </si>
  <si>
    <t>65-23-6</t>
  </si>
  <si>
    <t>n(c(c(O)c(c1CO)CO)C)c1</t>
  </si>
  <si>
    <t>LXNHXLLTXMVWPM-UHFFFAOYAQ  </t>
  </si>
  <si>
    <t>Phenols +  Benzyl Alcohols</t>
  </si>
  <si>
    <t>Vitamin B6 is the collective term for a group of three related compounds, pyridoxine (PN), pyridoxal (PL) and pyridoxamine (PM), and their phosphorylated derivatives, pyridoxine 5'-phosphate (PNP), pyridoxal 5'-phosphate (PLP) and pyridoxamine 5'-phosphate (PMP). Although all six of these compounds should technically be referred to as vitamin B6, the term vitamin B6 is commonly used interchangeably with just one of them, pyridoxine.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t>
  </si>
  <si>
    <t>58-14-0</t>
  </si>
  <si>
    <t>CCc1nc(N)nc(N)c1c2ccc(Cl)cc2</t>
  </si>
  <si>
    <t>WKSAUQYGYAYLPV-KHCWMJRFCQ  </t>
  </si>
  <si>
    <t>Pyrimethamine inhibits the dihydrofolate reductase of plasmodia and thereby blocks the biosynthesis of purines and pyrimidines, which are essential for DNA synthesis and cell multiplication. This leads to failure of nuclear division at the time of schizont formation in erythrocytes and liver.</t>
  </si>
  <si>
    <t>50-55-5</t>
  </si>
  <si>
    <t>O=C(OC(C(OC)C(C(C1CN(C2C(Nc(c3ccc4OC)c4)=C3C5)C5)C2)C(=O)OC)C1)c(cc(OC)c(OC)c6OC)c6</t>
  </si>
  <si>
    <t>QEVHRUUCFGRFIF-ZULOLLBZBF  </t>
  </si>
  <si>
    <t>Aliphatic Amines +  Esters +  Pyrazoles/Pyrroles  +  Nicotinoids</t>
  </si>
  <si>
    <t>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t>
  </si>
  <si>
    <t>108-46-3</t>
  </si>
  <si>
    <t>Oc(cccc1O)c1</t>
  </si>
  <si>
    <t>GHMLBKRAJCXXBS-UHFFFAOYAB</t>
  </si>
  <si>
    <t>Goitrogen</t>
  </si>
  <si>
    <t>Thienpont, B., Tingaud-Sequeira, A., Prats, E., Barata, C., Babin, P.J., Raldua, D., 2011. Zebrafish eleutheroembryos provide a suitable vertebrate model for screening chemicals that impair thyroid hormone synthesis. Environ Sci Technol 45, 7525-7532.</t>
  </si>
  <si>
    <t>94-59-7</t>
  </si>
  <si>
    <t>O(c(c(O1)cc(c2)CC=C)c2)C1</t>
  </si>
  <si>
    <t>ZMQAAUBTXCXRIC-UHFFFAOYAD  </t>
  </si>
  <si>
    <t>Silica</t>
  </si>
  <si>
    <t>7631-86-9</t>
  </si>
  <si>
    <t>O=[Si]=O</t>
  </si>
  <si>
    <t>NOCAS_48516</t>
  </si>
  <si>
    <t>[Na+].O=C([N-]S(=O)(=O)/C=C/c1ccccc1)c2ccc(F)cc2Cl</t>
  </si>
  <si>
    <t>KAJJGOCSAXKXBD-DOWLYPPSCL  </t>
  </si>
  <si>
    <t>NOCAS_47255</t>
  </si>
  <si>
    <t>[Na+].OC(C)(C)c1coc(c1)S(=O)(=O)[N-]C(=O)Nc2c(cccc2C(C)C)C(C)C</t>
  </si>
  <si>
    <t>DUFKCOQISQKSAV-WDSKDSINBO  </t>
  </si>
  <si>
    <t>824-78-2</t>
  </si>
  <si>
    <t>Oc1ccc(cc1)N(=O)=O</t>
  </si>
  <si>
    <t>MUWUUCMSYYRVSU-UHFFFAOYAP  </t>
  </si>
  <si>
    <t>104795-68-8</t>
  </si>
  <si>
    <t>C(Oc1c(c2c(c(c1[H])[H])C(C(C([H])(C2([H])[H])N(C1(C(C(N(C(C1([H])[H])([H])[H])C(=O)C1(C(C(N(C(C1([H])[H])([H])[H])[H])([H])[H])([H])[H])[H])([H])[H])([H])[H])[H])C(C(C([H])([H])[H])([H])[H])([H])[H])([H])[H])([H])[H])[H])([H])([H])[H]</t>
  </si>
  <si>
    <t>KTAULCNFQYFKTN-HSZRJFAPBT  </t>
  </si>
  <si>
    <t>136042-19-8</t>
  </si>
  <si>
    <t>C(CCC)C1=NC=2C(=NC=CC2)N1CC1=CC=C(C=C1)C1=C(C=CC=C1)C1=NN=N[N-]1.[Na+]</t>
  </si>
  <si>
    <t>PARTYZLLPNJCGX-JQEKZKEHBF  </t>
  </si>
  <si>
    <t>532-32-1</t>
  </si>
  <si>
    <t>OC(=O)c1ccccc1</t>
  </si>
  <si>
    <t>FVRCEZWLHYZMPE-UHFFFAOYAB  </t>
  </si>
  <si>
    <t>7758-19-2</t>
  </si>
  <si>
    <t>OCl=O</t>
  </si>
  <si>
    <t>4418-26-2</t>
  </si>
  <si>
    <t>O=C(OC(=C1)C)C(C1=O)C(=O)C</t>
  </si>
  <si>
    <t>VDQZABQVXYELSI-MGCOHNPYBC  </t>
  </si>
  <si>
    <t>Esters +  Vinyl/Allyl Ketones +  Vinyl/Allyl Esters</t>
  </si>
  <si>
    <t>25155-30-0</t>
  </si>
  <si>
    <t>OS(=O)(=O)c1ccc(cc1)CCCCCCCCCCCC</t>
  </si>
  <si>
    <t>6381-77-7</t>
  </si>
  <si>
    <t>OCC(O)C1OC(=O)C(=C1O)O</t>
  </si>
  <si>
    <t>ILGGAJLDJXLZSO-YEQCXGSMBF  </t>
  </si>
  <si>
    <t>c1ccc2c(c1)C(=NS2(=O)=O)[O-].O.[Na+]</t>
  </si>
  <si>
    <t>ORJYGZXBZGCENC-PCCBWWKXBQ  </t>
  </si>
  <si>
    <t>650-51-1</t>
  </si>
  <si>
    <t>IMNROVXPULDPFT-BDGWVKIOCA  </t>
  </si>
  <si>
    <t>1300-72-7</t>
  </si>
  <si>
    <t>OS(=O)(=O)c1ccc(cc1C)C</t>
  </si>
  <si>
    <t>NHKWRRHZTGQJMT-UHFFFAOYAK  </t>
  </si>
  <si>
    <t>110-44-1</t>
  </si>
  <si>
    <t>O=C(O)C=CC=CC</t>
  </si>
  <si>
    <t>WSWCOQWTEOXDQX-XCVGFYGJDI  </t>
  </si>
  <si>
    <t>1338-43-8</t>
  </si>
  <si>
    <t>O(CC1O)C(C1O)C(O)COC(=O)CCCCCCCC=CCCCCCCCC</t>
  </si>
  <si>
    <t>3056-17-5</t>
  </si>
  <si>
    <t>O1C(CO)C=CC1N2C(=O)NC(=O)C(C)=C2</t>
  </si>
  <si>
    <t>XNKLLVCARDGLGL-DBYRXIBIDO  </t>
  </si>
  <si>
    <t xml:space="preserve">Vinyl/Allyl Ethers +  Carbonyl Ureas </t>
  </si>
  <si>
    <t>Stavudine inhibits the activity of HIV-1 reverse transcriptase (RT) both by competing with the natural substrate dGTP and by its incorporation into viral DNA.</t>
  </si>
  <si>
    <t>96-09-3</t>
  </si>
  <si>
    <t>O(C1c(cccc2)c2)C1</t>
  </si>
  <si>
    <t>AWMVMTVKBNGEAK-QMMMGPOBBD</t>
  </si>
  <si>
    <t>57-50-1</t>
  </si>
  <si>
    <t>O(C(C(O)C(O)C1O)CO)C1OC(OC(C2O)CO)(C2O)CO</t>
  </si>
  <si>
    <t>CZMRCDWAGMRECN-LUIKRPFKBH  </t>
  </si>
  <si>
    <t>126-14-7</t>
  </si>
  <si>
    <t>O=C(OCC(OC(OC(OC(C(OC(=O)C)C1OC(=O)C)COC(=O)C)C1OC(=O)C)(C2OC(=O)C)COC(=O)C)C2OC(=O)C)C</t>
  </si>
  <si>
    <t>PSILZZNMGXTOOP-HXTKINSTCM  </t>
  </si>
  <si>
    <t>599-79-1</t>
  </si>
  <si>
    <t>OC(=O)c3cc(N=Nc1ccc(cc1)S(=O)(=O)Nc2ccccn2)ccc3O</t>
  </si>
  <si>
    <t>NCEXYHBECQHGNR-VRAPHGCZDS</t>
  </si>
  <si>
    <t>The mode of action of Sulfasalazine or its metabolites, 5-aminosalicylic acid (5-ASA) and sulfapyridine (SP),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SP and 5-ASA have indicated that the major therapeutic action may reside in the 5-ASA moiety. The relative contribution of the parent drug and the major metabolites in rheumatoid arthritis is unknown.</t>
  </si>
  <si>
    <t>107534-96-3</t>
  </si>
  <si>
    <t>c1cc(Cl)ccc1CCC(O)(C(C)(C)C)Cn2ncnc2</t>
  </si>
  <si>
    <t>PXMNMQRDXWABCY-INIZCTEOBS</t>
  </si>
  <si>
    <t>Terbufos</t>
  </si>
  <si>
    <t>13071-79-9</t>
  </si>
  <si>
    <t>CCOP(=S)(OCC)SCSC(C)(C)C</t>
  </si>
  <si>
    <t>XLNZEKHULJKQBA-UHFFFAOYAH</t>
  </si>
  <si>
    <t>Wolfe, M.F., Kendall, R.J., 1998. Age‐dependent toxicity of diazinon and terbufos in european starlings (Sturnus vulgaris) and red‐winged blackbirds (Agelaius phoeniceus). Environ. Toxicol. Chem. 17, 1300-1312.</t>
  </si>
  <si>
    <t>614-45-9</t>
  </si>
  <si>
    <t>O=C(OOC(C)(C)C)c(cccc1)c1</t>
  </si>
  <si>
    <t>GJBRNHKUVLOCEB-UHFFFAOYAT</t>
  </si>
  <si>
    <t xml:space="preserve">Peroxy Esters </t>
  </si>
  <si>
    <t>57-85-2</t>
  </si>
  <si>
    <t>O=C(OC(C(C(C(C(C(C(=CC(=O)C1)C2)(C1)C)C3)C2)C4)(C3)C)C4)CC</t>
  </si>
  <si>
    <t>PDMMFKSKQVNJMI-LXIBVNSEBL  </t>
  </si>
  <si>
    <t>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t>
  </si>
  <si>
    <t>60-54-8</t>
  </si>
  <si>
    <t>CN(C)C2C1CC4C(=C(O)C1(O)C(=O)C(=C2O)C(N)=O)C(=O)c3c(O)cccc3C4(C)O</t>
  </si>
  <si>
    <t>OFVLGDICTFRJMM-YBDXZVHVDX  </t>
  </si>
  <si>
    <t>Tetracycline passively diffuses through porin channels in the bacterial membrane and reversibly binds to the 30S ribosomal subunit, preventing binding of tRNA to the mRNA-ribosome complex, and thus interfering with protein synthesis.</t>
  </si>
  <si>
    <t>83-67-0</t>
  </si>
  <si>
    <t>89-83-8</t>
  </si>
  <si>
    <t>Oc(c(ccc1C)C(C)C)c1</t>
  </si>
  <si>
    <t>MGSRCZKZVOBKFT-UHFFFAOYAS</t>
  </si>
  <si>
    <t>129298-91-5</t>
  </si>
  <si>
    <t>C1([H])(C(C(C(C(C12C(O2)([H])[H])([H])[H])([H])[H])([H])OC(=O)N(C(=O)C([Cl])([H])[H])[H])([H])OC([H])([H])[H])C1(C(O1)([H])C(\C(=C(/C([H])([H])[H])C([H])([H])[H])[H])([H])[H])C([H])([H])[H]</t>
  </si>
  <si>
    <t>MSHZHSPISPJWHW-IJZLNVGHDL  </t>
  </si>
  <si>
    <t xml:space="preserve">Epoxides, Poly +  Imides +  Haloacetamides +  Carbamate Esters </t>
  </si>
  <si>
    <t>1156-19-0</t>
  </si>
  <si>
    <t>Cc1ccc(cc1)S(=O)(=O)NC(=O)NN2CCCCCC2</t>
  </si>
  <si>
    <t>OUDSBRTVNLOZBN-LUXCBXFACS  </t>
  </si>
  <si>
    <t xml:space="preserve">Hydrazines +  Sulfonyl Ureas </t>
  </si>
  <si>
    <t>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t>
  </si>
  <si>
    <t>584-84-9</t>
  </si>
  <si>
    <t>O=C=Nc(c(ccc1N=C(=O))C)c1</t>
  </si>
  <si>
    <t>DVKJHBMWWAPEIU-UHFFFAOYAL  </t>
  </si>
  <si>
    <t>76-03-9</t>
  </si>
  <si>
    <t>24602-86-6</t>
  </si>
  <si>
    <t>CCCCCCCCCCCCCN1CC(C)OC(C)C1</t>
  </si>
  <si>
    <t>YTOPFCCWCSOHFV-RTBURBONBM</t>
  </si>
  <si>
    <t>102-71-6</t>
  </si>
  <si>
    <t>OCCN(CCO)CCO</t>
  </si>
  <si>
    <t>GSEJCLTVZPLZKY-UHFFFAOYAL</t>
  </si>
  <si>
    <t>2943-75-1</t>
  </si>
  <si>
    <t>CCO[Si](OCC)(OCC)CCCCCCCC</t>
  </si>
  <si>
    <t>GEQGGNDWIMWXGU-GFCCVEGCBX  </t>
  </si>
  <si>
    <t>Alkoxy Silanes</t>
  </si>
  <si>
    <t>94-28-0</t>
  </si>
  <si>
    <t>O=C(OCCOCCOCCOC(=O)C(CCCC)CC)C(CCCC)CC</t>
  </si>
  <si>
    <t>NIBCDDKWFDEBEP-VJSLDGLSCY  </t>
  </si>
  <si>
    <t>111-21-7</t>
  </si>
  <si>
    <t>O=C(OCCOCCOCCOC(=O)C)C</t>
  </si>
  <si>
    <t>LZHCVNIARUXHAL-UHFFFAOYAC  </t>
  </si>
  <si>
    <t>2451-62-9</t>
  </si>
  <si>
    <t>O=C(N(C(=O)N(C1=O)CC(O2)C2)CC(O3)C3)N1CC(O4)C4</t>
  </si>
  <si>
    <t>OUPZKGBUJRBPGC-IWSPIJDZBN  </t>
  </si>
  <si>
    <t>Epoxides, Poly +  Triazines, Aromatic</t>
  </si>
  <si>
    <t>53894-23-8</t>
  </si>
  <si>
    <t>O=C(c1c(ccc(c1)C(=O)OCCCCCCC(C)C)C(=O)OCCCCCCC(C)C)OCCCCCCC(C)C</t>
  </si>
  <si>
    <t>ZZCHHVUQYRMYLW-YZBRNGHCDO  </t>
  </si>
  <si>
    <t>89-04-3</t>
  </si>
  <si>
    <t>O=C(OCCCCCCCC)c(ccc(c1C(=O)OCCCCCCCC)C(=O)OCCCCCCCC)c1</t>
  </si>
  <si>
    <t>JNXDCMUUZNIWPQ-UHFFFAOYAM  </t>
  </si>
  <si>
    <t>101-02-0</t>
  </si>
  <si>
    <t>O(c(cccc1)c1)P(Oc(cccc2)c2)Oc(cccc3)c3</t>
  </si>
  <si>
    <t>HVLLSGMXQDNUAL-UHFFFAOYAF  </t>
  </si>
  <si>
    <t>25498-49-1</t>
  </si>
  <si>
    <t>OCC(OC(COC(COC)C)C)C</t>
  </si>
  <si>
    <t>WAEVWDZKMBQDEJ-OPRDCNLKBZ</t>
  </si>
  <si>
    <t>78-42-2</t>
  </si>
  <si>
    <t>O=P(OCC(CCCC)CC)(OCC(CCCC)CC)OCC(CCCC)CC</t>
  </si>
  <si>
    <t>GTVWRXDRKAHEAD-WXFUMESZBL</t>
  </si>
  <si>
    <t>3319-31-1</t>
  </si>
  <si>
    <t>O=C(OCC(CCCC)CC)c(ccc(c1C(=O)OCC(CCCC)CC)C(=O)OCC(CCCC)CC)c1</t>
  </si>
  <si>
    <t>KRADHMIOFJQKEZ-PVHODMMVBT  </t>
  </si>
  <si>
    <t>97322-87-7</t>
  </si>
  <si>
    <t>O(c1c(c(c2c(c1C([H])([H])[H])C(C(C(O2)(C([H])([H])[H])C(Oc1c(c(c(c(c1[H])[H])C(C1([H])SC(N(C1=O)[H])=O)([H])[H])[H])[H])([H])[H])([H])[H])([H])[H])C([H])([H])[H])C([H])([H])[H])[H]</t>
  </si>
  <si>
    <t>GXPHKUHSUJUWKP-PVRJVVHCDF  </t>
  </si>
  <si>
    <t xml:space="preserve">Imides +  Phenols +  Thiazolidinones +  Thiocarbamates, Mono </t>
  </si>
  <si>
    <t>1120-21-4</t>
  </si>
  <si>
    <t>C(CCCCCCCCC)C</t>
  </si>
  <si>
    <t>51-79-6</t>
  </si>
  <si>
    <t>O=C(OCC)N</t>
  </si>
  <si>
    <t>JOYRKODLDBILNP-LGEMBHMGCP  </t>
  </si>
  <si>
    <t>139290-65-6</t>
  </si>
  <si>
    <t>127308-82-1</t>
  </si>
  <si>
    <t>C(C(C([H])([H])[H])(C(C([H])([H])[H])([H])[H])c1c(c(c(c(c1O[H])[H])[H])C(C([H])([H])[H])(C(C([H])([H])[H])([H])[H])C([H])([H])[H])[H])([H])([H])[H]</t>
  </si>
  <si>
    <t>WMVJWKURWRGJCI-UHFFFAOYAO  </t>
  </si>
  <si>
    <t>112733-06-9</t>
  </si>
  <si>
    <t>c1(c(c(c(c(c1[H])S(=O)(=O)Nc1nc(c(nc1[H])[Cl])[H])[H])[H])N([H])[H])[H]</t>
  </si>
  <si>
    <t>ROSSRUTZHQTLSK-UHFFFAOYAC  </t>
  </si>
  <si>
    <t>2,2,4,4,5-pentabromodiphenyl ether (BDE-99)</t>
  </si>
  <si>
    <t>060348-60-9</t>
  </si>
  <si>
    <t>BrC1=CC(Br)=C(C=C1OC2=CC=C(C=C2Br)Br)Br</t>
  </si>
  <si>
    <t>WHPVYXDFIXRKLN-UHFFFAOYAV</t>
  </si>
  <si>
    <t>[1, 3, 28]</t>
  </si>
  <si>
    <t>Psetta maxima</t>
  </si>
  <si>
    <t xml:space="preserve"> 50/500</t>
  </si>
  <si>
    <t>Filter sea water (3.4 g/L)</t>
  </si>
  <si>
    <t>48h renewal</t>
  </si>
  <si>
    <t>7.32 mg/L</t>
  </si>
  <si>
    <t>DMSO &lt;0.1%</t>
  </si>
  <si>
    <t>Mhadhbi et al. 2012a</t>
  </si>
  <si>
    <t>120 (144)</t>
  </si>
  <si>
    <t>48 (72)</t>
  </si>
  <si>
    <t>DMSO 0.1%</t>
  </si>
  <si>
    <t>Mhadhbi et al. 2012b</t>
  </si>
  <si>
    <t>[2, 3, 26]</t>
  </si>
  <si>
    <t>72 hpf refers to the blastula stage of turbot!</t>
  </si>
  <si>
    <t>Mhadhbi et al. 2011</t>
  </si>
  <si>
    <t>[2, 26]</t>
  </si>
  <si>
    <t>73 hpf refers to the blastula stage of turbot!</t>
  </si>
  <si>
    <t>2,2,4,4-tetrabromodiphenyl ether (BDE-47)</t>
  </si>
  <si>
    <t>5436-43-1</t>
  </si>
  <si>
    <t>BrC1=CC(Br)=CC=C1OC2=CC=C(C=C2Br)Br</t>
  </si>
  <si>
    <t>XYBSIYMGXVUVGY-UHFFFAOYAS</t>
  </si>
  <si>
    <t>[2, 3, 28]</t>
  </si>
  <si>
    <t>Δ9-Tetrahydrocannabinol</t>
  </si>
  <si>
    <t>1972-08-3</t>
  </si>
  <si>
    <t>CCCCCc3cc(O)c2C1C=C(C)CCC1C(C)(C)Oc2c3</t>
  </si>
  <si>
    <t>CYQFCXCEBYINGO-IAGOWNOFSA-N</t>
  </si>
  <si>
    <t>Psychostimulant</t>
  </si>
  <si>
    <t>CB1 and CB2 cannabinoid receptor agonist</t>
  </si>
  <si>
    <t>van Hell HH, Bossong MG, Jager G, Kristo G, van Osch MJ, Zelaya F, et al. Evidence for involvement of the insula in the psychotropic effects of THC in humans: a double-blind,randomized pharmacological MRI study. Int J Neuro-psychopharmacol 2011;14:1–12.</t>
  </si>
  <si>
    <t>[2, 24, 30, 31]</t>
  </si>
  <si>
    <t>32-36</t>
  </si>
  <si>
    <t>96-well microtitre plates</t>
  </si>
  <si>
    <t>10% Hank’s b</t>
  </si>
  <si>
    <t>DMSO 0.01%</t>
  </si>
  <si>
    <t>Akhtar, M. T., et al., 2013</t>
  </si>
  <si>
    <t>131543-23-2</t>
  </si>
  <si>
    <t>O=C(C1=CC=CC2=C1C=CC=C2)C3=C(C)N(C4=C3C=CC=C4OC5)[C@@H]5CN6CCOCC6.CS(=O)(O)=O</t>
  </si>
  <si>
    <t>HQVHOQAKMCMIIM-HXUWFJFHSA-N</t>
  </si>
  <si>
    <t>CB1 cannabinoid receptor agonist</t>
  </si>
  <si>
    <t>Gamaleddin I, Wertheim C, Zhu AZ, Coen KM, Vemuri K, Makryannis A, et al. Cannabinoid receptor stimulation increases motivation for nicotine and nicotine seeking. Addict Biol 2012;17:47–61.</t>
  </si>
  <si>
    <t>CP55,940</t>
  </si>
  <si>
    <t>83002-04-4</t>
  </si>
  <si>
    <t>Oc1cc(C(C)(C)CCCCCC)ccc1C2CC(O)CCC2CCCO</t>
  </si>
  <si>
    <t>YNZFFALZMRAPHQ-SYYKKAFVSA-N</t>
  </si>
  <si>
    <t>Sain NM, Liang A, Kane SA, Urban MO. Antinociceptive effects of the non-selective cannabinoid receptor agonist CP 55,940 are absent in CB1( -/- ) and not CB2( -/-) mice in models of acute and persistent pain. Neuropharmacology 2009;57:235–241.</t>
  </si>
  <si>
    <t>zearalenone</t>
  </si>
  <si>
    <t>17924-92-4</t>
  </si>
  <si>
    <t>O=C(OC(CCCC(=O)CCCC=Cc1cc(O)cc2O)C)c12</t>
  </si>
  <si>
    <t>MBMQEIFVQACCCH-QBODLPLBSA-N</t>
  </si>
  <si>
    <t>mycotoxin  / sec. Metabollite of Fusarium spec.</t>
  </si>
  <si>
    <t>24-well plates</t>
  </si>
  <si>
    <t>0.001% ethanol</t>
  </si>
  <si>
    <t>Yes but method not metionend (ZEA concnetrations ranged between 64 and 134% of the nominal concentration)</t>
  </si>
  <si>
    <t>Bakos, K., et al., 2013</t>
  </si>
  <si>
    <t>C1=CC=C2C(=C1)C=CC3=CC=CC=C32</t>
  </si>
  <si>
    <t>Industrial Chemical</t>
  </si>
  <si>
    <t>22-ml GC vials</t>
  </si>
  <si>
    <t>OECD 236</t>
  </si>
  <si>
    <t>flow-through</t>
  </si>
  <si>
    <t>passive dosing with O-ring (methanol)</t>
  </si>
  <si>
    <t>GC-FID-HS analysis</t>
  </si>
  <si>
    <t>&gt;0.0024</t>
  </si>
  <si>
    <t>Butler, J. D., et al., 2013</t>
  </si>
  <si>
    <t>1689-83-4</t>
  </si>
  <si>
    <t>Oc1c(I)cc(C(#N))cc1I</t>
  </si>
  <si>
    <t>NRXQIUSYPAHGNM-UHFFFAOYSA-N</t>
  </si>
  <si>
    <t>Herbicide/pesticide</t>
  </si>
  <si>
    <t>1/25</t>
  </si>
  <si>
    <t>90mm Petri dish</t>
  </si>
  <si>
    <t>E3</t>
  </si>
  <si>
    <t>&gt;0.001</t>
  </si>
  <si>
    <t>Campinho, M. A., et al., 2013</t>
  </si>
  <si>
    <t>Pharmaceutical</t>
  </si>
  <si>
    <t>Estrogen agonist</t>
  </si>
  <si>
    <t>Sohoni, P., Tyler, C.R., Hurd, K., Caunter, J., Hetheridge, M., Williams, T., Woods, C., Evans, M., Toy, R., Gargas, M., Sumpter, J.P., 2001. Reproductive effects of long-term exposure to bisphenol a in the fathead minnow (Pimephales promelas). Environ. Sci. Technol. 35, 2917-2925.</t>
  </si>
  <si>
    <t>DMSO 1%</t>
  </si>
  <si>
    <t>Chow, W. S., et al., 2013</t>
  </si>
  <si>
    <t>CLC1C=CC2C1C3(CL)C(=C(CL)C2(CL)C3(CL)CL)CL</t>
  </si>
  <si>
    <t xml:space="preserve">Tetrabromobisphenol A </t>
  </si>
  <si>
    <t>2,2′,4,4′-tetrabromodiphenyl ether</t>
  </si>
  <si>
    <t>XYBSIYMGXVUVGY-UHFFFAOYSA-N</t>
  </si>
  <si>
    <t>~135</t>
  </si>
  <si>
    <t>CLc3cc2Oc1cc(CL)c(CL)cc1Oc2cc3CL</t>
  </si>
  <si>
    <t>HGUFODBRKLSHSI-UHFFFAOYSA-N</t>
  </si>
  <si>
    <t>Industrial chemical/Pesticide</t>
  </si>
  <si>
    <t>~168</t>
  </si>
  <si>
    <t>Acetofenate</t>
  </si>
  <si>
    <t>21757-82-4</t>
  </si>
  <si>
    <t>CC(=O)OC(c1ccc(c(c1)Cl)Cl)C(Cl)(Cl)Cl</t>
  </si>
  <si>
    <t>FSGNOVKGEXRRHD-UHFFFAOYSA-N</t>
  </si>
  <si>
    <t>Industrial chemical</t>
  </si>
  <si>
    <t>71-43-2</t>
  </si>
  <si>
    <t>c(cccc1)c1</t>
  </si>
  <si>
    <t>UHOVQNZJYSORNB-UHFFFAOYSA-N</t>
  </si>
  <si>
    <t>N/A</t>
  </si>
  <si>
    <t>75-15-0</t>
  </si>
  <si>
    <t>C(=S)=S</t>
  </si>
  <si>
    <t>QGJOPFRUJISHPQ-UHFFFAOYSA-N</t>
  </si>
  <si>
    <t>Cartap</t>
  </si>
  <si>
    <t>15263-53-3</t>
  </si>
  <si>
    <t>N(C)(C)C(CSC(=O)N)CSC(=O)N</t>
  </si>
  <si>
    <t>IRUJZVNXZWPBMU-UHFFFAOYSA-N</t>
  </si>
  <si>
    <t>Aliphatic Amines +  Esters +  Nereistoxin Analogues</t>
  </si>
  <si>
    <t>Chlorpyrifos-oxon</t>
  </si>
  <si>
    <t>CCOP(=O)(OCC)Oc1c(cc(c(n1)Cl)Cl)Cl</t>
  </si>
  <si>
    <t>OTMOUPHCTWPNSL-UHFFFAOYSA-N</t>
  </si>
  <si>
    <t>Chromium (VI)</t>
  </si>
  <si>
    <t>18540-29-9</t>
  </si>
  <si>
    <t>[Cr+6]</t>
  </si>
  <si>
    <t>Diethyl dithiocarbamate disulfide</t>
  </si>
  <si>
    <t>C(=S)(N)SSC(=S)N</t>
  </si>
  <si>
    <t>CSNJTIWCTNEOSW-UHFFFAOYSA-N</t>
  </si>
  <si>
    <t>Dimethyl dithiocarbamate disulfide</t>
  </si>
  <si>
    <t>CN(C)C(=S)S([Na])</t>
  </si>
  <si>
    <t>591-27-5</t>
  </si>
  <si>
    <t>c1cc(cc(c1)O)N</t>
  </si>
  <si>
    <t>CWLKGDAVCFYWJK-UHFFFAOYSA-N</t>
  </si>
  <si>
    <t>Monomethyl dithiocarbamate disulfide</t>
  </si>
  <si>
    <t>484-11-7</t>
  </si>
  <si>
    <t>n(c(c(ccc1ccc(n2)C)cc3)c12)c3C</t>
  </si>
  <si>
    <t>IYRGXJIJGHOCFS-UHFFFAOYSA-N</t>
  </si>
  <si>
    <t>95-55-6</t>
  </si>
  <si>
    <t>Oc(c(N)ccc1)c1</t>
  </si>
  <si>
    <t>CDAWCLOXVUBKRW-UHFFFAOYSA-N</t>
  </si>
  <si>
    <t>Oc(cccc1N)c1</t>
  </si>
  <si>
    <t>PLIKAWJENQZMHA-UHFFFAOYSA-N</t>
  </si>
  <si>
    <t>Poly-dimethyldithiocarbamate, Iron</t>
  </si>
  <si>
    <t>14484-64-1</t>
  </si>
  <si>
    <t>[Fe](SC(=S)N(C)C)(SC(=S)N(C)C)SC(=S)N(C)C</t>
  </si>
  <si>
    <t>Pyrrolidne dithiocarbamate</t>
  </si>
  <si>
    <t>c1ccc(cc1)C(=O)[O-].[Na+]</t>
  </si>
  <si>
    <t>WXMKPNITSTVMEF-UHFFFAOYSA-M</t>
  </si>
  <si>
    <t>Sodium metam</t>
  </si>
  <si>
    <t>AFCCDDWKHLHPDF-UHFFFAOYSA-M</t>
  </si>
  <si>
    <t>Sodium monomethyl dithiocarbamate</t>
  </si>
  <si>
    <t>Stannous chloride (dihydrate)</t>
  </si>
  <si>
    <t>10025-69-1</t>
  </si>
  <si>
    <t>Cl[Sn]Cl</t>
  </si>
  <si>
    <t>AXZWODMDQAVCJE-UHFFFAOYSA-L</t>
  </si>
  <si>
    <t>Biocide</t>
  </si>
  <si>
    <t>Triphenyltin acetate</t>
  </si>
  <si>
    <t>900-95-8</t>
  </si>
  <si>
    <t>CC(=O)O[Sn](c1ccccc1)(c2ccccc2)c3ccccc3</t>
  </si>
  <si>
    <t>Arsenite</t>
  </si>
  <si>
    <t>7784-46-5</t>
  </si>
  <si>
    <t>O([Na])[As]=O</t>
  </si>
  <si>
    <t>OWTFKEBRIAXSMO-UHFFFAOYSA-N</t>
  </si>
  <si>
    <t>~144</t>
  </si>
  <si>
    <t>Nicotine is a stimulant drug that acts as an agonist at nicotinic acetylcholine receptors. These are ionotropic receptors composed up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t>
  </si>
  <si>
    <t>Perfluorooctanesulfonate</t>
  </si>
  <si>
    <t>C(C(C(C(C(F)(F)S(=O)(=O)[O-])(F)F)(F)F)(F)F)(C(C(C(F)(F)F)(F)F)(F)F)(F)F</t>
  </si>
  <si>
    <t>YFSUTJLHUFNCNZ-UHFFFAOYSA-M</t>
  </si>
  <si>
    <t>Tributyltin</t>
  </si>
  <si>
    <t>56573-85-4</t>
  </si>
  <si>
    <t>GCTFWCDSFPMHHS-UHFFFAOYSA-M</t>
  </si>
  <si>
    <t>2440-22-4</t>
  </si>
  <si>
    <t>Oc1ccc(C)cc1n2nc3ccccc3n2</t>
  </si>
  <si>
    <t>MCPKSFINULVDNX-UHFFFAOYSA-N</t>
  </si>
  <si>
    <t>80/100</t>
  </si>
  <si>
    <t>glass jars</t>
  </si>
  <si>
    <t>reconstituted water</t>
  </si>
  <si>
    <t>semi-static</t>
  </si>
  <si>
    <t>GC-MS/MS</t>
  </si>
  <si>
    <t>&gt;0.00444</t>
  </si>
  <si>
    <t>Fent, K., et al., 2014</t>
  </si>
  <si>
    <t>UV-326</t>
  </si>
  <si>
    <t>729335</t>
  </si>
  <si>
    <t>Cc1cc(c(c(c1)n2nc3ccc(cc3n2)Cl)O)C(C)(C)C</t>
  </si>
  <si>
    <t>OCWYEMOEOGEQAN-UHFFFAOYSA-N</t>
  </si>
  <si>
    <t>&gt;0.00158</t>
  </si>
  <si>
    <t>QRUDEWIWKLJBPS-UHFFFAOYSA-N</t>
  </si>
  <si>
    <t>&gt;0.00839</t>
  </si>
  <si>
    <t>143-67-9</t>
  </si>
  <si>
    <t>CCC9(O)CC3CN(CCc1c(nc2ccccc12)C(C3)(C(=O)OC)c4cc5c(cc4OC)N(C)C6C(O)(C(OC(=O)(C))C7(CC)C=CCN8CCC56C78)C(=O)OC)C9</t>
  </si>
  <si>
    <t>JXLYSJRDGCGARV-CFWMRBGOSA-N</t>
  </si>
  <si>
    <t>20/10/2015</t>
  </si>
  <si>
    <t>glass petri dish</t>
  </si>
  <si>
    <t>0.2% DMSO</t>
  </si>
  <si>
    <t>Fischer, S., et al., 2013</t>
  </si>
  <si>
    <t>04/02/2015</t>
  </si>
  <si>
    <t>closed glass vials</t>
  </si>
  <si>
    <t>Taxol</t>
  </si>
  <si>
    <t>33069-62-4</t>
  </si>
  <si>
    <t>CC1=C2[C@H](C(=O)[C@@]3([C@H](C[C@@H]4[C@]([C@H]3[C@@H]([C@@](C2(C)C)(C[C@@H]1OC(=O)[C@@H]([C@H](c5ccccc5)NC(=O)c6ccccc6)O)O)OC(=O)c7ccccc7)(CO4)OC(=O)C)O)C)OC(=O)C</t>
  </si>
  <si>
    <t>RCINICONZNJXQF-MZXODVADSA-N</t>
  </si>
  <si>
    <t>Esters +  Vinyl/Allyl Ketones +  Amides  +  Oxetanes  +  Ketone alcohols +  Vinyl/Allyl Esters</t>
  </si>
  <si>
    <t>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t>
  </si>
  <si>
    <t>dark</t>
  </si>
  <si>
    <t>20/well</t>
  </si>
  <si>
    <t>0.1% DMSO</t>
  </si>
  <si>
    <t>Gao, X. P., et al., 2014</t>
  </si>
  <si>
    <t>2752-65-0</t>
  </si>
  <si>
    <t>CC(=CCC[C@@]1(C=CC2=C(C3=C(C(=C2O1)CC=C(C)C)O[C@@]45[C@H]6C[C@@H](C=C4C3=O)C(=O)[C@@]5(OC6(C)C)C/C=C(/C)\C(=O)O)O)C)C</t>
  </si>
  <si>
    <t>GEZHEQNLKAOMCA-RRZNCOCZSA-N</t>
  </si>
  <si>
    <t>Phenols +  Vinyl/Allyl Ketones +  Vinyl/Allyl Ethers</t>
  </si>
  <si>
    <t>Triptolide</t>
  </si>
  <si>
    <t>38748-32-2</t>
  </si>
  <si>
    <t>CC(C)[C@@]12[C@@H](O1)[C@H]3[C@@]4(O3)[C@]5(CCC6=C([C@@H]5C[C@H]7[C@]4([C@@H]2O)O7)COC6=O)C</t>
  </si>
  <si>
    <t>DFBIRQPKNDILPW-CIVMWXNOSA-N</t>
  </si>
  <si>
    <t>Epoxides, Poly +  Esters +  Vinyl/Allyl Esters</t>
  </si>
  <si>
    <t>Auranofin</t>
  </si>
  <si>
    <t>34031-32-8</t>
  </si>
  <si>
    <t>CCP(=[Au]S[C@H]1[C@@H]([C@H]([C@@H]([C@H](O1)COC(=O)C)OC(=O)C)OC(=O)C)OC(=O)C)(CC)CC</t>
  </si>
  <si>
    <t>AUJRCFUBUPVWSZ-XTZHGVARSA-M</t>
  </si>
  <si>
    <t>Exactly how auranofin works is not well understood. It may act as an inhibitor of kappab kinase and thioredoxin reductase which would lead to a decreased immune response and decreased free radical production, respectively. In patients with inflammatory arthritis, such as adult and juvenile rheumatoid arthritis, gold salts can decrease the inflammation of the joint lining. This effect can prevent destruction of bone and cartilage.</t>
  </si>
  <si>
    <t>Mycophenolic acid</t>
  </si>
  <si>
    <t>24280-93-1</t>
  </si>
  <si>
    <t>Cc1c2c(c(c(c1OC)C/C=C(\C)/CCC(=O)O)O)C(=O)OC2</t>
  </si>
  <si>
    <t>HPNSFSBZBAHARI-RUDMXATFSA-N</t>
  </si>
  <si>
    <t>Mycophenolic acid is a potent, selective, uncompetitive, and reversible inhibitor of inosine monophosphate dehydrogenase (IMPDH), and therefore inhibits the de novo pathway of guanosine nucleotide synthesis without incorporation into DNA. Because T- and B-lymphocytes are critically dependent for their proliferation on de novo synthesis of purines, whereas other cell types can utilize salvage pathways, mycophenolic acid has potent cytostatic effects on lymphocytes. Mycophenolic acid inhibits proliferative responses of T- and B-lymphocytes to both mitogenic and allospecific stimulation. Addition of guanosine or deoxyguanosine reverses the cytostatic effects of mycophenolic acid on lymphocytes. Mycophenolic acid also suppresses antibody formation by B-lymphocytes. Mycophenolic acid prevents the glycosylation of lymphocyte and monocyte glycoproteins that are involved in intercellular adhesion to endothelial cells and may inhibit recruitment of leukocytes into sites of inflammation and graft rejection.</t>
  </si>
  <si>
    <t>458-37-7</t>
  </si>
  <si>
    <t>O=C(C=Cc(ccc(O)c1OC)c1)CC(=O)C=Cc(ccc(O)c2OC)c2</t>
  </si>
  <si>
    <t>VFLDPWHFBUODDF-FCXRPNKRSA-N</t>
  </si>
  <si>
    <t xml:space="preserve">Diketones +  Vinyl/Allyl Ketones +  Phenols, Poly </t>
  </si>
  <si>
    <t>c1ccc2c(c1)C(=O)N(C2=O)C3CCC(=O)NC3=O</t>
  </si>
  <si>
    <t>UEJJHQNACJXSKW-UHFFFAOYSA-N</t>
  </si>
  <si>
    <t>BDE-47</t>
  </si>
  <si>
    <t>c1cc(c(cc1Br)Br)Oc2ccc(cc2Br)Br</t>
  </si>
  <si>
    <t>1/600</t>
  </si>
  <si>
    <t>embryo-rearing medium</t>
  </si>
  <si>
    <t>7.0-7.4</t>
  </si>
  <si>
    <t>1% DMSO</t>
  </si>
  <si>
    <t>&gt;0.0206</t>
  </si>
  <si>
    <t>Gonzalez-Doncel, M., et al., 2014</t>
  </si>
  <si>
    <t>Cu(NO3)2</t>
  </si>
  <si>
    <t>3251-23-8</t>
  </si>
  <si>
    <t>[N+](=O)([O-])[O-].[N+](=O)([O-])[O-].[Cu+2]</t>
  </si>
  <si>
    <t>XTVVROIMIGLXTD-UHFFFAOYSA-N</t>
  </si>
  <si>
    <t>1/250</t>
  </si>
  <si>
    <t>96-well plates</t>
  </si>
  <si>
    <t>GC-MS</t>
  </si>
  <si>
    <t>Hua, J., et al., 2014</t>
  </si>
  <si>
    <t>3,4-dicholoraniline</t>
  </si>
  <si>
    <t>16:8</t>
  </si>
  <si>
    <t>1/2 ml</t>
  </si>
  <si>
    <t>reverse HPLC-MS/MS</t>
  </si>
  <si>
    <t>Jeffries, M. K., et al., 2014</t>
  </si>
  <si>
    <t>ammonia</t>
  </si>
  <si>
    <t>7664-41-7</t>
  </si>
  <si>
    <t>N(H)(H)H</t>
  </si>
  <si>
    <t>QGZKDVFQNNGYKY-UHFFFAOYSA-N</t>
  </si>
  <si>
    <t>all-trans retinoic acid</t>
  </si>
  <si>
    <t>SHGAZHPCJJPHSC-CWOWKJJZSA-N</t>
  </si>
  <si>
    <t>semi-static (48h)</t>
  </si>
  <si>
    <t>yes</t>
  </si>
  <si>
    <t>Jonas, A., et al., 2014</t>
  </si>
  <si>
    <t>10-20</t>
  </si>
  <si>
    <t>24-well plates / glass petri dishes</t>
  </si>
  <si>
    <t>ISO</t>
  </si>
  <si>
    <t>Kluver, N., et al., 2014</t>
  </si>
  <si>
    <t>CN(C)CCOC(c1ccccc1)c2ccccc2.Cl</t>
  </si>
  <si>
    <t>PCHPORCSPXIHLZ-UHFFFAOYSA-N</t>
  </si>
  <si>
    <t>01/01/2015</t>
  </si>
  <si>
    <t>30ml chamber</t>
  </si>
  <si>
    <t>LC-MS/MS coupled with ESI</t>
  </si>
  <si>
    <t>Kristofco, L. A., et al., 2015</t>
  </si>
  <si>
    <t>0.01% methanol</t>
  </si>
  <si>
    <t>1/1 ml</t>
  </si>
  <si>
    <t>20/6 ml</t>
  </si>
  <si>
    <t>Petri dish (diameter 55mm)</t>
  </si>
  <si>
    <t>Fish water (Instant Ocean)</t>
  </si>
  <si>
    <t>&gt;0.02</t>
  </si>
  <si>
    <t>Li, S. P., et al., 2013</t>
  </si>
  <si>
    <t>Li, Y., et al., 2015</t>
  </si>
  <si>
    <t>matrine</t>
  </si>
  <si>
    <t>519-02-8</t>
  </si>
  <si>
    <t>O=C(CCC1)N(CC(CCC2)C3N2C4)C1C3CC4</t>
  </si>
  <si>
    <t>ZSBXGIUJOOQZMP-JLNYLFASSA-N</t>
  </si>
  <si>
    <t>Lu, Z. G., et al., 2014</t>
  </si>
  <si>
    <t>145572-44-7</t>
  </si>
  <si>
    <t>C1C[C@H]2CN3[C@H](CC=CC3=O)[C@@H]4[C@H]2N(C1)CCC4</t>
  </si>
  <si>
    <t>AAGFPTSOPGCENQ-JLNYLFASSA-N</t>
  </si>
  <si>
    <t>PRLVTUNWOQKEAI-VKAVYKQESA-N</t>
  </si>
  <si>
    <t>Clarias gariepinus</t>
  </si>
  <si>
    <t>aquaria</t>
  </si>
  <si>
    <t>Marimuthu, K., et al., 2013</t>
  </si>
  <si>
    <t>Silver nitrate</t>
  </si>
  <si>
    <t>7761-88-8</t>
  </si>
  <si>
    <t>O=N(=O)O[Ag]ON(=O)=O</t>
  </si>
  <si>
    <t>SQGYOTSLMSWVJD-UHFFFAOYSA-N</t>
  </si>
  <si>
    <t>1/0.2 ml</t>
  </si>
  <si>
    <t>ISO water</t>
  </si>
  <si>
    <t>ICP-OES</t>
  </si>
  <si>
    <t>Muth-Kohne, E., et al., 2013</t>
  </si>
  <si>
    <t>E3 medium</t>
  </si>
  <si>
    <t>Carassius auratus</t>
  </si>
  <si>
    <t>217-446</t>
  </si>
  <si>
    <t>LS-6500 liquid scitillation counter</t>
  </si>
  <si>
    <t>Park, Y. J., et al., 2014</t>
  </si>
  <si>
    <t>Strontium chloride</t>
  </si>
  <si>
    <t>10476-85-4</t>
  </si>
  <si>
    <t>[Sr](Cl)Cl</t>
  </si>
  <si>
    <t>AHBGXTDRMVNFER-UHFFFAOYSA-L</t>
  </si>
  <si>
    <t>Pasqualetti, S., et al., 2013</t>
  </si>
  <si>
    <t>10/2 ml</t>
  </si>
  <si>
    <t>12-well plates</t>
  </si>
  <si>
    <t>semi-static (daily)</t>
  </si>
  <si>
    <t>0.5% DMSO or 0.05% methanol</t>
  </si>
  <si>
    <t>Pinho, B. R., et al., 2013</t>
  </si>
  <si>
    <t>504-88-1</t>
  </si>
  <si>
    <t>OC(=O)CCN(=O)=O</t>
  </si>
  <si>
    <t>WBLZUCOIBUDNBV-UHFFFAOYSA-N</t>
  </si>
  <si>
    <t>Myxothiazol</t>
  </si>
  <si>
    <t>76706-55-3</t>
  </si>
  <si>
    <t>C[C@@H](/C=C/C=C/C(C)C)C1=NC(=CS1)C2=NC(=CS2)/C=C/[C@@H]([C@@H](C)/C(=C\C(=O)N)/OC)OC</t>
  </si>
  <si>
    <t>XKTFQMCPGMTBMD-FYHMSGCOSA-N</t>
  </si>
  <si>
    <t>642-15-9</t>
  </si>
  <si>
    <t>CCCCCC[C@@H]1[C@H]([C@@H](OC(=O)[C@H]([C@H](OC1=O)C)NC(=O)c2cccc(c2O)NC=O)C)OC(=O)CC(C)C</t>
  </si>
  <si>
    <t>UIFFUZWRFRDZJC-SBOOETFBSA-N</t>
  </si>
  <si>
    <t xml:space="preserve">Esters +  Phenols +  Amides  +  Phenol Amines </t>
  </si>
  <si>
    <t>1404-19-9</t>
  </si>
  <si>
    <t>CCC/1CCC2C(C(C(C3(O2)CCC(C(O3)CC(C)O)C)C)OC(=O)/C=C/C(C(C(C(=O)C(C(C(C(=O)C(C(C(C/C=C/C=C1)C)O)(C)O)C)O)C)C)O)C)C</t>
  </si>
  <si>
    <t>MNULEGDCPYONBU-ZUSSGZTJSA-N</t>
  </si>
  <si>
    <t>Esters +  Ketone alcohols</t>
  </si>
  <si>
    <t>Atovaquone</t>
  </si>
  <si>
    <t>95233-18-4</t>
  </si>
  <si>
    <t>C1[C@@H](CC[C@H](C1)C2=C(C(=O)C3=CC=CC=C3C2=O)O)C4=CC=C(C=C4)Cl</t>
  </si>
  <si>
    <t>KUCQYCKVKVOKAY-CTYIDZIISA-N</t>
  </si>
  <si>
    <t>Quinones +  Vinyl/Allyl Alcohols</t>
  </si>
  <si>
    <t>Atovaquone is a hydroxy- 1, 4- naphthoquinone, an analog of ubiquinone, with antipneumocystis activity. 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t>
  </si>
  <si>
    <t>b-Lapachone</t>
  </si>
  <si>
    <t xml:space="preserve"> 4707-32-8 </t>
  </si>
  <si>
    <t>CC1(CCC2=C(O1)c3ccccc3C(=O)C2=O)C</t>
  </si>
  <si>
    <t>QZPQTZZNNJUOLS-UHFFFAOYSA-N</t>
  </si>
  <si>
    <t>Decylubiquinone</t>
  </si>
  <si>
    <t>55486-00-5</t>
  </si>
  <si>
    <t>CCCCCCCCCCC1=C(C(=O)C(=C(C1=O)OC)OC)C</t>
  </si>
  <si>
    <t>VMEGFMNVSYVVOM-UHFFFAOYSA-N</t>
  </si>
  <si>
    <t>Vinyl/Allyl Ethers +  Quinones</t>
  </si>
  <si>
    <t>Diospyrin</t>
  </si>
  <si>
    <t xml:space="preserve"> 28164-57-0</t>
  </si>
  <si>
    <t>Cc1cc2c(c(c1)O)C(=O)C=C(C2=O)c3c(cc4c(c3O)C(=O)C=CC4=O)C</t>
  </si>
  <si>
    <t>WRFTYMHHWSAKSK-UHFFFAOYSA-N</t>
  </si>
  <si>
    <t xml:space="preserve">Quinones +  Phenols, Poly </t>
  </si>
  <si>
    <t>Diosquinone</t>
  </si>
  <si>
    <t>50886-69-6</t>
  </si>
  <si>
    <t>Cc1cc2c(c(c1)O)C(=O)C=C(C2=O)c3c(cc4c(c3O)C(=O)C5C(C4=O)O5)C</t>
  </si>
  <si>
    <t>AVBFKEHAFCGOKT-UHFFFAOYSA-N</t>
  </si>
  <si>
    <t xml:space="preserve">Epoxides, mono +  Quinones +  Phenols, Poly </t>
  </si>
  <si>
    <t>Idebenone</t>
  </si>
  <si>
    <t>58186-27-9</t>
  </si>
  <si>
    <t>CC1=C(C(=O)C(=C(C1=O)OC)OC)CCCCCCCCCCO</t>
  </si>
  <si>
    <t>JGPMMRGNQUBGND-UHFFFAOYSA-N</t>
  </si>
  <si>
    <t>84-79-7</t>
  </si>
  <si>
    <t>c1ccc2C(=O)C(CC=C(C)C)=C(O)C(=O)c2c1</t>
  </si>
  <si>
    <t>CIEYTVIYYGTCCI-UHFFFAOYSA-N</t>
  </si>
  <si>
    <t>MJVAVZPDRWSRRC-UHFFFAOYSA-N</t>
  </si>
  <si>
    <t xml:space="preserve">475-38-7 </t>
  </si>
  <si>
    <t>c1cc(c2c(c1O)C(=O)C=CC2=O)O</t>
  </si>
  <si>
    <t>RQNVIKXOOKXAJQ-UHFFFAOYSA-N</t>
  </si>
  <si>
    <t xml:space="preserve">Quinones +  Phenols, Poly  +  Hydroquinones </t>
  </si>
  <si>
    <t>481-42-5</t>
  </si>
  <si>
    <t>O=C1c2c(cccc2O)C(=O)C(=C1)C</t>
  </si>
  <si>
    <t>c1cc(ccc1C(=O)[O-])[N+](=O)[O-]</t>
  </si>
  <si>
    <t>OTLNPYWUJOZPPA-UHFFFAOYSA-M</t>
  </si>
  <si>
    <t>66-76-2</t>
  </si>
  <si>
    <t>c1ccc2c(c1)c(c(c(=O)o2)Cc3c(c4ccccc4oc3=O)O)O</t>
  </si>
  <si>
    <t>DOBMPNYZJYQDGZ-UHFFFAOYSA-N</t>
  </si>
  <si>
    <t>Dicumarol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decresed prothrombin levels and a decrease in the amount of thrombin generated and bound to fibrin. This reduces the thrombogenicity of clots.</t>
  </si>
  <si>
    <t>O([Na])C(=O)C(CCC)CCC</t>
  </si>
  <si>
    <t>AEQFSUDEHCCHBT-UHFFFAOYSA-M</t>
  </si>
  <si>
    <t>spirooxindole 1’-nitro pyrrolizidine_12a</t>
  </si>
  <si>
    <t>natural light dark</t>
  </si>
  <si>
    <t>Puerto Galvis, C. E., et al., 2013</t>
  </si>
  <si>
    <t>spirooxindole 1’-nitro pyrrolizidine_12b</t>
  </si>
  <si>
    <t>spirooxindole 1’-nitro pyrrolizidine_12c</t>
  </si>
  <si>
    <t>spirooxindole 1’-nitro pyrrolizidine_12d</t>
  </si>
  <si>
    <t>spirooxindole 1’-nitro pyrrolizidine_12e</t>
  </si>
  <si>
    <t>spirooxindole 1’-nitro pyrrolizidine_12f</t>
  </si>
  <si>
    <t>spirooxindole 1’-nitro pyrrolizidine_12g</t>
  </si>
  <si>
    <t>spirooxindole 1’-nitro pyrrolizidine_12h</t>
  </si>
  <si>
    <t>spirooxindole 1’-nitro pyrrolizidine_12i</t>
  </si>
  <si>
    <t>spirooxindole 1’-nitro pyrrolizidine_12j</t>
  </si>
  <si>
    <t>spirooxindole 1’-nitro pyrrolizidine_12k</t>
  </si>
  <si>
    <t>spirooxindole 1’-nitro pyrrolizidine_12l</t>
  </si>
  <si>
    <t>spirooxindole 1’-nitro pyrrolizidine_12m</t>
  </si>
  <si>
    <t>spirooxindole 1’-nitro pyrrolizidine_12n</t>
  </si>
  <si>
    <t>spirooxindole 1’-nitro pyrrolizidine_12o</t>
  </si>
  <si>
    <t>spirooxindole 1’-nitro pyrrolizidine_12p</t>
  </si>
  <si>
    <t>spirooxindole 1’-nitro pyrrolizidine_12q</t>
  </si>
  <si>
    <t>spirooxindole 1’-nitro pyrrolizidine_12r</t>
  </si>
  <si>
    <t>spirooxindole 1’-nitro pyrrolizidine_12s</t>
  </si>
  <si>
    <t>spirooxindole 1’-nitro pyrrolizidine_12t</t>
  </si>
  <si>
    <t>1/0.05 ml</t>
  </si>
  <si>
    <t>384-well microplates containing 0.17-mm glass-bottom wells</t>
  </si>
  <si>
    <t>&gt;0.05</t>
  </si>
  <si>
    <t>Abamectin (B1a+B1b)</t>
  </si>
  <si>
    <t>873.09 / 859.06</t>
  </si>
  <si>
    <t>Milbemectin</t>
  </si>
  <si>
    <t>YSKQMQHQUJEAQB-YPPYQCCRSA-N</t>
  </si>
  <si>
    <t>311-45-5</t>
  </si>
  <si>
    <t>CCOP(=O)(OCC)Oc1ccc(cc1)N(=O)(=O)</t>
  </si>
  <si>
    <t>WYMSBXTXOHUIGT-UHFFFAOYSA-N</t>
  </si>
  <si>
    <t>PWNAWOCHVWERAR-UHFFFAOYSA-N</t>
  </si>
  <si>
    <t>O=C(OC(C)(C)C)c1ccc(CON=Cc2c(Oc3ccccc3)n(C)nc2C)cc1</t>
  </si>
  <si>
    <t>YYJNOYZRYGDPNH-MFKUBSTISA-N</t>
  </si>
  <si>
    <t>GCKZANITAMOIAR-XWVCPFKXSA-N</t>
  </si>
  <si>
    <t>152-11-4</t>
  </si>
  <si>
    <t>DOQPXTMNIUCOSY-UHFFFAOYSA-N</t>
  </si>
  <si>
    <t>Cyprinus carpio L.</t>
  </si>
  <si>
    <t>E5</t>
  </si>
  <si>
    <t>E9</t>
  </si>
  <si>
    <t>1/3 ml</t>
  </si>
  <si>
    <t>crystallization basins</t>
  </si>
  <si>
    <t>SPE LC-MS/MS</t>
  </si>
  <si>
    <t>OECD 212 with modifications</t>
  </si>
  <si>
    <t>Steinbach, C., et al., 2013</t>
  </si>
  <si>
    <t>propranolol hydrochloride</t>
  </si>
  <si>
    <t>CC(C)NC[C@@H](COc1cccc2c1cccc2)O.Cl</t>
  </si>
  <si>
    <t>ZMRUPTIKESYGQW-UQKRIMTDSA-N</t>
  </si>
  <si>
    <t>1/2  ml</t>
  </si>
  <si>
    <t>dechlorinated tap water</t>
  </si>
  <si>
    <t>Sun, L., et al., 2014</t>
  </si>
  <si>
    <t>CC(C)NCC(COc1ccc(cc1)CCOC)O</t>
  </si>
  <si>
    <t>IUBSYMUCCVWXPE-UHFFFAOYSA-N</t>
  </si>
  <si>
    <t>Metoprolol competes with adrenergic neurotransmitters such as catecholamines for binding at beta(1)-adrenergic receptors in the heart. Beta(1)-receptor blockade results in a decrease in heart rate, cardiac output, and blood pressure.</t>
  </si>
  <si>
    <t>76-05-1</t>
  </si>
  <si>
    <t>DTQVDTLACAAQTR-UHFFFAOYSA-N</t>
  </si>
  <si>
    <t>1/0.75 ml</t>
  </si>
  <si>
    <t>48-well plates</t>
  </si>
  <si>
    <t>&gt;26.3</t>
  </si>
  <si>
    <t>Ulhaq, M., et al., 2013</t>
  </si>
  <si>
    <t>375-22-4</t>
  </si>
  <si>
    <t>C(=O)(C(C(C(F)(F)F)(F)F)(F)F)O</t>
  </si>
  <si>
    <t>YPJUNDFVDDCYIH-UHFFFAOYSA-N</t>
  </si>
  <si>
    <t>&gt;14.02</t>
  </si>
  <si>
    <t>C(=O)(C(C(C(C(C(C(C(F)(F)F)(F)F)(F)F)(F)F)(F)F)(F)F)(F)F)O</t>
  </si>
  <si>
    <t>SNGREZUHAYWORS-UHFFFAOYSA-N</t>
  </si>
  <si>
    <t>UZUFPBIDKMEQEQ-UHFFFAOYSA-N</t>
  </si>
  <si>
    <t>&gt;0.022</t>
  </si>
  <si>
    <t>Perflurodecanoic acid (PFDA)</t>
  </si>
  <si>
    <t>PCIUEQPBYFRTEM-UHFFFAOYSA-N</t>
  </si>
  <si>
    <t>375-73-5</t>
  </si>
  <si>
    <t>O=S(=O)(O)C(F)(F)C(F)(F)C(F)(F)C(F)(F)F</t>
  </si>
  <si>
    <t>JGTNAGYHADQMCM-UHFFFAOYSA-N</t>
  </si>
  <si>
    <t>YFSUTJLHUFNCNZ-UHFFFAOYSA-N</t>
  </si>
  <si>
    <t>2,4,7,9-tetramethyl-5-decyne-4,7-diol</t>
  </si>
  <si>
    <t>LXOFYPKXCSULTL-UHFFFAOYSA-N</t>
  </si>
  <si>
    <t>Vincze, K., et al., 2014</t>
  </si>
  <si>
    <t>RMOGWMIKYWRTKW-UONOGXRCSA-N</t>
  </si>
  <si>
    <t>sea salt egg water</t>
  </si>
  <si>
    <t>Wang, W. D., et al., 2015</t>
  </si>
  <si>
    <t>retinoic acid</t>
  </si>
  <si>
    <t>Wang, Y., et al., 2014</t>
  </si>
  <si>
    <t>amitriptyline hydrochloride</t>
  </si>
  <si>
    <t>549-18-8</t>
  </si>
  <si>
    <t>6-well plates</t>
  </si>
  <si>
    <t>0.1x E3</t>
  </si>
  <si>
    <t>LC-MS/MS</t>
  </si>
  <si>
    <t>Yang, M., et al., 2014</t>
  </si>
  <si>
    <t>Permethrin acts on the nerve cell membrane to disrupt the sodium channel current by which the polarization of the membrane is regulated. Delayed repolarization and paralysis of the pests are the consequences of this disturbance.</t>
  </si>
  <si>
    <t>5/2 ml</t>
  </si>
  <si>
    <t>Hank's solution</t>
  </si>
  <si>
    <t>0.1% ethanol</t>
  </si>
  <si>
    <t>GC with electron capture detector</t>
  </si>
  <si>
    <t>Yang, Y., et al., 2014</t>
  </si>
  <si>
    <t>cypermethrin</t>
  </si>
  <si>
    <t>T2-Toxin</t>
  </si>
  <si>
    <t>21259-20-1</t>
  </si>
  <si>
    <t>CC(C)CC(=O)OC4CC1(COC(=O)(C))C(OC2C(O)C(OC(=O)(C))C1(C)C23CO3)C=C4C</t>
  </si>
  <si>
    <t>BXFOFFBJRFZBQZ-QYWOHJEZSA-N</t>
  </si>
  <si>
    <t>Epoxides, mono +  Esters +  Vinyl/Allyl Ethers +  Vinyl/Allyl Esters</t>
  </si>
  <si>
    <t>6.8-8.0</t>
  </si>
  <si>
    <t>Yuan, G., et al., 2014</t>
  </si>
  <si>
    <t>triazophos</t>
  </si>
  <si>
    <t>24017-47-8</t>
  </si>
  <si>
    <t>CCOP(=S)(OCC)Oc1ncn(n1)c2ccccc2</t>
  </si>
  <si>
    <t>AMFGTOFWMRQMEM-UHFFFAOYSA-N</t>
  </si>
  <si>
    <t>Gobiocypris rarus</t>
  </si>
  <si>
    <t>standard dilution water</t>
  </si>
  <si>
    <t>DMSO (max 3% in 15 mg)</t>
  </si>
  <si>
    <t>Zhu, B., et al., 2014</t>
  </si>
  <si>
    <t>pyraclofos</t>
  </si>
  <si>
    <t>77458-01-6</t>
  </si>
  <si>
    <t>c1cc(Cl)ccc1n2ncc(OP(=O)(OCC)SCCC)c2</t>
  </si>
  <si>
    <t>QHGVXILFMXYDRS-UHFFFAOYSA-N</t>
  </si>
  <si>
    <t xml:space="preserve">Esters +  Esters (phosphate) +  Pyrazoles/Pyrroles </t>
  </si>
  <si>
    <t>4/2 ml</t>
  </si>
  <si>
    <t>Hank’s solution</t>
  </si>
  <si>
    <t>Zhuang, S., et al., 2015</t>
  </si>
  <si>
    <t>(R)-Pyraclofos</t>
  </si>
  <si>
    <t>(S)-Pyraclofos</t>
  </si>
  <si>
    <t>Ratio baseline toxicity vs highest tested concentration</t>
  </si>
  <si>
    <t>Excess toxicity</t>
  </si>
  <si>
    <t/>
  </si>
  <si>
    <t>ECOSAR
Baseline/LC50</t>
  </si>
  <si>
    <t>Mitochondiral electron transport inhibitor</t>
  </si>
  <si>
    <t xml:space="preserve">Kim, Y.J., Lee, S.H., Lee, S.W., Ahn, Y.J., 2004. Fenpyroximate resistance in Tetranychus urticae (Acari: Tetranychidae): cross‐resistance and biochemical resistance mechanisms. Pest Manage. Sci. 60, 1001-1006.
</t>
  </si>
  <si>
    <t>Peisticide</t>
  </si>
  <si>
    <t>Metabolite of methoxychor, sodium channel inhibitor</t>
  </si>
  <si>
    <t>2,4-DB (Butyrac)</t>
  </si>
  <si>
    <t>Repellent?</t>
  </si>
  <si>
    <t>Fungicide</t>
  </si>
  <si>
    <t>Fungicide/biocide</t>
  </si>
  <si>
    <t>Change in fatty acid composition and membrane permeability</t>
  </si>
  <si>
    <t>Iodocarb (IPBC)</t>
  </si>
  <si>
    <t>HPLC-MS-MS</t>
  </si>
  <si>
    <t>Crystallization dish</t>
  </si>
  <si>
    <t>Dark</t>
  </si>
  <si>
    <t>No solvent</t>
  </si>
  <si>
    <t>OECD fish embryo draft guideline</t>
  </si>
  <si>
    <t>Coors et al. 2012</t>
  </si>
  <si>
    <t xml:space="preserve">Coors, A., Dobrick, J., Möder, M., Kehrer, A., 2012. Mixture toxicity of wood preservative products in the fish embryo toxicity test. Environ. Toxicol. Chem. 31, 1239-1248.
</t>
  </si>
  <si>
    <t>Coors, A., Dobrick, J., Möder, M., Kehrer, A., 2012. Mixture toxicity of wood preservative products in the fish embryo toxicity test. Environ. Toxicol. Chem. 31, 1239-1248.</t>
  </si>
  <si>
    <t>Herbicide (plant-specific MoA, Glibberelin synthessis)</t>
  </si>
  <si>
    <t>Lysyl oxidase inhibition (probably, due to similarity with dithiocarbamates)</t>
  </si>
  <si>
    <t xml:space="preserve">van Boxtel, A.L., Kamstra, J.H., Fluitsma, D.M., Legler, J., 2010. Dithiocarbamates are teratogenic to developing zebrafish through inhibition of lysyl oxidase activity. Toxicol. Appl. Pharmacol. 244, 156-161.
</t>
  </si>
  <si>
    <t>Gao, A.-H., Fu, Y.-Y., Zhang, K.-Z., Zhang, M., Jiang, H.-W., Fan, L.-X., Nan, F.-J., Yuan, C.-G., Li, J., Zhou, Y.-B., 2014. Azoxystrobin, a mitochondrial complex III Q o site inhibitor, exerts beneficial metabolic effects in vivo and in vitro. Biochimica et Biophysica Acta (BBA)-General Subjects 1840, 2212-2221.</t>
  </si>
  <si>
    <t>Binding to complex III of mitochondrial electron transport (likely conserved among different phyla)</t>
  </si>
  <si>
    <t>Microtubuli binding</t>
  </si>
  <si>
    <t>Urani, C., Chiesara, E., Galvani, P., Marabini, L., Santagostino, A., Camatini, M., 1995. Benomyl affects the microtubule cytoskeleton and the glutathione level of mammalian primary cultured hepatocytes. Toxicol. Lett. 76, 135-144.</t>
  </si>
  <si>
    <t>Herbicide (organophosphate)</t>
  </si>
  <si>
    <t>Van Leeuwen, T., Tirry, L., Nauen, R., 2006. Complete maternal inheritance of bifenazate resistance in Tetranychus urticae Koch (Acari: Tetranychidae) and its implications in mode of action considerations. Insect Biochem. Mol. Biol. 36, 869-877.</t>
  </si>
  <si>
    <t>GABA inhibitor or other neuronal interaction or interaction with mitochondria</t>
  </si>
  <si>
    <t>Pesticide (Acaricide)</t>
  </si>
  <si>
    <t>Mitochondiral electron transport inhibitor (succinate dehydrogenase; in fungi but potentially other organisms as well)</t>
  </si>
  <si>
    <t>Avenot, H., Sellam, A., Michailides, T., 2009. Characterization of mutations in the membrane‐anchored subunits AaSDHC and AaSDHD of succinate dehydrogenase from Alternaria alternata isolates conferring field resistance to the fungicide boscalid. Plant Pathol. 58, 1134-1143.</t>
  </si>
  <si>
    <t>Herbicide (alkylation of protein involved in plant-specific pathways)</t>
  </si>
  <si>
    <t>Herbicides</t>
  </si>
  <si>
    <t>Protoporhyrinogen oxidase inhibition potentially leading to anemia in fish (embryos)</t>
  </si>
  <si>
    <t>Leet, J.K., Lindberg, C.D., Bassett, L.A., Isales, G.M., Yozzo, K.L., Raftery, T.D., Volz, D.C., 2014. High-content screening in zebrafish embryos identifies butafenacil as a potent inducer of anemia.</t>
  </si>
  <si>
    <t>Protoporhyrinogen oxidase inhibition</t>
  </si>
  <si>
    <t>Herbicide/Biocide (microtubuli interaction, probably not in vertebrates)</t>
  </si>
  <si>
    <t>xxx</t>
  </si>
  <si>
    <t>Anticonvulsant (block of trigeminal parasympathic reflexes, targeting of gap junctions)</t>
  </si>
  <si>
    <t>Meldrum, B.S., Rogawski, M.A., 2007. Molecular targets for antiepileptic drug development. Neurotherapeutics 4, 18-61.</t>
  </si>
  <si>
    <t>Mitochondria, inhibition of succinat dehydrogenase (also mammals)</t>
  </si>
  <si>
    <t>Mowery, P.C., Steenkamp, D.J., Ackrell, B.A., Singer, T.P., White, G., 1977. Inhibition of mammalian succinate dehydrogenase by carboxins. Archives of biochemistry and biophysics 178, 495-506.</t>
  </si>
  <si>
    <t>US EPA, 1998. Pesticide Fact Sheet : Carfentrazone-ethyl. Available at www.epa.gov.</t>
  </si>
  <si>
    <t>Inhibition of protoporphyrinogene oxidase, in mammals leading to inhibition of heme oxygenase</t>
  </si>
  <si>
    <t>Fungicide (in plants fatty acid synthesis inhibition via acetyl CoA carboxylase inhibition)</t>
  </si>
  <si>
    <t>Herbicide (acetyl CoA inhibition leading to fatty acid synthesis inhibition in plants)</t>
  </si>
  <si>
    <t>Fungicide (methionin biosynthesis inhibition in fungi)</t>
  </si>
  <si>
    <t>ACHE inhibtion, active metabolite of diazinon</t>
  </si>
  <si>
    <t>AChE inhibition, active metabolite of diazinon</t>
  </si>
  <si>
    <t>Herbicide (fatty acid synthesis inhibitor, potentially in plants only)</t>
  </si>
  <si>
    <t>Fungicide (potentially ergosterol synthesis = fungi specific MoA)</t>
  </si>
  <si>
    <t>Industrial chemical/pesticide (Antioxidant)</t>
  </si>
  <si>
    <t>Herbicide (tubulin binding, no evidence for tubulin binding in animals)</t>
  </si>
  <si>
    <t>Fungicide (mitochondiral electron transport inhibition at bc1 complex, may be specific for fungi and plants))</t>
  </si>
  <si>
    <t>Fungicide (Quinone, cytochrome bc1 complex inhibitor, may be plant or fungi specific)</t>
  </si>
  <si>
    <t>Fungicide (fungal steroid biosynthesis)</t>
  </si>
  <si>
    <t>Fungicide (Inhibition fungal microsterine synthesis at the 3-keto reductase)</t>
  </si>
  <si>
    <t>Herbicide (fatty acid synthesis inhibitor at acetyl CoA carboxylase, potentially in plants only)</t>
  </si>
  <si>
    <t>MoA (animals, preferably vertebrates)</t>
  </si>
  <si>
    <t>Herbicide (acetyl CoA inhibition leading to fatty acid synthesis inhibition, probably plant-specific)</t>
  </si>
  <si>
    <t>Mitochondrial oxidative phosphorylation uncoupling, probably weak in mammals or vertebrates due to rapid inactivation by reaction with sulfuhydryl groups</t>
  </si>
  <si>
    <t>Kuhr, R.J., Motoyama, N., 1998. Pesticides and the future: minimizing chronic exposure of humans and the environment. IOS Press.</t>
  </si>
  <si>
    <t>Fungicide (MAP-kinase inhibition, probably fungi-specific)</t>
  </si>
  <si>
    <t>US EPA pesticide fact sheet</t>
  </si>
  <si>
    <t>Herbicide (protoporhyrinogen oxidase inhibition, no evidence for this mechanism in animals)</t>
  </si>
  <si>
    <t>Herbicide (protoporhyrinogen oxidase inhibition, no evidence for this mechanism in zebrafish, see Leet et al. 2014))</t>
  </si>
  <si>
    <t>Fungicide (cytochrome c oxidase inhibition at the Qo site, no evidence for conserved mechanism in vertebrates)</t>
  </si>
  <si>
    <t>Fungicide (inhibition of dimethylation of sterols in ergosterol synthesis, fungi-specific)</t>
  </si>
  <si>
    <t>Trzaskos, J., Henry, M., 1989. Comparative effects of the azole-based fungicide flusilazole on yeast and mammalian lanosterol 14 alpha-methyl demethylase. Antimicrob. Agents Chemother. 33, 1228-1231.</t>
  </si>
  <si>
    <t>Inhibition of lanosterol 14 alpha-methyl demethylase in mammals</t>
  </si>
  <si>
    <t>Comparative AFT for DR, OM, PP and LM</t>
  </si>
  <si>
    <t>Herbicide (Inhibition of protoporphyrinogen oxidase, potentially heme synthesis inhibition in animals, but no evidence, see Leet et al. 2014))</t>
  </si>
  <si>
    <t>Plant growth regulator (cytokine like phytohormone)</t>
  </si>
  <si>
    <t>Herbicide (protoporhyrinogen synthesis inhibition, no evidence for heme synthesis targeting in animals)</t>
  </si>
  <si>
    <t>Herbicide (photosynthesis inhibitor)</t>
  </si>
  <si>
    <t>Biocide/Fungicide</t>
  </si>
  <si>
    <t>Herbicide (inhibition of gibberelin pathway)</t>
  </si>
  <si>
    <t>Inhibition of cytochrome P450, synergism due to block of the metabolic breakdown of other pesticides)</t>
  </si>
  <si>
    <t>Ramirez, G.I.J., Logan, J.G., Loza-Reyes, E., Stashenko, E., Moores, G.D., 2012. Repellents inhibit P450 enzymes in Stegomyia (Aedes) aegypti.</t>
  </si>
  <si>
    <t>Fungicide (ergosterol synthesis inhibitor via demethylation inhibition of steroids)</t>
  </si>
  <si>
    <t>Herbicide (microtubuli inhibition, unclear if relevant for vertebrates)</t>
  </si>
  <si>
    <t>Herbicide (protoporhyrogen synthesis inhibition, no evidence if heme synthesis is affected in animals)</t>
  </si>
  <si>
    <t>Herbicide (gibberelin phytohormone antagonist)</t>
  </si>
  <si>
    <t>Herbicide (cell growth and photosynthesis inhibition in plants)</t>
  </si>
  <si>
    <t>Fungicide (ergosterol biosynthesis inhibition)</t>
  </si>
  <si>
    <t>Endocrine disruption (multiple mechanisms)</t>
  </si>
  <si>
    <t>Vinggaard, A., Hass, U., Dalgaard, M., Andersen, H.R., BONEFELD‐JØRGENSEN, E., Christiansen, S., Laier, P., Poulsen, M.E., 2006. Prochloraz: an imidazole fungicide with multiple mechanisms of action. Int. J. Androl. 29, 186-192.</t>
  </si>
  <si>
    <t>Herbicides (protoporhyrinogen oxidase inhibitor, potential impact on animal heme synthesis but no evidence for this in zebrafish)</t>
  </si>
  <si>
    <t>Mitochondrial complex I electron transport inhibitors</t>
  </si>
  <si>
    <t>Herbidice (fatty acid synthesis, acetyl CoA carboxylase inhibitor, probably plant specific)</t>
  </si>
  <si>
    <t>Fungicide (DNA-synthesis inhibition, no evidence for this mechanisms in animals)</t>
  </si>
  <si>
    <t>Herbicide (acetyl CoA carboxylase/fatty acid synthesis inhibition; no evidence for conserved mechanism in mammals)</t>
  </si>
  <si>
    <t>Fungizide (Ergosterol and Gibberelin biosynthesis inhibition)</t>
  </si>
  <si>
    <t>Herbidice (cell division inhibition)</t>
  </si>
  <si>
    <t>Herbicide (cell division inhibition)</t>
  </si>
  <si>
    <t>Herbicide (esterase inhibition)</t>
  </si>
  <si>
    <t>AChE inhibition evidence</t>
  </si>
  <si>
    <t>US-EPA 2008: Risks of Tribufos Use to Federally Threatened California Red-legged Frog
(Rana aurora draytonii)</t>
  </si>
  <si>
    <t>Fungicide (tubuline binding, may apply to animals)</t>
  </si>
  <si>
    <t>Fungicide, nematicide, herbicide</t>
  </si>
  <si>
    <t>Lysyl oxidase inhibition (potentially, due degradation of dithiocarbamates to this compound)</t>
  </si>
  <si>
    <t>Fungicide (activation of plant endogenous defence system)</t>
  </si>
  <si>
    <t>Unknown</t>
  </si>
  <si>
    <t>Herbicide (Chinone QB-based photosynthesis inhibition)</t>
  </si>
  <si>
    <t>Herbicide (microtubuli assembly inhibition, probably not in vertebrates)</t>
  </si>
  <si>
    <t>Fungicide (metochondrial dysfunction, mitchondrial membranes)</t>
  </si>
  <si>
    <t>Fungicide (mitchondrial dysfunction, mitochondrial membranes)</t>
  </si>
  <si>
    <t>Herbicide (plant growth regulation, microtubuli structure alteration leading to inhbition of cell division)</t>
  </si>
  <si>
    <t>Herbicide (DXP synthesis inhibition leading to inhibition of chlorophyll synthesis)</t>
  </si>
  <si>
    <t>Herbicide (auxin mimic-type)</t>
  </si>
  <si>
    <t>Herbicide (synthetic auxin)</t>
  </si>
  <si>
    <t>Pesticide (insect repellant, contact inhibition)</t>
  </si>
  <si>
    <t>Herbicide (lipid biosynthesis, dithiocarbamate)</t>
  </si>
  <si>
    <t>Saghir, S.A., Charles, G.D., Bartels, M.J., Kan, L.H., Dryzga, M.D., Brzak, K.A., Clark, A.J., 2008. Mechanism of trifluralin-induced thyroid tumors in rats. Toxicol. Lett. 180, 38-45.</t>
  </si>
  <si>
    <t>Potential EDC (increased thyroid hormone metabolism) As dichloroaniline potential interference with hemoglobin levels.</t>
  </si>
  <si>
    <t>Herbicide (inhibition of liped synthesis, not ACC inhibition)</t>
  </si>
  <si>
    <t>Fungicide (liped peroxidation)</t>
  </si>
  <si>
    <t>Plant growth regulator (phytohormone-like)</t>
  </si>
  <si>
    <t>Herbicide (PSII and carotinoid biosynthesis inhibitor)</t>
  </si>
  <si>
    <t>Herbicide (acetohydroxy acid synthase inhibition)</t>
  </si>
  <si>
    <t>Herbicide/Nematicide</t>
  </si>
  <si>
    <t>Herbicide (indirect inhibition of phytoene desaturase)</t>
  </si>
  <si>
    <t>Fungicide (Inhibition of ribosomal RNA synthesis, no evidence that this mechanism is conserved in vertebrates)</t>
  </si>
  <si>
    <t>Herbicide (Fatty acid synthesis inhibition via inhibition VLCFA, no evidence for conserved mechanism in vertebrates)</t>
  </si>
  <si>
    <t>PPP (nitrification inhibitor, kills Nitrosomonas bacteria)</t>
  </si>
  <si>
    <t>Herbicide (photosynthesis inhibitor via inibition of the enzyme phytoen desaturase ans subsequent reduction of carotinoid synthesis)</t>
  </si>
  <si>
    <t>Herbicide (inhibition of microtubuli formation, no evidence for conserved mechanism in vertebrates)</t>
  </si>
  <si>
    <t>Herbicide (inhibition of photosystem II via competition with plastochinon and subsequent inhibition of electron transport)</t>
  </si>
  <si>
    <t>Herbicide (photosystem II inhibition)</t>
  </si>
  <si>
    <t>Herbidice (inhibition of protein biosynthesis, no evidence for conserved mechanism in vertebrates)</t>
  </si>
  <si>
    <t>Herbicide (inhibition of fatty acid synthesis via inhibition of acetyl CoA-carboxylase)</t>
  </si>
  <si>
    <t>Acetyl CoA carboxylase inhibition (evidence from potential as drug to treat metabolic syndroms)</t>
  </si>
  <si>
    <t>Tong, L., Harwood, H.J., 2006. Acetyl‐coenzyme A carboxylases: Versatile targets for drug discovery. J. Cell. Biochem. 99, 1476-1488.</t>
  </si>
  <si>
    <t>Herbicide (photosynthesis inhibition)</t>
  </si>
  <si>
    <t>Fungicide (inhibition of steroid demethylation in sterol synthesis)</t>
  </si>
  <si>
    <t>Martinovic, D., Blake, L.S., Durhan, E.J., Greene, K.J., Kahl, M.D., 2008. Reproductive toxicity of vinclozolin in the fathead minnow: confirming an anti-androgenic mode of action. Environ. Toxicol. Chem. 27, 478-488.</t>
  </si>
  <si>
    <t>Inhibition of monoamin reuptake leading to enhanced levels of transmitters serotonin and noradrenalin</t>
  </si>
  <si>
    <t>Drug (antidepressent)</t>
  </si>
  <si>
    <t>Botney, M., Fields, H.L., 1983. Amitriptyline potentiates morphine analgesia by a direct action on the central nervous system. Annals of neurology 13, 160-164.</t>
  </si>
  <si>
    <t>Electrophilic, reactive, alkylating reagents (may lead to mutations)</t>
  </si>
  <si>
    <t>Balu, N., Gamcsik, M.P., Colvin, M.E., Colvin, O.M., Dolan, M.E., Ludeman, S.M., 2002. Modified Guanines Representing O 6-Alkylation by the Cyclophosphamide Metabolites Acrolein and Chloroacetaldehyde: Synthesis, Stability, and ab Initio Studies. Chem. Res. Toxicol. 15, 380-387.</t>
  </si>
  <si>
    <t>Biocide (fatty acid syntheis inhibition, similar to triclosan)</t>
  </si>
  <si>
    <t>* Narcosis (some evidence of endocrine disrupting properties in mammals)</t>
  </si>
  <si>
    <t>industrial chemical</t>
  </si>
  <si>
    <t>Biocide (fatty acid syntheis inhibition, probably not conserved in vertebrates)</t>
  </si>
  <si>
    <t>Biocide (Fatty acid biosynthesis inhibition, probably not conserved in vertebrates)</t>
  </si>
  <si>
    <t>Food additive (flavoring)/potential Insecticide</t>
  </si>
  <si>
    <t>Desinfectant (thiol reaction)</t>
  </si>
  <si>
    <t>Industrial Chemical (manufacture of explosive)</t>
  </si>
  <si>
    <t>Food additive (flavoring)</t>
  </si>
  <si>
    <t>Narcosis,Nonpolar</t>
  </si>
  <si>
    <t>Narcosis,Ester</t>
  </si>
  <si>
    <t>Narcosis,Polar</t>
  </si>
  <si>
    <t>Electron transport inhibition,Uncoupling oxidative phosphorylation</t>
  </si>
  <si>
    <t>Reactivity,Di/trinitroaromatic</t>
  </si>
  <si>
    <t>Neurotoxicity,Diphenyl sodium channel modulation</t>
  </si>
  <si>
    <t>Electron transport inhibition,Oxidative phosphorylation inhibition</t>
  </si>
  <si>
    <t>Neurotoxicity,Alicyclic GABA antagonism</t>
  </si>
  <si>
    <t>Neurotoxicity,GABA agonism</t>
  </si>
  <si>
    <t>Narcosis</t>
  </si>
  <si>
    <t>Barron, M., Lilavois, C., Martin, T., 2015. MOAtox: A comprehensive mode of action and acute aquatic toxicity database for predictive model development. Aquat. Toxicol. 161, 102-107.</t>
  </si>
  <si>
    <t xml:space="preserve">Barron, M., Lilavois, C., Martin, T., 2015. MOAtox: A comprehensive mode of action and acute aquatic toxicity database for predictive model development. Aquat. Toxicol. 161, 102-107.
</t>
  </si>
  <si>
    <t>Reaction with glutathion (fungicide), reactive (Barron et al. 2015)</t>
  </si>
  <si>
    <t>QSAR, Barron et al. 2015</t>
  </si>
  <si>
    <t>Juvenile hormone mimics, Narcosis (Barron et al. 2015)</t>
  </si>
  <si>
    <t>Reactive</t>
  </si>
  <si>
    <t>Pesticide (Synergism)</t>
  </si>
  <si>
    <t>Fungicide (inhibition of mitochondrial respiration)</t>
  </si>
  <si>
    <t>DrugBank, Barron et al. 2015</t>
  </si>
  <si>
    <t>Fungicide, ectoparasite, repellent</t>
  </si>
  <si>
    <t>Fungicide (C14 demethylase inhibition in ergosterol synthesis)</t>
  </si>
  <si>
    <t>Fungicide (Inhibition of Cellulose synthase)</t>
  </si>
  <si>
    <t>Herbicide (Inhibition of electron transport from PSII to plastoquinone)</t>
  </si>
  <si>
    <t>Herbicide (Inhibition of lipid synthesis)</t>
  </si>
  <si>
    <t>Herbicide (Methionin synthase inhibition)</t>
  </si>
  <si>
    <t>Fungicide (G-protein inhibition)</t>
  </si>
  <si>
    <t>Electron transport inhibition</t>
  </si>
  <si>
    <t>Chance, B., Hollunger, G., 1963. Inhibition of electron and energy transfer in mitochondria I. Effects of Amytal, thiopental, rotenone, progesterone, and methylene glycol. J. Biol. Chem. 238, 418-431.</t>
  </si>
  <si>
    <t>EDC (antiandrogenic effects), Narcosis (Barron et al. 2015)</t>
  </si>
  <si>
    <t>Ethanol affects the brain’s neurons in several ways. It alters their membranes as well as their ion channels, enzymes, and receptors. Alcohol also binds directly to the receptors for acetylcholine, serotonin, GABA, and the NMDA receptors for glutamate. Narcosis (acute toxicity, Brannon et al. 2015)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t>
  </si>
  <si>
    <t>Biochemistry/cosmetics</t>
  </si>
  <si>
    <t>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 - Narcosis (acute toxicity)</t>
  </si>
  <si>
    <t>Industrial chemical, biocide</t>
  </si>
  <si>
    <t>Industrial chemical, Drug</t>
  </si>
  <si>
    <t>Herbicide (redox cycling)</t>
  </si>
  <si>
    <t>EDC (Estrogenic)</t>
  </si>
  <si>
    <t>* Oxidative dephosphorylation uncoupler, Narcosis</t>
  </si>
  <si>
    <t>Pesticide, Industrial chemical</t>
  </si>
  <si>
    <t>Fungicide, biocide, food additive</t>
  </si>
  <si>
    <t>Estrogenic, narcosis (acute toxicity, Barron et al. 2015)</t>
  </si>
  <si>
    <t>xxx - Potential cytotoxicity to neural cells and other mechanisms</t>
  </si>
  <si>
    <t>Herbicide (geranylgeranyl pyrophosphate cyclase inhibition in gibberelin pathway)</t>
  </si>
  <si>
    <t>Industrial chemical, drug</t>
  </si>
  <si>
    <t>Inhibition of prostaglandin synthesis via inhibition of cyclooxygenase</t>
  </si>
  <si>
    <t>Clish, C., Sun, Y.-P., Serhan, C., 2001. Identification of dual cyclooxygenase-eicosanoid oxidoreductase inhibitors: NSAIDs that inhibit PG-LX reductase/LTB4 dehydrogenase. Biochem Biophys Res Commun 288, 868 - 874.</t>
  </si>
  <si>
    <t>Pesticides</t>
  </si>
  <si>
    <t>Herbicide (uncoupler)</t>
  </si>
  <si>
    <t>Feed additive, food preservation</t>
  </si>
  <si>
    <t>Juvenile hormone mimics, narcois</t>
  </si>
  <si>
    <t>IRAC, Barron et al. 2015</t>
  </si>
  <si>
    <t>Fungicide (Succinate dehydrogenase inhibition)</t>
  </si>
  <si>
    <t>Industrial chemicals</t>
  </si>
  <si>
    <t>Reactivity</t>
  </si>
  <si>
    <t>Natural compound</t>
  </si>
  <si>
    <t>Cosmetics</t>
  </si>
  <si>
    <t>Diverse (desinfection, fixative)</t>
  </si>
  <si>
    <t>Reducing agent</t>
  </si>
  <si>
    <t>Pesticide (insecticide)</t>
  </si>
  <si>
    <t>Pesticide, Drug</t>
  </si>
  <si>
    <t>Herbicide (PSII inhibitor), Industrial chemical</t>
  </si>
  <si>
    <t>Industrial chemical (byproduct)</t>
  </si>
  <si>
    <t>Pesiticide</t>
  </si>
  <si>
    <t>Industrial chemical, food additive (aroma)</t>
  </si>
  <si>
    <t>Biocide, fungicide</t>
  </si>
  <si>
    <t>Cytochrome P450 inhibition, narcosis</t>
  </si>
  <si>
    <t>Expert knowledge, Barron et al. 2015</t>
  </si>
  <si>
    <t>Fungicide (inhibition of methionine biosynthesis)</t>
  </si>
  <si>
    <t>Biocide, industrial chemical</t>
  </si>
  <si>
    <t>Herbicide (atrazine-like)</t>
  </si>
  <si>
    <t>The precise mode of action of thiabendazole on the parasite is unknown, but it most likely inhibits the helminth-specific enzyme fumarate reductase. Narcosis (acute toxicity)</t>
  </si>
  <si>
    <t>Biocide (antifouling)</t>
  </si>
  <si>
    <t>Triphenyltin hydroxide (Fentin)</t>
  </si>
  <si>
    <t>Herbicide (fatty acid synthesis inhibition)</t>
  </si>
  <si>
    <t>Industrial chemical, food additive (flavor), cosmetics</t>
  </si>
  <si>
    <t>Food additive, cosmetics</t>
  </si>
  <si>
    <t>Industrial chemical, pesticide</t>
  </si>
  <si>
    <t>Unkown</t>
  </si>
  <si>
    <t>Desinfectant, preservative</t>
  </si>
  <si>
    <t>Octopamine receptor agonists (transmitter receptor in insects and vertebrates)</t>
  </si>
  <si>
    <t>Herbicide (PSII Chinon QB photosynthesis inhibitor)</t>
  </si>
  <si>
    <t>Pesticide (isomere of lindane)</t>
  </si>
  <si>
    <t>GABA-inhibitor (if isomer has same MoA as lindane)</t>
  </si>
  <si>
    <t>Herbicide (microtubuli inhibition)</t>
  </si>
  <si>
    <t>Drug (laxative), pesticide adjuvant</t>
  </si>
  <si>
    <t>EDC (evidence for interaction with thyroid hormone levels), narcosis (Barron et al. 2015</t>
  </si>
  <si>
    <t>Herbicides (protoporhyrinogen oxidase inhibitor leading to inhibition of chlorophyll synthesis)</t>
  </si>
  <si>
    <t>Protoporhyrinogen oxidase inhibition potentially leading to anemia in fish (embryos); narcosis (Barron et al. 2015)</t>
  </si>
  <si>
    <t>Herbicide (inhibition of phytoen desaturase in carotinoid biosynthesis leading to degradation of chlorophyll compex)</t>
  </si>
  <si>
    <t>Industrial chemical, pesticide (repellent)</t>
  </si>
  <si>
    <t>T4 level repression in rodents. Narcosis (acut toxicity, Barron et al. 2015)</t>
  </si>
  <si>
    <t>Manson, J.M., Brown, T., Baldwin, D.M., 1984. Teratogenicity of nitrofen (2, 4-dichloro-4′-nitrodiphenyl ether) and its effects on thyroid function in the rat. Toxicol. Appl. Pharmacol. 73, 323-335.</t>
  </si>
  <si>
    <t>Herbicide (inhibition of microtubuli formation leading to inhibition of adjustment of myofibrills and cell division)</t>
  </si>
  <si>
    <t>Food additive (preservative)</t>
  </si>
  <si>
    <t>Protoporhyrinogen oxidase inhibition, narcosis (Barron et al. 2015)</t>
  </si>
  <si>
    <t>Fungicide (interference with fungal metabolism)</t>
  </si>
  <si>
    <t>Fungicide (inhibition of C14 demethylase in ergosterol biosynthesis)</t>
  </si>
  <si>
    <t>Fungicide, herbicide, molluscicide</t>
  </si>
  <si>
    <t>Moa</t>
  </si>
  <si>
    <t>Domain</t>
  </si>
  <si>
    <t>reactive: unspecific</t>
  </si>
  <si>
    <t>out</t>
  </si>
  <si>
    <t>ester narcosis</t>
  </si>
  <si>
    <t>reactive electrophiles/proelectrophiles</t>
  </si>
  <si>
    <t>in</t>
  </si>
  <si>
    <t>acetylcholinesterase inhibitors</t>
  </si>
  <si>
    <t>reactive: specific</t>
  </si>
  <si>
    <t>border out</t>
  </si>
  <si>
    <t>oxydative phosphorylation uncouplers</t>
  </si>
  <si>
    <t>central nervous system seizure agents</t>
  </si>
  <si>
    <t>border in</t>
  </si>
  <si>
    <t>narcosis</t>
  </si>
  <si>
    <t>less inert</t>
  </si>
  <si>
    <t xml:space="preserve"> narcosis</t>
  </si>
  <si>
    <t>Verhaaar, structural alert</t>
  </si>
  <si>
    <t>Russom, structural alert</t>
  </si>
  <si>
    <t>c1cc(nc(c1Cl)C(=O)O)Cl.C(CO)N</t>
  </si>
  <si>
    <t>Alternative quality criteria (Yes no score)</t>
  </si>
  <si>
    <t>FET Max conc/lowest AFT LC50</t>
  </si>
  <si>
    <t>Log Lowest AFT LC50 (DR, OM, LM, PP) mM</t>
  </si>
  <si>
    <t>35 Burkhardt-Holm et al.1999</t>
  </si>
  <si>
    <t>39 Duan et al. 2008</t>
  </si>
  <si>
    <t>37 Fei et al. 2010</t>
  </si>
  <si>
    <t>44 Zhou et al. 2009</t>
  </si>
  <si>
    <t>31 Sawle et al., 2010</t>
  </si>
  <si>
    <t>Tested within water solubility range only?</t>
  </si>
  <si>
    <t>34 Scheil et al. 2009 (34)</t>
  </si>
  <si>
    <t>31 Sawle et al. 2010 (31)</t>
  </si>
  <si>
    <t>39 Duan et al. 2008 (39)</t>
  </si>
  <si>
    <t>1 per well</t>
  </si>
  <si>
    <t>96-wells</t>
  </si>
  <si>
    <t>no</t>
  </si>
  <si>
    <t>0.01% EtOH</t>
  </si>
  <si>
    <t>Exposure according OECD 212: fish, short-term toxicity on embryo and sac-fry stages</t>
  </si>
  <si>
    <t>ringer</t>
  </si>
  <si>
    <t>semi-static / changed twice daily</t>
  </si>
  <si>
    <t>3 replicates, 24h before arsenite exposure 30µM NAC was added (antioxidative modulator)</t>
  </si>
  <si>
    <t>petridish (90-mm diameter)</t>
  </si>
  <si>
    <t>semi-static / 24h renewal</t>
  </si>
  <si>
    <t>~9</t>
  </si>
  <si>
    <t>1/ml</t>
  </si>
  <si>
    <t>petridish (25ml)</t>
  </si>
  <si>
    <t>fish water (OECD 203)</t>
  </si>
  <si>
    <t>24 well plate</t>
  </si>
  <si>
    <t>LC50 is not correct - data in the original publication only states 65% lethality at 6.25 mg/L = 0.0178 mM</t>
  </si>
  <si>
    <t>semi-static / 48h renewal</t>
  </si>
  <si>
    <t>0.3% DMSO</t>
  </si>
  <si>
    <t>4 embryos/3ml</t>
  </si>
  <si>
    <t>1/250µl</t>
  </si>
  <si>
    <t>droplet on Parafilm in a 100-mm petridish</t>
  </si>
  <si>
    <t>vegetable oil</t>
  </si>
  <si>
    <t>dechorionated embryos</t>
  </si>
  <si>
    <t>12 - 36</t>
  </si>
  <si>
    <t>10 - 36</t>
  </si>
  <si>
    <t>glass petri dish (80-mm diameter)</t>
  </si>
  <si>
    <t>ISO-water</t>
  </si>
  <si>
    <t>34 Scheil et al. 2008</t>
  </si>
  <si>
    <t>glass pertidish</t>
  </si>
  <si>
    <t>tap water</t>
  </si>
  <si>
    <t>&lt;1</t>
  </si>
  <si>
    <t>0.5 % acetone</t>
  </si>
  <si>
    <t>Xu et al. 2008</t>
  </si>
  <si>
    <t>Xu, C., Zhao, M., Liu, W., Chen, S., Gan, J., 2008. Enantioselectivity in zebrafish embryo toxicity of the insecticide acetofenate. Chem. Res. Toxicol. 21, 1050-1055.</t>
  </si>
  <si>
    <t>LC50s represent mean LC50s of different enantionmers</t>
  </si>
  <si>
    <t>McCormick et al. 2010</t>
  </si>
  <si>
    <t>McCormick, J.M., Paiva, M.S., Häggblom, M.M., Cooper, K.R., White, L.A., 2010. Embryonic exposure to tetrabromobisphenol A and its metabolites, bisphenol A and tetrabromobisphenol A dimethyl ether disrupts normal zebrafish (Danio rerio) development and matrix metalloproteinase expression. Aquat. Toxicol. 100, 255-262.</t>
  </si>
  <si>
    <t>Capped glas flasks</t>
  </si>
  <si>
    <t xml:space="preserve"> 1/1</t>
  </si>
  <si>
    <t>Not indicated (</t>
  </si>
  <si>
    <t>Sterile zebrafish system water</t>
  </si>
  <si>
    <t>Semistatic (renewal frequency not indicated)</t>
  </si>
  <si>
    <t>Not clear if conducted for exposure</t>
  </si>
  <si>
    <t>Strmac et al. 1999</t>
  </si>
  <si>
    <t>Strmac, M., Braunbeck, T., 1999. Effects of Triphenyltin Acetate on Survival, Hatching Success, and Liver Ultrastructure of Early Life Stages of Zebrafish (Danio rerio). Ecotoxicol. Environ. Saf. 44, 25-39.</t>
  </si>
  <si>
    <t>Ethanol 0.1 %</t>
  </si>
  <si>
    <t>Plastic petri dish 3 cm</t>
  </si>
  <si>
    <t xml:space="preserve">Ringer solution: 38.7 mM NaCl, 1.0 mM KCl, 1.7 mM HEPES-NaOH pH 7.2, 2.4 mM CaCl2) </t>
  </si>
  <si>
    <t xml:space="preserve"> 10/3</t>
  </si>
  <si>
    <t>&lt;10</t>
  </si>
  <si>
    <t>Dong et al. 2006</t>
  </si>
  <si>
    <t>Dong, W., Muramoto, W., Nagai, Y., Takehana, K., Stegeman, J.J., Teraoka, H., Hiraga, T., 2006. Retinal Neuronal Cell is a Toxicological Target of Tributyltin in Developing Zebrafish. Journal of Veterinary Medical Science 68, 573-579.</t>
  </si>
  <si>
    <t>24well p lates</t>
  </si>
  <si>
    <t>Domingues, I., Oliveira, R., Musso, C., Cardoso, M., Soares, A.M., Loureiro, S., 2013. Prochloraz effects on biomarkers activity in zebrafish early life stages and adults. Environ. Toxicol. 28, 155-163.</t>
  </si>
  <si>
    <t>Domingues et al. 2006</t>
  </si>
  <si>
    <t xml:space="preserve"> 16:8</t>
  </si>
  <si>
    <t>DMSO (concentration not indicated)</t>
  </si>
  <si>
    <t xml:space="preserve">Lee, S.K., Freitag, D., Steinberg, C., Kettrup, A., Kim, Y.H., 1993. Effects of dissolved humic materials on acute toxicity of some organic chemicals to aquatic organisms. Water Res. 27, 199-204.
</t>
  </si>
  <si>
    <t>Lee et al. 1993</t>
  </si>
  <si>
    <t>Water</t>
  </si>
  <si>
    <t>Type and concentration not indicated</t>
  </si>
  <si>
    <t>Tsay et al., 2007</t>
  </si>
  <si>
    <t>Tsay, H., Wang, Y., Chen, W., Huang, M., Chen, Y., 2007. Treatment with sodium benzoate leads to malformation of zebrafish larvae. Neurotoxicol. Teratol. 29, 562-569.</t>
  </si>
  <si>
    <t>Reconstituted water (OECD TG 203)</t>
  </si>
  <si>
    <t>Static (plates covered with adhesive foil)</t>
  </si>
  <si>
    <t>&lt;15</t>
  </si>
  <si>
    <t>Perfluorobutane sulfonate, C4 (PFBS)</t>
  </si>
  <si>
    <t>Unclassified</t>
  </si>
  <si>
    <t>O=C(O)C(F)(F)C(F)(F)C(F)(F)F</t>
  </si>
  <si>
    <t>Hagenaars et al. 2001</t>
  </si>
  <si>
    <t xml:space="preserve">Hagenaars, A., Vergauwen, L., De Coen, W., Knapen, D., 2011. Structure–activity relationship assessment of four perfluorinated chemicals using a prolonged zebrafish early life stage test. Chemosphere 82, 764-772.
</t>
  </si>
  <si>
    <t>6.4 - 6.8</t>
  </si>
  <si>
    <t>Semistatic (50 % every 2nd day)</t>
  </si>
  <si>
    <t>Deer Park Spring Water</t>
  </si>
  <si>
    <t>Glass beakers</t>
  </si>
  <si>
    <t>Spectrophotometric (&lt;7 % deviation)</t>
  </si>
  <si>
    <t>40-50/200</t>
  </si>
  <si>
    <t>40-50</t>
  </si>
  <si>
    <t>LC50 reanalysed</t>
  </si>
  <si>
    <t>Parker et al., 2007</t>
  </si>
  <si>
    <t>Parker, B., Connaughton, V.P., 2007. Effects of nicotine on growth and development in larval zebrafish. Zebrafish 4, 59-68.</t>
  </si>
  <si>
    <t xml:space="preserve"> 20/20</t>
  </si>
  <si>
    <t>Glass vials, sealed</t>
  </si>
  <si>
    <t>0.6 % instant ocean</t>
  </si>
  <si>
    <t>Static (sealed)</t>
  </si>
  <si>
    <t>Haendel et al., 2004</t>
  </si>
  <si>
    <t>Haendel, M.A., Tilton, F., Bailey, G.S., Tanguay, R.L., 2004. Developmental Toxicity of the Dithiocarbamate Pesticide Sodium Metam in Zebrafish. Tox. Sci. 81, 390-400.</t>
  </si>
  <si>
    <t>Dilution water (ISO 7346)</t>
  </si>
  <si>
    <t>Sun et al. 2004</t>
  </si>
  <si>
    <t>Sun, L.W., Qu, M.M., Li, Y.Q., Wu, Y.L., Chen, Y.G., Kong, Z.M., Liu, Z.T., 2004. Toxic Effects of Aminophenols on Aquatic Life Using the Zebrafish Embryo Test and the Comet Assay. Bull. Environ. Contam. Toxicol. 73, 628-634.</t>
  </si>
  <si>
    <t>&lt;4.28</t>
  </si>
  <si>
    <t>Li et al., 2007</t>
  </si>
  <si>
    <t>Li, Y.-X., Yang, H.-T., Zdanowicz, M., Sicklick, J.K., Qi, Y., Camp, T.J., Diehl, A.M., 2007. Fetal alcohol exposure impairs Hedgehog cholesterol modification and signaling. Lab. Invest. 87, 231-240.</t>
  </si>
  <si>
    <t>30 / 15ml</t>
  </si>
  <si>
    <t>20ml glass vials sealed with Teflon-lined lids</t>
  </si>
  <si>
    <t>&lt;20</t>
  </si>
  <si>
    <t>25ml glass Petri dish</t>
  </si>
  <si>
    <t>1/2ml</t>
  </si>
  <si>
    <t>1% ethanol</t>
  </si>
  <si>
    <t>25ml glass vials sealed with Teflon-lined lids</t>
  </si>
  <si>
    <t>25/30ml</t>
  </si>
  <si>
    <t>glass Petridish (10cm diameter)</t>
  </si>
  <si>
    <t>tfiltered tap water</t>
  </si>
  <si>
    <t>96 well microtiterplate</t>
  </si>
  <si>
    <t>1/well</t>
  </si>
  <si>
    <t>Yes (ICP)</t>
  </si>
  <si>
    <t>140-163</t>
  </si>
  <si>
    <t>&gt;20</t>
  </si>
  <si>
    <t>Exposure 96 or 120 h</t>
  </si>
  <si>
    <t>x</t>
  </si>
  <si>
    <t>Not calculated</t>
  </si>
  <si>
    <t>&gt; 100 days</t>
  </si>
  <si>
    <t>0 to 1 day</t>
  </si>
  <si>
    <t>10 to 100 days</t>
  </si>
  <si>
    <t>1 to 10 days</t>
  </si>
  <si>
    <t>&gt; 100 days|Not calculated</t>
  </si>
  <si>
    <t>(N/A)</t>
  </si>
  <si>
    <t>(Ka, pH 7)(Hydrowin)</t>
  </si>
  <si>
    <t>(Kb, pH 7)(Hydrowin)</t>
  </si>
  <si>
    <t>Hydrolysis half-life</t>
  </si>
  <si>
    <t>Halflife &gt;10 days</t>
  </si>
  <si>
    <t>Selderslaghs, I.W.T., Hooyberghs, J., De Coen, W., Witters, H.E., 2010. Locomotor activity in zebrafish embryos: A new method to assess developmental neurotoxicity. Neurotoxicol. Teratol. 32, 460-471.</t>
  </si>
  <si>
    <t>Selderslagh et al. 2010</t>
  </si>
  <si>
    <t>Colour labels</t>
  </si>
  <si>
    <t>Exposure duration &lt; 96 h</t>
  </si>
  <si>
    <t>CCn1c2c(c(n1)C)N=C(CNC2=O)c3ccc(cc3)O</t>
  </si>
  <si>
    <t>BEOZJBLIRPRMJM-UHFFFAOYSA-N</t>
  </si>
  <si>
    <t>CC(C)(c1ccc(cc1)CNC(=O)c2cccnc2Oc3ccc4c(c3)non4)O</t>
  </si>
  <si>
    <t>QYZRHDNGOVTVDB-UHFFFAOYSA-N</t>
  </si>
  <si>
    <t>CCCCCCCCCCCCCCCS(=O)(=O)OC1=CC=CC=C1</t>
  </si>
  <si>
    <t>UDKSLGIUCGAZTK-UHFFFAOYSA-N</t>
  </si>
  <si>
    <t>n/a (detergent)</t>
  </si>
  <si>
    <t>JDLYOFUDIKMYBL-UHFFFAOYSA-N</t>
  </si>
  <si>
    <t>Fc1cc2c(cc1)/C(=C\C(=O)N2CC(=O)N)CCN5CCN(c4nccc3sccc34)CC5</t>
  </si>
  <si>
    <t>O=C(O)CCC(=O)O.FC(F)(F)c1cc4c(nc1)CCN(C(=O)[C@]3(C(C)C)C[C@H](N[C@H]2CCOC[C@H]2OC)CC3)C4</t>
  </si>
  <si>
    <t>WPPJJJUIDYHHSM-PXUYIWLPSA-N</t>
  </si>
  <si>
    <t>not available</t>
  </si>
  <si>
    <t>Confirmed by HPLC</t>
  </si>
  <si>
    <t>24h renewal (50 %)</t>
  </si>
  <si>
    <t>Static (probably, not indicated)</t>
  </si>
  <si>
    <t>Not indicated (probably static)</t>
  </si>
  <si>
    <t>Compounds with no toxicity but tested &gt;10fold above the baseline concentrattion and 96 h or 120 h</t>
  </si>
  <si>
    <t>Selected for correlation analysis (96 -120 h exposure)</t>
  </si>
  <si>
    <t>Log effect concentration (mM)</t>
  </si>
  <si>
    <t>LC50 not calculated</t>
  </si>
  <si>
    <t>LC50 not calculated (weaker mortality at higher concentrations)</t>
  </si>
  <si>
    <t>LC50 not calculated (control mortality in all plates &gt; 25 %)</t>
  </si>
  <si>
    <t>Inorganic</t>
  </si>
  <si>
    <t>Inorganic compounds</t>
  </si>
  <si>
    <t>High control variability or LC50 could not be calculated due to weaker toxicity at higher concentrations (Truong et al. 2014)</t>
  </si>
  <si>
    <t>YES</t>
  </si>
  <si>
    <t>Compounds in REACH registered?</t>
  </si>
  <si>
    <t>Compound registered for REACH ?</t>
  </si>
  <si>
    <t>Quality filters</t>
  </si>
  <si>
    <t>Busquet et al. 2014</t>
  </si>
  <si>
    <t>Copper (II sulphate pentahydrate)</t>
  </si>
  <si>
    <t>Not classified</t>
  </si>
  <si>
    <t>ICP-MS (63.2 % of nominal concentration)</t>
  </si>
  <si>
    <t>OCED TG236</t>
  </si>
  <si>
    <t>12-16:12-8</t>
  </si>
  <si>
    <t>24-h renewal</t>
  </si>
  <si>
    <t>HPLC-MS-MS (62 % of nominal concentrations)</t>
  </si>
  <si>
    <t>Busquet, F., Strecker, R., Rawlings, J.M., Belanger, S.E., Braunbeck, T., Carr, G.J., Cenijn, P., Fochtman, P., Gourmelon, A., Hübler, N., Kleensang, A., Knöbel, M., Kussatz, C., Legler, J., Lillicrap, A., Martínez-Jerónimo, F., Polleichtner, C., Rzodeczko, H., Salinas, E., Schneider, K.E., Scholz, S., Brandhof, E.-J.v.d., van der Ven, L.T.M., Walter-Rohde, S., Weigt, S., Witters, H., Halder, M., 2014. OECD validation study to assess intra- and inter-laboratory reproducibility of the zebrafish embryo toxicity test for acute aquatic toxicity testing. Regul. Toxicol. Pharmacol. 69, 496-511.</t>
  </si>
  <si>
    <t>Busquet et al. 2015</t>
  </si>
  <si>
    <t>HPLC-MS/MS (80 % of nominal concentration)</t>
  </si>
  <si>
    <t>HPLC-MS/MS (72 % of nominal concentration)</t>
  </si>
  <si>
    <t>HPLC-DAAD (85 % of nominal)</t>
  </si>
  <si>
    <t>HPLC-MS/MS (78 % of nominal concentration)</t>
  </si>
  <si>
    <t>HPLC-UV (95 % of nominal concentration)</t>
  </si>
  <si>
    <t>HPLC-MS/MS (81 % of nominal concentration)</t>
  </si>
  <si>
    <t>24h-renewal</t>
  </si>
  <si>
    <t>OECD TG236</t>
  </si>
  <si>
    <t>TOC (92 % of nominal concentration)</t>
  </si>
  <si>
    <t>Test range given in publication is not correct (&lt;&lt; LC50)</t>
  </si>
  <si>
    <t>MoA group</t>
  </si>
  <si>
    <t>Neurotoxicity</t>
  </si>
  <si>
    <t xml:space="preserve">Analytical confirmation </t>
  </si>
  <si>
    <t>Hernandez et al. 2015</t>
  </si>
  <si>
    <t>Hernández, R.B., Nishita, M.I., Espósito, B.P., Scholz, S., Michalke, B., 2015. The role of chemical speciation, chemical fractionation and calcium disruption in manganese-induced developmental toxicity in zebrafish (Danio rerio) embryos. J. Trace Elem. Med. Biol. 32, 209-217.</t>
  </si>
  <si>
    <t>If no toxicity: Baseline toxicity vs. Highest tested concentration &gt; 10 (baseline toxicity based on consensus log Kow)</t>
  </si>
  <si>
    <t>Mitochondrial electron transport inhibition/uncoupling of oxidative phosphorylation</t>
  </si>
  <si>
    <t>Extracellular matrix formation inhibition</t>
  </si>
  <si>
    <t>Other</t>
  </si>
  <si>
    <t>COX inhibitor</t>
  </si>
  <si>
    <t>Methemoglobin formation or Protoporphyrinogen inhibition</t>
  </si>
  <si>
    <t>Endocrine disruption</t>
  </si>
  <si>
    <t>Out of domain</t>
  </si>
  <si>
    <t>Neuroticity</t>
  </si>
  <si>
    <t>NOCAS FET2070</t>
  </si>
  <si>
    <t>NOCAS FET760</t>
  </si>
  <si>
    <t>NOCAS FET1473</t>
  </si>
  <si>
    <t>NOCAS FET2069</t>
  </si>
  <si>
    <t>NOCAS FET1982</t>
  </si>
  <si>
    <t>NOCAS FET1992</t>
  </si>
  <si>
    <t>NOCAS FET2001</t>
  </si>
  <si>
    <t>NOCAS FET2007</t>
  </si>
  <si>
    <t>NOCAS FET1983</t>
  </si>
  <si>
    <t>NOCAS FET111</t>
  </si>
  <si>
    <t>NOCAS FET2116</t>
  </si>
  <si>
    <t>NOCAS FET2104</t>
  </si>
  <si>
    <t>NOCAS FET2105</t>
  </si>
  <si>
    <t>NOCAS FET2098</t>
  </si>
  <si>
    <t>NOCAS FET2117</t>
  </si>
  <si>
    <t>NOCAS FET2110</t>
  </si>
  <si>
    <t>NOCAS FET2099</t>
  </si>
  <si>
    <t>NOCAS FET2106</t>
  </si>
  <si>
    <t>NOCAS FET2111</t>
  </si>
  <si>
    <t>NOCAS FET2113</t>
  </si>
  <si>
    <t>NOCAS FET2112</t>
  </si>
  <si>
    <t>NOCAS FET2114</t>
  </si>
  <si>
    <t>NOCAS FET2101</t>
  </si>
  <si>
    <t>NOCAS FET2100</t>
  </si>
  <si>
    <t>NOCAS FET2102</t>
  </si>
  <si>
    <t>NOCAS FET2103</t>
  </si>
  <si>
    <t>NOCAS FET2115</t>
  </si>
  <si>
    <t>NOCAS FET2107</t>
  </si>
  <si>
    <t>NOCAS FET2109</t>
  </si>
  <si>
    <t>NOCAS FET2108</t>
  </si>
  <si>
    <t>NOCAS FET733</t>
  </si>
  <si>
    <t>NOCAS FET732</t>
  </si>
  <si>
    <t>1823-69-2</t>
  </si>
  <si>
    <t>Semistatic, flow-through or Analytical verification</t>
  </si>
  <si>
    <t>Three-letter abbreviation</t>
  </si>
  <si>
    <t>FAH</t>
  </si>
  <si>
    <t>DDT</t>
  </si>
  <si>
    <t>PPB</t>
  </si>
  <si>
    <t>DNP</t>
  </si>
  <si>
    <t>VPM</t>
  </si>
  <si>
    <t>NCT</t>
  </si>
  <si>
    <t>FTH</t>
  </si>
  <si>
    <t>PTE</t>
  </si>
  <si>
    <t>GCR</t>
  </si>
  <si>
    <t>LDN</t>
  </si>
  <si>
    <t>DLD</t>
  </si>
  <si>
    <t>SOX</t>
  </si>
  <si>
    <t>ANL</t>
  </si>
  <si>
    <t>CBY</t>
  </si>
  <si>
    <t>ETH</t>
  </si>
  <si>
    <t>ACA</t>
  </si>
  <si>
    <t>DMS</t>
  </si>
  <si>
    <t>SAL</t>
  </si>
  <si>
    <t>NMA</t>
  </si>
  <si>
    <t>IPA</t>
  </si>
  <si>
    <t>TCA</t>
  </si>
  <si>
    <t>AYA</t>
  </si>
  <si>
    <t>TBB</t>
  </si>
  <si>
    <t>BPA</t>
  </si>
  <si>
    <t>MBP</t>
  </si>
  <si>
    <t>QUZ</t>
  </si>
  <si>
    <t>DDB</t>
  </si>
  <si>
    <t>APM</t>
  </si>
  <si>
    <t>TCP</t>
  </si>
  <si>
    <t>2PP</t>
  </si>
  <si>
    <t>PPP</t>
  </si>
  <si>
    <t>DBA</t>
  </si>
  <si>
    <t>BTY</t>
  </si>
  <si>
    <t>DCA</t>
  </si>
  <si>
    <t>4TB</t>
  </si>
  <si>
    <t>ANZ</t>
  </si>
  <si>
    <t>PBD</t>
  </si>
  <si>
    <t>PCT</t>
  </si>
  <si>
    <t>4CA</t>
  </si>
  <si>
    <t>4CB</t>
  </si>
  <si>
    <t>CAA</t>
  </si>
  <si>
    <t>CHX</t>
  </si>
  <si>
    <t>PHL</t>
  </si>
  <si>
    <t>PPX</t>
  </si>
  <si>
    <t>DCF</t>
  </si>
  <si>
    <t>ALD</t>
  </si>
  <si>
    <t>BZP</t>
  </si>
  <si>
    <t>CHP</t>
  </si>
  <si>
    <t>MLT</t>
  </si>
  <si>
    <t>DPA</t>
  </si>
  <si>
    <t>NDM</t>
  </si>
  <si>
    <t>TDD</t>
  </si>
  <si>
    <t>DAP</t>
  </si>
  <si>
    <t>CPT</t>
  </si>
  <si>
    <t>2NT</t>
  </si>
  <si>
    <t>ZIR</t>
  </si>
  <si>
    <t>2AE</t>
  </si>
  <si>
    <t>KEP</t>
  </si>
  <si>
    <t>THB</t>
  </si>
  <si>
    <t>SDS</t>
  </si>
  <si>
    <t>NAL</t>
  </si>
  <si>
    <t>LIN</t>
  </si>
  <si>
    <t>DAZ</t>
  </si>
  <si>
    <t>TAL</t>
  </si>
  <si>
    <t>PPN</t>
  </si>
  <si>
    <t>BSL</t>
  </si>
  <si>
    <t>FNF</t>
  </si>
  <si>
    <t>TAM</t>
  </si>
  <si>
    <t>STS</t>
  </si>
  <si>
    <t>BXL</t>
  </si>
  <si>
    <t>CTL</t>
  </si>
  <si>
    <t>ATZ</t>
  </si>
  <si>
    <t>PCL</t>
  </si>
  <si>
    <t>PHS</t>
  </si>
  <si>
    <t>DDP</t>
  </si>
  <si>
    <t>CPF</t>
  </si>
  <si>
    <t>TCS</t>
  </si>
  <si>
    <t>SFA</t>
  </si>
  <si>
    <t>CBX</t>
  </si>
  <si>
    <t>CPM</t>
  </si>
  <si>
    <t>MBT</t>
  </si>
  <si>
    <t>DAC</t>
  </si>
  <si>
    <t>TTM</t>
  </si>
  <si>
    <t>ALA</t>
  </si>
  <si>
    <t>ORY</t>
  </si>
  <si>
    <t>CYA</t>
  </si>
  <si>
    <t>FPH</t>
  </si>
  <si>
    <t>BDC</t>
  </si>
  <si>
    <t>CMI</t>
  </si>
  <si>
    <t>DDA</t>
  </si>
  <si>
    <t>TBC</t>
  </si>
  <si>
    <t>PPM</t>
  </si>
  <si>
    <t>AMI</t>
  </si>
  <si>
    <t>ACC</t>
  </si>
  <si>
    <t>IMZ</t>
  </si>
  <si>
    <t>PFF</t>
  </si>
  <si>
    <t>OXY</t>
  </si>
  <si>
    <t>MLC</t>
  </si>
  <si>
    <t>MIL</t>
  </si>
  <si>
    <t>PMT</t>
  </si>
  <si>
    <t>TDM</t>
  </si>
  <si>
    <t>IPB</t>
  </si>
  <si>
    <t>CMX</t>
  </si>
  <si>
    <t>TDC</t>
  </si>
  <si>
    <t>FNM</t>
  </si>
  <si>
    <t>PCZ</t>
  </si>
  <si>
    <t>FTL</t>
  </si>
  <si>
    <t>FCF</t>
  </si>
  <si>
    <t>ABN</t>
  </si>
  <si>
    <t>FXC</t>
  </si>
  <si>
    <t>PBZ</t>
  </si>
  <si>
    <t>FZN</t>
  </si>
  <si>
    <t>TCF</t>
  </si>
  <si>
    <t>CFF</t>
  </si>
  <si>
    <t>AAH</t>
  </si>
  <si>
    <t>DEP</t>
  </si>
  <si>
    <t>NPL</t>
  </si>
  <si>
    <t>QUL</t>
  </si>
  <si>
    <t>DBZ</t>
  </si>
  <si>
    <t>4NP</t>
  </si>
  <si>
    <t>HMT</t>
  </si>
  <si>
    <t>ALL</t>
  </si>
  <si>
    <t>MPP</t>
  </si>
  <si>
    <t>PHE</t>
  </si>
  <si>
    <t>MTE</t>
  </si>
  <si>
    <t>MHO</t>
  </si>
  <si>
    <t>1OC</t>
  </si>
  <si>
    <t>TEG</t>
  </si>
  <si>
    <t>BDG</t>
  </si>
  <si>
    <t>TCE</t>
  </si>
  <si>
    <t>DCP</t>
  </si>
  <si>
    <t>NND</t>
  </si>
  <si>
    <t>3MB</t>
  </si>
  <si>
    <t>TMP</t>
  </si>
  <si>
    <t>BZF</t>
  </si>
  <si>
    <t>DSF</t>
  </si>
  <si>
    <t>CBZ</t>
  </si>
  <si>
    <t>4FA</t>
  </si>
  <si>
    <t>DMB</t>
  </si>
  <si>
    <t>ESF</t>
  </si>
  <si>
    <t>HCZ</t>
  </si>
  <si>
    <t>NDA</t>
  </si>
  <si>
    <t>FPM</t>
  </si>
  <si>
    <t>BFT</t>
  </si>
  <si>
    <t>NON</t>
  </si>
  <si>
    <t>DAM</t>
  </si>
  <si>
    <t>TKX</t>
  </si>
  <si>
    <t>MYB</t>
  </si>
  <si>
    <t>PXF</t>
  </si>
  <si>
    <t>TRI</t>
  </si>
  <si>
    <t>PYD</t>
  </si>
  <si>
    <t>DPY</t>
  </si>
  <si>
    <t>TCZ</t>
  </si>
  <si>
    <t>FBZ</t>
  </si>
  <si>
    <t>FTM</t>
  </si>
  <si>
    <t>TZP</t>
  </si>
  <si>
    <t>FIP</t>
  </si>
  <si>
    <t>CDI</t>
  </si>
  <si>
    <t>SUF</t>
  </si>
  <si>
    <t>FDX</t>
  </si>
  <si>
    <t>FXD</t>
  </si>
  <si>
    <t>BTF</t>
  </si>
  <si>
    <t>ASM</t>
  </si>
  <si>
    <t>TXS</t>
  </si>
  <si>
    <t>FLF</t>
  </si>
  <si>
    <t>EMB</t>
  </si>
  <si>
    <t>PRS</t>
  </si>
  <si>
    <t>BSC</t>
  </si>
  <si>
    <t>FXS</t>
  </si>
  <si>
    <t>BTR</t>
  </si>
  <si>
    <t>CMT</t>
  </si>
  <si>
    <t>DTH</t>
  </si>
  <si>
    <t>FNT</t>
  </si>
  <si>
    <t>NAN</t>
  </si>
  <si>
    <t>PPI</t>
  </si>
  <si>
    <t>14T</t>
  </si>
  <si>
    <t>25T</t>
  </si>
  <si>
    <t>TCY</t>
  </si>
  <si>
    <t>2PR</t>
  </si>
  <si>
    <t>Comparative AFT for DR, OM, PP and LM (Log mM)</t>
  </si>
  <si>
    <t xml:space="preserve"> Ratio FET/AFT (geomeans)</t>
  </si>
  <si>
    <t>HPLC (confirmed)</t>
  </si>
  <si>
    <t>HPLC (nominal concentration confirmed)</t>
  </si>
  <si>
    <t>0 (HPLC, rapid decline observed)</t>
  </si>
  <si>
    <t>Analysis of exposure concentration (empty field = no analysis, 0 = strong deviation/decline)</t>
  </si>
  <si>
    <t>STL</t>
  </si>
  <si>
    <t>FCT</t>
  </si>
  <si>
    <t>Inhibition of mitochondrial electron transport at complex I</t>
  </si>
  <si>
    <t>?Neurotoxicity (neonicotiniods have weak activity in vertebrates)</t>
  </si>
  <si>
    <t>Sufactant</t>
  </si>
  <si>
    <t xml:space="preserve">Pigott, T.A., Seay, S.M., 1999. A review of the efficacy of selective serotonin reuptake inhibitors in obsessive-compulsive disorder. J. Clin. Psychiatr.
</t>
  </si>
  <si>
    <t>Serotonin reuptake inhibition</t>
  </si>
  <si>
    <t>*Narcosis</t>
  </si>
  <si>
    <t>Not classified in ECOSAR</t>
  </si>
  <si>
    <t>Fungicide/Biocide</t>
  </si>
  <si>
    <t>Herbidide colour agent in food and cosmetics</t>
  </si>
  <si>
    <t>Indstrial chemical</t>
  </si>
  <si>
    <t>Anesthetic</t>
  </si>
  <si>
    <t>Drug (prodrug of chloral hydrate)</t>
  </si>
  <si>
    <t xml:space="preserve">Zaugg, M., Lucchinetti, E., Spahn, D.R., Pasch, T., Garcia, C., Schaub, M.C., 2002. Differential effects of anesthetics on mitochondrial K (ATP) channel activity and cardiomyocyte protection. Anesthesiology 97, 15-23.
</t>
  </si>
  <si>
    <t>*Reactive</t>
  </si>
  <si>
    <t>Diverse</t>
  </si>
  <si>
    <t>Preservative/food additive</t>
  </si>
  <si>
    <t>Industrial chemical, used in herbicide mixtures</t>
  </si>
  <si>
    <t>CPO</t>
  </si>
  <si>
    <t>MPL</t>
  </si>
  <si>
    <t>ZEF</t>
  </si>
  <si>
    <t>Unspecific</t>
  </si>
  <si>
    <t>Pesiticide (antihelminthic)</t>
  </si>
  <si>
    <t>Species, stage and exposure duration</t>
  </si>
  <si>
    <t>Control mortality (percent)</t>
  </si>
  <si>
    <t>CC(=O)N1C2C1C3(C(C4=C(C=C(C=C4OC)C=O)N(C2)O3)COC(=O)N)OC(=O)C</t>
  </si>
  <si>
    <t xml:space="preserve"> </t>
  </si>
  <si>
    <t>Physico-chemical data</t>
  </si>
  <si>
    <t>MoA (Verhaar)</t>
  </si>
  <si>
    <t>MoA (Russom)</t>
  </si>
  <si>
    <t>QSAR (ChemProp)</t>
  </si>
  <si>
    <t>MoA</t>
  </si>
  <si>
    <t>Identification</t>
  </si>
  <si>
    <t>FET-No</t>
  </si>
  <si>
    <t>CPE</t>
  </si>
  <si>
    <t>Flusilazole</t>
  </si>
  <si>
    <t>BFZ</t>
  </si>
  <si>
    <t>Flumiclorac-pentyl</t>
  </si>
  <si>
    <t>FMI</t>
  </si>
  <si>
    <t>MTC</t>
  </si>
  <si>
    <t>MIT</t>
  </si>
  <si>
    <t>Ropinirole hydrochloride</t>
  </si>
  <si>
    <t>Prosulfuron</t>
  </si>
  <si>
    <t>FFB</t>
  </si>
  <si>
    <t>ENS</t>
  </si>
  <si>
    <t>FOL</t>
  </si>
  <si>
    <t>DTA</t>
  </si>
  <si>
    <t>FHX</t>
  </si>
  <si>
    <t>Halosulfuron-methyl</t>
  </si>
  <si>
    <t>(1aS8R9S9aS)-1-Acetyl-8-[(carbamoyloxy)methyl]-5-formyl-7-methoxy-11a29a-tetrahydro-39-epoxyazireno[23-c][1]benzazocin-9(8H)-yl acetate</t>
  </si>
  <si>
    <t>MGK</t>
  </si>
  <si>
    <t>FXN</t>
  </si>
  <si>
    <t>5HPP-33</t>
  </si>
  <si>
    <t>Fenpyroximate (ZE)</t>
  </si>
  <si>
    <t>OXA</t>
  </si>
  <si>
    <t>Cyclanilide</t>
  </si>
  <si>
    <t>Imazamox</t>
  </si>
  <si>
    <t>Dodecyl linear alkyl benzene sulfonate</t>
  </si>
  <si>
    <t>Doramectin</t>
  </si>
  <si>
    <t>Spiroxamine</t>
  </si>
  <si>
    <t>DNB</t>
  </si>
  <si>
    <t>MAN</t>
  </si>
  <si>
    <t>DCZ</t>
  </si>
  <si>
    <t>DBP</t>
  </si>
  <si>
    <t>Tetrabromobisphenol A</t>
  </si>
  <si>
    <t>BUT</t>
  </si>
  <si>
    <t>AXD</t>
  </si>
  <si>
    <t>PSM</t>
  </si>
  <si>
    <t>ZXM</t>
  </si>
  <si>
    <t>PLL</t>
  </si>
  <si>
    <t>HPC</t>
  </si>
  <si>
    <t>WIN55,212-2</t>
  </si>
  <si>
    <t>TFP</t>
  </si>
  <si>
    <t>DCM</t>
  </si>
  <si>
    <t>3-({(3R4R)-6-[(5-fluoro-13-benzothiazol-2-yl)methoxy]-4-hydroxy-34-dihydro-2H-chromen-3-yl}methyl)benzoic acid</t>
  </si>
  <si>
    <t>Merquat 100</t>
  </si>
  <si>
    <t>MQT</t>
  </si>
  <si>
    <t>6-chloro-3-[(4-chlorothiophen-2-yl)carbonyl]-5-fluoro-2-oxo-23-dihydro-1H-indole-1-carboxamide</t>
  </si>
  <si>
    <t>CZF</t>
  </si>
  <si>
    <t>Darbufelone mesylate</t>
  </si>
  <si>
    <t>Dibutylmaleate</t>
  </si>
  <si>
    <t>DBM</t>
  </si>
  <si>
    <t>sophocarpine</t>
  </si>
  <si>
    <t>(2S3S)-N-[2-methoxy-5-(trifluoromethoxy)benzyl]-2-phenylpiperidin-3-amine</t>
  </si>
  <si>
    <t>Spirodiclofen</t>
  </si>
  <si>
    <t>[2-({[2-(4-tert-Butyl-13-thiazol-2-yl)-1-benzofuran-5-yl]oxy}methyl)phenyl]acetic acid</t>
  </si>
  <si>
    <t>Etoxazole</t>
  </si>
  <si>
    <t>FPE</t>
  </si>
  <si>
    <t>TPM</t>
  </si>
  <si>
    <t>CHB</t>
  </si>
  <si>
    <t>26-Dichloro-N-[3-(2-hydroxypropan-2-yl)-2-methyl-1-benzofuran-7-yl]benzamide</t>
  </si>
  <si>
    <t>4,6-Dinitro-o-cresol</t>
  </si>
  <si>
    <t>DOC</t>
  </si>
  <si>
    <t>Propoxycarbazone-sodium</t>
  </si>
  <si>
    <t>BDA</t>
  </si>
  <si>
    <t>Farglitazar</t>
  </si>
  <si>
    <t>cis-4-cyano-4-(1-cyclohexyl-3-ethyl-1H-indazol-6-yl)cyclohexanecarboxylic acid</t>
  </si>
  <si>
    <t>1-[(3S)-4-[{[35-bis(trifluoromethyl)phenyl]carbonyl}(methyl)amino]-3-(34-dichlorophenyl)butyl]-4-cyclohexyl-1-azoniabicyclo[2.2.2]octane methanesulfonate</t>
  </si>
  <si>
    <t>Quinine sulphate</t>
  </si>
  <si>
    <t>Rutin hydrate</t>
  </si>
  <si>
    <t>Surinabant</t>
  </si>
  <si>
    <t>2-{[6-methoxy-11-dioxido-3-oxo-4-(propan-2-yl)-12-benzothiazol-2(3H)-yl]methoxy}-9-[2-(piperidin-1-yl)ethoxy]-4H-pyrido[12-a]pyrimidin-4-one</t>
  </si>
  <si>
    <t>PCP</t>
  </si>
  <si>
    <t>3-[(dimethylamino)methyl]-4-[3-methyl-4-(methylsulfanyl)phenoxy]benzenesulfonamide</t>
  </si>
  <si>
    <t>3-Iodo-2-propynylbutylcarbamate (Iodocarb)</t>
  </si>
  <si>
    <t>6-{2-[4-(12-benzothiazol-3-yl)piperazin-1-yl]ethyl}-448-trimethyl-34-dihydroquinolin-2(1H)-one methanesulfonate</t>
  </si>
  <si>
    <t>3-(2-Bromophenyl)-7-{[2-(hydroxymethyl)-23-dihydro-14-benzodioxin-6-yl]amino}-1-methyl-34-dihydropyrimido[45-d]pyrimidin-2(1H)-one</t>
  </si>
  <si>
    <t>{4-[3-(aminomethyl)phenyl]piperidin-1-yl}{5-[(2-fluorophenyl)ethynyl]furan-2-yl}methanone</t>
  </si>
  <si>
    <t>2-chloro-N-{(S)-phenyl[(2S)-piperidin-2-yl]methyl}-3-(trifluoromethyl)benzamide</t>
  </si>
  <si>
    <t>ethyl [(7-{[2-(3-chlorophenyl)-2-hydroxyethyl]amino}-5678-tetrahydronaphthalen-2-yl)oxy]acetate hydrochloride</t>
  </si>
  <si>
    <t>4-[(9-Cyclopentyl-77-difluoro-5-methyl-6-oxo-6789-tetrahydro-5H-pyrimido[45-b][14]diazepin-2-yl)amino]-3-methoxy-N-(1-methylpiperidin-4-yl)benzamide</t>
  </si>
  <si>
    <t>Emamectin (benzoate)</t>
  </si>
  <si>
    <t>Gentamycin (sulfate)</t>
  </si>
  <si>
    <t>Glycyrrhizin</t>
  </si>
  <si>
    <t>PEG pendants_3b</t>
  </si>
  <si>
    <t>Milbemectin (mixture of &gt;=70 percent Milbemcin A4 &amp; &lt;=30 percent Milbemycin A3)</t>
  </si>
  <si>
    <t>MIM</t>
  </si>
  <si>
    <t>1-[(2Z)-3-(2-chloro-3'-methoxybiphenyl-4-yl)prop-2-en-1-yl]azepane hydrochloride (1:1)</t>
  </si>
  <si>
    <t>1'-{2-[2-(34-dichlorophenyl)-4-(phenylcarbonyl)morpholin-2-yl]ethyl}-NN-dimethyl-14'-bipiperidine-4'-carboxamide hydrochloride</t>
  </si>
  <si>
    <t>N-[(S)-(3S)-1-azabicyclo[2.2.2]oct-3-yl(phenyl)methyl]-26-dichloro-3-(trifluoromethyl)benzamide hydrochloride (1:1)</t>
  </si>
  <si>
    <t>(1R)-1-[(ethoxycarbonyl)oxy]ethyl 1-{[5-(5-chlorothiophen-2-yl)-12-oxazol-3-yl]methyl}-2-{[1-(propan-2-yl)piperidin-4-yl]carbamoyl}-1H-indole-5-carboxylate hydrochloride</t>
  </si>
  <si>
    <t>3-chloro-2-[(3R)-5-chloro-1-(24-dimethoxybenzyl)-3-methyl-2-oxo-23-dihydro-1H-indol-3-yl]-N-ethyl-N-(pyridin-3-ylmethyl)benzamide hydrochloride</t>
  </si>
  <si>
    <t>5-(Benzylsulfonyl)-2-{[2-(dimethylamino)ethyl](ethyl)amino}-NN-Diethyl-4-(4-phenylpiperidin-1-yl)benzamide trifluoroacetate (1:1)</t>
  </si>
  <si>
    <t>Bisphenol A monomethyl ether</t>
  </si>
  <si>
    <t>4.6-Dinitro-o-cresol</t>
  </si>
  <si>
    <t>QZE</t>
  </si>
  <si>
    <t>CAP</t>
  </si>
  <si>
    <t>Luviquat HM 522</t>
  </si>
  <si>
    <t>BYL</t>
  </si>
  <si>
    <t>PAD</t>
  </si>
  <si>
    <t>TFZ</t>
  </si>
  <si>
    <t>SBA</t>
  </si>
  <si>
    <t>Tridecyl mono-octyl ether</t>
  </si>
  <si>
    <t>TMO</t>
  </si>
  <si>
    <t>Cycloheximid</t>
  </si>
  <si>
    <t>Colcemid</t>
  </si>
  <si>
    <t>Acetyl salicylic acid</t>
  </si>
  <si>
    <t>Valpromid</t>
  </si>
  <si>
    <t>DPD</t>
  </si>
  <si>
    <t>HQU</t>
  </si>
  <si>
    <t>Hydroxy urea</t>
  </si>
  <si>
    <t>OTH</t>
  </si>
  <si>
    <t>Tetradecyl sulfate</t>
  </si>
  <si>
    <t>TMA</t>
  </si>
  <si>
    <t>NCA</t>
  </si>
  <si>
    <t>2,2'-Methylenebis(4-chlorophenol)</t>
  </si>
  <si>
    <t>MCP</t>
  </si>
  <si>
    <t>PHT</t>
  </si>
  <si>
    <t>CZE</t>
  </si>
  <si>
    <t>TCM</t>
  </si>
  <si>
    <t>FFE</t>
  </si>
  <si>
    <t>2-Methyl-1,4-naphthoquinone</t>
  </si>
  <si>
    <t>MNQ</t>
  </si>
  <si>
    <t>DSB</t>
  </si>
  <si>
    <t>THI</t>
  </si>
  <si>
    <t>DFP</t>
  </si>
  <si>
    <t>LTF</t>
  </si>
  <si>
    <t>Juglone</t>
  </si>
  <si>
    <t>JUG</t>
  </si>
  <si>
    <t>CHT</t>
  </si>
  <si>
    <t>RTN</t>
  </si>
  <si>
    <t>TBP</t>
  </si>
  <si>
    <t>PPG</t>
  </si>
  <si>
    <t>TPH</t>
  </si>
  <si>
    <t>PFE</t>
  </si>
  <si>
    <t>2,2'-Methylenebis(3,4,6-trichlorophenol) (Hexachlorophene)</t>
  </si>
  <si>
    <t>HXC</t>
  </si>
  <si>
    <t>PMA</t>
  </si>
  <si>
    <t>Methylmercury chloride</t>
  </si>
  <si>
    <t>MMC</t>
  </si>
  <si>
    <t>TPA</t>
  </si>
  <si>
    <t>TCC</t>
  </si>
  <si>
    <t>Retinoic acid</t>
  </si>
  <si>
    <t>Valproate Sodium</t>
  </si>
  <si>
    <t>DMT</t>
  </si>
  <si>
    <t>Zinc pyrithione</t>
  </si>
  <si>
    <t>ZPT</t>
  </si>
  <si>
    <t>Menadione sodium bisulfite</t>
  </si>
  <si>
    <t>Phenylhydrazine</t>
  </si>
  <si>
    <t>FEN</t>
  </si>
  <si>
    <t>Benzylhydrazine (dihydrochloride)</t>
  </si>
  <si>
    <t>Benzhydrazide</t>
  </si>
  <si>
    <t>Perfluorooctanoic Acid</t>
  </si>
  <si>
    <t>FAT</t>
  </si>
  <si>
    <t>Benz(a)anthracene</t>
  </si>
  <si>
    <t>MRX</t>
  </si>
  <si>
    <t>CHD</t>
  </si>
  <si>
    <t>Octadecanoic acid</t>
  </si>
  <si>
    <t>Phenytoin</t>
  </si>
  <si>
    <t>ALR</t>
  </si>
  <si>
    <t>712-Dimethylbenz(a)anthracene</t>
  </si>
  <si>
    <t>15T</t>
  </si>
  <si>
    <t>PDD</t>
  </si>
  <si>
    <t>pp'-DDT</t>
  </si>
  <si>
    <t>PDT</t>
  </si>
  <si>
    <t>PDE</t>
  </si>
  <si>
    <t>Tris(2-ethylhexyl) phosphate</t>
  </si>
  <si>
    <t>25-Dimethyl-25-di-(tert-butylperoxy)hexane</t>
  </si>
  <si>
    <t>Dicumyl peroxide</t>
  </si>
  <si>
    <t>NVL</t>
  </si>
  <si>
    <t>meso-Hexestrol</t>
  </si>
  <si>
    <t>Dihexyl phthalate</t>
  </si>
  <si>
    <t>Trioctyl trimellitate</t>
  </si>
  <si>
    <t>4-Cyclohexylcyclohexanone</t>
  </si>
  <si>
    <t>24-Di-tert-butylphenol</t>
  </si>
  <si>
    <t>Disulfiram</t>
  </si>
  <si>
    <t>Triphenyl phosphite</t>
  </si>
  <si>
    <t>FRD</t>
  </si>
  <si>
    <t>Di(2-ethylhexyl) adipate</t>
  </si>
  <si>
    <t>Bis(2-ethylhexyl) nonanedioate</t>
  </si>
  <si>
    <t>Pentachloronitrobenzene</t>
  </si>
  <si>
    <t>PCN</t>
  </si>
  <si>
    <t>Dibutyl decanedioate</t>
  </si>
  <si>
    <t>Methyl dodecanoate</t>
  </si>
  <si>
    <t>Dodecyltrimethylammonium chloride</t>
  </si>
  <si>
    <t>DEH</t>
  </si>
  <si>
    <t>1-Tridecanol</t>
  </si>
  <si>
    <t>1-Tetradecanol</t>
  </si>
  <si>
    <t>Dioctyl phthalate</t>
  </si>
  <si>
    <t>24-Bis(2-methylbutan-2-yl)phenol</t>
  </si>
  <si>
    <t>Bis(2-ethylhexyl) decanedioate</t>
  </si>
  <si>
    <t>Dodecylbenzene</t>
  </si>
  <si>
    <t>Decane</t>
  </si>
  <si>
    <t>Sucrose octaacetate</t>
  </si>
  <si>
    <t>26-Di-tert-butylphenol</t>
  </si>
  <si>
    <t>Pyrene</t>
  </si>
  <si>
    <t>Dipentyl phthalate</t>
  </si>
  <si>
    <t>ETI</t>
  </si>
  <si>
    <t>Diphenhydramine hydrochloride</t>
  </si>
  <si>
    <t>6-Thioguanine</t>
  </si>
  <si>
    <t>Benzo(b)fluoranthene</t>
  </si>
  <si>
    <t>1DD</t>
  </si>
  <si>
    <t>Perfluorooctanoic acid C8</t>
  </si>
  <si>
    <t>Perfluorodecanoic acid</t>
  </si>
  <si>
    <t>Perfluorobutanoic acid, C4 (PFBA)</t>
  </si>
  <si>
    <t>Hexadecane</t>
  </si>
  <si>
    <t>Octamethylcyclotetrasiloxane</t>
  </si>
  <si>
    <t>Pentadecane</t>
  </si>
  <si>
    <t>1-Pentadecanol</t>
  </si>
  <si>
    <t>1122-Tetrahydroperfluoro-1-decanol</t>
  </si>
  <si>
    <t>Diphenyl isophthalate</t>
  </si>
  <si>
    <t>op'-DDT</t>
  </si>
  <si>
    <t>3a477a-Tetrahydro-47-methanoisobenzofuran-13-dione</t>
  </si>
  <si>
    <t>Sodium hexyldecyl sulfate</t>
  </si>
  <si>
    <t>1-Tetradecene</t>
  </si>
  <si>
    <t>Sodium xylenesulfonate</t>
  </si>
  <si>
    <t>Sorbitan mono-(9Z)-9-octadecenoate</t>
  </si>
  <si>
    <t>4-Octylphenol</t>
  </si>
  <si>
    <t>Octabenzone</t>
  </si>
  <si>
    <t>1H1H2H2H-Perfluorooctyl iodide</t>
  </si>
  <si>
    <t>Perfluoroundecanoic acid</t>
  </si>
  <si>
    <t>3344556677888-Tridecafluorooctyl methacrylate</t>
  </si>
  <si>
    <t>Dioctyl succinate</t>
  </si>
  <si>
    <t>22-Bis(4-hydroxyphenyl)-111-trichloroethane</t>
  </si>
  <si>
    <t>Tris(2-ethylhexyl) trimellitate</t>
  </si>
  <si>
    <t>N-[3-(Dimethylamino)propyl]-NN'N'-trimethylpropane-13-diamine</t>
  </si>
  <si>
    <t>Mono(2-ethylhexyl) phthalate</t>
  </si>
  <si>
    <t>N-Methyldioctylamine</t>
  </si>
  <si>
    <t>4-Ethyloct-1-yn-3-ol</t>
  </si>
  <si>
    <t>Bis(2-ethylhexyl) terephthalate</t>
  </si>
  <si>
    <t>Pentane-15-diyl dibenzoate</t>
  </si>
  <si>
    <t>IDX</t>
  </si>
  <si>
    <t>TBF</t>
  </si>
  <si>
    <t>Clotrimazole</t>
  </si>
  <si>
    <t>Tridemorph</t>
  </si>
  <si>
    <t>Sodium dodecylbenzenesulfonate</t>
  </si>
  <si>
    <t>Dipropylene glycol</t>
  </si>
  <si>
    <t>CFT</t>
  </si>
  <si>
    <t>Diisodecyl hexanedioate</t>
  </si>
  <si>
    <t>Potassium nonafluoro-1-butanesulfonate</t>
  </si>
  <si>
    <t>1-Hexadecanol</t>
  </si>
  <si>
    <t>Titanium(4+) 2-[bis(2-hydroxyethyl)amino]ethanolate propan-2-olate (1:2:2)</t>
  </si>
  <si>
    <t>PPY</t>
  </si>
  <si>
    <t>Fenofibrate</t>
  </si>
  <si>
    <t>4NY</t>
  </si>
  <si>
    <t>CMP</t>
  </si>
  <si>
    <t>Triisononyl trimellitate</t>
  </si>
  <si>
    <t>Carbosulfan</t>
  </si>
  <si>
    <t>Benzyloctyl adipate</t>
  </si>
  <si>
    <t>RMT</t>
  </si>
  <si>
    <t>4-Hydroxytamoxifen</t>
  </si>
  <si>
    <t>12-Benzenedicarboxylic acid di-C9-11-branched alkyl esters C10-rich</t>
  </si>
  <si>
    <t>QUI</t>
  </si>
  <si>
    <t>Butyryl trihexyl citrate</t>
  </si>
  <si>
    <t>ETX</t>
  </si>
  <si>
    <t>TYP</t>
  </si>
  <si>
    <t>Hexaflumuron</t>
  </si>
  <si>
    <t>Troglitazone</t>
  </si>
  <si>
    <t>TFT</t>
  </si>
  <si>
    <t>Imazapic</t>
  </si>
  <si>
    <t>Tebufenozide</t>
  </si>
  <si>
    <t>TTP</t>
  </si>
  <si>
    <t>DCS</t>
  </si>
  <si>
    <t>FLU</t>
  </si>
  <si>
    <t>RTL</t>
  </si>
  <si>
    <t>Zamifenacin</t>
  </si>
  <si>
    <t>FPP</t>
  </si>
  <si>
    <t>Fulvestrant</t>
  </si>
  <si>
    <t>1-[(3S)-6-(benzyloxy)-23-dihydro-1-benzofuran-3-yl]-1-hydroxyurea</t>
  </si>
  <si>
    <t>DPG</t>
  </si>
  <si>
    <t>13-dichloro-67891012-hexahydroazepino[21-b]quinazoline hydrochloride (1:1)</t>
  </si>
  <si>
    <t>3-(Difluoromethyl)-1-(4-methoxyphenyl)-5-[4-(methylsulfinyl)phenyl]-1H-pyrazole</t>
  </si>
  <si>
    <t>N-[(1-{[2-(diethylamino)ethyl]amino}-7-methoxy-9-oxo-9H-thioxanthen-4-yl)methyl]formamide</t>
  </si>
  <si>
    <t>Methoxyfenozide</t>
  </si>
  <si>
    <t>Diisononyl cyclohexane-12-dicarboxylate</t>
  </si>
  <si>
    <t>4-Nonylphenol branched</t>
  </si>
  <si>
    <t>(2S3S)-3-methyl-2-(3-oxo-12-benzothiazol-2(3H)-yl)pentanoic acid</t>
  </si>
  <si>
    <t>N-(123567-hexahydro-s-indacen-4-ylcarbamoyl)-4-(2-hydroxypropan-2-yl)furan-2-sulfonamide</t>
  </si>
  <si>
    <t>Fandosentan potassium salt</t>
  </si>
  <si>
    <t>(2-{[4-(4-chloro-25-dimethoxyphenyl)-5-(2-cyclohexylethyl)-13-thiazol-2-yl]carbamoyl}-57-dimethyl-1H-indol-1-yl)acetic acid trifluoroacetate</t>
  </si>
  <si>
    <t>4-(3-{[4-(2-methyl-1H-imidazol-1-yl)phenyl]sulfanyl}phenyl)tetrahydro-2H-pyran-4-carboxamide methanesulfonate</t>
  </si>
  <si>
    <t>N-ethyl-3-methyl-N-(propan-2-yl)-5-{[(2S)-2-(pyridin-4-ylamino)propyl]oxy}benzamide 4-methylbenzenesulfonate</t>
  </si>
  <si>
    <t>4-bromophenyl 14-diazabicyclo[3.2.2]nonane-4-carboxylate</t>
  </si>
  <si>
    <t>(1aR7bS)-5-({[(2S3S6S)-6-ethyl-2-phenylpiperidin-3-yl]amino}methyl)-6-methoxy-3-methyl-11a37b-tetrahydro-2H-cyclopropa[c]quinolin-2-one</t>
  </si>
  <si>
    <t>Nelivaptan</t>
  </si>
  <si>
    <t>(2-ethyl-4-{[(4-{[4-(4-methoxyphenyl)piperazin-1-yl]methyl}-2-[4-(trifluoromethyl)phenyl]-13-thiazol-5-yl)methyl]sulfanyl}phenoxy)acetic acid</t>
  </si>
  <si>
    <t>1-[2-({[(2-chloro-45-difluorophenyl)carbonyl]carbamoyl}amino)-4-fluorophenyl]piperidine-4-carboxylic acid</t>
  </si>
  <si>
    <t>2-[35-Bis(trifluoromethyl)phenyl]-N-{4-(4-fluoro-2-methylphenyl)-6-[(2R3R)-3-hydroxy-2-(hydroxymethyl)pyrrolidin-1-yl]pyridin-3-yl}-N2-dimethylpropanamide</t>
  </si>
  <si>
    <t>1-(2-carboxyphenyl)-7-chloro-6-[(2-chloro-46-difluorophenyl)amino]-4-oxo-14-dihydroquinoline-3-carboxylic acid</t>
  </si>
  <si>
    <t>N2-[4-cyano-3-(trifluoromethyl)phenyl]-N2-(222-trifluoroethyl)glycinamide</t>
  </si>
  <si>
    <t>sodium 3-(4-{[1-(3-ethoxyphenyl)-2-(4-methylphenyl)-1H-imidazol-4-yl]carbonyl}piperazin-1-yl)naphthalene-1-carboxylate</t>
  </si>
  <si>
    <t>44’4"-Ethane-111-triyltriphenol</t>
  </si>
  <si>
    <t>PEG pendants_3a</t>
  </si>
  <si>
    <t>4-chloro-2-fluoro-5-{[4-(3-fluorophenyl)-4-{2-[3-(2-methyl-1H-benzimidazol-1-yl)-8-azabicyclo[3.2.1]oct-8-yl]ethyl}piperidin-1-yl]carbonyl}-N-methylbenzenesulfonamide</t>
  </si>
  <si>
    <t>{4-[5-(aminomethyl)-2-fluorophenyl]piperidin-1-yl}(4-bromo-3-methyl-5-propoxythiophen-2-yl)methanone hydrochloride</t>
  </si>
  <si>
    <t>ethyl 4-(4-{[(2S)-2-hydroxy-3-{4-hydroxy-3-[(methylsulfonyl)amino]phenoxy}propyl]amino}cyclohexyl)benzoate hydrochloride</t>
  </si>
  <si>
    <t>5-(24-Difluorophenoxy)-2-[(2-hydroxy-2-methylpropyl)amino]-8-methylpyrido[23-d]pyrimidin-7(8H)-one hydrochloride (1:1)</t>
  </si>
  <si>
    <t>Sodium (2-chloro-4-methylbenzoyl){[(E)-2-(4-methoxyphenyl)ethenyl]sulfonyl}azanide</t>
  </si>
  <si>
    <t>Diethylene glycol dibenzoate</t>
  </si>
  <si>
    <t>Thalidomide</t>
  </si>
  <si>
    <t>C.I. Solvent yellow 14</t>
  </si>
  <si>
    <t>4-Heptylphenol</t>
  </si>
  <si>
    <t>33'-Dimethoxybenzidine dihydrochloride</t>
  </si>
  <si>
    <t>Adipic acid polypropyleneglycol laurate</t>
  </si>
  <si>
    <t>C10-21 sulfonic acids phenyl esters</t>
  </si>
  <si>
    <t>3-(1-{2-[(2R)-4-benzoyl-2-(34-difluorophenyl)morpholin-2-yl]ethyl}-4-phenylpiperidin-4-yl)-11-dimethylurea hydrochloride (1:1)</t>
  </si>
  <si>
    <t>Fully acetylated glycerol monoester on 12-Hydroxystearic acid (85 percent); Fully acetylated glycerol monostearate represents (10 percent)</t>
  </si>
  <si>
    <t>Nalpha-[(3R)-3-(13-benzodioxol-5-yl)-3-{[(6-methoxynaphthalen-2-yl)sulfonyl]amino}propanoyl]-4-{[(2R6S)-26-dimethylpiperidin-1-yl]methyl}-N-methyl-N-propan-2-yl-D-phenylalaninamide hydrochloride</t>
  </si>
  <si>
    <t>Corticosterone</t>
  </si>
  <si>
    <t>17beta-Estradiol</t>
  </si>
  <si>
    <t>Reserpine</t>
  </si>
  <si>
    <t>Aspirin</t>
  </si>
  <si>
    <t>5-Fluorouracil</t>
  </si>
  <si>
    <t>Isoproterenol hydrochloride</t>
  </si>
  <si>
    <t>6-Propyl-2-thiouracil</t>
  </si>
  <si>
    <t>Urethane</t>
  </si>
  <si>
    <t>Spironolactone</t>
  </si>
  <si>
    <t>Bronopol</t>
  </si>
  <si>
    <t>Haloperidol</t>
  </si>
  <si>
    <t>Prednisone</t>
  </si>
  <si>
    <t>Estrone</t>
  </si>
  <si>
    <t>Indomethacin</t>
  </si>
  <si>
    <t>4-Aminofolic acid</t>
  </si>
  <si>
    <t>N-Nitrosodiethylamine</t>
  </si>
  <si>
    <t>Busulfan</t>
  </si>
  <si>
    <t>6-Methyl-2-thiouracil</t>
  </si>
  <si>
    <t>Parathion</t>
  </si>
  <si>
    <t>Phenobarbital sodium</t>
  </si>
  <si>
    <t>55-Diphenylhydantoin</t>
  </si>
  <si>
    <t>Sucrose</t>
  </si>
  <si>
    <t>12-Propylene glycol</t>
  </si>
  <si>
    <t>17alpha-Ethinylestradiol</t>
  </si>
  <si>
    <t>Progesterone</t>
  </si>
  <si>
    <t>Testosterone propionate</t>
  </si>
  <si>
    <t>17alpha-Estradiol</t>
  </si>
  <si>
    <t>Pyrimethamine</t>
  </si>
  <si>
    <t>17-Methyltestosterone</t>
  </si>
  <si>
    <t>Hydrochlorothiazide</t>
  </si>
  <si>
    <t>Methotrexate</t>
  </si>
  <si>
    <t>Folic acid</t>
  </si>
  <si>
    <t>4-Chloro-3-methylphenol</t>
  </si>
  <si>
    <t>Nicotinic acid</t>
  </si>
  <si>
    <t>Nitrofurazone</t>
  </si>
  <si>
    <t>4-Aminoazobenzene</t>
  </si>
  <si>
    <t>Acetamide</t>
  </si>
  <si>
    <t>Dimethoate</t>
  </si>
  <si>
    <t>Tetracycline</t>
  </si>
  <si>
    <t>Methimazole</t>
  </si>
  <si>
    <t>4-Nitrobenzoic acid</t>
  </si>
  <si>
    <t>Dichlorvos</t>
  </si>
  <si>
    <t>N-Nitrosodimethylamine</t>
  </si>
  <si>
    <t>4-Androstene-317-dione</t>
  </si>
  <si>
    <t>Diethyl sulfate</t>
  </si>
  <si>
    <t>Pyridoxine</t>
  </si>
  <si>
    <t>Benzoic acid</t>
  </si>
  <si>
    <t>Methyl methanesulfonate</t>
  </si>
  <si>
    <t>Nitrofurantoin</t>
  </si>
  <si>
    <t>NN-Dimethylformamide</t>
  </si>
  <si>
    <t>Norethindrone</t>
  </si>
  <si>
    <t>17alpha-Hydroxyprogesterone</t>
  </si>
  <si>
    <t>D-Mannitol</t>
  </si>
  <si>
    <t>Cytarabine hydrochloride</t>
  </si>
  <si>
    <t>l-Tryptophan</t>
  </si>
  <si>
    <t>Cacodylic acid</t>
  </si>
  <si>
    <t>Dimethylarsinic acid</t>
  </si>
  <si>
    <t>Dalapon</t>
  </si>
  <si>
    <t>Phenolphthalein</t>
  </si>
  <si>
    <t>Hexachlorocyclopentadiene</t>
  </si>
  <si>
    <t>13-Dibromo-55-dimethylhydantoin</t>
  </si>
  <si>
    <t>55-Dimethylhydantoin</t>
  </si>
  <si>
    <t>Dimethyl sulfate</t>
  </si>
  <si>
    <t>Acetyltriethyl citrate</t>
  </si>
  <si>
    <t>Acetyl tributyl citrate</t>
  </si>
  <si>
    <t>Citric acid</t>
  </si>
  <si>
    <t>Triethyl citrate</t>
  </si>
  <si>
    <t>Isophorone</t>
  </si>
  <si>
    <t>N-Methylacetamide</t>
  </si>
  <si>
    <t>Methacrylamide</t>
  </si>
  <si>
    <t>Dichloroacetic acid</t>
  </si>
  <si>
    <t>Dimethylcarbamoyl chloride</t>
  </si>
  <si>
    <t>Oxytetracycline</t>
  </si>
  <si>
    <t>Dapsone</t>
  </si>
  <si>
    <t>Cumene hydroperoxide</t>
  </si>
  <si>
    <t>Warfarin</t>
  </si>
  <si>
    <t>Phenolphthalin</t>
  </si>
  <si>
    <t>Acenaphthene</t>
  </si>
  <si>
    <t>12-Dimethyl-3-nitrobenzene</t>
  </si>
  <si>
    <t>Diisobutyl phthalate</t>
  </si>
  <si>
    <t>Dibutyl phthalate</t>
  </si>
  <si>
    <t>Diquat dibromide</t>
  </si>
  <si>
    <t>Butyl benzyl phthalate</t>
  </si>
  <si>
    <t>N-Nitrosodiphenylamine</t>
  </si>
  <si>
    <t>Fluorene</t>
  </si>
  <si>
    <t>123-Trichlorobenzene</t>
  </si>
  <si>
    <t>26-Dimethylaniline</t>
  </si>
  <si>
    <t>L-Tartaric acid</t>
  </si>
  <si>
    <t>Symclosene</t>
  </si>
  <si>
    <t>N-Vinyl-2-pyrrolidone</t>
  </si>
  <si>
    <t>2-tert-Butylphenol</t>
  </si>
  <si>
    <t>2-tert-Butyl-5-methylphenol</t>
  </si>
  <si>
    <t>2-Nitrotoluene</t>
  </si>
  <si>
    <t>2-(Butan-2-yl)phenol</t>
  </si>
  <si>
    <t>Thymol</t>
  </si>
  <si>
    <t>2-Anisidine</t>
  </si>
  <si>
    <t>1-Methylnaphthalene</t>
  </si>
  <si>
    <t>Ethoxyquin</t>
  </si>
  <si>
    <t>2-Naphthylamine</t>
  </si>
  <si>
    <t>6-Methylquinoline</t>
  </si>
  <si>
    <t>NN-Diethylaniline</t>
  </si>
  <si>
    <t>Biphenyl</t>
  </si>
  <si>
    <t>Phenothiazine</t>
  </si>
  <si>
    <t>Benzidine</t>
  </si>
  <si>
    <t>Methyleugenol</t>
  </si>
  <si>
    <t>Triethylene glycol bis(2-ethylhexanoate)</t>
  </si>
  <si>
    <t>Safrole</t>
  </si>
  <si>
    <t>MCPA</t>
  </si>
  <si>
    <t>2-Methyl-4-chlorophenoxyacetic acid</t>
  </si>
  <si>
    <t>24-Dichlorophenoxyacetic acid</t>
  </si>
  <si>
    <t>4-(24-Dichlorophenoxy)butyric acid</t>
  </si>
  <si>
    <t>123-Benzotriazole</t>
  </si>
  <si>
    <t>2-Methylphenol</t>
  </si>
  <si>
    <t>2-Chlorotoluene</t>
  </si>
  <si>
    <t>12-Dichlorobenzene</t>
  </si>
  <si>
    <t>2-Methylaniline</t>
  </si>
  <si>
    <t>12-Phenylenediamine</t>
  </si>
  <si>
    <t>2-Chlorophenol</t>
  </si>
  <si>
    <t>124-Trimethylbenzene</t>
  </si>
  <si>
    <t>34-Dimethylphenol</t>
  </si>
  <si>
    <t>24-Diaminotoluene</t>
  </si>
  <si>
    <t>25-Dimethylphenol</t>
  </si>
  <si>
    <t>Styrene oxide</t>
  </si>
  <si>
    <t>123-Trichloropropane</t>
  </si>
  <si>
    <t>13-Dichloro-2-propanol</t>
  </si>
  <si>
    <t>2-Butanone oxime</t>
  </si>
  <si>
    <t>Ethylenethiourea</t>
  </si>
  <si>
    <t>Ethylene thiourea</t>
  </si>
  <si>
    <t>4-Butyrolactone</t>
  </si>
  <si>
    <t>2-tert-Butyl-4-ethylphenol</t>
  </si>
  <si>
    <t>Eugenol</t>
  </si>
  <si>
    <t>Isoeugenol</t>
  </si>
  <si>
    <t>Furfural</t>
  </si>
  <si>
    <t>Benzotrichloride</t>
  </si>
  <si>
    <t>Acetophenone</t>
  </si>
  <si>
    <t>Benzal chloride</t>
  </si>
  <si>
    <t>Nitrobenzene</t>
  </si>
  <si>
    <t>3-Nitrotoluene</t>
  </si>
  <si>
    <t>Dichloran</t>
  </si>
  <si>
    <t>Dicloran</t>
  </si>
  <si>
    <t>12-Dimethyl-4-nitrobenzene</t>
  </si>
  <si>
    <t>34-Dichloronitrobenzene</t>
  </si>
  <si>
    <t>2-Methyl-5-nitroaniline</t>
  </si>
  <si>
    <t>2-Methoxy-5-nitroaniline</t>
  </si>
  <si>
    <t>13-Diisopropylbenzene</t>
  </si>
  <si>
    <t>13-Dinitrobenzene</t>
  </si>
  <si>
    <t>Valproic acid</t>
  </si>
  <si>
    <t>4-(Butan-2-yl)phenol</t>
  </si>
  <si>
    <t>Methylparaben</t>
  </si>
  <si>
    <t>p-Cymene</t>
  </si>
  <si>
    <t>NN4-Trimethylaniline</t>
  </si>
  <si>
    <t>4-Nitrotoluene</t>
  </si>
  <si>
    <t>1-Chloro-4-nitrobenzene</t>
  </si>
  <si>
    <t>4-Nitroaniline</t>
  </si>
  <si>
    <t>NN-Diethylethanolamine</t>
  </si>
  <si>
    <t>Benzyl alcohol</t>
  </si>
  <si>
    <t>3-Pyridinecarbonitrile</t>
  </si>
  <si>
    <t>Methenamine</t>
  </si>
  <si>
    <t>Cloprop</t>
  </si>
  <si>
    <t>Chlorpropham</t>
  </si>
  <si>
    <t>p-Bromodiphenyl ether</t>
  </si>
  <si>
    <t>44'-Methylenebis(NN-dimethylaniline)</t>
  </si>
  <si>
    <t>44'-Methylenedianiline</t>
  </si>
  <si>
    <t>44'-Oxydianiline</t>
  </si>
  <si>
    <t>2-Benzylideneoctanal</t>
  </si>
  <si>
    <t>13-Diphenylguanidine</t>
  </si>
  <si>
    <t>N-Ethyl-3-methylaniline</t>
  </si>
  <si>
    <t>NNN'N'-Tetrakis(2-Hydroxypropyl)ethylenediamine</t>
  </si>
  <si>
    <t>Sulfaclozine</t>
  </si>
  <si>
    <t>Triethanolamine</t>
  </si>
  <si>
    <t>Triacetin</t>
  </si>
  <si>
    <t>Tributylamine</t>
  </si>
  <si>
    <t>Azobenzene</t>
  </si>
  <si>
    <t>Propylbenzene</t>
  </si>
  <si>
    <t>N-Ethylaniline</t>
  </si>
  <si>
    <t>Acetaminophen</t>
  </si>
  <si>
    <t>Butylbenzene</t>
  </si>
  <si>
    <t>2-Ethyl-1-hexanol</t>
  </si>
  <si>
    <t>Ethyl butyrate</t>
  </si>
  <si>
    <t>Caprolactam</t>
  </si>
  <si>
    <t>Geranyl acetate</t>
  </si>
  <si>
    <t>Dibutyl hexanedioate</t>
  </si>
  <si>
    <t>Citronellol</t>
  </si>
  <si>
    <t>Geraniol</t>
  </si>
  <si>
    <t>(2Z)-37-Dimethylocta-26-dien-1-ol</t>
  </si>
  <si>
    <t>Isopentyl butyrate</t>
  </si>
  <si>
    <t>4-Chlorotoluene</t>
  </si>
  <si>
    <t>4-Methylphenol</t>
  </si>
  <si>
    <t>14-Dichlorobenzene</t>
  </si>
  <si>
    <t>4-Methylaniline</t>
  </si>
  <si>
    <t>Dimethyl succinate</t>
  </si>
  <si>
    <t>4-Vinyl-1-cyclohexene dioxide</t>
  </si>
  <si>
    <t>2-Chloroethanol</t>
  </si>
  <si>
    <t>Ethylene glycol</t>
  </si>
  <si>
    <t>2-Methyl-24-pentanediol</t>
  </si>
  <si>
    <t>13-Butanediol</t>
  </si>
  <si>
    <t>Butanoic acid</t>
  </si>
  <si>
    <t>4-Methyl-2-pentanol</t>
  </si>
  <si>
    <t>3-Methylaniline</t>
  </si>
  <si>
    <t>13-Benzenediamine</t>
  </si>
  <si>
    <t>Resorcinol</t>
  </si>
  <si>
    <t>Dimethyl malonate</t>
  </si>
  <si>
    <t>135-Trimethylbenzene</t>
  </si>
  <si>
    <t>Cyanuric acid</t>
  </si>
  <si>
    <t>Cyclohexylamine</t>
  </si>
  <si>
    <t>Cyclohexanone</t>
  </si>
  <si>
    <t>Methyl cellosolve</t>
  </si>
  <si>
    <t>Di-tert-butyl peroxide</t>
  </si>
  <si>
    <t>NN'-Methylenebisacrylamide</t>
  </si>
  <si>
    <t>Sorbic acid</t>
  </si>
  <si>
    <t>Pentanal</t>
  </si>
  <si>
    <t>2-Ethoxyethanol</t>
  </si>
  <si>
    <t>Piperazine</t>
  </si>
  <si>
    <t>Methyl octanoate</t>
  </si>
  <si>
    <t>Heptanoic acid</t>
  </si>
  <si>
    <t>2-Ethoxyethyl acetate</t>
  </si>
  <si>
    <t>Triethylene glycol diacetate</t>
  </si>
  <si>
    <t>Glutaraldehyde</t>
  </si>
  <si>
    <t>Diethanolamine</t>
  </si>
  <si>
    <t>Bis(2-chloroethyl) ether</t>
  </si>
  <si>
    <t>Diethylene glycol</t>
  </si>
  <si>
    <t>Hexanedinitrile</t>
  </si>
  <si>
    <t>2-Butoxyethanol</t>
  </si>
  <si>
    <t>Diethylene glycol monomethyl ether</t>
  </si>
  <si>
    <t>2-(2-Ethoxyethoxy)ethanol</t>
  </si>
  <si>
    <t>Bis(2-methoxyethyl) ether</t>
  </si>
  <si>
    <t>Nonanoic acid</t>
  </si>
  <si>
    <t>2-(Hexyloxy)ethanol</t>
  </si>
  <si>
    <t>1-Decanol</t>
  </si>
  <si>
    <t>2-(2-Butoxyethoxy)ethanol</t>
  </si>
  <si>
    <t>10-Undecenoic acid</t>
  </si>
  <si>
    <t>1-Undecanol</t>
  </si>
  <si>
    <t>Triethylene glycol dimethyl ether</t>
  </si>
  <si>
    <t>2-[2-(2-Ethoxyethoxy)ethoxy]ethanol</t>
  </si>
  <si>
    <t>Erythromycin</t>
  </si>
  <si>
    <t>Chlorendic acid</t>
  </si>
  <si>
    <t>Pentaerythritol</t>
  </si>
  <si>
    <t>Triphenyl phosphate</t>
  </si>
  <si>
    <t>Tris(2-chloroethyl) phosphate</t>
  </si>
  <si>
    <t>1-(Hydroxymethyl)-55-dimethylhydantoin</t>
  </si>
  <si>
    <t>Quercetin</t>
  </si>
  <si>
    <t>2-Aminoanthraquinone</t>
  </si>
  <si>
    <t>13-Dichloro-55-dimethylhydantoin</t>
  </si>
  <si>
    <t>Maltol</t>
  </si>
  <si>
    <t>Methyl salicylate</t>
  </si>
  <si>
    <t>33'-Dimethoxybenzidine</t>
  </si>
  <si>
    <t>33'-Dimethylbenzidine</t>
  </si>
  <si>
    <t>Anthracene</t>
  </si>
  <si>
    <t>Dichlorprop</t>
  </si>
  <si>
    <t>Ethylparaben</t>
  </si>
  <si>
    <t>Dimethyl terephthalate</t>
  </si>
  <si>
    <t>2-Methoxy-5-methylaniline</t>
  </si>
  <si>
    <t>Catechol</t>
  </si>
  <si>
    <t>124-Trichlorobenzene</t>
  </si>
  <si>
    <t>24-Dichlorophenol</t>
  </si>
  <si>
    <t>2-tert-Butyl-4-methoxyphenol</t>
  </si>
  <si>
    <t>24-Dinitrotoluene</t>
  </si>
  <si>
    <t>4-Hydroxy-3-methoxybenzaldehyde</t>
  </si>
  <si>
    <t>NN-Dimethylaniline</t>
  </si>
  <si>
    <t>Propyl gallate</t>
  </si>
  <si>
    <t>13-Benzenedicarboxylic acid</t>
  </si>
  <si>
    <t>Simazine</t>
  </si>
  <si>
    <t>12-Diphenylhydrazine</t>
  </si>
  <si>
    <t>Phenoxyethanol</t>
  </si>
  <si>
    <t>2-Phenoxyethanol</t>
  </si>
  <si>
    <t>Diethyl butanedioate</t>
  </si>
  <si>
    <t>Maleic hydrazide</t>
  </si>
  <si>
    <t>Myrcene</t>
  </si>
  <si>
    <t>Diacetone alcohol</t>
  </si>
  <si>
    <t>Isopentyl alcohol</t>
  </si>
  <si>
    <t>3-Methylbutyl acetate</t>
  </si>
  <si>
    <t>Hexanedioic acid</t>
  </si>
  <si>
    <t>Octanoic acid</t>
  </si>
  <si>
    <t>Octanal</t>
  </si>
  <si>
    <t>Triamcinolone</t>
  </si>
  <si>
    <t>2-(Hydroxymethyl)-2-nitro-13-propanediol</t>
  </si>
  <si>
    <t>Tributyl phosphate</t>
  </si>
  <si>
    <t>2479-Tetramethyl-5-decyne-47-diol</t>
  </si>
  <si>
    <t>Hydroxyurea</t>
  </si>
  <si>
    <t>3-Buten-2-one 3-methyl-4-(266-trimethyl-2-cyclohexen-1-yl)-</t>
  </si>
  <si>
    <t>Sodium dimethyldithiocarbamate</t>
  </si>
  <si>
    <t>Dimethyl phthalate</t>
  </si>
  <si>
    <t>22'44'-Tetrahydroxybenzophenone</t>
  </si>
  <si>
    <t>Monobutyl phthalate</t>
  </si>
  <si>
    <t>Dibenzofuran</t>
  </si>
  <si>
    <t>Chloramben</t>
  </si>
  <si>
    <t>Sodium L-ascorbate</t>
  </si>
  <si>
    <t>Methyl 2-aminobenzoate</t>
  </si>
  <si>
    <t>Diethyltoluamide (DEET)</t>
  </si>
  <si>
    <t>NN-Diethyl-3-methylbenzamide (DEET)</t>
  </si>
  <si>
    <t>Butyl benzoate</t>
  </si>
  <si>
    <t>Nitrilotriacetic acid</t>
  </si>
  <si>
    <t>Propazine</t>
  </si>
  <si>
    <t>Fenaminosulf</t>
  </si>
  <si>
    <t>Pentamidine isethionate</t>
  </si>
  <si>
    <t>Diisobutyl adipate</t>
  </si>
  <si>
    <t>Ethanolamine</t>
  </si>
  <si>
    <t>Dicrotophos</t>
  </si>
  <si>
    <t>Hexanoic acid</t>
  </si>
  <si>
    <t>Endothal</t>
  </si>
  <si>
    <t>2-Mercaptobenzothiazole</t>
  </si>
  <si>
    <t>2-Ethylhexanoic acid</t>
  </si>
  <si>
    <t>4-Aminobenzoic acid</t>
  </si>
  <si>
    <t>Monuron</t>
  </si>
  <si>
    <t>Acenaphthylene</t>
  </si>
  <si>
    <t>1H-124-Triazole</t>
  </si>
  <si>
    <t>Parathion-methyl</t>
  </si>
  <si>
    <t>Methyl parathion</t>
  </si>
  <si>
    <t>Phorate</t>
  </si>
  <si>
    <t>Perfluorohexanoic acid</t>
  </si>
  <si>
    <t>Bromacil</t>
  </si>
  <si>
    <t>beta-123456-Hexachlorocyclohexane</t>
  </si>
  <si>
    <t>Decanoic acid</t>
  </si>
  <si>
    <t>Perfluorooctanoic acid</t>
  </si>
  <si>
    <t>Perfluoroheptanoic acid</t>
  </si>
  <si>
    <t>Perfluorononanoic acid</t>
  </si>
  <si>
    <t>Cyanamide</t>
  </si>
  <si>
    <t>Cyproterone acetate</t>
  </si>
  <si>
    <t>Azathioprine</t>
  </si>
  <si>
    <t>Cotinine</t>
  </si>
  <si>
    <t>Daidzein</t>
  </si>
  <si>
    <t>34-Diaminotoluene</t>
  </si>
  <si>
    <t>Chlorobenzilate</t>
  </si>
  <si>
    <t>5alpha-Dihydrotestosterone</t>
  </si>
  <si>
    <t>246-Trimethylphenol</t>
  </si>
  <si>
    <t>2-Chloroacetophenone</t>
  </si>
  <si>
    <t>Sodium benzoate</t>
  </si>
  <si>
    <t>Dazomet</t>
  </si>
  <si>
    <t>2-Methyl-46-dinitrophenol</t>
  </si>
  <si>
    <t>13-Dichlorobenzene</t>
  </si>
  <si>
    <t>44'-Bipyridine</t>
  </si>
  <si>
    <t>Glycidol</t>
  </si>
  <si>
    <t>26-Dimethylphenol</t>
  </si>
  <si>
    <t>26-Diethylaniline</t>
  </si>
  <si>
    <t>4-Amino-124-triazole</t>
  </si>
  <si>
    <t>Allethrin</t>
  </si>
  <si>
    <t>Toluene-24-diisocyanate</t>
  </si>
  <si>
    <t>Sulfasalazine</t>
  </si>
  <si>
    <t>23-Dinitrotoluene</t>
  </si>
  <si>
    <t>26-Dinitrotoluene</t>
  </si>
  <si>
    <t>tert-Butyl perbenzoate</t>
  </si>
  <si>
    <t>N-Nitrosodipropylamine</t>
  </si>
  <si>
    <t>3-Bromo-1-propanol</t>
  </si>
  <si>
    <t>Dimethyl adipate</t>
  </si>
  <si>
    <t>Pentyl acetate</t>
  </si>
  <si>
    <t>Clofibrate</t>
  </si>
  <si>
    <t>3344556677888-Tridecafluorooctan-1-ol</t>
  </si>
  <si>
    <t>Sodium trichloroacetate</t>
  </si>
  <si>
    <t>Cyclohexylphenylketone</t>
  </si>
  <si>
    <t>Phosmet</t>
  </si>
  <si>
    <t>Trimethoprim</t>
  </si>
  <si>
    <t>EPTC</t>
  </si>
  <si>
    <t>S-Ethyl dipropylthiocarbamate</t>
  </si>
  <si>
    <t>Norgestrel</t>
  </si>
  <si>
    <t>16-Diisocyanatohexane</t>
  </si>
  <si>
    <t>Sodium 4-nitrophenolate</t>
  </si>
  <si>
    <t>Dimethoxane</t>
  </si>
  <si>
    <t>Ametryn</t>
  </si>
  <si>
    <t>44'-Methylenebis(2-methylaniline)</t>
  </si>
  <si>
    <t>N-Methyl-2-pyrrolidone</t>
  </si>
  <si>
    <t>N-Nitrosodibutylamine</t>
  </si>
  <si>
    <t>22'-[Ethane-12-diylbis(oxy)]diethanamine</t>
  </si>
  <si>
    <t>Methidathion</t>
  </si>
  <si>
    <t>6-Deisopropylatrazine</t>
  </si>
  <si>
    <t>Deisopropylatrazine</t>
  </si>
  <si>
    <t>Heptachlor epoxide</t>
  </si>
  <si>
    <t>Methadone hydrochloride</t>
  </si>
  <si>
    <t>Ammonium carbamate</t>
  </si>
  <si>
    <t>Dimethyl glutarate</t>
  </si>
  <si>
    <t>Undecane</t>
  </si>
  <si>
    <t>13-Propane sultone</t>
  </si>
  <si>
    <t>Cycloate</t>
  </si>
  <si>
    <t>Anthralin</t>
  </si>
  <si>
    <t>Tolazamide</t>
  </si>
  <si>
    <t>Dichlobenil</t>
  </si>
  <si>
    <t>Carminic acid</t>
  </si>
  <si>
    <t>Tannic acid</t>
  </si>
  <si>
    <t>Tylosine</t>
  </si>
  <si>
    <t>Diisopropyl methylphosphonate</t>
  </si>
  <si>
    <t>Carbofuran</t>
  </si>
  <si>
    <t>Trifluralin</t>
  </si>
  <si>
    <t>Daminozide</t>
  </si>
  <si>
    <t>Prometon</t>
  </si>
  <si>
    <t>Malaoxon</t>
  </si>
  <si>
    <t>Aldicarb oxime</t>
  </si>
  <si>
    <t>Chloridazon</t>
  </si>
  <si>
    <t>Clopyralid</t>
  </si>
  <si>
    <t>Nitrofen</t>
  </si>
  <si>
    <t>Chlorthal-dimethyl</t>
  </si>
  <si>
    <t>Benfluralin</t>
  </si>
  <si>
    <t>Dicamba</t>
  </si>
  <si>
    <t>Vernolate</t>
  </si>
  <si>
    <t>Nitrapyrin</t>
  </si>
  <si>
    <t>FD&amp;C yellow 5</t>
  </si>
  <si>
    <t>Butylate</t>
  </si>
  <si>
    <t>Oxytetracycline hydrochloride</t>
  </si>
  <si>
    <t>O-Ethyl O-(4-nitrophenyl) phenylphosphonothioate</t>
  </si>
  <si>
    <t>Fluometuron</t>
  </si>
  <si>
    <t>Molinate</t>
  </si>
  <si>
    <t>Mancozeb</t>
  </si>
  <si>
    <t>15-Naphthalenediamine</t>
  </si>
  <si>
    <t>Dexamethasone sodium phosphate</t>
  </si>
  <si>
    <t>236-Trimethylphenol</t>
  </si>
  <si>
    <t>4-Cyclohexylcyclohexanol</t>
  </si>
  <si>
    <t>Triglycidyl isocyanurate</t>
  </si>
  <si>
    <t>Monobenzyl phthalate</t>
  </si>
  <si>
    <t>Dicyclohexyl disulfide</t>
  </si>
  <si>
    <t>Etridiazole</t>
  </si>
  <si>
    <t>NN-Dimethyldecylamine oxide</t>
  </si>
  <si>
    <t>12-Benzisothiazolin-3-one</t>
  </si>
  <si>
    <t>Chloroneb</t>
  </si>
  <si>
    <t>24-Bis(1-methyl-1-phenylethyl)phenol</t>
  </si>
  <si>
    <t>FD&amp;C yellow 6</t>
  </si>
  <si>
    <t>5-Amino-2-methylphenol</t>
  </si>
  <si>
    <t>Triethoxyoctylsilane</t>
  </si>
  <si>
    <t>NNN-Trimethyl(oxiran-2-yl)methanaminium chloride</t>
  </si>
  <si>
    <t>Stavudine</t>
  </si>
  <si>
    <t>Octrizole</t>
  </si>
  <si>
    <t>Dibromoacetonitrile</t>
  </si>
  <si>
    <t>22-Bis(bromomethyl)-13-propanediol</t>
  </si>
  <si>
    <t>Asulam</t>
  </si>
  <si>
    <t>3-Phenoxybenzoic acid</t>
  </si>
  <si>
    <t>Sodium (2-pyridylthio)-N-oxide</t>
  </si>
  <si>
    <t>Ammonium perfluorooctanoate</t>
  </si>
  <si>
    <t>FD&amp;C Blue no. 1</t>
  </si>
  <si>
    <t>Potassium perfluorohexanesulfonate</t>
  </si>
  <si>
    <t>Isophorone diisocyanate</t>
  </si>
  <si>
    <t>(E)-Anethole</t>
  </si>
  <si>
    <t>Cladribine</t>
  </si>
  <si>
    <t>Monomethyl phthalate</t>
  </si>
  <si>
    <t>Methyl hydrogen phthalate</t>
  </si>
  <si>
    <t>Sodium dehydroacetate</t>
  </si>
  <si>
    <t>Cyclopamine</t>
  </si>
  <si>
    <t>159-Cyclododecatriene</t>
  </si>
  <si>
    <t>4-Chlorobenzotrichloride</t>
  </si>
  <si>
    <t>4-(2-Methylbutan-2-yl)cyclohexanol</t>
  </si>
  <si>
    <t>37-Dimethyl-26-octadienal</t>
  </si>
  <si>
    <t>Terbacil</t>
  </si>
  <si>
    <t>Terbuthylazine</t>
  </si>
  <si>
    <t>Cyclophosphamide monohydrate</t>
  </si>
  <si>
    <t>Oxytetracycline dihydrate</t>
  </si>
  <si>
    <t>Sodium erythorbate (1:1)</t>
  </si>
  <si>
    <t>Diquat dibromide monohydrate</t>
  </si>
  <si>
    <t>353'-Triiodothyronine</t>
  </si>
  <si>
    <t>2-Hydroxybutanedioic acid</t>
  </si>
  <si>
    <t>Monocrotophos</t>
  </si>
  <si>
    <t>Prometryn</t>
  </si>
  <si>
    <t>NN-Dimethyloctylamine</t>
  </si>
  <si>
    <t>5-Ethyl-1-aza-37-dioxabicyclo[3.3.0]octane</t>
  </si>
  <si>
    <t>Sodium chlorite</t>
  </si>
  <si>
    <t>Mevinphos</t>
  </si>
  <si>
    <t>Clove leaf oil</t>
  </si>
  <si>
    <t>Metiram-zinc</t>
  </si>
  <si>
    <t>alpha-Cyclodextrin</t>
  </si>
  <si>
    <t>17beta-Trenbolone</t>
  </si>
  <si>
    <t>22-Dibromo-3-nitrilopropionamide</t>
  </si>
  <si>
    <t>Methamidophos</t>
  </si>
  <si>
    <t>Carbendazim</t>
  </si>
  <si>
    <t>Ethoprop</t>
  </si>
  <si>
    <t>Rifampicin</t>
  </si>
  <si>
    <t>Flutamide</t>
  </si>
  <si>
    <t>Tris(13-dichloro-2-propyl)phosphate</t>
  </si>
  <si>
    <t>Napropamide</t>
  </si>
  <si>
    <t>1-Benzylquinolinium chloride</t>
  </si>
  <si>
    <t>Ethephon</t>
  </si>
  <si>
    <t>Methomyl</t>
  </si>
  <si>
    <t>Amiodarone hydrochloride</t>
  </si>
  <si>
    <t>Pyrantel pamoate</t>
  </si>
  <si>
    <t>Hexane-16-diyl dibenzoate</t>
  </si>
  <si>
    <t>Pirimicarb</t>
  </si>
  <si>
    <t>Oxamyl</t>
  </si>
  <si>
    <t>Formetanate hydrochloride</t>
  </si>
  <si>
    <t>1-[3-(Triethoxysilyl)propyl]urea</t>
  </si>
  <si>
    <t>Propyzamide</t>
  </si>
  <si>
    <t>Mepiquat chloride</t>
  </si>
  <si>
    <t>Bentazone</t>
  </si>
  <si>
    <t>Tripropylene glycol monomethyl ether</t>
  </si>
  <si>
    <t>Propamocarb hydrochloride</t>
  </si>
  <si>
    <t>Allura red</t>
  </si>
  <si>
    <t>Ethofumesate</t>
  </si>
  <si>
    <t>Norflurazon</t>
  </si>
  <si>
    <t>Dodecylbenzene sulfonate triethanolamine (1:1)</t>
  </si>
  <si>
    <t>Prodiamine</t>
  </si>
  <si>
    <t>Isooctyl acrylate</t>
  </si>
  <si>
    <t>3'-Azido-3'-deoxythymidine</t>
  </si>
  <si>
    <t>Acephate</t>
  </si>
  <si>
    <t>Propetamphos</t>
  </si>
  <si>
    <t>Procymidone</t>
  </si>
  <si>
    <t>4-Pentylaniline</t>
  </si>
  <si>
    <t>Hexanedioic acid diisononyl ester</t>
  </si>
  <si>
    <t>Isopropalin</t>
  </si>
  <si>
    <t>Tebuthiuron</t>
  </si>
  <si>
    <t>Propanol 1(or 2)-(2-methoxymethylethoxy)-</t>
  </si>
  <si>
    <t>Butam</t>
  </si>
  <si>
    <t>Iprodione</t>
  </si>
  <si>
    <t>Pendimethalin</t>
  </si>
  <si>
    <t>Methyldopa sesquihydrate</t>
  </si>
  <si>
    <t>44'-Sulfonylbis[2-(prop-2-en-1-yl)phenol]</t>
  </si>
  <si>
    <t>Isazofos</t>
  </si>
  <si>
    <t>Triadimefon</t>
  </si>
  <si>
    <t>Vinclozolin</t>
  </si>
  <si>
    <t>Acifluorfen</t>
  </si>
  <si>
    <t>Pirinixic acid</t>
  </si>
  <si>
    <t>Hexazinone</t>
  </si>
  <si>
    <t>Thidiazuron</t>
  </si>
  <si>
    <t>Pyrimethanil</t>
  </si>
  <si>
    <t>Chlorethoxyfos</t>
  </si>
  <si>
    <t>Ethalfluralin</t>
  </si>
  <si>
    <t>Dimethipin</t>
  </si>
  <si>
    <t>Triclopyr</t>
  </si>
  <si>
    <t>Clopyralid-olamine</t>
  </si>
  <si>
    <t>Metalaxyl</t>
  </si>
  <si>
    <t>Nilutamide</t>
  </si>
  <si>
    <t>Chlorsulfuron</t>
  </si>
  <si>
    <t>Ketoconazole</t>
  </si>
  <si>
    <t>Cyromazine</t>
  </si>
  <si>
    <t>Fluroxypyr</t>
  </si>
  <si>
    <t>FXP</t>
  </si>
  <si>
    <t>2'3'-Dideoxyinosine</t>
  </si>
  <si>
    <t>Fomesafen</t>
  </si>
  <si>
    <t>Sethoxydim</t>
  </si>
  <si>
    <t>STX</t>
  </si>
  <si>
    <t>Clofentezine</t>
  </si>
  <si>
    <t>Metsulfuron-methyl</t>
  </si>
  <si>
    <t>Hexythiazox</t>
  </si>
  <si>
    <t>HXT</t>
  </si>
  <si>
    <t>Pravastatin sodium</t>
  </si>
  <si>
    <t>Imazapyr</t>
  </si>
  <si>
    <t>Imazaquin</t>
  </si>
  <si>
    <t>IZQ</t>
  </si>
  <si>
    <t>Imazethapyr</t>
  </si>
  <si>
    <t>IZP</t>
  </si>
  <si>
    <t>Clomazone</t>
  </si>
  <si>
    <t>Triasulfuron</t>
  </si>
  <si>
    <t>Sodium saccharin hydrate</t>
  </si>
  <si>
    <t>Raloxifene hydrochloride</t>
  </si>
  <si>
    <t>Bensulfuron-methyl</t>
  </si>
  <si>
    <t>Quinclorac</t>
  </si>
  <si>
    <t>QIC</t>
  </si>
  <si>
    <t>N-(Butan-2-yl)-1-(2-chlorophenyl)-N-methylisoquinoline-3-carboxamide</t>
  </si>
  <si>
    <t>Fluconazole</t>
  </si>
  <si>
    <t>Cinmethylin</t>
  </si>
  <si>
    <t>Enrofloxacin</t>
  </si>
  <si>
    <t>Cyproconazole</t>
  </si>
  <si>
    <t>CCZ</t>
  </si>
  <si>
    <t>Ethametsulfuron methyl</t>
  </si>
  <si>
    <t>Fosthiazate</t>
  </si>
  <si>
    <t>FST</t>
  </si>
  <si>
    <t>Flumetsulam</t>
  </si>
  <si>
    <t>Tribenuron-methyl</t>
  </si>
  <si>
    <t>Mesotrione</t>
  </si>
  <si>
    <t>sodium 5-({[5-methoxy-3-(propan-2-yloxy)-1-benzothiophen-2-yl]carbonyl}amino)tetrazol-1-ide</t>
  </si>
  <si>
    <t>1-[4-(22-Diphenylethenyl)piperidin-1-yl]-9-(pyridin-3-yl)nonan-1-one</t>
  </si>
  <si>
    <t>Tebuconazole</t>
  </si>
  <si>
    <t>Mepanipyrim</t>
  </si>
  <si>
    <t>Dimethomorph</t>
  </si>
  <si>
    <t>Thiacloprid</t>
  </si>
  <si>
    <t>Danofloxacin</t>
  </si>
  <si>
    <t>Pioglitazone hydrochloride</t>
  </si>
  <si>
    <t>Zenarestat</t>
  </si>
  <si>
    <t>{4-[2-({2-hydroxy-2-[2-(trifluoromethyl)-13-thiazol-4-yl]ethyl}amino)propyl]phenoxy}acetic acid</t>
  </si>
  <si>
    <t>Picoxystrobin</t>
  </si>
  <si>
    <t>Icaridin</t>
  </si>
  <si>
    <t>Rimsulfuron</t>
  </si>
  <si>
    <t>Candoxatril</t>
  </si>
  <si>
    <t>Pymetrozine</t>
  </si>
  <si>
    <t>Pyrithiobac-sodium</t>
  </si>
  <si>
    <t>2-(1-benzofuran-4-yl)-N-methyl-N-[(5R7S8S)-7-(pyrrolidin-1-yl)-1-oxaspiro[4.5]dec-8-yl]acetamide</t>
  </si>
  <si>
    <t>Triflusulfuron-methyl</t>
  </si>
  <si>
    <t>Prohexadione-calcium</t>
  </si>
  <si>
    <t>TNP-470</t>
  </si>
  <si>
    <t>Fabesetron hydrochloride</t>
  </si>
  <si>
    <t>Triticonazole</t>
  </si>
  <si>
    <t>Acibenzolar-S-methyl</t>
  </si>
  <si>
    <t>Acetamiprid</t>
  </si>
  <si>
    <t>sodium 5-{4'-[(2-butyl-3H-imidazo[45-b]pyridin-3-yl)methyl]biphenyl-2-yl}tetrazol-1-ide</t>
  </si>
  <si>
    <t>Imidacloprid</t>
  </si>
  <si>
    <t>(2E3E)-4-ethyl-2-(hydroxyimino)-5-nitrohex-3-enamide</t>
  </si>
  <si>
    <t>Volinanserin</t>
  </si>
  <si>
    <t>Isoxaflutole</t>
  </si>
  <si>
    <t>Iodosulfuron-methyl-sodium</t>
  </si>
  <si>
    <t>Oxasulfuron</t>
  </si>
  <si>
    <t>Diclosulam</t>
  </si>
  <si>
    <t>1-Benzyl-1-{[3-(4-chlorophenyl)-5-methyl-1-benzofuran-2-yl]methyl}-3-(246-trifluorophenyl)urea</t>
  </si>
  <si>
    <t>Tepraloxydim</t>
  </si>
  <si>
    <t>Thiamethoxam</t>
  </si>
  <si>
    <t>1-[(3S4R)-3-(biphenyl-4-ylmethyl)-4-hydroxy-34-dihydro-2H-chromen-7-yl]cyclopentanecarboxylic acid</t>
  </si>
  <si>
    <t>Cariporide mesylate (HOE642)</t>
  </si>
  <si>
    <t>5-[2-methyl-3-(pyridin-3-yl)-1H-indol-1-yl]pentanoic acid</t>
  </si>
  <si>
    <t>Celecoxib</t>
  </si>
  <si>
    <t>(3R4S)-3-[4-(4-fluorophenyl)-4-hydroxypiperidin-1-yl]-34-dihydro-2H-chromene-47-diol</t>
  </si>
  <si>
    <t>Foramsulfuron</t>
  </si>
  <si>
    <t>1-{(1S4R)-4-[3-(4-fluorophenoxy)phenoxy]cyclopent-2-en-1-yl}-1-hydroxyurea</t>
  </si>
  <si>
    <t>(1'-ethyl-67-dihydro-5H-spiro[furo[23-f]indole-34'-piperidin]-5-yl)[2'-methyl-4'-(5-methyl-134-oxadiazol-2-yl)biphenyl-4-yl]methanone hydrochloride</t>
  </si>
  <si>
    <t>Carabersat</t>
  </si>
  <si>
    <t>Ingliforib</t>
  </si>
  <si>
    <t>Trelanserin</t>
  </si>
  <si>
    <t>N-{4-[(methylamino)methyl]phenyl}-4-oxo-4567-tetrahydro-1H-indole-3-carboxamide</t>
  </si>
  <si>
    <t>67-dichloro-5-[3-(methoxymethyl)-5-(1-oxidopyridin-3-yl)-4H-124-triazol-4-yl]-14-dihydroquinoxaline-23-dione</t>
  </si>
  <si>
    <t>Trifloxysulfuron-sodium</t>
  </si>
  <si>
    <t>5-methyl-N-{6-[(2-methylpyridin-3-yl)oxy]pyridin-3-yl}-6-(trifluoromethyl)-23-dihydro-1H-indole-1-carboxamide hydrochloride</t>
  </si>
  <si>
    <t>(6S)-6-[2-(4-aminophenyl)ethyl]-3-{[2-tert-butyl-4-(hydroxymethyl)-5-methylphenyl]sulfanyl}-4-hydroxy-6-(propan-2-yl)-56-dihydro-2H-pyran-2-one</t>
  </si>
  <si>
    <t>Mesosulfuron-methyl</t>
  </si>
  <si>
    <t>Clothianidin</t>
  </si>
  <si>
    <t>2-(4-fluorophenoxy)-N-[4-(2-hydroxypropan-2-yl)benzyl]pyridine-3-carboxamide</t>
  </si>
  <si>
    <t>3-ethyl-5-{5-[(4-ethylpiperazin-1-yl)sulfonyl]-2-propoxyphenyl}-2-(pyridin-2-ylmethyl)-26-dihydro-7H-pyrazolo[43-d]pyrimidin-7-one</t>
  </si>
  <si>
    <t>Penoxsulam</t>
  </si>
  <si>
    <t>2-[4-(4-fluorophenyl)-5-(2-phenoxypyrimidin-4-yl)-1H-imidazol-1-yl]propane-13-diol</t>
  </si>
  <si>
    <t>N-benzyl-6-ethoxy-4-oxo-14-dihydro-15-naphthyridine-3-carboxamide</t>
  </si>
  <si>
    <t>4-({[4-(4-fluorophenoxy)phenyl]sulfonyl}amino)-N-hydroxytetrahydro-2H-pyran-4-carboxamide</t>
  </si>
  <si>
    <t>Besonprodil</t>
  </si>
  <si>
    <t>propan-2-yl (2R4S)-4-{acetyl[35-bis(trifluoromethyl)benzyl]amino}-2-ethyl-6-(trifluoromethyl)-34-dihydroquinoline-1(2H)-carboxylate</t>
  </si>
  <si>
    <t>3-(1-{3-[(3S)-1-benzoyl-3-(34-dichlorophenyl)piperidin-3-yl]propyl}-4-phenylpiperidin-4-yl)-11-dimethylurea</t>
  </si>
  <si>
    <t>1-[2-(34-dichlorophenoxy)-5-fluorophenyl]-N-methylmethanamine</t>
  </si>
  <si>
    <t>({4-[(7-hydroxy-23-dihydro-1H-inden-4-yl)oxy]-35-dimethylphenyl}amino)(oxo)acetic acid</t>
  </si>
  <si>
    <t>(5S8S)-5-(34-dichlorophenyl)-8-(methylamino)-5678-tetrahydronaphthalene-2-sulfonamide</t>
  </si>
  <si>
    <t>N-[(1R3S4S)-3-{[4-(3-benzyl-1-ethyl-1H-pyrazol-5-yl)piperidin-1-yl]methyl}-4-(3-fluorophenyl)cyclopentyl]-N-methyl-D-valine</t>
  </si>
  <si>
    <t>disodium (5S6R7R)-5-(13-benzodioxol-5-yl)-2-butyl-7-{2-[(2S)-2-carboxylatopropyl]-4-methoxyphenyl}-67-dihydro-5H-cyclopenta[b]pyridine-6-carboxylate</t>
  </si>
  <si>
    <t>1-ethyl-5-(4-hydroxyphenyl)-3-methyl-67-dihydropyrazolo[43-e][14]diazepin-8(1H)-one</t>
  </si>
  <si>
    <t>3-pyridinecarboxamide 2-(213-benzoxadiazol-5-yloxy)-N-[[4-(1-hydroxy-1-methylethyl)phenyl]methyl]-</t>
  </si>
  <si>
    <t>Elzasonan</t>
  </si>
  <si>
    <t>(2R)-2-{4-[({[2-(13-benzodioxol-5-yloxy)pyridin-3-yl]carbonyl}amino)methyl]-3-fluorophenoxy}propanoic acid</t>
  </si>
  <si>
    <t>3-{[34-Bis(difluoromethoxy)phenyl](pyridin-3-ylmethyl)amino}benzoic acid</t>
  </si>
  <si>
    <t>Aplaviroc hydrochloride</t>
  </si>
  <si>
    <t>Ilepatril</t>
  </si>
  <si>
    <t>N-[(3R)-1-azabicyclo[2.2.2]oct-3-yl]furo[23-c]pyridine-5-carboxamide</t>
  </si>
  <si>
    <t>sodium (4-fluoro-2-{[(1S)-1-phenylpropyl]carbamoyl}phenyl)(quinolin-8-ylsulfonyl)azanide</t>
  </si>
  <si>
    <t>3-{4-[2-(5-methyl-2-phenyl-13-oxazol-4-yl)ethoxy]-1H-indol-1-yl}propanoic acid</t>
  </si>
  <si>
    <t>N-[(3R)-1-azabicyclo[2.2.2]oct-3-yl]-23-dihydro-14-benzodioxine-6-carboxamide</t>
  </si>
  <si>
    <t>(2R)-2-[3-Chloro-4-(methylsulfonyl)phenyl]-3-cyclopentyl-N-(pyrazin-2-yl)propanamide</t>
  </si>
  <si>
    <t>Piragliatin</t>
  </si>
  <si>
    <t>6-[4-(25-difluorophenyl)-13-oxazol-5-yl]-3-(propan-2-yl)[124]triazolo[43-a]pyridine</t>
  </si>
  <si>
    <t>15-anhydro-23-dideoxy-4-O-methyl-3-{[(1R3S)-3-(propan-2-yl)-3-{[3-(trifluoromethyl)-78-dihydro-16-naphthyridin-6(5H)-yl]carbonyl}cyclopentyl]ammonio}-D-erythro-pentitol 3-carboxypropanoate</t>
  </si>
  <si>
    <t>N-(5-fluoro-3-methyl-1H-indol-1-yl)-4-methyl-2-(pyridin-2-yl)pyrimidine-5-carboxamide</t>
  </si>
  <si>
    <t>(5S)-5-Butyl-9-{1-[(46-dimethylpyrimidin-5-yl)carbonyl]-4-methylpiperidin-4-yl}-3-(tetrahydro-2H-pyran-4-ylmethyl)-1-oxa-39-diazaspiro[5.5]undecan-2-one</t>
  </si>
  <si>
    <t>N-[(3R)-9-methyl-4-oxo-1-phenyl-3467-tetrahydro[14]diazepino[671-hi]indol-3-yl]pyridine-4-carboxamide</t>
  </si>
  <si>
    <t>sodium {[26-di(propan-2-yl)phenyl]carbamoyl}{[4-(2-hydroxypropan-2-yl)furan-2-yl]sulfonyl}azanide</t>
  </si>
  <si>
    <t>N-{[4-(4-fluorophenoxy)phenyl]sulfonyl}-N-[1-(hydroxycarbamoyl)cyclopentyl]-b-alanine</t>
  </si>
  <si>
    <t>(1R)-1-{4-[(2R6S)-4-(46-dimethyl-135-triazin-2-yl)-26-dimethylpiperazin-1-yl]pyrimidin-2-yl}ethanol</t>
  </si>
  <si>
    <t>N-[(3R)-9-amino-4-oxo-1-phenyl-3467-tetrahydro[14]diazepino[671-hi]indol-3-yl]pyridine-3-carboxamide</t>
  </si>
  <si>
    <t>3-{[1-(aminomethyl)cyclohexyl]methyl}-124-oxadiazol-5(4H)-one hydrochloride</t>
  </si>
  <si>
    <t>1-[cis-1-(3-ethoxyphenyl)-4-methylcyclohexyl]-4-phenylpiperazine methanesulfonate (1:1)</t>
  </si>
  <si>
    <t>(2S3S4R5R)-3-amino-5-[6-({5-chloro-2-[(3-methyl-12-oxazol-5-yl)methoxy]benzyl}amino)-9H-purin-9-yl]-4-hydroxy-N-methyltetrahydrofuran-2-carboxamide</t>
  </si>
  <si>
    <t>(2E)-3-(4-fluorophenyl)-N-(4-{2-[7-(5-methyl-124-oxadiazol-3-yl)-1245-tetrahydro-3H-3-benzazepin-3-yl]ethyl}cyclohexyl)prop-2-enamide hydrochloride</t>
  </si>
  <si>
    <t>potassium 5-carbamoyl-3-[5'-fluoro-2'-(22333-pentafluoropropoxy)biphenyl-3-yl]-124-triazol-1-ide hydrate</t>
  </si>
  <si>
    <t>2'6-difluoro-5'-[3-(2-hydroxypropan-2-yl)imidazo[12-b][124]triazin-7-yl]biphenyl-2-carbonitrile</t>
  </si>
  <si>
    <t>(3S)-3-(2-methylpyrimidin-5-yl)-9-(5678-tetrahydro-18-naphthyridin-2-yl)nonanoic acid</t>
  </si>
  <si>
    <t>N-{trans-4-[(2R)-2-fluoro-2-(2-fluorophenyl)ethoxy]cyclohexyl}-5H-pyrazolo[34-d]pyrimidin-4-amine</t>
  </si>
  <si>
    <t>6-chloro-2-phenyl-88a-dihydro-3aH-indeno[12-d][13]thiazol-3a-ol</t>
  </si>
  <si>
    <t>(2S)-44-difluoro-1-{N-[8-(pyrimidin-2-yl)-8-azabicyclo[3.2.1]oct-3-yl]glycyl}pyrrolidine-2-carbonitrile</t>
  </si>
  <si>
    <t>6-(5-{[(2S)-2-(4-fluorophenyl)-4-methylpiperazin-1-yl]methyl}furan-3-yl)-13-benzoxazol-2-ol hydrochloride hydrate</t>
  </si>
  <si>
    <t>ethyl (2R3S)-3-amino-2-phenyl-23-dihydro-1-benzofuran-2-carboxylate</t>
  </si>
  <si>
    <t>5-fluoro-1-(3-fluorobenzyl)-N-(1H-indol-5-yl)-1H-indole-2-carboxamide</t>
  </si>
  <si>
    <t>N-[4-(benzylamino)-3-cyanoquinolin-2-yl]-4-methoxybenzamide</t>
  </si>
  <si>
    <t>sodium 1-{[5-(5-chlorothiophen-2-yl)-12-oxazol-3-yl]methyl}-2-[(1-cyclopropylpiperidin-4-yl)carbamoyl]-1H-benzimidazole-5-carboxylate</t>
  </si>
  <si>
    <t>1-{2-[(5-chloropyridin-2-yl)amino]-2-oxoethyl}-5-(2-methoxyethoxy)-N-[1-(propan-2-yl)piperidin-4-yl]-1H-pyrrolo[23-c]pyridine-2-carboxamide acetate</t>
  </si>
  <si>
    <t>N-[1-{2-[(2R)-2-(34-dichlorophenyl)-5-oxo-4-phenylmorpholin-2-yl]ethyl}-4-(3-fluorophenyl)piperidin-4-yl]acetamide butanedioate</t>
  </si>
  <si>
    <t>2-(2-{5-[5-(Azepan-1-ylmethyl)-2-thienyl]-124-oxadiazol-3-yl}ethyl)-1H-isoindole-13(2H)-dione (2E)-but-2-enedioate (1:1)</t>
  </si>
  <si>
    <t>N-[4-({(5Z)-5-[2-(14'-Bipiperidin-1'-yl)-2-oxoethylidene]-44-difluoro-2345-tetrahydro-1H-1-benzazepin-1-yl}carbonyl)phenyl]-2-methylfuran-3-carboxamide (2E)-but-2-enedioate (2:1)</t>
  </si>
  <si>
    <t>5-(2-Chlorophenyl)-3-methyl-7-nitro-210-dihydropyrazolo[34-b][14]benzodiazepine</t>
  </si>
  <si>
    <t>(4-{[(2R)-7-Methoxy-1234-tetrahydronaphthalen-2-yl](propyl)amino}piperidin-1-yl)(piperidin-4-yl)methanone</t>
  </si>
  <si>
    <t>Sodium (2-chloro-4-fluorobenzoyl){[(E)-2-phenylethenyl]sulfonyl}azanide</t>
  </si>
  <si>
    <t>2-Bromo-4-fluoro-N-{[(E)-2-(thiophen-2-yl)ethenyl]sulfonyl}benzamide</t>
  </si>
  <si>
    <t>Cyclophosphamid</t>
  </si>
  <si>
    <t>Benzo(a)pyrene</t>
  </si>
  <si>
    <t>2.4-Dinitrophenol</t>
  </si>
  <si>
    <t>Thio-TEPA</t>
  </si>
  <si>
    <t>Verapamil</t>
  </si>
  <si>
    <t>2-Acetylaminofluorene</t>
  </si>
  <si>
    <t>diethylstilbestrol</t>
  </si>
  <si>
    <t>4-Nitroquinoline-1-oxide</t>
  </si>
  <si>
    <t>Cetyl trimethyl ammonium bromide</t>
  </si>
  <si>
    <t>17-α-Ethinylestradiol</t>
  </si>
  <si>
    <t>Menadione</t>
  </si>
  <si>
    <t>4-Nitrobenzoate</t>
  </si>
  <si>
    <t>Dicoumarol</t>
  </si>
  <si>
    <t>Acetone</t>
  </si>
  <si>
    <t>N,N-Dimethylformamid</t>
  </si>
  <si>
    <t>all-trans-Retinol</t>
  </si>
  <si>
    <t>Penicillin G sodium salt</t>
  </si>
  <si>
    <t>Benzene</t>
  </si>
  <si>
    <t>Acetaldehyde</t>
  </si>
  <si>
    <t>Carbon disulfide</t>
  </si>
  <si>
    <t>Trifluoroacetic acid (TFAA)</t>
  </si>
  <si>
    <t>Isobutylamine</t>
  </si>
  <si>
    <t>Tetrabromobisphenol‐A</t>
  </si>
  <si>
    <t>4-tert-Pentylphenol</t>
  </si>
  <si>
    <t>Lapachol</t>
  </si>
  <si>
    <t>2-Nitroanilin</t>
  </si>
  <si>
    <t>2-Nitroanisole (2-NBA)</t>
  </si>
  <si>
    <t>1HBT</t>
  </si>
  <si>
    <t>2-Chloroaniline</t>
  </si>
  <si>
    <t>ortho-aminophenol</t>
  </si>
  <si>
    <t>2-Bromophenol</t>
  </si>
  <si>
    <t>3,4-dichloroaniline</t>
  </si>
  <si>
    <t>3,4-Dichloroaniline</t>
  </si>
  <si>
    <t>3,4-Dichloroanilin</t>
  </si>
  <si>
    <t>p-tert-Butylphenol</t>
  </si>
  <si>
    <t>N,N-Dimethylcyclohexylamine</t>
  </si>
  <si>
    <t>Dicyclohexylamine</t>
  </si>
  <si>
    <t>Tripropylamine</t>
  </si>
  <si>
    <t xml:space="preserve">Paracetamol </t>
  </si>
  <si>
    <t>4-Bromophenol</t>
  </si>
  <si>
    <t>1,4-Dichlorobenzene</t>
  </si>
  <si>
    <t>Quinone</t>
  </si>
  <si>
    <t>1,2-Dibromoethan</t>
  </si>
  <si>
    <t>Acrolein</t>
  </si>
  <si>
    <t>n-Propylamine</t>
  </si>
  <si>
    <t>Ethylendiamin</t>
  </si>
  <si>
    <t>Isopentylamine</t>
  </si>
  <si>
    <t>Diisopropylamine</t>
  </si>
  <si>
    <t>3-Chloroaniline</t>
  </si>
  <si>
    <t>2-Methylpiperidine</t>
  </si>
  <si>
    <t>n-Butylamine</t>
  </si>
  <si>
    <t>Diethylamine</t>
  </si>
  <si>
    <t>2,5-Hexandion</t>
  </si>
  <si>
    <t>n-Pentylamine</t>
  </si>
  <si>
    <t>Cyclohexane</t>
  </si>
  <si>
    <t>Piperidine</t>
  </si>
  <si>
    <t>Morpholine</t>
  </si>
  <si>
    <t>Diisobutylamine</t>
  </si>
  <si>
    <t>n-Hexylamine</t>
  </si>
  <si>
    <t>Diethylenglykol</t>
  </si>
  <si>
    <t>Hexamethyleneimine</t>
  </si>
  <si>
    <t>n-Heptylamine</t>
  </si>
  <si>
    <t>n-Octylamine</t>
  </si>
  <si>
    <t>Dibutylamine</t>
  </si>
  <si>
    <t>Diethylenglykoldimethylether</t>
  </si>
  <si>
    <t>n-Nonylamine</t>
  </si>
  <si>
    <t>2.4.6-Tribromophenol</t>
  </si>
  <si>
    <t>2,4-dichlorophenol</t>
  </si>
  <si>
    <t>Triethylamine</t>
  </si>
  <si>
    <t>4-Aminophenol</t>
  </si>
  <si>
    <t>Trimethadione</t>
  </si>
  <si>
    <t>Dimethyldithiocarbamate</t>
  </si>
  <si>
    <t>Ethylacetat</t>
  </si>
  <si>
    <t>Dipropylamine</t>
  </si>
  <si>
    <t>vinblastine</t>
  </si>
  <si>
    <t>1,4-Dimethoxybenzene</t>
  </si>
  <si>
    <t>Paraoxon</t>
  </si>
  <si>
    <t>diazinon</t>
  </si>
  <si>
    <t>Perflurooctanoic acid (PFOA)</t>
  </si>
  <si>
    <t>Perfluorobutyric acid (PFBA)</t>
  </si>
  <si>
    <t>Perflurobutane sulfonic acid (PFBS)</t>
  </si>
  <si>
    <t>Perflurononanoic acid (PFNA)</t>
  </si>
  <si>
    <t>Curcumin</t>
  </si>
  <si>
    <t>Naphthazarin</t>
  </si>
  <si>
    <t>Plumbagin</t>
  </si>
  <si>
    <t>Neocuproine</t>
  </si>
  <si>
    <t>α-D-Glucose</t>
  </si>
  <si>
    <t>3-Nitropropionate</t>
  </si>
  <si>
    <t>Pentachloroaniline</t>
  </si>
  <si>
    <t>2.4-Dichloroaniline</t>
  </si>
  <si>
    <t>Dialkyl sulphosuccinate (C7‐C8)</t>
  </si>
  <si>
    <t>3-Bromophenol</t>
  </si>
  <si>
    <t>para-aminophenol</t>
  </si>
  <si>
    <t>meta-aminophenol</t>
  </si>
  <si>
    <t>N,N-Dimethylethylamine</t>
  </si>
  <si>
    <t>2,6-Dichloroaniline</t>
  </si>
  <si>
    <t>2.6-Dibromophenol</t>
  </si>
  <si>
    <t>Pentachlorobenzene</t>
  </si>
  <si>
    <t>2.4-Dibromophenol</t>
  </si>
  <si>
    <t>N,N-Diethylmethylamine</t>
  </si>
  <si>
    <t>N-Acetylcystein</t>
  </si>
  <si>
    <t>Methoxy acetic acid</t>
  </si>
  <si>
    <t>3,5-Dichloroaniline</t>
  </si>
  <si>
    <t>4-Methylpiperidine</t>
  </si>
  <si>
    <t>1-Methylpiperidine</t>
  </si>
  <si>
    <t>Lauric acid sodium salt</t>
  </si>
  <si>
    <t>2,4,6-Trichloroaniline</t>
  </si>
  <si>
    <t>Antimycin</t>
  </si>
  <si>
    <t>Sulfamethoxazol</t>
  </si>
  <si>
    <t>1-Ethylpiperidine</t>
  </si>
  <si>
    <t>Clofibric acid</t>
  </si>
  <si>
    <t>N,N-Dimethylbutylamine</t>
  </si>
  <si>
    <t>Paraoxon-methyl</t>
  </si>
  <si>
    <t>Valproate</t>
  </si>
  <si>
    <t>4-Nitropyridine-N-oxide</t>
  </si>
  <si>
    <t>Aflatoxin B1</t>
  </si>
  <si>
    <t>Oligomycin</t>
  </si>
  <si>
    <t>2-Ethylpiperidine</t>
  </si>
  <si>
    <t>ioxynil</t>
  </si>
  <si>
    <t>2,3,7,8-tetrachlorodibenzo-p-dioxin</t>
  </si>
  <si>
    <t>Perflurooctane sulfonic acid (PFOS)</t>
  </si>
  <si>
    <t>n-Decylamine</t>
  </si>
  <si>
    <t>Dipentylamine</t>
  </si>
  <si>
    <t>UV-P</t>
  </si>
  <si>
    <t>3-Nitropyridin</t>
  </si>
  <si>
    <t>Gambogic acid</t>
  </si>
  <si>
    <t>Brc1c(c(c(c(c1O)))C(C(C(C(C))C))(C)C(C))</t>
  </si>
  <si>
    <t>CLc3c(c(c(c(c3)C(C(N(C1C(c2c(C(C1))c(c(c(c2)OC(C(=O)OC(C))))))))O)))</t>
  </si>
  <si>
    <t>CLc2c(c(c(c(c2)Oc1c(c(c(c(c1C(N(C))))F)))))CL</t>
  </si>
  <si>
    <t>CLc2c(c(c(c(c2C(=O)N(C(C3C(C(C(C(N3)))))c1c(c(c(c(c1)))))))))C(F)(F)F</t>
  </si>
  <si>
    <t>CLc2c(c(c(c(c2C(=O)NS(=O)(=O)C(=C(c1c(c(c(c(c1)))))))))F)</t>
  </si>
  <si>
    <t>CLc2c(c(c(c(c2C(=O)NS(=O)(=O)C(=C(c1c(c(c(c(c1))OC)))))))C)</t>
  </si>
  <si>
    <t>CLc4c(c(c(c(c4C=1c3c(N(c2c(N1)c(n(n2))C))c(c(c(c3)N(=O)(=O)))))))</t>
  </si>
  <si>
    <t>CLc3c(c(c(c2c3C(N1C(C(C(C(C(C1=N2))))))))CL)</t>
  </si>
  <si>
    <t>CLc3c(c(c2c(c3)C(C4SC(=NC42O)c1c(c(c(c(c1)))))))</t>
  </si>
  <si>
    <t>CLc2c(c(nc(n2)SC(C(=O)O))N(c1c(c(c(c(c1C)C)))))</t>
  </si>
  <si>
    <t>CLc3c(c2c(c(c3F))C(C(=O)N2C(=O)N)C(=O)c1c(c(c(s1))CL))</t>
  </si>
  <si>
    <t>N(=O)(=O)c1c(c(c(c(c1O)))C(C(C(C(C))C))(C)C(C))</t>
  </si>
  <si>
    <t>N(=O)(=O)c1cc2C(=Nc3c(Nc2cc1)nnc3C)c4ccccc4CL</t>
  </si>
  <si>
    <t>C(</t>
  </si>
  <si>
    <t>O=C(C(C(C(=O)OC(C(C(C(C(C(C(C))))))))))OC(C(C(C(C(C(C(C)))))))</t>
  </si>
  <si>
    <t>O=C(C(OC(=O)C)(C(C(=O)OC(C)))C(C(=O)OC(C)))OC(C)</t>
  </si>
  <si>
    <t>O=C(c2c(c(c(c(c2)))))OC(C(C(C(C(C(OC(=O)c1c(c(c(c(c1))))))))))</t>
  </si>
  <si>
    <t>O=C(c2c(c(c(c(c2)))))OC(C(C(C(C(OC(=O)c1c(c(c(c(c1)))))))))</t>
  </si>
  <si>
    <t>O=C(c2c(c(c(c(c2)))))OC(C(OC(C(OC(=O)c1c(c(c(c(c1))))))))</t>
  </si>
  <si>
    <t>O=C(OC)c1c(c(c(c(c1))))C(=O)O</t>
  </si>
  <si>
    <t>C(C)(N(C(=O)c2c(c(c(c(c2)C))OC(C(C)N(c1c(c(nc(c1)))))))C(C)(C))</t>
  </si>
  <si>
    <t>C(C)(O[Si](C(C(C(N(C(=O)N)))))(OC(C))OC(C))</t>
  </si>
  <si>
    <t>C(C(C)(C(C))c1c(c(c(c(c1O)))C(C)(C(C))C))</t>
  </si>
  <si>
    <t>C(C(C)(c2c(c(c(c(c2)))))c3c(c(c(c(c3O)))C(C)(C)c1c(c(c(c(c1))))))</t>
  </si>
  <si>
    <t>C(C(C)(N(C(C(C(Oc1c(c(c(c(c1))C(OC(C(OC(C)(C))))))))O))))</t>
  </si>
  <si>
    <t>C(C(C(C)))(N(C(=O)OC</t>
  </si>
  <si>
    <t>C(C(c2c(c(c(c(c2))O)))(c3c(c(c(c(c3))O)))c1c(c(c(c(c1))O)))</t>
  </si>
  <si>
    <t>C(C(N(C(=S)S)))(N(C(=S)S))</t>
  </si>
  <si>
    <t>C(c3c(c(c(c(c3)))))(Oc1c(c(c2c(c1)OC(C2N(C(=O)N)O))))</t>
  </si>
  <si>
    <t>C(c3c(c2c(n3C(C(C(C(C(=O)O)))))c(c(c(c2))))c1c(c(c(nc1))))</t>
  </si>
  <si>
    <t>C(c2nc(c(n2c3c(c(c(c(c3))Sc4c(c(c(c(c4)C1(C(C(OC(C1))))C(=O)N))))))))</t>
  </si>
  <si>
    <t>C(c2nc(nc(c2)OC)N(C(=O)NS(=O)(=O)c1c(c(c(c(c1C(=O)OC)))I)))</t>
  </si>
  <si>
    <t>C(c2nc(nc(n2)N3C(C(N(C(C3)C)c1c(c(nc(n1)C(C)O)))C))C)</t>
  </si>
  <si>
    <t>C(N(C(=O)C3=C(N(c2c(C3(=O))nc(OC(C))c(c2)))))(c1c(c(c(c(c1)))))</t>
  </si>
  <si>
    <t>C(N3C5(C(C(C3)N(C5)c4c(c2c(c(c4F))C(=O)(C(=C(N2C1(C(C1))))C(=O)O)))))</t>
  </si>
  <si>
    <t>C(Oc2c(c(c(c(c2)c1c(c(c(c(c1)OC)N)))))N)</t>
  </si>
  <si>
    <t>C(Oc3c(c2c(c(c3))sc(c2OC(C)(C))C(=O)N(c1nnnn1)))</t>
  </si>
  <si>
    <t>C3(C(C(C(C(C32C(O2))))OC(=O)N(C(=O)C(CL)))OC)C1(C(O1)C(C(=C(C)C)))C</t>
  </si>
  <si>
    <t>C3(C(C(Oc2c3c(c(c(c2))C(=O)C))(C)C)O)N(C(=O)c1c(c(c(c(c1))F)))</t>
  </si>
  <si>
    <t>c3(c(c(c(n2(H)c3c1c(c(c(c(n1(H)C(C2)))))))))</t>
  </si>
  <si>
    <t>C2(C(C(C(C(C2)))))(C1(C(C(C(=O)(C(C1))))))</t>
  </si>
  <si>
    <t>c2(c(c(c(c(c2)S(=O)(=O)Nc1nc(c(nc1)CL))))N)</t>
  </si>
  <si>
    <t>c3(c(c(c(c(c3C(C(C(C)(C)C))(C)C)))O)n1nc2c(n1)c(c(c(c2))))</t>
  </si>
  <si>
    <t>O=C1(C(C(=O)(N(C(=N1)O)))(C(C))C(C))</t>
  </si>
  <si>
    <t>c5(c(c7c(c(c5))N3C4(C76C2(N(C(C6))C(C=1C(C2)C4C(C(C3(=O)))OC(C1))))))</t>
  </si>
  <si>
    <t>c1cc(cc2c1ccn2)Br</t>
  </si>
  <si>
    <t>CC(C)(C(=O)OCC=C)OC(=O)c1cc(ccc1CL)N2C(=O)C=C(N(C2(=O))C)C(F)(F)F</t>
  </si>
  <si>
    <t>CC(C)(c1ccc(cc1)OC)c2ccc(cc2)OC</t>
  </si>
  <si>
    <t>Cc1c(c(ncc1)N)N(=O)(=O)</t>
  </si>
  <si>
    <t>Cc1ncc(cn1)C(CC(=O)O)CCCCCCc2ccc3CCCNc3n2</t>
  </si>
  <si>
    <t>Cc2cc3C(=NC(NC(=O)c1ccncc1)C(=O)N4CCc(c2)c34)c5ccccc5</t>
  </si>
  <si>
    <t>Cc5cc(COc4ccc(CL)cc4CNc3ncnc2c3ncn2C1OC(C(=O)NC)C(N)C1O)on5</t>
  </si>
  <si>
    <t>CCCCCCCCCCCCCCCS(=O)(=O)Oc1ccccc1</t>
  </si>
  <si>
    <t>CCn1c2c(c(n1)C)N=C(CNC2(=O))c3ccc(cc3)O</t>
  </si>
  <si>
    <t>CL[Sn](CCCC)(CCCC)CCCC</t>
  </si>
  <si>
    <t>CLc1cc2CC3SC(=NC3(O)c2cc1)c4ccccc4</t>
  </si>
  <si>
    <t>COc1ccc(cc1)C(=O)Nc3nc4ccccc4c(NCc2ccccc2)c3C(</t>
  </si>
  <si>
    <t>FC(F)(F)c2nc(c(c(c2)))OC(c1c(c(c(c(c1))))C(=C(OC))C(=O)OC)</t>
  </si>
  <si>
    <t>FC3(C(N(C(C3)C(</t>
  </si>
  <si>
    <t>Fc3c(c(c(c(c3))C4(C(C(N(C(C4))C1C(c2c(OC1)c(c(c(c2))O))O)))O))</t>
  </si>
  <si>
    <t>Fc2c(c(c(c(c2))Oc3c(c(c(c(c3)OC1C(C(C(=C1))N(C(=O)N)O))))))</t>
  </si>
  <si>
    <t>Fc3c(c(c(c(c3c4c(c(c(c(c4C(</t>
  </si>
  <si>
    <t>Fc3c(c(c(c(c3c4c(oc(n4))c1c(n2c(c(c1))nnc2C(C)(C))))F))</t>
  </si>
  <si>
    <t>Fc3c(c2c(c(c3))n(N(C(=O)c4c(nc(nc4)c1nc(c(c(c1))))C))c(c2C))</t>
  </si>
  <si>
    <t>Fc1cc2c(cc1)C(=CC(=O)N2CC(=O)N)CCN5CCN(c4nccc3sccc34)CC5</t>
  </si>
  <si>
    <t>Fc1ccccc1C(F)COC2CCC(CC2)NC=3NC=NC4=NN=CC=34</t>
  </si>
  <si>
    <t>FOC(=O)C(C(C(C(C(C(C))))))</t>
  </si>
  <si>
    <t>FOS(=O)(=O)C(C(C(C(C(C(C(C)))))))</t>
  </si>
  <si>
    <t>N1C(c2c(N=C1N)nc(n2))=S</t>
  </si>
  <si>
    <t>N32C(C(C(N(C(C3))C(=O)Oc1c(c(c(c(c1))Br)))C(C2)))</t>
  </si>
  <si>
    <t>n42c3c(c(c4C(C(C(C2(=O))C(c1nc(n(c1C))))))C)c(c(c(c3)))</t>
  </si>
  <si>
    <t>NC(Cc2cc(I)c(Oc1ccc(O)c(I)c1)c(I)c2)C(=O)(O)</t>
  </si>
  <si>
    <t>Nc2cc3C(=NC(NC(=O)c1cccnc1)C(=O)N4CCc(c2)c34)c5ccccc5</t>
  </si>
  <si>
    <t>O(C(=O)c1c(c(c(c(n1)CL)))CL)</t>
  </si>
  <si>
    <t>O(c3c(c2c(c(c3))C(c1c2c(c(c(c1))))))</t>
  </si>
  <si>
    <t>O(c3c(c2c(c(c3))C(=O)(N(C2(=O))c1c(c(c(c(c1C(C)(C)))))C(C)(C))))</t>
  </si>
  <si>
    <t>O=C(OC(C))C=1C(C(C(C(C1)OC(C(C))(C(C)))N=C(C)O)N)</t>
  </si>
  <si>
    <t>O=C(OCC)C2(Oc1ccccc1C2N)c3ccccc3</t>
  </si>
  <si>
    <t>O=C2N(C(=O)(C(N2)(C)C))c1c(c(c(c(c1))N(=O)(=O))C(F)(F)F)</t>
  </si>
  <si>
    <t>O=S(=O)(C=Cc1cccs1)NC(=O)c2ccc(F)cc2Br</t>
  </si>
  <si>
    <t>O2C(C(C(C(C2))))OC3C(C(C(C(C3O)OC1C(C(C(C(O1)C(N))O)O)N)N))N</t>
  </si>
  <si>
    <t>S(=O)(=O)(c2c(c(c(c(c2)C(C(=C)))O)))c1c(c(c(c(c1)C(C(=C)))O))</t>
  </si>
  <si>
    <t>Brc2c(c(c(c(c2))c3n(nc(c3C(C))C(=O)N(N4C(C(C(C(C4))))))c1c(c(c(c(c1CL ))CL))))</t>
  </si>
  <si>
    <t>Brc3c(c(c(c(c3N4C(c5c(N(C4(=O))C)nc(nc5)N(c1c(c(c2c(c1)OC(C(O2)C(O))) )))))))</t>
  </si>
  <si>
    <t>CLc2c(c(c(c(c2)C3(OC(C(=O)(N(C3)c4c(c(c(c(c4)))))))C(C(N5C(C(C(C(C5)) (c1c(c(c(c(c1)F))))N(C(=O)C))))))))CL</t>
  </si>
  <si>
    <t>CLc3c(c(c(c(c3)F)S(=O)(=O)N(C)))C(=O)N4C(C(C(C(C4))(C(C(N5C7(C(C(C(C5 C(C7)))n6c2c(nc6C)c(c(c(c2))))))))c1c(c(c(c(c1)F)))))</t>
  </si>
  <si>
    <t>CLc3c(c(c(c(c3)OC)c4c(sc(n4)N(C(=O)c5c(c2c(n5C(C(=O)O))c(c(c(c2)C))C) ))C(C(C1(C(C(C(C(C1)))))))))OC</t>
  </si>
  <si>
    <t>CLc3c(c(c2c(c3)C(C(=O)N2S(=O)(=O)c4c(c(c(c(c4OC))OC)))(c5c(c(c(c(c5OC )))))N1C(C(C(C1C(=O)N(C)C))O)))</t>
  </si>
  <si>
    <t>C( C))</t>
  </si>
  <si>
    <t>C(C(=O)N3C(C(C(C3)O)O))(C(N(C(=O)c4n(c2c(c4)c(c(c(c2))CL))))C(c1c(c(c (c(c1))))))O</t>
  </si>
  <si>
    <t>C(C(C3(C(C(C(C3))))C(=O)N(C4C(C(C(C(C4))C(=O)O)))))(C(OC(C(OC))))C(=O )Oc1c(c(c2c(c1)C(C(C2))))</t>
  </si>
  <si>
    <t>O=C(C)OC2C(OC(C2OC(=O)C)(OC1C(C(C(C(O1)C(OC(=O)C))OC(=O)C)OC(=O)C)OC( =O)C)C(OC(=O)C))C(OC(=O)C)</t>
  </si>
  <si>
    <t>O=C(c2c(c(c(c(c2)))))N3C(C(OC(C3)(c4c(c(c(c(c4)F)F)))C(C(N5C(C(C(C(C5 ))(c1c(c(c(c(c1)))))N(C(=O)N(C)C)))))))</t>
  </si>
  <si>
    <t>O=C(c1c(c(c(c(c1C(=O)OC(C(C(C(C(C(C(C)(C)))))))))C(=O)OC(C(C(C(C(C(C( C)(C))))))))))OC(C(C(C(C(C(C(C)(C)))))))</t>
  </si>
  <si>
    <t>O=C(O)c3c(c(c(c(c3N4c2c(C(=O)(C(=C4)C(=O)O))c(c(c(c2)CL)N(c1c(c(c(c(c 1CL))F))F))))))</t>
  </si>
  <si>
    <t>C(C)(C3N(C(C(C(C3))N(C(c4c(c2c(c(c4OC))C5C(C5C(=O)N2C)))))c1c(c(c(c(c 1))))))</t>
  </si>
  <si>
    <t>C(C)(OC(C(C(C(C(C(C(C([Si](H)(H)H)(H)H)(H)H)(H)H)(H)H)(H)H)(H)H)(H)H) (OC(C(H)(H)H)(H)H)OC(C(H)(H)H)(H)H)(H)H</t>
  </si>
  <si>
    <t>C(C(C(C(c3c(c2c(o3)c(c(c(c2))))C(=O)c1c(c(c(c(c1)I)OC(C(N(C(C))C(C))) )I)))))</t>
  </si>
  <si>
    <t>C(c2c(c(c(c(c2)))))(c3c(c(n(n3)C(C))C4C(C(N(C(C4))C(C5C(C(C(C5)N(C(C( C)(C))C(=O)O)C))c1c(c(c(c(c1)F))))))))</t>
  </si>
  <si>
    <t>C(c2c(c(c(c(c2)))))(S(=O)(=O)c3c(c(c(c(c3N4C(C(C(C(C4))(c1c(c(c(c(c1) ))))))))N(C(C))C(C(N(C)C)))C(=O)N(C(C))C(C)))</t>
  </si>
  <si>
    <t>C(c2c(c(c(c(c2)N3C(=O)(N(C(=O)(N(C3(=O))))C))))Oc1c(c(c(c(c1))SC(F)(F )F)))</t>
  </si>
  <si>
    <t>C(c3c(c(c2c(c3)C(C(N2C(=O)N(c4c(c(c(nc4)Oc1c(c(c(nc1C))))))))))C(F)(F )F)</t>
  </si>
  <si>
    <t>C(c3nc(c(c(n3))C(C(C(=O)O))C(C(C(C(C(C(c1c(c(c2c(n1)N(C(C(C2))))))))) ))))</t>
  </si>
  <si>
    <t>C(N(C(C(Oc2c(c(c(c(c2))C(=C(C(C))c3c(c(c(c(c3)))))c1c(c(c(c(c1))O)))) )))C)</t>
  </si>
  <si>
    <t>C(N(c3c(c(nc2c3c(c(c(c2))))N(C(=O)c4c(c(c(c(c4))OC))))C( (c(c1)))))</t>
  </si>
  <si>
    <t>C(Oc3c(c(c5c(c3)S(N(C5(=O))C(OC4=C(C(=O)(N2C(=N4)C(=C(C(=C2)))OC(C(N1 C(C(C(C(C1))))))))))(=O)=O)C(C)(C)))</t>
  </si>
  <si>
    <t>C(Oc3c(c2c(c(c3))C(C(C(C2)N(C4(C(C(N(C(C4))C(=O)C1(C(C(N(C(C1)))))))) )C(C(C))))))</t>
  </si>
  <si>
    <t>C1(C(C(C(C(C1)))C(=O)OC(C(C(C(C(C(C(C)(C))))))))C(=O)OC(C(C(C(C(C(C(C )(C))))))))</t>
  </si>
  <si>
    <t>c3(c(c(c(c(c3C)S(=O)(=O)O))OC)N(N=C1C(=O)(C(=C(c2c1c(c(c(c2)S(=O)(=O) O)))))))</t>
  </si>
  <si>
    <t>C3(C(C(C(C3))))(N4C(C(C(=O)(N(c2c4nc(nc2)N(c5c(c(c(c(c5OC))C(=O)N(C1( C(C(N(C(C1))C))))))))C))(F)F))</t>
  </si>
  <si>
    <t>C3(C(C(c2c3c(c4c(C(C(C4)))c2N(C(=O)N(S(=O)(=O)c1oc(c(c1)C(O)(C)C))))) ))</t>
  </si>
  <si>
    <t>c32c(C(=O)(C(C(O3)c4c(c(c(c(c4)O)OC)))))c(O)c(c(OC5C(C(C(C(O5)C(O))O) O)OC1C(C(C(C(O1)C)O)O)O)c2)</t>
  </si>
  <si>
    <t>C65(OC2(C(C(C6)OC(=O)(C4(C3(C(=C(C(=C(C(C(C(=C(C2))C)OC7OC(C(C(C7)OC) OC1OC(C(C(C1)OC)NC)C)C)C))))C(OC3(C(C(=C4)C)O)))O)))))C(=C(C(C(O5)C(C (C))C)C))</t>
  </si>
  <si>
    <t>CNS(=O)(=O)c1cc(c(CL)cc1F)C(=O)N2CCC(CC2)(CCN6C3CCC6CC(C3)n4c5ccccc5n c4C)c7cccc(F)c7</t>
  </si>
  <si>
    <t>FC(c3c(c(c(c(c3)C(=O)N(C(C(C(C(N42(H)C(C(C(C(C4))(C(C2))C5(C(C(C(C(C5 ))))))))))c1c(c(c(c(c1)CL)CL))))C))C(F)(F)F))(F)F</t>
  </si>
  <si>
    <t>Fc3c(c(c(c(c3))C(=C(C(=O)N(C4C(C(C(C(C4))C(C(N5C(C(c2c(C(C5))c(c(c(c2 ))c1nc(on1)C))))))))))))</t>
  </si>
  <si>
    <t>Fc2c(c(c(c(c2))Oc3c(c(c(c(c3))S(=O)(=O)N(C1(C(C(C(C1))))C(=O)N(O))C(C (C(=O)O))))))</t>
  </si>
  <si>
    <t>Fc2c(c(c(c(c2))Oc3c(c(c(c(c3))S(=O)(=O)N(C1(C(C(OC(C1))))C(=O)N(O)))) ))</t>
  </si>
  <si>
    <t>Fc3c(c(c5c(c3)c(c(n5C(c4c(c(c(c(c4)F)))))C(=O)N(c1c(c(c2c(c1)c(c(n2)) ))))))</t>
  </si>
  <si>
    <t>Fc3c(c5c(c(c3))sc(n5)C(Oc4c(c(c2c(c4)C(C(C(O2))C(c1c(c(c(c(c1)C(=O)O) ))))O))))</t>
  </si>
  <si>
    <t>N(c2c(c(c(c(c2))C(C(C3(OC(=O)(C(=C(C3)O)Sc1c(c(c(c(c1C(C)(C)C))C(O))C )))C(C)(C))))))</t>
  </si>
  <si>
    <t>O(c3c(c(c2c(c3C)C(C(C(O2)(C)C(Oc4c(c(c(c(c4))C(C1SC(=O)(N(C1(=O)))))) ))))C)C)</t>
  </si>
  <si>
    <t>OC3C(C)=CC5C(=O)OC1CC(OC2(C1)CCC(C)C(CC)O2)CC=C(C)CC(C)C=CC=C4COC3C45 O</t>
  </si>
  <si>
    <t>O3C(C(C(C(C3C)O)O)O)OC4C(OC(C(C4O)O)C(O))Oc5c(c2c(c(c5)O)C(=O)C(C(c1c (c(c(c(c1))O)))O2))</t>
  </si>
  <si>
    <t>O3c2c(OC3)c(c(c(c2))Oc4c(c(c(c(n4))))C(=O)N(C(c1c(c(c(c(c1F))OC(C(=O) O)C)))))</t>
  </si>
  <si>
    <t>s4c3c(c(n4)N5C(C(N(C(C5))C(C(c1c(c(c2c(c1)C(C(C(=O)N2))(C)C)C))))))c( c(c(c3)))</t>
  </si>
  <si>
    <t>CCCOC1=NN(C(=O)NS(=O)(=O)c2ccccc2C(=O)OC)C(=O)N1C</t>
  </si>
  <si>
    <t>NOTATION PROBLEM: COc1ccc2c(c1)c(ccn2)[C@H]([C@@H]3C[C@@H]4CCN3C[C@@H]4C=C)O.OS(=O)(=O)O ******&gt;</t>
  </si>
  <si>
    <t>NOTATION PROBLEM: C[C@H]1[C@@H]([C@H]([C@H]([C@@H](O1)OC[C@@H]2[C@H]([C@@H]([C@H]([C@@H](O2)Oc3c(=O)c4c(cc(cc4oc3c5ccc(c(c5)O)O)O)O)O)O)O)O)O)O.O.O.O ECOSAR Version 1.11 Results Page</t>
  </si>
  <si>
    <t>Oc(c(c(c(c1CL)CL)CL)CL)c1CL</t>
  </si>
  <si>
    <t>CCCCNC(=O)OCC</t>
  </si>
  <si>
    <t>NOTATION PROBLEM: CC[C@H](C)[C@@H]1[C@H](C=C[C@@]2(O1)C[C@@H]3C[C@H](O2)C/C=C(/[C@H]([C@H](/C=C/C=C/4\CO[C@H]5[C@@]4([C@@H](C=C([C@H]5O)C)C(=O)O3)O)C)O[C@H]6C[C@@H]([C@H]([C@@H](O6)C)O[C@H]7C[C@@H]([C@H]([C@@H](O7)C)NC)OC)OC)\C)C.C[C@H]1/C=C/C=C/2\CO[C@H]3[C@@]2([C@@H](C=C([C@H]3O)C)C(=O)O[C@H]4C[C@@H](C/C=C(/[C@H]1O[C@H]5C[C@@H]([C@H]([C@@H](O5)C)O[C@H]6C[C@@H]([C@H]([C@@H](O6)C)NC)OC)OC)\C)O[C@]7(C4)C=C[C@@H]([C@H](O7)C(C)C)C)O ECOSAR Version 1.11 Results Page</t>
  </si>
  <si>
    <t>O6C(C(=O)ON(H)(H)(H)H)C(C(C(C6OC1C(OC7CCC3(C4C(=O)C=C5C(C4(CCC3C7(C)C )C)(CCC2(C5CC(C(=O)O)(CC2)C)C)C)C)OC(C(=O)O)C(C1O)O)O)O)O</t>
  </si>
  <si>
    <t>NOTATION PROBLEM: N/A ECOSAR Version 1.11 Results Page</t>
  </si>
  <si>
    <t>NOTATION PROBLEM: Cl.COc1cccc(c1)c2ccc(cc2Cl)/C=C\CN3CCCCCC3 ******&gt;</t>
  </si>
  <si>
    <t>NOTATION PROBLEM: Cl.O=C(N3CC(CCN1CCC(CC1)(C(=O)N(C)C)N2CCCCC2)(OCC3)c4ccc(Cl)c(Cl)c4)c5ccccc5 ******&gt;</t>
  </si>
  <si>
    <t>NOTATION PROBLEM: Cl.FC(F)(F)c1ccc(Cl)c(c1Cl)C(=O)N[C@@H]([C@@H]3CN2CCC3CC2)c4ccccc4 ******&gt;</t>
  </si>
  <si>
    <t>NOTATION PROBLEM: Cl.Clc1ccc(s1)c5onc(Cn3c4ccc(cc4cc3C(=O)NC2CCN(CC2)C(C)C)C(=O)O[C@@H](C)OC(=O)OCC)c5 ******&gt;</t>
  </si>
  <si>
    <t>NOTATION PROBLEM: Cl.CCN(Cc1cccnc1)C(=O)c2cccc(Cl)c2[C@@]5(C)c3cc(Cl)ccc3N(Cc4ccc(OC)cc4OC)C5=O ******&gt;</t>
  </si>
  <si>
    <t>NOTATION PROBLEM: FC(F)(F)C(=O)O.CCN(CC)C(=O)c1cc(c(cc1N(CC)CCN(C)C)N2CCC(CC2)c3ccccc3)S(=O)(=O)Cc4ccccc4</t>
  </si>
  <si>
    <t>NOTATION PROBLEM ECOSAR Version 1.11 Results Page</t>
  </si>
  <si>
    <t>n1c2ccc(CL)cc2ncc1Oc3ccc(OC(C)C(=O)OCC)cc3</t>
  </si>
  <si>
    <t>O=C(N(SC(CL)(CL)CL)C(=O)C1CC=CC2)C12</t>
  </si>
  <si>
    <t>O=C1N(C(=O)C2C1CC=CC2)SC(C(CL)CL)(CL)CL</t>
  </si>
  <si>
    <t>c1ccc2nc(NC(=O)OC)n(C(=O)NCCCC)c2c1</t>
  </si>
  <si>
    <t>CC1CC(C)=CCC2OC3(CCC(C)C(C)O3)CC(C2)OC(=O)C4C=C(C)C(O)C5OCC(C45O)=CC= C1</t>
  </si>
  <si>
    <t>C(F)(F)(F)c1cc(CL)ccc1N=C(COCCC)n2cncc2</t>
  </si>
  <si>
    <t>O(c(c(O)cc(c1)CL)c1)c(c(cc(c2)CL)CL)c2</t>
  </si>
  <si>
    <t>n1cc(C(F)(F)F)cc(CL)c1Nc2c(N(=O)(=O))c(CL)c(C(F)(F)F)cc2N(=O)(=O)</t>
  </si>
  <si>
    <t>CLc1cc(N(=O)(=O))ccc1NC(=O)c2cc(CL)ccc2O</t>
  </si>
  <si>
    <t>Oc(c(cc(c1)CL)Cc(c(O)ccc2CL)c2)c1</t>
  </si>
  <si>
    <t>c1ccc2c(c1)ccc3ccccc32</t>
  </si>
  <si>
    <t>CC1(C)C(C=C(CL)CL)C1C(=O)OCc3cccc(Oc2ccccc2)c3</t>
  </si>
  <si>
    <t>CLC2=C(CL)C3(CL)C1COS(=O)OCC1C2(CL)C3(CL)CL</t>
  </si>
  <si>
    <t>Fc1cc(CL)c(CC(CL)C(=O)OCC)cc1N2C(=O)N(C(F)F)C(C)=N2</t>
  </si>
  <si>
    <t>c1ccc2nc(SCSC(</t>
  </si>
  <si>
    <t>CCOC(=O)COc1cc(c(cc1CL)F)N2C(=O)C(=C(C=N2)C(F)(F)F)C</t>
  </si>
  <si>
    <t>c2(c(n(c(n2)C(</t>
  </si>
  <si>
    <t>c1(ccc(n2ccc(OCc3c(cccc3)N(OC)C(=O)(OC))n2)cc1)CL</t>
  </si>
  <si>
    <t>c1ccccc1c2c(C)c(COC(=O)C3C(C)(C)C3C=C(CL)C(F)(F)F)ccc2</t>
  </si>
  <si>
    <t>n1cc(CL)cc(F)c1Oc2ccc(OC(C)C(=O)OCC</t>
  </si>
  <si>
    <t>CLc1cc(C(F)(F)F)ccc1Oc2cc(C(=O)OC(C)C(=O)OCC)c(N(=O)(=O))cc2</t>
  </si>
  <si>
    <t>CLc1c(CC)nn(C)c1C(=O)NCc2ccc(C(C)(C)C)cc2</t>
  </si>
  <si>
    <t>FC(F)(F)C(CL)=CC1C(C)(C)C1C(=O)OC(C(</t>
  </si>
  <si>
    <t>c1ncnn1C(C(O)C(C)(C)C)Cc2ccc(CL)cc2</t>
  </si>
  <si>
    <t>CC(C)(C)c2ccc(OC1CCCCC1OS(=O)OCC</t>
  </si>
  <si>
    <t>O=C(COc2c(cc(c(c2)c1nn(c(c1CL)OC(F)F)C)F)CL)OCC</t>
  </si>
  <si>
    <t>CON=C(c1ccccc1Oc2c(c(ncn2)Oc3ccccc3CL)F)C4=NOCCO4</t>
  </si>
  <si>
    <t>Oc(c(c(c(c1)CL)CL)Cc(c(c(cc2CL)CL)CL)c2O)c1CL</t>
  </si>
  <si>
    <t>CLC(CL)=CC1C(C)(C)C1C(=O)OC(C(</t>
  </si>
  <si>
    <t>CL[Hg]C</t>
  </si>
  <si>
    <t>O=C(Nc(ccc(c1)CL)c1)Nc(ccc(c2CL)CL)c2</t>
  </si>
  <si>
    <t>CC1(C)C(C=C(Br)Br)C1C(=O)OC(C(</t>
  </si>
  <si>
    <t>NOTATION PROBLEM: CC[C@H](C)[C@@H]1[C@H](C=C[C@@]2(O1)C[C@@H]3C[C@H](O2)C/C=C(/[C@H]([C@H](/C=C/C=C/4\CO[C@H]5[C@@]4([C@@H](C=C([C@H]5O)C)C(=O)O3)O)C)O[C@H]6C[C@@H]([C@H]([C@@H](O6)C)O[C@H]7C[C@@H]([C@H]([C@@H](O7)C)O)OC)OC)\C)C.C[C@H]1/C=C/C=C/2\CO[C@H]3[C@@]2([C@@H](C=C([C@H]3O)C)C(=O)O[C@H]4C[C@@H](C/C=C(/[C@H]1O[C@H]5C[C@@H]([C@H]([C@@H](O5)C)O[C@H]6C[C@@H]([C@H]([C@@H](O6)C)O)OC)OC)\C)O[C@]7(C4)C=C[C@@H]([C@H](O7)C(C)C)C)O ECOSAR Version 1.11 Results Page</t>
  </si>
  <si>
    <t>N12CCCCN1C(=O)SC2=Nc3cc(SCC(=O)OC)c(CL)cc3F</t>
  </si>
  <si>
    <t>CC2(CC(=O)c1ccccc1C2(=O))S(O)(=O)=O</t>
  </si>
  <si>
    <t>CC(C)C(C(=O)OC(C(</t>
  </si>
  <si>
    <t>NOTATION PROBLEM: C1=CC=C(C=C1)CNN.Cl ECOSAR Version 1.11 Results Page</t>
  </si>
  <si>
    <t>c1cc(C(C)(C)C)ccc1CSC2=C(CL)C(=O)N(C(C)(C)C)N=C2</t>
  </si>
  <si>
    <t>CLC2(CL)C4(CL)C1(CL)C5(CL)C(CL)(CL)C3(CL)C1(CL)C2(CL)C3(CL)C45CL</t>
  </si>
  <si>
    <t>CLC1CC2C(C1CL)C3(CL)C(=C(CL)C2(CL)C3(CL)CL)CL</t>
  </si>
  <si>
    <t>CLC3=C(CL)C4(CL)C2C1CC(C=C1)C2C3(CL)C4(CL)CL</t>
  </si>
  <si>
    <t>c(c(cc(c1CL)CL)CL)(c1)CL</t>
  </si>
  <si>
    <t>CLC(CL)C(c1ccc(CL)cc1)c2ccc(CL)cc2</t>
  </si>
  <si>
    <t>c(ccc(c1)CL)(c1)C(c(ccc(c2)CL)c2)C(CL)(CL)CL</t>
  </si>
  <si>
    <t>CLC(CL)=C(c1ccc(CL)cc1)c2ccc(CL)cc2</t>
  </si>
  <si>
    <t>COc1ccc(cc1)C(c2ccc(OC)cc2)C(CL)(CL)CL</t>
  </si>
  <si>
    <t>COC(=O)C(C)Oc2ccc(Oc1ccc(CL)cc1CL)cc2</t>
  </si>
  <si>
    <t>Fc1cccc(F)c1C(=O)NC(=O)Nc2cc(CL)c(OC(F)(F)C(F)OC(F)(F)F)cc2</t>
  </si>
  <si>
    <t>N(=O)(=O)c(c(c(c(c1CL)CL)CL)CL)c1CL</t>
  </si>
  <si>
    <t>CCCCCCCCCCCCN(CL)(C)(C)C</t>
  </si>
  <si>
    <t>COP(=S)(OC)Oc1nc(CL)c(CL)cc1CL</t>
  </si>
  <si>
    <t>CCOP(=S)(OCC)Oc1nc(CL)c(CL)cc1CL</t>
  </si>
  <si>
    <t>O=C(OCC(OC(OC(OC(C(OC(=O)C)C1OC(=O)C)COC(=O)C)C1OC(=O)C)(C2OC(=O)C)CO C(=O)C)C2OC(=O)C)C</t>
  </si>
  <si>
    <t>C(c2ccccc2)(c1ccccc1)OCCN(CL)(H)(C)C</t>
  </si>
  <si>
    <t>O=C(O)C(F)(F)C(F)(F)C(F)(F)C(F)(F)C(F)(F)C(F)(F)C(F)(F)C(F)(F)C(F)(F) F</t>
  </si>
  <si>
    <t>OC(c1ccc(CL)cc1)(c2ccc(CL)cc2)C(CL)(CL)CL</t>
  </si>
  <si>
    <t>CLc1ccc(cc1)C(c2ccccc2CL)C(CL)(CL)CL</t>
  </si>
  <si>
    <t>OC(=O)C(F)(F)C(F)(F)C(F)(F)C(F)(F)C(F)(F)C(F)(F)C(F)(F)C(F)(F)C(F)(F) C(F)(F)F</t>
  </si>
  <si>
    <t>CC(C)Oc1cc(c(CL)cc1CL)N2N=C(OC2(=O))C(C)(C)C</t>
  </si>
  <si>
    <t>o1c2cc(CL)ccc2nc1Oc3ccc(OC(C)C(=O)OCC)cc3</t>
  </si>
  <si>
    <t>Oc(ccc(c1)C(c(ccc(O)c2)c2)C(CL)(CL)CL)c1</t>
  </si>
  <si>
    <t>CCCCC(CC)COC(=O)c1ccccc1C(=O)(O)</t>
  </si>
  <si>
    <t>OC(C</t>
  </si>
  <si>
    <t>CLc1cc(CL)cc(CL)c1OCCN(CCC)C(=O)n2cncc2</t>
  </si>
  <si>
    <t>CCC(=C(c1ccccc1)c2ccc(cc2)OCCN(C)C)c3ccccc3</t>
  </si>
  <si>
    <t>CLc1ccc2C3=NN(C(=O)N(C(=O)OC)c4ccc(OC(F)(F)F)cc4)COC3(C(=O)OC)Cc2c1</t>
  </si>
  <si>
    <t>S=P(OCC)(OCC)SCN1C(=O)Oc2cc(CL)ccc12</t>
  </si>
  <si>
    <t>CLc1ccccc1C(c2ccccc2)(c3ccccc3)n4ccnc4</t>
  </si>
  <si>
    <t>CC1(C)C(C=C(CL)CL)C1C(=O)OC(C(</t>
  </si>
  <si>
    <t>CCCSP(=O)(OCC)Oc1ccc(Br)cc1CL</t>
  </si>
  <si>
    <t>n(c(c(c(c1CL)CL)CL)CL)c1CL</t>
  </si>
  <si>
    <t>CCCCOCN(C(=O)CCL)c1c(CC)cccc1CC</t>
  </si>
  <si>
    <t>CLc1ccc(C(=O)c2ccc(OC(C)(C)C(=O)OC(C)C)cc2)cc1</t>
  </si>
  <si>
    <t>CLc1cc(C(F)(F)F)ccc1Oc2cc(OCC)c(N(=O)(=O))cc2</t>
  </si>
  <si>
    <t>S=P(OCC)(OCC)Oc1ccc2C(C)=C(CL)C(=O)Oc2c1</t>
  </si>
  <si>
    <t>CLc1cc(CL)ccc1C(Cn2ncnc2)COC(F)(F)C(F)F</t>
  </si>
  <si>
    <t>O1CC(C)OC1(Cn2ncnc2)c3c(CL)cc(Oc4ccc(CL)cc4)cc3</t>
  </si>
  <si>
    <t>O=C(C(C)Oc2ccc(cc2)Oc1c(cc(cc1)C(</t>
  </si>
  <si>
    <t>n1c(F)c(CL)c(N)c(CL)c1OCC(=O)OC(C)CCCCCC</t>
  </si>
  <si>
    <t>c1c(CL)cc2nccc(Oc3ccc(F)cc3)c2c1CL</t>
  </si>
  <si>
    <t>c1cc(CL)ccc1C(C(C)C)C(=O)OC(C(</t>
  </si>
  <si>
    <t>Fc1cccc(F)c1C(=O)NC(=O)Nc2cc(CL)c(OC(F)(F)C(F)F)c(CL)c2</t>
  </si>
  <si>
    <t>c1cc(CL)ccc1CCC(C(</t>
  </si>
  <si>
    <t>C(CL)(C(F)(F)F)=CC1C(C)(C)C1C(=O)OCc2c(F)c(F)c(C)c(F)c2F</t>
  </si>
  <si>
    <t>N(=O)(=O)c1cc(C(F)(F)F)cc(N(=O)(=O))c1N(CC)Cc2c(F)cccc2CL</t>
  </si>
  <si>
    <t>c2nc(CL)c(cc2)C(=O)(Nc3c(cccc3)c1ccc(cc1)CL)</t>
  </si>
  <si>
    <t>CC3(C)C(C(=O)OC(C(</t>
  </si>
  <si>
    <t>c4cc2c(cc4O)CC(CCCCCCCCCS(CCCC(C(F)(F)F)(F)F)=O)C1C3C(C)(CCC21)C(O)CC 3</t>
  </si>
  <si>
    <t>O=C(C(CC)(C)C)OC3=C(C(=O)(OC23CCCCC2))c1c(cc(cc1)CL)CL</t>
  </si>
  <si>
    <t>CC(C(C(=O)O)N1Sc2c(C1(=O))cccc2)CC</t>
  </si>
  <si>
    <t>C(C)C4CCC(C(N4)c5ccccc5)NCC=1C(=CC=2C3C(C(=O)(N(C2C1)C))C3)OC</t>
  </si>
  <si>
    <t>NOTATION PROBLEM: Cl.CCCOc1sc(c(C)c1Br)C(=O)N2CCC(CC2)c3cc(CN)ccc3F ******&gt;</t>
  </si>
  <si>
    <t>NOTATION PROBLEM: Cl.CS(=O)(=O)Nc1cc(ccc1O)OC[C@@H](O)CN[C@H]2CC[C@@H](CC2)c3ccc(cc3)C(=O)OCC ******&gt;</t>
  </si>
  <si>
    <t>NOTATION PROBLEM: Cl.CC(C)(O)CNc1ncc3c(n1)N(C)C(=O)C=C3Oc2ccc(F)cc2F ECOSAR Version 1.11 Results Page</t>
  </si>
  <si>
    <t>O=C(NS(=O)(=O)C=Cc1ccc(OC)cc1)c2ccc(C)cc2CL User</t>
  </si>
  <si>
    <t>COc1c(N(H)(H)(H)CL)ccc(c2cc(OC)c(N(H)(H)(H)CL)cc2)c1</t>
  </si>
  <si>
    <t>O=C(OC(C(OC)C(C(C1CN(C2c(nc(c3ccc4OC)c4)c3C5)C5)C2)C(=O)OC)C1)c(cc(OC )c(OC)c6OC)c6</t>
  </si>
  <si>
    <t>c1cc(O)c(O)cc1C(O)CN(CL)(H)(H)C(C)C</t>
  </si>
  <si>
    <t>COP(=O)(OC)C(O)C(CL)(CL)CL</t>
  </si>
  <si>
    <t>OC2(CCN(CCCC(=O)c1ccc(F)cc1)CC2)c3ccc(CL)cc3</t>
  </si>
  <si>
    <t>O=C1C=C2CCC3C4CCC(O)(C(=O)CO)C4(C)CC(=O)C3C2(C)C=C1</t>
  </si>
  <si>
    <t>COc1ccc2n(C(=O)c3ccc(CL)cc3)c(C)c(CC(=O)O)c2c1</t>
  </si>
  <si>
    <t>CCOP(=S)(OCC)Oc1ccc(cc1)N(=O)(=O)</t>
  </si>
  <si>
    <t>CCC1(C(=O)N=C(O)NC1(=O))c2ccccc2</t>
  </si>
  <si>
    <t>CCc1nc(N)nc(N)c1c2ccc(CL)cc2</t>
  </si>
  <si>
    <t>C(C(C(C(C1CL)CL)CL)CL)(C1CL)CL</t>
  </si>
  <si>
    <t>O=S(=O)(N)c(c(cc(NCNS1(=O)=O)c12)CL)c2</t>
  </si>
  <si>
    <t>Oc(ccc(c1C)CL)c1</t>
  </si>
  <si>
    <t>O=C(N)NN=Cc(oc(N(=O)(=O))c1)c1</t>
  </si>
  <si>
    <t>CN(C)C2C1CC4C(=C(O)C1(O)C(=O)C(=C2O)C(=O)(N))C(=O)c3c(O)cccc3C4(C)O</t>
  </si>
  <si>
    <t>CLC4=C(CL)C5(CL)C3C1CC(C2OC12)C3C4(CL)C5(CL)CL</t>
  </si>
  <si>
    <t>O=P(OC)(OC)OC=C(CL)CL</t>
  </si>
  <si>
    <t>O=C(NC(C(C(c(c(cc(OC)c1OC)C2)c1OC)=CC=C(OC)C3(=O))=C3)C2)C</t>
  </si>
  <si>
    <t>O=C(N(N=Cc(oc(N(=O)(=O))c1)c1)CC2(=O))N2</t>
  </si>
  <si>
    <t>CC34CCC1C(CCC2=CC(=O)CCC12)C3CCC4(O)C</t>
  </si>
  <si>
    <t>N1(C2OC(CO)C(C2O)O)C(=O)(N=C(N(CL)(H)(H)(H))C=C1)</t>
  </si>
  <si>
    <t>O=C(O)C(N)Cc(c(c(n1)ccc2)c2)c1</t>
  </si>
  <si>
    <t>O=C(O)C(CL)(CL)C</t>
  </si>
  <si>
    <t>O=C(O)C(CL)(CL)CL</t>
  </si>
  <si>
    <t>C(=C(C(=C1CL)CL)CL)(C1(CL)CL)CL</t>
  </si>
  <si>
    <t>O=C(NC(C1(=O))(C)C)N1</t>
  </si>
  <si>
    <t>O=C(O)C(CL)CL</t>
  </si>
  <si>
    <t>O=C(N(C)C)CL</t>
  </si>
  <si>
    <t>O=C(N)C(=C(O)C(N(C)C)C(C1(O)C(O)=C(C2C(O)(c(c3c(O)cc4)c4)C)C3(=O))C2O )C1(=O)</t>
  </si>
  <si>
    <t>N(=O)(=O)c(c(c(cc1)C)C)c1</t>
  </si>
  <si>
    <t>c(c(c(cc1)CL)CL)(c1)CL</t>
  </si>
  <si>
    <t>O=C(N(C(=O)N(C1(=O))CL)CL)N1CL</t>
  </si>
  <si>
    <t>O=C(O)COc(c(cc(c1)CL)C)c1</t>
  </si>
  <si>
    <t>O=C(O)COc(c(cc(c1)CL)CL)c1</t>
  </si>
  <si>
    <t>OC(=O)CCCOc1ccc(CL)cc1CL</t>
  </si>
  <si>
    <t>c(c(ccc1)CL)(c1)C</t>
  </si>
  <si>
    <t>c(c(ccc1)CL)(c1)CL</t>
  </si>
  <si>
    <t>Oc(c(ccc1)CL)c1</t>
  </si>
  <si>
    <t>CLCC(CL)CCL</t>
  </si>
  <si>
    <t>OC(CCL)CCL</t>
  </si>
  <si>
    <t>O=Cc(occ1)c1</t>
  </si>
  <si>
    <t>c(cccc1)(c1)C(CL)(CL)CL</t>
  </si>
  <si>
    <t>c(cccc1)(c1)C(CL)CL</t>
  </si>
  <si>
    <t>N(=O)(=O)c(cc(c(N)c1CL)CL)c1</t>
  </si>
  <si>
    <t>N(=O)(=O)c(ccc(c1C)C)c1</t>
  </si>
  <si>
    <t>N(=O)(=O)c(ccc(c1CL)CL)c1</t>
  </si>
  <si>
    <t>N(=O)(=O)c(ccc(c1N)C)c1</t>
  </si>
  <si>
    <t>N(=O)(=O)c(ccc(OC)c1N)c1</t>
  </si>
  <si>
    <t>CCCC(CCC)C(=O)(O)</t>
  </si>
  <si>
    <t>N(=O)(=O)c(ccc(c1)CL)c1</t>
  </si>
  <si>
    <t>CLc2nc(CL)nc(Nc1ccccc1CL)n2</t>
  </si>
  <si>
    <t>O=C(O)C(Oc(cccc1CL)c1)C</t>
  </si>
  <si>
    <t>CC(C)OC(=O)Nc1cccc(CL)c1</t>
  </si>
  <si>
    <t>n1c(NS(=O)(=O)c2ccc(N)cc2)cncc1CL</t>
  </si>
  <si>
    <t>c(ccc(c1)CL)(c1)C</t>
  </si>
  <si>
    <t>c(ccc(c1)CL)(c1)CL</t>
  </si>
  <si>
    <t>Nc(ccc(c1)CL)c1</t>
  </si>
  <si>
    <t>OCCCL</t>
  </si>
  <si>
    <t>N1C(=O)NC(=O)NC1(=O)</t>
  </si>
  <si>
    <t>O(CCCL)CCCL</t>
  </si>
  <si>
    <t>CCC3OC(=O)C(C)C(OC1CC(C)(OC)C(O)C(C)O1)C(C)C(OC2OC(C)CC(C2O)N(C)C)C(C )(O)CC(C)C(=O)C(C)C(O)C3(C)O</t>
  </si>
  <si>
    <t>O=C(O)C(C(C(=C(C12CL)CL)CL)(C1(CL)CL)CL)C2C(=O)O</t>
  </si>
  <si>
    <t>O=P(OCCCL)(OCCCL)OCCCL</t>
  </si>
  <si>
    <t>O=C(N(C(C1(=O))(C)C)CL)N1CL</t>
  </si>
  <si>
    <t>O=C(O)C(Oc(c(cc(c1)CL)CL)c1)C</t>
  </si>
  <si>
    <t>c(ccc(c1CL)CL)(c1)CL</t>
  </si>
  <si>
    <t>Oc(c(cc(c1)CL)CL)c1</t>
  </si>
  <si>
    <t>COP(=S)(OC)Oc1ccc(N(=O)(=O))c(C)c1</t>
  </si>
  <si>
    <t>n(c(nc(n1)NCC)NCC)c1CL</t>
  </si>
  <si>
    <t>O=C(N(SC(CL)(CL)CL)C(=O)c1cccc2)c12</t>
  </si>
  <si>
    <t>O=C(O)c(c(c(N)cc1CL)CL)c1</t>
  </si>
  <si>
    <t>CC(C)Nc1nc(CL)nc(NC(C)C)n1</t>
  </si>
  <si>
    <t>n(c(c(s1)ccc2)c2)c1S</t>
  </si>
  <si>
    <t>O=C(N(C)C)Nc(ccc(c1)CL)c1</t>
  </si>
  <si>
    <t>COP(=S)(OC)Oc1ccc(cc1)N(=O)(=O)</t>
  </si>
  <si>
    <t>COP(=O)(OC)OC(Br)C(CL)(CL)Br</t>
  </si>
  <si>
    <t>O=C(N(C)C)Nc(ccc(c1CL)CL)c1</t>
  </si>
  <si>
    <t>O=C(N(OC)C)Nc(ccc(c1CL)CL)c1</t>
  </si>
  <si>
    <t>C12(C)CCC3C4(C)C5CC5C(=O)C=C4C(CL)=CC3C1CCC2(C(=O)C)OC(=O)C</t>
  </si>
  <si>
    <t>O=C(OCC)C(O)(c(ccc(c1)CL)c1)c(ccc(c2)CL)c2</t>
  </si>
  <si>
    <t>O=C(c(cccc1)c1)CCL</t>
  </si>
  <si>
    <t>c(cccc1CL)(c1)CL</t>
  </si>
  <si>
    <t>n(nc1)cn1N</t>
  </si>
  <si>
    <t>O=C(OC(C(=C(C1(=O))CC=C)C)C1)C(C2(C)C)C2C=C(C)C</t>
  </si>
  <si>
    <t>N(=O)(=O)c(c(N(=O)(=O))c(cc1)C)c1</t>
  </si>
  <si>
    <t>CCOC(=O)C(C)(C)Oc1ccc(CL)cc1</t>
  </si>
  <si>
    <t>CCC(=O)Nc1ccc(CL)c(CL)c1</t>
  </si>
  <si>
    <t>COP(=S)(OC)SCN2C(=O)c1ccccc1C2(=O)</t>
  </si>
  <si>
    <t>C12C3CCC4(CC)C(O)(C</t>
  </si>
  <si>
    <t>Oc1ccc(cc1)N(=O)(=O)</t>
  </si>
  <si>
    <t>CLc1nc(N)nc(NCC)n1</t>
  </si>
  <si>
    <t>CLC2C1OC1C3C2C4(CL)C(=C(CL)C3(CL)C4(CL)CL)CL</t>
  </si>
  <si>
    <t>O=C(C(c(cccc1)c1)(c(cccc2)c2)CC(N(H)(CL)(C)C)C)CC</t>
  </si>
  <si>
    <t>CLc1cccc(CL)c1C(</t>
  </si>
  <si>
    <t>O=C(O)c(c(O)cc(c1C(=O)c(c2c(O)c(O)c3C(OC(C(O)C4O)CO)C4O)c3O)C2(=O))c1 C</t>
  </si>
  <si>
    <t>O=C(c1(cc(O)c(O)c(O)c1))OC4(C(O)C(OC(=O)c2(cc(O)c(O)c(O)c2))OC(COC(=O )c3(cc(O)c(O)c(O)c3))C4O)</t>
  </si>
  <si>
    <t>O=C3CC(C(C(OC4C(C(N(C)C)C(C(O4)C)OC2CC(O)(C)C(C(O2)C)O)O)C(CC(C(=O)C= CC(=CC(C(O3)CC)COC1C(C(OC)C(C(O1)C)O)OC)C)C)CC(=O))C)O</t>
  </si>
  <si>
    <t>CN(C)NC(=O)CCC(=O)(O)</t>
  </si>
  <si>
    <t>c1ccccc1N2C(=O)C(CL)=C(N)C=N2</t>
  </si>
  <si>
    <t>OC(=O)c1nc(CL)ccc1CL</t>
  </si>
  <si>
    <t>N(=O)(=O)c(ccc(Oc(c(cc(c1)CL)CL)c1)c2)c2</t>
  </si>
  <si>
    <t>COC(=O)c1c(CL)c(CL)c(C(=O)OC)c(CL)c1CL</t>
  </si>
  <si>
    <t>CCCCN(CC)c1c(cc(cc1N(=O)(=O))C(F)(F)F)N(=O)(=O)</t>
  </si>
  <si>
    <t>n(c(nc(n1)NC(C)C)NCC)c1CL</t>
  </si>
  <si>
    <t>COc1c(CL)ccc(CL)c1C(=O)(O)</t>
  </si>
  <si>
    <t>Nc1c(CL)c(CL)nc(C(=O)(O))c1CL</t>
  </si>
  <si>
    <t>n(c(ccc1)C(CL)(CL)CL)c1CL</t>
  </si>
  <si>
    <t>Oc2c(N=Nc1ccc(cc1)S(O)(=O)=O)c(nn2c3ccc(cc3)S(O)(=O)=O)C(=O)(O)</t>
  </si>
  <si>
    <t>c12C(=O)C3=C(O)C4(O)C(=O)C(C(=O)N)=C(O)C(N(H)(CL)(C)C)C4C(O)C3Cc1cccc 2</t>
  </si>
  <si>
    <t>CCOP(=S)(Oc1ccc(cc1)N(=O)(=O))c2ccccc2</t>
  </si>
  <si>
    <t>CC(C)N(C(C)C)C(=O)SCC(CL)=C(CL)CL</t>
  </si>
  <si>
    <t>O=C(N(C(=O)N(C1(=O))CC(O2)C2)CC(O3)C3)N1CC(O4)C4</t>
  </si>
  <si>
    <t>CCOc1nc(ns1)C(CL)(CL)CL</t>
  </si>
  <si>
    <t>COc1cc(CL)c(OC)cc1CL</t>
  </si>
  <si>
    <t>Oc3(c(C(C)(C)c1(ccccc1))cc(C(C)(C)c2(ccccc2))cc3)</t>
  </si>
  <si>
    <t>O(C1)C1CN(CL)(C)(C)C</t>
  </si>
  <si>
    <t>OS(=O)(=O)c1ccccc1C(=C2C=CC(=N(CC)Cc3cccc(S(=O)(=O)O)c3)C=C2)c4ccc(N( CC)Cc5cccc(S(=O)(=O)O)c5)cc4</t>
  </si>
  <si>
    <t>Nc1nc(CL)nc2n(cnc12)C3CC(O)C(CO)O3</t>
  </si>
  <si>
    <t>O=C(OC(=C1)C)C(C1(=O))C(=O)C</t>
  </si>
  <si>
    <t>c(ccc(c1)CL)(c1)C(CL)(CL)CL</t>
  </si>
  <si>
    <t>CC1=C(CL)C(=O)N(C(C)(C)C)C(=O)N1</t>
  </si>
  <si>
    <t>n(c(nc(n1)NC(C)(C)C)NCC)c1CL</t>
  </si>
  <si>
    <t>CNC(=S)S User</t>
  </si>
  <si>
    <t>OCL=O</t>
  </si>
  <si>
    <t>Oc1c(OC)cc(CC=C)cc1</t>
  </si>
  <si>
    <t>O=C(N)C(C(</t>
  </si>
  <si>
    <t>O1C=CC(OC)C(C)C(OC(=O)C)C(C)C(O)C(C)C(O)C(C)C=CC=C(C)C(=O)Nc(c2O)c(C= NN3CCN(C)CC3)c(O)c(c2c4O)c(c5c4C)C(=O)C1(O5)C</t>
  </si>
  <si>
    <t>c1c(C(F)(F)F)c(N(=O)(=O))ccc1NC(=O)C(C)C</t>
  </si>
  <si>
    <t>O=P(OC(CCL)CCL)(OC(CCL)CCL)OC(CCL)CCL</t>
  </si>
  <si>
    <t>c(ccc1n(CL)(c2)Cc(ccc3)cc3)cc1cc2</t>
  </si>
  <si>
    <t>O=P(O)(O)CCCL</t>
  </si>
  <si>
    <t>CCCN(CCC)c1c(cc(cc1N(=O)(=O))S(N)(=O)=O)N(=O)(=O)</t>
  </si>
  <si>
    <t>c12oc(CCCC)c(C(=O)c3cc(I)c(OCCN(CL)(H)(CC)CC)c(I)c3)c1cccc2</t>
  </si>
  <si>
    <t>CCNc1nc(CL)nc(NC(C)(C)C(</t>
  </si>
  <si>
    <t>N1=C(C=Cc2cccs2)N(C)CCC1</t>
  </si>
  <si>
    <t>CC(C)=CC1C(C)(C)C1C(=O)OC2C(C)=C(CC</t>
  </si>
  <si>
    <t>CNC(=O)Oc1cccc(N=CN(CL)(H)(C)C)c1</t>
  </si>
  <si>
    <t>CC(C)(NC(=O)c1cc(CL)cc(CL)c1)C</t>
  </si>
  <si>
    <t>C1CCCCN1(CL)(C)C</t>
  </si>
  <si>
    <t>CLN(C)(C)(H)CCCNC(=O)OCCC</t>
  </si>
  <si>
    <t>c1c(C(F)(F)F)cccc1N2C(=O)C(CL)=C(NC)C=N2</t>
  </si>
  <si>
    <t>CCN(CC)C(=O)SCc1ccc(CL)cc1</t>
  </si>
  <si>
    <t>N(=O)(=O)c(c(N(CCC)CCC)c(N(=O)(=O))c(N)c1C(F)(F)F)c1</t>
  </si>
  <si>
    <t>C1=C(C)C(=O)NC(=O)N1C2OC(CO)C(N=N</t>
  </si>
  <si>
    <t>COP(=O)(NC(=O)(C))SC</t>
  </si>
  <si>
    <t>c1c(CL)cc(CL)cc1N2C(=O)C(C)(C3)C3(C)C2(=O)</t>
  </si>
  <si>
    <t>N(=O)(=O)c(c(NC(CC)C)c(N(=O)(=O))cc1C(C)(C)C)c1</t>
  </si>
  <si>
    <t>CCCN(CCC)c1c(cc(cc1N(=O)(=O))C(C)C)N(=O)(=O)</t>
  </si>
  <si>
    <t>CLc1cnc2N(CSP(=O)(OC)OC)C(=O)Oc2c1</t>
  </si>
  <si>
    <t>c1c(CL)cc(CL)cc1N2C(=O)CN(C(=O)NC(C)C)C2(=O)</t>
  </si>
  <si>
    <t>CCC(CC)Nc1c(cc(C)c(C)c1N(=O)(=O))N(=O)(=O)</t>
  </si>
  <si>
    <t>CCOP(=S)(OCC)Oc1nn(C(C)C)c(CL)n1</t>
  </si>
  <si>
    <t>CC(C)(C)C(=O)C(Oc1ccc(CL)cc1)n2cncn2</t>
  </si>
  <si>
    <t>c1ccccc1c2cc(c3ccccc3)n(C)(OS(=O)(=O)OC)n2C</t>
  </si>
  <si>
    <t>c1c(CL)cc(CL)cc1N2C(=O)C(C)(C=C)OC2(=O)</t>
  </si>
  <si>
    <t>O=C(O)c(c(N(=O)(=O))ccc1Oc(c(cc(c2)C(F)(F)F)CL)c2)c1</t>
  </si>
  <si>
    <t>CCc1cccc(C)c1N(C(C)COC)C(=O)CCL</t>
  </si>
  <si>
    <t>O=C(N=C(N(C1(=O))C)N(C)C)N1C(CCCC2)C2</t>
  </si>
  <si>
    <t>S=P(OCC)(OCC)OC(CL)C(CL)(CL)CL</t>
  </si>
  <si>
    <t>c1cc(CL)ccc1OC(n2ncnc2)C(O)C(C)(C)C</t>
  </si>
  <si>
    <t>N(=O)(=O)c(c(N(CC(=C)C)CC)c(N(=O)(=O))cc1C(F)(F)F)c1</t>
  </si>
  <si>
    <t>OC(=O)COc1nc(CL)c(CL)cc1CL</t>
  </si>
  <si>
    <t>NOTATION PROBLEM: c1cc(nc(c1Cl)C(=O)O)Cl.C(CO)N ECOSAR Version 1.11 Results Page</t>
  </si>
  <si>
    <t>O=C(NCC)NC(=O)C(=NOC)C(</t>
  </si>
  <si>
    <t>n(cc(C(O)(c(ccc(c1)CL)c1)c(c(ccc2)CL)c2)cn3)c3</t>
  </si>
  <si>
    <t>CLc1cc(CL)ccc1C2(Cn3ncnc3)OC(CCC)CO2</t>
  </si>
  <si>
    <t>n1c(OC)nc(C)nc1NC(=O)NS(=O)(=O)c2ccccc2CL</t>
  </si>
  <si>
    <t>CC(=O)N(C1)CCN(C1)c(c2)ccc(c2)OCC(CO3)OC3(Cn4cncc4)c5c(CL)cc(CL)cc5</t>
  </si>
  <si>
    <t>n1c(F)c(CL)c(N)c(CL)c1OCC(=O)O</t>
  </si>
  <si>
    <t>O1C(CO)CCC1n2c3ncnc(O)c3nc2</t>
  </si>
  <si>
    <t>c1cc(C(F)(F)F)cc(CL)c1Oc2ccc(N(=O)(=O))c(C(=O)NS(=O)(=O)C)c2</t>
  </si>
  <si>
    <t>CLc1ccccc1c2nnc(c3ccccc3CL)nn2</t>
  </si>
  <si>
    <t>c1cc(CL)ccc1C2SC(=O)N(C(=O)NC3CCCCC3)C2C</t>
  </si>
  <si>
    <t>CLc2c(ccc(c2)CL)C(Cn1ncnc1)(O)CCCC</t>
  </si>
  <si>
    <t>CC(C)C1(C)N=C(NC1(=O))c3nc2ccccc2cc3C(=O)(O)</t>
  </si>
  <si>
    <t>O1CC(C)(C)C(=O)N1Cc2ccccc2CL</t>
  </si>
  <si>
    <t>CLCCOc1ccccc1S(=O)(=O)NC(=O)Nc2nc(OC)nc(C)n2</t>
  </si>
  <si>
    <t>...[] Entry: c1ccc2c(c1)C(=NS2(=O)=O)[O-].O.[Na+] ECOSAR Version 1.11 Results Page</t>
  </si>
  <si>
    <t>CLc1cc(CL)ccc1C=C(C(O)C(C)(C)C)n2ncnc2</t>
  </si>
  <si>
    <t>CLc1ccc2cc(CL)cnc2c1C(=O)O</t>
  </si>
  <si>
    <t>Fc1cc(CL)c(OCC(=O)OCCCCC)cc1N2C(=O)C(CCCC3)=C3C2(=O)</t>
  </si>
  <si>
    <t>c1cc(CL)ccc1C(C(</t>
  </si>
  <si>
    <t>CCN1CCN(c4c(cc3C(=O)(C(C(=O)(O))=CN(c3c4)C2CC2))F)CC1</t>
  </si>
  <si>
    <t>c1cc(CL)ccc1C(O)(C(C)C2CC2)Cn3ncnc3</t>
  </si>
  <si>
    <t>Fc1cc2OCC(=O)N(CC</t>
  </si>
  <si>
    <t>O=C2(C(C(=O)(CCC2))C(=O)(c1c(cc(cc1)S(=O)(=O)C)N(=O)(=O)))</t>
  </si>
  <si>
    <t>c1cc(CL)ccc1CCC(O)(C(C)(C)C)Cn2ncnc2</t>
  </si>
  <si>
    <t>c1cc(CL)ccc1C(c2cc(OC)c(OC)cc2)=CC(=O)N3CCOCC3</t>
  </si>
  <si>
    <t>S2C(N(CC2)Cc1ccc(nc1)CL)=NC(</t>
  </si>
  <si>
    <t>OC(CNC(Cc2ccc(OCC(=O)O)cc2)C)C=1N=C(SC1)C(F)(F)F</t>
  </si>
  <si>
    <t>CLc1cc(C(F)(F)F)cc(CL)c1n2c(N)c(S(=O)C(F)(F)F)c(C(</t>
  </si>
  <si>
    <t>CLc1cc(CL)c(NS(=O)(=O)C)cc1N2N=C(C)N(C(F)F)C2(=O)</t>
  </si>
  <si>
    <t>OC(=O)c1c(CL)cccc1Sc2nc(OC)cc(OC)n2</t>
  </si>
  <si>
    <t>C2CCCC(C2)(C)C(=O)(Nc1ccc(c(c1CL)CL)O)</t>
  </si>
  <si>
    <t>CCC(=O)C1=C(O[Ca]OC2(=O))CC2CC1(=O)</t>
  </si>
  <si>
    <t>c1cc(CL)ccc1C=C2CCC(C)(C)C2(O)Cn3ncnc3</t>
  </si>
  <si>
    <t>c1ccc2nnsc2c1C(=O)SC</t>
  </si>
  <si>
    <t>c1cc(CL)ncc1CN(C)C(C)=NC(</t>
  </si>
  <si>
    <t>C(CCC)c3nc2c(=NC=CC2)n3Cc4ccc(cc4)c5c(cccc5)c1nnnn1 User</t>
  </si>
  <si>
    <t>c1nc(CL)ccc1CN2C(=NN(=O)(=O))NCC2</t>
  </si>
  <si>
    <t>C(C)C(=CC(C(=O)N)=NO)C(C)N(=O)(=O)</t>
  </si>
  <si>
    <t>c1noc(C2CC2)c1C(=O)c3ccc(C(F)(F)F)cc3S(=O)(=O)C</t>
  </si>
  <si>
    <t>c1cc(F)ccc1N(C(C)C)C(=O)COc2nnc(C(F)(F)F)s2</t>
  </si>
  <si>
    <t>c3(n2c(cc(n3)F)nc(n2)S(=O)(=O)Nc1c(cccc1CL)CL)OCC</t>
  </si>
  <si>
    <t>C1COCCC1C2CC(O)=C(C(CC)=NOCC=CCL)C(=O)C2</t>
  </si>
  <si>
    <t>C2OCN(C(N2C)=NN(=O)(=O))Cc1cnc(s1)CL</t>
  </si>
  <si>
    <t>c1(cc(C(=O)(NC(C(=O)(CCL))(CC)C))cc(c1C)CL)CL</t>
  </si>
  <si>
    <t>FC(F)(F)c1nn(c3ccc(cc3)S(=O)(N)=O)c(c2ccc(cc2)C)c1</t>
  </si>
  <si>
    <t>Fc3ccc(cc3)C4(CCN(CC4)C1COc2cc(ccc2C1O)O)O</t>
  </si>
  <si>
    <t>NOTATION PROBLEM: Cl.C(C)N1CCC2(COC3=CC=4CCN(C4C=C32)C(=O)C3=CC=C(C=C3)C3=C(C=C(C=C3)C=3OC(=NN3)C)C)CC1 ECOSAR Version 1.11 Results Page</t>
  </si>
  <si>
    <t>COc1cc(nc(n1)NC(=O)NS(=O)(=O)c2c(cccn2)OCC(F)(F)F)OC User</t>
  </si>
  <si>
    <t>Nc2ccc(cc2)CCC3(CC(=C(C(=O)(O3))Sc1c(cc(c(c1)C)CO)C(C)(C)C)O)C(C)C</t>
  </si>
  <si>
    <t>CNC(=NN(=O)(=O))NCc1cnc(s1)CL</t>
  </si>
  <si>
    <t>OC=3C=CC(=C2CCCC32)Oc1c(cc(cc1C)NC(=O)(C(=O)O))C</t>
  </si>
  <si>
    <t>COc3ccc2CCC(Cc2c3)N(C4CCN(CC4)C(=O)C1CCNCC1)CCC</t>
  </si>
  <si>
    <t>O1COc3c1ccc(c3)Oc4ncccc4C(=O)NCc2c(cc(OC(C(=O)O)C)cc2)F</t>
  </si>
  <si>
    <t>NOTATION PROBLEM: O=C(O)CCC(=O)O.FC(F)(F)c1cc4c(nc1)CCN(C(=O)[C@]3(C(C)C)C[C@H](N[C@H]2CCOC[C@H]2OC)CC3)C4 ECOSAR Version 1.11 Results Page</t>
  </si>
  <si>
    <t>OC(C)(C)c1coc(c1)S(=O)(=O)NC(=O)Nc2c(cccc2C(C)C)C(C)C User</t>
  </si>
  <si>
    <t>Cc2nc(nc(n2)C)N3CC(N(C(C3)C)c1nc(ncc1)C(C)O)C</t>
  </si>
  <si>
    <t>NOTATION PROBLEM: Cl.NCC1(CCCCC1)CC=2NC(=O)ON=2 ******&gt;</t>
  </si>
  <si>
    <t>NOTATION PROBLEM: CS(=O)(=O)O.CCOc1cccc(c1)[C@@]2(CC[C@@H](C)CC2)N3CCN(CC3)c4ccccc4 ECOSAR Version 1.11 Results Page</t>
  </si>
  <si>
    <t>NOTATION PROBLEM: Cl.FC1=CC=C(C=C1)/C=C/C(=O)NC1CCC(CC1)CCN1CCC2=C(CC1)C=CC(=C2)C2=NOC(=N2)C ******&gt;</t>
  </si>
  <si>
    <t>NOTATION PROBLEM: [K+].O.FC(F)(F)C(F)(F)COc3ccc(F)cc3c1cccc(c1)c2nc([n-]n2)C(N)=O ECOSAR Version 1.11 Results Page</t>
  </si>
  <si>
    <t>FC3(CC(N(C3)C(=O)(CNC1CC4CCC(C1)N4c2ncccn2))C(</t>
  </si>
  <si>
    <t>NOTATION PROBLEM: Cl.O.Fc1ccc(cc1)[C@H]5CN(C)CCN5Cc2cc(co2)c3ccc4nc(O)oc4c3 ECOSAR Version 1.11 Results Page</t>
  </si>
  <si>
    <t>CLc1ccc(s1)c6onc(Cn4c5ccc(cc5nc4C(=O)NC2CCN(CC2)C3CC3)C(=O)(O))c6 User</t>
  </si>
  <si>
    <t>NOTATION PROBLEM: CC(C)N4CCC(NC(=O)c3cc1cc(OCCOC)ncc1n3CC(=O)Nc2ccc(Cl)cn2)CC4.CC(=O)O ******&gt;</t>
  </si>
  <si>
    <t>NOTATION PROBLEM: O=C2CO[C@](CN2c1ccccc1)(CCN3CCC(NC(C)=O)(CC3)c4cccc(F)c4)c5ccc(Cl)c(Cl)c5.O=C(O)CCC(=O)O ******&gt;</t>
  </si>
  <si>
    <t>NOTATION PROBLEM: O=C(O)/C=C/C(=O)O.O=C5c1ccccc1C(=O)N5CCc2nc(on2)c4ccc(CN3CCCCCC3)s4 ******&gt;</t>
  </si>
  <si>
    <t>NOTATION PROBLEM: O=C(O)/C=C/C(=O)O.Cc6occc6C(=O)Nc1ccc(cc1)C(=O)N5CCC(F)(F)C(=C\C(=O)N2CCC(CC2)N3CCCCC3)/c4ccccc45.O=C(\C=C2\c1ccccc1N(CCC2(F)F)C(=O)c3ccc(cc3)NC(=O)c4ccoc4C)N5CCC(CC5)N6CCCCC6 ECOSAR Version 1.11 Results Page</t>
  </si>
  <si>
    <t>O=C(NS(=O)(=O)C=Cc1ccccc1)c2ccc(F)cc2CL User</t>
  </si>
  <si>
    <t>C1CCNP(=O)(N(CCCL)CCCL)O1</t>
  </si>
  <si>
    <t>c1ccc2c(c1)C(=O)N(C2(=O))C3CCC(=O)NC3(=O)</t>
  </si>
  <si>
    <t>COc2ccc(CCN(C)CCCC(C(</t>
  </si>
  <si>
    <t>N(=O)(=O)c1ccn(=O)c2ccccc12</t>
  </si>
  <si>
    <t>O=C(NC(C(O)c(ccc(N(=O)(=O))c1)c1)CO)C(CL)CL</t>
  </si>
  <si>
    <t>c1cc(ccc1C(=O)O)N(=O)(=O)</t>
  </si>
  <si>
    <t>c1ccc2c(c1)C(=C(C(=O)O2)CC3=C(c4ccccc4OC3(=O))O)O</t>
  </si>
  <si>
    <t>N(=O)(=O)c(c(OC)ccc1)c1</t>
  </si>
  <si>
    <t>Nc(c(ccc1)CL)c1</t>
  </si>
  <si>
    <t>Nc(ccc(c1CL)CL)c1</t>
  </si>
  <si>
    <t>Oc(ccc(c1)CL)c1</t>
  </si>
  <si>
    <t>O=C1C=CC(=O)C=C1</t>
  </si>
  <si>
    <t>Nc(cccc1CL)c1</t>
  </si>
  <si>
    <t>CN(C)C(=S)S User</t>
  </si>
  <si>
    <t>CCC9(O)CC3CN(CCc1c(nc2ccccc12)C(C3)(C(=O)OC)c4cc5c(cc4OC)N(C)C6C(O)(C (OC(=O)(C))C7(CC)C=CCN8CCC56C78)C(=O)OC)C9</t>
  </si>
  <si>
    <t>NOTATION PROBLEM: CN(C)CCOC(c1ccccc1)c2ccccc2.Cl ******&gt;</t>
  </si>
  <si>
    <t>NOTATION PROBLEM: CN(C)CCOC(c1ccccc1)c2ccccc2.Cl ECOSAR Version 1.11 Results Page</t>
  </si>
  <si>
    <t>O=C(C(C(C(C(C(C(C(F)(F)F)(F)F)(F)F)(F)F)(F)F)(F)F)(F)F)O</t>
  </si>
  <si>
    <t>O=C(C(C(C(F)(F)F)(F)F)(F)F)O</t>
  </si>
  <si>
    <t>c1cc(c2c(c1O)C(=O)C=CC2(=O))O</t>
  </si>
  <si>
    <t>OC(=O)CCN(=O)(=O)</t>
  </si>
  <si>
    <t>Nc1c(CL)c(CL)c(CL)c(CL)c1CL</t>
  </si>
  <si>
    <t>c1ccc(cc1)C(=O)O User</t>
  </si>
  <si>
    <t>Nc(c(cc(c1)CL)CL)c1</t>
  </si>
  <si>
    <t>Nc(c(ccc1)CL)c1CL</t>
  </si>
  <si>
    <t>c(c(c(c(c1CL)CL)CL)CL)(c1)CL</t>
  </si>
  <si>
    <t>Nc(cc(cc1CL)CL)c1</t>
  </si>
  <si>
    <t>Nc(c(cc(c1)CL)CL)c1CL</t>
  </si>
  <si>
    <t>CCCCCCC1C(C(OC(=O)C(C(OC1(=O))C)NC(=O)c2cccc(c2O)NC(=O))C)OC(=O)CC(C) C</t>
  </si>
  <si>
    <t>CC(C)(Oc1ccc(CL)cc1)C(=O)(O)</t>
  </si>
  <si>
    <t>COP(=O)(OC)Oc1ccc(cc1)N(=O)(=O)</t>
  </si>
  <si>
    <t>OC(=O)C(CCC)CCC User</t>
  </si>
  <si>
    <t>N(=O)(=O)c(ccn(=O)c1)c1</t>
  </si>
  <si>
    <t>CCC1CCC2C(C(C(C3(O2)CCC(C(O3)CC(C)O)C)C)OC(=O)C=CC(C(C(C(=O)C(C(C(C(= O)C(C(C(CC=CC=C1)C)O)(C)O)C)O)C)C)O)C)C</t>
  </si>
  <si>
    <t>Oc1c(I)cc(C(</t>
  </si>
  <si>
    <t>CC(=CCCC1(C=Cc2c(c3c(c(c2O1)CC=C(C)C)OC45C6CC(C=C4C3(=O))C(=O)C5(OC6( C)C)CC=C(C)C(=O)O)O)C)C</t>
  </si>
  <si>
    <t>CLCCNP1(=O)OCCCN1CCCL</t>
  </si>
  <si>
    <t>Cc1cc(c(c(c1)n2nc3ccc(cc3n2)CL)O)C(C)(C)C</t>
  </si>
  <si>
    <t>N(=O)(=O)c(ccc(n1)N)c1</t>
  </si>
  <si>
    <t>n1c(CL)ccc(N(=O)(=O))c1</t>
  </si>
  <si>
    <t>CC1(CCC2=C(O1)c3ccccc3C(=O)C2(=O))C</t>
  </si>
  <si>
    <t>Brc1cc(Br)ccc1Oc2ccc(cc2Br)Br</t>
  </si>
  <si>
    <t>CCOP(=O)(OCC)Oc1c(cc(c(n1)CL)CL)CL</t>
  </si>
  <si>
    <t>NOTATION PROBLEM: C1CNP(=O)(OC1)N(CCCl)CCCl.O ECOSAR Version 1.11 Results Page</t>
  </si>
  <si>
    <t>CN(CL)(Cc1ccccc1)(CCCCCCCCCCCC)C</t>
  </si>
  <si>
    <t>n1(=O)c(CL)cc(N(=O)(=O))cc1</t>
  </si>
  <si>
    <t>c1(CL)cccc(CL)c1Nc2ccccc2CC(=O)O</t>
  </si>
  <si>
    <t>CN(C)C(=O)Nc1ccc(C)c(CL)c1</t>
  </si>
  <si>
    <t>O=C(N(C=C(F)C1(=O))C(OCC2)C2)N1</t>
  </si>
  <si>
    <t>Cc1c2c(c(c(c1OC)CC=C(C)CCC(=O)O)O)C(=O)OC2</t>
  </si>
  <si>
    <t>CC(c1ccc2cc(ccc2c1)OC)C(=O)O</t>
  </si>
  <si>
    <t>Cc1cc2c(c(c1)O)C(=O)C=C(C2(=O))c3c(cc4c(c3O)C(=O)C=CC4(=O))C</t>
  </si>
  <si>
    <t>CC1=C2C(C(=O)C3(C(CC4C(C3C(C(C2(C)C)(CC1OC(=O)C(C(c5ccccc5)NC(=O)c6cc ccc6)O)O)OC(=O)c7ccccc7)(CO4)OC(=O)C)O)C)OC(=O)C</t>
  </si>
  <si>
    <t>CCP(=[Au]SC1C(C(C(C(O1)COC(=O)C)OC(=O)C)OC(=O)C)OC(=O)C)(CC)CC</t>
  </si>
  <si>
    <t>CNC(=O)SCC(C(=O)NCC(=O)O)NC(=O)CCC(C(=O)O)N</t>
  </si>
  <si>
    <t>CC(C)C12C(O1)C3C4(O3)C5(CCC6=C(C5CC7C4(C2O)O7)COC6(=O))C</t>
  </si>
  <si>
    <t>OC(=O)C(C)(C)Oc1ccc(CCNC(=O)c2ccc(CL)cc2)cc1</t>
  </si>
  <si>
    <t>Cc1cc2c(c(c1)O)C(=O)C=C(C2(=O))c3c(cc4c(c3O)C(=O)C5C(C4(=O))O5)C</t>
  </si>
  <si>
    <t>NOTATION PROBLEM</t>
  </si>
  <si>
    <t>N(=O)(=O)c(c(Nc(ccc(O)c1)c1)ccc2)c2</t>
  </si>
  <si>
    <t>CCCCCCCCCCC1=C(C(=O)C(=C(C1(=O))OC)OC)C</t>
  </si>
  <si>
    <t>CC1=C(C(=O)C(=C(C1(=O))OC)OC)CCCCCCCCCCO</t>
  </si>
  <si>
    <t>c12C(CCCN(C)C)(c3ccc(F)cc3)OCc1cc(C(</t>
  </si>
  <si>
    <t>CC(C=CC=CC(C)C)c1nc(cs1)c2nc(cs2)C=CC(C(C)C(=CC(=O)N)OC)OC</t>
  </si>
  <si>
    <t>CLc3c(ccc(c3)C1(c2c(cccc2)C(CC1)(N(CL)(H)(H)C)))CL</t>
  </si>
  <si>
    <t>O=C3C(C(C(C(OC2C(C(N(C)C)CC(O2)C)O)C(CC(C(=NOCOCCOC)C(C(C(O)(C)C(O3)C C)O)C)C)(O)C)C)OC1CC(OC)(C)C(C(O1)C)O)C</t>
  </si>
  <si>
    <t>CC1C(=O)OC(CC)C(O)(C)C(O)C(C)C(=O)C(C)CC(OC)(C)C(OC2C(O)C(N(C)C)CC(C) O2)C(C)C1OC3CC(OC)(C)C(O)C(C)O3</t>
  </si>
  <si>
    <t>c1ccc2c(c1)C(=O)NS2(=O)=O User</t>
  </si>
  <si>
    <t>C1C(CCC(C1)C2=C(C(=O)c3ccccc3C2(=O))O)c4ccc(cc4)CL</t>
  </si>
  <si>
    <t>CC1C(NC(=O)C(NC(=O)C(C(NC(=O)C(NC(=O)C(NC(=O)C(=C)N(C(=O)CCC(NC1(=O)) C(=O)O)C)C)CC(C)C)C(=O)O)C)CCCNC(=N)N)C=CC(=CC(C)C(Cc2ccccc2)OC)C</t>
  </si>
  <si>
    <t>O(C(CC)CC)C1C(C(N)CC(=C1)C(=O)(OCC))NC(=O)(C)</t>
  </si>
  <si>
    <t>OC(CN(H)(H)(CL)C(C)(C)C)c1cc(CL)c(N)c(CL)c1</t>
  </si>
  <si>
    <t>c12c(OCC(O)CN(CL)(H)(H)C(C)C)cccc1cccc2</t>
  </si>
  <si>
    <t>c1cc(OCCN(CC)CC)ccc1C(c2ccccc2)=C(c3ccccc3)CL</t>
  </si>
  <si>
    <t>Oc4c1OC3C25c1c(cc4)CC(N(CL)(H)(CC5)C)C2C=CC3O</t>
  </si>
  <si>
    <t>CLCCL</t>
  </si>
  <si>
    <t>c(ccc1c2CC3)cc1nc2C(CC(C(C(O)C4)C(=O)OC)C5C4)N3(CL)(H)C5</t>
  </si>
  <si>
    <t>CLc(ccc1Sc2cc3)cc1N(c2cc3)CCCN(H)(CL)(C)C</t>
  </si>
  <si>
    <t>C1C(OC6OC(C)C(OC7OC(C)C(OC8OC(C)C(O)C(O)C8)C(O)C7)C(O)C6)CC2CCC3C4(O) CCC(C5=CC(=O)OC5)C4(C)CCC3C2(C)C1</t>
  </si>
  <si>
    <t>OCC(CL)(CL)CL</t>
  </si>
  <si>
    <t>C(=C(CL)CL)(CL)CL</t>
  </si>
  <si>
    <t>Nc(c(N)cc(c1)CL)c1</t>
  </si>
  <si>
    <t>Cc1cccc(CC)c1N(C(=O)CCL)COCC</t>
  </si>
  <si>
    <t>c1c(CL)nccc1NC(=O)Nc2ccccc2</t>
  </si>
  <si>
    <t>CCc1cccc(CC)c1N(COC)C(=O)CCL</t>
  </si>
  <si>
    <t>O=C(c(cccc1)c1)CC(N(CL)(H)(C(CC2)CC(O)c(cccc3)c3)C)C2</t>
  </si>
  <si>
    <t>O=C1N=C(O)NC(=O)C1(CC)CC</t>
  </si>
  <si>
    <t>C1C(O)C(COC)(CN3CC)C2C(OC)C4C(OC(=O)C)(C(O)C6OC)C5C(OC(=O)c7ccccc7)C6 (O)CC5C2(C34)C1OC</t>
  </si>
  <si>
    <t>NOTATION PROBLEM: CC(C)NC[C@@H](COc1cccc2c1cccc2)O.Cl ECOSAR Version 1.11 Results Page</t>
  </si>
  <si>
    <t>CC6OC(OC4CCC3(C(=O))C2CCC1(C)C(CCC1(O)C2CCC3(O)C4)C5=CC(=O)OC5)C(O)C( O)C6O</t>
  </si>
  <si>
    <t>O=C(c(c(OC1c(ccc(OC)c2O)c2)cc(OC(OC(C(O)C3O)COC(OC(C(O)C4O)C)C4O)C3O) c5)c5O)C1</t>
  </si>
  <si>
    <t>CN(C)c1ccc(cc1)C(=C2C=CC(C=C2)=N(CL)(C)C)c3ccc(cc3)N(C)C</t>
  </si>
  <si>
    <t>c(ccc1CC2)cc1C(c(ccc3)c2c3)=CCCN(H)(CL)(C)C</t>
  </si>
  <si>
    <t>Cc1csc(C)c1N(C(C)COC)C(=O)CCL</t>
  </si>
  <si>
    <t>O(CO1)c(cc(c2CC3)c(cc(ccc4OC)c5c4OC)n3(CL)c5)c1c2</t>
  </si>
  <si>
    <t>NC(=N)NC(=N(CL)(H)H)NCCc1ccccc1</t>
  </si>
  <si>
    <t>O=CCCL</t>
  </si>
  <si>
    <t>NOTATION PROBLEM: c1ccc2c(c1)[C@]34CCN5[C@H]3C[C@@H]6[C@@H]7[C@@H]4N2C(=O)C[C@@H]7OCC=C6C5.Cl ECOSAR Version 1.11 Results Page</t>
  </si>
  <si>
    <t>C(C(C(C(C(F)(F)S(=O)(=O)O)(F)F)(F)F)(F)F)(C(C(C(F)(F)F)(F)F)(F)F)(F)F</t>
  </si>
  <si>
    <t>CLC2(CL)C4(CL)C1(CL)C5(CL)C(=O)C3(CL)C1(CL)C2(CL)C3(CL)C45CL</t>
  </si>
  <si>
    <t>N=C(NC1C(C(C(OC3C(C(C(O3)C)(C(=O))O)OC2C(C(O)C(C(O2)CO)O)NC)C(C1O)O)N C(=NOS(=O)(=O)O)N)O)N</t>
  </si>
  <si>
    <t>O=P(Oc1nc(c(cc1CL)CL)CL)(OCC)OCC</t>
  </si>
  <si>
    <t>NOTATION PROBLEM: CN1[C@@H]2C[C@H](C[C@H]1[C@H]3[C@@H]2O3)OC(=O)[C@H](CO)c4ccccc4.O.O.O.Br ECOSAR Version 1.11 Results Page</t>
  </si>
  <si>
    <t>NOTATION PROBLEM: CN1[C@@H]2C[C@H](C[C@H]1[C@H]3[C@@H]2O3)OC(=O)[C@H](CO)c4ccccc4.O.O.O.Br ******&gt;</t>
  </si>
  <si>
    <t>NOTATION PROBLEM: O=C(c2c(O[C@@H]1O[C@@H]([C@@H](O)[C@H](O)[C@H]1O)CO)cc(O)cc2O)CCc3ccc(O)cc3.O.O ECOSAR Version 1.11 Results Page</t>
  </si>
  <si>
    <t>OCCOCCOCCOCCOCCOC(COC(=O)(CCCCCCCC=CCCCCCCCC))C1C(OCCOCCOCCOCCOCCO)C( OCCOCCOCCOCCOCCO)CO1</t>
  </si>
  <si>
    <t>O4C(C)C(O)C(O)C(O)C4OC5C(O)C(O)C(CO)OC5Oc1cc(O)c2C(=O)CC(c3ccc(O)cc3) Oc2c1</t>
  </si>
  <si>
    <t>O=C1C=C(C2C3(CC(C4C5(C(CC(OC6C(C(O)C(C(O6)C)O)O)CC5O)(CCC4C3(CC2)O)O) CO)O)C)CO1</t>
  </si>
  <si>
    <t>c42OC(c3cc(O)c(OC)cc3)CC(=O)c4c(O)cc(OC5OC(CO)C(O)C(O)C5OC1OC(C)C(O)C (O)C1O)c2</t>
  </si>
  <si>
    <t>Oc(c(cc(c1)CL)Cc(cccc2)c2)c1</t>
  </si>
  <si>
    <t>c1cc(CL)cc(CL)c1C(OCC=C)Cn2cncc2</t>
  </si>
  <si>
    <t>N(CL)(C)(C)(CCCCCCCCCC)CCCCCCCCCC</t>
  </si>
  <si>
    <t>CC(=O)OC(c1ccc(c(c1)CL)CL)C(CL)(CL)CL</t>
  </si>
  <si>
    <t>O=C(OCC</t>
  </si>
  <si>
    <t>CC1=C(C(=O)C=C2C1=CC=C3C2(CCC4(C3(CCC5(C4CC(CC5)(C)C(=O)O)C)C)C)C)O</t>
  </si>
  <si>
    <t>Oc1c(Br)cc(C(</t>
  </si>
  <si>
    <t>c1c(C(F)(F)F)c(N(=O)(=O))ccc1NC(=O)C(O)(C)C</t>
  </si>
  <si>
    <t>Oc(c(cc(c1)CL)CL)c1CL</t>
  </si>
  <si>
    <t>S1N(C)C(=O)C=C1CL</t>
  </si>
  <si>
    <t>Cc1cc(ccc1Oc2ccc(cc2)SC(F)(F)F)N3C(=O)NC(=O)N(C3(=O))C</t>
  </si>
  <si>
    <t>c1cc(CL)ccc1C(CL)=CC2C(C)(C)C2C(=O)OC(C(</t>
  </si>
  <si>
    <t>COC1C(O)C(C)OC(OC2C(C)OC(OC(C(C)=CCC3CC6CC7(OC(C(C)C)C(C)CC7)O3)C(C=C C=C4C5(O)C(C(O)C(C)=CC5C(=O)(O6))OC4)C)CC2OC)C1</t>
  </si>
  <si>
    <t>c12OC(F)(F)Oc2cccc1c3cncc3C(</t>
  </si>
  <si>
    <t>c1cc(CL)ccc1n2ncc(OP(=O)(OCC)SCCC)c2</t>
  </si>
  <si>
    <t>Oc(c(cc(c1CL)CL)CL)c1</t>
  </si>
  <si>
    <t>C4=2C(C3C(C(C</t>
  </si>
  <si>
    <t>CC1(C(=O)N(C(=N1)SC)Nc2ccccc2)c3ccccc3</t>
  </si>
  <si>
    <t>NOTATION PROBLEM: CCCN(CCC)CCc1cccc2c1CC(=O)N2.Cl ECOSAR Version 1.11 Results Page</t>
  </si>
  <si>
    <t>COC(=O)c1c(CL)nn(C)c1S(=O)(=O)NC(=O)Nc2nc(OC)cc(OC)n2</t>
  </si>
  <si>
    <t>CC(=O)N1C2C1C3(C(c4c(cc(cc4OC)C(=O))N(C2)O3)COC(=O)N)OC(=O)C</t>
  </si>
  <si>
    <t>c1cc(CL)cc(CL)c1NC(=O)C2CC2C(=O)O</t>
  </si>
  <si>
    <t>C=5C2(OC(C(C5)C)C6CCCCC6)CC1CC(CC=C(C(OC7OC(C(OC8CC(OC)C(O)C(C)O8)C(C 7)OC)C)C(C=CC=C3C4(C(OC3)C(C(=CC4C(=O)(O1))C)O)O)C)C)O2</t>
  </si>
  <si>
    <t>N(=O)(=O)c1ccccc1N(=O)(=O)</t>
  </si>
  <si>
    <t>C=CCN(CL)(CC=C)(C)C</t>
  </si>
  <si>
    <t>C1CC2CN3C(CC=CC3(=O))C4C2N(C1)CCC4</t>
  </si>
  <si>
    <t>SMILES (ECOSAR notation)</t>
  </si>
  <si>
    <t>log Kow - est - EPI Suite</t>
  </si>
  <si>
    <t>log Kow - exp - EPI Suite</t>
  </si>
  <si>
    <t>Water solubility - exp - EPI suite</t>
  </si>
  <si>
    <t>Water solubility (mmol/L) -est - EPI Suite</t>
  </si>
  <si>
    <t>ACD water solubility prediction (mM)</t>
  </si>
  <si>
    <t>pH at saturation</t>
  </si>
  <si>
    <t>Summary water solubility (1. exp, 2. ACD)</t>
  </si>
  <si>
    <t>Water solubility /LC50</t>
  </si>
  <si>
    <t>Water solubility /Max. Test concentration</t>
  </si>
  <si>
    <t>Water solutbility/LC50 &gt;2;  if no tox max test concentration water soluble; 1 = yes</t>
  </si>
  <si>
    <t>Ratio baseline toxicity vs highest tested concentration (log Kow EPIsuite predicted)</t>
  </si>
  <si>
    <t>Baseline toxicity ECOSAR 96 h acute fish test (mM)</t>
  </si>
  <si>
    <t>INZ</t>
  </si>
  <si>
    <t>CAL</t>
  </si>
  <si>
    <t>TPL</t>
  </si>
  <si>
    <t>PNC</t>
  </si>
  <si>
    <t>COZ</t>
  </si>
  <si>
    <t>CHM</t>
  </si>
  <si>
    <t>DGT</t>
  </si>
  <si>
    <t>FMM</t>
  </si>
  <si>
    <t>TBM</t>
  </si>
  <si>
    <t>CMR</t>
  </si>
  <si>
    <t>BPB</t>
  </si>
  <si>
    <t>4CD</t>
  </si>
  <si>
    <t>HDF</t>
  </si>
  <si>
    <t>EHA</t>
  </si>
  <si>
    <t>NMF</t>
  </si>
  <si>
    <t>HRC</t>
  </si>
  <si>
    <t>HQL</t>
  </si>
  <si>
    <t>ACN</t>
  </si>
  <si>
    <t>9PT</t>
  </si>
  <si>
    <t>DIB</t>
  </si>
  <si>
    <t>Excess toxicity (ECOSAR
Baseline/LC50)</t>
  </si>
  <si>
    <t>Exposure medium type</t>
  </si>
  <si>
    <t>Buffered</t>
  </si>
  <si>
    <t>Raftery, T. D.; Isales, G. M.; Yozzo, K. L.; Volz, D. C., High-content screening assay for identification of chemicals impacting spontaneous activity in zebrafish embryos. Environ Sci Technol 2013, 48, (1), 804-10.</t>
  </si>
  <si>
    <t>Raftery, T. D., et al., 2013</t>
  </si>
  <si>
    <t>5 mM NaCl, 0.17 mM KCl, 0.33 mM CaCl2, 0.33 mM
MgSO4</t>
  </si>
  <si>
    <t>0.137M NaCl, 5.4mM KCl, 0.25mM Na2HPO4, 0.44mM KH2PO4, 1.3mM CaCl2, 1.0mM MgSO4, and 4.2mM NaHCO3</t>
  </si>
  <si>
    <t>Mizell et al. 1997</t>
  </si>
  <si>
    <t>7.50 g NaCI, 0.20 g KCI, 0.20 g CaCI2, 0.1 M NaHCO3</t>
  </si>
  <si>
    <t>Sylvian et al. 2010</t>
  </si>
  <si>
    <t>Tilton et al. 2006</t>
  </si>
  <si>
    <t>Lema et al. 2007</t>
  </si>
  <si>
    <t>Jacobson et al. 2010</t>
  </si>
  <si>
    <t>Domingues et al. 2010</t>
  </si>
  <si>
    <t>Li et al. 2009</t>
  </si>
  <si>
    <t>Seok et al., 2007a (Toxicol in vitro)</t>
  </si>
  <si>
    <t>Reimers et al. 2004</t>
  </si>
  <si>
    <t>Blechinger et al. 2002</t>
  </si>
  <si>
    <t>System water (total hardness, 177–178 mg/L; alkalinity, 96–97 mg/L as CaCO3; pH 8.1–8.2)</t>
  </si>
  <si>
    <t>Sisman et al., 2011</t>
  </si>
  <si>
    <t>Şişman, T., 2011. Early life stage and genetic toxicity of stannous chloride on zebrafish embryos and adults: toxic effects of tin on zebrafish. Environ. Toxicol. 26, 240-249.</t>
  </si>
  <si>
    <t>OECD TG 212 (pH and hardness of the dilution water are 7.8 and 250 mg CaCO3/L, not buffered)</t>
  </si>
  <si>
    <t>UDA</t>
  </si>
  <si>
    <t>CPA</t>
  </si>
  <si>
    <t>4199-10-4</t>
  </si>
  <si>
    <t>4199104</t>
  </si>
  <si>
    <t>Industrial chemistry, cosmetics, fungicide</t>
  </si>
  <si>
    <t>1st strongest acid pKa (1) - Classic model - ACD</t>
  </si>
  <si>
    <t>1st strongest base pKa (1) - Classic model - ACD</t>
  </si>
  <si>
    <t>pka</t>
  </si>
  <si>
    <t>Henry's law constant (atm*m³/mol) - EPI Suite - experimental</t>
  </si>
  <si>
    <t>Henry's law constant (atm*m³/mol) - EPI Suite estimated, BOND method</t>
  </si>
  <si>
    <t>c12c3c(c(OC)cc2CC[N+]([C@@H]1Cc1cc(Oc2cc4[C@H](Cc5ccc(O3)cc5)[N@@](CCc4cc2OC)C)c(O)cc1)(C)C)O.Cl.[ClH-].O.O.O.O.O</t>
  </si>
  <si>
    <t>3.18-028</t>
  </si>
  <si>
    <t>5,1e-12</t>
  </si>
  <si>
    <t>Log Kaw exp - EPISUITE</t>
  </si>
  <si>
    <t>Log Kaw esp - EPISUITE</t>
  </si>
  <si>
    <t>Log Kaw Episuite (1. exp., 2. est)</t>
  </si>
  <si>
    <t>Log Kaw based on Abraham equation</t>
  </si>
  <si>
    <t>Log Kow ACD GALAS</t>
  </si>
  <si>
    <t>RI for ACD GALAS</t>
  </si>
  <si>
    <t>Log Kow ACD consensus classical and GALAS</t>
  </si>
  <si>
    <t>Log Kow ACD classical model</t>
  </si>
  <si>
    <t>log Kow UFZ consensus modelling</t>
  </si>
  <si>
    <t>Log K0w Episuite (1. exp., 2. ACD)</t>
  </si>
  <si>
    <t>Log effect concentration (mg/L)</t>
  </si>
  <si>
    <t>LC50 0-24 hpf (mg/L)</t>
  </si>
  <si>
    <t>LC50 0-48 hpf (mg/L)</t>
  </si>
  <si>
    <t>LC50 0-72 hpf (mg/L)</t>
  </si>
  <si>
    <t>LC50 0-96 hpf (mg/L)</t>
  </si>
  <si>
    <t>LC50 0-120 hpf (mg/L)</t>
  </si>
  <si>
    <t>LC50 0-120 (140) hpf (mg/L)</t>
  </si>
  <si>
    <t>LC50 0-144 hpf (mg/L)</t>
  </si>
  <si>
    <t>LEL 0-120 hpf (mg/L)</t>
  </si>
  <si>
    <t>LC50 4-56 hpf (mg/L)</t>
  </si>
  <si>
    <t>LC50 4-80 hpf (mg/L)</t>
  </si>
  <si>
    <t>LC50 12-48 hpf (mg/L)</t>
  </si>
  <si>
    <t>LC50 24-48 hpf (mg/L)</t>
  </si>
  <si>
    <t>LC50 24-72 hpf (mg/L)</t>
  </si>
  <si>
    <t>LC50 24-96 hpf (mg/L)</t>
  </si>
  <si>
    <t>LC50 24-120 hpf (mg/L)</t>
  </si>
  <si>
    <t>LC50 48-72 hpf (mg/L)</t>
  </si>
  <si>
    <t>LC50 72-96 hpf (mg/L)</t>
  </si>
  <si>
    <t>LC50 72-120 hpf (mg/L)</t>
  </si>
  <si>
    <t>LC50 72-144 hpf (mg/L)</t>
  </si>
  <si>
    <t>LC50  144-240 hpf (mg/L)</t>
  </si>
  <si>
    <t>LC50  168-240 hpf (mg/L)</t>
  </si>
  <si>
    <t>Tested range of concentrations (mg/L)</t>
  </si>
  <si>
    <t>Comparative AFT for DR, OM, PP and LM (Log mg/L)</t>
  </si>
  <si>
    <t>Log Lowest AFT LC50 (DR, OM, LM, PP) mg/L</t>
  </si>
  <si>
    <t>C[Hg+].CC([O-])=O</t>
  </si>
  <si>
    <t>STSGKERZHAYXMQ-UHFFFAOYSA-M  </t>
  </si>
  <si>
    <t>0.0</t>
  </si>
  <si>
    <t>96.0</t>
  </si>
  <si>
    <t>26.0</t>
  </si>
  <si>
    <t>20.0</t>
  </si>
  <si>
    <t>1.0</t>
  </si>
  <si>
    <t>24.0</t>
  </si>
  <si>
    <t>120.0</t>
  </si>
  <si>
    <t>28.0</t>
  </si>
  <si>
    <t>48.0</t>
  </si>
  <si>
    <t>2.0</t>
  </si>
  <si>
    <t>94.0</t>
  </si>
  <si>
    <t>15.0</t>
  </si>
  <si>
    <t>10.0</t>
  </si>
  <si>
    <t>12.0</t>
  </si>
  <si>
    <t>98.0</t>
  </si>
  <si>
    <t>28.5</t>
  </si>
  <si>
    <t>50-00-0</t>
  </si>
  <si>
    <t>7.8</t>
  </si>
  <si>
    <t>5.0</t>
  </si>
  <si>
    <t>27.5</t>
  </si>
  <si>
    <t>27.0</t>
  </si>
  <si>
    <t>6.0</t>
  </si>
  <si>
    <t>114.0</t>
  </si>
  <si>
    <t>32.0</t>
  </si>
  <si>
    <t>8.0</t>
  </si>
  <si>
    <t>144.0</t>
  </si>
  <si>
    <t>3.0</t>
  </si>
  <si>
    <t>4.0</t>
  </si>
  <si>
    <t>25.0</t>
  </si>
  <si>
    <t>90.0</t>
  </si>
  <si>
    <t>62-76-0</t>
  </si>
  <si>
    <t>26.4</t>
  </si>
  <si>
    <t>7.4</t>
  </si>
  <si>
    <t>Domain_2</t>
  </si>
  <si>
    <t>Reference</t>
  </si>
  <si>
    <t>Ratio FET/AFT (geomeans)</t>
  </si>
  <si>
    <t>Analytical confirmation</t>
  </si>
  <si>
    <t>Burkhardt-Holm et al.1999</t>
  </si>
  <si>
    <t>Fei et al. 2010</t>
  </si>
  <si>
    <t>Water solubility (mg/L) -est - EPI Suite</t>
  </si>
  <si>
    <t>Water solubility - exp - EPI suite (mg/L)</t>
  </si>
  <si>
    <t>ACD water solubility prediction (mg/L)</t>
  </si>
  <si>
    <t>Baseline toxicity ECOSAR 96 h acute fish test (mg/L)</t>
  </si>
  <si>
    <t>Run QSAR</t>
  </si>
  <si>
    <t>Pesticide (plant growth regulation, release of ethylene)</t>
  </si>
  <si>
    <t>Herbicide (inhibition of lipid synthesis, not ACC inhibition)</t>
  </si>
  <si>
    <t>Herbicide (amino acid synthesis inhibition)</t>
  </si>
  <si>
    <t>Herbicide (PSII inhibitor)</t>
  </si>
  <si>
    <t>Rund QSAR</t>
  </si>
  <si>
    <t>Biocide (formaldehyde release)</t>
  </si>
  <si>
    <t>Kireche, M., Peiffer, J.-L., Antonios, D., Fabre, I., Giménez-Arnau, E., Pallardy, M., Lepoittevin, J.-P., Ourlin, J.-C., 2011. Evidence for Chemical and Cellular Reactivities of the Formaldehyde Releaser Bronopol, Independent of Formaldehyde Release. Chem. Res. Toxicol. 24, 2115-2128.</t>
  </si>
  <si>
    <t>Desinfectant, bleaching agent</t>
  </si>
  <si>
    <t>Insecticide</t>
  </si>
  <si>
    <t>Binding to muscarinic receptors</t>
  </si>
  <si>
    <t>Eldefrawi, A.T., Mansour, N.A., Eldefrawi, M.E., 1982. Insecticides affecting acetylcholine receptor interactions. Pharmacol. Ther. 16, 45-65.</t>
  </si>
  <si>
    <t>Pesticide (Inhibitor of chitin biosynthesis)</t>
  </si>
  <si>
    <t>Pesticide (Ecdysone receptor agonist)</t>
  </si>
  <si>
    <t>Drug (bacteriostatic)</t>
  </si>
  <si>
    <t>Ethanol affects the brain’s neurons in several ways. It alters their membranes as well as their ion channels, enzymes, and receptors. Alcohol also binds directly to the receptors for acetylcholine, serotonin, GABA, and the NMDA receptors for glutamate. Narcosis (acute toxicity, Brannon et al. 215)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t>
  </si>
  <si>
    <t>Chloramphenicol is lipid-soluble, allowing it to diffuse through the bacterial cell membrane. It then reversibly binds to the L16 protein of the 5S subunit of bacterial ribosomes, where transfer of amino acids to growing peptide chains is prevented (perhaps by suppression of peptidyl transferase activity), thus inhibiting peptide bond formation and subsequent protein synthesis.</t>
  </si>
  <si>
    <t>EDC (evidence for interaction with thyroid hormone levels), narcosis (Barron et al. 215</t>
  </si>
  <si>
    <t>Protoporhyrinogen oxidase inhibition, narcosis (Barron et al. 215)</t>
  </si>
  <si>
    <t>Estrogenic, narcosis (acute toxicity, Barron et al. 215)</t>
  </si>
  <si>
    <t>Juvenile hormone mimics, Narcosis (Barron et al. 215)</t>
  </si>
  <si>
    <t>Cytochrome P45 inhibition, narcosis</t>
  </si>
  <si>
    <t>Reaction with glutathion (fungicide), reactive (Barron et al. 215)</t>
  </si>
  <si>
    <t>Lovastatin is structurally similar to the HMG, a substituent of the endogenous substrate of HMG-CoA reductase. Lovastatin is a prodrug that is activated &lt;i&gt;in vivo&lt;/i&gt; via hydrolysis of the lactone ring. The hydrolyzed lactone ring mimics the tetrahedral intermediate produced by the reductase allowing the agent to bind with 2, times greater affinity than its natural substrate. The bicyclic portion of lovastatin binds to the coenzyme A portion of the active site.</t>
  </si>
  <si>
    <t>Inhibition of cytochrome P45, synergism due to block of the metabolic breakdown of other pesticides)</t>
  </si>
  <si>
    <t>Protoporhyrinogen oxidase inhibition potentially leading to anemia in fish (embryos); narcosis (Barron et al. 215)</t>
  </si>
  <si>
    <t>The analgesic, antipyretic, and anti-inflammatory effects of acetylsalicylic acid are due to actions by both the acetyl and the salicylate portions of the intact molecule as well as by the active salicylate metabolite. Acetylsalicylic acid directly and irreversibly inhibits the activity of both types of cyclooxygenase (COX-1 and COX-2) to decrease the formation of precursors of prostaglandins and thromboxanes from arachidonic acid. This makes acetylsalicylic acid different from other NSAIDS (such as diclofenac and ibuprofen) which are reversible inhibitors. Salicylate may competitively inhibit prostaglandin formation. Acetylsalicylic acid's antirheumatic (nonsteroidal anti-inflammatory) actions are a result of its analgesic and anti-inflammatory mechanisms; the therapeutic effects are not due to pituitary-adrenal stimulation. The platelet aggregation-inhibiting effect of acetylsalicylic acid specifically involves the compound's ability to act as an acetyl donor to cyclooxygenase; the nonacetylated salicylates have no clinically significant effect on platelet aggregation. Irreversible acetylation renders cyclooxygenase inactive, thereby preventing the formation of the aggregating agent thromboxane A2 in platelets. Since platelets lack the ability to synthesize new proteins, the effects persist for the life of the exposed platelets (7-1 days). Acetylsalicylic acid may also inhibit production of the platelet aggregation inhibitor, prostacyclin (prostaglandin I2), by blood vessel endothelial cells; however, inhibition prostacyclin production is not permanent as endothelial cells can produce more cyclooxygenase to replace the non-functional enzyme.</t>
  </si>
  <si>
    <t xml:space="preserve">Inhibitors of chitin biosynthesis, type </t>
  </si>
  <si>
    <t>Clotrimazole interacts with yeast 14-&amp;alpha; demethylase, a cytochrome P-45 enzyme that converts lanosterol to ergosterol, an essential component of the membrane. In this way, clotrimazole inhibits ergosterol synthesis, resulting in increased cellular permeability. Clotrimazole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t>
  </si>
  <si>
    <t>The precise mechanism of action has not been fully determined, but the main mechanism of fluorouracil is thought to be the binding of the deoxyribonucleotide of the drug (FdUMP) and the folate cofactor, N5–1-methylenetetrahydrofolate,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t>
  </si>
  <si>
    <t>Niacin binds to Nicotinate D-ribonucleotide phyrophsopate phosphoribosyltransferase, Nicotinic acid phosphoribosyltransferase, Nicotinate N-methyltransferase and the Niacin receptor. Niacin is the precursor to nicotinamide adenine dinucleotide (NAD) and nicotinamide adenine dinucleotide phosphate (NADP), which are vital cofactors for dozens of enzymes. The mechanism by which niacin exerts its lipid lowering effects is not entirely understood, but may involve several actions, including a decrease in esterification of hepatic triglycerides. Niacin treatment also decreases the serum levels of apolipoprotein B-1 (apo B), the major protein component of the VLDL (very low-density lipoprotein) and LDL fractions.</t>
  </si>
  <si>
    <t>Tetracycline passively diffuses through porin channels in the bacterial membrane and reversibly binds to the 3S ribosomal subunit, preventing binding of tRNA to the mRNA-ribosome complex, and thus interfering with protein synthesis.</t>
  </si>
  <si>
    <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 tubular reabsorption. Therefore, its urinary excretion rate may serve as a measurement of glomerular filtration rate (GFR).</t>
  </si>
  <si>
    <t>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t>
  </si>
  <si>
    <t>Oxytetracycline inhibits cell growth by inhibiting translation. It binds to the 3S ribosomal subunit and prevents the amino-acyl tRNA from binding to the A site of the ribosome. The binding is reversible in nature. Oxytetracycline is lipophilic and can easily pass through the cell membrane or passively diffuses through porin channels in the bacterial membrane.</t>
  </si>
  <si>
    <t>Erythromycin acts by penetrating the bacterial cell membrane and reversibly binding to the 5 S subunit of bacterial ribosomes or near the &amp;ldquo;P&amp;rdquo; or donor site so that binding of tRNA (transfer RNA) to the donor site is blocked. Translocation of peptides from the &amp;ldquo;A&amp;rdquo; or acceptor site to the &amp;ldquo;P&amp;rdquo; or donor site is prevented, and subsequent protein synthesis is inhibited. Erythromycin is effective only against actively dividing organisms. The exact mechanism by which erythmromycin reduces lesions of acne vulgaris is not fully known: however, the effect appears to be due in part to the antibacterial activity of the drug.</t>
  </si>
  <si>
    <t>T4 level repression in rodents. Narcosis (acut toxicity, Barron et al. 215)</t>
  </si>
  <si>
    <t>EDC (antiandrogenic effects), Narcosis (Barron et al. 215)</t>
  </si>
  <si>
    <t>Ketoconazole interacts with 14-&amp;alpha; demethylase, a cytochrome P-45 enzyme necessary for the conversion of lanosterol to ergosterol. This results in inhibition of ergosterol synthesis and increased fungal cellular permeability. Other mechanisms may involve the inhibition of endogenous respiration, interaction with membrane phospholipids, inhibition of yeast transformation to mycelial forms, inhibition of purine uptake, and impairment of triglyceride and/or phospholipid biosynthesis. Ketoconazole can also inhibit the synthesis of thromboxane and sterols such as aldosterone, cortisol, and testosterone.</t>
  </si>
  <si>
    <t>Fluconazole interacts with 14-&amp;alpha; demethylase, a cytochrome P-45 enzyme necessary to convert lanosterol to ergosterol. As ergosterol is an essential component of the fungal cell membrane, inhibition of its synthesis results in increased cellular permeability causing leakage of cellular contents. Fluconazole may also inhibit endogenous respiration, interact with membrane phospholipids, inhibit the transformation of yeasts to mycelial forms, inhibit purine uptake, and impair triglyceride and/or phospholipid biosynthesis.</t>
  </si>
  <si>
    <t>The exact mechanism of ifosfamide has not been determined, but appears to be similar to other alkylating agents. Ifosfamide requires biotransformation in the liver by mixed-function  oxidases (cytochrome P45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t>
  </si>
  <si>
    <t>Roxithromycin prevents bacteria from growing, by interfering with their protein synthesis. Roxithromycin binds to the subunit 5S of the bacterial ribosome, and thus inhibits the translocation of peptides. Roxithromycin has similar antimicrobial spectrum as erythromycin, but is more effective against certain gram-negative bacteria, particularly &lt;i&gt;Legionella pneumophila&lt;/i&gt;.</t>
  </si>
  <si>
    <t>Clarithromycin is first metabolized to 14-OH clarithromycin, which is active and works synergistically with its parent compound. Like other macrolides, it then penetrates bacteria cell wall and reversibly binds to domain V of the 23S ribosomal RNA of the 5S subunit of the bacterial ribosome, blocking translocation of aminoacyl transfer-RNA and polypeptide synthesis. Clarithromycin also inhibits the hepatic microsomal CYP3A4 isoenzyme and P-glycoprotein, an energy-dependent drug efflux pump.</t>
  </si>
  <si>
    <t>Pesticide (Chitin biosynthesis inhibtion)</t>
  </si>
  <si>
    <t>Pesticide (Egdyson receptor agonist)</t>
  </si>
  <si>
    <t>Herbicide (protein-phosphatase 2A, mitosis)</t>
  </si>
  <si>
    <t>Industrial chemical (may affect blood, citation missing))</t>
  </si>
  <si>
    <t>*AChE inhibition</t>
  </si>
  <si>
    <t>Pesticide (nAChR receptor, but likely insect specific)</t>
  </si>
  <si>
    <t>Reactive electrophiles</t>
  </si>
  <si>
    <t>NA</t>
  </si>
  <si>
    <t>unspecific</t>
  </si>
  <si>
    <t>reactive electrophile</t>
  </si>
  <si>
    <t>reactive electrophiles</t>
  </si>
  <si>
    <t>Out of QSAR domain (not in Chemprop, no SMILES or InchI code)</t>
  </si>
  <si>
    <t>ATP</t>
  </si>
  <si>
    <t>DES</t>
  </si>
  <si>
    <t>ATR</t>
  </si>
  <si>
    <t>GEN</t>
  </si>
  <si>
    <t>AMT</t>
  </si>
  <si>
    <t>DOX</t>
  </si>
  <si>
    <t>TBT</t>
  </si>
  <si>
    <t>FBC</t>
  </si>
  <si>
    <t>HPT</t>
  </si>
  <si>
    <t>BHT</t>
  </si>
  <si>
    <t>CYX</t>
  </si>
  <si>
    <t>PGL</t>
  </si>
  <si>
    <t>4C3</t>
  </si>
  <si>
    <t>DME</t>
  </si>
  <si>
    <t>DCV</t>
  </si>
  <si>
    <t>MOH</t>
  </si>
  <si>
    <t>ACE</t>
  </si>
  <si>
    <t>NDI</t>
  </si>
  <si>
    <t>BNZ</t>
  </si>
  <si>
    <t>END</t>
  </si>
  <si>
    <t>DBD</t>
  </si>
  <si>
    <t>CHY</t>
  </si>
  <si>
    <t>ANA</t>
  </si>
  <si>
    <t>BBP</t>
  </si>
  <si>
    <t>FLR</t>
  </si>
  <si>
    <t>SCS</t>
  </si>
  <si>
    <t>BPH</t>
  </si>
  <si>
    <t>MEU</t>
  </si>
  <si>
    <t>MCA</t>
  </si>
  <si>
    <t>2MP</t>
  </si>
  <si>
    <t>EUF</t>
  </si>
  <si>
    <t>NBZ</t>
  </si>
  <si>
    <t>DCR</t>
  </si>
  <si>
    <t>13D</t>
  </si>
  <si>
    <t>CPP</t>
  </si>
  <si>
    <t>PYB</t>
  </si>
  <si>
    <t>DMP</t>
  </si>
  <si>
    <t>GOL</t>
  </si>
  <si>
    <t>DCB</t>
  </si>
  <si>
    <t>QUN</t>
  </si>
  <si>
    <t>ACR</t>
  </si>
  <si>
    <t>2CE</t>
  </si>
  <si>
    <t>ETG</t>
  </si>
  <si>
    <t>MPD</t>
  </si>
  <si>
    <t>TLU</t>
  </si>
  <si>
    <t>MPO</t>
  </si>
  <si>
    <t>GLU</t>
  </si>
  <si>
    <t>EOX</t>
  </si>
  <si>
    <t>NOA</t>
  </si>
  <si>
    <t>TPP</t>
  </si>
  <si>
    <t>DMH</t>
  </si>
  <si>
    <t>DOP</t>
  </si>
  <si>
    <t>13T</t>
  </si>
  <si>
    <t>SIM</t>
  </si>
  <si>
    <t>SDC</t>
  </si>
  <si>
    <t>M2A</t>
  </si>
  <si>
    <t>DET</t>
  </si>
  <si>
    <t>DCT</t>
  </si>
  <si>
    <t>ETA</t>
  </si>
  <si>
    <t>2MB</t>
  </si>
  <si>
    <t>PME</t>
  </si>
  <si>
    <t>PHO</t>
  </si>
  <si>
    <t>BMA</t>
  </si>
  <si>
    <t>DIU</t>
  </si>
  <si>
    <t>CYM</t>
  </si>
  <si>
    <t>CBI</t>
  </si>
  <si>
    <t>DZM</t>
  </si>
  <si>
    <t>PHM</t>
  </si>
  <si>
    <t>EPT</t>
  </si>
  <si>
    <t>NRG</t>
  </si>
  <si>
    <t>AYN</t>
  </si>
  <si>
    <t>MID</t>
  </si>
  <si>
    <t>HPX</t>
  </si>
  <si>
    <t>COA</t>
  </si>
  <si>
    <t>DIL</t>
  </si>
  <si>
    <t>DOS</t>
  </si>
  <si>
    <t>CFU</t>
  </si>
  <si>
    <t>TFL</t>
  </si>
  <si>
    <t>DZI</t>
  </si>
  <si>
    <t>PON</t>
  </si>
  <si>
    <t>CPY</t>
  </si>
  <si>
    <t>NFN</t>
  </si>
  <si>
    <t>CTD</t>
  </si>
  <si>
    <t>BFL</t>
  </si>
  <si>
    <t>DIA</t>
  </si>
  <si>
    <t>VAT</t>
  </si>
  <si>
    <t>NPY</t>
  </si>
  <si>
    <t>BUY</t>
  </si>
  <si>
    <t>OEP</t>
  </si>
  <si>
    <t>FON</t>
  </si>
  <si>
    <t>MOL</t>
  </si>
  <si>
    <t>ETR</t>
  </si>
  <si>
    <t>BST</t>
  </si>
  <si>
    <t>CNB</t>
  </si>
  <si>
    <t>TER</t>
  </si>
  <si>
    <t>TBY</t>
  </si>
  <si>
    <t>MCR</t>
  </si>
  <si>
    <t>PYN</t>
  </si>
  <si>
    <t>EAZ</t>
  </si>
  <si>
    <t>ARS</t>
  </si>
  <si>
    <t>MEV</t>
  </si>
  <si>
    <t>COC</t>
  </si>
  <si>
    <t>2DN</t>
  </si>
  <si>
    <t>MMP</t>
  </si>
  <si>
    <t>CIM</t>
  </si>
  <si>
    <t>EOP</t>
  </si>
  <si>
    <t>NPM</t>
  </si>
  <si>
    <t>CTO</t>
  </si>
  <si>
    <t>EPH</t>
  </si>
  <si>
    <t>MYL</t>
  </si>
  <si>
    <t>MZN</t>
  </si>
  <si>
    <t>PIM</t>
  </si>
  <si>
    <t>OMY</t>
  </si>
  <si>
    <t>PYZ</t>
  </si>
  <si>
    <t>NPH</t>
  </si>
  <si>
    <t>EFU</t>
  </si>
  <si>
    <t>NFL</t>
  </si>
  <si>
    <t>AHA</t>
  </si>
  <si>
    <t>PMP</t>
  </si>
  <si>
    <t>ISP</t>
  </si>
  <si>
    <t>TTI</t>
  </si>
  <si>
    <t>IPD</t>
  </si>
  <si>
    <t>PTN</t>
  </si>
  <si>
    <t>TDF</t>
  </si>
  <si>
    <t>VCL</t>
  </si>
  <si>
    <t>HXZ</t>
  </si>
  <si>
    <t>PYL</t>
  </si>
  <si>
    <t>CXP</t>
  </si>
  <si>
    <t>ETF</t>
  </si>
  <si>
    <t>TYR</t>
  </si>
  <si>
    <t>MXL</t>
  </si>
  <si>
    <t>PAS</t>
  </si>
  <si>
    <t>AES</t>
  </si>
  <si>
    <t>TCO</t>
  </si>
  <si>
    <t>DMO</t>
  </si>
  <si>
    <t>TCL</t>
  </si>
  <si>
    <t>ICL</t>
  </si>
  <si>
    <t>ISF</t>
  </si>
  <si>
    <t>TXY</t>
  </si>
  <si>
    <t>BRN</t>
  </si>
  <si>
    <t>4MP</t>
  </si>
  <si>
    <t>Oxidative dephosphorylation</t>
  </si>
  <si>
    <t xml:space="preserve">QSAR, Lindstrom, A.B., Yeowell-O'Connell, K., Waidyanatha, S., McDonald, T.A., Golding, B.T., Rappaport, S.M., 1998. Formation of Hemoglobin and Albumin Adducts of Benzene Oxide in Mouse, Rat, and Human Blood. Chem. Res. Toxicol. 11, 302-310.
</t>
  </si>
  <si>
    <t>Reactive, methemoglobin adducts</t>
  </si>
  <si>
    <t>DEA</t>
  </si>
  <si>
    <t>CAT</t>
  </si>
  <si>
    <t>EAC</t>
  </si>
  <si>
    <t>DIP</t>
  </si>
  <si>
    <t>CYC</t>
  </si>
  <si>
    <t>Nicotinic acetylcholine receptor (nAChR) agonists, specific to invertebrates</t>
  </si>
  <si>
    <t>QSAR, IRAC</t>
  </si>
  <si>
    <t>2CA</t>
  </si>
  <si>
    <t>4NA</t>
  </si>
  <si>
    <t>3CA</t>
  </si>
  <si>
    <t>*Neurotoxicity</t>
  </si>
  <si>
    <t>TYL</t>
  </si>
  <si>
    <t>3DB</t>
  </si>
  <si>
    <t>4DA</t>
  </si>
  <si>
    <t>5DA</t>
  </si>
  <si>
    <t>3NT</t>
  </si>
  <si>
    <t>HCC</t>
  </si>
  <si>
    <t>2CP</t>
  </si>
  <si>
    <t>BDE</t>
  </si>
  <si>
    <t>NBA</t>
  </si>
  <si>
    <t>CYH</t>
  </si>
  <si>
    <t>EEA</t>
  </si>
  <si>
    <t>DBF</t>
  </si>
  <si>
    <t>3DN</t>
  </si>
  <si>
    <t>2EH</t>
  </si>
  <si>
    <t>DIE</t>
  </si>
  <si>
    <t>HDN</t>
  </si>
  <si>
    <t>DOL</t>
  </si>
  <si>
    <t>DPH</t>
  </si>
  <si>
    <t>PBE</t>
  </si>
  <si>
    <t>BAL</t>
  </si>
  <si>
    <t>per</t>
  </si>
  <si>
    <t>Summary for regression (lowest value, mg/L)</t>
  </si>
  <si>
    <t>Summary for regression (lowest value), empty if no mortality</t>
  </si>
  <si>
    <t>Log effect concentration (mM), empty if no mortality</t>
  </si>
  <si>
    <t>Ratio baseline toxicity vs highest tested concentration (log Kow EPIsuite predicted, n/a = highest test concentration not indicated)</t>
  </si>
  <si>
    <t>not indicated</t>
  </si>
  <si>
    <t>10-20 (not indicated)</t>
  </si>
  <si>
    <t>Alcohol produces injury to cells by dehydration and precipitation of the cytoplasm or protoplasm. This accounts for its bacteriocidal and antifungal action. When alcohol is injected in close proximity to nerve tissues, it produces neuritis and nerve degeneration (neurolysis). Ninety to 98% of ethanol that enters the body is completely oxidized. Ethanol is also used as a cosolvent to dissolve many insoluble drugs and to serve as a mild sedative in some medicinal formulations. Ethanol also binds to GABA, glycine, NMDA receptors and modulates their effects. Ethanol is also metabolised by the hepatic enzyme alcohol dehydrogenase.</t>
  </si>
  <si>
    <t>Index No.</t>
  </si>
  <si>
    <t>Embryo medium (Westerfield, 2000; https://zfin.org/zf_info/zfbook/chapt1/1.3.html)</t>
  </si>
  <si>
    <t>24h dark</t>
  </si>
  <si>
    <t>24 h dark</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</si>
</sst>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E+00"/>
    <numFmt numFmtId="165" formatCode="0.0"/>
    <numFmt numFmtId="166" formatCode="0.000000"/>
    <numFmt numFmtId="167" formatCode="d/m/yyyy"/>
    <numFmt numFmtId="168" formatCode="0.00000"/>
    <numFmt numFmtId="169" formatCode="0.0000"/>
  </numFmts>
  <fonts count="23" x14ac:knownFonts="1">
    <font>
      <sz val="10"/>
      <color rgb="FF000000"/>
      <name val="Arial"/>
    </font>
    <font>
      <sz val="11"/>
      <color theme="1"/>
      <name val="Calibri"/>
      <family val="2"/>
      <scheme val="minor"/>
    </font>
    <font>
      <sz val="11"/>
      <color theme="1"/>
      <name val="Calibri"/>
      <family val="2"/>
      <scheme val="minor"/>
    </font>
    <font>
      <sz val="10"/>
      <name val="Arial Narrow"/>
      <family val="2"/>
    </font>
    <font>
      <b/>
      <sz val="10"/>
      <name val="Arial Narrow"/>
      <family val="2"/>
    </font>
    <font>
      <b/>
      <sz val="10"/>
      <name val="Arial"/>
      <family val="2"/>
    </font>
    <font>
      <sz val="10"/>
      <name val="Arial"/>
      <family val="2"/>
    </font>
    <font>
      <u/>
      <sz val="10"/>
      <color rgb="FF0000FF"/>
      <name val="Arial Narrow"/>
      <family val="2"/>
    </font>
    <font>
      <u/>
      <sz val="10"/>
      <color rgb="FF0000FF"/>
      <name val="Arial"/>
      <family val="2"/>
    </font>
    <font>
      <u/>
      <sz val="10"/>
      <color rgb="FF0000FF"/>
      <name val="Arial Narrow"/>
      <family val="2"/>
    </font>
    <font>
      <b/>
      <sz val="10"/>
      <color rgb="FF000000"/>
      <name val="Arial"/>
      <family val="2"/>
    </font>
    <font>
      <sz val="10"/>
      <name val="Arial"/>
      <family val="2"/>
    </font>
    <font>
      <i/>
      <sz val="10"/>
      <name val="Arial"/>
      <family val="2"/>
    </font>
    <font>
      <sz val="10"/>
      <color rgb="FF000000"/>
      <name val="Arial"/>
      <family val="2"/>
    </font>
    <font>
      <sz val="10"/>
      <color rgb="FFFF0000"/>
      <name val="Arial"/>
      <family val="2"/>
    </font>
    <font>
      <u/>
      <sz val="10"/>
      <name val="Arial"/>
      <family val="2"/>
    </font>
    <font>
      <sz val="11"/>
      <name val="Calibri"/>
      <family val="2"/>
      <scheme val="minor"/>
    </font>
    <font>
      <sz val="11"/>
      <name val="Calibri"/>
      <family val="2"/>
    </font>
    <font>
      <sz val="8"/>
      <color indexed="81"/>
      <name val="Tahoma"/>
      <family val="2"/>
    </font>
    <font>
      <b/>
      <sz val="8"/>
      <color indexed="81"/>
      <name val="Tahoma"/>
      <family val="2"/>
    </font>
    <font>
      <sz val="11"/>
      <color rgb="FF000000"/>
      <name val="Arial"/>
      <family val="2"/>
    </font>
    <font>
      <b/>
      <sz val="11"/>
      <color rgb="FF000000"/>
      <name val="Arial"/>
      <family val="2"/>
    </font>
    <font>
      <sz val="10"/>
      <name val="Arial"/>
      <family val="2"/>
    </font>
  </fonts>
  <fills count="35">
    <fill>
      <patternFill patternType="none"/>
    </fill>
    <fill>
      <patternFill patternType="gray125"/>
    </fill>
    <fill>
      <patternFill patternType="solid">
        <fgColor rgb="FFC0C0C0"/>
        <bgColor rgb="FFC0C0C0"/>
      </patternFill>
    </fill>
    <fill>
      <patternFill patternType="solid">
        <fgColor rgb="FFBFBFBF"/>
        <bgColor rgb="FFBFBFBF"/>
      </patternFill>
    </fill>
    <fill>
      <patternFill patternType="solid">
        <fgColor rgb="FFCFE2F3"/>
        <bgColor rgb="FFCFE2F3"/>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79998168889431442"/>
        <bgColor rgb="FFFFFFFF"/>
      </patternFill>
    </fill>
    <fill>
      <patternFill patternType="solid">
        <fgColor theme="5" tint="0.79998168889431442"/>
        <bgColor rgb="FFCFE2F3"/>
      </patternFill>
    </fill>
    <fill>
      <patternFill patternType="solid">
        <fgColor theme="7" tint="0.39997558519241921"/>
        <bgColor rgb="FFFFFFFF"/>
      </patternFill>
    </fill>
    <fill>
      <patternFill patternType="solid">
        <fgColor theme="7" tint="0.39997558519241921"/>
        <bgColor indexed="64"/>
      </patternFill>
    </fill>
    <fill>
      <patternFill patternType="solid">
        <fgColor theme="7" tint="0.39997558519241921"/>
        <bgColor rgb="FFCFE2F3"/>
      </patternFill>
    </fill>
    <fill>
      <patternFill patternType="solid">
        <fgColor theme="9" tint="0.39997558519241921"/>
        <bgColor indexed="64"/>
      </patternFill>
    </fill>
    <fill>
      <patternFill patternType="solid">
        <fgColor theme="9" tint="0.39997558519241921"/>
        <bgColor rgb="FFFFFFFF"/>
      </patternFill>
    </fill>
    <fill>
      <patternFill patternType="solid">
        <fgColor theme="9" tint="0.39997558519241921"/>
        <bgColor rgb="FFCFE2F3"/>
      </patternFill>
    </fill>
    <fill>
      <patternFill patternType="solid">
        <fgColor rgb="FF00B0F0"/>
        <bgColor indexed="64"/>
      </patternFill>
    </fill>
    <fill>
      <patternFill patternType="solid">
        <fgColor rgb="FF00B0F0"/>
        <bgColor rgb="FFFFFFFF"/>
      </patternFill>
    </fill>
    <fill>
      <patternFill patternType="solid">
        <fgColor rgb="FF00B0F0"/>
        <bgColor rgb="FFCFE2F3"/>
      </patternFill>
    </fill>
    <fill>
      <patternFill patternType="solid">
        <fgColor rgb="FFFFFF00"/>
        <bgColor indexed="64"/>
      </patternFill>
    </fill>
    <fill>
      <patternFill patternType="solid">
        <fgColor rgb="FFFFFF00"/>
        <bgColor rgb="FFFFFFFF"/>
      </patternFill>
    </fill>
    <fill>
      <patternFill patternType="solid">
        <fgColor rgb="FFFFFF00"/>
        <bgColor rgb="FFCFE2F3"/>
      </patternFill>
    </fill>
    <fill>
      <patternFill patternType="solid">
        <fgColor theme="2"/>
        <bgColor indexed="64"/>
      </patternFill>
    </fill>
    <fill>
      <patternFill patternType="solid">
        <fgColor theme="2"/>
        <bgColor rgb="FFFFFFFF"/>
      </patternFill>
    </fill>
    <fill>
      <patternFill patternType="solid">
        <fgColor theme="2"/>
        <bgColor rgb="FFCFE2F3"/>
      </patternFill>
    </fill>
    <fill>
      <patternFill patternType="solid">
        <fgColor theme="0" tint="-0.249977111117893"/>
        <bgColor rgb="FFC0C0C0"/>
      </patternFill>
    </fill>
    <fill>
      <patternFill patternType="solid">
        <fgColor theme="0" tint="-0.249977111117893"/>
        <bgColor rgb="FFBFBFBF"/>
      </patternFill>
    </fill>
    <fill>
      <patternFill patternType="solid">
        <fgColor theme="6" tint="0.79998168889431442"/>
        <bgColor rgb="FFFFFFFF"/>
      </patternFill>
    </fill>
    <fill>
      <patternFill patternType="solid">
        <fgColor theme="7" tint="0.79998168889431442"/>
        <bgColor indexed="64"/>
      </patternFill>
    </fill>
    <fill>
      <patternFill patternType="solid">
        <fgColor theme="7" tint="0.79998168889431442"/>
        <bgColor rgb="FFC0C0C0"/>
      </patternFill>
    </fill>
    <fill>
      <patternFill patternType="solid">
        <fgColor theme="7" tint="0.79998168889431442"/>
        <bgColor rgb="FFBFBFBF"/>
      </patternFill>
    </fill>
    <fill>
      <patternFill patternType="solid">
        <fgColor theme="6" tint="0.79998168889431442"/>
        <bgColor indexed="64"/>
      </patternFill>
    </fill>
    <fill>
      <patternFill patternType="solid">
        <fgColor theme="6" tint="0.79998168889431442"/>
        <bgColor rgb="FFCFE2F3"/>
      </patternFill>
    </fill>
    <fill>
      <patternFill patternType="solid">
        <fgColor theme="0" tint="-4.9989318521683403E-2"/>
        <bgColor rgb="FFFFFFFF"/>
      </patternFill>
    </fill>
  </fills>
  <borders count="1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rgb="FF000000"/>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2" fillId="0" borderId="0"/>
    <xf numFmtId="0" fontId="6" fillId="0" borderId="0"/>
    <xf numFmtId="0" fontId="1" fillId="0" borderId="0"/>
  </cellStyleXfs>
  <cellXfs count="521">
    <xf numFmtId="0" fontId="0" fillId="0" borderId="0" xfId="0" applyFont="1" applyAlignment="1"/>
    <xf numFmtId="0" fontId="3" fillId="2" borderId="0" xfId="0" applyFont="1" applyFill="1" applyBorder="1"/>
    <xf numFmtId="0" fontId="4" fillId="2" borderId="0" xfId="0" applyFont="1" applyFill="1" applyBorder="1" applyAlignment="1">
      <alignment wrapText="1"/>
    </xf>
    <xf numFmtId="0" fontId="0" fillId="0" borderId="0" xfId="0" applyFont="1"/>
    <xf numFmtId="0" fontId="3" fillId="0" borderId="0" xfId="0" applyFont="1"/>
    <xf numFmtId="0" fontId="3" fillId="0" borderId="0" xfId="0" applyFont="1" applyAlignment="1">
      <alignment wrapText="1"/>
    </xf>
    <xf numFmtId="0" fontId="5" fillId="2" borderId="5" xfId="0" applyFont="1" applyFill="1" applyBorder="1" applyAlignment="1">
      <alignment horizontal="center" vertical="center"/>
    </xf>
    <xf numFmtId="0" fontId="5" fillId="2" borderId="5" xfId="0" applyFont="1" applyFill="1" applyBorder="1" applyAlignment="1">
      <alignment horizontal="center"/>
    </xf>
    <xf numFmtId="0" fontId="7" fillId="0" borderId="0" xfId="0" applyFont="1" applyAlignment="1">
      <alignment vertical="top"/>
    </xf>
    <xf numFmtId="0" fontId="8" fillId="0" borderId="0" xfId="0" applyFont="1" applyAlignment="1">
      <alignment vertical="top"/>
    </xf>
    <xf numFmtId="0" fontId="3" fillId="0" borderId="0" xfId="0" applyFont="1" applyAlignment="1">
      <alignment vertical="top" wrapText="1"/>
    </xf>
    <xf numFmtId="0" fontId="5" fillId="2" borderId="5" xfId="0" applyFont="1" applyFill="1" applyBorder="1" applyAlignment="1">
      <alignment horizontal="center" vertical="top" wrapText="1"/>
    </xf>
    <xf numFmtId="0" fontId="5" fillId="2" borderId="5" xfId="0" applyFont="1" applyFill="1" applyBorder="1" applyAlignment="1">
      <alignment horizontal="center" vertical="center" wrapText="1"/>
    </xf>
    <xf numFmtId="0" fontId="3" fillId="0" borderId="0" xfId="0" applyFont="1" applyAlignment="1">
      <alignment horizontal="left" vertical="top"/>
    </xf>
    <xf numFmtId="0" fontId="3" fillId="0" borderId="0" xfId="0" applyFont="1" applyAlignment="1">
      <alignment vertical="top"/>
    </xf>
    <xf numFmtId="0" fontId="3" fillId="0" borderId="0" xfId="0" applyFont="1" applyAlignment="1">
      <alignment vertical="center"/>
    </xf>
    <xf numFmtId="0" fontId="6" fillId="0" borderId="0" xfId="0" applyFont="1" applyAlignment="1">
      <alignment vertical="center"/>
    </xf>
    <xf numFmtId="0" fontId="9" fillId="0" borderId="0" xfId="0" applyFont="1" applyAlignment="1">
      <alignment vertical="center"/>
    </xf>
    <xf numFmtId="0" fontId="0" fillId="0" borderId="0" xfId="0" applyFont="1" applyAlignment="1">
      <alignment vertical="center"/>
    </xf>
    <xf numFmtId="0" fontId="6" fillId="0" borderId="0" xfId="0" applyFont="1" applyAlignment="1">
      <alignment vertical="center"/>
    </xf>
    <xf numFmtId="0" fontId="0" fillId="0" borderId="0" xfId="0" applyFont="1"/>
    <xf numFmtId="0" fontId="5" fillId="2" borderId="5" xfId="0" applyFont="1" applyFill="1" applyBorder="1" applyAlignment="1">
      <alignment horizontal="center" vertical="top"/>
    </xf>
    <xf numFmtId="0" fontId="5" fillId="2" borderId="1" xfId="0" applyFont="1" applyFill="1" applyBorder="1" applyAlignment="1">
      <alignment horizontal="left" vertical="center" wrapText="1"/>
    </xf>
    <xf numFmtId="0" fontId="10" fillId="6" borderId="7" xfId="0" applyFont="1" applyFill="1" applyBorder="1" applyAlignment="1">
      <alignment horizontal="center"/>
    </xf>
    <xf numFmtId="11" fontId="5" fillId="2" borderId="1" xfId="0" applyNumberFormat="1"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4" fontId="5" fillId="2" borderId="1" xfId="0" applyNumberFormat="1" applyFont="1" applyFill="1" applyBorder="1" applyAlignment="1">
      <alignment horizontal="center" vertical="center" wrapText="1"/>
    </xf>
    <xf numFmtId="0" fontId="5" fillId="2" borderId="1" xfId="0" applyFont="1" applyFill="1" applyBorder="1" applyAlignment="1">
      <alignment horizontal="left" vertical="center"/>
    </xf>
    <xf numFmtId="11" fontId="5" fillId="3" borderId="1" xfId="0" applyNumberFormat="1"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0" fillId="0" borderId="8" xfId="0" applyFont="1" applyFill="1" applyBorder="1" applyAlignment="1">
      <alignment horizontal="left"/>
    </xf>
    <xf numFmtId="0" fontId="6" fillId="9" borderId="8" xfId="0" applyFont="1" applyFill="1" applyBorder="1" applyAlignment="1">
      <alignment horizontal="left" vertical="top" wrapText="1"/>
    </xf>
    <xf numFmtId="0" fontId="6" fillId="8" borderId="8" xfId="0" applyFont="1" applyFill="1" applyBorder="1" applyAlignment="1">
      <alignment horizontal="center"/>
    </xf>
    <xf numFmtId="4" fontId="6" fillId="8" borderId="8" xfId="0" applyNumberFormat="1" applyFont="1" applyFill="1" applyBorder="1" applyAlignment="1">
      <alignment horizontal="center"/>
    </xf>
    <xf numFmtId="0" fontId="12" fillId="8" borderId="8" xfId="0" applyFont="1" applyFill="1" applyBorder="1" applyAlignment="1">
      <alignment horizontal="center" vertical="center"/>
    </xf>
    <xf numFmtId="0" fontId="6" fillId="9" borderId="8" xfId="0" applyFont="1" applyFill="1" applyBorder="1" applyAlignment="1">
      <alignment horizontal="left"/>
    </xf>
    <xf numFmtId="0" fontId="6" fillId="9" borderId="8" xfId="0" applyFont="1" applyFill="1" applyBorder="1" applyAlignment="1">
      <alignment horizontal="center"/>
    </xf>
    <xf numFmtId="4" fontId="6" fillId="9" borderId="8" xfId="0" applyNumberFormat="1" applyFont="1" applyFill="1" applyBorder="1" applyAlignment="1">
      <alignment horizontal="center"/>
    </xf>
    <xf numFmtId="0" fontId="12" fillId="9" borderId="8" xfId="0" applyFont="1" applyFill="1" applyBorder="1" applyAlignment="1">
      <alignment horizontal="center" vertical="center"/>
    </xf>
    <xf numFmtId="0" fontId="6" fillId="9" borderId="8" xfId="0" applyFont="1" applyFill="1" applyBorder="1" applyAlignment="1">
      <alignment horizontal="center" vertical="top" wrapText="1"/>
    </xf>
    <xf numFmtId="0" fontId="6" fillId="8" borderId="8" xfId="0" applyFont="1" applyFill="1" applyBorder="1" applyAlignment="1">
      <alignment horizontal="left"/>
    </xf>
    <xf numFmtId="0" fontId="6" fillId="9" borderId="8" xfId="0" applyFont="1" applyFill="1" applyBorder="1" applyAlignment="1">
      <alignment horizontal="left" wrapText="1"/>
    </xf>
    <xf numFmtId="0" fontId="6" fillId="8" borderId="8" xfId="0" applyFont="1" applyFill="1" applyBorder="1" applyAlignment="1">
      <alignment horizontal="center" vertical="center"/>
    </xf>
    <xf numFmtId="4" fontId="6" fillId="8" borderId="8" xfId="0" applyNumberFormat="1" applyFont="1" applyFill="1" applyBorder="1" applyAlignment="1">
      <alignment horizontal="center" vertical="center"/>
    </xf>
    <xf numFmtId="11" fontId="6" fillId="9" borderId="8" xfId="0" applyNumberFormat="1" applyFont="1" applyFill="1" applyBorder="1" applyAlignment="1">
      <alignment horizontal="left"/>
    </xf>
    <xf numFmtId="0" fontId="6" fillId="11" borderId="8" xfId="0" applyFont="1" applyFill="1" applyBorder="1" applyAlignment="1">
      <alignment horizontal="left" vertical="top" wrapText="1"/>
    </xf>
    <xf numFmtId="0" fontId="6" fillId="11" borderId="8" xfId="0" applyFont="1" applyFill="1" applyBorder="1" applyAlignment="1">
      <alignment horizontal="left"/>
    </xf>
    <xf numFmtId="0" fontId="6" fillId="11" borderId="8" xfId="0" applyFont="1" applyFill="1" applyBorder="1" applyAlignment="1">
      <alignment horizontal="center"/>
    </xf>
    <xf numFmtId="4" fontId="6" fillId="11" borderId="8" xfId="0" applyNumberFormat="1" applyFont="1" applyFill="1" applyBorder="1" applyAlignment="1">
      <alignment horizontal="center"/>
    </xf>
    <xf numFmtId="0" fontId="12" fillId="11" borderId="8" xfId="0" applyFont="1" applyFill="1" applyBorder="1" applyAlignment="1">
      <alignment horizontal="center" vertical="center"/>
    </xf>
    <xf numFmtId="0" fontId="6" fillId="11" borderId="8" xfId="0" applyFont="1" applyFill="1" applyBorder="1" applyAlignment="1">
      <alignment horizontal="left" wrapText="1"/>
    </xf>
    <xf numFmtId="11" fontId="6" fillId="11" borderId="8" xfId="0" applyNumberFormat="1" applyFont="1" applyFill="1" applyBorder="1" applyAlignment="1">
      <alignment horizontal="left"/>
    </xf>
    <xf numFmtId="0" fontId="6" fillId="12" borderId="8" xfId="0" applyFont="1" applyFill="1" applyBorder="1" applyAlignment="1">
      <alignment horizontal="left"/>
    </xf>
    <xf numFmtId="0" fontId="6" fillId="15" borderId="8" xfId="0" applyFont="1" applyFill="1" applyBorder="1" applyAlignment="1">
      <alignment horizontal="left" vertical="top" wrapText="1"/>
    </xf>
    <xf numFmtId="0" fontId="6" fillId="15" borderId="8" xfId="0" applyFont="1" applyFill="1" applyBorder="1" applyAlignment="1">
      <alignment horizontal="left"/>
    </xf>
    <xf numFmtId="0" fontId="6" fillId="15" borderId="8" xfId="0" applyFont="1" applyFill="1" applyBorder="1" applyAlignment="1">
      <alignment horizontal="center"/>
    </xf>
    <xf numFmtId="4" fontId="6" fillId="15" borderId="8" xfId="0" applyNumberFormat="1" applyFont="1" applyFill="1" applyBorder="1" applyAlignment="1">
      <alignment horizontal="center"/>
    </xf>
    <xf numFmtId="0" fontId="12" fillId="15" borderId="8" xfId="0" applyFont="1" applyFill="1" applyBorder="1" applyAlignment="1">
      <alignment horizontal="center" vertical="center"/>
    </xf>
    <xf numFmtId="0" fontId="6" fillId="15" borderId="8" xfId="0" applyFont="1" applyFill="1" applyBorder="1" applyAlignment="1">
      <alignment horizontal="center" vertical="top" wrapText="1"/>
    </xf>
    <xf numFmtId="2" fontId="6" fillId="15" borderId="8" xfId="0" applyNumberFormat="1" applyFont="1" applyFill="1" applyBorder="1" applyAlignment="1">
      <alignment horizontal="left"/>
    </xf>
    <xf numFmtId="0" fontId="6" fillId="14" borderId="8" xfId="0" applyFont="1" applyFill="1" applyBorder="1" applyAlignment="1">
      <alignment horizontal="center"/>
    </xf>
    <xf numFmtId="4" fontId="6" fillId="14" borderId="8" xfId="0" applyNumberFormat="1" applyFont="1" applyFill="1" applyBorder="1" applyAlignment="1">
      <alignment horizontal="center"/>
    </xf>
    <xf numFmtId="0" fontId="12" fillId="14" borderId="8" xfId="0" applyFont="1" applyFill="1" applyBorder="1" applyAlignment="1">
      <alignment horizontal="center" vertical="center"/>
    </xf>
    <xf numFmtId="0" fontId="6" fillId="15" borderId="8" xfId="0" applyFont="1" applyFill="1" applyBorder="1" applyAlignment="1">
      <alignment horizontal="left" wrapText="1"/>
    </xf>
    <xf numFmtId="11" fontId="6" fillId="15" borderId="8" xfId="0" applyNumberFormat="1" applyFont="1" applyFill="1" applyBorder="1" applyAlignment="1">
      <alignment horizontal="left"/>
    </xf>
    <xf numFmtId="4" fontId="6" fillId="15" borderId="8" xfId="0" applyNumberFormat="1" applyFont="1" applyFill="1" applyBorder="1" applyAlignment="1">
      <alignment horizontal="center" vertical="center"/>
    </xf>
    <xf numFmtId="0" fontId="6" fillId="14" borderId="8" xfId="0" applyFont="1" applyFill="1" applyBorder="1" applyAlignment="1">
      <alignment horizontal="left"/>
    </xf>
    <xf numFmtId="4" fontId="6" fillId="15" borderId="8" xfId="0" applyNumberFormat="1" applyFont="1" applyFill="1" applyBorder="1" applyAlignment="1">
      <alignment horizontal="center" vertical="top" wrapText="1"/>
    </xf>
    <xf numFmtId="0" fontId="6" fillId="15" borderId="8" xfId="0" applyNumberFormat="1" applyFont="1" applyFill="1" applyBorder="1" applyAlignment="1">
      <alignment horizontal="center" vertical="top" wrapText="1"/>
    </xf>
    <xf numFmtId="0" fontId="0" fillId="0" borderId="0" xfId="0" applyFont="1" applyFill="1" applyAlignment="1"/>
    <xf numFmtId="0" fontId="14" fillId="0" borderId="0" xfId="0" applyFont="1" applyFill="1" applyAlignment="1"/>
    <xf numFmtId="0" fontId="6" fillId="0" borderId="0" xfId="0" applyFont="1" applyFill="1" applyAlignment="1"/>
    <xf numFmtId="2" fontId="6" fillId="15" borderId="8" xfId="0" applyNumberFormat="1" applyFont="1" applyFill="1" applyBorder="1" applyAlignment="1">
      <alignment horizontal="left" wrapText="1"/>
    </xf>
    <xf numFmtId="3" fontId="6" fillId="15" borderId="8" xfId="0" applyNumberFormat="1" applyFont="1" applyFill="1" applyBorder="1" applyAlignment="1">
      <alignment horizontal="center" vertical="top" wrapText="1"/>
    </xf>
    <xf numFmtId="0" fontId="11" fillId="0" borderId="8" xfId="0" applyFont="1" applyFill="1" applyBorder="1" applyAlignment="1">
      <alignment horizontal="center" vertical="center" wrapText="1"/>
    </xf>
    <xf numFmtId="0" fontId="11" fillId="0" borderId="8" xfId="0" applyFont="1" applyFill="1" applyBorder="1" applyAlignment="1">
      <alignment horizontal="center" vertical="center"/>
    </xf>
    <xf numFmtId="0" fontId="6" fillId="0" borderId="8" xfId="0" applyFont="1" applyFill="1" applyBorder="1" applyAlignment="1">
      <alignment horizontal="left" vertical="top" wrapText="1"/>
    </xf>
    <xf numFmtId="0" fontId="11" fillId="0" borderId="8" xfId="0" applyFont="1" applyFill="1" applyBorder="1" applyAlignment="1">
      <alignment horizontal="center" vertical="top" wrapText="1"/>
    </xf>
    <xf numFmtId="1" fontId="0" fillId="0" borderId="8" xfId="0" applyNumberFormat="1" applyFont="1" applyFill="1" applyBorder="1" applyAlignment="1">
      <alignment horizontal="center" vertical="center"/>
    </xf>
    <xf numFmtId="0" fontId="11" fillId="0" borderId="8" xfId="0" applyFont="1" applyFill="1" applyBorder="1" applyAlignment="1">
      <alignment horizontal="left"/>
    </xf>
    <xf numFmtId="0" fontId="11" fillId="0" borderId="8" xfId="0" applyFont="1" applyFill="1" applyBorder="1" applyAlignment="1">
      <alignment horizontal="center"/>
    </xf>
    <xf numFmtId="11" fontId="11" fillId="0" borderId="8" xfId="0" applyNumberFormat="1" applyFont="1" applyFill="1" applyBorder="1" applyAlignment="1">
      <alignment horizontal="center"/>
    </xf>
    <xf numFmtId="2" fontId="11" fillId="0" borderId="8" xfId="0" applyNumberFormat="1" applyFont="1" applyFill="1" applyBorder="1" applyAlignment="1">
      <alignment horizontal="center"/>
    </xf>
    <xf numFmtId="0" fontId="6" fillId="0" borderId="8" xfId="0" applyFont="1" applyFill="1" applyBorder="1" applyAlignment="1">
      <alignment horizontal="center"/>
    </xf>
    <xf numFmtId="4" fontId="6" fillId="0" borderId="8" xfId="0" applyNumberFormat="1" applyFont="1" applyFill="1" applyBorder="1" applyAlignment="1">
      <alignment horizontal="center"/>
    </xf>
    <xf numFmtId="4" fontId="11" fillId="0" borderId="8" xfId="0" applyNumberFormat="1" applyFont="1" applyFill="1" applyBorder="1" applyAlignment="1">
      <alignment horizontal="center"/>
    </xf>
    <xf numFmtId="0" fontId="12" fillId="0" borderId="8" xfId="0" applyFont="1" applyFill="1" applyBorder="1" applyAlignment="1">
      <alignment horizontal="center" vertical="center"/>
    </xf>
    <xf numFmtId="11" fontId="11" fillId="0" borderId="8" xfId="0" applyNumberFormat="1" applyFont="1" applyFill="1" applyBorder="1" applyAlignment="1">
      <alignment horizontal="center" vertical="top"/>
    </xf>
    <xf numFmtId="0" fontId="0" fillId="0" borderId="8" xfId="0" applyFont="1" applyFill="1" applyBorder="1" applyAlignment="1">
      <alignment horizontal="center"/>
    </xf>
    <xf numFmtId="0" fontId="6" fillId="0" borderId="8" xfId="0" applyFont="1" applyFill="1" applyBorder="1" applyAlignment="1">
      <alignment horizontal="left"/>
    </xf>
    <xf numFmtId="0" fontId="0" fillId="0" borderId="8" xfId="0" applyFont="1" applyFill="1" applyBorder="1" applyAlignment="1"/>
    <xf numFmtId="0" fontId="11" fillId="0" borderId="8" xfId="0" applyFont="1" applyFill="1" applyBorder="1"/>
    <xf numFmtId="0" fontId="6" fillId="0" borderId="8" xfId="0" applyFont="1" applyFill="1" applyBorder="1" applyAlignment="1">
      <alignment horizontal="left" wrapText="1"/>
    </xf>
    <xf numFmtId="0" fontId="5"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2" xfId="0" applyFont="1" applyFill="1" applyBorder="1" applyAlignment="1">
      <alignment horizontal="center" vertical="top"/>
    </xf>
    <xf numFmtId="4" fontId="6" fillId="11" borderId="0" xfId="0" applyNumberFormat="1" applyFont="1" applyFill="1" applyBorder="1" applyAlignment="1">
      <alignment horizontal="center"/>
    </xf>
    <xf numFmtId="11" fontId="6" fillId="11" borderId="8" xfId="0" applyNumberFormat="1" applyFont="1" applyFill="1" applyBorder="1" applyAlignment="1">
      <alignment horizontal="center"/>
    </xf>
    <xf numFmtId="0" fontId="6" fillId="18" borderId="8" xfId="0" applyFont="1" applyFill="1" applyBorder="1" applyAlignment="1">
      <alignment horizontal="left" vertical="top" wrapText="1"/>
    </xf>
    <xf numFmtId="0" fontId="6" fillId="18" borderId="8" xfId="0" applyFont="1" applyFill="1" applyBorder="1" applyAlignment="1">
      <alignment horizontal="center"/>
    </xf>
    <xf numFmtId="4" fontId="6" fillId="18" borderId="8" xfId="0" applyNumberFormat="1" applyFont="1" applyFill="1" applyBorder="1" applyAlignment="1">
      <alignment horizontal="center"/>
    </xf>
    <xf numFmtId="0" fontId="12" fillId="18" borderId="8" xfId="0" applyFont="1" applyFill="1" applyBorder="1" applyAlignment="1">
      <alignment horizontal="center" vertical="center"/>
    </xf>
    <xf numFmtId="11" fontId="6" fillId="15" borderId="8" xfId="0" applyNumberFormat="1" applyFont="1" applyFill="1" applyBorder="1" applyAlignment="1">
      <alignment horizontal="center"/>
    </xf>
    <xf numFmtId="11" fontId="6" fillId="18" borderId="8" xfId="0" applyNumberFormat="1" applyFont="1" applyFill="1" applyBorder="1" applyAlignment="1">
      <alignment horizontal="center"/>
    </xf>
    <xf numFmtId="0" fontId="6" fillId="17" borderId="8" xfId="0" applyFont="1" applyFill="1" applyBorder="1" applyAlignment="1">
      <alignment horizontal="left" vertical="top" wrapText="1"/>
    </xf>
    <xf numFmtId="0" fontId="6" fillId="17" borderId="8" xfId="0" applyFont="1" applyFill="1" applyBorder="1" applyAlignment="1">
      <alignment horizontal="center"/>
    </xf>
    <xf numFmtId="4" fontId="6" fillId="17" borderId="8" xfId="0" applyNumberFormat="1" applyFont="1" applyFill="1" applyBorder="1" applyAlignment="1">
      <alignment horizontal="center"/>
    </xf>
    <xf numFmtId="0" fontId="12" fillId="17" borderId="8" xfId="0" applyFont="1" applyFill="1" applyBorder="1" applyAlignment="1">
      <alignment horizontal="center" vertical="center"/>
    </xf>
    <xf numFmtId="11" fontId="6" fillId="17" borderId="8" xfId="0" applyNumberFormat="1" applyFont="1" applyFill="1" applyBorder="1" applyAlignment="1">
      <alignment horizontal="left"/>
    </xf>
    <xf numFmtId="0" fontId="6" fillId="17" borderId="8" xfId="0" applyFont="1" applyFill="1" applyBorder="1" applyAlignment="1">
      <alignment horizontal="left"/>
    </xf>
    <xf numFmtId="11" fontId="6" fillId="14" borderId="8" xfId="0" applyNumberFormat="1" applyFont="1" applyFill="1" applyBorder="1" applyAlignment="1">
      <alignment horizontal="center"/>
    </xf>
    <xf numFmtId="0" fontId="6" fillId="18" borderId="8" xfId="0" applyFont="1" applyFill="1" applyBorder="1" applyAlignment="1">
      <alignment horizontal="center" vertical="top" wrapText="1"/>
    </xf>
    <xf numFmtId="0" fontId="6" fillId="17" borderId="8" xfId="0" applyFont="1" applyFill="1" applyBorder="1" applyAlignment="1">
      <alignment horizontal="center" vertical="top" wrapText="1"/>
    </xf>
    <xf numFmtId="0" fontId="6" fillId="11" borderId="8" xfId="0" applyFont="1" applyFill="1" applyBorder="1" applyAlignment="1">
      <alignment horizontal="center" vertical="top" wrapText="1"/>
    </xf>
    <xf numFmtId="0" fontId="6" fillId="21" borderId="8" xfId="0" applyFont="1" applyFill="1" applyBorder="1" applyAlignment="1">
      <alignment horizontal="left" vertical="top" wrapText="1"/>
    </xf>
    <xf numFmtId="0" fontId="6" fillId="21" borderId="8" xfId="0" applyFont="1" applyFill="1" applyBorder="1" applyAlignment="1">
      <alignment horizontal="center" vertical="top" wrapText="1"/>
    </xf>
    <xf numFmtId="4" fontId="6" fillId="21" borderId="8" xfId="0" applyNumberFormat="1" applyFont="1" applyFill="1" applyBorder="1" applyAlignment="1">
      <alignment horizontal="center" vertical="top" wrapText="1"/>
    </xf>
    <xf numFmtId="0" fontId="12" fillId="21" borderId="8" xfId="0" applyFont="1" applyFill="1" applyBorder="1" applyAlignment="1">
      <alignment horizontal="center" vertical="center"/>
    </xf>
    <xf numFmtId="0" fontId="6" fillId="21" borderId="8" xfId="0" applyFont="1" applyFill="1" applyBorder="1" applyAlignment="1">
      <alignment horizontal="center"/>
    </xf>
    <xf numFmtId="4" fontId="6" fillId="21" borderId="8" xfId="0" applyNumberFormat="1" applyFont="1" applyFill="1" applyBorder="1" applyAlignment="1">
      <alignment horizontal="center"/>
    </xf>
    <xf numFmtId="0" fontId="6" fillId="20" borderId="8" xfId="0" applyFont="1" applyFill="1" applyBorder="1" applyAlignment="1">
      <alignment horizontal="left" vertical="top" wrapText="1"/>
    </xf>
    <xf numFmtId="0" fontId="6" fillId="20" borderId="8" xfId="0" applyFont="1" applyFill="1" applyBorder="1" applyAlignment="1">
      <alignment horizontal="center" vertical="top" wrapText="1"/>
    </xf>
    <xf numFmtId="0" fontId="6" fillId="20" borderId="8" xfId="0" applyFont="1" applyFill="1" applyBorder="1" applyAlignment="1">
      <alignment horizontal="center"/>
    </xf>
    <xf numFmtId="0" fontId="12" fillId="20" borderId="8" xfId="0" applyFont="1" applyFill="1" applyBorder="1" applyAlignment="1">
      <alignment horizontal="center" vertical="center"/>
    </xf>
    <xf numFmtId="4" fontId="6" fillId="20" borderId="8" xfId="0" applyNumberFormat="1" applyFont="1" applyFill="1" applyBorder="1" applyAlignment="1">
      <alignment horizontal="center"/>
    </xf>
    <xf numFmtId="11" fontId="11" fillId="0" borderId="8" xfId="0" applyNumberFormat="1" applyFont="1" applyFill="1" applyBorder="1" applyAlignment="1">
      <alignment horizontal="center" vertical="center"/>
    </xf>
    <xf numFmtId="2" fontId="11" fillId="0" borderId="8" xfId="0" applyNumberFormat="1" applyFont="1" applyFill="1" applyBorder="1" applyAlignment="1">
      <alignment horizontal="left"/>
    </xf>
    <xf numFmtId="0" fontId="6" fillId="24" borderId="8" xfId="0" applyFont="1" applyFill="1" applyBorder="1" applyAlignment="1">
      <alignment horizontal="left" vertical="top" wrapText="1"/>
    </xf>
    <xf numFmtId="0" fontId="6" fillId="24" borderId="8" xfId="0" applyFont="1" applyFill="1" applyBorder="1" applyAlignment="1">
      <alignment horizontal="center" vertical="top" wrapText="1"/>
    </xf>
    <xf numFmtId="0" fontId="6" fillId="24" borderId="8" xfId="0" applyFont="1" applyFill="1" applyBorder="1" applyAlignment="1">
      <alignment horizontal="center"/>
    </xf>
    <xf numFmtId="4" fontId="6" fillId="24" borderId="8" xfId="0" applyNumberFormat="1" applyFont="1" applyFill="1" applyBorder="1" applyAlignment="1">
      <alignment horizontal="center"/>
    </xf>
    <xf numFmtId="0" fontId="12" fillId="24" borderId="8" xfId="0" applyFont="1" applyFill="1" applyBorder="1" applyAlignment="1">
      <alignment horizontal="center" vertical="center"/>
    </xf>
    <xf numFmtId="0" fontId="6" fillId="23" borderId="8" xfId="0" applyFont="1" applyFill="1" applyBorder="1" applyAlignment="1">
      <alignment horizontal="left" vertical="top" wrapText="1"/>
    </xf>
    <xf numFmtId="0" fontId="6" fillId="23" borderId="8" xfId="0" applyFont="1" applyFill="1" applyBorder="1" applyAlignment="1">
      <alignment horizontal="center" vertical="top" wrapText="1"/>
    </xf>
    <xf numFmtId="0" fontId="6" fillId="23" borderId="8" xfId="0" applyFont="1" applyFill="1" applyBorder="1" applyAlignment="1">
      <alignment horizontal="center"/>
    </xf>
    <xf numFmtId="4" fontId="6" fillId="23" borderId="8" xfId="0" applyNumberFormat="1" applyFont="1" applyFill="1" applyBorder="1" applyAlignment="1">
      <alignment horizontal="center"/>
    </xf>
    <xf numFmtId="0" fontId="12" fillId="23" borderId="8" xfId="0" applyFont="1" applyFill="1" applyBorder="1" applyAlignment="1">
      <alignment horizontal="center" vertical="center"/>
    </xf>
    <xf numFmtId="0" fontId="6" fillId="23" borderId="8" xfId="0" applyFont="1" applyFill="1" applyBorder="1" applyAlignment="1">
      <alignment horizontal="left"/>
    </xf>
    <xf numFmtId="0" fontId="6" fillId="24" borderId="8" xfId="0" applyFont="1" applyFill="1" applyBorder="1" applyAlignment="1">
      <alignment horizontal="left"/>
    </xf>
    <xf numFmtId="0" fontId="6" fillId="23" borderId="8" xfId="0" applyFont="1" applyFill="1" applyBorder="1" applyAlignment="1">
      <alignment horizontal="left" wrapText="1"/>
    </xf>
    <xf numFmtId="11" fontId="6" fillId="23" borderId="8" xfId="0" applyNumberFormat="1" applyFont="1" applyFill="1" applyBorder="1" applyAlignment="1">
      <alignment horizontal="left"/>
    </xf>
    <xf numFmtId="0" fontId="6" fillId="0" borderId="0" xfId="0" applyFont="1" applyAlignment="1"/>
    <xf numFmtId="0" fontId="6" fillId="8" borderId="8" xfId="0" applyFont="1" applyFill="1" applyBorder="1" applyAlignment="1"/>
    <xf numFmtId="0" fontId="6" fillId="0" borderId="8" xfId="0" applyFont="1" applyFill="1" applyBorder="1" applyAlignment="1"/>
    <xf numFmtId="0" fontId="10" fillId="7" borderId="8" xfId="0" applyFont="1" applyFill="1" applyBorder="1" applyAlignment="1">
      <alignment horizontal="center" vertical="center" wrapText="1"/>
    </xf>
    <xf numFmtId="0" fontId="10" fillId="7" borderId="8" xfId="0" applyFont="1" applyFill="1" applyBorder="1" applyAlignment="1">
      <alignment horizontal="center" vertical="center"/>
    </xf>
    <xf numFmtId="0" fontId="5" fillId="26" borderId="1" xfId="0" applyFont="1" applyFill="1" applyBorder="1" applyAlignment="1">
      <alignment horizontal="center" vertical="top" wrapText="1"/>
    </xf>
    <xf numFmtId="0" fontId="5" fillId="6" borderId="6" xfId="0" applyFont="1" applyFill="1" applyBorder="1" applyAlignment="1">
      <alignment horizontal="center" wrapText="1"/>
    </xf>
    <xf numFmtId="0" fontId="6" fillId="15" borderId="8" xfId="0" applyFont="1" applyFill="1" applyBorder="1" applyAlignment="1">
      <alignment horizontal="center" vertical="center" wrapText="1"/>
    </xf>
    <xf numFmtId="0" fontId="15" fillId="15" borderId="8" xfId="0" applyFont="1" applyFill="1" applyBorder="1" applyAlignment="1">
      <alignment horizontal="center" vertical="top" wrapText="1"/>
    </xf>
    <xf numFmtId="1" fontId="6" fillId="15" borderId="8" xfId="0" applyNumberFormat="1" applyFont="1" applyFill="1" applyBorder="1" applyAlignment="1">
      <alignment horizontal="center" vertical="center"/>
    </xf>
    <xf numFmtId="2" fontId="6" fillId="15" borderId="8" xfId="0" applyNumberFormat="1" applyFont="1" applyFill="1" applyBorder="1" applyAlignment="1">
      <alignment horizontal="center" vertical="top" wrapText="1"/>
    </xf>
    <xf numFmtId="11" fontId="6" fillId="15" borderId="8" xfId="0" applyNumberFormat="1" applyFont="1" applyFill="1" applyBorder="1" applyAlignment="1">
      <alignment horizontal="center" vertical="top" wrapText="1"/>
    </xf>
    <xf numFmtId="2" fontId="6" fillId="15" borderId="8" xfId="0" applyNumberFormat="1" applyFont="1" applyFill="1" applyBorder="1" applyAlignment="1">
      <alignment horizontal="center"/>
    </xf>
    <xf numFmtId="0" fontId="6" fillId="15" borderId="8" xfId="0" applyFont="1" applyFill="1" applyBorder="1" applyAlignment="1">
      <alignment horizontal="center" vertical="center"/>
    </xf>
    <xf numFmtId="0" fontId="6" fillId="15" borderId="8" xfId="0" applyFont="1" applyFill="1" applyBorder="1" applyAlignment="1">
      <alignment horizontal="left" vertical="center"/>
    </xf>
    <xf numFmtId="11" fontId="6" fillId="15" borderId="8" xfId="0" applyNumberFormat="1" applyFont="1" applyFill="1" applyBorder="1" applyAlignment="1">
      <alignment horizontal="center" vertical="center"/>
    </xf>
    <xf numFmtId="0" fontId="6" fillId="16" borderId="8" xfId="0" applyFont="1" applyFill="1" applyBorder="1" applyAlignment="1">
      <alignment horizontal="center"/>
    </xf>
    <xf numFmtId="11" fontId="6" fillId="15" borderId="8" xfId="0" applyNumberFormat="1" applyFont="1" applyFill="1" applyBorder="1" applyAlignment="1">
      <alignment horizontal="center" vertical="top"/>
    </xf>
    <xf numFmtId="11" fontId="6" fillId="14" borderId="8" xfId="0" applyNumberFormat="1" applyFont="1" applyFill="1" applyBorder="1" applyAlignment="1">
      <alignment horizontal="center" vertical="top"/>
    </xf>
    <xf numFmtId="0" fontId="6" fillId="14" borderId="8" xfId="0" applyFont="1" applyFill="1" applyBorder="1" applyAlignment="1"/>
    <xf numFmtId="165" fontId="6" fillId="15" borderId="8" xfId="0" applyNumberFormat="1" applyFont="1" applyFill="1" applyBorder="1" applyAlignment="1">
      <alignment horizontal="center"/>
    </xf>
    <xf numFmtId="2" fontId="6" fillId="14" borderId="8" xfId="0" applyNumberFormat="1" applyFont="1" applyFill="1" applyBorder="1" applyAlignment="1">
      <alignment horizontal="center"/>
    </xf>
    <xf numFmtId="0" fontId="6" fillId="14" borderId="8" xfId="0" applyFont="1" applyFill="1" applyBorder="1" applyAlignment="1">
      <alignment horizontal="center" vertical="center" wrapText="1"/>
    </xf>
    <xf numFmtId="0" fontId="6" fillId="14" borderId="8" xfId="0" applyFont="1" applyFill="1" applyBorder="1"/>
    <xf numFmtId="0" fontId="6" fillId="15" borderId="0" xfId="0" applyFont="1" applyFill="1" applyBorder="1" applyAlignment="1">
      <alignment horizontal="left"/>
    </xf>
    <xf numFmtId="0" fontId="6" fillId="14" borderId="8" xfId="0" applyFont="1" applyFill="1" applyBorder="1" applyAlignment="1">
      <alignment horizontal="center" vertical="top" wrapText="1"/>
    </xf>
    <xf numFmtId="0" fontId="16" fillId="14" borderId="8" xfId="0" applyFont="1" applyFill="1" applyBorder="1" applyAlignment="1">
      <alignment horizontal="left" vertical="center"/>
    </xf>
    <xf numFmtId="0" fontId="6" fillId="15" borderId="8" xfId="0" applyFont="1" applyFill="1" applyBorder="1"/>
    <xf numFmtId="2" fontId="6" fillId="15" borderId="8" xfId="0" applyNumberFormat="1" applyFont="1" applyFill="1" applyBorder="1"/>
    <xf numFmtId="0" fontId="6" fillId="15" borderId="0" xfId="0" applyFont="1" applyFill="1" applyBorder="1" applyAlignment="1">
      <alignment horizontal="center"/>
    </xf>
    <xf numFmtId="49" fontId="6" fillId="15" borderId="8" xfId="0" applyNumberFormat="1" applyFont="1" applyFill="1" applyBorder="1" applyAlignment="1">
      <alignment horizontal="center"/>
    </xf>
    <xf numFmtId="49" fontId="6" fillId="16" borderId="8" xfId="0" applyNumberFormat="1" applyFont="1" applyFill="1" applyBorder="1" applyAlignment="1">
      <alignment horizontal="center"/>
    </xf>
    <xf numFmtId="20" fontId="6" fillId="14" borderId="8" xfId="0" applyNumberFormat="1" applyFont="1" applyFill="1" applyBorder="1" applyAlignment="1">
      <alignment horizontal="center"/>
    </xf>
    <xf numFmtId="0" fontId="6" fillId="16" borderId="8" xfId="0" applyFont="1" applyFill="1" applyBorder="1" applyAlignment="1">
      <alignment horizontal="center" vertical="center"/>
    </xf>
    <xf numFmtId="0" fontId="6" fillId="15" borderId="8" xfId="0" applyFont="1" applyFill="1" applyBorder="1" applyAlignment="1">
      <alignment horizontal="center" vertical="top"/>
    </xf>
    <xf numFmtId="0" fontId="6" fillId="16" borderId="8" xfId="0" applyFont="1" applyFill="1" applyBorder="1" applyAlignment="1">
      <alignment horizontal="center" vertical="top"/>
    </xf>
    <xf numFmtId="16" fontId="6" fillId="14" borderId="8" xfId="0" applyNumberFormat="1" applyFont="1" applyFill="1" applyBorder="1" applyAlignment="1">
      <alignment horizontal="center"/>
    </xf>
    <xf numFmtId="165" fontId="6" fillId="15" borderId="8" xfId="0" applyNumberFormat="1" applyFont="1" applyFill="1" applyBorder="1" applyAlignment="1">
      <alignment horizontal="center" vertical="center"/>
    </xf>
    <xf numFmtId="0" fontId="6" fillId="14" borderId="8" xfId="0" applyFont="1" applyFill="1" applyBorder="1" applyAlignment="1">
      <alignment horizontal="left" wrapText="1"/>
    </xf>
    <xf numFmtId="166" fontId="6" fillId="15" borderId="8" xfId="0" applyNumberFormat="1" applyFont="1" applyFill="1" applyBorder="1" applyAlignment="1">
      <alignment horizontal="center"/>
    </xf>
    <xf numFmtId="166" fontId="6" fillId="16" borderId="8" xfId="0" applyNumberFormat="1" applyFont="1" applyFill="1" applyBorder="1" applyAlignment="1">
      <alignment horizontal="center"/>
    </xf>
    <xf numFmtId="0" fontId="6" fillId="23" borderId="8" xfId="0" applyFont="1" applyFill="1" applyBorder="1" applyAlignment="1">
      <alignment horizontal="center" vertical="center" wrapText="1"/>
    </xf>
    <xf numFmtId="1" fontId="6" fillId="23" borderId="8" xfId="0" applyNumberFormat="1" applyFont="1" applyFill="1" applyBorder="1" applyAlignment="1">
      <alignment horizontal="center" vertical="center"/>
    </xf>
    <xf numFmtId="11" fontId="6" fillId="23" borderId="8" xfId="0" applyNumberFormat="1" applyFont="1" applyFill="1" applyBorder="1" applyAlignment="1">
      <alignment horizontal="center"/>
    </xf>
    <xf numFmtId="2" fontId="6" fillId="23" borderId="8" xfId="0" applyNumberFormat="1" applyFont="1" applyFill="1" applyBorder="1" applyAlignment="1">
      <alignment horizontal="center"/>
    </xf>
    <xf numFmtId="11" fontId="6" fillId="24" borderId="8" xfId="0" applyNumberFormat="1" applyFont="1" applyFill="1" applyBorder="1" applyAlignment="1">
      <alignment horizontal="center"/>
    </xf>
    <xf numFmtId="11" fontId="6" fillId="23" borderId="8" xfId="0" applyNumberFormat="1" applyFont="1" applyFill="1" applyBorder="1" applyAlignment="1">
      <alignment horizontal="center" vertical="top"/>
    </xf>
    <xf numFmtId="0" fontId="6" fillId="23" borderId="8" xfId="0" applyFont="1" applyFill="1" applyBorder="1" applyAlignment="1"/>
    <xf numFmtId="0" fontId="6" fillId="23" borderId="8" xfId="0" applyFont="1" applyFill="1" applyBorder="1" applyAlignment="1">
      <alignment horizontal="center" vertical="center"/>
    </xf>
    <xf numFmtId="0" fontId="6" fillId="24" borderId="8" xfId="0" applyFont="1" applyFill="1" applyBorder="1" applyAlignment="1">
      <alignment horizontal="center" vertical="center" wrapText="1"/>
    </xf>
    <xf numFmtId="1" fontId="6" fillId="24" borderId="8" xfId="0" applyNumberFormat="1" applyFont="1" applyFill="1" applyBorder="1" applyAlignment="1">
      <alignment horizontal="center" vertical="center"/>
    </xf>
    <xf numFmtId="2" fontId="6" fillId="24" borderId="8" xfId="0" applyNumberFormat="1" applyFont="1" applyFill="1" applyBorder="1" applyAlignment="1">
      <alignment horizontal="center"/>
    </xf>
    <xf numFmtId="165" fontId="6" fillId="24" borderId="8" xfId="0" applyNumberFormat="1" applyFont="1" applyFill="1" applyBorder="1" applyAlignment="1">
      <alignment horizontal="center"/>
    </xf>
    <xf numFmtId="0" fontId="6" fillId="25" borderId="8" xfId="0" applyFont="1" applyFill="1" applyBorder="1" applyAlignment="1">
      <alignment horizontal="center"/>
    </xf>
    <xf numFmtId="0" fontId="6" fillId="24" borderId="8" xfId="0" applyFont="1" applyFill="1" applyBorder="1" applyAlignment="1">
      <alignment horizontal="left" wrapText="1"/>
    </xf>
    <xf numFmtId="0" fontId="16" fillId="23" borderId="8" xfId="0" applyFont="1" applyFill="1" applyBorder="1" applyAlignment="1">
      <alignment horizontal="left" vertical="center"/>
    </xf>
    <xf numFmtId="0" fontId="6" fillId="24" borderId="8" xfId="0" applyFont="1" applyFill="1" applyBorder="1" applyAlignment="1">
      <alignment horizontal="center" vertical="center"/>
    </xf>
    <xf numFmtId="20" fontId="6" fillId="23" borderId="8" xfId="0" applyNumberFormat="1" applyFont="1" applyFill="1" applyBorder="1" applyAlignment="1">
      <alignment horizontal="center"/>
    </xf>
    <xf numFmtId="16" fontId="6" fillId="23" borderId="8" xfId="0" applyNumberFormat="1" applyFont="1" applyFill="1" applyBorder="1" applyAlignment="1">
      <alignment horizontal="center"/>
    </xf>
    <xf numFmtId="0" fontId="6" fillId="23" borderId="8" xfId="0" applyFont="1" applyFill="1" applyBorder="1"/>
    <xf numFmtId="0" fontId="17" fillId="23" borderId="8" xfId="0" applyFont="1" applyFill="1" applyBorder="1" applyAlignment="1"/>
    <xf numFmtId="166" fontId="6" fillId="24" borderId="8" xfId="0" applyNumberFormat="1" applyFont="1" applyFill="1" applyBorder="1" applyAlignment="1">
      <alignment horizontal="center"/>
    </xf>
    <xf numFmtId="165" fontId="6" fillId="23" borderId="8" xfId="0" applyNumberFormat="1" applyFont="1" applyFill="1" applyBorder="1" applyAlignment="1">
      <alignment horizontal="center"/>
    </xf>
    <xf numFmtId="49" fontId="6" fillId="23" borderId="8" xfId="0" applyNumberFormat="1" applyFont="1" applyFill="1" applyBorder="1" applyAlignment="1">
      <alignment horizontal="center"/>
    </xf>
    <xf numFmtId="0" fontId="6" fillId="24" borderId="8" xfId="0" applyFont="1" applyFill="1" applyBorder="1"/>
    <xf numFmtId="11" fontId="6" fillId="24" borderId="8" xfId="0" applyNumberFormat="1" applyFont="1" applyFill="1" applyBorder="1" applyAlignment="1">
      <alignment horizontal="left"/>
    </xf>
    <xf numFmtId="0" fontId="6" fillId="23" borderId="0" xfId="0" applyFont="1" applyFill="1" applyBorder="1" applyAlignment="1">
      <alignment horizontal="left"/>
    </xf>
    <xf numFmtId="2" fontId="6" fillId="23" borderId="8" xfId="0" applyNumberFormat="1" applyFont="1" applyFill="1" applyBorder="1"/>
    <xf numFmtId="0" fontId="6" fillId="18" borderId="8" xfId="0" applyFont="1" applyFill="1" applyBorder="1" applyAlignment="1">
      <alignment horizontal="center" vertical="center" wrapText="1"/>
    </xf>
    <xf numFmtId="1" fontId="6" fillId="18" borderId="8" xfId="0" applyNumberFormat="1" applyFont="1" applyFill="1" applyBorder="1" applyAlignment="1">
      <alignment horizontal="center" vertical="center"/>
    </xf>
    <xf numFmtId="0" fontId="6" fillId="18" borderId="8" xfId="0" applyFont="1" applyFill="1" applyBorder="1" applyAlignment="1">
      <alignment horizontal="left"/>
    </xf>
    <xf numFmtId="2" fontId="6" fillId="18" borderId="8" xfId="0" applyNumberFormat="1" applyFont="1" applyFill="1" applyBorder="1" applyAlignment="1">
      <alignment horizontal="center"/>
    </xf>
    <xf numFmtId="0" fontId="6" fillId="18" borderId="8" xfId="0" applyFont="1" applyFill="1" applyBorder="1" applyAlignment="1">
      <alignment horizontal="center" vertical="center"/>
    </xf>
    <xf numFmtId="0" fontId="6" fillId="19" borderId="8" xfId="0" applyFont="1" applyFill="1" applyBorder="1" applyAlignment="1">
      <alignment horizontal="center"/>
    </xf>
    <xf numFmtId="11" fontId="6" fillId="17" borderId="8" xfId="0" applyNumberFormat="1" applyFont="1" applyFill="1" applyBorder="1" applyAlignment="1">
      <alignment horizontal="center" vertical="top"/>
    </xf>
    <xf numFmtId="0" fontId="6" fillId="17" borderId="8" xfId="0" applyFont="1" applyFill="1" applyBorder="1" applyAlignment="1"/>
    <xf numFmtId="0" fontId="6" fillId="17" borderId="8" xfId="0" applyFont="1" applyFill="1" applyBorder="1" applyAlignment="1">
      <alignment horizontal="center" vertical="center" wrapText="1"/>
    </xf>
    <xf numFmtId="1" fontId="6" fillId="17" borderId="8" xfId="0" applyNumberFormat="1" applyFont="1" applyFill="1" applyBorder="1" applyAlignment="1">
      <alignment horizontal="center" vertical="center"/>
    </xf>
    <xf numFmtId="11" fontId="6" fillId="17" borderId="8" xfId="0" applyNumberFormat="1" applyFont="1" applyFill="1" applyBorder="1" applyAlignment="1">
      <alignment horizontal="center"/>
    </xf>
    <xf numFmtId="2" fontId="6" fillId="17" borderId="8" xfId="0" applyNumberFormat="1" applyFont="1" applyFill="1" applyBorder="1" applyAlignment="1">
      <alignment horizontal="center"/>
    </xf>
    <xf numFmtId="0" fontId="6" fillId="17" borderId="8" xfId="0" applyFont="1" applyFill="1" applyBorder="1" applyAlignment="1">
      <alignment horizontal="center" vertical="center"/>
    </xf>
    <xf numFmtId="0" fontId="6" fillId="17" borderId="8" xfId="0" applyFont="1" applyFill="1" applyBorder="1" applyAlignment="1">
      <alignment horizontal="left" wrapText="1"/>
    </xf>
    <xf numFmtId="0" fontId="6" fillId="11" borderId="8" xfId="0" applyFont="1" applyFill="1" applyBorder="1" applyAlignment="1">
      <alignment horizontal="center" vertical="center" wrapText="1"/>
    </xf>
    <xf numFmtId="1" fontId="6" fillId="11" borderId="8" xfId="0" applyNumberFormat="1" applyFont="1" applyFill="1" applyBorder="1" applyAlignment="1">
      <alignment horizontal="center" vertical="center"/>
    </xf>
    <xf numFmtId="2" fontId="6" fillId="11" borderId="8" xfId="0" applyNumberFormat="1" applyFont="1" applyFill="1" applyBorder="1" applyAlignment="1">
      <alignment horizontal="center"/>
    </xf>
    <xf numFmtId="0" fontId="6" fillId="11" borderId="8" xfId="0" applyFont="1" applyFill="1" applyBorder="1" applyAlignment="1">
      <alignment horizontal="center" vertical="center"/>
    </xf>
    <xf numFmtId="0" fontId="6" fillId="13" borderId="8" xfId="0" applyFont="1" applyFill="1" applyBorder="1" applyAlignment="1">
      <alignment horizontal="center"/>
    </xf>
    <xf numFmtId="11" fontId="6" fillId="12" borderId="8" xfId="0" applyNumberFormat="1" applyFont="1" applyFill="1" applyBorder="1" applyAlignment="1">
      <alignment horizontal="center" vertical="top"/>
    </xf>
    <xf numFmtId="0" fontId="6" fillId="12" borderId="8" xfId="0" applyFont="1" applyFill="1" applyBorder="1" applyAlignment="1">
      <alignment horizontal="center"/>
    </xf>
    <xf numFmtId="0" fontId="6" fillId="12" borderId="8" xfId="0" applyFont="1" applyFill="1" applyBorder="1" applyAlignment="1"/>
    <xf numFmtId="0" fontId="6" fillId="11" borderId="0" xfId="0" applyFont="1" applyFill="1" applyBorder="1" applyAlignment="1">
      <alignment horizontal="left"/>
    </xf>
    <xf numFmtId="165" fontId="6" fillId="11" borderId="8" xfId="0" applyNumberFormat="1" applyFont="1" applyFill="1" applyBorder="1" applyAlignment="1">
      <alignment horizontal="center"/>
    </xf>
    <xf numFmtId="49" fontId="6" fillId="11" borderId="8" xfId="0" applyNumberFormat="1" applyFont="1" applyFill="1" applyBorder="1" applyAlignment="1">
      <alignment horizontal="center"/>
    </xf>
    <xf numFmtId="49" fontId="6" fillId="13" borderId="8" xfId="0" applyNumberFormat="1" applyFont="1" applyFill="1" applyBorder="1" applyAlignment="1">
      <alignment horizontal="center"/>
    </xf>
    <xf numFmtId="0" fontId="6" fillId="11" borderId="8" xfId="0" applyFont="1" applyFill="1" applyBorder="1"/>
    <xf numFmtId="2" fontId="6" fillId="11" borderId="8" xfId="0" applyNumberFormat="1" applyFont="1" applyFill="1" applyBorder="1" applyAlignment="1">
      <alignment horizontal="left"/>
    </xf>
    <xf numFmtId="166" fontId="6" fillId="11" borderId="8" xfId="0" applyNumberFormat="1" applyFont="1" applyFill="1" applyBorder="1" applyAlignment="1">
      <alignment horizontal="center"/>
    </xf>
    <xf numFmtId="0" fontId="16" fillId="12" borderId="8" xfId="0" applyFont="1" applyFill="1" applyBorder="1" applyAlignment="1">
      <alignment horizontal="left" vertical="center"/>
    </xf>
    <xf numFmtId="2" fontId="6" fillId="11" borderId="8" xfId="0" applyNumberFormat="1" applyFont="1" applyFill="1" applyBorder="1"/>
    <xf numFmtId="0" fontId="6" fillId="9" borderId="8" xfId="0" applyFont="1" applyFill="1" applyBorder="1" applyAlignment="1">
      <alignment horizontal="center" vertical="center" wrapText="1"/>
    </xf>
    <xf numFmtId="1" fontId="6" fillId="9" borderId="8" xfId="0" applyNumberFormat="1" applyFont="1" applyFill="1" applyBorder="1" applyAlignment="1">
      <alignment horizontal="center" vertical="center"/>
    </xf>
    <xf numFmtId="11" fontId="6" fillId="9" borderId="8" xfId="0" applyNumberFormat="1" applyFont="1" applyFill="1" applyBorder="1" applyAlignment="1">
      <alignment horizontal="center"/>
    </xf>
    <xf numFmtId="2" fontId="6" fillId="9" borderId="8" xfId="0" applyNumberFormat="1" applyFont="1" applyFill="1" applyBorder="1" applyAlignment="1">
      <alignment horizontal="center"/>
    </xf>
    <xf numFmtId="0" fontId="6" fillId="9" borderId="8" xfId="0" applyFont="1" applyFill="1" applyBorder="1" applyAlignment="1">
      <alignment horizontal="center" vertical="center"/>
    </xf>
    <xf numFmtId="0" fontId="6" fillId="10" borderId="8" xfId="0" applyFont="1" applyFill="1" applyBorder="1" applyAlignment="1">
      <alignment horizontal="center"/>
    </xf>
    <xf numFmtId="11" fontId="6" fillId="8" borderId="8" xfId="0" applyNumberFormat="1" applyFont="1" applyFill="1" applyBorder="1" applyAlignment="1">
      <alignment horizontal="center" vertical="top"/>
    </xf>
    <xf numFmtId="11" fontId="6" fillId="9" borderId="8" xfId="0" applyNumberFormat="1" applyFont="1" applyFill="1" applyBorder="1" applyAlignment="1">
      <alignment horizontal="center" vertical="center"/>
    </xf>
    <xf numFmtId="0" fontId="6" fillId="8" borderId="8" xfId="0" applyFont="1" applyFill="1" applyBorder="1" applyAlignment="1">
      <alignment horizontal="center" vertical="top" wrapText="1"/>
    </xf>
    <xf numFmtId="11" fontId="6" fillId="8" borderId="8" xfId="0" applyNumberFormat="1" applyFont="1" applyFill="1" applyBorder="1" applyAlignment="1">
      <alignment horizontal="center"/>
    </xf>
    <xf numFmtId="2" fontId="6" fillId="8" borderId="8" xfId="0" applyNumberFormat="1" applyFont="1" applyFill="1" applyBorder="1" applyAlignment="1">
      <alignment horizontal="center"/>
    </xf>
    <xf numFmtId="0" fontId="6" fillId="8" borderId="8" xfId="0" applyFont="1" applyFill="1" applyBorder="1" applyAlignment="1">
      <alignment horizontal="center" vertical="center" wrapText="1"/>
    </xf>
    <xf numFmtId="20" fontId="6" fillId="8" borderId="8" xfId="0" applyNumberFormat="1" applyFont="1" applyFill="1" applyBorder="1" applyAlignment="1">
      <alignment horizontal="center"/>
    </xf>
    <xf numFmtId="0" fontId="6" fillId="8" borderId="8" xfId="0" applyFont="1" applyFill="1" applyBorder="1"/>
    <xf numFmtId="0" fontId="6" fillId="8" borderId="8" xfId="0" applyFont="1" applyFill="1" applyBorder="1" applyAlignment="1">
      <alignment horizontal="left" vertical="center"/>
    </xf>
    <xf numFmtId="11" fontId="6" fillId="8" borderId="8" xfId="0" applyNumberFormat="1" applyFont="1" applyFill="1" applyBorder="1" applyAlignment="1">
      <alignment horizontal="center" vertical="center"/>
    </xf>
    <xf numFmtId="2" fontId="6" fillId="8" borderId="8" xfId="0" applyNumberFormat="1" applyFont="1" applyFill="1" applyBorder="1" applyAlignment="1">
      <alignment horizontal="center" vertical="center"/>
    </xf>
    <xf numFmtId="0" fontId="6" fillId="8" borderId="8" xfId="0" applyFont="1" applyFill="1" applyBorder="1" applyAlignment="1">
      <alignment vertical="center"/>
    </xf>
    <xf numFmtId="0" fontId="6" fillId="10" borderId="8" xfId="0" applyFont="1" applyFill="1" applyBorder="1" applyAlignment="1">
      <alignment horizontal="center" vertical="center"/>
    </xf>
    <xf numFmtId="4" fontId="6" fillId="9" borderId="8" xfId="0" applyNumberFormat="1" applyFont="1" applyFill="1" applyBorder="1" applyAlignment="1">
      <alignment horizontal="center" vertical="center"/>
    </xf>
    <xf numFmtId="167" fontId="6" fillId="9" borderId="8" xfId="0" applyNumberFormat="1" applyFont="1" applyFill="1" applyBorder="1" applyAlignment="1">
      <alignment horizontal="center"/>
    </xf>
    <xf numFmtId="49" fontId="6" fillId="8" borderId="8" xfId="0" applyNumberFormat="1" applyFont="1" applyFill="1" applyBorder="1" applyAlignment="1">
      <alignment horizontal="center"/>
    </xf>
    <xf numFmtId="11" fontId="6" fillId="9" borderId="8" xfId="0" applyNumberFormat="1" applyFont="1" applyFill="1" applyBorder="1" applyAlignment="1">
      <alignment horizontal="center" vertical="top" wrapText="1"/>
    </xf>
    <xf numFmtId="169" fontId="6" fillId="8" borderId="8" xfId="0" applyNumberFormat="1" applyFont="1" applyFill="1" applyBorder="1" applyAlignment="1">
      <alignment horizontal="center"/>
    </xf>
    <xf numFmtId="0" fontId="16" fillId="8" borderId="8" xfId="0" applyFont="1" applyFill="1" applyBorder="1" applyAlignment="1">
      <alignment horizontal="left" vertical="center"/>
    </xf>
    <xf numFmtId="3" fontId="6" fillId="9" borderId="8" xfId="0" applyNumberFormat="1" applyFont="1" applyFill="1" applyBorder="1" applyAlignment="1">
      <alignment horizontal="center"/>
    </xf>
    <xf numFmtId="3" fontId="6" fillId="10" borderId="8" xfId="0" applyNumberFormat="1" applyFont="1" applyFill="1" applyBorder="1" applyAlignment="1">
      <alignment horizontal="center"/>
    </xf>
    <xf numFmtId="16" fontId="6" fillId="8" borderId="8" xfId="0" applyNumberFormat="1" applyFont="1" applyFill="1" applyBorder="1" applyAlignment="1">
      <alignment horizontal="center"/>
    </xf>
    <xf numFmtId="168" fontId="6" fillId="8" borderId="8" xfId="0" applyNumberFormat="1" applyFont="1" applyFill="1" applyBorder="1" applyAlignment="1">
      <alignment horizontal="center"/>
    </xf>
    <xf numFmtId="2" fontId="6" fillId="9" borderId="8" xfId="0" applyNumberFormat="1" applyFont="1" applyFill="1" applyBorder="1" applyAlignment="1">
      <alignment horizontal="left"/>
    </xf>
    <xf numFmtId="167" fontId="6" fillId="8" borderId="8" xfId="0" applyNumberFormat="1" applyFont="1" applyFill="1" applyBorder="1" applyAlignment="1">
      <alignment horizontal="center"/>
    </xf>
    <xf numFmtId="0" fontId="6" fillId="9" borderId="8" xfId="0" applyFont="1" applyFill="1" applyBorder="1" applyAlignment="1">
      <alignment horizontal="left" vertical="center" wrapText="1"/>
    </xf>
    <xf numFmtId="11" fontId="6" fillId="8" borderId="8" xfId="0" applyNumberFormat="1" applyFont="1" applyFill="1" applyBorder="1" applyAlignment="1">
      <alignment horizontal="left"/>
    </xf>
    <xf numFmtId="0" fontId="6" fillId="8" borderId="8" xfId="0" applyFont="1" applyFill="1" applyBorder="1" applyAlignment="1">
      <alignment horizontal="left" vertical="top" wrapText="1"/>
    </xf>
    <xf numFmtId="0" fontId="17" fillId="8" borderId="8" xfId="0" applyFont="1" applyFill="1" applyBorder="1" applyAlignment="1"/>
    <xf numFmtId="0" fontId="6" fillId="9" borderId="8" xfId="0" applyFont="1" applyFill="1" applyBorder="1"/>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left" vertical="center"/>
    </xf>
    <xf numFmtId="0" fontId="3" fillId="9" borderId="8" xfId="0" applyFont="1" applyFill="1" applyBorder="1" applyAlignment="1">
      <alignment horizontal="left" wrapText="1"/>
    </xf>
    <xf numFmtId="11" fontId="3" fillId="9" borderId="8" xfId="0" applyNumberFormat="1" applyFont="1" applyFill="1" applyBorder="1" applyAlignment="1">
      <alignment horizontal="center"/>
    </xf>
    <xf numFmtId="0" fontId="6" fillId="21" borderId="8" xfId="0" applyFont="1" applyFill="1" applyBorder="1" applyAlignment="1">
      <alignment horizontal="center" vertical="center" wrapText="1"/>
    </xf>
    <xf numFmtId="1" fontId="6" fillId="21" borderId="8" xfId="0" applyNumberFormat="1" applyFont="1" applyFill="1" applyBorder="1" applyAlignment="1">
      <alignment horizontal="center" vertical="center"/>
    </xf>
    <xf numFmtId="0" fontId="6" fillId="21" borderId="8" xfId="0" applyFont="1" applyFill="1" applyBorder="1" applyAlignment="1">
      <alignment horizontal="left"/>
    </xf>
    <xf numFmtId="0" fontId="6" fillId="21" borderId="8" xfId="0" applyFont="1" applyFill="1" applyBorder="1" applyAlignment="1">
      <alignment horizontal="left" wrapText="1"/>
    </xf>
    <xf numFmtId="0" fontId="6" fillId="20" borderId="8" xfId="0" applyFont="1" applyFill="1" applyBorder="1" applyAlignment="1">
      <alignment horizontal="left"/>
    </xf>
    <xf numFmtId="11" fontId="6" fillId="21" borderId="8" xfId="0" applyNumberFormat="1" applyFont="1" applyFill="1" applyBorder="1" applyAlignment="1">
      <alignment horizontal="center" vertical="top" wrapText="1"/>
    </xf>
    <xf numFmtId="2" fontId="6" fillId="21" borderId="8" xfId="0" applyNumberFormat="1" applyFont="1" applyFill="1" applyBorder="1" applyAlignment="1">
      <alignment horizontal="center" vertical="top" wrapText="1"/>
    </xf>
    <xf numFmtId="0" fontId="6" fillId="21" borderId="8" xfId="0" applyFont="1" applyFill="1" applyBorder="1" applyAlignment="1">
      <alignment horizontal="center" vertical="center"/>
    </xf>
    <xf numFmtId="0" fontId="6" fillId="21" borderId="8" xfId="0" applyFont="1" applyFill="1" applyBorder="1" applyAlignment="1">
      <alignment horizontal="left" vertical="center"/>
    </xf>
    <xf numFmtId="11" fontId="6" fillId="21" borderId="8" xfId="0" applyNumberFormat="1" applyFont="1" applyFill="1" applyBorder="1" applyAlignment="1">
      <alignment horizontal="center" vertical="center"/>
    </xf>
    <xf numFmtId="11" fontId="6" fillId="21" borderId="8" xfId="0" applyNumberFormat="1" applyFont="1" applyFill="1" applyBorder="1" applyAlignment="1">
      <alignment horizontal="center"/>
    </xf>
    <xf numFmtId="0" fontId="6" fillId="22" borderId="8" xfId="0" applyFont="1" applyFill="1" applyBorder="1" applyAlignment="1">
      <alignment horizontal="center"/>
    </xf>
    <xf numFmtId="11" fontId="6" fillId="20" borderId="8" xfId="0" applyNumberFormat="1" applyFont="1" applyFill="1" applyBorder="1" applyAlignment="1">
      <alignment horizontal="center" vertical="top"/>
    </xf>
    <xf numFmtId="0" fontId="6" fillId="20" borderId="8" xfId="0" applyFont="1" applyFill="1" applyBorder="1" applyAlignment="1"/>
    <xf numFmtId="0" fontId="6" fillId="20" borderId="0" xfId="0" applyFont="1" applyFill="1" applyAlignment="1"/>
    <xf numFmtId="2" fontId="6" fillId="21" borderId="8" xfId="0" applyNumberFormat="1" applyFont="1" applyFill="1" applyBorder="1" applyAlignment="1">
      <alignment horizontal="center"/>
    </xf>
    <xf numFmtId="0" fontId="6" fillId="20" borderId="8" xfId="0" applyFont="1" applyFill="1" applyBorder="1" applyAlignment="1">
      <alignment horizontal="center" vertical="center" wrapText="1"/>
    </xf>
    <xf numFmtId="1" fontId="6" fillId="20" borderId="8" xfId="0" applyNumberFormat="1" applyFont="1" applyFill="1" applyBorder="1" applyAlignment="1">
      <alignment horizontal="center" vertical="center"/>
    </xf>
    <xf numFmtId="11" fontId="6" fillId="20" borderId="8" xfId="0" applyNumberFormat="1" applyFont="1" applyFill="1" applyBorder="1" applyAlignment="1">
      <alignment horizontal="center"/>
    </xf>
    <xf numFmtId="2" fontId="6" fillId="20" borderId="8" xfId="0" applyNumberFormat="1" applyFont="1" applyFill="1" applyBorder="1" applyAlignment="1">
      <alignment horizontal="center"/>
    </xf>
    <xf numFmtId="0" fontId="6" fillId="20" borderId="8" xfId="0" applyFont="1" applyFill="1" applyBorder="1" applyAlignment="1">
      <alignment horizontal="center" vertical="center"/>
    </xf>
    <xf numFmtId="0" fontId="6" fillId="21" borderId="8" xfId="0" applyFont="1" applyFill="1" applyBorder="1"/>
    <xf numFmtId="11" fontId="6" fillId="21" borderId="8" xfId="0" applyNumberFormat="1" applyFont="1" applyFill="1" applyBorder="1" applyAlignment="1">
      <alignment horizontal="left"/>
    </xf>
    <xf numFmtId="167" fontId="6" fillId="21" borderId="8" xfId="0" applyNumberFormat="1" applyFont="1" applyFill="1" applyBorder="1" applyAlignment="1">
      <alignment horizontal="center"/>
    </xf>
    <xf numFmtId="0" fontId="6" fillId="20" borderId="8" xfId="0" applyFont="1" applyFill="1" applyBorder="1"/>
    <xf numFmtId="20" fontId="6" fillId="20" borderId="8" xfId="0" applyNumberFormat="1" applyFont="1" applyFill="1" applyBorder="1" applyAlignment="1">
      <alignment horizontal="center"/>
    </xf>
    <xf numFmtId="0" fontId="6" fillId="0" borderId="0" xfId="0" applyFont="1" applyAlignment="1">
      <alignment horizontal="left"/>
    </xf>
    <xf numFmtId="0" fontId="6" fillId="0" borderId="0" xfId="0" applyFont="1" applyAlignment="1">
      <alignment horizontal="center"/>
    </xf>
    <xf numFmtId="0" fontId="6" fillId="14" borderId="0" xfId="0" applyFont="1" applyFill="1" applyAlignment="1">
      <alignment vertical="center"/>
    </xf>
    <xf numFmtId="0" fontId="6" fillId="14" borderId="0" xfId="0" applyFont="1" applyFill="1" applyAlignment="1"/>
    <xf numFmtId="0" fontId="6" fillId="12" borderId="0" xfId="0" applyFont="1" applyFill="1" applyAlignment="1">
      <alignment vertical="center"/>
    </xf>
    <xf numFmtId="0" fontId="6" fillId="12" borderId="0" xfId="0" applyFont="1" applyFill="1" applyAlignment="1"/>
    <xf numFmtId="0" fontId="6" fillId="8" borderId="0" xfId="0" applyFont="1" applyFill="1" applyAlignment="1">
      <alignment vertical="center"/>
    </xf>
    <xf numFmtId="0" fontId="6" fillId="8" borderId="0" xfId="0" applyFont="1" applyFill="1" applyAlignment="1"/>
    <xf numFmtId="0" fontId="6" fillId="5" borderId="0" xfId="0" applyFont="1" applyFill="1" applyAlignment="1">
      <alignment vertical="center"/>
    </xf>
    <xf numFmtId="0" fontId="6" fillId="5" borderId="0" xfId="0" applyFont="1" applyFill="1" applyAlignment="1"/>
    <xf numFmtId="0" fontId="6" fillId="17" borderId="0" xfId="0" applyFont="1" applyFill="1" applyAlignment="1">
      <alignment vertical="center"/>
    </xf>
    <xf numFmtId="0" fontId="6" fillId="17" borderId="0" xfId="0" applyFont="1" applyFill="1" applyAlignment="1"/>
    <xf numFmtId="0" fontId="6" fillId="20" borderId="0" xfId="0" applyFont="1" applyFill="1" applyAlignment="1">
      <alignment vertical="center"/>
    </xf>
    <xf numFmtId="49" fontId="6" fillId="14" borderId="8" xfId="0" applyNumberFormat="1" applyFont="1" applyFill="1" applyBorder="1" applyAlignment="1">
      <alignment horizontal="center"/>
    </xf>
    <xf numFmtId="0" fontId="6" fillId="0" borderId="0" xfId="0" applyFont="1" applyFill="1"/>
    <xf numFmtId="0" fontId="3" fillId="0" borderId="0" xfId="0" applyFont="1" applyFill="1" applyBorder="1" applyAlignment="1">
      <alignment horizontal="left" vertical="center"/>
    </xf>
    <xf numFmtId="11" fontId="6" fillId="0" borderId="0" xfId="0" applyNumberFormat="1" applyFont="1" applyAlignment="1"/>
    <xf numFmtId="0" fontId="6" fillId="0" borderId="0" xfId="0" applyFont="1" applyFill="1" applyBorder="1" applyAlignment="1"/>
    <xf numFmtId="1" fontId="6" fillId="14" borderId="8" xfId="0" applyNumberFormat="1" applyFont="1" applyFill="1" applyBorder="1" applyAlignment="1">
      <alignment horizontal="center"/>
    </xf>
    <xf numFmtId="0" fontId="6" fillId="28" borderId="8" xfId="0" applyFont="1" applyFill="1" applyBorder="1" applyAlignment="1">
      <alignment horizontal="center" vertical="center" wrapText="1"/>
    </xf>
    <xf numFmtId="11" fontId="6" fillId="12" borderId="8" xfId="0" applyNumberFormat="1" applyFont="1" applyFill="1" applyBorder="1" applyAlignment="1">
      <alignment horizontal="center"/>
    </xf>
    <xf numFmtId="1" fontId="6" fillId="23" borderId="8" xfId="0" applyNumberFormat="1" applyFont="1" applyFill="1" applyBorder="1" applyAlignment="1">
      <alignment horizontal="center"/>
    </xf>
    <xf numFmtId="1" fontId="6" fillId="8" borderId="8" xfId="0" applyNumberFormat="1" applyFont="1" applyFill="1" applyBorder="1" applyAlignment="1">
      <alignment horizontal="center"/>
    </xf>
    <xf numFmtId="164" fontId="6" fillId="14" borderId="8" xfId="0" applyNumberFormat="1" applyFont="1" applyFill="1" applyBorder="1" applyAlignment="1">
      <alignment horizontal="center"/>
    </xf>
    <xf numFmtId="164" fontId="6" fillId="23" borderId="8" xfId="0" applyNumberFormat="1" applyFont="1" applyFill="1" applyBorder="1" applyAlignment="1">
      <alignment horizontal="center"/>
    </xf>
    <xf numFmtId="164" fontId="6" fillId="17" borderId="8" xfId="0" applyNumberFormat="1" applyFont="1" applyFill="1" applyBorder="1" applyAlignment="1">
      <alignment horizontal="center"/>
    </xf>
    <xf numFmtId="1" fontId="6" fillId="17" borderId="8" xfId="0" applyNumberFormat="1" applyFont="1" applyFill="1" applyBorder="1" applyAlignment="1">
      <alignment horizontal="center"/>
    </xf>
    <xf numFmtId="164" fontId="6" fillId="12" borderId="8" xfId="0" applyNumberFormat="1" applyFont="1" applyFill="1" applyBorder="1" applyAlignment="1">
      <alignment horizontal="center"/>
    </xf>
    <xf numFmtId="1" fontId="6" fillId="12" borderId="8" xfId="0" applyNumberFormat="1" applyFont="1" applyFill="1" applyBorder="1" applyAlignment="1">
      <alignment horizontal="center"/>
    </xf>
    <xf numFmtId="164" fontId="6" fillId="8" borderId="8" xfId="0" applyNumberFormat="1" applyFont="1" applyFill="1" applyBorder="1" applyAlignment="1">
      <alignment horizontal="center"/>
    </xf>
    <xf numFmtId="164" fontId="6" fillId="20" borderId="8" xfId="0" applyNumberFormat="1" applyFont="1" applyFill="1" applyBorder="1" applyAlignment="1">
      <alignment horizontal="center"/>
    </xf>
    <xf numFmtId="1" fontId="6" fillId="20" borderId="8" xfId="0" applyNumberFormat="1" applyFont="1" applyFill="1" applyBorder="1" applyAlignment="1">
      <alignment horizontal="center"/>
    </xf>
    <xf numFmtId="0" fontId="12" fillId="15" borderId="8" xfId="0" applyFont="1" applyFill="1" applyBorder="1" applyAlignment="1">
      <alignment horizontal="center"/>
    </xf>
    <xf numFmtId="2" fontId="12" fillId="15" borderId="8" xfId="0" applyNumberFormat="1" applyFont="1" applyFill="1" applyBorder="1" applyAlignment="1">
      <alignment horizontal="center"/>
    </xf>
    <xf numFmtId="4" fontId="12" fillId="14" borderId="8" xfId="0" applyNumberFormat="1" applyFont="1" applyFill="1" applyBorder="1" applyAlignment="1">
      <alignment horizontal="center"/>
    </xf>
    <xf numFmtId="4" fontId="12" fillId="15" borderId="8" xfId="0" applyNumberFormat="1" applyFont="1" applyFill="1" applyBorder="1" applyAlignment="1">
      <alignment horizontal="center"/>
    </xf>
    <xf numFmtId="49" fontId="6" fillId="20" borderId="8" xfId="0" applyNumberFormat="1" applyFont="1" applyFill="1" applyBorder="1" applyAlignment="1">
      <alignment horizontal="center"/>
    </xf>
    <xf numFmtId="0" fontId="5" fillId="26" borderId="1" xfId="0" applyFont="1" applyFill="1" applyBorder="1" applyAlignment="1">
      <alignment horizontal="center" vertical="top" wrapText="1"/>
    </xf>
    <xf numFmtId="0" fontId="5" fillId="30" borderId="1" xfId="0" applyFont="1" applyFill="1" applyBorder="1" applyAlignment="1">
      <alignment horizontal="center" vertical="center" wrapText="1"/>
    </xf>
    <xf numFmtId="0" fontId="5" fillId="29" borderId="0" xfId="0" applyFont="1" applyFill="1" applyAlignment="1"/>
    <xf numFmtId="0" fontId="6" fillId="29" borderId="0" xfId="0" applyFont="1" applyFill="1" applyAlignment="1"/>
    <xf numFmtId="2" fontId="6" fillId="15" borderId="8" xfId="0" applyNumberFormat="1" applyFont="1" applyFill="1" applyBorder="1" applyAlignment="1">
      <alignment horizontal="center" vertical="center" wrapText="1"/>
    </xf>
    <xf numFmtId="2" fontId="6" fillId="21" borderId="8" xfId="0" applyNumberFormat="1" applyFont="1" applyFill="1" applyBorder="1" applyAlignment="1">
      <alignment horizontal="left"/>
    </xf>
    <xf numFmtId="0" fontId="6" fillId="20" borderId="0" xfId="0" applyFont="1" applyFill="1" applyBorder="1" applyAlignment="1">
      <alignment horizontal="left"/>
    </xf>
    <xf numFmtId="2" fontId="6" fillId="21" borderId="8" xfId="0" applyNumberFormat="1" applyFont="1" applyFill="1" applyBorder="1" applyAlignment="1">
      <alignment horizontal="center" vertical="center" wrapText="1"/>
    </xf>
    <xf numFmtId="0" fontId="6" fillId="0" borderId="0" xfId="0" applyFont="1" applyFill="1" applyBorder="1" applyAlignment="1">
      <alignment horizontal="center" vertical="center" wrapText="1"/>
    </xf>
    <xf numFmtId="0" fontId="6" fillId="0" borderId="0" xfId="0" applyFont="1" applyFill="1" applyBorder="1" applyAlignment="1">
      <alignment horizontal="left" vertical="top" wrapText="1"/>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center"/>
    </xf>
    <xf numFmtId="0" fontId="6" fillId="0" borderId="0" xfId="0" applyFont="1" applyFill="1" applyBorder="1" applyAlignment="1">
      <alignment horizontal="left"/>
    </xf>
    <xf numFmtId="2" fontId="6" fillId="0" borderId="0" xfId="0" applyNumberFormat="1" applyFont="1" applyFill="1" applyBorder="1" applyAlignment="1">
      <alignment horizontal="left"/>
    </xf>
    <xf numFmtId="0" fontId="6" fillId="0" borderId="0" xfId="0" applyFont="1" applyFill="1" applyBorder="1" applyAlignment="1">
      <alignment horizontal="center"/>
    </xf>
    <xf numFmtId="11" fontId="6" fillId="0" borderId="0" xfId="0" applyNumberFormat="1" applyFont="1" applyFill="1" applyBorder="1" applyAlignment="1">
      <alignment horizontal="center"/>
    </xf>
    <xf numFmtId="2" fontId="6" fillId="0" borderId="0" xfId="0" applyNumberFormat="1" applyFont="1" applyFill="1" applyBorder="1" applyAlignment="1">
      <alignment horizontal="center"/>
    </xf>
    <xf numFmtId="4" fontId="6" fillId="0" borderId="0" xfId="0" applyNumberFormat="1" applyFont="1" applyFill="1" applyBorder="1" applyAlignment="1">
      <alignment horizontal="center"/>
    </xf>
    <xf numFmtId="11" fontId="6" fillId="0" borderId="0" xfId="0" applyNumberFormat="1" applyFont="1" applyFill="1" applyBorder="1" applyAlignment="1">
      <alignment horizontal="center" vertical="top" wrapText="1"/>
    </xf>
    <xf numFmtId="2" fontId="6" fillId="0" borderId="0" xfId="0" applyNumberFormat="1" applyFont="1" applyFill="1" applyBorder="1" applyAlignment="1">
      <alignment horizontal="center" vertical="top" wrapText="1"/>
    </xf>
    <xf numFmtId="0" fontId="12" fillId="0" borderId="0" xfId="0" applyFont="1" applyFill="1" applyBorder="1" applyAlignment="1">
      <alignment horizontal="center" vertical="center"/>
    </xf>
    <xf numFmtId="11" fontId="6" fillId="0" borderId="0" xfId="0" applyNumberFormat="1" applyFont="1" applyFill="1" applyBorder="1" applyAlignment="1">
      <alignment horizontal="center" vertical="top"/>
    </xf>
    <xf numFmtId="2" fontId="6" fillId="0" borderId="0" xfId="0" applyNumberFormat="1" applyFont="1" applyFill="1" applyBorder="1" applyAlignment="1">
      <alignment horizontal="center" vertical="center" wrapText="1"/>
    </xf>
    <xf numFmtId="1" fontId="6" fillId="0" borderId="0" xfId="0" applyNumberFormat="1" applyFont="1" applyFill="1" applyBorder="1" applyAlignment="1">
      <alignment horizontal="center"/>
    </xf>
    <xf numFmtId="164" fontId="6" fillId="0" borderId="0" xfId="0" applyNumberFormat="1" applyFont="1" applyFill="1" applyBorder="1" applyAlignment="1">
      <alignment horizontal="center"/>
    </xf>
    <xf numFmtId="165" fontId="6" fillId="21" borderId="8" xfId="0" applyNumberFormat="1" applyFont="1" applyFill="1" applyBorder="1" applyAlignment="1">
      <alignment horizontal="center"/>
    </xf>
    <xf numFmtId="0" fontId="6" fillId="6" borderId="3" xfId="0" applyFont="1" applyFill="1" applyBorder="1" applyAlignment="1"/>
    <xf numFmtId="0" fontId="6" fillId="6" borderId="4" xfId="0" applyFont="1" applyFill="1" applyBorder="1" applyAlignment="1"/>
    <xf numFmtId="0" fontId="5" fillId="26" borderId="5" xfId="0" applyFont="1" applyFill="1" applyBorder="1" applyAlignment="1">
      <alignment horizontal="center" vertical="top" wrapText="1"/>
    </xf>
    <xf numFmtId="0" fontId="5" fillId="26" borderId="2" xfId="0" applyFont="1" applyFill="1" applyBorder="1" applyAlignment="1">
      <alignment horizontal="center" vertical="top" wrapText="1"/>
    </xf>
    <xf numFmtId="0" fontId="6" fillId="6" borderId="4" xfId="0" applyFont="1" applyFill="1" applyBorder="1" applyAlignment="1">
      <alignment horizontal="center" vertical="top" wrapText="1"/>
    </xf>
    <xf numFmtId="0" fontId="5" fillId="26" borderId="2" xfId="0" applyFont="1" applyFill="1" applyBorder="1" applyAlignment="1">
      <alignment horizontal="center" vertical="center"/>
    </xf>
    <xf numFmtId="11" fontId="5" fillId="26" borderId="2" xfId="0" applyNumberFormat="1" applyFont="1" applyFill="1" applyBorder="1" applyAlignment="1">
      <alignment horizontal="center" vertical="top" wrapText="1"/>
    </xf>
    <xf numFmtId="0" fontId="5" fillId="26" borderId="2" xfId="0" applyFont="1" applyFill="1" applyBorder="1" applyAlignment="1">
      <alignment horizontal="center" vertical="top"/>
    </xf>
    <xf numFmtId="0" fontId="5" fillId="26" borderId="1" xfId="0" applyFont="1" applyFill="1" applyBorder="1" applyAlignment="1">
      <alignment horizontal="left" vertical="top"/>
    </xf>
    <xf numFmtId="0" fontId="5" fillId="26" borderId="1" xfId="0" applyFont="1" applyFill="1" applyBorder="1" applyAlignment="1">
      <alignment horizontal="left" vertical="top" wrapText="1"/>
    </xf>
    <xf numFmtId="164" fontId="5" fillId="26" borderId="2" xfId="0" applyNumberFormat="1" applyFont="1" applyFill="1" applyBorder="1" applyAlignment="1">
      <alignment horizontal="left" vertical="top"/>
    </xf>
    <xf numFmtId="0" fontId="5" fillId="26" borderId="5" xfId="0" applyFont="1" applyFill="1" applyBorder="1" applyAlignment="1">
      <alignment horizontal="left" vertical="center" wrapText="1"/>
    </xf>
    <xf numFmtId="0" fontId="5" fillId="27" borderId="2" xfId="0" applyFont="1" applyFill="1" applyBorder="1" applyAlignment="1">
      <alignment horizontal="left"/>
    </xf>
    <xf numFmtId="0" fontId="5" fillId="26" borderId="2" xfId="0" applyFont="1" applyFill="1" applyBorder="1" applyAlignment="1">
      <alignment horizontal="left" vertical="top"/>
    </xf>
    <xf numFmtId="0" fontId="5" fillId="26" borderId="3" xfId="0" applyFont="1" applyFill="1" applyBorder="1" applyAlignment="1">
      <alignment horizontal="center" vertical="top" wrapText="1"/>
    </xf>
    <xf numFmtId="0" fontId="5" fillId="26" borderId="9" xfId="0" applyFont="1" applyFill="1" applyBorder="1" applyAlignment="1">
      <alignment horizontal="left" vertical="top" wrapText="1"/>
    </xf>
    <xf numFmtId="0" fontId="5" fillId="6" borderId="10" xfId="0" applyFont="1" applyFill="1" applyBorder="1" applyAlignment="1">
      <alignment horizontal="left"/>
    </xf>
    <xf numFmtId="0" fontId="5" fillId="6" borderId="11" xfId="0" applyFont="1" applyFill="1" applyBorder="1" applyAlignment="1">
      <alignment horizontal="left"/>
    </xf>
    <xf numFmtId="0" fontId="5" fillId="6" borderId="12" xfId="0" applyFont="1" applyFill="1" applyBorder="1" applyAlignment="1">
      <alignment horizontal="left"/>
    </xf>
    <xf numFmtId="0" fontId="5" fillId="26" borderId="3" xfId="0" applyFont="1" applyFill="1" applyBorder="1" applyAlignment="1">
      <alignment horizontal="center" vertical="center"/>
    </xf>
    <xf numFmtId="0" fontId="5" fillId="26" borderId="4" xfId="0" applyFont="1" applyFill="1" applyBorder="1" applyAlignment="1">
      <alignment horizontal="center" vertical="center"/>
    </xf>
    <xf numFmtId="0" fontId="5" fillId="2" borderId="1" xfId="0" applyFont="1" applyFill="1" applyBorder="1" applyAlignment="1">
      <alignment horizontal="center" vertical="top"/>
    </xf>
    <xf numFmtId="0" fontId="5" fillId="6" borderId="7" xfId="0" applyFont="1" applyFill="1" applyBorder="1" applyAlignment="1">
      <alignment horizontal="center" vertical="top"/>
    </xf>
    <xf numFmtId="11" fontId="5" fillId="2" borderId="1" xfId="0" applyNumberFormat="1" applyFont="1" applyFill="1" applyBorder="1" applyAlignment="1">
      <alignment horizontal="center" vertical="top" wrapText="1"/>
    </xf>
    <xf numFmtId="2" fontId="5" fillId="2" borderId="1" xfId="0" applyNumberFormat="1" applyFont="1" applyFill="1" applyBorder="1" applyAlignment="1">
      <alignment horizontal="center" vertical="top" wrapText="1"/>
    </xf>
    <xf numFmtId="4" fontId="5" fillId="2" borderId="1" xfId="0" applyNumberFormat="1" applyFont="1" applyFill="1" applyBorder="1" applyAlignment="1">
      <alignment horizontal="center" vertical="top" wrapText="1"/>
    </xf>
    <xf numFmtId="11" fontId="5" fillId="3" borderId="1" xfId="0" applyNumberFormat="1" applyFont="1" applyFill="1" applyBorder="1" applyAlignment="1">
      <alignment horizontal="center" vertical="top" wrapText="1"/>
    </xf>
    <xf numFmtId="0" fontId="5" fillId="3" borderId="1" xfId="0" applyFont="1" applyFill="1" applyBorder="1" applyAlignment="1">
      <alignment horizontal="center" vertical="top" wrapText="1"/>
    </xf>
    <xf numFmtId="0" fontId="5" fillId="4" borderId="1" xfId="0" applyFont="1" applyFill="1" applyBorder="1" applyAlignment="1">
      <alignment horizontal="center" vertical="top" wrapText="1"/>
    </xf>
    <xf numFmtId="0" fontId="5" fillId="6" borderId="6" xfId="0" applyFont="1" applyFill="1" applyBorder="1" applyAlignment="1">
      <alignment horizontal="center" vertical="top" wrapText="1"/>
    </xf>
    <xf numFmtId="0" fontId="5" fillId="31" borderId="8" xfId="0" applyFont="1" applyFill="1" applyBorder="1" applyAlignment="1">
      <alignment horizontal="center" vertical="top" wrapText="1"/>
    </xf>
    <xf numFmtId="0" fontId="5" fillId="29" borderId="8" xfId="0" applyFont="1" applyFill="1" applyBorder="1" applyAlignment="1">
      <alignment horizontal="left" vertical="top" wrapText="1"/>
    </xf>
    <xf numFmtId="0" fontId="5" fillId="30" borderId="1" xfId="0" applyFont="1" applyFill="1" applyBorder="1" applyAlignment="1">
      <alignment horizontal="center" vertical="top" wrapText="1"/>
    </xf>
    <xf numFmtId="0" fontId="6" fillId="0" borderId="0" xfId="0" applyFont="1" applyFill="1" applyAlignment="1">
      <alignment vertical="top"/>
    </xf>
    <xf numFmtId="0" fontId="6" fillId="11" borderId="0" xfId="0" applyFont="1" applyFill="1" applyBorder="1" applyAlignment="1">
      <alignment horizontal="center"/>
    </xf>
    <xf numFmtId="0" fontId="5" fillId="26" borderId="3" xfId="0" applyFont="1" applyFill="1" applyBorder="1" applyAlignment="1">
      <alignment horizontal="left" vertical="top" wrapText="1"/>
    </xf>
    <xf numFmtId="11" fontId="6" fillId="15" borderId="8" xfId="0" applyNumberFormat="1" applyFont="1" applyFill="1" applyBorder="1"/>
    <xf numFmtId="11" fontId="6" fillId="23" borderId="8" xfId="0" applyNumberFormat="1" applyFont="1" applyFill="1" applyBorder="1"/>
    <xf numFmtId="11" fontId="6" fillId="11" borderId="8" xfId="0" applyNumberFormat="1" applyFont="1" applyFill="1" applyBorder="1"/>
    <xf numFmtId="165" fontId="6" fillId="15" borderId="8" xfId="0" applyNumberFormat="1" applyFont="1" applyFill="1" applyBorder="1" applyAlignment="1">
      <alignment horizontal="center" vertical="top" wrapText="1"/>
    </xf>
    <xf numFmtId="165" fontId="6" fillId="14" borderId="8" xfId="0" applyNumberFormat="1" applyFont="1" applyFill="1" applyBorder="1" applyAlignment="1">
      <alignment horizontal="center"/>
    </xf>
    <xf numFmtId="165" fontId="6" fillId="18" borderId="8" xfId="0" applyNumberFormat="1" applyFont="1" applyFill="1" applyBorder="1" applyAlignment="1">
      <alignment horizontal="center"/>
    </xf>
    <xf numFmtId="165" fontId="6" fillId="17" borderId="8" xfId="0" applyNumberFormat="1" applyFont="1" applyFill="1" applyBorder="1" applyAlignment="1">
      <alignment horizontal="center"/>
    </xf>
    <xf numFmtId="165" fontId="6" fillId="9" borderId="8" xfId="0" applyNumberFormat="1" applyFont="1" applyFill="1" applyBorder="1" applyAlignment="1">
      <alignment horizontal="center"/>
    </xf>
    <xf numFmtId="165" fontId="6" fillId="8" borderId="8" xfId="0" applyNumberFormat="1" applyFont="1" applyFill="1" applyBorder="1" applyAlignment="1">
      <alignment horizontal="center"/>
    </xf>
    <xf numFmtId="165" fontId="6" fillId="8" borderId="8" xfId="0" applyNumberFormat="1" applyFont="1" applyFill="1" applyBorder="1" applyAlignment="1">
      <alignment horizontal="center" vertical="center"/>
    </xf>
    <xf numFmtId="165" fontId="6" fillId="9" borderId="8" xfId="0" applyNumberFormat="1" applyFont="1" applyFill="1" applyBorder="1" applyAlignment="1">
      <alignment horizontal="center" vertical="top" wrapText="1"/>
    </xf>
    <xf numFmtId="165" fontId="3" fillId="9" borderId="8" xfId="0" applyNumberFormat="1" applyFont="1" applyFill="1" applyBorder="1" applyAlignment="1">
      <alignment horizontal="center"/>
    </xf>
    <xf numFmtId="165" fontId="6" fillId="20" borderId="8" xfId="0" applyNumberFormat="1" applyFont="1" applyFill="1" applyBorder="1" applyAlignment="1">
      <alignment horizontal="center"/>
    </xf>
    <xf numFmtId="165" fontId="6" fillId="21" borderId="8" xfId="0" applyNumberFormat="1" applyFont="1" applyFill="1" applyBorder="1" applyAlignment="1">
      <alignment horizontal="center" vertical="top" wrapText="1"/>
    </xf>
    <xf numFmtId="0" fontId="6" fillId="8" borderId="8" xfId="0" applyFont="1" applyFill="1" applyBorder="1" applyAlignment="1">
      <alignment horizontal="left" vertical="center" wrapText="1"/>
    </xf>
    <xf numFmtId="49" fontId="6" fillId="14" borderId="8" xfId="0" applyNumberFormat="1" applyFont="1" applyFill="1" applyBorder="1" applyAlignment="1">
      <alignment horizontal="center" vertical="top" wrapText="1"/>
    </xf>
    <xf numFmtId="49" fontId="6" fillId="15" borderId="8" xfId="0" applyNumberFormat="1" applyFont="1" applyFill="1" applyBorder="1" applyAlignment="1">
      <alignment horizontal="center" vertical="center"/>
    </xf>
    <xf numFmtId="11" fontId="5" fillId="26" borderId="3" xfId="0" applyNumberFormat="1" applyFont="1" applyFill="1" applyBorder="1" applyAlignment="1">
      <alignment horizontal="center" vertical="top" wrapText="1"/>
    </xf>
    <xf numFmtId="11" fontId="6" fillId="0" borderId="0" xfId="0" applyNumberFormat="1" applyFont="1" applyFill="1" applyAlignment="1"/>
    <xf numFmtId="0" fontId="5" fillId="2" borderId="2" xfId="0" applyFont="1" applyFill="1" applyBorder="1" applyAlignment="1">
      <alignment horizontal="center" vertical="top" wrapText="1"/>
    </xf>
    <xf numFmtId="0" fontId="5" fillId="2" borderId="3" xfId="0" applyFont="1" applyFill="1" applyBorder="1" applyAlignment="1">
      <alignment horizontal="center" vertical="top" wrapText="1"/>
    </xf>
    <xf numFmtId="0" fontId="5" fillId="2" borderId="1" xfId="0" applyFont="1" applyFill="1" applyBorder="1" applyAlignment="1">
      <alignment horizontal="center" vertical="top" wrapText="1"/>
    </xf>
    <xf numFmtId="0" fontId="5" fillId="2" borderId="1" xfId="0" applyFont="1" applyFill="1" applyBorder="1" applyAlignment="1">
      <alignment horizontal="left" vertical="top"/>
    </xf>
    <xf numFmtId="0" fontId="5" fillId="2" borderId="1" xfId="0" applyFont="1" applyFill="1" applyBorder="1" applyAlignment="1">
      <alignment horizontal="left" vertical="top" wrapText="1"/>
    </xf>
    <xf numFmtId="0" fontId="5" fillId="6" borderId="0" xfId="0" applyFont="1" applyFill="1" applyAlignment="1"/>
    <xf numFmtId="0" fontId="6" fillId="28" borderId="8" xfId="0" applyFont="1" applyFill="1" applyBorder="1" applyAlignment="1">
      <alignment horizontal="left" vertical="top" wrapText="1"/>
    </xf>
    <xf numFmtId="0" fontId="6" fillId="28" borderId="8" xfId="0" applyFont="1" applyFill="1" applyBorder="1" applyAlignment="1">
      <alignment horizontal="center" vertical="top" wrapText="1"/>
    </xf>
    <xf numFmtId="0" fontId="6" fillId="32" borderId="8" xfId="0" applyFont="1" applyFill="1" applyBorder="1" applyAlignment="1">
      <alignment horizontal="center" vertical="top" wrapText="1"/>
    </xf>
    <xf numFmtId="0" fontId="6" fillId="32" borderId="8" xfId="0" applyFont="1" applyFill="1" applyBorder="1" applyAlignment="1">
      <alignment horizontal="left"/>
    </xf>
    <xf numFmtId="2" fontId="6" fillId="28" borderId="8" xfId="0" applyNumberFormat="1" applyFont="1" applyFill="1" applyBorder="1" applyAlignment="1">
      <alignment horizontal="left"/>
    </xf>
    <xf numFmtId="0" fontId="6" fillId="32" borderId="8" xfId="0" applyFont="1" applyFill="1" applyBorder="1" applyAlignment="1">
      <alignment horizontal="center"/>
    </xf>
    <xf numFmtId="11" fontId="6" fillId="32" borderId="8" xfId="0" applyNumberFormat="1" applyFont="1" applyFill="1" applyBorder="1" applyAlignment="1">
      <alignment horizontal="center"/>
    </xf>
    <xf numFmtId="11" fontId="6" fillId="28" borderId="8" xfId="0" applyNumberFormat="1" applyFont="1" applyFill="1" applyBorder="1" applyAlignment="1">
      <alignment horizontal="center"/>
    </xf>
    <xf numFmtId="165" fontId="6" fillId="32" borderId="8" xfId="0" applyNumberFormat="1" applyFont="1" applyFill="1" applyBorder="1" applyAlignment="1">
      <alignment horizontal="center"/>
    </xf>
    <xf numFmtId="4" fontId="6" fillId="32" borderId="8" xfId="0" applyNumberFormat="1" applyFont="1" applyFill="1" applyBorder="1" applyAlignment="1">
      <alignment horizontal="center"/>
    </xf>
    <xf numFmtId="11" fontId="6" fillId="28" borderId="8" xfId="0" applyNumberFormat="1" applyFont="1" applyFill="1" applyBorder="1" applyAlignment="1">
      <alignment horizontal="center" vertical="top" wrapText="1"/>
    </xf>
    <xf numFmtId="2" fontId="6" fillId="28" borderId="8" xfId="0" applyNumberFormat="1" applyFont="1" applyFill="1" applyBorder="1" applyAlignment="1">
      <alignment horizontal="center" vertical="top" wrapText="1"/>
    </xf>
    <xf numFmtId="165" fontId="6" fillId="28" borderId="8" xfId="0" applyNumberFormat="1" applyFont="1" applyFill="1" applyBorder="1" applyAlignment="1">
      <alignment horizontal="center" vertical="top" wrapText="1"/>
    </xf>
    <xf numFmtId="2" fontId="6" fillId="32" borderId="8" xfId="0" applyNumberFormat="1" applyFont="1" applyFill="1" applyBorder="1" applyAlignment="1">
      <alignment horizontal="center"/>
    </xf>
    <xf numFmtId="0" fontId="6" fillId="32" borderId="8" xfId="0" applyFont="1" applyFill="1" applyBorder="1" applyAlignment="1">
      <alignment horizontal="center" vertical="center" wrapText="1"/>
    </xf>
    <xf numFmtId="0" fontId="12" fillId="32" borderId="8" xfId="0" applyFont="1" applyFill="1" applyBorder="1" applyAlignment="1">
      <alignment horizontal="center" vertical="center"/>
    </xf>
    <xf numFmtId="0" fontId="6" fillId="32" borderId="8" xfId="0" applyFont="1" applyFill="1" applyBorder="1"/>
    <xf numFmtId="0" fontId="6" fillId="33" borderId="8" xfId="0" applyFont="1" applyFill="1" applyBorder="1" applyAlignment="1">
      <alignment horizontal="center"/>
    </xf>
    <xf numFmtId="4" fontId="6" fillId="28" borderId="8" xfId="0" applyNumberFormat="1" applyFont="1" applyFill="1" applyBorder="1" applyAlignment="1">
      <alignment horizontal="center"/>
    </xf>
    <xf numFmtId="11" fontId="6" fillId="32" borderId="8" xfId="0" applyNumberFormat="1" applyFont="1" applyFill="1" applyBorder="1" applyAlignment="1">
      <alignment horizontal="center" vertical="top"/>
    </xf>
    <xf numFmtId="2" fontId="6" fillId="28" borderId="8" xfId="0" applyNumberFormat="1" applyFont="1" applyFill="1" applyBorder="1" applyAlignment="1">
      <alignment horizontal="center" vertical="center" wrapText="1"/>
    </xf>
    <xf numFmtId="164" fontId="6" fillId="32" borderId="8" xfId="0" applyNumberFormat="1" applyFont="1" applyFill="1" applyBorder="1" applyAlignment="1">
      <alignment horizontal="center"/>
    </xf>
    <xf numFmtId="1" fontId="6" fillId="32" borderId="8" xfId="0" applyNumberFormat="1" applyFont="1" applyFill="1" applyBorder="1" applyAlignment="1">
      <alignment horizontal="center"/>
    </xf>
    <xf numFmtId="0" fontId="6" fillId="32" borderId="8" xfId="0" applyFont="1" applyFill="1" applyBorder="1" applyAlignment="1"/>
    <xf numFmtId="0" fontId="6" fillId="32" borderId="0" xfId="0" applyFont="1" applyFill="1" applyAlignment="1"/>
    <xf numFmtId="1" fontId="6" fillId="28" borderId="8" xfId="0" applyNumberFormat="1" applyFont="1" applyFill="1" applyBorder="1" applyAlignment="1">
      <alignment horizontal="center" vertical="center"/>
    </xf>
    <xf numFmtId="0" fontId="6" fillId="28" borderId="8" xfId="0" applyFont="1" applyFill="1" applyBorder="1" applyAlignment="1">
      <alignment horizontal="left"/>
    </xf>
    <xf numFmtId="0" fontId="6" fillId="28" borderId="8" xfId="0" applyFont="1" applyFill="1" applyBorder="1" applyAlignment="1">
      <alignment horizontal="center"/>
    </xf>
    <xf numFmtId="165" fontId="6" fillId="28" borderId="8" xfId="0" applyNumberFormat="1" applyFont="1" applyFill="1" applyBorder="1" applyAlignment="1">
      <alignment horizontal="center"/>
    </xf>
    <xf numFmtId="2" fontId="6" fillId="28" borderId="8" xfId="0" applyNumberFormat="1" applyFont="1" applyFill="1" applyBorder="1" applyAlignment="1">
      <alignment horizontal="center"/>
    </xf>
    <xf numFmtId="0" fontId="12" fillId="28" borderId="8" xfId="0" applyFont="1" applyFill="1" applyBorder="1" applyAlignment="1">
      <alignment horizontal="center" vertical="center"/>
    </xf>
    <xf numFmtId="0" fontId="6" fillId="28" borderId="8" xfId="0" applyFont="1" applyFill="1" applyBorder="1" applyAlignment="1">
      <alignment horizontal="center" vertical="center"/>
    </xf>
    <xf numFmtId="0" fontId="20" fillId="0" borderId="8" xfId="0" applyFont="1" applyBorder="1"/>
    <xf numFmtId="0" fontId="20" fillId="0" borderId="0" xfId="0" applyFont="1"/>
    <xf numFmtId="0" fontId="21" fillId="7" borderId="8" xfId="0" applyFont="1" applyFill="1" applyBorder="1"/>
    <xf numFmtId="0" fontId="21" fillId="7" borderId="0" xfId="0" applyFont="1" applyFill="1"/>
    <xf numFmtId="0" fontId="22" fillId="6" borderId="3" xfId="0" applyFont="1" applyFill="1" applyBorder="1" applyAlignment="1">
      <alignment horizontal="center" vertical="center"/>
    </xf>
    <xf numFmtId="0" fontId="22" fillId="6" borderId="4" xfId="0" applyFont="1" applyFill="1" applyBorder="1" applyAlignment="1">
      <alignment horizontal="center" vertical="center"/>
    </xf>
    <xf numFmtId="0" fontId="22" fillId="6" borderId="3" xfId="0" applyFont="1" applyFill="1" applyBorder="1" applyAlignment="1">
      <alignment horizontal="center" vertical="top"/>
    </xf>
    <xf numFmtId="0" fontId="22" fillId="6" borderId="4" xfId="0" applyFont="1" applyFill="1" applyBorder="1" applyAlignment="1">
      <alignment horizontal="center" vertical="top"/>
    </xf>
    <xf numFmtId="17" fontId="6" fillId="15" borderId="8" xfId="0" applyNumberFormat="1" applyFont="1" applyFill="1" applyBorder="1" applyAlignment="1">
      <alignment horizontal="center"/>
    </xf>
    <xf numFmtId="167" fontId="6" fillId="15" borderId="8" xfId="0" applyNumberFormat="1" applyFont="1" applyFill="1" applyBorder="1" applyAlignment="1">
      <alignment horizontal="center"/>
    </xf>
    <xf numFmtId="164" fontId="6" fillId="15" borderId="8" xfId="0" applyNumberFormat="1" applyFont="1" applyFill="1" applyBorder="1" applyAlignment="1">
      <alignment horizontal="center"/>
    </xf>
    <xf numFmtId="0" fontId="6" fillId="14" borderId="0" xfId="0" applyFont="1" applyFill="1" applyBorder="1" applyAlignment="1"/>
    <xf numFmtId="3" fontId="6" fillId="15" borderId="8" xfId="0" applyNumberFormat="1" applyFont="1" applyFill="1" applyBorder="1" applyAlignment="1">
      <alignment horizontal="center"/>
    </xf>
    <xf numFmtId="169" fontId="6" fillId="15" borderId="8" xfId="0" applyNumberFormat="1" applyFont="1" applyFill="1" applyBorder="1" applyAlignment="1">
      <alignment horizontal="center"/>
    </xf>
    <xf numFmtId="0" fontId="6" fillId="8" borderId="0" xfId="0" applyFont="1" applyFill="1" applyBorder="1" applyAlignment="1">
      <alignment horizontal="center" vertical="center"/>
    </xf>
    <xf numFmtId="0" fontId="6" fillId="21" borderId="8" xfId="0" applyNumberFormat="1" applyFont="1" applyFill="1" applyBorder="1" applyAlignment="1">
      <alignment horizontal="center"/>
    </xf>
    <xf numFmtId="0" fontId="6" fillId="8" borderId="8" xfId="0" applyFont="1" applyFill="1" applyBorder="1" applyAlignment="1">
      <alignment horizontal="left" wrapText="1"/>
    </xf>
    <xf numFmtId="165" fontId="6" fillId="34" borderId="8" xfId="0" applyNumberFormat="1" applyFont="1" applyFill="1" applyBorder="1" applyAlignment="1">
      <alignment horizontal="center" vertical="top" wrapText="1"/>
    </xf>
    <xf numFmtId="165" fontId="6" fillId="18" borderId="8" xfId="0" applyNumberFormat="1" applyFont="1" applyFill="1" applyBorder="1" applyAlignment="1">
      <alignment horizontal="center" vertical="top" wrapText="1"/>
    </xf>
    <xf numFmtId="4" fontId="6" fillId="12" borderId="8" xfId="0" applyNumberFormat="1" applyFont="1" applyFill="1" applyBorder="1" applyAlignment="1">
      <alignment horizontal="center"/>
    </xf>
    <xf numFmtId="165" fontId="6" fillId="11" borderId="8" xfId="0" applyNumberFormat="1" applyFont="1" applyFill="1" applyBorder="1" applyAlignment="1">
      <alignment horizontal="center" vertical="top" wrapText="1"/>
    </xf>
    <xf numFmtId="11" fontId="6" fillId="34" borderId="8" xfId="0" applyNumberFormat="1" applyFont="1" applyFill="1" applyBorder="1" applyAlignment="1">
      <alignment horizontal="center" vertical="top" wrapText="1"/>
    </xf>
    <xf numFmtId="11" fontId="6" fillId="18" borderId="8" xfId="0" applyNumberFormat="1" applyFont="1" applyFill="1" applyBorder="1" applyAlignment="1">
      <alignment horizontal="center" vertical="top" wrapText="1"/>
    </xf>
    <xf numFmtId="11" fontId="6" fillId="11" borderId="8" xfId="0" applyNumberFormat="1" applyFont="1" applyFill="1" applyBorder="1" applyAlignment="1">
      <alignment horizontal="center" vertical="top" wrapText="1"/>
    </xf>
    <xf numFmtId="0" fontId="6" fillId="0" borderId="0" xfId="0" applyFont="1" applyBorder="1" applyAlignment="1"/>
    <xf numFmtId="0" fontId="6" fillId="0" borderId="8" xfId="0" applyFont="1" applyBorder="1" applyAlignment="1"/>
    <xf numFmtId="1" fontId="6" fillId="15" borderId="0" xfId="0" applyNumberFormat="1" applyFont="1" applyFill="1" applyBorder="1" applyAlignment="1">
      <alignment horizontal="center" vertical="center"/>
    </xf>
    <xf numFmtId="0" fontId="6" fillId="9" borderId="0" xfId="0" applyFont="1" applyFill="1" applyBorder="1" applyAlignment="1">
      <alignment horizontal="left"/>
    </xf>
    <xf numFmtId="11" fontId="6" fillId="15" borderId="0" xfId="0" applyNumberFormat="1" applyFont="1" applyFill="1" applyBorder="1" applyAlignment="1">
      <alignment horizontal="center"/>
    </xf>
    <xf numFmtId="0" fontId="6" fillId="9" borderId="0" xfId="0" applyFont="1" applyFill="1" applyBorder="1" applyAlignment="1">
      <alignment horizontal="center"/>
    </xf>
    <xf numFmtId="0" fontId="6" fillId="8" borderId="0" xfId="0" applyFont="1" applyFill="1" applyBorder="1" applyAlignment="1">
      <alignment horizontal="left"/>
    </xf>
    <xf numFmtId="0" fontId="5" fillId="26" borderId="1" xfId="0" applyFont="1" applyFill="1" applyBorder="1" applyAlignment="1">
      <alignment vertical="top" wrapText="1"/>
    </xf>
    <xf numFmtId="0" fontId="6" fillId="9" borderId="8" xfId="0" applyFont="1" applyFill="1" applyBorder="1" applyAlignment="1"/>
    <xf numFmtId="0" fontId="6" fillId="15" borderId="8" xfId="0" applyFont="1" applyFill="1" applyBorder="1" applyAlignment="1"/>
    <xf numFmtId="0" fontId="6" fillId="21" borderId="8" xfId="0" applyFont="1" applyFill="1" applyBorder="1" applyAlignment="1"/>
    <xf numFmtId="0" fontId="6" fillId="24" borderId="8" xfId="0" applyFont="1" applyFill="1" applyBorder="1" applyAlignment="1"/>
    <xf numFmtId="0" fontId="6" fillId="11" borderId="8" xfId="0" applyFont="1" applyFill="1" applyBorder="1" applyAlignment="1"/>
    <xf numFmtId="0" fontId="6" fillId="18" borderId="8" xfId="0" applyFont="1" applyFill="1" applyBorder="1" applyAlignment="1"/>
    <xf numFmtId="0" fontId="3" fillId="9" borderId="8" xfId="0" applyFont="1" applyFill="1" applyBorder="1" applyAlignment="1"/>
    <xf numFmtId="0" fontId="6" fillId="15" borderId="8" xfId="0" applyFont="1" applyFill="1" applyBorder="1" applyAlignment="1">
      <alignment vertical="center"/>
    </xf>
    <xf numFmtId="0" fontId="6" fillId="21" borderId="8" xfId="0" applyFont="1" applyFill="1" applyBorder="1" applyAlignment="1">
      <alignment vertical="center"/>
    </xf>
    <xf numFmtId="0" fontId="4" fillId="0" borderId="0" xfId="0" applyFont="1" applyFill="1" applyBorder="1" applyAlignment="1">
      <alignment horizontal="left" vertical="center"/>
    </xf>
    <xf numFmtId="164" fontId="5" fillId="2" borderId="2" xfId="0" applyNumberFormat="1" applyFont="1" applyFill="1" applyBorder="1" applyAlignment="1">
      <alignment horizontal="center" vertical="top" wrapText="1"/>
    </xf>
    <xf numFmtId="0" fontId="6" fillId="0" borderId="4" xfId="0" applyFont="1" applyBorder="1"/>
    <xf numFmtId="0" fontId="5" fillId="2" borderId="1" xfId="0" applyFont="1" applyFill="1" applyBorder="1" applyAlignment="1">
      <alignment horizontal="center" vertical="top" wrapText="1"/>
    </xf>
    <xf numFmtId="0" fontId="6" fillId="0" borderId="6" xfId="0" applyFont="1" applyBorder="1"/>
    <xf numFmtId="0" fontId="5" fillId="3" borderId="2" xfId="0" applyFont="1" applyFill="1" applyBorder="1" applyAlignment="1">
      <alignment horizontal="center"/>
    </xf>
    <xf numFmtId="0" fontId="6" fillId="0" borderId="3" xfId="0" applyFont="1" applyBorder="1"/>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top" wrapText="1"/>
    </xf>
    <xf numFmtId="0" fontId="10" fillId="6" borderId="8" xfId="0" applyFont="1" applyFill="1" applyBorder="1" applyAlignment="1">
      <alignment horizontal="center" wrapText="1"/>
    </xf>
    <xf numFmtId="0" fontId="0" fillId="0" borderId="4" xfId="0" applyFont="1" applyBorder="1" applyAlignment="1">
      <alignment horizontal="center" vertical="top" wrapText="1"/>
    </xf>
    <xf numFmtId="0" fontId="5" fillId="2" borderId="1" xfId="0" applyFont="1" applyFill="1" applyBorder="1" applyAlignment="1">
      <alignment horizontal="center" vertical="center"/>
    </xf>
    <xf numFmtId="11" fontId="5" fillId="2" borderId="2" xfId="0" applyNumberFormat="1" applyFont="1" applyFill="1" applyBorder="1" applyAlignment="1">
      <alignment horizontal="center" vertical="top" wrapText="1"/>
    </xf>
    <xf numFmtId="0" fontId="10" fillId="7" borderId="8" xfId="0" applyFont="1" applyFill="1" applyBorder="1" applyAlignment="1">
      <alignment horizontal="center"/>
    </xf>
    <xf numFmtId="0" fontId="5" fillId="2" borderId="1" xfId="0" applyFont="1" applyFill="1" applyBorder="1" applyAlignment="1">
      <alignment horizontal="left" vertical="top"/>
    </xf>
    <xf numFmtId="0" fontId="5" fillId="2" borderId="1" xfId="0" applyFont="1" applyFill="1" applyBorder="1" applyAlignment="1">
      <alignment horizontal="left" vertical="top" wrapText="1"/>
    </xf>
  </cellXfs>
  <cellStyles count="4">
    <cellStyle name="Normal" xfId="0" builtinId="0"/>
    <cellStyle name="Standard 2" xfId="1"/>
    <cellStyle name="Standard 3" xfId="2"/>
    <cellStyle name="Standard 4" xfId="3"/>
  </cellStyles>
  <dxfs count="0"/>
  <tableStyles count="0" defaultTableStyle="TableStyleMedium2" defaultPivotStyle="PivotStyleLight16"/>
  <colors>
    <mruColors>
      <color rgb="FFDDDDD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9</xdr:col>
      <xdr:colOff>238125</xdr:colOff>
      <xdr:row>60</xdr:row>
      <xdr:rowOff>38100</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868680</xdr:colOff>
      <xdr:row>62</xdr:row>
      <xdr:rowOff>106680</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868680</xdr:colOff>
      <xdr:row>62</xdr:row>
      <xdr:rowOff>106680</xdr:rowOff>
    </xdr:to>
    <xdr:sp macro="" textlink="">
      <xdr:nvSpPr>
        <xdr:cNvPr id="3"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238125</xdr:colOff>
      <xdr:row>60</xdr:row>
      <xdr:rowOff>38100</xdr:rowOff>
    </xdr:to>
    <xdr:sp macro="" textlink="">
      <xdr:nvSpPr>
        <xdr:cNvPr id="4"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238125</xdr:colOff>
      <xdr:row>60</xdr:row>
      <xdr:rowOff>38100</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868680</xdr:colOff>
      <xdr:row>62</xdr:row>
      <xdr:rowOff>106680</xdr:rowOff>
    </xdr:to>
    <xdr:sp macro="" textlink="">
      <xdr:nvSpPr>
        <xdr:cNvPr id="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7" name="AutoShape 4"/>
        <xdr:cNvSpPr>
          <a:spLocks noChangeArrowheads="1"/>
        </xdr:cNvSpPr>
      </xdr:nvSpPr>
      <xdr:spPr bwMode="auto">
        <a:xfrm>
          <a:off x="0" y="0"/>
          <a:ext cx="88582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8" name="AutoShape 4"/>
        <xdr:cNvSpPr>
          <a:spLocks noChangeArrowheads="1"/>
        </xdr:cNvSpPr>
      </xdr:nvSpPr>
      <xdr:spPr bwMode="auto">
        <a:xfrm>
          <a:off x="0" y="0"/>
          <a:ext cx="88582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9" name="AutoShape 4"/>
        <xdr:cNvSpPr>
          <a:spLocks noChangeArrowheads="1"/>
        </xdr:cNvSpPr>
      </xdr:nvSpPr>
      <xdr:spPr bwMode="auto">
        <a:xfrm>
          <a:off x="0" y="0"/>
          <a:ext cx="88582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10" name="AutoShape 4"/>
        <xdr:cNvSpPr>
          <a:spLocks noChangeArrowheads="1"/>
        </xdr:cNvSpPr>
      </xdr:nvSpPr>
      <xdr:spPr bwMode="auto">
        <a:xfrm>
          <a:off x="0" y="0"/>
          <a:ext cx="885825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11" name="AutoShape 4"/>
        <xdr:cNvSpPr>
          <a:spLocks noChangeArrowheads="1"/>
        </xdr:cNvSpPr>
      </xdr:nvSpPr>
      <xdr:spPr bwMode="auto">
        <a:xfrm>
          <a:off x="0" y="0"/>
          <a:ext cx="885825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861060</xdr:colOff>
      <xdr:row>62</xdr:row>
      <xdr:rowOff>106680</xdr:rowOff>
    </xdr:to>
    <xdr:sp macro="" textlink="">
      <xdr:nvSpPr>
        <xdr:cNvPr id="12" name="AutoShape 4"/>
        <xdr:cNvSpPr>
          <a:spLocks noChangeArrowheads="1"/>
        </xdr:cNvSpPr>
      </xdr:nvSpPr>
      <xdr:spPr bwMode="auto">
        <a:xfrm>
          <a:off x="0" y="0"/>
          <a:ext cx="885444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861060</xdr:colOff>
      <xdr:row>62</xdr:row>
      <xdr:rowOff>106680</xdr:rowOff>
    </xdr:to>
    <xdr:sp macro="" textlink="">
      <xdr:nvSpPr>
        <xdr:cNvPr id="13" name="AutoShape 4"/>
        <xdr:cNvSpPr>
          <a:spLocks noChangeArrowheads="1"/>
        </xdr:cNvSpPr>
      </xdr:nvSpPr>
      <xdr:spPr bwMode="auto">
        <a:xfrm>
          <a:off x="0" y="0"/>
          <a:ext cx="885444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14" name="AutoShape 4"/>
        <xdr:cNvSpPr>
          <a:spLocks noChangeArrowheads="1"/>
        </xdr:cNvSpPr>
      </xdr:nvSpPr>
      <xdr:spPr bwMode="auto">
        <a:xfrm>
          <a:off x="0" y="0"/>
          <a:ext cx="95154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5" name="AutoShape 4"/>
        <xdr:cNvSpPr>
          <a:spLocks noChangeArrowheads="1"/>
        </xdr:cNvSpPr>
      </xdr:nvSpPr>
      <xdr:spPr bwMode="auto">
        <a:xfrm>
          <a:off x="0" y="0"/>
          <a:ext cx="951738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6"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7"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8"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9"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61</xdr:row>
      <xdr:rowOff>38100</xdr:rowOff>
    </xdr:to>
    <xdr:sp macro="" textlink="">
      <xdr:nvSpPr>
        <xdr:cNvPr id="20" name="AutoShape 4"/>
        <xdr:cNvSpPr>
          <a:spLocks noChangeArrowheads="1"/>
        </xdr:cNvSpPr>
      </xdr:nvSpPr>
      <xdr:spPr bwMode="auto">
        <a:xfrm>
          <a:off x="0" y="0"/>
          <a:ext cx="95154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21" name="AutoShape 4"/>
        <xdr:cNvSpPr>
          <a:spLocks noChangeArrowheads="1"/>
        </xdr:cNvSpPr>
      </xdr:nvSpPr>
      <xdr:spPr bwMode="auto">
        <a:xfrm>
          <a:off x="0" y="0"/>
          <a:ext cx="95154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2"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3" name="AutoShape 4"/>
        <xdr:cNvSpPr>
          <a:spLocks noChangeArrowheads="1"/>
        </xdr:cNvSpPr>
      </xdr:nvSpPr>
      <xdr:spPr bwMode="auto">
        <a:xfrm>
          <a:off x="0" y="0"/>
          <a:ext cx="951738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4"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5"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26" name="AutoShape 4"/>
        <xdr:cNvSpPr>
          <a:spLocks noChangeArrowheads="1"/>
        </xdr:cNvSpPr>
      </xdr:nvSpPr>
      <xdr:spPr bwMode="auto">
        <a:xfrm>
          <a:off x="0" y="0"/>
          <a:ext cx="95154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27" name="AutoShape 4"/>
        <xdr:cNvSpPr>
          <a:spLocks noChangeArrowheads="1"/>
        </xdr:cNvSpPr>
      </xdr:nvSpPr>
      <xdr:spPr bwMode="auto">
        <a:xfrm>
          <a:off x="0" y="0"/>
          <a:ext cx="95154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8"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9"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30" name="AutoShape 4"/>
        <xdr:cNvSpPr>
          <a:spLocks noChangeArrowheads="1"/>
        </xdr:cNvSpPr>
      </xdr:nvSpPr>
      <xdr:spPr bwMode="auto">
        <a:xfrm>
          <a:off x="0" y="0"/>
          <a:ext cx="95154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31"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1024"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1025" name="AutoShape 4"/>
        <xdr:cNvSpPr>
          <a:spLocks noChangeArrowheads="1"/>
        </xdr:cNvSpPr>
      </xdr:nvSpPr>
      <xdr:spPr bwMode="auto">
        <a:xfrm>
          <a:off x="0" y="0"/>
          <a:ext cx="95154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1026"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1027"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1029" name="AutoShape 4"/>
        <xdr:cNvSpPr>
          <a:spLocks noChangeArrowheads="1"/>
        </xdr:cNvSpPr>
      </xdr:nvSpPr>
      <xdr:spPr bwMode="auto">
        <a:xfrm>
          <a:off x="0" y="0"/>
          <a:ext cx="951738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1030" name="AutoShape 4"/>
        <xdr:cNvSpPr>
          <a:spLocks noChangeArrowheads="1"/>
        </xdr:cNvSpPr>
      </xdr:nvSpPr>
      <xdr:spPr bwMode="auto">
        <a:xfrm>
          <a:off x="0" y="0"/>
          <a:ext cx="95154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61</xdr:row>
      <xdr:rowOff>38100</xdr:rowOff>
    </xdr:to>
    <xdr:sp macro="" textlink="">
      <xdr:nvSpPr>
        <xdr:cNvPr id="1031" name="AutoShape 4"/>
        <xdr:cNvSpPr>
          <a:spLocks noChangeArrowheads="1"/>
        </xdr:cNvSpPr>
      </xdr:nvSpPr>
      <xdr:spPr bwMode="auto">
        <a:xfrm>
          <a:off x="0" y="0"/>
          <a:ext cx="95154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1181100</xdr:colOff>
      <xdr:row>63</xdr:row>
      <xdr:rowOff>106680</xdr:rowOff>
    </xdr:to>
    <xdr:sp macro="" textlink="">
      <xdr:nvSpPr>
        <xdr:cNvPr id="1032" name="AutoShape 4"/>
        <xdr:cNvSpPr>
          <a:spLocks noChangeArrowheads="1"/>
        </xdr:cNvSpPr>
      </xdr:nvSpPr>
      <xdr:spPr bwMode="auto">
        <a:xfrm>
          <a:off x="0" y="0"/>
          <a:ext cx="97917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228600</xdr:colOff>
      <xdr:row>62</xdr:row>
      <xdr:rowOff>38100</xdr:rowOff>
    </xdr:to>
    <xdr:sp macro="" textlink="">
      <xdr:nvSpPr>
        <xdr:cNvPr id="1033" name="AutoShape 4"/>
        <xdr:cNvSpPr>
          <a:spLocks noChangeArrowheads="1"/>
        </xdr:cNvSpPr>
      </xdr:nvSpPr>
      <xdr:spPr bwMode="auto">
        <a:xfrm>
          <a:off x="0" y="0"/>
          <a:ext cx="97917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1181100</xdr:colOff>
      <xdr:row>64</xdr:row>
      <xdr:rowOff>106680</xdr:rowOff>
    </xdr:to>
    <xdr:sp macro="" textlink="">
      <xdr:nvSpPr>
        <xdr:cNvPr id="1034" name="AutoShape 4"/>
        <xdr:cNvSpPr>
          <a:spLocks noChangeArrowheads="1"/>
        </xdr:cNvSpPr>
      </xdr:nvSpPr>
      <xdr:spPr bwMode="auto">
        <a:xfrm>
          <a:off x="0" y="0"/>
          <a:ext cx="97917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1181100</xdr:colOff>
      <xdr:row>64</xdr:row>
      <xdr:rowOff>106680</xdr:rowOff>
    </xdr:to>
    <xdr:sp macro="" textlink="">
      <xdr:nvSpPr>
        <xdr:cNvPr id="1035" name="AutoShape 4"/>
        <xdr:cNvSpPr>
          <a:spLocks noChangeArrowheads="1"/>
        </xdr:cNvSpPr>
      </xdr:nvSpPr>
      <xdr:spPr bwMode="auto">
        <a:xfrm>
          <a:off x="0" y="0"/>
          <a:ext cx="86106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6148" name="AutoShape 4"/>
        <xdr:cNvSpPr>
          <a:spLocks noChangeArrowheads="1"/>
        </xdr:cNvSpPr>
      </xdr:nvSpPr>
      <xdr:spPr bwMode="auto">
        <a:xfrm>
          <a:off x="0" y="0"/>
          <a:ext cx="86106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6144" name="AutoShape 4"/>
        <xdr:cNvSpPr>
          <a:spLocks noChangeArrowheads="1"/>
        </xdr:cNvSpPr>
      </xdr:nvSpPr>
      <xdr:spPr bwMode="auto">
        <a:xfrm>
          <a:off x="0" y="0"/>
          <a:ext cx="86106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6145" name="AutoShape 4"/>
        <xdr:cNvSpPr>
          <a:spLocks noChangeArrowheads="1"/>
        </xdr:cNvSpPr>
      </xdr:nvSpPr>
      <xdr:spPr bwMode="auto">
        <a:xfrm>
          <a:off x="0" y="0"/>
          <a:ext cx="86106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6146" name="AutoShape 4"/>
        <xdr:cNvSpPr>
          <a:spLocks noChangeArrowheads="1"/>
        </xdr:cNvSpPr>
      </xdr:nvSpPr>
      <xdr:spPr bwMode="auto">
        <a:xfrm>
          <a:off x="0" y="0"/>
          <a:ext cx="86106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1173480</xdr:colOff>
      <xdr:row>64</xdr:row>
      <xdr:rowOff>106680</xdr:rowOff>
    </xdr:to>
    <xdr:sp macro="" textlink="">
      <xdr:nvSpPr>
        <xdr:cNvPr id="6147" name="AutoShape 4"/>
        <xdr:cNvSpPr>
          <a:spLocks noChangeArrowheads="1"/>
        </xdr:cNvSpPr>
      </xdr:nvSpPr>
      <xdr:spPr bwMode="auto">
        <a:xfrm>
          <a:off x="0" y="0"/>
          <a:ext cx="86106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1173480</xdr:colOff>
      <xdr:row>64</xdr:row>
      <xdr:rowOff>106680</xdr:rowOff>
    </xdr:to>
    <xdr:sp macro="" textlink="">
      <xdr:nvSpPr>
        <xdr:cNvPr id="6149" name="AutoShape 4"/>
        <xdr:cNvSpPr>
          <a:spLocks noChangeArrowheads="1"/>
        </xdr:cNvSpPr>
      </xdr:nvSpPr>
      <xdr:spPr bwMode="auto">
        <a:xfrm>
          <a:off x="0" y="0"/>
          <a:ext cx="86106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7</xdr:col>
      <xdr:colOff>868680</xdr:colOff>
      <xdr:row>62</xdr:row>
      <xdr:rowOff>106680</xdr:rowOff>
    </xdr:to>
    <xdr:sp macro="" textlink="">
      <xdr:nvSpPr>
        <xdr:cNvPr id="2" name="AutoShape 4"/>
        <xdr:cNvSpPr>
          <a:spLocks noChangeArrowheads="1"/>
        </xdr:cNvSpPr>
      </xdr:nvSpPr>
      <xdr:spPr bwMode="auto">
        <a:xfrm>
          <a:off x="0" y="0"/>
          <a:ext cx="9845040" cy="9662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868680</xdr:colOff>
      <xdr:row>62</xdr:row>
      <xdr:rowOff>106680</xdr:rowOff>
    </xdr:to>
    <xdr:sp macro="" textlink="">
      <xdr:nvSpPr>
        <xdr:cNvPr id="3" name="AutoShape 4"/>
        <xdr:cNvSpPr>
          <a:spLocks noChangeArrowheads="1"/>
        </xdr:cNvSpPr>
      </xdr:nvSpPr>
      <xdr:spPr bwMode="auto">
        <a:xfrm>
          <a:off x="0" y="0"/>
          <a:ext cx="984504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238125</xdr:colOff>
      <xdr:row>60</xdr:row>
      <xdr:rowOff>38100</xdr:rowOff>
    </xdr:to>
    <xdr:sp macro="" textlink="">
      <xdr:nvSpPr>
        <xdr:cNvPr id="4" name="AutoShape 4"/>
        <xdr:cNvSpPr>
          <a:spLocks noChangeArrowheads="1"/>
        </xdr:cNvSpPr>
      </xdr:nvSpPr>
      <xdr:spPr bwMode="auto">
        <a:xfrm>
          <a:off x="0" y="0"/>
          <a:ext cx="13131165"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238125</xdr:colOff>
      <xdr:row>60</xdr:row>
      <xdr:rowOff>38100</xdr:rowOff>
    </xdr:to>
    <xdr:sp macro="" textlink="">
      <xdr:nvSpPr>
        <xdr:cNvPr id="5" name="AutoShape 4"/>
        <xdr:cNvSpPr>
          <a:spLocks noChangeArrowheads="1"/>
        </xdr:cNvSpPr>
      </xdr:nvSpPr>
      <xdr:spPr bwMode="auto">
        <a:xfrm>
          <a:off x="0" y="0"/>
          <a:ext cx="13131165"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868680</xdr:colOff>
      <xdr:row>62</xdr:row>
      <xdr:rowOff>106680</xdr:rowOff>
    </xdr:to>
    <xdr:sp macro="" textlink="">
      <xdr:nvSpPr>
        <xdr:cNvPr id="6" name="AutoShape 4"/>
        <xdr:cNvSpPr>
          <a:spLocks noChangeArrowheads="1"/>
        </xdr:cNvSpPr>
      </xdr:nvSpPr>
      <xdr:spPr bwMode="auto">
        <a:xfrm>
          <a:off x="0" y="0"/>
          <a:ext cx="984504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7" name="AutoShape 4"/>
        <xdr:cNvSpPr>
          <a:spLocks noChangeArrowheads="1"/>
        </xdr:cNvSpPr>
      </xdr:nvSpPr>
      <xdr:spPr bwMode="auto">
        <a:xfrm>
          <a:off x="0" y="0"/>
          <a:ext cx="8837295"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8" name="AutoShape 4"/>
        <xdr:cNvSpPr>
          <a:spLocks noChangeArrowheads="1"/>
        </xdr:cNvSpPr>
      </xdr:nvSpPr>
      <xdr:spPr bwMode="auto">
        <a:xfrm>
          <a:off x="0" y="0"/>
          <a:ext cx="8837295"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9" name="AutoShape 4"/>
        <xdr:cNvSpPr>
          <a:spLocks noChangeArrowheads="1"/>
        </xdr:cNvSpPr>
      </xdr:nvSpPr>
      <xdr:spPr bwMode="auto">
        <a:xfrm>
          <a:off x="0" y="0"/>
          <a:ext cx="8837295"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10" name="AutoShape 4"/>
        <xdr:cNvSpPr>
          <a:spLocks noChangeArrowheads="1"/>
        </xdr:cNvSpPr>
      </xdr:nvSpPr>
      <xdr:spPr bwMode="auto">
        <a:xfrm>
          <a:off x="0" y="0"/>
          <a:ext cx="8837295"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1095375</xdr:colOff>
      <xdr:row>60</xdr:row>
      <xdr:rowOff>38100</xdr:rowOff>
    </xdr:to>
    <xdr:sp macro="" textlink="">
      <xdr:nvSpPr>
        <xdr:cNvPr id="11" name="AutoShape 4"/>
        <xdr:cNvSpPr>
          <a:spLocks noChangeArrowheads="1"/>
        </xdr:cNvSpPr>
      </xdr:nvSpPr>
      <xdr:spPr bwMode="auto">
        <a:xfrm>
          <a:off x="0" y="0"/>
          <a:ext cx="8837295"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861060</xdr:colOff>
      <xdr:row>62</xdr:row>
      <xdr:rowOff>106680</xdr:rowOff>
    </xdr:to>
    <xdr:sp macro="" textlink="">
      <xdr:nvSpPr>
        <xdr:cNvPr id="12" name="AutoShape 4"/>
        <xdr:cNvSpPr>
          <a:spLocks noChangeArrowheads="1"/>
        </xdr:cNvSpPr>
      </xdr:nvSpPr>
      <xdr:spPr bwMode="auto">
        <a:xfrm>
          <a:off x="0" y="0"/>
          <a:ext cx="860298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861060</xdr:colOff>
      <xdr:row>62</xdr:row>
      <xdr:rowOff>106680</xdr:rowOff>
    </xdr:to>
    <xdr:sp macro="" textlink="">
      <xdr:nvSpPr>
        <xdr:cNvPr id="13" name="AutoShape 4"/>
        <xdr:cNvSpPr>
          <a:spLocks noChangeArrowheads="1"/>
        </xdr:cNvSpPr>
      </xdr:nvSpPr>
      <xdr:spPr bwMode="auto">
        <a:xfrm>
          <a:off x="0" y="0"/>
          <a:ext cx="860298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14" name="AutoShape 4"/>
        <xdr:cNvSpPr>
          <a:spLocks noChangeArrowheads="1"/>
        </xdr:cNvSpPr>
      </xdr:nvSpPr>
      <xdr:spPr bwMode="auto">
        <a:xfrm>
          <a:off x="0" y="0"/>
          <a:ext cx="13121640"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5" name="AutoShape 4"/>
        <xdr:cNvSpPr>
          <a:spLocks noChangeArrowheads="1"/>
        </xdr:cNvSpPr>
      </xdr:nvSpPr>
      <xdr:spPr bwMode="auto">
        <a:xfrm>
          <a:off x="0" y="0"/>
          <a:ext cx="9837420" cy="99364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6" name="AutoShape 4"/>
        <xdr:cNvSpPr>
          <a:spLocks noChangeArrowheads="1"/>
        </xdr:cNvSpPr>
      </xdr:nvSpPr>
      <xdr:spPr bwMode="auto">
        <a:xfrm>
          <a:off x="0" y="0"/>
          <a:ext cx="983742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7" name="AutoShape 4"/>
        <xdr:cNvSpPr>
          <a:spLocks noChangeArrowheads="1"/>
        </xdr:cNvSpPr>
      </xdr:nvSpPr>
      <xdr:spPr bwMode="auto">
        <a:xfrm>
          <a:off x="0" y="0"/>
          <a:ext cx="983742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8" name="AutoShape 4"/>
        <xdr:cNvSpPr>
          <a:spLocks noChangeArrowheads="1"/>
        </xdr:cNvSpPr>
      </xdr:nvSpPr>
      <xdr:spPr bwMode="auto">
        <a:xfrm>
          <a:off x="0" y="0"/>
          <a:ext cx="983742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64</xdr:row>
      <xdr:rowOff>106680</xdr:rowOff>
    </xdr:to>
    <xdr:sp macro="" textlink="">
      <xdr:nvSpPr>
        <xdr:cNvPr id="19" name="AutoShape 4"/>
        <xdr:cNvSpPr>
          <a:spLocks noChangeArrowheads="1"/>
        </xdr:cNvSpPr>
      </xdr:nvSpPr>
      <xdr:spPr bwMode="auto">
        <a:xfrm>
          <a:off x="0" y="0"/>
          <a:ext cx="983742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61</xdr:row>
      <xdr:rowOff>38100</xdr:rowOff>
    </xdr:to>
    <xdr:sp macro="" textlink="">
      <xdr:nvSpPr>
        <xdr:cNvPr id="20" name="AutoShape 4"/>
        <xdr:cNvSpPr>
          <a:spLocks noChangeArrowheads="1"/>
        </xdr:cNvSpPr>
      </xdr:nvSpPr>
      <xdr:spPr bwMode="auto">
        <a:xfrm>
          <a:off x="0" y="0"/>
          <a:ext cx="13121640" cy="94564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21" name="AutoShape 4"/>
        <xdr:cNvSpPr>
          <a:spLocks noChangeArrowheads="1"/>
        </xdr:cNvSpPr>
      </xdr:nvSpPr>
      <xdr:spPr bwMode="auto">
        <a:xfrm>
          <a:off x="0" y="0"/>
          <a:ext cx="13121640"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2"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3" name="AutoShape 4"/>
        <xdr:cNvSpPr>
          <a:spLocks noChangeArrowheads="1"/>
        </xdr:cNvSpPr>
      </xdr:nvSpPr>
      <xdr:spPr bwMode="auto">
        <a:xfrm>
          <a:off x="0" y="0"/>
          <a:ext cx="9837420" cy="9662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4"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5"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26" name="AutoShape 4"/>
        <xdr:cNvSpPr>
          <a:spLocks noChangeArrowheads="1"/>
        </xdr:cNvSpPr>
      </xdr:nvSpPr>
      <xdr:spPr bwMode="auto">
        <a:xfrm>
          <a:off x="0" y="0"/>
          <a:ext cx="13121640"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27" name="AutoShape 4"/>
        <xdr:cNvSpPr>
          <a:spLocks noChangeArrowheads="1"/>
        </xdr:cNvSpPr>
      </xdr:nvSpPr>
      <xdr:spPr bwMode="auto">
        <a:xfrm>
          <a:off x="0" y="0"/>
          <a:ext cx="13121640"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8"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29"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30" name="AutoShape 4"/>
        <xdr:cNvSpPr>
          <a:spLocks noChangeArrowheads="1"/>
        </xdr:cNvSpPr>
      </xdr:nvSpPr>
      <xdr:spPr bwMode="auto">
        <a:xfrm>
          <a:off x="0" y="0"/>
          <a:ext cx="13121640"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31"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32"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33" name="AutoShape 4"/>
        <xdr:cNvSpPr>
          <a:spLocks noChangeArrowheads="1"/>
        </xdr:cNvSpPr>
      </xdr:nvSpPr>
      <xdr:spPr bwMode="auto">
        <a:xfrm>
          <a:off x="0" y="0"/>
          <a:ext cx="13121640" cy="93192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34"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35"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861060</xdr:colOff>
      <xdr:row>62</xdr:row>
      <xdr:rowOff>106680</xdr:rowOff>
    </xdr:to>
    <xdr:sp macro="" textlink="">
      <xdr:nvSpPr>
        <xdr:cNvPr id="36" name="AutoShape 4"/>
        <xdr:cNvSpPr>
          <a:spLocks noChangeArrowheads="1"/>
        </xdr:cNvSpPr>
      </xdr:nvSpPr>
      <xdr:spPr bwMode="auto">
        <a:xfrm>
          <a:off x="0" y="0"/>
          <a:ext cx="9837420" cy="96621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60</xdr:row>
      <xdr:rowOff>38100</xdr:rowOff>
    </xdr:to>
    <xdr:sp macro="" textlink="">
      <xdr:nvSpPr>
        <xdr:cNvPr id="37" name="AutoShape 4"/>
        <xdr:cNvSpPr>
          <a:spLocks noChangeArrowheads="1"/>
        </xdr:cNvSpPr>
      </xdr:nvSpPr>
      <xdr:spPr bwMode="auto">
        <a:xfrm>
          <a:off x="0" y="0"/>
          <a:ext cx="13121640" cy="93192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228600</xdr:colOff>
      <xdr:row>61</xdr:row>
      <xdr:rowOff>38100</xdr:rowOff>
    </xdr:to>
    <xdr:sp macro="" textlink="">
      <xdr:nvSpPr>
        <xdr:cNvPr id="38" name="AutoShape 4"/>
        <xdr:cNvSpPr>
          <a:spLocks noChangeArrowheads="1"/>
        </xdr:cNvSpPr>
      </xdr:nvSpPr>
      <xdr:spPr bwMode="auto">
        <a:xfrm>
          <a:off x="0" y="0"/>
          <a:ext cx="13121640" cy="945642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1181100</xdr:colOff>
      <xdr:row>63</xdr:row>
      <xdr:rowOff>106680</xdr:rowOff>
    </xdr:to>
    <xdr:sp macro="" textlink="">
      <xdr:nvSpPr>
        <xdr:cNvPr id="39" name="AutoShape 4"/>
        <xdr:cNvSpPr>
          <a:spLocks noChangeArrowheads="1"/>
        </xdr:cNvSpPr>
      </xdr:nvSpPr>
      <xdr:spPr bwMode="auto">
        <a:xfrm>
          <a:off x="0" y="0"/>
          <a:ext cx="8923020" cy="979932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7</xdr:col>
      <xdr:colOff>228600</xdr:colOff>
      <xdr:row>62</xdr:row>
      <xdr:rowOff>38100</xdr:rowOff>
    </xdr:to>
    <xdr:sp macro="" textlink="">
      <xdr:nvSpPr>
        <xdr:cNvPr id="40" name="AutoShape 4"/>
        <xdr:cNvSpPr>
          <a:spLocks noChangeArrowheads="1"/>
        </xdr:cNvSpPr>
      </xdr:nvSpPr>
      <xdr:spPr bwMode="auto">
        <a:xfrm>
          <a:off x="0" y="0"/>
          <a:ext cx="9204960" cy="95935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6</xdr:col>
      <xdr:colOff>1181100</xdr:colOff>
      <xdr:row>64</xdr:row>
      <xdr:rowOff>106680</xdr:rowOff>
    </xdr:to>
    <xdr:sp macro="" textlink="">
      <xdr:nvSpPr>
        <xdr:cNvPr id="41" name="AutoShape 4"/>
        <xdr:cNvSpPr>
          <a:spLocks noChangeArrowheads="1"/>
        </xdr:cNvSpPr>
      </xdr:nvSpPr>
      <xdr:spPr bwMode="auto">
        <a:xfrm>
          <a:off x="0" y="0"/>
          <a:ext cx="892302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1181100</xdr:colOff>
      <xdr:row>64</xdr:row>
      <xdr:rowOff>106680</xdr:rowOff>
    </xdr:to>
    <xdr:sp macro="" textlink="">
      <xdr:nvSpPr>
        <xdr:cNvPr id="42" name="AutoShape 4"/>
        <xdr:cNvSpPr>
          <a:spLocks noChangeArrowheads="1"/>
        </xdr:cNvSpPr>
      </xdr:nvSpPr>
      <xdr:spPr bwMode="auto">
        <a:xfrm>
          <a:off x="0" y="0"/>
          <a:ext cx="710946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43" name="AutoShape 4"/>
        <xdr:cNvSpPr>
          <a:spLocks noChangeArrowheads="1"/>
        </xdr:cNvSpPr>
      </xdr:nvSpPr>
      <xdr:spPr bwMode="auto">
        <a:xfrm>
          <a:off x="0" y="0"/>
          <a:ext cx="7319010" cy="95935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44" name="AutoShape 4"/>
        <xdr:cNvSpPr>
          <a:spLocks noChangeArrowheads="1"/>
        </xdr:cNvSpPr>
      </xdr:nvSpPr>
      <xdr:spPr bwMode="auto">
        <a:xfrm>
          <a:off x="0" y="0"/>
          <a:ext cx="7319010" cy="95935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45" name="AutoShape 4"/>
        <xdr:cNvSpPr>
          <a:spLocks noChangeArrowheads="1"/>
        </xdr:cNvSpPr>
      </xdr:nvSpPr>
      <xdr:spPr bwMode="auto">
        <a:xfrm>
          <a:off x="0" y="0"/>
          <a:ext cx="7319010" cy="95935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1390650</xdr:colOff>
      <xdr:row>62</xdr:row>
      <xdr:rowOff>38100</xdr:rowOff>
    </xdr:to>
    <xdr:sp macro="" textlink="">
      <xdr:nvSpPr>
        <xdr:cNvPr id="46" name="AutoShape 4"/>
        <xdr:cNvSpPr>
          <a:spLocks noChangeArrowheads="1"/>
        </xdr:cNvSpPr>
      </xdr:nvSpPr>
      <xdr:spPr bwMode="auto">
        <a:xfrm>
          <a:off x="0" y="0"/>
          <a:ext cx="7319010" cy="95935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1173480</xdr:colOff>
      <xdr:row>64</xdr:row>
      <xdr:rowOff>106680</xdr:rowOff>
    </xdr:to>
    <xdr:sp macro="" textlink="">
      <xdr:nvSpPr>
        <xdr:cNvPr id="47" name="AutoShape 4"/>
        <xdr:cNvSpPr>
          <a:spLocks noChangeArrowheads="1"/>
        </xdr:cNvSpPr>
      </xdr:nvSpPr>
      <xdr:spPr bwMode="auto">
        <a:xfrm>
          <a:off x="0" y="0"/>
          <a:ext cx="7101840" cy="99364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1173480</xdr:colOff>
      <xdr:row>64</xdr:row>
      <xdr:rowOff>106680</xdr:rowOff>
    </xdr:to>
    <xdr:sp macro="" textlink="">
      <xdr:nvSpPr>
        <xdr:cNvPr id="48" name="AutoShape 4"/>
        <xdr:cNvSpPr>
          <a:spLocks noChangeArrowheads="1"/>
        </xdr:cNvSpPr>
      </xdr:nvSpPr>
      <xdr:spPr bwMode="auto">
        <a:xfrm>
          <a:off x="0" y="0"/>
          <a:ext cx="7101840" cy="993648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1076325</xdr:colOff>
      <xdr:row>64</xdr:row>
      <xdr:rowOff>133350</xdr:rowOff>
    </xdr:to>
    <xdr:sp macro="" textlink="">
      <xdr:nvSpPr>
        <xdr:cNvPr id="4100" name="AutoShape 4"/>
        <xdr:cNvSpPr>
          <a:spLocks noChangeArrowheads="1"/>
        </xdr:cNvSpPr>
      </xdr:nvSpPr>
      <xdr:spPr bwMode="auto">
        <a:xfrm>
          <a:off x="0" y="0"/>
          <a:ext cx="5334000" cy="11049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1076325</xdr:colOff>
      <xdr:row>64</xdr:row>
      <xdr:rowOff>133350</xdr:rowOff>
    </xdr:to>
    <xdr:sp macro="" textlink="">
      <xdr:nvSpPr>
        <xdr:cNvPr id="2" name="AutoShape 4"/>
        <xdr:cNvSpPr>
          <a:spLocks noChangeArrowheads="1"/>
        </xdr:cNvSpPr>
      </xdr:nvSpPr>
      <xdr:spPr bwMode="auto">
        <a:xfrm>
          <a:off x="0" y="0"/>
          <a:ext cx="5334000" cy="11049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861060</xdr:colOff>
      <xdr:row>64</xdr:row>
      <xdr:rowOff>106680</xdr:rowOff>
    </xdr:to>
    <xdr:sp macro="" textlink="">
      <xdr:nvSpPr>
        <xdr:cNvPr id="3" name="AutoShape 4"/>
        <xdr:cNvSpPr>
          <a:spLocks noChangeArrowheads="1"/>
        </xdr:cNvSpPr>
      </xdr:nvSpPr>
      <xdr:spPr bwMode="auto">
        <a:xfrm>
          <a:off x="0" y="0"/>
          <a:ext cx="5547360" cy="11353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1076325</xdr:colOff>
      <xdr:row>64</xdr:row>
      <xdr:rowOff>133350</xdr:rowOff>
    </xdr:to>
    <xdr:sp macro="" textlink="">
      <xdr:nvSpPr>
        <xdr:cNvPr id="4" name="AutoShape 4"/>
        <xdr:cNvSpPr>
          <a:spLocks noChangeArrowheads="1"/>
        </xdr:cNvSpPr>
      </xdr:nvSpPr>
      <xdr:spPr bwMode="auto">
        <a:xfrm>
          <a:off x="0" y="0"/>
          <a:ext cx="5334000" cy="11049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861060</xdr:colOff>
      <xdr:row>64</xdr:row>
      <xdr:rowOff>106680</xdr:rowOff>
    </xdr:to>
    <xdr:sp macro="" textlink="">
      <xdr:nvSpPr>
        <xdr:cNvPr id="5" name="AutoShape 4"/>
        <xdr:cNvSpPr>
          <a:spLocks noChangeArrowheads="1"/>
        </xdr:cNvSpPr>
      </xdr:nvSpPr>
      <xdr:spPr bwMode="auto">
        <a:xfrm>
          <a:off x="0" y="0"/>
          <a:ext cx="5547360" cy="11353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861060</xdr:colOff>
      <xdr:row>64</xdr:row>
      <xdr:rowOff>106680</xdr:rowOff>
    </xdr:to>
    <xdr:sp macro="" textlink="">
      <xdr:nvSpPr>
        <xdr:cNvPr id="6" name="AutoShape 4"/>
        <xdr:cNvSpPr>
          <a:spLocks noChangeArrowheads="1"/>
        </xdr:cNvSpPr>
      </xdr:nvSpPr>
      <xdr:spPr bwMode="auto">
        <a:xfrm>
          <a:off x="0" y="0"/>
          <a:ext cx="5547360" cy="1067562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1076325</xdr:colOff>
      <xdr:row>64</xdr:row>
      <xdr:rowOff>133350</xdr:rowOff>
    </xdr:to>
    <xdr:sp macro="" textlink="">
      <xdr:nvSpPr>
        <xdr:cNvPr id="7" name="AutoShape 4"/>
        <xdr:cNvSpPr>
          <a:spLocks noChangeArrowheads="1"/>
        </xdr:cNvSpPr>
      </xdr:nvSpPr>
      <xdr:spPr bwMode="auto">
        <a:xfrm>
          <a:off x="0" y="0"/>
          <a:ext cx="5334000" cy="106203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1076325</xdr:colOff>
      <xdr:row>64</xdr:row>
      <xdr:rowOff>133350</xdr:rowOff>
    </xdr:to>
    <xdr:sp macro="" textlink="">
      <xdr:nvSpPr>
        <xdr:cNvPr id="8" name="AutoShape 4"/>
        <xdr:cNvSpPr>
          <a:spLocks noChangeArrowheads="1"/>
        </xdr:cNvSpPr>
      </xdr:nvSpPr>
      <xdr:spPr bwMode="auto">
        <a:xfrm>
          <a:off x="0" y="0"/>
          <a:ext cx="5838825" cy="105441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1076325</xdr:colOff>
      <xdr:row>64</xdr:row>
      <xdr:rowOff>133350</xdr:rowOff>
    </xdr:to>
    <xdr:sp macro="" textlink="">
      <xdr:nvSpPr>
        <xdr:cNvPr id="9" name="AutoShape 4"/>
        <xdr:cNvSpPr>
          <a:spLocks noChangeArrowheads="1"/>
        </xdr:cNvSpPr>
      </xdr:nvSpPr>
      <xdr:spPr bwMode="auto">
        <a:xfrm>
          <a:off x="0" y="0"/>
          <a:ext cx="5838825" cy="105441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1076325</xdr:colOff>
      <xdr:row>64</xdr:row>
      <xdr:rowOff>133350</xdr:rowOff>
    </xdr:to>
    <xdr:sp macro="" textlink="">
      <xdr:nvSpPr>
        <xdr:cNvPr id="10" name="AutoShape 4"/>
        <xdr:cNvSpPr>
          <a:spLocks noChangeArrowheads="1"/>
        </xdr:cNvSpPr>
      </xdr:nvSpPr>
      <xdr:spPr bwMode="auto">
        <a:xfrm>
          <a:off x="0" y="0"/>
          <a:ext cx="5838825" cy="105441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861060</xdr:colOff>
      <xdr:row>64</xdr:row>
      <xdr:rowOff>106680</xdr:rowOff>
    </xdr:to>
    <xdr:sp macro="" textlink="">
      <xdr:nvSpPr>
        <xdr:cNvPr id="11" name="AutoShape 4"/>
        <xdr:cNvSpPr>
          <a:spLocks noChangeArrowheads="1"/>
        </xdr:cNvSpPr>
      </xdr:nvSpPr>
      <xdr:spPr bwMode="auto">
        <a:xfrm>
          <a:off x="0" y="0"/>
          <a:ext cx="6050280" cy="105537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861060</xdr:colOff>
      <xdr:row>64</xdr:row>
      <xdr:rowOff>106680</xdr:rowOff>
    </xdr:to>
    <xdr:sp macro="" textlink="">
      <xdr:nvSpPr>
        <xdr:cNvPr id="12" name="AutoShape 4"/>
        <xdr:cNvSpPr>
          <a:spLocks noChangeArrowheads="1"/>
        </xdr:cNvSpPr>
      </xdr:nvSpPr>
      <xdr:spPr bwMode="auto">
        <a:xfrm>
          <a:off x="0" y="0"/>
          <a:ext cx="6050280" cy="105537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sigmaaldrich.com/catalog/Lookup.do?N5=CAS+No.&amp;N3=mode+matchpartialmax&amp;N4=508-75-8&amp;D7=0&amp;D10=&amp;N25=0&amp;N1=S_ID&amp;ST=RS&amp;F=PR" TargetMode="External"/><Relationship Id="rId13" Type="http://schemas.openxmlformats.org/officeDocument/2006/relationships/hyperlink" Target="http://www.sigmaaldrich.com/catalog/Lookup.do?N5=CAS+No.&amp;N3=mode+matchpartialmax&amp;N4=207671-50-9&amp;D7=0&amp;D10=&amp;N25=0&amp;N1=S_ID&amp;ST=RS&amp;F=PR" TargetMode="External"/><Relationship Id="rId18" Type="http://schemas.openxmlformats.org/officeDocument/2006/relationships/hyperlink" Target="http://www.sigmaaldrich.com/catalog/Lookup.do?N5=CAS+No.&amp;N3=mode+matchpartialmax&amp;N4=6055-19-2&amp;D7=0&amp;D10=&amp;N25=0&amp;N1=S_ID&amp;ST=RS&amp;F=PR" TargetMode="External"/><Relationship Id="rId26" Type="http://schemas.openxmlformats.org/officeDocument/2006/relationships/hyperlink" Target="http://www.sigmaaldrich.com/catalog/Lookup.do?N5=CAS+No.&amp;N3=mode+matchpartialmax&amp;N4=67-68-5&amp;D7=0&amp;D10=&amp;N25=0&amp;N1=S_ID&amp;ST=RS&amp;F=PR" TargetMode="External"/><Relationship Id="rId3" Type="http://schemas.openxmlformats.org/officeDocument/2006/relationships/hyperlink" Target="http://www.sigmaaldrich.com/catalog/Lookup.do?N5=CAS+No.&amp;N3=mode+matchpartialmax&amp;N4=83-67-0&amp;D7=0&amp;D10=&amp;N25=0&amp;N1=S_ID&amp;ST=RS&amp;F=PR" TargetMode="External"/><Relationship Id="rId21" Type="http://schemas.openxmlformats.org/officeDocument/2006/relationships/hyperlink" Target="http://www.sigmaaldrich.com/catalog/Lookup.do?N5=CAS+No.&amp;N3=mode+matchpartialmax&amp;N4=69-09-0&amp;D7=0&amp;D10=&amp;N25=0&amp;N1=S_ID&amp;ST=RS&amp;F=PR" TargetMode="External"/><Relationship Id="rId7" Type="http://schemas.openxmlformats.org/officeDocument/2006/relationships/hyperlink" Target="http://www.sigmaaldrich.com/catalog/Lookup.do?N5=CAS+No.&amp;N3=mode+matchpartialmax&amp;N4=497-76-7&amp;D7=0&amp;D10=&amp;N25=0&amp;N1=S_ID&amp;ST=RS&amp;F=PR" TargetMode="External"/><Relationship Id="rId12" Type="http://schemas.openxmlformats.org/officeDocument/2006/relationships/hyperlink" Target="http://www.sigmaaldrich.com/catalog/Lookup.do?N5=CAS+No.&amp;N3=mode+matchpartialmax&amp;N4=11018-89-6&amp;D7=0&amp;D10=&amp;N25=0&amp;N1=S_ID&amp;ST=RS&amp;F=PR" TargetMode="External"/><Relationship Id="rId17" Type="http://schemas.openxmlformats.org/officeDocument/2006/relationships/hyperlink" Target="http://www.commonchemistry.org/ChemicalDetail.aspx?ref=76-03-9" TargetMode="External"/><Relationship Id="rId25" Type="http://schemas.openxmlformats.org/officeDocument/2006/relationships/hyperlink" Target="http://www.sigmaaldrich.com/catalog/Lookup.do?N5=CAS+No.&amp;N3=mode+matchpartialmax&amp;N4=108-95-2&amp;D7=0&amp;D10=&amp;N25=0&amp;N1=S_ID&amp;ST=RS&amp;F=PR" TargetMode="External"/><Relationship Id="rId2" Type="http://schemas.openxmlformats.org/officeDocument/2006/relationships/hyperlink" Target="http://www.sigmaaldrich.com/catalog/Lookup.do?N5=CAS+No.&amp;N3=mode+matchpartialmax&amp;N4=1421-86-9&amp;D7=0&amp;D10=&amp;N25=0&amp;N1=S_ID&amp;ST=RS&amp;F=PR" TargetMode="External"/><Relationship Id="rId16" Type="http://schemas.openxmlformats.org/officeDocument/2006/relationships/hyperlink" Target="http://www.sigmaaldrich.com/catalog/Lookup.do?N5=CAS+No.&amp;N3=mode+matchpartialmax&amp;N4=62-76-0&amp;D7=0&amp;D10=&amp;N25=0&amp;N1=S_ID&amp;ST=RS&amp;F=PR" TargetMode="External"/><Relationship Id="rId20" Type="http://schemas.openxmlformats.org/officeDocument/2006/relationships/hyperlink" Target="http://www.sigmaaldrich.com/catalog/Lookup.do?N5=CAS+No.&amp;N3=mode+matchpartialmax&amp;N4=14919-77-8&amp;D7=0&amp;D10=&amp;N25=0&amp;N1=S_ID&amp;ST=RS&amp;F=PR" TargetMode="External"/><Relationship Id="rId29" Type="http://schemas.openxmlformats.org/officeDocument/2006/relationships/hyperlink" Target="http://www.sigmaaldrich.com/catalog/Lookup.do?N5=CAS+No.&amp;N3=mode+matchpartialmax&amp;N4=549-18-8&amp;D7=0&amp;D10=&amp;N25=0&amp;N1=S_ID&amp;ST=RS&amp;F=PR" TargetMode="External"/><Relationship Id="rId1" Type="http://schemas.openxmlformats.org/officeDocument/2006/relationships/hyperlink" Target="http://www.sigmaaldrich.com/catalog/Lookup.do?N5=CAS+No.&amp;N3=mode+matchpartialmax&amp;N4=6533-68-2&amp;D7=0&amp;D10=&amp;N25=0&amp;N1=S_ID&amp;ST=RS&amp;F=PR" TargetMode="External"/><Relationship Id="rId6" Type="http://schemas.openxmlformats.org/officeDocument/2006/relationships/hyperlink" Target="http://www.sigmaaldrich.com/catalog/Lookup.do?N5=CAS+No.&amp;N3=mode+matchpartialmax&amp;N4=29883-15-6&amp;D7=0&amp;D10=&amp;N25=0&amp;N1=S_ID&amp;ST=RS&amp;F=PR" TargetMode="External"/><Relationship Id="rId11" Type="http://schemas.openxmlformats.org/officeDocument/2006/relationships/hyperlink" Target="http://www.sigmaaldrich.com/catalog/Lookup.do?N5=CAS+No.&amp;N3=mode+matchpartialmax&amp;N4=13241-33-3&amp;D7=0&amp;D10=&amp;N25=0&amp;N1=S_ID&amp;ST=RS&amp;F=PR" TargetMode="External"/><Relationship Id="rId24" Type="http://schemas.openxmlformats.org/officeDocument/2006/relationships/hyperlink" Target="http://www.sigmaaldrich.com/catalog/Lookup.do?N5=CAS+No.&amp;N3=mode+matchpartialmax&amp;N4=152-11-4&amp;D7=0&amp;D10=&amp;N25=0&amp;N1=S_ID&amp;ST=RS&amp;F=PR" TargetMode="External"/><Relationship Id="rId5" Type="http://schemas.openxmlformats.org/officeDocument/2006/relationships/hyperlink" Target="http://www.sigmaaldrich.com/catalog/Lookup.do?N5=CAS+No.&amp;N3=mode+matchpartialmax&amp;N4=65-19-0&amp;D7=0&amp;D10=&amp;N25=0&amp;N1=S_ID&amp;ST=RS&amp;F=PR" TargetMode="External"/><Relationship Id="rId15" Type="http://schemas.openxmlformats.org/officeDocument/2006/relationships/hyperlink" Target="http://www.sigmaaldrich.com/catalog/Lookup.do?N5=CAS+No.&amp;N3=mode+matchpartialmax&amp;N4=56-81-5&amp;D7=0&amp;D10=&amp;N25=0&amp;N1=S_ID&amp;ST=RS&amp;F=PR" TargetMode="External"/><Relationship Id="rId23" Type="http://schemas.openxmlformats.org/officeDocument/2006/relationships/hyperlink" Target="http://www.sigmaaldrich.com/catalog/Lookup.do?N5=CAS+No.&amp;N3=mode+matchpartialmax&amp;N4=1070-11-7&amp;D7=0&amp;D10=&amp;N25=0&amp;N1=S_ID&amp;ST=RS&amp;F=PR" TargetMode="External"/><Relationship Id="rId28" Type="http://schemas.openxmlformats.org/officeDocument/2006/relationships/hyperlink" Target="http://www.sigmaaldrich.com/catalog/Lookup.do?N5=CAS+No.&amp;N3=mode+matchpartialmax&amp;N4=834-28-6&amp;D7=0&amp;D10=&amp;N25=0&amp;N1=S_ID&amp;ST=RS&amp;F=PR" TargetMode="External"/><Relationship Id="rId10" Type="http://schemas.openxmlformats.org/officeDocument/2006/relationships/hyperlink" Target="http://www.sigmaaldrich.com/catalog/Lookup.do?N5=CAS+No.&amp;N3=mode+matchpartialmax&amp;N4=71-63-6&amp;D7=0&amp;D10=&amp;N25=0&amp;N1=S_ID&amp;ST=RS&amp;F=PR" TargetMode="External"/><Relationship Id="rId19" Type="http://schemas.openxmlformats.org/officeDocument/2006/relationships/hyperlink" Target="http://www.sigmaaldrich.com/catalog/Lookup.do?N5=CAS+No.&amp;N3=mode+matchpartialmax&amp;N4=103-90-2&amp;D7=0&amp;D10=&amp;N25=0&amp;N1=S_ID&amp;ST=RS&amp;F=PR" TargetMode="External"/><Relationship Id="rId31" Type="http://schemas.openxmlformats.org/officeDocument/2006/relationships/drawing" Target="../drawings/drawing1.xml"/><Relationship Id="rId4" Type="http://schemas.openxmlformats.org/officeDocument/2006/relationships/hyperlink" Target="http://www.sigmaaldrich.com/catalog/Lookup.do?N5=CAS+No.&amp;N3=mode+matchpartialmax&amp;N4=6989-98-6&amp;D7=0&amp;D10=&amp;N25=0&amp;N1=S_ID&amp;ST=RS&amp;F=PR" TargetMode="External"/><Relationship Id="rId9" Type="http://schemas.openxmlformats.org/officeDocument/2006/relationships/hyperlink" Target="http://www.sigmaaldrich.com/catalog/Lookup.do?N5=CAS+No.&amp;N3=mode+matchpartialmax&amp;N4=91-64-5&amp;D7=0&amp;D10=&amp;N25=0&amp;N1=S_ID&amp;ST=RS&amp;F=PR" TargetMode="External"/><Relationship Id="rId14" Type="http://schemas.openxmlformats.org/officeDocument/2006/relationships/hyperlink" Target="http://www.sigmaaldrich.com/catalog/Lookup.do?N5=CAS+No.&amp;N3=mode+matchpartialmax&amp;N4=3810-74-0&amp;D7=0&amp;D10=&amp;N25=0&amp;N1=S_ID&amp;ST=RS&amp;F=PR" TargetMode="External"/><Relationship Id="rId22" Type="http://schemas.openxmlformats.org/officeDocument/2006/relationships/hyperlink" Target="http://www.sigmaaldrich.com/catalog/Lookup.do?N5=CAS+No.&amp;N3=mode+matchpartialmax&amp;N4=156-51-4&amp;D7=0&amp;D10=&amp;N25=0&amp;N1=S_ID&amp;ST=RS&amp;F=PR" TargetMode="External"/><Relationship Id="rId27" Type="http://schemas.openxmlformats.org/officeDocument/2006/relationships/hyperlink" Target="http://www.sigmaaldrich.com/catalog/Lookup.do?N5=CAS+No.&amp;N3=mode+matchpartialmax&amp;N4=50-00-0&amp;D7=0&amp;D10=&amp;N25=0&amp;N1=S_ID&amp;ST=RS&amp;F=PR" TargetMode="External"/><Relationship Id="rId30"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www.sigmaaldrich.com/catalog/Lookup.do?N5=CAS+No.&amp;N3=mode+matchpartialmax&amp;N4=508-75-8&amp;D7=0&amp;D10=&amp;N25=0&amp;N1=S_ID&amp;ST=RS&amp;F=PR" TargetMode="External"/><Relationship Id="rId13" Type="http://schemas.openxmlformats.org/officeDocument/2006/relationships/hyperlink" Target="http://www.sigmaaldrich.com/catalog/Lookup.do?N5=CAS+No.&amp;N3=mode+matchpartialmax&amp;N4=207671-50-9&amp;D7=0&amp;D10=&amp;N25=0&amp;N1=S_ID&amp;ST=RS&amp;F=PR" TargetMode="External"/><Relationship Id="rId18" Type="http://schemas.openxmlformats.org/officeDocument/2006/relationships/hyperlink" Target="http://www.sigmaaldrich.com/catalog/Lookup.do?N5=CAS+No.&amp;N3=mode+matchpartialmax&amp;N4=6055-19-2&amp;D7=0&amp;D10=&amp;N25=0&amp;N1=S_ID&amp;ST=RS&amp;F=PR" TargetMode="External"/><Relationship Id="rId26" Type="http://schemas.openxmlformats.org/officeDocument/2006/relationships/hyperlink" Target="http://www.sigmaaldrich.com/catalog/Lookup.do?N5=CAS+No.&amp;N3=mode+matchpartialmax&amp;N4=67-68-5&amp;D7=0&amp;D10=&amp;N25=0&amp;N1=S_ID&amp;ST=RS&amp;F=PR" TargetMode="External"/><Relationship Id="rId3" Type="http://schemas.openxmlformats.org/officeDocument/2006/relationships/hyperlink" Target="http://www.sigmaaldrich.com/catalog/Lookup.do?N5=CAS+No.&amp;N3=mode+matchpartialmax&amp;N4=83-67-0&amp;D7=0&amp;D10=&amp;N25=0&amp;N1=S_ID&amp;ST=RS&amp;F=PR" TargetMode="External"/><Relationship Id="rId21" Type="http://schemas.openxmlformats.org/officeDocument/2006/relationships/hyperlink" Target="http://www.sigmaaldrich.com/catalog/Lookup.do?N5=CAS+No.&amp;N3=mode+matchpartialmax&amp;N4=69-09-0&amp;D7=0&amp;D10=&amp;N25=0&amp;N1=S_ID&amp;ST=RS&amp;F=PR" TargetMode="External"/><Relationship Id="rId7" Type="http://schemas.openxmlformats.org/officeDocument/2006/relationships/hyperlink" Target="http://www.sigmaaldrich.com/catalog/Lookup.do?N5=CAS+No.&amp;N3=mode+matchpartialmax&amp;N4=497-76-7&amp;D7=0&amp;D10=&amp;N25=0&amp;N1=S_ID&amp;ST=RS&amp;F=PR" TargetMode="External"/><Relationship Id="rId12" Type="http://schemas.openxmlformats.org/officeDocument/2006/relationships/hyperlink" Target="http://www.sigmaaldrich.com/catalog/Lookup.do?N5=CAS+No.&amp;N3=mode+matchpartialmax&amp;N4=11018-89-6&amp;D7=0&amp;D10=&amp;N25=0&amp;N1=S_ID&amp;ST=RS&amp;F=PR" TargetMode="External"/><Relationship Id="rId17" Type="http://schemas.openxmlformats.org/officeDocument/2006/relationships/hyperlink" Target="http://www.commonchemistry.org/ChemicalDetail.aspx?ref=76-03-9" TargetMode="External"/><Relationship Id="rId25" Type="http://schemas.openxmlformats.org/officeDocument/2006/relationships/hyperlink" Target="http://www.sigmaaldrich.com/catalog/Lookup.do?N5=CAS+No.&amp;N3=mode+matchpartialmax&amp;N4=108-95-2&amp;D7=0&amp;D10=&amp;N25=0&amp;N1=S_ID&amp;ST=RS&amp;F=PR" TargetMode="External"/><Relationship Id="rId33" Type="http://schemas.openxmlformats.org/officeDocument/2006/relationships/comments" Target="../comments1.xml"/><Relationship Id="rId2" Type="http://schemas.openxmlformats.org/officeDocument/2006/relationships/hyperlink" Target="http://www.sigmaaldrich.com/catalog/Lookup.do?N5=CAS+No.&amp;N3=mode+matchpartialmax&amp;N4=1421-86-9&amp;D7=0&amp;D10=&amp;N25=0&amp;N1=S_ID&amp;ST=RS&amp;F=PR" TargetMode="External"/><Relationship Id="rId16" Type="http://schemas.openxmlformats.org/officeDocument/2006/relationships/hyperlink" Target="http://www.sigmaaldrich.com/catalog/Lookup.do?N5=CAS+No.&amp;N3=mode+matchpartialmax&amp;N4=62-76-0&amp;D7=0&amp;D10=&amp;N25=0&amp;N1=S_ID&amp;ST=RS&amp;F=PR" TargetMode="External"/><Relationship Id="rId20" Type="http://schemas.openxmlformats.org/officeDocument/2006/relationships/hyperlink" Target="http://www.sigmaaldrich.com/catalog/Lookup.do?N5=CAS+No.&amp;N3=mode+matchpartialmax&amp;N4=14919-77-8&amp;D7=0&amp;D10=&amp;N25=0&amp;N1=S_ID&amp;ST=RS&amp;F=PR" TargetMode="External"/><Relationship Id="rId29" Type="http://schemas.openxmlformats.org/officeDocument/2006/relationships/hyperlink" Target="http://www.sigmaaldrich.com/catalog/Lookup.do?N5=CAS+No.&amp;N3=mode+matchpartialmax&amp;N4=549-18-8&amp;D7=0&amp;D10=&amp;N25=0&amp;N1=S_ID&amp;ST=RS&amp;F=PR" TargetMode="External"/><Relationship Id="rId1" Type="http://schemas.openxmlformats.org/officeDocument/2006/relationships/hyperlink" Target="http://www.sigmaaldrich.com/catalog/Lookup.do?N5=CAS+No.&amp;N3=mode+matchpartialmax&amp;N4=6533-68-2&amp;D7=0&amp;D10=&amp;N25=0&amp;N1=S_ID&amp;ST=RS&amp;F=PR" TargetMode="External"/><Relationship Id="rId6" Type="http://schemas.openxmlformats.org/officeDocument/2006/relationships/hyperlink" Target="http://www.sigmaaldrich.com/catalog/Lookup.do?N5=CAS+No.&amp;N3=mode+matchpartialmax&amp;N4=29883-15-6&amp;D7=0&amp;D10=&amp;N25=0&amp;N1=S_ID&amp;ST=RS&amp;F=PR" TargetMode="External"/><Relationship Id="rId11" Type="http://schemas.openxmlformats.org/officeDocument/2006/relationships/hyperlink" Target="http://www.sigmaaldrich.com/catalog/Lookup.do?N5=CAS+No.&amp;N3=mode+matchpartialmax&amp;N4=13241-33-3&amp;D7=0&amp;D10=&amp;N25=0&amp;N1=S_ID&amp;ST=RS&amp;F=PR" TargetMode="External"/><Relationship Id="rId24" Type="http://schemas.openxmlformats.org/officeDocument/2006/relationships/hyperlink" Target="http://www.sigmaaldrich.com/catalog/Lookup.do?N5=CAS+No.&amp;N3=mode+matchpartialmax&amp;N4=152-11-4&amp;D7=0&amp;D10=&amp;N25=0&amp;N1=S_ID&amp;ST=RS&amp;F=PR" TargetMode="External"/><Relationship Id="rId32" Type="http://schemas.openxmlformats.org/officeDocument/2006/relationships/vmlDrawing" Target="../drawings/vmlDrawing1.vml"/><Relationship Id="rId5" Type="http://schemas.openxmlformats.org/officeDocument/2006/relationships/hyperlink" Target="http://www.sigmaaldrich.com/catalog/Lookup.do?N5=CAS+No.&amp;N3=mode+matchpartialmax&amp;N4=65-19-0&amp;D7=0&amp;D10=&amp;N25=0&amp;N1=S_ID&amp;ST=RS&amp;F=PR" TargetMode="External"/><Relationship Id="rId15" Type="http://schemas.openxmlformats.org/officeDocument/2006/relationships/hyperlink" Target="http://www.sigmaaldrich.com/catalog/Lookup.do?N5=CAS+No.&amp;N3=mode+matchpartialmax&amp;N4=56-81-5&amp;D7=0&amp;D10=&amp;N25=0&amp;N1=S_ID&amp;ST=RS&amp;F=PR" TargetMode="External"/><Relationship Id="rId23" Type="http://schemas.openxmlformats.org/officeDocument/2006/relationships/hyperlink" Target="http://www.sigmaaldrich.com/catalog/Lookup.do?N5=CAS+No.&amp;N3=mode+matchpartialmax&amp;N4=1070-11-7&amp;D7=0&amp;D10=&amp;N25=0&amp;N1=S_ID&amp;ST=RS&amp;F=PR" TargetMode="External"/><Relationship Id="rId28" Type="http://schemas.openxmlformats.org/officeDocument/2006/relationships/hyperlink" Target="http://www.sigmaaldrich.com/catalog/Lookup.do?N5=CAS+No.&amp;N3=mode+matchpartialmax&amp;N4=834-28-6&amp;D7=0&amp;D10=&amp;N25=0&amp;N1=S_ID&amp;ST=RS&amp;F=PR" TargetMode="External"/><Relationship Id="rId10" Type="http://schemas.openxmlformats.org/officeDocument/2006/relationships/hyperlink" Target="http://www.sigmaaldrich.com/catalog/Lookup.do?N5=CAS+No.&amp;N3=mode+matchpartialmax&amp;N4=71-63-6&amp;D7=0&amp;D10=&amp;N25=0&amp;N1=S_ID&amp;ST=RS&amp;F=PR" TargetMode="External"/><Relationship Id="rId19" Type="http://schemas.openxmlformats.org/officeDocument/2006/relationships/hyperlink" Target="http://www.sigmaaldrich.com/catalog/Lookup.do?N5=CAS+No.&amp;N3=mode+matchpartialmax&amp;N4=103-90-2&amp;D7=0&amp;D10=&amp;N25=0&amp;N1=S_ID&amp;ST=RS&amp;F=PR" TargetMode="External"/><Relationship Id="rId31" Type="http://schemas.openxmlformats.org/officeDocument/2006/relationships/drawing" Target="../drawings/drawing2.xml"/><Relationship Id="rId4" Type="http://schemas.openxmlformats.org/officeDocument/2006/relationships/hyperlink" Target="http://www.sigmaaldrich.com/catalog/Lookup.do?N5=CAS+No.&amp;N3=mode+matchpartialmax&amp;N4=6989-98-6&amp;D7=0&amp;D10=&amp;N25=0&amp;N1=S_ID&amp;ST=RS&amp;F=PR" TargetMode="External"/><Relationship Id="rId9" Type="http://schemas.openxmlformats.org/officeDocument/2006/relationships/hyperlink" Target="http://www.sigmaaldrich.com/catalog/Lookup.do?N5=CAS+No.&amp;N3=mode+matchpartialmax&amp;N4=91-64-5&amp;D7=0&amp;D10=&amp;N25=0&amp;N1=S_ID&amp;ST=RS&amp;F=PR" TargetMode="External"/><Relationship Id="rId14" Type="http://schemas.openxmlformats.org/officeDocument/2006/relationships/hyperlink" Target="http://www.sigmaaldrich.com/catalog/Lookup.do?N5=CAS+No.&amp;N3=mode+matchpartialmax&amp;N4=3810-74-0&amp;D7=0&amp;D10=&amp;N25=0&amp;N1=S_ID&amp;ST=RS&amp;F=PR" TargetMode="External"/><Relationship Id="rId22" Type="http://schemas.openxmlformats.org/officeDocument/2006/relationships/hyperlink" Target="http://www.sigmaaldrich.com/catalog/Lookup.do?N5=CAS+No.&amp;N3=mode+matchpartialmax&amp;N4=156-51-4&amp;D7=0&amp;D10=&amp;N25=0&amp;N1=S_ID&amp;ST=RS&amp;F=PR" TargetMode="External"/><Relationship Id="rId27" Type="http://schemas.openxmlformats.org/officeDocument/2006/relationships/hyperlink" Target="http://www.sigmaaldrich.com/catalog/Lookup.do?N5=CAS+No.&amp;N3=mode+matchpartialmax&amp;N4=50-00-0&amp;D7=0&amp;D10=&amp;N25=0&amp;N1=S_ID&amp;ST=RS&amp;F=PR" TargetMode="External"/><Relationship Id="rId30"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www.chemspider.com/" TargetMode="External"/><Relationship Id="rId2" Type="http://schemas.openxmlformats.org/officeDocument/2006/relationships/hyperlink" Target="http://www.syrres.com/what-we-do/databaseforms.aspx?id=386" TargetMode="External"/><Relationship Id="rId1" Type="http://schemas.openxmlformats.org/officeDocument/2006/relationships/hyperlink" Target="http://chem.sis.nlm.nih.gov/chemidplu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157"/>
  <sheetViews>
    <sheetView tabSelected="1" zoomScale="70" zoomScaleNormal="70" workbookViewId="0">
      <selection activeCell="B2" sqref="B2"/>
    </sheetView>
  </sheetViews>
  <sheetFormatPr defaultColWidth="8.85546875" defaultRowHeight="14.25" x14ac:dyDescent="0.2"/>
  <cols>
    <col min="1" max="1" width="8.85546875" style="465" customWidth="1"/>
    <col min="2" max="10" width="8.85546875" style="465"/>
    <col min="11" max="11" width="49" style="465" customWidth="1"/>
    <col min="12" max="16384" width="8.85546875" style="465"/>
  </cols>
  <sheetData>
    <row r="1" spans="1:101" s="467" customFormat="1" ht="15" x14ac:dyDescent="0.25">
      <c r="A1" s="466" t="s">
        <v>6643</v>
      </c>
      <c r="B1" s="466" t="s">
        <v>202</v>
      </c>
      <c r="C1" s="466" t="s">
        <v>6423</v>
      </c>
      <c r="D1" s="466" t="s">
        <v>203</v>
      </c>
      <c r="E1" s="466" t="s">
        <v>204</v>
      </c>
      <c r="F1" s="466" t="s">
        <v>205</v>
      </c>
      <c r="G1" s="466" t="s">
        <v>8339</v>
      </c>
      <c r="H1" s="466" t="s">
        <v>206</v>
      </c>
      <c r="I1" s="466" t="s">
        <v>207</v>
      </c>
      <c r="J1" s="466" t="s">
        <v>208</v>
      </c>
      <c r="K1" s="466" t="s">
        <v>5981</v>
      </c>
      <c r="L1" s="466" t="s">
        <v>6375</v>
      </c>
      <c r="M1" s="466" t="s">
        <v>209</v>
      </c>
      <c r="N1" s="466" t="s">
        <v>6638</v>
      </c>
      <c r="O1" s="466" t="s">
        <v>6171</v>
      </c>
      <c r="P1" s="466" t="s">
        <v>6639</v>
      </c>
      <c r="Q1" s="466" t="s">
        <v>8477</v>
      </c>
      <c r="R1" s="466" t="s">
        <v>210</v>
      </c>
      <c r="S1" s="466" t="s">
        <v>8484</v>
      </c>
      <c r="T1" s="466" t="s">
        <v>8483</v>
      </c>
      <c r="U1" s="466" t="s">
        <v>8485</v>
      </c>
      <c r="V1" s="466" t="s">
        <v>8346</v>
      </c>
      <c r="W1" s="466" t="s">
        <v>8345</v>
      </c>
      <c r="X1" s="466" t="s">
        <v>8340</v>
      </c>
      <c r="Y1" s="466" t="s">
        <v>8341</v>
      </c>
      <c r="Z1" s="466" t="s">
        <v>8411</v>
      </c>
      <c r="AA1" s="466" t="s">
        <v>8412</v>
      </c>
      <c r="AB1" s="466" t="s">
        <v>8413</v>
      </c>
      <c r="AC1" s="466" t="s">
        <v>8414</v>
      </c>
      <c r="AD1" s="466" t="s">
        <v>8416</v>
      </c>
      <c r="AE1" s="466" t="s">
        <v>8415</v>
      </c>
      <c r="AF1" s="466" t="s">
        <v>8403</v>
      </c>
      <c r="AG1" s="466" t="s">
        <v>8402</v>
      </c>
      <c r="AH1" s="466" t="s">
        <v>8408</v>
      </c>
      <c r="AI1" s="466" t="s">
        <v>8407</v>
      </c>
      <c r="AJ1" s="466" t="s">
        <v>8409</v>
      </c>
      <c r="AK1" s="466" t="s">
        <v>8410</v>
      </c>
      <c r="AL1" s="466" t="s">
        <v>217</v>
      </c>
      <c r="AM1" s="466" t="s">
        <v>8399</v>
      </c>
      <c r="AN1" s="466" t="s">
        <v>8400</v>
      </c>
      <c r="AO1" s="466" t="s">
        <v>6318</v>
      </c>
      <c r="AP1" s="466" t="s">
        <v>6319</v>
      </c>
      <c r="AQ1" s="466" t="s">
        <v>8478</v>
      </c>
      <c r="AR1" s="466" t="s">
        <v>128</v>
      </c>
      <c r="AS1" s="466" t="s">
        <v>141</v>
      </c>
      <c r="AT1" s="466" t="s">
        <v>143</v>
      </c>
      <c r="AU1" s="466" t="s">
        <v>146</v>
      </c>
      <c r="AV1" s="466" t="s">
        <v>221</v>
      </c>
      <c r="AW1" s="466" t="s">
        <v>222</v>
      </c>
      <c r="AX1" s="466" t="s">
        <v>223</v>
      </c>
      <c r="AY1" s="466" t="s">
        <v>224</v>
      </c>
      <c r="AZ1" s="466" t="s">
        <v>225</v>
      </c>
      <c r="BA1" s="466" t="s">
        <v>226</v>
      </c>
      <c r="BB1" s="466" t="s">
        <v>8373</v>
      </c>
      <c r="BC1" s="466" t="s">
        <v>227</v>
      </c>
      <c r="BD1" s="466" t="s">
        <v>228</v>
      </c>
      <c r="BE1" s="466" t="s">
        <v>229</v>
      </c>
      <c r="BF1" s="466" t="s">
        <v>230</v>
      </c>
      <c r="BG1" s="466" t="s">
        <v>231</v>
      </c>
      <c r="BH1" s="466" t="s">
        <v>232</v>
      </c>
      <c r="BI1" s="466" t="s">
        <v>6608</v>
      </c>
      <c r="BJ1" s="466" t="s">
        <v>8486</v>
      </c>
      <c r="BK1" s="466" t="s">
        <v>6634</v>
      </c>
      <c r="BL1" s="466" t="s">
        <v>8418</v>
      </c>
      <c r="BM1" s="466" t="s">
        <v>8419</v>
      </c>
      <c r="BN1" s="466" t="s">
        <v>8420</v>
      </c>
      <c r="BO1" s="466" t="s">
        <v>8421</v>
      </c>
      <c r="BP1" s="466" t="s">
        <v>8422</v>
      </c>
      <c r="BQ1" s="466" t="s">
        <v>8423</v>
      </c>
      <c r="BR1" s="466" t="s">
        <v>8424</v>
      </c>
      <c r="BS1" s="466" t="s">
        <v>8425</v>
      </c>
      <c r="BT1" s="466" t="s">
        <v>8426</v>
      </c>
      <c r="BU1" s="466" t="s">
        <v>8427</v>
      </c>
      <c r="BV1" s="466" t="s">
        <v>8428</v>
      </c>
      <c r="BW1" s="466" t="s">
        <v>8429</v>
      </c>
      <c r="BX1" s="466" t="s">
        <v>8430</v>
      </c>
      <c r="BY1" s="466" t="s">
        <v>8431</v>
      </c>
      <c r="BZ1" s="466" t="s">
        <v>8432</v>
      </c>
      <c r="CA1" s="466" t="s">
        <v>8433</v>
      </c>
      <c r="CB1" s="466" t="s">
        <v>8434</v>
      </c>
      <c r="CC1" s="466" t="s">
        <v>8435</v>
      </c>
      <c r="CD1" s="466" t="s">
        <v>8436</v>
      </c>
      <c r="CE1" s="466" t="s">
        <v>8437</v>
      </c>
      <c r="CF1" s="466" t="s">
        <v>8438</v>
      </c>
      <c r="CG1" s="466" t="s">
        <v>8718</v>
      </c>
      <c r="CH1" s="466" t="s">
        <v>8417</v>
      </c>
      <c r="CI1" s="466" t="s">
        <v>8350</v>
      </c>
      <c r="CJ1" s="466" t="s">
        <v>8372</v>
      </c>
      <c r="CK1" s="466" t="s">
        <v>8441</v>
      </c>
      <c r="CL1" s="466" t="s">
        <v>6190</v>
      </c>
      <c r="CM1" s="466" t="s">
        <v>200</v>
      </c>
      <c r="CN1" s="466" t="s">
        <v>201</v>
      </c>
      <c r="CO1" s="466" t="s">
        <v>8440</v>
      </c>
      <c r="CP1" s="466" t="s">
        <v>8479</v>
      </c>
      <c r="CQ1" s="466" t="s">
        <v>6309</v>
      </c>
      <c r="CR1" s="466" t="s">
        <v>8480</v>
      </c>
      <c r="CS1" s="466" t="s">
        <v>8347</v>
      </c>
      <c r="CT1" s="466" t="s">
        <v>8348</v>
      </c>
      <c r="CU1" s="466" t="s">
        <v>8349</v>
      </c>
      <c r="CV1" s="466" t="s">
        <v>6422</v>
      </c>
      <c r="CW1" s="466" t="s">
        <v>6353</v>
      </c>
    </row>
    <row r="2" spans="1:101" x14ac:dyDescent="0.2">
      <c r="A2" s="464">
        <v>8</v>
      </c>
      <c r="B2" s="464" t="s">
        <v>312</v>
      </c>
      <c r="C2" s="464" t="s">
        <v>6429</v>
      </c>
      <c r="D2" s="464" t="s">
        <v>5110</v>
      </c>
      <c r="E2" s="464">
        <v>54115</v>
      </c>
      <c r="F2" s="464" t="s">
        <v>313</v>
      </c>
      <c r="G2" s="464" t="s">
        <v>313</v>
      </c>
      <c r="H2" s="464" t="s">
        <v>314</v>
      </c>
      <c r="I2" s="464" t="s">
        <v>315</v>
      </c>
      <c r="J2" s="464" t="s">
        <v>316</v>
      </c>
      <c r="K2" s="464" t="s">
        <v>317</v>
      </c>
      <c r="L2" s="464" t="s">
        <v>6376</v>
      </c>
      <c r="M2" s="464" t="s">
        <v>318</v>
      </c>
      <c r="N2" s="464" t="s">
        <v>5921</v>
      </c>
      <c r="O2" s="464" t="s">
        <v>6173</v>
      </c>
      <c r="P2" s="464" t="s">
        <v>6185</v>
      </c>
      <c r="Q2" s="464" t="s">
        <v>6176</v>
      </c>
      <c r="R2" s="464">
        <v>162.22999999999999</v>
      </c>
      <c r="S2" s="464">
        <v>1000000</v>
      </c>
      <c r="T2" s="464">
        <v>1000000</v>
      </c>
      <c r="U2" s="464">
        <v>44681.852254255064</v>
      </c>
      <c r="V2" s="464">
        <v>44681.852254255064</v>
      </c>
      <c r="W2" s="464">
        <v>11</v>
      </c>
      <c r="X2" s="464">
        <v>1</v>
      </c>
      <c r="Y2" s="464">
        <v>1.17</v>
      </c>
      <c r="Z2" s="464">
        <v>0.86</v>
      </c>
      <c r="AA2" s="464">
        <v>0.84609999999999996</v>
      </c>
      <c r="AB2" s="464">
        <v>0.82</v>
      </c>
      <c r="AC2" s="464">
        <v>0.72</v>
      </c>
      <c r="AD2" s="464">
        <v>1.17</v>
      </c>
      <c r="AE2" s="464">
        <v>1.37</v>
      </c>
      <c r="AF2" s="464">
        <v>3E-9</v>
      </c>
      <c r="AG2" s="464" t="s">
        <v>5921</v>
      </c>
      <c r="AH2" s="464">
        <v>-6.9114450715929898</v>
      </c>
      <c r="AI2" s="464" t="s">
        <v>5921</v>
      </c>
      <c r="AJ2" s="464">
        <v>-6.9114450715929898</v>
      </c>
      <c r="AK2" s="464">
        <v>-8.0645500000000006</v>
      </c>
      <c r="AL2" s="464">
        <v>-6.79</v>
      </c>
      <c r="AM2" s="464" t="s">
        <v>5921</v>
      </c>
      <c r="AN2" s="464">
        <v>8</v>
      </c>
      <c r="AO2" s="464" t="s">
        <v>6311</v>
      </c>
      <c r="AP2" s="464" t="s">
        <v>6311</v>
      </c>
      <c r="AQ2" s="464" t="s">
        <v>282</v>
      </c>
      <c r="AR2" s="464" t="s">
        <v>266</v>
      </c>
      <c r="AS2" s="464" t="s">
        <v>8449</v>
      </c>
      <c r="AT2" s="464" t="s">
        <v>8450</v>
      </c>
      <c r="AU2" s="464" t="s">
        <v>8445</v>
      </c>
      <c r="AV2" s="464" t="s">
        <v>8451</v>
      </c>
      <c r="AW2" s="464" t="s">
        <v>267</v>
      </c>
      <c r="AX2" s="464" t="s">
        <v>268</v>
      </c>
      <c r="AY2" s="464" t="s">
        <v>8452</v>
      </c>
      <c r="AZ2" s="464" t="s">
        <v>269</v>
      </c>
      <c r="BA2" s="464" t="s">
        <v>270</v>
      </c>
      <c r="BB2" s="464" t="s">
        <v>8374</v>
      </c>
      <c r="BC2" s="464" t="s">
        <v>271</v>
      </c>
      <c r="BD2" s="464" t="s">
        <v>272</v>
      </c>
      <c r="BE2" s="464" t="s">
        <v>272</v>
      </c>
      <c r="BF2" s="464" t="s">
        <v>272</v>
      </c>
      <c r="BG2" s="464">
        <v>0.9998151115493652</v>
      </c>
      <c r="BH2" s="464">
        <v>999.81511154936527</v>
      </c>
      <c r="BI2" s="464" t="s">
        <v>5921</v>
      </c>
      <c r="BJ2" s="464">
        <v>1053.977083545846</v>
      </c>
      <c r="BK2" s="464">
        <v>0</v>
      </c>
      <c r="BL2" s="464" t="s">
        <v>5921</v>
      </c>
      <c r="BM2" s="464" t="s">
        <v>5921</v>
      </c>
      <c r="BN2" s="464" t="s">
        <v>5921</v>
      </c>
      <c r="BO2" s="464" t="s">
        <v>5921</v>
      </c>
      <c r="BP2" s="464" t="s">
        <v>5921</v>
      </c>
      <c r="BQ2" s="464" t="s">
        <v>5921</v>
      </c>
      <c r="BR2" s="464" t="s">
        <v>5921</v>
      </c>
      <c r="BS2" s="464" t="s">
        <v>5921</v>
      </c>
      <c r="BT2" s="464" t="s">
        <v>5921</v>
      </c>
      <c r="BU2" s="464" t="s">
        <v>5921</v>
      </c>
      <c r="BV2" s="464" t="s">
        <v>5921</v>
      </c>
      <c r="BW2" s="464">
        <v>76.248099999999994</v>
      </c>
      <c r="BX2" s="464">
        <v>45.424399999999999</v>
      </c>
      <c r="BY2" s="464">
        <v>29.201399999999996</v>
      </c>
      <c r="BZ2" s="464">
        <v>35.690599999999996</v>
      </c>
      <c r="CA2" s="464" t="s">
        <v>5921</v>
      </c>
      <c r="CB2" s="464" t="s">
        <v>5921</v>
      </c>
      <c r="CC2" s="464" t="s">
        <v>5921</v>
      </c>
      <c r="CD2" s="464" t="s">
        <v>5921</v>
      </c>
      <c r="CE2" s="464" t="s">
        <v>5921</v>
      </c>
      <c r="CF2" s="464" t="s">
        <v>5921</v>
      </c>
      <c r="CG2" s="464">
        <v>29.201399999999996</v>
      </c>
      <c r="CH2" s="464">
        <v>1.465403673287442</v>
      </c>
      <c r="CI2" s="464">
        <v>1.0541719877713676</v>
      </c>
      <c r="CJ2" s="464">
        <v>36.093375096599686</v>
      </c>
      <c r="CK2" s="464">
        <v>0.6020599913279624</v>
      </c>
      <c r="CL2" s="464">
        <v>249.95377788734126</v>
      </c>
      <c r="CM2" s="464" t="s">
        <v>273</v>
      </c>
      <c r="CN2" s="464" t="s">
        <v>274</v>
      </c>
      <c r="CO2" s="464">
        <v>0.66922824680230242</v>
      </c>
      <c r="CP2" s="464">
        <v>6.2542527254763574</v>
      </c>
      <c r="CQ2" s="464" t="s">
        <v>539</v>
      </c>
      <c r="CR2" s="464" t="s">
        <v>5921</v>
      </c>
      <c r="CS2" s="464">
        <v>1530.1270574100922</v>
      </c>
      <c r="CT2" s="464">
        <v>44.690114940365078</v>
      </c>
      <c r="CU2" s="464">
        <v>1</v>
      </c>
      <c r="CV2" s="464" t="s">
        <v>5921</v>
      </c>
      <c r="CW2" s="464" t="s">
        <v>6351</v>
      </c>
    </row>
    <row r="3" spans="1:101" x14ac:dyDescent="0.2">
      <c r="A3" s="464">
        <v>36</v>
      </c>
      <c r="B3" s="464" t="s">
        <v>428</v>
      </c>
      <c r="C3" s="464" t="s">
        <v>6432</v>
      </c>
      <c r="D3" s="464" t="s">
        <v>3200</v>
      </c>
      <c r="E3" s="464">
        <v>56815</v>
      </c>
      <c r="F3" s="464" t="s">
        <v>429</v>
      </c>
      <c r="G3" s="464" t="s">
        <v>429</v>
      </c>
      <c r="H3" s="464" t="s">
        <v>430</v>
      </c>
      <c r="I3" s="464" t="s">
        <v>426</v>
      </c>
      <c r="J3" s="464" t="s">
        <v>6147</v>
      </c>
      <c r="K3" s="464" t="s">
        <v>6025</v>
      </c>
      <c r="L3" s="464" t="s">
        <v>2342</v>
      </c>
      <c r="M3" s="464" t="s">
        <v>5921</v>
      </c>
      <c r="N3" s="464" t="s">
        <v>1639</v>
      </c>
      <c r="O3" s="464" t="s">
        <v>6173</v>
      </c>
      <c r="P3" s="464" t="s">
        <v>8448</v>
      </c>
      <c r="Q3" s="464" t="s">
        <v>6173</v>
      </c>
      <c r="R3" s="464">
        <v>92.09</v>
      </c>
      <c r="S3" s="464">
        <v>1000000</v>
      </c>
      <c r="T3" s="464">
        <v>1000000</v>
      </c>
      <c r="U3" s="464">
        <v>1009746.7708282595</v>
      </c>
      <c r="V3" s="464">
        <v>1009746.7708282595</v>
      </c>
      <c r="W3" s="464">
        <v>6.27</v>
      </c>
      <c r="X3" s="464">
        <v>-1.65</v>
      </c>
      <c r="Y3" s="464">
        <v>-1.76</v>
      </c>
      <c r="Z3" s="464">
        <v>-1.57</v>
      </c>
      <c r="AA3" s="464">
        <v>0.88339999999999996</v>
      </c>
      <c r="AB3" s="464">
        <v>-1.73</v>
      </c>
      <c r="AC3" s="464">
        <v>-2.3199999999999998</v>
      </c>
      <c r="AD3" s="464">
        <v>-1.76</v>
      </c>
      <c r="AE3" s="464">
        <v>-1.41</v>
      </c>
      <c r="AF3" s="464">
        <v>6.3499999999999998E-9</v>
      </c>
      <c r="AG3" s="464">
        <v>1.7299999999999999E-8</v>
      </c>
      <c r="AH3" s="464">
        <v>-6.5857926010206764</v>
      </c>
      <c r="AI3" s="464">
        <v>-6.1505202231838565</v>
      </c>
      <c r="AJ3" s="464">
        <v>-6.1505202231838565</v>
      </c>
      <c r="AK3" s="464">
        <v>-10.09398</v>
      </c>
      <c r="AL3" s="464">
        <v>-7.48</v>
      </c>
      <c r="AM3" s="464">
        <v>13.68</v>
      </c>
      <c r="AN3" s="464" t="s">
        <v>5921</v>
      </c>
      <c r="AO3" s="464" t="s">
        <v>6311</v>
      </c>
      <c r="AP3" s="464" t="s">
        <v>6311</v>
      </c>
      <c r="AQ3" s="464" t="s">
        <v>282</v>
      </c>
      <c r="AR3" s="464" t="s">
        <v>266</v>
      </c>
      <c r="AS3" s="464" t="s">
        <v>8449</v>
      </c>
      <c r="AT3" s="464" t="s">
        <v>8450</v>
      </c>
      <c r="AU3" s="464" t="s">
        <v>8445</v>
      </c>
      <c r="AV3" s="464" t="s">
        <v>8451</v>
      </c>
      <c r="AW3" s="464" t="s">
        <v>267</v>
      </c>
      <c r="AX3" s="464" t="s">
        <v>268</v>
      </c>
      <c r="AY3" s="464" t="s">
        <v>8452</v>
      </c>
      <c r="AZ3" s="464" t="s">
        <v>269</v>
      </c>
      <c r="BA3" s="464" t="s">
        <v>270</v>
      </c>
      <c r="BB3" s="464" t="s">
        <v>8374</v>
      </c>
      <c r="BC3" s="464" t="s">
        <v>271</v>
      </c>
      <c r="BD3" s="464" t="s">
        <v>272</v>
      </c>
      <c r="BE3" s="464" t="s">
        <v>272</v>
      </c>
      <c r="BF3" s="464" t="s">
        <v>272</v>
      </c>
      <c r="BG3" s="464">
        <v>0.99978286830962981</v>
      </c>
      <c r="BH3" s="464">
        <v>1599.6525892954078</v>
      </c>
      <c r="BI3" s="464" t="s">
        <v>5921</v>
      </c>
      <c r="BJ3" s="464">
        <v>143508.4497404694</v>
      </c>
      <c r="BK3" s="464">
        <v>0</v>
      </c>
      <c r="BL3" s="464" t="s">
        <v>5921</v>
      </c>
      <c r="BM3" s="464" t="s">
        <v>5921</v>
      </c>
      <c r="BN3" s="464" t="s">
        <v>5921</v>
      </c>
      <c r="BO3" s="464" t="s">
        <v>5921</v>
      </c>
      <c r="BP3" s="464" t="s">
        <v>5921</v>
      </c>
      <c r="BQ3" s="464" t="s">
        <v>5921</v>
      </c>
      <c r="BR3" s="464" t="s">
        <v>5921</v>
      </c>
      <c r="BS3" s="464" t="s">
        <v>5921</v>
      </c>
      <c r="BT3" s="464" t="s">
        <v>5921</v>
      </c>
      <c r="BU3" s="464" t="s">
        <v>5921</v>
      </c>
      <c r="BV3" s="464" t="s">
        <v>5921</v>
      </c>
      <c r="BW3" s="464" t="s">
        <v>5921</v>
      </c>
      <c r="BX3" s="464" t="s">
        <v>5921</v>
      </c>
      <c r="BY3" s="464" t="s">
        <v>5921</v>
      </c>
      <c r="BZ3" s="464">
        <v>23352.182200000003</v>
      </c>
      <c r="CA3" s="464" t="s">
        <v>5921</v>
      </c>
      <c r="CB3" s="464" t="s">
        <v>5921</v>
      </c>
      <c r="CC3" s="464" t="s">
        <v>5921</v>
      </c>
      <c r="CD3" s="464" t="s">
        <v>5921</v>
      </c>
      <c r="CE3" s="464" t="s">
        <v>5921</v>
      </c>
      <c r="CF3" s="464" t="s">
        <v>5921</v>
      </c>
      <c r="CG3" s="464">
        <v>23352.182200000003</v>
      </c>
      <c r="CH3" s="464">
        <v>4.3683274704754149</v>
      </c>
      <c r="CI3" s="464">
        <v>89.712260462554539</v>
      </c>
      <c r="CJ3" s="464">
        <v>6.1453978266951594</v>
      </c>
      <c r="CK3" s="464" t="s">
        <v>5921</v>
      </c>
      <c r="CL3" s="464" t="s">
        <v>5921</v>
      </c>
      <c r="CM3" s="464" t="s">
        <v>273</v>
      </c>
      <c r="CN3" s="464" t="s">
        <v>274</v>
      </c>
      <c r="CO3" s="464">
        <v>4.7323937598229682</v>
      </c>
      <c r="CP3" s="464">
        <v>0.43244781851851882</v>
      </c>
      <c r="CQ3" s="464" t="s">
        <v>539</v>
      </c>
      <c r="CR3" s="464" t="s">
        <v>5921</v>
      </c>
      <c r="CS3" s="464">
        <v>43.239932019212297</v>
      </c>
      <c r="CT3" s="464">
        <v>631.22879154218003</v>
      </c>
      <c r="CU3" s="464">
        <v>1</v>
      </c>
      <c r="CV3" s="464" t="s">
        <v>5921</v>
      </c>
      <c r="CW3" s="464" t="s">
        <v>6351</v>
      </c>
    </row>
    <row r="4" spans="1:101" x14ac:dyDescent="0.2">
      <c r="A4" s="464">
        <v>38</v>
      </c>
      <c r="B4" s="464" t="s">
        <v>435</v>
      </c>
      <c r="C4" s="464" t="s">
        <v>6439</v>
      </c>
      <c r="D4" s="464" t="s">
        <v>436</v>
      </c>
      <c r="E4" s="464">
        <v>64197</v>
      </c>
      <c r="F4" s="464" t="s">
        <v>437</v>
      </c>
      <c r="G4" s="464" t="s">
        <v>437</v>
      </c>
      <c r="H4" s="464" t="s">
        <v>438</v>
      </c>
      <c r="I4" s="464" t="s">
        <v>426</v>
      </c>
      <c r="J4" s="464" t="s">
        <v>5527</v>
      </c>
      <c r="K4" s="464" t="s">
        <v>6082</v>
      </c>
      <c r="L4" s="464" t="s">
        <v>6082</v>
      </c>
      <c r="M4" s="464" t="s">
        <v>6083</v>
      </c>
      <c r="N4" s="464" t="s">
        <v>5921</v>
      </c>
      <c r="O4" s="464" t="s">
        <v>5921</v>
      </c>
      <c r="P4" s="464" t="s">
        <v>5921</v>
      </c>
      <c r="Q4" s="464" t="s">
        <v>5921</v>
      </c>
      <c r="R4" s="464">
        <v>60.05</v>
      </c>
      <c r="S4" s="464">
        <v>1000000</v>
      </c>
      <c r="T4" s="464">
        <v>475900</v>
      </c>
      <c r="U4" s="464">
        <v>198844.23845029599</v>
      </c>
      <c r="V4" s="464">
        <v>198844.23845029599</v>
      </c>
      <c r="W4" s="464">
        <v>2.14</v>
      </c>
      <c r="X4" s="464">
        <v>0.09</v>
      </c>
      <c r="Y4" s="464">
        <v>-0.17</v>
      </c>
      <c r="Z4" s="464">
        <v>0.02</v>
      </c>
      <c r="AA4" s="464">
        <v>0.81850000000000001</v>
      </c>
      <c r="AB4" s="464">
        <v>-7.0000000000000007E-2</v>
      </c>
      <c r="AC4" s="464">
        <v>-0.28999999999999998</v>
      </c>
      <c r="AD4" s="464">
        <v>-0.17</v>
      </c>
      <c r="AE4" s="464">
        <v>-0.15</v>
      </c>
      <c r="AF4" s="464">
        <v>5.4799999999999998E-7</v>
      </c>
      <c r="AG4" s="464">
        <v>9.9999999999999995E-8</v>
      </c>
      <c r="AH4" s="464">
        <v>-4.6497857678282823</v>
      </c>
      <c r="AI4" s="464">
        <v>-5.3885663263126515</v>
      </c>
      <c r="AJ4" s="464">
        <v>-5.3885663263126515</v>
      </c>
      <c r="AK4" s="464">
        <v>-4.8964699999999999</v>
      </c>
      <c r="AL4" s="464">
        <v>-5.0199999999999996</v>
      </c>
      <c r="AM4" s="464">
        <v>4.79</v>
      </c>
      <c r="AN4" s="464" t="s">
        <v>5921</v>
      </c>
      <c r="AO4" s="464" t="s">
        <v>6311</v>
      </c>
      <c r="AP4" s="464" t="s">
        <v>6311</v>
      </c>
      <c r="AQ4" s="464" t="s">
        <v>282</v>
      </c>
      <c r="AR4" s="464" t="s">
        <v>266</v>
      </c>
      <c r="AS4" s="464" t="s">
        <v>8449</v>
      </c>
      <c r="AT4" s="464" t="s">
        <v>8450</v>
      </c>
      <c r="AU4" s="464" t="s">
        <v>8445</v>
      </c>
      <c r="AV4" s="464" t="s">
        <v>8451</v>
      </c>
      <c r="AW4" s="464" t="s">
        <v>267</v>
      </c>
      <c r="AX4" s="464" t="s">
        <v>268</v>
      </c>
      <c r="AY4" s="464" t="s">
        <v>8452</v>
      </c>
      <c r="AZ4" s="464" t="s">
        <v>269</v>
      </c>
      <c r="BA4" s="464" t="s">
        <v>270</v>
      </c>
      <c r="BB4" s="464" t="s">
        <v>8374</v>
      </c>
      <c r="BC4" s="464" t="s">
        <v>271</v>
      </c>
      <c r="BD4" s="464" t="s">
        <v>272</v>
      </c>
      <c r="BE4" s="464" t="s">
        <v>272</v>
      </c>
      <c r="BF4" s="464" t="s">
        <v>272</v>
      </c>
      <c r="BG4" s="464">
        <v>0.99999999999999989</v>
      </c>
      <c r="BH4" s="464">
        <v>999.99999999999989</v>
      </c>
      <c r="BI4" s="464" t="s">
        <v>5921</v>
      </c>
      <c r="BJ4" s="464">
        <v>2561.4389646887184</v>
      </c>
      <c r="BK4" s="464">
        <v>0</v>
      </c>
      <c r="BL4" s="464" t="s">
        <v>5921</v>
      </c>
      <c r="BM4" s="464" t="s">
        <v>5921</v>
      </c>
      <c r="BN4" s="464" t="s">
        <v>5921</v>
      </c>
      <c r="BO4" s="464" t="s">
        <v>5921</v>
      </c>
      <c r="BP4" s="464" t="s">
        <v>5921</v>
      </c>
      <c r="BQ4" s="464" t="s">
        <v>5921</v>
      </c>
      <c r="BR4" s="464" t="s">
        <v>5921</v>
      </c>
      <c r="BS4" s="464" t="s">
        <v>5921</v>
      </c>
      <c r="BT4" s="464" t="s">
        <v>5921</v>
      </c>
      <c r="BU4" s="464" t="s">
        <v>5921</v>
      </c>
      <c r="BV4" s="464" t="s">
        <v>5921</v>
      </c>
      <c r="BW4" s="464">
        <v>377.11399999999998</v>
      </c>
      <c r="BX4" s="464">
        <v>360.90049999999997</v>
      </c>
      <c r="BY4" s="464">
        <v>329.07400000000001</v>
      </c>
      <c r="BZ4" s="464">
        <v>186.155</v>
      </c>
      <c r="CA4" s="464" t="s">
        <v>5921</v>
      </c>
      <c r="CB4" s="464" t="s">
        <v>5921</v>
      </c>
      <c r="CC4" s="464" t="s">
        <v>5921</v>
      </c>
      <c r="CD4" s="464" t="s">
        <v>5921</v>
      </c>
      <c r="CE4" s="464" t="s">
        <v>5921</v>
      </c>
      <c r="CF4" s="464" t="s">
        <v>5921</v>
      </c>
      <c r="CG4" s="464">
        <v>186.155</v>
      </c>
      <c r="CH4" s="464">
        <v>2.2698747055731974</v>
      </c>
      <c r="CI4" s="464">
        <v>2.5614389646887186</v>
      </c>
      <c r="CJ4" s="464">
        <v>13.759710803839372</v>
      </c>
      <c r="CK4" s="464">
        <v>1.8750612633917001</v>
      </c>
      <c r="CL4" s="464">
        <v>13.333333333333325</v>
      </c>
      <c r="CM4" s="464" t="s">
        <v>273</v>
      </c>
      <c r="CN4" s="464" t="s">
        <v>274</v>
      </c>
      <c r="CO4" s="464">
        <v>1.8868932224905968</v>
      </c>
      <c r="CP4" s="464">
        <v>2.4153578491731378</v>
      </c>
      <c r="CQ4" s="464" t="s">
        <v>539</v>
      </c>
      <c r="CR4" s="464" t="s">
        <v>5921</v>
      </c>
      <c r="CS4" s="464">
        <v>1068.1649080083587</v>
      </c>
      <c r="CT4" s="464">
        <v>198.84423845029602</v>
      </c>
      <c r="CU4" s="464">
        <v>1</v>
      </c>
      <c r="CV4" s="464" t="s">
        <v>5921</v>
      </c>
      <c r="CW4" s="464" t="s">
        <v>6351</v>
      </c>
    </row>
    <row r="5" spans="1:101" x14ac:dyDescent="0.2">
      <c r="A5" s="464">
        <v>39</v>
      </c>
      <c r="B5" s="464" t="s">
        <v>439</v>
      </c>
      <c r="C5" s="464" t="s">
        <v>6441</v>
      </c>
      <c r="D5" s="464" t="s">
        <v>440</v>
      </c>
      <c r="E5" s="464">
        <v>69727</v>
      </c>
      <c r="F5" s="464" t="s">
        <v>441</v>
      </c>
      <c r="G5" s="464" t="s">
        <v>441</v>
      </c>
      <c r="H5" s="464" t="s">
        <v>442</v>
      </c>
      <c r="I5" s="464" t="s">
        <v>349</v>
      </c>
      <c r="J5" s="464" t="s">
        <v>279</v>
      </c>
      <c r="K5" s="464" t="s">
        <v>443</v>
      </c>
      <c r="L5" s="464" t="s">
        <v>6384</v>
      </c>
      <c r="M5" s="464" t="s">
        <v>281</v>
      </c>
      <c r="N5" s="464" t="s">
        <v>5921</v>
      </c>
      <c r="O5" s="464" t="s">
        <v>5921</v>
      </c>
      <c r="P5" s="464" t="s">
        <v>5921</v>
      </c>
      <c r="Q5" s="464" t="s">
        <v>5921</v>
      </c>
      <c r="R5" s="464">
        <v>138.12</v>
      </c>
      <c r="S5" s="464">
        <v>2240</v>
      </c>
      <c r="T5" s="464">
        <v>3808</v>
      </c>
      <c r="U5" s="464">
        <v>8516.4101657107931</v>
      </c>
      <c r="V5" s="464">
        <v>8516.4101657107931</v>
      </c>
      <c r="W5" s="464">
        <v>1.76</v>
      </c>
      <c r="X5" s="464">
        <v>2.2400000000000002</v>
      </c>
      <c r="Y5" s="464">
        <v>2.2599999999999998</v>
      </c>
      <c r="Z5" s="464">
        <v>2.4700000000000002</v>
      </c>
      <c r="AA5" s="464">
        <v>0.87809999999999999</v>
      </c>
      <c r="AB5" s="464">
        <v>2.37</v>
      </c>
      <c r="AC5" s="464">
        <v>2.06</v>
      </c>
      <c r="AD5" s="464">
        <v>2.2599999999999998</v>
      </c>
      <c r="AE5" s="464">
        <v>1.27</v>
      </c>
      <c r="AF5" s="464">
        <v>1.42E-8</v>
      </c>
      <c r="AG5" s="464">
        <v>7.3399999999999999E-9</v>
      </c>
      <c r="AH5" s="464">
        <v>-6.2362779819295957</v>
      </c>
      <c r="AI5" s="464">
        <v>-6.5228702663965814</v>
      </c>
      <c r="AJ5" s="464">
        <v>-6.5228702663965814</v>
      </c>
      <c r="AK5" s="464">
        <v>-8.2730999999999995</v>
      </c>
      <c r="AL5" s="464">
        <v>-6.16</v>
      </c>
      <c r="AM5" s="464">
        <v>3.01</v>
      </c>
      <c r="AN5" s="464" t="s">
        <v>5921</v>
      </c>
      <c r="AO5" s="464" t="s">
        <v>6311</v>
      </c>
      <c r="AP5" s="464" t="s">
        <v>6311</v>
      </c>
      <c r="AQ5" s="464" t="s">
        <v>282</v>
      </c>
      <c r="AR5" s="464" t="s">
        <v>266</v>
      </c>
      <c r="AS5" s="464" t="s">
        <v>8449</v>
      </c>
      <c r="AT5" s="464" t="s">
        <v>8450</v>
      </c>
      <c r="AU5" s="464" t="s">
        <v>8445</v>
      </c>
      <c r="AV5" s="464" t="s">
        <v>8451</v>
      </c>
      <c r="AW5" s="464" t="s">
        <v>267</v>
      </c>
      <c r="AX5" s="464" t="s">
        <v>268</v>
      </c>
      <c r="AY5" s="464" t="s">
        <v>8452</v>
      </c>
      <c r="AZ5" s="464" t="s">
        <v>269</v>
      </c>
      <c r="BA5" s="464" t="s">
        <v>270</v>
      </c>
      <c r="BB5" s="464" t="s">
        <v>8374</v>
      </c>
      <c r="BC5" s="464" t="s">
        <v>271</v>
      </c>
      <c r="BD5" s="464" t="s">
        <v>272</v>
      </c>
      <c r="BE5" s="464" t="s">
        <v>272</v>
      </c>
      <c r="BF5" s="464" t="s">
        <v>272</v>
      </c>
      <c r="BG5" s="464">
        <v>1</v>
      </c>
      <c r="BH5" s="464">
        <v>1000</v>
      </c>
      <c r="BI5" s="464" t="s">
        <v>5921</v>
      </c>
      <c r="BJ5" s="464">
        <v>69.073676085754386</v>
      </c>
      <c r="BK5" s="464">
        <v>0</v>
      </c>
      <c r="BL5" s="464" t="s">
        <v>5921</v>
      </c>
      <c r="BM5" s="464" t="s">
        <v>5921</v>
      </c>
      <c r="BN5" s="464" t="s">
        <v>5921</v>
      </c>
      <c r="BO5" s="464" t="s">
        <v>5921</v>
      </c>
      <c r="BP5" s="464" t="s">
        <v>5921</v>
      </c>
      <c r="BQ5" s="464" t="s">
        <v>5921</v>
      </c>
      <c r="BR5" s="464" t="s">
        <v>5921</v>
      </c>
      <c r="BS5" s="464" t="s">
        <v>5921</v>
      </c>
      <c r="BT5" s="464" t="s">
        <v>5921</v>
      </c>
      <c r="BU5" s="464" t="s">
        <v>5921</v>
      </c>
      <c r="BV5" s="464" t="s">
        <v>5921</v>
      </c>
      <c r="BW5" s="464">
        <v>46.960800000000006</v>
      </c>
      <c r="BX5" s="464">
        <v>46.960800000000006</v>
      </c>
      <c r="BY5" s="464">
        <v>46.960800000000006</v>
      </c>
      <c r="BZ5" s="464">
        <v>46.960800000000006</v>
      </c>
      <c r="CA5" s="464" t="s">
        <v>5921</v>
      </c>
      <c r="CB5" s="464" t="s">
        <v>5921</v>
      </c>
      <c r="CC5" s="464" t="s">
        <v>5921</v>
      </c>
      <c r="CD5" s="464" t="s">
        <v>5921</v>
      </c>
      <c r="CE5" s="464" t="s">
        <v>5921</v>
      </c>
      <c r="CF5" s="464" t="s">
        <v>5921</v>
      </c>
      <c r="CG5" s="464">
        <v>46.960800000000006</v>
      </c>
      <c r="CH5" s="464">
        <v>1.6717354867196719</v>
      </c>
      <c r="CI5" s="464">
        <v>6.907367608575439E-2</v>
      </c>
      <c r="CJ5" s="464">
        <v>1.4708794587348251</v>
      </c>
      <c r="CK5" s="464">
        <v>2.3138672203691533</v>
      </c>
      <c r="CL5" s="464">
        <v>4.8543689320388346</v>
      </c>
      <c r="CM5" s="464" t="s">
        <v>273</v>
      </c>
      <c r="CN5" s="464" t="s">
        <v>274</v>
      </c>
      <c r="CO5" s="464">
        <v>2.774697833638351</v>
      </c>
      <c r="CP5" s="464">
        <v>7.889285143011085E-2</v>
      </c>
      <c r="CQ5" s="464" t="s">
        <v>539</v>
      </c>
      <c r="CR5" s="464" t="s">
        <v>5921</v>
      </c>
      <c r="CS5" s="464">
        <v>181.35147113573007</v>
      </c>
      <c r="CT5" s="464">
        <v>8.5164101657107931</v>
      </c>
      <c r="CU5" s="464">
        <v>1</v>
      </c>
      <c r="CV5" s="464" t="s">
        <v>5921</v>
      </c>
      <c r="CW5" s="464" t="s">
        <v>6351</v>
      </c>
    </row>
    <row r="6" spans="1:101" x14ac:dyDescent="0.2">
      <c r="A6" s="464">
        <v>40</v>
      </c>
      <c r="B6" s="464" t="s">
        <v>444</v>
      </c>
      <c r="C6" s="464" t="s">
        <v>6435</v>
      </c>
      <c r="D6" s="464" t="s">
        <v>8474</v>
      </c>
      <c r="E6" s="464">
        <v>62760</v>
      </c>
      <c r="F6" s="464" t="s">
        <v>445</v>
      </c>
      <c r="G6" s="464" t="s">
        <v>445</v>
      </c>
      <c r="H6" s="464" t="s">
        <v>446</v>
      </c>
      <c r="I6" s="464" t="s">
        <v>426</v>
      </c>
      <c r="J6" s="464" t="s">
        <v>6025</v>
      </c>
      <c r="K6" s="464" t="s">
        <v>5960</v>
      </c>
      <c r="L6" s="464" t="s">
        <v>2342</v>
      </c>
      <c r="M6" s="464" t="s">
        <v>5921</v>
      </c>
      <c r="N6" s="464" t="s">
        <v>5921</v>
      </c>
      <c r="O6" s="464" t="s">
        <v>5921</v>
      </c>
      <c r="P6" s="464" t="s">
        <v>5921</v>
      </c>
      <c r="Q6" s="464" t="s">
        <v>5921</v>
      </c>
      <c r="R6" s="464">
        <v>90.03</v>
      </c>
      <c r="S6" s="464">
        <v>1350</v>
      </c>
      <c r="T6" s="464">
        <v>1000000</v>
      </c>
      <c r="U6" s="464">
        <v>366764.46410704276</v>
      </c>
      <c r="V6" s="464">
        <v>366764.46410704276</v>
      </c>
      <c r="W6" s="464">
        <v>0.4</v>
      </c>
      <c r="X6" s="464">
        <v>-1.74</v>
      </c>
      <c r="Y6" s="464" t="s">
        <v>5921</v>
      </c>
      <c r="Z6" s="464">
        <v>-0.83</v>
      </c>
      <c r="AA6" s="464">
        <v>0.53039999999999998</v>
      </c>
      <c r="AB6" s="464">
        <v>-1.01</v>
      </c>
      <c r="AC6" s="464">
        <v>-1.19</v>
      </c>
      <c r="AD6" s="464">
        <v>-1.01</v>
      </c>
      <c r="AE6" s="464">
        <v>-1.7618</v>
      </c>
      <c r="AF6" s="464">
        <v>2.4099999999999999E-11</v>
      </c>
      <c r="AG6" s="464">
        <v>1.43E-10</v>
      </c>
      <c r="AH6" s="464">
        <v>-9.0065492837377832</v>
      </c>
      <c r="AI6" s="464">
        <v>-8.2332302888475901</v>
      </c>
      <c r="AJ6" s="464">
        <v>-8.2332302888475901</v>
      </c>
      <c r="AK6" s="464">
        <v>-10.270619999999999</v>
      </c>
      <c r="AL6" s="464">
        <v>-1.25</v>
      </c>
      <c r="AM6" s="464">
        <v>1.38</v>
      </c>
      <c r="AN6" s="464" t="s">
        <v>5921</v>
      </c>
      <c r="AO6" s="464" t="s">
        <v>6311</v>
      </c>
      <c r="AP6" s="464" t="s">
        <v>6311</v>
      </c>
      <c r="AQ6" s="464" t="s">
        <v>282</v>
      </c>
      <c r="AR6" s="464" t="s">
        <v>266</v>
      </c>
      <c r="AS6" s="464" t="s">
        <v>8449</v>
      </c>
      <c r="AT6" s="464" t="s">
        <v>8450</v>
      </c>
      <c r="AU6" s="464" t="s">
        <v>8445</v>
      </c>
      <c r="AV6" s="464" t="s">
        <v>8451</v>
      </c>
      <c r="AW6" s="464" t="s">
        <v>267</v>
      </c>
      <c r="AX6" s="464" t="s">
        <v>268</v>
      </c>
      <c r="AY6" s="464" t="s">
        <v>8452</v>
      </c>
      <c r="AZ6" s="464" t="s">
        <v>269</v>
      </c>
      <c r="BA6" s="464" t="s">
        <v>270</v>
      </c>
      <c r="BB6" s="464" t="s">
        <v>8374</v>
      </c>
      <c r="BC6" s="464" t="s">
        <v>271</v>
      </c>
      <c r="BD6" s="464" t="s">
        <v>272</v>
      </c>
      <c r="BE6" s="464" t="s">
        <v>272</v>
      </c>
      <c r="BF6" s="464" t="s">
        <v>272</v>
      </c>
      <c r="BG6" s="464">
        <v>0.67186567164179101</v>
      </c>
      <c r="BH6" s="464">
        <v>1074.9850746268658</v>
      </c>
      <c r="BI6" s="464" t="s">
        <v>5921</v>
      </c>
      <c r="BJ6" s="464">
        <v>168997.8774782148</v>
      </c>
      <c r="BK6" s="464">
        <v>0</v>
      </c>
      <c r="BL6" s="464" t="s">
        <v>5921</v>
      </c>
      <c r="BM6" s="464" t="s">
        <v>5921</v>
      </c>
      <c r="BN6" s="464" t="s">
        <v>5921</v>
      </c>
      <c r="BO6" s="464" t="s">
        <v>5921</v>
      </c>
      <c r="BP6" s="464" t="s">
        <v>5921</v>
      </c>
      <c r="BQ6" s="464" t="s">
        <v>5921</v>
      </c>
      <c r="BR6" s="464" t="s">
        <v>5921</v>
      </c>
      <c r="BS6" s="464" t="s">
        <v>5921</v>
      </c>
      <c r="BT6" s="464" t="s">
        <v>5921</v>
      </c>
      <c r="BU6" s="464" t="s">
        <v>5921</v>
      </c>
      <c r="BV6" s="464" t="s">
        <v>5921</v>
      </c>
      <c r="BW6" s="464" t="s">
        <v>5921</v>
      </c>
      <c r="BX6" s="464">
        <v>2971.8903</v>
      </c>
      <c r="BY6" s="464">
        <v>308.80290000000002</v>
      </c>
      <c r="BZ6" s="464">
        <v>250.28339999999997</v>
      </c>
      <c r="CA6" s="464" t="s">
        <v>5921</v>
      </c>
      <c r="CB6" s="464" t="s">
        <v>5921</v>
      </c>
      <c r="CC6" s="464" t="s">
        <v>5921</v>
      </c>
      <c r="CD6" s="464" t="s">
        <v>5921</v>
      </c>
      <c r="CE6" s="464" t="s">
        <v>5921</v>
      </c>
      <c r="CF6" s="464" t="s">
        <v>5921</v>
      </c>
      <c r="CG6" s="464">
        <v>250.28339999999997</v>
      </c>
      <c r="CH6" s="464">
        <v>2.3984320460625912</v>
      </c>
      <c r="CI6" s="464">
        <v>157.20951059425178</v>
      </c>
      <c r="CJ6" s="464">
        <v>675.22607363578572</v>
      </c>
      <c r="CK6" s="464">
        <v>2.7993405494535817</v>
      </c>
      <c r="CL6" s="464">
        <v>1.7063255152807377</v>
      </c>
      <c r="CM6" s="464" t="s">
        <v>273</v>
      </c>
      <c r="CN6" s="464" t="s">
        <v>274</v>
      </c>
      <c r="CO6" s="464">
        <v>2.7993405494535817</v>
      </c>
      <c r="CP6" s="464">
        <v>0.3972752380952379</v>
      </c>
      <c r="CQ6" s="464" t="s">
        <v>539</v>
      </c>
      <c r="CR6" s="464" t="s">
        <v>5921</v>
      </c>
      <c r="CS6" s="464">
        <v>1465.3966827486074</v>
      </c>
      <c r="CT6" s="464">
        <v>341.18098266094444</v>
      </c>
      <c r="CU6" s="464">
        <v>1</v>
      </c>
      <c r="CV6" s="464" t="s">
        <v>5921</v>
      </c>
      <c r="CW6" s="464" t="s">
        <v>5921</v>
      </c>
    </row>
    <row r="7" spans="1:101" x14ac:dyDescent="0.2">
      <c r="A7" s="464">
        <v>41</v>
      </c>
      <c r="B7" s="464" t="s">
        <v>447</v>
      </c>
      <c r="C7" s="464" t="s">
        <v>6444</v>
      </c>
      <c r="D7" s="464" t="s">
        <v>5378</v>
      </c>
      <c r="E7" s="464">
        <v>76039</v>
      </c>
      <c r="F7" s="464" t="s">
        <v>448</v>
      </c>
      <c r="G7" s="464" t="s">
        <v>7996</v>
      </c>
      <c r="H7" s="464" t="s">
        <v>449</v>
      </c>
      <c r="I7" s="464" t="s">
        <v>450</v>
      </c>
      <c r="J7" s="464" t="s">
        <v>6103</v>
      </c>
      <c r="K7" s="464" t="s">
        <v>2342</v>
      </c>
      <c r="L7" s="464" t="s">
        <v>2342</v>
      </c>
      <c r="M7" s="464" t="s">
        <v>5921</v>
      </c>
      <c r="N7" s="464" t="s">
        <v>5921</v>
      </c>
      <c r="O7" s="464" t="s">
        <v>5921</v>
      </c>
      <c r="P7" s="464" t="s">
        <v>5921</v>
      </c>
      <c r="Q7" s="464" t="s">
        <v>5921</v>
      </c>
      <c r="R7" s="464">
        <v>163.38999999999999</v>
      </c>
      <c r="S7" s="464">
        <v>54600.000000000007</v>
      </c>
      <c r="T7" s="464">
        <v>11990</v>
      </c>
      <c r="U7" s="464">
        <v>54103.513939040546</v>
      </c>
      <c r="V7" s="464">
        <v>54103.513939040546</v>
      </c>
      <c r="W7" s="464">
        <v>0.6</v>
      </c>
      <c r="X7" s="464">
        <v>1.44</v>
      </c>
      <c r="Y7" s="464">
        <v>1.33</v>
      </c>
      <c r="Z7" s="464">
        <v>1.45</v>
      </c>
      <c r="AA7" s="464">
        <v>0.74429999999999996</v>
      </c>
      <c r="AB7" s="464">
        <v>1.52</v>
      </c>
      <c r="AC7" s="464">
        <v>1.67</v>
      </c>
      <c r="AD7" s="464">
        <v>1.33</v>
      </c>
      <c r="AE7" s="464">
        <v>1.41</v>
      </c>
      <c r="AF7" s="464">
        <v>2.3899999999999999E-8</v>
      </c>
      <c r="AG7" s="464">
        <v>1.35E-8</v>
      </c>
      <c r="AH7" s="464">
        <v>-6.0101684253645145</v>
      </c>
      <c r="AI7" s="464">
        <v>-6.2582325578176459</v>
      </c>
      <c r="AJ7" s="464">
        <v>-6.2582325578176459</v>
      </c>
      <c r="AK7" s="464">
        <v>-7.3551800000000007</v>
      </c>
      <c r="AL7" s="464">
        <v>-6.88</v>
      </c>
      <c r="AM7" s="464">
        <v>0.09</v>
      </c>
      <c r="AN7" s="464" t="s">
        <v>5921</v>
      </c>
      <c r="AO7" s="464" t="s">
        <v>6311</v>
      </c>
      <c r="AP7" s="464" t="s">
        <v>6311</v>
      </c>
      <c r="AQ7" s="464" t="s">
        <v>282</v>
      </c>
      <c r="AR7" s="464" t="s">
        <v>266</v>
      </c>
      <c r="AS7" s="464" t="s">
        <v>8449</v>
      </c>
      <c r="AT7" s="464" t="s">
        <v>8450</v>
      </c>
      <c r="AU7" s="464" t="s">
        <v>8445</v>
      </c>
      <c r="AV7" s="464" t="s">
        <v>8451</v>
      </c>
      <c r="AW7" s="464" t="s">
        <v>267</v>
      </c>
      <c r="AX7" s="464" t="s">
        <v>268</v>
      </c>
      <c r="AY7" s="464" t="s">
        <v>8452</v>
      </c>
      <c r="AZ7" s="464" t="s">
        <v>269</v>
      </c>
      <c r="BA7" s="464" t="s">
        <v>270</v>
      </c>
      <c r="BB7" s="464" t="s">
        <v>8374</v>
      </c>
      <c r="BC7" s="464" t="s">
        <v>271</v>
      </c>
      <c r="BD7" s="464" t="s">
        <v>272</v>
      </c>
      <c r="BE7" s="464" t="s">
        <v>272</v>
      </c>
      <c r="BF7" s="464" t="s">
        <v>272</v>
      </c>
      <c r="BG7" s="464">
        <v>1.0000612070020809</v>
      </c>
      <c r="BH7" s="464">
        <v>1000.061207002081</v>
      </c>
      <c r="BI7" s="464" t="s">
        <v>5921</v>
      </c>
      <c r="BJ7" s="464">
        <v>427.32812059013713</v>
      </c>
      <c r="BK7" s="464">
        <v>0</v>
      </c>
      <c r="BL7" s="464" t="s">
        <v>5921</v>
      </c>
      <c r="BM7" s="464" t="s">
        <v>5921</v>
      </c>
      <c r="BN7" s="464" t="s">
        <v>5921</v>
      </c>
      <c r="BO7" s="464" t="s">
        <v>5921</v>
      </c>
      <c r="BP7" s="464" t="s">
        <v>5921</v>
      </c>
      <c r="BQ7" s="464" t="s">
        <v>5921</v>
      </c>
      <c r="BR7" s="464" t="s">
        <v>5921</v>
      </c>
      <c r="BS7" s="464" t="s">
        <v>5921</v>
      </c>
      <c r="BT7" s="464" t="s">
        <v>5921</v>
      </c>
      <c r="BU7" s="464" t="s">
        <v>5921</v>
      </c>
      <c r="BV7" s="464" t="s">
        <v>5921</v>
      </c>
      <c r="BW7" s="464">
        <v>86.596699999999998</v>
      </c>
      <c r="BX7" s="464">
        <v>86.596699999999998</v>
      </c>
      <c r="BY7" s="464">
        <v>86.596699999999998</v>
      </c>
      <c r="BZ7" s="464">
        <v>66.989899999999992</v>
      </c>
      <c r="CA7" s="464" t="s">
        <v>5921</v>
      </c>
      <c r="CB7" s="464" t="s">
        <v>5921</v>
      </c>
      <c r="CC7" s="464" t="s">
        <v>5921</v>
      </c>
      <c r="CD7" s="464" t="s">
        <v>5921</v>
      </c>
      <c r="CE7" s="464" t="s">
        <v>5921</v>
      </c>
      <c r="CF7" s="464" t="s">
        <v>5921</v>
      </c>
      <c r="CG7" s="464">
        <v>66.989899999999992</v>
      </c>
      <c r="CH7" s="464">
        <v>1.8260093294931363</v>
      </c>
      <c r="CI7" s="464">
        <v>0.42730196671777104</v>
      </c>
      <c r="CJ7" s="464">
        <v>6.3789932600307981</v>
      </c>
      <c r="CK7" s="464">
        <v>3.3021130265422349</v>
      </c>
      <c r="CL7" s="464">
        <v>0.4987851953318217</v>
      </c>
      <c r="CM7" s="464" t="s">
        <v>273</v>
      </c>
      <c r="CN7" s="464" t="s">
        <v>274</v>
      </c>
      <c r="CO7" s="464">
        <v>3.3021130265422349</v>
      </c>
      <c r="CP7" s="464">
        <v>3.3411525337458337E-2</v>
      </c>
      <c r="CQ7" s="464" t="s">
        <v>539</v>
      </c>
      <c r="CR7" s="464" t="s">
        <v>5921</v>
      </c>
      <c r="CS7" s="464">
        <v>807.63688166485622</v>
      </c>
      <c r="CT7" s="464">
        <v>54.100202627825723</v>
      </c>
      <c r="CU7" s="464">
        <v>1</v>
      </c>
      <c r="CV7" s="464" t="s">
        <v>5921</v>
      </c>
      <c r="CW7" s="464" t="s">
        <v>6351</v>
      </c>
    </row>
    <row r="8" spans="1:101" x14ac:dyDescent="0.2">
      <c r="A8" s="464">
        <v>44</v>
      </c>
      <c r="B8" s="464" t="s">
        <v>461</v>
      </c>
      <c r="C8" s="464" t="s">
        <v>6461</v>
      </c>
      <c r="D8" s="464" t="s">
        <v>556</v>
      </c>
      <c r="E8" s="464">
        <v>103902</v>
      </c>
      <c r="F8" s="464" t="s">
        <v>462</v>
      </c>
      <c r="G8" s="464" t="s">
        <v>462</v>
      </c>
      <c r="H8" s="464" t="s">
        <v>463</v>
      </c>
      <c r="I8" s="464" t="s">
        <v>464</v>
      </c>
      <c r="J8" s="464" t="s">
        <v>279</v>
      </c>
      <c r="K8" s="464" t="s">
        <v>465</v>
      </c>
      <c r="L8" s="464" t="s">
        <v>6384</v>
      </c>
      <c r="M8" s="464" t="s">
        <v>281</v>
      </c>
      <c r="N8" s="464" t="s">
        <v>5921</v>
      </c>
      <c r="O8" s="464" t="s">
        <v>6173</v>
      </c>
      <c r="P8" s="464" t="s">
        <v>6175</v>
      </c>
      <c r="Q8" s="464" t="s">
        <v>6182</v>
      </c>
      <c r="R8" s="464">
        <v>151.16</v>
      </c>
      <c r="S8" s="464">
        <v>14000</v>
      </c>
      <c r="T8" s="464">
        <v>30350</v>
      </c>
      <c r="U8" s="464">
        <v>17759.751440465923</v>
      </c>
      <c r="V8" s="464">
        <v>17759.751440465923</v>
      </c>
      <c r="W8" s="464">
        <v>5.7</v>
      </c>
      <c r="X8" s="464">
        <v>0.27</v>
      </c>
      <c r="Y8" s="464">
        <v>0.46</v>
      </c>
      <c r="Z8" s="464">
        <v>0.43</v>
      </c>
      <c r="AA8" s="464">
        <v>0.85150000000000003</v>
      </c>
      <c r="AB8" s="464">
        <v>0.4</v>
      </c>
      <c r="AC8" s="464">
        <v>0.34</v>
      </c>
      <c r="AD8" s="464">
        <v>0.46</v>
      </c>
      <c r="AE8" s="464">
        <v>0.91</v>
      </c>
      <c r="AF8" s="464">
        <v>6.4199999999999999E-13</v>
      </c>
      <c r="AG8" s="464" t="s">
        <v>5921</v>
      </c>
      <c r="AH8" s="464">
        <v>-10.581031298243799</v>
      </c>
      <c r="AI8" s="464" t="s">
        <v>5921</v>
      </c>
      <c r="AJ8" s="464">
        <v>-10.581031298243799</v>
      </c>
      <c r="AK8" s="464">
        <v>-13.617180000000001</v>
      </c>
      <c r="AL8" s="464">
        <v>-11.6</v>
      </c>
      <c r="AM8" s="464">
        <v>9.86</v>
      </c>
      <c r="AN8" s="464">
        <v>1.72</v>
      </c>
      <c r="AO8" s="464" t="s">
        <v>6311</v>
      </c>
      <c r="AP8" s="464" t="s">
        <v>6311</v>
      </c>
      <c r="AQ8" s="464" t="s">
        <v>282</v>
      </c>
      <c r="AR8" s="464" t="s">
        <v>266</v>
      </c>
      <c r="AS8" s="464" t="s">
        <v>8449</v>
      </c>
      <c r="AT8" s="464" t="s">
        <v>8450</v>
      </c>
      <c r="AU8" s="464" t="s">
        <v>8445</v>
      </c>
      <c r="AV8" s="464" t="s">
        <v>8451</v>
      </c>
      <c r="AW8" s="464" t="s">
        <v>267</v>
      </c>
      <c r="AX8" s="464" t="s">
        <v>268</v>
      </c>
      <c r="AY8" s="464" t="s">
        <v>8452</v>
      </c>
      <c r="AZ8" s="464" t="s">
        <v>269</v>
      </c>
      <c r="BA8" s="464" t="s">
        <v>270</v>
      </c>
      <c r="BB8" s="464" t="s">
        <v>8374</v>
      </c>
      <c r="BC8" s="464" t="s">
        <v>271</v>
      </c>
      <c r="BD8" s="464" t="s">
        <v>272</v>
      </c>
      <c r="BE8" s="464" t="s">
        <v>272</v>
      </c>
      <c r="BF8" s="464" t="s">
        <v>272</v>
      </c>
      <c r="BG8" s="464">
        <v>0.99993384930872531</v>
      </c>
      <c r="BH8" s="464">
        <v>999.93384930872537</v>
      </c>
      <c r="BI8" s="464" t="s">
        <v>5921</v>
      </c>
      <c r="BJ8" s="464">
        <v>4443.7527132617224</v>
      </c>
      <c r="BK8" s="464">
        <v>0</v>
      </c>
      <c r="BL8" s="464" t="s">
        <v>5921</v>
      </c>
      <c r="BM8" s="464" t="s">
        <v>5921</v>
      </c>
      <c r="BN8" s="464" t="s">
        <v>5921</v>
      </c>
      <c r="BO8" s="464" t="s">
        <v>5921</v>
      </c>
      <c r="BP8" s="464" t="s">
        <v>5921</v>
      </c>
      <c r="BQ8" s="464" t="s">
        <v>5921</v>
      </c>
      <c r="BR8" s="464" t="s">
        <v>5921</v>
      </c>
      <c r="BS8" s="464" t="s">
        <v>5921</v>
      </c>
      <c r="BT8" s="464" t="s">
        <v>5921</v>
      </c>
      <c r="BU8" s="464" t="s">
        <v>5921</v>
      </c>
      <c r="BV8" s="464" t="s">
        <v>5921</v>
      </c>
      <c r="BW8" s="464" t="s">
        <v>5921</v>
      </c>
      <c r="BX8" s="464">
        <v>888.82079999999996</v>
      </c>
      <c r="BY8" s="464">
        <v>816.26400000000001</v>
      </c>
      <c r="BZ8" s="464">
        <v>535.10640000000001</v>
      </c>
      <c r="CA8" s="464" t="s">
        <v>5921</v>
      </c>
      <c r="CB8" s="464" t="s">
        <v>5921</v>
      </c>
      <c r="CC8" s="464" t="s">
        <v>5921</v>
      </c>
      <c r="CD8" s="464" t="s">
        <v>5921</v>
      </c>
      <c r="CE8" s="464" t="s">
        <v>5921</v>
      </c>
      <c r="CF8" s="464" t="s">
        <v>5921</v>
      </c>
      <c r="CG8" s="464">
        <v>535.10640000000001</v>
      </c>
      <c r="CH8" s="464">
        <v>2.7284401452707647</v>
      </c>
      <c r="CI8" s="464">
        <v>4.4440466900223239</v>
      </c>
      <c r="CJ8" s="464">
        <v>8.3044282655967532</v>
      </c>
      <c r="CK8" s="464">
        <v>2.9100902170651883</v>
      </c>
      <c r="CL8" s="464">
        <v>1.229931864359989</v>
      </c>
      <c r="CM8" s="464" t="s">
        <v>466</v>
      </c>
      <c r="CN8" s="464" t="s">
        <v>274</v>
      </c>
      <c r="CO8" s="464">
        <v>2.9100902170651883</v>
      </c>
      <c r="CP8" s="464">
        <v>0.65818795177096101</v>
      </c>
      <c r="CQ8" s="464" t="s">
        <v>539</v>
      </c>
      <c r="CR8" s="464" t="s">
        <v>5921</v>
      </c>
      <c r="CS8" s="464">
        <v>33.189196467218338</v>
      </c>
      <c r="CT8" s="464">
        <v>17.760926338020862</v>
      </c>
      <c r="CU8" s="464">
        <v>1</v>
      </c>
      <c r="CV8" s="464" t="s">
        <v>5921</v>
      </c>
      <c r="CW8" s="464" t="s">
        <v>6351</v>
      </c>
    </row>
    <row r="9" spans="1:101" x14ac:dyDescent="0.2">
      <c r="A9" s="464">
        <v>52</v>
      </c>
      <c r="B9" s="464" t="s">
        <v>494</v>
      </c>
      <c r="C9" s="464" t="s">
        <v>6466</v>
      </c>
      <c r="D9" s="464" t="s">
        <v>1767</v>
      </c>
      <c r="E9" s="464">
        <v>108952</v>
      </c>
      <c r="F9" s="464" t="s">
        <v>495</v>
      </c>
      <c r="G9" s="464" t="s">
        <v>495</v>
      </c>
      <c r="H9" s="464" t="s">
        <v>496</v>
      </c>
      <c r="I9" s="464" t="s">
        <v>349</v>
      </c>
      <c r="J9" s="464" t="s">
        <v>5527</v>
      </c>
      <c r="K9" s="464" t="s">
        <v>497</v>
      </c>
      <c r="L9" s="464" t="s">
        <v>6381</v>
      </c>
      <c r="M9" s="464" t="s">
        <v>6086</v>
      </c>
      <c r="N9" s="464" t="s">
        <v>6184</v>
      </c>
      <c r="O9" s="464" t="s">
        <v>6176</v>
      </c>
      <c r="P9" s="464" t="s">
        <v>6185</v>
      </c>
      <c r="Q9" s="464" t="s">
        <v>6176</v>
      </c>
      <c r="R9" s="464">
        <v>94.11</v>
      </c>
      <c r="S9" s="464">
        <v>39463.059105431312</v>
      </c>
      <c r="T9" s="464">
        <v>31626.823083067095</v>
      </c>
      <c r="U9" s="464">
        <v>103189.56303903516</v>
      </c>
      <c r="V9" s="464">
        <v>103189.56303903516</v>
      </c>
      <c r="W9" s="464">
        <v>4.91</v>
      </c>
      <c r="X9" s="464">
        <v>1.64</v>
      </c>
      <c r="Y9" s="464">
        <v>1.23</v>
      </c>
      <c r="Z9" s="464">
        <v>1.67</v>
      </c>
      <c r="AA9" s="464">
        <v>0.93669999999999998</v>
      </c>
      <c r="AB9" s="464">
        <v>1.63</v>
      </c>
      <c r="AC9" s="464">
        <v>1.48</v>
      </c>
      <c r="AD9" s="464">
        <v>1.23</v>
      </c>
      <c r="AE9" s="464">
        <v>1.46</v>
      </c>
      <c r="AF9" s="464">
        <v>5.6100000000000001E-7</v>
      </c>
      <c r="AG9" s="464">
        <v>3.3299999999999998E-7</v>
      </c>
      <c r="AH9" s="464">
        <v>-4.6396034650564904</v>
      </c>
      <c r="AI9" s="464">
        <v>-4.8661220928063322</v>
      </c>
      <c r="AJ9" s="464">
        <v>-4.8661220928063322</v>
      </c>
      <c r="AK9" s="464">
        <v>-6.4734600000000002</v>
      </c>
      <c r="AL9" s="464">
        <v>-4.68</v>
      </c>
      <c r="AM9" s="464">
        <v>9.86</v>
      </c>
      <c r="AN9" s="464" t="s">
        <v>5921</v>
      </c>
      <c r="AO9" s="464" t="s">
        <v>6311</v>
      </c>
      <c r="AP9" s="464" t="s">
        <v>6311</v>
      </c>
      <c r="AQ9" s="464" t="s">
        <v>282</v>
      </c>
      <c r="AR9" s="464" t="s">
        <v>266</v>
      </c>
      <c r="AS9" s="464" t="s">
        <v>8449</v>
      </c>
      <c r="AT9" s="464" t="s">
        <v>8450</v>
      </c>
      <c r="AU9" s="464" t="s">
        <v>8445</v>
      </c>
      <c r="AV9" s="464" t="s">
        <v>8451</v>
      </c>
      <c r="AW9" s="464" t="s">
        <v>267</v>
      </c>
      <c r="AX9" s="464" t="s">
        <v>268</v>
      </c>
      <c r="AY9" s="464" t="s">
        <v>8452</v>
      </c>
      <c r="AZ9" s="464" t="s">
        <v>269</v>
      </c>
      <c r="BA9" s="464" t="s">
        <v>270</v>
      </c>
      <c r="BB9" s="464" t="s">
        <v>8374</v>
      </c>
      <c r="BC9" s="464" t="s">
        <v>271</v>
      </c>
      <c r="BD9" s="464" t="s">
        <v>272</v>
      </c>
      <c r="BE9" s="464" t="s">
        <v>272</v>
      </c>
      <c r="BF9" s="464" t="s">
        <v>272</v>
      </c>
      <c r="BG9" s="464">
        <v>1</v>
      </c>
      <c r="BH9" s="464">
        <v>1000</v>
      </c>
      <c r="BI9" s="464" t="s">
        <v>5921</v>
      </c>
      <c r="BJ9" s="464">
        <v>162.76153364945489</v>
      </c>
      <c r="BK9" s="464">
        <v>0</v>
      </c>
      <c r="BL9" s="464" t="s">
        <v>5921</v>
      </c>
      <c r="BM9" s="464" t="s">
        <v>5921</v>
      </c>
      <c r="BN9" s="464" t="s">
        <v>5921</v>
      </c>
      <c r="BO9" s="464" t="s">
        <v>5921</v>
      </c>
      <c r="BP9" s="464" t="s">
        <v>5921</v>
      </c>
      <c r="BQ9" s="464" t="s">
        <v>5921</v>
      </c>
      <c r="BR9" s="464" t="s">
        <v>5921</v>
      </c>
      <c r="BS9" s="464" t="s">
        <v>5921</v>
      </c>
      <c r="BT9" s="464" t="s">
        <v>5921</v>
      </c>
      <c r="BU9" s="464" t="s">
        <v>5921</v>
      </c>
      <c r="BV9" s="464" t="s">
        <v>5921</v>
      </c>
      <c r="BW9" s="464">
        <v>255.97920000000002</v>
      </c>
      <c r="BX9" s="464">
        <v>354.79469999999998</v>
      </c>
      <c r="BY9" s="464">
        <v>173.16240000000002</v>
      </c>
      <c r="BZ9" s="464">
        <v>86.58120000000001</v>
      </c>
      <c r="CA9" s="464" t="s">
        <v>5921</v>
      </c>
      <c r="CB9" s="464" t="s">
        <v>5921</v>
      </c>
      <c r="CC9" s="464" t="s">
        <v>5921</v>
      </c>
      <c r="CD9" s="464" t="s">
        <v>5921</v>
      </c>
      <c r="CE9" s="464" t="s">
        <v>5921</v>
      </c>
      <c r="CF9" s="464" t="s">
        <v>5921</v>
      </c>
      <c r="CG9" s="464">
        <v>86.58120000000001</v>
      </c>
      <c r="CH9" s="464">
        <v>1.9374236007629628</v>
      </c>
      <c r="CI9" s="464">
        <v>0.16276153364945489</v>
      </c>
      <c r="CJ9" s="464">
        <v>1.8798715385032185</v>
      </c>
      <c r="CK9" s="464">
        <v>0.96044207232975776</v>
      </c>
      <c r="CL9" s="464">
        <v>109.53626488066465</v>
      </c>
      <c r="CM9" s="464" t="s">
        <v>273</v>
      </c>
      <c r="CN9" s="464" t="s">
        <v>274</v>
      </c>
      <c r="CO9" s="464">
        <v>1.2958965951606112</v>
      </c>
      <c r="CP9" s="464">
        <v>4.3805334966235829</v>
      </c>
      <c r="CQ9" s="464" t="s">
        <v>539</v>
      </c>
      <c r="CR9" s="464" t="s">
        <v>5921</v>
      </c>
      <c r="CS9" s="464">
        <v>1191.8241262425925</v>
      </c>
      <c r="CT9" s="464">
        <v>103.18956303903516</v>
      </c>
      <c r="CU9" s="464">
        <v>1</v>
      </c>
      <c r="CV9" s="464" t="s">
        <v>5921</v>
      </c>
      <c r="CW9" s="464" t="s">
        <v>6351</v>
      </c>
    </row>
    <row r="10" spans="1:101" x14ac:dyDescent="0.2">
      <c r="A10" s="464">
        <v>54</v>
      </c>
      <c r="B10" s="464" t="s">
        <v>504</v>
      </c>
      <c r="C10" s="464" t="s">
        <v>6440</v>
      </c>
      <c r="D10" s="464" t="s">
        <v>1689</v>
      </c>
      <c r="E10" s="464">
        <v>67685</v>
      </c>
      <c r="F10" s="464" t="s">
        <v>505</v>
      </c>
      <c r="G10" s="464" t="s">
        <v>505</v>
      </c>
      <c r="H10" s="464" t="s">
        <v>506</v>
      </c>
      <c r="I10" s="464" t="s">
        <v>426</v>
      </c>
      <c r="J10" s="464" t="s">
        <v>279</v>
      </c>
      <c r="K10" s="464" t="s">
        <v>6104</v>
      </c>
      <c r="L10" s="464" t="s">
        <v>6082</v>
      </c>
      <c r="M10" s="464" t="s">
        <v>6091</v>
      </c>
      <c r="N10" s="464" t="s">
        <v>5921</v>
      </c>
      <c r="O10" s="464" t="s">
        <v>6173</v>
      </c>
      <c r="P10" s="464" t="s">
        <v>6185</v>
      </c>
      <c r="Q10" s="464" t="s">
        <v>6176</v>
      </c>
      <c r="R10" s="464">
        <v>78.13</v>
      </c>
      <c r="S10" s="464">
        <v>999999.99999999988</v>
      </c>
      <c r="T10" s="464">
        <v>999999.99999999988</v>
      </c>
      <c r="U10" s="464">
        <v>1006509.3747378461</v>
      </c>
      <c r="V10" s="464">
        <v>1006509.3747378461</v>
      </c>
      <c r="W10" s="464">
        <v>7</v>
      </c>
      <c r="X10" s="464">
        <v>-1.22</v>
      </c>
      <c r="Y10" s="464">
        <v>-1.35</v>
      </c>
      <c r="Z10" s="464">
        <v>-0.67</v>
      </c>
      <c r="AA10" s="464">
        <v>0.73660000000000003</v>
      </c>
      <c r="AB10" s="464">
        <v>-0.91</v>
      </c>
      <c r="AC10" s="464">
        <v>-1.35</v>
      </c>
      <c r="AD10" s="464">
        <v>-1.35</v>
      </c>
      <c r="AE10" s="464">
        <v>-0.34</v>
      </c>
      <c r="AF10" s="464">
        <v>4.9600000000000001E-8</v>
      </c>
      <c r="AG10" s="464">
        <v>1.51E-9</v>
      </c>
      <c r="AH10" s="464">
        <v>-5.6930846498224543</v>
      </c>
      <c r="AI10" s="464">
        <v>-7.2095893790194827</v>
      </c>
      <c r="AJ10" s="464">
        <v>-7.2095893790194827</v>
      </c>
      <c r="AK10" s="464">
        <v>-7.0543600000000009</v>
      </c>
      <c r="AL10" s="464">
        <v>2.0099999999999998</v>
      </c>
      <c r="AM10" s="464" t="s">
        <v>5921</v>
      </c>
      <c r="AN10" s="464" t="s">
        <v>5921</v>
      </c>
      <c r="AO10" s="464" t="s">
        <v>6311</v>
      </c>
      <c r="AP10" s="464" t="s">
        <v>6311</v>
      </c>
      <c r="AQ10" s="464" t="s">
        <v>282</v>
      </c>
      <c r="AR10" s="464" t="s">
        <v>266</v>
      </c>
      <c r="AS10" s="464" t="s">
        <v>8449</v>
      </c>
      <c r="AT10" s="464" t="s">
        <v>8450</v>
      </c>
      <c r="AU10" s="464" t="s">
        <v>8445</v>
      </c>
      <c r="AV10" s="464" t="s">
        <v>8451</v>
      </c>
      <c r="AW10" s="464" t="s">
        <v>267</v>
      </c>
      <c r="AX10" s="464" t="s">
        <v>268</v>
      </c>
      <c r="AY10" s="464" t="s">
        <v>8452</v>
      </c>
      <c r="AZ10" s="464" t="s">
        <v>269</v>
      </c>
      <c r="BA10" s="464" t="s">
        <v>270</v>
      </c>
      <c r="BB10" s="464" t="s">
        <v>8374</v>
      </c>
      <c r="BC10" s="464" t="s">
        <v>271</v>
      </c>
      <c r="BD10" s="464" t="s">
        <v>272</v>
      </c>
      <c r="BE10" s="464" t="s">
        <v>272</v>
      </c>
      <c r="BF10" s="464" t="s">
        <v>272</v>
      </c>
      <c r="BG10" s="464">
        <v>0.99999999999999989</v>
      </c>
      <c r="BH10" s="464">
        <v>32000</v>
      </c>
      <c r="BI10" s="464" t="s">
        <v>5921</v>
      </c>
      <c r="BJ10" s="464">
        <v>50037.986350047962</v>
      </c>
      <c r="BK10" s="464">
        <v>0</v>
      </c>
      <c r="BL10" s="464" t="s">
        <v>5921</v>
      </c>
      <c r="BM10" s="464" t="s">
        <v>5921</v>
      </c>
      <c r="BN10" s="464" t="s">
        <v>5921</v>
      </c>
      <c r="BO10" s="464" t="s">
        <v>5921</v>
      </c>
      <c r="BP10" s="464" t="s">
        <v>5921</v>
      </c>
      <c r="BQ10" s="464" t="s">
        <v>5921</v>
      </c>
      <c r="BR10" s="464" t="s">
        <v>5921</v>
      </c>
      <c r="BS10" s="464" t="s">
        <v>5921</v>
      </c>
      <c r="BT10" s="464" t="s">
        <v>5921</v>
      </c>
      <c r="BU10" s="464" t="s">
        <v>5921</v>
      </c>
      <c r="BV10" s="464" t="s">
        <v>5921</v>
      </c>
      <c r="BW10" s="464" t="s">
        <v>5921</v>
      </c>
      <c r="BX10" s="464">
        <v>31187.152099999999</v>
      </c>
      <c r="BY10" s="464">
        <v>18816.047900000001</v>
      </c>
      <c r="BZ10" s="464">
        <v>20964.622899999998</v>
      </c>
      <c r="CA10" s="464" t="s">
        <v>5921</v>
      </c>
      <c r="CB10" s="464" t="s">
        <v>5921</v>
      </c>
      <c r="CC10" s="464" t="s">
        <v>5921</v>
      </c>
      <c r="CD10" s="464" t="s">
        <v>5921</v>
      </c>
      <c r="CE10" s="464" t="s">
        <v>5921</v>
      </c>
      <c r="CF10" s="464" t="s">
        <v>5921</v>
      </c>
      <c r="CG10" s="464">
        <v>18816.047900000001</v>
      </c>
      <c r="CH10" s="464">
        <v>4.2745284099806113</v>
      </c>
      <c r="CI10" s="464">
        <v>1.5636870734389989</v>
      </c>
      <c r="CJ10" s="464">
        <v>2.6593249876903191</v>
      </c>
      <c r="CK10" s="464">
        <v>4.5321166480173769</v>
      </c>
      <c r="CL10" s="464">
        <v>0.93979543320367398</v>
      </c>
      <c r="CM10" s="464" t="s">
        <v>273</v>
      </c>
      <c r="CN10" s="464" t="s">
        <v>274</v>
      </c>
      <c r="CO10" s="464">
        <v>4.5498980085144174</v>
      </c>
      <c r="CP10" s="464">
        <v>0.53043283673467145</v>
      </c>
      <c r="CQ10" s="464" t="s">
        <v>539</v>
      </c>
      <c r="CR10" s="464" t="s">
        <v>5921</v>
      </c>
      <c r="CS10" s="464">
        <v>53.492071240839373</v>
      </c>
      <c r="CT10" s="464">
        <v>31.45341796055769</v>
      </c>
      <c r="CU10" s="464">
        <v>1</v>
      </c>
      <c r="CV10" s="464" t="s">
        <v>5921</v>
      </c>
      <c r="CW10" s="464" t="s">
        <v>6351</v>
      </c>
    </row>
    <row r="11" spans="1:101" x14ac:dyDescent="0.2">
      <c r="A11" s="464">
        <v>55</v>
      </c>
      <c r="B11" s="464" t="s">
        <v>508</v>
      </c>
      <c r="C11" s="464" t="s">
        <v>6424</v>
      </c>
      <c r="D11" s="464" t="s">
        <v>8460</v>
      </c>
      <c r="E11" s="464">
        <v>50000</v>
      </c>
      <c r="F11" s="464" t="s">
        <v>509</v>
      </c>
      <c r="G11" s="464" t="s">
        <v>509</v>
      </c>
      <c r="H11" s="464" t="s">
        <v>510</v>
      </c>
      <c r="I11" s="464" t="s">
        <v>511</v>
      </c>
      <c r="J11" s="464" t="s">
        <v>6105</v>
      </c>
      <c r="K11" s="464" t="s">
        <v>6088</v>
      </c>
      <c r="L11" s="464" t="s">
        <v>6088</v>
      </c>
      <c r="M11" s="464" t="s">
        <v>6083</v>
      </c>
      <c r="N11" s="464" t="s">
        <v>5921</v>
      </c>
      <c r="O11" s="464" t="s">
        <v>6176</v>
      </c>
      <c r="P11" s="464" t="s">
        <v>6175</v>
      </c>
      <c r="Q11" s="464" t="s">
        <v>6173</v>
      </c>
      <c r="R11" s="464">
        <v>30.03</v>
      </c>
      <c r="S11" s="464">
        <v>400000</v>
      </c>
      <c r="T11" s="464">
        <v>57020</v>
      </c>
      <c r="U11" s="464">
        <v>198406.24243668112</v>
      </c>
      <c r="V11" s="464">
        <v>198406.24243668112</v>
      </c>
      <c r="W11" s="464">
        <v>7</v>
      </c>
      <c r="X11" s="464">
        <v>0.35</v>
      </c>
      <c r="Y11" s="464">
        <v>0.35</v>
      </c>
      <c r="Z11" s="464">
        <v>0.27</v>
      </c>
      <c r="AA11" s="464">
        <v>0.88849999999999996</v>
      </c>
      <c r="AB11" s="464">
        <v>0.28999999999999998</v>
      </c>
      <c r="AC11" s="464">
        <v>0.35</v>
      </c>
      <c r="AD11" s="464">
        <v>0.35</v>
      </c>
      <c r="AE11" s="464">
        <v>-0.36</v>
      </c>
      <c r="AF11" s="464">
        <v>9.2899999999999995E-5</v>
      </c>
      <c r="AG11" s="464">
        <v>3.3700000000000001E-7</v>
      </c>
      <c r="AH11" s="464">
        <v>-2.4205506123190101</v>
      </c>
      <c r="AI11" s="464">
        <v>-4.860936425441313</v>
      </c>
      <c r="AJ11" s="464">
        <v>-4.860936425441313</v>
      </c>
      <c r="AK11" s="464">
        <v>-2.4347099999999999</v>
      </c>
      <c r="AL11" s="464">
        <v>-1.64</v>
      </c>
      <c r="AM11" s="464" t="s">
        <v>5921</v>
      </c>
      <c r="AN11" s="464" t="s">
        <v>5921</v>
      </c>
      <c r="AO11" s="464" t="s">
        <v>6311</v>
      </c>
      <c r="AP11" s="464" t="s">
        <v>6311</v>
      </c>
      <c r="AQ11" s="464" t="s">
        <v>282</v>
      </c>
      <c r="AR11" s="464" t="s">
        <v>266</v>
      </c>
      <c r="AS11" s="464" t="s">
        <v>8449</v>
      </c>
      <c r="AT11" s="464" t="s">
        <v>8450</v>
      </c>
      <c r="AU11" s="464" t="s">
        <v>8445</v>
      </c>
      <c r="AV11" s="464" t="s">
        <v>8451</v>
      </c>
      <c r="AW11" s="464" t="s">
        <v>267</v>
      </c>
      <c r="AX11" s="464" t="s">
        <v>268</v>
      </c>
      <c r="AY11" s="464" t="s">
        <v>8452</v>
      </c>
      <c r="AZ11" s="464" t="s">
        <v>269</v>
      </c>
      <c r="BA11" s="464" t="s">
        <v>270</v>
      </c>
      <c r="BB11" s="464" t="s">
        <v>8374</v>
      </c>
      <c r="BC11" s="464" t="s">
        <v>271</v>
      </c>
      <c r="BD11" s="464" t="s">
        <v>272</v>
      </c>
      <c r="BE11" s="464" t="s">
        <v>272</v>
      </c>
      <c r="BF11" s="464" t="s">
        <v>272</v>
      </c>
      <c r="BG11" s="464">
        <v>0.99999999999999989</v>
      </c>
      <c r="BH11" s="464">
        <v>1000</v>
      </c>
      <c r="BI11" s="464" t="s">
        <v>5921</v>
      </c>
      <c r="BJ11" s="464">
        <v>748.20452809700032</v>
      </c>
      <c r="BK11" s="464">
        <v>0</v>
      </c>
      <c r="BL11" s="464" t="s">
        <v>5921</v>
      </c>
      <c r="BM11" s="464" t="s">
        <v>5921</v>
      </c>
      <c r="BN11" s="464" t="s">
        <v>5921</v>
      </c>
      <c r="BO11" s="464" t="s">
        <v>5921</v>
      </c>
      <c r="BP11" s="464" t="s">
        <v>5921</v>
      </c>
      <c r="BQ11" s="464" t="s">
        <v>5921</v>
      </c>
      <c r="BR11" s="464" t="s">
        <v>5921</v>
      </c>
      <c r="BS11" s="464" t="s">
        <v>5921</v>
      </c>
      <c r="BT11" s="464" t="s">
        <v>5921</v>
      </c>
      <c r="BU11" s="464" t="s">
        <v>5921</v>
      </c>
      <c r="BV11" s="464" t="s">
        <v>5921</v>
      </c>
      <c r="BW11" s="464" t="s">
        <v>5921</v>
      </c>
      <c r="BX11" s="464">
        <v>12.9129</v>
      </c>
      <c r="BY11" s="464">
        <v>11.1111</v>
      </c>
      <c r="BZ11" s="464">
        <v>12.6126</v>
      </c>
      <c r="CA11" s="464" t="s">
        <v>5921</v>
      </c>
      <c r="CB11" s="464" t="s">
        <v>5921</v>
      </c>
      <c r="CC11" s="464" t="s">
        <v>5921</v>
      </c>
      <c r="CD11" s="464" t="s">
        <v>5921</v>
      </c>
      <c r="CE11" s="464" t="s">
        <v>5921</v>
      </c>
      <c r="CF11" s="464" t="s">
        <v>5921</v>
      </c>
      <c r="CG11" s="464">
        <v>11.1111</v>
      </c>
      <c r="CH11" s="464">
        <v>1.0457570562659761</v>
      </c>
      <c r="CI11" s="464">
        <v>0.74820452809700033</v>
      </c>
      <c r="CJ11" s="464">
        <v>67.338474867204894</v>
      </c>
      <c r="CK11" s="464">
        <v>1.298125098812464</v>
      </c>
      <c r="CL11" s="464">
        <v>50.335559599138364</v>
      </c>
      <c r="CM11" s="464" t="s">
        <v>273</v>
      </c>
      <c r="CN11" s="464" t="s">
        <v>274</v>
      </c>
      <c r="CO11" s="464">
        <v>1.4982719919411001</v>
      </c>
      <c r="CP11" s="464">
        <v>0.35276465459994366</v>
      </c>
      <c r="CQ11" s="464" t="s">
        <v>539</v>
      </c>
      <c r="CR11" s="464" t="s">
        <v>5921</v>
      </c>
      <c r="CS11" s="464">
        <v>17856.579675880977</v>
      </c>
      <c r="CT11" s="464">
        <v>198.40624243668111</v>
      </c>
      <c r="CU11" s="464">
        <v>1</v>
      </c>
      <c r="CV11" s="464" t="s">
        <v>5921</v>
      </c>
      <c r="CW11" s="464" t="s">
        <v>6351</v>
      </c>
    </row>
    <row r="12" spans="1:101" x14ac:dyDescent="0.2">
      <c r="A12" s="464">
        <v>93</v>
      </c>
      <c r="B12" s="464" t="s">
        <v>3660</v>
      </c>
      <c r="C12" s="464" t="s">
        <v>6479</v>
      </c>
      <c r="D12" s="464" t="s">
        <v>3661</v>
      </c>
      <c r="E12" s="464">
        <v>137304</v>
      </c>
      <c r="F12" s="464" t="s">
        <v>3662</v>
      </c>
      <c r="G12" s="464" t="s">
        <v>3662</v>
      </c>
      <c r="H12" s="464" t="s">
        <v>3663</v>
      </c>
      <c r="I12" s="464" t="s">
        <v>403</v>
      </c>
      <c r="J12" s="464" t="s">
        <v>5929</v>
      </c>
      <c r="K12" s="464" t="s">
        <v>1515</v>
      </c>
      <c r="L12" s="464" t="s">
        <v>6382</v>
      </c>
      <c r="M12" s="464" t="s">
        <v>1516</v>
      </c>
      <c r="N12" s="464" t="s">
        <v>8470</v>
      </c>
      <c r="O12" s="464" t="s">
        <v>6173</v>
      </c>
      <c r="P12" s="464" t="s">
        <v>8448</v>
      </c>
      <c r="Q12" s="464" t="s">
        <v>6173</v>
      </c>
      <c r="R12" s="464">
        <v>305.81</v>
      </c>
      <c r="S12" s="464">
        <v>65</v>
      </c>
      <c r="T12" s="464">
        <v>10300</v>
      </c>
      <c r="U12" s="464" t="s">
        <v>5921</v>
      </c>
      <c r="V12" s="464">
        <v>10300</v>
      </c>
      <c r="W12" s="464" t="s">
        <v>5921</v>
      </c>
      <c r="X12" s="464">
        <v>1.1399999999999999</v>
      </c>
      <c r="Y12" s="464">
        <v>1.23</v>
      </c>
      <c r="Z12" s="464" t="s">
        <v>5921</v>
      </c>
      <c r="AA12" s="464" t="s">
        <v>5921</v>
      </c>
      <c r="AB12" s="464" t="s">
        <v>5921</v>
      </c>
      <c r="AC12" s="464" t="s">
        <v>5921</v>
      </c>
      <c r="AD12" s="464">
        <v>1.23</v>
      </c>
      <c r="AE12" s="464" t="s">
        <v>5921</v>
      </c>
      <c r="AF12" s="464">
        <v>1.74E-9</v>
      </c>
      <c r="AG12" s="464">
        <v>6.1900000000000003E-10</v>
      </c>
      <c r="AH12" s="464">
        <v>-7.148017078030052</v>
      </c>
      <c r="AI12" s="464">
        <v>-7.5968756772925339</v>
      </c>
      <c r="AJ12" s="464">
        <v>-7.5968756772925339</v>
      </c>
      <c r="AK12" s="464" t="s">
        <v>5921</v>
      </c>
      <c r="AL12" s="464">
        <v>-7.6</v>
      </c>
      <c r="AM12" s="464" t="s">
        <v>5921</v>
      </c>
      <c r="AN12" s="464" t="s">
        <v>5921</v>
      </c>
      <c r="AO12" s="464" t="s">
        <v>6311</v>
      </c>
      <c r="AP12" s="464" t="s">
        <v>6311</v>
      </c>
      <c r="AQ12" s="464" t="s">
        <v>5921</v>
      </c>
      <c r="AR12" s="464" t="s">
        <v>266</v>
      </c>
      <c r="AS12" s="464" t="s">
        <v>8465</v>
      </c>
      <c r="AT12" s="464" t="s">
        <v>8450</v>
      </c>
      <c r="AU12" s="464" t="s">
        <v>8466</v>
      </c>
      <c r="AV12" s="464" t="s">
        <v>8451</v>
      </c>
      <c r="AW12" s="464" t="s">
        <v>8727</v>
      </c>
      <c r="AX12" s="464" t="s">
        <v>1563</v>
      </c>
      <c r="AY12" s="464" t="s">
        <v>8467</v>
      </c>
      <c r="AZ12" s="464" t="s">
        <v>2485</v>
      </c>
      <c r="BA12" s="464" t="s">
        <v>8726</v>
      </c>
      <c r="BB12" s="464" t="s">
        <v>8374</v>
      </c>
      <c r="BC12" s="464" t="s">
        <v>2449</v>
      </c>
      <c r="BD12" s="464" t="s">
        <v>272</v>
      </c>
      <c r="BE12" s="464" t="s">
        <v>272</v>
      </c>
      <c r="BF12" s="464" t="s">
        <v>2486</v>
      </c>
      <c r="BG12" s="464">
        <v>1.9571839999999998E-3</v>
      </c>
      <c r="BH12" s="464">
        <v>19.571840000000002</v>
      </c>
      <c r="BI12" s="464" t="s">
        <v>5921</v>
      </c>
      <c r="BJ12" s="464">
        <v>1487.3654284611578</v>
      </c>
      <c r="BK12" s="464" t="s">
        <v>5921</v>
      </c>
      <c r="BL12" s="464" t="s">
        <v>5921</v>
      </c>
      <c r="BM12" s="464" t="s">
        <v>5921</v>
      </c>
      <c r="BN12" s="464" t="s">
        <v>5921</v>
      </c>
      <c r="BO12" s="464" t="s">
        <v>5921</v>
      </c>
      <c r="BP12" s="464">
        <v>3.9143680000000001</v>
      </c>
      <c r="BQ12" s="464" t="s">
        <v>5921</v>
      </c>
      <c r="BR12" s="464" t="s">
        <v>5921</v>
      </c>
      <c r="BS12" s="464" t="s">
        <v>5921</v>
      </c>
      <c r="BT12" s="464" t="s">
        <v>5921</v>
      </c>
      <c r="BU12" s="464" t="s">
        <v>5921</v>
      </c>
      <c r="BV12" s="464" t="s">
        <v>5921</v>
      </c>
      <c r="BW12" s="464" t="s">
        <v>5921</v>
      </c>
      <c r="BX12" s="464" t="s">
        <v>5921</v>
      </c>
      <c r="BY12" s="464" t="s">
        <v>5921</v>
      </c>
      <c r="BZ12" s="464" t="s">
        <v>5921</v>
      </c>
      <c r="CA12" s="464" t="s">
        <v>5921</v>
      </c>
      <c r="CB12" s="464" t="s">
        <v>5921</v>
      </c>
      <c r="CC12" s="464" t="s">
        <v>5921</v>
      </c>
      <c r="CD12" s="464" t="s">
        <v>5921</v>
      </c>
      <c r="CE12" s="464" t="s">
        <v>5921</v>
      </c>
      <c r="CF12" s="464" t="s">
        <v>5921</v>
      </c>
      <c r="CG12" s="464">
        <v>3.9143680000000001</v>
      </c>
      <c r="CH12" s="464">
        <v>0.59266165240438884</v>
      </c>
      <c r="CI12" s="464">
        <v>75.995176154166273</v>
      </c>
      <c r="CJ12" s="464">
        <v>379.9758807708314</v>
      </c>
      <c r="CK12" s="464">
        <v>-1.1286767050306317</v>
      </c>
      <c r="CL12" s="464">
        <v>263.21362221893696</v>
      </c>
      <c r="CM12" s="464" t="s">
        <v>2488</v>
      </c>
      <c r="CN12" s="464" t="s">
        <v>2489</v>
      </c>
      <c r="CO12" s="464">
        <v>-0.56747020487515742</v>
      </c>
      <c r="CP12" s="464">
        <v>14.458786911094597</v>
      </c>
      <c r="CQ12" s="464" t="s">
        <v>539</v>
      </c>
      <c r="CR12" s="464" t="s">
        <v>5921</v>
      </c>
      <c r="CS12" s="464">
        <v>2631.3315457310096</v>
      </c>
      <c r="CT12" s="464">
        <v>526.26630914620182</v>
      </c>
      <c r="CU12" s="464">
        <v>1</v>
      </c>
      <c r="CV12" s="464" t="s">
        <v>5921</v>
      </c>
      <c r="CW12" s="464" t="s">
        <v>6351</v>
      </c>
    </row>
    <row r="13" spans="1:101" x14ac:dyDescent="0.2">
      <c r="A13" s="464">
        <v>106</v>
      </c>
      <c r="B13" s="464" t="s">
        <v>439</v>
      </c>
      <c r="C13" s="464" t="s">
        <v>6441</v>
      </c>
      <c r="D13" s="464" t="s">
        <v>440</v>
      </c>
      <c r="E13" s="464">
        <v>69727</v>
      </c>
      <c r="F13" s="464" t="s">
        <v>441</v>
      </c>
      <c r="G13" s="464" t="s">
        <v>441</v>
      </c>
      <c r="H13" s="464" t="s">
        <v>442</v>
      </c>
      <c r="I13" s="464" t="s">
        <v>349</v>
      </c>
      <c r="J13" s="464" t="s">
        <v>279</v>
      </c>
      <c r="K13" s="464" t="s">
        <v>443</v>
      </c>
      <c r="L13" s="464" t="s">
        <v>6384</v>
      </c>
      <c r="M13" s="464" t="s">
        <v>281</v>
      </c>
      <c r="N13" s="464" t="s">
        <v>5921</v>
      </c>
      <c r="O13" s="464" t="s">
        <v>5921</v>
      </c>
      <c r="P13" s="464" t="s">
        <v>5921</v>
      </c>
      <c r="Q13" s="464" t="s">
        <v>5921</v>
      </c>
      <c r="R13" s="464">
        <v>138.12</v>
      </c>
      <c r="S13" s="464">
        <v>2240</v>
      </c>
      <c r="T13" s="464">
        <v>3808</v>
      </c>
      <c r="U13" s="464">
        <v>8516.4101657107931</v>
      </c>
      <c r="V13" s="464">
        <v>8516.4101657107931</v>
      </c>
      <c r="W13" s="464">
        <v>1.76</v>
      </c>
      <c r="X13" s="464">
        <v>2.2400000000000002</v>
      </c>
      <c r="Y13" s="464">
        <v>2.2599999999999998</v>
      </c>
      <c r="Z13" s="464">
        <v>2.4700000000000002</v>
      </c>
      <c r="AA13" s="464">
        <v>0.87809999999999999</v>
      </c>
      <c r="AB13" s="464">
        <v>2.37</v>
      </c>
      <c r="AC13" s="464">
        <v>2.06</v>
      </c>
      <c r="AD13" s="464">
        <v>2.2599999999999998</v>
      </c>
      <c r="AE13" s="464">
        <v>1.27</v>
      </c>
      <c r="AF13" s="464">
        <v>1.42E-8</v>
      </c>
      <c r="AG13" s="464">
        <v>7.3399999999999999E-9</v>
      </c>
      <c r="AH13" s="464">
        <v>-6.2362779819295957</v>
      </c>
      <c r="AI13" s="464">
        <v>-6.5228702663965814</v>
      </c>
      <c r="AJ13" s="464">
        <v>-6.5228702663965814</v>
      </c>
      <c r="AK13" s="464">
        <v>-8.2730999999999995</v>
      </c>
      <c r="AL13" s="464">
        <v>-6.16</v>
      </c>
      <c r="AM13" s="464">
        <v>3.01</v>
      </c>
      <c r="AN13" s="464" t="s">
        <v>5921</v>
      </c>
      <c r="AO13" s="464" t="s">
        <v>6311</v>
      </c>
      <c r="AP13" s="464" t="s">
        <v>6311</v>
      </c>
      <c r="AQ13" s="464" t="s">
        <v>282</v>
      </c>
      <c r="AR13" s="464" t="s">
        <v>266</v>
      </c>
      <c r="AS13" s="464" t="s">
        <v>8444</v>
      </c>
      <c r="AT13" s="464" t="s">
        <v>646</v>
      </c>
      <c r="AU13" s="464" t="s">
        <v>646</v>
      </c>
      <c r="AV13" s="464" t="s">
        <v>8446</v>
      </c>
      <c r="AW13" s="464" t="s">
        <v>647</v>
      </c>
      <c r="AX13" s="464" t="s">
        <v>536</v>
      </c>
      <c r="AY13" s="464" t="s">
        <v>8447</v>
      </c>
      <c r="AZ13" s="464" t="s">
        <v>537</v>
      </c>
      <c r="BA13" s="464" t="s">
        <v>648</v>
      </c>
      <c r="BB13" s="464" t="s">
        <v>5921</v>
      </c>
      <c r="BC13" s="464" t="s">
        <v>649</v>
      </c>
      <c r="BD13" s="464" t="s">
        <v>650</v>
      </c>
      <c r="BE13" s="464" t="s">
        <v>540</v>
      </c>
      <c r="BF13" s="464" t="s">
        <v>272</v>
      </c>
      <c r="BG13" s="464">
        <v>14.502599999999999</v>
      </c>
      <c r="BH13" s="464">
        <v>29.97204</v>
      </c>
      <c r="BI13" s="464" t="s">
        <v>5921</v>
      </c>
      <c r="BJ13" s="464">
        <v>69.073676085754386</v>
      </c>
      <c r="BK13" s="464" t="s">
        <v>5921</v>
      </c>
      <c r="BL13" s="464" t="s">
        <v>5921</v>
      </c>
      <c r="BM13" s="464">
        <v>24.585359999999998</v>
      </c>
      <c r="BN13" s="464" t="s">
        <v>5921</v>
      </c>
      <c r="BO13" s="464" t="s">
        <v>5921</v>
      </c>
      <c r="BP13" s="464">
        <v>22.79</v>
      </c>
      <c r="BQ13" s="464" t="s">
        <v>5921</v>
      </c>
      <c r="BR13" s="464" t="s">
        <v>5921</v>
      </c>
      <c r="BS13" s="464" t="s">
        <v>5921</v>
      </c>
      <c r="BT13" s="464" t="s">
        <v>5921</v>
      </c>
      <c r="BU13" s="464" t="s">
        <v>5921</v>
      </c>
      <c r="BV13" s="464" t="s">
        <v>5921</v>
      </c>
      <c r="BW13" s="464" t="s">
        <v>5921</v>
      </c>
      <c r="BX13" s="464" t="s">
        <v>5921</v>
      </c>
      <c r="BY13" s="464" t="s">
        <v>5921</v>
      </c>
      <c r="BZ13" s="464" t="s">
        <v>5921</v>
      </c>
      <c r="CA13" s="464" t="s">
        <v>5921</v>
      </c>
      <c r="CB13" s="464" t="s">
        <v>5921</v>
      </c>
      <c r="CC13" s="464" t="s">
        <v>5921</v>
      </c>
      <c r="CD13" s="464" t="s">
        <v>5921</v>
      </c>
      <c r="CE13" s="464" t="s">
        <v>5921</v>
      </c>
      <c r="CF13" s="464" t="s">
        <v>5921</v>
      </c>
      <c r="CG13" s="464">
        <v>22.79</v>
      </c>
      <c r="CH13" s="464">
        <v>1.3577443251803756</v>
      </c>
      <c r="CI13" s="464">
        <v>2.3046037602296803</v>
      </c>
      <c r="CJ13" s="464">
        <v>3.0308765285543831</v>
      </c>
      <c r="CK13" s="464">
        <v>2.3138672203691533</v>
      </c>
      <c r="CL13" s="464">
        <v>0.14549533980582521</v>
      </c>
      <c r="CM13" s="464" t="s">
        <v>5921</v>
      </c>
      <c r="CN13" s="464" t="s">
        <v>651</v>
      </c>
      <c r="CO13" s="464">
        <v>2.774697833638351</v>
      </c>
      <c r="CP13" s="464">
        <v>3.8286572717931247E-2</v>
      </c>
      <c r="CQ13" s="464" t="s">
        <v>539</v>
      </c>
      <c r="CR13" s="464" t="s">
        <v>5921</v>
      </c>
      <c r="CS13" s="464">
        <v>373.69066106673074</v>
      </c>
      <c r="CT13" s="464">
        <v>284.14516214814853</v>
      </c>
      <c r="CU13" s="464">
        <v>1</v>
      </c>
      <c r="CV13" s="464" t="s">
        <v>5921</v>
      </c>
      <c r="CW13" s="464" t="s">
        <v>6351</v>
      </c>
    </row>
    <row r="14" spans="1:101" x14ac:dyDescent="0.2">
      <c r="A14" s="464">
        <v>113</v>
      </c>
      <c r="B14" s="464" t="s">
        <v>700</v>
      </c>
      <c r="C14" s="464" t="s">
        <v>6552</v>
      </c>
      <c r="D14" s="464" t="s">
        <v>701</v>
      </c>
      <c r="E14" s="464">
        <v>112345</v>
      </c>
      <c r="F14" s="464" t="s">
        <v>702</v>
      </c>
      <c r="G14" s="464" t="s">
        <v>702</v>
      </c>
      <c r="H14" s="464" t="s">
        <v>703</v>
      </c>
      <c r="I14" s="464" t="s">
        <v>426</v>
      </c>
      <c r="J14" s="464" t="s">
        <v>5527</v>
      </c>
      <c r="K14" s="464" t="s">
        <v>6082</v>
      </c>
      <c r="L14" s="464" t="s">
        <v>6082</v>
      </c>
      <c r="M14" s="464" t="s">
        <v>6083</v>
      </c>
      <c r="N14" s="464" t="s">
        <v>6183</v>
      </c>
      <c r="O14" s="464" t="s">
        <v>6176</v>
      </c>
      <c r="P14" s="464" t="s">
        <v>6185</v>
      </c>
      <c r="Q14" s="464" t="s">
        <v>6176</v>
      </c>
      <c r="R14" s="464">
        <v>162.22999999999999</v>
      </c>
      <c r="S14" s="464">
        <v>1000000</v>
      </c>
      <c r="T14" s="464">
        <v>71920</v>
      </c>
      <c r="U14" s="464">
        <v>128863.86951932019</v>
      </c>
      <c r="V14" s="464">
        <v>128863.86951932019</v>
      </c>
      <c r="W14" s="464">
        <v>6.94</v>
      </c>
      <c r="X14" s="464">
        <v>0.28999999999999998</v>
      </c>
      <c r="Y14" s="464">
        <v>0.56000000000000005</v>
      </c>
      <c r="Z14" s="464">
        <v>0.59</v>
      </c>
      <c r="AA14" s="464">
        <v>0.8196</v>
      </c>
      <c r="AB14" s="464">
        <v>0.55000000000000004</v>
      </c>
      <c r="AC14" s="464">
        <v>0.44</v>
      </c>
      <c r="AD14" s="464">
        <v>0.56000000000000005</v>
      </c>
      <c r="AE14" s="464">
        <v>0.89</v>
      </c>
      <c r="AF14" s="464">
        <v>1.5199999999999999E-9</v>
      </c>
      <c r="AG14" s="464">
        <v>7.2E-9</v>
      </c>
      <c r="AH14" s="464">
        <v>-7.2067227383678789</v>
      </c>
      <c r="AI14" s="464">
        <v>-6.5312338298813835</v>
      </c>
      <c r="AJ14" s="464">
        <v>-6.5312338298813835</v>
      </c>
      <c r="AK14" s="464">
        <v>-7.0506599999999997</v>
      </c>
      <c r="AL14" s="464">
        <v>-5.8</v>
      </c>
      <c r="AM14" s="464">
        <v>14.37</v>
      </c>
      <c r="AN14" s="464" t="s">
        <v>5921</v>
      </c>
      <c r="AO14" s="464" t="s">
        <v>6311</v>
      </c>
      <c r="AP14" s="464" t="s">
        <v>6311</v>
      </c>
      <c r="AQ14" s="464" t="s">
        <v>6</v>
      </c>
      <c r="AR14" s="464" t="s">
        <v>266</v>
      </c>
      <c r="AS14" s="464" t="s">
        <v>8444</v>
      </c>
      <c r="AT14" s="464" t="s">
        <v>646</v>
      </c>
      <c r="AU14" s="464" t="s">
        <v>646</v>
      </c>
      <c r="AV14" s="464" t="s">
        <v>8446</v>
      </c>
      <c r="AW14" s="464" t="s">
        <v>647</v>
      </c>
      <c r="AX14" s="464" t="s">
        <v>536</v>
      </c>
      <c r="AY14" s="464" t="s">
        <v>8447</v>
      </c>
      <c r="AZ14" s="464" t="s">
        <v>537</v>
      </c>
      <c r="BA14" s="464" t="s">
        <v>648</v>
      </c>
      <c r="BB14" s="464" t="s">
        <v>5921</v>
      </c>
      <c r="BC14" s="464" t="s">
        <v>649</v>
      </c>
      <c r="BD14" s="464" t="s">
        <v>650</v>
      </c>
      <c r="BE14" s="464" t="s">
        <v>540</v>
      </c>
      <c r="BF14" s="464" t="s">
        <v>272</v>
      </c>
      <c r="BG14" s="464">
        <v>600.25099999999998</v>
      </c>
      <c r="BH14" s="464">
        <v>1703.415</v>
      </c>
      <c r="BI14" s="464" t="s">
        <v>5921</v>
      </c>
      <c r="BJ14" s="464">
        <v>4575.9594594355985</v>
      </c>
      <c r="BK14" s="464" t="s">
        <v>5921</v>
      </c>
      <c r="BL14" s="464" t="s">
        <v>5921</v>
      </c>
      <c r="BM14" s="464">
        <v>1281.617</v>
      </c>
      <c r="BN14" s="464" t="s">
        <v>5921</v>
      </c>
      <c r="BO14" s="464" t="s">
        <v>5921</v>
      </c>
      <c r="BP14" s="464">
        <v>1281.617</v>
      </c>
      <c r="BQ14" s="464" t="s">
        <v>5921</v>
      </c>
      <c r="BR14" s="464" t="s">
        <v>5921</v>
      </c>
      <c r="BS14" s="464" t="s">
        <v>5921</v>
      </c>
      <c r="BT14" s="464" t="s">
        <v>5921</v>
      </c>
      <c r="BU14" s="464" t="s">
        <v>5921</v>
      </c>
      <c r="BV14" s="464" t="s">
        <v>5921</v>
      </c>
      <c r="BW14" s="464" t="s">
        <v>5921</v>
      </c>
      <c r="BX14" s="464" t="s">
        <v>5921</v>
      </c>
      <c r="BY14" s="464" t="s">
        <v>5921</v>
      </c>
      <c r="BZ14" s="464" t="s">
        <v>5921</v>
      </c>
      <c r="CA14" s="464" t="s">
        <v>5921</v>
      </c>
      <c r="CB14" s="464" t="s">
        <v>5921</v>
      </c>
      <c r="CC14" s="464" t="s">
        <v>5921</v>
      </c>
      <c r="CD14" s="464" t="s">
        <v>5921</v>
      </c>
      <c r="CE14" s="464" t="s">
        <v>5921</v>
      </c>
      <c r="CF14" s="464" t="s">
        <v>5921</v>
      </c>
      <c r="CG14" s="464">
        <v>1281.617</v>
      </c>
      <c r="CH14" s="464">
        <v>3.1077582594745774</v>
      </c>
      <c r="CI14" s="464">
        <v>2.6863444665190799</v>
      </c>
      <c r="CJ14" s="464">
        <v>3.5704578352468785</v>
      </c>
      <c r="CK14" s="464" t="s">
        <v>5921</v>
      </c>
      <c r="CL14" s="464" t="s">
        <v>5921</v>
      </c>
      <c r="CM14" s="464" t="s">
        <v>5921</v>
      </c>
      <c r="CN14" s="464" t="s">
        <v>651</v>
      </c>
      <c r="CO14" s="464">
        <v>3.1139433523068369</v>
      </c>
      <c r="CP14" s="464">
        <v>0.98585923076923032</v>
      </c>
      <c r="CQ14" s="464" t="s">
        <v>539</v>
      </c>
      <c r="CR14" s="464" t="s">
        <v>5921</v>
      </c>
      <c r="CS14" s="464">
        <v>100.54787781320019</v>
      </c>
      <c r="CT14" s="464">
        <v>75.650308068979186</v>
      </c>
      <c r="CU14" s="464">
        <v>1</v>
      </c>
      <c r="CV14" s="464" t="s">
        <v>5921</v>
      </c>
      <c r="CW14" s="464" t="s">
        <v>6351</v>
      </c>
    </row>
    <row r="15" spans="1:101" x14ac:dyDescent="0.2">
      <c r="A15" s="464">
        <v>124</v>
      </c>
      <c r="B15" s="464" t="s">
        <v>740</v>
      </c>
      <c r="C15" s="464" t="s">
        <v>6546</v>
      </c>
      <c r="D15" s="464" t="s">
        <v>741</v>
      </c>
      <c r="E15" s="464">
        <v>107982</v>
      </c>
      <c r="F15" s="464" t="s">
        <v>742</v>
      </c>
      <c r="G15" s="464" t="s">
        <v>742</v>
      </c>
      <c r="H15" s="464" t="s">
        <v>743</v>
      </c>
      <c r="I15" s="464" t="s">
        <v>426</v>
      </c>
      <c r="J15" s="464" t="s">
        <v>5527</v>
      </c>
      <c r="K15" s="464" t="s">
        <v>6082</v>
      </c>
      <c r="L15" s="464" t="s">
        <v>6082</v>
      </c>
      <c r="M15" s="464" t="s">
        <v>5921</v>
      </c>
      <c r="N15" s="464" t="s">
        <v>5921</v>
      </c>
      <c r="O15" s="464" t="s">
        <v>5921</v>
      </c>
      <c r="P15" s="464" t="s">
        <v>5921</v>
      </c>
      <c r="Q15" s="464" t="s">
        <v>5921</v>
      </c>
      <c r="R15" s="464">
        <v>90.12</v>
      </c>
      <c r="S15" s="464">
        <v>1000000</v>
      </c>
      <c r="T15" s="464">
        <v>1000000</v>
      </c>
      <c r="U15" s="464">
        <v>431341.43920116173</v>
      </c>
      <c r="V15" s="464">
        <v>431341.43920116173</v>
      </c>
      <c r="W15" s="464">
        <v>6.8</v>
      </c>
      <c r="X15" s="464">
        <v>-0.49</v>
      </c>
      <c r="Y15" s="464" t="s">
        <v>5921</v>
      </c>
      <c r="Z15" s="464">
        <v>-0.14000000000000001</v>
      </c>
      <c r="AA15" s="464">
        <v>0.86470000000000002</v>
      </c>
      <c r="AB15" s="464">
        <v>-0.22</v>
      </c>
      <c r="AC15" s="464">
        <v>-0.45</v>
      </c>
      <c r="AD15" s="464">
        <v>-0.22</v>
      </c>
      <c r="AE15" s="464">
        <v>0.14000000000000001</v>
      </c>
      <c r="AF15" s="464">
        <v>5.5600000000000002E-8</v>
      </c>
      <c r="AG15" s="464">
        <v>9.1999999999999998E-7</v>
      </c>
      <c r="AH15" s="464">
        <v>-5.6434915347305941</v>
      </c>
      <c r="AI15" s="464">
        <v>-4.4247784989670969</v>
      </c>
      <c r="AJ15" s="464">
        <v>-4.4247784989670969</v>
      </c>
      <c r="AK15" s="464">
        <v>-5.0744100000000003</v>
      </c>
      <c r="AL15" s="464">
        <v>-4.1100000000000003</v>
      </c>
      <c r="AM15" s="464">
        <v>14.49</v>
      </c>
      <c r="AN15" s="464" t="s">
        <v>5921</v>
      </c>
      <c r="AO15" s="464" t="s">
        <v>6311</v>
      </c>
      <c r="AP15" s="464" t="s">
        <v>6311</v>
      </c>
      <c r="AQ15" s="464" t="s">
        <v>6</v>
      </c>
      <c r="AR15" s="464" t="s">
        <v>266</v>
      </c>
      <c r="AS15" s="464" t="s">
        <v>8444</v>
      </c>
      <c r="AT15" s="464" t="s">
        <v>646</v>
      </c>
      <c r="AU15" s="464" t="s">
        <v>646</v>
      </c>
      <c r="AV15" s="464" t="s">
        <v>8446</v>
      </c>
      <c r="AW15" s="464" t="s">
        <v>647</v>
      </c>
      <c r="AX15" s="464" t="s">
        <v>536</v>
      </c>
      <c r="AY15" s="464" t="s">
        <v>8447</v>
      </c>
      <c r="AZ15" s="464" t="s">
        <v>537</v>
      </c>
      <c r="BA15" s="464" t="s">
        <v>648</v>
      </c>
      <c r="BB15" s="464" t="s">
        <v>5921</v>
      </c>
      <c r="BC15" s="464" t="s">
        <v>649</v>
      </c>
      <c r="BD15" s="464" t="s">
        <v>650</v>
      </c>
      <c r="BE15" s="464" t="s">
        <v>540</v>
      </c>
      <c r="BF15" s="464" t="s">
        <v>272</v>
      </c>
      <c r="BG15" s="464">
        <v>6001.9920000000002</v>
      </c>
      <c r="BH15" s="464">
        <v>23052.696000000004</v>
      </c>
      <c r="BI15" s="464" t="s">
        <v>5921</v>
      </c>
      <c r="BJ15" s="464">
        <v>12755.285477583609</v>
      </c>
      <c r="BK15" s="464" t="s">
        <v>5921</v>
      </c>
      <c r="BL15" s="464" t="s">
        <v>5921</v>
      </c>
      <c r="BM15" s="464">
        <v>16338.756000000001</v>
      </c>
      <c r="BN15" s="464" t="s">
        <v>5921</v>
      </c>
      <c r="BO15" s="464" t="s">
        <v>5921</v>
      </c>
      <c r="BP15" s="464">
        <v>13914.528000000002</v>
      </c>
      <c r="BQ15" s="464" t="s">
        <v>5921</v>
      </c>
      <c r="BR15" s="464" t="s">
        <v>5921</v>
      </c>
      <c r="BS15" s="464" t="s">
        <v>5921</v>
      </c>
      <c r="BT15" s="464" t="s">
        <v>5921</v>
      </c>
      <c r="BU15" s="464" t="s">
        <v>5921</v>
      </c>
      <c r="BV15" s="464" t="s">
        <v>5921</v>
      </c>
      <c r="BW15" s="464" t="s">
        <v>5921</v>
      </c>
      <c r="BX15" s="464" t="s">
        <v>5921</v>
      </c>
      <c r="BY15" s="464" t="s">
        <v>5921</v>
      </c>
      <c r="BZ15" s="464" t="s">
        <v>5921</v>
      </c>
      <c r="CA15" s="464" t="s">
        <v>5921</v>
      </c>
      <c r="CB15" s="464" t="s">
        <v>5921</v>
      </c>
      <c r="CC15" s="464" t="s">
        <v>5921</v>
      </c>
      <c r="CD15" s="464" t="s">
        <v>5921</v>
      </c>
      <c r="CE15" s="464" t="s">
        <v>5921</v>
      </c>
      <c r="CF15" s="464" t="s">
        <v>5921</v>
      </c>
      <c r="CG15" s="464">
        <v>13914.528000000002</v>
      </c>
      <c r="CH15" s="464">
        <v>4.1434684790515108</v>
      </c>
      <c r="CI15" s="464">
        <v>0.55330992425283387</v>
      </c>
      <c r="CJ15" s="464">
        <v>0.91668833305618469</v>
      </c>
      <c r="CK15" s="464" t="s">
        <v>5921</v>
      </c>
      <c r="CL15" s="464" t="s">
        <v>5921</v>
      </c>
      <c r="CM15" s="464" t="s">
        <v>5921</v>
      </c>
      <c r="CN15" s="464" t="s">
        <v>651</v>
      </c>
      <c r="CO15" s="464">
        <v>4.318063334962762</v>
      </c>
      <c r="CP15" s="464">
        <v>0.66896769230769204</v>
      </c>
      <c r="CQ15" s="464" t="s">
        <v>539</v>
      </c>
      <c r="CR15" s="464" t="s">
        <v>5921</v>
      </c>
      <c r="CS15" s="464">
        <v>30.999358311051704</v>
      </c>
      <c r="CT15" s="464">
        <v>18.711106032941295</v>
      </c>
      <c r="CU15" s="464">
        <v>1</v>
      </c>
      <c r="CV15" s="464" t="s">
        <v>5921</v>
      </c>
      <c r="CW15" s="464" t="s">
        <v>6351</v>
      </c>
    </row>
    <row r="16" spans="1:101" x14ac:dyDescent="0.2">
      <c r="A16" s="464">
        <v>128</v>
      </c>
      <c r="B16" s="464" t="s">
        <v>747</v>
      </c>
      <c r="C16" s="464" t="s">
        <v>6548</v>
      </c>
      <c r="D16" s="464" t="s">
        <v>748</v>
      </c>
      <c r="E16" s="464">
        <v>109864</v>
      </c>
      <c r="F16" s="464" t="s">
        <v>749</v>
      </c>
      <c r="G16" s="464" t="s">
        <v>749</v>
      </c>
      <c r="H16" s="464" t="s">
        <v>750</v>
      </c>
      <c r="I16" s="464" t="s">
        <v>426</v>
      </c>
      <c r="J16" s="464" t="s">
        <v>5527</v>
      </c>
      <c r="K16" s="464" t="s">
        <v>6082</v>
      </c>
      <c r="L16" s="464" t="s">
        <v>6082</v>
      </c>
      <c r="M16" s="464" t="s">
        <v>5921</v>
      </c>
      <c r="N16" s="464" t="s">
        <v>5921</v>
      </c>
      <c r="O16" s="464" t="s">
        <v>6176</v>
      </c>
      <c r="P16" s="464" t="s">
        <v>6185</v>
      </c>
      <c r="Q16" s="464" t="s">
        <v>6179</v>
      </c>
      <c r="R16" s="464">
        <v>76.09</v>
      </c>
      <c r="S16" s="464">
        <v>1000000</v>
      </c>
      <c r="T16" s="464">
        <v>1000000</v>
      </c>
      <c r="U16" s="464">
        <v>853743.8418783641</v>
      </c>
      <c r="V16" s="464">
        <v>853743.8418783641</v>
      </c>
      <c r="W16" s="464">
        <v>6.64</v>
      </c>
      <c r="X16" s="464">
        <v>-0.91</v>
      </c>
      <c r="Y16" s="464">
        <v>-0.77</v>
      </c>
      <c r="Z16" s="464">
        <v>-0.59</v>
      </c>
      <c r="AA16" s="464">
        <v>0.89429999999999998</v>
      </c>
      <c r="AB16" s="464">
        <v>-0.64</v>
      </c>
      <c r="AC16" s="464">
        <v>-0.8</v>
      </c>
      <c r="AD16" s="464">
        <v>-0.77</v>
      </c>
      <c r="AE16" s="464">
        <v>-0.34</v>
      </c>
      <c r="AF16" s="464">
        <v>4.1899999999999998E-8</v>
      </c>
      <c r="AG16" s="464">
        <v>3.3000000000000002E-7</v>
      </c>
      <c r="AH16" s="464">
        <v>-5.7663523033463564</v>
      </c>
      <c r="AI16" s="464">
        <v>-4.8700523864347645</v>
      </c>
      <c r="AJ16" s="464">
        <v>-4.8700523864347645</v>
      </c>
      <c r="AK16" s="464">
        <v>-4.8682600000000003</v>
      </c>
      <c r="AL16" s="464">
        <v>-4.6500000000000004</v>
      </c>
      <c r="AM16" s="464">
        <v>14.43</v>
      </c>
      <c r="AN16" s="464" t="s">
        <v>5921</v>
      </c>
      <c r="AO16" s="464" t="s">
        <v>6311</v>
      </c>
      <c r="AP16" s="464" t="s">
        <v>6311</v>
      </c>
      <c r="AQ16" s="464" t="s">
        <v>6</v>
      </c>
      <c r="AR16" s="464" t="s">
        <v>266</v>
      </c>
      <c r="AS16" s="464" t="s">
        <v>8444</v>
      </c>
      <c r="AT16" s="464" t="s">
        <v>646</v>
      </c>
      <c r="AU16" s="464" t="s">
        <v>646</v>
      </c>
      <c r="AV16" s="464" t="s">
        <v>8446</v>
      </c>
      <c r="AW16" s="464" t="s">
        <v>647</v>
      </c>
      <c r="AX16" s="464" t="s">
        <v>536</v>
      </c>
      <c r="AY16" s="464" t="s">
        <v>8447</v>
      </c>
      <c r="AZ16" s="464" t="s">
        <v>537</v>
      </c>
      <c r="BA16" s="464" t="s">
        <v>648</v>
      </c>
      <c r="BB16" s="464" t="s">
        <v>5921</v>
      </c>
      <c r="BC16" s="464" t="s">
        <v>649</v>
      </c>
      <c r="BD16" s="464" t="s">
        <v>650</v>
      </c>
      <c r="BE16" s="464" t="s">
        <v>540</v>
      </c>
      <c r="BF16" s="464" t="s">
        <v>272</v>
      </c>
      <c r="BG16" s="464">
        <v>9998.2260000000006</v>
      </c>
      <c r="BH16" s="464">
        <v>38410.232000000004</v>
      </c>
      <c r="BI16" s="464" t="s">
        <v>5921</v>
      </c>
      <c r="BJ16" s="464">
        <v>25668.387331722472</v>
      </c>
      <c r="BK16" s="464" t="s">
        <v>5921</v>
      </c>
      <c r="BL16" s="464" t="s">
        <v>5921</v>
      </c>
      <c r="BM16" s="464">
        <v>23831.387999999999</v>
      </c>
      <c r="BN16" s="464" t="s">
        <v>5921</v>
      </c>
      <c r="BO16" s="464" t="s">
        <v>5921</v>
      </c>
      <c r="BP16" s="464">
        <v>17241.993999999999</v>
      </c>
      <c r="BQ16" s="464" t="s">
        <v>5921</v>
      </c>
      <c r="BR16" s="464" t="s">
        <v>5921</v>
      </c>
      <c r="BS16" s="464" t="s">
        <v>5921</v>
      </c>
      <c r="BT16" s="464" t="s">
        <v>5921</v>
      </c>
      <c r="BU16" s="464" t="s">
        <v>5921</v>
      </c>
      <c r="BV16" s="464" t="s">
        <v>5921</v>
      </c>
      <c r="BW16" s="464" t="s">
        <v>5921</v>
      </c>
      <c r="BX16" s="464" t="s">
        <v>5921</v>
      </c>
      <c r="BY16" s="464" t="s">
        <v>5921</v>
      </c>
      <c r="BZ16" s="464" t="s">
        <v>5921</v>
      </c>
      <c r="CA16" s="464" t="s">
        <v>5921</v>
      </c>
      <c r="CB16" s="464" t="s">
        <v>5921</v>
      </c>
      <c r="CC16" s="464" t="s">
        <v>5921</v>
      </c>
      <c r="CD16" s="464" t="s">
        <v>5921</v>
      </c>
      <c r="CE16" s="464" t="s">
        <v>5921</v>
      </c>
      <c r="CF16" s="464" t="s">
        <v>5921</v>
      </c>
      <c r="CG16" s="464">
        <v>17241.993999999999</v>
      </c>
      <c r="CH16" s="464">
        <v>4.2365874896279294</v>
      </c>
      <c r="CI16" s="464">
        <v>0.6682695207808812</v>
      </c>
      <c r="CJ16" s="464">
        <v>1.4887133896301363</v>
      </c>
      <c r="CK16" s="464" t="s">
        <v>5921</v>
      </c>
      <c r="CL16" s="464" t="s">
        <v>5921</v>
      </c>
      <c r="CM16" s="464" t="s">
        <v>5921</v>
      </c>
      <c r="CN16" s="464" t="s">
        <v>651</v>
      </c>
      <c r="CO16" s="464">
        <v>2.5786392099680722</v>
      </c>
      <c r="CP16" s="464">
        <v>45.493387862796837</v>
      </c>
      <c r="CQ16" s="464" t="s">
        <v>539</v>
      </c>
      <c r="CR16" s="464" t="s">
        <v>5921</v>
      </c>
      <c r="CS16" s="464">
        <v>49.515377506706251</v>
      </c>
      <c r="CT16" s="464">
        <v>22.226989982210053</v>
      </c>
      <c r="CU16" s="464">
        <v>1</v>
      </c>
      <c r="CV16" s="464" t="s">
        <v>5921</v>
      </c>
      <c r="CW16" s="464" t="s">
        <v>6351</v>
      </c>
    </row>
    <row r="17" spans="1:101" x14ac:dyDescent="0.2">
      <c r="A17" s="464">
        <v>173</v>
      </c>
      <c r="B17" s="464" t="s">
        <v>5927</v>
      </c>
      <c r="C17" s="464" t="s">
        <v>6456</v>
      </c>
      <c r="D17" s="464" t="s">
        <v>898</v>
      </c>
      <c r="E17" s="464">
        <v>94826</v>
      </c>
      <c r="F17" s="464" t="s">
        <v>899</v>
      </c>
      <c r="G17" s="464" t="s">
        <v>8007</v>
      </c>
      <c r="H17" s="464" t="s">
        <v>900</v>
      </c>
      <c r="I17" s="464" t="s">
        <v>426</v>
      </c>
      <c r="J17" s="464" t="s">
        <v>6032</v>
      </c>
      <c r="K17" s="464" t="s">
        <v>6082</v>
      </c>
      <c r="L17" s="464" t="s">
        <v>6082</v>
      </c>
      <c r="M17" s="464" t="s">
        <v>6083</v>
      </c>
      <c r="N17" s="464" t="s">
        <v>5921</v>
      </c>
      <c r="O17" s="464" t="s">
        <v>5921</v>
      </c>
      <c r="P17" s="464" t="s">
        <v>5921</v>
      </c>
      <c r="Q17" s="464" t="s">
        <v>5921</v>
      </c>
      <c r="R17" s="464">
        <v>249.09</v>
      </c>
      <c r="S17" s="464">
        <v>46</v>
      </c>
      <c r="T17" s="464">
        <v>57.46</v>
      </c>
      <c r="U17" s="464">
        <v>111.26441596888328</v>
      </c>
      <c r="V17" s="464">
        <v>111.26441596888328</v>
      </c>
      <c r="W17" s="464">
        <v>4.01</v>
      </c>
      <c r="X17" s="464">
        <v>3.6</v>
      </c>
      <c r="Y17" s="464">
        <v>3.53</v>
      </c>
      <c r="Z17" s="464">
        <v>3.33</v>
      </c>
      <c r="AA17" s="464">
        <v>0.87439999999999996</v>
      </c>
      <c r="AB17" s="464">
        <v>3.37</v>
      </c>
      <c r="AC17" s="464">
        <v>3.51</v>
      </c>
      <c r="AD17" s="464">
        <v>3.53</v>
      </c>
      <c r="AE17" s="464">
        <v>3.1</v>
      </c>
      <c r="AF17" s="464">
        <v>2.2900000000000002E-9</v>
      </c>
      <c r="AG17" s="464" t="s">
        <v>5921</v>
      </c>
      <c r="AH17" s="464">
        <v>-7.028730843972764</v>
      </c>
      <c r="AI17" s="464" t="s">
        <v>5921</v>
      </c>
      <c r="AJ17" s="464">
        <v>-7.028730843972764</v>
      </c>
      <c r="AK17" s="464">
        <v>-10.113009999999999</v>
      </c>
      <c r="AL17" s="464">
        <v>-7.36</v>
      </c>
      <c r="AM17" s="464">
        <v>4.5599999999999996</v>
      </c>
      <c r="AN17" s="464" t="s">
        <v>5921</v>
      </c>
      <c r="AO17" s="464" t="s">
        <v>6311</v>
      </c>
      <c r="AP17" s="464" t="s">
        <v>6311</v>
      </c>
      <c r="AQ17" s="464" t="s">
        <v>6</v>
      </c>
      <c r="AR17" s="464" t="s">
        <v>266</v>
      </c>
      <c r="AS17" s="464" t="s">
        <v>8468</v>
      </c>
      <c r="AT17" s="464" t="s">
        <v>8469</v>
      </c>
      <c r="AU17" s="464" t="s">
        <v>8450</v>
      </c>
      <c r="AV17" s="464" t="s">
        <v>8446</v>
      </c>
      <c r="AW17" s="464" t="s">
        <v>267</v>
      </c>
      <c r="AX17" s="464" t="s">
        <v>268</v>
      </c>
      <c r="AY17" s="464" t="s">
        <v>8470</v>
      </c>
      <c r="AZ17" s="464" t="s">
        <v>888</v>
      </c>
      <c r="BA17" s="464" t="s">
        <v>270</v>
      </c>
      <c r="BB17" s="464" t="s">
        <v>8374</v>
      </c>
      <c r="BC17" s="464" t="s">
        <v>889</v>
      </c>
      <c r="BD17" s="464" t="s">
        <v>272</v>
      </c>
      <c r="BE17" s="464" t="s">
        <v>272</v>
      </c>
      <c r="BF17" s="464" t="s">
        <v>890</v>
      </c>
      <c r="BG17" s="464">
        <v>2.4908999999999999E-4</v>
      </c>
      <c r="BH17" s="464">
        <v>19.927199999999999</v>
      </c>
      <c r="BI17" s="464" t="s">
        <v>5921</v>
      </c>
      <c r="BJ17" s="464">
        <v>7.4816311378561036</v>
      </c>
      <c r="BK17" s="464" t="s">
        <v>5921</v>
      </c>
      <c r="BL17" s="464" t="s">
        <v>5921</v>
      </c>
      <c r="BM17" s="464" t="s">
        <v>5921</v>
      </c>
      <c r="BN17" s="464" t="s">
        <v>5921</v>
      </c>
      <c r="BO17" s="464" t="s">
        <v>5921</v>
      </c>
      <c r="BP17" s="464" t="s">
        <v>5921</v>
      </c>
      <c r="BQ17" s="464">
        <v>6.43128303327663</v>
      </c>
      <c r="BR17" s="464" t="s">
        <v>5921</v>
      </c>
      <c r="BS17" s="464" t="s">
        <v>5921</v>
      </c>
      <c r="BT17" s="464" t="s">
        <v>5921</v>
      </c>
      <c r="BU17" s="464" t="s">
        <v>5921</v>
      </c>
      <c r="BV17" s="464" t="s">
        <v>5921</v>
      </c>
      <c r="BW17" s="464" t="s">
        <v>5921</v>
      </c>
      <c r="BX17" s="464" t="s">
        <v>5921</v>
      </c>
      <c r="BY17" s="464" t="s">
        <v>5921</v>
      </c>
      <c r="BZ17" s="464" t="s">
        <v>5921</v>
      </c>
      <c r="CA17" s="464" t="s">
        <v>5921</v>
      </c>
      <c r="CB17" s="464" t="s">
        <v>5921</v>
      </c>
      <c r="CC17" s="464" t="s">
        <v>5921</v>
      </c>
      <c r="CD17" s="464" t="s">
        <v>5921</v>
      </c>
      <c r="CE17" s="464" t="s">
        <v>5921</v>
      </c>
      <c r="CF17" s="464" t="s">
        <v>5921</v>
      </c>
      <c r="CG17" s="464">
        <v>6.43128303327663</v>
      </c>
      <c r="CH17" s="464">
        <v>0.80829762279772932</v>
      </c>
      <c r="CI17" s="464">
        <v>0.37544818829821069</v>
      </c>
      <c r="CJ17" s="464">
        <v>1.16331859430611</v>
      </c>
      <c r="CK17" s="464">
        <v>0.74364692823696932</v>
      </c>
      <c r="CL17" s="464">
        <v>3.5958316558166987</v>
      </c>
      <c r="CM17" s="464" t="s">
        <v>892</v>
      </c>
      <c r="CN17" s="464" t="s">
        <v>893</v>
      </c>
      <c r="CO17" s="464">
        <v>0.90794619361063444</v>
      </c>
      <c r="CP17" s="464">
        <v>0.79497126177493671</v>
      </c>
      <c r="CQ17" s="464" t="s">
        <v>539</v>
      </c>
      <c r="CR17" s="464" t="s">
        <v>5921</v>
      </c>
      <c r="CS17" s="464">
        <v>17.300500598897752</v>
      </c>
      <c r="CT17" s="464">
        <v>5.5835449018870333</v>
      </c>
      <c r="CU17" s="464">
        <v>1</v>
      </c>
      <c r="CV17" s="464" t="s">
        <v>539</v>
      </c>
      <c r="CW17" s="464" t="s">
        <v>5921</v>
      </c>
    </row>
    <row r="18" spans="1:101" x14ac:dyDescent="0.2">
      <c r="A18" s="464">
        <v>174</v>
      </c>
      <c r="B18" s="464" t="s">
        <v>901</v>
      </c>
      <c r="C18" s="464" t="s">
        <v>6739</v>
      </c>
      <c r="D18" s="464" t="s">
        <v>902</v>
      </c>
      <c r="E18" s="464">
        <v>136458</v>
      </c>
      <c r="F18" s="464" t="s">
        <v>903</v>
      </c>
      <c r="G18" s="464" t="s">
        <v>903</v>
      </c>
      <c r="H18" s="464" t="s">
        <v>904</v>
      </c>
      <c r="I18" s="464" t="s">
        <v>357</v>
      </c>
      <c r="J18" s="464" t="s">
        <v>5928</v>
      </c>
      <c r="K18" s="464" t="s">
        <v>6082</v>
      </c>
      <c r="L18" s="464" t="s">
        <v>6082</v>
      </c>
      <c r="M18" s="464" t="s">
        <v>6083</v>
      </c>
      <c r="N18" s="464" t="s">
        <v>5921</v>
      </c>
      <c r="O18" s="464" t="s">
        <v>5921</v>
      </c>
      <c r="P18" s="464" t="s">
        <v>5921</v>
      </c>
      <c r="Q18" s="464" t="s">
        <v>5921</v>
      </c>
      <c r="R18" s="464">
        <v>251.28</v>
      </c>
      <c r="S18" s="464" t="s">
        <v>5921</v>
      </c>
      <c r="T18" s="464">
        <v>20.8</v>
      </c>
      <c r="U18" s="464">
        <v>616.81925633333435</v>
      </c>
      <c r="V18" s="464">
        <v>616.81925633333435</v>
      </c>
      <c r="W18" s="464">
        <v>7</v>
      </c>
      <c r="X18" s="464">
        <v>2.12</v>
      </c>
      <c r="Y18" s="464">
        <v>3.57</v>
      </c>
      <c r="Z18" s="464">
        <v>2.65</v>
      </c>
      <c r="AA18" s="464">
        <v>0.8266</v>
      </c>
      <c r="AB18" s="464">
        <v>2.77</v>
      </c>
      <c r="AC18" s="464">
        <v>3.09</v>
      </c>
      <c r="AD18" s="464">
        <v>3.57</v>
      </c>
      <c r="AE18" s="464">
        <v>2.34</v>
      </c>
      <c r="AF18" s="464">
        <v>9.0899999999999996E-10</v>
      </c>
      <c r="AG18" s="464" t="s">
        <v>5921</v>
      </c>
      <c r="AH18" s="464">
        <v>-7.4300024430906841</v>
      </c>
      <c r="AI18" s="464" t="s">
        <v>5921</v>
      </c>
      <c r="AJ18" s="464">
        <v>-7.4300024430906841</v>
      </c>
      <c r="AK18" s="464">
        <v>-10.431010000000001</v>
      </c>
      <c r="AL18" s="464">
        <v>-7.8</v>
      </c>
      <c r="AM18" s="464" t="s">
        <v>5921</v>
      </c>
      <c r="AN18" s="464">
        <v>-0.23</v>
      </c>
      <c r="AO18" s="464" t="s">
        <v>6311</v>
      </c>
      <c r="AP18" s="464" t="s">
        <v>6312</v>
      </c>
      <c r="AQ18" s="464" t="s">
        <v>6</v>
      </c>
      <c r="AR18" s="464" t="s">
        <v>266</v>
      </c>
      <c r="AS18" s="464" t="s">
        <v>8468</v>
      </c>
      <c r="AT18" s="464" t="s">
        <v>8469</v>
      </c>
      <c r="AU18" s="464" t="s">
        <v>8450</v>
      </c>
      <c r="AV18" s="464" t="s">
        <v>8446</v>
      </c>
      <c r="AW18" s="464" t="s">
        <v>267</v>
      </c>
      <c r="AX18" s="464" t="s">
        <v>268</v>
      </c>
      <c r="AY18" s="464" t="s">
        <v>8453</v>
      </c>
      <c r="AZ18" s="464" t="s">
        <v>888</v>
      </c>
      <c r="BA18" s="464" t="s">
        <v>270</v>
      </c>
      <c r="BB18" s="464" t="s">
        <v>8374</v>
      </c>
      <c r="BC18" s="464" t="s">
        <v>889</v>
      </c>
      <c r="BD18" s="464" t="s">
        <v>272</v>
      </c>
      <c r="BE18" s="464" t="s">
        <v>272</v>
      </c>
      <c r="BF18" s="464" t="s">
        <v>890</v>
      </c>
      <c r="BG18" s="464">
        <v>2.5127999999999999E-4</v>
      </c>
      <c r="BH18" s="464">
        <v>20.102399999999999</v>
      </c>
      <c r="BI18" s="464" t="s">
        <v>5921</v>
      </c>
      <c r="BJ18" s="464">
        <v>161.059343082559</v>
      </c>
      <c r="BK18" s="464" t="s">
        <v>5921</v>
      </c>
      <c r="BL18" s="464" t="s">
        <v>5921</v>
      </c>
      <c r="BM18" s="464" t="s">
        <v>5921</v>
      </c>
      <c r="BN18" s="464" t="s">
        <v>5921</v>
      </c>
      <c r="BO18" s="464" t="s">
        <v>5921</v>
      </c>
      <c r="BP18" s="464" t="s">
        <v>5921</v>
      </c>
      <c r="BQ18" s="464">
        <v>0.43231845862049423</v>
      </c>
      <c r="BR18" s="464" t="s">
        <v>5921</v>
      </c>
      <c r="BS18" s="464" t="s">
        <v>5921</v>
      </c>
      <c r="BT18" s="464" t="s">
        <v>5921</v>
      </c>
      <c r="BU18" s="464" t="s">
        <v>5921</v>
      </c>
      <c r="BV18" s="464" t="s">
        <v>5921</v>
      </c>
      <c r="BW18" s="464" t="s">
        <v>5921</v>
      </c>
      <c r="BX18" s="464" t="s">
        <v>5921</v>
      </c>
      <c r="BY18" s="464" t="s">
        <v>5921</v>
      </c>
      <c r="BZ18" s="464" t="s">
        <v>5921</v>
      </c>
      <c r="CA18" s="464" t="s">
        <v>5921</v>
      </c>
      <c r="CB18" s="464" t="s">
        <v>5921</v>
      </c>
      <c r="CC18" s="464" t="s">
        <v>5921</v>
      </c>
      <c r="CD18" s="464" t="s">
        <v>5921</v>
      </c>
      <c r="CE18" s="464" t="s">
        <v>5921</v>
      </c>
      <c r="CF18" s="464" t="s">
        <v>5921</v>
      </c>
      <c r="CG18" s="464">
        <v>0.43231845862049423</v>
      </c>
      <c r="CH18" s="464">
        <v>-0.36419622108008237</v>
      </c>
      <c r="CI18" s="464">
        <v>8.0119459906557928</v>
      </c>
      <c r="CJ18" s="464">
        <v>372.54792126269837</v>
      </c>
      <c r="CK18" s="464">
        <v>-0.3565473235138128</v>
      </c>
      <c r="CL18" s="464">
        <v>45.687272727272749</v>
      </c>
      <c r="CM18" s="464" t="s">
        <v>892</v>
      </c>
      <c r="CN18" s="464" t="s">
        <v>893</v>
      </c>
      <c r="CO18" s="464">
        <v>-0.17827366175690632</v>
      </c>
      <c r="CP18" s="464">
        <v>0.65174459872225743</v>
      </c>
      <c r="CQ18" s="464" t="s">
        <v>539</v>
      </c>
      <c r="CR18" s="464" t="s">
        <v>5921</v>
      </c>
      <c r="CS18" s="464">
        <v>1426.7705762589287</v>
      </c>
      <c r="CT18" s="464">
        <v>30.683861446062878</v>
      </c>
      <c r="CU18" s="464">
        <v>1</v>
      </c>
      <c r="CV18" s="464" t="s">
        <v>539</v>
      </c>
      <c r="CW18" s="464" t="s">
        <v>5921</v>
      </c>
    </row>
    <row r="19" spans="1:101" x14ac:dyDescent="0.2">
      <c r="A19" s="464">
        <v>175</v>
      </c>
      <c r="B19" s="464" t="s">
        <v>905</v>
      </c>
      <c r="C19" s="464" t="s">
        <v>6453</v>
      </c>
      <c r="D19" s="464" t="s">
        <v>906</v>
      </c>
      <c r="E19" s="464">
        <v>90437</v>
      </c>
      <c r="F19" s="464" t="s">
        <v>907</v>
      </c>
      <c r="G19" s="464" t="s">
        <v>907</v>
      </c>
      <c r="H19" s="464" t="s">
        <v>908</v>
      </c>
      <c r="I19" s="464" t="s">
        <v>349</v>
      </c>
      <c r="J19" s="464" t="s">
        <v>5930</v>
      </c>
      <c r="K19" s="464" t="s">
        <v>6082</v>
      </c>
      <c r="L19" s="464" t="s">
        <v>6082</v>
      </c>
      <c r="M19" s="464" t="s">
        <v>6083</v>
      </c>
      <c r="N19" s="464" t="s">
        <v>5921</v>
      </c>
      <c r="O19" s="464" t="s">
        <v>6173</v>
      </c>
      <c r="P19" s="464" t="s">
        <v>6185</v>
      </c>
      <c r="Q19" s="464" t="s">
        <v>6176</v>
      </c>
      <c r="R19" s="464">
        <v>170.21</v>
      </c>
      <c r="S19" s="464">
        <v>700</v>
      </c>
      <c r="T19" s="464">
        <v>535.79999999999995</v>
      </c>
      <c r="U19" s="464">
        <v>251.75903875011045</v>
      </c>
      <c r="V19" s="464">
        <v>251.75903875011045</v>
      </c>
      <c r="W19" s="464">
        <v>6.4</v>
      </c>
      <c r="X19" s="464">
        <v>3.28</v>
      </c>
      <c r="Y19" s="464">
        <v>3.09</v>
      </c>
      <c r="Z19" s="464">
        <v>3.12</v>
      </c>
      <c r="AA19" s="464">
        <v>0.95399999999999996</v>
      </c>
      <c r="AB19" s="464">
        <v>3.08</v>
      </c>
      <c r="AC19" s="464">
        <v>2.94</v>
      </c>
      <c r="AD19" s="464">
        <v>3.09</v>
      </c>
      <c r="AE19" s="464">
        <v>3.16</v>
      </c>
      <c r="AF19" s="464">
        <v>4.3000000000000001E-8</v>
      </c>
      <c r="AG19" s="464">
        <v>1.0499999999999999E-6</v>
      </c>
      <c r="AH19" s="464">
        <v>-5.7550978707330653</v>
      </c>
      <c r="AI19" s="464">
        <v>-4.3673770272427141</v>
      </c>
      <c r="AJ19" s="464">
        <v>-4.3673770272427141</v>
      </c>
      <c r="AK19" s="464">
        <v>-9.6377500000000005</v>
      </c>
      <c r="AL19" s="464">
        <v>-5.99</v>
      </c>
      <c r="AM19" s="464">
        <v>10</v>
      </c>
      <c r="AN19" s="464" t="s">
        <v>5921</v>
      </c>
      <c r="AO19" s="464" t="s">
        <v>6311</v>
      </c>
      <c r="AP19" s="464" t="s">
        <v>6311</v>
      </c>
      <c r="AQ19" s="464" t="s">
        <v>6</v>
      </c>
      <c r="AR19" s="464" t="s">
        <v>266</v>
      </c>
      <c r="AS19" s="464" t="s">
        <v>8468</v>
      </c>
      <c r="AT19" s="464" t="s">
        <v>8469</v>
      </c>
      <c r="AU19" s="464" t="s">
        <v>8450</v>
      </c>
      <c r="AV19" s="464" t="s">
        <v>8446</v>
      </c>
      <c r="AW19" s="464" t="s">
        <v>267</v>
      </c>
      <c r="AX19" s="464" t="s">
        <v>268</v>
      </c>
      <c r="AY19" s="464" t="s">
        <v>8453</v>
      </c>
      <c r="AZ19" s="464" t="s">
        <v>888</v>
      </c>
      <c r="BA19" s="464" t="s">
        <v>270</v>
      </c>
      <c r="BB19" s="464" t="s">
        <v>8374</v>
      </c>
      <c r="BC19" s="464" t="s">
        <v>889</v>
      </c>
      <c r="BD19" s="464" t="s">
        <v>272</v>
      </c>
      <c r="BE19" s="464" t="s">
        <v>272</v>
      </c>
      <c r="BF19" s="464" t="s">
        <v>890</v>
      </c>
      <c r="BG19" s="464">
        <v>1.7021000000000001E-4</v>
      </c>
      <c r="BH19" s="464">
        <v>13.616800000000001</v>
      </c>
      <c r="BI19" s="464" t="s">
        <v>5921</v>
      </c>
      <c r="BJ19" s="464">
        <v>9.9087089434368956</v>
      </c>
      <c r="BK19" s="464" t="s">
        <v>5921</v>
      </c>
      <c r="BL19" s="464" t="s">
        <v>5921</v>
      </c>
      <c r="BM19" s="464" t="s">
        <v>5921</v>
      </c>
      <c r="BN19" s="464" t="s">
        <v>5921</v>
      </c>
      <c r="BO19" s="464" t="s">
        <v>5921</v>
      </c>
      <c r="BP19" s="464" t="s">
        <v>5921</v>
      </c>
      <c r="BQ19" s="464">
        <v>7.8577313307289911</v>
      </c>
      <c r="BR19" s="464" t="s">
        <v>5921</v>
      </c>
      <c r="BS19" s="464" t="s">
        <v>5921</v>
      </c>
      <c r="BT19" s="464" t="s">
        <v>5921</v>
      </c>
      <c r="BU19" s="464" t="s">
        <v>5921</v>
      </c>
      <c r="BV19" s="464" t="s">
        <v>5921</v>
      </c>
      <c r="BW19" s="464" t="s">
        <v>5921</v>
      </c>
      <c r="BX19" s="464" t="s">
        <v>5921</v>
      </c>
      <c r="BY19" s="464" t="s">
        <v>5921</v>
      </c>
      <c r="BZ19" s="464" t="s">
        <v>5921</v>
      </c>
      <c r="CA19" s="464" t="s">
        <v>5921</v>
      </c>
      <c r="CB19" s="464" t="s">
        <v>5921</v>
      </c>
      <c r="CC19" s="464" t="s">
        <v>5921</v>
      </c>
      <c r="CD19" s="464" t="s">
        <v>5921</v>
      </c>
      <c r="CE19" s="464" t="s">
        <v>5921</v>
      </c>
      <c r="CF19" s="464" t="s">
        <v>5921</v>
      </c>
      <c r="CG19" s="464">
        <v>7.8577313307289911</v>
      </c>
      <c r="CH19" s="464">
        <v>0.89529717545865761</v>
      </c>
      <c r="CI19" s="464">
        <v>0.72768263787651244</v>
      </c>
      <c r="CJ19" s="464">
        <v>1.2610139652761108</v>
      </c>
      <c r="CK19" s="464">
        <v>0.52177937345736614</v>
      </c>
      <c r="CL19" s="464">
        <v>4.0953939581615808</v>
      </c>
      <c r="CM19" s="464" t="s">
        <v>892</v>
      </c>
      <c r="CN19" s="464" t="s">
        <v>893</v>
      </c>
      <c r="CO19" s="464">
        <v>0.64792666164159751</v>
      </c>
      <c r="CP19" s="464">
        <v>1.7675451403574236</v>
      </c>
      <c r="CQ19" s="464" t="s">
        <v>539</v>
      </c>
      <c r="CR19" s="464" t="s">
        <v>5921</v>
      </c>
      <c r="CS19" s="464">
        <v>32.039659814476479</v>
      </c>
      <c r="CT19" s="464">
        <v>18.48885485210258</v>
      </c>
      <c r="CU19" s="464">
        <v>1</v>
      </c>
      <c r="CV19" s="464" t="s">
        <v>539</v>
      </c>
      <c r="CW19" s="464" t="s">
        <v>6351</v>
      </c>
    </row>
    <row r="20" spans="1:101" x14ac:dyDescent="0.2">
      <c r="A20" s="464">
        <v>177</v>
      </c>
      <c r="B20" s="464" t="s">
        <v>1997</v>
      </c>
      <c r="C20" s="464" t="s">
        <v>6467</v>
      </c>
      <c r="D20" s="464" t="s">
        <v>1998</v>
      </c>
      <c r="E20" s="464">
        <v>114261</v>
      </c>
      <c r="F20" s="464" t="s">
        <v>1999</v>
      </c>
      <c r="G20" s="464" t="s">
        <v>1999</v>
      </c>
      <c r="H20" s="464" t="s">
        <v>2000</v>
      </c>
      <c r="I20" s="464" t="s">
        <v>616</v>
      </c>
      <c r="J20" s="464" t="s">
        <v>617</v>
      </c>
      <c r="K20" s="464" t="s">
        <v>946</v>
      </c>
      <c r="L20" s="464" t="s">
        <v>6376</v>
      </c>
      <c r="M20" s="464" t="s">
        <v>918</v>
      </c>
      <c r="N20" s="464" t="s">
        <v>5921</v>
      </c>
      <c r="O20" s="464" t="s">
        <v>6173</v>
      </c>
      <c r="P20" s="464" t="s">
        <v>6177</v>
      </c>
      <c r="Q20" s="464" t="s">
        <v>6176</v>
      </c>
      <c r="R20" s="464">
        <v>209.25</v>
      </c>
      <c r="S20" s="464">
        <v>1860</v>
      </c>
      <c r="T20" s="464">
        <v>1973.9999999999998</v>
      </c>
      <c r="U20" s="464">
        <v>709.03139672128043</v>
      </c>
      <c r="V20" s="464">
        <v>709.03139672128043</v>
      </c>
      <c r="W20" s="464">
        <v>6.96</v>
      </c>
      <c r="X20" s="464">
        <v>1.9</v>
      </c>
      <c r="Y20" s="464">
        <v>1.52</v>
      </c>
      <c r="Z20" s="464">
        <v>1.54</v>
      </c>
      <c r="AA20" s="464">
        <v>0.89239999999999997</v>
      </c>
      <c r="AB20" s="464">
        <v>1.56</v>
      </c>
      <c r="AC20" s="464">
        <v>1.6</v>
      </c>
      <c r="AD20" s="464">
        <v>1.52</v>
      </c>
      <c r="AE20" s="464">
        <v>1.99</v>
      </c>
      <c r="AF20" s="464">
        <v>3.3499999999999998E-9</v>
      </c>
      <c r="AG20" s="464">
        <v>1.43E-9</v>
      </c>
      <c r="AH20" s="464">
        <v>-6.8635215192758068</v>
      </c>
      <c r="AI20" s="464">
        <v>-7.2332302888475901</v>
      </c>
      <c r="AJ20" s="464">
        <v>-7.2332302888475901</v>
      </c>
      <c r="AK20" s="464">
        <v>-10.072940000000001</v>
      </c>
      <c r="AL20" s="464">
        <v>-6.19</v>
      </c>
      <c r="AM20" s="464">
        <v>12.28</v>
      </c>
      <c r="AN20" s="464">
        <v>-1.49</v>
      </c>
      <c r="AO20" s="464" t="s">
        <v>6311</v>
      </c>
      <c r="AP20" s="464" t="s">
        <v>6314</v>
      </c>
      <c r="AQ20" s="464" t="s">
        <v>6</v>
      </c>
      <c r="AR20" s="464" t="s">
        <v>266</v>
      </c>
      <c r="AS20" s="464" t="s">
        <v>8444</v>
      </c>
      <c r="AT20" s="464" t="s">
        <v>8445</v>
      </c>
      <c r="AU20" s="464" t="s">
        <v>8445</v>
      </c>
      <c r="AV20" s="464" t="s">
        <v>8459</v>
      </c>
      <c r="AW20" s="464" t="s">
        <v>5921</v>
      </c>
      <c r="AX20" s="464" t="s">
        <v>3666</v>
      </c>
      <c r="AY20" s="464" t="s">
        <v>8457</v>
      </c>
      <c r="AZ20" s="464" t="s">
        <v>1764</v>
      </c>
      <c r="BA20" s="464" t="s">
        <v>3667</v>
      </c>
      <c r="BB20" s="464" t="s">
        <v>5921</v>
      </c>
      <c r="BC20" s="464" t="s">
        <v>5921</v>
      </c>
      <c r="BD20" s="464" t="s">
        <v>5921</v>
      </c>
      <c r="BE20" s="464" t="s">
        <v>5921</v>
      </c>
      <c r="BF20" s="464" t="s">
        <v>5921</v>
      </c>
      <c r="BG20" s="464">
        <v>24.99999999525</v>
      </c>
      <c r="BH20" s="464">
        <v>800.00000005724996</v>
      </c>
      <c r="BI20" s="464" t="s">
        <v>5921</v>
      </c>
      <c r="BJ20" s="464">
        <v>211.38563293954243</v>
      </c>
      <c r="BK20" s="464" t="s">
        <v>5921</v>
      </c>
      <c r="BL20" s="464">
        <v>165.99999990149999</v>
      </c>
      <c r="BM20" s="464">
        <v>145.999999989</v>
      </c>
      <c r="BN20" s="464" t="s">
        <v>5921</v>
      </c>
      <c r="BO20" s="464">
        <v>134.9999999325</v>
      </c>
      <c r="BP20" s="464" t="s">
        <v>5921</v>
      </c>
      <c r="BQ20" s="464" t="s">
        <v>5921</v>
      </c>
      <c r="BR20" s="464" t="s">
        <v>5921</v>
      </c>
      <c r="BS20" s="464" t="s">
        <v>5921</v>
      </c>
      <c r="BT20" s="464" t="s">
        <v>5921</v>
      </c>
      <c r="BU20" s="464" t="s">
        <v>5921</v>
      </c>
      <c r="BV20" s="464" t="s">
        <v>5921</v>
      </c>
      <c r="BW20" s="464" t="s">
        <v>5921</v>
      </c>
      <c r="BX20" s="464" t="s">
        <v>5921</v>
      </c>
      <c r="BY20" s="464" t="s">
        <v>5921</v>
      </c>
      <c r="BZ20" s="464" t="s">
        <v>5921</v>
      </c>
      <c r="CA20" s="464" t="s">
        <v>5921</v>
      </c>
      <c r="CB20" s="464" t="s">
        <v>5921</v>
      </c>
      <c r="CC20" s="464" t="s">
        <v>5921</v>
      </c>
      <c r="CD20" s="464" t="s">
        <v>5921</v>
      </c>
      <c r="CE20" s="464" t="s">
        <v>5921</v>
      </c>
      <c r="CF20" s="464" t="s">
        <v>5921</v>
      </c>
      <c r="CG20" s="464">
        <v>134.9999999325</v>
      </c>
      <c r="CH20" s="464">
        <v>2.1303337682778589</v>
      </c>
      <c r="CI20" s="464">
        <v>0.26423204115551896</v>
      </c>
      <c r="CJ20" s="464">
        <v>1.5658195040387797</v>
      </c>
      <c r="CK20" s="464">
        <v>1.048024373971417</v>
      </c>
      <c r="CL20" s="464">
        <v>71.625161307100853</v>
      </c>
      <c r="CM20" s="464" t="s">
        <v>5921</v>
      </c>
      <c r="CN20" s="464" t="s">
        <v>3668</v>
      </c>
      <c r="CO20" s="464">
        <v>1.0726577657579373</v>
      </c>
      <c r="CP20" s="464">
        <v>11.420260292083428</v>
      </c>
      <c r="CQ20" s="464" t="s">
        <v>539</v>
      </c>
      <c r="CR20" s="464" t="s">
        <v>5921</v>
      </c>
      <c r="CS20" s="464">
        <v>5.2520844227836747</v>
      </c>
      <c r="CT20" s="464">
        <v>0.88628924583817548</v>
      </c>
      <c r="CU20" s="464">
        <v>1</v>
      </c>
      <c r="CV20" s="464" t="s">
        <v>5921</v>
      </c>
      <c r="CW20" s="464" t="s">
        <v>5921</v>
      </c>
    </row>
    <row r="21" spans="1:101" x14ac:dyDescent="0.2">
      <c r="A21" s="464">
        <v>181</v>
      </c>
      <c r="B21" s="464" t="s">
        <v>920</v>
      </c>
      <c r="C21" s="464" t="s">
        <v>6517</v>
      </c>
      <c r="D21" s="464" t="s">
        <v>921</v>
      </c>
      <c r="E21" s="464">
        <v>34256821</v>
      </c>
      <c r="F21" s="464" t="s">
        <v>922</v>
      </c>
      <c r="G21" s="464" t="s">
        <v>8286</v>
      </c>
      <c r="H21" s="464" t="s">
        <v>923</v>
      </c>
      <c r="I21" s="464" t="s">
        <v>924</v>
      </c>
      <c r="J21" s="464" t="s">
        <v>6114</v>
      </c>
      <c r="K21" s="464" t="s">
        <v>6082</v>
      </c>
      <c r="L21" s="464" t="s">
        <v>6082</v>
      </c>
      <c r="M21" s="464" t="s">
        <v>6083</v>
      </c>
      <c r="N21" s="464" t="s">
        <v>5921</v>
      </c>
      <c r="O21" s="464" t="s">
        <v>5921</v>
      </c>
      <c r="P21" s="464" t="s">
        <v>5921</v>
      </c>
      <c r="Q21" s="464" t="s">
        <v>5921</v>
      </c>
      <c r="R21" s="464">
        <v>269.77</v>
      </c>
      <c r="S21" s="464">
        <v>223</v>
      </c>
      <c r="T21" s="464">
        <v>47.36</v>
      </c>
      <c r="U21" s="464">
        <v>814.69237561285115</v>
      </c>
      <c r="V21" s="464">
        <v>814.69237561285115</v>
      </c>
      <c r="W21" s="464">
        <v>7.01</v>
      </c>
      <c r="X21" s="464">
        <v>3.37</v>
      </c>
      <c r="Y21" s="464">
        <v>3.03</v>
      </c>
      <c r="Z21" s="464">
        <v>3.01</v>
      </c>
      <c r="AA21" s="464">
        <v>0.8427</v>
      </c>
      <c r="AB21" s="464">
        <v>2.99</v>
      </c>
      <c r="AC21" s="464">
        <v>2.92</v>
      </c>
      <c r="AD21" s="464">
        <v>3.03</v>
      </c>
      <c r="AE21" s="464">
        <v>3.33</v>
      </c>
      <c r="AF21" s="464">
        <v>2.2300000000000001E-8</v>
      </c>
      <c r="AG21" s="464" t="s">
        <v>5921</v>
      </c>
      <c r="AH21" s="464">
        <v>-6.0402614632644909</v>
      </c>
      <c r="AI21" s="464" t="s">
        <v>5921</v>
      </c>
      <c r="AJ21" s="464">
        <v>-6.0402614632644909</v>
      </c>
      <c r="AK21" s="464">
        <v>-10.631349999999999</v>
      </c>
      <c r="AL21" s="464">
        <v>-5.33</v>
      </c>
      <c r="AM21" s="464" t="s">
        <v>5921</v>
      </c>
      <c r="AN21" s="464">
        <v>1.29</v>
      </c>
      <c r="AO21" s="464" t="s">
        <v>6311</v>
      </c>
      <c r="AP21" s="464" t="s">
        <v>6311</v>
      </c>
      <c r="AQ21" s="464" t="s">
        <v>6</v>
      </c>
      <c r="AR21" s="464" t="s">
        <v>266</v>
      </c>
      <c r="AS21" s="464" t="s">
        <v>8468</v>
      </c>
      <c r="AT21" s="464" t="s">
        <v>8469</v>
      </c>
      <c r="AU21" s="464" t="s">
        <v>8450</v>
      </c>
      <c r="AV21" s="464" t="s">
        <v>8446</v>
      </c>
      <c r="AW21" s="464" t="s">
        <v>267</v>
      </c>
      <c r="AX21" s="464" t="s">
        <v>268</v>
      </c>
      <c r="AY21" s="464" t="s">
        <v>8453</v>
      </c>
      <c r="AZ21" s="464" t="s">
        <v>888</v>
      </c>
      <c r="BA21" s="464" t="s">
        <v>270</v>
      </c>
      <c r="BB21" s="464" t="s">
        <v>8374</v>
      </c>
      <c r="BC21" s="464" t="s">
        <v>889</v>
      </c>
      <c r="BD21" s="464" t="s">
        <v>272</v>
      </c>
      <c r="BE21" s="464" t="s">
        <v>272</v>
      </c>
      <c r="BF21" s="464" t="s">
        <v>890</v>
      </c>
      <c r="BG21" s="464">
        <v>2.6976999999999996E-4</v>
      </c>
      <c r="BH21" s="464">
        <v>21.581599999999998</v>
      </c>
      <c r="BI21" s="464" t="s">
        <v>5921</v>
      </c>
      <c r="BJ21" s="464">
        <v>13.037569961777397</v>
      </c>
      <c r="BK21" s="464" t="s">
        <v>5921</v>
      </c>
      <c r="BL21" s="464" t="s">
        <v>5921</v>
      </c>
      <c r="BM21" s="464" t="s">
        <v>5921</v>
      </c>
      <c r="BN21" s="464" t="s">
        <v>5921</v>
      </c>
      <c r="BO21" s="464" t="s">
        <v>5921</v>
      </c>
      <c r="BP21" s="464" t="s">
        <v>5921</v>
      </c>
      <c r="BQ21" s="464">
        <v>7.1866727999999993</v>
      </c>
      <c r="BR21" s="464" t="s">
        <v>5921</v>
      </c>
      <c r="BS21" s="464" t="s">
        <v>5921</v>
      </c>
      <c r="BT21" s="464" t="s">
        <v>5921</v>
      </c>
      <c r="BU21" s="464" t="s">
        <v>5921</v>
      </c>
      <c r="BV21" s="464" t="s">
        <v>5921</v>
      </c>
      <c r="BW21" s="464" t="s">
        <v>5921</v>
      </c>
      <c r="BX21" s="464" t="s">
        <v>5921</v>
      </c>
      <c r="BY21" s="464" t="s">
        <v>5921</v>
      </c>
      <c r="BZ21" s="464" t="s">
        <v>5921</v>
      </c>
      <c r="CA21" s="464" t="s">
        <v>5921</v>
      </c>
      <c r="CB21" s="464" t="s">
        <v>5921</v>
      </c>
      <c r="CC21" s="464" t="s">
        <v>5921</v>
      </c>
      <c r="CD21" s="464" t="s">
        <v>5921</v>
      </c>
      <c r="CE21" s="464" t="s">
        <v>5921</v>
      </c>
      <c r="CF21" s="464" t="s">
        <v>5921</v>
      </c>
      <c r="CG21" s="464">
        <v>7.1866727999999993</v>
      </c>
      <c r="CH21" s="464">
        <v>0.85652787243581119</v>
      </c>
      <c r="CI21" s="464">
        <v>0.60410581058760227</v>
      </c>
      <c r="CJ21" s="464">
        <v>1.814131563326133</v>
      </c>
      <c r="CK21" s="464">
        <v>-0.23926195564588798</v>
      </c>
      <c r="CL21" s="464">
        <v>37.440840933848534</v>
      </c>
      <c r="CM21" s="464" t="s">
        <v>892</v>
      </c>
      <c r="CN21" s="464" t="s">
        <v>893</v>
      </c>
      <c r="CO21" s="464">
        <v>-7.9944506394980616E-2</v>
      </c>
      <c r="CP21" s="464">
        <v>8.6391771369061594</v>
      </c>
      <c r="CQ21" s="464" t="s">
        <v>539</v>
      </c>
      <c r="CR21" s="464" t="s">
        <v>5921</v>
      </c>
      <c r="CS21" s="464">
        <v>113.36155106614166</v>
      </c>
      <c r="CT21" s="464">
        <v>37.749396505025167</v>
      </c>
      <c r="CU21" s="464">
        <v>1</v>
      </c>
      <c r="CV21" s="464" t="s">
        <v>539</v>
      </c>
      <c r="CW21" s="464" t="s">
        <v>5921</v>
      </c>
    </row>
    <row r="22" spans="1:101" x14ac:dyDescent="0.2">
      <c r="A22" s="464">
        <v>184</v>
      </c>
      <c r="B22" s="464" t="s">
        <v>925</v>
      </c>
      <c r="C22" s="464" t="s">
        <v>6507</v>
      </c>
      <c r="D22" s="464" t="s">
        <v>926</v>
      </c>
      <c r="E22" s="464">
        <v>15972608</v>
      </c>
      <c r="F22" s="464" t="s">
        <v>927</v>
      </c>
      <c r="G22" s="464" t="s">
        <v>8288</v>
      </c>
      <c r="H22" s="464" t="s">
        <v>928</v>
      </c>
      <c r="I22" s="464" t="s">
        <v>924</v>
      </c>
      <c r="J22" s="464" t="s">
        <v>5941</v>
      </c>
      <c r="K22" s="464" t="s">
        <v>929</v>
      </c>
      <c r="L22" s="464" t="s">
        <v>6088</v>
      </c>
      <c r="M22" s="464" t="s">
        <v>930</v>
      </c>
      <c r="N22" s="464" t="s">
        <v>6172</v>
      </c>
      <c r="O22" s="464" t="s">
        <v>6173</v>
      </c>
      <c r="P22" s="464" t="s">
        <v>6175</v>
      </c>
      <c r="Q22" s="464" t="s">
        <v>6176</v>
      </c>
      <c r="R22" s="464">
        <v>269.77</v>
      </c>
      <c r="S22" s="464">
        <v>240</v>
      </c>
      <c r="T22" s="464">
        <v>18.07</v>
      </c>
      <c r="U22" s="464">
        <v>814.69237561285115</v>
      </c>
      <c r="V22" s="464">
        <v>814.69237561285115</v>
      </c>
      <c r="W22" s="464">
        <v>7.01</v>
      </c>
      <c r="X22" s="464">
        <v>3.37</v>
      </c>
      <c r="Y22" s="464">
        <v>3.52</v>
      </c>
      <c r="Z22" s="464">
        <v>3.01</v>
      </c>
      <c r="AA22" s="464">
        <v>0.8427</v>
      </c>
      <c r="AB22" s="464">
        <v>2.99</v>
      </c>
      <c r="AC22" s="464">
        <v>2.92</v>
      </c>
      <c r="AD22" s="464">
        <v>3.52</v>
      </c>
      <c r="AE22" s="464">
        <v>3.3</v>
      </c>
      <c r="AF22" s="464">
        <v>2.2300000000000001E-8</v>
      </c>
      <c r="AG22" s="464">
        <v>8.3199999999999994E-9</v>
      </c>
      <c r="AH22" s="464">
        <v>-6.0402614632644909</v>
      </c>
      <c r="AI22" s="464">
        <v>-6.468443000021928</v>
      </c>
      <c r="AJ22" s="464">
        <v>-6.468443000021928</v>
      </c>
      <c r="AK22" s="464">
        <v>-10.631349999999999</v>
      </c>
      <c r="AL22" s="464">
        <v>-5.33</v>
      </c>
      <c r="AM22" s="464" t="s">
        <v>5921</v>
      </c>
      <c r="AN22" s="464">
        <v>1.2</v>
      </c>
      <c r="AO22" s="464" t="s">
        <v>6311</v>
      </c>
      <c r="AP22" s="464" t="s">
        <v>6311</v>
      </c>
      <c r="AQ22" s="464" t="s">
        <v>6</v>
      </c>
      <c r="AR22" s="464" t="s">
        <v>266</v>
      </c>
      <c r="AS22" s="464" t="s">
        <v>8468</v>
      </c>
      <c r="AT22" s="464" t="s">
        <v>8469</v>
      </c>
      <c r="AU22" s="464" t="s">
        <v>8450</v>
      </c>
      <c r="AV22" s="464" t="s">
        <v>8446</v>
      </c>
      <c r="AW22" s="464" t="s">
        <v>267</v>
      </c>
      <c r="AX22" s="464" t="s">
        <v>268</v>
      </c>
      <c r="AY22" s="464" t="s">
        <v>8453</v>
      </c>
      <c r="AZ22" s="464" t="s">
        <v>888</v>
      </c>
      <c r="BA22" s="464" t="s">
        <v>270</v>
      </c>
      <c r="BB22" s="464" t="s">
        <v>8374</v>
      </c>
      <c r="BC22" s="464" t="s">
        <v>889</v>
      </c>
      <c r="BD22" s="464" t="s">
        <v>272</v>
      </c>
      <c r="BE22" s="464" t="s">
        <v>272</v>
      </c>
      <c r="BF22" s="464" t="s">
        <v>890</v>
      </c>
      <c r="BG22" s="464">
        <v>2.6976999999999996E-4</v>
      </c>
      <c r="BH22" s="464">
        <v>21.581599999999998</v>
      </c>
      <c r="BI22" s="464" t="s">
        <v>5921</v>
      </c>
      <c r="BJ22" s="464">
        <v>13.037569961777397</v>
      </c>
      <c r="BK22" s="464" t="s">
        <v>5921</v>
      </c>
      <c r="BL22" s="464" t="s">
        <v>5921</v>
      </c>
      <c r="BM22" s="464" t="s">
        <v>5921</v>
      </c>
      <c r="BN22" s="464" t="s">
        <v>5921</v>
      </c>
      <c r="BO22" s="464" t="s">
        <v>5921</v>
      </c>
      <c r="BP22" s="464" t="s">
        <v>5921</v>
      </c>
      <c r="BQ22" s="464">
        <v>7.1866727999999993</v>
      </c>
      <c r="BR22" s="464" t="s">
        <v>5921</v>
      </c>
      <c r="BS22" s="464" t="s">
        <v>5921</v>
      </c>
      <c r="BT22" s="464" t="s">
        <v>5921</v>
      </c>
      <c r="BU22" s="464" t="s">
        <v>5921</v>
      </c>
      <c r="BV22" s="464" t="s">
        <v>5921</v>
      </c>
      <c r="BW22" s="464" t="s">
        <v>5921</v>
      </c>
      <c r="BX22" s="464" t="s">
        <v>5921</v>
      </c>
      <c r="BY22" s="464" t="s">
        <v>5921</v>
      </c>
      <c r="BZ22" s="464" t="s">
        <v>5921</v>
      </c>
      <c r="CA22" s="464" t="s">
        <v>5921</v>
      </c>
      <c r="CB22" s="464" t="s">
        <v>5921</v>
      </c>
      <c r="CC22" s="464" t="s">
        <v>5921</v>
      </c>
      <c r="CD22" s="464" t="s">
        <v>5921</v>
      </c>
      <c r="CE22" s="464" t="s">
        <v>5921</v>
      </c>
      <c r="CF22" s="464" t="s">
        <v>5921</v>
      </c>
      <c r="CG22" s="464">
        <v>7.1866727999999993</v>
      </c>
      <c r="CH22" s="464">
        <v>0.85652787243581119</v>
      </c>
      <c r="CI22" s="464">
        <v>0.60410581058760227</v>
      </c>
      <c r="CJ22" s="464">
        <v>1.814131563326133</v>
      </c>
      <c r="CK22" s="464">
        <v>0.35857724146975389</v>
      </c>
      <c r="CL22" s="464">
        <v>9.4516231523637533</v>
      </c>
      <c r="CM22" s="464" t="s">
        <v>892</v>
      </c>
      <c r="CN22" s="464" t="s">
        <v>893</v>
      </c>
      <c r="CO22" s="464">
        <v>0.55452206231799706</v>
      </c>
      <c r="CP22" s="464">
        <v>2.0044988439539577</v>
      </c>
      <c r="CQ22" s="464" t="s">
        <v>539</v>
      </c>
      <c r="CR22" s="464" t="s">
        <v>5921</v>
      </c>
      <c r="CS22" s="464">
        <v>113.36155106614166</v>
      </c>
      <c r="CT22" s="464">
        <v>37.749396505025167</v>
      </c>
      <c r="CU22" s="464">
        <v>1</v>
      </c>
      <c r="CV22" s="464" t="s">
        <v>539</v>
      </c>
      <c r="CW22" s="464" t="s">
        <v>5921</v>
      </c>
    </row>
    <row r="23" spans="1:101" x14ac:dyDescent="0.2">
      <c r="A23" s="464">
        <v>192</v>
      </c>
      <c r="B23" s="464" t="s">
        <v>947</v>
      </c>
      <c r="C23" s="464" t="s">
        <v>6451</v>
      </c>
      <c r="D23" s="464" t="s">
        <v>948</v>
      </c>
      <c r="E23" s="464">
        <v>86500</v>
      </c>
      <c r="F23" s="464" t="s">
        <v>949</v>
      </c>
      <c r="G23" s="464" t="s">
        <v>949</v>
      </c>
      <c r="H23" s="464" t="s">
        <v>950</v>
      </c>
      <c r="I23" s="464" t="s">
        <v>951</v>
      </c>
      <c r="J23" s="464" t="s">
        <v>617</v>
      </c>
      <c r="K23" s="464" t="s">
        <v>618</v>
      </c>
      <c r="L23" s="464" t="s">
        <v>6376</v>
      </c>
      <c r="M23" s="464" t="s">
        <v>952</v>
      </c>
      <c r="N23" s="464" t="s">
        <v>6178</v>
      </c>
      <c r="O23" s="464" t="s">
        <v>6176</v>
      </c>
      <c r="P23" s="464" t="s">
        <v>6177</v>
      </c>
      <c r="Q23" s="464" t="s">
        <v>6176</v>
      </c>
      <c r="R23" s="464">
        <v>317.33</v>
      </c>
      <c r="S23" s="464">
        <v>20.9</v>
      </c>
      <c r="T23" s="464">
        <v>43.54</v>
      </c>
      <c r="U23" s="464">
        <v>52.663671333716046</v>
      </c>
      <c r="V23" s="464">
        <v>52.663671333716046</v>
      </c>
      <c r="W23" s="464">
        <v>7</v>
      </c>
      <c r="X23" s="464">
        <v>2.5299999999999998</v>
      </c>
      <c r="Y23" s="464">
        <v>2.75</v>
      </c>
      <c r="Z23" s="464">
        <v>3.17</v>
      </c>
      <c r="AA23" s="464">
        <v>0.83950000000000002</v>
      </c>
      <c r="AB23" s="464">
        <v>3.01</v>
      </c>
      <c r="AC23" s="464">
        <v>2.54</v>
      </c>
      <c r="AD23" s="464">
        <v>2.75</v>
      </c>
      <c r="AE23" s="464">
        <v>3.27</v>
      </c>
      <c r="AF23" s="464">
        <v>2.8599999999999999E-10</v>
      </c>
      <c r="AG23" s="464">
        <v>2.3899999999999999E-8</v>
      </c>
      <c r="AH23" s="464">
        <v>-7.9322002931836089</v>
      </c>
      <c r="AI23" s="464">
        <v>-6.0101684253645145</v>
      </c>
      <c r="AJ23" s="464">
        <v>-6.0101684253645145</v>
      </c>
      <c r="AK23" s="464">
        <v>-15.46162</v>
      </c>
      <c r="AL23" s="464">
        <v>-6.71</v>
      </c>
      <c r="AM23" s="464" t="s">
        <v>5921</v>
      </c>
      <c r="AN23" s="464">
        <v>-2.6</v>
      </c>
      <c r="AO23" s="464" t="s">
        <v>6314</v>
      </c>
      <c r="AP23" s="464" t="s">
        <v>6314</v>
      </c>
      <c r="AQ23" s="464" t="s">
        <v>6</v>
      </c>
      <c r="AR23" s="464" t="s">
        <v>266</v>
      </c>
      <c r="AS23" s="464" t="s">
        <v>8468</v>
      </c>
      <c r="AT23" s="464" t="s">
        <v>8469</v>
      </c>
      <c r="AU23" s="464" t="s">
        <v>8450</v>
      </c>
      <c r="AV23" s="464" t="s">
        <v>8446</v>
      </c>
      <c r="AW23" s="464" t="s">
        <v>267</v>
      </c>
      <c r="AX23" s="464" t="s">
        <v>268</v>
      </c>
      <c r="AY23" s="464" t="s">
        <v>8470</v>
      </c>
      <c r="AZ23" s="464" t="s">
        <v>888</v>
      </c>
      <c r="BA23" s="464" t="s">
        <v>270</v>
      </c>
      <c r="BB23" s="464" t="s">
        <v>8374</v>
      </c>
      <c r="BC23" s="464" t="s">
        <v>889</v>
      </c>
      <c r="BD23" s="464" t="s">
        <v>272</v>
      </c>
      <c r="BE23" s="464" t="s">
        <v>272</v>
      </c>
      <c r="BF23" s="464" t="s">
        <v>890</v>
      </c>
      <c r="BG23" s="464">
        <v>3.1732999999999995E-4</v>
      </c>
      <c r="BH23" s="464">
        <v>25.386399999999998</v>
      </c>
      <c r="BI23" s="464" t="s">
        <v>5921</v>
      </c>
      <c r="BJ23" s="464">
        <v>87.120053154584937</v>
      </c>
      <c r="BK23" s="464" t="s">
        <v>5921</v>
      </c>
      <c r="BL23" s="464" t="s">
        <v>5921</v>
      </c>
      <c r="BM23" s="464" t="s">
        <v>5921</v>
      </c>
      <c r="BN23" s="464" t="s">
        <v>5921</v>
      </c>
      <c r="BO23" s="464" t="s">
        <v>5921</v>
      </c>
      <c r="BP23" s="464" t="s">
        <v>5921</v>
      </c>
      <c r="BQ23" s="464">
        <v>8.7234016999999984</v>
      </c>
      <c r="BR23" s="464" t="s">
        <v>5921</v>
      </c>
      <c r="BS23" s="464" t="s">
        <v>5921</v>
      </c>
      <c r="BT23" s="464" t="s">
        <v>5921</v>
      </c>
      <c r="BU23" s="464" t="s">
        <v>5921</v>
      </c>
      <c r="BV23" s="464" t="s">
        <v>5921</v>
      </c>
      <c r="BW23" s="464" t="s">
        <v>5921</v>
      </c>
      <c r="BX23" s="464" t="s">
        <v>5921</v>
      </c>
      <c r="BY23" s="464" t="s">
        <v>5921</v>
      </c>
      <c r="BZ23" s="464" t="s">
        <v>5921</v>
      </c>
      <c r="CA23" s="464" t="s">
        <v>5921</v>
      </c>
      <c r="CB23" s="464" t="s">
        <v>5921</v>
      </c>
      <c r="CC23" s="464" t="s">
        <v>5921</v>
      </c>
      <c r="CD23" s="464" t="s">
        <v>5921</v>
      </c>
      <c r="CE23" s="464" t="s">
        <v>5921</v>
      </c>
      <c r="CF23" s="464" t="s">
        <v>5921</v>
      </c>
      <c r="CG23" s="464">
        <v>8.7234016999999984</v>
      </c>
      <c r="CH23" s="464">
        <v>0.94068587156749373</v>
      </c>
      <c r="CI23" s="464">
        <v>3.4317608307828187</v>
      </c>
      <c r="CJ23" s="464">
        <v>9.9869358480402148</v>
      </c>
      <c r="CK23" s="464">
        <v>-2.1493680459054527</v>
      </c>
      <c r="CL23" s="464">
        <v>3580.7101277035313</v>
      </c>
      <c r="CM23" s="464" t="s">
        <v>892</v>
      </c>
      <c r="CN23" s="464" t="s">
        <v>893</v>
      </c>
      <c r="CO23" s="464">
        <v>-1.0681269040684367</v>
      </c>
      <c r="CP23" s="464">
        <v>102.04994515216379</v>
      </c>
      <c r="CQ23" s="464" t="s">
        <v>539</v>
      </c>
      <c r="CR23" s="464" t="s">
        <v>5921</v>
      </c>
      <c r="CS23" s="464">
        <v>6.0370567749638369</v>
      </c>
      <c r="CT23" s="464">
        <v>2.0744836342969482</v>
      </c>
      <c r="CU23" s="464">
        <v>1</v>
      </c>
      <c r="CV23" s="464" t="s">
        <v>539</v>
      </c>
      <c r="CW23" s="464" t="s">
        <v>5921</v>
      </c>
    </row>
    <row r="24" spans="1:101" x14ac:dyDescent="0.2">
      <c r="A24" s="464">
        <v>194</v>
      </c>
      <c r="B24" s="464" t="s">
        <v>958</v>
      </c>
      <c r="C24" s="464" t="s">
        <v>6511</v>
      </c>
      <c r="D24" s="464" t="s">
        <v>959</v>
      </c>
      <c r="E24" s="464">
        <v>22781233</v>
      </c>
      <c r="F24" s="464" t="s">
        <v>960</v>
      </c>
      <c r="G24" s="464" t="s">
        <v>960</v>
      </c>
      <c r="H24" s="464" t="s">
        <v>961</v>
      </c>
      <c r="I24" s="464" t="s">
        <v>962</v>
      </c>
      <c r="J24" s="464" t="s">
        <v>617</v>
      </c>
      <c r="K24" s="464" t="s">
        <v>946</v>
      </c>
      <c r="L24" s="464" t="s">
        <v>6376</v>
      </c>
      <c r="M24" s="464" t="s">
        <v>918</v>
      </c>
      <c r="N24" s="464" t="s">
        <v>5921</v>
      </c>
      <c r="O24" s="464" t="s">
        <v>5921</v>
      </c>
      <c r="P24" s="464" t="s">
        <v>5921</v>
      </c>
      <c r="Q24" s="464" t="s">
        <v>5921</v>
      </c>
      <c r="R24" s="464">
        <v>223.23</v>
      </c>
      <c r="S24" s="464">
        <v>260</v>
      </c>
      <c r="T24" s="464">
        <v>1169</v>
      </c>
      <c r="U24" s="464">
        <v>268.38148973964491</v>
      </c>
      <c r="V24" s="464">
        <v>268.38148973964491</v>
      </c>
      <c r="W24" s="464">
        <v>6.97</v>
      </c>
      <c r="X24" s="464">
        <v>2.5499999999999998</v>
      </c>
      <c r="Y24" s="464">
        <v>1.7</v>
      </c>
      <c r="Z24" s="464">
        <v>1.85</v>
      </c>
      <c r="AA24" s="464">
        <v>0.84089999999999998</v>
      </c>
      <c r="AB24" s="464">
        <v>1.85</v>
      </c>
      <c r="AC24" s="464">
        <v>1.86</v>
      </c>
      <c r="AD24" s="464">
        <v>1.7</v>
      </c>
      <c r="AE24" s="464">
        <v>1.38</v>
      </c>
      <c r="AF24" s="464">
        <v>6.5799999999999995E-11</v>
      </c>
      <c r="AG24" s="464">
        <v>3.8999999999999998E-8</v>
      </c>
      <c r="AH24" s="464">
        <v>-8.5703404326986963</v>
      </c>
      <c r="AI24" s="464">
        <v>-5.7975017192861529</v>
      </c>
      <c r="AJ24" s="464">
        <v>-5.7975017192861529</v>
      </c>
      <c r="AK24" s="464">
        <v>-11.31254</v>
      </c>
      <c r="AL24" s="464">
        <v>-5.95</v>
      </c>
      <c r="AM24" s="464">
        <v>11.98</v>
      </c>
      <c r="AN24" s="464">
        <v>-1.56</v>
      </c>
      <c r="AO24" s="464" t="s">
        <v>6311</v>
      </c>
      <c r="AP24" s="464" t="s">
        <v>6314</v>
      </c>
      <c r="AQ24" s="464" t="s">
        <v>6</v>
      </c>
      <c r="AR24" s="464" t="s">
        <v>266</v>
      </c>
      <c r="AS24" s="464" t="s">
        <v>8468</v>
      </c>
      <c r="AT24" s="464" t="s">
        <v>8469</v>
      </c>
      <c r="AU24" s="464" t="s">
        <v>8450</v>
      </c>
      <c r="AV24" s="464" t="s">
        <v>8446</v>
      </c>
      <c r="AW24" s="464" t="s">
        <v>267</v>
      </c>
      <c r="AX24" s="464" t="s">
        <v>268</v>
      </c>
      <c r="AY24" s="464" t="s">
        <v>8453</v>
      </c>
      <c r="AZ24" s="464" t="s">
        <v>888</v>
      </c>
      <c r="BA24" s="464" t="s">
        <v>270</v>
      </c>
      <c r="BB24" s="464" t="s">
        <v>8374</v>
      </c>
      <c r="BC24" s="464" t="s">
        <v>889</v>
      </c>
      <c r="BD24" s="464" t="s">
        <v>272</v>
      </c>
      <c r="BE24" s="464" t="s">
        <v>272</v>
      </c>
      <c r="BF24" s="464" t="s">
        <v>890</v>
      </c>
      <c r="BG24" s="464">
        <v>2.2322999999999999E-4</v>
      </c>
      <c r="BH24" s="464">
        <v>17.8584</v>
      </c>
      <c r="BI24" s="464" t="s">
        <v>5921</v>
      </c>
      <c r="BJ24" s="464">
        <v>58.802739474736306</v>
      </c>
      <c r="BK24" s="464" t="s">
        <v>5921</v>
      </c>
      <c r="BL24" s="464" t="s">
        <v>5921</v>
      </c>
      <c r="BM24" s="464" t="s">
        <v>5921</v>
      </c>
      <c r="BN24" s="464" t="s">
        <v>5921</v>
      </c>
      <c r="BO24" s="464" t="s">
        <v>5921</v>
      </c>
      <c r="BP24" s="464" t="s">
        <v>5921</v>
      </c>
      <c r="BQ24" s="464">
        <v>10.305395481808546</v>
      </c>
      <c r="BR24" s="464" t="s">
        <v>5921</v>
      </c>
      <c r="BS24" s="464" t="s">
        <v>5921</v>
      </c>
      <c r="BT24" s="464" t="s">
        <v>5921</v>
      </c>
      <c r="BU24" s="464" t="s">
        <v>5921</v>
      </c>
      <c r="BV24" s="464" t="s">
        <v>5921</v>
      </c>
      <c r="BW24" s="464" t="s">
        <v>5921</v>
      </c>
      <c r="BX24" s="464" t="s">
        <v>5921</v>
      </c>
      <c r="BY24" s="464" t="s">
        <v>5921</v>
      </c>
      <c r="BZ24" s="464" t="s">
        <v>5921</v>
      </c>
      <c r="CA24" s="464" t="s">
        <v>5921</v>
      </c>
      <c r="CB24" s="464" t="s">
        <v>5921</v>
      </c>
      <c r="CC24" s="464" t="s">
        <v>5921</v>
      </c>
      <c r="CD24" s="464" t="s">
        <v>5921</v>
      </c>
      <c r="CE24" s="464" t="s">
        <v>5921</v>
      </c>
      <c r="CF24" s="464" t="s">
        <v>5921</v>
      </c>
      <c r="CG24" s="464">
        <v>10.305395481808546</v>
      </c>
      <c r="CH24" s="464">
        <v>1.0130646630023195</v>
      </c>
      <c r="CI24" s="464">
        <v>3.2927216029843831</v>
      </c>
      <c r="CJ24" s="464">
        <v>5.7060148325735787</v>
      </c>
      <c r="CK24" s="464">
        <v>1.7323127703198531E-2</v>
      </c>
      <c r="CL24" s="464">
        <v>17.16008436041113</v>
      </c>
      <c r="CM24" s="464" t="s">
        <v>892</v>
      </c>
      <c r="CN24" s="464" t="s">
        <v>893</v>
      </c>
      <c r="CO24" s="464">
        <v>3.6955979419066129E-2</v>
      </c>
      <c r="CP24" s="464">
        <v>9.4647398987441846</v>
      </c>
      <c r="CQ24" s="464" t="s">
        <v>539</v>
      </c>
      <c r="CR24" s="464" t="s">
        <v>5921</v>
      </c>
      <c r="CS24" s="464">
        <v>26.042813224723062</v>
      </c>
      <c r="CT24" s="464">
        <v>15.028305432717652</v>
      </c>
      <c r="CU24" s="464">
        <v>1</v>
      </c>
      <c r="CV24" s="464" t="s">
        <v>539</v>
      </c>
      <c r="CW24" s="464" t="s">
        <v>5921</v>
      </c>
    </row>
    <row r="25" spans="1:101" x14ac:dyDescent="0.2">
      <c r="A25" s="464">
        <v>196</v>
      </c>
      <c r="B25" s="464" t="s">
        <v>963</v>
      </c>
      <c r="C25" s="464" t="s">
        <v>6738</v>
      </c>
      <c r="D25" s="464" t="s">
        <v>964</v>
      </c>
      <c r="E25" s="464">
        <v>17804352</v>
      </c>
      <c r="F25" s="464" t="s">
        <v>965</v>
      </c>
      <c r="G25" s="464" t="s">
        <v>7881</v>
      </c>
      <c r="H25" s="464" t="s">
        <v>966</v>
      </c>
      <c r="I25" s="464" t="s">
        <v>967</v>
      </c>
      <c r="J25" s="464" t="s">
        <v>5929</v>
      </c>
      <c r="K25" s="464" t="s">
        <v>5946</v>
      </c>
      <c r="L25" s="464" t="s">
        <v>6383</v>
      </c>
      <c r="M25" s="464" t="s">
        <v>5947</v>
      </c>
      <c r="N25" s="464" t="s">
        <v>5921</v>
      </c>
      <c r="O25" s="464" t="s">
        <v>5921</v>
      </c>
      <c r="P25" s="464" t="s">
        <v>5921</v>
      </c>
      <c r="Q25" s="464" t="s">
        <v>5921</v>
      </c>
      <c r="R25" s="464">
        <v>290.32</v>
      </c>
      <c r="S25" s="464">
        <v>3.8</v>
      </c>
      <c r="T25" s="464">
        <v>216.2</v>
      </c>
      <c r="U25" s="464">
        <v>115.57847375509127</v>
      </c>
      <c r="V25" s="464">
        <v>115.57847375509127</v>
      </c>
      <c r="W25" s="464">
        <v>7.05</v>
      </c>
      <c r="X25" s="464">
        <v>2.2400000000000002</v>
      </c>
      <c r="Y25" s="464">
        <v>2.12</v>
      </c>
      <c r="Z25" s="464">
        <v>1.69</v>
      </c>
      <c r="AA25" s="464">
        <v>0.86480000000000001</v>
      </c>
      <c r="AB25" s="464">
        <v>1.8</v>
      </c>
      <c r="AC25" s="464">
        <v>2.12</v>
      </c>
      <c r="AD25" s="464">
        <v>2.12</v>
      </c>
      <c r="AE25" s="464">
        <v>1.83</v>
      </c>
      <c r="AF25" s="464">
        <v>1.23E-12</v>
      </c>
      <c r="AG25" s="464">
        <v>4.9300000000000002E-12</v>
      </c>
      <c r="AH25" s="464">
        <v>-10.298661214873254</v>
      </c>
      <c r="AI25" s="464">
        <v>-9.6957194070354209</v>
      </c>
      <c r="AJ25" s="464">
        <v>-9.6957194070354209</v>
      </c>
      <c r="AK25" s="464">
        <v>-20.06701</v>
      </c>
      <c r="AL25" s="464">
        <v>-10.199999999999999</v>
      </c>
      <c r="AM25" s="464">
        <v>11.78</v>
      </c>
      <c r="AN25" s="464">
        <v>3.48</v>
      </c>
      <c r="AO25" s="464" t="s">
        <v>6311</v>
      </c>
      <c r="AP25" s="464" t="s">
        <v>6312</v>
      </c>
      <c r="AQ25" s="464" t="s">
        <v>6</v>
      </c>
      <c r="AR25" s="464" t="s">
        <v>266</v>
      </c>
      <c r="AS25" s="464" t="s">
        <v>8468</v>
      </c>
      <c r="AT25" s="464" t="s">
        <v>8469</v>
      </c>
      <c r="AU25" s="464" t="s">
        <v>8450</v>
      </c>
      <c r="AV25" s="464" t="s">
        <v>8446</v>
      </c>
      <c r="AW25" s="464" t="s">
        <v>267</v>
      </c>
      <c r="AX25" s="464" t="s">
        <v>268</v>
      </c>
      <c r="AY25" s="464" t="s">
        <v>8453</v>
      </c>
      <c r="AZ25" s="464" t="s">
        <v>888</v>
      </c>
      <c r="BA25" s="464" t="s">
        <v>270</v>
      </c>
      <c r="BB25" s="464" t="s">
        <v>8374</v>
      </c>
      <c r="BC25" s="464" t="s">
        <v>889</v>
      </c>
      <c r="BD25" s="464" t="s">
        <v>272</v>
      </c>
      <c r="BE25" s="464" t="s">
        <v>272</v>
      </c>
      <c r="BF25" s="464" t="s">
        <v>890</v>
      </c>
      <c r="BG25" s="464">
        <v>2.9032E-4</v>
      </c>
      <c r="BH25" s="464">
        <v>23.2256</v>
      </c>
      <c r="BI25" s="464" t="s">
        <v>5921</v>
      </c>
      <c r="BJ25" s="464">
        <v>145.18874631636413</v>
      </c>
      <c r="BK25" s="464" t="s">
        <v>5921</v>
      </c>
      <c r="BL25" s="464" t="s">
        <v>5921</v>
      </c>
      <c r="BM25" s="464" t="s">
        <v>5921</v>
      </c>
      <c r="BN25" s="464" t="s">
        <v>5921</v>
      </c>
      <c r="BO25" s="464" t="s">
        <v>5921</v>
      </c>
      <c r="BP25" s="464" t="s">
        <v>5921</v>
      </c>
      <c r="BQ25" s="464">
        <v>0.49948541430556304</v>
      </c>
      <c r="BR25" s="464" t="s">
        <v>5921</v>
      </c>
      <c r="BS25" s="464" t="s">
        <v>5921</v>
      </c>
      <c r="BT25" s="464" t="s">
        <v>5921</v>
      </c>
      <c r="BU25" s="464" t="s">
        <v>5921</v>
      </c>
      <c r="BV25" s="464" t="s">
        <v>5921</v>
      </c>
      <c r="BW25" s="464" t="s">
        <v>5921</v>
      </c>
      <c r="BX25" s="464" t="s">
        <v>5921</v>
      </c>
      <c r="BY25" s="464" t="s">
        <v>5921</v>
      </c>
      <c r="BZ25" s="464" t="s">
        <v>5921</v>
      </c>
      <c r="CA25" s="464" t="s">
        <v>5921</v>
      </c>
      <c r="CB25" s="464" t="s">
        <v>5921</v>
      </c>
      <c r="CC25" s="464" t="s">
        <v>5921</v>
      </c>
      <c r="CD25" s="464" t="s">
        <v>5921</v>
      </c>
      <c r="CE25" s="464" t="s">
        <v>5921</v>
      </c>
      <c r="CF25" s="464" t="s">
        <v>5921</v>
      </c>
      <c r="CG25" s="464">
        <v>0.49948541430556304</v>
      </c>
      <c r="CH25" s="464">
        <v>-0.30147718927803069</v>
      </c>
      <c r="CI25" s="464">
        <v>6.2512376996230081</v>
      </c>
      <c r="CJ25" s="464">
        <v>290.67664872300776</v>
      </c>
      <c r="CK25" s="464">
        <v>-0.55224186763934668</v>
      </c>
      <c r="CL25" s="464">
        <v>82.834033599480577</v>
      </c>
      <c r="CM25" s="464" t="s">
        <v>892</v>
      </c>
      <c r="CN25" s="464" t="s">
        <v>893</v>
      </c>
      <c r="CO25" s="464">
        <v>-0.25914176268082983</v>
      </c>
      <c r="CP25" s="464">
        <v>0.90711964724858107</v>
      </c>
      <c r="CQ25" s="464" t="s">
        <v>539</v>
      </c>
      <c r="CR25" s="464" t="s">
        <v>5921</v>
      </c>
      <c r="CS25" s="464">
        <v>231.39509271913491</v>
      </c>
      <c r="CT25" s="464">
        <v>4.9763396319187132</v>
      </c>
      <c r="CU25" s="464">
        <v>1</v>
      </c>
      <c r="CV25" s="464" t="s">
        <v>539</v>
      </c>
      <c r="CW25" s="464" t="s">
        <v>5921</v>
      </c>
    </row>
    <row r="26" spans="1:101" x14ac:dyDescent="0.2">
      <c r="A26" s="464">
        <v>200</v>
      </c>
      <c r="B26" s="464" t="s">
        <v>972</v>
      </c>
      <c r="C26" s="464" t="s">
        <v>6646</v>
      </c>
      <c r="D26" s="464" t="s">
        <v>973</v>
      </c>
      <c r="E26" s="464">
        <v>149877418</v>
      </c>
      <c r="F26" s="464" t="s">
        <v>974</v>
      </c>
      <c r="G26" s="464" t="s">
        <v>974</v>
      </c>
      <c r="H26" s="464" t="s">
        <v>975</v>
      </c>
      <c r="I26" s="464" t="s">
        <v>976</v>
      </c>
      <c r="J26" s="464" t="s">
        <v>5951</v>
      </c>
      <c r="K26" s="464" t="s">
        <v>5950</v>
      </c>
      <c r="L26" s="464" t="s">
        <v>6376</v>
      </c>
      <c r="M26" s="464" t="s">
        <v>5949</v>
      </c>
      <c r="N26" s="464" t="s">
        <v>8470</v>
      </c>
      <c r="O26" s="464" t="s">
        <v>6173</v>
      </c>
      <c r="P26" s="464" t="s">
        <v>8448</v>
      </c>
      <c r="Q26" s="464" t="s">
        <v>6173</v>
      </c>
      <c r="R26" s="464">
        <v>300.35000000000002</v>
      </c>
      <c r="S26" s="464">
        <v>3.76</v>
      </c>
      <c r="T26" s="464">
        <v>3.5459999999999998</v>
      </c>
      <c r="U26" s="464">
        <v>51.00674810168843</v>
      </c>
      <c r="V26" s="464">
        <v>51.00674810168843</v>
      </c>
      <c r="W26" s="464">
        <v>6.79</v>
      </c>
      <c r="X26" s="464">
        <v>4.1399999999999997</v>
      </c>
      <c r="Y26" s="464" t="s">
        <v>5921</v>
      </c>
      <c r="Z26" s="464">
        <v>3.72</v>
      </c>
      <c r="AA26" s="464">
        <v>0.85740000000000005</v>
      </c>
      <c r="AB26" s="464">
        <v>3.57</v>
      </c>
      <c r="AC26" s="464">
        <v>3.12</v>
      </c>
      <c r="AD26" s="464">
        <v>3.57</v>
      </c>
      <c r="AE26" s="464">
        <v>3.87</v>
      </c>
      <c r="AF26" s="464">
        <v>7.3000000000000002E-13</v>
      </c>
      <c r="AG26" s="464" t="s">
        <v>5921</v>
      </c>
      <c r="AH26" s="464">
        <v>-10.525243466192196</v>
      </c>
      <c r="AI26" s="464" t="s">
        <v>5921</v>
      </c>
      <c r="AJ26" s="464">
        <v>-10.525243466192196</v>
      </c>
      <c r="AK26" s="464">
        <v>-16.03735</v>
      </c>
      <c r="AL26" s="464">
        <v>-6.27</v>
      </c>
      <c r="AM26" s="464">
        <v>9.84</v>
      </c>
      <c r="AN26" s="464">
        <v>3.26</v>
      </c>
      <c r="AO26" s="464" t="s">
        <v>6311</v>
      </c>
      <c r="AP26" s="464" t="s">
        <v>6311</v>
      </c>
      <c r="AQ26" s="464" t="s">
        <v>6</v>
      </c>
      <c r="AR26" s="464" t="s">
        <v>266</v>
      </c>
      <c r="AS26" s="464" t="s">
        <v>8468</v>
      </c>
      <c r="AT26" s="464" t="s">
        <v>8469</v>
      </c>
      <c r="AU26" s="464" t="s">
        <v>8450</v>
      </c>
      <c r="AV26" s="464" t="s">
        <v>8446</v>
      </c>
      <c r="AW26" s="464" t="s">
        <v>267</v>
      </c>
      <c r="AX26" s="464" t="s">
        <v>268</v>
      </c>
      <c r="AY26" s="464" t="s">
        <v>8470</v>
      </c>
      <c r="AZ26" s="464" t="s">
        <v>888</v>
      </c>
      <c r="BA26" s="464" t="s">
        <v>270</v>
      </c>
      <c r="BB26" s="464" t="s">
        <v>8374</v>
      </c>
      <c r="BC26" s="464" t="s">
        <v>889</v>
      </c>
      <c r="BD26" s="464" t="s">
        <v>272</v>
      </c>
      <c r="BE26" s="464" t="s">
        <v>272</v>
      </c>
      <c r="BF26" s="464" t="s">
        <v>890</v>
      </c>
      <c r="BG26" s="464">
        <v>3.0035000000000001E-4</v>
      </c>
      <c r="BH26" s="464">
        <v>24.028000000000002</v>
      </c>
      <c r="BI26" s="464" t="s">
        <v>5921</v>
      </c>
      <c r="BJ26" s="464">
        <v>2.9532052804243341</v>
      </c>
      <c r="BK26" s="464" t="s">
        <v>5921</v>
      </c>
      <c r="BL26" s="464" t="s">
        <v>5921</v>
      </c>
      <c r="BM26" s="464" t="s">
        <v>5921</v>
      </c>
      <c r="BN26" s="464" t="s">
        <v>5921</v>
      </c>
      <c r="BO26" s="464" t="s">
        <v>5921</v>
      </c>
      <c r="BP26" s="464" t="s">
        <v>5921</v>
      </c>
      <c r="BQ26" s="464">
        <v>2.7512060000000003</v>
      </c>
      <c r="BR26" s="464" t="s">
        <v>5921</v>
      </c>
      <c r="BS26" s="464" t="s">
        <v>5921</v>
      </c>
      <c r="BT26" s="464" t="s">
        <v>5921</v>
      </c>
      <c r="BU26" s="464" t="s">
        <v>5921</v>
      </c>
      <c r="BV26" s="464" t="s">
        <v>5921</v>
      </c>
      <c r="BW26" s="464" t="s">
        <v>5921</v>
      </c>
      <c r="BX26" s="464" t="s">
        <v>5921</v>
      </c>
      <c r="BY26" s="464" t="s">
        <v>5921</v>
      </c>
      <c r="BZ26" s="464" t="s">
        <v>5921</v>
      </c>
      <c r="CA26" s="464" t="s">
        <v>5921</v>
      </c>
      <c r="CB26" s="464" t="s">
        <v>5921</v>
      </c>
      <c r="CC26" s="464" t="s">
        <v>5921</v>
      </c>
      <c r="CD26" s="464" t="s">
        <v>5921</v>
      </c>
      <c r="CE26" s="464" t="s">
        <v>5921</v>
      </c>
      <c r="CF26" s="464" t="s">
        <v>5921</v>
      </c>
      <c r="CG26" s="464">
        <v>2.7512060000000003</v>
      </c>
      <c r="CH26" s="464">
        <v>0.43952310995122446</v>
      </c>
      <c r="CI26" s="464">
        <v>0.12290682871751014</v>
      </c>
      <c r="CJ26" s="464">
        <v>1.0734220848690843</v>
      </c>
      <c r="CK26" s="464">
        <v>-0.23657200643706283</v>
      </c>
      <c r="CL26" s="464">
        <v>41.427586206896564</v>
      </c>
      <c r="CM26" s="464" t="s">
        <v>892</v>
      </c>
      <c r="CN26" s="464" t="s">
        <v>893</v>
      </c>
      <c r="CO26" s="464">
        <v>-0.1778792070781357</v>
      </c>
      <c r="CP26" s="464">
        <v>4.1438336905882318</v>
      </c>
      <c r="CQ26" s="464" t="s">
        <v>539</v>
      </c>
      <c r="CR26" s="464" t="s">
        <v>5921</v>
      </c>
      <c r="CS26" s="464">
        <v>18.539777865302863</v>
      </c>
      <c r="CT26" s="464">
        <v>2.1228045655771779</v>
      </c>
      <c r="CU26" s="464">
        <v>1</v>
      </c>
      <c r="CV26" s="464" t="s">
        <v>539</v>
      </c>
      <c r="CW26" s="464" t="s">
        <v>5921</v>
      </c>
    </row>
    <row r="27" spans="1:101" x14ac:dyDescent="0.2">
      <c r="A27" s="464">
        <v>202</v>
      </c>
      <c r="B27" s="464" t="s">
        <v>977</v>
      </c>
      <c r="C27" s="464" t="s">
        <v>6447</v>
      </c>
      <c r="D27" s="464" t="s">
        <v>978</v>
      </c>
      <c r="E27" s="464">
        <v>80057</v>
      </c>
      <c r="F27" s="464" t="s">
        <v>979</v>
      </c>
      <c r="G27" s="464" t="s">
        <v>979</v>
      </c>
      <c r="H27" s="464" t="s">
        <v>980</v>
      </c>
      <c r="I27" s="464" t="s">
        <v>376</v>
      </c>
      <c r="J27" s="464" t="s">
        <v>5492</v>
      </c>
      <c r="K27" s="464" t="s">
        <v>602</v>
      </c>
      <c r="L27" s="464" t="s">
        <v>6386</v>
      </c>
      <c r="M27" s="464" t="s">
        <v>981</v>
      </c>
      <c r="N27" s="464" t="s">
        <v>5921</v>
      </c>
      <c r="O27" s="464" t="s">
        <v>5921</v>
      </c>
      <c r="P27" s="464" t="s">
        <v>5921</v>
      </c>
      <c r="Q27" s="464" t="s">
        <v>5921</v>
      </c>
      <c r="R27" s="464">
        <v>228.29</v>
      </c>
      <c r="S27" s="464">
        <v>119.99999999999999</v>
      </c>
      <c r="T27" s="464">
        <v>172.7</v>
      </c>
      <c r="U27" s="464">
        <v>88.815116150744203</v>
      </c>
      <c r="V27" s="464">
        <v>88.815116150744203</v>
      </c>
      <c r="W27" s="464">
        <v>6.76</v>
      </c>
      <c r="X27" s="464">
        <v>3.64</v>
      </c>
      <c r="Y27" s="464">
        <v>3.32</v>
      </c>
      <c r="Z27" s="464">
        <v>3.73</v>
      </c>
      <c r="AA27" s="464">
        <v>0.77510000000000001</v>
      </c>
      <c r="AB27" s="464">
        <v>3.63</v>
      </c>
      <c r="AC27" s="464">
        <v>3.43</v>
      </c>
      <c r="AD27" s="464">
        <v>3.32</v>
      </c>
      <c r="AE27" s="464">
        <v>3.7</v>
      </c>
      <c r="AF27" s="464">
        <v>9.1600000000000006E-12</v>
      </c>
      <c r="AG27" s="464" t="s">
        <v>5921</v>
      </c>
      <c r="AH27" s="464">
        <v>-9.4266708526448006</v>
      </c>
      <c r="AI27" s="464" t="s">
        <v>5921</v>
      </c>
      <c r="AJ27" s="464">
        <v>-9.4266708526448006</v>
      </c>
      <c r="AK27" s="464">
        <v>-13.641390000000001</v>
      </c>
      <c r="AL27" s="464">
        <v>-10.199999999999999</v>
      </c>
      <c r="AM27" s="464">
        <v>10.29</v>
      </c>
      <c r="AN27" s="464" t="s">
        <v>5921</v>
      </c>
      <c r="AO27" s="464" t="s">
        <v>6311</v>
      </c>
      <c r="AP27" s="464" t="s">
        <v>6311</v>
      </c>
      <c r="AQ27" s="464" t="s">
        <v>6</v>
      </c>
      <c r="AR27" s="464" t="s">
        <v>266</v>
      </c>
      <c r="AS27" s="464" t="s">
        <v>8468</v>
      </c>
      <c r="AT27" s="464" t="s">
        <v>8469</v>
      </c>
      <c r="AU27" s="464" t="s">
        <v>8450</v>
      </c>
      <c r="AV27" s="464" t="s">
        <v>8446</v>
      </c>
      <c r="AW27" s="464" t="s">
        <v>267</v>
      </c>
      <c r="AX27" s="464" t="s">
        <v>268</v>
      </c>
      <c r="AY27" s="464" t="s">
        <v>8453</v>
      </c>
      <c r="AZ27" s="464" t="s">
        <v>888</v>
      </c>
      <c r="BA27" s="464" t="s">
        <v>270</v>
      </c>
      <c r="BB27" s="464" t="s">
        <v>8374</v>
      </c>
      <c r="BC27" s="464" t="s">
        <v>889</v>
      </c>
      <c r="BD27" s="464" t="s">
        <v>272</v>
      </c>
      <c r="BE27" s="464" t="s">
        <v>272</v>
      </c>
      <c r="BF27" s="464" t="s">
        <v>890</v>
      </c>
      <c r="BG27" s="464">
        <v>2.2828999999999997E-4</v>
      </c>
      <c r="BH27" s="464">
        <v>18.263200000000001</v>
      </c>
      <c r="BI27" s="464" t="s">
        <v>5921</v>
      </c>
      <c r="BJ27" s="464">
        <v>6.3125217586499822</v>
      </c>
      <c r="BK27" s="464" t="s">
        <v>5921</v>
      </c>
      <c r="BL27" s="464" t="s">
        <v>5921</v>
      </c>
      <c r="BM27" s="464" t="s">
        <v>5921</v>
      </c>
      <c r="BN27" s="464" t="s">
        <v>5921</v>
      </c>
      <c r="BO27" s="464" t="s">
        <v>5921</v>
      </c>
      <c r="BP27" s="464" t="s">
        <v>5921</v>
      </c>
      <c r="BQ27" s="464">
        <v>10.538989985853483</v>
      </c>
      <c r="BR27" s="464" t="s">
        <v>5921</v>
      </c>
      <c r="BS27" s="464" t="s">
        <v>5921</v>
      </c>
      <c r="BT27" s="464" t="s">
        <v>5921</v>
      </c>
      <c r="BU27" s="464" t="s">
        <v>5921</v>
      </c>
      <c r="BV27" s="464" t="s">
        <v>5921</v>
      </c>
      <c r="BW27" s="464" t="s">
        <v>5921</v>
      </c>
      <c r="BX27" s="464" t="s">
        <v>5921</v>
      </c>
      <c r="BY27" s="464" t="s">
        <v>5921</v>
      </c>
      <c r="BZ27" s="464" t="s">
        <v>5921</v>
      </c>
      <c r="CA27" s="464" t="s">
        <v>5921</v>
      </c>
      <c r="CB27" s="464" t="s">
        <v>5921</v>
      </c>
      <c r="CC27" s="464" t="s">
        <v>5921</v>
      </c>
      <c r="CD27" s="464" t="s">
        <v>5921</v>
      </c>
      <c r="CE27" s="464" t="s">
        <v>5921</v>
      </c>
      <c r="CF27" s="464" t="s">
        <v>5921</v>
      </c>
      <c r="CG27" s="464">
        <v>10.538989985853483</v>
      </c>
      <c r="CH27" s="464">
        <v>1.0227989918453402</v>
      </c>
      <c r="CI27" s="464">
        <v>0.34564160490220674</v>
      </c>
      <c r="CJ27" s="464">
        <v>0.59896837999877584</v>
      </c>
      <c r="CK27" s="464">
        <v>0.66742784480864559</v>
      </c>
      <c r="CL27" s="464">
        <v>3.9277969655743687</v>
      </c>
      <c r="CM27" s="464" t="s">
        <v>892</v>
      </c>
      <c r="CN27" s="464" t="s">
        <v>893</v>
      </c>
      <c r="CO27" s="464">
        <v>0.76399462909803484</v>
      </c>
      <c r="CP27" s="464">
        <v>1.8146980090300764</v>
      </c>
      <c r="CQ27" s="464" t="s">
        <v>539</v>
      </c>
      <c r="CR27" s="464" t="s">
        <v>5921</v>
      </c>
      <c r="CS27" s="464">
        <v>8.4272891681234157</v>
      </c>
      <c r="CT27" s="464">
        <v>4.8630643124285005</v>
      </c>
      <c r="CU27" s="464">
        <v>1</v>
      </c>
      <c r="CV27" s="464" t="s">
        <v>539</v>
      </c>
      <c r="CW27" s="464" t="s">
        <v>6351</v>
      </c>
    </row>
    <row r="28" spans="1:101" x14ac:dyDescent="0.2">
      <c r="A28" s="464">
        <v>206</v>
      </c>
      <c r="B28" s="464" t="s">
        <v>987</v>
      </c>
      <c r="C28" s="464" t="s">
        <v>6493</v>
      </c>
      <c r="D28" s="464" t="s">
        <v>988</v>
      </c>
      <c r="E28" s="464">
        <v>1689845</v>
      </c>
      <c r="F28" s="464" t="s">
        <v>989</v>
      </c>
      <c r="G28" s="464" t="s">
        <v>8319</v>
      </c>
      <c r="H28" s="464" t="s">
        <v>990</v>
      </c>
      <c r="I28" s="464" t="s">
        <v>349</v>
      </c>
      <c r="J28" s="464" t="s">
        <v>5248</v>
      </c>
      <c r="K28" s="464" t="s">
        <v>991</v>
      </c>
      <c r="L28" s="464" t="s">
        <v>6381</v>
      </c>
      <c r="M28" s="464" t="s">
        <v>992</v>
      </c>
      <c r="N28" s="464" t="s">
        <v>8470</v>
      </c>
      <c r="O28" s="464" t="s">
        <v>6173</v>
      </c>
      <c r="P28" s="464" t="s">
        <v>8448</v>
      </c>
      <c r="Q28" s="464" t="s">
        <v>6173</v>
      </c>
      <c r="R28" s="464">
        <v>276.91000000000003</v>
      </c>
      <c r="S28" s="464">
        <v>130</v>
      </c>
      <c r="T28" s="464">
        <v>43.87</v>
      </c>
      <c r="U28" s="464">
        <v>210.05771630133103</v>
      </c>
      <c r="V28" s="464">
        <v>210.05771630133103</v>
      </c>
      <c r="W28" s="464">
        <v>3.98</v>
      </c>
      <c r="X28" s="464">
        <v>3.39</v>
      </c>
      <c r="Y28" s="464" t="s">
        <v>5921</v>
      </c>
      <c r="Z28" s="464">
        <v>3.19</v>
      </c>
      <c r="AA28" s="464">
        <v>0.87050000000000005</v>
      </c>
      <c r="AB28" s="464">
        <v>3.14</v>
      </c>
      <c r="AC28" s="464">
        <v>2.95</v>
      </c>
      <c r="AD28" s="464">
        <v>3.14</v>
      </c>
      <c r="AE28" s="464">
        <v>2.88</v>
      </c>
      <c r="AF28" s="464">
        <v>8.6000000000000003E-10</v>
      </c>
      <c r="AG28" s="464">
        <v>1.3200000000000001E-10</v>
      </c>
      <c r="AH28" s="464">
        <v>-7.4540678750690841</v>
      </c>
      <c r="AI28" s="464">
        <v>-8.267992395106802</v>
      </c>
      <c r="AJ28" s="464">
        <v>-8.267992395106802</v>
      </c>
      <c r="AK28" s="464">
        <v>-8.8538800000000002</v>
      </c>
      <c r="AL28" s="464">
        <v>-5.6</v>
      </c>
      <c r="AM28" s="464">
        <v>4.78</v>
      </c>
      <c r="AN28" s="464" t="s">
        <v>5921</v>
      </c>
      <c r="AO28" s="464" t="s">
        <v>6311</v>
      </c>
      <c r="AP28" s="464" t="s">
        <v>6311</v>
      </c>
      <c r="AQ28" s="464" t="s">
        <v>6</v>
      </c>
      <c r="AR28" s="464" t="s">
        <v>266</v>
      </c>
      <c r="AS28" s="464" t="s">
        <v>8468</v>
      </c>
      <c r="AT28" s="464" t="s">
        <v>8469</v>
      </c>
      <c r="AU28" s="464" t="s">
        <v>8450</v>
      </c>
      <c r="AV28" s="464" t="s">
        <v>8446</v>
      </c>
      <c r="AW28" s="464" t="s">
        <v>267</v>
      </c>
      <c r="AX28" s="464" t="s">
        <v>268</v>
      </c>
      <c r="AY28" s="464" t="s">
        <v>8453</v>
      </c>
      <c r="AZ28" s="464" t="s">
        <v>888</v>
      </c>
      <c r="BA28" s="464" t="s">
        <v>270</v>
      </c>
      <c r="BB28" s="464" t="s">
        <v>8374</v>
      </c>
      <c r="BC28" s="464" t="s">
        <v>889</v>
      </c>
      <c r="BD28" s="464" t="s">
        <v>272</v>
      </c>
      <c r="BE28" s="464" t="s">
        <v>272</v>
      </c>
      <c r="BF28" s="464" t="s">
        <v>890</v>
      </c>
      <c r="BG28" s="464">
        <v>2.7691E-4</v>
      </c>
      <c r="BH28" s="464">
        <v>22.152800000000003</v>
      </c>
      <c r="BI28" s="464" t="s">
        <v>5921</v>
      </c>
      <c r="BJ28" s="464">
        <v>12.840432128958261</v>
      </c>
      <c r="BK28" s="464" t="s">
        <v>5921</v>
      </c>
      <c r="BL28" s="464" t="s">
        <v>5921</v>
      </c>
      <c r="BM28" s="464" t="s">
        <v>5921</v>
      </c>
      <c r="BN28" s="464" t="s">
        <v>5921</v>
      </c>
      <c r="BO28" s="464" t="s">
        <v>5921</v>
      </c>
      <c r="BP28" s="464" t="s">
        <v>5921</v>
      </c>
      <c r="BQ28" s="464">
        <v>4.2590450394202133</v>
      </c>
      <c r="BR28" s="464" t="s">
        <v>5921</v>
      </c>
      <c r="BS28" s="464" t="s">
        <v>5921</v>
      </c>
      <c r="BT28" s="464" t="s">
        <v>5921</v>
      </c>
      <c r="BU28" s="464" t="s">
        <v>5921</v>
      </c>
      <c r="BV28" s="464" t="s">
        <v>5921</v>
      </c>
      <c r="BW28" s="464" t="s">
        <v>5921</v>
      </c>
      <c r="BX28" s="464" t="s">
        <v>5921</v>
      </c>
      <c r="BY28" s="464" t="s">
        <v>5921</v>
      </c>
      <c r="BZ28" s="464" t="s">
        <v>5921</v>
      </c>
      <c r="CA28" s="464" t="s">
        <v>5921</v>
      </c>
      <c r="CB28" s="464" t="s">
        <v>5921</v>
      </c>
      <c r="CC28" s="464" t="s">
        <v>5921</v>
      </c>
      <c r="CD28" s="464" t="s">
        <v>5921</v>
      </c>
      <c r="CE28" s="464" t="s">
        <v>5921</v>
      </c>
      <c r="CF28" s="464" t="s">
        <v>5921</v>
      </c>
      <c r="CG28" s="464">
        <v>4.2590450394202133</v>
      </c>
      <c r="CH28" s="464">
        <v>0.6293122327641083</v>
      </c>
      <c r="CI28" s="464">
        <v>0.57963021058097663</v>
      </c>
      <c r="CJ28" s="464">
        <v>3.014861784769066</v>
      </c>
      <c r="CK28" s="464">
        <v>0.7877093956071799</v>
      </c>
      <c r="CL28" s="464">
        <v>3.6117628866508702</v>
      </c>
      <c r="CM28" s="464" t="s">
        <v>892</v>
      </c>
      <c r="CN28" s="464" t="s">
        <v>893</v>
      </c>
      <c r="CO28" s="464">
        <v>0.97765532375296005</v>
      </c>
      <c r="CP28" s="464">
        <v>0.44839102277468473</v>
      </c>
      <c r="CQ28" s="464" t="s">
        <v>539</v>
      </c>
      <c r="CR28" s="464" t="s">
        <v>5921</v>
      </c>
      <c r="CS28" s="464">
        <v>49.320379182918039</v>
      </c>
      <c r="CT28" s="464">
        <v>9.4822196878647844</v>
      </c>
      <c r="CU28" s="464">
        <v>1</v>
      </c>
      <c r="CV28" s="464" t="s">
        <v>539</v>
      </c>
      <c r="CW28" s="464" t="s">
        <v>5921</v>
      </c>
    </row>
    <row r="29" spans="1:101" x14ac:dyDescent="0.2">
      <c r="A29" s="464">
        <v>209</v>
      </c>
      <c r="B29" s="464" t="s">
        <v>1002</v>
      </c>
      <c r="C29" s="464" t="s">
        <v>6585</v>
      </c>
      <c r="D29" s="464" t="s">
        <v>1003</v>
      </c>
      <c r="E29" s="464">
        <v>134605644</v>
      </c>
      <c r="F29" s="464" t="s">
        <v>1004</v>
      </c>
      <c r="G29" s="464" t="s">
        <v>7783</v>
      </c>
      <c r="H29" s="464" t="s">
        <v>1005</v>
      </c>
      <c r="I29" s="464" t="s">
        <v>1006</v>
      </c>
      <c r="J29" s="464" t="s">
        <v>5955</v>
      </c>
      <c r="K29" s="464" t="s">
        <v>5956</v>
      </c>
      <c r="L29" s="464" t="s">
        <v>6385</v>
      </c>
      <c r="M29" s="464" t="s">
        <v>5957</v>
      </c>
      <c r="N29" s="464" t="s">
        <v>5921</v>
      </c>
      <c r="O29" s="464" t="s">
        <v>5921</v>
      </c>
      <c r="P29" s="464" t="s">
        <v>5921</v>
      </c>
      <c r="Q29" s="464" t="s">
        <v>5921</v>
      </c>
      <c r="R29" s="464">
        <v>474.81</v>
      </c>
      <c r="S29" s="464" t="s">
        <v>5921</v>
      </c>
      <c r="T29" s="464">
        <v>2.5579999999999998</v>
      </c>
      <c r="U29" s="464">
        <v>0.88413759335889419</v>
      </c>
      <c r="V29" s="464">
        <v>0.88413759335889419</v>
      </c>
      <c r="W29" s="464">
        <v>7</v>
      </c>
      <c r="X29" s="464">
        <v>3.05</v>
      </c>
      <c r="Y29" s="464" t="s">
        <v>5921</v>
      </c>
      <c r="Z29" s="464">
        <v>3.65</v>
      </c>
      <c r="AA29" s="464">
        <v>0.56579999999999997</v>
      </c>
      <c r="AB29" s="464">
        <v>3.64</v>
      </c>
      <c r="AC29" s="464">
        <v>3.63</v>
      </c>
      <c r="AD29" s="464">
        <v>3.64</v>
      </c>
      <c r="AE29" s="464">
        <v>4.2300000000000004</v>
      </c>
      <c r="AF29" s="464">
        <v>2.2499999999999999E-12</v>
      </c>
      <c r="AG29" s="464" t="s">
        <v>5921</v>
      </c>
      <c r="AH29" s="464">
        <v>-10.03638380820129</v>
      </c>
      <c r="AI29" s="464" t="s">
        <v>5921</v>
      </c>
      <c r="AJ29" s="464">
        <v>-10.03638380820129</v>
      </c>
      <c r="AK29" s="464">
        <v>-17.98612</v>
      </c>
      <c r="AL29" s="464">
        <v>-11.3</v>
      </c>
      <c r="AM29" s="464" t="s">
        <v>5921</v>
      </c>
      <c r="AN29" s="464">
        <v>-4.21</v>
      </c>
      <c r="AO29" s="464" t="s">
        <v>6311</v>
      </c>
      <c r="AP29" s="464" t="s">
        <v>6312</v>
      </c>
      <c r="AQ29" s="464" t="s">
        <v>63</v>
      </c>
      <c r="AR29" s="464" t="s">
        <v>266</v>
      </c>
      <c r="AS29" s="464" t="s">
        <v>8468</v>
      </c>
      <c r="AT29" s="464" t="s">
        <v>8469</v>
      </c>
      <c r="AU29" s="464" t="s">
        <v>8450</v>
      </c>
      <c r="AV29" s="464" t="s">
        <v>8446</v>
      </c>
      <c r="AW29" s="464" t="s">
        <v>267</v>
      </c>
      <c r="AX29" s="464" t="s">
        <v>268</v>
      </c>
      <c r="AY29" s="464" t="s">
        <v>8453</v>
      </c>
      <c r="AZ29" s="464" t="s">
        <v>888</v>
      </c>
      <c r="BA29" s="464" t="s">
        <v>270</v>
      </c>
      <c r="BB29" s="464" t="s">
        <v>8374</v>
      </c>
      <c r="BC29" s="464" t="s">
        <v>889</v>
      </c>
      <c r="BD29" s="464" t="s">
        <v>272</v>
      </c>
      <c r="BE29" s="464" t="s">
        <v>272</v>
      </c>
      <c r="BF29" s="464" t="s">
        <v>890</v>
      </c>
      <c r="BG29" s="464">
        <v>4.7480999999999999E-4</v>
      </c>
      <c r="BH29" s="464">
        <v>37.9848</v>
      </c>
      <c r="BI29" s="464" t="s">
        <v>5921</v>
      </c>
      <c r="BJ29" s="464">
        <v>44.474887385033405</v>
      </c>
      <c r="BK29" s="464" t="s">
        <v>5921</v>
      </c>
      <c r="BL29" s="464" t="s">
        <v>5921</v>
      </c>
      <c r="BM29" s="464" t="s">
        <v>5921</v>
      </c>
      <c r="BN29" s="464" t="s">
        <v>5921</v>
      </c>
      <c r="BO29" s="464" t="s">
        <v>5921</v>
      </c>
      <c r="BP29" s="464" t="s">
        <v>5921</v>
      </c>
      <c r="BQ29" s="464">
        <v>3.2895801757671147E-3</v>
      </c>
      <c r="BR29" s="464" t="s">
        <v>5921</v>
      </c>
      <c r="BS29" s="464" t="s">
        <v>5921</v>
      </c>
      <c r="BT29" s="464" t="s">
        <v>5921</v>
      </c>
      <c r="BU29" s="464" t="s">
        <v>5921</v>
      </c>
      <c r="BV29" s="464" t="s">
        <v>5921</v>
      </c>
      <c r="BW29" s="464" t="s">
        <v>5921</v>
      </c>
      <c r="BX29" s="464" t="s">
        <v>5921</v>
      </c>
      <c r="BY29" s="464" t="s">
        <v>5921</v>
      </c>
      <c r="BZ29" s="464" t="s">
        <v>5921</v>
      </c>
      <c r="CA29" s="464" t="s">
        <v>5921</v>
      </c>
      <c r="CB29" s="464" t="s">
        <v>5921</v>
      </c>
      <c r="CC29" s="464" t="s">
        <v>5921</v>
      </c>
      <c r="CD29" s="464" t="s">
        <v>5921</v>
      </c>
      <c r="CE29" s="464" t="s">
        <v>5921</v>
      </c>
      <c r="CF29" s="464" t="s">
        <v>5921</v>
      </c>
      <c r="CG29" s="464">
        <v>3.2895801757671147E-3</v>
      </c>
      <c r="CH29" s="464">
        <v>-2.4828595242329272</v>
      </c>
      <c r="CI29" s="464">
        <v>1.1708601173372877</v>
      </c>
      <c r="CJ29" s="464">
        <v>13519.928078561596</v>
      </c>
      <c r="CK29" s="464">
        <v>0.59106460702649899</v>
      </c>
      <c r="CL29" s="464">
        <v>9.7396923076923105</v>
      </c>
      <c r="CM29" s="464" t="s">
        <v>892</v>
      </c>
      <c r="CN29" s="464" t="s">
        <v>893</v>
      </c>
      <c r="CO29" s="464">
        <v>0.59106460702649921</v>
      </c>
      <c r="CP29" s="464">
        <v>8.4348209635054213E-4</v>
      </c>
      <c r="CQ29" s="464" t="s">
        <v>539</v>
      </c>
      <c r="CR29" s="464" t="s">
        <v>5921</v>
      </c>
      <c r="CS29" s="464">
        <v>268.76912740171088</v>
      </c>
      <c r="CT29" s="464">
        <v>2.3276089208285795E-2</v>
      </c>
      <c r="CU29" s="464">
        <v>1</v>
      </c>
      <c r="CV29" s="464" t="s">
        <v>539</v>
      </c>
      <c r="CW29" s="464" t="s">
        <v>6351</v>
      </c>
    </row>
    <row r="30" spans="1:101" x14ac:dyDescent="0.2">
      <c r="A30" s="464">
        <v>213</v>
      </c>
      <c r="B30" s="464" t="s">
        <v>1012</v>
      </c>
      <c r="C30" s="464" t="s">
        <v>6736</v>
      </c>
      <c r="D30" s="464" t="s">
        <v>1013</v>
      </c>
      <c r="E30" s="464">
        <v>2939802</v>
      </c>
      <c r="F30" s="464" t="s">
        <v>1014</v>
      </c>
      <c r="G30" s="464" t="s">
        <v>7880</v>
      </c>
      <c r="H30" s="464" t="s">
        <v>1015</v>
      </c>
      <c r="I30" s="464" t="s">
        <v>1016</v>
      </c>
      <c r="J30" s="464" t="s">
        <v>5929</v>
      </c>
      <c r="K30" s="464" t="s">
        <v>6073</v>
      </c>
      <c r="L30" s="464" t="s">
        <v>6082</v>
      </c>
      <c r="M30" s="464" t="s">
        <v>6083</v>
      </c>
      <c r="N30" s="464" t="s">
        <v>5921</v>
      </c>
      <c r="O30" s="464" t="s">
        <v>5921</v>
      </c>
      <c r="P30" s="464" t="s">
        <v>5921</v>
      </c>
      <c r="Q30" s="464" t="s">
        <v>5921</v>
      </c>
      <c r="R30" s="464">
        <v>349.06</v>
      </c>
      <c r="S30" s="464">
        <v>1.3999999999999997</v>
      </c>
      <c r="T30" s="464">
        <v>3.5689999999999995</v>
      </c>
      <c r="U30" s="464">
        <v>1.2968808706865911</v>
      </c>
      <c r="V30" s="464">
        <v>1.2968808706865911</v>
      </c>
      <c r="W30" s="464">
        <v>7</v>
      </c>
      <c r="X30" s="464">
        <v>3.42</v>
      </c>
      <c r="Y30" s="464">
        <v>3.8</v>
      </c>
      <c r="Z30" s="464">
        <v>3.37</v>
      </c>
      <c r="AA30" s="464">
        <v>0.81399999999999995</v>
      </c>
      <c r="AB30" s="464">
        <v>3.12</v>
      </c>
      <c r="AC30" s="464">
        <v>2.4</v>
      </c>
      <c r="AD30" s="464">
        <v>3.8</v>
      </c>
      <c r="AE30" s="464">
        <v>2.95</v>
      </c>
      <c r="AF30" s="464">
        <v>2.1499999999999998E-9</v>
      </c>
      <c r="AG30" s="464">
        <v>4.9200000000000004E-9</v>
      </c>
      <c r="AH30" s="464">
        <v>-7.0561278663970466</v>
      </c>
      <c r="AI30" s="464">
        <v>-6.6966012235452919</v>
      </c>
      <c r="AJ30" s="464">
        <v>-6.6966012235452919</v>
      </c>
      <c r="AK30" s="464">
        <v>-14.13646</v>
      </c>
      <c r="AL30" s="464">
        <v>-7.96</v>
      </c>
      <c r="AM30" s="464" t="s">
        <v>5921</v>
      </c>
      <c r="AN30" s="464">
        <v>-2.67</v>
      </c>
      <c r="AO30" s="464" t="s">
        <v>6311</v>
      </c>
      <c r="AP30" s="464" t="s">
        <v>6311</v>
      </c>
      <c r="AQ30" s="464" t="s">
        <v>6</v>
      </c>
      <c r="AR30" s="464" t="s">
        <v>266</v>
      </c>
      <c r="AS30" s="464" t="s">
        <v>8468</v>
      </c>
      <c r="AT30" s="464" t="s">
        <v>8469</v>
      </c>
      <c r="AU30" s="464" t="s">
        <v>8450</v>
      </c>
      <c r="AV30" s="464" t="s">
        <v>8446</v>
      </c>
      <c r="AW30" s="464" t="s">
        <v>267</v>
      </c>
      <c r="AX30" s="464" t="s">
        <v>268</v>
      </c>
      <c r="AY30" s="464" t="s">
        <v>8453</v>
      </c>
      <c r="AZ30" s="464" t="s">
        <v>888</v>
      </c>
      <c r="BA30" s="464" t="s">
        <v>270</v>
      </c>
      <c r="BB30" s="464" t="s">
        <v>8374</v>
      </c>
      <c r="BC30" s="464" t="s">
        <v>889</v>
      </c>
      <c r="BD30" s="464" t="s">
        <v>272</v>
      </c>
      <c r="BE30" s="464" t="s">
        <v>272</v>
      </c>
      <c r="BF30" s="464" t="s">
        <v>890</v>
      </c>
      <c r="BG30" s="464">
        <v>3.4906E-4</v>
      </c>
      <c r="BH30" s="464">
        <v>27.924800000000001</v>
      </c>
      <c r="BI30" s="464" t="s">
        <v>5921</v>
      </c>
      <c r="BJ30" s="464">
        <v>15.212412188772467</v>
      </c>
      <c r="BK30" s="464" t="s">
        <v>5921</v>
      </c>
      <c r="BL30" s="464" t="s">
        <v>5921</v>
      </c>
      <c r="BM30" s="464" t="s">
        <v>5921</v>
      </c>
      <c r="BN30" s="464" t="s">
        <v>5921</v>
      </c>
      <c r="BO30" s="464" t="s">
        <v>5921</v>
      </c>
      <c r="BP30" s="464" t="s">
        <v>5921</v>
      </c>
      <c r="BQ30" s="464">
        <v>0.60054553154277979</v>
      </c>
      <c r="BR30" s="464" t="s">
        <v>5921</v>
      </c>
      <c r="BS30" s="464" t="s">
        <v>5921</v>
      </c>
      <c r="BT30" s="464" t="s">
        <v>5921</v>
      </c>
      <c r="BU30" s="464" t="s">
        <v>5921</v>
      </c>
      <c r="BV30" s="464" t="s">
        <v>5921</v>
      </c>
      <c r="BW30" s="464" t="s">
        <v>5921</v>
      </c>
      <c r="BX30" s="464" t="s">
        <v>5921</v>
      </c>
      <c r="BY30" s="464" t="s">
        <v>5921</v>
      </c>
      <c r="BZ30" s="464" t="s">
        <v>5921</v>
      </c>
      <c r="CA30" s="464" t="s">
        <v>5921</v>
      </c>
      <c r="CB30" s="464" t="s">
        <v>5921</v>
      </c>
      <c r="CC30" s="464" t="s">
        <v>5921</v>
      </c>
      <c r="CD30" s="464" t="s">
        <v>5921</v>
      </c>
      <c r="CE30" s="464" t="s">
        <v>5921</v>
      </c>
      <c r="CF30" s="464" t="s">
        <v>5921</v>
      </c>
      <c r="CG30" s="464">
        <v>0.60054553154277979</v>
      </c>
      <c r="CH30" s="464">
        <v>-0.22145406012093066</v>
      </c>
      <c r="CI30" s="464">
        <v>0.54476351446644078</v>
      </c>
      <c r="CJ30" s="464">
        <v>25.330988892203276</v>
      </c>
      <c r="CK30" s="464">
        <v>-1.0148584283774775</v>
      </c>
      <c r="CL30" s="464">
        <v>288.96716668441286</v>
      </c>
      <c r="CM30" s="464" t="s">
        <v>892</v>
      </c>
      <c r="CN30" s="464" t="s">
        <v>893</v>
      </c>
      <c r="CO30" s="464">
        <v>-0.82759508113974289</v>
      </c>
      <c r="CP30" s="464">
        <v>4.0377648311417662</v>
      </c>
      <c r="CQ30" s="464" t="s">
        <v>539</v>
      </c>
      <c r="CR30" s="464" t="s">
        <v>5921</v>
      </c>
      <c r="CS30" s="464">
        <v>2.1595046546345138</v>
      </c>
      <c r="CT30" s="464">
        <v>4.6441903637146585E-2</v>
      </c>
      <c r="CU30" s="464">
        <v>1</v>
      </c>
      <c r="CV30" s="464" t="s">
        <v>539</v>
      </c>
      <c r="CW30" s="464" t="s">
        <v>5921</v>
      </c>
    </row>
    <row r="31" spans="1:101" x14ac:dyDescent="0.2">
      <c r="A31" s="464">
        <v>214</v>
      </c>
      <c r="B31" s="464" t="s">
        <v>1017</v>
      </c>
      <c r="C31" s="464" t="s">
        <v>6477</v>
      </c>
      <c r="D31" s="464" t="s">
        <v>1018</v>
      </c>
      <c r="E31" s="464">
        <v>133062</v>
      </c>
      <c r="F31" s="464" t="s">
        <v>1019</v>
      </c>
      <c r="G31" s="464" t="s">
        <v>7879</v>
      </c>
      <c r="H31" s="464" t="s">
        <v>1020</v>
      </c>
      <c r="I31" s="464" t="s">
        <v>1016</v>
      </c>
      <c r="J31" s="464" t="s">
        <v>5929</v>
      </c>
      <c r="K31" s="464" t="s">
        <v>6073</v>
      </c>
      <c r="L31" s="464" t="s">
        <v>6082</v>
      </c>
      <c r="M31" s="464" t="s">
        <v>6083</v>
      </c>
      <c r="N31" s="464" t="s">
        <v>5921</v>
      </c>
      <c r="O31" s="464" t="s">
        <v>5921</v>
      </c>
      <c r="P31" s="464" t="s">
        <v>5921</v>
      </c>
      <c r="Q31" s="464" t="s">
        <v>5921</v>
      </c>
      <c r="R31" s="464">
        <v>300.58999999999997</v>
      </c>
      <c r="S31" s="464">
        <v>5.0999999999999996</v>
      </c>
      <c r="T31" s="464">
        <v>49.49</v>
      </c>
      <c r="U31" s="464">
        <v>5.4698388108957436</v>
      </c>
      <c r="V31" s="464">
        <v>5.4698388108957436</v>
      </c>
      <c r="W31" s="464">
        <v>7</v>
      </c>
      <c r="X31" s="464">
        <v>2.74</v>
      </c>
      <c r="Y31" s="464">
        <v>2.8</v>
      </c>
      <c r="Z31" s="464">
        <v>2.35</v>
      </c>
      <c r="AA31" s="464">
        <v>0.74490000000000001</v>
      </c>
      <c r="AB31" s="464">
        <v>2.19</v>
      </c>
      <c r="AC31" s="464">
        <v>1.85</v>
      </c>
      <c r="AD31" s="464">
        <v>2.8</v>
      </c>
      <c r="AE31" s="464">
        <v>2.33</v>
      </c>
      <c r="AF31" s="464">
        <v>4.5900000000000001E-9</v>
      </c>
      <c r="AG31" s="464">
        <v>6.9999999999999998E-9</v>
      </c>
      <c r="AH31" s="464">
        <v>-6.7267536407753905</v>
      </c>
      <c r="AI31" s="464">
        <v>-6.5434682862983946</v>
      </c>
      <c r="AJ31" s="464">
        <v>-6.5434682862983946</v>
      </c>
      <c r="AK31" s="464">
        <v>-12.354499999999998</v>
      </c>
      <c r="AL31" s="464">
        <v>-6.93</v>
      </c>
      <c r="AM31" s="464" t="s">
        <v>5921</v>
      </c>
      <c r="AN31" s="464">
        <v>-2.68</v>
      </c>
      <c r="AO31" s="464" t="s">
        <v>6311</v>
      </c>
      <c r="AP31" s="464" t="s">
        <v>6311</v>
      </c>
      <c r="AQ31" s="464" t="s">
        <v>6</v>
      </c>
      <c r="AR31" s="464" t="s">
        <v>266</v>
      </c>
      <c r="AS31" s="464" t="s">
        <v>8468</v>
      </c>
      <c r="AT31" s="464" t="s">
        <v>8469</v>
      </c>
      <c r="AU31" s="464" t="s">
        <v>8450</v>
      </c>
      <c r="AV31" s="464" t="s">
        <v>8446</v>
      </c>
      <c r="AW31" s="464" t="s">
        <v>267</v>
      </c>
      <c r="AX31" s="464" t="s">
        <v>268</v>
      </c>
      <c r="AY31" s="464" t="s">
        <v>8453</v>
      </c>
      <c r="AZ31" s="464" t="s">
        <v>888</v>
      </c>
      <c r="BA31" s="464" t="s">
        <v>270</v>
      </c>
      <c r="BB31" s="464" t="s">
        <v>8374</v>
      </c>
      <c r="BC31" s="464" t="s">
        <v>889</v>
      </c>
      <c r="BD31" s="464" t="s">
        <v>272</v>
      </c>
      <c r="BE31" s="464" t="s">
        <v>272</v>
      </c>
      <c r="BF31" s="464" t="s">
        <v>890</v>
      </c>
      <c r="BG31" s="464">
        <v>3.0058999999999994E-4</v>
      </c>
      <c r="BH31" s="464">
        <v>24.0472</v>
      </c>
      <c r="BI31" s="464" t="s">
        <v>5921</v>
      </c>
      <c r="BJ31" s="464">
        <v>53.454039276102598</v>
      </c>
      <c r="BK31" s="464" t="s">
        <v>5921</v>
      </c>
      <c r="BL31" s="464" t="s">
        <v>5921</v>
      </c>
      <c r="BM31" s="464" t="s">
        <v>5921</v>
      </c>
      <c r="BN31" s="464" t="s">
        <v>5921</v>
      </c>
      <c r="BO31" s="464" t="s">
        <v>5921</v>
      </c>
      <c r="BP31" s="464" t="s">
        <v>5921</v>
      </c>
      <c r="BQ31" s="464">
        <v>0.51715459040406853</v>
      </c>
      <c r="BR31" s="464" t="s">
        <v>5921</v>
      </c>
      <c r="BS31" s="464" t="s">
        <v>5921</v>
      </c>
      <c r="BT31" s="464" t="s">
        <v>5921</v>
      </c>
      <c r="BU31" s="464" t="s">
        <v>5921</v>
      </c>
      <c r="BV31" s="464" t="s">
        <v>5921</v>
      </c>
      <c r="BW31" s="464" t="s">
        <v>5921</v>
      </c>
      <c r="BX31" s="464" t="s">
        <v>5921</v>
      </c>
      <c r="BY31" s="464" t="s">
        <v>5921</v>
      </c>
      <c r="BZ31" s="464" t="s">
        <v>5921</v>
      </c>
      <c r="CA31" s="464" t="s">
        <v>5921</v>
      </c>
      <c r="CB31" s="464" t="s">
        <v>5921</v>
      </c>
      <c r="CC31" s="464" t="s">
        <v>5921</v>
      </c>
      <c r="CD31" s="464" t="s">
        <v>5921</v>
      </c>
      <c r="CE31" s="464" t="s">
        <v>5921</v>
      </c>
      <c r="CF31" s="464" t="s">
        <v>5921</v>
      </c>
      <c r="CG31" s="464">
        <v>0.51715459040406853</v>
      </c>
      <c r="CH31" s="464">
        <v>-0.28637961604751427</v>
      </c>
      <c r="CI31" s="464">
        <v>2.2228799725582435</v>
      </c>
      <c r="CJ31" s="464">
        <v>103.36181920832867</v>
      </c>
      <c r="CK31" s="464">
        <v>-1.0765462865276458</v>
      </c>
      <c r="CL31" s="464">
        <v>286.82090510011972</v>
      </c>
      <c r="CM31" s="464" t="s">
        <v>892</v>
      </c>
      <c r="CN31" s="464" t="s">
        <v>893</v>
      </c>
      <c r="CO31" s="464">
        <v>-0.94210033726019027</v>
      </c>
      <c r="CP31" s="464">
        <v>4.5260643177243232</v>
      </c>
      <c r="CQ31" s="464" t="s">
        <v>539</v>
      </c>
      <c r="CR31" s="464" t="s">
        <v>5921</v>
      </c>
      <c r="CS31" s="464">
        <v>10.576796401675548</v>
      </c>
      <c r="CT31" s="464">
        <v>0.22746260732624771</v>
      </c>
      <c r="CU31" s="464">
        <v>1</v>
      </c>
      <c r="CV31" s="464" t="s">
        <v>539</v>
      </c>
      <c r="CW31" s="464" t="s">
        <v>5921</v>
      </c>
    </row>
    <row r="32" spans="1:101" x14ac:dyDescent="0.2">
      <c r="A32" s="464">
        <v>216</v>
      </c>
      <c r="B32" s="464" t="s">
        <v>1021</v>
      </c>
      <c r="C32" s="464" t="s">
        <v>6502</v>
      </c>
      <c r="D32" s="464" t="s">
        <v>1022</v>
      </c>
      <c r="E32" s="464">
        <v>5234684</v>
      </c>
      <c r="F32" s="464" t="s">
        <v>1023</v>
      </c>
      <c r="G32" s="464" t="s">
        <v>1023</v>
      </c>
      <c r="H32" s="464" t="s">
        <v>1024</v>
      </c>
      <c r="I32" s="464" t="s">
        <v>1025</v>
      </c>
      <c r="J32" s="464" t="s">
        <v>5929</v>
      </c>
      <c r="K32" s="464" t="s">
        <v>5963</v>
      </c>
      <c r="L32" s="464" t="s">
        <v>6381</v>
      </c>
      <c r="M32" s="464" t="s">
        <v>5964</v>
      </c>
      <c r="N32" s="464" t="s">
        <v>5921</v>
      </c>
      <c r="O32" s="464" t="s">
        <v>5921</v>
      </c>
      <c r="P32" s="464" t="s">
        <v>5921</v>
      </c>
      <c r="Q32" s="464" t="s">
        <v>5921</v>
      </c>
      <c r="R32" s="464">
        <v>235.3</v>
      </c>
      <c r="S32" s="464">
        <v>147</v>
      </c>
      <c r="T32" s="464">
        <v>423.7</v>
      </c>
      <c r="U32" s="464">
        <v>219.59473697753188</v>
      </c>
      <c r="V32" s="464">
        <v>219.59473697753188</v>
      </c>
      <c r="W32" s="464">
        <v>7</v>
      </c>
      <c r="X32" s="464">
        <v>1.49</v>
      </c>
      <c r="Y32" s="464">
        <v>2.14</v>
      </c>
      <c r="Z32" s="464">
        <v>1.93</v>
      </c>
      <c r="AA32" s="464">
        <v>0.79559999999999997</v>
      </c>
      <c r="AB32" s="464">
        <v>2.1800000000000002</v>
      </c>
      <c r="AC32" s="464">
        <v>3</v>
      </c>
      <c r="AD32" s="464">
        <v>2.14</v>
      </c>
      <c r="AE32" s="464">
        <v>1.85</v>
      </c>
      <c r="AF32" s="464">
        <v>7.4599999999999993E-12</v>
      </c>
      <c r="AG32" s="464">
        <v>3.1999999999999998E-10</v>
      </c>
      <c r="AH32" s="464">
        <v>-9.5158274988399825</v>
      </c>
      <c r="AI32" s="464">
        <v>-7.8834163479927462</v>
      </c>
      <c r="AJ32" s="464">
        <v>-7.8834163479927462</v>
      </c>
      <c r="AK32" s="464">
        <v>-13.869820000000001</v>
      </c>
      <c r="AL32" s="464">
        <v>-8.64</v>
      </c>
      <c r="AM32" s="464">
        <v>14.31</v>
      </c>
      <c r="AN32" s="464">
        <v>0.49</v>
      </c>
      <c r="AO32" s="464" t="s">
        <v>6311</v>
      </c>
      <c r="AP32" s="464" t="s">
        <v>6311</v>
      </c>
      <c r="AQ32" s="464" t="s">
        <v>6</v>
      </c>
      <c r="AR32" s="464" t="s">
        <v>266</v>
      </c>
      <c r="AS32" s="464" t="s">
        <v>8468</v>
      </c>
      <c r="AT32" s="464" t="s">
        <v>8469</v>
      </c>
      <c r="AU32" s="464" t="s">
        <v>8450</v>
      </c>
      <c r="AV32" s="464" t="s">
        <v>8446</v>
      </c>
      <c r="AW32" s="464" t="s">
        <v>267</v>
      </c>
      <c r="AX32" s="464" t="s">
        <v>268</v>
      </c>
      <c r="AY32" s="464" t="s">
        <v>8453</v>
      </c>
      <c r="AZ32" s="464" t="s">
        <v>888</v>
      </c>
      <c r="BA32" s="464" t="s">
        <v>270</v>
      </c>
      <c r="BB32" s="464" t="s">
        <v>8374</v>
      </c>
      <c r="BC32" s="464" t="s">
        <v>889</v>
      </c>
      <c r="BD32" s="464" t="s">
        <v>272</v>
      </c>
      <c r="BE32" s="464" t="s">
        <v>272</v>
      </c>
      <c r="BF32" s="464" t="s">
        <v>890</v>
      </c>
      <c r="BG32" s="464">
        <v>2.353E-4</v>
      </c>
      <c r="BH32" s="464">
        <v>18.824000000000002</v>
      </c>
      <c r="BI32" s="464" t="s">
        <v>5921</v>
      </c>
      <c r="BJ32" s="464">
        <v>554.94881347532248</v>
      </c>
      <c r="BK32" s="464" t="s">
        <v>5921</v>
      </c>
      <c r="BL32" s="464" t="s">
        <v>5921</v>
      </c>
      <c r="BM32" s="464" t="s">
        <v>5921</v>
      </c>
      <c r="BN32" s="464" t="s">
        <v>5921</v>
      </c>
      <c r="BO32" s="464" t="s">
        <v>5921</v>
      </c>
      <c r="BP32" s="464" t="s">
        <v>5921</v>
      </c>
      <c r="BQ32" s="464">
        <v>1.2063526028620322</v>
      </c>
      <c r="BR32" s="464" t="s">
        <v>5921</v>
      </c>
      <c r="BS32" s="464" t="s">
        <v>5921</v>
      </c>
      <c r="BT32" s="464" t="s">
        <v>5921</v>
      </c>
      <c r="BU32" s="464" t="s">
        <v>5921</v>
      </c>
      <c r="BV32" s="464" t="s">
        <v>5921</v>
      </c>
      <c r="BW32" s="464" t="s">
        <v>5921</v>
      </c>
      <c r="BX32" s="464" t="s">
        <v>5921</v>
      </c>
      <c r="BY32" s="464" t="s">
        <v>5921</v>
      </c>
      <c r="BZ32" s="464" t="s">
        <v>5921</v>
      </c>
      <c r="CA32" s="464" t="s">
        <v>5921</v>
      </c>
      <c r="CB32" s="464" t="s">
        <v>5921</v>
      </c>
      <c r="CC32" s="464" t="s">
        <v>5921</v>
      </c>
      <c r="CD32" s="464" t="s">
        <v>5921</v>
      </c>
      <c r="CE32" s="464" t="s">
        <v>5921</v>
      </c>
      <c r="CF32" s="464" t="s">
        <v>5921</v>
      </c>
      <c r="CG32" s="464">
        <v>1.2063526028620322</v>
      </c>
      <c r="CH32" s="464">
        <v>8.1474265594791068E-2</v>
      </c>
      <c r="CI32" s="464">
        <v>29.480918692909182</v>
      </c>
      <c r="CJ32" s="464">
        <v>460.02206333266457</v>
      </c>
      <c r="CK32" s="464">
        <v>0.53387857024969654</v>
      </c>
      <c r="CL32" s="464">
        <v>5.5059637011468858</v>
      </c>
      <c r="CM32" s="464" t="s">
        <v>892</v>
      </c>
      <c r="CN32" s="464" t="s">
        <v>893</v>
      </c>
      <c r="CO32" s="464">
        <v>0.55203953188723331</v>
      </c>
      <c r="CP32" s="464">
        <v>0.338403412376586</v>
      </c>
      <c r="CQ32" s="464" t="s">
        <v>539</v>
      </c>
      <c r="CR32" s="464" t="s">
        <v>5921</v>
      </c>
      <c r="CS32" s="464">
        <v>182.03196682010761</v>
      </c>
      <c r="CT32" s="464">
        <v>11.665678759962381</v>
      </c>
      <c r="CU32" s="464">
        <v>1</v>
      </c>
      <c r="CV32" s="464" t="s">
        <v>539</v>
      </c>
      <c r="CW32" s="464" t="s">
        <v>5921</v>
      </c>
    </row>
    <row r="33" spans="1:101" x14ac:dyDescent="0.2">
      <c r="A33" s="464">
        <v>217</v>
      </c>
      <c r="B33" s="464" t="s">
        <v>1026</v>
      </c>
      <c r="C33" s="464" t="s">
        <v>6758</v>
      </c>
      <c r="D33" s="464" t="s">
        <v>1027</v>
      </c>
      <c r="E33" s="464">
        <v>128639021</v>
      </c>
      <c r="F33" s="464" t="s">
        <v>1028</v>
      </c>
      <c r="G33" s="464" t="s">
        <v>7891</v>
      </c>
      <c r="H33" s="464" t="s">
        <v>1029</v>
      </c>
      <c r="I33" s="464" t="s">
        <v>1030</v>
      </c>
      <c r="J33" s="464" t="s">
        <v>5929</v>
      </c>
      <c r="K33" s="464" t="s">
        <v>5966</v>
      </c>
      <c r="L33" s="464" t="s">
        <v>6385</v>
      </c>
      <c r="M33" s="464" t="s">
        <v>5965</v>
      </c>
      <c r="N33" s="464" t="s">
        <v>5921</v>
      </c>
      <c r="O33" s="464" t="s">
        <v>5921</v>
      </c>
      <c r="P33" s="464" t="s">
        <v>5921</v>
      </c>
      <c r="Q33" s="464" t="s">
        <v>5921</v>
      </c>
      <c r="R33" s="464">
        <v>412.19</v>
      </c>
      <c r="S33" s="464">
        <v>22</v>
      </c>
      <c r="T33" s="464">
        <v>3.4739999999999998</v>
      </c>
      <c r="U33" s="464">
        <v>34.284470881080935</v>
      </c>
      <c r="V33" s="464">
        <v>34.284470881080935</v>
      </c>
      <c r="W33" s="464">
        <v>7</v>
      </c>
      <c r="X33" s="464">
        <v>4.26</v>
      </c>
      <c r="Y33" s="464">
        <v>3.36</v>
      </c>
      <c r="Z33" s="464">
        <v>2.99</v>
      </c>
      <c r="AA33" s="464">
        <v>0.73440000000000005</v>
      </c>
      <c r="AB33" s="464">
        <v>3.05</v>
      </c>
      <c r="AC33" s="464">
        <v>3.21</v>
      </c>
      <c r="AD33" s="464">
        <v>3.36</v>
      </c>
      <c r="AE33" s="464">
        <v>4.43</v>
      </c>
      <c r="AF33" s="464">
        <v>5.9600000000000006E-11</v>
      </c>
      <c r="AG33" s="464">
        <v>2.9600000000000001E-9</v>
      </c>
      <c r="AH33" s="464">
        <v>-8.613320066572415</v>
      </c>
      <c r="AI33" s="464">
        <v>-6.9172746152537128</v>
      </c>
      <c r="AJ33" s="464">
        <v>-6.9172746152537128</v>
      </c>
      <c r="AK33" s="464">
        <v>-13.92361</v>
      </c>
      <c r="AL33" s="464">
        <v>-9.6</v>
      </c>
      <c r="AM33" s="464" t="s">
        <v>5921</v>
      </c>
      <c r="AN33" s="464">
        <v>-2.2599999999999998</v>
      </c>
      <c r="AO33" s="464" t="s">
        <v>6311</v>
      </c>
      <c r="AP33" s="464" t="s">
        <v>6314</v>
      </c>
      <c r="AQ33" s="464" t="s">
        <v>6</v>
      </c>
      <c r="AR33" s="464" t="s">
        <v>266</v>
      </c>
      <c r="AS33" s="464" t="s">
        <v>8468</v>
      </c>
      <c r="AT33" s="464" t="s">
        <v>8469</v>
      </c>
      <c r="AU33" s="464" t="s">
        <v>8450</v>
      </c>
      <c r="AV33" s="464" t="s">
        <v>8446</v>
      </c>
      <c r="AW33" s="464" t="s">
        <v>267</v>
      </c>
      <c r="AX33" s="464" t="s">
        <v>268</v>
      </c>
      <c r="AY33" s="464" t="s">
        <v>8453</v>
      </c>
      <c r="AZ33" s="464" t="s">
        <v>888</v>
      </c>
      <c r="BA33" s="464" t="s">
        <v>270</v>
      </c>
      <c r="BB33" s="464" t="s">
        <v>8374</v>
      </c>
      <c r="BC33" s="464" t="s">
        <v>889</v>
      </c>
      <c r="BD33" s="464" t="s">
        <v>272</v>
      </c>
      <c r="BE33" s="464" t="s">
        <v>272</v>
      </c>
      <c r="BF33" s="464" t="s">
        <v>890</v>
      </c>
      <c r="BG33" s="464">
        <v>4.1219E-4</v>
      </c>
      <c r="BH33" s="464">
        <v>32.975200000000001</v>
      </c>
      <c r="BI33" s="464" t="s">
        <v>5921</v>
      </c>
      <c r="BJ33" s="464">
        <v>3.1622154141750758</v>
      </c>
      <c r="BK33" s="464" t="s">
        <v>5921</v>
      </c>
      <c r="BL33" s="464" t="s">
        <v>5921</v>
      </c>
      <c r="BM33" s="464" t="s">
        <v>5921</v>
      </c>
      <c r="BN33" s="464" t="s">
        <v>5921</v>
      </c>
      <c r="BO33" s="464" t="s">
        <v>5921</v>
      </c>
      <c r="BP33" s="464" t="s">
        <v>5921</v>
      </c>
      <c r="BQ33" s="464">
        <v>0.23316987530982641</v>
      </c>
      <c r="BR33" s="464" t="s">
        <v>5921</v>
      </c>
      <c r="BS33" s="464" t="s">
        <v>5921</v>
      </c>
      <c r="BT33" s="464" t="s">
        <v>5921</v>
      </c>
      <c r="BU33" s="464" t="s">
        <v>5921</v>
      </c>
      <c r="BV33" s="464" t="s">
        <v>5921</v>
      </c>
      <c r="BW33" s="464" t="s">
        <v>5921</v>
      </c>
      <c r="BX33" s="464" t="s">
        <v>5921</v>
      </c>
      <c r="BY33" s="464" t="s">
        <v>5921</v>
      </c>
      <c r="BZ33" s="464" t="s">
        <v>5921</v>
      </c>
      <c r="CA33" s="464" t="s">
        <v>5921</v>
      </c>
      <c r="CB33" s="464" t="s">
        <v>5921</v>
      </c>
      <c r="CC33" s="464" t="s">
        <v>5921</v>
      </c>
      <c r="CD33" s="464" t="s">
        <v>5921</v>
      </c>
      <c r="CE33" s="464" t="s">
        <v>5921</v>
      </c>
      <c r="CF33" s="464" t="s">
        <v>5921</v>
      </c>
      <c r="CG33" s="464">
        <v>0.23316987530982641</v>
      </c>
      <c r="CH33" s="464">
        <v>-0.63232755953828901</v>
      </c>
      <c r="CI33" s="464">
        <v>9.5896777401655656E-2</v>
      </c>
      <c r="CJ33" s="464">
        <v>13.561852318929517</v>
      </c>
      <c r="CK33" s="464">
        <v>0.20411998265592468</v>
      </c>
      <c r="CL33" s="464">
        <v>20.609500000000004</v>
      </c>
      <c r="CM33" s="464" t="s">
        <v>892</v>
      </c>
      <c r="CN33" s="464" t="s">
        <v>893</v>
      </c>
      <c r="CO33" s="464">
        <v>0.25257498915995297</v>
      </c>
      <c r="CP33" s="464">
        <v>0.13034592287448041</v>
      </c>
      <c r="CQ33" s="464" t="s">
        <v>539</v>
      </c>
      <c r="CR33" s="464" t="s">
        <v>5921</v>
      </c>
      <c r="CS33" s="464">
        <v>147.03645072299824</v>
      </c>
      <c r="CT33" s="464">
        <v>1.0397047138783369</v>
      </c>
      <c r="CU33" s="464">
        <v>1</v>
      </c>
      <c r="CV33" s="464" t="s">
        <v>539</v>
      </c>
      <c r="CW33" s="464" t="s">
        <v>5921</v>
      </c>
    </row>
    <row r="34" spans="1:101" x14ac:dyDescent="0.2">
      <c r="A34" s="464">
        <v>221</v>
      </c>
      <c r="B34" s="464" t="s">
        <v>1031</v>
      </c>
      <c r="C34" s="464" t="s">
        <v>6494</v>
      </c>
      <c r="D34" s="464" t="s">
        <v>1032</v>
      </c>
      <c r="E34" s="464">
        <v>1897456</v>
      </c>
      <c r="F34" s="464" t="s">
        <v>1033</v>
      </c>
      <c r="G34" s="464" t="s">
        <v>7750</v>
      </c>
      <c r="H34" s="464" t="s">
        <v>1034</v>
      </c>
      <c r="I34" s="464" t="s">
        <v>426</v>
      </c>
      <c r="J34" s="464" t="s">
        <v>5929</v>
      </c>
      <c r="K34" s="464" t="s">
        <v>6085</v>
      </c>
      <c r="L34" s="464" t="s">
        <v>6383</v>
      </c>
      <c r="M34" s="464" t="s">
        <v>1035</v>
      </c>
      <c r="N34" s="464" t="s">
        <v>5921</v>
      </c>
      <c r="O34" s="464" t="s">
        <v>5921</v>
      </c>
      <c r="P34" s="464" t="s">
        <v>5921</v>
      </c>
      <c r="Q34" s="464" t="s">
        <v>5921</v>
      </c>
      <c r="R34" s="464">
        <v>265.91000000000003</v>
      </c>
      <c r="S34" s="464">
        <v>0.81</v>
      </c>
      <c r="T34" s="464">
        <v>26.01</v>
      </c>
      <c r="U34" s="464">
        <v>1.8396477347705402</v>
      </c>
      <c r="V34" s="464">
        <v>1.8396477347705402</v>
      </c>
      <c r="W34" s="464">
        <v>7</v>
      </c>
      <c r="X34" s="464">
        <v>3.66</v>
      </c>
      <c r="Y34" s="464">
        <v>3.05</v>
      </c>
      <c r="Z34" s="464">
        <v>3.2</v>
      </c>
      <c r="AA34" s="464">
        <v>0.76400000000000001</v>
      </c>
      <c r="AB34" s="464">
        <v>3.12</v>
      </c>
      <c r="AC34" s="464">
        <v>2.88</v>
      </c>
      <c r="AD34" s="464">
        <v>3.05</v>
      </c>
      <c r="AE34" s="464">
        <v>4.17</v>
      </c>
      <c r="AF34" s="464">
        <v>1.5200000000000001E-7</v>
      </c>
      <c r="AG34" s="464">
        <v>1.9999999999999999E-6</v>
      </c>
      <c r="AH34" s="464">
        <v>-5.2067227383678789</v>
      </c>
      <c r="AI34" s="464">
        <v>-4.0875363306486703</v>
      </c>
      <c r="AJ34" s="464">
        <v>-4.0875363306486703</v>
      </c>
      <c r="AK34" s="464">
        <v>-8.3957800000000002</v>
      </c>
      <c r="AL34" s="464">
        <v>-5.47</v>
      </c>
      <c r="AM34" s="464" t="s">
        <v>5921</v>
      </c>
      <c r="AN34" s="464" t="s">
        <v>5921</v>
      </c>
      <c r="AO34" s="464" t="s">
        <v>6311</v>
      </c>
      <c r="AP34" s="464" t="s">
        <v>6311</v>
      </c>
      <c r="AQ34" s="464" t="s">
        <v>6</v>
      </c>
      <c r="AR34" s="464" t="s">
        <v>266</v>
      </c>
      <c r="AS34" s="464" t="s">
        <v>8468</v>
      </c>
      <c r="AT34" s="464" t="s">
        <v>8469</v>
      </c>
      <c r="AU34" s="464" t="s">
        <v>8450</v>
      </c>
      <c r="AV34" s="464" t="s">
        <v>8446</v>
      </c>
      <c r="AW34" s="464" t="s">
        <v>267</v>
      </c>
      <c r="AX34" s="464" t="s">
        <v>268</v>
      </c>
      <c r="AY34" s="464" t="s">
        <v>8453</v>
      </c>
      <c r="AZ34" s="464" t="s">
        <v>888</v>
      </c>
      <c r="BA34" s="464" t="s">
        <v>270</v>
      </c>
      <c r="BB34" s="464" t="s">
        <v>8374</v>
      </c>
      <c r="BC34" s="464" t="s">
        <v>889</v>
      </c>
      <c r="BD34" s="464" t="s">
        <v>272</v>
      </c>
      <c r="BE34" s="464" t="s">
        <v>272</v>
      </c>
      <c r="BF34" s="464" t="s">
        <v>890</v>
      </c>
      <c r="BG34" s="464">
        <v>2.6591000000000001E-4</v>
      </c>
      <c r="BH34" s="464">
        <v>21.272800000000004</v>
      </c>
      <c r="BI34" s="464" t="s">
        <v>5921</v>
      </c>
      <c r="BJ34" s="464">
        <v>7.0548643891683938</v>
      </c>
      <c r="BK34" s="464" t="s">
        <v>5921</v>
      </c>
      <c r="BL34" s="464" t="s">
        <v>5921</v>
      </c>
      <c r="BM34" s="464" t="s">
        <v>5921</v>
      </c>
      <c r="BN34" s="464" t="s">
        <v>5921</v>
      </c>
      <c r="BO34" s="464" t="s">
        <v>5921</v>
      </c>
      <c r="BP34" s="464" t="s">
        <v>5921</v>
      </c>
      <c r="BQ34" s="464">
        <v>8.509120000000002E-2</v>
      </c>
      <c r="BR34" s="464" t="s">
        <v>5921</v>
      </c>
      <c r="BS34" s="464" t="s">
        <v>5921</v>
      </c>
      <c r="BT34" s="464" t="s">
        <v>5921</v>
      </c>
      <c r="BU34" s="464" t="s">
        <v>5921</v>
      </c>
      <c r="BV34" s="464" t="s">
        <v>5921</v>
      </c>
      <c r="BW34" s="464" t="s">
        <v>5921</v>
      </c>
      <c r="BX34" s="464" t="s">
        <v>5921</v>
      </c>
      <c r="BY34" s="464" t="s">
        <v>5921</v>
      </c>
      <c r="BZ34" s="464" t="s">
        <v>5921</v>
      </c>
      <c r="CA34" s="464" t="s">
        <v>5921</v>
      </c>
      <c r="CB34" s="464" t="s">
        <v>5921</v>
      </c>
      <c r="CC34" s="464" t="s">
        <v>5921</v>
      </c>
      <c r="CD34" s="464" t="s">
        <v>5921</v>
      </c>
      <c r="CE34" s="464" t="s">
        <v>5921</v>
      </c>
      <c r="CF34" s="464" t="s">
        <v>5921</v>
      </c>
      <c r="CG34" s="464">
        <v>8.509120000000002E-2</v>
      </c>
      <c r="CH34" s="464">
        <v>-1.0701153516551982</v>
      </c>
      <c r="CI34" s="464">
        <v>0.33163779047273478</v>
      </c>
      <c r="CJ34" s="464">
        <v>82.909447618183691</v>
      </c>
      <c r="CK34" s="464">
        <v>-1.645891560852599</v>
      </c>
      <c r="CL34" s="464">
        <v>941.27433628318624</v>
      </c>
      <c r="CM34" s="464" t="s">
        <v>892</v>
      </c>
      <c r="CN34" s="464" t="s">
        <v>893</v>
      </c>
      <c r="CO34" s="464">
        <v>-1.1272092997656173</v>
      </c>
      <c r="CP34" s="464">
        <v>1.1404964770886694</v>
      </c>
      <c r="CQ34" s="464" t="s">
        <v>539</v>
      </c>
      <c r="CR34" s="464" t="s">
        <v>5921</v>
      </c>
      <c r="CS34" s="464">
        <v>21.619717841216715</v>
      </c>
      <c r="CT34" s="464">
        <v>8.6478871364866872E-2</v>
      </c>
      <c r="CU34" s="464">
        <v>1</v>
      </c>
      <c r="CV34" s="464" t="s">
        <v>539</v>
      </c>
      <c r="CW34" s="464" t="s">
        <v>5921</v>
      </c>
    </row>
    <row r="35" spans="1:101" x14ac:dyDescent="0.2">
      <c r="A35" s="464">
        <v>228</v>
      </c>
      <c r="B35" s="464" t="s">
        <v>1051</v>
      </c>
      <c r="C35" s="464" t="s">
        <v>6765</v>
      </c>
      <c r="D35" s="464" t="s">
        <v>1052</v>
      </c>
      <c r="E35" s="464">
        <v>105512069</v>
      </c>
      <c r="F35" s="464" t="s">
        <v>1053</v>
      </c>
      <c r="G35" s="464" t="s">
        <v>7897</v>
      </c>
      <c r="H35" s="464" t="s">
        <v>1054</v>
      </c>
      <c r="I35" s="464" t="s">
        <v>1055</v>
      </c>
      <c r="J35" s="464" t="s">
        <v>5967</v>
      </c>
      <c r="K35" s="464" t="s">
        <v>6074</v>
      </c>
      <c r="L35" s="464" t="s">
        <v>6082</v>
      </c>
      <c r="M35" s="464" t="s">
        <v>6083</v>
      </c>
      <c r="N35" s="464" t="s">
        <v>5921</v>
      </c>
      <c r="O35" s="464" t="s">
        <v>5921</v>
      </c>
      <c r="P35" s="464" t="s">
        <v>5921</v>
      </c>
      <c r="Q35" s="464" t="s">
        <v>5921</v>
      </c>
      <c r="R35" s="464">
        <v>349.74</v>
      </c>
      <c r="S35" s="464">
        <v>4</v>
      </c>
      <c r="T35" s="464">
        <v>2.9039999999999999</v>
      </c>
      <c r="U35" s="464">
        <v>11.85073551681247</v>
      </c>
      <c r="V35" s="464">
        <v>11.85073551681247</v>
      </c>
      <c r="W35" s="464">
        <v>7</v>
      </c>
      <c r="X35" s="464">
        <v>3.12</v>
      </c>
      <c r="Y35" s="464">
        <v>3.9</v>
      </c>
      <c r="Z35" s="464">
        <v>3.37</v>
      </c>
      <c r="AA35" s="464">
        <v>0.78569999999999995</v>
      </c>
      <c r="AB35" s="464">
        <v>3.09</v>
      </c>
      <c r="AC35" s="464">
        <v>2.33</v>
      </c>
      <c r="AD35" s="464">
        <v>3.9</v>
      </c>
      <c r="AE35" s="464">
        <v>3.83</v>
      </c>
      <c r="AF35" s="464">
        <v>3.5099999999999998E-10</v>
      </c>
      <c r="AG35" s="464">
        <v>2.76E-9</v>
      </c>
      <c r="AH35" s="464">
        <v>-7.8432592098468277</v>
      </c>
      <c r="AI35" s="464">
        <v>-6.9476572442474342</v>
      </c>
      <c r="AJ35" s="464">
        <v>-6.9476572442474342</v>
      </c>
      <c r="AK35" s="464">
        <v>-14.626449999999998</v>
      </c>
      <c r="AL35" s="464">
        <v>-7.69</v>
      </c>
      <c r="AM35" s="464" t="s">
        <v>5921</v>
      </c>
      <c r="AN35" s="464">
        <v>-1.54</v>
      </c>
      <c r="AO35" s="464" t="s">
        <v>6311</v>
      </c>
      <c r="AP35" s="464" t="s">
        <v>6314</v>
      </c>
      <c r="AQ35" s="464" t="s">
        <v>6</v>
      </c>
      <c r="AR35" s="464" t="s">
        <v>266</v>
      </c>
      <c r="AS35" s="464" t="s">
        <v>8468</v>
      </c>
      <c r="AT35" s="464" t="s">
        <v>8469</v>
      </c>
      <c r="AU35" s="464" t="s">
        <v>8450</v>
      </c>
      <c r="AV35" s="464" t="s">
        <v>8446</v>
      </c>
      <c r="AW35" s="464" t="s">
        <v>267</v>
      </c>
      <c r="AX35" s="464" t="s">
        <v>268</v>
      </c>
      <c r="AY35" s="464" t="s">
        <v>8453</v>
      </c>
      <c r="AZ35" s="464" t="s">
        <v>888</v>
      </c>
      <c r="BA35" s="464" t="s">
        <v>270</v>
      </c>
      <c r="BB35" s="464" t="s">
        <v>8374</v>
      </c>
      <c r="BC35" s="464" t="s">
        <v>889</v>
      </c>
      <c r="BD35" s="464" t="s">
        <v>272</v>
      </c>
      <c r="BE35" s="464" t="s">
        <v>272</v>
      </c>
      <c r="BF35" s="464" t="s">
        <v>890</v>
      </c>
      <c r="BG35" s="464">
        <v>3.4973999999999997E-4</v>
      </c>
      <c r="BH35" s="464">
        <v>27.979200000000002</v>
      </c>
      <c r="BI35" s="464" t="s">
        <v>5921</v>
      </c>
      <c r="BJ35" s="464">
        <v>28.344794043354849</v>
      </c>
      <c r="BK35" s="464" t="s">
        <v>5921</v>
      </c>
      <c r="BL35" s="464" t="s">
        <v>5921</v>
      </c>
      <c r="BM35" s="464" t="s">
        <v>5921</v>
      </c>
      <c r="BN35" s="464" t="s">
        <v>5921</v>
      </c>
      <c r="BO35" s="464" t="s">
        <v>5921</v>
      </c>
      <c r="BP35" s="464" t="s">
        <v>5921</v>
      </c>
      <c r="BQ35" s="464">
        <v>0.11191680000000001</v>
      </c>
      <c r="BR35" s="464" t="s">
        <v>5921</v>
      </c>
      <c r="BS35" s="464" t="s">
        <v>5921</v>
      </c>
      <c r="BT35" s="464" t="s">
        <v>5921</v>
      </c>
      <c r="BU35" s="464" t="s">
        <v>5921</v>
      </c>
      <c r="BV35" s="464" t="s">
        <v>5921</v>
      </c>
      <c r="BW35" s="464" t="s">
        <v>5921</v>
      </c>
      <c r="BX35" s="464" t="s">
        <v>5921</v>
      </c>
      <c r="BY35" s="464" t="s">
        <v>5921</v>
      </c>
      <c r="BZ35" s="464" t="s">
        <v>5921</v>
      </c>
      <c r="CA35" s="464" t="s">
        <v>5921</v>
      </c>
      <c r="CB35" s="464" t="s">
        <v>5921</v>
      </c>
      <c r="CC35" s="464" t="s">
        <v>5921</v>
      </c>
      <c r="CD35" s="464" t="s">
        <v>5921</v>
      </c>
      <c r="CE35" s="464" t="s">
        <v>5921</v>
      </c>
      <c r="CF35" s="464" t="s">
        <v>5921</v>
      </c>
      <c r="CG35" s="464">
        <v>0.11191680000000001</v>
      </c>
      <c r="CH35" s="464">
        <v>-0.95110471597700541</v>
      </c>
      <c r="CI35" s="464">
        <v>1.0130666367642693</v>
      </c>
      <c r="CJ35" s="464">
        <v>253.26665919106736</v>
      </c>
      <c r="CK35" s="464">
        <v>-0.61978875828839453</v>
      </c>
      <c r="CL35" s="464">
        <v>116.58000000000017</v>
      </c>
      <c r="CM35" s="464" t="s">
        <v>892</v>
      </c>
      <c r="CN35" s="464" t="s">
        <v>893</v>
      </c>
      <c r="CO35" s="464">
        <v>-0.51720096551407746</v>
      </c>
      <c r="CP35" s="464">
        <v>0.36821056843905348</v>
      </c>
      <c r="CQ35" s="464" t="s">
        <v>539</v>
      </c>
      <c r="CR35" s="464" t="s">
        <v>5921</v>
      </c>
      <c r="CS35" s="464">
        <v>105.8887987935008</v>
      </c>
      <c r="CT35" s="464">
        <v>0.42355519517400314</v>
      </c>
      <c r="CU35" s="464">
        <v>1</v>
      </c>
      <c r="CV35" s="464" t="s">
        <v>539</v>
      </c>
      <c r="CW35" s="464" t="s">
        <v>5921</v>
      </c>
    </row>
    <row r="36" spans="1:101" x14ac:dyDescent="0.2">
      <c r="A36" s="464">
        <v>234</v>
      </c>
      <c r="B36" s="464" t="s">
        <v>1056</v>
      </c>
      <c r="C36" s="464" t="s">
        <v>6471</v>
      </c>
      <c r="D36" s="464" t="s">
        <v>1057</v>
      </c>
      <c r="E36" s="464">
        <v>120321</v>
      </c>
      <c r="F36" s="464" t="s">
        <v>1058</v>
      </c>
      <c r="G36" s="464" t="s">
        <v>8313</v>
      </c>
      <c r="H36" s="464" t="s">
        <v>1059</v>
      </c>
      <c r="I36" s="464" t="s">
        <v>349</v>
      </c>
      <c r="J36" s="464" t="s">
        <v>5576</v>
      </c>
      <c r="K36" s="464" t="s">
        <v>6075</v>
      </c>
      <c r="L36" s="464" t="s">
        <v>6082</v>
      </c>
      <c r="M36" s="464" t="s">
        <v>6083</v>
      </c>
      <c r="N36" s="464" t="s">
        <v>8470</v>
      </c>
      <c r="O36" s="464" t="s">
        <v>6173</v>
      </c>
      <c r="P36" s="464" t="s">
        <v>8448</v>
      </c>
      <c r="Q36" s="464" t="s">
        <v>6173</v>
      </c>
      <c r="R36" s="464">
        <v>218.68</v>
      </c>
      <c r="S36" s="464">
        <v>149</v>
      </c>
      <c r="T36" s="464">
        <v>112</v>
      </c>
      <c r="U36" s="464">
        <v>37.137192192033382</v>
      </c>
      <c r="V36" s="464">
        <v>37.137192192033382</v>
      </c>
      <c r="W36" s="464">
        <v>6.72</v>
      </c>
      <c r="X36" s="464">
        <v>4.18</v>
      </c>
      <c r="Y36" s="464">
        <v>3.6</v>
      </c>
      <c r="Z36" s="464">
        <v>4.26</v>
      </c>
      <c r="AA36" s="464">
        <v>0.77049999999999996</v>
      </c>
      <c r="AB36" s="464">
        <v>4.3099999999999996</v>
      </c>
      <c r="AC36" s="464">
        <v>4.41</v>
      </c>
      <c r="AD36" s="464">
        <v>3.6</v>
      </c>
      <c r="AE36" s="464">
        <v>4.01</v>
      </c>
      <c r="AF36" s="464">
        <v>3.7E-8</v>
      </c>
      <c r="AG36" s="464">
        <v>2.7000000000000002E-9</v>
      </c>
      <c r="AH36" s="464">
        <v>-5.8203646022456565</v>
      </c>
      <c r="AI36" s="464">
        <v>-6.9572025621536646</v>
      </c>
      <c r="AJ36" s="464">
        <v>-6.9572025621536646</v>
      </c>
      <c r="AK36" s="464">
        <v>-10.455459999999999</v>
      </c>
      <c r="AL36" s="464">
        <v>-6.05</v>
      </c>
      <c r="AM36" s="464">
        <v>9.81</v>
      </c>
      <c r="AN36" s="464" t="s">
        <v>5921</v>
      </c>
      <c r="AO36" s="464" t="s">
        <v>6311</v>
      </c>
      <c r="AP36" s="464" t="s">
        <v>6311</v>
      </c>
      <c r="AQ36" s="464" t="s">
        <v>6</v>
      </c>
      <c r="AR36" s="464" t="s">
        <v>266</v>
      </c>
      <c r="AS36" s="464" t="s">
        <v>8468</v>
      </c>
      <c r="AT36" s="464" t="s">
        <v>8469</v>
      </c>
      <c r="AU36" s="464" t="s">
        <v>8450</v>
      </c>
      <c r="AV36" s="464" t="s">
        <v>8446</v>
      </c>
      <c r="AW36" s="464" t="s">
        <v>267</v>
      </c>
      <c r="AX36" s="464" t="s">
        <v>268</v>
      </c>
      <c r="AY36" s="464" t="s">
        <v>8470</v>
      </c>
      <c r="AZ36" s="464" t="s">
        <v>888</v>
      </c>
      <c r="BA36" s="464" t="s">
        <v>270</v>
      </c>
      <c r="BB36" s="464" t="s">
        <v>8374</v>
      </c>
      <c r="BC36" s="464" t="s">
        <v>889</v>
      </c>
      <c r="BD36" s="464" t="s">
        <v>272</v>
      </c>
      <c r="BE36" s="464" t="s">
        <v>272</v>
      </c>
      <c r="BF36" s="464" t="s">
        <v>890</v>
      </c>
      <c r="BG36" s="464">
        <v>2.1867999999999999E-4</v>
      </c>
      <c r="BH36" s="464">
        <v>17.494400000000002</v>
      </c>
      <c r="BI36" s="464" t="s">
        <v>5921</v>
      </c>
      <c r="BJ36" s="464">
        <v>1.9794797587696336</v>
      </c>
      <c r="BK36" s="464" t="s">
        <v>5921</v>
      </c>
      <c r="BL36" s="464" t="s">
        <v>5921</v>
      </c>
      <c r="BM36" s="464" t="s">
        <v>5921</v>
      </c>
      <c r="BN36" s="464" t="s">
        <v>5921</v>
      </c>
      <c r="BO36" s="464" t="s">
        <v>5921</v>
      </c>
      <c r="BP36" s="464" t="s">
        <v>5921</v>
      </c>
      <c r="BQ36" s="464">
        <v>1.9418784000000002</v>
      </c>
      <c r="BR36" s="464" t="s">
        <v>5921</v>
      </c>
      <c r="BS36" s="464" t="s">
        <v>5921</v>
      </c>
      <c r="BT36" s="464" t="s">
        <v>5921</v>
      </c>
      <c r="BU36" s="464" t="s">
        <v>5921</v>
      </c>
      <c r="BV36" s="464" t="s">
        <v>5921</v>
      </c>
      <c r="BW36" s="464" t="s">
        <v>5921</v>
      </c>
      <c r="BX36" s="464" t="s">
        <v>5921</v>
      </c>
      <c r="BY36" s="464" t="s">
        <v>5921</v>
      </c>
      <c r="BZ36" s="464" t="s">
        <v>5921</v>
      </c>
      <c r="CA36" s="464" t="s">
        <v>5921</v>
      </c>
      <c r="CB36" s="464" t="s">
        <v>5921</v>
      </c>
      <c r="CC36" s="464" t="s">
        <v>5921</v>
      </c>
      <c r="CD36" s="464" t="s">
        <v>5921</v>
      </c>
      <c r="CE36" s="464" t="s">
        <v>5921</v>
      </c>
      <c r="CF36" s="464" t="s">
        <v>5921</v>
      </c>
      <c r="CG36" s="464">
        <v>1.9418784000000002</v>
      </c>
      <c r="CH36" s="464">
        <v>0.2882220309981206</v>
      </c>
      <c r="CI36" s="464">
        <v>0.11314933686034578</v>
      </c>
      <c r="CJ36" s="464">
        <v>1.0193633951382504</v>
      </c>
      <c r="CK36" s="464">
        <v>-0.48148606012211248</v>
      </c>
      <c r="CL36" s="464">
        <v>53.013333333333335</v>
      </c>
      <c r="CM36" s="464" t="s">
        <v>892</v>
      </c>
      <c r="CN36" s="464" t="s">
        <v>893</v>
      </c>
      <c r="CO36" s="464">
        <v>-0.31207678184542198</v>
      </c>
      <c r="CP36" s="464">
        <v>3.9838117926093517</v>
      </c>
      <c r="CQ36" s="464" t="s">
        <v>539</v>
      </c>
      <c r="CR36" s="464" t="s">
        <v>5921</v>
      </c>
      <c r="CS36" s="464">
        <v>19.124365455650249</v>
      </c>
      <c r="CT36" s="464">
        <v>2.1228045655771774</v>
      </c>
      <c r="CU36" s="464">
        <v>1</v>
      </c>
      <c r="CV36" s="464" t="s">
        <v>539</v>
      </c>
      <c r="CW36" s="464" t="s">
        <v>5921</v>
      </c>
    </row>
    <row r="37" spans="1:101" x14ac:dyDescent="0.2">
      <c r="A37" s="464">
        <v>239</v>
      </c>
      <c r="B37" s="464" t="s">
        <v>1060</v>
      </c>
      <c r="C37" s="464" t="s">
        <v>6688</v>
      </c>
      <c r="D37" s="464" t="s">
        <v>1061</v>
      </c>
      <c r="E37" s="464">
        <v>120116883</v>
      </c>
      <c r="F37" s="464" t="s">
        <v>1062</v>
      </c>
      <c r="G37" s="464" t="s">
        <v>7894</v>
      </c>
      <c r="H37" s="464" t="s">
        <v>1063</v>
      </c>
      <c r="I37" s="464" t="s">
        <v>1064</v>
      </c>
      <c r="J37" s="464" t="s">
        <v>5929</v>
      </c>
      <c r="K37" s="464" t="s">
        <v>2342</v>
      </c>
      <c r="L37" s="464" t="s">
        <v>2342</v>
      </c>
      <c r="M37" s="464" t="s">
        <v>5921</v>
      </c>
      <c r="N37" s="464" t="s">
        <v>5921</v>
      </c>
      <c r="O37" s="464" t="s">
        <v>5921</v>
      </c>
      <c r="P37" s="464" t="s">
        <v>5921</v>
      </c>
      <c r="Q37" s="464" t="s">
        <v>5921</v>
      </c>
      <c r="R37" s="464">
        <v>324.79000000000002</v>
      </c>
      <c r="S37" s="464" t="s">
        <v>5921</v>
      </c>
      <c r="T37" s="464">
        <v>17.010000000000002</v>
      </c>
      <c r="U37" s="464">
        <v>24.637841059372825</v>
      </c>
      <c r="V37" s="464">
        <v>24.637841059372825</v>
      </c>
      <c r="W37" s="464">
        <v>7</v>
      </c>
      <c r="X37" s="464">
        <v>2.87</v>
      </c>
      <c r="Y37" s="464" t="s">
        <v>5921</v>
      </c>
      <c r="Z37" s="464">
        <v>1.1299999999999999</v>
      </c>
      <c r="AA37" s="464">
        <v>0.69910000000000005</v>
      </c>
      <c r="AB37" s="464">
        <v>1.33</v>
      </c>
      <c r="AC37" s="464">
        <v>1.76</v>
      </c>
      <c r="AD37" s="464">
        <v>1.33</v>
      </c>
      <c r="AE37" s="464">
        <v>2.79</v>
      </c>
      <c r="AF37" s="464">
        <v>5.2900000000000003E-12</v>
      </c>
      <c r="AG37" s="464" t="s">
        <v>5921</v>
      </c>
      <c r="AH37" s="464">
        <v>-9.6651106542774663</v>
      </c>
      <c r="AI37" s="464" t="s">
        <v>5921</v>
      </c>
      <c r="AJ37" s="464">
        <v>-9.6651106542774663</v>
      </c>
      <c r="AK37" s="464">
        <v>-18.323869999999999</v>
      </c>
      <c r="AL37" s="464">
        <v>-3.68</v>
      </c>
      <c r="AM37" s="464" t="s">
        <v>5921</v>
      </c>
      <c r="AN37" s="464">
        <v>-6.61</v>
      </c>
      <c r="AO37" s="464" t="s">
        <v>6311</v>
      </c>
      <c r="AP37" s="464" t="s">
        <v>6311</v>
      </c>
      <c r="AQ37" s="464" t="s">
        <v>63</v>
      </c>
      <c r="AR37" s="464" t="s">
        <v>266</v>
      </c>
      <c r="AS37" s="464" t="s">
        <v>8468</v>
      </c>
      <c r="AT37" s="464" t="s">
        <v>8469</v>
      </c>
      <c r="AU37" s="464" t="s">
        <v>8450</v>
      </c>
      <c r="AV37" s="464" t="s">
        <v>8446</v>
      </c>
      <c r="AW37" s="464" t="s">
        <v>267</v>
      </c>
      <c r="AX37" s="464" t="s">
        <v>268</v>
      </c>
      <c r="AY37" s="464" t="s">
        <v>8471</v>
      </c>
      <c r="AZ37" s="464" t="s">
        <v>888</v>
      </c>
      <c r="BA37" s="464" t="s">
        <v>270</v>
      </c>
      <c r="BB37" s="464" t="s">
        <v>8374</v>
      </c>
      <c r="BC37" s="464" t="s">
        <v>889</v>
      </c>
      <c r="BD37" s="464" t="s">
        <v>272</v>
      </c>
      <c r="BE37" s="464" t="s">
        <v>272</v>
      </c>
      <c r="BF37" s="464" t="s">
        <v>890</v>
      </c>
      <c r="BG37" s="464">
        <v>3.2478999999999999E-4</v>
      </c>
      <c r="BH37" s="464">
        <v>25.983200000000004</v>
      </c>
      <c r="BI37" s="464" t="s">
        <v>5921</v>
      </c>
      <c r="BJ37" s="464">
        <v>44.142370258500954</v>
      </c>
      <c r="BK37" s="464" t="s">
        <v>5921</v>
      </c>
      <c r="BL37" s="464" t="s">
        <v>5921</v>
      </c>
      <c r="BM37" s="464" t="s">
        <v>5921</v>
      </c>
      <c r="BN37" s="464" t="s">
        <v>5921</v>
      </c>
      <c r="BO37" s="464" t="s">
        <v>5921</v>
      </c>
      <c r="BP37" s="464" t="s">
        <v>5921</v>
      </c>
      <c r="BQ37" s="464">
        <v>1.0100969</v>
      </c>
      <c r="BR37" s="464" t="s">
        <v>5921</v>
      </c>
      <c r="BS37" s="464" t="s">
        <v>5921</v>
      </c>
      <c r="BT37" s="464" t="s">
        <v>5921</v>
      </c>
      <c r="BU37" s="464" t="s">
        <v>5921</v>
      </c>
      <c r="BV37" s="464" t="s">
        <v>5921</v>
      </c>
      <c r="BW37" s="464" t="s">
        <v>5921</v>
      </c>
      <c r="BX37" s="464" t="s">
        <v>5921</v>
      </c>
      <c r="BY37" s="464" t="s">
        <v>5921</v>
      </c>
      <c r="BZ37" s="464" t="s">
        <v>5921</v>
      </c>
      <c r="CA37" s="464" t="s">
        <v>5921</v>
      </c>
      <c r="CB37" s="464" t="s">
        <v>5921</v>
      </c>
      <c r="CC37" s="464" t="s">
        <v>5921</v>
      </c>
      <c r="CD37" s="464" t="s">
        <v>5921</v>
      </c>
      <c r="CE37" s="464" t="s">
        <v>5921</v>
      </c>
      <c r="CF37" s="464" t="s">
        <v>5921</v>
      </c>
      <c r="CG37" s="464">
        <v>1.0100969</v>
      </c>
      <c r="CH37" s="464">
        <v>4.3630382546079403E-3</v>
      </c>
      <c r="CI37" s="464">
        <v>1.6988812101088759</v>
      </c>
      <c r="CJ37" s="464">
        <v>43.701124375791032</v>
      </c>
      <c r="CK37" s="464">
        <v>-1.3653369446448822</v>
      </c>
      <c r="CL37" s="464">
        <v>602.60062928653213</v>
      </c>
      <c r="CM37" s="464" t="s">
        <v>892</v>
      </c>
      <c r="CN37" s="464" t="s">
        <v>893</v>
      </c>
      <c r="CO37" s="464">
        <v>-1.3653369446448818</v>
      </c>
      <c r="CP37" s="464">
        <v>23.426099463513918</v>
      </c>
      <c r="CQ37" s="464" t="s">
        <v>539</v>
      </c>
      <c r="CR37" s="464" t="s">
        <v>5921</v>
      </c>
      <c r="CS37" s="464">
        <v>24.391561898044461</v>
      </c>
      <c r="CT37" s="464">
        <v>0.94822196878647824</v>
      </c>
      <c r="CU37" s="464">
        <v>1</v>
      </c>
      <c r="CV37" s="464" t="s">
        <v>539</v>
      </c>
      <c r="CW37" s="464" t="s">
        <v>5921</v>
      </c>
    </row>
    <row r="38" spans="1:101" x14ac:dyDescent="0.2">
      <c r="A38" s="464">
        <v>244</v>
      </c>
      <c r="B38" s="464" t="s">
        <v>1072</v>
      </c>
      <c r="C38" s="464" t="s">
        <v>6526</v>
      </c>
      <c r="D38" s="464" t="s">
        <v>1073</v>
      </c>
      <c r="E38" s="464">
        <v>57966957</v>
      </c>
      <c r="F38" s="464" t="s">
        <v>1074</v>
      </c>
      <c r="G38" s="464" t="s">
        <v>8136</v>
      </c>
      <c r="H38" s="464" t="s">
        <v>1075</v>
      </c>
      <c r="I38" s="464" t="s">
        <v>1076</v>
      </c>
      <c r="J38" s="464" t="s">
        <v>5248</v>
      </c>
      <c r="K38" s="464" t="s">
        <v>6082</v>
      </c>
      <c r="L38" s="464" t="s">
        <v>6082</v>
      </c>
      <c r="M38" s="464" t="s">
        <v>6083</v>
      </c>
      <c r="N38" s="464" t="s">
        <v>5921</v>
      </c>
      <c r="O38" s="464" t="s">
        <v>5921</v>
      </c>
      <c r="P38" s="464" t="s">
        <v>5921</v>
      </c>
      <c r="Q38" s="464" t="s">
        <v>5921</v>
      </c>
      <c r="R38" s="464">
        <v>198.18</v>
      </c>
      <c r="S38" s="464">
        <v>890.00000000000011</v>
      </c>
      <c r="T38" s="464">
        <v>14010</v>
      </c>
      <c r="U38" s="464">
        <v>1435.687185676614</v>
      </c>
      <c r="V38" s="464">
        <v>1435.687185676614</v>
      </c>
      <c r="W38" s="464">
        <v>3.4</v>
      </c>
      <c r="X38" s="464">
        <v>4.24</v>
      </c>
      <c r="Y38" s="464">
        <v>0.59</v>
      </c>
      <c r="Z38" s="464">
        <v>0.76</v>
      </c>
      <c r="AA38" s="464">
        <v>0.78900000000000003</v>
      </c>
      <c r="AB38" s="464">
        <v>0.73</v>
      </c>
      <c r="AC38" s="464">
        <v>0.67</v>
      </c>
      <c r="AD38" s="464">
        <v>0.59</v>
      </c>
      <c r="AE38" s="464">
        <v>0.11</v>
      </c>
      <c r="AF38" s="464">
        <v>3.3099999999999999E-10</v>
      </c>
      <c r="AG38" s="464">
        <v>3.3099999999999999E-10</v>
      </c>
      <c r="AH38" s="464">
        <v>-7.8687383325369327</v>
      </c>
      <c r="AI38" s="464">
        <v>-7.8687383325369327</v>
      </c>
      <c r="AJ38" s="464">
        <v>-7.8687383325369327</v>
      </c>
      <c r="AK38" s="464">
        <v>-14.604329999999999</v>
      </c>
      <c r="AL38" s="464">
        <v>-7.58</v>
      </c>
      <c r="AM38" s="464">
        <v>5.59</v>
      </c>
      <c r="AN38" s="464">
        <v>-1.54</v>
      </c>
      <c r="AO38" s="464" t="s">
        <v>6311</v>
      </c>
      <c r="AP38" s="464" t="s">
        <v>6311</v>
      </c>
      <c r="AQ38" s="464" t="s">
        <v>6</v>
      </c>
      <c r="AR38" s="464" t="s">
        <v>266</v>
      </c>
      <c r="AS38" s="464" t="s">
        <v>8468</v>
      </c>
      <c r="AT38" s="464" t="s">
        <v>8469</v>
      </c>
      <c r="AU38" s="464" t="s">
        <v>8450</v>
      </c>
      <c r="AV38" s="464" t="s">
        <v>8446</v>
      </c>
      <c r="AW38" s="464" t="s">
        <v>267</v>
      </c>
      <c r="AX38" s="464" t="s">
        <v>268</v>
      </c>
      <c r="AY38" s="464" t="s">
        <v>8470</v>
      </c>
      <c r="AZ38" s="464" t="s">
        <v>888</v>
      </c>
      <c r="BA38" s="464" t="s">
        <v>270</v>
      </c>
      <c r="BB38" s="464" t="s">
        <v>8374</v>
      </c>
      <c r="BC38" s="464" t="s">
        <v>889</v>
      </c>
      <c r="BD38" s="464" t="s">
        <v>272</v>
      </c>
      <c r="BE38" s="464" t="s">
        <v>272</v>
      </c>
      <c r="BF38" s="464" t="s">
        <v>890</v>
      </c>
      <c r="BG38" s="464">
        <v>1.9818E-4</v>
      </c>
      <c r="BH38" s="464">
        <v>15.8544</v>
      </c>
      <c r="BI38" s="464" t="s">
        <v>5921</v>
      </c>
      <c r="BJ38" s="464">
        <v>1.5845860346962637</v>
      </c>
      <c r="BK38" s="464" t="s">
        <v>5921</v>
      </c>
      <c r="BL38" s="464" t="s">
        <v>5921</v>
      </c>
      <c r="BM38" s="464" t="s">
        <v>5921</v>
      </c>
      <c r="BN38" s="464" t="s">
        <v>5921</v>
      </c>
      <c r="BO38" s="464" t="s">
        <v>5921</v>
      </c>
      <c r="BP38" s="464" t="s">
        <v>5921</v>
      </c>
      <c r="BQ38" s="464">
        <v>15.366877200000003</v>
      </c>
      <c r="BR38" s="464" t="s">
        <v>5921</v>
      </c>
      <c r="BS38" s="464" t="s">
        <v>5921</v>
      </c>
      <c r="BT38" s="464" t="s">
        <v>5921</v>
      </c>
      <c r="BU38" s="464" t="s">
        <v>5921</v>
      </c>
      <c r="BV38" s="464" t="s">
        <v>5921</v>
      </c>
      <c r="BW38" s="464" t="s">
        <v>5921</v>
      </c>
      <c r="BX38" s="464" t="s">
        <v>5921</v>
      </c>
      <c r="BY38" s="464" t="s">
        <v>5921</v>
      </c>
      <c r="BZ38" s="464" t="s">
        <v>5921</v>
      </c>
      <c r="CA38" s="464" t="s">
        <v>5921</v>
      </c>
      <c r="CB38" s="464" t="s">
        <v>5921</v>
      </c>
      <c r="CC38" s="464" t="s">
        <v>5921</v>
      </c>
      <c r="CD38" s="464" t="s">
        <v>5921</v>
      </c>
      <c r="CE38" s="464" t="s">
        <v>5921</v>
      </c>
      <c r="CF38" s="464" t="s">
        <v>5921</v>
      </c>
      <c r="CG38" s="464">
        <v>15.366877200000003</v>
      </c>
      <c r="CH38" s="464">
        <v>1.1865856207462491</v>
      </c>
      <c r="CI38" s="464">
        <v>9.9946137015356221E-2</v>
      </c>
      <c r="CJ38" s="464">
        <v>0.10311698428202858</v>
      </c>
      <c r="CK38" s="464">
        <v>1.4623979978989561</v>
      </c>
      <c r="CL38" s="464">
        <v>0.54670344827586204</v>
      </c>
      <c r="CM38" s="464" t="s">
        <v>892</v>
      </c>
      <c r="CN38" s="464" t="s">
        <v>893</v>
      </c>
      <c r="CO38" s="464">
        <v>1.6238639164548616</v>
      </c>
      <c r="CP38" s="464">
        <v>0.36536059368012092</v>
      </c>
      <c r="CQ38" s="464" t="s">
        <v>539</v>
      </c>
      <c r="CR38" s="464" t="s">
        <v>5921</v>
      </c>
      <c r="CS38" s="464">
        <v>93.427387164687815</v>
      </c>
      <c r="CT38" s="464">
        <v>90.554495009373682</v>
      </c>
      <c r="CU38" s="464">
        <v>1</v>
      </c>
      <c r="CV38" s="464" t="s">
        <v>539</v>
      </c>
      <c r="CW38" s="464" t="s">
        <v>5921</v>
      </c>
    </row>
    <row r="39" spans="1:101" x14ac:dyDescent="0.2">
      <c r="A39" s="464">
        <v>247</v>
      </c>
      <c r="B39" s="464" t="s">
        <v>1077</v>
      </c>
      <c r="C39" s="464" t="s">
        <v>6581</v>
      </c>
      <c r="D39" s="464" t="s">
        <v>1078</v>
      </c>
      <c r="E39" s="464">
        <v>121552612</v>
      </c>
      <c r="F39" s="464" t="s">
        <v>1079</v>
      </c>
      <c r="G39" s="464" t="s">
        <v>1079</v>
      </c>
      <c r="H39" s="464" t="s">
        <v>1080</v>
      </c>
      <c r="I39" s="464" t="s">
        <v>426</v>
      </c>
      <c r="J39" s="464" t="s">
        <v>5969</v>
      </c>
      <c r="K39" s="464" t="s">
        <v>6082</v>
      </c>
      <c r="L39" s="464" t="s">
        <v>6082</v>
      </c>
      <c r="M39" s="464" t="s">
        <v>6083</v>
      </c>
      <c r="N39" s="464" t="s">
        <v>8470</v>
      </c>
      <c r="O39" s="464" t="s">
        <v>6173</v>
      </c>
      <c r="P39" s="464" t="s">
        <v>8448</v>
      </c>
      <c r="Q39" s="464" t="s">
        <v>6173</v>
      </c>
      <c r="R39" s="464">
        <v>225.29</v>
      </c>
      <c r="S39" s="464">
        <v>13</v>
      </c>
      <c r="T39" s="464">
        <v>12.38</v>
      </c>
      <c r="U39" s="464">
        <v>11.291247186388819</v>
      </c>
      <c r="V39" s="464">
        <v>11.291247186388819</v>
      </c>
      <c r="W39" s="464">
        <v>7.09</v>
      </c>
      <c r="X39" s="464">
        <v>3.99</v>
      </c>
      <c r="Y39" s="464">
        <v>4</v>
      </c>
      <c r="Z39" s="464">
        <v>3.5</v>
      </c>
      <c r="AA39" s="464">
        <v>0.81540000000000001</v>
      </c>
      <c r="AB39" s="464">
        <v>3.62</v>
      </c>
      <c r="AC39" s="464">
        <v>4</v>
      </c>
      <c r="AD39" s="464">
        <v>4</v>
      </c>
      <c r="AE39" s="464">
        <v>3.52</v>
      </c>
      <c r="AF39" s="464">
        <v>1.9099999999999999E-6</v>
      </c>
      <c r="AG39" s="464">
        <v>8.3900000000000004E-8</v>
      </c>
      <c r="AH39" s="464">
        <v>-4.1075329590649243</v>
      </c>
      <c r="AI39" s="464">
        <v>-5.4648043654839515</v>
      </c>
      <c r="AJ39" s="464">
        <v>-5.4648043654839515</v>
      </c>
      <c r="AK39" s="464">
        <v>-10.070709999999998</v>
      </c>
      <c r="AL39" s="464">
        <v>-5.85</v>
      </c>
      <c r="AM39" s="464" t="s">
        <v>5921</v>
      </c>
      <c r="AN39" s="464">
        <v>3.8</v>
      </c>
      <c r="AO39" s="464" t="s">
        <v>6311</v>
      </c>
      <c r="AP39" s="464" t="s">
        <v>6311</v>
      </c>
      <c r="AQ39" s="464" t="s">
        <v>6</v>
      </c>
      <c r="AR39" s="464" t="s">
        <v>266</v>
      </c>
      <c r="AS39" s="464" t="s">
        <v>8468</v>
      </c>
      <c r="AT39" s="464" t="s">
        <v>8469</v>
      </c>
      <c r="AU39" s="464" t="s">
        <v>8450</v>
      </c>
      <c r="AV39" s="464" t="s">
        <v>8446</v>
      </c>
      <c r="AW39" s="464" t="s">
        <v>267</v>
      </c>
      <c r="AX39" s="464" t="s">
        <v>268</v>
      </c>
      <c r="AY39" s="464" t="s">
        <v>8453</v>
      </c>
      <c r="AZ39" s="464" t="s">
        <v>888</v>
      </c>
      <c r="BA39" s="464" t="s">
        <v>270</v>
      </c>
      <c r="BB39" s="464" t="s">
        <v>8374</v>
      </c>
      <c r="BC39" s="464" t="s">
        <v>889</v>
      </c>
      <c r="BD39" s="464" t="s">
        <v>272</v>
      </c>
      <c r="BE39" s="464" t="s">
        <v>272</v>
      </c>
      <c r="BF39" s="464" t="s">
        <v>890</v>
      </c>
      <c r="BG39" s="464">
        <v>2.2528999999999998E-4</v>
      </c>
      <c r="BH39" s="464">
        <v>18.023199999999999</v>
      </c>
      <c r="BI39" s="464" t="s">
        <v>5921</v>
      </c>
      <c r="BJ39" s="464">
        <v>3.0208065550301022</v>
      </c>
      <c r="BK39" s="464" t="s">
        <v>5921</v>
      </c>
      <c r="BL39" s="464" t="s">
        <v>5921</v>
      </c>
      <c r="BM39" s="464" t="s">
        <v>5921</v>
      </c>
      <c r="BN39" s="464" t="s">
        <v>5921</v>
      </c>
      <c r="BO39" s="464" t="s">
        <v>5921</v>
      </c>
      <c r="BP39" s="464" t="s">
        <v>5921</v>
      </c>
      <c r="BQ39" s="464">
        <v>3.4650978907622685</v>
      </c>
      <c r="BR39" s="464" t="s">
        <v>5921</v>
      </c>
      <c r="BS39" s="464" t="s">
        <v>5921</v>
      </c>
      <c r="BT39" s="464" t="s">
        <v>5921</v>
      </c>
      <c r="BU39" s="464" t="s">
        <v>5921</v>
      </c>
      <c r="BV39" s="464" t="s">
        <v>5921</v>
      </c>
      <c r="BW39" s="464" t="s">
        <v>5921</v>
      </c>
      <c r="BX39" s="464" t="s">
        <v>5921</v>
      </c>
      <c r="BY39" s="464" t="s">
        <v>5921</v>
      </c>
      <c r="BZ39" s="464" t="s">
        <v>5921</v>
      </c>
      <c r="CA39" s="464" t="s">
        <v>5921</v>
      </c>
      <c r="CB39" s="464" t="s">
        <v>5921</v>
      </c>
      <c r="CC39" s="464" t="s">
        <v>5921</v>
      </c>
      <c r="CD39" s="464" t="s">
        <v>5921</v>
      </c>
      <c r="CE39" s="464" t="s">
        <v>5921</v>
      </c>
      <c r="CF39" s="464" t="s">
        <v>5921</v>
      </c>
      <c r="CG39" s="464">
        <v>3.4650978907622685</v>
      </c>
      <c r="CH39" s="464">
        <v>0.53971550815918601</v>
      </c>
      <c r="CI39" s="464">
        <v>0.16760656015746939</v>
      </c>
      <c r="CJ39" s="464">
        <v>0.87178101463839774</v>
      </c>
      <c r="CK39" s="464">
        <v>0.38201704257486818</v>
      </c>
      <c r="CL39" s="464">
        <v>7.4785062240663933</v>
      </c>
      <c r="CM39" s="464" t="s">
        <v>892</v>
      </c>
      <c r="CN39" s="464" t="s">
        <v>893</v>
      </c>
      <c r="CO39" s="464">
        <v>0.40854117149979308</v>
      </c>
      <c r="CP39" s="464">
        <v>1.3526154278660356</v>
      </c>
      <c r="CQ39" s="464" t="s">
        <v>539</v>
      </c>
      <c r="CR39" s="464" t="s">
        <v>5921</v>
      </c>
      <c r="CS39" s="464">
        <v>3.2585651379404226</v>
      </c>
      <c r="CT39" s="464">
        <v>0.62648404203409047</v>
      </c>
      <c r="CU39" s="464">
        <v>1</v>
      </c>
      <c r="CV39" s="464" t="s">
        <v>539</v>
      </c>
      <c r="CW39" s="464" t="s">
        <v>5921</v>
      </c>
    </row>
    <row r="40" spans="1:101" x14ac:dyDescent="0.2">
      <c r="A40" s="464">
        <v>259</v>
      </c>
      <c r="B40" s="464" t="s">
        <v>7458</v>
      </c>
      <c r="C40" s="464" t="s">
        <v>8395</v>
      </c>
      <c r="D40" s="464" t="s">
        <v>3767</v>
      </c>
      <c r="E40" s="464">
        <v>57754855</v>
      </c>
      <c r="F40" s="464" t="s">
        <v>6188</v>
      </c>
      <c r="G40" s="464" t="s">
        <v>8135</v>
      </c>
      <c r="H40" s="464" t="s">
        <v>3768</v>
      </c>
      <c r="I40" s="464" t="s">
        <v>5921</v>
      </c>
      <c r="J40" s="464" t="s">
        <v>6032</v>
      </c>
      <c r="K40" s="464" t="s">
        <v>2342</v>
      </c>
      <c r="L40" s="464" t="s">
        <v>2342</v>
      </c>
      <c r="M40" s="464" t="s">
        <v>5921</v>
      </c>
      <c r="N40" s="464" t="s">
        <v>5921</v>
      </c>
      <c r="O40" s="464" t="s">
        <v>6173</v>
      </c>
      <c r="P40" s="464" t="s">
        <v>6082</v>
      </c>
      <c r="Q40" s="464" t="s">
        <v>6173</v>
      </c>
      <c r="R40" s="464">
        <v>192</v>
      </c>
      <c r="S40" s="464">
        <v>7850</v>
      </c>
      <c r="T40" s="464">
        <v>5974</v>
      </c>
      <c r="U40" s="464">
        <v>5050.1145444391304</v>
      </c>
      <c r="V40" s="464">
        <v>5050.1145444391304</v>
      </c>
      <c r="W40" s="464">
        <v>1.93</v>
      </c>
      <c r="X40" s="464">
        <v>1.63</v>
      </c>
      <c r="Y40" s="464">
        <v>1.06</v>
      </c>
      <c r="Z40" s="464">
        <v>1.97</v>
      </c>
      <c r="AA40" s="464">
        <v>0.83960000000000001</v>
      </c>
      <c r="AB40" s="464">
        <v>1.8</v>
      </c>
      <c r="AC40" s="464">
        <v>1.31</v>
      </c>
      <c r="AD40" s="464">
        <v>1.06</v>
      </c>
      <c r="AE40" s="464">
        <v>0.87</v>
      </c>
      <c r="AF40" s="464">
        <v>4.9200000000000004E-9</v>
      </c>
      <c r="AG40" s="464" t="s">
        <v>5921</v>
      </c>
      <c r="AH40" s="464">
        <v>-6.6966012235452919</v>
      </c>
      <c r="AI40" s="464" t="s">
        <v>5921</v>
      </c>
      <c r="AJ40" s="464">
        <v>-6.6966012235452919</v>
      </c>
      <c r="AK40" s="464">
        <v>-10.62134</v>
      </c>
      <c r="AL40" s="464">
        <v>-16.5</v>
      </c>
      <c r="AM40" s="464">
        <v>2.02</v>
      </c>
      <c r="AN40" s="464">
        <v>-3.21</v>
      </c>
      <c r="AO40" s="464" t="s">
        <v>6311</v>
      </c>
      <c r="AP40" s="464" t="s">
        <v>6311</v>
      </c>
      <c r="AQ40" s="464" t="s">
        <v>3769</v>
      </c>
      <c r="AR40" s="464" t="s">
        <v>266</v>
      </c>
      <c r="AS40" s="464" t="s">
        <v>8468</v>
      </c>
      <c r="AT40" s="464" t="s">
        <v>8469</v>
      </c>
      <c r="AU40" s="464" t="s">
        <v>8450</v>
      </c>
      <c r="AV40" s="464" t="s">
        <v>8446</v>
      </c>
      <c r="AW40" s="464" t="s">
        <v>267</v>
      </c>
      <c r="AX40" s="464" t="s">
        <v>2253</v>
      </c>
      <c r="AY40" s="464" t="s">
        <v>8453</v>
      </c>
      <c r="AZ40" s="464" t="s">
        <v>2254</v>
      </c>
      <c r="BA40" s="464" t="s">
        <v>270</v>
      </c>
      <c r="BB40" s="464" t="s">
        <v>8374</v>
      </c>
      <c r="BC40" s="464" t="s">
        <v>1712</v>
      </c>
      <c r="BD40" s="464" t="s">
        <v>272</v>
      </c>
      <c r="BE40" s="464" t="s">
        <v>272</v>
      </c>
      <c r="BF40" s="464" t="s">
        <v>2255</v>
      </c>
      <c r="BG40" s="464">
        <v>1.92E-4</v>
      </c>
      <c r="BH40" s="464">
        <v>15.36</v>
      </c>
      <c r="BI40" s="464" t="s">
        <v>5921</v>
      </c>
      <c r="BJ40" s="464" t="s">
        <v>5921</v>
      </c>
      <c r="BK40" s="464" t="s">
        <v>5921</v>
      </c>
      <c r="BL40" s="464" t="s">
        <v>5921</v>
      </c>
      <c r="BM40" s="464" t="s">
        <v>5921</v>
      </c>
      <c r="BN40" s="464" t="s">
        <v>5921</v>
      </c>
      <c r="BO40" s="464" t="s">
        <v>5921</v>
      </c>
      <c r="BP40" s="464" t="s">
        <v>5921</v>
      </c>
      <c r="BQ40" s="464" t="s">
        <v>5921</v>
      </c>
      <c r="BR40" s="464" t="s">
        <v>5921</v>
      </c>
      <c r="BS40" s="464" t="s">
        <v>5921</v>
      </c>
      <c r="BT40" s="464" t="s">
        <v>5921</v>
      </c>
      <c r="BU40" s="464" t="s">
        <v>5921</v>
      </c>
      <c r="BV40" s="464" t="s">
        <v>5921</v>
      </c>
      <c r="BW40" s="464" t="s">
        <v>5921</v>
      </c>
      <c r="BX40" s="464" t="s">
        <v>5921</v>
      </c>
      <c r="BY40" s="464" t="s">
        <v>5921</v>
      </c>
      <c r="BZ40" s="464" t="s">
        <v>5921</v>
      </c>
      <c r="CA40" s="464" t="s">
        <v>5921</v>
      </c>
      <c r="CB40" s="464" t="s">
        <v>5921</v>
      </c>
      <c r="CC40" s="464" t="s">
        <v>5921</v>
      </c>
      <c r="CD40" s="464" t="s">
        <v>5921</v>
      </c>
      <c r="CE40" s="464" t="s">
        <v>5921</v>
      </c>
      <c r="CF40" s="464" t="s">
        <v>5921</v>
      </c>
      <c r="CG40" s="464" t="s">
        <v>5921</v>
      </c>
      <c r="CH40" s="464" t="s">
        <v>5921</v>
      </c>
      <c r="CI40" s="464">
        <v>0</v>
      </c>
      <c r="CJ40" s="464" t="s">
        <v>5921</v>
      </c>
      <c r="CK40" s="464" t="s">
        <v>5921</v>
      </c>
      <c r="CL40" s="464" t="s">
        <v>5921</v>
      </c>
      <c r="CM40" s="464" t="s">
        <v>892</v>
      </c>
      <c r="CN40" s="464" t="s">
        <v>893</v>
      </c>
      <c r="CO40" s="464">
        <v>2.7698956052958783</v>
      </c>
      <c r="CP40" s="464" t="s">
        <v>5921</v>
      </c>
      <c r="CQ40" s="464" t="s">
        <v>539</v>
      </c>
      <c r="CR40" s="464" t="s">
        <v>5921</v>
      </c>
      <c r="CS40" s="464" t="s">
        <v>5921</v>
      </c>
      <c r="CT40" s="464">
        <v>328.78349898692255</v>
      </c>
      <c r="CU40" s="464">
        <v>1</v>
      </c>
      <c r="CV40" s="464" t="s">
        <v>539</v>
      </c>
      <c r="CW40" s="464" t="s">
        <v>5921</v>
      </c>
    </row>
    <row r="41" spans="1:101" x14ac:dyDescent="0.2">
      <c r="A41" s="464">
        <v>268</v>
      </c>
      <c r="B41" s="464" t="s">
        <v>1113</v>
      </c>
      <c r="C41" s="464" t="s">
        <v>6569</v>
      </c>
      <c r="D41" s="464" t="s">
        <v>1114</v>
      </c>
      <c r="E41" s="464">
        <v>87674688</v>
      </c>
      <c r="F41" s="464" t="s">
        <v>1115</v>
      </c>
      <c r="G41" s="464" t="s">
        <v>8297</v>
      </c>
      <c r="H41" s="464" t="s">
        <v>1116</v>
      </c>
      <c r="I41" s="464" t="s">
        <v>1117</v>
      </c>
      <c r="J41" s="464" t="s">
        <v>5972</v>
      </c>
      <c r="K41" s="464" t="s">
        <v>6082</v>
      </c>
      <c r="L41" s="464" t="s">
        <v>6082</v>
      </c>
      <c r="M41" s="464" t="s">
        <v>6083</v>
      </c>
      <c r="N41" s="464" t="s">
        <v>5921</v>
      </c>
      <c r="O41" s="464" t="s">
        <v>5921</v>
      </c>
      <c r="P41" s="464" t="s">
        <v>5921</v>
      </c>
      <c r="Q41" s="464" t="s">
        <v>5921</v>
      </c>
      <c r="R41" s="464">
        <v>275.8</v>
      </c>
      <c r="S41" s="464">
        <v>1200</v>
      </c>
      <c r="T41" s="464">
        <v>247</v>
      </c>
      <c r="U41" s="464">
        <v>759.61627638066591</v>
      </c>
      <c r="V41" s="464">
        <v>759.61627638066591</v>
      </c>
      <c r="W41" s="464">
        <v>7.01</v>
      </c>
      <c r="X41" s="464">
        <v>2.57</v>
      </c>
      <c r="Y41" s="464">
        <v>2.15</v>
      </c>
      <c r="Z41" s="464">
        <v>2.52</v>
      </c>
      <c r="AA41" s="464">
        <v>0.83440000000000003</v>
      </c>
      <c r="AB41" s="464">
        <v>2.4500000000000002</v>
      </c>
      <c r="AC41" s="464">
        <v>2.15</v>
      </c>
      <c r="AD41" s="464">
        <v>2.15</v>
      </c>
      <c r="AE41" s="464">
        <v>3.03</v>
      </c>
      <c r="AF41" s="464">
        <v>6.0799999999999997E-10</v>
      </c>
      <c r="AG41" s="464">
        <v>8.2000000000000006E-8</v>
      </c>
      <c r="AH41" s="464">
        <v>-7.6046627470399173</v>
      </c>
      <c r="AI41" s="464">
        <v>-5.4747524739289348</v>
      </c>
      <c r="AJ41" s="464">
        <v>-5.4747524739289348</v>
      </c>
      <c r="AK41" s="464">
        <v>-10.136889999999999</v>
      </c>
      <c r="AL41" s="464">
        <v>-5.57</v>
      </c>
      <c r="AM41" s="464" t="s">
        <v>5921</v>
      </c>
      <c r="AN41" s="464">
        <v>1.1599999999999999</v>
      </c>
      <c r="AO41" s="464" t="s">
        <v>6311</v>
      </c>
      <c r="AP41" s="464" t="s">
        <v>6311</v>
      </c>
      <c r="AQ41" s="464" t="s">
        <v>6</v>
      </c>
      <c r="AR41" s="464" t="s">
        <v>266</v>
      </c>
      <c r="AS41" s="464" t="s">
        <v>8468</v>
      </c>
      <c r="AT41" s="464" t="s">
        <v>8469</v>
      </c>
      <c r="AU41" s="464" t="s">
        <v>8450</v>
      </c>
      <c r="AV41" s="464" t="s">
        <v>8446</v>
      </c>
      <c r="AW41" s="464" t="s">
        <v>267</v>
      </c>
      <c r="AX41" s="464" t="s">
        <v>268</v>
      </c>
      <c r="AY41" s="464" t="s">
        <v>8453</v>
      </c>
      <c r="AZ41" s="464" t="s">
        <v>888</v>
      </c>
      <c r="BA41" s="464" t="s">
        <v>270</v>
      </c>
      <c r="BB41" s="464" t="s">
        <v>8374</v>
      </c>
      <c r="BC41" s="464" t="s">
        <v>889</v>
      </c>
      <c r="BD41" s="464" t="s">
        <v>272</v>
      </c>
      <c r="BE41" s="464" t="s">
        <v>272</v>
      </c>
      <c r="BF41" s="464" t="s">
        <v>890</v>
      </c>
      <c r="BG41" s="464">
        <v>2.7579999999999998E-4</v>
      </c>
      <c r="BH41" s="464">
        <v>22.064</v>
      </c>
      <c r="BI41" s="464" t="s">
        <v>5921</v>
      </c>
      <c r="BJ41" s="464">
        <v>69.707139569413968</v>
      </c>
      <c r="BK41" s="464" t="s">
        <v>5921</v>
      </c>
      <c r="BL41" s="464" t="s">
        <v>5921</v>
      </c>
      <c r="BM41" s="464" t="s">
        <v>5921</v>
      </c>
      <c r="BN41" s="464" t="s">
        <v>5921</v>
      </c>
      <c r="BO41" s="464" t="s">
        <v>5921</v>
      </c>
      <c r="BP41" s="464" t="s">
        <v>5921</v>
      </c>
      <c r="BQ41" s="464">
        <v>12.732285418101497</v>
      </c>
      <c r="BR41" s="464" t="s">
        <v>5921</v>
      </c>
      <c r="BS41" s="464" t="s">
        <v>5921</v>
      </c>
      <c r="BT41" s="464" t="s">
        <v>5921</v>
      </c>
      <c r="BU41" s="464" t="s">
        <v>5921</v>
      </c>
      <c r="BV41" s="464" t="s">
        <v>5921</v>
      </c>
      <c r="BW41" s="464" t="s">
        <v>5921</v>
      </c>
      <c r="BX41" s="464" t="s">
        <v>5921</v>
      </c>
      <c r="BY41" s="464" t="s">
        <v>5921</v>
      </c>
      <c r="BZ41" s="464" t="s">
        <v>5921</v>
      </c>
      <c r="CA41" s="464" t="s">
        <v>5921</v>
      </c>
      <c r="CB41" s="464" t="s">
        <v>5921</v>
      </c>
      <c r="CC41" s="464" t="s">
        <v>5921</v>
      </c>
      <c r="CD41" s="464" t="s">
        <v>5921</v>
      </c>
      <c r="CE41" s="464" t="s">
        <v>5921</v>
      </c>
      <c r="CF41" s="464" t="s">
        <v>5921</v>
      </c>
      <c r="CG41" s="464">
        <v>12.732285418101497</v>
      </c>
      <c r="CH41" s="464">
        <v>1.1049063655849345</v>
      </c>
      <c r="CI41" s="464">
        <v>3.1593156077508144</v>
      </c>
      <c r="CJ41" s="464">
        <v>5.4748332510918489</v>
      </c>
      <c r="CK41" s="464">
        <v>0.41497334797081775</v>
      </c>
      <c r="CL41" s="464">
        <v>8.486153846153849</v>
      </c>
      <c r="CM41" s="464" t="s">
        <v>892</v>
      </c>
      <c r="CN41" s="464" t="s">
        <v>893</v>
      </c>
      <c r="CO41" s="464">
        <v>0.61057666097735264</v>
      </c>
      <c r="CP41" s="464">
        <v>3.1212582595929037</v>
      </c>
      <c r="CQ41" s="464" t="s">
        <v>539</v>
      </c>
      <c r="CR41" s="464" t="s">
        <v>5921</v>
      </c>
      <c r="CS41" s="464">
        <v>59.660638403590845</v>
      </c>
      <c r="CT41" s="464">
        <v>34.427858791727061</v>
      </c>
      <c r="CU41" s="464">
        <v>1</v>
      </c>
      <c r="CV41" s="464" t="s">
        <v>539</v>
      </c>
      <c r="CW41" s="464" t="s">
        <v>5921</v>
      </c>
    </row>
    <row r="42" spans="1:101" x14ac:dyDescent="0.2">
      <c r="A42" s="464">
        <v>291</v>
      </c>
      <c r="B42" s="464" t="s">
        <v>1150</v>
      </c>
      <c r="C42" s="464" t="s">
        <v>6648</v>
      </c>
      <c r="D42" s="464" t="s">
        <v>1151</v>
      </c>
      <c r="E42" s="464">
        <v>161326347</v>
      </c>
      <c r="F42" s="464" t="s">
        <v>1152</v>
      </c>
      <c r="G42" s="464" t="s">
        <v>8330</v>
      </c>
      <c r="H42" s="464" t="s">
        <v>1153</v>
      </c>
      <c r="I42" s="464" t="s">
        <v>483</v>
      </c>
      <c r="J42" s="464" t="s">
        <v>5977</v>
      </c>
      <c r="K42" s="464" t="s">
        <v>6082</v>
      </c>
      <c r="L42" s="464" t="s">
        <v>6082</v>
      </c>
      <c r="M42" s="464" t="s">
        <v>6083</v>
      </c>
      <c r="N42" s="464" t="s">
        <v>5921</v>
      </c>
      <c r="O42" s="464" t="s">
        <v>5921</v>
      </c>
      <c r="P42" s="464" t="s">
        <v>5921</v>
      </c>
      <c r="Q42" s="464" t="s">
        <v>5921</v>
      </c>
      <c r="R42" s="464">
        <v>311.39999999999998</v>
      </c>
      <c r="S42" s="464" t="s">
        <v>5921</v>
      </c>
      <c r="T42" s="464">
        <v>11.95</v>
      </c>
      <c r="U42" s="464">
        <v>13.593103015958755</v>
      </c>
      <c r="V42" s="464">
        <v>13.593103015958755</v>
      </c>
      <c r="W42" s="464">
        <v>7</v>
      </c>
      <c r="X42" s="464">
        <v>3.45</v>
      </c>
      <c r="Y42" s="464" t="s">
        <v>5921</v>
      </c>
      <c r="Z42" s="464">
        <v>2.71</v>
      </c>
      <c r="AA42" s="464">
        <v>0.69220000000000004</v>
      </c>
      <c r="AB42" s="464">
        <v>3.02</v>
      </c>
      <c r="AC42" s="464">
        <v>3.61</v>
      </c>
      <c r="AD42" s="464">
        <v>3.02</v>
      </c>
      <c r="AE42" s="464">
        <v>3.31</v>
      </c>
      <c r="AF42" s="464">
        <v>2.8199999999999999E-14</v>
      </c>
      <c r="AG42" s="464" t="s">
        <v>5921</v>
      </c>
      <c r="AH42" s="464">
        <v>-11.938317217993291</v>
      </c>
      <c r="AI42" s="464" t="s">
        <v>5921</v>
      </c>
      <c r="AJ42" s="464">
        <v>-11.938317217993291</v>
      </c>
      <c r="AK42" s="464">
        <v>-17.162509999999997</v>
      </c>
      <c r="AL42" s="464">
        <v>-9.2799999999999994</v>
      </c>
      <c r="AM42" s="464" t="s">
        <v>5921</v>
      </c>
      <c r="AN42" s="464">
        <v>0.49</v>
      </c>
      <c r="AO42" s="464" t="s">
        <v>6311</v>
      </c>
      <c r="AP42" s="464" t="s">
        <v>6311</v>
      </c>
      <c r="AQ42" s="464" t="s">
        <v>1154</v>
      </c>
      <c r="AR42" s="464" t="s">
        <v>266</v>
      </c>
      <c r="AS42" s="464" t="s">
        <v>8468</v>
      </c>
      <c r="AT42" s="464" t="s">
        <v>8469</v>
      </c>
      <c r="AU42" s="464" t="s">
        <v>8450</v>
      </c>
      <c r="AV42" s="464" t="s">
        <v>8446</v>
      </c>
      <c r="AW42" s="464" t="s">
        <v>267</v>
      </c>
      <c r="AX42" s="464" t="s">
        <v>268</v>
      </c>
      <c r="AY42" s="464" t="s">
        <v>8453</v>
      </c>
      <c r="AZ42" s="464" t="s">
        <v>888</v>
      </c>
      <c r="BA42" s="464" t="s">
        <v>270</v>
      </c>
      <c r="BB42" s="464" t="s">
        <v>8374</v>
      </c>
      <c r="BC42" s="464" t="s">
        <v>889</v>
      </c>
      <c r="BD42" s="464" t="s">
        <v>272</v>
      </c>
      <c r="BE42" s="464" t="s">
        <v>272</v>
      </c>
      <c r="BF42" s="464" t="s">
        <v>890</v>
      </c>
      <c r="BG42" s="464">
        <v>3.1139999999999998E-4</v>
      </c>
      <c r="BH42" s="464">
        <v>24.911999999999999</v>
      </c>
      <c r="BI42" s="464" t="s">
        <v>5921</v>
      </c>
      <c r="BJ42" s="464">
        <v>12.754798682260546</v>
      </c>
      <c r="BK42" s="464" t="s">
        <v>5921</v>
      </c>
      <c r="BL42" s="464" t="s">
        <v>5921</v>
      </c>
      <c r="BM42" s="464" t="s">
        <v>5921</v>
      </c>
      <c r="BN42" s="464" t="s">
        <v>5921</v>
      </c>
      <c r="BO42" s="464" t="s">
        <v>5921</v>
      </c>
      <c r="BP42" s="464" t="s">
        <v>5921</v>
      </c>
      <c r="BQ42" s="464">
        <v>0.9217439999999999</v>
      </c>
      <c r="BR42" s="464" t="s">
        <v>5921</v>
      </c>
      <c r="BS42" s="464" t="s">
        <v>5921</v>
      </c>
      <c r="BT42" s="464" t="s">
        <v>5921</v>
      </c>
      <c r="BU42" s="464" t="s">
        <v>5921</v>
      </c>
      <c r="BV42" s="464" t="s">
        <v>5921</v>
      </c>
      <c r="BW42" s="464" t="s">
        <v>5921</v>
      </c>
      <c r="BX42" s="464" t="s">
        <v>5921</v>
      </c>
      <c r="BY42" s="464" t="s">
        <v>5921</v>
      </c>
      <c r="BZ42" s="464" t="s">
        <v>5921</v>
      </c>
      <c r="CA42" s="464" t="s">
        <v>5921</v>
      </c>
      <c r="CB42" s="464" t="s">
        <v>5921</v>
      </c>
      <c r="CC42" s="464" t="s">
        <v>5921</v>
      </c>
      <c r="CD42" s="464" t="s">
        <v>5921</v>
      </c>
      <c r="CE42" s="464" t="s">
        <v>5921</v>
      </c>
      <c r="CF42" s="464" t="s">
        <v>5921</v>
      </c>
      <c r="CG42" s="464">
        <v>0.9217439999999999</v>
      </c>
      <c r="CH42" s="464">
        <v>-3.5389680708959981E-2</v>
      </c>
      <c r="CI42" s="464">
        <v>0.51199416675740794</v>
      </c>
      <c r="CJ42" s="464">
        <v>13.837680182632647</v>
      </c>
      <c r="CK42" s="464">
        <v>-0.13076828026902421</v>
      </c>
      <c r="CL42" s="464">
        <v>33.664864864864896</v>
      </c>
      <c r="CM42" s="464" t="s">
        <v>892</v>
      </c>
      <c r="CN42" s="464" t="s">
        <v>893</v>
      </c>
      <c r="CO42" s="464">
        <v>-0.13076828026902382</v>
      </c>
      <c r="CP42" s="464">
        <v>1.2455999999999998</v>
      </c>
      <c r="CQ42" s="464" t="s">
        <v>539</v>
      </c>
      <c r="CR42" s="464" t="s">
        <v>5921</v>
      </c>
      <c r="CS42" s="464">
        <v>14.747156494600189</v>
      </c>
      <c r="CT42" s="464">
        <v>0.54564479030020696</v>
      </c>
      <c r="CU42" s="464">
        <v>1</v>
      </c>
      <c r="CV42" s="464" t="s">
        <v>539</v>
      </c>
      <c r="CW42" s="464" t="s">
        <v>5921</v>
      </c>
    </row>
    <row r="43" spans="1:101" x14ac:dyDescent="0.2">
      <c r="A43" s="464">
        <v>295</v>
      </c>
      <c r="B43" s="464" t="s">
        <v>1164</v>
      </c>
      <c r="C43" s="464" t="s">
        <v>6657</v>
      </c>
      <c r="D43" s="464" t="s">
        <v>1165</v>
      </c>
      <c r="E43" s="464">
        <v>126833178</v>
      </c>
      <c r="F43" s="464" t="s">
        <v>1166</v>
      </c>
      <c r="G43" s="464" t="s">
        <v>8166</v>
      </c>
      <c r="H43" s="464" t="s">
        <v>1167</v>
      </c>
      <c r="I43" s="464" t="s">
        <v>464</v>
      </c>
      <c r="J43" s="464" t="s">
        <v>5979</v>
      </c>
      <c r="K43" s="464" t="s">
        <v>6082</v>
      </c>
      <c r="L43" s="464" t="s">
        <v>6082</v>
      </c>
      <c r="M43" s="464" t="s">
        <v>6083</v>
      </c>
      <c r="N43" s="464" t="s">
        <v>8470</v>
      </c>
      <c r="O43" s="464" t="s">
        <v>6173</v>
      </c>
      <c r="P43" s="464" t="s">
        <v>8448</v>
      </c>
      <c r="Q43" s="464" t="s">
        <v>6173</v>
      </c>
      <c r="R43" s="464">
        <v>302.2</v>
      </c>
      <c r="S43" s="464" t="s">
        <v>5921</v>
      </c>
      <c r="T43" s="464">
        <v>11.99</v>
      </c>
      <c r="U43" s="464">
        <v>18.633500956253982</v>
      </c>
      <c r="V43" s="464">
        <v>18.633500956253982</v>
      </c>
      <c r="W43" s="464">
        <v>5.94</v>
      </c>
      <c r="X43" s="464">
        <v>3.72</v>
      </c>
      <c r="Y43" s="464">
        <v>3.51</v>
      </c>
      <c r="Z43" s="464">
        <v>4.93</v>
      </c>
      <c r="AA43" s="464">
        <v>0.39019999999999999</v>
      </c>
      <c r="AB43" s="464">
        <v>4.3600000000000003</v>
      </c>
      <c r="AC43" s="464">
        <v>4.0199999999999996</v>
      </c>
      <c r="AD43" s="464">
        <v>3.51</v>
      </c>
      <c r="AE43" s="464">
        <v>4.0199999999999996</v>
      </c>
      <c r="AF43" s="464">
        <v>8.5100000000000001E-13</v>
      </c>
      <c r="AG43" s="464" t="s">
        <v>5921</v>
      </c>
      <c r="AH43" s="464">
        <v>-10.458636766228064</v>
      </c>
      <c r="AI43" s="464" t="s">
        <v>5921</v>
      </c>
      <c r="AJ43" s="464">
        <v>-10.458636766228064</v>
      </c>
      <c r="AK43" s="464">
        <v>-14.288309999999999</v>
      </c>
      <c r="AL43" s="464">
        <v>-10.199999999999999</v>
      </c>
      <c r="AM43" s="464">
        <v>7.73</v>
      </c>
      <c r="AN43" s="464" t="s">
        <v>5921</v>
      </c>
      <c r="AO43" s="464" t="s">
        <v>6311</v>
      </c>
      <c r="AP43" s="464" t="s">
        <v>6311</v>
      </c>
      <c r="AQ43" s="464" t="s">
        <v>63</v>
      </c>
      <c r="AR43" s="464" t="s">
        <v>266</v>
      </c>
      <c r="AS43" s="464" t="s">
        <v>8468</v>
      </c>
      <c r="AT43" s="464" t="s">
        <v>8469</v>
      </c>
      <c r="AU43" s="464" t="s">
        <v>8450</v>
      </c>
      <c r="AV43" s="464" t="s">
        <v>8446</v>
      </c>
      <c r="AW43" s="464" t="s">
        <v>267</v>
      </c>
      <c r="AX43" s="464" t="s">
        <v>268</v>
      </c>
      <c r="AY43" s="464" t="s">
        <v>8453</v>
      </c>
      <c r="AZ43" s="464" t="s">
        <v>888</v>
      </c>
      <c r="BA43" s="464" t="s">
        <v>270</v>
      </c>
      <c r="BB43" s="464" t="s">
        <v>8374</v>
      </c>
      <c r="BC43" s="464" t="s">
        <v>889</v>
      </c>
      <c r="BD43" s="464" t="s">
        <v>272</v>
      </c>
      <c r="BE43" s="464" t="s">
        <v>272</v>
      </c>
      <c r="BF43" s="464" t="s">
        <v>890</v>
      </c>
      <c r="BG43" s="464">
        <v>3.0219999999999997E-4</v>
      </c>
      <c r="BH43" s="464">
        <v>24.175999999999998</v>
      </c>
      <c r="BI43" s="464" t="s">
        <v>5921</v>
      </c>
      <c r="BJ43" s="464">
        <v>7.0821066085304878</v>
      </c>
      <c r="BK43" s="464" t="s">
        <v>5921</v>
      </c>
      <c r="BL43" s="464" t="s">
        <v>5921</v>
      </c>
      <c r="BM43" s="464" t="s">
        <v>5921</v>
      </c>
      <c r="BN43" s="464" t="s">
        <v>5921</v>
      </c>
      <c r="BO43" s="464" t="s">
        <v>5921</v>
      </c>
      <c r="BP43" s="464" t="s">
        <v>5921</v>
      </c>
      <c r="BQ43" s="464">
        <v>2.6835360000000001</v>
      </c>
      <c r="BR43" s="464" t="s">
        <v>5921</v>
      </c>
      <c r="BS43" s="464" t="s">
        <v>5921</v>
      </c>
      <c r="BT43" s="464" t="s">
        <v>5921</v>
      </c>
      <c r="BU43" s="464" t="s">
        <v>5921</v>
      </c>
      <c r="BV43" s="464" t="s">
        <v>5921</v>
      </c>
      <c r="BW43" s="464" t="s">
        <v>5921</v>
      </c>
      <c r="BX43" s="464" t="s">
        <v>5921</v>
      </c>
      <c r="BY43" s="464" t="s">
        <v>5921</v>
      </c>
      <c r="BZ43" s="464" t="s">
        <v>5921</v>
      </c>
      <c r="CA43" s="464" t="s">
        <v>5921</v>
      </c>
      <c r="CB43" s="464" t="s">
        <v>5921</v>
      </c>
      <c r="CC43" s="464" t="s">
        <v>5921</v>
      </c>
      <c r="CD43" s="464" t="s">
        <v>5921</v>
      </c>
      <c r="CE43" s="464" t="s">
        <v>5921</v>
      </c>
      <c r="CF43" s="464" t="s">
        <v>5921</v>
      </c>
      <c r="CG43" s="464">
        <v>2.6835360000000001</v>
      </c>
      <c r="CH43" s="464">
        <v>0.42870742578160759</v>
      </c>
      <c r="CI43" s="464">
        <v>0.29293955197429222</v>
      </c>
      <c r="CJ43" s="464">
        <v>2.6390950628314611</v>
      </c>
      <c r="CK43" s="464">
        <v>0.18983786811623626</v>
      </c>
      <c r="CL43" s="464">
        <v>15.615165044943977</v>
      </c>
      <c r="CM43" s="464" t="s">
        <v>892</v>
      </c>
      <c r="CN43" s="464" t="s">
        <v>893</v>
      </c>
      <c r="CO43" s="464">
        <v>0.25867551570421637</v>
      </c>
      <c r="CP43" s="464">
        <v>1.4792170706385475</v>
      </c>
      <c r="CQ43" s="464" t="s">
        <v>539</v>
      </c>
      <c r="CR43" s="464" t="s">
        <v>5921</v>
      </c>
      <c r="CS43" s="464">
        <v>6.9436374083500212</v>
      </c>
      <c r="CT43" s="464">
        <v>0.77074375232685244</v>
      </c>
      <c r="CU43" s="464">
        <v>1</v>
      </c>
      <c r="CV43" s="464" t="s">
        <v>539</v>
      </c>
      <c r="CW43" s="464" t="s">
        <v>5921</v>
      </c>
    </row>
    <row r="44" spans="1:101" x14ac:dyDescent="0.2">
      <c r="A44" s="464">
        <v>301</v>
      </c>
      <c r="B44" s="464" t="s">
        <v>6144</v>
      </c>
      <c r="C44" s="464" t="s">
        <v>6773</v>
      </c>
      <c r="D44" s="464" t="s">
        <v>1185</v>
      </c>
      <c r="E44" s="464">
        <v>76879</v>
      </c>
      <c r="F44" s="464" t="s">
        <v>1186</v>
      </c>
      <c r="G44" s="464" t="s">
        <v>1186</v>
      </c>
      <c r="H44" s="464" t="s">
        <v>1187</v>
      </c>
      <c r="I44" s="464" t="s">
        <v>403</v>
      </c>
      <c r="J44" s="464" t="s">
        <v>5929</v>
      </c>
      <c r="K44" s="464" t="s">
        <v>6079</v>
      </c>
      <c r="L44" s="464" t="s">
        <v>6381</v>
      </c>
      <c r="M44" s="464" t="s">
        <v>6083</v>
      </c>
      <c r="N44" s="464" t="s">
        <v>5921</v>
      </c>
      <c r="O44" s="464" t="s">
        <v>5921</v>
      </c>
      <c r="P44" s="464" t="s">
        <v>5921</v>
      </c>
      <c r="Q44" s="464" t="s">
        <v>5921</v>
      </c>
      <c r="R44" s="464">
        <v>367.03</v>
      </c>
      <c r="S44" s="464">
        <v>0.4</v>
      </c>
      <c r="T44" s="464">
        <v>4.7210000000000001</v>
      </c>
      <c r="U44" s="464">
        <v>8.6040230208687092</v>
      </c>
      <c r="V44" s="464">
        <v>8.6040230208687092</v>
      </c>
      <c r="W44" s="464">
        <v>4.71</v>
      </c>
      <c r="X44" s="464">
        <v>3.47</v>
      </c>
      <c r="Y44" s="464">
        <v>3.53</v>
      </c>
      <c r="Z44" s="464">
        <v>2.85</v>
      </c>
      <c r="AA44" s="464">
        <v>0.71630000000000005</v>
      </c>
      <c r="AB44" s="464">
        <v>3.09</v>
      </c>
      <c r="AC44" s="464">
        <v>3.53</v>
      </c>
      <c r="AD44" s="464">
        <v>3.53</v>
      </c>
      <c r="AE44" s="464">
        <v>3.09</v>
      </c>
      <c r="AF44" s="464">
        <v>4.5900000000000001E-8</v>
      </c>
      <c r="AG44" s="464">
        <v>4.2599999999999998E-7</v>
      </c>
      <c r="AH44" s="464">
        <v>-5.7267536407753905</v>
      </c>
      <c r="AI44" s="464">
        <v>-4.7591567272099331</v>
      </c>
      <c r="AJ44" s="464">
        <v>-4.7591567272099331</v>
      </c>
      <c r="AK44" s="464">
        <v>-11.08738</v>
      </c>
      <c r="AL44" s="464">
        <v>-9.75</v>
      </c>
      <c r="AM44" s="464">
        <v>3.98</v>
      </c>
      <c r="AN44" s="464" t="s">
        <v>5921</v>
      </c>
      <c r="AO44" s="464" t="s">
        <v>6311</v>
      </c>
      <c r="AP44" s="464" t="s">
        <v>6311</v>
      </c>
      <c r="AQ44" s="464" t="s">
        <v>6</v>
      </c>
      <c r="AR44" s="464" t="s">
        <v>266</v>
      </c>
      <c r="AS44" s="464" t="s">
        <v>8468</v>
      </c>
      <c r="AT44" s="464" t="s">
        <v>8469</v>
      </c>
      <c r="AU44" s="464" t="s">
        <v>8450</v>
      </c>
      <c r="AV44" s="464" t="s">
        <v>8446</v>
      </c>
      <c r="AW44" s="464" t="s">
        <v>267</v>
      </c>
      <c r="AX44" s="464" t="s">
        <v>268</v>
      </c>
      <c r="AY44" s="464" t="s">
        <v>8453</v>
      </c>
      <c r="AZ44" s="464" t="s">
        <v>888</v>
      </c>
      <c r="BA44" s="464" t="s">
        <v>270</v>
      </c>
      <c r="BB44" s="464" t="s">
        <v>8374</v>
      </c>
      <c r="BC44" s="464" t="s">
        <v>889</v>
      </c>
      <c r="BD44" s="464" t="s">
        <v>272</v>
      </c>
      <c r="BE44" s="464" t="s">
        <v>272</v>
      </c>
      <c r="BF44" s="464" t="s">
        <v>890</v>
      </c>
      <c r="BG44" s="464">
        <v>3.6702999999999996E-4</v>
      </c>
      <c r="BH44" s="464">
        <v>29.362399999999997</v>
      </c>
      <c r="BI44" s="464" t="s">
        <v>5921</v>
      </c>
      <c r="BJ44" s="464">
        <v>14.424293933447039</v>
      </c>
      <c r="BK44" s="464" t="s">
        <v>5921</v>
      </c>
      <c r="BL44" s="464" t="s">
        <v>5921</v>
      </c>
      <c r="BM44" s="464" t="s">
        <v>5921</v>
      </c>
      <c r="BN44" s="464" t="s">
        <v>5921</v>
      </c>
      <c r="BO44" s="464" t="s">
        <v>5921</v>
      </c>
      <c r="BP44" s="464" t="s">
        <v>5921</v>
      </c>
      <c r="BQ44" s="464">
        <v>6.8735616131702787E-2</v>
      </c>
      <c r="BR44" s="464" t="s">
        <v>5921</v>
      </c>
      <c r="BS44" s="464" t="s">
        <v>5921</v>
      </c>
      <c r="BT44" s="464" t="s">
        <v>5921</v>
      </c>
      <c r="BU44" s="464" t="s">
        <v>5921</v>
      </c>
      <c r="BV44" s="464" t="s">
        <v>5921</v>
      </c>
      <c r="BW44" s="464" t="s">
        <v>5921</v>
      </c>
      <c r="BX44" s="464" t="s">
        <v>5921</v>
      </c>
      <c r="BY44" s="464" t="s">
        <v>5921</v>
      </c>
      <c r="BZ44" s="464" t="s">
        <v>5921</v>
      </c>
      <c r="CA44" s="464" t="s">
        <v>5921</v>
      </c>
      <c r="CB44" s="464" t="s">
        <v>5921</v>
      </c>
      <c r="CC44" s="464" t="s">
        <v>5921</v>
      </c>
      <c r="CD44" s="464" t="s">
        <v>5921</v>
      </c>
      <c r="CE44" s="464" t="s">
        <v>5921</v>
      </c>
      <c r="CF44" s="464" t="s">
        <v>5921</v>
      </c>
      <c r="CG44" s="464">
        <v>6.8735616131702787E-2</v>
      </c>
      <c r="CH44" s="464">
        <v>-1.1628181700533671</v>
      </c>
      <c r="CI44" s="464">
        <v>0.4912505085908182</v>
      </c>
      <c r="CJ44" s="464">
        <v>209.85181693590948</v>
      </c>
      <c r="CK44" s="464">
        <v>-1.77337268596238</v>
      </c>
      <c r="CL44" s="464">
        <v>1742.4656951473621</v>
      </c>
      <c r="CM44" s="464" t="s">
        <v>892</v>
      </c>
      <c r="CN44" s="464" t="s">
        <v>893</v>
      </c>
      <c r="CO44" s="464">
        <v>-1.6417859970347155</v>
      </c>
      <c r="CP44" s="464">
        <v>3.0127828256134426</v>
      </c>
      <c r="CQ44" s="464" t="s">
        <v>539</v>
      </c>
      <c r="CR44" s="464" t="s">
        <v>5921</v>
      </c>
      <c r="CS44" s="464">
        <v>125.17561498805411</v>
      </c>
      <c r="CT44" s="464">
        <v>0.29302860191499025</v>
      </c>
      <c r="CU44" s="464">
        <v>1</v>
      </c>
      <c r="CV44" s="464" t="s">
        <v>539</v>
      </c>
      <c r="CW44" s="464" t="s">
        <v>5921</v>
      </c>
    </row>
    <row r="45" spans="1:101" x14ac:dyDescent="0.2">
      <c r="A45" s="464">
        <v>308</v>
      </c>
      <c r="B45" s="464" t="s">
        <v>1213</v>
      </c>
      <c r="C45" s="464" t="s">
        <v>6760</v>
      </c>
      <c r="D45" s="464" t="s">
        <v>1214</v>
      </c>
      <c r="E45" s="464">
        <v>188489078</v>
      </c>
      <c r="F45" s="464" t="s">
        <v>1215</v>
      </c>
      <c r="G45" s="464" t="s">
        <v>7893</v>
      </c>
      <c r="H45" s="464" t="s">
        <v>1216</v>
      </c>
      <c r="I45" s="464" t="s">
        <v>1217</v>
      </c>
      <c r="J45" s="464" t="s">
        <v>5987</v>
      </c>
      <c r="K45" s="464" t="s">
        <v>2342</v>
      </c>
      <c r="L45" s="464" t="s">
        <v>2342</v>
      </c>
      <c r="M45" s="464" t="s">
        <v>5921</v>
      </c>
      <c r="N45" s="464" t="s">
        <v>5921</v>
      </c>
      <c r="O45" s="464" t="s">
        <v>5921</v>
      </c>
      <c r="P45" s="464" t="s">
        <v>5921</v>
      </c>
      <c r="Q45" s="464" t="s">
        <v>5921</v>
      </c>
      <c r="R45" s="464">
        <v>408.73</v>
      </c>
      <c r="S45" s="464" t="s">
        <v>5921</v>
      </c>
      <c r="T45" s="464">
        <v>0.77549999999999997</v>
      </c>
      <c r="U45" s="464">
        <v>1.2062477472153492</v>
      </c>
      <c r="V45" s="464">
        <v>1.2062477472153492</v>
      </c>
      <c r="W45" s="464">
        <v>7</v>
      </c>
      <c r="X45" s="464">
        <v>4.1500000000000004</v>
      </c>
      <c r="Y45" s="464" t="s">
        <v>5921</v>
      </c>
      <c r="Z45" s="464">
        <v>3.46</v>
      </c>
      <c r="AA45" s="464">
        <v>0.60660000000000003</v>
      </c>
      <c r="AB45" s="464">
        <v>3.48</v>
      </c>
      <c r="AC45" s="464">
        <v>3.53</v>
      </c>
      <c r="AD45" s="464">
        <v>3.48</v>
      </c>
      <c r="AE45" s="464">
        <v>-0.75</v>
      </c>
      <c r="AF45" s="464">
        <v>9.3600000000000008E-10</v>
      </c>
      <c r="AG45" s="464" t="s">
        <v>5921</v>
      </c>
      <c r="AH45" s="464">
        <v>-7.4172904775745465</v>
      </c>
      <c r="AI45" s="464" t="s">
        <v>5921</v>
      </c>
      <c r="AJ45" s="464">
        <v>-7.4172904775745465</v>
      </c>
      <c r="AK45" s="464">
        <v>-12.87222</v>
      </c>
      <c r="AL45" s="464">
        <v>-10.8</v>
      </c>
      <c r="AM45" s="464" t="s">
        <v>5921</v>
      </c>
      <c r="AN45" s="464">
        <v>-3.03</v>
      </c>
      <c r="AO45" s="464" t="s">
        <v>6311</v>
      </c>
      <c r="AP45" s="464" t="s">
        <v>6314</v>
      </c>
      <c r="AQ45" s="464" t="s">
        <v>63</v>
      </c>
      <c r="AR45" s="464" t="s">
        <v>266</v>
      </c>
      <c r="AS45" s="464" t="s">
        <v>8468</v>
      </c>
      <c r="AT45" s="464" t="s">
        <v>8469</v>
      </c>
      <c r="AU45" s="464" t="s">
        <v>8450</v>
      </c>
      <c r="AV45" s="464" t="s">
        <v>8446</v>
      </c>
      <c r="AW45" s="464" t="s">
        <v>267</v>
      </c>
      <c r="AX45" s="464" t="s">
        <v>268</v>
      </c>
      <c r="AY45" s="464" t="s">
        <v>8453</v>
      </c>
      <c r="AZ45" s="464" t="s">
        <v>888</v>
      </c>
      <c r="BA45" s="464" t="s">
        <v>270</v>
      </c>
      <c r="BB45" s="464" t="s">
        <v>8374</v>
      </c>
      <c r="BC45" s="464" t="s">
        <v>889</v>
      </c>
      <c r="BD45" s="464" t="s">
        <v>272</v>
      </c>
      <c r="BE45" s="464" t="s">
        <v>272</v>
      </c>
      <c r="BF45" s="464" t="s">
        <v>890</v>
      </c>
      <c r="BG45" s="464">
        <v>4.0873E-4</v>
      </c>
      <c r="BH45" s="464">
        <v>32.698399999999999</v>
      </c>
      <c r="BI45" s="464" t="s">
        <v>5921</v>
      </c>
      <c r="BJ45" s="464">
        <v>3.9366020587388801</v>
      </c>
      <c r="BK45" s="464" t="s">
        <v>5921</v>
      </c>
      <c r="BL45" s="464" t="s">
        <v>5921</v>
      </c>
      <c r="BM45" s="464" t="s">
        <v>5921</v>
      </c>
      <c r="BN45" s="464" t="s">
        <v>5921</v>
      </c>
      <c r="BO45" s="464" t="s">
        <v>5921</v>
      </c>
      <c r="BP45" s="464" t="s">
        <v>5921</v>
      </c>
      <c r="BQ45" s="464">
        <v>0.23121260373950206</v>
      </c>
      <c r="BR45" s="464" t="s">
        <v>5921</v>
      </c>
      <c r="BS45" s="464" t="s">
        <v>5921</v>
      </c>
      <c r="BT45" s="464" t="s">
        <v>5921</v>
      </c>
      <c r="BU45" s="464" t="s">
        <v>5921</v>
      </c>
      <c r="BV45" s="464" t="s">
        <v>5921</v>
      </c>
      <c r="BW45" s="464" t="s">
        <v>5921</v>
      </c>
      <c r="BX45" s="464" t="s">
        <v>5921</v>
      </c>
      <c r="BY45" s="464" t="s">
        <v>5921</v>
      </c>
      <c r="BZ45" s="464" t="s">
        <v>5921</v>
      </c>
      <c r="CA45" s="464" t="s">
        <v>5921</v>
      </c>
      <c r="CB45" s="464" t="s">
        <v>5921</v>
      </c>
      <c r="CC45" s="464" t="s">
        <v>5921</v>
      </c>
      <c r="CD45" s="464" t="s">
        <v>5921</v>
      </c>
      <c r="CE45" s="464" t="s">
        <v>5921</v>
      </c>
      <c r="CF45" s="464" t="s">
        <v>5921</v>
      </c>
      <c r="CG45" s="464">
        <v>0.23121260373950206</v>
      </c>
      <c r="CH45" s="464">
        <v>-0.63598849557450288</v>
      </c>
      <c r="CI45" s="464">
        <v>0.12039127476386857</v>
      </c>
      <c r="CJ45" s="464">
        <v>17.025897356244865</v>
      </c>
      <c r="CK45" s="464">
        <v>0.39794000867203766</v>
      </c>
      <c r="CL45" s="464">
        <v>13.079359999999998</v>
      </c>
      <c r="CM45" s="464" t="s">
        <v>892</v>
      </c>
      <c r="CN45" s="464" t="s">
        <v>893</v>
      </c>
      <c r="CO45" s="464">
        <v>0.48307086636951629</v>
      </c>
      <c r="CP45" s="464">
        <v>7.6022235814017985E-2</v>
      </c>
      <c r="CQ45" s="464" t="s">
        <v>539</v>
      </c>
      <c r="CR45" s="464" t="s">
        <v>5921</v>
      </c>
      <c r="CS45" s="464">
        <v>5.2170501421902591</v>
      </c>
      <c r="CT45" s="464">
        <v>3.689011533332974E-2</v>
      </c>
      <c r="CU45" s="464">
        <v>1</v>
      </c>
      <c r="CV45" s="464" t="s">
        <v>539</v>
      </c>
      <c r="CW45" s="464" t="s">
        <v>5921</v>
      </c>
    </row>
    <row r="46" spans="1:101" x14ac:dyDescent="0.2">
      <c r="A46" s="464">
        <v>318</v>
      </c>
      <c r="B46" s="464" t="s">
        <v>1239</v>
      </c>
      <c r="C46" s="464" t="s">
        <v>6578</v>
      </c>
      <c r="D46" s="464" t="s">
        <v>1240</v>
      </c>
      <c r="E46" s="464">
        <v>117337196</v>
      </c>
      <c r="F46" s="464" t="s">
        <v>1241</v>
      </c>
      <c r="G46" s="464" t="s">
        <v>7911</v>
      </c>
      <c r="H46" s="464" t="s">
        <v>1242</v>
      </c>
      <c r="I46" s="464" t="s">
        <v>1243</v>
      </c>
      <c r="J46" s="464" t="s">
        <v>5994</v>
      </c>
      <c r="K46" s="464" t="s">
        <v>6082</v>
      </c>
      <c r="L46" s="464" t="s">
        <v>6082</v>
      </c>
      <c r="M46" s="464" t="s">
        <v>6083</v>
      </c>
      <c r="N46" s="464" t="s">
        <v>5921</v>
      </c>
      <c r="O46" s="464" t="s">
        <v>5921</v>
      </c>
      <c r="P46" s="464" t="s">
        <v>5921</v>
      </c>
      <c r="Q46" s="464" t="s">
        <v>5921</v>
      </c>
      <c r="R46" s="464">
        <v>403.88</v>
      </c>
      <c r="S46" s="464">
        <v>0.85</v>
      </c>
      <c r="T46" s="464">
        <v>1.7479999999999998</v>
      </c>
      <c r="U46" s="464">
        <v>43.276521699936396</v>
      </c>
      <c r="V46" s="464">
        <v>43.276521699936396</v>
      </c>
      <c r="W46" s="464">
        <v>7</v>
      </c>
      <c r="X46" s="464">
        <v>2.59</v>
      </c>
      <c r="Y46" s="464">
        <v>3.77</v>
      </c>
      <c r="Z46" s="464">
        <v>3.8</v>
      </c>
      <c r="AA46" s="464">
        <v>0.71419999999999995</v>
      </c>
      <c r="AB46" s="464">
        <v>3.16</v>
      </c>
      <c r="AC46" s="464">
        <v>1.4</v>
      </c>
      <c r="AD46" s="464">
        <v>3.77</v>
      </c>
      <c r="AE46" s="464">
        <v>3.89</v>
      </c>
      <c r="AF46" s="464">
        <v>8.7700000000000001E-15</v>
      </c>
      <c r="AG46" s="464">
        <v>2.0700000000000001E-9</v>
      </c>
      <c r="AH46" s="464">
        <v>-12.445566732946611</v>
      </c>
      <c r="AI46" s="464">
        <v>-7.0725959808557342</v>
      </c>
      <c r="AJ46" s="464">
        <v>-7.0725959808557342</v>
      </c>
      <c r="AK46" s="464">
        <v>-18.93338</v>
      </c>
      <c r="AL46" s="464">
        <v>-11.4</v>
      </c>
      <c r="AM46" s="464" t="s">
        <v>5921</v>
      </c>
      <c r="AN46" s="464">
        <v>-2.86</v>
      </c>
      <c r="AO46" s="464" t="s">
        <v>6311</v>
      </c>
      <c r="AP46" s="464" t="s">
        <v>6314</v>
      </c>
      <c r="AQ46" s="464" t="s">
        <v>6</v>
      </c>
      <c r="AR46" s="464" t="s">
        <v>266</v>
      </c>
      <c r="AS46" s="464" t="s">
        <v>8468</v>
      </c>
      <c r="AT46" s="464" t="s">
        <v>8469</v>
      </c>
      <c r="AU46" s="464" t="s">
        <v>8450</v>
      </c>
      <c r="AV46" s="464" t="s">
        <v>8446</v>
      </c>
      <c r="AW46" s="464" t="s">
        <v>267</v>
      </c>
      <c r="AX46" s="464" t="s">
        <v>268</v>
      </c>
      <c r="AY46" s="464" t="s">
        <v>8453</v>
      </c>
      <c r="AZ46" s="464" t="s">
        <v>888</v>
      </c>
      <c r="BA46" s="464" t="s">
        <v>270</v>
      </c>
      <c r="BB46" s="464" t="s">
        <v>8374</v>
      </c>
      <c r="BC46" s="464" t="s">
        <v>889</v>
      </c>
      <c r="BD46" s="464" t="s">
        <v>272</v>
      </c>
      <c r="BE46" s="464" t="s">
        <v>272</v>
      </c>
      <c r="BF46" s="464" t="s">
        <v>890</v>
      </c>
      <c r="BG46" s="464">
        <v>4.0387999999999996E-4</v>
      </c>
      <c r="BH46" s="464">
        <v>32.310400000000001</v>
      </c>
      <c r="BI46" s="464" t="s">
        <v>5921</v>
      </c>
      <c r="BJ46" s="464">
        <v>97.942987649409488</v>
      </c>
      <c r="BK46" s="464" t="s">
        <v>5921</v>
      </c>
      <c r="BL46" s="464" t="s">
        <v>5921</v>
      </c>
      <c r="BM46" s="464" t="s">
        <v>5921</v>
      </c>
      <c r="BN46" s="464" t="s">
        <v>5921</v>
      </c>
      <c r="BO46" s="464" t="s">
        <v>5921</v>
      </c>
      <c r="BP46" s="464" t="s">
        <v>5921</v>
      </c>
      <c r="BQ46" s="464">
        <v>8.4409953774374265E-3</v>
      </c>
      <c r="BR46" s="464" t="s">
        <v>5921</v>
      </c>
      <c r="BS46" s="464" t="s">
        <v>5921</v>
      </c>
      <c r="BT46" s="464" t="s">
        <v>5921</v>
      </c>
      <c r="BU46" s="464" t="s">
        <v>5921</v>
      </c>
      <c r="BV46" s="464" t="s">
        <v>5921</v>
      </c>
      <c r="BW46" s="464" t="s">
        <v>5921</v>
      </c>
      <c r="BX46" s="464" t="s">
        <v>5921</v>
      </c>
      <c r="BY46" s="464" t="s">
        <v>5921</v>
      </c>
      <c r="BZ46" s="464" t="s">
        <v>5921</v>
      </c>
      <c r="CA46" s="464" t="s">
        <v>5921</v>
      </c>
      <c r="CB46" s="464" t="s">
        <v>5921</v>
      </c>
      <c r="CC46" s="464" t="s">
        <v>5921</v>
      </c>
      <c r="CD46" s="464" t="s">
        <v>5921</v>
      </c>
      <c r="CE46" s="464" t="s">
        <v>5921</v>
      </c>
      <c r="CF46" s="464" t="s">
        <v>5921</v>
      </c>
      <c r="CG46" s="464">
        <v>8.4409953774374265E-3</v>
      </c>
      <c r="CH46" s="464">
        <v>-2.0736063375639828</v>
      </c>
      <c r="CI46" s="464">
        <v>3.031314612304691</v>
      </c>
      <c r="CJ46" s="464">
        <v>11603.250952039221</v>
      </c>
      <c r="CK46" s="464">
        <v>-1.3665315444204142</v>
      </c>
      <c r="CL46" s="464">
        <v>751.40465116279222</v>
      </c>
      <c r="CM46" s="464" t="s">
        <v>892</v>
      </c>
      <c r="CN46" s="464" t="s">
        <v>893</v>
      </c>
      <c r="CO46" s="464">
        <v>-1.1102017543710878</v>
      </c>
      <c r="CP46" s="464">
        <v>0.10879161323352776</v>
      </c>
      <c r="CQ46" s="464" t="s">
        <v>539</v>
      </c>
      <c r="CR46" s="464" t="s">
        <v>5921</v>
      </c>
      <c r="CS46" s="464">
        <v>5126.9453144842937</v>
      </c>
      <c r="CT46" s="464">
        <v>1.3393991315470064</v>
      </c>
      <c r="CU46" s="464">
        <v>1</v>
      </c>
      <c r="CV46" s="464" t="s">
        <v>539</v>
      </c>
      <c r="CW46" s="464" t="s">
        <v>5921</v>
      </c>
    </row>
    <row r="47" spans="1:101" x14ac:dyDescent="0.2">
      <c r="A47" s="464">
        <v>320</v>
      </c>
      <c r="B47" s="464" t="s">
        <v>1248</v>
      </c>
      <c r="C47" s="464" t="s">
        <v>6655</v>
      </c>
      <c r="D47" s="464" t="s">
        <v>1249</v>
      </c>
      <c r="E47" s="464">
        <v>133073</v>
      </c>
      <c r="F47" s="464" t="s">
        <v>1250</v>
      </c>
      <c r="G47" s="464" t="s">
        <v>8042</v>
      </c>
      <c r="H47" s="464" t="s">
        <v>1251</v>
      </c>
      <c r="I47" s="464" t="s">
        <v>1016</v>
      </c>
      <c r="J47" s="464" t="s">
        <v>5929</v>
      </c>
      <c r="K47" s="464" t="s">
        <v>6082</v>
      </c>
      <c r="L47" s="464" t="s">
        <v>6082</v>
      </c>
      <c r="M47" s="464" t="s">
        <v>6083</v>
      </c>
      <c r="N47" s="464" t="s">
        <v>8470</v>
      </c>
      <c r="O47" s="464" t="s">
        <v>6173</v>
      </c>
      <c r="P47" s="464" t="s">
        <v>8448</v>
      </c>
      <c r="Q47" s="464" t="s">
        <v>6173</v>
      </c>
      <c r="R47" s="464">
        <v>296.56</v>
      </c>
      <c r="S47" s="464">
        <v>0.80000000000000016</v>
      </c>
      <c r="T47" s="464">
        <v>47.35</v>
      </c>
      <c r="U47" s="464">
        <v>71.139789046441933</v>
      </c>
      <c r="V47" s="464">
        <v>71.139789046441933</v>
      </c>
      <c r="W47" s="464">
        <v>7</v>
      </c>
      <c r="X47" s="464">
        <v>2.84</v>
      </c>
      <c r="Y47" s="464">
        <v>2.85</v>
      </c>
      <c r="Z47" s="464">
        <v>2.97</v>
      </c>
      <c r="AA47" s="464">
        <v>0.59689999999999999</v>
      </c>
      <c r="AB47" s="464">
        <v>2.92</v>
      </c>
      <c r="AC47" s="464">
        <v>2.85</v>
      </c>
      <c r="AD47" s="464">
        <v>2.85</v>
      </c>
      <c r="AE47" s="464">
        <v>2.98</v>
      </c>
      <c r="AF47" s="464">
        <v>1.5400000000000001E-9</v>
      </c>
      <c r="AG47" s="464">
        <v>7.6599999999999998E-8</v>
      </c>
      <c r="AH47" s="464">
        <v>-7.2010456054761889</v>
      </c>
      <c r="AI47" s="464">
        <v>-5.5043375566800483</v>
      </c>
      <c r="AJ47" s="464">
        <v>-5.5043375566800483</v>
      </c>
      <c r="AK47" s="464">
        <v>-12.622150000000001</v>
      </c>
      <c r="AL47" s="464">
        <v>-6.45</v>
      </c>
      <c r="AM47" s="464" t="s">
        <v>5921</v>
      </c>
      <c r="AN47" s="464">
        <v>-3.34</v>
      </c>
      <c r="AO47" s="464" t="s">
        <v>6311</v>
      </c>
      <c r="AP47" s="464" t="s">
        <v>6311</v>
      </c>
      <c r="AQ47" s="464" t="s">
        <v>6</v>
      </c>
      <c r="AR47" s="464" t="s">
        <v>266</v>
      </c>
      <c r="AS47" s="464" t="s">
        <v>8468</v>
      </c>
      <c r="AT47" s="464" t="s">
        <v>8469</v>
      </c>
      <c r="AU47" s="464" t="s">
        <v>8450</v>
      </c>
      <c r="AV47" s="464" t="s">
        <v>8446</v>
      </c>
      <c r="AW47" s="464" t="s">
        <v>267</v>
      </c>
      <c r="AX47" s="464" t="s">
        <v>268</v>
      </c>
      <c r="AY47" s="464" t="s">
        <v>8453</v>
      </c>
      <c r="AZ47" s="464" t="s">
        <v>888</v>
      </c>
      <c r="BA47" s="464" t="s">
        <v>270</v>
      </c>
      <c r="BB47" s="464" t="s">
        <v>8374</v>
      </c>
      <c r="BC47" s="464" t="s">
        <v>889</v>
      </c>
      <c r="BD47" s="464" t="s">
        <v>272</v>
      </c>
      <c r="BE47" s="464" t="s">
        <v>272</v>
      </c>
      <c r="BF47" s="464" t="s">
        <v>890</v>
      </c>
      <c r="BG47" s="464">
        <v>2.9655999999999997E-4</v>
      </c>
      <c r="BH47" s="464">
        <v>23.724800000000002</v>
      </c>
      <c r="BI47" s="464" t="s">
        <v>5921</v>
      </c>
      <c r="BJ47" s="464">
        <v>42.885311902166244</v>
      </c>
      <c r="BK47" s="464" t="s">
        <v>5921</v>
      </c>
      <c r="BL47" s="464" t="s">
        <v>5921</v>
      </c>
      <c r="BM47" s="464" t="s">
        <v>5921</v>
      </c>
      <c r="BN47" s="464" t="s">
        <v>5921</v>
      </c>
      <c r="BO47" s="464" t="s">
        <v>5921</v>
      </c>
      <c r="BP47" s="464" t="s">
        <v>5921</v>
      </c>
      <c r="BQ47" s="464">
        <v>2.6334528000000001</v>
      </c>
      <c r="BR47" s="464" t="s">
        <v>5921</v>
      </c>
      <c r="BS47" s="464" t="s">
        <v>5921</v>
      </c>
      <c r="BT47" s="464" t="s">
        <v>5921</v>
      </c>
      <c r="BU47" s="464" t="s">
        <v>5921</v>
      </c>
      <c r="BV47" s="464" t="s">
        <v>5921</v>
      </c>
      <c r="BW47" s="464" t="s">
        <v>5921</v>
      </c>
      <c r="BX47" s="464" t="s">
        <v>5921</v>
      </c>
      <c r="BY47" s="464" t="s">
        <v>5921</v>
      </c>
      <c r="BZ47" s="464" t="s">
        <v>5921</v>
      </c>
      <c r="CA47" s="464" t="s">
        <v>5921</v>
      </c>
      <c r="CB47" s="464" t="s">
        <v>5921</v>
      </c>
      <c r="CC47" s="464" t="s">
        <v>5921</v>
      </c>
      <c r="CD47" s="464" t="s">
        <v>5921</v>
      </c>
      <c r="CE47" s="464" t="s">
        <v>5921</v>
      </c>
      <c r="CF47" s="464" t="s">
        <v>5921</v>
      </c>
      <c r="CG47" s="464">
        <v>2.6334528000000001</v>
      </c>
      <c r="CH47" s="464">
        <v>0.42052553880010829</v>
      </c>
      <c r="CI47" s="464">
        <v>1.8076153182394052</v>
      </c>
      <c r="CJ47" s="464">
        <v>16.284822686841487</v>
      </c>
      <c r="CK47" s="464">
        <v>-1.1974235898560992</v>
      </c>
      <c r="CL47" s="464">
        <v>373.78868431632105</v>
      </c>
      <c r="CM47" s="464" t="s">
        <v>892</v>
      </c>
      <c r="CN47" s="464" t="s">
        <v>893</v>
      </c>
      <c r="CO47" s="464">
        <v>-1.1005726806317602</v>
      </c>
      <c r="CP47" s="464">
        <v>33.196952682682749</v>
      </c>
      <c r="CQ47" s="464" t="s">
        <v>539</v>
      </c>
      <c r="CR47" s="464" t="s">
        <v>5921</v>
      </c>
      <c r="CS47" s="464">
        <v>27.013884223192431</v>
      </c>
      <c r="CT47" s="464">
        <v>2.9985411487743598</v>
      </c>
      <c r="CU47" s="464">
        <v>1</v>
      </c>
      <c r="CV47" s="464" t="s">
        <v>539</v>
      </c>
      <c r="CW47" s="464" t="s">
        <v>5921</v>
      </c>
    </row>
    <row r="48" spans="1:101" x14ac:dyDescent="0.2">
      <c r="A48" s="464">
        <v>322</v>
      </c>
      <c r="B48" s="464" t="s">
        <v>1252</v>
      </c>
      <c r="C48" s="464" t="s">
        <v>6531</v>
      </c>
      <c r="D48" s="464" t="s">
        <v>1253</v>
      </c>
      <c r="E48" s="464">
        <v>68157608</v>
      </c>
      <c r="F48" s="464" t="s">
        <v>1254</v>
      </c>
      <c r="G48" s="464" t="s">
        <v>8287</v>
      </c>
      <c r="H48" s="464" t="s">
        <v>1255</v>
      </c>
      <c r="I48" s="464" t="s">
        <v>1256</v>
      </c>
      <c r="J48" s="464" t="s">
        <v>5995</v>
      </c>
      <c r="K48" s="464" t="s">
        <v>2342</v>
      </c>
      <c r="L48" s="464" t="s">
        <v>2342</v>
      </c>
      <c r="M48" s="464" t="s">
        <v>5921</v>
      </c>
      <c r="N48" s="464" t="s">
        <v>5921</v>
      </c>
      <c r="O48" s="464" t="s">
        <v>5921</v>
      </c>
      <c r="P48" s="464" t="s">
        <v>5921</v>
      </c>
      <c r="Q48" s="464" t="s">
        <v>5921</v>
      </c>
      <c r="R48" s="464">
        <v>247.68</v>
      </c>
      <c r="S48" s="464">
        <v>39</v>
      </c>
      <c r="T48" s="464">
        <v>45.08</v>
      </c>
      <c r="U48" s="464">
        <v>23.653256370578909</v>
      </c>
      <c r="V48" s="464">
        <v>23.653256370578909</v>
      </c>
      <c r="W48" s="464">
        <v>6.98</v>
      </c>
      <c r="X48" s="464">
        <v>2.42</v>
      </c>
      <c r="Y48" s="464">
        <v>3.2</v>
      </c>
      <c r="Z48" s="464">
        <v>2.82</v>
      </c>
      <c r="AA48" s="464">
        <v>0.84489999999999998</v>
      </c>
      <c r="AB48" s="464">
        <v>2.98</v>
      </c>
      <c r="AC48" s="464">
        <v>3.46</v>
      </c>
      <c r="AD48" s="464">
        <v>3.2</v>
      </c>
      <c r="AE48" s="464">
        <v>2.56</v>
      </c>
      <c r="AF48" s="464">
        <v>6.8000000000000001E-12</v>
      </c>
      <c r="AG48" s="464">
        <v>2.8799999999999998E-12</v>
      </c>
      <c r="AH48" s="464">
        <v>-9.5560574136064158</v>
      </c>
      <c r="AI48" s="464">
        <v>-9.9291738385534209</v>
      </c>
      <c r="AJ48" s="464">
        <v>-9.9291738385534209</v>
      </c>
      <c r="AK48" s="464">
        <v>-15.800219999999999</v>
      </c>
      <c r="AL48" s="464">
        <v>-10.7</v>
      </c>
      <c r="AM48" s="464">
        <v>12.55</v>
      </c>
      <c r="AN48" s="464">
        <v>1.54</v>
      </c>
      <c r="AO48" s="464" t="s">
        <v>6311</v>
      </c>
      <c r="AP48" s="464" t="s">
        <v>6311</v>
      </c>
      <c r="AQ48" s="464" t="s">
        <v>6</v>
      </c>
      <c r="AR48" s="464" t="s">
        <v>266</v>
      </c>
      <c r="AS48" s="464" t="s">
        <v>8468</v>
      </c>
      <c r="AT48" s="464" t="s">
        <v>8469</v>
      </c>
      <c r="AU48" s="464" t="s">
        <v>8450</v>
      </c>
      <c r="AV48" s="464" t="s">
        <v>8446</v>
      </c>
      <c r="AW48" s="464" t="s">
        <v>267</v>
      </c>
      <c r="AX48" s="464" t="s">
        <v>268</v>
      </c>
      <c r="AY48" s="464" t="s">
        <v>8453</v>
      </c>
      <c r="AZ48" s="464" t="s">
        <v>888</v>
      </c>
      <c r="BA48" s="464" t="s">
        <v>270</v>
      </c>
      <c r="BB48" s="464" t="s">
        <v>8374</v>
      </c>
      <c r="BC48" s="464" t="s">
        <v>889</v>
      </c>
      <c r="BD48" s="464" t="s">
        <v>272</v>
      </c>
      <c r="BE48" s="464" t="s">
        <v>272</v>
      </c>
      <c r="BF48" s="464" t="s">
        <v>890</v>
      </c>
      <c r="BG48" s="464">
        <v>2.4768000000000001E-4</v>
      </c>
      <c r="BH48" s="464">
        <v>19.814400000000003</v>
      </c>
      <c r="BI48" s="464" t="s">
        <v>5921</v>
      </c>
      <c r="BJ48" s="464">
        <v>85.366787603554457</v>
      </c>
      <c r="BK48" s="464" t="s">
        <v>5921</v>
      </c>
      <c r="BL48" s="464" t="s">
        <v>5921</v>
      </c>
      <c r="BM48" s="464" t="s">
        <v>5921</v>
      </c>
      <c r="BN48" s="464" t="s">
        <v>5921</v>
      </c>
      <c r="BO48" s="464" t="s">
        <v>5921</v>
      </c>
      <c r="BP48" s="464" t="s">
        <v>5921</v>
      </c>
      <c r="BQ48" s="464">
        <v>11.43412781854742</v>
      </c>
      <c r="BR48" s="464" t="s">
        <v>5921</v>
      </c>
      <c r="BS48" s="464" t="s">
        <v>5921</v>
      </c>
      <c r="BT48" s="464" t="s">
        <v>5921</v>
      </c>
      <c r="BU48" s="464" t="s">
        <v>5921</v>
      </c>
      <c r="BV48" s="464" t="s">
        <v>5921</v>
      </c>
      <c r="BW48" s="464" t="s">
        <v>5921</v>
      </c>
      <c r="BX48" s="464" t="s">
        <v>5921</v>
      </c>
      <c r="BY48" s="464" t="s">
        <v>5921</v>
      </c>
      <c r="BZ48" s="464" t="s">
        <v>5921</v>
      </c>
      <c r="CA48" s="464" t="s">
        <v>5921</v>
      </c>
      <c r="CB48" s="464" t="s">
        <v>5921</v>
      </c>
      <c r="CC48" s="464" t="s">
        <v>5921</v>
      </c>
      <c r="CD48" s="464" t="s">
        <v>5921</v>
      </c>
      <c r="CE48" s="464" t="s">
        <v>5921</v>
      </c>
      <c r="CF48" s="464" t="s">
        <v>5921</v>
      </c>
      <c r="CG48" s="464">
        <v>11.43412781854742</v>
      </c>
      <c r="CH48" s="464">
        <v>1.0582030427479021</v>
      </c>
      <c r="CI48" s="464">
        <v>4.308320595302126</v>
      </c>
      <c r="CJ48" s="464">
        <v>7.4659640821121558</v>
      </c>
      <c r="CK48" s="464">
        <v>0.94448267215016868</v>
      </c>
      <c r="CL48" s="464">
        <v>2.2516363636363637</v>
      </c>
      <c r="CM48" s="464" t="s">
        <v>892</v>
      </c>
      <c r="CN48" s="464" t="s">
        <v>893</v>
      </c>
      <c r="CO48" s="464">
        <v>0.9541352497478619</v>
      </c>
      <c r="CP48" s="464">
        <v>1.2707724562288412</v>
      </c>
      <c r="CQ48" s="464" t="s">
        <v>539</v>
      </c>
      <c r="CR48" s="464" t="s">
        <v>5921</v>
      </c>
      <c r="CS48" s="464">
        <v>2.0686541856048444</v>
      </c>
      <c r="CT48" s="464">
        <v>1.1937407325267939</v>
      </c>
      <c r="CU48" s="464">
        <v>1</v>
      </c>
      <c r="CV48" s="464" t="s">
        <v>539</v>
      </c>
      <c r="CW48" s="464" t="s">
        <v>5921</v>
      </c>
    </row>
    <row r="49" spans="1:101" x14ac:dyDescent="0.2">
      <c r="A49" s="464">
        <v>326</v>
      </c>
      <c r="B49" s="464" t="s">
        <v>1261</v>
      </c>
      <c r="C49" s="464" t="s">
        <v>6564</v>
      </c>
      <c r="D49" s="464" t="s">
        <v>1262</v>
      </c>
      <c r="E49" s="464">
        <v>79983714</v>
      </c>
      <c r="F49" s="464" t="s">
        <v>1263</v>
      </c>
      <c r="G49" s="464" t="s">
        <v>8146</v>
      </c>
      <c r="H49" s="464" t="s">
        <v>1264</v>
      </c>
      <c r="I49" s="464" t="s">
        <v>1265</v>
      </c>
      <c r="J49" s="464" t="s">
        <v>5990</v>
      </c>
      <c r="K49" s="464" t="s">
        <v>2342</v>
      </c>
      <c r="L49" s="464" t="s">
        <v>2342</v>
      </c>
      <c r="M49" s="464" t="s">
        <v>5921</v>
      </c>
      <c r="N49" s="464" t="s">
        <v>5921</v>
      </c>
      <c r="O49" s="464" t="s">
        <v>5921</v>
      </c>
      <c r="P49" s="464" t="s">
        <v>5921</v>
      </c>
      <c r="Q49" s="464" t="s">
        <v>5921</v>
      </c>
      <c r="R49" s="464">
        <v>314.20999999999998</v>
      </c>
      <c r="S49" s="464">
        <v>17</v>
      </c>
      <c r="T49" s="464">
        <v>15.32</v>
      </c>
      <c r="U49" s="464">
        <v>19.825310720912135</v>
      </c>
      <c r="V49" s="464">
        <v>19.825310720912135</v>
      </c>
      <c r="W49" s="464">
        <v>7.01</v>
      </c>
      <c r="X49" s="464">
        <v>3.66</v>
      </c>
      <c r="Y49" s="464">
        <v>3.9</v>
      </c>
      <c r="Z49" s="464">
        <v>3.62</v>
      </c>
      <c r="AA49" s="464">
        <v>0.82250000000000001</v>
      </c>
      <c r="AB49" s="464">
        <v>3.63</v>
      </c>
      <c r="AC49" s="464">
        <v>3.66</v>
      </c>
      <c r="AD49" s="464">
        <v>3.9</v>
      </c>
      <c r="AE49" s="464">
        <v>3.88</v>
      </c>
      <c r="AF49" s="464">
        <v>2.18E-10</v>
      </c>
      <c r="AG49" s="464">
        <v>3.2799999999999998E-9</v>
      </c>
      <c r="AH49" s="464">
        <v>-8.0501098327080474</v>
      </c>
      <c r="AI49" s="464">
        <v>-6.8726924826009723</v>
      </c>
      <c r="AJ49" s="464">
        <v>-6.8726924826009723</v>
      </c>
      <c r="AK49" s="464">
        <v>-13.361009999999998</v>
      </c>
      <c r="AL49" s="464">
        <v>-7.49</v>
      </c>
      <c r="AM49" s="464">
        <v>12.26</v>
      </c>
      <c r="AN49" s="464">
        <v>2.71</v>
      </c>
      <c r="AO49" s="464" t="s">
        <v>6311</v>
      </c>
      <c r="AP49" s="464" t="s">
        <v>6311</v>
      </c>
      <c r="AQ49" s="464" t="s">
        <v>6</v>
      </c>
      <c r="AR49" s="464" t="s">
        <v>266</v>
      </c>
      <c r="AS49" s="464" t="s">
        <v>8468</v>
      </c>
      <c r="AT49" s="464" t="s">
        <v>8469</v>
      </c>
      <c r="AU49" s="464" t="s">
        <v>8450</v>
      </c>
      <c r="AV49" s="464" t="s">
        <v>8446</v>
      </c>
      <c r="AW49" s="464" t="s">
        <v>267</v>
      </c>
      <c r="AX49" s="464" t="s">
        <v>268</v>
      </c>
      <c r="AY49" s="464" t="s">
        <v>8453</v>
      </c>
      <c r="AZ49" s="464" t="s">
        <v>888</v>
      </c>
      <c r="BA49" s="464" t="s">
        <v>270</v>
      </c>
      <c r="BB49" s="464" t="s">
        <v>8374</v>
      </c>
      <c r="BC49" s="464" t="s">
        <v>889</v>
      </c>
      <c r="BD49" s="464" t="s">
        <v>272</v>
      </c>
      <c r="BE49" s="464" t="s">
        <v>272</v>
      </c>
      <c r="BF49" s="464" t="s">
        <v>890</v>
      </c>
      <c r="BG49" s="464">
        <v>3.1420999999999999E-4</v>
      </c>
      <c r="BH49" s="464">
        <v>25.136799999999997</v>
      </c>
      <c r="BI49" s="464" t="s">
        <v>5921</v>
      </c>
      <c r="BJ49" s="464">
        <v>8.3363128115550396</v>
      </c>
      <c r="BK49" s="464" t="s">
        <v>5921</v>
      </c>
      <c r="BL49" s="464" t="s">
        <v>5921</v>
      </c>
      <c r="BM49" s="464" t="s">
        <v>5921</v>
      </c>
      <c r="BN49" s="464" t="s">
        <v>5921</v>
      </c>
      <c r="BO49" s="464" t="s">
        <v>5921</v>
      </c>
      <c r="BP49" s="464" t="s">
        <v>5921</v>
      </c>
      <c r="BQ49" s="464">
        <v>8.3705543999999996</v>
      </c>
      <c r="BR49" s="464" t="s">
        <v>5921</v>
      </c>
      <c r="BS49" s="464" t="s">
        <v>5921</v>
      </c>
      <c r="BT49" s="464" t="s">
        <v>5921</v>
      </c>
      <c r="BU49" s="464" t="s">
        <v>5921</v>
      </c>
      <c r="BV49" s="464" t="s">
        <v>5921</v>
      </c>
      <c r="BW49" s="464" t="s">
        <v>5921</v>
      </c>
      <c r="BX49" s="464" t="s">
        <v>5921</v>
      </c>
      <c r="BY49" s="464" t="s">
        <v>5921</v>
      </c>
      <c r="BZ49" s="464" t="s">
        <v>5921</v>
      </c>
      <c r="CA49" s="464" t="s">
        <v>5921</v>
      </c>
      <c r="CB49" s="464" t="s">
        <v>5921</v>
      </c>
      <c r="CC49" s="464" t="s">
        <v>5921</v>
      </c>
      <c r="CD49" s="464" t="s">
        <v>5921</v>
      </c>
      <c r="CE49" s="464" t="s">
        <v>5921</v>
      </c>
      <c r="CF49" s="464" t="s">
        <v>5921</v>
      </c>
      <c r="CG49" s="464">
        <v>8.3705543999999996</v>
      </c>
      <c r="CH49" s="464">
        <v>0.92275422321275058</v>
      </c>
      <c r="CI49" s="464">
        <v>0.33163779047273484</v>
      </c>
      <c r="CJ49" s="464">
        <v>0.99590928069890328</v>
      </c>
      <c r="CK49" s="464">
        <v>0.57978359661680978</v>
      </c>
      <c r="CL49" s="464">
        <v>6.6149473684210571</v>
      </c>
      <c r="CM49" s="464" t="s">
        <v>892</v>
      </c>
      <c r="CN49" s="464" t="s">
        <v>893</v>
      </c>
      <c r="CO49" s="464">
        <v>0.6436768863573733</v>
      </c>
      <c r="CP49" s="464">
        <v>1.9014168439932431</v>
      </c>
      <c r="CQ49" s="464" t="s">
        <v>539</v>
      </c>
      <c r="CR49" s="464" t="s">
        <v>5921</v>
      </c>
      <c r="CS49" s="464">
        <v>2.3684585003010237</v>
      </c>
      <c r="CT49" s="464">
        <v>0.78869668060024101</v>
      </c>
      <c r="CU49" s="464">
        <v>1</v>
      </c>
      <c r="CV49" s="464" t="s">
        <v>539</v>
      </c>
      <c r="CW49" s="464" t="s">
        <v>5921</v>
      </c>
    </row>
    <row r="50" spans="1:101" x14ac:dyDescent="0.2">
      <c r="A50" s="464">
        <v>330</v>
      </c>
      <c r="B50" s="464" t="s">
        <v>1266</v>
      </c>
      <c r="C50" s="464" t="s">
        <v>6518</v>
      </c>
      <c r="D50" s="464" t="s">
        <v>1267</v>
      </c>
      <c r="E50" s="464">
        <v>35554440</v>
      </c>
      <c r="F50" s="464" t="s">
        <v>1268</v>
      </c>
      <c r="G50" s="464" t="s">
        <v>8314</v>
      </c>
      <c r="H50" s="464" t="s">
        <v>1269</v>
      </c>
      <c r="I50" s="464" t="s">
        <v>1270</v>
      </c>
      <c r="J50" s="464" t="s">
        <v>5990</v>
      </c>
      <c r="K50" s="464" t="s">
        <v>2342</v>
      </c>
      <c r="L50" s="464" t="s">
        <v>2342</v>
      </c>
      <c r="M50" s="464" t="s">
        <v>5921</v>
      </c>
      <c r="N50" s="464" t="s">
        <v>5921</v>
      </c>
      <c r="O50" s="464" t="s">
        <v>5921</v>
      </c>
      <c r="P50" s="464" t="s">
        <v>5921</v>
      </c>
      <c r="Q50" s="464" t="s">
        <v>5921</v>
      </c>
      <c r="R50" s="464">
        <v>297.18</v>
      </c>
      <c r="S50" s="464">
        <v>180</v>
      </c>
      <c r="T50" s="464">
        <v>6.9700000000000006</v>
      </c>
      <c r="U50" s="464">
        <v>205.59832793768933</v>
      </c>
      <c r="V50" s="464">
        <v>205.59832793768933</v>
      </c>
      <c r="W50" s="464">
        <v>8.7899999999999991</v>
      </c>
      <c r="X50" s="464">
        <v>4.0999999999999996</v>
      </c>
      <c r="Y50" s="464">
        <v>3.82</v>
      </c>
      <c r="Z50" s="464">
        <v>4.1399999999999997</v>
      </c>
      <c r="AA50" s="464">
        <v>0.87649999999999995</v>
      </c>
      <c r="AB50" s="464">
        <v>4.03</v>
      </c>
      <c r="AC50" s="464">
        <v>3.58</v>
      </c>
      <c r="AD50" s="464">
        <v>3.82</v>
      </c>
      <c r="AE50" s="464">
        <v>3.69</v>
      </c>
      <c r="AF50" s="464">
        <v>7.2499999999999994E-8</v>
      </c>
      <c r="AG50" s="464">
        <v>2.5899999999999999E-9</v>
      </c>
      <c r="AH50" s="464">
        <v>-5.5282283197416584</v>
      </c>
      <c r="AI50" s="464">
        <v>-6.9752665622313996</v>
      </c>
      <c r="AJ50" s="464">
        <v>-6.9752665622313996</v>
      </c>
      <c r="AK50" s="464">
        <v>-11.007019999999999</v>
      </c>
      <c r="AL50" s="464">
        <v>-7.54</v>
      </c>
      <c r="AM50" s="464" t="s">
        <v>5921</v>
      </c>
      <c r="AN50" s="464">
        <v>6.74</v>
      </c>
      <c r="AO50" s="464" t="s">
        <v>6311</v>
      </c>
      <c r="AP50" s="464" t="s">
        <v>6311</v>
      </c>
      <c r="AQ50" s="464" t="s">
        <v>6</v>
      </c>
      <c r="AR50" s="464" t="s">
        <v>266</v>
      </c>
      <c r="AS50" s="464" t="s">
        <v>8468</v>
      </c>
      <c r="AT50" s="464" t="s">
        <v>8469</v>
      </c>
      <c r="AU50" s="464" t="s">
        <v>8450</v>
      </c>
      <c r="AV50" s="464" t="s">
        <v>8446</v>
      </c>
      <c r="AW50" s="464" t="s">
        <v>267</v>
      </c>
      <c r="AX50" s="464" t="s">
        <v>268</v>
      </c>
      <c r="AY50" s="464" t="s">
        <v>8470</v>
      </c>
      <c r="AZ50" s="464" t="s">
        <v>888</v>
      </c>
      <c r="BA50" s="464" t="s">
        <v>270</v>
      </c>
      <c r="BB50" s="464" t="s">
        <v>8374</v>
      </c>
      <c r="BC50" s="464" t="s">
        <v>889</v>
      </c>
      <c r="BD50" s="464" t="s">
        <v>272</v>
      </c>
      <c r="BE50" s="464" t="s">
        <v>272</v>
      </c>
      <c r="BF50" s="464" t="s">
        <v>890</v>
      </c>
      <c r="BG50" s="464">
        <v>2.9717999999999997E-4</v>
      </c>
      <c r="BH50" s="464">
        <v>23.7744</v>
      </c>
      <c r="BI50" s="464" t="s">
        <v>5921</v>
      </c>
      <c r="BJ50" s="464">
        <v>3.1740194107978934</v>
      </c>
      <c r="BK50" s="464" t="s">
        <v>5921</v>
      </c>
      <c r="BL50" s="464" t="s">
        <v>5921</v>
      </c>
      <c r="BM50" s="464" t="s">
        <v>5921</v>
      </c>
      <c r="BN50" s="464" t="s">
        <v>5921</v>
      </c>
      <c r="BO50" s="464" t="s">
        <v>5921</v>
      </c>
      <c r="BP50" s="464" t="s">
        <v>5921</v>
      </c>
      <c r="BQ50" s="464">
        <v>0.90937080000000003</v>
      </c>
      <c r="BR50" s="464" t="s">
        <v>5921</v>
      </c>
      <c r="BS50" s="464" t="s">
        <v>5921</v>
      </c>
      <c r="BT50" s="464" t="s">
        <v>5921</v>
      </c>
      <c r="BU50" s="464" t="s">
        <v>5921</v>
      </c>
      <c r="BV50" s="464" t="s">
        <v>5921</v>
      </c>
      <c r="BW50" s="464" t="s">
        <v>5921</v>
      </c>
      <c r="BX50" s="464" t="s">
        <v>5921</v>
      </c>
      <c r="BY50" s="464" t="s">
        <v>5921</v>
      </c>
      <c r="BZ50" s="464" t="s">
        <v>5921</v>
      </c>
      <c r="CA50" s="464" t="s">
        <v>5921</v>
      </c>
      <c r="CB50" s="464" t="s">
        <v>5921</v>
      </c>
      <c r="CC50" s="464" t="s">
        <v>5921</v>
      </c>
      <c r="CD50" s="464" t="s">
        <v>5921</v>
      </c>
      <c r="CE50" s="464" t="s">
        <v>5921</v>
      </c>
      <c r="CF50" s="464" t="s">
        <v>5921</v>
      </c>
      <c r="CG50" s="464">
        <v>0.90937080000000003</v>
      </c>
      <c r="CH50" s="464">
        <v>-4.1258995152320281E-2</v>
      </c>
      <c r="CI50" s="464">
        <v>0.13350576295502278</v>
      </c>
      <c r="CJ50" s="464">
        <v>3.490346743922164</v>
      </c>
      <c r="CK50" s="464">
        <v>0.23564585552946926</v>
      </c>
      <c r="CL50" s="464">
        <v>13.818589312755286</v>
      </c>
      <c r="CM50" s="464" t="s">
        <v>892</v>
      </c>
      <c r="CN50" s="464" t="s">
        <v>893</v>
      </c>
      <c r="CO50" s="464">
        <v>0.3574215355818956</v>
      </c>
      <c r="CP50" s="464">
        <v>0.39931853512855464</v>
      </c>
      <c r="CQ50" s="464" t="s">
        <v>539</v>
      </c>
      <c r="CR50" s="464" t="s">
        <v>5921</v>
      </c>
      <c r="CS50" s="464">
        <v>226.08855258788751</v>
      </c>
      <c r="CT50" s="464">
        <v>8.6478871364866965</v>
      </c>
      <c r="CU50" s="464">
        <v>1</v>
      </c>
      <c r="CV50" s="464" t="s">
        <v>539</v>
      </c>
      <c r="CW50" s="464" t="s">
        <v>5921</v>
      </c>
    </row>
    <row r="51" spans="1:101" x14ac:dyDescent="0.2">
      <c r="A51" s="464">
        <v>347</v>
      </c>
      <c r="B51" s="464" t="s">
        <v>620</v>
      </c>
      <c r="C51" s="464" t="s">
        <v>6472</v>
      </c>
      <c r="D51" s="464" t="s">
        <v>621</v>
      </c>
      <c r="E51" s="464">
        <v>121755</v>
      </c>
      <c r="F51" s="464" t="s">
        <v>622</v>
      </c>
      <c r="G51" s="464" t="s">
        <v>622</v>
      </c>
      <c r="H51" s="464" t="s">
        <v>623</v>
      </c>
      <c r="I51" s="464" t="s">
        <v>624</v>
      </c>
      <c r="J51" s="464" t="s">
        <v>617</v>
      </c>
      <c r="K51" s="464" t="s">
        <v>946</v>
      </c>
      <c r="L51" s="464" t="s">
        <v>6376</v>
      </c>
      <c r="M51" s="464" t="s">
        <v>918</v>
      </c>
      <c r="N51" s="464" t="s">
        <v>6178</v>
      </c>
      <c r="O51" s="464" t="s">
        <v>6176</v>
      </c>
      <c r="P51" s="464" t="s">
        <v>6177</v>
      </c>
      <c r="Q51" s="464" t="s">
        <v>6176</v>
      </c>
      <c r="R51" s="464">
        <v>330.36</v>
      </c>
      <c r="S51" s="464">
        <v>143</v>
      </c>
      <c r="T51" s="464">
        <v>78.45</v>
      </c>
      <c r="U51" s="464">
        <v>185.77508018988354</v>
      </c>
      <c r="V51" s="464">
        <v>185.77508018988354</v>
      </c>
      <c r="W51" s="464">
        <v>7</v>
      </c>
      <c r="X51" s="464">
        <v>2.29</v>
      </c>
      <c r="Y51" s="464">
        <v>2.36</v>
      </c>
      <c r="Z51" s="464">
        <v>2.69</v>
      </c>
      <c r="AA51" s="464">
        <v>0.8125</v>
      </c>
      <c r="AB51" s="464">
        <v>2.76</v>
      </c>
      <c r="AC51" s="464">
        <v>2.93</v>
      </c>
      <c r="AD51" s="464">
        <v>2.36</v>
      </c>
      <c r="AE51" s="464">
        <v>2.3199999999999998</v>
      </c>
      <c r="AF51" s="464">
        <v>8.39E-10</v>
      </c>
      <c r="AG51" s="464">
        <v>4.8900000000000003E-9</v>
      </c>
      <c r="AH51" s="464">
        <v>-7.4648043654839515</v>
      </c>
      <c r="AI51" s="464">
        <v>-6.6992574671890317</v>
      </c>
      <c r="AJ51" s="464">
        <v>-6.6992574671890317</v>
      </c>
      <c r="AK51" s="464">
        <v>-12.449109999999999</v>
      </c>
      <c r="AL51" s="464">
        <v>-5.94</v>
      </c>
      <c r="AM51" s="464" t="s">
        <v>5921</v>
      </c>
      <c r="AN51" s="464" t="s">
        <v>5921</v>
      </c>
      <c r="AO51" s="464" t="s">
        <v>6312</v>
      </c>
      <c r="AP51" s="464" t="s">
        <v>6312</v>
      </c>
      <c r="AQ51" s="464" t="s">
        <v>6</v>
      </c>
      <c r="AR51" s="464" t="s">
        <v>266</v>
      </c>
      <c r="AS51" s="464" t="s">
        <v>8468</v>
      </c>
      <c r="AT51" s="464" t="s">
        <v>8469</v>
      </c>
      <c r="AU51" s="464" t="s">
        <v>8450</v>
      </c>
      <c r="AV51" s="464" t="s">
        <v>8446</v>
      </c>
      <c r="AW51" s="464" t="s">
        <v>267</v>
      </c>
      <c r="AX51" s="464" t="s">
        <v>268</v>
      </c>
      <c r="AY51" s="464" t="s">
        <v>8471</v>
      </c>
      <c r="AZ51" s="464" t="s">
        <v>888</v>
      </c>
      <c r="BA51" s="464" t="s">
        <v>270</v>
      </c>
      <c r="BB51" s="464" t="s">
        <v>8374</v>
      </c>
      <c r="BC51" s="464" t="s">
        <v>889</v>
      </c>
      <c r="BD51" s="464" t="s">
        <v>272</v>
      </c>
      <c r="BE51" s="464" t="s">
        <v>272</v>
      </c>
      <c r="BF51" s="464" t="s">
        <v>890</v>
      </c>
      <c r="BG51" s="464">
        <v>3.3035999999999997E-4</v>
      </c>
      <c r="BH51" s="464">
        <v>26.428800000000003</v>
      </c>
      <c r="BI51" s="464" t="s">
        <v>5921</v>
      </c>
      <c r="BJ51" s="464">
        <v>148.98359766722712</v>
      </c>
      <c r="BK51" s="464" t="s">
        <v>5921</v>
      </c>
      <c r="BL51" s="464" t="s">
        <v>5921</v>
      </c>
      <c r="BM51" s="464" t="s">
        <v>5921</v>
      </c>
      <c r="BN51" s="464" t="s">
        <v>5921</v>
      </c>
      <c r="BO51" s="464" t="s">
        <v>5921</v>
      </c>
      <c r="BP51" s="464" t="s">
        <v>5921</v>
      </c>
      <c r="BQ51" s="464">
        <v>8.3911440000000006</v>
      </c>
      <c r="BR51" s="464" t="s">
        <v>5921</v>
      </c>
      <c r="BS51" s="464" t="s">
        <v>5921</v>
      </c>
      <c r="BT51" s="464" t="s">
        <v>5921</v>
      </c>
      <c r="BU51" s="464" t="s">
        <v>5921</v>
      </c>
      <c r="BV51" s="464" t="s">
        <v>5921</v>
      </c>
      <c r="BW51" s="464" t="s">
        <v>5921</v>
      </c>
      <c r="BX51" s="464" t="s">
        <v>5921</v>
      </c>
      <c r="BY51" s="464" t="s">
        <v>5921</v>
      </c>
      <c r="BZ51" s="464" t="s">
        <v>5921</v>
      </c>
      <c r="CA51" s="464" t="s">
        <v>5921</v>
      </c>
      <c r="CB51" s="464" t="s">
        <v>5921</v>
      </c>
      <c r="CC51" s="464" t="s">
        <v>5921</v>
      </c>
      <c r="CD51" s="464" t="s">
        <v>5921</v>
      </c>
      <c r="CE51" s="464" t="s">
        <v>5921</v>
      </c>
      <c r="CF51" s="464" t="s">
        <v>5921</v>
      </c>
      <c r="CG51" s="464">
        <v>8.3911440000000006</v>
      </c>
      <c r="CH51" s="464">
        <v>0.92382117406089315</v>
      </c>
      <c r="CI51" s="464">
        <v>5.6371684551408725</v>
      </c>
      <c r="CJ51" s="464">
        <v>17.754861276034244</v>
      </c>
      <c r="CK51" s="464">
        <v>-1.0170155211093046</v>
      </c>
      <c r="CL51" s="464">
        <v>274.8482433231253</v>
      </c>
      <c r="CM51" s="464" t="s">
        <v>892</v>
      </c>
      <c r="CN51" s="464" t="s">
        <v>893</v>
      </c>
      <c r="CO51" s="464">
        <v>-0.606977785182086</v>
      </c>
      <c r="CP51" s="464">
        <v>33.946809186704073</v>
      </c>
      <c r="CQ51" s="464" t="s">
        <v>539</v>
      </c>
      <c r="CR51" s="464" t="s">
        <v>5921</v>
      </c>
      <c r="CS51" s="464">
        <v>22.139422251588524</v>
      </c>
      <c r="CT51" s="464">
        <v>7.0292665648793555</v>
      </c>
      <c r="CU51" s="464">
        <v>1</v>
      </c>
      <c r="CV51" s="464" t="s">
        <v>539</v>
      </c>
      <c r="CW51" s="464" t="s">
        <v>5921</v>
      </c>
    </row>
    <row r="52" spans="1:101" x14ac:dyDescent="0.2">
      <c r="A52" s="464">
        <v>365</v>
      </c>
      <c r="B52" s="464" t="s">
        <v>1302</v>
      </c>
      <c r="C52" s="464" t="s">
        <v>6504</v>
      </c>
      <c r="D52" s="464" t="s">
        <v>1303</v>
      </c>
      <c r="E52" s="464">
        <v>6317186</v>
      </c>
      <c r="F52" s="464" t="s">
        <v>1304</v>
      </c>
      <c r="G52" s="464" t="s">
        <v>5921</v>
      </c>
      <c r="H52" s="464" t="s">
        <v>1305</v>
      </c>
      <c r="I52" s="464" t="s">
        <v>1306</v>
      </c>
      <c r="J52" s="464" t="s">
        <v>5998</v>
      </c>
      <c r="K52" s="464" t="s">
        <v>929</v>
      </c>
      <c r="L52" s="464" t="s">
        <v>6088</v>
      </c>
      <c r="M52" s="464" t="s">
        <v>6083</v>
      </c>
      <c r="N52" s="464" t="s">
        <v>5921</v>
      </c>
      <c r="O52" s="464" t="s">
        <v>5921</v>
      </c>
      <c r="P52" s="464" t="s">
        <v>5921</v>
      </c>
      <c r="Q52" s="464" t="s">
        <v>5921</v>
      </c>
      <c r="R52" s="464">
        <v>130.19</v>
      </c>
      <c r="S52" s="464" t="s">
        <v>5921</v>
      </c>
      <c r="T52" s="464">
        <v>27170</v>
      </c>
      <c r="U52" s="464">
        <v>27834.128443229551</v>
      </c>
      <c r="V52" s="464">
        <v>27834.128443229551</v>
      </c>
      <c r="W52" s="464">
        <v>7</v>
      </c>
      <c r="X52" s="464">
        <v>0.62</v>
      </c>
      <c r="Y52" s="464" t="s">
        <v>5921</v>
      </c>
      <c r="Z52" s="464">
        <v>0.81</v>
      </c>
      <c r="AA52" s="464">
        <v>0.60450000000000004</v>
      </c>
      <c r="AB52" s="464">
        <v>0.8</v>
      </c>
      <c r="AC52" s="464">
        <v>0.8</v>
      </c>
      <c r="AD52" s="464">
        <v>0.8</v>
      </c>
      <c r="AE52" s="464">
        <v>1.36</v>
      </c>
      <c r="AF52" s="464">
        <v>2.6099999999999999E-8</v>
      </c>
      <c r="AG52" s="464" t="s">
        <v>5921</v>
      </c>
      <c r="AH52" s="464">
        <v>-5.9719258189743707</v>
      </c>
      <c r="AI52" s="464" t="s">
        <v>5921</v>
      </c>
      <c r="AJ52" s="464">
        <v>-5.9719258189743707</v>
      </c>
      <c r="AK52" s="464">
        <v>-8.0618999999999996</v>
      </c>
      <c r="AL52" s="464">
        <v>-11.9</v>
      </c>
      <c r="AM52" s="464" t="s">
        <v>5921</v>
      </c>
      <c r="AN52" s="464" t="s">
        <v>5921</v>
      </c>
      <c r="AO52" s="464" t="s">
        <v>6311</v>
      </c>
      <c r="AP52" s="464" t="s">
        <v>6311</v>
      </c>
      <c r="AQ52" s="464" t="s">
        <v>6</v>
      </c>
      <c r="AR52" s="464" t="s">
        <v>266</v>
      </c>
      <c r="AS52" s="464" t="s">
        <v>8468</v>
      </c>
      <c r="AT52" s="464" t="s">
        <v>8469</v>
      </c>
      <c r="AU52" s="464" t="s">
        <v>8450</v>
      </c>
      <c r="AV52" s="464" t="s">
        <v>8446</v>
      </c>
      <c r="AW52" s="464" t="s">
        <v>267</v>
      </c>
      <c r="AX52" s="464" t="s">
        <v>268</v>
      </c>
      <c r="AY52" s="464" t="s">
        <v>8453</v>
      </c>
      <c r="AZ52" s="464" t="s">
        <v>888</v>
      </c>
      <c r="BA52" s="464" t="s">
        <v>270</v>
      </c>
      <c r="BB52" s="464" t="s">
        <v>8374</v>
      </c>
      <c r="BC52" s="464" t="s">
        <v>889</v>
      </c>
      <c r="BD52" s="464" t="s">
        <v>272</v>
      </c>
      <c r="BE52" s="464" t="s">
        <v>272</v>
      </c>
      <c r="BF52" s="464" t="s">
        <v>890</v>
      </c>
      <c r="BG52" s="464">
        <v>1.3019E-4</v>
      </c>
      <c r="BH52" s="464">
        <v>10.4152</v>
      </c>
      <c r="BI52" s="464" t="s">
        <v>5921</v>
      </c>
      <c r="BJ52" s="464">
        <v>1855.9045094121504</v>
      </c>
      <c r="BK52" s="464" t="s">
        <v>5921</v>
      </c>
      <c r="BL52" s="464" t="s">
        <v>5921</v>
      </c>
      <c r="BM52" s="464" t="s">
        <v>5921</v>
      </c>
      <c r="BN52" s="464" t="s">
        <v>5921</v>
      </c>
      <c r="BO52" s="464" t="s">
        <v>5921</v>
      </c>
      <c r="BP52" s="464" t="s">
        <v>5921</v>
      </c>
      <c r="BQ52" s="464">
        <v>0.66746725612668067</v>
      </c>
      <c r="BR52" s="464" t="s">
        <v>5921</v>
      </c>
      <c r="BS52" s="464" t="s">
        <v>5921</v>
      </c>
      <c r="BT52" s="464" t="s">
        <v>5921</v>
      </c>
      <c r="BU52" s="464" t="s">
        <v>5921</v>
      </c>
      <c r="BV52" s="464" t="s">
        <v>5921</v>
      </c>
      <c r="BW52" s="464" t="s">
        <v>5921</v>
      </c>
      <c r="BX52" s="464" t="s">
        <v>5921</v>
      </c>
      <c r="BY52" s="464" t="s">
        <v>5921</v>
      </c>
      <c r="BZ52" s="464" t="s">
        <v>5921</v>
      </c>
      <c r="CA52" s="464" t="s">
        <v>5921</v>
      </c>
      <c r="CB52" s="464" t="s">
        <v>5921</v>
      </c>
      <c r="CC52" s="464" t="s">
        <v>5921</v>
      </c>
      <c r="CD52" s="464" t="s">
        <v>5921</v>
      </c>
      <c r="CE52" s="464" t="s">
        <v>5921</v>
      </c>
      <c r="CF52" s="464" t="s">
        <v>5921</v>
      </c>
      <c r="CG52" s="464">
        <v>0.66746725612668067</v>
      </c>
      <c r="CH52" s="464">
        <v>-0.17557003458106421</v>
      </c>
      <c r="CI52" s="464">
        <v>178.19192232622996</v>
      </c>
      <c r="CJ52" s="464">
        <v>2780.5176843909667</v>
      </c>
      <c r="CK52" s="464">
        <v>-0.78272648563652059</v>
      </c>
      <c r="CL52" s="464">
        <v>63.153016527960077</v>
      </c>
      <c r="CM52" s="464" t="s">
        <v>892</v>
      </c>
      <c r="CN52" s="464" t="s">
        <v>893</v>
      </c>
      <c r="CO52" s="464">
        <v>-0.4374264429082072</v>
      </c>
      <c r="CP52" s="464">
        <v>1.8274958875397922</v>
      </c>
      <c r="CQ52" s="464" t="s">
        <v>539</v>
      </c>
      <c r="CR52" s="464" t="s">
        <v>5921</v>
      </c>
      <c r="CS52" s="464">
        <v>41701.114455788113</v>
      </c>
      <c r="CT52" s="464">
        <v>2672.452611877789</v>
      </c>
      <c r="CU52" s="464">
        <v>1</v>
      </c>
      <c r="CV52" s="464" t="s">
        <v>539</v>
      </c>
      <c r="CW52" s="464" t="s">
        <v>5921</v>
      </c>
    </row>
    <row r="53" spans="1:101" x14ac:dyDescent="0.2">
      <c r="A53" s="464">
        <v>367</v>
      </c>
      <c r="B53" s="464" t="s">
        <v>1307</v>
      </c>
      <c r="C53" s="464" t="s">
        <v>6521</v>
      </c>
      <c r="D53" s="464" t="s">
        <v>1308</v>
      </c>
      <c r="E53" s="464">
        <v>51218452</v>
      </c>
      <c r="F53" s="464" t="s">
        <v>1309</v>
      </c>
      <c r="G53" s="464" t="s">
        <v>8129</v>
      </c>
      <c r="H53" s="464" t="s">
        <v>1310</v>
      </c>
      <c r="I53" s="464" t="s">
        <v>924</v>
      </c>
      <c r="J53" s="464" t="s">
        <v>5999</v>
      </c>
      <c r="K53" s="464" t="s">
        <v>6082</v>
      </c>
      <c r="L53" s="464" t="s">
        <v>6082</v>
      </c>
      <c r="M53" s="464" t="s">
        <v>6083</v>
      </c>
      <c r="N53" s="464" t="s">
        <v>5921</v>
      </c>
      <c r="O53" s="464" t="s">
        <v>5921</v>
      </c>
      <c r="P53" s="464" t="s">
        <v>5921</v>
      </c>
      <c r="Q53" s="464" t="s">
        <v>5921</v>
      </c>
      <c r="R53" s="464">
        <v>283.79000000000002</v>
      </c>
      <c r="S53" s="464">
        <v>530</v>
      </c>
      <c r="T53" s="464">
        <v>50.86</v>
      </c>
      <c r="U53" s="464">
        <v>516.4129066649266</v>
      </c>
      <c r="V53" s="464">
        <v>516.4129066649266</v>
      </c>
      <c r="W53" s="464">
        <v>7.01</v>
      </c>
      <c r="X53" s="464">
        <v>3.24</v>
      </c>
      <c r="Y53" s="464">
        <v>2.9</v>
      </c>
      <c r="Z53" s="464">
        <v>3.28</v>
      </c>
      <c r="AA53" s="464">
        <v>0.85260000000000002</v>
      </c>
      <c r="AB53" s="464">
        <v>3.22</v>
      </c>
      <c r="AC53" s="464">
        <v>3</v>
      </c>
      <c r="AD53" s="464">
        <v>2.9</v>
      </c>
      <c r="AE53" s="464">
        <v>3.4</v>
      </c>
      <c r="AF53" s="464">
        <v>1.49E-9</v>
      </c>
      <c r="AG53" s="464">
        <v>8.9999999999999995E-9</v>
      </c>
      <c r="AH53" s="464">
        <v>-7.2153800579003775</v>
      </c>
      <c r="AI53" s="464">
        <v>-6.4343238168733272</v>
      </c>
      <c r="AJ53" s="464">
        <v>-6.4343238168733272</v>
      </c>
      <c r="AK53" s="464">
        <v>-10.885639999999999</v>
      </c>
      <c r="AL53" s="464">
        <v>-5.2</v>
      </c>
      <c r="AM53" s="464" t="s">
        <v>5921</v>
      </c>
      <c r="AN53" s="464">
        <v>1.45</v>
      </c>
      <c r="AO53" s="464" t="s">
        <v>6311</v>
      </c>
      <c r="AP53" s="464" t="s">
        <v>6311</v>
      </c>
      <c r="AQ53" s="464" t="s">
        <v>6</v>
      </c>
      <c r="AR53" s="464" t="s">
        <v>266</v>
      </c>
      <c r="AS53" s="464" t="s">
        <v>8468</v>
      </c>
      <c r="AT53" s="464" t="s">
        <v>8469</v>
      </c>
      <c r="AU53" s="464" t="s">
        <v>8450</v>
      </c>
      <c r="AV53" s="464" t="s">
        <v>8446</v>
      </c>
      <c r="AW53" s="464" t="s">
        <v>267</v>
      </c>
      <c r="AX53" s="464" t="s">
        <v>268</v>
      </c>
      <c r="AY53" s="464" t="s">
        <v>8453</v>
      </c>
      <c r="AZ53" s="464" t="s">
        <v>888</v>
      </c>
      <c r="BA53" s="464" t="s">
        <v>270</v>
      </c>
      <c r="BB53" s="464" t="s">
        <v>8374</v>
      </c>
      <c r="BC53" s="464" t="s">
        <v>889</v>
      </c>
      <c r="BD53" s="464" t="s">
        <v>272</v>
      </c>
      <c r="BE53" s="464" t="s">
        <v>272</v>
      </c>
      <c r="BF53" s="464" t="s">
        <v>890</v>
      </c>
      <c r="BG53" s="464">
        <v>2.8379000000000002E-4</v>
      </c>
      <c r="BH53" s="464">
        <v>22.703200000000002</v>
      </c>
      <c r="BI53" s="464" t="s">
        <v>5921</v>
      </c>
      <c r="BJ53" s="464">
        <v>17.945397722670076</v>
      </c>
      <c r="BK53" s="464" t="s">
        <v>5921</v>
      </c>
      <c r="BL53" s="464" t="s">
        <v>5921</v>
      </c>
      <c r="BM53" s="464" t="s">
        <v>5921</v>
      </c>
      <c r="BN53" s="464" t="s">
        <v>5921</v>
      </c>
      <c r="BO53" s="464" t="s">
        <v>5921</v>
      </c>
      <c r="BP53" s="464" t="s">
        <v>5921</v>
      </c>
      <c r="BQ53" s="464">
        <v>13.101143142868107</v>
      </c>
      <c r="BR53" s="464" t="s">
        <v>5921</v>
      </c>
      <c r="BS53" s="464" t="s">
        <v>5921</v>
      </c>
      <c r="BT53" s="464" t="s">
        <v>5921</v>
      </c>
      <c r="BU53" s="464" t="s">
        <v>5921</v>
      </c>
      <c r="BV53" s="464" t="s">
        <v>5921</v>
      </c>
      <c r="BW53" s="464" t="s">
        <v>5921</v>
      </c>
      <c r="BX53" s="464" t="s">
        <v>5921</v>
      </c>
      <c r="BY53" s="464" t="s">
        <v>5921</v>
      </c>
      <c r="BZ53" s="464" t="s">
        <v>5921</v>
      </c>
      <c r="CA53" s="464" t="s">
        <v>5921</v>
      </c>
      <c r="CB53" s="464" t="s">
        <v>5921</v>
      </c>
      <c r="CC53" s="464" t="s">
        <v>5921</v>
      </c>
      <c r="CD53" s="464" t="s">
        <v>5921</v>
      </c>
      <c r="CE53" s="464" t="s">
        <v>5921</v>
      </c>
      <c r="CF53" s="464" t="s">
        <v>5921</v>
      </c>
      <c r="CG53" s="464">
        <v>13.101143142868107</v>
      </c>
      <c r="CH53" s="464">
        <v>1.1173091917610796</v>
      </c>
      <c r="CI53" s="464">
        <v>0.79043472826165806</v>
      </c>
      <c r="CJ53" s="464">
        <v>1.369758159801425</v>
      </c>
      <c r="CK53" s="464">
        <v>0.85250397966666791</v>
      </c>
      <c r="CL53" s="464">
        <v>3.1884755814234071</v>
      </c>
      <c r="CM53" s="464" t="s">
        <v>892</v>
      </c>
      <c r="CN53" s="464" t="s">
        <v>893</v>
      </c>
      <c r="CO53" s="464">
        <v>0.90647544647743228</v>
      </c>
      <c r="CP53" s="464">
        <v>1.6249265893721008</v>
      </c>
      <c r="CQ53" s="464" t="s">
        <v>539</v>
      </c>
      <c r="CR53" s="464" t="s">
        <v>5921</v>
      </c>
      <c r="CS53" s="464">
        <v>39.417392897202809</v>
      </c>
      <c r="CT53" s="464">
        <v>22.746260732624762</v>
      </c>
      <c r="CU53" s="464">
        <v>1</v>
      </c>
      <c r="CV53" s="464" t="s">
        <v>539</v>
      </c>
      <c r="CW53" s="464" t="s">
        <v>5921</v>
      </c>
    </row>
    <row r="54" spans="1:101" x14ac:dyDescent="0.2">
      <c r="A54" s="464">
        <v>371</v>
      </c>
      <c r="B54" s="464" t="s">
        <v>3280</v>
      </c>
      <c r="C54" s="464" t="s">
        <v>6660</v>
      </c>
      <c r="D54" s="464" t="s">
        <v>1311</v>
      </c>
      <c r="E54" s="464">
        <v>113484</v>
      </c>
      <c r="F54" s="464" t="s">
        <v>1312</v>
      </c>
      <c r="G54" s="464" t="s">
        <v>1312</v>
      </c>
      <c r="H54" s="464" t="s">
        <v>1313</v>
      </c>
      <c r="I54" s="464" t="s">
        <v>1314</v>
      </c>
      <c r="J54" s="464" t="s">
        <v>617</v>
      </c>
      <c r="K54" s="464" t="s">
        <v>6000</v>
      </c>
      <c r="L54" s="464" t="s">
        <v>2342</v>
      </c>
      <c r="M54" s="464" t="s">
        <v>6001</v>
      </c>
      <c r="N54" s="464" t="s">
        <v>8470</v>
      </c>
      <c r="O54" s="464" t="s">
        <v>6173</v>
      </c>
      <c r="P54" s="464" t="s">
        <v>8448</v>
      </c>
      <c r="Q54" s="464" t="s">
        <v>6173</v>
      </c>
      <c r="R54" s="464">
        <v>275.39</v>
      </c>
      <c r="S54" s="464" t="s">
        <v>5921</v>
      </c>
      <c r="T54" s="464">
        <v>11.78</v>
      </c>
      <c r="U54" s="464">
        <v>5.3696770432736747</v>
      </c>
      <c r="V54" s="464">
        <v>5.3696770432736747</v>
      </c>
      <c r="W54" s="464">
        <v>7</v>
      </c>
      <c r="X54" s="464">
        <v>3.76</v>
      </c>
      <c r="Y54" s="464">
        <v>3.7</v>
      </c>
      <c r="Z54" s="464">
        <v>3.56</v>
      </c>
      <c r="AA54" s="464">
        <v>0.70889999999999997</v>
      </c>
      <c r="AB54" s="464">
        <v>3.66</v>
      </c>
      <c r="AC54" s="464">
        <v>3.85</v>
      </c>
      <c r="AD54" s="464">
        <v>3.7</v>
      </c>
      <c r="AE54" s="464">
        <v>3.03</v>
      </c>
      <c r="AF54" s="464">
        <v>2.8500000000000002E-7</v>
      </c>
      <c r="AG54" s="464" t="s">
        <v>5921</v>
      </c>
      <c r="AH54" s="464">
        <v>-4.9337214663041413</v>
      </c>
      <c r="AI54" s="464" t="s">
        <v>5921</v>
      </c>
      <c r="AJ54" s="464">
        <v>-4.9337214663041413</v>
      </c>
      <c r="AK54" s="464">
        <v>-11.151609999999998</v>
      </c>
      <c r="AL54" s="464">
        <v>-5.39</v>
      </c>
      <c r="AM54" s="464" t="s">
        <v>5921</v>
      </c>
      <c r="AN54" s="464">
        <v>-7.53</v>
      </c>
      <c r="AO54" s="464" t="s">
        <v>6311</v>
      </c>
      <c r="AP54" s="464" t="s">
        <v>6311</v>
      </c>
      <c r="AQ54" s="464" t="s">
        <v>6</v>
      </c>
      <c r="AR54" s="464" t="s">
        <v>266</v>
      </c>
      <c r="AS54" s="464" t="s">
        <v>8468</v>
      </c>
      <c r="AT54" s="464" t="s">
        <v>8469</v>
      </c>
      <c r="AU54" s="464" t="s">
        <v>8450</v>
      </c>
      <c r="AV54" s="464" t="s">
        <v>8446</v>
      </c>
      <c r="AW54" s="464" t="s">
        <v>267</v>
      </c>
      <c r="AX54" s="464" t="s">
        <v>268</v>
      </c>
      <c r="AY54" s="464" t="s">
        <v>8453</v>
      </c>
      <c r="AZ54" s="464" t="s">
        <v>888</v>
      </c>
      <c r="BA54" s="464" t="s">
        <v>270</v>
      </c>
      <c r="BB54" s="464" t="s">
        <v>8374</v>
      </c>
      <c r="BC54" s="464" t="s">
        <v>889</v>
      </c>
      <c r="BD54" s="464" t="s">
        <v>272</v>
      </c>
      <c r="BE54" s="464" t="s">
        <v>272</v>
      </c>
      <c r="BF54" s="464" t="s">
        <v>890</v>
      </c>
      <c r="BG54" s="464">
        <v>2.7538999999999998E-4</v>
      </c>
      <c r="BH54" s="464">
        <v>22.031199999999998</v>
      </c>
      <c r="BI54" s="464" t="s">
        <v>5921</v>
      </c>
      <c r="BJ54" s="464">
        <v>5.9414461605897602</v>
      </c>
      <c r="BK54" s="464" t="s">
        <v>5921</v>
      </c>
      <c r="BL54" s="464" t="s">
        <v>5921</v>
      </c>
      <c r="BM54" s="464" t="s">
        <v>5921</v>
      </c>
      <c r="BN54" s="464" t="s">
        <v>5921</v>
      </c>
      <c r="BO54" s="464" t="s">
        <v>5921</v>
      </c>
      <c r="BP54" s="464" t="s">
        <v>5921</v>
      </c>
      <c r="BQ54" s="464">
        <v>2.4454632000000003</v>
      </c>
      <c r="BR54" s="464" t="s">
        <v>5921</v>
      </c>
      <c r="BS54" s="464" t="s">
        <v>5921</v>
      </c>
      <c r="BT54" s="464" t="s">
        <v>5921</v>
      </c>
      <c r="BU54" s="464" t="s">
        <v>5921</v>
      </c>
      <c r="BV54" s="464" t="s">
        <v>5921</v>
      </c>
      <c r="BW54" s="464" t="s">
        <v>5921</v>
      </c>
      <c r="BX54" s="464" t="s">
        <v>5921</v>
      </c>
      <c r="BY54" s="464" t="s">
        <v>5921</v>
      </c>
      <c r="BZ54" s="464" t="s">
        <v>5921</v>
      </c>
      <c r="CA54" s="464" t="s">
        <v>5921</v>
      </c>
      <c r="CB54" s="464" t="s">
        <v>5921</v>
      </c>
      <c r="CC54" s="464" t="s">
        <v>5921</v>
      </c>
      <c r="CD54" s="464" t="s">
        <v>5921</v>
      </c>
      <c r="CE54" s="464" t="s">
        <v>5921</v>
      </c>
      <c r="CF54" s="464" t="s">
        <v>5921</v>
      </c>
      <c r="CG54" s="464">
        <v>2.4454632000000003</v>
      </c>
      <c r="CH54" s="464">
        <v>0.38836113182416504</v>
      </c>
      <c r="CI54" s="464">
        <v>0.2696832746554777</v>
      </c>
      <c r="CJ54" s="464">
        <v>2.4295790509502493</v>
      </c>
      <c r="CK54" s="464">
        <v>-0.46629005903965459</v>
      </c>
      <c r="CL54" s="464">
        <v>64.465627157226592</v>
      </c>
      <c r="CM54" s="464" t="s">
        <v>892</v>
      </c>
      <c r="CN54" s="464" t="s">
        <v>893</v>
      </c>
      <c r="CO54" s="464">
        <v>-0.2546647338518393</v>
      </c>
      <c r="CP54" s="464">
        <v>4.3956779440176277</v>
      </c>
      <c r="CQ54" s="464" t="s">
        <v>539</v>
      </c>
      <c r="CR54" s="464" t="s">
        <v>5921</v>
      </c>
      <c r="CS54" s="464">
        <v>2.1957709456734715</v>
      </c>
      <c r="CT54" s="464">
        <v>0.24373057496975539</v>
      </c>
      <c r="CU54" s="464">
        <v>1</v>
      </c>
      <c r="CV54" s="464" t="s">
        <v>539</v>
      </c>
      <c r="CW54" s="464" t="s">
        <v>5921</v>
      </c>
    </row>
    <row r="55" spans="1:101" x14ac:dyDescent="0.2">
      <c r="A55" s="464">
        <v>389</v>
      </c>
      <c r="B55" s="464" t="s">
        <v>1345</v>
      </c>
      <c r="C55" s="464" t="s">
        <v>6534</v>
      </c>
      <c r="D55" s="464" t="s">
        <v>1346</v>
      </c>
      <c r="E55" s="464">
        <v>76738620</v>
      </c>
      <c r="F55" s="464" t="s">
        <v>1347</v>
      </c>
      <c r="G55" s="464" t="s">
        <v>7901</v>
      </c>
      <c r="H55" s="464" t="s">
        <v>1348</v>
      </c>
      <c r="I55" s="464" t="s">
        <v>1112</v>
      </c>
      <c r="J55" s="464" t="s">
        <v>6005</v>
      </c>
      <c r="K55" s="464" t="s">
        <v>2342</v>
      </c>
      <c r="L55" s="464" t="s">
        <v>2342</v>
      </c>
      <c r="M55" s="464" t="s">
        <v>5921</v>
      </c>
      <c r="N55" s="464" t="s">
        <v>5921</v>
      </c>
      <c r="O55" s="464" t="s">
        <v>5921</v>
      </c>
      <c r="P55" s="464" t="s">
        <v>5921</v>
      </c>
      <c r="Q55" s="464" t="s">
        <v>5921</v>
      </c>
      <c r="R55" s="464">
        <v>293.79000000000002</v>
      </c>
      <c r="S55" s="464">
        <v>26</v>
      </c>
      <c r="T55" s="464">
        <v>79.87</v>
      </c>
      <c r="U55" s="464">
        <v>61.381431028360808</v>
      </c>
      <c r="V55" s="464">
        <v>61.381431028360808</v>
      </c>
      <c r="W55" s="464">
        <v>7.03</v>
      </c>
      <c r="X55" s="464">
        <v>3.36</v>
      </c>
      <c r="Y55" s="464">
        <v>3.2</v>
      </c>
      <c r="Z55" s="464">
        <v>3.48</v>
      </c>
      <c r="AA55" s="464">
        <v>0.83650000000000002</v>
      </c>
      <c r="AB55" s="464">
        <v>3.37</v>
      </c>
      <c r="AC55" s="464">
        <v>2.99</v>
      </c>
      <c r="AD55" s="464">
        <v>3.2</v>
      </c>
      <c r="AE55" s="464">
        <v>3.49</v>
      </c>
      <c r="AF55" s="464">
        <v>3.9E-10</v>
      </c>
      <c r="AG55" s="464">
        <v>8.2800000000000001E-11</v>
      </c>
      <c r="AH55" s="464">
        <v>-7.7975017192861529</v>
      </c>
      <c r="AI55" s="464">
        <v>-8.4705359895277716</v>
      </c>
      <c r="AJ55" s="464">
        <v>-8.4705359895277716</v>
      </c>
      <c r="AK55" s="464">
        <v>-13.015940000000001</v>
      </c>
      <c r="AL55" s="464">
        <v>-7.92</v>
      </c>
      <c r="AM55" s="464">
        <v>13.92</v>
      </c>
      <c r="AN55" s="464">
        <v>2.57</v>
      </c>
      <c r="AO55" s="464" t="s">
        <v>6311</v>
      </c>
      <c r="AP55" s="464" t="s">
        <v>6311</v>
      </c>
      <c r="AQ55" s="464" t="s">
        <v>6</v>
      </c>
      <c r="AR55" s="464" t="s">
        <v>266</v>
      </c>
      <c r="AS55" s="464" t="s">
        <v>8468</v>
      </c>
      <c r="AT55" s="464" t="s">
        <v>8469</v>
      </c>
      <c r="AU55" s="464" t="s">
        <v>8450</v>
      </c>
      <c r="AV55" s="464" t="s">
        <v>8446</v>
      </c>
      <c r="AW55" s="464" t="s">
        <v>267</v>
      </c>
      <c r="AX55" s="464" t="s">
        <v>268</v>
      </c>
      <c r="AY55" s="464" t="s">
        <v>8470</v>
      </c>
      <c r="AZ55" s="464" t="s">
        <v>888</v>
      </c>
      <c r="BA55" s="464" t="s">
        <v>270</v>
      </c>
      <c r="BB55" s="464" t="s">
        <v>8374</v>
      </c>
      <c r="BC55" s="464" t="s">
        <v>889</v>
      </c>
      <c r="BD55" s="464" t="s">
        <v>272</v>
      </c>
      <c r="BE55" s="464" t="s">
        <v>272</v>
      </c>
      <c r="BF55" s="464" t="s">
        <v>890</v>
      </c>
      <c r="BG55" s="464">
        <v>2.9378999999999999E-4</v>
      </c>
      <c r="BH55" s="464">
        <v>23.503200000000003</v>
      </c>
      <c r="BI55" s="464" t="s">
        <v>5921</v>
      </c>
      <c r="BJ55" s="464">
        <v>14.495093103729074</v>
      </c>
      <c r="BK55" s="464" t="s">
        <v>5921</v>
      </c>
      <c r="BL55" s="464" t="s">
        <v>5921</v>
      </c>
      <c r="BM55" s="464" t="s">
        <v>5921</v>
      </c>
      <c r="BN55" s="464" t="s">
        <v>5921</v>
      </c>
      <c r="BO55" s="464" t="s">
        <v>5921</v>
      </c>
      <c r="BP55" s="464" t="s">
        <v>5921</v>
      </c>
      <c r="BQ55" s="464">
        <v>14.037286200000002</v>
      </c>
      <c r="BR55" s="464" t="s">
        <v>5921</v>
      </c>
      <c r="BS55" s="464" t="s">
        <v>5921</v>
      </c>
      <c r="BT55" s="464" t="s">
        <v>5921</v>
      </c>
      <c r="BU55" s="464" t="s">
        <v>5921</v>
      </c>
      <c r="BV55" s="464" t="s">
        <v>5921</v>
      </c>
      <c r="BW55" s="464" t="s">
        <v>5921</v>
      </c>
      <c r="BX55" s="464" t="s">
        <v>5921</v>
      </c>
      <c r="BY55" s="464" t="s">
        <v>5921</v>
      </c>
      <c r="BZ55" s="464" t="s">
        <v>5921</v>
      </c>
      <c r="CA55" s="464" t="s">
        <v>5921</v>
      </c>
      <c r="CB55" s="464" t="s">
        <v>5921</v>
      </c>
      <c r="CC55" s="464" t="s">
        <v>5921</v>
      </c>
      <c r="CD55" s="464" t="s">
        <v>5921</v>
      </c>
      <c r="CE55" s="464" t="s">
        <v>5921</v>
      </c>
      <c r="CF55" s="464" t="s">
        <v>5921</v>
      </c>
      <c r="CG55" s="464">
        <v>14.037286200000002</v>
      </c>
      <c r="CH55" s="464">
        <v>1.1472831546396061</v>
      </c>
      <c r="CI55" s="464">
        <v>0.6167284924490738</v>
      </c>
      <c r="CJ55" s="464">
        <v>1.0326136332341127</v>
      </c>
      <c r="CK55" s="464">
        <v>1.3122828436339211</v>
      </c>
      <c r="CL55" s="464">
        <v>1.1451019456549159</v>
      </c>
      <c r="CM55" s="464" t="s">
        <v>892</v>
      </c>
      <c r="CN55" s="464" t="s">
        <v>893</v>
      </c>
      <c r="CO55" s="464">
        <v>1.3603806215390062</v>
      </c>
      <c r="CP55" s="464">
        <v>0.61221297990005119</v>
      </c>
      <c r="CQ55" s="464" t="s">
        <v>539</v>
      </c>
      <c r="CR55" s="464" t="s">
        <v>5921</v>
      </c>
      <c r="CS55" s="464">
        <v>4.3727420068104612</v>
      </c>
      <c r="CT55" s="464">
        <v>2.6116201635675482</v>
      </c>
      <c r="CU55" s="464">
        <v>1</v>
      </c>
      <c r="CV55" s="464" t="s">
        <v>539</v>
      </c>
      <c r="CW55" s="464" t="s">
        <v>5921</v>
      </c>
    </row>
    <row r="56" spans="1:101" x14ac:dyDescent="0.2">
      <c r="A56" s="464">
        <v>405</v>
      </c>
      <c r="B56" s="464" t="s">
        <v>1387</v>
      </c>
      <c r="C56" s="464" t="s">
        <v>6677</v>
      </c>
      <c r="D56" s="464" t="s">
        <v>1388</v>
      </c>
      <c r="E56" s="464">
        <v>86209510</v>
      </c>
      <c r="F56" s="464" t="s">
        <v>1389</v>
      </c>
      <c r="G56" s="464" t="s">
        <v>1389</v>
      </c>
      <c r="H56" s="464" t="s">
        <v>1390</v>
      </c>
      <c r="I56" s="464" t="s">
        <v>1391</v>
      </c>
      <c r="J56" s="464" t="s">
        <v>6006</v>
      </c>
      <c r="K56" s="464" t="s">
        <v>6082</v>
      </c>
      <c r="L56" s="464" t="s">
        <v>6082</v>
      </c>
      <c r="M56" s="464" t="s">
        <v>6083</v>
      </c>
      <c r="N56" s="464" t="s">
        <v>5921</v>
      </c>
      <c r="O56" s="464" t="s">
        <v>5921</v>
      </c>
      <c r="P56" s="464" t="s">
        <v>5921</v>
      </c>
      <c r="Q56" s="464" t="s">
        <v>5921</v>
      </c>
      <c r="R56" s="464">
        <v>468.34</v>
      </c>
      <c r="S56" s="464">
        <v>3.3</v>
      </c>
      <c r="T56" s="464">
        <v>10.029999999999999</v>
      </c>
      <c r="U56" s="464">
        <v>19.978425183553771</v>
      </c>
      <c r="V56" s="464">
        <v>19.978425183553771</v>
      </c>
      <c r="W56" s="464">
        <v>4.42</v>
      </c>
      <c r="X56" s="464">
        <v>2.41</v>
      </c>
      <c r="Y56" s="464" t="s">
        <v>5921</v>
      </c>
      <c r="Z56" s="464">
        <v>1.99</v>
      </c>
      <c r="AA56" s="464">
        <v>0.65010000000000001</v>
      </c>
      <c r="AB56" s="464">
        <v>2.2599999999999998</v>
      </c>
      <c r="AC56" s="464">
        <v>2.93</v>
      </c>
      <c r="AD56" s="464">
        <v>2.2599999999999998</v>
      </c>
      <c r="AE56" s="464">
        <v>3.11</v>
      </c>
      <c r="AF56" s="464">
        <v>1.3899999999999999E-12</v>
      </c>
      <c r="AG56" s="464" t="s">
        <v>5921</v>
      </c>
      <c r="AH56" s="464">
        <v>-10.245551526058557</v>
      </c>
      <c r="AI56" s="464" t="s">
        <v>5921</v>
      </c>
      <c r="AJ56" s="464">
        <v>-10.245551526058557</v>
      </c>
      <c r="AK56" s="464">
        <v>-24.811799999999998</v>
      </c>
      <c r="AL56" s="464">
        <v>-18.7</v>
      </c>
      <c r="AM56" s="464">
        <v>3.78</v>
      </c>
      <c r="AN56" s="464">
        <v>-4.76</v>
      </c>
      <c r="AO56" s="464" t="s">
        <v>6311</v>
      </c>
      <c r="AP56" s="464" t="s">
        <v>6312</v>
      </c>
      <c r="AQ56" s="464" t="s">
        <v>6</v>
      </c>
      <c r="AR56" s="464" t="s">
        <v>266</v>
      </c>
      <c r="AS56" s="464" t="s">
        <v>8468</v>
      </c>
      <c r="AT56" s="464" t="s">
        <v>8469</v>
      </c>
      <c r="AU56" s="464" t="s">
        <v>8450</v>
      </c>
      <c r="AV56" s="464" t="s">
        <v>8446</v>
      </c>
      <c r="AW56" s="464" t="s">
        <v>267</v>
      </c>
      <c r="AX56" s="464" t="s">
        <v>268</v>
      </c>
      <c r="AY56" s="464" t="s">
        <v>8453</v>
      </c>
      <c r="AZ56" s="464" t="s">
        <v>888</v>
      </c>
      <c r="BA56" s="464" t="s">
        <v>270</v>
      </c>
      <c r="BB56" s="464" t="s">
        <v>8374</v>
      </c>
      <c r="BC56" s="464" t="s">
        <v>889</v>
      </c>
      <c r="BD56" s="464" t="s">
        <v>272</v>
      </c>
      <c r="BE56" s="464" t="s">
        <v>272</v>
      </c>
      <c r="BF56" s="464" t="s">
        <v>890</v>
      </c>
      <c r="BG56" s="464">
        <v>4.6833999999999998E-4</v>
      </c>
      <c r="BH56" s="464">
        <v>37.467199999999998</v>
      </c>
      <c r="BI56" s="464" t="s">
        <v>5921</v>
      </c>
      <c r="BJ56" s="464">
        <v>164.79356599237158</v>
      </c>
      <c r="BK56" s="464" t="s">
        <v>5921</v>
      </c>
      <c r="BL56" s="464" t="s">
        <v>5921</v>
      </c>
      <c r="BM56" s="464" t="s">
        <v>5921</v>
      </c>
      <c r="BN56" s="464" t="s">
        <v>5921</v>
      </c>
      <c r="BO56" s="464" t="s">
        <v>5921</v>
      </c>
      <c r="BP56" s="464" t="s">
        <v>5921</v>
      </c>
      <c r="BQ56" s="464">
        <v>2.4011184786417514</v>
      </c>
      <c r="BR56" s="464" t="s">
        <v>5921</v>
      </c>
      <c r="BS56" s="464" t="s">
        <v>5921</v>
      </c>
      <c r="BT56" s="464" t="s">
        <v>5921</v>
      </c>
      <c r="BU56" s="464" t="s">
        <v>5921</v>
      </c>
      <c r="BV56" s="464" t="s">
        <v>5921</v>
      </c>
      <c r="BW56" s="464" t="s">
        <v>5921</v>
      </c>
      <c r="BX56" s="464" t="s">
        <v>5921</v>
      </c>
      <c r="BY56" s="464" t="s">
        <v>5921</v>
      </c>
      <c r="BZ56" s="464" t="s">
        <v>5921</v>
      </c>
      <c r="CA56" s="464" t="s">
        <v>5921</v>
      </c>
      <c r="CB56" s="464" t="s">
        <v>5921</v>
      </c>
      <c r="CC56" s="464" t="s">
        <v>5921</v>
      </c>
      <c r="CD56" s="464" t="s">
        <v>5921</v>
      </c>
      <c r="CE56" s="464" t="s">
        <v>5921</v>
      </c>
      <c r="CF56" s="464" t="s">
        <v>5921</v>
      </c>
      <c r="CG56" s="464">
        <v>2.4011184786417514</v>
      </c>
      <c r="CH56" s="464">
        <v>0.38041359002406178</v>
      </c>
      <c r="CI56" s="464">
        <v>4.3983421764202184</v>
      </c>
      <c r="CJ56" s="464">
        <v>68.632001068764794</v>
      </c>
      <c r="CK56" s="464">
        <v>2.3222192947339191</v>
      </c>
      <c r="CL56" s="464">
        <v>0.17841523809523813</v>
      </c>
      <c r="CM56" s="464" t="s">
        <v>892</v>
      </c>
      <c r="CN56" s="464" t="s">
        <v>893</v>
      </c>
      <c r="CO56" s="464">
        <v>2.3222192947339191</v>
      </c>
      <c r="CP56" s="464">
        <v>1.1433897517341673E-2</v>
      </c>
      <c r="CQ56" s="464" t="s">
        <v>539</v>
      </c>
      <c r="CR56" s="464" t="s">
        <v>5921</v>
      </c>
      <c r="CS56" s="464">
        <v>8.3204662165837942</v>
      </c>
      <c r="CT56" s="464">
        <v>0.53322439850199033</v>
      </c>
      <c r="CU56" s="464">
        <v>1</v>
      </c>
      <c r="CV56" s="464" t="s">
        <v>539</v>
      </c>
      <c r="CW56" s="464" t="s">
        <v>5921</v>
      </c>
    </row>
    <row r="57" spans="1:101" x14ac:dyDescent="0.2">
      <c r="A57" s="464">
        <v>413</v>
      </c>
      <c r="B57" s="464" t="s">
        <v>1400</v>
      </c>
      <c r="C57" s="464" t="s">
        <v>6488</v>
      </c>
      <c r="D57" s="464" t="s">
        <v>1401</v>
      </c>
      <c r="E57" s="464">
        <v>709988</v>
      </c>
      <c r="F57" s="464" t="s">
        <v>1402</v>
      </c>
      <c r="G57" s="464" t="s">
        <v>8059</v>
      </c>
      <c r="H57" s="464" t="s">
        <v>1403</v>
      </c>
      <c r="I57" s="464" t="s">
        <v>471</v>
      </c>
      <c r="J57" s="464" t="s">
        <v>1404</v>
      </c>
      <c r="K57" s="464" t="s">
        <v>6082</v>
      </c>
      <c r="L57" s="464" t="s">
        <v>6082</v>
      </c>
      <c r="M57" s="464" t="s">
        <v>6083</v>
      </c>
      <c r="N57" s="464" t="s">
        <v>5921</v>
      </c>
      <c r="O57" s="464" t="s">
        <v>6173</v>
      </c>
      <c r="P57" s="464" t="s">
        <v>6185</v>
      </c>
      <c r="Q57" s="464" t="s">
        <v>6176</v>
      </c>
      <c r="R57" s="464">
        <v>218.08</v>
      </c>
      <c r="S57" s="464">
        <v>152</v>
      </c>
      <c r="T57" s="464">
        <v>84.18</v>
      </c>
      <c r="U57" s="464">
        <v>90.910875147210703</v>
      </c>
      <c r="V57" s="464">
        <v>90.910875147210703</v>
      </c>
      <c r="W57" s="464">
        <v>7</v>
      </c>
      <c r="X57" s="464">
        <v>2.88</v>
      </c>
      <c r="Y57" s="464">
        <v>3.07</v>
      </c>
      <c r="Z57" s="464">
        <v>3.39</v>
      </c>
      <c r="AA57" s="464">
        <v>0.89070000000000005</v>
      </c>
      <c r="AB57" s="464">
        <v>3.34</v>
      </c>
      <c r="AC57" s="464">
        <v>3.18</v>
      </c>
      <c r="AD57" s="464">
        <v>3.07</v>
      </c>
      <c r="AE57" s="464">
        <v>3.05</v>
      </c>
      <c r="AF57" s="464">
        <v>4.4999999999999998E-9</v>
      </c>
      <c r="AG57" s="464">
        <v>1.7100000000000001E-9</v>
      </c>
      <c r="AH57" s="464">
        <v>-6.7353538125373085</v>
      </c>
      <c r="AI57" s="464">
        <v>-7.1555702159204984</v>
      </c>
      <c r="AJ57" s="464">
        <v>-7.1555702159204984</v>
      </c>
      <c r="AK57" s="464">
        <v>-10.588889999999999</v>
      </c>
      <c r="AL57" s="464">
        <v>-7.75</v>
      </c>
      <c r="AM57" s="464">
        <v>13.58</v>
      </c>
      <c r="AN57" s="464">
        <v>-0.91</v>
      </c>
      <c r="AO57" s="464" t="s">
        <v>6311</v>
      </c>
      <c r="AP57" s="464" t="s">
        <v>6311</v>
      </c>
      <c r="AQ57" s="464" t="s">
        <v>6</v>
      </c>
      <c r="AR57" s="464" t="s">
        <v>266</v>
      </c>
      <c r="AS57" s="464" t="s">
        <v>8468</v>
      </c>
      <c r="AT57" s="464" t="s">
        <v>8469</v>
      </c>
      <c r="AU57" s="464" t="s">
        <v>8450</v>
      </c>
      <c r="AV57" s="464" t="s">
        <v>8446</v>
      </c>
      <c r="AW57" s="464" t="s">
        <v>267</v>
      </c>
      <c r="AX57" s="464" t="s">
        <v>268</v>
      </c>
      <c r="AY57" s="464" t="s">
        <v>8453</v>
      </c>
      <c r="AZ57" s="464" t="s">
        <v>888</v>
      </c>
      <c r="BA57" s="464" t="s">
        <v>270</v>
      </c>
      <c r="BB57" s="464" t="s">
        <v>8374</v>
      </c>
      <c r="BC57" s="464" t="s">
        <v>889</v>
      </c>
      <c r="BD57" s="464" t="s">
        <v>272</v>
      </c>
      <c r="BE57" s="464" t="s">
        <v>272</v>
      </c>
      <c r="BF57" s="464" t="s">
        <v>890</v>
      </c>
      <c r="BG57" s="464">
        <v>2.1808E-4</v>
      </c>
      <c r="BH57" s="464">
        <v>17.446400000000001</v>
      </c>
      <c r="BI57" s="464" t="s">
        <v>5921</v>
      </c>
      <c r="BJ57" s="464">
        <v>29.03272754290597</v>
      </c>
      <c r="BK57" s="464" t="s">
        <v>5921</v>
      </c>
      <c r="BL57" s="464" t="s">
        <v>5921</v>
      </c>
      <c r="BM57" s="464" t="s">
        <v>5921</v>
      </c>
      <c r="BN57" s="464" t="s">
        <v>5921</v>
      </c>
      <c r="BO57" s="464" t="s">
        <v>5921</v>
      </c>
      <c r="BP57" s="464" t="s">
        <v>5921</v>
      </c>
      <c r="BQ57" s="464">
        <v>10.067646134806289</v>
      </c>
      <c r="BR57" s="464" t="s">
        <v>5921</v>
      </c>
      <c r="BS57" s="464" t="s">
        <v>5921</v>
      </c>
      <c r="BT57" s="464" t="s">
        <v>5921</v>
      </c>
      <c r="BU57" s="464" t="s">
        <v>5921</v>
      </c>
      <c r="BV57" s="464" t="s">
        <v>5921</v>
      </c>
      <c r="BW57" s="464" t="s">
        <v>5921</v>
      </c>
      <c r="BX57" s="464" t="s">
        <v>5921</v>
      </c>
      <c r="BY57" s="464" t="s">
        <v>5921</v>
      </c>
      <c r="BZ57" s="464" t="s">
        <v>5921</v>
      </c>
      <c r="CA57" s="464" t="s">
        <v>5921</v>
      </c>
      <c r="CB57" s="464" t="s">
        <v>5921</v>
      </c>
      <c r="CC57" s="464" t="s">
        <v>5921</v>
      </c>
      <c r="CD57" s="464" t="s">
        <v>5921</v>
      </c>
      <c r="CE57" s="464" t="s">
        <v>5921</v>
      </c>
      <c r="CF57" s="464" t="s">
        <v>5921</v>
      </c>
      <c r="CG57" s="464">
        <v>10.067646134806289</v>
      </c>
      <c r="CH57" s="464">
        <v>1.0029279422357018</v>
      </c>
      <c r="CI57" s="464">
        <v>1.6641099334479301</v>
      </c>
      <c r="CJ57" s="464">
        <v>2.8837651973615568</v>
      </c>
      <c r="CK57" s="464">
        <v>0.73446890283273059</v>
      </c>
      <c r="CL57" s="464">
        <v>3.2154141798259963</v>
      </c>
      <c r="CM57" s="464" t="s">
        <v>892</v>
      </c>
      <c r="CN57" s="464" t="s">
        <v>893</v>
      </c>
      <c r="CO57" s="464">
        <v>0.87007962959778784</v>
      </c>
      <c r="CP57" s="464">
        <v>1.3578391071367615</v>
      </c>
      <c r="CQ57" s="464" t="s">
        <v>539</v>
      </c>
      <c r="CR57" s="464" t="s">
        <v>5921</v>
      </c>
      <c r="CS57" s="464">
        <v>9.0300030344640163</v>
      </c>
      <c r="CT57" s="464">
        <v>5.2108672933791897</v>
      </c>
      <c r="CU57" s="464">
        <v>1</v>
      </c>
      <c r="CV57" s="464" t="s">
        <v>539</v>
      </c>
      <c r="CW57" s="464" t="s">
        <v>5921</v>
      </c>
    </row>
    <row r="58" spans="1:101" x14ac:dyDescent="0.2">
      <c r="A58" s="464">
        <v>423</v>
      </c>
      <c r="B58" s="464" t="s">
        <v>1423</v>
      </c>
      <c r="C58" s="464" t="s">
        <v>6590</v>
      </c>
      <c r="D58" s="464" t="s">
        <v>1424</v>
      </c>
      <c r="E58" s="464">
        <v>175013180</v>
      </c>
      <c r="F58" s="464" t="s">
        <v>1425</v>
      </c>
      <c r="G58" s="464" t="s">
        <v>7895</v>
      </c>
      <c r="H58" s="464" t="s">
        <v>1426</v>
      </c>
      <c r="I58" s="464" t="s">
        <v>1427</v>
      </c>
      <c r="J58" s="464" t="s">
        <v>6090</v>
      </c>
      <c r="K58" s="464" t="s">
        <v>6082</v>
      </c>
      <c r="L58" s="464" t="s">
        <v>6082</v>
      </c>
      <c r="M58" s="464" t="s">
        <v>6083</v>
      </c>
      <c r="N58" s="464" t="s">
        <v>5921</v>
      </c>
      <c r="O58" s="464" t="s">
        <v>5921</v>
      </c>
      <c r="P58" s="464" t="s">
        <v>5921</v>
      </c>
      <c r="Q58" s="464" t="s">
        <v>5921</v>
      </c>
      <c r="R58" s="464">
        <v>387.82</v>
      </c>
      <c r="S58" s="464" t="s">
        <v>5921</v>
      </c>
      <c r="T58" s="464">
        <v>1.425</v>
      </c>
      <c r="U58" s="464">
        <v>2.621984995165183</v>
      </c>
      <c r="V58" s="464">
        <v>2.621984995165183</v>
      </c>
      <c r="W58" s="464">
        <v>7</v>
      </c>
      <c r="X58" s="464">
        <v>5.45</v>
      </c>
      <c r="Y58" s="464">
        <v>3.99</v>
      </c>
      <c r="Z58" s="464">
        <v>3.95</v>
      </c>
      <c r="AA58" s="464">
        <v>0.61850000000000005</v>
      </c>
      <c r="AB58" s="464">
        <v>4.07</v>
      </c>
      <c r="AC58" s="464">
        <v>4.25</v>
      </c>
      <c r="AD58" s="464">
        <v>3.99</v>
      </c>
      <c r="AE58" s="464">
        <v>4.0199999999999996</v>
      </c>
      <c r="AF58" s="464">
        <v>1.15E-15</v>
      </c>
      <c r="AG58" s="464" t="s">
        <v>5921</v>
      </c>
      <c r="AH58" s="464">
        <v>-13.327868485959041</v>
      </c>
      <c r="AI58" s="464" t="s">
        <v>5921</v>
      </c>
      <c r="AJ58" s="464">
        <v>-13.327868485959041</v>
      </c>
      <c r="AK58" s="464">
        <v>-18.93666</v>
      </c>
      <c r="AL58" s="464">
        <v>-9.9600000000000009</v>
      </c>
      <c r="AM58" s="464" t="s">
        <v>5921</v>
      </c>
      <c r="AN58" s="464">
        <v>-0.23</v>
      </c>
      <c r="AO58" s="464" t="s">
        <v>6311</v>
      </c>
      <c r="AP58" s="464" t="s">
        <v>6311</v>
      </c>
      <c r="AQ58" s="464" t="s">
        <v>63</v>
      </c>
      <c r="AR58" s="464" t="s">
        <v>266</v>
      </c>
      <c r="AS58" s="464" t="s">
        <v>8468</v>
      </c>
      <c r="AT58" s="464" t="s">
        <v>8469</v>
      </c>
      <c r="AU58" s="464" t="s">
        <v>8450</v>
      </c>
      <c r="AV58" s="464" t="s">
        <v>8446</v>
      </c>
      <c r="AW58" s="464" t="s">
        <v>267</v>
      </c>
      <c r="AX58" s="464" t="s">
        <v>268</v>
      </c>
      <c r="AY58" s="464" t="s">
        <v>8453</v>
      </c>
      <c r="AZ58" s="464" t="s">
        <v>888</v>
      </c>
      <c r="BA58" s="464" t="s">
        <v>270</v>
      </c>
      <c r="BB58" s="464" t="s">
        <v>8374</v>
      </c>
      <c r="BC58" s="464" t="s">
        <v>889</v>
      </c>
      <c r="BD58" s="464" t="s">
        <v>272</v>
      </c>
      <c r="BE58" s="464" t="s">
        <v>272</v>
      </c>
      <c r="BF58" s="464" t="s">
        <v>890</v>
      </c>
      <c r="BG58" s="464">
        <v>3.8781999999999998E-4</v>
      </c>
      <c r="BH58" s="464">
        <v>31.025600000000001</v>
      </c>
      <c r="BI58" s="464" t="s">
        <v>5921</v>
      </c>
      <c r="BJ58" s="464">
        <v>0.25397162750242946</v>
      </c>
      <c r="BK58" s="464" t="s">
        <v>5921</v>
      </c>
      <c r="BL58" s="464" t="s">
        <v>5921</v>
      </c>
      <c r="BM58" s="464" t="s">
        <v>5921</v>
      </c>
      <c r="BN58" s="464" t="s">
        <v>5921</v>
      </c>
      <c r="BO58" s="464" t="s">
        <v>5921</v>
      </c>
      <c r="BP58" s="464" t="s">
        <v>5921</v>
      </c>
      <c r="BQ58" s="464">
        <v>7.2629067510004558E-2</v>
      </c>
      <c r="BR58" s="464" t="s">
        <v>5921</v>
      </c>
      <c r="BS58" s="464" t="s">
        <v>5921</v>
      </c>
      <c r="BT58" s="464" t="s">
        <v>5921</v>
      </c>
      <c r="BU58" s="464" t="s">
        <v>5921</v>
      </c>
      <c r="BV58" s="464" t="s">
        <v>5921</v>
      </c>
      <c r="BW58" s="464" t="s">
        <v>5921</v>
      </c>
      <c r="BX58" s="464" t="s">
        <v>5921</v>
      </c>
      <c r="BY58" s="464" t="s">
        <v>5921</v>
      </c>
      <c r="BZ58" s="464" t="s">
        <v>5921</v>
      </c>
      <c r="CA58" s="464" t="s">
        <v>5921</v>
      </c>
      <c r="CB58" s="464" t="s">
        <v>5921</v>
      </c>
      <c r="CC58" s="464" t="s">
        <v>5921</v>
      </c>
      <c r="CD58" s="464" t="s">
        <v>5921</v>
      </c>
      <c r="CE58" s="464" t="s">
        <v>5921</v>
      </c>
      <c r="CF58" s="464" t="s">
        <v>5921</v>
      </c>
      <c r="CG58" s="464">
        <v>7.2629067510004558E-2</v>
      </c>
      <c r="CH58" s="464">
        <v>-1.1388895317419394</v>
      </c>
      <c r="CI58" s="464">
        <v>8.1858731983403855E-3</v>
      </c>
      <c r="CJ58" s="464">
        <v>3.4968317260502513</v>
      </c>
      <c r="CK58" s="464">
        <v>-2.2076083105017461</v>
      </c>
      <c r="CL58" s="464">
        <v>5004.1290322580689</v>
      </c>
      <c r="CM58" s="464" t="s">
        <v>892</v>
      </c>
      <c r="CN58" s="464" t="s">
        <v>893</v>
      </c>
      <c r="CO58" s="464">
        <v>-2.0753517295826369</v>
      </c>
      <c r="CP58" s="464">
        <v>8.6389746145404018</v>
      </c>
      <c r="CQ58" s="464" t="s">
        <v>539</v>
      </c>
      <c r="CR58" s="464" t="s">
        <v>5921</v>
      </c>
      <c r="CS58" s="464">
        <v>36.101041704879499</v>
      </c>
      <c r="CT58" s="464">
        <v>8.4510371923997699E-2</v>
      </c>
      <c r="CU58" s="464">
        <v>1</v>
      </c>
      <c r="CV58" s="464" t="s">
        <v>539</v>
      </c>
      <c r="CW58" s="464" t="s">
        <v>5921</v>
      </c>
    </row>
    <row r="59" spans="1:101" x14ac:dyDescent="0.2">
      <c r="A59" s="464">
        <v>424</v>
      </c>
      <c r="B59" s="464" t="s">
        <v>1428</v>
      </c>
      <c r="C59" s="464" t="s">
        <v>6774</v>
      </c>
      <c r="D59" s="464" t="s">
        <v>1429</v>
      </c>
      <c r="E59" s="464">
        <v>129630199</v>
      </c>
      <c r="F59" s="464" t="s">
        <v>1430</v>
      </c>
      <c r="G59" s="464" t="s">
        <v>7903</v>
      </c>
      <c r="H59" s="464" t="s">
        <v>1431</v>
      </c>
      <c r="I59" s="464" t="s">
        <v>341</v>
      </c>
      <c r="J59" s="464" t="s">
        <v>6010</v>
      </c>
      <c r="K59" s="464" t="s">
        <v>2342</v>
      </c>
      <c r="L59" s="464" t="s">
        <v>2342</v>
      </c>
      <c r="M59" s="464" t="s">
        <v>5921</v>
      </c>
      <c r="N59" s="464" t="s">
        <v>5921</v>
      </c>
      <c r="O59" s="464" t="s">
        <v>5921</v>
      </c>
      <c r="P59" s="464" t="s">
        <v>5921</v>
      </c>
      <c r="Q59" s="464" t="s">
        <v>5921</v>
      </c>
      <c r="R59" s="464">
        <v>413.18</v>
      </c>
      <c r="S59" s="464">
        <v>1</v>
      </c>
      <c r="T59" s="464">
        <v>2.653</v>
      </c>
      <c r="U59" s="464">
        <v>2.3234818874214813</v>
      </c>
      <c r="V59" s="464">
        <v>2.3234818874214813</v>
      </c>
      <c r="W59" s="464">
        <v>7</v>
      </c>
      <c r="X59" s="464">
        <v>4.87</v>
      </c>
      <c r="Y59" s="464">
        <v>3.49</v>
      </c>
      <c r="Z59" s="464">
        <v>3.89</v>
      </c>
      <c r="AA59" s="464">
        <v>0.6179</v>
      </c>
      <c r="AB59" s="464">
        <v>3.68</v>
      </c>
      <c r="AC59" s="464">
        <v>3.33</v>
      </c>
      <c r="AD59" s="464">
        <v>3.49</v>
      </c>
      <c r="AE59" s="464">
        <v>4.82</v>
      </c>
      <c r="AF59" s="464">
        <v>1.2E-9</v>
      </c>
      <c r="AG59" s="464" t="s">
        <v>5921</v>
      </c>
      <c r="AH59" s="464">
        <v>-7.3093850802650273</v>
      </c>
      <c r="AI59" s="464" t="s">
        <v>5921</v>
      </c>
      <c r="AJ59" s="464">
        <v>-7.3093850802650273</v>
      </c>
      <c r="AK59" s="464">
        <v>-13.619489999999999</v>
      </c>
      <c r="AL59" s="464">
        <v>-2.14</v>
      </c>
      <c r="AM59" s="464" t="s">
        <v>5921</v>
      </c>
      <c r="AN59" s="464">
        <v>-2.79</v>
      </c>
      <c r="AO59" s="464" t="s">
        <v>6311</v>
      </c>
      <c r="AP59" s="464" t="s">
        <v>6314</v>
      </c>
      <c r="AQ59" s="464" t="s">
        <v>63</v>
      </c>
      <c r="AR59" s="464" t="s">
        <v>266</v>
      </c>
      <c r="AS59" s="464" t="s">
        <v>8468</v>
      </c>
      <c r="AT59" s="464" t="s">
        <v>8469</v>
      </c>
      <c r="AU59" s="464" t="s">
        <v>8450</v>
      </c>
      <c r="AV59" s="464" t="s">
        <v>8446</v>
      </c>
      <c r="AW59" s="464" t="s">
        <v>267</v>
      </c>
      <c r="AX59" s="464" t="s">
        <v>268</v>
      </c>
      <c r="AY59" s="464" t="s">
        <v>8453</v>
      </c>
      <c r="AZ59" s="464" t="s">
        <v>888</v>
      </c>
      <c r="BA59" s="464" t="s">
        <v>270</v>
      </c>
      <c r="BB59" s="464" t="s">
        <v>8374</v>
      </c>
      <c r="BC59" s="464" t="s">
        <v>889</v>
      </c>
      <c r="BD59" s="464" t="s">
        <v>272</v>
      </c>
      <c r="BE59" s="464" t="s">
        <v>272</v>
      </c>
      <c r="BF59" s="464" t="s">
        <v>890</v>
      </c>
      <c r="BG59" s="464">
        <v>4.1317999999999997E-4</v>
      </c>
      <c r="BH59" s="464">
        <v>33.054400000000001</v>
      </c>
      <c r="BI59" s="464" t="s">
        <v>5921</v>
      </c>
      <c r="BJ59" s="464">
        <v>0.89782623442660103</v>
      </c>
      <c r="BK59" s="464" t="s">
        <v>5921</v>
      </c>
      <c r="BL59" s="464" t="s">
        <v>5921</v>
      </c>
      <c r="BM59" s="464" t="s">
        <v>5921</v>
      </c>
      <c r="BN59" s="464" t="s">
        <v>5921</v>
      </c>
      <c r="BO59" s="464" t="s">
        <v>5921</v>
      </c>
      <c r="BP59" s="464" t="s">
        <v>5921</v>
      </c>
      <c r="BQ59" s="464">
        <v>7.7378366545778163E-2</v>
      </c>
      <c r="BR59" s="464" t="s">
        <v>5921</v>
      </c>
      <c r="BS59" s="464" t="s">
        <v>5921</v>
      </c>
      <c r="BT59" s="464" t="s">
        <v>5921</v>
      </c>
      <c r="BU59" s="464" t="s">
        <v>5921</v>
      </c>
      <c r="BV59" s="464" t="s">
        <v>5921</v>
      </c>
      <c r="BW59" s="464" t="s">
        <v>5921</v>
      </c>
      <c r="BX59" s="464" t="s">
        <v>5921</v>
      </c>
      <c r="BY59" s="464" t="s">
        <v>5921</v>
      </c>
      <c r="BZ59" s="464" t="s">
        <v>5921</v>
      </c>
      <c r="CA59" s="464" t="s">
        <v>5921</v>
      </c>
      <c r="CB59" s="464" t="s">
        <v>5921</v>
      </c>
      <c r="CC59" s="464" t="s">
        <v>5921</v>
      </c>
      <c r="CD59" s="464" t="s">
        <v>5921</v>
      </c>
      <c r="CE59" s="464" t="s">
        <v>5921</v>
      </c>
      <c r="CF59" s="464" t="s">
        <v>5921</v>
      </c>
      <c r="CG59" s="464">
        <v>7.7378366545778163E-2</v>
      </c>
      <c r="CH59" s="464">
        <v>-1.1113804424571445</v>
      </c>
      <c r="CI59" s="464">
        <v>2.7162079312484905E-2</v>
      </c>
      <c r="CJ59" s="464">
        <v>11.603065230065745</v>
      </c>
      <c r="CK59" s="464">
        <v>0.20411998265592468</v>
      </c>
      <c r="CL59" s="464">
        <v>20.659000000000006</v>
      </c>
      <c r="CM59" s="464" t="s">
        <v>892</v>
      </c>
      <c r="CN59" s="464" t="s">
        <v>893</v>
      </c>
      <c r="CO59" s="464">
        <v>0.36131696126690621</v>
      </c>
      <c r="CP59" s="464">
        <v>3.3674611674924602E-2</v>
      </c>
      <c r="CQ59" s="464" t="s">
        <v>539</v>
      </c>
      <c r="CR59" s="464" t="s">
        <v>5921</v>
      </c>
      <c r="CS59" s="464">
        <v>30.027538589185333</v>
      </c>
      <c r="CT59" s="464">
        <v>7.0292665648793537E-2</v>
      </c>
      <c r="CU59" s="464">
        <v>1</v>
      </c>
      <c r="CV59" s="464" t="s">
        <v>539</v>
      </c>
      <c r="CW59" s="464" t="s">
        <v>5921</v>
      </c>
    </row>
    <row r="60" spans="1:101" x14ac:dyDescent="0.2">
      <c r="A60" s="464">
        <v>441</v>
      </c>
      <c r="B60" s="464" t="s">
        <v>1460</v>
      </c>
      <c r="C60" s="464" t="s">
        <v>6582</v>
      </c>
      <c r="D60" s="464" t="s">
        <v>1461</v>
      </c>
      <c r="E60" s="464">
        <v>122836355</v>
      </c>
      <c r="F60" s="464" t="s">
        <v>1462</v>
      </c>
      <c r="G60" s="464" t="s">
        <v>8164</v>
      </c>
      <c r="H60" s="464" t="s">
        <v>1463</v>
      </c>
      <c r="I60" s="464" t="s">
        <v>483</v>
      </c>
      <c r="J60" s="464" t="s">
        <v>5955</v>
      </c>
      <c r="K60" s="464" t="s">
        <v>6166</v>
      </c>
      <c r="L60" s="464" t="s">
        <v>6082</v>
      </c>
      <c r="M60" s="464" t="s">
        <v>5957</v>
      </c>
      <c r="N60" s="464" t="s">
        <v>5921</v>
      </c>
      <c r="O60" s="464" t="s">
        <v>5921</v>
      </c>
      <c r="P60" s="464" t="s">
        <v>5921</v>
      </c>
      <c r="Q60" s="464" t="s">
        <v>5921</v>
      </c>
      <c r="R60" s="464">
        <v>387.19</v>
      </c>
      <c r="S60" s="464">
        <v>780.00000000000011</v>
      </c>
      <c r="T60" s="464">
        <v>524.5</v>
      </c>
      <c r="U60" s="464">
        <v>847.07942317702623</v>
      </c>
      <c r="V60" s="464">
        <v>847.07942317702623</v>
      </c>
      <c r="W60" s="464">
        <v>4.67</v>
      </c>
      <c r="X60" s="464">
        <v>2.65</v>
      </c>
      <c r="Y60" s="464">
        <v>0.99</v>
      </c>
      <c r="Z60" s="464">
        <v>2.34</v>
      </c>
      <c r="AA60" s="464">
        <v>0.54120000000000001</v>
      </c>
      <c r="AB60" s="464">
        <v>2.29</v>
      </c>
      <c r="AC60" s="464">
        <v>2.21</v>
      </c>
      <c r="AD60" s="464">
        <v>0.99</v>
      </c>
      <c r="AE60" s="464">
        <v>3.27</v>
      </c>
      <c r="AF60" s="464">
        <v>5.02E-12</v>
      </c>
      <c r="AG60" s="464">
        <v>6.3700000000000001E-13</v>
      </c>
      <c r="AH60" s="464">
        <v>-9.6878626091676328</v>
      </c>
      <c r="AI60" s="464">
        <v>-10.584426893977302</v>
      </c>
      <c r="AJ60" s="464">
        <v>-10.584426893977302</v>
      </c>
      <c r="AK60" s="464">
        <v>-18.46264</v>
      </c>
      <c r="AL60" s="464">
        <v>-8.83</v>
      </c>
      <c r="AM60" s="464">
        <v>6.68</v>
      </c>
      <c r="AN60" s="464">
        <v>-3.21</v>
      </c>
      <c r="AO60" s="464" t="s">
        <v>6311</v>
      </c>
      <c r="AP60" s="464" t="s">
        <v>6311</v>
      </c>
      <c r="AQ60" s="464" t="s">
        <v>6</v>
      </c>
      <c r="AR60" s="464" t="s">
        <v>266</v>
      </c>
      <c r="AS60" s="464" t="s">
        <v>8468</v>
      </c>
      <c r="AT60" s="464" t="s">
        <v>8469</v>
      </c>
      <c r="AU60" s="464" t="s">
        <v>8450</v>
      </c>
      <c r="AV60" s="464" t="s">
        <v>8446</v>
      </c>
      <c r="AW60" s="464" t="s">
        <v>267</v>
      </c>
      <c r="AX60" s="464" t="s">
        <v>268</v>
      </c>
      <c r="AY60" s="464" t="s">
        <v>8453</v>
      </c>
      <c r="AZ60" s="464" t="s">
        <v>888</v>
      </c>
      <c r="BA60" s="464" t="s">
        <v>270</v>
      </c>
      <c r="BB60" s="464" t="s">
        <v>8374</v>
      </c>
      <c r="BC60" s="464" t="s">
        <v>889</v>
      </c>
      <c r="BD60" s="464" t="s">
        <v>272</v>
      </c>
      <c r="BE60" s="464" t="s">
        <v>272</v>
      </c>
      <c r="BF60" s="464" t="s">
        <v>890</v>
      </c>
      <c r="BG60" s="464">
        <v>3.8718999999999998E-4</v>
      </c>
      <c r="BH60" s="464">
        <v>30.975200000000001</v>
      </c>
      <c r="BI60" s="464" t="s">
        <v>5921</v>
      </c>
      <c r="BJ60" s="464">
        <v>82.939064446309516</v>
      </c>
      <c r="BK60" s="464" t="s">
        <v>5921</v>
      </c>
      <c r="BL60" s="464" t="s">
        <v>5921</v>
      </c>
      <c r="BM60" s="464" t="s">
        <v>5921</v>
      </c>
      <c r="BN60" s="464" t="s">
        <v>5921</v>
      </c>
      <c r="BO60" s="464" t="s">
        <v>5921</v>
      </c>
      <c r="BP60" s="464" t="s">
        <v>5921</v>
      </c>
      <c r="BQ60" s="464">
        <v>17.874596051612468</v>
      </c>
      <c r="BR60" s="464" t="s">
        <v>5921</v>
      </c>
      <c r="BS60" s="464" t="s">
        <v>5921</v>
      </c>
      <c r="BT60" s="464" t="s">
        <v>5921</v>
      </c>
      <c r="BU60" s="464" t="s">
        <v>5921</v>
      </c>
      <c r="BV60" s="464" t="s">
        <v>5921</v>
      </c>
      <c r="BW60" s="464" t="s">
        <v>5921</v>
      </c>
      <c r="BX60" s="464" t="s">
        <v>5921</v>
      </c>
      <c r="BY60" s="464" t="s">
        <v>5921</v>
      </c>
      <c r="BZ60" s="464" t="s">
        <v>5921</v>
      </c>
      <c r="CA60" s="464" t="s">
        <v>5921</v>
      </c>
      <c r="CB60" s="464" t="s">
        <v>5921</v>
      </c>
      <c r="CC60" s="464" t="s">
        <v>5921</v>
      </c>
      <c r="CD60" s="464" t="s">
        <v>5921</v>
      </c>
      <c r="CE60" s="464" t="s">
        <v>5921</v>
      </c>
      <c r="CF60" s="464" t="s">
        <v>5921</v>
      </c>
      <c r="CG60" s="464">
        <v>17.874596051612468</v>
      </c>
      <c r="CH60" s="464">
        <v>1.2522362359535117</v>
      </c>
      <c r="CI60" s="464">
        <v>2.6775957684311806</v>
      </c>
      <c r="CJ60" s="464">
        <v>4.6400525196107907</v>
      </c>
      <c r="CK60" s="464">
        <v>1.9722028383790644</v>
      </c>
      <c r="CL60" s="464">
        <v>0.33022601279317682</v>
      </c>
      <c r="CM60" s="464" t="s">
        <v>892</v>
      </c>
      <c r="CN60" s="464" t="s">
        <v>893</v>
      </c>
      <c r="CO60" s="464">
        <v>1.9722028383790644</v>
      </c>
      <c r="CP60" s="464">
        <v>0.19056072549693462</v>
      </c>
      <c r="CQ60" s="464" t="s">
        <v>539</v>
      </c>
      <c r="CR60" s="464" t="s">
        <v>5921</v>
      </c>
      <c r="CS60" s="464">
        <v>47.390129585647962</v>
      </c>
      <c r="CT60" s="464">
        <v>27.347020299369373</v>
      </c>
      <c r="CU60" s="464">
        <v>1</v>
      </c>
      <c r="CV60" s="464" t="s">
        <v>539</v>
      </c>
      <c r="CW60" s="464" t="s">
        <v>5921</v>
      </c>
    </row>
    <row r="61" spans="1:101" x14ac:dyDescent="0.2">
      <c r="A61" s="464">
        <v>443</v>
      </c>
      <c r="B61" s="464" t="s">
        <v>1464</v>
      </c>
      <c r="C61" s="464" t="s">
        <v>6759</v>
      </c>
      <c r="D61" s="464" t="s">
        <v>1465</v>
      </c>
      <c r="E61" s="464">
        <v>21564170</v>
      </c>
      <c r="F61" s="464" t="s">
        <v>1466</v>
      </c>
      <c r="G61" s="464" t="s">
        <v>7892</v>
      </c>
      <c r="H61" s="464" t="s">
        <v>1467</v>
      </c>
      <c r="I61" s="464" t="s">
        <v>1468</v>
      </c>
      <c r="J61" s="464" t="s">
        <v>5929</v>
      </c>
      <c r="K61" s="464" t="s">
        <v>6088</v>
      </c>
      <c r="L61" s="464" t="s">
        <v>6088</v>
      </c>
      <c r="M61" s="464" t="s">
        <v>6083</v>
      </c>
      <c r="N61" s="464" t="s">
        <v>5921</v>
      </c>
      <c r="O61" s="464" t="s">
        <v>5921</v>
      </c>
      <c r="P61" s="464" t="s">
        <v>5921</v>
      </c>
      <c r="Q61" s="464" t="s">
        <v>5921</v>
      </c>
      <c r="R61" s="464">
        <v>238.36</v>
      </c>
      <c r="S61" s="464">
        <v>125</v>
      </c>
      <c r="T61" s="464">
        <v>41.67</v>
      </c>
      <c r="U61" s="464">
        <v>92.732800760836611</v>
      </c>
      <c r="V61" s="464">
        <v>92.732800760836611</v>
      </c>
      <c r="W61" s="464">
        <v>7</v>
      </c>
      <c r="X61" s="464">
        <v>3.12</v>
      </c>
      <c r="Y61" s="464">
        <v>3.3</v>
      </c>
      <c r="Z61" s="464">
        <v>2.83</v>
      </c>
      <c r="AA61" s="464">
        <v>0.82469999999999999</v>
      </c>
      <c r="AB61" s="464">
        <v>2.91</v>
      </c>
      <c r="AC61" s="464">
        <v>3.12</v>
      </c>
      <c r="AD61" s="464">
        <v>3.3</v>
      </c>
      <c r="AE61" s="464">
        <v>3.94</v>
      </c>
      <c r="AF61" s="464">
        <v>6.49E-12</v>
      </c>
      <c r="AG61" s="464" t="s">
        <v>5921</v>
      </c>
      <c r="AH61" s="464">
        <v>-9.5763216295122824</v>
      </c>
      <c r="AI61" s="464" t="s">
        <v>5921</v>
      </c>
      <c r="AJ61" s="464">
        <v>-9.5763216295122824</v>
      </c>
      <c r="AK61" s="464">
        <v>-11.81157</v>
      </c>
      <c r="AL61" s="464">
        <v>-12.3</v>
      </c>
      <c r="AM61" s="464" t="s">
        <v>5921</v>
      </c>
      <c r="AN61" s="464">
        <v>-0.09</v>
      </c>
      <c r="AO61" s="464" t="s">
        <v>6311</v>
      </c>
      <c r="AP61" s="464" t="s">
        <v>6311</v>
      </c>
      <c r="AQ61" s="464" t="s">
        <v>6</v>
      </c>
      <c r="AR61" s="464" t="s">
        <v>266</v>
      </c>
      <c r="AS61" s="464" t="s">
        <v>8468</v>
      </c>
      <c r="AT61" s="464" t="s">
        <v>8469</v>
      </c>
      <c r="AU61" s="464" t="s">
        <v>8450</v>
      </c>
      <c r="AV61" s="464" t="s">
        <v>8446</v>
      </c>
      <c r="AW61" s="464" t="s">
        <v>267</v>
      </c>
      <c r="AX61" s="464" t="s">
        <v>268</v>
      </c>
      <c r="AY61" s="464" t="s">
        <v>8453</v>
      </c>
      <c r="AZ61" s="464" t="s">
        <v>888</v>
      </c>
      <c r="BA61" s="464" t="s">
        <v>270</v>
      </c>
      <c r="BB61" s="464" t="s">
        <v>8374</v>
      </c>
      <c r="BC61" s="464" t="s">
        <v>889</v>
      </c>
      <c r="BD61" s="464" t="s">
        <v>272</v>
      </c>
      <c r="BE61" s="464" t="s">
        <v>272</v>
      </c>
      <c r="BF61" s="464" t="s">
        <v>890</v>
      </c>
      <c r="BG61" s="464">
        <v>2.3836000000000002E-4</v>
      </c>
      <c r="BH61" s="464">
        <v>19.068800000000003</v>
      </c>
      <c r="BI61" s="464" t="s">
        <v>5921</v>
      </c>
      <c r="BJ61" s="464">
        <v>19.317965083130503</v>
      </c>
      <c r="BK61" s="464" t="s">
        <v>5921</v>
      </c>
      <c r="BL61" s="464" t="s">
        <v>5921</v>
      </c>
      <c r="BM61" s="464" t="s">
        <v>5921</v>
      </c>
      <c r="BN61" s="464" t="s">
        <v>5921</v>
      </c>
      <c r="BO61" s="464" t="s">
        <v>5921</v>
      </c>
      <c r="BP61" s="464" t="s">
        <v>5921</v>
      </c>
      <c r="BQ61" s="464">
        <v>0.13483677789090037</v>
      </c>
      <c r="BR61" s="464" t="s">
        <v>5921</v>
      </c>
      <c r="BS61" s="464" t="s">
        <v>5921</v>
      </c>
      <c r="BT61" s="464" t="s">
        <v>5921</v>
      </c>
      <c r="BU61" s="464" t="s">
        <v>5921</v>
      </c>
      <c r="BV61" s="464" t="s">
        <v>5921</v>
      </c>
      <c r="BW61" s="464" t="s">
        <v>5921</v>
      </c>
      <c r="BX61" s="464" t="s">
        <v>5921</v>
      </c>
      <c r="BY61" s="464" t="s">
        <v>5921</v>
      </c>
      <c r="BZ61" s="464" t="s">
        <v>5921</v>
      </c>
      <c r="CA61" s="464" t="s">
        <v>5921</v>
      </c>
      <c r="CB61" s="464" t="s">
        <v>5921</v>
      </c>
      <c r="CC61" s="464" t="s">
        <v>5921</v>
      </c>
      <c r="CD61" s="464" t="s">
        <v>5921</v>
      </c>
      <c r="CE61" s="464" t="s">
        <v>5921</v>
      </c>
      <c r="CF61" s="464" t="s">
        <v>5921</v>
      </c>
      <c r="CG61" s="464">
        <v>0.13483677789090037</v>
      </c>
      <c r="CH61" s="464">
        <v>-0.87019163408729783</v>
      </c>
      <c r="CI61" s="464">
        <v>1.0130666367642693</v>
      </c>
      <c r="CJ61" s="464">
        <v>143.26925772997279</v>
      </c>
      <c r="CK61" s="464">
        <v>-1.6277443037085857</v>
      </c>
      <c r="CL61" s="464">
        <v>809.22197428805373</v>
      </c>
      <c r="CM61" s="464" t="s">
        <v>892</v>
      </c>
      <c r="CN61" s="464" t="s">
        <v>893</v>
      </c>
      <c r="CO61" s="464">
        <v>-1.5943997665210112</v>
      </c>
      <c r="CP61" s="464">
        <v>5.299173420329641</v>
      </c>
      <c r="CQ61" s="464" t="s">
        <v>539</v>
      </c>
      <c r="CR61" s="464" t="s">
        <v>5921</v>
      </c>
      <c r="CS61" s="464">
        <v>687.74115053289779</v>
      </c>
      <c r="CT61" s="464">
        <v>4.8630643124285005</v>
      </c>
      <c r="CU61" s="464">
        <v>1</v>
      </c>
      <c r="CV61" s="464" t="s">
        <v>539</v>
      </c>
      <c r="CW61" s="464" t="s">
        <v>5921</v>
      </c>
    </row>
    <row r="62" spans="1:101" x14ac:dyDescent="0.2">
      <c r="A62" s="464">
        <v>453</v>
      </c>
      <c r="B62" s="464" t="s">
        <v>1487</v>
      </c>
      <c r="C62" s="464" t="s">
        <v>6482</v>
      </c>
      <c r="D62" s="464" t="s">
        <v>1488</v>
      </c>
      <c r="E62" s="464">
        <v>148798</v>
      </c>
      <c r="F62" s="464" t="s">
        <v>1489</v>
      </c>
      <c r="G62" s="464" t="s">
        <v>1489</v>
      </c>
      <c r="H62" s="464" t="s">
        <v>1490</v>
      </c>
      <c r="I62" s="464" t="s">
        <v>1064</v>
      </c>
      <c r="J62" s="464" t="s">
        <v>279</v>
      </c>
      <c r="K62" s="464" t="s">
        <v>6142</v>
      </c>
      <c r="L62" s="464" t="s">
        <v>6082</v>
      </c>
      <c r="M62" s="464" t="s">
        <v>6091</v>
      </c>
      <c r="N62" s="464" t="s">
        <v>5921</v>
      </c>
      <c r="O62" s="464" t="s">
        <v>5921</v>
      </c>
      <c r="P62" s="464" t="s">
        <v>5921</v>
      </c>
      <c r="Q62" s="464" t="s">
        <v>5921</v>
      </c>
      <c r="R62" s="464">
        <v>201.25</v>
      </c>
      <c r="S62" s="464">
        <v>50</v>
      </c>
      <c r="T62" s="464">
        <v>335.2</v>
      </c>
      <c r="U62" s="464">
        <v>59.393085686661017</v>
      </c>
      <c r="V62" s="464">
        <v>59.393085686661017</v>
      </c>
      <c r="W62" s="464">
        <v>7.21</v>
      </c>
      <c r="X62" s="464">
        <v>2</v>
      </c>
      <c r="Y62" s="464">
        <v>2.4700000000000002</v>
      </c>
      <c r="Z62" s="464">
        <v>2.37</v>
      </c>
      <c r="AA62" s="464">
        <v>0.88529999999999998</v>
      </c>
      <c r="AB62" s="464">
        <v>2.39</v>
      </c>
      <c r="AC62" s="464">
        <v>2.4700000000000002</v>
      </c>
      <c r="AD62" s="464">
        <v>2.4700000000000002</v>
      </c>
      <c r="AE62" s="464">
        <v>2.59</v>
      </c>
      <c r="AF62" s="464">
        <v>1.9999999999999999E-11</v>
      </c>
      <c r="AG62" s="464">
        <v>2.1199999999999999E-11</v>
      </c>
      <c r="AH62" s="464">
        <v>-9.0875363306486712</v>
      </c>
      <c r="AI62" s="464">
        <v>-9.0622304653838999</v>
      </c>
      <c r="AJ62" s="464">
        <v>-9.0622304653838999</v>
      </c>
      <c r="AK62" s="464">
        <v>-12.588529999999999</v>
      </c>
      <c r="AL62" s="464">
        <v>-12.7</v>
      </c>
      <c r="AM62" s="464">
        <v>10.53</v>
      </c>
      <c r="AN62" s="464">
        <v>3.4</v>
      </c>
      <c r="AO62" s="464" t="s">
        <v>6311</v>
      </c>
      <c r="AP62" s="464" t="s">
        <v>6311</v>
      </c>
      <c r="AQ62" s="464" t="s">
        <v>6</v>
      </c>
      <c r="AR62" s="464" t="s">
        <v>266</v>
      </c>
      <c r="AS62" s="464" t="s">
        <v>8468</v>
      </c>
      <c r="AT62" s="464" t="s">
        <v>8469</v>
      </c>
      <c r="AU62" s="464" t="s">
        <v>8450</v>
      </c>
      <c r="AV62" s="464" t="s">
        <v>8446</v>
      </c>
      <c r="AW62" s="464" t="s">
        <v>267</v>
      </c>
      <c r="AX62" s="464" t="s">
        <v>268</v>
      </c>
      <c r="AY62" s="464" t="s">
        <v>8470</v>
      </c>
      <c r="AZ62" s="464" t="s">
        <v>888</v>
      </c>
      <c r="BA62" s="464" t="s">
        <v>270</v>
      </c>
      <c r="BB62" s="464" t="s">
        <v>8374</v>
      </c>
      <c r="BC62" s="464" t="s">
        <v>889</v>
      </c>
      <c r="BD62" s="464" t="s">
        <v>272</v>
      </c>
      <c r="BE62" s="464" t="s">
        <v>272</v>
      </c>
      <c r="BF62" s="464" t="s">
        <v>890</v>
      </c>
      <c r="BG62" s="464">
        <v>2.0124999999999999E-4</v>
      </c>
      <c r="BH62" s="464">
        <v>16.100000000000001</v>
      </c>
      <c r="BI62" s="464" t="s">
        <v>5921</v>
      </c>
      <c r="BJ62" s="464">
        <v>165.32399413207588</v>
      </c>
      <c r="BK62" s="464" t="s">
        <v>5921</v>
      </c>
      <c r="BL62" s="464" t="s">
        <v>5921</v>
      </c>
      <c r="BM62" s="464" t="s">
        <v>5921</v>
      </c>
      <c r="BN62" s="464" t="s">
        <v>5921</v>
      </c>
      <c r="BO62" s="464" t="s">
        <v>5921</v>
      </c>
      <c r="BP62" s="464" t="s">
        <v>5921</v>
      </c>
      <c r="BQ62" s="464">
        <v>9.2906905017872603</v>
      </c>
      <c r="BR62" s="464" t="s">
        <v>5921</v>
      </c>
      <c r="BS62" s="464" t="s">
        <v>5921</v>
      </c>
      <c r="BT62" s="464" t="s">
        <v>5921</v>
      </c>
      <c r="BU62" s="464" t="s">
        <v>5921</v>
      </c>
      <c r="BV62" s="464" t="s">
        <v>5921</v>
      </c>
      <c r="BW62" s="464" t="s">
        <v>5921</v>
      </c>
      <c r="BX62" s="464" t="s">
        <v>5921</v>
      </c>
      <c r="BY62" s="464" t="s">
        <v>5921</v>
      </c>
      <c r="BZ62" s="464" t="s">
        <v>5921</v>
      </c>
      <c r="CA62" s="464" t="s">
        <v>5921</v>
      </c>
      <c r="CB62" s="464" t="s">
        <v>5921</v>
      </c>
      <c r="CC62" s="464" t="s">
        <v>5921</v>
      </c>
      <c r="CD62" s="464" t="s">
        <v>5921</v>
      </c>
      <c r="CE62" s="464" t="s">
        <v>5921</v>
      </c>
      <c r="CF62" s="464" t="s">
        <v>5921</v>
      </c>
      <c r="CG62" s="464">
        <v>9.2906905017872603</v>
      </c>
      <c r="CH62" s="464">
        <v>0.96804799278500964</v>
      </c>
      <c r="CI62" s="464">
        <v>10.268571064104091</v>
      </c>
      <c r="CJ62" s="464">
        <v>17.794586322757421</v>
      </c>
      <c r="CK62" s="464">
        <v>0.30364945603599391</v>
      </c>
      <c r="CL62" s="464">
        <v>8.0015923132161202</v>
      </c>
      <c r="CM62" s="464" t="s">
        <v>892</v>
      </c>
      <c r="CN62" s="464" t="s">
        <v>893</v>
      </c>
      <c r="CO62" s="464">
        <v>0.78178444360939892</v>
      </c>
      <c r="CP62" s="464">
        <v>1.5355485391523958</v>
      </c>
      <c r="CQ62" s="464" t="s">
        <v>539</v>
      </c>
      <c r="CR62" s="464" t="s">
        <v>5921</v>
      </c>
      <c r="CS62" s="464">
        <v>6.3927525812247756</v>
      </c>
      <c r="CT62" s="464">
        <v>3.689011533332982</v>
      </c>
      <c r="CU62" s="464">
        <v>1</v>
      </c>
      <c r="CV62" s="464" t="s">
        <v>539</v>
      </c>
      <c r="CW62" s="464" t="s">
        <v>5921</v>
      </c>
    </row>
    <row r="63" spans="1:101" x14ac:dyDescent="0.2">
      <c r="A63" s="464">
        <v>458</v>
      </c>
      <c r="B63" s="464" t="s">
        <v>1495</v>
      </c>
      <c r="C63" s="464" t="s">
        <v>6514</v>
      </c>
      <c r="D63" s="464" t="s">
        <v>1496</v>
      </c>
      <c r="E63" s="464">
        <v>28249776</v>
      </c>
      <c r="F63" s="464" t="s">
        <v>1497</v>
      </c>
      <c r="G63" s="464" t="s">
        <v>8114</v>
      </c>
      <c r="H63" s="464" t="s">
        <v>1498</v>
      </c>
      <c r="I63" s="464" t="s">
        <v>1499</v>
      </c>
      <c r="J63" s="464" t="s">
        <v>5248</v>
      </c>
      <c r="K63" s="464" t="s">
        <v>6082</v>
      </c>
      <c r="L63" s="464" t="s">
        <v>6082</v>
      </c>
      <c r="M63" s="464" t="s">
        <v>6083</v>
      </c>
      <c r="N63" s="464" t="s">
        <v>5921</v>
      </c>
      <c r="O63" s="464" t="s">
        <v>5921</v>
      </c>
      <c r="P63" s="464" t="s">
        <v>5921</v>
      </c>
      <c r="Q63" s="464" t="s">
        <v>5921</v>
      </c>
      <c r="R63" s="464">
        <v>257.77999999999997</v>
      </c>
      <c r="S63" s="464">
        <v>28</v>
      </c>
      <c r="T63" s="464">
        <v>26.73</v>
      </c>
      <c r="U63" s="464">
        <v>23.509815416916627</v>
      </c>
      <c r="V63" s="464">
        <v>23.509815416916627</v>
      </c>
      <c r="W63" s="464">
        <v>7</v>
      </c>
      <c r="X63" s="464">
        <v>3.9</v>
      </c>
      <c r="Y63" s="464">
        <v>3.4</v>
      </c>
      <c r="Z63" s="464">
        <v>3.23</v>
      </c>
      <c r="AA63" s="464">
        <v>0.86609999999999998</v>
      </c>
      <c r="AB63" s="464">
        <v>3.3</v>
      </c>
      <c r="AC63" s="464">
        <v>3.53</v>
      </c>
      <c r="AD63" s="464">
        <v>3.4</v>
      </c>
      <c r="AE63" s="464">
        <v>3.65</v>
      </c>
      <c r="AF63" s="464">
        <v>3.9299999999999999E-7</v>
      </c>
      <c r="AG63" s="464">
        <v>2.67E-7</v>
      </c>
      <c r="AH63" s="464">
        <v>-4.7941737759372254</v>
      </c>
      <c r="AI63" s="464">
        <v>-4.9620550649480766</v>
      </c>
      <c r="AJ63" s="464">
        <v>-4.9620550649480766</v>
      </c>
      <c r="AK63" s="464">
        <v>-10.805289999999999</v>
      </c>
      <c r="AL63" s="464">
        <v>-5.23</v>
      </c>
      <c r="AM63" s="464" t="s">
        <v>5921</v>
      </c>
      <c r="AN63" s="464">
        <v>-1.26</v>
      </c>
      <c r="AO63" s="464" t="s">
        <v>6311</v>
      </c>
      <c r="AP63" s="464" t="s">
        <v>6311</v>
      </c>
      <c r="AQ63" s="464" t="s">
        <v>6</v>
      </c>
      <c r="AR63" s="464" t="s">
        <v>266</v>
      </c>
      <c r="AS63" s="464" t="s">
        <v>8468</v>
      </c>
      <c r="AT63" s="464" t="s">
        <v>8469</v>
      </c>
      <c r="AU63" s="464" t="s">
        <v>8450</v>
      </c>
      <c r="AV63" s="464" t="s">
        <v>8446</v>
      </c>
      <c r="AW63" s="464" t="s">
        <v>267</v>
      </c>
      <c r="AX63" s="464" t="s">
        <v>268</v>
      </c>
      <c r="AY63" s="464" t="s">
        <v>8471</v>
      </c>
      <c r="AZ63" s="464" t="s">
        <v>888</v>
      </c>
      <c r="BA63" s="464" t="s">
        <v>270</v>
      </c>
      <c r="BB63" s="464" t="s">
        <v>8374</v>
      </c>
      <c r="BC63" s="464" t="s">
        <v>889</v>
      </c>
      <c r="BD63" s="464" t="s">
        <v>272</v>
      </c>
      <c r="BE63" s="464" t="s">
        <v>272</v>
      </c>
      <c r="BF63" s="464" t="s">
        <v>890</v>
      </c>
      <c r="BG63" s="464">
        <v>2.5777999999999993E-4</v>
      </c>
      <c r="BH63" s="464">
        <v>20.622399999999999</v>
      </c>
      <c r="BI63" s="464" t="s">
        <v>5921</v>
      </c>
      <c r="BJ63" s="464">
        <v>4.1635062348754595</v>
      </c>
      <c r="BK63" s="464" t="s">
        <v>5921</v>
      </c>
      <c r="BL63" s="464" t="s">
        <v>5921</v>
      </c>
      <c r="BM63" s="464" t="s">
        <v>5921</v>
      </c>
      <c r="BN63" s="464" t="s">
        <v>5921</v>
      </c>
      <c r="BO63" s="464" t="s">
        <v>5921</v>
      </c>
      <c r="BP63" s="464" t="s">
        <v>5921</v>
      </c>
      <c r="BQ63" s="464">
        <v>5.7098269999999989</v>
      </c>
      <c r="BR63" s="464" t="s">
        <v>5921</v>
      </c>
      <c r="BS63" s="464" t="s">
        <v>5921</v>
      </c>
      <c r="BT63" s="464" t="s">
        <v>5921</v>
      </c>
      <c r="BU63" s="464" t="s">
        <v>5921</v>
      </c>
      <c r="BV63" s="464" t="s">
        <v>5921</v>
      </c>
      <c r="BW63" s="464" t="s">
        <v>5921</v>
      </c>
      <c r="BX63" s="464" t="s">
        <v>5921</v>
      </c>
      <c r="BY63" s="464" t="s">
        <v>5921</v>
      </c>
      <c r="BZ63" s="464" t="s">
        <v>5921</v>
      </c>
      <c r="CA63" s="464" t="s">
        <v>5921</v>
      </c>
      <c r="CB63" s="464" t="s">
        <v>5921</v>
      </c>
      <c r="CC63" s="464" t="s">
        <v>5921</v>
      </c>
      <c r="CD63" s="464" t="s">
        <v>5921</v>
      </c>
      <c r="CE63" s="464" t="s">
        <v>5921</v>
      </c>
      <c r="CF63" s="464" t="s">
        <v>5921</v>
      </c>
      <c r="CG63" s="464">
        <v>5.7098269999999989</v>
      </c>
      <c r="CH63" s="464">
        <v>0.75662294991247303</v>
      </c>
      <c r="CI63" s="464">
        <v>0.20189241964443808</v>
      </c>
      <c r="CJ63" s="464">
        <v>0.72918255402054388</v>
      </c>
      <c r="CK63" s="464">
        <v>4.6957347163459173E-2</v>
      </c>
      <c r="CL63" s="464">
        <v>18.508953279801659</v>
      </c>
      <c r="CM63" s="464" t="s">
        <v>892</v>
      </c>
      <c r="CN63" s="464" t="s">
        <v>893</v>
      </c>
      <c r="CO63" s="464">
        <v>9.199816145200479E-2</v>
      </c>
      <c r="CP63" s="464">
        <v>4.6198171682716191</v>
      </c>
      <c r="CQ63" s="464" t="s">
        <v>539</v>
      </c>
      <c r="CR63" s="464" t="s">
        <v>5921</v>
      </c>
      <c r="CS63" s="464">
        <v>4.117430425986047</v>
      </c>
      <c r="CT63" s="464">
        <v>1.1400135491948866</v>
      </c>
      <c r="CU63" s="464">
        <v>1</v>
      </c>
      <c r="CV63" s="464" t="s">
        <v>539</v>
      </c>
      <c r="CW63" s="464" t="s">
        <v>5921</v>
      </c>
    </row>
    <row r="64" spans="1:101" x14ac:dyDescent="0.2">
      <c r="A64" s="464">
        <v>459</v>
      </c>
      <c r="B64" s="464" t="s">
        <v>1500</v>
      </c>
      <c r="C64" s="464" t="s">
        <v>6527</v>
      </c>
      <c r="D64" s="464" t="s">
        <v>1501</v>
      </c>
      <c r="E64" s="464">
        <v>59669260</v>
      </c>
      <c r="F64" s="464" t="s">
        <v>1502</v>
      </c>
      <c r="G64" s="464" t="s">
        <v>1502</v>
      </c>
      <c r="H64" s="464" t="s">
        <v>1503</v>
      </c>
      <c r="I64" s="464" t="s">
        <v>1504</v>
      </c>
      <c r="J64" s="464" t="s">
        <v>617</v>
      </c>
      <c r="K64" s="464" t="s">
        <v>946</v>
      </c>
      <c r="L64" s="464" t="s">
        <v>6376</v>
      </c>
      <c r="M64" s="464" t="s">
        <v>918</v>
      </c>
      <c r="N64" s="464" t="s">
        <v>5921</v>
      </c>
      <c r="O64" s="464" t="s">
        <v>5921</v>
      </c>
      <c r="P64" s="464" t="s">
        <v>5921</v>
      </c>
      <c r="Q64" s="464" t="s">
        <v>5921</v>
      </c>
      <c r="R64" s="464">
        <v>354.47</v>
      </c>
      <c r="S64" s="464">
        <v>35</v>
      </c>
      <c r="T64" s="464">
        <v>205.7</v>
      </c>
      <c r="U64" s="464">
        <v>194.79575355631221</v>
      </c>
      <c r="V64" s="464">
        <v>194.79575355631221</v>
      </c>
      <c r="W64" s="464">
        <v>7</v>
      </c>
      <c r="X64" s="464">
        <v>1.91</v>
      </c>
      <c r="Y64" s="464">
        <v>1.7</v>
      </c>
      <c r="Z64" s="464">
        <v>2.17</v>
      </c>
      <c r="AA64" s="464">
        <v>0.85609999999999997</v>
      </c>
      <c r="AB64" s="464">
        <v>1.99</v>
      </c>
      <c r="AC64" s="464">
        <v>1.52</v>
      </c>
      <c r="AD64" s="464">
        <v>1.7</v>
      </c>
      <c r="AE64" s="464">
        <v>1.96</v>
      </c>
      <c r="AF64" s="464">
        <v>9.7800000000000001E-11</v>
      </c>
      <c r="AG64" s="464">
        <v>9.33E-7</v>
      </c>
      <c r="AH64" s="464">
        <v>-8.3982274715250504</v>
      </c>
      <c r="AI64" s="464">
        <v>-4.4186846825661519</v>
      </c>
      <c r="AJ64" s="464">
        <v>-4.4186846825661519</v>
      </c>
      <c r="AK64" s="464">
        <v>-16.876429999999999</v>
      </c>
      <c r="AL64" s="464">
        <v>-10</v>
      </c>
      <c r="AM64" s="464" t="s">
        <v>5921</v>
      </c>
      <c r="AN64" s="464">
        <v>-1.79</v>
      </c>
      <c r="AO64" s="464" t="s">
        <v>6311</v>
      </c>
      <c r="AP64" s="464" t="s">
        <v>6311</v>
      </c>
      <c r="AQ64" s="464" t="s">
        <v>6</v>
      </c>
      <c r="AR64" s="464" t="s">
        <v>266</v>
      </c>
      <c r="AS64" s="464" t="s">
        <v>8468</v>
      </c>
      <c r="AT64" s="464" t="s">
        <v>8469</v>
      </c>
      <c r="AU64" s="464" t="s">
        <v>8450</v>
      </c>
      <c r="AV64" s="464" t="s">
        <v>8446</v>
      </c>
      <c r="AW64" s="464" t="s">
        <v>267</v>
      </c>
      <c r="AX64" s="464" t="s">
        <v>268</v>
      </c>
      <c r="AY64" s="464" t="s">
        <v>8453</v>
      </c>
      <c r="AZ64" s="464" t="s">
        <v>888</v>
      </c>
      <c r="BA64" s="464" t="s">
        <v>270</v>
      </c>
      <c r="BB64" s="464" t="s">
        <v>8374</v>
      </c>
      <c r="BC64" s="464" t="s">
        <v>889</v>
      </c>
      <c r="BD64" s="464" t="s">
        <v>272</v>
      </c>
      <c r="BE64" s="464" t="s">
        <v>272</v>
      </c>
      <c r="BF64" s="464" t="s">
        <v>890</v>
      </c>
      <c r="BG64" s="464">
        <v>3.5447000000000001E-4</v>
      </c>
      <c r="BH64" s="464">
        <v>28.357600000000001</v>
      </c>
      <c r="BI64" s="464" t="s">
        <v>5921</v>
      </c>
      <c r="BJ64" s="464">
        <v>350.75872701914329</v>
      </c>
      <c r="BK64" s="464" t="s">
        <v>5921</v>
      </c>
      <c r="BL64" s="464" t="s">
        <v>5921</v>
      </c>
      <c r="BM64" s="464" t="s">
        <v>5921</v>
      </c>
      <c r="BN64" s="464" t="s">
        <v>5921</v>
      </c>
      <c r="BO64" s="464" t="s">
        <v>5921</v>
      </c>
      <c r="BP64" s="464" t="s">
        <v>5921</v>
      </c>
      <c r="BQ64" s="464">
        <v>16.36407981201754</v>
      </c>
      <c r="BR64" s="464" t="s">
        <v>5921</v>
      </c>
      <c r="BS64" s="464" t="s">
        <v>5921</v>
      </c>
      <c r="BT64" s="464" t="s">
        <v>5921</v>
      </c>
      <c r="BU64" s="464" t="s">
        <v>5921</v>
      </c>
      <c r="BV64" s="464" t="s">
        <v>5921</v>
      </c>
      <c r="BW64" s="464" t="s">
        <v>5921</v>
      </c>
      <c r="BX64" s="464" t="s">
        <v>5921</v>
      </c>
      <c r="BY64" s="464" t="s">
        <v>5921</v>
      </c>
      <c r="BZ64" s="464" t="s">
        <v>5921</v>
      </c>
      <c r="CA64" s="464" t="s">
        <v>5921</v>
      </c>
      <c r="CB64" s="464" t="s">
        <v>5921</v>
      </c>
      <c r="CC64" s="464" t="s">
        <v>5921</v>
      </c>
      <c r="CD64" s="464" t="s">
        <v>5921</v>
      </c>
      <c r="CE64" s="464" t="s">
        <v>5921</v>
      </c>
      <c r="CF64" s="464" t="s">
        <v>5921</v>
      </c>
      <c r="CG64" s="464">
        <v>16.36407981201754</v>
      </c>
      <c r="CH64" s="464">
        <v>1.2138915890024715</v>
      </c>
      <c r="CI64" s="464">
        <v>12.3691259845383</v>
      </c>
      <c r="CJ64" s="464">
        <v>21.434674668449812</v>
      </c>
      <c r="CK64" s="464">
        <v>0.1232492903979001</v>
      </c>
      <c r="CL64" s="464">
        <v>21.35109642285498</v>
      </c>
      <c r="CM64" s="464" t="s">
        <v>892</v>
      </c>
      <c r="CN64" s="464" t="s">
        <v>893</v>
      </c>
      <c r="CO64" s="464">
        <v>0.26143922528969166</v>
      </c>
      <c r="CP64" s="464">
        <v>8.9629786868786461</v>
      </c>
      <c r="CQ64" s="464" t="s">
        <v>539</v>
      </c>
      <c r="CR64" s="464" t="s">
        <v>5921</v>
      </c>
      <c r="CS64" s="464">
        <v>11.903862349366999</v>
      </c>
      <c r="CT64" s="464">
        <v>6.8692609232203079</v>
      </c>
      <c r="CU64" s="464">
        <v>1</v>
      </c>
      <c r="CV64" s="464" t="s">
        <v>539</v>
      </c>
      <c r="CW64" s="464" t="s">
        <v>5921</v>
      </c>
    </row>
    <row r="65" spans="1:101" x14ac:dyDescent="0.2">
      <c r="A65" s="464">
        <v>460</v>
      </c>
      <c r="B65" s="464" t="s">
        <v>1505</v>
      </c>
      <c r="C65" s="464" t="s">
        <v>6698</v>
      </c>
      <c r="D65" s="464" t="s">
        <v>1506</v>
      </c>
      <c r="E65" s="464">
        <v>23564058</v>
      </c>
      <c r="F65" s="464" t="s">
        <v>1507</v>
      </c>
      <c r="G65" s="464" t="s">
        <v>1507</v>
      </c>
      <c r="H65" s="464" t="s">
        <v>1508</v>
      </c>
      <c r="I65" s="464" t="s">
        <v>1509</v>
      </c>
      <c r="J65" s="464" t="s">
        <v>6013</v>
      </c>
      <c r="K65" s="464" t="s">
        <v>2342</v>
      </c>
      <c r="L65" s="464" t="s">
        <v>2342</v>
      </c>
      <c r="M65" s="464" t="s">
        <v>5921</v>
      </c>
      <c r="N65" s="464" t="s">
        <v>5921</v>
      </c>
      <c r="O65" s="464" t="s">
        <v>5921</v>
      </c>
      <c r="P65" s="464" t="s">
        <v>5921</v>
      </c>
      <c r="Q65" s="464" t="s">
        <v>5921</v>
      </c>
      <c r="R65" s="464">
        <v>342.4</v>
      </c>
      <c r="S65" s="464">
        <v>26.600000000000005</v>
      </c>
      <c r="T65" s="464">
        <v>438.9</v>
      </c>
      <c r="U65" s="464">
        <v>25.382462662143375</v>
      </c>
      <c r="V65" s="464">
        <v>25.382462662143375</v>
      </c>
      <c r="W65" s="464">
        <v>4.8499999999999996</v>
      </c>
      <c r="X65" s="464">
        <v>1.1000000000000001</v>
      </c>
      <c r="Y65" s="464">
        <v>1.4</v>
      </c>
      <c r="Z65" s="464">
        <v>1.29</v>
      </c>
      <c r="AA65" s="464">
        <v>0.84450000000000003</v>
      </c>
      <c r="AB65" s="464">
        <v>1.26</v>
      </c>
      <c r="AC65" s="464">
        <v>1.1599999999999999</v>
      </c>
      <c r="AD65" s="464">
        <v>1.4</v>
      </c>
      <c r="AE65" s="464">
        <v>2.13</v>
      </c>
      <c r="AF65" s="464">
        <v>2.9400000000000001E-13</v>
      </c>
      <c r="AG65" s="464">
        <v>1.21E-9</v>
      </c>
      <c r="AH65" s="464">
        <v>-10.920218995900495</v>
      </c>
      <c r="AI65" s="464">
        <v>-7.3057809559962017</v>
      </c>
      <c r="AJ65" s="464">
        <v>-7.3057809559962017</v>
      </c>
      <c r="AK65" s="464">
        <v>-23.00292</v>
      </c>
      <c r="AL65" s="464">
        <v>-20.2</v>
      </c>
      <c r="AM65" s="464">
        <v>6.12</v>
      </c>
      <c r="AN65" s="464">
        <v>-0.47</v>
      </c>
      <c r="AO65" s="464" t="s">
        <v>6311</v>
      </c>
      <c r="AP65" s="464" t="s">
        <v>6311</v>
      </c>
      <c r="AQ65" s="464" t="s">
        <v>6</v>
      </c>
      <c r="AR65" s="464" t="s">
        <v>266</v>
      </c>
      <c r="AS65" s="464" t="s">
        <v>8468</v>
      </c>
      <c r="AT65" s="464" t="s">
        <v>8469</v>
      </c>
      <c r="AU65" s="464" t="s">
        <v>8450</v>
      </c>
      <c r="AV65" s="464" t="s">
        <v>8446</v>
      </c>
      <c r="AW65" s="464" t="s">
        <v>267</v>
      </c>
      <c r="AX65" s="464" t="s">
        <v>268</v>
      </c>
      <c r="AY65" s="464" t="s">
        <v>8453</v>
      </c>
      <c r="AZ65" s="464" t="s">
        <v>888</v>
      </c>
      <c r="BA65" s="464" t="s">
        <v>270</v>
      </c>
      <c r="BB65" s="464" t="s">
        <v>8374</v>
      </c>
      <c r="BC65" s="464" t="s">
        <v>889</v>
      </c>
      <c r="BD65" s="464" t="s">
        <v>272</v>
      </c>
      <c r="BE65" s="464" t="s">
        <v>272</v>
      </c>
      <c r="BF65" s="464" t="s">
        <v>890</v>
      </c>
      <c r="BG65" s="464">
        <v>3.4239999999999997E-4</v>
      </c>
      <c r="BH65" s="464">
        <v>27.391999999999999</v>
      </c>
      <c r="BI65" s="464" t="s">
        <v>5921</v>
      </c>
      <c r="BJ65" s="464">
        <v>1808.9383082668351</v>
      </c>
      <c r="BK65" s="464" t="s">
        <v>5921</v>
      </c>
      <c r="BL65" s="464" t="s">
        <v>5921</v>
      </c>
      <c r="BM65" s="464" t="s">
        <v>5921</v>
      </c>
      <c r="BN65" s="464" t="s">
        <v>5921</v>
      </c>
      <c r="BO65" s="464" t="s">
        <v>5921</v>
      </c>
      <c r="BP65" s="464" t="s">
        <v>5921</v>
      </c>
      <c r="BQ65" s="464">
        <v>1.013504</v>
      </c>
      <c r="BR65" s="464" t="s">
        <v>5921</v>
      </c>
      <c r="BS65" s="464" t="s">
        <v>5921</v>
      </c>
      <c r="BT65" s="464" t="s">
        <v>5921</v>
      </c>
      <c r="BU65" s="464" t="s">
        <v>5921</v>
      </c>
      <c r="BV65" s="464" t="s">
        <v>5921</v>
      </c>
      <c r="BW65" s="464" t="s">
        <v>5921</v>
      </c>
      <c r="BX65" s="464" t="s">
        <v>5921</v>
      </c>
      <c r="BY65" s="464" t="s">
        <v>5921</v>
      </c>
      <c r="BZ65" s="464" t="s">
        <v>5921</v>
      </c>
      <c r="CA65" s="464" t="s">
        <v>5921</v>
      </c>
      <c r="CB65" s="464" t="s">
        <v>5921</v>
      </c>
      <c r="CC65" s="464" t="s">
        <v>5921</v>
      </c>
      <c r="CD65" s="464" t="s">
        <v>5921</v>
      </c>
      <c r="CE65" s="464" t="s">
        <v>5921</v>
      </c>
      <c r="CF65" s="464" t="s">
        <v>5921</v>
      </c>
      <c r="CG65" s="464">
        <v>1.013504</v>
      </c>
      <c r="CH65" s="464">
        <v>5.8254670640541821E-3</v>
      </c>
      <c r="CI65" s="464">
        <v>66.038927725862848</v>
      </c>
      <c r="CJ65" s="464">
        <v>1784.8358844827796</v>
      </c>
      <c r="CK65" s="464">
        <v>1.1206237727719477</v>
      </c>
      <c r="CL65" s="464">
        <v>2.0749133752004734</v>
      </c>
      <c r="CM65" s="464" t="s">
        <v>892</v>
      </c>
      <c r="CN65" s="464" t="s">
        <v>893</v>
      </c>
      <c r="CO65" s="464">
        <v>1.3001240204009425</v>
      </c>
      <c r="CP65" s="464">
        <v>5.0781023121091673E-2</v>
      </c>
      <c r="CQ65" s="464" t="s">
        <v>539</v>
      </c>
      <c r="CR65" s="464" t="s">
        <v>5921</v>
      </c>
      <c r="CS65" s="464">
        <v>25.044264908814743</v>
      </c>
      <c r="CT65" s="464">
        <v>0.9266378016261454</v>
      </c>
      <c r="CU65" s="464">
        <v>1</v>
      </c>
      <c r="CV65" s="464" t="s">
        <v>539</v>
      </c>
      <c r="CW65" s="464" t="s">
        <v>5921</v>
      </c>
    </row>
    <row r="66" spans="1:101" x14ac:dyDescent="0.2">
      <c r="A66" s="464">
        <v>461</v>
      </c>
      <c r="B66" s="464" t="s">
        <v>1510</v>
      </c>
      <c r="C66" s="464" t="s">
        <v>6764</v>
      </c>
      <c r="D66" s="464" t="s">
        <v>1511</v>
      </c>
      <c r="E66" s="464">
        <v>137268</v>
      </c>
      <c r="F66" s="464" t="s">
        <v>1512</v>
      </c>
      <c r="G66" s="464" t="s">
        <v>1512</v>
      </c>
      <c r="H66" s="464" t="s">
        <v>1513</v>
      </c>
      <c r="I66" s="464" t="s">
        <v>1514</v>
      </c>
      <c r="J66" s="464" t="s">
        <v>6092</v>
      </c>
      <c r="K66" s="464" t="s">
        <v>1515</v>
      </c>
      <c r="L66" s="464" t="s">
        <v>6382</v>
      </c>
      <c r="M66" s="464" t="s">
        <v>1516</v>
      </c>
      <c r="N66" s="464" t="s">
        <v>5921</v>
      </c>
      <c r="O66" s="464" t="s">
        <v>5921</v>
      </c>
      <c r="P66" s="464" t="s">
        <v>5921</v>
      </c>
      <c r="Q66" s="464" t="s">
        <v>5921</v>
      </c>
      <c r="R66" s="464">
        <v>240.44</v>
      </c>
      <c r="S66" s="464">
        <v>30</v>
      </c>
      <c r="T66" s="464">
        <v>9064</v>
      </c>
      <c r="U66" s="464">
        <v>53.827811055737122</v>
      </c>
      <c r="V66" s="464">
        <v>53.827811055737122</v>
      </c>
      <c r="W66" s="464">
        <v>7</v>
      </c>
      <c r="X66" s="464">
        <v>1.7</v>
      </c>
      <c r="Y66" s="464">
        <v>1.73</v>
      </c>
      <c r="Z66" s="464">
        <v>2.02</v>
      </c>
      <c r="AA66" s="464">
        <v>0.82899999999999996</v>
      </c>
      <c r="AB66" s="464">
        <v>1.94</v>
      </c>
      <c r="AC66" s="464">
        <v>1.75</v>
      </c>
      <c r="AD66" s="464">
        <v>1.73</v>
      </c>
      <c r="AE66" s="464">
        <v>3.34</v>
      </c>
      <c r="AF66" s="464">
        <v>2.6800000000000001E-5</v>
      </c>
      <c r="AG66" s="464">
        <v>1.8199999999999999E-7</v>
      </c>
      <c r="AH66" s="464">
        <v>-2.960431532283863</v>
      </c>
      <c r="AI66" s="464">
        <v>-5.1284949383275773</v>
      </c>
      <c r="AJ66" s="464">
        <v>-5.1284949383275773</v>
      </c>
      <c r="AK66" s="464">
        <v>-12.009799999999998</v>
      </c>
      <c r="AL66" s="464">
        <v>-6.05</v>
      </c>
      <c r="AM66" s="464" t="s">
        <v>5921</v>
      </c>
      <c r="AN66" s="464">
        <v>0.87</v>
      </c>
      <c r="AO66" s="464" t="s">
        <v>6311</v>
      </c>
      <c r="AP66" s="464" t="s">
        <v>6311</v>
      </c>
      <c r="AQ66" s="464" t="s">
        <v>6</v>
      </c>
      <c r="AR66" s="464" t="s">
        <v>266</v>
      </c>
      <c r="AS66" s="464" t="s">
        <v>8468</v>
      </c>
      <c r="AT66" s="464" t="s">
        <v>8469</v>
      </c>
      <c r="AU66" s="464" t="s">
        <v>8450</v>
      </c>
      <c r="AV66" s="464" t="s">
        <v>8446</v>
      </c>
      <c r="AW66" s="464" t="s">
        <v>267</v>
      </c>
      <c r="AX66" s="464" t="s">
        <v>268</v>
      </c>
      <c r="AY66" s="464" t="s">
        <v>8453</v>
      </c>
      <c r="AZ66" s="464" t="s">
        <v>888</v>
      </c>
      <c r="BA66" s="464" t="s">
        <v>270</v>
      </c>
      <c r="BB66" s="464" t="s">
        <v>8374</v>
      </c>
      <c r="BC66" s="464" t="s">
        <v>889</v>
      </c>
      <c r="BD66" s="464" t="s">
        <v>272</v>
      </c>
      <c r="BE66" s="464" t="s">
        <v>272</v>
      </c>
      <c r="BF66" s="464" t="s">
        <v>890</v>
      </c>
      <c r="BG66" s="464">
        <v>2.4044E-4</v>
      </c>
      <c r="BH66" s="464">
        <v>19.235199999999999</v>
      </c>
      <c r="BI66" s="464" t="s">
        <v>5921</v>
      </c>
      <c r="BJ66" s="464">
        <v>367.31335527411579</v>
      </c>
      <c r="BK66" s="464" t="s">
        <v>5921</v>
      </c>
      <c r="BL66" s="464" t="s">
        <v>5921</v>
      </c>
      <c r="BM66" s="464" t="s">
        <v>5921</v>
      </c>
      <c r="BN66" s="464" t="s">
        <v>5921</v>
      </c>
      <c r="BO66" s="464" t="s">
        <v>5921</v>
      </c>
      <c r="BP66" s="464" t="s">
        <v>5921</v>
      </c>
      <c r="BQ66" s="464">
        <v>7.6940800000000004E-2</v>
      </c>
      <c r="BR66" s="464" t="s">
        <v>5921</v>
      </c>
      <c r="BS66" s="464" t="s">
        <v>5921</v>
      </c>
      <c r="BT66" s="464" t="s">
        <v>5921</v>
      </c>
      <c r="BU66" s="464" t="s">
        <v>5921</v>
      </c>
      <c r="BV66" s="464" t="s">
        <v>5921</v>
      </c>
      <c r="BW66" s="464" t="s">
        <v>5921</v>
      </c>
      <c r="BX66" s="464" t="s">
        <v>5921</v>
      </c>
      <c r="BY66" s="464" t="s">
        <v>5921</v>
      </c>
      <c r="BZ66" s="464" t="s">
        <v>5921</v>
      </c>
      <c r="CA66" s="464" t="s">
        <v>5921</v>
      </c>
      <c r="CB66" s="464" t="s">
        <v>5921</v>
      </c>
      <c r="CC66" s="464" t="s">
        <v>5921</v>
      </c>
      <c r="CD66" s="464" t="s">
        <v>5921</v>
      </c>
      <c r="CE66" s="464" t="s">
        <v>5921</v>
      </c>
      <c r="CF66" s="464" t="s">
        <v>5921</v>
      </c>
      <c r="CG66" s="464">
        <v>7.6940800000000004E-2</v>
      </c>
      <c r="CH66" s="464">
        <v>-1.1138433023835148</v>
      </c>
      <c r="CI66" s="464">
        <v>19.095894780096689</v>
      </c>
      <c r="CJ66" s="464">
        <v>4773.9736950241713</v>
      </c>
      <c r="CK66" s="464">
        <v>-1.6644766621219171</v>
      </c>
      <c r="CL66" s="464">
        <v>888.32803512418093</v>
      </c>
      <c r="CM66" s="464" t="s">
        <v>892</v>
      </c>
      <c r="CN66" s="464" t="s">
        <v>893</v>
      </c>
      <c r="CO66" s="464">
        <v>-1.2976425233538103</v>
      </c>
      <c r="CP66" s="464">
        <v>1.5268600111696071</v>
      </c>
      <c r="CQ66" s="464" t="s">
        <v>539</v>
      </c>
      <c r="CR66" s="464" t="s">
        <v>5921</v>
      </c>
      <c r="CS66" s="464">
        <v>699.60035580260569</v>
      </c>
      <c r="CT66" s="464">
        <v>2.7984014232104228</v>
      </c>
      <c r="CU66" s="464">
        <v>1</v>
      </c>
      <c r="CV66" s="464" t="s">
        <v>539</v>
      </c>
      <c r="CW66" s="464" t="s">
        <v>6351</v>
      </c>
    </row>
    <row r="67" spans="1:101" x14ac:dyDescent="0.2">
      <c r="A67" s="464">
        <v>464</v>
      </c>
      <c r="B67" s="464" t="s">
        <v>1522</v>
      </c>
      <c r="C67" s="464" t="s">
        <v>6524</v>
      </c>
      <c r="D67" s="464" t="s">
        <v>1523</v>
      </c>
      <c r="E67" s="464">
        <v>55219653</v>
      </c>
      <c r="F67" s="464" t="s">
        <v>1524</v>
      </c>
      <c r="G67" s="464" t="s">
        <v>8132</v>
      </c>
      <c r="H67" s="464" t="s">
        <v>1525</v>
      </c>
      <c r="I67" s="464" t="s">
        <v>1112</v>
      </c>
      <c r="J67" s="464" t="s">
        <v>6015</v>
      </c>
      <c r="K67" s="464" t="s">
        <v>6082</v>
      </c>
      <c r="L67" s="464" t="s">
        <v>6082</v>
      </c>
      <c r="M67" s="464" t="s">
        <v>6083</v>
      </c>
      <c r="N67" s="464" t="s">
        <v>5921</v>
      </c>
      <c r="O67" s="464" t="s">
        <v>5921</v>
      </c>
      <c r="P67" s="464" t="s">
        <v>5921</v>
      </c>
      <c r="Q67" s="464" t="s">
        <v>5921</v>
      </c>
      <c r="R67" s="464">
        <v>295.76</v>
      </c>
      <c r="S67" s="464">
        <v>62</v>
      </c>
      <c r="T67" s="464">
        <v>98.499999999999986</v>
      </c>
      <c r="U67" s="464">
        <v>87.284964087885029</v>
      </c>
      <c r="V67" s="464">
        <v>87.284964087885029</v>
      </c>
      <c r="W67" s="464">
        <v>7.01</v>
      </c>
      <c r="X67" s="464">
        <v>2.95</v>
      </c>
      <c r="Y67" s="464">
        <v>3.08</v>
      </c>
      <c r="Z67" s="464">
        <v>3.05</v>
      </c>
      <c r="AA67" s="464">
        <v>0.81520000000000004</v>
      </c>
      <c r="AB67" s="464">
        <v>3.05</v>
      </c>
      <c r="AC67" s="464">
        <v>3.04</v>
      </c>
      <c r="AD67" s="464">
        <v>3.08</v>
      </c>
      <c r="AE67" s="464">
        <v>3.13</v>
      </c>
      <c r="AF67" s="464">
        <v>1.58E-11</v>
      </c>
      <c r="AG67" s="464">
        <v>1.28E-12</v>
      </c>
      <c r="AH67" s="464">
        <v>-9.1899092393582293</v>
      </c>
      <c r="AI67" s="464">
        <v>-10.281356356664784</v>
      </c>
      <c r="AJ67" s="464">
        <v>-10.281356356664784</v>
      </c>
      <c r="AK67" s="464">
        <v>-14.479389999999999</v>
      </c>
      <c r="AL67" s="464">
        <v>-8.8000000000000007</v>
      </c>
      <c r="AM67" s="464">
        <v>13.29</v>
      </c>
      <c r="AN67" s="464">
        <v>2.16</v>
      </c>
      <c r="AO67" s="464" t="s">
        <v>6311</v>
      </c>
      <c r="AP67" s="464" t="s">
        <v>6311</v>
      </c>
      <c r="AQ67" s="464" t="s">
        <v>6</v>
      </c>
      <c r="AR67" s="464" t="s">
        <v>266</v>
      </c>
      <c r="AS67" s="464" t="s">
        <v>8468</v>
      </c>
      <c r="AT67" s="464" t="s">
        <v>8469</v>
      </c>
      <c r="AU67" s="464" t="s">
        <v>8450</v>
      </c>
      <c r="AV67" s="464" t="s">
        <v>8446</v>
      </c>
      <c r="AW67" s="464" t="s">
        <v>267</v>
      </c>
      <c r="AX67" s="464" t="s">
        <v>268</v>
      </c>
      <c r="AY67" s="464" t="s">
        <v>8470</v>
      </c>
      <c r="AZ67" s="464" t="s">
        <v>888</v>
      </c>
      <c r="BA67" s="464" t="s">
        <v>270</v>
      </c>
      <c r="BB67" s="464" t="s">
        <v>8374</v>
      </c>
      <c r="BC67" s="464" t="s">
        <v>889</v>
      </c>
      <c r="BD67" s="464" t="s">
        <v>272</v>
      </c>
      <c r="BE67" s="464" t="s">
        <v>272</v>
      </c>
      <c r="BF67" s="464" t="s">
        <v>890</v>
      </c>
      <c r="BG67" s="464">
        <v>2.9576E-4</v>
      </c>
      <c r="BH67" s="464">
        <v>23.660799999999998</v>
      </c>
      <c r="BI67" s="464" t="s">
        <v>5921</v>
      </c>
      <c r="BJ67" s="464">
        <v>34.067827343499928</v>
      </c>
      <c r="BK67" s="464" t="s">
        <v>5921</v>
      </c>
      <c r="BL67" s="464" t="s">
        <v>5921</v>
      </c>
      <c r="BM67" s="464" t="s">
        <v>5921</v>
      </c>
      <c r="BN67" s="464" t="s">
        <v>5921</v>
      </c>
      <c r="BO67" s="464" t="s">
        <v>5921</v>
      </c>
      <c r="BP67" s="464" t="s">
        <v>5921</v>
      </c>
      <c r="BQ67" s="464">
        <v>8.1274847999999995</v>
      </c>
      <c r="BR67" s="464" t="s">
        <v>5921</v>
      </c>
      <c r="BS67" s="464" t="s">
        <v>5921</v>
      </c>
      <c r="BT67" s="464" t="s">
        <v>5921</v>
      </c>
      <c r="BU67" s="464" t="s">
        <v>5921</v>
      </c>
      <c r="BV67" s="464" t="s">
        <v>5921</v>
      </c>
      <c r="BW67" s="464" t="s">
        <v>5921</v>
      </c>
      <c r="BX67" s="464" t="s">
        <v>5921</v>
      </c>
      <c r="BY67" s="464" t="s">
        <v>5921</v>
      </c>
      <c r="BZ67" s="464" t="s">
        <v>5921</v>
      </c>
      <c r="CA67" s="464" t="s">
        <v>5921</v>
      </c>
      <c r="CB67" s="464" t="s">
        <v>5921</v>
      </c>
      <c r="CC67" s="464" t="s">
        <v>5921</v>
      </c>
      <c r="CD67" s="464" t="s">
        <v>5921</v>
      </c>
      <c r="CE67" s="464" t="s">
        <v>5921</v>
      </c>
      <c r="CF67" s="464" t="s">
        <v>5921</v>
      </c>
      <c r="CG67" s="464">
        <v>8.1274847999999995</v>
      </c>
      <c r="CH67" s="464">
        <v>0.90995616595256312</v>
      </c>
      <c r="CI67" s="464">
        <v>1.4398425811257409</v>
      </c>
      <c r="CJ67" s="464">
        <v>4.1916814588813418</v>
      </c>
      <c r="CK67" s="464">
        <v>1.1760912590556813</v>
      </c>
      <c r="CL67" s="464">
        <v>1.5773866666666658</v>
      </c>
      <c r="CM67" s="464" t="s">
        <v>892</v>
      </c>
      <c r="CN67" s="464" t="s">
        <v>893</v>
      </c>
      <c r="CO67" s="464">
        <v>1.2310957190018852</v>
      </c>
      <c r="CP67" s="464">
        <v>0.47737585250387088</v>
      </c>
      <c r="CQ67" s="464" t="s">
        <v>539</v>
      </c>
      <c r="CR67" s="464" t="s">
        <v>5921</v>
      </c>
      <c r="CS67" s="464">
        <v>10.739480446384229</v>
      </c>
      <c r="CT67" s="464">
        <v>3.6890115333329825</v>
      </c>
      <c r="CU67" s="464">
        <v>1</v>
      </c>
      <c r="CV67" s="464" t="s">
        <v>539</v>
      </c>
      <c r="CW67" s="464" t="s">
        <v>5921</v>
      </c>
    </row>
    <row r="68" spans="1:101" x14ac:dyDescent="0.2">
      <c r="A68" s="464">
        <v>479</v>
      </c>
      <c r="B68" s="464" t="s">
        <v>1547</v>
      </c>
      <c r="C68" s="464" t="s">
        <v>6678</v>
      </c>
      <c r="D68" s="464" t="s">
        <v>1548</v>
      </c>
      <c r="E68" s="464">
        <v>156052685</v>
      </c>
      <c r="F68" s="464" t="s">
        <v>1549</v>
      </c>
      <c r="G68" s="464" t="s">
        <v>8179</v>
      </c>
      <c r="H68" s="464" t="s">
        <v>1550</v>
      </c>
      <c r="I68" s="464" t="s">
        <v>1551</v>
      </c>
      <c r="J68" s="464" t="s">
        <v>6021</v>
      </c>
      <c r="K68" s="464" t="s">
        <v>6082</v>
      </c>
      <c r="L68" s="464" t="s">
        <v>6082</v>
      </c>
      <c r="M68" s="464" t="s">
        <v>6083</v>
      </c>
      <c r="N68" s="464" t="s">
        <v>5921</v>
      </c>
      <c r="O68" s="464" t="s">
        <v>5921</v>
      </c>
      <c r="P68" s="464" t="s">
        <v>5921</v>
      </c>
      <c r="Q68" s="464" t="s">
        <v>5921</v>
      </c>
      <c r="R68" s="464">
        <v>336.64</v>
      </c>
      <c r="S68" s="464" t="s">
        <v>5921</v>
      </c>
      <c r="T68" s="464">
        <v>4.585</v>
      </c>
      <c r="U68" s="464">
        <v>9.4878042998086478</v>
      </c>
      <c r="V68" s="464">
        <v>9.4878042998086478</v>
      </c>
      <c r="W68" s="464">
        <v>7</v>
      </c>
      <c r="X68" s="464">
        <v>4.3499999999999996</v>
      </c>
      <c r="Y68" s="464">
        <v>3.76</v>
      </c>
      <c r="Z68" s="464">
        <v>3.82</v>
      </c>
      <c r="AA68" s="464">
        <v>0.6704</v>
      </c>
      <c r="AB68" s="464">
        <v>4.21</v>
      </c>
      <c r="AC68" s="464">
        <v>4.84</v>
      </c>
      <c r="AD68" s="464">
        <v>3.76</v>
      </c>
      <c r="AE68" s="464">
        <v>4.3099999999999996</v>
      </c>
      <c r="AF68" s="464">
        <v>3.2600000000000002E-11</v>
      </c>
      <c r="AG68" s="464" t="s">
        <v>5921</v>
      </c>
      <c r="AH68" s="464">
        <v>-8.875348726244713</v>
      </c>
      <c r="AI68" s="464" t="s">
        <v>5921</v>
      </c>
      <c r="AJ68" s="464">
        <v>-8.875348726244713</v>
      </c>
      <c r="AK68" s="464">
        <v>-13.971229999999998</v>
      </c>
      <c r="AL68" s="464">
        <v>-8.7200000000000006</v>
      </c>
      <c r="AM68" s="464">
        <v>11.2</v>
      </c>
      <c r="AN68" s="464">
        <v>-2.7</v>
      </c>
      <c r="AO68" s="464" t="s">
        <v>6311</v>
      </c>
      <c r="AP68" s="464" t="s">
        <v>6311</v>
      </c>
      <c r="AQ68" s="464" t="s">
        <v>63</v>
      </c>
      <c r="AR68" s="464" t="s">
        <v>266</v>
      </c>
      <c r="AS68" s="464" t="s">
        <v>8468</v>
      </c>
      <c r="AT68" s="464" t="s">
        <v>8469</v>
      </c>
      <c r="AU68" s="464" t="s">
        <v>8450</v>
      </c>
      <c r="AV68" s="464" t="s">
        <v>8446</v>
      </c>
      <c r="AW68" s="464" t="s">
        <v>267</v>
      </c>
      <c r="AX68" s="464" t="s">
        <v>268</v>
      </c>
      <c r="AY68" s="464" t="s">
        <v>8453</v>
      </c>
      <c r="AZ68" s="464" t="s">
        <v>888</v>
      </c>
      <c r="BA68" s="464" t="s">
        <v>270</v>
      </c>
      <c r="BB68" s="464" t="s">
        <v>8374</v>
      </c>
      <c r="BC68" s="464" t="s">
        <v>889</v>
      </c>
      <c r="BD68" s="464" t="s">
        <v>272</v>
      </c>
      <c r="BE68" s="464" t="s">
        <v>272</v>
      </c>
      <c r="BF68" s="464" t="s">
        <v>890</v>
      </c>
      <c r="BG68" s="464">
        <v>3.3663999999999998E-4</v>
      </c>
      <c r="BH68" s="464">
        <v>26.9312</v>
      </c>
      <c r="BI68" s="464" t="s">
        <v>5921</v>
      </c>
      <c r="BJ68" s="464">
        <v>2.1440293102172832</v>
      </c>
      <c r="BK68" s="464" t="s">
        <v>5921</v>
      </c>
      <c r="BL68" s="464" t="s">
        <v>5921</v>
      </c>
      <c r="BM68" s="464" t="s">
        <v>5921</v>
      </c>
      <c r="BN68" s="464" t="s">
        <v>5921</v>
      </c>
      <c r="BO68" s="464" t="s">
        <v>5921</v>
      </c>
      <c r="BP68" s="464" t="s">
        <v>5921</v>
      </c>
      <c r="BQ68" s="464">
        <v>1.7259096482255609</v>
      </c>
      <c r="BR68" s="464" t="s">
        <v>5921</v>
      </c>
      <c r="BS68" s="464" t="s">
        <v>5921</v>
      </c>
      <c r="BT68" s="464" t="s">
        <v>5921</v>
      </c>
      <c r="BU68" s="464" t="s">
        <v>5921</v>
      </c>
      <c r="BV68" s="464" t="s">
        <v>5921</v>
      </c>
      <c r="BW68" s="464" t="s">
        <v>5921</v>
      </c>
      <c r="BX68" s="464" t="s">
        <v>5921</v>
      </c>
      <c r="BY68" s="464" t="s">
        <v>5921</v>
      </c>
      <c r="BZ68" s="464" t="s">
        <v>5921</v>
      </c>
      <c r="CA68" s="464" t="s">
        <v>5921</v>
      </c>
      <c r="CB68" s="464" t="s">
        <v>5921</v>
      </c>
      <c r="CC68" s="464" t="s">
        <v>5921</v>
      </c>
      <c r="CD68" s="464" t="s">
        <v>5921</v>
      </c>
      <c r="CE68" s="464" t="s">
        <v>5921</v>
      </c>
      <c r="CF68" s="464" t="s">
        <v>5921</v>
      </c>
      <c r="CG68" s="464">
        <v>1.7259096482255609</v>
      </c>
      <c r="CH68" s="464">
        <v>0.23701805655639599</v>
      </c>
      <c r="CI68" s="464">
        <v>7.9611354496542414E-2</v>
      </c>
      <c r="CJ68" s="464">
        <v>1.2422604580845809</v>
      </c>
      <c r="CK68" s="464">
        <v>-0.80687540164553884</v>
      </c>
      <c r="CL68" s="464">
        <v>172.63589743589765</v>
      </c>
      <c r="CM68" s="464" t="s">
        <v>892</v>
      </c>
      <c r="CN68" s="464" t="s">
        <v>893</v>
      </c>
      <c r="CO68" s="464">
        <v>-0.80687540164553839</v>
      </c>
      <c r="CP68" s="464">
        <v>11.063523386061291</v>
      </c>
      <c r="CQ68" s="464" t="s">
        <v>539</v>
      </c>
      <c r="CR68" s="464" t="s">
        <v>5921</v>
      </c>
      <c r="CS68" s="464">
        <v>5.4972775136654644</v>
      </c>
      <c r="CT68" s="464">
        <v>0.35229786640805638</v>
      </c>
      <c r="CU68" s="464">
        <v>1</v>
      </c>
      <c r="CV68" s="464" t="s">
        <v>539</v>
      </c>
      <c r="CW68" s="464" t="s">
        <v>5921</v>
      </c>
    </row>
    <row r="69" spans="1:101" x14ac:dyDescent="0.2">
      <c r="A69" s="464">
        <v>483</v>
      </c>
      <c r="B69" s="464" t="s">
        <v>1559</v>
      </c>
      <c r="C69" s="464" t="s">
        <v>6480</v>
      </c>
      <c r="D69" s="464" t="s">
        <v>1560</v>
      </c>
      <c r="E69" s="464">
        <v>141435</v>
      </c>
      <c r="F69" s="464" t="s">
        <v>1561</v>
      </c>
      <c r="G69" s="464" t="s">
        <v>1561</v>
      </c>
      <c r="H69" s="464" t="s">
        <v>1562</v>
      </c>
      <c r="I69" s="464" t="s">
        <v>300</v>
      </c>
      <c r="J69" s="464" t="s">
        <v>5492</v>
      </c>
      <c r="K69" s="464" t="s">
        <v>2342</v>
      </c>
      <c r="L69" s="464" t="s">
        <v>2342</v>
      </c>
      <c r="M69" s="464" t="s">
        <v>5921</v>
      </c>
      <c r="N69" s="464" t="s">
        <v>5921</v>
      </c>
      <c r="O69" s="464" t="s">
        <v>5921</v>
      </c>
      <c r="P69" s="464" t="s">
        <v>5921</v>
      </c>
      <c r="Q69" s="464" t="s">
        <v>5921</v>
      </c>
      <c r="R69" s="464">
        <v>61.08</v>
      </c>
      <c r="S69" s="464">
        <v>1000000</v>
      </c>
      <c r="T69" s="464">
        <v>1000000</v>
      </c>
      <c r="U69" s="464">
        <v>990601.60746683436</v>
      </c>
      <c r="V69" s="464">
        <v>990601.60746683436</v>
      </c>
      <c r="W69" s="464">
        <v>11.6</v>
      </c>
      <c r="X69" s="464">
        <v>-1.61</v>
      </c>
      <c r="Y69" s="464">
        <v>-1.31</v>
      </c>
      <c r="Z69" s="464">
        <v>-1.06</v>
      </c>
      <c r="AA69" s="464">
        <v>0.87129999999999996</v>
      </c>
      <c r="AB69" s="464">
        <v>-1.1200000000000001</v>
      </c>
      <c r="AC69" s="464">
        <v>-1.31</v>
      </c>
      <c r="AD69" s="464">
        <v>-1.31</v>
      </c>
      <c r="AE69" s="464">
        <v>-1.21</v>
      </c>
      <c r="AF69" s="464">
        <v>3.6800000000000002E-10</v>
      </c>
      <c r="AG69" s="464" t="s">
        <v>5921</v>
      </c>
      <c r="AH69" s="464">
        <v>-7.8227185076391343</v>
      </c>
      <c r="AI69" s="464" t="s">
        <v>5921</v>
      </c>
      <c r="AJ69" s="464">
        <v>-7.8227185076391343</v>
      </c>
      <c r="AK69" s="464">
        <v>-7.9048299999999996</v>
      </c>
      <c r="AL69" s="464">
        <v>-8.2799999999999994</v>
      </c>
      <c r="AM69" s="464">
        <v>12.85</v>
      </c>
      <c r="AN69" s="464">
        <v>9.16</v>
      </c>
      <c r="AO69" s="464" t="s">
        <v>6311</v>
      </c>
      <c r="AP69" s="464" t="s">
        <v>6311</v>
      </c>
      <c r="AQ69" s="464" t="s">
        <v>6</v>
      </c>
      <c r="AR69" s="464" t="s">
        <v>266</v>
      </c>
      <c r="AS69" s="464" t="s">
        <v>8453</v>
      </c>
      <c r="AT69" s="464" t="s">
        <v>8445</v>
      </c>
      <c r="AU69" s="464" t="s">
        <v>8445</v>
      </c>
      <c r="AV69" s="464" t="s">
        <v>8472</v>
      </c>
      <c r="AW69" s="464" t="s">
        <v>535</v>
      </c>
      <c r="AX69" s="464" t="s">
        <v>1563</v>
      </c>
      <c r="AY69" s="464" t="s">
        <v>8457</v>
      </c>
      <c r="AZ69" s="464" t="s">
        <v>888</v>
      </c>
      <c r="BA69" s="464" t="s">
        <v>538</v>
      </c>
      <c r="BB69" s="464" t="s">
        <v>5921</v>
      </c>
      <c r="BC69" s="464" t="s">
        <v>271</v>
      </c>
      <c r="BD69" s="464" t="s">
        <v>272</v>
      </c>
      <c r="BE69" s="464" t="s">
        <v>539</v>
      </c>
      <c r="BF69" s="464" t="s">
        <v>272</v>
      </c>
      <c r="BG69" s="464">
        <v>610.79999999999995</v>
      </c>
      <c r="BH69" s="464">
        <v>48864</v>
      </c>
      <c r="BI69" s="464" t="s">
        <v>5921</v>
      </c>
      <c r="BJ69" s="464">
        <v>87627.420679025265</v>
      </c>
      <c r="BK69" s="464">
        <v>0</v>
      </c>
      <c r="BL69" s="464" t="s">
        <v>5921</v>
      </c>
      <c r="BM69" s="464" t="s">
        <v>5921</v>
      </c>
      <c r="BN69" s="464" t="s">
        <v>5921</v>
      </c>
      <c r="BO69" s="464">
        <v>3683.1239999999998</v>
      </c>
      <c r="BP69" s="464" t="s">
        <v>5921</v>
      </c>
      <c r="BQ69" s="464" t="s">
        <v>5921</v>
      </c>
      <c r="BR69" s="464" t="s">
        <v>5921</v>
      </c>
      <c r="BS69" s="464" t="s">
        <v>5921</v>
      </c>
      <c r="BT69" s="464" t="s">
        <v>5921</v>
      </c>
      <c r="BU69" s="464" t="s">
        <v>5921</v>
      </c>
      <c r="BV69" s="464" t="s">
        <v>5921</v>
      </c>
      <c r="BW69" s="464" t="s">
        <v>5921</v>
      </c>
      <c r="BX69" s="464" t="s">
        <v>5921</v>
      </c>
      <c r="BY69" s="464" t="s">
        <v>5921</v>
      </c>
      <c r="BZ69" s="464" t="s">
        <v>5921</v>
      </c>
      <c r="CA69" s="464" t="s">
        <v>5921</v>
      </c>
      <c r="CB69" s="464" t="s">
        <v>5921</v>
      </c>
      <c r="CC69" s="464" t="s">
        <v>5921</v>
      </c>
      <c r="CD69" s="464" t="s">
        <v>5921</v>
      </c>
      <c r="CE69" s="464" t="s">
        <v>5921</v>
      </c>
      <c r="CF69" s="464" t="s">
        <v>5921</v>
      </c>
      <c r="CG69" s="464">
        <v>3683.1239999999998</v>
      </c>
      <c r="CH69" s="464">
        <v>3.5662163405245351</v>
      </c>
      <c r="CI69" s="464">
        <v>1.793292008002318</v>
      </c>
      <c r="CJ69" s="464">
        <v>23.79160209621649</v>
      </c>
      <c r="CK69" s="464">
        <v>2.1760912590556813</v>
      </c>
      <c r="CL69" s="464">
        <v>325.75999999999982</v>
      </c>
      <c r="CM69" s="464" t="s">
        <v>5921</v>
      </c>
      <c r="CN69" s="464" t="s">
        <v>1564</v>
      </c>
      <c r="CO69" s="464">
        <v>2.7616670252264872</v>
      </c>
      <c r="CP69" s="464">
        <v>6.3760147827472338</v>
      </c>
      <c r="CQ69" s="464" t="s">
        <v>539</v>
      </c>
      <c r="CR69" s="464" t="s">
        <v>5921</v>
      </c>
      <c r="CS69" s="464">
        <v>268.95689840114926</v>
      </c>
      <c r="CT69" s="464">
        <v>20.272626216986623</v>
      </c>
      <c r="CU69" s="464">
        <v>1</v>
      </c>
      <c r="CV69" s="464" t="s">
        <v>5921</v>
      </c>
      <c r="CW69" s="464" t="s">
        <v>6351</v>
      </c>
    </row>
    <row r="70" spans="1:101" x14ac:dyDescent="0.2">
      <c r="A70" s="464">
        <v>485</v>
      </c>
      <c r="B70" s="464" t="s">
        <v>1569</v>
      </c>
      <c r="C70" s="464" t="s">
        <v>6436</v>
      </c>
      <c r="D70" s="464" t="s">
        <v>1570</v>
      </c>
      <c r="E70" s="464">
        <v>62533</v>
      </c>
      <c r="F70" s="464" t="s">
        <v>1571</v>
      </c>
      <c r="G70" s="464" t="s">
        <v>1571</v>
      </c>
      <c r="H70" s="464" t="s">
        <v>1572</v>
      </c>
      <c r="I70" s="464" t="s">
        <v>1573</v>
      </c>
      <c r="J70" s="464" t="s">
        <v>5492</v>
      </c>
      <c r="K70" s="464" t="s">
        <v>866</v>
      </c>
      <c r="L70" s="464" t="s">
        <v>6082</v>
      </c>
      <c r="M70" s="464" t="s">
        <v>6086</v>
      </c>
      <c r="N70" s="464" t="s">
        <v>6184</v>
      </c>
      <c r="O70" s="464" t="s">
        <v>6176</v>
      </c>
      <c r="P70" s="464" t="s">
        <v>6185</v>
      </c>
      <c r="Q70" s="464" t="s">
        <v>6176</v>
      </c>
      <c r="R70" s="464">
        <v>93.13</v>
      </c>
      <c r="S70" s="464">
        <v>36000</v>
      </c>
      <c r="T70" s="464">
        <v>20820</v>
      </c>
      <c r="U70" s="464">
        <v>32291.602882644271</v>
      </c>
      <c r="V70" s="464">
        <v>32291.602882644271</v>
      </c>
      <c r="W70" s="464">
        <v>9.08</v>
      </c>
      <c r="X70" s="464">
        <v>1.08</v>
      </c>
      <c r="Y70" s="464">
        <v>0.9</v>
      </c>
      <c r="Z70" s="464">
        <v>1.25</v>
      </c>
      <c r="AA70" s="464">
        <v>0.88229999999999997</v>
      </c>
      <c r="AB70" s="464">
        <v>1.17</v>
      </c>
      <c r="AC70" s="464">
        <v>0.94</v>
      </c>
      <c r="AD70" s="464">
        <v>0.9</v>
      </c>
      <c r="AE70" s="464">
        <v>1.1100000000000001</v>
      </c>
      <c r="AF70" s="464">
        <v>1.9E-6</v>
      </c>
      <c r="AG70" s="464">
        <v>2.0200000000000001E-6</v>
      </c>
      <c r="AH70" s="464">
        <v>-4.1098127253598227</v>
      </c>
      <c r="AI70" s="464">
        <v>-4.0832149568660281</v>
      </c>
      <c r="AJ70" s="464">
        <v>-4.0832149568660281</v>
      </c>
      <c r="AK70" s="464">
        <v>-6.248120000000001</v>
      </c>
      <c r="AL70" s="464">
        <v>-3.95</v>
      </c>
      <c r="AM70" s="464" t="s">
        <v>5921</v>
      </c>
      <c r="AN70" s="464">
        <v>4.6100000000000003</v>
      </c>
      <c r="AO70" s="464" t="s">
        <v>6311</v>
      </c>
      <c r="AP70" s="464" t="s">
        <v>6311</v>
      </c>
      <c r="AQ70" s="464" t="s">
        <v>6</v>
      </c>
      <c r="AR70" s="464" t="s">
        <v>266</v>
      </c>
      <c r="AS70" s="464" t="s">
        <v>8453</v>
      </c>
      <c r="AT70" s="464" t="s">
        <v>8445</v>
      </c>
      <c r="AU70" s="464" t="s">
        <v>8445</v>
      </c>
      <c r="AV70" s="464" t="s">
        <v>8472</v>
      </c>
      <c r="AW70" s="464" t="s">
        <v>535</v>
      </c>
      <c r="AX70" s="464" t="s">
        <v>1563</v>
      </c>
      <c r="AY70" s="464" t="s">
        <v>8457</v>
      </c>
      <c r="AZ70" s="464" t="s">
        <v>888</v>
      </c>
      <c r="BA70" s="464" t="s">
        <v>538</v>
      </c>
      <c r="BB70" s="464" t="s">
        <v>5921</v>
      </c>
      <c r="BC70" s="464" t="s">
        <v>271</v>
      </c>
      <c r="BD70" s="464" t="s">
        <v>272</v>
      </c>
      <c r="BE70" s="464" t="s">
        <v>539</v>
      </c>
      <c r="BF70" s="464" t="s">
        <v>272</v>
      </c>
      <c r="BG70" s="464">
        <v>18.626000000000001</v>
      </c>
      <c r="BH70" s="464">
        <v>1862.6</v>
      </c>
      <c r="BI70" s="464" t="s">
        <v>5921</v>
      </c>
      <c r="BJ70" s="464">
        <v>512.79242714957945</v>
      </c>
      <c r="BK70" s="464">
        <v>0</v>
      </c>
      <c r="BL70" s="464" t="s">
        <v>5921</v>
      </c>
      <c r="BM70" s="464" t="s">
        <v>5921</v>
      </c>
      <c r="BN70" s="464" t="s">
        <v>5921</v>
      </c>
      <c r="BO70" s="464">
        <v>866.10900000000004</v>
      </c>
      <c r="BP70" s="464" t="s">
        <v>5921</v>
      </c>
      <c r="BQ70" s="464" t="s">
        <v>5921</v>
      </c>
      <c r="BR70" s="464" t="s">
        <v>5921</v>
      </c>
      <c r="BS70" s="464" t="s">
        <v>5921</v>
      </c>
      <c r="BT70" s="464" t="s">
        <v>5921</v>
      </c>
      <c r="BU70" s="464" t="s">
        <v>5921</v>
      </c>
      <c r="BV70" s="464" t="s">
        <v>5921</v>
      </c>
      <c r="BW70" s="464" t="s">
        <v>5921</v>
      </c>
      <c r="BX70" s="464" t="s">
        <v>5921</v>
      </c>
      <c r="BY70" s="464" t="s">
        <v>5921</v>
      </c>
      <c r="BZ70" s="464" t="s">
        <v>5921</v>
      </c>
      <c r="CA70" s="464" t="s">
        <v>5921</v>
      </c>
      <c r="CB70" s="464" t="s">
        <v>5921</v>
      </c>
      <c r="CC70" s="464" t="s">
        <v>5921</v>
      </c>
      <c r="CD70" s="464" t="s">
        <v>5921</v>
      </c>
      <c r="CE70" s="464" t="s">
        <v>5921</v>
      </c>
      <c r="CF70" s="464" t="s">
        <v>5921</v>
      </c>
      <c r="CG70" s="464">
        <v>866.10900000000004</v>
      </c>
      <c r="CH70" s="464">
        <v>2.9375725515088567</v>
      </c>
      <c r="CI70" s="464">
        <v>0.27531001135486927</v>
      </c>
      <c r="CJ70" s="464">
        <v>0.59206454054810587</v>
      </c>
      <c r="CK70" s="464">
        <v>1.4583110721791823</v>
      </c>
      <c r="CL70" s="464">
        <v>64.834852392836552</v>
      </c>
      <c r="CM70" s="464" t="s">
        <v>5921</v>
      </c>
      <c r="CN70" s="464" t="s">
        <v>1564</v>
      </c>
      <c r="CO70" s="464">
        <v>1.7587483936881136</v>
      </c>
      <c r="CP70" s="464">
        <v>15.094688591860269</v>
      </c>
      <c r="CQ70" s="464" t="s">
        <v>539</v>
      </c>
      <c r="CR70" s="464" t="s">
        <v>5921</v>
      </c>
      <c r="CS70" s="464">
        <v>37.283532306723828</v>
      </c>
      <c r="CT70" s="464">
        <v>17.336842522626583</v>
      </c>
      <c r="CU70" s="464">
        <v>1</v>
      </c>
      <c r="CV70" s="464" t="s">
        <v>5921</v>
      </c>
      <c r="CW70" s="464" t="s">
        <v>6351</v>
      </c>
    </row>
    <row r="71" spans="1:101" x14ac:dyDescent="0.2">
      <c r="A71" s="464">
        <v>508</v>
      </c>
      <c r="B71" s="464" t="s">
        <v>1635</v>
      </c>
      <c r="C71" s="464" t="s">
        <v>6463</v>
      </c>
      <c r="D71" s="464" t="s">
        <v>1636</v>
      </c>
      <c r="E71" s="464">
        <v>106489</v>
      </c>
      <c r="F71" s="464" t="s">
        <v>1637</v>
      </c>
      <c r="G71" s="464" t="s">
        <v>8214</v>
      </c>
      <c r="H71" s="464" t="s">
        <v>1638</v>
      </c>
      <c r="I71" s="464" t="s">
        <v>349</v>
      </c>
      <c r="J71" s="464" t="s">
        <v>5527</v>
      </c>
      <c r="K71" s="464" t="s">
        <v>497</v>
      </c>
      <c r="L71" s="464" t="s">
        <v>6381</v>
      </c>
      <c r="M71" s="464" t="s">
        <v>498</v>
      </c>
      <c r="N71" s="464" t="s">
        <v>6184</v>
      </c>
      <c r="O71" s="464" t="s">
        <v>6182</v>
      </c>
      <c r="P71" s="464" t="s">
        <v>6185</v>
      </c>
      <c r="Q71" s="464" t="s">
        <v>6176</v>
      </c>
      <c r="R71" s="464">
        <v>128.56</v>
      </c>
      <c r="S71" s="464">
        <v>24000</v>
      </c>
      <c r="T71" s="464">
        <v>3222</v>
      </c>
      <c r="U71" s="464">
        <v>2084.999061164639</v>
      </c>
      <c r="V71" s="464">
        <v>2084.999061164639</v>
      </c>
      <c r="W71" s="464">
        <v>5.63</v>
      </c>
      <c r="X71" s="464">
        <v>2.16</v>
      </c>
      <c r="Y71" s="464">
        <v>2.39</v>
      </c>
      <c r="Z71" s="464">
        <v>2.5099999999999998</v>
      </c>
      <c r="AA71" s="464">
        <v>0.89249999999999996</v>
      </c>
      <c r="AB71" s="464">
        <v>2.4900000000000002</v>
      </c>
      <c r="AC71" s="464">
        <v>2.4300000000000002</v>
      </c>
      <c r="AD71" s="464">
        <v>2.39</v>
      </c>
      <c r="AE71" s="464">
        <v>2.15</v>
      </c>
      <c r="AF71" s="464">
        <v>4.15E-7</v>
      </c>
      <c r="AG71" s="464">
        <v>6.2699999999999999E-7</v>
      </c>
      <c r="AH71" s="464">
        <v>-4.770518229600559</v>
      </c>
      <c r="AI71" s="464">
        <v>-4.5912987854819356</v>
      </c>
      <c r="AJ71" s="464">
        <v>-4.5912987854819356</v>
      </c>
      <c r="AK71" s="464">
        <v>-7.63727</v>
      </c>
      <c r="AL71" s="464">
        <v>-4.8600000000000003</v>
      </c>
      <c r="AM71" s="464">
        <v>9.4700000000000006</v>
      </c>
      <c r="AN71" s="464" t="s">
        <v>5921</v>
      </c>
      <c r="AO71" s="464" t="s">
        <v>6311</v>
      </c>
      <c r="AP71" s="464" t="s">
        <v>6311</v>
      </c>
      <c r="AQ71" s="464" t="s">
        <v>6</v>
      </c>
      <c r="AR71" s="464" t="s">
        <v>266</v>
      </c>
      <c r="AS71" s="464" t="s">
        <v>8453</v>
      </c>
      <c r="AT71" s="464" t="s">
        <v>8445</v>
      </c>
      <c r="AU71" s="464" t="s">
        <v>8445</v>
      </c>
      <c r="AV71" s="464" t="s">
        <v>404</v>
      </c>
      <c r="AW71" s="464" t="s">
        <v>404</v>
      </c>
      <c r="AX71" s="464" t="s">
        <v>404</v>
      </c>
      <c r="AY71" s="464" t="s">
        <v>404</v>
      </c>
      <c r="AZ71" s="464" t="s">
        <v>404</v>
      </c>
      <c r="BA71" s="464" t="s">
        <v>404</v>
      </c>
      <c r="BB71" s="464" t="s">
        <v>5921</v>
      </c>
      <c r="BC71" s="464" t="s">
        <v>404</v>
      </c>
      <c r="BD71" s="464" t="s">
        <v>404</v>
      </c>
      <c r="BE71" s="464" t="s">
        <v>404</v>
      </c>
      <c r="BF71" s="464" t="s">
        <v>404</v>
      </c>
      <c r="BG71" s="464" t="s">
        <v>5921</v>
      </c>
      <c r="BH71" s="464" t="s">
        <v>5921</v>
      </c>
      <c r="BI71" s="464" t="s">
        <v>5921</v>
      </c>
      <c r="BJ71" s="464">
        <v>75.859480414180325</v>
      </c>
      <c r="BK71" s="464" t="s">
        <v>5921</v>
      </c>
      <c r="BL71" s="464" t="s">
        <v>5921</v>
      </c>
      <c r="BM71" s="464">
        <v>42.8</v>
      </c>
      <c r="BN71" s="464">
        <v>40.1</v>
      </c>
      <c r="BO71" s="464">
        <v>34.6</v>
      </c>
      <c r="BP71" s="464" t="s">
        <v>5921</v>
      </c>
      <c r="BQ71" s="464" t="s">
        <v>5921</v>
      </c>
      <c r="BR71" s="464" t="s">
        <v>5921</v>
      </c>
      <c r="BS71" s="464" t="s">
        <v>5921</v>
      </c>
      <c r="BT71" s="464" t="s">
        <v>5921</v>
      </c>
      <c r="BU71" s="464" t="s">
        <v>5921</v>
      </c>
      <c r="BV71" s="464" t="s">
        <v>5921</v>
      </c>
      <c r="BW71" s="464" t="s">
        <v>5921</v>
      </c>
      <c r="BX71" s="464" t="s">
        <v>5921</v>
      </c>
      <c r="BY71" s="464" t="s">
        <v>5921</v>
      </c>
      <c r="BZ71" s="464" t="s">
        <v>5921</v>
      </c>
      <c r="CA71" s="464" t="s">
        <v>5921</v>
      </c>
      <c r="CB71" s="464" t="s">
        <v>5921</v>
      </c>
      <c r="CC71" s="464" t="s">
        <v>5921</v>
      </c>
      <c r="CD71" s="464" t="s">
        <v>5921</v>
      </c>
      <c r="CE71" s="464" t="s">
        <v>5921</v>
      </c>
      <c r="CF71" s="464" t="s">
        <v>5921</v>
      </c>
      <c r="CG71" s="464">
        <v>34.6</v>
      </c>
      <c r="CH71" s="464">
        <v>1.5390760987927767</v>
      </c>
      <c r="CI71" s="464" t="s">
        <v>5921</v>
      </c>
      <c r="CJ71" s="464">
        <v>2.1924705322017433</v>
      </c>
      <c r="CK71" s="464">
        <v>0.27971818245026747</v>
      </c>
      <c r="CL71" s="464" t="s">
        <v>5921</v>
      </c>
      <c r="CM71" s="464" t="s">
        <v>1641</v>
      </c>
      <c r="CN71" s="464" t="s">
        <v>1642</v>
      </c>
      <c r="CO71" s="464">
        <v>0.54533072722344478</v>
      </c>
      <c r="CP71" s="464">
        <v>9.8570139587448509</v>
      </c>
      <c r="CQ71" s="464" t="s">
        <v>539</v>
      </c>
      <c r="CR71" s="464" t="s">
        <v>5921</v>
      </c>
      <c r="CS71" s="464">
        <v>60.260088472966444</v>
      </c>
      <c r="CT71" s="464" t="s">
        <v>5921</v>
      </c>
      <c r="CU71" s="464">
        <v>1</v>
      </c>
      <c r="CV71" s="464" t="s">
        <v>5921</v>
      </c>
      <c r="CW71" s="464" t="s">
        <v>6351</v>
      </c>
    </row>
    <row r="72" spans="1:101" x14ac:dyDescent="0.2">
      <c r="A72" s="464">
        <v>512</v>
      </c>
      <c r="B72" s="464" t="s">
        <v>1635</v>
      </c>
      <c r="C72" s="464" t="s">
        <v>6463</v>
      </c>
      <c r="D72" s="464" t="s">
        <v>1636</v>
      </c>
      <c r="E72" s="464">
        <v>106489</v>
      </c>
      <c r="F72" s="464" t="s">
        <v>1637</v>
      </c>
      <c r="G72" s="464" t="s">
        <v>8214</v>
      </c>
      <c r="H72" s="464" t="s">
        <v>1638</v>
      </c>
      <c r="I72" s="464" t="s">
        <v>349</v>
      </c>
      <c r="J72" s="464" t="s">
        <v>5527</v>
      </c>
      <c r="K72" s="464" t="s">
        <v>497</v>
      </c>
      <c r="L72" s="464" t="s">
        <v>6381</v>
      </c>
      <c r="M72" s="464" t="s">
        <v>498</v>
      </c>
      <c r="N72" s="464" t="s">
        <v>6184</v>
      </c>
      <c r="O72" s="464" t="s">
        <v>6182</v>
      </c>
      <c r="P72" s="464" t="s">
        <v>6185</v>
      </c>
      <c r="Q72" s="464" t="s">
        <v>6176</v>
      </c>
      <c r="R72" s="464">
        <v>128.56</v>
      </c>
      <c r="S72" s="464">
        <v>24000</v>
      </c>
      <c r="T72" s="464">
        <v>3222</v>
      </c>
      <c r="U72" s="464">
        <v>2084.999061164639</v>
      </c>
      <c r="V72" s="464">
        <v>2084.999061164639</v>
      </c>
      <c r="W72" s="464">
        <v>5.63</v>
      </c>
      <c r="X72" s="464">
        <v>2.16</v>
      </c>
      <c r="Y72" s="464">
        <v>2.39</v>
      </c>
      <c r="Z72" s="464">
        <v>2.5099999999999998</v>
      </c>
      <c r="AA72" s="464">
        <v>0.89249999999999996</v>
      </c>
      <c r="AB72" s="464">
        <v>2.4900000000000002</v>
      </c>
      <c r="AC72" s="464">
        <v>2.4300000000000002</v>
      </c>
      <c r="AD72" s="464">
        <v>2.39</v>
      </c>
      <c r="AE72" s="464">
        <v>2.15</v>
      </c>
      <c r="AF72" s="464">
        <v>4.15E-7</v>
      </c>
      <c r="AG72" s="464">
        <v>6.2699999999999999E-7</v>
      </c>
      <c r="AH72" s="464">
        <v>-4.770518229600559</v>
      </c>
      <c r="AI72" s="464">
        <v>-4.5912987854819356</v>
      </c>
      <c r="AJ72" s="464">
        <v>-4.5912987854819356</v>
      </c>
      <c r="AK72" s="464">
        <v>-7.63727</v>
      </c>
      <c r="AL72" s="464">
        <v>-4.8600000000000003</v>
      </c>
      <c r="AM72" s="464">
        <v>9.4700000000000006</v>
      </c>
      <c r="AN72" s="464" t="s">
        <v>5921</v>
      </c>
      <c r="AO72" s="464" t="s">
        <v>6311</v>
      </c>
      <c r="AP72" s="464" t="s">
        <v>6311</v>
      </c>
      <c r="AQ72" s="464" t="s">
        <v>6</v>
      </c>
      <c r="AR72" s="464" t="s">
        <v>266</v>
      </c>
      <c r="AS72" s="464" t="s">
        <v>8453</v>
      </c>
      <c r="AT72" s="464" t="s">
        <v>8445</v>
      </c>
      <c r="AU72" s="464" t="s">
        <v>8445</v>
      </c>
      <c r="AV72" s="464" t="s">
        <v>8464</v>
      </c>
      <c r="AW72" s="464" t="s">
        <v>535</v>
      </c>
      <c r="AX72" s="464" t="s">
        <v>536</v>
      </c>
      <c r="AY72" s="464" t="s">
        <v>8456</v>
      </c>
      <c r="AZ72" s="464" t="s">
        <v>1644</v>
      </c>
      <c r="BA72" s="464" t="s">
        <v>538</v>
      </c>
      <c r="BB72" s="464" t="s">
        <v>5921</v>
      </c>
      <c r="BC72" s="464" t="s">
        <v>889</v>
      </c>
      <c r="BD72" s="464" t="s">
        <v>272</v>
      </c>
      <c r="BE72" s="464" t="s">
        <v>539</v>
      </c>
      <c r="BF72" s="464" t="s">
        <v>272</v>
      </c>
      <c r="BG72" s="464" t="s">
        <v>5921</v>
      </c>
      <c r="BH72" s="464" t="s">
        <v>5921</v>
      </c>
      <c r="BI72" s="464" t="s">
        <v>5921</v>
      </c>
      <c r="BJ72" s="464">
        <v>75.859480414180325</v>
      </c>
      <c r="BK72" s="464" t="s">
        <v>5921</v>
      </c>
      <c r="BL72" s="464">
        <v>40.4</v>
      </c>
      <c r="BM72" s="464">
        <v>43.86</v>
      </c>
      <c r="BN72" s="464">
        <v>42.14</v>
      </c>
      <c r="BO72" s="464">
        <v>32.179999999999943</v>
      </c>
      <c r="BP72" s="464" t="s">
        <v>5921</v>
      </c>
      <c r="BQ72" s="464" t="s">
        <v>5921</v>
      </c>
      <c r="BR72" s="464" t="s">
        <v>5921</v>
      </c>
      <c r="BS72" s="464" t="s">
        <v>5921</v>
      </c>
      <c r="BT72" s="464" t="s">
        <v>5921</v>
      </c>
      <c r="BU72" s="464" t="s">
        <v>5921</v>
      </c>
      <c r="BV72" s="464" t="s">
        <v>5921</v>
      </c>
      <c r="BW72" s="464" t="s">
        <v>5921</v>
      </c>
      <c r="BX72" s="464" t="s">
        <v>5921</v>
      </c>
      <c r="BY72" s="464" t="s">
        <v>5921</v>
      </c>
      <c r="BZ72" s="464" t="s">
        <v>5921</v>
      </c>
      <c r="CA72" s="464" t="s">
        <v>5921</v>
      </c>
      <c r="CB72" s="464" t="s">
        <v>5921</v>
      </c>
      <c r="CC72" s="464" t="s">
        <v>5921</v>
      </c>
      <c r="CD72" s="464" t="s">
        <v>5921</v>
      </c>
      <c r="CE72" s="464" t="s">
        <v>5921</v>
      </c>
      <c r="CF72" s="464" t="s">
        <v>5921</v>
      </c>
      <c r="CG72" s="464">
        <v>32.179999999999943</v>
      </c>
      <c r="CH72" s="464">
        <v>1.5075860397630099</v>
      </c>
      <c r="CI72" s="464" t="s">
        <v>5921</v>
      </c>
      <c r="CJ72" s="464">
        <v>2.3573486766370557</v>
      </c>
      <c r="CK72" s="464">
        <v>0.27971818245026747</v>
      </c>
      <c r="CL72" s="464" t="s">
        <v>5921</v>
      </c>
      <c r="CM72" s="464" t="s">
        <v>1641</v>
      </c>
      <c r="CN72" s="464" t="s">
        <v>1645</v>
      </c>
      <c r="CO72" s="464">
        <v>0.54533072722344478</v>
      </c>
      <c r="CP72" s="464">
        <v>9.1675927512256834</v>
      </c>
      <c r="CQ72" s="464" t="s">
        <v>539</v>
      </c>
      <c r="CR72" s="464" t="s">
        <v>5921</v>
      </c>
      <c r="CS72" s="464">
        <v>64.791766972176589</v>
      </c>
      <c r="CT72" s="464" t="s">
        <v>5921</v>
      </c>
      <c r="CU72" s="464">
        <v>1</v>
      </c>
      <c r="CV72" s="464" t="s">
        <v>539</v>
      </c>
      <c r="CW72" s="464" t="s">
        <v>6351</v>
      </c>
    </row>
    <row r="73" spans="1:101" x14ac:dyDescent="0.2">
      <c r="A73" s="464">
        <v>533</v>
      </c>
      <c r="B73" s="464" t="s">
        <v>1685</v>
      </c>
      <c r="C73" s="464" t="s">
        <v>6565</v>
      </c>
      <c r="D73" s="464" t="s">
        <v>1686</v>
      </c>
      <c r="E73" s="464">
        <v>80439320</v>
      </c>
      <c r="F73" s="464" t="s">
        <v>5921</v>
      </c>
      <c r="G73" s="464" t="s">
        <v>7877</v>
      </c>
      <c r="H73" s="464" t="s">
        <v>5921</v>
      </c>
      <c r="I73" s="464" t="s">
        <v>5921</v>
      </c>
      <c r="J73" s="464" t="s">
        <v>5527</v>
      </c>
      <c r="K73" s="464" t="s">
        <v>6613</v>
      </c>
      <c r="L73" s="464" t="s">
        <v>2342</v>
      </c>
      <c r="M73" s="464" t="s">
        <v>5921</v>
      </c>
      <c r="N73" s="464" t="s">
        <v>5921</v>
      </c>
      <c r="O73" s="464" t="s">
        <v>5921</v>
      </c>
      <c r="P73" s="464" t="s">
        <v>5921</v>
      </c>
      <c r="Q73" s="464" t="s">
        <v>5921</v>
      </c>
      <c r="R73" s="464">
        <v>259.52999999999997</v>
      </c>
      <c r="S73" s="464" t="s">
        <v>5921</v>
      </c>
      <c r="T73" s="464" t="s">
        <v>5921</v>
      </c>
      <c r="U73" s="464" t="s">
        <v>5921</v>
      </c>
      <c r="V73" s="464" t="s">
        <v>5921</v>
      </c>
      <c r="W73" s="464" t="s">
        <v>5921</v>
      </c>
      <c r="X73" s="464" t="s">
        <v>5921</v>
      </c>
      <c r="Y73" s="464" t="s">
        <v>5921</v>
      </c>
      <c r="Z73" s="464" t="s">
        <v>5921</v>
      </c>
      <c r="AA73" s="464" t="s">
        <v>5921</v>
      </c>
      <c r="AB73" s="464" t="s">
        <v>5921</v>
      </c>
      <c r="AC73" s="464" t="s">
        <v>5921</v>
      </c>
      <c r="AD73" s="464" t="s">
        <v>5921</v>
      </c>
      <c r="AE73" s="464" t="s">
        <v>5921</v>
      </c>
      <c r="AF73" s="464" t="s">
        <v>5921</v>
      </c>
      <c r="AG73" s="464" t="s">
        <v>5921</v>
      </c>
      <c r="AH73" s="464" t="s">
        <v>5921</v>
      </c>
      <c r="AI73" s="464" t="s">
        <v>5921</v>
      </c>
      <c r="AJ73" s="464" t="s">
        <v>5921</v>
      </c>
      <c r="AK73" s="464" t="s">
        <v>5921</v>
      </c>
      <c r="AL73" s="464" t="s">
        <v>5921</v>
      </c>
      <c r="AM73" s="464" t="s">
        <v>5921</v>
      </c>
      <c r="AN73" s="464" t="s">
        <v>5921</v>
      </c>
      <c r="AO73" s="464" t="s">
        <v>5921</v>
      </c>
      <c r="AP73" s="464" t="s">
        <v>5921</v>
      </c>
      <c r="AQ73" s="464" t="s">
        <v>1687</v>
      </c>
      <c r="AR73" s="464" t="s">
        <v>266</v>
      </c>
      <c r="AS73" s="464" t="s">
        <v>8453</v>
      </c>
      <c r="AT73" s="464" t="s">
        <v>8445</v>
      </c>
      <c r="AU73" s="464" t="s">
        <v>8445</v>
      </c>
      <c r="AV73" s="464" t="s">
        <v>404</v>
      </c>
      <c r="AW73" s="464" t="s">
        <v>404</v>
      </c>
      <c r="AX73" s="464" t="s">
        <v>404</v>
      </c>
      <c r="AY73" s="464" t="s">
        <v>404</v>
      </c>
      <c r="AZ73" s="464" t="s">
        <v>404</v>
      </c>
      <c r="BA73" s="464" t="s">
        <v>404</v>
      </c>
      <c r="BB73" s="464" t="s">
        <v>5921</v>
      </c>
      <c r="BC73" s="464" t="s">
        <v>404</v>
      </c>
      <c r="BD73" s="464" t="s">
        <v>404</v>
      </c>
      <c r="BE73" s="464" t="s">
        <v>404</v>
      </c>
      <c r="BF73" s="464" t="s">
        <v>404</v>
      </c>
      <c r="BG73" s="464" t="s">
        <v>5921</v>
      </c>
      <c r="BH73" s="464" t="s">
        <v>5921</v>
      </c>
      <c r="BI73" s="464" t="s">
        <v>5921</v>
      </c>
      <c r="BJ73" s="464" t="s">
        <v>5921</v>
      </c>
      <c r="BK73" s="464" t="s">
        <v>5921</v>
      </c>
      <c r="BL73" s="464" t="s">
        <v>5921</v>
      </c>
      <c r="BM73" s="464">
        <v>403.43589233888594</v>
      </c>
      <c r="BN73" s="464" t="s">
        <v>5921</v>
      </c>
      <c r="BO73" s="464">
        <v>335.33673915636302</v>
      </c>
      <c r="BP73" s="464" t="s">
        <v>5921</v>
      </c>
      <c r="BQ73" s="464" t="s">
        <v>5921</v>
      </c>
      <c r="BR73" s="464" t="s">
        <v>5921</v>
      </c>
      <c r="BS73" s="464" t="s">
        <v>5921</v>
      </c>
      <c r="BT73" s="464" t="s">
        <v>5921</v>
      </c>
      <c r="BU73" s="464" t="s">
        <v>5921</v>
      </c>
      <c r="BV73" s="464" t="s">
        <v>5921</v>
      </c>
      <c r="BW73" s="464" t="s">
        <v>5921</v>
      </c>
      <c r="BX73" s="464" t="s">
        <v>5921</v>
      </c>
      <c r="BY73" s="464" t="s">
        <v>5921</v>
      </c>
      <c r="BZ73" s="464" t="s">
        <v>5921</v>
      </c>
      <c r="CA73" s="464" t="s">
        <v>5921</v>
      </c>
      <c r="CB73" s="464" t="s">
        <v>5921</v>
      </c>
      <c r="CC73" s="464" t="s">
        <v>5921</v>
      </c>
      <c r="CD73" s="464" t="s">
        <v>5921</v>
      </c>
      <c r="CE73" s="464" t="s">
        <v>5921</v>
      </c>
      <c r="CF73" s="464" t="s">
        <v>5921</v>
      </c>
      <c r="CG73" s="464">
        <v>335.33673915636302</v>
      </c>
      <c r="CH73" s="464">
        <v>2.5254811369027417</v>
      </c>
      <c r="CI73" s="464" t="s">
        <v>5921</v>
      </c>
      <c r="CJ73" s="464">
        <v>0</v>
      </c>
      <c r="CK73" s="464" t="s">
        <v>5921</v>
      </c>
      <c r="CL73" s="464" t="s">
        <v>5921</v>
      </c>
      <c r="CM73" s="464" t="s">
        <v>1641</v>
      </c>
      <c r="CN73" s="464" t="s">
        <v>1688</v>
      </c>
      <c r="CO73" s="464">
        <v>2.4517864355242902</v>
      </c>
      <c r="CP73" s="464">
        <v>1.1849354740507534</v>
      </c>
      <c r="CQ73" s="464" t="s">
        <v>539</v>
      </c>
      <c r="CR73" s="464" t="s">
        <v>5921</v>
      </c>
      <c r="CS73" s="464" t="s">
        <v>5921</v>
      </c>
      <c r="CT73" s="464" t="s">
        <v>5921</v>
      </c>
      <c r="CU73" s="464">
        <v>1</v>
      </c>
      <c r="CV73" s="464" t="s">
        <v>5921</v>
      </c>
      <c r="CW73" s="464" t="s">
        <v>5921</v>
      </c>
    </row>
    <row r="74" spans="1:101" x14ac:dyDescent="0.2">
      <c r="A74" s="464">
        <v>536</v>
      </c>
      <c r="B74" s="464" t="s">
        <v>6734</v>
      </c>
      <c r="C74" s="464" t="s">
        <v>6702</v>
      </c>
      <c r="D74" s="464" t="s">
        <v>1690</v>
      </c>
      <c r="E74" s="464">
        <v>534521</v>
      </c>
      <c r="F74" s="464" t="s">
        <v>1691</v>
      </c>
      <c r="G74" s="464" t="s">
        <v>1691</v>
      </c>
      <c r="H74" s="464" t="s">
        <v>1692</v>
      </c>
      <c r="I74" s="464" t="s">
        <v>1693</v>
      </c>
      <c r="J74" s="464" t="s">
        <v>617</v>
      </c>
      <c r="K74" s="464" t="s">
        <v>1694</v>
      </c>
      <c r="L74" s="464" t="s">
        <v>6381</v>
      </c>
      <c r="M74" s="464" t="s">
        <v>1695</v>
      </c>
      <c r="N74" s="464" t="s">
        <v>5921</v>
      </c>
      <c r="O74" s="464" t="s">
        <v>6173</v>
      </c>
      <c r="P74" s="464" t="s">
        <v>6180</v>
      </c>
      <c r="Q74" s="464" t="s">
        <v>6176</v>
      </c>
      <c r="R74" s="464">
        <v>198.13</v>
      </c>
      <c r="S74" s="464">
        <v>198</v>
      </c>
      <c r="T74" s="464">
        <v>678.4</v>
      </c>
      <c r="U74" s="464">
        <v>571.41316171447409</v>
      </c>
      <c r="V74" s="464">
        <v>571.41316171447409</v>
      </c>
      <c r="W74" s="464">
        <v>3.5</v>
      </c>
      <c r="X74" s="464">
        <v>2.27</v>
      </c>
      <c r="Y74" s="464">
        <v>2.13</v>
      </c>
      <c r="Z74" s="464">
        <v>2.29</v>
      </c>
      <c r="AA74" s="464">
        <v>0.86</v>
      </c>
      <c r="AB74" s="464">
        <v>2.27</v>
      </c>
      <c r="AC74" s="464">
        <v>2.2000000000000002</v>
      </c>
      <c r="AD74" s="464">
        <v>2.13</v>
      </c>
      <c r="AE74" s="464">
        <v>1.1499999999999999</v>
      </c>
      <c r="AF74" s="464">
        <v>3.0500000000000002E-8</v>
      </c>
      <c r="AG74" s="464">
        <v>1.3999999999999999E-6</v>
      </c>
      <c r="AH74" s="464">
        <v>-5.9042664869658656</v>
      </c>
      <c r="AI74" s="464">
        <v>-4.2424382906344134</v>
      </c>
      <c r="AJ74" s="464">
        <v>-4.2424382906344134</v>
      </c>
      <c r="AK74" s="464">
        <v>-9.2475299999999994</v>
      </c>
      <c r="AL74" s="464">
        <v>-5.07</v>
      </c>
      <c r="AM74" s="464">
        <v>4.42</v>
      </c>
      <c r="AN74" s="464" t="s">
        <v>5921</v>
      </c>
      <c r="AO74" s="464" t="s">
        <v>6311</v>
      </c>
      <c r="AP74" s="464" t="s">
        <v>6311</v>
      </c>
      <c r="AQ74" s="464" t="s">
        <v>6</v>
      </c>
      <c r="AR74" s="464" t="s">
        <v>266</v>
      </c>
      <c r="AS74" s="464" t="s">
        <v>8453</v>
      </c>
      <c r="AT74" s="464" t="s">
        <v>8445</v>
      </c>
      <c r="AU74" s="464" t="s">
        <v>8445</v>
      </c>
      <c r="AV74" s="464" t="s">
        <v>8464</v>
      </c>
      <c r="AW74" s="464" t="s">
        <v>535</v>
      </c>
      <c r="AX74" s="464" t="s">
        <v>536</v>
      </c>
      <c r="AY74" s="464" t="s">
        <v>8456</v>
      </c>
      <c r="AZ74" s="464" t="s">
        <v>1644</v>
      </c>
      <c r="BA74" s="464" t="s">
        <v>538</v>
      </c>
      <c r="BB74" s="464" t="s">
        <v>5921</v>
      </c>
      <c r="BC74" s="464" t="s">
        <v>889</v>
      </c>
      <c r="BD74" s="464" t="s">
        <v>272</v>
      </c>
      <c r="BE74" s="464" t="s">
        <v>539</v>
      </c>
      <c r="BF74" s="464" t="s">
        <v>272</v>
      </c>
      <c r="BG74" s="464" t="s">
        <v>5921</v>
      </c>
      <c r="BH74" s="464" t="s">
        <v>5921</v>
      </c>
      <c r="BI74" s="464" t="s">
        <v>5921</v>
      </c>
      <c r="BJ74" s="464">
        <v>93.124346806769523</v>
      </c>
      <c r="BK74" s="464" t="s">
        <v>5921</v>
      </c>
      <c r="BL74" s="464" t="s">
        <v>5921</v>
      </c>
      <c r="BM74" s="464">
        <v>0.59996971838094282</v>
      </c>
      <c r="BN74" s="464">
        <v>0.43997779347935806</v>
      </c>
      <c r="BO74" s="464">
        <v>0.38998031694761343</v>
      </c>
      <c r="BP74" s="464" t="s">
        <v>5921</v>
      </c>
      <c r="BQ74" s="464" t="s">
        <v>5921</v>
      </c>
      <c r="BR74" s="464" t="s">
        <v>5921</v>
      </c>
      <c r="BS74" s="464" t="s">
        <v>5921</v>
      </c>
      <c r="BT74" s="464" t="s">
        <v>5921</v>
      </c>
      <c r="BU74" s="464" t="s">
        <v>5921</v>
      </c>
      <c r="BV74" s="464" t="s">
        <v>5921</v>
      </c>
      <c r="BW74" s="464" t="s">
        <v>5921</v>
      </c>
      <c r="BX74" s="464" t="s">
        <v>5921</v>
      </c>
      <c r="BY74" s="464" t="s">
        <v>5921</v>
      </c>
      <c r="BZ74" s="464" t="s">
        <v>5921</v>
      </c>
      <c r="CA74" s="464" t="s">
        <v>5921</v>
      </c>
      <c r="CB74" s="464" t="s">
        <v>5921</v>
      </c>
      <c r="CC74" s="464" t="s">
        <v>5921</v>
      </c>
      <c r="CD74" s="464" t="s">
        <v>5921</v>
      </c>
      <c r="CE74" s="464" t="s">
        <v>5921</v>
      </c>
      <c r="CF74" s="464" t="s">
        <v>5921</v>
      </c>
      <c r="CG74" s="464">
        <v>0.38998031694761343</v>
      </c>
      <c r="CH74" s="464">
        <v>-0.40895731209339287</v>
      </c>
      <c r="CI74" s="464" t="s">
        <v>5921</v>
      </c>
      <c r="CJ74" s="464">
        <v>238.79242812985109</v>
      </c>
      <c r="CK74" s="464" t="s">
        <v>5921</v>
      </c>
      <c r="CL74" s="464" t="s">
        <v>5921</v>
      </c>
      <c r="CM74" s="464" t="s">
        <v>1641</v>
      </c>
      <c r="CN74" s="464" t="s">
        <v>1645</v>
      </c>
      <c r="CO74" s="464">
        <v>-0.11350532493431179</v>
      </c>
      <c r="CP74" s="464">
        <v>0.5064633378004223</v>
      </c>
      <c r="CQ74" s="464" t="s">
        <v>539</v>
      </c>
      <c r="CR74" s="464" t="s">
        <v>5921</v>
      </c>
      <c r="CS74" s="464">
        <v>1465.2359026397551</v>
      </c>
      <c r="CT74" s="464" t="s">
        <v>5921</v>
      </c>
      <c r="CU74" s="464">
        <v>1</v>
      </c>
      <c r="CV74" s="464" t="s">
        <v>539</v>
      </c>
      <c r="CW74" s="464" t="s">
        <v>6351</v>
      </c>
    </row>
    <row r="75" spans="1:101" x14ac:dyDescent="0.2">
      <c r="A75" s="464">
        <v>607</v>
      </c>
      <c r="B75" s="464" t="s">
        <v>1804</v>
      </c>
      <c r="C75" s="464" t="s">
        <v>6553</v>
      </c>
      <c r="D75" s="464" t="s">
        <v>1805</v>
      </c>
      <c r="E75" s="464">
        <v>115208</v>
      </c>
      <c r="F75" s="464" t="s">
        <v>1806</v>
      </c>
      <c r="G75" s="464" t="s">
        <v>8283</v>
      </c>
      <c r="H75" s="464" t="s">
        <v>1807</v>
      </c>
      <c r="I75" s="464" t="s">
        <v>1808</v>
      </c>
      <c r="J75" s="464" t="s">
        <v>6622</v>
      </c>
      <c r="K75" s="464" t="s">
        <v>6621</v>
      </c>
      <c r="L75" s="464" t="s">
        <v>6376</v>
      </c>
      <c r="M75" s="464" t="s">
        <v>6623</v>
      </c>
      <c r="N75" s="464" t="s">
        <v>5921</v>
      </c>
      <c r="O75" s="464" t="s">
        <v>6173</v>
      </c>
      <c r="P75" s="464" t="s">
        <v>6175</v>
      </c>
      <c r="Q75" s="464" t="s">
        <v>6176</v>
      </c>
      <c r="R75" s="464">
        <v>149.4</v>
      </c>
      <c r="S75" s="464">
        <v>83300</v>
      </c>
      <c r="T75" s="464">
        <v>15140.000000000002</v>
      </c>
      <c r="U75" s="464">
        <v>27819.581821743235</v>
      </c>
      <c r="V75" s="464">
        <v>27819.581821743235</v>
      </c>
      <c r="W75" s="464">
        <v>6.68</v>
      </c>
      <c r="X75" s="464">
        <v>1.21</v>
      </c>
      <c r="Y75" s="464">
        <v>1.42</v>
      </c>
      <c r="Z75" s="464">
        <v>1.66</v>
      </c>
      <c r="AA75" s="464">
        <v>0.82110000000000005</v>
      </c>
      <c r="AB75" s="464">
        <v>1.58</v>
      </c>
      <c r="AC75" s="464">
        <v>1.38</v>
      </c>
      <c r="AD75" s="464">
        <v>1.42</v>
      </c>
      <c r="AE75" s="464">
        <v>1.42</v>
      </c>
      <c r="AF75" s="464">
        <v>1.5599999999999999E-7</v>
      </c>
      <c r="AG75" s="464" t="s">
        <v>5921</v>
      </c>
      <c r="AH75" s="464">
        <v>-5.1954417279581904</v>
      </c>
      <c r="AI75" s="464" t="s">
        <v>5921</v>
      </c>
      <c r="AJ75" s="464">
        <v>-5.1954417279581904</v>
      </c>
      <c r="AK75" s="464">
        <v>-4.8216099999999997</v>
      </c>
      <c r="AL75" s="464">
        <v>-3.6</v>
      </c>
      <c r="AM75" s="464">
        <v>12.73</v>
      </c>
      <c r="AN75" s="464" t="s">
        <v>5921</v>
      </c>
      <c r="AO75" s="464" t="s">
        <v>6311</v>
      </c>
      <c r="AP75" s="464" t="s">
        <v>6311</v>
      </c>
      <c r="AQ75" s="464" t="s">
        <v>6</v>
      </c>
      <c r="AR75" s="464" t="s">
        <v>266</v>
      </c>
      <c r="AS75" s="464" t="s">
        <v>8453</v>
      </c>
      <c r="AT75" s="464" t="s">
        <v>646</v>
      </c>
      <c r="AU75" s="464" t="s">
        <v>646</v>
      </c>
      <c r="AV75" s="464" t="s">
        <v>8446</v>
      </c>
      <c r="AW75" s="464" t="s">
        <v>647</v>
      </c>
      <c r="AX75" s="464" t="s">
        <v>536</v>
      </c>
      <c r="AY75" s="464" t="s">
        <v>8456</v>
      </c>
      <c r="AZ75" s="464" t="s">
        <v>1764</v>
      </c>
      <c r="BA75" s="464" t="s">
        <v>538</v>
      </c>
      <c r="BB75" s="464" t="s">
        <v>5921</v>
      </c>
      <c r="BC75" s="464" t="s">
        <v>1809</v>
      </c>
      <c r="BD75" s="464" t="s">
        <v>539</v>
      </c>
      <c r="BE75" s="464" t="s">
        <v>272</v>
      </c>
      <c r="BF75" s="464" t="s">
        <v>272</v>
      </c>
      <c r="BG75" s="464">
        <v>25</v>
      </c>
      <c r="BH75" s="464">
        <v>800</v>
      </c>
      <c r="BI75" s="464" t="s">
        <v>1810</v>
      </c>
      <c r="BJ75" s="464">
        <v>628.70888438731436</v>
      </c>
      <c r="BK75" s="464" t="s">
        <v>5921</v>
      </c>
      <c r="BL75" s="464" t="s">
        <v>5921</v>
      </c>
      <c r="BM75" s="464">
        <v>417.3</v>
      </c>
      <c r="BN75" s="464" t="s">
        <v>5921</v>
      </c>
      <c r="BO75" s="464" t="s">
        <v>5921</v>
      </c>
      <c r="BP75" s="464">
        <v>404.87400000000002</v>
      </c>
      <c r="BQ75" s="464" t="s">
        <v>5921</v>
      </c>
      <c r="BR75" s="464" t="s">
        <v>5921</v>
      </c>
      <c r="BS75" s="464" t="s">
        <v>5921</v>
      </c>
      <c r="BT75" s="464" t="s">
        <v>5921</v>
      </c>
      <c r="BU75" s="464" t="s">
        <v>5921</v>
      </c>
      <c r="BV75" s="464" t="s">
        <v>5921</v>
      </c>
      <c r="BW75" s="464" t="s">
        <v>5921</v>
      </c>
      <c r="BX75" s="464" t="s">
        <v>5921</v>
      </c>
      <c r="BY75" s="464" t="s">
        <v>5921</v>
      </c>
      <c r="BZ75" s="464" t="s">
        <v>5921</v>
      </c>
      <c r="CA75" s="464" t="s">
        <v>5921</v>
      </c>
      <c r="CB75" s="464" t="s">
        <v>5921</v>
      </c>
      <c r="CC75" s="464" t="s">
        <v>5921</v>
      </c>
      <c r="CD75" s="464" t="s">
        <v>5921</v>
      </c>
      <c r="CE75" s="464" t="s">
        <v>5921</v>
      </c>
      <c r="CF75" s="464" t="s">
        <v>5921</v>
      </c>
      <c r="CG75" s="464">
        <v>404.87400000000002</v>
      </c>
      <c r="CH75" s="464">
        <v>2.6073198883537856</v>
      </c>
      <c r="CI75" s="464">
        <v>0.78588610548414295</v>
      </c>
      <c r="CJ75" s="464">
        <v>1.5528507248855552</v>
      </c>
      <c r="CK75" s="464" t="s">
        <v>5921</v>
      </c>
      <c r="CL75" s="464" t="s">
        <v>5921</v>
      </c>
      <c r="CM75" s="464" t="s">
        <v>5921</v>
      </c>
      <c r="CN75" s="464" t="s">
        <v>1811</v>
      </c>
      <c r="CO75" s="464">
        <v>2.3398723828571271</v>
      </c>
      <c r="CP75" s="464">
        <v>1.8511751234782587</v>
      </c>
      <c r="CQ75" s="464" t="s">
        <v>539</v>
      </c>
      <c r="CR75" s="464" t="s">
        <v>6310</v>
      </c>
      <c r="CS75" s="464">
        <v>68.711702459884393</v>
      </c>
      <c r="CT75" s="464">
        <v>34.774477277179045</v>
      </c>
      <c r="CU75" s="464">
        <v>1</v>
      </c>
      <c r="CV75" s="464" t="s">
        <v>539</v>
      </c>
      <c r="CW75" s="464" t="s">
        <v>5921</v>
      </c>
    </row>
    <row r="76" spans="1:101" x14ac:dyDescent="0.2">
      <c r="A76" s="464">
        <v>608</v>
      </c>
      <c r="B76" s="464" t="s">
        <v>1812</v>
      </c>
      <c r="C76" s="464" t="s">
        <v>6539</v>
      </c>
      <c r="D76" s="464" t="s">
        <v>1813</v>
      </c>
      <c r="E76" s="464">
        <v>84662</v>
      </c>
      <c r="F76" s="464" t="s">
        <v>1814</v>
      </c>
      <c r="G76" s="464" t="s">
        <v>1814</v>
      </c>
      <c r="H76" s="464" t="s">
        <v>1815</v>
      </c>
      <c r="I76" s="464" t="s">
        <v>357</v>
      </c>
      <c r="J76" s="464" t="s">
        <v>5527</v>
      </c>
      <c r="K76" s="464" t="s">
        <v>6082</v>
      </c>
      <c r="L76" s="464" t="s">
        <v>6082</v>
      </c>
      <c r="M76" s="464" t="s">
        <v>6083</v>
      </c>
      <c r="N76" s="464" t="s">
        <v>5921</v>
      </c>
      <c r="O76" s="464" t="s">
        <v>6173</v>
      </c>
      <c r="P76" s="464" t="s">
        <v>6174</v>
      </c>
      <c r="Q76" s="464" t="s">
        <v>6176</v>
      </c>
      <c r="R76" s="464">
        <v>222.24</v>
      </c>
      <c r="S76" s="464">
        <v>1080</v>
      </c>
      <c r="T76" s="464">
        <v>287.2</v>
      </c>
      <c r="U76" s="464">
        <v>545.53450942184111</v>
      </c>
      <c r="V76" s="464">
        <v>545.53450942184111</v>
      </c>
      <c r="W76" s="464">
        <v>7</v>
      </c>
      <c r="X76" s="464">
        <v>2.65</v>
      </c>
      <c r="Y76" s="464">
        <v>2.42</v>
      </c>
      <c r="Z76" s="464">
        <v>2.72</v>
      </c>
      <c r="AA76" s="464">
        <v>0.77739999999999998</v>
      </c>
      <c r="AB76" s="464">
        <v>2.72</v>
      </c>
      <c r="AC76" s="464">
        <v>2.7</v>
      </c>
      <c r="AD76" s="464">
        <v>2.42</v>
      </c>
      <c r="AE76" s="464">
        <v>2.38</v>
      </c>
      <c r="AF76" s="464">
        <v>3.9400000000000001E-7</v>
      </c>
      <c r="AG76" s="464">
        <v>6.0999999999999998E-7</v>
      </c>
      <c r="AH76" s="464">
        <v>-4.7930701044870778</v>
      </c>
      <c r="AI76" s="464">
        <v>-4.6032364913018844</v>
      </c>
      <c r="AJ76" s="464">
        <v>-4.6032364913018844</v>
      </c>
      <c r="AK76" s="464">
        <v>-8.4111799999999999</v>
      </c>
      <c r="AL76" s="464">
        <v>-5.19</v>
      </c>
      <c r="AM76" s="464" t="s">
        <v>5921</v>
      </c>
      <c r="AN76" s="464" t="s">
        <v>5921</v>
      </c>
      <c r="AO76" s="464" t="s">
        <v>6311</v>
      </c>
      <c r="AP76" s="464" t="s">
        <v>6312</v>
      </c>
      <c r="AQ76" s="464" t="s">
        <v>6</v>
      </c>
      <c r="AR76" s="464" t="s">
        <v>266</v>
      </c>
      <c r="AS76" s="464" t="s">
        <v>8453</v>
      </c>
      <c r="AT76" s="464" t="s">
        <v>646</v>
      </c>
      <c r="AU76" s="464" t="s">
        <v>646</v>
      </c>
      <c r="AV76" s="464" t="s">
        <v>8446</v>
      </c>
      <c r="AW76" s="464" t="s">
        <v>647</v>
      </c>
      <c r="AX76" s="464" t="s">
        <v>536</v>
      </c>
      <c r="AY76" s="464" t="s">
        <v>8456</v>
      </c>
      <c r="AZ76" s="464" t="s">
        <v>1764</v>
      </c>
      <c r="BA76" s="464" t="s">
        <v>538</v>
      </c>
      <c r="BB76" s="464" t="s">
        <v>5921</v>
      </c>
      <c r="BC76" s="464" t="s">
        <v>1809</v>
      </c>
      <c r="BD76" s="464" t="s">
        <v>539</v>
      </c>
      <c r="BE76" s="464" t="s">
        <v>272</v>
      </c>
      <c r="BF76" s="464" t="s">
        <v>272</v>
      </c>
      <c r="BG76" s="464">
        <v>6.25</v>
      </c>
      <c r="BH76" s="464">
        <v>200</v>
      </c>
      <c r="BI76" s="464" t="s">
        <v>5921</v>
      </c>
      <c r="BJ76" s="464">
        <v>47.605510686091655</v>
      </c>
      <c r="BK76" s="464" t="s">
        <v>5921</v>
      </c>
      <c r="BL76" s="464" t="s">
        <v>5921</v>
      </c>
      <c r="BM76" s="464">
        <v>38.97</v>
      </c>
      <c r="BN76" s="464" t="s">
        <v>5921</v>
      </c>
      <c r="BO76" s="464" t="s">
        <v>5921</v>
      </c>
      <c r="BP76" s="464">
        <v>46.670400000000001</v>
      </c>
      <c r="BQ76" s="464" t="s">
        <v>5921</v>
      </c>
      <c r="BR76" s="464" t="s">
        <v>5921</v>
      </c>
      <c r="BS76" s="464" t="s">
        <v>5921</v>
      </c>
      <c r="BT76" s="464" t="s">
        <v>5921</v>
      </c>
      <c r="BU76" s="464" t="s">
        <v>5921</v>
      </c>
      <c r="BV76" s="464" t="s">
        <v>5921</v>
      </c>
      <c r="BW76" s="464" t="s">
        <v>5921</v>
      </c>
      <c r="BX76" s="464" t="s">
        <v>5921</v>
      </c>
      <c r="BY76" s="464" t="s">
        <v>5921</v>
      </c>
      <c r="BZ76" s="464" t="s">
        <v>5921</v>
      </c>
      <c r="CA76" s="464" t="s">
        <v>5921</v>
      </c>
      <c r="CB76" s="464" t="s">
        <v>5921</v>
      </c>
      <c r="CC76" s="464" t="s">
        <v>5921</v>
      </c>
      <c r="CD76" s="464" t="s">
        <v>5921</v>
      </c>
      <c r="CE76" s="464" t="s">
        <v>5921</v>
      </c>
      <c r="CF76" s="464" t="s">
        <v>5921</v>
      </c>
      <c r="CG76" s="464">
        <v>38.97</v>
      </c>
      <c r="CH76" s="464">
        <v>1.5907304057926903</v>
      </c>
      <c r="CI76" s="464">
        <v>0.23802755343045828</v>
      </c>
      <c r="CJ76" s="464">
        <v>1.2215938077005815</v>
      </c>
      <c r="CK76" s="464" t="s">
        <v>5921</v>
      </c>
      <c r="CL76" s="464" t="s">
        <v>5921</v>
      </c>
      <c r="CM76" s="464" t="s">
        <v>5921</v>
      </c>
      <c r="CN76" s="464" t="s">
        <v>1811</v>
      </c>
      <c r="CO76" s="464">
        <v>1.4806759069734372</v>
      </c>
      <c r="CP76" s="464">
        <v>1.2884112219139685</v>
      </c>
      <c r="CQ76" s="464" t="s">
        <v>539</v>
      </c>
      <c r="CR76" s="464" t="s">
        <v>5921</v>
      </c>
      <c r="CS76" s="464">
        <v>13.998832676978218</v>
      </c>
      <c r="CT76" s="464">
        <v>2.7276725471092056</v>
      </c>
      <c r="CU76" s="464">
        <v>1</v>
      </c>
      <c r="CV76" s="464" t="s">
        <v>5921</v>
      </c>
      <c r="CW76" s="464" t="s">
        <v>6351</v>
      </c>
    </row>
    <row r="77" spans="1:101" x14ac:dyDescent="0.2">
      <c r="A77" s="464">
        <v>611</v>
      </c>
      <c r="B77" s="464" t="s">
        <v>1816</v>
      </c>
      <c r="C77" s="464" t="s">
        <v>6540</v>
      </c>
      <c r="D77" s="464" t="s">
        <v>1817</v>
      </c>
      <c r="E77" s="464">
        <v>91203</v>
      </c>
      <c r="F77" s="464" t="s">
        <v>1818</v>
      </c>
      <c r="G77" s="464" t="s">
        <v>1818</v>
      </c>
      <c r="H77" s="464" t="s">
        <v>1819</v>
      </c>
      <c r="I77" s="464" t="s">
        <v>426</v>
      </c>
      <c r="J77" s="464" t="s">
        <v>6161</v>
      </c>
      <c r="K77" s="464" t="s">
        <v>866</v>
      </c>
      <c r="L77" s="464" t="s">
        <v>6082</v>
      </c>
      <c r="M77" s="464" t="s">
        <v>6086</v>
      </c>
      <c r="N77" s="464" t="s">
        <v>6183</v>
      </c>
      <c r="O77" s="464" t="s">
        <v>6173</v>
      </c>
      <c r="P77" s="464" t="s">
        <v>6185</v>
      </c>
      <c r="Q77" s="464" t="s">
        <v>6176</v>
      </c>
      <c r="R77" s="464">
        <v>128.16999999999999</v>
      </c>
      <c r="S77" s="464">
        <v>31</v>
      </c>
      <c r="T77" s="464">
        <v>142.1</v>
      </c>
      <c r="U77" s="464">
        <v>119.61520373315027</v>
      </c>
      <c r="V77" s="464">
        <v>119.61520373315027</v>
      </c>
      <c r="W77" s="464">
        <v>7</v>
      </c>
      <c r="X77" s="464">
        <v>3.17</v>
      </c>
      <c r="Y77" s="464">
        <v>3.3</v>
      </c>
      <c r="Z77" s="464">
        <v>3.34</v>
      </c>
      <c r="AA77" s="464">
        <v>0.91310000000000002</v>
      </c>
      <c r="AB77" s="464">
        <v>3.37</v>
      </c>
      <c r="AC77" s="464">
        <v>3.45</v>
      </c>
      <c r="AD77" s="464">
        <v>3.3</v>
      </c>
      <c r="AE77" s="464">
        <v>2.95</v>
      </c>
      <c r="AF77" s="464">
        <v>5.2599999999999999E-4</v>
      </c>
      <c r="AG77" s="464">
        <v>4.4000000000000002E-4</v>
      </c>
      <c r="AH77" s="464">
        <v>-1.6675805821589127</v>
      </c>
      <c r="AI77" s="464">
        <v>-1.7451136498264643</v>
      </c>
      <c r="AJ77" s="464">
        <v>-1.7451136498264643</v>
      </c>
      <c r="AK77" s="464">
        <v>-4.5244700000000009</v>
      </c>
      <c r="AL77" s="464">
        <v>-1.86</v>
      </c>
      <c r="AM77" s="464" t="s">
        <v>5921</v>
      </c>
      <c r="AN77" s="464" t="s">
        <v>5921</v>
      </c>
      <c r="AO77" s="464" t="s">
        <v>6311</v>
      </c>
      <c r="AP77" s="464" t="s">
        <v>6311</v>
      </c>
      <c r="AQ77" s="464" t="s">
        <v>6</v>
      </c>
      <c r="AR77" s="464" t="s">
        <v>266</v>
      </c>
      <c r="AS77" s="464" t="s">
        <v>8453</v>
      </c>
      <c r="AT77" s="464" t="s">
        <v>646</v>
      </c>
      <c r="AU77" s="464" t="s">
        <v>646</v>
      </c>
      <c r="AV77" s="464" t="s">
        <v>8446</v>
      </c>
      <c r="AW77" s="464" t="s">
        <v>647</v>
      </c>
      <c r="AX77" s="464" t="s">
        <v>536</v>
      </c>
      <c r="AY77" s="464" t="s">
        <v>8456</v>
      </c>
      <c r="AZ77" s="464" t="s">
        <v>1764</v>
      </c>
      <c r="BA77" s="464" t="s">
        <v>538</v>
      </c>
      <c r="BB77" s="464" t="s">
        <v>5921</v>
      </c>
      <c r="BC77" s="464" t="s">
        <v>1809</v>
      </c>
      <c r="BD77" s="464" t="s">
        <v>539</v>
      </c>
      <c r="BE77" s="464" t="s">
        <v>272</v>
      </c>
      <c r="BF77" s="464" t="s">
        <v>1820</v>
      </c>
      <c r="BG77" s="464">
        <v>1.875</v>
      </c>
      <c r="BH77" s="464">
        <v>30</v>
      </c>
      <c r="BI77" s="464" t="s">
        <v>1821</v>
      </c>
      <c r="BJ77" s="464">
        <v>9.3671911853439802</v>
      </c>
      <c r="BK77" s="464" t="s">
        <v>5921</v>
      </c>
      <c r="BL77" s="464" t="s">
        <v>5921</v>
      </c>
      <c r="BM77" s="464">
        <v>8.84</v>
      </c>
      <c r="BN77" s="464" t="s">
        <v>5921</v>
      </c>
      <c r="BO77" s="464" t="s">
        <v>5921</v>
      </c>
      <c r="BP77" s="464">
        <v>8.5873899999999992</v>
      </c>
      <c r="BQ77" s="464" t="s">
        <v>5921</v>
      </c>
      <c r="BR77" s="464" t="s">
        <v>5921</v>
      </c>
      <c r="BS77" s="464" t="s">
        <v>5921</v>
      </c>
      <c r="BT77" s="464" t="s">
        <v>5921</v>
      </c>
      <c r="BU77" s="464" t="s">
        <v>5921</v>
      </c>
      <c r="BV77" s="464" t="s">
        <v>5921</v>
      </c>
      <c r="BW77" s="464" t="s">
        <v>5921</v>
      </c>
      <c r="BX77" s="464" t="s">
        <v>5921</v>
      </c>
      <c r="BY77" s="464" t="s">
        <v>5921</v>
      </c>
      <c r="BZ77" s="464" t="s">
        <v>5921</v>
      </c>
      <c r="CA77" s="464" t="s">
        <v>5921</v>
      </c>
      <c r="CB77" s="464" t="s">
        <v>5921</v>
      </c>
      <c r="CC77" s="464" t="s">
        <v>5921</v>
      </c>
      <c r="CD77" s="464" t="s">
        <v>5921</v>
      </c>
      <c r="CE77" s="464" t="s">
        <v>5921</v>
      </c>
      <c r="CF77" s="464" t="s">
        <v>5921</v>
      </c>
      <c r="CG77" s="464">
        <v>8.5873899999999992</v>
      </c>
      <c r="CH77" s="464">
        <v>0.93386118701677967</v>
      </c>
      <c r="CI77" s="464">
        <v>0.31223970617813268</v>
      </c>
      <c r="CJ77" s="464">
        <v>1.090807705873843</v>
      </c>
      <c r="CK77" s="464" t="s">
        <v>5921</v>
      </c>
      <c r="CL77" s="464" t="s">
        <v>5921</v>
      </c>
      <c r="CM77" s="464" t="s">
        <v>5921</v>
      </c>
      <c r="CN77" s="464" t="s">
        <v>1811</v>
      </c>
      <c r="CO77" s="464">
        <v>0.81042980838148881</v>
      </c>
      <c r="CP77" s="464">
        <v>1.3287135951129667</v>
      </c>
      <c r="CQ77" s="464" t="s">
        <v>539</v>
      </c>
      <c r="CR77" s="464" t="s">
        <v>6310</v>
      </c>
      <c r="CS77" s="464">
        <v>13.929168668611799</v>
      </c>
      <c r="CT77" s="464">
        <v>3.9871734577716755</v>
      </c>
      <c r="CU77" s="464">
        <v>1</v>
      </c>
      <c r="CV77" s="464" t="s">
        <v>539</v>
      </c>
      <c r="CW77" s="464" t="s">
        <v>6351</v>
      </c>
    </row>
    <row r="78" spans="1:101" x14ac:dyDescent="0.2">
      <c r="A78" s="464">
        <v>612</v>
      </c>
      <c r="B78" s="464" t="s">
        <v>1822</v>
      </c>
      <c r="C78" s="464" t="s">
        <v>6542</v>
      </c>
      <c r="D78" s="464" t="s">
        <v>1823</v>
      </c>
      <c r="E78" s="464">
        <v>95501</v>
      </c>
      <c r="F78" s="464" t="s">
        <v>1824</v>
      </c>
      <c r="G78" s="464" t="s">
        <v>8009</v>
      </c>
      <c r="H78" s="464" t="s">
        <v>1825</v>
      </c>
      <c r="I78" s="464" t="s">
        <v>426</v>
      </c>
      <c r="J78" s="464" t="s">
        <v>5527</v>
      </c>
      <c r="K78" s="464" t="s">
        <v>6082</v>
      </c>
      <c r="L78" s="464" t="s">
        <v>6082</v>
      </c>
      <c r="M78" s="464" t="s">
        <v>6083</v>
      </c>
      <c r="N78" s="464" t="s">
        <v>6183</v>
      </c>
      <c r="O78" s="464" t="s">
        <v>6176</v>
      </c>
      <c r="P78" s="464" t="s">
        <v>6185</v>
      </c>
      <c r="Q78" s="464" t="s">
        <v>6182</v>
      </c>
      <c r="R78" s="464">
        <v>147</v>
      </c>
      <c r="S78" s="464">
        <v>80.000000000000014</v>
      </c>
      <c r="T78" s="464">
        <v>92.03</v>
      </c>
      <c r="U78" s="464">
        <v>21.742893306072631</v>
      </c>
      <c r="V78" s="464">
        <v>21.742893306072631</v>
      </c>
      <c r="W78" s="464">
        <v>7</v>
      </c>
      <c r="X78" s="464">
        <v>3.28</v>
      </c>
      <c r="Y78" s="464">
        <v>3.43</v>
      </c>
      <c r="Z78" s="464">
        <v>3.25</v>
      </c>
      <c r="AA78" s="464">
        <v>0.92110000000000003</v>
      </c>
      <c r="AB78" s="464">
        <v>3.26</v>
      </c>
      <c r="AC78" s="464">
        <v>3.28</v>
      </c>
      <c r="AD78" s="464">
        <v>3.43</v>
      </c>
      <c r="AE78" s="464">
        <v>3.16</v>
      </c>
      <c r="AF78" s="464">
        <v>2.96E-3</v>
      </c>
      <c r="AG78" s="464">
        <v>1.92E-3</v>
      </c>
      <c r="AH78" s="464">
        <v>-0.91727461525371323</v>
      </c>
      <c r="AI78" s="464">
        <v>-1.1052650976091021</v>
      </c>
      <c r="AJ78" s="464">
        <v>-1.1052650976091021</v>
      </c>
      <c r="AK78" s="464">
        <v>-3.1465000000000001</v>
      </c>
      <c r="AL78" s="464">
        <v>-0.98599999999999999</v>
      </c>
      <c r="AM78" s="464" t="s">
        <v>5921</v>
      </c>
      <c r="AN78" s="464" t="s">
        <v>5921</v>
      </c>
      <c r="AO78" s="464" t="s">
        <v>6311</v>
      </c>
      <c r="AP78" s="464" t="s">
        <v>6311</v>
      </c>
      <c r="AQ78" s="464" t="s">
        <v>6</v>
      </c>
      <c r="AR78" s="464" t="s">
        <v>266</v>
      </c>
      <c r="AS78" s="464" t="s">
        <v>8453</v>
      </c>
      <c r="AT78" s="464" t="s">
        <v>646</v>
      </c>
      <c r="AU78" s="464" t="s">
        <v>646</v>
      </c>
      <c r="AV78" s="464" t="s">
        <v>8446</v>
      </c>
      <c r="AW78" s="464" t="s">
        <v>647</v>
      </c>
      <c r="AX78" s="464" t="s">
        <v>536</v>
      </c>
      <c r="AY78" s="464" t="s">
        <v>8456</v>
      </c>
      <c r="AZ78" s="464" t="s">
        <v>1764</v>
      </c>
      <c r="BA78" s="464" t="s">
        <v>538</v>
      </c>
      <c r="BB78" s="464" t="s">
        <v>5921</v>
      </c>
      <c r="BC78" s="464" t="s">
        <v>1809</v>
      </c>
      <c r="BD78" s="464" t="s">
        <v>539</v>
      </c>
      <c r="BE78" s="464" t="s">
        <v>272</v>
      </c>
      <c r="BF78" s="464" t="s">
        <v>272</v>
      </c>
      <c r="BG78" s="464">
        <v>1.2500000000000002</v>
      </c>
      <c r="BH78" s="464">
        <v>40.000000000000007</v>
      </c>
      <c r="BI78" s="464" t="s">
        <v>1810</v>
      </c>
      <c r="BJ78" s="464">
        <v>8.5575478214277876</v>
      </c>
      <c r="BK78" s="464" t="s">
        <v>5921</v>
      </c>
      <c r="BL78" s="464" t="s">
        <v>5921</v>
      </c>
      <c r="BM78" s="464">
        <v>13.85</v>
      </c>
      <c r="BN78" s="464" t="s">
        <v>5921</v>
      </c>
      <c r="BO78" s="464" t="s">
        <v>5921</v>
      </c>
      <c r="BP78" s="464">
        <v>10.436999999999999</v>
      </c>
      <c r="BQ78" s="464" t="s">
        <v>5921</v>
      </c>
      <c r="BR78" s="464" t="s">
        <v>5921</v>
      </c>
      <c r="BS78" s="464" t="s">
        <v>5921</v>
      </c>
      <c r="BT78" s="464" t="s">
        <v>5921</v>
      </c>
      <c r="BU78" s="464" t="s">
        <v>5921</v>
      </c>
      <c r="BV78" s="464" t="s">
        <v>5921</v>
      </c>
      <c r="BW78" s="464" t="s">
        <v>5921</v>
      </c>
      <c r="BX78" s="464" t="s">
        <v>5921</v>
      </c>
      <c r="BY78" s="464" t="s">
        <v>5921</v>
      </c>
      <c r="BZ78" s="464" t="s">
        <v>5921</v>
      </c>
      <c r="CA78" s="464" t="s">
        <v>5921</v>
      </c>
      <c r="CB78" s="464" t="s">
        <v>5921</v>
      </c>
      <c r="CC78" s="464" t="s">
        <v>5921</v>
      </c>
      <c r="CD78" s="464" t="s">
        <v>5921</v>
      </c>
      <c r="CE78" s="464" t="s">
        <v>5921</v>
      </c>
      <c r="CF78" s="464" t="s">
        <v>5921</v>
      </c>
      <c r="CG78" s="464">
        <v>10.436999999999999</v>
      </c>
      <c r="CH78" s="464">
        <v>1.0185756834672515</v>
      </c>
      <c r="CI78" s="464">
        <v>0.21393869553569464</v>
      </c>
      <c r="CJ78" s="464">
        <v>0.81992409901578889</v>
      </c>
      <c r="CK78" s="464" t="s">
        <v>5921</v>
      </c>
      <c r="CL78" s="464" t="s">
        <v>5921</v>
      </c>
      <c r="CM78" s="464" t="s">
        <v>5921</v>
      </c>
      <c r="CN78" s="464" t="s">
        <v>1811</v>
      </c>
      <c r="CO78" s="464">
        <v>0.83096433084659549</v>
      </c>
      <c r="CP78" s="464">
        <v>1.5403214121248237</v>
      </c>
      <c r="CQ78" s="464" t="s">
        <v>539</v>
      </c>
      <c r="CR78" s="464" t="s">
        <v>6310</v>
      </c>
      <c r="CS78" s="464">
        <v>2.0832512509411356</v>
      </c>
      <c r="CT78" s="464">
        <v>0.5435723326518157</v>
      </c>
      <c r="CU78" s="464">
        <v>1</v>
      </c>
      <c r="CV78" s="464" t="s">
        <v>539</v>
      </c>
      <c r="CW78" s="464" t="s">
        <v>6351</v>
      </c>
    </row>
    <row r="79" spans="1:101" x14ac:dyDescent="0.2">
      <c r="A79" s="464">
        <v>613</v>
      </c>
      <c r="B79" s="464" t="s">
        <v>1826</v>
      </c>
      <c r="C79" s="464" t="s">
        <v>6595</v>
      </c>
      <c r="D79" s="464" t="s">
        <v>1827</v>
      </c>
      <c r="E79" s="464">
        <v>75092</v>
      </c>
      <c r="F79" s="464" t="s">
        <v>1828</v>
      </c>
      <c r="G79" s="464" t="s">
        <v>8279</v>
      </c>
      <c r="H79" s="464" t="s">
        <v>1829</v>
      </c>
      <c r="I79" s="464" t="s">
        <v>426</v>
      </c>
      <c r="J79" s="464" t="s">
        <v>5921</v>
      </c>
      <c r="K79" s="464" t="s">
        <v>866</v>
      </c>
      <c r="L79" s="464" t="s">
        <v>6082</v>
      </c>
      <c r="M79" s="464" t="s">
        <v>498</v>
      </c>
      <c r="N79" s="464" t="s">
        <v>6183</v>
      </c>
      <c r="O79" s="464" t="s">
        <v>6176</v>
      </c>
      <c r="P79" s="464" t="s">
        <v>6185</v>
      </c>
      <c r="Q79" s="464" t="s">
        <v>6176</v>
      </c>
      <c r="R79" s="464">
        <v>84.93</v>
      </c>
      <c r="S79" s="464">
        <v>13000.000000000002</v>
      </c>
      <c r="T79" s="464">
        <v>10950</v>
      </c>
      <c r="U79" s="464">
        <v>5741.9727100041027</v>
      </c>
      <c r="V79" s="464">
        <v>5741.9727100041027</v>
      </c>
      <c r="W79" s="464">
        <v>7</v>
      </c>
      <c r="X79" s="464">
        <v>1.34</v>
      </c>
      <c r="Y79" s="464">
        <v>1.25</v>
      </c>
      <c r="Z79" s="464">
        <v>1.36</v>
      </c>
      <c r="AA79" s="464">
        <v>0.88929999999999998</v>
      </c>
      <c r="AB79" s="464">
        <v>1.32</v>
      </c>
      <c r="AC79" s="464">
        <v>1.19</v>
      </c>
      <c r="AD79" s="464">
        <v>1.25</v>
      </c>
      <c r="AE79" s="464">
        <v>1.26</v>
      </c>
      <c r="AF79" s="464">
        <v>9.1400000000000006E-3</v>
      </c>
      <c r="AG79" s="464">
        <v>3.2499999999999999E-3</v>
      </c>
      <c r="AH79" s="464">
        <v>-0.42762013057882037</v>
      </c>
      <c r="AI79" s="464">
        <v>-0.87668296533377743</v>
      </c>
      <c r="AJ79" s="464">
        <v>-0.87668296533377743</v>
      </c>
      <c r="AK79" s="464">
        <v>-0.64007999999999998</v>
      </c>
      <c r="AL79" s="464">
        <v>-0.94899999999999995</v>
      </c>
      <c r="AM79" s="464" t="s">
        <v>5921</v>
      </c>
      <c r="AN79" s="464" t="s">
        <v>5921</v>
      </c>
      <c r="AO79" s="464" t="s">
        <v>6311</v>
      </c>
      <c r="AP79" s="464" t="s">
        <v>6312</v>
      </c>
      <c r="AQ79" s="464" t="s">
        <v>6</v>
      </c>
      <c r="AR79" s="464" t="s">
        <v>266</v>
      </c>
      <c r="AS79" s="464" t="s">
        <v>8453</v>
      </c>
      <c r="AT79" s="464" t="s">
        <v>646</v>
      </c>
      <c r="AU79" s="464" t="s">
        <v>646</v>
      </c>
      <c r="AV79" s="464" t="s">
        <v>8446</v>
      </c>
      <c r="AW79" s="464" t="s">
        <v>647</v>
      </c>
      <c r="AX79" s="464" t="s">
        <v>536</v>
      </c>
      <c r="AY79" s="464" t="s">
        <v>8456</v>
      </c>
      <c r="AZ79" s="464" t="s">
        <v>1764</v>
      </c>
      <c r="BA79" s="464" t="s">
        <v>538</v>
      </c>
      <c r="BB79" s="464" t="s">
        <v>5921</v>
      </c>
      <c r="BC79" s="464" t="s">
        <v>1809</v>
      </c>
      <c r="BD79" s="464" t="s">
        <v>539</v>
      </c>
      <c r="BE79" s="464" t="s">
        <v>272</v>
      </c>
      <c r="BF79" s="464" t="s">
        <v>272</v>
      </c>
      <c r="BG79" s="464">
        <v>156</v>
      </c>
      <c r="BH79" s="464">
        <v>500</v>
      </c>
      <c r="BI79" s="464" t="s">
        <v>1821</v>
      </c>
      <c r="BJ79" s="464">
        <v>273.1537229343171</v>
      </c>
      <c r="BK79" s="464" t="s">
        <v>5921</v>
      </c>
      <c r="BL79" s="464" t="s">
        <v>5921</v>
      </c>
      <c r="BM79" s="464">
        <v>700.29999999999984</v>
      </c>
      <c r="BN79" s="464" t="s">
        <v>5921</v>
      </c>
      <c r="BO79" s="464" t="s">
        <v>5921</v>
      </c>
      <c r="BP79" s="464">
        <v>676.89210000000003</v>
      </c>
      <c r="BQ79" s="464" t="s">
        <v>5921</v>
      </c>
      <c r="BR79" s="464" t="s">
        <v>5921</v>
      </c>
      <c r="BS79" s="464" t="s">
        <v>5921</v>
      </c>
      <c r="BT79" s="464" t="s">
        <v>5921</v>
      </c>
      <c r="BU79" s="464" t="s">
        <v>5921</v>
      </c>
      <c r="BV79" s="464" t="s">
        <v>5921</v>
      </c>
      <c r="BW79" s="464" t="s">
        <v>5921</v>
      </c>
      <c r="BX79" s="464" t="s">
        <v>5921</v>
      </c>
      <c r="BY79" s="464" t="s">
        <v>5921</v>
      </c>
      <c r="BZ79" s="464" t="s">
        <v>5921</v>
      </c>
      <c r="CA79" s="464" t="s">
        <v>5921</v>
      </c>
      <c r="CB79" s="464" t="s">
        <v>5921</v>
      </c>
      <c r="CC79" s="464" t="s">
        <v>5921</v>
      </c>
      <c r="CD79" s="464" t="s">
        <v>5921</v>
      </c>
      <c r="CE79" s="464" t="s">
        <v>5921</v>
      </c>
      <c r="CF79" s="464" t="s">
        <v>5921</v>
      </c>
      <c r="CG79" s="464">
        <v>676.89210000000003</v>
      </c>
      <c r="CH79" s="464">
        <v>2.8305194454808777</v>
      </c>
      <c r="CI79" s="464">
        <v>0.54630744586863422</v>
      </c>
      <c r="CJ79" s="464">
        <v>0.40354101183086211</v>
      </c>
      <c r="CK79" s="464" t="s">
        <v>5921</v>
      </c>
      <c r="CL79" s="464" t="s">
        <v>5921</v>
      </c>
      <c r="CM79" s="464" t="s">
        <v>5921</v>
      </c>
      <c r="CN79" s="464" t="s">
        <v>1811</v>
      </c>
      <c r="CO79" s="464">
        <v>2.3231295710264264</v>
      </c>
      <c r="CP79" s="464">
        <v>3.2165467984405844</v>
      </c>
      <c r="CQ79" s="464" t="s">
        <v>539</v>
      </c>
      <c r="CR79" s="464" t="s">
        <v>6310</v>
      </c>
      <c r="CS79" s="464">
        <v>8.4828478719194713</v>
      </c>
      <c r="CT79" s="464">
        <v>11.483945420008206</v>
      </c>
      <c r="CU79" s="464">
        <v>1</v>
      </c>
      <c r="CV79" s="464" t="s">
        <v>539</v>
      </c>
      <c r="CW79" s="464" t="s">
        <v>6351</v>
      </c>
    </row>
    <row r="80" spans="1:101" x14ac:dyDescent="0.2">
      <c r="A80" s="464">
        <v>614</v>
      </c>
      <c r="B80" s="464" t="s">
        <v>1776</v>
      </c>
      <c r="C80" s="464" t="s">
        <v>6601</v>
      </c>
      <c r="D80" s="464" t="s">
        <v>1777</v>
      </c>
      <c r="E80" s="464">
        <v>127184</v>
      </c>
      <c r="F80" s="464" t="s">
        <v>1778</v>
      </c>
      <c r="G80" s="464" t="s">
        <v>8284</v>
      </c>
      <c r="H80" s="464" t="s">
        <v>1779</v>
      </c>
      <c r="I80" s="464" t="s">
        <v>1139</v>
      </c>
      <c r="J80" s="464" t="s">
        <v>5527</v>
      </c>
      <c r="K80" s="464" t="s">
        <v>866</v>
      </c>
      <c r="L80" s="464" t="s">
        <v>6082</v>
      </c>
      <c r="M80" s="464" t="s">
        <v>498</v>
      </c>
      <c r="N80" s="464" t="s">
        <v>6183</v>
      </c>
      <c r="O80" s="464" t="s">
        <v>6176</v>
      </c>
      <c r="P80" s="464" t="s">
        <v>6185</v>
      </c>
      <c r="Q80" s="464" t="s">
        <v>6176</v>
      </c>
      <c r="R80" s="464">
        <v>165.83</v>
      </c>
      <c r="S80" s="464">
        <v>206</v>
      </c>
      <c r="T80" s="464">
        <v>80.319999999999993</v>
      </c>
      <c r="U80" s="464">
        <v>158.36642053993464</v>
      </c>
      <c r="V80" s="464">
        <v>158.36642053993464</v>
      </c>
      <c r="W80" s="464">
        <v>7</v>
      </c>
      <c r="X80" s="464">
        <v>2.97</v>
      </c>
      <c r="Y80" s="464">
        <v>3.4</v>
      </c>
      <c r="Z80" s="464">
        <v>3.43</v>
      </c>
      <c r="AA80" s="464">
        <v>0.7944</v>
      </c>
      <c r="AB80" s="464">
        <v>3.3</v>
      </c>
      <c r="AC80" s="464">
        <v>2.95</v>
      </c>
      <c r="AD80" s="464">
        <v>3.4</v>
      </c>
      <c r="AE80" s="464">
        <v>2.52</v>
      </c>
      <c r="AF80" s="464">
        <v>1.6500000000000001E-2</v>
      </c>
      <c r="AG80" s="464">
        <v>1.77E-2</v>
      </c>
      <c r="AH80" s="464">
        <v>-0.17108238209874552</v>
      </c>
      <c r="AI80" s="464">
        <v>-0.14059305995084523</v>
      </c>
      <c r="AJ80" s="464">
        <v>-0.14059305995084523</v>
      </c>
      <c r="AK80" s="464">
        <v>-2.4583099999999996</v>
      </c>
      <c r="AL80" s="464">
        <v>0.47299999999999998</v>
      </c>
      <c r="AM80" s="464" t="s">
        <v>5921</v>
      </c>
      <c r="AN80" s="464" t="s">
        <v>5921</v>
      </c>
      <c r="AO80" s="464" t="s">
        <v>6311</v>
      </c>
      <c r="AP80" s="464" t="s">
        <v>6311</v>
      </c>
      <c r="AQ80" s="464" t="s">
        <v>6</v>
      </c>
      <c r="AR80" s="464" t="s">
        <v>266</v>
      </c>
      <c r="AS80" s="464" t="s">
        <v>8453</v>
      </c>
      <c r="AT80" s="464" t="s">
        <v>646</v>
      </c>
      <c r="AU80" s="464" t="s">
        <v>646</v>
      </c>
      <c r="AV80" s="464" t="s">
        <v>8446</v>
      </c>
      <c r="AW80" s="464" t="s">
        <v>647</v>
      </c>
      <c r="AX80" s="464" t="s">
        <v>536</v>
      </c>
      <c r="AY80" s="464" t="s">
        <v>8456</v>
      </c>
      <c r="AZ80" s="464" t="s">
        <v>1764</v>
      </c>
      <c r="BA80" s="464" t="s">
        <v>538</v>
      </c>
      <c r="BB80" s="464" t="s">
        <v>5921</v>
      </c>
      <c r="BC80" s="464" t="s">
        <v>1809</v>
      </c>
      <c r="BD80" s="464" t="s">
        <v>539</v>
      </c>
      <c r="BE80" s="464" t="s">
        <v>272</v>
      </c>
      <c r="BF80" s="464" t="s">
        <v>272</v>
      </c>
      <c r="BG80" s="464">
        <v>6.25</v>
      </c>
      <c r="BH80" s="464">
        <v>200</v>
      </c>
      <c r="BI80" s="464" t="s">
        <v>1810</v>
      </c>
      <c r="BJ80" s="464">
        <v>18.327621224191194</v>
      </c>
      <c r="BK80" s="464" t="s">
        <v>5921</v>
      </c>
      <c r="BL80" s="464" t="s">
        <v>5921</v>
      </c>
      <c r="BM80" s="464">
        <v>48.752295319869397</v>
      </c>
      <c r="BN80" s="464" t="s">
        <v>5921</v>
      </c>
      <c r="BO80" s="464" t="s">
        <v>5921</v>
      </c>
      <c r="BP80" s="464">
        <v>41.457500000000003</v>
      </c>
      <c r="BQ80" s="464" t="s">
        <v>5921</v>
      </c>
      <c r="BR80" s="464" t="s">
        <v>5921</v>
      </c>
      <c r="BS80" s="464" t="s">
        <v>5921</v>
      </c>
      <c r="BT80" s="464" t="s">
        <v>5921</v>
      </c>
      <c r="BU80" s="464" t="s">
        <v>5921</v>
      </c>
      <c r="BV80" s="464" t="s">
        <v>5921</v>
      </c>
      <c r="BW80" s="464" t="s">
        <v>5921</v>
      </c>
      <c r="BX80" s="464" t="s">
        <v>5921</v>
      </c>
      <c r="BY80" s="464" t="s">
        <v>5921</v>
      </c>
      <c r="BZ80" s="464" t="s">
        <v>5921</v>
      </c>
      <c r="CA80" s="464" t="s">
        <v>5921</v>
      </c>
      <c r="CB80" s="464" t="s">
        <v>5921</v>
      </c>
      <c r="CC80" s="464" t="s">
        <v>5921</v>
      </c>
      <c r="CD80" s="464" t="s">
        <v>5921</v>
      </c>
      <c r="CE80" s="464" t="s">
        <v>5921</v>
      </c>
      <c r="CF80" s="464" t="s">
        <v>5921</v>
      </c>
      <c r="CG80" s="464">
        <v>41.457500000000003</v>
      </c>
      <c r="CH80" s="464">
        <v>1.6176031094090595</v>
      </c>
      <c r="CI80" s="464">
        <v>9.1638106120955964E-2</v>
      </c>
      <c r="CJ80" s="464">
        <v>0.44208216183299026</v>
      </c>
      <c r="CK80" s="464" t="s">
        <v>5921</v>
      </c>
      <c r="CL80" s="464" t="s">
        <v>5921</v>
      </c>
      <c r="CM80" s="464" t="s">
        <v>5921</v>
      </c>
      <c r="CN80" s="464" t="s">
        <v>1811</v>
      </c>
      <c r="CO80" s="464">
        <v>1.0108634047408867</v>
      </c>
      <c r="CP80" s="464">
        <v>4.0433348091854286</v>
      </c>
      <c r="CQ80" s="464" t="s">
        <v>539</v>
      </c>
      <c r="CR80" s="464" t="s">
        <v>6310</v>
      </c>
      <c r="CS80" s="464">
        <v>3.8199703440857413</v>
      </c>
      <c r="CT80" s="464">
        <v>0.79183210269967319</v>
      </c>
      <c r="CU80" s="464">
        <v>1</v>
      </c>
      <c r="CV80" s="464" t="s">
        <v>539</v>
      </c>
      <c r="CW80" s="464" t="s">
        <v>6351</v>
      </c>
    </row>
    <row r="81" spans="1:101" x14ac:dyDescent="0.2">
      <c r="A81" s="464">
        <v>618</v>
      </c>
      <c r="B81" s="464" t="s">
        <v>1839</v>
      </c>
      <c r="C81" s="464" t="s">
        <v>6545</v>
      </c>
      <c r="D81" s="464" t="s">
        <v>1840</v>
      </c>
      <c r="E81" s="464">
        <v>107186</v>
      </c>
      <c r="F81" s="464" t="s">
        <v>1841</v>
      </c>
      <c r="G81" s="464" t="s">
        <v>1841</v>
      </c>
      <c r="H81" s="464" t="s">
        <v>1842</v>
      </c>
      <c r="I81" s="464" t="s">
        <v>659</v>
      </c>
      <c r="J81" s="464" t="s">
        <v>5527</v>
      </c>
      <c r="K81" s="464" t="s">
        <v>6624</v>
      </c>
      <c r="L81" s="464" t="s">
        <v>6088</v>
      </c>
      <c r="M81" s="464" t="s">
        <v>5921</v>
      </c>
      <c r="N81" s="464" t="s">
        <v>6172</v>
      </c>
      <c r="O81" s="464" t="s">
        <v>6176</v>
      </c>
      <c r="P81" s="464" t="s">
        <v>6175</v>
      </c>
      <c r="Q81" s="464" t="s">
        <v>6176</v>
      </c>
      <c r="R81" s="464">
        <v>58.08</v>
      </c>
      <c r="S81" s="464">
        <v>1000000</v>
      </c>
      <c r="T81" s="464">
        <v>317700</v>
      </c>
      <c r="U81" s="464">
        <v>118584.13982640629</v>
      </c>
      <c r="V81" s="464">
        <v>118584.13982640629</v>
      </c>
      <c r="W81" s="464">
        <v>6.88</v>
      </c>
      <c r="X81" s="464">
        <v>0.21</v>
      </c>
      <c r="Y81" s="464">
        <v>0.17</v>
      </c>
      <c r="Z81" s="464">
        <v>0.08</v>
      </c>
      <c r="AA81" s="464">
        <v>0.84809999999999997</v>
      </c>
      <c r="AB81" s="464">
        <v>0.1</v>
      </c>
      <c r="AC81" s="464">
        <v>0.17</v>
      </c>
      <c r="AD81" s="464">
        <v>0.17</v>
      </c>
      <c r="AE81" s="464">
        <v>0.41</v>
      </c>
      <c r="AF81" s="464">
        <v>5.5999999999999997E-6</v>
      </c>
      <c r="AG81" s="464">
        <v>4.9899999999999997E-6</v>
      </c>
      <c r="AH81" s="464">
        <v>-3.6403782993064513</v>
      </c>
      <c r="AI81" s="464">
        <v>-3.6904657806892618</v>
      </c>
      <c r="AJ81" s="464">
        <v>-3.6904657806892618</v>
      </c>
      <c r="AK81" s="464">
        <v>-3.7748599999999999</v>
      </c>
      <c r="AL81" s="464">
        <v>-3.82</v>
      </c>
      <c r="AM81" s="464">
        <v>14.43</v>
      </c>
      <c r="AN81" s="464" t="s">
        <v>5921</v>
      </c>
      <c r="AO81" s="464" t="s">
        <v>6311</v>
      </c>
      <c r="AP81" s="464" t="s">
        <v>6311</v>
      </c>
      <c r="AQ81" s="464" t="s">
        <v>6</v>
      </c>
      <c r="AR81" s="464" t="s">
        <v>266</v>
      </c>
      <c r="AS81" s="464" t="s">
        <v>8453</v>
      </c>
      <c r="AT81" s="464" t="s">
        <v>646</v>
      </c>
      <c r="AU81" s="464" t="s">
        <v>646</v>
      </c>
      <c r="AV81" s="464" t="s">
        <v>8446</v>
      </c>
      <c r="AW81" s="464" t="s">
        <v>647</v>
      </c>
      <c r="AX81" s="464" t="s">
        <v>536</v>
      </c>
      <c r="AY81" s="464" t="s">
        <v>8456</v>
      </c>
      <c r="AZ81" s="464" t="s">
        <v>1764</v>
      </c>
      <c r="BA81" s="464" t="s">
        <v>538</v>
      </c>
      <c r="BB81" s="464" t="s">
        <v>5921</v>
      </c>
      <c r="BC81" s="464" t="s">
        <v>1809</v>
      </c>
      <c r="BD81" s="464" t="s">
        <v>539</v>
      </c>
      <c r="BE81" s="464" t="s">
        <v>272</v>
      </c>
      <c r="BF81" s="464" t="s">
        <v>272</v>
      </c>
      <c r="BG81" s="464">
        <v>1.56</v>
      </c>
      <c r="BH81" s="464">
        <v>750</v>
      </c>
      <c r="BI81" s="464" t="s">
        <v>1843</v>
      </c>
      <c r="BJ81" s="464">
        <v>1932.9721983995692</v>
      </c>
      <c r="BK81" s="464" t="s">
        <v>5921</v>
      </c>
      <c r="BL81" s="464" t="s">
        <v>5921</v>
      </c>
      <c r="BM81" s="464">
        <v>338.9</v>
      </c>
      <c r="BN81" s="464" t="s">
        <v>5921</v>
      </c>
      <c r="BO81" s="464" t="s">
        <v>5921</v>
      </c>
      <c r="BP81" s="464">
        <v>220.70399999999998</v>
      </c>
      <c r="BQ81" s="464" t="s">
        <v>5921</v>
      </c>
      <c r="BR81" s="464" t="s">
        <v>5921</v>
      </c>
      <c r="BS81" s="464" t="s">
        <v>5921</v>
      </c>
      <c r="BT81" s="464" t="s">
        <v>5921</v>
      </c>
      <c r="BU81" s="464" t="s">
        <v>5921</v>
      </c>
      <c r="BV81" s="464" t="s">
        <v>5921</v>
      </c>
      <c r="BW81" s="464" t="s">
        <v>5921</v>
      </c>
      <c r="BX81" s="464" t="s">
        <v>5921</v>
      </c>
      <c r="BY81" s="464" t="s">
        <v>5921</v>
      </c>
      <c r="BZ81" s="464" t="s">
        <v>5921</v>
      </c>
      <c r="CA81" s="464" t="s">
        <v>5921</v>
      </c>
      <c r="CB81" s="464" t="s">
        <v>5921</v>
      </c>
      <c r="CC81" s="464" t="s">
        <v>5921</v>
      </c>
      <c r="CD81" s="464" t="s">
        <v>5921</v>
      </c>
      <c r="CE81" s="464" t="s">
        <v>5921</v>
      </c>
      <c r="CF81" s="464" t="s">
        <v>5921</v>
      </c>
      <c r="CG81" s="464">
        <v>220.70399999999998</v>
      </c>
      <c r="CH81" s="464">
        <v>2.3438102043088476</v>
      </c>
      <c r="CI81" s="464">
        <v>2.5772962645327588</v>
      </c>
      <c r="CJ81" s="464">
        <v>8.7582109902836809</v>
      </c>
      <c r="CK81" s="464" t="s">
        <v>5921</v>
      </c>
      <c r="CL81" s="464" t="s">
        <v>5921</v>
      </c>
      <c r="CM81" s="464" t="s">
        <v>5921</v>
      </c>
      <c r="CN81" s="464" t="s">
        <v>1811</v>
      </c>
      <c r="CO81" s="464">
        <v>-0.16502394964466491</v>
      </c>
      <c r="CP81" s="464">
        <v>322.7261477073169</v>
      </c>
      <c r="CQ81" s="464" t="s">
        <v>539</v>
      </c>
      <c r="CR81" s="464" t="s">
        <v>6310</v>
      </c>
      <c r="CS81" s="464">
        <v>537.2994591235605</v>
      </c>
      <c r="CT81" s="464">
        <v>158.11218643520837</v>
      </c>
      <c r="CU81" s="464">
        <v>1</v>
      </c>
      <c r="CV81" s="464" t="s">
        <v>539</v>
      </c>
      <c r="CW81" s="464" t="s">
        <v>6351</v>
      </c>
    </row>
    <row r="82" spans="1:101" x14ac:dyDescent="0.2">
      <c r="A82" s="464">
        <v>620</v>
      </c>
      <c r="B82" s="464" t="s">
        <v>6761</v>
      </c>
      <c r="C82" s="464" t="s">
        <v>6762</v>
      </c>
      <c r="D82" s="464" t="s">
        <v>1848</v>
      </c>
      <c r="E82" s="464">
        <v>58275</v>
      </c>
      <c r="F82" s="464" t="s">
        <v>1849</v>
      </c>
      <c r="G82" s="464" t="s">
        <v>1849</v>
      </c>
      <c r="H82" s="464" t="s">
        <v>1850</v>
      </c>
      <c r="I82" s="464" t="s">
        <v>1771</v>
      </c>
      <c r="J82" s="464" t="s">
        <v>279</v>
      </c>
      <c r="K82" s="464" t="s">
        <v>1851</v>
      </c>
      <c r="L82" s="464" t="s">
        <v>6383</v>
      </c>
      <c r="M82" s="464" t="s">
        <v>281</v>
      </c>
      <c r="N82" s="464" t="s">
        <v>6172</v>
      </c>
      <c r="O82" s="464" t="s">
        <v>6173</v>
      </c>
      <c r="P82" s="464" t="s">
        <v>6175</v>
      </c>
      <c r="Q82" s="464" t="s">
        <v>6176</v>
      </c>
      <c r="R82" s="464">
        <v>172.18</v>
      </c>
      <c r="S82" s="464">
        <v>160</v>
      </c>
      <c r="T82" s="464">
        <v>793.8</v>
      </c>
      <c r="U82" s="464">
        <v>61.091769358236967</v>
      </c>
      <c r="V82" s="464">
        <v>61.091769358236967</v>
      </c>
      <c r="W82" s="464">
        <v>7</v>
      </c>
      <c r="X82" s="464">
        <v>2.21</v>
      </c>
      <c r="Y82" s="464">
        <v>2.2000000000000002</v>
      </c>
      <c r="Z82" s="464">
        <v>1.9</v>
      </c>
      <c r="AA82" s="464">
        <v>0.81189999999999996</v>
      </c>
      <c r="AB82" s="464">
        <v>2.02</v>
      </c>
      <c r="AC82" s="464">
        <v>2.38</v>
      </c>
      <c r="AD82" s="464">
        <v>2.2000000000000002</v>
      </c>
      <c r="AE82" s="464">
        <v>1.68</v>
      </c>
      <c r="AF82" s="464">
        <v>3.0899999999999999E-9</v>
      </c>
      <c r="AG82" s="464" t="s">
        <v>5921</v>
      </c>
      <c r="AH82" s="464">
        <v>-6.8986078468878169</v>
      </c>
      <c r="AI82" s="464" t="s">
        <v>5921</v>
      </c>
      <c r="AJ82" s="464">
        <v>-6.8986078468878169</v>
      </c>
      <c r="AK82" s="464">
        <v>-9.7995200000000011</v>
      </c>
      <c r="AL82" s="464">
        <v>-5.71</v>
      </c>
      <c r="AM82" s="464" t="s">
        <v>5921</v>
      </c>
      <c r="AN82" s="464" t="s">
        <v>5921</v>
      </c>
      <c r="AO82" s="464" t="s">
        <v>6311</v>
      </c>
      <c r="AP82" s="464" t="s">
        <v>6311</v>
      </c>
      <c r="AQ82" s="464" t="s">
        <v>6</v>
      </c>
      <c r="AR82" s="464" t="s">
        <v>266</v>
      </c>
      <c r="AS82" s="464" t="s">
        <v>8453</v>
      </c>
      <c r="AT82" s="464" t="s">
        <v>646</v>
      </c>
      <c r="AU82" s="464" t="s">
        <v>646</v>
      </c>
      <c r="AV82" s="464" t="s">
        <v>8446</v>
      </c>
      <c r="AW82" s="464" t="s">
        <v>647</v>
      </c>
      <c r="AX82" s="464" t="s">
        <v>536</v>
      </c>
      <c r="AY82" s="464" t="s">
        <v>8456</v>
      </c>
      <c r="AZ82" s="464" t="s">
        <v>1764</v>
      </c>
      <c r="BA82" s="464" t="s">
        <v>538</v>
      </c>
      <c r="BB82" s="464" t="s">
        <v>5921</v>
      </c>
      <c r="BC82" s="464" t="s">
        <v>1809</v>
      </c>
      <c r="BD82" s="464" t="s">
        <v>539</v>
      </c>
      <c r="BE82" s="464" t="s">
        <v>272</v>
      </c>
      <c r="BF82" s="464" t="s">
        <v>272</v>
      </c>
      <c r="BG82" s="464">
        <v>3.1298182240548235E-2</v>
      </c>
      <c r="BH82" s="464">
        <v>1.5999070793890473</v>
      </c>
      <c r="BI82" s="464" t="s">
        <v>1843</v>
      </c>
      <c r="BJ82" s="464">
        <v>91.618189121637243</v>
      </c>
      <c r="BK82" s="464" t="s">
        <v>5921</v>
      </c>
      <c r="BL82" s="464" t="s">
        <v>5921</v>
      </c>
      <c r="BM82" s="464">
        <v>0.11999303095417851</v>
      </c>
      <c r="BN82" s="464" t="s">
        <v>5921</v>
      </c>
      <c r="BO82" s="464" t="s">
        <v>5921</v>
      </c>
      <c r="BP82" s="464">
        <v>9.4699000000000005E-2</v>
      </c>
      <c r="BQ82" s="464" t="s">
        <v>5921</v>
      </c>
      <c r="BR82" s="464" t="s">
        <v>5921</v>
      </c>
      <c r="BS82" s="464" t="s">
        <v>5921</v>
      </c>
      <c r="BT82" s="464" t="s">
        <v>5921</v>
      </c>
      <c r="BU82" s="464" t="s">
        <v>5921</v>
      </c>
      <c r="BV82" s="464" t="s">
        <v>5921</v>
      </c>
      <c r="BW82" s="464" t="s">
        <v>5921</v>
      </c>
      <c r="BX82" s="464" t="s">
        <v>5921</v>
      </c>
      <c r="BY82" s="464" t="s">
        <v>5921</v>
      </c>
      <c r="BZ82" s="464" t="s">
        <v>5921</v>
      </c>
      <c r="CA82" s="464" t="s">
        <v>5921</v>
      </c>
      <c r="CB82" s="464" t="s">
        <v>5921</v>
      </c>
      <c r="CC82" s="464" t="s">
        <v>5921</v>
      </c>
      <c r="CD82" s="464" t="s">
        <v>5921</v>
      </c>
      <c r="CE82" s="464" t="s">
        <v>5921</v>
      </c>
      <c r="CF82" s="464" t="s">
        <v>5921</v>
      </c>
      <c r="CG82" s="464">
        <v>9.4699000000000005E-2</v>
      </c>
      <c r="CH82" s="464">
        <v>-1.0236546070239168</v>
      </c>
      <c r="CI82" s="464">
        <v>57.26469386998604</v>
      </c>
      <c r="CJ82" s="464">
        <v>967.46733462483485</v>
      </c>
      <c r="CK82" s="464" t="s">
        <v>5921</v>
      </c>
      <c r="CL82" s="464" t="s">
        <v>5921</v>
      </c>
      <c r="CM82" s="464" t="s">
        <v>5921</v>
      </c>
      <c r="CN82" s="464" t="s">
        <v>1811</v>
      </c>
      <c r="CO82" s="464">
        <v>-0.95664216802755875</v>
      </c>
      <c r="CP82" s="464">
        <v>0.85701329843456575</v>
      </c>
      <c r="CQ82" s="464" t="s">
        <v>539</v>
      </c>
      <c r="CR82" s="464" t="s">
        <v>6310</v>
      </c>
      <c r="CS82" s="464">
        <v>645.11525315195479</v>
      </c>
      <c r="CT82" s="464">
        <v>38.184573432580805</v>
      </c>
      <c r="CU82" s="464">
        <v>1</v>
      </c>
      <c r="CV82" s="464" t="s">
        <v>539</v>
      </c>
      <c r="CW82" s="464" t="s">
        <v>5921</v>
      </c>
    </row>
    <row r="83" spans="1:101" x14ac:dyDescent="0.2">
      <c r="A83" s="464">
        <v>622</v>
      </c>
      <c r="B83" s="464" t="s">
        <v>6755</v>
      </c>
      <c r="C83" s="464" t="s">
        <v>6756</v>
      </c>
      <c r="D83" s="464" t="s">
        <v>1856</v>
      </c>
      <c r="E83" s="464">
        <v>97234</v>
      </c>
      <c r="F83" s="464" t="s">
        <v>1857</v>
      </c>
      <c r="G83" s="464" t="s">
        <v>7887</v>
      </c>
      <c r="H83" s="464" t="s">
        <v>1858</v>
      </c>
      <c r="I83" s="464" t="s">
        <v>376</v>
      </c>
      <c r="J83" s="464" t="s">
        <v>6632</v>
      </c>
      <c r="K83" s="464" t="s">
        <v>497</v>
      </c>
      <c r="L83" s="464" t="s">
        <v>6381</v>
      </c>
      <c r="M83" s="464" t="s">
        <v>498</v>
      </c>
      <c r="N83" s="464" t="s">
        <v>1639</v>
      </c>
      <c r="O83" s="464" t="s">
        <v>6173</v>
      </c>
      <c r="P83" s="464" t="s">
        <v>6180</v>
      </c>
      <c r="Q83" s="464" t="s">
        <v>6176</v>
      </c>
      <c r="R83" s="464">
        <v>269.12</v>
      </c>
      <c r="S83" s="464">
        <v>30</v>
      </c>
      <c r="T83" s="464">
        <v>16.170000000000002</v>
      </c>
      <c r="U83" s="464">
        <v>18.194745033748994</v>
      </c>
      <c r="V83" s="464">
        <v>18.194745033748994</v>
      </c>
      <c r="W83" s="464">
        <v>6.62</v>
      </c>
      <c r="X83" s="464">
        <v>4.34</v>
      </c>
      <c r="Y83" s="464">
        <v>4.26</v>
      </c>
      <c r="Z83" s="464">
        <v>4.53</v>
      </c>
      <c r="AA83" s="464">
        <v>0.85260000000000002</v>
      </c>
      <c r="AB83" s="464">
        <v>4.5599999999999996</v>
      </c>
      <c r="AC83" s="464">
        <v>4.62</v>
      </c>
      <c r="AD83" s="464">
        <v>4.26</v>
      </c>
      <c r="AE83" s="464">
        <v>4.34</v>
      </c>
      <c r="AF83" s="464">
        <v>2.8500000000000002E-12</v>
      </c>
      <c r="AG83" s="464">
        <v>1.1499999999999999E-12</v>
      </c>
      <c r="AH83" s="464">
        <v>-9.9337214663041422</v>
      </c>
      <c r="AI83" s="464">
        <v>-10.327868485959041</v>
      </c>
      <c r="AJ83" s="464">
        <v>-10.327868485959041</v>
      </c>
      <c r="AK83" s="464">
        <v>-15.802580000000001</v>
      </c>
      <c r="AL83" s="464">
        <v>-9.84</v>
      </c>
      <c r="AM83" s="464">
        <v>9.15</v>
      </c>
      <c r="AN83" s="464" t="s">
        <v>5921</v>
      </c>
      <c r="AO83" s="464" t="s">
        <v>6311</v>
      </c>
      <c r="AP83" s="464" t="s">
        <v>6311</v>
      </c>
      <c r="AQ83" s="464" t="s">
        <v>6</v>
      </c>
      <c r="AR83" s="464" t="s">
        <v>266</v>
      </c>
      <c r="AS83" s="464" t="s">
        <v>8453</v>
      </c>
      <c r="AT83" s="464" t="s">
        <v>646</v>
      </c>
      <c r="AU83" s="464" t="s">
        <v>646</v>
      </c>
      <c r="AV83" s="464" t="s">
        <v>8446</v>
      </c>
      <c r="AW83" s="464" t="s">
        <v>647</v>
      </c>
      <c r="AX83" s="464" t="s">
        <v>536</v>
      </c>
      <c r="AY83" s="464" t="s">
        <v>8456</v>
      </c>
      <c r="AZ83" s="464" t="s">
        <v>1764</v>
      </c>
      <c r="BA83" s="464" t="s">
        <v>538</v>
      </c>
      <c r="BB83" s="464" t="s">
        <v>5921</v>
      </c>
      <c r="BC83" s="464" t="s">
        <v>1809</v>
      </c>
      <c r="BD83" s="464" t="s">
        <v>539</v>
      </c>
      <c r="BE83" s="464" t="s">
        <v>272</v>
      </c>
      <c r="BF83" s="464" t="s">
        <v>272</v>
      </c>
      <c r="BG83" s="464">
        <v>0.62497677702225685</v>
      </c>
      <c r="BH83" s="464">
        <v>1.999925686471222</v>
      </c>
      <c r="BI83" s="464" t="s">
        <v>1843</v>
      </c>
      <c r="BJ83" s="464">
        <v>1.7498143512725235</v>
      </c>
      <c r="BK83" s="464" t="s">
        <v>5921</v>
      </c>
      <c r="BL83" s="464" t="s">
        <v>5921</v>
      </c>
      <c r="BM83" s="464">
        <v>0.45998290788838114</v>
      </c>
      <c r="BN83" s="464" t="s">
        <v>5921</v>
      </c>
      <c r="BO83" s="464" t="s">
        <v>5921</v>
      </c>
      <c r="BP83" s="464">
        <v>0.26642880000000002</v>
      </c>
      <c r="BQ83" s="464" t="s">
        <v>5921</v>
      </c>
      <c r="BR83" s="464" t="s">
        <v>5921</v>
      </c>
      <c r="BS83" s="464" t="s">
        <v>5921</v>
      </c>
      <c r="BT83" s="464" t="s">
        <v>5921</v>
      </c>
      <c r="BU83" s="464" t="s">
        <v>5921</v>
      </c>
      <c r="BV83" s="464" t="s">
        <v>5921</v>
      </c>
      <c r="BW83" s="464" t="s">
        <v>5921</v>
      </c>
      <c r="BX83" s="464" t="s">
        <v>5921</v>
      </c>
      <c r="BY83" s="464" t="s">
        <v>5921</v>
      </c>
      <c r="BZ83" s="464" t="s">
        <v>5921</v>
      </c>
      <c r="CA83" s="464" t="s">
        <v>5921</v>
      </c>
      <c r="CB83" s="464" t="s">
        <v>5921</v>
      </c>
      <c r="CC83" s="464" t="s">
        <v>5921</v>
      </c>
      <c r="CD83" s="464" t="s">
        <v>5921</v>
      </c>
      <c r="CE83" s="464" t="s">
        <v>5921</v>
      </c>
      <c r="CF83" s="464" t="s">
        <v>5921</v>
      </c>
      <c r="CG83" s="464">
        <v>0.26642880000000002</v>
      </c>
      <c r="CH83" s="464">
        <v>-0.57441883128463189</v>
      </c>
      <c r="CI83" s="464">
        <v>0.8749396855640128</v>
      </c>
      <c r="CJ83" s="464">
        <v>6.5676621719293236</v>
      </c>
      <c r="CK83" s="464" t="s">
        <v>5921</v>
      </c>
      <c r="CL83" s="464" t="s">
        <v>5921</v>
      </c>
      <c r="CM83" s="464" t="s">
        <v>5921</v>
      </c>
      <c r="CN83" s="464" t="s">
        <v>1811</v>
      </c>
      <c r="CO83" s="464">
        <v>-0.50933991337044637</v>
      </c>
      <c r="CP83" s="464">
        <v>0.86083731073605152</v>
      </c>
      <c r="CQ83" s="464" t="s">
        <v>539</v>
      </c>
      <c r="CR83" s="464" t="s">
        <v>6310</v>
      </c>
      <c r="CS83" s="464">
        <v>68.291209635553642</v>
      </c>
      <c r="CT83" s="464">
        <v>9.0977105583621931</v>
      </c>
      <c r="CU83" s="464">
        <v>1</v>
      </c>
      <c r="CV83" s="464" t="s">
        <v>539</v>
      </c>
      <c r="CW83" s="464" t="s">
        <v>5921</v>
      </c>
    </row>
    <row r="84" spans="1:101" x14ac:dyDescent="0.2">
      <c r="A84" s="464">
        <v>623</v>
      </c>
      <c r="B84" s="464" t="s">
        <v>1859</v>
      </c>
      <c r="C84" s="464" t="s">
        <v>6561</v>
      </c>
      <c r="D84" s="464" t="s">
        <v>1860</v>
      </c>
      <c r="E84" s="464">
        <v>371404</v>
      </c>
      <c r="F84" s="464" t="s">
        <v>1861</v>
      </c>
      <c r="G84" s="464" t="s">
        <v>1861</v>
      </c>
      <c r="H84" s="464" t="s">
        <v>1862</v>
      </c>
      <c r="I84" s="464" t="s">
        <v>1573</v>
      </c>
      <c r="J84" s="464" t="s">
        <v>5527</v>
      </c>
      <c r="K84" s="464" t="s">
        <v>6616</v>
      </c>
      <c r="L84" s="464" t="s">
        <v>6082</v>
      </c>
      <c r="M84" s="464" t="s">
        <v>498</v>
      </c>
      <c r="N84" s="464" t="s">
        <v>5921</v>
      </c>
      <c r="O84" s="464" t="s">
        <v>6173</v>
      </c>
      <c r="P84" s="464" t="s">
        <v>6185</v>
      </c>
      <c r="Q84" s="464" t="s">
        <v>6176</v>
      </c>
      <c r="R84" s="464">
        <v>111.12</v>
      </c>
      <c r="S84" s="464" t="s">
        <v>5921</v>
      </c>
      <c r="T84" s="464">
        <v>11240</v>
      </c>
      <c r="U84" s="464">
        <v>2375.7034738548805</v>
      </c>
      <c r="V84" s="464">
        <v>2375.7034738548805</v>
      </c>
      <c r="W84" s="464">
        <v>8.5</v>
      </c>
      <c r="X84" s="464">
        <v>1.28</v>
      </c>
      <c r="Y84" s="464">
        <v>1.1499999999999999</v>
      </c>
      <c r="Z84" s="464">
        <v>1.18</v>
      </c>
      <c r="AA84" s="464">
        <v>0.89080000000000004</v>
      </c>
      <c r="AB84" s="464">
        <v>1.17</v>
      </c>
      <c r="AC84" s="464">
        <v>1.1499999999999999</v>
      </c>
      <c r="AD84" s="464">
        <v>1.1499999999999999</v>
      </c>
      <c r="AE84" s="464">
        <v>1.32</v>
      </c>
      <c r="AF84" s="464">
        <v>2.2199999999999999E-6</v>
      </c>
      <c r="AG84" s="464" t="s">
        <v>5921</v>
      </c>
      <c r="AH84" s="464">
        <v>-4.0422133518620136</v>
      </c>
      <c r="AI84" s="464" t="s">
        <v>5921</v>
      </c>
      <c r="AJ84" s="464">
        <v>-4.0422133518620136</v>
      </c>
      <c r="AK84" s="464">
        <v>-6.2953399999999995</v>
      </c>
      <c r="AL84" s="464">
        <v>-3.81</v>
      </c>
      <c r="AM84" s="464" t="s">
        <v>5921</v>
      </c>
      <c r="AN84" s="464">
        <v>4.66</v>
      </c>
      <c r="AO84" s="464" t="s">
        <v>6311</v>
      </c>
      <c r="AP84" s="464" t="s">
        <v>6311</v>
      </c>
      <c r="AQ84" s="464" t="s">
        <v>6</v>
      </c>
      <c r="AR84" s="464" t="s">
        <v>266</v>
      </c>
      <c r="AS84" s="464" t="s">
        <v>8453</v>
      </c>
      <c r="AT84" s="464" t="s">
        <v>646</v>
      </c>
      <c r="AU84" s="464" t="s">
        <v>646</v>
      </c>
      <c r="AV84" s="464" t="s">
        <v>8446</v>
      </c>
      <c r="AW84" s="464" t="s">
        <v>647</v>
      </c>
      <c r="AX84" s="464" t="s">
        <v>536</v>
      </c>
      <c r="AY84" s="464" t="s">
        <v>8456</v>
      </c>
      <c r="AZ84" s="464" t="s">
        <v>1764</v>
      </c>
      <c r="BA84" s="464" t="s">
        <v>538</v>
      </c>
      <c r="BB84" s="464" t="s">
        <v>5921</v>
      </c>
      <c r="BC84" s="464" t="s">
        <v>1809</v>
      </c>
      <c r="BD84" s="464" t="s">
        <v>539</v>
      </c>
      <c r="BE84" s="464" t="s">
        <v>272</v>
      </c>
      <c r="BF84" s="464" t="s">
        <v>272</v>
      </c>
      <c r="BG84" s="464">
        <v>7.8</v>
      </c>
      <c r="BH84" s="464">
        <v>250</v>
      </c>
      <c r="BI84" s="464" t="s">
        <v>1843</v>
      </c>
      <c r="BJ84" s="464">
        <v>404.59846682124487</v>
      </c>
      <c r="BK84" s="464" t="s">
        <v>5921</v>
      </c>
      <c r="BL84" s="464" t="s">
        <v>5921</v>
      </c>
      <c r="BM84" s="464">
        <v>62.73</v>
      </c>
      <c r="BN84" s="464" t="s">
        <v>5921</v>
      </c>
      <c r="BO84" s="464" t="s">
        <v>5921</v>
      </c>
      <c r="BP84" s="464">
        <v>196.6824</v>
      </c>
      <c r="BQ84" s="464" t="s">
        <v>5921</v>
      </c>
      <c r="BR84" s="464" t="s">
        <v>5921</v>
      </c>
      <c r="BS84" s="464" t="s">
        <v>5921</v>
      </c>
      <c r="BT84" s="464" t="s">
        <v>5921</v>
      </c>
      <c r="BU84" s="464" t="s">
        <v>5921</v>
      </c>
      <c r="BV84" s="464" t="s">
        <v>5921</v>
      </c>
      <c r="BW84" s="464" t="s">
        <v>5921</v>
      </c>
      <c r="BX84" s="464" t="s">
        <v>5921</v>
      </c>
      <c r="BY84" s="464" t="s">
        <v>5921</v>
      </c>
      <c r="BZ84" s="464" t="s">
        <v>5921</v>
      </c>
      <c r="CA84" s="464" t="s">
        <v>5921</v>
      </c>
      <c r="CB84" s="464" t="s">
        <v>5921</v>
      </c>
      <c r="CC84" s="464" t="s">
        <v>5921</v>
      </c>
      <c r="CD84" s="464" t="s">
        <v>5921</v>
      </c>
      <c r="CE84" s="464" t="s">
        <v>5921</v>
      </c>
      <c r="CF84" s="464" t="s">
        <v>5921</v>
      </c>
      <c r="CG84" s="464">
        <v>62.73</v>
      </c>
      <c r="CH84" s="464">
        <v>1.7974752875373343</v>
      </c>
      <c r="CI84" s="464">
        <v>1.6183938672849796</v>
      </c>
      <c r="CJ84" s="464">
        <v>6.4498400577274815</v>
      </c>
      <c r="CK84" s="464" t="s">
        <v>5921</v>
      </c>
      <c r="CL84" s="464" t="s">
        <v>5921</v>
      </c>
      <c r="CM84" s="464" t="s">
        <v>5921</v>
      </c>
      <c r="CN84" s="464" t="s">
        <v>1811</v>
      </c>
      <c r="CO84" s="464">
        <v>1.271641274119043</v>
      </c>
      <c r="CP84" s="464">
        <v>3.3560932043988378</v>
      </c>
      <c r="CQ84" s="464" t="s">
        <v>539</v>
      </c>
      <c r="CR84" s="464" t="s">
        <v>6310</v>
      </c>
      <c r="CS84" s="464">
        <v>37.871887037380532</v>
      </c>
      <c r="CT84" s="464">
        <v>9.5028138954195214</v>
      </c>
      <c r="CU84" s="464">
        <v>1</v>
      </c>
      <c r="CV84" s="464" t="s">
        <v>539</v>
      </c>
      <c r="CW84" s="464" t="s">
        <v>6351</v>
      </c>
    </row>
    <row r="85" spans="1:101" x14ac:dyDescent="0.2">
      <c r="A85" s="464">
        <v>625</v>
      </c>
      <c r="B85" s="464" t="s">
        <v>620</v>
      </c>
      <c r="C85" s="464" t="s">
        <v>6472</v>
      </c>
      <c r="D85" s="464" t="s">
        <v>621</v>
      </c>
      <c r="E85" s="464">
        <v>121755</v>
      </c>
      <c r="F85" s="464" t="s">
        <v>622</v>
      </c>
      <c r="G85" s="464" t="s">
        <v>622</v>
      </c>
      <c r="H85" s="464" t="s">
        <v>623</v>
      </c>
      <c r="I85" s="464" t="s">
        <v>624</v>
      </c>
      <c r="J85" s="464" t="s">
        <v>316</v>
      </c>
      <c r="K85" s="464" t="s">
        <v>1867</v>
      </c>
      <c r="L85" s="464" t="s">
        <v>6376</v>
      </c>
      <c r="M85" s="464" t="s">
        <v>281</v>
      </c>
      <c r="N85" s="464" t="s">
        <v>8470</v>
      </c>
      <c r="O85" s="464" t="s">
        <v>6173</v>
      </c>
      <c r="P85" s="464" t="s">
        <v>8448</v>
      </c>
      <c r="Q85" s="464" t="s">
        <v>6173</v>
      </c>
      <c r="R85" s="464">
        <v>330.36</v>
      </c>
      <c r="S85" s="464">
        <v>143</v>
      </c>
      <c r="T85" s="464">
        <v>78.45</v>
      </c>
      <c r="U85" s="464">
        <v>185.77508018988354</v>
      </c>
      <c r="V85" s="464">
        <v>185.77508018988354</v>
      </c>
      <c r="W85" s="464">
        <v>7</v>
      </c>
      <c r="X85" s="464">
        <v>2.29</v>
      </c>
      <c r="Y85" s="464">
        <v>2.36</v>
      </c>
      <c r="Z85" s="464">
        <v>2.69</v>
      </c>
      <c r="AA85" s="464">
        <v>0.8125</v>
      </c>
      <c r="AB85" s="464">
        <v>2.76</v>
      </c>
      <c r="AC85" s="464">
        <v>2.93</v>
      </c>
      <c r="AD85" s="464">
        <v>2.36</v>
      </c>
      <c r="AE85" s="464">
        <v>2.3199999999999998</v>
      </c>
      <c r="AF85" s="464">
        <v>8.39E-10</v>
      </c>
      <c r="AG85" s="464">
        <v>4.8900000000000003E-9</v>
      </c>
      <c r="AH85" s="464">
        <v>-7.4648043654839515</v>
      </c>
      <c r="AI85" s="464">
        <v>-6.6992574671890317</v>
      </c>
      <c r="AJ85" s="464">
        <v>-6.6992574671890317</v>
      </c>
      <c r="AK85" s="464">
        <v>-12.449109999999999</v>
      </c>
      <c r="AL85" s="464">
        <v>-5.94</v>
      </c>
      <c r="AM85" s="464" t="s">
        <v>5921</v>
      </c>
      <c r="AN85" s="464" t="s">
        <v>5921</v>
      </c>
      <c r="AO85" s="464" t="s">
        <v>6312</v>
      </c>
      <c r="AP85" s="464" t="s">
        <v>6312</v>
      </c>
      <c r="AQ85" s="464" t="s">
        <v>6</v>
      </c>
      <c r="AR85" s="464" t="s">
        <v>266</v>
      </c>
      <c r="AS85" s="464" t="s">
        <v>8453</v>
      </c>
      <c r="AT85" s="464" t="s">
        <v>646</v>
      </c>
      <c r="AU85" s="464" t="s">
        <v>646</v>
      </c>
      <c r="AV85" s="464" t="s">
        <v>8446</v>
      </c>
      <c r="AW85" s="464" t="s">
        <v>647</v>
      </c>
      <c r="AX85" s="464" t="s">
        <v>536</v>
      </c>
      <c r="AY85" s="464" t="s">
        <v>8456</v>
      </c>
      <c r="AZ85" s="464" t="s">
        <v>1764</v>
      </c>
      <c r="BA85" s="464" t="s">
        <v>538</v>
      </c>
      <c r="BB85" s="464" t="s">
        <v>5921</v>
      </c>
      <c r="BC85" s="464" t="s">
        <v>1809</v>
      </c>
      <c r="BD85" s="464" t="s">
        <v>539</v>
      </c>
      <c r="BE85" s="464" t="s">
        <v>272</v>
      </c>
      <c r="BF85" s="464" t="s">
        <v>272</v>
      </c>
      <c r="BG85" s="464">
        <v>0.49999999999999994</v>
      </c>
      <c r="BH85" s="464">
        <v>50</v>
      </c>
      <c r="BI85" s="464" t="s">
        <v>5921</v>
      </c>
      <c r="BJ85" s="464">
        <v>148.98359766722712</v>
      </c>
      <c r="BK85" s="464" t="s">
        <v>5921</v>
      </c>
      <c r="BL85" s="464" t="s">
        <v>5921</v>
      </c>
      <c r="BM85" s="464">
        <v>9.36</v>
      </c>
      <c r="BN85" s="464" t="s">
        <v>5921</v>
      </c>
      <c r="BO85" s="464" t="s">
        <v>5921</v>
      </c>
      <c r="BP85" s="464">
        <v>3.3036000000000003</v>
      </c>
      <c r="BQ85" s="464" t="s">
        <v>5921</v>
      </c>
      <c r="BR85" s="464" t="s">
        <v>5921</v>
      </c>
      <c r="BS85" s="464" t="s">
        <v>5921</v>
      </c>
      <c r="BT85" s="464" t="s">
        <v>5921</v>
      </c>
      <c r="BU85" s="464" t="s">
        <v>5921</v>
      </c>
      <c r="BV85" s="464" t="s">
        <v>5921</v>
      </c>
      <c r="BW85" s="464" t="s">
        <v>5921</v>
      </c>
      <c r="BX85" s="464" t="s">
        <v>5921</v>
      </c>
      <c r="BY85" s="464" t="s">
        <v>5921</v>
      </c>
      <c r="BZ85" s="464" t="s">
        <v>5921</v>
      </c>
      <c r="CA85" s="464" t="s">
        <v>5921</v>
      </c>
      <c r="CB85" s="464" t="s">
        <v>5921</v>
      </c>
      <c r="CC85" s="464" t="s">
        <v>5921</v>
      </c>
      <c r="CD85" s="464" t="s">
        <v>5921</v>
      </c>
      <c r="CE85" s="464" t="s">
        <v>5921</v>
      </c>
      <c r="CF85" s="464" t="s">
        <v>5921</v>
      </c>
      <c r="CG85" s="464">
        <v>3.3036000000000003</v>
      </c>
      <c r="CH85" s="464">
        <v>0.51898745744095509</v>
      </c>
      <c r="CI85" s="464">
        <v>2.9796719533445422</v>
      </c>
      <c r="CJ85" s="464">
        <v>45.09734764112698</v>
      </c>
      <c r="CK85" s="464">
        <v>-1.0170155211093046</v>
      </c>
      <c r="CL85" s="464">
        <v>519.9786659309641</v>
      </c>
      <c r="CM85" s="464" t="s">
        <v>5921</v>
      </c>
      <c r="CN85" s="464" t="s">
        <v>1811</v>
      </c>
      <c r="CO85" s="464">
        <v>-0.606977785182086</v>
      </c>
      <c r="CP85" s="464">
        <v>13.364885506576405</v>
      </c>
      <c r="CQ85" s="464" t="s">
        <v>539</v>
      </c>
      <c r="CR85" s="464" t="s">
        <v>5921</v>
      </c>
      <c r="CS85" s="464">
        <v>56.234132519034844</v>
      </c>
      <c r="CT85" s="464">
        <v>3.7155016037976707</v>
      </c>
      <c r="CU85" s="464">
        <v>1</v>
      </c>
      <c r="CV85" s="464" t="s">
        <v>5921</v>
      </c>
      <c r="CW85" s="464" t="s">
        <v>5921</v>
      </c>
    </row>
    <row r="86" spans="1:101" x14ac:dyDescent="0.2">
      <c r="A86" s="464">
        <v>626</v>
      </c>
      <c r="B86" s="464" t="s">
        <v>1868</v>
      </c>
      <c r="C86" s="464" t="s">
        <v>6559</v>
      </c>
      <c r="D86" s="464" t="s">
        <v>1869</v>
      </c>
      <c r="E86" s="464">
        <v>298044</v>
      </c>
      <c r="F86" s="464" t="s">
        <v>1870</v>
      </c>
      <c r="G86" s="464" t="s">
        <v>1870</v>
      </c>
      <c r="H86" s="464" t="s">
        <v>1871</v>
      </c>
      <c r="I86" s="464" t="s">
        <v>1872</v>
      </c>
      <c r="J86" s="464" t="s">
        <v>617</v>
      </c>
      <c r="K86" s="464" t="s">
        <v>618</v>
      </c>
      <c r="L86" s="464" t="s">
        <v>6376</v>
      </c>
      <c r="M86" s="464" t="s">
        <v>1873</v>
      </c>
      <c r="N86" s="464" t="s">
        <v>6178</v>
      </c>
      <c r="O86" s="464" t="s">
        <v>6173</v>
      </c>
      <c r="P86" s="464" t="s">
        <v>6177</v>
      </c>
      <c r="Q86" s="464" t="s">
        <v>6176</v>
      </c>
      <c r="R86" s="464">
        <v>274.41000000000003</v>
      </c>
      <c r="S86" s="464">
        <v>16.3</v>
      </c>
      <c r="T86" s="464">
        <v>6.3639999999999999</v>
      </c>
      <c r="U86" s="464">
        <v>119.78430952502386</v>
      </c>
      <c r="V86" s="464">
        <v>119.78430952502386</v>
      </c>
      <c r="W86" s="464">
        <v>7</v>
      </c>
      <c r="X86" s="464">
        <v>4.07</v>
      </c>
      <c r="Y86" s="464">
        <v>4.0199999999999996</v>
      </c>
      <c r="Z86" s="464">
        <v>3.91</v>
      </c>
      <c r="AA86" s="464">
        <v>0.8831</v>
      </c>
      <c r="AB86" s="464">
        <v>3.77</v>
      </c>
      <c r="AC86" s="464">
        <v>3.31</v>
      </c>
      <c r="AD86" s="464">
        <v>4.0199999999999996</v>
      </c>
      <c r="AE86" s="464">
        <v>3.66</v>
      </c>
      <c r="AF86" s="464">
        <v>2.0999999999999998E-6</v>
      </c>
      <c r="AG86" s="464">
        <v>2.1600000000000001E-6</v>
      </c>
      <c r="AH86" s="464">
        <v>-4.0663470315787329</v>
      </c>
      <c r="AI86" s="464">
        <v>-4.0541125751617209</v>
      </c>
      <c r="AJ86" s="464">
        <v>-4.0541125751617209</v>
      </c>
      <c r="AK86" s="464">
        <v>-8.0103600000000004</v>
      </c>
      <c r="AL86" s="464">
        <v>-4.3</v>
      </c>
      <c r="AM86" s="464" t="s">
        <v>5921</v>
      </c>
      <c r="AN86" s="464" t="s">
        <v>5921</v>
      </c>
      <c r="AO86" s="464" t="s">
        <v>6312</v>
      </c>
      <c r="AP86" s="464" t="s">
        <v>6312</v>
      </c>
      <c r="AQ86" s="464" t="s">
        <v>6</v>
      </c>
      <c r="AR86" s="464" t="s">
        <v>266</v>
      </c>
      <c r="AS86" s="464" t="s">
        <v>8453</v>
      </c>
      <c r="AT86" s="464" t="s">
        <v>646</v>
      </c>
      <c r="AU86" s="464" t="s">
        <v>646</v>
      </c>
      <c r="AV86" s="464" t="s">
        <v>8446</v>
      </c>
      <c r="AW86" s="464" t="s">
        <v>647</v>
      </c>
      <c r="AX86" s="464" t="s">
        <v>536</v>
      </c>
      <c r="AY86" s="464" t="s">
        <v>8456</v>
      </c>
      <c r="AZ86" s="464" t="s">
        <v>1764</v>
      </c>
      <c r="BA86" s="464" t="s">
        <v>538</v>
      </c>
      <c r="BB86" s="464" t="s">
        <v>5921</v>
      </c>
      <c r="BC86" s="464" t="s">
        <v>1809</v>
      </c>
      <c r="BD86" s="464" t="s">
        <v>539</v>
      </c>
      <c r="BE86" s="464" t="s">
        <v>272</v>
      </c>
      <c r="BF86" s="464" t="s">
        <v>272</v>
      </c>
      <c r="BG86" s="464">
        <v>0.5</v>
      </c>
      <c r="BH86" s="464">
        <v>16</v>
      </c>
      <c r="BI86" s="464" t="s">
        <v>1810</v>
      </c>
      <c r="BJ86" s="464">
        <v>3.1184079848180222</v>
      </c>
      <c r="BK86" s="464" t="s">
        <v>5921</v>
      </c>
      <c r="BL86" s="464" t="s">
        <v>5921</v>
      </c>
      <c r="BM86" s="464">
        <v>10.82</v>
      </c>
      <c r="BN86" s="464" t="s">
        <v>5921</v>
      </c>
      <c r="BO86" s="464" t="s">
        <v>5921</v>
      </c>
      <c r="BP86" s="464">
        <v>8.2323000000000004</v>
      </c>
      <c r="BQ86" s="464" t="s">
        <v>5921</v>
      </c>
      <c r="BR86" s="464" t="s">
        <v>5921</v>
      </c>
      <c r="BS86" s="464" t="s">
        <v>5921</v>
      </c>
      <c r="BT86" s="464" t="s">
        <v>5921</v>
      </c>
      <c r="BU86" s="464" t="s">
        <v>5921</v>
      </c>
      <c r="BV86" s="464" t="s">
        <v>5921</v>
      </c>
      <c r="BW86" s="464" t="s">
        <v>5921</v>
      </c>
      <c r="BX86" s="464" t="s">
        <v>5921</v>
      </c>
      <c r="BY86" s="464" t="s">
        <v>5921</v>
      </c>
      <c r="BZ86" s="464" t="s">
        <v>5921</v>
      </c>
      <c r="CA86" s="464" t="s">
        <v>5921</v>
      </c>
      <c r="CB86" s="464" t="s">
        <v>5921</v>
      </c>
      <c r="CC86" s="464" t="s">
        <v>5921</v>
      </c>
      <c r="CD86" s="464" t="s">
        <v>5921</v>
      </c>
      <c r="CE86" s="464" t="s">
        <v>5921</v>
      </c>
      <c r="CF86" s="464" t="s">
        <v>5921</v>
      </c>
      <c r="CG86" s="464">
        <v>8.2323000000000004</v>
      </c>
      <c r="CH86" s="464">
        <v>0.91552118852436803</v>
      </c>
      <c r="CI86" s="464">
        <v>0.19490049905112639</v>
      </c>
      <c r="CJ86" s="464">
        <v>0.3788015481479079</v>
      </c>
      <c r="CK86" s="464" t="s">
        <v>5921</v>
      </c>
      <c r="CL86" s="464" t="s">
        <v>5921</v>
      </c>
      <c r="CM86" s="464" t="s">
        <v>5921</v>
      </c>
      <c r="CN86" s="464" t="s">
        <v>1811</v>
      </c>
      <c r="CO86" s="464">
        <v>5.301836404376567E-2</v>
      </c>
      <c r="CP86" s="464">
        <v>7.2862291317484633</v>
      </c>
      <c r="CQ86" s="464" t="s">
        <v>539</v>
      </c>
      <c r="CR86" s="464" t="s">
        <v>6310</v>
      </c>
      <c r="CS86" s="464">
        <v>14.550527741338854</v>
      </c>
      <c r="CT86" s="464">
        <v>7.4865193453139911</v>
      </c>
      <c r="CU86" s="464">
        <v>1</v>
      </c>
      <c r="CV86" s="464" t="s">
        <v>539</v>
      </c>
      <c r="CW86" s="464" t="s">
        <v>5921</v>
      </c>
    </row>
    <row r="87" spans="1:101" x14ac:dyDescent="0.2">
      <c r="A87" s="464">
        <v>627</v>
      </c>
      <c r="B87" s="464" t="s">
        <v>1874</v>
      </c>
      <c r="C87" s="464" t="s">
        <v>6770</v>
      </c>
      <c r="D87" s="464" t="s">
        <v>1875</v>
      </c>
      <c r="E87" s="464">
        <v>83794</v>
      </c>
      <c r="F87" s="464" t="s">
        <v>1876</v>
      </c>
      <c r="G87" s="464" t="s">
        <v>1876</v>
      </c>
      <c r="H87" s="464" t="s">
        <v>1877</v>
      </c>
      <c r="I87" s="464" t="s">
        <v>1878</v>
      </c>
      <c r="J87" s="464" t="s">
        <v>617</v>
      </c>
      <c r="K87" s="464" t="s">
        <v>6099</v>
      </c>
      <c r="L87" s="464" t="s">
        <v>6381</v>
      </c>
      <c r="M87" s="464" t="s">
        <v>6100</v>
      </c>
      <c r="N87" s="464" t="s">
        <v>5921</v>
      </c>
      <c r="O87" s="464" t="s">
        <v>6176</v>
      </c>
      <c r="P87" s="464" t="s">
        <v>6185</v>
      </c>
      <c r="Q87" s="464" t="s">
        <v>6176</v>
      </c>
      <c r="R87" s="464">
        <v>394.42</v>
      </c>
      <c r="S87" s="464">
        <v>0.19999999999999998</v>
      </c>
      <c r="T87" s="464">
        <v>1.0449999999999999</v>
      </c>
      <c r="U87" s="464">
        <v>0.27287197154984649</v>
      </c>
      <c r="V87" s="464">
        <v>0.27287197154984649</v>
      </c>
      <c r="W87" s="464">
        <v>7</v>
      </c>
      <c r="X87" s="464">
        <v>4.3099999999999996</v>
      </c>
      <c r="Y87" s="464">
        <v>4.0999999999999996</v>
      </c>
      <c r="Z87" s="464">
        <v>3.96</v>
      </c>
      <c r="AA87" s="464">
        <v>0.64770000000000005</v>
      </c>
      <c r="AB87" s="464">
        <v>4.24</v>
      </c>
      <c r="AC87" s="464">
        <v>4.6500000000000004</v>
      </c>
      <c r="AD87" s="464">
        <v>4.0999999999999996</v>
      </c>
      <c r="AE87" s="464">
        <v>3.51</v>
      </c>
      <c r="AF87" s="464">
        <v>1.12E-13</v>
      </c>
      <c r="AG87" s="464" t="s">
        <v>5921</v>
      </c>
      <c r="AH87" s="464">
        <v>-11.33934830364247</v>
      </c>
      <c r="AI87" s="464" t="s">
        <v>5921</v>
      </c>
      <c r="AJ87" s="464">
        <v>-11.33934830364247</v>
      </c>
      <c r="AK87" s="464">
        <v>-18.712900000000001</v>
      </c>
      <c r="AL87" s="464">
        <v>-13</v>
      </c>
      <c r="AM87" s="464" t="s">
        <v>5921</v>
      </c>
      <c r="AN87" s="464" t="s">
        <v>5921</v>
      </c>
      <c r="AO87" s="464" t="s">
        <v>6311</v>
      </c>
      <c r="AP87" s="464" t="s">
        <v>6311</v>
      </c>
      <c r="AQ87" s="464" t="s">
        <v>6</v>
      </c>
      <c r="AR87" s="464" t="s">
        <v>266</v>
      </c>
      <c r="AS87" s="464" t="s">
        <v>8453</v>
      </c>
      <c r="AT87" s="464" t="s">
        <v>646</v>
      </c>
      <c r="AU87" s="464" t="s">
        <v>646</v>
      </c>
      <c r="AV87" s="464" t="s">
        <v>8446</v>
      </c>
      <c r="AW87" s="464" t="s">
        <v>647</v>
      </c>
      <c r="AX87" s="464" t="s">
        <v>536</v>
      </c>
      <c r="AY87" s="464" t="s">
        <v>8456</v>
      </c>
      <c r="AZ87" s="464" t="s">
        <v>1764</v>
      </c>
      <c r="BA87" s="464" t="s">
        <v>538</v>
      </c>
      <c r="BB87" s="464" t="s">
        <v>5921</v>
      </c>
      <c r="BC87" s="464" t="s">
        <v>1809</v>
      </c>
      <c r="BD87" s="464" t="s">
        <v>539</v>
      </c>
      <c r="BE87" s="464" t="s">
        <v>272</v>
      </c>
      <c r="BF87" s="464" t="s">
        <v>272</v>
      </c>
      <c r="BG87" s="464">
        <v>1.5699601957254773E-2</v>
      </c>
      <c r="BH87" s="464">
        <v>0.49998732347945141</v>
      </c>
      <c r="BI87" s="464" t="s">
        <v>1810</v>
      </c>
      <c r="BJ87" s="464">
        <v>2.7286506021710006</v>
      </c>
      <c r="BK87" s="464" t="s">
        <v>5921</v>
      </c>
      <c r="BL87" s="464" t="s">
        <v>5921</v>
      </c>
      <c r="BM87" s="464">
        <v>7.5998073168876606E-2</v>
      </c>
      <c r="BN87" s="464" t="s">
        <v>5921</v>
      </c>
      <c r="BO87" s="464" t="s">
        <v>5921</v>
      </c>
      <c r="BP87" s="464">
        <v>6.7051400000000011E-2</v>
      </c>
      <c r="BQ87" s="464" t="s">
        <v>5921</v>
      </c>
      <c r="BR87" s="464" t="s">
        <v>5921</v>
      </c>
      <c r="BS87" s="464" t="s">
        <v>5921</v>
      </c>
      <c r="BT87" s="464" t="s">
        <v>5921</v>
      </c>
      <c r="BU87" s="464" t="s">
        <v>5921</v>
      </c>
      <c r="BV87" s="464" t="s">
        <v>5921</v>
      </c>
      <c r="BW87" s="464" t="s">
        <v>5921</v>
      </c>
      <c r="BX87" s="464" t="s">
        <v>5921</v>
      </c>
      <c r="BY87" s="464" t="s">
        <v>5921</v>
      </c>
      <c r="BZ87" s="464" t="s">
        <v>5921</v>
      </c>
      <c r="CA87" s="464" t="s">
        <v>5921</v>
      </c>
      <c r="CB87" s="464" t="s">
        <v>5921</v>
      </c>
      <c r="CC87" s="464" t="s">
        <v>5921</v>
      </c>
      <c r="CD87" s="464" t="s">
        <v>5921</v>
      </c>
      <c r="CE87" s="464" t="s">
        <v>5921</v>
      </c>
      <c r="CF87" s="464" t="s">
        <v>5921</v>
      </c>
      <c r="CG87" s="464">
        <v>6.7051400000000011E-2</v>
      </c>
      <c r="CH87" s="464">
        <v>-1.1735921498641775</v>
      </c>
      <c r="CI87" s="464">
        <v>5.4574395670316296</v>
      </c>
      <c r="CJ87" s="464">
        <v>40.69490871437435</v>
      </c>
      <c r="CK87" s="464">
        <v>-2.0084096709868953</v>
      </c>
      <c r="CL87" s="464">
        <v>50.976341611172067</v>
      </c>
      <c r="CM87" s="464" t="s">
        <v>5921</v>
      </c>
      <c r="CN87" s="464" t="s">
        <v>1811</v>
      </c>
      <c r="CO87" s="464">
        <v>-1.6099760319324279</v>
      </c>
      <c r="CP87" s="464">
        <v>2.7313910503395715</v>
      </c>
      <c r="CQ87" s="464" t="s">
        <v>539</v>
      </c>
      <c r="CR87" s="464" t="s">
        <v>6310</v>
      </c>
      <c r="CS87" s="464">
        <v>4.0695939465819722</v>
      </c>
      <c r="CT87" s="464">
        <v>0.54575777971911132</v>
      </c>
      <c r="CU87" s="464">
        <v>1</v>
      </c>
      <c r="CV87" s="464" t="s">
        <v>539</v>
      </c>
      <c r="CW87" s="464" t="s">
        <v>5921</v>
      </c>
    </row>
    <row r="88" spans="1:101" x14ac:dyDescent="0.2">
      <c r="A88" s="464">
        <v>632</v>
      </c>
      <c r="B88" s="464" t="s">
        <v>629</v>
      </c>
      <c r="C88" s="464" t="s">
        <v>6537</v>
      </c>
      <c r="D88" s="464" t="s">
        <v>630</v>
      </c>
      <c r="E88" s="464">
        <v>58082</v>
      </c>
      <c r="F88" s="464" t="s">
        <v>631</v>
      </c>
      <c r="G88" s="464" t="s">
        <v>631</v>
      </c>
      <c r="H88" s="464" t="s">
        <v>632</v>
      </c>
      <c r="I88" s="464" t="s">
        <v>333</v>
      </c>
      <c r="J88" s="464" t="s">
        <v>279</v>
      </c>
      <c r="K88" s="464" t="s">
        <v>633</v>
      </c>
      <c r="L88" s="464" t="s">
        <v>6376</v>
      </c>
      <c r="M88" s="464" t="s">
        <v>281</v>
      </c>
      <c r="N88" s="464" t="s">
        <v>5921</v>
      </c>
      <c r="O88" s="464" t="s">
        <v>6173</v>
      </c>
      <c r="P88" s="464" t="s">
        <v>6185</v>
      </c>
      <c r="Q88" s="464" t="s">
        <v>6176</v>
      </c>
      <c r="R88" s="464">
        <v>194.19</v>
      </c>
      <c r="S88" s="464">
        <v>21600</v>
      </c>
      <c r="T88" s="464">
        <v>2632</v>
      </c>
      <c r="U88" s="464">
        <v>53484.367190123849</v>
      </c>
      <c r="V88" s="464">
        <v>53484.367190123849</v>
      </c>
      <c r="W88" s="464">
        <v>7.14</v>
      </c>
      <c r="X88" s="464">
        <v>0.16</v>
      </c>
      <c r="Y88" s="464">
        <v>-7.0000000000000007E-2</v>
      </c>
      <c r="Z88" s="464">
        <v>0.42</v>
      </c>
      <c r="AA88" s="464">
        <v>0.85360000000000003</v>
      </c>
      <c r="AB88" s="464">
        <v>0.28000000000000003</v>
      </c>
      <c r="AC88" s="464">
        <v>-0.13</v>
      </c>
      <c r="AD88" s="464">
        <v>-7.0000000000000007E-2</v>
      </c>
      <c r="AE88" s="464">
        <v>-0.09</v>
      </c>
      <c r="AF88" s="464">
        <v>3.5800000000000002E-11</v>
      </c>
      <c r="AG88" s="464" t="s">
        <v>5921</v>
      </c>
      <c r="AH88" s="464">
        <v>-8.834683299668777</v>
      </c>
      <c r="AI88" s="464" t="s">
        <v>5921</v>
      </c>
      <c r="AJ88" s="464">
        <v>-8.834683299668777</v>
      </c>
      <c r="AK88" s="464">
        <v>-12.930309999999999</v>
      </c>
      <c r="AL88" s="464">
        <v>-6.54</v>
      </c>
      <c r="AM88" s="464" t="s">
        <v>5921</v>
      </c>
      <c r="AN88" s="464">
        <v>0.52</v>
      </c>
      <c r="AO88" s="464" t="s">
        <v>6311</v>
      </c>
      <c r="AP88" s="464" t="s">
        <v>6311</v>
      </c>
      <c r="AQ88" s="464" t="s">
        <v>6</v>
      </c>
      <c r="AR88" s="464" t="s">
        <v>266</v>
      </c>
      <c r="AS88" s="464" t="s">
        <v>8453</v>
      </c>
      <c r="AT88" s="464" t="s">
        <v>646</v>
      </c>
      <c r="AU88" s="464" t="s">
        <v>646</v>
      </c>
      <c r="AV88" s="464" t="s">
        <v>8446</v>
      </c>
      <c r="AW88" s="464" t="s">
        <v>647</v>
      </c>
      <c r="AX88" s="464" t="s">
        <v>536</v>
      </c>
      <c r="AY88" s="464" t="s">
        <v>8456</v>
      </c>
      <c r="AZ88" s="464" t="s">
        <v>1764</v>
      </c>
      <c r="BA88" s="464" t="s">
        <v>538</v>
      </c>
      <c r="BB88" s="464" t="s">
        <v>5921</v>
      </c>
      <c r="BC88" s="464" t="s">
        <v>1809</v>
      </c>
      <c r="BD88" s="464" t="s">
        <v>539</v>
      </c>
      <c r="BE88" s="464" t="s">
        <v>272</v>
      </c>
      <c r="BF88" s="464" t="s">
        <v>272</v>
      </c>
      <c r="BG88" s="464">
        <v>18.75</v>
      </c>
      <c r="BH88" s="464">
        <v>2000</v>
      </c>
      <c r="BI88" s="464" t="s">
        <v>1843</v>
      </c>
      <c r="BJ88" s="464">
        <v>7166.8920285460554</v>
      </c>
      <c r="BK88" s="464" t="s">
        <v>5921</v>
      </c>
      <c r="BL88" s="464" t="s">
        <v>5921</v>
      </c>
      <c r="BM88" s="464">
        <v>662.2</v>
      </c>
      <c r="BN88" s="464" t="s">
        <v>5921</v>
      </c>
      <c r="BO88" s="464" t="s">
        <v>5921</v>
      </c>
      <c r="BP88" s="464">
        <v>328.18109999999996</v>
      </c>
      <c r="BQ88" s="464" t="s">
        <v>5921</v>
      </c>
      <c r="BR88" s="464" t="s">
        <v>5921</v>
      </c>
      <c r="BS88" s="464" t="s">
        <v>5921</v>
      </c>
      <c r="BT88" s="464" t="s">
        <v>5921</v>
      </c>
      <c r="BU88" s="464" t="s">
        <v>5921</v>
      </c>
      <c r="BV88" s="464" t="s">
        <v>5921</v>
      </c>
      <c r="BW88" s="464" t="s">
        <v>5921</v>
      </c>
      <c r="BX88" s="464" t="s">
        <v>5921</v>
      </c>
      <c r="BY88" s="464" t="s">
        <v>5921</v>
      </c>
      <c r="BZ88" s="464" t="s">
        <v>5921</v>
      </c>
      <c r="CA88" s="464" t="s">
        <v>5921</v>
      </c>
      <c r="CB88" s="464" t="s">
        <v>5921</v>
      </c>
      <c r="CC88" s="464" t="s">
        <v>5921</v>
      </c>
      <c r="CD88" s="464" t="s">
        <v>5921</v>
      </c>
      <c r="CE88" s="464" t="s">
        <v>5921</v>
      </c>
      <c r="CF88" s="464" t="s">
        <v>5921</v>
      </c>
      <c r="CG88" s="464">
        <v>328.18109999999996</v>
      </c>
      <c r="CH88" s="464">
        <v>2.5161135663512662</v>
      </c>
      <c r="CI88" s="464">
        <v>3.5834460142730276</v>
      </c>
      <c r="CJ88" s="464">
        <v>21.838222946251495</v>
      </c>
      <c r="CK88" s="464" t="s">
        <v>5921</v>
      </c>
      <c r="CL88" s="464" t="s">
        <v>5921</v>
      </c>
      <c r="CM88" s="464" t="s">
        <v>5921</v>
      </c>
      <c r="CN88" s="464" t="s">
        <v>1811</v>
      </c>
      <c r="CO88" s="464">
        <v>2.1789769472931693</v>
      </c>
      <c r="CP88" s="464">
        <v>2.1733847682119203</v>
      </c>
      <c r="CQ88" s="464" t="s">
        <v>539</v>
      </c>
      <c r="CR88" s="464" t="s">
        <v>6310</v>
      </c>
      <c r="CS88" s="464">
        <v>162.97211262356015</v>
      </c>
      <c r="CT88" s="464">
        <v>26.742183595061924</v>
      </c>
      <c r="CU88" s="464">
        <v>1</v>
      </c>
      <c r="CV88" s="464" t="s">
        <v>539</v>
      </c>
      <c r="CW88" s="464" t="s">
        <v>6351</v>
      </c>
    </row>
    <row r="89" spans="1:101" x14ac:dyDescent="0.2">
      <c r="A89" s="464">
        <v>687</v>
      </c>
      <c r="B89" s="464" t="s">
        <v>1982</v>
      </c>
      <c r="C89" s="464" t="s">
        <v>6549</v>
      </c>
      <c r="D89" s="464" t="s">
        <v>1983</v>
      </c>
      <c r="E89" s="464">
        <v>110930</v>
      </c>
      <c r="F89" s="464" t="s">
        <v>1984</v>
      </c>
      <c r="G89" s="464" t="s">
        <v>1984</v>
      </c>
      <c r="H89" s="464" t="s">
        <v>1985</v>
      </c>
      <c r="I89" s="464" t="s">
        <v>426</v>
      </c>
      <c r="J89" s="464" t="s">
        <v>5921</v>
      </c>
      <c r="K89" s="464" t="s">
        <v>6616</v>
      </c>
      <c r="L89" s="464" t="s">
        <v>6082</v>
      </c>
      <c r="M89" s="464" t="s">
        <v>5921</v>
      </c>
      <c r="N89" s="464" t="s">
        <v>6183</v>
      </c>
      <c r="O89" s="464" t="s">
        <v>6173</v>
      </c>
      <c r="P89" s="464" t="s">
        <v>6185</v>
      </c>
      <c r="Q89" s="464" t="s">
        <v>6176</v>
      </c>
      <c r="R89" s="464">
        <v>126.2</v>
      </c>
      <c r="S89" s="464" t="s">
        <v>5921</v>
      </c>
      <c r="T89" s="464">
        <v>1651</v>
      </c>
      <c r="U89" s="464">
        <v>6935.2058280832198</v>
      </c>
      <c r="V89" s="464">
        <v>6935.2058280832198</v>
      </c>
      <c r="W89" s="464">
        <v>7</v>
      </c>
      <c r="X89" s="464">
        <v>2.06</v>
      </c>
      <c r="Y89" s="464" t="s">
        <v>5921</v>
      </c>
      <c r="Z89" s="464">
        <v>2.61</v>
      </c>
      <c r="AA89" s="464">
        <v>0.61699999999999999</v>
      </c>
      <c r="AB89" s="464">
        <v>2.37</v>
      </c>
      <c r="AC89" s="464">
        <v>2.09</v>
      </c>
      <c r="AD89" s="464">
        <v>2.37</v>
      </c>
      <c r="AE89" s="464">
        <v>1.9</v>
      </c>
      <c r="AF89" s="464">
        <v>2.12E-4</v>
      </c>
      <c r="AG89" s="464" t="s">
        <v>5921</v>
      </c>
      <c r="AH89" s="464">
        <v>-2.0622304653839003</v>
      </c>
      <c r="AI89" s="464" t="s">
        <v>5921</v>
      </c>
      <c r="AJ89" s="464">
        <v>-2.0622304653839003</v>
      </c>
      <c r="AK89" s="464">
        <v>-3.9925299999999995</v>
      </c>
      <c r="AL89" s="464">
        <v>-2.71</v>
      </c>
      <c r="AM89" s="464" t="s">
        <v>5921</v>
      </c>
      <c r="AN89" s="464" t="s">
        <v>5921</v>
      </c>
      <c r="AO89" s="464" t="s">
        <v>6311</v>
      </c>
      <c r="AP89" s="464" t="s">
        <v>6311</v>
      </c>
      <c r="AQ89" s="464" t="s">
        <v>6</v>
      </c>
      <c r="AR89" s="464" t="s">
        <v>266</v>
      </c>
      <c r="AS89" s="464" t="s">
        <v>8453</v>
      </c>
      <c r="AT89" s="464" t="s">
        <v>8445</v>
      </c>
      <c r="AU89" s="464" t="s">
        <v>8445</v>
      </c>
      <c r="AV89" s="464" t="s">
        <v>8446</v>
      </c>
      <c r="AW89" s="464" t="s">
        <v>6360</v>
      </c>
      <c r="AX89" s="464" t="s">
        <v>536</v>
      </c>
      <c r="AY89" s="464" t="s">
        <v>8447</v>
      </c>
      <c r="AZ89" s="464" t="s">
        <v>1764</v>
      </c>
      <c r="BA89" s="464" t="s">
        <v>6372</v>
      </c>
      <c r="BB89" s="464" t="s">
        <v>5921</v>
      </c>
      <c r="BC89" s="464" t="s">
        <v>6361</v>
      </c>
      <c r="BD89" s="464" t="s">
        <v>1974</v>
      </c>
      <c r="BE89" s="464" t="s">
        <v>1974</v>
      </c>
      <c r="BF89" s="464" t="s">
        <v>272</v>
      </c>
      <c r="BG89" s="464">
        <v>25</v>
      </c>
      <c r="BH89" s="464">
        <v>208.03</v>
      </c>
      <c r="BI89" s="464" t="s">
        <v>6370</v>
      </c>
      <c r="BJ89" s="464">
        <v>91.57424672358276</v>
      </c>
      <c r="BK89" s="464" t="s">
        <v>5921</v>
      </c>
      <c r="BL89" s="464" t="s">
        <v>5921</v>
      </c>
      <c r="BM89" s="464">
        <v>279</v>
      </c>
      <c r="BN89" s="464" t="s">
        <v>5921</v>
      </c>
      <c r="BO89" s="464">
        <v>243</v>
      </c>
      <c r="BP89" s="464" t="s">
        <v>5921</v>
      </c>
      <c r="BQ89" s="464" t="s">
        <v>5921</v>
      </c>
      <c r="BR89" s="464" t="s">
        <v>5921</v>
      </c>
      <c r="BS89" s="464" t="s">
        <v>5921</v>
      </c>
      <c r="BT89" s="464" t="s">
        <v>5921</v>
      </c>
      <c r="BU89" s="464" t="s">
        <v>5921</v>
      </c>
      <c r="BV89" s="464" t="s">
        <v>5921</v>
      </c>
      <c r="BW89" s="464" t="s">
        <v>5921</v>
      </c>
      <c r="BX89" s="464" t="s">
        <v>5921</v>
      </c>
      <c r="BY89" s="464" t="s">
        <v>5921</v>
      </c>
      <c r="BZ89" s="464" t="s">
        <v>5921</v>
      </c>
      <c r="CA89" s="464" t="s">
        <v>5921</v>
      </c>
      <c r="CB89" s="464" t="s">
        <v>5921</v>
      </c>
      <c r="CC89" s="464" t="s">
        <v>5921</v>
      </c>
      <c r="CD89" s="464" t="s">
        <v>5921</v>
      </c>
      <c r="CE89" s="464" t="s">
        <v>5921</v>
      </c>
      <c r="CF89" s="464" t="s">
        <v>5921</v>
      </c>
      <c r="CG89" s="464">
        <v>243</v>
      </c>
      <c r="CH89" s="464">
        <v>2.3856062735983121</v>
      </c>
      <c r="CI89" s="464">
        <v>0.44019731155882691</v>
      </c>
      <c r="CJ89" s="464">
        <v>0.37684875194890027</v>
      </c>
      <c r="CK89" s="464" t="s">
        <v>5921</v>
      </c>
      <c r="CL89" s="464" t="s">
        <v>5921</v>
      </c>
      <c r="CM89" s="464" t="s">
        <v>5921</v>
      </c>
      <c r="CN89" s="464" t="s">
        <v>6355</v>
      </c>
      <c r="CO89" s="464">
        <v>1.9319649265453607</v>
      </c>
      <c r="CP89" s="464">
        <v>2.8421130388616711</v>
      </c>
      <c r="CQ89" s="464" t="s">
        <v>539</v>
      </c>
      <c r="CR89" s="464" t="s">
        <v>6310</v>
      </c>
      <c r="CS89" s="464">
        <v>28.539941679354815</v>
      </c>
      <c r="CT89" s="464">
        <v>33.337527414715282</v>
      </c>
      <c r="CU89" s="464">
        <v>1</v>
      </c>
      <c r="CV89" s="464" t="s">
        <v>539</v>
      </c>
      <c r="CW89" s="464" t="s">
        <v>6351</v>
      </c>
    </row>
    <row r="90" spans="1:101" x14ac:dyDescent="0.2">
      <c r="A90" s="464">
        <v>688</v>
      </c>
      <c r="B90" s="464" t="s">
        <v>6690</v>
      </c>
      <c r="C90" s="464" t="s">
        <v>6691</v>
      </c>
      <c r="D90" s="464" t="s">
        <v>1986</v>
      </c>
      <c r="E90" s="464">
        <v>105760</v>
      </c>
      <c r="F90" s="464" t="s">
        <v>1987</v>
      </c>
      <c r="G90" s="464" t="s">
        <v>1987</v>
      </c>
      <c r="H90" s="464" t="s">
        <v>1988</v>
      </c>
      <c r="I90" s="464" t="s">
        <v>357</v>
      </c>
      <c r="J90" s="464" t="s">
        <v>5921</v>
      </c>
      <c r="K90" s="464" t="s">
        <v>6624</v>
      </c>
      <c r="L90" s="464" t="s">
        <v>6088</v>
      </c>
      <c r="M90" s="464" t="s">
        <v>5921</v>
      </c>
      <c r="N90" s="464" t="s">
        <v>6172</v>
      </c>
      <c r="O90" s="464" t="s">
        <v>6173</v>
      </c>
      <c r="P90" s="464" t="s">
        <v>6175</v>
      </c>
      <c r="Q90" s="464" t="s">
        <v>6176</v>
      </c>
      <c r="R90" s="464">
        <v>228.28</v>
      </c>
      <c r="S90" s="464">
        <v>499.99999999999994</v>
      </c>
      <c r="T90" s="464">
        <v>8.7089999999999996</v>
      </c>
      <c r="U90" s="464">
        <v>189.87503366731758</v>
      </c>
      <c r="V90" s="464">
        <v>189.87503366731758</v>
      </c>
      <c r="W90" s="464">
        <v>7</v>
      </c>
      <c r="X90" s="464">
        <v>4.16</v>
      </c>
      <c r="Y90" s="464" t="s">
        <v>5921</v>
      </c>
      <c r="Z90" s="464">
        <v>2.61</v>
      </c>
      <c r="AA90" s="464">
        <v>0.73299999999999998</v>
      </c>
      <c r="AB90" s="464">
        <v>3.04</v>
      </c>
      <c r="AC90" s="464">
        <v>3.81</v>
      </c>
      <c r="AD90" s="464">
        <v>3.04</v>
      </c>
      <c r="AE90" s="464">
        <v>2.89</v>
      </c>
      <c r="AF90" s="464">
        <v>7.5799999999999998E-7</v>
      </c>
      <c r="AG90" s="464">
        <v>3.7399999999999999E-7</v>
      </c>
      <c r="AH90" s="464">
        <v>-4.5088971206805981</v>
      </c>
      <c r="AI90" s="464">
        <v>-4.8156947241121717</v>
      </c>
      <c r="AJ90" s="464">
        <v>-4.8156947241121717</v>
      </c>
      <c r="AK90" s="464">
        <v>-7.2245500000000007</v>
      </c>
      <c r="AL90" s="464">
        <v>-3.96</v>
      </c>
      <c r="AM90" s="464" t="s">
        <v>5921</v>
      </c>
      <c r="AN90" s="464" t="s">
        <v>5921</v>
      </c>
      <c r="AO90" s="464" t="s">
        <v>6311</v>
      </c>
      <c r="AP90" s="464" t="s">
        <v>6312</v>
      </c>
      <c r="AQ90" s="464" t="s">
        <v>6</v>
      </c>
      <c r="AR90" s="464" t="s">
        <v>266</v>
      </c>
      <c r="AS90" s="464" t="s">
        <v>8453</v>
      </c>
      <c r="AT90" s="464" t="s">
        <v>8445</v>
      </c>
      <c r="AU90" s="464" t="s">
        <v>8445</v>
      </c>
      <c r="AV90" s="464" t="s">
        <v>8446</v>
      </c>
      <c r="AW90" s="464" t="s">
        <v>6360</v>
      </c>
      <c r="AX90" s="464" t="s">
        <v>536</v>
      </c>
      <c r="AY90" s="464" t="s">
        <v>8447</v>
      </c>
      <c r="AZ90" s="464" t="s">
        <v>1764</v>
      </c>
      <c r="BA90" s="464" t="s">
        <v>6372</v>
      </c>
      <c r="BB90" s="464" t="s">
        <v>5921</v>
      </c>
      <c r="BC90" s="464" t="s">
        <v>6361</v>
      </c>
      <c r="BD90" s="464" t="s">
        <v>1974</v>
      </c>
      <c r="BE90" s="464" t="s">
        <v>1974</v>
      </c>
      <c r="BF90" s="464" t="s">
        <v>272</v>
      </c>
      <c r="BG90" s="464">
        <v>0.25</v>
      </c>
      <c r="BH90" s="464">
        <v>4</v>
      </c>
      <c r="BI90" s="464" t="s">
        <v>6362</v>
      </c>
      <c r="BJ90" s="464">
        <v>2.153633826214266</v>
      </c>
      <c r="BK90" s="464" t="s">
        <v>5921</v>
      </c>
      <c r="BL90" s="464" t="s">
        <v>5921</v>
      </c>
      <c r="BM90" s="464">
        <v>1.38</v>
      </c>
      <c r="BN90" s="464" t="s">
        <v>5921</v>
      </c>
      <c r="BO90" s="464">
        <v>0.7</v>
      </c>
      <c r="BP90" s="464" t="s">
        <v>5921</v>
      </c>
      <c r="BQ90" s="464" t="s">
        <v>5921</v>
      </c>
      <c r="BR90" s="464" t="s">
        <v>5921</v>
      </c>
      <c r="BS90" s="464" t="s">
        <v>5921</v>
      </c>
      <c r="BT90" s="464" t="s">
        <v>5921</v>
      </c>
      <c r="BU90" s="464" t="s">
        <v>5921</v>
      </c>
      <c r="BV90" s="464" t="s">
        <v>5921</v>
      </c>
      <c r="BW90" s="464" t="s">
        <v>5921</v>
      </c>
      <c r="BX90" s="464" t="s">
        <v>5921</v>
      </c>
      <c r="BY90" s="464" t="s">
        <v>5921</v>
      </c>
      <c r="BZ90" s="464" t="s">
        <v>5921</v>
      </c>
      <c r="CA90" s="464" t="s">
        <v>5921</v>
      </c>
      <c r="CB90" s="464" t="s">
        <v>5921</v>
      </c>
      <c r="CC90" s="464" t="s">
        <v>5921</v>
      </c>
      <c r="CD90" s="464" t="s">
        <v>5921</v>
      </c>
      <c r="CE90" s="464" t="s">
        <v>5921</v>
      </c>
      <c r="CF90" s="464" t="s">
        <v>5921</v>
      </c>
      <c r="CG90" s="464">
        <v>0.7</v>
      </c>
      <c r="CH90" s="464">
        <v>-0.15490195998574319</v>
      </c>
      <c r="CI90" s="464">
        <v>0.53840845655356651</v>
      </c>
      <c r="CJ90" s="464">
        <v>3.0766197517346661</v>
      </c>
      <c r="CK90" s="464" t="s">
        <v>5921</v>
      </c>
      <c r="CL90" s="464" t="s">
        <v>5921</v>
      </c>
      <c r="CM90" s="464" t="s">
        <v>5921</v>
      </c>
      <c r="CN90" s="464" t="s">
        <v>6355</v>
      </c>
      <c r="CO90" s="464">
        <v>-7.1333751784365768E-2</v>
      </c>
      <c r="CP90" s="464">
        <v>0.82495791138430541</v>
      </c>
      <c r="CQ90" s="464" t="s">
        <v>539</v>
      </c>
      <c r="CR90" s="464" t="s">
        <v>6310</v>
      </c>
      <c r="CS90" s="464">
        <v>271.25004809616797</v>
      </c>
      <c r="CT90" s="464">
        <v>47.468758416829395</v>
      </c>
      <c r="CU90" s="464">
        <v>1</v>
      </c>
      <c r="CV90" s="464" t="s">
        <v>539</v>
      </c>
      <c r="CW90" s="464" t="s">
        <v>6351</v>
      </c>
    </row>
    <row r="91" spans="1:101" x14ac:dyDescent="0.2">
      <c r="A91" s="464">
        <v>690</v>
      </c>
      <c r="B91" s="464" t="s">
        <v>422</v>
      </c>
      <c r="C91" s="464" t="s">
        <v>6438</v>
      </c>
      <c r="D91" s="464" t="s">
        <v>423</v>
      </c>
      <c r="E91" s="464">
        <v>64175</v>
      </c>
      <c r="F91" s="464" t="s">
        <v>424</v>
      </c>
      <c r="G91" s="464" t="s">
        <v>424</v>
      </c>
      <c r="H91" s="464" t="s">
        <v>425</v>
      </c>
      <c r="I91" s="464" t="s">
        <v>426</v>
      </c>
      <c r="J91" s="464" t="s">
        <v>279</v>
      </c>
      <c r="K91" s="464" t="s">
        <v>427</v>
      </c>
      <c r="L91" s="464" t="s">
        <v>6082</v>
      </c>
      <c r="M91" s="464" t="s">
        <v>281</v>
      </c>
      <c r="N91" s="464" t="s">
        <v>6183</v>
      </c>
      <c r="O91" s="464" t="s">
        <v>6176</v>
      </c>
      <c r="P91" s="464" t="s">
        <v>6185</v>
      </c>
      <c r="Q91" s="464" t="s">
        <v>6176</v>
      </c>
      <c r="R91" s="464">
        <v>46.07</v>
      </c>
      <c r="S91" s="464">
        <v>1000000.0000000001</v>
      </c>
      <c r="T91" s="464">
        <v>792099.99999999988</v>
      </c>
      <c r="U91" s="464">
        <v>183407.97347399619</v>
      </c>
      <c r="V91" s="464">
        <v>183407.97347399619</v>
      </c>
      <c r="W91" s="464">
        <v>6.96</v>
      </c>
      <c r="X91" s="464">
        <v>-0.14000000000000001</v>
      </c>
      <c r="Y91" s="464">
        <v>-0.31</v>
      </c>
      <c r="Z91" s="464">
        <v>-0.24</v>
      </c>
      <c r="AA91" s="464">
        <v>0.90610000000000002</v>
      </c>
      <c r="AB91" s="464">
        <v>-0.23</v>
      </c>
      <c r="AC91" s="464">
        <v>-0.19</v>
      </c>
      <c r="AD91" s="464">
        <v>-0.31</v>
      </c>
      <c r="AE91" s="464">
        <v>0.09</v>
      </c>
      <c r="AF91" s="464">
        <v>5.6699999999999999E-6</v>
      </c>
      <c r="AG91" s="464">
        <v>5.0000000000000004E-6</v>
      </c>
      <c r="AH91" s="464">
        <v>-3.6349832674197451</v>
      </c>
      <c r="AI91" s="464">
        <v>-3.6895963219766328</v>
      </c>
      <c r="AJ91" s="464">
        <v>-3.6895963219766328</v>
      </c>
      <c r="AK91" s="464">
        <v>-3.1772200000000002</v>
      </c>
      <c r="AL91" s="464">
        <v>-3.57</v>
      </c>
      <c r="AM91" s="464">
        <v>15.24</v>
      </c>
      <c r="AN91" s="464" t="s">
        <v>5921</v>
      </c>
      <c r="AO91" s="464" t="s">
        <v>6311</v>
      </c>
      <c r="AP91" s="464" t="s">
        <v>6311</v>
      </c>
      <c r="AQ91" s="464" t="s">
        <v>282</v>
      </c>
      <c r="AR91" s="464" t="s">
        <v>266</v>
      </c>
      <c r="AS91" s="464" t="s">
        <v>8453</v>
      </c>
      <c r="AT91" s="464" t="s">
        <v>8445</v>
      </c>
      <c r="AU91" s="464" t="s">
        <v>8445</v>
      </c>
      <c r="AV91" s="464" t="s">
        <v>8446</v>
      </c>
      <c r="AW91" s="464" t="s">
        <v>6360</v>
      </c>
      <c r="AX91" s="464" t="s">
        <v>536</v>
      </c>
      <c r="AY91" s="464" t="s">
        <v>8447</v>
      </c>
      <c r="AZ91" s="464" t="s">
        <v>1764</v>
      </c>
      <c r="BA91" s="464" t="s">
        <v>6372</v>
      </c>
      <c r="BB91" s="464" t="s">
        <v>5921</v>
      </c>
      <c r="BC91" s="464" t="s">
        <v>6361</v>
      </c>
      <c r="BD91" s="464" t="s">
        <v>1974</v>
      </c>
      <c r="BE91" s="464" t="s">
        <v>1974</v>
      </c>
      <c r="BF91" s="464" t="s">
        <v>272</v>
      </c>
      <c r="BG91" s="464">
        <v>5300</v>
      </c>
      <c r="BH91" s="464">
        <v>27000</v>
      </c>
      <c r="BI91" s="464" t="s">
        <v>6373</v>
      </c>
      <c r="BJ91" s="464">
        <v>3161.9297169680549</v>
      </c>
      <c r="BK91" s="464" t="s">
        <v>5921</v>
      </c>
      <c r="BL91" s="464" t="s">
        <v>5921</v>
      </c>
      <c r="BM91" s="464">
        <v>13200</v>
      </c>
      <c r="BN91" s="464" t="s">
        <v>5921</v>
      </c>
      <c r="BO91" s="464">
        <v>12000</v>
      </c>
      <c r="BP91" s="464" t="s">
        <v>5921</v>
      </c>
      <c r="BQ91" s="464" t="s">
        <v>5921</v>
      </c>
      <c r="BR91" s="464" t="s">
        <v>5921</v>
      </c>
      <c r="BS91" s="464" t="s">
        <v>5921</v>
      </c>
      <c r="BT91" s="464" t="s">
        <v>5921</v>
      </c>
      <c r="BU91" s="464" t="s">
        <v>5921</v>
      </c>
      <c r="BV91" s="464" t="s">
        <v>5921</v>
      </c>
      <c r="BW91" s="464" t="s">
        <v>5921</v>
      </c>
      <c r="BX91" s="464" t="s">
        <v>5921</v>
      </c>
      <c r="BY91" s="464" t="s">
        <v>5921</v>
      </c>
      <c r="BZ91" s="464" t="s">
        <v>5921</v>
      </c>
      <c r="CA91" s="464" t="s">
        <v>5921</v>
      </c>
      <c r="CB91" s="464" t="s">
        <v>5921</v>
      </c>
      <c r="CC91" s="464" t="s">
        <v>5921</v>
      </c>
      <c r="CD91" s="464" t="s">
        <v>5921</v>
      </c>
      <c r="CE91" s="464" t="s">
        <v>5921</v>
      </c>
      <c r="CF91" s="464" t="s">
        <v>5921</v>
      </c>
      <c r="CG91" s="464">
        <v>12000</v>
      </c>
      <c r="CH91" s="464">
        <v>4.0791812460476251</v>
      </c>
      <c r="CI91" s="464">
        <v>0.11710850803585389</v>
      </c>
      <c r="CJ91" s="464">
        <v>0.26349414308067126</v>
      </c>
      <c r="CK91" s="464">
        <v>2.8171348229570792</v>
      </c>
      <c r="CL91" s="464">
        <v>41.136651853112646</v>
      </c>
      <c r="CM91" s="464" t="s">
        <v>5921</v>
      </c>
      <c r="CN91" s="464" t="s">
        <v>6355</v>
      </c>
      <c r="CO91" s="464">
        <v>3.7646752173993483</v>
      </c>
      <c r="CP91" s="464">
        <v>2.0630323050446546</v>
      </c>
      <c r="CQ91" s="464" t="s">
        <v>539</v>
      </c>
      <c r="CR91" s="464" t="s">
        <v>6310</v>
      </c>
      <c r="CS91" s="464">
        <v>15.283997789499683</v>
      </c>
      <c r="CT91" s="464">
        <v>6.7928879064443031</v>
      </c>
      <c r="CU91" s="464">
        <v>1</v>
      </c>
      <c r="CV91" s="464" t="s">
        <v>539</v>
      </c>
      <c r="CW91" s="464" t="s">
        <v>6351</v>
      </c>
    </row>
    <row r="92" spans="1:101" x14ac:dyDescent="0.2">
      <c r="A92" s="464">
        <v>722</v>
      </c>
      <c r="B92" s="464" t="s">
        <v>1635</v>
      </c>
      <c r="C92" s="464" t="s">
        <v>6463</v>
      </c>
      <c r="D92" s="464" t="s">
        <v>1636</v>
      </c>
      <c r="E92" s="464">
        <v>106489</v>
      </c>
      <c r="F92" s="464" t="s">
        <v>1637</v>
      </c>
      <c r="G92" s="464" t="s">
        <v>8214</v>
      </c>
      <c r="H92" s="464" t="s">
        <v>1638</v>
      </c>
      <c r="I92" s="464" t="s">
        <v>349</v>
      </c>
      <c r="J92" s="464" t="s">
        <v>6066</v>
      </c>
      <c r="K92" s="464" t="s">
        <v>497</v>
      </c>
      <c r="L92" s="464" t="s">
        <v>6381</v>
      </c>
      <c r="M92" s="464" t="s">
        <v>6086</v>
      </c>
      <c r="N92" s="464" t="s">
        <v>6184</v>
      </c>
      <c r="O92" s="464" t="s">
        <v>6182</v>
      </c>
      <c r="P92" s="464" t="s">
        <v>6185</v>
      </c>
      <c r="Q92" s="464" t="s">
        <v>6176</v>
      </c>
      <c r="R92" s="464">
        <v>128.56</v>
      </c>
      <c r="S92" s="464">
        <v>24000</v>
      </c>
      <c r="T92" s="464">
        <v>3222</v>
      </c>
      <c r="U92" s="464">
        <v>2084.999061164639</v>
      </c>
      <c r="V92" s="464">
        <v>2084.999061164639</v>
      </c>
      <c r="W92" s="464">
        <v>5.63</v>
      </c>
      <c r="X92" s="464">
        <v>2.16</v>
      </c>
      <c r="Y92" s="464">
        <v>2.39</v>
      </c>
      <c r="Z92" s="464">
        <v>2.5099999999999998</v>
      </c>
      <c r="AA92" s="464">
        <v>0.89249999999999996</v>
      </c>
      <c r="AB92" s="464">
        <v>2.4900000000000002</v>
      </c>
      <c r="AC92" s="464">
        <v>2.4300000000000002</v>
      </c>
      <c r="AD92" s="464">
        <v>2.39</v>
      </c>
      <c r="AE92" s="464">
        <v>2.15</v>
      </c>
      <c r="AF92" s="464">
        <v>4.15E-7</v>
      </c>
      <c r="AG92" s="464">
        <v>6.2699999999999999E-7</v>
      </c>
      <c r="AH92" s="464">
        <v>-4.770518229600559</v>
      </c>
      <c r="AI92" s="464">
        <v>-4.5912987854819356</v>
      </c>
      <c r="AJ92" s="464">
        <v>-4.5912987854819356</v>
      </c>
      <c r="AK92" s="464">
        <v>-7.63727</v>
      </c>
      <c r="AL92" s="464">
        <v>-4.8600000000000003</v>
      </c>
      <c r="AM92" s="464">
        <v>9.4700000000000006</v>
      </c>
      <c r="AN92" s="464" t="s">
        <v>5921</v>
      </c>
      <c r="AO92" s="464" t="s">
        <v>6311</v>
      </c>
      <c r="AP92" s="464" t="s">
        <v>6311</v>
      </c>
      <c r="AQ92" s="464" t="s">
        <v>6</v>
      </c>
      <c r="AR92" s="464" t="s">
        <v>266</v>
      </c>
      <c r="AS92" s="464" t="s">
        <v>8453</v>
      </c>
      <c r="AT92" s="464" t="s">
        <v>8450</v>
      </c>
      <c r="AU92" s="464" t="s">
        <v>8450</v>
      </c>
      <c r="AV92" s="464" t="s">
        <v>8446</v>
      </c>
      <c r="AW92" s="464" t="s">
        <v>535</v>
      </c>
      <c r="AX92" s="464" t="s">
        <v>536</v>
      </c>
      <c r="AY92" s="464" t="s">
        <v>8456</v>
      </c>
      <c r="AZ92" s="464" t="s">
        <v>1644</v>
      </c>
      <c r="BA92" s="464" t="s">
        <v>1887</v>
      </c>
      <c r="BB92" s="464" t="s">
        <v>5921</v>
      </c>
      <c r="BC92" s="464" t="s">
        <v>2045</v>
      </c>
      <c r="BD92" s="464" t="s">
        <v>272</v>
      </c>
      <c r="BE92" s="464" t="s">
        <v>8461</v>
      </c>
      <c r="BF92" s="464" t="s">
        <v>272</v>
      </c>
      <c r="BG92" s="464">
        <v>4</v>
      </c>
      <c r="BH92" s="464">
        <v>60</v>
      </c>
      <c r="BI92" s="464" t="s">
        <v>5921</v>
      </c>
      <c r="BJ92" s="464">
        <v>75.859480414180325</v>
      </c>
      <c r="BK92" s="464" t="s">
        <v>5921</v>
      </c>
      <c r="BL92" s="464" t="s">
        <v>5921</v>
      </c>
      <c r="BM92" s="464" t="s">
        <v>5921</v>
      </c>
      <c r="BN92" s="464" t="s">
        <v>5921</v>
      </c>
      <c r="BO92" s="464" t="s">
        <v>5921</v>
      </c>
      <c r="BP92" s="464">
        <v>45</v>
      </c>
      <c r="BQ92" s="464" t="s">
        <v>5921</v>
      </c>
      <c r="BR92" s="464" t="s">
        <v>5921</v>
      </c>
      <c r="BS92" s="464" t="s">
        <v>5921</v>
      </c>
      <c r="BT92" s="464" t="s">
        <v>5921</v>
      </c>
      <c r="BU92" s="464" t="s">
        <v>5921</v>
      </c>
      <c r="BV92" s="464" t="s">
        <v>5921</v>
      </c>
      <c r="BW92" s="464" t="s">
        <v>5921</v>
      </c>
      <c r="BX92" s="464" t="s">
        <v>5921</v>
      </c>
      <c r="BY92" s="464" t="s">
        <v>5921</v>
      </c>
      <c r="BZ92" s="464" t="s">
        <v>5921</v>
      </c>
      <c r="CA92" s="464" t="s">
        <v>5921</v>
      </c>
      <c r="CB92" s="464" t="s">
        <v>5921</v>
      </c>
      <c r="CC92" s="464" t="s">
        <v>5921</v>
      </c>
      <c r="CD92" s="464" t="s">
        <v>5921</v>
      </c>
      <c r="CE92" s="464" t="s">
        <v>5921</v>
      </c>
      <c r="CF92" s="464" t="s">
        <v>5921</v>
      </c>
      <c r="CG92" s="464">
        <v>45</v>
      </c>
      <c r="CH92" s="464">
        <v>1.6532125137753437</v>
      </c>
      <c r="CI92" s="464">
        <v>1.264324673569672</v>
      </c>
      <c r="CJ92" s="464">
        <v>1.6857662314262294</v>
      </c>
      <c r="CK92" s="464">
        <v>0.27971818245026747</v>
      </c>
      <c r="CL92" s="464">
        <v>31.508887379598448</v>
      </c>
      <c r="CM92" s="464" t="s">
        <v>5921</v>
      </c>
      <c r="CN92" s="464" t="s">
        <v>2047</v>
      </c>
      <c r="CO92" s="464">
        <v>0.54533072722344478</v>
      </c>
      <c r="CP92" s="464">
        <v>12.819815842298217</v>
      </c>
      <c r="CQ92" s="464" t="s">
        <v>539</v>
      </c>
      <c r="CR92" s="464" t="s">
        <v>5921</v>
      </c>
      <c r="CS92" s="464">
        <v>46.333312470325311</v>
      </c>
      <c r="CT92" s="464">
        <v>34.749984352743986</v>
      </c>
      <c r="CU92" s="464">
        <v>1</v>
      </c>
      <c r="CV92" s="464" t="s">
        <v>5921</v>
      </c>
      <c r="CW92" s="464" t="s">
        <v>6351</v>
      </c>
    </row>
    <row r="93" spans="1:101" x14ac:dyDescent="0.2">
      <c r="A93" s="464">
        <v>727</v>
      </c>
      <c r="B93" s="464" t="s">
        <v>2053</v>
      </c>
      <c r="C93" s="464" t="s">
        <v>6536</v>
      </c>
      <c r="D93" s="464" t="s">
        <v>2054</v>
      </c>
      <c r="E93" s="464">
        <v>52686</v>
      </c>
      <c r="F93" s="464" t="s">
        <v>2055</v>
      </c>
      <c r="G93" s="464" t="s">
        <v>7976</v>
      </c>
      <c r="H93" s="464" t="s">
        <v>2056</v>
      </c>
      <c r="I93" s="464" t="s">
        <v>2057</v>
      </c>
      <c r="J93" s="464" t="s">
        <v>617</v>
      </c>
      <c r="K93" s="464" t="s">
        <v>946</v>
      </c>
      <c r="L93" s="464" t="s">
        <v>6376</v>
      </c>
      <c r="M93" s="464" t="s">
        <v>918</v>
      </c>
      <c r="N93" s="464" t="s">
        <v>5921</v>
      </c>
      <c r="O93" s="464" t="s">
        <v>5921</v>
      </c>
      <c r="P93" s="464" t="s">
        <v>5921</v>
      </c>
      <c r="Q93" s="464" t="s">
        <v>5921</v>
      </c>
      <c r="R93" s="464">
        <v>257.44</v>
      </c>
      <c r="S93" s="464">
        <v>120000</v>
      </c>
      <c r="T93" s="464">
        <v>25530</v>
      </c>
      <c r="U93" s="464">
        <v>102488.70998729233</v>
      </c>
      <c r="V93" s="464">
        <v>102488.70998729233</v>
      </c>
      <c r="W93" s="464">
        <v>5.35</v>
      </c>
      <c r="X93" s="464">
        <v>0.42</v>
      </c>
      <c r="Y93" s="464">
        <v>0.51</v>
      </c>
      <c r="Z93" s="464">
        <v>0.84</v>
      </c>
      <c r="AA93" s="464">
        <v>0.75449999999999995</v>
      </c>
      <c r="AB93" s="464">
        <v>0.73</v>
      </c>
      <c r="AC93" s="464">
        <v>0.48</v>
      </c>
      <c r="AD93" s="464">
        <v>0.51</v>
      </c>
      <c r="AE93" s="464">
        <v>0.9</v>
      </c>
      <c r="AF93" s="464">
        <v>2.6499999999999998E-12</v>
      </c>
      <c r="AG93" s="464">
        <v>1.6999999999999999E-11</v>
      </c>
      <c r="AH93" s="464">
        <v>-9.9653204523758436</v>
      </c>
      <c r="AI93" s="464">
        <v>-9.1581174049343783</v>
      </c>
      <c r="AJ93" s="464">
        <v>-9.1581174049343783</v>
      </c>
      <c r="AK93" s="464">
        <v>-11.525370000000001</v>
      </c>
      <c r="AL93" s="464">
        <v>-8.69</v>
      </c>
      <c r="AM93" s="464">
        <v>10.3</v>
      </c>
      <c r="AN93" s="464" t="s">
        <v>5921</v>
      </c>
      <c r="AO93" s="464" t="s">
        <v>6312</v>
      </c>
      <c r="AP93" s="464" t="s">
        <v>6312</v>
      </c>
      <c r="AQ93" s="464" t="s">
        <v>6</v>
      </c>
      <c r="AR93" s="464" t="s">
        <v>266</v>
      </c>
      <c r="AS93" s="464" t="s">
        <v>8453</v>
      </c>
      <c r="AT93" s="464" t="s">
        <v>8445</v>
      </c>
      <c r="AU93" s="464" t="s">
        <v>8445</v>
      </c>
      <c r="AV93" s="464" t="s">
        <v>8464</v>
      </c>
      <c r="AW93" s="464" t="s">
        <v>1780</v>
      </c>
      <c r="AX93" s="464" t="s">
        <v>2058</v>
      </c>
      <c r="AY93" s="464" t="s">
        <v>2059</v>
      </c>
      <c r="AZ93" s="464" t="s">
        <v>1764</v>
      </c>
      <c r="BA93" s="464" t="s">
        <v>2060</v>
      </c>
      <c r="BB93" s="464" t="s">
        <v>5921</v>
      </c>
      <c r="BC93" s="464" t="s">
        <v>271</v>
      </c>
      <c r="BD93" s="464" t="s">
        <v>272</v>
      </c>
      <c r="BE93" s="464" t="s">
        <v>272</v>
      </c>
      <c r="BF93" s="464" t="s">
        <v>272</v>
      </c>
      <c r="BG93" s="464">
        <v>2.5</v>
      </c>
      <c r="BH93" s="464">
        <v>160</v>
      </c>
      <c r="BI93" s="464" t="s">
        <v>5921</v>
      </c>
      <c r="BJ93" s="464">
        <v>5549.7577552808461</v>
      </c>
      <c r="BK93" s="464" t="s">
        <v>5921</v>
      </c>
      <c r="BL93" s="464" t="s">
        <v>5921</v>
      </c>
      <c r="BM93" s="464" t="s">
        <v>5921</v>
      </c>
      <c r="BN93" s="464">
        <v>45.13</v>
      </c>
      <c r="BO93" s="464">
        <v>25.4</v>
      </c>
      <c r="BP93" s="464" t="s">
        <v>5921</v>
      </c>
      <c r="BQ93" s="464" t="s">
        <v>5921</v>
      </c>
      <c r="BR93" s="464" t="s">
        <v>5921</v>
      </c>
      <c r="BS93" s="464" t="s">
        <v>5921</v>
      </c>
      <c r="BT93" s="464" t="s">
        <v>5921</v>
      </c>
      <c r="BU93" s="464" t="s">
        <v>5921</v>
      </c>
      <c r="BV93" s="464" t="s">
        <v>5921</v>
      </c>
      <c r="BW93" s="464" t="s">
        <v>5921</v>
      </c>
      <c r="BX93" s="464" t="s">
        <v>5921</v>
      </c>
      <c r="BY93" s="464" t="s">
        <v>5921</v>
      </c>
      <c r="BZ93" s="464" t="s">
        <v>5921</v>
      </c>
      <c r="CA93" s="464" t="s">
        <v>5921</v>
      </c>
      <c r="CB93" s="464" t="s">
        <v>5921</v>
      </c>
      <c r="CC93" s="464" t="s">
        <v>5921</v>
      </c>
      <c r="CD93" s="464" t="s">
        <v>5921</v>
      </c>
      <c r="CE93" s="464" t="s">
        <v>5921</v>
      </c>
      <c r="CF93" s="464" t="s">
        <v>5921</v>
      </c>
      <c r="CG93" s="464">
        <v>25.4</v>
      </c>
      <c r="CH93" s="464">
        <v>1.4048337166199381</v>
      </c>
      <c r="CI93" s="464">
        <v>34.685985970505286</v>
      </c>
      <c r="CJ93" s="464">
        <v>218.49439981420656</v>
      </c>
      <c r="CK93" s="464" t="s">
        <v>5921</v>
      </c>
      <c r="CL93" s="464" t="s">
        <v>5921</v>
      </c>
      <c r="CM93" s="464" t="s">
        <v>5921</v>
      </c>
      <c r="CN93" s="464" t="s">
        <v>2062</v>
      </c>
      <c r="CO93" s="464">
        <v>0.33760324502253658</v>
      </c>
      <c r="CP93" s="464">
        <v>11.674289844591225</v>
      </c>
      <c r="CQ93" s="464" t="s">
        <v>539</v>
      </c>
      <c r="CR93" s="464" t="s">
        <v>5921</v>
      </c>
      <c r="CS93" s="464">
        <v>4034.9885821768635</v>
      </c>
      <c r="CT93" s="464">
        <v>640.55443742057707</v>
      </c>
      <c r="CU93" s="464">
        <v>1</v>
      </c>
      <c r="CV93" s="464" t="s">
        <v>5921</v>
      </c>
      <c r="CW93" s="464" t="s">
        <v>5921</v>
      </c>
    </row>
    <row r="94" spans="1:101" x14ac:dyDescent="0.2">
      <c r="A94" s="464">
        <v>748</v>
      </c>
      <c r="B94" s="464" t="s">
        <v>629</v>
      </c>
      <c r="C94" s="464" t="s">
        <v>6537</v>
      </c>
      <c r="D94" s="464" t="s">
        <v>630</v>
      </c>
      <c r="E94" s="464">
        <v>58082</v>
      </c>
      <c r="F94" s="464" t="s">
        <v>631</v>
      </c>
      <c r="G94" s="464" t="s">
        <v>631</v>
      </c>
      <c r="H94" s="464" t="s">
        <v>632</v>
      </c>
      <c r="I94" s="464" t="s">
        <v>333</v>
      </c>
      <c r="J94" s="464" t="s">
        <v>279</v>
      </c>
      <c r="K94" s="464" t="s">
        <v>633</v>
      </c>
      <c r="L94" s="464" t="s">
        <v>6376</v>
      </c>
      <c r="M94" s="464" t="s">
        <v>281</v>
      </c>
      <c r="N94" s="464" t="s">
        <v>5921</v>
      </c>
      <c r="O94" s="464" t="s">
        <v>6173</v>
      </c>
      <c r="P94" s="464" t="s">
        <v>6185</v>
      </c>
      <c r="Q94" s="464" t="s">
        <v>6176</v>
      </c>
      <c r="R94" s="464">
        <v>194.19</v>
      </c>
      <c r="S94" s="464">
        <v>21600</v>
      </c>
      <c r="T94" s="464">
        <v>2632</v>
      </c>
      <c r="U94" s="464">
        <v>53484.367190123849</v>
      </c>
      <c r="V94" s="464">
        <v>53484.367190123849</v>
      </c>
      <c r="W94" s="464">
        <v>7.14</v>
      </c>
      <c r="X94" s="464">
        <v>0.16</v>
      </c>
      <c r="Y94" s="464">
        <v>-7.0000000000000007E-2</v>
      </c>
      <c r="Z94" s="464">
        <v>0.42</v>
      </c>
      <c r="AA94" s="464">
        <v>0.85360000000000003</v>
      </c>
      <c r="AB94" s="464">
        <v>0.28000000000000003</v>
      </c>
      <c r="AC94" s="464">
        <v>-0.13</v>
      </c>
      <c r="AD94" s="464">
        <v>-7.0000000000000007E-2</v>
      </c>
      <c r="AE94" s="464">
        <v>-0.09</v>
      </c>
      <c r="AF94" s="464">
        <v>3.5800000000000002E-11</v>
      </c>
      <c r="AG94" s="464" t="s">
        <v>5921</v>
      </c>
      <c r="AH94" s="464">
        <v>-8.834683299668777</v>
      </c>
      <c r="AI94" s="464" t="s">
        <v>5921</v>
      </c>
      <c r="AJ94" s="464">
        <v>-8.834683299668777</v>
      </c>
      <c r="AK94" s="464">
        <v>-12.930309999999999</v>
      </c>
      <c r="AL94" s="464">
        <v>-6.54</v>
      </c>
      <c r="AM94" s="464" t="s">
        <v>5921</v>
      </c>
      <c r="AN94" s="464">
        <v>0.52</v>
      </c>
      <c r="AO94" s="464" t="s">
        <v>6311</v>
      </c>
      <c r="AP94" s="464" t="s">
        <v>6311</v>
      </c>
      <c r="AQ94" s="464" t="s">
        <v>6</v>
      </c>
      <c r="AR94" s="464" t="s">
        <v>266</v>
      </c>
      <c r="AS94" s="464" t="s">
        <v>8453</v>
      </c>
      <c r="AT94" s="464" t="s">
        <v>646</v>
      </c>
      <c r="AU94" s="464" t="s">
        <v>646</v>
      </c>
      <c r="AV94" s="464" t="s">
        <v>8446</v>
      </c>
      <c r="AW94" s="464" t="s">
        <v>535</v>
      </c>
      <c r="AX94" s="464" t="s">
        <v>536</v>
      </c>
      <c r="AY94" s="464" t="s">
        <v>8457</v>
      </c>
      <c r="AZ94" s="464" t="s">
        <v>1764</v>
      </c>
      <c r="BA94" s="464" t="s">
        <v>2121</v>
      </c>
      <c r="BB94" s="464" t="s">
        <v>5921</v>
      </c>
      <c r="BC94" s="464" t="s">
        <v>271</v>
      </c>
      <c r="BD94" s="464" t="s">
        <v>2122</v>
      </c>
      <c r="BE94" s="464" t="s">
        <v>2123</v>
      </c>
      <c r="BF94" s="464" t="s">
        <v>272</v>
      </c>
      <c r="BG94" s="464">
        <v>9.7095000000000002</v>
      </c>
      <c r="BH94" s="464">
        <v>2505.0509999999999</v>
      </c>
      <c r="BI94" s="464" t="s">
        <v>5921</v>
      </c>
      <c r="BJ94" s="464">
        <v>7166.8920285460554</v>
      </c>
      <c r="BK94" s="464">
        <v>5.6</v>
      </c>
      <c r="BL94" s="464" t="s">
        <v>5921</v>
      </c>
      <c r="BM94" s="464">
        <v>712.67729999999995</v>
      </c>
      <c r="BN94" s="464" t="s">
        <v>5921</v>
      </c>
      <c r="BO94" s="464" t="s">
        <v>5921</v>
      </c>
      <c r="BP94" s="464">
        <v>287.40120000000002</v>
      </c>
      <c r="BQ94" s="464" t="s">
        <v>5921</v>
      </c>
      <c r="BR94" s="464" t="s">
        <v>5921</v>
      </c>
      <c r="BS94" s="464" t="s">
        <v>5921</v>
      </c>
      <c r="BT94" s="464" t="s">
        <v>5921</v>
      </c>
      <c r="BU94" s="464" t="s">
        <v>5921</v>
      </c>
      <c r="BV94" s="464" t="s">
        <v>5921</v>
      </c>
      <c r="BW94" s="464" t="s">
        <v>5921</v>
      </c>
      <c r="BX94" s="464" t="s">
        <v>5921</v>
      </c>
      <c r="BY94" s="464" t="s">
        <v>5921</v>
      </c>
      <c r="BZ94" s="464" t="s">
        <v>5921</v>
      </c>
      <c r="CA94" s="464" t="s">
        <v>5921</v>
      </c>
      <c r="CB94" s="464" t="s">
        <v>5921</v>
      </c>
      <c r="CC94" s="464" t="s">
        <v>5921</v>
      </c>
      <c r="CD94" s="464" t="s">
        <v>5921</v>
      </c>
      <c r="CE94" s="464" t="s">
        <v>5921</v>
      </c>
      <c r="CF94" s="464" t="s">
        <v>5921</v>
      </c>
      <c r="CG94" s="464">
        <v>287.40120000000002</v>
      </c>
      <c r="CH94" s="464">
        <v>2.4584885771325502</v>
      </c>
      <c r="CI94" s="464">
        <v>2.8609764945089164</v>
      </c>
      <c r="CJ94" s="464">
        <v>24.93688971565204</v>
      </c>
      <c r="CK94" s="464" t="s">
        <v>5921</v>
      </c>
      <c r="CL94" s="464" t="s">
        <v>5921</v>
      </c>
      <c r="CM94" s="464" t="s">
        <v>2125</v>
      </c>
      <c r="CN94" s="464" t="s">
        <v>2126</v>
      </c>
      <c r="CO94" s="464">
        <v>2.1789769472931693</v>
      </c>
      <c r="CP94" s="464">
        <v>1.9033192052980139</v>
      </c>
      <c r="CQ94" s="464" t="s">
        <v>539</v>
      </c>
      <c r="CR94" s="464" t="s">
        <v>5921</v>
      </c>
      <c r="CS94" s="464">
        <v>186.09653400933553</v>
      </c>
      <c r="CT94" s="464">
        <v>21.350610103396637</v>
      </c>
      <c r="CU94" s="464">
        <v>1</v>
      </c>
      <c r="CV94" s="464" t="s">
        <v>5921</v>
      </c>
      <c r="CW94" s="464" t="s">
        <v>6351</v>
      </c>
    </row>
    <row r="95" spans="1:101" x14ac:dyDescent="0.2">
      <c r="A95" s="464">
        <v>758</v>
      </c>
      <c r="B95" s="464" t="s">
        <v>977</v>
      </c>
      <c r="C95" s="464" t="s">
        <v>6447</v>
      </c>
      <c r="D95" s="464" t="s">
        <v>978</v>
      </c>
      <c r="E95" s="464">
        <v>80057</v>
      </c>
      <c r="F95" s="464" t="s">
        <v>979</v>
      </c>
      <c r="G95" s="464" t="s">
        <v>979</v>
      </c>
      <c r="H95" s="464" t="s">
        <v>980</v>
      </c>
      <c r="I95" s="464" t="s">
        <v>376</v>
      </c>
      <c r="J95" s="464" t="s">
        <v>5527</v>
      </c>
      <c r="K95" s="464" t="s">
        <v>602</v>
      </c>
      <c r="L95" s="464" t="s">
        <v>6386</v>
      </c>
      <c r="M95" s="464" t="s">
        <v>981</v>
      </c>
      <c r="N95" s="464" t="s">
        <v>5921</v>
      </c>
      <c r="O95" s="464" t="s">
        <v>5921</v>
      </c>
      <c r="P95" s="464" t="s">
        <v>5921</v>
      </c>
      <c r="Q95" s="464" t="s">
        <v>5921</v>
      </c>
      <c r="R95" s="464">
        <v>228.29</v>
      </c>
      <c r="S95" s="464">
        <v>119.99999999999999</v>
      </c>
      <c r="T95" s="464">
        <v>172.7</v>
      </c>
      <c r="U95" s="464">
        <v>88.815116150744203</v>
      </c>
      <c r="V95" s="464">
        <v>88.815116150744203</v>
      </c>
      <c r="W95" s="464">
        <v>6.76</v>
      </c>
      <c r="X95" s="464">
        <v>3.64</v>
      </c>
      <c r="Y95" s="464">
        <v>3.32</v>
      </c>
      <c r="Z95" s="464">
        <v>3.73</v>
      </c>
      <c r="AA95" s="464">
        <v>0.77510000000000001</v>
      </c>
      <c r="AB95" s="464">
        <v>3.63</v>
      </c>
      <c r="AC95" s="464">
        <v>3.43</v>
      </c>
      <c r="AD95" s="464">
        <v>3.32</v>
      </c>
      <c r="AE95" s="464">
        <v>3.7</v>
      </c>
      <c r="AF95" s="464">
        <v>9.1600000000000006E-12</v>
      </c>
      <c r="AG95" s="464" t="s">
        <v>5921</v>
      </c>
      <c r="AH95" s="464">
        <v>-9.4266708526448006</v>
      </c>
      <c r="AI95" s="464" t="s">
        <v>5921</v>
      </c>
      <c r="AJ95" s="464">
        <v>-9.4266708526448006</v>
      </c>
      <c r="AK95" s="464">
        <v>-13.641390000000001</v>
      </c>
      <c r="AL95" s="464">
        <v>-10.199999999999999</v>
      </c>
      <c r="AM95" s="464">
        <v>10.29</v>
      </c>
      <c r="AN95" s="464" t="s">
        <v>5921</v>
      </c>
      <c r="AO95" s="464" t="s">
        <v>6311</v>
      </c>
      <c r="AP95" s="464" t="s">
        <v>6311</v>
      </c>
      <c r="AQ95" s="464" t="s">
        <v>6</v>
      </c>
      <c r="AR95" s="464" t="s">
        <v>266</v>
      </c>
      <c r="AS95" s="464" t="s">
        <v>8453</v>
      </c>
      <c r="AT95" s="464" t="s">
        <v>8450</v>
      </c>
      <c r="AU95" s="464" t="s">
        <v>8450</v>
      </c>
      <c r="AV95" s="464" t="s">
        <v>2137</v>
      </c>
      <c r="AW95" s="464" t="s">
        <v>535</v>
      </c>
      <c r="AX95" s="464" t="s">
        <v>2138</v>
      </c>
      <c r="AY95" s="464" t="s">
        <v>8472</v>
      </c>
      <c r="AZ95" s="464" t="s">
        <v>2139</v>
      </c>
      <c r="BA95" s="464" t="s">
        <v>2140</v>
      </c>
      <c r="BB95" s="464" t="s">
        <v>5921</v>
      </c>
      <c r="BC95" s="464" t="s">
        <v>271</v>
      </c>
      <c r="BD95" s="464" t="s">
        <v>272</v>
      </c>
      <c r="BE95" s="464" t="s">
        <v>272</v>
      </c>
      <c r="BF95" s="464" t="s">
        <v>2141</v>
      </c>
      <c r="BG95" s="464">
        <v>0.5</v>
      </c>
      <c r="BH95" s="464">
        <v>10</v>
      </c>
      <c r="BI95" s="464" t="s">
        <v>5921</v>
      </c>
      <c r="BJ95" s="464">
        <v>6.3125217586499822</v>
      </c>
      <c r="BK95" s="464" t="s">
        <v>5921</v>
      </c>
      <c r="BL95" s="464" t="s">
        <v>5921</v>
      </c>
      <c r="BM95" s="464" t="s">
        <v>5921</v>
      </c>
      <c r="BN95" s="464" t="s">
        <v>5921</v>
      </c>
      <c r="BO95" s="464" t="s">
        <v>5921</v>
      </c>
      <c r="BP95" s="464">
        <v>5</v>
      </c>
      <c r="BQ95" s="464" t="s">
        <v>5921</v>
      </c>
      <c r="BR95" s="464" t="s">
        <v>5921</v>
      </c>
      <c r="BS95" s="464" t="s">
        <v>5921</v>
      </c>
      <c r="BT95" s="464" t="s">
        <v>5921</v>
      </c>
      <c r="BU95" s="464" t="s">
        <v>5921</v>
      </c>
      <c r="BV95" s="464" t="s">
        <v>5921</v>
      </c>
      <c r="BW95" s="464" t="s">
        <v>5921</v>
      </c>
      <c r="BX95" s="464" t="s">
        <v>5921</v>
      </c>
      <c r="BY95" s="464" t="s">
        <v>5921</v>
      </c>
      <c r="BZ95" s="464" t="s">
        <v>5921</v>
      </c>
      <c r="CA95" s="464" t="s">
        <v>5921</v>
      </c>
      <c r="CB95" s="464" t="s">
        <v>5921</v>
      </c>
      <c r="CC95" s="464" t="s">
        <v>5921</v>
      </c>
      <c r="CD95" s="464" t="s">
        <v>5921</v>
      </c>
      <c r="CE95" s="464" t="s">
        <v>5921</v>
      </c>
      <c r="CF95" s="464" t="s">
        <v>5921</v>
      </c>
      <c r="CG95" s="464">
        <v>5</v>
      </c>
      <c r="CH95" s="464">
        <v>0.69897000433601886</v>
      </c>
      <c r="CI95" s="464">
        <v>0.63125217586499827</v>
      </c>
      <c r="CJ95" s="464">
        <v>1.2625043517299965</v>
      </c>
      <c r="CK95" s="464">
        <v>0.66742784480864559</v>
      </c>
      <c r="CL95" s="464">
        <v>2.1506619680967018</v>
      </c>
      <c r="CM95" s="464" t="s">
        <v>5921</v>
      </c>
      <c r="CN95" s="464" t="s">
        <v>2142</v>
      </c>
      <c r="CO95" s="464">
        <v>0.76399462909803484</v>
      </c>
      <c r="CP95" s="464">
        <v>0.86094493469770406</v>
      </c>
      <c r="CQ95" s="464" t="s">
        <v>539</v>
      </c>
      <c r="CR95" s="464" t="s">
        <v>5921</v>
      </c>
      <c r="CS95" s="464">
        <v>17.763023230148839</v>
      </c>
      <c r="CT95" s="464">
        <v>8.8815116150744196</v>
      </c>
      <c r="CU95" s="464">
        <v>1</v>
      </c>
      <c r="CV95" s="464" t="s">
        <v>5921</v>
      </c>
      <c r="CW95" s="464" t="s">
        <v>6351</v>
      </c>
    </row>
    <row r="96" spans="1:101" x14ac:dyDescent="0.2">
      <c r="A96" s="464">
        <v>789</v>
      </c>
      <c r="B96" s="464" t="s">
        <v>620</v>
      </c>
      <c r="C96" s="464" t="s">
        <v>6472</v>
      </c>
      <c r="D96" s="464" t="s">
        <v>621</v>
      </c>
      <c r="E96" s="464">
        <v>121755</v>
      </c>
      <c r="F96" s="464" t="s">
        <v>622</v>
      </c>
      <c r="G96" s="464" t="s">
        <v>622</v>
      </c>
      <c r="H96" s="464" t="s">
        <v>623</v>
      </c>
      <c r="I96" s="464" t="s">
        <v>624</v>
      </c>
      <c r="J96" s="464" t="s">
        <v>617</v>
      </c>
      <c r="K96" s="464" t="s">
        <v>1867</v>
      </c>
      <c r="L96" s="464" t="s">
        <v>6376</v>
      </c>
      <c r="M96" s="464" t="s">
        <v>2225</v>
      </c>
      <c r="N96" s="464" t="s">
        <v>6178</v>
      </c>
      <c r="O96" s="464" t="s">
        <v>6176</v>
      </c>
      <c r="P96" s="464" t="s">
        <v>6177</v>
      </c>
      <c r="Q96" s="464" t="s">
        <v>6176</v>
      </c>
      <c r="R96" s="464">
        <v>330.36</v>
      </c>
      <c r="S96" s="464">
        <v>143</v>
      </c>
      <c r="T96" s="464">
        <v>78.45</v>
      </c>
      <c r="U96" s="464">
        <v>185.77508018988354</v>
      </c>
      <c r="V96" s="464">
        <v>185.77508018988354</v>
      </c>
      <c r="W96" s="464">
        <v>7</v>
      </c>
      <c r="X96" s="464">
        <v>2.29</v>
      </c>
      <c r="Y96" s="464">
        <v>2.36</v>
      </c>
      <c r="Z96" s="464">
        <v>2.69</v>
      </c>
      <c r="AA96" s="464">
        <v>0.8125</v>
      </c>
      <c r="AB96" s="464">
        <v>2.76</v>
      </c>
      <c r="AC96" s="464">
        <v>2.93</v>
      </c>
      <c r="AD96" s="464">
        <v>2.36</v>
      </c>
      <c r="AE96" s="464">
        <v>2.3199999999999998</v>
      </c>
      <c r="AF96" s="464">
        <v>8.39E-10</v>
      </c>
      <c r="AG96" s="464">
        <v>4.8900000000000003E-9</v>
      </c>
      <c r="AH96" s="464">
        <v>-7.4648043654839515</v>
      </c>
      <c r="AI96" s="464">
        <v>-6.6992574671890317</v>
      </c>
      <c r="AJ96" s="464">
        <v>-6.6992574671890317</v>
      </c>
      <c r="AK96" s="464">
        <v>-12.449109999999999</v>
      </c>
      <c r="AL96" s="464">
        <v>-5.94</v>
      </c>
      <c r="AM96" s="464" t="s">
        <v>5921</v>
      </c>
      <c r="AN96" s="464" t="s">
        <v>5921</v>
      </c>
      <c r="AO96" s="464" t="s">
        <v>6312</v>
      </c>
      <c r="AP96" s="464" t="s">
        <v>6312</v>
      </c>
      <c r="AQ96" s="464" t="s">
        <v>6</v>
      </c>
      <c r="AR96" s="464" t="s">
        <v>266</v>
      </c>
      <c r="AS96" s="464" t="s">
        <v>8465</v>
      </c>
      <c r="AT96" s="464" t="s">
        <v>8445</v>
      </c>
      <c r="AU96" s="464" t="s">
        <v>8473</v>
      </c>
      <c r="AV96" s="464" t="s">
        <v>8451</v>
      </c>
      <c r="AW96" s="464" t="s">
        <v>535</v>
      </c>
      <c r="AX96" s="464" t="s">
        <v>2213</v>
      </c>
      <c r="AY96" s="464" t="s">
        <v>535</v>
      </c>
      <c r="AZ96" s="464" t="s">
        <v>1764</v>
      </c>
      <c r="BA96" s="464" t="s">
        <v>2214</v>
      </c>
      <c r="BB96" s="464" t="s">
        <v>5921</v>
      </c>
      <c r="BC96" s="464" t="s">
        <v>1712</v>
      </c>
      <c r="BD96" s="464" t="s">
        <v>272</v>
      </c>
      <c r="BE96" s="464" t="s">
        <v>272</v>
      </c>
      <c r="BF96" s="464" t="s">
        <v>2119</v>
      </c>
      <c r="BG96" s="464">
        <v>3.3036000000000003E-3</v>
      </c>
      <c r="BH96" s="464">
        <v>33.036000000000001</v>
      </c>
      <c r="BI96" s="464" t="s">
        <v>5921</v>
      </c>
      <c r="BJ96" s="464">
        <v>148.98359766722712</v>
      </c>
      <c r="BK96" s="464" t="s">
        <v>5921</v>
      </c>
      <c r="BL96" s="464" t="s">
        <v>5921</v>
      </c>
      <c r="BM96" s="464">
        <v>25.768080000000001</v>
      </c>
      <c r="BN96" s="464">
        <v>0.75982800000000006</v>
      </c>
      <c r="BO96" s="464" t="s">
        <v>5921</v>
      </c>
      <c r="BP96" s="464" t="s">
        <v>5921</v>
      </c>
      <c r="BQ96" s="464" t="s">
        <v>5921</v>
      </c>
      <c r="BR96" s="464" t="s">
        <v>5921</v>
      </c>
      <c r="BS96" s="464" t="s">
        <v>5921</v>
      </c>
      <c r="BT96" s="464" t="s">
        <v>5921</v>
      </c>
      <c r="BU96" s="464" t="s">
        <v>5921</v>
      </c>
      <c r="BV96" s="464" t="s">
        <v>5921</v>
      </c>
      <c r="BW96" s="464" t="s">
        <v>5921</v>
      </c>
      <c r="BX96" s="464" t="s">
        <v>5921</v>
      </c>
      <c r="BY96" s="464" t="s">
        <v>5921</v>
      </c>
      <c r="BZ96" s="464" t="s">
        <v>5921</v>
      </c>
      <c r="CA96" s="464" t="s">
        <v>5921</v>
      </c>
      <c r="CB96" s="464" t="s">
        <v>5921</v>
      </c>
      <c r="CC96" s="464" t="s">
        <v>5921</v>
      </c>
      <c r="CD96" s="464" t="s">
        <v>5921</v>
      </c>
      <c r="CE96" s="464" t="s">
        <v>5921</v>
      </c>
      <c r="CF96" s="464" t="s">
        <v>5921</v>
      </c>
      <c r="CG96" s="464">
        <v>0.75982800000000006</v>
      </c>
      <c r="CH96" s="464">
        <v>-0.119284706541452</v>
      </c>
      <c r="CI96" s="464">
        <v>4.5097347641126984</v>
      </c>
      <c r="CJ96" s="464">
        <v>196.07542452663907</v>
      </c>
      <c r="CK96" s="464">
        <v>-1.0170155211093046</v>
      </c>
      <c r="CL96" s="464">
        <v>343.5603041539066</v>
      </c>
      <c r="CM96" s="464" t="s">
        <v>5921</v>
      </c>
      <c r="CN96" s="464" t="s">
        <v>2215</v>
      </c>
      <c r="CO96" s="464">
        <v>-0.606977785182086</v>
      </c>
      <c r="CP96" s="464">
        <v>3.0739236665125733</v>
      </c>
      <c r="CQ96" s="464" t="s">
        <v>539</v>
      </c>
      <c r="CR96" s="464" t="s">
        <v>5921</v>
      </c>
      <c r="CS96" s="464">
        <v>244.49622834362978</v>
      </c>
      <c r="CT96" s="464">
        <v>5.623413251903485</v>
      </c>
      <c r="CU96" s="464">
        <v>1</v>
      </c>
      <c r="CV96" s="464" t="s">
        <v>539</v>
      </c>
      <c r="CW96" s="464" t="s">
        <v>5921</v>
      </c>
    </row>
    <row r="97" spans="1:101" x14ac:dyDescent="0.2">
      <c r="A97" s="464">
        <v>801</v>
      </c>
      <c r="B97" s="464" t="s">
        <v>2256</v>
      </c>
      <c r="C97" s="464" t="s">
        <v>6586</v>
      </c>
      <c r="D97" s="464" t="s">
        <v>2257</v>
      </c>
      <c r="E97" s="464">
        <v>135158542</v>
      </c>
      <c r="F97" s="464" t="s">
        <v>2258</v>
      </c>
      <c r="G97" s="464" t="s">
        <v>8169</v>
      </c>
      <c r="H97" s="464" t="s">
        <v>2259</v>
      </c>
      <c r="I97" s="464" t="s">
        <v>357</v>
      </c>
      <c r="J97" s="464" t="s">
        <v>6024</v>
      </c>
      <c r="K97" s="464" t="s">
        <v>2342</v>
      </c>
      <c r="L97" s="464" t="s">
        <v>2342</v>
      </c>
      <c r="M97" s="464" t="s">
        <v>5921</v>
      </c>
      <c r="N97" s="464" t="s">
        <v>8470</v>
      </c>
      <c r="O97" s="464" t="s">
        <v>6173</v>
      </c>
      <c r="P97" s="464" t="s">
        <v>8448</v>
      </c>
      <c r="Q97" s="464" t="s">
        <v>6173</v>
      </c>
      <c r="R97" s="464">
        <v>210.28</v>
      </c>
      <c r="S97" s="464">
        <v>7.7000000000000011</v>
      </c>
      <c r="T97" s="464">
        <v>87.22</v>
      </c>
      <c r="U97" s="464">
        <v>54.050282520063604</v>
      </c>
      <c r="V97" s="464">
        <v>54.050282520063604</v>
      </c>
      <c r="W97" s="464">
        <v>7</v>
      </c>
      <c r="X97" s="464">
        <v>1.55</v>
      </c>
      <c r="Y97" s="464">
        <v>3.1</v>
      </c>
      <c r="Z97" s="464">
        <v>2</v>
      </c>
      <c r="AA97" s="464">
        <v>0.77859999999999996</v>
      </c>
      <c r="AB97" s="464">
        <v>2.0499999999999998</v>
      </c>
      <c r="AC97" s="464">
        <v>2.1800000000000002</v>
      </c>
      <c r="AD97" s="464">
        <v>3.1</v>
      </c>
      <c r="AE97" s="464">
        <v>2.62</v>
      </c>
      <c r="AF97" s="464">
        <v>3.9000000000000002E-9</v>
      </c>
      <c r="AG97" s="464">
        <v>1.1899999999999999E-7</v>
      </c>
      <c r="AH97" s="464">
        <v>-6.7975017192861529</v>
      </c>
      <c r="AI97" s="464">
        <v>-5.3130193649201214</v>
      </c>
      <c r="AJ97" s="464">
        <v>-5.3130193649201214</v>
      </c>
      <c r="AK97" s="464">
        <v>-10.888459999999998</v>
      </c>
      <c r="AL97" s="464">
        <v>-5.2</v>
      </c>
      <c r="AM97" s="464" t="s">
        <v>5921</v>
      </c>
      <c r="AN97" s="464">
        <v>-3.9</v>
      </c>
      <c r="AO97" s="464" t="s">
        <v>6311</v>
      </c>
      <c r="AP97" s="464" t="s">
        <v>6311</v>
      </c>
      <c r="AQ97" s="464" t="s">
        <v>6</v>
      </c>
      <c r="AR97" s="464" t="s">
        <v>266</v>
      </c>
      <c r="AS97" s="464" t="s">
        <v>8468</v>
      </c>
      <c r="AT97" s="464" t="s">
        <v>8469</v>
      </c>
      <c r="AU97" s="464" t="s">
        <v>8450</v>
      </c>
      <c r="AV97" s="464" t="s">
        <v>8446</v>
      </c>
      <c r="AW97" s="464" t="s">
        <v>267</v>
      </c>
      <c r="AX97" s="464" t="s">
        <v>2253</v>
      </c>
      <c r="AY97" s="464" t="s">
        <v>8453</v>
      </c>
      <c r="AZ97" s="464" t="s">
        <v>2254</v>
      </c>
      <c r="BA97" s="464" t="s">
        <v>270</v>
      </c>
      <c r="BB97" s="464" t="s">
        <v>8374</v>
      </c>
      <c r="BC97" s="464" t="s">
        <v>1712</v>
      </c>
      <c r="BD97" s="464" t="s">
        <v>272</v>
      </c>
      <c r="BE97" s="464" t="s">
        <v>272</v>
      </c>
      <c r="BF97" s="464" t="s">
        <v>2255</v>
      </c>
      <c r="BG97" s="464">
        <v>2.1028E-4</v>
      </c>
      <c r="BH97" s="464">
        <v>16.822400000000002</v>
      </c>
      <c r="BI97" s="464" t="s">
        <v>5921</v>
      </c>
      <c r="BJ97" s="464">
        <v>438.06945086164825</v>
      </c>
      <c r="BK97" s="464" t="s">
        <v>5921</v>
      </c>
      <c r="BL97" s="464" t="s">
        <v>5921</v>
      </c>
      <c r="BM97" s="464" t="s">
        <v>5921</v>
      </c>
      <c r="BN97" s="464" t="s">
        <v>5921</v>
      </c>
      <c r="BO97" s="464" t="s">
        <v>5921</v>
      </c>
      <c r="BP97" s="464" t="s">
        <v>5921</v>
      </c>
      <c r="BQ97" s="464">
        <v>3.2342349170823819</v>
      </c>
      <c r="BR97" s="464" t="s">
        <v>5921</v>
      </c>
      <c r="BS97" s="464" t="s">
        <v>5921</v>
      </c>
      <c r="BT97" s="464" t="s">
        <v>5921</v>
      </c>
      <c r="BU97" s="464" t="s">
        <v>5921</v>
      </c>
      <c r="BV97" s="464" t="s">
        <v>5921</v>
      </c>
      <c r="BW97" s="464" t="s">
        <v>5921</v>
      </c>
      <c r="BX97" s="464" t="s">
        <v>5921</v>
      </c>
      <c r="BY97" s="464" t="s">
        <v>5921</v>
      </c>
      <c r="BZ97" s="464" t="s">
        <v>5921</v>
      </c>
      <c r="CA97" s="464" t="s">
        <v>5921</v>
      </c>
      <c r="CB97" s="464" t="s">
        <v>5921</v>
      </c>
      <c r="CC97" s="464" t="s">
        <v>5921</v>
      </c>
      <c r="CD97" s="464" t="s">
        <v>5921</v>
      </c>
      <c r="CE97" s="464" t="s">
        <v>5921</v>
      </c>
      <c r="CF97" s="464" t="s">
        <v>5921</v>
      </c>
      <c r="CG97" s="464">
        <v>3.2342349170823819</v>
      </c>
      <c r="CH97" s="464">
        <v>0.50977156148481984</v>
      </c>
      <c r="CI97" s="464">
        <v>26.040841429382741</v>
      </c>
      <c r="CJ97" s="464">
        <v>135.44762891151788</v>
      </c>
      <c r="CK97" s="464">
        <v>-5.5517327849831592E-2</v>
      </c>
      <c r="CL97" s="464">
        <v>19.116363636363648</v>
      </c>
      <c r="CM97" s="464" t="s">
        <v>892</v>
      </c>
      <c r="CN97" s="464" t="s">
        <v>893</v>
      </c>
      <c r="CO97" s="464">
        <v>7.4301327403046763E-2</v>
      </c>
      <c r="CP97" s="464">
        <v>2.7256509203384458</v>
      </c>
      <c r="CQ97" s="464" t="s">
        <v>539</v>
      </c>
      <c r="CR97" s="464" t="s">
        <v>5921</v>
      </c>
      <c r="CS97" s="464">
        <v>16.711922264701357</v>
      </c>
      <c r="CT97" s="464">
        <v>3.2129947284610756</v>
      </c>
      <c r="CU97" s="464">
        <v>1</v>
      </c>
      <c r="CV97" s="464" t="s">
        <v>539</v>
      </c>
      <c r="CW97" s="464" t="s">
        <v>5921</v>
      </c>
    </row>
    <row r="98" spans="1:101" x14ac:dyDescent="0.2">
      <c r="A98" s="464">
        <v>804</v>
      </c>
      <c r="B98" s="464" t="s">
        <v>2273</v>
      </c>
      <c r="C98" s="464" t="s">
        <v>6541</v>
      </c>
      <c r="D98" s="464" t="s">
        <v>2274</v>
      </c>
      <c r="E98" s="464">
        <v>91225</v>
      </c>
      <c r="F98" s="464" t="s">
        <v>2275</v>
      </c>
      <c r="G98" s="464" t="s">
        <v>2275</v>
      </c>
      <c r="H98" s="464" t="s">
        <v>2276</v>
      </c>
      <c r="I98" s="464" t="s">
        <v>426</v>
      </c>
      <c r="J98" s="464" t="s">
        <v>5527</v>
      </c>
      <c r="K98" s="464" t="s">
        <v>6025</v>
      </c>
      <c r="L98" s="464" t="s">
        <v>2342</v>
      </c>
      <c r="M98" s="464" t="s">
        <v>2342</v>
      </c>
      <c r="N98" s="464" t="s">
        <v>1639</v>
      </c>
      <c r="O98" s="464" t="s">
        <v>6173</v>
      </c>
      <c r="P98" s="464" t="s">
        <v>6175</v>
      </c>
      <c r="Q98" s="464" t="s">
        <v>6173</v>
      </c>
      <c r="R98" s="464">
        <v>129.16</v>
      </c>
      <c r="S98" s="464">
        <v>6110</v>
      </c>
      <c r="T98" s="464">
        <v>1711</v>
      </c>
      <c r="U98" s="464">
        <v>9574.7630766426519</v>
      </c>
      <c r="V98" s="464">
        <v>9574.7630766426519</v>
      </c>
      <c r="W98" s="464">
        <v>8.92</v>
      </c>
      <c r="X98" s="464">
        <v>2.14</v>
      </c>
      <c r="Y98" s="464">
        <v>2.0299999999999998</v>
      </c>
      <c r="Z98" s="464">
        <v>1.95</v>
      </c>
      <c r="AA98" s="464">
        <v>0.92710000000000004</v>
      </c>
      <c r="AB98" s="464">
        <v>1.98</v>
      </c>
      <c r="AC98" s="464">
        <v>2.08</v>
      </c>
      <c r="AD98" s="464">
        <v>2.0299999999999998</v>
      </c>
      <c r="AE98" s="464">
        <v>2.11</v>
      </c>
      <c r="AF98" s="464">
        <v>6.8800000000000002E-7</v>
      </c>
      <c r="AG98" s="464">
        <v>1.6700000000000001E-6</v>
      </c>
      <c r="AH98" s="464">
        <v>-4.5509778880771403</v>
      </c>
      <c r="AI98" s="464">
        <v>-4.1658498551650682</v>
      </c>
      <c r="AJ98" s="464">
        <v>-4.1658498551650682</v>
      </c>
      <c r="AK98" s="464">
        <v>-6.3437800000000006</v>
      </c>
      <c r="AL98" s="464">
        <v>-4.24</v>
      </c>
      <c r="AM98" s="464" t="s">
        <v>5921</v>
      </c>
      <c r="AN98" s="464">
        <v>4.97</v>
      </c>
      <c r="AO98" s="464" t="s">
        <v>6311</v>
      </c>
      <c r="AP98" s="464" t="s">
        <v>6311</v>
      </c>
      <c r="AQ98" s="464" t="s">
        <v>6</v>
      </c>
      <c r="AR98" s="464" t="s">
        <v>266</v>
      </c>
      <c r="AS98" s="464" t="s">
        <v>5921</v>
      </c>
      <c r="AT98" s="464" t="s">
        <v>8445</v>
      </c>
      <c r="AU98" s="464" t="s">
        <v>8445</v>
      </c>
      <c r="AV98" s="464" t="s">
        <v>8446</v>
      </c>
      <c r="AW98" s="464" t="s">
        <v>1639</v>
      </c>
      <c r="AX98" s="464" t="s">
        <v>536</v>
      </c>
      <c r="AY98" s="464" t="s">
        <v>8447</v>
      </c>
      <c r="AZ98" s="464" t="s">
        <v>1764</v>
      </c>
      <c r="BA98" s="464" t="s">
        <v>538</v>
      </c>
      <c r="BB98" s="464" t="s">
        <v>5921</v>
      </c>
      <c r="BC98" s="464" t="s">
        <v>1639</v>
      </c>
      <c r="BD98" s="464" t="s">
        <v>1639</v>
      </c>
      <c r="BE98" s="464" t="s">
        <v>1639</v>
      </c>
      <c r="BF98" s="464" t="s">
        <v>1639</v>
      </c>
      <c r="BG98" s="464" t="s">
        <v>5921</v>
      </c>
      <c r="BH98" s="464" t="s">
        <v>5921</v>
      </c>
      <c r="BI98" s="464" t="s">
        <v>5921</v>
      </c>
      <c r="BJ98" s="464">
        <v>79.431732722459373</v>
      </c>
      <c r="BK98" s="464" t="s">
        <v>5921</v>
      </c>
      <c r="BL98" s="464" t="s">
        <v>5921</v>
      </c>
      <c r="BM98" s="464" t="s">
        <v>5921</v>
      </c>
      <c r="BN98" s="464" t="s">
        <v>5921</v>
      </c>
      <c r="BO98" s="464">
        <v>18.199999999999985</v>
      </c>
      <c r="BP98" s="464" t="s">
        <v>5921</v>
      </c>
      <c r="BQ98" s="464" t="s">
        <v>5921</v>
      </c>
      <c r="BR98" s="464" t="s">
        <v>5921</v>
      </c>
      <c r="BS98" s="464" t="s">
        <v>5921</v>
      </c>
      <c r="BT98" s="464" t="s">
        <v>5921</v>
      </c>
      <c r="BU98" s="464" t="s">
        <v>5921</v>
      </c>
      <c r="BV98" s="464" t="s">
        <v>5921</v>
      </c>
      <c r="BW98" s="464" t="s">
        <v>5921</v>
      </c>
      <c r="BX98" s="464" t="s">
        <v>5921</v>
      </c>
      <c r="BY98" s="464" t="s">
        <v>5921</v>
      </c>
      <c r="BZ98" s="464" t="s">
        <v>5921</v>
      </c>
      <c r="CA98" s="464" t="s">
        <v>5921</v>
      </c>
      <c r="CB98" s="464" t="s">
        <v>5921</v>
      </c>
      <c r="CC98" s="464" t="s">
        <v>5921</v>
      </c>
      <c r="CD98" s="464" t="s">
        <v>5921</v>
      </c>
      <c r="CE98" s="464" t="s">
        <v>5921</v>
      </c>
      <c r="CF98" s="464" t="s">
        <v>5921</v>
      </c>
      <c r="CG98" s="464">
        <v>18.199999999999985</v>
      </c>
      <c r="CH98" s="464">
        <v>1.2600713879850745</v>
      </c>
      <c r="CI98" s="464" t="s">
        <v>5921</v>
      </c>
      <c r="CJ98" s="464">
        <v>4.3643809188164528</v>
      </c>
      <c r="CK98" s="464" t="s">
        <v>5921</v>
      </c>
      <c r="CL98" s="464" t="s">
        <v>5921</v>
      </c>
      <c r="CM98" s="464" t="s">
        <v>5921</v>
      </c>
      <c r="CN98" s="464" t="s">
        <v>2277</v>
      </c>
      <c r="CO98" s="464">
        <v>1.0657300350524834</v>
      </c>
      <c r="CP98" s="464">
        <v>1.5643767505537769</v>
      </c>
      <c r="CQ98" s="464" t="s">
        <v>539</v>
      </c>
      <c r="CR98" s="464" t="s">
        <v>5921</v>
      </c>
      <c r="CS98" s="464">
        <v>526.0858833320143</v>
      </c>
      <c r="CT98" s="464" t="s">
        <v>5921</v>
      </c>
      <c r="CU98" s="464">
        <v>1</v>
      </c>
      <c r="CV98" s="464" t="s">
        <v>5921</v>
      </c>
      <c r="CW98" s="464" t="s">
        <v>6351</v>
      </c>
    </row>
    <row r="99" spans="1:101" x14ac:dyDescent="0.2">
      <c r="A99" s="464">
        <v>816</v>
      </c>
      <c r="B99" s="464" t="s">
        <v>6752</v>
      </c>
      <c r="C99" s="464" t="s">
        <v>6492</v>
      </c>
      <c r="D99" s="464" t="s">
        <v>2321</v>
      </c>
      <c r="E99" s="464">
        <v>1191500</v>
      </c>
      <c r="F99" s="464" t="s">
        <v>2322</v>
      </c>
      <c r="G99" s="464" t="s">
        <v>2322</v>
      </c>
      <c r="H99" s="464" t="s">
        <v>2323</v>
      </c>
      <c r="I99" s="464" t="s">
        <v>426</v>
      </c>
      <c r="J99" s="464" t="s">
        <v>279</v>
      </c>
      <c r="K99" s="464" t="s">
        <v>2324</v>
      </c>
      <c r="L99" s="464" t="s">
        <v>6383</v>
      </c>
      <c r="M99" s="464" t="s">
        <v>281</v>
      </c>
      <c r="N99" s="464" t="s">
        <v>5921</v>
      </c>
      <c r="O99" s="464" t="s">
        <v>5921</v>
      </c>
      <c r="P99" s="464" t="s">
        <v>5921</v>
      </c>
      <c r="Q99" s="464" t="s">
        <v>5921</v>
      </c>
      <c r="R99" s="464">
        <v>294.45</v>
      </c>
      <c r="S99" s="464" t="s">
        <v>5921</v>
      </c>
      <c r="T99" s="464">
        <v>16.38</v>
      </c>
      <c r="U99" s="464">
        <v>8689.8355679191682</v>
      </c>
      <c r="V99" s="464">
        <v>8689.8355679191682</v>
      </c>
      <c r="W99" s="464">
        <v>1.53</v>
      </c>
      <c r="X99" s="464">
        <v>3.4</v>
      </c>
      <c r="Y99" s="464" t="s">
        <v>5921</v>
      </c>
      <c r="Z99" s="464">
        <v>3.19</v>
      </c>
      <c r="AA99" s="464">
        <v>0.39860000000000001</v>
      </c>
      <c r="AB99" s="464">
        <v>5.0999999999999996</v>
      </c>
      <c r="AC99" s="464">
        <v>6.46</v>
      </c>
      <c r="AD99" s="464">
        <v>5.0999999999999996</v>
      </c>
      <c r="AE99" s="464">
        <v>5.0999999999999996</v>
      </c>
      <c r="AF99" s="464">
        <v>3.2399999999999999E-7</v>
      </c>
      <c r="AG99" s="464" t="s">
        <v>5921</v>
      </c>
      <c r="AH99" s="464">
        <v>-4.8780213161060395</v>
      </c>
      <c r="AI99" s="464" t="s">
        <v>5921</v>
      </c>
      <c r="AJ99" s="464">
        <v>-4.8780213161060395</v>
      </c>
      <c r="AK99" s="464">
        <v>-11.363960000000001</v>
      </c>
      <c r="AL99" s="464" t="s">
        <v>5921</v>
      </c>
      <c r="AM99" s="464">
        <v>-3.29</v>
      </c>
      <c r="AN99" s="464" t="s">
        <v>5921</v>
      </c>
      <c r="AO99" s="464" t="s">
        <v>6311</v>
      </c>
      <c r="AP99" s="464" t="s">
        <v>6311</v>
      </c>
      <c r="AQ99" s="464" t="s">
        <v>6</v>
      </c>
      <c r="AR99" s="464" t="s">
        <v>266</v>
      </c>
      <c r="AS99" s="464" t="s">
        <v>8444</v>
      </c>
      <c r="AT99" s="464" t="s">
        <v>8445</v>
      </c>
      <c r="AU99" s="464" t="s">
        <v>8445</v>
      </c>
      <c r="AV99" s="464" t="s">
        <v>8446</v>
      </c>
      <c r="AW99" s="464" t="s">
        <v>6360</v>
      </c>
      <c r="AX99" s="464" t="s">
        <v>536</v>
      </c>
      <c r="AY99" s="464" t="s">
        <v>8447</v>
      </c>
      <c r="AZ99" s="464" t="s">
        <v>1764</v>
      </c>
      <c r="BA99" s="464" t="s">
        <v>6372</v>
      </c>
      <c r="BB99" s="464" t="s">
        <v>5921</v>
      </c>
      <c r="BC99" s="464" t="s">
        <v>6361</v>
      </c>
      <c r="BD99" s="464" t="s">
        <v>1974</v>
      </c>
      <c r="BE99" s="464" t="s">
        <v>1974</v>
      </c>
      <c r="BF99" s="464" t="s">
        <v>272</v>
      </c>
      <c r="BG99" s="464">
        <v>0.156</v>
      </c>
      <c r="BH99" s="464">
        <v>2.5</v>
      </c>
      <c r="BI99" s="464" t="s">
        <v>6366</v>
      </c>
      <c r="BJ99" s="464">
        <v>13.374315335782061</v>
      </c>
      <c r="BK99" s="464" t="s">
        <v>5921</v>
      </c>
      <c r="BL99" s="464" t="s">
        <v>5921</v>
      </c>
      <c r="BM99" s="464">
        <v>0.33725002512500002</v>
      </c>
      <c r="BN99" s="464" t="s">
        <v>5921</v>
      </c>
      <c r="BO99" s="464">
        <v>0.33883335638749995</v>
      </c>
      <c r="BP99" s="464" t="s">
        <v>5921</v>
      </c>
      <c r="BQ99" s="464" t="s">
        <v>5921</v>
      </c>
      <c r="BR99" s="464" t="s">
        <v>5921</v>
      </c>
      <c r="BS99" s="464" t="s">
        <v>5921</v>
      </c>
      <c r="BT99" s="464" t="s">
        <v>5921</v>
      </c>
      <c r="BU99" s="464" t="s">
        <v>5921</v>
      </c>
      <c r="BV99" s="464" t="s">
        <v>5921</v>
      </c>
      <c r="BW99" s="464" t="s">
        <v>5921</v>
      </c>
      <c r="BX99" s="464" t="s">
        <v>5921</v>
      </c>
      <c r="BY99" s="464" t="s">
        <v>5921</v>
      </c>
      <c r="BZ99" s="464" t="s">
        <v>5921</v>
      </c>
      <c r="CA99" s="464" t="s">
        <v>5921</v>
      </c>
      <c r="CB99" s="464" t="s">
        <v>5921</v>
      </c>
      <c r="CC99" s="464" t="s">
        <v>5921</v>
      </c>
      <c r="CD99" s="464" t="s">
        <v>5921</v>
      </c>
      <c r="CE99" s="464" t="s">
        <v>5921</v>
      </c>
      <c r="CF99" s="464" t="s">
        <v>5921</v>
      </c>
      <c r="CG99" s="464">
        <v>0.33725002512500002</v>
      </c>
      <c r="CH99" s="464">
        <v>-0.47204800930128138</v>
      </c>
      <c r="CI99" s="464">
        <v>5.3497261343128244</v>
      </c>
      <c r="CJ99" s="464">
        <v>39.656973578652632</v>
      </c>
      <c r="CK99" s="464">
        <v>0.49692964807321482</v>
      </c>
      <c r="CL99" s="464">
        <v>0.79617834394904463</v>
      </c>
      <c r="CM99" s="464" t="s">
        <v>5921</v>
      </c>
      <c r="CN99" s="464" t="s">
        <v>6355</v>
      </c>
      <c r="CO99" s="464">
        <v>0.52357900056415452</v>
      </c>
      <c r="CP99" s="464">
        <v>0.10101200466866095</v>
      </c>
      <c r="CQ99" s="464" t="s">
        <v>539</v>
      </c>
      <c r="CR99" s="464" t="s">
        <v>6310</v>
      </c>
      <c r="CS99" s="464">
        <v>25766.745501941252</v>
      </c>
      <c r="CT99" s="464">
        <v>3475.9342271676674</v>
      </c>
      <c r="CU99" s="464">
        <v>1</v>
      </c>
      <c r="CV99" s="464" t="s">
        <v>539</v>
      </c>
      <c r="CW99" s="464" t="s">
        <v>5921</v>
      </c>
    </row>
    <row r="100" spans="1:101" x14ac:dyDescent="0.2">
      <c r="A100" s="464">
        <v>827</v>
      </c>
      <c r="B100" s="464" t="s">
        <v>6785</v>
      </c>
      <c r="C100" s="464" t="s">
        <v>6786</v>
      </c>
      <c r="D100" s="464" t="s">
        <v>2355</v>
      </c>
      <c r="E100" s="464">
        <v>13463417</v>
      </c>
      <c r="F100" s="464" t="s">
        <v>2356</v>
      </c>
      <c r="G100" s="464" t="s">
        <v>2356</v>
      </c>
      <c r="H100" s="464" t="s">
        <v>2357</v>
      </c>
      <c r="I100" s="464" t="s">
        <v>6617</v>
      </c>
      <c r="J100" s="464" t="s">
        <v>5929</v>
      </c>
      <c r="K100" s="464" t="s">
        <v>2342</v>
      </c>
      <c r="L100" s="464" t="s">
        <v>2342</v>
      </c>
      <c r="M100" s="464" t="s">
        <v>5921</v>
      </c>
      <c r="N100" s="464" t="s">
        <v>5921</v>
      </c>
      <c r="O100" s="464" t="s">
        <v>5921</v>
      </c>
      <c r="P100" s="464" t="s">
        <v>5921</v>
      </c>
      <c r="Q100" s="464" t="s">
        <v>5921</v>
      </c>
      <c r="R100" s="464">
        <v>317.7</v>
      </c>
      <c r="S100" s="464" t="s">
        <v>5921</v>
      </c>
      <c r="T100" s="464">
        <v>487600</v>
      </c>
      <c r="U100" s="464" t="s">
        <v>5921</v>
      </c>
      <c r="V100" s="464">
        <v>487600</v>
      </c>
      <c r="W100" s="464" t="s">
        <v>5921</v>
      </c>
      <c r="X100" s="464">
        <v>-1.99</v>
      </c>
      <c r="Y100" s="464" t="s">
        <v>5921</v>
      </c>
      <c r="Z100" s="464" t="s">
        <v>5921</v>
      </c>
      <c r="AA100" s="464" t="s">
        <v>5921</v>
      </c>
      <c r="AB100" s="464" t="s">
        <v>5921</v>
      </c>
      <c r="AC100" s="464" t="s">
        <v>5921</v>
      </c>
      <c r="AD100" s="464" t="s">
        <v>5921</v>
      </c>
      <c r="AE100" s="464" t="s">
        <v>5921</v>
      </c>
      <c r="AF100" s="464">
        <v>8.1399999999999998E-22</v>
      </c>
      <c r="AG100" s="464" t="s">
        <v>5921</v>
      </c>
      <c r="AH100" s="464">
        <v>-19.477941921423451</v>
      </c>
      <c r="AI100" s="464" t="s">
        <v>5921</v>
      </c>
      <c r="AJ100" s="464">
        <v>-19.477941921423451</v>
      </c>
      <c r="AK100" s="464" t="s">
        <v>5921</v>
      </c>
      <c r="AL100" s="464" t="s">
        <v>5921</v>
      </c>
      <c r="AM100" s="464" t="s">
        <v>5921</v>
      </c>
      <c r="AN100" s="464" t="s">
        <v>5921</v>
      </c>
      <c r="AO100" s="464" t="s">
        <v>6311</v>
      </c>
      <c r="AP100" s="464" t="s">
        <v>6311</v>
      </c>
      <c r="AQ100" s="464" t="s">
        <v>6</v>
      </c>
      <c r="AR100" s="464" t="s">
        <v>266</v>
      </c>
      <c r="AS100" s="464" t="s">
        <v>8444</v>
      </c>
      <c r="AT100" s="464" t="s">
        <v>8445</v>
      </c>
      <c r="AU100" s="464" t="s">
        <v>8445</v>
      </c>
      <c r="AV100" s="464" t="s">
        <v>8472</v>
      </c>
      <c r="AW100" s="464" t="s">
        <v>1780</v>
      </c>
      <c r="AX100" s="464" t="s">
        <v>2358</v>
      </c>
      <c r="AY100" s="464" t="s">
        <v>2359</v>
      </c>
      <c r="AZ100" s="464" t="s">
        <v>2360</v>
      </c>
      <c r="BA100" s="464" t="s">
        <v>2361</v>
      </c>
      <c r="BB100" s="464" t="s">
        <v>5921</v>
      </c>
      <c r="BC100" s="464" t="s">
        <v>271</v>
      </c>
      <c r="BD100" s="464" t="s">
        <v>535</v>
      </c>
      <c r="BE100" s="464" t="s">
        <v>2362</v>
      </c>
      <c r="BF100" s="464" t="s">
        <v>2363</v>
      </c>
      <c r="BG100" s="464">
        <v>3.0000000000000001E-3</v>
      </c>
      <c r="BH100" s="464">
        <v>0.3</v>
      </c>
      <c r="BI100" s="464" t="s">
        <v>5921</v>
      </c>
      <c r="BJ100" s="464">
        <v>1000083.3911979881</v>
      </c>
      <c r="BK100" s="464" t="s">
        <v>5921</v>
      </c>
      <c r="BL100" s="464" t="s">
        <v>5921</v>
      </c>
      <c r="BM100" s="464" t="s">
        <v>5921</v>
      </c>
      <c r="BN100" s="464" t="s">
        <v>5921</v>
      </c>
      <c r="BO100" s="464">
        <v>7.000000000000008E-3</v>
      </c>
      <c r="BP100" s="464" t="s">
        <v>5921</v>
      </c>
      <c r="BQ100" s="464" t="s">
        <v>5921</v>
      </c>
      <c r="BR100" s="464" t="s">
        <v>5921</v>
      </c>
      <c r="BS100" s="464" t="s">
        <v>5921</v>
      </c>
      <c r="BT100" s="464" t="s">
        <v>5921</v>
      </c>
      <c r="BU100" s="464" t="s">
        <v>5921</v>
      </c>
      <c r="BV100" s="464" t="s">
        <v>5921</v>
      </c>
      <c r="BW100" s="464" t="s">
        <v>5921</v>
      </c>
      <c r="BX100" s="464" t="s">
        <v>5921</v>
      </c>
      <c r="BY100" s="464" t="s">
        <v>5921</v>
      </c>
      <c r="BZ100" s="464" t="s">
        <v>5921</v>
      </c>
      <c r="CA100" s="464" t="s">
        <v>5921</v>
      </c>
      <c r="CB100" s="464" t="s">
        <v>5921</v>
      </c>
      <c r="CC100" s="464" t="s">
        <v>5921</v>
      </c>
      <c r="CD100" s="464" t="s">
        <v>5921</v>
      </c>
      <c r="CE100" s="464" t="s">
        <v>5921</v>
      </c>
      <c r="CF100" s="464" t="s">
        <v>5921</v>
      </c>
      <c r="CG100" s="464">
        <v>7.000000000000008E-3</v>
      </c>
      <c r="CH100" s="464">
        <v>-2.1549019599857426</v>
      </c>
      <c r="CI100" s="464">
        <v>3333611.3039932935</v>
      </c>
      <c r="CJ100" s="464">
        <v>142869055.8854267</v>
      </c>
      <c r="CK100" s="464" t="s">
        <v>5921</v>
      </c>
      <c r="CL100" s="464" t="s">
        <v>5921</v>
      </c>
      <c r="CM100" s="464" t="s">
        <v>5921</v>
      </c>
      <c r="CN100" s="464" t="s">
        <v>2364</v>
      </c>
      <c r="CO100" s="464">
        <v>-2.5399383368546382</v>
      </c>
      <c r="CP100" s="464">
        <v>2.4268133584853815</v>
      </c>
      <c r="CQ100" s="464" t="s">
        <v>539</v>
      </c>
      <c r="CR100" s="464" t="s">
        <v>5921</v>
      </c>
      <c r="CS100" s="464">
        <v>69657142.857142776</v>
      </c>
      <c r="CT100" s="464">
        <v>1625333.3333333335</v>
      </c>
      <c r="CU100" s="464">
        <v>1</v>
      </c>
      <c r="CV100" s="464" t="s">
        <v>5921</v>
      </c>
      <c r="CW100" s="464" t="s">
        <v>6351</v>
      </c>
    </row>
    <row r="101" spans="1:101" x14ac:dyDescent="0.2">
      <c r="A101" s="464">
        <v>831</v>
      </c>
      <c r="B101" s="464" t="s">
        <v>6685</v>
      </c>
      <c r="C101" s="464" t="s">
        <v>6686</v>
      </c>
      <c r="D101" s="464" t="s">
        <v>2375</v>
      </c>
      <c r="E101" s="464">
        <v>26062793</v>
      </c>
      <c r="F101" s="464" t="s">
        <v>2376</v>
      </c>
      <c r="G101" s="464" t="s">
        <v>8337</v>
      </c>
      <c r="H101" s="464" t="s">
        <v>2377</v>
      </c>
      <c r="I101" s="464" t="s">
        <v>426</v>
      </c>
      <c r="J101" s="464" t="s">
        <v>5921</v>
      </c>
      <c r="K101" s="464" t="s">
        <v>6025</v>
      </c>
      <c r="L101" s="464" t="s">
        <v>2342</v>
      </c>
      <c r="M101" s="464" t="s">
        <v>2342</v>
      </c>
      <c r="N101" s="464" t="s">
        <v>5921</v>
      </c>
      <c r="O101" s="464" t="s">
        <v>5921</v>
      </c>
      <c r="P101" s="464" t="s">
        <v>5921</v>
      </c>
      <c r="Q101" s="464" t="s">
        <v>5921</v>
      </c>
      <c r="R101" s="464">
        <v>161.68</v>
      </c>
      <c r="S101" s="464" t="s">
        <v>5921</v>
      </c>
      <c r="T101" s="464">
        <v>1000000</v>
      </c>
      <c r="U101" s="464">
        <v>308074.88888029783</v>
      </c>
      <c r="V101" s="464">
        <v>308074.88888029783</v>
      </c>
      <c r="W101" s="464">
        <v>7</v>
      </c>
      <c r="X101" s="464">
        <v>-2.4900000000000002</v>
      </c>
      <c r="Y101" s="464" t="s">
        <v>5921</v>
      </c>
      <c r="Z101" s="464">
        <v>-2.72</v>
      </c>
      <c r="AA101" s="464">
        <v>0.66339999999999999</v>
      </c>
      <c r="AB101" s="464">
        <v>-2.54</v>
      </c>
      <c r="AC101" s="464">
        <v>-2.2999999999999998</v>
      </c>
      <c r="AD101" s="464">
        <v>-2.54</v>
      </c>
      <c r="AE101" s="464">
        <v>7.38</v>
      </c>
      <c r="AF101" s="464">
        <v>7.2E-12</v>
      </c>
      <c r="AG101" s="464" t="s">
        <v>5921</v>
      </c>
      <c r="AH101" s="464">
        <v>-9.5312338298813835</v>
      </c>
      <c r="AI101" s="464" t="s">
        <v>5921</v>
      </c>
      <c r="AJ101" s="464">
        <v>-9.5312338298813835</v>
      </c>
      <c r="AK101" s="464">
        <v>-0.9079600000000001</v>
      </c>
      <c r="AL101" s="464">
        <v>-20.9</v>
      </c>
      <c r="AM101" s="464" t="s">
        <v>5921</v>
      </c>
      <c r="AN101" s="464" t="s">
        <v>5921</v>
      </c>
      <c r="AO101" s="464" t="s">
        <v>6311</v>
      </c>
      <c r="AP101" s="464" t="s">
        <v>6311</v>
      </c>
      <c r="AQ101" s="464" t="s">
        <v>6</v>
      </c>
      <c r="AR101" s="464" t="s">
        <v>266</v>
      </c>
      <c r="AS101" s="464" t="s">
        <v>8444</v>
      </c>
      <c r="AT101" s="464" t="s">
        <v>8445</v>
      </c>
      <c r="AU101" s="464" t="s">
        <v>8445</v>
      </c>
      <c r="AV101" s="464" t="s">
        <v>8446</v>
      </c>
      <c r="AW101" s="464" t="s">
        <v>6360</v>
      </c>
      <c r="AX101" s="464" t="s">
        <v>536</v>
      </c>
      <c r="AY101" s="464" t="s">
        <v>8447</v>
      </c>
      <c r="AZ101" s="464" t="s">
        <v>1764</v>
      </c>
      <c r="BA101" s="464" t="s">
        <v>6372</v>
      </c>
      <c r="BB101" s="464" t="s">
        <v>5921</v>
      </c>
      <c r="BC101" s="464" t="s">
        <v>6361</v>
      </c>
      <c r="BD101" s="464" t="s">
        <v>1974</v>
      </c>
      <c r="BE101" s="464" t="s">
        <v>1974</v>
      </c>
      <c r="BF101" s="464" t="s">
        <v>272</v>
      </c>
      <c r="BG101" s="464">
        <v>0.10000000000000002</v>
      </c>
      <c r="BH101" s="464">
        <v>1.6000000000000003</v>
      </c>
      <c r="BI101" s="464" t="s">
        <v>5921</v>
      </c>
      <c r="BJ101" s="464">
        <v>1431282.2997118118</v>
      </c>
      <c r="BK101" s="464" t="s">
        <v>5921</v>
      </c>
      <c r="BL101" s="464" t="s">
        <v>5921</v>
      </c>
      <c r="BM101" s="464" t="s">
        <v>5921</v>
      </c>
      <c r="BN101" s="464" t="s">
        <v>5921</v>
      </c>
      <c r="BO101" s="464">
        <v>0.51658333685333335</v>
      </c>
      <c r="BP101" s="464" t="s">
        <v>5921</v>
      </c>
      <c r="BQ101" s="464" t="s">
        <v>5921</v>
      </c>
      <c r="BR101" s="464" t="s">
        <v>5921</v>
      </c>
      <c r="BS101" s="464" t="s">
        <v>5921</v>
      </c>
      <c r="BT101" s="464" t="s">
        <v>5921</v>
      </c>
      <c r="BU101" s="464" t="s">
        <v>5921</v>
      </c>
      <c r="BV101" s="464" t="s">
        <v>5921</v>
      </c>
      <c r="BW101" s="464" t="s">
        <v>5921</v>
      </c>
      <c r="BX101" s="464" t="s">
        <v>5921</v>
      </c>
      <c r="BY101" s="464" t="s">
        <v>5921</v>
      </c>
      <c r="BZ101" s="464" t="s">
        <v>5921</v>
      </c>
      <c r="CA101" s="464" t="s">
        <v>5921</v>
      </c>
      <c r="CB101" s="464" t="s">
        <v>5921</v>
      </c>
      <c r="CC101" s="464" t="s">
        <v>5921</v>
      </c>
      <c r="CD101" s="464" t="s">
        <v>5921</v>
      </c>
      <c r="CE101" s="464" t="s">
        <v>5921</v>
      </c>
      <c r="CF101" s="464" t="s">
        <v>5921</v>
      </c>
      <c r="CG101" s="464">
        <v>0.51658333685333335</v>
      </c>
      <c r="CH101" s="464">
        <v>-0.28685960673676775</v>
      </c>
      <c r="CI101" s="464">
        <v>894551.43731988221</v>
      </c>
      <c r="CJ101" s="464">
        <v>2770670.6693835477</v>
      </c>
      <c r="CK101" s="464" t="s">
        <v>5921</v>
      </c>
      <c r="CL101" s="464" t="s">
        <v>5921</v>
      </c>
      <c r="CM101" s="464" t="s">
        <v>5921</v>
      </c>
      <c r="CN101" s="464" t="s">
        <v>6355</v>
      </c>
      <c r="CO101" s="464">
        <v>-0.88414232762315625</v>
      </c>
      <c r="CP101" s="464">
        <v>3.956240831423294</v>
      </c>
      <c r="CQ101" s="464" t="s">
        <v>539</v>
      </c>
      <c r="CR101" s="464" t="s">
        <v>5921</v>
      </c>
      <c r="CS101" s="464">
        <v>596370.16315097571</v>
      </c>
      <c r="CT101" s="464">
        <v>192546.80555018611</v>
      </c>
      <c r="CU101" s="464">
        <v>1</v>
      </c>
      <c r="CV101" s="464" t="s">
        <v>539</v>
      </c>
      <c r="CW101" s="464" t="s">
        <v>5921</v>
      </c>
    </row>
    <row r="102" spans="1:101" x14ac:dyDescent="0.2">
      <c r="A102" s="464">
        <v>860</v>
      </c>
      <c r="B102" s="464" t="s">
        <v>612</v>
      </c>
      <c r="C102" s="464" t="s">
        <v>6437</v>
      </c>
      <c r="D102" s="464" t="s">
        <v>613</v>
      </c>
      <c r="E102" s="464">
        <v>63252</v>
      </c>
      <c r="F102" s="464" t="s">
        <v>614</v>
      </c>
      <c r="G102" s="464" t="s">
        <v>614</v>
      </c>
      <c r="H102" s="464" t="s">
        <v>615</v>
      </c>
      <c r="I102" s="464" t="s">
        <v>616</v>
      </c>
      <c r="J102" s="464" t="s">
        <v>617</v>
      </c>
      <c r="K102" s="464" t="s">
        <v>618</v>
      </c>
      <c r="L102" s="464" t="s">
        <v>6376</v>
      </c>
      <c r="M102" s="464" t="s">
        <v>619</v>
      </c>
      <c r="N102" s="464" t="s">
        <v>5921</v>
      </c>
      <c r="O102" s="464" t="s">
        <v>6173</v>
      </c>
      <c r="P102" s="464" t="s">
        <v>6185</v>
      </c>
      <c r="Q102" s="464" t="s">
        <v>6176</v>
      </c>
      <c r="R102" s="464">
        <v>201.22</v>
      </c>
      <c r="S102" s="464">
        <v>110</v>
      </c>
      <c r="T102" s="464">
        <v>416.2</v>
      </c>
      <c r="U102" s="464">
        <v>96.309947177161263</v>
      </c>
      <c r="V102" s="464">
        <v>96.309947177161263</v>
      </c>
      <c r="W102" s="464">
        <v>6.99</v>
      </c>
      <c r="X102" s="464">
        <v>2.35</v>
      </c>
      <c r="Y102" s="464">
        <v>2.36</v>
      </c>
      <c r="Z102" s="464">
        <v>2.4500000000000002</v>
      </c>
      <c r="AA102" s="464">
        <v>0.83340000000000003</v>
      </c>
      <c r="AB102" s="464">
        <v>2.44</v>
      </c>
      <c r="AC102" s="464">
        <v>2.4</v>
      </c>
      <c r="AD102" s="464">
        <v>2.36</v>
      </c>
      <c r="AE102" s="464">
        <v>2.38</v>
      </c>
      <c r="AF102" s="464">
        <v>3.1399999999999999E-9</v>
      </c>
      <c r="AG102" s="464">
        <v>3.2700000000000001E-9</v>
      </c>
      <c r="AH102" s="464">
        <v>-6.8916366782394372</v>
      </c>
      <c r="AI102" s="464">
        <v>-6.874018573652366</v>
      </c>
      <c r="AJ102" s="464">
        <v>-6.874018573652366</v>
      </c>
      <c r="AK102" s="464">
        <v>-10.500939999999998</v>
      </c>
      <c r="AL102" s="464">
        <v>-6.44</v>
      </c>
      <c r="AM102" s="464">
        <v>12.02</v>
      </c>
      <c r="AN102" s="464">
        <v>-1.55</v>
      </c>
      <c r="AO102" s="464" t="s">
        <v>6311</v>
      </c>
      <c r="AP102" s="464" t="s">
        <v>6314</v>
      </c>
      <c r="AQ102" s="464" t="s">
        <v>6</v>
      </c>
      <c r="AR102" s="464" t="s">
        <v>266</v>
      </c>
      <c r="AS102" s="464" t="s">
        <v>8444</v>
      </c>
      <c r="AT102" s="464" t="s">
        <v>8445</v>
      </c>
      <c r="AU102" s="464" t="s">
        <v>5921</v>
      </c>
      <c r="AV102" s="464" t="s">
        <v>5921</v>
      </c>
      <c r="AW102" s="464" t="s">
        <v>5921</v>
      </c>
      <c r="AX102" s="464" t="s">
        <v>5921</v>
      </c>
      <c r="AY102" s="464" t="s">
        <v>5921</v>
      </c>
      <c r="AZ102" s="464" t="s">
        <v>5921</v>
      </c>
      <c r="BA102" s="464" t="s">
        <v>5494</v>
      </c>
      <c r="BB102" s="464" t="s">
        <v>5921</v>
      </c>
      <c r="BC102" s="464" t="s">
        <v>2449</v>
      </c>
      <c r="BD102" s="464" t="s">
        <v>5921</v>
      </c>
      <c r="BE102" s="464" t="s">
        <v>1974</v>
      </c>
      <c r="BF102" s="464" t="s">
        <v>5921</v>
      </c>
      <c r="BG102" s="464" t="s">
        <v>5921</v>
      </c>
      <c r="BH102" s="464" t="s">
        <v>5921</v>
      </c>
      <c r="BI102" s="464" t="s">
        <v>6338</v>
      </c>
      <c r="BJ102" s="464">
        <v>80.156019944741601</v>
      </c>
      <c r="BK102" s="464" t="s">
        <v>5921</v>
      </c>
      <c r="BL102" s="464">
        <v>24.398787457138596</v>
      </c>
      <c r="BM102" s="464">
        <v>30.79846941310938</v>
      </c>
      <c r="BN102" s="464">
        <v>25.298742732196992</v>
      </c>
      <c r="BO102" s="464">
        <v>22.69887193758386</v>
      </c>
      <c r="BP102" s="464" t="s">
        <v>5921</v>
      </c>
      <c r="BQ102" s="464" t="s">
        <v>5921</v>
      </c>
      <c r="BR102" s="464" t="s">
        <v>5921</v>
      </c>
      <c r="BS102" s="464" t="s">
        <v>5921</v>
      </c>
      <c r="BT102" s="464" t="s">
        <v>5921</v>
      </c>
      <c r="BU102" s="464" t="s">
        <v>5921</v>
      </c>
      <c r="BV102" s="464" t="s">
        <v>5921</v>
      </c>
      <c r="BW102" s="464" t="s">
        <v>5921</v>
      </c>
      <c r="BX102" s="464" t="s">
        <v>5921</v>
      </c>
      <c r="BY102" s="464" t="s">
        <v>5921</v>
      </c>
      <c r="BZ102" s="464" t="s">
        <v>5921</v>
      </c>
      <c r="CA102" s="464" t="s">
        <v>5921</v>
      </c>
      <c r="CB102" s="464" t="s">
        <v>5921</v>
      </c>
      <c r="CC102" s="464" t="s">
        <v>5921</v>
      </c>
      <c r="CD102" s="464" t="s">
        <v>5921</v>
      </c>
      <c r="CE102" s="464" t="s">
        <v>5921</v>
      </c>
      <c r="CF102" s="464" t="s">
        <v>5921</v>
      </c>
      <c r="CG102" s="464">
        <v>22.69887193758386</v>
      </c>
      <c r="CH102" s="464">
        <v>1.356004274662026</v>
      </c>
      <c r="CI102" s="464" t="s">
        <v>5921</v>
      </c>
      <c r="CJ102" s="464">
        <v>3.5312776848625043</v>
      </c>
      <c r="CK102" s="464">
        <v>0.27580627284202597</v>
      </c>
      <c r="CL102" s="464" t="s">
        <v>5921</v>
      </c>
      <c r="CM102" s="464" t="s">
        <v>5921</v>
      </c>
      <c r="CN102" s="464" t="s">
        <v>2444</v>
      </c>
      <c r="CO102" s="464">
        <v>0.61609346580285851</v>
      </c>
      <c r="CP102" s="464">
        <v>5.4942802613140511</v>
      </c>
      <c r="CQ102" s="464" t="s">
        <v>539</v>
      </c>
      <c r="CR102" s="464" t="s">
        <v>6310</v>
      </c>
      <c r="CS102" s="464">
        <v>4.2429398007966732</v>
      </c>
      <c r="CT102" s="464" t="s">
        <v>5921</v>
      </c>
      <c r="CU102" s="464">
        <v>1</v>
      </c>
      <c r="CV102" s="464" t="s">
        <v>539</v>
      </c>
      <c r="CW102" s="464" t="s">
        <v>5921</v>
      </c>
    </row>
    <row r="103" spans="1:101" x14ac:dyDescent="0.2">
      <c r="A103" s="464">
        <v>862</v>
      </c>
      <c r="B103" s="464" t="s">
        <v>2451</v>
      </c>
      <c r="C103" s="464" t="s">
        <v>6496</v>
      </c>
      <c r="D103" s="464" t="s">
        <v>3979</v>
      </c>
      <c r="E103" s="464">
        <v>1918021</v>
      </c>
      <c r="F103" s="464" t="s">
        <v>2452</v>
      </c>
      <c r="G103" s="464" t="s">
        <v>8078</v>
      </c>
      <c r="H103" s="464" t="s">
        <v>2453</v>
      </c>
      <c r="I103" s="464" t="s">
        <v>2454</v>
      </c>
      <c r="J103" s="464" t="s">
        <v>6033</v>
      </c>
      <c r="K103" s="464" t="s">
        <v>3980</v>
      </c>
      <c r="L103" s="464" t="s">
        <v>6385</v>
      </c>
      <c r="M103" s="464" t="s">
        <v>1630</v>
      </c>
      <c r="N103" s="464" t="s">
        <v>5921</v>
      </c>
      <c r="O103" s="464" t="s">
        <v>5921</v>
      </c>
      <c r="P103" s="464" t="s">
        <v>5921</v>
      </c>
      <c r="Q103" s="464" t="s">
        <v>5921</v>
      </c>
      <c r="R103" s="464">
        <v>241.46</v>
      </c>
      <c r="S103" s="464">
        <v>430</v>
      </c>
      <c r="T103" s="464">
        <v>628.6</v>
      </c>
      <c r="U103" s="464">
        <v>746.18273513473173</v>
      </c>
      <c r="V103" s="464">
        <v>746.18273513473173</v>
      </c>
      <c r="W103" s="464">
        <v>2.6</v>
      </c>
      <c r="X103" s="464">
        <v>1.36</v>
      </c>
      <c r="Y103" s="464">
        <v>1.9</v>
      </c>
      <c r="Z103" s="464">
        <v>2.4500000000000002</v>
      </c>
      <c r="AA103" s="464">
        <v>0.79590000000000005</v>
      </c>
      <c r="AB103" s="464">
        <v>2.59</v>
      </c>
      <c r="AC103" s="464">
        <v>2.94</v>
      </c>
      <c r="AD103" s="464">
        <v>1.9</v>
      </c>
      <c r="AE103" s="464">
        <v>2.25</v>
      </c>
      <c r="AF103" s="464">
        <v>1.29E-12</v>
      </c>
      <c r="AG103" s="464">
        <v>5.3299999999999998E-14</v>
      </c>
      <c r="AH103" s="464">
        <v>-10.277976616013403</v>
      </c>
      <c r="AI103" s="464">
        <v>-11.66183911728608</v>
      </c>
      <c r="AJ103" s="464">
        <v>-11.66183911728608</v>
      </c>
      <c r="AK103" s="464">
        <v>-14.922219999999998</v>
      </c>
      <c r="AL103" s="464">
        <v>-8.65</v>
      </c>
      <c r="AM103" s="464">
        <v>1.93</v>
      </c>
      <c r="AN103" s="464">
        <v>-4.34</v>
      </c>
      <c r="AO103" s="464" t="s">
        <v>5921</v>
      </c>
      <c r="AP103" s="464" t="s">
        <v>5921</v>
      </c>
      <c r="AQ103" s="464" t="s">
        <v>6</v>
      </c>
      <c r="AR103" s="464" t="s">
        <v>266</v>
      </c>
      <c r="AS103" s="464" t="s">
        <v>8453</v>
      </c>
      <c r="AT103" s="464" t="s">
        <v>8458</v>
      </c>
      <c r="AU103" s="464" t="s">
        <v>8445</v>
      </c>
      <c r="AV103" s="464" t="s">
        <v>8446</v>
      </c>
      <c r="AW103" s="464" t="s">
        <v>267</v>
      </c>
      <c r="AX103" s="464" t="s">
        <v>536</v>
      </c>
      <c r="AY103" s="464" t="s">
        <v>8456</v>
      </c>
      <c r="AZ103" s="464" t="s">
        <v>1764</v>
      </c>
      <c r="BA103" s="464" t="s">
        <v>2448</v>
      </c>
      <c r="BB103" s="464" t="s">
        <v>5921</v>
      </c>
      <c r="BC103" s="464" t="s">
        <v>2449</v>
      </c>
      <c r="BD103" s="464" t="s">
        <v>5921</v>
      </c>
      <c r="BE103" s="464" t="s">
        <v>540</v>
      </c>
      <c r="BF103" s="464" t="s">
        <v>272</v>
      </c>
      <c r="BG103" s="464" t="s">
        <v>5921</v>
      </c>
      <c r="BH103" s="464" t="s">
        <v>5921</v>
      </c>
      <c r="BI103" s="464" t="s">
        <v>5921</v>
      </c>
      <c r="BJ103" s="464">
        <v>745.1251054455887</v>
      </c>
      <c r="BK103" s="464" t="s">
        <v>5921</v>
      </c>
      <c r="BL103" s="464" t="s">
        <v>5921</v>
      </c>
      <c r="BM103" s="464" t="s">
        <v>5921</v>
      </c>
      <c r="BN103" s="464" t="s">
        <v>5921</v>
      </c>
      <c r="BO103" s="464">
        <v>112.56</v>
      </c>
      <c r="BP103" s="464" t="s">
        <v>5921</v>
      </c>
      <c r="BQ103" s="464" t="s">
        <v>5921</v>
      </c>
      <c r="BR103" s="464" t="s">
        <v>5921</v>
      </c>
      <c r="BS103" s="464" t="s">
        <v>5921</v>
      </c>
      <c r="BT103" s="464" t="s">
        <v>5921</v>
      </c>
      <c r="BU103" s="464" t="s">
        <v>5921</v>
      </c>
      <c r="BV103" s="464" t="s">
        <v>5921</v>
      </c>
      <c r="BW103" s="464" t="s">
        <v>5921</v>
      </c>
      <c r="BX103" s="464" t="s">
        <v>5921</v>
      </c>
      <c r="BY103" s="464" t="s">
        <v>5921</v>
      </c>
      <c r="BZ103" s="464" t="s">
        <v>5921</v>
      </c>
      <c r="CA103" s="464" t="s">
        <v>5921</v>
      </c>
      <c r="CB103" s="464" t="s">
        <v>5921</v>
      </c>
      <c r="CC103" s="464" t="s">
        <v>5921</v>
      </c>
      <c r="CD103" s="464" t="s">
        <v>5921</v>
      </c>
      <c r="CE103" s="464" t="s">
        <v>5921</v>
      </c>
      <c r="CF103" s="464" t="s">
        <v>5921</v>
      </c>
      <c r="CG103" s="464">
        <v>112.56</v>
      </c>
      <c r="CH103" s="464">
        <v>2.0513840844266893</v>
      </c>
      <c r="CI103" s="464" t="s">
        <v>5921</v>
      </c>
      <c r="CJ103" s="464">
        <v>6.619803708649509</v>
      </c>
      <c r="CK103" s="464">
        <v>1.118728228139199</v>
      </c>
      <c r="CL103" s="464">
        <v>0</v>
      </c>
      <c r="CM103" s="464" t="s">
        <v>5921</v>
      </c>
      <c r="CN103" s="464" t="s">
        <v>2450</v>
      </c>
      <c r="CO103" s="464">
        <v>1.3145159593146216</v>
      </c>
      <c r="CP103" s="464">
        <v>5.4559216515533651</v>
      </c>
      <c r="CQ103" s="464" t="s">
        <v>539</v>
      </c>
      <c r="CR103" s="464" t="s">
        <v>5921</v>
      </c>
      <c r="CS103" s="464">
        <v>6.6291998501664153</v>
      </c>
      <c r="CT103" s="464" t="s">
        <v>5921</v>
      </c>
      <c r="CU103" s="464">
        <v>1</v>
      </c>
      <c r="CV103" s="464" t="s">
        <v>5921</v>
      </c>
      <c r="CW103" s="464" t="s">
        <v>5921</v>
      </c>
    </row>
    <row r="104" spans="1:101" x14ac:dyDescent="0.2">
      <c r="A104" s="464">
        <v>863</v>
      </c>
      <c r="B104" s="464" t="s">
        <v>2455</v>
      </c>
      <c r="C104" s="464" t="s">
        <v>6450</v>
      </c>
      <c r="D104" s="464" t="s">
        <v>3836</v>
      </c>
      <c r="E104" s="464">
        <v>85007</v>
      </c>
      <c r="F104" s="464" t="s">
        <v>2456</v>
      </c>
      <c r="G104" s="464" t="s">
        <v>2456</v>
      </c>
      <c r="H104" s="464" t="s">
        <v>2457</v>
      </c>
      <c r="I104" s="464" t="s">
        <v>426</v>
      </c>
      <c r="J104" s="464" t="s">
        <v>6107</v>
      </c>
      <c r="K104" s="464" t="s">
        <v>2342</v>
      </c>
      <c r="L104" s="464" t="s">
        <v>2342</v>
      </c>
      <c r="M104" s="464" t="s">
        <v>5921</v>
      </c>
      <c r="N104" s="464" t="s">
        <v>5921</v>
      </c>
      <c r="O104" s="464" t="s">
        <v>5921</v>
      </c>
      <c r="P104" s="464" t="s">
        <v>5921</v>
      </c>
      <c r="Q104" s="464" t="s">
        <v>5921</v>
      </c>
      <c r="R104" s="464">
        <v>344.05</v>
      </c>
      <c r="S104" s="464">
        <v>708000</v>
      </c>
      <c r="T104" s="464">
        <v>134500</v>
      </c>
      <c r="U104" s="464" t="s">
        <v>5921</v>
      </c>
      <c r="V104" s="464">
        <v>134500</v>
      </c>
      <c r="W104" s="464" t="s">
        <v>5921</v>
      </c>
      <c r="X104" s="464">
        <v>-2.82</v>
      </c>
      <c r="Y104" s="464" t="s">
        <v>5921</v>
      </c>
      <c r="Z104" s="464" t="s">
        <v>5921</v>
      </c>
      <c r="AA104" s="464" t="s">
        <v>5921</v>
      </c>
      <c r="AB104" s="464" t="s">
        <v>5921</v>
      </c>
      <c r="AC104" s="464" t="s">
        <v>5921</v>
      </c>
      <c r="AD104" s="464" t="s">
        <v>5921</v>
      </c>
      <c r="AE104" s="464">
        <v>3.61</v>
      </c>
      <c r="AF104" s="464">
        <v>1.42E-13</v>
      </c>
      <c r="AG104" s="464" t="s">
        <v>5921</v>
      </c>
      <c r="AH104" s="464">
        <v>-11.236277981929595</v>
      </c>
      <c r="AI104" s="464" t="s">
        <v>5921</v>
      </c>
      <c r="AJ104" s="464">
        <v>-11.236277981929595</v>
      </c>
      <c r="AK104" s="464" t="s">
        <v>5921</v>
      </c>
      <c r="AL104" s="464">
        <v>-10.4</v>
      </c>
      <c r="AM104" s="464" t="s">
        <v>5921</v>
      </c>
      <c r="AN104" s="464" t="s">
        <v>5921</v>
      </c>
      <c r="AO104" s="464" t="s">
        <v>6311</v>
      </c>
      <c r="AP104" s="464" t="s">
        <v>6311</v>
      </c>
      <c r="AQ104" s="464" t="s">
        <v>6</v>
      </c>
      <c r="AR104" s="464" t="s">
        <v>266</v>
      </c>
      <c r="AS104" s="464" t="s">
        <v>8453</v>
      </c>
      <c r="AT104" s="464" t="s">
        <v>8458</v>
      </c>
      <c r="AU104" s="464" t="s">
        <v>8445</v>
      </c>
      <c r="AV104" s="464" t="s">
        <v>8446</v>
      </c>
      <c r="AW104" s="464" t="s">
        <v>267</v>
      </c>
      <c r="AX104" s="464" t="s">
        <v>536</v>
      </c>
      <c r="AY104" s="464" t="s">
        <v>8456</v>
      </c>
      <c r="AZ104" s="464" t="s">
        <v>1764</v>
      </c>
      <c r="BA104" s="464" t="s">
        <v>2448</v>
      </c>
      <c r="BB104" s="464" t="s">
        <v>5921</v>
      </c>
      <c r="BC104" s="464" t="s">
        <v>2449</v>
      </c>
      <c r="BD104" s="464" t="s">
        <v>5921</v>
      </c>
      <c r="BE104" s="464" t="s">
        <v>540</v>
      </c>
      <c r="BF104" s="464" t="s">
        <v>272</v>
      </c>
      <c r="BG104" s="464" t="s">
        <v>5921</v>
      </c>
      <c r="BH104" s="464" t="s">
        <v>5921</v>
      </c>
      <c r="BI104" s="464" t="s">
        <v>6605</v>
      </c>
      <c r="BJ104" s="464">
        <v>6026477.8154264027</v>
      </c>
      <c r="BK104" s="464" t="s">
        <v>5921</v>
      </c>
      <c r="BL104" s="464" t="s">
        <v>5921</v>
      </c>
      <c r="BM104" s="464" t="s">
        <v>5921</v>
      </c>
      <c r="BN104" s="464" t="s">
        <v>5921</v>
      </c>
      <c r="BO104" s="464">
        <v>555.29</v>
      </c>
      <c r="BP104" s="464" t="s">
        <v>5921</v>
      </c>
      <c r="BQ104" s="464" t="s">
        <v>5921</v>
      </c>
      <c r="BR104" s="464" t="s">
        <v>5921</v>
      </c>
      <c r="BS104" s="464" t="s">
        <v>5921</v>
      </c>
      <c r="BT104" s="464" t="s">
        <v>5921</v>
      </c>
      <c r="BU104" s="464" t="s">
        <v>5921</v>
      </c>
      <c r="BV104" s="464" t="s">
        <v>5921</v>
      </c>
      <c r="BW104" s="464" t="s">
        <v>5921</v>
      </c>
      <c r="BX104" s="464" t="s">
        <v>5921</v>
      </c>
      <c r="BY104" s="464" t="s">
        <v>5921</v>
      </c>
      <c r="BZ104" s="464" t="s">
        <v>5921</v>
      </c>
      <c r="CA104" s="464" t="s">
        <v>5921</v>
      </c>
      <c r="CB104" s="464" t="s">
        <v>5921</v>
      </c>
      <c r="CC104" s="464" t="s">
        <v>5921</v>
      </c>
      <c r="CD104" s="464" t="s">
        <v>5921</v>
      </c>
      <c r="CE104" s="464" t="s">
        <v>5921</v>
      </c>
      <c r="CF104" s="464" t="s">
        <v>5921</v>
      </c>
      <c r="CG104" s="464">
        <v>555.29</v>
      </c>
      <c r="CH104" s="464">
        <v>2.7445198525038577</v>
      </c>
      <c r="CI104" s="464" t="s">
        <v>5921</v>
      </c>
      <c r="CJ104" s="464">
        <v>10852.847728981978</v>
      </c>
      <c r="CK104" s="464">
        <v>1.146128035678238</v>
      </c>
      <c r="CL104" s="464" t="s">
        <v>5921</v>
      </c>
      <c r="CM104" s="464" t="s">
        <v>5921</v>
      </c>
      <c r="CN104" s="464" t="s">
        <v>2450</v>
      </c>
      <c r="CO104" s="464">
        <v>1.9333437564467348</v>
      </c>
      <c r="CP104" s="464">
        <v>6.4740506985468871</v>
      </c>
      <c r="CQ104" s="464" t="s">
        <v>539</v>
      </c>
      <c r="CR104" s="464" t="s">
        <v>5921</v>
      </c>
      <c r="CS104" s="464">
        <v>242.21577914243011</v>
      </c>
      <c r="CT104" s="464" t="s">
        <v>5921</v>
      </c>
      <c r="CU104" s="464">
        <v>1</v>
      </c>
      <c r="CV104" s="464" t="s">
        <v>5921</v>
      </c>
      <c r="CW104" s="464" t="s">
        <v>5921</v>
      </c>
    </row>
    <row r="105" spans="1:101" x14ac:dyDescent="0.2">
      <c r="A105" s="464">
        <v>865</v>
      </c>
      <c r="B105" s="464" t="s">
        <v>947</v>
      </c>
      <c r="C105" s="464" t="s">
        <v>6451</v>
      </c>
      <c r="D105" s="464" t="s">
        <v>948</v>
      </c>
      <c r="E105" s="464">
        <v>86500</v>
      </c>
      <c r="F105" s="464" t="s">
        <v>949</v>
      </c>
      <c r="G105" s="464" t="s">
        <v>949</v>
      </c>
      <c r="H105" s="464" t="s">
        <v>950</v>
      </c>
      <c r="I105" s="464" t="s">
        <v>951</v>
      </c>
      <c r="J105" s="464" t="s">
        <v>617</v>
      </c>
      <c r="K105" s="464" t="s">
        <v>946</v>
      </c>
      <c r="L105" s="464" t="s">
        <v>6376</v>
      </c>
      <c r="M105" s="464" t="s">
        <v>918</v>
      </c>
      <c r="N105" s="464" t="s">
        <v>8470</v>
      </c>
      <c r="O105" s="464" t="s">
        <v>6173</v>
      </c>
      <c r="P105" s="464" t="s">
        <v>8448</v>
      </c>
      <c r="Q105" s="464" t="s">
        <v>6173</v>
      </c>
      <c r="R105" s="464">
        <v>317.33</v>
      </c>
      <c r="S105" s="464">
        <v>20.9</v>
      </c>
      <c r="T105" s="464">
        <v>43.54</v>
      </c>
      <c r="U105" s="464">
        <v>52.663671333716046</v>
      </c>
      <c r="V105" s="464">
        <v>52.663671333716046</v>
      </c>
      <c r="W105" s="464">
        <v>7</v>
      </c>
      <c r="X105" s="464">
        <v>2.5299999999999998</v>
      </c>
      <c r="Y105" s="464">
        <v>2.75</v>
      </c>
      <c r="Z105" s="464">
        <v>3.17</v>
      </c>
      <c r="AA105" s="464">
        <v>0.83950000000000002</v>
      </c>
      <c r="AB105" s="464">
        <v>3.01</v>
      </c>
      <c r="AC105" s="464">
        <v>2.54</v>
      </c>
      <c r="AD105" s="464">
        <v>2.75</v>
      </c>
      <c r="AE105" s="464">
        <v>3.27</v>
      </c>
      <c r="AF105" s="464">
        <v>2.8599999999999999E-10</v>
      </c>
      <c r="AG105" s="464">
        <v>2.3899999999999999E-8</v>
      </c>
      <c r="AH105" s="464">
        <v>-7.9322002931836089</v>
      </c>
      <c r="AI105" s="464">
        <v>-6.0101684253645145</v>
      </c>
      <c r="AJ105" s="464">
        <v>-6.0101684253645145</v>
      </c>
      <c r="AK105" s="464">
        <v>-15.46162</v>
      </c>
      <c r="AL105" s="464">
        <v>-6.71</v>
      </c>
      <c r="AM105" s="464" t="s">
        <v>5921</v>
      </c>
      <c r="AN105" s="464">
        <v>-2.6</v>
      </c>
      <c r="AO105" s="464" t="s">
        <v>6314</v>
      </c>
      <c r="AP105" s="464" t="s">
        <v>6314</v>
      </c>
      <c r="AQ105" s="464" t="s">
        <v>6</v>
      </c>
      <c r="AR105" s="464" t="s">
        <v>266</v>
      </c>
      <c r="AS105" s="464" t="s">
        <v>8453</v>
      </c>
      <c r="AT105" s="464" t="s">
        <v>8458</v>
      </c>
      <c r="AU105" s="464" t="s">
        <v>8445</v>
      </c>
      <c r="AV105" s="464" t="s">
        <v>8446</v>
      </c>
      <c r="AW105" s="464" t="s">
        <v>267</v>
      </c>
      <c r="AX105" s="464" t="s">
        <v>536</v>
      </c>
      <c r="AY105" s="464" t="s">
        <v>8456</v>
      </c>
      <c r="AZ105" s="464" t="s">
        <v>1764</v>
      </c>
      <c r="BA105" s="464" t="s">
        <v>2448</v>
      </c>
      <c r="BB105" s="464" t="s">
        <v>5921</v>
      </c>
      <c r="BC105" s="464" t="s">
        <v>2449</v>
      </c>
      <c r="BD105" s="464" t="s">
        <v>5921</v>
      </c>
      <c r="BE105" s="464" t="s">
        <v>540</v>
      </c>
      <c r="BF105" s="464" t="s">
        <v>272</v>
      </c>
      <c r="BG105" s="464" t="s">
        <v>5921</v>
      </c>
      <c r="BH105" s="464" t="s">
        <v>5921</v>
      </c>
      <c r="BI105" s="464" t="s">
        <v>6605</v>
      </c>
      <c r="BJ105" s="464">
        <v>87.120053154584937</v>
      </c>
      <c r="BK105" s="464" t="s">
        <v>5921</v>
      </c>
      <c r="BL105" s="464" t="s">
        <v>5921</v>
      </c>
      <c r="BM105" s="464" t="s">
        <v>5921</v>
      </c>
      <c r="BN105" s="464" t="s">
        <v>5921</v>
      </c>
      <c r="BO105" s="464">
        <v>3.3899999999999997</v>
      </c>
      <c r="BP105" s="464" t="s">
        <v>5921</v>
      </c>
      <c r="BQ105" s="464" t="s">
        <v>5921</v>
      </c>
      <c r="BR105" s="464" t="s">
        <v>5921</v>
      </c>
      <c r="BS105" s="464" t="s">
        <v>5921</v>
      </c>
      <c r="BT105" s="464" t="s">
        <v>5921</v>
      </c>
      <c r="BU105" s="464" t="s">
        <v>5921</v>
      </c>
      <c r="BV105" s="464" t="s">
        <v>5921</v>
      </c>
      <c r="BW105" s="464" t="s">
        <v>5921</v>
      </c>
      <c r="BX105" s="464" t="s">
        <v>5921</v>
      </c>
      <c r="BY105" s="464" t="s">
        <v>5921</v>
      </c>
      <c r="BZ105" s="464" t="s">
        <v>5921</v>
      </c>
      <c r="CA105" s="464" t="s">
        <v>5921</v>
      </c>
      <c r="CB105" s="464" t="s">
        <v>5921</v>
      </c>
      <c r="CC105" s="464" t="s">
        <v>5921</v>
      </c>
      <c r="CD105" s="464" t="s">
        <v>5921</v>
      </c>
      <c r="CE105" s="464" t="s">
        <v>5921</v>
      </c>
      <c r="CF105" s="464" t="s">
        <v>5921</v>
      </c>
      <c r="CG105" s="464">
        <v>3.3899999999999997</v>
      </c>
      <c r="CH105" s="464">
        <v>0.5301996982030821</v>
      </c>
      <c r="CI105" s="464" t="s">
        <v>5921</v>
      </c>
      <c r="CJ105" s="464">
        <v>25.699130724066357</v>
      </c>
      <c r="CK105" s="464">
        <v>-2.1493680459054527</v>
      </c>
      <c r="CL105" s="464" t="s">
        <v>5921</v>
      </c>
      <c r="CM105" s="464" t="s">
        <v>5921</v>
      </c>
      <c r="CN105" s="464" t="s">
        <v>2450</v>
      </c>
      <c r="CO105" s="464">
        <v>-1.0681269040684367</v>
      </c>
      <c r="CP105" s="464">
        <v>39.657615912131547</v>
      </c>
      <c r="CQ105" s="464" t="s">
        <v>539</v>
      </c>
      <c r="CR105" s="464" t="s">
        <v>5921</v>
      </c>
      <c r="CS105" s="464">
        <v>15.535006293131579</v>
      </c>
      <c r="CT105" s="464" t="s">
        <v>5921</v>
      </c>
      <c r="CU105" s="464">
        <v>1</v>
      </c>
      <c r="CV105" s="464" t="s">
        <v>5921</v>
      </c>
      <c r="CW105" s="464" t="s">
        <v>5921</v>
      </c>
    </row>
    <row r="106" spans="1:101" x14ac:dyDescent="0.2">
      <c r="A106" s="464">
        <v>868</v>
      </c>
      <c r="B106" s="464" t="s">
        <v>2464</v>
      </c>
      <c r="C106" s="464" t="s">
        <v>6469</v>
      </c>
      <c r="D106" s="464" t="s">
        <v>3723</v>
      </c>
      <c r="E106" s="464">
        <v>116063</v>
      </c>
      <c r="F106" s="464" t="s">
        <v>2465</v>
      </c>
      <c r="G106" s="464" t="s">
        <v>2465</v>
      </c>
      <c r="H106" s="464" t="s">
        <v>2466</v>
      </c>
      <c r="I106" s="464" t="s">
        <v>1504</v>
      </c>
      <c r="J106" s="464" t="s">
        <v>617</v>
      </c>
      <c r="K106" s="464" t="s">
        <v>618</v>
      </c>
      <c r="L106" s="464" t="s">
        <v>6376</v>
      </c>
      <c r="M106" s="464" t="s">
        <v>2467</v>
      </c>
      <c r="N106" s="464" t="s">
        <v>5921</v>
      </c>
      <c r="O106" s="464" t="s">
        <v>6173</v>
      </c>
      <c r="P106" s="464" t="s">
        <v>6177</v>
      </c>
      <c r="Q106" s="464" t="s">
        <v>6176</v>
      </c>
      <c r="R106" s="464">
        <v>190.26</v>
      </c>
      <c r="S106" s="464">
        <v>6030</v>
      </c>
      <c r="T106" s="464">
        <v>5312</v>
      </c>
      <c r="U106" s="464">
        <v>3085.6558912350974</v>
      </c>
      <c r="V106" s="464">
        <v>3085.6558912350974</v>
      </c>
      <c r="W106" s="464">
        <v>6.99</v>
      </c>
      <c r="X106" s="464">
        <v>1.36</v>
      </c>
      <c r="Y106" s="464">
        <v>1.1299999999999999</v>
      </c>
      <c r="Z106" s="464">
        <v>1.44</v>
      </c>
      <c r="AA106" s="464">
        <v>0.81879999999999997</v>
      </c>
      <c r="AB106" s="464">
        <v>1.36</v>
      </c>
      <c r="AC106" s="464">
        <v>1.1299999999999999</v>
      </c>
      <c r="AD106" s="464">
        <v>1.1299999999999999</v>
      </c>
      <c r="AE106" s="464">
        <v>1.64</v>
      </c>
      <c r="AF106" s="464">
        <v>3.5699999999999999E-9</v>
      </c>
      <c r="AG106" s="464">
        <v>1.44E-9</v>
      </c>
      <c r="AH106" s="464">
        <v>-6.8358981102004588</v>
      </c>
      <c r="AI106" s="464">
        <v>-7.2302038342174022</v>
      </c>
      <c r="AJ106" s="464">
        <v>-7.2302038342174022</v>
      </c>
      <c r="AK106" s="464">
        <v>-8.1778699999999986</v>
      </c>
      <c r="AL106" s="464">
        <v>-7.65</v>
      </c>
      <c r="AM106" s="464">
        <v>13.81</v>
      </c>
      <c r="AN106" s="464">
        <v>-1.1200000000000001</v>
      </c>
      <c r="AO106" s="464" t="s">
        <v>6311</v>
      </c>
      <c r="AP106" s="464" t="s">
        <v>6311</v>
      </c>
      <c r="AQ106" s="464" t="s">
        <v>6</v>
      </c>
      <c r="AR106" s="464" t="s">
        <v>266</v>
      </c>
      <c r="AS106" s="464" t="s">
        <v>8453</v>
      </c>
      <c r="AT106" s="464" t="s">
        <v>8458</v>
      </c>
      <c r="AU106" s="464" t="s">
        <v>8445</v>
      </c>
      <c r="AV106" s="464" t="s">
        <v>8446</v>
      </c>
      <c r="AW106" s="464" t="s">
        <v>267</v>
      </c>
      <c r="AX106" s="464" t="s">
        <v>536</v>
      </c>
      <c r="AY106" s="464" t="s">
        <v>8456</v>
      </c>
      <c r="AZ106" s="464" t="s">
        <v>1764</v>
      </c>
      <c r="BA106" s="464" t="s">
        <v>2448</v>
      </c>
      <c r="BB106" s="464" t="s">
        <v>5921</v>
      </c>
      <c r="BC106" s="464" t="s">
        <v>2449</v>
      </c>
      <c r="BD106" s="464" t="s">
        <v>272</v>
      </c>
      <c r="BE106" s="464" t="s">
        <v>540</v>
      </c>
      <c r="BF106" s="464" t="s">
        <v>272</v>
      </c>
      <c r="BG106" s="464" t="s">
        <v>5921</v>
      </c>
      <c r="BH106" s="464" t="s">
        <v>5921</v>
      </c>
      <c r="BI106" s="464" t="s">
        <v>6606</v>
      </c>
      <c r="BJ106" s="464">
        <v>587.12624269890546</v>
      </c>
      <c r="BK106" s="464" t="s">
        <v>5921</v>
      </c>
      <c r="BL106" s="464" t="s">
        <v>5921</v>
      </c>
      <c r="BM106" s="464" t="s">
        <v>5921</v>
      </c>
      <c r="BN106" s="464" t="s">
        <v>5921</v>
      </c>
      <c r="BO106" s="464">
        <v>279.885289325695</v>
      </c>
      <c r="BP106" s="464" t="s">
        <v>5921</v>
      </c>
      <c r="BQ106" s="464" t="s">
        <v>5921</v>
      </c>
      <c r="BR106" s="464" t="s">
        <v>5921</v>
      </c>
      <c r="BS106" s="464" t="s">
        <v>5921</v>
      </c>
      <c r="BT106" s="464" t="s">
        <v>5921</v>
      </c>
      <c r="BU106" s="464" t="s">
        <v>5921</v>
      </c>
      <c r="BV106" s="464" t="s">
        <v>5921</v>
      </c>
      <c r="BW106" s="464" t="s">
        <v>5921</v>
      </c>
      <c r="BX106" s="464" t="s">
        <v>5921</v>
      </c>
      <c r="BY106" s="464" t="s">
        <v>5921</v>
      </c>
      <c r="BZ106" s="464" t="s">
        <v>5921</v>
      </c>
      <c r="CA106" s="464" t="s">
        <v>5921</v>
      </c>
      <c r="CB106" s="464" t="s">
        <v>5921</v>
      </c>
      <c r="CC106" s="464" t="s">
        <v>5921</v>
      </c>
      <c r="CD106" s="464" t="s">
        <v>5921</v>
      </c>
      <c r="CE106" s="464" t="s">
        <v>5921</v>
      </c>
      <c r="CF106" s="464" t="s">
        <v>5921</v>
      </c>
      <c r="CG106" s="464">
        <v>279.885289325695</v>
      </c>
      <c r="CH106" s="464">
        <v>2.4469800726977864</v>
      </c>
      <c r="CI106" s="464" t="s">
        <v>5921</v>
      </c>
      <c r="CJ106" s="464">
        <v>2.0977388419142042</v>
      </c>
      <c r="CK106" s="464">
        <v>-0.9762470592396435</v>
      </c>
      <c r="CL106" s="464" t="s">
        <v>5921</v>
      </c>
      <c r="CM106" s="464" t="s">
        <v>5921</v>
      </c>
      <c r="CN106" s="464" t="s">
        <v>2450</v>
      </c>
      <c r="CO106" s="464">
        <v>-0.3285679141101962</v>
      </c>
      <c r="CP106" s="464">
        <v>596.41421621217478</v>
      </c>
      <c r="CQ106" s="464" t="s">
        <v>539</v>
      </c>
      <c r="CR106" s="464" t="s">
        <v>5921</v>
      </c>
      <c r="CS106" s="464">
        <v>11.024716228098729</v>
      </c>
      <c r="CT106" s="464" t="s">
        <v>5921</v>
      </c>
      <c r="CU106" s="464">
        <v>1</v>
      </c>
      <c r="CV106" s="464" t="s">
        <v>5921</v>
      </c>
      <c r="CW106" s="464" t="s">
        <v>5921</v>
      </c>
    </row>
    <row r="107" spans="1:101" x14ac:dyDescent="0.2">
      <c r="A107" s="464">
        <v>872</v>
      </c>
      <c r="B107" s="464" t="s">
        <v>1400</v>
      </c>
      <c r="C107" s="464" t="s">
        <v>6488</v>
      </c>
      <c r="D107" s="464" t="s">
        <v>1401</v>
      </c>
      <c r="E107" s="464">
        <v>709988</v>
      </c>
      <c r="F107" s="464" t="s">
        <v>1402</v>
      </c>
      <c r="G107" s="464" t="s">
        <v>8059</v>
      </c>
      <c r="H107" s="464" t="s">
        <v>1403</v>
      </c>
      <c r="I107" s="464" t="s">
        <v>471</v>
      </c>
      <c r="J107" s="464" t="s">
        <v>1404</v>
      </c>
      <c r="K107" s="464" t="s">
        <v>6082</v>
      </c>
      <c r="L107" s="464" t="s">
        <v>6082</v>
      </c>
      <c r="M107" s="464" t="s">
        <v>6083</v>
      </c>
      <c r="N107" s="464" t="s">
        <v>8470</v>
      </c>
      <c r="O107" s="464" t="s">
        <v>6173</v>
      </c>
      <c r="P107" s="464" t="s">
        <v>8448</v>
      </c>
      <c r="Q107" s="464" t="s">
        <v>6173</v>
      </c>
      <c r="R107" s="464">
        <v>218.08</v>
      </c>
      <c r="S107" s="464">
        <v>152</v>
      </c>
      <c r="T107" s="464">
        <v>84.18</v>
      </c>
      <c r="U107" s="464">
        <v>90.910875147210703</v>
      </c>
      <c r="V107" s="464">
        <v>90.910875147210703</v>
      </c>
      <c r="W107" s="464">
        <v>7</v>
      </c>
      <c r="X107" s="464">
        <v>2.88</v>
      </c>
      <c r="Y107" s="464">
        <v>3.07</v>
      </c>
      <c r="Z107" s="464">
        <v>3.39</v>
      </c>
      <c r="AA107" s="464">
        <v>0.89070000000000005</v>
      </c>
      <c r="AB107" s="464">
        <v>3.34</v>
      </c>
      <c r="AC107" s="464">
        <v>3.18</v>
      </c>
      <c r="AD107" s="464">
        <v>3.07</v>
      </c>
      <c r="AE107" s="464">
        <v>3.05</v>
      </c>
      <c r="AF107" s="464">
        <v>4.4999999999999998E-9</v>
      </c>
      <c r="AG107" s="464">
        <v>1.7100000000000001E-9</v>
      </c>
      <c r="AH107" s="464">
        <v>-6.7353538125373085</v>
      </c>
      <c r="AI107" s="464">
        <v>-7.1555702159204984</v>
      </c>
      <c r="AJ107" s="464">
        <v>-7.1555702159204984</v>
      </c>
      <c r="AK107" s="464">
        <v>-10.588889999999999</v>
      </c>
      <c r="AL107" s="464">
        <v>-7.75</v>
      </c>
      <c r="AM107" s="464">
        <v>13.58</v>
      </c>
      <c r="AN107" s="464">
        <v>-0.91</v>
      </c>
      <c r="AO107" s="464" t="s">
        <v>6311</v>
      </c>
      <c r="AP107" s="464" t="s">
        <v>6311</v>
      </c>
      <c r="AQ107" s="464" t="s">
        <v>6</v>
      </c>
      <c r="AR107" s="464" t="s">
        <v>266</v>
      </c>
      <c r="AS107" s="464" t="s">
        <v>8453</v>
      </c>
      <c r="AT107" s="464" t="s">
        <v>8458</v>
      </c>
      <c r="AU107" s="464" t="s">
        <v>8445</v>
      </c>
      <c r="AV107" s="464" t="s">
        <v>8446</v>
      </c>
      <c r="AW107" s="464" t="s">
        <v>267</v>
      </c>
      <c r="AX107" s="464" t="s">
        <v>536</v>
      </c>
      <c r="AY107" s="464" t="s">
        <v>8456</v>
      </c>
      <c r="AZ107" s="464" t="s">
        <v>1764</v>
      </c>
      <c r="BA107" s="464" t="s">
        <v>2448</v>
      </c>
      <c r="BB107" s="464" t="s">
        <v>5921</v>
      </c>
      <c r="BC107" s="464" t="s">
        <v>1712</v>
      </c>
      <c r="BD107" s="464" t="s">
        <v>5921</v>
      </c>
      <c r="BE107" s="464" t="s">
        <v>5921</v>
      </c>
      <c r="BF107" s="464" t="s">
        <v>5921</v>
      </c>
      <c r="BG107" s="464" t="s">
        <v>5921</v>
      </c>
      <c r="BH107" s="464" t="s">
        <v>5921</v>
      </c>
      <c r="BI107" s="464" t="s">
        <v>5921</v>
      </c>
      <c r="BJ107" s="464">
        <v>29.03272754290597</v>
      </c>
      <c r="BK107" s="464" t="s">
        <v>5921</v>
      </c>
      <c r="BL107" s="464">
        <v>4.0780959999999995</v>
      </c>
      <c r="BM107" s="464">
        <v>3.5765119999999997</v>
      </c>
      <c r="BN107" s="464">
        <v>3.532896</v>
      </c>
      <c r="BO107" s="464">
        <v>3.2930079999999999</v>
      </c>
      <c r="BP107" s="464" t="s">
        <v>5921</v>
      </c>
      <c r="BQ107" s="464" t="s">
        <v>5921</v>
      </c>
      <c r="BR107" s="464" t="s">
        <v>5921</v>
      </c>
      <c r="BS107" s="464" t="s">
        <v>5921</v>
      </c>
      <c r="BT107" s="464" t="s">
        <v>5921</v>
      </c>
      <c r="BU107" s="464" t="s">
        <v>5921</v>
      </c>
      <c r="BV107" s="464" t="s">
        <v>5921</v>
      </c>
      <c r="BW107" s="464" t="s">
        <v>5921</v>
      </c>
      <c r="BX107" s="464" t="s">
        <v>5921</v>
      </c>
      <c r="BY107" s="464" t="s">
        <v>5921</v>
      </c>
      <c r="BZ107" s="464" t="s">
        <v>5921</v>
      </c>
      <c r="CA107" s="464" t="s">
        <v>5921</v>
      </c>
      <c r="CB107" s="464" t="s">
        <v>5921</v>
      </c>
      <c r="CC107" s="464" t="s">
        <v>5921</v>
      </c>
      <c r="CD107" s="464" t="s">
        <v>5921</v>
      </c>
      <c r="CE107" s="464" t="s">
        <v>5921</v>
      </c>
      <c r="CF107" s="464" t="s">
        <v>5921</v>
      </c>
      <c r="CG107" s="464">
        <v>3.2930079999999999</v>
      </c>
      <c r="CH107" s="464">
        <v>0.51759278578376777</v>
      </c>
      <c r="CI107" s="464" t="s">
        <v>5921</v>
      </c>
      <c r="CJ107" s="464">
        <v>8.8164764685983066</v>
      </c>
      <c r="CK107" s="464">
        <v>0.73446890283273059</v>
      </c>
      <c r="CL107" s="464" t="s">
        <v>5921</v>
      </c>
      <c r="CM107" s="464" t="s">
        <v>5921</v>
      </c>
      <c r="CN107" s="464" t="s">
        <v>2470</v>
      </c>
      <c r="CO107" s="464">
        <v>0.87007962959778784</v>
      </c>
      <c r="CP107" s="464">
        <v>0.44413311539184785</v>
      </c>
      <c r="CQ107" s="464" t="s">
        <v>539</v>
      </c>
      <c r="CR107" s="464" t="s">
        <v>5921</v>
      </c>
      <c r="CS107" s="464">
        <v>27.607243938432795</v>
      </c>
      <c r="CT107" s="464" t="s">
        <v>5921</v>
      </c>
      <c r="CU107" s="464">
        <v>1</v>
      </c>
      <c r="CV107" s="464" t="s">
        <v>539</v>
      </c>
      <c r="CW107" s="464" t="s">
        <v>5921</v>
      </c>
    </row>
    <row r="108" spans="1:101" x14ac:dyDescent="0.2">
      <c r="A108" s="464">
        <v>874</v>
      </c>
      <c r="B108" s="464" t="s">
        <v>925</v>
      </c>
      <c r="C108" s="464" t="s">
        <v>6507</v>
      </c>
      <c r="D108" s="464" t="s">
        <v>926</v>
      </c>
      <c r="E108" s="464">
        <v>15972608</v>
      </c>
      <c r="F108" s="464" t="s">
        <v>927</v>
      </c>
      <c r="G108" s="464" t="s">
        <v>8288</v>
      </c>
      <c r="H108" s="464" t="s">
        <v>928</v>
      </c>
      <c r="I108" s="464" t="s">
        <v>924</v>
      </c>
      <c r="J108" s="464" t="s">
        <v>5941</v>
      </c>
      <c r="K108" s="464" t="s">
        <v>6082</v>
      </c>
      <c r="L108" s="464" t="s">
        <v>6088</v>
      </c>
      <c r="M108" s="464" t="s">
        <v>6083</v>
      </c>
      <c r="N108" s="464" t="s">
        <v>6172</v>
      </c>
      <c r="O108" s="464" t="s">
        <v>6173</v>
      </c>
      <c r="P108" s="464" t="s">
        <v>6175</v>
      </c>
      <c r="Q108" s="464" t="s">
        <v>6176</v>
      </c>
      <c r="R108" s="464">
        <v>269.77</v>
      </c>
      <c r="S108" s="464">
        <v>240</v>
      </c>
      <c r="T108" s="464">
        <v>18.07</v>
      </c>
      <c r="U108" s="464">
        <v>814.69237561285115</v>
      </c>
      <c r="V108" s="464">
        <v>814.69237561285115</v>
      </c>
      <c r="W108" s="464">
        <v>7.01</v>
      </c>
      <c r="X108" s="464">
        <v>3.37</v>
      </c>
      <c r="Y108" s="464">
        <v>3.52</v>
      </c>
      <c r="Z108" s="464">
        <v>3.01</v>
      </c>
      <c r="AA108" s="464">
        <v>0.8427</v>
      </c>
      <c r="AB108" s="464">
        <v>2.99</v>
      </c>
      <c r="AC108" s="464">
        <v>2.92</v>
      </c>
      <c r="AD108" s="464">
        <v>3.52</v>
      </c>
      <c r="AE108" s="464">
        <v>3.3</v>
      </c>
      <c r="AF108" s="464">
        <v>2.2300000000000001E-8</v>
      </c>
      <c r="AG108" s="464">
        <v>8.3199999999999994E-9</v>
      </c>
      <c r="AH108" s="464">
        <v>-6.0402614632644909</v>
      </c>
      <c r="AI108" s="464">
        <v>-6.468443000021928</v>
      </c>
      <c r="AJ108" s="464">
        <v>-6.468443000021928</v>
      </c>
      <c r="AK108" s="464">
        <v>-10.631349999999999</v>
      </c>
      <c r="AL108" s="464">
        <v>-5.33</v>
      </c>
      <c r="AM108" s="464" t="s">
        <v>5921</v>
      </c>
      <c r="AN108" s="464">
        <v>1.2</v>
      </c>
      <c r="AO108" s="464" t="s">
        <v>6311</v>
      </c>
      <c r="AP108" s="464" t="s">
        <v>6311</v>
      </c>
      <c r="AQ108" s="464" t="s">
        <v>6</v>
      </c>
      <c r="AR108" s="464" t="s">
        <v>266</v>
      </c>
      <c r="AS108" s="464" t="s">
        <v>8453</v>
      </c>
      <c r="AT108" s="464" t="s">
        <v>8458</v>
      </c>
      <c r="AU108" s="464" t="s">
        <v>8445</v>
      </c>
      <c r="AV108" s="464" t="s">
        <v>8446</v>
      </c>
      <c r="AW108" s="464" t="s">
        <v>267</v>
      </c>
      <c r="AX108" s="464" t="s">
        <v>536</v>
      </c>
      <c r="AY108" s="464" t="s">
        <v>8456</v>
      </c>
      <c r="AZ108" s="464" t="s">
        <v>1764</v>
      </c>
      <c r="BA108" s="464" t="s">
        <v>2448</v>
      </c>
      <c r="BB108" s="464" t="s">
        <v>5921</v>
      </c>
      <c r="BC108" s="464" t="s">
        <v>2449</v>
      </c>
      <c r="BD108" s="464" t="s">
        <v>5921</v>
      </c>
      <c r="BE108" s="464" t="s">
        <v>5921</v>
      </c>
      <c r="BF108" s="464" t="s">
        <v>5921</v>
      </c>
      <c r="BG108" s="464" t="s">
        <v>5921</v>
      </c>
      <c r="BH108" s="464" t="s">
        <v>5921</v>
      </c>
      <c r="BI108" s="464" t="s">
        <v>5921</v>
      </c>
      <c r="BJ108" s="464">
        <v>13.037569961777397</v>
      </c>
      <c r="BK108" s="464" t="s">
        <v>5921</v>
      </c>
      <c r="BL108" s="464">
        <v>29.674699999999998</v>
      </c>
      <c r="BM108" s="464">
        <v>15.403866999999998</v>
      </c>
      <c r="BN108" s="464">
        <v>15.403866999999998</v>
      </c>
      <c r="BO108" s="464">
        <v>13.110822000000001</v>
      </c>
      <c r="BP108" s="464" t="s">
        <v>5921</v>
      </c>
      <c r="BQ108" s="464" t="s">
        <v>5921</v>
      </c>
      <c r="BR108" s="464" t="s">
        <v>5921</v>
      </c>
      <c r="BS108" s="464" t="s">
        <v>5921</v>
      </c>
      <c r="BT108" s="464" t="s">
        <v>5921</v>
      </c>
      <c r="BU108" s="464" t="s">
        <v>5921</v>
      </c>
      <c r="BV108" s="464" t="s">
        <v>5921</v>
      </c>
      <c r="BW108" s="464" t="s">
        <v>5921</v>
      </c>
      <c r="BX108" s="464" t="s">
        <v>5921</v>
      </c>
      <c r="BY108" s="464" t="s">
        <v>5921</v>
      </c>
      <c r="BZ108" s="464" t="s">
        <v>5921</v>
      </c>
      <c r="CA108" s="464" t="s">
        <v>5921</v>
      </c>
      <c r="CB108" s="464" t="s">
        <v>5921</v>
      </c>
      <c r="CC108" s="464" t="s">
        <v>5921</v>
      </c>
      <c r="CD108" s="464" t="s">
        <v>5921</v>
      </c>
      <c r="CE108" s="464" t="s">
        <v>5921</v>
      </c>
      <c r="CF108" s="464" t="s">
        <v>5921</v>
      </c>
      <c r="CG108" s="464">
        <v>13.110822000000001</v>
      </c>
      <c r="CH108" s="464">
        <v>1.1176299211998413</v>
      </c>
      <c r="CI108" s="464" t="s">
        <v>5921</v>
      </c>
      <c r="CJ108" s="464">
        <v>0.99441285693432468</v>
      </c>
      <c r="CK108" s="464">
        <v>0.35857724146975389</v>
      </c>
      <c r="CL108" s="464">
        <v>0</v>
      </c>
      <c r="CM108" s="464" t="s">
        <v>5921</v>
      </c>
      <c r="CN108" s="464" t="s">
        <v>2470</v>
      </c>
      <c r="CO108" s="464">
        <v>0.55452206231799706</v>
      </c>
      <c r="CP108" s="464">
        <v>3.6568559991051943</v>
      </c>
      <c r="CQ108" s="464" t="s">
        <v>539</v>
      </c>
      <c r="CR108" s="464" t="s">
        <v>5921</v>
      </c>
      <c r="CS108" s="464">
        <v>62.138924288107269</v>
      </c>
      <c r="CT108" s="464" t="s">
        <v>5921</v>
      </c>
      <c r="CU108" s="464">
        <v>1</v>
      </c>
      <c r="CV108" s="464" t="s">
        <v>5921</v>
      </c>
      <c r="CW108" s="464" t="s">
        <v>5921</v>
      </c>
    </row>
    <row r="109" spans="1:101" x14ac:dyDescent="0.2">
      <c r="A109" s="464">
        <v>875</v>
      </c>
      <c r="B109" s="464" t="s">
        <v>2480</v>
      </c>
      <c r="C109" s="464" t="s">
        <v>6470</v>
      </c>
      <c r="D109" s="464" t="s">
        <v>2481</v>
      </c>
      <c r="E109" s="464">
        <v>119619</v>
      </c>
      <c r="F109" s="464" t="s">
        <v>2482</v>
      </c>
      <c r="G109" s="464" t="s">
        <v>2482</v>
      </c>
      <c r="H109" s="464" t="s">
        <v>2483</v>
      </c>
      <c r="I109" s="464" t="s">
        <v>426</v>
      </c>
      <c r="J109" s="464" t="s">
        <v>5527</v>
      </c>
      <c r="K109" s="464" t="s">
        <v>866</v>
      </c>
      <c r="L109" s="464" t="s">
        <v>6082</v>
      </c>
      <c r="M109" s="464" t="s">
        <v>498</v>
      </c>
      <c r="N109" s="464" t="s">
        <v>8470</v>
      </c>
      <c r="O109" s="464" t="s">
        <v>6173</v>
      </c>
      <c r="P109" s="464" t="s">
        <v>8448</v>
      </c>
      <c r="Q109" s="464" t="s">
        <v>6173</v>
      </c>
      <c r="R109" s="464">
        <v>182.22</v>
      </c>
      <c r="S109" s="464">
        <v>137</v>
      </c>
      <c r="T109" s="464">
        <v>103.3</v>
      </c>
      <c r="U109" s="464">
        <v>129.0018808304776</v>
      </c>
      <c r="V109" s="464">
        <v>129.0018808304776</v>
      </c>
      <c r="W109" s="464">
        <v>7</v>
      </c>
      <c r="X109" s="464">
        <v>3.15</v>
      </c>
      <c r="Y109" s="464">
        <v>3.18</v>
      </c>
      <c r="Z109" s="464">
        <v>2.9</v>
      </c>
      <c r="AA109" s="464">
        <v>0.90490000000000004</v>
      </c>
      <c r="AB109" s="464">
        <v>2.96</v>
      </c>
      <c r="AC109" s="464">
        <v>3.18</v>
      </c>
      <c r="AD109" s="464">
        <v>3.18</v>
      </c>
      <c r="AE109" s="464">
        <v>3.09</v>
      </c>
      <c r="AF109" s="464">
        <v>1.9400000000000001E-6</v>
      </c>
      <c r="AG109" s="464" t="s">
        <v>5921</v>
      </c>
      <c r="AH109" s="464">
        <v>-4.100764596382426</v>
      </c>
      <c r="AI109" s="464" t="s">
        <v>5921</v>
      </c>
      <c r="AJ109" s="464">
        <v>-4.100764596382426</v>
      </c>
      <c r="AK109" s="464">
        <v>-8.2286799999999989</v>
      </c>
      <c r="AL109" s="464">
        <v>-3.85</v>
      </c>
      <c r="AM109" s="464" t="s">
        <v>5921</v>
      </c>
      <c r="AN109" s="464" t="s">
        <v>5921</v>
      </c>
      <c r="AO109" s="464" t="s">
        <v>6311</v>
      </c>
      <c r="AP109" s="464" t="s">
        <v>6311</v>
      </c>
      <c r="AQ109" s="464" t="s">
        <v>6</v>
      </c>
      <c r="AR109" s="464" t="s">
        <v>266</v>
      </c>
      <c r="AS109" s="464" t="s">
        <v>8453</v>
      </c>
      <c r="AT109" s="464" t="s">
        <v>8458</v>
      </c>
      <c r="AU109" s="464" t="s">
        <v>8445</v>
      </c>
      <c r="AV109" s="464" t="s">
        <v>8446</v>
      </c>
      <c r="AW109" s="464" t="s">
        <v>267</v>
      </c>
      <c r="AX109" s="464" t="s">
        <v>536</v>
      </c>
      <c r="AY109" s="464" t="s">
        <v>8456</v>
      </c>
      <c r="AZ109" s="464" t="s">
        <v>1764</v>
      </c>
      <c r="BA109" s="464" t="s">
        <v>2448</v>
      </c>
      <c r="BB109" s="464" t="s">
        <v>5921</v>
      </c>
      <c r="BC109" s="464" t="s">
        <v>2449</v>
      </c>
      <c r="BD109" s="464" t="s">
        <v>5921</v>
      </c>
      <c r="BE109" s="464" t="s">
        <v>5921</v>
      </c>
      <c r="BF109" s="464" t="s">
        <v>5921</v>
      </c>
      <c r="BG109" s="464" t="s">
        <v>5921</v>
      </c>
      <c r="BH109" s="464" t="s">
        <v>5921</v>
      </c>
      <c r="BI109" s="464" t="s">
        <v>5921</v>
      </c>
      <c r="BJ109" s="464">
        <v>13.879730778423667</v>
      </c>
      <c r="BK109" s="464" t="s">
        <v>5921</v>
      </c>
      <c r="BL109" s="464">
        <v>3.899508</v>
      </c>
      <c r="BM109" s="464">
        <v>3.46218</v>
      </c>
      <c r="BN109" s="464">
        <v>3.46218</v>
      </c>
      <c r="BO109" s="464">
        <v>2.9884079999999997</v>
      </c>
      <c r="BP109" s="464" t="s">
        <v>5921</v>
      </c>
      <c r="BQ109" s="464" t="s">
        <v>5921</v>
      </c>
      <c r="BR109" s="464" t="s">
        <v>5921</v>
      </c>
      <c r="BS109" s="464" t="s">
        <v>5921</v>
      </c>
      <c r="BT109" s="464" t="s">
        <v>5921</v>
      </c>
      <c r="BU109" s="464" t="s">
        <v>5921</v>
      </c>
      <c r="BV109" s="464" t="s">
        <v>5921</v>
      </c>
      <c r="BW109" s="464" t="s">
        <v>5921</v>
      </c>
      <c r="BX109" s="464" t="s">
        <v>5921</v>
      </c>
      <c r="BY109" s="464" t="s">
        <v>5921</v>
      </c>
      <c r="BZ109" s="464" t="s">
        <v>5921</v>
      </c>
      <c r="CA109" s="464" t="s">
        <v>5921</v>
      </c>
      <c r="CB109" s="464" t="s">
        <v>5921</v>
      </c>
      <c r="CC109" s="464" t="s">
        <v>5921</v>
      </c>
      <c r="CD109" s="464" t="s">
        <v>5921</v>
      </c>
      <c r="CE109" s="464" t="s">
        <v>5921</v>
      </c>
      <c r="CF109" s="464" t="s">
        <v>5921</v>
      </c>
      <c r="CG109" s="464">
        <v>2.9884079999999997</v>
      </c>
      <c r="CH109" s="464">
        <v>0.47543989034960671</v>
      </c>
      <c r="CI109" s="464" t="s">
        <v>5921</v>
      </c>
      <c r="CJ109" s="464">
        <v>4.6445233644213468</v>
      </c>
      <c r="CK109" s="464">
        <v>1.1360673425878467</v>
      </c>
      <c r="CL109" s="464" t="s">
        <v>5921</v>
      </c>
      <c r="CM109" s="464" t="s">
        <v>5921</v>
      </c>
      <c r="CN109" s="464" t="s">
        <v>2470</v>
      </c>
      <c r="CO109" s="464">
        <v>1.1360673425878469</v>
      </c>
      <c r="CP109" s="464">
        <v>0.21846031109170322</v>
      </c>
      <c r="CQ109" s="464" t="s">
        <v>539</v>
      </c>
      <c r="CR109" s="464" t="s">
        <v>5921</v>
      </c>
      <c r="CS109" s="464">
        <v>43.167425877081584</v>
      </c>
      <c r="CT109" s="464" t="s">
        <v>5921</v>
      </c>
      <c r="CU109" s="464">
        <v>1</v>
      </c>
      <c r="CV109" s="464" t="s">
        <v>5921</v>
      </c>
      <c r="CW109" s="464" t="s">
        <v>6351</v>
      </c>
    </row>
    <row r="110" spans="1:101" x14ac:dyDescent="0.2">
      <c r="A110" s="464">
        <v>898</v>
      </c>
      <c r="B110" s="464" t="s">
        <v>2558</v>
      </c>
      <c r="C110" s="464" t="s">
        <v>6704</v>
      </c>
      <c r="D110" s="464" t="s">
        <v>2559</v>
      </c>
      <c r="E110" s="464">
        <v>643798</v>
      </c>
      <c r="F110" s="464" t="s">
        <v>2560</v>
      </c>
      <c r="G110" s="464" t="s">
        <v>2560</v>
      </c>
      <c r="H110" s="464" t="s">
        <v>2561</v>
      </c>
      <c r="I110" s="464" t="s">
        <v>2562</v>
      </c>
      <c r="J110" s="464" t="s">
        <v>6070</v>
      </c>
      <c r="K110" s="464" t="s">
        <v>2342</v>
      </c>
      <c r="L110" s="464" t="s">
        <v>2342</v>
      </c>
      <c r="M110" s="464" t="s">
        <v>5921</v>
      </c>
      <c r="N110" s="464" t="s">
        <v>5921</v>
      </c>
      <c r="O110" s="464" t="s">
        <v>5921</v>
      </c>
      <c r="P110" s="464" t="s">
        <v>5921</v>
      </c>
      <c r="Q110" s="464" t="s">
        <v>5921</v>
      </c>
      <c r="R110" s="464">
        <v>134.13</v>
      </c>
      <c r="S110" s="464" t="s">
        <v>5921</v>
      </c>
      <c r="T110" s="464">
        <v>5346</v>
      </c>
      <c r="U110" s="464">
        <v>1727.9291236859995</v>
      </c>
      <c r="V110" s="464">
        <v>1727.9291236859995</v>
      </c>
      <c r="W110" s="464">
        <v>7</v>
      </c>
      <c r="X110" s="464">
        <v>1.43</v>
      </c>
      <c r="Y110" s="464" t="s">
        <v>5921</v>
      </c>
      <c r="Z110" s="464">
        <v>1.43</v>
      </c>
      <c r="AA110" s="464">
        <v>0.82310000000000005</v>
      </c>
      <c r="AB110" s="464">
        <v>1.17</v>
      </c>
      <c r="AC110" s="464">
        <v>0.51</v>
      </c>
      <c r="AD110" s="464">
        <v>1.17</v>
      </c>
      <c r="AE110" s="464">
        <v>1.38</v>
      </c>
      <c r="AF110" s="464">
        <v>3.3500000000000002E-8</v>
      </c>
      <c r="AG110" s="464" t="s">
        <v>5921</v>
      </c>
      <c r="AH110" s="464">
        <v>-5.8635215192758068</v>
      </c>
      <c r="AI110" s="464" t="s">
        <v>5921</v>
      </c>
      <c r="AJ110" s="464">
        <v>-5.8635215192758068</v>
      </c>
      <c r="AK110" s="464">
        <v>-8.6995499999999986</v>
      </c>
      <c r="AL110" s="464">
        <v>-5.4</v>
      </c>
      <c r="AM110" s="464" t="s">
        <v>5921</v>
      </c>
      <c r="AN110" s="464" t="s">
        <v>5921</v>
      </c>
      <c r="AO110" s="464" t="s">
        <v>6311</v>
      </c>
      <c r="AP110" s="464" t="s">
        <v>6311</v>
      </c>
      <c r="AQ110" s="464" t="s">
        <v>5921</v>
      </c>
      <c r="AR110" s="464" t="s">
        <v>266</v>
      </c>
      <c r="AS110" s="464" t="s">
        <v>8465</v>
      </c>
      <c r="AT110" s="464" t="s">
        <v>8450</v>
      </c>
      <c r="AU110" s="464" t="s">
        <v>8466</v>
      </c>
      <c r="AV110" s="464" t="s">
        <v>8451</v>
      </c>
      <c r="AW110" s="464" t="s">
        <v>8727</v>
      </c>
      <c r="AX110" s="464" t="s">
        <v>1563</v>
      </c>
      <c r="AY110" s="464" t="s">
        <v>8467</v>
      </c>
      <c r="AZ110" s="464" t="s">
        <v>2485</v>
      </c>
      <c r="BA110" s="464" t="s">
        <v>8726</v>
      </c>
      <c r="BB110" s="464" t="s">
        <v>8374</v>
      </c>
      <c r="BC110" s="464" t="s">
        <v>2449</v>
      </c>
      <c r="BD110" s="464" t="s">
        <v>272</v>
      </c>
      <c r="BE110" s="464" t="s">
        <v>272</v>
      </c>
      <c r="BF110" s="464" t="s">
        <v>2486</v>
      </c>
      <c r="BG110" s="464">
        <v>8.584319999999999E-4</v>
      </c>
      <c r="BH110" s="464">
        <v>8.58432</v>
      </c>
      <c r="BI110" s="464" t="s">
        <v>5921</v>
      </c>
      <c r="BJ110" s="464">
        <v>358.13183221403102</v>
      </c>
      <c r="BK110" s="464" t="s">
        <v>5921</v>
      </c>
      <c r="BL110" s="464" t="s">
        <v>5921</v>
      </c>
      <c r="BM110" s="464" t="s">
        <v>5921</v>
      </c>
      <c r="BN110" s="464" t="s">
        <v>5921</v>
      </c>
      <c r="BO110" s="464" t="s">
        <v>5921</v>
      </c>
      <c r="BP110" s="464">
        <v>0.34605539999999996</v>
      </c>
      <c r="BQ110" s="464" t="s">
        <v>5921</v>
      </c>
      <c r="BR110" s="464" t="s">
        <v>5921</v>
      </c>
      <c r="BS110" s="464" t="s">
        <v>5921</v>
      </c>
      <c r="BT110" s="464" t="s">
        <v>5921</v>
      </c>
      <c r="BU110" s="464" t="s">
        <v>5921</v>
      </c>
      <c r="BV110" s="464" t="s">
        <v>5921</v>
      </c>
      <c r="BW110" s="464" t="s">
        <v>5921</v>
      </c>
      <c r="BX110" s="464" t="s">
        <v>5921</v>
      </c>
      <c r="BY110" s="464" t="s">
        <v>5921</v>
      </c>
      <c r="BZ110" s="464" t="s">
        <v>5921</v>
      </c>
      <c r="CA110" s="464" t="s">
        <v>5921</v>
      </c>
      <c r="CB110" s="464" t="s">
        <v>5921</v>
      </c>
      <c r="CC110" s="464" t="s">
        <v>5921</v>
      </c>
      <c r="CD110" s="464" t="s">
        <v>5921</v>
      </c>
      <c r="CE110" s="464" t="s">
        <v>5921</v>
      </c>
      <c r="CF110" s="464" t="s">
        <v>5921</v>
      </c>
      <c r="CG110" s="464">
        <v>0.34605539999999996</v>
      </c>
      <c r="CH110" s="464">
        <v>-0.46085436944907565</v>
      </c>
      <c r="CI110" s="464">
        <v>41.719301262538096</v>
      </c>
      <c r="CJ110" s="464">
        <v>1034.89739565986</v>
      </c>
      <c r="CK110" s="464">
        <v>-1.4208187539523756</v>
      </c>
      <c r="CL110" s="464">
        <v>226.21669469780548</v>
      </c>
      <c r="CM110" s="464" t="s">
        <v>2488</v>
      </c>
      <c r="CN110" s="464" t="s">
        <v>2489</v>
      </c>
      <c r="CO110" s="464">
        <v>-1.4208187539523751</v>
      </c>
      <c r="CP110" s="464">
        <v>9.11936050500527</v>
      </c>
      <c r="CQ110" s="464" t="s">
        <v>539</v>
      </c>
      <c r="CR110" s="464" t="s">
        <v>5921</v>
      </c>
      <c r="CS110" s="464">
        <v>4993.2153166400512</v>
      </c>
      <c r="CT110" s="464">
        <v>201.28899245205204</v>
      </c>
      <c r="CU110" s="464">
        <v>1</v>
      </c>
      <c r="CV110" s="464" t="s">
        <v>5921</v>
      </c>
      <c r="CW110" s="464" t="s">
        <v>5921</v>
      </c>
    </row>
    <row r="111" spans="1:101" x14ac:dyDescent="0.2">
      <c r="A111" s="464">
        <v>899</v>
      </c>
      <c r="B111" s="464" t="s">
        <v>2563</v>
      </c>
      <c r="C111" s="464" t="s">
        <v>6670</v>
      </c>
      <c r="D111" s="464" t="s">
        <v>2564</v>
      </c>
      <c r="E111" s="464">
        <v>528290</v>
      </c>
      <c r="F111" s="464" t="s">
        <v>2565</v>
      </c>
      <c r="G111" s="464" t="s">
        <v>8336</v>
      </c>
      <c r="H111" s="464" t="s">
        <v>2566</v>
      </c>
      <c r="I111" s="464" t="s">
        <v>1011</v>
      </c>
      <c r="J111" s="464" t="s">
        <v>6071</v>
      </c>
      <c r="K111" s="464" t="s">
        <v>2342</v>
      </c>
      <c r="L111" s="464" t="s">
        <v>2342</v>
      </c>
      <c r="M111" s="464" t="s">
        <v>5921</v>
      </c>
      <c r="N111" s="464" t="s">
        <v>5921</v>
      </c>
      <c r="O111" s="464" t="s">
        <v>5921</v>
      </c>
      <c r="P111" s="464" t="s">
        <v>5921</v>
      </c>
      <c r="Q111" s="464" t="s">
        <v>5921</v>
      </c>
      <c r="R111" s="464">
        <v>168.11</v>
      </c>
      <c r="S111" s="464">
        <v>500</v>
      </c>
      <c r="T111" s="464">
        <v>921.50000000000011</v>
      </c>
      <c r="U111" s="464">
        <v>422.27322800107515</v>
      </c>
      <c r="V111" s="464">
        <v>422.27322800107515</v>
      </c>
      <c r="W111" s="464">
        <v>7</v>
      </c>
      <c r="X111" s="464">
        <v>1.63</v>
      </c>
      <c r="Y111" s="464">
        <v>1.69</v>
      </c>
      <c r="Z111" s="464">
        <v>1.54</v>
      </c>
      <c r="AA111" s="464">
        <v>0.92079999999999995</v>
      </c>
      <c r="AB111" s="464">
        <v>1.6</v>
      </c>
      <c r="AC111" s="464">
        <v>1.84</v>
      </c>
      <c r="AD111" s="464">
        <v>1.69</v>
      </c>
      <c r="AE111" s="464">
        <v>1.04</v>
      </c>
      <c r="AF111" s="464">
        <v>8.3900000000000004E-8</v>
      </c>
      <c r="AG111" s="464">
        <v>5.3300000000000001E-8</v>
      </c>
      <c r="AH111" s="464">
        <v>-5.4648043654839515</v>
      </c>
      <c r="AI111" s="464">
        <v>-5.6618391172860791</v>
      </c>
      <c r="AJ111" s="464">
        <v>-5.6618391172860791</v>
      </c>
      <c r="AK111" s="464">
        <v>-7.4061899999999996</v>
      </c>
      <c r="AL111" s="464">
        <v>-5</v>
      </c>
      <c r="AM111" s="464" t="s">
        <v>5921</v>
      </c>
      <c r="AN111" s="464" t="s">
        <v>5921</v>
      </c>
      <c r="AO111" s="464" t="s">
        <v>6311</v>
      </c>
      <c r="AP111" s="464" t="s">
        <v>6311</v>
      </c>
      <c r="AQ111" s="464" t="s">
        <v>5921</v>
      </c>
      <c r="AR111" s="464" t="s">
        <v>266</v>
      </c>
      <c r="AS111" s="464" t="s">
        <v>8465</v>
      </c>
      <c r="AT111" s="464" t="s">
        <v>8450</v>
      </c>
      <c r="AU111" s="464" t="s">
        <v>8466</v>
      </c>
      <c r="AV111" s="464" t="s">
        <v>8451</v>
      </c>
      <c r="AW111" s="464" t="s">
        <v>8727</v>
      </c>
      <c r="AX111" s="464" t="s">
        <v>1563</v>
      </c>
      <c r="AY111" s="464" t="s">
        <v>8467</v>
      </c>
      <c r="AZ111" s="464" t="s">
        <v>2485</v>
      </c>
      <c r="BA111" s="464" t="s">
        <v>8726</v>
      </c>
      <c r="BB111" s="464" t="s">
        <v>8374</v>
      </c>
      <c r="BC111" s="464" t="s">
        <v>2449</v>
      </c>
      <c r="BD111" s="464" t="s">
        <v>272</v>
      </c>
      <c r="BE111" s="464" t="s">
        <v>272</v>
      </c>
      <c r="BF111" s="464" t="s">
        <v>2486</v>
      </c>
      <c r="BG111" s="464">
        <v>1.0759040000000001E-3</v>
      </c>
      <c r="BH111" s="464">
        <v>10.759040000000001</v>
      </c>
      <c r="BI111" s="464" t="s">
        <v>5921</v>
      </c>
      <c r="BJ111" s="464">
        <v>296.81821442002718</v>
      </c>
      <c r="BK111" s="464" t="s">
        <v>5921</v>
      </c>
      <c r="BL111" s="464" t="s">
        <v>5921</v>
      </c>
      <c r="BM111" s="464" t="s">
        <v>5921</v>
      </c>
      <c r="BN111" s="464" t="s">
        <v>5921</v>
      </c>
      <c r="BO111" s="464" t="s">
        <v>5921</v>
      </c>
      <c r="BP111" s="464">
        <v>1.2288841000000001</v>
      </c>
      <c r="BQ111" s="464" t="s">
        <v>5921</v>
      </c>
      <c r="BR111" s="464" t="s">
        <v>5921</v>
      </c>
      <c r="BS111" s="464" t="s">
        <v>5921</v>
      </c>
      <c r="BT111" s="464" t="s">
        <v>5921</v>
      </c>
      <c r="BU111" s="464" t="s">
        <v>5921</v>
      </c>
      <c r="BV111" s="464" t="s">
        <v>5921</v>
      </c>
      <c r="BW111" s="464" t="s">
        <v>5921</v>
      </c>
      <c r="BX111" s="464" t="s">
        <v>5921</v>
      </c>
      <c r="BY111" s="464" t="s">
        <v>5921</v>
      </c>
      <c r="BZ111" s="464" t="s">
        <v>5921</v>
      </c>
      <c r="CA111" s="464" t="s">
        <v>5921</v>
      </c>
      <c r="CB111" s="464" t="s">
        <v>5921</v>
      </c>
      <c r="CC111" s="464" t="s">
        <v>5921</v>
      </c>
      <c r="CD111" s="464" t="s">
        <v>5921</v>
      </c>
      <c r="CE111" s="464" t="s">
        <v>5921</v>
      </c>
      <c r="CF111" s="464" t="s">
        <v>5921</v>
      </c>
      <c r="CG111" s="464">
        <v>1.2288841000000001</v>
      </c>
      <c r="CH111" s="464">
        <v>8.9510925112660095E-2</v>
      </c>
      <c r="CI111" s="464">
        <v>27.587797277454786</v>
      </c>
      <c r="CJ111" s="464">
        <v>241.53475044556859</v>
      </c>
      <c r="CK111" s="464">
        <v>-0.22330124493806014</v>
      </c>
      <c r="CL111" s="464">
        <v>17.991806310089508</v>
      </c>
      <c r="CM111" s="464" t="s">
        <v>2488</v>
      </c>
      <c r="CN111" s="464" t="s">
        <v>2489</v>
      </c>
      <c r="CO111" s="464">
        <v>-0.22330124493805997</v>
      </c>
      <c r="CP111" s="464">
        <v>2.0550016269805353</v>
      </c>
      <c r="CQ111" s="464" t="s">
        <v>539</v>
      </c>
      <c r="CR111" s="464" t="s">
        <v>5921</v>
      </c>
      <c r="CS111" s="464">
        <v>343.62331484399147</v>
      </c>
      <c r="CT111" s="464">
        <v>39.248225492337156</v>
      </c>
      <c r="CU111" s="464">
        <v>1</v>
      </c>
      <c r="CV111" s="464" t="s">
        <v>5921</v>
      </c>
      <c r="CW111" s="464" t="s">
        <v>5921</v>
      </c>
    </row>
    <row r="112" spans="1:101" x14ac:dyDescent="0.2">
      <c r="A112" s="464">
        <v>926</v>
      </c>
      <c r="B112" s="464" t="s">
        <v>2644</v>
      </c>
      <c r="C112" s="464" t="s">
        <v>6759</v>
      </c>
      <c r="D112" s="464" t="s">
        <v>1465</v>
      </c>
      <c r="E112" s="464">
        <v>21564170</v>
      </c>
      <c r="F112" s="464" t="s">
        <v>1466</v>
      </c>
      <c r="G112" s="464" t="s">
        <v>7892</v>
      </c>
      <c r="H112" s="464" t="s">
        <v>1467</v>
      </c>
      <c r="I112" s="464" t="s">
        <v>1468</v>
      </c>
      <c r="J112" s="464" t="s">
        <v>5929</v>
      </c>
      <c r="K112" s="464" t="s">
        <v>6088</v>
      </c>
      <c r="L112" s="464" t="s">
        <v>6088</v>
      </c>
      <c r="M112" s="464" t="s">
        <v>6083</v>
      </c>
      <c r="N112" s="464" t="s">
        <v>5921</v>
      </c>
      <c r="O112" s="464" t="s">
        <v>5921</v>
      </c>
      <c r="P112" s="464" t="s">
        <v>5921</v>
      </c>
      <c r="Q112" s="464" t="s">
        <v>5921</v>
      </c>
      <c r="R112" s="464">
        <v>238.36</v>
      </c>
      <c r="S112" s="464">
        <v>125</v>
      </c>
      <c r="T112" s="464">
        <v>41.67</v>
      </c>
      <c r="U112" s="464">
        <v>92.732800760836611</v>
      </c>
      <c r="V112" s="464">
        <v>92.732800760836611</v>
      </c>
      <c r="W112" s="464">
        <v>7</v>
      </c>
      <c r="X112" s="464">
        <v>3.12</v>
      </c>
      <c r="Y112" s="464">
        <v>3.3</v>
      </c>
      <c r="Z112" s="464">
        <v>2.83</v>
      </c>
      <c r="AA112" s="464">
        <v>0.82469999999999999</v>
      </c>
      <c r="AB112" s="464">
        <v>2.91</v>
      </c>
      <c r="AC112" s="464">
        <v>3.12</v>
      </c>
      <c r="AD112" s="464">
        <v>3.3</v>
      </c>
      <c r="AE112" s="464">
        <v>3.94</v>
      </c>
      <c r="AF112" s="464">
        <v>6.49E-12</v>
      </c>
      <c r="AG112" s="464" t="s">
        <v>5921</v>
      </c>
      <c r="AH112" s="464">
        <v>-9.5763216295122824</v>
      </c>
      <c r="AI112" s="464" t="s">
        <v>5921</v>
      </c>
      <c r="AJ112" s="464">
        <v>-9.5763216295122824</v>
      </c>
      <c r="AK112" s="464">
        <v>-11.81157</v>
      </c>
      <c r="AL112" s="464">
        <v>-12.3</v>
      </c>
      <c r="AM112" s="464" t="s">
        <v>5921</v>
      </c>
      <c r="AN112" s="464">
        <v>-0.09</v>
      </c>
      <c r="AO112" s="464" t="s">
        <v>6311</v>
      </c>
      <c r="AP112" s="464" t="s">
        <v>6311</v>
      </c>
      <c r="AQ112" s="464" t="s">
        <v>5921</v>
      </c>
      <c r="AR112" s="464" t="s">
        <v>266</v>
      </c>
      <c r="AS112" s="464" t="s">
        <v>8465</v>
      </c>
      <c r="AT112" s="464" t="s">
        <v>8450</v>
      </c>
      <c r="AU112" s="464" t="s">
        <v>8466</v>
      </c>
      <c r="AV112" s="464" t="s">
        <v>8451</v>
      </c>
      <c r="AW112" s="464" t="s">
        <v>8727</v>
      </c>
      <c r="AX112" s="464" t="s">
        <v>1563</v>
      </c>
      <c r="AY112" s="464" t="s">
        <v>8467</v>
      </c>
      <c r="AZ112" s="464" t="s">
        <v>2485</v>
      </c>
      <c r="BA112" s="464" t="s">
        <v>8726</v>
      </c>
      <c r="BB112" s="464" t="s">
        <v>8374</v>
      </c>
      <c r="BC112" s="464" t="s">
        <v>2449</v>
      </c>
      <c r="BD112" s="464" t="s">
        <v>272</v>
      </c>
      <c r="BE112" s="464" t="s">
        <v>272</v>
      </c>
      <c r="BF112" s="464" t="s">
        <v>2486</v>
      </c>
      <c r="BG112" s="464">
        <v>1.525504E-3</v>
      </c>
      <c r="BH112" s="464">
        <v>15.255040000000001</v>
      </c>
      <c r="BI112" s="464" t="s">
        <v>5921</v>
      </c>
      <c r="BJ112" s="464">
        <v>19.317965083130503</v>
      </c>
      <c r="BK112" s="464" t="s">
        <v>5921</v>
      </c>
      <c r="BL112" s="464">
        <v>482.40672208708003</v>
      </c>
      <c r="BM112" s="464" t="s">
        <v>5921</v>
      </c>
      <c r="BN112" s="464" t="s">
        <v>5921</v>
      </c>
      <c r="BO112" s="464" t="s">
        <v>5921</v>
      </c>
      <c r="BP112" s="464">
        <v>0.12609244</v>
      </c>
      <c r="BQ112" s="464" t="s">
        <v>5921</v>
      </c>
      <c r="BR112" s="464" t="s">
        <v>5921</v>
      </c>
      <c r="BS112" s="464" t="s">
        <v>5921</v>
      </c>
      <c r="BT112" s="464" t="s">
        <v>5921</v>
      </c>
      <c r="BU112" s="464" t="s">
        <v>5921</v>
      </c>
      <c r="BV112" s="464" t="s">
        <v>5921</v>
      </c>
      <c r="BW112" s="464" t="s">
        <v>5921</v>
      </c>
      <c r="BX112" s="464" t="s">
        <v>5921</v>
      </c>
      <c r="BY112" s="464" t="s">
        <v>5921</v>
      </c>
      <c r="BZ112" s="464" t="s">
        <v>5921</v>
      </c>
      <c r="CA112" s="464" t="s">
        <v>5921</v>
      </c>
      <c r="CB112" s="464" t="s">
        <v>5921</v>
      </c>
      <c r="CC112" s="464" t="s">
        <v>5921</v>
      </c>
      <c r="CD112" s="464" t="s">
        <v>5921</v>
      </c>
      <c r="CE112" s="464" t="s">
        <v>5921</v>
      </c>
      <c r="CF112" s="464" t="s">
        <v>5921</v>
      </c>
      <c r="CG112" s="464">
        <v>0.12609244</v>
      </c>
      <c r="CH112" s="464">
        <v>-0.89931095121206506</v>
      </c>
      <c r="CI112" s="464">
        <v>1.2663332959553368</v>
      </c>
      <c r="CJ112" s="464">
        <v>153.20478438779122</v>
      </c>
      <c r="CK112" s="464">
        <v>-1.6277443037085857</v>
      </c>
      <c r="CL112" s="464">
        <v>647.37757943044289</v>
      </c>
      <c r="CM112" s="464" t="s">
        <v>2488</v>
      </c>
      <c r="CN112" s="464" t="s">
        <v>2489</v>
      </c>
      <c r="CO112" s="464">
        <v>-1.5943997665210112</v>
      </c>
      <c r="CP112" s="464">
        <v>4.9555152311126491</v>
      </c>
      <c r="CQ112" s="464" t="s">
        <v>539</v>
      </c>
      <c r="CR112" s="464" t="s">
        <v>5921</v>
      </c>
      <c r="CS112" s="464">
        <v>735.43505669996239</v>
      </c>
      <c r="CT112" s="464">
        <v>6.0788303905356269</v>
      </c>
      <c r="CU112" s="464">
        <v>1</v>
      </c>
      <c r="CV112" s="464" t="s">
        <v>5921</v>
      </c>
      <c r="CW112" s="464" t="s">
        <v>5921</v>
      </c>
    </row>
    <row r="113" spans="1:101" x14ac:dyDescent="0.2">
      <c r="A113" s="464">
        <v>935</v>
      </c>
      <c r="B113" s="464" t="s">
        <v>2671</v>
      </c>
      <c r="C113" s="464" t="s">
        <v>6600</v>
      </c>
      <c r="D113" s="464" t="s">
        <v>2672</v>
      </c>
      <c r="E113" s="464">
        <v>95954</v>
      </c>
      <c r="F113" s="464" t="s">
        <v>2673</v>
      </c>
      <c r="G113" s="464" t="s">
        <v>8328</v>
      </c>
      <c r="H113" s="464" t="s">
        <v>2674</v>
      </c>
      <c r="I113" s="464" t="s">
        <v>349</v>
      </c>
      <c r="J113" s="464" t="s">
        <v>5527</v>
      </c>
      <c r="K113" s="464" t="s">
        <v>497</v>
      </c>
      <c r="L113" s="464" t="s">
        <v>6381</v>
      </c>
      <c r="M113" s="464" t="s">
        <v>6086</v>
      </c>
      <c r="N113" s="464" t="s">
        <v>8470</v>
      </c>
      <c r="O113" s="464" t="s">
        <v>6173</v>
      </c>
      <c r="P113" s="464" t="s">
        <v>8448</v>
      </c>
      <c r="Q113" s="464" t="s">
        <v>6173</v>
      </c>
      <c r="R113" s="464">
        <v>197.45</v>
      </c>
      <c r="S113" s="464">
        <v>1200</v>
      </c>
      <c r="T113" s="464">
        <v>114.1</v>
      </c>
      <c r="U113" s="464">
        <v>98.959419279704875</v>
      </c>
      <c r="V113" s="464">
        <v>98.959419279704875</v>
      </c>
      <c r="W113" s="464">
        <v>5.21</v>
      </c>
      <c r="X113" s="464">
        <v>3.45</v>
      </c>
      <c r="Y113" s="464">
        <v>3.72</v>
      </c>
      <c r="Z113" s="464">
        <v>3.72</v>
      </c>
      <c r="AA113" s="464">
        <v>0.90329999999999999</v>
      </c>
      <c r="AB113" s="464">
        <v>3.72</v>
      </c>
      <c r="AC113" s="464">
        <v>3.71</v>
      </c>
      <c r="AD113" s="464">
        <v>3.72</v>
      </c>
      <c r="AE113" s="464">
        <v>3.49</v>
      </c>
      <c r="AF113" s="464">
        <v>2.28E-7</v>
      </c>
      <c r="AG113" s="464">
        <v>1.6199999999999999E-6</v>
      </c>
      <c r="AH113" s="464">
        <v>-5.0306314793121976</v>
      </c>
      <c r="AI113" s="464">
        <v>-4.1790513117700208</v>
      </c>
      <c r="AJ113" s="464">
        <v>-4.1790513117700208</v>
      </c>
      <c r="AK113" s="464">
        <v>-7.0376299999999992</v>
      </c>
      <c r="AL113" s="464">
        <v>-3.44</v>
      </c>
      <c r="AM113" s="464">
        <v>7.1</v>
      </c>
      <c r="AN113" s="464" t="s">
        <v>5921</v>
      </c>
      <c r="AO113" s="464" t="s">
        <v>6311</v>
      </c>
      <c r="AP113" s="464" t="s">
        <v>6311</v>
      </c>
      <c r="AQ113" s="464" t="s">
        <v>5921</v>
      </c>
      <c r="AR113" s="464" t="s">
        <v>266</v>
      </c>
      <c r="AS113" s="464" t="s">
        <v>8465</v>
      </c>
      <c r="AT113" s="464" t="s">
        <v>8450</v>
      </c>
      <c r="AU113" s="464" t="s">
        <v>8466</v>
      </c>
      <c r="AV113" s="464" t="s">
        <v>8451</v>
      </c>
      <c r="AW113" s="464" t="s">
        <v>8727</v>
      </c>
      <c r="AX113" s="464" t="s">
        <v>1563</v>
      </c>
      <c r="AY113" s="464" t="s">
        <v>8467</v>
      </c>
      <c r="AZ113" s="464" t="s">
        <v>2485</v>
      </c>
      <c r="BA113" s="464" t="s">
        <v>8726</v>
      </c>
      <c r="BB113" s="464" t="s">
        <v>8374</v>
      </c>
      <c r="BC113" s="464" t="s">
        <v>2449</v>
      </c>
      <c r="BD113" s="464" t="s">
        <v>272</v>
      </c>
      <c r="BE113" s="464" t="s">
        <v>272</v>
      </c>
      <c r="BF113" s="464" t="s">
        <v>2486</v>
      </c>
      <c r="BG113" s="464">
        <v>1.2636799999999999E-3</v>
      </c>
      <c r="BH113" s="464">
        <v>12.636799999999999</v>
      </c>
      <c r="BI113" s="464" t="s">
        <v>5921</v>
      </c>
      <c r="BJ113" s="464">
        <v>8.087459858100015</v>
      </c>
      <c r="BK113" s="464" t="s">
        <v>5921</v>
      </c>
      <c r="BL113" s="464">
        <v>3996.1070345734993</v>
      </c>
      <c r="BM113" s="464" t="s">
        <v>5921</v>
      </c>
      <c r="BN113" s="464" t="s">
        <v>5921</v>
      </c>
      <c r="BO113" s="464" t="s">
        <v>5921</v>
      </c>
      <c r="BP113" s="464">
        <v>2.0337350000000001</v>
      </c>
      <c r="BQ113" s="464" t="s">
        <v>5921</v>
      </c>
      <c r="BR113" s="464" t="s">
        <v>5921</v>
      </c>
      <c r="BS113" s="464" t="s">
        <v>5921</v>
      </c>
      <c r="BT113" s="464" t="s">
        <v>5921</v>
      </c>
      <c r="BU113" s="464" t="s">
        <v>5921</v>
      </c>
      <c r="BV113" s="464" t="s">
        <v>5921</v>
      </c>
      <c r="BW113" s="464" t="s">
        <v>5921</v>
      </c>
      <c r="BX113" s="464" t="s">
        <v>5921</v>
      </c>
      <c r="BY113" s="464" t="s">
        <v>5921</v>
      </c>
      <c r="BZ113" s="464" t="s">
        <v>5921</v>
      </c>
      <c r="CA113" s="464" t="s">
        <v>5921</v>
      </c>
      <c r="CB113" s="464" t="s">
        <v>5921</v>
      </c>
      <c r="CC113" s="464" t="s">
        <v>5921</v>
      </c>
      <c r="CD113" s="464" t="s">
        <v>5921</v>
      </c>
      <c r="CE113" s="464" t="s">
        <v>5921</v>
      </c>
      <c r="CF113" s="464" t="s">
        <v>5921</v>
      </c>
      <c r="CG113" s="464">
        <v>2.0337350000000001</v>
      </c>
      <c r="CH113" s="464">
        <v>0.3082943627777352</v>
      </c>
      <c r="CI113" s="464">
        <v>0.63999270844675993</v>
      </c>
      <c r="CJ113" s="464">
        <v>3.9766537223876339</v>
      </c>
      <c r="CK113" s="464">
        <v>-0.50109741946743425</v>
      </c>
      <c r="CL113" s="464">
        <v>40.062175720726586</v>
      </c>
      <c r="CM113" s="464" t="s">
        <v>2488</v>
      </c>
      <c r="CN113" s="464" t="s">
        <v>2489</v>
      </c>
      <c r="CO113" s="464">
        <v>-0.15557163006360866</v>
      </c>
      <c r="CP113" s="464">
        <v>2.9098191173446581</v>
      </c>
      <c r="CQ113" s="464" t="s">
        <v>539</v>
      </c>
      <c r="CR113" s="464" t="s">
        <v>5921</v>
      </c>
      <c r="CS113" s="464">
        <v>48.658954721094375</v>
      </c>
      <c r="CT113" s="464">
        <v>7.8310505254261269</v>
      </c>
      <c r="CU113" s="464">
        <v>1</v>
      </c>
      <c r="CV113" s="464" t="s">
        <v>5921</v>
      </c>
      <c r="CW113" s="464" t="s">
        <v>5921</v>
      </c>
    </row>
    <row r="114" spans="1:101" x14ac:dyDescent="0.2">
      <c r="A114" s="464">
        <v>940</v>
      </c>
      <c r="B114" s="464" t="s">
        <v>2679</v>
      </c>
      <c r="C114" s="464" t="s">
        <v>6427</v>
      </c>
      <c r="D114" s="464" t="s">
        <v>1696</v>
      </c>
      <c r="E114" s="464">
        <v>51285</v>
      </c>
      <c r="F114" s="464" t="s">
        <v>1697</v>
      </c>
      <c r="G114" s="464" t="s">
        <v>1697</v>
      </c>
      <c r="H114" s="464" t="s">
        <v>1698</v>
      </c>
      <c r="I114" s="464" t="s">
        <v>1693</v>
      </c>
      <c r="J114" s="464" t="s">
        <v>6110</v>
      </c>
      <c r="K114" s="464" t="s">
        <v>497</v>
      </c>
      <c r="L114" s="464" t="s">
        <v>6381</v>
      </c>
      <c r="M114" s="464" t="s">
        <v>6086</v>
      </c>
      <c r="N114" s="464" t="s">
        <v>8470</v>
      </c>
      <c r="O114" s="464" t="s">
        <v>6173</v>
      </c>
      <c r="P114" s="464" t="s">
        <v>8448</v>
      </c>
      <c r="Q114" s="464" t="s">
        <v>6173</v>
      </c>
      <c r="R114" s="464">
        <v>184.11</v>
      </c>
      <c r="S114" s="464">
        <v>2790</v>
      </c>
      <c r="T114" s="464">
        <v>1971</v>
      </c>
      <c r="U114" s="464">
        <v>1135.2130579271745</v>
      </c>
      <c r="V114" s="464">
        <v>1135.2130579271745</v>
      </c>
      <c r="W114" s="464">
        <v>3.15</v>
      </c>
      <c r="X114" s="464">
        <v>1.73</v>
      </c>
      <c r="Y114" s="464">
        <v>1.67</v>
      </c>
      <c r="Z114" s="464">
        <v>1.62</v>
      </c>
      <c r="AA114" s="464">
        <v>0.79949999999999999</v>
      </c>
      <c r="AB114" s="464">
        <v>1.66</v>
      </c>
      <c r="AC114" s="464">
        <v>1.74</v>
      </c>
      <c r="AD114" s="464">
        <v>1.67</v>
      </c>
      <c r="AE114" s="464">
        <v>0.7</v>
      </c>
      <c r="AF114" s="464">
        <v>2.7599999999999999E-8</v>
      </c>
      <c r="AG114" s="464">
        <v>8.6000000000000002E-8</v>
      </c>
      <c r="AH114" s="464">
        <v>-5.9476572442474342</v>
      </c>
      <c r="AI114" s="464">
        <v>-5.4540678750690841</v>
      </c>
      <c r="AJ114" s="464">
        <v>-5.4540678750690841</v>
      </c>
      <c r="AK114" s="464">
        <v>-9.2873400000000004</v>
      </c>
      <c r="AL114" s="464">
        <v>-5.58</v>
      </c>
      <c r="AM114" s="464">
        <v>4.04</v>
      </c>
      <c r="AN114" s="464" t="s">
        <v>5921</v>
      </c>
      <c r="AO114" s="464" t="s">
        <v>6311</v>
      </c>
      <c r="AP114" s="464" t="s">
        <v>6311</v>
      </c>
      <c r="AQ114" s="464" t="s">
        <v>5921</v>
      </c>
      <c r="AR114" s="464" t="s">
        <v>266</v>
      </c>
      <c r="AS114" s="464" t="s">
        <v>8465</v>
      </c>
      <c r="AT114" s="464" t="s">
        <v>8450</v>
      </c>
      <c r="AU114" s="464" t="s">
        <v>8466</v>
      </c>
      <c r="AV114" s="464" t="s">
        <v>8451</v>
      </c>
      <c r="AW114" s="464" t="s">
        <v>8727</v>
      </c>
      <c r="AX114" s="464" t="s">
        <v>1563</v>
      </c>
      <c r="AY114" s="464" t="s">
        <v>8467</v>
      </c>
      <c r="AZ114" s="464" t="s">
        <v>2485</v>
      </c>
      <c r="BA114" s="464" t="s">
        <v>8726</v>
      </c>
      <c r="BB114" s="464" t="s">
        <v>8374</v>
      </c>
      <c r="BC114" s="464" t="s">
        <v>2449</v>
      </c>
      <c r="BD114" s="464" t="s">
        <v>272</v>
      </c>
      <c r="BE114" s="464" t="s">
        <v>272</v>
      </c>
      <c r="BF114" s="464" t="s">
        <v>2486</v>
      </c>
      <c r="BG114" s="464">
        <v>1.178304E-3</v>
      </c>
      <c r="BH114" s="464">
        <v>11.783040000000002</v>
      </c>
      <c r="BI114" s="464" t="s">
        <v>5921</v>
      </c>
      <c r="BJ114" s="464">
        <v>264.34090833793243</v>
      </c>
      <c r="BK114" s="464" t="s">
        <v>5921</v>
      </c>
      <c r="BL114" s="464" t="s">
        <v>5921</v>
      </c>
      <c r="BM114" s="464" t="s">
        <v>5921</v>
      </c>
      <c r="BN114" s="464" t="s">
        <v>5921</v>
      </c>
      <c r="BO114" s="464" t="s">
        <v>5921</v>
      </c>
      <c r="BP114" s="464">
        <v>2.0804429999999998</v>
      </c>
      <c r="BQ114" s="464" t="s">
        <v>5921</v>
      </c>
      <c r="BR114" s="464" t="s">
        <v>5921</v>
      </c>
      <c r="BS114" s="464" t="s">
        <v>5921</v>
      </c>
      <c r="BT114" s="464" t="s">
        <v>5921</v>
      </c>
      <c r="BU114" s="464" t="s">
        <v>5921</v>
      </c>
      <c r="BV114" s="464" t="s">
        <v>5921</v>
      </c>
      <c r="BW114" s="464" t="s">
        <v>5921</v>
      </c>
      <c r="BX114" s="464" t="s">
        <v>5921</v>
      </c>
      <c r="BY114" s="464" t="s">
        <v>5921</v>
      </c>
      <c r="BZ114" s="464" t="s">
        <v>5921</v>
      </c>
      <c r="CA114" s="464" t="s">
        <v>5921</v>
      </c>
      <c r="CB114" s="464" t="s">
        <v>5921</v>
      </c>
      <c r="CC114" s="464" t="s">
        <v>5921</v>
      </c>
      <c r="CD114" s="464" t="s">
        <v>5921</v>
      </c>
      <c r="CE114" s="464" t="s">
        <v>5921</v>
      </c>
      <c r="CF114" s="464" t="s">
        <v>5921</v>
      </c>
      <c r="CG114" s="464">
        <v>2.0804429999999998</v>
      </c>
      <c r="CH114" s="464">
        <v>0.31815582148701399</v>
      </c>
      <c r="CI114" s="464">
        <v>22.43401603813043</v>
      </c>
      <c r="CJ114" s="464">
        <v>127.05991384427858</v>
      </c>
      <c r="CK114" s="464">
        <v>5.5476152000535031E-2</v>
      </c>
      <c r="CL114" s="464">
        <v>10.370058347924337</v>
      </c>
      <c r="CM114" s="464" t="s">
        <v>2488</v>
      </c>
      <c r="CN114" s="464" t="s">
        <v>2489</v>
      </c>
      <c r="CO114" s="464">
        <v>0.73554580874365427</v>
      </c>
      <c r="CP114" s="464">
        <v>0.38248112909875748</v>
      </c>
      <c r="CQ114" s="464" t="s">
        <v>539</v>
      </c>
      <c r="CR114" s="464" t="s">
        <v>5921</v>
      </c>
      <c r="CS114" s="464">
        <v>545.65929368272748</v>
      </c>
      <c r="CT114" s="464">
        <v>96.342969040856545</v>
      </c>
      <c r="CU114" s="464">
        <v>1</v>
      </c>
      <c r="CV114" s="464" t="s">
        <v>5921</v>
      </c>
      <c r="CW114" s="464" t="s">
        <v>6351</v>
      </c>
    </row>
    <row r="115" spans="1:101" x14ac:dyDescent="0.2">
      <c r="A115" s="464">
        <v>957</v>
      </c>
      <c r="B115" s="464" t="s">
        <v>2730</v>
      </c>
      <c r="C115" s="464" t="s">
        <v>6478</v>
      </c>
      <c r="D115" s="464" t="s">
        <v>2731</v>
      </c>
      <c r="E115" s="464">
        <v>135193</v>
      </c>
      <c r="F115" s="464" t="s">
        <v>2732</v>
      </c>
      <c r="G115" s="464" t="s">
        <v>2732</v>
      </c>
      <c r="H115" s="464" t="s">
        <v>2733</v>
      </c>
      <c r="I115" s="464" t="s">
        <v>349</v>
      </c>
      <c r="J115" s="464" t="s">
        <v>5921</v>
      </c>
      <c r="K115" s="464" t="s">
        <v>2342</v>
      </c>
      <c r="L115" s="464" t="s">
        <v>2342</v>
      </c>
      <c r="M115" s="464" t="s">
        <v>5921</v>
      </c>
      <c r="N115" s="464" t="s">
        <v>5921</v>
      </c>
      <c r="O115" s="464" t="s">
        <v>5921</v>
      </c>
      <c r="P115" s="464" t="s">
        <v>5921</v>
      </c>
      <c r="Q115" s="464" t="s">
        <v>5921</v>
      </c>
      <c r="R115" s="464">
        <v>144.16999999999999</v>
      </c>
      <c r="S115" s="464">
        <v>755</v>
      </c>
      <c r="T115" s="464">
        <v>1512</v>
      </c>
      <c r="U115" s="464">
        <v>499.89051729741459</v>
      </c>
      <c r="V115" s="464">
        <v>499.89051729741459</v>
      </c>
      <c r="W115" s="464">
        <v>6.01</v>
      </c>
      <c r="X115" s="464">
        <v>2.69</v>
      </c>
      <c r="Y115" s="464">
        <v>2.7</v>
      </c>
      <c r="Z115" s="464">
        <v>3</v>
      </c>
      <c r="AA115" s="464">
        <v>0.87250000000000005</v>
      </c>
      <c r="AB115" s="464">
        <v>2.92</v>
      </c>
      <c r="AC115" s="464">
        <v>2.71</v>
      </c>
      <c r="AD115" s="464">
        <v>2.7</v>
      </c>
      <c r="AE115" s="464">
        <v>2.6</v>
      </c>
      <c r="AF115" s="464">
        <v>5.47E-8</v>
      </c>
      <c r="AG115" s="464">
        <v>2.7400000000000001E-8</v>
      </c>
      <c r="AH115" s="464">
        <v>-5.6505789999792206</v>
      </c>
      <c r="AI115" s="464">
        <v>-5.9508157634922636</v>
      </c>
      <c r="AJ115" s="464">
        <v>-5.9508157634922636</v>
      </c>
      <c r="AK115" s="464">
        <v>-8.7641400000000012</v>
      </c>
      <c r="AL115" s="464">
        <v>-5.97</v>
      </c>
      <c r="AM115" s="464">
        <v>9.57</v>
      </c>
      <c r="AN115" s="464" t="s">
        <v>5921</v>
      </c>
      <c r="AO115" s="464" t="s">
        <v>6311</v>
      </c>
      <c r="AP115" s="464" t="s">
        <v>6311</v>
      </c>
      <c r="AQ115" s="464" t="s">
        <v>5921</v>
      </c>
      <c r="AR115" s="464" t="s">
        <v>266</v>
      </c>
      <c r="AS115" s="464" t="s">
        <v>8465</v>
      </c>
      <c r="AT115" s="464" t="s">
        <v>8450</v>
      </c>
      <c r="AU115" s="464" t="s">
        <v>8466</v>
      </c>
      <c r="AV115" s="464" t="s">
        <v>8451</v>
      </c>
      <c r="AW115" s="464" t="s">
        <v>8727</v>
      </c>
      <c r="AX115" s="464" t="s">
        <v>1563</v>
      </c>
      <c r="AY115" s="464" t="s">
        <v>8467</v>
      </c>
      <c r="AZ115" s="464" t="s">
        <v>2485</v>
      </c>
      <c r="BA115" s="464" t="s">
        <v>8726</v>
      </c>
      <c r="BB115" s="464" t="s">
        <v>8374</v>
      </c>
      <c r="BC115" s="464" t="s">
        <v>2449</v>
      </c>
      <c r="BD115" s="464" t="s">
        <v>272</v>
      </c>
      <c r="BE115" s="464" t="s">
        <v>272</v>
      </c>
      <c r="BF115" s="464" t="s">
        <v>2486</v>
      </c>
      <c r="BG115" s="464">
        <v>9.2268799999999985E-4</v>
      </c>
      <c r="BH115" s="464">
        <v>9.2268799999999995</v>
      </c>
      <c r="BI115" s="464" t="s">
        <v>5921</v>
      </c>
      <c r="BJ115" s="464">
        <v>28.430591706295079</v>
      </c>
      <c r="BK115" s="464" t="s">
        <v>5921</v>
      </c>
      <c r="BL115" s="464" t="s">
        <v>5921</v>
      </c>
      <c r="BM115" s="464" t="s">
        <v>5921</v>
      </c>
      <c r="BN115" s="464" t="s">
        <v>5921</v>
      </c>
      <c r="BO115" s="464" t="s">
        <v>5921</v>
      </c>
      <c r="BP115" s="464">
        <v>3.6619179999999996</v>
      </c>
      <c r="BQ115" s="464" t="s">
        <v>5921</v>
      </c>
      <c r="BR115" s="464" t="s">
        <v>5921</v>
      </c>
      <c r="BS115" s="464" t="s">
        <v>5921</v>
      </c>
      <c r="BT115" s="464" t="s">
        <v>5921</v>
      </c>
      <c r="BU115" s="464" t="s">
        <v>5921</v>
      </c>
      <c r="BV115" s="464" t="s">
        <v>5921</v>
      </c>
      <c r="BW115" s="464" t="s">
        <v>5921</v>
      </c>
      <c r="BX115" s="464" t="s">
        <v>5921</v>
      </c>
      <c r="BY115" s="464" t="s">
        <v>5921</v>
      </c>
      <c r="BZ115" s="464" t="s">
        <v>5921</v>
      </c>
      <c r="CA115" s="464" t="s">
        <v>5921</v>
      </c>
      <c r="CB115" s="464" t="s">
        <v>5921</v>
      </c>
      <c r="CC115" s="464" t="s">
        <v>5921</v>
      </c>
      <c r="CD115" s="464" t="s">
        <v>5921</v>
      </c>
      <c r="CE115" s="464" t="s">
        <v>5921</v>
      </c>
      <c r="CF115" s="464" t="s">
        <v>5921</v>
      </c>
      <c r="CG115" s="464">
        <v>3.6619179999999996</v>
      </c>
      <c r="CH115" s="464">
        <v>0.56370861507593484</v>
      </c>
      <c r="CI115" s="464">
        <v>3.0812790137397559</v>
      </c>
      <c r="CJ115" s="464">
        <v>7.7638526330450555</v>
      </c>
      <c r="CK115" s="464">
        <v>0.5390760987927764</v>
      </c>
      <c r="CL115" s="464">
        <v>2.6667283236994228</v>
      </c>
      <c r="CM115" s="464" t="s">
        <v>2488</v>
      </c>
      <c r="CN115" s="464" t="s">
        <v>2489</v>
      </c>
      <c r="CO115" s="464">
        <v>0.53907609879277663</v>
      </c>
      <c r="CP115" s="464">
        <v>1.058357803468208</v>
      </c>
      <c r="CQ115" s="464" t="s">
        <v>539</v>
      </c>
      <c r="CR115" s="464" t="s">
        <v>5921</v>
      </c>
      <c r="CS115" s="464">
        <v>136.51057104430373</v>
      </c>
      <c r="CT115" s="464">
        <v>54.177632883208041</v>
      </c>
      <c r="CU115" s="464">
        <v>1</v>
      </c>
      <c r="CV115" s="464" t="s">
        <v>5921</v>
      </c>
      <c r="CW115" s="464" t="s">
        <v>6351</v>
      </c>
    </row>
    <row r="116" spans="1:101" x14ac:dyDescent="0.2">
      <c r="A116" s="464">
        <v>976</v>
      </c>
      <c r="B116" s="464" t="s">
        <v>2787</v>
      </c>
      <c r="C116" s="464" t="s">
        <v>6525</v>
      </c>
      <c r="D116" s="464" t="s">
        <v>2788</v>
      </c>
      <c r="E116" s="464">
        <v>55406536</v>
      </c>
      <c r="F116" s="464" t="s">
        <v>2789</v>
      </c>
      <c r="G116" s="464" t="s">
        <v>8317</v>
      </c>
      <c r="H116" s="464" t="s">
        <v>2790</v>
      </c>
      <c r="I116" s="464" t="s">
        <v>912</v>
      </c>
      <c r="J116" s="464" t="s">
        <v>5929</v>
      </c>
      <c r="K116" s="464" t="s">
        <v>6025</v>
      </c>
      <c r="L116" s="464" t="s">
        <v>2342</v>
      </c>
      <c r="M116" s="464" t="s">
        <v>2342</v>
      </c>
      <c r="N116" s="464" t="s">
        <v>6631</v>
      </c>
      <c r="O116" s="464" t="s">
        <v>6173</v>
      </c>
      <c r="P116" s="464" t="s">
        <v>6082</v>
      </c>
      <c r="Q116" s="464" t="s">
        <v>6173</v>
      </c>
      <c r="R116" s="464">
        <v>281.08999999999997</v>
      </c>
      <c r="S116" s="464" t="s">
        <v>5921</v>
      </c>
      <c r="T116" s="464">
        <v>126.6</v>
      </c>
      <c r="U116" s="464">
        <v>70.606615703302708</v>
      </c>
      <c r="V116" s="464">
        <v>70.606615703302708</v>
      </c>
      <c r="W116" s="464">
        <v>6.99</v>
      </c>
      <c r="X116" s="464">
        <v>2.4500000000000002</v>
      </c>
      <c r="Y116" s="464" t="s">
        <v>5921</v>
      </c>
      <c r="Z116" s="464">
        <v>2.06</v>
      </c>
      <c r="AA116" s="464">
        <v>0.52690000000000003</v>
      </c>
      <c r="AB116" s="464">
        <v>3.2</v>
      </c>
      <c r="AC116" s="464">
        <v>4.4400000000000004</v>
      </c>
      <c r="AD116" s="464">
        <v>3.2</v>
      </c>
      <c r="AE116" s="464">
        <v>1.38</v>
      </c>
      <c r="AF116" s="464">
        <v>8.9299999999999996E-9</v>
      </c>
      <c r="AG116" s="464" t="s">
        <v>5921</v>
      </c>
      <c r="AH116" s="464">
        <v>-6.4377148674241056</v>
      </c>
      <c r="AI116" s="464" t="s">
        <v>5921</v>
      </c>
      <c r="AJ116" s="464">
        <v>-6.4377148674241056</v>
      </c>
      <c r="AK116" s="464">
        <v>-8.67258</v>
      </c>
      <c r="AL116" s="464">
        <v>-27.6</v>
      </c>
      <c r="AM116" s="464">
        <v>12.03</v>
      </c>
      <c r="AN116" s="464">
        <v>-1.55</v>
      </c>
      <c r="AO116" s="464" t="s">
        <v>6311</v>
      </c>
      <c r="AP116" s="464" t="s">
        <v>6315</v>
      </c>
      <c r="AQ116" s="464" t="s">
        <v>5921</v>
      </c>
      <c r="AR116" s="464" t="s">
        <v>266</v>
      </c>
      <c r="AS116" s="464" t="s">
        <v>8465</v>
      </c>
      <c r="AT116" s="464" t="s">
        <v>8450</v>
      </c>
      <c r="AU116" s="464" t="s">
        <v>8466</v>
      </c>
      <c r="AV116" s="464" t="s">
        <v>8451</v>
      </c>
      <c r="AW116" s="464" t="s">
        <v>8727</v>
      </c>
      <c r="AX116" s="464" t="s">
        <v>1563</v>
      </c>
      <c r="AY116" s="464" t="s">
        <v>8467</v>
      </c>
      <c r="AZ116" s="464" t="s">
        <v>2485</v>
      </c>
      <c r="BA116" s="464" t="s">
        <v>8726</v>
      </c>
      <c r="BB116" s="464" t="s">
        <v>8374</v>
      </c>
      <c r="BC116" s="464" t="s">
        <v>2449</v>
      </c>
      <c r="BD116" s="464" t="s">
        <v>272</v>
      </c>
      <c r="BE116" s="464" t="s">
        <v>272</v>
      </c>
      <c r="BF116" s="464" t="s">
        <v>2486</v>
      </c>
      <c r="BG116" s="464">
        <v>1.7989759999999997E-3</v>
      </c>
      <c r="BH116" s="464">
        <v>17.98976</v>
      </c>
      <c r="BI116" s="464" t="s">
        <v>5921</v>
      </c>
      <c r="BJ116" s="464">
        <v>91.054286482476698</v>
      </c>
      <c r="BK116" s="464" t="s">
        <v>5921</v>
      </c>
      <c r="BL116" s="464" t="s">
        <v>5921</v>
      </c>
      <c r="BM116" s="464" t="s">
        <v>5921</v>
      </c>
      <c r="BN116" s="464" t="s">
        <v>5921</v>
      </c>
      <c r="BO116" s="464" t="s">
        <v>5921</v>
      </c>
      <c r="BP116" s="464">
        <v>5.6888616089299999</v>
      </c>
      <c r="BQ116" s="464" t="s">
        <v>5921</v>
      </c>
      <c r="BR116" s="464" t="s">
        <v>5921</v>
      </c>
      <c r="BS116" s="464" t="s">
        <v>5921</v>
      </c>
      <c r="BT116" s="464" t="s">
        <v>5921</v>
      </c>
      <c r="BU116" s="464" t="s">
        <v>5921</v>
      </c>
      <c r="BV116" s="464" t="s">
        <v>5921</v>
      </c>
      <c r="BW116" s="464" t="s">
        <v>5921</v>
      </c>
      <c r="BX116" s="464" t="s">
        <v>5921</v>
      </c>
      <c r="BY116" s="464" t="s">
        <v>5921</v>
      </c>
      <c r="BZ116" s="464" t="s">
        <v>5921</v>
      </c>
      <c r="CA116" s="464" t="s">
        <v>5921</v>
      </c>
      <c r="CB116" s="464" t="s">
        <v>5921</v>
      </c>
      <c r="CC116" s="464" t="s">
        <v>5921</v>
      </c>
      <c r="CD116" s="464" t="s">
        <v>5921</v>
      </c>
      <c r="CE116" s="464" t="s">
        <v>5921</v>
      </c>
      <c r="CF116" s="464" t="s">
        <v>5921</v>
      </c>
      <c r="CG116" s="464">
        <v>5.6888616089299999</v>
      </c>
      <c r="CH116" s="464">
        <v>0.75502536895689332</v>
      </c>
      <c r="CI116" s="464">
        <v>5.0614508744128157</v>
      </c>
      <c r="CJ116" s="464">
        <v>16.005713048028042</v>
      </c>
      <c r="CK116" s="464" t="s">
        <v>5921</v>
      </c>
      <c r="CL116" s="464" t="s">
        <v>5921</v>
      </c>
      <c r="CM116" s="464" t="s">
        <v>2488</v>
      </c>
      <c r="CN116" s="464" t="s">
        <v>2489</v>
      </c>
      <c r="CO116" s="464">
        <v>-0.93229085321130467</v>
      </c>
      <c r="CP116" s="464">
        <v>48.676150158729435</v>
      </c>
      <c r="CQ116" s="464" t="s">
        <v>539</v>
      </c>
      <c r="CR116" s="464" t="s">
        <v>5921</v>
      </c>
      <c r="CS116" s="464">
        <v>12.411378682945829</v>
      </c>
      <c r="CT116" s="464">
        <v>3.9248225492337143</v>
      </c>
      <c r="CU116" s="464">
        <v>1</v>
      </c>
      <c r="CV116" s="464" t="s">
        <v>5921</v>
      </c>
      <c r="CW116" s="464" t="s">
        <v>5921</v>
      </c>
    </row>
    <row r="117" spans="1:101" x14ac:dyDescent="0.2">
      <c r="A117" s="464">
        <v>981</v>
      </c>
      <c r="B117" s="464" t="s">
        <v>2799</v>
      </c>
      <c r="C117" s="464" t="s">
        <v>6448</v>
      </c>
      <c r="D117" s="464" t="s">
        <v>1760</v>
      </c>
      <c r="E117" s="464">
        <v>80466</v>
      </c>
      <c r="F117" s="464" t="s">
        <v>1761</v>
      </c>
      <c r="G117" s="464" t="s">
        <v>1761</v>
      </c>
      <c r="H117" s="464" t="s">
        <v>1762</v>
      </c>
      <c r="I117" s="464" t="s">
        <v>349</v>
      </c>
      <c r="J117" s="464" t="s">
        <v>6025</v>
      </c>
      <c r="K117" s="464" t="s">
        <v>6112</v>
      </c>
      <c r="L117" s="464" t="s">
        <v>6082</v>
      </c>
      <c r="M117" s="464" t="s">
        <v>1763</v>
      </c>
      <c r="N117" s="464" t="s">
        <v>6184</v>
      </c>
      <c r="O117" s="464" t="s">
        <v>6173</v>
      </c>
      <c r="P117" s="464" t="s">
        <v>6185</v>
      </c>
      <c r="Q117" s="464" t="s">
        <v>6176</v>
      </c>
      <c r="R117" s="464">
        <v>164.24</v>
      </c>
      <c r="S117" s="464">
        <v>168</v>
      </c>
      <c r="T117" s="464">
        <v>113.2</v>
      </c>
      <c r="U117" s="464">
        <v>462.89121263087367</v>
      </c>
      <c r="V117" s="464">
        <v>462.89121263087367</v>
      </c>
      <c r="W117" s="464">
        <v>6.38</v>
      </c>
      <c r="X117" s="464">
        <v>3.91</v>
      </c>
      <c r="Y117" s="464" t="s">
        <v>5921</v>
      </c>
      <c r="Z117" s="464">
        <v>3.65</v>
      </c>
      <c r="AA117" s="464">
        <v>0.90659999999999996</v>
      </c>
      <c r="AB117" s="464">
        <v>3.66</v>
      </c>
      <c r="AC117" s="464">
        <v>3.7</v>
      </c>
      <c r="AD117" s="464">
        <v>3.66</v>
      </c>
      <c r="AE117" s="464">
        <v>3.54</v>
      </c>
      <c r="AF117" s="464">
        <v>1.9199999999999998E-6</v>
      </c>
      <c r="AG117" s="464" t="s">
        <v>5921</v>
      </c>
      <c r="AH117" s="464">
        <v>-4.1052650976091023</v>
      </c>
      <c r="AI117" s="464" t="s">
        <v>5921</v>
      </c>
      <c r="AJ117" s="464">
        <v>-4.1052650976091023</v>
      </c>
      <c r="AK117" s="464">
        <v>-6.8975099999999996</v>
      </c>
      <c r="AL117" s="464">
        <v>-4.1500000000000004</v>
      </c>
      <c r="AM117" s="464">
        <v>10.24</v>
      </c>
      <c r="AN117" s="464" t="s">
        <v>5921</v>
      </c>
      <c r="AO117" s="464" t="s">
        <v>6311</v>
      </c>
      <c r="AP117" s="464" t="s">
        <v>6311</v>
      </c>
      <c r="AQ117" s="464" t="s">
        <v>5921</v>
      </c>
      <c r="AR117" s="464" t="s">
        <v>266</v>
      </c>
      <c r="AS117" s="464" t="s">
        <v>8465</v>
      </c>
      <c r="AT117" s="464" t="s">
        <v>8450</v>
      </c>
      <c r="AU117" s="464" t="s">
        <v>8466</v>
      </c>
      <c r="AV117" s="464" t="s">
        <v>8451</v>
      </c>
      <c r="AW117" s="464" t="s">
        <v>8727</v>
      </c>
      <c r="AX117" s="464" t="s">
        <v>1563</v>
      </c>
      <c r="AY117" s="464" t="s">
        <v>8467</v>
      </c>
      <c r="AZ117" s="464" t="s">
        <v>2485</v>
      </c>
      <c r="BA117" s="464" t="s">
        <v>8726</v>
      </c>
      <c r="BB117" s="464" t="s">
        <v>8374</v>
      </c>
      <c r="BC117" s="464" t="s">
        <v>2449</v>
      </c>
      <c r="BD117" s="464" t="s">
        <v>272</v>
      </c>
      <c r="BE117" s="464" t="s">
        <v>272</v>
      </c>
      <c r="BF117" s="464" t="s">
        <v>2486</v>
      </c>
      <c r="BG117" s="464">
        <v>1.051136E-3</v>
      </c>
      <c r="BH117" s="464">
        <v>10.511360000000002</v>
      </c>
      <c r="BI117" s="464" t="s">
        <v>5921</v>
      </c>
      <c r="BJ117" s="464">
        <v>2.5984115401162948</v>
      </c>
      <c r="BK117" s="464" t="s">
        <v>5921</v>
      </c>
      <c r="BL117" s="464" t="s">
        <v>5921</v>
      </c>
      <c r="BM117" s="464" t="s">
        <v>5921</v>
      </c>
      <c r="BN117" s="464" t="s">
        <v>5921</v>
      </c>
      <c r="BO117" s="464" t="s">
        <v>5921</v>
      </c>
      <c r="BP117" s="464">
        <v>6.0768800000000001</v>
      </c>
      <c r="BQ117" s="464" t="s">
        <v>5921</v>
      </c>
      <c r="BR117" s="464" t="s">
        <v>5921</v>
      </c>
      <c r="BS117" s="464" t="s">
        <v>5921</v>
      </c>
      <c r="BT117" s="464" t="s">
        <v>5921</v>
      </c>
      <c r="BU117" s="464" t="s">
        <v>5921</v>
      </c>
      <c r="BV117" s="464" t="s">
        <v>5921</v>
      </c>
      <c r="BW117" s="464" t="s">
        <v>5921</v>
      </c>
      <c r="BX117" s="464" t="s">
        <v>5921</v>
      </c>
      <c r="BY117" s="464" t="s">
        <v>5921</v>
      </c>
      <c r="BZ117" s="464" t="s">
        <v>5921</v>
      </c>
      <c r="CA117" s="464" t="s">
        <v>5921</v>
      </c>
      <c r="CB117" s="464" t="s">
        <v>5921</v>
      </c>
      <c r="CC117" s="464" t="s">
        <v>5921</v>
      </c>
      <c r="CD117" s="464" t="s">
        <v>5921</v>
      </c>
      <c r="CE117" s="464" t="s">
        <v>5921</v>
      </c>
      <c r="CF117" s="464" t="s">
        <v>5921</v>
      </c>
      <c r="CG117" s="464">
        <v>6.0768800000000001</v>
      </c>
      <c r="CH117" s="464">
        <v>0.78368066042953044</v>
      </c>
      <c r="CI117" s="464">
        <v>0.2472003185236063</v>
      </c>
      <c r="CJ117" s="464">
        <v>0.42758974014894069</v>
      </c>
      <c r="CK117" s="464">
        <v>0.40873770690803563</v>
      </c>
      <c r="CL117" s="464">
        <v>4.101296840332143</v>
      </c>
      <c r="CM117" s="464" t="s">
        <v>2488</v>
      </c>
      <c r="CN117" s="464" t="s">
        <v>2489</v>
      </c>
      <c r="CO117" s="464">
        <v>0.40873770690803574</v>
      </c>
      <c r="CP117" s="464">
        <v>2.3710622358170195</v>
      </c>
      <c r="CQ117" s="464" t="s">
        <v>539</v>
      </c>
      <c r="CR117" s="464" t="s">
        <v>5921</v>
      </c>
      <c r="CS117" s="464">
        <v>76.172511655796015</v>
      </c>
      <c r="CT117" s="464">
        <v>44.037233301007063</v>
      </c>
      <c r="CU117" s="464">
        <v>1</v>
      </c>
      <c r="CV117" s="464" t="s">
        <v>5921</v>
      </c>
      <c r="CW117" s="464" t="s">
        <v>6351</v>
      </c>
    </row>
    <row r="118" spans="1:101" x14ac:dyDescent="0.2">
      <c r="A118" s="464">
        <v>997</v>
      </c>
      <c r="B118" s="464" t="s">
        <v>2844</v>
      </c>
      <c r="C118" s="464" t="s">
        <v>6458</v>
      </c>
      <c r="D118" s="464" t="s">
        <v>1608</v>
      </c>
      <c r="E118" s="464">
        <v>98544</v>
      </c>
      <c r="F118" s="464" t="s">
        <v>1609</v>
      </c>
      <c r="G118" s="464" t="s">
        <v>1609</v>
      </c>
      <c r="H118" s="464" t="s">
        <v>1610</v>
      </c>
      <c r="I118" s="464" t="s">
        <v>349</v>
      </c>
      <c r="J118" s="464" t="s">
        <v>5921</v>
      </c>
      <c r="K118" s="464" t="s">
        <v>6082</v>
      </c>
      <c r="L118" s="464" t="s">
        <v>6082</v>
      </c>
      <c r="M118" s="464" t="s">
        <v>5921</v>
      </c>
      <c r="N118" s="464" t="s">
        <v>6184</v>
      </c>
      <c r="O118" s="464" t="s">
        <v>6173</v>
      </c>
      <c r="P118" s="464" t="s">
        <v>6185</v>
      </c>
      <c r="Q118" s="464" t="s">
        <v>6176</v>
      </c>
      <c r="R118" s="464">
        <v>150.22</v>
      </c>
      <c r="S118" s="464">
        <v>580</v>
      </c>
      <c r="T118" s="464">
        <v>428.9</v>
      </c>
      <c r="U118" s="464">
        <v>1193.2398742028151</v>
      </c>
      <c r="V118" s="464">
        <v>1193.2398742028151</v>
      </c>
      <c r="W118" s="464">
        <v>6.11</v>
      </c>
      <c r="X118" s="464">
        <v>3.42</v>
      </c>
      <c r="Y118" s="464">
        <v>3.31</v>
      </c>
      <c r="Z118" s="464">
        <v>3.4</v>
      </c>
      <c r="AA118" s="464">
        <v>0.93430000000000002</v>
      </c>
      <c r="AB118" s="464">
        <v>3.36</v>
      </c>
      <c r="AC118" s="464">
        <v>3.17</v>
      </c>
      <c r="AD118" s="464">
        <v>3.31</v>
      </c>
      <c r="AE118" s="464">
        <v>3.12</v>
      </c>
      <c r="AF118" s="464">
        <v>1.4500000000000001E-6</v>
      </c>
      <c r="AG118" s="464">
        <v>1.19E-6</v>
      </c>
      <c r="AH118" s="464">
        <v>-4.2271983240776771</v>
      </c>
      <c r="AI118" s="464">
        <v>-4.3130193649201214</v>
      </c>
      <c r="AJ118" s="464">
        <v>-4.3130193649201214</v>
      </c>
      <c r="AK118" s="464">
        <v>-6.7175700000000003</v>
      </c>
      <c r="AL118" s="464">
        <v>-4.28</v>
      </c>
      <c r="AM118" s="464">
        <v>10.130000000000001</v>
      </c>
      <c r="AN118" s="464" t="s">
        <v>5921</v>
      </c>
      <c r="AO118" s="464" t="s">
        <v>6311</v>
      </c>
      <c r="AP118" s="464" t="s">
        <v>6311</v>
      </c>
      <c r="AQ118" s="464" t="s">
        <v>5921</v>
      </c>
      <c r="AR118" s="464" t="s">
        <v>266</v>
      </c>
      <c r="AS118" s="464" t="s">
        <v>8465</v>
      </c>
      <c r="AT118" s="464" t="s">
        <v>8450</v>
      </c>
      <c r="AU118" s="464" t="s">
        <v>8466</v>
      </c>
      <c r="AV118" s="464" t="s">
        <v>8451</v>
      </c>
      <c r="AW118" s="464" t="s">
        <v>8727</v>
      </c>
      <c r="AX118" s="464" t="s">
        <v>1563</v>
      </c>
      <c r="AY118" s="464" t="s">
        <v>8467</v>
      </c>
      <c r="AZ118" s="464" t="s">
        <v>2485</v>
      </c>
      <c r="BA118" s="464" t="s">
        <v>8726</v>
      </c>
      <c r="BB118" s="464" t="s">
        <v>8374</v>
      </c>
      <c r="BC118" s="464" t="s">
        <v>2449</v>
      </c>
      <c r="BD118" s="464" t="s">
        <v>272</v>
      </c>
      <c r="BE118" s="464" t="s">
        <v>272</v>
      </c>
      <c r="BF118" s="464" t="s">
        <v>2486</v>
      </c>
      <c r="BG118" s="464">
        <v>9.6140799999999997E-4</v>
      </c>
      <c r="BH118" s="464">
        <v>9.6140799999999995</v>
      </c>
      <c r="BI118" s="464" t="s">
        <v>5921</v>
      </c>
      <c r="BJ118" s="464">
        <v>6.5467500114518993</v>
      </c>
      <c r="BK118" s="464" t="s">
        <v>5921</v>
      </c>
      <c r="BL118" s="464" t="s">
        <v>5921</v>
      </c>
      <c r="BM118" s="464" t="s">
        <v>5921</v>
      </c>
      <c r="BN118" s="464" t="s">
        <v>5921</v>
      </c>
      <c r="BO118" s="464" t="s">
        <v>5921</v>
      </c>
      <c r="BP118" s="464">
        <v>6.5796359999999998</v>
      </c>
      <c r="BQ118" s="464" t="s">
        <v>5921</v>
      </c>
      <c r="BR118" s="464" t="s">
        <v>5921</v>
      </c>
      <c r="BS118" s="464" t="s">
        <v>5921</v>
      </c>
      <c r="BT118" s="464" t="s">
        <v>5921</v>
      </c>
      <c r="BU118" s="464" t="s">
        <v>5921</v>
      </c>
      <c r="BV118" s="464" t="s">
        <v>5921</v>
      </c>
      <c r="BW118" s="464" t="s">
        <v>5921</v>
      </c>
      <c r="BX118" s="464" t="s">
        <v>5921</v>
      </c>
      <c r="BY118" s="464" t="s">
        <v>5921</v>
      </c>
      <c r="BZ118" s="464" t="s">
        <v>5921</v>
      </c>
      <c r="CA118" s="464" t="s">
        <v>5921</v>
      </c>
      <c r="CB118" s="464" t="s">
        <v>5921</v>
      </c>
      <c r="CC118" s="464" t="s">
        <v>5921</v>
      </c>
      <c r="CD118" s="464" t="s">
        <v>5921</v>
      </c>
      <c r="CE118" s="464" t="s">
        <v>5921</v>
      </c>
      <c r="CF118" s="464" t="s">
        <v>5921</v>
      </c>
      <c r="CG118" s="464">
        <v>6.5796359999999998</v>
      </c>
      <c r="CH118" s="464">
        <v>0.81820186814828866</v>
      </c>
      <c r="CI118" s="464">
        <v>0.68095439308305106</v>
      </c>
      <c r="CJ118" s="464">
        <v>0.99500185290674126</v>
      </c>
      <c r="CK118" s="464">
        <v>0.71320269044533025</v>
      </c>
      <c r="CL118" s="464">
        <v>1.8608228964483853</v>
      </c>
      <c r="CM118" s="464" t="s">
        <v>2488</v>
      </c>
      <c r="CN118" s="464" t="s">
        <v>2489</v>
      </c>
      <c r="CO118" s="464">
        <v>0.71320269044533036</v>
      </c>
      <c r="CP118" s="464">
        <v>1.2735006697568636</v>
      </c>
      <c r="CQ118" s="464" t="s">
        <v>539</v>
      </c>
      <c r="CR118" s="464" t="s">
        <v>5921</v>
      </c>
      <c r="CS118" s="464">
        <v>181.35347824755277</v>
      </c>
      <c r="CT118" s="464">
        <v>124.11378667566893</v>
      </c>
      <c r="CU118" s="464">
        <v>1</v>
      </c>
      <c r="CV118" s="464" t="s">
        <v>5921</v>
      </c>
      <c r="CW118" s="464" t="s">
        <v>6351</v>
      </c>
    </row>
    <row r="119" spans="1:101" x14ac:dyDescent="0.2">
      <c r="A119" s="464">
        <v>1004</v>
      </c>
      <c r="B119" s="464" t="s">
        <v>2865</v>
      </c>
      <c r="C119" s="464" t="s">
        <v>6512</v>
      </c>
      <c r="D119" s="464" t="s">
        <v>2866</v>
      </c>
      <c r="E119" s="464">
        <v>26172554</v>
      </c>
      <c r="F119" s="464" t="s">
        <v>2867</v>
      </c>
      <c r="G119" s="464" t="s">
        <v>8322</v>
      </c>
      <c r="H119" s="464" t="s">
        <v>2868</v>
      </c>
      <c r="I119" s="464" t="s">
        <v>2869</v>
      </c>
      <c r="J119" s="464" t="s">
        <v>5576</v>
      </c>
      <c r="K119" s="464" t="s">
        <v>6113</v>
      </c>
      <c r="L119" s="464" t="s">
        <v>6383</v>
      </c>
      <c r="M119" s="464" t="s">
        <v>5921</v>
      </c>
      <c r="N119" s="464" t="s">
        <v>8470</v>
      </c>
      <c r="O119" s="464" t="s">
        <v>6173</v>
      </c>
      <c r="P119" s="464" t="s">
        <v>8448</v>
      </c>
      <c r="Q119" s="464" t="s">
        <v>6173</v>
      </c>
      <c r="R119" s="464">
        <v>149.6</v>
      </c>
      <c r="S119" s="464" t="s">
        <v>5921</v>
      </c>
      <c r="T119" s="464">
        <v>148700</v>
      </c>
      <c r="U119" s="464">
        <v>14619.468825498925</v>
      </c>
      <c r="V119" s="464">
        <v>14619.468825498925</v>
      </c>
      <c r="W119" s="464">
        <v>7</v>
      </c>
      <c r="X119" s="464">
        <v>-0.34</v>
      </c>
      <c r="Y119" s="464" t="s">
        <v>5921</v>
      </c>
      <c r="Z119" s="464">
        <v>1.58</v>
      </c>
      <c r="AA119" s="464">
        <v>0.67220000000000002</v>
      </c>
      <c r="AB119" s="464">
        <v>1.1200000000000001</v>
      </c>
      <c r="AC119" s="464">
        <v>0.24</v>
      </c>
      <c r="AD119" s="464">
        <v>1.1200000000000001</v>
      </c>
      <c r="AE119" s="464">
        <v>1.52</v>
      </c>
      <c r="AF119" s="464">
        <v>3.5700000000000002E-8</v>
      </c>
      <c r="AG119" s="464" t="s">
        <v>5921</v>
      </c>
      <c r="AH119" s="464">
        <v>-5.8358981102004588</v>
      </c>
      <c r="AI119" s="464" t="s">
        <v>5921</v>
      </c>
      <c r="AJ119" s="464">
        <v>-5.8358981102004588</v>
      </c>
      <c r="AK119" s="464">
        <v>-8.8374600000000001</v>
      </c>
      <c r="AL119" s="464">
        <v>-3.6</v>
      </c>
      <c r="AM119" s="464" t="s">
        <v>5921</v>
      </c>
      <c r="AN119" s="464">
        <v>-4.0599999999999996</v>
      </c>
      <c r="AO119" s="464" t="s">
        <v>6311</v>
      </c>
      <c r="AP119" s="464" t="s">
        <v>6311</v>
      </c>
      <c r="AQ119" s="464" t="s">
        <v>5921</v>
      </c>
      <c r="AR119" s="464" t="s">
        <v>266</v>
      </c>
      <c r="AS119" s="464" t="s">
        <v>8465</v>
      </c>
      <c r="AT119" s="464" t="s">
        <v>8450</v>
      </c>
      <c r="AU119" s="464" t="s">
        <v>8466</v>
      </c>
      <c r="AV119" s="464" t="s">
        <v>8451</v>
      </c>
      <c r="AW119" s="464" t="s">
        <v>8727</v>
      </c>
      <c r="AX119" s="464" t="s">
        <v>1563</v>
      </c>
      <c r="AY119" s="464" t="s">
        <v>8467</v>
      </c>
      <c r="AZ119" s="464" t="s">
        <v>2485</v>
      </c>
      <c r="BA119" s="464" t="s">
        <v>8726</v>
      </c>
      <c r="BB119" s="464" t="s">
        <v>8374</v>
      </c>
      <c r="BC119" s="464" t="s">
        <v>2449</v>
      </c>
      <c r="BD119" s="464" t="s">
        <v>272</v>
      </c>
      <c r="BE119" s="464" t="s">
        <v>272</v>
      </c>
      <c r="BF119" s="464" t="s">
        <v>2486</v>
      </c>
      <c r="BG119" s="464">
        <v>9.5743999999999994E-4</v>
      </c>
      <c r="BH119" s="464">
        <v>9.5744000000000007</v>
      </c>
      <c r="BI119" s="464" t="s">
        <v>5921</v>
      </c>
      <c r="BJ119" s="464">
        <v>15526.929944500454</v>
      </c>
      <c r="BK119" s="464" t="s">
        <v>5921</v>
      </c>
      <c r="BL119" s="464" t="s">
        <v>5921</v>
      </c>
      <c r="BM119" s="464" t="s">
        <v>5921</v>
      </c>
      <c r="BN119" s="464" t="s">
        <v>5921</v>
      </c>
      <c r="BO119" s="464" t="s">
        <v>5921</v>
      </c>
      <c r="BP119" s="464">
        <v>1.8251200000000001</v>
      </c>
      <c r="BQ119" s="464" t="s">
        <v>5921</v>
      </c>
      <c r="BR119" s="464" t="s">
        <v>5921</v>
      </c>
      <c r="BS119" s="464" t="s">
        <v>5921</v>
      </c>
      <c r="BT119" s="464" t="s">
        <v>5921</v>
      </c>
      <c r="BU119" s="464" t="s">
        <v>5921</v>
      </c>
      <c r="BV119" s="464" t="s">
        <v>5921</v>
      </c>
      <c r="BW119" s="464" t="s">
        <v>5921</v>
      </c>
      <c r="BX119" s="464" t="s">
        <v>5921</v>
      </c>
      <c r="BY119" s="464" t="s">
        <v>5921</v>
      </c>
      <c r="BZ119" s="464" t="s">
        <v>5921</v>
      </c>
      <c r="CA119" s="464" t="s">
        <v>5921</v>
      </c>
      <c r="CB119" s="464" t="s">
        <v>5921</v>
      </c>
      <c r="CC119" s="464" t="s">
        <v>5921</v>
      </c>
      <c r="CD119" s="464" t="s">
        <v>5921</v>
      </c>
      <c r="CE119" s="464" t="s">
        <v>5921</v>
      </c>
      <c r="CF119" s="464" t="s">
        <v>5921</v>
      </c>
      <c r="CG119" s="464">
        <v>1.8251200000000001</v>
      </c>
      <c r="CH119" s="464">
        <v>0.26129142420319079</v>
      </c>
      <c r="CI119" s="464">
        <v>1621.7131041632324</v>
      </c>
      <c r="CJ119" s="464">
        <v>8507.3474316759748</v>
      </c>
      <c r="CK119" s="464">
        <v>-0.37876076330886044</v>
      </c>
      <c r="CL119" s="464">
        <v>22.901943073320357</v>
      </c>
      <c r="CM119" s="464" t="s">
        <v>2488</v>
      </c>
      <c r="CN119" s="464" t="s">
        <v>2489</v>
      </c>
      <c r="CO119" s="464">
        <v>-0.22475169978810194</v>
      </c>
      <c r="CP119" s="464">
        <v>3.0622674915268711</v>
      </c>
      <c r="CQ119" s="464" t="s">
        <v>539</v>
      </c>
      <c r="CR119" s="464" t="s">
        <v>5921</v>
      </c>
      <c r="CS119" s="464">
        <v>8010.1411553754951</v>
      </c>
      <c r="CT119" s="464">
        <v>1526.9331577434539</v>
      </c>
      <c r="CU119" s="464">
        <v>1</v>
      </c>
      <c r="CV119" s="464" t="s">
        <v>5921</v>
      </c>
      <c r="CW119" s="464" t="s">
        <v>5921</v>
      </c>
    </row>
    <row r="120" spans="1:101" x14ac:dyDescent="0.2">
      <c r="A120" s="464">
        <v>1018</v>
      </c>
      <c r="B120" s="464" t="s">
        <v>920</v>
      </c>
      <c r="C120" s="464" t="s">
        <v>6517</v>
      </c>
      <c r="D120" s="464" t="s">
        <v>921</v>
      </c>
      <c r="E120" s="464">
        <v>34256821</v>
      </c>
      <c r="F120" s="464" t="s">
        <v>922</v>
      </c>
      <c r="G120" s="464" t="s">
        <v>8286</v>
      </c>
      <c r="H120" s="464" t="s">
        <v>923</v>
      </c>
      <c r="I120" s="464" t="s">
        <v>924</v>
      </c>
      <c r="J120" s="464" t="s">
        <v>6114</v>
      </c>
      <c r="K120" s="464" t="s">
        <v>6082</v>
      </c>
      <c r="L120" s="464" t="s">
        <v>6082</v>
      </c>
      <c r="M120" s="464" t="s">
        <v>6083</v>
      </c>
      <c r="N120" s="464" t="s">
        <v>5921</v>
      </c>
      <c r="O120" s="464" t="s">
        <v>5921</v>
      </c>
      <c r="P120" s="464" t="s">
        <v>5921</v>
      </c>
      <c r="Q120" s="464" t="s">
        <v>5921</v>
      </c>
      <c r="R120" s="464">
        <v>269.77</v>
      </c>
      <c r="S120" s="464">
        <v>223</v>
      </c>
      <c r="T120" s="464">
        <v>47.36</v>
      </c>
      <c r="U120" s="464">
        <v>814.69237561285115</v>
      </c>
      <c r="V120" s="464">
        <v>814.69237561285115</v>
      </c>
      <c r="W120" s="464">
        <v>7.01</v>
      </c>
      <c r="X120" s="464">
        <v>3.37</v>
      </c>
      <c r="Y120" s="464">
        <v>3.03</v>
      </c>
      <c r="Z120" s="464">
        <v>3.01</v>
      </c>
      <c r="AA120" s="464">
        <v>0.8427</v>
      </c>
      <c r="AB120" s="464">
        <v>2.99</v>
      </c>
      <c r="AC120" s="464">
        <v>2.92</v>
      </c>
      <c r="AD120" s="464">
        <v>3.03</v>
      </c>
      <c r="AE120" s="464">
        <v>3.33</v>
      </c>
      <c r="AF120" s="464">
        <v>2.2300000000000001E-8</v>
      </c>
      <c r="AG120" s="464" t="s">
        <v>5921</v>
      </c>
      <c r="AH120" s="464">
        <v>-6.0402614632644909</v>
      </c>
      <c r="AI120" s="464" t="s">
        <v>5921</v>
      </c>
      <c r="AJ120" s="464">
        <v>-6.0402614632644909</v>
      </c>
      <c r="AK120" s="464">
        <v>-10.631349999999999</v>
      </c>
      <c r="AL120" s="464">
        <v>-5.33</v>
      </c>
      <c r="AM120" s="464" t="s">
        <v>5921</v>
      </c>
      <c r="AN120" s="464">
        <v>1.29</v>
      </c>
      <c r="AO120" s="464" t="s">
        <v>6311</v>
      </c>
      <c r="AP120" s="464" t="s">
        <v>6311</v>
      </c>
      <c r="AQ120" s="464" t="s">
        <v>5921</v>
      </c>
      <c r="AR120" s="464" t="s">
        <v>266</v>
      </c>
      <c r="AS120" s="464" t="s">
        <v>8465</v>
      </c>
      <c r="AT120" s="464" t="s">
        <v>8450</v>
      </c>
      <c r="AU120" s="464" t="s">
        <v>8466</v>
      </c>
      <c r="AV120" s="464" t="s">
        <v>8451</v>
      </c>
      <c r="AW120" s="464" t="s">
        <v>8727</v>
      </c>
      <c r="AX120" s="464" t="s">
        <v>1563</v>
      </c>
      <c r="AY120" s="464" t="s">
        <v>8467</v>
      </c>
      <c r="AZ120" s="464" t="s">
        <v>2485</v>
      </c>
      <c r="BA120" s="464" t="s">
        <v>8726</v>
      </c>
      <c r="BB120" s="464" t="s">
        <v>8374</v>
      </c>
      <c r="BC120" s="464" t="s">
        <v>2449</v>
      </c>
      <c r="BD120" s="464" t="s">
        <v>272</v>
      </c>
      <c r="BE120" s="464" t="s">
        <v>272</v>
      </c>
      <c r="BF120" s="464" t="s">
        <v>2486</v>
      </c>
      <c r="BG120" s="464">
        <v>1.7265279999999997E-3</v>
      </c>
      <c r="BH120" s="464">
        <v>17.265280000000001</v>
      </c>
      <c r="BI120" s="464" t="s">
        <v>5921</v>
      </c>
      <c r="BJ120" s="464">
        <v>13.037569961777397</v>
      </c>
      <c r="BK120" s="464" t="s">
        <v>5921</v>
      </c>
      <c r="BL120" s="464" t="s">
        <v>5921</v>
      </c>
      <c r="BM120" s="464" t="s">
        <v>5921</v>
      </c>
      <c r="BN120" s="464" t="s">
        <v>5921</v>
      </c>
      <c r="BO120" s="464" t="s">
        <v>5921</v>
      </c>
      <c r="BP120" s="464">
        <v>15.565728999999999</v>
      </c>
      <c r="BQ120" s="464" t="s">
        <v>5921</v>
      </c>
      <c r="BR120" s="464" t="s">
        <v>5921</v>
      </c>
      <c r="BS120" s="464" t="s">
        <v>5921</v>
      </c>
      <c r="BT120" s="464" t="s">
        <v>5921</v>
      </c>
      <c r="BU120" s="464" t="s">
        <v>5921</v>
      </c>
      <c r="BV120" s="464" t="s">
        <v>5921</v>
      </c>
      <c r="BW120" s="464" t="s">
        <v>5921</v>
      </c>
      <c r="BX120" s="464" t="s">
        <v>5921</v>
      </c>
      <c r="BY120" s="464" t="s">
        <v>5921</v>
      </c>
      <c r="BZ120" s="464" t="s">
        <v>5921</v>
      </c>
      <c r="CA120" s="464" t="s">
        <v>5921</v>
      </c>
      <c r="CB120" s="464" t="s">
        <v>5921</v>
      </c>
      <c r="CC120" s="464" t="s">
        <v>5921</v>
      </c>
      <c r="CD120" s="464" t="s">
        <v>5921</v>
      </c>
      <c r="CE120" s="464" t="s">
        <v>5921</v>
      </c>
      <c r="CF120" s="464" t="s">
        <v>5921</v>
      </c>
      <c r="CG120" s="464">
        <v>15.565728999999999</v>
      </c>
      <c r="CH120" s="464">
        <v>1.1921694650932793</v>
      </c>
      <c r="CI120" s="464">
        <v>0.75513226323450278</v>
      </c>
      <c r="CJ120" s="464">
        <v>0.83758171311972585</v>
      </c>
      <c r="CK120" s="464">
        <v>-0.23926195564588798</v>
      </c>
      <c r="CL120" s="464">
        <v>29.952672747078829</v>
      </c>
      <c r="CM120" s="464" t="s">
        <v>2488</v>
      </c>
      <c r="CN120" s="464" t="s">
        <v>2489</v>
      </c>
      <c r="CO120" s="464">
        <v>-7.9944506394980616E-2</v>
      </c>
      <c r="CP120" s="464">
        <v>18.711731261241955</v>
      </c>
      <c r="CQ120" s="464" t="s">
        <v>539</v>
      </c>
      <c r="CR120" s="464" t="s">
        <v>5921</v>
      </c>
      <c r="CS120" s="464">
        <v>52.338851306793998</v>
      </c>
      <c r="CT120" s="464">
        <v>47.186745631281454</v>
      </c>
      <c r="CU120" s="464">
        <v>1</v>
      </c>
      <c r="CV120" s="464" t="s">
        <v>5921</v>
      </c>
      <c r="CW120" s="464" t="s">
        <v>5921</v>
      </c>
    </row>
    <row r="121" spans="1:101" x14ac:dyDescent="0.2">
      <c r="A121" s="464">
        <v>1020</v>
      </c>
      <c r="B121" s="464" t="s">
        <v>925</v>
      </c>
      <c r="C121" s="464" t="s">
        <v>6507</v>
      </c>
      <c r="D121" s="464" t="s">
        <v>926</v>
      </c>
      <c r="E121" s="464">
        <v>15972608</v>
      </c>
      <c r="F121" s="464" t="s">
        <v>927</v>
      </c>
      <c r="G121" s="464" t="s">
        <v>8288</v>
      </c>
      <c r="H121" s="464" t="s">
        <v>928</v>
      </c>
      <c r="I121" s="464" t="s">
        <v>924</v>
      </c>
      <c r="J121" s="464" t="s">
        <v>5941</v>
      </c>
      <c r="K121" s="464" t="s">
        <v>6082</v>
      </c>
      <c r="L121" s="464" t="s">
        <v>6088</v>
      </c>
      <c r="M121" s="464" t="s">
        <v>6083</v>
      </c>
      <c r="N121" s="464" t="s">
        <v>8470</v>
      </c>
      <c r="O121" s="464" t="s">
        <v>6173</v>
      </c>
      <c r="P121" s="464" t="s">
        <v>8448</v>
      </c>
      <c r="Q121" s="464" t="s">
        <v>6173</v>
      </c>
      <c r="R121" s="464">
        <v>269.77</v>
      </c>
      <c r="S121" s="464">
        <v>240</v>
      </c>
      <c r="T121" s="464">
        <v>18.07</v>
      </c>
      <c r="U121" s="464">
        <v>814.69237561285115</v>
      </c>
      <c r="V121" s="464">
        <v>814.69237561285115</v>
      </c>
      <c r="W121" s="464">
        <v>7.01</v>
      </c>
      <c r="X121" s="464">
        <v>3.37</v>
      </c>
      <c r="Y121" s="464">
        <v>3.52</v>
      </c>
      <c r="Z121" s="464">
        <v>3.01</v>
      </c>
      <c r="AA121" s="464">
        <v>0.8427</v>
      </c>
      <c r="AB121" s="464">
        <v>2.99</v>
      </c>
      <c r="AC121" s="464">
        <v>2.92</v>
      </c>
      <c r="AD121" s="464">
        <v>3.52</v>
      </c>
      <c r="AE121" s="464">
        <v>3.3</v>
      </c>
      <c r="AF121" s="464">
        <v>2.2300000000000001E-8</v>
      </c>
      <c r="AG121" s="464">
        <v>8.3199999999999994E-9</v>
      </c>
      <c r="AH121" s="464">
        <v>-6.0402614632644909</v>
      </c>
      <c r="AI121" s="464">
        <v>-6.468443000021928</v>
      </c>
      <c r="AJ121" s="464">
        <v>-6.468443000021928</v>
      </c>
      <c r="AK121" s="464">
        <v>-10.631349999999999</v>
      </c>
      <c r="AL121" s="464">
        <v>-5.33</v>
      </c>
      <c r="AM121" s="464" t="s">
        <v>5921</v>
      </c>
      <c r="AN121" s="464">
        <v>1.2</v>
      </c>
      <c r="AO121" s="464" t="s">
        <v>6311</v>
      </c>
      <c r="AP121" s="464" t="s">
        <v>6311</v>
      </c>
      <c r="AQ121" s="464" t="s">
        <v>5921</v>
      </c>
      <c r="AR121" s="464" t="s">
        <v>266</v>
      </c>
      <c r="AS121" s="464" t="s">
        <v>8465</v>
      </c>
      <c r="AT121" s="464" t="s">
        <v>8450</v>
      </c>
      <c r="AU121" s="464" t="s">
        <v>8466</v>
      </c>
      <c r="AV121" s="464" t="s">
        <v>8451</v>
      </c>
      <c r="AW121" s="464" t="s">
        <v>8727</v>
      </c>
      <c r="AX121" s="464" t="s">
        <v>1563</v>
      </c>
      <c r="AY121" s="464" t="s">
        <v>8467</v>
      </c>
      <c r="AZ121" s="464" t="s">
        <v>2485</v>
      </c>
      <c r="BA121" s="464" t="s">
        <v>8726</v>
      </c>
      <c r="BB121" s="464" t="s">
        <v>8374</v>
      </c>
      <c r="BC121" s="464" t="s">
        <v>2449</v>
      </c>
      <c r="BD121" s="464" t="s">
        <v>272</v>
      </c>
      <c r="BE121" s="464" t="s">
        <v>272</v>
      </c>
      <c r="BF121" s="464" t="s">
        <v>2486</v>
      </c>
      <c r="BG121" s="464">
        <v>1.7265279999999997E-3</v>
      </c>
      <c r="BH121" s="464">
        <v>17.265280000000001</v>
      </c>
      <c r="BI121" s="464" t="s">
        <v>5921</v>
      </c>
      <c r="BJ121" s="464">
        <v>13.037569961777397</v>
      </c>
      <c r="BK121" s="464" t="s">
        <v>5921</v>
      </c>
      <c r="BL121" s="464" t="s">
        <v>5921</v>
      </c>
      <c r="BM121" s="464" t="s">
        <v>5921</v>
      </c>
      <c r="BN121" s="464" t="s">
        <v>5921</v>
      </c>
      <c r="BO121" s="464" t="s">
        <v>5921</v>
      </c>
      <c r="BP121" s="464">
        <v>3.2102629999999999</v>
      </c>
      <c r="BQ121" s="464" t="s">
        <v>5921</v>
      </c>
      <c r="BR121" s="464" t="s">
        <v>5921</v>
      </c>
      <c r="BS121" s="464" t="s">
        <v>5921</v>
      </c>
      <c r="BT121" s="464" t="s">
        <v>5921</v>
      </c>
      <c r="BU121" s="464" t="s">
        <v>5921</v>
      </c>
      <c r="BV121" s="464" t="s">
        <v>5921</v>
      </c>
      <c r="BW121" s="464" t="s">
        <v>5921</v>
      </c>
      <c r="BX121" s="464" t="s">
        <v>5921</v>
      </c>
      <c r="BY121" s="464" t="s">
        <v>5921</v>
      </c>
      <c r="BZ121" s="464" t="s">
        <v>5921</v>
      </c>
      <c r="CA121" s="464" t="s">
        <v>5921</v>
      </c>
      <c r="CB121" s="464" t="s">
        <v>5921</v>
      </c>
      <c r="CC121" s="464" t="s">
        <v>5921</v>
      </c>
      <c r="CD121" s="464" t="s">
        <v>5921</v>
      </c>
      <c r="CE121" s="464" t="s">
        <v>5921</v>
      </c>
      <c r="CF121" s="464" t="s">
        <v>5921</v>
      </c>
      <c r="CG121" s="464">
        <v>3.2102629999999999</v>
      </c>
      <c r="CH121" s="464">
        <v>0.50654061333007849</v>
      </c>
      <c r="CI121" s="464">
        <v>0.75513226323450278</v>
      </c>
      <c r="CJ121" s="464">
        <v>4.0612155333620326</v>
      </c>
      <c r="CK121" s="464">
        <v>0.35857724146975389</v>
      </c>
      <c r="CL121" s="464">
        <v>7.561298521891004</v>
      </c>
      <c r="CM121" s="464" t="s">
        <v>2488</v>
      </c>
      <c r="CN121" s="464" t="s">
        <v>2489</v>
      </c>
      <c r="CO121" s="464">
        <v>0.55452206231799706</v>
      </c>
      <c r="CP121" s="464">
        <v>0.89540301212658013</v>
      </c>
      <c r="CQ121" s="464" t="s">
        <v>539</v>
      </c>
      <c r="CR121" s="464" t="s">
        <v>5921</v>
      </c>
      <c r="CS121" s="464">
        <v>253.77745549596753</v>
      </c>
      <c r="CT121" s="464">
        <v>47.186745631281454</v>
      </c>
      <c r="CU121" s="464">
        <v>1</v>
      </c>
      <c r="CV121" s="464" t="s">
        <v>5921</v>
      </c>
      <c r="CW121" s="464" t="s">
        <v>5921</v>
      </c>
    </row>
    <row r="122" spans="1:101" x14ac:dyDescent="0.2">
      <c r="A122" s="464">
        <v>1035</v>
      </c>
      <c r="B122" s="464" t="s">
        <v>977</v>
      </c>
      <c r="C122" s="464" t="s">
        <v>6447</v>
      </c>
      <c r="D122" s="464" t="s">
        <v>978</v>
      </c>
      <c r="E122" s="464">
        <v>80057</v>
      </c>
      <c r="F122" s="464" t="s">
        <v>979</v>
      </c>
      <c r="G122" s="464" t="s">
        <v>979</v>
      </c>
      <c r="H122" s="464" t="s">
        <v>980</v>
      </c>
      <c r="I122" s="464" t="s">
        <v>376</v>
      </c>
      <c r="J122" s="464" t="s">
        <v>5527</v>
      </c>
      <c r="K122" s="464" t="s">
        <v>602</v>
      </c>
      <c r="L122" s="464" t="s">
        <v>6386</v>
      </c>
      <c r="M122" s="464" t="s">
        <v>981</v>
      </c>
      <c r="N122" s="464" t="s">
        <v>5921</v>
      </c>
      <c r="O122" s="464" t="s">
        <v>5921</v>
      </c>
      <c r="P122" s="464" t="s">
        <v>5921</v>
      </c>
      <c r="Q122" s="464" t="s">
        <v>5921</v>
      </c>
      <c r="R122" s="464">
        <v>228.29</v>
      </c>
      <c r="S122" s="464">
        <v>119.99999999999999</v>
      </c>
      <c r="T122" s="464">
        <v>172.7</v>
      </c>
      <c r="U122" s="464">
        <v>88.815116150744203</v>
      </c>
      <c r="V122" s="464">
        <v>88.815116150744203</v>
      </c>
      <c r="W122" s="464">
        <v>6.76</v>
      </c>
      <c r="X122" s="464">
        <v>3.64</v>
      </c>
      <c r="Y122" s="464">
        <v>3.32</v>
      </c>
      <c r="Z122" s="464">
        <v>3.73</v>
      </c>
      <c r="AA122" s="464">
        <v>0.77510000000000001</v>
      </c>
      <c r="AB122" s="464">
        <v>3.63</v>
      </c>
      <c r="AC122" s="464">
        <v>3.43</v>
      </c>
      <c r="AD122" s="464">
        <v>3.32</v>
      </c>
      <c r="AE122" s="464">
        <v>3.7</v>
      </c>
      <c r="AF122" s="464">
        <v>9.1600000000000006E-12</v>
      </c>
      <c r="AG122" s="464" t="s">
        <v>5921</v>
      </c>
      <c r="AH122" s="464">
        <v>-9.4266708526448006</v>
      </c>
      <c r="AI122" s="464" t="s">
        <v>5921</v>
      </c>
      <c r="AJ122" s="464">
        <v>-9.4266708526448006</v>
      </c>
      <c r="AK122" s="464">
        <v>-13.641390000000001</v>
      </c>
      <c r="AL122" s="464">
        <v>-10.199999999999999</v>
      </c>
      <c r="AM122" s="464">
        <v>10.29</v>
      </c>
      <c r="AN122" s="464" t="s">
        <v>5921</v>
      </c>
      <c r="AO122" s="464" t="s">
        <v>6311</v>
      </c>
      <c r="AP122" s="464" t="s">
        <v>6311</v>
      </c>
      <c r="AQ122" s="464" t="s">
        <v>5921</v>
      </c>
      <c r="AR122" s="464" t="s">
        <v>266</v>
      </c>
      <c r="AS122" s="464" t="s">
        <v>8465</v>
      </c>
      <c r="AT122" s="464" t="s">
        <v>8450</v>
      </c>
      <c r="AU122" s="464" t="s">
        <v>8466</v>
      </c>
      <c r="AV122" s="464" t="s">
        <v>8451</v>
      </c>
      <c r="AW122" s="464" t="s">
        <v>8727</v>
      </c>
      <c r="AX122" s="464" t="s">
        <v>1563</v>
      </c>
      <c r="AY122" s="464" t="s">
        <v>8467</v>
      </c>
      <c r="AZ122" s="464" t="s">
        <v>2485</v>
      </c>
      <c r="BA122" s="464" t="s">
        <v>8726</v>
      </c>
      <c r="BB122" s="464" t="s">
        <v>8374</v>
      </c>
      <c r="BC122" s="464" t="s">
        <v>2449</v>
      </c>
      <c r="BD122" s="464" t="s">
        <v>272</v>
      </c>
      <c r="BE122" s="464" t="s">
        <v>272</v>
      </c>
      <c r="BF122" s="464" t="s">
        <v>2486</v>
      </c>
      <c r="BG122" s="464">
        <v>1.4610559999999999E-3</v>
      </c>
      <c r="BH122" s="464">
        <v>14.61056</v>
      </c>
      <c r="BI122" s="464" t="s">
        <v>5921</v>
      </c>
      <c r="BJ122" s="464">
        <v>6.3125217586499822</v>
      </c>
      <c r="BK122" s="464" t="s">
        <v>5921</v>
      </c>
      <c r="BL122" s="464" t="s">
        <v>5921</v>
      </c>
      <c r="BM122" s="464" t="s">
        <v>5921</v>
      </c>
      <c r="BN122" s="464" t="s">
        <v>5921</v>
      </c>
      <c r="BO122" s="464" t="s">
        <v>5921</v>
      </c>
      <c r="BP122" s="464">
        <v>5.7300789999999999</v>
      </c>
      <c r="BQ122" s="464" t="s">
        <v>5921</v>
      </c>
      <c r="BR122" s="464" t="s">
        <v>5921</v>
      </c>
      <c r="BS122" s="464" t="s">
        <v>5921</v>
      </c>
      <c r="BT122" s="464" t="s">
        <v>5921</v>
      </c>
      <c r="BU122" s="464" t="s">
        <v>5921</v>
      </c>
      <c r="BV122" s="464" t="s">
        <v>5921</v>
      </c>
      <c r="BW122" s="464" t="s">
        <v>5921</v>
      </c>
      <c r="BX122" s="464" t="s">
        <v>5921</v>
      </c>
      <c r="BY122" s="464" t="s">
        <v>5921</v>
      </c>
      <c r="BZ122" s="464" t="s">
        <v>5921</v>
      </c>
      <c r="CA122" s="464" t="s">
        <v>5921</v>
      </c>
      <c r="CB122" s="464" t="s">
        <v>5921</v>
      </c>
      <c r="CC122" s="464" t="s">
        <v>5921</v>
      </c>
      <c r="CD122" s="464" t="s">
        <v>5921</v>
      </c>
      <c r="CE122" s="464" t="s">
        <v>5921</v>
      </c>
      <c r="CF122" s="464" t="s">
        <v>5921</v>
      </c>
      <c r="CG122" s="464">
        <v>5.7300789999999999</v>
      </c>
      <c r="CH122" s="464">
        <v>0.75816060958127485</v>
      </c>
      <c r="CI122" s="464">
        <v>0.43205200612775846</v>
      </c>
      <c r="CJ122" s="464">
        <v>1.1016465494891052</v>
      </c>
      <c r="CK122" s="464">
        <v>0.66742784480864559</v>
      </c>
      <c r="CL122" s="464">
        <v>3.1422375724594946</v>
      </c>
      <c r="CM122" s="464" t="s">
        <v>2488</v>
      </c>
      <c r="CN122" s="464" t="s">
        <v>2489</v>
      </c>
      <c r="CO122" s="464">
        <v>0.76399462909803484</v>
      </c>
      <c r="CP122" s="464">
        <v>0.98665649809353706</v>
      </c>
      <c r="CQ122" s="464" t="s">
        <v>539</v>
      </c>
      <c r="CR122" s="464" t="s">
        <v>5921</v>
      </c>
      <c r="CS122" s="464">
        <v>15.499806573477295</v>
      </c>
      <c r="CT122" s="464">
        <v>6.0788303905356269</v>
      </c>
      <c r="CU122" s="464">
        <v>1</v>
      </c>
      <c r="CV122" s="464" t="s">
        <v>5921</v>
      </c>
      <c r="CW122" s="464" t="s">
        <v>6351</v>
      </c>
    </row>
    <row r="123" spans="1:101" x14ac:dyDescent="0.2">
      <c r="A123" s="464">
        <v>1039</v>
      </c>
      <c r="B123" s="464" t="s">
        <v>987</v>
      </c>
      <c r="C123" s="464" t="s">
        <v>6493</v>
      </c>
      <c r="D123" s="464" t="s">
        <v>988</v>
      </c>
      <c r="E123" s="464">
        <v>1689845</v>
      </c>
      <c r="F123" s="464" t="s">
        <v>989</v>
      </c>
      <c r="G123" s="464" t="s">
        <v>8319</v>
      </c>
      <c r="H123" s="464" t="s">
        <v>990</v>
      </c>
      <c r="I123" s="464" t="s">
        <v>349</v>
      </c>
      <c r="J123" s="464" t="s">
        <v>5248</v>
      </c>
      <c r="K123" s="464" t="s">
        <v>991</v>
      </c>
      <c r="L123" s="464" t="s">
        <v>6381</v>
      </c>
      <c r="M123" s="464" t="s">
        <v>992</v>
      </c>
      <c r="N123" s="464" t="s">
        <v>5921</v>
      </c>
      <c r="O123" s="464" t="s">
        <v>5921</v>
      </c>
      <c r="P123" s="464" t="s">
        <v>5921</v>
      </c>
      <c r="Q123" s="464" t="s">
        <v>5921</v>
      </c>
      <c r="R123" s="464">
        <v>276.91000000000003</v>
      </c>
      <c r="S123" s="464">
        <v>130</v>
      </c>
      <c r="T123" s="464">
        <v>43.87</v>
      </c>
      <c r="U123" s="464">
        <v>210.05771630133103</v>
      </c>
      <c r="V123" s="464">
        <v>210.05771630133103</v>
      </c>
      <c r="W123" s="464">
        <v>3.98</v>
      </c>
      <c r="X123" s="464">
        <v>3.39</v>
      </c>
      <c r="Y123" s="464" t="s">
        <v>5921</v>
      </c>
      <c r="Z123" s="464">
        <v>3.19</v>
      </c>
      <c r="AA123" s="464">
        <v>0.87050000000000005</v>
      </c>
      <c r="AB123" s="464">
        <v>3.14</v>
      </c>
      <c r="AC123" s="464">
        <v>2.95</v>
      </c>
      <c r="AD123" s="464">
        <v>3.14</v>
      </c>
      <c r="AE123" s="464">
        <v>2.88</v>
      </c>
      <c r="AF123" s="464">
        <v>8.6000000000000003E-10</v>
      </c>
      <c r="AG123" s="464">
        <v>1.3200000000000001E-10</v>
      </c>
      <c r="AH123" s="464">
        <v>-7.4540678750690841</v>
      </c>
      <c r="AI123" s="464">
        <v>-8.267992395106802</v>
      </c>
      <c r="AJ123" s="464">
        <v>-8.267992395106802</v>
      </c>
      <c r="AK123" s="464">
        <v>-8.8538800000000002</v>
      </c>
      <c r="AL123" s="464">
        <v>-5.6</v>
      </c>
      <c r="AM123" s="464">
        <v>4.78</v>
      </c>
      <c r="AN123" s="464" t="s">
        <v>5921</v>
      </c>
      <c r="AO123" s="464" t="s">
        <v>6311</v>
      </c>
      <c r="AP123" s="464" t="s">
        <v>6311</v>
      </c>
      <c r="AQ123" s="464" t="s">
        <v>5921</v>
      </c>
      <c r="AR123" s="464" t="s">
        <v>266</v>
      </c>
      <c r="AS123" s="464" t="s">
        <v>8465</v>
      </c>
      <c r="AT123" s="464" t="s">
        <v>8450</v>
      </c>
      <c r="AU123" s="464" t="s">
        <v>8466</v>
      </c>
      <c r="AV123" s="464" t="s">
        <v>8451</v>
      </c>
      <c r="AW123" s="464" t="s">
        <v>8727</v>
      </c>
      <c r="AX123" s="464" t="s">
        <v>1563</v>
      </c>
      <c r="AY123" s="464" t="s">
        <v>8467</v>
      </c>
      <c r="AZ123" s="464" t="s">
        <v>2485</v>
      </c>
      <c r="BA123" s="464" t="s">
        <v>8726</v>
      </c>
      <c r="BB123" s="464" t="s">
        <v>8374</v>
      </c>
      <c r="BC123" s="464" t="s">
        <v>2449</v>
      </c>
      <c r="BD123" s="464" t="s">
        <v>272</v>
      </c>
      <c r="BE123" s="464" t="s">
        <v>272</v>
      </c>
      <c r="BF123" s="464" t="s">
        <v>2486</v>
      </c>
      <c r="BG123" s="464">
        <v>1.772224E-3</v>
      </c>
      <c r="BH123" s="464">
        <v>17.722240000000003</v>
      </c>
      <c r="BI123" s="464" t="s">
        <v>5921</v>
      </c>
      <c r="BJ123" s="464">
        <v>12.840432128958261</v>
      </c>
      <c r="BK123" s="464" t="s">
        <v>5921</v>
      </c>
      <c r="BL123" s="464" t="s">
        <v>5921</v>
      </c>
      <c r="BM123" s="464" t="s">
        <v>5921</v>
      </c>
      <c r="BN123" s="464" t="s">
        <v>5921</v>
      </c>
      <c r="BO123" s="464" t="s">
        <v>5921</v>
      </c>
      <c r="BP123" s="464">
        <v>2.2789693</v>
      </c>
      <c r="BQ123" s="464" t="s">
        <v>5921</v>
      </c>
      <c r="BR123" s="464" t="s">
        <v>5921</v>
      </c>
      <c r="BS123" s="464" t="s">
        <v>5921</v>
      </c>
      <c r="BT123" s="464" t="s">
        <v>5921</v>
      </c>
      <c r="BU123" s="464" t="s">
        <v>5921</v>
      </c>
      <c r="BV123" s="464" t="s">
        <v>5921</v>
      </c>
      <c r="BW123" s="464" t="s">
        <v>5921</v>
      </c>
      <c r="BX123" s="464" t="s">
        <v>5921</v>
      </c>
      <c r="BY123" s="464" t="s">
        <v>5921</v>
      </c>
      <c r="BZ123" s="464" t="s">
        <v>5921</v>
      </c>
      <c r="CA123" s="464" t="s">
        <v>5921</v>
      </c>
      <c r="CB123" s="464" t="s">
        <v>5921</v>
      </c>
      <c r="CC123" s="464" t="s">
        <v>5921</v>
      </c>
      <c r="CD123" s="464" t="s">
        <v>5921</v>
      </c>
      <c r="CE123" s="464" t="s">
        <v>5921</v>
      </c>
      <c r="CF123" s="464" t="s">
        <v>5921</v>
      </c>
      <c r="CG123" s="464">
        <v>2.2789693</v>
      </c>
      <c r="CH123" s="464">
        <v>0.3577384748379458</v>
      </c>
      <c r="CI123" s="464">
        <v>0.72453776322622077</v>
      </c>
      <c r="CJ123" s="464">
        <v>5.634315534201475</v>
      </c>
      <c r="CK123" s="464">
        <v>0.7877093956071799</v>
      </c>
      <c r="CL123" s="464">
        <v>2.8894103093206964</v>
      </c>
      <c r="CM123" s="464" t="s">
        <v>2488</v>
      </c>
      <c r="CN123" s="464" t="s">
        <v>2489</v>
      </c>
      <c r="CO123" s="464">
        <v>0.97765532375296005</v>
      </c>
      <c r="CP123" s="464">
        <v>0.23992922494151767</v>
      </c>
      <c r="CQ123" s="464" t="s">
        <v>539</v>
      </c>
      <c r="CR123" s="464" t="s">
        <v>5921</v>
      </c>
      <c r="CS123" s="464">
        <v>92.17224483951189</v>
      </c>
      <c r="CT123" s="464">
        <v>11.852774609830981</v>
      </c>
      <c r="CU123" s="464">
        <v>1</v>
      </c>
      <c r="CV123" s="464" t="s">
        <v>5921</v>
      </c>
      <c r="CW123" s="464" t="s">
        <v>5921</v>
      </c>
    </row>
    <row r="124" spans="1:101" x14ac:dyDescent="0.2">
      <c r="A124" s="464">
        <v>1054</v>
      </c>
      <c r="B124" s="464" t="s">
        <v>1021</v>
      </c>
      <c r="C124" s="464" t="s">
        <v>6502</v>
      </c>
      <c r="D124" s="464" t="s">
        <v>1022</v>
      </c>
      <c r="E124" s="464">
        <v>5234684</v>
      </c>
      <c r="F124" s="464" t="s">
        <v>1023</v>
      </c>
      <c r="G124" s="464" t="s">
        <v>1023</v>
      </c>
      <c r="H124" s="464" t="s">
        <v>1024</v>
      </c>
      <c r="I124" s="464" t="s">
        <v>1025</v>
      </c>
      <c r="J124" s="464" t="s">
        <v>5929</v>
      </c>
      <c r="K124" s="464" t="s">
        <v>5963</v>
      </c>
      <c r="L124" s="464" t="s">
        <v>6381</v>
      </c>
      <c r="M124" s="464" t="s">
        <v>5964</v>
      </c>
      <c r="N124" s="464" t="s">
        <v>8470</v>
      </c>
      <c r="O124" s="464" t="s">
        <v>6173</v>
      </c>
      <c r="P124" s="464" t="s">
        <v>8448</v>
      </c>
      <c r="Q124" s="464" t="s">
        <v>6173</v>
      </c>
      <c r="R124" s="464">
        <v>235.3</v>
      </c>
      <c r="S124" s="464">
        <v>147</v>
      </c>
      <c r="T124" s="464">
        <v>423.7</v>
      </c>
      <c r="U124" s="464">
        <v>219.59473697753188</v>
      </c>
      <c r="V124" s="464">
        <v>219.59473697753188</v>
      </c>
      <c r="W124" s="464">
        <v>7</v>
      </c>
      <c r="X124" s="464">
        <v>1.49</v>
      </c>
      <c r="Y124" s="464">
        <v>2.14</v>
      </c>
      <c r="Z124" s="464">
        <v>1.93</v>
      </c>
      <c r="AA124" s="464">
        <v>0.79559999999999997</v>
      </c>
      <c r="AB124" s="464">
        <v>2.1800000000000002</v>
      </c>
      <c r="AC124" s="464">
        <v>3</v>
      </c>
      <c r="AD124" s="464">
        <v>2.14</v>
      </c>
      <c r="AE124" s="464">
        <v>1.85</v>
      </c>
      <c r="AF124" s="464">
        <v>7.4599999999999993E-12</v>
      </c>
      <c r="AG124" s="464">
        <v>3.1999999999999998E-10</v>
      </c>
      <c r="AH124" s="464">
        <v>-9.5158274988399825</v>
      </c>
      <c r="AI124" s="464">
        <v>-7.8834163479927462</v>
      </c>
      <c r="AJ124" s="464">
        <v>-7.8834163479927462</v>
      </c>
      <c r="AK124" s="464">
        <v>-13.869820000000001</v>
      </c>
      <c r="AL124" s="464">
        <v>-8.64</v>
      </c>
      <c r="AM124" s="464">
        <v>14.31</v>
      </c>
      <c r="AN124" s="464">
        <v>0.49</v>
      </c>
      <c r="AO124" s="464" t="s">
        <v>6311</v>
      </c>
      <c r="AP124" s="464" t="s">
        <v>6311</v>
      </c>
      <c r="AQ124" s="464" t="s">
        <v>5921</v>
      </c>
      <c r="AR124" s="464" t="s">
        <v>266</v>
      </c>
      <c r="AS124" s="464" t="s">
        <v>8465</v>
      </c>
      <c r="AT124" s="464" t="s">
        <v>8450</v>
      </c>
      <c r="AU124" s="464" t="s">
        <v>8466</v>
      </c>
      <c r="AV124" s="464" t="s">
        <v>8451</v>
      </c>
      <c r="AW124" s="464" t="s">
        <v>8727</v>
      </c>
      <c r="AX124" s="464" t="s">
        <v>1563</v>
      </c>
      <c r="AY124" s="464" t="s">
        <v>8467</v>
      </c>
      <c r="AZ124" s="464" t="s">
        <v>2485</v>
      </c>
      <c r="BA124" s="464" t="s">
        <v>8726</v>
      </c>
      <c r="BB124" s="464" t="s">
        <v>8374</v>
      </c>
      <c r="BC124" s="464" t="s">
        <v>2449</v>
      </c>
      <c r="BD124" s="464" t="s">
        <v>272</v>
      </c>
      <c r="BE124" s="464" t="s">
        <v>272</v>
      </c>
      <c r="BF124" s="464" t="s">
        <v>2486</v>
      </c>
      <c r="BG124" s="464">
        <v>1.50592E-3</v>
      </c>
      <c r="BH124" s="464">
        <v>15.059200000000001</v>
      </c>
      <c r="BI124" s="464" t="s">
        <v>5921</v>
      </c>
      <c r="BJ124" s="464">
        <v>554.94881347532248</v>
      </c>
      <c r="BK124" s="464" t="s">
        <v>5921</v>
      </c>
      <c r="BL124" s="464" t="s">
        <v>5921</v>
      </c>
      <c r="BM124" s="464" t="s">
        <v>5921</v>
      </c>
      <c r="BN124" s="464" t="s">
        <v>5921</v>
      </c>
      <c r="BO124" s="464" t="s">
        <v>5921</v>
      </c>
      <c r="BP124" s="464">
        <v>4.6824700000000004</v>
      </c>
      <c r="BQ124" s="464" t="s">
        <v>5921</v>
      </c>
      <c r="BR124" s="464" t="s">
        <v>5921</v>
      </c>
      <c r="BS124" s="464" t="s">
        <v>5921</v>
      </c>
      <c r="BT124" s="464" t="s">
        <v>5921</v>
      </c>
      <c r="BU124" s="464" t="s">
        <v>5921</v>
      </c>
      <c r="BV124" s="464" t="s">
        <v>5921</v>
      </c>
      <c r="BW124" s="464" t="s">
        <v>5921</v>
      </c>
      <c r="BX124" s="464" t="s">
        <v>5921</v>
      </c>
      <c r="BY124" s="464" t="s">
        <v>5921</v>
      </c>
      <c r="BZ124" s="464" t="s">
        <v>5921</v>
      </c>
      <c r="CA124" s="464" t="s">
        <v>5921</v>
      </c>
      <c r="CB124" s="464" t="s">
        <v>5921</v>
      </c>
      <c r="CC124" s="464" t="s">
        <v>5921</v>
      </c>
      <c r="CD124" s="464" t="s">
        <v>5921</v>
      </c>
      <c r="CE124" s="464" t="s">
        <v>5921</v>
      </c>
      <c r="CF124" s="464" t="s">
        <v>5921</v>
      </c>
      <c r="CG124" s="464">
        <v>4.6824700000000004</v>
      </c>
      <c r="CH124" s="464">
        <v>0.67047500358572798</v>
      </c>
      <c r="CI124" s="464">
        <v>36.851148366136478</v>
      </c>
      <c r="CJ124" s="464">
        <v>118.51625605189621</v>
      </c>
      <c r="CK124" s="464">
        <v>0.53387857024969654</v>
      </c>
      <c r="CL124" s="464">
        <v>4.4047709609175083</v>
      </c>
      <c r="CM124" s="464" t="s">
        <v>2488</v>
      </c>
      <c r="CN124" s="464" t="s">
        <v>2489</v>
      </c>
      <c r="CO124" s="464">
        <v>0.55203953188723331</v>
      </c>
      <c r="CP124" s="464">
        <v>1.3135163157037726</v>
      </c>
      <c r="CQ124" s="464" t="s">
        <v>539</v>
      </c>
      <c r="CR124" s="464" t="s">
        <v>5921</v>
      </c>
      <c r="CS124" s="464">
        <v>46.897201045074901</v>
      </c>
      <c r="CT124" s="464">
        <v>14.582098449952976</v>
      </c>
      <c r="CU124" s="464">
        <v>1</v>
      </c>
      <c r="CV124" s="464" t="s">
        <v>5921</v>
      </c>
      <c r="CW124" s="464" t="s">
        <v>5921</v>
      </c>
    </row>
    <row r="125" spans="1:101" x14ac:dyDescent="0.2">
      <c r="A125" s="464">
        <v>1071</v>
      </c>
      <c r="B125" s="464" t="s">
        <v>1056</v>
      </c>
      <c r="C125" s="464" t="s">
        <v>6471</v>
      </c>
      <c r="D125" s="464" t="s">
        <v>1057</v>
      </c>
      <c r="E125" s="464">
        <v>120321</v>
      </c>
      <c r="F125" s="464" t="s">
        <v>1058</v>
      </c>
      <c r="G125" s="464" t="s">
        <v>8313</v>
      </c>
      <c r="H125" s="464" t="s">
        <v>1059</v>
      </c>
      <c r="I125" s="464" t="s">
        <v>349</v>
      </c>
      <c r="J125" s="464" t="s">
        <v>5576</v>
      </c>
      <c r="K125" s="464" t="s">
        <v>6082</v>
      </c>
      <c r="L125" s="464" t="s">
        <v>6082</v>
      </c>
      <c r="M125" s="464" t="s">
        <v>6083</v>
      </c>
      <c r="N125" s="464" t="s">
        <v>5921</v>
      </c>
      <c r="O125" s="464" t="s">
        <v>6173</v>
      </c>
      <c r="P125" s="464" t="s">
        <v>6185</v>
      </c>
      <c r="Q125" s="464" t="s">
        <v>6182</v>
      </c>
      <c r="R125" s="464">
        <v>218.68</v>
      </c>
      <c r="S125" s="464">
        <v>149</v>
      </c>
      <c r="T125" s="464">
        <v>112</v>
      </c>
      <c r="U125" s="464">
        <v>37.137192192033382</v>
      </c>
      <c r="V125" s="464">
        <v>37.137192192033382</v>
      </c>
      <c r="W125" s="464">
        <v>6.72</v>
      </c>
      <c r="X125" s="464">
        <v>4.18</v>
      </c>
      <c r="Y125" s="464">
        <v>3.6</v>
      </c>
      <c r="Z125" s="464">
        <v>4.26</v>
      </c>
      <c r="AA125" s="464">
        <v>0.77049999999999996</v>
      </c>
      <c r="AB125" s="464">
        <v>4.3099999999999996</v>
      </c>
      <c r="AC125" s="464">
        <v>4.41</v>
      </c>
      <c r="AD125" s="464">
        <v>3.6</v>
      </c>
      <c r="AE125" s="464">
        <v>4.01</v>
      </c>
      <c r="AF125" s="464">
        <v>3.7E-8</v>
      </c>
      <c r="AG125" s="464">
        <v>2.7000000000000002E-9</v>
      </c>
      <c r="AH125" s="464">
        <v>-5.8203646022456565</v>
      </c>
      <c r="AI125" s="464">
        <v>-6.9572025621536646</v>
      </c>
      <c r="AJ125" s="464">
        <v>-6.9572025621536646</v>
      </c>
      <c r="AK125" s="464">
        <v>-10.455459999999999</v>
      </c>
      <c r="AL125" s="464">
        <v>-6.05</v>
      </c>
      <c r="AM125" s="464">
        <v>9.81</v>
      </c>
      <c r="AN125" s="464" t="s">
        <v>5921</v>
      </c>
      <c r="AO125" s="464" t="s">
        <v>6311</v>
      </c>
      <c r="AP125" s="464" t="s">
        <v>6311</v>
      </c>
      <c r="AQ125" s="464" t="s">
        <v>5921</v>
      </c>
      <c r="AR125" s="464" t="s">
        <v>266</v>
      </c>
      <c r="AS125" s="464" t="s">
        <v>8465</v>
      </c>
      <c r="AT125" s="464" t="s">
        <v>8450</v>
      </c>
      <c r="AU125" s="464" t="s">
        <v>8466</v>
      </c>
      <c r="AV125" s="464" t="s">
        <v>8451</v>
      </c>
      <c r="AW125" s="464" t="s">
        <v>8727</v>
      </c>
      <c r="AX125" s="464" t="s">
        <v>1563</v>
      </c>
      <c r="AY125" s="464" t="s">
        <v>8467</v>
      </c>
      <c r="AZ125" s="464" t="s">
        <v>2485</v>
      </c>
      <c r="BA125" s="464" t="s">
        <v>8726</v>
      </c>
      <c r="BB125" s="464" t="s">
        <v>8374</v>
      </c>
      <c r="BC125" s="464" t="s">
        <v>2449</v>
      </c>
      <c r="BD125" s="464" t="s">
        <v>272</v>
      </c>
      <c r="BE125" s="464" t="s">
        <v>272</v>
      </c>
      <c r="BF125" s="464" t="s">
        <v>2486</v>
      </c>
      <c r="BG125" s="464">
        <v>1.3995520000000001E-3</v>
      </c>
      <c r="BH125" s="464">
        <v>13.995520000000001</v>
      </c>
      <c r="BI125" s="464" t="s">
        <v>5921</v>
      </c>
      <c r="BJ125" s="464">
        <v>1.9794797587696336</v>
      </c>
      <c r="BK125" s="464" t="s">
        <v>5921</v>
      </c>
      <c r="BL125" s="464" t="s">
        <v>5921</v>
      </c>
      <c r="BM125" s="464" t="s">
        <v>5921</v>
      </c>
      <c r="BN125" s="464" t="s">
        <v>5921</v>
      </c>
      <c r="BO125" s="464" t="s">
        <v>5921</v>
      </c>
      <c r="BP125" s="464">
        <v>4.6797519999999997</v>
      </c>
      <c r="BQ125" s="464" t="s">
        <v>5921</v>
      </c>
      <c r="BR125" s="464" t="s">
        <v>5921</v>
      </c>
      <c r="BS125" s="464" t="s">
        <v>5921</v>
      </c>
      <c r="BT125" s="464" t="s">
        <v>5921</v>
      </c>
      <c r="BU125" s="464" t="s">
        <v>5921</v>
      </c>
      <c r="BV125" s="464" t="s">
        <v>5921</v>
      </c>
      <c r="BW125" s="464" t="s">
        <v>5921</v>
      </c>
      <c r="BX125" s="464" t="s">
        <v>5921</v>
      </c>
      <c r="BY125" s="464" t="s">
        <v>5921</v>
      </c>
      <c r="BZ125" s="464" t="s">
        <v>5921</v>
      </c>
      <c r="CA125" s="464" t="s">
        <v>5921</v>
      </c>
      <c r="CB125" s="464" t="s">
        <v>5921</v>
      </c>
      <c r="CC125" s="464" t="s">
        <v>5921</v>
      </c>
      <c r="CD125" s="464" t="s">
        <v>5921</v>
      </c>
      <c r="CE125" s="464" t="s">
        <v>5921</v>
      </c>
      <c r="CF125" s="464" t="s">
        <v>5921</v>
      </c>
      <c r="CG125" s="464">
        <v>4.6797519999999997</v>
      </c>
      <c r="CH125" s="464">
        <v>0.67022283856871034</v>
      </c>
      <c r="CI125" s="464">
        <v>0.14143667107543223</v>
      </c>
      <c r="CJ125" s="464">
        <v>0.42298817517886284</v>
      </c>
      <c r="CK125" s="464">
        <v>-0.48148606012211248</v>
      </c>
      <c r="CL125" s="464">
        <v>42.410666666666664</v>
      </c>
      <c r="CM125" s="464" t="s">
        <v>2488</v>
      </c>
      <c r="CN125" s="464" t="s">
        <v>2489</v>
      </c>
      <c r="CO125" s="464">
        <v>-0.31207678184542198</v>
      </c>
      <c r="CP125" s="464">
        <v>9.6006275182252381</v>
      </c>
      <c r="CQ125" s="464" t="s">
        <v>539</v>
      </c>
      <c r="CR125" s="464" t="s">
        <v>5921</v>
      </c>
      <c r="CS125" s="464">
        <v>7.9357180021576754</v>
      </c>
      <c r="CT125" s="464">
        <v>2.6535057069714725</v>
      </c>
      <c r="CU125" s="464">
        <v>1</v>
      </c>
      <c r="CV125" s="464" t="s">
        <v>5921</v>
      </c>
      <c r="CW125" s="464" t="s">
        <v>5921</v>
      </c>
    </row>
    <row r="126" spans="1:101" x14ac:dyDescent="0.2">
      <c r="A126" s="464">
        <v>1079</v>
      </c>
      <c r="B126" s="464" t="s">
        <v>1060</v>
      </c>
      <c r="C126" s="464" t="s">
        <v>6688</v>
      </c>
      <c r="D126" s="464" t="s">
        <v>1061</v>
      </c>
      <c r="E126" s="464">
        <v>120116883</v>
      </c>
      <c r="F126" s="464" t="s">
        <v>1062</v>
      </c>
      <c r="G126" s="464" t="s">
        <v>7894</v>
      </c>
      <c r="H126" s="464" t="s">
        <v>1063</v>
      </c>
      <c r="I126" s="464" t="s">
        <v>1064</v>
      </c>
      <c r="J126" s="464" t="s">
        <v>5929</v>
      </c>
      <c r="K126" s="464" t="s">
        <v>2342</v>
      </c>
      <c r="L126" s="464" t="s">
        <v>2342</v>
      </c>
      <c r="M126" s="464" t="s">
        <v>5921</v>
      </c>
      <c r="N126" s="464" t="s">
        <v>5921</v>
      </c>
      <c r="O126" s="464" t="s">
        <v>5921</v>
      </c>
      <c r="P126" s="464" t="s">
        <v>5921</v>
      </c>
      <c r="Q126" s="464" t="s">
        <v>5921</v>
      </c>
      <c r="R126" s="464">
        <v>324.79000000000002</v>
      </c>
      <c r="S126" s="464" t="s">
        <v>5921</v>
      </c>
      <c r="T126" s="464">
        <v>17.010000000000002</v>
      </c>
      <c r="U126" s="464">
        <v>24.637841059372825</v>
      </c>
      <c r="V126" s="464">
        <v>24.637841059372825</v>
      </c>
      <c r="W126" s="464">
        <v>7</v>
      </c>
      <c r="X126" s="464">
        <v>2.87</v>
      </c>
      <c r="Y126" s="464" t="s">
        <v>5921</v>
      </c>
      <c r="Z126" s="464">
        <v>1.1299999999999999</v>
      </c>
      <c r="AA126" s="464">
        <v>0.69910000000000005</v>
      </c>
      <c r="AB126" s="464">
        <v>1.33</v>
      </c>
      <c r="AC126" s="464">
        <v>1.76</v>
      </c>
      <c r="AD126" s="464">
        <v>1.33</v>
      </c>
      <c r="AE126" s="464">
        <v>2.79</v>
      </c>
      <c r="AF126" s="464">
        <v>5.2900000000000003E-12</v>
      </c>
      <c r="AG126" s="464" t="s">
        <v>5921</v>
      </c>
      <c r="AH126" s="464">
        <v>-9.6651106542774663</v>
      </c>
      <c r="AI126" s="464" t="s">
        <v>5921</v>
      </c>
      <c r="AJ126" s="464">
        <v>-9.6651106542774663</v>
      </c>
      <c r="AK126" s="464">
        <v>-18.323869999999999</v>
      </c>
      <c r="AL126" s="464">
        <v>-3.68</v>
      </c>
      <c r="AM126" s="464" t="s">
        <v>5921</v>
      </c>
      <c r="AN126" s="464">
        <v>-6.61</v>
      </c>
      <c r="AO126" s="464" t="s">
        <v>6311</v>
      </c>
      <c r="AP126" s="464" t="s">
        <v>6311</v>
      </c>
      <c r="AQ126" s="464" t="s">
        <v>5921</v>
      </c>
      <c r="AR126" s="464" t="s">
        <v>266</v>
      </c>
      <c r="AS126" s="464" t="s">
        <v>8465</v>
      </c>
      <c r="AT126" s="464" t="s">
        <v>8450</v>
      </c>
      <c r="AU126" s="464" t="s">
        <v>8466</v>
      </c>
      <c r="AV126" s="464" t="s">
        <v>8451</v>
      </c>
      <c r="AW126" s="464" t="s">
        <v>8727</v>
      </c>
      <c r="AX126" s="464" t="s">
        <v>1563</v>
      </c>
      <c r="AY126" s="464" t="s">
        <v>8467</v>
      </c>
      <c r="AZ126" s="464" t="s">
        <v>2485</v>
      </c>
      <c r="BA126" s="464" t="s">
        <v>8726</v>
      </c>
      <c r="BB126" s="464" t="s">
        <v>8374</v>
      </c>
      <c r="BC126" s="464" t="s">
        <v>2449</v>
      </c>
      <c r="BD126" s="464" t="s">
        <v>272</v>
      </c>
      <c r="BE126" s="464" t="s">
        <v>272</v>
      </c>
      <c r="BF126" s="464" t="s">
        <v>2486</v>
      </c>
      <c r="BG126" s="464">
        <v>2.0786559999999999E-3</v>
      </c>
      <c r="BH126" s="464">
        <v>20.786560000000001</v>
      </c>
      <c r="BI126" s="464" t="s">
        <v>5921</v>
      </c>
      <c r="BJ126" s="464">
        <v>44.142370258500954</v>
      </c>
      <c r="BK126" s="464" t="s">
        <v>5921</v>
      </c>
      <c r="BL126" s="464" t="s">
        <v>5921</v>
      </c>
      <c r="BM126" s="464" t="s">
        <v>5921</v>
      </c>
      <c r="BN126" s="464" t="s">
        <v>5921</v>
      </c>
      <c r="BO126" s="464" t="s">
        <v>5921</v>
      </c>
      <c r="BP126" s="464">
        <v>0.17636097000000001</v>
      </c>
      <c r="BQ126" s="464" t="s">
        <v>5921</v>
      </c>
      <c r="BR126" s="464" t="s">
        <v>5921</v>
      </c>
      <c r="BS126" s="464" t="s">
        <v>5921</v>
      </c>
      <c r="BT126" s="464" t="s">
        <v>5921</v>
      </c>
      <c r="BU126" s="464" t="s">
        <v>5921</v>
      </c>
      <c r="BV126" s="464" t="s">
        <v>5921</v>
      </c>
      <c r="BW126" s="464" t="s">
        <v>5921</v>
      </c>
      <c r="BX126" s="464" t="s">
        <v>5921</v>
      </c>
      <c r="BY126" s="464" t="s">
        <v>5921</v>
      </c>
      <c r="BZ126" s="464" t="s">
        <v>5921</v>
      </c>
      <c r="CA126" s="464" t="s">
        <v>5921</v>
      </c>
      <c r="CB126" s="464" t="s">
        <v>5921</v>
      </c>
      <c r="CC126" s="464" t="s">
        <v>5921</v>
      </c>
      <c r="CD126" s="464" t="s">
        <v>5921</v>
      </c>
      <c r="CE126" s="464" t="s">
        <v>5921</v>
      </c>
      <c r="CF126" s="464" t="s">
        <v>5921</v>
      </c>
      <c r="CG126" s="464">
        <v>0.17636097000000001</v>
      </c>
      <c r="CH126" s="464">
        <v>-0.75359752118338263</v>
      </c>
      <c r="CI126" s="464">
        <v>2.1236015126360952</v>
      </c>
      <c r="CJ126" s="464">
        <v>250.29557423335191</v>
      </c>
      <c r="CK126" s="464">
        <v>-1.3653369446448822</v>
      </c>
      <c r="CL126" s="464">
        <v>482.0805034292257</v>
      </c>
      <c r="CM126" s="464" t="s">
        <v>2488</v>
      </c>
      <c r="CN126" s="464" t="s">
        <v>2489</v>
      </c>
      <c r="CO126" s="464">
        <v>-1.3653369446448818</v>
      </c>
      <c r="CP126" s="464">
        <v>4.090151771282331</v>
      </c>
      <c r="CQ126" s="464" t="s">
        <v>539</v>
      </c>
      <c r="CR126" s="464" t="s">
        <v>5921</v>
      </c>
      <c r="CS126" s="464">
        <v>139.70121087093602</v>
      </c>
      <c r="CT126" s="464">
        <v>1.1852774609830978</v>
      </c>
      <c r="CU126" s="464">
        <v>1</v>
      </c>
      <c r="CV126" s="464" t="s">
        <v>5921</v>
      </c>
      <c r="CW126" s="464" t="s">
        <v>5921</v>
      </c>
    </row>
    <row r="127" spans="1:101" x14ac:dyDescent="0.2">
      <c r="A127" s="464">
        <v>1091</v>
      </c>
      <c r="B127" s="464" t="s">
        <v>3056</v>
      </c>
      <c r="C127" s="464" t="s">
        <v>6476</v>
      </c>
      <c r="D127" s="464" t="s">
        <v>3057</v>
      </c>
      <c r="E127" s="464">
        <v>131179</v>
      </c>
      <c r="F127" s="464" t="s">
        <v>3058</v>
      </c>
      <c r="G127" s="464" t="s">
        <v>3058</v>
      </c>
      <c r="H127" s="464" t="s">
        <v>3059</v>
      </c>
      <c r="I127" s="464" t="s">
        <v>361</v>
      </c>
      <c r="J127" s="464" t="s">
        <v>6620</v>
      </c>
      <c r="K127" s="464" t="s">
        <v>6025</v>
      </c>
      <c r="L127" s="464" t="s">
        <v>2342</v>
      </c>
      <c r="M127" s="464" t="s">
        <v>5921</v>
      </c>
      <c r="N127" s="464" t="s">
        <v>1639</v>
      </c>
      <c r="O127" s="464" t="s">
        <v>6173</v>
      </c>
      <c r="P127" s="464" t="s">
        <v>6082</v>
      </c>
      <c r="Q127" s="464" t="s">
        <v>6173</v>
      </c>
      <c r="R127" s="464">
        <v>246.26</v>
      </c>
      <c r="S127" s="464">
        <v>182</v>
      </c>
      <c r="T127" s="464">
        <v>43.27</v>
      </c>
      <c r="U127" s="464">
        <v>263.87234410781269</v>
      </c>
      <c r="V127" s="464">
        <v>263.87234410781269</v>
      </c>
      <c r="W127" s="464">
        <v>7</v>
      </c>
      <c r="X127" s="464">
        <v>3.36</v>
      </c>
      <c r="Y127" s="464">
        <v>3.23</v>
      </c>
      <c r="Z127" s="464">
        <v>3.25</v>
      </c>
      <c r="AA127" s="464">
        <v>0.85850000000000004</v>
      </c>
      <c r="AB127" s="464">
        <v>3.26</v>
      </c>
      <c r="AC127" s="464">
        <v>3.29</v>
      </c>
      <c r="AD127" s="464">
        <v>3.23</v>
      </c>
      <c r="AE127" s="464">
        <v>2.84</v>
      </c>
      <c r="AF127" s="464">
        <v>3.8599999999999999E-7</v>
      </c>
      <c r="AG127" s="464" t="s">
        <v>5921</v>
      </c>
      <c r="AH127" s="464">
        <v>-4.8019790216408964</v>
      </c>
      <c r="AI127" s="464" t="s">
        <v>5921</v>
      </c>
      <c r="AJ127" s="464">
        <v>-4.8019790216408964</v>
      </c>
      <c r="AK127" s="464">
        <v>-9.6524699999999992</v>
      </c>
      <c r="AL127" s="464">
        <v>-5.69</v>
      </c>
      <c r="AM127" s="464" t="s">
        <v>5921</v>
      </c>
      <c r="AN127" s="464" t="s">
        <v>5921</v>
      </c>
      <c r="AO127" s="464" t="s">
        <v>6311</v>
      </c>
      <c r="AP127" s="464" t="s">
        <v>6312</v>
      </c>
      <c r="AQ127" s="464" t="s">
        <v>5921</v>
      </c>
      <c r="AR127" s="464" t="s">
        <v>266</v>
      </c>
      <c r="AS127" s="464" t="s">
        <v>8465</v>
      </c>
      <c r="AT127" s="464" t="s">
        <v>8450</v>
      </c>
      <c r="AU127" s="464" t="s">
        <v>8466</v>
      </c>
      <c r="AV127" s="464" t="s">
        <v>8451</v>
      </c>
      <c r="AW127" s="464" t="s">
        <v>8727</v>
      </c>
      <c r="AX127" s="464" t="s">
        <v>1563</v>
      </c>
      <c r="AY127" s="464" t="s">
        <v>8467</v>
      </c>
      <c r="AZ127" s="464" t="s">
        <v>2485</v>
      </c>
      <c r="BA127" s="464" t="s">
        <v>8726</v>
      </c>
      <c r="BB127" s="464" t="s">
        <v>8374</v>
      </c>
      <c r="BC127" s="464" t="s">
        <v>2449</v>
      </c>
      <c r="BD127" s="464" t="s">
        <v>272</v>
      </c>
      <c r="BE127" s="464" t="s">
        <v>272</v>
      </c>
      <c r="BF127" s="464" t="s">
        <v>2486</v>
      </c>
      <c r="BG127" s="464">
        <v>1.5760639999999999E-3</v>
      </c>
      <c r="BH127" s="464">
        <v>15.76064</v>
      </c>
      <c r="BI127" s="464" t="s">
        <v>5921</v>
      </c>
      <c r="BJ127" s="464">
        <v>12.150044684040713</v>
      </c>
      <c r="BK127" s="464" t="s">
        <v>5921</v>
      </c>
      <c r="BL127" s="464" t="s">
        <v>5921</v>
      </c>
      <c r="BM127" s="464" t="s">
        <v>5921</v>
      </c>
      <c r="BN127" s="464" t="s">
        <v>5921</v>
      </c>
      <c r="BO127" s="464" t="s">
        <v>5921</v>
      </c>
      <c r="BP127" s="464">
        <v>4.9839519720199998</v>
      </c>
      <c r="BQ127" s="464" t="s">
        <v>5921</v>
      </c>
      <c r="BR127" s="464" t="s">
        <v>5921</v>
      </c>
      <c r="BS127" s="464" t="s">
        <v>5921</v>
      </c>
      <c r="BT127" s="464" t="s">
        <v>5921</v>
      </c>
      <c r="BU127" s="464" t="s">
        <v>5921</v>
      </c>
      <c r="BV127" s="464" t="s">
        <v>5921</v>
      </c>
      <c r="BW127" s="464" t="s">
        <v>5921</v>
      </c>
      <c r="BX127" s="464" t="s">
        <v>5921</v>
      </c>
      <c r="BY127" s="464" t="s">
        <v>5921</v>
      </c>
      <c r="BZ127" s="464" t="s">
        <v>5921</v>
      </c>
      <c r="CA127" s="464" t="s">
        <v>5921</v>
      </c>
      <c r="CB127" s="464" t="s">
        <v>5921</v>
      </c>
      <c r="CC127" s="464" t="s">
        <v>5921</v>
      </c>
      <c r="CD127" s="464" t="s">
        <v>5921</v>
      </c>
      <c r="CE127" s="464" t="s">
        <v>5921</v>
      </c>
      <c r="CF127" s="464" t="s">
        <v>5921</v>
      </c>
      <c r="CG127" s="464">
        <v>4.9839519720199998</v>
      </c>
      <c r="CH127" s="464">
        <v>0.69757384858145199</v>
      </c>
      <c r="CI127" s="464">
        <v>0.77091061556134222</v>
      </c>
      <c r="CJ127" s="464">
        <v>2.4378334205970069</v>
      </c>
      <c r="CK127" s="464" t="s">
        <v>5921</v>
      </c>
      <c r="CL127" s="464" t="s">
        <v>5921</v>
      </c>
      <c r="CM127" s="464" t="s">
        <v>2488</v>
      </c>
      <c r="CN127" s="464" t="s">
        <v>2489</v>
      </c>
      <c r="CO127" s="464">
        <v>-0.61978875828839397</v>
      </c>
      <c r="CP127" s="464">
        <v>20.766466550083344</v>
      </c>
      <c r="CQ127" s="464" t="s">
        <v>539</v>
      </c>
      <c r="CR127" s="464" t="s">
        <v>5921</v>
      </c>
      <c r="CS127" s="464">
        <v>52.944399462353772</v>
      </c>
      <c r="CT127" s="464">
        <v>16.742489144337583</v>
      </c>
      <c r="CU127" s="464">
        <v>1</v>
      </c>
      <c r="CV127" s="464" t="s">
        <v>5921</v>
      </c>
      <c r="CW127" s="464" t="s">
        <v>6351</v>
      </c>
    </row>
    <row r="128" spans="1:101" x14ac:dyDescent="0.2">
      <c r="A128" s="464">
        <v>1099</v>
      </c>
      <c r="B128" s="464" t="s">
        <v>3077</v>
      </c>
      <c r="C128" s="464" t="s">
        <v>6505</v>
      </c>
      <c r="D128" s="464" t="s">
        <v>3078</v>
      </c>
      <c r="E128" s="464">
        <v>7173515</v>
      </c>
      <c r="F128" s="464" t="s">
        <v>3079</v>
      </c>
      <c r="G128" s="464" t="s">
        <v>8315</v>
      </c>
      <c r="H128" s="464" t="s">
        <v>3080</v>
      </c>
      <c r="I128" s="464" t="s">
        <v>426</v>
      </c>
      <c r="J128" s="464" t="s">
        <v>6618</v>
      </c>
      <c r="K128" s="464" t="s">
        <v>6025</v>
      </c>
      <c r="L128" s="464" t="s">
        <v>2342</v>
      </c>
      <c r="M128" s="464" t="s">
        <v>2342</v>
      </c>
      <c r="N128" s="464" t="s">
        <v>1639</v>
      </c>
      <c r="O128" s="464" t="s">
        <v>6173</v>
      </c>
      <c r="P128" s="464" t="s">
        <v>6175</v>
      </c>
      <c r="Q128" s="464" t="s">
        <v>6173</v>
      </c>
      <c r="R128" s="464">
        <v>326.62</v>
      </c>
      <c r="S128" s="464" t="s">
        <v>5921</v>
      </c>
      <c r="T128" s="464">
        <v>0.55049999999999999</v>
      </c>
      <c r="U128" s="464">
        <v>58082.162090691287</v>
      </c>
      <c r="V128" s="464">
        <v>58082.162090691287</v>
      </c>
      <c r="W128" s="464">
        <v>7</v>
      </c>
      <c r="X128" s="464">
        <v>4.66</v>
      </c>
      <c r="Y128" s="464" t="s">
        <v>5921</v>
      </c>
      <c r="Z128" s="464">
        <v>5.42</v>
      </c>
      <c r="AA128" s="464">
        <v>0.52159999999999995</v>
      </c>
      <c r="AB128" s="464">
        <v>3.85</v>
      </c>
      <c r="AC128" s="464">
        <v>2.5099999999999998</v>
      </c>
      <c r="AD128" s="464">
        <v>3.85</v>
      </c>
      <c r="AE128" s="464">
        <v>7.42</v>
      </c>
      <c r="AF128" s="464">
        <v>6.8500000000000001E-10</v>
      </c>
      <c r="AG128" s="464" t="s">
        <v>5921</v>
      </c>
      <c r="AH128" s="464">
        <v>-7.5528757548202261</v>
      </c>
      <c r="AI128" s="464" t="s">
        <v>5921</v>
      </c>
      <c r="AJ128" s="464">
        <v>-7.5528757548202261</v>
      </c>
      <c r="AK128" s="464">
        <v>-1.78026</v>
      </c>
      <c r="AL128" s="464">
        <v>-0.93500000000000005</v>
      </c>
      <c r="AM128" s="464" t="s">
        <v>5921</v>
      </c>
      <c r="AN128" s="464" t="s">
        <v>5921</v>
      </c>
      <c r="AO128" s="464" t="s">
        <v>6311</v>
      </c>
      <c r="AP128" s="464" t="s">
        <v>6311</v>
      </c>
      <c r="AQ128" s="464" t="s">
        <v>5921</v>
      </c>
      <c r="AR128" s="464" t="s">
        <v>266</v>
      </c>
      <c r="AS128" s="464" t="s">
        <v>8465</v>
      </c>
      <c r="AT128" s="464" t="s">
        <v>8450</v>
      </c>
      <c r="AU128" s="464" t="s">
        <v>8466</v>
      </c>
      <c r="AV128" s="464" t="s">
        <v>8451</v>
      </c>
      <c r="AW128" s="464" t="s">
        <v>8727</v>
      </c>
      <c r="AX128" s="464" t="s">
        <v>1563</v>
      </c>
      <c r="AY128" s="464" t="s">
        <v>8467</v>
      </c>
      <c r="AZ128" s="464" t="s">
        <v>2485</v>
      </c>
      <c r="BA128" s="464" t="s">
        <v>8726</v>
      </c>
      <c r="BB128" s="464" t="s">
        <v>8374</v>
      </c>
      <c r="BC128" s="464" t="s">
        <v>2449</v>
      </c>
      <c r="BD128" s="464" t="s">
        <v>272</v>
      </c>
      <c r="BE128" s="464" t="s">
        <v>272</v>
      </c>
      <c r="BF128" s="464" t="s">
        <v>2486</v>
      </c>
      <c r="BG128" s="464">
        <v>2.090368E-3</v>
      </c>
      <c r="BH128" s="464">
        <v>20.903680000000001</v>
      </c>
      <c r="BI128" s="464" t="s">
        <v>5921</v>
      </c>
      <c r="BJ128" s="464">
        <v>1.095712899434212</v>
      </c>
      <c r="BK128" s="464" t="s">
        <v>5921</v>
      </c>
      <c r="BL128" s="464" t="s">
        <v>5921</v>
      </c>
      <c r="BM128" s="464" t="s">
        <v>5921</v>
      </c>
      <c r="BN128" s="464" t="s">
        <v>5921</v>
      </c>
      <c r="BO128" s="464" t="s">
        <v>5921</v>
      </c>
      <c r="BP128" s="464">
        <v>6.6103240197400002</v>
      </c>
      <c r="BQ128" s="464" t="s">
        <v>5921</v>
      </c>
      <c r="BR128" s="464" t="s">
        <v>5921</v>
      </c>
      <c r="BS128" s="464" t="s">
        <v>5921</v>
      </c>
      <c r="BT128" s="464" t="s">
        <v>5921</v>
      </c>
      <c r="BU128" s="464" t="s">
        <v>5921</v>
      </c>
      <c r="BV128" s="464" t="s">
        <v>5921</v>
      </c>
      <c r="BW128" s="464" t="s">
        <v>5921</v>
      </c>
      <c r="BX128" s="464" t="s">
        <v>5921</v>
      </c>
      <c r="BY128" s="464" t="s">
        <v>5921</v>
      </c>
      <c r="BZ128" s="464" t="s">
        <v>5921</v>
      </c>
      <c r="CA128" s="464" t="s">
        <v>5921</v>
      </c>
      <c r="CB128" s="464" t="s">
        <v>5921</v>
      </c>
      <c r="CC128" s="464" t="s">
        <v>5921</v>
      </c>
      <c r="CD128" s="464" t="s">
        <v>5921</v>
      </c>
      <c r="CE128" s="464" t="s">
        <v>5921</v>
      </c>
      <c r="CF128" s="464" t="s">
        <v>5921</v>
      </c>
      <c r="CG128" s="464">
        <v>6.6103240197400002</v>
      </c>
      <c r="CH128" s="464">
        <v>0.82022274791774341</v>
      </c>
      <c r="CI128" s="464">
        <v>5.2417225073968406E-2</v>
      </c>
      <c r="CJ128" s="464">
        <v>0.16575782006481871</v>
      </c>
      <c r="CK128" s="464" t="s">
        <v>5921</v>
      </c>
      <c r="CL128" s="464" t="s">
        <v>5921</v>
      </c>
      <c r="CM128" s="464" t="s">
        <v>2488</v>
      </c>
      <c r="CN128" s="464" t="s">
        <v>2489</v>
      </c>
      <c r="CO128" s="464">
        <v>-0.24054484824405667</v>
      </c>
      <c r="CP128" s="464">
        <v>11.501847263215499</v>
      </c>
      <c r="CQ128" s="464" t="s">
        <v>539</v>
      </c>
      <c r="CR128" s="464" t="s">
        <v>5921</v>
      </c>
      <c r="CS128" s="464">
        <v>8786.5832169866608</v>
      </c>
      <c r="CT128" s="464">
        <v>2778.5615781858164</v>
      </c>
      <c r="CU128" s="464">
        <v>1</v>
      </c>
      <c r="CV128" s="464" t="s">
        <v>5921</v>
      </c>
      <c r="CW128" s="464" t="s">
        <v>6351</v>
      </c>
    </row>
    <row r="129" spans="1:101" x14ac:dyDescent="0.2">
      <c r="A129" s="464">
        <v>1107</v>
      </c>
      <c r="B129" s="464" t="s">
        <v>1113</v>
      </c>
      <c r="C129" s="464" t="s">
        <v>6569</v>
      </c>
      <c r="D129" s="464" t="s">
        <v>1114</v>
      </c>
      <c r="E129" s="464">
        <v>87674688</v>
      </c>
      <c r="F129" s="464" t="s">
        <v>1115</v>
      </c>
      <c r="G129" s="464" t="s">
        <v>8297</v>
      </c>
      <c r="H129" s="464" t="s">
        <v>1116</v>
      </c>
      <c r="I129" s="464" t="s">
        <v>1117</v>
      </c>
      <c r="J129" s="464" t="s">
        <v>5972</v>
      </c>
      <c r="K129" s="464" t="s">
        <v>6082</v>
      </c>
      <c r="L129" s="464" t="s">
        <v>6082</v>
      </c>
      <c r="M129" s="464" t="s">
        <v>6083</v>
      </c>
      <c r="N129" s="464" t="s">
        <v>5921</v>
      </c>
      <c r="O129" s="464" t="s">
        <v>5921</v>
      </c>
      <c r="P129" s="464" t="s">
        <v>5921</v>
      </c>
      <c r="Q129" s="464" t="s">
        <v>5921</v>
      </c>
      <c r="R129" s="464">
        <v>275.8</v>
      </c>
      <c r="S129" s="464">
        <v>1200</v>
      </c>
      <c r="T129" s="464">
        <v>247</v>
      </c>
      <c r="U129" s="464">
        <v>759.61627638066591</v>
      </c>
      <c r="V129" s="464">
        <v>759.61627638066591</v>
      </c>
      <c r="W129" s="464">
        <v>7.01</v>
      </c>
      <c r="X129" s="464">
        <v>2.57</v>
      </c>
      <c r="Y129" s="464">
        <v>2.15</v>
      </c>
      <c r="Z129" s="464">
        <v>2.52</v>
      </c>
      <c r="AA129" s="464">
        <v>0.83440000000000003</v>
      </c>
      <c r="AB129" s="464">
        <v>2.4500000000000002</v>
      </c>
      <c r="AC129" s="464">
        <v>2.15</v>
      </c>
      <c r="AD129" s="464">
        <v>2.15</v>
      </c>
      <c r="AE129" s="464">
        <v>3.03</v>
      </c>
      <c r="AF129" s="464">
        <v>6.0799999999999997E-10</v>
      </c>
      <c r="AG129" s="464">
        <v>8.2000000000000006E-8</v>
      </c>
      <c r="AH129" s="464">
        <v>-7.6046627470399173</v>
      </c>
      <c r="AI129" s="464">
        <v>-5.4747524739289348</v>
      </c>
      <c r="AJ129" s="464">
        <v>-5.4747524739289348</v>
      </c>
      <c r="AK129" s="464">
        <v>-10.136889999999999</v>
      </c>
      <c r="AL129" s="464">
        <v>-5.57</v>
      </c>
      <c r="AM129" s="464" t="s">
        <v>5921</v>
      </c>
      <c r="AN129" s="464">
        <v>1.1599999999999999</v>
      </c>
      <c r="AO129" s="464" t="s">
        <v>6311</v>
      </c>
      <c r="AP129" s="464" t="s">
        <v>6311</v>
      </c>
      <c r="AQ129" s="464" t="s">
        <v>5921</v>
      </c>
      <c r="AR129" s="464" t="s">
        <v>266</v>
      </c>
      <c r="AS129" s="464" t="s">
        <v>8465</v>
      </c>
      <c r="AT129" s="464" t="s">
        <v>8450</v>
      </c>
      <c r="AU129" s="464" t="s">
        <v>8466</v>
      </c>
      <c r="AV129" s="464" t="s">
        <v>8451</v>
      </c>
      <c r="AW129" s="464" t="s">
        <v>8727</v>
      </c>
      <c r="AX129" s="464" t="s">
        <v>1563</v>
      </c>
      <c r="AY129" s="464" t="s">
        <v>8467</v>
      </c>
      <c r="AZ129" s="464" t="s">
        <v>2485</v>
      </c>
      <c r="BA129" s="464" t="s">
        <v>8726</v>
      </c>
      <c r="BB129" s="464" t="s">
        <v>8374</v>
      </c>
      <c r="BC129" s="464" t="s">
        <v>2449</v>
      </c>
      <c r="BD129" s="464" t="s">
        <v>272</v>
      </c>
      <c r="BE129" s="464" t="s">
        <v>272</v>
      </c>
      <c r="BF129" s="464" t="s">
        <v>2486</v>
      </c>
      <c r="BG129" s="464">
        <v>1.76512E-3</v>
      </c>
      <c r="BH129" s="464">
        <v>17.651199999999999</v>
      </c>
      <c r="BI129" s="464" t="s">
        <v>5921</v>
      </c>
      <c r="BJ129" s="464">
        <v>69.707139569413968</v>
      </c>
      <c r="BK129" s="464" t="s">
        <v>5921</v>
      </c>
      <c r="BL129" s="464" t="s">
        <v>5921</v>
      </c>
      <c r="BM129" s="464" t="s">
        <v>5921</v>
      </c>
      <c r="BN129" s="464" t="s">
        <v>5921</v>
      </c>
      <c r="BO129" s="464" t="s">
        <v>5921</v>
      </c>
      <c r="BP129" s="464">
        <v>7.060480000000001</v>
      </c>
      <c r="BQ129" s="464" t="s">
        <v>5921</v>
      </c>
      <c r="BR129" s="464" t="s">
        <v>5921</v>
      </c>
      <c r="BS129" s="464" t="s">
        <v>5921</v>
      </c>
      <c r="BT129" s="464" t="s">
        <v>5921</v>
      </c>
      <c r="BU129" s="464" t="s">
        <v>5921</v>
      </c>
      <c r="BV129" s="464" t="s">
        <v>5921</v>
      </c>
      <c r="BW129" s="464" t="s">
        <v>5921</v>
      </c>
      <c r="BX129" s="464" t="s">
        <v>5921</v>
      </c>
      <c r="BY129" s="464" t="s">
        <v>5921</v>
      </c>
      <c r="BZ129" s="464" t="s">
        <v>5921</v>
      </c>
      <c r="CA129" s="464" t="s">
        <v>5921</v>
      </c>
      <c r="CB129" s="464" t="s">
        <v>5921</v>
      </c>
      <c r="CC129" s="464" t="s">
        <v>5921</v>
      </c>
      <c r="CD129" s="464" t="s">
        <v>5921</v>
      </c>
      <c r="CE129" s="464" t="s">
        <v>5921</v>
      </c>
      <c r="CF129" s="464" t="s">
        <v>5921</v>
      </c>
      <c r="CG129" s="464">
        <v>7.060480000000001</v>
      </c>
      <c r="CH129" s="464">
        <v>0.84883422715168055</v>
      </c>
      <c r="CI129" s="464">
        <v>3.949144509688518</v>
      </c>
      <c r="CJ129" s="464">
        <v>9.8728612742212931</v>
      </c>
      <c r="CK129" s="464">
        <v>0.41497334797081775</v>
      </c>
      <c r="CL129" s="464">
        <v>6.7889230769230791</v>
      </c>
      <c r="CM129" s="464" t="s">
        <v>2488</v>
      </c>
      <c r="CN129" s="464" t="s">
        <v>2489</v>
      </c>
      <c r="CO129" s="464">
        <v>0.61057666097735264</v>
      </c>
      <c r="CP129" s="464">
        <v>1.730842562275557</v>
      </c>
      <c r="CQ129" s="464" t="s">
        <v>539</v>
      </c>
      <c r="CR129" s="464" t="s">
        <v>5921</v>
      </c>
      <c r="CS129" s="464">
        <v>107.58705872414706</v>
      </c>
      <c r="CT129" s="464">
        <v>43.034823489658827</v>
      </c>
      <c r="CU129" s="464">
        <v>1</v>
      </c>
      <c r="CV129" s="464" t="s">
        <v>5921</v>
      </c>
      <c r="CW129" s="464" t="s">
        <v>5921</v>
      </c>
    </row>
    <row r="130" spans="1:101" x14ac:dyDescent="0.2">
      <c r="A130" s="464">
        <v>1110</v>
      </c>
      <c r="B130" s="464" t="s">
        <v>3102</v>
      </c>
      <c r="C130" s="464" t="s">
        <v>6763</v>
      </c>
      <c r="D130" s="464" t="s">
        <v>3103</v>
      </c>
      <c r="E130" s="464">
        <v>88857</v>
      </c>
      <c r="F130" s="464" t="s">
        <v>3104</v>
      </c>
      <c r="G130" s="464" t="s">
        <v>3104</v>
      </c>
      <c r="H130" s="464" t="s">
        <v>3105</v>
      </c>
      <c r="I130" s="464" t="s">
        <v>1693</v>
      </c>
      <c r="J130" s="464" t="s">
        <v>6119</v>
      </c>
      <c r="K130" s="464" t="s">
        <v>1694</v>
      </c>
      <c r="L130" s="464" t="s">
        <v>6381</v>
      </c>
      <c r="M130" s="464" t="s">
        <v>3106</v>
      </c>
      <c r="N130" s="464" t="s">
        <v>5921</v>
      </c>
      <c r="O130" s="464" t="s">
        <v>6173</v>
      </c>
      <c r="P130" s="464" t="s">
        <v>6180</v>
      </c>
      <c r="Q130" s="464" t="s">
        <v>6176</v>
      </c>
      <c r="R130" s="464">
        <v>240.21</v>
      </c>
      <c r="S130" s="464">
        <v>52</v>
      </c>
      <c r="T130" s="464">
        <v>24.41</v>
      </c>
      <c r="U130" s="464">
        <v>77.73043233106597</v>
      </c>
      <c r="V130" s="464">
        <v>77.73043233106597</v>
      </c>
      <c r="W130" s="464">
        <v>3.9</v>
      </c>
      <c r="X130" s="464">
        <v>3.67</v>
      </c>
      <c r="Y130" s="464">
        <v>3.56</v>
      </c>
      <c r="Z130" s="464">
        <v>3.23</v>
      </c>
      <c r="AA130" s="464">
        <v>0.89729999999999999</v>
      </c>
      <c r="AB130" s="464">
        <v>3.32</v>
      </c>
      <c r="AC130" s="464">
        <v>3.61</v>
      </c>
      <c r="AD130" s="464">
        <v>3.56</v>
      </c>
      <c r="AE130" s="464">
        <v>2.34</v>
      </c>
      <c r="AF130" s="464">
        <v>7.1299999999999997E-8</v>
      </c>
      <c r="AG130" s="464">
        <v>4.5600000000000001E-7</v>
      </c>
      <c r="AH130" s="464">
        <v>-5.5354767964607863</v>
      </c>
      <c r="AI130" s="464">
        <v>-4.7296014836482172</v>
      </c>
      <c r="AJ130" s="464">
        <v>-4.7296014836482172</v>
      </c>
      <c r="AK130" s="464">
        <v>-9.7318999999999996</v>
      </c>
      <c r="AL130" s="464">
        <v>-4.67</v>
      </c>
      <c r="AM130" s="464">
        <v>4.08</v>
      </c>
      <c r="AN130" s="464" t="s">
        <v>5921</v>
      </c>
      <c r="AO130" s="464" t="s">
        <v>6311</v>
      </c>
      <c r="AP130" s="464" t="s">
        <v>6311</v>
      </c>
      <c r="AQ130" s="464" t="s">
        <v>5921</v>
      </c>
      <c r="AR130" s="464" t="s">
        <v>266</v>
      </c>
      <c r="AS130" s="464" t="s">
        <v>8465</v>
      </c>
      <c r="AT130" s="464" t="s">
        <v>8450</v>
      </c>
      <c r="AU130" s="464" t="s">
        <v>8466</v>
      </c>
      <c r="AV130" s="464" t="s">
        <v>8451</v>
      </c>
      <c r="AW130" s="464" t="s">
        <v>8727</v>
      </c>
      <c r="AX130" s="464" t="s">
        <v>1563</v>
      </c>
      <c r="AY130" s="464" t="s">
        <v>8467</v>
      </c>
      <c r="AZ130" s="464" t="s">
        <v>2485</v>
      </c>
      <c r="BA130" s="464" t="s">
        <v>8726</v>
      </c>
      <c r="BB130" s="464" t="s">
        <v>8374</v>
      </c>
      <c r="BC130" s="464" t="s">
        <v>2449</v>
      </c>
      <c r="BD130" s="464" t="s">
        <v>272</v>
      </c>
      <c r="BE130" s="464" t="s">
        <v>272</v>
      </c>
      <c r="BF130" s="464" t="s">
        <v>2486</v>
      </c>
      <c r="BG130" s="464">
        <v>1.537344E-3</v>
      </c>
      <c r="BH130" s="464">
        <v>15.37344</v>
      </c>
      <c r="BI130" s="464" t="s">
        <v>5921</v>
      </c>
      <c r="BJ130" s="464">
        <v>6.2425795197761351</v>
      </c>
      <c r="BK130" s="464" t="s">
        <v>5921</v>
      </c>
      <c r="BL130" s="464" t="s">
        <v>5921</v>
      </c>
      <c r="BM130" s="464" t="s">
        <v>5921</v>
      </c>
      <c r="BN130" s="464" t="s">
        <v>5921</v>
      </c>
      <c r="BO130" s="464" t="s">
        <v>5921</v>
      </c>
      <c r="BP130" s="464">
        <v>8.6956020000000009E-2</v>
      </c>
      <c r="BQ130" s="464" t="s">
        <v>5921</v>
      </c>
      <c r="BR130" s="464" t="s">
        <v>5921</v>
      </c>
      <c r="BS130" s="464" t="s">
        <v>5921</v>
      </c>
      <c r="BT130" s="464" t="s">
        <v>5921</v>
      </c>
      <c r="BU130" s="464" t="s">
        <v>5921</v>
      </c>
      <c r="BV130" s="464" t="s">
        <v>5921</v>
      </c>
      <c r="BW130" s="464" t="s">
        <v>5921</v>
      </c>
      <c r="BX130" s="464" t="s">
        <v>5921</v>
      </c>
      <c r="BY130" s="464" t="s">
        <v>5921</v>
      </c>
      <c r="BZ130" s="464" t="s">
        <v>5921</v>
      </c>
      <c r="CA130" s="464" t="s">
        <v>5921</v>
      </c>
      <c r="CB130" s="464" t="s">
        <v>5921</v>
      </c>
      <c r="CC130" s="464" t="s">
        <v>5921</v>
      </c>
      <c r="CD130" s="464" t="s">
        <v>5921</v>
      </c>
      <c r="CE130" s="464" t="s">
        <v>5921</v>
      </c>
      <c r="CF130" s="464" t="s">
        <v>5921</v>
      </c>
      <c r="CG130" s="464">
        <v>8.6956020000000009E-2</v>
      </c>
      <c r="CH130" s="464">
        <v>-1.0607003462400018</v>
      </c>
      <c r="CI130" s="464">
        <v>0.40606263268182885</v>
      </c>
      <c r="CJ130" s="464">
        <v>71.790078706179685</v>
      </c>
      <c r="CK130" s="464">
        <v>-0.7344240775993004</v>
      </c>
      <c r="CL130" s="464">
        <v>83.405585383401302</v>
      </c>
      <c r="CM130" s="464" t="s">
        <v>2488</v>
      </c>
      <c r="CN130" s="464" t="s">
        <v>2489</v>
      </c>
      <c r="CO130" s="464">
        <v>-0.73442407759929995</v>
      </c>
      <c r="CP130" s="464">
        <v>0.47176284232486299</v>
      </c>
      <c r="CQ130" s="464" t="s">
        <v>539</v>
      </c>
      <c r="CR130" s="464" t="s">
        <v>5921</v>
      </c>
      <c r="CS130" s="464">
        <v>893.90512963985657</v>
      </c>
      <c r="CT130" s="464">
        <v>5.0561508895254388</v>
      </c>
      <c r="CU130" s="464">
        <v>1</v>
      </c>
      <c r="CV130" s="464" t="s">
        <v>5921</v>
      </c>
      <c r="CW130" s="464" t="s">
        <v>6351</v>
      </c>
    </row>
    <row r="131" spans="1:101" x14ac:dyDescent="0.2">
      <c r="A131" s="464">
        <v>1113</v>
      </c>
      <c r="B131" s="464" t="s">
        <v>3110</v>
      </c>
      <c r="C131" s="464" t="s">
        <v>6748</v>
      </c>
      <c r="D131" s="464" t="s">
        <v>902</v>
      </c>
      <c r="E131" s="464">
        <v>136458</v>
      </c>
      <c r="F131" s="464" t="s">
        <v>903</v>
      </c>
      <c r="G131" s="464" t="s">
        <v>903</v>
      </c>
      <c r="H131" s="464" t="s">
        <v>904</v>
      </c>
      <c r="I131" s="464" t="s">
        <v>357</v>
      </c>
      <c r="J131" s="464" t="s">
        <v>6025</v>
      </c>
      <c r="K131" s="464" t="s">
        <v>6082</v>
      </c>
      <c r="L131" s="464" t="s">
        <v>6082</v>
      </c>
      <c r="M131" s="464" t="s">
        <v>6083</v>
      </c>
      <c r="N131" s="464" t="s">
        <v>5921</v>
      </c>
      <c r="O131" s="464" t="s">
        <v>5921</v>
      </c>
      <c r="P131" s="464" t="s">
        <v>5921</v>
      </c>
      <c r="Q131" s="464" t="s">
        <v>5921</v>
      </c>
      <c r="R131" s="464">
        <v>251.28</v>
      </c>
      <c r="S131" s="464" t="s">
        <v>5921</v>
      </c>
      <c r="T131" s="464">
        <v>20.8</v>
      </c>
      <c r="U131" s="464">
        <v>616.81925633333435</v>
      </c>
      <c r="V131" s="464">
        <v>616.81925633333435</v>
      </c>
      <c r="W131" s="464">
        <v>7</v>
      </c>
      <c r="X131" s="464">
        <v>2.12</v>
      </c>
      <c r="Y131" s="464">
        <v>3.57</v>
      </c>
      <c r="Z131" s="464">
        <v>2.65</v>
      </c>
      <c r="AA131" s="464">
        <v>0.8266</v>
      </c>
      <c r="AB131" s="464">
        <v>2.77</v>
      </c>
      <c r="AC131" s="464">
        <v>3.09</v>
      </c>
      <c r="AD131" s="464">
        <v>3.57</v>
      </c>
      <c r="AE131" s="464">
        <v>2.34</v>
      </c>
      <c r="AF131" s="464">
        <v>9.0899999999999996E-10</v>
      </c>
      <c r="AG131" s="464" t="s">
        <v>5921</v>
      </c>
      <c r="AH131" s="464">
        <v>-7.4300024430906841</v>
      </c>
      <c r="AI131" s="464" t="s">
        <v>5921</v>
      </c>
      <c r="AJ131" s="464">
        <v>-7.4300024430906841</v>
      </c>
      <c r="AK131" s="464">
        <v>-10.431010000000001</v>
      </c>
      <c r="AL131" s="464">
        <v>-7.8</v>
      </c>
      <c r="AM131" s="464" t="s">
        <v>5921</v>
      </c>
      <c r="AN131" s="464">
        <v>-0.23</v>
      </c>
      <c r="AO131" s="464" t="s">
        <v>6311</v>
      </c>
      <c r="AP131" s="464" t="s">
        <v>6312</v>
      </c>
      <c r="AQ131" s="464" t="s">
        <v>5921</v>
      </c>
      <c r="AR131" s="464" t="s">
        <v>266</v>
      </c>
      <c r="AS131" s="464" t="s">
        <v>8465</v>
      </c>
      <c r="AT131" s="464" t="s">
        <v>8450</v>
      </c>
      <c r="AU131" s="464" t="s">
        <v>8466</v>
      </c>
      <c r="AV131" s="464" t="s">
        <v>8451</v>
      </c>
      <c r="AW131" s="464" t="s">
        <v>8727</v>
      </c>
      <c r="AX131" s="464" t="s">
        <v>1563</v>
      </c>
      <c r="AY131" s="464" t="s">
        <v>8467</v>
      </c>
      <c r="AZ131" s="464" t="s">
        <v>2485</v>
      </c>
      <c r="BA131" s="464" t="s">
        <v>8726</v>
      </c>
      <c r="BB131" s="464" t="s">
        <v>8374</v>
      </c>
      <c r="BC131" s="464" t="s">
        <v>2449</v>
      </c>
      <c r="BD131" s="464" t="s">
        <v>272</v>
      </c>
      <c r="BE131" s="464" t="s">
        <v>272</v>
      </c>
      <c r="BF131" s="464" t="s">
        <v>2486</v>
      </c>
      <c r="BG131" s="464">
        <v>1.608192E-3</v>
      </c>
      <c r="BH131" s="464">
        <v>16.08192</v>
      </c>
      <c r="BI131" s="464" t="s">
        <v>5921</v>
      </c>
      <c r="BJ131" s="464">
        <v>161.059343082559</v>
      </c>
      <c r="BK131" s="464" t="s">
        <v>5921</v>
      </c>
      <c r="BL131" s="464" t="s">
        <v>5921</v>
      </c>
      <c r="BM131" s="464" t="s">
        <v>5921</v>
      </c>
      <c r="BN131" s="464" t="s">
        <v>5921</v>
      </c>
      <c r="BO131" s="464" t="s">
        <v>5921</v>
      </c>
      <c r="BP131" s="464">
        <v>0.32917679999999999</v>
      </c>
      <c r="BQ131" s="464" t="s">
        <v>5921</v>
      </c>
      <c r="BR131" s="464" t="s">
        <v>5921</v>
      </c>
      <c r="BS131" s="464" t="s">
        <v>5921</v>
      </c>
      <c r="BT131" s="464" t="s">
        <v>5921</v>
      </c>
      <c r="BU131" s="464" t="s">
        <v>5921</v>
      </c>
      <c r="BV131" s="464" t="s">
        <v>5921</v>
      </c>
      <c r="BW131" s="464" t="s">
        <v>5921</v>
      </c>
      <c r="BX131" s="464" t="s">
        <v>5921</v>
      </c>
      <c r="BY131" s="464" t="s">
        <v>5921</v>
      </c>
      <c r="BZ131" s="464" t="s">
        <v>5921</v>
      </c>
      <c r="CA131" s="464" t="s">
        <v>5921</v>
      </c>
      <c r="CB131" s="464" t="s">
        <v>5921</v>
      </c>
      <c r="CC131" s="464" t="s">
        <v>5921</v>
      </c>
      <c r="CD131" s="464" t="s">
        <v>5921</v>
      </c>
      <c r="CE131" s="464" t="s">
        <v>5921</v>
      </c>
      <c r="CF131" s="464" t="s">
        <v>5921</v>
      </c>
      <c r="CG131" s="464">
        <v>0.32917679999999999</v>
      </c>
      <c r="CH131" s="464">
        <v>-0.48257078095378741</v>
      </c>
      <c r="CI131" s="464">
        <v>10.01493248831974</v>
      </c>
      <c r="CJ131" s="464">
        <v>489.27914446752931</v>
      </c>
      <c r="CK131" s="464">
        <v>-0.3565473235138128</v>
      </c>
      <c r="CL131" s="464">
        <v>36.549818181818203</v>
      </c>
      <c r="CM131" s="464" t="s">
        <v>2488</v>
      </c>
      <c r="CN131" s="464" t="s">
        <v>2489</v>
      </c>
      <c r="CO131" s="464">
        <v>-0.17827366175690632</v>
      </c>
      <c r="CP131" s="464">
        <v>0.49625269785902787</v>
      </c>
      <c r="CQ131" s="464" t="s">
        <v>539</v>
      </c>
      <c r="CR131" s="464" t="s">
        <v>5921</v>
      </c>
      <c r="CS131" s="464">
        <v>1873.823599759565</v>
      </c>
      <c r="CT131" s="464">
        <v>38.354826807578597</v>
      </c>
      <c r="CU131" s="464">
        <v>1</v>
      </c>
      <c r="CV131" s="464" t="s">
        <v>5921</v>
      </c>
      <c r="CW131" s="464" t="s">
        <v>5921</v>
      </c>
    </row>
    <row r="132" spans="1:101" x14ac:dyDescent="0.2">
      <c r="A132" s="464">
        <v>1132</v>
      </c>
      <c r="B132" s="464" t="s">
        <v>1150</v>
      </c>
      <c r="C132" s="464" t="s">
        <v>6648</v>
      </c>
      <c r="D132" s="464" t="s">
        <v>1151</v>
      </c>
      <c r="E132" s="464">
        <v>161326347</v>
      </c>
      <c r="F132" s="464" t="s">
        <v>1152</v>
      </c>
      <c r="G132" s="464" t="s">
        <v>8330</v>
      </c>
      <c r="H132" s="464" t="s">
        <v>1153</v>
      </c>
      <c r="I132" s="464" t="s">
        <v>483</v>
      </c>
      <c r="J132" s="464" t="s">
        <v>5977</v>
      </c>
      <c r="K132" s="464" t="s">
        <v>6082</v>
      </c>
      <c r="L132" s="464" t="s">
        <v>6082</v>
      </c>
      <c r="M132" s="464" t="s">
        <v>6083</v>
      </c>
      <c r="N132" s="464" t="s">
        <v>8470</v>
      </c>
      <c r="O132" s="464" t="s">
        <v>6173</v>
      </c>
      <c r="P132" s="464" t="s">
        <v>8448</v>
      </c>
      <c r="Q132" s="464" t="s">
        <v>6173</v>
      </c>
      <c r="R132" s="464">
        <v>311.39999999999998</v>
      </c>
      <c r="S132" s="464" t="s">
        <v>5921</v>
      </c>
      <c r="T132" s="464">
        <v>11.95</v>
      </c>
      <c r="U132" s="464">
        <v>13.593103015958755</v>
      </c>
      <c r="V132" s="464">
        <v>13.593103015958755</v>
      </c>
      <c r="W132" s="464">
        <v>7</v>
      </c>
      <c r="X132" s="464">
        <v>3.45</v>
      </c>
      <c r="Y132" s="464" t="s">
        <v>5921</v>
      </c>
      <c r="Z132" s="464">
        <v>2.71</v>
      </c>
      <c r="AA132" s="464">
        <v>0.69220000000000004</v>
      </c>
      <c r="AB132" s="464">
        <v>3.02</v>
      </c>
      <c r="AC132" s="464">
        <v>3.61</v>
      </c>
      <c r="AD132" s="464">
        <v>3.02</v>
      </c>
      <c r="AE132" s="464">
        <v>3.31</v>
      </c>
      <c r="AF132" s="464">
        <v>2.8199999999999999E-14</v>
      </c>
      <c r="AG132" s="464" t="s">
        <v>5921</v>
      </c>
      <c r="AH132" s="464">
        <v>-11.938317217993291</v>
      </c>
      <c r="AI132" s="464" t="s">
        <v>5921</v>
      </c>
      <c r="AJ132" s="464">
        <v>-11.938317217993291</v>
      </c>
      <c r="AK132" s="464">
        <v>-17.162509999999997</v>
      </c>
      <c r="AL132" s="464">
        <v>-9.2799999999999994</v>
      </c>
      <c r="AM132" s="464" t="s">
        <v>5921</v>
      </c>
      <c r="AN132" s="464">
        <v>0.49</v>
      </c>
      <c r="AO132" s="464" t="s">
        <v>6311</v>
      </c>
      <c r="AP132" s="464" t="s">
        <v>6311</v>
      </c>
      <c r="AQ132" s="464" t="s">
        <v>5921</v>
      </c>
      <c r="AR132" s="464" t="s">
        <v>266</v>
      </c>
      <c r="AS132" s="464" t="s">
        <v>8465</v>
      </c>
      <c r="AT132" s="464" t="s">
        <v>8450</v>
      </c>
      <c r="AU132" s="464" t="s">
        <v>8466</v>
      </c>
      <c r="AV132" s="464" t="s">
        <v>8451</v>
      </c>
      <c r="AW132" s="464" t="s">
        <v>8727</v>
      </c>
      <c r="AX132" s="464" t="s">
        <v>1563</v>
      </c>
      <c r="AY132" s="464" t="s">
        <v>8467</v>
      </c>
      <c r="AZ132" s="464" t="s">
        <v>2485</v>
      </c>
      <c r="BA132" s="464" t="s">
        <v>8726</v>
      </c>
      <c r="BB132" s="464" t="s">
        <v>8374</v>
      </c>
      <c r="BC132" s="464" t="s">
        <v>2449</v>
      </c>
      <c r="BD132" s="464" t="s">
        <v>272</v>
      </c>
      <c r="BE132" s="464" t="s">
        <v>272</v>
      </c>
      <c r="BF132" s="464" t="s">
        <v>2486</v>
      </c>
      <c r="BG132" s="464">
        <v>1.9929599999999998E-3</v>
      </c>
      <c r="BH132" s="464">
        <v>19.929600000000001</v>
      </c>
      <c r="BI132" s="464" t="s">
        <v>5921</v>
      </c>
      <c r="BJ132" s="464">
        <v>12.754798682260546</v>
      </c>
      <c r="BK132" s="464" t="s">
        <v>5921</v>
      </c>
      <c r="BL132" s="464">
        <v>6302.292887141999</v>
      </c>
      <c r="BM132" s="464" t="s">
        <v>5921</v>
      </c>
      <c r="BN132" s="464" t="s">
        <v>5921</v>
      </c>
      <c r="BO132" s="464" t="s">
        <v>5921</v>
      </c>
      <c r="BP132" s="464">
        <v>2.8119419999999997</v>
      </c>
      <c r="BQ132" s="464" t="s">
        <v>5921</v>
      </c>
      <c r="BR132" s="464" t="s">
        <v>5921</v>
      </c>
      <c r="BS132" s="464" t="s">
        <v>5921</v>
      </c>
      <c r="BT132" s="464" t="s">
        <v>5921</v>
      </c>
      <c r="BU132" s="464" t="s">
        <v>5921</v>
      </c>
      <c r="BV132" s="464" t="s">
        <v>5921</v>
      </c>
      <c r="BW132" s="464" t="s">
        <v>5921</v>
      </c>
      <c r="BX132" s="464" t="s">
        <v>5921</v>
      </c>
      <c r="BY132" s="464" t="s">
        <v>5921</v>
      </c>
      <c r="BZ132" s="464" t="s">
        <v>5921</v>
      </c>
      <c r="CA132" s="464" t="s">
        <v>5921</v>
      </c>
      <c r="CB132" s="464" t="s">
        <v>5921</v>
      </c>
      <c r="CC132" s="464" t="s">
        <v>5921</v>
      </c>
      <c r="CD132" s="464" t="s">
        <v>5921</v>
      </c>
      <c r="CE132" s="464" t="s">
        <v>5921</v>
      </c>
      <c r="CF132" s="464" t="s">
        <v>5921</v>
      </c>
      <c r="CG132" s="464">
        <v>2.8119419999999997</v>
      </c>
      <c r="CH132" s="464">
        <v>0.44900635854560722</v>
      </c>
      <c r="CI132" s="464">
        <v>0.63999270844675982</v>
      </c>
      <c r="CJ132" s="464">
        <v>4.53593946185965</v>
      </c>
      <c r="CK132" s="464">
        <v>-0.13076828026902421</v>
      </c>
      <c r="CL132" s="464">
        <v>26.931891891891919</v>
      </c>
      <c r="CM132" s="464" t="s">
        <v>2488</v>
      </c>
      <c r="CN132" s="464" t="s">
        <v>2489</v>
      </c>
      <c r="CO132" s="464">
        <v>-0.13076828026902382</v>
      </c>
      <c r="CP132" s="464">
        <v>3.7999216216216216</v>
      </c>
      <c r="CQ132" s="464" t="s">
        <v>539</v>
      </c>
      <c r="CR132" s="464" t="s">
        <v>5921</v>
      </c>
      <c r="CS132" s="464">
        <v>4.8340623725378249</v>
      </c>
      <c r="CT132" s="464">
        <v>0.68205598787525867</v>
      </c>
      <c r="CU132" s="464">
        <v>1</v>
      </c>
      <c r="CV132" s="464" t="s">
        <v>5921</v>
      </c>
      <c r="CW132" s="464" t="s">
        <v>5921</v>
      </c>
    </row>
    <row r="133" spans="1:101" x14ac:dyDescent="0.2">
      <c r="A133" s="464">
        <v>1133</v>
      </c>
      <c r="B133" s="464" t="s">
        <v>3162</v>
      </c>
      <c r="C133" s="464" t="s">
        <v>6510</v>
      </c>
      <c r="D133" s="464" t="s">
        <v>3163</v>
      </c>
      <c r="E133" s="464">
        <v>22224926</v>
      </c>
      <c r="F133" s="464" t="s">
        <v>3164</v>
      </c>
      <c r="G133" s="464" t="s">
        <v>3164</v>
      </c>
      <c r="H133" s="464" t="s">
        <v>3165</v>
      </c>
      <c r="I133" s="464" t="s">
        <v>637</v>
      </c>
      <c r="J133" s="464" t="s">
        <v>617</v>
      </c>
      <c r="K133" s="464" t="s">
        <v>946</v>
      </c>
      <c r="L133" s="464" t="s">
        <v>6376</v>
      </c>
      <c r="M133" s="464" t="s">
        <v>918</v>
      </c>
      <c r="N133" s="464" t="s">
        <v>5921</v>
      </c>
      <c r="O133" s="464" t="s">
        <v>5921</v>
      </c>
      <c r="P133" s="464" t="s">
        <v>5921</v>
      </c>
      <c r="Q133" s="464" t="s">
        <v>5921</v>
      </c>
      <c r="R133" s="464">
        <v>303.36</v>
      </c>
      <c r="S133" s="464">
        <v>329</v>
      </c>
      <c r="T133" s="464">
        <v>20.47</v>
      </c>
      <c r="U133" s="464">
        <v>205.09653141491145</v>
      </c>
      <c r="V133" s="464">
        <v>205.09653141491145</v>
      </c>
      <c r="W133" s="464">
        <v>7</v>
      </c>
      <c r="X133" s="464">
        <v>3.29</v>
      </c>
      <c r="Y133" s="464">
        <v>3.23</v>
      </c>
      <c r="Z133" s="464">
        <v>3.1</v>
      </c>
      <c r="AA133" s="464">
        <v>0.91149999999999998</v>
      </c>
      <c r="AB133" s="464">
        <v>3.22</v>
      </c>
      <c r="AC133" s="464">
        <v>3.68</v>
      </c>
      <c r="AD133" s="464">
        <v>3.23</v>
      </c>
      <c r="AE133" s="464">
        <v>3.2</v>
      </c>
      <c r="AF133" s="464">
        <v>9.6599999999999995E-11</v>
      </c>
      <c r="AG133" s="464">
        <v>1.21E-9</v>
      </c>
      <c r="AH133" s="464">
        <v>-8.4035891998971586</v>
      </c>
      <c r="AI133" s="464">
        <v>-7.3057809559962017</v>
      </c>
      <c r="AJ133" s="464">
        <v>-7.3057809559962017</v>
      </c>
      <c r="AK133" s="464">
        <v>-14.0052</v>
      </c>
      <c r="AL133" s="464">
        <v>-7.03</v>
      </c>
      <c r="AM133" s="464" t="s">
        <v>5921</v>
      </c>
      <c r="AN133" s="464">
        <v>-0.09</v>
      </c>
      <c r="AO133" s="464" t="s">
        <v>6311</v>
      </c>
      <c r="AP133" s="464" t="s">
        <v>6311</v>
      </c>
      <c r="AQ133" s="464" t="s">
        <v>5921</v>
      </c>
      <c r="AR133" s="464" t="s">
        <v>266</v>
      </c>
      <c r="AS133" s="464" t="s">
        <v>8465</v>
      </c>
      <c r="AT133" s="464" t="s">
        <v>8450</v>
      </c>
      <c r="AU133" s="464" t="s">
        <v>8466</v>
      </c>
      <c r="AV133" s="464" t="s">
        <v>8451</v>
      </c>
      <c r="AW133" s="464" t="s">
        <v>8727</v>
      </c>
      <c r="AX133" s="464" t="s">
        <v>1563</v>
      </c>
      <c r="AY133" s="464" t="s">
        <v>8467</v>
      </c>
      <c r="AZ133" s="464" t="s">
        <v>2485</v>
      </c>
      <c r="BA133" s="464" t="s">
        <v>8726</v>
      </c>
      <c r="BB133" s="464" t="s">
        <v>8374</v>
      </c>
      <c r="BC133" s="464" t="s">
        <v>2449</v>
      </c>
      <c r="BD133" s="464" t="s">
        <v>272</v>
      </c>
      <c r="BE133" s="464" t="s">
        <v>272</v>
      </c>
      <c r="BF133" s="464" t="s">
        <v>2486</v>
      </c>
      <c r="BG133" s="464">
        <v>1.9415039999999999E-3</v>
      </c>
      <c r="BH133" s="464">
        <v>19.415040000000001</v>
      </c>
      <c r="BI133" s="464" t="s">
        <v>5921</v>
      </c>
      <c r="BJ133" s="464">
        <v>17.298534643385999</v>
      </c>
      <c r="BK133" s="464" t="s">
        <v>5921</v>
      </c>
      <c r="BL133" s="464" t="s">
        <v>5921</v>
      </c>
      <c r="BM133" s="464" t="s">
        <v>5921</v>
      </c>
      <c r="BN133" s="464" t="s">
        <v>5921</v>
      </c>
      <c r="BO133" s="464" t="s">
        <v>5921</v>
      </c>
      <c r="BP133" s="464">
        <v>9.0097920000000009</v>
      </c>
      <c r="BQ133" s="464" t="s">
        <v>5921</v>
      </c>
      <c r="BR133" s="464" t="s">
        <v>5921</v>
      </c>
      <c r="BS133" s="464" t="s">
        <v>5921</v>
      </c>
      <c r="BT133" s="464" t="s">
        <v>5921</v>
      </c>
      <c r="BU133" s="464" t="s">
        <v>5921</v>
      </c>
      <c r="BV133" s="464" t="s">
        <v>5921</v>
      </c>
      <c r="BW133" s="464" t="s">
        <v>5921</v>
      </c>
      <c r="BX133" s="464" t="s">
        <v>5921</v>
      </c>
      <c r="BY133" s="464" t="s">
        <v>5921</v>
      </c>
      <c r="BZ133" s="464" t="s">
        <v>5921</v>
      </c>
      <c r="CA133" s="464" t="s">
        <v>5921</v>
      </c>
      <c r="CB133" s="464" t="s">
        <v>5921</v>
      </c>
      <c r="CC133" s="464" t="s">
        <v>5921</v>
      </c>
      <c r="CD133" s="464" t="s">
        <v>5921</v>
      </c>
      <c r="CE133" s="464" t="s">
        <v>5921</v>
      </c>
      <c r="CF133" s="464" t="s">
        <v>5921</v>
      </c>
      <c r="CG133" s="464">
        <v>9.0097920000000009</v>
      </c>
      <c r="CH133" s="464">
        <v>0.95471476497518459</v>
      </c>
      <c r="CI133" s="464">
        <v>0.89098629945578267</v>
      </c>
      <c r="CJ133" s="464">
        <v>1.9199704769417536</v>
      </c>
      <c r="CK133" s="464">
        <v>-1.7521858376341091</v>
      </c>
      <c r="CL133" s="464">
        <v>1097.2968368606696</v>
      </c>
      <c r="CM133" s="464" t="s">
        <v>2488</v>
      </c>
      <c r="CN133" s="464" t="s">
        <v>2489</v>
      </c>
      <c r="CO133" s="464">
        <v>-1.4149970769866913</v>
      </c>
      <c r="CP133" s="464">
        <v>234.26739157039037</v>
      </c>
      <c r="CQ133" s="464" t="s">
        <v>539</v>
      </c>
      <c r="CR133" s="464" t="s">
        <v>5921</v>
      </c>
      <c r="CS133" s="464">
        <v>22.763736545184553</v>
      </c>
      <c r="CT133" s="464">
        <v>10.563796490499708</v>
      </c>
      <c r="CU133" s="464">
        <v>1</v>
      </c>
      <c r="CV133" s="464" t="s">
        <v>5921</v>
      </c>
      <c r="CW133" s="464" t="s">
        <v>5921</v>
      </c>
    </row>
    <row r="134" spans="1:101" x14ac:dyDescent="0.2">
      <c r="A134" s="464">
        <v>1159</v>
      </c>
      <c r="B134" s="464" t="s">
        <v>1719</v>
      </c>
      <c r="C134" s="464" t="s">
        <v>6749</v>
      </c>
      <c r="D134" s="464" t="s">
        <v>1720</v>
      </c>
      <c r="E134" s="464">
        <v>123319</v>
      </c>
      <c r="F134" s="464" t="s">
        <v>1721</v>
      </c>
      <c r="G134" s="464" t="s">
        <v>1721</v>
      </c>
      <c r="H134" s="464" t="s">
        <v>1722</v>
      </c>
      <c r="I134" s="464" t="s">
        <v>1723</v>
      </c>
      <c r="J134" s="464" t="s">
        <v>5527</v>
      </c>
      <c r="K134" s="464" t="s">
        <v>6129</v>
      </c>
      <c r="L134" s="464" t="s">
        <v>6383</v>
      </c>
      <c r="M134" s="464" t="s">
        <v>5921</v>
      </c>
      <c r="N134" s="464" t="s">
        <v>5921</v>
      </c>
      <c r="O134" s="464" t="s">
        <v>6182</v>
      </c>
      <c r="P134" s="464" t="s">
        <v>6185</v>
      </c>
      <c r="Q134" s="464" t="s">
        <v>6176</v>
      </c>
      <c r="R134" s="464">
        <v>110.11</v>
      </c>
      <c r="S134" s="464">
        <v>72000</v>
      </c>
      <c r="T134" s="464">
        <v>129500.00000000001</v>
      </c>
      <c r="U134" s="464">
        <v>195806.34583938582</v>
      </c>
      <c r="V134" s="464">
        <v>195806.34583938582</v>
      </c>
      <c r="W134" s="464">
        <v>5.04</v>
      </c>
      <c r="X134" s="464">
        <v>1.03</v>
      </c>
      <c r="Y134" s="464">
        <v>0.59</v>
      </c>
      <c r="Z134" s="464">
        <v>0.48</v>
      </c>
      <c r="AA134" s="464">
        <v>0.82310000000000005</v>
      </c>
      <c r="AB134" s="464">
        <v>0.53</v>
      </c>
      <c r="AC134" s="464">
        <v>0.64</v>
      </c>
      <c r="AD134" s="464">
        <v>0.59</v>
      </c>
      <c r="AE134" s="464">
        <v>1.1200000000000001</v>
      </c>
      <c r="AF134" s="464">
        <v>5.8299999999999995E-11</v>
      </c>
      <c r="AG134" s="464">
        <v>4.7300000000000001E-11</v>
      </c>
      <c r="AH134" s="464">
        <v>-8.622897771553637</v>
      </c>
      <c r="AI134" s="464">
        <v>-8.71370518557484</v>
      </c>
      <c r="AJ134" s="464">
        <v>-8.71370518557484</v>
      </c>
      <c r="AK134" s="464">
        <v>-10.688190000000001</v>
      </c>
      <c r="AL134" s="464">
        <v>-8.7899999999999991</v>
      </c>
      <c r="AM134" s="464">
        <v>10.33</v>
      </c>
      <c r="AN134" s="464" t="s">
        <v>5921</v>
      </c>
      <c r="AO134" s="464" t="s">
        <v>6311</v>
      </c>
      <c r="AP134" s="464" t="s">
        <v>6311</v>
      </c>
      <c r="AQ134" s="464" t="s">
        <v>5921</v>
      </c>
      <c r="AR134" s="464" t="s">
        <v>266</v>
      </c>
      <c r="AS134" s="464" t="s">
        <v>8465</v>
      </c>
      <c r="AT134" s="464" t="s">
        <v>8450</v>
      </c>
      <c r="AU134" s="464" t="s">
        <v>8466</v>
      </c>
      <c r="AV134" s="464" t="s">
        <v>8451</v>
      </c>
      <c r="AW134" s="464" t="s">
        <v>8727</v>
      </c>
      <c r="AX134" s="464" t="s">
        <v>1563</v>
      </c>
      <c r="AY134" s="464" t="s">
        <v>8467</v>
      </c>
      <c r="AZ134" s="464" t="s">
        <v>2485</v>
      </c>
      <c r="BA134" s="464" t="s">
        <v>8726</v>
      </c>
      <c r="BB134" s="464" t="s">
        <v>8374</v>
      </c>
      <c r="BC134" s="464" t="s">
        <v>2449</v>
      </c>
      <c r="BD134" s="464" t="s">
        <v>272</v>
      </c>
      <c r="BE134" s="464" t="s">
        <v>272</v>
      </c>
      <c r="BF134" s="464" t="s">
        <v>2486</v>
      </c>
      <c r="BG134" s="464">
        <v>7.0470400000000001E-4</v>
      </c>
      <c r="BH134" s="464">
        <v>7.04704</v>
      </c>
      <c r="BI134" s="464" t="s">
        <v>5921</v>
      </c>
      <c r="BJ134" s="464">
        <v>672.33196967807544</v>
      </c>
      <c r="BK134" s="464" t="s">
        <v>5921</v>
      </c>
      <c r="BL134" s="464" t="s">
        <v>5921</v>
      </c>
      <c r="BM134" s="464" t="s">
        <v>5921</v>
      </c>
      <c r="BN134" s="464" t="s">
        <v>5921</v>
      </c>
      <c r="BO134" s="464" t="s">
        <v>5921</v>
      </c>
      <c r="BP134" s="464">
        <v>0.13983970000000001</v>
      </c>
      <c r="BQ134" s="464" t="s">
        <v>5921</v>
      </c>
      <c r="BR134" s="464" t="s">
        <v>5921</v>
      </c>
      <c r="BS134" s="464" t="s">
        <v>5921</v>
      </c>
      <c r="BT134" s="464" t="s">
        <v>5921</v>
      </c>
      <c r="BU134" s="464" t="s">
        <v>5921</v>
      </c>
      <c r="BV134" s="464" t="s">
        <v>5921</v>
      </c>
      <c r="BW134" s="464" t="s">
        <v>5921</v>
      </c>
      <c r="BX134" s="464" t="s">
        <v>5921</v>
      </c>
      <c r="BY134" s="464" t="s">
        <v>5921</v>
      </c>
      <c r="BZ134" s="464" t="s">
        <v>5921</v>
      </c>
      <c r="CA134" s="464" t="s">
        <v>5921</v>
      </c>
      <c r="CB134" s="464" t="s">
        <v>5921</v>
      </c>
      <c r="CC134" s="464" t="s">
        <v>5921</v>
      </c>
      <c r="CD134" s="464" t="s">
        <v>5921</v>
      </c>
      <c r="CE134" s="464" t="s">
        <v>5921</v>
      </c>
      <c r="CF134" s="464" t="s">
        <v>5921</v>
      </c>
      <c r="CG134" s="464">
        <v>0.13983970000000001</v>
      </c>
      <c r="CH134" s="464">
        <v>-0.85436951640649939</v>
      </c>
      <c r="CI134" s="464">
        <v>95.406293944418564</v>
      </c>
      <c r="CJ134" s="464">
        <v>4807.8762302699115</v>
      </c>
      <c r="CK134" s="464">
        <v>-1.3585258894959005</v>
      </c>
      <c r="CL134" s="464">
        <v>160.89132420091326</v>
      </c>
      <c r="CM134" s="464" t="s">
        <v>2488</v>
      </c>
      <c r="CN134" s="464" t="s">
        <v>2489</v>
      </c>
      <c r="CO134" s="464">
        <v>-0.72603946632645011</v>
      </c>
      <c r="CP134" s="464">
        <v>0.74416621614985967</v>
      </c>
      <c r="CQ134" s="464" t="s">
        <v>539</v>
      </c>
      <c r="CR134" s="464" t="s">
        <v>5921</v>
      </c>
      <c r="CS134" s="464">
        <v>1400220.0079046637</v>
      </c>
      <c r="CT134" s="464">
        <v>27785.615781858174</v>
      </c>
      <c r="CU134" s="464">
        <v>1</v>
      </c>
      <c r="CV134" s="464" t="s">
        <v>5921</v>
      </c>
      <c r="CW134" s="464" t="s">
        <v>6351</v>
      </c>
    </row>
    <row r="135" spans="1:101" x14ac:dyDescent="0.2">
      <c r="A135" s="464">
        <v>1162</v>
      </c>
      <c r="B135" s="464" t="s">
        <v>1266</v>
      </c>
      <c r="C135" s="464" t="s">
        <v>6518</v>
      </c>
      <c r="D135" s="464" t="s">
        <v>1267</v>
      </c>
      <c r="E135" s="464">
        <v>35554440</v>
      </c>
      <c r="F135" s="464" t="s">
        <v>1268</v>
      </c>
      <c r="G135" s="464" t="s">
        <v>8314</v>
      </c>
      <c r="H135" s="464" t="s">
        <v>1269</v>
      </c>
      <c r="I135" s="464" t="s">
        <v>1270</v>
      </c>
      <c r="J135" s="464" t="s">
        <v>5990</v>
      </c>
      <c r="K135" s="464" t="s">
        <v>2342</v>
      </c>
      <c r="L135" s="464" t="s">
        <v>2342</v>
      </c>
      <c r="M135" s="464" t="s">
        <v>5921</v>
      </c>
      <c r="N135" s="464" t="s">
        <v>5921</v>
      </c>
      <c r="O135" s="464" t="s">
        <v>5921</v>
      </c>
      <c r="P135" s="464" t="s">
        <v>5921</v>
      </c>
      <c r="Q135" s="464" t="s">
        <v>5921</v>
      </c>
      <c r="R135" s="464">
        <v>297.18</v>
      </c>
      <c r="S135" s="464">
        <v>180</v>
      </c>
      <c r="T135" s="464">
        <v>6.9700000000000006</v>
      </c>
      <c r="U135" s="464">
        <v>205.59832793768933</v>
      </c>
      <c r="V135" s="464">
        <v>205.59832793768933</v>
      </c>
      <c r="W135" s="464">
        <v>8.7899999999999991</v>
      </c>
      <c r="X135" s="464">
        <v>4.0999999999999996</v>
      </c>
      <c r="Y135" s="464">
        <v>3.82</v>
      </c>
      <c r="Z135" s="464">
        <v>4.1399999999999997</v>
      </c>
      <c r="AA135" s="464">
        <v>0.87649999999999995</v>
      </c>
      <c r="AB135" s="464">
        <v>4.03</v>
      </c>
      <c r="AC135" s="464">
        <v>3.58</v>
      </c>
      <c r="AD135" s="464">
        <v>3.82</v>
      </c>
      <c r="AE135" s="464">
        <v>3.69</v>
      </c>
      <c r="AF135" s="464">
        <v>7.2499999999999994E-8</v>
      </c>
      <c r="AG135" s="464">
        <v>2.5899999999999999E-9</v>
      </c>
      <c r="AH135" s="464">
        <v>-5.5282283197416584</v>
      </c>
      <c r="AI135" s="464">
        <v>-6.9752665622313996</v>
      </c>
      <c r="AJ135" s="464">
        <v>-6.9752665622313996</v>
      </c>
      <c r="AK135" s="464">
        <v>-11.007019999999999</v>
      </c>
      <c r="AL135" s="464">
        <v>-7.54</v>
      </c>
      <c r="AM135" s="464" t="s">
        <v>5921</v>
      </c>
      <c r="AN135" s="464">
        <v>6.74</v>
      </c>
      <c r="AO135" s="464" t="s">
        <v>6311</v>
      </c>
      <c r="AP135" s="464" t="s">
        <v>6311</v>
      </c>
      <c r="AQ135" s="464" t="s">
        <v>5921</v>
      </c>
      <c r="AR135" s="464" t="s">
        <v>266</v>
      </c>
      <c r="AS135" s="464" t="s">
        <v>8465</v>
      </c>
      <c r="AT135" s="464" t="s">
        <v>8450</v>
      </c>
      <c r="AU135" s="464" t="s">
        <v>8466</v>
      </c>
      <c r="AV135" s="464" t="s">
        <v>8451</v>
      </c>
      <c r="AW135" s="464" t="s">
        <v>8727</v>
      </c>
      <c r="AX135" s="464" t="s">
        <v>1563</v>
      </c>
      <c r="AY135" s="464" t="s">
        <v>8467</v>
      </c>
      <c r="AZ135" s="464" t="s">
        <v>2485</v>
      </c>
      <c r="BA135" s="464" t="s">
        <v>8726</v>
      </c>
      <c r="BB135" s="464" t="s">
        <v>8374</v>
      </c>
      <c r="BC135" s="464" t="s">
        <v>2449</v>
      </c>
      <c r="BD135" s="464" t="s">
        <v>272</v>
      </c>
      <c r="BE135" s="464" t="s">
        <v>272</v>
      </c>
      <c r="BF135" s="464" t="s">
        <v>2486</v>
      </c>
      <c r="BG135" s="464">
        <v>1.9019519999999999E-3</v>
      </c>
      <c r="BH135" s="464">
        <v>19.01952</v>
      </c>
      <c r="BI135" s="464" t="s">
        <v>5921</v>
      </c>
      <c r="BJ135" s="464">
        <v>3.1740194107978934</v>
      </c>
      <c r="BK135" s="464" t="s">
        <v>5921</v>
      </c>
      <c r="BL135" s="464" t="s">
        <v>5921</v>
      </c>
      <c r="BM135" s="464" t="s">
        <v>5921</v>
      </c>
      <c r="BN135" s="464" t="s">
        <v>5921</v>
      </c>
      <c r="BO135" s="464" t="s">
        <v>5921</v>
      </c>
      <c r="BP135" s="464">
        <v>6.0145003217754001</v>
      </c>
      <c r="BQ135" s="464" t="s">
        <v>5921</v>
      </c>
      <c r="BR135" s="464" t="s">
        <v>5921</v>
      </c>
      <c r="BS135" s="464" t="s">
        <v>5921</v>
      </c>
      <c r="BT135" s="464" t="s">
        <v>5921</v>
      </c>
      <c r="BU135" s="464" t="s">
        <v>5921</v>
      </c>
      <c r="BV135" s="464" t="s">
        <v>5921</v>
      </c>
      <c r="BW135" s="464" t="s">
        <v>5921</v>
      </c>
      <c r="BX135" s="464" t="s">
        <v>5921</v>
      </c>
      <c r="BY135" s="464" t="s">
        <v>5921</v>
      </c>
      <c r="BZ135" s="464" t="s">
        <v>5921</v>
      </c>
      <c r="CA135" s="464" t="s">
        <v>5921</v>
      </c>
      <c r="CB135" s="464" t="s">
        <v>5921</v>
      </c>
      <c r="CC135" s="464" t="s">
        <v>5921</v>
      </c>
      <c r="CD135" s="464" t="s">
        <v>5921</v>
      </c>
      <c r="CE135" s="464" t="s">
        <v>5921</v>
      </c>
      <c r="CF135" s="464" t="s">
        <v>5921</v>
      </c>
      <c r="CG135" s="464">
        <v>6.0145003217754001</v>
      </c>
      <c r="CH135" s="464">
        <v>0.77919955245561479</v>
      </c>
      <c r="CI135" s="464">
        <v>0.16688220369377846</v>
      </c>
      <c r="CJ135" s="464">
        <v>0.52772786449215203</v>
      </c>
      <c r="CK135" s="464">
        <v>0.23564585552946926</v>
      </c>
      <c r="CL135" s="464">
        <v>11.054871450204228</v>
      </c>
      <c r="CM135" s="464" t="s">
        <v>2488</v>
      </c>
      <c r="CN135" s="464" t="s">
        <v>2489</v>
      </c>
      <c r="CO135" s="464">
        <v>0.3574215355818956</v>
      </c>
      <c r="CP135" s="464">
        <v>2.6410584747405275</v>
      </c>
      <c r="CQ135" s="464" t="s">
        <v>539</v>
      </c>
      <c r="CR135" s="464" t="s">
        <v>5921</v>
      </c>
      <c r="CS135" s="464">
        <v>34.183775365897638</v>
      </c>
      <c r="CT135" s="464">
        <v>10.809858920608372</v>
      </c>
      <c r="CU135" s="464">
        <v>1</v>
      </c>
      <c r="CV135" s="464" t="s">
        <v>5921</v>
      </c>
      <c r="CW135" s="464" t="s">
        <v>5921</v>
      </c>
    </row>
    <row r="136" spans="1:101" x14ac:dyDescent="0.2">
      <c r="A136" s="464">
        <v>1187</v>
      </c>
      <c r="B136" s="464" t="s">
        <v>1302</v>
      </c>
      <c r="C136" s="464" t="s">
        <v>6504</v>
      </c>
      <c r="D136" s="464" t="s">
        <v>1303</v>
      </c>
      <c r="E136" s="464">
        <v>6317186</v>
      </c>
      <c r="F136" s="464" t="s">
        <v>1304</v>
      </c>
      <c r="G136" s="464" t="s">
        <v>5921</v>
      </c>
      <c r="H136" s="464" t="s">
        <v>1305</v>
      </c>
      <c r="I136" s="464" t="s">
        <v>1306</v>
      </c>
      <c r="J136" s="464" t="s">
        <v>5998</v>
      </c>
      <c r="K136" s="464" t="s">
        <v>6088</v>
      </c>
      <c r="L136" s="464" t="s">
        <v>6088</v>
      </c>
      <c r="M136" s="464" t="s">
        <v>6083</v>
      </c>
      <c r="N136" s="464" t="s">
        <v>8470</v>
      </c>
      <c r="O136" s="464" t="s">
        <v>6173</v>
      </c>
      <c r="P136" s="464" t="s">
        <v>8448</v>
      </c>
      <c r="Q136" s="464" t="s">
        <v>6173</v>
      </c>
      <c r="R136" s="464">
        <v>130.19</v>
      </c>
      <c r="S136" s="464" t="s">
        <v>5921</v>
      </c>
      <c r="T136" s="464">
        <v>27170</v>
      </c>
      <c r="U136" s="464">
        <v>27834.128443229551</v>
      </c>
      <c r="V136" s="464">
        <v>27834.128443229551</v>
      </c>
      <c r="W136" s="464">
        <v>7</v>
      </c>
      <c r="X136" s="464">
        <v>0.62</v>
      </c>
      <c r="Y136" s="464" t="s">
        <v>5921</v>
      </c>
      <c r="Z136" s="464">
        <v>0.81</v>
      </c>
      <c r="AA136" s="464">
        <v>0.60450000000000004</v>
      </c>
      <c r="AB136" s="464">
        <v>0.8</v>
      </c>
      <c r="AC136" s="464">
        <v>0.8</v>
      </c>
      <c r="AD136" s="464">
        <v>0.8</v>
      </c>
      <c r="AE136" s="464">
        <v>1.36</v>
      </c>
      <c r="AF136" s="464">
        <v>2.6099999999999999E-8</v>
      </c>
      <c r="AG136" s="464" t="s">
        <v>5921</v>
      </c>
      <c r="AH136" s="464">
        <v>-5.9719258189743707</v>
      </c>
      <c r="AI136" s="464" t="s">
        <v>5921</v>
      </c>
      <c r="AJ136" s="464">
        <v>-5.9719258189743707</v>
      </c>
      <c r="AK136" s="464">
        <v>-8.0618999999999996</v>
      </c>
      <c r="AL136" s="464">
        <v>-11.9</v>
      </c>
      <c r="AM136" s="464" t="s">
        <v>5921</v>
      </c>
      <c r="AN136" s="464" t="s">
        <v>5921</v>
      </c>
      <c r="AO136" s="464" t="s">
        <v>6311</v>
      </c>
      <c r="AP136" s="464" t="s">
        <v>6311</v>
      </c>
      <c r="AQ136" s="464" t="s">
        <v>5921</v>
      </c>
      <c r="AR136" s="464" t="s">
        <v>266</v>
      </c>
      <c r="AS136" s="464" t="s">
        <v>8465</v>
      </c>
      <c r="AT136" s="464" t="s">
        <v>8450</v>
      </c>
      <c r="AU136" s="464" t="s">
        <v>8466</v>
      </c>
      <c r="AV136" s="464" t="s">
        <v>8451</v>
      </c>
      <c r="AW136" s="464" t="s">
        <v>8727</v>
      </c>
      <c r="AX136" s="464" t="s">
        <v>1563</v>
      </c>
      <c r="AY136" s="464" t="s">
        <v>8467</v>
      </c>
      <c r="AZ136" s="464" t="s">
        <v>2485</v>
      </c>
      <c r="BA136" s="464" t="s">
        <v>8726</v>
      </c>
      <c r="BB136" s="464" t="s">
        <v>8374</v>
      </c>
      <c r="BC136" s="464" t="s">
        <v>2449</v>
      </c>
      <c r="BD136" s="464" t="s">
        <v>272</v>
      </c>
      <c r="BE136" s="464" t="s">
        <v>272</v>
      </c>
      <c r="BF136" s="464" t="s">
        <v>2486</v>
      </c>
      <c r="BG136" s="464">
        <v>8.332159999999999E-4</v>
      </c>
      <c r="BH136" s="464">
        <v>8.33216</v>
      </c>
      <c r="BI136" s="464" t="s">
        <v>5921</v>
      </c>
      <c r="BJ136" s="464">
        <v>1855.9045094121504</v>
      </c>
      <c r="BK136" s="464" t="s">
        <v>5921</v>
      </c>
      <c r="BL136" s="464" t="s">
        <v>5921</v>
      </c>
      <c r="BM136" s="464" t="s">
        <v>5921</v>
      </c>
      <c r="BN136" s="464" t="s">
        <v>5921</v>
      </c>
      <c r="BO136" s="464" t="s">
        <v>5921</v>
      </c>
      <c r="BP136" s="464">
        <v>1.5102039999999999</v>
      </c>
      <c r="BQ136" s="464" t="s">
        <v>5921</v>
      </c>
      <c r="BR136" s="464" t="s">
        <v>5921</v>
      </c>
      <c r="BS136" s="464" t="s">
        <v>5921</v>
      </c>
      <c r="BT136" s="464" t="s">
        <v>5921</v>
      </c>
      <c r="BU136" s="464" t="s">
        <v>5921</v>
      </c>
      <c r="BV136" s="464" t="s">
        <v>5921</v>
      </c>
      <c r="BW136" s="464" t="s">
        <v>5921</v>
      </c>
      <c r="BX136" s="464" t="s">
        <v>5921</v>
      </c>
      <c r="BY136" s="464" t="s">
        <v>5921</v>
      </c>
      <c r="BZ136" s="464" t="s">
        <v>5921</v>
      </c>
      <c r="CA136" s="464" t="s">
        <v>5921</v>
      </c>
      <c r="CB136" s="464" t="s">
        <v>5921</v>
      </c>
      <c r="CC136" s="464" t="s">
        <v>5921</v>
      </c>
      <c r="CD136" s="464" t="s">
        <v>5921</v>
      </c>
      <c r="CE136" s="464" t="s">
        <v>5921</v>
      </c>
      <c r="CF136" s="464" t="s">
        <v>5921</v>
      </c>
      <c r="CG136" s="464">
        <v>1.5102039999999999</v>
      </c>
      <c r="CH136" s="464">
        <v>0.17903561622708447</v>
      </c>
      <c r="CI136" s="464">
        <v>222.73990290778747</v>
      </c>
      <c r="CJ136" s="464">
        <v>1228.9098091464136</v>
      </c>
      <c r="CK136" s="464">
        <v>-0.78272648563652059</v>
      </c>
      <c r="CL136" s="464">
        <v>50.522413222368058</v>
      </c>
      <c r="CM136" s="464" t="s">
        <v>2488</v>
      </c>
      <c r="CN136" s="464" t="s">
        <v>2489</v>
      </c>
      <c r="CO136" s="464">
        <v>-0.4374264429082072</v>
      </c>
      <c r="CP136" s="464">
        <v>4.1348718967306697</v>
      </c>
      <c r="CQ136" s="464" t="s">
        <v>539</v>
      </c>
      <c r="CR136" s="464" t="s">
        <v>5921</v>
      </c>
      <c r="CS136" s="464">
        <v>18430.707668122686</v>
      </c>
      <c r="CT136" s="464">
        <v>3340.5657648472366</v>
      </c>
      <c r="CU136" s="464">
        <v>1</v>
      </c>
      <c r="CV136" s="464" t="s">
        <v>5921</v>
      </c>
      <c r="CW136" s="464" t="s">
        <v>5921</v>
      </c>
    </row>
    <row r="137" spans="1:101" x14ac:dyDescent="0.2">
      <c r="A137" s="464">
        <v>1217</v>
      </c>
      <c r="B137" s="464" t="s">
        <v>3359</v>
      </c>
      <c r="C137" s="464" t="s">
        <v>6460</v>
      </c>
      <c r="D137" s="464" t="s">
        <v>3360</v>
      </c>
      <c r="E137" s="464">
        <v>101542</v>
      </c>
      <c r="F137" s="464" t="s">
        <v>3361</v>
      </c>
      <c r="G137" s="464" t="s">
        <v>3361</v>
      </c>
      <c r="H137" s="464" t="s">
        <v>3362</v>
      </c>
      <c r="I137" s="464" t="s">
        <v>1573</v>
      </c>
      <c r="J137" s="464" t="s">
        <v>5921</v>
      </c>
      <c r="K137" s="464" t="s">
        <v>6616</v>
      </c>
      <c r="L137" s="464" t="s">
        <v>6082</v>
      </c>
      <c r="M137" s="464" t="s">
        <v>5921</v>
      </c>
      <c r="N137" s="464" t="s">
        <v>8470</v>
      </c>
      <c r="O137" s="464" t="s">
        <v>6173</v>
      </c>
      <c r="P137" s="464" t="s">
        <v>8448</v>
      </c>
      <c r="Q137" s="464" t="s">
        <v>6173</v>
      </c>
      <c r="R137" s="464">
        <v>184.24</v>
      </c>
      <c r="S137" s="464" t="s">
        <v>5921</v>
      </c>
      <c r="T137" s="464">
        <v>1453</v>
      </c>
      <c r="U137" s="464">
        <v>531.35396413604553</v>
      </c>
      <c r="V137" s="464">
        <v>531.35396413604553</v>
      </c>
      <c r="W137" s="464">
        <v>8.17</v>
      </c>
      <c r="X137" s="464">
        <v>1.82</v>
      </c>
      <c r="Y137" s="464" t="s">
        <v>5921</v>
      </c>
      <c r="Z137" s="464">
        <v>2.06</v>
      </c>
      <c r="AA137" s="464">
        <v>0.78690000000000004</v>
      </c>
      <c r="AB137" s="464">
        <v>1.82</v>
      </c>
      <c r="AC137" s="464">
        <v>1.29</v>
      </c>
      <c r="AD137" s="464">
        <v>1.82</v>
      </c>
      <c r="AE137" s="464">
        <v>2.52</v>
      </c>
      <c r="AF137" s="464">
        <v>3.7100000000000001E-10</v>
      </c>
      <c r="AG137" s="464" t="s">
        <v>5921</v>
      </c>
      <c r="AH137" s="464">
        <v>-7.8191924166976063</v>
      </c>
      <c r="AI137" s="464" t="s">
        <v>5921</v>
      </c>
      <c r="AJ137" s="464">
        <v>-7.8191924166976063</v>
      </c>
      <c r="AK137" s="464">
        <v>-11.753459999999999</v>
      </c>
      <c r="AL137" s="464">
        <v>-7.23</v>
      </c>
      <c r="AM137" s="464" t="s">
        <v>5921</v>
      </c>
      <c r="AN137" s="464">
        <v>5.2</v>
      </c>
      <c r="AO137" s="464" t="s">
        <v>6311</v>
      </c>
      <c r="AP137" s="464" t="s">
        <v>6311</v>
      </c>
      <c r="AQ137" s="464" t="s">
        <v>5921</v>
      </c>
      <c r="AR137" s="464" t="s">
        <v>266</v>
      </c>
      <c r="AS137" s="464" t="s">
        <v>8465</v>
      </c>
      <c r="AT137" s="464" t="s">
        <v>8450</v>
      </c>
      <c r="AU137" s="464" t="s">
        <v>8466</v>
      </c>
      <c r="AV137" s="464" t="s">
        <v>8451</v>
      </c>
      <c r="AW137" s="464" t="s">
        <v>8727</v>
      </c>
      <c r="AX137" s="464" t="s">
        <v>1563</v>
      </c>
      <c r="AY137" s="464" t="s">
        <v>8467</v>
      </c>
      <c r="AZ137" s="464" t="s">
        <v>2485</v>
      </c>
      <c r="BA137" s="464" t="s">
        <v>8726</v>
      </c>
      <c r="BB137" s="464" t="s">
        <v>8374</v>
      </c>
      <c r="BC137" s="464" t="s">
        <v>2449</v>
      </c>
      <c r="BD137" s="464" t="s">
        <v>272</v>
      </c>
      <c r="BE137" s="464" t="s">
        <v>272</v>
      </c>
      <c r="BF137" s="464" t="s">
        <v>2486</v>
      </c>
      <c r="BG137" s="464">
        <v>1.1791359999999999E-3</v>
      </c>
      <c r="BH137" s="464">
        <v>11.791360000000001</v>
      </c>
      <c r="BI137" s="464" t="s">
        <v>5921</v>
      </c>
      <c r="BJ137" s="464">
        <v>219.60484879926156</v>
      </c>
      <c r="BK137" s="464" t="s">
        <v>5921</v>
      </c>
      <c r="BL137" s="464" t="s">
        <v>5921</v>
      </c>
      <c r="BM137" s="464" t="s">
        <v>5921</v>
      </c>
      <c r="BN137" s="464" t="s">
        <v>5921</v>
      </c>
      <c r="BO137" s="464" t="s">
        <v>5921</v>
      </c>
      <c r="BP137" s="464">
        <v>3.7287554264800002</v>
      </c>
      <c r="BQ137" s="464" t="s">
        <v>5921</v>
      </c>
      <c r="BR137" s="464" t="s">
        <v>5921</v>
      </c>
      <c r="BS137" s="464" t="s">
        <v>5921</v>
      </c>
      <c r="BT137" s="464" t="s">
        <v>5921</v>
      </c>
      <c r="BU137" s="464" t="s">
        <v>5921</v>
      </c>
      <c r="BV137" s="464" t="s">
        <v>5921</v>
      </c>
      <c r="BW137" s="464" t="s">
        <v>5921</v>
      </c>
      <c r="BX137" s="464" t="s">
        <v>5921</v>
      </c>
      <c r="BY137" s="464" t="s">
        <v>5921</v>
      </c>
      <c r="BZ137" s="464" t="s">
        <v>5921</v>
      </c>
      <c r="CA137" s="464" t="s">
        <v>5921</v>
      </c>
      <c r="CB137" s="464" t="s">
        <v>5921</v>
      </c>
      <c r="CC137" s="464" t="s">
        <v>5921</v>
      </c>
      <c r="CD137" s="464" t="s">
        <v>5921</v>
      </c>
      <c r="CE137" s="464" t="s">
        <v>5921</v>
      </c>
      <c r="CF137" s="464" t="s">
        <v>5921</v>
      </c>
      <c r="CG137" s="464">
        <v>3.7287554264800002</v>
      </c>
      <c r="CH137" s="464">
        <v>0.57156389840192745</v>
      </c>
      <c r="CI137" s="464">
        <v>18.624217121626476</v>
      </c>
      <c r="CJ137" s="464">
        <v>58.894945814821583</v>
      </c>
      <c r="CK137" s="464" t="s">
        <v>5921</v>
      </c>
      <c r="CL137" s="464" t="s">
        <v>5921</v>
      </c>
      <c r="CM137" s="464" t="s">
        <v>2488</v>
      </c>
      <c r="CN137" s="464" t="s">
        <v>2489</v>
      </c>
      <c r="CO137" s="464">
        <v>-0.16749108729376366</v>
      </c>
      <c r="CP137" s="464">
        <v>5.4834638624705896</v>
      </c>
      <c r="CQ137" s="464" t="s">
        <v>539</v>
      </c>
      <c r="CR137" s="464" t="s">
        <v>5921</v>
      </c>
      <c r="CS137" s="464">
        <v>142.50169382593469</v>
      </c>
      <c r="CT137" s="464">
        <v>45.062992236353182</v>
      </c>
      <c r="CU137" s="464">
        <v>1</v>
      </c>
      <c r="CV137" s="464" t="s">
        <v>5921</v>
      </c>
      <c r="CW137" s="464" t="s">
        <v>6351</v>
      </c>
    </row>
    <row r="138" spans="1:101" x14ac:dyDescent="0.2">
      <c r="A138" s="464">
        <v>1222</v>
      </c>
      <c r="B138" s="464" t="s">
        <v>3374</v>
      </c>
      <c r="C138" s="464" t="s">
        <v>6751</v>
      </c>
      <c r="D138" s="464" t="s">
        <v>3375</v>
      </c>
      <c r="E138" s="464">
        <v>26530201</v>
      </c>
      <c r="F138" s="464" t="s">
        <v>3376</v>
      </c>
      <c r="G138" s="464" t="s">
        <v>3376</v>
      </c>
      <c r="H138" s="464" t="s">
        <v>3377</v>
      </c>
      <c r="I138" s="464" t="s">
        <v>3378</v>
      </c>
      <c r="J138" s="464" t="s">
        <v>5929</v>
      </c>
      <c r="K138" s="464" t="s">
        <v>6082</v>
      </c>
      <c r="L138" s="464" t="s">
        <v>6082</v>
      </c>
      <c r="M138" s="464" t="s">
        <v>6083</v>
      </c>
      <c r="N138" s="464" t="s">
        <v>5921</v>
      </c>
      <c r="O138" s="464" t="s">
        <v>5921</v>
      </c>
      <c r="P138" s="464" t="s">
        <v>5921</v>
      </c>
      <c r="Q138" s="464" t="s">
        <v>5921</v>
      </c>
      <c r="R138" s="464">
        <v>213.34</v>
      </c>
      <c r="S138" s="464">
        <v>500</v>
      </c>
      <c r="T138" s="464">
        <v>301.8</v>
      </c>
      <c r="U138" s="464">
        <v>69.035470769366867</v>
      </c>
      <c r="V138" s="464">
        <v>69.035470769366867</v>
      </c>
      <c r="W138" s="464">
        <v>7</v>
      </c>
      <c r="X138" s="464">
        <v>2.61</v>
      </c>
      <c r="Y138" s="464">
        <v>2.4500000000000002</v>
      </c>
      <c r="Z138" s="464">
        <v>2.74</v>
      </c>
      <c r="AA138" s="464">
        <v>0.78990000000000005</v>
      </c>
      <c r="AB138" s="464">
        <v>2.99</v>
      </c>
      <c r="AC138" s="464">
        <v>3.77</v>
      </c>
      <c r="AD138" s="464">
        <v>2.4500000000000002</v>
      </c>
      <c r="AE138" s="464">
        <v>3.78</v>
      </c>
      <c r="AF138" s="464">
        <v>3.5999999999999999E-7</v>
      </c>
      <c r="AG138" s="464">
        <v>2.07E-8</v>
      </c>
      <c r="AH138" s="464">
        <v>-4.8322638255453647</v>
      </c>
      <c r="AI138" s="464">
        <v>-6.0725959808557342</v>
      </c>
      <c r="AJ138" s="464">
        <v>-6.0725959808557342</v>
      </c>
      <c r="AK138" s="464">
        <v>-9.23611</v>
      </c>
      <c r="AL138" s="464">
        <v>-5.73</v>
      </c>
      <c r="AM138" s="464" t="s">
        <v>5921</v>
      </c>
      <c r="AN138" s="464">
        <v>-2.04</v>
      </c>
      <c r="AO138" s="464" t="s">
        <v>6311</v>
      </c>
      <c r="AP138" s="464" t="s">
        <v>6311</v>
      </c>
      <c r="AQ138" s="464" t="s">
        <v>5921</v>
      </c>
      <c r="AR138" s="464" t="s">
        <v>266</v>
      </c>
      <c r="AS138" s="464" t="s">
        <v>8465</v>
      </c>
      <c r="AT138" s="464" t="s">
        <v>8450</v>
      </c>
      <c r="AU138" s="464" t="s">
        <v>8466</v>
      </c>
      <c r="AV138" s="464" t="s">
        <v>8451</v>
      </c>
      <c r="AW138" s="464" t="s">
        <v>8727</v>
      </c>
      <c r="AX138" s="464" t="s">
        <v>1563</v>
      </c>
      <c r="AY138" s="464" t="s">
        <v>8467</v>
      </c>
      <c r="AZ138" s="464" t="s">
        <v>2485</v>
      </c>
      <c r="BA138" s="464" t="s">
        <v>8726</v>
      </c>
      <c r="BB138" s="464" t="s">
        <v>8374</v>
      </c>
      <c r="BC138" s="464" t="s">
        <v>2449</v>
      </c>
      <c r="BD138" s="464" t="s">
        <v>272</v>
      </c>
      <c r="BE138" s="464" t="s">
        <v>272</v>
      </c>
      <c r="BF138" s="464" t="s">
        <v>2486</v>
      </c>
      <c r="BG138" s="464">
        <v>1.365376E-3</v>
      </c>
      <c r="BH138" s="464">
        <v>13.65376</v>
      </c>
      <c r="BI138" s="464" t="s">
        <v>5921</v>
      </c>
      <c r="BJ138" s="464">
        <v>49.639944899049219</v>
      </c>
      <c r="BK138" s="464" t="s">
        <v>5921</v>
      </c>
      <c r="BL138" s="464" t="s">
        <v>5921</v>
      </c>
      <c r="BM138" s="464" t="s">
        <v>5921</v>
      </c>
      <c r="BN138" s="464" t="s">
        <v>5921</v>
      </c>
      <c r="BO138" s="464" t="s">
        <v>5921</v>
      </c>
      <c r="BP138" s="464">
        <v>0.24747440000000001</v>
      </c>
      <c r="BQ138" s="464" t="s">
        <v>5921</v>
      </c>
      <c r="BR138" s="464" t="s">
        <v>5921</v>
      </c>
      <c r="BS138" s="464" t="s">
        <v>5921</v>
      </c>
      <c r="BT138" s="464" t="s">
        <v>5921</v>
      </c>
      <c r="BU138" s="464" t="s">
        <v>5921</v>
      </c>
      <c r="BV138" s="464" t="s">
        <v>5921</v>
      </c>
      <c r="BW138" s="464" t="s">
        <v>5921</v>
      </c>
      <c r="BX138" s="464" t="s">
        <v>5921</v>
      </c>
      <c r="BY138" s="464" t="s">
        <v>5921</v>
      </c>
      <c r="BZ138" s="464" t="s">
        <v>5921</v>
      </c>
      <c r="CA138" s="464" t="s">
        <v>5921</v>
      </c>
      <c r="CB138" s="464" t="s">
        <v>5921</v>
      </c>
      <c r="CC138" s="464" t="s">
        <v>5921</v>
      </c>
      <c r="CD138" s="464" t="s">
        <v>5921</v>
      </c>
      <c r="CE138" s="464" t="s">
        <v>5921</v>
      </c>
      <c r="CF138" s="464" t="s">
        <v>5921</v>
      </c>
      <c r="CG138" s="464">
        <v>0.24747440000000001</v>
      </c>
      <c r="CH138" s="464">
        <v>-0.60646972001835076</v>
      </c>
      <c r="CI138" s="464">
        <v>3.6356245385190027</v>
      </c>
      <c r="CJ138" s="464">
        <v>200.58618143553119</v>
      </c>
      <c r="CK138" s="464">
        <v>-1.27089694591216</v>
      </c>
      <c r="CL138" s="464">
        <v>254.77054179474962</v>
      </c>
      <c r="CM138" s="464" t="s">
        <v>2488</v>
      </c>
      <c r="CN138" s="464" t="s">
        <v>2489</v>
      </c>
      <c r="CO138" s="464">
        <v>-0.98784489184893354</v>
      </c>
      <c r="CP138" s="464">
        <v>2.4064407424337393</v>
      </c>
      <c r="CQ138" s="464" t="s">
        <v>539</v>
      </c>
      <c r="CR138" s="464" t="s">
        <v>5921</v>
      </c>
      <c r="CS138" s="464">
        <v>278.96004907726564</v>
      </c>
      <c r="CT138" s="464">
        <v>5.0561508895254397</v>
      </c>
      <c r="CU138" s="464">
        <v>1</v>
      </c>
      <c r="CV138" s="464" t="s">
        <v>5921</v>
      </c>
      <c r="CW138" s="464" t="s">
        <v>5921</v>
      </c>
    </row>
    <row r="139" spans="1:101" x14ac:dyDescent="0.2">
      <c r="A139" s="464">
        <v>1240</v>
      </c>
      <c r="B139" s="464" t="s">
        <v>3413</v>
      </c>
      <c r="C139" s="464" t="s">
        <v>6777</v>
      </c>
      <c r="D139" s="464" t="s">
        <v>3414</v>
      </c>
      <c r="E139" s="464">
        <v>62384</v>
      </c>
      <c r="F139" s="464" t="s">
        <v>3415</v>
      </c>
      <c r="G139" s="464" t="s">
        <v>3415</v>
      </c>
      <c r="H139" s="464" t="s">
        <v>3416</v>
      </c>
      <c r="I139" s="464" t="s">
        <v>6387</v>
      </c>
      <c r="J139" s="464" t="s">
        <v>6136</v>
      </c>
      <c r="K139" s="464" t="s">
        <v>5960</v>
      </c>
      <c r="L139" s="464" t="s">
        <v>2342</v>
      </c>
      <c r="M139" s="464" t="s">
        <v>5921</v>
      </c>
      <c r="N139" s="464" t="s">
        <v>5921</v>
      </c>
      <c r="O139" s="464" t="s">
        <v>5921</v>
      </c>
      <c r="P139" s="464" t="s">
        <v>5921</v>
      </c>
      <c r="Q139" s="464" t="s">
        <v>5921</v>
      </c>
      <c r="R139" s="464">
        <v>336.74</v>
      </c>
      <c r="S139" s="464">
        <v>4370</v>
      </c>
      <c r="T139" s="464">
        <v>1843.0000000000002</v>
      </c>
      <c r="U139" s="464" t="s">
        <v>5921</v>
      </c>
      <c r="V139" s="464">
        <v>1843.0000000000002</v>
      </c>
      <c r="W139" s="464" t="s">
        <v>5921</v>
      </c>
      <c r="X139" s="464">
        <v>0.89</v>
      </c>
      <c r="Y139" s="464">
        <v>0.71</v>
      </c>
      <c r="Z139" s="464" t="s">
        <v>5921</v>
      </c>
      <c r="AA139" s="464" t="s">
        <v>5921</v>
      </c>
      <c r="AB139" s="464" t="s">
        <v>5921</v>
      </c>
      <c r="AC139" s="464" t="s">
        <v>5921</v>
      </c>
      <c r="AD139" s="464">
        <v>0.71</v>
      </c>
      <c r="AE139" s="464" t="s">
        <v>5921</v>
      </c>
      <c r="AF139" s="464">
        <v>5.8700000000000004E-10</v>
      </c>
      <c r="AG139" s="464">
        <v>5.6600000000000001E-10</v>
      </c>
      <c r="AH139" s="464">
        <v>-7.6199282250650375</v>
      </c>
      <c r="AI139" s="464">
        <v>-7.6357498951243805</v>
      </c>
      <c r="AJ139" s="464">
        <v>-7.6357498951243805</v>
      </c>
      <c r="AK139" s="464" t="s">
        <v>5921</v>
      </c>
      <c r="AL139" s="464" t="s">
        <v>5921</v>
      </c>
      <c r="AM139" s="464" t="s">
        <v>5921</v>
      </c>
      <c r="AN139" s="464" t="s">
        <v>5921</v>
      </c>
      <c r="AO139" s="464" t="s">
        <v>6311</v>
      </c>
      <c r="AP139" s="464" t="s">
        <v>6311</v>
      </c>
      <c r="AQ139" s="464" t="s">
        <v>5921</v>
      </c>
      <c r="AR139" s="464" t="s">
        <v>266</v>
      </c>
      <c r="AS139" s="464" t="s">
        <v>8465</v>
      </c>
      <c r="AT139" s="464" t="s">
        <v>8450</v>
      </c>
      <c r="AU139" s="464" t="s">
        <v>8466</v>
      </c>
      <c r="AV139" s="464" t="s">
        <v>8451</v>
      </c>
      <c r="AW139" s="464" t="s">
        <v>8727</v>
      </c>
      <c r="AX139" s="464" t="s">
        <v>1563</v>
      </c>
      <c r="AY139" s="464" t="s">
        <v>8467</v>
      </c>
      <c r="AZ139" s="464" t="s">
        <v>2485</v>
      </c>
      <c r="BA139" s="464" t="s">
        <v>8726</v>
      </c>
      <c r="BB139" s="464" t="s">
        <v>8374</v>
      </c>
      <c r="BC139" s="464" t="s">
        <v>2449</v>
      </c>
      <c r="BD139" s="464" t="s">
        <v>272</v>
      </c>
      <c r="BE139" s="464" t="s">
        <v>272</v>
      </c>
      <c r="BF139" s="464" t="s">
        <v>2486</v>
      </c>
      <c r="BG139" s="464">
        <v>2.1551359999999998E-3</v>
      </c>
      <c r="BH139" s="464">
        <v>21.551360000000003</v>
      </c>
      <c r="BI139" s="464" t="s">
        <v>5921</v>
      </c>
      <c r="BJ139" s="464">
        <v>2746.5386035515758</v>
      </c>
      <c r="BK139" s="464" t="s">
        <v>5921</v>
      </c>
      <c r="BL139" s="464">
        <v>68.151384189799998</v>
      </c>
      <c r="BM139" s="464" t="s">
        <v>5921</v>
      </c>
      <c r="BN139" s="464" t="s">
        <v>5921</v>
      </c>
      <c r="BO139" s="464" t="s">
        <v>5921</v>
      </c>
      <c r="BP139" s="464">
        <v>3.8051620000000001E-2</v>
      </c>
      <c r="BQ139" s="464" t="s">
        <v>5921</v>
      </c>
      <c r="BR139" s="464" t="s">
        <v>5921</v>
      </c>
      <c r="BS139" s="464" t="s">
        <v>5921</v>
      </c>
      <c r="BT139" s="464" t="s">
        <v>5921</v>
      </c>
      <c r="BU139" s="464" t="s">
        <v>5921</v>
      </c>
      <c r="BV139" s="464" t="s">
        <v>5921</v>
      </c>
      <c r="BW139" s="464" t="s">
        <v>5921</v>
      </c>
      <c r="BX139" s="464" t="s">
        <v>5921</v>
      </c>
      <c r="BY139" s="464" t="s">
        <v>5921</v>
      </c>
      <c r="BZ139" s="464" t="s">
        <v>5921</v>
      </c>
      <c r="CA139" s="464" t="s">
        <v>5921</v>
      </c>
      <c r="CB139" s="464" t="s">
        <v>5921</v>
      </c>
      <c r="CC139" s="464" t="s">
        <v>5921</v>
      </c>
      <c r="CD139" s="464" t="s">
        <v>5921</v>
      </c>
      <c r="CE139" s="464" t="s">
        <v>5921</v>
      </c>
      <c r="CF139" s="464" t="s">
        <v>5921</v>
      </c>
      <c r="CG139" s="464">
        <v>3.8051620000000001E-2</v>
      </c>
      <c r="CH139" s="464">
        <v>-1.4196268489569053</v>
      </c>
      <c r="CI139" s="464">
        <v>127.44154445712824</v>
      </c>
      <c r="CJ139" s="464">
        <v>72179.281816426621</v>
      </c>
      <c r="CK139" s="464">
        <v>-2.0655015487564325</v>
      </c>
      <c r="CL139" s="464">
        <v>2505.9720930232593</v>
      </c>
      <c r="CM139" s="464" t="s">
        <v>2488</v>
      </c>
      <c r="CN139" s="464" t="s">
        <v>2489</v>
      </c>
      <c r="CO139" s="464">
        <v>-2.0655015487564321</v>
      </c>
      <c r="CP139" s="464">
        <v>4.4246069767441858</v>
      </c>
      <c r="CQ139" s="464" t="s">
        <v>539</v>
      </c>
      <c r="CR139" s="464" t="s">
        <v>5921</v>
      </c>
      <c r="CS139" s="464">
        <v>48434.20595496329</v>
      </c>
      <c r="CT139" s="464">
        <v>85.516644889232055</v>
      </c>
      <c r="CU139" s="464">
        <v>1</v>
      </c>
      <c r="CV139" s="464" t="s">
        <v>5921</v>
      </c>
      <c r="CW139" s="464" t="s">
        <v>5921</v>
      </c>
    </row>
    <row r="140" spans="1:101" x14ac:dyDescent="0.2">
      <c r="A140" s="464">
        <v>1258</v>
      </c>
      <c r="B140" s="464" t="s">
        <v>3455</v>
      </c>
      <c r="C140" s="464" t="s">
        <v>6454</v>
      </c>
      <c r="D140" s="464" t="s">
        <v>3456</v>
      </c>
      <c r="E140" s="464">
        <v>94133</v>
      </c>
      <c r="F140" s="464" t="s">
        <v>3457</v>
      </c>
      <c r="G140" s="464" t="s">
        <v>3457</v>
      </c>
      <c r="H140" s="464" t="s">
        <v>3458</v>
      </c>
      <c r="I140" s="464" t="s">
        <v>2962</v>
      </c>
      <c r="J140" s="464" t="s">
        <v>6626</v>
      </c>
      <c r="K140" s="464" t="s">
        <v>6616</v>
      </c>
      <c r="L140" s="464" t="s">
        <v>6082</v>
      </c>
      <c r="M140" s="464" t="s">
        <v>5921</v>
      </c>
      <c r="N140" s="464" t="s">
        <v>5921</v>
      </c>
      <c r="O140" s="464" t="s">
        <v>6173</v>
      </c>
      <c r="P140" s="464" t="s">
        <v>6174</v>
      </c>
      <c r="Q140" s="464" t="s">
        <v>6176</v>
      </c>
      <c r="R140" s="464">
        <v>180.2</v>
      </c>
      <c r="S140" s="464">
        <v>500</v>
      </c>
      <c r="T140" s="464">
        <v>529.29999999999995</v>
      </c>
      <c r="U140" s="464">
        <v>1136.985134753307</v>
      </c>
      <c r="V140" s="464">
        <v>1136.985134753307</v>
      </c>
      <c r="W140" s="464">
        <v>5.21</v>
      </c>
      <c r="X140" s="464">
        <v>2.98</v>
      </c>
      <c r="Y140" s="464">
        <v>3.04</v>
      </c>
      <c r="Z140" s="464">
        <v>2.85</v>
      </c>
      <c r="AA140" s="464">
        <v>0.84709999999999996</v>
      </c>
      <c r="AB140" s="464">
        <v>2.87</v>
      </c>
      <c r="AC140" s="464">
        <v>2.93</v>
      </c>
      <c r="AD140" s="464">
        <v>3.04</v>
      </c>
      <c r="AE140" s="464">
        <v>2.16</v>
      </c>
      <c r="AF140" s="464">
        <v>6.3700000000000001E-9</v>
      </c>
      <c r="AG140" s="464" t="s">
        <v>5921</v>
      </c>
      <c r="AH140" s="464">
        <v>-6.5844268939773016</v>
      </c>
      <c r="AI140" s="464" t="s">
        <v>5921</v>
      </c>
      <c r="AJ140" s="464">
        <v>-6.5844268939773016</v>
      </c>
      <c r="AK140" s="464">
        <v>-10.316300000000002</v>
      </c>
      <c r="AL140" s="464">
        <v>-6.86</v>
      </c>
      <c r="AM140" s="464">
        <v>8.23</v>
      </c>
      <c r="AN140" s="464" t="s">
        <v>5921</v>
      </c>
      <c r="AO140" s="464" t="s">
        <v>6311</v>
      </c>
      <c r="AP140" s="464" t="s">
        <v>6312</v>
      </c>
      <c r="AQ140" s="464" t="s">
        <v>5921</v>
      </c>
      <c r="AR140" s="464" t="s">
        <v>266</v>
      </c>
      <c r="AS140" s="464" t="s">
        <v>8465</v>
      </c>
      <c r="AT140" s="464" t="s">
        <v>8450</v>
      </c>
      <c r="AU140" s="464" t="s">
        <v>8466</v>
      </c>
      <c r="AV140" s="464" t="s">
        <v>8451</v>
      </c>
      <c r="AW140" s="464" t="s">
        <v>8727</v>
      </c>
      <c r="AX140" s="464" t="s">
        <v>1563</v>
      </c>
      <c r="AY140" s="464" t="s">
        <v>8467</v>
      </c>
      <c r="AZ140" s="464" t="s">
        <v>2485</v>
      </c>
      <c r="BA140" s="464" t="s">
        <v>8726</v>
      </c>
      <c r="BB140" s="464" t="s">
        <v>8374</v>
      </c>
      <c r="BC140" s="464" t="s">
        <v>2449</v>
      </c>
      <c r="BD140" s="464" t="s">
        <v>272</v>
      </c>
      <c r="BE140" s="464" t="s">
        <v>272</v>
      </c>
      <c r="BF140" s="464" t="s">
        <v>2486</v>
      </c>
      <c r="BG140" s="464">
        <v>1.1532799999999998E-3</v>
      </c>
      <c r="BH140" s="464">
        <v>11.5328</v>
      </c>
      <c r="BI140" s="464" t="s">
        <v>5921</v>
      </c>
      <c r="BJ140" s="464">
        <v>19.508181460497777</v>
      </c>
      <c r="BK140" s="464" t="s">
        <v>5921</v>
      </c>
      <c r="BL140" s="464" t="s">
        <v>5921</v>
      </c>
      <c r="BM140" s="464" t="s">
        <v>5921</v>
      </c>
      <c r="BN140" s="464" t="s">
        <v>5921</v>
      </c>
      <c r="BO140" s="464" t="s">
        <v>5921</v>
      </c>
      <c r="BP140" s="464">
        <v>3.6469915754</v>
      </c>
      <c r="BQ140" s="464" t="s">
        <v>5921</v>
      </c>
      <c r="BR140" s="464" t="s">
        <v>5921</v>
      </c>
      <c r="BS140" s="464" t="s">
        <v>5921</v>
      </c>
      <c r="BT140" s="464" t="s">
        <v>5921</v>
      </c>
      <c r="BU140" s="464" t="s">
        <v>5921</v>
      </c>
      <c r="BV140" s="464" t="s">
        <v>5921</v>
      </c>
      <c r="BW140" s="464" t="s">
        <v>5921</v>
      </c>
      <c r="BX140" s="464" t="s">
        <v>5921</v>
      </c>
      <c r="BY140" s="464" t="s">
        <v>5921</v>
      </c>
      <c r="BZ140" s="464" t="s">
        <v>5921</v>
      </c>
      <c r="CA140" s="464" t="s">
        <v>5921</v>
      </c>
      <c r="CB140" s="464" t="s">
        <v>5921</v>
      </c>
      <c r="CC140" s="464" t="s">
        <v>5921</v>
      </c>
      <c r="CD140" s="464" t="s">
        <v>5921</v>
      </c>
      <c r="CE140" s="464" t="s">
        <v>5921</v>
      </c>
      <c r="CF140" s="464" t="s">
        <v>5921</v>
      </c>
      <c r="CG140" s="464">
        <v>3.6469915754</v>
      </c>
      <c r="CH140" s="464">
        <v>0.56193476008879695</v>
      </c>
      <c r="CI140" s="464">
        <v>1.691539041732951</v>
      </c>
      <c r="CJ140" s="464">
        <v>5.3491161296028302</v>
      </c>
      <c r="CK140" s="464" t="s">
        <v>5921</v>
      </c>
      <c r="CL140" s="464" t="s">
        <v>5921</v>
      </c>
      <c r="CM140" s="464" t="s">
        <v>2488</v>
      </c>
      <c r="CN140" s="464" t="s">
        <v>2489</v>
      </c>
      <c r="CO140" s="464">
        <v>0.8061799739838873</v>
      </c>
      <c r="CP140" s="464">
        <v>0.56984243365624987</v>
      </c>
      <c r="CQ140" s="464" t="s">
        <v>539</v>
      </c>
      <c r="CR140" s="464" t="s">
        <v>5921</v>
      </c>
      <c r="CS140" s="464">
        <v>311.75973710018872</v>
      </c>
      <c r="CT140" s="464">
        <v>98.587085075030089</v>
      </c>
      <c r="CU140" s="464">
        <v>1</v>
      </c>
      <c r="CV140" s="464" t="s">
        <v>5921</v>
      </c>
      <c r="CW140" s="464" t="s">
        <v>6351</v>
      </c>
    </row>
    <row r="141" spans="1:101" x14ac:dyDescent="0.2">
      <c r="A141" s="464">
        <v>1259</v>
      </c>
      <c r="B141" s="464" t="s">
        <v>1423</v>
      </c>
      <c r="C141" s="464" t="s">
        <v>6590</v>
      </c>
      <c r="D141" s="464" t="s">
        <v>1424</v>
      </c>
      <c r="E141" s="464">
        <v>175013180</v>
      </c>
      <c r="F141" s="464" t="s">
        <v>1425</v>
      </c>
      <c r="G141" s="464" t="s">
        <v>7895</v>
      </c>
      <c r="H141" s="464" t="s">
        <v>1426</v>
      </c>
      <c r="I141" s="464" t="s">
        <v>1427</v>
      </c>
      <c r="J141" s="464" t="s">
        <v>6090</v>
      </c>
      <c r="K141" s="464" t="s">
        <v>6082</v>
      </c>
      <c r="L141" s="464" t="s">
        <v>6082</v>
      </c>
      <c r="M141" s="464" t="s">
        <v>6083</v>
      </c>
      <c r="N141" s="464" t="s">
        <v>5921</v>
      </c>
      <c r="O141" s="464" t="s">
        <v>5921</v>
      </c>
      <c r="P141" s="464" t="s">
        <v>5921</v>
      </c>
      <c r="Q141" s="464" t="s">
        <v>5921</v>
      </c>
      <c r="R141" s="464">
        <v>387.82</v>
      </c>
      <c r="S141" s="464" t="s">
        <v>5921</v>
      </c>
      <c r="T141" s="464">
        <v>1.425</v>
      </c>
      <c r="U141" s="464">
        <v>2.621984995165183</v>
      </c>
      <c r="V141" s="464">
        <v>2.621984995165183</v>
      </c>
      <c r="W141" s="464">
        <v>7</v>
      </c>
      <c r="X141" s="464">
        <v>5.45</v>
      </c>
      <c r="Y141" s="464">
        <v>3.99</v>
      </c>
      <c r="Z141" s="464">
        <v>3.95</v>
      </c>
      <c r="AA141" s="464">
        <v>0.61850000000000005</v>
      </c>
      <c r="AB141" s="464">
        <v>4.07</v>
      </c>
      <c r="AC141" s="464">
        <v>4.25</v>
      </c>
      <c r="AD141" s="464">
        <v>3.99</v>
      </c>
      <c r="AE141" s="464">
        <v>4.0199999999999996</v>
      </c>
      <c r="AF141" s="464">
        <v>1.15E-15</v>
      </c>
      <c r="AG141" s="464" t="s">
        <v>5921</v>
      </c>
      <c r="AH141" s="464">
        <v>-13.327868485959041</v>
      </c>
      <c r="AI141" s="464" t="s">
        <v>5921</v>
      </c>
      <c r="AJ141" s="464">
        <v>-13.327868485959041</v>
      </c>
      <c r="AK141" s="464">
        <v>-18.93666</v>
      </c>
      <c r="AL141" s="464">
        <v>-9.9600000000000009</v>
      </c>
      <c r="AM141" s="464" t="s">
        <v>5921</v>
      </c>
      <c r="AN141" s="464">
        <v>-0.23</v>
      </c>
      <c r="AO141" s="464" t="s">
        <v>6311</v>
      </c>
      <c r="AP141" s="464" t="s">
        <v>6311</v>
      </c>
      <c r="AQ141" s="464" t="s">
        <v>5921</v>
      </c>
      <c r="AR141" s="464" t="s">
        <v>266</v>
      </c>
      <c r="AS141" s="464" t="s">
        <v>8465</v>
      </c>
      <c r="AT141" s="464" t="s">
        <v>8450</v>
      </c>
      <c r="AU141" s="464" t="s">
        <v>8466</v>
      </c>
      <c r="AV141" s="464" t="s">
        <v>8451</v>
      </c>
      <c r="AW141" s="464" t="s">
        <v>8727</v>
      </c>
      <c r="AX141" s="464" t="s">
        <v>1563</v>
      </c>
      <c r="AY141" s="464" t="s">
        <v>8467</v>
      </c>
      <c r="AZ141" s="464" t="s">
        <v>2485</v>
      </c>
      <c r="BA141" s="464" t="s">
        <v>8726</v>
      </c>
      <c r="BB141" s="464" t="s">
        <v>8374</v>
      </c>
      <c r="BC141" s="464" t="s">
        <v>2449</v>
      </c>
      <c r="BD141" s="464" t="s">
        <v>272</v>
      </c>
      <c r="BE141" s="464" t="s">
        <v>272</v>
      </c>
      <c r="BF141" s="464" t="s">
        <v>2486</v>
      </c>
      <c r="BG141" s="464">
        <v>2.4820479999999997E-3</v>
      </c>
      <c r="BH141" s="464">
        <v>24.82048</v>
      </c>
      <c r="BI141" s="464" t="s">
        <v>5921</v>
      </c>
      <c r="BJ141" s="464">
        <v>0.25397162750242946</v>
      </c>
      <c r="BK141" s="464" t="s">
        <v>5921</v>
      </c>
      <c r="BL141" s="464" t="s">
        <v>5921</v>
      </c>
      <c r="BM141" s="464" t="s">
        <v>5921</v>
      </c>
      <c r="BN141" s="464" t="s">
        <v>5921</v>
      </c>
      <c r="BO141" s="464" t="s">
        <v>5921</v>
      </c>
      <c r="BP141" s="464">
        <v>0.19313435999999998</v>
      </c>
      <c r="BQ141" s="464" t="s">
        <v>5921</v>
      </c>
      <c r="BR141" s="464" t="s">
        <v>5921</v>
      </c>
      <c r="BS141" s="464" t="s">
        <v>5921</v>
      </c>
      <c r="BT141" s="464" t="s">
        <v>5921</v>
      </c>
      <c r="BU141" s="464" t="s">
        <v>5921</v>
      </c>
      <c r="BV141" s="464" t="s">
        <v>5921</v>
      </c>
      <c r="BW141" s="464" t="s">
        <v>5921</v>
      </c>
      <c r="BX141" s="464" t="s">
        <v>5921</v>
      </c>
      <c r="BY141" s="464" t="s">
        <v>5921</v>
      </c>
      <c r="BZ141" s="464" t="s">
        <v>5921</v>
      </c>
      <c r="CA141" s="464" t="s">
        <v>5921</v>
      </c>
      <c r="CB141" s="464" t="s">
        <v>5921</v>
      </c>
      <c r="CC141" s="464" t="s">
        <v>5921</v>
      </c>
      <c r="CD141" s="464" t="s">
        <v>5921</v>
      </c>
      <c r="CE141" s="464" t="s">
        <v>5921</v>
      </c>
      <c r="CF141" s="464" t="s">
        <v>5921</v>
      </c>
      <c r="CG141" s="464">
        <v>0.19313435999999998</v>
      </c>
      <c r="CH141" s="464">
        <v>-0.71414045521634995</v>
      </c>
      <c r="CI141" s="464">
        <v>1.0232341497925483E-2</v>
      </c>
      <c r="CJ141" s="464">
        <v>1.314999710576769</v>
      </c>
      <c r="CK141" s="464">
        <v>-2.2076083105017461</v>
      </c>
      <c r="CL141" s="464">
        <v>4003.303225806455</v>
      </c>
      <c r="CM141" s="464" t="s">
        <v>2488</v>
      </c>
      <c r="CN141" s="464" t="s">
        <v>2489</v>
      </c>
      <c r="CO141" s="464">
        <v>-2.0753517295826369</v>
      </c>
      <c r="CP141" s="464">
        <v>22.97265943839464</v>
      </c>
      <c r="CQ141" s="464" t="s">
        <v>539</v>
      </c>
      <c r="CR141" s="464" t="s">
        <v>5921</v>
      </c>
      <c r="CS141" s="464">
        <v>13.575963361284773</v>
      </c>
      <c r="CT141" s="464">
        <v>0.10563796490499712</v>
      </c>
      <c r="CU141" s="464">
        <v>1</v>
      </c>
      <c r="CV141" s="464" t="s">
        <v>5921</v>
      </c>
      <c r="CW141" s="464" t="s">
        <v>5921</v>
      </c>
    </row>
    <row r="142" spans="1:101" x14ac:dyDescent="0.2">
      <c r="A142" s="464">
        <v>1334</v>
      </c>
      <c r="B142" s="464" t="s">
        <v>6144</v>
      </c>
      <c r="C142" s="464" t="s">
        <v>6773</v>
      </c>
      <c r="D142" s="464" t="s">
        <v>1185</v>
      </c>
      <c r="E142" s="464">
        <v>76879</v>
      </c>
      <c r="F142" s="464" t="s">
        <v>1186</v>
      </c>
      <c r="G142" s="464" t="s">
        <v>1186</v>
      </c>
      <c r="H142" s="464" t="s">
        <v>1187</v>
      </c>
      <c r="I142" s="464" t="s">
        <v>403</v>
      </c>
      <c r="J142" s="464" t="s">
        <v>5929</v>
      </c>
      <c r="K142" s="464" t="s">
        <v>6079</v>
      </c>
      <c r="L142" s="464" t="s">
        <v>6381</v>
      </c>
      <c r="M142" s="464" t="s">
        <v>6083</v>
      </c>
      <c r="N142" s="464" t="s">
        <v>5921</v>
      </c>
      <c r="O142" s="464" t="s">
        <v>5921</v>
      </c>
      <c r="P142" s="464" t="s">
        <v>5921</v>
      </c>
      <c r="Q142" s="464" t="s">
        <v>5921</v>
      </c>
      <c r="R142" s="464">
        <v>367.01</v>
      </c>
      <c r="S142" s="464">
        <v>0.3999782034166145</v>
      </c>
      <c r="T142" s="464">
        <v>4.7207427458245919</v>
      </c>
      <c r="U142" s="464">
        <v>8.6035541751056446</v>
      </c>
      <c r="V142" s="464">
        <v>8.6035541751056446</v>
      </c>
      <c r="W142" s="464">
        <v>4.71</v>
      </c>
      <c r="X142" s="464">
        <v>3.47</v>
      </c>
      <c r="Y142" s="464">
        <v>3.53</v>
      </c>
      <c r="Z142" s="464">
        <v>2.85</v>
      </c>
      <c r="AA142" s="464">
        <v>0.71630000000000005</v>
      </c>
      <c r="AB142" s="464">
        <v>3.09</v>
      </c>
      <c r="AC142" s="464">
        <v>3.53</v>
      </c>
      <c r="AD142" s="464">
        <v>3.53</v>
      </c>
      <c r="AE142" s="464">
        <v>3.09</v>
      </c>
      <c r="AF142" s="464">
        <v>4.5900000000000001E-8</v>
      </c>
      <c r="AG142" s="464">
        <v>4.2599999999999998E-7</v>
      </c>
      <c r="AH142" s="464">
        <v>-5.7267536407753905</v>
      </c>
      <c r="AI142" s="464">
        <v>-4.7591567272099331</v>
      </c>
      <c r="AJ142" s="464">
        <v>-4.7591567272099331</v>
      </c>
      <c r="AK142" s="464">
        <v>-11.08738</v>
      </c>
      <c r="AL142" s="464">
        <v>-9.75</v>
      </c>
      <c r="AM142" s="464">
        <v>3.98</v>
      </c>
      <c r="AN142" s="464" t="s">
        <v>5921</v>
      </c>
      <c r="AO142" s="464" t="s">
        <v>6311</v>
      </c>
      <c r="AP142" s="464" t="s">
        <v>6311</v>
      </c>
      <c r="AQ142" s="464" t="s">
        <v>5921</v>
      </c>
      <c r="AR142" s="464" t="s">
        <v>266</v>
      </c>
      <c r="AS142" s="464" t="s">
        <v>8465</v>
      </c>
      <c r="AT142" s="464" t="s">
        <v>8450</v>
      </c>
      <c r="AU142" s="464" t="s">
        <v>8466</v>
      </c>
      <c r="AV142" s="464" t="s">
        <v>8451</v>
      </c>
      <c r="AW142" s="464" t="s">
        <v>8727</v>
      </c>
      <c r="AX142" s="464" t="s">
        <v>1563</v>
      </c>
      <c r="AY142" s="464" t="s">
        <v>8467</v>
      </c>
      <c r="AZ142" s="464" t="s">
        <v>2485</v>
      </c>
      <c r="BA142" s="464" t="s">
        <v>8726</v>
      </c>
      <c r="BB142" s="464" t="s">
        <v>8374</v>
      </c>
      <c r="BC142" s="464" t="s">
        <v>2449</v>
      </c>
      <c r="BD142" s="464" t="s">
        <v>272</v>
      </c>
      <c r="BE142" s="464" t="s">
        <v>272</v>
      </c>
      <c r="BF142" s="464" t="s">
        <v>2486</v>
      </c>
      <c r="BG142" s="464">
        <v>2.348864E-3</v>
      </c>
      <c r="BH142" s="464">
        <v>23.48864</v>
      </c>
      <c r="BI142" s="464" t="s">
        <v>5921</v>
      </c>
      <c r="BJ142" s="464">
        <v>14.423507932633294</v>
      </c>
      <c r="BK142" s="464" t="s">
        <v>5921</v>
      </c>
      <c r="BL142" s="464" t="s">
        <v>5921</v>
      </c>
      <c r="BM142" s="464" t="s">
        <v>5921</v>
      </c>
      <c r="BN142" s="464" t="s">
        <v>5921</v>
      </c>
      <c r="BO142" s="464" t="s">
        <v>5921</v>
      </c>
      <c r="BP142" s="464">
        <v>4.1105119999999995E-2</v>
      </c>
      <c r="BQ142" s="464" t="s">
        <v>5921</v>
      </c>
      <c r="BR142" s="464" t="s">
        <v>5921</v>
      </c>
      <c r="BS142" s="464" t="s">
        <v>5921</v>
      </c>
      <c r="BT142" s="464" t="s">
        <v>5921</v>
      </c>
      <c r="BU142" s="464" t="s">
        <v>5921</v>
      </c>
      <c r="BV142" s="464" t="s">
        <v>5921</v>
      </c>
      <c r="BW142" s="464" t="s">
        <v>5921</v>
      </c>
      <c r="BX142" s="464" t="s">
        <v>5921</v>
      </c>
      <c r="BY142" s="464" t="s">
        <v>5921</v>
      </c>
      <c r="BZ142" s="464" t="s">
        <v>5921</v>
      </c>
      <c r="CA142" s="464" t="s">
        <v>5921</v>
      </c>
      <c r="CB142" s="464" t="s">
        <v>5921</v>
      </c>
      <c r="CC142" s="464" t="s">
        <v>5921</v>
      </c>
      <c r="CD142" s="464" t="s">
        <v>5921</v>
      </c>
      <c r="CE142" s="464" t="s">
        <v>5921</v>
      </c>
      <c r="CF142" s="464" t="s">
        <v>5921</v>
      </c>
      <c r="CG142" s="464">
        <v>4.1105119999999995E-2</v>
      </c>
      <c r="CH142" s="464">
        <v>-1.3861040796018382</v>
      </c>
      <c r="CI142" s="464">
        <v>0.61406313573852267</v>
      </c>
      <c r="CJ142" s="464">
        <v>350.89322042201303</v>
      </c>
      <c r="CK142" s="464">
        <v>-1.7733963519469045</v>
      </c>
      <c r="CL142" s="464">
        <v>1393.9725561178898</v>
      </c>
      <c r="CM142" s="464" t="s">
        <v>2488</v>
      </c>
      <c r="CN142" s="464" t="s">
        <v>2489</v>
      </c>
      <c r="CO142" s="464">
        <v>-1.6417859970347155</v>
      </c>
      <c r="CP142" s="464">
        <v>1.8016976721862945</v>
      </c>
      <c r="CQ142" s="464" t="s">
        <v>539</v>
      </c>
      <c r="CR142" s="464" t="s">
        <v>5921</v>
      </c>
      <c r="CS142" s="464">
        <v>209.30614422499303</v>
      </c>
      <c r="CT142" s="464">
        <v>0.36628575239373778</v>
      </c>
      <c r="CU142" s="464">
        <v>1</v>
      </c>
      <c r="CV142" s="464" t="s">
        <v>5921</v>
      </c>
      <c r="CW142" s="464" t="s">
        <v>5921</v>
      </c>
    </row>
    <row r="143" spans="1:101" x14ac:dyDescent="0.2">
      <c r="A143" s="464">
        <v>1941</v>
      </c>
      <c r="B143" s="464" t="s">
        <v>5208</v>
      </c>
      <c r="C143" s="464" t="s">
        <v>6757</v>
      </c>
      <c r="D143" s="464" t="s">
        <v>5209</v>
      </c>
      <c r="E143" s="464">
        <v>85018</v>
      </c>
      <c r="F143" s="464" t="s">
        <v>5491</v>
      </c>
      <c r="G143" s="464" t="s">
        <v>7888</v>
      </c>
      <c r="H143" s="464" t="s">
        <v>5211</v>
      </c>
      <c r="I143" s="464" t="s">
        <v>426</v>
      </c>
      <c r="J143" s="464" t="s">
        <v>5492</v>
      </c>
      <c r="K143" s="464" t="s">
        <v>866</v>
      </c>
      <c r="L143" s="464" t="s">
        <v>6082</v>
      </c>
      <c r="M143" s="464" t="s">
        <v>6086</v>
      </c>
      <c r="N143" s="464" t="s">
        <v>5921</v>
      </c>
      <c r="O143" s="464" t="s">
        <v>5921</v>
      </c>
      <c r="P143" s="464" t="s">
        <v>5921</v>
      </c>
      <c r="Q143" s="464" t="s">
        <v>5921</v>
      </c>
      <c r="R143" s="464">
        <v>178.23</v>
      </c>
      <c r="S143" s="464">
        <v>1.1499999999999999</v>
      </c>
      <c r="T143" s="464">
        <v>0.67700000000000005</v>
      </c>
      <c r="U143" s="464">
        <v>0.45812164036289388</v>
      </c>
      <c r="V143" s="464">
        <v>0.45812164036289388</v>
      </c>
      <c r="W143" s="464">
        <v>7</v>
      </c>
      <c r="X143" s="464">
        <v>4.3499999999999996</v>
      </c>
      <c r="Y143" s="464">
        <v>4.46</v>
      </c>
      <c r="Z143" s="464">
        <v>4.72</v>
      </c>
      <c r="AA143" s="464">
        <v>0.88919999999999999</v>
      </c>
      <c r="AB143" s="464">
        <v>4.71</v>
      </c>
      <c r="AC143" s="464">
        <v>4.68</v>
      </c>
      <c r="AD143" s="464">
        <v>4.46</v>
      </c>
      <c r="AE143" s="464">
        <v>4.09</v>
      </c>
      <c r="AF143" s="464">
        <v>5.13E-5</v>
      </c>
      <c r="AG143" s="464">
        <v>4.2299999999999998E-5</v>
      </c>
      <c r="AH143" s="464">
        <v>-2.6784489612008358</v>
      </c>
      <c r="AI143" s="464">
        <v>-2.7622259589376097</v>
      </c>
      <c r="AJ143" s="464">
        <v>-2.7622259589376097</v>
      </c>
      <c r="AK143" s="464">
        <v>-6.7898499999999995</v>
      </c>
      <c r="AL143" s="464">
        <v>-2.7795000000000001</v>
      </c>
      <c r="AM143" s="464" t="s">
        <v>5921</v>
      </c>
      <c r="AN143" s="464" t="s">
        <v>5921</v>
      </c>
      <c r="AO143" s="464" t="s">
        <v>6311</v>
      </c>
      <c r="AP143" s="464" t="s">
        <v>6311</v>
      </c>
      <c r="AQ143" s="464" t="s">
        <v>5466</v>
      </c>
      <c r="AR143" s="464" t="s">
        <v>266</v>
      </c>
      <c r="AS143" s="464" t="s">
        <v>8444</v>
      </c>
      <c r="AT143" s="464" t="s">
        <v>8450</v>
      </c>
      <c r="AU143" s="464" t="s">
        <v>8450</v>
      </c>
      <c r="AV143" s="464" t="s">
        <v>8451</v>
      </c>
      <c r="AW143" s="464" t="s">
        <v>647</v>
      </c>
      <c r="AX143" s="464" t="s">
        <v>5921</v>
      </c>
      <c r="AY143" s="464" t="s">
        <v>8447</v>
      </c>
      <c r="AZ143" s="464" t="s">
        <v>5493</v>
      </c>
      <c r="BA143" s="464" t="s">
        <v>5494</v>
      </c>
      <c r="BB143" s="464" t="s">
        <v>5921</v>
      </c>
      <c r="BC143" s="464" t="s">
        <v>5495</v>
      </c>
      <c r="BD143" s="464" t="s">
        <v>5921</v>
      </c>
      <c r="BE143" s="464" t="s">
        <v>5921</v>
      </c>
      <c r="BF143" s="464" t="s">
        <v>5496</v>
      </c>
      <c r="BG143" s="464" t="s">
        <v>5921</v>
      </c>
      <c r="BH143" s="464" t="s">
        <v>5921</v>
      </c>
      <c r="BI143" s="464" t="s">
        <v>5497</v>
      </c>
      <c r="BJ143" s="464">
        <v>1.1351305369535005</v>
      </c>
      <c r="BK143" s="464" t="s">
        <v>5921</v>
      </c>
      <c r="BL143" s="464" t="s">
        <v>5921</v>
      </c>
      <c r="BM143" s="464" t="s">
        <v>5921</v>
      </c>
      <c r="BN143" s="464" t="s">
        <v>5921</v>
      </c>
      <c r="BO143" s="464" t="s">
        <v>5921</v>
      </c>
      <c r="BP143" s="464" t="s">
        <v>5921</v>
      </c>
      <c r="BQ143" s="464" t="s">
        <v>5921</v>
      </c>
      <c r="BR143" s="464">
        <v>0.15999992267999999</v>
      </c>
      <c r="BS143" s="464" t="s">
        <v>5921</v>
      </c>
      <c r="BT143" s="464" t="s">
        <v>5921</v>
      </c>
      <c r="BU143" s="464" t="s">
        <v>5921</v>
      </c>
      <c r="BV143" s="464" t="s">
        <v>5921</v>
      </c>
      <c r="BW143" s="464" t="s">
        <v>5921</v>
      </c>
      <c r="BX143" s="464" t="s">
        <v>5921</v>
      </c>
      <c r="BY143" s="464" t="s">
        <v>5921</v>
      </c>
      <c r="BZ143" s="464" t="s">
        <v>5921</v>
      </c>
      <c r="CA143" s="464" t="s">
        <v>5921</v>
      </c>
      <c r="CB143" s="464" t="s">
        <v>5921</v>
      </c>
      <c r="CC143" s="464" t="s">
        <v>5921</v>
      </c>
      <c r="CD143" s="464" t="s">
        <v>5921</v>
      </c>
      <c r="CE143" s="464" t="s">
        <v>5921</v>
      </c>
      <c r="CF143" s="464" t="s">
        <v>5921</v>
      </c>
      <c r="CG143" s="464">
        <v>0.15999992267999999</v>
      </c>
      <c r="CH143" s="464">
        <v>-0.7958802272169343</v>
      </c>
      <c r="CI143" s="464" t="s">
        <v>5921</v>
      </c>
      <c r="CJ143" s="464">
        <v>7.0945692844099852</v>
      </c>
      <c r="CK143" s="464">
        <v>-0.63078414258985727</v>
      </c>
      <c r="CL143" s="464" t="s">
        <v>5921</v>
      </c>
      <c r="CM143" s="464" t="s">
        <v>5921</v>
      </c>
      <c r="CN143" s="464" t="s">
        <v>5499</v>
      </c>
      <c r="CO143" s="464">
        <v>-0.18386763218074403</v>
      </c>
      <c r="CP143" s="464">
        <v>0.24433596914436684</v>
      </c>
      <c r="CQ143" s="464" t="s">
        <v>539</v>
      </c>
      <c r="CR143" s="464" t="s">
        <v>6310</v>
      </c>
      <c r="CS143" s="464">
        <v>2.8632616359392724</v>
      </c>
      <c r="CT143" s="464" t="s">
        <v>5921</v>
      </c>
      <c r="CU143" s="464">
        <v>1</v>
      </c>
      <c r="CV143" s="464" t="s">
        <v>539</v>
      </c>
      <c r="CW143" s="464" t="s">
        <v>5921</v>
      </c>
    </row>
    <row r="144" spans="1:101" x14ac:dyDescent="0.2">
      <c r="A144" s="464">
        <v>1944</v>
      </c>
      <c r="B144" s="464" t="s">
        <v>977</v>
      </c>
      <c r="C144" s="464" t="s">
        <v>6447</v>
      </c>
      <c r="D144" s="464" t="s">
        <v>978</v>
      </c>
      <c r="E144" s="464">
        <v>80057</v>
      </c>
      <c r="F144" s="464" t="s">
        <v>979</v>
      </c>
      <c r="G144" s="464" t="s">
        <v>979</v>
      </c>
      <c r="H144" s="464" t="s">
        <v>980</v>
      </c>
      <c r="I144" s="464" t="s">
        <v>376</v>
      </c>
      <c r="J144" s="464" t="s">
        <v>5492</v>
      </c>
      <c r="K144" s="464" t="s">
        <v>5510</v>
      </c>
      <c r="L144" s="464" t="s">
        <v>6386</v>
      </c>
      <c r="M144" s="464" t="s">
        <v>5511</v>
      </c>
      <c r="N144" s="464" t="s">
        <v>5921</v>
      </c>
      <c r="O144" s="464" t="s">
        <v>5921</v>
      </c>
      <c r="P144" s="464" t="s">
        <v>5921</v>
      </c>
      <c r="Q144" s="464" t="s">
        <v>5921</v>
      </c>
      <c r="R144" s="464">
        <v>228.29</v>
      </c>
      <c r="S144" s="464">
        <v>119.99999999999999</v>
      </c>
      <c r="T144" s="464">
        <v>172.7</v>
      </c>
      <c r="U144" s="464">
        <v>88.815116150744203</v>
      </c>
      <c r="V144" s="464">
        <v>88.815116150744203</v>
      </c>
      <c r="W144" s="464">
        <v>6.76</v>
      </c>
      <c r="X144" s="464">
        <v>3.64</v>
      </c>
      <c r="Y144" s="464">
        <v>3.32</v>
      </c>
      <c r="Z144" s="464">
        <v>3.73</v>
      </c>
      <c r="AA144" s="464">
        <v>0.77510000000000001</v>
      </c>
      <c r="AB144" s="464">
        <v>3.63</v>
      </c>
      <c r="AC144" s="464">
        <v>3.43</v>
      </c>
      <c r="AD144" s="464">
        <v>3.32</v>
      </c>
      <c r="AE144" s="464">
        <v>3.7</v>
      </c>
      <c r="AF144" s="464">
        <v>9.1600000000000006E-12</v>
      </c>
      <c r="AG144" s="464" t="s">
        <v>5921</v>
      </c>
      <c r="AH144" s="464">
        <v>-9.4266708526448006</v>
      </c>
      <c r="AI144" s="464" t="s">
        <v>5921</v>
      </c>
      <c r="AJ144" s="464">
        <v>-9.4266708526448006</v>
      </c>
      <c r="AK144" s="464">
        <v>-13.641390000000001</v>
      </c>
      <c r="AL144" s="464">
        <v>-10.218999999999999</v>
      </c>
      <c r="AM144" s="464">
        <v>10.29</v>
      </c>
      <c r="AN144" s="464" t="s">
        <v>5921</v>
      </c>
      <c r="AO144" s="464" t="s">
        <v>6311</v>
      </c>
      <c r="AP144" s="464" t="s">
        <v>6311</v>
      </c>
      <c r="AQ144" s="464" t="s">
        <v>5466</v>
      </c>
      <c r="AR144" s="464" t="s">
        <v>266</v>
      </c>
      <c r="AS144" s="464" t="s">
        <v>8444</v>
      </c>
      <c r="AT144" s="464" t="s">
        <v>8445</v>
      </c>
      <c r="AU144" s="464" t="s">
        <v>8445</v>
      </c>
      <c r="AV144" s="464" t="s">
        <v>8446</v>
      </c>
      <c r="AW144" s="464" t="s">
        <v>267</v>
      </c>
      <c r="AX144" s="464" t="s">
        <v>5921</v>
      </c>
      <c r="AY144" s="464" t="s">
        <v>8456</v>
      </c>
      <c r="AZ144" s="464" t="s">
        <v>5487</v>
      </c>
      <c r="BA144" s="464" t="s">
        <v>8726</v>
      </c>
      <c r="BB144" s="464" t="s">
        <v>8374</v>
      </c>
      <c r="BC144" s="464" t="s">
        <v>2449</v>
      </c>
      <c r="BD144" s="464" t="s">
        <v>5921</v>
      </c>
      <c r="BE144" s="464" t="s">
        <v>5921</v>
      </c>
      <c r="BF144" s="464" t="s">
        <v>5512</v>
      </c>
      <c r="BG144" s="464" t="s">
        <v>5921</v>
      </c>
      <c r="BH144" s="464" t="s">
        <v>5921</v>
      </c>
      <c r="BI144" s="464" t="s">
        <v>5921</v>
      </c>
      <c r="BJ144" s="464">
        <v>6.3125217586499822</v>
      </c>
      <c r="BK144" s="464" t="s">
        <v>5921</v>
      </c>
      <c r="BL144" s="464" t="s">
        <v>5921</v>
      </c>
      <c r="BM144" s="464" t="s">
        <v>5921</v>
      </c>
      <c r="BN144" s="464" t="s">
        <v>5921</v>
      </c>
      <c r="BO144" s="464">
        <v>8.0409999994699994</v>
      </c>
      <c r="BP144" s="464" t="s">
        <v>5921</v>
      </c>
      <c r="BQ144" s="464" t="s">
        <v>5921</v>
      </c>
      <c r="BR144" s="464" t="s">
        <v>5921</v>
      </c>
      <c r="BS144" s="464" t="s">
        <v>5921</v>
      </c>
      <c r="BT144" s="464" t="s">
        <v>5921</v>
      </c>
      <c r="BU144" s="464" t="s">
        <v>5921</v>
      </c>
      <c r="BV144" s="464" t="s">
        <v>5921</v>
      </c>
      <c r="BW144" s="464" t="s">
        <v>5921</v>
      </c>
      <c r="BX144" s="464" t="s">
        <v>5921</v>
      </c>
      <c r="BY144" s="464" t="s">
        <v>5921</v>
      </c>
      <c r="BZ144" s="464" t="s">
        <v>5921</v>
      </c>
      <c r="CA144" s="464" t="s">
        <v>5921</v>
      </c>
      <c r="CB144" s="464" t="s">
        <v>5921</v>
      </c>
      <c r="CC144" s="464" t="s">
        <v>5921</v>
      </c>
      <c r="CD144" s="464" t="s">
        <v>5921</v>
      </c>
      <c r="CE144" s="464" t="s">
        <v>5921</v>
      </c>
      <c r="CF144" s="464" t="s">
        <v>5921</v>
      </c>
      <c r="CG144" s="464">
        <v>8.0409999994699994</v>
      </c>
      <c r="CH144" s="464">
        <v>0.90531006208746012</v>
      </c>
      <c r="CI144" s="464" t="s">
        <v>5921</v>
      </c>
      <c r="CJ144" s="464">
        <v>0.78504188024699106</v>
      </c>
      <c r="CK144" s="464">
        <v>0.66742784480864559</v>
      </c>
      <c r="CL144" s="464" t="s">
        <v>5921</v>
      </c>
      <c r="CM144" s="464" t="s">
        <v>5921</v>
      </c>
      <c r="CN144" s="464" t="s">
        <v>5513</v>
      </c>
      <c r="CO144" s="464">
        <v>0.76399462909803484</v>
      </c>
      <c r="CP144" s="464">
        <v>1.384571643889587</v>
      </c>
      <c r="CQ144" s="464" t="s">
        <v>539</v>
      </c>
      <c r="CR144" s="464" t="s">
        <v>5921</v>
      </c>
      <c r="CS144" s="464">
        <v>11.045282447033728</v>
      </c>
      <c r="CT144" s="464" t="s">
        <v>5921</v>
      </c>
      <c r="CU144" s="464">
        <v>1</v>
      </c>
      <c r="CV144" s="464" t="s">
        <v>5921</v>
      </c>
      <c r="CW144" s="464" t="s">
        <v>6351</v>
      </c>
    </row>
    <row r="145" spans="1:101" x14ac:dyDescent="0.2">
      <c r="A145" s="464">
        <v>1957</v>
      </c>
      <c r="B145" s="464" t="s">
        <v>1631</v>
      </c>
      <c r="C145" s="464" t="s">
        <v>6462</v>
      </c>
      <c r="D145" s="464" t="s">
        <v>1632</v>
      </c>
      <c r="E145" s="464">
        <v>106478</v>
      </c>
      <c r="F145" s="464" t="s">
        <v>1633</v>
      </c>
      <c r="G145" s="464" t="s">
        <v>8029</v>
      </c>
      <c r="H145" s="464" t="s">
        <v>1634</v>
      </c>
      <c r="I145" s="464" t="s">
        <v>1573</v>
      </c>
      <c r="J145" s="464" t="s">
        <v>5527</v>
      </c>
      <c r="K145" s="464" t="s">
        <v>866</v>
      </c>
      <c r="L145" s="464" t="s">
        <v>6082</v>
      </c>
      <c r="M145" s="464" t="s">
        <v>6086</v>
      </c>
      <c r="N145" s="464" t="s">
        <v>6184</v>
      </c>
      <c r="O145" s="464" t="s">
        <v>6176</v>
      </c>
      <c r="P145" s="464" t="s">
        <v>6185</v>
      </c>
      <c r="Q145" s="464" t="s">
        <v>6176</v>
      </c>
      <c r="R145" s="464">
        <v>127.6</v>
      </c>
      <c r="S145" s="464">
        <v>3900</v>
      </c>
      <c r="T145" s="464">
        <v>2572</v>
      </c>
      <c r="U145" s="464">
        <v>1465.0440210300223</v>
      </c>
      <c r="V145" s="464">
        <v>1465.0440210300223</v>
      </c>
      <c r="W145" s="464">
        <v>8.02</v>
      </c>
      <c r="X145" s="464">
        <v>1.72</v>
      </c>
      <c r="Y145" s="464">
        <v>1.83</v>
      </c>
      <c r="Z145" s="464">
        <v>1.8</v>
      </c>
      <c r="AA145" s="464">
        <v>0.91020000000000001</v>
      </c>
      <c r="AB145" s="464">
        <v>1.79</v>
      </c>
      <c r="AC145" s="464">
        <v>1.76</v>
      </c>
      <c r="AD145" s="464">
        <v>1.83</v>
      </c>
      <c r="AE145" s="464">
        <v>1.8</v>
      </c>
      <c r="AF145" s="464">
        <v>1.4100000000000001E-6</v>
      </c>
      <c r="AG145" s="464">
        <v>1.1599999999999999E-6</v>
      </c>
      <c r="AH145" s="464">
        <v>-4.2393472136572719</v>
      </c>
      <c r="AI145" s="464">
        <v>-4.3241083370857334</v>
      </c>
      <c r="AJ145" s="464">
        <v>-4.3241083370857334</v>
      </c>
      <c r="AK145" s="464">
        <v>-6.9352299999999998</v>
      </c>
      <c r="AL145" s="464">
        <v>-4.1336000000000004</v>
      </c>
      <c r="AM145" s="464" t="s">
        <v>5921</v>
      </c>
      <c r="AN145" s="464">
        <v>3.97</v>
      </c>
      <c r="AO145" s="464" t="s">
        <v>6311</v>
      </c>
      <c r="AP145" s="464" t="s">
        <v>6311</v>
      </c>
      <c r="AQ145" s="464" t="s">
        <v>5466</v>
      </c>
      <c r="AR145" s="464" t="s">
        <v>266</v>
      </c>
      <c r="AS145" s="464" t="s">
        <v>8462</v>
      </c>
      <c r="AT145" s="464" t="s">
        <v>8445</v>
      </c>
      <c r="AU145" s="464" t="s">
        <v>8445</v>
      </c>
      <c r="AV145" s="464" t="s">
        <v>8463</v>
      </c>
      <c r="AW145" s="464" t="s">
        <v>267</v>
      </c>
      <c r="AX145" s="464" t="s">
        <v>1584</v>
      </c>
      <c r="AY145" s="464" t="s">
        <v>8456</v>
      </c>
      <c r="AZ145" s="464" t="s">
        <v>6229</v>
      </c>
      <c r="BA145" s="464" t="s">
        <v>6230</v>
      </c>
      <c r="BB145" s="464" t="s">
        <v>5921</v>
      </c>
      <c r="BC145" s="464" t="s">
        <v>6210</v>
      </c>
      <c r="BD145" s="464" t="s">
        <v>6203</v>
      </c>
      <c r="BE145" s="464" t="s">
        <v>6203</v>
      </c>
      <c r="BF145" s="464" t="s">
        <v>5921</v>
      </c>
      <c r="BG145" s="464">
        <v>0.05</v>
      </c>
      <c r="BH145" s="464">
        <v>50</v>
      </c>
      <c r="BI145" s="464" t="s">
        <v>5921</v>
      </c>
      <c r="BJ145" s="464">
        <v>187.03318708177929</v>
      </c>
      <c r="BK145" s="464" t="s">
        <v>5921</v>
      </c>
      <c r="BL145" s="464" t="s">
        <v>5921</v>
      </c>
      <c r="BM145" s="464" t="s">
        <v>5921</v>
      </c>
      <c r="BN145" s="464" t="s">
        <v>5921</v>
      </c>
      <c r="BO145" s="464">
        <v>44.021999999999991</v>
      </c>
      <c r="BP145" s="464" t="s">
        <v>5921</v>
      </c>
      <c r="BQ145" s="464" t="s">
        <v>5921</v>
      </c>
      <c r="BR145" s="464" t="s">
        <v>5921</v>
      </c>
      <c r="BS145" s="464" t="s">
        <v>5921</v>
      </c>
      <c r="BT145" s="464" t="s">
        <v>5921</v>
      </c>
      <c r="BU145" s="464" t="s">
        <v>5921</v>
      </c>
      <c r="BV145" s="464" t="s">
        <v>5921</v>
      </c>
      <c r="BW145" s="464" t="s">
        <v>5921</v>
      </c>
      <c r="BX145" s="464" t="s">
        <v>5921</v>
      </c>
      <c r="BY145" s="464" t="s">
        <v>5921</v>
      </c>
      <c r="BZ145" s="464" t="s">
        <v>5921</v>
      </c>
      <c r="CA145" s="464" t="s">
        <v>5921</v>
      </c>
      <c r="CB145" s="464" t="s">
        <v>5921</v>
      </c>
      <c r="CC145" s="464" t="s">
        <v>5921</v>
      </c>
      <c r="CD145" s="464" t="s">
        <v>5921</v>
      </c>
      <c r="CE145" s="464" t="s">
        <v>5921</v>
      </c>
      <c r="CF145" s="464" t="s">
        <v>5921</v>
      </c>
      <c r="CG145" s="464">
        <v>44.021999999999991</v>
      </c>
      <c r="CH145" s="464">
        <v>1.6436697694584175</v>
      </c>
      <c r="CI145" s="464">
        <v>3.7406637416355859</v>
      </c>
      <c r="CJ145" s="464">
        <v>4.2486299368901763</v>
      </c>
      <c r="CK145" s="464">
        <v>0.38031336056975623</v>
      </c>
      <c r="CL145" s="464">
        <v>20.828435214211083</v>
      </c>
      <c r="CM145" s="464" t="s">
        <v>5921</v>
      </c>
      <c r="CN145" s="464" t="s">
        <v>8481</v>
      </c>
      <c r="CO145" s="464">
        <v>1.2387924988193562</v>
      </c>
      <c r="CP145" s="464">
        <v>2.5402547413347278</v>
      </c>
      <c r="CQ145" s="464" t="s">
        <v>539</v>
      </c>
      <c r="CR145" s="464" t="s">
        <v>5921</v>
      </c>
      <c r="CS145" s="464">
        <v>33.279815115851683</v>
      </c>
      <c r="CT145" s="464">
        <v>29.300880420600446</v>
      </c>
      <c r="CU145" s="464">
        <v>1</v>
      </c>
      <c r="CV145" s="464" t="s">
        <v>539</v>
      </c>
      <c r="CW145" s="464" t="s">
        <v>6351</v>
      </c>
    </row>
    <row r="146" spans="1:101" x14ac:dyDescent="0.2">
      <c r="A146" s="464">
        <v>1960</v>
      </c>
      <c r="B146" s="464" t="s">
        <v>4580</v>
      </c>
      <c r="C146" s="464" t="s">
        <v>6445</v>
      </c>
      <c r="D146" s="464" t="s">
        <v>4581</v>
      </c>
      <c r="E146" s="464">
        <v>79061</v>
      </c>
      <c r="F146" s="464" t="s">
        <v>4582</v>
      </c>
      <c r="G146" s="464" t="s">
        <v>4582</v>
      </c>
      <c r="H146" s="464" t="s">
        <v>4583</v>
      </c>
      <c r="I146" s="464" t="s">
        <v>3832</v>
      </c>
      <c r="J146" s="464" t="s">
        <v>5527</v>
      </c>
      <c r="K146" s="464" t="s">
        <v>4294</v>
      </c>
      <c r="L146" s="464" t="s">
        <v>6088</v>
      </c>
      <c r="M146" s="464" t="s">
        <v>498</v>
      </c>
      <c r="N146" s="464" t="s">
        <v>5921</v>
      </c>
      <c r="O146" s="464" t="s">
        <v>6176</v>
      </c>
      <c r="P146" s="464" t="s">
        <v>6175</v>
      </c>
      <c r="Q146" s="464" t="s">
        <v>6173</v>
      </c>
      <c r="R146" s="464">
        <v>71.08</v>
      </c>
      <c r="S146" s="464">
        <v>390000</v>
      </c>
      <c r="T146" s="464">
        <v>504000</v>
      </c>
      <c r="U146" s="464">
        <v>36454.187174106213</v>
      </c>
      <c r="V146" s="464">
        <v>36454.187174106213</v>
      </c>
      <c r="W146" s="464">
        <v>7.01</v>
      </c>
      <c r="X146" s="464">
        <v>-0.81</v>
      </c>
      <c r="Y146" s="464">
        <v>-0.67</v>
      </c>
      <c r="Z146" s="464">
        <v>-0.64</v>
      </c>
      <c r="AA146" s="464">
        <v>0.87749999999999995</v>
      </c>
      <c r="AB146" s="464">
        <v>-0.67</v>
      </c>
      <c r="AC146" s="464">
        <v>-0.78</v>
      </c>
      <c r="AD146" s="464">
        <v>-0.67</v>
      </c>
      <c r="AE146" s="464">
        <v>-0.25</v>
      </c>
      <c r="AF146" s="464">
        <v>5.8999999999999999E-9</v>
      </c>
      <c r="AG146" s="464">
        <v>1.6999999999999999E-9</v>
      </c>
      <c r="AH146" s="464">
        <v>-6.6177143146705077</v>
      </c>
      <c r="AI146" s="464">
        <v>-7.1581174049343783</v>
      </c>
      <c r="AJ146" s="464">
        <v>-7.1581174049343783</v>
      </c>
      <c r="AK146" s="464">
        <v>-7.9461899999999996</v>
      </c>
      <c r="AL146" s="464">
        <v>-7.8235000000000001</v>
      </c>
      <c r="AM146" s="464">
        <v>15.35</v>
      </c>
      <c r="AN146" s="464">
        <v>-0.83</v>
      </c>
      <c r="AO146" s="464" t="s">
        <v>6311</v>
      </c>
      <c r="AP146" s="464" t="s">
        <v>6311</v>
      </c>
      <c r="AQ146" s="464" t="s">
        <v>5466</v>
      </c>
      <c r="AR146" s="464" t="s">
        <v>266</v>
      </c>
      <c r="AS146" s="464" t="s">
        <v>8453</v>
      </c>
      <c r="AT146" s="464" t="s">
        <v>8445</v>
      </c>
      <c r="AU146" s="464" t="s">
        <v>8454</v>
      </c>
      <c r="AV146" s="464" t="s">
        <v>8446</v>
      </c>
      <c r="AW146" s="464" t="s">
        <v>267</v>
      </c>
      <c r="AX146" s="464" t="s">
        <v>1584</v>
      </c>
      <c r="AY146" s="464" t="s">
        <v>8455</v>
      </c>
      <c r="AZ146" s="464" t="s">
        <v>6297</v>
      </c>
      <c r="BA146" s="464" t="s">
        <v>6227</v>
      </c>
      <c r="BB146" s="464" t="s">
        <v>5921</v>
      </c>
      <c r="BC146" s="464" t="s">
        <v>2449</v>
      </c>
      <c r="BD146" s="464" t="s">
        <v>6203</v>
      </c>
      <c r="BE146" s="464" t="s">
        <v>6203</v>
      </c>
      <c r="BF146" s="464" t="s">
        <v>5626</v>
      </c>
      <c r="BG146" s="464">
        <v>110.8848</v>
      </c>
      <c r="BH146" s="464">
        <v>1777</v>
      </c>
      <c r="BI146" s="464" t="s">
        <v>5921</v>
      </c>
      <c r="BJ146" s="464">
        <v>19498.823993648424</v>
      </c>
      <c r="BK146" s="464">
        <v>0</v>
      </c>
      <c r="BL146" s="464" t="s">
        <v>5921</v>
      </c>
      <c r="BM146" s="464" t="s">
        <v>5921</v>
      </c>
      <c r="BN146" s="464" t="s">
        <v>5921</v>
      </c>
      <c r="BO146" s="464">
        <v>304.22239999999999</v>
      </c>
      <c r="BP146" s="464" t="s">
        <v>5921</v>
      </c>
      <c r="BQ146" s="464" t="s">
        <v>5921</v>
      </c>
      <c r="BR146" s="464" t="s">
        <v>5921</v>
      </c>
      <c r="BS146" s="464" t="s">
        <v>5921</v>
      </c>
      <c r="BT146" s="464" t="s">
        <v>5921</v>
      </c>
      <c r="BU146" s="464" t="s">
        <v>5921</v>
      </c>
      <c r="BV146" s="464" t="s">
        <v>5921</v>
      </c>
      <c r="BW146" s="464" t="s">
        <v>5921</v>
      </c>
      <c r="BX146" s="464" t="s">
        <v>5921</v>
      </c>
      <c r="BY146" s="464" t="s">
        <v>5921</v>
      </c>
      <c r="BZ146" s="464" t="s">
        <v>5921</v>
      </c>
      <c r="CA146" s="464" t="s">
        <v>5921</v>
      </c>
      <c r="CB146" s="464" t="s">
        <v>5921</v>
      </c>
      <c r="CC146" s="464" t="s">
        <v>5921</v>
      </c>
      <c r="CD146" s="464" t="s">
        <v>5921</v>
      </c>
      <c r="CE146" s="464" t="s">
        <v>5921</v>
      </c>
      <c r="CF146" s="464" t="s">
        <v>5921</v>
      </c>
      <c r="CG146" s="464">
        <v>304.22239999999999</v>
      </c>
      <c r="CH146" s="464">
        <v>2.4831911881464359</v>
      </c>
      <c r="CI146" s="464">
        <v>10.972889135423987</v>
      </c>
      <c r="CJ146" s="464">
        <v>64.093978594766284</v>
      </c>
      <c r="CK146" s="464">
        <v>2</v>
      </c>
      <c r="CL146" s="464">
        <v>17.77</v>
      </c>
      <c r="CM146" s="464" t="s">
        <v>5921</v>
      </c>
      <c r="CN146" s="464" t="s">
        <v>8482</v>
      </c>
      <c r="CO146" s="464">
        <v>2.0851633451628415</v>
      </c>
      <c r="CP146" s="464">
        <v>2.5005056660738512</v>
      </c>
      <c r="CQ146" s="464" t="s">
        <v>539</v>
      </c>
      <c r="CR146" s="464" t="s">
        <v>5921</v>
      </c>
      <c r="CS146" s="464">
        <v>119.82742616620675</v>
      </c>
      <c r="CT146" s="464">
        <v>20.514455359654594</v>
      </c>
      <c r="CU146" s="464">
        <v>1</v>
      </c>
      <c r="CV146" s="464" t="s">
        <v>5921</v>
      </c>
      <c r="CW146" s="464" t="s">
        <v>6351</v>
      </c>
    </row>
    <row r="147" spans="1:101" x14ac:dyDescent="0.2">
      <c r="A147" s="464">
        <v>2021</v>
      </c>
      <c r="B147" s="464" t="s">
        <v>977</v>
      </c>
      <c r="C147" s="464" t="s">
        <v>6447</v>
      </c>
      <c r="D147" s="464" t="s">
        <v>978</v>
      </c>
      <c r="E147" s="464">
        <v>80057</v>
      </c>
      <c r="F147" s="464" t="s">
        <v>979</v>
      </c>
      <c r="G147" s="464" t="s">
        <v>979</v>
      </c>
      <c r="H147" s="464" t="s">
        <v>980</v>
      </c>
      <c r="I147" s="464" t="s">
        <v>376</v>
      </c>
      <c r="J147" s="464" t="s">
        <v>5527</v>
      </c>
      <c r="K147" s="464" t="s">
        <v>602</v>
      </c>
      <c r="L147" s="464" t="s">
        <v>6386</v>
      </c>
      <c r="M147" s="464" t="s">
        <v>981</v>
      </c>
      <c r="N147" s="464" t="s">
        <v>5921</v>
      </c>
      <c r="O147" s="464" t="s">
        <v>5921</v>
      </c>
      <c r="P147" s="464" t="s">
        <v>5921</v>
      </c>
      <c r="Q147" s="464" t="s">
        <v>5921</v>
      </c>
      <c r="R147" s="464">
        <v>228.29</v>
      </c>
      <c r="S147" s="464">
        <v>119.99999999999999</v>
      </c>
      <c r="T147" s="464">
        <v>172.7</v>
      </c>
      <c r="U147" s="464">
        <v>88.815116150744203</v>
      </c>
      <c r="V147" s="464">
        <v>88.815116150744203</v>
      </c>
      <c r="W147" s="464">
        <v>6.76</v>
      </c>
      <c r="X147" s="464">
        <v>3.64</v>
      </c>
      <c r="Y147" s="464">
        <v>3.32</v>
      </c>
      <c r="Z147" s="464">
        <v>3.73</v>
      </c>
      <c r="AA147" s="464">
        <v>0.77510000000000001</v>
      </c>
      <c r="AB147" s="464">
        <v>3.63</v>
      </c>
      <c r="AC147" s="464">
        <v>3.43</v>
      </c>
      <c r="AD147" s="464">
        <v>3.32</v>
      </c>
      <c r="AE147" s="464">
        <v>3.7</v>
      </c>
      <c r="AF147" s="464">
        <v>9.1600000000000006E-12</v>
      </c>
      <c r="AG147" s="464" t="s">
        <v>5921</v>
      </c>
      <c r="AH147" s="464">
        <v>-9.4266708526448006</v>
      </c>
      <c r="AI147" s="464" t="s">
        <v>5921</v>
      </c>
      <c r="AJ147" s="464">
        <v>-9.4266708526448006</v>
      </c>
      <c r="AK147" s="464">
        <v>-13.641390000000001</v>
      </c>
      <c r="AL147" s="464">
        <v>-10.218999999999999</v>
      </c>
      <c r="AM147" s="464">
        <v>10.29</v>
      </c>
      <c r="AN147" s="464" t="s">
        <v>5921</v>
      </c>
      <c r="AO147" s="464" t="s">
        <v>6311</v>
      </c>
      <c r="AP147" s="464" t="s">
        <v>6311</v>
      </c>
      <c r="AQ147" s="464" t="s">
        <v>5466</v>
      </c>
      <c r="AR147" s="464" t="s">
        <v>266</v>
      </c>
      <c r="AS147" s="464" t="s">
        <v>8453</v>
      </c>
      <c r="AT147" s="464" t="s">
        <v>8445</v>
      </c>
      <c r="AU147" s="464" t="s">
        <v>8454</v>
      </c>
      <c r="AV147" s="464" t="s">
        <v>8446</v>
      </c>
      <c r="AW147" s="464" t="s">
        <v>267</v>
      </c>
      <c r="AX147" s="464" t="s">
        <v>1584</v>
      </c>
      <c r="AY147" s="464" t="s">
        <v>8455</v>
      </c>
      <c r="AZ147" s="464" t="s">
        <v>6297</v>
      </c>
      <c r="BA147" s="464" t="s">
        <v>6227</v>
      </c>
      <c r="BB147" s="464" t="s">
        <v>5921</v>
      </c>
      <c r="BC147" s="464" t="s">
        <v>2449</v>
      </c>
      <c r="BD147" s="464" t="s">
        <v>6203</v>
      </c>
      <c r="BE147" s="464" t="s">
        <v>6203</v>
      </c>
      <c r="BF147" s="464" t="s">
        <v>5626</v>
      </c>
      <c r="BG147" s="464">
        <v>1.7121749999999998</v>
      </c>
      <c r="BH147" s="464">
        <v>27.394799999999996</v>
      </c>
      <c r="BI147" s="464" t="s">
        <v>5921</v>
      </c>
      <c r="BJ147" s="464">
        <v>6.3125217586499822</v>
      </c>
      <c r="BK147" s="464">
        <v>0</v>
      </c>
      <c r="BL147" s="464" t="s">
        <v>5921</v>
      </c>
      <c r="BM147" s="464" t="s">
        <v>5921</v>
      </c>
      <c r="BN147" s="464" t="s">
        <v>5921</v>
      </c>
      <c r="BO147" s="464">
        <v>13.925689999999999</v>
      </c>
      <c r="BP147" s="464" t="s">
        <v>5921</v>
      </c>
      <c r="BQ147" s="464" t="s">
        <v>5921</v>
      </c>
      <c r="BR147" s="464" t="s">
        <v>5921</v>
      </c>
      <c r="BS147" s="464" t="s">
        <v>5921</v>
      </c>
      <c r="BT147" s="464" t="s">
        <v>5921</v>
      </c>
      <c r="BU147" s="464" t="s">
        <v>5921</v>
      </c>
      <c r="BV147" s="464" t="s">
        <v>5921</v>
      </c>
      <c r="BW147" s="464" t="s">
        <v>5921</v>
      </c>
      <c r="BX147" s="464" t="s">
        <v>5921</v>
      </c>
      <c r="BY147" s="464" t="s">
        <v>5921</v>
      </c>
      <c r="BZ147" s="464" t="s">
        <v>5921</v>
      </c>
      <c r="CA147" s="464" t="s">
        <v>5921</v>
      </c>
      <c r="CB147" s="464" t="s">
        <v>5921</v>
      </c>
      <c r="CC147" s="464" t="s">
        <v>5921</v>
      </c>
      <c r="CD147" s="464" t="s">
        <v>5921</v>
      </c>
      <c r="CE147" s="464" t="s">
        <v>5921</v>
      </c>
      <c r="CF147" s="464" t="s">
        <v>5921</v>
      </c>
      <c r="CG147" s="464">
        <v>13.925689999999999</v>
      </c>
      <c r="CH147" s="464">
        <v>1.1438167231110037</v>
      </c>
      <c r="CI147" s="464">
        <v>0.2304277366014712</v>
      </c>
      <c r="CJ147" s="464">
        <v>0.45330046544551705</v>
      </c>
      <c r="CK147" s="464">
        <v>0.66742784480864559</v>
      </c>
      <c r="CL147" s="464">
        <v>5.8916954483615527</v>
      </c>
      <c r="CM147" s="464" t="s">
        <v>5921</v>
      </c>
      <c r="CN147" s="464" t="s">
        <v>8482</v>
      </c>
      <c r="CO147" s="464">
        <v>0.76399462909803484</v>
      </c>
      <c r="CP147" s="464">
        <v>2.3978504535340939</v>
      </c>
      <c r="CQ147" s="464" t="s">
        <v>539</v>
      </c>
      <c r="CR147" s="464" t="s">
        <v>5921</v>
      </c>
      <c r="CS147" s="464">
        <v>6.377789262201313</v>
      </c>
      <c r="CT147" s="464">
        <v>3.2420428749523347</v>
      </c>
      <c r="CU147" s="464">
        <v>1</v>
      </c>
      <c r="CV147" s="464" t="s">
        <v>5921</v>
      </c>
      <c r="CW147" s="464" t="s">
        <v>6351</v>
      </c>
    </row>
    <row r="148" spans="1:101" x14ac:dyDescent="0.2">
      <c r="A148" s="464">
        <v>2060</v>
      </c>
      <c r="B148" s="464" t="s">
        <v>5669</v>
      </c>
      <c r="C148" s="464" t="s">
        <v>6457</v>
      </c>
      <c r="D148" s="464" t="s">
        <v>1670</v>
      </c>
      <c r="E148" s="464">
        <v>95761</v>
      </c>
      <c r="F148" s="464" t="s">
        <v>1671</v>
      </c>
      <c r="G148" s="464" t="s">
        <v>8213</v>
      </c>
      <c r="H148" s="464" t="s">
        <v>1672</v>
      </c>
      <c r="I148" s="464" t="s">
        <v>1573</v>
      </c>
      <c r="J148" s="464" t="s">
        <v>617</v>
      </c>
      <c r="K148" s="464" t="s">
        <v>1629</v>
      </c>
      <c r="L148" s="464" t="s">
        <v>6385</v>
      </c>
      <c r="M148" s="464" t="s">
        <v>498</v>
      </c>
      <c r="N148" s="464" t="s">
        <v>8470</v>
      </c>
      <c r="O148" s="464" t="s">
        <v>6173</v>
      </c>
      <c r="P148" s="464" t="s">
        <v>8448</v>
      </c>
      <c r="Q148" s="464" t="s">
        <v>6173</v>
      </c>
      <c r="R148" s="464">
        <v>162.02000000000001</v>
      </c>
      <c r="S148" s="464">
        <v>92</v>
      </c>
      <c r="T148" s="464">
        <v>337.9</v>
      </c>
      <c r="U148" s="464">
        <v>294.82793311198913</v>
      </c>
      <c r="V148" s="464">
        <v>294.82793311198913</v>
      </c>
      <c r="W148" s="464">
        <v>7.2</v>
      </c>
      <c r="X148" s="464">
        <v>2.37</v>
      </c>
      <c r="Y148" s="464">
        <v>2.69</v>
      </c>
      <c r="Z148" s="464">
        <v>2.62</v>
      </c>
      <c r="AA148" s="464">
        <v>0.89139999999999997</v>
      </c>
      <c r="AB148" s="464">
        <v>2.6</v>
      </c>
      <c r="AC148" s="464">
        <v>2.5099999999999998</v>
      </c>
      <c r="AD148" s="464">
        <v>2.69</v>
      </c>
      <c r="AE148" s="464">
        <v>2.4700000000000002</v>
      </c>
      <c r="AF148" s="464">
        <v>1.0499999999999999E-6</v>
      </c>
      <c r="AG148" s="464">
        <v>1.4600000000000001E-5</v>
      </c>
      <c r="AH148" s="464">
        <v>-4.3673770272427141</v>
      </c>
      <c r="AI148" s="464">
        <v>-3.2242134705282148</v>
      </c>
      <c r="AJ148" s="464">
        <v>-3.2242134705282148</v>
      </c>
      <c r="AK148" s="464">
        <v>-7.2924100000000003</v>
      </c>
      <c r="AL148" s="464">
        <v>-4.3684000000000003</v>
      </c>
      <c r="AM148" s="464" t="s">
        <v>5921</v>
      </c>
      <c r="AN148" s="464">
        <v>2.9</v>
      </c>
      <c r="AO148" s="464" t="s">
        <v>6311</v>
      </c>
      <c r="AP148" s="464" t="s">
        <v>6311</v>
      </c>
      <c r="AQ148" s="464" t="s">
        <v>5466</v>
      </c>
      <c r="AR148" s="464" t="s">
        <v>266</v>
      </c>
      <c r="AS148" s="464" t="s">
        <v>8444</v>
      </c>
      <c r="AT148" s="464" t="s">
        <v>8445</v>
      </c>
      <c r="AU148" s="464" t="s">
        <v>8445</v>
      </c>
      <c r="AV148" s="464" t="s">
        <v>8475</v>
      </c>
      <c r="AW148" s="464" t="s">
        <v>5670</v>
      </c>
      <c r="AX148" s="464" t="s">
        <v>5671</v>
      </c>
      <c r="AY148" s="464" t="s">
        <v>8447</v>
      </c>
      <c r="AZ148" s="464" t="s">
        <v>5487</v>
      </c>
      <c r="BA148" s="464" t="s">
        <v>5494</v>
      </c>
      <c r="BB148" s="464" t="s">
        <v>5921</v>
      </c>
      <c r="BC148" s="464" t="s">
        <v>5598</v>
      </c>
      <c r="BD148" s="464" t="s">
        <v>5921</v>
      </c>
      <c r="BE148" s="464" t="s">
        <v>8476</v>
      </c>
      <c r="BF148" s="464" t="s">
        <v>5921</v>
      </c>
      <c r="BG148" s="464">
        <v>0.50064180000000003</v>
      </c>
      <c r="BH148" s="464">
        <v>8.0037880000000001</v>
      </c>
      <c r="BI148" s="464" t="s">
        <v>5672</v>
      </c>
      <c r="BJ148" s="464">
        <v>61.925800289105773</v>
      </c>
      <c r="BK148" s="464" t="s">
        <v>5921</v>
      </c>
      <c r="BL148" s="464" t="s">
        <v>5921</v>
      </c>
      <c r="BM148" s="464" t="s">
        <v>5921</v>
      </c>
      <c r="BN148" s="464" t="s">
        <v>5921</v>
      </c>
      <c r="BO148" s="464">
        <v>3.2200000618000004</v>
      </c>
      <c r="BP148" s="464" t="s">
        <v>5921</v>
      </c>
      <c r="BQ148" s="464" t="s">
        <v>5921</v>
      </c>
      <c r="BR148" s="464" t="s">
        <v>5921</v>
      </c>
      <c r="BS148" s="464" t="s">
        <v>5921</v>
      </c>
      <c r="BT148" s="464" t="s">
        <v>5921</v>
      </c>
      <c r="BU148" s="464" t="s">
        <v>5921</v>
      </c>
      <c r="BV148" s="464" t="s">
        <v>5921</v>
      </c>
      <c r="BW148" s="464" t="s">
        <v>5921</v>
      </c>
      <c r="BX148" s="464" t="s">
        <v>5921</v>
      </c>
      <c r="BY148" s="464" t="s">
        <v>5921</v>
      </c>
      <c r="BZ148" s="464" t="s">
        <v>5921</v>
      </c>
      <c r="CA148" s="464" t="s">
        <v>5921</v>
      </c>
      <c r="CB148" s="464" t="s">
        <v>5921</v>
      </c>
      <c r="CC148" s="464" t="s">
        <v>5921</v>
      </c>
      <c r="CD148" s="464" t="s">
        <v>5921</v>
      </c>
      <c r="CE148" s="464" t="s">
        <v>5921</v>
      </c>
      <c r="CF148" s="464" t="s">
        <v>5921</v>
      </c>
      <c r="CG148" s="464">
        <v>3.2200000618000004</v>
      </c>
      <c r="CH148" s="464">
        <v>0.50785588003104798</v>
      </c>
      <c r="CI148" s="464">
        <v>7.7370615375002147</v>
      </c>
      <c r="CJ148" s="464">
        <v>19.231614627513036</v>
      </c>
      <c r="CK148" s="464">
        <v>0.35012181688711158</v>
      </c>
      <c r="CL148" s="464">
        <v>3.574158105036032</v>
      </c>
      <c r="CM148" s="464" t="s">
        <v>5494</v>
      </c>
      <c r="CN148" s="464" t="s">
        <v>5673</v>
      </c>
      <c r="CO148" s="464">
        <v>0.74774431752431614</v>
      </c>
      <c r="CP148" s="464">
        <v>0.57558777658187132</v>
      </c>
      <c r="CQ148" s="464" t="s">
        <v>539</v>
      </c>
      <c r="CR148" s="464" t="s">
        <v>6310</v>
      </c>
      <c r="CS148" s="464">
        <v>91.561468153257877</v>
      </c>
      <c r="CT148" s="464">
        <v>36.836049769432812</v>
      </c>
      <c r="CU148" s="464">
        <v>1</v>
      </c>
      <c r="CV148" s="464" t="s">
        <v>539</v>
      </c>
      <c r="CW148" s="464" t="s">
        <v>6351</v>
      </c>
    </row>
    <row r="149" spans="1:101" x14ac:dyDescent="0.2">
      <c r="A149" s="464">
        <v>2149</v>
      </c>
      <c r="B149" s="464" t="s">
        <v>1345</v>
      </c>
      <c r="C149" s="464" t="s">
        <v>6534</v>
      </c>
      <c r="D149" s="464" t="s">
        <v>1346</v>
      </c>
      <c r="E149" s="464">
        <v>76738620</v>
      </c>
      <c r="F149" s="464" t="s">
        <v>1347</v>
      </c>
      <c r="G149" s="464" t="s">
        <v>7901</v>
      </c>
      <c r="H149" s="464" t="s">
        <v>5876</v>
      </c>
      <c r="I149" s="464" t="s">
        <v>1112</v>
      </c>
      <c r="J149" s="464" t="s">
        <v>6005</v>
      </c>
      <c r="K149" s="464" t="s">
        <v>2342</v>
      </c>
      <c r="L149" s="464" t="s">
        <v>2342</v>
      </c>
      <c r="M149" s="464" t="s">
        <v>5921</v>
      </c>
      <c r="N149" s="464" t="s">
        <v>5921</v>
      </c>
      <c r="O149" s="464" t="s">
        <v>5921</v>
      </c>
      <c r="P149" s="464" t="s">
        <v>5921</v>
      </c>
      <c r="Q149" s="464" t="s">
        <v>5921</v>
      </c>
      <c r="R149" s="464">
        <v>293.8</v>
      </c>
      <c r="S149" s="464">
        <v>26.000884985874261</v>
      </c>
      <c r="T149" s="464">
        <v>79.872718608529908</v>
      </c>
      <c r="U149" s="464">
        <v>61.383520324491656</v>
      </c>
      <c r="V149" s="464">
        <v>61.383520324491656</v>
      </c>
      <c r="W149" s="464">
        <v>7.03</v>
      </c>
      <c r="X149" s="464">
        <v>3.36</v>
      </c>
      <c r="Y149" s="464">
        <v>3.2</v>
      </c>
      <c r="Z149" s="464">
        <v>3.48</v>
      </c>
      <c r="AA149" s="464">
        <v>0.83650000000000002</v>
      </c>
      <c r="AB149" s="464">
        <v>3.37</v>
      </c>
      <c r="AC149" s="464">
        <v>2.99</v>
      </c>
      <c r="AD149" s="464">
        <v>3.2</v>
      </c>
      <c r="AE149" s="464">
        <v>3.49</v>
      </c>
      <c r="AF149" s="464">
        <v>3.9E-10</v>
      </c>
      <c r="AG149" s="464">
        <v>8.2800000000000001E-11</v>
      </c>
      <c r="AH149" s="464">
        <v>-7.7975017192861529</v>
      </c>
      <c r="AI149" s="464">
        <v>-8.4705359895277716</v>
      </c>
      <c r="AJ149" s="464">
        <v>-8.4705359895277716</v>
      </c>
      <c r="AK149" s="464">
        <v>-13.015940000000001</v>
      </c>
      <c r="AL149" s="464">
        <v>-7.9161999999999999</v>
      </c>
      <c r="AM149" s="464">
        <v>13.92</v>
      </c>
      <c r="AN149" s="464">
        <v>2.57</v>
      </c>
      <c r="AO149" s="464" t="s">
        <v>6311</v>
      </c>
      <c r="AP149" s="464" t="s">
        <v>6311</v>
      </c>
      <c r="AQ149" s="464" t="s">
        <v>5466</v>
      </c>
      <c r="AR149" s="464" t="s">
        <v>266</v>
      </c>
      <c r="AS149" s="464" t="s">
        <v>8444</v>
      </c>
      <c r="AT149" s="464" t="s">
        <v>8450</v>
      </c>
      <c r="AU149" s="464" t="s">
        <v>8450</v>
      </c>
      <c r="AV149" s="464" t="s">
        <v>8459</v>
      </c>
      <c r="AW149" s="464" t="s">
        <v>5921</v>
      </c>
      <c r="AX149" s="464" t="s">
        <v>5921</v>
      </c>
      <c r="AY149" s="464" t="s">
        <v>5921</v>
      </c>
      <c r="AZ149" s="464" t="s">
        <v>5921</v>
      </c>
      <c r="BA149" s="464" t="s">
        <v>5877</v>
      </c>
      <c r="BB149" s="464" t="s">
        <v>5921</v>
      </c>
      <c r="BC149" s="464" t="s">
        <v>2449</v>
      </c>
      <c r="BD149" s="464" t="s">
        <v>5921</v>
      </c>
      <c r="BE149" s="464" t="s">
        <v>5921</v>
      </c>
      <c r="BF149" s="464" t="s">
        <v>5626</v>
      </c>
      <c r="BG149" s="464">
        <v>9.9892000000000002E-3</v>
      </c>
      <c r="BH149" s="464">
        <v>199.78400000000002</v>
      </c>
      <c r="BI149" s="464" t="s">
        <v>5921</v>
      </c>
      <c r="BJ149" s="464">
        <v>14.495586486523033</v>
      </c>
      <c r="BK149" s="464" t="s">
        <v>5921</v>
      </c>
      <c r="BL149" s="464">
        <v>9.9699854800000015E-2</v>
      </c>
      <c r="BM149" s="464">
        <v>7.1399863600000002E-2</v>
      </c>
      <c r="BN149" s="464">
        <v>7.1399863600000002E-2</v>
      </c>
      <c r="BO149" s="464">
        <v>7.1399863600000002E-2</v>
      </c>
      <c r="BP149" s="464">
        <v>5.8599879000000001E-2</v>
      </c>
      <c r="BQ149" s="464" t="s">
        <v>5921</v>
      </c>
      <c r="BR149" s="464" t="s">
        <v>5921</v>
      </c>
      <c r="BS149" s="464" t="s">
        <v>5921</v>
      </c>
      <c r="BT149" s="464" t="s">
        <v>5921</v>
      </c>
      <c r="BU149" s="464" t="s">
        <v>5921</v>
      </c>
      <c r="BV149" s="464" t="s">
        <v>5921</v>
      </c>
      <c r="BW149" s="464" t="s">
        <v>5921</v>
      </c>
      <c r="BX149" s="464" t="s">
        <v>5921</v>
      </c>
      <c r="BY149" s="464" t="s">
        <v>5921</v>
      </c>
      <c r="BZ149" s="464" t="s">
        <v>5921</v>
      </c>
      <c r="CA149" s="464" t="s">
        <v>5921</v>
      </c>
      <c r="CB149" s="464" t="s">
        <v>5921</v>
      </c>
      <c r="CC149" s="464" t="s">
        <v>5921</v>
      </c>
      <c r="CD149" s="464" t="s">
        <v>5921</v>
      </c>
      <c r="CE149" s="464" t="s">
        <v>5921</v>
      </c>
      <c r="CF149" s="464" t="s">
        <v>5921</v>
      </c>
      <c r="CG149" s="464">
        <v>5.8599879000000001E-2</v>
      </c>
      <c r="CH149" s="464">
        <v>-1.2321032807342398</v>
      </c>
      <c r="CI149" s="464">
        <v>7.2556293229302807E-2</v>
      </c>
      <c r="CJ149" s="464">
        <v>247.36546787960148</v>
      </c>
      <c r="CK149" s="464">
        <v>1.3122976258624119</v>
      </c>
      <c r="CL149" s="464">
        <v>9.7333665380667842</v>
      </c>
      <c r="CM149" s="464" t="s">
        <v>5921</v>
      </c>
      <c r="CN149" s="464" t="s">
        <v>5878</v>
      </c>
      <c r="CO149" s="464">
        <v>1.3603806215390062</v>
      </c>
      <c r="CP149" s="464">
        <v>2.5557366312280788E-3</v>
      </c>
      <c r="CQ149" s="464" t="s">
        <v>539</v>
      </c>
      <c r="CR149" s="464" t="s">
        <v>5921</v>
      </c>
      <c r="CS149" s="464">
        <v>1047.5025097661321</v>
      </c>
      <c r="CT149" s="464">
        <v>0.30724943100794683</v>
      </c>
      <c r="CU149" s="464">
        <v>1</v>
      </c>
      <c r="CV149" s="464" t="s">
        <v>5921</v>
      </c>
      <c r="CW149" s="464" t="s">
        <v>5921</v>
      </c>
    </row>
    <row r="150" spans="1:101" x14ac:dyDescent="0.2">
      <c r="A150" s="464">
        <v>2163</v>
      </c>
      <c r="B150" s="464" t="s">
        <v>6778</v>
      </c>
      <c r="C150" s="464" t="s">
        <v>6779</v>
      </c>
      <c r="D150" s="464" t="s">
        <v>643</v>
      </c>
      <c r="E150" s="464">
        <v>115093</v>
      </c>
      <c r="F150" s="464" t="s">
        <v>644</v>
      </c>
      <c r="G150" s="464" t="s">
        <v>7907</v>
      </c>
      <c r="H150" s="464" t="s">
        <v>645</v>
      </c>
      <c r="I150" s="464" t="s">
        <v>6357</v>
      </c>
      <c r="J150" s="464" t="s">
        <v>5921</v>
      </c>
      <c r="K150" s="464" t="s">
        <v>2342</v>
      </c>
      <c r="L150" s="464" t="s">
        <v>2342</v>
      </c>
      <c r="M150" s="464" t="s">
        <v>5921</v>
      </c>
      <c r="N150" s="464" t="s">
        <v>5921</v>
      </c>
      <c r="O150" s="464" t="s">
        <v>5921</v>
      </c>
      <c r="P150" s="464" t="s">
        <v>5921</v>
      </c>
      <c r="Q150" s="464" t="s">
        <v>5921</v>
      </c>
      <c r="R150" s="464">
        <v>251.08</v>
      </c>
      <c r="S150" s="464" t="s">
        <v>5921</v>
      </c>
      <c r="T150" s="464">
        <v>10420</v>
      </c>
      <c r="U150" s="464" t="s">
        <v>5921</v>
      </c>
      <c r="V150" s="464">
        <v>10420</v>
      </c>
      <c r="W150" s="464" t="s">
        <v>5921</v>
      </c>
      <c r="X150" s="464">
        <v>0.39</v>
      </c>
      <c r="Y150" s="464">
        <v>0.41</v>
      </c>
      <c r="Z150" s="464" t="s">
        <v>5921</v>
      </c>
      <c r="AA150" s="464" t="s">
        <v>5921</v>
      </c>
      <c r="AB150" s="464" t="s">
        <v>5921</v>
      </c>
      <c r="AC150" s="464" t="s">
        <v>5921</v>
      </c>
      <c r="AD150" s="464">
        <v>0.41</v>
      </c>
      <c r="AE150" s="464" t="s">
        <v>5921</v>
      </c>
      <c r="AF150" s="464">
        <v>7.1999999999999998E-3</v>
      </c>
      <c r="AG150" s="464">
        <v>3.6699999999999999E-7</v>
      </c>
      <c r="AH150" s="464">
        <v>-0.53123382988138335</v>
      </c>
      <c r="AI150" s="464">
        <v>-4.8239002620605627</v>
      </c>
      <c r="AJ150" s="464">
        <v>-4.8239002620605627</v>
      </c>
      <c r="AK150" s="464" t="s">
        <v>5921</v>
      </c>
      <c r="AL150" s="464" t="s">
        <v>5921</v>
      </c>
      <c r="AM150" s="464" t="s">
        <v>5921</v>
      </c>
      <c r="AN150" s="464" t="s">
        <v>5921</v>
      </c>
      <c r="AO150" s="464" t="s">
        <v>6311</v>
      </c>
      <c r="AP150" s="464" t="s">
        <v>6311</v>
      </c>
      <c r="AQ150" s="464" t="s">
        <v>6</v>
      </c>
      <c r="AR150" s="464" t="s">
        <v>266</v>
      </c>
      <c r="AS150" s="464" t="s">
        <v>8444</v>
      </c>
      <c r="AT150" s="464" t="s">
        <v>8445</v>
      </c>
      <c r="AU150" s="464" t="s">
        <v>8445</v>
      </c>
      <c r="AV150" s="464" t="s">
        <v>8446</v>
      </c>
      <c r="AW150" s="464" t="s">
        <v>6360</v>
      </c>
      <c r="AX150" s="464" t="s">
        <v>536</v>
      </c>
      <c r="AY150" s="464" t="s">
        <v>8447</v>
      </c>
      <c r="AZ150" s="464" t="s">
        <v>1764</v>
      </c>
      <c r="BA150" s="464" t="s">
        <v>6359</v>
      </c>
      <c r="BB150" s="464" t="s">
        <v>5921</v>
      </c>
      <c r="BC150" s="464" t="s">
        <v>1712</v>
      </c>
      <c r="BD150" s="464" t="s">
        <v>539</v>
      </c>
      <c r="BE150" s="464" t="s">
        <v>539</v>
      </c>
      <c r="BF150" s="464" t="s">
        <v>272</v>
      </c>
      <c r="BG150" s="464">
        <v>6.2500000000000003E-3</v>
      </c>
      <c r="BH150" s="464">
        <v>0.1</v>
      </c>
      <c r="BI150" s="464" t="s">
        <v>5921</v>
      </c>
      <c r="BJ150" s="464" t="s">
        <v>5921</v>
      </c>
      <c r="BK150" s="464" t="s">
        <v>5921</v>
      </c>
      <c r="BL150" s="464" t="s">
        <v>5921</v>
      </c>
      <c r="BM150" s="464">
        <v>4.2000000000000003E-2</v>
      </c>
      <c r="BN150" s="464" t="s">
        <v>5921</v>
      </c>
      <c r="BO150" s="464">
        <v>2.8000000000000001E-2</v>
      </c>
      <c r="BP150" s="464" t="s">
        <v>5921</v>
      </c>
      <c r="BQ150" s="464" t="s">
        <v>5921</v>
      </c>
      <c r="BR150" s="464" t="s">
        <v>5921</v>
      </c>
      <c r="BS150" s="464" t="s">
        <v>5921</v>
      </c>
      <c r="BT150" s="464" t="s">
        <v>5921</v>
      </c>
      <c r="BU150" s="464" t="s">
        <v>5921</v>
      </c>
      <c r="BV150" s="464" t="s">
        <v>5921</v>
      </c>
      <c r="BW150" s="464" t="s">
        <v>5921</v>
      </c>
      <c r="BX150" s="464" t="s">
        <v>5921</v>
      </c>
      <c r="BY150" s="464" t="s">
        <v>5921</v>
      </c>
      <c r="BZ150" s="464" t="s">
        <v>5921</v>
      </c>
      <c r="CA150" s="464" t="s">
        <v>5921</v>
      </c>
      <c r="CB150" s="464" t="s">
        <v>5921</v>
      </c>
      <c r="CC150" s="464" t="s">
        <v>5921</v>
      </c>
      <c r="CD150" s="464" t="s">
        <v>5921</v>
      </c>
      <c r="CE150" s="464" t="s">
        <v>5921</v>
      </c>
      <c r="CF150" s="464" t="s">
        <v>5921</v>
      </c>
      <c r="CG150" s="464">
        <v>2.8000000000000001E-2</v>
      </c>
      <c r="CH150" s="464">
        <v>-1.5528419686577808</v>
      </c>
      <c r="CI150" s="464" t="s">
        <v>5921</v>
      </c>
      <c r="CJ150" s="464" t="s">
        <v>5921</v>
      </c>
      <c r="CK150" s="464" t="s">
        <v>5921</v>
      </c>
      <c r="CL150" s="464" t="s">
        <v>5921</v>
      </c>
      <c r="CM150" s="464" t="s">
        <v>5921</v>
      </c>
      <c r="CN150" s="464" t="s">
        <v>6355</v>
      </c>
      <c r="CO150" s="464">
        <v>-1.4426945078839135</v>
      </c>
      <c r="CP150" s="464">
        <v>0.77598359366317071</v>
      </c>
      <c r="CQ150" s="464" t="s">
        <v>539</v>
      </c>
      <c r="CR150" s="464" t="s">
        <v>5921</v>
      </c>
      <c r="CS150" s="464">
        <v>372142.85714285716</v>
      </c>
      <c r="CT150" s="464">
        <v>104200</v>
      </c>
      <c r="CU150" s="464">
        <v>1</v>
      </c>
      <c r="CV150" s="464" t="s">
        <v>539</v>
      </c>
      <c r="CW150" s="464" t="s">
        <v>5921</v>
      </c>
    </row>
    <row r="151" spans="1:101" x14ac:dyDescent="0.2">
      <c r="A151" s="464">
        <v>2164</v>
      </c>
      <c r="B151" s="464" t="s">
        <v>6701</v>
      </c>
      <c r="C151" s="464" t="s">
        <v>6702</v>
      </c>
      <c r="D151" s="464" t="s">
        <v>1690</v>
      </c>
      <c r="E151" s="464">
        <v>534521</v>
      </c>
      <c r="F151" s="464" t="s">
        <v>1691</v>
      </c>
      <c r="G151" s="464" t="s">
        <v>1691</v>
      </c>
      <c r="H151" s="464" t="s">
        <v>1692</v>
      </c>
      <c r="I151" s="464" t="s">
        <v>1693</v>
      </c>
      <c r="J151" s="464" t="s">
        <v>617</v>
      </c>
      <c r="K151" s="464" t="s">
        <v>1694</v>
      </c>
      <c r="L151" s="464" t="s">
        <v>6381</v>
      </c>
      <c r="M151" s="464" t="s">
        <v>1695</v>
      </c>
      <c r="N151" s="464" t="s">
        <v>5921</v>
      </c>
      <c r="O151" s="464" t="s">
        <v>6173</v>
      </c>
      <c r="P151" s="464" t="s">
        <v>6180</v>
      </c>
      <c r="Q151" s="464" t="s">
        <v>6176</v>
      </c>
      <c r="R151" s="464">
        <v>198.13</v>
      </c>
      <c r="S151" s="464">
        <v>198</v>
      </c>
      <c r="T151" s="464">
        <v>678.4</v>
      </c>
      <c r="U151" s="464">
        <v>571.41316171447409</v>
      </c>
      <c r="V151" s="464">
        <v>571.41316171447409</v>
      </c>
      <c r="W151" s="464">
        <v>3.5</v>
      </c>
      <c r="X151" s="464">
        <v>2.27</v>
      </c>
      <c r="Y151" s="464">
        <v>2.13</v>
      </c>
      <c r="Z151" s="464">
        <v>2.29</v>
      </c>
      <c r="AA151" s="464">
        <v>0.86</v>
      </c>
      <c r="AB151" s="464">
        <v>2.27</v>
      </c>
      <c r="AC151" s="464">
        <v>2.2000000000000002</v>
      </c>
      <c r="AD151" s="464">
        <v>2.13</v>
      </c>
      <c r="AE151" s="464">
        <v>1.1499999999999999</v>
      </c>
      <c r="AF151" s="464">
        <v>3.0500000000000002E-8</v>
      </c>
      <c r="AG151" s="464">
        <v>1.3999999999999999E-6</v>
      </c>
      <c r="AH151" s="464">
        <v>-5.9042664869658656</v>
      </c>
      <c r="AI151" s="464">
        <v>-4.2424382906344134</v>
      </c>
      <c r="AJ151" s="464">
        <v>-4.2424382906344134</v>
      </c>
      <c r="AK151" s="464">
        <v>-9.2475299999999994</v>
      </c>
      <c r="AL151" s="464">
        <v>-5.07</v>
      </c>
      <c r="AM151" s="464">
        <v>4.42</v>
      </c>
      <c r="AN151" s="464" t="s">
        <v>5921</v>
      </c>
      <c r="AO151" s="464" t="s">
        <v>6311</v>
      </c>
      <c r="AP151" s="464" t="s">
        <v>6311</v>
      </c>
      <c r="AQ151" s="464" t="s">
        <v>6</v>
      </c>
      <c r="AR151" s="464" t="s">
        <v>266</v>
      </c>
      <c r="AS151" s="464" t="s">
        <v>8444</v>
      </c>
      <c r="AT151" s="464" t="s">
        <v>8445</v>
      </c>
      <c r="AU151" s="464" t="s">
        <v>8445</v>
      </c>
      <c r="AV151" s="464" t="s">
        <v>8446</v>
      </c>
      <c r="AW151" s="464" t="s">
        <v>6360</v>
      </c>
      <c r="AX151" s="464" t="s">
        <v>536</v>
      </c>
      <c r="AY151" s="464" t="s">
        <v>8447</v>
      </c>
      <c r="AZ151" s="464" t="s">
        <v>1764</v>
      </c>
      <c r="BA151" s="464" t="s">
        <v>6359</v>
      </c>
      <c r="BB151" s="464" t="s">
        <v>5921</v>
      </c>
      <c r="BC151" s="464" t="s">
        <v>1712</v>
      </c>
      <c r="BD151" s="464" t="s">
        <v>539</v>
      </c>
      <c r="BE151" s="464" t="s">
        <v>539</v>
      </c>
      <c r="BF151" s="464" t="s">
        <v>272</v>
      </c>
      <c r="BG151" s="464">
        <v>0.18</v>
      </c>
      <c r="BH151" s="464">
        <v>1.89</v>
      </c>
      <c r="BI151" s="464" t="s">
        <v>5921</v>
      </c>
      <c r="BJ151" s="464">
        <v>93.124346806769523</v>
      </c>
      <c r="BK151" s="464" t="s">
        <v>5921</v>
      </c>
      <c r="BL151" s="464" t="s">
        <v>5921</v>
      </c>
      <c r="BM151" s="464">
        <v>0.72299999999999998</v>
      </c>
      <c r="BN151" s="464" t="s">
        <v>5921</v>
      </c>
      <c r="BO151" s="464">
        <v>0.56699999999999995</v>
      </c>
      <c r="BP151" s="464" t="s">
        <v>5921</v>
      </c>
      <c r="BQ151" s="464" t="s">
        <v>5921</v>
      </c>
      <c r="BR151" s="464" t="s">
        <v>5921</v>
      </c>
      <c r="BS151" s="464" t="s">
        <v>5921</v>
      </c>
      <c r="BT151" s="464" t="s">
        <v>5921</v>
      </c>
      <c r="BU151" s="464" t="s">
        <v>5921</v>
      </c>
      <c r="BV151" s="464" t="s">
        <v>5921</v>
      </c>
      <c r="BW151" s="464" t="s">
        <v>5921</v>
      </c>
      <c r="BX151" s="464" t="s">
        <v>5921</v>
      </c>
      <c r="BY151" s="464" t="s">
        <v>5921</v>
      </c>
      <c r="BZ151" s="464" t="s">
        <v>5921</v>
      </c>
      <c r="CA151" s="464" t="s">
        <v>5921</v>
      </c>
      <c r="CB151" s="464" t="s">
        <v>5921</v>
      </c>
      <c r="CC151" s="464" t="s">
        <v>5921</v>
      </c>
      <c r="CD151" s="464" t="s">
        <v>5921</v>
      </c>
      <c r="CE151" s="464" t="s">
        <v>5921</v>
      </c>
      <c r="CF151" s="464" t="s">
        <v>5921</v>
      </c>
      <c r="CG151" s="464">
        <v>0.56699999999999995</v>
      </c>
      <c r="CH151" s="464">
        <v>-0.24641694110709347</v>
      </c>
      <c r="CI151" s="464">
        <v>49.272141167602925</v>
      </c>
      <c r="CJ151" s="464">
        <v>164.24047055867644</v>
      </c>
      <c r="CK151" s="464" t="s">
        <v>5921</v>
      </c>
      <c r="CL151" s="464" t="s">
        <v>5921</v>
      </c>
      <c r="CM151" s="464" t="s">
        <v>5921</v>
      </c>
      <c r="CN151" s="464" t="s">
        <v>6355</v>
      </c>
      <c r="CO151" s="464">
        <v>-0.11350532493431179</v>
      </c>
      <c r="CP151" s="464">
        <v>0.73635693919243261</v>
      </c>
      <c r="CQ151" s="464" t="s">
        <v>539</v>
      </c>
      <c r="CR151" s="464" t="s">
        <v>5921</v>
      </c>
      <c r="CS151" s="464">
        <v>1007.7833539937816</v>
      </c>
      <c r="CT151" s="464">
        <v>302.33500619813447</v>
      </c>
      <c r="CU151" s="464">
        <v>1</v>
      </c>
      <c r="CV151" s="464" t="s">
        <v>539</v>
      </c>
      <c r="CW151" s="464" t="s">
        <v>6351</v>
      </c>
    </row>
    <row r="152" spans="1:101" x14ac:dyDescent="0.2">
      <c r="A152" s="464">
        <v>2165</v>
      </c>
      <c r="B152" s="464" t="s">
        <v>1669</v>
      </c>
      <c r="C152" s="464" t="s">
        <v>6457</v>
      </c>
      <c r="D152" s="464" t="s">
        <v>1670</v>
      </c>
      <c r="E152" s="464">
        <v>95761</v>
      </c>
      <c r="F152" s="464" t="s">
        <v>1671</v>
      </c>
      <c r="G152" s="464" t="s">
        <v>8213</v>
      </c>
      <c r="H152" s="464" t="s">
        <v>1672</v>
      </c>
      <c r="I152" s="464" t="s">
        <v>1573</v>
      </c>
      <c r="J152" s="464" t="s">
        <v>5527</v>
      </c>
      <c r="K152" s="464" t="s">
        <v>1629</v>
      </c>
      <c r="L152" s="464" t="s">
        <v>6385</v>
      </c>
      <c r="M152" s="464" t="s">
        <v>498</v>
      </c>
      <c r="N152" s="464" t="s">
        <v>8470</v>
      </c>
      <c r="O152" s="464" t="s">
        <v>6173</v>
      </c>
      <c r="P152" s="464" t="s">
        <v>8448</v>
      </c>
      <c r="Q152" s="464" t="s">
        <v>6173</v>
      </c>
      <c r="R152" s="464">
        <v>162.02000000000001</v>
      </c>
      <c r="S152" s="464">
        <v>92</v>
      </c>
      <c r="T152" s="464">
        <v>337.9</v>
      </c>
      <c r="U152" s="464">
        <v>294.82793311198913</v>
      </c>
      <c r="V152" s="464">
        <v>294.82793311198913</v>
      </c>
      <c r="W152" s="464">
        <v>7.2</v>
      </c>
      <c r="X152" s="464">
        <v>2.37</v>
      </c>
      <c r="Y152" s="464">
        <v>2.69</v>
      </c>
      <c r="Z152" s="464">
        <v>2.62</v>
      </c>
      <c r="AA152" s="464">
        <v>0.89139999999999997</v>
      </c>
      <c r="AB152" s="464">
        <v>2.6</v>
      </c>
      <c r="AC152" s="464">
        <v>2.5099999999999998</v>
      </c>
      <c r="AD152" s="464">
        <v>2.69</v>
      </c>
      <c r="AE152" s="464">
        <v>2.4700000000000002</v>
      </c>
      <c r="AF152" s="464">
        <v>1.0499999999999999E-6</v>
      </c>
      <c r="AG152" s="464">
        <v>1.4600000000000001E-5</v>
      </c>
      <c r="AH152" s="464">
        <v>-4.3673770272427141</v>
      </c>
      <c r="AI152" s="464">
        <v>-3.2242134705282148</v>
      </c>
      <c r="AJ152" s="464">
        <v>-3.2242134705282148</v>
      </c>
      <c r="AK152" s="464">
        <v>-7.2924100000000003</v>
      </c>
      <c r="AL152" s="464">
        <v>-4.37</v>
      </c>
      <c r="AM152" s="464" t="s">
        <v>5921</v>
      </c>
      <c r="AN152" s="464">
        <v>2.9</v>
      </c>
      <c r="AO152" s="464" t="s">
        <v>6311</v>
      </c>
      <c r="AP152" s="464" t="s">
        <v>6311</v>
      </c>
      <c r="AQ152" s="464" t="s">
        <v>6</v>
      </c>
      <c r="AR152" s="464" t="s">
        <v>266</v>
      </c>
      <c r="AS152" s="464" t="s">
        <v>8444</v>
      </c>
      <c r="AT152" s="464" t="s">
        <v>8445</v>
      </c>
      <c r="AU152" s="464" t="s">
        <v>8445</v>
      </c>
      <c r="AV152" s="464" t="s">
        <v>8446</v>
      </c>
      <c r="AW152" s="464" t="s">
        <v>6360</v>
      </c>
      <c r="AX152" s="464" t="s">
        <v>536</v>
      </c>
      <c r="AY152" s="464" t="s">
        <v>8447</v>
      </c>
      <c r="AZ152" s="464" t="s">
        <v>1764</v>
      </c>
      <c r="BA152" s="464" t="s">
        <v>6359</v>
      </c>
      <c r="BB152" s="464" t="s">
        <v>5921</v>
      </c>
      <c r="BC152" s="464" t="s">
        <v>1712</v>
      </c>
      <c r="BD152" s="464" t="s">
        <v>539</v>
      </c>
      <c r="BE152" s="464" t="s">
        <v>539</v>
      </c>
      <c r="BF152" s="464" t="s">
        <v>272</v>
      </c>
      <c r="BG152" s="464">
        <v>0.5</v>
      </c>
      <c r="BH152" s="464">
        <v>8</v>
      </c>
      <c r="BI152" s="464" t="s">
        <v>6365</v>
      </c>
      <c r="BJ152" s="464">
        <v>61.925800289105773</v>
      </c>
      <c r="BK152" s="464" t="s">
        <v>5921</v>
      </c>
      <c r="BL152" s="464" t="s">
        <v>5921</v>
      </c>
      <c r="BM152" s="464">
        <v>3</v>
      </c>
      <c r="BN152" s="464" t="s">
        <v>5921</v>
      </c>
      <c r="BO152" s="464">
        <v>2.7</v>
      </c>
      <c r="BP152" s="464" t="s">
        <v>5921</v>
      </c>
      <c r="BQ152" s="464" t="s">
        <v>5921</v>
      </c>
      <c r="BR152" s="464" t="s">
        <v>5921</v>
      </c>
      <c r="BS152" s="464" t="s">
        <v>5921</v>
      </c>
      <c r="BT152" s="464" t="s">
        <v>5921</v>
      </c>
      <c r="BU152" s="464" t="s">
        <v>5921</v>
      </c>
      <c r="BV152" s="464" t="s">
        <v>5921</v>
      </c>
      <c r="BW152" s="464" t="s">
        <v>5921</v>
      </c>
      <c r="BX152" s="464" t="s">
        <v>5921</v>
      </c>
      <c r="BY152" s="464" t="s">
        <v>5921</v>
      </c>
      <c r="BZ152" s="464" t="s">
        <v>5921</v>
      </c>
      <c r="CA152" s="464" t="s">
        <v>5921</v>
      </c>
      <c r="CB152" s="464" t="s">
        <v>5921</v>
      </c>
      <c r="CC152" s="464" t="s">
        <v>5921</v>
      </c>
      <c r="CD152" s="464" t="s">
        <v>5921</v>
      </c>
      <c r="CE152" s="464" t="s">
        <v>5921</v>
      </c>
      <c r="CF152" s="464" t="s">
        <v>5921</v>
      </c>
      <c r="CG152" s="464">
        <v>2.7</v>
      </c>
      <c r="CH152" s="464">
        <v>0.43136376415898736</v>
      </c>
      <c r="CI152" s="464">
        <v>7.7407250361382216</v>
      </c>
      <c r="CJ152" s="464">
        <v>22.935481588557693</v>
      </c>
      <c r="CK152" s="464">
        <v>0.35012181688711158</v>
      </c>
      <c r="CL152" s="464">
        <v>3.5724665421283341</v>
      </c>
      <c r="CM152" s="464" t="s">
        <v>5921</v>
      </c>
      <c r="CN152" s="464" t="s">
        <v>6364</v>
      </c>
      <c r="CO152" s="464">
        <v>0.74774431752431614</v>
      </c>
      <c r="CP152" s="464">
        <v>0.48263570401992734</v>
      </c>
      <c r="CQ152" s="464" t="s">
        <v>539</v>
      </c>
      <c r="CR152" s="464" t="s">
        <v>6310</v>
      </c>
      <c r="CS152" s="464">
        <v>109.19553078221819</v>
      </c>
      <c r="CT152" s="464">
        <v>36.853491638998641</v>
      </c>
      <c r="CU152" s="464">
        <v>1</v>
      </c>
      <c r="CV152" s="464" t="s">
        <v>539</v>
      </c>
      <c r="CW152" s="464" t="s">
        <v>6351</v>
      </c>
    </row>
    <row r="153" spans="1:101" x14ac:dyDescent="0.2">
      <c r="A153" s="464">
        <v>2166</v>
      </c>
      <c r="B153" s="464" t="s">
        <v>1894</v>
      </c>
      <c r="C153" s="464" t="s">
        <v>6427</v>
      </c>
      <c r="D153" s="464" t="s">
        <v>1696</v>
      </c>
      <c r="E153" s="464">
        <v>51285</v>
      </c>
      <c r="F153" s="464" t="s">
        <v>1697</v>
      </c>
      <c r="G153" s="464" t="s">
        <v>1697</v>
      </c>
      <c r="H153" s="464" t="s">
        <v>1698</v>
      </c>
      <c r="I153" s="464" t="s">
        <v>1693</v>
      </c>
      <c r="J153" s="464" t="s">
        <v>6110</v>
      </c>
      <c r="K153" s="464" t="s">
        <v>497</v>
      </c>
      <c r="L153" s="464" t="s">
        <v>6381</v>
      </c>
      <c r="M153" s="464" t="s">
        <v>6086</v>
      </c>
      <c r="N153" s="464" t="s">
        <v>8470</v>
      </c>
      <c r="O153" s="464" t="s">
        <v>6173</v>
      </c>
      <c r="P153" s="464" t="s">
        <v>8448</v>
      </c>
      <c r="Q153" s="464" t="s">
        <v>6173</v>
      </c>
      <c r="R153" s="464">
        <v>184.11</v>
      </c>
      <c r="S153" s="464">
        <v>2790</v>
      </c>
      <c r="T153" s="464">
        <v>1971</v>
      </c>
      <c r="U153" s="464">
        <v>1135.2130579271745</v>
      </c>
      <c r="V153" s="464">
        <v>1135.2130579271745</v>
      </c>
      <c r="W153" s="464">
        <v>3.15</v>
      </c>
      <c r="X153" s="464">
        <v>1.73</v>
      </c>
      <c r="Y153" s="464">
        <v>1.67</v>
      </c>
      <c r="Z153" s="464">
        <v>1.62</v>
      </c>
      <c r="AA153" s="464">
        <v>0.79949999999999999</v>
      </c>
      <c r="AB153" s="464">
        <v>1.66</v>
      </c>
      <c r="AC153" s="464">
        <v>1.74</v>
      </c>
      <c r="AD153" s="464">
        <v>1.67</v>
      </c>
      <c r="AE153" s="464">
        <v>0.7</v>
      </c>
      <c r="AF153" s="464">
        <v>2.7599999999999999E-8</v>
      </c>
      <c r="AG153" s="464">
        <v>8.6000000000000002E-8</v>
      </c>
      <c r="AH153" s="464">
        <v>-5.9476572442474342</v>
      </c>
      <c r="AI153" s="464">
        <v>-5.4540678750690841</v>
      </c>
      <c r="AJ153" s="464">
        <v>-5.4540678750690841</v>
      </c>
      <c r="AK153" s="464">
        <v>-9.2873400000000004</v>
      </c>
      <c r="AL153" s="464">
        <v>-5.58</v>
      </c>
      <c r="AM153" s="464">
        <v>4.04</v>
      </c>
      <c r="AN153" s="464" t="s">
        <v>5921</v>
      </c>
      <c r="AO153" s="464" t="s">
        <v>6311</v>
      </c>
      <c r="AP153" s="464" t="s">
        <v>6311</v>
      </c>
      <c r="AQ153" s="464" t="s">
        <v>5921</v>
      </c>
      <c r="AR153" s="464" t="s">
        <v>266</v>
      </c>
      <c r="AS153" s="464" t="s">
        <v>8444</v>
      </c>
      <c r="AT153" s="464" t="s">
        <v>8445</v>
      </c>
      <c r="AU153" s="464" t="s">
        <v>8445</v>
      </c>
      <c r="AV153" s="464" t="s">
        <v>8446</v>
      </c>
      <c r="AW153" s="464" t="s">
        <v>6360</v>
      </c>
      <c r="AX153" s="464" t="s">
        <v>536</v>
      </c>
      <c r="AY153" s="464" t="s">
        <v>8447</v>
      </c>
      <c r="AZ153" s="464" t="s">
        <v>1764</v>
      </c>
      <c r="BA153" s="464" t="s">
        <v>6359</v>
      </c>
      <c r="BB153" s="464" t="s">
        <v>5921</v>
      </c>
      <c r="BC153" s="464" t="s">
        <v>1712</v>
      </c>
      <c r="BD153" s="464" t="s">
        <v>539</v>
      </c>
      <c r="BE153" s="464" t="s">
        <v>539</v>
      </c>
      <c r="BF153" s="464" t="s">
        <v>272</v>
      </c>
      <c r="BG153" s="464">
        <v>0.625</v>
      </c>
      <c r="BH153" s="464">
        <v>10</v>
      </c>
      <c r="BI153" s="464" t="s">
        <v>5921</v>
      </c>
      <c r="BJ153" s="464">
        <v>264.34090833793243</v>
      </c>
      <c r="BK153" s="464" t="s">
        <v>5921</v>
      </c>
      <c r="BL153" s="464" t="s">
        <v>5921</v>
      </c>
      <c r="BM153" s="464">
        <v>4.0999999999999996</v>
      </c>
      <c r="BN153" s="464" t="s">
        <v>5921</v>
      </c>
      <c r="BO153" s="464">
        <v>3</v>
      </c>
      <c r="BP153" s="464" t="s">
        <v>5921</v>
      </c>
      <c r="BQ153" s="464" t="s">
        <v>5921</v>
      </c>
      <c r="BR153" s="464" t="s">
        <v>5921</v>
      </c>
      <c r="BS153" s="464" t="s">
        <v>5921</v>
      </c>
      <c r="BT153" s="464" t="s">
        <v>5921</v>
      </c>
      <c r="BU153" s="464" t="s">
        <v>5921</v>
      </c>
      <c r="BV153" s="464" t="s">
        <v>5921</v>
      </c>
      <c r="BW153" s="464" t="s">
        <v>5921</v>
      </c>
      <c r="BX153" s="464" t="s">
        <v>5921</v>
      </c>
      <c r="BY153" s="464" t="s">
        <v>5921</v>
      </c>
      <c r="BZ153" s="464" t="s">
        <v>5921</v>
      </c>
      <c r="CA153" s="464" t="s">
        <v>5921</v>
      </c>
      <c r="CB153" s="464" t="s">
        <v>5921</v>
      </c>
      <c r="CC153" s="464" t="s">
        <v>5921</v>
      </c>
      <c r="CD153" s="464" t="s">
        <v>5921</v>
      </c>
      <c r="CE153" s="464" t="s">
        <v>5921</v>
      </c>
      <c r="CF153" s="464" t="s">
        <v>5921</v>
      </c>
      <c r="CG153" s="464">
        <v>3</v>
      </c>
      <c r="CH153" s="464">
        <v>0.47712125471966244</v>
      </c>
      <c r="CI153" s="464">
        <v>26.434090833793242</v>
      </c>
      <c r="CJ153" s="464">
        <v>88.113636112644144</v>
      </c>
      <c r="CK153" s="464">
        <v>5.5476152000535031E-2</v>
      </c>
      <c r="CL153" s="464">
        <v>8.8008343754449907</v>
      </c>
      <c r="CM153" s="464" t="s">
        <v>5921</v>
      </c>
      <c r="CN153" s="464" t="s">
        <v>6364</v>
      </c>
      <c r="CO153" s="464">
        <v>0.73554580874365427</v>
      </c>
      <c r="CP153" s="464">
        <v>0.55153800767253536</v>
      </c>
      <c r="CQ153" s="464" t="s">
        <v>539</v>
      </c>
      <c r="CR153" s="464" t="s">
        <v>5921</v>
      </c>
      <c r="CS153" s="464">
        <v>378.40435264239153</v>
      </c>
      <c r="CT153" s="464">
        <v>113.52130579271746</v>
      </c>
      <c r="CU153" s="464">
        <v>1</v>
      </c>
      <c r="CV153" s="464" t="s">
        <v>539</v>
      </c>
      <c r="CW153" s="464" t="s">
        <v>6351</v>
      </c>
    </row>
    <row r="154" spans="1:101" x14ac:dyDescent="0.2">
      <c r="A154" s="464">
        <v>2168</v>
      </c>
      <c r="B154" s="464" t="s">
        <v>620</v>
      </c>
      <c r="C154" s="464" t="s">
        <v>6472</v>
      </c>
      <c r="D154" s="464" t="s">
        <v>621</v>
      </c>
      <c r="E154" s="464">
        <v>121755</v>
      </c>
      <c r="F154" s="464" t="s">
        <v>622</v>
      </c>
      <c r="G154" s="464" t="s">
        <v>622</v>
      </c>
      <c r="H154" s="464" t="s">
        <v>623</v>
      </c>
      <c r="I154" s="464" t="s">
        <v>624</v>
      </c>
      <c r="J154" s="464" t="s">
        <v>316</v>
      </c>
      <c r="K154" s="464" t="s">
        <v>1867</v>
      </c>
      <c r="L154" s="464" t="s">
        <v>6376</v>
      </c>
      <c r="M154" s="464" t="s">
        <v>281</v>
      </c>
      <c r="N154" s="464" t="s">
        <v>8470</v>
      </c>
      <c r="O154" s="464" t="s">
        <v>6173</v>
      </c>
      <c r="P154" s="464" t="s">
        <v>8448</v>
      </c>
      <c r="Q154" s="464" t="s">
        <v>6173</v>
      </c>
      <c r="R154" s="464">
        <v>330.36</v>
      </c>
      <c r="S154" s="464">
        <v>143</v>
      </c>
      <c r="T154" s="464">
        <v>78.45</v>
      </c>
      <c r="U154" s="464">
        <v>185.77508018988354</v>
      </c>
      <c r="V154" s="464">
        <v>185.77508018988354</v>
      </c>
      <c r="W154" s="464">
        <v>7</v>
      </c>
      <c r="X154" s="464">
        <v>2.29</v>
      </c>
      <c r="Y154" s="464">
        <v>2.36</v>
      </c>
      <c r="Z154" s="464">
        <v>2.69</v>
      </c>
      <c r="AA154" s="464">
        <v>0.8125</v>
      </c>
      <c r="AB154" s="464">
        <v>2.76</v>
      </c>
      <c r="AC154" s="464">
        <v>2.93</v>
      </c>
      <c r="AD154" s="464">
        <v>2.36</v>
      </c>
      <c r="AE154" s="464">
        <v>2.3199999999999998</v>
      </c>
      <c r="AF154" s="464">
        <v>8.39E-10</v>
      </c>
      <c r="AG154" s="464">
        <v>4.8900000000000003E-9</v>
      </c>
      <c r="AH154" s="464">
        <v>-7.4648043654839515</v>
      </c>
      <c r="AI154" s="464">
        <v>-6.6992574671890317</v>
      </c>
      <c r="AJ154" s="464">
        <v>-6.6992574671890317</v>
      </c>
      <c r="AK154" s="464">
        <v>-12.449109999999999</v>
      </c>
      <c r="AL154" s="464">
        <v>-5.94</v>
      </c>
      <c r="AM154" s="464" t="s">
        <v>5921</v>
      </c>
      <c r="AN154" s="464" t="s">
        <v>5921</v>
      </c>
      <c r="AO154" s="464" t="s">
        <v>6312</v>
      </c>
      <c r="AP154" s="464" t="s">
        <v>6312</v>
      </c>
      <c r="AQ154" s="464" t="s">
        <v>6</v>
      </c>
      <c r="AR154" s="464" t="s">
        <v>266</v>
      </c>
      <c r="AS154" s="464" t="s">
        <v>8444</v>
      </c>
      <c r="AT154" s="464" t="s">
        <v>8445</v>
      </c>
      <c r="AU154" s="464" t="s">
        <v>8445</v>
      </c>
      <c r="AV154" s="464" t="s">
        <v>8446</v>
      </c>
      <c r="AW154" s="464" t="s">
        <v>6360</v>
      </c>
      <c r="AX154" s="464" t="s">
        <v>536</v>
      </c>
      <c r="AY154" s="464" t="s">
        <v>8447</v>
      </c>
      <c r="AZ154" s="464" t="s">
        <v>1764</v>
      </c>
      <c r="BA154" s="464" t="s">
        <v>6359</v>
      </c>
      <c r="BB154" s="464" t="s">
        <v>5921</v>
      </c>
      <c r="BC154" s="464" t="s">
        <v>1712</v>
      </c>
      <c r="BD154" s="464" t="s">
        <v>539</v>
      </c>
      <c r="BE154" s="464" t="s">
        <v>539</v>
      </c>
      <c r="BF154" s="464" t="s">
        <v>272</v>
      </c>
      <c r="BG154" s="464">
        <v>0.49999999999999994</v>
      </c>
      <c r="BH154" s="464">
        <v>7.9999999999999991</v>
      </c>
      <c r="BI154" s="464" t="s">
        <v>5921</v>
      </c>
      <c r="BJ154" s="464">
        <v>148.98359766722712</v>
      </c>
      <c r="BK154" s="464" t="s">
        <v>5921</v>
      </c>
      <c r="BL154" s="464" t="s">
        <v>5921</v>
      </c>
      <c r="BM154" s="464">
        <v>6.1230000000000002</v>
      </c>
      <c r="BN154" s="464" t="s">
        <v>5921</v>
      </c>
      <c r="BO154" s="464">
        <v>4.5599999999999996</v>
      </c>
      <c r="BP154" s="464" t="s">
        <v>5921</v>
      </c>
      <c r="BQ154" s="464" t="s">
        <v>5921</v>
      </c>
      <c r="BR154" s="464" t="s">
        <v>5921</v>
      </c>
      <c r="BS154" s="464" t="s">
        <v>5921</v>
      </c>
      <c r="BT154" s="464" t="s">
        <v>5921</v>
      </c>
      <c r="BU154" s="464" t="s">
        <v>5921</v>
      </c>
      <c r="BV154" s="464" t="s">
        <v>5921</v>
      </c>
      <c r="BW154" s="464" t="s">
        <v>5921</v>
      </c>
      <c r="BX154" s="464" t="s">
        <v>5921</v>
      </c>
      <c r="BY154" s="464" t="s">
        <v>5921</v>
      </c>
      <c r="BZ154" s="464" t="s">
        <v>5921</v>
      </c>
      <c r="CA154" s="464" t="s">
        <v>5921</v>
      </c>
      <c r="CB154" s="464" t="s">
        <v>5921</v>
      </c>
      <c r="CC154" s="464" t="s">
        <v>5921</v>
      </c>
      <c r="CD154" s="464" t="s">
        <v>5921</v>
      </c>
      <c r="CE154" s="464" t="s">
        <v>5921</v>
      </c>
      <c r="CF154" s="464" t="s">
        <v>5921</v>
      </c>
      <c r="CG154" s="464">
        <v>4.5599999999999996</v>
      </c>
      <c r="CH154" s="464">
        <v>0.658964842664435</v>
      </c>
      <c r="CI154" s="464">
        <v>18.622949708403393</v>
      </c>
      <c r="CJ154" s="464">
        <v>32.671841593690161</v>
      </c>
      <c r="CK154" s="464">
        <v>-1.0170155211093046</v>
      </c>
      <c r="CL154" s="464">
        <v>83.196586548954244</v>
      </c>
      <c r="CM154" s="464" t="s">
        <v>5921</v>
      </c>
      <c r="CN154" s="464" t="s">
        <v>6355</v>
      </c>
      <c r="CO154" s="464">
        <v>-0.606977785182086</v>
      </c>
      <c r="CP154" s="464">
        <v>18.44771700871425</v>
      </c>
      <c r="CQ154" s="464" t="s">
        <v>539</v>
      </c>
      <c r="CR154" s="464" t="s">
        <v>5921</v>
      </c>
      <c r="CS154" s="464">
        <v>40.740149164448148</v>
      </c>
      <c r="CT154" s="464">
        <v>23.221885023735446</v>
      </c>
      <c r="CU154" s="464">
        <v>1</v>
      </c>
      <c r="CV154" s="464" t="s">
        <v>539</v>
      </c>
      <c r="CW154" s="464" t="s">
        <v>5921</v>
      </c>
    </row>
    <row r="155" spans="1:101" x14ac:dyDescent="0.2">
      <c r="A155" s="464">
        <v>2169</v>
      </c>
      <c r="B155" s="464" t="s">
        <v>1392</v>
      </c>
      <c r="C155" s="464" t="s">
        <v>6529</v>
      </c>
      <c r="D155" s="464" t="s">
        <v>1393</v>
      </c>
      <c r="E155" s="464">
        <v>67747095</v>
      </c>
      <c r="F155" s="464" t="s">
        <v>1394</v>
      </c>
      <c r="G155" s="464" t="s">
        <v>7941</v>
      </c>
      <c r="H155" s="464" t="s">
        <v>1395</v>
      </c>
      <c r="I155" s="464" t="s">
        <v>1064</v>
      </c>
      <c r="J155" s="464" t="s">
        <v>6007</v>
      </c>
      <c r="K155" s="464" t="s">
        <v>6008</v>
      </c>
      <c r="L155" s="464" t="s">
        <v>6386</v>
      </c>
      <c r="M155" s="464" t="s">
        <v>6009</v>
      </c>
      <c r="N155" s="464" t="s">
        <v>8470</v>
      </c>
      <c r="O155" s="464" t="s">
        <v>6173</v>
      </c>
      <c r="P155" s="464" t="s">
        <v>8448</v>
      </c>
      <c r="Q155" s="464" t="s">
        <v>6173</v>
      </c>
      <c r="R155" s="464">
        <v>376.66</v>
      </c>
      <c r="S155" s="464">
        <v>33.999097353120767</v>
      </c>
      <c r="T155" s="464">
        <v>1.3439643188998329</v>
      </c>
      <c r="U155" s="464">
        <v>24.885679412654092</v>
      </c>
      <c r="V155" s="464">
        <v>24.885679412654092</v>
      </c>
      <c r="W155" s="464">
        <v>7.37</v>
      </c>
      <c r="X155" s="464">
        <v>4.13</v>
      </c>
      <c r="Y155" s="464">
        <v>4.0999999999999996</v>
      </c>
      <c r="Z155" s="464">
        <v>4.1100000000000003</v>
      </c>
      <c r="AA155" s="464">
        <v>0.85909999999999997</v>
      </c>
      <c r="AB155" s="464">
        <v>4.08</v>
      </c>
      <c r="AC155" s="464">
        <v>3.98</v>
      </c>
      <c r="AD155" s="464">
        <v>4.0999999999999996</v>
      </c>
      <c r="AE155" s="464">
        <v>4.18</v>
      </c>
      <c r="AF155" s="464">
        <v>7.5799999999999996E-12</v>
      </c>
      <c r="AG155" s="464">
        <v>1.6400000000000001E-8</v>
      </c>
      <c r="AH155" s="464">
        <v>-9.508897120680599</v>
      </c>
      <c r="AI155" s="464">
        <v>-6.1737224782649536</v>
      </c>
      <c r="AJ155" s="464">
        <v>-6.1737224782649536</v>
      </c>
      <c r="AK155" s="464">
        <v>-16.703500000000002</v>
      </c>
      <c r="AL155" s="464">
        <v>-6.14</v>
      </c>
      <c r="AM155" s="464" t="s">
        <v>5921</v>
      </c>
      <c r="AN155" s="464">
        <v>4.84</v>
      </c>
      <c r="AO155" s="464" t="s">
        <v>6311</v>
      </c>
      <c r="AP155" s="464" t="s">
        <v>6311</v>
      </c>
      <c r="AQ155" s="464" t="s">
        <v>6</v>
      </c>
      <c r="AR155" s="464" t="s">
        <v>266</v>
      </c>
      <c r="AS155" s="464" t="s">
        <v>8444</v>
      </c>
      <c r="AT155" s="464" t="s">
        <v>8445</v>
      </c>
      <c r="AU155" s="464" t="s">
        <v>8445</v>
      </c>
      <c r="AV155" s="464" t="s">
        <v>8446</v>
      </c>
      <c r="AW155" s="464" t="s">
        <v>6360</v>
      </c>
      <c r="AX155" s="464" t="s">
        <v>536</v>
      </c>
      <c r="AY155" s="464" t="s">
        <v>8447</v>
      </c>
      <c r="AZ155" s="464" t="s">
        <v>1764</v>
      </c>
      <c r="BA155" s="464" t="s">
        <v>6359</v>
      </c>
      <c r="BB155" s="464" t="s">
        <v>5921</v>
      </c>
      <c r="BC155" s="464" t="s">
        <v>1712</v>
      </c>
      <c r="BD155" s="464" t="s">
        <v>539</v>
      </c>
      <c r="BE155" s="464" t="s">
        <v>539</v>
      </c>
      <c r="BF155" s="464" t="s">
        <v>272</v>
      </c>
      <c r="BG155" s="464">
        <v>0.5</v>
      </c>
      <c r="BH155" s="464">
        <v>8</v>
      </c>
      <c r="BI155" s="464" t="s">
        <v>6367</v>
      </c>
      <c r="BJ155" s="464">
        <v>3.7809114141658466</v>
      </c>
      <c r="BK155" s="464" t="s">
        <v>5921</v>
      </c>
      <c r="BL155" s="464" t="s">
        <v>5921</v>
      </c>
      <c r="BM155" s="464">
        <v>4.4610000000000003</v>
      </c>
      <c r="BN155" s="464" t="s">
        <v>5921</v>
      </c>
      <c r="BO155" s="464">
        <v>5.6</v>
      </c>
      <c r="BP155" s="464" t="s">
        <v>5921</v>
      </c>
      <c r="BQ155" s="464" t="s">
        <v>5921</v>
      </c>
      <c r="BR155" s="464" t="s">
        <v>5921</v>
      </c>
      <c r="BS155" s="464" t="s">
        <v>5921</v>
      </c>
      <c r="BT155" s="464" t="s">
        <v>5921</v>
      </c>
      <c r="BU155" s="464" t="s">
        <v>5921</v>
      </c>
      <c r="BV155" s="464" t="s">
        <v>5921</v>
      </c>
      <c r="BW155" s="464" t="s">
        <v>5921</v>
      </c>
      <c r="BX155" s="464" t="s">
        <v>5921</v>
      </c>
      <c r="BY155" s="464" t="s">
        <v>5921</v>
      </c>
      <c r="BZ155" s="464" t="s">
        <v>5921</v>
      </c>
      <c r="CA155" s="464" t="s">
        <v>5921</v>
      </c>
      <c r="CB155" s="464" t="s">
        <v>5921</v>
      </c>
      <c r="CC155" s="464" t="s">
        <v>5921</v>
      </c>
      <c r="CD155" s="464" t="s">
        <v>5921</v>
      </c>
      <c r="CE155" s="464" t="s">
        <v>5921</v>
      </c>
      <c r="CF155" s="464" t="s">
        <v>5921</v>
      </c>
      <c r="CG155" s="464">
        <v>4.4610000000000003</v>
      </c>
      <c r="CH155" s="464">
        <v>0.64943222324161665</v>
      </c>
      <c r="CI155" s="464">
        <v>0.47261392677073083</v>
      </c>
      <c r="CJ155" s="464">
        <v>0.84754795206587008</v>
      </c>
      <c r="CK155" s="464">
        <v>-0.23428417606624372</v>
      </c>
      <c r="CL155" s="464">
        <v>13.720633476855982</v>
      </c>
      <c r="CM155" s="464" t="s">
        <v>5921</v>
      </c>
      <c r="CN155" s="464" t="s">
        <v>6355</v>
      </c>
      <c r="CO155" s="464">
        <v>-0.23428417606624358</v>
      </c>
      <c r="CP155" s="464">
        <v>7.6509682425318157</v>
      </c>
      <c r="CQ155" s="464" t="s">
        <v>539</v>
      </c>
      <c r="CR155" s="464" t="s">
        <v>6310</v>
      </c>
      <c r="CS155" s="464">
        <v>5.5784979629352369</v>
      </c>
      <c r="CT155" s="464">
        <v>3.1107099265817615</v>
      </c>
      <c r="CU155" s="464">
        <v>1</v>
      </c>
      <c r="CV155" s="464" t="s">
        <v>539</v>
      </c>
      <c r="CW155" s="464" t="s">
        <v>5921</v>
      </c>
    </row>
    <row r="156" spans="1:101" x14ac:dyDescent="0.2">
      <c r="A156" s="464">
        <v>2172</v>
      </c>
      <c r="B156" s="464" t="s">
        <v>504</v>
      </c>
      <c r="C156" s="464" t="s">
        <v>6440</v>
      </c>
      <c r="D156" s="464" t="s">
        <v>1689</v>
      </c>
      <c r="E156" s="464">
        <v>67685</v>
      </c>
      <c r="F156" s="464" t="s">
        <v>505</v>
      </c>
      <c r="G156" s="464" t="s">
        <v>505</v>
      </c>
      <c r="H156" s="464" t="s">
        <v>506</v>
      </c>
      <c r="I156" s="464" t="s">
        <v>426</v>
      </c>
      <c r="J156" s="464" t="s">
        <v>279</v>
      </c>
      <c r="K156" s="464" t="s">
        <v>507</v>
      </c>
      <c r="L156" s="464" t="s">
        <v>6082</v>
      </c>
      <c r="M156" s="464" t="s">
        <v>281</v>
      </c>
      <c r="N156" s="464" t="s">
        <v>5921</v>
      </c>
      <c r="O156" s="464" t="s">
        <v>6173</v>
      </c>
      <c r="P156" s="464" t="s">
        <v>6185</v>
      </c>
      <c r="Q156" s="464" t="s">
        <v>6176</v>
      </c>
      <c r="R156" s="464">
        <v>78.13</v>
      </c>
      <c r="S156" s="464">
        <v>999999.99999999988</v>
      </c>
      <c r="T156" s="464">
        <v>999999.99999999988</v>
      </c>
      <c r="U156" s="464">
        <v>1006509.3747378461</v>
      </c>
      <c r="V156" s="464">
        <v>1006509.3747378461</v>
      </c>
      <c r="W156" s="464">
        <v>7</v>
      </c>
      <c r="X156" s="464">
        <v>-1.22</v>
      </c>
      <c r="Y156" s="464">
        <v>-1.35</v>
      </c>
      <c r="Z156" s="464">
        <v>-0.67</v>
      </c>
      <c r="AA156" s="464">
        <v>0.73660000000000003</v>
      </c>
      <c r="AB156" s="464">
        <v>-0.91</v>
      </c>
      <c r="AC156" s="464">
        <v>-1.35</v>
      </c>
      <c r="AD156" s="464">
        <v>-1.35</v>
      </c>
      <c r="AE156" s="464">
        <v>-0.34</v>
      </c>
      <c r="AF156" s="464">
        <v>4.9600000000000001E-8</v>
      </c>
      <c r="AG156" s="464">
        <v>1.51E-9</v>
      </c>
      <c r="AH156" s="464">
        <v>-5.6930846498224543</v>
      </c>
      <c r="AI156" s="464">
        <v>-7.2095893790194827</v>
      </c>
      <c r="AJ156" s="464">
        <v>-7.2095893790194827</v>
      </c>
      <c r="AK156" s="464">
        <v>-7.0543600000000009</v>
      </c>
      <c r="AL156" s="464">
        <v>2.0099999999999998</v>
      </c>
      <c r="AM156" s="464" t="s">
        <v>5921</v>
      </c>
      <c r="AN156" s="464" t="s">
        <v>5921</v>
      </c>
      <c r="AO156" s="464" t="s">
        <v>6311</v>
      </c>
      <c r="AP156" s="464" t="s">
        <v>6311</v>
      </c>
      <c r="AQ156" s="464" t="s">
        <v>282</v>
      </c>
      <c r="AR156" s="464" t="s">
        <v>266</v>
      </c>
      <c r="AS156" s="464" t="s">
        <v>8444</v>
      </c>
      <c r="AT156" s="464" t="s">
        <v>8445</v>
      </c>
      <c r="AU156" s="464" t="s">
        <v>8445</v>
      </c>
      <c r="AV156" s="464" t="s">
        <v>8446</v>
      </c>
      <c r="AW156" s="464" t="s">
        <v>6360</v>
      </c>
      <c r="AX156" s="464" t="s">
        <v>536</v>
      </c>
      <c r="AY156" s="464" t="s">
        <v>8447</v>
      </c>
      <c r="AZ156" s="464" t="s">
        <v>1764</v>
      </c>
      <c r="BA156" s="464" t="s">
        <v>6359</v>
      </c>
      <c r="BB156" s="464" t="s">
        <v>5921</v>
      </c>
      <c r="BC156" s="464" t="s">
        <v>1712</v>
      </c>
      <c r="BD156" s="464" t="s">
        <v>539</v>
      </c>
      <c r="BE156" s="464" t="s">
        <v>539</v>
      </c>
      <c r="BF156" s="464" t="s">
        <v>272</v>
      </c>
      <c r="BG156" s="464" t="s">
        <v>5921</v>
      </c>
      <c r="BH156" s="464" t="s">
        <v>5921</v>
      </c>
      <c r="BI156" s="464" t="s">
        <v>5921</v>
      </c>
      <c r="BJ156" s="464">
        <v>50037.986350047962</v>
      </c>
      <c r="BK156" s="464" t="s">
        <v>5921</v>
      </c>
      <c r="BL156" s="464" t="s">
        <v>5921</v>
      </c>
      <c r="BM156" s="464">
        <v>40200</v>
      </c>
      <c r="BN156" s="464" t="s">
        <v>5921</v>
      </c>
      <c r="BO156" s="464">
        <v>34100</v>
      </c>
      <c r="BP156" s="464" t="s">
        <v>5921</v>
      </c>
      <c r="BQ156" s="464" t="s">
        <v>5921</v>
      </c>
      <c r="BR156" s="464" t="s">
        <v>5921</v>
      </c>
      <c r="BS156" s="464" t="s">
        <v>5921</v>
      </c>
      <c r="BT156" s="464" t="s">
        <v>5921</v>
      </c>
      <c r="BU156" s="464" t="s">
        <v>5921</v>
      </c>
      <c r="BV156" s="464" t="s">
        <v>5921</v>
      </c>
      <c r="BW156" s="464" t="s">
        <v>5921</v>
      </c>
      <c r="BX156" s="464" t="s">
        <v>5921</v>
      </c>
      <c r="BY156" s="464" t="s">
        <v>5921</v>
      </c>
      <c r="BZ156" s="464" t="s">
        <v>5921</v>
      </c>
      <c r="CA156" s="464" t="s">
        <v>5921</v>
      </c>
      <c r="CB156" s="464" t="s">
        <v>5921</v>
      </c>
      <c r="CC156" s="464" t="s">
        <v>5921</v>
      </c>
      <c r="CD156" s="464" t="s">
        <v>5921</v>
      </c>
      <c r="CE156" s="464" t="s">
        <v>5921</v>
      </c>
      <c r="CF156" s="464" t="s">
        <v>5921</v>
      </c>
      <c r="CG156" s="464">
        <v>34100</v>
      </c>
      <c r="CH156" s="464">
        <v>4.5327543789924976</v>
      </c>
      <c r="CI156" s="464" t="s">
        <v>5921</v>
      </c>
      <c r="CJ156" s="464">
        <v>1.4673896290336645</v>
      </c>
      <c r="CK156" s="464">
        <v>4.5321166480173769</v>
      </c>
      <c r="CL156" s="464">
        <v>0</v>
      </c>
      <c r="CM156" s="464" t="s">
        <v>5921</v>
      </c>
      <c r="CN156" s="464" t="s">
        <v>6355</v>
      </c>
      <c r="CO156" s="464">
        <v>4.5498980085144174</v>
      </c>
      <c r="CP156" s="464">
        <v>0.96129430732647514</v>
      </c>
      <c r="CQ156" s="464" t="s">
        <v>539</v>
      </c>
      <c r="CR156" s="464" t="s">
        <v>5921</v>
      </c>
      <c r="CS156" s="464">
        <v>29.516403951256482</v>
      </c>
      <c r="CT156" s="464" t="s">
        <v>5921</v>
      </c>
      <c r="CU156" s="464">
        <v>1</v>
      </c>
      <c r="CV156" s="464" t="s">
        <v>539</v>
      </c>
      <c r="CW156" s="464" t="s">
        <v>6351</v>
      </c>
    </row>
    <row r="157" spans="1:101" x14ac:dyDescent="0.2">
      <c r="A157" s="464">
        <v>2173</v>
      </c>
      <c r="B157" s="464" t="s">
        <v>1795</v>
      </c>
      <c r="C157" s="464" t="s">
        <v>6551</v>
      </c>
      <c r="D157" s="464" t="s">
        <v>1796</v>
      </c>
      <c r="E157" s="464">
        <v>112276</v>
      </c>
      <c r="F157" s="464" t="s">
        <v>1797</v>
      </c>
      <c r="G157" s="464" t="s">
        <v>1797</v>
      </c>
      <c r="H157" s="464" t="s">
        <v>1798</v>
      </c>
      <c r="I157" s="464" t="s">
        <v>426</v>
      </c>
      <c r="J157" s="464" t="s">
        <v>5527</v>
      </c>
      <c r="K157" s="464" t="s">
        <v>6616</v>
      </c>
      <c r="L157" s="464" t="s">
        <v>6082</v>
      </c>
      <c r="M157" s="464" t="s">
        <v>5921</v>
      </c>
      <c r="N157" s="464" t="s">
        <v>5921</v>
      </c>
      <c r="O157" s="464" t="s">
        <v>6176</v>
      </c>
      <c r="P157" s="464" t="s">
        <v>6185</v>
      </c>
      <c r="Q157" s="464" t="s">
        <v>6176</v>
      </c>
      <c r="R157" s="464">
        <v>150.16999999999999</v>
      </c>
      <c r="S157" s="464">
        <v>1000000</v>
      </c>
      <c r="T157" s="464">
        <v>1000000</v>
      </c>
      <c r="U157" s="464">
        <v>992163.35087300697</v>
      </c>
      <c r="V157" s="464">
        <v>992163.35087300697</v>
      </c>
      <c r="W157" s="464">
        <v>6.58</v>
      </c>
      <c r="X157" s="464">
        <v>-1.75</v>
      </c>
      <c r="Y157" s="464">
        <v>-1.75</v>
      </c>
      <c r="Z157" s="464">
        <v>-1.01</v>
      </c>
      <c r="AA157" s="464">
        <v>0.8387</v>
      </c>
      <c r="AB157" s="464">
        <v>-1.24</v>
      </c>
      <c r="AC157" s="464">
        <v>-1.87</v>
      </c>
      <c r="AD157" s="464">
        <v>-1.75</v>
      </c>
      <c r="AE157" s="464">
        <v>-0.93</v>
      </c>
      <c r="AF157" s="464">
        <v>3.1599999999999999E-11</v>
      </c>
      <c r="AG157" s="464" t="s">
        <v>5921</v>
      </c>
      <c r="AH157" s="464">
        <v>-8.8888792436942481</v>
      </c>
      <c r="AI157" s="464" t="s">
        <v>5921</v>
      </c>
      <c r="AJ157" s="464">
        <v>-8.8888792436942481</v>
      </c>
      <c r="AK157" s="464">
        <v>-10.47321</v>
      </c>
      <c r="AL157" s="464">
        <v>-9.2100000000000009</v>
      </c>
      <c r="AM157" s="464">
        <v>14.06</v>
      </c>
      <c r="AN157" s="464" t="s">
        <v>5921</v>
      </c>
      <c r="AO157" s="464" t="s">
        <v>6311</v>
      </c>
      <c r="AP157" s="464" t="s">
        <v>6311</v>
      </c>
      <c r="AQ157" s="464" t="s">
        <v>6</v>
      </c>
      <c r="AR157" s="464" t="s">
        <v>266</v>
      </c>
      <c r="AS157" s="464" t="s">
        <v>8444</v>
      </c>
      <c r="AT157" s="464" t="s">
        <v>8445</v>
      </c>
      <c r="AU157" s="464" t="s">
        <v>8445</v>
      </c>
      <c r="AV157" s="464" t="s">
        <v>8446</v>
      </c>
      <c r="AW157" s="464" t="s">
        <v>6360</v>
      </c>
      <c r="AX157" s="464" t="s">
        <v>536</v>
      </c>
      <c r="AY157" s="464" t="s">
        <v>8447</v>
      </c>
      <c r="AZ157" s="464" t="s">
        <v>1764</v>
      </c>
      <c r="BA157" s="464" t="s">
        <v>6359</v>
      </c>
      <c r="BB157" s="464" t="s">
        <v>5921</v>
      </c>
      <c r="BC157" s="464" t="s">
        <v>1712</v>
      </c>
      <c r="BD157" s="464" t="s">
        <v>539</v>
      </c>
      <c r="BE157" s="464" t="s">
        <v>539</v>
      </c>
      <c r="BF157" s="464" t="s">
        <v>272</v>
      </c>
      <c r="BG157" s="464" t="s">
        <v>5921</v>
      </c>
      <c r="BH157" s="464" t="s">
        <v>5921</v>
      </c>
      <c r="BI157" s="464" t="s">
        <v>5921</v>
      </c>
      <c r="BJ157" s="464">
        <v>287778.39145830373</v>
      </c>
      <c r="BK157" s="464" t="s">
        <v>5921</v>
      </c>
      <c r="BL157" s="464" t="s">
        <v>5921</v>
      </c>
      <c r="BM157" s="464">
        <v>71300</v>
      </c>
      <c r="BN157" s="464" t="s">
        <v>5921</v>
      </c>
      <c r="BO157" s="464">
        <v>54799.999999999993</v>
      </c>
      <c r="BP157" s="464" t="s">
        <v>5921</v>
      </c>
      <c r="BQ157" s="464" t="s">
        <v>5921</v>
      </c>
      <c r="BR157" s="464" t="s">
        <v>5921</v>
      </c>
      <c r="BS157" s="464" t="s">
        <v>5921</v>
      </c>
      <c r="BT157" s="464" t="s">
        <v>5921</v>
      </c>
      <c r="BU157" s="464" t="s">
        <v>5921</v>
      </c>
      <c r="BV157" s="464" t="s">
        <v>5921</v>
      </c>
      <c r="BW157" s="464" t="s">
        <v>5921</v>
      </c>
      <c r="BX157" s="464" t="s">
        <v>5921</v>
      </c>
      <c r="BY157" s="464" t="s">
        <v>5921</v>
      </c>
      <c r="BZ157" s="464" t="s">
        <v>5921</v>
      </c>
      <c r="CA157" s="464" t="s">
        <v>5921</v>
      </c>
      <c r="CB157" s="464" t="s">
        <v>5921</v>
      </c>
      <c r="CC157" s="464" t="s">
        <v>5921</v>
      </c>
      <c r="CD157" s="464" t="s">
        <v>5921</v>
      </c>
      <c r="CE157" s="464" t="s">
        <v>5921</v>
      </c>
      <c r="CF157" s="464" t="s">
        <v>5921</v>
      </c>
      <c r="CG157" s="464">
        <v>54799.999999999993</v>
      </c>
      <c r="CH157" s="464">
        <v>4.7387805584843692</v>
      </c>
      <c r="CI157" s="464" t="s">
        <v>5921</v>
      </c>
      <c r="CJ157" s="464">
        <v>5.2514305010639371</v>
      </c>
      <c r="CK157" s="464" t="s">
        <v>5921</v>
      </c>
      <c r="CL157" s="464" t="s">
        <v>5921</v>
      </c>
      <c r="CM157" s="464" t="s">
        <v>5921</v>
      </c>
      <c r="CN157" s="464" t="s">
        <v>6355</v>
      </c>
      <c r="CO157" s="464">
        <v>4.8629941487295589</v>
      </c>
      <c r="CP157" s="464">
        <v>0.75125332946239287</v>
      </c>
      <c r="CQ157" s="464" t="s">
        <v>539</v>
      </c>
      <c r="CR157" s="464" t="s">
        <v>5921</v>
      </c>
      <c r="CS157" s="464">
        <v>18.105170636368744</v>
      </c>
      <c r="CT157" s="464" t="s">
        <v>5921</v>
      </c>
      <c r="CU157" s="464">
        <v>1</v>
      </c>
      <c r="CV157" s="464" t="s">
        <v>539</v>
      </c>
      <c r="CW157" s="464" t="s">
        <v>6351</v>
      </c>
    </row>
  </sheetData>
  <autoFilter ref="A1:A157">
    <sortState ref="A2:CW157">
      <sortCondition ref="A1:A157"/>
    </sortState>
  </autoFilter>
  <sortState ref="A2:CW157">
    <sortCondition ref="A2:A157"/>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CY2046"/>
  <sheetViews>
    <sheetView topLeftCell="B1" zoomScale="85" zoomScaleNormal="85" workbookViewId="0">
      <selection activeCell="B511" sqref="B511:B711"/>
    </sheetView>
  </sheetViews>
  <sheetFormatPr defaultColWidth="17.28515625" defaultRowHeight="15" customHeight="1" x14ac:dyDescent="0.2"/>
  <cols>
    <col min="1" max="1" width="6.140625" style="72" hidden="1" customWidth="1"/>
    <col min="2" max="2" width="8.28515625" style="142" customWidth="1"/>
    <col min="3" max="3" width="48" style="308" customWidth="1"/>
    <col min="4" max="4" width="12.42578125" style="308" customWidth="1"/>
    <col min="5" max="5" width="9.28515625" style="309" customWidth="1"/>
    <col min="6" max="6" width="26.42578125" style="142" customWidth="1"/>
    <col min="7" max="7" width="18" style="142" customWidth="1"/>
    <col min="8" max="8" width="46" style="142" customWidth="1"/>
    <col min="9" max="9" width="11.140625" style="142" customWidth="1"/>
    <col min="10" max="10" width="12.42578125" style="142" customWidth="1"/>
    <col min="11" max="11" width="23.7109375" style="142" customWidth="1"/>
    <col min="12" max="12" width="14" style="308" customWidth="1"/>
    <col min="13" max="14" width="10.28515625" style="308" customWidth="1"/>
    <col min="15" max="15" width="13.85546875" style="308" customWidth="1"/>
    <col min="16" max="19" width="8.5703125" style="308" customWidth="1"/>
    <col min="20" max="21" width="10.28515625" style="142" customWidth="1"/>
    <col min="22" max="24" width="10" style="142" customWidth="1"/>
    <col min="25" max="25" width="15.140625" style="142" customWidth="1"/>
    <col min="26" max="32" width="12.140625" style="142" customWidth="1"/>
    <col min="33" max="33" width="11.140625" style="142" customWidth="1"/>
    <col min="34" max="34" width="11.140625" style="324" customWidth="1"/>
    <col min="35" max="35" width="13.5703125" style="142" customWidth="1"/>
    <col min="36" max="39" width="11.140625" style="142" customWidth="1"/>
    <col min="40" max="40" width="15.28515625" style="142" customWidth="1"/>
    <col min="41" max="44" width="8.5703125" style="142" customWidth="1"/>
    <col min="45" max="45" width="13.5703125" style="142" customWidth="1"/>
    <col min="46" max="46" width="17.28515625" style="142" customWidth="1"/>
    <col min="47" max="47" width="12.42578125" style="142" customWidth="1"/>
    <col min="48" max="48" width="13.5703125" style="142" customWidth="1"/>
    <col min="49" max="49" width="12.28515625" style="142" customWidth="1"/>
    <col min="50" max="50" width="10" style="142" customWidth="1"/>
    <col min="51" max="51" width="11" style="142" customWidth="1"/>
    <col min="52" max="52" width="10" style="142" customWidth="1"/>
    <col min="53" max="53" width="14.7109375" style="142" customWidth="1"/>
    <col min="54" max="54" width="11.42578125" style="142" customWidth="1"/>
    <col min="55" max="56" width="10" style="142" customWidth="1"/>
    <col min="57" max="57" width="15.42578125" style="142" customWidth="1"/>
    <col min="58" max="58" width="10" style="142" customWidth="1"/>
    <col min="59" max="59" width="11.42578125" style="142" customWidth="1"/>
    <col min="60" max="60" width="10" style="142" customWidth="1"/>
    <col min="61" max="61" width="13.85546875" style="142" customWidth="1"/>
    <col min="62" max="62" width="13.140625" style="142" customWidth="1"/>
    <col min="63" max="63" width="22.28515625" style="142" customWidth="1"/>
    <col min="64" max="65" width="11.140625" style="142" customWidth="1"/>
    <col min="66" max="66" width="6.7109375" style="142" customWidth="1"/>
    <col min="67" max="67" width="7.7109375" style="142" customWidth="1"/>
    <col min="68" max="68" width="6.7109375" style="142" customWidth="1"/>
    <col min="69" max="69" width="7.5703125" style="142" customWidth="1"/>
    <col min="70" max="86" width="6.7109375" style="142" customWidth="1"/>
    <col min="87" max="88" width="10.28515625" style="142" customWidth="1"/>
    <col min="89" max="89" width="20.7109375" style="142" customWidth="1"/>
    <col min="90" max="92" width="10.140625" style="142" customWidth="1"/>
    <col min="93" max="93" width="10.28515625" style="142" customWidth="1"/>
    <col min="94" max="94" width="25.5703125" style="142" customWidth="1"/>
    <col min="95" max="95" width="6.28515625" style="142" customWidth="1"/>
    <col min="96" max="96" width="7.85546875" style="142" customWidth="1"/>
    <col min="97" max="102" width="10.42578125" style="142" customWidth="1"/>
    <col min="103" max="16384" width="17.28515625" style="72"/>
  </cols>
  <sheetData>
    <row r="1" spans="1:103" ht="27" customHeight="1" x14ac:dyDescent="0.2">
      <c r="B1" s="431" t="s">
        <v>6642</v>
      </c>
      <c r="C1" s="426" t="s">
        <v>9</v>
      </c>
      <c r="D1" s="427"/>
      <c r="E1" s="427"/>
      <c r="F1" s="371"/>
      <c r="G1" s="371"/>
      <c r="H1" s="371"/>
      <c r="I1" s="371"/>
      <c r="J1" s="371"/>
      <c r="K1" s="372"/>
      <c r="L1" s="376" t="s">
        <v>26</v>
      </c>
      <c r="M1" s="376"/>
      <c r="N1" s="390" t="s">
        <v>6641</v>
      </c>
      <c r="O1" s="391"/>
      <c r="P1" s="387" t="s">
        <v>6640</v>
      </c>
      <c r="Q1" s="388"/>
      <c r="R1" s="388"/>
      <c r="S1" s="389"/>
      <c r="T1" s="386" t="s">
        <v>6637</v>
      </c>
      <c r="U1" s="406"/>
      <c r="V1" s="385"/>
      <c r="W1" s="385"/>
      <c r="X1" s="385"/>
      <c r="Y1" s="385"/>
      <c r="Z1" s="385"/>
      <c r="AA1" s="385"/>
      <c r="AB1" s="385"/>
      <c r="AC1" s="385"/>
      <c r="AD1" s="385"/>
      <c r="AE1" s="385"/>
      <c r="AF1" s="385"/>
      <c r="AG1" s="385"/>
      <c r="AH1" s="424"/>
      <c r="AI1" s="385"/>
      <c r="AJ1" s="385"/>
      <c r="AK1" s="385"/>
      <c r="AL1" s="385"/>
      <c r="AM1" s="385"/>
      <c r="AN1" s="385"/>
      <c r="AO1" s="373" t="s">
        <v>8401</v>
      </c>
      <c r="AP1" s="373" t="s">
        <v>8401</v>
      </c>
      <c r="AQ1" s="384" t="s">
        <v>6320</v>
      </c>
      <c r="AR1" s="375"/>
      <c r="AS1" s="382"/>
      <c r="AT1" s="376" t="s">
        <v>6633</v>
      </c>
      <c r="AU1" s="468"/>
      <c r="AV1" s="468"/>
      <c r="AW1" s="469"/>
      <c r="AX1" s="383" t="s">
        <v>149</v>
      </c>
      <c r="AY1" s="371"/>
      <c r="AZ1" s="371"/>
      <c r="BA1" s="371"/>
      <c r="BB1" s="371"/>
      <c r="BC1" s="371"/>
      <c r="BD1" s="371"/>
      <c r="BE1" s="371"/>
      <c r="BF1" s="371"/>
      <c r="BG1" s="371"/>
      <c r="BH1" s="372"/>
      <c r="BI1" s="381" t="s">
        <v>167</v>
      </c>
      <c r="BJ1" s="372"/>
      <c r="BK1" s="345" t="s">
        <v>6636</v>
      </c>
      <c r="BL1" s="377" t="s">
        <v>192</v>
      </c>
      <c r="BM1" s="373"/>
      <c r="BN1" s="378" t="s">
        <v>197</v>
      </c>
      <c r="BO1" s="470"/>
      <c r="BP1" s="470"/>
      <c r="BQ1" s="470"/>
      <c r="BR1" s="470"/>
      <c r="BS1" s="470"/>
      <c r="BT1" s="470"/>
      <c r="BU1" s="470"/>
      <c r="BV1" s="470"/>
      <c r="BW1" s="470"/>
      <c r="BX1" s="470"/>
      <c r="BY1" s="470"/>
      <c r="BZ1" s="470"/>
      <c r="CA1" s="470"/>
      <c r="CB1" s="470"/>
      <c r="CC1" s="470"/>
      <c r="CD1" s="470"/>
      <c r="CE1" s="470"/>
      <c r="CF1" s="470"/>
      <c r="CG1" s="470"/>
      <c r="CH1" s="470"/>
      <c r="CI1" s="470"/>
      <c r="CJ1" s="471"/>
      <c r="CK1" s="374"/>
      <c r="CL1" s="345"/>
      <c r="CM1" s="345"/>
      <c r="CN1" s="345"/>
      <c r="CO1" s="379"/>
      <c r="CP1" s="380"/>
      <c r="CQ1" s="347" t="s">
        <v>6354</v>
      </c>
      <c r="CR1" s="347"/>
      <c r="CS1" s="348"/>
      <c r="CT1" s="348"/>
      <c r="CU1" s="348"/>
      <c r="CV1" s="348"/>
      <c r="CW1" s="348"/>
      <c r="CX1" s="348"/>
      <c r="CY1" s="346"/>
    </row>
    <row r="2" spans="1:103" s="404" customFormat="1" ht="71.45" customHeight="1" x14ac:dyDescent="0.2">
      <c r="A2" s="404" t="s">
        <v>8725</v>
      </c>
      <c r="B2" s="428" t="s">
        <v>6643</v>
      </c>
      <c r="C2" s="430" t="s">
        <v>202</v>
      </c>
      <c r="D2" s="430" t="s">
        <v>6423</v>
      </c>
      <c r="E2" s="428" t="s">
        <v>6348</v>
      </c>
      <c r="F2" s="428" t="s">
        <v>203</v>
      </c>
      <c r="G2" s="428" t="s">
        <v>204</v>
      </c>
      <c r="H2" s="392" t="s">
        <v>205</v>
      </c>
      <c r="I2" s="428" t="s">
        <v>8339</v>
      </c>
      <c r="J2" s="392" t="s">
        <v>206</v>
      </c>
      <c r="K2" s="392" t="s">
        <v>207</v>
      </c>
      <c r="L2" s="428" t="s">
        <v>208</v>
      </c>
      <c r="M2" s="392" t="s">
        <v>5981</v>
      </c>
      <c r="N2" s="392" t="s">
        <v>6375</v>
      </c>
      <c r="O2" s="428" t="s">
        <v>209</v>
      </c>
      <c r="P2" s="393" t="s">
        <v>6638</v>
      </c>
      <c r="Q2" s="393" t="s">
        <v>6171</v>
      </c>
      <c r="R2" s="393" t="s">
        <v>6639</v>
      </c>
      <c r="S2" s="393" t="s">
        <v>6171</v>
      </c>
      <c r="T2" s="428" t="s">
        <v>210</v>
      </c>
      <c r="U2" s="428" t="s">
        <v>8342</v>
      </c>
      <c r="V2" s="394" t="s">
        <v>8343</v>
      </c>
      <c r="W2" s="394" t="s">
        <v>8344</v>
      </c>
      <c r="X2" s="394" t="s">
        <v>8346</v>
      </c>
      <c r="Y2" s="395" t="s">
        <v>8345</v>
      </c>
      <c r="Z2" s="428" t="s">
        <v>8340</v>
      </c>
      <c r="AA2" s="428" t="s">
        <v>8341</v>
      </c>
      <c r="AB2" s="428" t="s">
        <v>8411</v>
      </c>
      <c r="AC2" s="430" t="s">
        <v>8412</v>
      </c>
      <c r="AD2" s="428" t="s">
        <v>8413</v>
      </c>
      <c r="AE2" s="428" t="s">
        <v>8414</v>
      </c>
      <c r="AF2" s="396" t="s">
        <v>8416</v>
      </c>
      <c r="AG2" s="396" t="s">
        <v>8415</v>
      </c>
      <c r="AH2" s="394" t="s">
        <v>8403</v>
      </c>
      <c r="AI2" s="394" t="s">
        <v>8402</v>
      </c>
      <c r="AJ2" s="396" t="s">
        <v>8408</v>
      </c>
      <c r="AK2" s="396" t="s">
        <v>8407</v>
      </c>
      <c r="AL2" s="396" t="s">
        <v>8409</v>
      </c>
      <c r="AM2" s="396" t="s">
        <v>8410</v>
      </c>
      <c r="AN2" s="395" t="s">
        <v>217</v>
      </c>
      <c r="AO2" s="395" t="s">
        <v>8399</v>
      </c>
      <c r="AP2" s="395" t="s">
        <v>8400</v>
      </c>
      <c r="AQ2" s="395" t="s">
        <v>6318</v>
      </c>
      <c r="AR2" s="395" t="s">
        <v>6319</v>
      </c>
      <c r="AS2" s="428" t="s">
        <v>220</v>
      </c>
      <c r="AT2" s="392" t="s">
        <v>128</v>
      </c>
      <c r="AU2" s="428" t="s">
        <v>141</v>
      </c>
      <c r="AV2" s="428" t="s">
        <v>143</v>
      </c>
      <c r="AW2" s="428" t="s">
        <v>146</v>
      </c>
      <c r="AX2" s="428" t="s">
        <v>221</v>
      </c>
      <c r="AY2" s="428" t="s">
        <v>222</v>
      </c>
      <c r="AZ2" s="428" t="s">
        <v>223</v>
      </c>
      <c r="BA2" s="429" t="s">
        <v>224</v>
      </c>
      <c r="BB2" s="429" t="s">
        <v>225</v>
      </c>
      <c r="BC2" s="429" t="s">
        <v>226</v>
      </c>
      <c r="BD2" s="429" t="s">
        <v>8373</v>
      </c>
      <c r="BE2" s="428" t="s">
        <v>227</v>
      </c>
      <c r="BF2" s="428" t="s">
        <v>228</v>
      </c>
      <c r="BG2" s="428" t="s">
        <v>229</v>
      </c>
      <c r="BH2" s="428" t="s">
        <v>230</v>
      </c>
      <c r="BI2" s="397" t="s">
        <v>231</v>
      </c>
      <c r="BJ2" s="397" t="s">
        <v>232</v>
      </c>
      <c r="BK2" s="428" t="s">
        <v>6608</v>
      </c>
      <c r="BL2" s="394" t="s">
        <v>8351</v>
      </c>
      <c r="BM2" s="428" t="s">
        <v>6634</v>
      </c>
      <c r="BN2" s="428" t="s">
        <v>236</v>
      </c>
      <c r="BO2" s="428" t="s">
        <v>237</v>
      </c>
      <c r="BP2" s="428" t="s">
        <v>238</v>
      </c>
      <c r="BQ2" s="428" t="s">
        <v>239</v>
      </c>
      <c r="BR2" s="398" t="s">
        <v>240</v>
      </c>
      <c r="BS2" s="398" t="s">
        <v>241</v>
      </c>
      <c r="BT2" s="398" t="s">
        <v>242</v>
      </c>
      <c r="BU2" s="399" t="s">
        <v>243</v>
      </c>
      <c r="BV2" s="428" t="s">
        <v>244</v>
      </c>
      <c r="BW2" s="428" t="s">
        <v>245</v>
      </c>
      <c r="BX2" s="398" t="s">
        <v>246</v>
      </c>
      <c r="BY2" s="398" t="s">
        <v>247</v>
      </c>
      <c r="BZ2" s="398" t="s">
        <v>248</v>
      </c>
      <c r="CA2" s="398" t="s">
        <v>249</v>
      </c>
      <c r="CB2" s="398" t="s">
        <v>250</v>
      </c>
      <c r="CC2" s="398" t="s">
        <v>251</v>
      </c>
      <c r="CD2" s="398" t="s">
        <v>252</v>
      </c>
      <c r="CE2" s="398" t="s">
        <v>253</v>
      </c>
      <c r="CF2" s="398" t="s">
        <v>254</v>
      </c>
      <c r="CG2" s="428" t="s">
        <v>255</v>
      </c>
      <c r="CH2" s="428" t="s">
        <v>256</v>
      </c>
      <c r="CI2" s="428" t="s">
        <v>8719</v>
      </c>
      <c r="CJ2" s="428" t="s">
        <v>8720</v>
      </c>
      <c r="CK2" s="429" t="s">
        <v>8721</v>
      </c>
      <c r="CL2" s="400" t="s">
        <v>8372</v>
      </c>
      <c r="CM2" s="345" t="s">
        <v>6191</v>
      </c>
      <c r="CN2" s="345" t="s">
        <v>6190</v>
      </c>
      <c r="CO2" s="379" t="s">
        <v>200</v>
      </c>
      <c r="CP2" s="380" t="s">
        <v>201</v>
      </c>
      <c r="CQ2" s="401" t="s">
        <v>6603</v>
      </c>
      <c r="CR2" s="401" t="s">
        <v>6604</v>
      </c>
      <c r="CS2" s="402" t="s">
        <v>6309</v>
      </c>
      <c r="CT2" s="402" t="s">
        <v>6377</v>
      </c>
      <c r="CU2" s="402" t="s">
        <v>8347</v>
      </c>
      <c r="CV2" s="402" t="s">
        <v>8348</v>
      </c>
      <c r="CW2" s="402" t="s">
        <v>8349</v>
      </c>
      <c r="CX2" s="402" t="s">
        <v>6422</v>
      </c>
      <c r="CY2" s="403" t="s">
        <v>6353</v>
      </c>
    </row>
    <row r="3" spans="1:103" ht="11.25" customHeight="1" x14ac:dyDescent="0.2">
      <c r="A3" s="72">
        <v>1</v>
      </c>
      <c r="B3" s="149">
        <v>35</v>
      </c>
      <c r="C3" s="54" t="s">
        <v>422</v>
      </c>
      <c r="D3" s="54" t="s">
        <v>6438</v>
      </c>
      <c r="E3" s="59"/>
      <c r="F3" s="59" t="s">
        <v>423</v>
      </c>
      <c r="G3" s="151">
        <v>64175</v>
      </c>
      <c r="H3" s="55" t="s">
        <v>424</v>
      </c>
      <c r="I3" s="55" t="s">
        <v>424</v>
      </c>
      <c r="J3" s="55" t="s">
        <v>425</v>
      </c>
      <c r="K3" s="55" t="s">
        <v>426</v>
      </c>
      <c r="L3" s="64" t="s">
        <v>279</v>
      </c>
      <c r="M3" s="64" t="s">
        <v>6102</v>
      </c>
      <c r="N3" s="60" t="s">
        <v>6082</v>
      </c>
      <c r="O3" s="55" t="s">
        <v>281</v>
      </c>
      <c r="P3" s="67" t="s">
        <v>6183</v>
      </c>
      <c r="Q3" s="67" t="s">
        <v>6176</v>
      </c>
      <c r="R3" s="67" t="s">
        <v>6185</v>
      </c>
      <c r="S3" s="67" t="s">
        <v>6176</v>
      </c>
      <c r="T3" s="59">
        <v>46.07</v>
      </c>
      <c r="U3" s="153">
        <v>21706.099413935317</v>
      </c>
      <c r="V3" s="153">
        <v>17193.401345778162</v>
      </c>
      <c r="W3" s="153">
        <v>3981.0717055349728</v>
      </c>
      <c r="X3" s="153">
        <v>21706.099413935317</v>
      </c>
      <c r="Y3" s="410">
        <v>6.96</v>
      </c>
      <c r="Z3" s="59">
        <v>-0.14000000000000001</v>
      </c>
      <c r="AA3" s="59">
        <v>-0.31</v>
      </c>
      <c r="AB3" s="59">
        <v>-0.24</v>
      </c>
      <c r="AC3" s="59">
        <v>0.90610000000000002</v>
      </c>
      <c r="AD3" s="59">
        <v>-0.23</v>
      </c>
      <c r="AE3" s="59">
        <v>-0.19</v>
      </c>
      <c r="AF3" s="62">
        <f t="shared" ref="AF3:AF10" si="0">IF(AA3=0,AD3,AA3)</f>
        <v>-0.31</v>
      </c>
      <c r="AG3" s="57">
        <v>0.09</v>
      </c>
      <c r="AH3" s="103">
        <v>5.6699999999999999E-6</v>
      </c>
      <c r="AI3" s="103">
        <v>5.0000000000000004E-6</v>
      </c>
      <c r="AJ3" s="62">
        <f>LOG10(AH3*1000/(0.08206*298.15))</f>
        <v>-3.6349832674197451</v>
      </c>
      <c r="AK3" s="62">
        <f>LOG10(AI3*1000/(0.08206*298.15))</f>
        <v>-3.6895963219766328</v>
      </c>
      <c r="AL3" s="62">
        <f t="shared" ref="AL3:AL34" si="1">IF(AK3=0,AJ3,AK3)</f>
        <v>-3.6895963219766328</v>
      </c>
      <c r="AM3" s="62">
        <v>-3.1772200000000002</v>
      </c>
      <c r="AN3" s="154">
        <v>-3.57</v>
      </c>
      <c r="AO3" s="410">
        <v>15.24</v>
      </c>
      <c r="AP3" s="410"/>
      <c r="AQ3" s="154" t="s">
        <v>6311</v>
      </c>
      <c r="AR3" s="154" t="s">
        <v>6311</v>
      </c>
      <c r="AS3" s="149" t="s">
        <v>282</v>
      </c>
      <c r="AT3" s="58" t="s">
        <v>266</v>
      </c>
      <c r="AU3" s="155">
        <v>24</v>
      </c>
      <c r="AV3" s="155">
        <v>120</v>
      </c>
      <c r="AW3" s="155">
        <v>96</v>
      </c>
      <c r="AX3" s="155">
        <v>28</v>
      </c>
      <c r="AY3" s="155" t="s">
        <v>267</v>
      </c>
      <c r="AZ3" s="155" t="s">
        <v>268</v>
      </c>
      <c r="BA3" s="155">
        <v>48</v>
      </c>
      <c r="BB3" s="55" t="s">
        <v>269</v>
      </c>
      <c r="BC3" s="156" t="s">
        <v>270</v>
      </c>
      <c r="BD3" s="156" t="s">
        <v>8374</v>
      </c>
      <c r="BE3" s="155" t="s">
        <v>271</v>
      </c>
      <c r="BF3" s="155" t="s">
        <v>272</v>
      </c>
      <c r="BG3" s="155" t="s">
        <v>272</v>
      </c>
      <c r="BH3" s="155" t="s">
        <v>272</v>
      </c>
      <c r="BI3" s="157">
        <v>2.1706099413935316E-2</v>
      </c>
      <c r="BJ3" s="157">
        <v>347.29759062296506</v>
      </c>
      <c r="BK3" s="56"/>
      <c r="BL3" s="103">
        <f t="shared" ref="BL3:BL34" si="2">10^((-0.8981*Z3)+1.7108)</f>
        <v>68.633160776384955</v>
      </c>
      <c r="BM3" s="56">
        <v>0</v>
      </c>
      <c r="BN3" s="56"/>
      <c r="BO3" s="56"/>
      <c r="BP3" s="56"/>
      <c r="BQ3" s="56"/>
      <c r="BR3" s="56"/>
      <c r="BS3" s="56"/>
      <c r="BT3" s="56"/>
      <c r="BU3" s="158"/>
      <c r="BV3" s="56"/>
      <c r="BW3" s="56"/>
      <c r="BX3" s="56"/>
      <c r="BY3" s="56"/>
      <c r="BZ3" s="56"/>
      <c r="CA3" s="56"/>
      <c r="CB3" s="56">
        <v>786.02</v>
      </c>
      <c r="CC3" s="56"/>
      <c r="CD3" s="56"/>
      <c r="CE3" s="56"/>
      <c r="CF3" s="56"/>
      <c r="CG3" s="56"/>
      <c r="CH3" s="56"/>
      <c r="CI3" s="103">
        <f t="shared" ref="CI3:CI66" si="3">MIN(BN3:CH3)</f>
        <v>786.02</v>
      </c>
      <c r="CJ3" s="103">
        <f t="shared" ref="CJ3:CJ66" si="4">LOG10(CI3)</f>
        <v>2.8954335966489912</v>
      </c>
      <c r="CK3" s="57">
        <f>BL3/BJ3</f>
        <v>0.19762060731050343</v>
      </c>
      <c r="CL3" s="160">
        <f t="shared" ref="CL3:CL23" si="5">BL3/CI3</f>
        <v>8.7317321157712222E-2</v>
      </c>
      <c r="CM3" s="160">
        <v>1.1537166107043992</v>
      </c>
      <c r="CN3" s="160">
        <f>BJ3/(10^CM3)</f>
        <v>24.377275172214933</v>
      </c>
      <c r="CO3" s="55" t="s">
        <v>273</v>
      </c>
      <c r="CP3" s="156" t="s">
        <v>274</v>
      </c>
      <c r="CQ3" s="149">
        <v>2.1012570051466684</v>
      </c>
      <c r="CR3" s="349">
        <f>10^(CJ3-CQ3)</f>
        <v>6.2255337447153325</v>
      </c>
      <c r="CS3" s="61" t="s">
        <v>539</v>
      </c>
      <c r="CT3" s="61"/>
      <c r="CU3" s="111">
        <f t="shared" ref="CU3:CU34" si="6">X3/CI3</f>
        <v>27.615199885416807</v>
      </c>
      <c r="CV3" s="331">
        <f>X3/BJ3</f>
        <v>62.5</v>
      </c>
      <c r="CW3" s="326">
        <f t="shared" ref="CW3:CW66" si="7">IF(CU3&lt;2,0,1)</f>
        <v>1</v>
      </c>
      <c r="CX3" s="326"/>
      <c r="CY3" s="161" t="s">
        <v>6351</v>
      </c>
    </row>
    <row r="4" spans="1:103" ht="11.25" customHeight="1" x14ac:dyDescent="0.2">
      <c r="A4" s="72">
        <v>2</v>
      </c>
      <c r="B4" s="149">
        <v>2172</v>
      </c>
      <c r="C4" s="54" t="s">
        <v>504</v>
      </c>
      <c r="D4" s="54" t="s">
        <v>6440</v>
      </c>
      <c r="E4" s="59"/>
      <c r="F4" s="59" t="s">
        <v>1689</v>
      </c>
      <c r="G4" s="151">
        <v>67685</v>
      </c>
      <c r="H4" s="55" t="s">
        <v>505</v>
      </c>
      <c r="I4" s="55" t="s">
        <v>505</v>
      </c>
      <c r="J4" s="55" t="s">
        <v>506</v>
      </c>
      <c r="K4" s="55" t="s">
        <v>426</v>
      </c>
      <c r="L4" s="64" t="s">
        <v>279</v>
      </c>
      <c r="M4" s="55" t="s">
        <v>507</v>
      </c>
      <c r="N4" s="60" t="s">
        <v>6082</v>
      </c>
      <c r="O4" s="55" t="s">
        <v>281</v>
      </c>
      <c r="P4" s="67"/>
      <c r="Q4" s="67" t="s">
        <v>6173</v>
      </c>
      <c r="R4" s="67" t="s">
        <v>6185</v>
      </c>
      <c r="S4" s="67" t="s">
        <v>6176</v>
      </c>
      <c r="T4" s="59">
        <v>78.13</v>
      </c>
      <c r="U4" s="153">
        <v>12799.180852425445</v>
      </c>
      <c r="V4" s="153">
        <v>12799.180852425445</v>
      </c>
      <c r="W4" s="153">
        <v>12882.495516931347</v>
      </c>
      <c r="X4" s="153">
        <v>12799.180852425445</v>
      </c>
      <c r="Y4" s="410">
        <v>7</v>
      </c>
      <c r="Z4" s="59">
        <v>-1.22</v>
      </c>
      <c r="AA4" s="59">
        <v>-1.35</v>
      </c>
      <c r="AB4" s="59">
        <v>-0.67</v>
      </c>
      <c r="AC4" s="59">
        <v>0.73660000000000003</v>
      </c>
      <c r="AD4" s="59">
        <v>-0.91</v>
      </c>
      <c r="AE4" s="59">
        <v>-1.35</v>
      </c>
      <c r="AF4" s="62">
        <f t="shared" si="0"/>
        <v>-1.35</v>
      </c>
      <c r="AG4" s="57">
        <v>-0.34</v>
      </c>
      <c r="AH4" s="103">
        <v>4.9600000000000001E-8</v>
      </c>
      <c r="AI4" s="103">
        <v>1.51E-9</v>
      </c>
      <c r="AJ4" s="62">
        <f>LOG10(AH4*1000/(0.08206*298.15))</f>
        <v>-5.6930846498224543</v>
      </c>
      <c r="AK4" s="62">
        <f>LOG10(AI4*1000/(0.08206*298.15))</f>
        <v>-7.2095893790194827</v>
      </c>
      <c r="AL4" s="62">
        <f t="shared" si="1"/>
        <v>-7.2095893790194827</v>
      </c>
      <c r="AM4" s="62">
        <v>-7.0543600000000009</v>
      </c>
      <c r="AN4" s="154">
        <v>2.0099999999999998</v>
      </c>
      <c r="AO4" s="410"/>
      <c r="AP4" s="410"/>
      <c r="AQ4" s="154" t="s">
        <v>6311</v>
      </c>
      <c r="AR4" s="154" t="s">
        <v>6311</v>
      </c>
      <c r="AS4" s="149" t="s">
        <v>282</v>
      </c>
      <c r="AT4" s="58" t="s">
        <v>266</v>
      </c>
      <c r="AU4" s="56">
        <v>0</v>
      </c>
      <c r="AV4" s="56">
        <v>96</v>
      </c>
      <c r="AW4" s="56">
        <v>96</v>
      </c>
      <c r="AX4" s="56">
        <v>26</v>
      </c>
      <c r="AY4" s="472" t="s">
        <v>6360</v>
      </c>
      <c r="AZ4" s="56" t="s">
        <v>536</v>
      </c>
      <c r="BA4" s="56">
        <v>20</v>
      </c>
      <c r="BB4" s="55" t="s">
        <v>1764</v>
      </c>
      <c r="BC4" s="55" t="s">
        <v>6359</v>
      </c>
      <c r="BD4" s="55"/>
      <c r="BE4" s="56" t="s">
        <v>1712</v>
      </c>
      <c r="BF4" s="56" t="s">
        <v>539</v>
      </c>
      <c r="BG4" s="56" t="s">
        <v>539</v>
      </c>
      <c r="BH4" s="56" t="s">
        <v>272</v>
      </c>
      <c r="BI4" s="56" t="s">
        <v>6374</v>
      </c>
      <c r="BJ4" s="56"/>
      <c r="BK4" s="56"/>
      <c r="BL4" s="103">
        <f t="shared" si="2"/>
        <v>640.44523678545966</v>
      </c>
      <c r="BM4" s="56" t="s">
        <v>541</v>
      </c>
      <c r="BN4" s="56"/>
      <c r="BO4" s="56">
        <f>40200/78.13</f>
        <v>514.52707026750295</v>
      </c>
      <c r="BP4" s="56"/>
      <c r="BQ4" s="56">
        <f>34100/78.13</f>
        <v>436.45206706770767</v>
      </c>
      <c r="BR4" s="56"/>
      <c r="BS4" s="56"/>
      <c r="BT4" s="56"/>
      <c r="BU4" s="158"/>
      <c r="BV4" s="56"/>
      <c r="BW4" s="56"/>
      <c r="BX4" s="56"/>
      <c r="BY4" s="56"/>
      <c r="BZ4" s="56"/>
      <c r="CA4" s="56"/>
      <c r="CB4" s="56"/>
      <c r="CC4" s="56"/>
      <c r="CD4" s="56"/>
      <c r="CE4" s="56"/>
      <c r="CF4" s="56"/>
      <c r="CG4" s="56"/>
      <c r="CH4" s="56"/>
      <c r="CI4" s="103">
        <f t="shared" si="3"/>
        <v>436.45206706770767</v>
      </c>
      <c r="CJ4" s="103">
        <f t="shared" si="4"/>
        <v>2.6399365546829214</v>
      </c>
      <c r="CK4" s="57" t="s">
        <v>404</v>
      </c>
      <c r="CL4" s="160">
        <f t="shared" si="5"/>
        <v>1.4673896290336645</v>
      </c>
      <c r="CM4" s="160">
        <v>2.6392988237078003</v>
      </c>
      <c r="CN4" s="160">
        <f>BJ4/(10^CM4)</f>
        <v>0</v>
      </c>
      <c r="CO4" s="55"/>
      <c r="CP4" s="55" t="s">
        <v>6355</v>
      </c>
      <c r="CQ4" s="149">
        <v>2.6570801842048413</v>
      </c>
      <c r="CR4" s="349">
        <f>10^(CJ4-CQ4)</f>
        <v>0.96129430732647514</v>
      </c>
      <c r="CS4" s="61" t="s">
        <v>539</v>
      </c>
      <c r="CT4" s="61"/>
      <c r="CU4" s="111">
        <f t="shared" si="6"/>
        <v>29.325513196480937</v>
      </c>
      <c r="CV4" s="331"/>
      <c r="CW4" s="326">
        <f t="shared" si="7"/>
        <v>1</v>
      </c>
      <c r="CX4" s="326" t="s">
        <v>539</v>
      </c>
      <c r="CY4" s="161" t="s">
        <v>6351</v>
      </c>
    </row>
    <row r="5" spans="1:103" ht="11.25" customHeight="1" x14ac:dyDescent="0.2">
      <c r="A5" s="72">
        <v>3</v>
      </c>
      <c r="B5" s="149">
        <v>1069</v>
      </c>
      <c r="C5" s="54" t="s">
        <v>3007</v>
      </c>
      <c r="D5" s="54"/>
      <c r="E5" s="59"/>
      <c r="F5" s="59" t="s">
        <v>3008</v>
      </c>
      <c r="G5" s="151">
        <v>50419</v>
      </c>
      <c r="H5" s="55" t="s">
        <v>3009</v>
      </c>
      <c r="I5" s="55" t="s">
        <v>8277</v>
      </c>
      <c r="J5" s="55" t="s">
        <v>3010</v>
      </c>
      <c r="K5" s="55" t="s">
        <v>3011</v>
      </c>
      <c r="L5" s="55"/>
      <c r="M5" s="55"/>
      <c r="N5" s="60"/>
      <c r="O5" s="55"/>
      <c r="P5" s="67"/>
      <c r="Q5" s="67"/>
      <c r="R5" s="67"/>
      <c r="S5" s="67"/>
      <c r="T5" s="56">
        <v>405.96</v>
      </c>
      <c r="U5" s="103"/>
      <c r="V5" s="103">
        <v>1.2410089664006307E-4</v>
      </c>
      <c r="W5" s="103">
        <v>1.1220184543019627E-2</v>
      </c>
      <c r="X5" s="103">
        <f>IF(W5=0,V5,W5)</f>
        <v>1.1220184543019627E-2</v>
      </c>
      <c r="Y5" s="162">
        <v>8.59</v>
      </c>
      <c r="Z5" s="56">
        <v>6.74</v>
      </c>
      <c r="AA5" s="56"/>
      <c r="AB5" s="56">
        <v>6.17</v>
      </c>
      <c r="AC5" s="56">
        <v>0.47549999999999998</v>
      </c>
      <c r="AD5" s="56">
        <v>7.09</v>
      </c>
      <c r="AE5" s="56">
        <v>8.01</v>
      </c>
      <c r="AF5" s="62">
        <f t="shared" si="0"/>
        <v>7.09</v>
      </c>
      <c r="AG5" s="57">
        <v>4.54</v>
      </c>
      <c r="AH5" s="103">
        <v>2.7399999999999998E-10</v>
      </c>
      <c r="AI5" s="103"/>
      <c r="AJ5" s="62">
        <f t="shared" ref="AJ5:AJ36" si="8">LOG10(AH5*1000/(0.08206*298.15))</f>
        <v>-7.9508157634922636</v>
      </c>
      <c r="AK5" s="62"/>
      <c r="AL5" s="62">
        <f t="shared" si="1"/>
        <v>-7.9508157634922636</v>
      </c>
      <c r="AM5" s="62">
        <v>-14.38175</v>
      </c>
      <c r="AN5" s="154">
        <v>-24.2</v>
      </c>
      <c r="AO5" s="410"/>
      <c r="AP5" s="410">
        <v>9.6</v>
      </c>
      <c r="AQ5" s="56" t="s">
        <v>6311</v>
      </c>
      <c r="AR5" s="56" t="s">
        <v>6311</v>
      </c>
      <c r="AS5" s="155"/>
      <c r="AT5" s="58" t="s">
        <v>266</v>
      </c>
      <c r="AU5" s="56">
        <v>6</v>
      </c>
      <c r="AV5" s="56">
        <v>120</v>
      </c>
      <c r="AW5" s="56">
        <v>114</v>
      </c>
      <c r="AX5" s="56">
        <v>28</v>
      </c>
      <c r="AY5" s="56" t="s">
        <v>8728</v>
      </c>
      <c r="AZ5" s="56" t="s">
        <v>1563</v>
      </c>
      <c r="BA5" s="56">
        <v>32</v>
      </c>
      <c r="BB5" s="55" t="s">
        <v>2485</v>
      </c>
      <c r="BC5" s="55" t="s">
        <v>8726</v>
      </c>
      <c r="BD5" s="55" t="s">
        <v>8374</v>
      </c>
      <c r="BE5" s="56" t="s">
        <v>2449</v>
      </c>
      <c r="BF5" s="56" t="s">
        <v>272</v>
      </c>
      <c r="BG5" s="56" t="s">
        <v>272</v>
      </c>
      <c r="BH5" s="56" t="s">
        <v>2486</v>
      </c>
      <c r="BI5" s="103">
        <v>6.3999999999999997E-6</v>
      </c>
      <c r="BJ5" s="103">
        <v>6.4000000000000001E-2</v>
      </c>
      <c r="BK5" s="56"/>
      <c r="BL5" s="103">
        <f t="shared" si="2"/>
        <v>4.5457547373379765E-5</v>
      </c>
      <c r="BM5" s="56" t="s">
        <v>2046</v>
      </c>
      <c r="BN5" s="56"/>
      <c r="BO5" s="56"/>
      <c r="BP5" s="56"/>
      <c r="BQ5" s="56"/>
      <c r="BR5" s="55">
        <v>1.7000405E-2</v>
      </c>
      <c r="BS5" s="56"/>
      <c r="BT5" s="56"/>
      <c r="BU5" s="158"/>
      <c r="BV5" s="56"/>
      <c r="BW5" s="56"/>
      <c r="BX5" s="56"/>
      <c r="BY5" s="56"/>
      <c r="BZ5" s="56"/>
      <c r="CA5" s="56"/>
      <c r="CB5" s="56"/>
      <c r="CC5" s="56"/>
      <c r="CD5" s="56"/>
      <c r="CE5" s="56"/>
      <c r="CF5" s="56"/>
      <c r="CG5" s="56"/>
      <c r="CH5" s="56"/>
      <c r="CI5" s="103">
        <f t="shared" si="3"/>
        <v>1.7000405E-2</v>
      </c>
      <c r="CJ5" s="103">
        <f t="shared" si="4"/>
        <v>-1.7695407323176053</v>
      </c>
      <c r="CK5" s="57">
        <f>BL5/BJ5</f>
        <v>7.1027417770905884E-4</v>
      </c>
      <c r="CL5" s="160">
        <f t="shared" si="5"/>
        <v>2.6739096729389545E-3</v>
      </c>
      <c r="CM5" s="160"/>
      <c r="CN5" s="160"/>
      <c r="CO5" s="55" t="s">
        <v>2488</v>
      </c>
      <c r="CP5" s="55" t="s">
        <v>2489</v>
      </c>
      <c r="CQ5" s="149" t="s">
        <v>272</v>
      </c>
      <c r="CR5" s="349"/>
      <c r="CS5" s="61" t="s">
        <v>539</v>
      </c>
      <c r="CT5" s="61"/>
      <c r="CU5" s="111">
        <f t="shared" si="6"/>
        <v>0.65999513205830251</v>
      </c>
      <c r="CV5" s="331">
        <f>X5/BJ5</f>
        <v>0.17531538348468167</v>
      </c>
      <c r="CW5" s="326">
        <f t="shared" si="7"/>
        <v>0</v>
      </c>
      <c r="CX5" s="326"/>
      <c r="CY5" s="161" t="s">
        <v>5921</v>
      </c>
    </row>
    <row r="6" spans="1:103" ht="11.25" customHeight="1" x14ac:dyDescent="0.2">
      <c r="A6" s="72">
        <v>4</v>
      </c>
      <c r="B6" s="149">
        <v>2173</v>
      </c>
      <c r="C6" s="54" t="s">
        <v>1795</v>
      </c>
      <c r="D6" s="54" t="s">
        <v>6551</v>
      </c>
      <c r="E6" s="59"/>
      <c r="F6" s="59" t="s">
        <v>1796</v>
      </c>
      <c r="G6" s="151">
        <v>112276</v>
      </c>
      <c r="H6" s="55" t="s">
        <v>1797</v>
      </c>
      <c r="I6" s="55" t="s">
        <v>1797</v>
      </c>
      <c r="J6" s="55" t="s">
        <v>1798</v>
      </c>
      <c r="K6" s="55" t="s">
        <v>426</v>
      </c>
      <c r="L6" s="55" t="s">
        <v>5527</v>
      </c>
      <c r="M6" s="55" t="s">
        <v>6616</v>
      </c>
      <c r="N6" s="60" t="s">
        <v>6082</v>
      </c>
      <c r="O6" s="55"/>
      <c r="P6" s="67"/>
      <c r="Q6" s="67" t="s">
        <v>6176</v>
      </c>
      <c r="R6" s="67" t="s">
        <v>6185</v>
      </c>
      <c r="S6" s="67" t="s">
        <v>6176</v>
      </c>
      <c r="T6" s="56">
        <v>150.16999999999999</v>
      </c>
      <c r="U6" s="103">
        <v>6659.1196643803696</v>
      </c>
      <c r="V6" s="103">
        <v>6659.1196643803696</v>
      </c>
      <c r="W6" s="103">
        <v>6606.9344800759609</v>
      </c>
      <c r="X6" s="103">
        <v>6659.1196643803696</v>
      </c>
      <c r="Y6" s="162">
        <v>6.58</v>
      </c>
      <c r="Z6" s="56">
        <v>-1.75</v>
      </c>
      <c r="AA6" s="56">
        <v>-1.75</v>
      </c>
      <c r="AB6" s="56">
        <v>-1.01</v>
      </c>
      <c r="AC6" s="56">
        <v>0.8387</v>
      </c>
      <c r="AD6" s="56">
        <v>-1.24</v>
      </c>
      <c r="AE6" s="56">
        <v>-1.87</v>
      </c>
      <c r="AF6" s="62">
        <f t="shared" si="0"/>
        <v>-1.75</v>
      </c>
      <c r="AG6" s="57">
        <v>-0.93</v>
      </c>
      <c r="AH6" s="103">
        <v>3.1599999999999999E-11</v>
      </c>
      <c r="AI6" s="103"/>
      <c r="AJ6" s="62">
        <f t="shared" si="8"/>
        <v>-8.8888792436942481</v>
      </c>
      <c r="AK6" s="62"/>
      <c r="AL6" s="62">
        <f t="shared" si="1"/>
        <v>-8.8888792436942481</v>
      </c>
      <c r="AM6" s="62">
        <v>-10.47321</v>
      </c>
      <c r="AN6" s="154">
        <v>-9.2100000000000009</v>
      </c>
      <c r="AO6" s="410">
        <v>14.06</v>
      </c>
      <c r="AP6" s="410"/>
      <c r="AQ6" s="154" t="s">
        <v>6311</v>
      </c>
      <c r="AR6" s="154" t="s">
        <v>6311</v>
      </c>
      <c r="AS6" s="149" t="s">
        <v>6</v>
      </c>
      <c r="AT6" s="58" t="s">
        <v>266</v>
      </c>
      <c r="AU6" s="56">
        <v>0</v>
      </c>
      <c r="AV6" s="56">
        <v>96</v>
      </c>
      <c r="AW6" s="56">
        <v>96</v>
      </c>
      <c r="AX6" s="56">
        <v>26</v>
      </c>
      <c r="AY6" s="472" t="s">
        <v>6360</v>
      </c>
      <c r="AZ6" s="56" t="s">
        <v>536</v>
      </c>
      <c r="BA6" s="56">
        <v>20</v>
      </c>
      <c r="BB6" s="55" t="s">
        <v>1764</v>
      </c>
      <c r="BC6" s="55" t="s">
        <v>6359</v>
      </c>
      <c r="BD6" s="55"/>
      <c r="BE6" s="56" t="s">
        <v>1712</v>
      </c>
      <c r="BF6" s="56" t="s">
        <v>539</v>
      </c>
      <c r="BG6" s="56" t="s">
        <v>539</v>
      </c>
      <c r="BH6" s="56" t="s">
        <v>272</v>
      </c>
      <c r="BI6" s="56" t="s">
        <v>6374</v>
      </c>
      <c r="BJ6" s="157"/>
      <c r="BK6" s="56"/>
      <c r="BL6" s="103">
        <f t="shared" si="2"/>
        <v>1916.3507455437423</v>
      </c>
      <c r="BM6" s="56" t="s">
        <v>541</v>
      </c>
      <c r="BN6" s="56"/>
      <c r="BO6" s="56">
        <v>474.79523207032037</v>
      </c>
      <c r="BP6" s="56"/>
      <c r="BQ6" s="56">
        <v>364.91975760804422</v>
      </c>
      <c r="BR6" s="56"/>
      <c r="BS6" s="56"/>
      <c r="BT6" s="56"/>
      <c r="BU6" s="158"/>
      <c r="BV6" s="56"/>
      <c r="BW6" s="56"/>
      <c r="BX6" s="56"/>
      <c r="BY6" s="56"/>
      <c r="BZ6" s="56"/>
      <c r="CA6" s="56"/>
      <c r="CB6" s="56"/>
      <c r="CC6" s="56"/>
      <c r="CD6" s="56"/>
      <c r="CE6" s="56"/>
      <c r="CF6" s="56"/>
      <c r="CG6" s="56"/>
      <c r="CH6" s="56"/>
      <c r="CI6" s="103">
        <f t="shared" si="3"/>
        <v>364.91975760804422</v>
      </c>
      <c r="CJ6" s="103">
        <f t="shared" si="4"/>
        <v>2.5621973777188756</v>
      </c>
      <c r="CK6" s="57" t="s">
        <v>404</v>
      </c>
      <c r="CL6" s="160">
        <f t="shared" si="5"/>
        <v>5.2514305010639371</v>
      </c>
      <c r="CM6" s="160"/>
      <c r="CN6" s="160"/>
      <c r="CO6" s="55"/>
      <c r="CP6" s="55" t="s">
        <v>6355</v>
      </c>
      <c r="CQ6" s="149">
        <v>2.6864109679640658</v>
      </c>
      <c r="CR6" s="349">
        <f>10^(CJ6-CQ6)</f>
        <v>0.75125332946239221</v>
      </c>
      <c r="CS6" s="61" t="s">
        <v>539</v>
      </c>
      <c r="CT6" s="61"/>
      <c r="CU6" s="111">
        <f t="shared" si="6"/>
        <v>18.248175182481752</v>
      </c>
      <c r="CV6" s="331"/>
      <c r="CW6" s="326">
        <f t="shared" si="7"/>
        <v>1</v>
      </c>
      <c r="CX6" s="326" t="s">
        <v>539</v>
      </c>
      <c r="CY6" s="161" t="s">
        <v>6351</v>
      </c>
    </row>
    <row r="7" spans="1:103" ht="11.25" customHeight="1" x14ac:dyDescent="0.2">
      <c r="A7" s="72">
        <v>5</v>
      </c>
      <c r="B7" s="149">
        <v>630</v>
      </c>
      <c r="C7" s="54" t="s">
        <v>1879</v>
      </c>
      <c r="D7" s="54" t="s">
        <v>6544</v>
      </c>
      <c r="E7" s="59"/>
      <c r="F7" s="59" t="s">
        <v>1880</v>
      </c>
      <c r="G7" s="151">
        <v>100970</v>
      </c>
      <c r="H7" s="55" t="s">
        <v>1881</v>
      </c>
      <c r="I7" s="55" t="s">
        <v>1881</v>
      </c>
      <c r="J7" s="55" t="s">
        <v>1882</v>
      </c>
      <c r="K7" s="55" t="s">
        <v>1883</v>
      </c>
      <c r="L7" s="55" t="s">
        <v>6625</v>
      </c>
      <c r="M7" s="55"/>
      <c r="N7" s="60"/>
      <c r="O7" s="55"/>
      <c r="P7" s="67" t="s">
        <v>1639</v>
      </c>
      <c r="Q7" s="67" t="s">
        <v>6173</v>
      </c>
      <c r="R7" s="67" t="s">
        <v>6082</v>
      </c>
      <c r="S7" s="67" t="s">
        <v>6173</v>
      </c>
      <c r="T7" s="56">
        <v>140.19</v>
      </c>
      <c r="U7" s="103">
        <v>3202.7962051501536</v>
      </c>
      <c r="V7" s="103">
        <v>7133.1764034524576</v>
      </c>
      <c r="W7" s="103">
        <v>7079.4578438413791</v>
      </c>
      <c r="X7" s="103">
        <v>3202.7962051501536</v>
      </c>
      <c r="Y7" s="162">
        <v>10.06</v>
      </c>
      <c r="Z7" s="56">
        <v>-4.1500000000000004</v>
      </c>
      <c r="AA7" s="56"/>
      <c r="AB7" s="56">
        <v>-0.49</v>
      </c>
      <c r="AC7" s="56">
        <v>0.40629999999999999</v>
      </c>
      <c r="AD7" s="56">
        <v>0.99</v>
      </c>
      <c r="AE7" s="56">
        <v>2.17</v>
      </c>
      <c r="AF7" s="62">
        <f t="shared" si="0"/>
        <v>0.99</v>
      </c>
      <c r="AG7" s="57">
        <v>-0.33</v>
      </c>
      <c r="AH7" s="103">
        <v>0.16300000000000001</v>
      </c>
      <c r="AI7" s="103">
        <v>1.6399999999999999E-9</v>
      </c>
      <c r="AJ7" s="62">
        <f t="shared" si="8"/>
        <v>0.82362127809130603</v>
      </c>
      <c r="AK7" s="62">
        <f>LOG10(AI7*1000/(0.08206*298.15))</f>
        <v>-7.1737224782649536</v>
      </c>
      <c r="AL7" s="62">
        <f t="shared" si="1"/>
        <v>-7.1737224782649536</v>
      </c>
      <c r="AM7" s="62">
        <v>-13.43446</v>
      </c>
      <c r="AN7" s="154">
        <v>-6.49</v>
      </c>
      <c r="AO7" s="410"/>
      <c r="AP7" s="410">
        <v>5.28</v>
      </c>
      <c r="AQ7" s="154" t="s">
        <v>6311</v>
      </c>
      <c r="AR7" s="154" t="s">
        <v>6311</v>
      </c>
      <c r="AS7" s="149" t="s">
        <v>6</v>
      </c>
      <c r="AT7" s="58" t="s">
        <v>266</v>
      </c>
      <c r="AU7" s="56">
        <v>2</v>
      </c>
      <c r="AV7" s="56">
        <v>48</v>
      </c>
      <c r="AW7" s="56">
        <v>48</v>
      </c>
      <c r="AX7" s="56">
        <v>26</v>
      </c>
      <c r="AY7" s="56" t="s">
        <v>647</v>
      </c>
      <c r="AZ7" s="56" t="s">
        <v>1834</v>
      </c>
      <c r="BA7" s="56">
        <v>9</v>
      </c>
      <c r="BB7" s="55" t="s">
        <v>1782</v>
      </c>
      <c r="BC7" s="55" t="s">
        <v>538</v>
      </c>
      <c r="BD7" s="55"/>
      <c r="BE7" s="56" t="s">
        <v>1809</v>
      </c>
      <c r="BF7" s="56" t="s">
        <v>539</v>
      </c>
      <c r="BG7" s="56" t="s">
        <v>272</v>
      </c>
      <c r="BH7" s="56" t="s">
        <v>272</v>
      </c>
      <c r="BI7" s="157">
        <v>44.58235252157786</v>
      </c>
      <c r="BJ7" s="157">
        <v>713.31764034524576</v>
      </c>
      <c r="BK7" s="56" t="s">
        <v>1843</v>
      </c>
      <c r="BL7" s="103">
        <f t="shared" si="2"/>
        <v>274103.76442694583</v>
      </c>
      <c r="BM7" s="56" t="s">
        <v>541</v>
      </c>
      <c r="BN7" s="56"/>
      <c r="BO7" s="56">
        <v>409.30166203010202</v>
      </c>
      <c r="BP7" s="56"/>
      <c r="BQ7" s="56"/>
      <c r="BR7" s="56">
        <v>326.10000000000002</v>
      </c>
      <c r="BS7" s="56"/>
      <c r="BT7" s="56"/>
      <c r="BU7" s="158"/>
      <c r="BV7" s="56"/>
      <c r="BW7" s="56"/>
      <c r="BX7" s="56"/>
      <c r="BY7" s="56"/>
      <c r="BZ7" s="56"/>
      <c r="CA7" s="56"/>
      <c r="CB7" s="56"/>
      <c r="CC7" s="56"/>
      <c r="CD7" s="56"/>
      <c r="CE7" s="56"/>
      <c r="CF7" s="56"/>
      <c r="CG7" s="56"/>
      <c r="CH7" s="56"/>
      <c r="CI7" s="103">
        <f t="shared" si="3"/>
        <v>326.10000000000002</v>
      </c>
      <c r="CJ7" s="103">
        <f t="shared" si="4"/>
        <v>2.5133507988059569</v>
      </c>
      <c r="CK7" s="57">
        <f t="shared" ref="CK7:CK50" si="9">BL7/BJ7</f>
        <v>384.26606735013536</v>
      </c>
      <c r="CL7" s="160">
        <f t="shared" si="5"/>
        <v>840.55125552574611</v>
      </c>
      <c r="CM7" s="160"/>
      <c r="CN7" s="160"/>
      <c r="CO7" s="55"/>
      <c r="CP7" s="55" t="s">
        <v>1811</v>
      </c>
      <c r="CQ7" s="149">
        <v>2.522072826993619</v>
      </c>
      <c r="CR7" s="349">
        <f>10^(CJ7-CQ7)</f>
        <v>0.98011711232433896</v>
      </c>
      <c r="CS7" s="61" t="s">
        <v>539</v>
      </c>
      <c r="CT7" s="61" t="s">
        <v>6310</v>
      </c>
      <c r="CU7" s="111">
        <f t="shared" si="6"/>
        <v>9.8215155018403966</v>
      </c>
      <c r="CV7" s="331">
        <f t="shared" ref="CV7:CV50" si="10">X7/BJ7</f>
        <v>4.49</v>
      </c>
      <c r="CW7" s="326">
        <f t="shared" si="7"/>
        <v>1</v>
      </c>
      <c r="CX7" s="326" t="s">
        <v>539</v>
      </c>
      <c r="CY7" s="161" t="s">
        <v>6351</v>
      </c>
    </row>
    <row r="8" spans="1:103" ht="11.25" customHeight="1" x14ac:dyDescent="0.2">
      <c r="A8" s="72">
        <v>6</v>
      </c>
      <c r="B8" s="149">
        <v>690</v>
      </c>
      <c r="C8" s="54" t="s">
        <v>422</v>
      </c>
      <c r="D8" s="54" t="s">
        <v>6438</v>
      </c>
      <c r="E8" s="59"/>
      <c r="F8" s="59" t="s">
        <v>423</v>
      </c>
      <c r="G8" s="151">
        <v>64175</v>
      </c>
      <c r="H8" s="55" t="s">
        <v>424</v>
      </c>
      <c r="I8" s="55" t="s">
        <v>424</v>
      </c>
      <c r="J8" s="55" t="s">
        <v>425</v>
      </c>
      <c r="K8" s="55" t="s">
        <v>426</v>
      </c>
      <c r="L8" s="64" t="s">
        <v>279</v>
      </c>
      <c r="M8" s="55" t="s">
        <v>427</v>
      </c>
      <c r="N8" s="60" t="s">
        <v>6082</v>
      </c>
      <c r="O8" s="55" t="s">
        <v>281</v>
      </c>
      <c r="P8" s="67" t="s">
        <v>6183</v>
      </c>
      <c r="Q8" s="67" t="s">
        <v>6176</v>
      </c>
      <c r="R8" s="67" t="s">
        <v>6185</v>
      </c>
      <c r="S8" s="67" t="s">
        <v>6176</v>
      </c>
      <c r="T8" s="59">
        <v>46.07</v>
      </c>
      <c r="U8" s="153">
        <v>21706.099413935317</v>
      </c>
      <c r="V8" s="153">
        <v>17193.401345778162</v>
      </c>
      <c r="W8" s="153">
        <v>3981.0717055349728</v>
      </c>
      <c r="X8" s="153">
        <v>21706.099413935317</v>
      </c>
      <c r="Y8" s="410">
        <v>6.96</v>
      </c>
      <c r="Z8" s="59">
        <v>-0.14000000000000001</v>
      </c>
      <c r="AA8" s="59">
        <v>-0.31</v>
      </c>
      <c r="AB8" s="59">
        <v>-0.24</v>
      </c>
      <c r="AC8" s="59">
        <v>0.90610000000000002</v>
      </c>
      <c r="AD8" s="59">
        <v>-0.23</v>
      </c>
      <c r="AE8" s="59">
        <v>-0.19</v>
      </c>
      <c r="AF8" s="62">
        <f t="shared" si="0"/>
        <v>-0.31</v>
      </c>
      <c r="AG8" s="57">
        <v>0.09</v>
      </c>
      <c r="AH8" s="103">
        <v>5.6699999999999999E-6</v>
      </c>
      <c r="AI8" s="103">
        <v>5.0000000000000004E-6</v>
      </c>
      <c r="AJ8" s="62">
        <f t="shared" si="8"/>
        <v>-3.6349832674197451</v>
      </c>
      <c r="AK8" s="62">
        <f>LOG10(AI8*1000/(0.08206*298.15))</f>
        <v>-3.6895963219766328</v>
      </c>
      <c r="AL8" s="62">
        <f t="shared" si="1"/>
        <v>-3.6895963219766328</v>
      </c>
      <c r="AM8" s="62">
        <v>-3.1772200000000002</v>
      </c>
      <c r="AN8" s="154">
        <v>-3.57</v>
      </c>
      <c r="AO8" s="410">
        <v>15.24</v>
      </c>
      <c r="AP8" s="410"/>
      <c r="AQ8" s="154" t="s">
        <v>6311</v>
      </c>
      <c r="AR8" s="154" t="s">
        <v>6311</v>
      </c>
      <c r="AS8" s="149" t="s">
        <v>282</v>
      </c>
      <c r="AT8" s="58" t="s">
        <v>266</v>
      </c>
      <c r="AU8" s="56">
        <v>2</v>
      </c>
      <c r="AV8" s="56">
        <v>96</v>
      </c>
      <c r="AW8" s="56">
        <v>96</v>
      </c>
      <c r="AX8" s="56">
        <v>26</v>
      </c>
      <c r="AY8" s="56" t="s">
        <v>6360</v>
      </c>
      <c r="AZ8" s="56" t="s">
        <v>536</v>
      </c>
      <c r="BA8" s="56">
        <v>20</v>
      </c>
      <c r="BB8" s="55" t="s">
        <v>1764</v>
      </c>
      <c r="BC8" s="55" t="s">
        <v>6372</v>
      </c>
      <c r="BD8" s="55"/>
      <c r="BE8" s="56" t="s">
        <v>6361</v>
      </c>
      <c r="BF8" s="56" t="s">
        <v>1974</v>
      </c>
      <c r="BG8" s="56" t="s">
        <v>1974</v>
      </c>
      <c r="BH8" s="56" t="s">
        <v>272</v>
      </c>
      <c r="BI8" s="157">
        <v>115.04232689385718</v>
      </c>
      <c r="BJ8" s="157">
        <v>586.06468417625354</v>
      </c>
      <c r="BK8" s="56" t="s">
        <v>6373</v>
      </c>
      <c r="BL8" s="103">
        <f t="shared" si="2"/>
        <v>68.633160776384955</v>
      </c>
      <c r="BM8" s="56" t="s">
        <v>541</v>
      </c>
      <c r="BN8" s="56"/>
      <c r="BO8" s="56">
        <f>13200/46.07</f>
        <v>286.52051226394616</v>
      </c>
      <c r="BP8" s="56"/>
      <c r="BQ8" s="56">
        <f>12000/46.07</f>
        <v>260.47319296722378</v>
      </c>
      <c r="BR8" s="56"/>
      <c r="BS8" s="56"/>
      <c r="BT8" s="56"/>
      <c r="BU8" s="158"/>
      <c r="BV8" s="56"/>
      <c r="BW8" s="56"/>
      <c r="BX8" s="56"/>
      <c r="BY8" s="56"/>
      <c r="BZ8" s="56"/>
      <c r="CA8" s="56"/>
      <c r="CB8" s="56"/>
      <c r="CC8" s="56"/>
      <c r="CD8" s="56"/>
      <c r="CE8" s="56"/>
      <c r="CF8" s="56"/>
      <c r="CG8" s="56"/>
      <c r="CH8" s="56"/>
      <c r="CI8" s="103">
        <f t="shared" si="3"/>
        <v>260.47319296722378</v>
      </c>
      <c r="CJ8" s="103">
        <f t="shared" si="4"/>
        <v>2.4157630337949452</v>
      </c>
      <c r="CK8" s="57">
        <f t="shared" si="9"/>
        <v>0.11710850803585388</v>
      </c>
      <c r="CL8" s="160">
        <f t="shared" si="5"/>
        <v>0.26349414308067126</v>
      </c>
      <c r="CM8" s="160">
        <v>1.1537166107043992</v>
      </c>
      <c r="CN8" s="160">
        <f>BJ8/(10^CM8)</f>
        <v>41.136651853112696</v>
      </c>
      <c r="CO8" s="55"/>
      <c r="CP8" s="55" t="s">
        <v>6355</v>
      </c>
      <c r="CQ8" s="149">
        <v>2.1012570051466684</v>
      </c>
      <c r="CR8" s="349">
        <f>10^(CJ8-CQ8)</f>
        <v>2.0630323050446546</v>
      </c>
      <c r="CS8" s="61" t="s">
        <v>539</v>
      </c>
      <c r="CT8" s="61" t="s">
        <v>6310</v>
      </c>
      <c r="CU8" s="111">
        <f t="shared" si="6"/>
        <v>83.333333333333343</v>
      </c>
      <c r="CV8" s="331">
        <f t="shared" si="10"/>
        <v>37.037037037037038</v>
      </c>
      <c r="CW8" s="326">
        <f t="shared" si="7"/>
        <v>1</v>
      </c>
      <c r="CX8" s="326" t="s">
        <v>539</v>
      </c>
      <c r="CY8" s="161" t="s">
        <v>6351</v>
      </c>
    </row>
    <row r="9" spans="1:103" ht="11.25" customHeight="1" x14ac:dyDescent="0.2">
      <c r="A9" s="72">
        <v>7</v>
      </c>
      <c r="B9" s="149">
        <v>36</v>
      </c>
      <c r="C9" s="54" t="s">
        <v>428</v>
      </c>
      <c r="D9" s="54" t="s">
        <v>6432</v>
      </c>
      <c r="E9" s="59"/>
      <c r="F9" s="150" t="str">
        <f>HYPERLINK("http://www.sigmaaldrich.com/catalog/Lookup.do?N5=CAS+No.&amp;N3=mode+matchpartialmax&amp;N4=56-81-5&amp;D7=0&amp;D10=&amp;N25=0&amp;N1=S_ID&amp;ST=RS&amp;F=PR","56-81-5")</f>
        <v>56-81-5</v>
      </c>
      <c r="G9" s="151">
        <v>56815</v>
      </c>
      <c r="H9" s="55" t="s">
        <v>429</v>
      </c>
      <c r="I9" s="55" t="s">
        <v>429</v>
      </c>
      <c r="J9" s="55" t="s">
        <v>430</v>
      </c>
      <c r="K9" s="55" t="s">
        <v>426</v>
      </c>
      <c r="L9" s="64" t="s">
        <v>6147</v>
      </c>
      <c r="M9" s="55" t="s">
        <v>6025</v>
      </c>
      <c r="N9" s="60" t="s">
        <v>2342</v>
      </c>
      <c r="O9" s="55"/>
      <c r="P9" s="67" t="s">
        <v>1639</v>
      </c>
      <c r="Q9" s="67" t="s">
        <v>6173</v>
      </c>
      <c r="R9" s="67">
        <v>1</v>
      </c>
      <c r="S9" s="67" t="s">
        <v>6173</v>
      </c>
      <c r="T9" s="59">
        <v>92.09</v>
      </c>
      <c r="U9" s="153">
        <v>10858.942339016179</v>
      </c>
      <c r="V9" s="153">
        <v>10858.942339016179</v>
      </c>
      <c r="W9" s="153">
        <v>10964.781961431854</v>
      </c>
      <c r="X9" s="153">
        <v>10858.942339016179</v>
      </c>
      <c r="Y9" s="410">
        <v>6.27</v>
      </c>
      <c r="Z9" s="59">
        <v>-1.65</v>
      </c>
      <c r="AA9" s="59">
        <v>-1.76</v>
      </c>
      <c r="AB9" s="59">
        <v>-1.57</v>
      </c>
      <c r="AC9" s="59">
        <v>0.88339999999999996</v>
      </c>
      <c r="AD9" s="59">
        <v>-1.73</v>
      </c>
      <c r="AE9" s="59">
        <v>-2.3199999999999998</v>
      </c>
      <c r="AF9" s="59">
        <f t="shared" si="0"/>
        <v>-1.76</v>
      </c>
      <c r="AG9" s="57">
        <v>-1.41</v>
      </c>
      <c r="AH9" s="103">
        <v>6.3499999999999998E-9</v>
      </c>
      <c r="AI9" s="103">
        <v>1.7299999999999999E-8</v>
      </c>
      <c r="AJ9" s="62">
        <f t="shared" si="8"/>
        <v>-6.5857926010206764</v>
      </c>
      <c r="AK9" s="62">
        <f>LOG10(AI9*1000/(0.08206*298.15))</f>
        <v>-6.1505202231838565</v>
      </c>
      <c r="AL9" s="62">
        <f t="shared" si="1"/>
        <v>-6.1505202231838565</v>
      </c>
      <c r="AM9" s="62">
        <v>-10.09398</v>
      </c>
      <c r="AN9" s="154">
        <v>-7.48</v>
      </c>
      <c r="AO9" s="410">
        <v>13.68</v>
      </c>
      <c r="AP9" s="410"/>
      <c r="AQ9" s="154" t="s">
        <v>6311</v>
      </c>
      <c r="AR9" s="154" t="s">
        <v>6311</v>
      </c>
      <c r="AS9" s="149" t="s">
        <v>282</v>
      </c>
      <c r="AT9" s="58" t="s">
        <v>266</v>
      </c>
      <c r="AU9" s="155">
        <v>24</v>
      </c>
      <c r="AV9" s="155">
        <v>120</v>
      </c>
      <c r="AW9" s="155">
        <v>96</v>
      </c>
      <c r="AX9" s="155">
        <v>28</v>
      </c>
      <c r="AY9" s="155" t="s">
        <v>267</v>
      </c>
      <c r="AZ9" s="155" t="s">
        <v>268</v>
      </c>
      <c r="BA9" s="155">
        <v>48</v>
      </c>
      <c r="BB9" s="55" t="s">
        <v>269</v>
      </c>
      <c r="BC9" s="156" t="s">
        <v>270</v>
      </c>
      <c r="BD9" s="156" t="s">
        <v>8374</v>
      </c>
      <c r="BE9" s="155" t="s">
        <v>271</v>
      </c>
      <c r="BF9" s="155" t="s">
        <v>272</v>
      </c>
      <c r="BG9" s="155" t="s">
        <v>272</v>
      </c>
      <c r="BH9" s="155" t="s">
        <v>272</v>
      </c>
      <c r="BI9" s="157">
        <v>1.0856584518510477E-2</v>
      </c>
      <c r="BJ9" s="157">
        <v>17.370535229616763</v>
      </c>
      <c r="BK9" s="56"/>
      <c r="BL9" s="103">
        <f t="shared" si="2"/>
        <v>1558.3499808933586</v>
      </c>
      <c r="BM9" s="56">
        <v>0</v>
      </c>
      <c r="BN9" s="56"/>
      <c r="BO9" s="56"/>
      <c r="BP9" s="56"/>
      <c r="BQ9" s="56"/>
      <c r="BR9" s="56"/>
      <c r="BS9" s="56"/>
      <c r="BT9" s="56"/>
      <c r="BU9" s="158"/>
      <c r="BV9" s="56"/>
      <c r="BW9" s="56"/>
      <c r="BX9" s="56"/>
      <c r="BY9" s="56"/>
      <c r="BZ9" s="56"/>
      <c r="CA9" s="56"/>
      <c r="CB9" s="56">
        <v>253.58</v>
      </c>
      <c r="CC9" s="56"/>
      <c r="CD9" s="56"/>
      <c r="CE9" s="56"/>
      <c r="CF9" s="56"/>
      <c r="CG9" s="56"/>
      <c r="CH9" s="56"/>
      <c r="CI9" s="103">
        <f t="shared" si="3"/>
        <v>253.58</v>
      </c>
      <c r="CJ9" s="103">
        <f t="shared" si="4"/>
        <v>2.4041149975055958</v>
      </c>
      <c r="CK9" s="57">
        <f t="shared" si="9"/>
        <v>89.712260462554539</v>
      </c>
      <c r="CL9" s="160">
        <f t="shared" si="5"/>
        <v>6.1453978266951594</v>
      </c>
      <c r="CM9" s="160"/>
      <c r="CN9" s="160"/>
      <c r="CO9" s="55" t="s">
        <v>273</v>
      </c>
      <c r="CP9" s="156" t="s">
        <v>274</v>
      </c>
      <c r="CQ9" s="149">
        <v>2.7681812868531495</v>
      </c>
      <c r="CR9" s="349">
        <f>10^(CJ9-CQ9)</f>
        <v>0.43244781851851832</v>
      </c>
      <c r="CS9" s="61" t="s">
        <v>539</v>
      </c>
      <c r="CT9" s="61"/>
      <c r="CU9" s="111">
        <f t="shared" si="6"/>
        <v>42.822550433851951</v>
      </c>
      <c r="CV9" s="331">
        <f t="shared" si="10"/>
        <v>625.13573677923762</v>
      </c>
      <c r="CW9" s="326">
        <f t="shared" si="7"/>
        <v>1</v>
      </c>
      <c r="CX9" s="326"/>
      <c r="CY9" s="161" t="s">
        <v>6351</v>
      </c>
    </row>
    <row r="10" spans="1:103" ht="11.25" customHeight="1" x14ac:dyDescent="0.2">
      <c r="A10" s="72">
        <v>8</v>
      </c>
      <c r="B10" s="149">
        <v>2</v>
      </c>
      <c r="C10" s="54" t="s">
        <v>275</v>
      </c>
      <c r="D10" s="54"/>
      <c r="E10" s="59"/>
      <c r="F10" s="59" t="s">
        <v>276</v>
      </c>
      <c r="G10" s="151">
        <v>51558</v>
      </c>
      <c r="H10" s="55" t="s">
        <v>277</v>
      </c>
      <c r="I10" s="55" t="s">
        <v>277</v>
      </c>
      <c r="J10" s="55" t="s">
        <v>278</v>
      </c>
      <c r="K10" s="55" t="s">
        <v>264</v>
      </c>
      <c r="L10" s="64" t="s">
        <v>279</v>
      </c>
      <c r="M10" s="55" t="s">
        <v>280</v>
      </c>
      <c r="N10" s="60"/>
      <c r="O10" s="55" t="s">
        <v>281</v>
      </c>
      <c r="P10" s="67"/>
      <c r="Q10" s="67"/>
      <c r="R10" s="67"/>
      <c r="S10" s="67"/>
      <c r="T10" s="59">
        <v>289.37</v>
      </c>
      <c r="U10" s="153">
        <v>12.302588381656703</v>
      </c>
      <c r="V10" s="153">
        <v>13.629609150914055</v>
      </c>
      <c r="W10" s="153">
        <v>9.1201083935590876</v>
      </c>
      <c r="X10" s="153">
        <v>12.302588381656703</v>
      </c>
      <c r="Y10" s="410">
        <v>10.95</v>
      </c>
      <c r="Z10" s="59">
        <v>1.91</v>
      </c>
      <c r="AA10" s="59">
        <v>1.83</v>
      </c>
      <c r="AB10" s="59">
        <v>1.95</v>
      </c>
      <c r="AC10" s="59">
        <v>0.89380000000000004</v>
      </c>
      <c r="AD10" s="59">
        <v>1.86</v>
      </c>
      <c r="AE10" s="59">
        <v>1.53</v>
      </c>
      <c r="AF10" s="59">
        <f t="shared" si="0"/>
        <v>1.83</v>
      </c>
      <c r="AG10" s="57">
        <v>1.91</v>
      </c>
      <c r="AH10" s="103">
        <v>2.73E-13</v>
      </c>
      <c r="AI10" s="103"/>
      <c r="AJ10" s="62">
        <f t="shared" si="8"/>
        <v>-10.952403679271896</v>
      </c>
      <c r="AK10" s="62"/>
      <c r="AL10" s="62">
        <f t="shared" si="1"/>
        <v>-10.952403679271896</v>
      </c>
      <c r="AM10" s="62">
        <v>-14.121339999999998</v>
      </c>
      <c r="AN10" s="154">
        <v>-9.2200000000000006</v>
      </c>
      <c r="AO10" s="410">
        <v>14.12</v>
      </c>
      <c r="AP10" s="410">
        <v>9.98</v>
      </c>
      <c r="AQ10" s="154" t="s">
        <v>6311</v>
      </c>
      <c r="AR10" s="154" t="s">
        <v>6312</v>
      </c>
      <c r="AS10" s="149" t="s">
        <v>282</v>
      </c>
      <c r="AT10" s="58" t="s">
        <v>266</v>
      </c>
      <c r="AU10" s="155">
        <v>24</v>
      </c>
      <c r="AV10" s="155">
        <v>120</v>
      </c>
      <c r="AW10" s="155">
        <v>96</v>
      </c>
      <c r="AX10" s="155">
        <v>28</v>
      </c>
      <c r="AY10" s="155" t="s">
        <v>267</v>
      </c>
      <c r="AZ10" s="155" t="s">
        <v>268</v>
      </c>
      <c r="BA10" s="155">
        <v>48</v>
      </c>
      <c r="BB10" s="55" t="s">
        <v>269</v>
      </c>
      <c r="BC10" s="156" t="s">
        <v>270</v>
      </c>
      <c r="BD10" s="156" t="s">
        <v>8374</v>
      </c>
      <c r="BE10" s="155" t="s">
        <v>271</v>
      </c>
      <c r="BF10" s="155" t="s">
        <v>272</v>
      </c>
      <c r="BG10" s="155" t="s">
        <v>272</v>
      </c>
      <c r="BH10" s="155" t="s">
        <v>272</v>
      </c>
      <c r="BI10" s="157">
        <v>3.4556638330223237E-3</v>
      </c>
      <c r="BJ10" s="157">
        <v>5.5290621328357181</v>
      </c>
      <c r="BK10" s="56"/>
      <c r="BL10" s="103">
        <f t="shared" si="2"/>
        <v>0.98953007876306398</v>
      </c>
      <c r="BM10" s="56">
        <v>0</v>
      </c>
      <c r="BN10" s="56"/>
      <c r="BO10" s="56"/>
      <c r="BP10" s="56"/>
      <c r="BQ10" s="56"/>
      <c r="BR10" s="56"/>
      <c r="BS10" s="56"/>
      <c r="BT10" s="56"/>
      <c r="BU10" s="158"/>
      <c r="BV10" s="56"/>
      <c r="BW10" s="56"/>
      <c r="BX10" s="56"/>
      <c r="BY10" s="56">
        <v>11.9</v>
      </c>
      <c r="BZ10" s="56">
        <v>11.51</v>
      </c>
      <c r="CA10" s="56">
        <v>4.0999999999999996</v>
      </c>
      <c r="CB10" s="56">
        <v>2.1</v>
      </c>
      <c r="CC10" s="56"/>
      <c r="CD10" s="56"/>
      <c r="CE10" s="56"/>
      <c r="CF10" s="56"/>
      <c r="CG10" s="56"/>
      <c r="CH10" s="56"/>
      <c r="CI10" s="103">
        <f t="shared" si="3"/>
        <v>2.1</v>
      </c>
      <c r="CJ10" s="103">
        <f t="shared" si="4"/>
        <v>0.3222192947339193</v>
      </c>
      <c r="CK10" s="57">
        <f t="shared" si="9"/>
        <v>0.17896888387028465</v>
      </c>
      <c r="CL10" s="160">
        <f t="shared" si="5"/>
        <v>0.47120479941098281</v>
      </c>
      <c r="CM10" s="160"/>
      <c r="CN10" s="160"/>
      <c r="CO10" s="55" t="s">
        <v>273</v>
      </c>
      <c r="CP10" s="156" t="s">
        <v>274</v>
      </c>
      <c r="CQ10" s="149" t="s">
        <v>272</v>
      </c>
      <c r="CR10" s="349"/>
      <c r="CS10" s="61" t="s">
        <v>539</v>
      </c>
      <c r="CT10" s="61"/>
      <c r="CU10" s="111">
        <f t="shared" si="6"/>
        <v>5.8583754198365252</v>
      </c>
      <c r="CV10" s="331">
        <f t="shared" si="10"/>
        <v>2.2250768911773853</v>
      </c>
      <c r="CW10" s="326">
        <f t="shared" si="7"/>
        <v>1</v>
      </c>
      <c r="CX10" s="326"/>
      <c r="CY10" s="161" t="s">
        <v>5921</v>
      </c>
    </row>
    <row r="11" spans="1:103" ht="11.25" customHeight="1" x14ac:dyDescent="0.2">
      <c r="A11" s="72">
        <v>9</v>
      </c>
      <c r="B11" s="149">
        <v>7</v>
      </c>
      <c r="C11" s="54" t="s">
        <v>307</v>
      </c>
      <c r="D11" s="54"/>
      <c r="E11" s="59"/>
      <c r="F11" s="59" t="s">
        <v>308</v>
      </c>
      <c r="G11" s="151">
        <v>52266</v>
      </c>
      <c r="H11" s="55" t="s">
        <v>309</v>
      </c>
      <c r="I11" s="55" t="s">
        <v>8278</v>
      </c>
      <c r="J11" s="55" t="s">
        <v>310</v>
      </c>
      <c r="K11" s="55" t="s">
        <v>311</v>
      </c>
      <c r="L11" s="64"/>
      <c r="M11" s="55"/>
      <c r="N11" s="60"/>
      <c r="O11" s="55"/>
      <c r="P11" s="67"/>
      <c r="Q11" s="67"/>
      <c r="R11" s="67"/>
      <c r="S11" s="67"/>
      <c r="T11" s="59">
        <v>423.89</v>
      </c>
      <c r="U11" s="153"/>
      <c r="V11" s="103">
        <v>67.37597018094317</v>
      </c>
      <c r="W11" s="103"/>
      <c r="X11" s="103">
        <f>IF(W11=0,V11,W11)</f>
        <v>67.37597018094317</v>
      </c>
      <c r="Y11" s="410"/>
      <c r="Z11" s="59">
        <v>-0.57999999999999996</v>
      </c>
      <c r="AA11" s="59"/>
      <c r="AB11" s="59"/>
      <c r="AC11" s="59"/>
      <c r="AD11" s="59"/>
      <c r="AE11" s="59"/>
      <c r="AF11" s="59"/>
      <c r="AG11" s="68">
        <v>1.85</v>
      </c>
      <c r="AH11" s="103">
        <v>8.4100000000000001E-24</v>
      </c>
      <c r="AI11" s="153"/>
      <c r="AJ11" s="62">
        <f t="shared" si="8"/>
        <v>-21.463770330514741</v>
      </c>
      <c r="AK11" s="62"/>
      <c r="AL11" s="62">
        <f t="shared" si="1"/>
        <v>-21.463770330514741</v>
      </c>
      <c r="AM11" s="62"/>
      <c r="AN11" s="152">
        <v>-14.2</v>
      </c>
      <c r="AO11" s="410"/>
      <c r="AP11" s="410"/>
      <c r="AQ11" s="152" t="s">
        <v>6311</v>
      </c>
      <c r="AR11" s="152" t="s">
        <v>6311</v>
      </c>
      <c r="AS11" s="149" t="s">
        <v>301</v>
      </c>
      <c r="AT11" s="58" t="s">
        <v>266</v>
      </c>
      <c r="AU11" s="155">
        <v>24</v>
      </c>
      <c r="AV11" s="155">
        <v>120</v>
      </c>
      <c r="AW11" s="155">
        <v>96</v>
      </c>
      <c r="AX11" s="155">
        <v>28</v>
      </c>
      <c r="AY11" s="155" t="s">
        <v>267</v>
      </c>
      <c r="AZ11" s="155" t="s">
        <v>268</v>
      </c>
      <c r="BA11" s="155">
        <v>48</v>
      </c>
      <c r="BB11" s="55" t="s">
        <v>269</v>
      </c>
      <c r="BC11" s="156" t="s">
        <v>270</v>
      </c>
      <c r="BD11" s="156" t="s">
        <v>8374</v>
      </c>
      <c r="BE11" s="155" t="s">
        <v>271</v>
      </c>
      <c r="BF11" s="155" t="s">
        <v>272</v>
      </c>
      <c r="BG11" s="155" t="s">
        <v>272</v>
      </c>
      <c r="BH11" s="155" t="s">
        <v>272</v>
      </c>
      <c r="BI11" s="157">
        <v>2.3591025973719597E-3</v>
      </c>
      <c r="BJ11" s="157">
        <v>37.745641557951359</v>
      </c>
      <c r="BK11" s="56"/>
      <c r="BL11" s="103">
        <f t="shared" si="2"/>
        <v>170.48964246366248</v>
      </c>
      <c r="BM11" s="56">
        <v>0</v>
      </c>
      <c r="BN11" s="56"/>
      <c r="BO11" s="56"/>
      <c r="BP11" s="56"/>
      <c r="BQ11" s="56"/>
      <c r="BR11" s="56"/>
      <c r="BS11" s="56"/>
      <c r="BT11" s="56"/>
      <c r="BU11" s="158"/>
      <c r="BV11" s="56"/>
      <c r="BW11" s="56"/>
      <c r="BX11" s="56"/>
      <c r="BY11" s="56">
        <v>123.87</v>
      </c>
      <c r="BZ11" s="56">
        <v>123.87</v>
      </c>
      <c r="CA11" s="56">
        <v>123.87</v>
      </c>
      <c r="CB11" s="56">
        <v>23.39</v>
      </c>
      <c r="CC11" s="56"/>
      <c r="CD11" s="56"/>
      <c r="CE11" s="56"/>
      <c r="CF11" s="56"/>
      <c r="CG11" s="56"/>
      <c r="CH11" s="56"/>
      <c r="CI11" s="103">
        <f t="shared" si="3"/>
        <v>23.39</v>
      </c>
      <c r="CJ11" s="103">
        <f t="shared" si="4"/>
        <v>1.369030221809153</v>
      </c>
      <c r="CK11" s="57">
        <f t="shared" si="9"/>
        <v>4.5168034089951172</v>
      </c>
      <c r="CL11" s="160">
        <f t="shared" si="5"/>
        <v>7.288997112597797</v>
      </c>
      <c r="CM11" s="160"/>
      <c r="CN11" s="160"/>
      <c r="CO11" s="55" t="s">
        <v>273</v>
      </c>
      <c r="CP11" s="156" t="s">
        <v>274</v>
      </c>
      <c r="CQ11" s="149" t="s">
        <v>272</v>
      </c>
      <c r="CR11" s="349"/>
      <c r="CS11" s="61" t="s">
        <v>539</v>
      </c>
      <c r="CT11" s="61"/>
      <c r="CU11" s="111">
        <f t="shared" si="6"/>
        <v>2.8805459675478056</v>
      </c>
      <c r="CV11" s="331">
        <f t="shared" si="10"/>
        <v>1.7849999999999999</v>
      </c>
      <c r="CW11" s="326">
        <f t="shared" si="7"/>
        <v>1</v>
      </c>
      <c r="CX11" s="326"/>
      <c r="CY11" s="161" t="s">
        <v>5921</v>
      </c>
    </row>
    <row r="12" spans="1:103" ht="11.25" customHeight="1" x14ac:dyDescent="0.2">
      <c r="A12" s="72">
        <v>10</v>
      </c>
      <c r="B12" s="149">
        <v>54</v>
      </c>
      <c r="C12" s="54" t="s">
        <v>504</v>
      </c>
      <c r="D12" s="54" t="s">
        <v>6440</v>
      </c>
      <c r="E12" s="59"/>
      <c r="F12" s="150" t="str">
        <f>HYPERLINK("http://www.sigmaaldrich.com/catalog/Lookup.do?N5=CAS+No.&amp;N3=mode+matchpartialmax&amp;N4=67-68-5&amp;D7=0&amp;D10=&amp;N25=0&amp;N1=S_ID&amp;ST=RS&amp;F=PR","67-68-5")</f>
        <v>67-68-5</v>
      </c>
      <c r="G12" s="151">
        <v>67685</v>
      </c>
      <c r="H12" s="55" t="s">
        <v>505</v>
      </c>
      <c r="I12" s="55" t="s">
        <v>505</v>
      </c>
      <c r="J12" s="55" t="s">
        <v>506</v>
      </c>
      <c r="K12" s="55" t="s">
        <v>426</v>
      </c>
      <c r="L12" s="64" t="s">
        <v>279</v>
      </c>
      <c r="M12" s="55" t="s">
        <v>6104</v>
      </c>
      <c r="N12" s="60" t="s">
        <v>6082</v>
      </c>
      <c r="O12" s="55" t="s">
        <v>6091</v>
      </c>
      <c r="P12" s="67"/>
      <c r="Q12" s="67" t="s">
        <v>6173</v>
      </c>
      <c r="R12" s="67" t="s">
        <v>6185</v>
      </c>
      <c r="S12" s="67" t="s">
        <v>6176</v>
      </c>
      <c r="T12" s="59">
        <v>78.13</v>
      </c>
      <c r="U12" s="153">
        <v>12799.180852425445</v>
      </c>
      <c r="V12" s="153">
        <v>12799.180852425445</v>
      </c>
      <c r="W12" s="153">
        <v>12882.495516931347</v>
      </c>
      <c r="X12" s="153">
        <v>12799.180852425445</v>
      </c>
      <c r="Y12" s="410">
        <v>7</v>
      </c>
      <c r="Z12" s="59">
        <v>-1.22</v>
      </c>
      <c r="AA12" s="59">
        <v>-1.35</v>
      </c>
      <c r="AB12" s="59">
        <v>-0.67</v>
      </c>
      <c r="AC12" s="59">
        <v>0.73660000000000003</v>
      </c>
      <c r="AD12" s="59">
        <v>-0.91</v>
      </c>
      <c r="AE12" s="59">
        <v>-1.35</v>
      </c>
      <c r="AF12" s="59">
        <f t="shared" ref="AF12:AF30" si="11">IF(AA12=0,AD12,AA12)</f>
        <v>-1.35</v>
      </c>
      <c r="AG12" s="57">
        <v>-0.34</v>
      </c>
      <c r="AH12" s="103">
        <v>4.9600000000000001E-8</v>
      </c>
      <c r="AI12" s="103">
        <v>1.51E-9</v>
      </c>
      <c r="AJ12" s="62">
        <f t="shared" si="8"/>
        <v>-5.6930846498224543</v>
      </c>
      <c r="AK12" s="62">
        <f>LOG10(AI12*1000/(0.08206*298.15))</f>
        <v>-7.2095893790194827</v>
      </c>
      <c r="AL12" s="62">
        <f t="shared" si="1"/>
        <v>-7.2095893790194827</v>
      </c>
      <c r="AM12" s="62">
        <v>-7.0543600000000009</v>
      </c>
      <c r="AN12" s="154">
        <v>2.0099999999999998</v>
      </c>
      <c r="AO12" s="410"/>
      <c r="AP12" s="410"/>
      <c r="AQ12" s="154" t="s">
        <v>6311</v>
      </c>
      <c r="AR12" s="154" t="s">
        <v>6311</v>
      </c>
      <c r="AS12" s="149" t="s">
        <v>282</v>
      </c>
      <c r="AT12" s="58" t="s">
        <v>266</v>
      </c>
      <c r="AU12" s="155">
        <v>24</v>
      </c>
      <c r="AV12" s="155">
        <v>120</v>
      </c>
      <c r="AW12" s="155">
        <v>96</v>
      </c>
      <c r="AX12" s="155">
        <v>28</v>
      </c>
      <c r="AY12" s="155" t="s">
        <v>267</v>
      </c>
      <c r="AZ12" s="155" t="s">
        <v>268</v>
      </c>
      <c r="BA12" s="155">
        <v>48</v>
      </c>
      <c r="BB12" s="55" t="s">
        <v>269</v>
      </c>
      <c r="BC12" s="156" t="s">
        <v>270</v>
      </c>
      <c r="BD12" s="156" t="s">
        <v>8374</v>
      </c>
      <c r="BE12" s="155" t="s">
        <v>271</v>
      </c>
      <c r="BF12" s="155" t="s">
        <v>272</v>
      </c>
      <c r="BG12" s="155" t="s">
        <v>272</v>
      </c>
      <c r="BH12" s="155" t="s">
        <v>272</v>
      </c>
      <c r="BI12" s="157">
        <v>1.2799180852425445E-2</v>
      </c>
      <c r="BJ12" s="157">
        <v>409.57378727761426</v>
      </c>
      <c r="BK12" s="56"/>
      <c r="BL12" s="103">
        <f t="shared" si="2"/>
        <v>640.44523678545966</v>
      </c>
      <c r="BM12" s="56">
        <v>0</v>
      </c>
      <c r="BN12" s="56"/>
      <c r="BO12" s="56"/>
      <c r="BP12" s="56"/>
      <c r="BQ12" s="56"/>
      <c r="BR12" s="56"/>
      <c r="BS12" s="56"/>
      <c r="BT12" s="56"/>
      <c r="BU12" s="158"/>
      <c r="BV12" s="56"/>
      <c r="BW12" s="56"/>
      <c r="BX12" s="56"/>
      <c r="BY12" s="56"/>
      <c r="BZ12" s="56">
        <v>399.17</v>
      </c>
      <c r="CA12" s="56">
        <v>240.83</v>
      </c>
      <c r="CB12" s="56">
        <v>268.33</v>
      </c>
      <c r="CC12" s="56"/>
      <c r="CD12" s="56"/>
      <c r="CE12" s="56"/>
      <c r="CF12" s="56"/>
      <c r="CG12" s="56"/>
      <c r="CH12" s="56"/>
      <c r="CI12" s="103">
        <f t="shared" si="3"/>
        <v>240.83</v>
      </c>
      <c r="CJ12" s="103">
        <f t="shared" si="4"/>
        <v>2.3817105856710348</v>
      </c>
      <c r="CK12" s="57">
        <f t="shared" si="9"/>
        <v>1.5636870734389987</v>
      </c>
      <c r="CL12" s="160">
        <f t="shared" si="5"/>
        <v>2.6593249876903196</v>
      </c>
      <c r="CM12" s="160">
        <v>2.6392988237078003</v>
      </c>
      <c r="CN12" s="160">
        <f>BJ12/(10^CM12)</f>
        <v>0.93979543320367476</v>
      </c>
      <c r="CO12" s="55" t="s">
        <v>273</v>
      </c>
      <c r="CP12" s="156" t="s">
        <v>274</v>
      </c>
      <c r="CQ12" s="149">
        <v>2.6570801842048413</v>
      </c>
      <c r="CR12" s="349">
        <f>10^(CJ12-CQ12)</f>
        <v>0.5304328367346709</v>
      </c>
      <c r="CS12" s="61" t="s">
        <v>539</v>
      </c>
      <c r="CT12" s="61"/>
      <c r="CU12" s="111">
        <f t="shared" si="6"/>
        <v>53.146123209008195</v>
      </c>
      <c r="CV12" s="331">
        <f t="shared" si="10"/>
        <v>31.249999999999996</v>
      </c>
      <c r="CW12" s="326">
        <f t="shared" si="7"/>
        <v>1</v>
      </c>
      <c r="CX12" s="326"/>
      <c r="CY12" s="161" t="s">
        <v>6351</v>
      </c>
    </row>
    <row r="13" spans="1:103" ht="11.25" customHeight="1" x14ac:dyDescent="0.2">
      <c r="A13" s="72">
        <v>11</v>
      </c>
      <c r="B13" s="149">
        <v>128</v>
      </c>
      <c r="C13" s="54" t="s">
        <v>747</v>
      </c>
      <c r="D13" s="54" t="s">
        <v>6548</v>
      </c>
      <c r="E13" s="59"/>
      <c r="F13" s="59" t="s">
        <v>748</v>
      </c>
      <c r="G13" s="151">
        <v>109864</v>
      </c>
      <c r="H13" s="55" t="s">
        <v>749</v>
      </c>
      <c r="I13" s="55" t="s">
        <v>749</v>
      </c>
      <c r="J13" s="55" t="s">
        <v>750</v>
      </c>
      <c r="K13" s="55" t="s">
        <v>426</v>
      </c>
      <c r="L13" s="55" t="s">
        <v>5527</v>
      </c>
      <c r="M13" s="55" t="s">
        <v>6082</v>
      </c>
      <c r="N13" s="55" t="s">
        <v>6082</v>
      </c>
      <c r="O13" s="55"/>
      <c r="P13" s="67"/>
      <c r="Q13" s="67" t="s">
        <v>6176</v>
      </c>
      <c r="R13" s="67" t="s">
        <v>6185</v>
      </c>
      <c r="S13" s="67" t="s">
        <v>6179</v>
      </c>
      <c r="T13" s="56">
        <v>76.09</v>
      </c>
      <c r="U13" s="103">
        <v>13142.331449599158</v>
      </c>
      <c r="V13" s="103">
        <v>13142.331449599158</v>
      </c>
      <c r="W13" s="103">
        <v>11220.184543019635</v>
      </c>
      <c r="X13" s="103">
        <v>13142.331449599158</v>
      </c>
      <c r="Y13" s="162">
        <v>6.64</v>
      </c>
      <c r="Z13" s="56">
        <v>-0.91</v>
      </c>
      <c r="AA13" s="56">
        <v>-0.77</v>
      </c>
      <c r="AB13" s="56">
        <v>-0.59</v>
      </c>
      <c r="AC13" s="56">
        <v>0.89429999999999998</v>
      </c>
      <c r="AD13" s="56">
        <v>-0.64</v>
      </c>
      <c r="AE13" s="56">
        <v>-0.8</v>
      </c>
      <c r="AF13" s="56">
        <f t="shared" si="11"/>
        <v>-0.77</v>
      </c>
      <c r="AG13" s="57">
        <v>-0.34</v>
      </c>
      <c r="AH13" s="103">
        <v>4.1899999999999998E-8</v>
      </c>
      <c r="AI13" s="103">
        <v>3.3000000000000002E-7</v>
      </c>
      <c r="AJ13" s="62">
        <f t="shared" si="8"/>
        <v>-5.7663523033463564</v>
      </c>
      <c r="AK13" s="62">
        <f>LOG10(AI13*1000/(0.08206*298.15))</f>
        <v>-4.8700523864347645</v>
      </c>
      <c r="AL13" s="62">
        <f t="shared" si="1"/>
        <v>-4.8700523864347645</v>
      </c>
      <c r="AM13" s="62">
        <v>-4.8682600000000003</v>
      </c>
      <c r="AN13" s="154">
        <v>-4.6500000000000004</v>
      </c>
      <c r="AO13" s="410">
        <v>14.43</v>
      </c>
      <c r="AP13" s="410"/>
      <c r="AQ13" s="154" t="s">
        <v>6311</v>
      </c>
      <c r="AR13" s="154" t="s">
        <v>6311</v>
      </c>
      <c r="AS13" s="149" t="s">
        <v>6</v>
      </c>
      <c r="AT13" s="58" t="s">
        <v>266</v>
      </c>
      <c r="AU13" s="56">
        <v>0</v>
      </c>
      <c r="AV13" s="56" t="s">
        <v>646</v>
      </c>
      <c r="AW13" s="56" t="s">
        <v>646</v>
      </c>
      <c r="AX13" s="56">
        <v>26</v>
      </c>
      <c r="AY13" s="56" t="s">
        <v>647</v>
      </c>
      <c r="AZ13" s="56" t="s">
        <v>536</v>
      </c>
      <c r="BA13" s="56">
        <v>20</v>
      </c>
      <c r="BB13" s="55" t="s">
        <v>537</v>
      </c>
      <c r="BC13" s="55" t="s">
        <v>648</v>
      </c>
      <c r="BD13" s="55"/>
      <c r="BE13" s="155" t="s">
        <v>649</v>
      </c>
      <c r="BF13" s="155" t="s">
        <v>650</v>
      </c>
      <c r="BG13" s="155" t="s">
        <v>540</v>
      </c>
      <c r="BH13" s="155" t="s">
        <v>272</v>
      </c>
      <c r="BI13" s="103">
        <v>131.4</v>
      </c>
      <c r="BJ13" s="103">
        <v>504.8</v>
      </c>
      <c r="BK13" s="56"/>
      <c r="BL13" s="103">
        <f t="shared" si="2"/>
        <v>337.34245409018888</v>
      </c>
      <c r="BM13" s="56" t="s">
        <v>541</v>
      </c>
      <c r="BN13" s="56"/>
      <c r="BO13" s="56">
        <v>313.2</v>
      </c>
      <c r="BP13" s="56"/>
      <c r="BQ13" s="56"/>
      <c r="BR13" s="56">
        <v>226.6</v>
      </c>
      <c r="BS13" s="56"/>
      <c r="BT13" s="56"/>
      <c r="BU13" s="158"/>
      <c r="BV13" s="56"/>
      <c r="BW13" s="56"/>
      <c r="BX13" s="56"/>
      <c r="BY13" s="56"/>
      <c r="BZ13" s="56"/>
      <c r="CA13" s="56"/>
      <c r="CB13" s="56"/>
      <c r="CC13" s="56"/>
      <c r="CD13" s="56"/>
      <c r="CE13" s="56"/>
      <c r="CF13" s="56"/>
      <c r="CG13" s="56"/>
      <c r="CH13" s="56"/>
      <c r="CI13" s="103">
        <f t="shared" si="3"/>
        <v>226.6</v>
      </c>
      <c r="CJ13" s="103">
        <f t="shared" si="4"/>
        <v>2.3552599055273786</v>
      </c>
      <c r="CK13" s="57">
        <f t="shared" si="9"/>
        <v>0.66826952078088131</v>
      </c>
      <c r="CL13" s="160">
        <f t="shared" si="5"/>
        <v>1.4887133896301363</v>
      </c>
      <c r="CM13" s="160"/>
      <c r="CN13" s="160"/>
      <c r="CO13" s="55"/>
      <c r="CP13" s="55" t="s">
        <v>651</v>
      </c>
      <c r="CQ13" s="149">
        <v>0.69731162586752093</v>
      </c>
      <c r="CR13" s="349">
        <f>10^(CJ13-CQ13)</f>
        <v>45.49338786279688</v>
      </c>
      <c r="CS13" s="61" t="s">
        <v>539</v>
      </c>
      <c r="CT13" s="61"/>
      <c r="CU13" s="111">
        <f t="shared" si="6"/>
        <v>57.997932257719143</v>
      </c>
      <c r="CV13" s="331">
        <f t="shared" si="10"/>
        <v>26.034729496036366</v>
      </c>
      <c r="CW13" s="326">
        <f t="shared" si="7"/>
        <v>1</v>
      </c>
      <c r="CX13" s="326"/>
      <c r="CY13" s="161" t="s">
        <v>6351</v>
      </c>
    </row>
    <row r="14" spans="1:103" ht="11.25" customHeight="1" x14ac:dyDescent="0.2">
      <c r="A14" s="72">
        <v>12</v>
      </c>
      <c r="B14" s="149">
        <v>48</v>
      </c>
      <c r="C14" s="54" t="s">
        <v>479</v>
      </c>
      <c r="D14" s="54" t="s">
        <v>8352</v>
      </c>
      <c r="E14" s="59"/>
      <c r="F14" s="59" t="s">
        <v>480</v>
      </c>
      <c r="G14" s="151">
        <v>54853</v>
      </c>
      <c r="H14" s="55" t="s">
        <v>481</v>
      </c>
      <c r="I14" s="55" t="s">
        <v>481</v>
      </c>
      <c r="J14" s="55" t="s">
        <v>482</v>
      </c>
      <c r="K14" s="55" t="s">
        <v>483</v>
      </c>
      <c r="L14" s="64" t="s">
        <v>279</v>
      </c>
      <c r="M14" s="55" t="s">
        <v>484</v>
      </c>
      <c r="N14" s="60"/>
      <c r="O14" s="55" t="s">
        <v>281</v>
      </c>
      <c r="P14" s="67"/>
      <c r="Q14" s="67"/>
      <c r="R14" s="67"/>
      <c r="S14" s="67"/>
      <c r="T14" s="59">
        <v>137.13999999999999</v>
      </c>
      <c r="U14" s="153">
        <v>1020.8546011375238</v>
      </c>
      <c r="V14" s="153">
        <v>121.70045209275195</v>
      </c>
      <c r="W14" s="153"/>
      <c r="X14" s="153">
        <v>1020.8546011375238</v>
      </c>
      <c r="Y14" s="410">
        <v>7.32</v>
      </c>
      <c r="Z14" s="59">
        <v>-0.81</v>
      </c>
      <c r="AA14" s="59">
        <v>-0.7</v>
      </c>
      <c r="AB14" s="59">
        <v>-0.52</v>
      </c>
      <c r="AC14" s="59">
        <v>0.80269999999999997</v>
      </c>
      <c r="AD14" s="59">
        <v>-0.63</v>
      </c>
      <c r="AE14" s="59">
        <v>-0.89</v>
      </c>
      <c r="AF14" s="59">
        <f t="shared" si="11"/>
        <v>-0.7</v>
      </c>
      <c r="AG14" s="57">
        <v>-0.67</v>
      </c>
      <c r="AH14" s="103">
        <v>1.21E-14</v>
      </c>
      <c r="AI14" s="103"/>
      <c r="AJ14" s="62">
        <f t="shared" si="8"/>
        <v>-12.305780955996202</v>
      </c>
      <c r="AK14" s="62"/>
      <c r="AL14" s="62">
        <f t="shared" si="1"/>
        <v>-12.305780955996202</v>
      </c>
      <c r="AM14" s="62">
        <v>-14.64358</v>
      </c>
      <c r="AN14" s="154">
        <v>-11.7</v>
      </c>
      <c r="AO14" s="410">
        <v>11.4</v>
      </c>
      <c r="AP14" s="410">
        <v>3.79</v>
      </c>
      <c r="AQ14" s="154" t="s">
        <v>6311</v>
      </c>
      <c r="AR14" s="154" t="s">
        <v>6311</v>
      </c>
      <c r="AS14" s="149" t="s">
        <v>282</v>
      </c>
      <c r="AT14" s="58" t="s">
        <v>266</v>
      </c>
      <c r="AU14" s="155">
        <v>24</v>
      </c>
      <c r="AV14" s="155">
        <v>120</v>
      </c>
      <c r="AW14" s="155">
        <v>96</v>
      </c>
      <c r="AX14" s="155">
        <v>28</v>
      </c>
      <c r="AY14" s="155" t="s">
        <v>267</v>
      </c>
      <c r="AZ14" s="155" t="s">
        <v>268</v>
      </c>
      <c r="BA14" s="155">
        <v>48</v>
      </c>
      <c r="BB14" s="55" t="s">
        <v>269</v>
      </c>
      <c r="BC14" s="156" t="s">
        <v>270</v>
      </c>
      <c r="BD14" s="156" t="s">
        <v>8374</v>
      </c>
      <c r="BE14" s="155" t="s">
        <v>271</v>
      </c>
      <c r="BF14" s="155" t="s">
        <v>272</v>
      </c>
      <c r="BG14" s="155" t="s">
        <v>272</v>
      </c>
      <c r="BH14" s="155" t="s">
        <v>272</v>
      </c>
      <c r="BI14" s="157">
        <v>7.2918185795537412E-3</v>
      </c>
      <c r="BJ14" s="157">
        <v>23.333819454571973</v>
      </c>
      <c r="BK14" s="56"/>
      <c r="BL14" s="103">
        <f t="shared" si="2"/>
        <v>274.32222838559966</v>
      </c>
      <c r="BM14" s="56">
        <v>0</v>
      </c>
      <c r="BN14" s="56"/>
      <c r="BO14" s="56"/>
      <c r="BP14" s="56"/>
      <c r="BQ14" s="56"/>
      <c r="BR14" s="56"/>
      <c r="BS14" s="56"/>
      <c r="BT14" s="56"/>
      <c r="BU14" s="158"/>
      <c r="BV14" s="56"/>
      <c r="BW14" s="56"/>
      <c r="BX14" s="56"/>
      <c r="BY14" s="56"/>
      <c r="BZ14" s="56"/>
      <c r="CA14" s="56">
        <v>25.52</v>
      </c>
      <c r="CB14" s="56">
        <v>9.4600000000000009</v>
      </c>
      <c r="CC14" s="56"/>
      <c r="CD14" s="56"/>
      <c r="CE14" s="56"/>
      <c r="CF14" s="56"/>
      <c r="CG14" s="56"/>
      <c r="CH14" s="56"/>
      <c r="CI14" s="103">
        <f t="shared" si="3"/>
        <v>9.4600000000000009</v>
      </c>
      <c r="CJ14" s="103">
        <f t="shared" si="4"/>
        <v>0.97589113640179281</v>
      </c>
      <c r="CK14" s="57">
        <f t="shared" si="9"/>
        <v>11.756422000250353</v>
      </c>
      <c r="CL14" s="160">
        <f t="shared" si="5"/>
        <v>28.998121393826601</v>
      </c>
      <c r="CM14" s="160"/>
      <c r="CN14" s="160"/>
      <c r="CO14" s="55" t="s">
        <v>273</v>
      </c>
      <c r="CP14" s="156" t="s">
        <v>274</v>
      </c>
      <c r="CQ14" s="149" t="s">
        <v>272</v>
      </c>
      <c r="CR14" s="349"/>
      <c r="CS14" s="61" t="s">
        <v>539</v>
      </c>
      <c r="CT14" s="61"/>
      <c r="CU14" s="111">
        <f t="shared" si="6"/>
        <v>107.91274853462195</v>
      </c>
      <c r="CV14" s="331">
        <f t="shared" si="10"/>
        <v>43.75</v>
      </c>
      <c r="CW14" s="326">
        <f t="shared" si="7"/>
        <v>1</v>
      </c>
      <c r="CX14" s="326"/>
      <c r="CY14" s="161" t="s">
        <v>5921</v>
      </c>
    </row>
    <row r="15" spans="1:103" ht="11.25" customHeight="1" x14ac:dyDescent="0.2">
      <c r="A15" s="72">
        <v>13</v>
      </c>
      <c r="B15" s="149">
        <v>124</v>
      </c>
      <c r="C15" s="54" t="s">
        <v>740</v>
      </c>
      <c r="D15" s="54" t="s">
        <v>6546</v>
      </c>
      <c r="E15" s="59"/>
      <c r="F15" s="59" t="s">
        <v>741</v>
      </c>
      <c r="G15" s="151">
        <v>107982</v>
      </c>
      <c r="H15" s="55" t="s">
        <v>742</v>
      </c>
      <c r="I15" s="55" t="s">
        <v>742</v>
      </c>
      <c r="J15" s="55" t="s">
        <v>743</v>
      </c>
      <c r="K15" s="55" t="s">
        <v>426</v>
      </c>
      <c r="L15" s="55" t="s">
        <v>5527</v>
      </c>
      <c r="M15" s="55" t="s">
        <v>6082</v>
      </c>
      <c r="N15" s="55" t="s">
        <v>6082</v>
      </c>
      <c r="O15" s="55"/>
      <c r="P15" s="67"/>
      <c r="Q15" s="67"/>
      <c r="R15" s="67"/>
      <c r="S15" s="67"/>
      <c r="T15" s="56">
        <v>90.12</v>
      </c>
      <c r="U15" s="103">
        <v>11096.316023080337</v>
      </c>
      <c r="V15" s="103">
        <v>11096.316023080337</v>
      </c>
      <c r="W15" s="103">
        <v>4786.3009232263839</v>
      </c>
      <c r="X15" s="103">
        <v>11096.316023080337</v>
      </c>
      <c r="Y15" s="162">
        <v>6.8</v>
      </c>
      <c r="Z15" s="56">
        <v>-0.49</v>
      </c>
      <c r="AA15" s="56"/>
      <c r="AB15" s="56">
        <v>-0.14000000000000001</v>
      </c>
      <c r="AC15" s="56">
        <v>0.86470000000000002</v>
      </c>
      <c r="AD15" s="56">
        <v>-0.22</v>
      </c>
      <c r="AE15" s="56">
        <v>-0.45</v>
      </c>
      <c r="AF15" s="56">
        <f t="shared" si="11"/>
        <v>-0.22</v>
      </c>
      <c r="AG15" s="57">
        <v>0.14000000000000001</v>
      </c>
      <c r="AH15" s="103">
        <v>5.5600000000000002E-8</v>
      </c>
      <c r="AI15" s="103">
        <v>9.1999999999999998E-7</v>
      </c>
      <c r="AJ15" s="62">
        <f t="shared" si="8"/>
        <v>-5.6434915347305941</v>
      </c>
      <c r="AK15" s="62">
        <f>LOG10(AI15*1000/(0.08206*298.15))</f>
        <v>-4.4247784989670969</v>
      </c>
      <c r="AL15" s="62">
        <f t="shared" si="1"/>
        <v>-4.4247784989670969</v>
      </c>
      <c r="AM15" s="62">
        <v>-5.0744100000000003</v>
      </c>
      <c r="AN15" s="154">
        <v>-4.1100000000000003</v>
      </c>
      <c r="AO15" s="410">
        <v>14.49</v>
      </c>
      <c r="AP15" s="410"/>
      <c r="AQ15" s="154" t="s">
        <v>6311</v>
      </c>
      <c r="AR15" s="154" t="s">
        <v>6311</v>
      </c>
      <c r="AS15" s="149" t="s">
        <v>6</v>
      </c>
      <c r="AT15" s="58" t="s">
        <v>266</v>
      </c>
      <c r="AU15" s="56">
        <v>0</v>
      </c>
      <c r="AV15" s="56" t="s">
        <v>646</v>
      </c>
      <c r="AW15" s="56" t="s">
        <v>646</v>
      </c>
      <c r="AX15" s="56">
        <v>26</v>
      </c>
      <c r="AY15" s="56" t="s">
        <v>647</v>
      </c>
      <c r="AZ15" s="56" t="s">
        <v>536</v>
      </c>
      <c r="BA15" s="56">
        <v>20</v>
      </c>
      <c r="BB15" s="55" t="s">
        <v>537</v>
      </c>
      <c r="BC15" s="55" t="s">
        <v>648</v>
      </c>
      <c r="BD15" s="55"/>
      <c r="BE15" s="155" t="s">
        <v>649</v>
      </c>
      <c r="BF15" s="155" t="s">
        <v>650</v>
      </c>
      <c r="BG15" s="155" t="s">
        <v>540</v>
      </c>
      <c r="BH15" s="155" t="s">
        <v>272</v>
      </c>
      <c r="BI15" s="103">
        <v>66.599999999999994</v>
      </c>
      <c r="BJ15" s="103">
        <v>255.8</v>
      </c>
      <c r="BK15" s="56"/>
      <c r="BL15" s="103">
        <f t="shared" si="2"/>
        <v>141.53667862387493</v>
      </c>
      <c r="BM15" s="56" t="s">
        <v>541</v>
      </c>
      <c r="BN15" s="56"/>
      <c r="BO15" s="56">
        <v>181.3</v>
      </c>
      <c r="BP15" s="56"/>
      <c r="BQ15" s="56"/>
      <c r="BR15" s="56">
        <v>154.4</v>
      </c>
      <c r="BS15" s="56"/>
      <c r="BT15" s="56"/>
      <c r="BU15" s="158"/>
      <c r="BV15" s="56"/>
      <c r="BW15" s="56"/>
      <c r="BX15" s="56"/>
      <c r="BY15" s="56"/>
      <c r="BZ15" s="56"/>
      <c r="CA15" s="56"/>
      <c r="CB15" s="56"/>
      <c r="CC15" s="56"/>
      <c r="CD15" s="56"/>
      <c r="CE15" s="56"/>
      <c r="CF15" s="56"/>
      <c r="CG15" s="56"/>
      <c r="CH15" s="56"/>
      <c r="CI15" s="103">
        <f t="shared" si="3"/>
        <v>154.4</v>
      </c>
      <c r="CJ15" s="103">
        <f t="shared" si="4"/>
        <v>2.1886472959997172</v>
      </c>
      <c r="CK15" s="57">
        <f t="shared" si="9"/>
        <v>0.55330992425283398</v>
      </c>
      <c r="CL15" s="160">
        <f t="shared" si="5"/>
        <v>0.9166883330561848</v>
      </c>
      <c r="CM15" s="160"/>
      <c r="CN15" s="160"/>
      <c r="CO15" s="55"/>
      <c r="CP15" s="55" t="s">
        <v>651</v>
      </c>
      <c r="CQ15" s="149">
        <v>2.3632421519109683</v>
      </c>
      <c r="CR15" s="349">
        <f>10^(CJ15-CQ15)</f>
        <v>0.66896769230769204</v>
      </c>
      <c r="CS15" s="61" t="s">
        <v>539</v>
      </c>
      <c r="CT15" s="61"/>
      <c r="CU15" s="111">
        <f t="shared" si="6"/>
        <v>71.867331755701656</v>
      </c>
      <c r="CV15" s="331">
        <f t="shared" si="10"/>
        <v>43.378874210634621</v>
      </c>
      <c r="CW15" s="326">
        <f t="shared" si="7"/>
        <v>1</v>
      </c>
      <c r="CX15" s="326"/>
      <c r="CY15" s="161" t="s">
        <v>6351</v>
      </c>
    </row>
    <row r="16" spans="1:103" ht="11.25" customHeight="1" x14ac:dyDescent="0.2">
      <c r="A16" s="72">
        <v>14</v>
      </c>
      <c r="B16" s="149">
        <v>123</v>
      </c>
      <c r="C16" s="54" t="s">
        <v>736</v>
      </c>
      <c r="D16" s="54" t="s">
        <v>6602</v>
      </c>
      <c r="E16" s="59"/>
      <c r="F16" s="59" t="s">
        <v>737</v>
      </c>
      <c r="G16" s="151">
        <v>67630</v>
      </c>
      <c r="H16" s="55" t="s">
        <v>738</v>
      </c>
      <c r="I16" s="55" t="s">
        <v>738</v>
      </c>
      <c r="J16" s="55" t="s">
        <v>739</v>
      </c>
      <c r="K16" s="55" t="s">
        <v>426</v>
      </c>
      <c r="L16" s="55" t="s">
        <v>5527</v>
      </c>
      <c r="M16" s="55" t="s">
        <v>6616</v>
      </c>
      <c r="N16" s="60" t="s">
        <v>6082</v>
      </c>
      <c r="O16" s="55"/>
      <c r="P16" s="67" t="s">
        <v>6183</v>
      </c>
      <c r="Q16" s="67" t="s">
        <v>6176</v>
      </c>
      <c r="R16" s="67" t="s">
        <v>6185</v>
      </c>
      <c r="S16" s="67" t="s">
        <v>6176</v>
      </c>
      <c r="T16" s="56">
        <v>60.1</v>
      </c>
      <c r="U16" s="103">
        <v>16638.935108153077</v>
      </c>
      <c r="V16" s="103">
        <v>6695.5074875207983</v>
      </c>
      <c r="W16" s="103">
        <v>2344.228815319922</v>
      </c>
      <c r="X16" s="103">
        <v>16638.935108153077</v>
      </c>
      <c r="Y16" s="162">
        <v>6.98</v>
      </c>
      <c r="Z16" s="56">
        <v>0.28000000000000003</v>
      </c>
      <c r="AA16" s="56">
        <v>0.05</v>
      </c>
      <c r="AB16" s="56">
        <v>0.27</v>
      </c>
      <c r="AC16" s="56">
        <v>0.88790000000000002</v>
      </c>
      <c r="AD16" s="56">
        <v>0.24</v>
      </c>
      <c r="AE16" s="56">
        <v>0.16</v>
      </c>
      <c r="AF16" s="56">
        <f t="shared" si="11"/>
        <v>0.05</v>
      </c>
      <c r="AG16" s="57">
        <v>0.47</v>
      </c>
      <c r="AH16" s="103">
        <v>7.52E-6</v>
      </c>
      <c r="AI16" s="103">
        <v>8.1000000000000004E-6</v>
      </c>
      <c r="AJ16" s="62">
        <f t="shared" si="8"/>
        <v>-3.5123484857210094</v>
      </c>
      <c r="AK16" s="62">
        <f>LOG10(AI16*1000/(0.08206*298.15))</f>
        <v>-3.480081307434002</v>
      </c>
      <c r="AL16" s="62">
        <f t="shared" si="1"/>
        <v>-3.480081307434002</v>
      </c>
      <c r="AM16" s="62">
        <v>-3.3559399999999999</v>
      </c>
      <c r="AN16" s="154">
        <v>-3.44</v>
      </c>
      <c r="AO16" s="410">
        <v>15.31</v>
      </c>
      <c r="AP16" s="410"/>
      <c r="AQ16" s="154" t="s">
        <v>6311</v>
      </c>
      <c r="AR16" s="154" t="s">
        <v>6311</v>
      </c>
      <c r="AS16" s="149" t="s">
        <v>87</v>
      </c>
      <c r="AT16" s="58" t="s">
        <v>266</v>
      </c>
      <c r="AU16" s="56">
        <v>0</v>
      </c>
      <c r="AV16" s="56" t="s">
        <v>646</v>
      </c>
      <c r="AW16" s="56" t="s">
        <v>646</v>
      </c>
      <c r="AX16" s="56">
        <v>26</v>
      </c>
      <c r="AY16" s="56" t="s">
        <v>647</v>
      </c>
      <c r="AZ16" s="56" t="s">
        <v>536</v>
      </c>
      <c r="BA16" s="56">
        <v>20</v>
      </c>
      <c r="BB16" s="55" t="s">
        <v>537</v>
      </c>
      <c r="BC16" s="55" t="s">
        <v>648</v>
      </c>
      <c r="BD16" s="55"/>
      <c r="BE16" s="155" t="s">
        <v>649</v>
      </c>
      <c r="BF16" s="155" t="s">
        <v>650</v>
      </c>
      <c r="BG16" s="155" t="s">
        <v>540</v>
      </c>
      <c r="BH16" s="155" t="s">
        <v>272</v>
      </c>
      <c r="BI16" s="103">
        <v>52.1</v>
      </c>
      <c r="BJ16" s="103">
        <v>199.5</v>
      </c>
      <c r="BK16" s="56"/>
      <c r="BL16" s="103">
        <f t="shared" si="2"/>
        <v>28.795989066798146</v>
      </c>
      <c r="BM16" s="56" t="s">
        <v>541</v>
      </c>
      <c r="BN16" s="56"/>
      <c r="BO16" s="56">
        <v>168.7</v>
      </c>
      <c r="BP16" s="56"/>
      <c r="BQ16" s="56"/>
      <c r="BR16" s="56">
        <v>143.4</v>
      </c>
      <c r="BS16" s="56"/>
      <c r="BT16" s="56"/>
      <c r="BU16" s="158"/>
      <c r="BV16" s="56"/>
      <c r="BW16" s="56"/>
      <c r="BX16" s="56"/>
      <c r="BY16" s="56"/>
      <c r="BZ16" s="56"/>
      <c r="CA16" s="56"/>
      <c r="CB16" s="56"/>
      <c r="CC16" s="56"/>
      <c r="CD16" s="56"/>
      <c r="CE16" s="56"/>
      <c r="CF16" s="56"/>
      <c r="CG16" s="56"/>
      <c r="CH16" s="56"/>
      <c r="CI16" s="103">
        <f t="shared" si="3"/>
        <v>143.4</v>
      </c>
      <c r="CJ16" s="103">
        <f t="shared" si="4"/>
        <v>2.1565491513317814</v>
      </c>
      <c r="CK16" s="57">
        <f t="shared" si="9"/>
        <v>0.14434079732730901</v>
      </c>
      <c r="CL16" s="160">
        <f t="shared" si="5"/>
        <v>0.20080884983820185</v>
      </c>
      <c r="CM16" s="160"/>
      <c r="CN16" s="160"/>
      <c r="CO16" s="55"/>
      <c r="CP16" s="55" t="s">
        <v>651</v>
      </c>
      <c r="CQ16" s="149">
        <v>2.1626888865381626</v>
      </c>
      <c r="CR16" s="349">
        <f>10^(CJ16-CQ16)</f>
        <v>0.98596219908031824</v>
      </c>
      <c r="CS16" s="61" t="s">
        <v>539</v>
      </c>
      <c r="CT16" s="61"/>
      <c r="CU16" s="111">
        <f t="shared" si="6"/>
        <v>116.03162557986803</v>
      </c>
      <c r="CV16" s="331">
        <f t="shared" si="10"/>
        <v>83.403183499514171</v>
      </c>
      <c r="CW16" s="326">
        <f t="shared" si="7"/>
        <v>1</v>
      </c>
      <c r="CX16" s="326"/>
      <c r="CY16" s="161" t="s">
        <v>6351</v>
      </c>
    </row>
    <row r="17" spans="1:103" ht="13.9" customHeight="1" x14ac:dyDescent="0.2">
      <c r="A17" s="72">
        <v>15</v>
      </c>
      <c r="B17" s="149">
        <v>1105</v>
      </c>
      <c r="C17" s="54" t="s">
        <v>3088</v>
      </c>
      <c r="D17" s="54"/>
      <c r="E17" s="59"/>
      <c r="F17" s="59" t="s">
        <v>3089</v>
      </c>
      <c r="G17" s="151">
        <v>56531</v>
      </c>
      <c r="H17" s="55" t="s">
        <v>3090</v>
      </c>
      <c r="I17" s="55" t="s">
        <v>3090</v>
      </c>
      <c r="J17" s="55" t="s">
        <v>3091</v>
      </c>
      <c r="K17" s="55" t="s">
        <v>376</v>
      </c>
      <c r="L17" s="55" t="s">
        <v>279</v>
      </c>
      <c r="M17" s="55" t="s">
        <v>3092</v>
      </c>
      <c r="N17" s="60"/>
      <c r="O17" s="55" t="s">
        <v>281</v>
      </c>
      <c r="P17" s="67"/>
      <c r="Q17" s="67"/>
      <c r="R17" s="67"/>
      <c r="S17" s="67"/>
      <c r="T17" s="56">
        <v>268.35000000000002</v>
      </c>
      <c r="U17" s="103">
        <v>4.4717719396310786E-2</v>
      </c>
      <c r="V17" s="103">
        <v>1.2375628842929011E-2</v>
      </c>
      <c r="W17" s="103">
        <v>1.3182567385564052E-2</v>
      </c>
      <c r="X17" s="103">
        <v>4.4717719396310786E-2</v>
      </c>
      <c r="Y17" s="162">
        <v>6.98</v>
      </c>
      <c r="Z17" s="56">
        <v>5.64</v>
      </c>
      <c r="AA17" s="56">
        <v>5.07</v>
      </c>
      <c r="AB17" s="56">
        <v>4.07</v>
      </c>
      <c r="AC17" s="56">
        <v>0.68459999999999999</v>
      </c>
      <c r="AD17" s="56">
        <v>4.79</v>
      </c>
      <c r="AE17" s="56">
        <v>5.93</v>
      </c>
      <c r="AF17" s="56">
        <f t="shared" si="11"/>
        <v>5.07</v>
      </c>
      <c r="AG17" s="57">
        <v>4.84</v>
      </c>
      <c r="AH17" s="103">
        <v>5.8000000000000003E-12</v>
      </c>
      <c r="AI17" s="103"/>
      <c r="AJ17" s="62">
        <f t="shared" si="8"/>
        <v>-9.6251383327497138</v>
      </c>
      <c r="AK17" s="62"/>
      <c r="AL17" s="62">
        <f t="shared" si="1"/>
        <v>-9.6251383327497138</v>
      </c>
      <c r="AM17" s="62">
        <v>-14.59704</v>
      </c>
      <c r="AN17" s="154">
        <v>-10.6</v>
      </c>
      <c r="AO17" s="410">
        <v>10.18</v>
      </c>
      <c r="AP17" s="410"/>
      <c r="AQ17" s="56" t="s">
        <v>6311</v>
      </c>
      <c r="AR17" s="56" t="s">
        <v>6311</v>
      </c>
      <c r="AS17" s="155"/>
      <c r="AT17" s="58" t="s">
        <v>266</v>
      </c>
      <c r="AU17" s="56">
        <v>6</v>
      </c>
      <c r="AV17" s="56">
        <v>120</v>
      </c>
      <c r="AW17" s="56">
        <v>114</v>
      </c>
      <c r="AX17" s="56">
        <v>28</v>
      </c>
      <c r="AY17" s="56" t="s">
        <v>8728</v>
      </c>
      <c r="AZ17" s="56" t="s">
        <v>1563</v>
      </c>
      <c r="BA17" s="56">
        <v>32</v>
      </c>
      <c r="BB17" s="55" t="s">
        <v>2485</v>
      </c>
      <c r="BC17" s="55" t="s">
        <v>8726</v>
      </c>
      <c r="BD17" s="55" t="s">
        <v>8374</v>
      </c>
      <c r="BE17" s="56" t="s">
        <v>2449</v>
      </c>
      <c r="BF17" s="56" t="s">
        <v>272</v>
      </c>
      <c r="BG17" s="56" t="s">
        <v>272</v>
      </c>
      <c r="BH17" s="56" t="s">
        <v>2486</v>
      </c>
      <c r="BI17" s="103">
        <v>6.3999999999999997E-6</v>
      </c>
      <c r="BJ17" s="103">
        <v>6.4000000000000001E-2</v>
      </c>
      <c r="BK17" s="56"/>
      <c r="BL17" s="103">
        <f t="shared" si="2"/>
        <v>4.4209540397220079E-4</v>
      </c>
      <c r="BM17" s="56" t="s">
        <v>2487</v>
      </c>
      <c r="BN17" s="56"/>
      <c r="BO17" s="56"/>
      <c r="BP17" s="56"/>
      <c r="BQ17" s="56"/>
      <c r="BR17" s="55">
        <v>2.0238577000000001E-2</v>
      </c>
      <c r="BS17" s="56"/>
      <c r="BT17" s="56"/>
      <c r="BU17" s="158"/>
      <c r="BV17" s="56"/>
      <c r="BW17" s="56"/>
      <c r="BX17" s="56"/>
      <c r="BY17" s="56"/>
      <c r="BZ17" s="56"/>
      <c r="CA17" s="56"/>
      <c r="CB17" s="56"/>
      <c r="CC17" s="56"/>
      <c r="CD17" s="56"/>
      <c r="CE17" s="56"/>
      <c r="CF17" s="56"/>
      <c r="CG17" s="56"/>
      <c r="CH17" s="56"/>
      <c r="CI17" s="103">
        <f t="shared" si="3"/>
        <v>2.0238577000000001E-2</v>
      </c>
      <c r="CJ17" s="103">
        <f t="shared" si="4"/>
        <v>-1.6938200265542473</v>
      </c>
      <c r="CK17" s="57">
        <f t="shared" si="9"/>
        <v>6.9077406870656369E-3</v>
      </c>
      <c r="CL17" s="160">
        <f t="shared" si="5"/>
        <v>2.1844194084010983E-2</v>
      </c>
      <c r="CM17" s="160"/>
      <c r="CN17" s="160"/>
      <c r="CO17" s="55" t="s">
        <v>2488</v>
      </c>
      <c r="CP17" s="55" t="s">
        <v>2489</v>
      </c>
      <c r="CQ17" s="149" t="s">
        <v>272</v>
      </c>
      <c r="CR17" s="349"/>
      <c r="CS17" s="61" t="s">
        <v>539</v>
      </c>
      <c r="CT17" s="61"/>
      <c r="CU17" s="111">
        <f t="shared" si="6"/>
        <v>2.2095288318102</v>
      </c>
      <c r="CV17" s="331">
        <f t="shared" si="10"/>
        <v>0.698714365567356</v>
      </c>
      <c r="CW17" s="326">
        <f t="shared" si="7"/>
        <v>1</v>
      </c>
      <c r="CX17" s="326"/>
      <c r="CY17" s="161" t="s">
        <v>5921</v>
      </c>
    </row>
    <row r="18" spans="1:103" ht="13.9" customHeight="1" x14ac:dyDescent="0.2">
      <c r="A18" s="72">
        <v>16</v>
      </c>
      <c r="B18" s="149">
        <v>34</v>
      </c>
      <c r="C18" s="54" t="s">
        <v>417</v>
      </c>
      <c r="D18" s="54" t="s">
        <v>8353</v>
      </c>
      <c r="E18" s="59"/>
      <c r="F18" s="150" t="str">
        <f>HYPERLINK("http://www.sigmaaldrich.com/catalog/Lookup.do?N5=CAS+No.&amp;N3=mode+matchpartialmax&amp;N4=56-75-7&amp;D7=0&amp;D10=&amp;N25=0&amp;N1=S_ID&amp;ST=RS&amp;F=PR","56-75-7")</f>
        <v>56-75-7</v>
      </c>
      <c r="G18" s="151">
        <v>56757</v>
      </c>
      <c r="H18" s="55" t="s">
        <v>418</v>
      </c>
      <c r="I18" s="55" t="s">
        <v>8208</v>
      </c>
      <c r="J18" s="55" t="s">
        <v>419</v>
      </c>
      <c r="K18" s="55" t="s">
        <v>420</v>
      </c>
      <c r="L18" s="64" t="s">
        <v>279</v>
      </c>
      <c r="M18" s="55" t="s">
        <v>421</v>
      </c>
      <c r="N18" s="60"/>
      <c r="O18" s="55" t="s">
        <v>281</v>
      </c>
      <c r="P18" s="67"/>
      <c r="Q18" s="67"/>
      <c r="R18" s="67"/>
      <c r="S18" s="67"/>
      <c r="T18" s="59">
        <v>323.13</v>
      </c>
      <c r="U18" s="153">
        <v>7.7368241884071427</v>
      </c>
      <c r="V18" s="153">
        <v>1.20230247887847</v>
      </c>
      <c r="W18" s="153">
        <v>3.3113112148259103</v>
      </c>
      <c r="X18" s="153">
        <v>7.7368241884071427</v>
      </c>
      <c r="Y18" s="410">
        <v>6.58</v>
      </c>
      <c r="Z18" s="59">
        <v>0.92</v>
      </c>
      <c r="AA18" s="59">
        <v>1.1399999999999999</v>
      </c>
      <c r="AB18" s="59">
        <v>1.02</v>
      </c>
      <c r="AC18" s="59">
        <v>0.92410000000000003</v>
      </c>
      <c r="AD18" s="59">
        <v>1.02</v>
      </c>
      <c r="AE18" s="59">
        <v>1.02</v>
      </c>
      <c r="AF18" s="59">
        <f t="shared" si="11"/>
        <v>1.1399999999999999</v>
      </c>
      <c r="AG18" s="57">
        <v>0.82</v>
      </c>
      <c r="AH18" s="103">
        <v>2.2900000000000001E-18</v>
      </c>
      <c r="AI18" s="103"/>
      <c r="AJ18" s="62">
        <f t="shared" si="8"/>
        <v>-16.028730843972763</v>
      </c>
      <c r="AK18" s="62"/>
      <c r="AL18" s="62">
        <f t="shared" si="1"/>
        <v>-16.028730843972763</v>
      </c>
      <c r="AM18" s="62">
        <v>-21.30564</v>
      </c>
      <c r="AN18" s="154">
        <v>-15</v>
      </c>
      <c r="AO18" s="410">
        <v>11.03</v>
      </c>
      <c r="AP18" s="410">
        <v>-1.73</v>
      </c>
      <c r="AQ18" s="154" t="s">
        <v>6311</v>
      </c>
      <c r="AR18" s="154" t="s">
        <v>6311</v>
      </c>
      <c r="AS18" s="149" t="s">
        <v>282</v>
      </c>
      <c r="AT18" s="58" t="s">
        <v>266</v>
      </c>
      <c r="AU18" s="155">
        <v>24</v>
      </c>
      <c r="AV18" s="155">
        <v>120</v>
      </c>
      <c r="AW18" s="155">
        <v>96</v>
      </c>
      <c r="AX18" s="155">
        <v>28</v>
      </c>
      <c r="AY18" s="155" t="s">
        <v>267</v>
      </c>
      <c r="AZ18" s="155" t="s">
        <v>268</v>
      </c>
      <c r="BA18" s="155">
        <v>48</v>
      </c>
      <c r="BB18" s="55" t="s">
        <v>269</v>
      </c>
      <c r="BC18" s="156" t="s">
        <v>270</v>
      </c>
      <c r="BD18" s="156" t="s">
        <v>8374</v>
      </c>
      <c r="BE18" s="155" t="s">
        <v>271</v>
      </c>
      <c r="BF18" s="155" t="s">
        <v>272</v>
      </c>
      <c r="BG18" s="155" t="s">
        <v>272</v>
      </c>
      <c r="BH18" s="155" t="s">
        <v>272</v>
      </c>
      <c r="BI18" s="157">
        <v>3.0945381401825778E-3</v>
      </c>
      <c r="BJ18" s="157">
        <v>4.9512610242921244</v>
      </c>
      <c r="BK18" s="56"/>
      <c r="BL18" s="103">
        <f t="shared" si="2"/>
        <v>7.6656325918316348</v>
      </c>
      <c r="BM18" s="56">
        <v>0</v>
      </c>
      <c r="BN18" s="56"/>
      <c r="BO18" s="56"/>
      <c r="BP18" s="56"/>
      <c r="BQ18" s="56"/>
      <c r="BR18" s="56"/>
      <c r="BS18" s="56"/>
      <c r="BT18" s="56"/>
      <c r="BU18" s="158"/>
      <c r="BV18" s="56"/>
      <c r="BW18" s="56"/>
      <c r="BX18" s="56"/>
      <c r="BY18" s="56">
        <v>23.36</v>
      </c>
      <c r="BZ18" s="56">
        <v>23.36</v>
      </c>
      <c r="CA18" s="56">
        <v>23.36</v>
      </c>
      <c r="CB18" s="56">
        <v>1.62</v>
      </c>
      <c r="CC18" s="56"/>
      <c r="CD18" s="56"/>
      <c r="CE18" s="56"/>
      <c r="CF18" s="56"/>
      <c r="CG18" s="56"/>
      <c r="CH18" s="56"/>
      <c r="CI18" s="103">
        <f t="shared" si="3"/>
        <v>1.62</v>
      </c>
      <c r="CJ18" s="103">
        <f t="shared" si="4"/>
        <v>0.20951501454263097</v>
      </c>
      <c r="CK18" s="57">
        <f t="shared" si="9"/>
        <v>1.5482182325314955</v>
      </c>
      <c r="CL18" s="160">
        <f t="shared" si="5"/>
        <v>4.7318719702664414</v>
      </c>
      <c r="CM18" s="160"/>
      <c r="CN18" s="160"/>
      <c r="CO18" s="55" t="s">
        <v>273</v>
      </c>
      <c r="CP18" s="156" t="s">
        <v>274</v>
      </c>
      <c r="CQ18" s="149" t="s">
        <v>272</v>
      </c>
      <c r="CR18" s="349"/>
      <c r="CS18" s="61" t="s">
        <v>539</v>
      </c>
      <c r="CT18" s="61"/>
      <c r="CU18" s="111">
        <f t="shared" si="6"/>
        <v>4.7758174002513227</v>
      </c>
      <c r="CV18" s="331">
        <f t="shared" si="10"/>
        <v>1.562596710302355</v>
      </c>
      <c r="CW18" s="326">
        <f t="shared" si="7"/>
        <v>1</v>
      </c>
      <c r="CX18" s="326"/>
      <c r="CY18" s="161" t="s">
        <v>5921</v>
      </c>
    </row>
    <row r="19" spans="1:103" ht="11.25" customHeight="1" x14ac:dyDescent="0.2">
      <c r="A19" s="72">
        <v>17</v>
      </c>
      <c r="B19" s="149">
        <v>549</v>
      </c>
      <c r="C19" s="54" t="s">
        <v>773</v>
      </c>
      <c r="D19" s="54" t="s">
        <v>6443</v>
      </c>
      <c r="E19" s="59"/>
      <c r="F19" s="59" t="s">
        <v>774</v>
      </c>
      <c r="G19" s="151">
        <v>75310</v>
      </c>
      <c r="H19" s="55" t="s">
        <v>775</v>
      </c>
      <c r="I19" s="55" t="s">
        <v>775</v>
      </c>
      <c r="J19" s="55" t="s">
        <v>776</v>
      </c>
      <c r="K19" s="55" t="s">
        <v>300</v>
      </c>
      <c r="L19" s="55" t="s">
        <v>6627</v>
      </c>
      <c r="M19" s="55" t="s">
        <v>6025</v>
      </c>
      <c r="N19" s="60" t="s">
        <v>2342</v>
      </c>
      <c r="O19" s="55" t="s">
        <v>2342</v>
      </c>
      <c r="P19" s="67" t="s">
        <v>1639</v>
      </c>
      <c r="Q19" s="67" t="s">
        <v>6173</v>
      </c>
      <c r="R19" s="67" t="s">
        <v>6082</v>
      </c>
      <c r="S19" s="67" t="s">
        <v>6173</v>
      </c>
      <c r="T19" s="56">
        <v>59.11</v>
      </c>
      <c r="U19" s="103">
        <v>16917.611233293857</v>
      </c>
      <c r="V19" s="103">
        <v>14178.649974623584</v>
      </c>
      <c r="W19" s="103">
        <v>2041.7379446695297</v>
      </c>
      <c r="X19" s="103">
        <v>16917.611233293857</v>
      </c>
      <c r="Y19" s="162">
        <v>12.49</v>
      </c>
      <c r="Z19" s="56">
        <v>0.27</v>
      </c>
      <c r="AA19" s="56">
        <v>0.26</v>
      </c>
      <c r="AB19" s="56">
        <v>0.37</v>
      </c>
      <c r="AC19" s="56">
        <v>0.90820000000000001</v>
      </c>
      <c r="AD19" s="56">
        <v>0.34</v>
      </c>
      <c r="AE19" s="56">
        <v>0.21</v>
      </c>
      <c r="AF19" s="56">
        <f t="shared" si="11"/>
        <v>0.26</v>
      </c>
      <c r="AG19" s="57">
        <v>-0.03</v>
      </c>
      <c r="AH19" s="103">
        <v>1.34E-5</v>
      </c>
      <c r="AI19" s="103">
        <v>4.5099999999999998E-5</v>
      </c>
      <c r="AJ19" s="62">
        <f t="shared" si="8"/>
        <v>-3.2614615279478443</v>
      </c>
      <c r="AK19" s="62">
        <f>LOG10(AI19*1000/(0.08206*298.15))</f>
        <v>-2.7343897844346912</v>
      </c>
      <c r="AL19" s="62">
        <f t="shared" si="1"/>
        <v>-2.7343897844346912</v>
      </c>
      <c r="AM19" s="62">
        <v>-4.3610199999999999</v>
      </c>
      <c r="AN19" s="154">
        <v>-3.31</v>
      </c>
      <c r="AO19" s="410"/>
      <c r="AP19" s="410">
        <v>10.68</v>
      </c>
      <c r="AQ19" s="154" t="s">
        <v>6311</v>
      </c>
      <c r="AR19" s="154" t="s">
        <v>6311</v>
      </c>
      <c r="AS19" s="149" t="s">
        <v>75</v>
      </c>
      <c r="AT19" s="58" t="s">
        <v>266</v>
      </c>
      <c r="AU19" s="56">
        <v>2</v>
      </c>
      <c r="AV19" s="56">
        <v>96</v>
      </c>
      <c r="AW19" s="56">
        <v>96</v>
      </c>
      <c r="AX19" s="56">
        <v>25</v>
      </c>
      <c r="AY19" s="56" t="s">
        <v>8722</v>
      </c>
      <c r="AZ19" s="56" t="s">
        <v>1563</v>
      </c>
      <c r="BA19" s="56">
        <v>12</v>
      </c>
      <c r="BB19" s="55" t="s">
        <v>888</v>
      </c>
      <c r="BC19" s="55" t="s">
        <v>538</v>
      </c>
      <c r="BD19" s="55"/>
      <c r="BE19" s="56" t="s">
        <v>271</v>
      </c>
      <c r="BF19" s="56" t="s">
        <v>272</v>
      </c>
      <c r="BG19" s="56" t="s">
        <v>539</v>
      </c>
      <c r="BH19" s="56" t="s">
        <v>272</v>
      </c>
      <c r="BI19" s="103">
        <v>0.1</v>
      </c>
      <c r="BJ19" s="103">
        <v>200</v>
      </c>
      <c r="BK19" s="56"/>
      <c r="BL19" s="103">
        <f t="shared" si="2"/>
        <v>29.397676060212504</v>
      </c>
      <c r="BM19" s="56">
        <v>0</v>
      </c>
      <c r="BN19" s="56"/>
      <c r="BO19" s="56"/>
      <c r="BP19" s="56"/>
      <c r="BQ19" s="56">
        <v>91.2</v>
      </c>
      <c r="BR19" s="56"/>
      <c r="BS19" s="56"/>
      <c r="BT19" s="56"/>
      <c r="BU19" s="158"/>
      <c r="BV19" s="56"/>
      <c r="BW19" s="56"/>
      <c r="BX19" s="56"/>
      <c r="BY19" s="56"/>
      <c r="BZ19" s="56"/>
      <c r="CA19" s="56"/>
      <c r="CB19" s="56"/>
      <c r="CC19" s="56"/>
      <c r="CD19" s="56"/>
      <c r="CE19" s="56"/>
      <c r="CF19" s="56"/>
      <c r="CG19" s="56"/>
      <c r="CH19" s="56"/>
      <c r="CI19" s="103">
        <f t="shared" si="3"/>
        <v>91.2</v>
      </c>
      <c r="CJ19" s="103">
        <f t="shared" si="4"/>
        <v>1.9599948383284163</v>
      </c>
      <c r="CK19" s="57">
        <f t="shared" si="9"/>
        <v>0.14698838030106251</v>
      </c>
      <c r="CL19" s="160">
        <f t="shared" si="5"/>
        <v>0.32234293925671603</v>
      </c>
      <c r="CM19" s="160"/>
      <c r="CN19" s="160"/>
      <c r="CO19" s="55"/>
      <c r="CP19" s="55" t="s">
        <v>1564</v>
      </c>
      <c r="CQ19" s="149">
        <v>1.9599948383284163</v>
      </c>
      <c r="CR19" s="349">
        <f>10^(CJ19-CQ19)</f>
        <v>1</v>
      </c>
      <c r="CS19" s="61" t="s">
        <v>539</v>
      </c>
      <c r="CT19" s="61"/>
      <c r="CU19" s="111">
        <f t="shared" si="6"/>
        <v>185.50012317208177</v>
      </c>
      <c r="CV19" s="331">
        <f t="shared" si="10"/>
        <v>84.588056166469286</v>
      </c>
      <c r="CW19" s="326">
        <f t="shared" si="7"/>
        <v>1</v>
      </c>
      <c r="CX19" s="326"/>
      <c r="CY19" s="161" t="s">
        <v>6351</v>
      </c>
    </row>
    <row r="20" spans="1:103" ht="11.25" customHeight="1" x14ac:dyDescent="0.2">
      <c r="A20" s="72">
        <v>18</v>
      </c>
      <c r="B20" s="149">
        <v>796</v>
      </c>
      <c r="C20" s="54" t="s">
        <v>2238</v>
      </c>
      <c r="D20" s="54" t="s">
        <v>8354</v>
      </c>
      <c r="E20" s="59"/>
      <c r="F20" s="59" t="s">
        <v>2239</v>
      </c>
      <c r="G20" s="151">
        <v>58559</v>
      </c>
      <c r="H20" s="55" t="s">
        <v>2240</v>
      </c>
      <c r="I20" s="55" t="s">
        <v>2240</v>
      </c>
      <c r="J20" s="55" t="s">
        <v>2241</v>
      </c>
      <c r="K20" s="55" t="s">
        <v>333</v>
      </c>
      <c r="L20" s="64" t="s">
        <v>279</v>
      </c>
      <c r="M20" s="55" t="s">
        <v>2242</v>
      </c>
      <c r="N20" s="60"/>
      <c r="O20" s="55" t="s">
        <v>281</v>
      </c>
      <c r="P20" s="67"/>
      <c r="Q20" s="67"/>
      <c r="R20" s="67"/>
      <c r="S20" s="67"/>
      <c r="T20" s="56">
        <v>180.16</v>
      </c>
      <c r="U20" s="103">
        <v>40.852575488454711</v>
      </c>
      <c r="V20" s="103">
        <v>16.163410301953821</v>
      </c>
      <c r="W20" s="103">
        <v>52.480746024977243</v>
      </c>
      <c r="X20" s="103">
        <v>40.852575488454711</v>
      </c>
      <c r="Y20" s="162">
        <v>5.28</v>
      </c>
      <c r="Z20" s="56">
        <v>-0.39</v>
      </c>
      <c r="AA20" s="56">
        <v>-0.04</v>
      </c>
      <c r="AB20" s="56">
        <v>0.1</v>
      </c>
      <c r="AC20" s="56">
        <v>0.69630000000000003</v>
      </c>
      <c r="AD20" s="56">
        <v>0</v>
      </c>
      <c r="AE20" s="56">
        <v>-0.17</v>
      </c>
      <c r="AF20" s="56">
        <f t="shared" si="11"/>
        <v>-0.04</v>
      </c>
      <c r="AG20" s="57">
        <v>-0.21</v>
      </c>
      <c r="AH20" s="103">
        <v>1.6799999999999999E-12</v>
      </c>
      <c r="AI20" s="103"/>
      <c r="AJ20" s="62">
        <f t="shared" si="8"/>
        <v>-10.163257044586789</v>
      </c>
      <c r="AK20" s="62"/>
      <c r="AL20" s="62">
        <f t="shared" si="1"/>
        <v>-10.163257044586789</v>
      </c>
      <c r="AM20" s="62">
        <v>-15.289169999999999</v>
      </c>
      <c r="AN20" s="154">
        <v>-9.16</v>
      </c>
      <c r="AO20" s="410">
        <v>8.6</v>
      </c>
      <c r="AP20" s="410">
        <v>1.64</v>
      </c>
      <c r="AQ20" s="56" t="s">
        <v>6311</v>
      </c>
      <c r="AR20" s="56" t="s">
        <v>6311</v>
      </c>
      <c r="AS20" s="155" t="s">
        <v>6</v>
      </c>
      <c r="AT20" s="58" t="s">
        <v>266</v>
      </c>
      <c r="AU20" s="56">
        <v>0</v>
      </c>
      <c r="AV20" s="56">
        <v>120</v>
      </c>
      <c r="AW20" s="56">
        <v>120</v>
      </c>
      <c r="AX20" s="56">
        <v>26</v>
      </c>
      <c r="AY20" s="56" t="s">
        <v>647</v>
      </c>
      <c r="AZ20" s="56" t="s">
        <v>536</v>
      </c>
      <c r="BA20" s="56">
        <v>10</v>
      </c>
      <c r="BB20" s="55" t="s">
        <v>1764</v>
      </c>
      <c r="BC20" s="55" t="s">
        <v>538</v>
      </c>
      <c r="BD20" s="55"/>
      <c r="BE20" s="56" t="s">
        <v>271</v>
      </c>
      <c r="BF20" s="56" t="s">
        <v>539</v>
      </c>
      <c r="BG20" s="56">
        <v>7.5</v>
      </c>
      <c r="BH20" s="56" t="s">
        <v>272</v>
      </c>
      <c r="BI20" s="103">
        <v>0.17</v>
      </c>
      <c r="BJ20" s="103">
        <v>27.85</v>
      </c>
      <c r="BK20" s="56" t="s">
        <v>2066</v>
      </c>
      <c r="BL20" s="103">
        <f t="shared" si="2"/>
        <v>115.09567386978659</v>
      </c>
      <c r="BM20" s="56" t="s">
        <v>541</v>
      </c>
      <c r="BN20" s="56" t="s">
        <v>2243</v>
      </c>
      <c r="BO20" s="56">
        <v>10.11</v>
      </c>
      <c r="BP20" s="56">
        <v>6.3</v>
      </c>
      <c r="BQ20" s="56">
        <v>1.83</v>
      </c>
      <c r="BR20" s="56">
        <v>1.39</v>
      </c>
      <c r="BS20" s="56"/>
      <c r="BT20" s="56"/>
      <c r="BU20" s="158"/>
      <c r="BV20" s="56"/>
      <c r="BW20" s="56"/>
      <c r="BX20" s="56"/>
      <c r="BY20" s="56"/>
      <c r="BZ20" s="56"/>
      <c r="CA20" s="56"/>
      <c r="CB20" s="56"/>
      <c r="CC20" s="56"/>
      <c r="CD20" s="56"/>
      <c r="CE20" s="56"/>
      <c r="CF20" s="56"/>
      <c r="CG20" s="56"/>
      <c r="CH20" s="56"/>
      <c r="CI20" s="103">
        <f t="shared" si="3"/>
        <v>1.39</v>
      </c>
      <c r="CJ20" s="103">
        <f t="shared" si="4"/>
        <v>0.14301480025409505</v>
      </c>
      <c r="CK20" s="57">
        <f t="shared" si="9"/>
        <v>4.1326992412849766</v>
      </c>
      <c r="CL20" s="160">
        <f t="shared" si="5"/>
        <v>82.802643071788921</v>
      </c>
      <c r="CM20" s="160"/>
      <c r="CN20" s="160"/>
      <c r="CO20" s="55"/>
      <c r="CP20" s="55" t="s">
        <v>2244</v>
      </c>
      <c r="CQ20" s="149" t="s">
        <v>272</v>
      </c>
      <c r="CR20" s="349"/>
      <c r="CS20" s="61" t="s">
        <v>539</v>
      </c>
      <c r="CT20" s="61" t="s">
        <v>6310</v>
      </c>
      <c r="CU20" s="111">
        <f t="shared" si="6"/>
        <v>29.390342078024975</v>
      </c>
      <c r="CV20" s="331">
        <f t="shared" si="10"/>
        <v>1.4668788326195588</v>
      </c>
      <c r="CW20" s="326">
        <f t="shared" si="7"/>
        <v>1</v>
      </c>
      <c r="CX20" s="326" t="s">
        <v>539</v>
      </c>
      <c r="CY20" s="161" t="s">
        <v>6351</v>
      </c>
    </row>
    <row r="21" spans="1:103" ht="11.25" customHeight="1" x14ac:dyDescent="0.2">
      <c r="A21" s="72">
        <v>19</v>
      </c>
      <c r="B21" s="149">
        <v>483</v>
      </c>
      <c r="C21" s="54" t="s">
        <v>1559</v>
      </c>
      <c r="D21" s="54" t="s">
        <v>6480</v>
      </c>
      <c r="E21" s="59"/>
      <c r="F21" s="59" t="s">
        <v>1560</v>
      </c>
      <c r="G21" s="151">
        <v>141435</v>
      </c>
      <c r="H21" s="55" t="s">
        <v>1561</v>
      </c>
      <c r="I21" s="55" t="s">
        <v>1561</v>
      </c>
      <c r="J21" s="55" t="s">
        <v>1562</v>
      </c>
      <c r="K21" s="55" t="s">
        <v>300</v>
      </c>
      <c r="L21" s="55" t="s">
        <v>5492</v>
      </c>
      <c r="M21" s="60" t="s">
        <v>2342</v>
      </c>
      <c r="N21" s="60" t="s">
        <v>2342</v>
      </c>
      <c r="O21" s="55"/>
      <c r="P21" s="67"/>
      <c r="Q21" s="67"/>
      <c r="R21" s="67"/>
      <c r="S21" s="67"/>
      <c r="T21" s="56">
        <v>61.08</v>
      </c>
      <c r="U21" s="103">
        <v>16371.971185330714</v>
      </c>
      <c r="V21" s="103">
        <v>16371.971185330714</v>
      </c>
      <c r="W21" s="103">
        <v>16218.100973589299</v>
      </c>
      <c r="X21" s="103">
        <v>16371.971185330714</v>
      </c>
      <c r="Y21" s="162">
        <v>11.6</v>
      </c>
      <c r="Z21" s="56">
        <v>-1.61</v>
      </c>
      <c r="AA21" s="56">
        <v>-1.31</v>
      </c>
      <c r="AB21" s="56">
        <v>-1.06</v>
      </c>
      <c r="AC21" s="56">
        <v>0.87129999999999996</v>
      </c>
      <c r="AD21" s="56">
        <v>-1.1200000000000001</v>
      </c>
      <c r="AE21" s="56">
        <v>-1.31</v>
      </c>
      <c r="AF21" s="56">
        <f t="shared" si="11"/>
        <v>-1.31</v>
      </c>
      <c r="AG21" s="57">
        <v>-1.21</v>
      </c>
      <c r="AH21" s="103">
        <v>3.6800000000000002E-10</v>
      </c>
      <c r="AI21" s="103"/>
      <c r="AJ21" s="62">
        <f t="shared" si="8"/>
        <v>-7.8227185076391343</v>
      </c>
      <c r="AK21" s="62"/>
      <c r="AL21" s="62">
        <f t="shared" si="1"/>
        <v>-7.8227185076391343</v>
      </c>
      <c r="AM21" s="62">
        <v>-7.9048299999999996</v>
      </c>
      <c r="AN21" s="154">
        <v>-8.2799999999999994</v>
      </c>
      <c r="AO21" s="410">
        <v>12.85</v>
      </c>
      <c r="AP21" s="410">
        <v>9.16</v>
      </c>
      <c r="AQ21" s="154" t="s">
        <v>6311</v>
      </c>
      <c r="AR21" s="154" t="s">
        <v>6311</v>
      </c>
      <c r="AS21" s="149" t="s">
        <v>6</v>
      </c>
      <c r="AT21" s="58" t="s">
        <v>266</v>
      </c>
      <c r="AU21" s="56">
        <v>2</v>
      </c>
      <c r="AV21" s="56">
        <v>96</v>
      </c>
      <c r="AW21" s="56">
        <v>96</v>
      </c>
      <c r="AX21" s="56">
        <v>25</v>
      </c>
      <c r="AY21" s="56" t="s">
        <v>8722</v>
      </c>
      <c r="AZ21" s="56" t="s">
        <v>1563</v>
      </c>
      <c r="BA21" s="56">
        <v>12</v>
      </c>
      <c r="BB21" s="55" t="s">
        <v>888</v>
      </c>
      <c r="BC21" s="55" t="s">
        <v>538</v>
      </c>
      <c r="BD21" s="55"/>
      <c r="BE21" s="56" t="s">
        <v>271</v>
      </c>
      <c r="BF21" s="56" t="s">
        <v>272</v>
      </c>
      <c r="BG21" s="56" t="s">
        <v>539</v>
      </c>
      <c r="BH21" s="56" t="s">
        <v>272</v>
      </c>
      <c r="BI21" s="103">
        <v>10</v>
      </c>
      <c r="BJ21" s="103">
        <v>800</v>
      </c>
      <c r="BK21" s="56"/>
      <c r="BL21" s="103">
        <f t="shared" si="2"/>
        <v>1434.6336064018544</v>
      </c>
      <c r="BM21" s="56">
        <v>0</v>
      </c>
      <c r="BN21" s="56"/>
      <c r="BO21" s="56"/>
      <c r="BP21" s="56"/>
      <c r="BQ21" s="56">
        <v>60.3</v>
      </c>
      <c r="BR21" s="56"/>
      <c r="BS21" s="56"/>
      <c r="BT21" s="56"/>
      <c r="BU21" s="158"/>
      <c r="BV21" s="56"/>
      <c r="BW21" s="56"/>
      <c r="BX21" s="56"/>
      <c r="BY21" s="56"/>
      <c r="BZ21" s="56"/>
      <c r="CA21" s="56"/>
      <c r="CB21" s="56"/>
      <c r="CC21" s="56"/>
      <c r="CD21" s="56"/>
      <c r="CE21" s="56"/>
      <c r="CF21" s="56"/>
      <c r="CG21" s="56"/>
      <c r="CH21" s="56"/>
      <c r="CI21" s="103">
        <f t="shared" si="3"/>
        <v>60.3</v>
      </c>
      <c r="CJ21" s="103">
        <f t="shared" si="4"/>
        <v>1.7803173121401512</v>
      </c>
      <c r="CK21" s="57">
        <f t="shared" si="9"/>
        <v>1.793292008002318</v>
      </c>
      <c r="CL21" s="160">
        <f t="shared" si="5"/>
        <v>23.791602096216494</v>
      </c>
      <c r="CM21" s="160">
        <v>0.39019223067129771</v>
      </c>
      <c r="CN21" s="160">
        <f>BJ21/(10^CM21)</f>
        <v>325.75999999999993</v>
      </c>
      <c r="CO21" s="55"/>
      <c r="CP21" s="55" t="s">
        <v>1564</v>
      </c>
      <c r="CQ21" s="149">
        <v>0.9757679968421038</v>
      </c>
      <c r="CR21" s="349">
        <f>10^(CJ21-CQ21)</f>
        <v>6.3760147827472284</v>
      </c>
      <c r="CS21" s="61" t="s">
        <v>539</v>
      </c>
      <c r="CT21" s="61"/>
      <c r="CU21" s="111">
        <f t="shared" si="6"/>
        <v>271.50864320614784</v>
      </c>
      <c r="CV21" s="331">
        <f t="shared" si="10"/>
        <v>20.464963981663391</v>
      </c>
      <c r="CW21" s="326">
        <f t="shared" si="7"/>
        <v>1</v>
      </c>
      <c r="CX21" s="326"/>
      <c r="CY21" s="161" t="s">
        <v>6351</v>
      </c>
    </row>
    <row r="22" spans="1:103" ht="11.25" customHeight="1" x14ac:dyDescent="0.2">
      <c r="A22" s="72">
        <v>20</v>
      </c>
      <c r="B22" s="149">
        <v>557</v>
      </c>
      <c r="C22" s="54" t="s">
        <v>1727</v>
      </c>
      <c r="D22" s="54" t="s">
        <v>6442</v>
      </c>
      <c r="E22" s="59"/>
      <c r="F22" s="59" t="s">
        <v>1728</v>
      </c>
      <c r="G22" s="151">
        <v>74895</v>
      </c>
      <c r="H22" s="55" t="s">
        <v>1729</v>
      </c>
      <c r="I22" s="55" t="s">
        <v>1729</v>
      </c>
      <c r="J22" s="55" t="s">
        <v>1730</v>
      </c>
      <c r="K22" s="55" t="s">
        <v>300</v>
      </c>
      <c r="L22" s="55" t="s">
        <v>5527</v>
      </c>
      <c r="M22" s="55" t="s">
        <v>6025</v>
      </c>
      <c r="N22" s="60" t="s">
        <v>2342</v>
      </c>
      <c r="O22" s="55"/>
      <c r="P22" s="67" t="s">
        <v>1639</v>
      </c>
      <c r="Q22" s="67" t="s">
        <v>6173</v>
      </c>
      <c r="R22" s="67">
        <v>1</v>
      </c>
      <c r="S22" s="67" t="s">
        <v>6173</v>
      </c>
      <c r="T22" s="56">
        <v>31.06</v>
      </c>
      <c r="U22" s="103">
        <v>34771.410173857053</v>
      </c>
      <c r="V22" s="103">
        <v>32195.750160978751</v>
      </c>
      <c r="W22" s="103">
        <v>12302.687708123818</v>
      </c>
      <c r="X22" s="103">
        <v>34771.410173857053</v>
      </c>
      <c r="Y22" s="162">
        <v>12.87</v>
      </c>
      <c r="Z22" s="56">
        <v>-0.64</v>
      </c>
      <c r="AA22" s="56">
        <v>-0.56999999999999995</v>
      </c>
      <c r="AB22" s="56">
        <v>-0.28000000000000003</v>
      </c>
      <c r="AC22" s="56">
        <v>0.90190000000000003</v>
      </c>
      <c r="AD22" s="56">
        <v>-0.37</v>
      </c>
      <c r="AE22" s="56">
        <v>-0.66</v>
      </c>
      <c r="AF22" s="56">
        <f t="shared" si="11"/>
        <v>-0.56999999999999995</v>
      </c>
      <c r="AG22" s="57">
        <v>-0.41</v>
      </c>
      <c r="AH22" s="103">
        <v>7.5800000000000003E-6</v>
      </c>
      <c r="AI22" s="103">
        <v>1.11E-5</v>
      </c>
      <c r="AJ22" s="62">
        <f t="shared" si="8"/>
        <v>-3.5088971206805981</v>
      </c>
      <c r="AK22" s="62">
        <f t="shared" ref="AK22:AK29" si="12">LOG10(AI22*1000/(0.08206*298.15))</f>
        <v>-3.3432433475259944</v>
      </c>
      <c r="AL22" s="62">
        <f t="shared" si="1"/>
        <v>-3.3432433475259944</v>
      </c>
      <c r="AM22" s="62">
        <v>-4.0587199999999992</v>
      </c>
      <c r="AN22" s="154">
        <v>-3.58</v>
      </c>
      <c r="AO22" s="410"/>
      <c r="AP22" s="410">
        <v>10.66</v>
      </c>
      <c r="AQ22" s="154" t="s">
        <v>6311</v>
      </c>
      <c r="AR22" s="154" t="s">
        <v>6311</v>
      </c>
      <c r="AS22" s="149" t="s">
        <v>6</v>
      </c>
      <c r="AT22" s="58" t="s">
        <v>266</v>
      </c>
      <c r="AU22" s="56">
        <v>2</v>
      </c>
      <c r="AV22" s="56">
        <v>96</v>
      </c>
      <c r="AW22" s="56">
        <v>96</v>
      </c>
      <c r="AX22" s="56">
        <v>25</v>
      </c>
      <c r="AY22" s="56" t="s">
        <v>8722</v>
      </c>
      <c r="AZ22" s="56" t="s">
        <v>1563</v>
      </c>
      <c r="BA22" s="56">
        <v>12</v>
      </c>
      <c r="BB22" s="55" t="s">
        <v>888</v>
      </c>
      <c r="BC22" s="55" t="s">
        <v>538</v>
      </c>
      <c r="BD22" s="55"/>
      <c r="BE22" s="56" t="s">
        <v>271</v>
      </c>
      <c r="BF22" s="56" t="s">
        <v>272</v>
      </c>
      <c r="BG22" s="56" t="s">
        <v>539</v>
      </c>
      <c r="BH22" s="56" t="s">
        <v>272</v>
      </c>
      <c r="BI22" s="103">
        <v>2</v>
      </c>
      <c r="BJ22" s="103">
        <v>500</v>
      </c>
      <c r="BK22" s="56"/>
      <c r="BL22" s="103">
        <f t="shared" si="2"/>
        <v>193.0118618126975</v>
      </c>
      <c r="BM22" s="56">
        <v>0</v>
      </c>
      <c r="BN22" s="56"/>
      <c r="BO22" s="56"/>
      <c r="BP22" s="56"/>
      <c r="BQ22" s="56">
        <v>22.9</v>
      </c>
      <c r="BR22" s="56"/>
      <c r="BS22" s="56"/>
      <c r="BT22" s="56"/>
      <c r="BU22" s="158"/>
      <c r="BV22" s="56"/>
      <c r="BW22" s="56"/>
      <c r="BX22" s="56"/>
      <c r="BY22" s="56"/>
      <c r="BZ22" s="56"/>
      <c r="CA22" s="56"/>
      <c r="CB22" s="56"/>
      <c r="CC22" s="56"/>
      <c r="CD22" s="56"/>
      <c r="CE22" s="56"/>
      <c r="CF22" s="56"/>
      <c r="CG22" s="56"/>
      <c r="CH22" s="56"/>
      <c r="CI22" s="103">
        <f t="shared" si="3"/>
        <v>22.9</v>
      </c>
      <c r="CJ22" s="103">
        <f t="shared" si="4"/>
        <v>1.3598354823398879</v>
      </c>
      <c r="CK22" s="57">
        <f t="shared" si="9"/>
        <v>0.386023723625395</v>
      </c>
      <c r="CL22" s="160">
        <f t="shared" si="5"/>
        <v>8.4284655813405021</v>
      </c>
      <c r="CM22" s="160"/>
      <c r="CN22" s="160"/>
      <c r="CO22" s="55"/>
      <c r="CP22" s="55" t="s">
        <v>1564</v>
      </c>
      <c r="CQ22" s="149">
        <v>1.3598354823398879</v>
      </c>
      <c r="CR22" s="349">
        <f>10^(CJ22-CQ22)</f>
        <v>1</v>
      </c>
      <c r="CS22" s="61" t="s">
        <v>539</v>
      </c>
      <c r="CT22" s="61"/>
      <c r="CU22" s="111">
        <f t="shared" si="6"/>
        <v>1518.4021909981248</v>
      </c>
      <c r="CV22" s="331">
        <f t="shared" si="10"/>
        <v>69.542820347714112</v>
      </c>
      <c r="CW22" s="326">
        <f t="shared" si="7"/>
        <v>1</v>
      </c>
      <c r="CX22" s="326"/>
      <c r="CY22" s="161" t="s">
        <v>6351</v>
      </c>
    </row>
    <row r="23" spans="1:103" ht="11.25" customHeight="1" x14ac:dyDescent="0.2">
      <c r="A23" s="72">
        <v>21</v>
      </c>
      <c r="B23" s="149">
        <v>518</v>
      </c>
      <c r="C23" s="54" t="s">
        <v>1651</v>
      </c>
      <c r="D23" s="54" t="s">
        <v>6465</v>
      </c>
      <c r="E23" s="59"/>
      <c r="F23" s="59" t="s">
        <v>1652</v>
      </c>
      <c r="G23" s="151">
        <v>108930</v>
      </c>
      <c r="H23" s="55" t="s">
        <v>1653</v>
      </c>
      <c r="I23" s="55" t="s">
        <v>1653</v>
      </c>
      <c r="J23" s="55" t="s">
        <v>1654</v>
      </c>
      <c r="K23" s="55" t="s">
        <v>426</v>
      </c>
      <c r="L23" s="55" t="s">
        <v>5492</v>
      </c>
      <c r="M23" s="55" t="s">
        <v>6082</v>
      </c>
      <c r="N23" s="60" t="s">
        <v>6082</v>
      </c>
      <c r="O23" s="55" t="s">
        <v>6083</v>
      </c>
      <c r="P23" s="67"/>
      <c r="Q23" s="67" t="s">
        <v>6173</v>
      </c>
      <c r="R23" s="67" t="s">
        <v>6185</v>
      </c>
      <c r="S23" s="67" t="s">
        <v>6176</v>
      </c>
      <c r="T23" s="56">
        <v>100.16</v>
      </c>
      <c r="U23" s="103">
        <v>419.32907348242816</v>
      </c>
      <c r="V23" s="103">
        <v>336.06230031948883</v>
      </c>
      <c r="W23" s="103">
        <v>416.86938347033538</v>
      </c>
      <c r="X23" s="103">
        <v>419.32907348242816</v>
      </c>
      <c r="Y23" s="162">
        <v>7</v>
      </c>
      <c r="Z23" s="56">
        <v>1.64</v>
      </c>
      <c r="AA23" s="56">
        <v>1.23</v>
      </c>
      <c r="AB23" s="56">
        <v>1.32</v>
      </c>
      <c r="AC23" s="56">
        <v>0.84599999999999997</v>
      </c>
      <c r="AD23" s="56">
        <v>1.33</v>
      </c>
      <c r="AE23" s="56">
        <v>1.34</v>
      </c>
      <c r="AF23" s="56">
        <f t="shared" si="11"/>
        <v>1.23</v>
      </c>
      <c r="AG23" s="57">
        <v>1.1000000000000001</v>
      </c>
      <c r="AH23" s="103">
        <v>4.8999999999999997E-6</v>
      </c>
      <c r="AI23" s="103">
        <v>4.4000000000000002E-6</v>
      </c>
      <c r="AJ23" s="62">
        <f t="shared" si="8"/>
        <v>-3.6983702462841381</v>
      </c>
      <c r="AK23" s="62">
        <f t="shared" si="12"/>
        <v>-3.7451136498264646</v>
      </c>
      <c r="AL23" s="62">
        <f t="shared" si="1"/>
        <v>-3.7451136498264646</v>
      </c>
      <c r="AM23" s="62">
        <v>-4.0753700000000004</v>
      </c>
      <c r="AN23" s="154">
        <v>-3.91</v>
      </c>
      <c r="AO23" s="410">
        <v>15.31</v>
      </c>
      <c r="AP23" s="410"/>
      <c r="AQ23" s="154" t="s">
        <v>6311</v>
      </c>
      <c r="AR23" s="154" t="s">
        <v>6311</v>
      </c>
      <c r="AS23" s="149" t="s">
        <v>6</v>
      </c>
      <c r="AT23" s="58" t="s">
        <v>266</v>
      </c>
      <c r="AU23" s="56">
        <v>2</v>
      </c>
      <c r="AV23" s="56">
        <v>96</v>
      </c>
      <c r="AW23" s="56">
        <v>96</v>
      </c>
      <c r="AX23" s="56">
        <v>25</v>
      </c>
      <c r="AY23" s="56" t="s">
        <v>8722</v>
      </c>
      <c r="AZ23" s="56" t="s">
        <v>1563</v>
      </c>
      <c r="BA23" s="56">
        <v>12</v>
      </c>
      <c r="BB23" s="55" t="s">
        <v>888</v>
      </c>
      <c r="BC23" s="55" t="s">
        <v>538</v>
      </c>
      <c r="BD23" s="55"/>
      <c r="BE23" s="56" t="s">
        <v>271</v>
      </c>
      <c r="BF23" s="56" t="s">
        <v>272</v>
      </c>
      <c r="BG23" s="56" t="s">
        <v>539</v>
      </c>
      <c r="BH23" s="56" t="s">
        <v>272</v>
      </c>
      <c r="BI23" s="103">
        <v>1</v>
      </c>
      <c r="BJ23" s="103">
        <v>30</v>
      </c>
      <c r="BK23" s="56"/>
      <c r="BL23" s="103">
        <f t="shared" si="2"/>
        <v>1.7294818154229614</v>
      </c>
      <c r="BM23" s="56">
        <v>0</v>
      </c>
      <c r="BN23" s="56"/>
      <c r="BO23" s="56"/>
      <c r="BP23" s="56"/>
      <c r="BQ23" s="56">
        <v>13.8</v>
      </c>
      <c r="BR23" s="56"/>
      <c r="BS23" s="56"/>
      <c r="BT23" s="56"/>
      <c r="BU23" s="158"/>
      <c r="BV23" s="56"/>
      <c r="BW23" s="56"/>
      <c r="BX23" s="56"/>
      <c r="BY23" s="56"/>
      <c r="BZ23" s="56"/>
      <c r="CA23" s="56"/>
      <c r="CB23" s="56"/>
      <c r="CC23" s="56"/>
      <c r="CD23" s="56"/>
      <c r="CE23" s="56"/>
      <c r="CF23" s="56"/>
      <c r="CG23" s="56"/>
      <c r="CH23" s="56"/>
      <c r="CI23" s="103">
        <f t="shared" si="3"/>
        <v>13.8</v>
      </c>
      <c r="CJ23" s="103">
        <f t="shared" si="4"/>
        <v>1.1398790864012365</v>
      </c>
      <c r="CK23" s="57">
        <f t="shared" si="9"/>
        <v>5.7649393847432048E-2</v>
      </c>
      <c r="CL23" s="160">
        <f t="shared" si="5"/>
        <v>0.12532476923354793</v>
      </c>
      <c r="CM23" s="160">
        <v>0.84841513129623491</v>
      </c>
      <c r="CN23" s="160">
        <f>BJ23/(10^CM23)</f>
        <v>4.2531051839336484</v>
      </c>
      <c r="CO23" s="55"/>
      <c r="CP23" s="55" t="s">
        <v>1564</v>
      </c>
      <c r="CQ23" s="149">
        <v>0.96935192957139427</v>
      </c>
      <c r="CR23" s="349">
        <f>10^(CJ23-CQ23)</f>
        <v>1.4809048547028256</v>
      </c>
      <c r="CS23" s="61" t="s">
        <v>539</v>
      </c>
      <c r="CT23" s="61"/>
      <c r="CU23" s="111">
        <f t="shared" si="6"/>
        <v>30.386164745103489</v>
      </c>
      <c r="CV23" s="331">
        <f t="shared" si="10"/>
        <v>13.977635782747605</v>
      </c>
      <c r="CW23" s="326">
        <f t="shared" si="7"/>
        <v>1</v>
      </c>
      <c r="CX23" s="326"/>
      <c r="CY23" s="161" t="s">
        <v>6351</v>
      </c>
    </row>
    <row r="24" spans="1:103" ht="11.25" customHeight="1" x14ac:dyDescent="0.2">
      <c r="A24" s="72">
        <v>22</v>
      </c>
      <c r="B24" s="149">
        <v>45</v>
      </c>
      <c r="C24" s="54" t="s">
        <v>467</v>
      </c>
      <c r="D24" s="54" t="s">
        <v>8355</v>
      </c>
      <c r="E24" s="59"/>
      <c r="F24" s="59" t="s">
        <v>468</v>
      </c>
      <c r="G24" s="151">
        <v>62442</v>
      </c>
      <c r="H24" s="55" t="s">
        <v>469</v>
      </c>
      <c r="I24" s="55" t="s">
        <v>469</v>
      </c>
      <c r="J24" s="55" t="s">
        <v>470</v>
      </c>
      <c r="K24" s="55" t="s">
        <v>471</v>
      </c>
      <c r="L24" s="64"/>
      <c r="M24" s="55"/>
      <c r="N24" s="60"/>
      <c r="O24" s="55"/>
      <c r="P24" s="67"/>
      <c r="Q24" s="67" t="s">
        <v>6173</v>
      </c>
      <c r="R24" s="67" t="s">
        <v>6185</v>
      </c>
      <c r="S24" s="67" t="s">
        <v>6182</v>
      </c>
      <c r="T24" s="59">
        <v>179.22</v>
      </c>
      <c r="U24" s="153">
        <v>4.2740765539560321</v>
      </c>
      <c r="V24" s="153">
        <v>13.865639995536213</v>
      </c>
      <c r="W24" s="153">
        <v>11.481536214968827</v>
      </c>
      <c r="X24" s="153">
        <v>4.2740765539560321</v>
      </c>
      <c r="Y24" s="410">
        <v>7.06</v>
      </c>
      <c r="Z24" s="59">
        <v>1.67</v>
      </c>
      <c r="AA24" s="59">
        <v>1.58</v>
      </c>
      <c r="AB24" s="59">
        <v>1.74</v>
      </c>
      <c r="AC24" s="59">
        <v>0.79330000000000001</v>
      </c>
      <c r="AD24" s="59">
        <v>1.7</v>
      </c>
      <c r="AE24" s="59">
        <v>1.63</v>
      </c>
      <c r="AF24" s="59">
        <f t="shared" si="11"/>
        <v>1.58</v>
      </c>
      <c r="AG24" s="57">
        <v>1.61</v>
      </c>
      <c r="AH24" s="103">
        <v>4.8499999999999998E-10</v>
      </c>
      <c r="AI24" s="103">
        <v>2.1299999999999999E-10</v>
      </c>
      <c r="AJ24" s="62">
        <f t="shared" si="8"/>
        <v>-7.7028245877103885</v>
      </c>
      <c r="AK24" s="62">
        <f t="shared" si="12"/>
        <v>-8.0601867228739135</v>
      </c>
      <c r="AL24" s="62">
        <f t="shared" si="1"/>
        <v>-8.0601867228739135</v>
      </c>
      <c r="AM24" s="62">
        <v>-11.08128</v>
      </c>
      <c r="AN24" s="154">
        <v>-8.64</v>
      </c>
      <c r="AO24" s="410">
        <v>14.57</v>
      </c>
      <c r="AP24" s="410">
        <v>1.42</v>
      </c>
      <c r="AQ24" s="154" t="s">
        <v>6311</v>
      </c>
      <c r="AR24" s="154" t="s">
        <v>6311</v>
      </c>
      <c r="AS24" s="149" t="s">
        <v>282</v>
      </c>
      <c r="AT24" s="58" t="s">
        <v>266</v>
      </c>
      <c r="AU24" s="155">
        <v>24</v>
      </c>
      <c r="AV24" s="155">
        <v>120</v>
      </c>
      <c r="AW24" s="155">
        <v>96</v>
      </c>
      <c r="AX24" s="155">
        <v>28</v>
      </c>
      <c r="AY24" s="155" t="s">
        <v>267</v>
      </c>
      <c r="AZ24" s="155" t="s">
        <v>268</v>
      </c>
      <c r="BA24" s="155">
        <v>48</v>
      </c>
      <c r="BB24" s="55" t="s">
        <v>269</v>
      </c>
      <c r="BC24" s="156" t="s">
        <v>270</v>
      </c>
      <c r="BD24" s="156" t="s">
        <v>8374</v>
      </c>
      <c r="BE24" s="155" t="s">
        <v>271</v>
      </c>
      <c r="BF24" s="155" t="s">
        <v>272</v>
      </c>
      <c r="BG24" s="155" t="s">
        <v>272</v>
      </c>
      <c r="BH24" s="155" t="s">
        <v>272</v>
      </c>
      <c r="BI24" s="157">
        <v>5.579734404642339E-3</v>
      </c>
      <c r="BJ24" s="157">
        <v>5.5797344046423394</v>
      </c>
      <c r="BK24" s="56"/>
      <c r="BL24" s="103">
        <f t="shared" si="2"/>
        <v>1.6254476988548712</v>
      </c>
      <c r="BM24" s="56">
        <v>0</v>
      </c>
      <c r="BN24" s="56"/>
      <c r="BO24" s="56"/>
      <c r="BP24" s="56"/>
      <c r="BQ24" s="56"/>
      <c r="BR24" s="56"/>
      <c r="BS24" s="56"/>
      <c r="BT24" s="56"/>
      <c r="BU24" s="158"/>
      <c r="BV24" s="56"/>
      <c r="BW24" s="56"/>
      <c r="BX24" s="56"/>
      <c r="BY24" s="56">
        <v>8.4700000000000006</v>
      </c>
      <c r="BZ24" s="56">
        <v>13.16</v>
      </c>
      <c r="CA24" s="56">
        <v>11.48</v>
      </c>
      <c r="CB24" s="56">
        <v>1.73</v>
      </c>
      <c r="CC24" s="56"/>
      <c r="CD24" s="56"/>
      <c r="CE24" s="56"/>
      <c r="CF24" s="56"/>
      <c r="CG24" s="56"/>
      <c r="CH24" s="56"/>
      <c r="CI24" s="103">
        <f t="shared" si="3"/>
        <v>1.73</v>
      </c>
      <c r="CJ24" s="103">
        <f t="shared" si="4"/>
        <v>0.2380461031287954</v>
      </c>
      <c r="CK24" s="57">
        <f t="shared" si="9"/>
        <v>0.29131273658876999</v>
      </c>
      <c r="CL24" s="160" t="e">
        <f>BL24/BN18BU286</f>
        <v>#NAME?</v>
      </c>
      <c r="CM24" s="160"/>
      <c r="CN24" s="160"/>
      <c r="CO24" s="55" t="s">
        <v>273</v>
      </c>
      <c r="CP24" s="156" t="s">
        <v>274</v>
      </c>
      <c r="CQ24" s="149" t="s">
        <v>272</v>
      </c>
      <c r="CR24" s="349"/>
      <c r="CS24" s="61" t="s">
        <v>539</v>
      </c>
      <c r="CT24" s="61"/>
      <c r="CU24" s="111">
        <f t="shared" si="6"/>
        <v>2.4705644820555097</v>
      </c>
      <c r="CV24" s="331">
        <f t="shared" si="10"/>
        <v>0.76600000000000001</v>
      </c>
      <c r="CW24" s="326">
        <f t="shared" si="7"/>
        <v>1</v>
      </c>
      <c r="CX24" s="326"/>
      <c r="CY24" s="161" t="s">
        <v>5921</v>
      </c>
    </row>
    <row r="25" spans="1:103" ht="11.25" customHeight="1" x14ac:dyDescent="0.2">
      <c r="A25" s="72">
        <v>23</v>
      </c>
      <c r="B25" s="149">
        <v>115</v>
      </c>
      <c r="C25" s="54" t="s">
        <v>707</v>
      </c>
      <c r="D25" s="54" t="s">
        <v>6556</v>
      </c>
      <c r="E25" s="59"/>
      <c r="F25" s="59" t="s">
        <v>708</v>
      </c>
      <c r="G25" s="151">
        <v>123513</v>
      </c>
      <c r="H25" s="55" t="s">
        <v>709</v>
      </c>
      <c r="I25" s="55" t="s">
        <v>709</v>
      </c>
      <c r="J25" s="55" t="s">
        <v>710</v>
      </c>
      <c r="K25" s="55" t="s">
        <v>426</v>
      </c>
      <c r="L25" s="55"/>
      <c r="M25" s="55" t="s">
        <v>6025</v>
      </c>
      <c r="N25" s="60" t="s">
        <v>2342</v>
      </c>
      <c r="O25" s="55"/>
      <c r="P25" s="67" t="s">
        <v>6183</v>
      </c>
      <c r="Q25" s="67" t="s">
        <v>6173</v>
      </c>
      <c r="R25" s="67">
        <v>1</v>
      </c>
      <c r="S25" s="67" t="s">
        <v>6082</v>
      </c>
      <c r="T25" s="56">
        <v>88.15</v>
      </c>
      <c r="U25" s="103">
        <v>302.89279636982417</v>
      </c>
      <c r="V25" s="103">
        <v>471.69597277368121</v>
      </c>
      <c r="W25" s="103">
        <v>338.84415613920254</v>
      </c>
      <c r="X25" s="103">
        <v>302.89279636982417</v>
      </c>
      <c r="Y25" s="162">
        <v>7</v>
      </c>
      <c r="Z25" s="56">
        <v>1.26</v>
      </c>
      <c r="AA25" s="56">
        <v>1.1599999999999999</v>
      </c>
      <c r="AB25" s="56">
        <v>1.1100000000000001</v>
      </c>
      <c r="AC25" s="56">
        <v>0.91549999999999998</v>
      </c>
      <c r="AD25" s="56">
        <v>1.1399999999999999</v>
      </c>
      <c r="AE25" s="56">
        <v>1.22</v>
      </c>
      <c r="AF25" s="56">
        <f t="shared" si="11"/>
        <v>1.1599999999999999</v>
      </c>
      <c r="AG25" s="57">
        <v>1.18</v>
      </c>
      <c r="AH25" s="103">
        <v>1.33E-5</v>
      </c>
      <c r="AI25" s="103">
        <v>1.4100000000000001E-5</v>
      </c>
      <c r="AJ25" s="62">
        <f t="shared" si="8"/>
        <v>-3.2647146853455662</v>
      </c>
      <c r="AK25" s="62">
        <f t="shared" si="12"/>
        <v>-3.2393472136572719</v>
      </c>
      <c r="AL25" s="62">
        <f t="shared" si="1"/>
        <v>-3.2393472136572719</v>
      </c>
      <c r="AM25" s="62">
        <v>-3.58602</v>
      </c>
      <c r="AN25" s="154">
        <v>-3.17</v>
      </c>
      <c r="AO25" s="410">
        <v>15.24</v>
      </c>
      <c r="AP25" s="410"/>
      <c r="AQ25" s="154" t="s">
        <v>6311</v>
      </c>
      <c r="AR25" s="154" t="s">
        <v>6311</v>
      </c>
      <c r="AS25" s="149" t="s">
        <v>87</v>
      </c>
      <c r="AT25" s="58" t="s">
        <v>266</v>
      </c>
      <c r="AU25" s="56">
        <v>0</v>
      </c>
      <c r="AV25" s="56" t="s">
        <v>646</v>
      </c>
      <c r="AW25" s="56" t="s">
        <v>646</v>
      </c>
      <c r="AX25" s="56">
        <v>26</v>
      </c>
      <c r="AY25" s="56" t="s">
        <v>647</v>
      </c>
      <c r="AZ25" s="56" t="s">
        <v>536</v>
      </c>
      <c r="BA25" s="56">
        <v>20</v>
      </c>
      <c r="BB25" s="55" t="s">
        <v>537</v>
      </c>
      <c r="BC25" s="55" t="s">
        <v>648</v>
      </c>
      <c r="BD25" s="55"/>
      <c r="BE25" s="155" t="s">
        <v>649</v>
      </c>
      <c r="BF25" s="155" t="s">
        <v>650</v>
      </c>
      <c r="BG25" s="155" t="s">
        <v>540</v>
      </c>
      <c r="BH25" s="155" t="s">
        <v>272</v>
      </c>
      <c r="BI25" s="103">
        <v>4.4000000000000004</v>
      </c>
      <c r="BJ25" s="103">
        <v>12.5</v>
      </c>
      <c r="BK25" s="56"/>
      <c r="BL25" s="103">
        <f t="shared" si="2"/>
        <v>3.7948446339980828</v>
      </c>
      <c r="BM25" s="56" t="s">
        <v>541</v>
      </c>
      <c r="BN25" s="56"/>
      <c r="BO25" s="56">
        <v>12.2</v>
      </c>
      <c r="BP25" s="56"/>
      <c r="BQ25" s="56"/>
      <c r="BR25" s="56">
        <v>11.6</v>
      </c>
      <c r="BS25" s="56"/>
      <c r="BT25" s="56"/>
      <c r="BU25" s="158"/>
      <c r="BV25" s="56"/>
      <c r="BW25" s="56"/>
      <c r="BX25" s="56"/>
      <c r="BY25" s="56"/>
      <c r="BZ25" s="56"/>
      <c r="CA25" s="56"/>
      <c r="CB25" s="56"/>
      <c r="CC25" s="56"/>
      <c r="CD25" s="56"/>
      <c r="CE25" s="56"/>
      <c r="CF25" s="56"/>
      <c r="CG25" s="56"/>
      <c r="CH25" s="56"/>
      <c r="CI25" s="103">
        <f t="shared" si="3"/>
        <v>11.6</v>
      </c>
      <c r="CJ25" s="103">
        <f t="shared" si="4"/>
        <v>1.0644579892269184</v>
      </c>
      <c r="CK25" s="57">
        <f t="shared" si="9"/>
        <v>0.3035875707198466</v>
      </c>
      <c r="CL25" s="160">
        <f t="shared" ref="CL25:CL88" si="13">BL25/CI25</f>
        <v>0.32714177879293821</v>
      </c>
      <c r="CM25" s="160"/>
      <c r="CN25" s="160"/>
      <c r="CO25" s="55"/>
      <c r="CP25" s="55" t="s">
        <v>651</v>
      </c>
      <c r="CQ25" s="149">
        <v>0.89987572337891597</v>
      </c>
      <c r="CR25" s="349">
        <f>10^(CJ25-CQ25)</f>
        <v>1.4607714285714284</v>
      </c>
      <c r="CS25" s="61" t="s">
        <v>539</v>
      </c>
      <c r="CT25" s="61"/>
      <c r="CU25" s="111">
        <f t="shared" si="6"/>
        <v>26.111447962915879</v>
      </c>
      <c r="CV25" s="331">
        <f t="shared" si="10"/>
        <v>24.231423709585933</v>
      </c>
      <c r="CW25" s="326">
        <f t="shared" si="7"/>
        <v>1</v>
      </c>
      <c r="CX25" s="326"/>
      <c r="CY25" s="161" t="s">
        <v>6351</v>
      </c>
    </row>
    <row r="26" spans="1:103" ht="11.25" customHeight="1" x14ac:dyDescent="0.2">
      <c r="A26" s="72">
        <v>24</v>
      </c>
      <c r="B26" s="149">
        <v>771</v>
      </c>
      <c r="C26" s="54" t="s">
        <v>2161</v>
      </c>
      <c r="D26" s="54" t="s">
        <v>6491</v>
      </c>
      <c r="E26" s="59"/>
      <c r="F26" s="59" t="s">
        <v>2162</v>
      </c>
      <c r="G26" s="151">
        <v>994058</v>
      </c>
      <c r="H26" s="55" t="s">
        <v>2163</v>
      </c>
      <c r="I26" s="55" t="s">
        <v>2163</v>
      </c>
      <c r="J26" s="55" t="s">
        <v>2164</v>
      </c>
      <c r="K26" s="55" t="s">
        <v>426</v>
      </c>
      <c r="L26" s="55" t="s">
        <v>5527</v>
      </c>
      <c r="M26" s="55" t="s">
        <v>6025</v>
      </c>
      <c r="N26" s="60" t="s">
        <v>2342</v>
      </c>
      <c r="O26" s="55" t="s">
        <v>2342</v>
      </c>
      <c r="P26" s="67" t="s">
        <v>1639</v>
      </c>
      <c r="Q26" s="67" t="s">
        <v>6173</v>
      </c>
      <c r="R26" s="67" t="s">
        <v>6082</v>
      </c>
      <c r="S26" s="67" t="s">
        <v>6173</v>
      </c>
      <c r="T26" s="56">
        <v>102.17</v>
      </c>
      <c r="U26" s="103"/>
      <c r="V26" s="103">
        <v>25.839287462073017</v>
      </c>
      <c r="W26" s="103">
        <v>125.89254117941667</v>
      </c>
      <c r="X26" s="103">
        <f>IF(W26=0,V26,W26)</f>
        <v>125.89254117941667</v>
      </c>
      <c r="Y26" s="162">
        <v>7</v>
      </c>
      <c r="Z26" s="56">
        <v>1.92</v>
      </c>
      <c r="AA26" s="56"/>
      <c r="AB26" s="56">
        <v>1.8</v>
      </c>
      <c r="AC26" s="56">
        <v>0.83069999999999999</v>
      </c>
      <c r="AD26" s="56">
        <v>1.76</v>
      </c>
      <c r="AE26" s="56">
        <v>1.68</v>
      </c>
      <c r="AF26" s="56">
        <f t="shared" si="11"/>
        <v>1.76</v>
      </c>
      <c r="AG26" s="57">
        <v>1.84</v>
      </c>
      <c r="AH26" s="103">
        <v>2.6800000000000001E-3</v>
      </c>
      <c r="AI26" s="103">
        <v>1.32E-3</v>
      </c>
      <c r="AJ26" s="62">
        <f t="shared" si="8"/>
        <v>-0.96043153228386291</v>
      </c>
      <c r="AK26" s="62">
        <f t="shared" si="12"/>
        <v>-1.267992395106802</v>
      </c>
      <c r="AL26" s="62">
        <f t="shared" si="1"/>
        <v>-1.267992395106802</v>
      </c>
      <c r="AM26" s="62">
        <v>-1.4995500000000002</v>
      </c>
      <c r="AN26" s="154">
        <v>-1.1100000000000001</v>
      </c>
      <c r="AO26" s="410"/>
      <c r="AP26" s="410"/>
      <c r="AQ26" s="56" t="s">
        <v>6311</v>
      </c>
      <c r="AR26" s="56" t="s">
        <v>6311</v>
      </c>
      <c r="AS26" s="155" t="s">
        <v>2156</v>
      </c>
      <c r="AT26" s="58" t="s">
        <v>266</v>
      </c>
      <c r="AU26" s="56">
        <v>3</v>
      </c>
      <c r="AV26" s="56">
        <v>120</v>
      </c>
      <c r="AW26" s="56">
        <v>120</v>
      </c>
      <c r="AX26" s="56">
        <v>25</v>
      </c>
      <c r="AY26" s="56" t="s">
        <v>8722</v>
      </c>
      <c r="AZ26" s="56" t="s">
        <v>2157</v>
      </c>
      <c r="BA26" s="56">
        <v>45</v>
      </c>
      <c r="BB26" s="55" t="s">
        <v>2158</v>
      </c>
      <c r="BC26" s="55" t="s">
        <v>2159</v>
      </c>
      <c r="BD26" s="55"/>
      <c r="BE26" s="56" t="s">
        <v>271</v>
      </c>
      <c r="BF26" s="56" t="s">
        <v>272</v>
      </c>
      <c r="BG26" s="56" t="s">
        <v>272</v>
      </c>
      <c r="BH26" s="56" t="s">
        <v>272</v>
      </c>
      <c r="BI26" s="103">
        <v>2.5</v>
      </c>
      <c r="BJ26" s="103">
        <v>40</v>
      </c>
      <c r="BK26" s="56"/>
      <c r="BL26" s="103">
        <f t="shared" si="2"/>
        <v>0.96927720650321159</v>
      </c>
      <c r="BM26" s="56">
        <v>0</v>
      </c>
      <c r="BN26" s="56"/>
      <c r="BO26" s="56"/>
      <c r="BP26" s="56"/>
      <c r="BQ26" s="56"/>
      <c r="BR26" s="56">
        <f>(8.7+11.2)/2</f>
        <v>9.9499999999999993</v>
      </c>
      <c r="BS26" s="56"/>
      <c r="BT26" s="56"/>
      <c r="BU26" s="158"/>
      <c r="BV26" s="56"/>
      <c r="BW26" s="56"/>
      <c r="BX26" s="56"/>
      <c r="BY26" s="56"/>
      <c r="BZ26" s="56"/>
      <c r="CA26" s="56"/>
      <c r="CB26" s="56"/>
      <c r="CC26" s="56"/>
      <c r="CD26" s="56"/>
      <c r="CE26" s="56"/>
      <c r="CF26" s="56"/>
      <c r="CG26" s="56"/>
      <c r="CH26" s="56"/>
      <c r="CI26" s="103">
        <f t="shared" si="3"/>
        <v>9.9499999999999993</v>
      </c>
      <c r="CJ26" s="103">
        <f t="shared" si="4"/>
        <v>0.99782308074572545</v>
      </c>
      <c r="CK26" s="57">
        <f t="shared" si="9"/>
        <v>2.4231930162580288E-2</v>
      </c>
      <c r="CL26" s="160">
        <f t="shared" si="13"/>
        <v>9.7414794623438355E-2</v>
      </c>
      <c r="CM26" s="160"/>
      <c r="CN26" s="160"/>
      <c r="CO26" s="55"/>
      <c r="CP26" s="55" t="s">
        <v>2160</v>
      </c>
      <c r="CQ26" s="149">
        <v>0.75410460018192382</v>
      </c>
      <c r="CR26" s="349">
        <f>10^(CJ26-CQ26)</f>
        <v>1.7527439655172417</v>
      </c>
      <c r="CS26" s="61" t="s">
        <v>539</v>
      </c>
      <c r="CT26" s="61"/>
      <c r="CU26" s="111">
        <f t="shared" si="6"/>
        <v>12.652516701448912</v>
      </c>
      <c r="CV26" s="331">
        <f t="shared" si="10"/>
        <v>3.1473135294854169</v>
      </c>
      <c r="CW26" s="326">
        <f t="shared" si="7"/>
        <v>1</v>
      </c>
      <c r="CX26" s="326"/>
      <c r="CY26" s="161" t="s">
        <v>6351</v>
      </c>
    </row>
    <row r="27" spans="1:103" ht="11.25" customHeight="1" x14ac:dyDescent="0.2">
      <c r="A27" s="72">
        <v>25</v>
      </c>
      <c r="B27" s="149">
        <v>485</v>
      </c>
      <c r="C27" s="54" t="s">
        <v>1569</v>
      </c>
      <c r="D27" s="54" t="s">
        <v>6436</v>
      </c>
      <c r="E27" s="59"/>
      <c r="F27" s="59" t="s">
        <v>1570</v>
      </c>
      <c r="G27" s="151">
        <v>62533</v>
      </c>
      <c r="H27" s="55" t="s">
        <v>1571</v>
      </c>
      <c r="I27" s="55" t="s">
        <v>1571</v>
      </c>
      <c r="J27" s="55" t="s">
        <v>1572</v>
      </c>
      <c r="K27" s="55" t="s">
        <v>1573</v>
      </c>
      <c r="L27" s="55" t="s">
        <v>5492</v>
      </c>
      <c r="M27" s="55" t="s">
        <v>866</v>
      </c>
      <c r="N27" s="60" t="s">
        <v>6082</v>
      </c>
      <c r="O27" s="55" t="s">
        <v>6086</v>
      </c>
      <c r="P27" s="67" t="s">
        <v>6184</v>
      </c>
      <c r="Q27" s="67" t="s">
        <v>6176</v>
      </c>
      <c r="R27" s="67" t="s">
        <v>6185</v>
      </c>
      <c r="S27" s="67" t="s">
        <v>6176</v>
      </c>
      <c r="T27" s="56">
        <v>93.13</v>
      </c>
      <c r="U27" s="103">
        <v>386.55642650059059</v>
      </c>
      <c r="V27" s="103">
        <v>223.55846665950821</v>
      </c>
      <c r="W27" s="103">
        <v>346.73685045253166</v>
      </c>
      <c r="X27" s="103">
        <v>386.55642650059059</v>
      </c>
      <c r="Y27" s="162">
        <v>9.08</v>
      </c>
      <c r="Z27" s="56">
        <v>1.08</v>
      </c>
      <c r="AA27" s="56">
        <v>0.9</v>
      </c>
      <c r="AB27" s="56">
        <v>1.25</v>
      </c>
      <c r="AC27" s="56">
        <v>0.88229999999999997</v>
      </c>
      <c r="AD27" s="56">
        <v>1.17</v>
      </c>
      <c r="AE27" s="56">
        <v>0.94</v>
      </c>
      <c r="AF27" s="56">
        <f t="shared" si="11"/>
        <v>0.9</v>
      </c>
      <c r="AG27" s="57">
        <v>1.1100000000000001</v>
      </c>
      <c r="AH27" s="103">
        <v>1.9E-6</v>
      </c>
      <c r="AI27" s="103">
        <v>2.0200000000000001E-6</v>
      </c>
      <c r="AJ27" s="62">
        <f t="shared" si="8"/>
        <v>-4.1098127253598227</v>
      </c>
      <c r="AK27" s="62">
        <f t="shared" si="12"/>
        <v>-4.0832149568660281</v>
      </c>
      <c r="AL27" s="62">
        <f t="shared" si="1"/>
        <v>-4.0832149568660281</v>
      </c>
      <c r="AM27" s="62">
        <v>-6.248120000000001</v>
      </c>
      <c r="AN27" s="154">
        <v>-3.95</v>
      </c>
      <c r="AO27" s="410"/>
      <c r="AP27" s="410">
        <v>4.6100000000000003</v>
      </c>
      <c r="AQ27" s="154" t="s">
        <v>6311</v>
      </c>
      <c r="AR27" s="154" t="s">
        <v>6311</v>
      </c>
      <c r="AS27" s="149" t="s">
        <v>6</v>
      </c>
      <c r="AT27" s="58" t="s">
        <v>266</v>
      </c>
      <c r="AU27" s="56">
        <v>2</v>
      </c>
      <c r="AV27" s="56">
        <v>96</v>
      </c>
      <c r="AW27" s="56">
        <v>96</v>
      </c>
      <c r="AX27" s="56">
        <v>25</v>
      </c>
      <c r="AY27" s="56" t="s">
        <v>8722</v>
      </c>
      <c r="AZ27" s="56" t="s">
        <v>1563</v>
      </c>
      <c r="BA27" s="56">
        <v>12</v>
      </c>
      <c r="BB27" s="55" t="s">
        <v>888</v>
      </c>
      <c r="BC27" s="55" t="s">
        <v>538</v>
      </c>
      <c r="BD27" s="55"/>
      <c r="BE27" s="56" t="s">
        <v>271</v>
      </c>
      <c r="BF27" s="56" t="s">
        <v>272</v>
      </c>
      <c r="BG27" s="56" t="s">
        <v>539</v>
      </c>
      <c r="BH27" s="56" t="s">
        <v>272</v>
      </c>
      <c r="BI27" s="103">
        <v>0.2</v>
      </c>
      <c r="BJ27" s="103">
        <v>20</v>
      </c>
      <c r="BK27" s="56"/>
      <c r="BL27" s="103">
        <f t="shared" si="2"/>
        <v>5.5062002270973851</v>
      </c>
      <c r="BM27" s="56">
        <v>0</v>
      </c>
      <c r="BN27" s="56"/>
      <c r="BO27" s="56"/>
      <c r="BP27" s="56"/>
      <c r="BQ27" s="56">
        <v>9.3000000000000007</v>
      </c>
      <c r="BR27" s="56"/>
      <c r="BS27" s="56"/>
      <c r="BT27" s="56"/>
      <c r="BU27" s="158"/>
      <c r="BV27" s="56"/>
      <c r="BW27" s="56"/>
      <c r="BX27" s="56"/>
      <c r="BY27" s="56"/>
      <c r="BZ27" s="56"/>
      <c r="CA27" s="56"/>
      <c r="CB27" s="56"/>
      <c r="CC27" s="56"/>
      <c r="CD27" s="56"/>
      <c r="CE27" s="56"/>
      <c r="CF27" s="56"/>
      <c r="CG27" s="56"/>
      <c r="CH27" s="56"/>
      <c r="CI27" s="103">
        <f t="shared" si="3"/>
        <v>9.3000000000000007</v>
      </c>
      <c r="CJ27" s="103">
        <f t="shared" si="4"/>
        <v>0.96848294855393513</v>
      </c>
      <c r="CK27" s="57">
        <f t="shared" si="9"/>
        <v>0.27531001135486927</v>
      </c>
      <c r="CL27" s="160">
        <f t="shared" si="13"/>
        <v>0.59206454054810587</v>
      </c>
      <c r="CM27" s="160">
        <v>-0.5107785307757392</v>
      </c>
      <c r="CN27" s="160">
        <f>BJ27/(10^CM27)</f>
        <v>64.834852392836581</v>
      </c>
      <c r="CO27" s="55"/>
      <c r="CP27" s="55" t="s">
        <v>1564</v>
      </c>
      <c r="CQ27" s="149">
        <v>-0.21034120926680783</v>
      </c>
      <c r="CR27" s="349">
        <f>10^(CJ27-CQ27)</f>
        <v>15.094688591860269</v>
      </c>
      <c r="CS27" s="61" t="s">
        <v>539</v>
      </c>
      <c r="CT27" s="61"/>
      <c r="CU27" s="111">
        <f t="shared" si="6"/>
        <v>41.565207150601132</v>
      </c>
      <c r="CV27" s="331">
        <f t="shared" si="10"/>
        <v>19.327821325029529</v>
      </c>
      <c r="CW27" s="326">
        <f t="shared" si="7"/>
        <v>1</v>
      </c>
      <c r="CX27" s="326"/>
      <c r="CY27" s="161" t="s">
        <v>6351</v>
      </c>
    </row>
    <row r="28" spans="1:103" ht="11.25" customHeight="1" x14ac:dyDescent="0.2">
      <c r="A28" s="72">
        <v>26</v>
      </c>
      <c r="B28" s="149">
        <v>527</v>
      </c>
      <c r="C28" s="54" t="s">
        <v>1674</v>
      </c>
      <c r="D28" s="54" t="s">
        <v>6474</v>
      </c>
      <c r="E28" s="59"/>
      <c r="F28" s="59" t="s">
        <v>1675</v>
      </c>
      <c r="G28" s="151">
        <v>124403</v>
      </c>
      <c r="H28" s="55" t="s">
        <v>1676</v>
      </c>
      <c r="I28" s="55" t="s">
        <v>1676</v>
      </c>
      <c r="J28" s="55" t="s">
        <v>1677</v>
      </c>
      <c r="K28" s="55" t="s">
        <v>300</v>
      </c>
      <c r="L28" s="55" t="s">
        <v>5492</v>
      </c>
      <c r="M28" s="60" t="s">
        <v>2342</v>
      </c>
      <c r="N28" s="60" t="s">
        <v>2342</v>
      </c>
      <c r="O28" s="55"/>
      <c r="P28" s="67"/>
      <c r="Q28" s="67"/>
      <c r="R28" s="67"/>
      <c r="S28" s="67"/>
      <c r="T28" s="56">
        <v>45.08</v>
      </c>
      <c r="U28" s="103">
        <v>36157.941437444548</v>
      </c>
      <c r="V28" s="103">
        <v>22182.786157941438</v>
      </c>
      <c r="W28" s="103">
        <v>10964.781961431854</v>
      </c>
      <c r="X28" s="103">
        <v>36157.941437444548</v>
      </c>
      <c r="Y28" s="162">
        <v>12.89</v>
      </c>
      <c r="Z28" s="56">
        <v>-0.17</v>
      </c>
      <c r="AA28" s="56">
        <v>-0.38</v>
      </c>
      <c r="AB28" s="56">
        <v>-0.23</v>
      </c>
      <c r="AC28" s="56">
        <v>0.89749999999999996</v>
      </c>
      <c r="AD28" s="56">
        <v>-0.28000000000000003</v>
      </c>
      <c r="AE28" s="56">
        <v>-0.43</v>
      </c>
      <c r="AF28" s="56">
        <f t="shared" si="11"/>
        <v>-0.38</v>
      </c>
      <c r="AG28" s="57">
        <v>-0.08</v>
      </c>
      <c r="AH28" s="103">
        <v>1.66E-5</v>
      </c>
      <c r="AI28" s="103">
        <v>1.77E-5</v>
      </c>
      <c r="AJ28" s="62">
        <f t="shared" si="8"/>
        <v>-3.1684582382725965</v>
      </c>
      <c r="AK28" s="62">
        <f t="shared" si="12"/>
        <v>-3.1405930599508451</v>
      </c>
      <c r="AL28" s="62">
        <f t="shared" si="1"/>
        <v>-3.1405930599508451</v>
      </c>
      <c r="AM28" s="62">
        <v>-2.8848699999999998</v>
      </c>
      <c r="AN28" s="154">
        <v>-3.09</v>
      </c>
      <c r="AO28" s="410"/>
      <c r="AP28" s="410">
        <v>10.74</v>
      </c>
      <c r="AQ28" s="154" t="s">
        <v>6311</v>
      </c>
      <c r="AR28" s="154" t="s">
        <v>6311</v>
      </c>
      <c r="AS28" s="149" t="s">
        <v>6</v>
      </c>
      <c r="AT28" s="58" t="s">
        <v>266</v>
      </c>
      <c r="AU28" s="56">
        <v>2</v>
      </c>
      <c r="AV28" s="56">
        <v>96</v>
      </c>
      <c r="AW28" s="56">
        <v>96</v>
      </c>
      <c r="AX28" s="56">
        <v>25</v>
      </c>
      <c r="AY28" s="56" t="s">
        <v>8722</v>
      </c>
      <c r="AZ28" s="56" t="s">
        <v>1563</v>
      </c>
      <c r="BA28" s="56">
        <v>12</v>
      </c>
      <c r="BB28" s="55" t="s">
        <v>888</v>
      </c>
      <c r="BC28" s="55" t="s">
        <v>538</v>
      </c>
      <c r="BD28" s="55"/>
      <c r="BE28" s="56" t="s">
        <v>271</v>
      </c>
      <c r="BF28" s="56" t="s">
        <v>272</v>
      </c>
      <c r="BG28" s="56" t="s">
        <v>539</v>
      </c>
      <c r="BH28" s="56" t="s">
        <v>272</v>
      </c>
      <c r="BI28" s="103">
        <v>1</v>
      </c>
      <c r="BJ28" s="103">
        <v>200</v>
      </c>
      <c r="BK28" s="56"/>
      <c r="BL28" s="103">
        <f t="shared" si="2"/>
        <v>73.025913772176295</v>
      </c>
      <c r="BM28" s="56">
        <v>0</v>
      </c>
      <c r="BN28" s="56"/>
      <c r="BO28" s="56"/>
      <c r="BP28" s="56"/>
      <c r="BQ28" s="56">
        <v>8.8000000000000007</v>
      </c>
      <c r="BR28" s="56"/>
      <c r="BS28" s="56"/>
      <c r="BT28" s="56"/>
      <c r="BU28" s="158"/>
      <c r="BV28" s="56"/>
      <c r="BW28" s="56"/>
      <c r="BX28" s="56"/>
      <c r="BY28" s="56"/>
      <c r="BZ28" s="56"/>
      <c r="CA28" s="56"/>
      <c r="CB28" s="56"/>
      <c r="CC28" s="56"/>
      <c r="CD28" s="56"/>
      <c r="CE28" s="56"/>
      <c r="CF28" s="56"/>
      <c r="CG28" s="56"/>
      <c r="CH28" s="56"/>
      <c r="CI28" s="103">
        <f t="shared" si="3"/>
        <v>8.8000000000000007</v>
      </c>
      <c r="CJ28" s="103">
        <f t="shared" si="4"/>
        <v>0.94448267215016868</v>
      </c>
      <c r="CK28" s="57">
        <f t="shared" si="9"/>
        <v>0.36512956886088149</v>
      </c>
      <c r="CL28" s="160">
        <f t="shared" si="13"/>
        <v>8.2983992922927605</v>
      </c>
      <c r="CM28" s="160"/>
      <c r="CN28" s="160"/>
      <c r="CO28" s="55"/>
      <c r="CP28" s="55" t="s">
        <v>1564</v>
      </c>
      <c r="CQ28" s="149">
        <v>0.20221784260997977</v>
      </c>
      <c r="CR28" s="349">
        <f>10^(CJ28-CQ28)</f>
        <v>5.5241419465606443</v>
      </c>
      <c r="CS28" s="61" t="s">
        <v>539</v>
      </c>
      <c r="CT28" s="61"/>
      <c r="CU28" s="111">
        <f t="shared" si="6"/>
        <v>4108.8569815277888</v>
      </c>
      <c r="CV28" s="331">
        <f t="shared" si="10"/>
        <v>180.78970718722275</v>
      </c>
      <c r="CW28" s="326">
        <f t="shared" si="7"/>
        <v>1</v>
      </c>
      <c r="CX28" s="326"/>
      <c r="CY28" s="161" t="s">
        <v>6351</v>
      </c>
    </row>
    <row r="29" spans="1:103" ht="11.25" customHeight="1" x14ac:dyDescent="0.2">
      <c r="A29" s="72">
        <v>27</v>
      </c>
      <c r="B29" s="149">
        <v>613</v>
      </c>
      <c r="C29" s="54" t="s">
        <v>1826</v>
      </c>
      <c r="D29" s="54" t="s">
        <v>6595</v>
      </c>
      <c r="E29" s="59"/>
      <c r="F29" s="59" t="s">
        <v>1827</v>
      </c>
      <c r="G29" s="151">
        <v>75092</v>
      </c>
      <c r="H29" s="55" t="s">
        <v>1828</v>
      </c>
      <c r="I29" s="55" t="s">
        <v>8279</v>
      </c>
      <c r="J29" s="55" t="s">
        <v>1829</v>
      </c>
      <c r="K29" s="55" t="s">
        <v>426</v>
      </c>
      <c r="L29" s="55"/>
      <c r="M29" s="55" t="s">
        <v>866</v>
      </c>
      <c r="N29" s="60" t="s">
        <v>6082</v>
      </c>
      <c r="O29" s="55" t="s">
        <v>498</v>
      </c>
      <c r="P29" s="67" t="s">
        <v>6183</v>
      </c>
      <c r="Q29" s="67" t="s">
        <v>6176</v>
      </c>
      <c r="R29" s="67" t="s">
        <v>6185</v>
      </c>
      <c r="S29" s="67" t="s">
        <v>6176</v>
      </c>
      <c r="T29" s="56">
        <v>84.93</v>
      </c>
      <c r="U29" s="103">
        <v>153.06723183798422</v>
      </c>
      <c r="V29" s="103">
        <v>128.92970681737901</v>
      </c>
      <c r="W29" s="103">
        <v>67.60829753919819</v>
      </c>
      <c r="X29" s="103">
        <v>153.06723183798422</v>
      </c>
      <c r="Y29" s="162">
        <v>7</v>
      </c>
      <c r="Z29" s="56">
        <v>1.34</v>
      </c>
      <c r="AA29" s="56">
        <v>1.25</v>
      </c>
      <c r="AB29" s="56">
        <v>1.36</v>
      </c>
      <c r="AC29" s="56">
        <v>0.88929999999999998</v>
      </c>
      <c r="AD29" s="56">
        <v>1.32</v>
      </c>
      <c r="AE29" s="56">
        <v>1.19</v>
      </c>
      <c r="AF29" s="56">
        <f t="shared" si="11"/>
        <v>1.25</v>
      </c>
      <c r="AG29" s="57">
        <v>1.26</v>
      </c>
      <c r="AH29" s="103">
        <v>9.1400000000000006E-3</v>
      </c>
      <c r="AI29" s="103">
        <v>3.2499999999999999E-3</v>
      </c>
      <c r="AJ29" s="62">
        <f t="shared" si="8"/>
        <v>-0.42762013057882037</v>
      </c>
      <c r="AK29" s="62">
        <f t="shared" si="12"/>
        <v>-0.87668296533377743</v>
      </c>
      <c r="AL29" s="62">
        <f t="shared" si="1"/>
        <v>-0.87668296533377743</v>
      </c>
      <c r="AM29" s="62">
        <v>-0.64007999999999998</v>
      </c>
      <c r="AN29" s="154">
        <v>-0.94899999999999995</v>
      </c>
      <c r="AO29" s="410"/>
      <c r="AP29" s="410"/>
      <c r="AQ29" s="154" t="s">
        <v>6311</v>
      </c>
      <c r="AR29" s="154" t="s">
        <v>6312</v>
      </c>
      <c r="AS29" s="149" t="s">
        <v>6</v>
      </c>
      <c r="AT29" s="58" t="s">
        <v>266</v>
      </c>
      <c r="AU29" s="56">
        <v>2</v>
      </c>
      <c r="AV29" s="56" t="s">
        <v>646</v>
      </c>
      <c r="AW29" s="56" t="s">
        <v>646</v>
      </c>
      <c r="AX29" s="56">
        <v>26</v>
      </c>
      <c r="AY29" s="56" t="s">
        <v>647</v>
      </c>
      <c r="AZ29" s="56" t="s">
        <v>536</v>
      </c>
      <c r="BA29" s="56">
        <v>10</v>
      </c>
      <c r="BB29" s="55" t="s">
        <v>1764</v>
      </c>
      <c r="BC29" s="55" t="s">
        <v>538</v>
      </c>
      <c r="BD29" s="55"/>
      <c r="BE29" s="56" t="s">
        <v>1809</v>
      </c>
      <c r="BF29" s="56" t="s">
        <v>539</v>
      </c>
      <c r="BG29" s="56" t="s">
        <v>272</v>
      </c>
      <c r="BH29" s="56" t="s">
        <v>272</v>
      </c>
      <c r="BI29" s="157">
        <v>1.8368067820558105</v>
      </c>
      <c r="BJ29" s="157">
        <v>5.8872012245378542</v>
      </c>
      <c r="BK29" s="56" t="s">
        <v>1821</v>
      </c>
      <c r="BL29" s="103">
        <f t="shared" si="2"/>
        <v>3.2162218642919709</v>
      </c>
      <c r="BM29" s="56" t="s">
        <v>541</v>
      </c>
      <c r="BN29" s="56"/>
      <c r="BO29" s="56">
        <v>8.2456140350877174</v>
      </c>
      <c r="BP29" s="56"/>
      <c r="BQ29" s="56"/>
      <c r="BR29" s="56">
        <v>7.97</v>
      </c>
      <c r="BS29" s="56"/>
      <c r="BT29" s="56"/>
      <c r="BU29" s="158"/>
      <c r="BV29" s="56"/>
      <c r="BW29" s="56"/>
      <c r="BX29" s="56"/>
      <c r="BY29" s="56"/>
      <c r="BZ29" s="56"/>
      <c r="CA29" s="56"/>
      <c r="CB29" s="56"/>
      <c r="CC29" s="56"/>
      <c r="CD29" s="56"/>
      <c r="CE29" s="56"/>
      <c r="CF29" s="56"/>
      <c r="CG29" s="56"/>
      <c r="CH29" s="56"/>
      <c r="CI29" s="103">
        <f t="shared" si="3"/>
        <v>7.97</v>
      </c>
      <c r="CJ29" s="103">
        <f t="shared" si="4"/>
        <v>0.90145832139611237</v>
      </c>
      <c r="CK29" s="57">
        <f t="shared" si="9"/>
        <v>0.54630744586863422</v>
      </c>
      <c r="CL29" s="160">
        <f t="shared" si="13"/>
        <v>0.40354101183086211</v>
      </c>
      <c r="CM29" s="160"/>
      <c r="CN29" s="160"/>
      <c r="CO29" s="55"/>
      <c r="CP29" s="55" t="s">
        <v>1811</v>
      </c>
      <c r="CQ29" s="149">
        <v>0.39406844694166088</v>
      </c>
      <c r="CR29" s="349">
        <f>10^(CJ29-CQ29)</f>
        <v>3.2165467984405849</v>
      </c>
      <c r="CS29" s="61" t="s">
        <v>539</v>
      </c>
      <c r="CT29" s="61" t="s">
        <v>6310</v>
      </c>
      <c r="CU29" s="111">
        <f t="shared" si="6"/>
        <v>19.205424320951597</v>
      </c>
      <c r="CV29" s="331">
        <f t="shared" si="10"/>
        <v>26.000000000000004</v>
      </c>
      <c r="CW29" s="326">
        <f t="shared" si="7"/>
        <v>1</v>
      </c>
      <c r="CX29" s="326" t="s">
        <v>539</v>
      </c>
      <c r="CY29" s="161" t="s">
        <v>6351</v>
      </c>
    </row>
    <row r="30" spans="1:103" ht="11.25" customHeight="1" x14ac:dyDescent="0.2">
      <c r="A30" s="72">
        <v>28</v>
      </c>
      <c r="B30" s="149">
        <v>4</v>
      </c>
      <c r="C30" s="54" t="s">
        <v>290</v>
      </c>
      <c r="D30" s="54" t="s">
        <v>8356</v>
      </c>
      <c r="E30" s="59"/>
      <c r="F30" s="59" t="s">
        <v>291</v>
      </c>
      <c r="G30" s="151">
        <v>64868</v>
      </c>
      <c r="H30" s="55" t="s">
        <v>292</v>
      </c>
      <c r="I30" s="55" t="s">
        <v>7990</v>
      </c>
      <c r="J30" s="55" t="s">
        <v>293</v>
      </c>
      <c r="K30" s="55" t="s">
        <v>294</v>
      </c>
      <c r="L30" s="64"/>
      <c r="M30" s="55" t="s">
        <v>295</v>
      </c>
      <c r="N30" s="60"/>
      <c r="O30" s="55"/>
      <c r="P30" s="67"/>
      <c r="Q30" s="67"/>
      <c r="R30" s="67"/>
      <c r="S30" s="67"/>
      <c r="T30" s="59">
        <v>399.44</v>
      </c>
      <c r="U30" s="153">
        <v>112.65772080913278</v>
      </c>
      <c r="V30" s="153">
        <v>0.59958942519527336</v>
      </c>
      <c r="W30" s="153">
        <v>0.53703179637025245</v>
      </c>
      <c r="X30" s="153">
        <v>112.65772080913278</v>
      </c>
      <c r="Y30" s="410">
        <v>7</v>
      </c>
      <c r="Z30" s="59">
        <v>1.86</v>
      </c>
      <c r="AA30" s="59">
        <v>1.3</v>
      </c>
      <c r="AB30" s="59">
        <v>1.1399999999999999</v>
      </c>
      <c r="AC30" s="59">
        <v>0.92149999999999999</v>
      </c>
      <c r="AD30" s="59">
        <v>1.1000000000000001</v>
      </c>
      <c r="AE30" s="59">
        <v>0.92</v>
      </c>
      <c r="AF30" s="59">
        <f t="shared" si="11"/>
        <v>1.3</v>
      </c>
      <c r="AG30" s="57">
        <v>2.73</v>
      </c>
      <c r="AH30" s="103">
        <v>1.7899999999999999E-17</v>
      </c>
      <c r="AI30" s="103"/>
      <c r="AJ30" s="62">
        <f t="shared" si="8"/>
        <v>-15.135713295332758</v>
      </c>
      <c r="AK30" s="62"/>
      <c r="AL30" s="62">
        <f t="shared" si="1"/>
        <v>-15.135713295332758</v>
      </c>
      <c r="AM30" s="62">
        <v>-23.910819999999998</v>
      </c>
      <c r="AN30" s="154">
        <v>-19.5</v>
      </c>
      <c r="AO30" s="410">
        <v>14.75</v>
      </c>
      <c r="AP30" s="410">
        <v>-0.91</v>
      </c>
      <c r="AQ30" s="154" t="s">
        <v>6311</v>
      </c>
      <c r="AR30" s="154" t="s">
        <v>6311</v>
      </c>
      <c r="AS30" s="149" t="s">
        <v>282</v>
      </c>
      <c r="AT30" s="58" t="s">
        <v>266</v>
      </c>
      <c r="AU30" s="155">
        <v>24</v>
      </c>
      <c r="AV30" s="155">
        <v>120</v>
      </c>
      <c r="AW30" s="155">
        <v>96</v>
      </c>
      <c r="AX30" s="155">
        <v>28</v>
      </c>
      <c r="AY30" s="155" t="s">
        <v>267</v>
      </c>
      <c r="AZ30" s="155" t="s">
        <v>268</v>
      </c>
      <c r="BA30" s="155">
        <v>48</v>
      </c>
      <c r="BB30" s="55" t="s">
        <v>269</v>
      </c>
      <c r="BC30" s="156" t="s">
        <v>270</v>
      </c>
      <c r="BD30" s="156" t="s">
        <v>8374</v>
      </c>
      <c r="BE30" s="155" t="s">
        <v>271</v>
      </c>
      <c r="BF30" s="155" t="s">
        <v>272</v>
      </c>
      <c r="BG30" s="155" t="s">
        <v>272</v>
      </c>
      <c r="BH30" s="155" t="s">
        <v>272</v>
      </c>
      <c r="BI30" s="157">
        <v>2.5035049068696173E-3</v>
      </c>
      <c r="BJ30" s="157">
        <v>2.5035049068696176</v>
      </c>
      <c r="BK30" s="56"/>
      <c r="BL30" s="103">
        <f t="shared" si="2"/>
        <v>1.0973217817596701</v>
      </c>
      <c r="BM30" s="56">
        <v>0</v>
      </c>
      <c r="BN30" s="56"/>
      <c r="BO30" s="56"/>
      <c r="BP30" s="56"/>
      <c r="BQ30" s="56"/>
      <c r="BR30" s="56"/>
      <c r="BS30" s="56"/>
      <c r="BT30" s="56"/>
      <c r="BU30" s="158"/>
      <c r="BV30" s="56"/>
      <c r="BW30" s="56"/>
      <c r="BX30" s="56"/>
      <c r="BY30" s="56"/>
      <c r="BZ30" s="56">
        <v>0.61</v>
      </c>
      <c r="CA30" s="56">
        <v>0.16</v>
      </c>
      <c r="CB30" s="56">
        <v>0.1</v>
      </c>
      <c r="CC30" s="56"/>
      <c r="CD30" s="56"/>
      <c r="CE30" s="56"/>
      <c r="CF30" s="56"/>
      <c r="CG30" s="56"/>
      <c r="CH30" s="56"/>
      <c r="CI30" s="103">
        <f t="shared" si="3"/>
        <v>0.1</v>
      </c>
      <c r="CJ30" s="103">
        <f t="shared" si="4"/>
        <v>-1</v>
      </c>
      <c r="CK30" s="57">
        <f t="shared" si="9"/>
        <v>0.4383142125060826</v>
      </c>
      <c r="CL30" s="160">
        <f t="shared" si="13"/>
        <v>10.9732178175967</v>
      </c>
      <c r="CM30" s="160"/>
      <c r="CN30" s="160"/>
      <c r="CO30" s="55" t="s">
        <v>273</v>
      </c>
      <c r="CP30" s="156" t="s">
        <v>274</v>
      </c>
      <c r="CQ30" s="149" t="s">
        <v>272</v>
      </c>
      <c r="CR30" s="349"/>
      <c r="CS30" s="61" t="s">
        <v>539</v>
      </c>
      <c r="CT30" s="61"/>
      <c r="CU30" s="111">
        <f t="shared" si="6"/>
        <v>1126.5772080913277</v>
      </c>
      <c r="CV30" s="331">
        <f t="shared" si="10"/>
        <v>45</v>
      </c>
      <c r="CW30" s="326">
        <f t="shared" si="7"/>
        <v>1</v>
      </c>
      <c r="CX30" s="326"/>
      <c r="CY30" s="161" t="s">
        <v>6351</v>
      </c>
    </row>
    <row r="31" spans="1:103" ht="11.25" customHeight="1" x14ac:dyDescent="0.2">
      <c r="A31" s="72">
        <v>29</v>
      </c>
      <c r="B31" s="149">
        <v>14</v>
      </c>
      <c r="C31" s="54" t="s">
        <v>338</v>
      </c>
      <c r="D31" s="54"/>
      <c r="E31" s="59"/>
      <c r="F31" s="150" t="str">
        <f>HYPERLINK("http://www.sigmaaldrich.com/catalog/Lookup.do?N5=CAS+No.&amp;N3=mode+matchpartialmax&amp;N4=65-19-0&amp;D7=0&amp;D10=&amp;N25=0&amp;N1=S_ID&amp;ST=RS&amp;F=PR","65-19-0")</f>
        <v>65-19-0</v>
      </c>
      <c r="G31" s="151">
        <v>65190</v>
      </c>
      <c r="H31" s="55" t="s">
        <v>339</v>
      </c>
      <c r="I31" s="55" t="s">
        <v>8280</v>
      </c>
      <c r="J31" s="55" t="s">
        <v>340</v>
      </c>
      <c r="K31" s="55" t="s">
        <v>341</v>
      </c>
      <c r="L31" s="64"/>
      <c r="M31" s="55"/>
      <c r="N31" s="60"/>
      <c r="O31" s="55"/>
      <c r="P31" s="67"/>
      <c r="Q31" s="67"/>
      <c r="R31" s="67"/>
      <c r="S31" s="67"/>
      <c r="T31" s="59">
        <v>390.9</v>
      </c>
      <c r="U31" s="153">
        <v>18.674852903555898</v>
      </c>
      <c r="V31" s="153">
        <v>2.021744691737017</v>
      </c>
      <c r="W31" s="153"/>
      <c r="X31" s="153">
        <v>18.674852903555898</v>
      </c>
      <c r="Y31" s="410"/>
      <c r="Z31" s="59">
        <v>0.75</v>
      </c>
      <c r="AA31" s="59"/>
      <c r="AB31" s="59"/>
      <c r="AC31" s="59"/>
      <c r="AD31" s="59"/>
      <c r="AE31" s="59"/>
      <c r="AF31" s="59"/>
      <c r="AG31" s="57">
        <v>8.3699999999999992</v>
      </c>
      <c r="AH31" s="103">
        <v>1.83E-24</v>
      </c>
      <c r="AI31" s="103"/>
      <c r="AJ31" s="62">
        <f t="shared" si="8"/>
        <v>-22.126115236582223</v>
      </c>
      <c r="AK31" s="62"/>
      <c r="AL31" s="62">
        <f t="shared" si="1"/>
        <v>-22.126115236582223</v>
      </c>
      <c r="AM31" s="62"/>
      <c r="AN31" s="154">
        <v>-3.26</v>
      </c>
      <c r="AO31" s="410"/>
      <c r="AP31" s="410"/>
      <c r="AQ31" s="154" t="s">
        <v>6311</v>
      </c>
      <c r="AR31" s="154" t="s">
        <v>6312</v>
      </c>
      <c r="AS31" s="149" t="s">
        <v>282</v>
      </c>
      <c r="AT31" s="58" t="s">
        <v>266</v>
      </c>
      <c r="AU31" s="155">
        <v>24</v>
      </c>
      <c r="AV31" s="155">
        <v>120</v>
      </c>
      <c r="AW31" s="155">
        <v>96</v>
      </c>
      <c r="AX31" s="155">
        <v>28</v>
      </c>
      <c r="AY31" s="155" t="s">
        <v>267</v>
      </c>
      <c r="AZ31" s="155" t="s">
        <v>268</v>
      </c>
      <c r="BA31" s="155">
        <v>48</v>
      </c>
      <c r="BB31" s="55" t="s">
        <v>269</v>
      </c>
      <c r="BC31" s="156" t="s">
        <v>270</v>
      </c>
      <c r="BD31" s="156" t="s">
        <v>8374</v>
      </c>
      <c r="BE31" s="155" t="s">
        <v>271</v>
      </c>
      <c r="BF31" s="155" t="s">
        <v>272</v>
      </c>
      <c r="BG31" s="155" t="s">
        <v>272</v>
      </c>
      <c r="BH31" s="155" t="s">
        <v>272</v>
      </c>
      <c r="BI31" s="157">
        <v>2.5581990278843694E-3</v>
      </c>
      <c r="BJ31" s="157">
        <v>4.0931184446149915</v>
      </c>
      <c r="BK31" s="56"/>
      <c r="BL31" s="103">
        <f t="shared" si="2"/>
        <v>10.894943941928211</v>
      </c>
      <c r="BM31" s="56">
        <v>0</v>
      </c>
      <c r="BN31" s="56"/>
      <c r="BO31" s="56"/>
      <c r="BP31" s="56"/>
      <c r="BQ31" s="56"/>
      <c r="BR31" s="56"/>
      <c r="BS31" s="56"/>
      <c r="BT31" s="56"/>
      <c r="BU31" s="158"/>
      <c r="BV31" s="56"/>
      <c r="BW31" s="56"/>
      <c r="BX31" s="56"/>
      <c r="BY31" s="56"/>
      <c r="BZ31" s="56">
        <v>0.65</v>
      </c>
      <c r="CA31" s="56">
        <v>0.38</v>
      </c>
      <c r="CB31" s="56">
        <v>0.24</v>
      </c>
      <c r="CC31" s="56"/>
      <c r="CD31" s="56"/>
      <c r="CE31" s="56"/>
      <c r="CF31" s="56"/>
      <c r="CG31" s="56"/>
      <c r="CH31" s="56"/>
      <c r="CI31" s="103">
        <f t="shared" si="3"/>
        <v>0.24</v>
      </c>
      <c r="CJ31" s="103">
        <f t="shared" si="4"/>
        <v>-0.61978875828839397</v>
      </c>
      <c r="CK31" s="57">
        <f t="shared" si="9"/>
        <v>2.661770991812336</v>
      </c>
      <c r="CL31" s="160">
        <f t="shared" si="13"/>
        <v>45.395599758034216</v>
      </c>
      <c r="CM31" s="160"/>
      <c r="CN31" s="160"/>
      <c r="CO31" s="55" t="s">
        <v>273</v>
      </c>
      <c r="CP31" s="156" t="s">
        <v>274</v>
      </c>
      <c r="CQ31" s="149" t="s">
        <v>272</v>
      </c>
      <c r="CR31" s="349"/>
      <c r="CS31" s="61" t="s">
        <v>539</v>
      </c>
      <c r="CT31" s="61"/>
      <c r="CU31" s="111">
        <f t="shared" si="6"/>
        <v>77.811887098149583</v>
      </c>
      <c r="CV31" s="331">
        <f t="shared" si="10"/>
        <v>4.5625</v>
      </c>
      <c r="CW31" s="326">
        <f t="shared" si="7"/>
        <v>1</v>
      </c>
      <c r="CX31" s="326"/>
      <c r="CY31" s="161" t="s">
        <v>5921</v>
      </c>
    </row>
    <row r="32" spans="1:103" ht="11.25" customHeight="1" x14ac:dyDescent="0.2">
      <c r="A32" s="72">
        <v>30</v>
      </c>
      <c r="B32" s="149">
        <v>1081</v>
      </c>
      <c r="C32" s="54" t="s">
        <v>3033</v>
      </c>
      <c r="D32" s="54" t="s">
        <v>8357</v>
      </c>
      <c r="E32" s="59"/>
      <c r="F32" s="59" t="s">
        <v>665</v>
      </c>
      <c r="G32" s="151">
        <v>66819</v>
      </c>
      <c r="H32" s="55" t="s">
        <v>666</v>
      </c>
      <c r="I32" s="55" t="s">
        <v>666</v>
      </c>
      <c r="J32" s="55" t="s">
        <v>667</v>
      </c>
      <c r="K32" s="55" t="s">
        <v>668</v>
      </c>
      <c r="L32" s="55"/>
      <c r="M32" s="55"/>
      <c r="N32" s="60"/>
      <c r="O32" s="55"/>
      <c r="P32" s="67"/>
      <c r="Q32" s="67"/>
      <c r="R32" s="67"/>
      <c r="S32" s="67"/>
      <c r="T32" s="56">
        <v>281.35000000000002</v>
      </c>
      <c r="U32" s="103">
        <v>74.640127954505061</v>
      </c>
      <c r="V32" s="103">
        <v>18.969255375866357</v>
      </c>
      <c r="W32" s="103">
        <v>29.512092266663846</v>
      </c>
      <c r="X32" s="103">
        <v>74.640127954505061</v>
      </c>
      <c r="Y32" s="162">
        <v>6.54</v>
      </c>
      <c r="Z32" s="56">
        <v>0.08</v>
      </c>
      <c r="AA32" s="56">
        <v>0.55000000000000004</v>
      </c>
      <c r="AB32" s="56">
        <v>0.96</v>
      </c>
      <c r="AC32" s="56">
        <v>0.76439999999999997</v>
      </c>
      <c r="AD32" s="56">
        <v>0.83</v>
      </c>
      <c r="AE32" s="56">
        <v>0.56000000000000005</v>
      </c>
      <c r="AF32" s="56">
        <f>IF(AA32=0,AD32,AA32)</f>
        <v>0.55000000000000004</v>
      </c>
      <c r="AG32" s="57">
        <v>0.8</v>
      </c>
      <c r="AH32" s="103">
        <v>3.52E-15</v>
      </c>
      <c r="AI32" s="103"/>
      <c r="AJ32" s="62">
        <f t="shared" si="8"/>
        <v>-12.842023662834521</v>
      </c>
      <c r="AK32" s="62"/>
      <c r="AL32" s="62">
        <f t="shared" si="1"/>
        <v>-12.842023662834521</v>
      </c>
      <c r="AM32" s="62">
        <v>-17.743000000000002</v>
      </c>
      <c r="AN32" s="154">
        <v>-11.6</v>
      </c>
      <c r="AO32" s="410">
        <v>11.61</v>
      </c>
      <c r="AP32" s="410">
        <v>-4.79</v>
      </c>
      <c r="AQ32" s="56" t="s">
        <v>6311</v>
      </c>
      <c r="AR32" s="56" t="s">
        <v>6311</v>
      </c>
      <c r="AS32" s="155"/>
      <c r="AT32" s="58" t="s">
        <v>266</v>
      </c>
      <c r="AU32" s="56">
        <v>6</v>
      </c>
      <c r="AV32" s="56">
        <v>120</v>
      </c>
      <c r="AW32" s="56">
        <v>114</v>
      </c>
      <c r="AX32" s="56">
        <v>28</v>
      </c>
      <c r="AY32" s="56" t="s">
        <v>8728</v>
      </c>
      <c r="AZ32" s="56" t="s">
        <v>1563</v>
      </c>
      <c r="BA32" s="56">
        <v>32</v>
      </c>
      <c r="BB32" s="55" t="s">
        <v>2485</v>
      </c>
      <c r="BC32" s="55" t="s">
        <v>8726</v>
      </c>
      <c r="BD32" s="55" t="s">
        <v>8374</v>
      </c>
      <c r="BE32" s="56" t="s">
        <v>2449</v>
      </c>
      <c r="BF32" s="56" t="s">
        <v>272</v>
      </c>
      <c r="BG32" s="56" t="s">
        <v>272</v>
      </c>
      <c r="BH32" s="56" t="s">
        <v>2486</v>
      </c>
      <c r="BI32" s="103">
        <v>6.3999999999999997E-6</v>
      </c>
      <c r="BJ32" s="103">
        <v>6.4000000000000001E-2</v>
      </c>
      <c r="BK32" s="56"/>
      <c r="BL32" s="103">
        <f t="shared" si="2"/>
        <v>43.546374179437244</v>
      </c>
      <c r="BM32" s="56" t="s">
        <v>2046</v>
      </c>
      <c r="BN32" s="56">
        <v>20.238577029999998</v>
      </c>
      <c r="BO32" s="56"/>
      <c r="BP32" s="56"/>
      <c r="BQ32" s="56"/>
      <c r="BR32" s="55"/>
      <c r="BS32" s="56"/>
      <c r="BT32" s="56"/>
      <c r="BU32" s="158">
        <v>6.4000000000000001E-2</v>
      </c>
      <c r="BV32" s="56"/>
      <c r="BW32" s="56"/>
      <c r="BX32" s="56"/>
      <c r="BY32" s="56"/>
      <c r="BZ32" s="56"/>
      <c r="CA32" s="56"/>
      <c r="CB32" s="56"/>
      <c r="CC32" s="56"/>
      <c r="CD32" s="56"/>
      <c r="CE32" s="56"/>
      <c r="CF32" s="56"/>
      <c r="CG32" s="56"/>
      <c r="CH32" s="56"/>
      <c r="CI32" s="103">
        <f t="shared" si="3"/>
        <v>6.4000000000000001E-2</v>
      </c>
      <c r="CJ32" s="103">
        <f t="shared" si="4"/>
        <v>-1.1938200260161129</v>
      </c>
      <c r="CK32" s="57">
        <f t="shared" si="9"/>
        <v>680.41209655370687</v>
      </c>
      <c r="CL32" s="160">
        <f t="shared" si="13"/>
        <v>680.41209655370687</v>
      </c>
      <c r="CM32" s="160"/>
      <c r="CN32" s="160"/>
      <c r="CO32" s="55" t="s">
        <v>2488</v>
      </c>
      <c r="CP32" s="55" t="s">
        <v>2489</v>
      </c>
      <c r="CQ32" s="149" t="s">
        <v>272</v>
      </c>
      <c r="CR32" s="349"/>
      <c r="CS32" s="61" t="s">
        <v>539</v>
      </c>
      <c r="CT32" s="61"/>
      <c r="CU32" s="111">
        <f t="shared" si="6"/>
        <v>1166.2519992891416</v>
      </c>
      <c r="CV32" s="331">
        <f t="shared" si="10"/>
        <v>1166.2519992891416</v>
      </c>
      <c r="CW32" s="326">
        <f t="shared" si="7"/>
        <v>1</v>
      </c>
      <c r="CX32" s="326"/>
      <c r="CY32" s="161" t="s">
        <v>5921</v>
      </c>
    </row>
    <row r="33" spans="1:103" ht="11.25" customHeight="1" x14ac:dyDescent="0.2">
      <c r="A33" s="72">
        <v>31</v>
      </c>
      <c r="B33" s="149">
        <v>966</v>
      </c>
      <c r="C33" s="54" t="s">
        <v>2756</v>
      </c>
      <c r="D33" s="54"/>
      <c r="E33" s="59"/>
      <c r="F33" s="59" t="s">
        <v>2757</v>
      </c>
      <c r="G33" s="151">
        <v>67301</v>
      </c>
      <c r="H33" s="55" t="s">
        <v>2758</v>
      </c>
      <c r="I33" s="55" t="s">
        <v>2758</v>
      </c>
      <c r="J33" s="55"/>
      <c r="K33" s="55" t="s">
        <v>349</v>
      </c>
      <c r="L33" s="55"/>
      <c r="M33" s="55"/>
      <c r="N33" s="60"/>
      <c r="O33" s="55"/>
      <c r="P33" s="67"/>
      <c r="Q33" s="67"/>
      <c r="R33" s="67"/>
      <c r="S33" s="67"/>
      <c r="T33" s="56">
        <v>747.84</v>
      </c>
      <c r="U33" s="103"/>
      <c r="V33" s="103">
        <v>3.0955819426615314E-7</v>
      </c>
      <c r="W33" s="103">
        <v>9.7723722095581066E-3</v>
      </c>
      <c r="X33" s="103">
        <f>IF(W33=0,V33,W33)</f>
        <v>9.7723722095581066E-3</v>
      </c>
      <c r="Y33" s="162">
        <v>5.04</v>
      </c>
      <c r="Z33" s="56">
        <v>6.83</v>
      </c>
      <c r="AA33" s="56"/>
      <c r="AB33" s="56">
        <v>5.89</v>
      </c>
      <c r="AC33" s="56">
        <v>0.59489999999999998</v>
      </c>
      <c r="AD33" s="56">
        <v>6.07</v>
      </c>
      <c r="AE33" s="56">
        <v>6.32</v>
      </c>
      <c r="AF33" s="56">
        <f>IF(AA33=0,AD33,AA33)</f>
        <v>6.07</v>
      </c>
      <c r="AG33" s="57">
        <v>6.07</v>
      </c>
      <c r="AH33" s="103">
        <v>2.8999999999999998E-16</v>
      </c>
      <c r="AI33" s="103"/>
      <c r="AJ33" s="62">
        <f t="shared" si="8"/>
        <v>-13.926168328413695</v>
      </c>
      <c r="AK33" s="62"/>
      <c r="AL33" s="62">
        <f t="shared" si="1"/>
        <v>-13.926168328413695</v>
      </c>
      <c r="AM33" s="62">
        <v>-19.126529999999999</v>
      </c>
      <c r="AN33" s="154"/>
      <c r="AO33" s="410">
        <v>3.98</v>
      </c>
      <c r="AP33" s="410"/>
      <c r="AQ33" s="56" t="s">
        <v>6311</v>
      </c>
      <c r="AR33" s="56" t="s">
        <v>6311</v>
      </c>
      <c r="AS33" s="155"/>
      <c r="AT33" s="58" t="s">
        <v>266</v>
      </c>
      <c r="AU33" s="56">
        <v>6</v>
      </c>
      <c r="AV33" s="56">
        <v>120</v>
      </c>
      <c r="AW33" s="56">
        <v>114</v>
      </c>
      <c r="AX33" s="56">
        <v>28</v>
      </c>
      <c r="AY33" s="56" t="s">
        <v>8728</v>
      </c>
      <c r="AZ33" s="56" t="s">
        <v>1563</v>
      </c>
      <c r="BA33" s="56">
        <v>32</v>
      </c>
      <c r="BB33" s="55" t="s">
        <v>2485</v>
      </c>
      <c r="BC33" s="55" t="s">
        <v>8726</v>
      </c>
      <c r="BD33" s="55" t="s">
        <v>8374</v>
      </c>
      <c r="BE33" s="56" t="s">
        <v>2449</v>
      </c>
      <c r="BF33" s="56" t="s">
        <v>272</v>
      </c>
      <c r="BG33" s="56" t="s">
        <v>272</v>
      </c>
      <c r="BH33" s="56" t="s">
        <v>2486</v>
      </c>
      <c r="BI33" s="103">
        <v>6.3999999999999997E-6</v>
      </c>
      <c r="BJ33" s="103">
        <v>6.4000000000000001E-2</v>
      </c>
      <c r="BK33" s="56"/>
      <c r="BL33" s="103">
        <f t="shared" si="2"/>
        <v>3.7737836625394567E-5</v>
      </c>
      <c r="BM33" s="56" t="s">
        <v>2046</v>
      </c>
      <c r="BN33" s="56"/>
      <c r="BO33" s="56"/>
      <c r="BP33" s="56"/>
      <c r="BQ33" s="56"/>
      <c r="BR33" s="55"/>
      <c r="BS33" s="56"/>
      <c r="BT33" s="56"/>
      <c r="BU33" s="158">
        <v>4.2880000000000001E-4</v>
      </c>
      <c r="BV33" s="56"/>
      <c r="BW33" s="56"/>
      <c r="BX33" s="56"/>
      <c r="BY33" s="56"/>
      <c r="BZ33" s="56"/>
      <c r="CA33" s="56"/>
      <c r="CB33" s="56"/>
      <c r="CC33" s="56"/>
      <c r="CD33" s="56"/>
      <c r="CE33" s="56"/>
      <c r="CF33" s="56"/>
      <c r="CG33" s="56"/>
      <c r="CH33" s="56"/>
      <c r="CI33" s="103">
        <f t="shared" si="3"/>
        <v>4.2880000000000001E-4</v>
      </c>
      <c r="CJ33" s="103">
        <f t="shared" si="4"/>
        <v>-3.3677452233152865</v>
      </c>
      <c r="CK33" s="57">
        <f t="shared" si="9"/>
        <v>5.896536972717901E-4</v>
      </c>
      <c r="CL33" s="160">
        <f t="shared" si="13"/>
        <v>8.8008014518177621E-2</v>
      </c>
      <c r="CM33" s="160"/>
      <c r="CN33" s="160"/>
      <c r="CO33" s="55" t="s">
        <v>2488</v>
      </c>
      <c r="CP33" s="55" t="s">
        <v>2489</v>
      </c>
      <c r="CQ33" s="149" t="s">
        <v>272</v>
      </c>
      <c r="CR33" s="349"/>
      <c r="CS33" s="61" t="s">
        <v>539</v>
      </c>
      <c r="CT33" s="61"/>
      <c r="CU33" s="111">
        <f t="shared" si="6"/>
        <v>22.790047130499314</v>
      </c>
      <c r="CV33" s="331">
        <f t="shared" si="10"/>
        <v>0.15269331577434542</v>
      </c>
      <c r="CW33" s="326">
        <f t="shared" si="7"/>
        <v>1</v>
      </c>
      <c r="CX33" s="326"/>
      <c r="CY33" s="161" t="s">
        <v>5921</v>
      </c>
    </row>
    <row r="34" spans="1:103" ht="11.25" customHeight="1" x14ac:dyDescent="0.2">
      <c r="A34" s="72">
        <v>32</v>
      </c>
      <c r="B34" s="149">
        <v>113</v>
      </c>
      <c r="C34" s="54" t="s">
        <v>700</v>
      </c>
      <c r="D34" s="54" t="s">
        <v>6552</v>
      </c>
      <c r="E34" s="59"/>
      <c r="F34" s="59" t="s">
        <v>701</v>
      </c>
      <c r="G34" s="151">
        <v>112345</v>
      </c>
      <c r="H34" s="55" t="s">
        <v>702</v>
      </c>
      <c r="I34" s="55" t="s">
        <v>702</v>
      </c>
      <c r="J34" s="55" t="s">
        <v>703</v>
      </c>
      <c r="K34" s="55" t="s">
        <v>426</v>
      </c>
      <c r="L34" s="55" t="s">
        <v>5527</v>
      </c>
      <c r="M34" s="55" t="s">
        <v>6082</v>
      </c>
      <c r="N34" s="55" t="s">
        <v>6082</v>
      </c>
      <c r="O34" s="55" t="s">
        <v>6083</v>
      </c>
      <c r="P34" s="67" t="s">
        <v>6183</v>
      </c>
      <c r="Q34" s="67" t="s">
        <v>6176</v>
      </c>
      <c r="R34" s="67" t="s">
        <v>6185</v>
      </c>
      <c r="S34" s="67" t="s">
        <v>6176</v>
      </c>
      <c r="T34" s="56">
        <v>162.22999999999999</v>
      </c>
      <c r="U34" s="103">
        <v>6164.0880231769715</v>
      </c>
      <c r="V34" s="103">
        <v>443.32121062688776</v>
      </c>
      <c r="W34" s="103">
        <v>794.32823472428151</v>
      </c>
      <c r="X34" s="103">
        <v>6164.0880231769715</v>
      </c>
      <c r="Y34" s="162">
        <v>6.94</v>
      </c>
      <c r="Z34" s="56">
        <v>0.28999999999999998</v>
      </c>
      <c r="AA34" s="56">
        <v>0.56000000000000005</v>
      </c>
      <c r="AB34" s="56">
        <v>0.59</v>
      </c>
      <c r="AC34" s="56">
        <v>0.8196</v>
      </c>
      <c r="AD34" s="56">
        <v>0.55000000000000004</v>
      </c>
      <c r="AE34" s="56">
        <v>0.44</v>
      </c>
      <c r="AF34" s="56">
        <f>IF(AA34=0,AD34,AA34)</f>
        <v>0.56000000000000005</v>
      </c>
      <c r="AG34" s="57">
        <v>0.89</v>
      </c>
      <c r="AH34" s="103">
        <v>1.5199999999999999E-9</v>
      </c>
      <c r="AI34" s="103">
        <v>7.2E-9</v>
      </c>
      <c r="AJ34" s="62">
        <f t="shared" si="8"/>
        <v>-7.2067227383678789</v>
      </c>
      <c r="AK34" s="62">
        <f>LOG10(AI34*1000/(0.08206*298.15))</f>
        <v>-6.5312338298813835</v>
      </c>
      <c r="AL34" s="62">
        <f t="shared" si="1"/>
        <v>-6.5312338298813835</v>
      </c>
      <c r="AM34" s="62">
        <v>-7.0506599999999997</v>
      </c>
      <c r="AN34" s="154">
        <v>-5.8</v>
      </c>
      <c r="AO34" s="410">
        <v>14.37</v>
      </c>
      <c r="AP34" s="410"/>
      <c r="AQ34" s="154" t="s">
        <v>6311</v>
      </c>
      <c r="AR34" s="154" t="s">
        <v>6311</v>
      </c>
      <c r="AS34" s="149" t="s">
        <v>6</v>
      </c>
      <c r="AT34" s="58" t="s">
        <v>266</v>
      </c>
      <c r="AU34" s="56">
        <v>0</v>
      </c>
      <c r="AV34" s="56" t="s">
        <v>646</v>
      </c>
      <c r="AW34" s="56" t="s">
        <v>646</v>
      </c>
      <c r="AX34" s="56">
        <v>26</v>
      </c>
      <c r="AY34" s="56" t="s">
        <v>647</v>
      </c>
      <c r="AZ34" s="56" t="s">
        <v>536</v>
      </c>
      <c r="BA34" s="56">
        <v>20</v>
      </c>
      <c r="BB34" s="55" t="s">
        <v>537</v>
      </c>
      <c r="BC34" s="55" t="s">
        <v>648</v>
      </c>
      <c r="BD34" s="55"/>
      <c r="BE34" s="155" t="s">
        <v>649</v>
      </c>
      <c r="BF34" s="155" t="s">
        <v>650</v>
      </c>
      <c r="BG34" s="155" t="s">
        <v>540</v>
      </c>
      <c r="BH34" s="155" t="s">
        <v>272</v>
      </c>
      <c r="BI34" s="103">
        <v>3.7</v>
      </c>
      <c r="BJ34" s="103">
        <v>10.5</v>
      </c>
      <c r="BK34" s="56"/>
      <c r="BL34" s="103">
        <f t="shared" si="2"/>
        <v>28.206616898450342</v>
      </c>
      <c r="BM34" s="56" t="s">
        <v>541</v>
      </c>
      <c r="BN34" s="56"/>
      <c r="BO34" s="56">
        <v>7.9</v>
      </c>
      <c r="BP34" s="56"/>
      <c r="BQ34" s="56"/>
      <c r="BR34" s="56">
        <v>7.9</v>
      </c>
      <c r="BS34" s="56"/>
      <c r="BT34" s="56"/>
      <c r="BU34" s="158"/>
      <c r="BV34" s="56"/>
      <c r="BW34" s="56"/>
      <c r="BX34" s="56"/>
      <c r="BY34" s="56"/>
      <c r="BZ34" s="56"/>
      <c r="CA34" s="56"/>
      <c r="CB34" s="56"/>
      <c r="CC34" s="56"/>
      <c r="CD34" s="56"/>
      <c r="CE34" s="56"/>
      <c r="CF34" s="56"/>
      <c r="CG34" s="56"/>
      <c r="CH34" s="56"/>
      <c r="CI34" s="103">
        <f t="shared" si="3"/>
        <v>7.9</v>
      </c>
      <c r="CJ34" s="103">
        <f t="shared" si="4"/>
        <v>0.89762709129044149</v>
      </c>
      <c r="CK34" s="57">
        <f t="shared" si="9"/>
        <v>2.6863444665190803</v>
      </c>
      <c r="CL34" s="160">
        <f t="shared" si="13"/>
        <v>3.5704578352468785</v>
      </c>
      <c r="CM34" s="160"/>
      <c r="CN34" s="160"/>
      <c r="CO34" s="55"/>
      <c r="CP34" s="55" t="s">
        <v>651</v>
      </c>
      <c r="CQ34" s="149">
        <v>0.90381218412270081</v>
      </c>
      <c r="CR34" s="349">
        <f>10^(CJ34-CQ34)</f>
        <v>0.98585923076923099</v>
      </c>
      <c r="CS34" s="61" t="s">
        <v>539</v>
      </c>
      <c r="CT34" s="61"/>
      <c r="CU34" s="111">
        <f t="shared" si="6"/>
        <v>780.2643067312622</v>
      </c>
      <c r="CV34" s="331">
        <f t="shared" si="10"/>
        <v>587.05600220733061</v>
      </c>
      <c r="CW34" s="326">
        <f t="shared" si="7"/>
        <v>1</v>
      </c>
      <c r="CX34" s="326"/>
      <c r="CY34" s="161" t="s">
        <v>6351</v>
      </c>
    </row>
    <row r="35" spans="1:103" ht="11.25" customHeight="1" x14ac:dyDescent="0.2">
      <c r="A35" s="72">
        <v>33</v>
      </c>
      <c r="B35" s="149">
        <v>47</v>
      </c>
      <c r="C35" s="54" t="s">
        <v>476</v>
      </c>
      <c r="D35" s="54"/>
      <c r="E35" s="59"/>
      <c r="F35" s="150" t="str">
        <f>HYPERLINK("http://www.sigmaaldrich.com/catalog/Lookup.do?N5=CAS+No.&amp;N3=mode+matchpartialmax&amp;N4=69-09-0&amp;D7=0&amp;D10=&amp;N25=0&amp;N1=S_ID&amp;ST=RS&amp;F=PR","69-09-0")</f>
        <v>69-09-0</v>
      </c>
      <c r="G35" s="151">
        <v>69090</v>
      </c>
      <c r="H35" s="55" t="s">
        <v>477</v>
      </c>
      <c r="I35" s="55" t="s">
        <v>8281</v>
      </c>
      <c r="J35" s="55" t="s">
        <v>478</v>
      </c>
      <c r="K35" s="55" t="s">
        <v>426</v>
      </c>
      <c r="L35" s="64"/>
      <c r="M35" s="55"/>
      <c r="N35" s="60"/>
      <c r="O35" s="55"/>
      <c r="P35" s="67"/>
      <c r="Q35" s="67"/>
      <c r="R35" s="67"/>
      <c r="S35" s="67"/>
      <c r="T35" s="59">
        <v>355.33</v>
      </c>
      <c r="U35" s="153"/>
      <c r="V35" s="153">
        <v>8.9184701545042639E-4</v>
      </c>
      <c r="W35" s="153"/>
      <c r="X35" s="153">
        <f>IF(W35=0,V35,W35)</f>
        <v>8.9184701545042639E-4</v>
      </c>
      <c r="Y35" s="410"/>
      <c r="Z35" s="59">
        <v>3.69</v>
      </c>
      <c r="AA35" s="59"/>
      <c r="AB35" s="59"/>
      <c r="AC35" s="59"/>
      <c r="AD35" s="59"/>
      <c r="AE35" s="59"/>
      <c r="AF35" s="59"/>
      <c r="AG35" s="57">
        <v>3.31</v>
      </c>
      <c r="AH35" s="103">
        <v>2.3300000000000001E-17</v>
      </c>
      <c r="AI35" s="103"/>
      <c r="AJ35" s="62">
        <f t="shared" si="8"/>
        <v>-15.021210405286633</v>
      </c>
      <c r="AK35" s="62"/>
      <c r="AL35" s="62">
        <f t="shared" ref="AL35:AL53" si="14">IF(AK35=0,AJ35,AK35)</f>
        <v>-15.021210405286633</v>
      </c>
      <c r="AM35" s="62"/>
      <c r="AN35" s="154">
        <v>-24.9</v>
      </c>
      <c r="AO35" s="410"/>
      <c r="AP35" s="410"/>
      <c r="AQ35" s="154" t="s">
        <v>6311</v>
      </c>
      <c r="AR35" s="154" t="s">
        <v>6311</v>
      </c>
      <c r="AS35" s="149" t="s">
        <v>289</v>
      </c>
      <c r="AT35" s="58" t="s">
        <v>266</v>
      </c>
      <c r="AU35" s="155">
        <v>24</v>
      </c>
      <c r="AV35" s="155">
        <v>120</v>
      </c>
      <c r="AW35" s="155">
        <v>96</v>
      </c>
      <c r="AX35" s="155">
        <v>28</v>
      </c>
      <c r="AY35" s="155" t="s">
        <v>267</v>
      </c>
      <c r="AZ35" s="155" t="s">
        <v>268</v>
      </c>
      <c r="BA35" s="155">
        <v>48</v>
      </c>
      <c r="BB35" s="55" t="s">
        <v>269</v>
      </c>
      <c r="BC35" s="156" t="s">
        <v>270</v>
      </c>
      <c r="BD35" s="156" t="s">
        <v>8374</v>
      </c>
      <c r="BE35" s="155" t="s">
        <v>271</v>
      </c>
      <c r="BF35" s="155" t="s">
        <v>272</v>
      </c>
      <c r="BG35" s="155" t="s">
        <v>272</v>
      </c>
      <c r="BH35" s="155" t="s">
        <v>272</v>
      </c>
      <c r="BI35" s="157">
        <v>2.8142853122449557E-3</v>
      </c>
      <c r="BJ35" s="157">
        <v>2.8142853122449556</v>
      </c>
      <c r="BK35" s="56"/>
      <c r="BL35" s="103">
        <f t="shared" ref="BL35:BL53" si="15">10^((-0.8981*Z35)+1.7108)</f>
        <v>2.4935093439899008E-2</v>
      </c>
      <c r="BM35" s="56">
        <v>0</v>
      </c>
      <c r="BN35" s="56"/>
      <c r="BO35" s="56"/>
      <c r="BP35" s="56"/>
      <c r="BQ35" s="56"/>
      <c r="BR35" s="56"/>
      <c r="BS35" s="56"/>
      <c r="BT35" s="56"/>
      <c r="BU35" s="158"/>
      <c r="BV35" s="56"/>
      <c r="BW35" s="56"/>
      <c r="BX35" s="56"/>
      <c r="BY35" s="56">
        <v>0.02</v>
      </c>
      <c r="BZ35" s="56">
        <v>0.02</v>
      </c>
      <c r="CA35" s="56">
        <v>0.02</v>
      </c>
      <c r="CB35" s="56">
        <v>0.02</v>
      </c>
      <c r="CC35" s="56"/>
      <c r="CD35" s="56"/>
      <c r="CE35" s="56"/>
      <c r="CF35" s="56"/>
      <c r="CG35" s="56"/>
      <c r="CH35" s="56"/>
      <c r="CI35" s="103">
        <f t="shared" si="3"/>
        <v>0.02</v>
      </c>
      <c r="CJ35" s="103">
        <f t="shared" si="4"/>
        <v>-1.6989700043360187</v>
      </c>
      <c r="CK35" s="57">
        <f t="shared" si="9"/>
        <v>8.8601867519993143E-3</v>
      </c>
      <c r="CL35" s="160">
        <f t="shared" si="13"/>
        <v>1.2467546719949503</v>
      </c>
      <c r="CM35" s="160"/>
      <c r="CN35" s="160"/>
      <c r="CO35" s="55" t="s">
        <v>273</v>
      </c>
      <c r="CP35" s="156" t="s">
        <v>274</v>
      </c>
      <c r="CQ35" s="149" t="s">
        <v>272</v>
      </c>
      <c r="CR35" s="349"/>
      <c r="CS35" s="61" t="s">
        <v>539</v>
      </c>
      <c r="CT35" s="61"/>
      <c r="CU35" s="111">
        <f t="shared" ref="CU35:CU53" si="16">X35/CI35</f>
        <v>4.4592350772521321E-2</v>
      </c>
      <c r="CV35" s="331">
        <f t="shared" si="10"/>
        <v>3.1690000000000001E-4</v>
      </c>
      <c r="CW35" s="326">
        <f t="shared" si="7"/>
        <v>0</v>
      </c>
      <c r="CX35" s="326"/>
      <c r="CY35" s="161" t="s">
        <v>5921</v>
      </c>
    </row>
    <row r="36" spans="1:103" ht="11.25" customHeight="1" x14ac:dyDescent="0.2">
      <c r="A36" s="72">
        <v>34</v>
      </c>
      <c r="B36" s="149">
        <v>1061</v>
      </c>
      <c r="C36" s="54" t="s">
        <v>476</v>
      </c>
      <c r="D36" s="54"/>
      <c r="E36" s="59"/>
      <c r="F36" s="59" t="s">
        <v>2991</v>
      </c>
      <c r="G36" s="151">
        <v>69090</v>
      </c>
      <c r="H36" s="55" t="s">
        <v>477</v>
      </c>
      <c r="I36" s="55" t="s">
        <v>8281</v>
      </c>
      <c r="J36" s="55" t="s">
        <v>2992</v>
      </c>
      <c r="K36" s="55" t="s">
        <v>426</v>
      </c>
      <c r="L36" s="55"/>
      <c r="M36" s="55"/>
      <c r="N36" s="60"/>
      <c r="O36" s="55"/>
      <c r="P36" s="67"/>
      <c r="Q36" s="67"/>
      <c r="R36" s="67"/>
      <c r="S36" s="67"/>
      <c r="T36" s="56">
        <v>355.33</v>
      </c>
      <c r="U36" s="103"/>
      <c r="V36" s="103">
        <v>8.9184701545042639E-4</v>
      </c>
      <c r="W36" s="103"/>
      <c r="X36" s="103">
        <f>IF(W36=0,V36,W36)</f>
        <v>8.9184701545042639E-4</v>
      </c>
      <c r="Y36" s="162"/>
      <c r="Z36" s="56">
        <v>3.69</v>
      </c>
      <c r="AA36" s="56"/>
      <c r="AB36" s="56"/>
      <c r="AC36" s="56"/>
      <c r="AD36" s="56"/>
      <c r="AE36" s="56"/>
      <c r="AF36" s="56"/>
      <c r="AG36" s="57">
        <v>5.05</v>
      </c>
      <c r="AH36" s="103">
        <v>2.3300000000000001E-17</v>
      </c>
      <c r="AI36" s="103"/>
      <c r="AJ36" s="62">
        <f t="shared" si="8"/>
        <v>-15.021210405286633</v>
      </c>
      <c r="AK36" s="62"/>
      <c r="AL36" s="62">
        <f t="shared" si="14"/>
        <v>-15.021210405286633</v>
      </c>
      <c r="AM36" s="62"/>
      <c r="AN36" s="154">
        <v>-10.3</v>
      </c>
      <c r="AO36" s="410"/>
      <c r="AP36" s="410"/>
      <c r="AQ36" s="56" t="s">
        <v>6311</v>
      </c>
      <c r="AR36" s="56" t="s">
        <v>6311</v>
      </c>
      <c r="AS36" s="155"/>
      <c r="AT36" s="58" t="s">
        <v>266</v>
      </c>
      <c r="AU36" s="56">
        <v>6</v>
      </c>
      <c r="AV36" s="56">
        <v>120</v>
      </c>
      <c r="AW36" s="56">
        <v>114</v>
      </c>
      <c r="AX36" s="56">
        <v>28</v>
      </c>
      <c r="AY36" s="56" t="s">
        <v>8728</v>
      </c>
      <c r="AZ36" s="56" t="s">
        <v>1563</v>
      </c>
      <c r="BA36" s="56">
        <v>32</v>
      </c>
      <c r="BB36" s="55" t="s">
        <v>2485</v>
      </c>
      <c r="BC36" s="55" t="s">
        <v>8726</v>
      </c>
      <c r="BD36" s="55" t="s">
        <v>8374</v>
      </c>
      <c r="BE36" s="56" t="s">
        <v>2449</v>
      </c>
      <c r="BF36" s="56" t="s">
        <v>272</v>
      </c>
      <c r="BG36" s="56" t="s">
        <v>272</v>
      </c>
      <c r="BH36" s="56" t="s">
        <v>2486</v>
      </c>
      <c r="BI36" s="103">
        <v>6.3999999999999997E-6</v>
      </c>
      <c r="BJ36" s="103">
        <v>6.4000000000000001E-2</v>
      </c>
      <c r="BK36" s="56"/>
      <c r="BL36" s="103">
        <f t="shared" si="15"/>
        <v>2.4935093439899008E-2</v>
      </c>
      <c r="BM36" s="56" t="s">
        <v>2046</v>
      </c>
      <c r="BN36" s="56">
        <v>20.238577029999998</v>
      </c>
      <c r="BO36" s="56"/>
      <c r="BP36" s="56"/>
      <c r="BQ36" s="56"/>
      <c r="BR36" s="55"/>
      <c r="BS36" s="56"/>
      <c r="BT36" s="56"/>
      <c r="BU36" s="158">
        <v>6.3999999999999997E-6</v>
      </c>
      <c r="BV36" s="56"/>
      <c r="BW36" s="56"/>
      <c r="BX36" s="56"/>
      <c r="BY36" s="56"/>
      <c r="BZ36" s="56"/>
      <c r="CA36" s="56"/>
      <c r="CB36" s="56"/>
      <c r="CC36" s="56"/>
      <c r="CD36" s="56"/>
      <c r="CE36" s="56"/>
      <c r="CF36" s="56"/>
      <c r="CG36" s="56"/>
      <c r="CH36" s="56"/>
      <c r="CI36" s="103">
        <f t="shared" si="3"/>
        <v>6.3999999999999997E-6</v>
      </c>
      <c r="CJ36" s="103">
        <f t="shared" si="4"/>
        <v>-5.1938200260161125</v>
      </c>
      <c r="CK36" s="57">
        <f t="shared" si="9"/>
        <v>0.38961083499842197</v>
      </c>
      <c r="CL36" s="160">
        <f t="shared" si="13"/>
        <v>3896.1083499842202</v>
      </c>
      <c r="CM36" s="160"/>
      <c r="CN36" s="160"/>
      <c r="CO36" s="55" t="s">
        <v>2488</v>
      </c>
      <c r="CP36" s="55" t="s">
        <v>2489</v>
      </c>
      <c r="CQ36" s="149" t="s">
        <v>272</v>
      </c>
      <c r="CR36" s="349"/>
      <c r="CS36" s="61" t="s">
        <v>539</v>
      </c>
      <c r="CT36" s="61"/>
      <c r="CU36" s="111">
        <f t="shared" si="16"/>
        <v>139.35109616412913</v>
      </c>
      <c r="CV36" s="331">
        <f t="shared" si="10"/>
        <v>1.3935109616412911E-2</v>
      </c>
      <c r="CW36" s="326">
        <f t="shared" si="7"/>
        <v>1</v>
      </c>
      <c r="CX36" s="326"/>
      <c r="CY36" s="161" t="s">
        <v>5921</v>
      </c>
    </row>
    <row r="37" spans="1:103" ht="11.25" customHeight="1" x14ac:dyDescent="0.2">
      <c r="A37" s="72">
        <v>35</v>
      </c>
      <c r="B37" s="149">
        <v>42</v>
      </c>
      <c r="C37" s="54" t="s">
        <v>451</v>
      </c>
      <c r="D37" s="54"/>
      <c r="E37" s="59"/>
      <c r="F37" s="59" t="s">
        <v>452</v>
      </c>
      <c r="G37" s="151">
        <v>69523</v>
      </c>
      <c r="H37" s="55" t="s">
        <v>453</v>
      </c>
      <c r="I37" s="55" t="s">
        <v>453</v>
      </c>
      <c r="J37" s="55" t="s">
        <v>454</v>
      </c>
      <c r="K37" s="55" t="s">
        <v>455</v>
      </c>
      <c r="L37" s="64"/>
      <c r="M37" s="55"/>
      <c r="N37" s="60"/>
      <c r="O37" s="55"/>
      <c r="P37" s="67"/>
      <c r="Q37" s="67"/>
      <c r="R37" s="67"/>
      <c r="S37" s="67"/>
      <c r="T37" s="59">
        <v>349.41</v>
      </c>
      <c r="U37" s="153">
        <v>21.636472911479348</v>
      </c>
      <c r="V37" s="153">
        <v>1.2572622420651955</v>
      </c>
      <c r="W37" s="153">
        <v>0.67608297539198126</v>
      </c>
      <c r="X37" s="153">
        <v>21.636472911479348</v>
      </c>
      <c r="Y37" s="410">
        <v>4.8499999999999996</v>
      </c>
      <c r="Z37" s="59">
        <v>1.45</v>
      </c>
      <c r="AA37" s="59">
        <v>1.35</v>
      </c>
      <c r="AB37" s="59">
        <v>0.81</v>
      </c>
      <c r="AC37" s="59">
        <v>0.8629</v>
      </c>
      <c r="AD37" s="59">
        <v>0.94</v>
      </c>
      <c r="AE37" s="59">
        <v>1.35</v>
      </c>
      <c r="AF37" s="59">
        <f t="shared" ref="AF37:AF53" si="17">IF(AA37=0,AD37,AA37)</f>
        <v>1.35</v>
      </c>
      <c r="AG37" s="57">
        <v>0.87</v>
      </c>
      <c r="AH37" s="103">
        <v>2.3900000000000001E-17</v>
      </c>
      <c r="AI37" s="103"/>
      <c r="AJ37" s="62">
        <f t="shared" ref="AJ37:AJ53" si="18">LOG10(AH37*1000/(0.08206*298.15))</f>
        <v>-15.010168425364514</v>
      </c>
      <c r="AK37" s="62"/>
      <c r="AL37" s="62">
        <f t="shared" si="14"/>
        <v>-15.010168425364514</v>
      </c>
      <c r="AM37" s="62">
        <v>-29.116879999999998</v>
      </c>
      <c r="AN37" s="154">
        <v>-31.1</v>
      </c>
      <c r="AO37" s="410">
        <v>2.44</v>
      </c>
      <c r="AP37" s="410">
        <v>6.81</v>
      </c>
      <c r="AQ37" s="154" t="s">
        <v>6311</v>
      </c>
      <c r="AR37" s="154" t="s">
        <v>6311</v>
      </c>
      <c r="AS37" s="149" t="s">
        <v>289</v>
      </c>
      <c r="AT37" s="58" t="s">
        <v>266</v>
      </c>
      <c r="AU37" s="155">
        <v>24</v>
      </c>
      <c r="AV37" s="155">
        <v>120</v>
      </c>
      <c r="AW37" s="155">
        <v>96</v>
      </c>
      <c r="AX37" s="155">
        <v>28</v>
      </c>
      <c r="AY37" s="155" t="s">
        <v>267</v>
      </c>
      <c r="AZ37" s="155" t="s">
        <v>268</v>
      </c>
      <c r="BA37" s="155">
        <v>48</v>
      </c>
      <c r="BB37" s="55" t="s">
        <v>269</v>
      </c>
      <c r="BC37" s="156" t="s">
        <v>270</v>
      </c>
      <c r="BD37" s="156" t="s">
        <v>8374</v>
      </c>
      <c r="BE37" s="155" t="s">
        <v>271</v>
      </c>
      <c r="BF37" s="155" t="s">
        <v>272</v>
      </c>
      <c r="BG37" s="155" t="s">
        <v>272</v>
      </c>
      <c r="BH37" s="155" t="s">
        <v>272</v>
      </c>
      <c r="BI37" s="157">
        <v>2.6925148088314489E-3</v>
      </c>
      <c r="BJ37" s="157">
        <v>10.770059235325794</v>
      </c>
      <c r="BK37" s="56"/>
      <c r="BL37" s="103">
        <f t="shared" si="15"/>
        <v>2.5618576827870614</v>
      </c>
      <c r="BM37" s="56">
        <v>0</v>
      </c>
      <c r="BN37" s="56"/>
      <c r="BO37" s="56"/>
      <c r="BP37" s="56"/>
      <c r="BQ37" s="56"/>
      <c r="BR37" s="56"/>
      <c r="BS37" s="56"/>
      <c r="BT37" s="56"/>
      <c r="BU37" s="158"/>
      <c r="BV37" s="56"/>
      <c r="BW37" s="56"/>
      <c r="BX37" s="56"/>
      <c r="BY37" s="56"/>
      <c r="BZ37" s="56"/>
      <c r="CA37" s="56"/>
      <c r="CB37" s="56">
        <v>16.34</v>
      </c>
      <c r="CC37" s="56"/>
      <c r="CD37" s="56"/>
      <c r="CE37" s="56"/>
      <c r="CF37" s="56"/>
      <c r="CG37" s="56"/>
      <c r="CH37" s="56"/>
      <c r="CI37" s="103">
        <f t="shared" si="3"/>
        <v>16.34</v>
      </c>
      <c r="CJ37" s="103">
        <f t="shared" si="4"/>
        <v>1.2132520521963968</v>
      </c>
      <c r="CK37" s="57">
        <f t="shared" si="9"/>
        <v>0.23786848584677864</v>
      </c>
      <c r="CL37" s="160">
        <f t="shared" si="13"/>
        <v>0.15678443591108088</v>
      </c>
      <c r="CM37" s="160"/>
      <c r="CN37" s="160"/>
      <c r="CO37" s="55" t="s">
        <v>273</v>
      </c>
      <c r="CP37" s="156" t="s">
        <v>274</v>
      </c>
      <c r="CQ37" s="149" t="s">
        <v>272</v>
      </c>
      <c r="CR37" s="349"/>
      <c r="CS37" s="61" t="s">
        <v>539</v>
      </c>
      <c r="CT37" s="61"/>
      <c r="CU37" s="111">
        <f t="shared" si="16"/>
        <v>1.3241415490501438</v>
      </c>
      <c r="CV37" s="331">
        <f t="shared" si="10"/>
        <v>2.0089465098308574</v>
      </c>
      <c r="CW37" s="326">
        <f t="shared" si="7"/>
        <v>0</v>
      </c>
      <c r="CX37" s="326"/>
      <c r="CY37" s="161" t="s">
        <v>5921</v>
      </c>
    </row>
    <row r="38" spans="1:103" ht="11.25" customHeight="1" x14ac:dyDescent="0.2">
      <c r="A38" s="72">
        <v>36</v>
      </c>
      <c r="B38" s="149">
        <v>1960</v>
      </c>
      <c r="C38" s="54" t="s">
        <v>4580</v>
      </c>
      <c r="D38" s="54" t="s">
        <v>6445</v>
      </c>
      <c r="E38" s="59"/>
      <c r="F38" s="167" t="s">
        <v>4581</v>
      </c>
      <c r="G38" s="151">
        <v>79061</v>
      </c>
      <c r="H38" s="67" t="s">
        <v>4582</v>
      </c>
      <c r="I38" s="67" t="s">
        <v>4582</v>
      </c>
      <c r="J38" s="67" t="s">
        <v>4583</v>
      </c>
      <c r="K38" s="67" t="s">
        <v>3832</v>
      </c>
      <c r="L38" s="67" t="s">
        <v>5527</v>
      </c>
      <c r="M38" s="67" t="s">
        <v>4294</v>
      </c>
      <c r="N38" s="60" t="s">
        <v>6088</v>
      </c>
      <c r="O38" s="67" t="s">
        <v>498</v>
      </c>
      <c r="P38" s="67"/>
      <c r="Q38" s="67" t="s">
        <v>6176</v>
      </c>
      <c r="R38" s="67" t="s">
        <v>6175</v>
      </c>
      <c r="S38" s="67" t="s">
        <v>6173</v>
      </c>
      <c r="T38" s="61">
        <v>71.08</v>
      </c>
      <c r="U38" s="111">
        <v>5486.7754642656164</v>
      </c>
      <c r="V38" s="111">
        <v>7090.6021384355654</v>
      </c>
      <c r="W38" s="111">
        <v>512.86138399136485</v>
      </c>
      <c r="X38" s="111">
        <v>5486.7754642656164</v>
      </c>
      <c r="Y38" s="411">
        <v>7.01</v>
      </c>
      <c r="Z38" s="61">
        <v>-0.81</v>
      </c>
      <c r="AA38" s="61">
        <v>-0.67</v>
      </c>
      <c r="AB38" s="61">
        <v>-0.64</v>
      </c>
      <c r="AC38" s="61">
        <v>0.87749999999999995</v>
      </c>
      <c r="AD38" s="61">
        <v>-0.67</v>
      </c>
      <c r="AE38" s="61">
        <v>-0.78</v>
      </c>
      <c r="AF38" s="61">
        <f t="shared" si="17"/>
        <v>-0.67</v>
      </c>
      <c r="AG38" s="62">
        <v>-0.25</v>
      </c>
      <c r="AH38" s="111">
        <v>5.8999999999999999E-9</v>
      </c>
      <c r="AI38" s="111">
        <v>1.6999999999999999E-9</v>
      </c>
      <c r="AJ38" s="62">
        <f t="shared" si="18"/>
        <v>-6.6177143146705077</v>
      </c>
      <c r="AK38" s="62">
        <f>LOG10(AI38*1000/(0.08206*298.15))</f>
        <v>-7.1581174049343783</v>
      </c>
      <c r="AL38" s="62">
        <f t="shared" si="14"/>
        <v>-7.1581174049343783</v>
      </c>
      <c r="AM38" s="62">
        <v>-7.9461899999999996</v>
      </c>
      <c r="AN38" s="163">
        <v>-7.8235000000000001</v>
      </c>
      <c r="AO38" s="410">
        <v>15.35</v>
      </c>
      <c r="AP38" s="410">
        <v>-0.83</v>
      </c>
      <c r="AQ38" s="163" t="s">
        <v>6311</v>
      </c>
      <c r="AR38" s="163" t="s">
        <v>6311</v>
      </c>
      <c r="AS38" s="164" t="s">
        <v>5466</v>
      </c>
      <c r="AT38" s="63" t="s">
        <v>266</v>
      </c>
      <c r="AU38" s="61">
        <v>2</v>
      </c>
      <c r="AV38" s="61">
        <v>96</v>
      </c>
      <c r="AW38" s="61">
        <v>94</v>
      </c>
      <c r="AX38" s="61">
        <v>26</v>
      </c>
      <c r="AY38" s="321" t="s">
        <v>267</v>
      </c>
      <c r="AZ38" s="61" t="s">
        <v>1584</v>
      </c>
      <c r="BA38" s="61">
        <v>15</v>
      </c>
      <c r="BB38" s="67" t="s">
        <v>6297</v>
      </c>
      <c r="BC38" s="67" t="s">
        <v>6227</v>
      </c>
      <c r="BD38" s="67"/>
      <c r="BE38" s="61" t="s">
        <v>2449</v>
      </c>
      <c r="BF38" s="61" t="s">
        <v>6203</v>
      </c>
      <c r="BG38" s="61" t="s">
        <v>6203</v>
      </c>
      <c r="BH38" s="61" t="s">
        <v>5626</v>
      </c>
      <c r="BI38" s="111">
        <v>1.56</v>
      </c>
      <c r="BJ38" s="111">
        <v>25</v>
      </c>
      <c r="BK38" s="165"/>
      <c r="BL38" s="111">
        <f t="shared" si="15"/>
        <v>274.32222838559966</v>
      </c>
      <c r="BM38" s="61">
        <v>0</v>
      </c>
      <c r="BN38" s="61"/>
      <c r="BO38" s="61"/>
      <c r="BP38" s="61"/>
      <c r="BQ38" s="61">
        <v>4.28</v>
      </c>
      <c r="BR38" s="61"/>
      <c r="BS38" s="61"/>
      <c r="BT38" s="61"/>
      <c r="BU38" s="158"/>
      <c r="BV38" s="61"/>
      <c r="BW38" s="61"/>
      <c r="BX38" s="61"/>
      <c r="BY38" s="61"/>
      <c r="BZ38" s="61"/>
      <c r="CA38" s="61"/>
      <c r="CB38" s="61"/>
      <c r="CC38" s="61"/>
      <c r="CD38" s="61"/>
      <c r="CE38" s="61"/>
      <c r="CF38" s="61"/>
      <c r="CG38" s="61"/>
      <c r="CH38" s="61"/>
      <c r="CI38" s="111">
        <f t="shared" si="3"/>
        <v>4.28</v>
      </c>
      <c r="CJ38" s="103">
        <f t="shared" si="4"/>
        <v>0.63144376901317201</v>
      </c>
      <c r="CK38" s="57">
        <f t="shared" si="9"/>
        <v>10.972889135423987</v>
      </c>
      <c r="CL38" s="160">
        <f t="shared" si="13"/>
        <v>64.09397859476627</v>
      </c>
      <c r="CM38" s="160">
        <v>0.14825258086673609</v>
      </c>
      <c r="CN38" s="160">
        <f>BJ38/(10^CM38)</f>
        <v>17.77</v>
      </c>
      <c r="CO38" s="67"/>
      <c r="CP38" s="67" t="s">
        <v>6194</v>
      </c>
      <c r="CQ38" s="149">
        <v>0.23341592602957781</v>
      </c>
      <c r="CR38" s="349">
        <f>10^(CJ38-CQ38)</f>
        <v>2.5005056660738498</v>
      </c>
      <c r="CS38" s="61" t="s">
        <v>539</v>
      </c>
      <c r="CT38" s="61"/>
      <c r="CU38" s="111">
        <f t="shared" si="16"/>
        <v>1281.9568841742093</v>
      </c>
      <c r="CV38" s="331">
        <f t="shared" si="10"/>
        <v>219.47101857062466</v>
      </c>
      <c r="CW38" s="326">
        <f t="shared" si="7"/>
        <v>1</v>
      </c>
      <c r="CX38" s="326"/>
      <c r="CY38" s="161" t="s">
        <v>6351</v>
      </c>
    </row>
    <row r="39" spans="1:103" ht="11.25" customHeight="1" x14ac:dyDescent="0.2">
      <c r="A39" s="72">
        <v>37</v>
      </c>
      <c r="B39" s="149">
        <v>19</v>
      </c>
      <c r="C39" s="54" t="s">
        <v>358</v>
      </c>
      <c r="D39" s="54" t="s">
        <v>8358</v>
      </c>
      <c r="E39" s="59"/>
      <c r="F39" s="150" t="str">
        <f>HYPERLINK("http://www.sigmaaldrich.com/catalog/Lookup.do?N5=CAS+No.&amp;N3=mode+matchpartialmax&amp;N4=71-63-6&amp;D7=0&amp;D10=&amp;N25=0&amp;N1=S_ID&amp;ST=RS&amp;F=PR","71-63-6")</f>
        <v>71-63-6</v>
      </c>
      <c r="G39" s="151">
        <v>71636</v>
      </c>
      <c r="H39" s="55" t="s">
        <v>359</v>
      </c>
      <c r="I39" s="55" t="s">
        <v>8282</v>
      </c>
      <c r="J39" s="55" t="s">
        <v>360</v>
      </c>
      <c r="K39" s="55" t="s">
        <v>361</v>
      </c>
      <c r="L39" s="64" t="s">
        <v>279</v>
      </c>
      <c r="M39" s="55" t="s">
        <v>362</v>
      </c>
      <c r="N39" s="60"/>
      <c r="O39" s="55" t="s">
        <v>281</v>
      </c>
      <c r="P39" s="67"/>
      <c r="Q39" s="67"/>
      <c r="R39" s="67"/>
      <c r="S39" s="67"/>
      <c r="T39" s="59">
        <v>764.94</v>
      </c>
      <c r="U39" s="153">
        <v>5.0984390932622163E-3</v>
      </c>
      <c r="V39" s="153">
        <v>4.4382565952885196E-4</v>
      </c>
      <c r="W39" s="153">
        <v>9.1201083935590926E-2</v>
      </c>
      <c r="X39" s="153">
        <v>5.0984390932622163E-3</v>
      </c>
      <c r="Y39" s="410">
        <v>7</v>
      </c>
      <c r="Z39" s="59">
        <v>2.04</v>
      </c>
      <c r="AA39" s="59">
        <v>1.85</v>
      </c>
      <c r="AB39" s="59">
        <v>2.42</v>
      </c>
      <c r="AC39" s="59">
        <v>0.86639999999999995</v>
      </c>
      <c r="AD39" s="59">
        <v>2.4300000000000002</v>
      </c>
      <c r="AE39" s="59">
        <v>2.44</v>
      </c>
      <c r="AF39" s="59">
        <f t="shared" si="17"/>
        <v>1.85</v>
      </c>
      <c r="AG39" s="57">
        <v>3.38</v>
      </c>
      <c r="AH39" s="103">
        <v>1.2700000000000001E-25</v>
      </c>
      <c r="AI39" s="103"/>
      <c r="AJ39" s="62">
        <f t="shared" si="18"/>
        <v>-23.284762605356693</v>
      </c>
      <c r="AK39" s="62"/>
      <c r="AL39" s="62">
        <f t="shared" si="14"/>
        <v>-23.284762605356693</v>
      </c>
      <c r="AM39" s="62">
        <v>-43.169989999999991</v>
      </c>
      <c r="AN39" s="154">
        <v>-28.9</v>
      </c>
      <c r="AO39" s="410">
        <v>13.5</v>
      </c>
      <c r="AP39" s="410"/>
      <c r="AQ39" s="154" t="s">
        <v>6311</v>
      </c>
      <c r="AR39" s="154" t="s">
        <v>6311</v>
      </c>
      <c r="AS39" s="149" t="s">
        <v>282</v>
      </c>
      <c r="AT39" s="58" t="s">
        <v>266</v>
      </c>
      <c r="AU39" s="155">
        <v>24</v>
      </c>
      <c r="AV39" s="155">
        <v>120</v>
      </c>
      <c r="AW39" s="155">
        <v>96</v>
      </c>
      <c r="AX39" s="155">
        <v>28</v>
      </c>
      <c r="AY39" s="155" t="s">
        <v>267</v>
      </c>
      <c r="AZ39" s="155" t="s">
        <v>268</v>
      </c>
      <c r="BA39" s="155">
        <v>48</v>
      </c>
      <c r="BB39" s="55" t="s">
        <v>269</v>
      </c>
      <c r="BC39" s="156" t="s">
        <v>270</v>
      </c>
      <c r="BD39" s="156" t="s">
        <v>8374</v>
      </c>
      <c r="BE39" s="155" t="s">
        <v>271</v>
      </c>
      <c r="BF39" s="155" t="s">
        <v>272</v>
      </c>
      <c r="BG39" s="155" t="s">
        <v>272</v>
      </c>
      <c r="BH39" s="155" t="s">
        <v>272</v>
      </c>
      <c r="BI39" s="157">
        <v>6.5364603759771999E-4</v>
      </c>
      <c r="BJ39" s="157">
        <v>1.30729207519544</v>
      </c>
      <c r="BK39" s="56"/>
      <c r="BL39" s="103">
        <f t="shared" si="15"/>
        <v>0.75626847981063261</v>
      </c>
      <c r="BM39" s="56">
        <v>0</v>
      </c>
      <c r="BN39" s="56"/>
      <c r="BO39" s="56"/>
      <c r="BP39" s="56"/>
      <c r="BQ39" s="56"/>
      <c r="BR39" s="56"/>
      <c r="BS39" s="56"/>
      <c r="BT39" s="56"/>
      <c r="BU39" s="158"/>
      <c r="BV39" s="56"/>
      <c r="BW39" s="56"/>
      <c r="BX39" s="56"/>
      <c r="BY39" s="56">
        <v>0.02</v>
      </c>
      <c r="BZ39" s="56">
        <v>0.02</v>
      </c>
      <c r="CA39" s="56">
        <v>0.02</v>
      </c>
      <c r="CB39" s="56">
        <v>1E-3</v>
      </c>
      <c r="CC39" s="56"/>
      <c r="CD39" s="56"/>
      <c r="CE39" s="56"/>
      <c r="CF39" s="56"/>
      <c r="CG39" s="56"/>
      <c r="CH39" s="56"/>
      <c r="CI39" s="103">
        <f t="shared" si="3"/>
        <v>1E-3</v>
      </c>
      <c r="CJ39" s="103">
        <f t="shared" si="4"/>
        <v>-3</v>
      </c>
      <c r="CK39" s="57">
        <f t="shared" si="9"/>
        <v>0.5785000109463454</v>
      </c>
      <c r="CL39" s="160">
        <f t="shared" si="13"/>
        <v>756.26847981063258</v>
      </c>
      <c r="CM39" s="160"/>
      <c r="CN39" s="160"/>
      <c r="CO39" s="55" t="s">
        <v>273</v>
      </c>
      <c r="CP39" s="156" t="s">
        <v>274</v>
      </c>
      <c r="CQ39" s="149" t="s">
        <v>272</v>
      </c>
      <c r="CR39" s="349"/>
      <c r="CS39" s="61" t="s">
        <v>539</v>
      </c>
      <c r="CT39" s="61"/>
      <c r="CU39" s="111">
        <f t="shared" si="16"/>
        <v>5.0984390932622166</v>
      </c>
      <c r="CV39" s="331">
        <f t="shared" si="10"/>
        <v>3.9000000000000003E-3</v>
      </c>
      <c r="CW39" s="326">
        <f t="shared" si="7"/>
        <v>1</v>
      </c>
      <c r="CX39" s="326"/>
      <c r="CY39" s="161" t="s">
        <v>5921</v>
      </c>
    </row>
    <row r="40" spans="1:103" ht="11.25" customHeight="1" x14ac:dyDescent="0.2">
      <c r="A40" s="72">
        <v>38</v>
      </c>
      <c r="B40" s="149">
        <v>618</v>
      </c>
      <c r="C40" s="54" t="s">
        <v>1839</v>
      </c>
      <c r="D40" s="54" t="s">
        <v>6545</v>
      </c>
      <c r="E40" s="59"/>
      <c r="F40" s="59" t="s">
        <v>1840</v>
      </c>
      <c r="G40" s="151">
        <v>107186</v>
      </c>
      <c r="H40" s="55" t="s">
        <v>1841</v>
      </c>
      <c r="I40" s="55" t="s">
        <v>1841</v>
      </c>
      <c r="J40" s="55" t="s">
        <v>1842</v>
      </c>
      <c r="K40" s="55" t="s">
        <v>659</v>
      </c>
      <c r="L40" s="55" t="s">
        <v>5527</v>
      </c>
      <c r="M40" s="55" t="s">
        <v>6624</v>
      </c>
      <c r="N40" s="60" t="s">
        <v>6088</v>
      </c>
      <c r="O40" s="55"/>
      <c r="P40" s="67" t="s">
        <v>6172</v>
      </c>
      <c r="Q40" s="67" t="s">
        <v>6176</v>
      </c>
      <c r="R40" s="67" t="s">
        <v>6175</v>
      </c>
      <c r="S40" s="67" t="s">
        <v>6176</v>
      </c>
      <c r="T40" s="56">
        <v>58.08</v>
      </c>
      <c r="U40" s="103">
        <v>17217.630853994491</v>
      </c>
      <c r="V40" s="103">
        <v>5470.0413223140495</v>
      </c>
      <c r="W40" s="103">
        <v>2041.7379446695297</v>
      </c>
      <c r="X40" s="103">
        <v>17217.630853994491</v>
      </c>
      <c r="Y40" s="162">
        <v>6.88</v>
      </c>
      <c r="Z40" s="56">
        <v>0.21</v>
      </c>
      <c r="AA40" s="56">
        <v>0.17</v>
      </c>
      <c r="AB40" s="56">
        <v>0.08</v>
      </c>
      <c r="AC40" s="56">
        <v>0.84809999999999997</v>
      </c>
      <c r="AD40" s="56">
        <v>0.1</v>
      </c>
      <c r="AE40" s="56">
        <v>0.17</v>
      </c>
      <c r="AF40" s="56">
        <f t="shared" si="17"/>
        <v>0.17</v>
      </c>
      <c r="AG40" s="57">
        <v>0.41</v>
      </c>
      <c r="AH40" s="103">
        <v>5.5999999999999997E-6</v>
      </c>
      <c r="AI40" s="103">
        <v>4.9899999999999997E-6</v>
      </c>
      <c r="AJ40" s="62">
        <f t="shared" si="18"/>
        <v>-3.6403782993064513</v>
      </c>
      <c r="AK40" s="62">
        <f>LOG10(AI40*1000/(0.08206*298.15))</f>
        <v>-3.6904657806892618</v>
      </c>
      <c r="AL40" s="62">
        <f t="shared" si="14"/>
        <v>-3.6904657806892618</v>
      </c>
      <c r="AM40" s="62">
        <v>-3.7748599999999999</v>
      </c>
      <c r="AN40" s="154">
        <v>-3.82</v>
      </c>
      <c r="AO40" s="410">
        <v>14.43</v>
      </c>
      <c r="AP40" s="410"/>
      <c r="AQ40" s="154" t="s">
        <v>6311</v>
      </c>
      <c r="AR40" s="154" t="s">
        <v>6311</v>
      </c>
      <c r="AS40" s="149" t="s">
        <v>6</v>
      </c>
      <c r="AT40" s="58" t="s">
        <v>266</v>
      </c>
      <c r="AU40" s="56">
        <v>2</v>
      </c>
      <c r="AV40" s="56" t="s">
        <v>646</v>
      </c>
      <c r="AW40" s="56" t="s">
        <v>646</v>
      </c>
      <c r="AX40" s="56">
        <v>26</v>
      </c>
      <c r="AY40" s="56" t="s">
        <v>647</v>
      </c>
      <c r="AZ40" s="56" t="s">
        <v>536</v>
      </c>
      <c r="BA40" s="56">
        <v>10</v>
      </c>
      <c r="BB40" s="55" t="s">
        <v>1764</v>
      </c>
      <c r="BC40" s="55" t="s">
        <v>538</v>
      </c>
      <c r="BD40" s="55"/>
      <c r="BE40" s="56" t="s">
        <v>1809</v>
      </c>
      <c r="BF40" s="56" t="s">
        <v>539</v>
      </c>
      <c r="BG40" s="56" t="s">
        <v>272</v>
      </c>
      <c r="BH40" s="56" t="s">
        <v>272</v>
      </c>
      <c r="BI40" s="157">
        <v>2.6859504132231406E-2</v>
      </c>
      <c r="BJ40" s="157">
        <v>12.913223140495868</v>
      </c>
      <c r="BK40" s="56" t="s">
        <v>1843</v>
      </c>
      <c r="BL40" s="103">
        <f t="shared" si="15"/>
        <v>33.281201763077981</v>
      </c>
      <c r="BM40" s="56" t="s">
        <v>541</v>
      </c>
      <c r="BN40" s="56"/>
      <c r="BO40" s="56">
        <v>5.8350550964187322</v>
      </c>
      <c r="BP40" s="56"/>
      <c r="BQ40" s="56"/>
      <c r="BR40" s="56">
        <v>3.8</v>
      </c>
      <c r="BS40" s="56"/>
      <c r="BT40" s="56"/>
      <c r="BU40" s="158"/>
      <c r="BV40" s="56"/>
      <c r="BW40" s="56"/>
      <c r="BX40" s="56"/>
      <c r="BY40" s="56"/>
      <c r="BZ40" s="56"/>
      <c r="CA40" s="56"/>
      <c r="CB40" s="56"/>
      <c r="CC40" s="56"/>
      <c r="CD40" s="56"/>
      <c r="CE40" s="56"/>
      <c r="CF40" s="56"/>
      <c r="CG40" s="56"/>
      <c r="CH40" s="56"/>
      <c r="CI40" s="103">
        <f t="shared" si="3"/>
        <v>3.8</v>
      </c>
      <c r="CJ40" s="103">
        <f t="shared" si="4"/>
        <v>0.57978359661681012</v>
      </c>
      <c r="CK40" s="57">
        <f t="shared" si="9"/>
        <v>2.5772962645327588</v>
      </c>
      <c r="CL40" s="160">
        <f t="shared" si="13"/>
        <v>8.7582109902836791</v>
      </c>
      <c r="CM40" s="160"/>
      <c r="CN40" s="160"/>
      <c r="CO40" s="55"/>
      <c r="CP40" s="55" t="s">
        <v>1811</v>
      </c>
      <c r="CQ40" s="149">
        <v>-1.9290505573367021</v>
      </c>
      <c r="CR40" s="349">
        <f>10^(CJ40-CQ40)</f>
        <v>322.7261477073169</v>
      </c>
      <c r="CS40" s="61" t="s">
        <v>539</v>
      </c>
      <c r="CT40" s="61" t="s">
        <v>6310</v>
      </c>
      <c r="CU40" s="111">
        <f t="shared" si="16"/>
        <v>4530.9554878932877</v>
      </c>
      <c r="CV40" s="331">
        <f t="shared" si="10"/>
        <v>1333.3333333333335</v>
      </c>
      <c r="CW40" s="326">
        <f t="shared" si="7"/>
        <v>1</v>
      </c>
      <c r="CX40" s="326" t="s">
        <v>539</v>
      </c>
      <c r="CY40" s="161" t="s">
        <v>6351</v>
      </c>
    </row>
    <row r="41" spans="1:103" ht="11.25" customHeight="1" x14ac:dyDescent="0.2">
      <c r="A41" s="72">
        <v>39</v>
      </c>
      <c r="B41" s="149">
        <v>44</v>
      </c>
      <c r="C41" s="54" t="s">
        <v>461</v>
      </c>
      <c r="D41" s="54" t="s">
        <v>6461</v>
      </c>
      <c r="E41" s="59"/>
      <c r="F41" s="150" t="str">
        <f>HYPERLINK("http://www.sigmaaldrich.com/catalog/Lookup.do?N5=CAS+No.&amp;N3=mode+matchpartialmax&amp;N4=103-90-2&amp;D7=0&amp;D10=&amp;N25=0&amp;N1=S_ID&amp;ST=RS&amp;F=PR","103-90-2")</f>
        <v>103-90-2</v>
      </c>
      <c r="G41" s="151">
        <v>103902</v>
      </c>
      <c r="H41" s="55" t="s">
        <v>462</v>
      </c>
      <c r="I41" s="55" t="s">
        <v>462</v>
      </c>
      <c r="J41" s="55" t="s">
        <v>463</v>
      </c>
      <c r="K41" s="55" t="s">
        <v>464</v>
      </c>
      <c r="L41" s="64" t="s">
        <v>279</v>
      </c>
      <c r="M41" s="55" t="s">
        <v>465</v>
      </c>
      <c r="N41" s="60" t="s">
        <v>6384</v>
      </c>
      <c r="O41" s="55" t="s">
        <v>281</v>
      </c>
      <c r="P41" s="67"/>
      <c r="Q41" s="67" t="s">
        <v>6173</v>
      </c>
      <c r="R41" s="67" t="s">
        <v>6175</v>
      </c>
      <c r="S41" s="67" t="s">
        <v>6182</v>
      </c>
      <c r="T41" s="59">
        <v>151.16</v>
      </c>
      <c r="U41" s="153">
        <v>92.617094469436367</v>
      </c>
      <c r="V41" s="153">
        <v>200.78062979624241</v>
      </c>
      <c r="W41" s="153">
        <v>117.48975549395291</v>
      </c>
      <c r="X41" s="153">
        <v>92.617094469436367</v>
      </c>
      <c r="Y41" s="410">
        <v>5.7</v>
      </c>
      <c r="Z41" s="59">
        <v>0.27</v>
      </c>
      <c r="AA41" s="59">
        <v>0.46</v>
      </c>
      <c r="AB41" s="59">
        <v>0.43</v>
      </c>
      <c r="AC41" s="59">
        <v>0.85150000000000003</v>
      </c>
      <c r="AD41" s="59">
        <v>0.4</v>
      </c>
      <c r="AE41" s="59">
        <v>0.34</v>
      </c>
      <c r="AF41" s="59">
        <f t="shared" si="17"/>
        <v>0.46</v>
      </c>
      <c r="AG41" s="57">
        <v>0.91</v>
      </c>
      <c r="AH41" s="103">
        <v>6.4199999999999999E-13</v>
      </c>
      <c r="AI41" s="103"/>
      <c r="AJ41" s="62">
        <f t="shared" si="18"/>
        <v>-10.581031298243799</v>
      </c>
      <c r="AK41" s="62"/>
      <c r="AL41" s="62">
        <f t="shared" si="14"/>
        <v>-10.581031298243799</v>
      </c>
      <c r="AM41" s="62">
        <v>-13.617180000000001</v>
      </c>
      <c r="AN41" s="154">
        <v>-11.6</v>
      </c>
      <c r="AO41" s="410">
        <v>9.86</v>
      </c>
      <c r="AP41" s="410">
        <v>1.72</v>
      </c>
      <c r="AQ41" s="154" t="s">
        <v>6311</v>
      </c>
      <c r="AR41" s="154" t="s">
        <v>6311</v>
      </c>
      <c r="AS41" s="149" t="s">
        <v>282</v>
      </c>
      <c r="AT41" s="58" t="s">
        <v>266</v>
      </c>
      <c r="AU41" s="155">
        <v>24</v>
      </c>
      <c r="AV41" s="155">
        <v>120</v>
      </c>
      <c r="AW41" s="155">
        <v>96</v>
      </c>
      <c r="AX41" s="155">
        <v>28</v>
      </c>
      <c r="AY41" s="155" t="s">
        <v>267</v>
      </c>
      <c r="AZ41" s="155" t="s">
        <v>268</v>
      </c>
      <c r="BA41" s="155">
        <v>48</v>
      </c>
      <c r="BB41" s="55" t="s">
        <v>269</v>
      </c>
      <c r="BC41" s="156" t="s">
        <v>270</v>
      </c>
      <c r="BD41" s="156" t="s">
        <v>8374</v>
      </c>
      <c r="BE41" s="155" t="s">
        <v>271</v>
      </c>
      <c r="BF41" s="155" t="s">
        <v>272</v>
      </c>
      <c r="BG41" s="155" t="s">
        <v>272</v>
      </c>
      <c r="BH41" s="155" t="s">
        <v>272</v>
      </c>
      <c r="BI41" s="157">
        <v>6.6150691274723828E-3</v>
      </c>
      <c r="BJ41" s="157">
        <v>6.615069127472383</v>
      </c>
      <c r="BK41" s="56"/>
      <c r="BL41" s="103">
        <f t="shared" si="15"/>
        <v>29.397676060212504</v>
      </c>
      <c r="BM41" s="56">
        <v>0</v>
      </c>
      <c r="BN41" s="56"/>
      <c r="BO41" s="56"/>
      <c r="BP41" s="56"/>
      <c r="BQ41" s="56"/>
      <c r="BR41" s="56"/>
      <c r="BS41" s="56"/>
      <c r="BT41" s="56"/>
      <c r="BU41" s="158"/>
      <c r="BV41" s="56"/>
      <c r="BW41" s="56"/>
      <c r="BX41" s="56"/>
      <c r="BY41" s="56"/>
      <c r="BZ41" s="56">
        <v>5.88</v>
      </c>
      <c r="CA41" s="56">
        <v>5.4</v>
      </c>
      <c r="CB41" s="56">
        <v>3.54</v>
      </c>
      <c r="CC41" s="56"/>
      <c r="CD41" s="56"/>
      <c r="CE41" s="56"/>
      <c r="CF41" s="56"/>
      <c r="CG41" s="56"/>
      <c r="CH41" s="56"/>
      <c r="CI41" s="103">
        <f t="shared" si="3"/>
        <v>3.54</v>
      </c>
      <c r="CJ41" s="103">
        <f t="shared" si="4"/>
        <v>0.54900326202578786</v>
      </c>
      <c r="CK41" s="57">
        <f t="shared" si="9"/>
        <v>4.4440466900223239</v>
      </c>
      <c r="CL41" s="160">
        <f t="shared" si="13"/>
        <v>8.3044282655967532</v>
      </c>
      <c r="CM41" s="160">
        <v>0.73065333382021147</v>
      </c>
      <c r="CN41" s="160">
        <f>BJ41/(10^CM41)</f>
        <v>1.2299318643599899</v>
      </c>
      <c r="CO41" s="55" t="s">
        <v>466</v>
      </c>
      <c r="CP41" s="156" t="s">
        <v>274</v>
      </c>
      <c r="CQ41" s="149">
        <v>0.73065333382021147</v>
      </c>
      <c r="CR41" s="349">
        <f>10^(CJ41-CQ41)</f>
        <v>0.65818795177096101</v>
      </c>
      <c r="CS41" s="61" t="s">
        <v>539</v>
      </c>
      <c r="CT41" s="61"/>
      <c r="CU41" s="111">
        <f t="shared" si="16"/>
        <v>26.163021036563944</v>
      </c>
      <c r="CV41" s="331">
        <f t="shared" si="10"/>
        <v>14.000926170944695</v>
      </c>
      <c r="CW41" s="326">
        <f t="shared" si="7"/>
        <v>1</v>
      </c>
      <c r="CX41" s="326"/>
      <c r="CY41" s="161" t="s">
        <v>6351</v>
      </c>
    </row>
    <row r="42" spans="1:103" ht="11.25" customHeight="1" x14ac:dyDescent="0.2">
      <c r="A42" s="72">
        <v>40</v>
      </c>
      <c r="B42" s="149">
        <v>38</v>
      </c>
      <c r="C42" s="54" t="s">
        <v>435</v>
      </c>
      <c r="D42" s="54" t="s">
        <v>6439</v>
      </c>
      <c r="E42" s="59"/>
      <c r="F42" s="59" t="s">
        <v>436</v>
      </c>
      <c r="G42" s="151">
        <v>64197</v>
      </c>
      <c r="H42" s="55" t="s">
        <v>437</v>
      </c>
      <c r="I42" s="55" t="s">
        <v>437</v>
      </c>
      <c r="J42" s="55" t="s">
        <v>438</v>
      </c>
      <c r="K42" s="55" t="s">
        <v>426</v>
      </c>
      <c r="L42" s="64" t="s">
        <v>5527</v>
      </c>
      <c r="M42" s="55" t="s">
        <v>6082</v>
      </c>
      <c r="N42" s="60" t="s">
        <v>6082</v>
      </c>
      <c r="O42" s="55" t="s">
        <v>6083</v>
      </c>
      <c r="P42" s="67"/>
      <c r="Q42" s="67"/>
      <c r="R42" s="67"/>
      <c r="S42" s="67"/>
      <c r="T42" s="59">
        <v>60.05</v>
      </c>
      <c r="U42" s="153">
        <v>16652.789342214823</v>
      </c>
      <c r="V42" s="153">
        <v>7925.0624479600338</v>
      </c>
      <c r="W42" s="153">
        <v>3311.3112148259115</v>
      </c>
      <c r="X42" s="153">
        <v>16652.789342214823</v>
      </c>
      <c r="Y42" s="410">
        <v>2.14</v>
      </c>
      <c r="Z42" s="59">
        <v>0.09</v>
      </c>
      <c r="AA42" s="59">
        <v>-0.17</v>
      </c>
      <c r="AB42" s="59">
        <v>0.02</v>
      </c>
      <c r="AC42" s="59">
        <v>0.81850000000000001</v>
      </c>
      <c r="AD42" s="59">
        <v>-7.0000000000000007E-2</v>
      </c>
      <c r="AE42" s="59">
        <v>-0.28999999999999998</v>
      </c>
      <c r="AF42" s="59">
        <f t="shared" si="17"/>
        <v>-0.17</v>
      </c>
      <c r="AG42" s="57">
        <v>-0.15</v>
      </c>
      <c r="AH42" s="103">
        <v>5.4799999999999998E-7</v>
      </c>
      <c r="AI42" s="103">
        <v>9.9999999999999995E-8</v>
      </c>
      <c r="AJ42" s="62">
        <f t="shared" si="18"/>
        <v>-4.6497857678282823</v>
      </c>
      <c r="AK42" s="62">
        <f>LOG10(AI42*1000/(0.08206*298.15))</f>
        <v>-5.3885663263126515</v>
      </c>
      <c r="AL42" s="62">
        <f t="shared" si="14"/>
        <v>-5.3885663263126515</v>
      </c>
      <c r="AM42" s="62">
        <v>-4.8964699999999999</v>
      </c>
      <c r="AN42" s="154">
        <v>-5.0199999999999996</v>
      </c>
      <c r="AO42" s="410">
        <v>4.79</v>
      </c>
      <c r="AP42" s="410"/>
      <c r="AQ42" s="154" t="s">
        <v>6311</v>
      </c>
      <c r="AR42" s="154" t="s">
        <v>6311</v>
      </c>
      <c r="AS42" s="149" t="s">
        <v>282</v>
      </c>
      <c r="AT42" s="58" t="s">
        <v>266</v>
      </c>
      <c r="AU42" s="155">
        <v>24</v>
      </c>
      <c r="AV42" s="155">
        <v>120</v>
      </c>
      <c r="AW42" s="155">
        <v>96</v>
      </c>
      <c r="AX42" s="155">
        <v>28</v>
      </c>
      <c r="AY42" s="155" t="s">
        <v>267</v>
      </c>
      <c r="AZ42" s="155" t="s">
        <v>268</v>
      </c>
      <c r="BA42" s="155">
        <v>48</v>
      </c>
      <c r="BB42" s="55" t="s">
        <v>269</v>
      </c>
      <c r="BC42" s="156" t="s">
        <v>270</v>
      </c>
      <c r="BD42" s="156" t="s">
        <v>8374</v>
      </c>
      <c r="BE42" s="155" t="s">
        <v>271</v>
      </c>
      <c r="BF42" s="155" t="s">
        <v>272</v>
      </c>
      <c r="BG42" s="155" t="s">
        <v>272</v>
      </c>
      <c r="BH42" s="155" t="s">
        <v>272</v>
      </c>
      <c r="BI42" s="157">
        <v>1.665278934221482E-2</v>
      </c>
      <c r="BJ42" s="157">
        <v>16.65278934221482</v>
      </c>
      <c r="BK42" s="56"/>
      <c r="BL42" s="103">
        <f t="shared" si="15"/>
        <v>42.655103491902061</v>
      </c>
      <c r="BM42" s="56">
        <v>0</v>
      </c>
      <c r="BN42" s="56"/>
      <c r="BO42" s="56"/>
      <c r="BP42" s="56"/>
      <c r="BQ42" s="56"/>
      <c r="BR42" s="56"/>
      <c r="BS42" s="56"/>
      <c r="BT42" s="56"/>
      <c r="BU42" s="158"/>
      <c r="BV42" s="56"/>
      <c r="BW42" s="56"/>
      <c r="BX42" s="56"/>
      <c r="BY42" s="56">
        <v>6.28</v>
      </c>
      <c r="BZ42" s="56">
        <v>6.01</v>
      </c>
      <c r="CA42" s="56">
        <v>5.48</v>
      </c>
      <c r="CB42" s="56">
        <v>3.1</v>
      </c>
      <c r="CC42" s="56"/>
      <c r="CD42" s="56"/>
      <c r="CE42" s="56"/>
      <c r="CF42" s="56"/>
      <c r="CG42" s="56"/>
      <c r="CH42" s="56"/>
      <c r="CI42" s="103">
        <f t="shared" si="3"/>
        <v>3.1</v>
      </c>
      <c r="CJ42" s="103">
        <f t="shared" si="4"/>
        <v>0.49136169383427269</v>
      </c>
      <c r="CK42" s="57">
        <f t="shared" si="9"/>
        <v>2.561438964688719</v>
      </c>
      <c r="CL42" s="160">
        <f t="shared" si="13"/>
        <v>13.759710803839374</v>
      </c>
      <c r="CM42" s="160">
        <v>9.6548251652775224E-2</v>
      </c>
      <c r="CN42" s="160">
        <f>BJ42/(10^CM42)</f>
        <v>13.333333333333332</v>
      </c>
      <c r="CO42" s="55" t="s">
        <v>273</v>
      </c>
      <c r="CP42" s="156" t="s">
        <v>274</v>
      </c>
      <c r="CQ42" s="149">
        <v>0.10838021075167194</v>
      </c>
      <c r="CR42" s="349">
        <f>10^(CJ42-CQ42)</f>
        <v>2.4153578491731387</v>
      </c>
      <c r="CS42" s="61" t="s">
        <v>539</v>
      </c>
      <c r="CT42" s="61"/>
      <c r="CU42" s="111">
        <f t="shared" si="16"/>
        <v>5371.8675297467171</v>
      </c>
      <c r="CV42" s="331">
        <f t="shared" si="10"/>
        <v>1000.0000000000001</v>
      </c>
      <c r="CW42" s="326">
        <f t="shared" si="7"/>
        <v>1</v>
      </c>
      <c r="CX42" s="326"/>
      <c r="CY42" s="161" t="s">
        <v>6351</v>
      </c>
    </row>
    <row r="43" spans="1:103" ht="11.25" customHeight="1" x14ac:dyDescent="0.2">
      <c r="A43" s="72">
        <v>41</v>
      </c>
      <c r="B43" s="149">
        <v>545</v>
      </c>
      <c r="C43" s="54" t="s">
        <v>1713</v>
      </c>
      <c r="D43" s="54" t="s">
        <v>8359</v>
      </c>
      <c r="E43" s="59"/>
      <c r="F43" s="59" t="s">
        <v>1714</v>
      </c>
      <c r="G43" s="151">
        <v>75127</v>
      </c>
      <c r="H43" s="55" t="s">
        <v>1715</v>
      </c>
      <c r="I43" s="55" t="s">
        <v>1715</v>
      </c>
      <c r="J43" s="55" t="s">
        <v>1716</v>
      </c>
      <c r="K43" s="55" t="s">
        <v>471</v>
      </c>
      <c r="L43" s="55"/>
      <c r="M43" s="55"/>
      <c r="N43" s="60"/>
      <c r="O43" s="55"/>
      <c r="P43" s="67"/>
      <c r="Q43" s="67"/>
      <c r="R43" s="67"/>
      <c r="S43" s="67"/>
      <c r="T43" s="56">
        <v>45.04</v>
      </c>
      <c r="U43" s="103">
        <v>22202.486678507994</v>
      </c>
      <c r="V43" s="103">
        <v>22202.486678507994</v>
      </c>
      <c r="W43" s="103">
        <v>19952.623149688803</v>
      </c>
      <c r="X43" s="103">
        <v>22202.486678507994</v>
      </c>
      <c r="Y43" s="162">
        <v>7.42</v>
      </c>
      <c r="Z43" s="56">
        <v>-1.61</v>
      </c>
      <c r="AA43" s="56">
        <v>-1.51</v>
      </c>
      <c r="AB43" s="56">
        <v>-1.27</v>
      </c>
      <c r="AC43" s="56">
        <v>0.85529999999999995</v>
      </c>
      <c r="AD43" s="56">
        <v>-1.34</v>
      </c>
      <c r="AE43" s="56">
        <v>-1.51</v>
      </c>
      <c r="AF43" s="56">
        <f t="shared" si="17"/>
        <v>-1.51</v>
      </c>
      <c r="AG43" s="57">
        <v>-0.89</v>
      </c>
      <c r="AH43" s="103">
        <v>1.5300000000000001E-8</v>
      </c>
      <c r="AI43" s="103">
        <v>1.39E-9</v>
      </c>
      <c r="AJ43" s="62">
        <f t="shared" si="18"/>
        <v>-6.2038748954950531</v>
      </c>
      <c r="AK43" s="62">
        <f>LOG10(AI43*1000/(0.08206*298.15))</f>
        <v>-7.2455515260585566</v>
      </c>
      <c r="AL43" s="62">
        <f t="shared" si="14"/>
        <v>-7.2455515260585566</v>
      </c>
      <c r="AM43" s="62">
        <v>-7.3395299999999999</v>
      </c>
      <c r="AN43" s="154">
        <v>-7.27</v>
      </c>
      <c r="AO43" s="410">
        <v>16.5</v>
      </c>
      <c r="AP43" s="410">
        <v>-0.5</v>
      </c>
      <c r="AQ43" s="154" t="s">
        <v>6311</v>
      </c>
      <c r="AR43" s="154" t="s">
        <v>6311</v>
      </c>
      <c r="AS43" s="149" t="s">
        <v>6</v>
      </c>
      <c r="AT43" s="58" t="s">
        <v>266</v>
      </c>
      <c r="AU43" s="56">
        <v>2</v>
      </c>
      <c r="AV43" s="56">
        <v>96</v>
      </c>
      <c r="AW43" s="56">
        <v>96</v>
      </c>
      <c r="AX43" s="56">
        <v>25</v>
      </c>
      <c r="AY43" s="56" t="s">
        <v>8722</v>
      </c>
      <c r="AZ43" s="56" t="s">
        <v>1682</v>
      </c>
      <c r="BA43" s="56">
        <v>12</v>
      </c>
      <c r="BB43" s="55" t="s">
        <v>888</v>
      </c>
      <c r="BC43" s="55" t="s">
        <v>538</v>
      </c>
      <c r="BD43" s="55"/>
      <c r="BE43" s="56" t="s">
        <v>271</v>
      </c>
      <c r="BF43" s="56" t="s">
        <v>272</v>
      </c>
      <c r="BG43" s="56" t="s">
        <v>1683</v>
      </c>
      <c r="BH43" s="56" t="s">
        <v>272</v>
      </c>
      <c r="BI43" s="103">
        <v>23</v>
      </c>
      <c r="BJ43" s="103">
        <v>440</v>
      </c>
      <c r="BK43" s="56"/>
      <c r="BL43" s="103">
        <f t="shared" si="15"/>
        <v>1434.6336064018544</v>
      </c>
      <c r="BM43" s="56">
        <v>0</v>
      </c>
      <c r="BN43" s="56"/>
      <c r="BO43" s="56"/>
      <c r="BP43" s="56"/>
      <c r="BQ43" s="56">
        <v>203</v>
      </c>
      <c r="BR43" s="56"/>
      <c r="BS43" s="56"/>
      <c r="BT43" s="56"/>
      <c r="BU43" s="158"/>
      <c r="BV43" s="56"/>
      <c r="BW43" s="56"/>
      <c r="BX43" s="56"/>
      <c r="BY43" s="56"/>
      <c r="BZ43" s="56"/>
      <c r="CA43" s="56"/>
      <c r="CB43" s="56"/>
      <c r="CC43" s="56"/>
      <c r="CD43" s="56"/>
      <c r="CE43" s="56"/>
      <c r="CF43" s="56"/>
      <c r="CG43" s="56"/>
      <c r="CH43" s="56"/>
      <c r="CI43" s="103">
        <f t="shared" si="3"/>
        <v>203</v>
      </c>
      <c r="CJ43" s="103">
        <f t="shared" si="4"/>
        <v>2.307496037913213</v>
      </c>
      <c r="CK43" s="57">
        <f t="shared" si="9"/>
        <v>3.2605309236405784</v>
      </c>
      <c r="CL43" s="160">
        <f t="shared" si="13"/>
        <v>7.0671606226692338</v>
      </c>
      <c r="CM43" s="160"/>
      <c r="CN43" s="160"/>
      <c r="CO43" s="55"/>
      <c r="CP43" s="55" t="s">
        <v>1684</v>
      </c>
      <c r="CQ43" s="149" t="s">
        <v>272</v>
      </c>
      <c r="CR43" s="349"/>
      <c r="CS43" s="61" t="s">
        <v>539</v>
      </c>
      <c r="CT43" s="61"/>
      <c r="CU43" s="111">
        <f t="shared" si="16"/>
        <v>109.37185555915268</v>
      </c>
      <c r="CV43" s="331">
        <f t="shared" si="10"/>
        <v>50.460196996609078</v>
      </c>
      <c r="CW43" s="326">
        <f t="shared" si="7"/>
        <v>1</v>
      </c>
      <c r="CX43" s="326"/>
      <c r="CY43" s="161" t="s">
        <v>6351</v>
      </c>
    </row>
    <row r="44" spans="1:103" ht="11.25" customHeight="1" x14ac:dyDescent="0.2">
      <c r="A44" s="72">
        <v>42</v>
      </c>
      <c r="B44" s="149">
        <v>40</v>
      </c>
      <c r="C44" s="54" t="s">
        <v>444</v>
      </c>
      <c r="D44" s="54" t="s">
        <v>6435</v>
      </c>
      <c r="E44" s="59"/>
      <c r="F44" s="150" t="str">
        <f>HYPERLINK("http://www.sigmaaldrich.com/catalog/Lookup.do?N5=CAS+No.&amp;N3=mode+matchpartialmax&amp;N4=62-76-0&amp;D7=0&amp;D10=&amp;N25=0&amp;N1=S_ID&amp;ST=RS&amp;F=PR","62-76-0")</f>
        <v>62-76-0</v>
      </c>
      <c r="G44" s="151">
        <v>62760</v>
      </c>
      <c r="H44" s="166" t="s">
        <v>445</v>
      </c>
      <c r="I44" s="166" t="s">
        <v>445</v>
      </c>
      <c r="J44" s="55" t="s">
        <v>446</v>
      </c>
      <c r="K44" s="55" t="s">
        <v>426</v>
      </c>
      <c r="L44" s="64" t="s">
        <v>6025</v>
      </c>
      <c r="M44" s="55" t="s">
        <v>5960</v>
      </c>
      <c r="N44" s="60" t="s">
        <v>2342</v>
      </c>
      <c r="O44" s="55"/>
      <c r="P44" s="67"/>
      <c r="Q44" s="67"/>
      <c r="R44" s="67"/>
      <c r="S44" s="67"/>
      <c r="T44" s="59">
        <v>90.03</v>
      </c>
      <c r="U44" s="153">
        <v>14.995001666111296</v>
      </c>
      <c r="V44" s="153">
        <v>11107.408641563923</v>
      </c>
      <c r="W44" s="153">
        <v>4073.802778041128</v>
      </c>
      <c r="X44" s="153">
        <v>14.995001666111296</v>
      </c>
      <c r="Y44" s="410">
        <v>0.4</v>
      </c>
      <c r="Z44" s="59">
        <v>-1.74</v>
      </c>
      <c r="AA44" s="59"/>
      <c r="AB44" s="59">
        <v>-0.83</v>
      </c>
      <c r="AC44" s="59">
        <v>0.53039999999999998</v>
      </c>
      <c r="AD44" s="59">
        <v>-1.01</v>
      </c>
      <c r="AE44" s="59">
        <v>-1.19</v>
      </c>
      <c r="AF44" s="59">
        <f t="shared" si="17"/>
        <v>-1.01</v>
      </c>
      <c r="AG44" s="57">
        <v>-1.7618</v>
      </c>
      <c r="AH44" s="103">
        <v>2.4099999999999999E-11</v>
      </c>
      <c r="AI44" s="103">
        <v>1.43E-10</v>
      </c>
      <c r="AJ44" s="62">
        <f t="shared" si="18"/>
        <v>-9.0065492837377832</v>
      </c>
      <c r="AK44" s="62">
        <f>LOG10(AI44*1000/(0.08206*298.15))</f>
        <v>-8.2332302888475901</v>
      </c>
      <c r="AL44" s="62">
        <f t="shared" si="14"/>
        <v>-8.2332302888475901</v>
      </c>
      <c r="AM44" s="62">
        <v>-10.270619999999999</v>
      </c>
      <c r="AN44" s="154">
        <v>-1.25</v>
      </c>
      <c r="AO44" s="410">
        <v>1.38</v>
      </c>
      <c r="AP44" s="410"/>
      <c r="AQ44" s="154" t="s">
        <v>6311</v>
      </c>
      <c r="AR44" s="154" t="s">
        <v>6311</v>
      </c>
      <c r="AS44" s="149" t="s">
        <v>282</v>
      </c>
      <c r="AT44" s="58" t="s">
        <v>266</v>
      </c>
      <c r="AU44" s="155">
        <v>24</v>
      </c>
      <c r="AV44" s="155">
        <v>120</v>
      </c>
      <c r="AW44" s="155">
        <v>96</v>
      </c>
      <c r="AX44" s="155">
        <v>28</v>
      </c>
      <c r="AY44" s="155" t="s">
        <v>267</v>
      </c>
      <c r="AZ44" s="155" t="s">
        <v>268</v>
      </c>
      <c r="BA44" s="155">
        <v>48</v>
      </c>
      <c r="BB44" s="55" t="s">
        <v>269</v>
      </c>
      <c r="BC44" s="156" t="s">
        <v>270</v>
      </c>
      <c r="BD44" s="156" t="s">
        <v>8374</v>
      </c>
      <c r="BE44" s="155" t="s">
        <v>271</v>
      </c>
      <c r="BF44" s="155" t="s">
        <v>272</v>
      </c>
      <c r="BG44" s="155" t="s">
        <v>272</v>
      </c>
      <c r="BH44" s="155" t="s">
        <v>272</v>
      </c>
      <c r="BI44" s="157">
        <v>7.462686567164179E-3</v>
      </c>
      <c r="BJ44" s="157">
        <v>11.940298507462687</v>
      </c>
      <c r="BK44" s="56"/>
      <c r="BL44" s="103">
        <f t="shared" si="15"/>
        <v>1877.1284847074839</v>
      </c>
      <c r="BM44" s="56">
        <v>0</v>
      </c>
      <c r="BN44" s="56"/>
      <c r="BO44" s="56"/>
      <c r="BP44" s="56"/>
      <c r="BQ44" s="56"/>
      <c r="BR44" s="56"/>
      <c r="BS44" s="56"/>
      <c r="BT44" s="56"/>
      <c r="BU44" s="158"/>
      <c r="BV44" s="56"/>
      <c r="BW44" s="56"/>
      <c r="BX44" s="56"/>
      <c r="BY44" s="56"/>
      <c r="BZ44" s="56">
        <v>33.01</v>
      </c>
      <c r="CA44" s="56">
        <v>3.43</v>
      </c>
      <c r="CB44" s="56">
        <v>2.78</v>
      </c>
      <c r="CC44" s="56"/>
      <c r="CD44" s="56"/>
      <c r="CE44" s="56"/>
      <c r="CF44" s="56"/>
      <c r="CG44" s="56"/>
      <c r="CH44" s="56"/>
      <c r="CI44" s="103">
        <f t="shared" si="3"/>
        <v>2.78</v>
      </c>
      <c r="CJ44" s="103">
        <f t="shared" si="4"/>
        <v>0.44404479591807622</v>
      </c>
      <c r="CK44" s="57">
        <f t="shared" si="9"/>
        <v>157.20951059425178</v>
      </c>
      <c r="CL44" s="160">
        <f t="shared" si="13"/>
        <v>675.22607363578561</v>
      </c>
      <c r="CM44" s="160">
        <v>0.8449532993090666</v>
      </c>
      <c r="CN44" s="160">
        <f>BJ44/(10^CM44)</f>
        <v>1.7063255152807391</v>
      </c>
      <c r="CO44" s="55" t="s">
        <v>273</v>
      </c>
      <c r="CP44" s="156" t="s">
        <v>274</v>
      </c>
      <c r="CQ44" s="149">
        <v>0.8449532993090666</v>
      </c>
      <c r="CR44" s="349">
        <f>10^(CJ44-CQ44)</f>
        <v>0.39727523809523807</v>
      </c>
      <c r="CS44" s="61" t="s">
        <v>539</v>
      </c>
      <c r="CT44" s="61"/>
      <c r="CU44" s="111">
        <f t="shared" si="16"/>
        <v>5.3938854914069418</v>
      </c>
      <c r="CV44" s="331">
        <f t="shared" si="10"/>
        <v>1.2558313895368209</v>
      </c>
      <c r="CW44" s="326">
        <f t="shared" si="7"/>
        <v>1</v>
      </c>
      <c r="CX44" s="326"/>
      <c r="CY44" s="161" t="s">
        <v>5921</v>
      </c>
    </row>
    <row r="45" spans="1:103" ht="11.25" customHeight="1" x14ac:dyDescent="0.2">
      <c r="A45" s="72">
        <v>43</v>
      </c>
      <c r="B45" s="149">
        <v>607</v>
      </c>
      <c r="C45" s="54" t="s">
        <v>1804</v>
      </c>
      <c r="D45" s="54" t="s">
        <v>6553</v>
      </c>
      <c r="E45" s="59"/>
      <c r="F45" s="59" t="s">
        <v>1805</v>
      </c>
      <c r="G45" s="151">
        <v>115208</v>
      </c>
      <c r="H45" s="166" t="s">
        <v>1806</v>
      </c>
      <c r="I45" s="166" t="s">
        <v>8283</v>
      </c>
      <c r="J45" s="55" t="s">
        <v>1807</v>
      </c>
      <c r="K45" s="55" t="s">
        <v>1808</v>
      </c>
      <c r="L45" s="55" t="s">
        <v>6622</v>
      </c>
      <c r="M45" s="55" t="s">
        <v>6621</v>
      </c>
      <c r="N45" s="60" t="s">
        <v>6376</v>
      </c>
      <c r="O45" s="64" t="s">
        <v>6623</v>
      </c>
      <c r="P45" s="67"/>
      <c r="Q45" s="67" t="s">
        <v>6173</v>
      </c>
      <c r="R45" s="67" t="s">
        <v>6175</v>
      </c>
      <c r="S45" s="67" t="s">
        <v>6176</v>
      </c>
      <c r="T45" s="56">
        <v>149.4</v>
      </c>
      <c r="U45" s="103">
        <v>557.5635876840696</v>
      </c>
      <c r="V45" s="103">
        <v>101.33868808567604</v>
      </c>
      <c r="W45" s="103">
        <v>186.20871366628671</v>
      </c>
      <c r="X45" s="103">
        <v>557.5635876840696</v>
      </c>
      <c r="Y45" s="162">
        <v>6.68</v>
      </c>
      <c r="Z45" s="56">
        <v>1.21</v>
      </c>
      <c r="AA45" s="56">
        <v>1.42</v>
      </c>
      <c r="AB45" s="56">
        <v>1.66</v>
      </c>
      <c r="AC45" s="56">
        <v>0.82110000000000005</v>
      </c>
      <c r="AD45" s="56">
        <v>1.58</v>
      </c>
      <c r="AE45" s="56">
        <v>1.38</v>
      </c>
      <c r="AF45" s="56">
        <f t="shared" si="17"/>
        <v>1.42</v>
      </c>
      <c r="AG45" s="57">
        <v>1.42</v>
      </c>
      <c r="AH45" s="103">
        <v>1.5599999999999999E-7</v>
      </c>
      <c r="AI45" s="103"/>
      <c r="AJ45" s="62">
        <f t="shared" si="18"/>
        <v>-5.1954417279581904</v>
      </c>
      <c r="AK45" s="62"/>
      <c r="AL45" s="62">
        <f t="shared" si="14"/>
        <v>-5.1954417279581904</v>
      </c>
      <c r="AM45" s="62">
        <v>-4.8216099999999997</v>
      </c>
      <c r="AN45" s="154">
        <v>-3.6</v>
      </c>
      <c r="AO45" s="410">
        <v>12.73</v>
      </c>
      <c r="AP45" s="410"/>
      <c r="AQ45" s="154" t="s">
        <v>6311</v>
      </c>
      <c r="AR45" s="154" t="s">
        <v>6311</v>
      </c>
      <c r="AS45" s="149" t="s">
        <v>6</v>
      </c>
      <c r="AT45" s="58" t="s">
        <v>266</v>
      </c>
      <c r="AU45" s="56">
        <v>2</v>
      </c>
      <c r="AV45" s="56" t="s">
        <v>646</v>
      </c>
      <c r="AW45" s="56" t="s">
        <v>646</v>
      </c>
      <c r="AX45" s="56">
        <v>26</v>
      </c>
      <c r="AY45" s="56" t="s">
        <v>647</v>
      </c>
      <c r="AZ45" s="56" t="s">
        <v>536</v>
      </c>
      <c r="BA45" s="56">
        <v>10</v>
      </c>
      <c r="BB45" s="55" t="s">
        <v>1764</v>
      </c>
      <c r="BC45" s="55" t="s">
        <v>538</v>
      </c>
      <c r="BD45" s="55"/>
      <c r="BE45" s="56" t="s">
        <v>1809</v>
      </c>
      <c r="BF45" s="56" t="s">
        <v>539</v>
      </c>
      <c r="BG45" s="56" t="s">
        <v>272</v>
      </c>
      <c r="BH45" s="56" t="s">
        <v>272</v>
      </c>
      <c r="BI45" s="157">
        <v>0.16733601070950468</v>
      </c>
      <c r="BJ45" s="157">
        <v>5.3547523427041499</v>
      </c>
      <c r="BK45" s="56" t="s">
        <v>1810</v>
      </c>
      <c r="BL45" s="103">
        <f t="shared" si="15"/>
        <v>4.2082254644398551</v>
      </c>
      <c r="BM45" s="56" t="s">
        <v>541</v>
      </c>
      <c r="BN45" s="56"/>
      <c r="BO45" s="56">
        <v>2.7931726907630523</v>
      </c>
      <c r="BP45" s="56"/>
      <c r="BQ45" s="56"/>
      <c r="BR45" s="56">
        <v>2.71</v>
      </c>
      <c r="BS45" s="56"/>
      <c r="BT45" s="56"/>
      <c r="BU45" s="158"/>
      <c r="BV45" s="56"/>
      <c r="BW45" s="56"/>
      <c r="BX45" s="56"/>
      <c r="BY45" s="56"/>
      <c r="BZ45" s="56"/>
      <c r="CA45" s="56"/>
      <c r="CB45" s="56"/>
      <c r="CC45" s="56"/>
      <c r="CD45" s="56"/>
      <c r="CE45" s="56"/>
      <c r="CF45" s="56"/>
      <c r="CG45" s="56"/>
      <c r="CH45" s="56"/>
      <c r="CI45" s="103">
        <f t="shared" si="3"/>
        <v>2.71</v>
      </c>
      <c r="CJ45" s="103">
        <f t="shared" si="4"/>
        <v>0.43296929087440572</v>
      </c>
      <c r="CK45" s="57">
        <f t="shared" si="9"/>
        <v>0.78588610548414295</v>
      </c>
      <c r="CL45" s="160">
        <f t="shared" si="13"/>
        <v>1.5528507248855554</v>
      </c>
      <c r="CM45" s="160"/>
      <c r="CN45" s="160"/>
      <c r="CO45" s="55"/>
      <c r="CP45" s="55" t="s">
        <v>1811</v>
      </c>
      <c r="CQ45" s="149">
        <v>0.16552178537774706</v>
      </c>
      <c r="CR45" s="349">
        <f>10^(CJ45-CQ45)</f>
        <v>1.851175123478259</v>
      </c>
      <c r="CS45" s="61" t="s">
        <v>539</v>
      </c>
      <c r="CT45" s="61" t="s">
        <v>6310</v>
      </c>
      <c r="CU45" s="111">
        <f t="shared" si="16"/>
        <v>205.74302128563454</v>
      </c>
      <c r="CV45" s="331">
        <f t="shared" si="10"/>
        <v>104.125</v>
      </c>
      <c r="CW45" s="326">
        <f t="shared" si="7"/>
        <v>1</v>
      </c>
      <c r="CX45" s="326" t="s">
        <v>539</v>
      </c>
      <c r="CY45" s="161" t="s">
        <v>5921</v>
      </c>
    </row>
    <row r="46" spans="1:103" ht="11.25" customHeight="1" x14ac:dyDescent="0.2">
      <c r="A46" s="72">
        <v>44</v>
      </c>
      <c r="B46" s="149">
        <v>687</v>
      </c>
      <c r="C46" s="54" t="s">
        <v>1982</v>
      </c>
      <c r="D46" s="54" t="s">
        <v>6549</v>
      </c>
      <c r="E46" s="59"/>
      <c r="F46" s="59" t="s">
        <v>1983</v>
      </c>
      <c r="G46" s="151">
        <v>110930</v>
      </c>
      <c r="H46" s="55" t="s">
        <v>1984</v>
      </c>
      <c r="I46" s="55" t="s">
        <v>1984</v>
      </c>
      <c r="J46" s="55" t="s">
        <v>1985</v>
      </c>
      <c r="K46" s="55" t="s">
        <v>426</v>
      </c>
      <c r="L46" s="55"/>
      <c r="M46" s="55" t="s">
        <v>6616</v>
      </c>
      <c r="N46" s="60" t="s">
        <v>6082</v>
      </c>
      <c r="O46" s="55"/>
      <c r="P46" s="67" t="s">
        <v>6183</v>
      </c>
      <c r="Q46" s="67" t="s">
        <v>6173</v>
      </c>
      <c r="R46" s="67" t="s">
        <v>6185</v>
      </c>
      <c r="S46" s="67" t="s">
        <v>6176</v>
      </c>
      <c r="T46" s="56">
        <v>126.2</v>
      </c>
      <c r="U46" s="103"/>
      <c r="V46" s="103">
        <v>13.082408874801901</v>
      </c>
      <c r="W46" s="103">
        <v>54.954087385762435</v>
      </c>
      <c r="X46" s="103">
        <f>IF(W46=0,V46,W46)</f>
        <v>54.954087385762435</v>
      </c>
      <c r="Y46" s="162">
        <v>7</v>
      </c>
      <c r="Z46" s="56">
        <v>2.06</v>
      </c>
      <c r="AA46" s="56"/>
      <c r="AB46" s="56">
        <v>2.61</v>
      </c>
      <c r="AC46" s="56">
        <v>0.61699999999999999</v>
      </c>
      <c r="AD46" s="56">
        <v>2.37</v>
      </c>
      <c r="AE46" s="56">
        <v>2.09</v>
      </c>
      <c r="AF46" s="56">
        <f t="shared" si="17"/>
        <v>2.37</v>
      </c>
      <c r="AG46" s="57">
        <v>1.9</v>
      </c>
      <c r="AH46" s="103">
        <v>2.12E-4</v>
      </c>
      <c r="AI46" s="103"/>
      <c r="AJ46" s="62">
        <f t="shared" si="18"/>
        <v>-2.0622304653839003</v>
      </c>
      <c r="AK46" s="62"/>
      <c r="AL46" s="62">
        <f t="shared" si="14"/>
        <v>-2.0622304653839003</v>
      </c>
      <c r="AM46" s="62">
        <v>-3.9925299999999995</v>
      </c>
      <c r="AN46" s="154">
        <v>-2.71</v>
      </c>
      <c r="AO46" s="410"/>
      <c r="AP46" s="410"/>
      <c r="AQ46" s="154" t="s">
        <v>6311</v>
      </c>
      <c r="AR46" s="154" t="s">
        <v>6311</v>
      </c>
      <c r="AS46" s="149" t="s">
        <v>6</v>
      </c>
      <c r="AT46" s="58" t="s">
        <v>266</v>
      </c>
      <c r="AU46" s="56">
        <v>2</v>
      </c>
      <c r="AV46" s="56">
        <v>96</v>
      </c>
      <c r="AW46" s="56">
        <v>96</v>
      </c>
      <c r="AX46" s="56">
        <v>26</v>
      </c>
      <c r="AY46" s="56" t="s">
        <v>6360</v>
      </c>
      <c r="AZ46" s="56" t="s">
        <v>536</v>
      </c>
      <c r="BA46" s="56">
        <v>20</v>
      </c>
      <c r="BB46" s="55" t="s">
        <v>1764</v>
      </c>
      <c r="BC46" s="55" t="s">
        <v>6372</v>
      </c>
      <c r="BD46" s="55"/>
      <c r="BE46" s="56" t="s">
        <v>6361</v>
      </c>
      <c r="BF46" s="56" t="s">
        <v>1974</v>
      </c>
      <c r="BG46" s="56" t="s">
        <v>1974</v>
      </c>
      <c r="BH46" s="56" t="s">
        <v>272</v>
      </c>
      <c r="BI46" s="157">
        <v>0.19809825673534073</v>
      </c>
      <c r="BJ46" s="157">
        <v>1.6484152139461172</v>
      </c>
      <c r="BK46" s="56" t="s">
        <v>6370</v>
      </c>
      <c r="BL46" s="103">
        <f t="shared" si="15"/>
        <v>0.72562794551174925</v>
      </c>
      <c r="BM46" s="56" t="s">
        <v>541</v>
      </c>
      <c r="BN46" s="56"/>
      <c r="BO46" s="56">
        <f>279/126.2</f>
        <v>2.2107765451664023</v>
      </c>
      <c r="BP46" s="56"/>
      <c r="BQ46" s="56">
        <f>243/126.2</f>
        <v>1.9255150554675118</v>
      </c>
      <c r="BR46" s="56"/>
      <c r="BS46" s="56"/>
      <c r="BT46" s="56"/>
      <c r="BU46" s="158"/>
      <c r="BV46" s="56"/>
      <c r="BW46" s="56"/>
      <c r="BX46" s="56"/>
      <c r="BY46" s="56"/>
      <c r="BZ46" s="56"/>
      <c r="CA46" s="56"/>
      <c r="CB46" s="56"/>
      <c r="CC46" s="56"/>
      <c r="CD46" s="56"/>
      <c r="CE46" s="56"/>
      <c r="CF46" s="56"/>
      <c r="CG46" s="56"/>
      <c r="CH46" s="56"/>
      <c r="CI46" s="103">
        <f t="shared" si="3"/>
        <v>1.9255150554675118</v>
      </c>
      <c r="CJ46" s="103">
        <f t="shared" si="4"/>
        <v>0.28454691869019666</v>
      </c>
      <c r="CK46" s="57">
        <f t="shared" si="9"/>
        <v>0.44019731155882691</v>
      </c>
      <c r="CL46" s="160">
        <f t="shared" si="13"/>
        <v>0.37684875194890027</v>
      </c>
      <c r="CM46" s="160"/>
      <c r="CN46" s="160"/>
      <c r="CO46" s="55"/>
      <c r="CP46" s="55" t="s">
        <v>6355</v>
      </c>
      <c r="CQ46" s="149">
        <v>-0.1690944283627549</v>
      </c>
      <c r="CR46" s="349">
        <f>10^(CJ46-CQ46)</f>
        <v>2.8421130388616715</v>
      </c>
      <c r="CS46" s="61" t="s">
        <v>539</v>
      </c>
      <c r="CT46" s="61" t="s">
        <v>6310</v>
      </c>
      <c r="CU46" s="111">
        <f t="shared" si="16"/>
        <v>28.539941679354815</v>
      </c>
      <c r="CV46" s="331">
        <f t="shared" si="10"/>
        <v>33.337527414715282</v>
      </c>
      <c r="CW46" s="326">
        <f t="shared" si="7"/>
        <v>1</v>
      </c>
      <c r="CX46" s="326" t="s">
        <v>539</v>
      </c>
      <c r="CY46" s="161" t="s">
        <v>6351</v>
      </c>
    </row>
    <row r="47" spans="1:103" ht="11.25" customHeight="1" x14ac:dyDescent="0.2">
      <c r="A47" s="72">
        <v>45</v>
      </c>
      <c r="B47" s="149">
        <v>797</v>
      </c>
      <c r="C47" s="54" t="s">
        <v>2209</v>
      </c>
      <c r="D47" s="54" t="s">
        <v>6455</v>
      </c>
      <c r="E47" s="59"/>
      <c r="F47" s="59" t="s">
        <v>2210</v>
      </c>
      <c r="G47" s="151">
        <v>94757</v>
      </c>
      <c r="H47" s="55" t="s">
        <v>2211</v>
      </c>
      <c r="I47" s="55" t="s">
        <v>8006</v>
      </c>
      <c r="J47" s="55" t="s">
        <v>2212</v>
      </c>
      <c r="K47" s="55" t="s">
        <v>426</v>
      </c>
      <c r="L47" s="55" t="s">
        <v>6032</v>
      </c>
      <c r="M47" s="55" t="s">
        <v>6082</v>
      </c>
      <c r="N47" s="60" t="s">
        <v>6082</v>
      </c>
      <c r="O47" s="55" t="s">
        <v>6083</v>
      </c>
      <c r="P47" s="67"/>
      <c r="Q47" s="67"/>
      <c r="R47" s="67"/>
      <c r="S47" s="67"/>
      <c r="T47" s="56">
        <v>221.04</v>
      </c>
      <c r="U47" s="103">
        <v>3.0627940644227292</v>
      </c>
      <c r="V47" s="103">
        <v>1.5209916757148028</v>
      </c>
      <c r="W47" s="103">
        <v>3.2359365692962796</v>
      </c>
      <c r="X47" s="103">
        <v>3.0627940644227292</v>
      </c>
      <c r="Y47" s="162">
        <v>2.86</v>
      </c>
      <c r="Z47" s="56">
        <v>2.62</v>
      </c>
      <c r="AA47" s="56">
        <v>2.81</v>
      </c>
      <c r="AB47" s="56">
        <v>2.91</v>
      </c>
      <c r="AC47" s="56">
        <v>0.88449999999999995</v>
      </c>
      <c r="AD47" s="56">
        <v>2.84</v>
      </c>
      <c r="AE47" s="56">
        <v>2.58</v>
      </c>
      <c r="AF47" s="56">
        <f t="shared" si="17"/>
        <v>2.81</v>
      </c>
      <c r="AG47" s="57">
        <v>2.5099999999999998</v>
      </c>
      <c r="AH47" s="103">
        <v>9.2099999999999994E-9</v>
      </c>
      <c r="AI47" s="103">
        <v>3.5399999999999999E-8</v>
      </c>
      <c r="AJ47" s="62">
        <f t="shared" si="18"/>
        <v>-6.4243066961158029</v>
      </c>
      <c r="AK47" s="62">
        <f>LOG10(AI47*1000/(0.08206*298.15))</f>
        <v>-5.8395630642868639</v>
      </c>
      <c r="AL47" s="62">
        <f t="shared" si="14"/>
        <v>-5.8395630642868639</v>
      </c>
      <c r="AM47" s="62">
        <v>-9.8747099999999985</v>
      </c>
      <c r="AN47" s="154">
        <v>-7.63</v>
      </c>
      <c r="AO47" s="410">
        <v>2.98</v>
      </c>
      <c r="AP47" s="410"/>
      <c r="AQ47" s="56" t="s">
        <v>6311</v>
      </c>
      <c r="AR47" s="56" t="s">
        <v>6311</v>
      </c>
      <c r="AS47" s="155" t="s">
        <v>6</v>
      </c>
      <c r="AT47" s="58" t="s">
        <v>266</v>
      </c>
      <c r="AU47" s="56">
        <v>0</v>
      </c>
      <c r="AV47" s="56">
        <v>120</v>
      </c>
      <c r="AW47" s="56">
        <v>120</v>
      </c>
      <c r="AX47" s="56">
        <v>26</v>
      </c>
      <c r="AY47" s="56" t="s">
        <v>647</v>
      </c>
      <c r="AZ47" s="56" t="s">
        <v>536</v>
      </c>
      <c r="BA47" s="56">
        <v>10</v>
      </c>
      <c r="BB47" s="55" t="s">
        <v>1764</v>
      </c>
      <c r="BC47" s="55" t="s">
        <v>538</v>
      </c>
      <c r="BD47" s="55"/>
      <c r="BE47" s="56" t="s">
        <v>271</v>
      </c>
      <c r="BF47" s="56" t="s">
        <v>539</v>
      </c>
      <c r="BG47" s="56">
        <v>7.5</v>
      </c>
      <c r="BH47" s="56" t="s">
        <v>272</v>
      </c>
      <c r="BI47" s="103">
        <v>1.4567500000000001E-2</v>
      </c>
      <c r="BJ47" s="103">
        <v>2.8</v>
      </c>
      <c r="BK47" s="56" t="s">
        <v>2066</v>
      </c>
      <c r="BL47" s="103">
        <f t="shared" si="15"/>
        <v>0.22791767185459777</v>
      </c>
      <c r="BM47" s="56" t="s">
        <v>541</v>
      </c>
      <c r="BN47" s="56" t="s">
        <v>2245</v>
      </c>
      <c r="BO47" s="56" t="s">
        <v>2245</v>
      </c>
      <c r="BP47" s="56">
        <v>2.57</v>
      </c>
      <c r="BQ47" s="171">
        <v>1.94</v>
      </c>
      <c r="BR47" s="171">
        <v>1.82</v>
      </c>
      <c r="BS47" s="56"/>
      <c r="BT47" s="56"/>
      <c r="BU47" s="158"/>
      <c r="BV47" s="56"/>
      <c r="BW47" s="56"/>
      <c r="BX47" s="56"/>
      <c r="BY47" s="56"/>
      <c r="BZ47" s="56"/>
      <c r="CA47" s="56"/>
      <c r="CB47" s="56"/>
      <c r="CC47" s="56"/>
      <c r="CD47" s="56"/>
      <c r="CE47" s="56"/>
      <c r="CF47" s="56"/>
      <c r="CG47" s="56"/>
      <c r="CH47" s="56"/>
      <c r="CI47" s="103">
        <f t="shared" si="3"/>
        <v>1.82</v>
      </c>
      <c r="CJ47" s="103">
        <f t="shared" si="4"/>
        <v>0.26007138798507479</v>
      </c>
      <c r="CK47" s="57">
        <f t="shared" si="9"/>
        <v>8.1399168519499215E-2</v>
      </c>
      <c r="CL47" s="160">
        <f t="shared" si="13"/>
        <v>0.12522949002999878</v>
      </c>
      <c r="CM47" s="160">
        <v>-0.14035088925253017</v>
      </c>
      <c r="CN47" s="160">
        <f>BJ47/(10^CM47)</f>
        <v>3.8682000000000003</v>
      </c>
      <c r="CO47" s="55" t="s">
        <v>2246</v>
      </c>
      <c r="CP47" s="55" t="s">
        <v>2244</v>
      </c>
      <c r="CQ47" s="149">
        <v>0.13999412806422276</v>
      </c>
      <c r="CR47" s="349">
        <f>10^(CJ47-CQ47)</f>
        <v>1.3184912740509991</v>
      </c>
      <c r="CS47" s="61" t="s">
        <v>539</v>
      </c>
      <c r="CT47" s="61" t="s">
        <v>6310</v>
      </c>
      <c r="CU47" s="111">
        <f t="shared" si="16"/>
        <v>1.6828538815509499</v>
      </c>
      <c r="CV47" s="331">
        <f t="shared" si="10"/>
        <v>1.0938550230081177</v>
      </c>
      <c r="CW47" s="326">
        <f t="shared" si="7"/>
        <v>0</v>
      </c>
      <c r="CX47" s="326" t="s">
        <v>539</v>
      </c>
      <c r="CY47" s="161" t="s">
        <v>5921</v>
      </c>
    </row>
    <row r="48" spans="1:103" ht="11.25" customHeight="1" x14ac:dyDescent="0.2">
      <c r="A48" s="72">
        <v>46</v>
      </c>
      <c r="B48" s="149">
        <v>632</v>
      </c>
      <c r="C48" s="54" t="s">
        <v>629</v>
      </c>
      <c r="D48" s="54" t="s">
        <v>6537</v>
      </c>
      <c r="E48" s="59"/>
      <c r="F48" s="59" t="s">
        <v>630</v>
      </c>
      <c r="G48" s="151">
        <v>58082</v>
      </c>
      <c r="H48" s="55" t="s">
        <v>631</v>
      </c>
      <c r="I48" s="55" t="s">
        <v>631</v>
      </c>
      <c r="J48" s="55" t="s">
        <v>632</v>
      </c>
      <c r="K48" s="55" t="s">
        <v>333</v>
      </c>
      <c r="L48" s="64" t="s">
        <v>279</v>
      </c>
      <c r="M48" s="55" t="s">
        <v>633</v>
      </c>
      <c r="N48" s="60" t="s">
        <v>6376</v>
      </c>
      <c r="O48" s="55" t="s">
        <v>281</v>
      </c>
      <c r="P48" s="67"/>
      <c r="Q48" s="67" t="s">
        <v>6173</v>
      </c>
      <c r="R48" s="67" t="s">
        <v>6185</v>
      </c>
      <c r="S48" s="67" t="s">
        <v>6176</v>
      </c>
      <c r="T48" s="56">
        <v>194.19</v>
      </c>
      <c r="U48" s="103">
        <v>111.23126834543488</v>
      </c>
      <c r="V48" s="103">
        <v>13.55373603172151</v>
      </c>
      <c r="W48" s="103">
        <v>275.4228703338166</v>
      </c>
      <c r="X48" s="103">
        <v>111.23126834543488</v>
      </c>
      <c r="Y48" s="162">
        <v>7.14</v>
      </c>
      <c r="Z48" s="56">
        <v>0.16</v>
      </c>
      <c r="AA48" s="56">
        <v>-7.0000000000000007E-2</v>
      </c>
      <c r="AB48" s="56">
        <v>0.42</v>
      </c>
      <c r="AC48" s="56">
        <v>0.85360000000000003</v>
      </c>
      <c r="AD48" s="56">
        <v>0.28000000000000003</v>
      </c>
      <c r="AE48" s="56">
        <v>-0.13</v>
      </c>
      <c r="AF48" s="56">
        <f t="shared" si="17"/>
        <v>-7.0000000000000007E-2</v>
      </c>
      <c r="AG48" s="57">
        <v>-0.09</v>
      </c>
      <c r="AH48" s="103">
        <v>3.5800000000000002E-11</v>
      </c>
      <c r="AI48" s="103"/>
      <c r="AJ48" s="62">
        <f t="shared" si="18"/>
        <v>-8.834683299668777</v>
      </c>
      <c r="AK48" s="62"/>
      <c r="AL48" s="62">
        <f t="shared" si="14"/>
        <v>-8.834683299668777</v>
      </c>
      <c r="AM48" s="62">
        <v>-12.930309999999999</v>
      </c>
      <c r="AN48" s="154">
        <v>-6.54</v>
      </c>
      <c r="AO48" s="410"/>
      <c r="AP48" s="410">
        <v>0.52</v>
      </c>
      <c r="AQ48" s="154" t="s">
        <v>6311</v>
      </c>
      <c r="AR48" s="154" t="s">
        <v>6311</v>
      </c>
      <c r="AS48" s="149" t="s">
        <v>6</v>
      </c>
      <c r="AT48" s="58" t="s">
        <v>266</v>
      </c>
      <c r="AU48" s="56">
        <v>2</v>
      </c>
      <c r="AV48" s="56" t="s">
        <v>646</v>
      </c>
      <c r="AW48" s="56" t="s">
        <v>646</v>
      </c>
      <c r="AX48" s="56">
        <v>26</v>
      </c>
      <c r="AY48" s="56" t="s">
        <v>647</v>
      </c>
      <c r="AZ48" s="56" t="s">
        <v>536</v>
      </c>
      <c r="BA48" s="56">
        <v>10</v>
      </c>
      <c r="BB48" s="55" t="s">
        <v>1764</v>
      </c>
      <c r="BC48" s="55" t="s">
        <v>538</v>
      </c>
      <c r="BD48" s="55"/>
      <c r="BE48" s="56" t="s">
        <v>1809</v>
      </c>
      <c r="BF48" s="56" t="s">
        <v>539</v>
      </c>
      <c r="BG48" s="56" t="s">
        <v>272</v>
      </c>
      <c r="BH48" s="56" t="s">
        <v>272</v>
      </c>
      <c r="BI48" s="157">
        <v>9.6554920438745556E-2</v>
      </c>
      <c r="BJ48" s="157">
        <v>10.299191513466193</v>
      </c>
      <c r="BK48" s="56" t="s">
        <v>1843</v>
      </c>
      <c r="BL48" s="103">
        <f t="shared" si="15"/>
        <v>36.906596779165021</v>
      </c>
      <c r="BM48" s="56" t="s">
        <v>541</v>
      </c>
      <c r="BN48" s="56"/>
      <c r="BO48" s="56">
        <v>3.4100623101086569</v>
      </c>
      <c r="BP48" s="56"/>
      <c r="BQ48" s="56"/>
      <c r="BR48" s="56">
        <v>1.69</v>
      </c>
      <c r="BS48" s="56"/>
      <c r="BT48" s="56"/>
      <c r="BU48" s="158"/>
      <c r="BV48" s="56"/>
      <c r="BW48" s="56"/>
      <c r="BX48" s="56"/>
      <c r="BY48" s="56"/>
      <c r="BZ48" s="56"/>
      <c r="CA48" s="56"/>
      <c r="CB48" s="56"/>
      <c r="CC48" s="56"/>
      <c r="CD48" s="56"/>
      <c r="CE48" s="56"/>
      <c r="CF48" s="56"/>
      <c r="CG48" s="56"/>
      <c r="CH48" s="56"/>
      <c r="CI48" s="103">
        <f t="shared" si="3"/>
        <v>1.69</v>
      </c>
      <c r="CJ48" s="103">
        <f t="shared" si="4"/>
        <v>0.22788670461367352</v>
      </c>
      <c r="CK48" s="57">
        <f t="shared" si="9"/>
        <v>3.583446014273028</v>
      </c>
      <c r="CL48" s="160">
        <f t="shared" si="13"/>
        <v>21.838222946251491</v>
      </c>
      <c r="CM48" s="160"/>
      <c r="CN48" s="160"/>
      <c r="CO48" s="55"/>
      <c r="CP48" s="55" t="s">
        <v>1811</v>
      </c>
      <c r="CQ48" s="149">
        <v>-0.10924991444442339</v>
      </c>
      <c r="CR48" s="349">
        <f>10^(CJ48-CQ48)</f>
        <v>2.1733847682119203</v>
      </c>
      <c r="CS48" s="61" t="s">
        <v>539</v>
      </c>
      <c r="CT48" s="61" t="s">
        <v>6310</v>
      </c>
      <c r="CU48" s="111">
        <f t="shared" si="16"/>
        <v>65.81731854759461</v>
      </c>
      <c r="CV48" s="331">
        <f t="shared" si="10"/>
        <v>10.8</v>
      </c>
      <c r="CW48" s="326">
        <f t="shared" si="7"/>
        <v>1</v>
      </c>
      <c r="CX48" s="326" t="s">
        <v>539</v>
      </c>
      <c r="CY48" s="161" t="s">
        <v>6351</v>
      </c>
    </row>
    <row r="49" spans="1:103" ht="11.25" customHeight="1" x14ac:dyDescent="0.2">
      <c r="A49" s="72">
        <v>47</v>
      </c>
      <c r="B49" s="149">
        <v>1037</v>
      </c>
      <c r="C49" s="54" t="s">
        <v>2947</v>
      </c>
      <c r="D49" s="54"/>
      <c r="E49" s="59"/>
      <c r="F49" s="59" t="s">
        <v>2948</v>
      </c>
      <c r="G49" s="151">
        <v>77407</v>
      </c>
      <c r="H49" s="55" t="s">
        <v>2949</v>
      </c>
      <c r="I49" s="55" t="s">
        <v>2949</v>
      </c>
      <c r="J49" s="55" t="s">
        <v>2950</v>
      </c>
      <c r="K49" s="55" t="s">
        <v>376</v>
      </c>
      <c r="L49" s="55"/>
      <c r="M49" s="55"/>
      <c r="N49" s="60"/>
      <c r="O49" s="55"/>
      <c r="P49" s="67"/>
      <c r="Q49" s="67"/>
      <c r="R49" s="67"/>
      <c r="S49" s="67"/>
      <c r="T49" s="56">
        <v>242.31</v>
      </c>
      <c r="U49" s="103"/>
      <c r="V49" s="103">
        <v>0.12063059716891585</v>
      </c>
      <c r="W49" s="103">
        <v>0.21877616239495512</v>
      </c>
      <c r="X49" s="103">
        <f>IF(W49=0,V49,W49)</f>
        <v>0.21877616239495512</v>
      </c>
      <c r="Y49" s="162">
        <v>6.83</v>
      </c>
      <c r="Z49" s="56">
        <v>4.13</v>
      </c>
      <c r="AA49" s="56"/>
      <c r="AB49" s="56">
        <v>3.91</v>
      </c>
      <c r="AC49" s="56">
        <v>0.81579999999999997</v>
      </c>
      <c r="AD49" s="56">
        <v>3.92</v>
      </c>
      <c r="AE49" s="56">
        <v>3.96</v>
      </c>
      <c r="AF49" s="56">
        <f t="shared" si="17"/>
        <v>3.92</v>
      </c>
      <c r="AG49" s="57">
        <v>4.1399999999999997</v>
      </c>
      <c r="AH49" s="103">
        <v>1.2200000000000001E-11</v>
      </c>
      <c r="AI49" s="103"/>
      <c r="AJ49" s="62">
        <f t="shared" si="18"/>
        <v>-9.302206495637904</v>
      </c>
      <c r="AK49" s="62"/>
      <c r="AL49" s="62">
        <f t="shared" si="14"/>
        <v>-9.302206495637904</v>
      </c>
      <c r="AM49" s="62">
        <v>-13.823460000000001</v>
      </c>
      <c r="AN49" s="154">
        <v>-10.1</v>
      </c>
      <c r="AO49" s="410">
        <v>10.27</v>
      </c>
      <c r="AP49" s="410"/>
      <c r="AQ49" s="56" t="s">
        <v>6311</v>
      </c>
      <c r="AR49" s="56" t="s">
        <v>6311</v>
      </c>
      <c r="AS49" s="155"/>
      <c r="AT49" s="58" t="s">
        <v>266</v>
      </c>
      <c r="AU49" s="56">
        <v>6</v>
      </c>
      <c r="AV49" s="56">
        <v>120</v>
      </c>
      <c r="AW49" s="56">
        <v>114</v>
      </c>
      <c r="AX49" s="56">
        <v>28</v>
      </c>
      <c r="AY49" s="56" t="s">
        <v>8728</v>
      </c>
      <c r="AZ49" s="56" t="s">
        <v>1563</v>
      </c>
      <c r="BA49" s="56">
        <v>32</v>
      </c>
      <c r="BB49" s="55" t="s">
        <v>2485</v>
      </c>
      <c r="BC49" s="55" t="s">
        <v>8726</v>
      </c>
      <c r="BD49" s="55" t="s">
        <v>8374</v>
      </c>
      <c r="BE49" s="56" t="s">
        <v>2449</v>
      </c>
      <c r="BF49" s="56" t="s">
        <v>272</v>
      </c>
      <c r="BG49" s="56" t="s">
        <v>272</v>
      </c>
      <c r="BH49" s="56" t="s">
        <v>2486</v>
      </c>
      <c r="BI49" s="103">
        <v>6.3999999999999997E-6</v>
      </c>
      <c r="BJ49" s="103">
        <v>6.4000000000000001E-2</v>
      </c>
      <c r="BK49" s="56"/>
      <c r="BL49" s="103">
        <f t="shared" si="15"/>
        <v>1.0037995577353173E-2</v>
      </c>
      <c r="BM49" s="56" t="s">
        <v>2487</v>
      </c>
      <c r="BN49" s="56"/>
      <c r="BO49" s="56"/>
      <c r="BP49" s="56"/>
      <c r="BQ49" s="56"/>
      <c r="BR49" s="55">
        <v>2.0238577000000001E-2</v>
      </c>
      <c r="BS49" s="56"/>
      <c r="BT49" s="56"/>
      <c r="BU49" s="158"/>
      <c r="BV49" s="56"/>
      <c r="BW49" s="56"/>
      <c r="BX49" s="56"/>
      <c r="BY49" s="56"/>
      <c r="BZ49" s="56"/>
      <c r="CA49" s="56"/>
      <c r="CB49" s="56"/>
      <c r="CC49" s="56"/>
      <c r="CD49" s="56"/>
      <c r="CE49" s="56"/>
      <c r="CF49" s="56"/>
      <c r="CG49" s="171"/>
      <c r="CH49" s="56"/>
      <c r="CI49" s="103">
        <f t="shared" si="3"/>
        <v>2.0238577000000001E-2</v>
      </c>
      <c r="CJ49" s="103">
        <f t="shared" si="4"/>
        <v>-1.6938200265542473</v>
      </c>
      <c r="CK49" s="57">
        <f t="shared" si="9"/>
        <v>0.15684368089614334</v>
      </c>
      <c r="CL49" s="160">
        <f t="shared" si="13"/>
        <v>0.49598326885102512</v>
      </c>
      <c r="CM49" s="160"/>
      <c r="CN49" s="160"/>
      <c r="CO49" s="55" t="s">
        <v>2488</v>
      </c>
      <c r="CP49" s="55" t="s">
        <v>2489</v>
      </c>
      <c r="CQ49" s="149" t="s">
        <v>272</v>
      </c>
      <c r="CR49" s="349"/>
      <c r="CS49" s="61" t="s">
        <v>539</v>
      </c>
      <c r="CT49" s="61"/>
      <c r="CU49" s="111">
        <f t="shared" si="16"/>
        <v>10.809858934002875</v>
      </c>
      <c r="CV49" s="331">
        <f t="shared" si="10"/>
        <v>3.4183775374211738</v>
      </c>
      <c r="CW49" s="326">
        <f t="shared" si="7"/>
        <v>1</v>
      </c>
      <c r="CX49" s="326"/>
      <c r="CY49" s="161" t="s">
        <v>5921</v>
      </c>
    </row>
    <row r="50" spans="1:103" ht="11.25" customHeight="1" x14ac:dyDescent="0.2">
      <c r="A50" s="72">
        <v>48</v>
      </c>
      <c r="B50" s="149">
        <v>621</v>
      </c>
      <c r="C50" s="54" t="s">
        <v>1852</v>
      </c>
      <c r="D50" s="54" t="s">
        <v>6562</v>
      </c>
      <c r="E50" s="59"/>
      <c r="F50" s="59" t="s">
        <v>1853</v>
      </c>
      <c r="G50" s="151">
        <v>513815</v>
      </c>
      <c r="H50" s="55" t="s">
        <v>1854</v>
      </c>
      <c r="I50" s="55" t="s">
        <v>1854</v>
      </c>
      <c r="J50" s="55" t="s">
        <v>1855</v>
      </c>
      <c r="K50" s="55" t="s">
        <v>426</v>
      </c>
      <c r="L50" s="55" t="s">
        <v>5527</v>
      </c>
      <c r="M50" s="55" t="s">
        <v>6616</v>
      </c>
      <c r="N50" s="60" t="s">
        <v>6082</v>
      </c>
      <c r="O50" s="55" t="s">
        <v>498</v>
      </c>
      <c r="P50" s="67" t="s">
        <v>6183</v>
      </c>
      <c r="Q50" s="67" t="s">
        <v>6173</v>
      </c>
      <c r="R50" s="67" t="s">
        <v>6185</v>
      </c>
      <c r="S50" s="67" t="s">
        <v>6176</v>
      </c>
      <c r="T50" s="56">
        <v>82.14</v>
      </c>
      <c r="U50" s="103">
        <v>3.968833698563428</v>
      </c>
      <c r="V50" s="103">
        <v>0.97735573411249088</v>
      </c>
      <c r="W50" s="103">
        <v>1.318256738556407</v>
      </c>
      <c r="X50" s="103">
        <v>3.968833698563428</v>
      </c>
      <c r="Y50" s="162">
        <v>7</v>
      </c>
      <c r="Z50" s="56">
        <v>3.13</v>
      </c>
      <c r="AA50" s="56"/>
      <c r="AB50" s="56">
        <v>2.58</v>
      </c>
      <c r="AC50" s="56">
        <v>0.75060000000000004</v>
      </c>
      <c r="AD50" s="56">
        <v>2.71</v>
      </c>
      <c r="AE50" s="56">
        <v>2.97</v>
      </c>
      <c r="AF50" s="56">
        <f t="shared" si="17"/>
        <v>2.71</v>
      </c>
      <c r="AG50" s="57">
        <v>2.5</v>
      </c>
      <c r="AH50" s="103">
        <v>0.191</v>
      </c>
      <c r="AI50" s="103">
        <v>5.04E-2</v>
      </c>
      <c r="AJ50" s="62">
        <f t="shared" si="18"/>
        <v>0.89246704093507578</v>
      </c>
      <c r="AK50" s="62">
        <f>LOG10(AI50*1000/(0.08206*298.15))</f>
        <v>0.31386421013287347</v>
      </c>
      <c r="AL50" s="62">
        <f t="shared" si="14"/>
        <v>0.31386421013287347</v>
      </c>
      <c r="AM50" s="62">
        <v>-0.77951000000000015</v>
      </c>
      <c r="AN50" s="154">
        <v>0.41899999999999998</v>
      </c>
      <c r="AO50" s="410"/>
      <c r="AP50" s="410"/>
      <c r="AQ50" s="154" t="s">
        <v>6311</v>
      </c>
      <c r="AR50" s="154" t="s">
        <v>6311</v>
      </c>
      <c r="AS50" s="149" t="s">
        <v>6</v>
      </c>
      <c r="AT50" s="58" t="s">
        <v>266</v>
      </c>
      <c r="AU50" s="56">
        <v>2</v>
      </c>
      <c r="AV50" s="56" t="s">
        <v>646</v>
      </c>
      <c r="AW50" s="56" t="s">
        <v>646</v>
      </c>
      <c r="AX50" s="56">
        <v>26</v>
      </c>
      <c r="AY50" s="56" t="s">
        <v>647</v>
      </c>
      <c r="AZ50" s="56" t="s">
        <v>536</v>
      </c>
      <c r="BA50" s="56">
        <v>10</v>
      </c>
      <c r="BB50" s="55" t="s">
        <v>1764</v>
      </c>
      <c r="BC50" s="55" t="s">
        <v>538</v>
      </c>
      <c r="BD50" s="55"/>
      <c r="BE50" s="56" t="s">
        <v>1809</v>
      </c>
      <c r="BF50" s="56" t="s">
        <v>539</v>
      </c>
      <c r="BG50" s="56" t="s">
        <v>272</v>
      </c>
      <c r="BH50" s="56" t="s">
        <v>272</v>
      </c>
      <c r="BI50" s="157">
        <v>0.11412051125989044</v>
      </c>
      <c r="BJ50" s="157">
        <v>3.651856360316494</v>
      </c>
      <c r="BK50" s="56" t="s">
        <v>1821</v>
      </c>
      <c r="BL50" s="103">
        <f t="shared" si="15"/>
        <v>7.9386563037026806E-2</v>
      </c>
      <c r="BM50" s="56" t="s">
        <v>541</v>
      </c>
      <c r="BN50" s="56"/>
      <c r="BO50" s="56">
        <v>1.6189896530736456</v>
      </c>
      <c r="BP50" s="56"/>
      <c r="BQ50" s="56"/>
      <c r="BR50" s="56">
        <v>1.89</v>
      </c>
      <c r="BS50" s="56"/>
      <c r="BT50" s="56"/>
      <c r="BU50" s="158"/>
      <c r="BV50" s="56"/>
      <c r="BW50" s="56"/>
      <c r="BX50" s="56"/>
      <c r="BY50" s="56"/>
      <c r="BZ50" s="56"/>
      <c r="CA50" s="56"/>
      <c r="CB50" s="56"/>
      <c r="CC50" s="56"/>
      <c r="CD50" s="56"/>
      <c r="CE50" s="56"/>
      <c r="CF50" s="56"/>
      <c r="CG50" s="56"/>
      <c r="CH50" s="56"/>
      <c r="CI50" s="103">
        <f t="shared" si="3"/>
        <v>1.6189896530736456</v>
      </c>
      <c r="CJ50" s="103">
        <f t="shared" si="4"/>
        <v>0.20924407319600521</v>
      </c>
      <c r="CK50" s="57">
        <f t="shared" si="9"/>
        <v>2.1738687178305842E-2</v>
      </c>
      <c r="CL50" s="160">
        <f t="shared" si="13"/>
        <v>4.9034632733020694E-2</v>
      </c>
      <c r="CM50" s="160"/>
      <c r="CN50" s="160"/>
      <c r="CO50" s="55"/>
      <c r="CP50" s="55" t="s">
        <v>1811</v>
      </c>
      <c r="CQ50" s="149">
        <v>-1.0776053229897682</v>
      </c>
      <c r="CR50" s="349">
        <f t="shared" ref="CR50:CR60" si="19">10^(CJ50-CQ50)</f>
        <v>19.357505716406283</v>
      </c>
      <c r="CS50" s="61" t="s">
        <v>539</v>
      </c>
      <c r="CT50" s="61" t="s">
        <v>6310</v>
      </c>
      <c r="CU50" s="111">
        <f t="shared" si="16"/>
        <v>2.4514262280976364</v>
      </c>
      <c r="CV50" s="331">
        <f t="shared" si="10"/>
        <v>1.0867989611232856</v>
      </c>
      <c r="CW50" s="326">
        <f t="shared" si="7"/>
        <v>1</v>
      </c>
      <c r="CX50" s="326" t="s">
        <v>539</v>
      </c>
      <c r="CY50" s="161" t="s">
        <v>5921</v>
      </c>
    </row>
    <row r="51" spans="1:103" ht="11.25" customHeight="1" x14ac:dyDescent="0.2">
      <c r="A51" s="72">
        <v>49</v>
      </c>
      <c r="B51" s="149">
        <v>863</v>
      </c>
      <c r="C51" s="54" t="s">
        <v>2455</v>
      </c>
      <c r="D51" s="54" t="s">
        <v>6450</v>
      </c>
      <c r="E51" s="59"/>
      <c r="F51" s="59" t="s">
        <v>3836</v>
      </c>
      <c r="G51" s="151">
        <v>85007</v>
      </c>
      <c r="H51" s="55" t="s">
        <v>2456</v>
      </c>
      <c r="I51" s="55" t="s">
        <v>2456</v>
      </c>
      <c r="J51" s="55" t="s">
        <v>2457</v>
      </c>
      <c r="K51" s="55" t="s">
        <v>426</v>
      </c>
      <c r="L51" s="60" t="s">
        <v>6107</v>
      </c>
      <c r="M51" s="60" t="s">
        <v>2342</v>
      </c>
      <c r="N51" s="60" t="s">
        <v>2342</v>
      </c>
      <c r="O51" s="60"/>
      <c r="P51" s="67"/>
      <c r="Q51" s="67"/>
      <c r="R51" s="67"/>
      <c r="S51" s="67"/>
      <c r="T51" s="154">
        <v>344.05</v>
      </c>
      <c r="U51" s="103">
        <v>2057.8404301700334</v>
      </c>
      <c r="V51" s="103">
        <v>390.93155064670833</v>
      </c>
      <c r="W51" s="103"/>
      <c r="X51" s="103">
        <v>2057.8404301700334</v>
      </c>
      <c r="Y51" s="162"/>
      <c r="Z51" s="56">
        <v>-2.82</v>
      </c>
      <c r="AA51" s="56"/>
      <c r="AB51" s="56"/>
      <c r="AC51" s="56"/>
      <c r="AD51" s="56">
        <v>-4.71</v>
      </c>
      <c r="AE51" s="56"/>
      <c r="AF51" s="56">
        <f t="shared" si="17"/>
        <v>-4.71</v>
      </c>
      <c r="AG51" s="57">
        <v>3.61</v>
      </c>
      <c r="AH51" s="103">
        <v>1.42E-13</v>
      </c>
      <c r="AI51" s="103"/>
      <c r="AJ51" s="62">
        <f t="shared" si="18"/>
        <v>-11.236277981929595</v>
      </c>
      <c r="AK51" s="62"/>
      <c r="AL51" s="62">
        <f t="shared" si="14"/>
        <v>-11.236277981929595</v>
      </c>
      <c r="AM51" s="62"/>
      <c r="AN51" s="154">
        <v>-10.4</v>
      </c>
      <c r="AO51" s="410"/>
      <c r="AP51" s="410"/>
      <c r="AQ51" s="154" t="s">
        <v>6311</v>
      </c>
      <c r="AR51" s="154" t="s">
        <v>6311</v>
      </c>
      <c r="AS51" s="149" t="s">
        <v>6</v>
      </c>
      <c r="AT51" s="58" t="s">
        <v>266</v>
      </c>
      <c r="AU51" s="56">
        <v>2</v>
      </c>
      <c r="AV51" s="56">
        <v>98</v>
      </c>
      <c r="AW51" s="56">
        <v>96</v>
      </c>
      <c r="AX51" s="56">
        <v>26</v>
      </c>
      <c r="AY51" s="56" t="s">
        <v>267</v>
      </c>
      <c r="AZ51" s="56" t="s">
        <v>536</v>
      </c>
      <c r="BA51" s="56">
        <v>10</v>
      </c>
      <c r="BB51" s="55" t="s">
        <v>1764</v>
      </c>
      <c r="BC51" s="55" t="s">
        <v>2448</v>
      </c>
      <c r="BD51" s="55"/>
      <c r="BE51" s="56" t="s">
        <v>2449</v>
      </c>
      <c r="BF51" s="56"/>
      <c r="BG51" s="56" t="s">
        <v>540</v>
      </c>
      <c r="BH51" s="56" t="s">
        <v>272</v>
      </c>
      <c r="BI51" s="103"/>
      <c r="BJ51" s="103"/>
      <c r="BK51" s="56" t="s">
        <v>6605</v>
      </c>
      <c r="BL51" s="103">
        <f t="shared" si="15"/>
        <v>17516.284887157108</v>
      </c>
      <c r="BM51" s="56" t="s">
        <v>541</v>
      </c>
      <c r="BN51" s="162"/>
      <c r="BO51" s="56"/>
      <c r="BP51" s="56"/>
      <c r="BQ51" s="56">
        <v>1.6139805260863245</v>
      </c>
      <c r="BR51" s="56"/>
      <c r="BS51" s="56"/>
      <c r="BT51" s="56"/>
      <c r="BU51" s="158"/>
      <c r="BV51" s="56"/>
      <c r="BW51" s="56"/>
      <c r="BX51" s="56"/>
      <c r="BY51" s="56"/>
      <c r="BZ51" s="56"/>
      <c r="CA51" s="56"/>
      <c r="CB51" s="56"/>
      <c r="CC51" s="56"/>
      <c r="CD51" s="56"/>
      <c r="CE51" s="56"/>
      <c r="CF51" s="56"/>
      <c r="CG51" s="56"/>
      <c r="CH51" s="56"/>
      <c r="CI51" s="103">
        <f t="shared" si="3"/>
        <v>1.6139805260863245</v>
      </c>
      <c r="CJ51" s="103">
        <f t="shared" si="4"/>
        <v>0.20789829032144647</v>
      </c>
      <c r="CK51" s="57" t="s">
        <v>404</v>
      </c>
      <c r="CL51" s="160">
        <f t="shared" si="13"/>
        <v>10852.84772898198</v>
      </c>
      <c r="CM51" s="160">
        <v>-1.3904935265041733</v>
      </c>
      <c r="CN51" s="160"/>
      <c r="CO51" s="55"/>
      <c r="CP51" s="55" t="s">
        <v>2450</v>
      </c>
      <c r="CQ51" s="149">
        <v>-0.60327780573567635</v>
      </c>
      <c r="CR51" s="349">
        <f t="shared" si="19"/>
        <v>6.4740506985468871</v>
      </c>
      <c r="CS51" s="61" t="s">
        <v>539</v>
      </c>
      <c r="CT51" s="61"/>
      <c r="CU51" s="111">
        <f t="shared" si="16"/>
        <v>1275.0094545192603</v>
      </c>
      <c r="CV51" s="331"/>
      <c r="CW51" s="326">
        <f t="shared" si="7"/>
        <v>1</v>
      </c>
      <c r="CX51" s="326"/>
      <c r="CY51" s="161" t="s">
        <v>5921</v>
      </c>
    </row>
    <row r="52" spans="1:103" ht="11.25" customHeight="1" x14ac:dyDescent="0.2">
      <c r="A52" s="72">
        <v>50</v>
      </c>
      <c r="B52" s="149">
        <v>748</v>
      </c>
      <c r="C52" s="54" t="s">
        <v>629</v>
      </c>
      <c r="D52" s="54" t="s">
        <v>6537</v>
      </c>
      <c r="E52" s="59"/>
      <c r="F52" s="59" t="s">
        <v>630</v>
      </c>
      <c r="G52" s="151">
        <v>58082</v>
      </c>
      <c r="H52" s="55" t="s">
        <v>631</v>
      </c>
      <c r="I52" s="55" t="s">
        <v>631</v>
      </c>
      <c r="J52" s="55" t="s">
        <v>632</v>
      </c>
      <c r="K52" s="55" t="s">
        <v>333</v>
      </c>
      <c r="L52" s="64" t="s">
        <v>279</v>
      </c>
      <c r="M52" s="55" t="s">
        <v>633</v>
      </c>
      <c r="N52" s="60"/>
      <c r="O52" s="55" t="s">
        <v>281</v>
      </c>
      <c r="P52" s="67"/>
      <c r="Q52" s="67" t="s">
        <v>6173</v>
      </c>
      <c r="R52" s="67" t="s">
        <v>6185</v>
      </c>
      <c r="S52" s="67" t="s">
        <v>6176</v>
      </c>
      <c r="T52" s="56">
        <v>194.19</v>
      </c>
      <c r="U52" s="103">
        <v>111.23126834543488</v>
      </c>
      <c r="V52" s="103">
        <v>13.55373603172151</v>
      </c>
      <c r="W52" s="103">
        <v>275.4228703338166</v>
      </c>
      <c r="X52" s="103">
        <v>111.23126834543488</v>
      </c>
      <c r="Y52" s="162">
        <v>7.14</v>
      </c>
      <c r="Z52" s="56">
        <v>0.16</v>
      </c>
      <c r="AA52" s="56">
        <v>-7.0000000000000007E-2</v>
      </c>
      <c r="AB52" s="56">
        <v>0.42</v>
      </c>
      <c r="AC52" s="56">
        <v>0.85360000000000003</v>
      </c>
      <c r="AD52" s="56">
        <v>0.28000000000000003</v>
      </c>
      <c r="AE52" s="56">
        <v>-0.13</v>
      </c>
      <c r="AF52" s="56">
        <f t="shared" si="17"/>
        <v>-7.0000000000000007E-2</v>
      </c>
      <c r="AG52" s="57">
        <v>-0.09</v>
      </c>
      <c r="AH52" s="103">
        <v>3.5800000000000002E-11</v>
      </c>
      <c r="AI52" s="103"/>
      <c r="AJ52" s="62">
        <f t="shared" si="18"/>
        <v>-8.834683299668777</v>
      </c>
      <c r="AK52" s="62"/>
      <c r="AL52" s="62">
        <f t="shared" si="14"/>
        <v>-8.834683299668777</v>
      </c>
      <c r="AM52" s="62">
        <v>-12.930309999999999</v>
      </c>
      <c r="AN52" s="154">
        <v>-6.54</v>
      </c>
      <c r="AO52" s="410"/>
      <c r="AP52" s="410">
        <v>0.52</v>
      </c>
      <c r="AQ52" s="154" t="s">
        <v>6311</v>
      </c>
      <c r="AR52" s="154" t="s">
        <v>6311</v>
      </c>
      <c r="AS52" s="149" t="s">
        <v>6</v>
      </c>
      <c r="AT52" s="58" t="s">
        <v>266</v>
      </c>
      <c r="AU52" s="56">
        <v>2</v>
      </c>
      <c r="AV52" s="56" t="s">
        <v>646</v>
      </c>
      <c r="AW52" s="56" t="s">
        <v>646</v>
      </c>
      <c r="AX52" s="56">
        <v>26</v>
      </c>
      <c r="AY52" s="56" t="s">
        <v>8722</v>
      </c>
      <c r="AZ52" s="56" t="s">
        <v>536</v>
      </c>
      <c r="BA52" s="56">
        <v>12</v>
      </c>
      <c r="BB52" s="55" t="s">
        <v>1764</v>
      </c>
      <c r="BC52" s="55" t="s">
        <v>2121</v>
      </c>
      <c r="BD52" s="55"/>
      <c r="BE52" s="56" t="s">
        <v>271</v>
      </c>
      <c r="BF52" s="56" t="s">
        <v>2122</v>
      </c>
      <c r="BG52" s="473" t="s">
        <v>2123</v>
      </c>
      <c r="BH52" s="56" t="s">
        <v>272</v>
      </c>
      <c r="BI52" s="103">
        <v>0.05</v>
      </c>
      <c r="BJ52" s="103">
        <v>12.9</v>
      </c>
      <c r="BK52" s="56"/>
      <c r="BL52" s="103">
        <f t="shared" si="15"/>
        <v>36.906596779165021</v>
      </c>
      <c r="BM52" s="56">
        <v>5.6</v>
      </c>
      <c r="BN52" s="56"/>
      <c r="BO52" s="56">
        <v>3.67</v>
      </c>
      <c r="BP52" s="56"/>
      <c r="BQ52" s="56"/>
      <c r="BR52" s="56">
        <v>1.48</v>
      </c>
      <c r="BS52" s="56"/>
      <c r="BT52" s="56"/>
      <c r="BU52" s="158"/>
      <c r="BV52" s="56"/>
      <c r="BW52" s="56"/>
      <c r="BX52" s="56"/>
      <c r="BY52" s="56"/>
      <c r="BZ52" s="56"/>
      <c r="CA52" s="56"/>
      <c r="CB52" s="56"/>
      <c r="CC52" s="56"/>
      <c r="CD52" s="56"/>
      <c r="CE52" s="56"/>
      <c r="CF52" s="56"/>
      <c r="CG52" s="56"/>
      <c r="CH52" s="56"/>
      <c r="CI52" s="103">
        <f t="shared" si="3"/>
        <v>1.48</v>
      </c>
      <c r="CJ52" s="103">
        <f t="shared" si="4"/>
        <v>0.17026171539495738</v>
      </c>
      <c r="CK52" s="57">
        <f>BL52/BJ52</f>
        <v>2.8609764945089164</v>
      </c>
      <c r="CL52" s="160">
        <f t="shared" si="13"/>
        <v>24.93688971565204</v>
      </c>
      <c r="CM52" s="160"/>
      <c r="CN52" s="160"/>
      <c r="CO52" s="55" t="s">
        <v>2125</v>
      </c>
      <c r="CP52" s="55" t="s">
        <v>2126</v>
      </c>
      <c r="CQ52" s="149">
        <v>-0.10924991444442339</v>
      </c>
      <c r="CR52" s="349">
        <f t="shared" si="19"/>
        <v>1.9033192052980132</v>
      </c>
      <c r="CS52" s="61" t="s">
        <v>539</v>
      </c>
      <c r="CT52" s="61"/>
      <c r="CU52" s="111">
        <f t="shared" si="16"/>
        <v>75.156262395564113</v>
      </c>
      <c r="CV52" s="331">
        <f>X52/BJ52</f>
        <v>8.6225789415065801</v>
      </c>
      <c r="CW52" s="326">
        <f t="shared" si="7"/>
        <v>1</v>
      </c>
      <c r="CX52" s="326"/>
      <c r="CY52" s="161" t="s">
        <v>6351</v>
      </c>
    </row>
    <row r="53" spans="1:103" ht="11.25" customHeight="1" x14ac:dyDescent="0.2">
      <c r="A53" s="72">
        <v>51</v>
      </c>
      <c r="B53" s="149">
        <v>868</v>
      </c>
      <c r="C53" s="54" t="s">
        <v>2464</v>
      </c>
      <c r="D53" s="54" t="s">
        <v>6469</v>
      </c>
      <c r="E53" s="59"/>
      <c r="F53" s="59" t="s">
        <v>3723</v>
      </c>
      <c r="G53" s="151">
        <v>116063</v>
      </c>
      <c r="H53" s="55" t="s">
        <v>2465</v>
      </c>
      <c r="I53" s="55" t="s">
        <v>2465</v>
      </c>
      <c r="J53" s="55" t="s">
        <v>2466</v>
      </c>
      <c r="K53" s="55" t="s">
        <v>1504</v>
      </c>
      <c r="L53" s="60" t="s">
        <v>617</v>
      </c>
      <c r="M53" s="55" t="s">
        <v>618</v>
      </c>
      <c r="N53" s="60" t="s">
        <v>6376</v>
      </c>
      <c r="O53" s="55" t="s">
        <v>2467</v>
      </c>
      <c r="P53" s="67"/>
      <c r="Q53" s="67" t="s">
        <v>6173</v>
      </c>
      <c r="R53" s="67" t="s">
        <v>6177</v>
      </c>
      <c r="S53" s="67" t="s">
        <v>6176</v>
      </c>
      <c r="T53" s="154">
        <v>190.26</v>
      </c>
      <c r="U53" s="103">
        <v>31.693472090823086</v>
      </c>
      <c r="V53" s="103">
        <v>27.919688846841165</v>
      </c>
      <c r="W53" s="103">
        <v>16.218100973589287</v>
      </c>
      <c r="X53" s="103">
        <v>31.693472090823086</v>
      </c>
      <c r="Y53" s="162">
        <v>6.99</v>
      </c>
      <c r="Z53" s="56">
        <v>1.36</v>
      </c>
      <c r="AA53" s="56">
        <v>1.1299999999999999</v>
      </c>
      <c r="AB53" s="56">
        <v>1.44</v>
      </c>
      <c r="AC53" s="56">
        <v>0.81879999999999997</v>
      </c>
      <c r="AD53" s="56">
        <v>1.36</v>
      </c>
      <c r="AE53" s="56">
        <v>1.1299999999999999</v>
      </c>
      <c r="AF53" s="56">
        <f t="shared" si="17"/>
        <v>1.1299999999999999</v>
      </c>
      <c r="AG53" s="57">
        <v>1.64</v>
      </c>
      <c r="AH53" s="103">
        <v>3.5699999999999999E-9</v>
      </c>
      <c r="AI53" s="103">
        <v>1.44E-9</v>
      </c>
      <c r="AJ53" s="62">
        <f t="shared" si="18"/>
        <v>-6.8358981102004588</v>
      </c>
      <c r="AK53" s="62">
        <f>LOG10(AI53*1000/(0.08206*298.15))</f>
        <v>-7.2302038342174022</v>
      </c>
      <c r="AL53" s="62">
        <f t="shared" si="14"/>
        <v>-7.2302038342174022</v>
      </c>
      <c r="AM53" s="62">
        <v>-8.1778699999999986</v>
      </c>
      <c r="AN53" s="154">
        <v>-7.65</v>
      </c>
      <c r="AO53" s="410">
        <v>13.81</v>
      </c>
      <c r="AP53" s="410">
        <v>-1.1200000000000001</v>
      </c>
      <c r="AQ53" s="154" t="s">
        <v>6311</v>
      </c>
      <c r="AR53" s="154" t="s">
        <v>6311</v>
      </c>
      <c r="AS53" s="149" t="s">
        <v>6</v>
      </c>
      <c r="AT53" s="58" t="s">
        <v>266</v>
      </c>
      <c r="AU53" s="56">
        <v>2</v>
      </c>
      <c r="AV53" s="56">
        <v>98</v>
      </c>
      <c r="AW53" s="56">
        <v>96</v>
      </c>
      <c r="AX53" s="56">
        <v>26</v>
      </c>
      <c r="AY53" s="56" t="s">
        <v>267</v>
      </c>
      <c r="AZ53" s="56" t="s">
        <v>536</v>
      </c>
      <c r="BA53" s="56">
        <v>10</v>
      </c>
      <c r="BB53" s="55" t="s">
        <v>1764</v>
      </c>
      <c r="BC53" s="55" t="s">
        <v>2448</v>
      </c>
      <c r="BD53" s="55"/>
      <c r="BE53" s="56" t="s">
        <v>2449</v>
      </c>
      <c r="BF53" s="56" t="s">
        <v>272</v>
      </c>
      <c r="BG53" s="56" t="s">
        <v>540</v>
      </c>
      <c r="BH53" s="56" t="s">
        <v>272</v>
      </c>
      <c r="BI53" s="103"/>
      <c r="BJ53" s="103"/>
      <c r="BK53" s="56" t="s">
        <v>6606</v>
      </c>
      <c r="BL53" s="103">
        <f t="shared" si="15"/>
        <v>3.0859152880211576</v>
      </c>
      <c r="BM53" s="56" t="s">
        <v>541</v>
      </c>
      <c r="BN53" s="162"/>
      <c r="BO53" s="56"/>
      <c r="BP53" s="56"/>
      <c r="BQ53" s="56">
        <v>1.471067430493509</v>
      </c>
      <c r="BR53" s="56"/>
      <c r="BS53" s="56"/>
      <c r="BT53" s="56"/>
      <c r="BU53" s="158"/>
      <c r="BV53" s="56"/>
      <c r="BW53" s="56"/>
      <c r="BX53" s="56"/>
      <c r="BY53" s="56"/>
      <c r="BZ53" s="56"/>
      <c r="CA53" s="56"/>
      <c r="CB53" s="56"/>
      <c r="CC53" s="56"/>
      <c r="CD53" s="56"/>
      <c r="CE53" s="56"/>
      <c r="CF53" s="56"/>
      <c r="CG53" s="56"/>
      <c r="CH53" s="56"/>
      <c r="CI53" s="103">
        <f t="shared" si="3"/>
        <v>1.471067430493509</v>
      </c>
      <c r="CJ53" s="103">
        <f t="shared" si="4"/>
        <v>0.16763258028705411</v>
      </c>
      <c r="CK53" s="57" t="s">
        <v>404</v>
      </c>
      <c r="CL53" s="160">
        <f t="shared" si="13"/>
        <v>2.0977388419142042</v>
      </c>
      <c r="CM53" s="160">
        <v>-3.2555945516503755</v>
      </c>
      <c r="CN53" s="160"/>
      <c r="CO53" s="55"/>
      <c r="CP53" s="55" t="s">
        <v>2450</v>
      </c>
      <c r="CQ53" s="149">
        <v>-2.6079154065209287</v>
      </c>
      <c r="CR53" s="349">
        <f t="shared" si="19"/>
        <v>596.4142162121758</v>
      </c>
      <c r="CS53" s="61" t="s">
        <v>539</v>
      </c>
      <c r="CT53" s="61"/>
      <c r="CU53" s="111">
        <f t="shared" si="16"/>
        <v>21.54454067424405</v>
      </c>
      <c r="CV53" s="331"/>
      <c r="CW53" s="326">
        <f t="shared" si="7"/>
        <v>1</v>
      </c>
      <c r="CX53" s="326"/>
      <c r="CY53" s="161" t="s">
        <v>5921</v>
      </c>
    </row>
    <row r="54" spans="1:103" ht="11.25" customHeight="1" x14ac:dyDescent="0.2">
      <c r="A54" s="72">
        <v>52</v>
      </c>
      <c r="B54" s="149">
        <v>533</v>
      </c>
      <c r="C54" s="54" t="s">
        <v>1685</v>
      </c>
      <c r="D54" s="54" t="s">
        <v>6565</v>
      </c>
      <c r="E54" s="59"/>
      <c r="F54" s="59" t="s">
        <v>1686</v>
      </c>
      <c r="G54" s="151">
        <v>80439320</v>
      </c>
      <c r="H54" s="55"/>
      <c r="I54" s="55" t="s">
        <v>7877</v>
      </c>
      <c r="J54" s="55"/>
      <c r="K54" s="55"/>
      <c r="L54" s="55" t="s">
        <v>5527</v>
      </c>
      <c r="M54" s="55" t="s">
        <v>6613</v>
      </c>
      <c r="N54" s="60" t="s">
        <v>2342</v>
      </c>
      <c r="O54" s="55"/>
      <c r="P54" s="67"/>
      <c r="Q54" s="67"/>
      <c r="R54" s="67"/>
      <c r="S54" s="67"/>
      <c r="T54" s="56">
        <v>259.52999999999997</v>
      </c>
      <c r="U54" s="103"/>
      <c r="V54" s="103"/>
      <c r="W54" s="103"/>
      <c r="X54" s="103"/>
      <c r="Y54" s="162"/>
      <c r="Z54" s="56"/>
      <c r="AA54" s="56"/>
      <c r="AB54" s="56"/>
      <c r="AC54" s="56"/>
      <c r="AD54" s="56"/>
      <c r="AE54" s="56"/>
      <c r="AF54" s="56"/>
      <c r="AG54" s="57" t="s">
        <v>5921</v>
      </c>
      <c r="AH54" s="103"/>
      <c r="AI54" s="103"/>
      <c r="AJ54" s="62"/>
      <c r="AK54" s="62"/>
      <c r="AL54" s="62"/>
      <c r="AM54" s="62"/>
      <c r="AN54" s="154"/>
      <c r="AO54" s="410"/>
      <c r="AP54" s="410"/>
      <c r="AQ54" s="154" t="s">
        <v>5921</v>
      </c>
      <c r="AR54" s="154" t="s">
        <v>5921</v>
      </c>
      <c r="AS54" s="149" t="s">
        <v>1687</v>
      </c>
      <c r="AT54" s="58" t="s">
        <v>266</v>
      </c>
      <c r="AU54" s="56">
        <v>2</v>
      </c>
      <c r="AV54" s="56">
        <v>96</v>
      </c>
      <c r="AW54" s="56">
        <v>96</v>
      </c>
      <c r="AX54" s="56" t="s">
        <v>6240</v>
      </c>
      <c r="AY54" s="56" t="s">
        <v>1584</v>
      </c>
      <c r="AZ54" s="61" t="s">
        <v>1584</v>
      </c>
      <c r="BA54" s="56" t="s">
        <v>8722</v>
      </c>
      <c r="BB54" s="55" t="s">
        <v>8722</v>
      </c>
      <c r="BC54" s="55" t="s">
        <v>8722</v>
      </c>
      <c r="BD54" s="55"/>
      <c r="BE54" s="56" t="s">
        <v>8722</v>
      </c>
      <c r="BF54" s="56" t="s">
        <v>8722</v>
      </c>
      <c r="BG54" s="56" t="s">
        <v>8722</v>
      </c>
      <c r="BH54" s="56" t="s">
        <v>8722</v>
      </c>
      <c r="BI54" s="103" t="s">
        <v>8722</v>
      </c>
      <c r="BJ54" s="103" t="s">
        <v>8722</v>
      </c>
      <c r="BK54" s="56"/>
      <c r="BL54" s="103"/>
      <c r="BM54" s="55" t="s">
        <v>1640</v>
      </c>
      <c r="BN54" s="56"/>
      <c r="BO54" s="56">
        <v>1.5544865423607521</v>
      </c>
      <c r="BP54" s="56"/>
      <c r="BQ54" s="56">
        <v>1.2920923945453822</v>
      </c>
      <c r="BR54" s="56"/>
      <c r="BS54" s="56"/>
      <c r="BT54" s="56"/>
      <c r="BU54" s="158"/>
      <c r="BV54" s="56"/>
      <c r="BW54" s="56"/>
      <c r="BX54" s="56"/>
      <c r="BY54" s="56"/>
      <c r="BZ54" s="56"/>
      <c r="CA54" s="56"/>
      <c r="CB54" s="56"/>
      <c r="CC54" s="56"/>
      <c r="CD54" s="56"/>
      <c r="CE54" s="56"/>
      <c r="CF54" s="56"/>
      <c r="CG54" s="56"/>
      <c r="CH54" s="56"/>
      <c r="CI54" s="103">
        <f t="shared" si="3"/>
        <v>1.2920923945453822</v>
      </c>
      <c r="CJ54" s="103">
        <f t="shared" si="4"/>
        <v>0.1112935701656509</v>
      </c>
      <c r="CK54" s="57" t="s">
        <v>404</v>
      </c>
      <c r="CL54" s="160">
        <f t="shared" si="13"/>
        <v>0</v>
      </c>
      <c r="CM54" s="160"/>
      <c r="CN54" s="160"/>
      <c r="CO54" s="55" t="s">
        <v>1641</v>
      </c>
      <c r="CP54" s="55" t="s">
        <v>1688</v>
      </c>
      <c r="CQ54" s="149">
        <v>5.1196644711066816E-2</v>
      </c>
      <c r="CR54" s="349">
        <f t="shared" si="19"/>
        <v>1.1484098939929328</v>
      </c>
      <c r="CS54" s="61" t="s">
        <v>539</v>
      </c>
      <c r="CT54" s="61"/>
      <c r="CU54" s="111" t="s">
        <v>6310</v>
      </c>
      <c r="CV54" s="331"/>
      <c r="CW54" s="326">
        <f t="shared" si="7"/>
        <v>1</v>
      </c>
      <c r="CX54" s="326"/>
      <c r="CY54" s="161" t="s">
        <v>5921</v>
      </c>
    </row>
    <row r="55" spans="1:103" ht="11.25" customHeight="1" x14ac:dyDescent="0.2">
      <c r="A55" s="72">
        <v>53</v>
      </c>
      <c r="B55" s="149">
        <v>584</v>
      </c>
      <c r="C55" s="54" t="s">
        <v>494</v>
      </c>
      <c r="D55" s="54" t="s">
        <v>6547</v>
      </c>
      <c r="E55" s="59"/>
      <c r="F55" s="59" t="s">
        <v>1767</v>
      </c>
      <c r="G55" s="151">
        <v>108952</v>
      </c>
      <c r="H55" s="55" t="s">
        <v>495</v>
      </c>
      <c r="I55" s="55" t="s">
        <v>495</v>
      </c>
      <c r="J55" s="55" t="s">
        <v>496</v>
      </c>
      <c r="K55" s="55" t="s">
        <v>349</v>
      </c>
      <c r="L55" s="64" t="s">
        <v>5527</v>
      </c>
      <c r="M55" s="55" t="s">
        <v>497</v>
      </c>
      <c r="N55" s="60" t="s">
        <v>6381</v>
      </c>
      <c r="O55" s="55" t="s">
        <v>6086</v>
      </c>
      <c r="P55" s="67" t="s">
        <v>6184</v>
      </c>
      <c r="Q55" s="67" t="s">
        <v>6176</v>
      </c>
      <c r="R55" s="67" t="s">
        <v>6185</v>
      </c>
      <c r="S55" s="67" t="s">
        <v>6176</v>
      </c>
      <c r="T55" s="56">
        <v>94.11</v>
      </c>
      <c r="U55" s="103">
        <v>419.32907348242816</v>
      </c>
      <c r="V55" s="153">
        <v>336.06230031948883</v>
      </c>
      <c r="W55" s="153">
        <v>1096.4781961431852</v>
      </c>
      <c r="X55" s="103">
        <v>419.32907348242816</v>
      </c>
      <c r="Y55" s="410">
        <v>4.91</v>
      </c>
      <c r="Z55" s="59">
        <v>1.64</v>
      </c>
      <c r="AA55" s="59">
        <v>1.23</v>
      </c>
      <c r="AB55" s="59">
        <v>1.67</v>
      </c>
      <c r="AC55" s="59">
        <v>0.93669999999999998</v>
      </c>
      <c r="AD55" s="59">
        <v>1.63</v>
      </c>
      <c r="AE55" s="59">
        <v>1.48</v>
      </c>
      <c r="AF55" s="59">
        <f t="shared" ref="AF55:AF86" si="20">IF(AA55=0,AD55,AA55)</f>
        <v>1.23</v>
      </c>
      <c r="AG55" s="57">
        <v>1.46</v>
      </c>
      <c r="AH55" s="103">
        <v>5.6100000000000001E-7</v>
      </c>
      <c r="AI55" s="103">
        <v>3.3299999999999998E-7</v>
      </c>
      <c r="AJ55" s="62">
        <f t="shared" ref="AJ55:AK57" si="21">LOG10(AH55*1000/(0.08206*298.15))</f>
        <v>-4.6396034650564904</v>
      </c>
      <c r="AK55" s="62">
        <f t="shared" si="21"/>
        <v>-4.8661220928063322</v>
      </c>
      <c r="AL55" s="62">
        <f t="shared" ref="AL55:AL86" si="22">IF(AK55=0,AJ55,AK55)</f>
        <v>-4.8661220928063322</v>
      </c>
      <c r="AM55" s="62">
        <v>-6.4734600000000002</v>
      </c>
      <c r="AN55" s="154">
        <v>-4.68</v>
      </c>
      <c r="AO55" s="410">
        <v>9.86</v>
      </c>
      <c r="AP55" s="410"/>
      <c r="AQ55" s="154" t="s">
        <v>6311</v>
      </c>
      <c r="AR55" s="154" t="s">
        <v>6311</v>
      </c>
      <c r="AS55" s="149" t="s">
        <v>282</v>
      </c>
      <c r="AT55" s="58" t="s">
        <v>266</v>
      </c>
      <c r="AU55" s="56">
        <v>2</v>
      </c>
      <c r="AV55" s="56">
        <v>96</v>
      </c>
      <c r="AW55" s="56">
        <v>96</v>
      </c>
      <c r="AX55" s="56" t="s">
        <v>6240</v>
      </c>
      <c r="AY55" s="56" t="s">
        <v>1584</v>
      </c>
      <c r="AZ55" s="61" t="s">
        <v>1584</v>
      </c>
      <c r="BA55" s="56" t="s">
        <v>8722</v>
      </c>
      <c r="BB55" s="55" t="s">
        <v>8722</v>
      </c>
      <c r="BC55" s="55" t="s">
        <v>8722</v>
      </c>
      <c r="BD55" s="55"/>
      <c r="BE55" s="56" t="s">
        <v>8722</v>
      </c>
      <c r="BF55" s="56" t="s">
        <v>8722</v>
      </c>
      <c r="BG55" s="56" t="s">
        <v>8722</v>
      </c>
      <c r="BH55" s="56" t="s">
        <v>8722</v>
      </c>
      <c r="BI55" s="103" t="s">
        <v>8722</v>
      </c>
      <c r="BJ55" s="103" t="s">
        <v>8722</v>
      </c>
      <c r="BK55" s="56"/>
      <c r="BL55" s="103">
        <f t="shared" ref="BL55:BL86" si="23">10^((-0.8981*Z55)+1.7108)</f>
        <v>1.7294818154229614</v>
      </c>
      <c r="BM55" s="55" t="s">
        <v>1640</v>
      </c>
      <c r="BN55" s="56"/>
      <c r="BO55" s="56">
        <v>1.2219742854106896</v>
      </c>
      <c r="BP55" s="56"/>
      <c r="BQ55" s="56">
        <v>2.2314313037934332</v>
      </c>
      <c r="BR55" s="56"/>
      <c r="BS55" s="56"/>
      <c r="BT55" s="56"/>
      <c r="BU55" s="158"/>
      <c r="BV55" s="56"/>
      <c r="BW55" s="56"/>
      <c r="BX55" s="56"/>
      <c r="BY55" s="56"/>
      <c r="BZ55" s="56"/>
      <c r="CA55" s="56"/>
      <c r="CB55" s="56"/>
      <c r="CC55" s="56"/>
      <c r="CD55" s="56"/>
      <c r="CE55" s="56"/>
      <c r="CF55" s="56"/>
      <c r="CG55" s="56"/>
      <c r="CH55" s="56"/>
      <c r="CI55" s="103">
        <f t="shared" si="3"/>
        <v>1.2219742854106896</v>
      </c>
      <c r="CJ55" s="103">
        <f t="shared" si="4"/>
        <v>8.7062066936204219E-2</v>
      </c>
      <c r="CK55" s="57" t="s">
        <v>404</v>
      </c>
      <c r="CL55" s="160">
        <f t="shared" si="13"/>
        <v>1.4153176839083035</v>
      </c>
      <c r="CM55" s="160">
        <v>-1.0131937010876495</v>
      </c>
      <c r="CN55" s="160" t="s">
        <v>404</v>
      </c>
      <c r="CO55" s="55" t="s">
        <v>1641</v>
      </c>
      <c r="CP55" s="55" t="s">
        <v>1688</v>
      </c>
      <c r="CQ55" s="149">
        <v>-0.67773917825679619</v>
      </c>
      <c r="CR55" s="349">
        <f t="shared" si="19"/>
        <v>5.8183687926675987</v>
      </c>
      <c r="CS55" s="61" t="s">
        <v>539</v>
      </c>
      <c r="CT55" s="61"/>
      <c r="CU55" s="111">
        <f t="shared" ref="CU55:CU118" si="24">X55/CI55</f>
        <v>343.15703569940274</v>
      </c>
      <c r="CV55" s="331"/>
      <c r="CW55" s="326">
        <f t="shared" si="7"/>
        <v>1</v>
      </c>
      <c r="CX55" s="326"/>
      <c r="CY55" s="161" t="s">
        <v>6351</v>
      </c>
    </row>
    <row r="56" spans="1:103" ht="11.25" customHeight="1" x14ac:dyDescent="0.2">
      <c r="A56" s="72">
        <v>54</v>
      </c>
      <c r="B56" s="149">
        <v>52</v>
      </c>
      <c r="C56" s="54" t="s">
        <v>494</v>
      </c>
      <c r="D56" s="54" t="s">
        <v>6466</v>
      </c>
      <c r="E56" s="59"/>
      <c r="F56" s="150" t="str">
        <f>HYPERLINK("http://www.sigmaaldrich.com/catalog/Lookup.do?N5=CAS+No.&amp;N3=mode+matchpartialmax&amp;N4=108-95-2&amp;D7=0&amp;D10=&amp;N25=0&amp;N1=S_ID&amp;ST=RS&amp;F=PR","108-95-2")</f>
        <v>108-95-2</v>
      </c>
      <c r="G56" s="151">
        <v>108952</v>
      </c>
      <c r="H56" s="55" t="s">
        <v>495</v>
      </c>
      <c r="I56" s="55" t="s">
        <v>495</v>
      </c>
      <c r="J56" s="55" t="s">
        <v>496</v>
      </c>
      <c r="K56" s="55" t="s">
        <v>349</v>
      </c>
      <c r="L56" s="64" t="s">
        <v>5527</v>
      </c>
      <c r="M56" s="55" t="s">
        <v>497</v>
      </c>
      <c r="N56" s="60" t="s">
        <v>6381</v>
      </c>
      <c r="O56" s="55" t="s">
        <v>6086</v>
      </c>
      <c r="P56" s="67" t="s">
        <v>6184</v>
      </c>
      <c r="Q56" s="67" t="s">
        <v>6176</v>
      </c>
      <c r="R56" s="67" t="s">
        <v>6185</v>
      </c>
      <c r="S56" s="67" t="s">
        <v>6176</v>
      </c>
      <c r="T56" s="59">
        <v>94.11</v>
      </c>
      <c r="U56" s="153">
        <v>419.32907348242816</v>
      </c>
      <c r="V56" s="153">
        <v>336.06230031948883</v>
      </c>
      <c r="W56" s="153">
        <v>1096.4781961431852</v>
      </c>
      <c r="X56" s="153">
        <v>419.32907348242816</v>
      </c>
      <c r="Y56" s="410">
        <v>4.91</v>
      </c>
      <c r="Z56" s="59">
        <v>1.64</v>
      </c>
      <c r="AA56" s="59">
        <v>1.23</v>
      </c>
      <c r="AB56" s="59">
        <v>1.67</v>
      </c>
      <c r="AC56" s="59">
        <v>0.93669999999999998</v>
      </c>
      <c r="AD56" s="59">
        <v>1.63</v>
      </c>
      <c r="AE56" s="59">
        <v>1.48</v>
      </c>
      <c r="AF56" s="59">
        <f t="shared" si="20"/>
        <v>1.23</v>
      </c>
      <c r="AG56" s="57">
        <v>1.46</v>
      </c>
      <c r="AH56" s="103">
        <v>5.6100000000000001E-7</v>
      </c>
      <c r="AI56" s="103">
        <v>3.3299999999999998E-7</v>
      </c>
      <c r="AJ56" s="62">
        <f t="shared" si="21"/>
        <v>-4.6396034650564904</v>
      </c>
      <c r="AK56" s="62">
        <f t="shared" si="21"/>
        <v>-4.8661220928063322</v>
      </c>
      <c r="AL56" s="62">
        <f t="shared" si="22"/>
        <v>-4.8661220928063322</v>
      </c>
      <c r="AM56" s="62">
        <v>-6.4734600000000002</v>
      </c>
      <c r="AN56" s="154">
        <v>-4.68</v>
      </c>
      <c r="AO56" s="410">
        <v>9.86</v>
      </c>
      <c r="AP56" s="410"/>
      <c r="AQ56" s="154" t="s">
        <v>6311</v>
      </c>
      <c r="AR56" s="154" t="s">
        <v>6311</v>
      </c>
      <c r="AS56" s="149" t="s">
        <v>282</v>
      </c>
      <c r="AT56" s="58" t="s">
        <v>266</v>
      </c>
      <c r="AU56" s="155">
        <v>24</v>
      </c>
      <c r="AV56" s="155">
        <v>120</v>
      </c>
      <c r="AW56" s="155">
        <v>96</v>
      </c>
      <c r="AX56" s="155">
        <v>28</v>
      </c>
      <c r="AY56" s="155" t="s">
        <v>267</v>
      </c>
      <c r="AZ56" s="155" t="s">
        <v>268</v>
      </c>
      <c r="BA56" s="155">
        <v>48</v>
      </c>
      <c r="BB56" s="55" t="s">
        <v>269</v>
      </c>
      <c r="BC56" s="156" t="s">
        <v>270</v>
      </c>
      <c r="BD56" s="156" t="s">
        <v>8374</v>
      </c>
      <c r="BE56" s="155" t="s">
        <v>271</v>
      </c>
      <c r="BF56" s="155" t="s">
        <v>272</v>
      </c>
      <c r="BG56" s="155" t="s">
        <v>272</v>
      </c>
      <c r="BH56" s="155" t="s">
        <v>272</v>
      </c>
      <c r="BI56" s="157">
        <v>1.0625863351397301E-2</v>
      </c>
      <c r="BJ56" s="157">
        <v>10.625863351397301</v>
      </c>
      <c r="BK56" s="56"/>
      <c r="BL56" s="103">
        <f t="shared" si="23"/>
        <v>1.7294818154229614</v>
      </c>
      <c r="BM56" s="56">
        <v>0</v>
      </c>
      <c r="BN56" s="56"/>
      <c r="BO56" s="56"/>
      <c r="BP56" s="56"/>
      <c r="BQ56" s="56"/>
      <c r="BR56" s="56"/>
      <c r="BS56" s="56"/>
      <c r="BT56" s="56"/>
      <c r="BU56" s="158"/>
      <c r="BV56" s="56"/>
      <c r="BW56" s="56"/>
      <c r="BX56" s="56"/>
      <c r="BY56" s="56">
        <v>2.72</v>
      </c>
      <c r="BZ56" s="56">
        <v>3.77</v>
      </c>
      <c r="CA56" s="56">
        <v>1.84</v>
      </c>
      <c r="CB56" s="56">
        <v>0.92</v>
      </c>
      <c r="CC56" s="56"/>
      <c r="CD56" s="56"/>
      <c r="CE56" s="56"/>
      <c r="CF56" s="56"/>
      <c r="CG56" s="56"/>
      <c r="CH56" s="56"/>
      <c r="CI56" s="103">
        <f t="shared" si="3"/>
        <v>0.92</v>
      </c>
      <c r="CJ56" s="103">
        <f t="shared" si="4"/>
        <v>-3.6212172654444715E-2</v>
      </c>
      <c r="CK56" s="57">
        <f>BL56/BJ56</f>
        <v>0.16276153364945489</v>
      </c>
      <c r="CL56" s="160">
        <f t="shared" si="13"/>
        <v>1.8798715385032188</v>
      </c>
      <c r="CM56" s="160">
        <v>-1.0131937010876495</v>
      </c>
      <c r="CN56" s="160">
        <f>BJ56/(10^CM56)</f>
        <v>109.53626488066465</v>
      </c>
      <c r="CO56" s="55" t="s">
        <v>273</v>
      </c>
      <c r="CP56" s="156" t="s">
        <v>274</v>
      </c>
      <c r="CQ56" s="149">
        <v>-0.67773917825679619</v>
      </c>
      <c r="CR56" s="349">
        <f t="shared" si="19"/>
        <v>4.3805334966235812</v>
      </c>
      <c r="CS56" s="61" t="s">
        <v>539</v>
      </c>
      <c r="CT56" s="61"/>
      <c r="CU56" s="111">
        <f t="shared" si="24"/>
        <v>455.79247117655234</v>
      </c>
      <c r="CV56" s="331">
        <f>X56/BJ56</f>
        <v>39.463059105431313</v>
      </c>
      <c r="CW56" s="326">
        <f t="shared" si="7"/>
        <v>1</v>
      </c>
      <c r="CX56" s="326"/>
      <c r="CY56" s="161" t="s">
        <v>6351</v>
      </c>
    </row>
    <row r="57" spans="1:103" ht="11.25" customHeight="1" x14ac:dyDescent="0.2">
      <c r="A57" s="72">
        <v>55</v>
      </c>
      <c r="B57" s="149">
        <v>559</v>
      </c>
      <c r="C57" s="54" t="s">
        <v>1731</v>
      </c>
      <c r="D57" s="54" t="s">
        <v>6597</v>
      </c>
      <c r="E57" s="59"/>
      <c r="F57" s="59" t="s">
        <v>1732</v>
      </c>
      <c r="G57" s="151">
        <v>100618</v>
      </c>
      <c r="H57" s="55" t="s">
        <v>1733</v>
      </c>
      <c r="I57" s="55" t="s">
        <v>1733</v>
      </c>
      <c r="J57" s="55" t="s">
        <v>1734</v>
      </c>
      <c r="K57" s="55" t="s">
        <v>426</v>
      </c>
      <c r="L57" s="55" t="s">
        <v>5527</v>
      </c>
      <c r="M57" s="55" t="s">
        <v>6082</v>
      </c>
      <c r="N57" s="60" t="s">
        <v>6082</v>
      </c>
      <c r="O57" s="55" t="s">
        <v>6083</v>
      </c>
      <c r="P57" s="67"/>
      <c r="Q57" s="67" t="s">
        <v>6173</v>
      </c>
      <c r="R57" s="67" t="s">
        <v>6185</v>
      </c>
      <c r="S57" s="67" t="s">
        <v>6176</v>
      </c>
      <c r="T57" s="56">
        <v>107.15</v>
      </c>
      <c r="U57" s="103">
        <v>52.449836677554828</v>
      </c>
      <c r="V57" s="103">
        <v>39.654689687354171</v>
      </c>
      <c r="W57" s="103">
        <v>33.884415613920247</v>
      </c>
      <c r="X57" s="103">
        <v>52.449836677554828</v>
      </c>
      <c r="Y57" s="162">
        <v>8.6199999999999992</v>
      </c>
      <c r="Z57" s="56">
        <v>1.62</v>
      </c>
      <c r="AA57" s="56">
        <v>1.66</v>
      </c>
      <c r="AB57" s="56">
        <v>1.98</v>
      </c>
      <c r="AC57" s="56">
        <v>0.91490000000000005</v>
      </c>
      <c r="AD57" s="56">
        <v>1.9</v>
      </c>
      <c r="AE57" s="56">
        <v>1.6</v>
      </c>
      <c r="AF57" s="56">
        <f t="shared" si="20"/>
        <v>1.66</v>
      </c>
      <c r="AG57" s="57">
        <v>1.74</v>
      </c>
      <c r="AH57" s="103">
        <v>4.1799999999999998E-6</v>
      </c>
      <c r="AI57" s="103">
        <v>8.8799999999999997E-6</v>
      </c>
      <c r="AJ57" s="62">
        <f t="shared" si="21"/>
        <v>-3.7673900445376165</v>
      </c>
      <c r="AK57" s="62">
        <f t="shared" si="21"/>
        <v>-3.4401533605340506</v>
      </c>
      <c r="AL57" s="62">
        <f t="shared" si="22"/>
        <v>-3.4401533605340506</v>
      </c>
      <c r="AM57" s="62">
        <v>-5.276489999999999</v>
      </c>
      <c r="AN57" s="154">
        <v>-3.47</v>
      </c>
      <c r="AO57" s="410"/>
      <c r="AP57" s="410">
        <v>4.7</v>
      </c>
      <c r="AQ57" s="154" t="s">
        <v>6311</v>
      </c>
      <c r="AR57" s="154" t="s">
        <v>6311</v>
      </c>
      <c r="AS57" s="149" t="s">
        <v>6</v>
      </c>
      <c r="AT57" s="58" t="s">
        <v>266</v>
      </c>
      <c r="AU57" s="56">
        <v>2</v>
      </c>
      <c r="AV57" s="56">
        <v>96</v>
      </c>
      <c r="AW57" s="56">
        <v>96</v>
      </c>
      <c r="AX57" s="56">
        <v>27</v>
      </c>
      <c r="AY57" s="56" t="s">
        <v>8722</v>
      </c>
      <c r="AZ57" s="56" t="s">
        <v>536</v>
      </c>
      <c r="BA57" s="56">
        <v>10</v>
      </c>
      <c r="BB57" s="55" t="s">
        <v>1644</v>
      </c>
      <c r="BC57" s="55" t="s">
        <v>538</v>
      </c>
      <c r="BD57" s="55"/>
      <c r="BE57" s="56" t="s">
        <v>889</v>
      </c>
      <c r="BF57" s="56" t="s">
        <v>272</v>
      </c>
      <c r="BG57" s="56" t="s">
        <v>539</v>
      </c>
      <c r="BH57" s="56" t="s">
        <v>272</v>
      </c>
      <c r="BI57" s="103" t="s">
        <v>8722</v>
      </c>
      <c r="BJ57" s="103" t="s">
        <v>8722</v>
      </c>
      <c r="BK57" s="56"/>
      <c r="BL57" s="103">
        <f t="shared" si="23"/>
        <v>1.8025113165778388</v>
      </c>
      <c r="BM57" s="56" t="s">
        <v>541</v>
      </c>
      <c r="BN57" s="56">
        <v>0.69962686567164178</v>
      </c>
      <c r="BO57" s="56">
        <v>0.69962686567164178</v>
      </c>
      <c r="BP57" s="56">
        <v>0.69962686567164178</v>
      </c>
      <c r="BQ57" s="56">
        <v>0.69962686567164178</v>
      </c>
      <c r="BR57" s="56"/>
      <c r="BS57" s="56"/>
      <c r="BT57" s="56"/>
      <c r="BU57" s="158"/>
      <c r="BV57" s="56"/>
      <c r="BW57" s="56"/>
      <c r="BX57" s="56"/>
      <c r="BY57" s="56"/>
      <c r="BZ57" s="56"/>
      <c r="CA57" s="56"/>
      <c r="CB57" s="56"/>
      <c r="CC57" s="56"/>
      <c r="CD57" s="56"/>
      <c r="CE57" s="56"/>
      <c r="CF57" s="56"/>
      <c r="CG57" s="56"/>
      <c r="CH57" s="56"/>
      <c r="CI57" s="103">
        <f t="shared" si="3"/>
        <v>0.69962686567164178</v>
      </c>
      <c r="CJ57" s="103">
        <f t="shared" si="4"/>
        <v>-0.15513352196505117</v>
      </c>
      <c r="CK57" s="57" t="s">
        <v>404</v>
      </c>
      <c r="CL57" s="160">
        <f t="shared" si="13"/>
        <v>2.5763895084952577</v>
      </c>
      <c r="CM57" s="160">
        <v>-2.9992175377847461E-2</v>
      </c>
      <c r="CN57" s="160" t="s">
        <v>404</v>
      </c>
      <c r="CO57" s="55" t="s">
        <v>1641</v>
      </c>
      <c r="CP57" s="55" t="s">
        <v>1645</v>
      </c>
      <c r="CQ57" s="149">
        <v>-1.5893669133293862</v>
      </c>
      <c r="CR57" s="349">
        <f t="shared" si="19"/>
        <v>27.178994850729524</v>
      </c>
      <c r="CS57" s="61" t="s">
        <v>539</v>
      </c>
      <c r="CT57" s="61"/>
      <c r="CU57" s="111">
        <f t="shared" si="24"/>
        <v>74.968299891118363</v>
      </c>
      <c r="CV57" s="331"/>
      <c r="CW57" s="326">
        <f t="shared" si="7"/>
        <v>1</v>
      </c>
      <c r="CX57" s="326" t="s">
        <v>539</v>
      </c>
      <c r="CY57" s="161" t="s">
        <v>6351</v>
      </c>
    </row>
    <row r="58" spans="1:103" ht="11.25" customHeight="1" x14ac:dyDescent="0.2">
      <c r="A58" s="72">
        <v>56</v>
      </c>
      <c r="B58" s="149">
        <v>2171</v>
      </c>
      <c r="C58" s="54" t="s">
        <v>1923</v>
      </c>
      <c r="D58" s="54" t="s">
        <v>6560</v>
      </c>
      <c r="E58" s="59"/>
      <c r="F58" s="59" t="s">
        <v>1924</v>
      </c>
      <c r="G58" s="151">
        <v>298464</v>
      </c>
      <c r="H58" s="55" t="s">
        <v>1925</v>
      </c>
      <c r="I58" s="55" t="s">
        <v>1925</v>
      </c>
      <c r="J58" s="55" t="s">
        <v>1926</v>
      </c>
      <c r="K58" s="55" t="s">
        <v>1292</v>
      </c>
      <c r="L58" s="64" t="s">
        <v>279</v>
      </c>
      <c r="M58" s="55" t="s">
        <v>1927</v>
      </c>
      <c r="N58" s="60" t="s">
        <v>6376</v>
      </c>
      <c r="O58" s="55" t="s">
        <v>281</v>
      </c>
      <c r="P58" s="67"/>
      <c r="Q58" s="67"/>
      <c r="R58" s="67"/>
      <c r="S58" s="67"/>
      <c r="T58" s="56">
        <v>236.27</v>
      </c>
      <c r="U58" s="103">
        <v>0.47403394421636263</v>
      </c>
      <c r="V58" s="103">
        <v>7.4744995132687175E-2</v>
      </c>
      <c r="W58" s="103">
        <v>0.33113112148259094</v>
      </c>
      <c r="X58" s="103">
        <v>0.47403394421636263</v>
      </c>
      <c r="Y58" s="162">
        <v>7</v>
      </c>
      <c r="Z58" s="56">
        <v>2.25</v>
      </c>
      <c r="AA58" s="56">
        <v>2.4500000000000002</v>
      </c>
      <c r="AB58" s="56">
        <v>2.17</v>
      </c>
      <c r="AC58" s="56">
        <v>0.88529999999999998</v>
      </c>
      <c r="AD58" s="56">
        <v>2.2799999999999998</v>
      </c>
      <c r="AE58" s="56">
        <v>2.67</v>
      </c>
      <c r="AF58" s="56">
        <f t="shared" si="20"/>
        <v>2.4500000000000002</v>
      </c>
      <c r="AG58" s="57">
        <v>2.52</v>
      </c>
      <c r="AH58" s="103">
        <v>1.08E-10</v>
      </c>
      <c r="AI58" s="103"/>
      <c r="AJ58" s="62">
        <f t="shared" ref="AJ58:AJ89" si="25">LOG10(AH58*1000/(0.08206*298.15))</f>
        <v>-8.3551425708257021</v>
      </c>
      <c r="AK58" s="62"/>
      <c r="AL58" s="62">
        <f t="shared" si="22"/>
        <v>-8.3551425708257021</v>
      </c>
      <c r="AM58" s="62">
        <v>-14.371929999999999</v>
      </c>
      <c r="AN58" s="154">
        <v>-9.82</v>
      </c>
      <c r="AO58" s="410">
        <v>13.94</v>
      </c>
      <c r="AP58" s="410">
        <v>-0.49</v>
      </c>
      <c r="AQ58" s="154" t="s">
        <v>6311</v>
      </c>
      <c r="AR58" s="154" t="s">
        <v>6311</v>
      </c>
      <c r="AS58" s="149" t="s">
        <v>90</v>
      </c>
      <c r="AT58" s="58" t="s">
        <v>266</v>
      </c>
      <c r="AU58" s="56">
        <v>0</v>
      </c>
      <c r="AV58" s="56">
        <v>96</v>
      </c>
      <c r="AW58" s="56">
        <v>96</v>
      </c>
      <c r="AX58" s="56">
        <v>26</v>
      </c>
      <c r="AY58" s="472" t="s">
        <v>6360</v>
      </c>
      <c r="AZ58" s="56" t="s">
        <v>536</v>
      </c>
      <c r="BA58" s="56">
        <v>20</v>
      </c>
      <c r="BB58" s="55" t="s">
        <v>1764</v>
      </c>
      <c r="BC58" s="55" t="s">
        <v>6359</v>
      </c>
      <c r="BD58" s="55"/>
      <c r="BE58" s="56" t="s">
        <v>1712</v>
      </c>
      <c r="BF58" s="56" t="s">
        <v>539</v>
      </c>
      <c r="BG58" s="56" t="s">
        <v>539</v>
      </c>
      <c r="BH58" s="56" t="s">
        <v>272</v>
      </c>
      <c r="BI58" s="56">
        <f>54.7/236.27</f>
        <v>0.2315147923985271</v>
      </c>
      <c r="BJ58" s="56">
        <f>210/236.27</f>
        <v>0.88881364540567986</v>
      </c>
      <c r="BK58" s="56" t="s">
        <v>6369</v>
      </c>
      <c r="BL58" s="103">
        <f t="shared" si="23"/>
        <v>0.48986340847787241</v>
      </c>
      <c r="BM58" s="56" t="s">
        <v>541</v>
      </c>
      <c r="BN58" s="56"/>
      <c r="BO58" s="56">
        <f>177/236.27</f>
        <v>0.74914292969907303</v>
      </c>
      <c r="BP58" s="56"/>
      <c r="BQ58" s="56">
        <f>153/236.27</f>
        <v>0.64756422736699537</v>
      </c>
      <c r="BR58" s="56"/>
      <c r="BS58" s="56"/>
      <c r="BT58" s="56"/>
      <c r="BU58" s="158"/>
      <c r="BV58" s="56"/>
      <c r="BW58" s="56"/>
      <c r="BX58" s="56"/>
      <c r="BY58" s="56"/>
      <c r="BZ58" s="56"/>
      <c r="CA58" s="56"/>
      <c r="CB58" s="56"/>
      <c r="CC58" s="56"/>
      <c r="CD58" s="56"/>
      <c r="CE58" s="56"/>
      <c r="CF58" s="56"/>
      <c r="CG58" s="56"/>
      <c r="CH58" s="56"/>
      <c r="CI58" s="103">
        <f t="shared" si="3"/>
        <v>0.64756422736699537</v>
      </c>
      <c r="CJ58" s="103">
        <f t="shared" si="4"/>
        <v>-0.18871715047799639</v>
      </c>
      <c r="CK58" s="57">
        <f>BL58/BJ58</f>
        <v>0.55114298819555674</v>
      </c>
      <c r="CL58" s="160">
        <f t="shared" si="13"/>
        <v>0.75647076811154845</v>
      </c>
      <c r="CM58" s="160"/>
      <c r="CN58" s="160"/>
      <c r="CO58" s="55" t="s">
        <v>3683</v>
      </c>
      <c r="CP58" s="55" t="s">
        <v>6355</v>
      </c>
      <c r="CQ58" s="149">
        <v>-0.90724781530094856</v>
      </c>
      <c r="CR58" s="349">
        <f t="shared" si="19"/>
        <v>5.2303489551677709</v>
      </c>
      <c r="CS58" s="61" t="s">
        <v>539</v>
      </c>
      <c r="CT58" s="61"/>
      <c r="CU58" s="111">
        <f t="shared" si="24"/>
        <v>0.73202614379084974</v>
      </c>
      <c r="CV58" s="331">
        <f>X58/BJ58</f>
        <v>0.53333333333333333</v>
      </c>
      <c r="CW58" s="326">
        <f t="shared" si="7"/>
        <v>0</v>
      </c>
      <c r="CX58" s="326" t="s">
        <v>539</v>
      </c>
      <c r="CY58" s="161" t="s">
        <v>5921</v>
      </c>
    </row>
    <row r="59" spans="1:103" ht="11.25" customHeight="1" x14ac:dyDescent="0.2">
      <c r="A59" s="72">
        <v>57</v>
      </c>
      <c r="B59" s="149">
        <v>177</v>
      </c>
      <c r="C59" s="54" t="s">
        <v>1997</v>
      </c>
      <c r="D59" s="54" t="s">
        <v>6467</v>
      </c>
      <c r="E59" s="59"/>
      <c r="F59" s="59" t="s">
        <v>1998</v>
      </c>
      <c r="G59" s="151">
        <v>114261</v>
      </c>
      <c r="H59" s="55" t="s">
        <v>1999</v>
      </c>
      <c r="I59" s="55" t="s">
        <v>1999</v>
      </c>
      <c r="J59" s="56" t="s">
        <v>2000</v>
      </c>
      <c r="K59" s="56" t="s">
        <v>616</v>
      </c>
      <c r="L59" s="55" t="s">
        <v>617</v>
      </c>
      <c r="M59" s="55" t="s">
        <v>946</v>
      </c>
      <c r="N59" s="60" t="s">
        <v>6376</v>
      </c>
      <c r="O59" s="65" t="s">
        <v>918</v>
      </c>
      <c r="P59" s="67"/>
      <c r="Q59" s="67" t="s">
        <v>6173</v>
      </c>
      <c r="R59" s="67" t="s">
        <v>6177</v>
      </c>
      <c r="S59" s="67" t="s">
        <v>6176</v>
      </c>
      <c r="T59" s="154">
        <v>209.25</v>
      </c>
      <c r="U59" s="103">
        <v>8.8888888888888893</v>
      </c>
      <c r="V59" s="103">
        <v>9.4336917562724008</v>
      </c>
      <c r="W59" s="103">
        <v>3.3884415613920211</v>
      </c>
      <c r="X59" s="103">
        <v>8.8888888888888893</v>
      </c>
      <c r="Y59" s="162">
        <v>6.96</v>
      </c>
      <c r="Z59" s="56">
        <v>1.9</v>
      </c>
      <c r="AA59" s="56">
        <v>1.52</v>
      </c>
      <c r="AB59" s="56">
        <v>1.54</v>
      </c>
      <c r="AC59" s="56">
        <v>0.89239999999999997</v>
      </c>
      <c r="AD59" s="56">
        <v>1.56</v>
      </c>
      <c r="AE59" s="56">
        <v>1.6</v>
      </c>
      <c r="AF59" s="56">
        <f t="shared" si="20"/>
        <v>1.52</v>
      </c>
      <c r="AG59" s="56">
        <v>1.99</v>
      </c>
      <c r="AH59" s="103">
        <v>3.3499999999999998E-9</v>
      </c>
      <c r="AI59" s="103">
        <v>1.43E-9</v>
      </c>
      <c r="AJ59" s="62">
        <f t="shared" si="25"/>
        <v>-6.8635215192758068</v>
      </c>
      <c r="AK59" s="62">
        <f>LOG10(AI59*1000/(0.08206*298.15))</f>
        <v>-7.2332302888475901</v>
      </c>
      <c r="AL59" s="62">
        <f t="shared" si="22"/>
        <v>-7.2332302888475901</v>
      </c>
      <c r="AM59" s="62">
        <v>-10.072940000000001</v>
      </c>
      <c r="AN59" s="56">
        <v>-6.19</v>
      </c>
      <c r="AO59" s="410">
        <v>12.28</v>
      </c>
      <c r="AP59" s="410">
        <v>-1.49</v>
      </c>
      <c r="AQ59" s="56" t="s">
        <v>6311</v>
      </c>
      <c r="AR59" s="56" t="s">
        <v>6314</v>
      </c>
      <c r="AS59" s="155" t="s">
        <v>6</v>
      </c>
      <c r="AT59" s="58" t="s">
        <v>266</v>
      </c>
      <c r="AU59" s="56">
        <v>0</v>
      </c>
      <c r="AV59" s="56">
        <v>96</v>
      </c>
      <c r="AW59" s="56">
        <v>96</v>
      </c>
      <c r="AX59" s="56">
        <v>28.5</v>
      </c>
      <c r="AY59" s="56"/>
      <c r="AZ59" s="56" t="s">
        <v>3666</v>
      </c>
      <c r="BA59" s="56">
        <v>12</v>
      </c>
      <c r="BB59" s="55" t="s">
        <v>1764</v>
      </c>
      <c r="BC59" s="55" t="s">
        <v>3667</v>
      </c>
      <c r="BD59" s="55"/>
      <c r="BE59" s="56"/>
      <c r="BF59" s="56"/>
      <c r="BG59" s="56"/>
      <c r="BH59" s="56"/>
      <c r="BI59" s="103">
        <v>0.119474313</v>
      </c>
      <c r="BJ59" s="103">
        <v>3.823178017</v>
      </c>
      <c r="BK59" s="56"/>
      <c r="BL59" s="103">
        <f t="shared" si="23"/>
        <v>1.0102061311328192</v>
      </c>
      <c r="BM59" s="56" t="s">
        <v>541</v>
      </c>
      <c r="BN59" s="56">
        <v>0.79330943799999998</v>
      </c>
      <c r="BO59" s="56">
        <v>0.69772998799999997</v>
      </c>
      <c r="BP59" s="56"/>
      <c r="BQ59" s="56">
        <v>0.64516129</v>
      </c>
      <c r="BR59" s="55"/>
      <c r="BS59" s="56"/>
      <c r="BT59" s="56"/>
      <c r="BU59" s="158"/>
      <c r="BV59" s="56"/>
      <c r="BW59" s="56"/>
      <c r="BX59" s="56"/>
      <c r="BY59" s="56"/>
      <c r="BZ59" s="56"/>
      <c r="CA59" s="56"/>
      <c r="CB59" s="56"/>
      <c r="CC59" s="56"/>
      <c r="CD59" s="56"/>
      <c r="CE59" s="56"/>
      <c r="CF59" s="56"/>
      <c r="CG59" s="56"/>
      <c r="CH59" s="56"/>
      <c r="CI59" s="103">
        <f t="shared" si="3"/>
        <v>0.64516129</v>
      </c>
      <c r="CJ59" s="103">
        <f t="shared" si="4"/>
        <v>-0.19033169838743871</v>
      </c>
      <c r="CK59" s="57">
        <f>BL59/BJ59</f>
        <v>0.2642320411555189</v>
      </c>
      <c r="CL59" s="160">
        <f t="shared" si="13"/>
        <v>1.5658195040387795</v>
      </c>
      <c r="CM59" s="160">
        <v>-1.2726410926938805</v>
      </c>
      <c r="CN59" s="160">
        <f>BJ59/(10^CM59)</f>
        <v>71.625161307100882</v>
      </c>
      <c r="CO59" s="55"/>
      <c r="CP59" s="55" t="s">
        <v>3668</v>
      </c>
      <c r="CQ59" s="149">
        <v>-1.247986945597461</v>
      </c>
      <c r="CR59" s="349">
        <f t="shared" si="19"/>
        <v>11.41971452098225</v>
      </c>
      <c r="CS59" s="61" t="s">
        <v>539</v>
      </c>
      <c r="CT59" s="61"/>
      <c r="CU59" s="111">
        <f t="shared" si="24"/>
        <v>13.777777784666668</v>
      </c>
      <c r="CV59" s="331">
        <f>X59/BJ59</f>
        <v>2.3249999998336173</v>
      </c>
      <c r="CW59" s="326">
        <f t="shared" si="7"/>
        <v>1</v>
      </c>
      <c r="CX59" s="326"/>
      <c r="CY59" s="161" t="s">
        <v>5921</v>
      </c>
    </row>
    <row r="60" spans="1:103" ht="11.25" customHeight="1" x14ac:dyDescent="0.2">
      <c r="A60" s="72">
        <v>58</v>
      </c>
      <c r="B60" s="149">
        <v>623</v>
      </c>
      <c r="C60" s="54" t="s">
        <v>1859</v>
      </c>
      <c r="D60" s="54" t="s">
        <v>6561</v>
      </c>
      <c r="E60" s="59"/>
      <c r="F60" s="59" t="s">
        <v>1860</v>
      </c>
      <c r="G60" s="151">
        <v>371404</v>
      </c>
      <c r="H60" s="55" t="s">
        <v>1861</v>
      </c>
      <c r="I60" s="55" t="s">
        <v>1861</v>
      </c>
      <c r="J60" s="55" t="s">
        <v>1862</v>
      </c>
      <c r="K60" s="55" t="s">
        <v>1573</v>
      </c>
      <c r="L60" s="55" t="s">
        <v>5527</v>
      </c>
      <c r="M60" s="55" t="s">
        <v>6616</v>
      </c>
      <c r="N60" s="60" t="s">
        <v>6082</v>
      </c>
      <c r="O60" s="55" t="s">
        <v>498</v>
      </c>
      <c r="P60" s="67"/>
      <c r="Q60" s="67" t="s">
        <v>6173</v>
      </c>
      <c r="R60" s="67" t="s">
        <v>6185</v>
      </c>
      <c r="S60" s="67" t="s">
        <v>6176</v>
      </c>
      <c r="T60" s="56">
        <v>111.12</v>
      </c>
      <c r="U60" s="103"/>
      <c r="V60" s="103">
        <v>101.1519078473722</v>
      </c>
      <c r="W60" s="103">
        <v>21.37962089502232</v>
      </c>
      <c r="X60" s="103">
        <f>IF(W60=0,V60,W60)</f>
        <v>21.37962089502232</v>
      </c>
      <c r="Y60" s="162">
        <v>8.5</v>
      </c>
      <c r="Z60" s="56">
        <v>1.28</v>
      </c>
      <c r="AA60" s="56">
        <v>1.1499999999999999</v>
      </c>
      <c r="AB60" s="56">
        <v>1.18</v>
      </c>
      <c r="AC60" s="56">
        <v>0.89080000000000004</v>
      </c>
      <c r="AD60" s="56">
        <v>1.17</v>
      </c>
      <c r="AE60" s="56">
        <v>1.1499999999999999</v>
      </c>
      <c r="AF60" s="56">
        <f t="shared" si="20"/>
        <v>1.1499999999999999</v>
      </c>
      <c r="AG60" s="57">
        <v>1.32</v>
      </c>
      <c r="AH60" s="103">
        <v>2.2199999999999999E-6</v>
      </c>
      <c r="AI60" s="103"/>
      <c r="AJ60" s="62">
        <f t="shared" si="25"/>
        <v>-4.0422133518620136</v>
      </c>
      <c r="AK60" s="62"/>
      <c r="AL60" s="62">
        <f t="shared" si="22"/>
        <v>-4.0422133518620136</v>
      </c>
      <c r="AM60" s="62">
        <v>-6.2953399999999995</v>
      </c>
      <c r="AN60" s="154">
        <v>-3.81</v>
      </c>
      <c r="AO60" s="410"/>
      <c r="AP60" s="410">
        <v>4.66</v>
      </c>
      <c r="AQ60" s="154" t="s">
        <v>6311</v>
      </c>
      <c r="AR60" s="154" t="s">
        <v>6311</v>
      </c>
      <c r="AS60" s="149" t="s">
        <v>6</v>
      </c>
      <c r="AT60" s="58" t="s">
        <v>266</v>
      </c>
      <c r="AU60" s="56">
        <v>2</v>
      </c>
      <c r="AV60" s="56" t="s">
        <v>646</v>
      </c>
      <c r="AW60" s="56" t="s">
        <v>646</v>
      </c>
      <c r="AX60" s="56">
        <v>26</v>
      </c>
      <c r="AY60" s="56" t="s">
        <v>647</v>
      </c>
      <c r="AZ60" s="56" t="s">
        <v>536</v>
      </c>
      <c r="BA60" s="56">
        <v>10</v>
      </c>
      <c r="BB60" s="55" t="s">
        <v>1764</v>
      </c>
      <c r="BC60" s="55" t="s">
        <v>538</v>
      </c>
      <c r="BD60" s="55"/>
      <c r="BE60" s="56" t="s">
        <v>1809</v>
      </c>
      <c r="BF60" s="56" t="s">
        <v>539</v>
      </c>
      <c r="BG60" s="56" t="s">
        <v>272</v>
      </c>
      <c r="BH60" s="56" t="s">
        <v>272</v>
      </c>
      <c r="BI60" s="157">
        <v>7.0194384449244057E-2</v>
      </c>
      <c r="BJ60" s="157">
        <v>2.249820014398848</v>
      </c>
      <c r="BK60" s="56" t="s">
        <v>1843</v>
      </c>
      <c r="BL60" s="103">
        <f t="shared" si="23"/>
        <v>3.6410949137980997</v>
      </c>
      <c r="BM60" s="56" t="s">
        <v>541</v>
      </c>
      <c r="BN60" s="56"/>
      <c r="BO60" s="56">
        <v>0.56452483801295894</v>
      </c>
      <c r="BP60" s="56"/>
      <c r="BQ60" s="56"/>
      <c r="BR60" s="56">
        <v>1.77</v>
      </c>
      <c r="BS60" s="56"/>
      <c r="BT60" s="56"/>
      <c r="BU60" s="158"/>
      <c r="BV60" s="56"/>
      <c r="BW60" s="56"/>
      <c r="BX60" s="56"/>
      <c r="BY60" s="56"/>
      <c r="BZ60" s="56"/>
      <c r="CA60" s="56"/>
      <c r="CB60" s="56"/>
      <c r="CC60" s="56"/>
      <c r="CD60" s="56"/>
      <c r="CE60" s="56"/>
      <c r="CF60" s="56"/>
      <c r="CG60" s="56"/>
      <c r="CH60" s="56"/>
      <c r="CI60" s="103">
        <f t="shared" si="3"/>
        <v>0.56452483801295894</v>
      </c>
      <c r="CJ60" s="103">
        <f t="shared" si="4"/>
        <v>-0.24831694519222489</v>
      </c>
      <c r="CK60" s="57">
        <f>BL60/BJ60</f>
        <v>1.6183938672849794</v>
      </c>
      <c r="CL60" s="160">
        <f t="shared" si="13"/>
        <v>6.4498400577274806</v>
      </c>
      <c r="CM60" s="160"/>
      <c r="CN60" s="160"/>
      <c r="CO60" s="55"/>
      <c r="CP60" s="55" t="s">
        <v>1811</v>
      </c>
      <c r="CQ60" s="149">
        <v>-0.77415095861051608</v>
      </c>
      <c r="CR60" s="349">
        <f t="shared" si="19"/>
        <v>3.3560932043988374</v>
      </c>
      <c r="CS60" s="61" t="s">
        <v>539</v>
      </c>
      <c r="CT60" s="61" t="s">
        <v>6310</v>
      </c>
      <c r="CU60" s="111">
        <f t="shared" si="24"/>
        <v>37.871887037380525</v>
      </c>
      <c r="CV60" s="331">
        <f>X60/BJ60</f>
        <v>9.5028138954195214</v>
      </c>
      <c r="CW60" s="326">
        <f t="shared" si="7"/>
        <v>1</v>
      </c>
      <c r="CX60" s="326" t="s">
        <v>539</v>
      </c>
      <c r="CY60" s="161" t="s">
        <v>6351</v>
      </c>
    </row>
    <row r="61" spans="1:103" ht="11.25" customHeight="1" x14ac:dyDescent="0.2">
      <c r="A61" s="72">
        <v>59</v>
      </c>
      <c r="B61" s="149">
        <v>12</v>
      </c>
      <c r="C61" s="54" t="s">
        <v>330</v>
      </c>
      <c r="D61" s="54" t="s">
        <v>8360</v>
      </c>
      <c r="E61" s="59"/>
      <c r="F61" s="150" t="str">
        <f>HYPERLINK("http://www.sigmaaldrich.com/catalog/Lookup.do?N5=CAS+No.&amp;N3=mode+matchpartialmax&amp;N4=83-67-0&amp;D7=0&amp;D10=&amp;N25=0&amp;N1=S_ID&amp;ST=RS&amp;F=PR","83-67-0")</f>
        <v>83-67-0</v>
      </c>
      <c r="G61" s="151">
        <v>83670</v>
      </c>
      <c r="H61" s="55" t="s">
        <v>331</v>
      </c>
      <c r="I61" s="55" t="s">
        <v>331</v>
      </c>
      <c r="J61" s="55" t="s">
        <v>332</v>
      </c>
      <c r="K61" s="55" t="s">
        <v>333</v>
      </c>
      <c r="L61" s="64" t="s">
        <v>279</v>
      </c>
      <c r="M61" s="55" t="s">
        <v>334</v>
      </c>
      <c r="N61" s="60"/>
      <c r="O61" s="55" t="s">
        <v>281</v>
      </c>
      <c r="P61" s="67"/>
      <c r="Q61" s="67"/>
      <c r="R61" s="67"/>
      <c r="S61" s="67"/>
      <c r="T61" s="59">
        <v>180.16</v>
      </c>
      <c r="U61" s="153">
        <v>1.8317051509769096</v>
      </c>
      <c r="V61" s="153">
        <v>69.271758436944936</v>
      </c>
      <c r="W61" s="153">
        <v>40.738027780411272</v>
      </c>
      <c r="X61" s="153">
        <v>1.8317051509769096</v>
      </c>
      <c r="Y61" s="410">
        <v>5.67</v>
      </c>
      <c r="Z61" s="59">
        <v>-0.05</v>
      </c>
      <c r="AA61" s="59">
        <v>-0.78</v>
      </c>
      <c r="AB61" s="59">
        <v>-0.23</v>
      </c>
      <c r="AC61" s="59">
        <v>0.84499999999999997</v>
      </c>
      <c r="AD61" s="59">
        <v>-0.34</v>
      </c>
      <c r="AE61" s="59">
        <v>-0.72</v>
      </c>
      <c r="AF61" s="59">
        <f t="shared" si="20"/>
        <v>-0.78</v>
      </c>
      <c r="AG61" s="57">
        <v>-0.25</v>
      </c>
      <c r="AH61" s="103">
        <v>1.6300000000000001E-11</v>
      </c>
      <c r="AI61" s="103"/>
      <c r="AJ61" s="62">
        <f t="shared" si="25"/>
        <v>-9.1763787219086943</v>
      </c>
      <c r="AK61" s="62"/>
      <c r="AL61" s="62">
        <f t="shared" si="22"/>
        <v>-9.1763787219086943</v>
      </c>
      <c r="AM61" s="62">
        <v>-13.55288</v>
      </c>
      <c r="AN61" s="154">
        <v>-7.34</v>
      </c>
      <c r="AO61" s="410">
        <v>9.9</v>
      </c>
      <c r="AP61" s="410">
        <v>0.41</v>
      </c>
      <c r="AQ61" s="154" t="s">
        <v>6311</v>
      </c>
      <c r="AR61" s="154" t="s">
        <v>6311</v>
      </c>
      <c r="AS61" s="149" t="s">
        <v>282</v>
      </c>
      <c r="AT61" s="58" t="s">
        <v>266</v>
      </c>
      <c r="AU61" s="155">
        <v>24</v>
      </c>
      <c r="AV61" s="155">
        <v>120</v>
      </c>
      <c r="AW61" s="155">
        <v>96</v>
      </c>
      <c r="AX61" s="155">
        <v>28</v>
      </c>
      <c r="AY61" s="155" t="s">
        <v>267</v>
      </c>
      <c r="AZ61" s="155" t="s">
        <v>268</v>
      </c>
      <c r="BA61" s="155">
        <v>48</v>
      </c>
      <c r="BB61" s="55" t="s">
        <v>269</v>
      </c>
      <c r="BC61" s="156" t="s">
        <v>270</v>
      </c>
      <c r="BD61" s="156" t="s">
        <v>8374</v>
      </c>
      <c r="BE61" s="155" t="s">
        <v>271</v>
      </c>
      <c r="BF61" s="155" t="s">
        <v>272</v>
      </c>
      <c r="BG61" s="155" t="s">
        <v>272</v>
      </c>
      <c r="BH61" s="155" t="s">
        <v>272</v>
      </c>
      <c r="BI61" s="157">
        <v>5.5506216696269983E-3</v>
      </c>
      <c r="BJ61" s="157">
        <v>5.5506216696269988</v>
      </c>
      <c r="BK61" s="56"/>
      <c r="BL61" s="103">
        <f t="shared" si="23"/>
        <v>56.977711251980331</v>
      </c>
      <c r="BM61" s="56">
        <v>0</v>
      </c>
      <c r="BN61" s="56"/>
      <c r="BO61" s="56"/>
      <c r="BP61" s="56"/>
      <c r="BQ61" s="56"/>
      <c r="BR61" s="56"/>
      <c r="BS61" s="56"/>
      <c r="BT61" s="56"/>
      <c r="BU61" s="158"/>
      <c r="BV61" s="56"/>
      <c r="BW61" s="56"/>
      <c r="BX61" s="56"/>
      <c r="BY61" s="56"/>
      <c r="BZ61" s="56">
        <v>3.15</v>
      </c>
      <c r="CA61" s="56">
        <v>2.33</v>
      </c>
      <c r="CB61" s="56">
        <v>0.83</v>
      </c>
      <c r="CC61" s="56"/>
      <c r="CD61" s="56"/>
      <c r="CE61" s="56"/>
      <c r="CF61" s="56"/>
      <c r="CG61" s="56"/>
      <c r="CH61" s="56"/>
      <c r="CI61" s="103">
        <f t="shared" si="3"/>
        <v>0.83</v>
      </c>
      <c r="CJ61" s="103">
        <f t="shared" si="4"/>
        <v>-8.092190762392612E-2</v>
      </c>
      <c r="CK61" s="57">
        <f>BL61/BJ61</f>
        <v>10.265104459156776</v>
      </c>
      <c r="CL61" s="160">
        <f t="shared" si="13"/>
        <v>68.647844881904021</v>
      </c>
      <c r="CM61" s="160"/>
      <c r="CN61" s="160"/>
      <c r="CO61" s="55" t="s">
        <v>273</v>
      </c>
      <c r="CP61" s="156" t="s">
        <v>274</v>
      </c>
      <c r="CQ61" s="149" t="s">
        <v>272</v>
      </c>
      <c r="CR61" s="349"/>
      <c r="CS61" s="61" t="s">
        <v>539</v>
      </c>
      <c r="CT61" s="61"/>
      <c r="CU61" s="111">
        <f t="shared" si="24"/>
        <v>2.2068736758757947</v>
      </c>
      <c r="CV61" s="331">
        <f>X61/BJ61</f>
        <v>0.33</v>
      </c>
      <c r="CW61" s="326">
        <f t="shared" si="7"/>
        <v>1</v>
      </c>
      <c r="CX61" s="326"/>
      <c r="CY61" s="161" t="s">
        <v>5921</v>
      </c>
    </row>
    <row r="62" spans="1:103" ht="11.25" customHeight="1" x14ac:dyDescent="0.2">
      <c r="A62" s="72">
        <v>60</v>
      </c>
      <c r="B62" s="149">
        <v>786</v>
      </c>
      <c r="C62" s="54" t="s">
        <v>1574</v>
      </c>
      <c r="D62" s="54" t="s">
        <v>6495</v>
      </c>
      <c r="E62" s="59"/>
      <c r="F62" s="59" t="s">
        <v>1575</v>
      </c>
      <c r="G62" s="151">
        <v>1912249</v>
      </c>
      <c r="H62" s="55" t="s">
        <v>1576</v>
      </c>
      <c r="I62" s="55" t="s">
        <v>8076</v>
      </c>
      <c r="J62" s="55" t="s">
        <v>1577</v>
      </c>
      <c r="K62" s="55" t="s">
        <v>940</v>
      </c>
      <c r="L62" s="55" t="s">
        <v>6152</v>
      </c>
      <c r="M62" s="55" t="s">
        <v>6082</v>
      </c>
      <c r="N62" s="60" t="s">
        <v>6082</v>
      </c>
      <c r="O62" s="55" t="s">
        <v>6083</v>
      </c>
      <c r="P62" s="67"/>
      <c r="Q62" s="67"/>
      <c r="R62" s="67"/>
      <c r="S62" s="67"/>
      <c r="T62" s="56">
        <v>215.68</v>
      </c>
      <c r="U62" s="103">
        <v>0.16088649851632048</v>
      </c>
      <c r="V62" s="103">
        <v>0.99267433234421354</v>
      </c>
      <c r="W62" s="103">
        <v>0.3235936569296281</v>
      </c>
      <c r="X62" s="103">
        <v>0.16088649851632048</v>
      </c>
      <c r="Y62" s="162">
        <v>7.03</v>
      </c>
      <c r="Z62" s="56">
        <v>2.82</v>
      </c>
      <c r="AA62" s="56">
        <v>2.61</v>
      </c>
      <c r="AB62" s="56">
        <v>2.67</v>
      </c>
      <c r="AC62" s="56">
        <v>0.91020000000000001</v>
      </c>
      <c r="AD62" s="56">
        <v>2.66</v>
      </c>
      <c r="AE62" s="56">
        <v>2.63</v>
      </c>
      <c r="AF62" s="56">
        <f t="shared" si="20"/>
        <v>2.61</v>
      </c>
      <c r="AG62" s="57">
        <v>2.41</v>
      </c>
      <c r="AH62" s="103">
        <v>4.4699999999999997E-9</v>
      </c>
      <c r="AI62" s="103">
        <v>2.3600000000000001E-9</v>
      </c>
      <c r="AJ62" s="62">
        <f t="shared" si="25"/>
        <v>-6.7382588031807158</v>
      </c>
      <c r="AK62" s="62">
        <f t="shared" ref="AK62:AK69" si="26">LOG10(AI62*1000/(0.08206*298.15))</f>
        <v>-7.0156543233425452</v>
      </c>
      <c r="AL62" s="62">
        <f t="shared" si="22"/>
        <v>-7.0156543233425452</v>
      </c>
      <c r="AM62" s="62">
        <v>-10.46622</v>
      </c>
      <c r="AN62" s="154">
        <v>-8.32</v>
      </c>
      <c r="AO62" s="410"/>
      <c r="AP62" s="410">
        <v>2.27</v>
      </c>
      <c r="AQ62" s="56" t="s">
        <v>6311</v>
      </c>
      <c r="AR62" s="56" t="s">
        <v>6311</v>
      </c>
      <c r="AS62" s="149" t="s">
        <v>6</v>
      </c>
      <c r="AT62" s="58" t="s">
        <v>266</v>
      </c>
      <c r="AU62" s="56">
        <v>6</v>
      </c>
      <c r="AV62" s="56">
        <v>96</v>
      </c>
      <c r="AW62" s="56">
        <v>90</v>
      </c>
      <c r="AX62" s="56">
        <v>28</v>
      </c>
      <c r="AY62" s="56" t="s">
        <v>8722</v>
      </c>
      <c r="AZ62" s="56" t="s">
        <v>2213</v>
      </c>
      <c r="BA62" s="56" t="s">
        <v>8722</v>
      </c>
      <c r="BB62" s="55" t="s">
        <v>1764</v>
      </c>
      <c r="BC62" s="55" t="s">
        <v>2214</v>
      </c>
      <c r="BD62" s="55"/>
      <c r="BE62" s="56" t="s">
        <v>1712</v>
      </c>
      <c r="BF62" s="56" t="s">
        <v>272</v>
      </c>
      <c r="BG62" s="56" t="s">
        <v>272</v>
      </c>
      <c r="BH62" s="56" t="s">
        <v>2119</v>
      </c>
      <c r="BI62" s="103">
        <v>1.0000000000000001E-5</v>
      </c>
      <c r="BJ62" s="103">
        <v>0.1</v>
      </c>
      <c r="BK62" s="56"/>
      <c r="BL62" s="103">
        <f t="shared" si="23"/>
        <v>0.15071552822770298</v>
      </c>
      <c r="BM62" s="56" t="s">
        <v>1584</v>
      </c>
      <c r="BN62" s="56"/>
      <c r="BO62" s="56">
        <v>0.51700000000000002</v>
      </c>
      <c r="BP62" s="56">
        <v>1.2549999999999999</v>
      </c>
      <c r="BQ62" s="56"/>
      <c r="BR62" s="56"/>
      <c r="BS62" s="56"/>
      <c r="BT62" s="56"/>
      <c r="BU62" s="158"/>
      <c r="BV62" s="56"/>
      <c r="BW62" s="56"/>
      <c r="BX62" s="56"/>
      <c r="BY62" s="56"/>
      <c r="BZ62" s="56"/>
      <c r="CA62" s="56"/>
      <c r="CB62" s="56"/>
      <c r="CC62" s="56"/>
      <c r="CD62" s="56"/>
      <c r="CE62" s="56"/>
      <c r="CF62" s="56"/>
      <c r="CG62" s="56"/>
      <c r="CH62" s="56"/>
      <c r="CI62" s="103">
        <f t="shared" si="3"/>
        <v>0.51700000000000002</v>
      </c>
      <c r="CJ62" s="103">
        <f t="shared" si="4"/>
        <v>-0.2865094569060575</v>
      </c>
      <c r="CK62" s="57">
        <f>BL62/BJ62</f>
        <v>1.5071552822770298</v>
      </c>
      <c r="CL62" s="160">
        <f t="shared" si="13"/>
        <v>0.29151939695880652</v>
      </c>
      <c r="CM62" s="160">
        <v>-1.3009357260238847</v>
      </c>
      <c r="CN62" s="160">
        <f>BJ62/(10^CM62)</f>
        <v>1.999565919377299</v>
      </c>
      <c r="CO62" s="55"/>
      <c r="CP62" s="55" t="s">
        <v>2215</v>
      </c>
      <c r="CQ62" s="149">
        <v>-1.1103572322397883</v>
      </c>
      <c r="CR62" s="349">
        <f t="shared" ref="CR62:CR69" si="27">10^(CJ62-CQ62)</f>
        <v>6.6657308756431766</v>
      </c>
      <c r="CS62" s="61" t="s">
        <v>539</v>
      </c>
      <c r="CT62" s="61"/>
      <c r="CU62" s="111">
        <f t="shared" si="24"/>
        <v>0.31119245360990422</v>
      </c>
      <c r="CV62" s="331">
        <f>X62/BJ62</f>
        <v>1.6088649851632046</v>
      </c>
      <c r="CW62" s="326">
        <f t="shared" si="7"/>
        <v>0</v>
      </c>
      <c r="CX62" s="326" t="s">
        <v>539</v>
      </c>
      <c r="CY62" s="161" t="s">
        <v>6351</v>
      </c>
    </row>
    <row r="63" spans="1:103" ht="11.25" customHeight="1" x14ac:dyDescent="0.2">
      <c r="A63" s="72">
        <v>61</v>
      </c>
      <c r="B63" s="149">
        <v>862</v>
      </c>
      <c r="C63" s="54" t="s">
        <v>2451</v>
      </c>
      <c r="D63" s="54" t="s">
        <v>6496</v>
      </c>
      <c r="E63" s="59"/>
      <c r="F63" s="59" t="s">
        <v>3979</v>
      </c>
      <c r="G63" s="151">
        <v>1918021</v>
      </c>
      <c r="H63" s="55" t="s">
        <v>2452</v>
      </c>
      <c r="I63" s="55" t="s">
        <v>8078</v>
      </c>
      <c r="J63" s="55" t="s">
        <v>2453</v>
      </c>
      <c r="K63" s="55" t="s">
        <v>2454</v>
      </c>
      <c r="L63" s="55" t="s">
        <v>6033</v>
      </c>
      <c r="M63" s="55" t="s">
        <v>3980</v>
      </c>
      <c r="N63" s="60" t="s">
        <v>6385</v>
      </c>
      <c r="O63" s="55" t="s">
        <v>1630</v>
      </c>
      <c r="P63" s="67"/>
      <c r="Q63" s="67"/>
      <c r="R63" s="67"/>
      <c r="S63" s="67"/>
      <c r="T63" s="154">
        <v>241.46</v>
      </c>
      <c r="U63" s="103">
        <v>1.7808332643087881</v>
      </c>
      <c r="V63" s="103">
        <v>2.6033297440569867</v>
      </c>
      <c r="W63" s="103">
        <v>3.090295432513591</v>
      </c>
      <c r="X63" s="103">
        <v>1.7808332643087881</v>
      </c>
      <c r="Y63" s="162">
        <v>2.6</v>
      </c>
      <c r="Z63" s="56">
        <v>1.36</v>
      </c>
      <c r="AA63" s="56">
        <v>1.9</v>
      </c>
      <c r="AB63" s="56">
        <v>2.4500000000000002</v>
      </c>
      <c r="AC63" s="56">
        <v>0.79590000000000005</v>
      </c>
      <c r="AD63" s="56">
        <v>2.59</v>
      </c>
      <c r="AE63" s="56">
        <v>2.94</v>
      </c>
      <c r="AF63" s="56">
        <f t="shared" si="20"/>
        <v>1.9</v>
      </c>
      <c r="AG63" s="66">
        <v>2.25</v>
      </c>
      <c r="AH63" s="103">
        <v>1.29E-12</v>
      </c>
      <c r="AI63" s="157">
        <v>5.3299999999999998E-14</v>
      </c>
      <c r="AJ63" s="62">
        <f t="shared" si="25"/>
        <v>-10.277976616013403</v>
      </c>
      <c r="AK63" s="62">
        <f t="shared" si="26"/>
        <v>-11.66183911728608</v>
      </c>
      <c r="AL63" s="62">
        <f t="shared" si="22"/>
        <v>-11.66183911728608</v>
      </c>
      <c r="AM63" s="62">
        <v>-14.922219999999998</v>
      </c>
      <c r="AN63" s="154">
        <v>-8.65</v>
      </c>
      <c r="AO63" s="410">
        <v>1.93</v>
      </c>
      <c r="AP63" s="410">
        <v>-4.34</v>
      </c>
      <c r="AQ63" s="154" t="s">
        <v>5921</v>
      </c>
      <c r="AR63" s="154" t="s">
        <v>5921</v>
      </c>
      <c r="AS63" s="149" t="s">
        <v>6</v>
      </c>
      <c r="AT63" s="58" t="s">
        <v>266</v>
      </c>
      <c r="AU63" s="56">
        <v>2</v>
      </c>
      <c r="AV63" s="56">
        <v>98</v>
      </c>
      <c r="AW63" s="56">
        <v>96</v>
      </c>
      <c r="AX63" s="56">
        <v>26</v>
      </c>
      <c r="AY63" s="56" t="s">
        <v>267</v>
      </c>
      <c r="AZ63" s="56" t="s">
        <v>536</v>
      </c>
      <c r="BA63" s="56">
        <v>10</v>
      </c>
      <c r="BB63" s="55" t="s">
        <v>1764</v>
      </c>
      <c r="BC63" s="55" t="s">
        <v>2448</v>
      </c>
      <c r="BD63" s="55"/>
      <c r="BE63" s="56" t="s">
        <v>2449</v>
      </c>
      <c r="BF63" s="56"/>
      <c r="BG63" s="56" t="s">
        <v>540</v>
      </c>
      <c r="BH63" s="56" t="s">
        <v>272</v>
      </c>
      <c r="BI63" s="103"/>
      <c r="BJ63" s="103"/>
      <c r="BK63" s="56"/>
      <c r="BL63" s="103">
        <f t="shared" si="23"/>
        <v>3.0859152880211576</v>
      </c>
      <c r="BM63" s="56" t="s">
        <v>541</v>
      </c>
      <c r="BN63" s="162"/>
      <c r="BO63" s="56"/>
      <c r="BP63" s="56"/>
      <c r="BQ63" s="56">
        <v>0.46616416797813304</v>
      </c>
      <c r="BR63" s="56"/>
      <c r="BS63" s="56"/>
      <c r="BT63" s="56"/>
      <c r="BU63" s="158"/>
      <c r="BV63" s="56"/>
      <c r="BW63" s="56"/>
      <c r="BX63" s="56"/>
      <c r="BY63" s="56"/>
      <c r="BZ63" s="56"/>
      <c r="CA63" s="56"/>
      <c r="CB63" s="56"/>
      <c r="CC63" s="56"/>
      <c r="CD63" s="56"/>
      <c r="CE63" s="56"/>
      <c r="CF63" s="56"/>
      <c r="CG63" s="56"/>
      <c r="CH63" s="56"/>
      <c r="CI63" s="103">
        <f t="shared" si="3"/>
        <v>0.46616416797813304</v>
      </c>
      <c r="CJ63" s="103">
        <f t="shared" si="4"/>
        <v>-0.33146111186957178</v>
      </c>
      <c r="CK63" s="57" t="s">
        <v>404</v>
      </c>
      <c r="CL63" s="160">
        <f t="shared" si="13"/>
        <v>6.619803708649509</v>
      </c>
      <c r="CM63" s="160">
        <v>-1.2641169681570619</v>
      </c>
      <c r="CN63" s="160">
        <f>BJ63/(10^CM63)</f>
        <v>0</v>
      </c>
      <c r="CO63" s="55"/>
      <c r="CP63" s="55" t="s">
        <v>2450</v>
      </c>
      <c r="CQ63" s="149">
        <v>-1.0683292369816395</v>
      </c>
      <c r="CR63" s="349">
        <f t="shared" si="27"/>
        <v>5.4559216515533651</v>
      </c>
      <c r="CS63" s="61" t="s">
        <v>539</v>
      </c>
      <c r="CT63" s="61"/>
      <c r="CU63" s="111">
        <f t="shared" si="24"/>
        <v>3.8201847903340438</v>
      </c>
      <c r="CV63" s="331"/>
      <c r="CW63" s="326">
        <f t="shared" si="7"/>
        <v>1</v>
      </c>
      <c r="CX63" s="326"/>
      <c r="CY63" s="161" t="s">
        <v>5921</v>
      </c>
    </row>
    <row r="64" spans="1:103" ht="11.25" customHeight="1" x14ac:dyDescent="0.2">
      <c r="A64" s="72">
        <v>62</v>
      </c>
      <c r="B64" s="149">
        <v>528</v>
      </c>
      <c r="C64" s="54" t="s">
        <v>1678</v>
      </c>
      <c r="D64" s="54" t="s">
        <v>6555</v>
      </c>
      <c r="E64" s="59"/>
      <c r="F64" s="59" t="s">
        <v>1679</v>
      </c>
      <c r="G64" s="151">
        <v>121697</v>
      </c>
      <c r="H64" s="55" t="s">
        <v>1680</v>
      </c>
      <c r="I64" s="55" t="s">
        <v>1680</v>
      </c>
      <c r="J64" s="55" t="s">
        <v>1681</v>
      </c>
      <c r="K64" s="55" t="s">
        <v>426</v>
      </c>
      <c r="L64" s="55" t="s">
        <v>5527</v>
      </c>
      <c r="M64" s="55" t="s">
        <v>6082</v>
      </c>
      <c r="N64" s="60" t="s">
        <v>6082</v>
      </c>
      <c r="O64" s="55" t="s">
        <v>6083</v>
      </c>
      <c r="P64" s="67"/>
      <c r="Q64" s="67" t="s">
        <v>6173</v>
      </c>
      <c r="R64" s="67" t="s">
        <v>6185</v>
      </c>
      <c r="S64" s="67" t="s">
        <v>6176</v>
      </c>
      <c r="T64" s="56">
        <v>121.18</v>
      </c>
      <c r="U64" s="103">
        <v>11.965670902789238</v>
      </c>
      <c r="V64" s="103">
        <v>8.7308136656213886</v>
      </c>
      <c r="W64" s="103">
        <v>8.5113803820237681</v>
      </c>
      <c r="X64" s="103">
        <v>11.965670902789238</v>
      </c>
      <c r="Y64" s="162">
        <v>8.52</v>
      </c>
      <c r="Z64" s="56">
        <v>2.17</v>
      </c>
      <c r="AA64" s="56">
        <v>2.31</v>
      </c>
      <c r="AB64" s="56">
        <v>2.41</v>
      </c>
      <c r="AC64" s="56">
        <v>0.90669999999999995</v>
      </c>
      <c r="AD64" s="56">
        <v>2.39</v>
      </c>
      <c r="AE64" s="56">
        <v>2.33</v>
      </c>
      <c r="AF64" s="56">
        <f t="shared" si="20"/>
        <v>2.31</v>
      </c>
      <c r="AG64" s="57">
        <v>2.13</v>
      </c>
      <c r="AH64" s="103">
        <v>8.5699999999999996E-5</v>
      </c>
      <c r="AI64" s="103">
        <v>5.6799999999999998E-5</v>
      </c>
      <c r="AJ64" s="62">
        <f t="shared" si="25"/>
        <v>-2.4555855043894534</v>
      </c>
      <c r="AK64" s="62">
        <f t="shared" si="26"/>
        <v>-2.6342179906016328</v>
      </c>
      <c r="AL64" s="62">
        <f t="shared" si="22"/>
        <v>-2.6342179906016328</v>
      </c>
      <c r="AM64" s="62">
        <v>-5.0751400000000002</v>
      </c>
      <c r="AN64" s="154">
        <v>-2.67</v>
      </c>
      <c r="AO64" s="410"/>
      <c r="AP64" s="410">
        <v>5.0999999999999996</v>
      </c>
      <c r="AQ64" s="154" t="s">
        <v>6311</v>
      </c>
      <c r="AR64" s="154" t="s">
        <v>6311</v>
      </c>
      <c r="AS64" s="149" t="s">
        <v>6</v>
      </c>
      <c r="AT64" s="58" t="s">
        <v>266</v>
      </c>
      <c r="AU64" s="56">
        <v>2</v>
      </c>
      <c r="AV64" s="56">
        <v>96</v>
      </c>
      <c r="AW64" s="56">
        <v>96</v>
      </c>
      <c r="AX64" s="56">
        <v>27</v>
      </c>
      <c r="AY64" s="56" t="s">
        <v>8722</v>
      </c>
      <c r="AZ64" s="56" t="s">
        <v>536</v>
      </c>
      <c r="BA64" s="56">
        <v>10</v>
      </c>
      <c r="BB64" s="55" t="s">
        <v>1644</v>
      </c>
      <c r="BC64" s="55" t="s">
        <v>538</v>
      </c>
      <c r="BD64" s="55"/>
      <c r="BE64" s="56" t="s">
        <v>889</v>
      </c>
      <c r="BF64" s="56" t="s">
        <v>272</v>
      </c>
      <c r="BG64" s="56" t="s">
        <v>539</v>
      </c>
      <c r="BH64" s="56" t="s">
        <v>272</v>
      </c>
      <c r="BI64" s="103" t="s">
        <v>8722</v>
      </c>
      <c r="BJ64" s="103" t="s">
        <v>8722</v>
      </c>
      <c r="BK64" s="56"/>
      <c r="BL64" s="103">
        <f t="shared" si="23"/>
        <v>0.57799356061012974</v>
      </c>
      <c r="BM64" s="56" t="s">
        <v>541</v>
      </c>
      <c r="BN64" s="56">
        <v>0.44777227722772278</v>
      </c>
      <c r="BO64" s="56">
        <v>0.44818481848184816</v>
      </c>
      <c r="BP64" s="56">
        <v>0.44752475247524753</v>
      </c>
      <c r="BQ64" s="56">
        <v>0.44752475247524798</v>
      </c>
      <c r="BR64" s="56"/>
      <c r="BS64" s="56"/>
      <c r="BT64" s="56"/>
      <c r="BU64" s="158"/>
      <c r="BV64" s="56"/>
      <c r="BW64" s="56"/>
      <c r="BX64" s="56"/>
      <c r="BY64" s="56"/>
      <c r="BZ64" s="56"/>
      <c r="CA64" s="56"/>
      <c r="CB64" s="56"/>
      <c r="CC64" s="56"/>
      <c r="CD64" s="56"/>
      <c r="CE64" s="56"/>
      <c r="CF64" s="56"/>
      <c r="CG64" s="56"/>
      <c r="CH64" s="56"/>
      <c r="CI64" s="103">
        <f t="shared" si="3"/>
        <v>0.44752475247524753</v>
      </c>
      <c r="CJ64" s="103">
        <f t="shared" si="4"/>
        <v>-0.34918293897126046</v>
      </c>
      <c r="CK64" s="57" t="s">
        <v>404</v>
      </c>
      <c r="CL64" s="160">
        <f t="shared" si="13"/>
        <v>1.2915342836642278</v>
      </c>
      <c r="CM64" s="160">
        <v>-0.27226161687115119</v>
      </c>
      <c r="CN64" s="160" t="s">
        <v>404</v>
      </c>
      <c r="CO64" s="55" t="s">
        <v>1641</v>
      </c>
      <c r="CP64" s="55" t="s">
        <v>1645</v>
      </c>
      <c r="CQ64" s="149">
        <v>-0.78201390403828708</v>
      </c>
      <c r="CR64" s="349">
        <f t="shared" si="27"/>
        <v>2.7091369836326993</v>
      </c>
      <c r="CS64" s="61" t="s">
        <v>539</v>
      </c>
      <c r="CT64" s="61"/>
      <c r="CU64" s="111">
        <f t="shared" si="24"/>
        <v>26.737450468621969</v>
      </c>
      <c r="CV64" s="331"/>
      <c r="CW64" s="326">
        <f t="shared" si="7"/>
        <v>1</v>
      </c>
      <c r="CX64" s="326" t="s">
        <v>539</v>
      </c>
      <c r="CY64" s="161" t="s">
        <v>6351</v>
      </c>
    </row>
    <row r="65" spans="1:103" ht="11.25" customHeight="1" x14ac:dyDescent="0.2">
      <c r="A65" s="72">
        <v>63</v>
      </c>
      <c r="B65" s="149">
        <v>41</v>
      </c>
      <c r="C65" s="54" t="s">
        <v>447</v>
      </c>
      <c r="D65" s="54" t="s">
        <v>6444</v>
      </c>
      <c r="E65" s="59"/>
      <c r="F65" s="150" t="str">
        <f>HYPERLINK("http://www.commonchemistry.org/ChemicalDetail.aspx?ref=76-03-9","76-03-9")</f>
        <v>76-03-9</v>
      </c>
      <c r="G65" s="151">
        <v>76039</v>
      </c>
      <c r="H65" s="55" t="s">
        <v>448</v>
      </c>
      <c r="I65" s="55" t="s">
        <v>7996</v>
      </c>
      <c r="J65" s="55" t="s">
        <v>449</v>
      </c>
      <c r="K65" s="55" t="s">
        <v>450</v>
      </c>
      <c r="L65" s="64" t="s">
        <v>6103</v>
      </c>
      <c r="M65" s="60" t="s">
        <v>2342</v>
      </c>
      <c r="N65" s="60" t="s">
        <v>2342</v>
      </c>
      <c r="O65" s="55"/>
      <c r="P65" s="67"/>
      <c r="Q65" s="67"/>
      <c r="R65" s="67"/>
      <c r="S65" s="67"/>
      <c r="T65" s="59">
        <v>163.38999999999999</v>
      </c>
      <c r="U65" s="153">
        <v>334.16977783218073</v>
      </c>
      <c r="V65" s="153">
        <v>73.382703959850673</v>
      </c>
      <c r="W65" s="153">
        <v>331.13112148259103</v>
      </c>
      <c r="X65" s="153">
        <v>334.16977783218073</v>
      </c>
      <c r="Y65" s="410">
        <v>0.6</v>
      </c>
      <c r="Z65" s="59">
        <v>1.44</v>
      </c>
      <c r="AA65" s="59">
        <v>1.33</v>
      </c>
      <c r="AB65" s="59">
        <v>1.45</v>
      </c>
      <c r="AC65" s="59">
        <v>0.74429999999999996</v>
      </c>
      <c r="AD65" s="59">
        <v>1.52</v>
      </c>
      <c r="AE65" s="59">
        <v>1.67</v>
      </c>
      <c r="AF65" s="59">
        <f t="shared" si="20"/>
        <v>1.33</v>
      </c>
      <c r="AG65" s="57">
        <v>1.41</v>
      </c>
      <c r="AH65" s="103">
        <v>2.3899999999999999E-8</v>
      </c>
      <c r="AI65" s="103">
        <v>1.35E-8</v>
      </c>
      <c r="AJ65" s="62">
        <f t="shared" si="25"/>
        <v>-6.0101684253645145</v>
      </c>
      <c r="AK65" s="62">
        <f t="shared" si="26"/>
        <v>-6.2582325578176459</v>
      </c>
      <c r="AL65" s="62">
        <f t="shared" si="22"/>
        <v>-6.2582325578176459</v>
      </c>
      <c r="AM65" s="62">
        <v>-7.3551800000000007</v>
      </c>
      <c r="AN65" s="154">
        <v>-6.88</v>
      </c>
      <c r="AO65" s="410">
        <v>0.09</v>
      </c>
      <c r="AP65" s="410"/>
      <c r="AQ65" s="154" t="s">
        <v>6311</v>
      </c>
      <c r="AR65" s="154" t="s">
        <v>6311</v>
      </c>
      <c r="AS65" s="149" t="s">
        <v>282</v>
      </c>
      <c r="AT65" s="58" t="s">
        <v>266</v>
      </c>
      <c r="AU65" s="155">
        <v>24</v>
      </c>
      <c r="AV65" s="155">
        <v>120</v>
      </c>
      <c r="AW65" s="155">
        <v>96</v>
      </c>
      <c r="AX65" s="155">
        <v>28</v>
      </c>
      <c r="AY65" s="155" t="s">
        <v>267</v>
      </c>
      <c r="AZ65" s="155" t="s">
        <v>268</v>
      </c>
      <c r="BA65" s="155">
        <v>48</v>
      </c>
      <c r="BB65" s="55" t="s">
        <v>269</v>
      </c>
      <c r="BC65" s="156" t="s">
        <v>270</v>
      </c>
      <c r="BD65" s="156" t="s">
        <v>8374</v>
      </c>
      <c r="BE65" s="155" t="s">
        <v>271</v>
      </c>
      <c r="BF65" s="155" t="s">
        <v>272</v>
      </c>
      <c r="BG65" s="155" t="s">
        <v>272</v>
      </c>
      <c r="BH65" s="155" t="s">
        <v>272</v>
      </c>
      <c r="BI65" s="157">
        <v>6.1207002081038074E-3</v>
      </c>
      <c r="BJ65" s="157">
        <v>6.1207002081038073</v>
      </c>
      <c r="BK65" s="56"/>
      <c r="BL65" s="103">
        <f t="shared" si="23"/>
        <v>2.6153872366126274</v>
      </c>
      <c r="BM65" s="56">
        <v>0</v>
      </c>
      <c r="BN65" s="56"/>
      <c r="BO65" s="56"/>
      <c r="BP65" s="56"/>
      <c r="BQ65" s="56"/>
      <c r="BR65" s="56"/>
      <c r="BS65" s="56"/>
      <c r="BT65" s="56"/>
      <c r="BU65" s="158"/>
      <c r="BV65" s="56"/>
      <c r="BW65" s="56"/>
      <c r="BX65" s="56"/>
      <c r="BY65" s="56">
        <v>0.53</v>
      </c>
      <c r="BZ65" s="56">
        <v>0.53</v>
      </c>
      <c r="CA65" s="56">
        <v>0.53</v>
      </c>
      <c r="CB65" s="56">
        <v>0.41</v>
      </c>
      <c r="CC65" s="56"/>
      <c r="CD65" s="56"/>
      <c r="CE65" s="56"/>
      <c r="CF65" s="56"/>
      <c r="CG65" s="56"/>
      <c r="CH65" s="56"/>
      <c r="CI65" s="103">
        <f t="shared" si="3"/>
        <v>0.41</v>
      </c>
      <c r="CJ65" s="103">
        <f t="shared" si="4"/>
        <v>-0.38721614328026455</v>
      </c>
      <c r="CK65" s="57">
        <f t="shared" ref="CK65:CK70" si="28">BL65/BJ65</f>
        <v>0.42730196671777104</v>
      </c>
      <c r="CL65" s="160">
        <f t="shared" si="13"/>
        <v>6.378993260030799</v>
      </c>
      <c r="CM65" s="160">
        <v>1.0888875537688341</v>
      </c>
      <c r="CN65" s="160">
        <f>BJ65/(10^CM65)</f>
        <v>0.49878519533182186</v>
      </c>
      <c r="CO65" s="55" t="s">
        <v>273</v>
      </c>
      <c r="CP65" s="156" t="s">
        <v>274</v>
      </c>
      <c r="CQ65" s="149">
        <v>1.0888875537688341</v>
      </c>
      <c r="CR65" s="349">
        <f t="shared" si="27"/>
        <v>3.3411525337458337E-2</v>
      </c>
      <c r="CS65" s="61" t="s">
        <v>539</v>
      </c>
      <c r="CT65" s="61"/>
      <c r="CU65" s="111">
        <f t="shared" si="24"/>
        <v>815.04823861507498</v>
      </c>
      <c r="CV65" s="331">
        <f t="shared" ref="CV65:CV70" si="29">X65/BJ65</f>
        <v>54.596658302221684</v>
      </c>
      <c r="CW65" s="326">
        <f t="shared" si="7"/>
        <v>1</v>
      </c>
      <c r="CX65" s="326"/>
      <c r="CY65" s="161" t="s">
        <v>6351</v>
      </c>
    </row>
    <row r="66" spans="1:103" ht="11.25" customHeight="1" x14ac:dyDescent="0.2">
      <c r="A66" s="72">
        <v>64</v>
      </c>
      <c r="B66" s="149">
        <v>55</v>
      </c>
      <c r="C66" s="54" t="s">
        <v>508</v>
      </c>
      <c r="D66" s="54" t="s">
        <v>6424</v>
      </c>
      <c r="E66" s="59"/>
      <c r="F66" s="150" t="str">
        <f>HYPERLINK("http://www.sigmaaldrich.com/catalog/Lookup.do?N5=CAS+No.&amp;N3=mode+matchpartialmax&amp;N4=50-00-0&amp;D7=0&amp;D10=&amp;N25=0&amp;N1=S_ID&amp;ST=RS&amp;F=PR","50-00-0")</f>
        <v>50-00-0</v>
      </c>
      <c r="G66" s="151">
        <v>50000</v>
      </c>
      <c r="H66" s="55" t="s">
        <v>509</v>
      </c>
      <c r="I66" s="55" t="s">
        <v>509</v>
      </c>
      <c r="J66" s="55" t="s">
        <v>510</v>
      </c>
      <c r="K66" s="55" t="s">
        <v>511</v>
      </c>
      <c r="L66" s="73" t="s">
        <v>6105</v>
      </c>
      <c r="M66" s="60" t="s">
        <v>6088</v>
      </c>
      <c r="N66" s="60" t="s">
        <v>6088</v>
      </c>
      <c r="O66" s="60" t="s">
        <v>6083</v>
      </c>
      <c r="P66" s="67"/>
      <c r="Q66" s="67" t="s">
        <v>6176</v>
      </c>
      <c r="R66" s="67" t="s">
        <v>6175</v>
      </c>
      <c r="S66" s="67" t="s">
        <v>6173</v>
      </c>
      <c r="T66" s="152">
        <v>30.03</v>
      </c>
      <c r="U66" s="153">
        <v>13320.013320013319</v>
      </c>
      <c r="V66" s="153">
        <v>1898.7678987678987</v>
      </c>
      <c r="W66" s="153">
        <v>6606.9344800759609</v>
      </c>
      <c r="X66" s="153">
        <v>13320.013320013319</v>
      </c>
      <c r="Y66" s="410">
        <v>7</v>
      </c>
      <c r="Z66" s="59">
        <v>0.35</v>
      </c>
      <c r="AA66" s="59">
        <v>0.35</v>
      </c>
      <c r="AB66" s="59">
        <v>0.27</v>
      </c>
      <c r="AC66" s="59">
        <v>0.88849999999999996</v>
      </c>
      <c r="AD66" s="59">
        <v>0.28999999999999998</v>
      </c>
      <c r="AE66" s="59">
        <v>0.35</v>
      </c>
      <c r="AF66" s="59">
        <f t="shared" si="20"/>
        <v>0.35</v>
      </c>
      <c r="AG66" s="57">
        <v>-0.36</v>
      </c>
      <c r="AH66" s="103">
        <v>9.2899999999999995E-5</v>
      </c>
      <c r="AI66" s="103">
        <v>3.3700000000000001E-7</v>
      </c>
      <c r="AJ66" s="62">
        <f t="shared" si="25"/>
        <v>-2.4205506123190101</v>
      </c>
      <c r="AK66" s="62">
        <f t="shared" si="26"/>
        <v>-4.860936425441313</v>
      </c>
      <c r="AL66" s="62">
        <f t="shared" si="22"/>
        <v>-4.860936425441313</v>
      </c>
      <c r="AM66" s="62">
        <v>-2.4347099999999999</v>
      </c>
      <c r="AN66" s="154">
        <v>-1.64</v>
      </c>
      <c r="AO66" s="410"/>
      <c r="AP66" s="410"/>
      <c r="AQ66" s="154" t="s">
        <v>6311</v>
      </c>
      <c r="AR66" s="154" t="s">
        <v>6311</v>
      </c>
      <c r="AS66" s="149" t="s">
        <v>282</v>
      </c>
      <c r="AT66" s="58" t="s">
        <v>266</v>
      </c>
      <c r="AU66" s="155">
        <v>24</v>
      </c>
      <c r="AV66" s="155">
        <v>120</v>
      </c>
      <c r="AW66" s="155">
        <v>96</v>
      </c>
      <c r="AX66" s="155">
        <v>28</v>
      </c>
      <c r="AY66" s="155" t="s">
        <v>267</v>
      </c>
      <c r="AZ66" s="155" t="s">
        <v>268</v>
      </c>
      <c r="BA66" s="155">
        <v>48</v>
      </c>
      <c r="BB66" s="55" t="s">
        <v>269</v>
      </c>
      <c r="BC66" s="156" t="s">
        <v>270</v>
      </c>
      <c r="BD66" s="156" t="s">
        <v>8374</v>
      </c>
      <c r="BE66" s="155" t="s">
        <v>271</v>
      </c>
      <c r="BF66" s="155" t="s">
        <v>272</v>
      </c>
      <c r="BG66" s="155" t="s">
        <v>272</v>
      </c>
      <c r="BH66" s="155" t="s">
        <v>272</v>
      </c>
      <c r="BI66" s="157">
        <v>3.3300033300033297E-2</v>
      </c>
      <c r="BJ66" s="157">
        <v>33.300033300033299</v>
      </c>
      <c r="BK66" s="56"/>
      <c r="BL66" s="103">
        <f t="shared" si="23"/>
        <v>24.915235700865811</v>
      </c>
      <c r="BM66" s="56">
        <v>0</v>
      </c>
      <c r="BN66" s="56"/>
      <c r="BO66" s="56"/>
      <c r="BP66" s="56"/>
      <c r="BQ66" s="56"/>
      <c r="BR66" s="56"/>
      <c r="BS66" s="56"/>
      <c r="BT66" s="56"/>
      <c r="BU66" s="158"/>
      <c r="BV66" s="56"/>
      <c r="BW66" s="56"/>
      <c r="BX66" s="56"/>
      <c r="BY66" s="56"/>
      <c r="BZ66" s="56">
        <v>0.43</v>
      </c>
      <c r="CA66" s="56">
        <v>0.37</v>
      </c>
      <c r="CB66" s="56">
        <v>0.42</v>
      </c>
      <c r="CC66" s="56"/>
      <c r="CD66" s="56"/>
      <c r="CE66" s="56"/>
      <c r="CF66" s="56"/>
      <c r="CG66" s="56"/>
      <c r="CH66" s="56"/>
      <c r="CI66" s="103">
        <f t="shared" si="3"/>
        <v>0.37</v>
      </c>
      <c r="CJ66" s="103">
        <f t="shared" si="4"/>
        <v>-0.43179827593300502</v>
      </c>
      <c r="CK66" s="57">
        <f t="shared" si="28"/>
        <v>0.74820452809700033</v>
      </c>
      <c r="CL66" s="160">
        <f t="shared" si="13"/>
        <v>67.338474867204894</v>
      </c>
      <c r="CM66" s="160">
        <v>-0.17943023338651704</v>
      </c>
      <c r="CN66" s="160">
        <f>BJ66/(10^CM66)</f>
        <v>50.335559599138364</v>
      </c>
      <c r="CO66" s="55" t="s">
        <v>273</v>
      </c>
      <c r="CP66" s="156" t="s">
        <v>274</v>
      </c>
      <c r="CQ66" s="149">
        <v>2.0716659742118965E-2</v>
      </c>
      <c r="CR66" s="349">
        <f t="shared" si="27"/>
        <v>0.35276465459994366</v>
      </c>
      <c r="CS66" s="61" t="s">
        <v>539</v>
      </c>
      <c r="CT66" s="61"/>
      <c r="CU66" s="111">
        <f t="shared" si="24"/>
        <v>36000.036000035994</v>
      </c>
      <c r="CV66" s="331">
        <f t="shared" si="29"/>
        <v>400</v>
      </c>
      <c r="CW66" s="326">
        <f t="shared" si="7"/>
        <v>1</v>
      </c>
      <c r="CX66" s="326"/>
      <c r="CY66" s="161" t="s">
        <v>6351</v>
      </c>
    </row>
    <row r="67" spans="1:103" ht="11.25" customHeight="1" x14ac:dyDescent="0.2">
      <c r="A67" s="72">
        <v>65</v>
      </c>
      <c r="B67" s="149">
        <v>722</v>
      </c>
      <c r="C67" s="54" t="s">
        <v>1635</v>
      </c>
      <c r="D67" s="54" t="s">
        <v>6463</v>
      </c>
      <c r="E67" s="59"/>
      <c r="F67" s="59" t="s">
        <v>1636</v>
      </c>
      <c r="G67" s="151">
        <v>106489</v>
      </c>
      <c r="H67" s="55" t="s">
        <v>1637</v>
      </c>
      <c r="I67" s="55" t="s">
        <v>8214</v>
      </c>
      <c r="J67" s="55" t="s">
        <v>1638</v>
      </c>
      <c r="K67" s="55" t="s">
        <v>349</v>
      </c>
      <c r="L67" s="55" t="s">
        <v>6066</v>
      </c>
      <c r="M67" s="55" t="s">
        <v>497</v>
      </c>
      <c r="N67" s="60" t="s">
        <v>6381</v>
      </c>
      <c r="O67" s="55" t="s">
        <v>6086</v>
      </c>
      <c r="P67" s="67" t="s">
        <v>6184</v>
      </c>
      <c r="Q67" s="67" t="s">
        <v>6182</v>
      </c>
      <c r="R67" s="67" t="s">
        <v>6185</v>
      </c>
      <c r="S67" s="67" t="s">
        <v>6176</v>
      </c>
      <c r="T67" s="56">
        <v>128.56</v>
      </c>
      <c r="U67" s="103">
        <v>186.6832607342875</v>
      </c>
      <c r="V67" s="103">
        <v>25.062227753578096</v>
      </c>
      <c r="W67" s="103">
        <v>16.218100973589287</v>
      </c>
      <c r="X67" s="103">
        <v>186.6832607342875</v>
      </c>
      <c r="Y67" s="162">
        <v>5.63</v>
      </c>
      <c r="Z67" s="56">
        <v>2.16</v>
      </c>
      <c r="AA67" s="56">
        <v>2.39</v>
      </c>
      <c r="AB67" s="56">
        <v>2.5099999999999998</v>
      </c>
      <c r="AC67" s="56">
        <v>0.89249999999999996</v>
      </c>
      <c r="AD67" s="56">
        <v>2.4900000000000002</v>
      </c>
      <c r="AE67" s="56">
        <v>2.4300000000000002</v>
      </c>
      <c r="AF67" s="56">
        <f t="shared" si="20"/>
        <v>2.39</v>
      </c>
      <c r="AG67" s="57">
        <v>2.15</v>
      </c>
      <c r="AH67" s="103">
        <v>4.15E-7</v>
      </c>
      <c r="AI67" s="103">
        <v>6.2699999999999999E-7</v>
      </c>
      <c r="AJ67" s="62">
        <f t="shared" si="25"/>
        <v>-4.770518229600559</v>
      </c>
      <c r="AK67" s="62">
        <f t="shared" si="26"/>
        <v>-4.5912987854819356</v>
      </c>
      <c r="AL67" s="62">
        <f t="shared" si="22"/>
        <v>-4.5912987854819356</v>
      </c>
      <c r="AM67" s="62">
        <v>-7.63727</v>
      </c>
      <c r="AN67" s="154">
        <v>-4.8600000000000003</v>
      </c>
      <c r="AO67" s="410">
        <v>9.4700000000000006</v>
      </c>
      <c r="AP67" s="410"/>
      <c r="AQ67" s="154" t="s">
        <v>6311</v>
      </c>
      <c r="AR67" s="154" t="s">
        <v>6311</v>
      </c>
      <c r="AS67" s="149" t="s">
        <v>6</v>
      </c>
      <c r="AT67" s="58" t="s">
        <v>266</v>
      </c>
      <c r="AU67" s="56">
        <v>2</v>
      </c>
      <c r="AV67" s="56">
        <v>120</v>
      </c>
      <c r="AW67" s="56">
        <v>120</v>
      </c>
      <c r="AX67" s="56">
        <v>26</v>
      </c>
      <c r="AY67" s="56" t="s">
        <v>8722</v>
      </c>
      <c r="AZ67" s="56" t="s">
        <v>536</v>
      </c>
      <c r="BA67" s="56">
        <v>10</v>
      </c>
      <c r="BB67" s="55" t="s">
        <v>1644</v>
      </c>
      <c r="BC67" s="55" t="s">
        <v>1887</v>
      </c>
      <c r="BD67" s="55"/>
      <c r="BE67" s="56" t="s">
        <v>2045</v>
      </c>
      <c r="BF67" s="56" t="s">
        <v>272</v>
      </c>
      <c r="BG67" s="56">
        <v>7.8</v>
      </c>
      <c r="BH67" s="56" t="s">
        <v>272</v>
      </c>
      <c r="BI67" s="157">
        <v>3.1113876789047916E-2</v>
      </c>
      <c r="BJ67" s="157">
        <v>0.46670815183571873</v>
      </c>
      <c r="BK67" s="56"/>
      <c r="BL67" s="103">
        <f t="shared" si="23"/>
        <v>0.59007063172200003</v>
      </c>
      <c r="BM67" s="56" t="s">
        <v>2046</v>
      </c>
      <c r="BN67" s="56"/>
      <c r="BO67" s="56"/>
      <c r="BP67" s="56"/>
      <c r="BQ67" s="56"/>
      <c r="BR67" s="56">
        <v>0.35003111387678904</v>
      </c>
      <c r="BS67" s="56"/>
      <c r="BT67" s="56"/>
      <c r="BU67" s="158"/>
      <c r="BV67" s="56"/>
      <c r="BW67" s="56"/>
      <c r="BX67" s="56"/>
      <c r="BY67" s="56"/>
      <c r="BZ67" s="56"/>
      <c r="CA67" s="56"/>
      <c r="CB67" s="56"/>
      <c r="CC67" s="56"/>
      <c r="CD67" s="56"/>
      <c r="CE67" s="56"/>
      <c r="CF67" s="56"/>
      <c r="CG67" s="56"/>
      <c r="CH67" s="56"/>
      <c r="CI67" s="103">
        <f t="shared" ref="CI67:CI130" si="30">MIN(BN67:CH67)</f>
        <v>0.35003111387678904</v>
      </c>
      <c r="CJ67" s="103">
        <f t="shared" ref="CJ67:CJ130" si="31">LOG10(CI67)</f>
        <v>-0.45589334997994446</v>
      </c>
      <c r="CK67" s="57">
        <f t="shared" si="28"/>
        <v>1.264324673569672</v>
      </c>
      <c r="CL67" s="160">
        <f t="shared" si="13"/>
        <v>1.6857662314262294</v>
      </c>
      <c r="CM67" s="160">
        <v>-1.8293876813050207</v>
      </c>
      <c r="CN67" s="160">
        <f>BJ67/(10^CM67)</f>
        <v>31.508887379598455</v>
      </c>
      <c r="CO67" s="55"/>
      <c r="CP67" s="55" t="s">
        <v>2047</v>
      </c>
      <c r="CQ67" s="149">
        <v>-1.5637751365318433</v>
      </c>
      <c r="CR67" s="349">
        <f t="shared" si="27"/>
        <v>12.819815842298212</v>
      </c>
      <c r="CS67" s="61" t="s">
        <v>539</v>
      </c>
      <c r="CT67" s="61"/>
      <c r="CU67" s="111">
        <f t="shared" si="24"/>
        <v>533.33333333333337</v>
      </c>
      <c r="CV67" s="331">
        <f t="shared" si="29"/>
        <v>400</v>
      </c>
      <c r="CW67" s="326">
        <f t="shared" ref="CW67:CW130" si="32">IF(CU67&lt;2,0,1)</f>
        <v>1</v>
      </c>
      <c r="CX67" s="326"/>
      <c r="CY67" s="161" t="s">
        <v>6351</v>
      </c>
    </row>
    <row r="68" spans="1:103" ht="11.25" customHeight="1" x14ac:dyDescent="0.2">
      <c r="A68" s="72">
        <v>66</v>
      </c>
      <c r="B68" s="149">
        <v>1957</v>
      </c>
      <c r="C68" s="54" t="s">
        <v>1631</v>
      </c>
      <c r="D68" s="54" t="s">
        <v>6462</v>
      </c>
      <c r="E68" s="59"/>
      <c r="F68" s="167" t="s">
        <v>1632</v>
      </c>
      <c r="G68" s="151">
        <v>106478</v>
      </c>
      <c r="H68" s="67" t="s">
        <v>1633</v>
      </c>
      <c r="I68" s="67" t="s">
        <v>8029</v>
      </c>
      <c r="J68" s="67" t="s">
        <v>1634</v>
      </c>
      <c r="K68" s="67" t="s">
        <v>1573</v>
      </c>
      <c r="L68" s="55" t="s">
        <v>5527</v>
      </c>
      <c r="M68" s="55" t="s">
        <v>866</v>
      </c>
      <c r="N68" s="60" t="s">
        <v>6082</v>
      </c>
      <c r="O68" s="55" t="s">
        <v>6086</v>
      </c>
      <c r="P68" s="67" t="s">
        <v>6184</v>
      </c>
      <c r="Q68" s="67" t="s">
        <v>6176</v>
      </c>
      <c r="R68" s="67" t="s">
        <v>6185</v>
      </c>
      <c r="S68" s="67" t="s">
        <v>6176</v>
      </c>
      <c r="T68" s="61">
        <v>127.6</v>
      </c>
      <c r="U68" s="111">
        <v>30.564263322884013</v>
      </c>
      <c r="V68" s="111">
        <v>20.156739811912228</v>
      </c>
      <c r="W68" s="111">
        <v>11.481536214968827</v>
      </c>
      <c r="X68" s="111">
        <v>30.564263322884013</v>
      </c>
      <c r="Y68" s="411">
        <v>8.02</v>
      </c>
      <c r="Z68" s="61">
        <v>1.72</v>
      </c>
      <c r="AA68" s="61">
        <v>1.83</v>
      </c>
      <c r="AB68" s="61">
        <v>1.8</v>
      </c>
      <c r="AC68" s="61">
        <v>0.91020000000000001</v>
      </c>
      <c r="AD68" s="61">
        <v>1.79</v>
      </c>
      <c r="AE68" s="61">
        <v>1.76</v>
      </c>
      <c r="AF68" s="61">
        <f t="shared" si="20"/>
        <v>1.83</v>
      </c>
      <c r="AG68" s="62">
        <v>1.8</v>
      </c>
      <c r="AH68" s="111">
        <v>1.4100000000000001E-6</v>
      </c>
      <c r="AI68" s="111">
        <v>1.1599999999999999E-6</v>
      </c>
      <c r="AJ68" s="62">
        <f t="shared" si="25"/>
        <v>-4.2393472136572719</v>
      </c>
      <c r="AK68" s="62">
        <f t="shared" si="26"/>
        <v>-4.3241083370857334</v>
      </c>
      <c r="AL68" s="62">
        <f t="shared" si="22"/>
        <v>-4.3241083370857334</v>
      </c>
      <c r="AM68" s="62">
        <v>-6.9352299999999998</v>
      </c>
      <c r="AN68" s="163">
        <v>-4.1336000000000004</v>
      </c>
      <c r="AO68" s="410"/>
      <c r="AP68" s="410">
        <v>3.97</v>
      </c>
      <c r="AQ68" s="163" t="s">
        <v>6311</v>
      </c>
      <c r="AR68" s="163" t="s">
        <v>6311</v>
      </c>
      <c r="AS68" s="164" t="s">
        <v>5466</v>
      </c>
      <c r="AT68" s="63" t="s">
        <v>266</v>
      </c>
      <c r="AU68" s="61">
        <v>5</v>
      </c>
      <c r="AV68" s="61">
        <v>96</v>
      </c>
      <c r="AW68" s="61">
        <v>96</v>
      </c>
      <c r="AX68" s="61">
        <v>27.5</v>
      </c>
      <c r="AY68" s="174">
        <v>0.59027777777777779</v>
      </c>
      <c r="AZ68" s="61" t="s">
        <v>1584</v>
      </c>
      <c r="BA68" s="61">
        <v>10</v>
      </c>
      <c r="BB68" s="67" t="s">
        <v>6229</v>
      </c>
      <c r="BC68" s="67" t="s">
        <v>6230</v>
      </c>
      <c r="BD68" s="67"/>
      <c r="BE68" s="61" t="s">
        <v>6210</v>
      </c>
      <c r="BF68" s="61" t="s">
        <v>6203</v>
      </c>
      <c r="BG68" s="61" t="s">
        <v>6203</v>
      </c>
      <c r="BH68" s="61"/>
      <c r="BI68" s="111">
        <v>3.918495297805643E-4</v>
      </c>
      <c r="BJ68" s="111">
        <v>0.39184952978056425</v>
      </c>
      <c r="BK68" s="165"/>
      <c r="BL68" s="111">
        <f t="shared" si="23"/>
        <v>1.4657773282271105</v>
      </c>
      <c r="BM68" s="61" t="s">
        <v>6250</v>
      </c>
      <c r="BN68" s="61"/>
      <c r="BO68" s="61"/>
      <c r="BP68" s="61"/>
      <c r="BQ68" s="61">
        <v>0.34499999999999997</v>
      </c>
      <c r="BR68" s="61"/>
      <c r="BS68" s="61"/>
      <c r="BT68" s="61"/>
      <c r="BU68" s="158"/>
      <c r="BV68" s="61"/>
      <c r="BW68" s="61"/>
      <c r="BX68" s="61"/>
      <c r="BY68" s="61"/>
      <c r="BZ68" s="61"/>
      <c r="CA68" s="61"/>
      <c r="CB68" s="61"/>
      <c r="CC68" s="61"/>
      <c r="CD68" s="61"/>
      <c r="CE68" s="61"/>
      <c r="CF68" s="61"/>
      <c r="CG68" s="61"/>
      <c r="CH68" s="61"/>
      <c r="CI68" s="111">
        <f t="shared" si="30"/>
        <v>0.34499999999999997</v>
      </c>
      <c r="CJ68" s="103">
        <f t="shared" si="31"/>
        <v>-0.46218090492672592</v>
      </c>
      <c r="CK68" s="57">
        <f t="shared" si="28"/>
        <v>3.7406637416355859</v>
      </c>
      <c r="CL68" s="160">
        <f t="shared" si="13"/>
        <v>4.2486299368901754</v>
      </c>
      <c r="CM68" s="160">
        <v>-1.7255373138153871</v>
      </c>
      <c r="CN68" s="160">
        <f>BJ68/(10^CM68)</f>
        <v>20.828435214211087</v>
      </c>
      <c r="CO68" s="67"/>
      <c r="CP68" s="67" t="s">
        <v>6192</v>
      </c>
      <c r="CQ68" s="149">
        <v>-0.86695605670763687</v>
      </c>
      <c r="CR68" s="349">
        <f t="shared" si="27"/>
        <v>2.5396575027591792</v>
      </c>
      <c r="CS68" s="61" t="s">
        <v>539</v>
      </c>
      <c r="CT68" s="61"/>
      <c r="CU68" s="111">
        <f t="shared" si="24"/>
        <v>88.592067602562366</v>
      </c>
      <c r="CV68" s="331">
        <f t="shared" si="29"/>
        <v>78</v>
      </c>
      <c r="CW68" s="326">
        <f t="shared" si="32"/>
        <v>1</v>
      </c>
      <c r="CX68" s="326" t="s">
        <v>539</v>
      </c>
      <c r="CY68" s="161" t="s">
        <v>6351</v>
      </c>
    </row>
    <row r="69" spans="1:103" ht="11.25" customHeight="1" x14ac:dyDescent="0.2">
      <c r="A69" s="72">
        <v>67</v>
      </c>
      <c r="B69" s="149">
        <v>39</v>
      </c>
      <c r="C69" s="54" t="s">
        <v>439</v>
      </c>
      <c r="D69" s="54" t="s">
        <v>6441</v>
      </c>
      <c r="E69" s="59"/>
      <c r="F69" s="59" t="s">
        <v>440</v>
      </c>
      <c r="G69" s="151">
        <v>69727</v>
      </c>
      <c r="H69" s="55" t="s">
        <v>441</v>
      </c>
      <c r="I69" s="55" t="s">
        <v>441</v>
      </c>
      <c r="J69" s="55" t="s">
        <v>442</v>
      </c>
      <c r="K69" s="55" t="s">
        <v>349</v>
      </c>
      <c r="L69" s="64" t="s">
        <v>279</v>
      </c>
      <c r="M69" s="55" t="s">
        <v>443</v>
      </c>
      <c r="N69" s="60" t="s">
        <v>6384</v>
      </c>
      <c r="O69" s="55" t="s">
        <v>281</v>
      </c>
      <c r="P69" s="67"/>
      <c r="Q69" s="67"/>
      <c r="R69" s="67"/>
      <c r="S69" s="67"/>
      <c r="T69" s="59">
        <v>138.12</v>
      </c>
      <c r="U69" s="153">
        <v>16.217781639154357</v>
      </c>
      <c r="V69" s="153">
        <v>27.57022878656241</v>
      </c>
      <c r="W69" s="153">
        <v>61.659500186148222</v>
      </c>
      <c r="X69" s="153">
        <v>16.217781639154357</v>
      </c>
      <c r="Y69" s="410">
        <v>1.76</v>
      </c>
      <c r="Z69" s="59">
        <v>2.2400000000000002</v>
      </c>
      <c r="AA69" s="59">
        <v>2.2599999999999998</v>
      </c>
      <c r="AB69" s="59">
        <v>2.4700000000000002</v>
      </c>
      <c r="AC69" s="59">
        <v>0.87809999999999999</v>
      </c>
      <c r="AD69" s="59">
        <v>2.37</v>
      </c>
      <c r="AE69" s="59">
        <v>2.06</v>
      </c>
      <c r="AF69" s="59">
        <f t="shared" si="20"/>
        <v>2.2599999999999998</v>
      </c>
      <c r="AG69" s="57">
        <v>1.27</v>
      </c>
      <c r="AH69" s="103">
        <v>1.42E-8</v>
      </c>
      <c r="AI69" s="103">
        <v>7.3399999999999999E-9</v>
      </c>
      <c r="AJ69" s="62">
        <f t="shared" si="25"/>
        <v>-6.2362779819295957</v>
      </c>
      <c r="AK69" s="62">
        <f t="shared" si="26"/>
        <v>-6.5228702663965814</v>
      </c>
      <c r="AL69" s="62">
        <f t="shared" si="22"/>
        <v>-6.5228702663965814</v>
      </c>
      <c r="AM69" s="62">
        <v>-8.2730999999999995</v>
      </c>
      <c r="AN69" s="154">
        <v>-6.16</v>
      </c>
      <c r="AO69" s="410">
        <v>3.01</v>
      </c>
      <c r="AP69" s="410"/>
      <c r="AQ69" s="154" t="s">
        <v>6311</v>
      </c>
      <c r="AR69" s="154" t="s">
        <v>6311</v>
      </c>
      <c r="AS69" s="149" t="s">
        <v>282</v>
      </c>
      <c r="AT69" s="58" t="s">
        <v>266</v>
      </c>
      <c r="AU69" s="155">
        <v>24</v>
      </c>
      <c r="AV69" s="155">
        <v>120</v>
      </c>
      <c r="AW69" s="155">
        <v>96</v>
      </c>
      <c r="AX69" s="155">
        <v>28</v>
      </c>
      <c r="AY69" s="155" t="s">
        <v>267</v>
      </c>
      <c r="AZ69" s="155" t="s">
        <v>268</v>
      </c>
      <c r="BA69" s="155">
        <v>48</v>
      </c>
      <c r="BB69" s="55" t="s">
        <v>269</v>
      </c>
      <c r="BC69" s="156" t="s">
        <v>270</v>
      </c>
      <c r="BD69" s="156" t="s">
        <v>8374</v>
      </c>
      <c r="BE69" s="155" t="s">
        <v>271</v>
      </c>
      <c r="BF69" s="155" t="s">
        <v>272</v>
      </c>
      <c r="BG69" s="155" t="s">
        <v>272</v>
      </c>
      <c r="BH69" s="155" t="s">
        <v>272</v>
      </c>
      <c r="BI69" s="157">
        <v>7.2400810889081957E-3</v>
      </c>
      <c r="BJ69" s="157">
        <v>7.2400810889081955</v>
      </c>
      <c r="BK69" s="56"/>
      <c r="BL69" s="103">
        <f t="shared" si="23"/>
        <v>0.50009901596984063</v>
      </c>
      <c r="BM69" s="56">
        <v>0</v>
      </c>
      <c r="BN69" s="56"/>
      <c r="BO69" s="56"/>
      <c r="BP69" s="56"/>
      <c r="BQ69" s="56"/>
      <c r="BR69" s="56"/>
      <c r="BS69" s="56"/>
      <c r="BT69" s="56"/>
      <c r="BU69" s="158"/>
      <c r="BV69" s="56"/>
      <c r="BW69" s="56"/>
      <c r="BX69" s="56"/>
      <c r="BY69" s="56">
        <v>0.34</v>
      </c>
      <c r="BZ69" s="56">
        <v>0.34</v>
      </c>
      <c r="CA69" s="56">
        <v>0.34</v>
      </c>
      <c r="CB69" s="56">
        <v>0.34</v>
      </c>
      <c r="CC69" s="56"/>
      <c r="CD69" s="56"/>
      <c r="CE69" s="56"/>
      <c r="CF69" s="56"/>
      <c r="CG69" s="56"/>
      <c r="CH69" s="56"/>
      <c r="CI69" s="103">
        <f t="shared" si="30"/>
        <v>0.34</v>
      </c>
      <c r="CJ69" s="103">
        <f t="shared" si="31"/>
        <v>-0.46852108295774486</v>
      </c>
      <c r="CK69" s="57">
        <f t="shared" si="28"/>
        <v>6.907367608575439E-2</v>
      </c>
      <c r="CL69" s="160">
        <f t="shared" si="13"/>
        <v>1.4708794587348253</v>
      </c>
      <c r="CM69" s="160">
        <v>0.17361065069173673</v>
      </c>
      <c r="CN69" s="160">
        <f>BJ69/(10^CM69)</f>
        <v>4.8543689320388355</v>
      </c>
      <c r="CO69" s="55" t="s">
        <v>273</v>
      </c>
      <c r="CP69" s="156" t="s">
        <v>274</v>
      </c>
      <c r="CQ69" s="149">
        <v>0.63444126396093448</v>
      </c>
      <c r="CR69" s="349">
        <f t="shared" si="27"/>
        <v>7.8892851430110808E-2</v>
      </c>
      <c r="CS69" s="61" t="s">
        <v>539</v>
      </c>
      <c r="CT69" s="61"/>
      <c r="CU69" s="111">
        <f t="shared" si="24"/>
        <v>47.699357762218689</v>
      </c>
      <c r="CV69" s="331">
        <f t="shared" si="29"/>
        <v>2.2399999999999998</v>
      </c>
      <c r="CW69" s="326">
        <f t="shared" si="32"/>
        <v>1</v>
      </c>
      <c r="CX69" s="326"/>
      <c r="CY69" s="161" t="s">
        <v>6351</v>
      </c>
    </row>
    <row r="70" spans="1:103" ht="11.25" customHeight="1" x14ac:dyDescent="0.2">
      <c r="A70" s="72">
        <v>68</v>
      </c>
      <c r="B70" s="149">
        <v>942</v>
      </c>
      <c r="C70" s="54" t="s">
        <v>2683</v>
      </c>
      <c r="D70" s="54"/>
      <c r="E70" s="59"/>
      <c r="F70" s="59" t="s">
        <v>2684</v>
      </c>
      <c r="G70" s="151">
        <v>88584</v>
      </c>
      <c r="H70" s="55" t="s">
        <v>2685</v>
      </c>
      <c r="I70" s="55" t="s">
        <v>2685</v>
      </c>
      <c r="J70" s="55" t="s">
        <v>2686</v>
      </c>
      <c r="K70" s="55" t="s">
        <v>1723</v>
      </c>
      <c r="L70" s="55"/>
      <c r="M70" s="55"/>
      <c r="N70" s="60"/>
      <c r="O70" s="55"/>
      <c r="P70" s="67"/>
      <c r="Q70" s="67"/>
      <c r="R70" s="67"/>
      <c r="S70" s="67"/>
      <c r="T70" s="56">
        <v>222.32</v>
      </c>
      <c r="U70" s="103"/>
      <c r="V70" s="103">
        <v>4.1134400863620003E-2</v>
      </c>
      <c r="W70" s="103">
        <v>1.0964781961431849</v>
      </c>
      <c r="X70" s="103">
        <f>IF(W70=0,V70,W70)</f>
        <v>1.0964781961431849</v>
      </c>
      <c r="Y70" s="162">
        <v>6.97</v>
      </c>
      <c r="Z70" s="56">
        <v>4.8499999999999996</v>
      </c>
      <c r="AA70" s="56"/>
      <c r="AB70" s="56">
        <v>3.88</v>
      </c>
      <c r="AC70" s="56">
        <v>0.5998</v>
      </c>
      <c r="AD70" s="56">
        <v>3.94</v>
      </c>
      <c r="AE70" s="56">
        <v>4.0199999999999996</v>
      </c>
      <c r="AF70" s="56">
        <f t="shared" si="20"/>
        <v>3.94</v>
      </c>
      <c r="AG70" s="57">
        <v>4.41</v>
      </c>
      <c r="AH70" s="103">
        <v>3.89E-10</v>
      </c>
      <c r="AI70" s="103"/>
      <c r="AJ70" s="62">
        <f t="shared" si="25"/>
        <v>-7.7986167249869442</v>
      </c>
      <c r="AK70" s="62"/>
      <c r="AL70" s="62">
        <f t="shared" si="22"/>
        <v>-7.7986167249869442</v>
      </c>
      <c r="AM70" s="62">
        <v>-11.20811</v>
      </c>
      <c r="AN70" s="154">
        <v>-6.99</v>
      </c>
      <c r="AO70" s="410">
        <v>11.89</v>
      </c>
      <c r="AP70" s="410"/>
      <c r="AQ70" s="56" t="s">
        <v>6311</v>
      </c>
      <c r="AR70" s="56" t="s">
        <v>6311</v>
      </c>
      <c r="AS70" s="155"/>
      <c r="AT70" s="58" t="s">
        <v>266</v>
      </c>
      <c r="AU70" s="56">
        <v>6</v>
      </c>
      <c r="AV70" s="56">
        <v>120</v>
      </c>
      <c r="AW70" s="56">
        <v>114</v>
      </c>
      <c r="AX70" s="56">
        <v>28</v>
      </c>
      <c r="AY70" s="56" t="s">
        <v>8728</v>
      </c>
      <c r="AZ70" s="56" t="s">
        <v>1563</v>
      </c>
      <c r="BA70" s="56">
        <v>32</v>
      </c>
      <c r="BB70" s="55" t="s">
        <v>2485</v>
      </c>
      <c r="BC70" s="55" t="s">
        <v>8726</v>
      </c>
      <c r="BD70" s="55" t="s">
        <v>8374</v>
      </c>
      <c r="BE70" s="56" t="s">
        <v>2449</v>
      </c>
      <c r="BF70" s="56" t="s">
        <v>272</v>
      </c>
      <c r="BG70" s="56" t="s">
        <v>272</v>
      </c>
      <c r="BH70" s="56" t="s">
        <v>2486</v>
      </c>
      <c r="BI70" s="103">
        <v>6.3999999999999997E-6</v>
      </c>
      <c r="BJ70" s="103">
        <v>6.4000000000000001E-2</v>
      </c>
      <c r="BK70" s="56"/>
      <c r="BL70" s="103">
        <f t="shared" si="23"/>
        <v>2.264722526987205E-3</v>
      </c>
      <c r="BM70" s="56" t="s">
        <v>2046</v>
      </c>
      <c r="BN70" s="56"/>
      <c r="BO70" s="56"/>
      <c r="BP70" s="56"/>
      <c r="BQ70" s="56"/>
      <c r="BR70" s="55">
        <v>2.0238577000000001E-2</v>
      </c>
      <c r="BS70" s="56"/>
      <c r="BT70" s="56"/>
      <c r="BU70" s="158"/>
      <c r="BV70" s="56"/>
      <c r="BW70" s="56"/>
      <c r="BX70" s="56"/>
      <c r="BY70" s="56"/>
      <c r="BZ70" s="56"/>
      <c r="CA70" s="56"/>
      <c r="CB70" s="56"/>
      <c r="CC70" s="56"/>
      <c r="CD70" s="56"/>
      <c r="CE70" s="56"/>
      <c r="CF70" s="56"/>
      <c r="CG70" s="56"/>
      <c r="CH70" s="56"/>
      <c r="CI70" s="103">
        <f t="shared" si="30"/>
        <v>2.0238577000000001E-2</v>
      </c>
      <c r="CJ70" s="103">
        <f t="shared" si="31"/>
        <v>-1.6938200265542473</v>
      </c>
      <c r="CK70" s="57">
        <f t="shared" si="28"/>
        <v>3.5386289484175076E-2</v>
      </c>
      <c r="CL70" s="160">
        <f t="shared" si="13"/>
        <v>0.11190127285071499</v>
      </c>
      <c r="CM70" s="160"/>
      <c r="CN70" s="160"/>
      <c r="CO70" s="55" t="s">
        <v>2488</v>
      </c>
      <c r="CP70" s="55" t="s">
        <v>2489</v>
      </c>
      <c r="CQ70" s="149" t="s">
        <v>272</v>
      </c>
      <c r="CR70" s="349"/>
      <c r="CS70" s="61" t="s">
        <v>539</v>
      </c>
      <c r="CT70" s="61"/>
      <c r="CU70" s="111">
        <f t="shared" si="24"/>
        <v>54.177632950339586</v>
      </c>
      <c r="CV70" s="331">
        <f t="shared" si="29"/>
        <v>17.132471814737265</v>
      </c>
      <c r="CW70" s="326">
        <f t="shared" si="32"/>
        <v>1</v>
      </c>
      <c r="CX70" s="326"/>
      <c r="CY70" s="161" t="s">
        <v>5921</v>
      </c>
    </row>
    <row r="71" spans="1:103" ht="11.25" customHeight="1" x14ac:dyDescent="0.2">
      <c r="A71" s="72">
        <v>69</v>
      </c>
      <c r="B71" s="149">
        <v>861</v>
      </c>
      <c r="C71" s="54" t="s">
        <v>2445</v>
      </c>
      <c r="D71" s="54" t="s">
        <v>6509</v>
      </c>
      <c r="E71" s="59"/>
      <c r="F71" s="59" t="s">
        <v>3779</v>
      </c>
      <c r="G71" s="151">
        <v>21725462</v>
      </c>
      <c r="H71" s="55" t="s">
        <v>2446</v>
      </c>
      <c r="I71" s="55" t="s">
        <v>8106</v>
      </c>
      <c r="J71" s="55" t="s">
        <v>2447</v>
      </c>
      <c r="K71" s="55" t="s">
        <v>940</v>
      </c>
      <c r="L71" s="55" t="s">
        <v>6026</v>
      </c>
      <c r="M71" s="55" t="s">
        <v>6082</v>
      </c>
      <c r="N71" s="60" t="s">
        <v>6082</v>
      </c>
      <c r="O71" s="55" t="s">
        <v>6083</v>
      </c>
      <c r="P71" s="67"/>
      <c r="Q71" s="67"/>
      <c r="R71" s="67"/>
      <c r="S71" s="67"/>
      <c r="T71" s="154">
        <v>240.69</v>
      </c>
      <c r="U71" s="103">
        <v>0.70630271303336245</v>
      </c>
      <c r="V71" s="103">
        <v>0.76363787444430598</v>
      </c>
      <c r="W71" s="103">
        <v>0.21379620895022311</v>
      </c>
      <c r="X71" s="103">
        <v>0.70630271303336245</v>
      </c>
      <c r="Y71" s="162">
        <v>7</v>
      </c>
      <c r="Z71" s="56">
        <v>2.5099999999999998</v>
      </c>
      <c r="AA71" s="56">
        <v>2.2200000000000002</v>
      </c>
      <c r="AB71" s="56">
        <v>2.34</v>
      </c>
      <c r="AC71" s="56">
        <v>0.84540000000000004</v>
      </c>
      <c r="AD71" s="56">
        <v>2.2999999999999998</v>
      </c>
      <c r="AE71" s="56">
        <v>2.19</v>
      </c>
      <c r="AF71" s="56">
        <f t="shared" si="20"/>
        <v>2.2200000000000002</v>
      </c>
      <c r="AG71" s="66">
        <v>2.1</v>
      </c>
      <c r="AH71" s="103">
        <v>1.8600000000000002E-12</v>
      </c>
      <c r="AI71" s="157">
        <v>2.5700000000000002E-12</v>
      </c>
      <c r="AJ71" s="62">
        <f t="shared" si="25"/>
        <v>-10.119053382094735</v>
      </c>
      <c r="AK71" s="62">
        <f>LOG10(AI71*1000/(0.08206*298.15))</f>
        <v>-9.9786332029813565</v>
      </c>
      <c r="AL71" s="62">
        <f t="shared" si="22"/>
        <v>-9.9786332029813565</v>
      </c>
      <c r="AM71" s="62">
        <v>-13.04054</v>
      </c>
      <c r="AN71" s="154">
        <v>-9.64</v>
      </c>
      <c r="AO71" s="410"/>
      <c r="AP71" s="410">
        <v>1.46</v>
      </c>
      <c r="AQ71" s="154" t="s">
        <v>6311</v>
      </c>
      <c r="AR71" s="154" t="s">
        <v>6311</v>
      </c>
      <c r="AS71" s="149" t="s">
        <v>6</v>
      </c>
      <c r="AT71" s="58" t="s">
        <v>266</v>
      </c>
      <c r="AU71" s="56">
        <v>2</v>
      </c>
      <c r="AV71" s="56">
        <v>98</v>
      </c>
      <c r="AW71" s="56">
        <v>96</v>
      </c>
      <c r="AX71" s="56">
        <v>26</v>
      </c>
      <c r="AY71" s="56" t="s">
        <v>267</v>
      </c>
      <c r="AZ71" s="56" t="s">
        <v>536</v>
      </c>
      <c r="BA71" s="56">
        <v>10</v>
      </c>
      <c r="BB71" s="55" t="s">
        <v>1764</v>
      </c>
      <c r="BC71" s="55" t="s">
        <v>2448</v>
      </c>
      <c r="BD71" s="55"/>
      <c r="BE71" s="56" t="s">
        <v>2449</v>
      </c>
      <c r="BF71" s="56"/>
      <c r="BG71" s="56" t="s">
        <v>540</v>
      </c>
      <c r="BH71" s="56" t="s">
        <v>272</v>
      </c>
      <c r="BI71" s="103"/>
      <c r="BJ71" s="103"/>
      <c r="BK71" s="56"/>
      <c r="BL71" s="103">
        <f t="shared" si="23"/>
        <v>0.28613369290670693</v>
      </c>
      <c r="BM71" s="56" t="s">
        <v>541</v>
      </c>
      <c r="BN71" s="162"/>
      <c r="BO71" s="56"/>
      <c r="BP71" s="56"/>
      <c r="BQ71" s="56">
        <v>0.31537183215621106</v>
      </c>
      <c r="BR71" s="56"/>
      <c r="BS71" s="56"/>
      <c r="BT71" s="56"/>
      <c r="BU71" s="158"/>
      <c r="BV71" s="56"/>
      <c r="BW71" s="56"/>
      <c r="BX71" s="56"/>
      <c r="BY71" s="56"/>
      <c r="BZ71" s="56"/>
      <c r="CA71" s="56"/>
      <c r="CB71" s="56"/>
      <c r="CC71" s="56"/>
      <c r="CD71" s="56"/>
      <c r="CE71" s="56"/>
      <c r="CF71" s="56"/>
      <c r="CG71" s="56"/>
      <c r="CH71" s="56"/>
      <c r="CI71" s="103">
        <f t="shared" si="30"/>
        <v>0.31537183215621106</v>
      </c>
      <c r="CJ71" s="103">
        <f t="shared" si="31"/>
        <v>-0.50117709884927741</v>
      </c>
      <c r="CK71" s="57" t="s">
        <v>404</v>
      </c>
      <c r="CL71" s="160">
        <f t="shared" si="13"/>
        <v>0.90728994707738575</v>
      </c>
      <c r="CM71" s="160">
        <v>-1.6033067965385139</v>
      </c>
      <c r="CN71" s="160"/>
      <c r="CO71" s="55"/>
      <c r="CP71" s="55" t="s">
        <v>2450</v>
      </c>
      <c r="CQ71" s="149">
        <v>-1.2326482931417797</v>
      </c>
      <c r="CR71" s="349">
        <f>10^(CJ71-CQ71)</f>
        <v>5.3885410329248122</v>
      </c>
      <c r="CS71" s="61" t="s">
        <v>539</v>
      </c>
      <c r="CT71" s="61"/>
      <c r="CU71" s="111">
        <f t="shared" si="24"/>
        <v>2.2395871825468361</v>
      </c>
      <c r="CV71" s="331"/>
      <c r="CW71" s="326">
        <f t="shared" si="32"/>
        <v>1</v>
      </c>
      <c r="CX71" s="326"/>
      <c r="CY71" s="161" t="s">
        <v>5921</v>
      </c>
    </row>
    <row r="72" spans="1:103" ht="11.25" customHeight="1" x14ac:dyDescent="0.2">
      <c r="A72" s="72">
        <v>70</v>
      </c>
      <c r="B72" s="149">
        <v>2148</v>
      </c>
      <c r="C72" s="54" t="s">
        <v>5873</v>
      </c>
      <c r="D72" s="54" t="s">
        <v>6475</v>
      </c>
      <c r="E72" s="59"/>
      <c r="F72" s="167" t="s">
        <v>4365</v>
      </c>
      <c r="G72" s="151">
        <v>126863</v>
      </c>
      <c r="H72" s="67" t="s">
        <v>4366</v>
      </c>
      <c r="I72" s="67" t="s">
        <v>7940</v>
      </c>
      <c r="J72" s="67" t="s">
        <v>5874</v>
      </c>
      <c r="K72" s="67" t="s">
        <v>4368</v>
      </c>
      <c r="L72" s="67" t="s">
        <v>5527</v>
      </c>
      <c r="M72" s="67" t="s">
        <v>526</v>
      </c>
      <c r="N72" s="60" t="s">
        <v>526</v>
      </c>
      <c r="O72" s="67"/>
      <c r="P72" s="67"/>
      <c r="Q72" s="67"/>
      <c r="R72" s="67"/>
      <c r="S72" s="67"/>
      <c r="T72" s="61">
        <v>226.36</v>
      </c>
      <c r="U72" s="111"/>
      <c r="V72" s="111">
        <v>0.1164074924898392</v>
      </c>
      <c r="W72" s="111">
        <v>0.13489628825916533</v>
      </c>
      <c r="X72" s="111">
        <f>IF(W72=0,V72,W72)</f>
        <v>0.13489628825916533</v>
      </c>
      <c r="Y72" s="411">
        <v>7</v>
      </c>
      <c r="Z72" s="61">
        <v>3.61</v>
      </c>
      <c r="AA72" s="61"/>
      <c r="AB72" s="61">
        <v>2.82</v>
      </c>
      <c r="AC72" s="61">
        <v>0.67310000000000003</v>
      </c>
      <c r="AD72" s="61">
        <v>2.94</v>
      </c>
      <c r="AE72" s="61">
        <v>3.11</v>
      </c>
      <c r="AF72" s="61">
        <f t="shared" si="20"/>
        <v>2.94</v>
      </c>
      <c r="AG72" s="62">
        <v>3.23</v>
      </c>
      <c r="AH72" s="111">
        <v>2.4400000000000001E-7</v>
      </c>
      <c r="AI72" s="111"/>
      <c r="AJ72" s="62">
        <f t="shared" si="25"/>
        <v>-5.0011764999739219</v>
      </c>
      <c r="AK72" s="62"/>
      <c r="AL72" s="62">
        <f t="shared" si="22"/>
        <v>-5.0011764999739219</v>
      </c>
      <c r="AM72" s="62">
        <v>-9.0765900000000013</v>
      </c>
      <c r="AN72" s="163">
        <v>-8.3695000000000004</v>
      </c>
      <c r="AO72" s="410">
        <v>12.92</v>
      </c>
      <c r="AP72" s="410"/>
      <c r="AQ72" s="163" t="s">
        <v>6311</v>
      </c>
      <c r="AR72" s="163" t="s">
        <v>6311</v>
      </c>
      <c r="AS72" s="164" t="s">
        <v>5466</v>
      </c>
      <c r="AT72" s="63" t="s">
        <v>266</v>
      </c>
      <c r="AU72" s="61">
        <v>0</v>
      </c>
      <c r="AV72" s="61">
        <v>120</v>
      </c>
      <c r="AW72" s="61">
        <v>120</v>
      </c>
      <c r="AX72" s="61">
        <v>26</v>
      </c>
      <c r="AY72" s="61"/>
      <c r="AZ72" s="61"/>
      <c r="BA72" s="61"/>
      <c r="BB72" s="67" t="s">
        <v>5487</v>
      </c>
      <c r="BC72" s="67" t="s">
        <v>5718</v>
      </c>
      <c r="BD72" s="67"/>
      <c r="BE72" s="61" t="s">
        <v>1584</v>
      </c>
      <c r="BF72" s="61"/>
      <c r="BG72" s="61"/>
      <c r="BH72" s="61"/>
      <c r="BI72" s="111">
        <v>8.8354832999999994E-2</v>
      </c>
      <c r="BJ72" s="111">
        <v>1.4136773279999999</v>
      </c>
      <c r="BK72" s="165"/>
      <c r="BL72" s="111">
        <f t="shared" si="23"/>
        <v>2.9421106357497059E-2</v>
      </c>
      <c r="BM72" s="61"/>
      <c r="BN72" s="61">
        <v>0.43735642299999999</v>
      </c>
      <c r="BO72" s="61">
        <v>0.42852094000000002</v>
      </c>
      <c r="BP72" s="61">
        <v>0.37109029900000001</v>
      </c>
      <c r="BQ72" s="61">
        <v>0.31807739899999998</v>
      </c>
      <c r="BR72" s="61">
        <v>0.29157094900000002</v>
      </c>
      <c r="BS72" s="61"/>
      <c r="BT72" s="61"/>
      <c r="BU72" s="158"/>
      <c r="BV72" s="61"/>
      <c r="BW72" s="61"/>
      <c r="BX72" s="61"/>
      <c r="BY72" s="61"/>
      <c r="BZ72" s="61"/>
      <c r="CA72" s="61"/>
      <c r="CB72" s="61"/>
      <c r="CC72" s="61"/>
      <c r="CD72" s="61"/>
      <c r="CE72" s="61"/>
      <c r="CF72" s="61"/>
      <c r="CG72" s="61"/>
      <c r="CH72" s="61"/>
      <c r="CI72" s="111">
        <f t="shared" si="30"/>
        <v>0.29157094900000002</v>
      </c>
      <c r="CJ72" s="103">
        <f t="shared" si="31"/>
        <v>-0.53525574961850708</v>
      </c>
      <c r="CK72" s="57">
        <f>BL72/BJ72</f>
        <v>2.0811755111840531E-2</v>
      </c>
      <c r="CL72" s="160">
        <f t="shared" si="13"/>
        <v>0.10090547929552836</v>
      </c>
      <c r="CM72" s="160"/>
      <c r="CN72" s="160"/>
      <c r="CO72" s="67" t="s">
        <v>5494</v>
      </c>
      <c r="CP72" s="67" t="s">
        <v>5875</v>
      </c>
      <c r="CQ72" s="149">
        <v>-0.79849718449600326</v>
      </c>
      <c r="CR72" s="349">
        <f>10^(CJ72-CQ72)</f>
        <v>1.8333333337677784</v>
      </c>
      <c r="CS72" s="61" t="s">
        <v>539</v>
      </c>
      <c r="CT72" s="61"/>
      <c r="CU72" s="111">
        <f t="shared" si="24"/>
        <v>0.4626533909561934</v>
      </c>
      <c r="CV72" s="331">
        <f>X72/BJ72</f>
        <v>9.5422261917441839E-2</v>
      </c>
      <c r="CW72" s="326">
        <f t="shared" si="32"/>
        <v>0</v>
      </c>
      <c r="CX72" s="326"/>
      <c r="CY72" s="161" t="s">
        <v>6351</v>
      </c>
    </row>
    <row r="73" spans="1:103" ht="11.25" customHeight="1" x14ac:dyDescent="0.2">
      <c r="A73" s="72">
        <v>71</v>
      </c>
      <c r="B73" s="149">
        <v>1191</v>
      </c>
      <c r="C73" s="54" t="s">
        <v>3281</v>
      </c>
      <c r="D73" s="54"/>
      <c r="E73" s="59"/>
      <c r="F73" s="59" t="s">
        <v>3282</v>
      </c>
      <c r="G73" s="151">
        <v>90948</v>
      </c>
      <c r="H73" s="55" t="s">
        <v>3283</v>
      </c>
      <c r="I73" s="55" t="s">
        <v>3283</v>
      </c>
      <c r="J73" s="55" t="s">
        <v>3284</v>
      </c>
      <c r="K73" s="55" t="s">
        <v>426</v>
      </c>
      <c r="L73" s="55"/>
      <c r="M73" s="55"/>
      <c r="N73" s="60"/>
      <c r="O73" s="55"/>
      <c r="P73" s="67"/>
      <c r="Q73" s="67" t="s">
        <v>6173</v>
      </c>
      <c r="R73" s="67" t="s">
        <v>6185</v>
      </c>
      <c r="S73" s="67" t="s">
        <v>6182</v>
      </c>
      <c r="T73" s="56">
        <v>268.35000000000002</v>
      </c>
      <c r="U73" s="103">
        <v>1.4905906465436929</v>
      </c>
      <c r="V73" s="103">
        <v>3.4462455748090176E-2</v>
      </c>
      <c r="W73" s="103">
        <v>2.691534803926909E-2</v>
      </c>
      <c r="X73" s="103">
        <v>1.4905906465436929</v>
      </c>
      <c r="Y73" s="162">
        <v>7</v>
      </c>
      <c r="Z73" s="56">
        <v>3.5</v>
      </c>
      <c r="AA73" s="56">
        <v>3.87</v>
      </c>
      <c r="AB73" s="56">
        <v>3.5</v>
      </c>
      <c r="AC73" s="56">
        <v>0.89880000000000004</v>
      </c>
      <c r="AD73" s="56">
        <v>3.58</v>
      </c>
      <c r="AE73" s="56">
        <v>3.87</v>
      </c>
      <c r="AF73" s="56">
        <f t="shared" si="20"/>
        <v>3.87</v>
      </c>
      <c r="AG73" s="57">
        <v>3.75</v>
      </c>
      <c r="AH73" s="103">
        <v>4.9099999999999996E-10</v>
      </c>
      <c r="AI73" s="103"/>
      <c r="AJ73" s="62">
        <f t="shared" si="25"/>
        <v>-7.6974848341896838</v>
      </c>
      <c r="AK73" s="62"/>
      <c r="AL73" s="62">
        <f t="shared" si="22"/>
        <v>-7.6974848341896838</v>
      </c>
      <c r="AM73" s="62">
        <v>-13.857149999999997</v>
      </c>
      <c r="AN73" s="154">
        <v>-8.0500000000000007</v>
      </c>
      <c r="AO73" s="410"/>
      <c r="AP73" s="410">
        <v>2.5499999999999998</v>
      </c>
      <c r="AQ73" s="56" t="s">
        <v>6311</v>
      </c>
      <c r="AR73" s="56" t="s">
        <v>6311</v>
      </c>
      <c r="AS73" s="155"/>
      <c r="AT73" s="58" t="s">
        <v>266</v>
      </c>
      <c r="AU73" s="56">
        <v>6</v>
      </c>
      <c r="AV73" s="56">
        <v>120</v>
      </c>
      <c r="AW73" s="56">
        <v>114</v>
      </c>
      <c r="AX73" s="56">
        <v>28</v>
      </c>
      <c r="AY73" s="56" t="s">
        <v>8728</v>
      </c>
      <c r="AZ73" s="56" t="s">
        <v>1563</v>
      </c>
      <c r="BA73" s="56">
        <v>32</v>
      </c>
      <c r="BB73" s="55" t="s">
        <v>2485</v>
      </c>
      <c r="BC73" s="55" t="s">
        <v>8726</v>
      </c>
      <c r="BD73" s="55" t="s">
        <v>8374</v>
      </c>
      <c r="BE73" s="56" t="s">
        <v>2449</v>
      </c>
      <c r="BF73" s="56" t="s">
        <v>272</v>
      </c>
      <c r="BG73" s="56" t="s">
        <v>272</v>
      </c>
      <c r="BH73" s="56" t="s">
        <v>2486</v>
      </c>
      <c r="BI73" s="103">
        <v>6.3999999999999997E-6</v>
      </c>
      <c r="BJ73" s="103">
        <v>6.4000000000000001E-2</v>
      </c>
      <c r="BK73" s="56"/>
      <c r="BL73" s="103">
        <f t="shared" si="23"/>
        <v>3.6936011775524802E-2</v>
      </c>
      <c r="BM73" s="56" t="s">
        <v>2487</v>
      </c>
      <c r="BN73" s="56"/>
      <c r="BO73" s="56"/>
      <c r="BP73" s="56"/>
      <c r="BQ73" s="56"/>
      <c r="BR73" s="55">
        <v>2.0238577000000001E-2</v>
      </c>
      <c r="BS73" s="56"/>
      <c r="BT73" s="56"/>
      <c r="BU73" s="158"/>
      <c r="BV73" s="56"/>
      <c r="BW73" s="56"/>
      <c r="BX73" s="56"/>
      <c r="BY73" s="56"/>
      <c r="BZ73" s="56"/>
      <c r="CA73" s="56"/>
      <c r="CB73" s="56"/>
      <c r="CC73" s="56"/>
      <c r="CD73" s="56"/>
      <c r="CE73" s="56"/>
      <c r="CF73" s="56"/>
      <c r="CG73" s="56"/>
      <c r="CH73" s="56"/>
      <c r="CI73" s="103">
        <f t="shared" si="30"/>
        <v>2.0238577000000001E-2</v>
      </c>
      <c r="CJ73" s="103">
        <f t="shared" si="31"/>
        <v>-1.6938200265542473</v>
      </c>
      <c r="CK73" s="57">
        <f>BL73/BJ73</f>
        <v>0.57712518399257506</v>
      </c>
      <c r="CL73" s="160">
        <f t="shared" si="13"/>
        <v>1.8250300787216809</v>
      </c>
      <c r="CM73" s="160"/>
      <c r="CN73" s="160"/>
      <c r="CO73" s="55" t="s">
        <v>2488</v>
      </c>
      <c r="CP73" s="55" t="s">
        <v>2489</v>
      </c>
      <c r="CQ73" s="149" t="s">
        <v>272</v>
      </c>
      <c r="CR73" s="349"/>
      <c r="CS73" s="61" t="s">
        <v>539</v>
      </c>
      <c r="CT73" s="61"/>
      <c r="CU73" s="111">
        <f t="shared" si="24"/>
        <v>73.650961060340009</v>
      </c>
      <c r="CV73" s="331">
        <f>X73/BJ73</f>
        <v>23.290478852245201</v>
      </c>
      <c r="CW73" s="326">
        <f t="shared" si="32"/>
        <v>1</v>
      </c>
      <c r="CX73" s="326"/>
      <c r="CY73" s="161" t="s">
        <v>5921</v>
      </c>
    </row>
    <row r="74" spans="1:103" ht="11.25" customHeight="1" x14ac:dyDescent="0.2">
      <c r="A74" s="72">
        <v>72</v>
      </c>
      <c r="B74" s="149">
        <v>18</v>
      </c>
      <c r="C74" s="54" t="s">
        <v>354</v>
      </c>
      <c r="D74" s="54" t="s">
        <v>8361</v>
      </c>
      <c r="E74" s="59"/>
      <c r="F74" s="150" t="str">
        <f>HYPERLINK("http://www.sigmaaldrich.com/catalog/Lookup.do?N5=CAS+No.&amp;N3=mode+matchpartialmax&amp;N4=91-64-5&amp;D7=0&amp;D10=&amp;N25=0&amp;N1=S_ID&amp;ST=RS&amp;F=PR","91-64-5")</f>
        <v>91-64-5</v>
      </c>
      <c r="G74" s="151">
        <v>91645</v>
      </c>
      <c r="H74" s="55" t="s">
        <v>355</v>
      </c>
      <c r="I74" s="55" t="s">
        <v>355</v>
      </c>
      <c r="J74" s="55" t="s">
        <v>356</v>
      </c>
      <c r="K74" s="55" t="s">
        <v>357</v>
      </c>
      <c r="L74" s="64"/>
      <c r="M74" s="55"/>
      <c r="N74" s="60"/>
      <c r="O74" s="55"/>
      <c r="P74" s="67"/>
      <c r="Q74" s="67"/>
      <c r="R74" s="67"/>
      <c r="S74" s="67"/>
      <c r="T74" s="59">
        <v>146.13999999999999</v>
      </c>
      <c r="U74" s="153">
        <v>13.001231695634324</v>
      </c>
      <c r="V74" s="153">
        <v>35.075954564116607</v>
      </c>
      <c r="W74" s="153">
        <v>32.359365692962811</v>
      </c>
      <c r="X74" s="153">
        <v>13.001231695634324</v>
      </c>
      <c r="Y74" s="410">
        <v>7</v>
      </c>
      <c r="Z74" s="59">
        <v>1.51</v>
      </c>
      <c r="AA74" s="59">
        <v>1.39</v>
      </c>
      <c r="AB74" s="59">
        <v>2.06</v>
      </c>
      <c r="AC74" s="59">
        <v>0.79700000000000004</v>
      </c>
      <c r="AD74" s="59">
        <v>1.85</v>
      </c>
      <c r="AE74" s="59">
        <v>1.39</v>
      </c>
      <c r="AF74" s="59">
        <f t="shared" si="20"/>
        <v>1.39</v>
      </c>
      <c r="AG74" s="57">
        <v>2.06</v>
      </c>
      <c r="AH74" s="103">
        <v>6.9500000000000004E-6</v>
      </c>
      <c r="AI74" s="103">
        <v>9.9200000000000002E-8</v>
      </c>
      <c r="AJ74" s="62">
        <f t="shared" si="25"/>
        <v>-3.5465815217225378</v>
      </c>
      <c r="AK74" s="62">
        <f>LOG10(AI74*1000/(0.08206*298.15))</f>
        <v>-5.3920546541584731</v>
      </c>
      <c r="AL74" s="62">
        <f t="shared" si="22"/>
        <v>-5.3920546541584731</v>
      </c>
      <c r="AM74" s="62">
        <v>-6.2431699999999992</v>
      </c>
      <c r="AN74" s="154">
        <v>-4.9400000000000004</v>
      </c>
      <c r="AO74" s="410"/>
      <c r="AP74" s="410"/>
      <c r="AQ74" s="154" t="s">
        <v>6311</v>
      </c>
      <c r="AR74" s="154" t="s">
        <v>6311</v>
      </c>
      <c r="AS74" s="149" t="s">
        <v>282</v>
      </c>
      <c r="AT74" s="58" t="s">
        <v>266</v>
      </c>
      <c r="AU74" s="155">
        <v>24</v>
      </c>
      <c r="AV74" s="155">
        <v>120</v>
      </c>
      <c r="AW74" s="155">
        <v>96</v>
      </c>
      <c r="AX74" s="155">
        <v>28</v>
      </c>
      <c r="AY74" s="155" t="s">
        <v>267</v>
      </c>
      <c r="AZ74" s="155" t="s">
        <v>268</v>
      </c>
      <c r="BA74" s="155">
        <v>48</v>
      </c>
      <c r="BB74" s="55" t="s">
        <v>269</v>
      </c>
      <c r="BC74" s="156" t="s">
        <v>270</v>
      </c>
      <c r="BD74" s="156" t="s">
        <v>8374</v>
      </c>
      <c r="BE74" s="155" t="s">
        <v>271</v>
      </c>
      <c r="BF74" s="155" t="s">
        <v>272</v>
      </c>
      <c r="BG74" s="155" t="s">
        <v>272</v>
      </c>
      <c r="BH74" s="155" t="s">
        <v>272</v>
      </c>
      <c r="BI74" s="157">
        <v>2.6065831864958136E-6</v>
      </c>
      <c r="BJ74" s="157">
        <v>2.9193731688753116E-3</v>
      </c>
      <c r="BK74" s="56"/>
      <c r="BL74" s="103">
        <f t="shared" si="23"/>
        <v>2.2629189536806984</v>
      </c>
      <c r="BM74" s="56">
        <v>0</v>
      </c>
      <c r="BN74" s="56"/>
      <c r="BO74" s="56"/>
      <c r="BP74" s="56"/>
      <c r="BQ74" s="56"/>
      <c r="BR74" s="56"/>
      <c r="BS74" s="56"/>
      <c r="BT74" s="56"/>
      <c r="BU74" s="158"/>
      <c r="BV74" s="56"/>
      <c r="BW74" s="56"/>
      <c r="BX74" s="56"/>
      <c r="BY74" s="56">
        <v>3.6</v>
      </c>
      <c r="BZ74" s="56">
        <v>3.38</v>
      </c>
      <c r="CA74" s="56">
        <v>3.24</v>
      </c>
      <c r="CB74" s="56">
        <v>1.65</v>
      </c>
      <c r="CC74" s="56"/>
      <c r="CD74" s="56"/>
      <c r="CE74" s="56"/>
      <c r="CF74" s="56"/>
      <c r="CG74" s="56"/>
      <c r="CH74" s="56"/>
      <c r="CI74" s="103">
        <f t="shared" si="30"/>
        <v>1.65</v>
      </c>
      <c r="CJ74" s="103">
        <f t="shared" si="31"/>
        <v>0.21748394421390627</v>
      </c>
      <c r="CK74" s="57">
        <f>BL74/BJ74</f>
        <v>775.13864202310515</v>
      </c>
      <c r="CL74" s="160">
        <f t="shared" si="13"/>
        <v>1.3714660325337567</v>
      </c>
      <c r="CM74" s="160"/>
      <c r="CN74" s="160"/>
      <c r="CO74" s="55" t="s">
        <v>273</v>
      </c>
      <c r="CP74" s="156" t="s">
        <v>274</v>
      </c>
      <c r="CQ74" s="149" t="s">
        <v>272</v>
      </c>
      <c r="CR74" s="349"/>
      <c r="CS74" s="61" t="s">
        <v>539</v>
      </c>
      <c r="CT74" s="61"/>
      <c r="CU74" s="111">
        <f t="shared" si="24"/>
        <v>7.8795343609905002</v>
      </c>
      <c r="CV74" s="331">
        <f>X74/BJ74</f>
        <v>4453.4326184285128</v>
      </c>
      <c r="CW74" s="326">
        <f t="shared" si="32"/>
        <v>1</v>
      </c>
      <c r="CX74" s="326"/>
      <c r="CY74" s="161" t="s">
        <v>6351</v>
      </c>
    </row>
    <row r="75" spans="1:103" ht="11.25" customHeight="1" x14ac:dyDescent="0.2">
      <c r="A75" s="72">
        <v>73</v>
      </c>
      <c r="B75" s="149">
        <v>619</v>
      </c>
      <c r="C75" s="54" t="s">
        <v>1844</v>
      </c>
      <c r="D75" s="54" t="s">
        <v>6538</v>
      </c>
      <c r="E75" s="59"/>
      <c r="F75" s="59" t="s">
        <v>1845</v>
      </c>
      <c r="G75" s="151">
        <v>75070</v>
      </c>
      <c r="H75" s="55" t="s">
        <v>1846</v>
      </c>
      <c r="I75" s="55" t="s">
        <v>1846</v>
      </c>
      <c r="J75" s="55" t="s">
        <v>1847</v>
      </c>
      <c r="K75" s="55" t="s">
        <v>511</v>
      </c>
      <c r="L75" s="55"/>
      <c r="M75" s="55" t="s">
        <v>6624</v>
      </c>
      <c r="N75" s="60" t="s">
        <v>6088</v>
      </c>
      <c r="O75" s="55"/>
      <c r="P75" s="67" t="s">
        <v>6172</v>
      </c>
      <c r="Q75" s="67" t="s">
        <v>6176</v>
      </c>
      <c r="R75" s="67" t="s">
        <v>6175</v>
      </c>
      <c r="S75" s="67" t="s">
        <v>6176</v>
      </c>
      <c r="T75" s="56">
        <v>44.05</v>
      </c>
      <c r="U75" s="103">
        <v>22701.475595913736</v>
      </c>
      <c r="V75" s="103">
        <v>5829.7389330306478</v>
      </c>
      <c r="W75" s="103">
        <v>1621.8100973589301</v>
      </c>
      <c r="X75" s="103">
        <v>22701.475595913736</v>
      </c>
      <c r="Y75" s="162">
        <v>7</v>
      </c>
      <c r="Z75" s="56">
        <v>-0.17</v>
      </c>
      <c r="AA75" s="56">
        <v>-0.34</v>
      </c>
      <c r="AB75" s="56">
        <v>0.41</v>
      </c>
      <c r="AC75" s="56">
        <v>0.93489999999999995</v>
      </c>
      <c r="AD75" s="56">
        <v>0.28999999999999998</v>
      </c>
      <c r="AE75" s="56">
        <v>-0.16</v>
      </c>
      <c r="AF75" s="56">
        <f t="shared" si="20"/>
        <v>-0.34</v>
      </c>
      <c r="AG75" s="57">
        <v>0.05</v>
      </c>
      <c r="AH75" s="103">
        <v>6.7799999999999995E-5</v>
      </c>
      <c r="AI75" s="103">
        <v>6.6699999999999995E-5</v>
      </c>
      <c r="AJ75" s="62">
        <f t="shared" si="25"/>
        <v>-2.5573366324455886</v>
      </c>
      <c r="AK75" s="62">
        <f>LOG10(AI75*1000/(0.08206*298.15))</f>
        <v>-2.5644404923961028</v>
      </c>
      <c r="AL75" s="62">
        <f t="shared" si="22"/>
        <v>-2.5644404923961028</v>
      </c>
      <c r="AM75" s="62">
        <v>-2.7803900000000001</v>
      </c>
      <c r="AN75" s="154">
        <v>-2.4300000000000002</v>
      </c>
      <c r="AO75" s="410"/>
      <c r="AP75" s="410"/>
      <c r="AQ75" s="154" t="s">
        <v>6311</v>
      </c>
      <c r="AR75" s="154" t="s">
        <v>6311</v>
      </c>
      <c r="AS75" s="149" t="s">
        <v>6</v>
      </c>
      <c r="AT75" s="58" t="s">
        <v>266</v>
      </c>
      <c r="AU75" s="56">
        <v>2</v>
      </c>
      <c r="AV75" s="56" t="s">
        <v>646</v>
      </c>
      <c r="AW75" s="56" t="s">
        <v>646</v>
      </c>
      <c r="AX75" s="56">
        <v>26</v>
      </c>
      <c r="AY75" s="56" t="s">
        <v>647</v>
      </c>
      <c r="AZ75" s="56" t="s">
        <v>536</v>
      </c>
      <c r="BA75" s="56">
        <v>10</v>
      </c>
      <c r="BB75" s="55" t="s">
        <v>1764</v>
      </c>
      <c r="BC75" s="55" t="s">
        <v>538</v>
      </c>
      <c r="BD75" s="55"/>
      <c r="BE75" s="56" t="s">
        <v>1809</v>
      </c>
      <c r="BF75" s="56" t="s">
        <v>539</v>
      </c>
      <c r="BG75" s="56" t="s">
        <v>272</v>
      </c>
      <c r="BH75" s="56" t="s">
        <v>272</v>
      </c>
      <c r="BI75" s="157">
        <v>3.5414301929625427E-2</v>
      </c>
      <c r="BJ75" s="157">
        <v>9.0805902383654935</v>
      </c>
      <c r="BK75" s="56"/>
      <c r="BL75" s="103">
        <f t="shared" si="23"/>
        <v>73.025913772176295</v>
      </c>
      <c r="BM75" s="56" t="s">
        <v>541</v>
      </c>
      <c r="BN75" s="56"/>
      <c r="BO75" s="56">
        <v>0.51259931895573208</v>
      </c>
      <c r="BP75" s="56"/>
      <c r="BQ75" s="56"/>
      <c r="BR75" s="56">
        <v>0.28999999999999998</v>
      </c>
      <c r="BS75" s="56"/>
      <c r="BT75" s="56"/>
      <c r="BU75" s="158"/>
      <c r="BV75" s="56"/>
      <c r="BW75" s="56"/>
      <c r="BX75" s="56"/>
      <c r="BY75" s="56"/>
      <c r="BZ75" s="56"/>
      <c r="CA75" s="56"/>
      <c r="CB75" s="56"/>
      <c r="CC75" s="56"/>
      <c r="CD75" s="56"/>
      <c r="CE75" s="56"/>
      <c r="CF75" s="56"/>
      <c r="CG75" s="56"/>
      <c r="CH75" s="56"/>
      <c r="CI75" s="103">
        <f t="shared" si="30"/>
        <v>0.28999999999999998</v>
      </c>
      <c r="CJ75" s="103">
        <f t="shared" si="31"/>
        <v>-0.53760200210104392</v>
      </c>
      <c r="CK75" s="57">
        <f>BL75/BJ75</f>
        <v>8.0419787541609153</v>
      </c>
      <c r="CL75" s="160">
        <f t="shared" si="13"/>
        <v>251.81349576612519</v>
      </c>
      <c r="CM75" s="160"/>
      <c r="CN75" s="160"/>
      <c r="CO75" s="55"/>
      <c r="CP75" s="55" t="s">
        <v>1811</v>
      </c>
      <c r="CQ75" s="149">
        <v>-0.37115057569436155</v>
      </c>
      <c r="CR75" s="349">
        <f>10^(CJ75-CQ75)</f>
        <v>0.68162980723471778</v>
      </c>
      <c r="CS75" s="61" t="s">
        <v>539</v>
      </c>
      <c r="CT75" s="61"/>
      <c r="CU75" s="111">
        <f t="shared" si="24"/>
        <v>78280.950330737032</v>
      </c>
      <c r="CV75" s="331">
        <f>X75/BJ75</f>
        <v>2500.0000000000005</v>
      </c>
      <c r="CW75" s="326">
        <f t="shared" si="32"/>
        <v>1</v>
      </c>
      <c r="CX75" s="326"/>
      <c r="CY75" s="161" t="s">
        <v>6351</v>
      </c>
    </row>
    <row r="76" spans="1:103" ht="11.25" customHeight="1" x14ac:dyDescent="0.2">
      <c r="A76" s="72">
        <v>74</v>
      </c>
      <c r="B76" s="149">
        <v>1044</v>
      </c>
      <c r="C76" s="54" t="s">
        <v>2958</v>
      </c>
      <c r="D76" s="54" t="s">
        <v>8362</v>
      </c>
      <c r="E76" s="59"/>
      <c r="F76" s="59" t="s">
        <v>2959</v>
      </c>
      <c r="G76" s="151">
        <v>94268</v>
      </c>
      <c r="H76" s="55" t="s">
        <v>2960</v>
      </c>
      <c r="I76" s="55" t="s">
        <v>2960</v>
      </c>
      <c r="J76" s="55" t="s">
        <v>2961</v>
      </c>
      <c r="K76" s="55" t="s">
        <v>2962</v>
      </c>
      <c r="L76" s="55"/>
      <c r="M76" s="55"/>
      <c r="N76" s="60"/>
      <c r="O76" s="55"/>
      <c r="P76" s="67"/>
      <c r="Q76" s="67" t="s">
        <v>6173</v>
      </c>
      <c r="R76" s="67" t="s">
        <v>6174</v>
      </c>
      <c r="S76" s="67" t="s">
        <v>6176</v>
      </c>
      <c r="T76" s="56">
        <v>194.23</v>
      </c>
      <c r="U76" s="103">
        <v>1.065746795036812</v>
      </c>
      <c r="V76" s="103">
        <v>0.81861710343407301</v>
      </c>
      <c r="W76" s="103">
        <v>2.6302679918953791</v>
      </c>
      <c r="X76" s="103">
        <v>1.065746795036812</v>
      </c>
      <c r="Y76" s="162">
        <v>5.4</v>
      </c>
      <c r="Z76" s="56">
        <v>3.47</v>
      </c>
      <c r="AA76" s="56">
        <v>3.57</v>
      </c>
      <c r="AB76" s="56">
        <v>3.1</v>
      </c>
      <c r="AC76" s="56">
        <v>0.89359999999999995</v>
      </c>
      <c r="AD76" s="56">
        <v>3.18</v>
      </c>
      <c r="AE76" s="56">
        <v>3.46</v>
      </c>
      <c r="AF76" s="56">
        <f t="shared" si="20"/>
        <v>3.57</v>
      </c>
      <c r="AG76" s="57">
        <v>2.56</v>
      </c>
      <c r="AH76" s="103">
        <v>8.4499999999999996E-9</v>
      </c>
      <c r="AI76" s="103"/>
      <c r="AJ76" s="62">
        <f t="shared" si="25"/>
        <v>-6.4617096173629598</v>
      </c>
      <c r="AK76" s="62"/>
      <c r="AL76" s="62">
        <f t="shared" si="22"/>
        <v>-6.4617096173629598</v>
      </c>
      <c r="AM76" s="62">
        <v>-10.4481</v>
      </c>
      <c r="AN76" s="154">
        <v>-6.73</v>
      </c>
      <c r="AO76" s="410">
        <v>8.2200000000000006</v>
      </c>
      <c r="AP76" s="410"/>
      <c r="AQ76" s="56" t="s">
        <v>6311</v>
      </c>
      <c r="AR76" s="56" t="s">
        <v>6312</v>
      </c>
      <c r="AS76" s="155"/>
      <c r="AT76" s="58" t="s">
        <v>266</v>
      </c>
      <c r="AU76" s="56">
        <v>6</v>
      </c>
      <c r="AV76" s="56">
        <v>120</v>
      </c>
      <c r="AW76" s="56">
        <v>114</v>
      </c>
      <c r="AX76" s="56">
        <v>28</v>
      </c>
      <c r="AY76" s="56" t="s">
        <v>8728</v>
      </c>
      <c r="AZ76" s="56" t="s">
        <v>1563</v>
      </c>
      <c r="BA76" s="56">
        <v>32</v>
      </c>
      <c r="BB76" s="55" t="s">
        <v>2485</v>
      </c>
      <c r="BC76" s="55" t="s">
        <v>8726</v>
      </c>
      <c r="BD76" s="55" t="s">
        <v>8374</v>
      </c>
      <c r="BE76" s="56" t="s">
        <v>2449</v>
      </c>
      <c r="BF76" s="56" t="s">
        <v>272</v>
      </c>
      <c r="BG76" s="56" t="s">
        <v>272</v>
      </c>
      <c r="BH76" s="56" t="s">
        <v>2486</v>
      </c>
      <c r="BI76" s="103">
        <v>6.3999999999999997E-6</v>
      </c>
      <c r="BJ76" s="103">
        <v>6.4000000000000001E-2</v>
      </c>
      <c r="BK76" s="56"/>
      <c r="BL76" s="103">
        <f t="shared" si="23"/>
        <v>3.9300040687265454E-2</v>
      </c>
      <c r="BM76" s="56" t="s">
        <v>2046</v>
      </c>
      <c r="BN76" s="56"/>
      <c r="BO76" s="56"/>
      <c r="BP76" s="56"/>
      <c r="BQ76" s="56"/>
      <c r="BR76" s="55">
        <v>2.0238577000000001E-2</v>
      </c>
      <c r="BS76" s="56"/>
      <c r="BT76" s="56"/>
      <c r="BU76" s="158"/>
      <c r="BV76" s="56"/>
      <c r="BW76" s="56"/>
      <c r="BX76" s="56"/>
      <c r="BY76" s="56"/>
      <c r="BZ76" s="56"/>
      <c r="CA76" s="56"/>
      <c r="CB76" s="56"/>
      <c r="CC76" s="56"/>
      <c r="CD76" s="56"/>
      <c r="CE76" s="56"/>
      <c r="CF76" s="56"/>
      <c r="CG76" s="56"/>
      <c r="CH76" s="56"/>
      <c r="CI76" s="103">
        <f t="shared" si="30"/>
        <v>2.0238577000000001E-2</v>
      </c>
      <c r="CJ76" s="103">
        <f t="shared" si="31"/>
        <v>-1.6938200265542473</v>
      </c>
      <c r="CK76" s="57">
        <f>BL76/BJ76</f>
        <v>0.61406313573852267</v>
      </c>
      <c r="CL76" s="160">
        <f t="shared" si="13"/>
        <v>1.9418381384850059</v>
      </c>
      <c r="CM76" s="160"/>
      <c r="CN76" s="160"/>
      <c r="CO76" s="55" t="s">
        <v>2488</v>
      </c>
      <c r="CP76" s="55" t="s">
        <v>2489</v>
      </c>
      <c r="CQ76" s="149" t="s">
        <v>272</v>
      </c>
      <c r="CR76" s="349"/>
      <c r="CS76" s="61" t="s">
        <v>539</v>
      </c>
      <c r="CT76" s="61"/>
      <c r="CU76" s="111">
        <f t="shared" si="24"/>
        <v>52.659176336202492</v>
      </c>
      <c r="CV76" s="331">
        <f>X76/BJ76</f>
        <v>16.652293672450188</v>
      </c>
      <c r="CW76" s="326">
        <f t="shared" si="32"/>
        <v>1</v>
      </c>
      <c r="CX76" s="326"/>
      <c r="CY76" s="161" t="s">
        <v>5921</v>
      </c>
    </row>
    <row r="77" spans="1:103" ht="11.25" customHeight="1" x14ac:dyDescent="0.2">
      <c r="A77" s="72">
        <v>75</v>
      </c>
      <c r="B77" s="149">
        <v>508</v>
      </c>
      <c r="C77" s="54" t="s">
        <v>1635</v>
      </c>
      <c r="D77" s="54" t="s">
        <v>6463</v>
      </c>
      <c r="E77" s="59"/>
      <c r="F77" s="59" t="s">
        <v>1636</v>
      </c>
      <c r="G77" s="151">
        <v>106489</v>
      </c>
      <c r="H77" s="55" t="s">
        <v>1637</v>
      </c>
      <c r="I77" s="55" t="s">
        <v>8214</v>
      </c>
      <c r="J77" s="55" t="s">
        <v>1638</v>
      </c>
      <c r="K77" s="55" t="s">
        <v>349</v>
      </c>
      <c r="L77" s="55" t="s">
        <v>5527</v>
      </c>
      <c r="M77" s="55" t="s">
        <v>497</v>
      </c>
      <c r="N77" s="60" t="s">
        <v>6381</v>
      </c>
      <c r="O77" s="55" t="s">
        <v>498</v>
      </c>
      <c r="P77" s="67" t="s">
        <v>6184</v>
      </c>
      <c r="Q77" s="67" t="s">
        <v>6182</v>
      </c>
      <c r="R77" s="67" t="s">
        <v>6185</v>
      </c>
      <c r="S77" s="67" t="s">
        <v>6176</v>
      </c>
      <c r="T77" s="56">
        <v>128.56</v>
      </c>
      <c r="U77" s="103">
        <v>186.6832607342875</v>
      </c>
      <c r="V77" s="103">
        <v>25.062227753578096</v>
      </c>
      <c r="W77" s="103">
        <v>16.218100973589287</v>
      </c>
      <c r="X77" s="103">
        <v>186.6832607342875</v>
      </c>
      <c r="Y77" s="162">
        <v>5.63</v>
      </c>
      <c r="Z77" s="56">
        <v>2.16</v>
      </c>
      <c r="AA77" s="56">
        <v>2.39</v>
      </c>
      <c r="AB77" s="56">
        <v>2.5099999999999998</v>
      </c>
      <c r="AC77" s="56">
        <v>0.89249999999999996</v>
      </c>
      <c r="AD77" s="56">
        <v>2.4900000000000002</v>
      </c>
      <c r="AE77" s="56">
        <v>2.4300000000000002</v>
      </c>
      <c r="AF77" s="56">
        <f t="shared" si="20"/>
        <v>2.39</v>
      </c>
      <c r="AG77" s="57">
        <v>2.15</v>
      </c>
      <c r="AH77" s="103">
        <v>4.15E-7</v>
      </c>
      <c r="AI77" s="103">
        <v>6.2699999999999999E-7</v>
      </c>
      <c r="AJ77" s="62">
        <f t="shared" si="25"/>
        <v>-4.770518229600559</v>
      </c>
      <c r="AK77" s="62">
        <f>LOG10(AI77*1000/(0.08206*298.15))</f>
        <v>-4.5912987854819356</v>
      </c>
      <c r="AL77" s="62">
        <f t="shared" si="22"/>
        <v>-4.5912987854819356</v>
      </c>
      <c r="AM77" s="62">
        <v>-7.63727</v>
      </c>
      <c r="AN77" s="154">
        <v>-4.8600000000000003</v>
      </c>
      <c r="AO77" s="410">
        <v>9.4700000000000006</v>
      </c>
      <c r="AP77" s="410"/>
      <c r="AQ77" s="154" t="s">
        <v>6311</v>
      </c>
      <c r="AR77" s="154" t="s">
        <v>6311</v>
      </c>
      <c r="AS77" s="149" t="s">
        <v>6</v>
      </c>
      <c r="AT77" s="58" t="s">
        <v>266</v>
      </c>
      <c r="AU77" s="56">
        <v>2</v>
      </c>
      <c r="AV77" s="56">
        <v>96</v>
      </c>
      <c r="AW77" s="56">
        <v>96</v>
      </c>
      <c r="AX77" s="56" t="s">
        <v>6240</v>
      </c>
      <c r="AY77" s="56" t="s">
        <v>1584</v>
      </c>
      <c r="AZ77" s="61" t="s">
        <v>1584</v>
      </c>
      <c r="BA77" s="56" t="s">
        <v>8722</v>
      </c>
      <c r="BB77" s="55" t="s">
        <v>8722</v>
      </c>
      <c r="BC77" s="55" t="s">
        <v>8722</v>
      </c>
      <c r="BD77" s="55"/>
      <c r="BE77" s="56" t="s">
        <v>8722</v>
      </c>
      <c r="BF77" s="56" t="s">
        <v>8722</v>
      </c>
      <c r="BG77" s="56" t="s">
        <v>8722</v>
      </c>
      <c r="BH77" s="56" t="s">
        <v>8722</v>
      </c>
      <c r="BI77" s="103" t="s">
        <v>8722</v>
      </c>
      <c r="BJ77" s="103" t="s">
        <v>8722</v>
      </c>
      <c r="BK77" s="56"/>
      <c r="BL77" s="103">
        <f t="shared" si="23"/>
        <v>0.59007063172200003</v>
      </c>
      <c r="BM77" s="55" t="s">
        <v>1640</v>
      </c>
      <c r="BN77" s="56"/>
      <c r="BO77" s="56">
        <v>0.33291848164281268</v>
      </c>
      <c r="BP77" s="56">
        <v>0.31191661481020538</v>
      </c>
      <c r="BQ77" s="56">
        <v>0.26913503422526447</v>
      </c>
      <c r="BR77" s="56"/>
      <c r="BS77" s="56"/>
      <c r="BT77" s="56"/>
      <c r="BU77" s="158"/>
      <c r="BV77" s="56"/>
      <c r="BW77" s="56"/>
      <c r="BX77" s="56"/>
      <c r="BY77" s="56"/>
      <c r="BZ77" s="56"/>
      <c r="CA77" s="56"/>
      <c r="CB77" s="56"/>
      <c r="CC77" s="56"/>
      <c r="CD77" s="56"/>
      <c r="CE77" s="56"/>
      <c r="CF77" s="56"/>
      <c r="CG77" s="56"/>
      <c r="CH77" s="56"/>
      <c r="CI77" s="103">
        <f t="shared" si="30"/>
        <v>0.26913503422526447</v>
      </c>
      <c r="CJ77" s="103">
        <f t="shared" si="31"/>
        <v>-0.57002976496251156</v>
      </c>
      <c r="CK77" s="57" t="s">
        <v>404</v>
      </c>
      <c r="CL77" s="160">
        <f t="shared" si="13"/>
        <v>2.1924705322017433</v>
      </c>
      <c r="CM77" s="160">
        <v>-1.8293876813050207</v>
      </c>
      <c r="CN77" s="160" t="s">
        <v>404</v>
      </c>
      <c r="CO77" s="55" t="s">
        <v>1641</v>
      </c>
      <c r="CP77" s="55" t="s">
        <v>1642</v>
      </c>
      <c r="CQ77" s="149">
        <v>-1.5637751365318433</v>
      </c>
      <c r="CR77" s="349">
        <f>10^(CJ77-CQ77)</f>
        <v>9.8570139587448455</v>
      </c>
      <c r="CS77" s="61" t="s">
        <v>539</v>
      </c>
      <c r="CT77" s="61"/>
      <c r="CU77" s="111">
        <f t="shared" si="24"/>
        <v>693.6416184971099</v>
      </c>
      <c r="CV77" s="331"/>
      <c r="CW77" s="326">
        <f t="shared" si="32"/>
        <v>1</v>
      </c>
      <c r="CX77" s="326"/>
      <c r="CY77" s="161" t="s">
        <v>6351</v>
      </c>
    </row>
    <row r="78" spans="1:103" ht="11.25" customHeight="1" x14ac:dyDescent="0.2">
      <c r="A78" s="72">
        <v>76</v>
      </c>
      <c r="B78" s="149">
        <v>512</v>
      </c>
      <c r="C78" s="54" t="s">
        <v>1635</v>
      </c>
      <c r="D78" s="54" t="s">
        <v>6463</v>
      </c>
      <c r="E78" s="59"/>
      <c r="F78" s="59" t="s">
        <v>1636</v>
      </c>
      <c r="G78" s="151">
        <v>106489</v>
      </c>
      <c r="H78" s="55" t="s">
        <v>1637</v>
      </c>
      <c r="I78" s="55" t="s">
        <v>8214</v>
      </c>
      <c r="J78" s="55" t="s">
        <v>1638</v>
      </c>
      <c r="K78" s="55" t="s">
        <v>349</v>
      </c>
      <c r="L78" s="55" t="s">
        <v>5527</v>
      </c>
      <c r="M78" s="55" t="s">
        <v>497</v>
      </c>
      <c r="N78" s="60" t="s">
        <v>6381</v>
      </c>
      <c r="O78" s="55" t="s">
        <v>498</v>
      </c>
      <c r="P78" s="67" t="s">
        <v>6184</v>
      </c>
      <c r="Q78" s="67" t="s">
        <v>6182</v>
      </c>
      <c r="R78" s="67" t="s">
        <v>6185</v>
      </c>
      <c r="S78" s="67" t="s">
        <v>6176</v>
      </c>
      <c r="T78" s="56">
        <v>128.56</v>
      </c>
      <c r="U78" s="103">
        <v>186.6832607342875</v>
      </c>
      <c r="V78" s="103">
        <v>25.062227753578096</v>
      </c>
      <c r="W78" s="103">
        <v>16.218100973589287</v>
      </c>
      <c r="X78" s="103">
        <v>186.6832607342875</v>
      </c>
      <c r="Y78" s="162">
        <v>5.63</v>
      </c>
      <c r="Z78" s="56">
        <v>2.16</v>
      </c>
      <c r="AA78" s="56">
        <v>2.39</v>
      </c>
      <c r="AB78" s="56">
        <v>2.5099999999999998</v>
      </c>
      <c r="AC78" s="56">
        <v>0.89249999999999996</v>
      </c>
      <c r="AD78" s="56">
        <v>2.4900000000000002</v>
      </c>
      <c r="AE78" s="56">
        <v>2.4300000000000002</v>
      </c>
      <c r="AF78" s="56">
        <f t="shared" si="20"/>
        <v>2.39</v>
      </c>
      <c r="AG78" s="57">
        <v>2.15</v>
      </c>
      <c r="AH78" s="103">
        <v>4.15E-7</v>
      </c>
      <c r="AI78" s="103">
        <v>6.2699999999999999E-7</v>
      </c>
      <c r="AJ78" s="62">
        <f t="shared" si="25"/>
        <v>-4.770518229600559</v>
      </c>
      <c r="AK78" s="62">
        <f>LOG10(AI78*1000/(0.08206*298.15))</f>
        <v>-4.5912987854819356</v>
      </c>
      <c r="AL78" s="62">
        <f t="shared" si="22"/>
        <v>-4.5912987854819356</v>
      </c>
      <c r="AM78" s="62">
        <v>-7.63727</v>
      </c>
      <c r="AN78" s="154">
        <v>-4.8600000000000003</v>
      </c>
      <c r="AO78" s="410">
        <v>9.4700000000000006</v>
      </c>
      <c r="AP78" s="410"/>
      <c r="AQ78" s="154" t="s">
        <v>6311</v>
      </c>
      <c r="AR78" s="154" t="s">
        <v>6311</v>
      </c>
      <c r="AS78" s="149" t="s">
        <v>6</v>
      </c>
      <c r="AT78" s="58" t="s">
        <v>266</v>
      </c>
      <c r="AU78" s="56">
        <v>2</v>
      </c>
      <c r="AV78" s="56">
        <v>96</v>
      </c>
      <c r="AW78" s="56">
        <v>96</v>
      </c>
      <c r="AX78" s="56">
        <v>27</v>
      </c>
      <c r="AY78" s="56" t="s">
        <v>8722</v>
      </c>
      <c r="AZ78" s="56" t="s">
        <v>536</v>
      </c>
      <c r="BA78" s="56">
        <v>10</v>
      </c>
      <c r="BB78" s="55" t="s">
        <v>1644</v>
      </c>
      <c r="BC78" s="55" t="s">
        <v>538</v>
      </c>
      <c r="BD78" s="55"/>
      <c r="BE78" s="56" t="s">
        <v>889</v>
      </c>
      <c r="BF78" s="56" t="s">
        <v>272</v>
      </c>
      <c r="BG78" s="56" t="s">
        <v>539</v>
      </c>
      <c r="BH78" s="56" t="s">
        <v>272</v>
      </c>
      <c r="BI78" s="103" t="s">
        <v>8722</v>
      </c>
      <c r="BJ78" s="103" t="s">
        <v>8722</v>
      </c>
      <c r="BK78" s="56"/>
      <c r="BL78" s="103">
        <f t="shared" si="23"/>
        <v>0.59007063172200003</v>
      </c>
      <c r="BM78" s="56" t="s">
        <v>541</v>
      </c>
      <c r="BN78" s="56">
        <v>0.3142501555693839</v>
      </c>
      <c r="BO78" s="56">
        <v>0.34116365899191037</v>
      </c>
      <c r="BP78" s="56">
        <v>0.32778469197261978</v>
      </c>
      <c r="BQ78" s="56">
        <v>0.25031113876789002</v>
      </c>
      <c r="BR78" s="56"/>
      <c r="BS78" s="56"/>
      <c r="BT78" s="56"/>
      <c r="BU78" s="158"/>
      <c r="BV78" s="56"/>
      <c r="BW78" s="56"/>
      <c r="BX78" s="56"/>
      <c r="BY78" s="56"/>
      <c r="BZ78" s="56"/>
      <c r="CA78" s="56"/>
      <c r="CB78" s="56"/>
      <c r="CC78" s="56"/>
      <c r="CD78" s="56"/>
      <c r="CE78" s="56"/>
      <c r="CF78" s="56"/>
      <c r="CG78" s="56"/>
      <c r="CH78" s="56"/>
      <c r="CI78" s="103">
        <f t="shared" si="30"/>
        <v>0.25031113876789002</v>
      </c>
      <c r="CJ78" s="103">
        <f t="shared" si="31"/>
        <v>-0.60151982399227821</v>
      </c>
      <c r="CK78" s="57" t="s">
        <v>404</v>
      </c>
      <c r="CL78" s="160">
        <f t="shared" si="13"/>
        <v>2.3573486766370562</v>
      </c>
      <c r="CM78" s="160">
        <v>-1.8293876813050207</v>
      </c>
      <c r="CN78" s="160" t="s">
        <v>404</v>
      </c>
      <c r="CO78" s="55" t="s">
        <v>1641</v>
      </c>
      <c r="CP78" s="55" t="s">
        <v>1645</v>
      </c>
      <c r="CQ78" s="149">
        <v>-1.5637751365318433</v>
      </c>
      <c r="CR78" s="349">
        <f>10^(CJ78-CQ78)</f>
        <v>9.1675927512256834</v>
      </c>
      <c r="CS78" s="61" t="s">
        <v>539</v>
      </c>
      <c r="CT78" s="61"/>
      <c r="CU78" s="111">
        <f t="shared" si="24"/>
        <v>745.8048477315117</v>
      </c>
      <c r="CV78" s="331"/>
      <c r="CW78" s="326">
        <f t="shared" si="32"/>
        <v>1</v>
      </c>
      <c r="CX78" s="326" t="s">
        <v>539</v>
      </c>
      <c r="CY78" s="161" t="s">
        <v>6351</v>
      </c>
    </row>
    <row r="79" spans="1:103" ht="11.25" customHeight="1" x14ac:dyDescent="0.2">
      <c r="A79" s="72">
        <v>77</v>
      </c>
      <c r="B79" s="149">
        <v>614</v>
      </c>
      <c r="C79" s="54" t="s">
        <v>1776</v>
      </c>
      <c r="D79" s="54" t="s">
        <v>6601</v>
      </c>
      <c r="E79" s="59"/>
      <c r="F79" s="59" t="s">
        <v>1777</v>
      </c>
      <c r="G79" s="151">
        <v>127184</v>
      </c>
      <c r="H79" s="55" t="s">
        <v>1778</v>
      </c>
      <c r="I79" s="55" t="s">
        <v>8284</v>
      </c>
      <c r="J79" s="55" t="s">
        <v>1779</v>
      </c>
      <c r="K79" s="55" t="s">
        <v>1139</v>
      </c>
      <c r="L79" s="55" t="s">
        <v>5527</v>
      </c>
      <c r="M79" s="55" t="s">
        <v>866</v>
      </c>
      <c r="N79" s="60" t="s">
        <v>6082</v>
      </c>
      <c r="O79" s="55" t="s">
        <v>498</v>
      </c>
      <c r="P79" s="67" t="s">
        <v>6183</v>
      </c>
      <c r="Q79" s="67" t="s">
        <v>6176</v>
      </c>
      <c r="R79" s="67" t="s">
        <v>6185</v>
      </c>
      <c r="S79" s="67" t="s">
        <v>6176</v>
      </c>
      <c r="T79" s="56">
        <v>165.83</v>
      </c>
      <c r="U79" s="103">
        <v>1.2422360248447204</v>
      </c>
      <c r="V79" s="103">
        <v>0.4843514442501356</v>
      </c>
      <c r="W79" s="103">
        <v>0.95499258602143544</v>
      </c>
      <c r="X79" s="103">
        <v>1.2422360248447204</v>
      </c>
      <c r="Y79" s="162">
        <v>7</v>
      </c>
      <c r="Z79" s="56">
        <v>2.97</v>
      </c>
      <c r="AA79" s="56">
        <v>3.4</v>
      </c>
      <c r="AB79" s="56">
        <v>3.43</v>
      </c>
      <c r="AC79" s="56">
        <v>0.7944</v>
      </c>
      <c r="AD79" s="56">
        <v>3.3</v>
      </c>
      <c r="AE79" s="56">
        <v>2.95</v>
      </c>
      <c r="AF79" s="56">
        <f t="shared" si="20"/>
        <v>3.4</v>
      </c>
      <c r="AG79" s="57">
        <v>2.52</v>
      </c>
      <c r="AH79" s="103">
        <v>1.6500000000000001E-2</v>
      </c>
      <c r="AI79" s="103">
        <v>1.77E-2</v>
      </c>
      <c r="AJ79" s="62">
        <f t="shared" si="25"/>
        <v>-0.17108238209874552</v>
      </c>
      <c r="AK79" s="62">
        <f>LOG10(AI79*1000/(0.08206*298.15))</f>
        <v>-0.14059305995084523</v>
      </c>
      <c r="AL79" s="62">
        <f t="shared" si="22"/>
        <v>-0.14059305995084523</v>
      </c>
      <c r="AM79" s="62">
        <v>-2.4583099999999996</v>
      </c>
      <c r="AN79" s="154">
        <v>0.47299999999999998</v>
      </c>
      <c r="AO79" s="410"/>
      <c r="AP79" s="410"/>
      <c r="AQ79" s="154" t="s">
        <v>6311</v>
      </c>
      <c r="AR79" s="154" t="s">
        <v>6311</v>
      </c>
      <c r="AS79" s="149" t="s">
        <v>6</v>
      </c>
      <c r="AT79" s="58" t="s">
        <v>266</v>
      </c>
      <c r="AU79" s="56">
        <v>2</v>
      </c>
      <c r="AV79" s="56" t="s">
        <v>646</v>
      </c>
      <c r="AW79" s="56" t="s">
        <v>646</v>
      </c>
      <c r="AX79" s="56">
        <v>26</v>
      </c>
      <c r="AY79" s="56" t="s">
        <v>647</v>
      </c>
      <c r="AZ79" s="56" t="s">
        <v>536</v>
      </c>
      <c r="BA79" s="56">
        <v>10</v>
      </c>
      <c r="BB79" s="55" t="s">
        <v>1764</v>
      </c>
      <c r="BC79" s="55" t="s">
        <v>538</v>
      </c>
      <c r="BD79" s="55"/>
      <c r="BE79" s="56" t="s">
        <v>1809</v>
      </c>
      <c r="BF79" s="56" t="s">
        <v>539</v>
      </c>
      <c r="BG79" s="56" t="s">
        <v>272</v>
      </c>
      <c r="BH79" s="56" t="s">
        <v>272</v>
      </c>
      <c r="BI79" s="157">
        <v>3.7689199782910209E-2</v>
      </c>
      <c r="BJ79" s="157">
        <v>1.2060543930531267</v>
      </c>
      <c r="BK79" s="56" t="s">
        <v>1810</v>
      </c>
      <c r="BL79" s="103">
        <f t="shared" si="23"/>
        <v>0.11052054045824757</v>
      </c>
      <c r="BM79" s="56" t="s">
        <v>541</v>
      </c>
      <c r="BN79" s="56"/>
      <c r="BO79" s="56">
        <v>0.29398959970975935</v>
      </c>
      <c r="BP79" s="56"/>
      <c r="BQ79" s="56"/>
      <c r="BR79" s="56">
        <v>0.25</v>
      </c>
      <c r="BS79" s="56"/>
      <c r="BT79" s="56"/>
      <c r="BU79" s="158"/>
      <c r="BV79" s="56"/>
      <c r="BW79" s="56"/>
      <c r="BX79" s="56"/>
      <c r="BY79" s="56"/>
      <c r="BZ79" s="56"/>
      <c r="CA79" s="56"/>
      <c r="CB79" s="56"/>
      <c r="CC79" s="56"/>
      <c r="CD79" s="56"/>
      <c r="CE79" s="56"/>
      <c r="CF79" s="56"/>
      <c r="CG79" s="56"/>
      <c r="CH79" s="56"/>
      <c r="CI79" s="103">
        <f t="shared" si="30"/>
        <v>0.25</v>
      </c>
      <c r="CJ79" s="103">
        <f t="shared" si="31"/>
        <v>-0.6020599913279624</v>
      </c>
      <c r="CK79" s="57">
        <f t="shared" ref="CK79:CK86" si="33">BL79/BJ79</f>
        <v>9.1638106120955964E-2</v>
      </c>
      <c r="CL79" s="160">
        <f t="shared" si="13"/>
        <v>0.44208216183299026</v>
      </c>
      <c r="CM79" s="160"/>
      <c r="CN79" s="160"/>
      <c r="CO79" s="55"/>
      <c r="CP79" s="55" t="s">
        <v>1811</v>
      </c>
      <c r="CQ79" s="149">
        <v>-1.2087996959961353</v>
      </c>
      <c r="CR79" s="349">
        <f>10^(CJ79-CQ79)</f>
        <v>4.0433348091854304</v>
      </c>
      <c r="CS79" s="61" t="s">
        <v>539</v>
      </c>
      <c r="CT79" s="61" t="s">
        <v>6310</v>
      </c>
      <c r="CU79" s="111">
        <f t="shared" si="24"/>
        <v>4.9689440993788816</v>
      </c>
      <c r="CV79" s="331">
        <f t="shared" ref="CV79:CV86" si="34">X79/BJ79</f>
        <v>1.03</v>
      </c>
      <c r="CW79" s="326">
        <f t="shared" si="32"/>
        <v>1</v>
      </c>
      <c r="CX79" s="326" t="s">
        <v>539</v>
      </c>
      <c r="CY79" s="161" t="s">
        <v>6351</v>
      </c>
    </row>
    <row r="80" spans="1:103" ht="11.25" customHeight="1" x14ac:dyDescent="0.2">
      <c r="A80" s="72">
        <v>78</v>
      </c>
      <c r="B80" s="149">
        <v>8</v>
      </c>
      <c r="C80" s="54" t="s">
        <v>312</v>
      </c>
      <c r="D80" s="54" t="s">
        <v>6429</v>
      </c>
      <c r="E80" s="59"/>
      <c r="F80" s="150" t="str">
        <f>HYPERLINK("http://www.sigmaaldrich.com/catalog/Lookup.do?N5=CAS+No.&amp;N3=mode+matchpartialmax&amp;N4=54-11-5&amp;D7=0&amp;D10=&amp;N25=0&amp;N1=S_ID&amp;ST=RS&amp;F=PR","54-11-5")</f>
        <v>54-11-5</v>
      </c>
      <c r="G80" s="151">
        <v>54115</v>
      </c>
      <c r="H80" s="55" t="s">
        <v>313</v>
      </c>
      <c r="I80" s="55" t="s">
        <v>313</v>
      </c>
      <c r="J80" s="55" t="s">
        <v>314</v>
      </c>
      <c r="K80" s="55" t="s">
        <v>315</v>
      </c>
      <c r="L80" s="64" t="s">
        <v>316</v>
      </c>
      <c r="M80" s="55" t="s">
        <v>317</v>
      </c>
      <c r="N80" s="60" t="s">
        <v>6376</v>
      </c>
      <c r="O80" s="55" t="s">
        <v>318</v>
      </c>
      <c r="P80" s="67"/>
      <c r="Q80" s="67" t="s">
        <v>6173</v>
      </c>
      <c r="R80" s="67" t="s">
        <v>6185</v>
      </c>
      <c r="S80" s="67" t="s">
        <v>6176</v>
      </c>
      <c r="T80" s="59">
        <v>162.22999999999999</v>
      </c>
      <c r="U80" s="153">
        <v>6164.0880231769715</v>
      </c>
      <c r="V80" s="153">
        <v>6164.0880231769715</v>
      </c>
      <c r="W80" s="153">
        <v>275.4228703338166</v>
      </c>
      <c r="X80" s="153">
        <v>6164.0880231769715</v>
      </c>
      <c r="Y80" s="410">
        <v>11</v>
      </c>
      <c r="Z80" s="59">
        <v>1</v>
      </c>
      <c r="AA80" s="59">
        <v>1.17</v>
      </c>
      <c r="AB80" s="59">
        <v>0.86</v>
      </c>
      <c r="AC80" s="59">
        <v>0.84609999999999996</v>
      </c>
      <c r="AD80" s="59">
        <v>0.82</v>
      </c>
      <c r="AE80" s="59">
        <v>0.72</v>
      </c>
      <c r="AF80" s="59">
        <f t="shared" si="20"/>
        <v>1.17</v>
      </c>
      <c r="AG80" s="57">
        <v>1.37</v>
      </c>
      <c r="AH80" s="103">
        <v>3E-9</v>
      </c>
      <c r="AI80" s="103"/>
      <c r="AJ80" s="62">
        <f t="shared" si="25"/>
        <v>-6.9114450715929898</v>
      </c>
      <c r="AK80" s="62"/>
      <c r="AL80" s="62">
        <f t="shared" si="22"/>
        <v>-6.9114450715929898</v>
      </c>
      <c r="AM80" s="62">
        <v>-8.0645500000000006</v>
      </c>
      <c r="AN80" s="154">
        <v>-6.79</v>
      </c>
      <c r="AO80" s="410"/>
      <c r="AP80" s="410">
        <v>8</v>
      </c>
      <c r="AQ80" s="154" t="s">
        <v>6311</v>
      </c>
      <c r="AR80" s="154" t="s">
        <v>6311</v>
      </c>
      <c r="AS80" s="149" t="s">
        <v>282</v>
      </c>
      <c r="AT80" s="58" t="s">
        <v>266</v>
      </c>
      <c r="AU80" s="155">
        <v>24</v>
      </c>
      <c r="AV80" s="155">
        <v>120</v>
      </c>
      <c r="AW80" s="155">
        <v>96</v>
      </c>
      <c r="AX80" s="155">
        <v>28</v>
      </c>
      <c r="AY80" s="155" t="s">
        <v>267</v>
      </c>
      <c r="AZ80" s="155" t="s">
        <v>268</v>
      </c>
      <c r="BA80" s="155">
        <v>48</v>
      </c>
      <c r="BB80" s="55" t="s">
        <v>269</v>
      </c>
      <c r="BC80" s="156" t="s">
        <v>270</v>
      </c>
      <c r="BD80" s="156" t="s">
        <v>8374</v>
      </c>
      <c r="BE80" s="155" t="s">
        <v>271</v>
      </c>
      <c r="BF80" s="155" t="s">
        <v>272</v>
      </c>
      <c r="BG80" s="155" t="s">
        <v>272</v>
      </c>
      <c r="BH80" s="155" t="s">
        <v>272</v>
      </c>
      <c r="BI80" s="157">
        <v>6.1629483544927898E-3</v>
      </c>
      <c r="BJ80" s="157">
        <v>6.1629483544927899</v>
      </c>
      <c r="BK80" s="56"/>
      <c r="BL80" s="103">
        <f t="shared" si="23"/>
        <v>6.4968075173879427</v>
      </c>
      <c r="BM80" s="56">
        <v>0</v>
      </c>
      <c r="BN80" s="56"/>
      <c r="BO80" s="56"/>
      <c r="BP80" s="56"/>
      <c r="BQ80" s="56"/>
      <c r="BR80" s="56"/>
      <c r="BS80" s="56"/>
      <c r="BT80" s="56"/>
      <c r="BU80" s="158"/>
      <c r="BV80" s="56"/>
      <c r="BW80" s="56"/>
      <c r="BX80" s="56"/>
      <c r="BY80" s="56">
        <v>0.47</v>
      </c>
      <c r="BZ80" s="56">
        <v>0.28000000000000003</v>
      </c>
      <c r="CA80" s="56">
        <v>0.18</v>
      </c>
      <c r="CB80" s="56">
        <v>0.22</v>
      </c>
      <c r="CC80" s="56"/>
      <c r="CD80" s="56"/>
      <c r="CE80" s="56"/>
      <c r="CF80" s="56"/>
      <c r="CG80" s="56"/>
      <c r="CH80" s="56"/>
      <c r="CI80" s="103">
        <f t="shared" si="30"/>
        <v>0.18</v>
      </c>
      <c r="CJ80" s="103">
        <f t="shared" si="31"/>
        <v>-0.74472749489669399</v>
      </c>
      <c r="CK80" s="57">
        <f t="shared" si="33"/>
        <v>1.0541719877713676</v>
      </c>
      <c r="CL80" s="160">
        <f t="shared" si="13"/>
        <v>36.093375096599686</v>
      </c>
      <c r="CM80" s="160">
        <v>-1.6080711768561735</v>
      </c>
      <c r="CN80" s="160">
        <f>BJ80/(10^CM80)</f>
        <v>249.95377788734135</v>
      </c>
      <c r="CO80" s="55" t="s">
        <v>273</v>
      </c>
      <c r="CP80" s="156" t="s">
        <v>274</v>
      </c>
      <c r="CQ80" s="149">
        <v>-1.5409029213818335</v>
      </c>
      <c r="CR80" s="349">
        <f>10^(CJ80-CQ80)</f>
        <v>6.2542527254763565</v>
      </c>
      <c r="CS80" s="61" t="s">
        <v>539</v>
      </c>
      <c r="CT80" s="61"/>
      <c r="CU80" s="111">
        <f t="shared" si="24"/>
        <v>34244.93346209429</v>
      </c>
      <c r="CV80" s="331">
        <f t="shared" si="34"/>
        <v>1000.1849226406953</v>
      </c>
      <c r="CW80" s="326">
        <f t="shared" si="32"/>
        <v>1</v>
      </c>
      <c r="CX80" s="326"/>
      <c r="CY80" s="161" t="s">
        <v>6351</v>
      </c>
    </row>
    <row r="81" spans="1:103" ht="11.25" customHeight="1" x14ac:dyDescent="0.2">
      <c r="A81" s="72">
        <v>79</v>
      </c>
      <c r="B81" s="149">
        <v>989</v>
      </c>
      <c r="C81" s="54" t="s">
        <v>2822</v>
      </c>
      <c r="D81" s="54" t="s">
        <v>8363</v>
      </c>
      <c r="E81" s="59"/>
      <c r="F81" s="59" t="s">
        <v>2823</v>
      </c>
      <c r="G81" s="151">
        <v>95830</v>
      </c>
      <c r="H81" s="55" t="s">
        <v>2824</v>
      </c>
      <c r="I81" s="55" t="s">
        <v>8285</v>
      </c>
      <c r="J81" s="55" t="s">
        <v>2825</v>
      </c>
      <c r="K81" s="55" t="s">
        <v>2667</v>
      </c>
      <c r="L81" s="55"/>
      <c r="M81" s="55"/>
      <c r="N81" s="60"/>
      <c r="O81" s="55"/>
      <c r="P81" s="67"/>
      <c r="Q81" s="67"/>
      <c r="R81" s="67"/>
      <c r="S81" s="67"/>
      <c r="T81" s="56">
        <v>142.59</v>
      </c>
      <c r="U81" s="103"/>
      <c r="V81" s="103">
        <v>46.216424714215584</v>
      </c>
      <c r="W81" s="103">
        <v>12.022644346174125</v>
      </c>
      <c r="X81" s="103">
        <f>IF(W81=0,V81,W81)</f>
        <v>12.022644346174125</v>
      </c>
      <c r="Y81" s="162">
        <v>7.88</v>
      </c>
      <c r="Z81" s="56">
        <v>0.8</v>
      </c>
      <c r="AA81" s="56">
        <v>1.28</v>
      </c>
      <c r="AB81" s="56">
        <v>1.23</v>
      </c>
      <c r="AC81" s="56">
        <v>0.87080000000000002</v>
      </c>
      <c r="AD81" s="56">
        <v>1.21</v>
      </c>
      <c r="AE81" s="56">
        <v>1.1499999999999999</v>
      </c>
      <c r="AF81" s="56">
        <f t="shared" si="20"/>
        <v>1.28</v>
      </c>
      <c r="AG81" s="57">
        <v>1.1000000000000001</v>
      </c>
      <c r="AH81" s="103">
        <v>4.9900000000000003E-10</v>
      </c>
      <c r="AI81" s="103"/>
      <c r="AJ81" s="62">
        <f t="shared" si="25"/>
        <v>-7.6904657806892622</v>
      </c>
      <c r="AK81" s="62"/>
      <c r="AL81" s="62">
        <f t="shared" si="22"/>
        <v>-7.6904657806892622</v>
      </c>
      <c r="AM81" s="62">
        <v>-10.58182</v>
      </c>
      <c r="AN81" s="154">
        <v>-5.78</v>
      </c>
      <c r="AO81" s="410"/>
      <c r="AP81" s="410">
        <v>3.52</v>
      </c>
      <c r="AQ81" s="56" t="s">
        <v>6311</v>
      </c>
      <c r="AR81" s="56" t="s">
        <v>6311</v>
      </c>
      <c r="AS81" s="155"/>
      <c r="AT81" s="58" t="s">
        <v>266</v>
      </c>
      <c r="AU81" s="56">
        <v>6</v>
      </c>
      <c r="AV81" s="56">
        <v>120</v>
      </c>
      <c r="AW81" s="56">
        <v>114</v>
      </c>
      <c r="AX81" s="56">
        <v>28</v>
      </c>
      <c r="AY81" s="56" t="s">
        <v>8728</v>
      </c>
      <c r="AZ81" s="56" t="s">
        <v>1563</v>
      </c>
      <c r="BA81" s="56">
        <v>32</v>
      </c>
      <c r="BB81" s="55" t="s">
        <v>2485</v>
      </c>
      <c r="BC81" s="55" t="s">
        <v>8726</v>
      </c>
      <c r="BD81" s="55" t="s">
        <v>8374</v>
      </c>
      <c r="BE81" s="56" t="s">
        <v>2449</v>
      </c>
      <c r="BF81" s="56" t="s">
        <v>272</v>
      </c>
      <c r="BG81" s="56" t="s">
        <v>272</v>
      </c>
      <c r="BH81" s="56" t="s">
        <v>2486</v>
      </c>
      <c r="BI81" s="103">
        <v>6.3999999999999997E-6</v>
      </c>
      <c r="BJ81" s="103">
        <v>6.4000000000000001E-2</v>
      </c>
      <c r="BK81" s="56"/>
      <c r="BL81" s="103">
        <f t="shared" si="23"/>
        <v>9.8247158820515992</v>
      </c>
      <c r="BM81" s="56" t="s">
        <v>2046</v>
      </c>
      <c r="BN81" s="56"/>
      <c r="BO81" s="56"/>
      <c r="BP81" s="56"/>
      <c r="BQ81" s="56"/>
      <c r="BR81" s="55">
        <v>2.0238577000000001E-2</v>
      </c>
      <c r="BS81" s="56"/>
      <c r="BT81" s="56"/>
      <c r="BU81" s="158"/>
      <c r="BV81" s="56"/>
      <c r="BW81" s="56"/>
      <c r="BX81" s="56"/>
      <c r="BY81" s="56"/>
      <c r="BZ81" s="56"/>
      <c r="CA81" s="56"/>
      <c r="CB81" s="56"/>
      <c r="CC81" s="56"/>
      <c r="CD81" s="56"/>
      <c r="CE81" s="56"/>
      <c r="CF81" s="56"/>
      <c r="CG81" s="56"/>
      <c r="CH81" s="56"/>
      <c r="CI81" s="103">
        <f t="shared" si="30"/>
        <v>2.0238577000000001E-2</v>
      </c>
      <c r="CJ81" s="103">
        <f t="shared" si="31"/>
        <v>-1.6938200265542473</v>
      </c>
      <c r="CK81" s="57">
        <f t="shared" si="33"/>
        <v>153.51118565705625</v>
      </c>
      <c r="CL81" s="160">
        <f t="shared" si="13"/>
        <v>485.44499359078452</v>
      </c>
      <c r="CM81" s="160"/>
      <c r="CN81" s="160"/>
      <c r="CO81" s="55" t="s">
        <v>2488</v>
      </c>
      <c r="CP81" s="55" t="s">
        <v>2489</v>
      </c>
      <c r="CQ81" s="149" t="s">
        <v>272</v>
      </c>
      <c r="CR81" s="349"/>
      <c r="CS81" s="61" t="s">
        <v>539</v>
      </c>
      <c r="CT81" s="61"/>
      <c r="CU81" s="111">
        <f t="shared" si="24"/>
        <v>594.04593248695915</v>
      </c>
      <c r="CV81" s="331">
        <f t="shared" si="34"/>
        <v>187.85381790897071</v>
      </c>
      <c r="CW81" s="326">
        <f t="shared" si="32"/>
        <v>1</v>
      </c>
      <c r="CX81" s="326"/>
      <c r="CY81" s="161" t="s">
        <v>5921</v>
      </c>
    </row>
    <row r="82" spans="1:103" ht="11.25" customHeight="1" x14ac:dyDescent="0.2">
      <c r="A82" s="72">
        <v>80</v>
      </c>
      <c r="B82" s="149">
        <v>608</v>
      </c>
      <c r="C82" s="54" t="s">
        <v>1812</v>
      </c>
      <c r="D82" s="54" t="s">
        <v>6539</v>
      </c>
      <c r="E82" s="59"/>
      <c r="F82" s="59" t="s">
        <v>1813</v>
      </c>
      <c r="G82" s="151">
        <v>84662</v>
      </c>
      <c r="H82" s="55" t="s">
        <v>1814</v>
      </c>
      <c r="I82" s="55" t="s">
        <v>1814</v>
      </c>
      <c r="J82" s="55" t="s">
        <v>1815</v>
      </c>
      <c r="K82" s="55" t="s">
        <v>357</v>
      </c>
      <c r="L82" s="55" t="s">
        <v>5527</v>
      </c>
      <c r="M82" s="55" t="s">
        <v>6082</v>
      </c>
      <c r="N82" s="60" t="s">
        <v>6082</v>
      </c>
      <c r="O82" s="55" t="s">
        <v>6083</v>
      </c>
      <c r="P82" s="67"/>
      <c r="Q82" s="67" t="s">
        <v>6173</v>
      </c>
      <c r="R82" s="67" t="s">
        <v>6174</v>
      </c>
      <c r="S82" s="67" t="s">
        <v>6176</v>
      </c>
      <c r="T82" s="56">
        <v>222.24</v>
      </c>
      <c r="U82" s="103">
        <v>4.8596112311015114</v>
      </c>
      <c r="V82" s="103">
        <v>1.2922966162706981</v>
      </c>
      <c r="W82" s="103">
        <v>2.4547089156850301</v>
      </c>
      <c r="X82" s="103">
        <v>4.8596112311015114</v>
      </c>
      <c r="Y82" s="162">
        <v>7</v>
      </c>
      <c r="Z82" s="56">
        <v>2.65</v>
      </c>
      <c r="AA82" s="56">
        <v>2.42</v>
      </c>
      <c r="AB82" s="56">
        <v>2.72</v>
      </c>
      <c r="AC82" s="56">
        <v>0.77739999999999998</v>
      </c>
      <c r="AD82" s="56">
        <v>2.72</v>
      </c>
      <c r="AE82" s="56">
        <v>2.7</v>
      </c>
      <c r="AF82" s="56">
        <f t="shared" si="20"/>
        <v>2.42</v>
      </c>
      <c r="AG82" s="57">
        <v>2.38</v>
      </c>
      <c r="AH82" s="103">
        <v>3.9400000000000001E-7</v>
      </c>
      <c r="AI82" s="103">
        <v>6.0999999999999998E-7</v>
      </c>
      <c r="AJ82" s="62">
        <f t="shared" si="25"/>
        <v>-4.7930701044870778</v>
      </c>
      <c r="AK82" s="62">
        <f>LOG10(AI82*1000/(0.08206*298.15))</f>
        <v>-4.6032364913018844</v>
      </c>
      <c r="AL82" s="62">
        <f t="shared" si="22"/>
        <v>-4.6032364913018844</v>
      </c>
      <c r="AM82" s="62">
        <v>-8.4111799999999999</v>
      </c>
      <c r="AN82" s="154">
        <v>-5.19</v>
      </c>
      <c r="AO82" s="410"/>
      <c r="AP82" s="410"/>
      <c r="AQ82" s="154" t="s">
        <v>6311</v>
      </c>
      <c r="AR82" s="154" t="s">
        <v>6312</v>
      </c>
      <c r="AS82" s="149" t="s">
        <v>6</v>
      </c>
      <c r="AT82" s="58" t="s">
        <v>266</v>
      </c>
      <c r="AU82" s="56">
        <v>2</v>
      </c>
      <c r="AV82" s="56" t="s">
        <v>646</v>
      </c>
      <c r="AW82" s="56" t="s">
        <v>646</v>
      </c>
      <c r="AX82" s="56">
        <v>26</v>
      </c>
      <c r="AY82" s="56" t="s">
        <v>647</v>
      </c>
      <c r="AZ82" s="56" t="s">
        <v>536</v>
      </c>
      <c r="BA82" s="56">
        <v>10</v>
      </c>
      <c r="BB82" s="55" t="s">
        <v>1764</v>
      </c>
      <c r="BC82" s="55" t="s">
        <v>538</v>
      </c>
      <c r="BD82" s="55"/>
      <c r="BE82" s="56" t="s">
        <v>1809</v>
      </c>
      <c r="BF82" s="56" t="s">
        <v>539</v>
      </c>
      <c r="BG82" s="56" t="s">
        <v>272</v>
      </c>
      <c r="BH82" s="56" t="s">
        <v>272</v>
      </c>
      <c r="BI82" s="157">
        <v>2.8122750179985601E-2</v>
      </c>
      <c r="BJ82" s="157">
        <v>0.89992800575953924</v>
      </c>
      <c r="BK82" s="56"/>
      <c r="BL82" s="103">
        <f t="shared" si="23"/>
        <v>0.21420766147449449</v>
      </c>
      <c r="BM82" s="56" t="s">
        <v>541</v>
      </c>
      <c r="BN82" s="56"/>
      <c r="BO82" s="56">
        <v>0.17535097192224622</v>
      </c>
      <c r="BP82" s="56"/>
      <c r="BQ82" s="56"/>
      <c r="BR82" s="56">
        <v>0.21</v>
      </c>
      <c r="BS82" s="56"/>
      <c r="BT82" s="56"/>
      <c r="BU82" s="158"/>
      <c r="BV82" s="56"/>
      <c r="BW82" s="56"/>
      <c r="BX82" s="56"/>
      <c r="BY82" s="56"/>
      <c r="BZ82" s="56"/>
      <c r="CA82" s="56"/>
      <c r="CB82" s="56"/>
      <c r="CC82" s="56"/>
      <c r="CD82" s="56"/>
      <c r="CE82" s="56"/>
      <c r="CF82" s="56"/>
      <c r="CG82" s="56"/>
      <c r="CH82" s="56"/>
      <c r="CI82" s="103">
        <f t="shared" si="30"/>
        <v>0.17535097192224622</v>
      </c>
      <c r="CJ82" s="103">
        <f t="shared" si="31"/>
        <v>-0.75609182260085006</v>
      </c>
      <c r="CK82" s="57">
        <f t="shared" si="33"/>
        <v>0.23802755343045828</v>
      </c>
      <c r="CL82" s="160">
        <f t="shared" si="13"/>
        <v>1.2215938077005815</v>
      </c>
      <c r="CM82" s="160"/>
      <c r="CN82" s="160"/>
      <c r="CO82" s="55"/>
      <c r="CP82" s="55" t="s">
        <v>1811</v>
      </c>
      <c r="CQ82" s="149">
        <v>-0.86614632142010306</v>
      </c>
      <c r="CR82" s="349">
        <f>10^(CJ82-CQ82)</f>
        <v>1.2884112219139683</v>
      </c>
      <c r="CS82" s="61" t="s">
        <v>539</v>
      </c>
      <c r="CT82" s="61"/>
      <c r="CU82" s="111">
        <f t="shared" si="24"/>
        <v>27.713625866050805</v>
      </c>
      <c r="CV82" s="331">
        <f t="shared" si="34"/>
        <v>5.3999999999999995</v>
      </c>
      <c r="CW82" s="326">
        <f t="shared" si="32"/>
        <v>1</v>
      </c>
      <c r="CX82" s="326"/>
      <c r="CY82" s="161" t="s">
        <v>6351</v>
      </c>
    </row>
    <row r="83" spans="1:103" ht="11.25" customHeight="1" x14ac:dyDescent="0.2">
      <c r="A83" s="72">
        <v>81</v>
      </c>
      <c r="B83" s="149">
        <v>944</v>
      </c>
      <c r="C83" s="54" t="s">
        <v>2691</v>
      </c>
      <c r="D83" s="54"/>
      <c r="E83" s="59"/>
      <c r="F83" s="59" t="s">
        <v>2692</v>
      </c>
      <c r="G83" s="151">
        <v>97563</v>
      </c>
      <c r="H83" s="55" t="s">
        <v>2693</v>
      </c>
      <c r="I83" s="55" t="s">
        <v>2693</v>
      </c>
      <c r="J83" s="55" t="s">
        <v>2694</v>
      </c>
      <c r="K83" s="55" t="s">
        <v>2695</v>
      </c>
      <c r="L83" s="55"/>
      <c r="M83" s="55"/>
      <c r="N83" s="60"/>
      <c r="O83" s="55"/>
      <c r="P83" s="67"/>
      <c r="Q83" s="67"/>
      <c r="R83" s="67"/>
      <c r="S83" s="67"/>
      <c r="T83" s="56">
        <v>225.29</v>
      </c>
      <c r="U83" s="103">
        <v>3.1071063962004528E-2</v>
      </c>
      <c r="V83" s="103">
        <v>1.1514048559634249E-2</v>
      </c>
      <c r="W83" s="103">
        <v>1.8197008586099819E-2</v>
      </c>
      <c r="X83" s="103">
        <v>3.1071063962004528E-2</v>
      </c>
      <c r="Y83" s="162">
        <v>7</v>
      </c>
      <c r="Z83" s="56">
        <v>4.29</v>
      </c>
      <c r="AA83" s="56"/>
      <c r="AB83" s="56">
        <v>3.95</v>
      </c>
      <c r="AC83" s="56">
        <v>0.74750000000000005</v>
      </c>
      <c r="AD83" s="56">
        <v>4.08</v>
      </c>
      <c r="AE83" s="56">
        <v>4.33</v>
      </c>
      <c r="AF83" s="56">
        <f t="shared" si="20"/>
        <v>4.08</v>
      </c>
      <c r="AG83" s="57">
        <v>3.68</v>
      </c>
      <c r="AH83" s="103">
        <v>6.3300000000000003E-9</v>
      </c>
      <c r="AI83" s="103">
        <v>3.18E-8</v>
      </c>
      <c r="AJ83" s="62">
        <f t="shared" si="25"/>
        <v>-6.5871626162952968</v>
      </c>
      <c r="AK83" s="62">
        <f>LOG10(AI83*1000/(0.08206*298.15))</f>
        <v>-5.8861392063282194</v>
      </c>
      <c r="AL83" s="62">
        <f t="shared" si="22"/>
        <v>-5.8861392063282194</v>
      </c>
      <c r="AM83" s="62">
        <v>-9.4837099999999985</v>
      </c>
      <c r="AN83" s="154">
        <v>-6.17</v>
      </c>
      <c r="AO83" s="410"/>
      <c r="AP83" s="410">
        <v>3.01</v>
      </c>
      <c r="AQ83" s="56" t="s">
        <v>6311</v>
      </c>
      <c r="AR83" s="56" t="s">
        <v>6311</v>
      </c>
      <c r="AS83" s="155"/>
      <c r="AT83" s="58" t="s">
        <v>266</v>
      </c>
      <c r="AU83" s="56">
        <v>6</v>
      </c>
      <c r="AV83" s="56">
        <v>120</v>
      </c>
      <c r="AW83" s="56">
        <v>114</v>
      </c>
      <c r="AX83" s="56">
        <v>28</v>
      </c>
      <c r="AY83" s="56" t="s">
        <v>8728</v>
      </c>
      <c r="AZ83" s="56" t="s">
        <v>1563</v>
      </c>
      <c r="BA83" s="56">
        <v>32</v>
      </c>
      <c r="BB83" s="55" t="s">
        <v>2485</v>
      </c>
      <c r="BC83" s="55" t="s">
        <v>8726</v>
      </c>
      <c r="BD83" s="55" t="s">
        <v>8374</v>
      </c>
      <c r="BE83" s="56" t="s">
        <v>2449</v>
      </c>
      <c r="BF83" s="56" t="s">
        <v>272</v>
      </c>
      <c r="BG83" s="56" t="s">
        <v>272</v>
      </c>
      <c r="BH83" s="56" t="s">
        <v>2486</v>
      </c>
      <c r="BI83" s="103">
        <v>6.3999999999999997E-6</v>
      </c>
      <c r="BJ83" s="103">
        <v>6.4000000000000001E-2</v>
      </c>
      <c r="BK83" s="56"/>
      <c r="BL83" s="103">
        <f t="shared" si="23"/>
        <v>7.2102612361725589E-3</v>
      </c>
      <c r="BM83" s="56" t="s">
        <v>2487</v>
      </c>
      <c r="BN83" s="56"/>
      <c r="BO83" s="56"/>
      <c r="BP83" s="56"/>
      <c r="BQ83" s="56"/>
      <c r="BR83" s="55">
        <v>2.0238577000000001E-2</v>
      </c>
      <c r="BS83" s="56"/>
      <c r="BT83" s="56"/>
      <c r="BU83" s="158"/>
      <c r="BV83" s="56"/>
      <c r="BW83" s="56"/>
      <c r="BX83" s="56"/>
      <c r="BY83" s="56"/>
      <c r="BZ83" s="56"/>
      <c r="CA83" s="56"/>
      <c r="CB83" s="56"/>
      <c r="CC83" s="56"/>
      <c r="CD83" s="56"/>
      <c r="CE83" s="56"/>
      <c r="CF83" s="56"/>
      <c r="CG83" s="56"/>
      <c r="CH83" s="56"/>
      <c r="CI83" s="103">
        <f t="shared" si="30"/>
        <v>2.0238577000000001E-2</v>
      </c>
      <c r="CJ83" s="103">
        <f t="shared" si="31"/>
        <v>-1.6938200265542473</v>
      </c>
      <c r="CK83" s="57">
        <f t="shared" si="33"/>
        <v>0.11266033181519623</v>
      </c>
      <c r="CL83" s="160">
        <f t="shared" si="13"/>
        <v>0.35626325092779787</v>
      </c>
      <c r="CM83" s="160"/>
      <c r="CN83" s="160"/>
      <c r="CO83" s="55" t="s">
        <v>2488</v>
      </c>
      <c r="CP83" s="55" t="s">
        <v>2489</v>
      </c>
      <c r="CQ83" s="149" t="s">
        <v>272</v>
      </c>
      <c r="CR83" s="349"/>
      <c r="CS83" s="61" t="s">
        <v>539</v>
      </c>
      <c r="CT83" s="61"/>
      <c r="CU83" s="111">
        <f t="shared" si="24"/>
        <v>1.5352395557259053</v>
      </c>
      <c r="CV83" s="331">
        <f t="shared" si="34"/>
        <v>0.48548537440632072</v>
      </c>
      <c r="CW83" s="326">
        <f t="shared" si="32"/>
        <v>0</v>
      </c>
      <c r="CX83" s="326"/>
      <c r="CY83" s="161" t="s">
        <v>5921</v>
      </c>
    </row>
    <row r="84" spans="1:103" ht="11.25" customHeight="1" x14ac:dyDescent="0.2">
      <c r="A84" s="72">
        <v>82</v>
      </c>
      <c r="B84" s="149">
        <v>1293</v>
      </c>
      <c r="C84" s="54" t="s">
        <v>3552</v>
      </c>
      <c r="D84" s="54"/>
      <c r="E84" s="59"/>
      <c r="F84" s="59" t="s">
        <v>3553</v>
      </c>
      <c r="G84" s="151">
        <v>98066</v>
      </c>
      <c r="H84" s="55" t="s">
        <v>3554</v>
      </c>
      <c r="I84" s="55" t="s">
        <v>3554</v>
      </c>
      <c r="J84" s="55" t="s">
        <v>3555</v>
      </c>
      <c r="K84" s="55" t="s">
        <v>426</v>
      </c>
      <c r="L84" s="55"/>
      <c r="M84" s="55"/>
      <c r="N84" s="60"/>
      <c r="O84" s="55"/>
      <c r="P84" s="67" t="s">
        <v>6183</v>
      </c>
      <c r="Q84" s="67" t="s">
        <v>6173</v>
      </c>
      <c r="R84" s="67" t="s">
        <v>6185</v>
      </c>
      <c r="S84" s="67" t="s">
        <v>6176</v>
      </c>
      <c r="T84" s="56">
        <v>134.22</v>
      </c>
      <c r="U84" s="103">
        <v>0.21978840709283268</v>
      </c>
      <c r="V84" s="103">
        <v>0.20369542542095068</v>
      </c>
      <c r="W84" s="103">
        <v>0.12589254117941673</v>
      </c>
      <c r="X84" s="103">
        <v>0.21978840709283268</v>
      </c>
      <c r="Y84" s="162">
        <v>7</v>
      </c>
      <c r="Z84" s="56">
        <v>3.9</v>
      </c>
      <c r="AA84" s="56">
        <v>4.1100000000000003</v>
      </c>
      <c r="AB84" s="56">
        <v>4.0599999999999996</v>
      </c>
      <c r="AC84" s="56">
        <v>0.76670000000000005</v>
      </c>
      <c r="AD84" s="56">
        <v>4</v>
      </c>
      <c r="AE84" s="56">
        <v>3.91</v>
      </c>
      <c r="AF84" s="56">
        <f t="shared" si="20"/>
        <v>4.1100000000000003</v>
      </c>
      <c r="AG84" s="57">
        <v>3.46</v>
      </c>
      <c r="AH84" s="103">
        <v>1.3899999999999999E-2</v>
      </c>
      <c r="AI84" s="103">
        <v>1.32E-2</v>
      </c>
      <c r="AJ84" s="62">
        <f t="shared" si="25"/>
        <v>-0.24555152605855673</v>
      </c>
      <c r="AK84" s="62">
        <f>LOG10(AI84*1000/(0.08206*298.15))</f>
        <v>-0.26799239510680195</v>
      </c>
      <c r="AL84" s="62">
        <f t="shared" si="22"/>
        <v>-0.26799239510680195</v>
      </c>
      <c r="AM84" s="62">
        <v>-2.5260400000000001</v>
      </c>
      <c r="AN84" s="154">
        <v>-0.16900000000000001</v>
      </c>
      <c r="AO84" s="410"/>
      <c r="AP84" s="410"/>
      <c r="AQ84" s="56" t="s">
        <v>6311</v>
      </c>
      <c r="AR84" s="56" t="s">
        <v>6311</v>
      </c>
      <c r="AS84" s="155"/>
      <c r="AT84" s="58" t="s">
        <v>266</v>
      </c>
      <c r="AU84" s="56">
        <v>6</v>
      </c>
      <c r="AV84" s="56">
        <v>120</v>
      </c>
      <c r="AW84" s="56">
        <v>114</v>
      </c>
      <c r="AX84" s="56">
        <v>28</v>
      </c>
      <c r="AY84" s="56" t="s">
        <v>8728</v>
      </c>
      <c r="AZ84" s="56" t="s">
        <v>1563</v>
      </c>
      <c r="BA84" s="56">
        <v>32</v>
      </c>
      <c r="BB84" s="55" t="s">
        <v>2485</v>
      </c>
      <c r="BC84" s="55" t="s">
        <v>8726</v>
      </c>
      <c r="BD84" s="55" t="s">
        <v>8374</v>
      </c>
      <c r="BE84" s="56" t="s">
        <v>2449</v>
      </c>
      <c r="BF84" s="56" t="s">
        <v>272</v>
      </c>
      <c r="BG84" s="56" t="s">
        <v>272</v>
      </c>
      <c r="BH84" s="56" t="s">
        <v>2486</v>
      </c>
      <c r="BI84" s="103">
        <v>6.3999999999999997E-6</v>
      </c>
      <c r="BJ84" s="103">
        <v>6.4000000000000001E-2</v>
      </c>
      <c r="BK84" s="56"/>
      <c r="BL84" s="103">
        <f t="shared" si="23"/>
        <v>1.6151393571555046E-2</v>
      </c>
      <c r="BM84" s="56" t="s">
        <v>2046</v>
      </c>
      <c r="BN84" s="56"/>
      <c r="BO84" s="56"/>
      <c r="BP84" s="56"/>
      <c r="BQ84" s="56"/>
      <c r="BR84" s="55">
        <v>2.0238577000000001E-2</v>
      </c>
      <c r="BS84" s="56"/>
      <c r="BT84" s="56"/>
      <c r="BU84" s="158"/>
      <c r="BV84" s="56"/>
      <c r="BW84" s="56"/>
      <c r="BX84" s="56"/>
      <c r="BY84" s="56"/>
      <c r="BZ84" s="56"/>
      <c r="CA84" s="56"/>
      <c r="CB84" s="56"/>
      <c r="CC84" s="56"/>
      <c r="CD84" s="56"/>
      <c r="CE84" s="56"/>
      <c r="CF84" s="56"/>
      <c r="CG84" s="56"/>
      <c r="CH84" s="56"/>
      <c r="CI84" s="103">
        <f t="shared" si="30"/>
        <v>2.0238577000000001E-2</v>
      </c>
      <c r="CJ84" s="103">
        <f t="shared" si="31"/>
        <v>-1.6938200265542473</v>
      </c>
      <c r="CK84" s="57">
        <f t="shared" si="33"/>
        <v>0.25236552455554762</v>
      </c>
      <c r="CL84" s="160">
        <f t="shared" si="13"/>
        <v>0.79804986148754653</v>
      </c>
      <c r="CM84" s="160"/>
      <c r="CN84" s="160"/>
      <c r="CO84" s="55" t="s">
        <v>2488</v>
      </c>
      <c r="CP84" s="55" t="s">
        <v>2489</v>
      </c>
      <c r="CQ84" s="149" t="s">
        <v>272</v>
      </c>
      <c r="CR84" s="349"/>
      <c r="CS84" s="61" t="s">
        <v>539</v>
      </c>
      <c r="CT84" s="61"/>
      <c r="CU84" s="111">
        <f t="shared" si="24"/>
        <v>10.859874540232383</v>
      </c>
      <c r="CV84" s="331">
        <f t="shared" si="34"/>
        <v>3.4341938608255105</v>
      </c>
      <c r="CW84" s="326">
        <f t="shared" si="32"/>
        <v>1</v>
      </c>
      <c r="CX84" s="326"/>
      <c r="CY84" s="161" t="s">
        <v>5921</v>
      </c>
    </row>
    <row r="85" spans="1:103" ht="11.25" customHeight="1" x14ac:dyDescent="0.2">
      <c r="A85" s="72">
        <v>83</v>
      </c>
      <c r="B85" s="149">
        <v>106</v>
      </c>
      <c r="C85" s="54" t="s">
        <v>439</v>
      </c>
      <c r="D85" s="54" t="s">
        <v>6441</v>
      </c>
      <c r="E85" s="59"/>
      <c r="F85" s="59" t="s">
        <v>440</v>
      </c>
      <c r="G85" s="151">
        <v>69727</v>
      </c>
      <c r="H85" s="55" t="s">
        <v>441</v>
      </c>
      <c r="I85" s="55" t="s">
        <v>441</v>
      </c>
      <c r="J85" s="55" t="s">
        <v>442</v>
      </c>
      <c r="K85" s="55" t="s">
        <v>349</v>
      </c>
      <c r="L85" s="64" t="s">
        <v>279</v>
      </c>
      <c r="M85" s="55" t="s">
        <v>443</v>
      </c>
      <c r="N85" s="60" t="s">
        <v>6384</v>
      </c>
      <c r="O85" s="55" t="s">
        <v>281</v>
      </c>
      <c r="P85" s="67"/>
      <c r="Q85" s="67"/>
      <c r="R85" s="67"/>
      <c r="S85" s="67"/>
      <c r="T85" s="59">
        <v>138.12</v>
      </c>
      <c r="U85" s="153">
        <v>16.217781639154357</v>
      </c>
      <c r="V85" s="153">
        <v>27.57022878656241</v>
      </c>
      <c r="W85" s="153">
        <v>61.659500186148222</v>
      </c>
      <c r="X85" s="153">
        <v>16.217781639154357</v>
      </c>
      <c r="Y85" s="410">
        <v>1.76</v>
      </c>
      <c r="Z85" s="59">
        <v>2.2400000000000002</v>
      </c>
      <c r="AA85" s="59">
        <v>2.2599999999999998</v>
      </c>
      <c r="AB85" s="59">
        <v>2.4700000000000002</v>
      </c>
      <c r="AC85" s="59">
        <v>0.87809999999999999</v>
      </c>
      <c r="AD85" s="59">
        <v>2.37</v>
      </c>
      <c r="AE85" s="59">
        <v>2.06</v>
      </c>
      <c r="AF85" s="59">
        <f t="shared" si="20"/>
        <v>2.2599999999999998</v>
      </c>
      <c r="AG85" s="57">
        <v>1.27</v>
      </c>
      <c r="AH85" s="103">
        <v>1.42E-8</v>
      </c>
      <c r="AI85" s="103">
        <v>7.3399999999999999E-9</v>
      </c>
      <c r="AJ85" s="62">
        <f t="shared" si="25"/>
        <v>-6.2362779819295957</v>
      </c>
      <c r="AK85" s="62">
        <f>LOG10(AI85*1000/(0.08206*298.15))</f>
        <v>-6.5228702663965814</v>
      </c>
      <c r="AL85" s="62">
        <f t="shared" si="22"/>
        <v>-6.5228702663965814</v>
      </c>
      <c r="AM85" s="62">
        <v>-8.2730999999999995</v>
      </c>
      <c r="AN85" s="154">
        <v>-6.16</v>
      </c>
      <c r="AO85" s="410">
        <v>3.01</v>
      </c>
      <c r="AP85" s="410"/>
      <c r="AQ85" s="154" t="s">
        <v>6311</v>
      </c>
      <c r="AR85" s="154" t="s">
        <v>6311</v>
      </c>
      <c r="AS85" s="149" t="s">
        <v>282</v>
      </c>
      <c r="AT85" s="58" t="s">
        <v>266</v>
      </c>
      <c r="AU85" s="56">
        <v>0</v>
      </c>
      <c r="AV85" s="56" t="s">
        <v>646</v>
      </c>
      <c r="AW85" s="56" t="s">
        <v>646</v>
      </c>
      <c r="AX85" s="56">
        <v>26</v>
      </c>
      <c r="AY85" s="56" t="s">
        <v>647</v>
      </c>
      <c r="AZ85" s="56" t="s">
        <v>536</v>
      </c>
      <c r="BA85" s="56">
        <v>20</v>
      </c>
      <c r="BB85" s="55" t="s">
        <v>537</v>
      </c>
      <c r="BC85" s="55" t="s">
        <v>648</v>
      </c>
      <c r="BD85" s="55"/>
      <c r="BE85" s="155" t="s">
        <v>649</v>
      </c>
      <c r="BF85" s="155" t="s">
        <v>650</v>
      </c>
      <c r="BG85" s="155" t="s">
        <v>540</v>
      </c>
      <c r="BH85" s="155" t="s">
        <v>272</v>
      </c>
      <c r="BI85" s="103">
        <v>0.105</v>
      </c>
      <c r="BJ85" s="103">
        <v>0.217</v>
      </c>
      <c r="BK85" s="56"/>
      <c r="BL85" s="103">
        <f t="shared" si="23"/>
        <v>0.50009901596984063</v>
      </c>
      <c r="BM85" s="56" t="s">
        <v>541</v>
      </c>
      <c r="BN85" s="56"/>
      <c r="BO85" s="56">
        <v>0.17799999999999999</v>
      </c>
      <c r="BP85" s="56"/>
      <c r="BQ85" s="56"/>
      <c r="BR85" s="56">
        <v>0.16500144801621777</v>
      </c>
      <c r="BS85" s="56"/>
      <c r="BT85" s="56"/>
      <c r="BU85" s="158"/>
      <c r="BV85" s="56"/>
      <c r="BW85" s="56"/>
      <c r="BX85" s="56"/>
      <c r="BY85" s="56"/>
      <c r="BZ85" s="56"/>
      <c r="CA85" s="56"/>
      <c r="CB85" s="56"/>
      <c r="CC85" s="56"/>
      <c r="CD85" s="56"/>
      <c r="CE85" s="56"/>
      <c r="CF85" s="56"/>
      <c r="CG85" s="56"/>
      <c r="CH85" s="56"/>
      <c r="CI85" s="103">
        <f t="shared" si="30"/>
        <v>0.16500144801621777</v>
      </c>
      <c r="CJ85" s="103">
        <f t="shared" si="31"/>
        <v>-0.78251224449704104</v>
      </c>
      <c r="CK85" s="57">
        <f t="shared" si="33"/>
        <v>2.3046037602296803</v>
      </c>
      <c r="CL85" s="160">
        <f t="shared" si="13"/>
        <v>3.0308765285543831</v>
      </c>
      <c r="CM85" s="160">
        <v>0.17361065069173673</v>
      </c>
      <c r="CN85" s="160">
        <f>BJ85/(10^CM85)</f>
        <v>0.14549533980582527</v>
      </c>
      <c r="CO85" s="55"/>
      <c r="CP85" s="55" t="s">
        <v>651</v>
      </c>
      <c r="CQ85" s="149">
        <v>0.63444126396093448</v>
      </c>
      <c r="CR85" s="349">
        <f t="shared" ref="CR85:CR90" si="35">10^(CJ85-CQ85)</f>
        <v>3.8286572717931226E-2</v>
      </c>
      <c r="CS85" s="61" t="s">
        <v>539</v>
      </c>
      <c r="CT85" s="61"/>
      <c r="CU85" s="111">
        <f t="shared" si="24"/>
        <v>98.288723124177267</v>
      </c>
      <c r="CV85" s="331">
        <f t="shared" si="34"/>
        <v>74.736320917762015</v>
      </c>
      <c r="CW85" s="326">
        <f t="shared" si="32"/>
        <v>1</v>
      </c>
      <c r="CX85" s="326"/>
      <c r="CY85" s="161" t="s">
        <v>6351</v>
      </c>
    </row>
    <row r="86" spans="1:103" ht="11.25" customHeight="1" x14ac:dyDescent="0.2">
      <c r="A86" s="72">
        <v>84</v>
      </c>
      <c r="B86" s="149">
        <v>2170</v>
      </c>
      <c r="C86" s="54" t="s">
        <v>676</v>
      </c>
      <c r="D86" s="54" t="s">
        <v>6550</v>
      </c>
      <c r="E86" s="59"/>
      <c r="F86" s="59" t="s">
        <v>677</v>
      </c>
      <c r="G86" s="151">
        <v>111875</v>
      </c>
      <c r="H86" s="55" t="s">
        <v>678</v>
      </c>
      <c r="I86" s="55" t="s">
        <v>678</v>
      </c>
      <c r="J86" s="55" t="s">
        <v>679</v>
      </c>
      <c r="K86" s="55" t="s">
        <v>426</v>
      </c>
      <c r="L86" s="55" t="s">
        <v>5527</v>
      </c>
      <c r="M86" s="55" t="s">
        <v>6082</v>
      </c>
      <c r="N86" s="60" t="s">
        <v>6082</v>
      </c>
      <c r="O86" s="55" t="s">
        <v>6083</v>
      </c>
      <c r="P86" s="67" t="s">
        <v>6183</v>
      </c>
      <c r="Q86" s="67" t="s">
        <v>6179</v>
      </c>
      <c r="R86" s="67" t="s">
        <v>6185</v>
      </c>
      <c r="S86" s="67" t="s">
        <v>6176</v>
      </c>
      <c r="T86" s="56">
        <v>130.22999999999999</v>
      </c>
      <c r="U86" s="103">
        <v>4.14651002073255</v>
      </c>
      <c r="V86" s="103">
        <v>6.2504799201412888</v>
      </c>
      <c r="W86" s="103">
        <v>8.1283051616409896</v>
      </c>
      <c r="X86" s="103">
        <v>4.14651002073255</v>
      </c>
      <c r="Y86" s="162">
        <v>7</v>
      </c>
      <c r="Z86" s="56">
        <v>2.81</v>
      </c>
      <c r="AA86" s="56">
        <v>3</v>
      </c>
      <c r="AB86" s="56">
        <v>2.99</v>
      </c>
      <c r="AC86" s="56">
        <v>0.92889999999999995</v>
      </c>
      <c r="AD86" s="56">
        <v>2.99</v>
      </c>
      <c r="AE86" s="56">
        <v>3</v>
      </c>
      <c r="AF86" s="56">
        <f t="shared" si="20"/>
        <v>3</v>
      </c>
      <c r="AG86" s="57">
        <v>2.65</v>
      </c>
      <c r="AH86" s="103">
        <v>3.1000000000000001E-5</v>
      </c>
      <c r="AI86" s="103">
        <v>2.4499999999999999E-5</v>
      </c>
      <c r="AJ86" s="62">
        <f t="shared" si="25"/>
        <v>-2.8972046324783789</v>
      </c>
      <c r="AK86" s="62">
        <f>LOG10(AI86*1000/(0.08206*298.15))</f>
        <v>-2.9994002419481194</v>
      </c>
      <c r="AL86" s="62">
        <f t="shared" si="22"/>
        <v>-2.9994002419481194</v>
      </c>
      <c r="AM86" s="62">
        <v>-3.9046099999999999</v>
      </c>
      <c r="AN86" s="154">
        <v>-2.78</v>
      </c>
      <c r="AO86" s="410">
        <v>15.27</v>
      </c>
      <c r="AP86" s="410"/>
      <c r="AQ86" s="56" t="s">
        <v>6311</v>
      </c>
      <c r="AR86" s="56" t="s">
        <v>6311</v>
      </c>
      <c r="AS86" s="155"/>
      <c r="AT86" s="58" t="s">
        <v>266</v>
      </c>
      <c r="AU86" s="56">
        <v>0</v>
      </c>
      <c r="AV86" s="56">
        <v>96</v>
      </c>
      <c r="AW86" s="56">
        <v>96</v>
      </c>
      <c r="AX86" s="56">
        <v>26</v>
      </c>
      <c r="AY86" s="472" t="s">
        <v>6360</v>
      </c>
      <c r="AZ86" s="56" t="s">
        <v>536</v>
      </c>
      <c r="BA86" s="56">
        <v>20</v>
      </c>
      <c r="BB86" s="55" t="s">
        <v>1764</v>
      </c>
      <c r="BC86" s="55" t="s">
        <v>6359</v>
      </c>
      <c r="BD86" s="55"/>
      <c r="BE86" s="56" t="s">
        <v>1712</v>
      </c>
      <c r="BF86" s="56" t="s">
        <v>539</v>
      </c>
      <c r="BG86" s="56" t="s">
        <v>539</v>
      </c>
      <c r="BH86" s="56" t="s">
        <v>272</v>
      </c>
      <c r="BI86" s="103">
        <v>2.5</v>
      </c>
      <c r="BJ86" s="103">
        <v>40</v>
      </c>
      <c r="BK86" s="56" t="s">
        <v>6368</v>
      </c>
      <c r="BL86" s="103">
        <f t="shared" si="23"/>
        <v>0.15386470198345839</v>
      </c>
      <c r="BM86" s="56" t="s">
        <v>541</v>
      </c>
      <c r="BN86" s="56"/>
      <c r="BO86" s="56">
        <f>20.7/130.23</f>
        <v>0.15894955079474776</v>
      </c>
      <c r="BP86" s="56"/>
      <c r="BQ86" s="56">
        <f>20.7/130.23</f>
        <v>0.15894955079474776</v>
      </c>
      <c r="BR86" s="55"/>
      <c r="BS86" s="56"/>
      <c r="BT86" s="56"/>
      <c r="BU86" s="158"/>
      <c r="BV86" s="56"/>
      <c r="BW86" s="56"/>
      <c r="BX86" s="56"/>
      <c r="BY86" s="56"/>
      <c r="BZ86" s="56"/>
      <c r="CA86" s="56"/>
      <c r="CB86" s="56"/>
      <c r="CC86" s="56"/>
      <c r="CD86" s="56"/>
      <c r="CE86" s="56"/>
      <c r="CF86" s="56"/>
      <c r="CG86" s="56"/>
      <c r="CH86" s="56"/>
      <c r="CI86" s="103">
        <f t="shared" si="30"/>
        <v>0.15894955079474776</v>
      </c>
      <c r="CJ86" s="103">
        <f t="shared" si="31"/>
        <v>-0.79874069510144452</v>
      </c>
      <c r="CK86" s="57">
        <f t="shared" si="33"/>
        <v>3.8466175495864598E-3</v>
      </c>
      <c r="CL86" s="160">
        <f t="shared" si="13"/>
        <v>0.96800966856549686</v>
      </c>
      <c r="CM86" s="160"/>
      <c r="CN86" s="160"/>
      <c r="CO86" s="55"/>
      <c r="CP86" s="55" t="s">
        <v>6355</v>
      </c>
      <c r="CQ86" s="149">
        <v>-0.96912743923144595</v>
      </c>
      <c r="CR86" s="349">
        <f t="shared" si="35"/>
        <v>1.4804261375035033</v>
      </c>
      <c r="CS86" s="61" t="s">
        <v>539</v>
      </c>
      <c r="CT86" s="61"/>
      <c r="CU86" s="111">
        <f t="shared" si="24"/>
        <v>26.086956521739129</v>
      </c>
      <c r="CV86" s="331">
        <f t="shared" si="34"/>
        <v>0.10366275051831375</v>
      </c>
      <c r="CW86" s="326">
        <f t="shared" si="32"/>
        <v>1</v>
      </c>
      <c r="CX86" s="326" t="s">
        <v>539</v>
      </c>
      <c r="CY86" s="61" t="s">
        <v>6351</v>
      </c>
    </row>
    <row r="87" spans="1:103" ht="11.25" customHeight="1" x14ac:dyDescent="0.2">
      <c r="A87" s="72">
        <v>85</v>
      </c>
      <c r="B87" s="149">
        <v>811</v>
      </c>
      <c r="C87" s="54" t="s">
        <v>2303</v>
      </c>
      <c r="D87" s="54" t="s">
        <v>6558</v>
      </c>
      <c r="E87" s="59"/>
      <c r="F87" s="59" t="s">
        <v>2304</v>
      </c>
      <c r="G87" s="151">
        <v>271896</v>
      </c>
      <c r="H87" s="55" t="s">
        <v>2305</v>
      </c>
      <c r="I87" s="55" t="s">
        <v>2305</v>
      </c>
      <c r="J87" s="55" t="s">
        <v>2306</v>
      </c>
      <c r="K87" s="55" t="s">
        <v>426</v>
      </c>
      <c r="L87" s="55" t="s">
        <v>6025</v>
      </c>
      <c r="M87" s="55" t="s">
        <v>6088</v>
      </c>
      <c r="N87" s="60" t="s">
        <v>6088</v>
      </c>
      <c r="O87" s="55" t="s">
        <v>6083</v>
      </c>
      <c r="P87" s="67"/>
      <c r="Q87" s="67" t="s">
        <v>6173</v>
      </c>
      <c r="R87" s="67" t="s">
        <v>6185</v>
      </c>
      <c r="S87" s="67" t="s">
        <v>6176</v>
      </c>
      <c r="T87" s="56">
        <v>118.13</v>
      </c>
      <c r="U87" s="103"/>
      <c r="V87" s="103">
        <v>4.5272157792262755</v>
      </c>
      <c r="W87" s="103">
        <v>3.1622776601683764</v>
      </c>
      <c r="X87" s="103">
        <f>IF(W87=0,V87,W87)</f>
        <v>3.1622776601683764</v>
      </c>
      <c r="Y87" s="162">
        <v>7</v>
      </c>
      <c r="Z87" s="56">
        <v>2.54</v>
      </c>
      <c r="AA87" s="56">
        <v>2.67</v>
      </c>
      <c r="AB87" s="56">
        <v>2.66</v>
      </c>
      <c r="AC87" s="56">
        <v>0.84040000000000004</v>
      </c>
      <c r="AD87" s="56">
        <v>2.66</v>
      </c>
      <c r="AE87" s="56">
        <v>2.67</v>
      </c>
      <c r="AF87" s="56">
        <f t="shared" ref="AF87:AF120" si="36">IF(AA87=0,AD87,AA87)</f>
        <v>2.67</v>
      </c>
      <c r="AG87" s="57">
        <v>2.34</v>
      </c>
      <c r="AH87" s="103">
        <v>5.2499999999999997E-4</v>
      </c>
      <c r="AI87" s="103"/>
      <c r="AJ87" s="62">
        <f t="shared" si="25"/>
        <v>-1.668407022906695</v>
      </c>
      <c r="AK87" s="62"/>
      <c r="AL87" s="62">
        <f t="shared" ref="AL87:AL118" si="37">IF(AK87=0,AJ87,AK87)</f>
        <v>-1.668407022906695</v>
      </c>
      <c r="AM87" s="62">
        <v>-3.99186</v>
      </c>
      <c r="AN87" s="154">
        <v>-1.85</v>
      </c>
      <c r="AO87" s="410"/>
      <c r="AP87" s="410"/>
      <c r="AQ87" s="154" t="s">
        <v>6311</v>
      </c>
      <c r="AR87" s="154" t="s">
        <v>6311</v>
      </c>
      <c r="AS87" s="149" t="s">
        <v>6</v>
      </c>
      <c r="AT87" s="58" t="s">
        <v>266</v>
      </c>
      <c r="AU87" s="155"/>
      <c r="AV87" s="56">
        <v>96</v>
      </c>
      <c r="AW87" s="56">
        <v>96</v>
      </c>
      <c r="AX87" s="56">
        <v>26</v>
      </c>
      <c r="AY87" s="56" t="s">
        <v>8722</v>
      </c>
      <c r="AZ87" s="56" t="s">
        <v>536</v>
      </c>
      <c r="BA87" s="56">
        <v>20</v>
      </c>
      <c r="BB87" s="55" t="s">
        <v>1764</v>
      </c>
      <c r="BC87" s="55" t="s">
        <v>538</v>
      </c>
      <c r="BD87" s="55"/>
      <c r="BE87" s="56" t="s">
        <v>8722</v>
      </c>
      <c r="BF87" s="56" t="s">
        <v>8722</v>
      </c>
      <c r="BG87" s="56" t="s">
        <v>8722</v>
      </c>
      <c r="BH87" s="56" t="s">
        <v>8722</v>
      </c>
      <c r="BI87" s="103" t="s">
        <v>8722</v>
      </c>
      <c r="BJ87" s="103" t="s">
        <v>8722</v>
      </c>
      <c r="BK87" s="56"/>
      <c r="BL87" s="103">
        <f t="shared" ref="BL87:BL118" si="38">10^((-0.8981*Z87)+1.7108)</f>
        <v>0.26892179411918804</v>
      </c>
      <c r="BM87" s="55" t="s">
        <v>1640</v>
      </c>
      <c r="BN87" s="56"/>
      <c r="BO87" s="56"/>
      <c r="BP87" s="56"/>
      <c r="BQ87" s="56">
        <f>(0.155747418317251+0.147282884713052)/2</f>
        <v>0.15151515151515149</v>
      </c>
      <c r="BR87" s="56"/>
      <c r="BS87" s="56"/>
      <c r="BT87" s="56"/>
      <c r="BU87" s="158"/>
      <c r="BV87" s="56"/>
      <c r="BW87" s="56"/>
      <c r="BX87" s="56"/>
      <c r="BY87" s="56"/>
      <c r="BZ87" s="56"/>
      <c r="CA87" s="56"/>
      <c r="CB87" s="56"/>
      <c r="CC87" s="56"/>
      <c r="CD87" s="56"/>
      <c r="CE87" s="56"/>
      <c r="CF87" s="56"/>
      <c r="CG87" s="56"/>
      <c r="CH87" s="56"/>
      <c r="CI87" s="103">
        <f t="shared" si="30"/>
        <v>0.15151515151515149</v>
      </c>
      <c r="CJ87" s="103">
        <f t="shared" si="31"/>
        <v>-0.81954393554186877</v>
      </c>
      <c r="CK87" s="57" t="s">
        <v>404</v>
      </c>
      <c r="CL87" s="160">
        <f t="shared" si="13"/>
        <v>1.7748838411866414</v>
      </c>
      <c r="CM87" s="160"/>
      <c r="CN87" s="160"/>
      <c r="CO87" s="55"/>
      <c r="CP87" s="55" t="s">
        <v>2277</v>
      </c>
      <c r="CQ87" s="149">
        <v>-0.92778878599732184</v>
      </c>
      <c r="CR87" s="349">
        <f t="shared" si="35"/>
        <v>1.2830537503819452</v>
      </c>
      <c r="CS87" s="61" t="s">
        <v>539</v>
      </c>
      <c r="CT87" s="61"/>
      <c r="CU87" s="111">
        <f t="shared" si="24"/>
        <v>20.871032557111288</v>
      </c>
      <c r="CV87" s="331"/>
      <c r="CW87" s="326">
        <f t="shared" si="32"/>
        <v>1</v>
      </c>
      <c r="CX87" s="326"/>
      <c r="CY87" s="161" t="s">
        <v>5921</v>
      </c>
    </row>
    <row r="88" spans="1:103" ht="11.25" customHeight="1" x14ac:dyDescent="0.2">
      <c r="A88" s="72">
        <v>86</v>
      </c>
      <c r="B88" s="149">
        <v>804</v>
      </c>
      <c r="C88" s="54" t="s">
        <v>2273</v>
      </c>
      <c r="D88" s="54" t="s">
        <v>6541</v>
      </c>
      <c r="E88" s="59"/>
      <c r="F88" s="59" t="s">
        <v>2274</v>
      </c>
      <c r="G88" s="151">
        <v>91225</v>
      </c>
      <c r="H88" s="55" t="s">
        <v>2275</v>
      </c>
      <c r="I88" s="55" t="s">
        <v>2275</v>
      </c>
      <c r="J88" s="55" t="s">
        <v>2276</v>
      </c>
      <c r="K88" s="55" t="s">
        <v>426</v>
      </c>
      <c r="L88" s="55" t="s">
        <v>5527</v>
      </c>
      <c r="M88" s="55" t="s">
        <v>6025</v>
      </c>
      <c r="N88" s="60" t="s">
        <v>2342</v>
      </c>
      <c r="O88" s="55" t="s">
        <v>2342</v>
      </c>
      <c r="P88" s="67" t="s">
        <v>1639</v>
      </c>
      <c r="Q88" s="67" t="s">
        <v>6173</v>
      </c>
      <c r="R88" s="67" t="s">
        <v>6175</v>
      </c>
      <c r="S88" s="67" t="s">
        <v>6173</v>
      </c>
      <c r="T88" s="56">
        <v>129.16</v>
      </c>
      <c r="U88" s="103">
        <v>47.305667389284608</v>
      </c>
      <c r="V88" s="103">
        <v>13.247135336017344</v>
      </c>
      <c r="W88" s="103">
        <v>74.13102413009176</v>
      </c>
      <c r="X88" s="103">
        <v>47.305667389284608</v>
      </c>
      <c r="Y88" s="162">
        <v>8.92</v>
      </c>
      <c r="Z88" s="56">
        <v>2.14</v>
      </c>
      <c r="AA88" s="56">
        <v>2.0299999999999998</v>
      </c>
      <c r="AB88" s="56">
        <v>1.95</v>
      </c>
      <c r="AC88" s="56">
        <v>0.92710000000000004</v>
      </c>
      <c r="AD88" s="56">
        <v>1.98</v>
      </c>
      <c r="AE88" s="56">
        <v>2.08</v>
      </c>
      <c r="AF88" s="56">
        <f t="shared" si="36"/>
        <v>2.0299999999999998</v>
      </c>
      <c r="AG88" s="57">
        <v>2.11</v>
      </c>
      <c r="AH88" s="103">
        <v>6.8800000000000002E-7</v>
      </c>
      <c r="AI88" s="103">
        <v>1.6700000000000001E-6</v>
      </c>
      <c r="AJ88" s="62">
        <f t="shared" si="25"/>
        <v>-4.5509778880771403</v>
      </c>
      <c r="AK88" s="62">
        <f>LOG10(AI88*1000/(0.08206*298.15))</f>
        <v>-4.1658498551650682</v>
      </c>
      <c r="AL88" s="62">
        <f t="shared" si="37"/>
        <v>-4.1658498551650682</v>
      </c>
      <c r="AM88" s="62">
        <v>-6.3437800000000006</v>
      </c>
      <c r="AN88" s="154">
        <v>-4.24</v>
      </c>
      <c r="AO88" s="410"/>
      <c r="AP88" s="410">
        <v>4.97</v>
      </c>
      <c r="AQ88" s="154" t="s">
        <v>6311</v>
      </c>
      <c r="AR88" s="154" t="s">
        <v>6311</v>
      </c>
      <c r="AS88" s="149" t="s">
        <v>6</v>
      </c>
      <c r="AT88" s="58" t="s">
        <v>266</v>
      </c>
      <c r="AU88" s="155"/>
      <c r="AV88" s="56">
        <v>96</v>
      </c>
      <c r="AW88" s="56">
        <v>96</v>
      </c>
      <c r="AX88" s="56">
        <v>26</v>
      </c>
      <c r="AY88" s="56" t="s">
        <v>8722</v>
      </c>
      <c r="AZ88" s="56" t="s">
        <v>536</v>
      </c>
      <c r="BA88" s="56">
        <v>20</v>
      </c>
      <c r="BB88" s="55" t="s">
        <v>1764</v>
      </c>
      <c r="BC88" s="55" t="s">
        <v>538</v>
      </c>
      <c r="BD88" s="55"/>
      <c r="BE88" s="56" t="s">
        <v>8722</v>
      </c>
      <c r="BF88" s="56" t="s">
        <v>8722</v>
      </c>
      <c r="BG88" s="56" t="s">
        <v>8722</v>
      </c>
      <c r="BH88" s="56" t="s">
        <v>8722</v>
      </c>
      <c r="BI88" s="103" t="s">
        <v>8722</v>
      </c>
      <c r="BJ88" s="103" t="s">
        <v>8722</v>
      </c>
      <c r="BK88" s="56"/>
      <c r="BL88" s="103">
        <f t="shared" si="38"/>
        <v>0.61498709137859531</v>
      </c>
      <c r="BM88" s="55" t="s">
        <v>1640</v>
      </c>
      <c r="BN88" s="56"/>
      <c r="BO88" s="56"/>
      <c r="BP88" s="56"/>
      <c r="BQ88" s="56">
        <f>(0.171105605450604+0.0820687519355838+0.169557138432951)/3</f>
        <v>0.14091049860637958</v>
      </c>
      <c r="BR88" s="56"/>
      <c r="BS88" s="56"/>
      <c r="BT88" s="56"/>
      <c r="BU88" s="158"/>
      <c r="BV88" s="56"/>
      <c r="BW88" s="56"/>
      <c r="BX88" s="56"/>
      <c r="BY88" s="56"/>
      <c r="BZ88" s="56"/>
      <c r="CA88" s="56"/>
      <c r="CB88" s="56"/>
      <c r="CC88" s="56"/>
      <c r="CD88" s="56"/>
      <c r="CE88" s="56"/>
      <c r="CF88" s="56"/>
      <c r="CG88" s="56"/>
      <c r="CH88" s="56"/>
      <c r="CI88" s="103">
        <f t="shared" si="30"/>
        <v>0.14091049860637958</v>
      </c>
      <c r="CJ88" s="103">
        <f t="shared" si="31"/>
        <v>-0.85105664836004957</v>
      </c>
      <c r="CK88" s="57" t="s">
        <v>404</v>
      </c>
      <c r="CL88" s="160">
        <f t="shared" si="13"/>
        <v>4.364380918816452</v>
      </c>
      <c r="CM88" s="160"/>
      <c r="CN88" s="160"/>
      <c r="CO88" s="55"/>
      <c r="CP88" s="55" t="s">
        <v>2277</v>
      </c>
      <c r="CQ88" s="149">
        <v>-1.0453980012926405</v>
      </c>
      <c r="CR88" s="349">
        <f t="shared" si="35"/>
        <v>1.5643767505537765</v>
      </c>
      <c r="CS88" s="61" t="s">
        <v>539</v>
      </c>
      <c r="CT88" s="61"/>
      <c r="CU88" s="111">
        <f t="shared" si="24"/>
        <v>335.71428571428595</v>
      </c>
      <c r="CV88" s="331"/>
      <c r="CW88" s="326">
        <f t="shared" si="32"/>
        <v>1</v>
      </c>
      <c r="CX88" s="326"/>
      <c r="CY88" s="161" t="s">
        <v>6351</v>
      </c>
    </row>
    <row r="89" spans="1:103" ht="11.25" customHeight="1" x14ac:dyDescent="0.2">
      <c r="A89" s="72">
        <v>87</v>
      </c>
      <c r="B89" s="149">
        <v>785</v>
      </c>
      <c r="C89" s="54" t="s">
        <v>2209</v>
      </c>
      <c r="D89" s="54" t="s">
        <v>6455</v>
      </c>
      <c r="E89" s="59"/>
      <c r="F89" s="59" t="s">
        <v>2210</v>
      </c>
      <c r="G89" s="151">
        <v>94757</v>
      </c>
      <c r="H89" s="55" t="s">
        <v>2211</v>
      </c>
      <c r="I89" s="55" t="s">
        <v>8006</v>
      </c>
      <c r="J89" s="55" t="s">
        <v>2212</v>
      </c>
      <c r="K89" s="55" t="s">
        <v>426</v>
      </c>
      <c r="L89" s="55" t="s">
        <v>6033</v>
      </c>
      <c r="M89" s="55" t="s">
        <v>6082</v>
      </c>
      <c r="N89" s="60" t="s">
        <v>6082</v>
      </c>
      <c r="O89" s="55" t="s">
        <v>6083</v>
      </c>
      <c r="P89" s="67"/>
      <c r="Q89" s="67"/>
      <c r="R89" s="67"/>
      <c r="S89" s="67"/>
      <c r="T89" s="56">
        <v>221.04</v>
      </c>
      <c r="U89" s="103">
        <v>3.0627940644227292</v>
      </c>
      <c r="V89" s="103">
        <v>1.5209916757148028</v>
      </c>
      <c r="W89" s="103">
        <v>3.2359365692962796</v>
      </c>
      <c r="X89" s="103">
        <v>3.0627940644227292</v>
      </c>
      <c r="Y89" s="162">
        <v>2.86</v>
      </c>
      <c r="Z89" s="56">
        <v>2.62</v>
      </c>
      <c r="AA89" s="56">
        <v>2.81</v>
      </c>
      <c r="AB89" s="56">
        <v>2.91</v>
      </c>
      <c r="AC89" s="56">
        <v>0.88449999999999995</v>
      </c>
      <c r="AD89" s="56">
        <v>2.84</v>
      </c>
      <c r="AE89" s="56">
        <v>2.58</v>
      </c>
      <c r="AF89" s="56">
        <f t="shared" si="36"/>
        <v>2.81</v>
      </c>
      <c r="AG89" s="57">
        <v>2.5099999999999998</v>
      </c>
      <c r="AH89" s="103">
        <v>9.2099999999999994E-9</v>
      </c>
      <c r="AI89" s="103">
        <v>3.5399999999999999E-8</v>
      </c>
      <c r="AJ89" s="62">
        <f t="shared" si="25"/>
        <v>-6.4243066961158029</v>
      </c>
      <c r="AK89" s="62">
        <f>LOG10(AI89*1000/(0.08206*298.15))</f>
        <v>-5.8395630642868639</v>
      </c>
      <c r="AL89" s="62">
        <f t="shared" si="37"/>
        <v>-5.8395630642868639</v>
      </c>
      <c r="AM89" s="62">
        <v>-9.8747099999999985</v>
      </c>
      <c r="AN89" s="154">
        <v>-7.63</v>
      </c>
      <c r="AO89" s="410">
        <v>2.98</v>
      </c>
      <c r="AP89" s="410"/>
      <c r="AQ89" s="56" t="s">
        <v>6311</v>
      </c>
      <c r="AR89" s="56" t="s">
        <v>6311</v>
      </c>
      <c r="AS89" s="149" t="s">
        <v>6</v>
      </c>
      <c r="AT89" s="58" t="s">
        <v>266</v>
      </c>
      <c r="AU89" s="56">
        <v>6</v>
      </c>
      <c r="AV89" s="56">
        <v>96</v>
      </c>
      <c r="AW89" s="56">
        <v>90</v>
      </c>
      <c r="AX89" s="56">
        <v>28</v>
      </c>
      <c r="AY89" s="56" t="s">
        <v>8722</v>
      </c>
      <c r="AZ89" s="56" t="s">
        <v>2213</v>
      </c>
      <c r="BA89" s="56" t="s">
        <v>8722</v>
      </c>
      <c r="BB89" s="55" t="s">
        <v>1764</v>
      </c>
      <c r="BC89" s="55" t="s">
        <v>2214</v>
      </c>
      <c r="BD89" s="55"/>
      <c r="BE89" s="56" t="s">
        <v>1712</v>
      </c>
      <c r="BF89" s="56" t="s">
        <v>272</v>
      </c>
      <c r="BG89" s="56" t="s">
        <v>272</v>
      </c>
      <c r="BH89" s="56" t="s">
        <v>2119</v>
      </c>
      <c r="BI89" s="103">
        <v>1.0000000000000001E-5</v>
      </c>
      <c r="BJ89" s="103">
        <v>0.1</v>
      </c>
      <c r="BK89" s="56"/>
      <c r="BL89" s="103">
        <f t="shared" si="38"/>
        <v>0.22791767185459777</v>
      </c>
      <c r="BM89" s="56" t="s">
        <v>1584</v>
      </c>
      <c r="BN89" s="56"/>
      <c r="BO89" s="56">
        <v>0.152</v>
      </c>
      <c r="BP89" s="56">
        <v>0.13200000000000001</v>
      </c>
      <c r="BQ89" s="56"/>
      <c r="BR89" s="56"/>
      <c r="BS89" s="56"/>
      <c r="BT89" s="56"/>
      <c r="BU89" s="158"/>
      <c r="BV89" s="56"/>
      <c r="BW89" s="56"/>
      <c r="BX89" s="56"/>
      <c r="BY89" s="56"/>
      <c r="BZ89" s="56"/>
      <c r="CA89" s="56"/>
      <c r="CB89" s="56"/>
      <c r="CC89" s="56"/>
      <c r="CD89" s="56"/>
      <c r="CE89" s="56"/>
      <c r="CF89" s="56"/>
      <c r="CG89" s="56"/>
      <c r="CH89" s="56"/>
      <c r="CI89" s="103">
        <f t="shared" si="30"/>
        <v>0.13200000000000001</v>
      </c>
      <c r="CJ89" s="103">
        <f t="shared" si="31"/>
        <v>-0.87942606879415008</v>
      </c>
      <c r="CK89" s="57">
        <f>BL89/BJ89</f>
        <v>2.2791767185459775</v>
      </c>
      <c r="CL89" s="160">
        <f t="shared" ref="CL89:CL152" si="39">BL89/CI89</f>
        <v>1.7266490292014982</v>
      </c>
      <c r="CM89" s="160">
        <v>-0.14035088925253017</v>
      </c>
      <c r="CN89" s="160">
        <f>BJ89/(10^CM89)</f>
        <v>0.13815000000000002</v>
      </c>
      <c r="CO89" s="55"/>
      <c r="CP89" s="55" t="s">
        <v>2215</v>
      </c>
      <c r="CQ89" s="149">
        <v>0.13999412806422276</v>
      </c>
      <c r="CR89" s="349">
        <f t="shared" si="35"/>
        <v>9.5626839656446083E-2</v>
      </c>
      <c r="CS89" s="61" t="s">
        <v>539</v>
      </c>
      <c r="CT89" s="61"/>
      <c r="CU89" s="111">
        <f t="shared" si="24"/>
        <v>23.202985336535825</v>
      </c>
      <c r="CV89" s="331">
        <f>X89/BJ89</f>
        <v>30.627940644227291</v>
      </c>
      <c r="CW89" s="326">
        <f t="shared" si="32"/>
        <v>1</v>
      </c>
      <c r="CX89" s="326" t="s">
        <v>539</v>
      </c>
      <c r="CY89" s="161" t="s">
        <v>5921</v>
      </c>
    </row>
    <row r="90" spans="1:103" ht="11.25" customHeight="1" x14ac:dyDescent="0.2">
      <c r="A90" s="72">
        <v>88</v>
      </c>
      <c r="B90" s="149">
        <v>860</v>
      </c>
      <c r="C90" s="54" t="s">
        <v>612</v>
      </c>
      <c r="D90" s="54" t="s">
        <v>6437</v>
      </c>
      <c r="E90" s="59"/>
      <c r="F90" s="59" t="s">
        <v>613</v>
      </c>
      <c r="G90" s="151">
        <v>63252</v>
      </c>
      <c r="H90" s="55" t="s">
        <v>614</v>
      </c>
      <c r="I90" s="55" t="s">
        <v>614</v>
      </c>
      <c r="J90" s="55" t="s">
        <v>615</v>
      </c>
      <c r="K90" s="55" t="s">
        <v>616</v>
      </c>
      <c r="L90" s="60" t="s">
        <v>617</v>
      </c>
      <c r="M90" s="60" t="s">
        <v>618</v>
      </c>
      <c r="N90" s="60" t="s">
        <v>6376</v>
      </c>
      <c r="O90" s="60" t="s">
        <v>619</v>
      </c>
      <c r="P90" s="67"/>
      <c r="Q90" s="67" t="s">
        <v>6173</v>
      </c>
      <c r="R90" s="67" t="s">
        <v>6185</v>
      </c>
      <c r="S90" s="67" t="s">
        <v>6176</v>
      </c>
      <c r="T90" s="154">
        <v>201.22</v>
      </c>
      <c r="U90" s="103">
        <v>0.54666534141735412</v>
      </c>
      <c r="V90" s="103">
        <v>2.0683828645263889</v>
      </c>
      <c r="W90" s="103">
        <v>0.47863009232263826</v>
      </c>
      <c r="X90" s="103">
        <v>0.54666534141735412</v>
      </c>
      <c r="Y90" s="162">
        <v>6.99</v>
      </c>
      <c r="Z90" s="56">
        <v>2.35</v>
      </c>
      <c r="AA90" s="56">
        <v>2.36</v>
      </c>
      <c r="AB90" s="56">
        <v>2.4500000000000002</v>
      </c>
      <c r="AC90" s="56">
        <v>0.83340000000000003</v>
      </c>
      <c r="AD90" s="56">
        <v>2.44</v>
      </c>
      <c r="AE90" s="56">
        <v>2.4</v>
      </c>
      <c r="AF90" s="56">
        <f t="shared" si="36"/>
        <v>2.36</v>
      </c>
      <c r="AG90" s="57">
        <v>2.38</v>
      </c>
      <c r="AH90" s="103">
        <v>3.1399999999999999E-9</v>
      </c>
      <c r="AI90" s="103">
        <v>3.2700000000000001E-9</v>
      </c>
      <c r="AJ90" s="62">
        <f t="shared" ref="AJ90:AJ121" si="40">LOG10(AH90*1000/(0.08206*298.15))</f>
        <v>-6.8916366782394372</v>
      </c>
      <c r="AK90" s="62">
        <f>LOG10(AI90*1000/(0.08206*298.15))</f>
        <v>-6.874018573652366</v>
      </c>
      <c r="AL90" s="62">
        <f t="shared" si="37"/>
        <v>-6.874018573652366</v>
      </c>
      <c r="AM90" s="62">
        <v>-10.500939999999998</v>
      </c>
      <c r="AN90" s="154">
        <v>-6.44</v>
      </c>
      <c r="AO90" s="410">
        <v>12.02</v>
      </c>
      <c r="AP90" s="410">
        <v>-1.55</v>
      </c>
      <c r="AQ90" s="154" t="s">
        <v>6311</v>
      </c>
      <c r="AR90" s="154" t="s">
        <v>6314</v>
      </c>
      <c r="AS90" s="149" t="s">
        <v>6</v>
      </c>
      <c r="AT90" s="58" t="s">
        <v>266</v>
      </c>
      <c r="AU90" s="56">
        <v>0</v>
      </c>
      <c r="AV90" s="56">
        <v>96</v>
      </c>
      <c r="AW90" s="56"/>
      <c r="AX90" s="56"/>
      <c r="AY90" s="56"/>
      <c r="AZ90" s="56"/>
      <c r="BA90" s="56"/>
      <c r="BB90" s="55"/>
      <c r="BC90" s="55" t="s">
        <v>5494</v>
      </c>
      <c r="BD90" s="55"/>
      <c r="BE90" s="56" t="s">
        <v>2449</v>
      </c>
      <c r="BF90" s="56"/>
      <c r="BG90" s="56" t="s">
        <v>1974</v>
      </c>
      <c r="BH90" s="56"/>
      <c r="BI90" s="103"/>
      <c r="BJ90" s="103"/>
      <c r="BK90" s="56" t="s">
        <v>6338</v>
      </c>
      <c r="BL90" s="103">
        <f t="shared" si="38"/>
        <v>0.39835016372498561</v>
      </c>
      <c r="BM90" s="56" t="s">
        <v>541</v>
      </c>
      <c r="BN90" s="56">
        <f>24.4/201.23</f>
        <v>0.12125428614023753</v>
      </c>
      <c r="BO90" s="56">
        <f>30.8/201.23</f>
        <v>0.15305868906226708</v>
      </c>
      <c r="BP90" s="56">
        <f>25.3/201.23</f>
        <v>0.12572678030114795</v>
      </c>
      <c r="BQ90" s="56">
        <f>22.7/201.23</f>
        <v>0.11280624161407345</v>
      </c>
      <c r="BR90" s="56"/>
      <c r="BS90" s="56"/>
      <c r="BT90" s="56"/>
      <c r="BU90" s="158"/>
      <c r="BV90" s="56"/>
      <c r="BW90" s="56"/>
      <c r="BX90" s="56"/>
      <c r="BY90" s="56"/>
      <c r="BZ90" s="56"/>
      <c r="CA90" s="56"/>
      <c r="CB90" s="56"/>
      <c r="CC90" s="56"/>
      <c r="CD90" s="56"/>
      <c r="CE90" s="56"/>
      <c r="CF90" s="56"/>
      <c r="CG90" s="56"/>
      <c r="CH90" s="56"/>
      <c r="CI90" s="103">
        <f t="shared" si="30"/>
        <v>0.11280624161407345</v>
      </c>
      <c r="CJ90" s="103">
        <f t="shared" si="31"/>
        <v>-0.94766687000199501</v>
      </c>
      <c r="CK90" s="57" t="s">
        <v>404</v>
      </c>
      <c r="CL90" s="160">
        <f t="shared" si="39"/>
        <v>3.5312776848625047</v>
      </c>
      <c r="CM90" s="160">
        <v>-2.0278648718219947</v>
      </c>
      <c r="CN90" s="160"/>
      <c r="CO90" s="55"/>
      <c r="CP90" s="55" t="s">
        <v>2444</v>
      </c>
      <c r="CQ90" s="149">
        <v>-1.6875776788611627</v>
      </c>
      <c r="CR90" s="349">
        <f t="shared" si="35"/>
        <v>5.4942802613140538</v>
      </c>
      <c r="CS90" s="61" t="s">
        <v>539</v>
      </c>
      <c r="CT90" s="61" t="s">
        <v>6310</v>
      </c>
      <c r="CU90" s="111">
        <f t="shared" si="24"/>
        <v>4.846055799709875</v>
      </c>
      <c r="CV90" s="331"/>
      <c r="CW90" s="326">
        <f t="shared" si="32"/>
        <v>1</v>
      </c>
      <c r="CX90" s="326" t="s">
        <v>539</v>
      </c>
      <c r="CY90" s="161" t="s">
        <v>5921</v>
      </c>
    </row>
    <row r="91" spans="1:103" ht="11.25" customHeight="1" x14ac:dyDescent="0.2">
      <c r="A91" s="72">
        <v>89</v>
      </c>
      <c r="B91" s="149">
        <v>1007</v>
      </c>
      <c r="C91" s="54" t="s">
        <v>2877</v>
      </c>
      <c r="D91" s="54" t="s">
        <v>8364</v>
      </c>
      <c r="E91" s="59"/>
      <c r="F91" s="59" t="s">
        <v>2878</v>
      </c>
      <c r="G91" s="151">
        <v>104676</v>
      </c>
      <c r="H91" s="55" t="s">
        <v>2879</v>
      </c>
      <c r="I91" s="55" t="s">
        <v>2879</v>
      </c>
      <c r="J91" s="55" t="s">
        <v>2880</v>
      </c>
      <c r="K91" s="55" t="s">
        <v>357</v>
      </c>
      <c r="L91" s="55"/>
      <c r="M91" s="55"/>
      <c r="N91" s="60"/>
      <c r="O91" s="55"/>
      <c r="P91" s="67" t="s">
        <v>6172</v>
      </c>
      <c r="Q91" s="67" t="s">
        <v>6173</v>
      </c>
      <c r="R91" s="67" t="s">
        <v>6185</v>
      </c>
      <c r="S91" s="67" t="s">
        <v>6176</v>
      </c>
      <c r="T91" s="56">
        <v>184.28</v>
      </c>
      <c r="U91" s="103"/>
      <c r="V91" s="103">
        <v>0.69622313870197527</v>
      </c>
      <c r="W91" s="103">
        <v>1.4454397707459272</v>
      </c>
      <c r="X91" s="103">
        <f>IF(W91=0,V91,W91)</f>
        <v>1.4454397707459272</v>
      </c>
      <c r="Y91" s="162">
        <v>7</v>
      </c>
      <c r="Z91" s="56">
        <v>3.06</v>
      </c>
      <c r="AA91" s="56"/>
      <c r="AB91" s="56">
        <v>3.39</v>
      </c>
      <c r="AC91" s="56">
        <v>0.63719999999999999</v>
      </c>
      <c r="AD91" s="56">
        <v>3.18</v>
      </c>
      <c r="AE91" s="56">
        <v>2.92</v>
      </c>
      <c r="AF91" s="56">
        <f t="shared" si="36"/>
        <v>3.18</v>
      </c>
      <c r="AG91" s="57">
        <v>3.28</v>
      </c>
      <c r="AH91" s="103">
        <v>7.4600000000000003E-4</v>
      </c>
      <c r="AI91" s="103"/>
      <c r="AJ91" s="62">
        <f t="shared" si="40"/>
        <v>-1.5158274988399829</v>
      </c>
      <c r="AK91" s="62"/>
      <c r="AL91" s="62">
        <f t="shared" si="37"/>
        <v>-1.5158274988399829</v>
      </c>
      <c r="AM91" s="62">
        <v>-6.7747900000000003</v>
      </c>
      <c r="AN91" s="154">
        <v>-3.25</v>
      </c>
      <c r="AO91" s="410"/>
      <c r="AP91" s="410"/>
      <c r="AQ91" s="56" t="s">
        <v>6311</v>
      </c>
      <c r="AR91" s="56" t="s">
        <v>6311</v>
      </c>
      <c r="AS91" s="155"/>
      <c r="AT91" s="58" t="s">
        <v>266</v>
      </c>
      <c r="AU91" s="56">
        <v>6</v>
      </c>
      <c r="AV91" s="56">
        <v>120</v>
      </c>
      <c r="AW91" s="56">
        <v>114</v>
      </c>
      <c r="AX91" s="56">
        <v>28</v>
      </c>
      <c r="AY91" s="56" t="s">
        <v>8728</v>
      </c>
      <c r="AZ91" s="56" t="s">
        <v>1563</v>
      </c>
      <c r="BA91" s="56">
        <v>32</v>
      </c>
      <c r="BB91" s="55" t="s">
        <v>2485</v>
      </c>
      <c r="BC91" s="55" t="s">
        <v>8726</v>
      </c>
      <c r="BD91" s="55" t="s">
        <v>8374</v>
      </c>
      <c r="BE91" s="56" t="s">
        <v>2449</v>
      </c>
      <c r="BF91" s="56" t="s">
        <v>272</v>
      </c>
      <c r="BG91" s="56" t="s">
        <v>272</v>
      </c>
      <c r="BH91" s="56" t="s">
        <v>2486</v>
      </c>
      <c r="BI91" s="103">
        <v>6.3999999999999997E-6</v>
      </c>
      <c r="BJ91" s="103">
        <v>6.4000000000000001E-2</v>
      </c>
      <c r="BK91" s="56"/>
      <c r="BL91" s="103">
        <f t="shared" si="38"/>
        <v>9.1751674706632022E-2</v>
      </c>
      <c r="BM91" s="56" t="s">
        <v>2487</v>
      </c>
      <c r="BN91" s="56"/>
      <c r="BO91" s="56"/>
      <c r="BP91" s="56"/>
      <c r="BQ91" s="56"/>
      <c r="BR91" s="55">
        <v>2.0238577000000001E-2</v>
      </c>
      <c r="BS91" s="56"/>
      <c r="BT91" s="56"/>
      <c r="BU91" s="158"/>
      <c r="BV91" s="56"/>
      <c r="BW91" s="56"/>
      <c r="BX91" s="56"/>
      <c r="BY91" s="56"/>
      <c r="BZ91" s="56"/>
      <c r="CA91" s="56"/>
      <c r="CB91" s="56"/>
      <c r="CC91" s="56"/>
      <c r="CD91" s="56"/>
      <c r="CE91" s="56"/>
      <c r="CF91" s="56"/>
      <c r="CG91" s="56"/>
      <c r="CH91" s="56"/>
      <c r="CI91" s="103">
        <f t="shared" si="30"/>
        <v>2.0238577000000001E-2</v>
      </c>
      <c r="CJ91" s="103">
        <f t="shared" si="31"/>
        <v>-1.6938200265542473</v>
      </c>
      <c r="CK91" s="57">
        <f>BL91/BJ91</f>
        <v>1.4336199172911253</v>
      </c>
      <c r="CL91" s="160">
        <f t="shared" si="39"/>
        <v>4.5335042432396317</v>
      </c>
      <c r="CM91" s="160"/>
      <c r="CN91" s="160"/>
      <c r="CO91" s="55" t="s">
        <v>2488</v>
      </c>
      <c r="CP91" s="55" t="s">
        <v>2489</v>
      </c>
      <c r="CQ91" s="149" t="s">
        <v>272</v>
      </c>
      <c r="CR91" s="349"/>
      <c r="CS91" s="61" t="s">
        <v>539</v>
      </c>
      <c r="CT91" s="61"/>
      <c r="CU91" s="111">
        <f t="shared" si="24"/>
        <v>71.420029715820789</v>
      </c>
      <c r="CV91" s="331">
        <f>X91/BJ91</f>
        <v>22.584996417905113</v>
      </c>
      <c r="CW91" s="326">
        <f t="shared" si="32"/>
        <v>1</v>
      </c>
      <c r="CX91" s="326"/>
      <c r="CY91" s="161" t="s">
        <v>6351</v>
      </c>
    </row>
    <row r="92" spans="1:103" ht="11.25" customHeight="1" x14ac:dyDescent="0.2">
      <c r="A92" s="72">
        <v>90</v>
      </c>
      <c r="B92" s="149">
        <v>1648</v>
      </c>
      <c r="C92" s="54" t="s">
        <v>4854</v>
      </c>
      <c r="D92" s="54" t="s">
        <v>8365</v>
      </c>
      <c r="E92" s="59"/>
      <c r="F92" s="59" t="s">
        <v>4855</v>
      </c>
      <c r="G92" s="151">
        <v>106309</v>
      </c>
      <c r="H92" s="55" t="s">
        <v>4856</v>
      </c>
      <c r="I92" s="55" t="s">
        <v>4856</v>
      </c>
      <c r="J92" s="55" t="s">
        <v>4857</v>
      </c>
      <c r="K92" s="55" t="s">
        <v>357</v>
      </c>
      <c r="L92" s="55"/>
      <c r="M92" s="55"/>
      <c r="N92" s="60"/>
      <c r="O92" s="55"/>
      <c r="P92" s="67"/>
      <c r="Q92" s="67" t="s">
        <v>6173</v>
      </c>
      <c r="R92" s="67" t="s">
        <v>6174</v>
      </c>
      <c r="S92" s="67" t="s">
        <v>6176</v>
      </c>
      <c r="T92" s="56">
        <v>158.24</v>
      </c>
      <c r="U92" s="103">
        <v>1.832659251769464</v>
      </c>
      <c r="V92" s="103">
        <v>0.64395854398382202</v>
      </c>
      <c r="W92" s="103">
        <v>5.1286138399136467</v>
      </c>
      <c r="X92" s="103">
        <v>1.832659251769464</v>
      </c>
      <c r="Y92" s="162">
        <v>7</v>
      </c>
      <c r="Z92" s="56">
        <v>3.32</v>
      </c>
      <c r="AA92" s="56"/>
      <c r="AB92" s="56">
        <v>3.06</v>
      </c>
      <c r="AC92" s="56">
        <v>0.84530000000000005</v>
      </c>
      <c r="AD92" s="56">
        <v>3.15</v>
      </c>
      <c r="AE92" s="56">
        <v>3.37</v>
      </c>
      <c r="AF92" s="56">
        <f t="shared" si="36"/>
        <v>3.15</v>
      </c>
      <c r="AG92" s="57">
        <v>2.74</v>
      </c>
      <c r="AH92" s="103">
        <v>9.6000000000000002E-4</v>
      </c>
      <c r="AI92" s="103">
        <v>4.9899999999999999E-4</v>
      </c>
      <c r="AJ92" s="62">
        <f t="shared" si="40"/>
        <v>-1.4062950932730833</v>
      </c>
      <c r="AK92" s="62">
        <f>LOG10(AI92*1000/(0.08206*298.15))</f>
        <v>-1.6904657806892618</v>
      </c>
      <c r="AL92" s="62">
        <f t="shared" si="37"/>
        <v>-1.6904657806892618</v>
      </c>
      <c r="AM92" s="62">
        <v>-3.2822300000000002</v>
      </c>
      <c r="AN92" s="154">
        <v>-1.66</v>
      </c>
      <c r="AO92" s="410"/>
      <c r="AP92" s="410"/>
      <c r="AQ92" s="56" t="s">
        <v>6311</v>
      </c>
      <c r="AR92" s="56" t="s">
        <v>6312</v>
      </c>
      <c r="AS92" s="155"/>
      <c r="AT92" s="58" t="s">
        <v>266</v>
      </c>
      <c r="AU92" s="56">
        <v>6</v>
      </c>
      <c r="AV92" s="56">
        <v>120</v>
      </c>
      <c r="AW92" s="56">
        <v>114</v>
      </c>
      <c r="AX92" s="56">
        <v>28</v>
      </c>
      <c r="AY92" s="56" t="s">
        <v>8728</v>
      </c>
      <c r="AZ92" s="56" t="s">
        <v>1563</v>
      </c>
      <c r="BA92" s="56">
        <v>32</v>
      </c>
      <c r="BB92" s="55" t="s">
        <v>2485</v>
      </c>
      <c r="BC92" s="55" t="s">
        <v>8726</v>
      </c>
      <c r="BD92" s="55" t="s">
        <v>8374</v>
      </c>
      <c r="BE92" s="56" t="s">
        <v>2449</v>
      </c>
      <c r="BF92" s="56" t="s">
        <v>272</v>
      </c>
      <c r="BG92" s="56" t="s">
        <v>272</v>
      </c>
      <c r="BH92" s="56" t="s">
        <v>2486</v>
      </c>
      <c r="BI92" s="103">
        <v>6.3999999999999997E-6</v>
      </c>
      <c r="BJ92" s="103">
        <v>6.4000000000000001E-2</v>
      </c>
      <c r="BK92" s="56"/>
      <c r="BL92" s="103">
        <f t="shared" si="38"/>
        <v>5.3592991556072507E-2</v>
      </c>
      <c r="BM92" s="55" t="s">
        <v>2487</v>
      </c>
      <c r="BN92" s="56"/>
      <c r="BO92" s="56"/>
      <c r="BP92" s="56"/>
      <c r="BQ92" s="56"/>
      <c r="BR92" s="55">
        <v>2.0238577000000001E-2</v>
      </c>
      <c r="BS92" s="56"/>
      <c r="BT92" s="56"/>
      <c r="BU92" s="158"/>
      <c r="BV92" s="56"/>
      <c r="BW92" s="56"/>
      <c r="BX92" s="56"/>
      <c r="BY92" s="56"/>
      <c r="BZ92" s="56"/>
      <c r="CA92" s="56"/>
      <c r="CB92" s="56"/>
      <c r="CC92" s="56"/>
      <c r="CD92" s="56"/>
      <c r="CE92" s="56"/>
      <c r="CF92" s="56"/>
      <c r="CG92" s="56"/>
      <c r="CH92" s="56"/>
      <c r="CI92" s="103">
        <f t="shared" si="30"/>
        <v>2.0238577000000001E-2</v>
      </c>
      <c r="CJ92" s="103">
        <f t="shared" si="31"/>
        <v>-1.6938200265542473</v>
      </c>
      <c r="CK92" s="57">
        <f>BL92/BJ92</f>
        <v>0.83739049306363289</v>
      </c>
      <c r="CL92" s="160">
        <f t="shared" si="39"/>
        <v>2.6480612523337239</v>
      </c>
      <c r="CM92" s="160"/>
      <c r="CN92" s="160"/>
      <c r="CO92" s="55" t="s">
        <v>2488</v>
      </c>
      <c r="CP92" s="55" t="s">
        <v>2489</v>
      </c>
      <c r="CQ92" s="149" t="s">
        <v>272</v>
      </c>
      <c r="CR92" s="349"/>
      <c r="CS92" s="61" t="s">
        <v>539</v>
      </c>
      <c r="CT92" s="61"/>
      <c r="CU92" s="111">
        <f t="shared" si="24"/>
        <v>90.552772152383241</v>
      </c>
      <c r="CV92" s="331">
        <f>X92/BJ92</f>
        <v>28.635300808897874</v>
      </c>
      <c r="CW92" s="326">
        <f t="shared" si="32"/>
        <v>1</v>
      </c>
      <c r="CX92" s="326"/>
      <c r="CY92" s="161" t="s">
        <v>5921</v>
      </c>
    </row>
    <row r="93" spans="1:103" ht="11.25" customHeight="1" x14ac:dyDescent="0.2">
      <c r="A93" s="72">
        <v>91</v>
      </c>
      <c r="B93" s="149">
        <v>869</v>
      </c>
      <c r="C93" s="54" t="s">
        <v>2468</v>
      </c>
      <c r="D93" s="54" t="s">
        <v>6428</v>
      </c>
      <c r="E93" s="59"/>
      <c r="F93" s="59" t="s">
        <v>607</v>
      </c>
      <c r="G93" s="151">
        <v>52539</v>
      </c>
      <c r="H93" s="55" t="s">
        <v>608</v>
      </c>
      <c r="I93" s="55" t="s">
        <v>8206</v>
      </c>
      <c r="J93" s="55" t="s">
        <v>609</v>
      </c>
      <c r="K93" s="55" t="s">
        <v>610</v>
      </c>
      <c r="L93" s="55" t="s">
        <v>279</v>
      </c>
      <c r="M93" s="55" t="s">
        <v>611</v>
      </c>
      <c r="N93" s="60" t="s">
        <v>6383</v>
      </c>
      <c r="O93" s="55" t="s">
        <v>2469</v>
      </c>
      <c r="P93" s="67"/>
      <c r="Q93" s="67"/>
      <c r="R93" s="67"/>
      <c r="S93" s="67"/>
      <c r="T93" s="56">
        <v>454.6</v>
      </c>
      <c r="U93" s="103"/>
      <c r="V93" s="103">
        <v>9.8350197976242847E-3</v>
      </c>
      <c r="W93" s="103">
        <v>4.265795188015923E-2</v>
      </c>
      <c r="X93" s="103">
        <f>IF(W93=0,V93,W93)</f>
        <v>4.265795188015923E-2</v>
      </c>
      <c r="Y93" s="162">
        <v>9.1999999999999993</v>
      </c>
      <c r="Z93" s="56">
        <v>4.8</v>
      </c>
      <c r="AA93" s="56">
        <v>3.79</v>
      </c>
      <c r="AB93" s="56">
        <v>3.97</v>
      </c>
      <c r="AC93" s="56">
        <v>0.86899999999999999</v>
      </c>
      <c r="AD93" s="56">
        <v>3.95</v>
      </c>
      <c r="AE93" s="56">
        <v>3.9</v>
      </c>
      <c r="AF93" s="56">
        <f t="shared" si="36"/>
        <v>3.79</v>
      </c>
      <c r="AG93" s="57">
        <v>5.42</v>
      </c>
      <c r="AH93" s="103">
        <v>8.7899999999999997E-15</v>
      </c>
      <c r="AI93" s="103"/>
      <c r="AJ93" s="62">
        <f t="shared" si="40"/>
        <v>-12.44457745123888</v>
      </c>
      <c r="AK93" s="62"/>
      <c r="AL93" s="62">
        <f t="shared" si="37"/>
        <v>-12.44457745123888</v>
      </c>
      <c r="AM93" s="62">
        <v>-20.996379999999998</v>
      </c>
      <c r="AN93" s="154">
        <v>-13.2</v>
      </c>
      <c r="AO93" s="410"/>
      <c r="AP93" s="410">
        <v>8.9700000000000006</v>
      </c>
      <c r="AQ93" s="154" t="s">
        <v>6311</v>
      </c>
      <c r="AR93" s="154" t="s">
        <v>6311</v>
      </c>
      <c r="AS93" s="149" t="s">
        <v>6</v>
      </c>
      <c r="AT93" s="58" t="s">
        <v>266</v>
      </c>
      <c r="AU93" s="56">
        <v>2</v>
      </c>
      <c r="AV93" s="56">
        <v>98</v>
      </c>
      <c r="AW93" s="56">
        <v>96</v>
      </c>
      <c r="AX93" s="56">
        <v>26</v>
      </c>
      <c r="AY93" s="56" t="s">
        <v>267</v>
      </c>
      <c r="AZ93" s="56" t="s">
        <v>536</v>
      </c>
      <c r="BA93" s="56">
        <v>10</v>
      </c>
      <c r="BB93" s="55" t="s">
        <v>1764</v>
      </c>
      <c r="BC93" s="55" t="s">
        <v>2448</v>
      </c>
      <c r="BD93" s="55"/>
      <c r="BE93" s="56" t="s">
        <v>2449</v>
      </c>
      <c r="BF93" s="56"/>
      <c r="BG93" s="56"/>
      <c r="BH93" s="56"/>
      <c r="BI93" s="103"/>
      <c r="BJ93" s="103"/>
      <c r="BK93" s="56"/>
      <c r="BL93" s="103">
        <f t="shared" si="38"/>
        <v>2.5114237675436129E-3</v>
      </c>
      <c r="BM93" s="56" t="s">
        <v>541</v>
      </c>
      <c r="BN93" s="162" t="s">
        <v>288</v>
      </c>
      <c r="BO93" s="56">
        <v>0.127</v>
      </c>
      <c r="BP93" s="56">
        <v>0.112</v>
      </c>
      <c r="BQ93" s="56">
        <v>0.114</v>
      </c>
      <c r="BR93" s="56"/>
      <c r="BS93" s="56"/>
      <c r="BT93" s="56"/>
      <c r="BU93" s="158"/>
      <c r="BV93" s="56"/>
      <c r="BW93" s="56"/>
      <c r="BX93" s="56"/>
      <c r="BY93" s="56"/>
      <c r="BZ93" s="56"/>
      <c r="CA93" s="56"/>
      <c r="CB93" s="56"/>
      <c r="CC93" s="56"/>
      <c r="CD93" s="56"/>
      <c r="CE93" s="56"/>
      <c r="CF93" s="56"/>
      <c r="CG93" s="56"/>
      <c r="CH93" s="56"/>
      <c r="CI93" s="103">
        <f t="shared" si="30"/>
        <v>0.112</v>
      </c>
      <c r="CJ93" s="103">
        <f t="shared" si="31"/>
        <v>-0.9507819773298184</v>
      </c>
      <c r="CK93" s="57" t="s">
        <v>404</v>
      </c>
      <c r="CL93" s="160">
        <f t="shared" si="39"/>
        <v>2.2423426495925113E-2</v>
      </c>
      <c r="CM93" s="160">
        <v>-2.2230605273547535</v>
      </c>
      <c r="CN93" s="160"/>
      <c r="CO93" s="55"/>
      <c r="CP93" s="55" t="s">
        <v>2470</v>
      </c>
      <c r="CQ93" s="149">
        <v>-2.2230605273547535</v>
      </c>
      <c r="CR93" s="349">
        <f>10^(CJ93-CQ93)</f>
        <v>18.718823529411772</v>
      </c>
      <c r="CS93" s="61" t="s">
        <v>539</v>
      </c>
      <c r="CT93" s="61"/>
      <c r="CU93" s="111">
        <f t="shared" si="24"/>
        <v>0.38087457035856453</v>
      </c>
      <c r="CV93" s="331"/>
      <c r="CW93" s="326">
        <f t="shared" si="32"/>
        <v>0</v>
      </c>
      <c r="CX93" s="326"/>
      <c r="CY93" s="161" t="s">
        <v>5921</v>
      </c>
    </row>
    <row r="94" spans="1:103" ht="11.25" customHeight="1" x14ac:dyDescent="0.2">
      <c r="A94" s="72">
        <v>92</v>
      </c>
      <c r="B94" s="149">
        <v>727</v>
      </c>
      <c r="C94" s="54" t="s">
        <v>2053</v>
      </c>
      <c r="D94" s="54" t="s">
        <v>6536</v>
      </c>
      <c r="E94" s="59"/>
      <c r="F94" s="59" t="s">
        <v>2054</v>
      </c>
      <c r="G94" s="151">
        <v>52686</v>
      </c>
      <c r="H94" s="55" t="s">
        <v>2055</v>
      </c>
      <c r="I94" s="55" t="s">
        <v>7976</v>
      </c>
      <c r="J94" s="55" t="s">
        <v>2056</v>
      </c>
      <c r="K94" s="55" t="s">
        <v>2057</v>
      </c>
      <c r="L94" s="55" t="s">
        <v>617</v>
      </c>
      <c r="M94" s="55" t="s">
        <v>946</v>
      </c>
      <c r="N94" s="60" t="s">
        <v>6376</v>
      </c>
      <c r="O94" s="55" t="s">
        <v>918</v>
      </c>
      <c r="P94" s="67"/>
      <c r="Q94" s="67"/>
      <c r="R94" s="67"/>
      <c r="S94" s="67"/>
      <c r="T94" s="56">
        <v>257.44</v>
      </c>
      <c r="U94" s="103">
        <v>466.12802983219393</v>
      </c>
      <c r="V94" s="103">
        <v>99.168738346799259</v>
      </c>
      <c r="W94" s="103">
        <v>398.10717055349721</v>
      </c>
      <c r="X94" s="103">
        <v>466.12802983219393</v>
      </c>
      <c r="Y94" s="162">
        <v>5.35</v>
      </c>
      <c r="Z94" s="56">
        <v>0.42</v>
      </c>
      <c r="AA94" s="56">
        <v>0.51</v>
      </c>
      <c r="AB94" s="56">
        <v>0.84</v>
      </c>
      <c r="AC94" s="56">
        <v>0.75449999999999995</v>
      </c>
      <c r="AD94" s="56">
        <v>0.73</v>
      </c>
      <c r="AE94" s="56">
        <v>0.48</v>
      </c>
      <c r="AF94" s="56">
        <f t="shared" si="36"/>
        <v>0.51</v>
      </c>
      <c r="AG94" s="57">
        <v>0.9</v>
      </c>
      <c r="AH94" s="103">
        <v>2.6499999999999998E-12</v>
      </c>
      <c r="AI94" s="103">
        <v>1.6999999999999999E-11</v>
      </c>
      <c r="AJ94" s="62">
        <f t="shared" si="40"/>
        <v>-9.9653204523758436</v>
      </c>
      <c r="AK94" s="62">
        <f t="shared" ref="AK94:AK103" si="41">LOG10(AI94*1000/(0.08206*298.15))</f>
        <v>-9.1581174049343783</v>
      </c>
      <c r="AL94" s="62">
        <f t="shared" si="37"/>
        <v>-9.1581174049343783</v>
      </c>
      <c r="AM94" s="62">
        <v>-11.525370000000001</v>
      </c>
      <c r="AN94" s="154">
        <v>-8.69</v>
      </c>
      <c r="AO94" s="410">
        <v>10.3</v>
      </c>
      <c r="AP94" s="410"/>
      <c r="AQ94" s="154" t="s">
        <v>6312</v>
      </c>
      <c r="AR94" s="154" t="s">
        <v>6312</v>
      </c>
      <c r="AS94" s="149" t="s">
        <v>6</v>
      </c>
      <c r="AT94" s="58" t="s">
        <v>266</v>
      </c>
      <c r="AU94" s="56">
        <v>2</v>
      </c>
      <c r="AV94" s="56">
        <v>96</v>
      </c>
      <c r="AW94" s="56">
        <v>96</v>
      </c>
      <c r="AX94" s="56">
        <v>27</v>
      </c>
      <c r="AY94" s="56" t="s">
        <v>1780</v>
      </c>
      <c r="AZ94" s="56" t="s">
        <v>2058</v>
      </c>
      <c r="BA94" s="56" t="s">
        <v>2059</v>
      </c>
      <c r="BB94" s="55" t="s">
        <v>1764</v>
      </c>
      <c r="BC94" s="55" t="s">
        <v>2060</v>
      </c>
      <c r="BD94" s="55"/>
      <c r="BE94" s="56" t="s">
        <v>271</v>
      </c>
      <c r="BF94" s="56" t="s">
        <v>272</v>
      </c>
      <c r="BG94" s="56" t="s">
        <v>272</v>
      </c>
      <c r="BH94" s="56" t="s">
        <v>272</v>
      </c>
      <c r="BI94" s="157">
        <v>9.7110006215040401E-3</v>
      </c>
      <c r="BJ94" s="157">
        <v>0.62150403977625857</v>
      </c>
      <c r="BK94" s="56"/>
      <c r="BL94" s="103">
        <f t="shared" si="38"/>
        <v>21.557480404291663</v>
      </c>
      <c r="BM94" s="56" t="s">
        <v>2061</v>
      </c>
      <c r="BN94" s="56"/>
      <c r="BO94" s="56"/>
      <c r="BP94" s="56">
        <v>0.17530298321939095</v>
      </c>
      <c r="BQ94" s="56">
        <v>9.8663766314481038E-2</v>
      </c>
      <c r="BR94" s="56"/>
      <c r="BS94" s="56"/>
      <c r="BT94" s="56"/>
      <c r="BU94" s="158"/>
      <c r="BV94" s="56"/>
      <c r="BW94" s="56"/>
      <c r="BX94" s="56"/>
      <c r="BY94" s="56"/>
      <c r="BZ94" s="56"/>
      <c r="CA94" s="56"/>
      <c r="CB94" s="56"/>
      <c r="CC94" s="56"/>
      <c r="CD94" s="56"/>
      <c r="CE94" s="56"/>
      <c r="CF94" s="56"/>
      <c r="CG94" s="56"/>
      <c r="CH94" s="56"/>
      <c r="CI94" s="103">
        <f t="shared" si="30"/>
        <v>9.8663766314481038E-2</v>
      </c>
      <c r="CJ94" s="103">
        <f t="shared" si="31"/>
        <v>-1.0058423101350162</v>
      </c>
      <c r="CK94" s="57">
        <f t="shared" ref="CK94:CK111" si="42">BL94/BJ94</f>
        <v>34.685985970505286</v>
      </c>
      <c r="CL94" s="160">
        <f t="shared" si="39"/>
        <v>218.49439981420653</v>
      </c>
      <c r="CM94" s="160"/>
      <c r="CN94" s="160"/>
      <c r="CO94" s="55"/>
      <c r="CP94" s="55" t="s">
        <v>2062</v>
      </c>
      <c r="CQ94" s="149">
        <v>-2.0730727817324177</v>
      </c>
      <c r="CR94" s="349">
        <f>10^(CJ94-CQ94)</f>
        <v>11.674289844591225</v>
      </c>
      <c r="CS94" s="61" t="s">
        <v>539</v>
      </c>
      <c r="CT94" s="61"/>
      <c r="CU94" s="111">
        <f t="shared" si="24"/>
        <v>4724.4094488188985</v>
      </c>
      <c r="CV94" s="331">
        <f t="shared" ref="CV94:CV111" si="43">X94/BJ94</f>
        <v>750</v>
      </c>
      <c r="CW94" s="326">
        <f t="shared" si="32"/>
        <v>1</v>
      </c>
      <c r="CX94" s="326"/>
      <c r="CY94" s="161" t="s">
        <v>5921</v>
      </c>
    </row>
    <row r="95" spans="1:103" ht="11.25" customHeight="1" x14ac:dyDescent="0.2">
      <c r="A95" s="72">
        <v>93</v>
      </c>
      <c r="B95" s="149">
        <v>615</v>
      </c>
      <c r="C95" s="54" t="s">
        <v>1830</v>
      </c>
      <c r="D95" s="54" t="s">
        <v>6599</v>
      </c>
      <c r="E95" s="59"/>
      <c r="F95" s="59" t="s">
        <v>1831</v>
      </c>
      <c r="G95" s="151">
        <v>120821</v>
      </c>
      <c r="H95" s="55" t="s">
        <v>1832</v>
      </c>
      <c r="I95" s="55" t="s">
        <v>8038</v>
      </c>
      <c r="J95" s="55" t="s">
        <v>1833</v>
      </c>
      <c r="K95" s="55" t="s">
        <v>426</v>
      </c>
      <c r="L95" s="55" t="s">
        <v>5527</v>
      </c>
      <c r="M95" s="55" t="s">
        <v>866</v>
      </c>
      <c r="N95" s="60" t="s">
        <v>6082</v>
      </c>
      <c r="O95" s="55" t="s">
        <v>6086</v>
      </c>
      <c r="P95" s="67" t="s">
        <v>6183</v>
      </c>
      <c r="Q95" s="67" t="s">
        <v>6176</v>
      </c>
      <c r="R95" s="67" t="s">
        <v>6185</v>
      </c>
      <c r="S95" s="67" t="s">
        <v>6176</v>
      </c>
      <c r="T95" s="56">
        <v>181.45</v>
      </c>
      <c r="U95" s="103">
        <v>0.27004684486084324</v>
      </c>
      <c r="V95" s="103">
        <v>0.11016809038302562</v>
      </c>
      <c r="W95" s="103">
        <v>3.0199517204020178E-2</v>
      </c>
      <c r="X95" s="103">
        <v>0.27004684486084324</v>
      </c>
      <c r="Y95" s="162">
        <v>7</v>
      </c>
      <c r="Z95" s="56">
        <v>3.93</v>
      </c>
      <c r="AA95" s="56">
        <v>4.0199999999999996</v>
      </c>
      <c r="AB95" s="56">
        <v>3.92</v>
      </c>
      <c r="AC95" s="56">
        <v>0.89549999999999996</v>
      </c>
      <c r="AD95" s="56">
        <v>3.9</v>
      </c>
      <c r="AE95" s="56">
        <v>3.82</v>
      </c>
      <c r="AF95" s="56">
        <f t="shared" si="36"/>
        <v>4.0199999999999996</v>
      </c>
      <c r="AG95" s="57">
        <v>3.84</v>
      </c>
      <c r="AH95" s="103">
        <v>2.1900000000000001E-3</v>
      </c>
      <c r="AI95" s="103">
        <v>1.42E-3</v>
      </c>
      <c r="AJ95" s="62">
        <f t="shared" si="40"/>
        <v>-1.0481222114725335</v>
      </c>
      <c r="AK95" s="62">
        <f t="shared" si="41"/>
        <v>-1.2362779819295953</v>
      </c>
      <c r="AL95" s="62">
        <f t="shared" si="37"/>
        <v>-1.2362779819295953</v>
      </c>
      <c r="AM95" s="62">
        <v>-3.28653</v>
      </c>
      <c r="AN95" s="154">
        <v>-1.17</v>
      </c>
      <c r="AO95" s="410"/>
      <c r="AP95" s="410"/>
      <c r="AQ95" s="154" t="s">
        <v>6311</v>
      </c>
      <c r="AR95" s="154" t="s">
        <v>6311</v>
      </c>
      <c r="AS95" s="149" t="s">
        <v>6</v>
      </c>
      <c r="AT95" s="58" t="s">
        <v>266</v>
      </c>
      <c r="AU95" s="56">
        <v>2</v>
      </c>
      <c r="AV95" s="56" t="s">
        <v>646</v>
      </c>
      <c r="AW95" s="56" t="s">
        <v>646</v>
      </c>
      <c r="AX95" s="56">
        <v>26</v>
      </c>
      <c r="AY95" s="56" t="s">
        <v>647</v>
      </c>
      <c r="AZ95" s="56" t="s">
        <v>1834</v>
      </c>
      <c r="BA95" s="56">
        <v>9</v>
      </c>
      <c r="BB95" s="55" t="s">
        <v>1782</v>
      </c>
      <c r="BC95" s="55" t="s">
        <v>538</v>
      </c>
      <c r="BD95" s="55"/>
      <c r="BE95" s="56" t="s">
        <v>1809</v>
      </c>
      <c r="BF95" s="56" t="s">
        <v>539</v>
      </c>
      <c r="BG95" s="56" t="s">
        <v>272</v>
      </c>
      <c r="BH95" s="56" t="s">
        <v>1820</v>
      </c>
      <c r="BI95" s="157">
        <v>1.3777900248002205E-2</v>
      </c>
      <c r="BJ95" s="157">
        <v>0.22044640396803528</v>
      </c>
      <c r="BK95" s="56" t="s">
        <v>1810</v>
      </c>
      <c r="BL95" s="103">
        <f t="shared" si="38"/>
        <v>1.5179833219444985E-2</v>
      </c>
      <c r="BM95" s="56" t="s">
        <v>541</v>
      </c>
      <c r="BN95" s="56"/>
      <c r="BO95" s="56">
        <v>9.8594654174703783E-2</v>
      </c>
      <c r="BP95" s="56"/>
      <c r="BQ95" s="56"/>
      <c r="BR95" s="56">
        <v>9.5000000000000001E-2</v>
      </c>
      <c r="BS95" s="56"/>
      <c r="BT95" s="56"/>
      <c r="BU95" s="158"/>
      <c r="BV95" s="56"/>
      <c r="BW95" s="56"/>
      <c r="BX95" s="56"/>
      <c r="BY95" s="56"/>
      <c r="BZ95" s="56"/>
      <c r="CA95" s="56"/>
      <c r="CB95" s="56"/>
      <c r="CC95" s="56"/>
      <c r="CD95" s="56"/>
      <c r="CE95" s="56"/>
      <c r="CF95" s="56"/>
      <c r="CG95" s="56"/>
      <c r="CH95" s="56"/>
      <c r="CI95" s="103">
        <f t="shared" si="30"/>
        <v>9.5000000000000001E-2</v>
      </c>
      <c r="CJ95" s="103">
        <f t="shared" si="31"/>
        <v>-1.0222763947111522</v>
      </c>
      <c r="CK95" s="57">
        <f t="shared" si="42"/>
        <v>6.8859518441707318E-2</v>
      </c>
      <c r="CL95" s="160">
        <f t="shared" si="39"/>
        <v>0.15978771809942088</v>
      </c>
      <c r="CM95" s="160"/>
      <c r="CN95" s="160"/>
      <c r="CO95" s="55"/>
      <c r="CP95" s="55" t="s">
        <v>1811</v>
      </c>
      <c r="CQ95" s="149">
        <v>-1.8106733618490609</v>
      </c>
      <c r="CR95" s="349">
        <f>10^(CJ95-CQ95)</f>
        <v>6.1432327117625514</v>
      </c>
      <c r="CS95" s="61" t="s">
        <v>539</v>
      </c>
      <c r="CT95" s="61" t="s">
        <v>6310</v>
      </c>
      <c r="CU95" s="111">
        <f t="shared" si="24"/>
        <v>2.8425983669562447</v>
      </c>
      <c r="CV95" s="331">
        <f t="shared" si="43"/>
        <v>1.2250000000000001</v>
      </c>
      <c r="CW95" s="326">
        <f t="shared" si="32"/>
        <v>1</v>
      </c>
      <c r="CX95" s="326" t="s">
        <v>539</v>
      </c>
      <c r="CY95" s="161" t="s">
        <v>6351</v>
      </c>
    </row>
    <row r="96" spans="1:103" ht="11.25" customHeight="1" x14ac:dyDescent="0.2">
      <c r="A96" s="72">
        <v>94</v>
      </c>
      <c r="B96" s="149">
        <v>1623</v>
      </c>
      <c r="C96" s="54" t="s">
        <v>4808</v>
      </c>
      <c r="D96" s="54"/>
      <c r="E96" s="59"/>
      <c r="F96" s="59" t="s">
        <v>4809</v>
      </c>
      <c r="G96" s="151">
        <v>108010</v>
      </c>
      <c r="H96" s="55" t="s">
        <v>4810</v>
      </c>
      <c r="I96" s="55" t="s">
        <v>4810</v>
      </c>
      <c r="J96" s="55" t="s">
        <v>4811</v>
      </c>
      <c r="K96" s="55" t="s">
        <v>300</v>
      </c>
      <c r="L96" s="55"/>
      <c r="M96" s="55"/>
      <c r="N96" s="60"/>
      <c r="O96" s="55"/>
      <c r="P96" s="67"/>
      <c r="Q96" s="67"/>
      <c r="R96" s="67"/>
      <c r="S96" s="67"/>
      <c r="T96" s="56">
        <v>89.14</v>
      </c>
      <c r="U96" s="103">
        <v>11218.30827911151</v>
      </c>
      <c r="V96" s="103">
        <v>11218.30827911151</v>
      </c>
      <c r="W96" s="103">
        <v>10964.781961431854</v>
      </c>
      <c r="X96" s="103">
        <v>11218.30827911151</v>
      </c>
      <c r="Y96" s="162">
        <v>11.65</v>
      </c>
      <c r="Z96" s="56">
        <v>-0.94</v>
      </c>
      <c r="AA96" s="56"/>
      <c r="AB96" s="56">
        <v>-0.24</v>
      </c>
      <c r="AC96" s="56">
        <v>0.86950000000000005</v>
      </c>
      <c r="AD96" s="56">
        <v>-0.26</v>
      </c>
      <c r="AE96" s="56">
        <v>-0.33</v>
      </c>
      <c r="AF96" s="56">
        <f t="shared" si="36"/>
        <v>-0.26</v>
      </c>
      <c r="AG96" s="57">
        <v>4.41</v>
      </c>
      <c r="AH96" s="103">
        <v>1.7700000000000001E-9</v>
      </c>
      <c r="AI96" s="103">
        <v>3.7300000000000002E-7</v>
      </c>
      <c r="AJ96" s="62">
        <f t="shared" si="40"/>
        <v>-7.1405930599508451</v>
      </c>
      <c r="AK96" s="62">
        <f t="shared" si="41"/>
        <v>-4.8168574945039646</v>
      </c>
      <c r="AL96" s="62">
        <f t="shared" si="37"/>
        <v>-4.8168574945039646</v>
      </c>
      <c r="AM96" s="62">
        <v>-6.5160900000000002</v>
      </c>
      <c r="AN96" s="154">
        <v>-12</v>
      </c>
      <c r="AO96" s="410">
        <v>14.88</v>
      </c>
      <c r="AP96" s="410">
        <v>8.8800000000000008</v>
      </c>
      <c r="AQ96" s="56" t="s">
        <v>6311</v>
      </c>
      <c r="AR96" s="56" t="s">
        <v>6311</v>
      </c>
      <c r="AS96" s="155"/>
      <c r="AT96" s="58" t="s">
        <v>266</v>
      </c>
      <c r="AU96" s="56">
        <v>6</v>
      </c>
      <c r="AV96" s="56">
        <v>120</v>
      </c>
      <c r="AW96" s="56">
        <v>114</v>
      </c>
      <c r="AX96" s="56">
        <v>28</v>
      </c>
      <c r="AY96" s="56" t="s">
        <v>8728</v>
      </c>
      <c r="AZ96" s="56" t="s">
        <v>1563</v>
      </c>
      <c r="BA96" s="56">
        <v>32</v>
      </c>
      <c r="BB96" s="55" t="s">
        <v>2485</v>
      </c>
      <c r="BC96" s="55" t="s">
        <v>8726</v>
      </c>
      <c r="BD96" s="55" t="s">
        <v>8374</v>
      </c>
      <c r="BE96" s="56" t="s">
        <v>2449</v>
      </c>
      <c r="BF96" s="56" t="s">
        <v>272</v>
      </c>
      <c r="BG96" s="56" t="s">
        <v>272</v>
      </c>
      <c r="BH96" s="56" t="s">
        <v>2486</v>
      </c>
      <c r="BI96" s="103">
        <v>6.3999999999999997E-6</v>
      </c>
      <c r="BJ96" s="103">
        <v>6.4000000000000001E-2</v>
      </c>
      <c r="BK96" s="56"/>
      <c r="BL96" s="103">
        <f t="shared" si="38"/>
        <v>358.93350510764594</v>
      </c>
      <c r="BM96" s="55" t="s">
        <v>2487</v>
      </c>
      <c r="BN96" s="56"/>
      <c r="BO96" s="56"/>
      <c r="BP96" s="56"/>
      <c r="BQ96" s="56"/>
      <c r="BR96" s="55">
        <v>2.0238577000000001E-2</v>
      </c>
      <c r="BS96" s="56"/>
      <c r="BT96" s="56"/>
      <c r="BU96" s="158"/>
      <c r="BV96" s="56"/>
      <c r="BW96" s="56"/>
      <c r="BX96" s="56"/>
      <c r="BY96" s="56"/>
      <c r="BZ96" s="56"/>
      <c r="CA96" s="56"/>
      <c r="CB96" s="56"/>
      <c r="CC96" s="56"/>
      <c r="CD96" s="56"/>
      <c r="CE96" s="56"/>
      <c r="CF96" s="56"/>
      <c r="CG96" s="56"/>
      <c r="CH96" s="56"/>
      <c r="CI96" s="103">
        <f t="shared" si="30"/>
        <v>2.0238577000000001E-2</v>
      </c>
      <c r="CJ96" s="103">
        <f t="shared" si="31"/>
        <v>-1.6938200265542473</v>
      </c>
      <c r="CK96" s="57">
        <f t="shared" si="42"/>
        <v>5608.3360173069677</v>
      </c>
      <c r="CL96" s="160">
        <f t="shared" si="39"/>
        <v>17735.115720223112</v>
      </c>
      <c r="CM96" s="160"/>
      <c r="CN96" s="160"/>
      <c r="CO96" s="55" t="s">
        <v>2488</v>
      </c>
      <c r="CP96" s="55" t="s">
        <v>2489</v>
      </c>
      <c r="CQ96" s="149" t="s">
        <v>272</v>
      </c>
      <c r="CR96" s="349"/>
      <c r="CS96" s="61" t="s">
        <v>539</v>
      </c>
      <c r="CT96" s="61"/>
      <c r="CU96" s="111">
        <f t="shared" si="24"/>
        <v>554303.2140605296</v>
      </c>
      <c r="CV96" s="331">
        <f t="shared" si="43"/>
        <v>175286.06686111735</v>
      </c>
      <c r="CW96" s="326">
        <f t="shared" si="32"/>
        <v>1</v>
      </c>
      <c r="CX96" s="326"/>
      <c r="CY96" s="161" t="s">
        <v>6351</v>
      </c>
    </row>
    <row r="97" spans="1:103" ht="11.25" customHeight="1" x14ac:dyDescent="0.2">
      <c r="A97" s="72">
        <v>95</v>
      </c>
      <c r="B97" s="149">
        <v>787</v>
      </c>
      <c r="C97" s="54" t="s">
        <v>2216</v>
      </c>
      <c r="D97" s="54" t="s">
        <v>6425</v>
      </c>
      <c r="E97" s="59"/>
      <c r="F97" s="59" t="s">
        <v>2217</v>
      </c>
      <c r="G97" s="151">
        <v>50293</v>
      </c>
      <c r="H97" s="55" t="s">
        <v>2218</v>
      </c>
      <c r="I97" s="55" t="s">
        <v>7921</v>
      </c>
      <c r="J97" s="55" t="s">
        <v>2219</v>
      </c>
      <c r="K97" s="55" t="s">
        <v>426</v>
      </c>
      <c r="L97" s="55" t="s">
        <v>617</v>
      </c>
      <c r="M97" s="55" t="s">
        <v>1086</v>
      </c>
      <c r="N97" s="60" t="s">
        <v>6376</v>
      </c>
      <c r="O97" s="55" t="s">
        <v>918</v>
      </c>
      <c r="P97" s="67"/>
      <c r="Q97" s="67"/>
      <c r="R97" s="67"/>
      <c r="S97" s="67"/>
      <c r="T97" s="56">
        <v>354.48</v>
      </c>
      <c r="U97" s="103">
        <v>1.5515684946964567E-5</v>
      </c>
      <c r="V97" s="103">
        <v>2.0613292710449108E-5</v>
      </c>
      <c r="W97" s="103">
        <v>1.174897554939528E-4</v>
      </c>
      <c r="X97" s="103">
        <v>1.5515684946964567E-5</v>
      </c>
      <c r="Y97" s="162">
        <v>7</v>
      </c>
      <c r="Z97" s="56">
        <v>6.79</v>
      </c>
      <c r="AA97" s="56">
        <v>6.91</v>
      </c>
      <c r="AB97" s="56">
        <v>6.33</v>
      </c>
      <c r="AC97" s="56">
        <v>0.82679999999999998</v>
      </c>
      <c r="AD97" s="56">
        <v>6.22</v>
      </c>
      <c r="AE97" s="56">
        <v>5.92</v>
      </c>
      <c r="AF97" s="56">
        <f t="shared" si="36"/>
        <v>6.91</v>
      </c>
      <c r="AG97" s="57">
        <v>6.54</v>
      </c>
      <c r="AH97" s="103">
        <v>1.5299999999999999E-5</v>
      </c>
      <c r="AI97" s="103">
        <v>8.32E-6</v>
      </c>
      <c r="AJ97" s="62">
        <f t="shared" si="40"/>
        <v>-3.2038748954950531</v>
      </c>
      <c r="AK97" s="62">
        <f t="shared" si="41"/>
        <v>-3.468443000021928</v>
      </c>
      <c r="AL97" s="62">
        <f t="shared" si="37"/>
        <v>-3.468443000021928</v>
      </c>
      <c r="AM97" s="62">
        <v>-7.4330299999999996</v>
      </c>
      <c r="AN97" s="154">
        <v>-4.3499999999999996</v>
      </c>
      <c r="AO97" s="410"/>
      <c r="AP97" s="410"/>
      <c r="AQ97" s="56" t="s">
        <v>6311</v>
      </c>
      <c r="AR97" s="56" t="s">
        <v>6311</v>
      </c>
      <c r="AS97" s="149" t="s">
        <v>6</v>
      </c>
      <c r="AT97" s="58" t="s">
        <v>266</v>
      </c>
      <c r="AU97" s="56">
        <v>6</v>
      </c>
      <c r="AV97" s="56">
        <v>96</v>
      </c>
      <c r="AW97" s="56">
        <v>90</v>
      </c>
      <c r="AX97" s="56">
        <v>28</v>
      </c>
      <c r="AY97" s="56" t="s">
        <v>8722</v>
      </c>
      <c r="AZ97" s="56" t="s">
        <v>2213</v>
      </c>
      <c r="BA97" s="56" t="s">
        <v>8722</v>
      </c>
      <c r="BB97" s="55" t="s">
        <v>1764</v>
      </c>
      <c r="BC97" s="55" t="s">
        <v>2214</v>
      </c>
      <c r="BD97" s="55"/>
      <c r="BE97" s="56" t="s">
        <v>1712</v>
      </c>
      <c r="BF97" s="56" t="s">
        <v>272</v>
      </c>
      <c r="BG97" s="56" t="s">
        <v>272</v>
      </c>
      <c r="BH97" s="56" t="s">
        <v>2119</v>
      </c>
      <c r="BI97" s="103">
        <v>1.0000000000000001E-5</v>
      </c>
      <c r="BJ97" s="103">
        <v>1</v>
      </c>
      <c r="BK97" s="56"/>
      <c r="BL97" s="103">
        <f t="shared" si="38"/>
        <v>4.0992178575571082E-5</v>
      </c>
      <c r="BM97" s="56" t="s">
        <v>1584</v>
      </c>
      <c r="BN97" s="56"/>
      <c r="BO97" s="56" t="s">
        <v>2220</v>
      </c>
      <c r="BP97" s="56">
        <v>9.5000000000000001E-2</v>
      </c>
      <c r="BQ97" s="56"/>
      <c r="BR97" s="56"/>
      <c r="BS97" s="56"/>
      <c r="BT97" s="56"/>
      <c r="BU97" s="158"/>
      <c r="BV97" s="56"/>
      <c r="BW97" s="56"/>
      <c r="BX97" s="56"/>
      <c r="BY97" s="56"/>
      <c r="BZ97" s="56"/>
      <c r="CA97" s="56"/>
      <c r="CB97" s="56"/>
      <c r="CC97" s="56"/>
      <c r="CD97" s="56"/>
      <c r="CE97" s="56"/>
      <c r="CF97" s="56"/>
      <c r="CG97" s="56"/>
      <c r="CH97" s="56"/>
      <c r="CI97" s="103">
        <f t="shared" si="30"/>
        <v>9.5000000000000001E-2</v>
      </c>
      <c r="CJ97" s="103">
        <f t="shared" si="31"/>
        <v>-1.0222763947111522</v>
      </c>
      <c r="CK97" s="57">
        <f t="shared" si="42"/>
        <v>4.0992178575571082E-5</v>
      </c>
      <c r="CL97" s="160">
        <f t="shared" si="39"/>
        <v>4.3149661658495873E-4</v>
      </c>
      <c r="CM97" s="160"/>
      <c r="CN97" s="160"/>
      <c r="CO97" s="55"/>
      <c r="CP97" s="55" t="s">
        <v>2215</v>
      </c>
      <c r="CQ97" s="149">
        <v>-4.697241030215876</v>
      </c>
      <c r="CR97" s="349">
        <f t="shared" ref="CR97:CR113" si="44">10^(CJ97-CQ97)</f>
        <v>4731.1273193683237</v>
      </c>
      <c r="CS97" s="61" t="s">
        <v>539</v>
      </c>
      <c r="CT97" s="61"/>
      <c r="CU97" s="111">
        <f t="shared" si="24"/>
        <v>1.6332299944173229E-4</v>
      </c>
      <c r="CV97" s="331">
        <f t="shared" si="43"/>
        <v>1.5515684946964567E-5</v>
      </c>
      <c r="CW97" s="326">
        <f t="shared" si="32"/>
        <v>0</v>
      </c>
      <c r="CX97" s="326" t="s">
        <v>539</v>
      </c>
      <c r="CY97" s="161" t="s">
        <v>5921</v>
      </c>
    </row>
    <row r="98" spans="1:103" ht="11.25" customHeight="1" x14ac:dyDescent="0.2">
      <c r="A98" s="72">
        <v>96</v>
      </c>
      <c r="B98" s="149">
        <v>684</v>
      </c>
      <c r="C98" s="54" t="s">
        <v>1975</v>
      </c>
      <c r="D98" s="54" t="s">
        <v>6557</v>
      </c>
      <c r="E98" s="59"/>
      <c r="F98" s="59" t="s">
        <v>1976</v>
      </c>
      <c r="G98" s="151">
        <v>2416946</v>
      </c>
      <c r="H98" s="55" t="s">
        <v>1977</v>
      </c>
      <c r="I98" s="55" t="s">
        <v>1977</v>
      </c>
      <c r="J98" s="55" t="s">
        <v>1978</v>
      </c>
      <c r="K98" s="55" t="s">
        <v>349</v>
      </c>
      <c r="L98" s="55" t="s">
        <v>6025</v>
      </c>
      <c r="M98" s="55" t="s">
        <v>6082</v>
      </c>
      <c r="N98" s="55" t="s">
        <v>6082</v>
      </c>
      <c r="O98" s="55"/>
      <c r="P98" s="67" t="s">
        <v>6184</v>
      </c>
      <c r="Q98" s="67" t="s">
        <v>6173</v>
      </c>
      <c r="R98" s="67" t="s">
        <v>6185</v>
      </c>
      <c r="S98" s="67" t="s">
        <v>6176</v>
      </c>
      <c r="T98" s="56">
        <v>136.19</v>
      </c>
      <c r="U98" s="103">
        <v>11.601439165871209</v>
      </c>
      <c r="V98" s="103">
        <v>12.717526984360086</v>
      </c>
      <c r="W98" s="103">
        <v>15.488166189124804</v>
      </c>
      <c r="X98" s="103">
        <v>11.601439165871209</v>
      </c>
      <c r="Y98" s="162">
        <v>6.28</v>
      </c>
      <c r="Z98" s="56">
        <v>3.15</v>
      </c>
      <c r="AA98" s="56">
        <v>2.67</v>
      </c>
      <c r="AB98" s="56">
        <v>2.72</v>
      </c>
      <c r="AC98" s="56">
        <v>0.95220000000000005</v>
      </c>
      <c r="AD98" s="56">
        <v>2.75</v>
      </c>
      <c r="AE98" s="56">
        <v>2.86</v>
      </c>
      <c r="AF98" s="56">
        <f t="shared" si="36"/>
        <v>2.67</v>
      </c>
      <c r="AG98" s="57">
        <v>2.83</v>
      </c>
      <c r="AH98" s="103">
        <v>7.5300000000000003E-7</v>
      </c>
      <c r="AI98" s="103">
        <v>3.9400000000000004E-6</v>
      </c>
      <c r="AJ98" s="62">
        <f t="shared" si="40"/>
        <v>-4.5117713501119514</v>
      </c>
      <c r="AK98" s="62">
        <f t="shared" si="41"/>
        <v>-3.7930701044870778</v>
      </c>
      <c r="AL98" s="62">
        <f t="shared" si="37"/>
        <v>-3.7930701044870778</v>
      </c>
      <c r="AM98" s="62">
        <v>-5.6314799999999998</v>
      </c>
      <c r="AN98" s="154">
        <v>-3.82</v>
      </c>
      <c r="AO98" s="410">
        <v>10.77</v>
      </c>
      <c r="AP98" s="410"/>
      <c r="AQ98" s="154" t="s">
        <v>6311</v>
      </c>
      <c r="AR98" s="154" t="s">
        <v>6311</v>
      </c>
      <c r="AS98" s="149" t="s">
        <v>6</v>
      </c>
      <c r="AT98" s="58" t="s">
        <v>266</v>
      </c>
      <c r="AU98" s="56">
        <v>2</v>
      </c>
      <c r="AV98" s="56">
        <v>96</v>
      </c>
      <c r="AW98" s="56">
        <v>96</v>
      </c>
      <c r="AX98" s="56">
        <v>26</v>
      </c>
      <c r="AY98" s="56" t="s">
        <v>6360</v>
      </c>
      <c r="AZ98" s="56" t="s">
        <v>536</v>
      </c>
      <c r="BA98" s="56">
        <v>20</v>
      </c>
      <c r="BB98" s="55" t="s">
        <v>1764</v>
      </c>
      <c r="BC98" s="55" t="s">
        <v>6372</v>
      </c>
      <c r="BD98" s="55"/>
      <c r="BE98" s="56" t="s">
        <v>6361</v>
      </c>
      <c r="BF98" s="56" t="s">
        <v>1974</v>
      </c>
      <c r="BG98" s="56" t="s">
        <v>1974</v>
      </c>
      <c r="BH98" s="56" t="s">
        <v>272</v>
      </c>
      <c r="BI98" s="157">
        <v>5.8737151248164469E-2</v>
      </c>
      <c r="BJ98" s="157">
        <v>0.29735682819383263</v>
      </c>
      <c r="BK98" s="56"/>
      <c r="BL98" s="103">
        <f t="shared" si="38"/>
        <v>7.6170183176510087E-2</v>
      </c>
      <c r="BM98" s="56" t="s">
        <v>541</v>
      </c>
      <c r="BN98" s="56"/>
      <c r="BO98" s="56">
        <f>10.9/136.19</f>
        <v>8.0035244878478601E-2</v>
      </c>
      <c r="BP98" s="56"/>
      <c r="BQ98" s="56">
        <f>10.8/136.19</f>
        <v>7.9300976576841181E-2</v>
      </c>
      <c r="BR98" s="56"/>
      <c r="BS98" s="56"/>
      <c r="BT98" s="56"/>
      <c r="BU98" s="158"/>
      <c r="BV98" s="56"/>
      <c r="BW98" s="56"/>
      <c r="BX98" s="56"/>
      <c r="BY98" s="56"/>
      <c r="BZ98" s="56"/>
      <c r="CA98" s="56"/>
      <c r="CB98" s="56"/>
      <c r="CC98" s="56"/>
      <c r="CD98" s="56"/>
      <c r="CE98" s="56"/>
      <c r="CF98" s="56"/>
      <c r="CG98" s="56"/>
      <c r="CH98" s="56"/>
      <c r="CI98" s="103">
        <f t="shared" si="30"/>
        <v>7.9300976576841181E-2</v>
      </c>
      <c r="CJ98" s="103">
        <f t="shared" si="31"/>
        <v>-1.1007214643933447</v>
      </c>
      <c r="CK98" s="57">
        <f t="shared" si="42"/>
        <v>0.25615750490470796</v>
      </c>
      <c r="CL98" s="160">
        <f t="shared" si="39"/>
        <v>0.96052011544526927</v>
      </c>
      <c r="CM98" s="160"/>
      <c r="CN98" s="160"/>
      <c r="CO98" s="55"/>
      <c r="CP98" s="55" t="s">
        <v>6355</v>
      </c>
      <c r="CQ98" s="149">
        <v>-1.2200667151287157</v>
      </c>
      <c r="CR98" s="349">
        <f t="shared" si="44"/>
        <v>1.3162708111258785</v>
      </c>
      <c r="CS98" s="61" t="s">
        <v>539</v>
      </c>
      <c r="CT98" s="61"/>
      <c r="CU98" s="111">
        <f t="shared" si="24"/>
        <v>146.29629629629628</v>
      </c>
      <c r="CV98" s="331">
        <f t="shared" si="43"/>
        <v>39.015210231892802</v>
      </c>
      <c r="CW98" s="326">
        <f t="shared" si="32"/>
        <v>1</v>
      </c>
      <c r="CX98" s="326" t="s">
        <v>539</v>
      </c>
      <c r="CY98" s="161" t="s">
        <v>6351</v>
      </c>
    </row>
    <row r="99" spans="1:103" ht="11.25" customHeight="1" x14ac:dyDescent="0.2">
      <c r="A99" s="72">
        <v>97</v>
      </c>
      <c r="B99" s="149">
        <v>345</v>
      </c>
      <c r="C99" s="54" t="s">
        <v>1288</v>
      </c>
      <c r="D99" s="54" t="s">
        <v>6485</v>
      </c>
      <c r="E99" s="59"/>
      <c r="F99" s="59" t="s">
        <v>1289</v>
      </c>
      <c r="G99" s="151">
        <v>330552</v>
      </c>
      <c r="H99" s="55" t="s">
        <v>1290</v>
      </c>
      <c r="I99" s="55" t="s">
        <v>8050</v>
      </c>
      <c r="J99" s="55" t="s">
        <v>1291</v>
      </c>
      <c r="K99" s="55" t="s">
        <v>1292</v>
      </c>
      <c r="L99" s="55" t="s">
        <v>5997</v>
      </c>
      <c r="M99" s="55" t="s">
        <v>6082</v>
      </c>
      <c r="N99" s="60" t="s">
        <v>6082</v>
      </c>
      <c r="O99" s="55" t="s">
        <v>6083</v>
      </c>
      <c r="P99" s="67"/>
      <c r="Q99" s="67"/>
      <c r="R99" s="67"/>
      <c r="S99" s="67"/>
      <c r="T99" s="56">
        <v>249.09</v>
      </c>
      <c r="U99" s="103">
        <v>0.30109598940142118</v>
      </c>
      <c r="V99" s="103">
        <v>0.17772692601067888</v>
      </c>
      <c r="W99" s="103">
        <v>0.14454397707459266</v>
      </c>
      <c r="X99" s="103">
        <v>0.30109598940142118</v>
      </c>
      <c r="Y99" s="162">
        <v>7</v>
      </c>
      <c r="Z99" s="56">
        <v>2.91</v>
      </c>
      <c r="AA99" s="56">
        <v>3.2</v>
      </c>
      <c r="AB99" s="56">
        <v>3.06</v>
      </c>
      <c r="AC99" s="56">
        <v>0.93340000000000001</v>
      </c>
      <c r="AD99" s="56">
        <v>3.08</v>
      </c>
      <c r="AE99" s="56">
        <v>3.2</v>
      </c>
      <c r="AF99" s="56">
        <f t="shared" si="36"/>
        <v>3.2</v>
      </c>
      <c r="AG99" s="57">
        <v>2.21</v>
      </c>
      <c r="AH99" s="103">
        <v>1.15E-8</v>
      </c>
      <c r="AI99" s="103">
        <v>6.2499999999999997E-9</v>
      </c>
      <c r="AJ99" s="62">
        <f t="shared" si="40"/>
        <v>-6.3278684859590397</v>
      </c>
      <c r="AK99" s="62">
        <f t="shared" si="41"/>
        <v>-6.5926863089685765</v>
      </c>
      <c r="AL99" s="62">
        <f t="shared" si="37"/>
        <v>-6.5926863089685765</v>
      </c>
      <c r="AM99" s="62">
        <v>-13.093050000000002</v>
      </c>
      <c r="AN99" s="154">
        <v>-6.84</v>
      </c>
      <c r="AO99" s="410">
        <v>12.13</v>
      </c>
      <c r="AP99" s="410">
        <v>-1.05</v>
      </c>
      <c r="AQ99" s="154" t="s">
        <v>6311</v>
      </c>
      <c r="AR99" s="154" t="s">
        <v>6311</v>
      </c>
      <c r="AS99" s="149" t="s">
        <v>6</v>
      </c>
      <c r="AT99" s="58" t="s">
        <v>266</v>
      </c>
      <c r="AU99" s="56">
        <v>8</v>
      </c>
      <c r="AV99" s="56">
        <v>144</v>
      </c>
      <c r="AW99" s="56">
        <v>120</v>
      </c>
      <c r="AX99" s="56">
        <v>26</v>
      </c>
      <c r="AY99" s="56" t="s">
        <v>267</v>
      </c>
      <c r="AZ99" s="56" t="s">
        <v>268</v>
      </c>
      <c r="BA99" s="56">
        <v>3</v>
      </c>
      <c r="BB99" s="55" t="s">
        <v>888</v>
      </c>
      <c r="BC99" s="55" t="s">
        <v>270</v>
      </c>
      <c r="BD99" s="55" t="s">
        <v>8374</v>
      </c>
      <c r="BE99" s="56" t="s">
        <v>889</v>
      </c>
      <c r="BF99" s="56" t="s">
        <v>272</v>
      </c>
      <c r="BG99" s="56" t="s">
        <v>272</v>
      </c>
      <c r="BH99" s="56" t="s">
        <v>890</v>
      </c>
      <c r="BI99" s="103">
        <v>9.9999999999999995E-7</v>
      </c>
      <c r="BJ99" s="103">
        <v>0.08</v>
      </c>
      <c r="BK99" s="56"/>
      <c r="BL99" s="103">
        <f t="shared" si="38"/>
        <v>0.12512065234073388</v>
      </c>
      <c r="BM99" s="56" t="s">
        <v>891</v>
      </c>
      <c r="BN99" s="162"/>
      <c r="BO99" s="162"/>
      <c r="BP99" s="162"/>
      <c r="BQ99" s="162"/>
      <c r="BR99" s="162"/>
      <c r="BS99" s="56">
        <v>7.7549999999999994E-2</v>
      </c>
      <c r="BT99" s="162"/>
      <c r="BU99" s="158"/>
      <c r="BV99" s="162"/>
      <c r="BW99" s="162"/>
      <c r="BX99" s="162"/>
      <c r="BY99" s="162"/>
      <c r="BZ99" s="162"/>
      <c r="CA99" s="162"/>
      <c r="CB99" s="162"/>
      <c r="CC99" s="56"/>
      <c r="CD99" s="56"/>
      <c r="CE99" s="56"/>
      <c r="CF99" s="56"/>
      <c r="CG99" s="56"/>
      <c r="CH99" s="56"/>
      <c r="CI99" s="103">
        <f t="shared" si="30"/>
        <v>7.7549999999999994E-2</v>
      </c>
      <c r="CJ99" s="103">
        <f t="shared" si="31"/>
        <v>-1.1104181978503762</v>
      </c>
      <c r="CK99" s="57">
        <f t="shared" si="42"/>
        <v>1.5640081542591735</v>
      </c>
      <c r="CL99" s="160">
        <f t="shared" si="39"/>
        <v>1.6134191146451824</v>
      </c>
      <c r="CM99" s="160">
        <v>-1.6650037940289821</v>
      </c>
      <c r="CN99" s="160">
        <f>BJ99/(10^CM99)</f>
        <v>3.6990804864959244</v>
      </c>
      <c r="CO99" s="55" t="s">
        <v>892</v>
      </c>
      <c r="CP99" s="55" t="s">
        <v>893</v>
      </c>
      <c r="CQ99" s="149">
        <v>-1.5047510308479886</v>
      </c>
      <c r="CR99" s="349">
        <f t="shared" si="44"/>
        <v>2.479321422901577</v>
      </c>
      <c r="CS99" s="61" t="s">
        <v>539</v>
      </c>
      <c r="CT99" s="61"/>
      <c r="CU99" s="111">
        <f t="shared" si="24"/>
        <v>3.8826046344477265</v>
      </c>
      <c r="CV99" s="331">
        <f t="shared" si="43"/>
        <v>3.7636998675177646</v>
      </c>
      <c r="CW99" s="326">
        <f t="shared" si="32"/>
        <v>1</v>
      </c>
      <c r="CX99" s="326" t="s">
        <v>539</v>
      </c>
      <c r="CY99" s="161" t="s">
        <v>5921</v>
      </c>
    </row>
    <row r="100" spans="1:103" ht="11.25" customHeight="1" x14ac:dyDescent="0.2">
      <c r="A100" s="72">
        <v>98</v>
      </c>
      <c r="B100" s="149">
        <v>244</v>
      </c>
      <c r="C100" s="54" t="s">
        <v>1072</v>
      </c>
      <c r="D100" s="54" t="s">
        <v>6526</v>
      </c>
      <c r="E100" s="59"/>
      <c r="F100" s="59" t="s">
        <v>1073</v>
      </c>
      <c r="G100" s="151">
        <v>57966957</v>
      </c>
      <c r="H100" s="55" t="s">
        <v>1074</v>
      </c>
      <c r="I100" s="55" t="s">
        <v>8136</v>
      </c>
      <c r="J100" s="55" t="s">
        <v>1075</v>
      </c>
      <c r="K100" s="55" t="s">
        <v>1076</v>
      </c>
      <c r="L100" s="55" t="s">
        <v>5248</v>
      </c>
      <c r="M100" s="55" t="s">
        <v>6082</v>
      </c>
      <c r="N100" s="60" t="s">
        <v>6082</v>
      </c>
      <c r="O100" s="55" t="s">
        <v>6083</v>
      </c>
      <c r="P100" s="67"/>
      <c r="Q100" s="67"/>
      <c r="R100" s="67"/>
      <c r="S100" s="67"/>
      <c r="T100" s="56">
        <v>198.18</v>
      </c>
      <c r="U100" s="103">
        <v>4.4908668886870524</v>
      </c>
      <c r="V100" s="103">
        <v>70.693309112927636</v>
      </c>
      <c r="W100" s="103">
        <v>7.2443596007498936</v>
      </c>
      <c r="X100" s="103">
        <v>4.4908668886870524</v>
      </c>
      <c r="Y100" s="162">
        <v>3.4</v>
      </c>
      <c r="Z100" s="56">
        <v>4.24</v>
      </c>
      <c r="AA100" s="56">
        <v>0.59</v>
      </c>
      <c r="AB100" s="56">
        <v>0.76</v>
      </c>
      <c r="AC100" s="56">
        <v>0.78900000000000003</v>
      </c>
      <c r="AD100" s="56">
        <v>0.73</v>
      </c>
      <c r="AE100" s="56">
        <v>0.67</v>
      </c>
      <c r="AF100" s="56">
        <f t="shared" si="36"/>
        <v>0.59</v>
      </c>
      <c r="AG100" s="57">
        <v>0.11</v>
      </c>
      <c r="AH100" s="103">
        <v>3.3099999999999999E-10</v>
      </c>
      <c r="AI100" s="103">
        <v>3.3099999999999999E-10</v>
      </c>
      <c r="AJ100" s="62">
        <f t="shared" si="40"/>
        <v>-7.8687383325369327</v>
      </c>
      <c r="AK100" s="62">
        <f t="shared" si="41"/>
        <v>-7.8687383325369327</v>
      </c>
      <c r="AL100" s="62">
        <f t="shared" si="37"/>
        <v>-7.8687383325369327</v>
      </c>
      <c r="AM100" s="62">
        <v>-14.604329999999999</v>
      </c>
      <c r="AN100" s="154">
        <v>-7.58</v>
      </c>
      <c r="AO100" s="410">
        <v>5.59</v>
      </c>
      <c r="AP100" s="410">
        <v>-1.54</v>
      </c>
      <c r="AQ100" s="154" t="s">
        <v>6311</v>
      </c>
      <c r="AR100" s="154" t="s">
        <v>6311</v>
      </c>
      <c r="AS100" s="149" t="s">
        <v>6</v>
      </c>
      <c r="AT100" s="58" t="s">
        <v>266</v>
      </c>
      <c r="AU100" s="56">
        <v>8</v>
      </c>
      <c r="AV100" s="56">
        <v>144</v>
      </c>
      <c r="AW100" s="56">
        <v>120</v>
      </c>
      <c r="AX100" s="56">
        <v>26</v>
      </c>
      <c r="AY100" s="56" t="s">
        <v>267</v>
      </c>
      <c r="AZ100" s="56" t="s">
        <v>268</v>
      </c>
      <c r="BA100" s="56">
        <v>3</v>
      </c>
      <c r="BB100" s="55" t="s">
        <v>888</v>
      </c>
      <c r="BC100" s="55" t="s">
        <v>270</v>
      </c>
      <c r="BD100" s="55" t="s">
        <v>8374</v>
      </c>
      <c r="BE100" s="56" t="s">
        <v>889</v>
      </c>
      <c r="BF100" s="56" t="s">
        <v>272</v>
      </c>
      <c r="BG100" s="56" t="s">
        <v>272</v>
      </c>
      <c r="BH100" s="56" t="s">
        <v>890</v>
      </c>
      <c r="BI100" s="103">
        <v>9.9999999999999995E-7</v>
      </c>
      <c r="BJ100" s="103">
        <v>0.08</v>
      </c>
      <c r="BK100" s="56"/>
      <c r="BL100" s="103">
        <f t="shared" si="38"/>
        <v>7.9956909612284976E-3</v>
      </c>
      <c r="BM100" s="56" t="s">
        <v>891</v>
      </c>
      <c r="BN100" s="162"/>
      <c r="BO100" s="162"/>
      <c r="BP100" s="162"/>
      <c r="BQ100" s="162"/>
      <c r="BR100" s="162"/>
      <c r="BS100" s="172">
        <v>7.7540000000000012E-2</v>
      </c>
      <c r="BT100" s="162"/>
      <c r="BU100" s="173"/>
      <c r="BV100" s="162"/>
      <c r="BW100" s="162"/>
      <c r="BX100" s="162"/>
      <c r="BY100" s="162"/>
      <c r="BZ100" s="162"/>
      <c r="CA100" s="162"/>
      <c r="CB100" s="162"/>
      <c r="CC100" s="172"/>
      <c r="CD100" s="56"/>
      <c r="CE100" s="56"/>
      <c r="CF100" s="56"/>
      <c r="CG100" s="56"/>
      <c r="CH100" s="172"/>
      <c r="CI100" s="103">
        <f t="shared" si="30"/>
        <v>7.7540000000000012E-2</v>
      </c>
      <c r="CJ100" s="103">
        <f t="shared" si="31"/>
        <v>-1.1104742033288086</v>
      </c>
      <c r="CK100" s="57">
        <f t="shared" si="42"/>
        <v>9.9946137015356221E-2</v>
      </c>
      <c r="CL100" s="160">
        <f t="shared" si="39"/>
        <v>0.10311698428202859</v>
      </c>
      <c r="CM100" s="160">
        <v>-0.83466182617610174</v>
      </c>
      <c r="CN100" s="160">
        <f>BJ100/(10^CM100)</f>
        <v>0.54670344827586226</v>
      </c>
      <c r="CO100" s="55" t="s">
        <v>892</v>
      </c>
      <c r="CP100" s="55" t="s">
        <v>893</v>
      </c>
      <c r="CQ100" s="149">
        <v>-0.67319590762019632</v>
      </c>
      <c r="CR100" s="349">
        <f t="shared" si="44"/>
        <v>0.36536059368012108</v>
      </c>
      <c r="CS100" s="61" t="s">
        <v>539</v>
      </c>
      <c r="CT100" s="61"/>
      <c r="CU100" s="111">
        <f t="shared" si="24"/>
        <v>57.916777001380602</v>
      </c>
      <c r="CV100" s="331">
        <f t="shared" si="43"/>
        <v>56.135836108588151</v>
      </c>
      <c r="CW100" s="326">
        <f t="shared" si="32"/>
        <v>1</v>
      </c>
      <c r="CX100" s="326" t="s">
        <v>539</v>
      </c>
      <c r="CY100" s="161" t="s">
        <v>5921</v>
      </c>
    </row>
    <row r="101" spans="1:103" ht="11.25" customHeight="1" x14ac:dyDescent="0.2">
      <c r="A101" s="72">
        <v>99</v>
      </c>
      <c r="B101" s="149">
        <v>612</v>
      </c>
      <c r="C101" s="54" t="s">
        <v>1822</v>
      </c>
      <c r="D101" s="54" t="s">
        <v>6542</v>
      </c>
      <c r="E101" s="59"/>
      <c r="F101" s="59" t="s">
        <v>1823</v>
      </c>
      <c r="G101" s="151">
        <v>95501</v>
      </c>
      <c r="H101" s="55" t="s">
        <v>1824</v>
      </c>
      <c r="I101" s="55" t="s">
        <v>8009</v>
      </c>
      <c r="J101" s="55" t="s">
        <v>1825</v>
      </c>
      <c r="K101" s="55" t="s">
        <v>426</v>
      </c>
      <c r="L101" s="55" t="s">
        <v>5527</v>
      </c>
      <c r="M101" s="55" t="s">
        <v>6082</v>
      </c>
      <c r="N101" s="60" t="s">
        <v>6082</v>
      </c>
      <c r="O101" s="55" t="s">
        <v>6083</v>
      </c>
      <c r="P101" s="67" t="s">
        <v>6183</v>
      </c>
      <c r="Q101" s="67" t="s">
        <v>6176</v>
      </c>
      <c r="R101" s="67" t="s">
        <v>6185</v>
      </c>
      <c r="S101" s="67" t="s">
        <v>6182</v>
      </c>
      <c r="T101" s="56">
        <v>147</v>
      </c>
      <c r="U101" s="103">
        <v>0.54421768707482998</v>
      </c>
      <c r="V101" s="103">
        <v>0.62605442176870751</v>
      </c>
      <c r="W101" s="103">
        <v>0.14791083881682063</v>
      </c>
      <c r="X101" s="103">
        <v>0.54421768707482998</v>
      </c>
      <c r="Y101" s="162">
        <v>7</v>
      </c>
      <c r="Z101" s="56">
        <v>3.28</v>
      </c>
      <c r="AA101" s="56">
        <v>3.43</v>
      </c>
      <c r="AB101" s="56">
        <v>3.25</v>
      </c>
      <c r="AC101" s="56">
        <v>0.92110000000000003</v>
      </c>
      <c r="AD101" s="56">
        <v>3.26</v>
      </c>
      <c r="AE101" s="56">
        <v>3.28</v>
      </c>
      <c r="AF101" s="56">
        <f t="shared" si="36"/>
        <v>3.43</v>
      </c>
      <c r="AG101" s="57">
        <v>3.16</v>
      </c>
      <c r="AH101" s="103">
        <v>2.96E-3</v>
      </c>
      <c r="AI101" s="103">
        <v>1.92E-3</v>
      </c>
      <c r="AJ101" s="62">
        <f t="shared" si="40"/>
        <v>-0.91727461525371323</v>
      </c>
      <c r="AK101" s="62">
        <f t="shared" si="41"/>
        <v>-1.1052650976091021</v>
      </c>
      <c r="AL101" s="62">
        <f t="shared" si="37"/>
        <v>-1.1052650976091021</v>
      </c>
      <c r="AM101" s="62">
        <v>-3.1465000000000001</v>
      </c>
      <c r="AN101" s="154">
        <v>-0.98599999999999999</v>
      </c>
      <c r="AO101" s="410"/>
      <c r="AP101" s="410"/>
      <c r="AQ101" s="154" t="s">
        <v>6311</v>
      </c>
      <c r="AR101" s="154" t="s">
        <v>6311</v>
      </c>
      <c r="AS101" s="149" t="s">
        <v>6</v>
      </c>
      <c r="AT101" s="58" t="s">
        <v>266</v>
      </c>
      <c r="AU101" s="56">
        <v>2</v>
      </c>
      <c r="AV101" s="56" t="s">
        <v>646</v>
      </c>
      <c r="AW101" s="56" t="s">
        <v>646</v>
      </c>
      <c r="AX101" s="56">
        <v>26</v>
      </c>
      <c r="AY101" s="56" t="s">
        <v>647</v>
      </c>
      <c r="AZ101" s="56" t="s">
        <v>536</v>
      </c>
      <c r="BA101" s="56">
        <v>10</v>
      </c>
      <c r="BB101" s="55" t="s">
        <v>1764</v>
      </c>
      <c r="BC101" s="55" t="s">
        <v>538</v>
      </c>
      <c r="BD101" s="55"/>
      <c r="BE101" s="56" t="s">
        <v>1809</v>
      </c>
      <c r="BF101" s="56" t="s">
        <v>539</v>
      </c>
      <c r="BG101" s="56" t="s">
        <v>272</v>
      </c>
      <c r="BH101" s="56" t="s">
        <v>272</v>
      </c>
      <c r="BI101" s="157">
        <v>8.5034013605442185E-3</v>
      </c>
      <c r="BJ101" s="157">
        <v>0.27210884353741499</v>
      </c>
      <c r="BK101" s="56" t="s">
        <v>1810</v>
      </c>
      <c r="BL101" s="103">
        <f t="shared" si="38"/>
        <v>5.8214611030121002E-2</v>
      </c>
      <c r="BM101" s="56" t="s">
        <v>541</v>
      </c>
      <c r="BN101" s="56"/>
      <c r="BO101" s="56">
        <v>9.4217687074829928E-2</v>
      </c>
      <c r="BP101" s="56"/>
      <c r="BQ101" s="56"/>
      <c r="BR101" s="56">
        <v>7.0999999999999994E-2</v>
      </c>
      <c r="BS101" s="56"/>
      <c r="BT101" s="56"/>
      <c r="BU101" s="158"/>
      <c r="BV101" s="56"/>
      <c r="BW101" s="56"/>
      <c r="BX101" s="56"/>
      <c r="BY101" s="56"/>
      <c r="BZ101" s="56"/>
      <c r="CA101" s="56"/>
      <c r="CB101" s="56"/>
      <c r="CC101" s="56"/>
      <c r="CD101" s="56"/>
      <c r="CE101" s="56"/>
      <c r="CF101" s="56"/>
      <c r="CG101" s="56"/>
      <c r="CH101" s="56"/>
      <c r="CI101" s="103">
        <f t="shared" si="30"/>
        <v>7.0999999999999994E-2</v>
      </c>
      <c r="CJ101" s="103">
        <f t="shared" si="31"/>
        <v>-1.1487416512809248</v>
      </c>
      <c r="CK101" s="57">
        <f t="shared" si="42"/>
        <v>0.21393869553569467</v>
      </c>
      <c r="CL101" s="160">
        <f t="shared" si="39"/>
        <v>0.81992409901578889</v>
      </c>
      <c r="CM101" s="160"/>
      <c r="CN101" s="160"/>
      <c r="CO101" s="55"/>
      <c r="CP101" s="55" t="s">
        <v>1811</v>
      </c>
      <c r="CQ101" s="149">
        <v>-1.3363530039015805</v>
      </c>
      <c r="CR101" s="349">
        <f t="shared" si="44"/>
        <v>1.5403214121248228</v>
      </c>
      <c r="CS101" s="61" t="s">
        <v>539</v>
      </c>
      <c r="CT101" s="61" t="s">
        <v>6310</v>
      </c>
      <c r="CU101" s="111">
        <f t="shared" si="24"/>
        <v>7.6650378461243669</v>
      </c>
      <c r="CV101" s="331">
        <f t="shared" si="43"/>
        <v>2</v>
      </c>
      <c r="CW101" s="326">
        <f t="shared" si="32"/>
        <v>1</v>
      </c>
      <c r="CX101" s="326" t="s">
        <v>539</v>
      </c>
      <c r="CY101" s="161" t="s">
        <v>6351</v>
      </c>
    </row>
    <row r="102" spans="1:103" ht="11.25" customHeight="1" x14ac:dyDescent="0.2">
      <c r="A102" s="72">
        <v>100</v>
      </c>
      <c r="B102" s="149">
        <v>611</v>
      </c>
      <c r="C102" s="54" t="s">
        <v>1816</v>
      </c>
      <c r="D102" s="54" t="s">
        <v>6540</v>
      </c>
      <c r="E102" s="59"/>
      <c r="F102" s="59" t="s">
        <v>1817</v>
      </c>
      <c r="G102" s="151">
        <v>91203</v>
      </c>
      <c r="H102" s="55" t="s">
        <v>1818</v>
      </c>
      <c r="I102" s="55" t="s">
        <v>1818</v>
      </c>
      <c r="J102" s="55" t="s">
        <v>1819</v>
      </c>
      <c r="K102" s="55" t="s">
        <v>426</v>
      </c>
      <c r="L102" s="55" t="s">
        <v>6161</v>
      </c>
      <c r="M102" s="55" t="s">
        <v>866</v>
      </c>
      <c r="N102" s="60" t="s">
        <v>6082</v>
      </c>
      <c r="O102" s="55" t="s">
        <v>6086</v>
      </c>
      <c r="P102" s="67" t="s">
        <v>6183</v>
      </c>
      <c r="Q102" s="67" t="s">
        <v>6173</v>
      </c>
      <c r="R102" s="67" t="s">
        <v>6185</v>
      </c>
      <c r="S102" s="67" t="s">
        <v>6176</v>
      </c>
      <c r="T102" s="56">
        <v>128.16999999999999</v>
      </c>
      <c r="U102" s="103">
        <v>0.2418662713583522</v>
      </c>
      <c r="V102" s="103">
        <v>1.1086837793555435</v>
      </c>
      <c r="W102" s="103">
        <v>0.93325430079699057</v>
      </c>
      <c r="X102" s="103">
        <v>0.2418662713583522</v>
      </c>
      <c r="Y102" s="162">
        <v>7</v>
      </c>
      <c r="Z102" s="56">
        <v>3.17</v>
      </c>
      <c r="AA102" s="56">
        <v>3.3</v>
      </c>
      <c r="AB102" s="56">
        <v>3.34</v>
      </c>
      <c r="AC102" s="56">
        <v>0.91310000000000002</v>
      </c>
      <c r="AD102" s="56">
        <v>3.37</v>
      </c>
      <c r="AE102" s="56">
        <v>3.45</v>
      </c>
      <c r="AF102" s="56">
        <f t="shared" si="36"/>
        <v>3.3</v>
      </c>
      <c r="AG102" s="57">
        <v>2.95</v>
      </c>
      <c r="AH102" s="103">
        <v>5.2599999999999999E-4</v>
      </c>
      <c r="AI102" s="103">
        <v>4.4000000000000002E-4</v>
      </c>
      <c r="AJ102" s="62">
        <f t="shared" si="40"/>
        <v>-1.6675805821589127</v>
      </c>
      <c r="AK102" s="62">
        <f t="shared" si="41"/>
        <v>-1.7451136498264643</v>
      </c>
      <c r="AL102" s="62">
        <f t="shared" si="37"/>
        <v>-1.7451136498264643</v>
      </c>
      <c r="AM102" s="62">
        <v>-4.5244700000000009</v>
      </c>
      <c r="AN102" s="154">
        <v>-1.86</v>
      </c>
      <c r="AO102" s="410"/>
      <c r="AP102" s="410"/>
      <c r="AQ102" s="154" t="s">
        <v>6311</v>
      </c>
      <c r="AR102" s="154" t="s">
        <v>6311</v>
      </c>
      <c r="AS102" s="149" t="s">
        <v>6</v>
      </c>
      <c r="AT102" s="58" t="s">
        <v>266</v>
      </c>
      <c r="AU102" s="56">
        <v>2</v>
      </c>
      <c r="AV102" s="56" t="s">
        <v>646</v>
      </c>
      <c r="AW102" s="56" t="s">
        <v>646</v>
      </c>
      <c r="AX102" s="56">
        <v>26</v>
      </c>
      <c r="AY102" s="56" t="s">
        <v>647</v>
      </c>
      <c r="AZ102" s="56" t="s">
        <v>536</v>
      </c>
      <c r="BA102" s="56">
        <v>10</v>
      </c>
      <c r="BB102" s="55" t="s">
        <v>1764</v>
      </c>
      <c r="BC102" s="55" t="s">
        <v>538</v>
      </c>
      <c r="BD102" s="55"/>
      <c r="BE102" s="56" t="s">
        <v>1809</v>
      </c>
      <c r="BF102" s="56" t="s">
        <v>539</v>
      </c>
      <c r="BG102" s="56" t="s">
        <v>272</v>
      </c>
      <c r="BH102" s="56" t="s">
        <v>1820</v>
      </c>
      <c r="BI102" s="157">
        <v>1.4629008348287433E-2</v>
      </c>
      <c r="BJ102" s="157">
        <v>0.23406413357259892</v>
      </c>
      <c r="BK102" s="56" t="s">
        <v>1821</v>
      </c>
      <c r="BL102" s="103">
        <f t="shared" si="38"/>
        <v>7.3084116293547483E-2</v>
      </c>
      <c r="BM102" s="56" t="s">
        <v>541</v>
      </c>
      <c r="BN102" s="56"/>
      <c r="BO102" s="56">
        <v>6.8970898026059144E-2</v>
      </c>
      <c r="BP102" s="56"/>
      <c r="BQ102" s="56"/>
      <c r="BR102" s="56">
        <v>6.7000000000000004E-2</v>
      </c>
      <c r="BS102" s="56"/>
      <c r="BT102" s="56"/>
      <c r="BU102" s="158"/>
      <c r="BV102" s="56"/>
      <c r="BW102" s="56"/>
      <c r="BX102" s="56"/>
      <c r="BY102" s="56"/>
      <c r="BZ102" s="56"/>
      <c r="CA102" s="56"/>
      <c r="CB102" s="56"/>
      <c r="CC102" s="56"/>
      <c r="CD102" s="56"/>
      <c r="CE102" s="56"/>
      <c r="CF102" s="56"/>
      <c r="CG102" s="56"/>
      <c r="CH102" s="56"/>
      <c r="CI102" s="103">
        <f t="shared" si="30"/>
        <v>6.7000000000000004E-2</v>
      </c>
      <c r="CJ102" s="103">
        <f t="shared" si="31"/>
        <v>-1.1739251972991736</v>
      </c>
      <c r="CK102" s="57">
        <f t="shared" si="42"/>
        <v>0.31223970617813268</v>
      </c>
      <c r="CL102" s="160">
        <f t="shared" si="39"/>
        <v>1.090807705873843</v>
      </c>
      <c r="CM102" s="160"/>
      <c r="CN102" s="160"/>
      <c r="CO102" s="55"/>
      <c r="CP102" s="55" t="s">
        <v>1811</v>
      </c>
      <c r="CQ102" s="149">
        <v>-1.2973565759344645</v>
      </c>
      <c r="CR102" s="349">
        <f t="shared" si="44"/>
        <v>1.3287135951129672</v>
      </c>
      <c r="CS102" s="61" t="s">
        <v>539</v>
      </c>
      <c r="CT102" s="61" t="s">
        <v>6310</v>
      </c>
      <c r="CU102" s="111">
        <f t="shared" si="24"/>
        <v>3.6099443486321223</v>
      </c>
      <c r="CV102" s="331">
        <f t="shared" si="43"/>
        <v>1.0333333333333332</v>
      </c>
      <c r="CW102" s="326">
        <f t="shared" si="32"/>
        <v>1</v>
      </c>
      <c r="CX102" s="326" t="s">
        <v>539</v>
      </c>
      <c r="CY102" s="161" t="s">
        <v>6351</v>
      </c>
    </row>
    <row r="103" spans="1:103" ht="11.25" customHeight="1" x14ac:dyDescent="0.2">
      <c r="A103" s="72">
        <v>101</v>
      </c>
      <c r="B103" s="149">
        <v>1085</v>
      </c>
      <c r="C103" s="54" t="s">
        <v>1077</v>
      </c>
      <c r="D103" s="54" t="s">
        <v>6581</v>
      </c>
      <c r="E103" s="59"/>
      <c r="F103" s="59" t="s">
        <v>1078</v>
      </c>
      <c r="G103" s="151">
        <v>121552612</v>
      </c>
      <c r="H103" s="55" t="s">
        <v>1079</v>
      </c>
      <c r="I103" s="55" t="s">
        <v>1079</v>
      </c>
      <c r="J103" s="55" t="s">
        <v>1080</v>
      </c>
      <c r="K103" s="55" t="s">
        <v>426</v>
      </c>
      <c r="L103" s="55" t="s">
        <v>5969</v>
      </c>
      <c r="M103" s="55" t="s">
        <v>6082</v>
      </c>
      <c r="N103" s="60" t="s">
        <v>6082</v>
      </c>
      <c r="O103" s="55" t="s">
        <v>6083</v>
      </c>
      <c r="P103" s="67"/>
      <c r="Q103" s="67"/>
      <c r="R103" s="67"/>
      <c r="S103" s="67"/>
      <c r="T103" s="56">
        <v>225.29</v>
      </c>
      <c r="U103" s="103">
        <v>5.770340450086555E-2</v>
      </c>
      <c r="V103" s="103">
        <v>5.4951395978516587E-2</v>
      </c>
      <c r="W103" s="103">
        <v>5.0118723362727241E-2</v>
      </c>
      <c r="X103" s="103">
        <v>5.770340450086555E-2</v>
      </c>
      <c r="Y103" s="162">
        <v>7.09</v>
      </c>
      <c r="Z103" s="56">
        <v>3.99</v>
      </c>
      <c r="AA103" s="56">
        <v>4</v>
      </c>
      <c r="AB103" s="56">
        <v>3.5</v>
      </c>
      <c r="AC103" s="56">
        <v>0.81540000000000001</v>
      </c>
      <c r="AD103" s="56">
        <v>3.62</v>
      </c>
      <c r="AE103" s="56">
        <v>4</v>
      </c>
      <c r="AF103" s="56">
        <f t="shared" si="36"/>
        <v>4</v>
      </c>
      <c r="AG103" s="57">
        <v>3.52</v>
      </c>
      <c r="AH103" s="103">
        <v>1.9099999999999999E-6</v>
      </c>
      <c r="AI103" s="103">
        <v>8.3900000000000004E-8</v>
      </c>
      <c r="AJ103" s="62">
        <f t="shared" si="40"/>
        <v>-4.1075329590649243</v>
      </c>
      <c r="AK103" s="62">
        <f t="shared" si="41"/>
        <v>-5.4648043654839515</v>
      </c>
      <c r="AL103" s="62">
        <f t="shared" si="37"/>
        <v>-5.4648043654839515</v>
      </c>
      <c r="AM103" s="62">
        <v>-10.070709999999998</v>
      </c>
      <c r="AN103" s="154">
        <v>-5.85</v>
      </c>
      <c r="AO103" s="410"/>
      <c r="AP103" s="410">
        <v>3.8</v>
      </c>
      <c r="AQ103" s="56" t="s">
        <v>6311</v>
      </c>
      <c r="AR103" s="56" t="s">
        <v>6311</v>
      </c>
      <c r="AS103" s="155"/>
      <c r="AT103" s="58" t="s">
        <v>266</v>
      </c>
      <c r="AU103" s="56">
        <v>6</v>
      </c>
      <c r="AV103" s="56">
        <v>120</v>
      </c>
      <c r="AW103" s="56">
        <v>114</v>
      </c>
      <c r="AX103" s="56">
        <v>28</v>
      </c>
      <c r="AY103" s="56" t="s">
        <v>8728</v>
      </c>
      <c r="AZ103" s="56" t="s">
        <v>1563</v>
      </c>
      <c r="BA103" s="56">
        <v>32</v>
      </c>
      <c r="BB103" s="55" t="s">
        <v>2485</v>
      </c>
      <c r="BC103" s="55" t="s">
        <v>8726</v>
      </c>
      <c r="BD103" s="55" t="s">
        <v>8374</v>
      </c>
      <c r="BE103" s="56" t="s">
        <v>2449</v>
      </c>
      <c r="BF103" s="56" t="s">
        <v>272</v>
      </c>
      <c r="BG103" s="56" t="s">
        <v>272</v>
      </c>
      <c r="BH103" s="56" t="s">
        <v>2486</v>
      </c>
      <c r="BI103" s="103">
        <v>6.3999999999999997E-6</v>
      </c>
      <c r="BJ103" s="103">
        <v>6.4000000000000001E-2</v>
      </c>
      <c r="BK103" s="56"/>
      <c r="BL103" s="103">
        <f t="shared" si="38"/>
        <v>1.3408524812597552E-2</v>
      </c>
      <c r="BM103" s="56" t="s">
        <v>2487</v>
      </c>
      <c r="BN103" s="56"/>
      <c r="BO103" s="56"/>
      <c r="BP103" s="56"/>
      <c r="BQ103" s="56"/>
      <c r="BR103" s="55">
        <v>6.3299999999999995E-2</v>
      </c>
      <c r="BS103" s="56"/>
      <c r="BT103" s="56"/>
      <c r="BU103" s="158"/>
      <c r="BV103" s="56"/>
      <c r="BW103" s="56"/>
      <c r="BX103" s="56"/>
      <c r="BY103" s="56"/>
      <c r="BZ103" s="56"/>
      <c r="CA103" s="56"/>
      <c r="CB103" s="56"/>
      <c r="CC103" s="56"/>
      <c r="CD103" s="56"/>
      <c r="CE103" s="56"/>
      <c r="CF103" s="56"/>
      <c r="CG103" s="56"/>
      <c r="CH103" s="56"/>
      <c r="CI103" s="103">
        <f t="shared" si="30"/>
        <v>6.3299999999999995E-2</v>
      </c>
      <c r="CJ103" s="103">
        <f t="shared" si="31"/>
        <v>-1.198596289982645</v>
      </c>
      <c r="CK103" s="57">
        <f t="shared" si="42"/>
        <v>0.20950820019683675</v>
      </c>
      <c r="CL103" s="160">
        <f t="shared" si="39"/>
        <v>0.21182503653392659</v>
      </c>
      <c r="CM103" s="160">
        <v>-1.9707248724458855</v>
      </c>
      <c r="CN103" s="160">
        <f>BJ103/(10^CM103)</f>
        <v>5.9828049792531148</v>
      </c>
      <c r="CO103" s="55" t="s">
        <v>2488</v>
      </c>
      <c r="CP103" s="55" t="s">
        <v>2489</v>
      </c>
      <c r="CQ103" s="149">
        <v>-1.9442007435209607</v>
      </c>
      <c r="CR103" s="349">
        <f t="shared" si="44"/>
        <v>5.5667850666544849</v>
      </c>
      <c r="CS103" s="61" t="s">
        <v>539</v>
      </c>
      <c r="CT103" s="61"/>
      <c r="CU103" s="111">
        <f t="shared" si="24"/>
        <v>0.91158616905000878</v>
      </c>
      <c r="CV103" s="331">
        <f t="shared" si="43"/>
        <v>0.90161569532602426</v>
      </c>
      <c r="CW103" s="326">
        <f t="shared" si="32"/>
        <v>0</v>
      </c>
      <c r="CX103" s="326"/>
      <c r="CY103" s="161" t="s">
        <v>5921</v>
      </c>
    </row>
    <row r="104" spans="1:103" ht="11.25" customHeight="1" x14ac:dyDescent="0.2">
      <c r="A104" s="72">
        <v>102</v>
      </c>
      <c r="B104" s="149">
        <v>2021</v>
      </c>
      <c r="C104" s="54" t="s">
        <v>977</v>
      </c>
      <c r="D104" s="54" t="s">
        <v>6447</v>
      </c>
      <c r="E104" s="59"/>
      <c r="F104" s="167" t="s">
        <v>978</v>
      </c>
      <c r="G104" s="151">
        <v>80057</v>
      </c>
      <c r="H104" s="67" t="s">
        <v>979</v>
      </c>
      <c r="I104" s="67" t="s">
        <v>979</v>
      </c>
      <c r="J104" s="67" t="s">
        <v>980</v>
      </c>
      <c r="K104" s="67" t="s">
        <v>376</v>
      </c>
      <c r="L104" s="67" t="s">
        <v>5527</v>
      </c>
      <c r="M104" s="67" t="s">
        <v>602</v>
      </c>
      <c r="N104" s="60" t="s">
        <v>6386</v>
      </c>
      <c r="O104" s="67" t="s">
        <v>981</v>
      </c>
      <c r="P104" s="67"/>
      <c r="Q104" s="67"/>
      <c r="R104" s="67"/>
      <c r="S104" s="67"/>
      <c r="T104" s="61">
        <v>228.29</v>
      </c>
      <c r="U104" s="111">
        <v>0.52564720311884006</v>
      </c>
      <c r="V104" s="111">
        <v>0.75649393315519731</v>
      </c>
      <c r="W104" s="111">
        <v>0.38904514499428011</v>
      </c>
      <c r="X104" s="111">
        <v>0.52564720311884006</v>
      </c>
      <c r="Y104" s="411">
        <v>6.76</v>
      </c>
      <c r="Z104" s="61">
        <v>3.64</v>
      </c>
      <c r="AA104" s="61">
        <v>3.32</v>
      </c>
      <c r="AB104" s="61">
        <v>3.73</v>
      </c>
      <c r="AC104" s="61">
        <v>0.77510000000000001</v>
      </c>
      <c r="AD104" s="61">
        <v>3.63</v>
      </c>
      <c r="AE104" s="61">
        <v>3.43</v>
      </c>
      <c r="AF104" s="61">
        <f t="shared" si="36"/>
        <v>3.32</v>
      </c>
      <c r="AG104" s="62">
        <v>3.7</v>
      </c>
      <c r="AH104" s="111">
        <v>9.1600000000000006E-12</v>
      </c>
      <c r="AI104" s="111"/>
      <c r="AJ104" s="62">
        <f t="shared" si="40"/>
        <v>-9.4266708526448006</v>
      </c>
      <c r="AK104" s="62"/>
      <c r="AL104" s="62">
        <f t="shared" si="37"/>
        <v>-9.4266708526448006</v>
      </c>
      <c r="AM104" s="62">
        <v>-13.641390000000001</v>
      </c>
      <c r="AN104" s="163">
        <v>-10.218999999999999</v>
      </c>
      <c r="AO104" s="410">
        <v>10.29</v>
      </c>
      <c r="AP104" s="410"/>
      <c r="AQ104" s="163" t="s">
        <v>6311</v>
      </c>
      <c r="AR104" s="163" t="s">
        <v>6311</v>
      </c>
      <c r="AS104" s="164" t="s">
        <v>5466</v>
      </c>
      <c r="AT104" s="63" t="s">
        <v>266</v>
      </c>
      <c r="AU104" s="61">
        <v>2</v>
      </c>
      <c r="AV104" s="61">
        <v>96</v>
      </c>
      <c r="AW104" s="61">
        <v>94</v>
      </c>
      <c r="AX104" s="61">
        <v>26</v>
      </c>
      <c r="AY104" s="321" t="s">
        <v>267</v>
      </c>
      <c r="AZ104" s="61" t="s">
        <v>1584</v>
      </c>
      <c r="BA104" s="61">
        <v>15</v>
      </c>
      <c r="BB104" s="67" t="s">
        <v>6297</v>
      </c>
      <c r="BC104" s="67" t="s">
        <v>6227</v>
      </c>
      <c r="BD104" s="67"/>
      <c r="BE104" s="61" t="s">
        <v>2449</v>
      </c>
      <c r="BF104" s="61" t="s">
        <v>6203</v>
      </c>
      <c r="BG104" s="61" t="s">
        <v>6203</v>
      </c>
      <c r="BH104" s="61" t="s">
        <v>5626</v>
      </c>
      <c r="BI104" s="111">
        <v>7.4999999999999997E-3</v>
      </c>
      <c r="BJ104" s="111">
        <v>0.12</v>
      </c>
      <c r="BK104" s="165"/>
      <c r="BL104" s="111">
        <f t="shared" si="38"/>
        <v>2.7651328392176541E-2</v>
      </c>
      <c r="BM104" s="61">
        <v>0</v>
      </c>
      <c r="BN104" s="61"/>
      <c r="BO104" s="61"/>
      <c r="BP104" s="61"/>
      <c r="BQ104" s="61">
        <v>6.0999999999999999E-2</v>
      </c>
      <c r="BR104" s="61"/>
      <c r="BS104" s="61"/>
      <c r="BT104" s="61"/>
      <c r="BU104" s="158"/>
      <c r="BV104" s="61"/>
      <c r="BW104" s="61"/>
      <c r="BX104" s="61"/>
      <c r="BY104" s="61"/>
      <c r="BZ104" s="61"/>
      <c r="CA104" s="61"/>
      <c r="CB104" s="61"/>
      <c r="CC104" s="61"/>
      <c r="CD104" s="61"/>
      <c r="CE104" s="61"/>
      <c r="CF104" s="61"/>
      <c r="CG104" s="61"/>
      <c r="CH104" s="61"/>
      <c r="CI104" s="111">
        <f t="shared" si="30"/>
        <v>6.0999999999999999E-2</v>
      </c>
      <c r="CJ104" s="103">
        <f t="shared" si="31"/>
        <v>-1.2146701649892331</v>
      </c>
      <c r="CK104" s="57">
        <f t="shared" si="42"/>
        <v>0.23042773660147117</v>
      </c>
      <c r="CL104" s="160">
        <f t="shared" si="39"/>
        <v>0.45330046544551705</v>
      </c>
      <c r="CM104" s="160">
        <v>-1.6910590432915908</v>
      </c>
      <c r="CN104" s="160">
        <f>BJ104/(10^CM104)</f>
        <v>5.8916954483615536</v>
      </c>
      <c r="CO104" s="67"/>
      <c r="CP104" s="67" t="s">
        <v>6194</v>
      </c>
      <c r="CQ104" s="149">
        <v>-1.5944922590022019</v>
      </c>
      <c r="CR104" s="349">
        <f t="shared" si="44"/>
        <v>2.3978504535340939</v>
      </c>
      <c r="CS104" s="61" t="s">
        <v>539</v>
      </c>
      <c r="CT104" s="61"/>
      <c r="CU104" s="111">
        <f t="shared" si="24"/>
        <v>8.6171672642432799</v>
      </c>
      <c r="CV104" s="331">
        <f t="shared" si="43"/>
        <v>4.3803933593236675</v>
      </c>
      <c r="CW104" s="326">
        <f t="shared" si="32"/>
        <v>1</v>
      </c>
      <c r="CX104" s="326"/>
      <c r="CY104" s="161" t="s">
        <v>6351</v>
      </c>
    </row>
    <row r="105" spans="1:103" ht="11.25" customHeight="1" x14ac:dyDescent="0.2">
      <c r="A105" s="72">
        <v>103</v>
      </c>
      <c r="B105" s="149">
        <v>1138</v>
      </c>
      <c r="C105" s="54" t="s">
        <v>1199</v>
      </c>
      <c r="D105" s="54" t="s">
        <v>6535</v>
      </c>
      <c r="E105" s="59"/>
      <c r="F105" s="59" t="s">
        <v>1200</v>
      </c>
      <c r="G105" s="151">
        <v>79622596</v>
      </c>
      <c r="H105" s="55" t="s">
        <v>1201</v>
      </c>
      <c r="I105" s="55" t="s">
        <v>7885</v>
      </c>
      <c r="J105" s="55" t="s">
        <v>1202</v>
      </c>
      <c r="K105" s="55" t="s">
        <v>1203</v>
      </c>
      <c r="L105" s="55" t="s">
        <v>5248</v>
      </c>
      <c r="M105" s="55" t="s">
        <v>5983</v>
      </c>
      <c r="N105" s="60" t="s">
        <v>6381</v>
      </c>
      <c r="O105" s="55" t="s">
        <v>5984</v>
      </c>
      <c r="P105" s="67"/>
      <c r="Q105" s="67"/>
      <c r="R105" s="67"/>
      <c r="S105" s="67"/>
      <c r="T105" s="56">
        <v>465.09</v>
      </c>
      <c r="U105" s="103">
        <v>3.7842138080801569E-3</v>
      </c>
      <c r="V105" s="103">
        <v>9.6733965469049008E-4</v>
      </c>
      <c r="W105" s="103">
        <v>2.7542287033381599E-5</v>
      </c>
      <c r="X105" s="103">
        <v>3.7842138080801569E-3</v>
      </c>
      <c r="Y105" s="162">
        <v>7</v>
      </c>
      <c r="Z105" s="56">
        <v>4.0199999999999996</v>
      </c>
      <c r="AA105" s="56">
        <v>4.01</v>
      </c>
      <c r="AB105" s="56">
        <v>4.04</v>
      </c>
      <c r="AC105" s="56">
        <v>0.73080000000000001</v>
      </c>
      <c r="AD105" s="56">
        <v>5.16</v>
      </c>
      <c r="AE105" s="56">
        <v>8.19</v>
      </c>
      <c r="AF105" s="56">
        <f t="shared" si="36"/>
        <v>4.01</v>
      </c>
      <c r="AG105" s="57">
        <v>4.62</v>
      </c>
      <c r="AH105" s="103">
        <v>5.2300000000000003E-9</v>
      </c>
      <c r="AI105" s="103"/>
      <c r="AJ105" s="62">
        <f t="shared" si="40"/>
        <v>-6.6700646374453774</v>
      </c>
      <c r="AK105" s="62"/>
      <c r="AL105" s="62">
        <f t="shared" si="37"/>
        <v>-6.6700646374453774</v>
      </c>
      <c r="AM105" s="62">
        <v>-10.72462</v>
      </c>
      <c r="AN105" s="154">
        <v>-2.95</v>
      </c>
      <c r="AO105" s="410"/>
      <c r="AP105" s="410">
        <v>-1.43</v>
      </c>
      <c r="AQ105" s="56" t="s">
        <v>6311</v>
      </c>
      <c r="AR105" s="56" t="s">
        <v>6311</v>
      </c>
      <c r="AS105" s="155"/>
      <c r="AT105" s="58" t="s">
        <v>266</v>
      </c>
      <c r="AU105" s="56">
        <v>6</v>
      </c>
      <c r="AV105" s="56">
        <v>120</v>
      </c>
      <c r="AW105" s="56">
        <v>114</v>
      </c>
      <c r="AX105" s="56">
        <v>28</v>
      </c>
      <c r="AY105" s="56" t="s">
        <v>8728</v>
      </c>
      <c r="AZ105" s="56" t="s">
        <v>1563</v>
      </c>
      <c r="BA105" s="56">
        <v>32</v>
      </c>
      <c r="BB105" s="55" t="s">
        <v>2485</v>
      </c>
      <c r="BC105" s="55" t="s">
        <v>8726</v>
      </c>
      <c r="BD105" s="55" t="s">
        <v>8374</v>
      </c>
      <c r="BE105" s="56" t="s">
        <v>2449</v>
      </c>
      <c r="BF105" s="56" t="s">
        <v>272</v>
      </c>
      <c r="BG105" s="56" t="s">
        <v>272</v>
      </c>
      <c r="BH105" s="56" t="s">
        <v>2486</v>
      </c>
      <c r="BI105" s="103">
        <v>6.3999999999999997E-6</v>
      </c>
      <c r="BJ105" s="103">
        <v>6.4000000000000001E-2</v>
      </c>
      <c r="BK105" s="56"/>
      <c r="BL105" s="103">
        <f t="shared" si="38"/>
        <v>1.2601957191637207E-2</v>
      </c>
      <c r="BM105" s="56" t="s">
        <v>2487</v>
      </c>
      <c r="BN105" s="56"/>
      <c r="BO105" s="56"/>
      <c r="BP105" s="56"/>
      <c r="BQ105" s="56"/>
      <c r="BR105" s="55">
        <v>5.7799999999999997E-2</v>
      </c>
      <c r="BS105" s="56"/>
      <c r="BT105" s="56"/>
      <c r="BU105" s="158"/>
      <c r="BV105" s="56"/>
      <c r="BW105" s="56"/>
      <c r="BX105" s="56"/>
      <c r="BY105" s="56"/>
      <c r="BZ105" s="56"/>
      <c r="CA105" s="56"/>
      <c r="CB105" s="56"/>
      <c r="CC105" s="56"/>
      <c r="CD105" s="56"/>
      <c r="CE105" s="56"/>
      <c r="CF105" s="56"/>
      <c r="CG105" s="56"/>
      <c r="CH105" s="56"/>
      <c r="CI105" s="103">
        <f t="shared" si="30"/>
        <v>5.7799999999999997E-2</v>
      </c>
      <c r="CJ105" s="103">
        <f t="shared" si="31"/>
        <v>-1.238072161579471</v>
      </c>
      <c r="CK105" s="57">
        <f t="shared" si="42"/>
        <v>0.19690558111933135</v>
      </c>
      <c r="CL105" s="160">
        <f t="shared" si="39"/>
        <v>0.2180269410317856</v>
      </c>
      <c r="CM105" s="160">
        <v>-3.945726386540406</v>
      </c>
      <c r="CN105" s="160">
        <f>BJ105/(10^CM105)</f>
        <v>564.81518026565459</v>
      </c>
      <c r="CO105" s="55" t="s">
        <v>2488</v>
      </c>
      <c r="CP105" s="55" t="s">
        <v>2489</v>
      </c>
      <c r="CQ105" s="149">
        <v>-3.8943684013735997</v>
      </c>
      <c r="CR105" s="349">
        <f t="shared" si="44"/>
        <v>453.20661458033265</v>
      </c>
      <c r="CS105" s="61" t="s">
        <v>539</v>
      </c>
      <c r="CT105" s="61"/>
      <c r="CU105" s="111">
        <f t="shared" si="24"/>
        <v>6.5470827129414488E-2</v>
      </c>
      <c r="CV105" s="331">
        <f t="shared" si="43"/>
        <v>5.9128340751252451E-2</v>
      </c>
      <c r="CW105" s="326">
        <f t="shared" si="32"/>
        <v>0</v>
      </c>
      <c r="CX105" s="326"/>
      <c r="CY105" s="161" t="s">
        <v>5921</v>
      </c>
    </row>
    <row r="106" spans="1:103" ht="11.25" customHeight="1" x14ac:dyDescent="0.2">
      <c r="A106" s="72">
        <v>104</v>
      </c>
      <c r="B106" s="149">
        <v>1018</v>
      </c>
      <c r="C106" s="54" t="s">
        <v>920</v>
      </c>
      <c r="D106" s="54" t="s">
        <v>6517</v>
      </c>
      <c r="E106" s="59"/>
      <c r="F106" s="59" t="s">
        <v>921</v>
      </c>
      <c r="G106" s="151">
        <v>34256821</v>
      </c>
      <c r="H106" s="55" t="s">
        <v>922</v>
      </c>
      <c r="I106" s="55" t="s">
        <v>8286</v>
      </c>
      <c r="J106" s="55" t="s">
        <v>923</v>
      </c>
      <c r="K106" s="55" t="s">
        <v>924</v>
      </c>
      <c r="L106" s="55" t="s">
        <v>6114</v>
      </c>
      <c r="M106" s="55" t="s">
        <v>6082</v>
      </c>
      <c r="N106" s="60" t="s">
        <v>6082</v>
      </c>
      <c r="O106" s="55" t="s">
        <v>6083</v>
      </c>
      <c r="P106" s="67"/>
      <c r="Q106" s="67"/>
      <c r="R106" s="67"/>
      <c r="S106" s="67"/>
      <c r="T106" s="56">
        <v>269.77</v>
      </c>
      <c r="U106" s="103">
        <v>0.82663009230084894</v>
      </c>
      <c r="V106" s="103">
        <v>0.17555695592541795</v>
      </c>
      <c r="W106" s="103">
        <v>3.0199517204020134</v>
      </c>
      <c r="X106" s="103">
        <v>0.82663009230084894</v>
      </c>
      <c r="Y106" s="162">
        <v>7.01</v>
      </c>
      <c r="Z106" s="56">
        <v>3.37</v>
      </c>
      <c r="AA106" s="56">
        <v>3.03</v>
      </c>
      <c r="AB106" s="56">
        <v>3.01</v>
      </c>
      <c r="AC106" s="56">
        <v>0.8427</v>
      </c>
      <c r="AD106" s="56">
        <v>2.99</v>
      </c>
      <c r="AE106" s="56">
        <v>2.92</v>
      </c>
      <c r="AF106" s="56">
        <f t="shared" si="36"/>
        <v>3.03</v>
      </c>
      <c r="AG106" s="57">
        <v>3.33</v>
      </c>
      <c r="AH106" s="103">
        <v>2.2300000000000001E-8</v>
      </c>
      <c r="AI106" s="103"/>
      <c r="AJ106" s="62">
        <f t="shared" si="40"/>
        <v>-6.0402614632644909</v>
      </c>
      <c r="AK106" s="62"/>
      <c r="AL106" s="62">
        <f t="shared" si="37"/>
        <v>-6.0402614632644909</v>
      </c>
      <c r="AM106" s="62">
        <v>-10.631349999999999</v>
      </c>
      <c r="AN106" s="154">
        <v>-5.33</v>
      </c>
      <c r="AO106" s="410"/>
      <c r="AP106" s="410">
        <v>1.29</v>
      </c>
      <c r="AQ106" s="56" t="s">
        <v>6311</v>
      </c>
      <c r="AR106" s="56" t="s">
        <v>6311</v>
      </c>
      <c r="AS106" s="155"/>
      <c r="AT106" s="58" t="s">
        <v>266</v>
      </c>
      <c r="AU106" s="56">
        <v>6</v>
      </c>
      <c r="AV106" s="56">
        <v>120</v>
      </c>
      <c r="AW106" s="56">
        <v>114</v>
      </c>
      <c r="AX106" s="56">
        <v>28</v>
      </c>
      <c r="AY106" s="56" t="s">
        <v>8728</v>
      </c>
      <c r="AZ106" s="56" t="s">
        <v>1563</v>
      </c>
      <c r="BA106" s="56">
        <v>32</v>
      </c>
      <c r="BB106" s="55" t="s">
        <v>2485</v>
      </c>
      <c r="BC106" s="55" t="s">
        <v>8726</v>
      </c>
      <c r="BD106" s="55" t="s">
        <v>8374</v>
      </c>
      <c r="BE106" s="56" t="s">
        <v>2449</v>
      </c>
      <c r="BF106" s="56" t="s">
        <v>272</v>
      </c>
      <c r="BG106" s="56" t="s">
        <v>272</v>
      </c>
      <c r="BH106" s="56" t="s">
        <v>2486</v>
      </c>
      <c r="BI106" s="103">
        <v>6.3999999999999997E-6</v>
      </c>
      <c r="BJ106" s="103">
        <v>6.4000000000000001E-2</v>
      </c>
      <c r="BK106" s="56"/>
      <c r="BL106" s="103">
        <f t="shared" si="38"/>
        <v>4.832846484700818E-2</v>
      </c>
      <c r="BM106" s="56" t="s">
        <v>2487</v>
      </c>
      <c r="BN106" s="56"/>
      <c r="BO106" s="56"/>
      <c r="BP106" s="56"/>
      <c r="BQ106" s="56"/>
      <c r="BR106" s="55">
        <v>5.7700000000000001E-2</v>
      </c>
      <c r="BS106" s="56"/>
      <c r="BT106" s="56"/>
      <c r="BU106" s="158"/>
      <c r="BV106" s="56"/>
      <c r="BW106" s="56"/>
      <c r="BX106" s="56"/>
      <c r="BY106" s="56"/>
      <c r="BZ106" s="56"/>
      <c r="CA106" s="56"/>
      <c r="CB106" s="56"/>
      <c r="CC106" s="56"/>
      <c r="CD106" s="56"/>
      <c r="CE106" s="56"/>
      <c r="CF106" s="56"/>
      <c r="CG106" s="56"/>
      <c r="CH106" s="56"/>
      <c r="CI106" s="103">
        <f t="shared" si="30"/>
        <v>5.7700000000000001E-2</v>
      </c>
      <c r="CJ106" s="103">
        <f t="shared" si="31"/>
        <v>-1.2388241868442686</v>
      </c>
      <c r="CK106" s="57">
        <f t="shared" si="42"/>
        <v>0.75513226323450278</v>
      </c>
      <c r="CL106" s="160">
        <f t="shared" si="39"/>
        <v>0.83758171311972585</v>
      </c>
      <c r="CM106" s="160">
        <v>-2.6702556075834356</v>
      </c>
      <c r="CN106" s="160">
        <f>BJ106/(10^CM106)</f>
        <v>29.952672747078825</v>
      </c>
      <c r="CO106" s="55" t="s">
        <v>2488</v>
      </c>
      <c r="CP106" s="55" t="s">
        <v>2489</v>
      </c>
      <c r="CQ106" s="149">
        <v>-2.5109381583325283</v>
      </c>
      <c r="CR106" s="349">
        <f t="shared" si="44"/>
        <v>18.711731261241948</v>
      </c>
      <c r="CS106" s="61" t="s">
        <v>539</v>
      </c>
      <c r="CT106" s="61"/>
      <c r="CU106" s="111">
        <f t="shared" si="24"/>
        <v>14.326344753914192</v>
      </c>
      <c r="CV106" s="331">
        <f t="shared" si="43"/>
        <v>12.916095192200764</v>
      </c>
      <c r="CW106" s="326">
        <f t="shared" si="32"/>
        <v>1</v>
      </c>
      <c r="CX106" s="326"/>
      <c r="CY106" s="161" t="s">
        <v>5921</v>
      </c>
    </row>
    <row r="107" spans="1:103" ht="11.25" customHeight="1" x14ac:dyDescent="0.2">
      <c r="A107" s="72">
        <v>105</v>
      </c>
      <c r="B107" s="149">
        <v>1143</v>
      </c>
      <c r="C107" s="54" t="s">
        <v>1227</v>
      </c>
      <c r="D107" s="54" t="s">
        <v>6592</v>
      </c>
      <c r="E107" s="59"/>
      <c r="F107" s="59" t="s">
        <v>1228</v>
      </c>
      <c r="G107" s="151">
        <v>361377299</v>
      </c>
      <c r="H107" s="55" t="s">
        <v>1229</v>
      </c>
      <c r="I107" s="55" t="s">
        <v>7904</v>
      </c>
      <c r="J107" s="55" t="s">
        <v>1230</v>
      </c>
      <c r="K107" s="55" t="s">
        <v>300</v>
      </c>
      <c r="L107" s="55" t="s">
        <v>5989</v>
      </c>
      <c r="M107" s="55" t="s">
        <v>6082</v>
      </c>
      <c r="N107" s="60" t="s">
        <v>6082</v>
      </c>
      <c r="O107" s="55" t="s">
        <v>6083</v>
      </c>
      <c r="P107" s="67"/>
      <c r="Q107" s="67"/>
      <c r="R107" s="67"/>
      <c r="S107" s="67"/>
      <c r="T107" s="56">
        <v>458.83</v>
      </c>
      <c r="U107" s="103"/>
      <c r="V107" s="103">
        <v>5.54453719242421E-2</v>
      </c>
      <c r="W107" s="103">
        <v>5.7543993733715545E-4</v>
      </c>
      <c r="X107" s="103">
        <f>IF(W107=0,V107,W107)</f>
        <v>5.7543993733715545E-4</v>
      </c>
      <c r="Y107" s="162">
        <v>7</v>
      </c>
      <c r="Z107" s="56">
        <v>2</v>
      </c>
      <c r="AA107" s="56"/>
      <c r="AB107" s="56">
        <v>3.78</v>
      </c>
      <c r="AC107" s="56">
        <v>0.67889999999999995</v>
      </c>
      <c r="AD107" s="56">
        <v>4.28</v>
      </c>
      <c r="AE107" s="56">
        <v>5.34</v>
      </c>
      <c r="AF107" s="56">
        <f t="shared" si="36"/>
        <v>4.28</v>
      </c>
      <c r="AG107" s="57">
        <v>5.04</v>
      </c>
      <c r="AH107" s="103">
        <v>2.8100000000000001E-13</v>
      </c>
      <c r="AI107" s="103"/>
      <c r="AJ107" s="62">
        <f t="shared" si="40"/>
        <v>-10.939860006407573</v>
      </c>
      <c r="AK107" s="62"/>
      <c r="AL107" s="62">
        <f t="shared" si="37"/>
        <v>-10.939860006407573</v>
      </c>
      <c r="AM107" s="62">
        <v>-19.734660000000002</v>
      </c>
      <c r="AN107" s="154">
        <v>-0.622</v>
      </c>
      <c r="AO107" s="410"/>
      <c r="AP107" s="410">
        <v>-2.1</v>
      </c>
      <c r="AQ107" s="56" t="s">
        <v>6311</v>
      </c>
      <c r="AR107" s="56" t="s">
        <v>6311</v>
      </c>
      <c r="AS107" s="155"/>
      <c r="AT107" s="58" t="s">
        <v>266</v>
      </c>
      <c r="AU107" s="56">
        <v>6</v>
      </c>
      <c r="AV107" s="56">
        <v>120</v>
      </c>
      <c r="AW107" s="56">
        <v>114</v>
      </c>
      <c r="AX107" s="56">
        <v>28</v>
      </c>
      <c r="AY107" s="56" t="s">
        <v>8728</v>
      </c>
      <c r="AZ107" s="56" t="s">
        <v>1563</v>
      </c>
      <c r="BA107" s="56">
        <v>32</v>
      </c>
      <c r="BB107" s="55" t="s">
        <v>2485</v>
      </c>
      <c r="BC107" s="55" t="s">
        <v>8726</v>
      </c>
      <c r="BD107" s="55" t="s">
        <v>8374</v>
      </c>
      <c r="BE107" s="56" t="s">
        <v>2449</v>
      </c>
      <c r="BF107" s="56" t="s">
        <v>272</v>
      </c>
      <c r="BG107" s="56" t="s">
        <v>272</v>
      </c>
      <c r="BH107" s="56" t="s">
        <v>2486</v>
      </c>
      <c r="BI107" s="103">
        <v>6.3999999999999997E-6</v>
      </c>
      <c r="BJ107" s="103">
        <v>6.4000000000000001E-2</v>
      </c>
      <c r="BK107" s="56"/>
      <c r="BL107" s="103">
        <f t="shared" si="38"/>
        <v>0.82148568512832731</v>
      </c>
      <c r="BM107" s="56" t="s">
        <v>2046</v>
      </c>
      <c r="BN107" s="56"/>
      <c r="BO107" s="56"/>
      <c r="BP107" s="56"/>
      <c r="BQ107" s="56"/>
      <c r="BR107" s="55">
        <v>5.7200000000000001E-2</v>
      </c>
      <c r="BS107" s="56"/>
      <c r="BT107" s="56"/>
      <c r="BU107" s="158"/>
      <c r="BV107" s="56"/>
      <c r="BW107" s="56"/>
      <c r="BX107" s="56"/>
      <c r="BY107" s="56"/>
      <c r="BZ107" s="56"/>
      <c r="CA107" s="56"/>
      <c r="CB107" s="56"/>
      <c r="CC107" s="56"/>
      <c r="CD107" s="56"/>
      <c r="CE107" s="56"/>
      <c r="CF107" s="56"/>
      <c r="CG107" s="56"/>
      <c r="CH107" s="56"/>
      <c r="CI107" s="103">
        <f t="shared" si="30"/>
        <v>5.7200000000000001E-2</v>
      </c>
      <c r="CJ107" s="103">
        <f t="shared" si="31"/>
        <v>-1.2426039712069759</v>
      </c>
      <c r="CK107" s="57">
        <f t="shared" si="42"/>
        <v>12.835713830130114</v>
      </c>
      <c r="CL107" s="160">
        <f t="shared" si="39"/>
        <v>14.361637851893834</v>
      </c>
      <c r="CM107" s="160">
        <v>-3.0231625489801535</v>
      </c>
      <c r="CN107" s="160">
        <f>BJ107/(10^CM107)</f>
        <v>67.506022988505833</v>
      </c>
      <c r="CO107" s="55" t="s">
        <v>2488</v>
      </c>
      <c r="CP107" s="55" t="s">
        <v>2489</v>
      </c>
      <c r="CQ107" s="149">
        <v>-2.8490213103243494</v>
      </c>
      <c r="CR107" s="349">
        <f t="shared" si="44"/>
        <v>40.403346600356443</v>
      </c>
      <c r="CS107" s="61" t="s">
        <v>539</v>
      </c>
      <c r="CT107" s="61"/>
      <c r="CU107" s="111">
        <f t="shared" si="24"/>
        <v>1.0060138764635585E-2</v>
      </c>
      <c r="CV107" s="331">
        <f t="shared" si="43"/>
        <v>8.9912490208930544E-3</v>
      </c>
      <c r="CW107" s="326">
        <f t="shared" si="32"/>
        <v>0</v>
      </c>
      <c r="CX107" s="326"/>
      <c r="CY107" s="161" t="s">
        <v>5921</v>
      </c>
    </row>
    <row r="108" spans="1:103" ht="11.25" customHeight="1" x14ac:dyDescent="0.2">
      <c r="A108" s="72">
        <v>106</v>
      </c>
      <c r="B108" s="149">
        <v>631</v>
      </c>
      <c r="C108" s="54" t="s">
        <v>1751</v>
      </c>
      <c r="D108" s="54" t="s">
        <v>6543</v>
      </c>
      <c r="E108" s="59"/>
      <c r="F108" s="59" t="s">
        <v>1752</v>
      </c>
      <c r="G108" s="151">
        <v>100027</v>
      </c>
      <c r="H108" s="55" t="s">
        <v>1753</v>
      </c>
      <c r="I108" s="55" t="s">
        <v>1753</v>
      </c>
      <c r="J108" s="55" t="s">
        <v>1754</v>
      </c>
      <c r="K108" s="55" t="s">
        <v>349</v>
      </c>
      <c r="L108" s="55"/>
      <c r="M108" s="55" t="s">
        <v>1694</v>
      </c>
      <c r="N108" s="60" t="s">
        <v>6381</v>
      </c>
      <c r="O108" s="55" t="s">
        <v>1755</v>
      </c>
      <c r="P108" s="67" t="s">
        <v>6184</v>
      </c>
      <c r="Q108" s="67" t="s">
        <v>6182</v>
      </c>
      <c r="R108" s="67" t="s">
        <v>6185</v>
      </c>
      <c r="S108" s="67" t="s">
        <v>6176</v>
      </c>
      <c r="T108" s="56">
        <v>139.11000000000001</v>
      </c>
      <c r="U108" s="103">
        <v>83.387247501976844</v>
      </c>
      <c r="V108" s="103">
        <v>53.964488534253462</v>
      </c>
      <c r="W108" s="103">
        <v>26.915348039269141</v>
      </c>
      <c r="X108" s="103">
        <v>83.387247501976844</v>
      </c>
      <c r="Y108" s="162">
        <v>4.4000000000000004</v>
      </c>
      <c r="Z108" s="56">
        <v>1.91</v>
      </c>
      <c r="AA108" s="56">
        <v>1.91</v>
      </c>
      <c r="AB108" s="56">
        <v>1.74</v>
      </c>
      <c r="AC108" s="56">
        <v>0.92979999999999996</v>
      </c>
      <c r="AD108" s="56">
        <v>1.71</v>
      </c>
      <c r="AE108" s="56">
        <v>1.57</v>
      </c>
      <c r="AF108" s="56">
        <f t="shared" si="36"/>
        <v>1.91</v>
      </c>
      <c r="AG108" s="57">
        <v>1.08</v>
      </c>
      <c r="AH108" s="103">
        <v>2.21E-9</v>
      </c>
      <c r="AI108" s="103">
        <v>4.1500000000000001E-10</v>
      </c>
      <c r="AJ108" s="62">
        <f t="shared" si="40"/>
        <v>-7.0441740526275414</v>
      </c>
      <c r="AK108" s="62">
        <f>LOG10(AI108*1000/(0.08206*298.15))</f>
        <v>-7.770518229600559</v>
      </c>
      <c r="AL108" s="62">
        <f t="shared" si="37"/>
        <v>-7.770518229600559</v>
      </c>
      <c r="AM108" s="62">
        <v>-9.7192299999999996</v>
      </c>
      <c r="AN108" s="154">
        <v>-6.89</v>
      </c>
      <c r="AO108" s="410">
        <v>7.23</v>
      </c>
      <c r="AP108" s="410"/>
      <c r="AQ108" s="154" t="s">
        <v>6311</v>
      </c>
      <c r="AR108" s="154" t="s">
        <v>6311</v>
      </c>
      <c r="AS108" s="149" t="s">
        <v>6</v>
      </c>
      <c r="AT108" s="58" t="s">
        <v>266</v>
      </c>
      <c r="AU108" s="56">
        <v>2</v>
      </c>
      <c r="AV108" s="56" t="s">
        <v>646</v>
      </c>
      <c r="AW108" s="56" t="s">
        <v>646</v>
      </c>
      <c r="AX108" s="56">
        <v>26</v>
      </c>
      <c r="AY108" s="56" t="s">
        <v>647</v>
      </c>
      <c r="AZ108" s="56" t="s">
        <v>536</v>
      </c>
      <c r="BA108" s="56">
        <v>10</v>
      </c>
      <c r="BB108" s="55" t="s">
        <v>1764</v>
      </c>
      <c r="BC108" s="55" t="s">
        <v>538</v>
      </c>
      <c r="BD108" s="55"/>
      <c r="BE108" s="56" t="s">
        <v>1809</v>
      </c>
      <c r="BF108" s="56" t="s">
        <v>539</v>
      </c>
      <c r="BG108" s="56" t="s">
        <v>272</v>
      </c>
      <c r="BH108" s="56" t="s">
        <v>272</v>
      </c>
      <c r="BI108" s="103">
        <v>7.1000000000000004E-3</v>
      </c>
      <c r="BJ108" s="103">
        <v>0.23</v>
      </c>
      <c r="BK108" s="56"/>
      <c r="BL108" s="103">
        <f t="shared" si="38"/>
        <v>0.98953007876306398</v>
      </c>
      <c r="BM108" s="56" t="s">
        <v>541</v>
      </c>
      <c r="BN108" s="56"/>
      <c r="BO108" s="56">
        <v>8.5184386456760824E-2</v>
      </c>
      <c r="BP108" s="56"/>
      <c r="BQ108" s="56"/>
      <c r="BR108" s="56">
        <v>5.7000000000000002E-2</v>
      </c>
      <c r="BS108" s="56"/>
      <c r="BT108" s="56"/>
      <c r="BU108" s="158"/>
      <c r="BV108" s="56"/>
      <c r="BW108" s="56"/>
      <c r="BX108" s="56"/>
      <c r="BY108" s="56"/>
      <c r="BZ108" s="56"/>
      <c r="CA108" s="56"/>
      <c r="CB108" s="56"/>
      <c r="CC108" s="56"/>
      <c r="CD108" s="56"/>
      <c r="CE108" s="56"/>
      <c r="CF108" s="56"/>
      <c r="CG108" s="56"/>
      <c r="CH108" s="56"/>
      <c r="CI108" s="103">
        <f t="shared" si="30"/>
        <v>5.7000000000000002E-2</v>
      </c>
      <c r="CJ108" s="103">
        <f t="shared" si="31"/>
        <v>-1.2441251443275085</v>
      </c>
      <c r="CK108" s="57">
        <f t="shared" si="42"/>
        <v>4.302304690274191</v>
      </c>
      <c r="CL108" s="160">
        <f t="shared" si="39"/>
        <v>17.360176820404632</v>
      </c>
      <c r="CM108" s="160"/>
      <c r="CN108" s="160"/>
      <c r="CO108" s="55"/>
      <c r="CP108" s="55" t="s">
        <v>1811</v>
      </c>
      <c r="CQ108" s="149">
        <v>-0.91109746337974884</v>
      </c>
      <c r="CR108" s="349">
        <f t="shared" si="44"/>
        <v>0.46448566901351929</v>
      </c>
      <c r="CS108" s="61" t="s">
        <v>539</v>
      </c>
      <c r="CT108" s="61"/>
      <c r="CU108" s="111">
        <f t="shared" si="24"/>
        <v>1462.9341667013482</v>
      </c>
      <c r="CV108" s="331">
        <f t="shared" si="43"/>
        <v>362.55325000859494</v>
      </c>
      <c r="CW108" s="326">
        <f t="shared" si="32"/>
        <v>1</v>
      </c>
      <c r="CX108" s="326"/>
      <c r="CY108" s="161" t="s">
        <v>6351</v>
      </c>
    </row>
    <row r="109" spans="1:103" ht="11.25" customHeight="1" x14ac:dyDescent="0.2">
      <c r="A109" s="72">
        <v>107</v>
      </c>
      <c r="B109" s="149">
        <v>390</v>
      </c>
      <c r="C109" s="54" t="s">
        <v>1349</v>
      </c>
      <c r="D109" s="54" t="s">
        <v>6431</v>
      </c>
      <c r="E109" s="59"/>
      <c r="F109" s="59" t="s">
        <v>1350</v>
      </c>
      <c r="G109" s="151">
        <v>56382</v>
      </c>
      <c r="H109" s="55" t="s">
        <v>1351</v>
      </c>
      <c r="I109" s="55" t="s">
        <v>7980</v>
      </c>
      <c r="J109" s="55" t="s">
        <v>1352</v>
      </c>
      <c r="K109" s="55" t="s">
        <v>628</v>
      </c>
      <c r="L109" s="55" t="s">
        <v>617</v>
      </c>
      <c r="M109" s="55" t="s">
        <v>618</v>
      </c>
      <c r="N109" s="60" t="s">
        <v>6376</v>
      </c>
      <c r="O109" s="55" t="s">
        <v>1353</v>
      </c>
      <c r="P109" s="67" t="s">
        <v>6178</v>
      </c>
      <c r="Q109" s="67" t="s">
        <v>6173</v>
      </c>
      <c r="R109" s="67" t="s">
        <v>6177</v>
      </c>
      <c r="S109" s="67" t="s">
        <v>6176</v>
      </c>
      <c r="T109" s="56">
        <v>291.26</v>
      </c>
      <c r="U109" s="103">
        <v>3.7766943624253244E-2</v>
      </c>
      <c r="V109" s="103">
        <v>1.0348142553045388E-2</v>
      </c>
      <c r="W109" s="103">
        <v>2.3442288153199219E-2</v>
      </c>
      <c r="X109" s="103">
        <v>3.7766943624253244E-2</v>
      </c>
      <c r="Y109" s="162">
        <v>7</v>
      </c>
      <c r="Z109" s="56">
        <v>3.73</v>
      </c>
      <c r="AA109" s="56">
        <v>3.83</v>
      </c>
      <c r="AB109" s="56">
        <v>3.48</v>
      </c>
      <c r="AC109" s="56">
        <v>0.87450000000000006</v>
      </c>
      <c r="AD109" s="56">
        <v>3.57</v>
      </c>
      <c r="AE109" s="56">
        <v>3.84</v>
      </c>
      <c r="AF109" s="56">
        <f t="shared" si="36"/>
        <v>3.83</v>
      </c>
      <c r="AG109" s="57">
        <v>3</v>
      </c>
      <c r="AH109" s="103">
        <v>2.96E-7</v>
      </c>
      <c r="AI109" s="103">
        <v>2.9799999999999999E-7</v>
      </c>
      <c r="AJ109" s="62">
        <f t="shared" si="40"/>
        <v>-4.9172746152537128</v>
      </c>
      <c r="AK109" s="62">
        <f>LOG10(AI109*1000/(0.08206*298.15))</f>
        <v>-4.9143500622363963</v>
      </c>
      <c r="AL109" s="62">
        <f t="shared" si="37"/>
        <v>-4.9143500622363963</v>
      </c>
      <c r="AM109" s="62">
        <v>-11.31479</v>
      </c>
      <c r="AN109" s="154">
        <v>-4.29</v>
      </c>
      <c r="AO109" s="410"/>
      <c r="AP109" s="410"/>
      <c r="AQ109" s="154" t="s">
        <v>6314</v>
      </c>
      <c r="AR109" s="154" t="s">
        <v>6314</v>
      </c>
      <c r="AS109" s="149" t="s">
        <v>6</v>
      </c>
      <c r="AT109" s="58" t="s">
        <v>266</v>
      </c>
      <c r="AU109" s="56">
        <v>8</v>
      </c>
      <c r="AV109" s="56">
        <v>144</v>
      </c>
      <c r="AW109" s="56">
        <v>120</v>
      </c>
      <c r="AX109" s="56">
        <v>26</v>
      </c>
      <c r="AY109" s="56" t="s">
        <v>267</v>
      </c>
      <c r="AZ109" s="56" t="s">
        <v>268</v>
      </c>
      <c r="BA109" s="56">
        <v>2</v>
      </c>
      <c r="BB109" s="55" t="s">
        <v>888</v>
      </c>
      <c r="BC109" s="55" t="s">
        <v>270</v>
      </c>
      <c r="BD109" s="55" t="s">
        <v>8374</v>
      </c>
      <c r="BE109" s="56" t="s">
        <v>889</v>
      </c>
      <c r="BF109" s="56" t="s">
        <v>272</v>
      </c>
      <c r="BG109" s="56" t="s">
        <v>272</v>
      </c>
      <c r="BH109" s="56" t="s">
        <v>890</v>
      </c>
      <c r="BI109" s="103">
        <v>9.9999999999999995E-7</v>
      </c>
      <c r="BJ109" s="103">
        <v>0.08</v>
      </c>
      <c r="BK109" s="56"/>
      <c r="BL109" s="103">
        <f t="shared" si="38"/>
        <v>2.2955512860559066E-2</v>
      </c>
      <c r="BM109" s="56" t="s">
        <v>891</v>
      </c>
      <c r="BN109" s="162"/>
      <c r="BO109" s="162"/>
      <c r="BP109" s="162"/>
      <c r="BQ109" s="162"/>
      <c r="BR109" s="162"/>
      <c r="BS109" s="56">
        <v>5.645E-2</v>
      </c>
      <c r="BT109" s="162"/>
      <c r="BU109" s="158"/>
      <c r="BV109" s="162"/>
      <c r="BW109" s="162"/>
      <c r="BX109" s="162"/>
      <c r="BY109" s="162"/>
      <c r="BZ109" s="162"/>
      <c r="CA109" s="162"/>
      <c r="CB109" s="162"/>
      <c r="CC109" s="56"/>
      <c r="CD109" s="56"/>
      <c r="CE109" s="56"/>
      <c r="CF109" s="56"/>
      <c r="CG109" s="56"/>
      <c r="CH109" s="56"/>
      <c r="CI109" s="103">
        <f t="shared" si="30"/>
        <v>5.645E-2</v>
      </c>
      <c r="CJ109" s="103">
        <f t="shared" si="31"/>
        <v>-1.2483360537390134</v>
      </c>
      <c r="CK109" s="57">
        <f t="shared" si="42"/>
        <v>0.28694391075698833</v>
      </c>
      <c r="CL109" s="160">
        <f t="shared" si="39"/>
        <v>0.40665213216225093</v>
      </c>
      <c r="CM109" s="160">
        <v>-3.28330914160333</v>
      </c>
      <c r="CN109" s="160">
        <f>BJ109/(10^CM109)</f>
        <v>153.60279863670758</v>
      </c>
      <c r="CO109" s="55" t="s">
        <v>892</v>
      </c>
      <c r="CP109" s="55" t="s">
        <v>893</v>
      </c>
      <c r="CQ109" s="149">
        <v>-2.6971744164506752</v>
      </c>
      <c r="CR109" s="349">
        <f t="shared" si="44"/>
        <v>28.108544817242283</v>
      </c>
      <c r="CS109" s="61" t="s">
        <v>539</v>
      </c>
      <c r="CT109" s="61"/>
      <c r="CU109" s="111">
        <f t="shared" si="24"/>
        <v>0.66903354515949054</v>
      </c>
      <c r="CV109" s="331">
        <f t="shared" si="43"/>
        <v>0.47208679530316555</v>
      </c>
      <c r="CW109" s="326">
        <f t="shared" si="32"/>
        <v>0</v>
      </c>
      <c r="CX109" s="326" t="s">
        <v>539</v>
      </c>
      <c r="CY109" s="161" t="s">
        <v>5921</v>
      </c>
    </row>
    <row r="110" spans="1:103" ht="11.25" customHeight="1" x14ac:dyDescent="0.2">
      <c r="A110" s="72">
        <v>108</v>
      </c>
      <c r="B110" s="149">
        <v>1147</v>
      </c>
      <c r="C110" s="54" t="s">
        <v>1252</v>
      </c>
      <c r="D110" s="54" t="s">
        <v>6531</v>
      </c>
      <c r="E110" s="59"/>
      <c r="F110" s="59" t="s">
        <v>1253</v>
      </c>
      <c r="G110" s="151">
        <v>68157608</v>
      </c>
      <c r="H110" s="55" t="s">
        <v>1254</v>
      </c>
      <c r="I110" s="55" t="s">
        <v>8287</v>
      </c>
      <c r="J110" s="55" t="s">
        <v>1255</v>
      </c>
      <c r="K110" s="55" t="s">
        <v>1256</v>
      </c>
      <c r="L110" s="55" t="s">
        <v>5995</v>
      </c>
      <c r="M110" s="60" t="s">
        <v>2342</v>
      </c>
      <c r="N110" s="60" t="s">
        <v>2342</v>
      </c>
      <c r="O110" s="55"/>
      <c r="P110" s="67"/>
      <c r="Q110" s="67"/>
      <c r="R110" s="67"/>
      <c r="S110" s="67"/>
      <c r="T110" s="56">
        <v>247.68</v>
      </c>
      <c r="U110" s="103">
        <v>0.15746124031007752</v>
      </c>
      <c r="V110" s="103">
        <v>0.18200904392764858</v>
      </c>
      <c r="W110" s="103">
        <v>9.5499258602143519E-2</v>
      </c>
      <c r="X110" s="103">
        <v>0.15746124031007752</v>
      </c>
      <c r="Y110" s="162">
        <v>6.98</v>
      </c>
      <c r="Z110" s="56">
        <v>2.42</v>
      </c>
      <c r="AA110" s="56">
        <v>3.2</v>
      </c>
      <c r="AB110" s="56">
        <v>2.82</v>
      </c>
      <c r="AC110" s="56">
        <v>0.84489999999999998</v>
      </c>
      <c r="AD110" s="56">
        <v>2.98</v>
      </c>
      <c r="AE110" s="56">
        <v>3.46</v>
      </c>
      <c r="AF110" s="56">
        <f t="shared" si="36"/>
        <v>3.2</v>
      </c>
      <c r="AG110" s="57">
        <v>2.56</v>
      </c>
      <c r="AH110" s="103">
        <v>6.8000000000000001E-12</v>
      </c>
      <c r="AI110" s="103">
        <v>2.8799999999999998E-12</v>
      </c>
      <c r="AJ110" s="62">
        <f t="shared" si="40"/>
        <v>-9.5560574136064158</v>
      </c>
      <c r="AK110" s="62">
        <f>LOG10(AI110*1000/(0.08206*298.15))</f>
        <v>-9.9291738385534209</v>
      </c>
      <c r="AL110" s="62">
        <f t="shared" si="37"/>
        <v>-9.9291738385534209</v>
      </c>
      <c r="AM110" s="62">
        <v>-15.800219999999999</v>
      </c>
      <c r="AN110" s="154">
        <v>-10.7</v>
      </c>
      <c r="AO110" s="410">
        <v>12.55</v>
      </c>
      <c r="AP110" s="410">
        <v>1.54</v>
      </c>
      <c r="AQ110" s="56" t="s">
        <v>6311</v>
      </c>
      <c r="AR110" s="56" t="s">
        <v>6311</v>
      </c>
      <c r="AS110" s="155"/>
      <c r="AT110" s="58" t="s">
        <v>266</v>
      </c>
      <c r="AU110" s="56">
        <v>6</v>
      </c>
      <c r="AV110" s="56">
        <v>120</v>
      </c>
      <c r="AW110" s="56">
        <v>114</v>
      </c>
      <c r="AX110" s="56">
        <v>28</v>
      </c>
      <c r="AY110" s="56" t="s">
        <v>8728</v>
      </c>
      <c r="AZ110" s="56" t="s">
        <v>1563</v>
      </c>
      <c r="BA110" s="56">
        <v>32</v>
      </c>
      <c r="BB110" s="55" t="s">
        <v>2485</v>
      </c>
      <c r="BC110" s="55" t="s">
        <v>8726</v>
      </c>
      <c r="BD110" s="55" t="s">
        <v>8374</v>
      </c>
      <c r="BE110" s="56" t="s">
        <v>2449</v>
      </c>
      <c r="BF110" s="56" t="s">
        <v>272</v>
      </c>
      <c r="BG110" s="56" t="s">
        <v>272</v>
      </c>
      <c r="BH110" s="56" t="s">
        <v>2486</v>
      </c>
      <c r="BI110" s="103">
        <v>6.3999999999999997E-6</v>
      </c>
      <c r="BJ110" s="103">
        <v>6.4000000000000001E-2</v>
      </c>
      <c r="BK110" s="56"/>
      <c r="BL110" s="103">
        <f t="shared" si="38"/>
        <v>0.34466564762417012</v>
      </c>
      <c r="BM110" s="56" t="s">
        <v>2487</v>
      </c>
      <c r="BN110" s="56"/>
      <c r="BO110" s="56"/>
      <c r="BP110" s="56"/>
      <c r="BQ110" s="56"/>
      <c r="BR110" s="55">
        <v>5.2600000000000001E-2</v>
      </c>
      <c r="BS110" s="56"/>
      <c r="BT110" s="56"/>
      <c r="BU110" s="158"/>
      <c r="BV110" s="56"/>
      <c r="BW110" s="56"/>
      <c r="BX110" s="56"/>
      <c r="BY110" s="56"/>
      <c r="BZ110" s="56"/>
      <c r="CA110" s="56"/>
      <c r="CB110" s="56"/>
      <c r="CC110" s="56"/>
      <c r="CD110" s="56"/>
      <c r="CE110" s="56"/>
      <c r="CF110" s="56"/>
      <c r="CG110" s="56"/>
      <c r="CH110" s="56"/>
      <c r="CI110" s="103">
        <f t="shared" si="30"/>
        <v>5.2600000000000001E-2</v>
      </c>
      <c r="CJ110" s="103">
        <f t="shared" si="31"/>
        <v>-1.2790142558462609</v>
      </c>
      <c r="CK110" s="57">
        <f t="shared" si="42"/>
        <v>5.3854007441276579</v>
      </c>
      <c r="CL110" s="160">
        <f t="shared" si="39"/>
        <v>6.5525788521705346</v>
      </c>
      <c r="CM110" s="160">
        <v>-1.4494082668526298</v>
      </c>
      <c r="CN110" s="160">
        <f>BJ110/(10^CM110)</f>
        <v>1.801309090909091</v>
      </c>
      <c r="CO110" s="55" t="s">
        <v>2488</v>
      </c>
      <c r="CP110" s="55" t="s">
        <v>2489</v>
      </c>
      <c r="CQ110" s="149">
        <v>-1.4397556892549368</v>
      </c>
      <c r="CR110" s="349">
        <f t="shared" si="44"/>
        <v>1.4479095526792833</v>
      </c>
      <c r="CS110" s="61" t="s">
        <v>539</v>
      </c>
      <c r="CT110" s="61"/>
      <c r="CU110" s="111">
        <f t="shared" si="24"/>
        <v>2.9935597017125004</v>
      </c>
      <c r="CV110" s="331">
        <f t="shared" si="43"/>
        <v>2.4603318798449614</v>
      </c>
      <c r="CW110" s="326">
        <f t="shared" si="32"/>
        <v>1</v>
      </c>
      <c r="CX110" s="326"/>
      <c r="CY110" s="161" t="s">
        <v>5921</v>
      </c>
    </row>
    <row r="111" spans="1:103" ht="11.25" customHeight="1" x14ac:dyDescent="0.2">
      <c r="A111" s="72">
        <v>109</v>
      </c>
      <c r="B111" s="149">
        <v>1284</v>
      </c>
      <c r="C111" s="54" t="s">
        <v>3526</v>
      </c>
      <c r="D111" s="54" t="s">
        <v>6501</v>
      </c>
      <c r="E111" s="59"/>
      <c r="F111" s="59" t="s">
        <v>3527</v>
      </c>
      <c r="G111" s="151">
        <v>4151502</v>
      </c>
      <c r="H111" s="55" t="s">
        <v>3528</v>
      </c>
      <c r="I111" s="55" t="s">
        <v>3528</v>
      </c>
      <c r="J111" s="55" t="s">
        <v>3529</v>
      </c>
      <c r="K111" s="55" t="s">
        <v>471</v>
      </c>
      <c r="L111" s="55" t="s">
        <v>617</v>
      </c>
      <c r="M111" s="55" t="s">
        <v>3530</v>
      </c>
      <c r="N111" s="60" t="s">
        <v>6381</v>
      </c>
      <c r="O111" s="55" t="s">
        <v>918</v>
      </c>
      <c r="P111" s="67"/>
      <c r="Q111" s="67"/>
      <c r="R111" s="67"/>
      <c r="S111" s="67"/>
      <c r="T111" s="56">
        <v>527.20000000000005</v>
      </c>
      <c r="U111" s="103"/>
      <c r="V111" s="103">
        <v>1.5345220030349013E-6</v>
      </c>
      <c r="W111" s="103">
        <v>2.8840315031266094E-8</v>
      </c>
      <c r="X111" s="103">
        <f>IF(W111=0,V111,W111)</f>
        <v>2.8840315031266094E-8</v>
      </c>
      <c r="Y111" s="162">
        <v>7</v>
      </c>
      <c r="Z111" s="56">
        <v>6.76</v>
      </c>
      <c r="AA111" s="56"/>
      <c r="AB111" s="56">
        <v>5.38</v>
      </c>
      <c r="AC111" s="56">
        <v>0.55930000000000002</v>
      </c>
      <c r="AD111" s="56">
        <v>6.43</v>
      </c>
      <c r="AE111" s="56">
        <v>8.5</v>
      </c>
      <c r="AF111" s="56">
        <f t="shared" si="36"/>
        <v>6.43</v>
      </c>
      <c r="AG111" s="57">
        <v>4.2</v>
      </c>
      <c r="AH111" s="103">
        <v>5.37</v>
      </c>
      <c r="AI111" s="103"/>
      <c r="AJ111" s="62">
        <f t="shared" si="40"/>
        <v>2.3414079593869039</v>
      </c>
      <c r="AK111" s="62"/>
      <c r="AL111" s="62">
        <f t="shared" si="37"/>
        <v>2.3414079593869039</v>
      </c>
      <c r="AM111" s="62">
        <v>-3.97838</v>
      </c>
      <c r="AN111" s="154">
        <v>-4.21</v>
      </c>
      <c r="AO111" s="410">
        <v>8.0399999999999991</v>
      </c>
      <c r="AP111" s="410">
        <v>-8.01</v>
      </c>
      <c r="AQ111" s="56" t="s">
        <v>6311</v>
      </c>
      <c r="AR111" s="56" t="s">
        <v>6311</v>
      </c>
      <c r="AS111" s="155"/>
      <c r="AT111" s="58" t="s">
        <v>266</v>
      </c>
      <c r="AU111" s="56">
        <v>6</v>
      </c>
      <c r="AV111" s="56">
        <v>120</v>
      </c>
      <c r="AW111" s="56">
        <v>114</v>
      </c>
      <c r="AX111" s="56">
        <v>28</v>
      </c>
      <c r="AY111" s="56" t="s">
        <v>8728</v>
      </c>
      <c r="AZ111" s="56" t="s">
        <v>1563</v>
      </c>
      <c r="BA111" s="56">
        <v>32</v>
      </c>
      <c r="BB111" s="55" t="s">
        <v>2485</v>
      </c>
      <c r="BC111" s="55" t="s">
        <v>8726</v>
      </c>
      <c r="BD111" s="55" t="s">
        <v>8374</v>
      </c>
      <c r="BE111" s="56" t="s">
        <v>2449</v>
      </c>
      <c r="BF111" s="56" t="s">
        <v>272</v>
      </c>
      <c r="BG111" s="56" t="s">
        <v>272</v>
      </c>
      <c r="BH111" s="56" t="s">
        <v>2486</v>
      </c>
      <c r="BI111" s="103">
        <v>6.3999999999999997E-6</v>
      </c>
      <c r="BJ111" s="103">
        <v>6.4000000000000001E-2</v>
      </c>
      <c r="BK111" s="56"/>
      <c r="BL111" s="103">
        <f t="shared" si="38"/>
        <v>4.3615815797067237E-5</v>
      </c>
      <c r="BM111" s="56" t="s">
        <v>2046</v>
      </c>
      <c r="BN111" s="56"/>
      <c r="BO111" s="56"/>
      <c r="BP111" s="56"/>
      <c r="BQ111" s="56"/>
      <c r="BR111" s="55">
        <v>5.0799999999999998E-2</v>
      </c>
      <c r="BS111" s="56"/>
      <c r="BT111" s="56"/>
      <c r="BU111" s="158"/>
      <c r="BV111" s="56"/>
      <c r="BW111" s="56"/>
      <c r="BX111" s="56"/>
      <c r="BY111" s="56"/>
      <c r="BZ111" s="56"/>
      <c r="CA111" s="56"/>
      <c r="CB111" s="56"/>
      <c r="CC111" s="56"/>
      <c r="CD111" s="56"/>
      <c r="CE111" s="56"/>
      <c r="CF111" s="56"/>
      <c r="CG111" s="56"/>
      <c r="CH111" s="56"/>
      <c r="CI111" s="103">
        <f t="shared" si="30"/>
        <v>5.0799999999999998E-2</v>
      </c>
      <c r="CJ111" s="103">
        <f t="shared" si="31"/>
        <v>-1.2941362877160807</v>
      </c>
      <c r="CK111" s="57">
        <f t="shared" si="42"/>
        <v>6.8149712182917553E-4</v>
      </c>
      <c r="CL111" s="160">
        <f t="shared" si="39"/>
        <v>8.5857905112337088E-4</v>
      </c>
      <c r="CM111" s="160"/>
      <c r="CN111" s="160"/>
      <c r="CO111" s="55" t="s">
        <v>2488</v>
      </c>
      <c r="CP111" s="55" t="s">
        <v>2489</v>
      </c>
      <c r="CQ111" s="149">
        <v>-3.4455135974127091</v>
      </c>
      <c r="CR111" s="349">
        <f t="shared" si="44"/>
        <v>141.70243386243394</v>
      </c>
      <c r="CS111" s="61" t="s">
        <v>539</v>
      </c>
      <c r="CT111" s="61"/>
      <c r="CU111" s="111">
        <f t="shared" si="24"/>
        <v>5.6772273683594674E-7</v>
      </c>
      <c r="CV111" s="331">
        <f t="shared" si="43"/>
        <v>4.5062992236353271E-7</v>
      </c>
      <c r="CW111" s="326">
        <f t="shared" si="32"/>
        <v>0</v>
      </c>
      <c r="CX111" s="326"/>
      <c r="CY111" s="161" t="s">
        <v>5921</v>
      </c>
    </row>
    <row r="112" spans="1:103" ht="11.25" customHeight="1" x14ac:dyDescent="0.2">
      <c r="A112" s="72">
        <v>110</v>
      </c>
      <c r="B112" s="149">
        <v>874</v>
      </c>
      <c r="C112" s="54" t="s">
        <v>925</v>
      </c>
      <c r="D112" s="54" t="s">
        <v>6507</v>
      </c>
      <c r="E112" s="59"/>
      <c r="F112" s="59" t="s">
        <v>926</v>
      </c>
      <c r="G112" s="151">
        <v>15972608</v>
      </c>
      <c r="H112" s="55" t="s">
        <v>927</v>
      </c>
      <c r="I112" s="55" t="s">
        <v>8288</v>
      </c>
      <c r="J112" s="55" t="s">
        <v>928</v>
      </c>
      <c r="K112" s="55" t="s">
        <v>924</v>
      </c>
      <c r="L112" s="55" t="s">
        <v>5941</v>
      </c>
      <c r="M112" s="55" t="s">
        <v>6082</v>
      </c>
      <c r="N112" s="60" t="s">
        <v>6088</v>
      </c>
      <c r="O112" s="55" t="s">
        <v>6083</v>
      </c>
      <c r="P112" s="67" t="s">
        <v>6172</v>
      </c>
      <c r="Q112" s="67" t="s">
        <v>6173</v>
      </c>
      <c r="R112" s="67" t="s">
        <v>6175</v>
      </c>
      <c r="S112" s="67" t="s">
        <v>6176</v>
      </c>
      <c r="T112" s="56">
        <v>269.77</v>
      </c>
      <c r="U112" s="103">
        <v>0.88964673610853695</v>
      </c>
      <c r="V112" s="103">
        <v>6.6982985506171933E-2</v>
      </c>
      <c r="W112" s="103">
        <v>3.0199517204020134</v>
      </c>
      <c r="X112" s="103">
        <v>0.88964673610853695</v>
      </c>
      <c r="Y112" s="162">
        <v>7.01</v>
      </c>
      <c r="Z112" s="56">
        <v>3.37</v>
      </c>
      <c r="AA112" s="56">
        <v>3.52</v>
      </c>
      <c r="AB112" s="56">
        <v>3.01</v>
      </c>
      <c r="AC112" s="56">
        <v>0.8427</v>
      </c>
      <c r="AD112" s="56">
        <v>2.99</v>
      </c>
      <c r="AE112" s="56">
        <v>2.92</v>
      </c>
      <c r="AF112" s="56">
        <f t="shared" si="36"/>
        <v>3.52</v>
      </c>
      <c r="AG112" s="57">
        <v>3.3</v>
      </c>
      <c r="AH112" s="103">
        <v>2.2300000000000001E-8</v>
      </c>
      <c r="AI112" s="103">
        <v>8.3199999999999994E-9</v>
      </c>
      <c r="AJ112" s="62">
        <f t="shared" si="40"/>
        <v>-6.0402614632644909</v>
      </c>
      <c r="AK112" s="62">
        <f>LOG10(AI112*1000/(0.08206*298.15))</f>
        <v>-6.468443000021928</v>
      </c>
      <c r="AL112" s="62">
        <f t="shared" si="37"/>
        <v>-6.468443000021928</v>
      </c>
      <c r="AM112" s="62">
        <v>-10.631349999999999</v>
      </c>
      <c r="AN112" s="154">
        <v>-5.33</v>
      </c>
      <c r="AO112" s="410"/>
      <c r="AP112" s="410">
        <v>1.2</v>
      </c>
      <c r="AQ112" s="154" t="s">
        <v>6311</v>
      </c>
      <c r="AR112" s="154" t="s">
        <v>6311</v>
      </c>
      <c r="AS112" s="149" t="s">
        <v>6</v>
      </c>
      <c r="AT112" s="58" t="s">
        <v>266</v>
      </c>
      <c r="AU112" s="56">
        <v>2</v>
      </c>
      <c r="AV112" s="56">
        <v>98</v>
      </c>
      <c r="AW112" s="56">
        <v>96</v>
      </c>
      <c r="AX112" s="56">
        <v>26</v>
      </c>
      <c r="AY112" s="56" t="s">
        <v>267</v>
      </c>
      <c r="AZ112" s="56" t="s">
        <v>536</v>
      </c>
      <c r="BA112" s="56">
        <v>10</v>
      </c>
      <c r="BB112" s="55" t="s">
        <v>1764</v>
      </c>
      <c r="BC112" s="55" t="s">
        <v>2448</v>
      </c>
      <c r="BD112" s="55"/>
      <c r="BE112" s="56" t="s">
        <v>2449</v>
      </c>
      <c r="BF112" s="56"/>
      <c r="BG112" s="56"/>
      <c r="BH112" s="56"/>
      <c r="BI112" s="103"/>
      <c r="BJ112" s="103"/>
      <c r="BK112" s="56"/>
      <c r="BL112" s="103">
        <f t="shared" si="38"/>
        <v>4.832846484700818E-2</v>
      </c>
      <c r="BM112" s="56" t="s">
        <v>541</v>
      </c>
      <c r="BN112" s="179">
        <v>0.11</v>
      </c>
      <c r="BO112" s="155">
        <v>5.7099999999999998E-2</v>
      </c>
      <c r="BP112" s="155">
        <v>5.7099999999999998E-2</v>
      </c>
      <c r="BQ112" s="155">
        <v>4.8600000000000004E-2</v>
      </c>
      <c r="BR112" s="56"/>
      <c r="BS112" s="56"/>
      <c r="BT112" s="56"/>
      <c r="BU112" s="158"/>
      <c r="BV112" s="56"/>
      <c r="BW112" s="56"/>
      <c r="BX112" s="56"/>
      <c r="BY112" s="56"/>
      <c r="BZ112" s="56"/>
      <c r="CA112" s="56"/>
      <c r="CB112" s="56"/>
      <c r="CC112" s="56"/>
      <c r="CD112" s="56"/>
      <c r="CE112" s="56"/>
      <c r="CF112" s="56"/>
      <c r="CG112" s="56"/>
      <c r="CH112" s="155"/>
      <c r="CI112" s="157">
        <f t="shared" si="30"/>
        <v>4.8600000000000004E-2</v>
      </c>
      <c r="CJ112" s="103">
        <f t="shared" si="31"/>
        <v>-1.3133637307377066</v>
      </c>
      <c r="CK112" s="57" t="s">
        <v>404</v>
      </c>
      <c r="CL112" s="160">
        <f t="shared" si="39"/>
        <v>0.99441285693432457</v>
      </c>
      <c r="CM112" s="160">
        <v>-2.0724164104677936</v>
      </c>
      <c r="CN112" s="160">
        <f>BJ112/(10^CM112)</f>
        <v>0</v>
      </c>
      <c r="CO112" s="55"/>
      <c r="CP112" s="55" t="s">
        <v>2470</v>
      </c>
      <c r="CQ112" s="149">
        <v>-1.8764715896195507</v>
      </c>
      <c r="CR112" s="349">
        <f t="shared" si="44"/>
        <v>3.6568559991051934</v>
      </c>
      <c r="CS112" s="61" t="s">
        <v>539</v>
      </c>
      <c r="CT112" s="61"/>
      <c r="CU112" s="111">
        <f t="shared" si="24"/>
        <v>18.305488397294997</v>
      </c>
      <c r="CV112" s="331"/>
      <c r="CW112" s="326">
        <f t="shared" si="32"/>
        <v>1</v>
      </c>
      <c r="CX112" s="326"/>
      <c r="CY112" s="161" t="s">
        <v>5921</v>
      </c>
    </row>
    <row r="113" spans="1:103" ht="11.25" customHeight="1" x14ac:dyDescent="0.2">
      <c r="A113" s="72">
        <v>111</v>
      </c>
      <c r="B113" s="149">
        <v>389</v>
      </c>
      <c r="C113" s="54" t="s">
        <v>1345</v>
      </c>
      <c r="D113" s="54" t="s">
        <v>6534</v>
      </c>
      <c r="E113" s="59"/>
      <c r="F113" s="59" t="s">
        <v>1346</v>
      </c>
      <c r="G113" s="151">
        <v>76738620</v>
      </c>
      <c r="H113" s="55" t="s">
        <v>1347</v>
      </c>
      <c r="I113" s="55" t="s">
        <v>7901</v>
      </c>
      <c r="J113" s="55" t="s">
        <v>1348</v>
      </c>
      <c r="K113" s="55" t="s">
        <v>1112</v>
      </c>
      <c r="L113" s="55" t="s">
        <v>6005</v>
      </c>
      <c r="M113" s="60" t="s">
        <v>2342</v>
      </c>
      <c r="N113" s="60" t="s">
        <v>2342</v>
      </c>
      <c r="O113" s="55"/>
      <c r="P113" s="67"/>
      <c r="Q113" s="67"/>
      <c r="R113" s="67"/>
      <c r="S113" s="67"/>
      <c r="T113" s="56">
        <v>293.79000000000002</v>
      </c>
      <c r="U113" s="103">
        <v>8.8498587426392994E-2</v>
      </c>
      <c r="V113" s="103">
        <v>0.27186085299023111</v>
      </c>
      <c r="W113" s="103">
        <v>0.20892961308540386</v>
      </c>
      <c r="X113" s="103">
        <v>8.8498587426392994E-2</v>
      </c>
      <c r="Y113" s="162">
        <v>7.03</v>
      </c>
      <c r="Z113" s="56">
        <v>3.36</v>
      </c>
      <c r="AA113" s="56">
        <v>3.2</v>
      </c>
      <c r="AB113" s="56">
        <v>3.48</v>
      </c>
      <c r="AC113" s="56">
        <v>0.83650000000000002</v>
      </c>
      <c r="AD113" s="56">
        <v>3.37</v>
      </c>
      <c r="AE113" s="56">
        <v>2.99</v>
      </c>
      <c r="AF113" s="56">
        <f t="shared" si="36"/>
        <v>3.2</v>
      </c>
      <c r="AG113" s="57">
        <v>3.49</v>
      </c>
      <c r="AH113" s="103">
        <v>3.9E-10</v>
      </c>
      <c r="AI113" s="103">
        <v>8.2800000000000001E-11</v>
      </c>
      <c r="AJ113" s="62">
        <f t="shared" si="40"/>
        <v>-7.7975017192861529</v>
      </c>
      <c r="AK113" s="62">
        <f>LOG10(AI113*1000/(0.08206*298.15))</f>
        <v>-8.4705359895277716</v>
      </c>
      <c r="AL113" s="62">
        <f t="shared" si="37"/>
        <v>-8.4705359895277716</v>
      </c>
      <c r="AM113" s="62">
        <v>-13.015940000000001</v>
      </c>
      <c r="AN113" s="154">
        <v>-7.92</v>
      </c>
      <c r="AO113" s="410">
        <v>13.92</v>
      </c>
      <c r="AP113" s="410">
        <v>2.57</v>
      </c>
      <c r="AQ113" s="154" t="s">
        <v>6311</v>
      </c>
      <c r="AR113" s="154" t="s">
        <v>6311</v>
      </c>
      <c r="AS113" s="149" t="s">
        <v>6</v>
      </c>
      <c r="AT113" s="58" t="s">
        <v>266</v>
      </c>
      <c r="AU113" s="56">
        <v>8</v>
      </c>
      <c r="AV113" s="56">
        <v>144</v>
      </c>
      <c r="AW113" s="56">
        <v>120</v>
      </c>
      <c r="AX113" s="56">
        <v>26</v>
      </c>
      <c r="AY113" s="56" t="s">
        <v>267</v>
      </c>
      <c r="AZ113" s="56" t="s">
        <v>268</v>
      </c>
      <c r="BA113" s="56">
        <v>3</v>
      </c>
      <c r="BB113" s="55" t="s">
        <v>888</v>
      </c>
      <c r="BC113" s="55" t="s">
        <v>270</v>
      </c>
      <c r="BD113" s="55" t="s">
        <v>8374</v>
      </c>
      <c r="BE113" s="56" t="s">
        <v>889</v>
      </c>
      <c r="BF113" s="56" t="s">
        <v>272</v>
      </c>
      <c r="BG113" s="56" t="s">
        <v>272</v>
      </c>
      <c r="BH113" s="56" t="s">
        <v>890</v>
      </c>
      <c r="BI113" s="103">
        <v>9.9999999999999995E-7</v>
      </c>
      <c r="BJ113" s="103">
        <v>0.08</v>
      </c>
      <c r="BK113" s="56"/>
      <c r="BL113" s="103">
        <f t="shared" si="38"/>
        <v>4.9338279395925909E-2</v>
      </c>
      <c r="BM113" s="56" t="s">
        <v>891</v>
      </c>
      <c r="BN113" s="162"/>
      <c r="BO113" s="162"/>
      <c r="BP113" s="162"/>
      <c r="BQ113" s="162"/>
      <c r="BR113" s="162"/>
      <c r="BS113" s="56">
        <v>4.7780000000000003E-2</v>
      </c>
      <c r="BT113" s="162"/>
      <c r="BU113" s="158"/>
      <c r="BV113" s="162"/>
      <c r="BW113" s="162"/>
      <c r="BX113" s="162"/>
      <c r="BY113" s="162"/>
      <c r="BZ113" s="162"/>
      <c r="CA113" s="162"/>
      <c r="CB113" s="162"/>
      <c r="CC113" s="56"/>
      <c r="CD113" s="56"/>
      <c r="CE113" s="56"/>
      <c r="CF113" s="56"/>
      <c r="CG113" s="56"/>
      <c r="CH113" s="56"/>
      <c r="CI113" s="103">
        <f t="shared" si="30"/>
        <v>4.7780000000000003E-2</v>
      </c>
      <c r="CJ113" s="103">
        <f t="shared" si="31"/>
        <v>-1.3207538545861408</v>
      </c>
      <c r="CK113" s="57">
        <f t="shared" ref="CK113:CK140" si="45">BL113/BJ113</f>
        <v>0.6167284924490738</v>
      </c>
      <c r="CL113" s="160">
        <f t="shared" si="39"/>
        <v>1.0326136332341127</v>
      </c>
      <c r="CM113" s="160">
        <v>-1.1557541655918258</v>
      </c>
      <c r="CN113" s="160">
        <f>BJ113/(10^CM113)</f>
        <v>1.1451019456549163</v>
      </c>
      <c r="CO113" s="55" t="s">
        <v>892</v>
      </c>
      <c r="CP113" s="55" t="s">
        <v>893</v>
      </c>
      <c r="CQ113" s="149">
        <v>-1.1076563876867407</v>
      </c>
      <c r="CR113" s="349">
        <f t="shared" si="44"/>
        <v>0.61221297990005119</v>
      </c>
      <c r="CS113" s="61" t="s">
        <v>539</v>
      </c>
      <c r="CT113" s="61"/>
      <c r="CU113" s="111">
        <f t="shared" si="24"/>
        <v>1.8522098666051274</v>
      </c>
      <c r="CV113" s="331">
        <f t="shared" ref="CV113:CV140" si="46">X113/BJ113</f>
        <v>1.1062323428299123</v>
      </c>
      <c r="CW113" s="326">
        <f t="shared" si="32"/>
        <v>0</v>
      </c>
      <c r="CX113" s="326" t="s">
        <v>539</v>
      </c>
      <c r="CY113" s="161" t="s">
        <v>5921</v>
      </c>
    </row>
    <row r="114" spans="1:103" ht="11.25" customHeight="1" x14ac:dyDescent="0.2">
      <c r="A114" s="72">
        <v>112</v>
      </c>
      <c r="B114" s="149">
        <v>564</v>
      </c>
      <c r="C114" s="54" t="s">
        <v>755</v>
      </c>
      <c r="D114" s="54" t="s">
        <v>8366</v>
      </c>
      <c r="E114" s="59"/>
      <c r="F114" s="59" t="s">
        <v>756</v>
      </c>
      <c r="G114" s="151">
        <v>123397</v>
      </c>
      <c r="H114" s="55" t="s">
        <v>757</v>
      </c>
      <c r="I114" s="55" t="s">
        <v>757</v>
      </c>
      <c r="J114" s="55" t="s">
        <v>758</v>
      </c>
      <c r="K114" s="55" t="s">
        <v>471</v>
      </c>
      <c r="L114" s="55"/>
      <c r="M114" s="55"/>
      <c r="N114" s="60"/>
      <c r="O114" s="55"/>
      <c r="P114" s="67"/>
      <c r="Q114" s="67"/>
      <c r="R114" s="67"/>
      <c r="S114" s="67"/>
      <c r="T114" s="56">
        <v>59.07</v>
      </c>
      <c r="U114" s="103">
        <v>16929.067208396817</v>
      </c>
      <c r="V114" s="103">
        <v>15644.151007279499</v>
      </c>
      <c r="W114" s="103">
        <v>1380.384264602885</v>
      </c>
      <c r="X114" s="103">
        <v>16929.067208396817</v>
      </c>
      <c r="Y114" s="162">
        <v>7.08</v>
      </c>
      <c r="Z114" s="56">
        <v>-1.1399999999999999</v>
      </c>
      <c r="AA114" s="56">
        <v>-0.97</v>
      </c>
      <c r="AB114" s="56">
        <v>-0.89</v>
      </c>
      <c r="AC114" s="56">
        <v>0.85619999999999996</v>
      </c>
      <c r="AD114" s="56">
        <v>-0.81</v>
      </c>
      <c r="AE114" s="56">
        <v>-0.6</v>
      </c>
      <c r="AF114" s="56">
        <f t="shared" si="36"/>
        <v>-0.97</v>
      </c>
      <c r="AG114" s="57">
        <v>-0.26</v>
      </c>
      <c r="AH114" s="103">
        <v>3.3600000000000003E-8</v>
      </c>
      <c r="AI114" s="103">
        <v>1.9700000000000001E-8</v>
      </c>
      <c r="AJ114" s="62">
        <f t="shared" si="40"/>
        <v>-5.8622270489228079</v>
      </c>
      <c r="AK114" s="62">
        <f>LOG10(AI114*1000/(0.08206*298.15))</f>
        <v>-6.0941001001510591</v>
      </c>
      <c r="AL114" s="62">
        <f t="shared" si="37"/>
        <v>-6.0941001001510591</v>
      </c>
      <c r="AM114" s="62">
        <v>-6.36416</v>
      </c>
      <c r="AN114" s="154">
        <v>-6.79</v>
      </c>
      <c r="AO114" s="410">
        <v>16.48</v>
      </c>
      <c r="AP114" s="410">
        <v>-0.47</v>
      </c>
      <c r="AQ114" s="154" t="s">
        <v>6311</v>
      </c>
      <c r="AR114" s="154" t="s">
        <v>6311</v>
      </c>
      <c r="AS114" s="149" t="s">
        <v>87</v>
      </c>
      <c r="AT114" s="58" t="s">
        <v>266</v>
      </c>
      <c r="AU114" s="56">
        <v>2</v>
      </c>
      <c r="AV114" s="56">
        <v>96</v>
      </c>
      <c r="AW114" s="56">
        <v>96</v>
      </c>
      <c r="AX114" s="56">
        <v>25</v>
      </c>
      <c r="AY114" s="56" t="s">
        <v>8722</v>
      </c>
      <c r="AZ114" s="56" t="s">
        <v>1682</v>
      </c>
      <c r="BA114" s="56">
        <v>12</v>
      </c>
      <c r="BB114" s="55" t="s">
        <v>888</v>
      </c>
      <c r="BC114" s="55" t="s">
        <v>538</v>
      </c>
      <c r="BD114" s="55"/>
      <c r="BE114" s="56" t="s">
        <v>649</v>
      </c>
      <c r="BF114" s="56" t="s">
        <v>272</v>
      </c>
      <c r="BG114" s="56" t="s">
        <v>1683</v>
      </c>
      <c r="BH114" s="56" t="s">
        <v>272</v>
      </c>
      <c r="BI114" s="103">
        <v>230</v>
      </c>
      <c r="BJ114" s="103">
        <v>440</v>
      </c>
      <c r="BK114" s="56"/>
      <c r="BL114" s="103">
        <f t="shared" si="38"/>
        <v>542.79270223005494</v>
      </c>
      <c r="BM114" s="56">
        <v>0</v>
      </c>
      <c r="BN114" s="56"/>
      <c r="BO114" s="56"/>
      <c r="BP114" s="56"/>
      <c r="BQ114" s="56">
        <v>185.99307601151179</v>
      </c>
      <c r="BR114" s="56"/>
      <c r="BS114" s="56"/>
      <c r="BT114" s="56"/>
      <c r="BU114" s="158"/>
      <c r="BV114" s="56"/>
      <c r="BW114" s="56"/>
      <c r="BX114" s="56"/>
      <c r="BY114" s="56"/>
      <c r="BZ114" s="56"/>
      <c r="CA114" s="56"/>
      <c r="CB114" s="56"/>
      <c r="CC114" s="56"/>
      <c r="CD114" s="56"/>
      <c r="CE114" s="56"/>
      <c r="CF114" s="56"/>
      <c r="CG114" s="56"/>
      <c r="CH114" s="56"/>
      <c r="CI114" s="103">
        <f t="shared" si="30"/>
        <v>185.99307601151179</v>
      </c>
      <c r="CJ114" s="103">
        <f t="shared" si="31"/>
        <v>2.2694967769815486</v>
      </c>
      <c r="CK114" s="57">
        <f t="shared" si="45"/>
        <v>1.2336197777955795</v>
      </c>
      <c r="CL114" s="160">
        <f t="shared" si="39"/>
        <v>2.9183489722835678</v>
      </c>
      <c r="CM114" s="160"/>
      <c r="CN114" s="160"/>
      <c r="CO114" s="55"/>
      <c r="CP114" s="55" t="s">
        <v>1684</v>
      </c>
      <c r="CQ114" s="149" t="s">
        <v>272</v>
      </c>
      <c r="CR114" s="349"/>
      <c r="CS114" s="61" t="s">
        <v>539</v>
      </c>
      <c r="CT114" s="61"/>
      <c r="CU114" s="111">
        <f t="shared" si="24"/>
        <v>91.019878650477366</v>
      </c>
      <c r="CV114" s="331">
        <f t="shared" si="46"/>
        <v>38.4751527463564</v>
      </c>
      <c r="CW114" s="326">
        <f t="shared" si="32"/>
        <v>1</v>
      </c>
      <c r="CX114" s="326"/>
      <c r="CY114" s="161" t="s">
        <v>6351</v>
      </c>
    </row>
    <row r="115" spans="1:103" ht="11.25" customHeight="1" x14ac:dyDescent="0.2">
      <c r="A115" s="72">
        <v>113</v>
      </c>
      <c r="B115" s="149">
        <v>344</v>
      </c>
      <c r="C115" s="54" t="s">
        <v>1282</v>
      </c>
      <c r="D115" s="54" t="s">
        <v>6433</v>
      </c>
      <c r="E115" s="59"/>
      <c r="F115" s="59" t="s">
        <v>1283</v>
      </c>
      <c r="G115" s="151">
        <v>58899</v>
      </c>
      <c r="H115" s="55" t="s">
        <v>1284</v>
      </c>
      <c r="I115" s="55" t="s">
        <v>7983</v>
      </c>
      <c r="J115" s="55" t="s">
        <v>1285</v>
      </c>
      <c r="K115" s="55" t="s">
        <v>426</v>
      </c>
      <c r="L115" s="55" t="s">
        <v>617</v>
      </c>
      <c r="M115" s="55" t="s">
        <v>1286</v>
      </c>
      <c r="N115" s="60" t="s">
        <v>6376</v>
      </c>
      <c r="O115" s="55" t="s">
        <v>1287</v>
      </c>
      <c r="P115" s="67" t="s">
        <v>6183</v>
      </c>
      <c r="Q115" s="67" t="s">
        <v>6176</v>
      </c>
      <c r="R115" s="67" t="s">
        <v>6181</v>
      </c>
      <c r="S115" s="67" t="s">
        <v>6173</v>
      </c>
      <c r="T115" s="56">
        <v>290.83</v>
      </c>
      <c r="U115" s="103">
        <v>2.7507478595743221E-2</v>
      </c>
      <c r="V115" s="103">
        <v>1.3905030430148195E-2</v>
      </c>
      <c r="W115" s="103">
        <v>2.1379620895022287E-2</v>
      </c>
      <c r="X115" s="103">
        <v>2.7507478595743221E-2</v>
      </c>
      <c r="Y115" s="162">
        <v>7</v>
      </c>
      <c r="Z115" s="56">
        <v>4.26</v>
      </c>
      <c r="AA115" s="56">
        <v>4.1399999999999997</v>
      </c>
      <c r="AB115" s="56">
        <v>3.79</v>
      </c>
      <c r="AC115" s="56">
        <v>0.93030000000000002</v>
      </c>
      <c r="AD115" s="56">
        <v>3.82</v>
      </c>
      <c r="AE115" s="56">
        <v>3.99</v>
      </c>
      <c r="AF115" s="56">
        <f t="shared" si="36"/>
        <v>4.1399999999999997</v>
      </c>
      <c r="AG115" s="57">
        <v>3.92</v>
      </c>
      <c r="AH115" s="103">
        <v>2.5599999999999999E-4</v>
      </c>
      <c r="AI115" s="103">
        <v>5.1399999999999999E-6</v>
      </c>
      <c r="AJ115" s="62">
        <f t="shared" si="40"/>
        <v>-1.9803263610008022</v>
      </c>
      <c r="AK115" s="62">
        <f>LOG10(AI115*1000/(0.08206*298.15))</f>
        <v>-3.6776032073173761</v>
      </c>
      <c r="AL115" s="62">
        <f t="shared" si="37"/>
        <v>-3.6776032073173761</v>
      </c>
      <c r="AM115" s="62">
        <v>-6.2972599999999996</v>
      </c>
      <c r="AN115" s="154">
        <v>-3.77</v>
      </c>
      <c r="AO115" s="410"/>
      <c r="AP115" s="410"/>
      <c r="AQ115" s="154" t="s">
        <v>6311</v>
      </c>
      <c r="AR115" s="154" t="s">
        <v>6312</v>
      </c>
      <c r="AS115" s="149" t="s">
        <v>6</v>
      </c>
      <c r="AT115" s="58" t="s">
        <v>266</v>
      </c>
      <c r="AU115" s="56">
        <v>8</v>
      </c>
      <c r="AV115" s="56">
        <v>144</v>
      </c>
      <c r="AW115" s="56">
        <v>120</v>
      </c>
      <c r="AX115" s="56">
        <v>26</v>
      </c>
      <c r="AY115" s="56" t="s">
        <v>267</v>
      </c>
      <c r="AZ115" s="56" t="s">
        <v>268</v>
      </c>
      <c r="BA115" s="56">
        <v>2</v>
      </c>
      <c r="BB115" s="55" t="s">
        <v>888</v>
      </c>
      <c r="BC115" s="55" t="s">
        <v>270</v>
      </c>
      <c r="BD115" s="55" t="s">
        <v>8374</v>
      </c>
      <c r="BE115" s="56" t="s">
        <v>889</v>
      </c>
      <c r="BF115" s="56" t="s">
        <v>272</v>
      </c>
      <c r="BG115" s="56" t="s">
        <v>272</v>
      </c>
      <c r="BH115" s="56" t="s">
        <v>890</v>
      </c>
      <c r="BI115" s="103">
        <v>9.9999999999999995E-7</v>
      </c>
      <c r="BJ115" s="103">
        <v>0.08</v>
      </c>
      <c r="BK115" s="56"/>
      <c r="BL115" s="103">
        <f t="shared" si="38"/>
        <v>7.6717421921324528E-3</v>
      </c>
      <c r="BM115" s="56" t="s">
        <v>891</v>
      </c>
      <c r="BN115" s="162"/>
      <c r="BO115" s="162"/>
      <c r="BP115" s="162"/>
      <c r="BQ115" s="162"/>
      <c r="BR115" s="162"/>
      <c r="BS115" s="56">
        <v>4.6164921748011227E-2</v>
      </c>
      <c r="BT115" s="162"/>
      <c r="BU115" s="158"/>
      <c r="BV115" s="162"/>
      <c r="BW115" s="162"/>
      <c r="BX115" s="162"/>
      <c r="BY115" s="162"/>
      <c r="BZ115" s="162"/>
      <c r="CA115" s="162"/>
      <c r="CB115" s="162"/>
      <c r="CC115" s="56"/>
      <c r="CD115" s="56"/>
      <c r="CE115" s="56"/>
      <c r="CF115" s="56"/>
      <c r="CG115" s="56"/>
      <c r="CH115" s="56"/>
      <c r="CI115" s="103">
        <f t="shared" si="30"/>
        <v>4.6164921748011227E-2</v>
      </c>
      <c r="CJ115" s="103">
        <f t="shared" si="31"/>
        <v>-1.3356878962548966</v>
      </c>
      <c r="CK115" s="57">
        <f t="shared" si="45"/>
        <v>9.5896777401655656E-2</v>
      </c>
      <c r="CL115" s="160">
        <f t="shared" si="39"/>
        <v>0.16618120212589657</v>
      </c>
      <c r="CM115" s="160">
        <v>-3.8779488905766821</v>
      </c>
      <c r="CN115" s="160">
        <f>BJ115/(10^CM115)</f>
        <v>604.00269661934431</v>
      </c>
      <c r="CO115" s="55" t="s">
        <v>892</v>
      </c>
      <c r="CP115" s="55" t="s">
        <v>893</v>
      </c>
      <c r="CQ115" s="149">
        <v>-3.5684782349238242</v>
      </c>
      <c r="CR115" s="349">
        <f t="shared" ref="CR115:CR120" si="47">10^(CJ115-CQ115)</f>
        <v>170.91899821079821</v>
      </c>
      <c r="CS115" s="61" t="s">
        <v>539</v>
      </c>
      <c r="CT115" s="61"/>
      <c r="CU115" s="111">
        <f t="shared" si="24"/>
        <v>0.5958523821591496</v>
      </c>
      <c r="CV115" s="331">
        <f t="shared" si="46"/>
        <v>0.34384348244679025</v>
      </c>
      <c r="CW115" s="326">
        <f t="shared" si="32"/>
        <v>0</v>
      </c>
      <c r="CX115" s="326" t="s">
        <v>539</v>
      </c>
      <c r="CY115" s="161" t="s">
        <v>5921</v>
      </c>
    </row>
    <row r="116" spans="1:103" ht="11.25" customHeight="1" x14ac:dyDescent="0.2">
      <c r="A116" s="72">
        <v>114</v>
      </c>
      <c r="B116" s="149">
        <v>202</v>
      </c>
      <c r="C116" s="54" t="s">
        <v>977</v>
      </c>
      <c r="D116" s="54" t="s">
        <v>6447</v>
      </c>
      <c r="E116" s="59"/>
      <c r="F116" s="59" t="s">
        <v>978</v>
      </c>
      <c r="G116" s="151">
        <v>80057</v>
      </c>
      <c r="H116" s="55" t="s">
        <v>979</v>
      </c>
      <c r="I116" s="55" t="s">
        <v>979</v>
      </c>
      <c r="J116" s="55" t="s">
        <v>980</v>
      </c>
      <c r="K116" s="55" t="s">
        <v>376</v>
      </c>
      <c r="L116" s="55" t="s">
        <v>5492</v>
      </c>
      <c r="M116" s="55" t="s">
        <v>602</v>
      </c>
      <c r="N116" s="60" t="s">
        <v>6386</v>
      </c>
      <c r="O116" s="55" t="s">
        <v>981</v>
      </c>
      <c r="P116" s="67"/>
      <c r="Q116" s="67"/>
      <c r="R116" s="67"/>
      <c r="S116" s="67"/>
      <c r="T116" s="56">
        <v>228.29</v>
      </c>
      <c r="U116" s="103">
        <v>0.52564720311884006</v>
      </c>
      <c r="V116" s="103">
        <v>0.75649393315519731</v>
      </c>
      <c r="W116" s="103">
        <v>0.38904514499428011</v>
      </c>
      <c r="X116" s="103">
        <v>0.52564720311884006</v>
      </c>
      <c r="Y116" s="162">
        <v>6.76</v>
      </c>
      <c r="Z116" s="56">
        <v>3.64</v>
      </c>
      <c r="AA116" s="56">
        <v>3.32</v>
      </c>
      <c r="AB116" s="56">
        <v>3.73</v>
      </c>
      <c r="AC116" s="56">
        <v>0.77510000000000001</v>
      </c>
      <c r="AD116" s="56">
        <v>3.63</v>
      </c>
      <c r="AE116" s="56">
        <v>3.43</v>
      </c>
      <c r="AF116" s="56">
        <f t="shared" si="36"/>
        <v>3.32</v>
      </c>
      <c r="AG116" s="57">
        <v>3.7</v>
      </c>
      <c r="AH116" s="103">
        <v>9.1600000000000006E-12</v>
      </c>
      <c r="AI116" s="103"/>
      <c r="AJ116" s="62">
        <f t="shared" si="40"/>
        <v>-9.4266708526448006</v>
      </c>
      <c r="AK116" s="62"/>
      <c r="AL116" s="62">
        <f t="shared" si="37"/>
        <v>-9.4266708526448006</v>
      </c>
      <c r="AM116" s="62">
        <v>-13.641390000000001</v>
      </c>
      <c r="AN116" s="154">
        <v>-10.199999999999999</v>
      </c>
      <c r="AO116" s="410">
        <v>10.29</v>
      </c>
      <c r="AP116" s="410"/>
      <c r="AQ116" s="154" t="s">
        <v>6311</v>
      </c>
      <c r="AR116" s="154" t="s">
        <v>6311</v>
      </c>
      <c r="AS116" s="149" t="s">
        <v>6</v>
      </c>
      <c r="AT116" s="58" t="s">
        <v>266</v>
      </c>
      <c r="AU116" s="56">
        <v>8</v>
      </c>
      <c r="AV116" s="56">
        <v>144</v>
      </c>
      <c r="AW116" s="56">
        <v>120</v>
      </c>
      <c r="AX116" s="56">
        <v>26</v>
      </c>
      <c r="AY116" s="56" t="s">
        <v>267</v>
      </c>
      <c r="AZ116" s="56" t="s">
        <v>268</v>
      </c>
      <c r="BA116" s="56">
        <v>2</v>
      </c>
      <c r="BB116" s="55" t="s">
        <v>888</v>
      </c>
      <c r="BC116" s="55" t="s">
        <v>270</v>
      </c>
      <c r="BD116" s="55" t="s">
        <v>8374</v>
      </c>
      <c r="BE116" s="56" t="s">
        <v>889</v>
      </c>
      <c r="BF116" s="56" t="s">
        <v>272</v>
      </c>
      <c r="BG116" s="56" t="s">
        <v>272</v>
      </c>
      <c r="BH116" s="56" t="s">
        <v>890</v>
      </c>
      <c r="BI116" s="103">
        <v>9.9999999999999995E-7</v>
      </c>
      <c r="BJ116" s="103">
        <v>0.08</v>
      </c>
      <c r="BK116" s="56"/>
      <c r="BL116" s="103">
        <f t="shared" si="38"/>
        <v>2.7651328392176541E-2</v>
      </c>
      <c r="BM116" s="56" t="s">
        <v>891</v>
      </c>
      <c r="BN116" s="162"/>
      <c r="BO116" s="162"/>
      <c r="BP116" s="162"/>
      <c r="BQ116" s="162"/>
      <c r="BR116" s="162"/>
      <c r="BS116" s="56">
        <v>4.6164921748011227E-2</v>
      </c>
      <c r="BT116" s="162"/>
      <c r="BU116" s="158"/>
      <c r="BV116" s="162"/>
      <c r="BW116" s="162"/>
      <c r="BX116" s="162"/>
      <c r="BY116" s="162"/>
      <c r="BZ116" s="162"/>
      <c r="CA116" s="162"/>
      <c r="CB116" s="162"/>
      <c r="CC116" s="56"/>
      <c r="CD116" s="56"/>
      <c r="CE116" s="56"/>
      <c r="CF116" s="56"/>
      <c r="CG116" s="56"/>
      <c r="CH116" s="56"/>
      <c r="CI116" s="103">
        <f t="shared" si="30"/>
        <v>4.6164921748011227E-2</v>
      </c>
      <c r="CJ116" s="103">
        <f t="shared" si="31"/>
        <v>-1.3356878962548966</v>
      </c>
      <c r="CK116" s="57">
        <f t="shared" si="45"/>
        <v>0.34564160490220674</v>
      </c>
      <c r="CL116" s="160">
        <f t="shared" si="39"/>
        <v>0.59896837999877584</v>
      </c>
      <c r="CM116" s="160">
        <v>-1.6910590432915908</v>
      </c>
      <c r="CN116" s="160">
        <f>BJ116/(10^CM116)</f>
        <v>3.9277969655743692</v>
      </c>
      <c r="CO116" s="55" t="s">
        <v>892</v>
      </c>
      <c r="CP116" s="55" t="s">
        <v>893</v>
      </c>
      <c r="CQ116" s="149">
        <v>-1.5944922590022019</v>
      </c>
      <c r="CR116" s="349">
        <f t="shared" si="47"/>
        <v>1.8146980090300764</v>
      </c>
      <c r="CS116" s="61" t="s">
        <v>539</v>
      </c>
      <c r="CT116" s="61"/>
      <c r="CU116" s="111">
        <f t="shared" si="24"/>
        <v>11.386290352403442</v>
      </c>
      <c r="CV116" s="331">
        <f t="shared" si="46"/>
        <v>6.5705900389855003</v>
      </c>
      <c r="CW116" s="326">
        <f t="shared" si="32"/>
        <v>1</v>
      </c>
      <c r="CX116" s="326" t="s">
        <v>539</v>
      </c>
      <c r="CY116" s="161" t="s">
        <v>6351</v>
      </c>
    </row>
    <row r="117" spans="1:103" ht="11.25" customHeight="1" x14ac:dyDescent="0.2">
      <c r="A117" s="72">
        <v>115</v>
      </c>
      <c r="B117" s="149">
        <v>273</v>
      </c>
      <c r="C117" s="54" t="s">
        <v>1123</v>
      </c>
      <c r="D117" s="54" t="s">
        <v>6473</v>
      </c>
      <c r="E117" s="59"/>
      <c r="F117" s="59" t="s">
        <v>1124</v>
      </c>
      <c r="G117" s="151">
        <v>122394</v>
      </c>
      <c r="H117" s="55" t="s">
        <v>1125</v>
      </c>
      <c r="I117" s="55" t="s">
        <v>1125</v>
      </c>
      <c r="J117" s="55" t="s">
        <v>1126</v>
      </c>
      <c r="K117" s="55" t="s">
        <v>426</v>
      </c>
      <c r="L117" s="55" t="s">
        <v>5974</v>
      </c>
      <c r="M117" s="55" t="s">
        <v>6082</v>
      </c>
      <c r="N117" s="60" t="s">
        <v>6082</v>
      </c>
      <c r="O117" s="55" t="s">
        <v>6083</v>
      </c>
      <c r="P117" s="67"/>
      <c r="Q117" s="67" t="s">
        <v>6173</v>
      </c>
      <c r="R117" s="67" t="s">
        <v>6185</v>
      </c>
      <c r="S117" s="67" t="s">
        <v>6176</v>
      </c>
      <c r="T117" s="56">
        <v>169.22</v>
      </c>
      <c r="U117" s="103">
        <v>0.31320174920222194</v>
      </c>
      <c r="V117" s="103">
        <v>0.37590119371232716</v>
      </c>
      <c r="W117" s="103">
        <v>1.1220184543019622</v>
      </c>
      <c r="X117" s="103">
        <v>0.31320174920222194</v>
      </c>
      <c r="Y117" s="162">
        <v>7</v>
      </c>
      <c r="Z117" s="56">
        <v>3.29</v>
      </c>
      <c r="AA117" s="56">
        <v>3.5</v>
      </c>
      <c r="AB117" s="56">
        <v>3.19</v>
      </c>
      <c r="AC117" s="56">
        <v>0.79549999999999998</v>
      </c>
      <c r="AD117" s="56">
        <v>3.12</v>
      </c>
      <c r="AE117" s="56">
        <v>2.97</v>
      </c>
      <c r="AF117" s="56">
        <f t="shared" si="36"/>
        <v>3.5</v>
      </c>
      <c r="AG117" s="57">
        <v>3.2</v>
      </c>
      <c r="AH117" s="103">
        <v>1.0499999999999999E-6</v>
      </c>
      <c r="AI117" s="103">
        <v>2.6900000000000001E-6</v>
      </c>
      <c r="AJ117" s="62">
        <f t="shared" si="40"/>
        <v>-4.3673770272427141</v>
      </c>
      <c r="AK117" s="62">
        <f>LOG10(AI117*1000/(0.08206*298.15))</f>
        <v>-3.9588140463102439</v>
      </c>
      <c r="AL117" s="62">
        <f t="shared" si="37"/>
        <v>-3.9588140463102439</v>
      </c>
      <c r="AM117" s="62">
        <v>-7.8134599999999992</v>
      </c>
      <c r="AN117" s="154">
        <v>-3.84</v>
      </c>
      <c r="AO117" s="410"/>
      <c r="AP117" s="410">
        <v>0.78</v>
      </c>
      <c r="AQ117" s="154" t="s">
        <v>6311</v>
      </c>
      <c r="AR117" s="154" t="s">
        <v>6311</v>
      </c>
      <c r="AS117" s="149" t="s">
        <v>6</v>
      </c>
      <c r="AT117" s="58" t="s">
        <v>266</v>
      </c>
      <c r="AU117" s="56">
        <v>8</v>
      </c>
      <c r="AV117" s="56">
        <v>144</v>
      </c>
      <c r="AW117" s="56">
        <v>120</v>
      </c>
      <c r="AX117" s="56">
        <v>26</v>
      </c>
      <c r="AY117" s="56" t="s">
        <v>267</v>
      </c>
      <c r="AZ117" s="56" t="s">
        <v>268</v>
      </c>
      <c r="BA117" s="56">
        <v>2</v>
      </c>
      <c r="BB117" s="55" t="s">
        <v>888</v>
      </c>
      <c r="BC117" s="55" t="s">
        <v>270</v>
      </c>
      <c r="BD117" s="55" t="s">
        <v>8374</v>
      </c>
      <c r="BE117" s="56" t="s">
        <v>889</v>
      </c>
      <c r="BF117" s="56" t="s">
        <v>272</v>
      </c>
      <c r="BG117" s="56" t="s">
        <v>272</v>
      </c>
      <c r="BH117" s="56" t="s">
        <v>890</v>
      </c>
      <c r="BI117" s="103">
        <v>9.9999999999999995E-7</v>
      </c>
      <c r="BJ117" s="103">
        <v>0.08</v>
      </c>
      <c r="BK117" s="56"/>
      <c r="BL117" s="103">
        <f t="shared" si="38"/>
        <v>5.7023123165170088E-2</v>
      </c>
      <c r="BM117" s="56" t="s">
        <v>891</v>
      </c>
      <c r="BN117" s="162"/>
      <c r="BO117" s="162"/>
      <c r="BP117" s="162"/>
      <c r="BQ117" s="162"/>
      <c r="BR117" s="162"/>
      <c r="BS117" s="56">
        <v>4.6164921748011227E-2</v>
      </c>
      <c r="BT117" s="162"/>
      <c r="BU117" s="158"/>
      <c r="BV117" s="162"/>
      <c r="BW117" s="162"/>
      <c r="BX117" s="162"/>
      <c r="BY117" s="162"/>
      <c r="BZ117" s="162"/>
      <c r="CA117" s="162"/>
      <c r="CB117" s="162"/>
      <c r="CC117" s="56"/>
      <c r="CD117" s="56"/>
      <c r="CE117" s="56"/>
      <c r="CF117" s="56"/>
      <c r="CG117" s="56"/>
      <c r="CH117" s="56"/>
      <c r="CI117" s="103">
        <f t="shared" si="30"/>
        <v>4.6164921748011227E-2</v>
      </c>
      <c r="CJ117" s="103">
        <f t="shared" si="31"/>
        <v>-1.3356878962548966</v>
      </c>
      <c r="CK117" s="57">
        <f t="shared" si="45"/>
        <v>0.71278903956462614</v>
      </c>
      <c r="CL117" s="160">
        <f t="shared" si="39"/>
        <v>1.2352045883761653</v>
      </c>
      <c r="CM117" s="160">
        <v>-1.7702247164394374</v>
      </c>
      <c r="CN117" s="160">
        <f>BJ117/(10^CM117)</f>
        <v>4.7131873505317108</v>
      </c>
      <c r="CO117" s="55" t="s">
        <v>892</v>
      </c>
      <c r="CP117" s="55" t="s">
        <v>893</v>
      </c>
      <c r="CQ117" s="149">
        <v>-1.730087304541734</v>
      </c>
      <c r="CR117" s="349">
        <f t="shared" si="47"/>
        <v>2.4797015202776964</v>
      </c>
      <c r="CS117" s="61" t="s">
        <v>539</v>
      </c>
      <c r="CT117" s="61"/>
      <c r="CU117" s="111">
        <f t="shared" si="24"/>
        <v>6.7844098363648708</v>
      </c>
      <c r="CV117" s="331">
        <f t="shared" si="46"/>
        <v>3.9150218650277742</v>
      </c>
      <c r="CW117" s="326">
        <f t="shared" si="32"/>
        <v>1</v>
      </c>
      <c r="CX117" s="326" t="s">
        <v>539</v>
      </c>
      <c r="CY117" s="161" t="s">
        <v>6351</v>
      </c>
    </row>
    <row r="118" spans="1:103" ht="11.25" customHeight="1" x14ac:dyDescent="0.2">
      <c r="A118" s="72">
        <v>116</v>
      </c>
      <c r="B118" s="149">
        <v>413</v>
      </c>
      <c r="C118" s="54" t="s">
        <v>1400</v>
      </c>
      <c r="D118" s="54" t="s">
        <v>6488</v>
      </c>
      <c r="E118" s="59"/>
      <c r="F118" s="59" t="s">
        <v>1401</v>
      </c>
      <c r="G118" s="151">
        <v>709988</v>
      </c>
      <c r="H118" s="55" t="s">
        <v>1402</v>
      </c>
      <c r="I118" s="55" t="s">
        <v>8059</v>
      </c>
      <c r="J118" s="55" t="s">
        <v>1403</v>
      </c>
      <c r="K118" s="55" t="s">
        <v>471</v>
      </c>
      <c r="L118" s="55" t="s">
        <v>1404</v>
      </c>
      <c r="M118" s="55" t="s">
        <v>6082</v>
      </c>
      <c r="N118" s="60" t="s">
        <v>6082</v>
      </c>
      <c r="O118" s="55" t="s">
        <v>6083</v>
      </c>
      <c r="P118" s="67"/>
      <c r="Q118" s="67" t="s">
        <v>6173</v>
      </c>
      <c r="R118" s="67" t="s">
        <v>6185</v>
      </c>
      <c r="S118" s="67" t="s">
        <v>6176</v>
      </c>
      <c r="T118" s="56">
        <v>218.08</v>
      </c>
      <c r="U118" s="103">
        <v>0.6969919295671313</v>
      </c>
      <c r="V118" s="103">
        <v>0.38600513573000733</v>
      </c>
      <c r="W118" s="103">
        <v>0.4168693834703352</v>
      </c>
      <c r="X118" s="103">
        <v>0.6969919295671313</v>
      </c>
      <c r="Y118" s="162">
        <v>7</v>
      </c>
      <c r="Z118" s="56">
        <v>2.88</v>
      </c>
      <c r="AA118" s="56">
        <v>3.07</v>
      </c>
      <c r="AB118" s="56">
        <v>3.39</v>
      </c>
      <c r="AC118" s="56">
        <v>0.89070000000000005</v>
      </c>
      <c r="AD118" s="56">
        <v>3.34</v>
      </c>
      <c r="AE118" s="56">
        <v>3.18</v>
      </c>
      <c r="AF118" s="56">
        <f t="shared" si="36"/>
        <v>3.07</v>
      </c>
      <c r="AG118" s="57">
        <v>3.05</v>
      </c>
      <c r="AH118" s="103">
        <v>4.4999999999999998E-9</v>
      </c>
      <c r="AI118" s="103">
        <v>1.7100000000000001E-9</v>
      </c>
      <c r="AJ118" s="62">
        <f t="shared" si="40"/>
        <v>-6.7353538125373085</v>
      </c>
      <c r="AK118" s="62">
        <f>LOG10(AI118*1000/(0.08206*298.15))</f>
        <v>-7.1555702159204984</v>
      </c>
      <c r="AL118" s="62">
        <f t="shared" si="37"/>
        <v>-7.1555702159204984</v>
      </c>
      <c r="AM118" s="62">
        <v>-10.588889999999999</v>
      </c>
      <c r="AN118" s="154">
        <v>-7.75</v>
      </c>
      <c r="AO118" s="410">
        <v>13.58</v>
      </c>
      <c r="AP118" s="410">
        <v>-0.91</v>
      </c>
      <c r="AQ118" s="154" t="s">
        <v>6311</v>
      </c>
      <c r="AR118" s="154" t="s">
        <v>6311</v>
      </c>
      <c r="AS118" s="149" t="s">
        <v>6</v>
      </c>
      <c r="AT118" s="58" t="s">
        <v>266</v>
      </c>
      <c r="AU118" s="56">
        <v>8</v>
      </c>
      <c r="AV118" s="56">
        <v>144</v>
      </c>
      <c r="AW118" s="56">
        <v>120</v>
      </c>
      <c r="AX118" s="56">
        <v>26</v>
      </c>
      <c r="AY118" s="56" t="s">
        <v>267</v>
      </c>
      <c r="AZ118" s="56" t="s">
        <v>268</v>
      </c>
      <c r="BA118" s="56">
        <v>2</v>
      </c>
      <c r="BB118" s="55" t="s">
        <v>888</v>
      </c>
      <c r="BC118" s="55" t="s">
        <v>270</v>
      </c>
      <c r="BD118" s="55" t="s">
        <v>8374</v>
      </c>
      <c r="BE118" s="56" t="s">
        <v>889</v>
      </c>
      <c r="BF118" s="56" t="s">
        <v>272</v>
      </c>
      <c r="BG118" s="56" t="s">
        <v>272</v>
      </c>
      <c r="BH118" s="56" t="s">
        <v>890</v>
      </c>
      <c r="BI118" s="103">
        <v>9.9999999999999995E-7</v>
      </c>
      <c r="BJ118" s="103">
        <v>0.08</v>
      </c>
      <c r="BK118" s="56"/>
      <c r="BL118" s="103">
        <f t="shared" si="38"/>
        <v>0.13312879467583441</v>
      </c>
      <c r="BM118" s="56" t="s">
        <v>891</v>
      </c>
      <c r="BN118" s="162"/>
      <c r="BO118" s="162"/>
      <c r="BP118" s="162"/>
      <c r="BQ118" s="162"/>
      <c r="BR118" s="162"/>
      <c r="BS118" s="56">
        <v>4.6164921748011227E-2</v>
      </c>
      <c r="BT118" s="162"/>
      <c r="BU118" s="158"/>
      <c r="BV118" s="162"/>
      <c r="BW118" s="162"/>
      <c r="BX118" s="162"/>
      <c r="BY118" s="162"/>
      <c r="BZ118" s="162"/>
      <c r="CA118" s="162"/>
      <c r="CB118" s="162"/>
      <c r="CC118" s="56"/>
      <c r="CD118" s="56"/>
      <c r="CE118" s="56"/>
      <c r="CF118" s="56"/>
      <c r="CG118" s="56"/>
      <c r="CH118" s="56"/>
      <c r="CI118" s="103">
        <f t="shared" si="30"/>
        <v>4.6164921748011227E-2</v>
      </c>
      <c r="CJ118" s="103">
        <f t="shared" si="31"/>
        <v>-1.3356878962548966</v>
      </c>
      <c r="CK118" s="57">
        <f t="shared" si="45"/>
        <v>1.6641099334479301</v>
      </c>
      <c r="CL118" s="160">
        <f t="shared" si="39"/>
        <v>2.8837651973615568</v>
      </c>
      <c r="CM118" s="160">
        <v>-1.6041469356578677</v>
      </c>
      <c r="CN118" s="160">
        <f>BJ118/(10^CM118)</f>
        <v>3.2154141798259976</v>
      </c>
      <c r="CO118" s="55" t="s">
        <v>892</v>
      </c>
      <c r="CP118" s="55" t="s">
        <v>893</v>
      </c>
      <c r="CQ118" s="149">
        <v>-1.4685362088928104</v>
      </c>
      <c r="CR118" s="349">
        <f t="shared" si="47"/>
        <v>1.357839107136761</v>
      </c>
      <c r="CS118" s="61" t="s">
        <v>539</v>
      </c>
      <c r="CT118" s="61"/>
      <c r="CU118" s="111">
        <f t="shared" si="24"/>
        <v>15.097868753501299</v>
      </c>
      <c r="CV118" s="331">
        <f t="shared" si="46"/>
        <v>8.7123991195891417</v>
      </c>
      <c r="CW118" s="326">
        <f t="shared" si="32"/>
        <v>1</v>
      </c>
      <c r="CX118" s="326" t="s">
        <v>539</v>
      </c>
      <c r="CY118" s="161" t="s">
        <v>5921</v>
      </c>
    </row>
    <row r="119" spans="1:103" ht="11.25" customHeight="1" x14ac:dyDescent="0.2">
      <c r="A119" s="72">
        <v>117</v>
      </c>
      <c r="B119" s="149">
        <v>431</v>
      </c>
      <c r="C119" s="54" t="s">
        <v>1441</v>
      </c>
      <c r="D119" s="54" t="s">
        <v>6449</v>
      </c>
      <c r="E119" s="59"/>
      <c r="F119" s="59" t="s">
        <v>1442</v>
      </c>
      <c r="G119" s="151">
        <v>82688</v>
      </c>
      <c r="H119" s="55" t="s">
        <v>1443</v>
      </c>
      <c r="I119" s="55" t="s">
        <v>7926</v>
      </c>
      <c r="J119" s="55" t="s">
        <v>1444</v>
      </c>
      <c r="K119" s="55" t="s">
        <v>426</v>
      </c>
      <c r="L119" s="55" t="s">
        <v>5929</v>
      </c>
      <c r="M119" s="55" t="s">
        <v>6082</v>
      </c>
      <c r="N119" s="60" t="s">
        <v>6082</v>
      </c>
      <c r="O119" s="55" t="s">
        <v>6083</v>
      </c>
      <c r="P119" s="67"/>
      <c r="Q119" s="67"/>
      <c r="R119" s="67"/>
      <c r="S119" s="67"/>
      <c r="T119" s="56">
        <v>295.33</v>
      </c>
      <c r="U119" s="103">
        <v>1.4898588020180817E-3</v>
      </c>
      <c r="V119" s="103">
        <v>1.965259201571124E-3</v>
      </c>
      <c r="W119" s="103">
        <v>4.8977881936844584E-3</v>
      </c>
      <c r="X119" s="103">
        <v>1.4898588020180817E-3</v>
      </c>
      <c r="Y119" s="162">
        <v>7</v>
      </c>
      <c r="Z119" s="56">
        <v>5.03</v>
      </c>
      <c r="AA119" s="56">
        <v>4.6399999999999997</v>
      </c>
      <c r="AB119" s="56">
        <v>4.8</v>
      </c>
      <c r="AC119" s="56">
        <v>0.82630000000000003</v>
      </c>
      <c r="AD119" s="56">
        <v>4.62</v>
      </c>
      <c r="AE119" s="56">
        <v>4.16</v>
      </c>
      <c r="AF119" s="56">
        <f t="shared" si="36"/>
        <v>4.6399999999999997</v>
      </c>
      <c r="AG119" s="57">
        <v>4.8099999999999996</v>
      </c>
      <c r="AH119" s="103">
        <v>4.7500000000000003E-6</v>
      </c>
      <c r="AI119" s="103">
        <v>4.4199999999999997E-5</v>
      </c>
      <c r="AJ119" s="62">
        <f t="shared" si="40"/>
        <v>-3.7118727166877852</v>
      </c>
      <c r="AK119" s="62">
        <f>LOG10(AI119*1000/(0.08206*298.15))</f>
        <v>-2.7431440569635601</v>
      </c>
      <c r="AL119" s="62">
        <f t="shared" ref="AL119:AL150" si="48">IF(AK119=0,AJ119,AK119)</f>
        <v>-2.7431440569635601</v>
      </c>
      <c r="AM119" s="62">
        <v>-6.2418199999999997</v>
      </c>
      <c r="AN119" s="154">
        <v>-3.9</v>
      </c>
      <c r="AO119" s="410"/>
      <c r="AP119" s="410"/>
      <c r="AQ119" s="154" t="s">
        <v>6311</v>
      </c>
      <c r="AR119" s="154" t="s">
        <v>6311</v>
      </c>
      <c r="AS119" s="149" t="s">
        <v>6</v>
      </c>
      <c r="AT119" s="58" t="s">
        <v>266</v>
      </c>
      <c r="AU119" s="56">
        <v>8</v>
      </c>
      <c r="AV119" s="56">
        <v>144</v>
      </c>
      <c r="AW119" s="56">
        <v>120</v>
      </c>
      <c r="AX119" s="56">
        <v>26</v>
      </c>
      <c r="AY119" s="56" t="s">
        <v>267</v>
      </c>
      <c r="AZ119" s="56" t="s">
        <v>268</v>
      </c>
      <c r="BA119" s="56">
        <v>2</v>
      </c>
      <c r="BB119" s="55" t="s">
        <v>888</v>
      </c>
      <c r="BC119" s="55" t="s">
        <v>270</v>
      </c>
      <c r="BD119" s="55" t="s">
        <v>8374</v>
      </c>
      <c r="BE119" s="56" t="s">
        <v>889</v>
      </c>
      <c r="BF119" s="56" t="s">
        <v>272</v>
      </c>
      <c r="BG119" s="56" t="s">
        <v>272</v>
      </c>
      <c r="BH119" s="56" t="s">
        <v>890</v>
      </c>
      <c r="BI119" s="103">
        <v>9.9999999999999995E-7</v>
      </c>
      <c r="BJ119" s="103">
        <v>0.08</v>
      </c>
      <c r="BK119" s="56"/>
      <c r="BL119" s="103">
        <f t="shared" ref="BL119:BL140" si="49">10^((-0.8981*Z119)+1.7108)</f>
        <v>1.5608350177201016E-3</v>
      </c>
      <c r="BM119" s="56" t="s">
        <v>891</v>
      </c>
      <c r="BN119" s="162"/>
      <c r="BO119" s="162"/>
      <c r="BP119" s="162"/>
      <c r="BQ119" s="162"/>
      <c r="BR119" s="162"/>
      <c r="BS119" s="56">
        <v>4.6164921748011227E-2</v>
      </c>
      <c r="BT119" s="162"/>
      <c r="BU119" s="158"/>
      <c r="BV119" s="162"/>
      <c r="BW119" s="162"/>
      <c r="BX119" s="162"/>
      <c r="BY119" s="162"/>
      <c r="BZ119" s="162"/>
      <c r="CA119" s="162"/>
      <c r="CB119" s="162"/>
      <c r="CC119" s="56"/>
      <c r="CD119" s="56"/>
      <c r="CE119" s="56"/>
      <c r="CF119" s="56"/>
      <c r="CG119" s="56"/>
      <c r="CH119" s="56"/>
      <c r="CI119" s="103">
        <f t="shared" si="30"/>
        <v>4.6164921748011227E-2</v>
      </c>
      <c r="CJ119" s="103">
        <f t="shared" si="31"/>
        <v>-1.3356878962548966</v>
      </c>
      <c r="CK119" s="57">
        <f t="shared" si="45"/>
        <v>1.951043772150127E-2</v>
      </c>
      <c r="CL119" s="160">
        <f t="shared" si="39"/>
        <v>3.3809978629224947E-2</v>
      </c>
      <c r="CM119" s="160"/>
      <c r="CN119" s="160"/>
      <c r="CO119" s="55" t="s">
        <v>892</v>
      </c>
      <c r="CP119" s="55" t="s">
        <v>893</v>
      </c>
      <c r="CQ119" s="149">
        <v>-2.863311030252611</v>
      </c>
      <c r="CR119" s="349">
        <f t="shared" si="47"/>
        <v>33.699474914202156</v>
      </c>
      <c r="CS119" s="61" t="s">
        <v>539</v>
      </c>
      <c r="CT119" s="61"/>
      <c r="CU119" s="111">
        <f t="shared" ref="CU119:CU182" si="50">X119/CI119</f>
        <v>3.2272529565855149E-2</v>
      </c>
      <c r="CV119" s="331">
        <f t="shared" si="46"/>
        <v>1.8623235025226021E-2</v>
      </c>
      <c r="CW119" s="326">
        <f t="shared" si="32"/>
        <v>0</v>
      </c>
      <c r="CX119" s="326" t="s">
        <v>539</v>
      </c>
      <c r="CY119" s="161" t="s">
        <v>5921</v>
      </c>
    </row>
    <row r="120" spans="1:103" ht="11.25" customHeight="1" x14ac:dyDescent="0.2">
      <c r="A120" s="72">
        <v>118</v>
      </c>
      <c r="B120" s="149">
        <v>225</v>
      </c>
      <c r="C120" s="54" t="s">
        <v>1047</v>
      </c>
      <c r="D120" s="54" t="s">
        <v>6503</v>
      </c>
      <c r="E120" s="59"/>
      <c r="F120" s="59" t="s">
        <v>1048</v>
      </c>
      <c r="G120" s="151">
        <v>5598130</v>
      </c>
      <c r="H120" s="55" t="s">
        <v>1049</v>
      </c>
      <c r="I120" s="55" t="s">
        <v>7928</v>
      </c>
      <c r="J120" s="55" t="s">
        <v>1050</v>
      </c>
      <c r="K120" s="55" t="s">
        <v>1040</v>
      </c>
      <c r="L120" s="55" t="s">
        <v>617</v>
      </c>
      <c r="M120" s="55" t="s">
        <v>946</v>
      </c>
      <c r="N120" s="60" t="s">
        <v>6376</v>
      </c>
      <c r="O120" s="55" t="s">
        <v>918</v>
      </c>
      <c r="P120" s="67"/>
      <c r="Q120" s="67"/>
      <c r="R120" s="67"/>
      <c r="S120" s="67"/>
      <c r="T120" s="56">
        <v>322.52999999999997</v>
      </c>
      <c r="U120" s="103">
        <v>1.4758317055777757E-2</v>
      </c>
      <c r="V120" s="103">
        <v>5.8506185471118967E-3</v>
      </c>
      <c r="W120" s="103">
        <v>2.1877616239495488E-2</v>
      </c>
      <c r="X120" s="103">
        <v>1.4758317055777757E-2</v>
      </c>
      <c r="Y120" s="162">
        <v>7</v>
      </c>
      <c r="Z120" s="56">
        <v>4.13</v>
      </c>
      <c r="AA120" s="56">
        <v>4.3099999999999996</v>
      </c>
      <c r="AB120" s="56">
        <v>4.3</v>
      </c>
      <c r="AC120" s="56">
        <v>0.86850000000000005</v>
      </c>
      <c r="AD120" s="56">
        <v>4.17</v>
      </c>
      <c r="AE120" s="56">
        <v>3.71</v>
      </c>
      <c r="AF120" s="56">
        <f t="shared" si="36"/>
        <v>4.3099999999999996</v>
      </c>
      <c r="AG120" s="57">
        <v>4.43</v>
      </c>
      <c r="AH120" s="103">
        <v>1.4300000000000001E-6</v>
      </c>
      <c r="AI120" s="103">
        <v>3.7500000000000001E-6</v>
      </c>
      <c r="AJ120" s="62">
        <f t="shared" si="40"/>
        <v>-4.2332302888475901</v>
      </c>
      <c r="AK120" s="62">
        <f>LOG10(AI120*1000/(0.08206*298.15))</f>
        <v>-3.8145350585849327</v>
      </c>
      <c r="AL120" s="62">
        <f t="shared" si="48"/>
        <v>-3.8145350585849327</v>
      </c>
      <c r="AM120" s="62">
        <v>-10.934170000000002</v>
      </c>
      <c r="AN120" s="154">
        <v>-2.9</v>
      </c>
      <c r="AO120" s="410"/>
      <c r="AP120" s="410">
        <v>-5.59</v>
      </c>
      <c r="AQ120" s="154" t="s">
        <v>6312</v>
      </c>
      <c r="AR120" s="154" t="s">
        <v>6312</v>
      </c>
      <c r="AS120" s="149" t="s">
        <v>6</v>
      </c>
      <c r="AT120" s="58" t="s">
        <v>266</v>
      </c>
      <c r="AU120" s="56">
        <v>8</v>
      </c>
      <c r="AV120" s="56">
        <v>144</v>
      </c>
      <c r="AW120" s="56">
        <v>120</v>
      </c>
      <c r="AX120" s="56">
        <v>26</v>
      </c>
      <c r="AY120" s="56" t="s">
        <v>267</v>
      </c>
      <c r="AZ120" s="56" t="s">
        <v>268</v>
      </c>
      <c r="BA120" s="56">
        <v>2</v>
      </c>
      <c r="BB120" s="55" t="s">
        <v>888</v>
      </c>
      <c r="BC120" s="55" t="s">
        <v>270</v>
      </c>
      <c r="BD120" s="55" t="s">
        <v>8374</v>
      </c>
      <c r="BE120" s="56" t="s">
        <v>889</v>
      </c>
      <c r="BF120" s="56" t="s">
        <v>272</v>
      </c>
      <c r="BG120" s="56" t="s">
        <v>272</v>
      </c>
      <c r="BH120" s="56" t="s">
        <v>890</v>
      </c>
      <c r="BI120" s="103">
        <v>9.9999999999999995E-7</v>
      </c>
      <c r="BJ120" s="103">
        <v>0.08</v>
      </c>
      <c r="BK120" s="56"/>
      <c r="BL120" s="103">
        <f t="shared" si="49"/>
        <v>1.0037995577353173E-2</v>
      </c>
      <c r="BM120" s="56" t="s">
        <v>891</v>
      </c>
      <c r="BN120" s="162"/>
      <c r="BO120" s="162"/>
      <c r="BP120" s="162"/>
      <c r="BQ120" s="162"/>
      <c r="BR120" s="162"/>
      <c r="BS120" s="56">
        <v>4.6164921748011227E-2</v>
      </c>
      <c r="BT120" s="162"/>
      <c r="BU120" s="158"/>
      <c r="BV120" s="162"/>
      <c r="BW120" s="162"/>
      <c r="BX120" s="162"/>
      <c r="BY120" s="162"/>
      <c r="BZ120" s="162"/>
      <c r="CA120" s="162"/>
      <c r="CB120" s="162"/>
      <c r="CC120" s="56"/>
      <c r="CD120" s="56"/>
      <c r="CE120" s="56"/>
      <c r="CF120" s="56"/>
      <c r="CG120" s="56"/>
      <c r="CH120" s="56"/>
      <c r="CI120" s="103">
        <f t="shared" si="30"/>
        <v>4.6164921748011227E-2</v>
      </c>
      <c r="CJ120" s="103">
        <f t="shared" si="31"/>
        <v>-1.3356878962548966</v>
      </c>
      <c r="CK120" s="57">
        <f t="shared" si="45"/>
        <v>0.12547494471691467</v>
      </c>
      <c r="CL120" s="160">
        <f t="shared" si="39"/>
        <v>0.21743772538259762</v>
      </c>
      <c r="CM120" s="160">
        <v>-3.6225306876593688</v>
      </c>
      <c r="CN120" s="160">
        <f>BJ120/(10^CM120)</f>
        <v>335.44449933626174</v>
      </c>
      <c r="CO120" s="55" t="s">
        <v>892</v>
      </c>
      <c r="CP120" s="55" t="s">
        <v>893</v>
      </c>
      <c r="CQ120" s="149">
        <v>-3.2218039860237933</v>
      </c>
      <c r="CR120" s="349">
        <f t="shared" si="47"/>
        <v>76.933606138820508</v>
      </c>
      <c r="CS120" s="61" t="s">
        <v>539</v>
      </c>
      <c r="CT120" s="61"/>
      <c r="CU120" s="111">
        <f t="shared" si="50"/>
        <v>0.31968682057635117</v>
      </c>
      <c r="CV120" s="331">
        <f t="shared" si="46"/>
        <v>0.18447896319722196</v>
      </c>
      <c r="CW120" s="326">
        <f t="shared" si="32"/>
        <v>0</v>
      </c>
      <c r="CX120" s="326" t="s">
        <v>539</v>
      </c>
      <c r="CY120" s="161" t="s">
        <v>5921</v>
      </c>
    </row>
    <row r="121" spans="1:103" ht="11.25" customHeight="1" x14ac:dyDescent="0.2">
      <c r="A121" s="72">
        <v>119</v>
      </c>
      <c r="B121" s="149">
        <v>6</v>
      </c>
      <c r="C121" s="54" t="s">
        <v>302</v>
      </c>
      <c r="D121" s="54"/>
      <c r="E121" s="59"/>
      <c r="F121" s="59" t="s">
        <v>303</v>
      </c>
      <c r="G121" s="151">
        <v>134634</v>
      </c>
      <c r="H121" s="55" t="s">
        <v>304</v>
      </c>
      <c r="I121" s="55" t="s">
        <v>8289</v>
      </c>
      <c r="J121" s="55" t="s">
        <v>305</v>
      </c>
      <c r="K121" s="55" t="s">
        <v>306</v>
      </c>
      <c r="L121" s="64"/>
      <c r="M121" s="55"/>
      <c r="N121" s="60"/>
      <c r="O121" s="55"/>
      <c r="P121" s="67"/>
      <c r="Q121" s="67"/>
      <c r="R121" s="67"/>
      <c r="S121" s="67"/>
      <c r="T121" s="59">
        <v>373.92</v>
      </c>
      <c r="U121" s="153"/>
      <c r="V121" s="153">
        <v>1.7637462558836114</v>
      </c>
      <c r="W121" s="153"/>
      <c r="X121" s="153">
        <f>IF(W121=0,V121,W121)</f>
        <v>1.7637462558836114</v>
      </c>
      <c r="Y121" s="410"/>
      <c r="Z121" s="59">
        <v>0.97</v>
      </c>
      <c r="AA121" s="59"/>
      <c r="AB121" s="59"/>
      <c r="AC121" s="59"/>
      <c r="AD121" s="59"/>
      <c r="AE121" s="59"/>
      <c r="AF121" s="59"/>
      <c r="AG121" s="57">
        <v>4.8600000000000003</v>
      </c>
      <c r="AH121" s="103">
        <v>2.1900000000000002E-21</v>
      </c>
      <c r="AI121" s="103"/>
      <c r="AJ121" s="62">
        <f t="shared" si="40"/>
        <v>-19.048122211472535</v>
      </c>
      <c r="AK121" s="62"/>
      <c r="AL121" s="62">
        <f t="shared" si="48"/>
        <v>-19.048122211472535</v>
      </c>
      <c r="AM121" s="62"/>
      <c r="AN121" s="154">
        <v>-10.4</v>
      </c>
      <c r="AO121" s="410"/>
      <c r="AP121" s="410"/>
      <c r="AQ121" s="154" t="s">
        <v>6311</v>
      </c>
      <c r="AR121" s="154" t="s">
        <v>6311</v>
      </c>
      <c r="AS121" s="149" t="s">
        <v>289</v>
      </c>
      <c r="AT121" s="58" t="s">
        <v>266</v>
      </c>
      <c r="AU121" s="155">
        <v>24</v>
      </c>
      <c r="AV121" s="155">
        <v>120</v>
      </c>
      <c r="AW121" s="155">
        <v>96</v>
      </c>
      <c r="AX121" s="155">
        <v>28</v>
      </c>
      <c r="AY121" s="155" t="s">
        <v>267</v>
      </c>
      <c r="AZ121" s="155" t="s">
        <v>268</v>
      </c>
      <c r="BA121" s="155">
        <v>48</v>
      </c>
      <c r="BB121" s="55" t="s">
        <v>269</v>
      </c>
      <c r="BC121" s="156" t="s">
        <v>270</v>
      </c>
      <c r="BD121" s="156" t="s">
        <v>8374</v>
      </c>
      <c r="BE121" s="155" t="s">
        <v>271</v>
      </c>
      <c r="BF121" s="155" t="s">
        <v>272</v>
      </c>
      <c r="BG121" s="155" t="s">
        <v>272</v>
      </c>
      <c r="BH121" s="155" t="s">
        <v>272</v>
      </c>
      <c r="BI121" s="157">
        <v>2.6743688489516471E-3</v>
      </c>
      <c r="BJ121" s="157">
        <v>2.6743688489516475</v>
      </c>
      <c r="BK121" s="56"/>
      <c r="BL121" s="103">
        <f t="shared" si="49"/>
        <v>6.912625037115304</v>
      </c>
      <c r="BM121" s="56">
        <v>0</v>
      </c>
      <c r="BN121" s="56"/>
      <c r="BO121" s="56"/>
      <c r="BP121" s="56"/>
      <c r="BQ121" s="56"/>
      <c r="BR121" s="56"/>
      <c r="BS121" s="56"/>
      <c r="BT121" s="56"/>
      <c r="BU121" s="158"/>
      <c r="BV121" s="56"/>
      <c r="BW121" s="56"/>
      <c r="BX121" s="56"/>
      <c r="BY121" s="56">
        <v>0.6</v>
      </c>
      <c r="BZ121" s="56">
        <v>0.45</v>
      </c>
      <c r="CA121" s="56">
        <v>0.28000000000000003</v>
      </c>
      <c r="CB121" s="56">
        <v>0.08</v>
      </c>
      <c r="CC121" s="56"/>
      <c r="CD121" s="56"/>
      <c r="CE121" s="56"/>
      <c r="CF121" s="56"/>
      <c r="CG121" s="56"/>
      <c r="CH121" s="56"/>
      <c r="CI121" s="103">
        <f t="shared" si="30"/>
        <v>0.08</v>
      </c>
      <c r="CJ121" s="103">
        <f t="shared" si="31"/>
        <v>-1.0969100130080565</v>
      </c>
      <c r="CK121" s="57">
        <f t="shared" si="45"/>
        <v>2.5847687538781545</v>
      </c>
      <c r="CL121" s="160">
        <f t="shared" si="39"/>
        <v>86.407812963941296</v>
      </c>
      <c r="CM121" s="160"/>
      <c r="CN121" s="160"/>
      <c r="CO121" s="55" t="s">
        <v>273</v>
      </c>
      <c r="CP121" s="156" t="s">
        <v>274</v>
      </c>
      <c r="CQ121" s="149" t="s">
        <v>272</v>
      </c>
      <c r="CR121" s="349"/>
      <c r="CS121" s="61" t="s">
        <v>539</v>
      </c>
      <c r="CT121" s="61"/>
      <c r="CU121" s="111">
        <f t="shared" si="50"/>
        <v>22.046828198545143</v>
      </c>
      <c r="CV121" s="331">
        <f t="shared" si="46"/>
        <v>0.65949999999999998</v>
      </c>
      <c r="CW121" s="326">
        <f t="shared" si="32"/>
        <v>1</v>
      </c>
      <c r="CX121" s="326"/>
      <c r="CY121" s="161" t="s">
        <v>5921</v>
      </c>
    </row>
    <row r="122" spans="1:103" ht="11.25" customHeight="1" x14ac:dyDescent="0.2">
      <c r="A122" s="72">
        <v>120</v>
      </c>
      <c r="B122" s="149">
        <v>252</v>
      </c>
      <c r="C122" s="54" t="s">
        <v>1087</v>
      </c>
      <c r="D122" s="54" t="s">
        <v>6486</v>
      </c>
      <c r="E122" s="59"/>
      <c r="F122" s="59" t="s">
        <v>1088</v>
      </c>
      <c r="G122" s="151">
        <v>333415</v>
      </c>
      <c r="H122" s="55" t="s">
        <v>1089</v>
      </c>
      <c r="I122" s="55" t="s">
        <v>1089</v>
      </c>
      <c r="J122" s="55" t="s">
        <v>1090</v>
      </c>
      <c r="K122" s="55" t="s">
        <v>628</v>
      </c>
      <c r="L122" s="55" t="s">
        <v>617</v>
      </c>
      <c r="M122" s="55" t="s">
        <v>946</v>
      </c>
      <c r="N122" s="60" t="s">
        <v>6376</v>
      </c>
      <c r="O122" s="55" t="s">
        <v>918</v>
      </c>
      <c r="P122" s="67" t="s">
        <v>6178</v>
      </c>
      <c r="Q122" s="67" t="s">
        <v>6173</v>
      </c>
      <c r="R122" s="67" t="s">
        <v>6177</v>
      </c>
      <c r="S122" s="67" t="s">
        <v>6176</v>
      </c>
      <c r="T122" s="56">
        <v>304.35000000000002</v>
      </c>
      <c r="U122" s="103">
        <v>0.1314276326597667</v>
      </c>
      <c r="V122" s="103">
        <v>2.1212419911286348E-2</v>
      </c>
      <c r="W122" s="103">
        <v>5.370317963702527E-2</v>
      </c>
      <c r="X122" s="103">
        <v>0.1314276326597667</v>
      </c>
      <c r="Y122" s="162">
        <v>7</v>
      </c>
      <c r="Z122" s="56">
        <v>3.86</v>
      </c>
      <c r="AA122" s="56">
        <v>3.81</v>
      </c>
      <c r="AB122" s="56">
        <v>3.79</v>
      </c>
      <c r="AC122" s="56">
        <v>0.7823</v>
      </c>
      <c r="AD122" s="56">
        <v>3.8</v>
      </c>
      <c r="AE122" s="56">
        <v>3.81</v>
      </c>
      <c r="AF122" s="56">
        <f t="shared" ref="AF122:AF133" si="51">IF(AA122=0,AD122,AA122)</f>
        <v>3.81</v>
      </c>
      <c r="AG122" s="57">
        <v>4.32</v>
      </c>
      <c r="AH122" s="103">
        <v>8.7299999999999994E-8</v>
      </c>
      <c r="AI122" s="103">
        <v>1.1300000000000001E-7</v>
      </c>
      <c r="AJ122" s="62">
        <f t="shared" ref="AJ122:AJ153" si="52">LOG10(AH122*1000/(0.08206*298.15))</f>
        <v>-5.447552082607082</v>
      </c>
      <c r="AK122" s="62">
        <f>LOG10(AI122*1000/(0.08206*298.15))</f>
        <v>-5.3354878828292325</v>
      </c>
      <c r="AL122" s="62">
        <f t="shared" si="48"/>
        <v>-5.3354878828292325</v>
      </c>
      <c r="AM122" s="62">
        <v>-11.566619999999999</v>
      </c>
      <c r="AN122" s="154">
        <v>-2.79</v>
      </c>
      <c r="AO122" s="410"/>
      <c r="AP122" s="410">
        <v>1.21</v>
      </c>
      <c r="AQ122" s="154" t="s">
        <v>6312</v>
      </c>
      <c r="AR122" s="154" t="s">
        <v>6312</v>
      </c>
      <c r="AS122" s="149" t="s">
        <v>6</v>
      </c>
      <c r="AT122" s="58" t="s">
        <v>266</v>
      </c>
      <c r="AU122" s="56">
        <v>8</v>
      </c>
      <c r="AV122" s="56">
        <v>144</v>
      </c>
      <c r="AW122" s="56">
        <v>120</v>
      </c>
      <c r="AX122" s="56">
        <v>26</v>
      </c>
      <c r="AY122" s="56" t="s">
        <v>267</v>
      </c>
      <c r="AZ122" s="56" t="s">
        <v>268</v>
      </c>
      <c r="BA122" s="56">
        <v>2</v>
      </c>
      <c r="BB122" s="55" t="s">
        <v>888</v>
      </c>
      <c r="BC122" s="55" t="s">
        <v>270</v>
      </c>
      <c r="BD122" s="55" t="s">
        <v>8374</v>
      </c>
      <c r="BE122" s="56" t="s">
        <v>889</v>
      </c>
      <c r="BF122" s="56" t="s">
        <v>272</v>
      </c>
      <c r="BG122" s="56" t="s">
        <v>272</v>
      </c>
      <c r="BH122" s="56" t="s">
        <v>890</v>
      </c>
      <c r="BI122" s="103">
        <v>9.9999999999999995E-7</v>
      </c>
      <c r="BJ122" s="103">
        <v>0.08</v>
      </c>
      <c r="BK122" s="56"/>
      <c r="BL122" s="103">
        <f t="shared" si="49"/>
        <v>1.7544217388550231E-2</v>
      </c>
      <c r="BM122" s="56" t="s">
        <v>891</v>
      </c>
      <c r="BN122" s="162"/>
      <c r="BO122" s="162"/>
      <c r="BP122" s="162"/>
      <c r="BQ122" s="162"/>
      <c r="BR122" s="162"/>
      <c r="BS122" s="56">
        <v>4.6164921748011227E-2</v>
      </c>
      <c r="BT122" s="162"/>
      <c r="BU122" s="158"/>
      <c r="BV122" s="162"/>
      <c r="BW122" s="162"/>
      <c r="BX122" s="162"/>
      <c r="BY122" s="162"/>
      <c r="BZ122" s="162"/>
      <c r="CA122" s="162"/>
      <c r="CB122" s="162"/>
      <c r="CC122" s="56"/>
      <c r="CD122" s="56"/>
      <c r="CE122" s="56"/>
      <c r="CF122" s="56"/>
      <c r="CG122" s="56"/>
      <c r="CH122" s="56"/>
      <c r="CI122" s="103">
        <f t="shared" si="30"/>
        <v>4.6164921748011227E-2</v>
      </c>
      <c r="CJ122" s="103">
        <f t="shared" si="31"/>
        <v>-1.3356878962548966</v>
      </c>
      <c r="CK122" s="57">
        <f t="shared" si="45"/>
        <v>0.2193027173568779</v>
      </c>
      <c r="CL122" s="160">
        <f t="shared" si="39"/>
        <v>0.38003351298447791</v>
      </c>
      <c r="CM122" s="160">
        <v>-3.2351961258107615</v>
      </c>
      <c r="CN122" s="160">
        <f>BJ122/(10^CM122)</f>
        <v>137.49474908376169</v>
      </c>
      <c r="CO122" s="55" t="s">
        <v>892</v>
      </c>
      <c r="CP122" s="55" t="s">
        <v>893</v>
      </c>
      <c r="CQ122" s="149">
        <v>-2.4603145290714736</v>
      </c>
      <c r="CR122" s="349">
        <f>10^(CJ122-CQ122)</f>
        <v>13.323754835007611</v>
      </c>
      <c r="CS122" s="61" t="s">
        <v>539</v>
      </c>
      <c r="CT122" s="61"/>
      <c r="CU122" s="111">
        <f t="shared" si="50"/>
        <v>2.8469155298726045</v>
      </c>
      <c r="CV122" s="331">
        <f t="shared" si="46"/>
        <v>1.6428454082470838</v>
      </c>
      <c r="CW122" s="326">
        <f t="shared" si="32"/>
        <v>1</v>
      </c>
      <c r="CX122" s="326" t="s">
        <v>539</v>
      </c>
      <c r="CY122" s="161" t="s">
        <v>5921</v>
      </c>
    </row>
    <row r="123" spans="1:103" ht="11.25" customHeight="1" x14ac:dyDescent="0.2">
      <c r="A123" s="72">
        <v>121</v>
      </c>
      <c r="B123" s="149">
        <v>296</v>
      </c>
      <c r="C123" s="54" t="s">
        <v>1168</v>
      </c>
      <c r="D123" s="54" t="s">
        <v>6596</v>
      </c>
      <c r="E123" s="59"/>
      <c r="F123" s="59" t="s">
        <v>1169</v>
      </c>
      <c r="G123" s="151">
        <v>122145</v>
      </c>
      <c r="H123" s="55" t="s">
        <v>1170</v>
      </c>
      <c r="I123" s="55" t="s">
        <v>8040</v>
      </c>
      <c r="J123" s="55" t="s">
        <v>1171</v>
      </c>
      <c r="K123" s="55" t="s">
        <v>628</v>
      </c>
      <c r="L123" s="55" t="s">
        <v>617</v>
      </c>
      <c r="M123" s="55" t="s">
        <v>946</v>
      </c>
      <c r="N123" s="60" t="s">
        <v>6376</v>
      </c>
      <c r="O123" s="55" t="s">
        <v>918</v>
      </c>
      <c r="P123" s="67" t="s">
        <v>6178</v>
      </c>
      <c r="Q123" s="67" t="s">
        <v>6176</v>
      </c>
      <c r="R123" s="67" t="s">
        <v>6177</v>
      </c>
      <c r="S123" s="67" t="s">
        <v>6179</v>
      </c>
      <c r="T123" s="56">
        <v>277.24</v>
      </c>
      <c r="U123" s="103">
        <v>0.13706535853412205</v>
      </c>
      <c r="V123" s="103">
        <v>3.7115856297792522E-2</v>
      </c>
      <c r="W123" s="103">
        <v>6.3095734448019275E-2</v>
      </c>
      <c r="X123" s="103">
        <v>0.13706535853412205</v>
      </c>
      <c r="Y123" s="162">
        <v>7</v>
      </c>
      <c r="Z123" s="56">
        <v>3.3</v>
      </c>
      <c r="AA123" s="56">
        <v>3.3</v>
      </c>
      <c r="AB123" s="56">
        <v>3.43</v>
      </c>
      <c r="AC123" s="56">
        <v>0.88670000000000004</v>
      </c>
      <c r="AD123" s="56">
        <v>3.39</v>
      </c>
      <c r="AE123" s="56">
        <v>3.24</v>
      </c>
      <c r="AF123" s="56">
        <f t="shared" si="51"/>
        <v>3.3</v>
      </c>
      <c r="AG123" s="57">
        <v>2.74</v>
      </c>
      <c r="AH123" s="103">
        <v>1.86E-7</v>
      </c>
      <c r="AI123" s="103">
        <v>9.2999999999999999E-7</v>
      </c>
      <c r="AJ123" s="62">
        <f t="shared" si="52"/>
        <v>-5.1190533820947355</v>
      </c>
      <c r="AK123" s="62">
        <f>LOG10(AI123*1000/(0.08206*298.15))</f>
        <v>-4.4200833777587167</v>
      </c>
      <c r="AL123" s="62">
        <f t="shared" si="48"/>
        <v>-4.4200833777587167</v>
      </c>
      <c r="AM123" s="62">
        <v>-11.03668</v>
      </c>
      <c r="AN123" s="154">
        <v>-4.55</v>
      </c>
      <c r="AO123" s="410"/>
      <c r="AP123" s="410"/>
      <c r="AQ123" s="154" t="s">
        <v>6314</v>
      </c>
      <c r="AR123" s="154" t="s">
        <v>6314</v>
      </c>
      <c r="AS123" s="149" t="s">
        <v>6</v>
      </c>
      <c r="AT123" s="58" t="s">
        <v>266</v>
      </c>
      <c r="AU123" s="56">
        <v>8</v>
      </c>
      <c r="AV123" s="56">
        <v>144</v>
      </c>
      <c r="AW123" s="56">
        <v>120</v>
      </c>
      <c r="AX123" s="56">
        <v>26</v>
      </c>
      <c r="AY123" s="56" t="s">
        <v>267</v>
      </c>
      <c r="AZ123" s="56" t="s">
        <v>268</v>
      </c>
      <c r="BA123" s="56">
        <v>2</v>
      </c>
      <c r="BB123" s="55" t="s">
        <v>888</v>
      </c>
      <c r="BC123" s="55" t="s">
        <v>270</v>
      </c>
      <c r="BD123" s="55" t="s">
        <v>8374</v>
      </c>
      <c r="BE123" s="56" t="s">
        <v>889</v>
      </c>
      <c r="BF123" s="56" t="s">
        <v>272</v>
      </c>
      <c r="BG123" s="56" t="s">
        <v>272</v>
      </c>
      <c r="BH123" s="56" t="s">
        <v>890</v>
      </c>
      <c r="BI123" s="103">
        <v>9.9999999999999995E-7</v>
      </c>
      <c r="BJ123" s="103">
        <v>0.08</v>
      </c>
      <c r="BK123" s="56"/>
      <c r="BL123" s="103">
        <f t="shared" si="49"/>
        <v>5.5856021675172299E-2</v>
      </c>
      <c r="BM123" s="56" t="s">
        <v>891</v>
      </c>
      <c r="BN123" s="162"/>
      <c r="BO123" s="162"/>
      <c r="BP123" s="162"/>
      <c r="BQ123" s="162"/>
      <c r="BR123" s="162"/>
      <c r="BS123" s="56">
        <v>4.6164921748011227E-2</v>
      </c>
      <c r="BT123" s="162"/>
      <c r="BU123" s="158"/>
      <c r="BV123" s="162"/>
      <c r="BW123" s="162"/>
      <c r="BX123" s="162"/>
      <c r="BY123" s="162"/>
      <c r="BZ123" s="162"/>
      <c r="CA123" s="162"/>
      <c r="CB123" s="162"/>
      <c r="CC123" s="56"/>
      <c r="CD123" s="56"/>
      <c r="CE123" s="56"/>
      <c r="CF123" s="56"/>
      <c r="CG123" s="56"/>
      <c r="CH123" s="56"/>
      <c r="CI123" s="103">
        <f t="shared" si="30"/>
        <v>4.6164921748011227E-2</v>
      </c>
      <c r="CJ123" s="103">
        <f t="shared" si="31"/>
        <v>-1.3356878962548966</v>
      </c>
      <c r="CK123" s="57">
        <f t="shared" si="45"/>
        <v>0.69820027093965376</v>
      </c>
      <c r="CL123" s="160">
        <f t="shared" si="39"/>
        <v>1.2099234561700207</v>
      </c>
      <c r="CM123" s="160">
        <v>-2.1013209454515431</v>
      </c>
      <c r="CN123" s="160">
        <f>BJ123/(10^CM123)</f>
        <v>10.102083000784949</v>
      </c>
      <c r="CO123" s="55" t="s">
        <v>892</v>
      </c>
      <c r="CP123" s="55" t="s">
        <v>893</v>
      </c>
      <c r="CQ123" s="149">
        <v>-2.0301304845737653</v>
      </c>
      <c r="CR123" s="349">
        <f>10^(CJ123-CQ123)</f>
        <v>4.9481469442886503</v>
      </c>
      <c r="CS123" s="61" t="s">
        <v>539</v>
      </c>
      <c r="CT123" s="61"/>
      <c r="CU123" s="111">
        <f t="shared" si="50"/>
        <v>2.9690369515253603</v>
      </c>
      <c r="CV123" s="331">
        <f t="shared" si="46"/>
        <v>1.7133169816765257</v>
      </c>
      <c r="CW123" s="326">
        <f t="shared" si="32"/>
        <v>1</v>
      </c>
      <c r="CX123" s="326" t="s">
        <v>539</v>
      </c>
      <c r="CY123" s="161" t="s">
        <v>5921</v>
      </c>
    </row>
    <row r="124" spans="1:103" ht="11.25" customHeight="1" x14ac:dyDescent="0.2">
      <c r="A124" s="72">
        <v>122</v>
      </c>
      <c r="B124" s="149">
        <v>175</v>
      </c>
      <c r="C124" s="54" t="s">
        <v>905</v>
      </c>
      <c r="D124" s="54" t="s">
        <v>6453</v>
      </c>
      <c r="E124" s="59"/>
      <c r="F124" s="59" t="s">
        <v>906</v>
      </c>
      <c r="G124" s="151">
        <v>90437</v>
      </c>
      <c r="H124" s="55" t="s">
        <v>907</v>
      </c>
      <c r="I124" s="55" t="s">
        <v>907</v>
      </c>
      <c r="J124" s="55" t="s">
        <v>908</v>
      </c>
      <c r="K124" s="55" t="s">
        <v>349</v>
      </c>
      <c r="L124" s="55" t="s">
        <v>5930</v>
      </c>
      <c r="M124" s="55" t="s">
        <v>6082</v>
      </c>
      <c r="N124" s="60" t="s">
        <v>6082</v>
      </c>
      <c r="O124" s="55" t="s">
        <v>6083</v>
      </c>
      <c r="P124" s="67"/>
      <c r="Q124" s="67" t="s">
        <v>6173</v>
      </c>
      <c r="R124" s="67" t="s">
        <v>6185</v>
      </c>
      <c r="S124" s="67" t="s">
        <v>6176</v>
      </c>
      <c r="T124" s="56">
        <v>170.21</v>
      </c>
      <c r="U124" s="103">
        <v>4.1125668292109747</v>
      </c>
      <c r="V124" s="103">
        <v>3.1478761529874855</v>
      </c>
      <c r="W124" s="103">
        <v>1.4791083881682066</v>
      </c>
      <c r="X124" s="103">
        <v>4.1125668292109747</v>
      </c>
      <c r="Y124" s="162">
        <v>6.4</v>
      </c>
      <c r="Z124" s="56">
        <v>3.28</v>
      </c>
      <c r="AA124" s="56">
        <v>3.09</v>
      </c>
      <c r="AB124" s="56">
        <v>3.12</v>
      </c>
      <c r="AC124" s="56">
        <v>0.95399999999999996</v>
      </c>
      <c r="AD124" s="56">
        <v>3.08</v>
      </c>
      <c r="AE124" s="56">
        <v>2.94</v>
      </c>
      <c r="AF124" s="56">
        <f t="shared" si="51"/>
        <v>3.09</v>
      </c>
      <c r="AG124" s="57">
        <v>3.16</v>
      </c>
      <c r="AH124" s="103">
        <v>4.3000000000000001E-8</v>
      </c>
      <c r="AI124" s="103">
        <v>1.0499999999999999E-6</v>
      </c>
      <c r="AJ124" s="62">
        <f t="shared" si="52"/>
        <v>-5.7550978707330653</v>
      </c>
      <c r="AK124" s="62">
        <f>LOG10(AI124*1000/(0.08206*298.15))</f>
        <v>-4.3673770272427141</v>
      </c>
      <c r="AL124" s="62">
        <f t="shared" si="48"/>
        <v>-4.3673770272427141</v>
      </c>
      <c r="AM124" s="62">
        <v>-9.6377500000000005</v>
      </c>
      <c r="AN124" s="154">
        <v>-5.99</v>
      </c>
      <c r="AO124" s="410">
        <v>10</v>
      </c>
      <c r="AP124" s="410"/>
      <c r="AQ124" s="154" t="s">
        <v>6311</v>
      </c>
      <c r="AR124" s="154" t="s">
        <v>6311</v>
      </c>
      <c r="AS124" s="149" t="s">
        <v>6</v>
      </c>
      <c r="AT124" s="58" t="s">
        <v>266</v>
      </c>
      <c r="AU124" s="56">
        <v>8</v>
      </c>
      <c r="AV124" s="56">
        <v>144</v>
      </c>
      <c r="AW124" s="56">
        <v>120</v>
      </c>
      <c r="AX124" s="56">
        <v>26</v>
      </c>
      <c r="AY124" s="56" t="s">
        <v>267</v>
      </c>
      <c r="AZ124" s="56" t="s">
        <v>268</v>
      </c>
      <c r="BA124" s="56">
        <v>2</v>
      </c>
      <c r="BB124" s="55" t="s">
        <v>888</v>
      </c>
      <c r="BC124" s="55" t="s">
        <v>270</v>
      </c>
      <c r="BD124" s="55" t="s">
        <v>8374</v>
      </c>
      <c r="BE124" s="56" t="s">
        <v>889</v>
      </c>
      <c r="BF124" s="56" t="s">
        <v>272</v>
      </c>
      <c r="BG124" s="56" t="s">
        <v>272</v>
      </c>
      <c r="BH124" s="56" t="s">
        <v>890</v>
      </c>
      <c r="BI124" s="103">
        <v>9.9999999999999995E-7</v>
      </c>
      <c r="BJ124" s="103">
        <v>0.08</v>
      </c>
      <c r="BK124" s="56"/>
      <c r="BL124" s="103">
        <f t="shared" si="49"/>
        <v>5.8214611030121002E-2</v>
      </c>
      <c r="BM124" s="56" t="s">
        <v>891</v>
      </c>
      <c r="BN124" s="162"/>
      <c r="BO124" s="162"/>
      <c r="BP124" s="162"/>
      <c r="BQ124" s="162"/>
      <c r="BR124" s="162"/>
      <c r="BS124" s="56">
        <v>4.6164921748011227E-2</v>
      </c>
      <c r="BT124" s="162"/>
      <c r="BU124" s="158"/>
      <c r="BV124" s="162"/>
      <c r="BW124" s="162"/>
      <c r="BX124" s="162"/>
      <c r="BY124" s="162"/>
      <c r="BZ124" s="162"/>
      <c r="CA124" s="162"/>
      <c r="CB124" s="162"/>
      <c r="CC124" s="56"/>
      <c r="CD124" s="56"/>
      <c r="CE124" s="56"/>
      <c r="CF124" s="56"/>
      <c r="CG124" s="56"/>
      <c r="CH124" s="56"/>
      <c r="CI124" s="103">
        <f t="shared" si="30"/>
        <v>4.6164921748011227E-2</v>
      </c>
      <c r="CJ124" s="103">
        <f t="shared" si="31"/>
        <v>-1.3356878962548966</v>
      </c>
      <c r="CK124" s="57">
        <f t="shared" si="45"/>
        <v>0.72768263787651255</v>
      </c>
      <c r="CL124" s="160">
        <f t="shared" si="39"/>
        <v>1.2610139652761108</v>
      </c>
      <c r="CM124" s="160">
        <v>-1.7092056982561878</v>
      </c>
      <c r="CN124" s="160">
        <f>BJ124/(10^CM124)</f>
        <v>4.0953939581615817</v>
      </c>
      <c r="CO124" s="55" t="s">
        <v>892</v>
      </c>
      <c r="CP124" s="55" t="s">
        <v>893</v>
      </c>
      <c r="CQ124" s="149">
        <v>-1.5830584100719567</v>
      </c>
      <c r="CR124" s="349">
        <f>10^(CJ124-CQ124)</f>
        <v>1.7675451403574236</v>
      </c>
      <c r="CS124" s="61" t="s">
        <v>539</v>
      </c>
      <c r="CT124" s="61"/>
      <c r="CU124" s="111">
        <f t="shared" si="50"/>
        <v>89.084236981039467</v>
      </c>
      <c r="CV124" s="331">
        <f t="shared" si="46"/>
        <v>51.407085365137185</v>
      </c>
      <c r="CW124" s="326">
        <f t="shared" si="32"/>
        <v>1</v>
      </c>
      <c r="CX124" s="326" t="s">
        <v>539</v>
      </c>
      <c r="CY124" s="161" t="s">
        <v>6351</v>
      </c>
    </row>
    <row r="125" spans="1:103" ht="11.25" customHeight="1" x14ac:dyDescent="0.2">
      <c r="A125" s="72">
        <v>123</v>
      </c>
      <c r="B125" s="149">
        <v>992</v>
      </c>
      <c r="C125" s="54" t="s">
        <v>2830</v>
      </c>
      <c r="D125" s="54" t="s">
        <v>8367</v>
      </c>
      <c r="E125" s="59"/>
      <c r="F125" s="59" t="s">
        <v>2831</v>
      </c>
      <c r="G125" s="151">
        <v>136776</v>
      </c>
      <c r="H125" s="55" t="s">
        <v>2832</v>
      </c>
      <c r="I125" s="55" t="s">
        <v>2832</v>
      </c>
      <c r="J125" s="55" t="s">
        <v>2833</v>
      </c>
      <c r="K125" s="55" t="s">
        <v>376</v>
      </c>
      <c r="L125" s="55"/>
      <c r="M125" s="55"/>
      <c r="N125" s="60"/>
      <c r="O125" s="55"/>
      <c r="P125" s="67"/>
      <c r="Q125" s="67" t="s">
        <v>6176</v>
      </c>
      <c r="R125" s="67" t="s">
        <v>6185</v>
      </c>
      <c r="S125" s="67" t="s">
        <v>6173</v>
      </c>
      <c r="T125" s="56">
        <v>194.27</v>
      </c>
      <c r="U125" s="103">
        <v>2.5737375817161681</v>
      </c>
      <c r="V125" s="103">
        <v>1.0361867503989293</v>
      </c>
      <c r="W125" s="103">
        <v>1.2882495516931329</v>
      </c>
      <c r="X125" s="103">
        <v>2.5737375817161681</v>
      </c>
      <c r="Y125" s="162">
        <v>6.37</v>
      </c>
      <c r="Z125" s="56">
        <v>4.04</v>
      </c>
      <c r="AA125" s="56">
        <v>3.45</v>
      </c>
      <c r="AB125" s="56">
        <v>3.66</v>
      </c>
      <c r="AC125" s="56">
        <v>0.86819999999999997</v>
      </c>
      <c r="AD125" s="56">
        <v>3.71</v>
      </c>
      <c r="AE125" s="56">
        <v>3.88</v>
      </c>
      <c r="AF125" s="56">
        <f t="shared" si="51"/>
        <v>3.45</v>
      </c>
      <c r="AG125" s="57">
        <v>3.71</v>
      </c>
      <c r="AH125" s="103">
        <v>2.6500000000000002E-10</v>
      </c>
      <c r="AI125" s="103"/>
      <c r="AJ125" s="62">
        <f t="shared" si="52"/>
        <v>-7.9653204523758436</v>
      </c>
      <c r="AK125" s="62"/>
      <c r="AL125" s="62">
        <f t="shared" si="48"/>
        <v>-7.9653204523758436</v>
      </c>
      <c r="AM125" s="62">
        <v>-10.94233</v>
      </c>
      <c r="AN125" s="154">
        <v>-7.62</v>
      </c>
      <c r="AO125" s="410">
        <v>10</v>
      </c>
      <c r="AP125" s="410"/>
      <c r="AQ125" s="56" t="s">
        <v>6311</v>
      </c>
      <c r="AR125" s="56" t="s">
        <v>6311</v>
      </c>
      <c r="AS125" s="155"/>
      <c r="AT125" s="58" t="s">
        <v>266</v>
      </c>
      <c r="AU125" s="56">
        <v>6</v>
      </c>
      <c r="AV125" s="56">
        <v>120</v>
      </c>
      <c r="AW125" s="56">
        <v>114</v>
      </c>
      <c r="AX125" s="56">
        <v>28</v>
      </c>
      <c r="AY125" s="56" t="s">
        <v>8728</v>
      </c>
      <c r="AZ125" s="56" t="s">
        <v>1563</v>
      </c>
      <c r="BA125" s="56">
        <v>32</v>
      </c>
      <c r="BB125" s="55" t="s">
        <v>2485</v>
      </c>
      <c r="BC125" s="55" t="s">
        <v>8726</v>
      </c>
      <c r="BD125" s="55" t="s">
        <v>8374</v>
      </c>
      <c r="BE125" s="56" t="s">
        <v>2449</v>
      </c>
      <c r="BF125" s="56" t="s">
        <v>272</v>
      </c>
      <c r="BG125" s="56" t="s">
        <v>272</v>
      </c>
      <c r="BH125" s="56" t="s">
        <v>2486</v>
      </c>
      <c r="BI125" s="103">
        <v>6.3999999999999997E-6</v>
      </c>
      <c r="BJ125" s="103">
        <v>6.4000000000000001E-2</v>
      </c>
      <c r="BK125" s="56"/>
      <c r="BL125" s="103">
        <f t="shared" si="49"/>
        <v>1.2091383616416788E-2</v>
      </c>
      <c r="BM125" s="56" t="s">
        <v>2046</v>
      </c>
      <c r="BN125" s="56"/>
      <c r="BO125" s="56"/>
      <c r="BP125" s="56"/>
      <c r="BQ125" s="56"/>
      <c r="BR125" s="55">
        <v>2.0238577000000001E-2</v>
      </c>
      <c r="BS125" s="56"/>
      <c r="BT125" s="56"/>
      <c r="BU125" s="158"/>
      <c r="BV125" s="56"/>
      <c r="BW125" s="56"/>
      <c r="BX125" s="56"/>
      <c r="BY125" s="56"/>
      <c r="BZ125" s="56"/>
      <c r="CA125" s="56"/>
      <c r="CB125" s="56"/>
      <c r="CC125" s="56"/>
      <c r="CD125" s="56"/>
      <c r="CE125" s="56"/>
      <c r="CF125" s="56"/>
      <c r="CG125" s="56"/>
      <c r="CH125" s="56"/>
      <c r="CI125" s="103">
        <f t="shared" si="30"/>
        <v>2.0238577000000001E-2</v>
      </c>
      <c r="CJ125" s="103">
        <f t="shared" si="31"/>
        <v>-1.6938200265542473</v>
      </c>
      <c r="CK125" s="57">
        <f t="shared" si="45"/>
        <v>0.18892786900651232</v>
      </c>
      <c r="CL125" s="160">
        <f t="shared" si="39"/>
        <v>0.59744238028280283</v>
      </c>
      <c r="CM125" s="160"/>
      <c r="CN125" s="160"/>
      <c r="CO125" s="55" t="s">
        <v>2488</v>
      </c>
      <c r="CP125" s="55" t="s">
        <v>2489</v>
      </c>
      <c r="CQ125" s="149" t="s">
        <v>272</v>
      </c>
      <c r="CR125" s="349"/>
      <c r="CS125" s="61" t="s">
        <v>539</v>
      </c>
      <c r="CT125" s="61"/>
      <c r="CU125" s="111">
        <f t="shared" si="50"/>
        <v>127.16988856065167</v>
      </c>
      <c r="CV125" s="331">
        <f t="shared" si="46"/>
        <v>40.214649714315122</v>
      </c>
      <c r="CW125" s="326">
        <f t="shared" si="32"/>
        <v>1</v>
      </c>
      <c r="CX125" s="326"/>
      <c r="CY125" s="161" t="s">
        <v>5921</v>
      </c>
    </row>
    <row r="126" spans="1:103" ht="11.25" customHeight="1" x14ac:dyDescent="0.2">
      <c r="A126" s="72">
        <v>124</v>
      </c>
      <c r="B126" s="149">
        <v>194</v>
      </c>
      <c r="C126" s="54" t="s">
        <v>958</v>
      </c>
      <c r="D126" s="54" t="s">
        <v>6511</v>
      </c>
      <c r="E126" s="59"/>
      <c r="F126" s="59" t="s">
        <v>959</v>
      </c>
      <c r="G126" s="151">
        <v>22781233</v>
      </c>
      <c r="H126" s="55" t="s">
        <v>960</v>
      </c>
      <c r="I126" s="55" t="s">
        <v>960</v>
      </c>
      <c r="J126" s="55" t="s">
        <v>961</v>
      </c>
      <c r="K126" s="55" t="s">
        <v>962</v>
      </c>
      <c r="L126" s="55" t="s">
        <v>617</v>
      </c>
      <c r="M126" s="55" t="s">
        <v>946</v>
      </c>
      <c r="N126" s="60" t="s">
        <v>6376</v>
      </c>
      <c r="O126" s="55" t="s">
        <v>918</v>
      </c>
      <c r="P126" s="67"/>
      <c r="Q126" s="67"/>
      <c r="R126" s="67"/>
      <c r="S126" s="67"/>
      <c r="T126" s="56">
        <v>223.23</v>
      </c>
      <c r="U126" s="103">
        <v>1.1647180038525289</v>
      </c>
      <c r="V126" s="103">
        <v>5.2367513327061781</v>
      </c>
      <c r="W126" s="103">
        <v>1.2022644346174123</v>
      </c>
      <c r="X126" s="103">
        <v>1.1647180038525289</v>
      </c>
      <c r="Y126" s="162">
        <v>6.97</v>
      </c>
      <c r="Z126" s="56">
        <v>2.5499999999999998</v>
      </c>
      <c r="AA126" s="56">
        <v>1.7</v>
      </c>
      <c r="AB126" s="56">
        <v>1.85</v>
      </c>
      <c r="AC126" s="56">
        <v>0.84089999999999998</v>
      </c>
      <c r="AD126" s="56">
        <v>1.85</v>
      </c>
      <c r="AE126" s="56">
        <v>1.86</v>
      </c>
      <c r="AF126" s="56">
        <f t="shared" si="51"/>
        <v>1.7</v>
      </c>
      <c r="AG126" s="57">
        <v>1.38</v>
      </c>
      <c r="AH126" s="103">
        <v>6.5799999999999995E-11</v>
      </c>
      <c r="AI126" s="103">
        <v>3.8999999999999998E-8</v>
      </c>
      <c r="AJ126" s="62">
        <f t="shared" si="52"/>
        <v>-8.5703404326986963</v>
      </c>
      <c r="AK126" s="62">
        <f>LOG10(AI126*1000/(0.08206*298.15))</f>
        <v>-5.7975017192861529</v>
      </c>
      <c r="AL126" s="62">
        <f t="shared" si="48"/>
        <v>-5.7975017192861529</v>
      </c>
      <c r="AM126" s="62">
        <v>-11.31254</v>
      </c>
      <c r="AN126" s="154">
        <v>-5.95</v>
      </c>
      <c r="AO126" s="410">
        <v>11.98</v>
      </c>
      <c r="AP126" s="410">
        <v>-1.56</v>
      </c>
      <c r="AQ126" s="154" t="s">
        <v>6311</v>
      </c>
      <c r="AR126" s="154" t="s">
        <v>6314</v>
      </c>
      <c r="AS126" s="149" t="s">
        <v>6</v>
      </c>
      <c r="AT126" s="58" t="s">
        <v>266</v>
      </c>
      <c r="AU126" s="56">
        <v>8</v>
      </c>
      <c r="AV126" s="56">
        <v>144</v>
      </c>
      <c r="AW126" s="56">
        <v>120</v>
      </c>
      <c r="AX126" s="56">
        <v>26</v>
      </c>
      <c r="AY126" s="56" t="s">
        <v>267</v>
      </c>
      <c r="AZ126" s="56" t="s">
        <v>268</v>
      </c>
      <c r="BA126" s="56">
        <v>2</v>
      </c>
      <c r="BB126" s="55" t="s">
        <v>888</v>
      </c>
      <c r="BC126" s="55" t="s">
        <v>270</v>
      </c>
      <c r="BD126" s="55" t="s">
        <v>8374</v>
      </c>
      <c r="BE126" s="56" t="s">
        <v>889</v>
      </c>
      <c r="BF126" s="56" t="s">
        <v>272</v>
      </c>
      <c r="BG126" s="56" t="s">
        <v>272</v>
      </c>
      <c r="BH126" s="56" t="s">
        <v>890</v>
      </c>
      <c r="BI126" s="103">
        <v>9.9999999999999995E-7</v>
      </c>
      <c r="BJ126" s="103">
        <v>0.08</v>
      </c>
      <c r="BK126" s="56"/>
      <c r="BL126" s="103">
        <f t="shared" si="49"/>
        <v>0.26341772823875065</v>
      </c>
      <c r="BM126" s="56" t="s">
        <v>891</v>
      </c>
      <c r="BN126" s="162"/>
      <c r="BO126" s="162"/>
      <c r="BP126" s="162"/>
      <c r="BQ126" s="162"/>
      <c r="BR126" s="162"/>
      <c r="BS126" s="56">
        <v>4.6164921748011227E-2</v>
      </c>
      <c r="BT126" s="162"/>
      <c r="BU126" s="158"/>
      <c r="BV126" s="162"/>
      <c r="BW126" s="162"/>
      <c r="BX126" s="162"/>
      <c r="BY126" s="162"/>
      <c r="BZ126" s="162"/>
      <c r="CA126" s="162"/>
      <c r="CB126" s="162"/>
      <c r="CC126" s="56"/>
      <c r="CD126" s="56"/>
      <c r="CE126" s="56"/>
      <c r="CF126" s="56"/>
      <c r="CG126" s="56"/>
      <c r="CH126" s="56"/>
      <c r="CI126" s="103">
        <f t="shared" si="30"/>
        <v>4.6164921748011227E-2</v>
      </c>
      <c r="CJ126" s="103">
        <f t="shared" si="31"/>
        <v>-1.3356878962548966</v>
      </c>
      <c r="CK126" s="57">
        <f t="shared" si="45"/>
        <v>3.2927216029843831</v>
      </c>
      <c r="CL126" s="160">
        <f t="shared" si="39"/>
        <v>5.7060148325735787</v>
      </c>
      <c r="CM126" s="160">
        <v>-2.3314294315540174</v>
      </c>
      <c r="CN126" s="160">
        <f>BJ126/(10^CM126)</f>
        <v>17.160084360411133</v>
      </c>
      <c r="CO126" s="55" t="s">
        <v>892</v>
      </c>
      <c r="CP126" s="55" t="s">
        <v>893</v>
      </c>
      <c r="CQ126" s="149">
        <v>-2.3117965798381497</v>
      </c>
      <c r="CR126" s="349">
        <f>10^(CJ126-CQ126)</f>
        <v>9.4647398987441811</v>
      </c>
      <c r="CS126" s="61" t="s">
        <v>539</v>
      </c>
      <c r="CT126" s="61"/>
      <c r="CU126" s="111">
        <f t="shared" si="50"/>
        <v>25.22950239599842</v>
      </c>
      <c r="CV126" s="331">
        <f t="shared" si="46"/>
        <v>14.558975048156611</v>
      </c>
      <c r="CW126" s="326">
        <f t="shared" si="32"/>
        <v>1</v>
      </c>
      <c r="CX126" s="326" t="s">
        <v>539</v>
      </c>
      <c r="CY126" s="161" t="s">
        <v>5921</v>
      </c>
    </row>
    <row r="127" spans="1:103" ht="11.25" customHeight="1" x14ac:dyDescent="0.2">
      <c r="A127" s="72">
        <v>125</v>
      </c>
      <c r="B127" s="149">
        <v>367</v>
      </c>
      <c r="C127" s="54" t="s">
        <v>1307</v>
      </c>
      <c r="D127" s="54" t="s">
        <v>6521</v>
      </c>
      <c r="E127" s="59"/>
      <c r="F127" s="59" t="s">
        <v>1308</v>
      </c>
      <c r="G127" s="151">
        <v>51218452</v>
      </c>
      <c r="H127" s="55" t="s">
        <v>1309</v>
      </c>
      <c r="I127" s="55" t="s">
        <v>8129</v>
      </c>
      <c r="J127" s="55" t="s">
        <v>1310</v>
      </c>
      <c r="K127" s="55" t="s">
        <v>924</v>
      </c>
      <c r="L127" s="55" t="s">
        <v>5999</v>
      </c>
      <c r="M127" s="55" t="s">
        <v>6082</v>
      </c>
      <c r="N127" s="60" t="s">
        <v>6082</v>
      </c>
      <c r="O127" s="55" t="s">
        <v>6083</v>
      </c>
      <c r="P127" s="67"/>
      <c r="Q127" s="67"/>
      <c r="R127" s="67"/>
      <c r="S127" s="67"/>
      <c r="T127" s="56">
        <v>283.79000000000002</v>
      </c>
      <c r="U127" s="103">
        <v>1.8675781387645793</v>
      </c>
      <c r="V127" s="103">
        <v>0.17921702667465378</v>
      </c>
      <c r="W127" s="103">
        <v>1.819700858609981</v>
      </c>
      <c r="X127" s="103">
        <v>1.8675781387645793</v>
      </c>
      <c r="Y127" s="162">
        <v>7.01</v>
      </c>
      <c r="Z127" s="56">
        <v>3.24</v>
      </c>
      <c r="AA127" s="56">
        <v>2.9</v>
      </c>
      <c r="AB127" s="56">
        <v>3.28</v>
      </c>
      <c r="AC127" s="56">
        <v>0.85260000000000002</v>
      </c>
      <c r="AD127" s="56">
        <v>3.22</v>
      </c>
      <c r="AE127" s="56">
        <v>3</v>
      </c>
      <c r="AF127" s="56">
        <f t="shared" si="51"/>
        <v>2.9</v>
      </c>
      <c r="AG127" s="57">
        <v>3.4</v>
      </c>
      <c r="AH127" s="103">
        <v>1.49E-9</v>
      </c>
      <c r="AI127" s="103">
        <v>8.9999999999999995E-9</v>
      </c>
      <c r="AJ127" s="62">
        <f t="shared" si="52"/>
        <v>-7.2153800579003775</v>
      </c>
      <c r="AK127" s="62">
        <f>LOG10(AI127*1000/(0.08206*298.15))</f>
        <v>-6.4343238168733272</v>
      </c>
      <c r="AL127" s="62">
        <f t="shared" si="48"/>
        <v>-6.4343238168733272</v>
      </c>
      <c r="AM127" s="62">
        <v>-10.885639999999999</v>
      </c>
      <c r="AN127" s="154">
        <v>-5.2</v>
      </c>
      <c r="AO127" s="410"/>
      <c r="AP127" s="410">
        <v>1.45</v>
      </c>
      <c r="AQ127" s="154" t="s">
        <v>6311</v>
      </c>
      <c r="AR127" s="154" t="s">
        <v>6311</v>
      </c>
      <c r="AS127" s="149" t="s">
        <v>6</v>
      </c>
      <c r="AT127" s="58" t="s">
        <v>266</v>
      </c>
      <c r="AU127" s="56">
        <v>8</v>
      </c>
      <c r="AV127" s="56">
        <v>144</v>
      </c>
      <c r="AW127" s="56">
        <v>120</v>
      </c>
      <c r="AX127" s="56">
        <v>26</v>
      </c>
      <c r="AY127" s="56" t="s">
        <v>267</v>
      </c>
      <c r="AZ127" s="56" t="s">
        <v>268</v>
      </c>
      <c r="BA127" s="56">
        <v>2</v>
      </c>
      <c r="BB127" s="55" t="s">
        <v>888</v>
      </c>
      <c r="BC127" s="55" t="s">
        <v>270</v>
      </c>
      <c r="BD127" s="55" t="s">
        <v>8374</v>
      </c>
      <c r="BE127" s="56" t="s">
        <v>889</v>
      </c>
      <c r="BF127" s="56" t="s">
        <v>272</v>
      </c>
      <c r="BG127" s="56" t="s">
        <v>272</v>
      </c>
      <c r="BH127" s="56" t="s">
        <v>890</v>
      </c>
      <c r="BI127" s="103">
        <v>9.9999999999999995E-7</v>
      </c>
      <c r="BJ127" s="103">
        <v>0.08</v>
      </c>
      <c r="BK127" s="56"/>
      <c r="BL127" s="103">
        <f t="shared" si="49"/>
        <v>6.3234778260932642E-2</v>
      </c>
      <c r="BM127" s="56" t="s">
        <v>891</v>
      </c>
      <c r="BN127" s="162"/>
      <c r="BO127" s="162"/>
      <c r="BP127" s="162"/>
      <c r="BQ127" s="162"/>
      <c r="BR127" s="162"/>
      <c r="BS127" s="56">
        <v>4.6164921748011227E-2</v>
      </c>
      <c r="BT127" s="162"/>
      <c r="BU127" s="158"/>
      <c r="BV127" s="162"/>
      <c r="BW127" s="162"/>
      <c r="BX127" s="162"/>
      <c r="BY127" s="162"/>
      <c r="BZ127" s="162"/>
      <c r="CA127" s="162"/>
      <c r="CB127" s="162"/>
      <c r="CC127" s="56"/>
      <c r="CD127" s="56"/>
      <c r="CE127" s="56"/>
      <c r="CF127" s="56"/>
      <c r="CG127" s="56"/>
      <c r="CH127" s="56"/>
      <c r="CI127" s="103">
        <f t="shared" si="30"/>
        <v>4.6164921748011227E-2</v>
      </c>
      <c r="CJ127" s="103">
        <f t="shared" si="31"/>
        <v>-1.3356878962548966</v>
      </c>
      <c r="CK127" s="57">
        <f t="shared" si="45"/>
        <v>0.79043472826165806</v>
      </c>
      <c r="CL127" s="160">
        <f t="shared" si="39"/>
        <v>1.369758159801425</v>
      </c>
      <c r="CM127" s="160">
        <v>-1.6004931083493079</v>
      </c>
      <c r="CN127" s="160">
        <f>BJ127/(10^CM127)</f>
        <v>3.1884755814234076</v>
      </c>
      <c r="CO127" s="55" t="s">
        <v>892</v>
      </c>
      <c r="CP127" s="55" t="s">
        <v>893</v>
      </c>
      <c r="CQ127" s="149">
        <v>-1.5465216415385437</v>
      </c>
      <c r="CR127" s="349">
        <f>10^(CJ127-CQ127)</f>
        <v>1.6249265893720999</v>
      </c>
      <c r="CS127" s="61" t="s">
        <v>539</v>
      </c>
      <c r="CT127" s="61"/>
      <c r="CU127" s="111">
        <f t="shared" si="50"/>
        <v>40.45448509495273</v>
      </c>
      <c r="CV127" s="331">
        <f t="shared" si="46"/>
        <v>23.344726734557241</v>
      </c>
      <c r="CW127" s="326">
        <f t="shared" si="32"/>
        <v>1</v>
      </c>
      <c r="CX127" s="326" t="s">
        <v>539</v>
      </c>
      <c r="CY127" s="161" t="s">
        <v>5921</v>
      </c>
    </row>
    <row r="128" spans="1:103" ht="11.25" customHeight="1" x14ac:dyDescent="0.2">
      <c r="A128" s="72">
        <v>126</v>
      </c>
      <c r="B128" s="149">
        <v>293</v>
      </c>
      <c r="C128" s="54" t="s">
        <v>1155</v>
      </c>
      <c r="D128" s="54" t="s">
        <v>6528</v>
      </c>
      <c r="E128" s="59"/>
      <c r="F128" s="59" t="s">
        <v>1156</v>
      </c>
      <c r="G128" s="151">
        <v>60168889</v>
      </c>
      <c r="H128" s="55" t="s">
        <v>1157</v>
      </c>
      <c r="I128" s="55" t="s">
        <v>8137</v>
      </c>
      <c r="J128" s="55" t="s">
        <v>1158</v>
      </c>
      <c r="K128" s="55" t="s">
        <v>306</v>
      </c>
      <c r="L128" s="55" t="s">
        <v>5978</v>
      </c>
      <c r="M128" s="55" t="s">
        <v>6082</v>
      </c>
      <c r="N128" s="60" t="s">
        <v>6082</v>
      </c>
      <c r="O128" s="55" t="s">
        <v>6083</v>
      </c>
      <c r="P128" s="67"/>
      <c r="Q128" s="67"/>
      <c r="R128" s="67"/>
      <c r="S128" s="67"/>
      <c r="T128" s="56">
        <v>331.2</v>
      </c>
      <c r="U128" s="103">
        <v>4.2270531400966184E-2</v>
      </c>
      <c r="V128" s="103">
        <v>6.6123188405797104E-2</v>
      </c>
      <c r="W128" s="103">
        <v>6.4565422903465383E-2</v>
      </c>
      <c r="X128" s="103">
        <v>4.2270531400966184E-2</v>
      </c>
      <c r="Y128" s="162">
        <v>6.98</v>
      </c>
      <c r="Z128" s="56">
        <v>3.62</v>
      </c>
      <c r="AA128" s="56">
        <v>3.6</v>
      </c>
      <c r="AB128" s="56">
        <v>2.91</v>
      </c>
      <c r="AC128" s="56">
        <v>0.7964</v>
      </c>
      <c r="AD128" s="56">
        <v>3</v>
      </c>
      <c r="AE128" s="56">
        <v>3.23</v>
      </c>
      <c r="AF128" s="56">
        <f t="shared" si="51"/>
        <v>3.6</v>
      </c>
      <c r="AG128" s="57">
        <v>3.71</v>
      </c>
      <c r="AH128" s="103">
        <v>4.2100000000000002E-13</v>
      </c>
      <c r="AI128" s="103">
        <v>6.9999999999999998E-9</v>
      </c>
      <c r="AJ128" s="62">
        <f t="shared" si="52"/>
        <v>-10.764284230476983</v>
      </c>
      <c r="AK128" s="62">
        <f>LOG10(AI128*1000/(0.08206*298.15))</f>
        <v>-6.5434682862983946</v>
      </c>
      <c r="AL128" s="62">
        <f t="shared" si="48"/>
        <v>-6.5434682862983946</v>
      </c>
      <c r="AM128" s="62">
        <v>-15.724299999999999</v>
      </c>
      <c r="AN128" s="154">
        <v>-7.91</v>
      </c>
      <c r="AO128" s="410">
        <v>11.23</v>
      </c>
      <c r="AP128" s="410">
        <v>1.67</v>
      </c>
      <c r="AQ128" s="154" t="s">
        <v>6311</v>
      </c>
      <c r="AR128" s="154" t="s">
        <v>6311</v>
      </c>
      <c r="AS128" s="149" t="s">
        <v>6</v>
      </c>
      <c r="AT128" s="58" t="s">
        <v>266</v>
      </c>
      <c r="AU128" s="56">
        <v>8</v>
      </c>
      <c r="AV128" s="56">
        <v>144</v>
      </c>
      <c r="AW128" s="56">
        <v>120</v>
      </c>
      <c r="AX128" s="56">
        <v>26</v>
      </c>
      <c r="AY128" s="56" t="s">
        <v>267</v>
      </c>
      <c r="AZ128" s="56" t="s">
        <v>268</v>
      </c>
      <c r="BA128" s="56">
        <v>3</v>
      </c>
      <c r="BB128" s="55" t="s">
        <v>888</v>
      </c>
      <c r="BC128" s="55" t="s">
        <v>270</v>
      </c>
      <c r="BD128" s="55" t="s">
        <v>8374</v>
      </c>
      <c r="BE128" s="56" t="s">
        <v>889</v>
      </c>
      <c r="BF128" s="56" t="s">
        <v>272</v>
      </c>
      <c r="BG128" s="56" t="s">
        <v>272</v>
      </c>
      <c r="BH128" s="56" t="s">
        <v>890</v>
      </c>
      <c r="BI128" s="103">
        <v>9.9999999999999995E-7</v>
      </c>
      <c r="BJ128" s="103">
        <v>0.08</v>
      </c>
      <c r="BK128" s="56"/>
      <c r="BL128" s="103">
        <f t="shared" si="49"/>
        <v>2.8818939812396395E-2</v>
      </c>
      <c r="BM128" s="56" t="s">
        <v>891</v>
      </c>
      <c r="BN128" s="162"/>
      <c r="BO128" s="162"/>
      <c r="BP128" s="162"/>
      <c r="BQ128" s="162"/>
      <c r="BR128" s="162"/>
      <c r="BS128" s="56">
        <v>4.6164921748011227E-2</v>
      </c>
      <c r="BT128" s="162"/>
      <c r="BU128" s="158"/>
      <c r="BV128" s="162"/>
      <c r="BW128" s="162"/>
      <c r="BX128" s="162"/>
      <c r="BY128" s="162"/>
      <c r="BZ128" s="162"/>
      <c r="CA128" s="162"/>
      <c r="CB128" s="162"/>
      <c r="CC128" s="56"/>
      <c r="CD128" s="56"/>
      <c r="CE128" s="56"/>
      <c r="CF128" s="56"/>
      <c r="CG128" s="56"/>
      <c r="CH128" s="56"/>
      <c r="CI128" s="103">
        <f t="shared" si="30"/>
        <v>4.6164921748011227E-2</v>
      </c>
      <c r="CJ128" s="103">
        <f t="shared" si="31"/>
        <v>-1.3356878962548966</v>
      </c>
      <c r="CK128" s="57">
        <f t="shared" si="45"/>
        <v>0.36023674765495495</v>
      </c>
      <c r="CL128" s="160">
        <f t="shared" si="39"/>
        <v>0.62426055804238223</v>
      </c>
      <c r="CM128" s="160">
        <v>-2.1982937047078015</v>
      </c>
      <c r="CN128" s="160">
        <f>BJ128/(10^CM128)</f>
        <v>12.629428300987298</v>
      </c>
      <c r="CO128" s="55" t="s">
        <v>892</v>
      </c>
      <c r="CP128" s="55" t="s">
        <v>893</v>
      </c>
      <c r="CQ128" s="149">
        <v>-2.1214645421956675</v>
      </c>
      <c r="CR128" s="349">
        <f>10^(CJ128-CQ128)</f>
        <v>6.1062790325834548</v>
      </c>
      <c r="CS128" s="61" t="s">
        <v>539</v>
      </c>
      <c r="CT128" s="61"/>
      <c r="CU128" s="111">
        <f t="shared" si="50"/>
        <v>0.91564178602311153</v>
      </c>
      <c r="CV128" s="331">
        <f t="shared" si="46"/>
        <v>0.52838164251207731</v>
      </c>
      <c r="CW128" s="326">
        <f t="shared" si="32"/>
        <v>0</v>
      </c>
      <c r="CX128" s="326" t="s">
        <v>539</v>
      </c>
      <c r="CY128" s="161" t="s">
        <v>5921</v>
      </c>
    </row>
    <row r="129" spans="1:103" ht="11.25" customHeight="1" x14ac:dyDescent="0.2">
      <c r="A129" s="72">
        <v>127</v>
      </c>
      <c r="B129" s="149">
        <v>453</v>
      </c>
      <c r="C129" s="54" t="s">
        <v>1487</v>
      </c>
      <c r="D129" s="54" t="s">
        <v>6482</v>
      </c>
      <c r="E129" s="59"/>
      <c r="F129" s="59" t="s">
        <v>1488</v>
      </c>
      <c r="G129" s="151">
        <v>148798</v>
      </c>
      <c r="H129" s="55" t="s">
        <v>1489</v>
      </c>
      <c r="I129" s="55" t="s">
        <v>1489</v>
      </c>
      <c r="J129" s="55" t="s">
        <v>1490</v>
      </c>
      <c r="K129" s="55" t="s">
        <v>1064</v>
      </c>
      <c r="L129" s="55" t="s">
        <v>279</v>
      </c>
      <c r="M129" s="55" t="s">
        <v>6142</v>
      </c>
      <c r="N129" s="60" t="s">
        <v>6082</v>
      </c>
      <c r="O129" s="55" t="s">
        <v>6091</v>
      </c>
      <c r="P129" s="67"/>
      <c r="Q129" s="67"/>
      <c r="R129" s="67"/>
      <c r="S129" s="67"/>
      <c r="T129" s="56">
        <v>201.25</v>
      </c>
      <c r="U129" s="103">
        <v>0.2484472049689441</v>
      </c>
      <c r="V129" s="103">
        <v>1.6655900621118012</v>
      </c>
      <c r="W129" s="103">
        <v>0.29512092266663859</v>
      </c>
      <c r="X129" s="103">
        <v>0.2484472049689441</v>
      </c>
      <c r="Y129" s="162">
        <v>7.21</v>
      </c>
      <c r="Z129" s="56">
        <v>2</v>
      </c>
      <c r="AA129" s="56">
        <v>2.4700000000000002</v>
      </c>
      <c r="AB129" s="56">
        <v>2.37</v>
      </c>
      <c r="AC129" s="56">
        <v>0.88529999999999998</v>
      </c>
      <c r="AD129" s="56">
        <v>2.39</v>
      </c>
      <c r="AE129" s="56">
        <v>2.4700000000000002</v>
      </c>
      <c r="AF129" s="56">
        <f t="shared" si="51"/>
        <v>2.4700000000000002</v>
      </c>
      <c r="AG129" s="57">
        <v>2.59</v>
      </c>
      <c r="AH129" s="103">
        <v>1.9999999999999999E-11</v>
      </c>
      <c r="AI129" s="103">
        <v>2.1199999999999999E-11</v>
      </c>
      <c r="AJ129" s="62">
        <f t="shared" si="52"/>
        <v>-9.0875363306486712</v>
      </c>
      <c r="AK129" s="62">
        <f>LOG10(AI129*1000/(0.08206*298.15))</f>
        <v>-9.0622304653838999</v>
      </c>
      <c r="AL129" s="62">
        <f t="shared" si="48"/>
        <v>-9.0622304653838999</v>
      </c>
      <c r="AM129" s="62">
        <v>-12.588529999999999</v>
      </c>
      <c r="AN129" s="154">
        <v>-12.7</v>
      </c>
      <c r="AO129" s="410">
        <v>10.53</v>
      </c>
      <c r="AP129" s="410">
        <v>3.4</v>
      </c>
      <c r="AQ129" s="154" t="s">
        <v>6311</v>
      </c>
      <c r="AR129" s="154" t="s">
        <v>6311</v>
      </c>
      <c r="AS129" s="149" t="s">
        <v>6</v>
      </c>
      <c r="AT129" s="58" t="s">
        <v>266</v>
      </c>
      <c r="AU129" s="56">
        <v>8</v>
      </c>
      <c r="AV129" s="56">
        <v>144</v>
      </c>
      <c r="AW129" s="56">
        <v>120</v>
      </c>
      <c r="AX129" s="56">
        <v>26</v>
      </c>
      <c r="AY129" s="56" t="s">
        <v>267</v>
      </c>
      <c r="AZ129" s="56" t="s">
        <v>268</v>
      </c>
      <c r="BA129" s="56">
        <v>3</v>
      </c>
      <c r="BB129" s="55" t="s">
        <v>888</v>
      </c>
      <c r="BC129" s="55" t="s">
        <v>270</v>
      </c>
      <c r="BD129" s="55" t="s">
        <v>8374</v>
      </c>
      <c r="BE129" s="56" t="s">
        <v>889</v>
      </c>
      <c r="BF129" s="56" t="s">
        <v>272</v>
      </c>
      <c r="BG129" s="56" t="s">
        <v>272</v>
      </c>
      <c r="BH129" s="56" t="s">
        <v>890</v>
      </c>
      <c r="BI129" s="103">
        <v>9.9999999999999995E-7</v>
      </c>
      <c r="BJ129" s="103">
        <v>0.08</v>
      </c>
      <c r="BK129" s="56"/>
      <c r="BL129" s="103">
        <f t="shared" si="49"/>
        <v>0.82148568512832731</v>
      </c>
      <c r="BM129" s="56" t="s">
        <v>891</v>
      </c>
      <c r="BN129" s="162"/>
      <c r="BO129" s="162"/>
      <c r="BP129" s="162"/>
      <c r="BQ129" s="162"/>
      <c r="BR129" s="162"/>
      <c r="BS129" s="56">
        <v>4.6164921748011227E-2</v>
      </c>
      <c r="BT129" s="162"/>
      <c r="BU129" s="158"/>
      <c r="BV129" s="162"/>
      <c r="BW129" s="162"/>
      <c r="BX129" s="162"/>
      <c r="BY129" s="162"/>
      <c r="BZ129" s="162"/>
      <c r="CA129" s="162"/>
      <c r="CB129" s="162"/>
      <c r="CC129" s="56"/>
      <c r="CD129" s="56"/>
      <c r="CE129" s="56"/>
      <c r="CF129" s="56"/>
      <c r="CG129" s="56"/>
      <c r="CH129" s="56"/>
      <c r="CI129" s="103">
        <f t="shared" si="30"/>
        <v>4.6164921748011227E-2</v>
      </c>
      <c r="CJ129" s="103">
        <f t="shared" si="31"/>
        <v>-1.3356878962548966</v>
      </c>
      <c r="CK129" s="57">
        <f t="shared" si="45"/>
        <v>10.268571064104091</v>
      </c>
      <c r="CL129" s="160">
        <f t="shared" si="39"/>
        <v>17.794586322757425</v>
      </c>
      <c r="CM129" s="160">
        <v>-2.0000864330039119</v>
      </c>
      <c r="CN129" s="160">
        <f>BJ129/(10^CM129)</f>
        <v>8.0015923132161202</v>
      </c>
      <c r="CO129" s="55" t="s">
        <v>892</v>
      </c>
      <c r="CP129" s="55" t="s">
        <v>893</v>
      </c>
      <c r="CQ129" s="149">
        <v>-1.5219514454305072</v>
      </c>
      <c r="CR129" s="349">
        <f>10^(CJ129-CQ129)</f>
        <v>1.5355485391523953</v>
      </c>
      <c r="CS129" s="61" t="s">
        <v>539</v>
      </c>
      <c r="CT129" s="61"/>
      <c r="CU129" s="111">
        <f t="shared" si="50"/>
        <v>5.3817313137684923</v>
      </c>
      <c r="CV129" s="331">
        <f t="shared" si="46"/>
        <v>3.1055900621118013</v>
      </c>
      <c r="CW129" s="326">
        <f t="shared" si="32"/>
        <v>1</v>
      </c>
      <c r="CX129" s="326" t="s">
        <v>539</v>
      </c>
      <c r="CY129" s="161" t="s">
        <v>5921</v>
      </c>
    </row>
    <row r="130" spans="1:103" ht="11.25" customHeight="1" x14ac:dyDescent="0.2">
      <c r="A130" s="72">
        <v>128</v>
      </c>
      <c r="B130" s="149">
        <v>60</v>
      </c>
      <c r="C130" s="54" t="s">
        <v>527</v>
      </c>
      <c r="D130" s="54"/>
      <c r="E130" s="59"/>
      <c r="F130" s="59" t="s">
        <v>528</v>
      </c>
      <c r="G130" s="151">
        <v>144025</v>
      </c>
      <c r="H130" s="55" t="s">
        <v>529</v>
      </c>
      <c r="I130" s="55" t="s">
        <v>8290</v>
      </c>
      <c r="J130" s="55" t="s">
        <v>530</v>
      </c>
      <c r="K130" s="55" t="s">
        <v>471</v>
      </c>
      <c r="L130" s="64"/>
      <c r="M130" s="55"/>
      <c r="N130" s="60"/>
      <c r="O130" s="55"/>
      <c r="P130" s="67"/>
      <c r="Q130" s="67"/>
      <c r="R130" s="67"/>
      <c r="S130" s="67"/>
      <c r="T130" s="59">
        <v>184.19</v>
      </c>
      <c r="U130" s="153"/>
      <c r="V130" s="153">
        <v>34.969325153374236</v>
      </c>
      <c r="W130" s="153">
        <v>37.153522909717253</v>
      </c>
      <c r="X130" s="153">
        <f>IF(W130=0,V130,W130)</f>
        <v>37.153522909717253</v>
      </c>
      <c r="Y130" s="410">
        <v>3.49</v>
      </c>
      <c r="Z130" s="59">
        <v>-0.47</v>
      </c>
      <c r="AA130" s="59"/>
      <c r="AB130" s="59">
        <v>-0.19</v>
      </c>
      <c r="AC130" s="59">
        <v>0.4884</v>
      </c>
      <c r="AD130" s="59">
        <v>0.09</v>
      </c>
      <c r="AE130" s="59">
        <v>0.37</v>
      </c>
      <c r="AF130" s="59">
        <f t="shared" si="51"/>
        <v>0.09</v>
      </c>
      <c r="AG130" s="57">
        <v>3.18</v>
      </c>
      <c r="AH130" s="103">
        <v>1.43E-13</v>
      </c>
      <c r="AI130" s="103"/>
      <c r="AJ130" s="62">
        <f t="shared" si="52"/>
        <v>-11.23323028884759</v>
      </c>
      <c r="AK130" s="62"/>
      <c r="AL130" s="62">
        <f t="shared" si="48"/>
        <v>-11.23323028884759</v>
      </c>
      <c r="AM130" s="62">
        <v>-14.821860000000001</v>
      </c>
      <c r="AN130" s="154">
        <v>-3.5</v>
      </c>
      <c r="AO130" s="410">
        <v>7.7</v>
      </c>
      <c r="AP130" s="410">
        <v>-1.87</v>
      </c>
      <c r="AQ130" s="154" t="s">
        <v>6311</v>
      </c>
      <c r="AR130" s="154" t="s">
        <v>6311</v>
      </c>
      <c r="AS130" s="149" t="s">
        <v>289</v>
      </c>
      <c r="AT130" s="58" t="s">
        <v>266</v>
      </c>
      <c r="AU130" s="155">
        <v>24</v>
      </c>
      <c r="AV130" s="155">
        <v>120</v>
      </c>
      <c r="AW130" s="155">
        <v>96</v>
      </c>
      <c r="AX130" s="155">
        <v>28</v>
      </c>
      <c r="AY130" s="155" t="s">
        <v>267</v>
      </c>
      <c r="AZ130" s="155" t="s">
        <v>268</v>
      </c>
      <c r="BA130" s="155">
        <v>48</v>
      </c>
      <c r="BB130" s="55" t="s">
        <v>269</v>
      </c>
      <c r="BC130" s="156" t="s">
        <v>270</v>
      </c>
      <c r="BD130" s="156" t="s">
        <v>8374</v>
      </c>
      <c r="BE130" s="155" t="s">
        <v>271</v>
      </c>
      <c r="BF130" s="155" t="s">
        <v>272</v>
      </c>
      <c r="BG130" s="155" t="s">
        <v>272</v>
      </c>
      <c r="BH130" s="155" t="s">
        <v>272</v>
      </c>
      <c r="BI130" s="157">
        <v>4.849660523763337E-3</v>
      </c>
      <c r="BJ130" s="157">
        <v>38.797284190106694</v>
      </c>
      <c r="BK130" s="56"/>
      <c r="BL130" s="103">
        <f t="shared" si="49"/>
        <v>135.80226079251054</v>
      </c>
      <c r="BM130" s="56">
        <v>0</v>
      </c>
      <c r="BN130" s="56"/>
      <c r="BO130" s="56"/>
      <c r="BP130" s="56"/>
      <c r="BQ130" s="56"/>
      <c r="BR130" s="56"/>
      <c r="BS130" s="56"/>
      <c r="BT130" s="56"/>
      <c r="BU130" s="158"/>
      <c r="BV130" s="56"/>
      <c r="BW130" s="56"/>
      <c r="BX130" s="56"/>
      <c r="BY130" s="56"/>
      <c r="BZ130" s="56"/>
      <c r="CA130" s="56"/>
      <c r="CB130" s="56">
        <v>18.93</v>
      </c>
      <c r="CC130" s="56"/>
      <c r="CD130" s="56"/>
      <c r="CE130" s="56"/>
      <c r="CF130" s="56"/>
      <c r="CG130" s="56"/>
      <c r="CH130" s="56"/>
      <c r="CI130" s="103">
        <f t="shared" si="30"/>
        <v>18.93</v>
      </c>
      <c r="CJ130" s="103">
        <f t="shared" si="31"/>
        <v>1.2771506139637967</v>
      </c>
      <c r="CK130" s="57">
        <f t="shared" si="45"/>
        <v>3.5003032719269589</v>
      </c>
      <c r="CL130" s="160">
        <f t="shared" si="39"/>
        <v>7.1739176329905199</v>
      </c>
      <c r="CM130" s="160"/>
      <c r="CN130" s="160"/>
      <c r="CO130" s="55" t="s">
        <v>273</v>
      </c>
      <c r="CP130" s="156" t="s">
        <v>274</v>
      </c>
      <c r="CQ130" s="149" t="s">
        <v>272</v>
      </c>
      <c r="CR130" s="349"/>
      <c r="CS130" s="61" t="s">
        <v>539</v>
      </c>
      <c r="CT130" s="61"/>
      <c r="CU130" s="111">
        <f t="shared" si="50"/>
        <v>1.9626794986644085</v>
      </c>
      <c r="CV130" s="331">
        <f t="shared" si="46"/>
        <v>0.95763205299796217</v>
      </c>
      <c r="CW130" s="326">
        <f t="shared" si="32"/>
        <v>0</v>
      </c>
      <c r="CX130" s="326"/>
      <c r="CY130" s="161" t="s">
        <v>5921</v>
      </c>
    </row>
    <row r="131" spans="1:103" ht="11.25" customHeight="1" x14ac:dyDescent="0.2">
      <c r="A131" s="72">
        <v>129</v>
      </c>
      <c r="B131" s="149">
        <v>1014</v>
      </c>
      <c r="C131" s="54" t="s">
        <v>2900</v>
      </c>
      <c r="D131" s="54" t="s">
        <v>8368</v>
      </c>
      <c r="E131" s="59"/>
      <c r="F131" s="59" t="s">
        <v>2901</v>
      </c>
      <c r="G131" s="151">
        <v>148243</v>
      </c>
      <c r="H131" s="55" t="s">
        <v>2902</v>
      </c>
      <c r="I131" s="55" t="s">
        <v>2902</v>
      </c>
      <c r="J131" s="55" t="s">
        <v>2903</v>
      </c>
      <c r="K131" s="55" t="s">
        <v>349</v>
      </c>
      <c r="L131" s="55"/>
      <c r="M131" s="55"/>
      <c r="N131" s="60"/>
      <c r="O131" s="55"/>
      <c r="P131" s="67"/>
      <c r="Q131" s="67" t="s">
        <v>6176</v>
      </c>
      <c r="R131" s="67" t="s">
        <v>6175</v>
      </c>
      <c r="S131" s="67" t="s">
        <v>6173</v>
      </c>
      <c r="T131" s="56">
        <v>145.16</v>
      </c>
      <c r="U131" s="103">
        <v>2.8726922017084595</v>
      </c>
      <c r="V131" s="103">
        <v>54.870487737668782</v>
      </c>
      <c r="W131" s="103">
        <v>12.302687708123809</v>
      </c>
      <c r="X131" s="103">
        <v>2.8726922017084595</v>
      </c>
      <c r="Y131" s="162">
        <v>7</v>
      </c>
      <c r="Z131" s="56">
        <v>1.66</v>
      </c>
      <c r="AA131" s="56">
        <v>1.85</v>
      </c>
      <c r="AB131" s="56">
        <v>1.97</v>
      </c>
      <c r="AC131" s="56">
        <v>0.89770000000000005</v>
      </c>
      <c r="AD131" s="56">
        <v>1.94</v>
      </c>
      <c r="AE131" s="56">
        <v>1.87</v>
      </c>
      <c r="AF131" s="56">
        <f t="shared" si="51"/>
        <v>1.85</v>
      </c>
      <c r="AG131" s="57">
        <v>1.77</v>
      </c>
      <c r="AH131" s="103">
        <v>7.1600000000000003E-11</v>
      </c>
      <c r="AI131" s="103">
        <v>5.7000000000000005E-7</v>
      </c>
      <c r="AJ131" s="62">
        <f t="shared" si="52"/>
        <v>-8.5336533040047957</v>
      </c>
      <c r="AK131" s="62">
        <f>LOG10(AI131*1000/(0.08206*298.15))</f>
        <v>-4.6326914706401601</v>
      </c>
      <c r="AL131" s="62">
        <f t="shared" si="48"/>
        <v>-4.6326914706401601</v>
      </c>
      <c r="AM131" s="62">
        <v>-8.8544599999999996</v>
      </c>
      <c r="AN131" s="154">
        <v>-6.81</v>
      </c>
      <c r="AO131" s="410">
        <v>5.0599999999999996</v>
      </c>
      <c r="AP131" s="410">
        <v>9.81</v>
      </c>
      <c r="AQ131" s="56" t="s">
        <v>6311</v>
      </c>
      <c r="AR131" s="56" t="s">
        <v>6311</v>
      </c>
      <c r="AS131" s="155"/>
      <c r="AT131" s="58" t="s">
        <v>266</v>
      </c>
      <c r="AU131" s="56">
        <v>6</v>
      </c>
      <c r="AV131" s="56">
        <v>120</v>
      </c>
      <c r="AW131" s="56">
        <v>114</v>
      </c>
      <c r="AX131" s="56">
        <v>28</v>
      </c>
      <c r="AY131" s="56" t="s">
        <v>8728</v>
      </c>
      <c r="AZ131" s="56" t="s">
        <v>1563</v>
      </c>
      <c r="BA131" s="56">
        <v>32</v>
      </c>
      <c r="BB131" s="55" t="s">
        <v>2485</v>
      </c>
      <c r="BC131" s="55" t="s">
        <v>8726</v>
      </c>
      <c r="BD131" s="55" t="s">
        <v>8374</v>
      </c>
      <c r="BE131" s="56" t="s">
        <v>2449</v>
      </c>
      <c r="BF131" s="56" t="s">
        <v>272</v>
      </c>
      <c r="BG131" s="56" t="s">
        <v>272</v>
      </c>
      <c r="BH131" s="56" t="s">
        <v>2486</v>
      </c>
      <c r="BI131" s="103">
        <v>6.3999999999999997E-6</v>
      </c>
      <c r="BJ131" s="103">
        <v>6.4000000000000001E-2</v>
      </c>
      <c r="BK131" s="56"/>
      <c r="BL131" s="103">
        <f t="shared" si="49"/>
        <v>1.659411135103148</v>
      </c>
      <c r="BM131" s="56" t="s">
        <v>2046</v>
      </c>
      <c r="BN131" s="56"/>
      <c r="BO131" s="56"/>
      <c r="BP131" s="56"/>
      <c r="BQ131" s="56"/>
      <c r="BR131" s="55">
        <v>2.0238577000000001E-2</v>
      </c>
      <c r="BS131" s="56"/>
      <c r="BT131" s="56"/>
      <c r="BU131" s="158"/>
      <c r="BV131" s="56"/>
      <c r="BW131" s="56"/>
      <c r="BX131" s="56"/>
      <c r="BY131" s="56"/>
      <c r="BZ131" s="56"/>
      <c r="CA131" s="56"/>
      <c r="CB131" s="56"/>
      <c r="CC131" s="56"/>
      <c r="CD131" s="56"/>
      <c r="CE131" s="56"/>
      <c r="CF131" s="56"/>
      <c r="CG131" s="56"/>
      <c r="CH131" s="56"/>
      <c r="CI131" s="103">
        <f t="shared" ref="CI131:CI194" si="53">MIN(BN131:CH131)</f>
        <v>2.0238577000000001E-2</v>
      </c>
      <c r="CJ131" s="103">
        <f t="shared" ref="CJ131:CJ194" si="54">LOG10(CI131)</f>
        <v>-1.6938200265542473</v>
      </c>
      <c r="CK131" s="57">
        <f t="shared" si="45"/>
        <v>25.928298985986686</v>
      </c>
      <c r="CL131" s="160">
        <f t="shared" si="39"/>
        <v>81.992480751149046</v>
      </c>
      <c r="CM131" s="160"/>
      <c r="CN131" s="160"/>
      <c r="CO131" s="55" t="s">
        <v>2488</v>
      </c>
      <c r="CP131" s="55" t="s">
        <v>2489</v>
      </c>
      <c r="CQ131" s="149" t="s">
        <v>272</v>
      </c>
      <c r="CR131" s="349"/>
      <c r="CS131" s="61" t="s">
        <v>539</v>
      </c>
      <c r="CT131" s="61"/>
      <c r="CU131" s="111">
        <f t="shared" si="50"/>
        <v>141.94141226966991</v>
      </c>
      <c r="CV131" s="331">
        <f t="shared" si="46"/>
        <v>44.885815651694678</v>
      </c>
      <c r="CW131" s="326">
        <f t="shared" ref="CW131:CW194" si="55">IF(CU131&lt;2,0,1)</f>
        <v>1</v>
      </c>
      <c r="CX131" s="326"/>
      <c r="CY131" s="161" t="s">
        <v>6351</v>
      </c>
    </row>
    <row r="132" spans="1:103" ht="11.25" customHeight="1" x14ac:dyDescent="0.2">
      <c r="A132" s="72">
        <v>130</v>
      </c>
      <c r="B132" s="149">
        <v>459</v>
      </c>
      <c r="C132" s="54" t="s">
        <v>1500</v>
      </c>
      <c r="D132" s="54" t="s">
        <v>6527</v>
      </c>
      <c r="E132" s="59"/>
      <c r="F132" s="59" t="s">
        <v>1501</v>
      </c>
      <c r="G132" s="151">
        <v>59669260</v>
      </c>
      <c r="H132" s="55" t="s">
        <v>1502</v>
      </c>
      <c r="I132" s="55" t="s">
        <v>1502</v>
      </c>
      <c r="J132" s="55" t="s">
        <v>1503</v>
      </c>
      <c r="K132" s="55" t="s">
        <v>1504</v>
      </c>
      <c r="L132" s="55" t="s">
        <v>617</v>
      </c>
      <c r="M132" s="55" t="s">
        <v>946</v>
      </c>
      <c r="N132" s="60" t="s">
        <v>6376</v>
      </c>
      <c r="O132" s="55" t="s">
        <v>918</v>
      </c>
      <c r="P132" s="67"/>
      <c r="Q132" s="67"/>
      <c r="R132" s="67"/>
      <c r="S132" s="67"/>
      <c r="T132" s="56">
        <v>354.47</v>
      </c>
      <c r="U132" s="103">
        <v>9.8738962394560884E-2</v>
      </c>
      <c r="V132" s="103">
        <v>0.58030298755889065</v>
      </c>
      <c r="W132" s="103">
        <v>0.54954087385762462</v>
      </c>
      <c r="X132" s="103">
        <v>9.8738962394560884E-2</v>
      </c>
      <c r="Y132" s="162">
        <v>7</v>
      </c>
      <c r="Z132" s="56">
        <v>1.91</v>
      </c>
      <c r="AA132" s="56">
        <v>1.7</v>
      </c>
      <c r="AB132" s="56">
        <v>2.17</v>
      </c>
      <c r="AC132" s="56">
        <v>0.85609999999999997</v>
      </c>
      <c r="AD132" s="56">
        <v>1.99</v>
      </c>
      <c r="AE132" s="56">
        <v>1.52</v>
      </c>
      <c r="AF132" s="56">
        <f t="shared" si="51"/>
        <v>1.7</v>
      </c>
      <c r="AG132" s="57">
        <v>1.96</v>
      </c>
      <c r="AH132" s="103">
        <v>9.7800000000000001E-11</v>
      </c>
      <c r="AI132" s="103">
        <v>9.33E-7</v>
      </c>
      <c r="AJ132" s="62">
        <f t="shared" si="52"/>
        <v>-8.3982274715250504</v>
      </c>
      <c r="AK132" s="62">
        <f>LOG10(AI132*1000/(0.08206*298.15))</f>
        <v>-4.4186846825661519</v>
      </c>
      <c r="AL132" s="62">
        <f t="shared" si="48"/>
        <v>-4.4186846825661519</v>
      </c>
      <c r="AM132" s="62">
        <v>-16.876429999999999</v>
      </c>
      <c r="AN132" s="154">
        <v>-10</v>
      </c>
      <c r="AO132" s="410"/>
      <c r="AP132" s="410">
        <v>-1.79</v>
      </c>
      <c r="AQ132" s="154" t="s">
        <v>6311</v>
      </c>
      <c r="AR132" s="154" t="s">
        <v>6311</v>
      </c>
      <c r="AS132" s="149" t="s">
        <v>6</v>
      </c>
      <c r="AT132" s="58" t="s">
        <v>266</v>
      </c>
      <c r="AU132" s="56">
        <v>8</v>
      </c>
      <c r="AV132" s="56">
        <v>144</v>
      </c>
      <c r="AW132" s="56">
        <v>120</v>
      </c>
      <c r="AX132" s="56">
        <v>26</v>
      </c>
      <c r="AY132" s="56" t="s">
        <v>267</v>
      </c>
      <c r="AZ132" s="56" t="s">
        <v>268</v>
      </c>
      <c r="BA132" s="56">
        <v>2</v>
      </c>
      <c r="BB132" s="55" t="s">
        <v>888</v>
      </c>
      <c r="BC132" s="55" t="s">
        <v>270</v>
      </c>
      <c r="BD132" s="55" t="s">
        <v>8374</v>
      </c>
      <c r="BE132" s="56" t="s">
        <v>889</v>
      </c>
      <c r="BF132" s="56" t="s">
        <v>272</v>
      </c>
      <c r="BG132" s="56" t="s">
        <v>272</v>
      </c>
      <c r="BH132" s="56" t="s">
        <v>890</v>
      </c>
      <c r="BI132" s="103">
        <v>9.9999999999999995E-7</v>
      </c>
      <c r="BJ132" s="103">
        <v>0.08</v>
      </c>
      <c r="BK132" s="56"/>
      <c r="BL132" s="103">
        <f t="shared" si="49"/>
        <v>0.98953007876306398</v>
      </c>
      <c r="BM132" s="56" t="s">
        <v>891</v>
      </c>
      <c r="BN132" s="162"/>
      <c r="BO132" s="162"/>
      <c r="BP132" s="162"/>
      <c r="BQ132" s="162"/>
      <c r="BR132" s="162"/>
      <c r="BS132" s="56">
        <v>4.6164921748011227E-2</v>
      </c>
      <c r="BT132" s="162"/>
      <c r="BU132" s="158"/>
      <c r="BV132" s="162"/>
      <c r="BW132" s="162"/>
      <c r="BX132" s="162"/>
      <c r="BY132" s="162"/>
      <c r="BZ132" s="162"/>
      <c r="CA132" s="162"/>
      <c r="CB132" s="162"/>
      <c r="CC132" s="56"/>
      <c r="CD132" s="56"/>
      <c r="CE132" s="56"/>
      <c r="CF132" s="56"/>
      <c r="CG132" s="56"/>
      <c r="CH132" s="56"/>
      <c r="CI132" s="103">
        <f t="shared" si="53"/>
        <v>4.6164921748011227E-2</v>
      </c>
      <c r="CJ132" s="103">
        <f t="shared" si="54"/>
        <v>-1.3356878962548966</v>
      </c>
      <c r="CK132" s="57">
        <f t="shared" si="45"/>
        <v>12.3691259845383</v>
      </c>
      <c r="CL132" s="160">
        <f t="shared" si="39"/>
        <v>21.434674668449809</v>
      </c>
      <c r="CM132" s="160">
        <v>-2.4263301948594678</v>
      </c>
      <c r="CN132" s="160">
        <f>BJ132/(10^CM132)</f>
        <v>21.35109642285498</v>
      </c>
      <c r="CO132" s="55" t="s">
        <v>892</v>
      </c>
      <c r="CP132" s="55" t="s">
        <v>893</v>
      </c>
      <c r="CQ132" s="149">
        <v>-2.2881402599676766</v>
      </c>
      <c r="CR132" s="349">
        <f>10^(CJ132-CQ132)</f>
        <v>8.9629786868786514</v>
      </c>
      <c r="CS132" s="61" t="s">
        <v>539</v>
      </c>
      <c r="CT132" s="61"/>
      <c r="CU132" s="111">
        <f t="shared" si="50"/>
        <v>2.1388309273764672</v>
      </c>
      <c r="CV132" s="331">
        <f t="shared" si="46"/>
        <v>1.2342370299320111</v>
      </c>
      <c r="CW132" s="326">
        <f t="shared" si="55"/>
        <v>1</v>
      </c>
      <c r="CX132" s="326" t="s">
        <v>539</v>
      </c>
      <c r="CY132" s="161" t="s">
        <v>5921</v>
      </c>
    </row>
    <row r="133" spans="1:103" ht="11.25" customHeight="1" x14ac:dyDescent="0.2">
      <c r="A133" s="72">
        <v>131</v>
      </c>
      <c r="B133" s="149">
        <v>465</v>
      </c>
      <c r="C133" s="54" t="s">
        <v>1526</v>
      </c>
      <c r="D133" s="54" t="s">
        <v>6487</v>
      </c>
      <c r="E133" s="59"/>
      <c r="F133" s="59" t="s">
        <v>1527</v>
      </c>
      <c r="G133" s="151">
        <v>2303175</v>
      </c>
      <c r="H133" s="55" t="s">
        <v>1528</v>
      </c>
      <c r="I133" s="55" t="s">
        <v>8083</v>
      </c>
      <c r="J133" s="55" t="s">
        <v>1529</v>
      </c>
      <c r="K133" s="55" t="s">
        <v>1530</v>
      </c>
      <c r="L133" s="55" t="s">
        <v>6016</v>
      </c>
      <c r="M133" s="55" t="s">
        <v>6082</v>
      </c>
      <c r="N133" s="60" t="s">
        <v>6082</v>
      </c>
      <c r="O133" s="55" t="s">
        <v>6083</v>
      </c>
      <c r="P133" s="67"/>
      <c r="Q133" s="67"/>
      <c r="R133" s="67"/>
      <c r="S133" s="67"/>
      <c r="T133" s="56">
        <v>304.66000000000003</v>
      </c>
      <c r="U133" s="103">
        <v>1.3129390139828005E-2</v>
      </c>
      <c r="V133" s="103">
        <v>4.4639926475415212E-3</v>
      </c>
      <c r="W133" s="103">
        <v>4.7863009232263715E-3</v>
      </c>
      <c r="X133" s="103">
        <v>1.3129390139828005E-2</v>
      </c>
      <c r="Y133" s="162">
        <v>7</v>
      </c>
      <c r="Z133" s="56">
        <v>4.57</v>
      </c>
      <c r="AA133" s="56">
        <v>4.5999999999999996</v>
      </c>
      <c r="AB133" s="56">
        <v>4.29</v>
      </c>
      <c r="AC133" s="56">
        <v>0.74060000000000004</v>
      </c>
      <c r="AD133" s="56">
        <v>4.93</v>
      </c>
      <c r="AE133" s="56">
        <v>6.18</v>
      </c>
      <c r="AF133" s="56">
        <f t="shared" si="51"/>
        <v>4.5999999999999996</v>
      </c>
      <c r="AG133" s="57">
        <v>3.99</v>
      </c>
      <c r="AH133" s="103">
        <v>5.66E-6</v>
      </c>
      <c r="AI133" s="103">
        <v>1.2E-5</v>
      </c>
      <c r="AJ133" s="62">
        <f t="shared" si="52"/>
        <v>-3.6357498951243805</v>
      </c>
      <c r="AK133" s="62">
        <f>LOG10(AI133*1000/(0.08206*298.15))</f>
        <v>-3.3093850802650269</v>
      </c>
      <c r="AL133" s="62">
        <f t="shared" si="48"/>
        <v>-3.3093850802650269</v>
      </c>
      <c r="AM133" s="62">
        <v>-10.536390000000001</v>
      </c>
      <c r="AN133" s="154">
        <v>-4.0999999999999996</v>
      </c>
      <c r="AO133" s="410"/>
      <c r="AP133" s="410">
        <v>-1.48</v>
      </c>
      <c r="AQ133" s="154" t="s">
        <v>6311</v>
      </c>
      <c r="AR133" s="154" t="s">
        <v>6311</v>
      </c>
      <c r="AS133" s="149" t="s">
        <v>6</v>
      </c>
      <c r="AT133" s="58" t="s">
        <v>266</v>
      </c>
      <c r="AU133" s="56">
        <v>8</v>
      </c>
      <c r="AV133" s="56">
        <v>144</v>
      </c>
      <c r="AW133" s="56">
        <v>120</v>
      </c>
      <c r="AX133" s="56">
        <v>26</v>
      </c>
      <c r="AY133" s="56" t="s">
        <v>267</v>
      </c>
      <c r="AZ133" s="56" t="s">
        <v>268</v>
      </c>
      <c r="BA133" s="56">
        <v>2</v>
      </c>
      <c r="BB133" s="55" t="s">
        <v>888</v>
      </c>
      <c r="BC133" s="55" t="s">
        <v>270</v>
      </c>
      <c r="BD133" s="55" t="s">
        <v>8374</v>
      </c>
      <c r="BE133" s="56" t="s">
        <v>889</v>
      </c>
      <c r="BF133" s="56" t="s">
        <v>272</v>
      </c>
      <c r="BG133" s="56" t="s">
        <v>272</v>
      </c>
      <c r="BH133" s="56" t="s">
        <v>890</v>
      </c>
      <c r="BI133" s="103">
        <v>9.9999999999999995E-7</v>
      </c>
      <c r="BJ133" s="103">
        <v>0.08</v>
      </c>
      <c r="BK133" s="56"/>
      <c r="BL133" s="103">
        <f t="shared" si="49"/>
        <v>4.0409455634817194E-3</v>
      </c>
      <c r="BM133" s="56" t="s">
        <v>891</v>
      </c>
      <c r="BN133" s="162"/>
      <c r="BO133" s="162"/>
      <c r="BP133" s="162"/>
      <c r="BQ133" s="162"/>
      <c r="BR133" s="162"/>
      <c r="BS133" s="56">
        <v>4.6164921748011227E-2</v>
      </c>
      <c r="BT133" s="162"/>
      <c r="BU133" s="158"/>
      <c r="BV133" s="162"/>
      <c r="BW133" s="162"/>
      <c r="BX133" s="162"/>
      <c r="BY133" s="162"/>
      <c r="BZ133" s="162"/>
      <c r="CA133" s="162"/>
      <c r="CB133" s="162"/>
      <c r="CC133" s="56"/>
      <c r="CD133" s="56"/>
      <c r="CE133" s="56"/>
      <c r="CF133" s="56"/>
      <c r="CG133" s="56"/>
      <c r="CH133" s="56"/>
      <c r="CI133" s="103">
        <f t="shared" si="53"/>
        <v>4.6164921748011227E-2</v>
      </c>
      <c r="CJ133" s="103">
        <f t="shared" si="54"/>
        <v>-1.3356878962548966</v>
      </c>
      <c r="CK133" s="57">
        <f t="shared" si="45"/>
        <v>5.0511819543521491E-2</v>
      </c>
      <c r="CL133" s="160">
        <f t="shared" si="39"/>
        <v>8.7532815186799326E-2</v>
      </c>
      <c r="CM133" s="160">
        <v>-2.4718993890982746</v>
      </c>
      <c r="CN133" s="160">
        <f>BJ133/(10^CM133)</f>
        <v>23.713156967455511</v>
      </c>
      <c r="CO133" s="55" t="s">
        <v>892</v>
      </c>
      <c r="CP133" s="55" t="s">
        <v>893</v>
      </c>
      <c r="CQ133" s="149">
        <v>-2.3887196620933664</v>
      </c>
      <c r="CR133" s="349">
        <f>10^(CJ133-CQ133)</f>
        <v>11.298785549746624</v>
      </c>
      <c r="CS133" s="61" t="s">
        <v>539</v>
      </c>
      <c r="CT133" s="61"/>
      <c r="CU133" s="111">
        <f t="shared" si="50"/>
        <v>0.28440187143593754</v>
      </c>
      <c r="CV133" s="331">
        <f t="shared" si="46"/>
        <v>0.16411737674785004</v>
      </c>
      <c r="CW133" s="326">
        <f t="shared" si="55"/>
        <v>0</v>
      </c>
      <c r="CX133" s="326" t="s">
        <v>539</v>
      </c>
      <c r="CY133" s="161" t="s">
        <v>5921</v>
      </c>
    </row>
    <row r="134" spans="1:103" ht="11.25" customHeight="1" x14ac:dyDescent="0.2">
      <c r="A134" s="72">
        <v>132</v>
      </c>
      <c r="B134" s="149">
        <v>51</v>
      </c>
      <c r="C134" s="54" t="s">
        <v>491</v>
      </c>
      <c r="D134" s="54"/>
      <c r="E134" s="59"/>
      <c r="F134" s="150" t="str">
        <f>HYPERLINK("http://www.sigmaaldrich.com/catalog/Lookup.do?N5=CAS+No.&amp;N3=mode+matchpartialmax&amp;N4=152-11-4&amp;D7=0&amp;D10=&amp;N25=0&amp;N1=S_ID&amp;ST=RS&amp;F=PR","152-11-4")</f>
        <v>152-11-4</v>
      </c>
      <c r="G134" s="151">
        <v>152114</v>
      </c>
      <c r="H134" s="55" t="s">
        <v>492</v>
      </c>
      <c r="I134" s="55" t="s">
        <v>7750</v>
      </c>
      <c r="J134" s="55" t="s">
        <v>493</v>
      </c>
      <c r="K134" s="55" t="s">
        <v>345</v>
      </c>
      <c r="L134" s="64"/>
      <c r="M134" s="55"/>
      <c r="N134" s="60"/>
      <c r="O134" s="55"/>
      <c r="P134" s="67"/>
      <c r="Q134" s="67"/>
      <c r="R134" s="67"/>
      <c r="S134" s="67"/>
      <c r="T134" s="59">
        <v>491.1</v>
      </c>
      <c r="U134" s="153"/>
      <c r="V134" s="153">
        <v>1.0315618000407249E-3</v>
      </c>
      <c r="W134" s="153">
        <v>4.0738027780411228E-4</v>
      </c>
      <c r="X134" s="153">
        <f>IF(W134=0,V134,W134)</f>
        <v>4.0738027780411228E-4</v>
      </c>
      <c r="Y134" s="410">
        <v>7</v>
      </c>
      <c r="Z134" s="59">
        <v>3.45</v>
      </c>
      <c r="AA134" s="59"/>
      <c r="AB134" s="59"/>
      <c r="AC134" s="59"/>
      <c r="AD134" s="59"/>
      <c r="AE134" s="59"/>
      <c r="AF134" s="59"/>
      <c r="AG134" s="57">
        <v>5.94</v>
      </c>
      <c r="AH134" s="103">
        <v>4.0600000000000002E-22</v>
      </c>
      <c r="AI134" s="103"/>
      <c r="AJ134" s="62">
        <f t="shared" si="52"/>
        <v>-19.780040292735457</v>
      </c>
      <c r="AK134" s="62"/>
      <c r="AL134" s="62">
        <f t="shared" si="48"/>
        <v>-19.780040292735457</v>
      </c>
      <c r="AM134" s="62"/>
      <c r="AN134" s="154">
        <v>-14.5</v>
      </c>
      <c r="AO134" s="410"/>
      <c r="AP134" s="410">
        <v>-1.86</v>
      </c>
      <c r="AQ134" s="154" t="s">
        <v>6311</v>
      </c>
      <c r="AR134" s="154" t="s">
        <v>6311</v>
      </c>
      <c r="AS134" s="149" t="s">
        <v>289</v>
      </c>
      <c r="AT134" s="58" t="s">
        <v>266</v>
      </c>
      <c r="AU134" s="155">
        <v>24</v>
      </c>
      <c r="AV134" s="155">
        <v>120</v>
      </c>
      <c r="AW134" s="155">
        <v>96</v>
      </c>
      <c r="AX134" s="155">
        <v>28</v>
      </c>
      <c r="AY134" s="155" t="s">
        <v>267</v>
      </c>
      <c r="AZ134" s="155" t="s">
        <v>268</v>
      </c>
      <c r="BA134" s="155">
        <v>48</v>
      </c>
      <c r="BB134" s="55" t="s">
        <v>269</v>
      </c>
      <c r="BC134" s="156" t="s">
        <v>270</v>
      </c>
      <c r="BD134" s="156" t="s">
        <v>8374</v>
      </c>
      <c r="BE134" s="155" t="s">
        <v>271</v>
      </c>
      <c r="BF134" s="155" t="s">
        <v>272</v>
      </c>
      <c r="BG134" s="155" t="s">
        <v>272</v>
      </c>
      <c r="BH134" s="155" t="s">
        <v>272</v>
      </c>
      <c r="BI134" s="157">
        <v>2.0362451639177356E-3</v>
      </c>
      <c r="BJ134" s="157">
        <v>2.0362451639177355</v>
      </c>
      <c r="BK134" s="56"/>
      <c r="BL134" s="103">
        <f t="shared" si="49"/>
        <v>4.0959533340592637E-2</v>
      </c>
      <c r="BM134" s="56">
        <v>0</v>
      </c>
      <c r="BN134" s="56"/>
      <c r="BO134" s="56"/>
      <c r="BP134" s="56"/>
      <c r="BQ134" s="56"/>
      <c r="BR134" s="56"/>
      <c r="BS134" s="56"/>
      <c r="BT134" s="56"/>
      <c r="BU134" s="158"/>
      <c r="BV134" s="56"/>
      <c r="BW134" s="56"/>
      <c r="BX134" s="56"/>
      <c r="BY134" s="56">
        <v>0.13</v>
      </c>
      <c r="BZ134" s="56">
        <v>0.25</v>
      </c>
      <c r="CA134" s="56">
        <v>0.18</v>
      </c>
      <c r="CB134" s="56">
        <v>0.17</v>
      </c>
      <c r="CC134" s="56"/>
      <c r="CD134" s="56"/>
      <c r="CE134" s="56"/>
      <c r="CF134" s="56"/>
      <c r="CG134" s="56"/>
      <c r="CH134" s="56"/>
      <c r="CI134" s="103">
        <f t="shared" si="53"/>
        <v>0.13</v>
      </c>
      <c r="CJ134" s="103">
        <f t="shared" si="54"/>
        <v>-0.88605664769316317</v>
      </c>
      <c r="CK134" s="57">
        <f t="shared" si="45"/>
        <v>2.0115226823565046E-2</v>
      </c>
      <c r="CL134" s="160">
        <f t="shared" si="39"/>
        <v>0.31507333338917409</v>
      </c>
      <c r="CM134" s="160"/>
      <c r="CN134" s="160"/>
      <c r="CO134" s="55" t="s">
        <v>273</v>
      </c>
      <c r="CP134" s="156" t="s">
        <v>274</v>
      </c>
      <c r="CQ134" s="149" t="s">
        <v>272</v>
      </c>
      <c r="CR134" s="349"/>
      <c r="CS134" s="61" t="s">
        <v>539</v>
      </c>
      <c r="CT134" s="61"/>
      <c r="CU134" s="111">
        <f t="shared" si="50"/>
        <v>3.1336944446470174E-3</v>
      </c>
      <c r="CV134" s="331">
        <f t="shared" si="46"/>
        <v>2.0006445442959957E-4</v>
      </c>
      <c r="CW134" s="326">
        <f t="shared" si="55"/>
        <v>0</v>
      </c>
      <c r="CX134" s="326"/>
      <c r="CY134" s="161" t="s">
        <v>5921</v>
      </c>
    </row>
    <row r="135" spans="1:103" ht="11.25" customHeight="1" x14ac:dyDescent="0.2">
      <c r="A135" s="72">
        <v>133</v>
      </c>
      <c r="B135" s="149">
        <v>49</v>
      </c>
      <c r="C135" s="54" t="s">
        <v>485</v>
      </c>
      <c r="D135" s="54"/>
      <c r="E135" s="59"/>
      <c r="F135" s="150" t="str">
        <f>HYPERLINK("http://www.sigmaaldrich.com/catalog/Lookup.do?N5=CAS+No.&amp;N3=mode+matchpartialmax&amp;N4=156-51-4&amp;D7=0&amp;D10=&amp;N25=0&amp;N1=S_ID&amp;ST=RS&amp;F=PR","156-51-4")</f>
        <v>156-51-4</v>
      </c>
      <c r="G135" s="151">
        <v>156514</v>
      </c>
      <c r="H135" s="55" t="s">
        <v>486</v>
      </c>
      <c r="I135" s="55" t="s">
        <v>486</v>
      </c>
      <c r="J135" s="55" t="s">
        <v>487</v>
      </c>
      <c r="K135" s="55" t="s">
        <v>426</v>
      </c>
      <c r="L135" s="64"/>
      <c r="M135" s="55"/>
      <c r="N135" s="60"/>
      <c r="O135" s="55"/>
      <c r="P135" s="67"/>
      <c r="Q135" s="67"/>
      <c r="R135" s="67"/>
      <c r="S135" s="67"/>
      <c r="T135" s="59">
        <v>234.27</v>
      </c>
      <c r="U135" s="153"/>
      <c r="V135" s="153">
        <v>4268.5789900542104</v>
      </c>
      <c r="W135" s="153">
        <v>20.892961308540386</v>
      </c>
      <c r="X135" s="153">
        <f>IF(W135=0,V135,W135)</f>
        <v>20.892961308540386</v>
      </c>
      <c r="Y135" s="410">
        <v>1.72</v>
      </c>
      <c r="Z135" s="59">
        <v>-4.09</v>
      </c>
      <c r="AA135" s="59"/>
      <c r="AB135" s="59"/>
      <c r="AC135" s="59"/>
      <c r="AD135" s="59"/>
      <c r="AE135" s="59"/>
      <c r="AF135" s="59"/>
      <c r="AG135" s="57">
        <v>-1.1499999999999999</v>
      </c>
      <c r="AH135" s="103">
        <v>9.9E-23</v>
      </c>
      <c r="AI135" s="103"/>
      <c r="AJ135" s="62">
        <f t="shared" si="52"/>
        <v>-20.392931131715102</v>
      </c>
      <c r="AK135" s="62"/>
      <c r="AL135" s="62">
        <f t="shared" si="48"/>
        <v>-20.392931131715102</v>
      </c>
      <c r="AM135" s="62"/>
      <c r="AN135" s="154">
        <v>-16.7</v>
      </c>
      <c r="AO135" s="410">
        <v>-4.3099999999999996</v>
      </c>
      <c r="AP135" s="410">
        <v>0.67</v>
      </c>
      <c r="AQ135" s="154" t="s">
        <v>6311</v>
      </c>
      <c r="AR135" s="154" t="s">
        <v>6311</v>
      </c>
      <c r="AS135" s="149" t="s">
        <v>289</v>
      </c>
      <c r="AT135" s="58" t="s">
        <v>266</v>
      </c>
      <c r="AU135" s="155">
        <v>24</v>
      </c>
      <c r="AV135" s="155">
        <v>120</v>
      </c>
      <c r="AW135" s="155">
        <v>96</v>
      </c>
      <c r="AX135" s="155">
        <v>28</v>
      </c>
      <c r="AY135" s="155" t="s">
        <v>267</v>
      </c>
      <c r="AZ135" s="155" t="s">
        <v>268</v>
      </c>
      <c r="BA135" s="155">
        <v>48</v>
      </c>
      <c r="BB135" s="55" t="s">
        <v>269</v>
      </c>
      <c r="BC135" s="156" t="s">
        <v>270</v>
      </c>
      <c r="BD135" s="156" t="s">
        <v>8374</v>
      </c>
      <c r="BE135" s="155" t="s">
        <v>271</v>
      </c>
      <c r="BF135" s="155" t="s">
        <v>272</v>
      </c>
      <c r="BG135" s="155" t="s">
        <v>272</v>
      </c>
      <c r="BH135" s="155" t="s">
        <v>272</v>
      </c>
      <c r="BI135" s="157">
        <v>4.2685789900542108E-3</v>
      </c>
      <c r="BJ135" s="157">
        <v>4.2685789900542108</v>
      </c>
      <c r="BK135" s="56"/>
      <c r="BL135" s="103">
        <f t="shared" si="49"/>
        <v>242119.07162702503</v>
      </c>
      <c r="BM135" s="56">
        <v>0</v>
      </c>
      <c r="BN135" s="56"/>
      <c r="BO135" s="56"/>
      <c r="BP135" s="56"/>
      <c r="BQ135" s="56"/>
      <c r="BR135" s="56"/>
      <c r="BS135" s="56"/>
      <c r="BT135" s="56"/>
      <c r="BU135" s="158"/>
      <c r="BV135" s="56"/>
      <c r="BW135" s="56"/>
      <c r="BX135" s="56"/>
      <c r="BY135" s="56">
        <v>0.37</v>
      </c>
      <c r="BZ135" s="56">
        <v>0.09</v>
      </c>
      <c r="CA135" s="56">
        <v>0.01</v>
      </c>
      <c r="CB135" s="56">
        <v>0.05</v>
      </c>
      <c r="CC135" s="56"/>
      <c r="CD135" s="56"/>
      <c r="CE135" s="56"/>
      <c r="CF135" s="56"/>
      <c r="CG135" s="56"/>
      <c r="CH135" s="56"/>
      <c r="CI135" s="103">
        <f t="shared" si="53"/>
        <v>0.01</v>
      </c>
      <c r="CJ135" s="103">
        <f t="shared" si="54"/>
        <v>-2</v>
      </c>
      <c r="CK135" s="57">
        <f t="shared" si="45"/>
        <v>56721.234910063155</v>
      </c>
      <c r="CL135" s="160">
        <f t="shared" si="39"/>
        <v>24211907.162702501</v>
      </c>
      <c r="CM135" s="160"/>
      <c r="CN135" s="160"/>
      <c r="CO135" s="55" t="s">
        <v>273</v>
      </c>
      <c r="CP135" s="156" t="s">
        <v>274</v>
      </c>
      <c r="CQ135" s="149" t="s">
        <v>272</v>
      </c>
      <c r="CR135" s="349"/>
      <c r="CS135" s="61" t="s">
        <v>539</v>
      </c>
      <c r="CT135" s="61"/>
      <c r="CU135" s="111">
        <f t="shared" si="50"/>
        <v>2089.2961308540384</v>
      </c>
      <c r="CV135" s="331">
        <f t="shared" si="46"/>
        <v>4.8945940457517567</v>
      </c>
      <c r="CW135" s="326">
        <f t="shared" si="55"/>
        <v>1</v>
      </c>
      <c r="CX135" s="326"/>
      <c r="CY135" s="161" t="s">
        <v>5921</v>
      </c>
    </row>
    <row r="136" spans="1:103" ht="11.25" customHeight="1" x14ac:dyDescent="0.2">
      <c r="A136" s="72">
        <v>134</v>
      </c>
      <c r="B136" s="149">
        <v>417</v>
      </c>
      <c r="C136" s="54" t="s">
        <v>1411</v>
      </c>
      <c r="D136" s="54" t="s">
        <v>6598</v>
      </c>
      <c r="E136" s="59"/>
      <c r="F136" s="59" t="s">
        <v>1412</v>
      </c>
      <c r="G136" s="151">
        <v>60207901</v>
      </c>
      <c r="H136" s="55" t="s">
        <v>1413</v>
      </c>
      <c r="I136" s="55" t="s">
        <v>8138</v>
      </c>
      <c r="J136" s="55" t="s">
        <v>1414</v>
      </c>
      <c r="K136" s="55" t="s">
        <v>1112</v>
      </c>
      <c r="L136" s="55" t="s">
        <v>5990</v>
      </c>
      <c r="M136" s="55" t="s">
        <v>6082</v>
      </c>
      <c r="N136" s="60" t="s">
        <v>6082</v>
      </c>
      <c r="O136" s="55" t="s">
        <v>6083</v>
      </c>
      <c r="P136" s="67"/>
      <c r="Q136" s="67"/>
      <c r="R136" s="67"/>
      <c r="S136" s="67"/>
      <c r="T136" s="56">
        <v>342.22</v>
      </c>
      <c r="U136" s="103">
        <v>0.32143065864064052</v>
      </c>
      <c r="V136" s="103">
        <v>1.3418268949798372E-2</v>
      </c>
      <c r="W136" s="103">
        <v>3.0902954325135859E-2</v>
      </c>
      <c r="X136" s="103">
        <v>0.32143065864064052</v>
      </c>
      <c r="Y136" s="162">
        <v>7.01</v>
      </c>
      <c r="Z136" s="56">
        <v>4.13</v>
      </c>
      <c r="AA136" s="56">
        <v>3.72</v>
      </c>
      <c r="AB136" s="56">
        <v>3.46</v>
      </c>
      <c r="AC136" s="56">
        <v>0.93130000000000002</v>
      </c>
      <c r="AD136" s="56">
        <v>3.52</v>
      </c>
      <c r="AE136" s="56">
        <v>3.88</v>
      </c>
      <c r="AF136" s="56">
        <f t="shared" ref="AF136:AF153" si="56">IF(AA136=0,AD136,AA136)</f>
        <v>3.72</v>
      </c>
      <c r="AG136" s="57">
        <v>3.83</v>
      </c>
      <c r="AH136" s="103">
        <v>1.3600000000000001E-9</v>
      </c>
      <c r="AI136" s="103">
        <v>1.7200000000000001E-9</v>
      </c>
      <c r="AJ136" s="62">
        <f t="shared" si="52"/>
        <v>-7.2550274179424346</v>
      </c>
      <c r="AK136" s="62">
        <f>LOG10(AI136*1000/(0.08206*298.15))</f>
        <v>-7.1530378794051028</v>
      </c>
      <c r="AL136" s="62">
        <f t="shared" si="48"/>
        <v>-7.1530378794051028</v>
      </c>
      <c r="AM136" s="62">
        <v>-12.879819999999999</v>
      </c>
      <c r="AN136" s="154">
        <v>-8.26</v>
      </c>
      <c r="AO136" s="410"/>
      <c r="AP136" s="410">
        <v>2.94</v>
      </c>
      <c r="AQ136" s="154" t="s">
        <v>6311</v>
      </c>
      <c r="AR136" s="154" t="s">
        <v>6311</v>
      </c>
      <c r="AS136" s="149" t="s">
        <v>6</v>
      </c>
      <c r="AT136" s="58" t="s">
        <v>266</v>
      </c>
      <c r="AU136" s="56">
        <v>8</v>
      </c>
      <c r="AV136" s="56">
        <v>144</v>
      </c>
      <c r="AW136" s="56">
        <v>120</v>
      </c>
      <c r="AX136" s="56">
        <v>26</v>
      </c>
      <c r="AY136" s="56" t="s">
        <v>267</v>
      </c>
      <c r="AZ136" s="56" t="s">
        <v>268</v>
      </c>
      <c r="BA136" s="56">
        <v>2</v>
      </c>
      <c r="BB136" s="55" t="s">
        <v>888</v>
      </c>
      <c r="BC136" s="55" t="s">
        <v>270</v>
      </c>
      <c r="BD136" s="55" t="s">
        <v>8374</v>
      </c>
      <c r="BE136" s="56" t="s">
        <v>889</v>
      </c>
      <c r="BF136" s="56" t="s">
        <v>272</v>
      </c>
      <c r="BG136" s="56" t="s">
        <v>272</v>
      </c>
      <c r="BH136" s="56" t="s">
        <v>890</v>
      </c>
      <c r="BI136" s="103">
        <v>9.9999999999999995E-7</v>
      </c>
      <c r="BJ136" s="103">
        <v>0.08</v>
      </c>
      <c r="BK136" s="56"/>
      <c r="BL136" s="103">
        <f t="shared" si="49"/>
        <v>1.0037995577353173E-2</v>
      </c>
      <c r="BM136" s="56" t="s">
        <v>891</v>
      </c>
      <c r="BN136" s="162"/>
      <c r="BO136" s="162"/>
      <c r="BP136" s="162"/>
      <c r="BQ136" s="162"/>
      <c r="BR136" s="162"/>
      <c r="BS136" s="56">
        <v>4.6164921748011227E-2</v>
      </c>
      <c r="BT136" s="162"/>
      <c r="BU136" s="158"/>
      <c r="BV136" s="162"/>
      <c r="BW136" s="162"/>
      <c r="BX136" s="162"/>
      <c r="BY136" s="162"/>
      <c r="BZ136" s="162"/>
      <c r="CA136" s="162"/>
      <c r="CB136" s="162"/>
      <c r="CC136" s="56"/>
      <c r="CD136" s="56"/>
      <c r="CE136" s="56"/>
      <c r="CF136" s="56"/>
      <c r="CG136" s="56"/>
      <c r="CH136" s="56"/>
      <c r="CI136" s="103">
        <f t="shared" si="53"/>
        <v>4.6164921748011227E-2</v>
      </c>
      <c r="CJ136" s="103">
        <f t="shared" si="54"/>
        <v>-1.3356878962548966</v>
      </c>
      <c r="CK136" s="57">
        <f t="shared" si="45"/>
        <v>0.12547494471691467</v>
      </c>
      <c r="CL136" s="160">
        <f t="shared" si="39"/>
        <v>0.21743772538259762</v>
      </c>
      <c r="CM136" s="160">
        <v>-1.9688543831142</v>
      </c>
      <c r="CN136" s="160">
        <f>BJ136/(10^CM136)</f>
        <v>7.4463658538713249</v>
      </c>
      <c r="CO136" s="55" t="s">
        <v>892</v>
      </c>
      <c r="CP136" s="55" t="s">
        <v>893</v>
      </c>
      <c r="CQ136" s="149">
        <v>-1.956074768467305</v>
      </c>
      <c r="CR136" s="349">
        <f>10^(CJ136-CQ136)</f>
        <v>4.172408987466989</v>
      </c>
      <c r="CS136" s="61" t="s">
        <v>539</v>
      </c>
      <c r="CT136" s="61"/>
      <c r="CU136" s="111">
        <f t="shared" si="50"/>
        <v>6.9626600992665537</v>
      </c>
      <c r="CV136" s="331">
        <f t="shared" si="46"/>
        <v>4.0178832330080061</v>
      </c>
      <c r="CW136" s="326">
        <f t="shared" si="55"/>
        <v>1</v>
      </c>
      <c r="CX136" s="326" t="s">
        <v>539</v>
      </c>
      <c r="CY136" s="161" t="s">
        <v>5921</v>
      </c>
    </row>
    <row r="137" spans="1:103" ht="11.25" customHeight="1" x14ac:dyDescent="0.2">
      <c r="A137" s="72">
        <v>135</v>
      </c>
      <c r="B137" s="149">
        <v>1</v>
      </c>
      <c r="C137" s="54" t="s">
        <v>260</v>
      </c>
      <c r="D137" s="54" t="s">
        <v>8369</v>
      </c>
      <c r="E137" s="59"/>
      <c r="F137" s="59" t="s">
        <v>261</v>
      </c>
      <c r="G137" s="151">
        <v>302272</v>
      </c>
      <c r="H137" s="55" t="s">
        <v>262</v>
      </c>
      <c r="I137" s="55" t="s">
        <v>8291</v>
      </c>
      <c r="J137" s="55" t="s">
        <v>263</v>
      </c>
      <c r="K137" s="55" t="s">
        <v>264</v>
      </c>
      <c r="L137" s="64"/>
      <c r="M137" s="55"/>
      <c r="N137" s="60"/>
      <c r="O137" s="55"/>
      <c r="P137" s="67"/>
      <c r="Q137" s="67"/>
      <c r="R137" s="67"/>
      <c r="S137" s="67"/>
      <c r="T137" s="59">
        <v>645.74</v>
      </c>
      <c r="U137" s="153">
        <v>0.48006937776814196</v>
      </c>
      <c r="V137" s="153">
        <v>0.9740762536005203</v>
      </c>
      <c r="W137" s="153">
        <v>3.3884415613920211</v>
      </c>
      <c r="X137" s="153">
        <v>0.48006937776814196</v>
      </c>
      <c r="Y137" s="162">
        <v>8.4600000000000009</v>
      </c>
      <c r="Z137" s="56">
        <v>0.13</v>
      </c>
      <c r="AA137" s="56"/>
      <c r="AB137" s="56">
        <v>3.63</v>
      </c>
      <c r="AC137" s="56">
        <v>0.3508</v>
      </c>
      <c r="AD137" s="56">
        <v>1.62</v>
      </c>
      <c r="AE137" s="56">
        <v>0.39</v>
      </c>
      <c r="AF137" s="56">
        <f t="shared" si="56"/>
        <v>1.62</v>
      </c>
      <c r="AG137" s="57">
        <v>0.14000000000000001</v>
      </c>
      <c r="AH137" s="103">
        <v>4.5299999999999998E-26</v>
      </c>
      <c r="AI137" s="103"/>
      <c r="AJ137" s="62">
        <f t="shared" si="52"/>
        <v>-23.732468124299821</v>
      </c>
      <c r="AK137" s="62"/>
      <c r="AL137" s="62">
        <f t="shared" si="48"/>
        <v>-23.732468124299821</v>
      </c>
      <c r="AM137" s="62">
        <v>-34.302030000000002</v>
      </c>
      <c r="AN137" s="154">
        <v>-11.6</v>
      </c>
      <c r="AO137" s="410">
        <v>12.14</v>
      </c>
      <c r="AP137" s="410">
        <v>5.15</v>
      </c>
      <c r="AQ137" s="154" t="s">
        <v>6311</v>
      </c>
      <c r="AR137" s="154" t="s">
        <v>6312</v>
      </c>
      <c r="AS137" s="149" t="s">
        <v>265</v>
      </c>
      <c r="AT137" s="58" t="s">
        <v>266</v>
      </c>
      <c r="AU137" s="155">
        <v>24</v>
      </c>
      <c r="AV137" s="155">
        <v>120</v>
      </c>
      <c r="AW137" s="155">
        <v>96</v>
      </c>
      <c r="AX137" s="155">
        <v>28</v>
      </c>
      <c r="AY137" s="155" t="s">
        <v>267</v>
      </c>
      <c r="AZ137" s="155" t="s">
        <v>268</v>
      </c>
      <c r="BA137" s="155">
        <v>48</v>
      </c>
      <c r="BB137" s="55" t="s">
        <v>269</v>
      </c>
      <c r="BC137" s="156" t="s">
        <v>270</v>
      </c>
      <c r="BD137" s="156" t="s">
        <v>8374</v>
      </c>
      <c r="BE137" s="155" t="s">
        <v>271</v>
      </c>
      <c r="BF137" s="155" t="s">
        <v>272</v>
      </c>
      <c r="BG137" s="155" t="s">
        <v>272</v>
      </c>
      <c r="BH137" s="155" t="s">
        <v>272</v>
      </c>
      <c r="BI137" s="157">
        <v>1.5486108960262644E-3</v>
      </c>
      <c r="BJ137" s="157">
        <v>1.5486108960262643</v>
      </c>
      <c r="BK137" s="59" t="s">
        <v>6310</v>
      </c>
      <c r="BL137" s="103">
        <f t="shared" si="49"/>
        <v>39.268743032261987</v>
      </c>
      <c r="BM137" s="56">
        <v>0</v>
      </c>
      <c r="BN137" s="56"/>
      <c r="BO137" s="176"/>
      <c r="BP137" s="176"/>
      <c r="BQ137" s="176"/>
      <c r="BR137" s="176"/>
      <c r="BS137" s="176"/>
      <c r="BT137" s="176"/>
      <c r="BU137" s="177"/>
      <c r="BV137" s="176"/>
      <c r="BW137" s="176"/>
      <c r="BX137" s="176"/>
      <c r="BY137" s="176"/>
      <c r="BZ137" s="176">
        <v>0.9</v>
      </c>
      <c r="CA137" s="176">
        <v>0.2</v>
      </c>
      <c r="CB137" s="176">
        <v>0.05</v>
      </c>
      <c r="CC137" s="176"/>
      <c r="CD137" s="176"/>
      <c r="CE137" s="176"/>
      <c r="CF137" s="176"/>
      <c r="CG137" s="176"/>
      <c r="CH137" s="176"/>
      <c r="CI137" s="159">
        <f t="shared" si="53"/>
        <v>0.05</v>
      </c>
      <c r="CJ137" s="103">
        <f t="shared" si="54"/>
        <v>-1.3010299956639813</v>
      </c>
      <c r="CK137" s="57">
        <f t="shared" si="45"/>
        <v>25.357398125652857</v>
      </c>
      <c r="CL137" s="160">
        <f t="shared" si="39"/>
        <v>785.37486064523966</v>
      </c>
      <c r="CM137" s="160"/>
      <c r="CN137" s="160"/>
      <c r="CO137" s="55" t="s">
        <v>273</v>
      </c>
      <c r="CP137" s="156" t="s">
        <v>274</v>
      </c>
      <c r="CQ137" s="149" t="s">
        <v>272</v>
      </c>
      <c r="CR137" s="349"/>
      <c r="CS137" s="61" t="s">
        <v>539</v>
      </c>
      <c r="CT137" s="61"/>
      <c r="CU137" s="111">
        <f t="shared" si="50"/>
        <v>9.6013875553628392</v>
      </c>
      <c r="CV137" s="331">
        <f t="shared" si="46"/>
        <v>0.31</v>
      </c>
      <c r="CW137" s="326">
        <f t="shared" si="55"/>
        <v>1</v>
      </c>
      <c r="CX137" s="326" t="s">
        <v>539</v>
      </c>
      <c r="CY137" s="161" t="s">
        <v>5921</v>
      </c>
    </row>
    <row r="138" spans="1:103" ht="11.25" customHeight="1" x14ac:dyDescent="0.2">
      <c r="A138" s="72">
        <v>136</v>
      </c>
      <c r="B138" s="149">
        <v>2064</v>
      </c>
      <c r="C138" s="54" t="s">
        <v>5678</v>
      </c>
      <c r="D138" s="54"/>
      <c r="E138" s="59"/>
      <c r="F138" s="167" t="s">
        <v>661</v>
      </c>
      <c r="G138" s="151">
        <v>302794</v>
      </c>
      <c r="H138" s="67" t="s">
        <v>662</v>
      </c>
      <c r="I138" s="67" t="s">
        <v>662</v>
      </c>
      <c r="J138" s="67" t="s">
        <v>5679</v>
      </c>
      <c r="K138" s="67" t="s">
        <v>426</v>
      </c>
      <c r="L138" s="67" t="s">
        <v>279</v>
      </c>
      <c r="M138" s="67" t="s">
        <v>664</v>
      </c>
      <c r="N138" s="60"/>
      <c r="O138" s="67" t="s">
        <v>281</v>
      </c>
      <c r="P138" s="67"/>
      <c r="Q138" s="67"/>
      <c r="R138" s="67"/>
      <c r="S138" s="67"/>
      <c r="T138" s="61">
        <v>300.44</v>
      </c>
      <c r="U138" s="111"/>
      <c r="V138" s="111">
        <v>4.2038343762481695E-4</v>
      </c>
      <c r="W138" s="111">
        <v>4.8977881936844637E-2</v>
      </c>
      <c r="X138" s="111">
        <f>IF(W138=0,V138,W138)</f>
        <v>4.8977881936844637E-2</v>
      </c>
      <c r="Y138" s="411">
        <v>4.6500000000000004</v>
      </c>
      <c r="Z138" s="61">
        <v>7.85</v>
      </c>
      <c r="AA138" s="61">
        <v>6.3</v>
      </c>
      <c r="AB138" s="61">
        <v>5.52</v>
      </c>
      <c r="AC138" s="61">
        <v>0.80679999999999996</v>
      </c>
      <c r="AD138" s="61">
        <v>5.9</v>
      </c>
      <c r="AE138" s="61">
        <v>6.83</v>
      </c>
      <c r="AF138" s="61">
        <f t="shared" si="56"/>
        <v>6.3</v>
      </c>
      <c r="AG138" s="62">
        <v>5.9</v>
      </c>
      <c r="AH138" s="111">
        <v>9.5000000000000005E-6</v>
      </c>
      <c r="AI138" s="111"/>
      <c r="AJ138" s="62">
        <f t="shared" si="52"/>
        <v>-3.4108427210238039</v>
      </c>
      <c r="AK138" s="62"/>
      <c r="AL138" s="62">
        <f t="shared" si="48"/>
        <v>-3.4108427210238039</v>
      </c>
      <c r="AM138" s="62">
        <v>-10.49797</v>
      </c>
      <c r="AN138" s="163">
        <v>-7.0221999999999998</v>
      </c>
      <c r="AO138" s="410">
        <v>4.7300000000000004</v>
      </c>
      <c r="AP138" s="410"/>
      <c r="AQ138" s="163" t="s">
        <v>6311</v>
      </c>
      <c r="AR138" s="163" t="s">
        <v>6311</v>
      </c>
      <c r="AS138" s="164" t="s">
        <v>5466</v>
      </c>
      <c r="AT138" s="63" t="s">
        <v>266</v>
      </c>
      <c r="AU138" s="61">
        <v>24</v>
      </c>
      <c r="AV138" s="61">
        <v>120</v>
      </c>
      <c r="AW138" s="61">
        <v>96</v>
      </c>
      <c r="AX138" s="61">
        <v>26</v>
      </c>
      <c r="AY138" s="61" t="s">
        <v>647</v>
      </c>
      <c r="AZ138" s="61"/>
      <c r="BA138" s="61"/>
      <c r="BB138" s="67"/>
      <c r="BC138" s="67" t="s">
        <v>538</v>
      </c>
      <c r="BD138" s="67"/>
      <c r="BE138" s="61" t="s">
        <v>5680</v>
      </c>
      <c r="BF138" s="61" t="s">
        <v>5681</v>
      </c>
      <c r="BG138" s="61"/>
      <c r="BH138" s="61" t="s">
        <v>1820</v>
      </c>
      <c r="BI138" s="111">
        <v>1.3E-6</v>
      </c>
      <c r="BJ138" s="111">
        <v>3.6000000000000002E-4</v>
      </c>
      <c r="BK138" s="165"/>
      <c r="BL138" s="111">
        <f t="shared" si="49"/>
        <v>4.5784133579813217E-6</v>
      </c>
      <c r="BM138" s="61"/>
      <c r="BN138" s="61"/>
      <c r="BO138" s="61"/>
      <c r="BP138" s="61"/>
      <c r="BQ138" s="61"/>
      <c r="BR138" s="61"/>
      <c r="BS138" s="61"/>
      <c r="BT138" s="61"/>
      <c r="BU138" s="158"/>
      <c r="BV138" s="61"/>
      <c r="BW138" s="61"/>
      <c r="BX138" s="61"/>
      <c r="BY138" s="61"/>
      <c r="BZ138" s="61"/>
      <c r="CA138" s="61"/>
      <c r="CB138" s="61">
        <v>3.5947300000000002E-4</v>
      </c>
      <c r="CC138" s="61"/>
      <c r="CD138" s="61"/>
      <c r="CE138" s="61"/>
      <c r="CF138" s="61"/>
      <c r="CG138" s="61"/>
      <c r="CH138" s="61"/>
      <c r="CI138" s="111">
        <f t="shared" si="53"/>
        <v>3.5947300000000002E-4</v>
      </c>
      <c r="CJ138" s="103">
        <f t="shared" si="54"/>
        <v>-3.4443337238940837</v>
      </c>
      <c r="CK138" s="57">
        <f t="shared" si="45"/>
        <v>1.2717814883281449E-2</v>
      </c>
      <c r="CL138" s="160">
        <f t="shared" si="39"/>
        <v>1.2736459645039604E-2</v>
      </c>
      <c r="CM138" s="160"/>
      <c r="CN138" s="160"/>
      <c r="CO138" s="67"/>
      <c r="CP138" s="67" t="s">
        <v>5682</v>
      </c>
      <c r="CQ138" s="149" t="s">
        <v>272</v>
      </c>
      <c r="CR138" s="349"/>
      <c r="CS138" s="61" t="s">
        <v>539</v>
      </c>
      <c r="CT138" s="61"/>
      <c r="CU138" s="111">
        <f t="shared" si="50"/>
        <v>136.24912562791818</v>
      </c>
      <c r="CV138" s="331">
        <f t="shared" si="46"/>
        <v>136.04967204679065</v>
      </c>
      <c r="CW138" s="326">
        <f t="shared" si="55"/>
        <v>1</v>
      </c>
      <c r="CX138" s="326"/>
      <c r="CY138" s="161" t="s">
        <v>5921</v>
      </c>
    </row>
    <row r="139" spans="1:103" ht="11.25" customHeight="1" x14ac:dyDescent="0.2">
      <c r="A139" s="72">
        <v>137</v>
      </c>
      <c r="B139" s="149">
        <v>1301</v>
      </c>
      <c r="C139" s="54" t="s">
        <v>3570</v>
      </c>
      <c r="D139" s="54"/>
      <c r="E139" s="59"/>
      <c r="F139" s="59" t="s">
        <v>661</v>
      </c>
      <c r="G139" s="151">
        <v>302794</v>
      </c>
      <c r="H139" s="55" t="s">
        <v>662</v>
      </c>
      <c r="I139" s="55" t="s">
        <v>662</v>
      </c>
      <c r="J139" s="55" t="s">
        <v>663</v>
      </c>
      <c r="K139" s="55" t="s">
        <v>426</v>
      </c>
      <c r="L139" s="55" t="s">
        <v>279</v>
      </c>
      <c r="M139" s="55" t="s">
        <v>664</v>
      </c>
      <c r="N139" s="60"/>
      <c r="O139" s="55" t="s">
        <v>281</v>
      </c>
      <c r="P139" s="67"/>
      <c r="Q139" s="67"/>
      <c r="R139" s="67"/>
      <c r="S139" s="67"/>
      <c r="T139" s="56">
        <v>300.44</v>
      </c>
      <c r="U139" s="103"/>
      <c r="V139" s="103">
        <v>4.2038343762481695E-4</v>
      </c>
      <c r="W139" s="103">
        <v>4.8977881936844637E-2</v>
      </c>
      <c r="X139" s="103">
        <f>IF(W139=0,V139,W139)</f>
        <v>4.8977881936844637E-2</v>
      </c>
      <c r="Y139" s="162">
        <v>4.6500000000000004</v>
      </c>
      <c r="Z139" s="56">
        <v>7.85</v>
      </c>
      <c r="AA139" s="56">
        <v>6.3</v>
      </c>
      <c r="AB139" s="56">
        <v>5.52</v>
      </c>
      <c r="AC139" s="56">
        <v>0.80679999999999996</v>
      </c>
      <c r="AD139" s="56">
        <v>5.9</v>
      </c>
      <c r="AE139" s="56">
        <v>6.83</v>
      </c>
      <c r="AF139" s="56">
        <f t="shared" si="56"/>
        <v>6.3</v>
      </c>
      <c r="AG139" s="57">
        <v>5.9</v>
      </c>
      <c r="AH139" s="103">
        <v>9.5000000000000005E-6</v>
      </c>
      <c r="AI139" s="103"/>
      <c r="AJ139" s="62">
        <f t="shared" si="52"/>
        <v>-3.4108427210238039</v>
      </c>
      <c r="AK139" s="62"/>
      <c r="AL139" s="62">
        <f t="shared" si="48"/>
        <v>-3.4108427210238039</v>
      </c>
      <c r="AM139" s="62">
        <v>-10.49797</v>
      </c>
      <c r="AN139" s="154">
        <v>-7.02</v>
      </c>
      <c r="AO139" s="410">
        <v>4.7300000000000004</v>
      </c>
      <c r="AP139" s="410"/>
      <c r="AQ139" s="56" t="s">
        <v>6311</v>
      </c>
      <c r="AR139" s="56" t="s">
        <v>6311</v>
      </c>
      <c r="AS139" s="155"/>
      <c r="AT139" s="58" t="s">
        <v>266</v>
      </c>
      <c r="AU139" s="56">
        <v>6</v>
      </c>
      <c r="AV139" s="56">
        <v>120</v>
      </c>
      <c r="AW139" s="56">
        <v>114</v>
      </c>
      <c r="AX139" s="56">
        <v>28</v>
      </c>
      <c r="AY139" s="56" t="s">
        <v>8728</v>
      </c>
      <c r="AZ139" s="56" t="s">
        <v>1563</v>
      </c>
      <c r="BA139" s="56">
        <v>32</v>
      </c>
      <c r="BB139" s="55" t="s">
        <v>2485</v>
      </c>
      <c r="BC139" s="55" t="s">
        <v>8726</v>
      </c>
      <c r="BD139" s="55" t="s">
        <v>8374</v>
      </c>
      <c r="BE139" s="56" t="s">
        <v>2449</v>
      </c>
      <c r="BF139" s="56" t="s">
        <v>272</v>
      </c>
      <c r="BG139" s="56" t="s">
        <v>272</v>
      </c>
      <c r="BH139" s="56" t="s">
        <v>2486</v>
      </c>
      <c r="BI139" s="103">
        <v>6.3999999999999997E-6</v>
      </c>
      <c r="BJ139" s="103">
        <v>6.4000000000000001E-2</v>
      </c>
      <c r="BK139" s="56"/>
      <c r="BL139" s="103">
        <f t="shared" si="49"/>
        <v>4.5784133579813217E-6</v>
      </c>
      <c r="BM139" s="56" t="s">
        <v>2046</v>
      </c>
      <c r="BN139" s="56"/>
      <c r="BO139" s="56"/>
      <c r="BP139" s="56"/>
      <c r="BQ139" s="56"/>
      <c r="BR139" s="55">
        <v>2.0238579999999999E-3</v>
      </c>
      <c r="BS139" s="56"/>
      <c r="BT139" s="56"/>
      <c r="BU139" s="158"/>
      <c r="BV139" s="56"/>
      <c r="BW139" s="56"/>
      <c r="BX139" s="56"/>
      <c r="BY139" s="56"/>
      <c r="BZ139" s="56"/>
      <c r="CA139" s="56"/>
      <c r="CB139" s="56"/>
      <c r="CC139" s="56"/>
      <c r="CD139" s="56"/>
      <c r="CE139" s="56"/>
      <c r="CF139" s="56"/>
      <c r="CG139" s="56"/>
      <c r="CH139" s="56"/>
      <c r="CI139" s="103">
        <f t="shared" si="53"/>
        <v>2.0238579999999999E-3</v>
      </c>
      <c r="CJ139" s="103">
        <f t="shared" si="54"/>
        <v>-2.6938199621780141</v>
      </c>
      <c r="CK139" s="57">
        <f t="shared" si="45"/>
        <v>7.153770871845815E-5</v>
      </c>
      <c r="CL139" s="160">
        <f t="shared" si="39"/>
        <v>2.2622206488702875E-3</v>
      </c>
      <c r="CM139" s="160"/>
      <c r="CN139" s="160"/>
      <c r="CO139" s="55" t="s">
        <v>2488</v>
      </c>
      <c r="CP139" s="55" t="s">
        <v>2489</v>
      </c>
      <c r="CQ139" s="149" t="s">
        <v>272</v>
      </c>
      <c r="CR139" s="349"/>
      <c r="CS139" s="61" t="s">
        <v>539</v>
      </c>
      <c r="CT139" s="61"/>
      <c r="CU139" s="111">
        <f t="shared" si="50"/>
        <v>24.200256113247391</v>
      </c>
      <c r="CV139" s="331">
        <f t="shared" si="46"/>
        <v>0.76527940526319749</v>
      </c>
      <c r="CW139" s="326">
        <f t="shared" si="55"/>
        <v>1</v>
      </c>
      <c r="CX139" s="326"/>
      <c r="CY139" s="161" t="s">
        <v>5921</v>
      </c>
    </row>
    <row r="140" spans="1:103" ht="11.25" customHeight="1" x14ac:dyDescent="0.2">
      <c r="A140" s="72">
        <v>138</v>
      </c>
      <c r="B140" s="149">
        <v>2150</v>
      </c>
      <c r="C140" s="54" t="s">
        <v>5879</v>
      </c>
      <c r="D140" s="54"/>
      <c r="E140" s="59"/>
      <c r="F140" s="167" t="s">
        <v>661</v>
      </c>
      <c r="G140" s="151">
        <v>302794</v>
      </c>
      <c r="H140" s="67" t="s">
        <v>662</v>
      </c>
      <c r="I140" s="67" t="s">
        <v>662</v>
      </c>
      <c r="J140" s="67" t="s">
        <v>663</v>
      </c>
      <c r="K140" s="67" t="s">
        <v>426</v>
      </c>
      <c r="L140" s="67" t="s">
        <v>279</v>
      </c>
      <c r="M140" s="67" t="s">
        <v>664</v>
      </c>
      <c r="N140" s="60"/>
      <c r="O140" s="67" t="s">
        <v>281</v>
      </c>
      <c r="P140" s="67"/>
      <c r="Q140" s="67"/>
      <c r="R140" s="67"/>
      <c r="S140" s="67"/>
      <c r="T140" s="61">
        <v>300.44</v>
      </c>
      <c r="U140" s="111"/>
      <c r="V140" s="111">
        <v>4.2038343762481695E-4</v>
      </c>
      <c r="W140" s="111">
        <v>4.8977881936844637E-2</v>
      </c>
      <c r="X140" s="111">
        <f>IF(W140=0,V140,W140)</f>
        <v>4.8977881936844637E-2</v>
      </c>
      <c r="Y140" s="411">
        <v>4.6500000000000004</v>
      </c>
      <c r="Z140" s="61">
        <v>7.85</v>
      </c>
      <c r="AA140" s="61">
        <v>6.3</v>
      </c>
      <c r="AB140" s="61">
        <v>5.52</v>
      </c>
      <c r="AC140" s="61">
        <v>0.80679999999999996</v>
      </c>
      <c r="AD140" s="61">
        <v>5.9</v>
      </c>
      <c r="AE140" s="61">
        <v>6.83</v>
      </c>
      <c r="AF140" s="61">
        <f t="shared" si="56"/>
        <v>6.3</v>
      </c>
      <c r="AG140" s="62">
        <v>5.9</v>
      </c>
      <c r="AH140" s="111">
        <v>9.5000000000000005E-6</v>
      </c>
      <c r="AI140" s="111"/>
      <c r="AJ140" s="62">
        <f t="shared" si="52"/>
        <v>-3.4108427210238039</v>
      </c>
      <c r="AK140" s="62"/>
      <c r="AL140" s="62">
        <f t="shared" si="48"/>
        <v>-3.4108427210238039</v>
      </c>
      <c r="AM140" s="62">
        <v>-10.49797</v>
      </c>
      <c r="AN140" s="163">
        <v>-7.0221999999999998</v>
      </c>
      <c r="AO140" s="410">
        <v>4.7300000000000004</v>
      </c>
      <c r="AP140" s="410"/>
      <c r="AQ140" s="163" t="s">
        <v>6311</v>
      </c>
      <c r="AR140" s="163" t="s">
        <v>6311</v>
      </c>
      <c r="AS140" s="164" t="s">
        <v>5466</v>
      </c>
      <c r="AT140" s="63" t="s">
        <v>266</v>
      </c>
      <c r="AU140" s="61">
        <v>0</v>
      </c>
      <c r="AV140" s="61">
        <v>120</v>
      </c>
      <c r="AW140" s="61">
        <v>120</v>
      </c>
      <c r="AX140" s="61">
        <v>28</v>
      </c>
      <c r="AY140" s="61" t="s">
        <v>267</v>
      </c>
      <c r="AZ140" s="61" t="s">
        <v>5717</v>
      </c>
      <c r="BA140" s="61">
        <v>32</v>
      </c>
      <c r="BB140" s="67" t="s">
        <v>5666</v>
      </c>
      <c r="BC140" s="180" t="s">
        <v>8378</v>
      </c>
      <c r="BD140" s="67" t="s">
        <v>8374</v>
      </c>
      <c r="BE140" s="61" t="s">
        <v>2449</v>
      </c>
      <c r="BF140" s="61"/>
      <c r="BG140" s="61"/>
      <c r="BH140" s="61" t="s">
        <v>5626</v>
      </c>
      <c r="BI140" s="111">
        <v>4.9999999999999998E-7</v>
      </c>
      <c r="BJ140" s="111">
        <v>7.9999999999999996E-6</v>
      </c>
      <c r="BK140" s="165"/>
      <c r="BL140" s="111">
        <f t="shared" si="49"/>
        <v>4.5784133579813217E-6</v>
      </c>
      <c r="BM140" s="61"/>
      <c r="BN140" s="61"/>
      <c r="BO140" s="61"/>
      <c r="BP140" s="61"/>
      <c r="BQ140" s="61"/>
      <c r="BR140" s="61">
        <v>1.7309999999999999E-5</v>
      </c>
      <c r="BS140" s="61"/>
      <c r="BT140" s="61"/>
      <c r="BU140" s="158"/>
      <c r="BV140" s="61"/>
      <c r="BW140" s="61"/>
      <c r="BX140" s="61"/>
      <c r="BY140" s="61"/>
      <c r="BZ140" s="61"/>
      <c r="CA140" s="61"/>
      <c r="CB140" s="61"/>
      <c r="CC140" s="61"/>
      <c r="CD140" s="61"/>
      <c r="CE140" s="61"/>
      <c r="CF140" s="61"/>
      <c r="CG140" s="61"/>
      <c r="CH140" s="61"/>
      <c r="CI140" s="111">
        <f t="shared" si="53"/>
        <v>1.7309999999999999E-5</v>
      </c>
      <c r="CJ140" s="103">
        <f t="shared" si="54"/>
        <v>-4.7617029321246065</v>
      </c>
      <c r="CK140" s="57">
        <f t="shared" si="45"/>
        <v>0.57230166974766528</v>
      </c>
      <c r="CL140" s="160">
        <f t="shared" si="39"/>
        <v>0.26449528353444957</v>
      </c>
      <c r="CM140" s="160"/>
      <c r="CN140" s="160"/>
      <c r="CO140" s="67"/>
      <c r="CP140" s="67" t="s">
        <v>5880</v>
      </c>
      <c r="CQ140" s="149" t="s">
        <v>272</v>
      </c>
      <c r="CR140" s="349"/>
      <c r="CS140" s="61" t="s">
        <v>539</v>
      </c>
      <c r="CT140" s="61"/>
      <c r="CU140" s="111">
        <f t="shared" si="50"/>
        <v>2829.4559177842079</v>
      </c>
      <c r="CV140" s="331">
        <f t="shared" si="46"/>
        <v>6122.2352421055803</v>
      </c>
      <c r="CW140" s="326">
        <f t="shared" si="55"/>
        <v>1</v>
      </c>
      <c r="CX140" s="326"/>
      <c r="CY140" s="161" t="s">
        <v>5921</v>
      </c>
    </row>
    <row r="141" spans="1:103" ht="11.25" customHeight="1" x14ac:dyDescent="0.2">
      <c r="A141" s="72">
        <v>139</v>
      </c>
      <c r="B141" s="149">
        <v>2139</v>
      </c>
      <c r="C141" s="54" t="s">
        <v>5844</v>
      </c>
      <c r="D141" s="54"/>
      <c r="E141" s="59"/>
      <c r="F141" s="422" t="s">
        <v>8396</v>
      </c>
      <c r="G141" s="423" t="s">
        <v>8397</v>
      </c>
      <c r="H141" s="67" t="s">
        <v>5845</v>
      </c>
      <c r="I141" s="67" t="s">
        <v>8292</v>
      </c>
      <c r="J141" s="67" t="s">
        <v>5846</v>
      </c>
      <c r="K141" s="67"/>
      <c r="L141" s="67"/>
      <c r="M141" s="67"/>
      <c r="N141" s="60"/>
      <c r="O141" s="67"/>
      <c r="P141" s="67"/>
      <c r="Q141" s="67"/>
      <c r="R141" s="67"/>
      <c r="S141" s="67"/>
      <c r="T141" s="61">
        <v>295.8</v>
      </c>
      <c r="U141" s="103">
        <v>61.7</v>
      </c>
      <c r="V141" s="103">
        <f>228/259.53</f>
        <v>0.87851115477979436</v>
      </c>
      <c r="W141" s="111">
        <v>1.7378008287493749</v>
      </c>
      <c r="X141" s="103">
        <v>61.7</v>
      </c>
      <c r="Y141" s="411">
        <v>10.37</v>
      </c>
      <c r="Z141" s="61">
        <v>2.6</v>
      </c>
      <c r="AA141" s="61">
        <v>3.48</v>
      </c>
      <c r="AB141" s="61">
        <v>3.32</v>
      </c>
      <c r="AC141" s="61">
        <v>0.86699999999999999</v>
      </c>
      <c r="AD141" s="61">
        <v>3.26</v>
      </c>
      <c r="AE141" s="61">
        <v>3.1</v>
      </c>
      <c r="AF141" s="61">
        <f t="shared" si="56"/>
        <v>3.48</v>
      </c>
      <c r="AG141" s="62">
        <v>3.26</v>
      </c>
      <c r="AH141" s="111">
        <v>7.9800000000000003E-13</v>
      </c>
      <c r="AI141" s="488"/>
      <c r="AJ141" s="62">
        <f t="shared" si="52"/>
        <v>-10.486563434961923</v>
      </c>
      <c r="AK141" s="62"/>
      <c r="AL141" s="62">
        <f t="shared" si="48"/>
        <v>-10.486563434961923</v>
      </c>
      <c r="AM141" s="62">
        <v>-13.9604</v>
      </c>
      <c r="AN141" s="342">
        <v>-10.486000000000001</v>
      </c>
      <c r="AO141" s="410">
        <v>13.84</v>
      </c>
      <c r="AP141" s="410">
        <v>9.5</v>
      </c>
      <c r="AQ141" s="163" t="s">
        <v>6311</v>
      </c>
      <c r="AR141" s="163" t="s">
        <v>6316</v>
      </c>
      <c r="AS141" s="164" t="s">
        <v>5466</v>
      </c>
      <c r="AT141" s="63" t="s">
        <v>266</v>
      </c>
      <c r="AU141" s="61">
        <v>0</v>
      </c>
      <c r="AV141" s="61">
        <v>96</v>
      </c>
      <c r="AW141" s="61">
        <v>96</v>
      </c>
      <c r="AX141" s="61">
        <v>26</v>
      </c>
      <c r="AY141" s="61" t="s">
        <v>1780</v>
      </c>
      <c r="AZ141" s="61" t="s">
        <v>5847</v>
      </c>
      <c r="BA141" s="61">
        <v>20</v>
      </c>
      <c r="BB141" s="67" t="s">
        <v>5487</v>
      </c>
      <c r="BC141" s="67" t="s">
        <v>5848</v>
      </c>
      <c r="BD141" s="67"/>
      <c r="BE141" s="61" t="s">
        <v>5733</v>
      </c>
      <c r="BF141" s="61"/>
      <c r="BG141" s="61"/>
      <c r="BH141" s="61"/>
      <c r="BI141" s="111"/>
      <c r="BJ141" s="111"/>
      <c r="BK141" s="165"/>
      <c r="BL141" s="111"/>
      <c r="BM141" s="61"/>
      <c r="BN141" s="61"/>
      <c r="BO141" s="61"/>
      <c r="BP141" s="61"/>
      <c r="BQ141" s="61">
        <v>8.3840430000000007E-3</v>
      </c>
      <c r="BR141" s="61"/>
      <c r="BS141" s="61"/>
      <c r="BT141" s="61"/>
      <c r="BU141" s="158"/>
      <c r="BV141" s="61"/>
      <c r="BW141" s="61"/>
      <c r="BX141" s="61"/>
      <c r="BY141" s="61"/>
      <c r="BZ141" s="61"/>
      <c r="CA141" s="61"/>
      <c r="CB141" s="61"/>
      <c r="CC141" s="61"/>
      <c r="CD141" s="61"/>
      <c r="CE141" s="61"/>
      <c r="CF141" s="61"/>
      <c r="CG141" s="61"/>
      <c r="CH141" s="61"/>
      <c r="CI141" s="111">
        <f t="shared" si="53"/>
        <v>8.3840430000000007E-3</v>
      </c>
      <c r="CJ141" s="103">
        <f t="shared" si="54"/>
        <v>-2.076546502949228</v>
      </c>
      <c r="CK141" s="57" t="s">
        <v>404</v>
      </c>
      <c r="CL141" s="160">
        <f t="shared" si="39"/>
        <v>0</v>
      </c>
      <c r="CM141" s="160"/>
      <c r="CN141" s="160"/>
      <c r="CO141" s="67" t="s">
        <v>5842</v>
      </c>
      <c r="CP141" s="67" t="s">
        <v>5849</v>
      </c>
      <c r="CQ141" s="149" t="s">
        <v>272</v>
      </c>
      <c r="CR141" s="349"/>
      <c r="CS141" s="61" t="s">
        <v>539</v>
      </c>
      <c r="CT141" s="61"/>
      <c r="CU141" s="111">
        <f t="shared" si="50"/>
        <v>7359.2179811100677</v>
      </c>
      <c r="CV141" s="331"/>
      <c r="CW141" s="326">
        <f t="shared" si="55"/>
        <v>1</v>
      </c>
      <c r="CX141" s="326" t="s">
        <v>539</v>
      </c>
      <c r="CY141" s="161" t="s">
        <v>5921</v>
      </c>
    </row>
    <row r="142" spans="1:103" ht="11.25" customHeight="1" x14ac:dyDescent="0.2">
      <c r="A142" s="72">
        <v>140</v>
      </c>
      <c r="B142" s="149">
        <v>462</v>
      </c>
      <c r="C142" s="54" t="s">
        <v>1517</v>
      </c>
      <c r="D142" s="54" t="s">
        <v>6570</v>
      </c>
      <c r="E142" s="59"/>
      <c r="F142" s="59" t="s">
        <v>1518</v>
      </c>
      <c r="G142" s="151">
        <v>87820880</v>
      </c>
      <c r="H142" s="55" t="s">
        <v>1519</v>
      </c>
      <c r="I142" s="55" t="s">
        <v>1519</v>
      </c>
      <c r="J142" s="55" t="s">
        <v>1520</v>
      </c>
      <c r="K142" s="55" t="s">
        <v>1521</v>
      </c>
      <c r="L142" s="55" t="s">
        <v>6014</v>
      </c>
      <c r="M142" s="60" t="s">
        <v>2342</v>
      </c>
      <c r="N142" s="60" t="s">
        <v>2342</v>
      </c>
      <c r="O142" s="55"/>
      <c r="P142" s="67"/>
      <c r="Q142" s="67"/>
      <c r="R142" s="67"/>
      <c r="S142" s="67"/>
      <c r="T142" s="56">
        <v>329.43</v>
      </c>
      <c r="U142" s="103">
        <v>1.5177731232735331E-2</v>
      </c>
      <c r="V142" s="103">
        <v>3.8794281030871507E-3</v>
      </c>
      <c r="W142" s="103">
        <v>0.10715193052376051</v>
      </c>
      <c r="X142" s="103">
        <v>1.5177731232735331E-2</v>
      </c>
      <c r="Y142" s="162">
        <v>4.1100000000000003</v>
      </c>
      <c r="Z142" s="56">
        <v>4.87</v>
      </c>
      <c r="AA142" s="56">
        <v>4.46</v>
      </c>
      <c r="AB142" s="56">
        <v>4.7</v>
      </c>
      <c r="AC142" s="56">
        <v>0.82740000000000002</v>
      </c>
      <c r="AD142" s="56">
        <v>4.7699999999999996</v>
      </c>
      <c r="AE142" s="56">
        <v>5.0199999999999996</v>
      </c>
      <c r="AF142" s="56">
        <f t="shared" si="56"/>
        <v>4.46</v>
      </c>
      <c r="AG142" s="57">
        <v>4.4400000000000004</v>
      </c>
      <c r="AH142" s="103">
        <v>5.3200000000000001E-11</v>
      </c>
      <c r="AI142" s="103">
        <v>2.4099999999999999E-10</v>
      </c>
      <c r="AJ142" s="62">
        <f t="shared" si="52"/>
        <v>-8.6626546940176041</v>
      </c>
      <c r="AK142" s="62">
        <f>LOG10(AI142*1000/(0.08206*298.15))</f>
        <v>-8.0065492837377832</v>
      </c>
      <c r="AL142" s="62">
        <f t="shared" si="48"/>
        <v>-8.0065492837377832</v>
      </c>
      <c r="AM142" s="62">
        <v>-13.150559999999999</v>
      </c>
      <c r="AN142" s="154">
        <v>-8.9499999999999993</v>
      </c>
      <c r="AO142" s="410">
        <v>3.66</v>
      </c>
      <c r="AP142" s="410"/>
      <c r="AQ142" s="154" t="s">
        <v>6311</v>
      </c>
      <c r="AR142" s="154" t="s">
        <v>6311</v>
      </c>
      <c r="AS142" s="149" t="s">
        <v>6</v>
      </c>
      <c r="AT142" s="58" t="s">
        <v>266</v>
      </c>
      <c r="AU142" s="56">
        <v>8</v>
      </c>
      <c r="AV142" s="56">
        <v>144</v>
      </c>
      <c r="AW142" s="56">
        <v>120</v>
      </c>
      <c r="AX142" s="56">
        <v>26</v>
      </c>
      <c r="AY142" s="56" t="s">
        <v>267</v>
      </c>
      <c r="AZ142" s="56" t="s">
        <v>268</v>
      </c>
      <c r="BA142" s="56">
        <v>2</v>
      </c>
      <c r="BB142" s="55" t="s">
        <v>888</v>
      </c>
      <c r="BC142" s="55" t="s">
        <v>270</v>
      </c>
      <c r="BD142" s="55" t="s">
        <v>8374</v>
      </c>
      <c r="BE142" s="56" t="s">
        <v>889</v>
      </c>
      <c r="BF142" s="56" t="s">
        <v>272</v>
      </c>
      <c r="BG142" s="56" t="s">
        <v>272</v>
      </c>
      <c r="BH142" s="56" t="s">
        <v>890</v>
      </c>
      <c r="BI142" s="103">
        <v>9.9999999999999995E-7</v>
      </c>
      <c r="BJ142" s="103">
        <v>0.08</v>
      </c>
      <c r="BK142" s="56"/>
      <c r="BL142" s="103">
        <f t="shared" ref="BL142:BL173" si="57">10^((-0.8981*Z142)+1.7108)</f>
        <v>2.1729663449987923E-3</v>
      </c>
      <c r="BM142" s="56" t="s">
        <v>891</v>
      </c>
      <c r="BN142" s="162"/>
      <c r="BO142" s="162"/>
      <c r="BP142" s="162"/>
      <c r="BQ142" s="162"/>
      <c r="BR142" s="162"/>
      <c r="BS142" s="56">
        <v>4.6164921748011227E-2</v>
      </c>
      <c r="BT142" s="162"/>
      <c r="BU142" s="158"/>
      <c r="BV142" s="162"/>
      <c r="BW142" s="162"/>
      <c r="BX142" s="162"/>
      <c r="BY142" s="162"/>
      <c r="BZ142" s="162"/>
      <c r="CA142" s="162"/>
      <c r="CB142" s="162"/>
      <c r="CC142" s="56"/>
      <c r="CD142" s="56"/>
      <c r="CE142" s="56"/>
      <c r="CF142" s="56"/>
      <c r="CG142" s="56"/>
      <c r="CH142" s="56"/>
      <c r="CI142" s="103">
        <f t="shared" si="53"/>
        <v>4.6164921748011227E-2</v>
      </c>
      <c r="CJ142" s="103">
        <f t="shared" si="54"/>
        <v>-1.3356878962548966</v>
      </c>
      <c r="CK142" s="57">
        <f t="shared" ref="CK142:CK166" si="58">BL142/BJ142</f>
        <v>2.7162079312484901E-2</v>
      </c>
      <c r="CL142" s="160">
        <f t="shared" si="39"/>
        <v>4.70696421161464E-2</v>
      </c>
      <c r="CM142" s="160">
        <v>-0.87431046977801152</v>
      </c>
      <c r="CN142" s="160">
        <f>BJ142/(10^CM142)</f>
        <v>0.59896363636363648</v>
      </c>
      <c r="CO142" s="55" t="s">
        <v>892</v>
      </c>
      <c r="CP142" s="55" t="s">
        <v>893</v>
      </c>
      <c r="CQ142" s="149">
        <v>-0.87431046977801152</v>
      </c>
      <c r="CR142" s="349">
        <f>10^(CJ142-CQ142)</f>
        <v>0.34563886753289397</v>
      </c>
      <c r="CS142" s="61" t="s">
        <v>539</v>
      </c>
      <c r="CT142" s="61"/>
      <c r="CU142" s="111">
        <f t="shared" si="50"/>
        <v>0.32877194757487449</v>
      </c>
      <c r="CV142" s="331">
        <f t="shared" ref="CV142:CV166" si="59">X142/BJ142</f>
        <v>0.18972164040919162</v>
      </c>
      <c r="CW142" s="326">
        <f t="shared" si="55"/>
        <v>0</v>
      </c>
      <c r="CX142" s="326" t="s">
        <v>539</v>
      </c>
      <c r="CY142" s="161" t="s">
        <v>5921</v>
      </c>
    </row>
    <row r="143" spans="1:103" ht="11.25" customHeight="1" x14ac:dyDescent="0.2">
      <c r="A143" s="72">
        <v>141</v>
      </c>
      <c r="B143" s="149">
        <v>376</v>
      </c>
      <c r="C143" s="54" t="s">
        <v>1319</v>
      </c>
      <c r="D143" s="54" t="s">
        <v>6571</v>
      </c>
      <c r="E143" s="59"/>
      <c r="F143" s="59" t="s">
        <v>1320</v>
      </c>
      <c r="G143" s="151">
        <v>88671890</v>
      </c>
      <c r="H143" s="55" t="s">
        <v>1321</v>
      </c>
      <c r="I143" s="55" t="s">
        <v>8154</v>
      </c>
      <c r="J143" s="55" t="s">
        <v>1322</v>
      </c>
      <c r="K143" s="55" t="s">
        <v>1163</v>
      </c>
      <c r="L143" s="55" t="s">
        <v>6002</v>
      </c>
      <c r="M143" s="60" t="s">
        <v>2342</v>
      </c>
      <c r="N143" s="60" t="s">
        <v>2342</v>
      </c>
      <c r="O143" s="55"/>
      <c r="P143" s="67"/>
      <c r="Q143" s="67"/>
      <c r="R143" s="67"/>
      <c r="S143" s="67"/>
      <c r="T143" s="56">
        <v>288.77999999999997</v>
      </c>
      <c r="U143" s="103">
        <v>0.49172380358750611</v>
      </c>
      <c r="V143" s="103">
        <v>8.2761964124939399E-2</v>
      </c>
      <c r="W143" s="103">
        <v>6.3095734448019275E-2</v>
      </c>
      <c r="X143" s="103">
        <v>0.49172380358750611</v>
      </c>
      <c r="Y143" s="162">
        <v>7</v>
      </c>
      <c r="Z143" s="56">
        <v>3.5</v>
      </c>
      <c r="AA143" s="56">
        <v>2.94</v>
      </c>
      <c r="AB143" s="56">
        <v>3.35</v>
      </c>
      <c r="AC143" s="56">
        <v>0.74470000000000003</v>
      </c>
      <c r="AD143" s="56">
        <v>3.19</v>
      </c>
      <c r="AE143" s="56">
        <v>2.82</v>
      </c>
      <c r="AF143" s="56">
        <f t="shared" si="56"/>
        <v>2.94</v>
      </c>
      <c r="AG143" s="57">
        <v>3.89</v>
      </c>
      <c r="AH143" s="103">
        <v>3.34E-9</v>
      </c>
      <c r="AI143" s="103">
        <v>4.2800000000000001E-9</v>
      </c>
      <c r="AJ143" s="62">
        <f t="shared" si="52"/>
        <v>-6.864819859501087</v>
      </c>
      <c r="AK143" s="62">
        <f>LOG10(AI143*1000/(0.08206*298.15))</f>
        <v>-6.7571225572994793</v>
      </c>
      <c r="AL143" s="62">
        <f t="shared" si="48"/>
        <v>-6.7571225572994793</v>
      </c>
      <c r="AM143" s="62">
        <v>-11.876340000000001</v>
      </c>
      <c r="AN143" s="154">
        <v>-7.93</v>
      </c>
      <c r="AO143" s="410"/>
      <c r="AP143" s="410">
        <v>2.2999999999999998</v>
      </c>
      <c r="AQ143" s="154" t="s">
        <v>6311</v>
      </c>
      <c r="AR143" s="154" t="s">
        <v>6311</v>
      </c>
      <c r="AS143" s="149" t="s">
        <v>6</v>
      </c>
      <c r="AT143" s="58" t="s">
        <v>266</v>
      </c>
      <c r="AU143" s="56">
        <v>8</v>
      </c>
      <c r="AV143" s="56">
        <v>144</v>
      </c>
      <c r="AW143" s="56">
        <v>120</v>
      </c>
      <c r="AX143" s="56">
        <v>26</v>
      </c>
      <c r="AY143" s="56" t="s">
        <v>267</v>
      </c>
      <c r="AZ143" s="56" t="s">
        <v>268</v>
      </c>
      <c r="BA143" s="56">
        <v>2</v>
      </c>
      <c r="BB143" s="55" t="s">
        <v>888</v>
      </c>
      <c r="BC143" s="55" t="s">
        <v>270</v>
      </c>
      <c r="BD143" s="55" t="s">
        <v>8374</v>
      </c>
      <c r="BE143" s="56" t="s">
        <v>889</v>
      </c>
      <c r="BF143" s="56" t="s">
        <v>272</v>
      </c>
      <c r="BG143" s="56" t="s">
        <v>272</v>
      </c>
      <c r="BH143" s="56" t="s">
        <v>890</v>
      </c>
      <c r="BI143" s="103">
        <v>9.9999999999999995E-7</v>
      </c>
      <c r="BJ143" s="103">
        <v>0.08</v>
      </c>
      <c r="BK143" s="56"/>
      <c r="BL143" s="103">
        <f t="shared" si="57"/>
        <v>3.6936011775524802E-2</v>
      </c>
      <c r="BM143" s="56" t="s">
        <v>891</v>
      </c>
      <c r="BN143" s="162"/>
      <c r="BO143" s="162"/>
      <c r="BP143" s="162"/>
      <c r="BQ143" s="162"/>
      <c r="BR143" s="162"/>
      <c r="BS143" s="56">
        <v>4.6164921748011227E-2</v>
      </c>
      <c r="BT143" s="162"/>
      <c r="BU143" s="158"/>
      <c r="BV143" s="162"/>
      <c r="BW143" s="162"/>
      <c r="BX143" s="162"/>
      <c r="BY143" s="162"/>
      <c r="BZ143" s="162"/>
      <c r="CA143" s="162"/>
      <c r="CB143" s="162"/>
      <c r="CC143" s="56"/>
      <c r="CD143" s="56"/>
      <c r="CE143" s="56"/>
      <c r="CF143" s="56"/>
      <c r="CG143" s="56"/>
      <c r="CH143" s="56"/>
      <c r="CI143" s="103">
        <f t="shared" si="53"/>
        <v>4.6164921748011227E-2</v>
      </c>
      <c r="CJ143" s="103">
        <f t="shared" si="54"/>
        <v>-1.3356878962548966</v>
      </c>
      <c r="CK143" s="57">
        <f t="shared" si="58"/>
        <v>0.46170014719406</v>
      </c>
      <c r="CL143" s="160">
        <f t="shared" si="39"/>
        <v>0.80008825699170594</v>
      </c>
      <c r="CM143" s="160">
        <v>-2.0803558703493961</v>
      </c>
      <c r="CN143" s="160">
        <f>BJ143/(10^CM143)</f>
        <v>9.6260000000000048</v>
      </c>
      <c r="CO143" s="55" t="s">
        <v>892</v>
      </c>
      <c r="CP143" s="55" t="s">
        <v>893</v>
      </c>
      <c r="CQ143" s="149">
        <v>-1.9588368460062489</v>
      </c>
      <c r="CR143" s="349">
        <f>10^(CJ143-CQ143)</f>
        <v>4.1990297320078254</v>
      </c>
      <c r="CS143" s="61" t="s">
        <v>539</v>
      </c>
      <c r="CT143" s="61"/>
      <c r="CU143" s="111">
        <f t="shared" si="50"/>
        <v>10.651459700756224</v>
      </c>
      <c r="CV143" s="331">
        <f t="shared" si="59"/>
        <v>6.146547544843826</v>
      </c>
      <c r="CW143" s="326">
        <f t="shared" si="55"/>
        <v>1</v>
      </c>
      <c r="CX143" s="326" t="s">
        <v>539</v>
      </c>
      <c r="CY143" s="161" t="s">
        <v>5921</v>
      </c>
    </row>
    <row r="144" spans="1:103" ht="11.25" customHeight="1" x14ac:dyDescent="0.2">
      <c r="A144" s="72">
        <v>142</v>
      </c>
      <c r="B144" s="149">
        <v>451</v>
      </c>
      <c r="C144" s="54" t="s">
        <v>1478</v>
      </c>
      <c r="D144" s="54" t="s">
        <v>6576</v>
      </c>
      <c r="E144" s="59"/>
      <c r="F144" s="59" t="s">
        <v>1479</v>
      </c>
      <c r="G144" s="151">
        <v>112281773</v>
      </c>
      <c r="H144" s="55" t="s">
        <v>1480</v>
      </c>
      <c r="I144" s="55" t="s">
        <v>7953</v>
      </c>
      <c r="J144" s="55" t="s">
        <v>1481</v>
      </c>
      <c r="K144" s="55" t="s">
        <v>1112</v>
      </c>
      <c r="L144" s="55" t="s">
        <v>6007</v>
      </c>
      <c r="M144" s="60" t="s">
        <v>2342</v>
      </c>
      <c r="N144" s="60" t="s">
        <v>2342</v>
      </c>
      <c r="O144" s="55"/>
      <c r="P144" s="67"/>
      <c r="Q144" s="67"/>
      <c r="R144" s="67"/>
      <c r="S144" s="67"/>
      <c r="T144" s="56">
        <v>372.15</v>
      </c>
      <c r="U144" s="103">
        <v>0.41918581217251111</v>
      </c>
      <c r="V144" s="103">
        <v>1.1129920730888084E-2</v>
      </c>
      <c r="W144" s="103">
        <v>2.6302679918953804E-2</v>
      </c>
      <c r="X144" s="103">
        <v>0.41918581217251111</v>
      </c>
      <c r="Y144" s="162">
        <v>7</v>
      </c>
      <c r="Z144" s="56">
        <v>4.25</v>
      </c>
      <c r="AA144" s="56">
        <v>3.56</v>
      </c>
      <c r="AB144" s="56">
        <v>3.88</v>
      </c>
      <c r="AC144" s="56">
        <v>0.7671</v>
      </c>
      <c r="AD144" s="56">
        <v>3.71</v>
      </c>
      <c r="AE144" s="56">
        <v>3.19</v>
      </c>
      <c r="AF144" s="56">
        <f t="shared" si="56"/>
        <v>3.56</v>
      </c>
      <c r="AG144" s="57">
        <v>4.63</v>
      </c>
      <c r="AH144" s="103">
        <v>6.1999999999999999E-7</v>
      </c>
      <c r="AI144" s="103">
        <v>4.2400000000000002E-9</v>
      </c>
      <c r="AJ144" s="62">
        <f t="shared" si="52"/>
        <v>-4.5961746368143981</v>
      </c>
      <c r="AK144" s="62">
        <f>LOG10(AI144*1000/(0.08206*298.15))</f>
        <v>-6.7612004697199195</v>
      </c>
      <c r="AL144" s="62">
        <f t="shared" si="48"/>
        <v>-6.7612004697199195</v>
      </c>
      <c r="AM144" s="62">
        <v>-10.096799999999998</v>
      </c>
      <c r="AN144" s="154">
        <v>-7.44</v>
      </c>
      <c r="AO144" s="410"/>
      <c r="AP144" s="410">
        <v>2.68</v>
      </c>
      <c r="AQ144" s="154" t="s">
        <v>6311</v>
      </c>
      <c r="AR144" s="154" t="s">
        <v>6311</v>
      </c>
      <c r="AS144" s="149" t="s">
        <v>6</v>
      </c>
      <c r="AT144" s="58" t="s">
        <v>266</v>
      </c>
      <c r="AU144" s="56">
        <v>8</v>
      </c>
      <c r="AV144" s="56">
        <v>144</v>
      </c>
      <c r="AW144" s="56">
        <v>120</v>
      </c>
      <c r="AX144" s="56">
        <v>26</v>
      </c>
      <c r="AY144" s="56" t="s">
        <v>267</v>
      </c>
      <c r="AZ144" s="56" t="s">
        <v>268</v>
      </c>
      <c r="BA144" s="56">
        <v>2</v>
      </c>
      <c r="BB144" s="55" t="s">
        <v>888</v>
      </c>
      <c r="BC144" s="55" t="s">
        <v>270</v>
      </c>
      <c r="BD144" s="55" t="s">
        <v>8374</v>
      </c>
      <c r="BE144" s="56" t="s">
        <v>889</v>
      </c>
      <c r="BF144" s="56" t="s">
        <v>272</v>
      </c>
      <c r="BG144" s="56" t="s">
        <v>272</v>
      </c>
      <c r="BH144" s="56" t="s">
        <v>890</v>
      </c>
      <c r="BI144" s="103">
        <v>9.9999999999999995E-7</v>
      </c>
      <c r="BJ144" s="103">
        <v>0.08</v>
      </c>
      <c r="BK144" s="56"/>
      <c r="BL144" s="103">
        <f t="shared" si="57"/>
        <v>7.8320418603649456E-3</v>
      </c>
      <c r="BM144" s="56" t="s">
        <v>891</v>
      </c>
      <c r="BN144" s="162"/>
      <c r="BO144" s="162"/>
      <c r="BP144" s="162"/>
      <c r="BQ144" s="162"/>
      <c r="BR144" s="162"/>
      <c r="BS144" s="56">
        <v>4.6164921748011227E-2</v>
      </c>
      <c r="BT144" s="162"/>
      <c r="BU144" s="158"/>
      <c r="BV144" s="162"/>
      <c r="BW144" s="162"/>
      <c r="BX144" s="162"/>
      <c r="BY144" s="162"/>
      <c r="BZ144" s="162"/>
      <c r="CA144" s="162"/>
      <c r="CB144" s="162"/>
      <c r="CC144" s="56"/>
      <c r="CD144" s="56"/>
      <c r="CE144" s="56"/>
      <c r="CF144" s="56"/>
      <c r="CG144" s="56"/>
      <c r="CH144" s="56"/>
      <c r="CI144" s="103">
        <f t="shared" si="53"/>
        <v>4.6164921748011227E-2</v>
      </c>
      <c r="CJ144" s="103">
        <f t="shared" si="54"/>
        <v>-1.3356878962548966</v>
      </c>
      <c r="CK144" s="57">
        <f t="shared" si="58"/>
        <v>9.7900523254561819E-2</v>
      </c>
      <c r="CL144" s="160">
        <f t="shared" si="39"/>
        <v>0.16965352834595346</v>
      </c>
      <c r="CM144" s="160">
        <v>-1.9852572938193898</v>
      </c>
      <c r="CN144" s="160">
        <f>BJ144/(10^CM144)</f>
        <v>7.7329870129870146</v>
      </c>
      <c r="CO144" s="55" t="s">
        <v>892</v>
      </c>
      <c r="CP144" s="55" t="s">
        <v>893</v>
      </c>
      <c r="CQ144" s="149">
        <v>-1.9818992798757067</v>
      </c>
      <c r="CR144" s="349">
        <f>10^(CJ144-CQ144)</f>
        <v>4.4280384529275691</v>
      </c>
      <c r="CS144" s="61" t="s">
        <v>539</v>
      </c>
      <c r="CT144" s="61"/>
      <c r="CU144" s="111">
        <f t="shared" si="50"/>
        <v>9.0801802819165296</v>
      </c>
      <c r="CV144" s="331">
        <f t="shared" si="59"/>
        <v>5.2398226521563886</v>
      </c>
      <c r="CW144" s="326">
        <f t="shared" si="55"/>
        <v>1</v>
      </c>
      <c r="CX144" s="326" t="s">
        <v>539</v>
      </c>
      <c r="CY144" s="161" t="s">
        <v>5921</v>
      </c>
    </row>
    <row r="145" spans="1:103" ht="11.25" customHeight="1" x14ac:dyDescent="0.2">
      <c r="A145" s="72">
        <v>143</v>
      </c>
      <c r="B145" s="149">
        <v>2145</v>
      </c>
      <c r="C145" s="54" t="s">
        <v>5867</v>
      </c>
      <c r="D145" s="54"/>
      <c r="E145" s="59"/>
      <c r="F145" s="59" t="s">
        <v>5198</v>
      </c>
      <c r="G145" s="151">
        <v>335762</v>
      </c>
      <c r="H145" s="67" t="s">
        <v>5199</v>
      </c>
      <c r="I145" s="67" t="s">
        <v>7932</v>
      </c>
      <c r="J145" s="67" t="s">
        <v>5868</v>
      </c>
      <c r="K145" s="67" t="s">
        <v>426</v>
      </c>
      <c r="L145" s="67"/>
      <c r="M145" s="67"/>
      <c r="N145" s="60"/>
      <c r="O145" s="67"/>
      <c r="P145" s="67"/>
      <c r="Q145" s="67"/>
      <c r="R145" s="67"/>
      <c r="S145" s="67"/>
      <c r="T145" s="61">
        <v>514.09</v>
      </c>
      <c r="U145" s="111"/>
      <c r="V145" s="111">
        <v>1.5645120504191871E-5</v>
      </c>
      <c r="W145" s="111">
        <v>0.19498445997580452</v>
      </c>
      <c r="X145" s="111">
        <f>IF(W145=0,V145,W145)</f>
        <v>0.19498445997580452</v>
      </c>
      <c r="Y145" s="411">
        <v>3.72</v>
      </c>
      <c r="Z145" s="61">
        <v>6.15</v>
      </c>
      <c r="AA145" s="61"/>
      <c r="AB145" s="61">
        <v>5.43</v>
      </c>
      <c r="AC145" s="61">
        <v>0.45850000000000002</v>
      </c>
      <c r="AD145" s="61">
        <v>7.37</v>
      </c>
      <c r="AE145" s="61">
        <v>9.5299999999999994</v>
      </c>
      <c r="AF145" s="61">
        <f t="shared" si="56"/>
        <v>7.37</v>
      </c>
      <c r="AG145" s="62">
        <v>7.37</v>
      </c>
      <c r="AH145" s="111">
        <v>2.5099999999999998</v>
      </c>
      <c r="AI145" s="111"/>
      <c r="AJ145" s="62">
        <f t="shared" si="52"/>
        <v>2.0111073951683864</v>
      </c>
      <c r="AK145" s="62"/>
      <c r="AL145" s="62">
        <f t="shared" si="48"/>
        <v>2.0111073951683864</v>
      </c>
      <c r="AM145" s="62">
        <v>-1.2900100000000001</v>
      </c>
      <c r="AN145" s="342">
        <v>2.0110000000000001</v>
      </c>
      <c r="AO145" s="410">
        <v>0.52</v>
      </c>
      <c r="AP145" s="410"/>
      <c r="AQ145" s="163" t="s">
        <v>6311</v>
      </c>
      <c r="AR145" s="163" t="s">
        <v>6311</v>
      </c>
      <c r="AS145" s="164" t="s">
        <v>5466</v>
      </c>
      <c r="AT145" s="63" t="s">
        <v>266</v>
      </c>
      <c r="AU145" s="61">
        <v>0</v>
      </c>
      <c r="AV145" s="61">
        <v>144</v>
      </c>
      <c r="AW145" s="61">
        <v>144</v>
      </c>
      <c r="AX145" s="61">
        <v>26</v>
      </c>
      <c r="AY145" s="61" t="s">
        <v>267</v>
      </c>
      <c r="AZ145" s="61" t="s">
        <v>5855</v>
      </c>
      <c r="BA145" s="61">
        <v>24</v>
      </c>
      <c r="BB145" s="67" t="s">
        <v>5856</v>
      </c>
      <c r="BC145" s="67" t="s">
        <v>5597</v>
      </c>
      <c r="BD145" s="67"/>
      <c r="BE145" s="61" t="s">
        <v>2449</v>
      </c>
      <c r="BF145" s="61"/>
      <c r="BG145" s="61"/>
      <c r="BH145" s="61"/>
      <c r="BI145" s="111">
        <v>1.94518E-4</v>
      </c>
      <c r="BJ145" s="111">
        <v>5.8355540999999997E-2</v>
      </c>
      <c r="BK145" s="165"/>
      <c r="BL145" s="111">
        <f t="shared" si="57"/>
        <v>1.5398733398000412E-4</v>
      </c>
      <c r="BM145" s="61"/>
      <c r="BN145" s="61"/>
      <c r="BO145" s="61"/>
      <c r="BP145" s="61"/>
      <c r="BQ145" s="61"/>
      <c r="BR145" s="61"/>
      <c r="BS145" s="61"/>
      <c r="BT145" s="61">
        <v>1.6339551000000001E-2</v>
      </c>
      <c r="BU145" s="158"/>
      <c r="BV145" s="61"/>
      <c r="BW145" s="61"/>
      <c r="BX145" s="61"/>
      <c r="BY145" s="61"/>
      <c r="BZ145" s="61"/>
      <c r="CA145" s="61"/>
      <c r="CB145" s="61"/>
      <c r="CC145" s="61"/>
      <c r="CD145" s="61"/>
      <c r="CE145" s="61"/>
      <c r="CF145" s="61"/>
      <c r="CG145" s="61"/>
      <c r="CH145" s="61"/>
      <c r="CI145" s="111">
        <f t="shared" si="53"/>
        <v>1.6339551000000001E-2</v>
      </c>
      <c r="CJ145" s="103">
        <f t="shared" si="54"/>
        <v>-1.7867598817633072</v>
      </c>
      <c r="CK145" s="57">
        <f t="shared" si="58"/>
        <v>2.6387782777989176E-3</v>
      </c>
      <c r="CL145" s="160">
        <f t="shared" si="39"/>
        <v>9.424208411847065E-3</v>
      </c>
      <c r="CM145" s="160"/>
      <c r="CN145" s="160"/>
      <c r="CO145" s="67"/>
      <c r="CP145" s="67" t="s">
        <v>5858</v>
      </c>
      <c r="CQ145" s="149" t="s">
        <v>272</v>
      </c>
      <c r="CR145" s="349"/>
      <c r="CS145" s="61" t="s">
        <v>539</v>
      </c>
      <c r="CT145" s="61"/>
      <c r="CU145" s="111">
        <f t="shared" si="50"/>
        <v>11.933281396520902</v>
      </c>
      <c r="CV145" s="331">
        <f t="shared" si="59"/>
        <v>3.341318692869363</v>
      </c>
      <c r="CW145" s="326">
        <f t="shared" si="55"/>
        <v>1</v>
      </c>
      <c r="CX145" s="326"/>
      <c r="CY145" s="161" t="s">
        <v>5921</v>
      </c>
    </row>
    <row r="146" spans="1:103" ht="11.25" customHeight="1" x14ac:dyDescent="0.2">
      <c r="A146" s="72">
        <v>144</v>
      </c>
      <c r="B146" s="149">
        <v>1152</v>
      </c>
      <c r="C146" s="54" t="s">
        <v>1899</v>
      </c>
      <c r="D146" s="54"/>
      <c r="E146" s="59"/>
      <c r="F146" s="59" t="s">
        <v>1900</v>
      </c>
      <c r="G146" s="151">
        <v>446720</v>
      </c>
      <c r="H146" s="55" t="s">
        <v>1901</v>
      </c>
      <c r="I146" s="55" t="s">
        <v>1901</v>
      </c>
      <c r="J146" s="55" t="s">
        <v>1902</v>
      </c>
      <c r="K146" s="55" t="s">
        <v>1903</v>
      </c>
      <c r="L146" s="55" t="s">
        <v>6126</v>
      </c>
      <c r="M146" s="55" t="s">
        <v>1904</v>
      </c>
      <c r="N146" s="60"/>
      <c r="O146" s="55" t="s">
        <v>1905</v>
      </c>
      <c r="P146" s="67"/>
      <c r="Q146" s="67"/>
      <c r="R146" s="67"/>
      <c r="S146" s="67"/>
      <c r="T146" s="56">
        <v>270.24</v>
      </c>
      <c r="U146" s="103"/>
      <c r="V146" s="103">
        <v>0.95359680284191817</v>
      </c>
      <c r="W146" s="103">
        <v>0.67608297539198126</v>
      </c>
      <c r="X146" s="103">
        <f>IF(W146=0,V146,W146)</f>
        <v>0.67608297539198126</v>
      </c>
      <c r="Y146" s="162">
        <v>4.7699999999999996</v>
      </c>
      <c r="Z146" s="56">
        <v>2.84</v>
      </c>
      <c r="AA146" s="56"/>
      <c r="AB146" s="56">
        <v>2.57</v>
      </c>
      <c r="AC146" s="56">
        <v>0.76629999999999998</v>
      </c>
      <c r="AD146" s="56">
        <v>2.63</v>
      </c>
      <c r="AE146" s="56">
        <v>2.96</v>
      </c>
      <c r="AF146" s="56">
        <f t="shared" si="56"/>
        <v>2.63</v>
      </c>
      <c r="AG146" s="57">
        <v>2.31</v>
      </c>
      <c r="AH146" s="103">
        <v>5.1199999999999999E-17</v>
      </c>
      <c r="AI146" s="103"/>
      <c r="AJ146" s="62">
        <f t="shared" si="52"/>
        <v>-14.679296365336821</v>
      </c>
      <c r="AK146" s="62"/>
      <c r="AL146" s="62">
        <f t="shared" si="48"/>
        <v>-14.679296365336821</v>
      </c>
      <c r="AM146" s="62">
        <v>-20.039929999999998</v>
      </c>
      <c r="AN146" s="154">
        <v>-15.5</v>
      </c>
      <c r="AO146" s="410">
        <v>6.51</v>
      </c>
      <c r="AP146" s="410"/>
      <c r="AQ146" s="56" t="s">
        <v>6311</v>
      </c>
      <c r="AR146" s="56" t="s">
        <v>6311</v>
      </c>
      <c r="AS146" s="155"/>
      <c r="AT146" s="58" t="s">
        <v>266</v>
      </c>
      <c r="AU146" s="56">
        <v>6</v>
      </c>
      <c r="AV146" s="56">
        <v>120</v>
      </c>
      <c r="AW146" s="56">
        <v>114</v>
      </c>
      <c r="AX146" s="56">
        <v>28</v>
      </c>
      <c r="AY146" s="56" t="s">
        <v>8728</v>
      </c>
      <c r="AZ146" s="56" t="s">
        <v>1563</v>
      </c>
      <c r="BA146" s="56">
        <v>32</v>
      </c>
      <c r="BB146" s="55" t="s">
        <v>2485</v>
      </c>
      <c r="BC146" s="55" t="s">
        <v>8726</v>
      </c>
      <c r="BD146" s="55" t="s">
        <v>8374</v>
      </c>
      <c r="BE146" s="56" t="s">
        <v>2449</v>
      </c>
      <c r="BF146" s="56" t="s">
        <v>272</v>
      </c>
      <c r="BG146" s="56" t="s">
        <v>272</v>
      </c>
      <c r="BH146" s="56" t="s">
        <v>2486</v>
      </c>
      <c r="BI146" s="103">
        <v>6.3999999999999997E-6</v>
      </c>
      <c r="BJ146" s="103">
        <v>6.4000000000000001E-2</v>
      </c>
      <c r="BK146" s="56"/>
      <c r="BL146" s="103">
        <f t="shared" si="57"/>
        <v>0.14460922545915242</v>
      </c>
      <c r="BM146" s="56" t="s">
        <v>2046</v>
      </c>
      <c r="BN146" s="56"/>
      <c r="BO146" s="56"/>
      <c r="BP146" s="56"/>
      <c r="BQ146" s="56"/>
      <c r="BR146" s="55">
        <v>2.0238577000000001E-2</v>
      </c>
      <c r="BS146" s="56"/>
      <c r="BT146" s="56"/>
      <c r="BU146" s="158"/>
      <c r="BV146" s="56"/>
      <c r="BW146" s="56"/>
      <c r="BX146" s="56"/>
      <c r="BY146" s="56"/>
      <c r="BZ146" s="56"/>
      <c r="CA146" s="56"/>
      <c r="CB146" s="56"/>
      <c r="CC146" s="56"/>
      <c r="CD146" s="56"/>
      <c r="CE146" s="56"/>
      <c r="CF146" s="56"/>
      <c r="CG146" s="56"/>
      <c r="CH146" s="56"/>
      <c r="CI146" s="103">
        <f t="shared" si="53"/>
        <v>2.0238577000000001E-2</v>
      </c>
      <c r="CJ146" s="103">
        <f t="shared" si="54"/>
        <v>-1.6938200265542473</v>
      </c>
      <c r="CK146" s="57">
        <f t="shared" si="58"/>
        <v>2.2595191477992564</v>
      </c>
      <c r="CL146" s="160">
        <f t="shared" si="39"/>
        <v>7.1452269326619362</v>
      </c>
      <c r="CM146" s="160"/>
      <c r="CN146" s="160"/>
      <c r="CO146" s="55" t="s">
        <v>2488</v>
      </c>
      <c r="CP146" s="55" t="s">
        <v>2489</v>
      </c>
      <c r="CQ146" s="149" t="s">
        <v>272</v>
      </c>
      <c r="CR146" s="349"/>
      <c r="CS146" s="61" t="s">
        <v>539</v>
      </c>
      <c r="CT146" s="61"/>
      <c r="CU146" s="111">
        <f t="shared" si="50"/>
        <v>33.405657689865315</v>
      </c>
      <c r="CV146" s="331">
        <f t="shared" si="59"/>
        <v>10.563796490499707</v>
      </c>
      <c r="CW146" s="326">
        <f t="shared" si="55"/>
        <v>1</v>
      </c>
      <c r="CX146" s="326"/>
      <c r="CY146" s="161" t="s">
        <v>5921</v>
      </c>
    </row>
    <row r="147" spans="1:103" ht="11.25" customHeight="1" x14ac:dyDescent="0.2">
      <c r="A147" s="72">
        <v>145</v>
      </c>
      <c r="B147" s="149">
        <v>1015</v>
      </c>
      <c r="C147" s="54" t="s">
        <v>2904</v>
      </c>
      <c r="D147" s="54" t="s">
        <v>8370</v>
      </c>
      <c r="E147" s="59"/>
      <c r="F147" s="59" t="s">
        <v>2905</v>
      </c>
      <c r="G147" s="151">
        <v>484173</v>
      </c>
      <c r="H147" s="55" t="s">
        <v>2906</v>
      </c>
      <c r="I147" s="55" t="s">
        <v>2906</v>
      </c>
      <c r="J147" s="55" t="s">
        <v>2907</v>
      </c>
      <c r="K147" s="55" t="s">
        <v>349</v>
      </c>
      <c r="L147" s="55"/>
      <c r="M147" s="55"/>
      <c r="N147" s="60"/>
      <c r="O147" s="55"/>
      <c r="P147" s="67"/>
      <c r="Q147" s="67"/>
      <c r="R147" s="67"/>
      <c r="S147" s="67"/>
      <c r="T147" s="56">
        <v>194.23</v>
      </c>
      <c r="U147" s="103"/>
      <c r="V147" s="103">
        <v>3.5596972661277863E-2</v>
      </c>
      <c r="W147" s="103">
        <v>7.9432823472428152E-2</v>
      </c>
      <c r="X147" s="103">
        <f>IF(W147=0,V147,W147)</f>
        <v>7.9432823472428152E-2</v>
      </c>
      <c r="Y147" s="162">
        <v>6.69</v>
      </c>
      <c r="Z147" s="56">
        <v>3.86</v>
      </c>
      <c r="AA147" s="56"/>
      <c r="AB147" s="56">
        <v>4.3</v>
      </c>
      <c r="AC147" s="56">
        <v>0.82040000000000002</v>
      </c>
      <c r="AD147" s="56">
        <v>4.1900000000000004</v>
      </c>
      <c r="AE147" s="56">
        <v>3.94</v>
      </c>
      <c r="AF147" s="56">
        <f t="shared" si="56"/>
        <v>4.1900000000000004</v>
      </c>
      <c r="AG147" s="57">
        <v>3.75</v>
      </c>
      <c r="AH147" s="103">
        <v>5.3400000000000002E-9</v>
      </c>
      <c r="AI147" s="103"/>
      <c r="AJ147" s="62">
        <f t="shared" si="52"/>
        <v>-6.6610250692840953</v>
      </c>
      <c r="AK147" s="62"/>
      <c r="AL147" s="62">
        <f t="shared" si="48"/>
        <v>-6.6610250692840953</v>
      </c>
      <c r="AM147" s="62">
        <v>-11.02739</v>
      </c>
      <c r="AN147" s="154">
        <v>-6.89</v>
      </c>
      <c r="AO147" s="410">
        <v>9.4</v>
      </c>
      <c r="AP147" s="410"/>
      <c r="AQ147" s="56" t="s">
        <v>6311</v>
      </c>
      <c r="AR147" s="56" t="s">
        <v>6311</v>
      </c>
      <c r="AS147" s="155"/>
      <c r="AT147" s="58" t="s">
        <v>266</v>
      </c>
      <c r="AU147" s="56">
        <v>6</v>
      </c>
      <c r="AV147" s="56">
        <v>120</v>
      </c>
      <c r="AW147" s="56">
        <v>114</v>
      </c>
      <c r="AX147" s="56">
        <v>28</v>
      </c>
      <c r="AY147" s="56" t="s">
        <v>8728</v>
      </c>
      <c r="AZ147" s="56" t="s">
        <v>1563</v>
      </c>
      <c r="BA147" s="56">
        <v>32</v>
      </c>
      <c r="BB147" s="55" t="s">
        <v>2485</v>
      </c>
      <c r="BC147" s="55" t="s">
        <v>8726</v>
      </c>
      <c r="BD147" s="55" t="s">
        <v>8374</v>
      </c>
      <c r="BE147" s="56" t="s">
        <v>2449</v>
      </c>
      <c r="BF147" s="56" t="s">
        <v>272</v>
      </c>
      <c r="BG147" s="56" t="s">
        <v>272</v>
      </c>
      <c r="BH147" s="56" t="s">
        <v>2486</v>
      </c>
      <c r="BI147" s="103">
        <v>6.3999999999999997E-6</v>
      </c>
      <c r="BJ147" s="103">
        <v>6.4000000000000001E-2</v>
      </c>
      <c r="BK147" s="56"/>
      <c r="BL147" s="103">
        <f t="shared" si="57"/>
        <v>1.7544217388550231E-2</v>
      </c>
      <c r="BM147" s="56" t="s">
        <v>2487</v>
      </c>
      <c r="BN147" s="56"/>
      <c r="BO147" s="56"/>
      <c r="BP147" s="56"/>
      <c r="BQ147" s="56"/>
      <c r="BR147" s="55">
        <v>2.0238577000000001E-2</v>
      </c>
      <c r="BS147" s="56"/>
      <c r="BT147" s="56"/>
      <c r="BU147" s="158"/>
      <c r="BV147" s="56"/>
      <c r="BW147" s="56"/>
      <c r="BX147" s="56"/>
      <c r="BY147" s="56"/>
      <c r="BZ147" s="56"/>
      <c r="CA147" s="56"/>
      <c r="CB147" s="56"/>
      <c r="CC147" s="56"/>
      <c r="CD147" s="56"/>
      <c r="CE147" s="56"/>
      <c r="CF147" s="56"/>
      <c r="CG147" s="56"/>
      <c r="CH147" s="56"/>
      <c r="CI147" s="103">
        <f t="shared" si="53"/>
        <v>2.0238577000000001E-2</v>
      </c>
      <c r="CJ147" s="103">
        <f t="shared" si="54"/>
        <v>-1.6938200265542473</v>
      </c>
      <c r="CK147" s="57">
        <f t="shared" si="58"/>
        <v>0.27412839669609734</v>
      </c>
      <c r="CL147" s="160">
        <f t="shared" si="39"/>
        <v>0.86687010596398306</v>
      </c>
      <c r="CM147" s="160"/>
      <c r="CN147" s="160"/>
      <c r="CO147" s="55" t="s">
        <v>2488</v>
      </c>
      <c r="CP147" s="55" t="s">
        <v>2489</v>
      </c>
      <c r="CQ147" s="149" t="s">
        <v>272</v>
      </c>
      <c r="CR147" s="349"/>
      <c r="CS147" s="61" t="s">
        <v>539</v>
      </c>
      <c r="CT147" s="61"/>
      <c r="CU147" s="111">
        <f t="shared" si="50"/>
        <v>3.9248225540969677</v>
      </c>
      <c r="CV147" s="331">
        <f t="shared" si="59"/>
        <v>1.2411378667566899</v>
      </c>
      <c r="CW147" s="326">
        <f t="shared" si="55"/>
        <v>1</v>
      </c>
      <c r="CX147" s="326"/>
      <c r="CY147" s="161" t="s">
        <v>5921</v>
      </c>
    </row>
    <row r="148" spans="1:103" ht="11.25" customHeight="1" x14ac:dyDescent="0.2">
      <c r="A148" s="72">
        <v>146</v>
      </c>
      <c r="B148" s="149">
        <v>16</v>
      </c>
      <c r="C148" s="54" t="s">
        <v>346</v>
      </c>
      <c r="D148" s="54"/>
      <c r="E148" s="59"/>
      <c r="F148" s="150" t="str">
        <f>HYPERLINK("http://www.sigmaaldrich.com/catalog/Lookup.do?N5=CAS+No.&amp;N3=mode+matchpartialmax&amp;N4=497-76-7&amp;D7=0&amp;D10=&amp;N25=0&amp;N1=S_ID&amp;ST=RS&amp;F=PR","497-76-7")</f>
        <v>497-76-7</v>
      </c>
      <c r="G148" s="151">
        <v>497767</v>
      </c>
      <c r="H148" s="55" t="s">
        <v>347</v>
      </c>
      <c r="I148" s="55" t="s">
        <v>347</v>
      </c>
      <c r="J148" s="55" t="s">
        <v>348</v>
      </c>
      <c r="K148" s="55" t="s">
        <v>349</v>
      </c>
      <c r="L148" s="64"/>
      <c r="M148" s="55"/>
      <c r="N148" s="60"/>
      <c r="O148" s="55"/>
      <c r="P148" s="67"/>
      <c r="Q148" s="67"/>
      <c r="R148" s="67"/>
      <c r="S148" s="67"/>
      <c r="T148" s="59">
        <v>272.25</v>
      </c>
      <c r="U148" s="153"/>
      <c r="V148" s="153">
        <v>3522.8650137741047</v>
      </c>
      <c r="W148" s="153">
        <v>363.07805477010135</v>
      </c>
      <c r="X148" s="153">
        <f>IF(W148=0,V148,W148)</f>
        <v>363.07805477010135</v>
      </c>
      <c r="Y148" s="410">
        <v>5.25</v>
      </c>
      <c r="Z148" s="59">
        <v>-0.98</v>
      </c>
      <c r="AA148" s="59">
        <v>-1.35</v>
      </c>
      <c r="AB148" s="59">
        <v>-1.07</v>
      </c>
      <c r="AC148" s="59">
        <v>0.86560000000000004</v>
      </c>
      <c r="AD148" s="59">
        <v>-1.1399999999999999</v>
      </c>
      <c r="AE148" s="59">
        <v>-1.35</v>
      </c>
      <c r="AF148" s="59">
        <f t="shared" si="56"/>
        <v>-1.35</v>
      </c>
      <c r="AG148" s="57">
        <v>-1.03</v>
      </c>
      <c r="AH148" s="103">
        <v>1.2000000000000001E-19</v>
      </c>
      <c r="AI148" s="103"/>
      <c r="AJ148" s="62">
        <f t="shared" si="52"/>
        <v>-17.309385080265027</v>
      </c>
      <c r="AK148" s="62"/>
      <c r="AL148" s="62">
        <f t="shared" si="48"/>
        <v>-17.309385080265027</v>
      </c>
      <c r="AM148" s="62">
        <v>-24.98301</v>
      </c>
      <c r="AN148" s="154">
        <v>-18.100000000000001</v>
      </c>
      <c r="AO148" s="410">
        <v>10.1</v>
      </c>
      <c r="AP148" s="410"/>
      <c r="AQ148" s="154" t="s">
        <v>6311</v>
      </c>
      <c r="AR148" s="154" t="s">
        <v>6311</v>
      </c>
      <c r="AS148" s="149" t="s">
        <v>282</v>
      </c>
      <c r="AT148" s="58" t="s">
        <v>266</v>
      </c>
      <c r="AU148" s="155">
        <v>24</v>
      </c>
      <c r="AV148" s="155">
        <v>120</v>
      </c>
      <c r="AW148" s="155">
        <v>96</v>
      </c>
      <c r="AX148" s="155">
        <v>28</v>
      </c>
      <c r="AY148" s="155" t="s">
        <v>267</v>
      </c>
      <c r="AZ148" s="155" t="s">
        <v>268</v>
      </c>
      <c r="BA148" s="155">
        <v>48</v>
      </c>
      <c r="BB148" s="55" t="s">
        <v>269</v>
      </c>
      <c r="BC148" s="156" t="s">
        <v>270</v>
      </c>
      <c r="BD148" s="156" t="s">
        <v>8374</v>
      </c>
      <c r="BE148" s="155" t="s">
        <v>271</v>
      </c>
      <c r="BF148" s="155" t="s">
        <v>272</v>
      </c>
      <c r="BG148" s="155" t="s">
        <v>272</v>
      </c>
      <c r="BH148" s="155" t="s">
        <v>272</v>
      </c>
      <c r="BI148" s="157">
        <v>3.6730945821854912E-3</v>
      </c>
      <c r="BJ148" s="157">
        <v>3.6730945821854912</v>
      </c>
      <c r="BK148" s="56"/>
      <c r="BL148" s="103">
        <f t="shared" si="57"/>
        <v>389.88632242440951</v>
      </c>
      <c r="BM148" s="56">
        <v>0</v>
      </c>
      <c r="BN148" s="56"/>
      <c r="BO148" s="56"/>
      <c r="BP148" s="56"/>
      <c r="BQ148" s="56"/>
      <c r="BR148" s="56"/>
      <c r="BS148" s="56"/>
      <c r="BT148" s="56"/>
      <c r="BU148" s="158"/>
      <c r="BV148" s="56"/>
      <c r="BW148" s="56"/>
      <c r="BX148" s="56"/>
      <c r="BY148" s="56"/>
      <c r="BZ148" s="56"/>
      <c r="CA148" s="56">
        <v>0.94</v>
      </c>
      <c r="CB148" s="56">
        <v>0.44</v>
      </c>
      <c r="CC148" s="56"/>
      <c r="CD148" s="56"/>
      <c r="CE148" s="56"/>
      <c r="CF148" s="56"/>
      <c r="CG148" s="56"/>
      <c r="CH148" s="56"/>
      <c r="CI148" s="103">
        <f t="shared" si="53"/>
        <v>0.44</v>
      </c>
      <c r="CJ148" s="103">
        <f t="shared" si="54"/>
        <v>-0.35654732351381258</v>
      </c>
      <c r="CK148" s="57">
        <f t="shared" si="58"/>
        <v>106.14655128004549</v>
      </c>
      <c r="CL148" s="160">
        <f t="shared" si="39"/>
        <v>886.10527823729433</v>
      </c>
      <c r="CM148" s="160"/>
      <c r="CN148" s="160"/>
      <c r="CO148" s="55" t="s">
        <v>273</v>
      </c>
      <c r="CP148" s="156" t="s">
        <v>274</v>
      </c>
      <c r="CQ148" s="149" t="s">
        <v>272</v>
      </c>
      <c r="CR148" s="349"/>
      <c r="CS148" s="61" t="s">
        <v>539</v>
      </c>
      <c r="CT148" s="61"/>
      <c r="CU148" s="111">
        <f t="shared" si="50"/>
        <v>825.17739720477573</v>
      </c>
      <c r="CV148" s="331">
        <f t="shared" si="59"/>
        <v>98.848000411160086</v>
      </c>
      <c r="CW148" s="326">
        <f t="shared" si="55"/>
        <v>1</v>
      </c>
      <c r="CX148" s="326"/>
      <c r="CY148" s="161" t="s">
        <v>5921</v>
      </c>
    </row>
    <row r="149" spans="1:103" ht="11.25" customHeight="1" x14ac:dyDescent="0.2">
      <c r="A149" s="72">
        <v>147</v>
      </c>
      <c r="B149" s="149">
        <v>17</v>
      </c>
      <c r="C149" s="54" t="s">
        <v>350</v>
      </c>
      <c r="D149" s="54"/>
      <c r="E149" s="59"/>
      <c r="F149" s="150" t="str">
        <f>HYPERLINK("http://www.sigmaaldrich.com/catalog/Lookup.do?N5=CAS+No.&amp;N3=mode+matchpartialmax&amp;N4=508-75-8&amp;D7=0&amp;D10=&amp;N25=0&amp;N1=S_ID&amp;ST=RS&amp;F=PR","508-75-8")</f>
        <v>508-75-8</v>
      </c>
      <c r="G149" s="151">
        <v>508758</v>
      </c>
      <c r="H149" s="55" t="s">
        <v>351</v>
      </c>
      <c r="I149" s="55" t="s">
        <v>8293</v>
      </c>
      <c r="J149" s="55" t="s">
        <v>352</v>
      </c>
      <c r="K149" s="55" t="s">
        <v>353</v>
      </c>
      <c r="L149" s="64"/>
      <c r="M149" s="55"/>
      <c r="N149" s="60"/>
      <c r="O149" s="55"/>
      <c r="P149" s="67"/>
      <c r="Q149" s="67"/>
      <c r="R149" s="67"/>
      <c r="S149" s="67"/>
      <c r="T149" s="59">
        <v>550.64</v>
      </c>
      <c r="U149" s="153">
        <v>0.90803428737469127</v>
      </c>
      <c r="V149" s="153">
        <v>1.5747130611651896</v>
      </c>
      <c r="W149" s="153">
        <v>0.3019951720402016</v>
      </c>
      <c r="X149" s="153">
        <v>0.90803428737469127</v>
      </c>
      <c r="Y149" s="410">
        <v>7</v>
      </c>
      <c r="Z149" s="59">
        <v>-0.78</v>
      </c>
      <c r="AA149" s="59">
        <v>-0.48</v>
      </c>
      <c r="AB149" s="59">
        <v>-0.43</v>
      </c>
      <c r="AC149" s="59">
        <v>0.87909999999999999</v>
      </c>
      <c r="AD149" s="59">
        <v>-0.21</v>
      </c>
      <c r="AE149" s="59">
        <v>0.81</v>
      </c>
      <c r="AF149" s="59">
        <f t="shared" si="56"/>
        <v>-0.48</v>
      </c>
      <c r="AG149" s="57">
        <v>-0.21</v>
      </c>
      <c r="AH149" s="103">
        <v>2.5100000000000001E-21</v>
      </c>
      <c r="AI149" s="103"/>
      <c r="AJ149" s="62">
        <f t="shared" si="52"/>
        <v>-18.988892604831612</v>
      </c>
      <c r="AK149" s="62"/>
      <c r="AL149" s="62">
        <f t="shared" si="48"/>
        <v>-18.988892604831612</v>
      </c>
      <c r="AM149" s="62">
        <v>-37.000100000000003</v>
      </c>
      <c r="AN149" s="343">
        <v>-18.950582333316184</v>
      </c>
      <c r="AO149" s="410">
        <v>13.04</v>
      </c>
      <c r="AP149" s="410"/>
      <c r="AQ149" s="154" t="s">
        <v>6311</v>
      </c>
      <c r="AR149" s="154" t="s">
        <v>6311</v>
      </c>
      <c r="AS149" s="149" t="s">
        <v>282</v>
      </c>
      <c r="AT149" s="58" t="s">
        <v>266</v>
      </c>
      <c r="AU149" s="155">
        <v>24</v>
      </c>
      <c r="AV149" s="155">
        <v>120</v>
      </c>
      <c r="AW149" s="155">
        <v>96</v>
      </c>
      <c r="AX149" s="155">
        <v>28</v>
      </c>
      <c r="AY149" s="155" t="s">
        <v>267</v>
      </c>
      <c r="AZ149" s="155" t="s">
        <v>268</v>
      </c>
      <c r="BA149" s="155">
        <v>48</v>
      </c>
      <c r="BB149" s="55" t="s">
        <v>269</v>
      </c>
      <c r="BC149" s="156" t="s">
        <v>270</v>
      </c>
      <c r="BD149" s="156" t="s">
        <v>8374</v>
      </c>
      <c r="BE149" s="155" t="s">
        <v>271</v>
      </c>
      <c r="BF149" s="155" t="s">
        <v>272</v>
      </c>
      <c r="BG149" s="155" t="s">
        <v>272</v>
      </c>
      <c r="BH149" s="155" t="s">
        <v>272</v>
      </c>
      <c r="BI149" s="157">
        <v>1.8160685747493825E-3</v>
      </c>
      <c r="BJ149" s="157">
        <v>1.8160685747493825</v>
      </c>
      <c r="BK149" s="56"/>
      <c r="BL149" s="103">
        <f t="shared" si="57"/>
        <v>257.8208287001068</v>
      </c>
      <c r="BM149" s="56">
        <v>0</v>
      </c>
      <c r="BN149" s="56"/>
      <c r="BO149" s="56"/>
      <c r="BP149" s="56"/>
      <c r="BQ149" s="56"/>
      <c r="BR149" s="56"/>
      <c r="BS149" s="56"/>
      <c r="BT149" s="56"/>
      <c r="BU149" s="158"/>
      <c r="BV149" s="56"/>
      <c r="BW149" s="56"/>
      <c r="BX149" s="56"/>
      <c r="BY149" s="56">
        <v>1.35</v>
      </c>
      <c r="BZ149" s="56">
        <v>0.99</v>
      </c>
      <c r="CA149" s="56">
        <v>0.95</v>
      </c>
      <c r="CB149" s="56">
        <v>7.0000000000000007E-2</v>
      </c>
      <c r="CC149" s="56"/>
      <c r="CD149" s="56"/>
      <c r="CE149" s="56"/>
      <c r="CF149" s="56"/>
      <c r="CG149" s="56"/>
      <c r="CH149" s="56"/>
      <c r="CI149" s="103">
        <f t="shared" si="53"/>
        <v>7.0000000000000007E-2</v>
      </c>
      <c r="CJ149" s="103">
        <f t="shared" si="54"/>
        <v>-1.1549019599857431</v>
      </c>
      <c r="CK149" s="57">
        <f t="shared" si="58"/>
        <v>141.9664611154268</v>
      </c>
      <c r="CL149" s="160">
        <f t="shared" si="39"/>
        <v>3683.1546957158112</v>
      </c>
      <c r="CM149" s="160"/>
      <c r="CN149" s="160"/>
      <c r="CO149" s="55" t="s">
        <v>273</v>
      </c>
      <c r="CP149" s="156" t="s">
        <v>274</v>
      </c>
      <c r="CQ149" s="149" t="s">
        <v>272</v>
      </c>
      <c r="CR149" s="349"/>
      <c r="CS149" s="61" t="s">
        <v>539</v>
      </c>
      <c r="CT149" s="61"/>
      <c r="CU149" s="111">
        <f t="shared" si="50"/>
        <v>12.971918391067017</v>
      </c>
      <c r="CV149" s="331">
        <f t="shared" si="59"/>
        <v>0.5</v>
      </c>
      <c r="CW149" s="326">
        <f t="shared" si="55"/>
        <v>1</v>
      </c>
      <c r="CX149" s="326"/>
      <c r="CY149" s="161" t="s">
        <v>5921</v>
      </c>
    </row>
    <row r="150" spans="1:103" ht="11.25" customHeight="1" x14ac:dyDescent="0.2">
      <c r="A150" s="72">
        <v>148</v>
      </c>
      <c r="B150" s="149">
        <v>2072</v>
      </c>
      <c r="C150" s="54" t="s">
        <v>5701</v>
      </c>
      <c r="D150" s="54"/>
      <c r="E150" s="59"/>
      <c r="F150" s="167" t="s">
        <v>5702</v>
      </c>
      <c r="G150" s="151">
        <v>519028</v>
      </c>
      <c r="H150" s="67" t="s">
        <v>5703</v>
      </c>
      <c r="I150" s="67" t="s">
        <v>5703</v>
      </c>
      <c r="J150" s="67" t="s">
        <v>5704</v>
      </c>
      <c r="K150" s="67" t="s">
        <v>455</v>
      </c>
      <c r="L150" s="67"/>
      <c r="M150" s="67"/>
      <c r="N150" s="60"/>
      <c r="O150" s="67"/>
      <c r="P150" s="67"/>
      <c r="Q150" s="67"/>
      <c r="R150" s="67"/>
      <c r="S150" s="67"/>
      <c r="T150" s="61">
        <v>248.36</v>
      </c>
      <c r="U150" s="111"/>
      <c r="V150" s="111">
        <v>3.3479626348848446</v>
      </c>
      <c r="W150" s="111">
        <v>3.7153522909717225</v>
      </c>
      <c r="X150" s="111">
        <f>IF(W150=0,V150,W150)</f>
        <v>3.7153522909717225</v>
      </c>
      <c r="Y150" s="411">
        <v>10.44</v>
      </c>
      <c r="Z150" s="61">
        <v>1.71</v>
      </c>
      <c r="AA150" s="61"/>
      <c r="AB150" s="61">
        <v>3.64</v>
      </c>
      <c r="AC150" s="61">
        <v>0.2888</v>
      </c>
      <c r="AD150" s="61">
        <v>2.15</v>
      </c>
      <c r="AE150" s="61">
        <v>1.44</v>
      </c>
      <c r="AF150" s="61">
        <f t="shared" si="56"/>
        <v>2.15</v>
      </c>
      <c r="AG150" s="62">
        <v>2.15</v>
      </c>
      <c r="AH150" s="111">
        <v>1.29E-11</v>
      </c>
      <c r="AI150" s="111"/>
      <c r="AJ150" s="62">
        <f t="shared" si="52"/>
        <v>-9.2779766160134027</v>
      </c>
      <c r="AK150" s="62"/>
      <c r="AL150" s="62">
        <f t="shared" si="48"/>
        <v>-9.2779766160134027</v>
      </c>
      <c r="AM150" s="62">
        <v>-12.19089</v>
      </c>
      <c r="AN150" s="342">
        <v>-9.2780000000000005</v>
      </c>
      <c r="AO150" s="410"/>
      <c r="AP150" s="410">
        <v>9.4700000000000006</v>
      </c>
      <c r="AQ150" s="163" t="s">
        <v>6311</v>
      </c>
      <c r="AR150" s="163" t="s">
        <v>6311</v>
      </c>
      <c r="AS150" s="164" t="s">
        <v>5466</v>
      </c>
      <c r="AT150" s="63" t="s">
        <v>266</v>
      </c>
      <c r="AU150" s="61">
        <v>0</v>
      </c>
      <c r="AV150" s="61">
        <v>96</v>
      </c>
      <c r="AW150" s="61">
        <v>96</v>
      </c>
      <c r="AX150" s="61">
        <v>26</v>
      </c>
      <c r="AY150" s="61" t="s">
        <v>267</v>
      </c>
      <c r="AZ150" s="61" t="s">
        <v>5671</v>
      </c>
      <c r="BA150" s="61">
        <v>20</v>
      </c>
      <c r="BB150" s="67" t="s">
        <v>5487</v>
      </c>
      <c r="BC150" s="67" t="s">
        <v>5494</v>
      </c>
      <c r="BD150" s="67"/>
      <c r="BE150" s="61" t="s">
        <v>5598</v>
      </c>
      <c r="BF150" s="61" t="s">
        <v>5681</v>
      </c>
      <c r="BG150" s="61"/>
      <c r="BH150" s="61"/>
      <c r="BI150" s="111">
        <v>0.20100000000000001</v>
      </c>
      <c r="BJ150" s="111">
        <v>1.21</v>
      </c>
      <c r="BK150" s="165"/>
      <c r="BL150" s="111">
        <f t="shared" si="57"/>
        <v>1.4964044809041741</v>
      </c>
      <c r="BM150" s="61"/>
      <c r="BN150" s="61"/>
      <c r="BO150" s="61"/>
      <c r="BP150" s="61"/>
      <c r="BQ150" s="61">
        <v>0.96633918500000004</v>
      </c>
      <c r="BR150" s="61"/>
      <c r="BS150" s="61"/>
      <c r="BT150" s="61"/>
      <c r="BU150" s="158"/>
      <c r="BV150" s="61"/>
      <c r="BW150" s="61"/>
      <c r="BX150" s="61"/>
      <c r="BY150" s="61"/>
      <c r="BZ150" s="61"/>
      <c r="CA150" s="61"/>
      <c r="CB150" s="61"/>
      <c r="CC150" s="61"/>
      <c r="CD150" s="61"/>
      <c r="CE150" s="61"/>
      <c r="CF150" s="61"/>
      <c r="CG150" s="61"/>
      <c r="CH150" s="61"/>
      <c r="CI150" s="111">
        <f t="shared" si="53"/>
        <v>0.96633918500000004</v>
      </c>
      <c r="CJ150" s="103">
        <f t="shared" si="54"/>
        <v>-1.4870409486587679E-2</v>
      </c>
      <c r="CK150" s="57">
        <f t="shared" si="58"/>
        <v>1.2366979181026232</v>
      </c>
      <c r="CL150" s="160">
        <f t="shared" si="39"/>
        <v>1.5485292370754624</v>
      </c>
      <c r="CM150" s="160"/>
      <c r="CN150" s="160"/>
      <c r="CO150" s="67" t="s">
        <v>5494</v>
      </c>
      <c r="CP150" s="67" t="s">
        <v>5705</v>
      </c>
      <c r="CQ150" s="149" t="s">
        <v>272</v>
      </c>
      <c r="CR150" s="349"/>
      <c r="CS150" s="61" t="s">
        <v>539</v>
      </c>
      <c r="CT150" s="61"/>
      <c r="CU150" s="111">
        <f t="shared" si="50"/>
        <v>3.8447703959885704</v>
      </c>
      <c r="CV150" s="331">
        <f t="shared" si="59"/>
        <v>3.0705390834477044</v>
      </c>
      <c r="CW150" s="326">
        <f t="shared" si="55"/>
        <v>1</v>
      </c>
      <c r="CX150" s="326" t="s">
        <v>539</v>
      </c>
      <c r="CY150" s="161" t="s">
        <v>5921</v>
      </c>
    </row>
    <row r="151" spans="1:103" ht="11.25" customHeight="1" x14ac:dyDescent="0.2">
      <c r="A151" s="72">
        <v>149</v>
      </c>
      <c r="B151" s="149">
        <v>22</v>
      </c>
      <c r="C151" s="54" t="s">
        <v>372</v>
      </c>
      <c r="D151" s="54"/>
      <c r="E151" s="59"/>
      <c r="F151" s="59" t="s">
        <v>373</v>
      </c>
      <c r="G151" s="151">
        <v>520263</v>
      </c>
      <c r="H151" s="55" t="s">
        <v>374</v>
      </c>
      <c r="I151" s="55" t="s">
        <v>8294</v>
      </c>
      <c r="J151" s="55" t="s">
        <v>375</v>
      </c>
      <c r="K151" s="55" t="s">
        <v>376</v>
      </c>
      <c r="L151" s="64"/>
      <c r="M151" s="55"/>
      <c r="N151" s="60"/>
      <c r="O151" s="55"/>
      <c r="P151" s="67"/>
      <c r="Q151" s="67"/>
      <c r="R151" s="67"/>
      <c r="S151" s="67"/>
      <c r="T151" s="59">
        <v>610.55999999999995</v>
      </c>
      <c r="U151" s="153"/>
      <c r="V151" s="153">
        <v>3.4804114255765204</v>
      </c>
      <c r="W151" s="153">
        <v>7.2443596007499042E-2</v>
      </c>
      <c r="X151" s="153">
        <f>IF(W151=0,V151,W151)</f>
        <v>7.2443596007499042E-2</v>
      </c>
      <c r="Y151" s="410">
        <v>5.64</v>
      </c>
      <c r="Z151" s="59">
        <v>-0.72</v>
      </c>
      <c r="AA151" s="59"/>
      <c r="AB151" s="59">
        <v>-0.4</v>
      </c>
      <c r="AC151" s="59">
        <v>0.75980000000000003</v>
      </c>
      <c r="AD151" s="59">
        <v>0.19</v>
      </c>
      <c r="AE151" s="59">
        <v>1.78</v>
      </c>
      <c r="AF151" s="59">
        <f t="shared" si="56"/>
        <v>0.19</v>
      </c>
      <c r="AG151" s="57">
        <v>-0.59</v>
      </c>
      <c r="AH151" s="103">
        <v>4.47E-33</v>
      </c>
      <c r="AI151" s="103"/>
      <c r="AJ151" s="62">
        <f t="shared" si="52"/>
        <v>-30.738258803180717</v>
      </c>
      <c r="AK151" s="62"/>
      <c r="AL151" s="62">
        <f t="shared" ref="AL151:AL182" si="60">IF(AK151=0,AJ151,AK151)</f>
        <v>-30.738258803180717</v>
      </c>
      <c r="AM151" s="62">
        <v>-44.38006</v>
      </c>
      <c r="AN151" s="154">
        <v>-30.5</v>
      </c>
      <c r="AO151" s="410">
        <v>7.15</v>
      </c>
      <c r="AP151" s="410"/>
      <c r="AQ151" s="154" t="s">
        <v>6311</v>
      </c>
      <c r="AR151" s="154" t="s">
        <v>6311</v>
      </c>
      <c r="AS151" s="149" t="s">
        <v>282</v>
      </c>
      <c r="AT151" s="58" t="s">
        <v>266</v>
      </c>
      <c r="AU151" s="155">
        <v>24</v>
      </c>
      <c r="AV151" s="155">
        <v>120</v>
      </c>
      <c r="AW151" s="155">
        <v>96</v>
      </c>
      <c r="AX151" s="155">
        <v>28</v>
      </c>
      <c r="AY151" s="155" t="s">
        <v>267</v>
      </c>
      <c r="AZ151" s="155" t="s">
        <v>268</v>
      </c>
      <c r="BA151" s="155">
        <v>48</v>
      </c>
      <c r="BB151" s="55" t="s">
        <v>269</v>
      </c>
      <c r="BC151" s="156" t="s">
        <v>270</v>
      </c>
      <c r="BD151" s="156" t="s">
        <v>8374</v>
      </c>
      <c r="BE151" s="155" t="s">
        <v>271</v>
      </c>
      <c r="BF151" s="155" t="s">
        <v>272</v>
      </c>
      <c r="BG151" s="155" t="s">
        <v>272</v>
      </c>
      <c r="BH151" s="155" t="s">
        <v>272</v>
      </c>
      <c r="BI151" s="157">
        <v>1.6378406708595389E-3</v>
      </c>
      <c r="BJ151" s="157">
        <v>1.637840670859539</v>
      </c>
      <c r="BK151" s="56"/>
      <c r="BL151" s="103">
        <f t="shared" si="57"/>
        <v>227.73616342513691</v>
      </c>
      <c r="BM151" s="56">
        <v>0</v>
      </c>
      <c r="BN151" s="56"/>
      <c r="BO151" s="56"/>
      <c r="BP151" s="56"/>
      <c r="BQ151" s="56"/>
      <c r="BR151" s="56"/>
      <c r="BS151" s="56"/>
      <c r="BT151" s="56"/>
      <c r="BU151" s="158"/>
      <c r="BV151" s="56"/>
      <c r="BW151" s="56"/>
      <c r="BX151" s="56"/>
      <c r="BY151" s="56"/>
      <c r="BZ151" s="56">
        <v>0.71</v>
      </c>
      <c r="CA151" s="56">
        <v>0.12</v>
      </c>
      <c r="CB151" s="56">
        <v>0.13</v>
      </c>
      <c r="CC151" s="56"/>
      <c r="CD151" s="56"/>
      <c r="CE151" s="56"/>
      <c r="CF151" s="56"/>
      <c r="CG151" s="56"/>
      <c r="CH151" s="56"/>
      <c r="CI151" s="103">
        <f t="shared" si="53"/>
        <v>0.12</v>
      </c>
      <c r="CJ151" s="103">
        <f t="shared" si="54"/>
        <v>-0.92081875395237522</v>
      </c>
      <c r="CK151" s="57">
        <f t="shared" si="58"/>
        <v>139.04659194085158</v>
      </c>
      <c r="CL151" s="160">
        <f t="shared" si="39"/>
        <v>1897.8013618761411</v>
      </c>
      <c r="CM151" s="160"/>
      <c r="CN151" s="160"/>
      <c r="CO151" s="55" t="s">
        <v>273</v>
      </c>
      <c r="CP151" s="156" t="s">
        <v>274</v>
      </c>
      <c r="CQ151" s="149" t="s">
        <v>272</v>
      </c>
      <c r="CR151" s="349"/>
      <c r="CS151" s="61" t="s">
        <v>539</v>
      </c>
      <c r="CT151" s="61"/>
      <c r="CU151" s="111">
        <f t="shared" si="50"/>
        <v>0.60369663339582535</v>
      </c>
      <c r="CV151" s="331">
        <f t="shared" si="59"/>
        <v>4.423116197833861E-2</v>
      </c>
      <c r="CW151" s="326">
        <f t="shared" si="55"/>
        <v>0</v>
      </c>
      <c r="CX151" s="326"/>
      <c r="CY151" s="161" t="s">
        <v>6351</v>
      </c>
    </row>
    <row r="152" spans="1:103" ht="11.25" customHeight="1" x14ac:dyDescent="0.2">
      <c r="A152" s="72">
        <v>150</v>
      </c>
      <c r="B152" s="149">
        <v>316</v>
      </c>
      <c r="C152" s="54" t="s">
        <v>1231</v>
      </c>
      <c r="D152" s="54" t="s">
        <v>6566</v>
      </c>
      <c r="E152" s="59"/>
      <c r="F152" s="59" t="s">
        <v>1232</v>
      </c>
      <c r="G152" s="151">
        <v>81406373</v>
      </c>
      <c r="H152" s="55" t="s">
        <v>1233</v>
      </c>
      <c r="I152" s="55" t="s">
        <v>7956</v>
      </c>
      <c r="J152" s="55" t="s">
        <v>1234</v>
      </c>
      <c r="K152" s="55" t="s">
        <v>1235</v>
      </c>
      <c r="L152" s="55" t="s">
        <v>6033</v>
      </c>
      <c r="M152" s="55" t="s">
        <v>6082</v>
      </c>
      <c r="N152" s="60" t="s">
        <v>6082</v>
      </c>
      <c r="O152" s="55" t="s">
        <v>6083</v>
      </c>
      <c r="P152" s="67"/>
      <c r="Q152" s="67"/>
      <c r="R152" s="67"/>
      <c r="S152" s="67"/>
      <c r="T152" s="56">
        <v>367.24</v>
      </c>
      <c r="U152" s="103">
        <v>2.4507134299095955E-4</v>
      </c>
      <c r="V152" s="103">
        <v>1.7939222306938244E-3</v>
      </c>
      <c r="W152" s="103">
        <v>1.3182567385564064E-3</v>
      </c>
      <c r="X152" s="103">
        <v>2.4507134299095955E-4</v>
      </c>
      <c r="Y152" s="162">
        <v>7</v>
      </c>
      <c r="Z152" s="56">
        <v>4.82</v>
      </c>
      <c r="AA152" s="56">
        <v>4.53</v>
      </c>
      <c r="AB152" s="56">
        <v>4.76</v>
      </c>
      <c r="AC152" s="56">
        <v>0.80210000000000004</v>
      </c>
      <c r="AD152" s="56">
        <v>5.23</v>
      </c>
      <c r="AE152" s="56">
        <v>6.77</v>
      </c>
      <c r="AF152" s="56">
        <f t="shared" si="56"/>
        <v>4.53</v>
      </c>
      <c r="AG152" s="57">
        <v>4.8899999999999997</v>
      </c>
      <c r="AH152" s="103">
        <v>1.06E-10</v>
      </c>
      <c r="AI152" s="103">
        <v>5.4200000000000002E-8</v>
      </c>
      <c r="AJ152" s="62">
        <f t="shared" si="52"/>
        <v>-8.3632604610478811</v>
      </c>
      <c r="AK152" s="62">
        <f>LOG10(AI152*1000/(0.08206*298.15))</f>
        <v>-5.6545670397742649</v>
      </c>
      <c r="AL152" s="62">
        <f t="shared" si="60"/>
        <v>-5.6545670397742649</v>
      </c>
      <c r="AM152" s="62">
        <v>-13.434470000000001</v>
      </c>
      <c r="AN152" s="154">
        <v>-2.96</v>
      </c>
      <c r="AO152" s="410"/>
      <c r="AP152" s="410">
        <v>-1.55</v>
      </c>
      <c r="AQ152" s="154" t="s">
        <v>6311</v>
      </c>
      <c r="AR152" s="154" t="s">
        <v>6314</v>
      </c>
      <c r="AS152" s="149" t="s">
        <v>6</v>
      </c>
      <c r="AT152" s="58" t="s">
        <v>266</v>
      </c>
      <c r="AU152" s="56">
        <v>8</v>
      </c>
      <c r="AV152" s="56">
        <v>144</v>
      </c>
      <c r="AW152" s="56">
        <v>120</v>
      </c>
      <c r="AX152" s="56">
        <v>26</v>
      </c>
      <c r="AY152" s="56" t="s">
        <v>267</v>
      </c>
      <c r="AZ152" s="56" t="s">
        <v>268</v>
      </c>
      <c r="BA152" s="56">
        <v>2</v>
      </c>
      <c r="BB152" s="55" t="s">
        <v>888</v>
      </c>
      <c r="BC152" s="55" t="s">
        <v>270</v>
      </c>
      <c r="BD152" s="55" t="s">
        <v>8374</v>
      </c>
      <c r="BE152" s="56" t="s">
        <v>889</v>
      </c>
      <c r="BF152" s="56" t="s">
        <v>272</v>
      </c>
      <c r="BG152" s="56" t="s">
        <v>272</v>
      </c>
      <c r="BH152" s="56" t="s">
        <v>890</v>
      </c>
      <c r="BI152" s="103">
        <v>9.9999999999999995E-7</v>
      </c>
      <c r="BJ152" s="103">
        <v>0.08</v>
      </c>
      <c r="BK152" s="56"/>
      <c r="BL152" s="103">
        <f t="shared" si="57"/>
        <v>2.4096723814383521E-3</v>
      </c>
      <c r="BM152" s="56" t="s">
        <v>891</v>
      </c>
      <c r="BN152" s="162"/>
      <c r="BO152" s="162"/>
      <c r="BP152" s="162"/>
      <c r="BQ152" s="162"/>
      <c r="BR152" s="162"/>
      <c r="BS152" s="56">
        <v>4.6164921748011227E-2</v>
      </c>
      <c r="BT152" s="162"/>
      <c r="BU152" s="158"/>
      <c r="BV152" s="162"/>
      <c r="BW152" s="162"/>
      <c r="BX152" s="162"/>
      <c r="BY152" s="162"/>
      <c r="BZ152" s="162"/>
      <c r="CA152" s="162"/>
      <c r="CB152" s="162"/>
      <c r="CC152" s="56"/>
      <c r="CD152" s="56"/>
      <c r="CE152" s="56"/>
      <c r="CF152" s="56"/>
      <c r="CG152" s="56"/>
      <c r="CH152" s="56"/>
      <c r="CI152" s="103">
        <f t="shared" si="53"/>
        <v>4.6164921748011227E-2</v>
      </c>
      <c r="CJ152" s="103">
        <f t="shared" si="54"/>
        <v>-1.3356878962548966</v>
      </c>
      <c r="CK152" s="57">
        <f t="shared" si="58"/>
        <v>3.0120904767979399E-2</v>
      </c>
      <c r="CL152" s="160">
        <f t="shared" si="39"/>
        <v>5.2197042477217244E-2</v>
      </c>
      <c r="CM152" s="160"/>
      <c r="CN152" s="160"/>
      <c r="CO152" s="55" t="s">
        <v>892</v>
      </c>
      <c r="CP152" s="55" t="s">
        <v>893</v>
      </c>
      <c r="CQ152" s="149">
        <v>-1.4101348950068042</v>
      </c>
      <c r="CR152" s="349">
        <f>10^(CJ152-CQ152)</f>
        <v>1.1869898321027412</v>
      </c>
      <c r="CS152" s="61" t="s">
        <v>539</v>
      </c>
      <c r="CT152" s="61"/>
      <c r="CU152" s="111">
        <f t="shared" si="50"/>
        <v>5.3086051857440262E-3</v>
      </c>
      <c r="CV152" s="331">
        <f t="shared" si="59"/>
        <v>3.0633917873869945E-3</v>
      </c>
      <c r="CW152" s="326">
        <f t="shared" si="55"/>
        <v>0</v>
      </c>
      <c r="CX152" s="326" t="s">
        <v>539</v>
      </c>
      <c r="CY152" s="161" t="s">
        <v>5921</v>
      </c>
    </row>
    <row r="153" spans="1:103" ht="11.25" customHeight="1" x14ac:dyDescent="0.2">
      <c r="A153" s="72">
        <v>151</v>
      </c>
      <c r="B153" s="149">
        <v>1153</v>
      </c>
      <c r="C153" s="54" t="s">
        <v>3190</v>
      </c>
      <c r="D153" s="54"/>
      <c r="E153" s="59"/>
      <c r="F153" s="59" t="s">
        <v>3191</v>
      </c>
      <c r="G153" s="151">
        <v>548629</v>
      </c>
      <c r="H153" s="55" t="s">
        <v>3192</v>
      </c>
      <c r="I153" s="55" t="s">
        <v>8295</v>
      </c>
      <c r="J153" s="55" t="s">
        <v>3193</v>
      </c>
      <c r="K153" s="55" t="s">
        <v>426</v>
      </c>
      <c r="L153" s="55"/>
      <c r="M153" s="55"/>
      <c r="N153" s="60"/>
      <c r="O153" s="55"/>
      <c r="P153" s="67"/>
      <c r="Q153" s="67"/>
      <c r="R153" s="67"/>
      <c r="S153" s="67"/>
      <c r="T153" s="56">
        <v>372.53</v>
      </c>
      <c r="U153" s="103">
        <v>10.737390277293105</v>
      </c>
      <c r="V153" s="103">
        <v>2.6897162644619228</v>
      </c>
      <c r="W153" s="103"/>
      <c r="X153" s="103">
        <v>10.737390277293105</v>
      </c>
      <c r="Y153" s="162"/>
      <c r="Z153" s="56">
        <v>0.98</v>
      </c>
      <c r="AA153" s="56">
        <v>0.51</v>
      </c>
      <c r="AB153" s="56">
        <v>0.19</v>
      </c>
      <c r="AC153" s="56">
        <v>0.873</v>
      </c>
      <c r="AD153" s="56">
        <v>0.19</v>
      </c>
      <c r="AE153" s="56"/>
      <c r="AF153" s="56">
        <f t="shared" si="56"/>
        <v>0.51</v>
      </c>
      <c r="AG153" s="57">
        <v>3.79</v>
      </c>
      <c r="AH153" s="103">
        <v>3.0599999999999999E-16</v>
      </c>
      <c r="AI153" s="103"/>
      <c r="AJ153" s="62">
        <f t="shared" si="52"/>
        <v>-13.902844899831072</v>
      </c>
      <c r="AK153" s="62"/>
      <c r="AL153" s="62">
        <f t="shared" si="60"/>
        <v>-13.902844899831072</v>
      </c>
      <c r="AM153" s="62">
        <v>-14.028949999999998</v>
      </c>
      <c r="AN153" s="154">
        <v>-12</v>
      </c>
      <c r="AO153" s="410"/>
      <c r="AP153" s="410">
        <v>4.07</v>
      </c>
      <c r="AQ153" s="56" t="s">
        <v>6311</v>
      </c>
      <c r="AR153" s="56" t="s">
        <v>6311</v>
      </c>
      <c r="AS153" s="155"/>
      <c r="AT153" s="58" t="s">
        <v>266</v>
      </c>
      <c r="AU153" s="56">
        <v>6</v>
      </c>
      <c r="AV153" s="56">
        <v>120</v>
      </c>
      <c r="AW153" s="56">
        <v>114</v>
      </c>
      <c r="AX153" s="56">
        <v>28</v>
      </c>
      <c r="AY153" s="56" t="s">
        <v>8728</v>
      </c>
      <c r="AZ153" s="56" t="s">
        <v>1563</v>
      </c>
      <c r="BA153" s="56">
        <v>32</v>
      </c>
      <c r="BB153" s="55" t="s">
        <v>2485</v>
      </c>
      <c r="BC153" s="55" t="s">
        <v>8726</v>
      </c>
      <c r="BD153" s="55" t="s">
        <v>8374</v>
      </c>
      <c r="BE153" s="56" t="s">
        <v>2449</v>
      </c>
      <c r="BF153" s="56" t="s">
        <v>272</v>
      </c>
      <c r="BG153" s="56" t="s">
        <v>272</v>
      </c>
      <c r="BH153" s="56" t="s">
        <v>2486</v>
      </c>
      <c r="BI153" s="103">
        <v>6.3999999999999997E-6</v>
      </c>
      <c r="BJ153" s="103">
        <v>6.4000000000000001E-2</v>
      </c>
      <c r="BK153" s="56"/>
      <c r="BL153" s="103">
        <f t="shared" si="57"/>
        <v>6.7711432217954908</v>
      </c>
      <c r="BM153" s="56" t="s">
        <v>2487</v>
      </c>
      <c r="BN153" s="56"/>
      <c r="BO153" s="56"/>
      <c r="BP153" s="56"/>
      <c r="BQ153" s="56"/>
      <c r="BR153" s="55">
        <v>2.0238579999999999E-3</v>
      </c>
      <c r="BS153" s="56"/>
      <c r="BT153" s="56"/>
      <c r="BU153" s="158"/>
      <c r="BV153" s="56"/>
      <c r="BW153" s="56"/>
      <c r="BX153" s="56"/>
      <c r="BY153" s="56"/>
      <c r="BZ153" s="56"/>
      <c r="CA153" s="56"/>
      <c r="CB153" s="56"/>
      <c r="CC153" s="56"/>
      <c r="CD153" s="56"/>
      <c r="CE153" s="56"/>
      <c r="CF153" s="56"/>
      <c r="CG153" s="56"/>
      <c r="CH153" s="56"/>
      <c r="CI153" s="103">
        <f t="shared" si="53"/>
        <v>2.0238579999999999E-3</v>
      </c>
      <c r="CJ153" s="103">
        <f t="shared" si="54"/>
        <v>-2.6938199621780141</v>
      </c>
      <c r="CK153" s="57">
        <f t="shared" si="58"/>
        <v>105.79911284055454</v>
      </c>
      <c r="CL153" s="160">
        <f t="shared" ref="CL153:CL216" si="61">BL153/CI153</f>
        <v>3345.661218225533</v>
      </c>
      <c r="CM153" s="160"/>
      <c r="CN153" s="160"/>
      <c r="CO153" s="55" t="s">
        <v>2488</v>
      </c>
      <c r="CP153" s="55" t="s">
        <v>2489</v>
      </c>
      <c r="CQ153" s="149" t="s">
        <v>272</v>
      </c>
      <c r="CR153" s="349"/>
      <c r="CS153" s="61" t="s">
        <v>539</v>
      </c>
      <c r="CT153" s="61"/>
      <c r="CU153" s="111">
        <f t="shared" si="50"/>
        <v>5305.4069392680249</v>
      </c>
      <c r="CV153" s="331">
        <f t="shared" si="59"/>
        <v>167.77172308270477</v>
      </c>
      <c r="CW153" s="326">
        <f t="shared" si="55"/>
        <v>1</v>
      </c>
      <c r="CX153" s="326"/>
      <c r="CY153" s="161" t="s">
        <v>6351</v>
      </c>
    </row>
    <row r="154" spans="1:103" ht="11.25" customHeight="1" x14ac:dyDescent="0.2">
      <c r="A154" s="72">
        <v>152</v>
      </c>
      <c r="B154" s="149">
        <v>58</v>
      </c>
      <c r="C154" s="54" t="s">
        <v>519</v>
      </c>
      <c r="D154" s="54"/>
      <c r="E154" s="59"/>
      <c r="F154" s="150" t="str">
        <f>HYPERLINK("http://www.sigmaaldrich.com/catalog/Lookup.do?N5=CAS+No.&amp;N3=mode+matchpartialmax&amp;N4=549-18-8&amp;D7=0&amp;D10=&amp;N25=0&amp;N1=S_ID&amp;ST=RS&amp;F=PR","549-18-8")</f>
        <v>549-18-8</v>
      </c>
      <c r="G154" s="151">
        <v>549188</v>
      </c>
      <c r="H154" s="55" t="s">
        <v>520</v>
      </c>
      <c r="I154" s="55" t="s">
        <v>8296</v>
      </c>
      <c r="J154" s="55" t="s">
        <v>521</v>
      </c>
      <c r="K154" s="55" t="s">
        <v>426</v>
      </c>
      <c r="L154" s="67" t="s">
        <v>6060</v>
      </c>
      <c r="M154" s="67" t="s">
        <v>6059</v>
      </c>
      <c r="N154" s="60"/>
      <c r="O154" s="67" t="s">
        <v>6061</v>
      </c>
      <c r="P154" s="67"/>
      <c r="Q154" s="67"/>
      <c r="R154" s="67"/>
      <c r="S154" s="67"/>
      <c r="T154" s="59">
        <v>313.87</v>
      </c>
      <c r="U154" s="153"/>
      <c r="V154" s="153">
        <v>3.4536591582502309E-2</v>
      </c>
      <c r="W154" s="153"/>
      <c r="X154" s="153">
        <f>IF(W154=0,V154,W154)</f>
        <v>3.4536591582502309E-2</v>
      </c>
      <c r="Y154" s="410"/>
      <c r="Z154" s="59">
        <v>2.1800000000000002</v>
      </c>
      <c r="AA154" s="59"/>
      <c r="AB154" s="59"/>
      <c r="AC154" s="59"/>
      <c r="AD154" s="59"/>
      <c r="AE154" s="59"/>
      <c r="AF154" s="59"/>
      <c r="AG154" s="57">
        <v>3.71</v>
      </c>
      <c r="AH154" s="103">
        <v>4.3299999999999998E-15</v>
      </c>
      <c r="AI154" s="103"/>
      <c r="AJ154" s="62">
        <f t="shared" ref="AJ154:AJ185" si="62">LOG10(AH154*1000/(0.08206*298.15))</f>
        <v>-12.752078429959287</v>
      </c>
      <c r="AK154" s="62"/>
      <c r="AL154" s="62">
        <f t="shared" si="60"/>
        <v>-12.752078429959287</v>
      </c>
      <c r="AM154" s="62"/>
      <c r="AN154" s="154">
        <v>-8.36</v>
      </c>
      <c r="AO154" s="410"/>
      <c r="AP154" s="410"/>
      <c r="AQ154" s="154" t="s">
        <v>6311</v>
      </c>
      <c r="AR154" s="154" t="s">
        <v>6311</v>
      </c>
      <c r="AS154" s="149" t="s">
        <v>289</v>
      </c>
      <c r="AT154" s="58" t="s">
        <v>266</v>
      </c>
      <c r="AU154" s="155">
        <v>24</v>
      </c>
      <c r="AV154" s="155">
        <v>120</v>
      </c>
      <c r="AW154" s="155">
        <v>96</v>
      </c>
      <c r="AX154" s="155">
        <v>28</v>
      </c>
      <c r="AY154" s="155" t="s">
        <v>267</v>
      </c>
      <c r="AZ154" s="155" t="s">
        <v>268</v>
      </c>
      <c r="BA154" s="155">
        <v>48</v>
      </c>
      <c r="BB154" s="55" t="s">
        <v>269</v>
      </c>
      <c r="BC154" s="156" t="s">
        <v>270</v>
      </c>
      <c r="BD154" s="156" t="s">
        <v>8374</v>
      </c>
      <c r="BE154" s="155" t="s">
        <v>271</v>
      </c>
      <c r="BF154" s="155" t="s">
        <v>272</v>
      </c>
      <c r="BG154" s="155" t="s">
        <v>272</v>
      </c>
      <c r="BH154" s="155" t="s">
        <v>272</v>
      </c>
      <c r="BI154" s="157">
        <v>3.1860324338101762E-3</v>
      </c>
      <c r="BJ154" s="157">
        <v>3.1860324338101762</v>
      </c>
      <c r="BK154" s="56"/>
      <c r="BL154" s="103">
        <f t="shared" si="57"/>
        <v>0.56616367286716462</v>
      </c>
      <c r="BM154" s="56">
        <v>0</v>
      </c>
      <c r="BN154" s="56"/>
      <c r="BO154" s="56"/>
      <c r="BP154" s="56"/>
      <c r="BQ154" s="56"/>
      <c r="BR154" s="56"/>
      <c r="BS154" s="56"/>
      <c r="BT154" s="56"/>
      <c r="BU154" s="158"/>
      <c r="BV154" s="56"/>
      <c r="BW154" s="56"/>
      <c r="BX154" s="56"/>
      <c r="BY154" s="56">
        <v>0.28000000000000003</v>
      </c>
      <c r="BZ154" s="56">
        <v>0.26</v>
      </c>
      <c r="CA154" s="56">
        <v>0.26</v>
      </c>
      <c r="CB154" s="56">
        <v>0.03</v>
      </c>
      <c r="CC154" s="56"/>
      <c r="CD154" s="56"/>
      <c r="CE154" s="56"/>
      <c r="CF154" s="56"/>
      <c r="CG154" s="56"/>
      <c r="CH154" s="56"/>
      <c r="CI154" s="103">
        <f t="shared" si="53"/>
        <v>0.03</v>
      </c>
      <c r="CJ154" s="103">
        <f t="shared" si="54"/>
        <v>-1.5228787452803376</v>
      </c>
      <c r="CK154" s="57">
        <f t="shared" si="58"/>
        <v>0.17770179200281697</v>
      </c>
      <c r="CL154" s="160">
        <f t="shared" si="61"/>
        <v>18.872122428905488</v>
      </c>
      <c r="CM154" s="160"/>
      <c r="CN154" s="160"/>
      <c r="CO154" s="55" t="s">
        <v>273</v>
      </c>
      <c r="CP154" s="156" t="s">
        <v>274</v>
      </c>
      <c r="CQ154" s="149" t="s">
        <v>272</v>
      </c>
      <c r="CR154" s="349"/>
      <c r="CS154" s="61" t="s">
        <v>539</v>
      </c>
      <c r="CT154" s="61"/>
      <c r="CU154" s="111">
        <f t="shared" si="50"/>
        <v>1.1512197194167437</v>
      </c>
      <c r="CV154" s="331">
        <f t="shared" si="59"/>
        <v>1.0839999999999999E-2</v>
      </c>
      <c r="CW154" s="326">
        <f t="shared" si="55"/>
        <v>0</v>
      </c>
      <c r="CX154" s="326"/>
      <c r="CY154" s="161" t="s">
        <v>5921</v>
      </c>
    </row>
    <row r="155" spans="1:103" ht="11.25" customHeight="1" x14ac:dyDescent="0.2">
      <c r="A155" s="72">
        <v>153</v>
      </c>
      <c r="B155" s="149">
        <v>2151</v>
      </c>
      <c r="C155" s="54" t="s">
        <v>5881</v>
      </c>
      <c r="D155" s="54"/>
      <c r="E155" s="59"/>
      <c r="F155" s="167" t="s">
        <v>5882</v>
      </c>
      <c r="G155" s="151">
        <v>549188</v>
      </c>
      <c r="H155" s="67" t="s">
        <v>520</v>
      </c>
      <c r="I155" s="67" t="s">
        <v>8296</v>
      </c>
      <c r="J155" s="67" t="s">
        <v>521</v>
      </c>
      <c r="K155" s="67" t="s">
        <v>426</v>
      </c>
      <c r="L155" s="67" t="s">
        <v>6060</v>
      </c>
      <c r="M155" s="67" t="s">
        <v>6059</v>
      </c>
      <c r="N155" s="60"/>
      <c r="O155" s="67" t="s">
        <v>6061</v>
      </c>
      <c r="P155" s="67"/>
      <c r="Q155" s="67"/>
      <c r="R155" s="67"/>
      <c r="S155" s="67"/>
      <c r="T155" s="61">
        <v>313.87</v>
      </c>
      <c r="U155" s="111"/>
      <c r="V155" s="111">
        <v>3.4536591582502309E-2</v>
      </c>
      <c r="W155" s="111"/>
      <c r="X155" s="111">
        <f>IF(W155=0,V155,W155)</f>
        <v>3.4536591582502309E-2</v>
      </c>
      <c r="Y155" s="411"/>
      <c r="Z155" s="61">
        <v>2.1800000000000002</v>
      </c>
      <c r="AA155" s="61"/>
      <c r="AB155" s="61"/>
      <c r="AC155" s="61"/>
      <c r="AD155" s="61"/>
      <c r="AE155" s="61"/>
      <c r="AF155" s="61"/>
      <c r="AG155" s="62">
        <v>3.71</v>
      </c>
      <c r="AH155" s="111">
        <v>4.3299999999999998E-15</v>
      </c>
      <c r="AI155" s="111"/>
      <c r="AJ155" s="62">
        <f t="shared" si="62"/>
        <v>-12.752078429959287</v>
      </c>
      <c r="AK155" s="62"/>
      <c r="AL155" s="62">
        <f t="shared" si="60"/>
        <v>-12.752078429959287</v>
      </c>
      <c r="AM155" s="62"/>
      <c r="AN155" s="163">
        <v>-8.3568999999999996</v>
      </c>
      <c r="AO155" s="410"/>
      <c r="AP155" s="410"/>
      <c r="AQ155" s="163" t="s">
        <v>6311</v>
      </c>
      <c r="AR155" s="163" t="s">
        <v>6311</v>
      </c>
      <c r="AS155" s="164" t="s">
        <v>5466</v>
      </c>
      <c r="AT155" s="63" t="s">
        <v>266</v>
      </c>
      <c r="AU155" s="61">
        <v>0</v>
      </c>
      <c r="AV155" s="61">
        <v>120</v>
      </c>
      <c r="AW155" s="61">
        <v>120</v>
      </c>
      <c r="AX155" s="61">
        <v>28</v>
      </c>
      <c r="AY155" s="61" t="s">
        <v>267</v>
      </c>
      <c r="AZ155" s="61" t="s">
        <v>5695</v>
      </c>
      <c r="BA155" s="61">
        <v>20</v>
      </c>
      <c r="BB155" s="67" t="s">
        <v>5883</v>
      </c>
      <c r="BC155" s="67" t="s">
        <v>5884</v>
      </c>
      <c r="BD155" s="67"/>
      <c r="BE155" s="61" t="s">
        <v>6339</v>
      </c>
      <c r="BF155" s="61"/>
      <c r="BG155" s="61"/>
      <c r="BH155" s="61"/>
      <c r="BI155" s="111">
        <v>3.1860299999999999E-4</v>
      </c>
      <c r="BJ155" s="111">
        <v>0.31860324299999998</v>
      </c>
      <c r="BK155" s="165" t="s">
        <v>5885</v>
      </c>
      <c r="BL155" s="111">
        <f t="shared" si="57"/>
        <v>0.56616367286716462</v>
      </c>
      <c r="BM155" s="61"/>
      <c r="BN155" s="61">
        <v>8.6660081999999999E-2</v>
      </c>
      <c r="BO155" s="61">
        <v>2.1027813999999999E-2</v>
      </c>
      <c r="BP155" s="61">
        <v>8.9208910000000002E-3</v>
      </c>
      <c r="BQ155" s="61">
        <v>6.0534619999999999E-3</v>
      </c>
      <c r="BR155" s="61">
        <v>4.4604450000000004E-3</v>
      </c>
      <c r="BS155" s="61"/>
      <c r="BT155" s="61"/>
      <c r="BU155" s="158"/>
      <c r="BV155" s="61"/>
      <c r="BW155" s="61"/>
      <c r="BX155" s="61"/>
      <c r="BY155" s="61"/>
      <c r="BZ155" s="61"/>
      <c r="CA155" s="61"/>
      <c r="CB155" s="61"/>
      <c r="CC155" s="61"/>
      <c r="CD155" s="61"/>
      <c r="CE155" s="61"/>
      <c r="CF155" s="61"/>
      <c r="CG155" s="61"/>
      <c r="CH155" s="61"/>
      <c r="CI155" s="111">
        <f t="shared" si="53"/>
        <v>4.4604450000000004E-3</v>
      </c>
      <c r="CJ155" s="103">
        <f t="shared" si="54"/>
        <v>-2.3506218113767141</v>
      </c>
      <c r="CK155" s="57">
        <f t="shared" si="58"/>
        <v>1.7770179221533053</v>
      </c>
      <c r="CL155" s="160">
        <f t="shared" si="61"/>
        <v>126.92986302199995</v>
      </c>
      <c r="CM155" s="160"/>
      <c r="CN155" s="160"/>
      <c r="CO155" s="67"/>
      <c r="CP155" s="67" t="s">
        <v>5886</v>
      </c>
      <c r="CQ155" s="149" t="s">
        <v>272</v>
      </c>
      <c r="CR155" s="349"/>
      <c r="CS155" s="61" t="s">
        <v>539</v>
      </c>
      <c r="CT155" s="61" t="s">
        <v>6310</v>
      </c>
      <c r="CU155" s="111">
        <f t="shared" si="50"/>
        <v>7.7428578499459819</v>
      </c>
      <c r="CV155" s="331">
        <f t="shared" si="59"/>
        <v>0.10840000012963556</v>
      </c>
      <c r="CW155" s="326">
        <f t="shared" si="55"/>
        <v>1</v>
      </c>
      <c r="CX155" s="326" t="s">
        <v>539</v>
      </c>
      <c r="CY155" s="161" t="s">
        <v>5921</v>
      </c>
    </row>
    <row r="156" spans="1:103" ht="11.25" customHeight="1" x14ac:dyDescent="0.2">
      <c r="A156" s="72">
        <v>154</v>
      </c>
      <c r="B156" s="149">
        <v>322</v>
      </c>
      <c r="C156" s="54" t="s">
        <v>1252</v>
      </c>
      <c r="D156" s="54" t="s">
        <v>6531</v>
      </c>
      <c r="E156" s="59"/>
      <c r="F156" s="59" t="s">
        <v>1253</v>
      </c>
      <c r="G156" s="151">
        <v>68157608</v>
      </c>
      <c r="H156" s="55" t="s">
        <v>1254</v>
      </c>
      <c r="I156" s="55" t="s">
        <v>8287</v>
      </c>
      <c r="J156" s="55" t="s">
        <v>1255</v>
      </c>
      <c r="K156" s="55" t="s">
        <v>1256</v>
      </c>
      <c r="L156" s="55" t="s">
        <v>5995</v>
      </c>
      <c r="M156" s="60" t="s">
        <v>2342</v>
      </c>
      <c r="N156" s="60" t="s">
        <v>2342</v>
      </c>
      <c r="O156" s="55"/>
      <c r="P156" s="67"/>
      <c r="Q156" s="67"/>
      <c r="R156" s="67"/>
      <c r="S156" s="67"/>
      <c r="T156" s="56">
        <v>247.68</v>
      </c>
      <c r="U156" s="103">
        <v>0.15746124031007752</v>
      </c>
      <c r="V156" s="103">
        <v>0.18200904392764858</v>
      </c>
      <c r="W156" s="103">
        <v>9.5499258602143519E-2</v>
      </c>
      <c r="X156" s="103">
        <v>0.15746124031007752</v>
      </c>
      <c r="Y156" s="162">
        <v>6.98</v>
      </c>
      <c r="Z156" s="56">
        <v>2.42</v>
      </c>
      <c r="AA156" s="56">
        <v>3.2</v>
      </c>
      <c r="AB156" s="56">
        <v>2.82</v>
      </c>
      <c r="AC156" s="56">
        <v>0.84489999999999998</v>
      </c>
      <c r="AD156" s="56">
        <v>2.98</v>
      </c>
      <c r="AE156" s="56">
        <v>3.46</v>
      </c>
      <c r="AF156" s="56">
        <f>IF(AA156=0,AD156,AA156)</f>
        <v>3.2</v>
      </c>
      <c r="AG156" s="57">
        <v>2.56</v>
      </c>
      <c r="AH156" s="103">
        <v>6.8000000000000001E-12</v>
      </c>
      <c r="AI156" s="103">
        <v>2.8799999999999998E-12</v>
      </c>
      <c r="AJ156" s="62">
        <f t="shared" si="62"/>
        <v>-9.5560574136064158</v>
      </c>
      <c r="AK156" s="62">
        <f>LOG10(AI156*1000/(0.08206*298.15))</f>
        <v>-9.9291738385534209</v>
      </c>
      <c r="AL156" s="62">
        <f t="shared" si="60"/>
        <v>-9.9291738385534209</v>
      </c>
      <c r="AM156" s="62">
        <v>-15.800219999999999</v>
      </c>
      <c r="AN156" s="154">
        <v>-10.7</v>
      </c>
      <c r="AO156" s="410">
        <v>12.55</v>
      </c>
      <c r="AP156" s="410">
        <v>1.54</v>
      </c>
      <c r="AQ156" s="154" t="s">
        <v>6311</v>
      </c>
      <c r="AR156" s="154" t="s">
        <v>6311</v>
      </c>
      <c r="AS156" s="149" t="s">
        <v>6</v>
      </c>
      <c r="AT156" s="58" t="s">
        <v>266</v>
      </c>
      <c r="AU156" s="56">
        <v>8</v>
      </c>
      <c r="AV156" s="56">
        <v>144</v>
      </c>
      <c r="AW156" s="56">
        <v>120</v>
      </c>
      <c r="AX156" s="56">
        <v>26</v>
      </c>
      <c r="AY156" s="56" t="s">
        <v>267</v>
      </c>
      <c r="AZ156" s="56" t="s">
        <v>268</v>
      </c>
      <c r="BA156" s="56">
        <v>2</v>
      </c>
      <c r="BB156" s="55" t="s">
        <v>888</v>
      </c>
      <c r="BC156" s="55" t="s">
        <v>270</v>
      </c>
      <c r="BD156" s="55" t="s">
        <v>8374</v>
      </c>
      <c r="BE156" s="56" t="s">
        <v>889</v>
      </c>
      <c r="BF156" s="56" t="s">
        <v>272</v>
      </c>
      <c r="BG156" s="56" t="s">
        <v>272</v>
      </c>
      <c r="BH156" s="56" t="s">
        <v>890</v>
      </c>
      <c r="BI156" s="103">
        <v>9.9999999999999995E-7</v>
      </c>
      <c r="BJ156" s="103">
        <v>0.08</v>
      </c>
      <c r="BK156" s="56"/>
      <c r="BL156" s="103">
        <f t="shared" si="57"/>
        <v>0.34466564762417012</v>
      </c>
      <c r="BM156" s="56" t="s">
        <v>891</v>
      </c>
      <c r="BN156" s="162"/>
      <c r="BO156" s="162"/>
      <c r="BP156" s="162"/>
      <c r="BQ156" s="162"/>
      <c r="BR156" s="162"/>
      <c r="BS156" s="56">
        <v>4.6164921748011227E-2</v>
      </c>
      <c r="BT156" s="162"/>
      <c r="BU156" s="158"/>
      <c r="BV156" s="162"/>
      <c r="BW156" s="162"/>
      <c r="BX156" s="162"/>
      <c r="BY156" s="162"/>
      <c r="BZ156" s="162"/>
      <c r="CA156" s="162"/>
      <c r="CB156" s="162"/>
      <c r="CC156" s="56"/>
      <c r="CD156" s="56"/>
      <c r="CE156" s="56"/>
      <c r="CF156" s="56"/>
      <c r="CG156" s="56"/>
      <c r="CH156" s="56"/>
      <c r="CI156" s="103">
        <f t="shared" si="53"/>
        <v>4.6164921748011227E-2</v>
      </c>
      <c r="CJ156" s="103">
        <f t="shared" si="54"/>
        <v>-1.3356878962548966</v>
      </c>
      <c r="CK156" s="57">
        <f t="shared" si="58"/>
        <v>4.3083205953021269</v>
      </c>
      <c r="CL156" s="160">
        <f t="shared" si="61"/>
        <v>7.4659640821121558</v>
      </c>
      <c r="CM156" s="160">
        <v>-1.4494082668526298</v>
      </c>
      <c r="CN156" s="160">
        <f>BJ156/(10^CM156)</f>
        <v>2.2516363636363637</v>
      </c>
      <c r="CO156" s="55" t="s">
        <v>892</v>
      </c>
      <c r="CP156" s="55" t="s">
        <v>893</v>
      </c>
      <c r="CQ156" s="149">
        <v>-1.4397556892549368</v>
      </c>
      <c r="CR156" s="349">
        <f>10^(CJ156-CQ156)</f>
        <v>1.2707724562288412</v>
      </c>
      <c r="CS156" s="61" t="s">
        <v>539</v>
      </c>
      <c r="CT156" s="61"/>
      <c r="CU156" s="111">
        <f t="shared" si="50"/>
        <v>3.4108417029183182</v>
      </c>
      <c r="CV156" s="331">
        <f t="shared" si="59"/>
        <v>1.9682655038759689</v>
      </c>
      <c r="CW156" s="326">
        <f t="shared" si="55"/>
        <v>1</v>
      </c>
      <c r="CX156" s="326" t="s">
        <v>539</v>
      </c>
      <c r="CY156" s="161" t="s">
        <v>5921</v>
      </c>
    </row>
    <row r="157" spans="1:103" ht="11.25" customHeight="1" x14ac:dyDescent="0.2">
      <c r="A157" s="72">
        <v>155</v>
      </c>
      <c r="B157" s="149">
        <v>268</v>
      </c>
      <c r="C157" s="54" t="s">
        <v>1113</v>
      </c>
      <c r="D157" s="54" t="s">
        <v>6569</v>
      </c>
      <c r="E157" s="59"/>
      <c r="F157" s="59" t="s">
        <v>1114</v>
      </c>
      <c r="G157" s="151">
        <v>87674688</v>
      </c>
      <c r="H157" s="55" t="s">
        <v>1115</v>
      </c>
      <c r="I157" s="55" t="s">
        <v>8297</v>
      </c>
      <c r="J157" s="55" t="s">
        <v>1116</v>
      </c>
      <c r="K157" s="55" t="s">
        <v>1117</v>
      </c>
      <c r="L157" s="55" t="s">
        <v>5972</v>
      </c>
      <c r="M157" s="55" t="s">
        <v>6082</v>
      </c>
      <c r="N157" s="60" t="s">
        <v>6082</v>
      </c>
      <c r="O157" s="55" t="s">
        <v>6083</v>
      </c>
      <c r="P157" s="67"/>
      <c r="Q157" s="67"/>
      <c r="R157" s="67"/>
      <c r="S157" s="67"/>
      <c r="T157" s="56">
        <v>275.8</v>
      </c>
      <c r="U157" s="103">
        <v>4.3509789702683106</v>
      </c>
      <c r="V157" s="103">
        <v>0.89557650471356054</v>
      </c>
      <c r="W157" s="103">
        <v>2.7542287033381649</v>
      </c>
      <c r="X157" s="103">
        <v>4.3509789702683106</v>
      </c>
      <c r="Y157" s="162">
        <v>7.01</v>
      </c>
      <c r="Z157" s="56">
        <v>2.57</v>
      </c>
      <c r="AA157" s="56">
        <v>2.15</v>
      </c>
      <c r="AB157" s="56">
        <v>2.52</v>
      </c>
      <c r="AC157" s="56">
        <v>0.83440000000000003</v>
      </c>
      <c r="AD157" s="56">
        <v>2.4500000000000002</v>
      </c>
      <c r="AE157" s="56">
        <v>2.15</v>
      </c>
      <c r="AF157" s="56">
        <f>IF(AA157=0,AD157,AA157)</f>
        <v>2.15</v>
      </c>
      <c r="AG157" s="57">
        <v>3.03</v>
      </c>
      <c r="AH157" s="103">
        <v>6.0799999999999997E-10</v>
      </c>
      <c r="AI157" s="103">
        <v>8.2000000000000006E-8</v>
      </c>
      <c r="AJ157" s="62">
        <f t="shared" si="62"/>
        <v>-7.6046627470399173</v>
      </c>
      <c r="AK157" s="62">
        <f>LOG10(AI157*1000/(0.08206*298.15))</f>
        <v>-5.4747524739289348</v>
      </c>
      <c r="AL157" s="62">
        <f t="shared" si="60"/>
        <v>-5.4747524739289348</v>
      </c>
      <c r="AM157" s="62">
        <v>-10.136889999999999</v>
      </c>
      <c r="AN157" s="154">
        <v>-5.57</v>
      </c>
      <c r="AO157" s="410"/>
      <c r="AP157" s="410">
        <v>1.1599999999999999</v>
      </c>
      <c r="AQ157" s="154" t="s">
        <v>6311</v>
      </c>
      <c r="AR157" s="154" t="s">
        <v>6311</v>
      </c>
      <c r="AS157" s="149" t="s">
        <v>6</v>
      </c>
      <c r="AT157" s="58" t="s">
        <v>266</v>
      </c>
      <c r="AU157" s="56">
        <v>8</v>
      </c>
      <c r="AV157" s="56">
        <v>144</v>
      </c>
      <c r="AW157" s="56">
        <v>120</v>
      </c>
      <c r="AX157" s="56">
        <v>26</v>
      </c>
      <c r="AY157" s="56" t="s">
        <v>267</v>
      </c>
      <c r="AZ157" s="56" t="s">
        <v>268</v>
      </c>
      <c r="BA157" s="56">
        <v>2</v>
      </c>
      <c r="BB157" s="55" t="s">
        <v>888</v>
      </c>
      <c r="BC157" s="55" t="s">
        <v>270</v>
      </c>
      <c r="BD157" s="55" t="s">
        <v>8374</v>
      </c>
      <c r="BE157" s="56" t="s">
        <v>889</v>
      </c>
      <c r="BF157" s="56" t="s">
        <v>272</v>
      </c>
      <c r="BG157" s="56" t="s">
        <v>272</v>
      </c>
      <c r="BH157" s="56" t="s">
        <v>890</v>
      </c>
      <c r="BI157" s="103">
        <v>9.9999999999999995E-7</v>
      </c>
      <c r="BJ157" s="103">
        <v>0.08</v>
      </c>
      <c r="BK157" s="56"/>
      <c r="BL157" s="103">
        <f t="shared" si="57"/>
        <v>0.25274524862006514</v>
      </c>
      <c r="BM157" s="56" t="s">
        <v>891</v>
      </c>
      <c r="BN157" s="162"/>
      <c r="BO157" s="162"/>
      <c r="BP157" s="162"/>
      <c r="BQ157" s="162"/>
      <c r="BR157" s="162"/>
      <c r="BS157" s="56">
        <v>4.6164921748011227E-2</v>
      </c>
      <c r="BT157" s="162"/>
      <c r="BU157" s="158"/>
      <c r="BV157" s="162"/>
      <c r="BW157" s="162"/>
      <c r="BX157" s="162"/>
      <c r="BY157" s="162"/>
      <c r="BZ157" s="162"/>
      <c r="CA157" s="162"/>
      <c r="CB157" s="162"/>
      <c r="CC157" s="56"/>
      <c r="CD157" s="56"/>
      <c r="CE157" s="56"/>
      <c r="CF157" s="56"/>
      <c r="CG157" s="56"/>
      <c r="CH157" s="56"/>
      <c r="CI157" s="103">
        <f t="shared" si="53"/>
        <v>4.6164921748011227E-2</v>
      </c>
      <c r="CJ157" s="103">
        <f t="shared" si="54"/>
        <v>-1.3356878962548966</v>
      </c>
      <c r="CK157" s="57">
        <f t="shared" si="58"/>
        <v>3.1593156077508144</v>
      </c>
      <c r="CL157" s="160">
        <f t="shared" si="61"/>
        <v>5.4748332510918498</v>
      </c>
      <c r="CM157" s="160">
        <v>-2.0256209138690129</v>
      </c>
      <c r="CN157" s="160">
        <f>BJ157/(10^CM157)</f>
        <v>8.4861538461538508</v>
      </c>
      <c r="CO157" s="55" t="s">
        <v>892</v>
      </c>
      <c r="CP157" s="55" t="s">
        <v>893</v>
      </c>
      <c r="CQ157" s="149">
        <v>-1.8300176008624784</v>
      </c>
      <c r="CR157" s="349">
        <f>10^(CJ157-CQ157)</f>
        <v>3.1212582595929037</v>
      </c>
      <c r="CS157" s="61" t="s">
        <v>539</v>
      </c>
      <c r="CT157" s="61"/>
      <c r="CU157" s="111">
        <f t="shared" si="50"/>
        <v>94.248594073610661</v>
      </c>
      <c r="CV157" s="331">
        <f t="shared" si="59"/>
        <v>54.387237128353881</v>
      </c>
      <c r="CW157" s="326">
        <f t="shared" si="55"/>
        <v>1</v>
      </c>
      <c r="CX157" s="326" t="s">
        <v>539</v>
      </c>
      <c r="CY157" s="161" t="s">
        <v>5921</v>
      </c>
    </row>
    <row r="158" spans="1:103" ht="11.25" customHeight="1" x14ac:dyDescent="0.2">
      <c r="A158" s="72">
        <v>156</v>
      </c>
      <c r="B158" s="149">
        <v>991</v>
      </c>
      <c r="C158" s="54" t="s">
        <v>2826</v>
      </c>
      <c r="D158" s="54"/>
      <c r="E158" s="59"/>
      <c r="F158" s="59" t="s">
        <v>2827</v>
      </c>
      <c r="G158" s="151">
        <v>599644</v>
      </c>
      <c r="H158" s="55" t="s">
        <v>2828</v>
      </c>
      <c r="I158" s="55" t="s">
        <v>2828</v>
      </c>
      <c r="J158" s="55" t="s">
        <v>2829</v>
      </c>
      <c r="K158" s="55" t="s">
        <v>349</v>
      </c>
      <c r="L158" s="55"/>
      <c r="M158" s="55"/>
      <c r="N158" s="60"/>
      <c r="O158" s="55"/>
      <c r="P158" s="67"/>
      <c r="Q158" s="67"/>
      <c r="R158" s="67"/>
      <c r="S158" s="67"/>
      <c r="T158" s="56">
        <v>212.29</v>
      </c>
      <c r="U158" s="103"/>
      <c r="V158" s="103">
        <v>0.2038249564275284</v>
      </c>
      <c r="W158" s="103">
        <v>0.17782794100389201</v>
      </c>
      <c r="X158" s="103">
        <f>IF(W158=0,V158,W158)</f>
        <v>0.17782794100389201</v>
      </c>
      <c r="Y158" s="162">
        <v>6.92</v>
      </c>
      <c r="Z158" s="56">
        <v>4.12</v>
      </c>
      <c r="AA158" s="56"/>
      <c r="AB158" s="56">
        <v>4.3899999999999997</v>
      </c>
      <c r="AC158" s="56">
        <v>0.70009999999999994</v>
      </c>
      <c r="AD158" s="56">
        <v>4.3</v>
      </c>
      <c r="AE158" s="56">
        <v>4.17</v>
      </c>
      <c r="AF158" s="56">
        <f>IF(AA158=0,AD158,AA158)</f>
        <v>4.3</v>
      </c>
      <c r="AG158" s="57">
        <v>4.04</v>
      </c>
      <c r="AH158" s="103">
        <v>8.7999999999999994E-8</v>
      </c>
      <c r="AI158" s="103"/>
      <c r="AJ158" s="62">
        <f t="shared" si="62"/>
        <v>-5.4440836541624833</v>
      </c>
      <c r="AK158" s="62"/>
      <c r="AL158" s="62">
        <f t="shared" si="60"/>
        <v>-5.4440836541624833</v>
      </c>
      <c r="AM158" s="62">
        <v>-9.4519900000000003</v>
      </c>
      <c r="AN158" s="154">
        <v>-6.11</v>
      </c>
      <c r="AO158" s="410">
        <v>10.62</v>
      </c>
      <c r="AP158" s="410"/>
      <c r="AQ158" s="56" t="s">
        <v>6311</v>
      </c>
      <c r="AR158" s="56" t="s">
        <v>6311</v>
      </c>
      <c r="AS158" s="155"/>
      <c r="AT158" s="58" t="s">
        <v>266</v>
      </c>
      <c r="AU158" s="56">
        <v>6</v>
      </c>
      <c r="AV158" s="56">
        <v>120</v>
      </c>
      <c r="AW158" s="56">
        <v>114</v>
      </c>
      <c r="AX158" s="56">
        <v>28</v>
      </c>
      <c r="AY158" s="56" t="s">
        <v>8728</v>
      </c>
      <c r="AZ158" s="56" t="s">
        <v>1563</v>
      </c>
      <c r="BA158" s="56">
        <v>32</v>
      </c>
      <c r="BB158" s="55" t="s">
        <v>2485</v>
      </c>
      <c r="BC158" s="55" t="s">
        <v>8726</v>
      </c>
      <c r="BD158" s="55" t="s">
        <v>8374</v>
      </c>
      <c r="BE158" s="56" t="s">
        <v>2449</v>
      </c>
      <c r="BF158" s="56" t="s">
        <v>272</v>
      </c>
      <c r="BG158" s="56" t="s">
        <v>272</v>
      </c>
      <c r="BH158" s="56" t="s">
        <v>2486</v>
      </c>
      <c r="BI158" s="103">
        <v>6.3999999999999997E-6</v>
      </c>
      <c r="BJ158" s="103">
        <v>6.4000000000000001E-2</v>
      </c>
      <c r="BK158" s="56"/>
      <c r="BL158" s="103">
        <f t="shared" si="57"/>
        <v>1.0247737682923289E-2</v>
      </c>
      <c r="BM158" s="56" t="s">
        <v>2046</v>
      </c>
      <c r="BN158" s="56"/>
      <c r="BO158" s="56"/>
      <c r="BP158" s="56"/>
      <c r="BQ158" s="56"/>
      <c r="BR158" s="55">
        <v>2.0238577000000001E-2</v>
      </c>
      <c r="BS158" s="56"/>
      <c r="BT158" s="56"/>
      <c r="BU158" s="158"/>
      <c r="BV158" s="56"/>
      <c r="BW158" s="56"/>
      <c r="BX158" s="56"/>
      <c r="BY158" s="56"/>
      <c r="BZ158" s="56"/>
      <c r="CA158" s="56"/>
      <c r="CB158" s="56"/>
      <c r="CC158" s="56"/>
      <c r="CD158" s="56"/>
      <c r="CE158" s="56"/>
      <c r="CF158" s="56"/>
      <c r="CG158" s="56"/>
      <c r="CH158" s="56"/>
      <c r="CI158" s="103">
        <f t="shared" si="53"/>
        <v>2.0238577000000001E-2</v>
      </c>
      <c r="CJ158" s="103">
        <f t="shared" si="54"/>
        <v>-1.6938200265542473</v>
      </c>
      <c r="CK158" s="57">
        <f t="shared" si="58"/>
        <v>0.16012090129567638</v>
      </c>
      <c r="CL158" s="160">
        <f t="shared" si="61"/>
        <v>0.50634674972075799</v>
      </c>
      <c r="CM158" s="160"/>
      <c r="CN158" s="160"/>
      <c r="CO158" s="55" t="s">
        <v>2488</v>
      </c>
      <c r="CP158" s="55" t="s">
        <v>2489</v>
      </c>
      <c r="CQ158" s="149" t="s">
        <v>272</v>
      </c>
      <c r="CR158" s="349"/>
      <c r="CS158" s="61" t="s">
        <v>539</v>
      </c>
      <c r="CT158" s="61"/>
      <c r="CU158" s="111">
        <f t="shared" si="50"/>
        <v>8.7865832169866493</v>
      </c>
      <c r="CV158" s="331">
        <f t="shared" si="59"/>
        <v>2.7785615781858128</v>
      </c>
      <c r="CW158" s="326">
        <f t="shared" si="55"/>
        <v>1</v>
      </c>
      <c r="CX158" s="326"/>
      <c r="CY158" s="161" t="s">
        <v>6351</v>
      </c>
    </row>
    <row r="159" spans="1:103" ht="11.25" customHeight="1" x14ac:dyDescent="0.2">
      <c r="A159" s="72">
        <v>157</v>
      </c>
      <c r="B159" s="149">
        <v>3</v>
      </c>
      <c r="C159" s="54" t="s">
        <v>283</v>
      </c>
      <c r="D159" s="54"/>
      <c r="E159" s="59"/>
      <c r="F159" s="59" t="s">
        <v>284</v>
      </c>
      <c r="G159" s="151">
        <v>633658</v>
      </c>
      <c r="H159" s="55" t="s">
        <v>285</v>
      </c>
      <c r="I159" s="55" t="s">
        <v>8298</v>
      </c>
      <c r="J159" s="55" t="s">
        <v>286</v>
      </c>
      <c r="K159" s="55" t="s">
        <v>287</v>
      </c>
      <c r="L159" s="64"/>
      <c r="M159" s="55"/>
      <c r="N159" s="60"/>
      <c r="O159" s="55"/>
      <c r="P159" s="67"/>
      <c r="Q159" s="67"/>
      <c r="R159" s="67"/>
      <c r="S159" s="67"/>
      <c r="T159" s="59">
        <v>371.81</v>
      </c>
      <c r="U159" s="153"/>
      <c r="V159" s="103">
        <v>1.0976036147494688</v>
      </c>
      <c r="W159" s="103">
        <v>436.51583224016593</v>
      </c>
      <c r="X159" s="103">
        <f>IF(W159=0,V159,W159)</f>
        <v>436.51583224016593</v>
      </c>
      <c r="Y159" s="162">
        <v>7</v>
      </c>
      <c r="Z159" s="56">
        <v>-7.0000000000000007E-2</v>
      </c>
      <c r="AA159" s="56"/>
      <c r="AB159" s="56"/>
      <c r="AC159" s="56"/>
      <c r="AD159" s="56"/>
      <c r="AE159" s="56"/>
      <c r="AF159" s="56"/>
      <c r="AG159" s="57">
        <v>-1.33</v>
      </c>
      <c r="AH159" s="103">
        <v>2.2300000000000001E-18</v>
      </c>
      <c r="AI159" s="103"/>
      <c r="AJ159" s="62">
        <f t="shared" si="62"/>
        <v>-16.040261463264493</v>
      </c>
      <c r="AK159" s="62"/>
      <c r="AL159" s="62">
        <f t="shared" si="60"/>
        <v>-16.040261463264493</v>
      </c>
      <c r="AM159" s="62"/>
      <c r="AN159" s="154"/>
      <c r="AO159" s="410"/>
      <c r="AP159" s="410"/>
      <c r="AQ159" s="154" t="s">
        <v>6311</v>
      </c>
      <c r="AR159" s="154" t="s">
        <v>6311</v>
      </c>
      <c r="AS159" s="149" t="s">
        <v>289</v>
      </c>
      <c r="AT159" s="58" t="s">
        <v>266</v>
      </c>
      <c r="AU159" s="155">
        <v>24</v>
      </c>
      <c r="AV159" s="155">
        <v>120</v>
      </c>
      <c r="AW159" s="155">
        <v>96</v>
      </c>
      <c r="AX159" s="155">
        <v>28</v>
      </c>
      <c r="AY159" s="155" t="s">
        <v>267</v>
      </c>
      <c r="AZ159" s="155" t="s">
        <v>268</v>
      </c>
      <c r="BA159" s="155">
        <v>48</v>
      </c>
      <c r="BB159" s="55" t="s">
        <v>269</v>
      </c>
      <c r="BC159" s="156" t="s">
        <v>270</v>
      </c>
      <c r="BD159" s="156" t="s">
        <v>8374</v>
      </c>
      <c r="BE159" s="155" t="s">
        <v>271</v>
      </c>
      <c r="BF159" s="155" t="s">
        <v>272</v>
      </c>
      <c r="BG159" s="155" t="s">
        <v>272</v>
      </c>
      <c r="BH159" s="155" t="s">
        <v>272</v>
      </c>
      <c r="BI159" s="157">
        <v>2.6895457357252362E-3</v>
      </c>
      <c r="BJ159" s="157">
        <v>2.6895457357252361</v>
      </c>
      <c r="BK159" s="56"/>
      <c r="BL159" s="103">
        <f t="shared" si="57"/>
        <v>59.383665331735287</v>
      </c>
      <c r="BM159" s="56">
        <v>0</v>
      </c>
      <c r="BN159" s="56"/>
      <c r="BO159" s="56"/>
      <c r="BP159" s="56"/>
      <c r="BQ159" s="56"/>
      <c r="BR159" s="56"/>
      <c r="BS159" s="56"/>
      <c r="BT159" s="56"/>
      <c r="BU159" s="158"/>
      <c r="BV159" s="56"/>
      <c r="BW159" s="56"/>
      <c r="BX159" s="56"/>
      <c r="BY159" s="56"/>
      <c r="BZ159" s="56"/>
      <c r="CA159" s="56">
        <v>0.77</v>
      </c>
      <c r="CB159" s="56">
        <v>0.35</v>
      </c>
      <c r="CC159" s="56"/>
      <c r="CD159" s="56"/>
      <c r="CE159" s="56"/>
      <c r="CF159" s="56"/>
      <c r="CG159" s="56"/>
      <c r="CH159" s="56"/>
      <c r="CI159" s="103">
        <f t="shared" si="53"/>
        <v>0.35</v>
      </c>
      <c r="CJ159" s="103">
        <f t="shared" si="54"/>
        <v>-0.45593195564972439</v>
      </c>
      <c r="CK159" s="57">
        <f t="shared" si="58"/>
        <v>22.079440606992495</v>
      </c>
      <c r="CL159" s="160">
        <f t="shared" si="61"/>
        <v>169.6676152335294</v>
      </c>
      <c r="CM159" s="160"/>
      <c r="CN159" s="160"/>
      <c r="CO159" s="55" t="s">
        <v>273</v>
      </c>
      <c r="CP159" s="156" t="s">
        <v>274</v>
      </c>
      <c r="CQ159" s="149" t="s">
        <v>272</v>
      </c>
      <c r="CR159" s="349"/>
      <c r="CS159" s="61" t="s">
        <v>539</v>
      </c>
      <c r="CT159" s="61"/>
      <c r="CU159" s="111">
        <f t="shared" si="50"/>
        <v>1247.1880921147599</v>
      </c>
      <c r="CV159" s="331">
        <f t="shared" si="59"/>
        <v>162.3009515852161</v>
      </c>
      <c r="CW159" s="326">
        <f t="shared" si="55"/>
        <v>1</v>
      </c>
      <c r="CX159" s="326"/>
      <c r="CY159" s="161" t="s">
        <v>5921</v>
      </c>
    </row>
    <row r="160" spans="1:103" ht="11.25" customHeight="1" x14ac:dyDescent="0.2">
      <c r="A160" s="72">
        <v>158</v>
      </c>
      <c r="B160" s="149">
        <v>770</v>
      </c>
      <c r="C160" s="54" t="s">
        <v>2152</v>
      </c>
      <c r="D160" s="54"/>
      <c r="E160" s="59"/>
      <c r="F160" s="59" t="s">
        <v>2153</v>
      </c>
      <c r="G160" s="151">
        <v>637923</v>
      </c>
      <c r="H160" s="55" t="s">
        <v>2154</v>
      </c>
      <c r="I160" s="55" t="s">
        <v>2154</v>
      </c>
      <c r="J160" s="55" t="s">
        <v>2155</v>
      </c>
      <c r="K160" s="55" t="s">
        <v>426</v>
      </c>
      <c r="L160" s="55"/>
      <c r="M160" s="55"/>
      <c r="N160" s="60"/>
      <c r="O160" s="55"/>
      <c r="P160" s="67"/>
      <c r="Q160" s="67"/>
      <c r="R160" s="67"/>
      <c r="S160" s="67"/>
      <c r="T160" s="56">
        <v>102.17</v>
      </c>
      <c r="U160" s="103">
        <v>117.45130664578643</v>
      </c>
      <c r="V160" s="103">
        <v>25.839287462073017</v>
      </c>
      <c r="W160" s="103">
        <v>125.89254117941667</v>
      </c>
      <c r="X160" s="103">
        <v>117.45130664578643</v>
      </c>
      <c r="Y160" s="162">
        <v>7</v>
      </c>
      <c r="Z160" s="56">
        <v>1.92</v>
      </c>
      <c r="AA160" s="56"/>
      <c r="AB160" s="56">
        <v>1.8</v>
      </c>
      <c r="AC160" s="56">
        <v>0.83069999999999999</v>
      </c>
      <c r="AD160" s="56">
        <v>1.76</v>
      </c>
      <c r="AE160" s="56">
        <v>1.68</v>
      </c>
      <c r="AF160" s="56">
        <f t="shared" ref="AF160:AF165" si="63">IF(AA160=0,AD160,AA160)</f>
        <v>1.76</v>
      </c>
      <c r="AG160" s="57">
        <v>1.83</v>
      </c>
      <c r="AH160" s="103">
        <v>2.6800000000000001E-3</v>
      </c>
      <c r="AI160" s="103">
        <v>1.64E-3</v>
      </c>
      <c r="AJ160" s="62">
        <f t="shared" si="62"/>
        <v>-0.96043153228386291</v>
      </c>
      <c r="AK160" s="62">
        <f>LOG10(AI160*1000/(0.08206*298.15))</f>
        <v>-1.173722478264954</v>
      </c>
      <c r="AL160" s="62">
        <f t="shared" si="60"/>
        <v>-1.173722478264954</v>
      </c>
      <c r="AM160" s="62">
        <v>-1.4995500000000002</v>
      </c>
      <c r="AN160" s="154">
        <v>-1.1100000000000001</v>
      </c>
      <c r="AO160" s="410"/>
      <c r="AP160" s="410"/>
      <c r="AQ160" s="56" t="s">
        <v>6311</v>
      </c>
      <c r="AR160" s="56" t="s">
        <v>6311</v>
      </c>
      <c r="AS160" s="155" t="s">
        <v>2156</v>
      </c>
      <c r="AT160" s="58" t="s">
        <v>266</v>
      </c>
      <c r="AU160" s="56">
        <v>3</v>
      </c>
      <c r="AV160" s="56">
        <v>120</v>
      </c>
      <c r="AW160" s="56">
        <v>120</v>
      </c>
      <c r="AX160" s="56">
        <v>25</v>
      </c>
      <c r="AY160" s="56" t="s">
        <v>8722</v>
      </c>
      <c r="AZ160" s="56" t="s">
        <v>2157</v>
      </c>
      <c r="BA160" s="56">
        <v>45</v>
      </c>
      <c r="BB160" s="55" t="s">
        <v>2158</v>
      </c>
      <c r="BC160" s="55" t="s">
        <v>2159</v>
      </c>
      <c r="BD160" s="55"/>
      <c r="BE160" s="56" t="s">
        <v>271</v>
      </c>
      <c r="BF160" s="56" t="s">
        <v>272</v>
      </c>
      <c r="BG160" s="56" t="s">
        <v>272</v>
      </c>
      <c r="BH160" s="56" t="s">
        <v>272</v>
      </c>
      <c r="BI160" s="103">
        <v>2.5</v>
      </c>
      <c r="BJ160" s="103">
        <v>40</v>
      </c>
      <c r="BK160" s="56"/>
      <c r="BL160" s="103">
        <f t="shared" si="57"/>
        <v>0.96927720650321159</v>
      </c>
      <c r="BM160" s="56">
        <v>0</v>
      </c>
      <c r="BN160" s="56"/>
      <c r="BO160" s="56"/>
      <c r="BP160" s="56"/>
      <c r="BQ160" s="56"/>
      <c r="BR160" s="56">
        <f>(12+16)/2</f>
        <v>14</v>
      </c>
      <c r="BS160" s="56"/>
      <c r="BT160" s="56"/>
      <c r="BU160" s="158"/>
      <c r="BV160" s="56"/>
      <c r="BW160" s="56"/>
      <c r="BX160" s="56"/>
      <c r="BY160" s="56"/>
      <c r="BZ160" s="56"/>
      <c r="CA160" s="56"/>
      <c r="CB160" s="56"/>
      <c r="CC160" s="56"/>
      <c r="CD160" s="56"/>
      <c r="CE160" s="56"/>
      <c r="CF160" s="56"/>
      <c r="CG160" s="56"/>
      <c r="CH160" s="56"/>
      <c r="CI160" s="103">
        <f t="shared" si="53"/>
        <v>14</v>
      </c>
      <c r="CJ160" s="103">
        <f t="shared" si="54"/>
        <v>1.146128035678238</v>
      </c>
      <c r="CK160" s="57">
        <f t="shared" si="58"/>
        <v>2.4231930162580288E-2</v>
      </c>
      <c r="CL160" s="160">
        <f t="shared" si="61"/>
        <v>6.9234086178800822E-2</v>
      </c>
      <c r="CM160" s="160"/>
      <c r="CN160" s="160"/>
      <c r="CO160" s="55"/>
      <c r="CP160" s="55" t="s">
        <v>2160</v>
      </c>
      <c r="CQ160" s="149" t="s">
        <v>272</v>
      </c>
      <c r="CR160" s="349"/>
      <c r="CS160" s="61" t="s">
        <v>539</v>
      </c>
      <c r="CT160" s="61"/>
      <c r="CU160" s="111">
        <f t="shared" si="50"/>
        <v>8.389379046127603</v>
      </c>
      <c r="CV160" s="331">
        <f t="shared" si="59"/>
        <v>2.9362826661446606</v>
      </c>
      <c r="CW160" s="326">
        <f t="shared" si="55"/>
        <v>1</v>
      </c>
      <c r="CX160" s="326"/>
      <c r="CY160" s="161" t="s">
        <v>6351</v>
      </c>
    </row>
    <row r="161" spans="1:103" ht="11.25" customHeight="1" x14ac:dyDescent="0.2">
      <c r="A161" s="72">
        <v>159</v>
      </c>
      <c r="B161" s="149">
        <v>307</v>
      </c>
      <c r="C161" s="54" t="s">
        <v>1209</v>
      </c>
      <c r="D161" s="54" t="s">
        <v>6588</v>
      </c>
      <c r="E161" s="59"/>
      <c r="F161" s="59" t="s">
        <v>1210</v>
      </c>
      <c r="G161" s="151">
        <v>142459583</v>
      </c>
      <c r="H161" s="55" t="s">
        <v>1211</v>
      </c>
      <c r="I161" s="55" t="s">
        <v>8175</v>
      </c>
      <c r="J161" s="55" t="s">
        <v>1212</v>
      </c>
      <c r="K161" s="55" t="s">
        <v>471</v>
      </c>
      <c r="L161" s="55" t="s">
        <v>5248</v>
      </c>
      <c r="M161" s="55" t="s">
        <v>6157</v>
      </c>
      <c r="N161" s="60" t="s">
        <v>6082</v>
      </c>
      <c r="O161" s="55" t="s">
        <v>5986</v>
      </c>
      <c r="P161" s="67"/>
      <c r="Q161" s="67"/>
      <c r="R161" s="67"/>
      <c r="S161" s="67"/>
      <c r="T161" s="56">
        <v>363.33</v>
      </c>
      <c r="U161" s="103">
        <v>0.15412985440233398</v>
      </c>
      <c r="V161" s="103">
        <v>2.6191065973082323E-2</v>
      </c>
      <c r="W161" s="103">
        <v>5.8884365535558803E-3</v>
      </c>
      <c r="X161" s="103">
        <v>0.15412985440233398</v>
      </c>
      <c r="Y161" s="162">
        <v>7</v>
      </c>
      <c r="Z161" s="56">
        <v>2.39</v>
      </c>
      <c r="AA161" s="56">
        <v>3.2</v>
      </c>
      <c r="AB161" s="56">
        <v>2.75</v>
      </c>
      <c r="AC161" s="56">
        <v>0.77400000000000002</v>
      </c>
      <c r="AD161" s="56">
        <v>3.01</v>
      </c>
      <c r="AE161" s="56">
        <v>3.98</v>
      </c>
      <c r="AF161" s="56">
        <f t="shared" si="63"/>
        <v>3.2</v>
      </c>
      <c r="AG161" s="57">
        <v>3.86</v>
      </c>
      <c r="AH161" s="103">
        <v>1.9999999999999999E-11</v>
      </c>
      <c r="AI161" s="103">
        <v>5.76E-9</v>
      </c>
      <c r="AJ161" s="62">
        <f t="shared" si="62"/>
        <v>-9.0875363306486712</v>
      </c>
      <c r="AK161" s="62">
        <f>LOG10(AI161*1000/(0.08206*298.15))</f>
        <v>-6.6281438428894397</v>
      </c>
      <c r="AL161" s="62">
        <f t="shared" si="60"/>
        <v>-6.6281438428894397</v>
      </c>
      <c r="AM161" s="62">
        <v>-13.380149999999999</v>
      </c>
      <c r="AN161" s="154">
        <v>-8.35</v>
      </c>
      <c r="AO161" s="410"/>
      <c r="AP161" s="410">
        <v>0.31</v>
      </c>
      <c r="AQ161" s="154" t="s">
        <v>6311</v>
      </c>
      <c r="AR161" s="154" t="s">
        <v>6311</v>
      </c>
      <c r="AS161" s="149" t="s">
        <v>6</v>
      </c>
      <c r="AT161" s="58" t="s">
        <v>266</v>
      </c>
      <c r="AU161" s="56">
        <v>8</v>
      </c>
      <c r="AV161" s="56">
        <v>144</v>
      </c>
      <c r="AW161" s="56">
        <v>120</v>
      </c>
      <c r="AX161" s="56">
        <v>26</v>
      </c>
      <c r="AY161" s="56" t="s">
        <v>267</v>
      </c>
      <c r="AZ161" s="56" t="s">
        <v>268</v>
      </c>
      <c r="BA161" s="56">
        <v>2</v>
      </c>
      <c r="BB161" s="55" t="s">
        <v>888</v>
      </c>
      <c r="BC161" s="55" t="s">
        <v>270</v>
      </c>
      <c r="BD161" s="55" t="s">
        <v>8374</v>
      </c>
      <c r="BE161" s="56" t="s">
        <v>889</v>
      </c>
      <c r="BF161" s="56" t="s">
        <v>272</v>
      </c>
      <c r="BG161" s="56" t="s">
        <v>272</v>
      </c>
      <c r="BH161" s="56" t="s">
        <v>890</v>
      </c>
      <c r="BI161" s="103">
        <v>9.9999999999999995E-7</v>
      </c>
      <c r="BJ161" s="103">
        <v>0.08</v>
      </c>
      <c r="BK161" s="56"/>
      <c r="BL161" s="103">
        <f t="shared" si="57"/>
        <v>0.36672540764426181</v>
      </c>
      <c r="BM161" s="56" t="s">
        <v>891</v>
      </c>
      <c r="BN161" s="162"/>
      <c r="BO161" s="162"/>
      <c r="BP161" s="162"/>
      <c r="BQ161" s="162"/>
      <c r="BR161" s="162"/>
      <c r="BS161" s="56">
        <v>4.6164921748011227E-2</v>
      </c>
      <c r="BT161" s="162"/>
      <c r="BU161" s="158"/>
      <c r="BV161" s="162"/>
      <c r="BW161" s="162"/>
      <c r="BX161" s="162"/>
      <c r="BY161" s="162"/>
      <c r="BZ161" s="162"/>
      <c r="CA161" s="162"/>
      <c r="CB161" s="162"/>
      <c r="CC161" s="56"/>
      <c r="CD161" s="56"/>
      <c r="CE161" s="56"/>
      <c r="CF161" s="56"/>
      <c r="CG161" s="56"/>
      <c r="CH161" s="56"/>
      <c r="CI161" s="103">
        <f t="shared" si="53"/>
        <v>4.6164921748011227E-2</v>
      </c>
      <c r="CJ161" s="103">
        <f t="shared" si="54"/>
        <v>-1.3356878962548966</v>
      </c>
      <c r="CK161" s="57">
        <f t="shared" si="58"/>
        <v>4.5840675955532726</v>
      </c>
      <c r="CL161" s="160">
        <f t="shared" si="61"/>
        <v>7.9438108797413971</v>
      </c>
      <c r="CM161" s="160">
        <v>-2.1931414184201357</v>
      </c>
      <c r="CN161" s="160">
        <f>BJ161/(10^CM161)</f>
        <v>12.480483355173439</v>
      </c>
      <c r="CO161" s="55" t="s">
        <v>892</v>
      </c>
      <c r="CP161" s="55" t="s">
        <v>893</v>
      </c>
      <c r="CQ161" s="149">
        <v>-2.0494117701169925</v>
      </c>
      <c r="CR161" s="349">
        <f>10^(CJ161-CQ161)</f>
        <v>5.1727784009141686</v>
      </c>
      <c r="CS161" s="61" t="s">
        <v>539</v>
      </c>
      <c r="CT161" s="61"/>
      <c r="CU161" s="111">
        <f t="shared" si="50"/>
        <v>3.3386789918900677</v>
      </c>
      <c r="CV161" s="331">
        <f t="shared" si="59"/>
        <v>1.9266231800291747</v>
      </c>
      <c r="CW161" s="326">
        <f t="shared" si="55"/>
        <v>1</v>
      </c>
      <c r="CX161" s="326" t="s">
        <v>539</v>
      </c>
      <c r="CY161" s="161" t="s">
        <v>5921</v>
      </c>
    </row>
    <row r="162" spans="1:103" ht="11.25" customHeight="1" x14ac:dyDescent="0.2">
      <c r="A162" s="72">
        <v>160</v>
      </c>
      <c r="B162" s="149">
        <v>441</v>
      </c>
      <c r="C162" s="54" t="s">
        <v>1460</v>
      </c>
      <c r="D162" s="54" t="s">
        <v>6582</v>
      </c>
      <c r="E162" s="59"/>
      <c r="F162" s="59" t="s">
        <v>1461</v>
      </c>
      <c r="G162" s="151">
        <v>122836355</v>
      </c>
      <c r="H162" s="55" t="s">
        <v>1462</v>
      </c>
      <c r="I162" s="55" t="s">
        <v>8164</v>
      </c>
      <c r="J162" s="55" t="s">
        <v>1463</v>
      </c>
      <c r="K162" s="55" t="s">
        <v>483</v>
      </c>
      <c r="L162" s="55" t="s">
        <v>5955</v>
      </c>
      <c r="M162" s="55" t="s">
        <v>6166</v>
      </c>
      <c r="N162" s="60" t="s">
        <v>6082</v>
      </c>
      <c r="O162" s="55" t="s">
        <v>5957</v>
      </c>
      <c r="P162" s="67"/>
      <c r="Q162" s="67"/>
      <c r="R162" s="67"/>
      <c r="S162" s="67"/>
      <c r="T162" s="56">
        <v>387.19</v>
      </c>
      <c r="U162" s="103">
        <v>2.0145148376765931</v>
      </c>
      <c r="V162" s="103">
        <v>1.3546320927709909</v>
      </c>
      <c r="W162" s="103">
        <v>2.1877616239495499</v>
      </c>
      <c r="X162" s="103">
        <v>2.0145148376765931</v>
      </c>
      <c r="Y162" s="162">
        <v>4.67</v>
      </c>
      <c r="Z162" s="56">
        <v>2.65</v>
      </c>
      <c r="AA162" s="56">
        <v>0.99</v>
      </c>
      <c r="AB162" s="56">
        <v>2.34</v>
      </c>
      <c r="AC162" s="56">
        <v>0.54120000000000001</v>
      </c>
      <c r="AD162" s="56">
        <v>2.29</v>
      </c>
      <c r="AE162" s="56">
        <v>2.21</v>
      </c>
      <c r="AF162" s="56">
        <f t="shared" si="63"/>
        <v>0.99</v>
      </c>
      <c r="AG162" s="57">
        <v>3.27</v>
      </c>
      <c r="AH162" s="103">
        <v>5.02E-12</v>
      </c>
      <c r="AI162" s="103">
        <v>6.3700000000000001E-13</v>
      </c>
      <c r="AJ162" s="62">
        <f t="shared" si="62"/>
        <v>-9.6878626091676328</v>
      </c>
      <c r="AK162" s="62">
        <f>LOG10(AI162*1000/(0.08206*298.15))</f>
        <v>-10.584426893977302</v>
      </c>
      <c r="AL162" s="62">
        <f t="shared" si="60"/>
        <v>-10.584426893977302</v>
      </c>
      <c r="AM162" s="62">
        <v>-18.46264</v>
      </c>
      <c r="AN162" s="154">
        <v>-8.83</v>
      </c>
      <c r="AO162" s="410">
        <v>6.68</v>
      </c>
      <c r="AP162" s="410">
        <v>-3.21</v>
      </c>
      <c r="AQ162" s="154" t="s">
        <v>6311</v>
      </c>
      <c r="AR162" s="154" t="s">
        <v>6311</v>
      </c>
      <c r="AS162" s="149" t="s">
        <v>6</v>
      </c>
      <c r="AT162" s="58" t="s">
        <v>266</v>
      </c>
      <c r="AU162" s="56">
        <v>8</v>
      </c>
      <c r="AV162" s="56">
        <v>144</v>
      </c>
      <c r="AW162" s="56">
        <v>120</v>
      </c>
      <c r="AX162" s="56">
        <v>26</v>
      </c>
      <c r="AY162" s="56" t="s">
        <v>267</v>
      </c>
      <c r="AZ162" s="56" t="s">
        <v>268</v>
      </c>
      <c r="BA162" s="56">
        <v>2</v>
      </c>
      <c r="BB162" s="55" t="s">
        <v>888</v>
      </c>
      <c r="BC162" s="55" t="s">
        <v>270</v>
      </c>
      <c r="BD162" s="55" t="s">
        <v>8374</v>
      </c>
      <c r="BE162" s="56" t="s">
        <v>889</v>
      </c>
      <c r="BF162" s="56" t="s">
        <v>272</v>
      </c>
      <c r="BG162" s="56" t="s">
        <v>272</v>
      </c>
      <c r="BH162" s="56" t="s">
        <v>890</v>
      </c>
      <c r="BI162" s="103">
        <v>9.9999999999999995E-7</v>
      </c>
      <c r="BJ162" s="103">
        <v>0.08</v>
      </c>
      <c r="BK162" s="56"/>
      <c r="BL162" s="103">
        <f t="shared" si="57"/>
        <v>0.21420766147449449</v>
      </c>
      <c r="BM162" s="56" t="s">
        <v>891</v>
      </c>
      <c r="BN162" s="162"/>
      <c r="BO162" s="162"/>
      <c r="BP162" s="162"/>
      <c r="BQ162" s="162"/>
      <c r="BR162" s="162"/>
      <c r="BS162" s="56">
        <v>4.6164921748011227E-2</v>
      </c>
      <c r="BT162" s="162"/>
      <c r="BU162" s="158"/>
      <c r="BV162" s="162"/>
      <c r="BW162" s="162"/>
      <c r="BX162" s="162"/>
      <c r="BY162" s="162"/>
      <c r="BZ162" s="162"/>
      <c r="CA162" s="162"/>
      <c r="CB162" s="162"/>
      <c r="CC162" s="56"/>
      <c r="CD162" s="56"/>
      <c r="CE162" s="56"/>
      <c r="CF162" s="56"/>
      <c r="CG162" s="56"/>
      <c r="CH162" s="56"/>
      <c r="CI162" s="103">
        <f t="shared" si="53"/>
        <v>4.6164921748011227E-2</v>
      </c>
      <c r="CJ162" s="103">
        <f t="shared" si="54"/>
        <v>-1.3356878962548966</v>
      </c>
      <c r="CK162" s="57">
        <f t="shared" si="58"/>
        <v>2.6775957684311811</v>
      </c>
      <c r="CL162" s="160">
        <f t="shared" si="61"/>
        <v>4.6400525196107907</v>
      </c>
      <c r="CM162" s="160">
        <v>-0.61572129382934371</v>
      </c>
      <c r="CN162" s="160">
        <f>BJ162/(10^CM162)</f>
        <v>0.33022601279317698</v>
      </c>
      <c r="CO162" s="55" t="s">
        <v>892</v>
      </c>
      <c r="CP162" s="55" t="s">
        <v>893</v>
      </c>
      <c r="CQ162" s="149">
        <v>-0.61572129382934371</v>
      </c>
      <c r="CR162" s="349">
        <f>10^(CJ162-CQ162)</f>
        <v>0.19056072549693456</v>
      </c>
      <c r="CS162" s="61" t="s">
        <v>539</v>
      </c>
      <c r="CT162" s="61"/>
      <c r="CU162" s="111">
        <f t="shared" si="50"/>
        <v>43.637349775500873</v>
      </c>
      <c r="CV162" s="331">
        <f t="shared" si="59"/>
        <v>25.181435470957414</v>
      </c>
      <c r="CW162" s="326">
        <f t="shared" si="55"/>
        <v>1</v>
      </c>
      <c r="CX162" s="326" t="s">
        <v>539</v>
      </c>
      <c r="CY162" s="161" t="s">
        <v>5921</v>
      </c>
    </row>
    <row r="163" spans="1:103" ht="11.25" customHeight="1" x14ac:dyDescent="0.2">
      <c r="A163" s="72">
        <v>161</v>
      </c>
      <c r="B163" s="149">
        <v>456</v>
      </c>
      <c r="C163" s="54" t="s">
        <v>1491</v>
      </c>
      <c r="D163" s="54" t="s">
        <v>6579</v>
      </c>
      <c r="E163" s="59"/>
      <c r="F163" s="59" t="s">
        <v>1492</v>
      </c>
      <c r="G163" s="151">
        <v>117718602</v>
      </c>
      <c r="H163" s="55" t="s">
        <v>1493</v>
      </c>
      <c r="I163" s="55" t="s">
        <v>1493</v>
      </c>
      <c r="J163" s="55" t="s">
        <v>1494</v>
      </c>
      <c r="K163" s="55" t="s">
        <v>357</v>
      </c>
      <c r="L163" s="55" t="s">
        <v>5248</v>
      </c>
      <c r="M163" s="55" t="s">
        <v>6082</v>
      </c>
      <c r="N163" s="60" t="s">
        <v>6082</v>
      </c>
      <c r="O163" s="55" t="s">
        <v>6083</v>
      </c>
      <c r="P163" s="67"/>
      <c r="Q163" s="67"/>
      <c r="R163" s="67"/>
      <c r="S163" s="67"/>
      <c r="T163" s="56">
        <v>396.38</v>
      </c>
      <c r="U163" s="103">
        <v>6.3070790655431657E-3</v>
      </c>
      <c r="V163" s="103">
        <v>3.8750693778697213E-3</v>
      </c>
      <c r="W163" s="103">
        <v>5.4954087385762386E-3</v>
      </c>
      <c r="X163" s="103">
        <v>6.3070790655431657E-3</v>
      </c>
      <c r="Y163" s="162">
        <v>7</v>
      </c>
      <c r="Z163" s="56">
        <v>5.76</v>
      </c>
      <c r="AA163" s="56">
        <v>3.89</v>
      </c>
      <c r="AB163" s="56">
        <v>4.1900000000000004</v>
      </c>
      <c r="AC163" s="56">
        <v>0.74739999999999995</v>
      </c>
      <c r="AD163" s="56">
        <v>4.07</v>
      </c>
      <c r="AE163" s="56">
        <v>3.52</v>
      </c>
      <c r="AF163" s="56">
        <f t="shared" si="63"/>
        <v>3.89</v>
      </c>
      <c r="AG163" s="57">
        <v>4.3899999999999997</v>
      </c>
      <c r="AH163" s="103">
        <v>1.5199999999999999E-9</v>
      </c>
      <c r="AI163" s="103">
        <v>4.6899999999999998E-7</v>
      </c>
      <c r="AJ163" s="62">
        <f t="shared" si="62"/>
        <v>-7.2067227383678789</v>
      </c>
      <c r="AK163" s="62">
        <f>LOG10(AI163*1000/(0.08206*298.15))</f>
        <v>-4.7173934835975686</v>
      </c>
      <c r="AL163" s="62">
        <f t="shared" si="60"/>
        <v>-4.7173934835975686</v>
      </c>
      <c r="AM163" s="62">
        <v>-8.0473999999999997</v>
      </c>
      <c r="AN163" s="154">
        <v>-5.55</v>
      </c>
      <c r="AO163" s="410"/>
      <c r="AP163" s="410">
        <v>0.78</v>
      </c>
      <c r="AQ163" s="154" t="s">
        <v>6311</v>
      </c>
      <c r="AR163" s="154" t="s">
        <v>6312</v>
      </c>
      <c r="AS163" s="149" t="s">
        <v>6</v>
      </c>
      <c r="AT163" s="58" t="s">
        <v>266</v>
      </c>
      <c r="AU163" s="56">
        <v>8</v>
      </c>
      <c r="AV163" s="56">
        <v>144</v>
      </c>
      <c r="AW163" s="56">
        <v>120</v>
      </c>
      <c r="AX163" s="56">
        <v>26</v>
      </c>
      <c r="AY163" s="56" t="s">
        <v>267</v>
      </c>
      <c r="AZ163" s="56" t="s">
        <v>268</v>
      </c>
      <c r="BA163" s="56">
        <v>2</v>
      </c>
      <c r="BB163" s="55" t="s">
        <v>888</v>
      </c>
      <c r="BC163" s="55" t="s">
        <v>270</v>
      </c>
      <c r="BD163" s="55" t="s">
        <v>8374</v>
      </c>
      <c r="BE163" s="56" t="s">
        <v>889</v>
      </c>
      <c r="BF163" s="56" t="s">
        <v>272</v>
      </c>
      <c r="BG163" s="56" t="s">
        <v>272</v>
      </c>
      <c r="BH163" s="56" t="s">
        <v>890</v>
      </c>
      <c r="BI163" s="103">
        <v>9.9999999999999995E-7</v>
      </c>
      <c r="BJ163" s="103">
        <v>0.08</v>
      </c>
      <c r="BK163" s="56"/>
      <c r="BL163" s="103">
        <f t="shared" si="57"/>
        <v>3.4494035024253567E-4</v>
      </c>
      <c r="BM163" s="56" t="s">
        <v>891</v>
      </c>
      <c r="BN163" s="162"/>
      <c r="BO163" s="162"/>
      <c r="BP163" s="162"/>
      <c r="BQ163" s="162"/>
      <c r="BR163" s="162"/>
      <c r="BS163" s="56">
        <v>4.6164921748011227E-2</v>
      </c>
      <c r="BT163" s="162"/>
      <c r="BU163" s="158"/>
      <c r="BV163" s="162"/>
      <c r="BW163" s="162"/>
      <c r="BX163" s="162"/>
      <c r="BY163" s="162"/>
      <c r="BZ163" s="162"/>
      <c r="CA163" s="162"/>
      <c r="CB163" s="162"/>
      <c r="CC163" s="56"/>
      <c r="CD163" s="56"/>
      <c r="CE163" s="56"/>
      <c r="CF163" s="56"/>
      <c r="CG163" s="56"/>
      <c r="CH163" s="56"/>
      <c r="CI163" s="103">
        <f t="shared" si="53"/>
        <v>4.6164921748011227E-2</v>
      </c>
      <c r="CJ163" s="103">
        <f t="shared" si="54"/>
        <v>-1.3356878962548966</v>
      </c>
      <c r="CK163" s="57">
        <f t="shared" si="58"/>
        <v>4.3117543780316955E-3</v>
      </c>
      <c r="CL163" s="160">
        <f t="shared" si="61"/>
        <v>7.4719145442371645E-3</v>
      </c>
      <c r="CM163" s="160"/>
      <c r="CN163" s="160"/>
      <c r="CO163" s="55" t="s">
        <v>892</v>
      </c>
      <c r="CP163" s="55" t="s">
        <v>893</v>
      </c>
      <c r="CQ163" s="149">
        <v>-2.0603382526327021</v>
      </c>
      <c r="CR163" s="349">
        <f>10^(CJ163-CQ163)</f>
        <v>5.3045720956000295</v>
      </c>
      <c r="CS163" s="61" t="s">
        <v>539</v>
      </c>
      <c r="CT163" s="61"/>
      <c r="CU163" s="111">
        <f t="shared" si="50"/>
        <v>0.13662059474442567</v>
      </c>
      <c r="CV163" s="331">
        <f t="shared" si="59"/>
        <v>7.8838488319289565E-2</v>
      </c>
      <c r="CW163" s="326">
        <f t="shared" si="55"/>
        <v>0</v>
      </c>
      <c r="CX163" s="326" t="s">
        <v>539</v>
      </c>
      <c r="CY163" s="161" t="s">
        <v>5921</v>
      </c>
    </row>
    <row r="164" spans="1:103" ht="11.25" customHeight="1" x14ac:dyDescent="0.2">
      <c r="A164" s="72">
        <v>162</v>
      </c>
      <c r="B164" s="149">
        <v>997</v>
      </c>
      <c r="C164" s="54" t="s">
        <v>2844</v>
      </c>
      <c r="D164" s="54" t="s">
        <v>6458</v>
      </c>
      <c r="E164" s="59"/>
      <c r="F164" s="59" t="s">
        <v>1608</v>
      </c>
      <c r="G164" s="151">
        <v>98544</v>
      </c>
      <c r="H164" s="55" t="s">
        <v>1609</v>
      </c>
      <c r="I164" s="55" t="s">
        <v>1609</v>
      </c>
      <c r="J164" s="55" t="s">
        <v>1610</v>
      </c>
      <c r="K164" s="55" t="s">
        <v>349</v>
      </c>
      <c r="L164" s="55"/>
      <c r="M164" s="60" t="s">
        <v>6082</v>
      </c>
      <c r="N164" s="60" t="s">
        <v>6082</v>
      </c>
      <c r="O164" s="55"/>
      <c r="P164" s="67" t="s">
        <v>6184</v>
      </c>
      <c r="Q164" s="67" t="s">
        <v>6173</v>
      </c>
      <c r="R164" s="67" t="s">
        <v>6185</v>
      </c>
      <c r="S164" s="67" t="s">
        <v>6176</v>
      </c>
      <c r="T164" s="56">
        <v>150.22</v>
      </c>
      <c r="U164" s="103">
        <v>3.8610038610038608</v>
      </c>
      <c r="V164" s="103">
        <v>2.8551457861802687</v>
      </c>
      <c r="W164" s="103">
        <v>7.9432823472428122</v>
      </c>
      <c r="X164" s="103">
        <v>3.8610038610038608</v>
      </c>
      <c r="Y164" s="162">
        <v>6.11</v>
      </c>
      <c r="Z164" s="56">
        <v>3.42</v>
      </c>
      <c r="AA164" s="56">
        <v>3.31</v>
      </c>
      <c r="AB164" s="56">
        <v>3.4</v>
      </c>
      <c r="AC164" s="56">
        <v>0.93430000000000002</v>
      </c>
      <c r="AD164" s="56">
        <v>3.36</v>
      </c>
      <c r="AE164" s="56">
        <v>3.17</v>
      </c>
      <c r="AF164" s="56">
        <f t="shared" si="63"/>
        <v>3.31</v>
      </c>
      <c r="AG164" s="57">
        <v>3.12</v>
      </c>
      <c r="AH164" s="103">
        <v>1.4500000000000001E-6</v>
      </c>
      <c r="AI164" s="103">
        <v>1.19E-6</v>
      </c>
      <c r="AJ164" s="62">
        <f t="shared" si="62"/>
        <v>-4.2271983240776771</v>
      </c>
      <c r="AK164" s="62">
        <f>LOG10(AI164*1000/(0.08206*298.15))</f>
        <v>-4.3130193649201214</v>
      </c>
      <c r="AL164" s="62">
        <f t="shared" si="60"/>
        <v>-4.3130193649201214</v>
      </c>
      <c r="AM164" s="62">
        <v>-6.7175700000000003</v>
      </c>
      <c r="AN164" s="154">
        <v>-4.28</v>
      </c>
      <c r="AO164" s="410">
        <v>10.130000000000001</v>
      </c>
      <c r="AP164" s="410"/>
      <c r="AQ164" s="56" t="s">
        <v>6311</v>
      </c>
      <c r="AR164" s="56" t="s">
        <v>6311</v>
      </c>
      <c r="AS164" s="155"/>
      <c r="AT164" s="58" t="s">
        <v>266</v>
      </c>
      <c r="AU164" s="56">
        <v>6</v>
      </c>
      <c r="AV164" s="56">
        <v>120</v>
      </c>
      <c r="AW164" s="56">
        <v>114</v>
      </c>
      <c r="AX164" s="56">
        <v>28</v>
      </c>
      <c r="AY164" s="56" t="s">
        <v>8728</v>
      </c>
      <c r="AZ164" s="56" t="s">
        <v>1563</v>
      </c>
      <c r="BA164" s="56">
        <v>32</v>
      </c>
      <c r="BB164" s="55" t="s">
        <v>2485</v>
      </c>
      <c r="BC164" s="55" t="s">
        <v>8726</v>
      </c>
      <c r="BD164" s="55" t="s">
        <v>8374</v>
      </c>
      <c r="BE164" s="56" t="s">
        <v>2449</v>
      </c>
      <c r="BF164" s="56" t="s">
        <v>272</v>
      </c>
      <c r="BG164" s="56" t="s">
        <v>272</v>
      </c>
      <c r="BH164" s="56" t="s">
        <v>2486</v>
      </c>
      <c r="BI164" s="103">
        <v>6.3999999999999997E-6</v>
      </c>
      <c r="BJ164" s="103">
        <v>6.4000000000000001E-2</v>
      </c>
      <c r="BK164" s="56"/>
      <c r="BL164" s="103">
        <f t="shared" si="57"/>
        <v>4.3581081157315266E-2</v>
      </c>
      <c r="BM164" s="56" t="s">
        <v>2487</v>
      </c>
      <c r="BN164" s="56"/>
      <c r="BO164" s="56"/>
      <c r="BP164" s="56"/>
      <c r="BQ164" s="56"/>
      <c r="BR164" s="55">
        <v>4.3799999999999999E-2</v>
      </c>
      <c r="BS164" s="56"/>
      <c r="BT164" s="56"/>
      <c r="BU164" s="158"/>
      <c r="BV164" s="56"/>
      <c r="BW164" s="56"/>
      <c r="BX164" s="56"/>
      <c r="BY164" s="56"/>
      <c r="BZ164" s="56"/>
      <c r="CA164" s="56"/>
      <c r="CB164" s="56"/>
      <c r="CC164" s="56"/>
      <c r="CD164" s="56"/>
      <c r="CE164" s="56"/>
      <c r="CF164" s="56"/>
      <c r="CG164" s="56"/>
      <c r="CH164" s="56"/>
      <c r="CI164" s="103">
        <f t="shared" si="53"/>
        <v>4.3799999999999999E-2</v>
      </c>
      <c r="CJ164" s="103">
        <f t="shared" si="54"/>
        <v>-1.3585258894959005</v>
      </c>
      <c r="CK164" s="57">
        <f t="shared" si="58"/>
        <v>0.68095439308305106</v>
      </c>
      <c r="CL164" s="160">
        <f t="shared" si="61"/>
        <v>0.99500185290674126</v>
      </c>
      <c r="CM164" s="160">
        <v>-1.4635250671988587</v>
      </c>
      <c r="CN164" s="160">
        <f>BJ164/(10^CM164)</f>
        <v>1.8608228964483857</v>
      </c>
      <c r="CO164" s="55" t="s">
        <v>2488</v>
      </c>
      <c r="CP164" s="55" t="s">
        <v>2489</v>
      </c>
      <c r="CQ164" s="149">
        <v>-1.4635250671988587</v>
      </c>
      <c r="CR164" s="349">
        <f>10^(CJ164-CQ164)</f>
        <v>1.2735006697568634</v>
      </c>
      <c r="CS164" s="61" t="s">
        <v>539</v>
      </c>
      <c r="CT164" s="61"/>
      <c r="CU164" s="111">
        <f t="shared" si="50"/>
        <v>88.150773082279926</v>
      </c>
      <c r="CV164" s="331">
        <f t="shared" si="59"/>
        <v>60.328185328185327</v>
      </c>
      <c r="CW164" s="326">
        <f t="shared" si="55"/>
        <v>1</v>
      </c>
      <c r="CX164" s="326"/>
      <c r="CY164" s="161" t="s">
        <v>6351</v>
      </c>
    </row>
    <row r="165" spans="1:103" ht="11.25" customHeight="1" x14ac:dyDescent="0.2">
      <c r="A165" s="72">
        <v>163</v>
      </c>
      <c r="B165" s="149">
        <v>1235</v>
      </c>
      <c r="C165" s="54" t="s">
        <v>3400</v>
      </c>
      <c r="D165" s="54"/>
      <c r="E165" s="59"/>
      <c r="F165" s="59" t="s">
        <v>3401</v>
      </c>
      <c r="G165" s="151">
        <v>754916</v>
      </c>
      <c r="H165" s="55" t="s">
        <v>3402</v>
      </c>
      <c r="I165" s="55" t="s">
        <v>3402</v>
      </c>
      <c r="J165" s="55" t="s">
        <v>3403</v>
      </c>
      <c r="K165" s="55" t="s">
        <v>471</v>
      </c>
      <c r="L165" s="55"/>
      <c r="M165" s="55"/>
      <c r="N165" s="60"/>
      <c r="O165" s="55"/>
      <c r="P165" s="67"/>
      <c r="Q165" s="67"/>
      <c r="R165" s="67"/>
      <c r="S165" s="67"/>
      <c r="T165" s="56">
        <v>499.15</v>
      </c>
      <c r="U165" s="103"/>
      <c r="V165" s="103">
        <v>1.6125413202444156E-5</v>
      </c>
      <c r="W165" s="103">
        <v>2.344228815319913E-7</v>
      </c>
      <c r="X165" s="103">
        <f>IF(W165=0,V165,W165)</f>
        <v>2.344228815319913E-7</v>
      </c>
      <c r="Y165" s="162">
        <v>7</v>
      </c>
      <c r="Z165" s="56">
        <v>5.8</v>
      </c>
      <c r="AA165" s="56"/>
      <c r="AB165" s="56">
        <v>4.6399999999999997</v>
      </c>
      <c r="AC165" s="56">
        <v>0.61199999999999999</v>
      </c>
      <c r="AD165" s="56">
        <v>5.53</v>
      </c>
      <c r="AE165" s="56">
        <v>7.64</v>
      </c>
      <c r="AF165" s="56">
        <f t="shared" si="63"/>
        <v>5.53</v>
      </c>
      <c r="AG165" s="57">
        <v>3.92</v>
      </c>
      <c r="AH165" s="103">
        <v>1.84</v>
      </c>
      <c r="AI165" s="103"/>
      <c r="AJ165" s="62">
        <f t="shared" si="62"/>
        <v>1.8762514966968846</v>
      </c>
      <c r="AK165" s="62"/>
      <c r="AL165" s="62">
        <f t="shared" si="60"/>
        <v>1.8762514966968846</v>
      </c>
      <c r="AM165" s="62">
        <v>-4.2247399999999997</v>
      </c>
      <c r="AN165" s="154">
        <v>-11.1</v>
      </c>
      <c r="AO165" s="410">
        <v>7.01</v>
      </c>
      <c r="AP165" s="410">
        <v>-9.39</v>
      </c>
      <c r="AQ165" s="56" t="s">
        <v>6311</v>
      </c>
      <c r="AR165" s="56" t="s">
        <v>6311</v>
      </c>
      <c r="AS165" s="155"/>
      <c r="AT165" s="58" t="s">
        <v>266</v>
      </c>
      <c r="AU165" s="56">
        <v>6</v>
      </c>
      <c r="AV165" s="56">
        <v>120</v>
      </c>
      <c r="AW165" s="56">
        <v>114</v>
      </c>
      <c r="AX165" s="56">
        <v>28</v>
      </c>
      <c r="AY165" s="56" t="s">
        <v>8728</v>
      </c>
      <c r="AZ165" s="56" t="s">
        <v>1563</v>
      </c>
      <c r="BA165" s="56">
        <v>32</v>
      </c>
      <c r="BB165" s="55" t="s">
        <v>2485</v>
      </c>
      <c r="BC165" s="55" t="s">
        <v>8726</v>
      </c>
      <c r="BD165" s="55" t="s">
        <v>8374</v>
      </c>
      <c r="BE165" s="56" t="s">
        <v>2449</v>
      </c>
      <c r="BF165" s="56" t="s">
        <v>272</v>
      </c>
      <c r="BG165" s="56" t="s">
        <v>272</v>
      </c>
      <c r="BH165" s="56" t="s">
        <v>2486</v>
      </c>
      <c r="BI165" s="103">
        <v>6.3999999999999997E-6</v>
      </c>
      <c r="BJ165" s="103">
        <v>6.4000000000000001E-2</v>
      </c>
      <c r="BK165" s="56"/>
      <c r="BL165" s="103">
        <f t="shared" si="57"/>
        <v>3.1755576393582429E-4</v>
      </c>
      <c r="BM165" s="56" t="s">
        <v>2046</v>
      </c>
      <c r="BN165" s="56"/>
      <c r="BO165" s="56"/>
      <c r="BP165" s="56"/>
      <c r="BQ165" s="56"/>
      <c r="BR165" s="55">
        <v>2.0238577000000001E-2</v>
      </c>
      <c r="BS165" s="56"/>
      <c r="BT165" s="56"/>
      <c r="BU165" s="158"/>
      <c r="BV165" s="56"/>
      <c r="BW165" s="56"/>
      <c r="BX165" s="56"/>
      <c r="BY165" s="56"/>
      <c r="BZ165" s="56"/>
      <c r="CA165" s="56"/>
      <c r="CB165" s="56"/>
      <c r="CC165" s="56"/>
      <c r="CD165" s="56"/>
      <c r="CE165" s="56"/>
      <c r="CF165" s="56"/>
      <c r="CG165" s="56"/>
      <c r="CH165" s="56"/>
      <c r="CI165" s="103">
        <f t="shared" si="53"/>
        <v>2.0238577000000001E-2</v>
      </c>
      <c r="CJ165" s="103">
        <f t="shared" si="54"/>
        <v>-1.6938200265542473</v>
      </c>
      <c r="CK165" s="57">
        <f t="shared" si="58"/>
        <v>4.9618088114972547E-3</v>
      </c>
      <c r="CL165" s="160">
        <f t="shared" si="61"/>
        <v>1.5690617178066635E-2</v>
      </c>
      <c r="CM165" s="160"/>
      <c r="CN165" s="160"/>
      <c r="CO165" s="55" t="s">
        <v>2488</v>
      </c>
      <c r="CP165" s="55" t="s">
        <v>2489</v>
      </c>
      <c r="CQ165" s="149" t="s">
        <v>272</v>
      </c>
      <c r="CR165" s="349"/>
      <c r="CS165" s="61" t="s">
        <v>539</v>
      </c>
      <c r="CT165" s="61"/>
      <c r="CU165" s="111">
        <f t="shared" si="50"/>
        <v>1.1582972534679256E-5</v>
      </c>
      <c r="CV165" s="331">
        <f t="shared" si="59"/>
        <v>3.6628575239373638E-6</v>
      </c>
      <c r="CW165" s="326">
        <f t="shared" si="55"/>
        <v>0</v>
      </c>
      <c r="CX165" s="326"/>
      <c r="CY165" s="161" t="s">
        <v>5921</v>
      </c>
    </row>
    <row r="166" spans="1:103" ht="11.25" customHeight="1" x14ac:dyDescent="0.2">
      <c r="A166" s="72">
        <v>164</v>
      </c>
      <c r="B166" s="149">
        <v>56</v>
      </c>
      <c r="C166" s="54" t="s">
        <v>512</v>
      </c>
      <c r="D166" s="54"/>
      <c r="E166" s="59"/>
      <c r="F166" s="150" t="str">
        <f>HYPERLINK("http://www.sigmaaldrich.com/catalog/Lookup.do?N5=CAS+No.&amp;N3=mode+matchpartialmax&amp;N4=834-28-6&amp;D7=0&amp;D10=&amp;N25=0&amp;N1=S_ID&amp;ST=RS&amp;F=PR","834-28-6")</f>
        <v>834-28-6</v>
      </c>
      <c r="G166" s="151">
        <v>834286</v>
      </c>
      <c r="H166" s="55" t="s">
        <v>513</v>
      </c>
      <c r="I166" s="55" t="s">
        <v>8299</v>
      </c>
      <c r="J166" s="55" t="s">
        <v>514</v>
      </c>
      <c r="K166" s="55" t="s">
        <v>300</v>
      </c>
      <c r="L166" s="64"/>
      <c r="M166" s="55"/>
      <c r="N166" s="60"/>
      <c r="O166" s="55"/>
      <c r="P166" s="67"/>
      <c r="Q166" s="67"/>
      <c r="R166" s="67"/>
      <c r="S166" s="67"/>
      <c r="T166" s="59">
        <v>241.72</v>
      </c>
      <c r="U166" s="153"/>
      <c r="V166" s="153">
        <v>4137.0180373986432</v>
      </c>
      <c r="W166" s="153">
        <v>2.5703957827688635</v>
      </c>
      <c r="X166" s="153">
        <f>IF(W166=0,V166,W166)</f>
        <v>2.5703957827688635</v>
      </c>
      <c r="Y166" s="410">
        <v>9.48</v>
      </c>
      <c r="Z166" s="59">
        <v>-5.15</v>
      </c>
      <c r="AA166" s="59"/>
      <c r="AB166" s="59"/>
      <c r="AC166" s="59"/>
      <c r="AD166" s="59"/>
      <c r="AE166" s="59"/>
      <c r="AF166" s="59"/>
      <c r="AG166" s="57">
        <v>1.99</v>
      </c>
      <c r="AH166" s="103">
        <v>2.85E-24</v>
      </c>
      <c r="AI166" s="103"/>
      <c r="AJ166" s="62">
        <f t="shared" si="62"/>
        <v>-21.933721466304142</v>
      </c>
      <c r="AK166" s="62"/>
      <c r="AL166" s="62">
        <f t="shared" si="60"/>
        <v>-21.933721466304142</v>
      </c>
      <c r="AM166" s="62"/>
      <c r="AN166" s="154">
        <v>-16.5</v>
      </c>
      <c r="AO166" s="410"/>
      <c r="AP166" s="410">
        <v>7.55</v>
      </c>
      <c r="AQ166" s="154" t="s">
        <v>6311</v>
      </c>
      <c r="AR166" s="154" t="s">
        <v>6311</v>
      </c>
      <c r="AS166" s="149" t="s">
        <v>289</v>
      </c>
      <c r="AT166" s="58" t="s">
        <v>266</v>
      </c>
      <c r="AU166" s="155">
        <v>24</v>
      </c>
      <c r="AV166" s="155">
        <v>120</v>
      </c>
      <c r="AW166" s="155">
        <v>96</v>
      </c>
      <c r="AX166" s="155">
        <v>28</v>
      </c>
      <c r="AY166" s="155" t="s">
        <v>267</v>
      </c>
      <c r="AZ166" s="155" t="s">
        <v>268</v>
      </c>
      <c r="BA166" s="155">
        <v>48</v>
      </c>
      <c r="BB166" s="55" t="s">
        <v>269</v>
      </c>
      <c r="BC166" s="156" t="s">
        <v>270</v>
      </c>
      <c r="BD166" s="156" t="s">
        <v>8374</v>
      </c>
      <c r="BE166" s="155" t="s">
        <v>271</v>
      </c>
      <c r="BF166" s="155" t="s">
        <v>272</v>
      </c>
      <c r="BG166" s="155" t="s">
        <v>272</v>
      </c>
      <c r="BH166" s="155" t="s">
        <v>272</v>
      </c>
      <c r="BI166" s="157">
        <v>4.1370180373986433E-3</v>
      </c>
      <c r="BJ166" s="157">
        <v>6.619228859837829</v>
      </c>
      <c r="BK166" s="56"/>
      <c r="BL166" s="103">
        <f t="shared" si="57"/>
        <v>2167778.9759600391</v>
      </c>
      <c r="BM166" s="56">
        <v>0</v>
      </c>
      <c r="BN166" s="56"/>
      <c r="BO166" s="56"/>
      <c r="BP166" s="56"/>
      <c r="BQ166" s="56"/>
      <c r="BR166" s="56"/>
      <c r="BS166" s="56"/>
      <c r="BT166" s="56"/>
      <c r="BU166" s="158"/>
      <c r="BV166" s="56"/>
      <c r="BW166" s="56"/>
      <c r="BX166" s="56"/>
      <c r="BY166" s="56"/>
      <c r="BZ166" s="56">
        <v>4.3099999999999996</v>
      </c>
      <c r="CA166" s="56">
        <v>3.26</v>
      </c>
      <c r="CB166" s="56">
        <v>2.1</v>
      </c>
      <c r="CC166" s="56"/>
      <c r="CD166" s="56"/>
      <c r="CE166" s="56"/>
      <c r="CF166" s="56"/>
      <c r="CG166" s="56"/>
      <c r="CH166" s="56"/>
      <c r="CI166" s="103">
        <f t="shared" si="53"/>
        <v>2.1</v>
      </c>
      <c r="CJ166" s="103">
        <f t="shared" si="54"/>
        <v>0.3222192947339193</v>
      </c>
      <c r="CK166" s="57">
        <f t="shared" si="58"/>
        <v>327497.20879316289</v>
      </c>
      <c r="CL166" s="160">
        <f t="shared" si="61"/>
        <v>1032275.7028381138</v>
      </c>
      <c r="CM166" s="160"/>
      <c r="CN166" s="160"/>
      <c r="CO166" s="55" t="s">
        <v>273</v>
      </c>
      <c r="CP166" s="156" t="s">
        <v>274</v>
      </c>
      <c r="CQ166" s="149" t="s">
        <v>272</v>
      </c>
      <c r="CR166" s="349"/>
      <c r="CS166" s="61" t="s">
        <v>539</v>
      </c>
      <c r="CT166" s="61"/>
      <c r="CU166" s="111">
        <f t="shared" si="50"/>
        <v>1.2239979917946968</v>
      </c>
      <c r="CV166" s="331">
        <f t="shared" si="59"/>
        <v>0.38832254288180607</v>
      </c>
      <c r="CW166" s="326">
        <f t="shared" si="55"/>
        <v>0</v>
      </c>
      <c r="CX166" s="326"/>
      <c r="CY166" s="161" t="s">
        <v>5921</v>
      </c>
    </row>
    <row r="167" spans="1:103" ht="11.25" customHeight="1" x14ac:dyDescent="0.2">
      <c r="A167" s="72">
        <v>165</v>
      </c>
      <c r="B167" s="149">
        <v>808</v>
      </c>
      <c r="C167" s="54" t="s">
        <v>2296</v>
      </c>
      <c r="D167" s="54" t="s">
        <v>6554</v>
      </c>
      <c r="E167" s="59"/>
      <c r="F167" s="59" t="s">
        <v>2297</v>
      </c>
      <c r="G167" s="151">
        <v>120832</v>
      </c>
      <c r="H167" s="55" t="s">
        <v>2298</v>
      </c>
      <c r="I167" s="55" t="s">
        <v>8039</v>
      </c>
      <c r="J167" s="55" t="s">
        <v>2299</v>
      </c>
      <c r="K167" s="55" t="s">
        <v>349</v>
      </c>
      <c r="L167" s="55" t="s">
        <v>5527</v>
      </c>
      <c r="M167" s="55" t="s">
        <v>6109</v>
      </c>
      <c r="N167" s="60" t="s">
        <v>6381</v>
      </c>
      <c r="O167" s="55" t="s">
        <v>6086</v>
      </c>
      <c r="P167" s="67" t="s">
        <v>6184</v>
      </c>
      <c r="Q167" s="67" t="s">
        <v>6176</v>
      </c>
      <c r="R167" s="67" t="s">
        <v>6185</v>
      </c>
      <c r="S167" s="67" t="s">
        <v>6176</v>
      </c>
      <c r="T167" s="56">
        <v>163</v>
      </c>
      <c r="U167" s="103">
        <v>27.607361963190183</v>
      </c>
      <c r="V167" s="103">
        <v>3.7680981595092029</v>
      </c>
      <c r="W167" s="103">
        <v>3.0199517204020134</v>
      </c>
      <c r="X167" s="103">
        <v>27.607361963190183</v>
      </c>
      <c r="Y167" s="162">
        <v>5.28</v>
      </c>
      <c r="Z167" s="56">
        <v>2.8</v>
      </c>
      <c r="AA167" s="56">
        <v>3.06</v>
      </c>
      <c r="AB167" s="56">
        <v>3.2</v>
      </c>
      <c r="AC167" s="56">
        <v>0.86060000000000003</v>
      </c>
      <c r="AD167" s="56">
        <v>3.14</v>
      </c>
      <c r="AE167" s="56">
        <v>2.99</v>
      </c>
      <c r="AF167" s="56">
        <f t="shared" ref="AF167:AF198" si="64">IF(AA167=0,AD167,AA167)</f>
        <v>3.06</v>
      </c>
      <c r="AG167" s="57">
        <v>2.82</v>
      </c>
      <c r="AH167" s="103">
        <v>3.0800000000000001E-7</v>
      </c>
      <c r="AI167" s="103">
        <v>4.2899999999999996E-6</v>
      </c>
      <c r="AJ167" s="62">
        <f t="shared" si="62"/>
        <v>-4.9000156098122076</v>
      </c>
      <c r="AK167" s="62">
        <f>LOG10(AI167*1000/(0.08206*298.15))</f>
        <v>-3.7561090341279275</v>
      </c>
      <c r="AL167" s="62">
        <f t="shared" si="60"/>
        <v>-3.7561090341279275</v>
      </c>
      <c r="AM167" s="62">
        <v>-6.1948599999999994</v>
      </c>
      <c r="AN167" s="154">
        <v>-3.21</v>
      </c>
      <c r="AO167" s="410">
        <v>8.0500000000000007</v>
      </c>
      <c r="AP167" s="410"/>
      <c r="AQ167" s="154" t="s">
        <v>6311</v>
      </c>
      <c r="AR167" s="154" t="s">
        <v>6311</v>
      </c>
      <c r="AS167" s="149" t="s">
        <v>6</v>
      </c>
      <c r="AT167" s="58" t="s">
        <v>266</v>
      </c>
      <c r="AU167" s="155"/>
      <c r="AV167" s="56">
        <v>96</v>
      </c>
      <c r="AW167" s="56">
        <v>96</v>
      </c>
      <c r="AX167" s="56">
        <v>26</v>
      </c>
      <c r="AY167" s="56" t="s">
        <v>8722</v>
      </c>
      <c r="AZ167" s="56" t="s">
        <v>536</v>
      </c>
      <c r="BA167" s="56">
        <v>20</v>
      </c>
      <c r="BB167" s="55" t="s">
        <v>1764</v>
      </c>
      <c r="BC167" s="55" t="s">
        <v>538</v>
      </c>
      <c r="BD167" s="55"/>
      <c r="BE167" s="56" t="s">
        <v>8722</v>
      </c>
      <c r="BF167" s="56" t="s">
        <v>8722</v>
      </c>
      <c r="BG167" s="56" t="s">
        <v>8722</v>
      </c>
      <c r="BH167" s="56" t="s">
        <v>8722</v>
      </c>
      <c r="BI167" s="103" t="s">
        <v>8722</v>
      </c>
      <c r="BJ167" s="103" t="s">
        <v>8722</v>
      </c>
      <c r="BK167" s="56"/>
      <c r="BL167" s="103">
        <f t="shared" si="57"/>
        <v>0.15707967715636428</v>
      </c>
      <c r="BM167" s="55" t="s">
        <v>1640</v>
      </c>
      <c r="BN167" s="56"/>
      <c r="BO167" s="56">
        <f>(0.061472393+0.025644172+0.066993865+0.102392638)/4</f>
        <v>6.4125767E-2</v>
      </c>
      <c r="BP167" s="56"/>
      <c r="BQ167" s="56">
        <f>(0.04006135+0.025644172+0.052822086+0.05607362)/4</f>
        <v>4.3650306999999999E-2</v>
      </c>
      <c r="BR167" s="56"/>
      <c r="BS167" s="56"/>
      <c r="BT167" s="56"/>
      <c r="BU167" s="158"/>
      <c r="BV167" s="56"/>
      <c r="BW167" s="56"/>
      <c r="BX167" s="56"/>
      <c r="BY167" s="56"/>
      <c r="BZ167" s="56"/>
      <c r="CA167" s="56"/>
      <c r="CB167" s="56"/>
      <c r="CC167" s="56"/>
      <c r="CD167" s="56"/>
      <c r="CE167" s="56"/>
      <c r="CF167" s="56"/>
      <c r="CG167" s="56"/>
      <c r="CH167" s="56"/>
      <c r="CI167" s="103">
        <f t="shared" si="53"/>
        <v>4.3650306999999999E-2</v>
      </c>
      <c r="CJ167" s="103">
        <f t="shared" si="54"/>
        <v>-1.3600126974810443</v>
      </c>
      <c r="CK167" s="57" t="s">
        <v>404</v>
      </c>
      <c r="CL167" s="160">
        <f t="shared" si="61"/>
        <v>3.598592723674642</v>
      </c>
      <c r="CM167" s="160"/>
      <c r="CN167" s="160"/>
      <c r="CO167" s="55"/>
      <c r="CP167" s="55" t="s">
        <v>2277</v>
      </c>
      <c r="CQ167" s="149">
        <v>-1.5836947635578571</v>
      </c>
      <c r="CR167" s="349">
        <f>10^(CJ167-CQ167)</f>
        <v>1.6737171494559455</v>
      </c>
      <c r="CS167" s="61" t="s">
        <v>539</v>
      </c>
      <c r="CT167" s="61"/>
      <c r="CU167" s="111">
        <f t="shared" si="50"/>
        <v>632.46661617271525</v>
      </c>
      <c r="CV167" s="331"/>
      <c r="CW167" s="326">
        <f t="shared" si="55"/>
        <v>1</v>
      </c>
      <c r="CX167" s="326"/>
      <c r="CY167" s="161" t="s">
        <v>6351</v>
      </c>
    </row>
    <row r="168" spans="1:103" ht="11.25" customHeight="1" x14ac:dyDescent="0.2">
      <c r="A168" s="72">
        <v>166</v>
      </c>
      <c r="B168" s="149">
        <v>503</v>
      </c>
      <c r="C168" s="54" t="s">
        <v>1619</v>
      </c>
      <c r="D168" s="54" t="s">
        <v>6464</v>
      </c>
      <c r="E168" s="59"/>
      <c r="F168" s="59" t="s">
        <v>1620</v>
      </c>
      <c r="G168" s="151">
        <v>107200</v>
      </c>
      <c r="H168" s="55" t="s">
        <v>1621</v>
      </c>
      <c r="I168" s="55" t="s">
        <v>8300</v>
      </c>
      <c r="J168" s="55" t="s">
        <v>1622</v>
      </c>
      <c r="K168" s="55" t="s">
        <v>511</v>
      </c>
      <c r="L168" s="55" t="s">
        <v>5492</v>
      </c>
      <c r="M168" s="55" t="s">
        <v>6062</v>
      </c>
      <c r="N168" s="60" t="s">
        <v>6088</v>
      </c>
      <c r="O168" s="55" t="s">
        <v>6063</v>
      </c>
      <c r="P168" s="67"/>
      <c r="Q168" s="67"/>
      <c r="R168" s="67"/>
      <c r="S168" s="67"/>
      <c r="T168" s="56">
        <v>78.5</v>
      </c>
      <c r="U168" s="103"/>
      <c r="V168" s="103">
        <v>1410.1910828025477</v>
      </c>
      <c r="W168" s="103">
        <v>676.08297539198179</v>
      </c>
      <c r="X168" s="103">
        <f>IF(W168=0,V168,W168)</f>
        <v>676.08297539198179</v>
      </c>
      <c r="Y168" s="162">
        <v>7</v>
      </c>
      <c r="Z168" s="56">
        <v>0.09</v>
      </c>
      <c r="AA168" s="56"/>
      <c r="AB168" s="56">
        <v>0.75</v>
      </c>
      <c r="AC168" s="56">
        <v>0.84689999999999999</v>
      </c>
      <c r="AD168" s="56">
        <v>0.55000000000000004</v>
      </c>
      <c r="AE168" s="56">
        <v>0.02</v>
      </c>
      <c r="AF168" s="56">
        <f t="shared" si="64"/>
        <v>0.55000000000000004</v>
      </c>
      <c r="AG168" s="57">
        <v>0.43</v>
      </c>
      <c r="AH168" s="103">
        <v>2.3900000000000002E-5</v>
      </c>
      <c r="AI168" s="103"/>
      <c r="AJ168" s="62">
        <f t="shared" si="62"/>
        <v>-3.010168425364514</v>
      </c>
      <c r="AK168" s="62"/>
      <c r="AL168" s="62">
        <f t="shared" si="60"/>
        <v>-3.010168425364514</v>
      </c>
      <c r="AM168" s="62">
        <v>-3.4015000000000004</v>
      </c>
      <c r="AN168" s="154">
        <v>-3.15</v>
      </c>
      <c r="AO168" s="410"/>
      <c r="AP168" s="410"/>
      <c r="AQ168" s="154" t="s">
        <v>6311</v>
      </c>
      <c r="AR168" s="154" t="s">
        <v>6311</v>
      </c>
      <c r="AS168" s="149" t="s">
        <v>6</v>
      </c>
      <c r="AT168" s="58" t="s">
        <v>266</v>
      </c>
      <c r="AU168" s="56">
        <v>2</v>
      </c>
      <c r="AV168" s="56">
        <v>96</v>
      </c>
      <c r="AW168" s="56">
        <v>96</v>
      </c>
      <c r="AX168" s="56">
        <v>25</v>
      </c>
      <c r="AY168" s="56" t="s">
        <v>8722</v>
      </c>
      <c r="AZ168" s="56" t="s">
        <v>1563</v>
      </c>
      <c r="BA168" s="56">
        <v>12</v>
      </c>
      <c r="BB168" s="55" t="s">
        <v>888</v>
      </c>
      <c r="BC168" s="55" t="s">
        <v>538</v>
      </c>
      <c r="BD168" s="55"/>
      <c r="BE168" s="56" t="s">
        <v>271</v>
      </c>
      <c r="BF168" s="56" t="s">
        <v>272</v>
      </c>
      <c r="BG168" s="56" t="s">
        <v>539</v>
      </c>
      <c r="BH168" s="56" t="s">
        <v>272</v>
      </c>
      <c r="BI168" s="103">
        <v>1E-3</v>
      </c>
      <c r="BJ168" s="103">
        <v>1</v>
      </c>
      <c r="BK168" s="56"/>
      <c r="BL168" s="103">
        <f t="shared" si="57"/>
        <v>42.655103491902061</v>
      </c>
      <c r="BM168" s="56">
        <v>0</v>
      </c>
      <c r="BN168" s="56"/>
      <c r="BO168" s="56"/>
      <c r="BP168" s="56"/>
      <c r="BQ168" s="56">
        <v>4.2687898089171977E-2</v>
      </c>
      <c r="BR168" s="56"/>
      <c r="BS168" s="56"/>
      <c r="BT168" s="56"/>
      <c r="BU168" s="158"/>
      <c r="BV168" s="56"/>
      <c r="BW168" s="56"/>
      <c r="BX168" s="56"/>
      <c r="BY168" s="56"/>
      <c r="BZ168" s="56"/>
      <c r="CA168" s="56"/>
      <c r="CB168" s="56"/>
      <c r="CC168" s="56"/>
      <c r="CD168" s="56"/>
      <c r="CE168" s="56"/>
      <c r="CF168" s="56"/>
      <c r="CG168" s="56"/>
      <c r="CH168" s="56"/>
      <c r="CI168" s="103">
        <f t="shared" si="53"/>
        <v>4.2687898089171977E-2</v>
      </c>
      <c r="CJ168" s="103">
        <f t="shared" si="54"/>
        <v>-1.3696952289099811</v>
      </c>
      <c r="CK168" s="57">
        <f>BL168/BJ168</f>
        <v>42.655103491902061</v>
      </c>
      <c r="CL168" s="160">
        <f t="shared" si="61"/>
        <v>999.2317589120596</v>
      </c>
      <c r="CM168" s="160">
        <v>-1.3698248497084073</v>
      </c>
      <c r="CN168" s="160">
        <f>BJ168/(10^CM168)</f>
        <v>23.432835820895527</v>
      </c>
      <c r="CO168" s="55"/>
      <c r="CP168" s="55" t="s">
        <v>1564</v>
      </c>
      <c r="CQ168" s="149">
        <v>-1.3696984873416918</v>
      </c>
      <c r="CR168" s="349">
        <f>10^(CJ168-CQ168)</f>
        <v>1.0000075028444297</v>
      </c>
      <c r="CS168" s="61" t="s">
        <v>539</v>
      </c>
      <c r="CT168" s="61"/>
      <c r="CU168" s="111">
        <f t="shared" si="50"/>
        <v>15837.813658093275</v>
      </c>
      <c r="CV168" s="331">
        <f>X168/BJ168</f>
        <v>676.08297539198179</v>
      </c>
      <c r="CW168" s="326">
        <f t="shared" si="55"/>
        <v>1</v>
      </c>
      <c r="CX168" s="326"/>
      <c r="CY168" s="161" t="s">
        <v>6351</v>
      </c>
    </row>
    <row r="169" spans="1:103" ht="11.25" customHeight="1" x14ac:dyDescent="0.2">
      <c r="A169" s="72">
        <v>167</v>
      </c>
      <c r="B169" s="149">
        <v>253</v>
      </c>
      <c r="C169" s="54" t="s">
        <v>1091</v>
      </c>
      <c r="D169" s="54"/>
      <c r="E169" s="59"/>
      <c r="F169" s="59" t="s">
        <v>1092</v>
      </c>
      <c r="G169" s="151">
        <v>962583</v>
      </c>
      <c r="H169" s="55" t="s">
        <v>1093</v>
      </c>
      <c r="I169" s="55" t="s">
        <v>1093</v>
      </c>
      <c r="J169" s="55" t="s">
        <v>1094</v>
      </c>
      <c r="K169" s="55" t="s">
        <v>637</v>
      </c>
      <c r="L169" s="55" t="s">
        <v>617</v>
      </c>
      <c r="M169" s="55" t="s">
        <v>5970</v>
      </c>
      <c r="N169" s="60"/>
      <c r="O169" s="55" t="s">
        <v>918</v>
      </c>
      <c r="P169" s="67"/>
      <c r="Q169" s="67"/>
      <c r="R169" s="67"/>
      <c r="S169" s="67"/>
      <c r="T169" s="56">
        <v>288.27999999999997</v>
      </c>
      <c r="U169" s="103"/>
      <c r="V169" s="103">
        <v>0.85021506868322472</v>
      </c>
      <c r="W169" s="103">
        <v>8.5113803820237681</v>
      </c>
      <c r="X169" s="103">
        <f>IF(W169=0,V169,W169)</f>
        <v>8.5113803820237681</v>
      </c>
      <c r="Y169" s="162">
        <v>7.03</v>
      </c>
      <c r="Z169" s="56">
        <v>2.1</v>
      </c>
      <c r="AA169" s="56">
        <v>2.0699999999999998</v>
      </c>
      <c r="AB169" s="56">
        <v>1.74</v>
      </c>
      <c r="AC169" s="56">
        <v>0.85509999999999997</v>
      </c>
      <c r="AD169" s="56">
        <v>1.82</v>
      </c>
      <c r="AE169" s="56">
        <v>2.0699999999999998</v>
      </c>
      <c r="AF169" s="56">
        <f t="shared" si="64"/>
        <v>2.0699999999999998</v>
      </c>
      <c r="AG169" s="57">
        <v>2.9</v>
      </c>
      <c r="AH169" s="103">
        <v>1.8899999999999999E-10</v>
      </c>
      <c r="AI169" s="103"/>
      <c r="AJ169" s="62">
        <f t="shared" si="62"/>
        <v>-8.1121045221394077</v>
      </c>
      <c r="AK169" s="62"/>
      <c r="AL169" s="62">
        <f t="shared" si="60"/>
        <v>-8.1121045221394077</v>
      </c>
      <c r="AM169" s="62">
        <v>-13.35488</v>
      </c>
      <c r="AN169" s="154">
        <v>-4.6100000000000003</v>
      </c>
      <c r="AO169" s="410"/>
      <c r="AP169" s="410">
        <v>1.21</v>
      </c>
      <c r="AQ169" s="154" t="s">
        <v>6312</v>
      </c>
      <c r="AR169" s="154" t="s">
        <v>6312</v>
      </c>
      <c r="AS169" s="149" t="s">
        <v>6</v>
      </c>
      <c r="AT169" s="58" t="s">
        <v>266</v>
      </c>
      <c r="AU169" s="56">
        <v>8</v>
      </c>
      <c r="AV169" s="56">
        <v>144</v>
      </c>
      <c r="AW169" s="56">
        <v>120</v>
      </c>
      <c r="AX169" s="56">
        <v>26</v>
      </c>
      <c r="AY169" s="56" t="s">
        <v>267</v>
      </c>
      <c r="AZ169" s="56" t="s">
        <v>268</v>
      </c>
      <c r="BA169" s="56">
        <v>2</v>
      </c>
      <c r="BB169" s="55" t="s">
        <v>888</v>
      </c>
      <c r="BC169" s="55" t="s">
        <v>270</v>
      </c>
      <c r="BD169" s="55" t="s">
        <v>8374</v>
      </c>
      <c r="BE169" s="56" t="s">
        <v>889</v>
      </c>
      <c r="BF169" s="56" t="s">
        <v>272</v>
      </c>
      <c r="BG169" s="56" t="s">
        <v>272</v>
      </c>
      <c r="BH169" s="56" t="s">
        <v>890</v>
      </c>
      <c r="BI169" s="103">
        <v>9.9999999999999995E-7</v>
      </c>
      <c r="BJ169" s="103">
        <v>0.08</v>
      </c>
      <c r="BK169" s="56"/>
      <c r="BL169" s="103">
        <f t="shared" si="57"/>
        <v>0.66802082275427344</v>
      </c>
      <c r="BM169" s="56" t="s">
        <v>891</v>
      </c>
      <c r="BN169" s="162"/>
      <c r="BO169" s="162"/>
      <c r="BP169" s="162"/>
      <c r="BQ169" s="162"/>
      <c r="BR169" s="162"/>
      <c r="BS169" s="56">
        <v>4.6164921748011227E-2</v>
      </c>
      <c r="BT169" s="162"/>
      <c r="BU169" s="158"/>
      <c r="BV169" s="162"/>
      <c r="BW169" s="162"/>
      <c r="BX169" s="162"/>
      <c r="BY169" s="162"/>
      <c r="BZ169" s="162"/>
      <c r="CA169" s="162"/>
      <c r="CB169" s="162"/>
      <c r="CC169" s="56"/>
      <c r="CD169" s="56"/>
      <c r="CE169" s="56"/>
      <c r="CF169" s="56"/>
      <c r="CG169" s="56"/>
      <c r="CH169" s="56"/>
      <c r="CI169" s="103">
        <f t="shared" si="53"/>
        <v>4.6164921748011227E-2</v>
      </c>
      <c r="CJ169" s="103">
        <f t="shared" si="54"/>
        <v>-1.3356878962548966</v>
      </c>
      <c r="CK169" s="57">
        <f>BL169/BJ169</f>
        <v>8.3502602844284173</v>
      </c>
      <c r="CL169" s="160">
        <f t="shared" si="61"/>
        <v>14.470312034765913</v>
      </c>
      <c r="CM169" s="160"/>
      <c r="CN169" s="160"/>
      <c r="CO169" s="55" t="s">
        <v>892</v>
      </c>
      <c r="CP169" s="55" t="s">
        <v>893</v>
      </c>
      <c r="CQ169" s="149" t="s">
        <v>272</v>
      </c>
      <c r="CR169" s="349"/>
      <c r="CS169" s="61" t="s">
        <v>539</v>
      </c>
      <c r="CT169" s="61"/>
      <c r="CU169" s="111">
        <f t="shared" si="50"/>
        <v>184.36899835946187</v>
      </c>
      <c r="CV169" s="331">
        <f>X169/BJ169</f>
        <v>106.3922547752971</v>
      </c>
      <c r="CW169" s="326">
        <f t="shared" si="55"/>
        <v>1</v>
      </c>
      <c r="CX169" s="326" t="s">
        <v>539</v>
      </c>
      <c r="CY169" s="161" t="s">
        <v>5921</v>
      </c>
    </row>
    <row r="170" spans="1:103" ht="11.25" customHeight="1" x14ac:dyDescent="0.2">
      <c r="A170" s="72">
        <v>168</v>
      </c>
      <c r="B170" s="149">
        <v>396</v>
      </c>
      <c r="C170" s="54" t="s">
        <v>1359</v>
      </c>
      <c r="D170" s="54" t="s">
        <v>6523</v>
      </c>
      <c r="E170" s="59"/>
      <c r="F170" s="59" t="s">
        <v>1360</v>
      </c>
      <c r="G170" s="151">
        <v>52645531</v>
      </c>
      <c r="H170" s="55" t="s">
        <v>1361</v>
      </c>
      <c r="I170" s="55" t="s">
        <v>7889</v>
      </c>
      <c r="J170" s="55" t="s">
        <v>1362</v>
      </c>
      <c r="K170" s="55" t="s">
        <v>1363</v>
      </c>
      <c r="L170" s="55" t="s">
        <v>617</v>
      </c>
      <c r="M170" s="55" t="s">
        <v>1364</v>
      </c>
      <c r="N170" s="60" t="s">
        <v>6376</v>
      </c>
      <c r="O170" s="55" t="s">
        <v>1365</v>
      </c>
      <c r="P170" s="67" t="s">
        <v>6178</v>
      </c>
      <c r="Q170" s="67" t="s">
        <v>6173</v>
      </c>
      <c r="R170" s="67" t="s">
        <v>6181</v>
      </c>
      <c r="S170" s="67" t="s">
        <v>6176</v>
      </c>
      <c r="T170" s="56">
        <v>391.29</v>
      </c>
      <c r="U170" s="103">
        <v>1.5333895576171125E-5</v>
      </c>
      <c r="V170" s="103">
        <v>2.4909913363489995E-5</v>
      </c>
      <c r="W170" s="103">
        <v>1.3182567385564047E-4</v>
      </c>
      <c r="X170" s="103">
        <v>1.5333895576171125E-5</v>
      </c>
      <c r="Y170" s="162">
        <v>7</v>
      </c>
      <c r="Z170" s="56">
        <v>7.43</v>
      </c>
      <c r="AA170" s="56">
        <v>6.5</v>
      </c>
      <c r="AB170" s="56">
        <v>6.33</v>
      </c>
      <c r="AC170" s="56">
        <v>0.93520000000000003</v>
      </c>
      <c r="AD170" s="56">
        <v>6.47</v>
      </c>
      <c r="AE170" s="56">
        <v>7.15</v>
      </c>
      <c r="AF170" s="56">
        <f t="shared" si="64"/>
        <v>6.5</v>
      </c>
      <c r="AG170" s="57">
        <v>5.3</v>
      </c>
      <c r="AH170" s="103">
        <v>2.8799999999999998E-7</v>
      </c>
      <c r="AI170" s="103">
        <v>1.8700000000000001E-6</v>
      </c>
      <c r="AJ170" s="62">
        <f t="shared" si="62"/>
        <v>-4.9291738385534209</v>
      </c>
      <c r="AK170" s="62">
        <f>LOG10(AI170*1000/(0.08206*298.15))</f>
        <v>-4.116724719776153</v>
      </c>
      <c r="AL170" s="62">
        <f t="shared" si="60"/>
        <v>-4.116724719776153</v>
      </c>
      <c r="AM170" s="62">
        <v>-12.603410000000002</v>
      </c>
      <c r="AN170" s="154">
        <v>-4.92</v>
      </c>
      <c r="AO170" s="410"/>
      <c r="AP170" s="410"/>
      <c r="AQ170" s="154" t="s">
        <v>6311</v>
      </c>
      <c r="AR170" s="154" t="s">
        <v>6312</v>
      </c>
      <c r="AS170" s="149" t="s">
        <v>6</v>
      </c>
      <c r="AT170" s="58" t="s">
        <v>266</v>
      </c>
      <c r="AU170" s="56">
        <v>8</v>
      </c>
      <c r="AV170" s="56">
        <v>144</v>
      </c>
      <c r="AW170" s="56">
        <v>120</v>
      </c>
      <c r="AX170" s="56">
        <v>26</v>
      </c>
      <c r="AY170" s="56" t="s">
        <v>267</v>
      </c>
      <c r="AZ170" s="56" t="s">
        <v>268</v>
      </c>
      <c r="BA170" s="56">
        <v>2</v>
      </c>
      <c r="BB170" s="55" t="s">
        <v>888</v>
      </c>
      <c r="BC170" s="55" t="s">
        <v>270</v>
      </c>
      <c r="BD170" s="55" t="s">
        <v>8374</v>
      </c>
      <c r="BE170" s="56" t="s">
        <v>889</v>
      </c>
      <c r="BF170" s="56" t="s">
        <v>272</v>
      </c>
      <c r="BG170" s="56" t="s">
        <v>272</v>
      </c>
      <c r="BH170" s="56" t="s">
        <v>890</v>
      </c>
      <c r="BI170" s="103">
        <v>9.9999999999999995E-7</v>
      </c>
      <c r="BJ170" s="103">
        <v>0.08</v>
      </c>
      <c r="BK170" s="56"/>
      <c r="BL170" s="103">
        <f t="shared" si="57"/>
        <v>1.0912317662371588E-5</v>
      </c>
      <c r="BM170" s="56" t="s">
        <v>891</v>
      </c>
      <c r="BN170" s="162"/>
      <c r="BO170" s="162"/>
      <c r="BP170" s="162"/>
      <c r="BQ170" s="162"/>
      <c r="BR170" s="162"/>
      <c r="BS170" s="56">
        <v>3.7870000000000001E-2</v>
      </c>
      <c r="BT170" s="162"/>
      <c r="BU170" s="158"/>
      <c r="BV170" s="162"/>
      <c r="BW170" s="162"/>
      <c r="BX170" s="162"/>
      <c r="BY170" s="162"/>
      <c r="BZ170" s="162"/>
      <c r="CA170" s="162"/>
      <c r="CB170" s="162"/>
      <c r="CC170" s="56"/>
      <c r="CD170" s="56"/>
      <c r="CE170" s="56"/>
      <c r="CF170" s="56"/>
      <c r="CG170" s="56"/>
      <c r="CH170" s="56"/>
      <c r="CI170" s="103">
        <f t="shared" si="53"/>
        <v>3.7870000000000001E-2</v>
      </c>
      <c r="CJ170" s="103">
        <f t="shared" si="54"/>
        <v>-1.4217046948791736</v>
      </c>
      <c r="CK170" s="57">
        <f>BL170/BJ170</f>
        <v>1.3640397077964485E-4</v>
      </c>
      <c r="CL170" s="160">
        <f t="shared" si="61"/>
        <v>2.8815203755932367E-4</v>
      </c>
      <c r="CM170" s="160">
        <v>-5.1945587403267419</v>
      </c>
      <c r="CN170" s="160">
        <f>BJ170/(10^CM170)</f>
        <v>12521.28000000001</v>
      </c>
      <c r="CO170" s="55" t="s">
        <v>892</v>
      </c>
      <c r="CP170" s="55" t="s">
        <v>893</v>
      </c>
      <c r="CQ170" s="149">
        <v>-4.6793572938459178</v>
      </c>
      <c r="CR170" s="349">
        <f>10^(CJ170-CQ170)</f>
        <v>1809.8917440139385</v>
      </c>
      <c r="CS170" s="61" t="s">
        <v>539</v>
      </c>
      <c r="CT170" s="61"/>
      <c r="CU170" s="111">
        <f t="shared" si="50"/>
        <v>4.0490878204835294E-4</v>
      </c>
      <c r="CV170" s="331">
        <f>X170/BJ170</f>
        <v>1.9167369470213906E-4</v>
      </c>
      <c r="CW170" s="326">
        <f t="shared" si="55"/>
        <v>0</v>
      </c>
      <c r="CX170" s="326" t="s">
        <v>539</v>
      </c>
      <c r="CY170" s="161" t="s">
        <v>5921</v>
      </c>
    </row>
    <row r="171" spans="1:103" ht="11.25" customHeight="1" x14ac:dyDescent="0.2">
      <c r="A171" s="72">
        <v>169</v>
      </c>
      <c r="B171" s="149">
        <v>1223</v>
      </c>
      <c r="C171" s="54" t="s">
        <v>3379</v>
      </c>
      <c r="D171" s="54"/>
      <c r="E171" s="59"/>
      <c r="F171" s="59" t="s">
        <v>3380</v>
      </c>
      <c r="G171" s="151">
        <v>1034011</v>
      </c>
      <c r="H171" s="55" t="s">
        <v>3381</v>
      </c>
      <c r="I171" s="55" t="s">
        <v>3381</v>
      </c>
      <c r="J171" s="55" t="s">
        <v>3382</v>
      </c>
      <c r="K171" s="55" t="s">
        <v>3383</v>
      </c>
      <c r="L171" s="55"/>
      <c r="M171" s="55"/>
      <c r="N171" s="60"/>
      <c r="O171" s="55"/>
      <c r="P171" s="67"/>
      <c r="Q171" s="67"/>
      <c r="R171" s="67"/>
      <c r="S171" s="67"/>
      <c r="T171" s="56">
        <v>282.33</v>
      </c>
      <c r="U171" s="103">
        <v>0.12751036021676762</v>
      </c>
      <c r="V171" s="103">
        <v>0.15666064534410087</v>
      </c>
      <c r="W171" s="103">
        <v>0.26915348039269166</v>
      </c>
      <c r="X171" s="103">
        <v>0.12751036021676762</v>
      </c>
      <c r="Y171" s="162">
        <v>5.7</v>
      </c>
      <c r="Z171" s="56">
        <v>4.25</v>
      </c>
      <c r="AA171" s="56">
        <v>3.66</v>
      </c>
      <c r="AB171" s="56">
        <v>4</v>
      </c>
      <c r="AC171" s="56">
        <v>0.75009999999999999</v>
      </c>
      <c r="AD171" s="56">
        <v>4.42</v>
      </c>
      <c r="AE171" s="56">
        <v>5.26</v>
      </c>
      <c r="AF171" s="56">
        <f t="shared" si="64"/>
        <v>3.66</v>
      </c>
      <c r="AG171" s="57">
        <v>3.62</v>
      </c>
      <c r="AH171" s="103">
        <v>2.8399999999999998E-16</v>
      </c>
      <c r="AI171" s="103"/>
      <c r="AJ171" s="62">
        <f t="shared" si="62"/>
        <v>-13.935247986265614</v>
      </c>
      <c r="AK171" s="62"/>
      <c r="AL171" s="62">
        <f t="shared" si="60"/>
        <v>-13.935247986265614</v>
      </c>
      <c r="AM171" s="62">
        <v>-16.856279999999998</v>
      </c>
      <c r="AN171" s="154">
        <v>-10.199999999999999</v>
      </c>
      <c r="AO171" s="410">
        <v>7.94</v>
      </c>
      <c r="AP171" s="410"/>
      <c r="AQ171" s="56" t="s">
        <v>6311</v>
      </c>
      <c r="AR171" s="56" t="s">
        <v>6312</v>
      </c>
      <c r="AS171" s="155"/>
      <c r="AT171" s="58" t="s">
        <v>266</v>
      </c>
      <c r="AU171" s="56">
        <v>6</v>
      </c>
      <c r="AV171" s="56">
        <v>120</v>
      </c>
      <c r="AW171" s="56">
        <v>114</v>
      </c>
      <c r="AX171" s="56">
        <v>28</v>
      </c>
      <c r="AY171" s="56" t="s">
        <v>8728</v>
      </c>
      <c r="AZ171" s="56" t="s">
        <v>1563</v>
      </c>
      <c r="BA171" s="56">
        <v>32</v>
      </c>
      <c r="BB171" s="55" t="s">
        <v>2485</v>
      </c>
      <c r="BC171" s="55" t="s">
        <v>8726</v>
      </c>
      <c r="BD171" s="55" t="s">
        <v>8374</v>
      </c>
      <c r="BE171" s="56" t="s">
        <v>2449</v>
      </c>
      <c r="BF171" s="56" t="s">
        <v>272</v>
      </c>
      <c r="BG171" s="56" t="s">
        <v>272</v>
      </c>
      <c r="BH171" s="56" t="s">
        <v>2486</v>
      </c>
      <c r="BI171" s="103">
        <v>6.3999999999999997E-6</v>
      </c>
      <c r="BJ171" s="103">
        <v>6.4000000000000001E-2</v>
      </c>
      <c r="BK171" s="56"/>
      <c r="BL171" s="103">
        <f t="shared" si="57"/>
        <v>7.8320418603649456E-3</v>
      </c>
      <c r="BM171" s="56" t="s">
        <v>2046</v>
      </c>
      <c r="BN171" s="56">
        <v>20.238577029999998</v>
      </c>
      <c r="BO171" s="56"/>
      <c r="BP171" s="56"/>
      <c r="BQ171" s="56"/>
      <c r="BR171" s="55">
        <v>2.0238577000000001E-2</v>
      </c>
      <c r="BS171" s="56"/>
      <c r="BT171" s="56"/>
      <c r="BU171" s="158"/>
      <c r="BV171" s="56"/>
      <c r="BW171" s="56"/>
      <c r="BX171" s="56"/>
      <c r="BY171" s="56"/>
      <c r="BZ171" s="56"/>
      <c r="CA171" s="56"/>
      <c r="CB171" s="56"/>
      <c r="CC171" s="56"/>
      <c r="CD171" s="56"/>
      <c r="CE171" s="56"/>
      <c r="CF171" s="56"/>
      <c r="CG171" s="56"/>
      <c r="CH171" s="56"/>
      <c r="CI171" s="103">
        <f t="shared" si="53"/>
        <v>2.0238577000000001E-2</v>
      </c>
      <c r="CJ171" s="103">
        <f t="shared" si="54"/>
        <v>-1.6938200265542473</v>
      </c>
      <c r="CK171" s="57">
        <f>BL171/BJ171</f>
        <v>0.12237565406820228</v>
      </c>
      <c r="CL171" s="160">
        <f t="shared" si="61"/>
        <v>0.38698579748788392</v>
      </c>
      <c r="CM171" s="160"/>
      <c r="CN171" s="160"/>
      <c r="CO171" s="55" t="s">
        <v>2488</v>
      </c>
      <c r="CP171" s="55" t="s">
        <v>2489</v>
      </c>
      <c r="CQ171" s="149" t="s">
        <v>272</v>
      </c>
      <c r="CR171" s="349"/>
      <c r="CS171" s="61" t="s">
        <v>539</v>
      </c>
      <c r="CT171" s="61"/>
      <c r="CU171" s="111">
        <f t="shared" si="50"/>
        <v>6.3003619383303295</v>
      </c>
      <c r="CV171" s="331">
        <f>X171/BJ171</f>
        <v>1.9923493783869941</v>
      </c>
      <c r="CW171" s="326">
        <f t="shared" si="55"/>
        <v>1</v>
      </c>
      <c r="CX171" s="326"/>
      <c r="CY171" s="161" t="s">
        <v>5921</v>
      </c>
    </row>
    <row r="172" spans="1:103" ht="11.25" customHeight="1" x14ac:dyDescent="0.2">
      <c r="A172" s="72">
        <v>170</v>
      </c>
      <c r="B172" s="149">
        <v>50</v>
      </c>
      <c r="C172" s="54" t="s">
        <v>488</v>
      </c>
      <c r="D172" s="54"/>
      <c r="E172" s="59"/>
      <c r="F172" s="150" t="str">
        <f>HYPERLINK("http://www.sigmaaldrich.com/catalog/Lookup.do?N5=CAS+No.&amp;N3=mode+matchpartialmax&amp;N4=1070-11-7&amp;D7=0&amp;D10=&amp;N25=0&amp;N1=S_ID&amp;ST=RS&amp;F=PR","1070-11-7")</f>
        <v>1070-11-7</v>
      </c>
      <c r="G172" s="151">
        <v>1070117</v>
      </c>
      <c r="H172" s="55" t="s">
        <v>489</v>
      </c>
      <c r="I172" s="55" t="s">
        <v>489</v>
      </c>
      <c r="J172" s="55" t="s">
        <v>490</v>
      </c>
      <c r="K172" s="55" t="s">
        <v>300</v>
      </c>
      <c r="L172" s="64"/>
      <c r="M172" s="55"/>
      <c r="N172" s="60"/>
      <c r="O172" s="55"/>
      <c r="P172" s="67"/>
      <c r="Q172" s="67"/>
      <c r="R172" s="67"/>
      <c r="S172" s="67"/>
      <c r="T172" s="59">
        <v>204.31</v>
      </c>
      <c r="U172" s="153"/>
      <c r="V172" s="153">
        <v>4643.923449659831</v>
      </c>
      <c r="W172" s="153">
        <v>2454.7089156850307</v>
      </c>
      <c r="X172" s="153">
        <f>IF(W172=0,V172,W172)</f>
        <v>2454.7089156850307</v>
      </c>
      <c r="Y172" s="410">
        <v>11.95</v>
      </c>
      <c r="Z172" s="59">
        <v>-0.41</v>
      </c>
      <c r="AA172" s="59"/>
      <c r="AB172" s="59">
        <v>0.26</v>
      </c>
      <c r="AC172" s="59">
        <v>0.71440000000000003</v>
      </c>
      <c r="AD172" s="59">
        <v>0.15</v>
      </c>
      <c r="AE172" s="59">
        <v>-0.05</v>
      </c>
      <c r="AF172" s="59">
        <f t="shared" si="64"/>
        <v>0.15</v>
      </c>
      <c r="AG172" s="57">
        <v>-0.12</v>
      </c>
      <c r="AH172" s="103">
        <v>3.6500000000000002E-14</v>
      </c>
      <c r="AI172" s="103"/>
      <c r="AJ172" s="62">
        <f t="shared" si="62"/>
        <v>-11.826273461856177</v>
      </c>
      <c r="AK172" s="62"/>
      <c r="AL172" s="62">
        <f t="shared" si="60"/>
        <v>-11.826273461856177</v>
      </c>
      <c r="AM172" s="62">
        <v>-14.9612</v>
      </c>
      <c r="AN172" s="154">
        <v>-13</v>
      </c>
      <c r="AO172" s="410">
        <v>14.43</v>
      </c>
      <c r="AP172" s="410">
        <v>9.59</v>
      </c>
      <c r="AQ172" s="154" t="s">
        <v>6311</v>
      </c>
      <c r="AR172" s="154" t="s">
        <v>6311</v>
      </c>
      <c r="AS172" s="149" t="s">
        <v>301</v>
      </c>
      <c r="AT172" s="58" t="s">
        <v>266</v>
      </c>
      <c r="AU172" s="155">
        <v>24</v>
      </c>
      <c r="AV172" s="155">
        <v>120</v>
      </c>
      <c r="AW172" s="155">
        <v>96</v>
      </c>
      <c r="AX172" s="155">
        <v>28</v>
      </c>
      <c r="AY172" s="155" t="s">
        <v>267</v>
      </c>
      <c r="AZ172" s="155" t="s">
        <v>268</v>
      </c>
      <c r="BA172" s="155">
        <v>48</v>
      </c>
      <c r="BB172" s="55" t="s">
        <v>269</v>
      </c>
      <c r="BC172" s="156" t="s">
        <v>270</v>
      </c>
      <c r="BD172" s="156" t="s">
        <v>8374</v>
      </c>
      <c r="BE172" s="155" t="s">
        <v>271</v>
      </c>
      <c r="BF172" s="155" t="s">
        <v>272</v>
      </c>
      <c r="BG172" s="155" t="s">
        <v>272</v>
      </c>
      <c r="BH172" s="155" t="s">
        <v>272</v>
      </c>
      <c r="BI172" s="157">
        <v>3.6075036075036075E-3</v>
      </c>
      <c r="BJ172" s="157">
        <v>57.720057720057724</v>
      </c>
      <c r="BK172" s="56"/>
      <c r="BL172" s="103">
        <f t="shared" si="57"/>
        <v>119.95573054852028</v>
      </c>
      <c r="BM172" s="56">
        <v>0</v>
      </c>
      <c r="BN172" s="56"/>
      <c r="BO172" s="56"/>
      <c r="BP172" s="56"/>
      <c r="BQ172" s="56"/>
      <c r="BR172" s="56"/>
      <c r="BS172" s="56"/>
      <c r="BT172" s="56"/>
      <c r="BU172" s="158"/>
      <c r="BV172" s="56"/>
      <c r="BW172" s="56"/>
      <c r="BX172" s="56"/>
      <c r="BY172" s="56">
        <v>15.53</v>
      </c>
      <c r="BZ172" s="56">
        <v>15.53</v>
      </c>
      <c r="CA172" s="56">
        <v>131.21</v>
      </c>
      <c r="CB172" s="56">
        <v>22.82</v>
      </c>
      <c r="CC172" s="56"/>
      <c r="CD172" s="56"/>
      <c r="CE172" s="56"/>
      <c r="CF172" s="56"/>
      <c r="CG172" s="56"/>
      <c r="CH172" s="56"/>
      <c r="CI172" s="103">
        <f t="shared" si="53"/>
        <v>15.53</v>
      </c>
      <c r="CJ172" s="103">
        <f t="shared" si="54"/>
        <v>1.1911714557285584</v>
      </c>
      <c r="CK172" s="57">
        <f>BL172/BJ172</f>
        <v>2.0782330317531135</v>
      </c>
      <c r="CL172" s="160">
        <f t="shared" si="61"/>
        <v>7.7241294622356911</v>
      </c>
      <c r="CM172" s="160"/>
      <c r="CN172" s="160"/>
      <c r="CO172" s="55" t="s">
        <v>273</v>
      </c>
      <c r="CP172" s="156" t="s">
        <v>274</v>
      </c>
      <c r="CQ172" s="149" t="s">
        <v>272</v>
      </c>
      <c r="CR172" s="349"/>
      <c r="CS172" s="61" t="s">
        <v>539</v>
      </c>
      <c r="CT172" s="61"/>
      <c r="CU172" s="111">
        <f t="shared" si="50"/>
        <v>158.06238993464461</v>
      </c>
      <c r="CV172" s="331">
        <f>X172/BJ172</f>
        <v>42.527831964243155</v>
      </c>
      <c r="CW172" s="326">
        <f t="shared" si="55"/>
        <v>1</v>
      </c>
      <c r="CX172" s="326"/>
      <c r="CY172" s="161" t="s">
        <v>5921</v>
      </c>
    </row>
    <row r="173" spans="1:103" ht="11.25" customHeight="1" x14ac:dyDescent="0.2">
      <c r="A173" s="72">
        <v>171</v>
      </c>
      <c r="B173" s="149">
        <v>870</v>
      </c>
      <c r="C173" s="54" t="s">
        <v>2471</v>
      </c>
      <c r="D173" s="54" t="s">
        <v>6490</v>
      </c>
      <c r="E173" s="59"/>
      <c r="F173" s="59" t="s">
        <v>2472</v>
      </c>
      <c r="G173" s="151">
        <v>944229</v>
      </c>
      <c r="H173" s="55" t="s">
        <v>2473</v>
      </c>
      <c r="I173" s="55" t="s">
        <v>2473</v>
      </c>
      <c r="J173" s="55" t="s">
        <v>2474</v>
      </c>
      <c r="K173" s="55" t="s">
        <v>1872</v>
      </c>
      <c r="L173" s="55" t="s">
        <v>617</v>
      </c>
      <c r="M173" s="55" t="s">
        <v>618</v>
      </c>
      <c r="N173" s="60" t="s">
        <v>6376</v>
      </c>
      <c r="O173" s="55" t="s">
        <v>2475</v>
      </c>
      <c r="P173" s="67"/>
      <c r="Q173" s="67"/>
      <c r="R173" s="67"/>
      <c r="S173" s="67"/>
      <c r="T173" s="56">
        <v>246.33</v>
      </c>
      <c r="U173" s="103">
        <v>6.3735639183209514E-2</v>
      </c>
      <c r="V173" s="103">
        <v>4.3437664921040876E-2</v>
      </c>
      <c r="W173" s="103">
        <v>5.1286138399136399E-2</v>
      </c>
      <c r="X173" s="103">
        <v>6.3735639183209514E-2</v>
      </c>
      <c r="Y173" s="162">
        <v>7</v>
      </c>
      <c r="Z173" s="56">
        <v>4.0199999999999996</v>
      </c>
      <c r="AA173" s="56">
        <v>3.94</v>
      </c>
      <c r="AB173" s="56">
        <v>3.98</v>
      </c>
      <c r="AC173" s="56">
        <v>0.86270000000000002</v>
      </c>
      <c r="AD173" s="56">
        <v>3.97</v>
      </c>
      <c r="AE173" s="56">
        <v>3.94</v>
      </c>
      <c r="AF173" s="56">
        <f t="shared" si="64"/>
        <v>3.94</v>
      </c>
      <c r="AG173" s="57">
        <v>3.92</v>
      </c>
      <c r="AH173" s="103">
        <v>1.12E-4</v>
      </c>
      <c r="AI173" s="103">
        <v>6.9800000000000001E-6</v>
      </c>
      <c r="AJ173" s="62">
        <f t="shared" si="62"/>
        <v>-2.33934830364247</v>
      </c>
      <c r="AK173" s="62">
        <f>LOG10(AI173*1000/(0.08206*298.15))</f>
        <v>-3.5447109036894906</v>
      </c>
      <c r="AL173" s="62">
        <f t="shared" si="60"/>
        <v>-3.5447109036894906</v>
      </c>
      <c r="AM173" s="62">
        <v>-7.2137199999999995</v>
      </c>
      <c r="AN173" s="154">
        <v>-2.89</v>
      </c>
      <c r="AO173" s="410"/>
      <c r="AP173" s="410"/>
      <c r="AQ173" s="154" t="s">
        <v>6311</v>
      </c>
      <c r="AR173" s="154" t="s">
        <v>6311</v>
      </c>
      <c r="AS173" s="149" t="s">
        <v>6</v>
      </c>
      <c r="AT173" s="58" t="s">
        <v>266</v>
      </c>
      <c r="AU173" s="56">
        <v>2</v>
      </c>
      <c r="AV173" s="56">
        <v>98</v>
      </c>
      <c r="AW173" s="56">
        <v>96</v>
      </c>
      <c r="AX173" s="56">
        <v>26</v>
      </c>
      <c r="AY173" s="56" t="s">
        <v>267</v>
      </c>
      <c r="AZ173" s="56" t="s">
        <v>536</v>
      </c>
      <c r="BA173" s="56">
        <v>10</v>
      </c>
      <c r="BB173" s="55" t="s">
        <v>1764</v>
      </c>
      <c r="BC173" s="55" t="s">
        <v>2448</v>
      </c>
      <c r="BD173" s="55"/>
      <c r="BE173" s="56" t="s">
        <v>1712</v>
      </c>
      <c r="BF173" s="56"/>
      <c r="BG173" s="56"/>
      <c r="BH173" s="56"/>
      <c r="BI173" s="103"/>
      <c r="BJ173" s="103"/>
      <c r="BK173" s="56"/>
      <c r="BL173" s="103">
        <f t="shared" si="57"/>
        <v>1.2601957191637207E-2</v>
      </c>
      <c r="BM173" s="56" t="s">
        <v>541</v>
      </c>
      <c r="BN173" s="162">
        <v>4.8600000000000004E-2</v>
      </c>
      <c r="BO173" s="56">
        <v>3.9E-2</v>
      </c>
      <c r="BP173" s="56">
        <v>3.8299999999999994E-2</v>
      </c>
      <c r="BQ173" s="56">
        <v>3.7700000000000004E-2</v>
      </c>
      <c r="BR173" s="56"/>
      <c r="BS173" s="56"/>
      <c r="BT173" s="56"/>
      <c r="BU173" s="158"/>
      <c r="BV173" s="56"/>
      <c r="BW173" s="56"/>
      <c r="BX173" s="56"/>
      <c r="BY173" s="56"/>
      <c r="BZ173" s="56"/>
      <c r="CA173" s="56"/>
      <c r="CB173" s="56"/>
      <c r="CC173" s="56"/>
      <c r="CD173" s="56"/>
      <c r="CE173" s="56"/>
      <c r="CF173" s="56"/>
      <c r="CG173" s="56"/>
      <c r="CH173" s="56"/>
      <c r="CI173" s="103">
        <f t="shared" si="53"/>
        <v>3.7700000000000004E-2</v>
      </c>
      <c r="CJ173" s="103">
        <f t="shared" si="54"/>
        <v>-1.4236586497942072</v>
      </c>
      <c r="CK173" s="57" t="s">
        <v>404</v>
      </c>
      <c r="CL173" s="160">
        <f t="shared" si="61"/>
        <v>0.33426942152883832</v>
      </c>
      <c r="CM173" s="160">
        <v>-4.0524165191019463</v>
      </c>
      <c r="CN173" s="160"/>
      <c r="CO173" s="55"/>
      <c r="CP173" s="55" t="s">
        <v>2470</v>
      </c>
      <c r="CQ173" s="149">
        <v>-3.5100852138914185</v>
      </c>
      <c r="CR173" s="349">
        <f>10^(CJ173-CQ173)</f>
        <v>122.01874788517698</v>
      </c>
      <c r="CS173" s="61" t="s">
        <v>539</v>
      </c>
      <c r="CT173" s="61"/>
      <c r="CU173" s="111">
        <f t="shared" si="50"/>
        <v>1.6906005088384484</v>
      </c>
      <c r="CV173" s="331"/>
      <c r="CW173" s="326">
        <f t="shared" si="55"/>
        <v>0</v>
      </c>
      <c r="CX173" s="326" t="s">
        <v>539</v>
      </c>
      <c r="CY173" s="161" t="s">
        <v>5921</v>
      </c>
    </row>
    <row r="174" spans="1:103" ht="11.25" customHeight="1" x14ac:dyDescent="0.2">
      <c r="A174" s="72">
        <v>172</v>
      </c>
      <c r="B174" s="149">
        <v>11</v>
      </c>
      <c r="C174" s="54" t="s">
        <v>326</v>
      </c>
      <c r="D174" s="54"/>
      <c r="E174" s="59"/>
      <c r="F174" s="150" t="str">
        <f>HYPERLINK("http://www.sigmaaldrich.com/catalog/Lookup.do?N5=CAS+No.&amp;N3=mode+matchpartialmax&amp;N4=1421-86-9&amp;D7=0&amp;D10=&amp;N25=0&amp;N1=S_ID&amp;ST=RS&amp;F=PR","1421-86-9")</f>
        <v>1421-86-9</v>
      </c>
      <c r="G174" s="151">
        <v>1421869</v>
      </c>
      <c r="H174" s="55" t="s">
        <v>327</v>
      </c>
      <c r="I174" s="55" t="s">
        <v>8301</v>
      </c>
      <c r="J174" s="55" t="s">
        <v>328</v>
      </c>
      <c r="K174" s="55"/>
      <c r="L174" s="64"/>
      <c r="M174" s="55"/>
      <c r="N174" s="60"/>
      <c r="O174" s="55"/>
      <c r="P174" s="67"/>
      <c r="Q174" s="67"/>
      <c r="R174" s="67"/>
      <c r="S174" s="67"/>
      <c r="T174" s="59">
        <v>334.41</v>
      </c>
      <c r="U174" s="153">
        <f>160/334.41</f>
        <v>0.47845459166890941</v>
      </c>
      <c r="V174" s="153">
        <f>172.8/334.41</f>
        <v>0.51673095900242216</v>
      </c>
      <c r="W174" s="153">
        <v>0.8317637711026703</v>
      </c>
      <c r="X174" s="153">
        <f>160/334.41</f>
        <v>0.47845459166890941</v>
      </c>
      <c r="Y174" s="410">
        <v>9.65</v>
      </c>
      <c r="Z174" s="59">
        <v>1.85</v>
      </c>
      <c r="AA174" s="59">
        <v>1.93</v>
      </c>
      <c r="AB174" s="59">
        <v>1.6</v>
      </c>
      <c r="AC174" s="59">
        <v>0.88100000000000001</v>
      </c>
      <c r="AD174" s="59">
        <v>1.62</v>
      </c>
      <c r="AE174" s="59">
        <v>1.74</v>
      </c>
      <c r="AF174" s="59">
        <f t="shared" si="64"/>
        <v>1.93</v>
      </c>
      <c r="AG174" s="68">
        <v>2.93</v>
      </c>
      <c r="AH174" s="103">
        <v>5.9600000000000006E-14</v>
      </c>
      <c r="AI174" s="153"/>
      <c r="AJ174" s="62">
        <f t="shared" si="62"/>
        <v>-11.613320066572415</v>
      </c>
      <c r="AK174" s="62"/>
      <c r="AL174" s="62">
        <f t="shared" si="60"/>
        <v>-11.613320066572415</v>
      </c>
      <c r="AM174" s="62">
        <v>-17.42351</v>
      </c>
      <c r="AN174" s="152">
        <v>-8.2200000000000006</v>
      </c>
      <c r="AO174" s="410"/>
      <c r="AP174" s="410">
        <v>8.3699999999999992</v>
      </c>
      <c r="AQ174" s="152" t="s">
        <v>6311</v>
      </c>
      <c r="AR174" s="152" t="s">
        <v>6316</v>
      </c>
      <c r="AS174" s="149" t="s">
        <v>329</v>
      </c>
      <c r="AT174" s="58" t="s">
        <v>266</v>
      </c>
      <c r="AU174" s="155">
        <v>24</v>
      </c>
      <c r="AV174" s="155">
        <v>120</v>
      </c>
      <c r="AW174" s="155">
        <v>96</v>
      </c>
      <c r="AX174" s="155">
        <v>28</v>
      </c>
      <c r="AY174" s="155" t="s">
        <v>267</v>
      </c>
      <c r="AZ174" s="155" t="s">
        <v>268</v>
      </c>
      <c r="BA174" s="155">
        <v>48</v>
      </c>
      <c r="BB174" s="55" t="s">
        <v>269</v>
      </c>
      <c r="BC174" s="156" t="s">
        <v>270</v>
      </c>
      <c r="BD174" s="156" t="s">
        <v>8374</v>
      </c>
      <c r="BE174" s="155" t="s">
        <v>271</v>
      </c>
      <c r="BF174" s="155" t="s">
        <v>272</v>
      </c>
      <c r="BG174" s="155" t="s">
        <v>272</v>
      </c>
      <c r="BH174" s="155" t="s">
        <v>272</v>
      </c>
      <c r="BI174" s="157">
        <v>2.6963626068433684E-3</v>
      </c>
      <c r="BJ174" s="157">
        <v>2.6963626068433681</v>
      </c>
      <c r="BK174" s="56"/>
      <c r="BL174" s="103"/>
      <c r="BM174" s="56">
        <v>0</v>
      </c>
      <c r="BN174" s="56"/>
      <c r="BO174" s="56"/>
      <c r="BP174" s="56"/>
      <c r="BQ174" s="56"/>
      <c r="BR174" s="56"/>
      <c r="BS174" s="56"/>
      <c r="BT174" s="56"/>
      <c r="BU174" s="158"/>
      <c r="BV174" s="56"/>
      <c r="BW174" s="56"/>
      <c r="BX174" s="56"/>
      <c r="BY174" s="56"/>
      <c r="BZ174" s="56">
        <v>0.45</v>
      </c>
      <c r="CA174" s="56">
        <v>0.32</v>
      </c>
      <c r="CB174" s="56">
        <v>0.06</v>
      </c>
      <c r="CC174" s="56"/>
      <c r="CD174" s="56"/>
      <c r="CE174" s="56"/>
      <c r="CF174" s="56"/>
      <c r="CG174" s="56"/>
      <c r="CH174" s="56"/>
      <c r="CI174" s="103">
        <f t="shared" si="53"/>
        <v>0.06</v>
      </c>
      <c r="CJ174" s="103">
        <f t="shared" si="54"/>
        <v>-1.2218487496163564</v>
      </c>
      <c r="CK174" s="57">
        <f>BL174/BJ174</f>
        <v>0</v>
      </c>
      <c r="CL174" s="160">
        <f t="shared" si="61"/>
        <v>0</v>
      </c>
      <c r="CM174" s="160"/>
      <c r="CN174" s="160"/>
      <c r="CO174" s="55" t="s">
        <v>273</v>
      </c>
      <c r="CP174" s="156" t="s">
        <v>274</v>
      </c>
      <c r="CQ174" s="149" t="s">
        <v>272</v>
      </c>
      <c r="CR174" s="349"/>
      <c r="CS174" s="61" t="s">
        <v>539</v>
      </c>
      <c r="CT174" s="61"/>
      <c r="CU174" s="111">
        <f t="shared" si="50"/>
        <v>7.9742431944818239</v>
      </c>
      <c r="CV174" s="331">
        <f>X174/BJ174</f>
        <v>0.17744445441224843</v>
      </c>
      <c r="CW174" s="326">
        <f t="shared" si="55"/>
        <v>1</v>
      </c>
      <c r="CX174" s="326"/>
      <c r="CY174" s="161" t="s">
        <v>5921</v>
      </c>
    </row>
    <row r="175" spans="1:103" ht="11.25" customHeight="1" x14ac:dyDescent="0.2">
      <c r="A175" s="72">
        <v>173</v>
      </c>
      <c r="B175" s="149">
        <v>1306</v>
      </c>
      <c r="C175" s="54" t="s">
        <v>3582</v>
      </c>
      <c r="D175" s="54"/>
      <c r="E175" s="59"/>
      <c r="F175" s="59" t="s">
        <v>3583</v>
      </c>
      <c r="G175" s="151">
        <v>1461229</v>
      </c>
      <c r="H175" s="55" t="s">
        <v>3584</v>
      </c>
      <c r="I175" s="55" t="s">
        <v>7791</v>
      </c>
      <c r="J175" s="55" t="s">
        <v>3585</v>
      </c>
      <c r="K175" s="55" t="s">
        <v>403</v>
      </c>
      <c r="L175" s="55"/>
      <c r="M175" s="55" t="s">
        <v>3586</v>
      </c>
      <c r="N175" s="60"/>
      <c r="O175" s="55" t="s">
        <v>3587</v>
      </c>
      <c r="P175" s="67"/>
      <c r="Q175" s="67"/>
      <c r="R175" s="67"/>
      <c r="S175" s="67"/>
      <c r="T175" s="56">
        <v>325.51</v>
      </c>
      <c r="U175" s="103">
        <v>5.2225738072563054E-2</v>
      </c>
      <c r="V175" s="103">
        <v>0.35267733710177873</v>
      </c>
      <c r="W175" s="103">
        <v>1.1220184543019615E-3</v>
      </c>
      <c r="X175" s="103">
        <v>5.2225738072563054E-2</v>
      </c>
      <c r="Y175" s="162">
        <v>7</v>
      </c>
      <c r="Z175" s="56">
        <v>4.7</v>
      </c>
      <c r="AA175" s="56">
        <v>2.2000000000000002</v>
      </c>
      <c r="AB175" s="56">
        <v>3.52</v>
      </c>
      <c r="AC175" s="56">
        <v>0.58020000000000005</v>
      </c>
      <c r="AD175" s="56">
        <v>3.68</v>
      </c>
      <c r="AE175" s="56">
        <v>3.85</v>
      </c>
      <c r="AF175" s="56">
        <f t="shared" si="64"/>
        <v>2.2000000000000002</v>
      </c>
      <c r="AG175" s="57">
        <v>3.68</v>
      </c>
      <c r="AH175" s="103">
        <v>16.399999999999999</v>
      </c>
      <c r="AI175" s="103"/>
      <c r="AJ175" s="62">
        <f t="shared" si="62"/>
        <v>2.826277521735046</v>
      </c>
      <c r="AK175" s="62"/>
      <c r="AL175" s="62">
        <f t="shared" si="60"/>
        <v>2.826277521735046</v>
      </c>
      <c r="AM175" s="62">
        <v>-1.06331</v>
      </c>
      <c r="AN175" s="154">
        <v>-1.1299999999999999</v>
      </c>
      <c r="AO175" s="410"/>
      <c r="AP175" s="410"/>
      <c r="AQ175" s="56" t="s">
        <v>6311</v>
      </c>
      <c r="AR175" s="56" t="s">
        <v>6311</v>
      </c>
      <c r="AS175" s="155"/>
      <c r="AT175" s="58" t="s">
        <v>266</v>
      </c>
      <c r="AU175" s="56">
        <v>6</v>
      </c>
      <c r="AV175" s="56">
        <v>120</v>
      </c>
      <c r="AW175" s="56">
        <v>114</v>
      </c>
      <c r="AX175" s="56">
        <v>28</v>
      </c>
      <c r="AY175" s="56" t="s">
        <v>8728</v>
      </c>
      <c r="AZ175" s="56" t="s">
        <v>1563</v>
      </c>
      <c r="BA175" s="56">
        <v>32</v>
      </c>
      <c r="BB175" s="55" t="s">
        <v>2485</v>
      </c>
      <c r="BC175" s="55" t="s">
        <v>8726</v>
      </c>
      <c r="BD175" s="55" t="s">
        <v>8374</v>
      </c>
      <c r="BE175" s="56" t="s">
        <v>2449</v>
      </c>
      <c r="BF175" s="56" t="s">
        <v>272</v>
      </c>
      <c r="BG175" s="56" t="s">
        <v>272</v>
      </c>
      <c r="BH175" s="56" t="s">
        <v>2486</v>
      </c>
      <c r="BI175" s="103">
        <v>6.3999999999999997E-6</v>
      </c>
      <c r="BJ175" s="103">
        <v>6.4000000000000001E-2</v>
      </c>
      <c r="BK175" s="56"/>
      <c r="BL175" s="103">
        <f t="shared" ref="BL175:BL215" si="65">10^((-0.8981*Z175)+1.7108)</f>
        <v>3.0883747991894929E-3</v>
      </c>
      <c r="BM175" s="56" t="s">
        <v>2487</v>
      </c>
      <c r="BN175" s="56"/>
      <c r="BO175" s="56"/>
      <c r="BP175" s="56"/>
      <c r="BQ175" s="56"/>
      <c r="BR175" s="55">
        <v>2.0238579999999999E-3</v>
      </c>
      <c r="BS175" s="56"/>
      <c r="BT175" s="56"/>
      <c r="BU175" s="158"/>
      <c r="BV175" s="56"/>
      <c r="BW175" s="56"/>
      <c r="BX175" s="56"/>
      <c r="BY175" s="56"/>
      <c r="BZ175" s="56"/>
      <c r="CA175" s="56"/>
      <c r="CB175" s="56"/>
      <c r="CC175" s="56"/>
      <c r="CD175" s="56"/>
      <c r="CE175" s="56"/>
      <c r="CF175" s="56"/>
      <c r="CG175" s="56"/>
      <c r="CH175" s="56"/>
      <c r="CI175" s="103">
        <f t="shared" si="53"/>
        <v>2.0238579999999999E-3</v>
      </c>
      <c r="CJ175" s="103">
        <f t="shared" si="54"/>
        <v>-2.6938199621780141</v>
      </c>
      <c r="CK175" s="57">
        <f>BL175/BJ175</f>
        <v>4.8255856237335824E-2</v>
      </c>
      <c r="CL175" s="160">
        <f t="shared" si="61"/>
        <v>1.5259839372077948</v>
      </c>
      <c r="CM175" s="160"/>
      <c r="CN175" s="160"/>
      <c r="CO175" s="55" t="s">
        <v>2488</v>
      </c>
      <c r="CP175" s="55" t="s">
        <v>2489</v>
      </c>
      <c r="CQ175" s="149" t="s">
        <v>272</v>
      </c>
      <c r="CR175" s="349"/>
      <c r="CS175" s="61" t="s">
        <v>539</v>
      </c>
      <c r="CT175" s="61"/>
      <c r="CU175" s="111">
        <f t="shared" si="50"/>
        <v>25.805040705703195</v>
      </c>
      <c r="CV175" s="331">
        <f>X175/BJ175</f>
        <v>0.81602715738379772</v>
      </c>
      <c r="CW175" s="326">
        <f t="shared" si="55"/>
        <v>1</v>
      </c>
      <c r="CX175" s="326"/>
      <c r="CY175" s="161" t="s">
        <v>6351</v>
      </c>
    </row>
    <row r="176" spans="1:103" ht="11.25" customHeight="1" x14ac:dyDescent="0.2">
      <c r="A176" s="72">
        <v>174</v>
      </c>
      <c r="B176" s="149">
        <v>1036</v>
      </c>
      <c r="C176" s="54" t="s">
        <v>2943</v>
      </c>
      <c r="D176" s="54"/>
      <c r="E176" s="59"/>
      <c r="F176" s="59" t="s">
        <v>2944</v>
      </c>
      <c r="G176" s="151">
        <v>1478611</v>
      </c>
      <c r="H176" s="55" t="s">
        <v>2945</v>
      </c>
      <c r="I176" s="55" t="s">
        <v>2945</v>
      </c>
      <c r="J176" s="55" t="s">
        <v>2946</v>
      </c>
      <c r="K176" s="55" t="s">
        <v>376</v>
      </c>
      <c r="L176" s="55"/>
      <c r="M176" s="55"/>
      <c r="N176" s="60"/>
      <c r="O176" s="55"/>
      <c r="P176" s="67"/>
      <c r="Q176" s="67"/>
      <c r="R176" s="67"/>
      <c r="S176" s="67"/>
      <c r="T176" s="56">
        <v>336.23</v>
      </c>
      <c r="U176" s="103"/>
      <c r="V176" s="103">
        <v>1.2794813074383604E-2</v>
      </c>
      <c r="W176" s="103">
        <v>0.28840315031266012</v>
      </c>
      <c r="X176" s="103">
        <f>IF(W176=0,V176,W176)</f>
        <v>0.28840315031266012</v>
      </c>
      <c r="Y176" s="162">
        <v>6.14</v>
      </c>
      <c r="Z176" s="56">
        <v>4.47</v>
      </c>
      <c r="AA176" s="56"/>
      <c r="AB176" s="56">
        <v>4.07</v>
      </c>
      <c r="AC176" s="56">
        <v>0.46689999999999998</v>
      </c>
      <c r="AD176" s="56">
        <v>3.44</v>
      </c>
      <c r="AE176" s="56">
        <v>2.82</v>
      </c>
      <c r="AF176" s="56">
        <f t="shared" si="64"/>
        <v>3.44</v>
      </c>
      <c r="AG176" s="57">
        <v>3.44</v>
      </c>
      <c r="AH176" s="103">
        <v>5.68E-10</v>
      </c>
      <c r="AI176" s="103"/>
      <c r="AJ176" s="62">
        <f t="shared" si="62"/>
        <v>-7.6342179906016332</v>
      </c>
      <c r="AK176" s="62"/>
      <c r="AL176" s="62">
        <f t="shared" si="60"/>
        <v>-7.6342179906016332</v>
      </c>
      <c r="AM176" s="62">
        <v>-11.082989999999999</v>
      </c>
      <c r="AN176" s="154"/>
      <c r="AO176" s="410">
        <v>8.74</v>
      </c>
      <c r="AP176" s="410"/>
      <c r="AQ176" s="56" t="s">
        <v>6311</v>
      </c>
      <c r="AR176" s="56" t="s">
        <v>6311</v>
      </c>
      <c r="AS176" s="155"/>
      <c r="AT176" s="58" t="s">
        <v>266</v>
      </c>
      <c r="AU176" s="56">
        <v>6</v>
      </c>
      <c r="AV176" s="56">
        <v>120</v>
      </c>
      <c r="AW176" s="56">
        <v>114</v>
      </c>
      <c r="AX176" s="56">
        <v>28</v>
      </c>
      <c r="AY176" s="56" t="s">
        <v>8728</v>
      </c>
      <c r="AZ176" s="56" t="s">
        <v>1563</v>
      </c>
      <c r="BA176" s="56">
        <v>32</v>
      </c>
      <c r="BB176" s="55" t="s">
        <v>2485</v>
      </c>
      <c r="BC176" s="55" t="s">
        <v>8726</v>
      </c>
      <c r="BD176" s="55" t="s">
        <v>8374</v>
      </c>
      <c r="BE176" s="56" t="s">
        <v>2449</v>
      </c>
      <c r="BF176" s="56" t="s">
        <v>272</v>
      </c>
      <c r="BG176" s="56" t="s">
        <v>272</v>
      </c>
      <c r="BH176" s="56" t="s">
        <v>2486</v>
      </c>
      <c r="BI176" s="103">
        <v>6.3999999999999997E-6</v>
      </c>
      <c r="BJ176" s="103">
        <v>6.4000000000000001E-2</v>
      </c>
      <c r="BK176" s="56"/>
      <c r="BL176" s="103">
        <f t="shared" si="65"/>
        <v>4.9692746419135745E-3</v>
      </c>
      <c r="BM176" s="56" t="s">
        <v>2046</v>
      </c>
      <c r="BN176" s="56"/>
      <c r="BO176" s="56"/>
      <c r="BP176" s="56"/>
      <c r="BQ176" s="56"/>
      <c r="BR176" s="55">
        <v>2.0238577000000001E-2</v>
      </c>
      <c r="BS176" s="56"/>
      <c r="BT176" s="56"/>
      <c r="BU176" s="158"/>
      <c r="BV176" s="56"/>
      <c r="BW176" s="56"/>
      <c r="BX176" s="56"/>
      <c r="BY176" s="56"/>
      <c r="BZ176" s="56"/>
      <c r="CA176" s="56"/>
      <c r="CB176" s="56"/>
      <c r="CC176" s="56"/>
      <c r="CD176" s="56"/>
      <c r="CE176" s="56"/>
      <c r="CF176" s="56"/>
      <c r="CG176" s="56"/>
      <c r="CH176" s="56"/>
      <c r="CI176" s="103">
        <f t="shared" si="53"/>
        <v>2.0238577000000001E-2</v>
      </c>
      <c r="CJ176" s="103">
        <f t="shared" si="54"/>
        <v>-1.6938200265542473</v>
      </c>
      <c r="CK176" s="57">
        <f>BL176/BJ176</f>
        <v>7.7644916279899598E-2</v>
      </c>
      <c r="CL176" s="160">
        <f t="shared" si="61"/>
        <v>0.24553478448181285</v>
      </c>
      <c r="CM176" s="160"/>
      <c r="CN176" s="160"/>
      <c r="CO176" s="55" t="s">
        <v>2488</v>
      </c>
      <c r="CP176" s="55" t="s">
        <v>2489</v>
      </c>
      <c r="CQ176" s="149" t="s">
        <v>272</v>
      </c>
      <c r="CR176" s="349"/>
      <c r="CS176" s="61" t="s">
        <v>539</v>
      </c>
      <c r="CT176" s="61"/>
      <c r="CU176" s="111">
        <f t="shared" si="50"/>
        <v>14.250169382593455</v>
      </c>
      <c r="CV176" s="331">
        <f>X176/BJ176</f>
        <v>4.5062992236353141</v>
      </c>
      <c r="CW176" s="326">
        <f t="shared" si="55"/>
        <v>1</v>
      </c>
      <c r="CX176" s="326"/>
      <c r="CY176" s="161" t="s">
        <v>5921</v>
      </c>
    </row>
    <row r="177" spans="1:103" ht="11.25" customHeight="1" x14ac:dyDescent="0.2">
      <c r="A177" s="72">
        <v>175</v>
      </c>
      <c r="B177" s="149">
        <v>759</v>
      </c>
      <c r="C177" s="54" t="s">
        <v>2143</v>
      </c>
      <c r="D177" s="54"/>
      <c r="E177" s="59"/>
      <c r="F177" s="59" t="s">
        <v>2144</v>
      </c>
      <c r="G177" s="151">
        <v>1568838</v>
      </c>
      <c r="H177" s="55" t="s">
        <v>2145</v>
      </c>
      <c r="I177" s="55" t="s">
        <v>7784</v>
      </c>
      <c r="J177" s="55" t="s">
        <v>2146</v>
      </c>
      <c r="K177" s="55" t="s">
        <v>426</v>
      </c>
      <c r="L177" s="55"/>
      <c r="M177" s="55"/>
      <c r="N177" s="60"/>
      <c r="O177" s="55"/>
      <c r="P177" s="67"/>
      <c r="Q177" s="67"/>
      <c r="R177" s="67"/>
      <c r="S177" s="67"/>
      <c r="T177" s="56">
        <v>256.33999999999997</v>
      </c>
      <c r="U177" s="103"/>
      <c r="V177" s="103">
        <v>7.2481860029648135E-3</v>
      </c>
      <c r="W177" s="103">
        <v>7.2443596007499042E-2</v>
      </c>
      <c r="X177" s="103">
        <f>IF(W177=0,V177,W177)</f>
        <v>7.2443596007499042E-2</v>
      </c>
      <c r="Y177" s="162">
        <v>7</v>
      </c>
      <c r="Z177" s="56">
        <v>4.7699999999999996</v>
      </c>
      <c r="AA177" s="56"/>
      <c r="AB177" s="56">
        <v>4.95</v>
      </c>
      <c r="AC177" s="56">
        <v>0.7853</v>
      </c>
      <c r="AD177" s="56">
        <v>4.88</v>
      </c>
      <c r="AE177" s="56">
        <v>4.7300000000000004</v>
      </c>
      <c r="AF177" s="56">
        <f t="shared" si="64"/>
        <v>4.88</v>
      </c>
      <c r="AG177" s="57">
        <v>4.29</v>
      </c>
      <c r="AH177" s="103">
        <v>2.96E-6</v>
      </c>
      <c r="AI177" s="103"/>
      <c r="AJ177" s="62">
        <f t="shared" si="62"/>
        <v>-3.9172746152537132</v>
      </c>
      <c r="AK177" s="62"/>
      <c r="AL177" s="62">
        <f t="shared" si="60"/>
        <v>-3.9172746152537132</v>
      </c>
      <c r="AM177" s="62">
        <v>-8.2977699999999999</v>
      </c>
      <c r="AN177" s="154">
        <v>-13.7</v>
      </c>
      <c r="AO177" s="410"/>
      <c r="AP177" s="410"/>
      <c r="AQ177" s="154" t="s">
        <v>6311</v>
      </c>
      <c r="AR177" s="154" t="s">
        <v>6311</v>
      </c>
      <c r="AS177" s="149" t="s">
        <v>63</v>
      </c>
      <c r="AT177" s="58" t="s">
        <v>266</v>
      </c>
      <c r="AU177" s="56">
        <v>2</v>
      </c>
      <c r="AV177" s="56">
        <v>120</v>
      </c>
      <c r="AW177" s="56">
        <v>120</v>
      </c>
      <c r="AX177" s="56" t="s">
        <v>2137</v>
      </c>
      <c r="AY177" s="56" t="s">
        <v>8722</v>
      </c>
      <c r="AZ177" s="56" t="s">
        <v>2138</v>
      </c>
      <c r="BA177" s="56">
        <v>25</v>
      </c>
      <c r="BB177" s="55" t="s">
        <v>2139</v>
      </c>
      <c r="BC177" s="55" t="s">
        <v>2140</v>
      </c>
      <c r="BD177" s="55"/>
      <c r="BE177" s="56" t="s">
        <v>271</v>
      </c>
      <c r="BF177" s="56" t="s">
        <v>272</v>
      </c>
      <c r="BG177" s="56" t="s">
        <v>272</v>
      </c>
      <c r="BH177" s="56" t="s">
        <v>2141</v>
      </c>
      <c r="BI177" s="157">
        <v>1.9505344464383243E-3</v>
      </c>
      <c r="BJ177" s="157">
        <v>3.9010688928766489E-2</v>
      </c>
      <c r="BK177" s="56"/>
      <c r="BL177" s="103">
        <f t="shared" si="65"/>
        <v>2.6721633306612523E-3</v>
      </c>
      <c r="BM177" s="56" t="s">
        <v>2046</v>
      </c>
      <c r="BN177" s="56"/>
      <c r="BO177" s="56"/>
      <c r="BP177" s="56"/>
      <c r="BQ177" s="56"/>
      <c r="BR177" s="56">
        <v>4.6812826714519784E-3</v>
      </c>
      <c r="BS177" s="56"/>
      <c r="BT177" s="56"/>
      <c r="BU177" s="158"/>
      <c r="BV177" s="56"/>
      <c r="BW177" s="56"/>
      <c r="BX177" s="56"/>
      <c r="BY177" s="56"/>
      <c r="BZ177" s="56"/>
      <c r="CA177" s="56"/>
      <c r="CB177" s="56"/>
      <c r="CC177" s="56"/>
      <c r="CD177" s="56"/>
      <c r="CE177" s="56"/>
      <c r="CF177" s="56"/>
      <c r="CG177" s="56"/>
      <c r="CH177" s="56"/>
      <c r="CI177" s="103">
        <f t="shared" si="53"/>
        <v>4.6812826714519784E-3</v>
      </c>
      <c r="CJ177" s="103">
        <f t="shared" si="54"/>
        <v>-2.3296351339323098</v>
      </c>
      <c r="CK177" s="57">
        <f>BL177/BJ177</f>
        <v>6.8498234818170523E-2</v>
      </c>
      <c r="CL177" s="160">
        <f t="shared" si="61"/>
        <v>0.57081862348475443</v>
      </c>
      <c r="CM177" s="160"/>
      <c r="CN177" s="160"/>
      <c r="CO177" s="55"/>
      <c r="CP177" s="55" t="s">
        <v>2142</v>
      </c>
      <c r="CQ177" s="149" t="s">
        <v>272</v>
      </c>
      <c r="CR177" s="349"/>
      <c r="CS177" s="61" t="s">
        <v>539</v>
      </c>
      <c r="CT177" s="61"/>
      <c r="CU177" s="111">
        <f t="shared" si="50"/>
        <v>15.475159500468585</v>
      </c>
      <c r="CV177" s="331">
        <f>X177/BJ177</f>
        <v>1.8570191400562301</v>
      </c>
      <c r="CW177" s="326">
        <f t="shared" si="55"/>
        <v>1</v>
      </c>
      <c r="CX177" s="326"/>
      <c r="CY177" s="161" t="s">
        <v>5921</v>
      </c>
    </row>
    <row r="178" spans="1:103" ht="11.25" customHeight="1" x14ac:dyDescent="0.2">
      <c r="A178" s="72">
        <v>176</v>
      </c>
      <c r="B178" s="149">
        <v>981</v>
      </c>
      <c r="C178" s="54" t="s">
        <v>2799</v>
      </c>
      <c r="D178" s="54" t="s">
        <v>6448</v>
      </c>
      <c r="E178" s="59"/>
      <c r="F178" s="59" t="s">
        <v>1760</v>
      </c>
      <c r="G178" s="151">
        <v>80466</v>
      </c>
      <c r="H178" s="55" t="s">
        <v>1761</v>
      </c>
      <c r="I178" s="55" t="s">
        <v>1761</v>
      </c>
      <c r="J178" s="55" t="s">
        <v>1762</v>
      </c>
      <c r="K178" s="55" t="s">
        <v>349</v>
      </c>
      <c r="L178" s="55" t="s">
        <v>6025</v>
      </c>
      <c r="M178" s="55" t="s">
        <v>6112</v>
      </c>
      <c r="N178" s="60" t="s">
        <v>6082</v>
      </c>
      <c r="O178" s="55" t="s">
        <v>1763</v>
      </c>
      <c r="P178" s="67" t="s">
        <v>6184</v>
      </c>
      <c r="Q178" s="67" t="s">
        <v>6173</v>
      </c>
      <c r="R178" s="67" t="s">
        <v>6185</v>
      </c>
      <c r="S178" s="67" t="s">
        <v>6176</v>
      </c>
      <c r="T178" s="56">
        <v>164.24</v>
      </c>
      <c r="U178" s="103">
        <v>1.0228933268387725</v>
      </c>
      <c r="V178" s="103">
        <v>0.68923526546517289</v>
      </c>
      <c r="W178" s="103">
        <v>2.8183829312644524</v>
      </c>
      <c r="X178" s="103">
        <v>1.0228933268387725</v>
      </c>
      <c r="Y178" s="162">
        <v>6.38</v>
      </c>
      <c r="Z178" s="56">
        <v>3.91</v>
      </c>
      <c r="AA178" s="56"/>
      <c r="AB178" s="56">
        <v>3.65</v>
      </c>
      <c r="AC178" s="56">
        <v>0.90659999999999996</v>
      </c>
      <c r="AD178" s="56">
        <v>3.66</v>
      </c>
      <c r="AE178" s="56">
        <v>3.7</v>
      </c>
      <c r="AF178" s="56">
        <f t="shared" si="64"/>
        <v>3.66</v>
      </c>
      <c r="AG178" s="57">
        <v>3.54</v>
      </c>
      <c r="AH178" s="103">
        <v>1.9199999999999998E-6</v>
      </c>
      <c r="AI178" s="103"/>
      <c r="AJ178" s="62">
        <f t="shared" si="62"/>
        <v>-4.1052650976091023</v>
      </c>
      <c r="AK178" s="62"/>
      <c r="AL178" s="62">
        <f t="shared" si="60"/>
        <v>-4.1052650976091023</v>
      </c>
      <c r="AM178" s="62">
        <v>-6.8975099999999996</v>
      </c>
      <c r="AN178" s="154">
        <v>-4.1500000000000004</v>
      </c>
      <c r="AO178" s="410">
        <v>10.24</v>
      </c>
      <c r="AP178" s="410"/>
      <c r="AQ178" s="56" t="s">
        <v>6311</v>
      </c>
      <c r="AR178" s="56" t="s">
        <v>6311</v>
      </c>
      <c r="AS178" s="155"/>
      <c r="AT178" s="58" t="s">
        <v>266</v>
      </c>
      <c r="AU178" s="56">
        <v>6</v>
      </c>
      <c r="AV178" s="56">
        <v>120</v>
      </c>
      <c r="AW178" s="56">
        <v>114</v>
      </c>
      <c r="AX178" s="56">
        <v>28</v>
      </c>
      <c r="AY178" s="56" t="s">
        <v>8728</v>
      </c>
      <c r="AZ178" s="56" t="s">
        <v>1563</v>
      </c>
      <c r="BA178" s="56">
        <v>32</v>
      </c>
      <c r="BB178" s="55" t="s">
        <v>2485</v>
      </c>
      <c r="BC178" s="55" t="s">
        <v>8726</v>
      </c>
      <c r="BD178" s="55" t="s">
        <v>8374</v>
      </c>
      <c r="BE178" s="56" t="s">
        <v>2449</v>
      </c>
      <c r="BF178" s="56" t="s">
        <v>272</v>
      </c>
      <c r="BG178" s="56" t="s">
        <v>272</v>
      </c>
      <c r="BH178" s="56" t="s">
        <v>2486</v>
      </c>
      <c r="BI178" s="103">
        <v>6.3999999999999997E-6</v>
      </c>
      <c r="BJ178" s="103">
        <v>6.4000000000000001E-2</v>
      </c>
      <c r="BK178" s="56"/>
      <c r="BL178" s="103">
        <f t="shared" si="65"/>
        <v>1.5820820385510807E-2</v>
      </c>
      <c r="BM178" s="56" t="s">
        <v>2487</v>
      </c>
      <c r="BN178" s="56"/>
      <c r="BO178" s="56"/>
      <c r="BP178" s="56"/>
      <c r="BQ178" s="56"/>
      <c r="BR178" s="55">
        <v>3.6999999999999998E-2</v>
      </c>
      <c r="BS178" s="56"/>
      <c r="BT178" s="56"/>
      <c r="BU178" s="158"/>
      <c r="BV178" s="56"/>
      <c r="BW178" s="56"/>
      <c r="BX178" s="56"/>
      <c r="BY178" s="56"/>
      <c r="BZ178" s="56"/>
      <c r="CA178" s="56"/>
      <c r="CB178" s="56"/>
      <c r="CC178" s="56"/>
      <c r="CD178" s="56"/>
      <c r="CE178" s="56"/>
      <c r="CF178" s="56"/>
      <c r="CG178" s="56"/>
      <c r="CH178" s="56"/>
      <c r="CI178" s="103">
        <f t="shared" si="53"/>
        <v>3.6999999999999998E-2</v>
      </c>
      <c r="CJ178" s="103">
        <f t="shared" si="54"/>
        <v>-1.431798275933005</v>
      </c>
      <c r="CK178" s="57">
        <f>BL178/BJ178</f>
        <v>0.24720031852360635</v>
      </c>
      <c r="CL178" s="160">
        <f t="shared" si="61"/>
        <v>0.42758974014894074</v>
      </c>
      <c r="CM178" s="160">
        <v>-1.8067412294544996</v>
      </c>
      <c r="CN178" s="160">
        <f>BJ178/(10^CM178)</f>
        <v>4.101296840332143</v>
      </c>
      <c r="CO178" s="55" t="s">
        <v>2488</v>
      </c>
      <c r="CP178" s="55" t="s">
        <v>2489</v>
      </c>
      <c r="CQ178" s="149">
        <v>-1.8067412294544998</v>
      </c>
      <c r="CR178" s="349">
        <f>10^(CJ178-CQ178)</f>
        <v>2.3710622358170199</v>
      </c>
      <c r="CS178" s="61" t="s">
        <v>539</v>
      </c>
      <c r="CT178" s="61"/>
      <c r="CU178" s="111">
        <f t="shared" si="50"/>
        <v>27.645765590237097</v>
      </c>
      <c r="CV178" s="331">
        <f>X178/BJ178</f>
        <v>15.98270823185582</v>
      </c>
      <c r="CW178" s="326">
        <f t="shared" si="55"/>
        <v>1</v>
      </c>
      <c r="CX178" s="326"/>
      <c r="CY178" s="161" t="s">
        <v>6351</v>
      </c>
    </row>
    <row r="179" spans="1:103" ht="11.25" customHeight="1" x14ac:dyDescent="0.2">
      <c r="A179" s="72">
        <v>177</v>
      </c>
      <c r="B179" s="149">
        <v>1944</v>
      </c>
      <c r="C179" s="54" t="s">
        <v>977</v>
      </c>
      <c r="D179" s="54" t="s">
        <v>6447</v>
      </c>
      <c r="E179" s="59"/>
      <c r="F179" s="167" t="s">
        <v>978</v>
      </c>
      <c r="G179" s="151">
        <v>80057</v>
      </c>
      <c r="H179" s="67" t="s">
        <v>979</v>
      </c>
      <c r="I179" s="67" t="s">
        <v>979</v>
      </c>
      <c r="J179" s="67" t="s">
        <v>980</v>
      </c>
      <c r="K179" s="67" t="s">
        <v>376</v>
      </c>
      <c r="L179" s="67" t="s">
        <v>5492</v>
      </c>
      <c r="M179" s="67" t="s">
        <v>5510</v>
      </c>
      <c r="N179" s="60" t="s">
        <v>6386</v>
      </c>
      <c r="O179" s="67" t="s">
        <v>5511</v>
      </c>
      <c r="P179" s="67"/>
      <c r="Q179" s="67"/>
      <c r="R179" s="67"/>
      <c r="S179" s="67"/>
      <c r="T179" s="61">
        <v>228.29</v>
      </c>
      <c r="U179" s="111">
        <v>0.52564720311884006</v>
      </c>
      <c r="V179" s="111">
        <v>0.75649393315519731</v>
      </c>
      <c r="W179" s="111">
        <v>0.38904514499428011</v>
      </c>
      <c r="X179" s="111">
        <v>0.52564720311884006</v>
      </c>
      <c r="Y179" s="411">
        <v>6.76</v>
      </c>
      <c r="Z179" s="61">
        <v>3.64</v>
      </c>
      <c r="AA179" s="61">
        <v>3.32</v>
      </c>
      <c r="AB179" s="61">
        <v>3.73</v>
      </c>
      <c r="AC179" s="61">
        <v>0.77510000000000001</v>
      </c>
      <c r="AD179" s="61">
        <v>3.63</v>
      </c>
      <c r="AE179" s="61">
        <v>3.43</v>
      </c>
      <c r="AF179" s="61">
        <f t="shared" si="64"/>
        <v>3.32</v>
      </c>
      <c r="AG179" s="62">
        <v>3.7</v>
      </c>
      <c r="AH179" s="111">
        <v>9.1600000000000006E-12</v>
      </c>
      <c r="AI179" s="111"/>
      <c r="AJ179" s="62">
        <f t="shared" si="62"/>
        <v>-9.4266708526448006</v>
      </c>
      <c r="AK179" s="62"/>
      <c r="AL179" s="62">
        <f t="shared" si="60"/>
        <v>-9.4266708526448006</v>
      </c>
      <c r="AM179" s="62">
        <v>-13.641390000000001</v>
      </c>
      <c r="AN179" s="163">
        <v>-10.218999999999999</v>
      </c>
      <c r="AO179" s="410">
        <v>10.29</v>
      </c>
      <c r="AP179" s="410"/>
      <c r="AQ179" s="163" t="s">
        <v>6311</v>
      </c>
      <c r="AR179" s="163" t="s">
        <v>6311</v>
      </c>
      <c r="AS179" s="164" t="s">
        <v>5466</v>
      </c>
      <c r="AT179" s="63" t="s">
        <v>266</v>
      </c>
      <c r="AU179" s="61">
        <v>0</v>
      </c>
      <c r="AV179" s="61">
        <v>96</v>
      </c>
      <c r="AW179" s="61">
        <v>96</v>
      </c>
      <c r="AX179" s="61">
        <v>26</v>
      </c>
      <c r="AY179" s="61" t="s">
        <v>267</v>
      </c>
      <c r="AZ179" s="61"/>
      <c r="BA179" s="61">
        <v>10</v>
      </c>
      <c r="BB179" s="67" t="s">
        <v>5487</v>
      </c>
      <c r="BC179" s="67" t="s">
        <v>8726</v>
      </c>
      <c r="BD179" s="67" t="s">
        <v>8374</v>
      </c>
      <c r="BE179" s="61" t="s">
        <v>2449</v>
      </c>
      <c r="BF179" s="61"/>
      <c r="BG179" s="61"/>
      <c r="BH179" s="61" t="s">
        <v>5512</v>
      </c>
      <c r="BI179" s="111"/>
      <c r="BJ179" s="111"/>
      <c r="BK179" s="61"/>
      <c r="BL179" s="111">
        <f t="shared" si="65"/>
        <v>2.7651328392176541E-2</v>
      </c>
      <c r="BM179" s="61"/>
      <c r="BN179" s="61"/>
      <c r="BO179" s="61"/>
      <c r="BP179" s="61"/>
      <c r="BQ179" s="61">
        <v>3.5222743000000001E-2</v>
      </c>
      <c r="BR179" s="61"/>
      <c r="BS179" s="61"/>
      <c r="BT179" s="61"/>
      <c r="BU179" s="158"/>
      <c r="BV179" s="61"/>
      <c r="BW179" s="61"/>
      <c r="BX179" s="61"/>
      <c r="BY179" s="61"/>
      <c r="BZ179" s="61"/>
      <c r="CA179" s="61"/>
      <c r="CB179" s="61"/>
      <c r="CC179" s="61"/>
      <c r="CD179" s="61"/>
      <c r="CE179" s="61"/>
      <c r="CF179" s="61"/>
      <c r="CG179" s="61"/>
      <c r="CH179" s="61"/>
      <c r="CI179" s="111">
        <f t="shared" si="53"/>
        <v>3.5222743000000001E-2</v>
      </c>
      <c r="CJ179" s="103">
        <f t="shared" si="54"/>
        <v>-1.4531768260127764</v>
      </c>
      <c r="CK179" s="57" t="s">
        <v>404</v>
      </c>
      <c r="CL179" s="160">
        <f t="shared" si="61"/>
        <v>0.78504188024699095</v>
      </c>
      <c r="CM179" s="160">
        <v>-1.6910590432915908</v>
      </c>
      <c r="CN179" s="160"/>
      <c r="CO179" s="67"/>
      <c r="CP179" s="67" t="s">
        <v>5513</v>
      </c>
      <c r="CQ179" s="149">
        <v>-1.5944922590022019</v>
      </c>
      <c r="CR179" s="349">
        <f>10^(CJ179-CQ179)</f>
        <v>1.3845716438895876</v>
      </c>
      <c r="CS179" s="61" t="s">
        <v>539</v>
      </c>
      <c r="CT179" s="61"/>
      <c r="CU179" s="111">
        <f t="shared" si="50"/>
        <v>14.923516976484201</v>
      </c>
      <c r="CV179" s="331"/>
      <c r="CW179" s="326">
        <f t="shared" si="55"/>
        <v>1</v>
      </c>
      <c r="CX179" s="326"/>
      <c r="CY179" s="161" t="s">
        <v>6351</v>
      </c>
    </row>
    <row r="180" spans="1:103" ht="11.25" customHeight="1" x14ac:dyDescent="0.2">
      <c r="A180" s="72">
        <v>178</v>
      </c>
      <c r="B180" s="149">
        <v>791</v>
      </c>
      <c r="C180" s="54" t="s">
        <v>2226</v>
      </c>
      <c r="D180" s="54"/>
      <c r="E180" s="59"/>
      <c r="F180" s="59" t="s">
        <v>2227</v>
      </c>
      <c r="G180" s="151">
        <v>1746016</v>
      </c>
      <c r="H180" s="55" t="s">
        <v>2228</v>
      </c>
      <c r="I180" s="55" t="s">
        <v>5519</v>
      </c>
      <c r="J180" s="55" t="s">
        <v>2229</v>
      </c>
      <c r="K180" s="55" t="s">
        <v>426</v>
      </c>
      <c r="L180" s="55"/>
      <c r="M180" s="55"/>
      <c r="N180" s="60"/>
      <c r="O180" s="55"/>
      <c r="P180" s="67"/>
      <c r="Q180" s="67"/>
      <c r="R180" s="67"/>
      <c r="S180" s="67"/>
      <c r="T180" s="56">
        <v>321.97000000000003</v>
      </c>
      <c r="U180" s="103">
        <v>6.2117588595210734E-7</v>
      </c>
      <c r="V180" s="103">
        <v>3.4257850110258716E-6</v>
      </c>
      <c r="W180" s="103">
        <v>1.380384264602884E-6</v>
      </c>
      <c r="X180" s="103">
        <v>6.2117588595210734E-7</v>
      </c>
      <c r="Y180" s="162">
        <v>7</v>
      </c>
      <c r="Z180" s="56">
        <v>6.92</v>
      </c>
      <c r="AA180" s="56">
        <v>6.8</v>
      </c>
      <c r="AB180" s="56">
        <v>6.19</v>
      </c>
      <c r="AC180" s="56">
        <v>0.91259999999999997</v>
      </c>
      <c r="AD180" s="56">
        <v>6.32</v>
      </c>
      <c r="AE180" s="56">
        <v>7.01</v>
      </c>
      <c r="AF180" s="56">
        <f t="shared" si="64"/>
        <v>6.8</v>
      </c>
      <c r="AG180" s="57">
        <v>5.56</v>
      </c>
      <c r="AH180" s="103">
        <v>3.5300000000000001E-6</v>
      </c>
      <c r="AI180" s="103">
        <v>5.0000000000000002E-5</v>
      </c>
      <c r="AJ180" s="62">
        <f t="shared" si="62"/>
        <v>-3.8407916209248292</v>
      </c>
      <c r="AK180" s="62">
        <f>LOG10(AI180*1000/(0.08206*298.15))</f>
        <v>-2.6895963219766328</v>
      </c>
      <c r="AL180" s="62">
        <f t="shared" si="60"/>
        <v>-2.6895963219766328</v>
      </c>
      <c r="AM180" s="62">
        <v>-8.7126099999999997</v>
      </c>
      <c r="AN180" s="154">
        <v>-3.25</v>
      </c>
      <c r="AO180" s="410"/>
      <c r="AP180" s="410"/>
      <c r="AQ180" s="56" t="s">
        <v>6311</v>
      </c>
      <c r="AR180" s="56" t="s">
        <v>6311</v>
      </c>
      <c r="AS180" s="149" t="s">
        <v>6</v>
      </c>
      <c r="AT180" s="58" t="s">
        <v>266</v>
      </c>
      <c r="AU180" s="56">
        <v>6</v>
      </c>
      <c r="AV180" s="56">
        <v>96</v>
      </c>
      <c r="AW180" s="56">
        <v>90</v>
      </c>
      <c r="AX180" s="56">
        <v>28</v>
      </c>
      <c r="AY180" s="56" t="s">
        <v>8722</v>
      </c>
      <c r="AZ180" s="56" t="s">
        <v>2213</v>
      </c>
      <c r="BA180" s="56" t="s">
        <v>8722</v>
      </c>
      <c r="BB180" s="55" t="s">
        <v>1764</v>
      </c>
      <c r="BC180" s="55" t="s">
        <v>2214</v>
      </c>
      <c r="BD180" s="55"/>
      <c r="BE180" s="56" t="s">
        <v>1712</v>
      </c>
      <c r="BF180" s="56" t="s">
        <v>272</v>
      </c>
      <c r="BG180" s="56" t="s">
        <v>272</v>
      </c>
      <c r="BH180" s="56" t="s">
        <v>2119</v>
      </c>
      <c r="BI180" s="103">
        <v>1.0000000000000001E-5</v>
      </c>
      <c r="BJ180" s="103">
        <v>0.05</v>
      </c>
      <c r="BK180" s="56"/>
      <c r="BL180" s="103">
        <f t="shared" si="65"/>
        <v>3.1329105846105539E-5</v>
      </c>
      <c r="BM180" s="56" t="s">
        <v>1584</v>
      </c>
      <c r="BN180" s="56"/>
      <c r="BO180" s="56" t="s">
        <v>2230</v>
      </c>
      <c r="BP180" s="56">
        <v>2.5999999999999998E-5</v>
      </c>
      <c r="BQ180" s="56"/>
      <c r="BR180" s="56"/>
      <c r="BS180" s="56"/>
      <c r="BT180" s="56"/>
      <c r="BU180" s="158"/>
      <c r="BV180" s="56"/>
      <c r="BW180" s="56"/>
      <c r="BX180" s="56"/>
      <c r="BY180" s="56"/>
      <c r="BZ180" s="56"/>
      <c r="CA180" s="56"/>
      <c r="CB180" s="56"/>
      <c r="CC180" s="56"/>
      <c r="CD180" s="56"/>
      <c r="CE180" s="56"/>
      <c r="CF180" s="56"/>
      <c r="CG180" s="56"/>
      <c r="CH180" s="56"/>
      <c r="CI180" s="103">
        <f t="shared" si="53"/>
        <v>2.5999999999999998E-5</v>
      </c>
      <c r="CJ180" s="103">
        <f t="shared" si="54"/>
        <v>-4.5850266520291818</v>
      </c>
      <c r="CK180" s="57">
        <f t="shared" ref="CK180:CK187" si="66">BL180/BJ180</f>
        <v>6.2658211692211076E-4</v>
      </c>
      <c r="CL180" s="160">
        <f t="shared" si="61"/>
        <v>1.2049656094655978</v>
      </c>
      <c r="CM180" s="160"/>
      <c r="CN180" s="160"/>
      <c r="CO180" s="55"/>
      <c r="CP180" s="55" t="s">
        <v>2215</v>
      </c>
      <c r="CQ180" s="149" t="s">
        <v>272</v>
      </c>
      <c r="CR180" s="349"/>
      <c r="CS180" s="61" t="s">
        <v>539</v>
      </c>
      <c r="CT180" s="61"/>
      <c r="CU180" s="111">
        <f t="shared" si="50"/>
        <v>2.3891380228927207E-2</v>
      </c>
      <c r="CV180" s="331">
        <f t="shared" ref="CV180:CV187" si="67">X180/BJ180</f>
        <v>1.2423517719042146E-5</v>
      </c>
      <c r="CW180" s="326">
        <f t="shared" si="55"/>
        <v>0</v>
      </c>
      <c r="CX180" s="326" t="s">
        <v>539</v>
      </c>
      <c r="CY180" s="161" t="s">
        <v>5921</v>
      </c>
    </row>
    <row r="181" spans="1:103" ht="11.25" customHeight="1" x14ac:dyDescent="0.2">
      <c r="A181" s="72">
        <v>179</v>
      </c>
      <c r="B181" s="149">
        <v>2041</v>
      </c>
      <c r="C181" s="54" t="s">
        <v>5586</v>
      </c>
      <c r="D181" s="54"/>
      <c r="E181" s="59"/>
      <c r="F181" s="59" t="s">
        <v>1355</v>
      </c>
      <c r="G181" s="151">
        <v>1763231</v>
      </c>
      <c r="H181" s="67" t="s">
        <v>5587</v>
      </c>
      <c r="I181" s="67" t="s">
        <v>8302</v>
      </c>
      <c r="J181" s="67" t="s">
        <v>5588</v>
      </c>
      <c r="K181" s="67" t="s">
        <v>426</v>
      </c>
      <c r="L181" s="67" t="s">
        <v>5527</v>
      </c>
      <c r="M181" s="67"/>
      <c r="N181" s="60"/>
      <c r="O181" s="67"/>
      <c r="P181" s="67"/>
      <c r="Q181" s="67"/>
      <c r="R181" s="67"/>
      <c r="S181" s="67"/>
      <c r="T181" s="61">
        <v>500.13</v>
      </c>
      <c r="U181" s="111"/>
      <c r="V181" s="111">
        <v>2.0774598604362868E-4</v>
      </c>
      <c r="W181" s="111">
        <v>5.370317963702524</v>
      </c>
      <c r="X181" s="111">
        <f>IF(W181=0,V181,W181)</f>
        <v>5.370317963702524</v>
      </c>
      <c r="Y181" s="411">
        <v>2.27</v>
      </c>
      <c r="Z181" s="61">
        <v>4.49</v>
      </c>
      <c r="AA181" s="61"/>
      <c r="AB181" s="61">
        <v>2.3199999999999998</v>
      </c>
      <c r="AC181" s="61">
        <v>0.56120000000000003</v>
      </c>
      <c r="AD181" s="61">
        <v>4.16</v>
      </c>
      <c r="AE181" s="61">
        <v>7.03</v>
      </c>
      <c r="AF181" s="61">
        <f t="shared" si="64"/>
        <v>4.16</v>
      </c>
      <c r="AG181" s="62">
        <v>4.3899999999999997</v>
      </c>
      <c r="AH181" s="111">
        <v>1.0999999999999999E-2</v>
      </c>
      <c r="AI181" s="111"/>
      <c r="AJ181" s="62">
        <f t="shared" si="62"/>
        <v>-0.34717364115442678</v>
      </c>
      <c r="AK181" s="62"/>
      <c r="AL181" s="62">
        <f t="shared" si="60"/>
        <v>-0.34717364115442678</v>
      </c>
      <c r="AM181" s="62">
        <v>-3.9819300000000002</v>
      </c>
      <c r="AN181" s="163">
        <v>-7.2603</v>
      </c>
      <c r="AO181" s="410">
        <v>-3.27</v>
      </c>
      <c r="AP181" s="410"/>
      <c r="AQ181" s="163" t="s">
        <v>6311</v>
      </c>
      <c r="AR181" s="163" t="s">
        <v>6311</v>
      </c>
      <c r="AS181" s="164" t="s">
        <v>5466</v>
      </c>
      <c r="AT181" s="63" t="s">
        <v>266</v>
      </c>
      <c r="AU181" s="61">
        <v>1</v>
      </c>
      <c r="AV181" s="61">
        <v>96</v>
      </c>
      <c r="AW181" s="61">
        <v>95</v>
      </c>
      <c r="AX181" s="61">
        <v>26</v>
      </c>
      <c r="AY181" s="174">
        <v>0.59027777777777779</v>
      </c>
      <c r="AZ181" s="178" t="s">
        <v>536</v>
      </c>
      <c r="BA181" s="61">
        <v>20</v>
      </c>
      <c r="BB181" s="67" t="s">
        <v>1764</v>
      </c>
      <c r="BC181" s="67" t="s">
        <v>6264</v>
      </c>
      <c r="BD181" s="67"/>
      <c r="BE181" s="67" t="s">
        <v>6265</v>
      </c>
      <c r="BF181" s="61" t="s">
        <v>272</v>
      </c>
      <c r="BG181" s="61" t="s">
        <v>272</v>
      </c>
      <c r="BH181" s="61" t="s">
        <v>5936</v>
      </c>
      <c r="BI181" s="111">
        <f>(10^(-1))/500.13</f>
        <v>1.9994801351648573E-4</v>
      </c>
      <c r="BJ181" s="111">
        <f>(10^(2))/500.13</f>
        <v>0.19994801351648572</v>
      </c>
      <c r="BK181" s="165"/>
      <c r="BL181" s="111">
        <f t="shared" si="65"/>
        <v>4.7679423979143983E-3</v>
      </c>
      <c r="BM181" s="61" t="s">
        <v>6266</v>
      </c>
      <c r="BN181" s="61"/>
      <c r="BO181" s="61"/>
      <c r="BP181" s="61"/>
      <c r="BQ181" s="61">
        <f>58.47/414.07</f>
        <v>0.14120800830777405</v>
      </c>
      <c r="BR181" s="61">
        <f>28.21/414.07</f>
        <v>6.8128577293694301E-2</v>
      </c>
      <c r="BS181" s="61"/>
      <c r="BT181" s="61"/>
      <c r="BU181" s="158"/>
      <c r="BV181" s="61"/>
      <c r="BW181" s="61"/>
      <c r="BX181" s="61"/>
      <c r="BY181" s="61"/>
      <c r="BZ181" s="61"/>
      <c r="CA181" s="61"/>
      <c r="CB181" s="61"/>
      <c r="CC181" s="61"/>
      <c r="CD181" s="61"/>
      <c r="CE181" s="61"/>
      <c r="CF181" s="61"/>
      <c r="CG181" s="61"/>
      <c r="CH181" s="61"/>
      <c r="CI181" s="111">
        <f t="shared" si="53"/>
        <v>6.8128577293694301E-2</v>
      </c>
      <c r="CJ181" s="103">
        <f t="shared" si="54"/>
        <v>-1.1666706801923992</v>
      </c>
      <c r="CK181" s="57">
        <f t="shared" si="66"/>
        <v>2.384591031468928E-2</v>
      </c>
      <c r="CL181" s="160">
        <f t="shared" si="61"/>
        <v>6.9984470354640727E-2</v>
      </c>
      <c r="CM181" s="160"/>
      <c r="CN181" s="160"/>
      <c r="CO181" s="67"/>
      <c r="CP181" s="67" t="s">
        <v>6270</v>
      </c>
      <c r="CQ181" s="149" t="s">
        <v>272</v>
      </c>
      <c r="CR181" s="349"/>
      <c r="CS181" s="61" t="s">
        <v>539</v>
      </c>
      <c r="CT181" s="61"/>
      <c r="CU181" s="111">
        <f t="shared" si="50"/>
        <v>78.82621620809303</v>
      </c>
      <c r="CV181" s="331">
        <f t="shared" si="67"/>
        <v>26.858571231865433</v>
      </c>
      <c r="CW181" s="326">
        <f t="shared" si="55"/>
        <v>1</v>
      </c>
      <c r="CX181" s="326"/>
      <c r="CY181" s="161" t="s">
        <v>5921</v>
      </c>
    </row>
    <row r="182" spans="1:103" ht="11.25" customHeight="1" x14ac:dyDescent="0.2">
      <c r="A182" s="72">
        <v>180</v>
      </c>
      <c r="B182" s="149">
        <v>774</v>
      </c>
      <c r="C182" s="54" t="s">
        <v>1354</v>
      </c>
      <c r="D182" s="54"/>
      <c r="E182" s="59"/>
      <c r="F182" s="59" t="s">
        <v>1355</v>
      </c>
      <c r="G182" s="151">
        <v>1763231</v>
      </c>
      <c r="H182" s="55" t="s">
        <v>1356</v>
      </c>
      <c r="I182" s="55" t="s">
        <v>1356</v>
      </c>
      <c r="J182" s="55" t="s">
        <v>1357</v>
      </c>
      <c r="K182" s="55" t="s">
        <v>426</v>
      </c>
      <c r="L182" s="55"/>
      <c r="M182" s="55"/>
      <c r="N182" s="60"/>
      <c r="O182" s="55"/>
      <c r="P182" s="67"/>
      <c r="Q182" s="67"/>
      <c r="R182" s="67"/>
      <c r="S182" s="67"/>
      <c r="T182" s="56">
        <v>500.13</v>
      </c>
      <c r="U182" s="103"/>
      <c r="V182" s="103">
        <v>2.0774598604362868E-4</v>
      </c>
      <c r="W182" s="103">
        <v>5.370317963702524</v>
      </c>
      <c r="X182" s="103">
        <f>IF(W182=0,V182,W182)</f>
        <v>5.370317963702524</v>
      </c>
      <c r="Y182" s="162">
        <v>2.27</v>
      </c>
      <c r="Z182" s="56">
        <v>4.49</v>
      </c>
      <c r="AA182" s="56"/>
      <c r="AB182" s="56">
        <v>2.3199999999999998</v>
      </c>
      <c r="AC182" s="56">
        <v>0.56120000000000003</v>
      </c>
      <c r="AD182" s="56">
        <v>4.16</v>
      </c>
      <c r="AE182" s="56">
        <v>7.03</v>
      </c>
      <c r="AF182" s="56">
        <f t="shared" si="64"/>
        <v>4.16</v>
      </c>
      <c r="AG182" s="57">
        <v>4.3899999999999997</v>
      </c>
      <c r="AH182" s="103">
        <v>1.0999999999999999E-2</v>
      </c>
      <c r="AI182" s="103"/>
      <c r="AJ182" s="62">
        <f t="shared" si="62"/>
        <v>-0.34717364115442678</v>
      </c>
      <c r="AK182" s="62"/>
      <c r="AL182" s="62">
        <f t="shared" si="60"/>
        <v>-0.34717364115442678</v>
      </c>
      <c r="AM182" s="62">
        <v>-3.9819300000000002</v>
      </c>
      <c r="AN182" s="154">
        <v>-7.26</v>
      </c>
      <c r="AO182" s="410">
        <v>-3.27</v>
      </c>
      <c r="AP182" s="410"/>
      <c r="AQ182" s="56" t="s">
        <v>6311</v>
      </c>
      <c r="AR182" s="56" t="s">
        <v>6311</v>
      </c>
      <c r="AS182" s="155" t="s">
        <v>2165</v>
      </c>
      <c r="AT182" s="58" t="s">
        <v>266</v>
      </c>
      <c r="AU182" s="56">
        <v>6</v>
      </c>
      <c r="AV182" s="56">
        <v>120</v>
      </c>
      <c r="AW182" s="56">
        <v>120</v>
      </c>
      <c r="AX182" s="56">
        <v>28</v>
      </c>
      <c r="AY182" s="56" t="s">
        <v>8722</v>
      </c>
      <c r="AZ182" s="56" t="s">
        <v>2166</v>
      </c>
      <c r="BA182" s="56">
        <v>32</v>
      </c>
      <c r="BB182" s="55" t="s">
        <v>2167</v>
      </c>
      <c r="BC182" s="55" t="s">
        <v>8722</v>
      </c>
      <c r="BD182" s="55"/>
      <c r="BE182" s="56" t="s">
        <v>271</v>
      </c>
      <c r="BF182" s="56" t="s">
        <v>272</v>
      </c>
      <c r="BG182" s="56" t="s">
        <v>272</v>
      </c>
      <c r="BH182" s="56" t="s">
        <v>2119</v>
      </c>
      <c r="BI182" s="157">
        <v>4.9988002879308962E-4</v>
      </c>
      <c r="BJ182" s="157">
        <v>1.5996160921378868E-2</v>
      </c>
      <c r="BK182" s="56" t="s">
        <v>2168</v>
      </c>
      <c r="BL182" s="103">
        <f t="shared" si="65"/>
        <v>4.7679423979143983E-3</v>
      </c>
      <c r="BM182" s="56">
        <v>0</v>
      </c>
      <c r="BN182" s="56"/>
      <c r="BO182" s="56"/>
      <c r="BP182" s="56"/>
      <c r="BQ182" s="56"/>
      <c r="BR182" s="56">
        <v>4.4000000000000003E-3</v>
      </c>
      <c r="BS182" s="56"/>
      <c r="BT182" s="56"/>
      <c r="BU182" s="158"/>
      <c r="BV182" s="56"/>
      <c r="BW182" s="56"/>
      <c r="BX182" s="56"/>
      <c r="BY182" s="56"/>
      <c r="BZ182" s="56"/>
      <c r="CA182" s="56"/>
      <c r="CB182" s="56"/>
      <c r="CC182" s="56"/>
      <c r="CD182" s="56"/>
      <c r="CE182" s="56"/>
      <c r="CF182" s="56"/>
      <c r="CG182" s="56"/>
      <c r="CH182" s="56"/>
      <c r="CI182" s="103">
        <f t="shared" si="53"/>
        <v>4.4000000000000003E-3</v>
      </c>
      <c r="CJ182" s="103">
        <f t="shared" si="54"/>
        <v>-2.3565473235138126</v>
      </c>
      <c r="CK182" s="57">
        <f t="shared" si="66"/>
        <v>0.29806791900561863</v>
      </c>
      <c r="CL182" s="160">
        <f t="shared" si="61"/>
        <v>1.0836232722532724</v>
      </c>
      <c r="CM182" s="160"/>
      <c r="CN182" s="160"/>
      <c r="CO182" s="55"/>
      <c r="CP182" s="55" t="s">
        <v>2169</v>
      </c>
      <c r="CQ182" s="149" t="s">
        <v>272</v>
      </c>
      <c r="CR182" s="349"/>
      <c r="CS182" s="61" t="s">
        <v>539</v>
      </c>
      <c r="CT182" s="61" t="s">
        <v>6310</v>
      </c>
      <c r="CU182" s="111">
        <f t="shared" si="50"/>
        <v>1220.5268099323916</v>
      </c>
      <c r="CV182" s="331">
        <f t="shared" si="67"/>
        <v>335.7254275008633</v>
      </c>
      <c r="CW182" s="326">
        <f t="shared" si="55"/>
        <v>1</v>
      </c>
      <c r="CX182" s="326" t="s">
        <v>539</v>
      </c>
      <c r="CY182" s="161" t="s">
        <v>5921</v>
      </c>
    </row>
    <row r="183" spans="1:103" ht="11.25" customHeight="1" x14ac:dyDescent="0.2">
      <c r="A183" s="72">
        <v>181</v>
      </c>
      <c r="B183" s="149">
        <v>2071</v>
      </c>
      <c r="C183" s="54" t="s">
        <v>5586</v>
      </c>
      <c r="D183" s="54"/>
      <c r="E183" s="59"/>
      <c r="F183" s="59" t="s">
        <v>1355</v>
      </c>
      <c r="G183" s="151">
        <v>1763231</v>
      </c>
      <c r="H183" s="67" t="s">
        <v>5587</v>
      </c>
      <c r="I183" s="67" t="s">
        <v>8302</v>
      </c>
      <c r="J183" s="67" t="s">
        <v>5588</v>
      </c>
      <c r="K183" s="67" t="s">
        <v>426</v>
      </c>
      <c r="L183" s="67"/>
      <c r="M183" s="67"/>
      <c r="N183" s="60"/>
      <c r="O183" s="67"/>
      <c r="P183" s="67"/>
      <c r="Q183" s="67"/>
      <c r="R183" s="67"/>
      <c r="S183" s="67"/>
      <c r="T183" s="61">
        <v>500.13</v>
      </c>
      <c r="U183" s="111"/>
      <c r="V183" s="111">
        <v>2.0774598604362868E-4</v>
      </c>
      <c r="W183" s="111">
        <v>5.370317963702524</v>
      </c>
      <c r="X183" s="111">
        <f>IF(W183=0,V183,W183)</f>
        <v>5.370317963702524</v>
      </c>
      <c r="Y183" s="411">
        <v>2.27</v>
      </c>
      <c r="Z183" s="61">
        <v>4.49</v>
      </c>
      <c r="AA183" s="61"/>
      <c r="AB183" s="61">
        <v>2.3199999999999998</v>
      </c>
      <c r="AC183" s="61">
        <v>0.56120000000000003</v>
      </c>
      <c r="AD183" s="61">
        <v>4.16</v>
      </c>
      <c r="AE183" s="61">
        <v>7.03</v>
      </c>
      <c r="AF183" s="61">
        <f t="shared" si="64"/>
        <v>4.16</v>
      </c>
      <c r="AG183" s="62">
        <v>4.3899999999999997</v>
      </c>
      <c r="AH183" s="111">
        <v>1.0999999999999999E-2</v>
      </c>
      <c r="AI183" s="111"/>
      <c r="AJ183" s="62">
        <f t="shared" si="62"/>
        <v>-0.34717364115442678</v>
      </c>
      <c r="AK183" s="62"/>
      <c r="AL183" s="62">
        <f t="shared" ref="AL183:AL214" si="68">IF(AK183=0,AJ183,AK183)</f>
        <v>-0.34717364115442678</v>
      </c>
      <c r="AM183" s="62">
        <v>-3.9819300000000002</v>
      </c>
      <c r="AN183" s="163">
        <v>-7.2603</v>
      </c>
      <c r="AO183" s="410">
        <v>-3.27</v>
      </c>
      <c r="AP183" s="410"/>
      <c r="AQ183" s="163" t="s">
        <v>6311</v>
      </c>
      <c r="AR183" s="163" t="s">
        <v>6311</v>
      </c>
      <c r="AS183" s="164" t="s">
        <v>5466</v>
      </c>
      <c r="AT183" s="63" t="s">
        <v>266</v>
      </c>
      <c r="AU183" s="61">
        <v>2</v>
      </c>
      <c r="AV183" s="61">
        <v>96</v>
      </c>
      <c r="AW183" s="61">
        <v>94</v>
      </c>
      <c r="AX183" s="61">
        <v>28.5</v>
      </c>
      <c r="AY183" s="61"/>
      <c r="AZ183" s="61" t="s">
        <v>5671</v>
      </c>
      <c r="BA183" s="61">
        <v>20</v>
      </c>
      <c r="BB183" s="67" t="s">
        <v>5487</v>
      </c>
      <c r="BC183" s="67" t="s">
        <v>538</v>
      </c>
      <c r="BD183" s="67"/>
      <c r="BE183" s="61" t="s">
        <v>6341</v>
      </c>
      <c r="BF183" s="61"/>
      <c r="BG183" s="61"/>
      <c r="BH183" s="61"/>
      <c r="BI183" s="111">
        <v>1.2500000000000001E-2</v>
      </c>
      <c r="BJ183" s="111">
        <v>0.4</v>
      </c>
      <c r="BK183" s="165"/>
      <c r="BL183" s="111">
        <f t="shared" si="65"/>
        <v>4.7679423979143983E-3</v>
      </c>
      <c r="BM183" s="61"/>
      <c r="BN183" s="61"/>
      <c r="BO183" s="61"/>
      <c r="BP183" s="61"/>
      <c r="BQ183" s="61">
        <v>0.13596464899999999</v>
      </c>
      <c r="BR183" s="61"/>
      <c r="BS183" s="61"/>
      <c r="BT183" s="61"/>
      <c r="BU183" s="158"/>
      <c r="BV183" s="61"/>
      <c r="BW183" s="61"/>
      <c r="BX183" s="61"/>
      <c r="BY183" s="61"/>
      <c r="BZ183" s="61"/>
      <c r="CA183" s="61"/>
      <c r="CB183" s="61"/>
      <c r="CC183" s="61"/>
      <c r="CD183" s="61"/>
      <c r="CE183" s="61"/>
      <c r="CF183" s="61"/>
      <c r="CG183" s="61"/>
      <c r="CH183" s="61"/>
      <c r="CI183" s="111">
        <f t="shared" si="53"/>
        <v>0.13596464899999999</v>
      </c>
      <c r="CJ183" s="103">
        <f t="shared" si="54"/>
        <v>-0.86657399412922631</v>
      </c>
      <c r="CK183" s="57">
        <f t="shared" si="66"/>
        <v>1.1919855994785995E-2</v>
      </c>
      <c r="CL183" s="160">
        <f t="shared" si="61"/>
        <v>3.5067515217976977E-2</v>
      </c>
      <c r="CM183" s="160"/>
      <c r="CN183" s="160"/>
      <c r="CO183" s="67"/>
      <c r="CP183" s="67" t="s">
        <v>5700</v>
      </c>
      <c r="CQ183" s="149" t="s">
        <v>272</v>
      </c>
      <c r="CR183" s="349"/>
      <c r="CS183" s="61" t="s">
        <v>539</v>
      </c>
      <c r="CT183" s="61"/>
      <c r="CU183" s="111">
        <f t="shared" ref="CU183:CU246" si="69">X183/CI183</f>
        <v>39.497898925937172</v>
      </c>
      <c r="CV183" s="331">
        <f t="shared" si="67"/>
        <v>13.425794909256309</v>
      </c>
      <c r="CW183" s="326">
        <f t="shared" si="55"/>
        <v>1</v>
      </c>
      <c r="CX183" s="326"/>
      <c r="CY183" s="161" t="s">
        <v>5921</v>
      </c>
    </row>
    <row r="184" spans="1:103" ht="11.25" customHeight="1" x14ac:dyDescent="0.2">
      <c r="A184" s="72">
        <v>182</v>
      </c>
      <c r="B184" s="149">
        <v>394</v>
      </c>
      <c r="C184" s="54" t="s">
        <v>1354</v>
      </c>
      <c r="D184" s="54"/>
      <c r="E184" s="59"/>
      <c r="F184" s="59" t="s">
        <v>1355</v>
      </c>
      <c r="G184" s="151">
        <v>1763231</v>
      </c>
      <c r="H184" s="55" t="s">
        <v>1356</v>
      </c>
      <c r="I184" s="55" t="s">
        <v>1356</v>
      </c>
      <c r="J184" s="55" t="s">
        <v>1357</v>
      </c>
      <c r="K184" s="55" t="s">
        <v>426</v>
      </c>
      <c r="L184" s="55"/>
      <c r="M184" s="55"/>
      <c r="N184" s="60"/>
      <c r="O184" s="55"/>
      <c r="P184" s="67"/>
      <c r="Q184" s="67"/>
      <c r="R184" s="67"/>
      <c r="S184" s="67"/>
      <c r="T184" s="56">
        <v>500.13</v>
      </c>
      <c r="U184" s="103"/>
      <c r="V184" s="103">
        <v>2.0774598604362868E-4</v>
      </c>
      <c r="W184" s="103">
        <v>5.370317963702524</v>
      </c>
      <c r="X184" s="103">
        <f>IF(W184=0,V184,W184)</f>
        <v>5.370317963702524</v>
      </c>
      <c r="Y184" s="162">
        <v>2.27</v>
      </c>
      <c r="Z184" s="56">
        <v>4.49</v>
      </c>
      <c r="AA184" s="56"/>
      <c r="AB184" s="56">
        <v>2.3199999999999998</v>
      </c>
      <c r="AC184" s="56">
        <v>0.56120000000000003</v>
      </c>
      <c r="AD184" s="56">
        <v>4.16</v>
      </c>
      <c r="AE184" s="56">
        <v>7.03</v>
      </c>
      <c r="AF184" s="56">
        <f t="shared" si="64"/>
        <v>4.16</v>
      </c>
      <c r="AG184" s="57">
        <v>4.3899999999999997</v>
      </c>
      <c r="AH184" s="103">
        <v>1.0999999999999999E-2</v>
      </c>
      <c r="AI184" s="103"/>
      <c r="AJ184" s="62">
        <f t="shared" si="62"/>
        <v>-0.34717364115442678</v>
      </c>
      <c r="AK184" s="62"/>
      <c r="AL184" s="62">
        <f t="shared" si="68"/>
        <v>-0.34717364115442678</v>
      </c>
      <c r="AM184" s="62">
        <v>-3.9819300000000002</v>
      </c>
      <c r="AN184" s="154">
        <v>-7.26</v>
      </c>
      <c r="AO184" s="410">
        <v>-3.27</v>
      </c>
      <c r="AP184" s="410"/>
      <c r="AQ184" s="154" t="s">
        <v>6311</v>
      </c>
      <c r="AR184" s="154" t="s">
        <v>6311</v>
      </c>
      <c r="AS184" s="149" t="s">
        <v>1358</v>
      </c>
      <c r="AT184" s="58" t="s">
        <v>266</v>
      </c>
      <c r="AU184" s="56">
        <v>8</v>
      </c>
      <c r="AV184" s="56">
        <v>144</v>
      </c>
      <c r="AW184" s="56">
        <v>120</v>
      </c>
      <c r="AX184" s="56">
        <v>26</v>
      </c>
      <c r="AY184" s="56" t="s">
        <v>267</v>
      </c>
      <c r="AZ184" s="56" t="s">
        <v>268</v>
      </c>
      <c r="BA184" s="56">
        <v>2</v>
      </c>
      <c r="BB184" s="55" t="s">
        <v>888</v>
      </c>
      <c r="BC184" s="55" t="s">
        <v>270</v>
      </c>
      <c r="BD184" s="55" t="s">
        <v>8374</v>
      </c>
      <c r="BE184" s="56" t="s">
        <v>889</v>
      </c>
      <c r="BF184" s="56" t="s">
        <v>272</v>
      </c>
      <c r="BG184" s="56" t="s">
        <v>272</v>
      </c>
      <c r="BH184" s="56" t="s">
        <v>890</v>
      </c>
      <c r="BI184" s="103">
        <v>9.9999999999999995E-7</v>
      </c>
      <c r="BJ184" s="103">
        <v>0.08</v>
      </c>
      <c r="BK184" s="56"/>
      <c r="BL184" s="103">
        <f t="shared" si="65"/>
        <v>4.7679423979143983E-3</v>
      </c>
      <c r="BM184" s="56" t="s">
        <v>891</v>
      </c>
      <c r="BN184" s="162"/>
      <c r="BO184" s="162"/>
      <c r="BP184" s="162"/>
      <c r="BQ184" s="162"/>
      <c r="BR184" s="162"/>
      <c r="BS184" s="56">
        <v>4.6164921748011227E-2</v>
      </c>
      <c r="BT184" s="162"/>
      <c r="BU184" s="158"/>
      <c r="BV184" s="162"/>
      <c r="BW184" s="162"/>
      <c r="BX184" s="162"/>
      <c r="BY184" s="162"/>
      <c r="BZ184" s="162"/>
      <c r="CA184" s="162"/>
      <c r="CB184" s="162"/>
      <c r="CC184" s="56"/>
      <c r="CD184" s="56"/>
      <c r="CE184" s="56"/>
      <c r="CF184" s="56"/>
      <c r="CG184" s="56"/>
      <c r="CH184" s="56"/>
      <c r="CI184" s="103">
        <f t="shared" si="53"/>
        <v>4.6164921748011227E-2</v>
      </c>
      <c r="CJ184" s="103">
        <f t="shared" si="54"/>
        <v>-1.3356878962548966</v>
      </c>
      <c r="CK184" s="57">
        <f t="shared" si="66"/>
        <v>5.9599279973929976E-2</v>
      </c>
      <c r="CL184" s="160">
        <f t="shared" si="61"/>
        <v>0.10328063424302891</v>
      </c>
      <c r="CM184" s="160"/>
      <c r="CN184" s="160"/>
      <c r="CO184" s="55" t="s">
        <v>892</v>
      </c>
      <c r="CP184" s="55" t="s">
        <v>893</v>
      </c>
      <c r="CQ184" s="149" t="s">
        <v>272</v>
      </c>
      <c r="CR184" s="349"/>
      <c r="CS184" s="61" t="s">
        <v>539</v>
      </c>
      <c r="CT184" s="61"/>
      <c r="CU184" s="111">
        <f t="shared" si="69"/>
        <v>116.32897360935905</v>
      </c>
      <c r="CV184" s="331">
        <f t="shared" si="67"/>
        <v>67.128974546281555</v>
      </c>
      <c r="CW184" s="326">
        <f t="shared" si="55"/>
        <v>1</v>
      </c>
      <c r="CX184" s="326" t="s">
        <v>539</v>
      </c>
      <c r="CY184" s="161" t="s">
        <v>5921</v>
      </c>
    </row>
    <row r="185" spans="1:103" ht="11.25" customHeight="1" x14ac:dyDescent="0.2">
      <c r="A185" s="72">
        <v>183</v>
      </c>
      <c r="B185" s="149">
        <v>1234</v>
      </c>
      <c r="C185" s="54" t="s">
        <v>1354</v>
      </c>
      <c r="D185" s="54"/>
      <c r="E185" s="59"/>
      <c r="F185" s="59" t="s">
        <v>1355</v>
      </c>
      <c r="G185" s="151">
        <v>1763231</v>
      </c>
      <c r="H185" s="55" t="s">
        <v>1356</v>
      </c>
      <c r="I185" s="55" t="s">
        <v>1356</v>
      </c>
      <c r="J185" s="55" t="s">
        <v>1357</v>
      </c>
      <c r="K185" s="55" t="s">
        <v>426</v>
      </c>
      <c r="L185" s="55"/>
      <c r="M185" s="55"/>
      <c r="N185" s="60"/>
      <c r="O185" s="55"/>
      <c r="P185" s="67"/>
      <c r="Q185" s="67"/>
      <c r="R185" s="67"/>
      <c r="S185" s="67"/>
      <c r="T185" s="56">
        <v>500.13</v>
      </c>
      <c r="U185" s="103"/>
      <c r="V185" s="103">
        <v>2.0774598604362868E-4</v>
      </c>
      <c r="W185" s="103">
        <v>5.370317963702524</v>
      </c>
      <c r="X185" s="103">
        <f>IF(W185=0,V185,W185)</f>
        <v>5.370317963702524</v>
      </c>
      <c r="Y185" s="162">
        <v>2.27</v>
      </c>
      <c r="Z185" s="56">
        <v>4.49</v>
      </c>
      <c r="AA185" s="56"/>
      <c r="AB185" s="56">
        <v>2.3199999999999998</v>
      </c>
      <c r="AC185" s="56">
        <v>0.56120000000000003</v>
      </c>
      <c r="AD185" s="56">
        <v>4.16</v>
      </c>
      <c r="AE185" s="56">
        <v>7.03</v>
      </c>
      <c r="AF185" s="56">
        <f t="shared" si="64"/>
        <v>4.16</v>
      </c>
      <c r="AG185" s="57">
        <v>4.3899999999999997</v>
      </c>
      <c r="AH185" s="103">
        <v>1.0999999999999999E-2</v>
      </c>
      <c r="AI185" s="103"/>
      <c r="AJ185" s="62">
        <f t="shared" si="62"/>
        <v>-0.34717364115442678</v>
      </c>
      <c r="AK185" s="62"/>
      <c r="AL185" s="62">
        <f t="shared" si="68"/>
        <v>-0.34717364115442678</v>
      </c>
      <c r="AM185" s="62">
        <v>-3.9819300000000002</v>
      </c>
      <c r="AN185" s="154">
        <v>-7.26</v>
      </c>
      <c r="AO185" s="410">
        <v>-3.27</v>
      </c>
      <c r="AP185" s="410"/>
      <c r="AQ185" s="56" t="s">
        <v>6311</v>
      </c>
      <c r="AR185" s="56" t="s">
        <v>6311</v>
      </c>
      <c r="AS185" s="155"/>
      <c r="AT185" s="58" t="s">
        <v>266</v>
      </c>
      <c r="AU185" s="56">
        <v>6</v>
      </c>
      <c r="AV185" s="56">
        <v>120</v>
      </c>
      <c r="AW185" s="56">
        <v>114</v>
      </c>
      <c r="AX185" s="56">
        <v>28</v>
      </c>
      <c r="AY185" s="56" t="s">
        <v>8728</v>
      </c>
      <c r="AZ185" s="56" t="s">
        <v>1563</v>
      </c>
      <c r="BA185" s="56">
        <v>32</v>
      </c>
      <c r="BB185" s="55" t="s">
        <v>2485</v>
      </c>
      <c r="BC185" s="55" t="s">
        <v>8726</v>
      </c>
      <c r="BD185" s="55" t="s">
        <v>8374</v>
      </c>
      <c r="BE185" s="56" t="s">
        <v>2449</v>
      </c>
      <c r="BF185" s="56" t="s">
        <v>272</v>
      </c>
      <c r="BG185" s="56" t="s">
        <v>272</v>
      </c>
      <c r="BH185" s="56" t="s">
        <v>2486</v>
      </c>
      <c r="BI185" s="103">
        <v>6.3999999999999997E-6</v>
      </c>
      <c r="BJ185" s="103">
        <v>6.4000000000000001E-2</v>
      </c>
      <c r="BK185" s="56"/>
      <c r="BL185" s="103">
        <f t="shared" si="65"/>
        <v>4.7679423979143983E-3</v>
      </c>
      <c r="BM185" s="56" t="s">
        <v>2487</v>
      </c>
      <c r="BN185" s="56"/>
      <c r="BO185" s="56"/>
      <c r="BP185" s="56"/>
      <c r="BQ185" s="56"/>
      <c r="BR185" s="55">
        <v>2.0238577000000001E-2</v>
      </c>
      <c r="BS185" s="56"/>
      <c r="BT185" s="56"/>
      <c r="BU185" s="158"/>
      <c r="BV185" s="56"/>
      <c r="BW185" s="56"/>
      <c r="BX185" s="56"/>
      <c r="BY185" s="56"/>
      <c r="BZ185" s="56"/>
      <c r="CA185" s="56"/>
      <c r="CB185" s="56"/>
      <c r="CC185" s="56"/>
      <c r="CD185" s="56"/>
      <c r="CE185" s="56"/>
      <c r="CF185" s="56"/>
      <c r="CG185" s="56"/>
      <c r="CH185" s="56"/>
      <c r="CI185" s="103">
        <f t="shared" si="53"/>
        <v>2.0238577000000001E-2</v>
      </c>
      <c r="CJ185" s="103">
        <f t="shared" si="54"/>
        <v>-1.6938200265542473</v>
      </c>
      <c r="CK185" s="57">
        <f t="shared" si="66"/>
        <v>7.4499099967412469E-2</v>
      </c>
      <c r="CL185" s="160">
        <f t="shared" si="61"/>
        <v>0.23558683982151502</v>
      </c>
      <c r="CM185" s="160"/>
      <c r="CN185" s="160"/>
      <c r="CO185" s="55" t="s">
        <v>2488</v>
      </c>
      <c r="CP185" s="55" t="s">
        <v>2489</v>
      </c>
      <c r="CQ185" s="149" t="s">
        <v>272</v>
      </c>
      <c r="CR185" s="349"/>
      <c r="CS185" s="61" t="s">
        <v>539</v>
      </c>
      <c r="CT185" s="61"/>
      <c r="CU185" s="111">
        <f t="shared" si="69"/>
        <v>265.3505710259434</v>
      </c>
      <c r="CV185" s="331">
        <f t="shared" si="67"/>
        <v>83.91121818285194</v>
      </c>
      <c r="CW185" s="326">
        <f t="shared" si="55"/>
        <v>1</v>
      </c>
      <c r="CX185" s="326"/>
      <c r="CY185" s="161" t="s">
        <v>5921</v>
      </c>
    </row>
    <row r="186" spans="1:103" ht="11.25" customHeight="1" x14ac:dyDescent="0.2">
      <c r="A186" s="72">
        <v>184</v>
      </c>
      <c r="B186" s="149">
        <v>626</v>
      </c>
      <c r="C186" s="54" t="s">
        <v>1868</v>
      </c>
      <c r="D186" s="54" t="s">
        <v>6559</v>
      </c>
      <c r="E186" s="59"/>
      <c r="F186" s="59" t="s">
        <v>1869</v>
      </c>
      <c r="G186" s="151">
        <v>298044</v>
      </c>
      <c r="H186" s="55" t="s">
        <v>1870</v>
      </c>
      <c r="I186" s="55" t="s">
        <v>1870</v>
      </c>
      <c r="J186" s="55" t="s">
        <v>1871</v>
      </c>
      <c r="K186" s="55" t="s">
        <v>1872</v>
      </c>
      <c r="L186" s="55" t="s">
        <v>617</v>
      </c>
      <c r="M186" s="55" t="s">
        <v>618</v>
      </c>
      <c r="N186" s="60" t="s">
        <v>6376</v>
      </c>
      <c r="O186" s="55" t="s">
        <v>1873</v>
      </c>
      <c r="P186" s="67" t="s">
        <v>6178</v>
      </c>
      <c r="Q186" s="67" t="s">
        <v>6173</v>
      </c>
      <c r="R186" s="67" t="s">
        <v>6177</v>
      </c>
      <c r="S186" s="67" t="s">
        <v>6176</v>
      </c>
      <c r="T186" s="56">
        <v>274.41000000000003</v>
      </c>
      <c r="U186" s="103">
        <v>5.9400167632374913E-2</v>
      </c>
      <c r="V186" s="103">
        <v>2.3191574651069566E-2</v>
      </c>
      <c r="W186" s="103">
        <v>0.4365158322401656</v>
      </c>
      <c r="X186" s="103">
        <v>5.9400167632374913E-2</v>
      </c>
      <c r="Y186" s="162">
        <v>7</v>
      </c>
      <c r="Z186" s="56">
        <v>4.07</v>
      </c>
      <c r="AA186" s="56">
        <v>4.0199999999999996</v>
      </c>
      <c r="AB186" s="56">
        <v>3.91</v>
      </c>
      <c r="AC186" s="56">
        <v>0.8831</v>
      </c>
      <c r="AD186" s="56">
        <v>3.77</v>
      </c>
      <c r="AE186" s="56">
        <v>3.31</v>
      </c>
      <c r="AF186" s="56">
        <f t="shared" si="64"/>
        <v>4.0199999999999996</v>
      </c>
      <c r="AG186" s="57">
        <v>3.66</v>
      </c>
      <c r="AH186" s="103">
        <v>2.0999999999999998E-6</v>
      </c>
      <c r="AI186" s="103">
        <v>2.1600000000000001E-6</v>
      </c>
      <c r="AJ186" s="62">
        <f t="shared" ref="AJ186:AJ222" si="70">LOG10(AH186*1000/(0.08206*298.15))</f>
        <v>-4.0663470315787329</v>
      </c>
      <c r="AK186" s="62">
        <f>LOG10(AI186*1000/(0.08206*298.15))</f>
        <v>-4.0541125751617209</v>
      </c>
      <c r="AL186" s="62">
        <f t="shared" si="68"/>
        <v>-4.0541125751617209</v>
      </c>
      <c r="AM186" s="62">
        <v>-8.0103600000000004</v>
      </c>
      <c r="AN186" s="154">
        <v>-4.3</v>
      </c>
      <c r="AO186" s="410"/>
      <c r="AP186" s="410"/>
      <c r="AQ186" s="154" t="s">
        <v>6312</v>
      </c>
      <c r="AR186" s="154" t="s">
        <v>6312</v>
      </c>
      <c r="AS186" s="149" t="s">
        <v>6</v>
      </c>
      <c r="AT186" s="58" t="s">
        <v>266</v>
      </c>
      <c r="AU186" s="56">
        <v>2</v>
      </c>
      <c r="AV186" s="56" t="s">
        <v>646</v>
      </c>
      <c r="AW186" s="56" t="s">
        <v>646</v>
      </c>
      <c r="AX186" s="56">
        <v>26</v>
      </c>
      <c r="AY186" s="56" t="s">
        <v>647</v>
      </c>
      <c r="AZ186" s="56" t="s">
        <v>536</v>
      </c>
      <c r="BA186" s="56">
        <v>10</v>
      </c>
      <c r="BB186" s="55" t="s">
        <v>1764</v>
      </c>
      <c r="BC186" s="55" t="s">
        <v>538</v>
      </c>
      <c r="BD186" s="55"/>
      <c r="BE186" s="56" t="s">
        <v>1809</v>
      </c>
      <c r="BF186" s="56" t="s">
        <v>539</v>
      </c>
      <c r="BG186" s="56" t="s">
        <v>272</v>
      </c>
      <c r="BH186" s="56" t="s">
        <v>272</v>
      </c>
      <c r="BI186" s="157">
        <v>1.822091031667942E-3</v>
      </c>
      <c r="BJ186" s="157">
        <v>5.8306913013374144E-2</v>
      </c>
      <c r="BK186" s="56" t="s">
        <v>1810</v>
      </c>
      <c r="BL186" s="103">
        <f t="shared" si="65"/>
        <v>1.1364046444437236E-2</v>
      </c>
      <c r="BM186" s="56" t="s">
        <v>541</v>
      </c>
      <c r="BN186" s="56"/>
      <c r="BO186" s="56">
        <v>3.9430049925294267E-2</v>
      </c>
      <c r="BP186" s="56"/>
      <c r="BQ186" s="56"/>
      <c r="BR186" s="56">
        <v>0.03</v>
      </c>
      <c r="BS186" s="56"/>
      <c r="BT186" s="56"/>
      <c r="BU186" s="158"/>
      <c r="BV186" s="56"/>
      <c r="BW186" s="56"/>
      <c r="BX186" s="56"/>
      <c r="BY186" s="56"/>
      <c r="BZ186" s="56"/>
      <c r="CA186" s="56"/>
      <c r="CB186" s="56"/>
      <c r="CC186" s="56"/>
      <c r="CD186" s="56"/>
      <c r="CE186" s="56"/>
      <c r="CF186" s="56"/>
      <c r="CG186" s="56"/>
      <c r="CH186" s="56"/>
      <c r="CI186" s="103">
        <f t="shared" si="53"/>
        <v>0.03</v>
      </c>
      <c r="CJ186" s="103">
        <f t="shared" si="54"/>
        <v>-1.5228787452803376</v>
      </c>
      <c r="CK186" s="57">
        <f t="shared" si="66"/>
        <v>0.19490049905112639</v>
      </c>
      <c r="CL186" s="160">
        <f t="shared" si="61"/>
        <v>0.3788015481479079</v>
      </c>
      <c r="CM186" s="160"/>
      <c r="CN186" s="160"/>
      <c r="CO186" s="55"/>
      <c r="CP186" s="55" t="s">
        <v>1811</v>
      </c>
      <c r="CQ186" s="149">
        <v>-2.38538156976094</v>
      </c>
      <c r="CR186" s="349">
        <f>10^(CJ186-CQ186)</f>
        <v>7.2862291317484633</v>
      </c>
      <c r="CS186" s="61" t="s">
        <v>539</v>
      </c>
      <c r="CT186" s="61" t="s">
        <v>6310</v>
      </c>
      <c r="CU186" s="111">
        <f t="shared" si="69"/>
        <v>1.9800055877458305</v>
      </c>
      <c r="CV186" s="331">
        <f t="shared" si="67"/>
        <v>1.01875</v>
      </c>
      <c r="CW186" s="326">
        <f t="shared" si="55"/>
        <v>0</v>
      </c>
      <c r="CX186" s="326" t="s">
        <v>539</v>
      </c>
      <c r="CY186" s="161" t="s">
        <v>5921</v>
      </c>
    </row>
    <row r="187" spans="1:103" ht="11.25" customHeight="1" x14ac:dyDescent="0.2">
      <c r="A187" s="72">
        <v>185</v>
      </c>
      <c r="B187" s="149">
        <v>1133</v>
      </c>
      <c r="C187" s="54" t="s">
        <v>3162</v>
      </c>
      <c r="D187" s="54" t="s">
        <v>6510</v>
      </c>
      <c r="E187" s="59"/>
      <c r="F187" s="59" t="s">
        <v>3163</v>
      </c>
      <c r="G187" s="151">
        <v>22224926</v>
      </c>
      <c r="H187" s="55" t="s">
        <v>3164</v>
      </c>
      <c r="I187" s="55" t="s">
        <v>3164</v>
      </c>
      <c r="J187" s="55" t="s">
        <v>3165</v>
      </c>
      <c r="K187" s="55" t="s">
        <v>637</v>
      </c>
      <c r="L187" s="55" t="s">
        <v>617</v>
      </c>
      <c r="M187" s="55" t="s">
        <v>946</v>
      </c>
      <c r="N187" s="60" t="s">
        <v>6376</v>
      </c>
      <c r="O187" s="55" t="s">
        <v>918</v>
      </c>
      <c r="P187" s="67"/>
      <c r="Q187" s="67"/>
      <c r="R187" s="67"/>
      <c r="S187" s="67"/>
      <c r="T187" s="56">
        <v>303.36</v>
      </c>
      <c r="U187" s="103">
        <v>1.0845200421940928</v>
      </c>
      <c r="V187" s="103">
        <v>6.7477584388185644E-2</v>
      </c>
      <c r="W187" s="103">
        <v>0.67608297539198126</v>
      </c>
      <c r="X187" s="103">
        <v>1.0845200421940928</v>
      </c>
      <c r="Y187" s="162">
        <v>7</v>
      </c>
      <c r="Z187" s="56">
        <v>3.29</v>
      </c>
      <c r="AA187" s="56">
        <v>3.23</v>
      </c>
      <c r="AB187" s="56">
        <v>3.1</v>
      </c>
      <c r="AC187" s="56">
        <v>0.91149999999999998</v>
      </c>
      <c r="AD187" s="56">
        <v>3.22</v>
      </c>
      <c r="AE187" s="56">
        <v>3.68</v>
      </c>
      <c r="AF187" s="56">
        <f t="shared" si="64"/>
        <v>3.23</v>
      </c>
      <c r="AG187" s="57">
        <v>3.2</v>
      </c>
      <c r="AH187" s="103">
        <v>9.6599999999999995E-11</v>
      </c>
      <c r="AI187" s="103">
        <v>1.21E-9</v>
      </c>
      <c r="AJ187" s="62">
        <f t="shared" si="70"/>
        <v>-8.4035891998971586</v>
      </c>
      <c r="AK187" s="62">
        <f>LOG10(AI187*1000/(0.08206*298.15))</f>
        <v>-7.3057809559962017</v>
      </c>
      <c r="AL187" s="62">
        <f t="shared" si="68"/>
        <v>-7.3057809559962017</v>
      </c>
      <c r="AM187" s="62">
        <v>-14.0052</v>
      </c>
      <c r="AN187" s="154">
        <v>-7.03</v>
      </c>
      <c r="AO187" s="410"/>
      <c r="AP187" s="410">
        <v>-0.09</v>
      </c>
      <c r="AQ187" s="56" t="s">
        <v>6311</v>
      </c>
      <c r="AR187" s="56" t="s">
        <v>6311</v>
      </c>
      <c r="AS187" s="155"/>
      <c r="AT187" s="58" t="s">
        <v>266</v>
      </c>
      <c r="AU187" s="56">
        <v>6</v>
      </c>
      <c r="AV187" s="56">
        <v>120</v>
      </c>
      <c r="AW187" s="56">
        <v>114</v>
      </c>
      <c r="AX187" s="56">
        <v>28</v>
      </c>
      <c r="AY187" s="56" t="s">
        <v>8728</v>
      </c>
      <c r="AZ187" s="56" t="s">
        <v>1563</v>
      </c>
      <c r="BA187" s="56">
        <v>32</v>
      </c>
      <c r="BB187" s="55" t="s">
        <v>2485</v>
      </c>
      <c r="BC187" s="55" t="s">
        <v>8726</v>
      </c>
      <c r="BD187" s="55" t="s">
        <v>8374</v>
      </c>
      <c r="BE187" s="56" t="s">
        <v>2449</v>
      </c>
      <c r="BF187" s="56" t="s">
        <v>272</v>
      </c>
      <c r="BG187" s="56" t="s">
        <v>272</v>
      </c>
      <c r="BH187" s="56" t="s">
        <v>2486</v>
      </c>
      <c r="BI187" s="103">
        <v>6.3999999999999997E-6</v>
      </c>
      <c r="BJ187" s="103">
        <v>6.4000000000000001E-2</v>
      </c>
      <c r="BK187" s="56"/>
      <c r="BL187" s="103">
        <f t="shared" si="65"/>
        <v>5.7023123165170088E-2</v>
      </c>
      <c r="BM187" s="56" t="s">
        <v>2487</v>
      </c>
      <c r="BN187" s="56"/>
      <c r="BO187" s="56"/>
      <c r="BP187" s="56"/>
      <c r="BQ187" s="56"/>
      <c r="BR187" s="55">
        <v>2.9700000000000001E-2</v>
      </c>
      <c r="BS187" s="56"/>
      <c r="BT187" s="56"/>
      <c r="BU187" s="158"/>
      <c r="BV187" s="56"/>
      <c r="BW187" s="56"/>
      <c r="BX187" s="56"/>
      <c r="BY187" s="56"/>
      <c r="BZ187" s="56"/>
      <c r="CA187" s="56"/>
      <c r="CB187" s="56"/>
      <c r="CC187" s="56"/>
      <c r="CD187" s="56"/>
      <c r="CE187" s="56"/>
      <c r="CF187" s="56"/>
      <c r="CG187" s="56"/>
      <c r="CH187" s="56"/>
      <c r="CI187" s="103">
        <f t="shared" si="53"/>
        <v>2.9700000000000001E-2</v>
      </c>
      <c r="CJ187" s="103">
        <f t="shared" si="54"/>
        <v>-1.5272435506827877</v>
      </c>
      <c r="CK187" s="57">
        <f t="shared" si="66"/>
        <v>0.89098629945578256</v>
      </c>
      <c r="CL187" s="160">
        <f t="shared" si="61"/>
        <v>1.9199704769417538</v>
      </c>
      <c r="CM187" s="160">
        <v>-4.2341441532920809</v>
      </c>
      <c r="CN187" s="160">
        <f>BJ187/(10^CM187)</f>
        <v>1097.2968368606691</v>
      </c>
      <c r="CO187" s="55" t="s">
        <v>2488</v>
      </c>
      <c r="CP187" s="55" t="s">
        <v>2489</v>
      </c>
      <c r="CQ187" s="149">
        <v>-3.8969553926446636</v>
      </c>
      <c r="CR187" s="349">
        <f>10^(CJ187-CQ187)</f>
        <v>234.26739157039037</v>
      </c>
      <c r="CS187" s="61" t="s">
        <v>539</v>
      </c>
      <c r="CT187" s="61"/>
      <c r="CU187" s="111">
        <f t="shared" si="69"/>
        <v>36.515826336501441</v>
      </c>
      <c r="CV187" s="331">
        <f t="shared" si="67"/>
        <v>16.945625659282701</v>
      </c>
      <c r="CW187" s="326">
        <f t="shared" si="55"/>
        <v>1</v>
      </c>
      <c r="CX187" s="326"/>
      <c r="CY187" s="161" t="s">
        <v>5921</v>
      </c>
    </row>
    <row r="188" spans="1:103" ht="11.25" customHeight="1" x14ac:dyDescent="0.2">
      <c r="A188" s="72">
        <v>186</v>
      </c>
      <c r="B188" s="149">
        <v>761</v>
      </c>
      <c r="C188" s="54" t="s">
        <v>1087</v>
      </c>
      <c r="D188" s="54" t="s">
        <v>6486</v>
      </c>
      <c r="E188" s="59"/>
      <c r="F188" s="59" t="s">
        <v>1088</v>
      </c>
      <c r="G188" s="151">
        <v>333415</v>
      </c>
      <c r="H188" s="55" t="s">
        <v>1089</v>
      </c>
      <c r="I188" s="55" t="s">
        <v>1089</v>
      </c>
      <c r="J188" s="55" t="s">
        <v>1090</v>
      </c>
      <c r="K188" s="55" t="s">
        <v>628</v>
      </c>
      <c r="L188" s="55" t="s">
        <v>617</v>
      </c>
      <c r="M188" s="55" t="s">
        <v>946</v>
      </c>
      <c r="N188" s="60" t="s">
        <v>6376</v>
      </c>
      <c r="O188" s="55" t="s">
        <v>918</v>
      </c>
      <c r="P188" s="67" t="s">
        <v>6178</v>
      </c>
      <c r="Q188" s="67" t="s">
        <v>6173</v>
      </c>
      <c r="R188" s="67" t="s">
        <v>6177</v>
      </c>
      <c r="S188" s="67" t="s">
        <v>6176</v>
      </c>
      <c r="T188" s="56">
        <v>304.35000000000002</v>
      </c>
      <c r="U188" s="103">
        <v>0.1314276326597667</v>
      </c>
      <c r="V188" s="103">
        <v>2.1212419911286348E-2</v>
      </c>
      <c r="W188" s="103">
        <v>5.370317963702527E-2</v>
      </c>
      <c r="X188" s="103">
        <v>0.1314276326597667</v>
      </c>
      <c r="Y188" s="162">
        <v>7</v>
      </c>
      <c r="Z188" s="56">
        <v>3.86</v>
      </c>
      <c r="AA188" s="56">
        <v>3.81</v>
      </c>
      <c r="AB188" s="56">
        <v>3.79</v>
      </c>
      <c r="AC188" s="56">
        <v>0.7823</v>
      </c>
      <c r="AD188" s="56">
        <v>3.8</v>
      </c>
      <c r="AE188" s="56">
        <v>3.81</v>
      </c>
      <c r="AF188" s="56">
        <f t="shared" si="64"/>
        <v>3.81</v>
      </c>
      <c r="AG188" s="57">
        <v>4.32</v>
      </c>
      <c r="AH188" s="103">
        <v>8.7299999999999994E-8</v>
      </c>
      <c r="AI188" s="103">
        <v>1.1300000000000001E-7</v>
      </c>
      <c r="AJ188" s="62">
        <f t="shared" si="70"/>
        <v>-5.447552082607082</v>
      </c>
      <c r="AK188" s="62">
        <f>LOG10(AI188*1000/(0.08206*298.15))</f>
        <v>-5.3354878828292325</v>
      </c>
      <c r="AL188" s="62">
        <f t="shared" si="68"/>
        <v>-5.3354878828292325</v>
      </c>
      <c r="AM188" s="62">
        <v>-11.566619999999999</v>
      </c>
      <c r="AN188" s="154">
        <v>-2.79</v>
      </c>
      <c r="AO188" s="410"/>
      <c r="AP188" s="410">
        <v>1.21</v>
      </c>
      <c r="AQ188" s="154" t="s">
        <v>6312</v>
      </c>
      <c r="AR188" s="154" t="s">
        <v>6312</v>
      </c>
      <c r="AS188" s="149" t="s">
        <v>6</v>
      </c>
      <c r="AT188" s="58" t="s">
        <v>266</v>
      </c>
      <c r="AU188" s="56">
        <v>8</v>
      </c>
      <c r="AV188" s="56">
        <v>96</v>
      </c>
      <c r="AW188" s="56">
        <v>96</v>
      </c>
      <c r="AX188" s="56">
        <v>25.5</v>
      </c>
      <c r="AY188" s="56" t="s">
        <v>8722</v>
      </c>
      <c r="AZ188" s="56" t="s">
        <v>2148</v>
      </c>
      <c r="BA188" s="56">
        <v>20</v>
      </c>
      <c r="BB188" s="55" t="s">
        <v>1613</v>
      </c>
      <c r="BC188" s="55" t="s">
        <v>2149</v>
      </c>
      <c r="BD188" s="55"/>
      <c r="BE188" s="56" t="s">
        <v>1712</v>
      </c>
      <c r="BF188" s="56" t="s">
        <v>8722</v>
      </c>
      <c r="BG188" s="56" t="s">
        <v>8722</v>
      </c>
      <c r="BH188" s="56" t="s">
        <v>272</v>
      </c>
      <c r="BI188" s="103" t="s">
        <v>8722</v>
      </c>
      <c r="BJ188" s="103" t="s">
        <v>8722</v>
      </c>
      <c r="BK188" s="56" t="s">
        <v>2150</v>
      </c>
      <c r="BL188" s="103">
        <f t="shared" si="65"/>
        <v>1.7544217388550231E-2</v>
      </c>
      <c r="BM188" s="56" t="s">
        <v>2090</v>
      </c>
      <c r="BN188" s="56"/>
      <c r="BO188" s="56"/>
      <c r="BP188" s="56"/>
      <c r="BQ188" s="56">
        <v>2.8831936914736324E-2</v>
      </c>
      <c r="BR188" s="56"/>
      <c r="BS188" s="56"/>
      <c r="BT188" s="56"/>
      <c r="BU188" s="158"/>
      <c r="BV188" s="56"/>
      <c r="BW188" s="56"/>
      <c r="BX188" s="56"/>
      <c r="BY188" s="56"/>
      <c r="BZ188" s="56"/>
      <c r="CA188" s="56"/>
      <c r="CB188" s="56"/>
      <c r="CC188" s="56"/>
      <c r="CD188" s="56"/>
      <c r="CE188" s="56"/>
      <c r="CF188" s="56"/>
      <c r="CG188" s="56"/>
      <c r="CH188" s="56"/>
      <c r="CI188" s="103">
        <f t="shared" si="53"/>
        <v>2.8831936914736324E-2</v>
      </c>
      <c r="CJ188" s="103">
        <f t="shared" si="54"/>
        <v>-1.5401261809511655</v>
      </c>
      <c r="CK188" s="57" t="s">
        <v>404</v>
      </c>
      <c r="CL188" s="160">
        <f t="shared" si="61"/>
        <v>0.60849943728834899</v>
      </c>
      <c r="CM188" s="160">
        <v>-3.2351961258107615</v>
      </c>
      <c r="CN188" s="160" t="s">
        <v>404</v>
      </c>
      <c r="CO188" s="55"/>
      <c r="CP188" s="55" t="s">
        <v>2151</v>
      </c>
      <c r="CQ188" s="149">
        <v>-2.4603145290714736</v>
      </c>
      <c r="CR188" s="349">
        <f>10^(CJ188-CQ188)</f>
        <v>8.3212457494721424</v>
      </c>
      <c r="CS188" s="61" t="s">
        <v>539</v>
      </c>
      <c r="CT188" s="61" t="s">
        <v>6310</v>
      </c>
      <c r="CU188" s="111">
        <f t="shared" si="69"/>
        <v>4.5584045584045576</v>
      </c>
      <c r="CV188" s="331"/>
      <c r="CW188" s="326">
        <f t="shared" si="55"/>
        <v>1</v>
      </c>
      <c r="CX188" s="326" t="s">
        <v>539</v>
      </c>
      <c r="CY188" s="161" t="s">
        <v>5921</v>
      </c>
    </row>
    <row r="189" spans="1:103" ht="11.25" customHeight="1" x14ac:dyDescent="0.2">
      <c r="A189" s="72">
        <v>187</v>
      </c>
      <c r="B189" s="149">
        <v>294</v>
      </c>
      <c r="C189" s="54" t="s">
        <v>1159</v>
      </c>
      <c r="D189" s="54" t="s">
        <v>6577</v>
      </c>
      <c r="E189" s="59"/>
      <c r="F189" s="59" t="s">
        <v>1160</v>
      </c>
      <c r="G189" s="151">
        <v>114369436</v>
      </c>
      <c r="H189" s="55" t="s">
        <v>1161</v>
      </c>
      <c r="I189" s="55" t="s">
        <v>7960</v>
      </c>
      <c r="J189" s="55" t="s">
        <v>1162</v>
      </c>
      <c r="K189" s="55" t="s">
        <v>1163</v>
      </c>
      <c r="L189" s="55" t="s">
        <v>5929</v>
      </c>
      <c r="M189" s="55" t="s">
        <v>6082</v>
      </c>
      <c r="N189" s="60" t="s">
        <v>6082</v>
      </c>
      <c r="O189" s="55" t="s">
        <v>6083</v>
      </c>
      <c r="P189" s="67"/>
      <c r="Q189" s="67"/>
      <c r="R189" s="67"/>
      <c r="S189" s="67"/>
      <c r="T189" s="56">
        <v>336.82</v>
      </c>
      <c r="U189" s="103">
        <v>5.9378896740098575E-4</v>
      </c>
      <c r="V189" s="103">
        <v>2.0916216376699721E-2</v>
      </c>
      <c r="W189" s="103">
        <v>1.0471285480508971E-2</v>
      </c>
      <c r="X189" s="103">
        <v>5.9378896740098575E-4</v>
      </c>
      <c r="Y189" s="162">
        <v>7</v>
      </c>
      <c r="Z189" s="56">
        <v>4.2300000000000004</v>
      </c>
      <c r="AA189" s="56">
        <v>3.23</v>
      </c>
      <c r="AB189" s="56">
        <v>3.86</v>
      </c>
      <c r="AC189" s="56">
        <v>0.62219999999999998</v>
      </c>
      <c r="AD189" s="56">
        <v>3.67</v>
      </c>
      <c r="AE189" s="56">
        <v>3.35</v>
      </c>
      <c r="AF189" s="56">
        <f t="shared" si="64"/>
        <v>3.23</v>
      </c>
      <c r="AG189" s="57">
        <v>4.45</v>
      </c>
      <c r="AH189" s="103">
        <v>1.5299999999999999E-10</v>
      </c>
      <c r="AI189" s="103">
        <v>8.3099999999999996E-8</v>
      </c>
      <c r="AJ189" s="62">
        <f t="shared" si="70"/>
        <v>-8.2038748954950531</v>
      </c>
      <c r="AK189" s="62">
        <f>LOG10(AI189*1000/(0.08206*298.15))</f>
        <v>-5.4689653025285407</v>
      </c>
      <c r="AL189" s="62">
        <f t="shared" si="68"/>
        <v>-5.4689653025285407</v>
      </c>
      <c r="AM189" s="62">
        <v>-14.436909999999999</v>
      </c>
      <c r="AN189" s="154">
        <v>-9.89</v>
      </c>
      <c r="AO189" s="410"/>
      <c r="AP189" s="410">
        <v>2.34</v>
      </c>
      <c r="AQ189" s="154" t="s">
        <v>6311</v>
      </c>
      <c r="AR189" s="154" t="s">
        <v>6311</v>
      </c>
      <c r="AS189" s="149" t="s">
        <v>6</v>
      </c>
      <c r="AT189" s="58" t="s">
        <v>266</v>
      </c>
      <c r="AU189" s="56">
        <v>8</v>
      </c>
      <c r="AV189" s="56">
        <v>144</v>
      </c>
      <c r="AW189" s="56">
        <v>120</v>
      </c>
      <c r="AX189" s="56">
        <v>26</v>
      </c>
      <c r="AY189" s="56" t="s">
        <v>267</v>
      </c>
      <c r="AZ189" s="56" t="s">
        <v>268</v>
      </c>
      <c r="BA189" s="56">
        <v>3</v>
      </c>
      <c r="BB189" s="55" t="s">
        <v>888</v>
      </c>
      <c r="BC189" s="55" t="s">
        <v>270</v>
      </c>
      <c r="BD189" s="55" t="s">
        <v>8374</v>
      </c>
      <c r="BE189" s="56" t="s">
        <v>889</v>
      </c>
      <c r="BF189" s="56" t="s">
        <v>272</v>
      </c>
      <c r="BG189" s="56" t="s">
        <v>272</v>
      </c>
      <c r="BH189" s="56" t="s">
        <v>890</v>
      </c>
      <c r="BI189" s="103">
        <v>9.9999999999999995E-7</v>
      </c>
      <c r="BJ189" s="103">
        <v>0.08</v>
      </c>
      <c r="BK189" s="56"/>
      <c r="BL189" s="103">
        <f t="shared" si="65"/>
        <v>8.1627594805133066E-3</v>
      </c>
      <c r="BM189" s="56" t="s">
        <v>891</v>
      </c>
      <c r="BN189" s="162"/>
      <c r="BO189" s="162"/>
      <c r="BP189" s="162"/>
      <c r="BQ189" s="162"/>
      <c r="BR189" s="162"/>
      <c r="BS189" s="181">
        <v>2.7519999999999999E-2</v>
      </c>
      <c r="BT189" s="162"/>
      <c r="BU189" s="182"/>
      <c r="BV189" s="162"/>
      <c r="BW189" s="162"/>
      <c r="BX189" s="162"/>
      <c r="BY189" s="162"/>
      <c r="BZ189" s="162"/>
      <c r="CA189" s="162"/>
      <c r="CB189" s="162"/>
      <c r="CC189" s="181"/>
      <c r="CD189" s="181"/>
      <c r="CE189" s="181"/>
      <c r="CF189" s="181"/>
      <c r="CG189" s="162"/>
      <c r="CH189" s="181"/>
      <c r="CI189" s="103">
        <f t="shared" si="53"/>
        <v>2.7519999999999999E-2</v>
      </c>
      <c r="CJ189" s="103">
        <f t="shared" si="54"/>
        <v>-1.5603515704365263</v>
      </c>
      <c r="CK189" s="57">
        <f t="shared" ref="CK189:CK220" si="71">BL189/BJ189</f>
        <v>0.10203449350641633</v>
      </c>
      <c r="CL189" s="160">
        <f t="shared" si="61"/>
        <v>0.29661189972795449</v>
      </c>
      <c r="CM189" s="160"/>
      <c r="CN189" s="160"/>
      <c r="CO189" s="55" t="s">
        <v>892</v>
      </c>
      <c r="CP189" s="55" t="s">
        <v>893</v>
      </c>
      <c r="CQ189" s="149">
        <v>-2.5230977856395085</v>
      </c>
      <c r="CR189" s="349">
        <f>10^(CJ189-CQ189)</f>
        <v>9.1779611541071056</v>
      </c>
      <c r="CS189" s="61" t="s">
        <v>539</v>
      </c>
      <c r="CT189" s="61"/>
      <c r="CU189" s="111">
        <f t="shared" si="69"/>
        <v>2.1576633989861402E-2</v>
      </c>
      <c r="CV189" s="331">
        <f t="shared" ref="CV189:CV220" si="72">X189/BJ189</f>
        <v>7.4223620925123216E-3</v>
      </c>
      <c r="CW189" s="326">
        <f t="shared" si="55"/>
        <v>0</v>
      </c>
      <c r="CX189" s="326" t="s">
        <v>539</v>
      </c>
      <c r="CY189" s="161" t="s">
        <v>5921</v>
      </c>
    </row>
    <row r="190" spans="1:103" ht="11.25" customHeight="1" x14ac:dyDescent="0.2">
      <c r="A190" s="72">
        <v>188</v>
      </c>
      <c r="B190" s="149">
        <v>1294</v>
      </c>
      <c r="C190" s="54" t="s">
        <v>3556</v>
      </c>
      <c r="D190" s="54"/>
      <c r="E190" s="59"/>
      <c r="F190" s="59" t="s">
        <v>3557</v>
      </c>
      <c r="G190" s="151">
        <v>1948330</v>
      </c>
      <c r="H190" s="55" t="s">
        <v>3558</v>
      </c>
      <c r="I190" s="55" t="s">
        <v>3558</v>
      </c>
      <c r="J190" s="55" t="s">
        <v>3559</v>
      </c>
      <c r="K190" s="55" t="s">
        <v>1723</v>
      </c>
      <c r="L190" s="55"/>
      <c r="M190" s="55"/>
      <c r="N190" s="60"/>
      <c r="O190" s="55"/>
      <c r="P190" s="67"/>
      <c r="Q190" s="67"/>
      <c r="R190" s="67"/>
      <c r="S190" s="67"/>
      <c r="T190" s="56">
        <v>166.22</v>
      </c>
      <c r="U190" s="103"/>
      <c r="V190" s="103">
        <v>4.5012633858741431</v>
      </c>
      <c r="W190" s="103">
        <v>16.218100973589287</v>
      </c>
      <c r="X190" s="103">
        <f>IF(W190=0,V190,W190)</f>
        <v>16.218100973589287</v>
      </c>
      <c r="Y190" s="162">
        <v>6.28</v>
      </c>
      <c r="Z190" s="56">
        <v>2.94</v>
      </c>
      <c r="AA190" s="56"/>
      <c r="AB190" s="56">
        <v>1.89</v>
      </c>
      <c r="AC190" s="56">
        <v>0.69550000000000001</v>
      </c>
      <c r="AD190" s="56">
        <v>2.06</v>
      </c>
      <c r="AE190" s="56">
        <v>2.33</v>
      </c>
      <c r="AF190" s="56">
        <f t="shared" si="64"/>
        <v>2.06</v>
      </c>
      <c r="AG190" s="57">
        <v>2.77</v>
      </c>
      <c r="AH190" s="103">
        <v>1.51E-10</v>
      </c>
      <c r="AI190" s="103"/>
      <c r="AJ190" s="62">
        <f t="shared" si="70"/>
        <v>-8.2095893790194818</v>
      </c>
      <c r="AK190" s="62"/>
      <c r="AL190" s="62">
        <f t="shared" si="68"/>
        <v>-8.2095893790194818</v>
      </c>
      <c r="AM190" s="62">
        <v>-10.97222</v>
      </c>
      <c r="AN190" s="154">
        <v>-7.89</v>
      </c>
      <c r="AO190" s="410">
        <v>10.8</v>
      </c>
      <c r="AP190" s="410"/>
      <c r="AQ190" s="56" t="s">
        <v>6311</v>
      </c>
      <c r="AR190" s="56" t="s">
        <v>6311</v>
      </c>
      <c r="AS190" s="155"/>
      <c r="AT190" s="58" t="s">
        <v>266</v>
      </c>
      <c r="AU190" s="56">
        <v>6</v>
      </c>
      <c r="AV190" s="56">
        <v>120</v>
      </c>
      <c r="AW190" s="56">
        <v>114</v>
      </c>
      <c r="AX190" s="56">
        <v>28</v>
      </c>
      <c r="AY190" s="56" t="s">
        <v>8728</v>
      </c>
      <c r="AZ190" s="56" t="s">
        <v>1563</v>
      </c>
      <c r="BA190" s="56">
        <v>32</v>
      </c>
      <c r="BB190" s="55" t="s">
        <v>2485</v>
      </c>
      <c r="BC190" s="55" t="s">
        <v>8726</v>
      </c>
      <c r="BD190" s="55" t="s">
        <v>8374</v>
      </c>
      <c r="BE190" s="56" t="s">
        <v>2449</v>
      </c>
      <c r="BF190" s="56" t="s">
        <v>272</v>
      </c>
      <c r="BG190" s="56" t="s">
        <v>272</v>
      </c>
      <c r="BH190" s="56" t="s">
        <v>2486</v>
      </c>
      <c r="BI190" s="103">
        <v>6.3999999999999997E-6</v>
      </c>
      <c r="BJ190" s="103">
        <v>6.4000000000000001E-2</v>
      </c>
      <c r="BK190" s="56"/>
      <c r="BL190" s="103">
        <f t="shared" si="65"/>
        <v>0.11759422655550075</v>
      </c>
      <c r="BM190" s="56" t="s">
        <v>2046</v>
      </c>
      <c r="BN190" s="56">
        <v>20.238577029999998</v>
      </c>
      <c r="BO190" s="56"/>
      <c r="BP190" s="56"/>
      <c r="BQ190" s="56"/>
      <c r="BR190" s="55">
        <v>2.0238577000000001E-2</v>
      </c>
      <c r="BS190" s="56"/>
      <c r="BT190" s="56"/>
      <c r="BU190" s="158"/>
      <c r="BV190" s="56"/>
      <c r="BW190" s="56"/>
      <c r="BX190" s="56"/>
      <c r="BY190" s="56"/>
      <c r="BZ190" s="56"/>
      <c r="CA190" s="56"/>
      <c r="CB190" s="56"/>
      <c r="CC190" s="56"/>
      <c r="CD190" s="56"/>
      <c r="CE190" s="56"/>
      <c r="CF190" s="56"/>
      <c r="CG190" s="56"/>
      <c r="CH190" s="56"/>
      <c r="CI190" s="103">
        <f t="shared" si="53"/>
        <v>2.0238577000000001E-2</v>
      </c>
      <c r="CJ190" s="103">
        <f t="shared" si="54"/>
        <v>-1.6938200265542473</v>
      </c>
      <c r="CK190" s="57">
        <f t="shared" si="71"/>
        <v>1.8374097899296993</v>
      </c>
      <c r="CL190" s="160">
        <f t="shared" si="61"/>
        <v>5.8103999384690308</v>
      </c>
      <c r="CM190" s="160"/>
      <c r="CN190" s="160"/>
      <c r="CO190" s="55" t="s">
        <v>2488</v>
      </c>
      <c r="CP190" s="55" t="s">
        <v>2489</v>
      </c>
      <c r="CQ190" s="149" t="s">
        <v>272</v>
      </c>
      <c r="CR190" s="349"/>
      <c r="CS190" s="61" t="s">
        <v>539</v>
      </c>
      <c r="CT190" s="61"/>
      <c r="CU190" s="111">
        <f t="shared" si="69"/>
        <v>801.34591347945491</v>
      </c>
      <c r="CV190" s="331">
        <f t="shared" si="72"/>
        <v>253.40782771233262</v>
      </c>
      <c r="CW190" s="326">
        <f t="shared" si="55"/>
        <v>1</v>
      </c>
      <c r="CX190" s="326"/>
      <c r="CY190" s="161" t="s">
        <v>6351</v>
      </c>
    </row>
    <row r="191" spans="1:103" ht="11.25" customHeight="1" x14ac:dyDescent="0.2">
      <c r="A191" s="72">
        <v>189</v>
      </c>
      <c r="B191" s="149">
        <v>1937</v>
      </c>
      <c r="C191" s="54" t="s">
        <v>5459</v>
      </c>
      <c r="D191" s="54"/>
      <c r="E191" s="59"/>
      <c r="F191" s="59" t="s">
        <v>5460</v>
      </c>
      <c r="G191" s="151">
        <v>1972083</v>
      </c>
      <c r="H191" s="67" t="s">
        <v>5461</v>
      </c>
      <c r="I191" s="67" t="s">
        <v>5461</v>
      </c>
      <c r="J191" s="67" t="s">
        <v>5462</v>
      </c>
      <c r="K191" s="67" t="s">
        <v>349</v>
      </c>
      <c r="L191" s="67" t="s">
        <v>5463</v>
      </c>
      <c r="M191" s="67" t="s">
        <v>5464</v>
      </c>
      <c r="N191" s="60"/>
      <c r="O191" s="67" t="s">
        <v>5465</v>
      </c>
      <c r="P191" s="67"/>
      <c r="Q191" s="67"/>
      <c r="R191" s="67"/>
      <c r="S191" s="67"/>
      <c r="T191" s="61">
        <v>314.45</v>
      </c>
      <c r="U191" s="111">
        <v>8.9044363173795524</v>
      </c>
      <c r="V191" s="111">
        <v>1.3623787565590715E-4</v>
      </c>
      <c r="W191" s="111">
        <v>1.6218100973589276E-3</v>
      </c>
      <c r="X191" s="111">
        <v>8.9044363173795524</v>
      </c>
      <c r="Y191" s="411">
        <v>6.99</v>
      </c>
      <c r="Z191" s="61">
        <v>7.6</v>
      </c>
      <c r="AA191" s="61">
        <v>6.97</v>
      </c>
      <c r="AB191" s="61">
        <v>7.11</v>
      </c>
      <c r="AC191" s="61">
        <v>0.85470000000000002</v>
      </c>
      <c r="AD191" s="61">
        <v>7.25</v>
      </c>
      <c r="AE191" s="61">
        <v>7.68</v>
      </c>
      <c r="AF191" s="61">
        <f t="shared" si="64"/>
        <v>6.97</v>
      </c>
      <c r="AG191" s="62">
        <v>7.6</v>
      </c>
      <c r="AH191" s="111">
        <v>2.4400000000000001E-7</v>
      </c>
      <c r="AI191" s="111"/>
      <c r="AJ191" s="62">
        <f t="shared" si="70"/>
        <v>-5.0011764999739219</v>
      </c>
      <c r="AK191" s="62"/>
      <c r="AL191" s="62">
        <f t="shared" si="68"/>
        <v>-5.0011764999739219</v>
      </c>
      <c r="AM191" s="62">
        <v>-10.52154</v>
      </c>
      <c r="AN191" s="163"/>
      <c r="AO191" s="410">
        <v>9.81</v>
      </c>
      <c r="AP191" s="410"/>
      <c r="AQ191" s="163" t="s">
        <v>5921</v>
      </c>
      <c r="AR191" s="163" t="s">
        <v>5921</v>
      </c>
      <c r="AS191" s="164" t="s">
        <v>5466</v>
      </c>
      <c r="AT191" s="63" t="s">
        <v>266</v>
      </c>
      <c r="AU191" s="61">
        <v>24</v>
      </c>
      <c r="AV191" s="61">
        <v>120</v>
      </c>
      <c r="AW191" s="61">
        <v>96</v>
      </c>
      <c r="AX191" s="61">
        <v>25</v>
      </c>
      <c r="AY191" s="61" t="s">
        <v>267</v>
      </c>
      <c r="AZ191" s="61" t="s">
        <v>268</v>
      </c>
      <c r="BA191" s="61" t="s">
        <v>5467</v>
      </c>
      <c r="BB191" s="67" t="s">
        <v>5468</v>
      </c>
      <c r="BC191" s="67" t="s">
        <v>5469</v>
      </c>
      <c r="BD191" s="67" t="s">
        <v>8374</v>
      </c>
      <c r="BE191" s="61" t="s">
        <v>2449</v>
      </c>
      <c r="BF191" s="61"/>
      <c r="BG191" s="61"/>
      <c r="BH191" s="61" t="s">
        <v>5470</v>
      </c>
      <c r="BI191" s="111">
        <v>3.9751948000000002E-2</v>
      </c>
      <c r="BJ191" s="111">
        <v>0.31801558299999999</v>
      </c>
      <c r="BK191" s="61"/>
      <c r="BL191" s="111">
        <f t="shared" si="65"/>
        <v>7.6778566618573346E-6</v>
      </c>
      <c r="BM191" s="61" t="s">
        <v>1584</v>
      </c>
      <c r="BN191" s="61"/>
      <c r="BO191" s="61"/>
      <c r="BP191" s="61"/>
      <c r="BQ191" s="61"/>
      <c r="BR191" s="61"/>
      <c r="BS191" s="61"/>
      <c r="BT191" s="61"/>
      <c r="BU191" s="158"/>
      <c r="BV191" s="61"/>
      <c r="BW191" s="61"/>
      <c r="BX191" s="61"/>
      <c r="BY191" s="61"/>
      <c r="BZ191" s="61"/>
      <c r="CA191" s="61"/>
      <c r="CB191" s="61">
        <v>1.0717124999999999E-2</v>
      </c>
      <c r="CC191" s="61"/>
      <c r="CD191" s="61"/>
      <c r="CE191" s="61"/>
      <c r="CF191" s="61"/>
      <c r="CG191" s="61"/>
      <c r="CH191" s="61"/>
      <c r="CI191" s="111">
        <f t="shared" si="53"/>
        <v>1.0717124999999999E-2</v>
      </c>
      <c r="CJ191" s="103">
        <f t="shared" si="54"/>
        <v>-1.9699217038313239</v>
      </c>
      <c r="CK191" s="57">
        <f t="shared" si="71"/>
        <v>2.4143020255260054E-5</v>
      </c>
      <c r="CL191" s="160">
        <f t="shared" si="61"/>
        <v>7.1641010642848105E-4</v>
      </c>
      <c r="CM191" s="160"/>
      <c r="CN191" s="160"/>
      <c r="CO191" s="67"/>
      <c r="CP191" s="67" t="s">
        <v>5471</v>
      </c>
      <c r="CQ191" s="149" t="s">
        <v>272</v>
      </c>
      <c r="CR191" s="349"/>
      <c r="CS191" s="61" t="s">
        <v>539</v>
      </c>
      <c r="CT191" s="61"/>
      <c r="CU191" s="111">
        <f t="shared" si="69"/>
        <v>830.86054491102357</v>
      </c>
      <c r="CV191" s="331">
        <f t="shared" si="72"/>
        <v>27.999999979182004</v>
      </c>
      <c r="CW191" s="326">
        <f t="shared" si="55"/>
        <v>1</v>
      </c>
      <c r="CX191" s="326"/>
      <c r="CY191" s="161" t="s">
        <v>5921</v>
      </c>
    </row>
    <row r="192" spans="1:103" ht="11.25" customHeight="1" x14ac:dyDescent="0.2">
      <c r="A192" s="72">
        <v>190</v>
      </c>
      <c r="B192" s="149">
        <v>192</v>
      </c>
      <c r="C192" s="54" t="s">
        <v>947</v>
      </c>
      <c r="D192" s="54" t="s">
        <v>6451</v>
      </c>
      <c r="E192" s="59"/>
      <c r="F192" s="59" t="s">
        <v>948</v>
      </c>
      <c r="G192" s="151">
        <v>86500</v>
      </c>
      <c r="H192" s="55" t="s">
        <v>949</v>
      </c>
      <c r="I192" s="55" t="s">
        <v>949</v>
      </c>
      <c r="J192" s="55" t="s">
        <v>950</v>
      </c>
      <c r="K192" s="55" t="s">
        <v>951</v>
      </c>
      <c r="L192" s="55" t="s">
        <v>617</v>
      </c>
      <c r="M192" s="55" t="s">
        <v>618</v>
      </c>
      <c r="N192" s="60" t="s">
        <v>6376</v>
      </c>
      <c r="O192" s="55" t="s">
        <v>952</v>
      </c>
      <c r="P192" s="67" t="s">
        <v>6178</v>
      </c>
      <c r="Q192" s="67" t="s">
        <v>6176</v>
      </c>
      <c r="R192" s="67" t="s">
        <v>6177</v>
      </c>
      <c r="S192" s="67" t="s">
        <v>6176</v>
      </c>
      <c r="T192" s="56">
        <v>317.33</v>
      </c>
      <c r="U192" s="103">
        <v>6.5862036365928217E-2</v>
      </c>
      <c r="V192" s="103">
        <v>0.13720732360634041</v>
      </c>
      <c r="W192" s="103">
        <v>0.16595869074375585</v>
      </c>
      <c r="X192" s="103">
        <v>6.5862036365928217E-2</v>
      </c>
      <c r="Y192" s="162">
        <v>7</v>
      </c>
      <c r="Z192" s="56">
        <v>2.5299999999999998</v>
      </c>
      <c r="AA192" s="56">
        <v>2.75</v>
      </c>
      <c r="AB192" s="56">
        <v>3.17</v>
      </c>
      <c r="AC192" s="56">
        <v>0.83950000000000002</v>
      </c>
      <c r="AD192" s="56">
        <v>3.01</v>
      </c>
      <c r="AE192" s="56">
        <v>2.54</v>
      </c>
      <c r="AF192" s="56">
        <f t="shared" si="64"/>
        <v>2.75</v>
      </c>
      <c r="AG192" s="57">
        <v>3.27</v>
      </c>
      <c r="AH192" s="103">
        <v>2.8599999999999999E-10</v>
      </c>
      <c r="AI192" s="103">
        <v>2.3899999999999999E-8</v>
      </c>
      <c r="AJ192" s="62">
        <f t="shared" si="70"/>
        <v>-7.9322002931836089</v>
      </c>
      <c r="AK192" s="62">
        <f>LOG10(AI192*1000/(0.08206*298.15))</f>
        <v>-6.0101684253645145</v>
      </c>
      <c r="AL192" s="62">
        <f t="shared" si="68"/>
        <v>-6.0101684253645145</v>
      </c>
      <c r="AM192" s="62">
        <v>-15.46162</v>
      </c>
      <c r="AN192" s="154">
        <v>-6.71</v>
      </c>
      <c r="AO192" s="410"/>
      <c r="AP192" s="410">
        <v>-2.6</v>
      </c>
      <c r="AQ192" s="154" t="s">
        <v>6314</v>
      </c>
      <c r="AR192" s="154" t="s">
        <v>6314</v>
      </c>
      <c r="AS192" s="149" t="s">
        <v>6</v>
      </c>
      <c r="AT192" s="58" t="s">
        <v>266</v>
      </c>
      <c r="AU192" s="56">
        <v>8</v>
      </c>
      <c r="AV192" s="56">
        <v>144</v>
      </c>
      <c r="AW192" s="56">
        <v>120</v>
      </c>
      <c r="AX192" s="56">
        <v>26</v>
      </c>
      <c r="AY192" s="56" t="s">
        <v>267</v>
      </c>
      <c r="AZ192" s="56" t="s">
        <v>268</v>
      </c>
      <c r="BA192" s="56">
        <v>3</v>
      </c>
      <c r="BB192" s="55" t="s">
        <v>888</v>
      </c>
      <c r="BC192" s="55" t="s">
        <v>270</v>
      </c>
      <c r="BD192" s="55" t="s">
        <v>8374</v>
      </c>
      <c r="BE192" s="56" t="s">
        <v>889</v>
      </c>
      <c r="BF192" s="56" t="s">
        <v>272</v>
      </c>
      <c r="BG192" s="56" t="s">
        <v>272</v>
      </c>
      <c r="BH192" s="56" t="s">
        <v>890</v>
      </c>
      <c r="BI192" s="103">
        <v>9.9999999999999995E-7</v>
      </c>
      <c r="BJ192" s="103">
        <v>0.08</v>
      </c>
      <c r="BK192" s="56"/>
      <c r="BL192" s="103">
        <f t="shared" si="65"/>
        <v>0.27454086646262549</v>
      </c>
      <c r="BM192" s="56" t="s">
        <v>891</v>
      </c>
      <c r="BN192" s="162"/>
      <c r="BO192" s="162"/>
      <c r="BP192" s="162"/>
      <c r="BQ192" s="162"/>
      <c r="BR192" s="162"/>
      <c r="BS192" s="172">
        <v>2.7489999999999997E-2</v>
      </c>
      <c r="BT192" s="162"/>
      <c r="BU192" s="173"/>
      <c r="BV192" s="162"/>
      <c r="BW192" s="162"/>
      <c r="BX192" s="162"/>
      <c r="BY192" s="162"/>
      <c r="BZ192" s="162"/>
      <c r="CA192" s="162"/>
      <c r="CB192" s="162"/>
      <c r="CC192" s="172"/>
      <c r="CD192" s="56"/>
      <c r="CE192" s="56"/>
      <c r="CF192" s="56"/>
      <c r="CG192" s="56"/>
      <c r="CH192" s="172"/>
      <c r="CI192" s="103">
        <f t="shared" si="53"/>
        <v>2.7489999999999997E-2</v>
      </c>
      <c r="CJ192" s="103">
        <f t="shared" si="54"/>
        <v>-1.5608252601565316</v>
      </c>
      <c r="CK192" s="57">
        <f t="shared" si="71"/>
        <v>3.4317608307828187</v>
      </c>
      <c r="CL192" s="160">
        <f t="shared" si="61"/>
        <v>9.9869358480402148</v>
      </c>
      <c r="CM192" s="160">
        <v>-4.650879177629478</v>
      </c>
      <c r="CN192" s="160">
        <f>BJ192/(10^CM192)</f>
        <v>3580.7101277035326</v>
      </c>
      <c r="CO192" s="55" t="s">
        <v>892</v>
      </c>
      <c r="CP192" s="55" t="s">
        <v>893</v>
      </c>
      <c r="CQ192" s="149">
        <v>-3.5696380357924622</v>
      </c>
      <c r="CR192" s="349">
        <f>10^(CJ192-CQ192)</f>
        <v>102.04994515216379</v>
      </c>
      <c r="CS192" s="61" t="s">
        <v>539</v>
      </c>
      <c r="CT192" s="61"/>
      <c r="CU192" s="111">
        <f t="shared" si="69"/>
        <v>2.3958543603466067</v>
      </c>
      <c r="CV192" s="331">
        <f t="shared" si="72"/>
        <v>0.82327545457410267</v>
      </c>
      <c r="CW192" s="326">
        <f t="shared" si="55"/>
        <v>1</v>
      </c>
      <c r="CX192" s="326" t="s">
        <v>539</v>
      </c>
      <c r="CY192" s="161" t="s">
        <v>5921</v>
      </c>
    </row>
    <row r="193" spans="1:103" ht="11.25" customHeight="1" x14ac:dyDescent="0.2">
      <c r="A193" s="72">
        <v>191</v>
      </c>
      <c r="B193" s="149">
        <v>464</v>
      </c>
      <c r="C193" s="54" t="s">
        <v>1522</v>
      </c>
      <c r="D193" s="54" t="s">
        <v>6524</v>
      </c>
      <c r="E193" s="59"/>
      <c r="F193" s="59" t="s">
        <v>1523</v>
      </c>
      <c r="G193" s="151">
        <v>55219653</v>
      </c>
      <c r="H193" s="55" t="s">
        <v>1524</v>
      </c>
      <c r="I193" s="55" t="s">
        <v>8132</v>
      </c>
      <c r="J193" s="55" t="s">
        <v>1525</v>
      </c>
      <c r="K193" s="55" t="s">
        <v>1112</v>
      </c>
      <c r="L193" s="55" t="s">
        <v>6015</v>
      </c>
      <c r="M193" s="55" t="s">
        <v>6082</v>
      </c>
      <c r="N193" s="60" t="s">
        <v>6082</v>
      </c>
      <c r="O193" s="55" t="s">
        <v>6083</v>
      </c>
      <c r="P193" s="67"/>
      <c r="Q193" s="67"/>
      <c r="R193" s="67"/>
      <c r="S193" s="67"/>
      <c r="T193" s="56">
        <v>295.76</v>
      </c>
      <c r="U193" s="103">
        <v>0.20962942926697323</v>
      </c>
      <c r="V193" s="103">
        <v>0.33304030294833648</v>
      </c>
      <c r="W193" s="103">
        <v>0.29512092266663859</v>
      </c>
      <c r="X193" s="103">
        <v>0.20962942926697323</v>
      </c>
      <c r="Y193" s="162">
        <v>7.01</v>
      </c>
      <c r="Z193" s="56">
        <v>2.95</v>
      </c>
      <c r="AA193" s="56">
        <v>3.08</v>
      </c>
      <c r="AB193" s="56">
        <v>3.05</v>
      </c>
      <c r="AC193" s="56">
        <v>0.81520000000000004</v>
      </c>
      <c r="AD193" s="56">
        <v>3.05</v>
      </c>
      <c r="AE193" s="56">
        <v>3.04</v>
      </c>
      <c r="AF193" s="56">
        <f t="shared" si="64"/>
        <v>3.08</v>
      </c>
      <c r="AG193" s="57">
        <v>3.13</v>
      </c>
      <c r="AH193" s="103">
        <v>1.58E-11</v>
      </c>
      <c r="AI193" s="103">
        <v>1.28E-12</v>
      </c>
      <c r="AJ193" s="62">
        <f t="shared" si="70"/>
        <v>-9.1899092393582293</v>
      </c>
      <c r="AK193" s="62">
        <f>LOG10(AI193*1000/(0.08206*298.15))</f>
        <v>-10.281356356664784</v>
      </c>
      <c r="AL193" s="62">
        <f t="shared" si="68"/>
        <v>-10.281356356664784</v>
      </c>
      <c r="AM193" s="62">
        <v>-14.479389999999999</v>
      </c>
      <c r="AN193" s="154">
        <v>-8.8000000000000007</v>
      </c>
      <c r="AO193" s="410">
        <v>13.29</v>
      </c>
      <c r="AP193" s="410">
        <v>2.16</v>
      </c>
      <c r="AQ193" s="154" t="s">
        <v>6311</v>
      </c>
      <c r="AR193" s="154" t="s">
        <v>6311</v>
      </c>
      <c r="AS193" s="149" t="s">
        <v>6</v>
      </c>
      <c r="AT193" s="58" t="s">
        <v>266</v>
      </c>
      <c r="AU193" s="56">
        <v>8</v>
      </c>
      <c r="AV193" s="56">
        <v>144</v>
      </c>
      <c r="AW193" s="56">
        <v>120</v>
      </c>
      <c r="AX193" s="56">
        <v>26</v>
      </c>
      <c r="AY193" s="56" t="s">
        <v>267</v>
      </c>
      <c r="AZ193" s="56" t="s">
        <v>268</v>
      </c>
      <c r="BA193" s="56">
        <v>3</v>
      </c>
      <c r="BB193" s="55" t="s">
        <v>888</v>
      </c>
      <c r="BC193" s="55" t="s">
        <v>270</v>
      </c>
      <c r="BD193" s="55" t="s">
        <v>8374</v>
      </c>
      <c r="BE193" s="56" t="s">
        <v>889</v>
      </c>
      <c r="BF193" s="56" t="s">
        <v>272</v>
      </c>
      <c r="BG193" s="56" t="s">
        <v>272</v>
      </c>
      <c r="BH193" s="56" t="s">
        <v>890</v>
      </c>
      <c r="BI193" s="103">
        <v>9.9999999999999995E-7</v>
      </c>
      <c r="BJ193" s="103">
        <v>0.08</v>
      </c>
      <c r="BK193" s="56"/>
      <c r="BL193" s="103">
        <f t="shared" si="65"/>
        <v>0.11518740649005926</v>
      </c>
      <c r="BM193" s="56" t="s">
        <v>891</v>
      </c>
      <c r="BN193" s="162"/>
      <c r="BO193" s="162"/>
      <c r="BP193" s="162"/>
      <c r="BQ193" s="162"/>
      <c r="BR193" s="162"/>
      <c r="BS193" s="56">
        <v>2.7480000000000001E-2</v>
      </c>
      <c r="BT193" s="162"/>
      <c r="BU193" s="158"/>
      <c r="BV193" s="162"/>
      <c r="BW193" s="162"/>
      <c r="BX193" s="162"/>
      <c r="BY193" s="162"/>
      <c r="BZ193" s="162"/>
      <c r="CA193" s="162"/>
      <c r="CB193" s="162"/>
      <c r="CC193" s="56"/>
      <c r="CD193" s="56"/>
      <c r="CE193" s="56"/>
      <c r="CF193" s="56"/>
      <c r="CG193" s="56"/>
      <c r="CH193" s="56"/>
      <c r="CI193" s="103">
        <f t="shared" si="53"/>
        <v>2.7480000000000001E-2</v>
      </c>
      <c r="CJ193" s="103">
        <f t="shared" si="54"/>
        <v>-1.5609832716124872</v>
      </c>
      <c r="CK193" s="57">
        <f t="shared" si="71"/>
        <v>1.4398425811257407</v>
      </c>
      <c r="CL193" s="160">
        <f t="shared" si="61"/>
        <v>4.1916814588813409</v>
      </c>
      <c r="CM193" s="160">
        <v>-1.2948481785093691</v>
      </c>
      <c r="CN193" s="160">
        <f>BJ193/(10^CM193)</f>
        <v>1.5773866666666665</v>
      </c>
      <c r="CO193" s="55" t="s">
        <v>892</v>
      </c>
      <c r="CP193" s="55" t="s">
        <v>893</v>
      </c>
      <c r="CQ193" s="149">
        <v>-1.2398437185631652</v>
      </c>
      <c r="CR193" s="349">
        <f>10^(CJ193-CQ193)</f>
        <v>0.47737585250387099</v>
      </c>
      <c r="CS193" s="61" t="s">
        <v>539</v>
      </c>
      <c r="CT193" s="61"/>
      <c r="CU193" s="111">
        <f t="shared" si="69"/>
        <v>7.6284362906467695</v>
      </c>
      <c r="CV193" s="331">
        <f t="shared" si="72"/>
        <v>2.6203678658371654</v>
      </c>
      <c r="CW193" s="326">
        <f t="shared" si="55"/>
        <v>1</v>
      </c>
      <c r="CX193" s="326" t="s">
        <v>539</v>
      </c>
      <c r="CY193" s="161" t="s">
        <v>5921</v>
      </c>
    </row>
    <row r="194" spans="1:103" ht="10.9" customHeight="1" x14ac:dyDescent="0.2">
      <c r="A194" s="72">
        <v>192</v>
      </c>
      <c r="B194" s="149">
        <v>1172</v>
      </c>
      <c r="C194" s="54" t="s">
        <v>3231</v>
      </c>
      <c r="D194" s="54" t="s">
        <v>6481</v>
      </c>
      <c r="E194" s="59"/>
      <c r="F194" s="59" t="s">
        <v>3232</v>
      </c>
      <c r="G194" s="151">
        <v>143500</v>
      </c>
      <c r="H194" s="55" t="s">
        <v>3233</v>
      </c>
      <c r="I194" s="55" t="s">
        <v>8303</v>
      </c>
      <c r="J194" s="55" t="s">
        <v>3234</v>
      </c>
      <c r="K194" s="55" t="s">
        <v>426</v>
      </c>
      <c r="L194" s="55" t="s">
        <v>6130</v>
      </c>
      <c r="M194" s="168" t="s">
        <v>6080</v>
      </c>
      <c r="N194" s="60" t="s">
        <v>6376</v>
      </c>
      <c r="O194" s="55" t="s">
        <v>6083</v>
      </c>
      <c r="P194" s="67"/>
      <c r="Q194" s="67"/>
      <c r="R194" s="67"/>
      <c r="S194" s="67"/>
      <c r="T194" s="56">
        <v>490.63</v>
      </c>
      <c r="U194" s="103">
        <v>5.5031286305362494E-3</v>
      </c>
      <c r="V194" s="103">
        <v>4.0172839002914616E-5</v>
      </c>
      <c r="W194" s="103">
        <v>1.8620871366628613E-4</v>
      </c>
      <c r="X194" s="103">
        <v>5.5031286305362494E-3</v>
      </c>
      <c r="Y194" s="162">
        <v>7</v>
      </c>
      <c r="Z194" s="56">
        <v>4.91</v>
      </c>
      <c r="AA194" s="56">
        <v>5.41</v>
      </c>
      <c r="AB194" s="56">
        <v>5.09</v>
      </c>
      <c r="AC194" s="56">
        <v>0.63859999999999995</v>
      </c>
      <c r="AD194" s="56">
        <v>5.37</v>
      </c>
      <c r="AE194" s="56">
        <v>5.89</v>
      </c>
      <c r="AF194" s="56">
        <f t="shared" si="64"/>
        <v>5.41</v>
      </c>
      <c r="AG194" s="57">
        <v>4.84</v>
      </c>
      <c r="AH194" s="103">
        <v>1.7600000000000001E-10</v>
      </c>
      <c r="AI194" s="103">
        <v>5.3799999999999999E-8</v>
      </c>
      <c r="AJ194" s="62">
        <f t="shared" si="70"/>
        <v>-8.143053658498502</v>
      </c>
      <c r="AK194" s="62">
        <f>LOG10(AI194*1000/(0.08206*298.15))</f>
        <v>-5.6577840506462627</v>
      </c>
      <c r="AL194" s="62">
        <f t="shared" si="68"/>
        <v>-5.6577840506462627</v>
      </c>
      <c r="AM194" s="62">
        <v>-13.13194</v>
      </c>
      <c r="AN194" s="154">
        <v>-5.1100000000000003</v>
      </c>
      <c r="AO194" s="410"/>
      <c r="AP194" s="410"/>
      <c r="AQ194" s="56" t="s">
        <v>6311</v>
      </c>
      <c r="AR194" s="56" t="s">
        <v>6311</v>
      </c>
      <c r="AS194" s="155"/>
      <c r="AT194" s="58" t="s">
        <v>266</v>
      </c>
      <c r="AU194" s="56">
        <v>6</v>
      </c>
      <c r="AV194" s="56">
        <v>120</v>
      </c>
      <c r="AW194" s="56">
        <v>114</v>
      </c>
      <c r="AX194" s="56">
        <v>28</v>
      </c>
      <c r="AY194" s="56" t="s">
        <v>8728</v>
      </c>
      <c r="AZ194" s="56" t="s">
        <v>1563</v>
      </c>
      <c r="BA194" s="56">
        <v>32</v>
      </c>
      <c r="BB194" s="55" t="s">
        <v>2485</v>
      </c>
      <c r="BC194" s="55" t="s">
        <v>8726</v>
      </c>
      <c r="BD194" s="55" t="s">
        <v>8374</v>
      </c>
      <c r="BE194" s="56" t="s">
        <v>2449</v>
      </c>
      <c r="BF194" s="56" t="s">
        <v>272</v>
      </c>
      <c r="BG194" s="56" t="s">
        <v>272</v>
      </c>
      <c r="BH194" s="56" t="s">
        <v>2486</v>
      </c>
      <c r="BI194" s="103">
        <v>6.3999999999999997E-6</v>
      </c>
      <c r="BJ194" s="103">
        <v>6.4000000000000001E-2</v>
      </c>
      <c r="BK194" s="56"/>
      <c r="BL194" s="103">
        <f t="shared" si="65"/>
        <v>2.0004559837889196E-3</v>
      </c>
      <c r="BM194" s="56" t="s">
        <v>2487</v>
      </c>
      <c r="BN194" s="56"/>
      <c r="BO194" s="56"/>
      <c r="BP194" s="56"/>
      <c r="BQ194" s="56"/>
      <c r="BR194" s="55">
        <v>2.7099999999999999E-2</v>
      </c>
      <c r="BS194" s="56"/>
      <c r="BT194" s="56"/>
      <c r="BU194" s="158"/>
      <c r="BV194" s="56"/>
      <c r="BW194" s="56"/>
      <c r="BX194" s="56"/>
      <c r="BY194" s="56"/>
      <c r="BZ194" s="56"/>
      <c r="CA194" s="56"/>
      <c r="CB194" s="56"/>
      <c r="CC194" s="56"/>
      <c r="CD194" s="56"/>
      <c r="CE194" s="56"/>
      <c r="CF194" s="56"/>
      <c r="CG194" s="56"/>
      <c r="CH194" s="56"/>
      <c r="CI194" s="103">
        <f t="shared" si="53"/>
        <v>2.7099999999999999E-2</v>
      </c>
      <c r="CJ194" s="103">
        <f t="shared" si="54"/>
        <v>-1.5670307091255944</v>
      </c>
      <c r="CK194" s="57">
        <f t="shared" si="71"/>
        <v>3.1257124746701871E-2</v>
      </c>
      <c r="CL194" s="160">
        <f t="shared" si="61"/>
        <v>7.3817563977450915E-2</v>
      </c>
      <c r="CM194" s="160">
        <v>-4.2590381829843054</v>
      </c>
      <c r="CN194" s="160">
        <f>BJ194/(10^CM194)</f>
        <v>1162.0321850543503</v>
      </c>
      <c r="CO194" s="55" t="s">
        <v>2488</v>
      </c>
      <c r="CP194" s="55" t="s">
        <v>2489</v>
      </c>
      <c r="CQ194" s="149">
        <v>-3.9066118706986299</v>
      </c>
      <c r="CR194" s="349">
        <f>10^(CJ194-CQ194)</f>
        <v>218.56527393945353</v>
      </c>
      <c r="CS194" s="61" t="s">
        <v>539</v>
      </c>
      <c r="CT194" s="61"/>
      <c r="CU194" s="111">
        <f t="shared" si="69"/>
        <v>0.20306747714155904</v>
      </c>
      <c r="CV194" s="331">
        <f t="shared" si="72"/>
        <v>8.5986384852128894E-2</v>
      </c>
      <c r="CW194" s="326">
        <f t="shared" si="55"/>
        <v>0</v>
      </c>
      <c r="CX194" s="326"/>
      <c r="CY194" s="161" t="s">
        <v>5921</v>
      </c>
    </row>
    <row r="195" spans="1:103" ht="11.25" customHeight="1" x14ac:dyDescent="0.2">
      <c r="A195" s="72">
        <v>193</v>
      </c>
      <c r="B195" s="149">
        <v>184</v>
      </c>
      <c r="C195" s="54" t="s">
        <v>925</v>
      </c>
      <c r="D195" s="54" t="s">
        <v>6507</v>
      </c>
      <c r="E195" s="59"/>
      <c r="F195" s="59" t="s">
        <v>926</v>
      </c>
      <c r="G195" s="151">
        <v>15972608</v>
      </c>
      <c r="H195" s="55" t="s">
        <v>927</v>
      </c>
      <c r="I195" s="55" t="s">
        <v>8288</v>
      </c>
      <c r="J195" s="55" t="s">
        <v>928</v>
      </c>
      <c r="K195" s="55" t="s">
        <v>924</v>
      </c>
      <c r="L195" s="55" t="s">
        <v>5941</v>
      </c>
      <c r="M195" s="55" t="s">
        <v>929</v>
      </c>
      <c r="N195" s="60" t="s">
        <v>6088</v>
      </c>
      <c r="O195" s="55" t="s">
        <v>930</v>
      </c>
      <c r="P195" s="67" t="s">
        <v>6172</v>
      </c>
      <c r="Q195" s="67" t="s">
        <v>6173</v>
      </c>
      <c r="R195" s="67" t="s">
        <v>6175</v>
      </c>
      <c r="S195" s="67" t="s">
        <v>6176</v>
      </c>
      <c r="T195" s="56">
        <v>269.77</v>
      </c>
      <c r="U195" s="103">
        <v>0.88964673610853695</v>
      </c>
      <c r="V195" s="103">
        <v>6.6982985506171933E-2</v>
      </c>
      <c r="W195" s="103">
        <v>3.0199517204020134</v>
      </c>
      <c r="X195" s="103">
        <v>0.88964673610853695</v>
      </c>
      <c r="Y195" s="162">
        <v>7.01</v>
      </c>
      <c r="Z195" s="56">
        <v>3.37</v>
      </c>
      <c r="AA195" s="56">
        <v>3.52</v>
      </c>
      <c r="AB195" s="56">
        <v>3.01</v>
      </c>
      <c r="AC195" s="56">
        <v>0.8427</v>
      </c>
      <c r="AD195" s="56">
        <v>2.99</v>
      </c>
      <c r="AE195" s="56">
        <v>2.92</v>
      </c>
      <c r="AF195" s="56">
        <f t="shared" si="64"/>
        <v>3.52</v>
      </c>
      <c r="AG195" s="57">
        <v>3.3</v>
      </c>
      <c r="AH195" s="103">
        <v>2.2300000000000001E-8</v>
      </c>
      <c r="AI195" s="103">
        <v>8.3199999999999994E-9</v>
      </c>
      <c r="AJ195" s="62">
        <f t="shared" si="70"/>
        <v>-6.0402614632644909</v>
      </c>
      <c r="AK195" s="62">
        <f>LOG10(AI195*1000/(0.08206*298.15))</f>
        <v>-6.468443000021928</v>
      </c>
      <c r="AL195" s="62">
        <f t="shared" si="68"/>
        <v>-6.468443000021928</v>
      </c>
      <c r="AM195" s="62">
        <v>-10.631349999999999</v>
      </c>
      <c r="AN195" s="154">
        <v>-5.33</v>
      </c>
      <c r="AO195" s="410"/>
      <c r="AP195" s="410">
        <v>1.2</v>
      </c>
      <c r="AQ195" s="154" t="s">
        <v>6311</v>
      </c>
      <c r="AR195" s="154" t="s">
        <v>6311</v>
      </c>
      <c r="AS195" s="149" t="s">
        <v>6</v>
      </c>
      <c r="AT195" s="58" t="s">
        <v>266</v>
      </c>
      <c r="AU195" s="56">
        <v>8</v>
      </c>
      <c r="AV195" s="56">
        <v>144</v>
      </c>
      <c r="AW195" s="56">
        <v>120</v>
      </c>
      <c r="AX195" s="56">
        <v>26</v>
      </c>
      <c r="AY195" s="56" t="s">
        <v>267</v>
      </c>
      <c r="AZ195" s="56" t="s">
        <v>268</v>
      </c>
      <c r="BA195" s="56">
        <v>2</v>
      </c>
      <c r="BB195" s="55" t="s">
        <v>888</v>
      </c>
      <c r="BC195" s="55" t="s">
        <v>270</v>
      </c>
      <c r="BD195" s="55" t="s">
        <v>8374</v>
      </c>
      <c r="BE195" s="56" t="s">
        <v>889</v>
      </c>
      <c r="BF195" s="56" t="s">
        <v>272</v>
      </c>
      <c r="BG195" s="56" t="s">
        <v>272</v>
      </c>
      <c r="BH195" s="56" t="s">
        <v>890</v>
      </c>
      <c r="BI195" s="103">
        <v>9.9999999999999995E-7</v>
      </c>
      <c r="BJ195" s="103">
        <v>0.08</v>
      </c>
      <c r="BK195" s="56"/>
      <c r="BL195" s="103">
        <f t="shared" si="65"/>
        <v>4.832846484700818E-2</v>
      </c>
      <c r="BM195" s="56" t="s">
        <v>891</v>
      </c>
      <c r="BN195" s="162"/>
      <c r="BO195" s="162"/>
      <c r="BP195" s="162"/>
      <c r="BQ195" s="162"/>
      <c r="BR195" s="162"/>
      <c r="BS195" s="56">
        <v>2.664E-2</v>
      </c>
      <c r="BT195" s="162"/>
      <c r="BU195" s="158"/>
      <c r="BV195" s="162"/>
      <c r="BW195" s="162"/>
      <c r="BX195" s="162"/>
      <c r="BY195" s="162"/>
      <c r="BZ195" s="162"/>
      <c r="CA195" s="162"/>
      <c r="CB195" s="162"/>
      <c r="CC195" s="56"/>
      <c r="CD195" s="56"/>
      <c r="CE195" s="56"/>
      <c r="CF195" s="56"/>
      <c r="CG195" s="56"/>
      <c r="CH195" s="56"/>
      <c r="CI195" s="103">
        <f t="shared" ref="CI195:CI258" si="73">MIN(BN195:CH195)</f>
        <v>2.664E-2</v>
      </c>
      <c r="CJ195" s="103">
        <f t="shared" ref="CJ195:CJ258" si="74">LOG10(CI195)</f>
        <v>-1.5744657795017365</v>
      </c>
      <c r="CK195" s="57">
        <f t="shared" si="71"/>
        <v>0.60410581058760227</v>
      </c>
      <c r="CL195" s="160">
        <f t="shared" si="61"/>
        <v>1.8141315633261328</v>
      </c>
      <c r="CM195" s="160">
        <v>-2.0724164104677936</v>
      </c>
      <c r="CN195" s="160">
        <f>BJ195/(10^CM195)</f>
        <v>9.4516231523637533</v>
      </c>
      <c r="CO195" s="55" t="s">
        <v>892</v>
      </c>
      <c r="CP195" s="55" t="s">
        <v>893</v>
      </c>
      <c r="CQ195" s="149">
        <v>-1.8764715896195507</v>
      </c>
      <c r="CR195" s="349">
        <f>10^(CJ195-CQ195)</f>
        <v>2.0044988439539582</v>
      </c>
      <c r="CS195" s="61" t="s">
        <v>539</v>
      </c>
      <c r="CT195" s="61"/>
      <c r="CU195" s="111">
        <f t="shared" si="69"/>
        <v>33.395147751821959</v>
      </c>
      <c r="CV195" s="331">
        <f t="shared" si="72"/>
        <v>11.120584201356712</v>
      </c>
      <c r="CW195" s="326">
        <f t="shared" ref="CW195:CW258" si="75">IF(CU195&lt;2,0,1)</f>
        <v>1</v>
      </c>
      <c r="CX195" s="326" t="s">
        <v>539</v>
      </c>
      <c r="CY195" s="161" t="s">
        <v>5921</v>
      </c>
    </row>
    <row r="196" spans="1:103" ht="11.25" customHeight="1" x14ac:dyDescent="0.2">
      <c r="A196" s="72">
        <v>194</v>
      </c>
      <c r="B196" s="149">
        <v>933</v>
      </c>
      <c r="C196" s="54" t="s">
        <v>2663</v>
      </c>
      <c r="D196" s="54"/>
      <c r="E196" s="59"/>
      <c r="F196" s="59" t="s">
        <v>2664</v>
      </c>
      <c r="G196" s="151">
        <v>2687254</v>
      </c>
      <c r="H196" s="55" t="s">
        <v>2665</v>
      </c>
      <c r="I196" s="55" t="s">
        <v>2665</v>
      </c>
      <c r="J196" s="55" t="s">
        <v>2666</v>
      </c>
      <c r="K196" s="55" t="s">
        <v>2667</v>
      </c>
      <c r="L196" s="55"/>
      <c r="M196" s="55"/>
      <c r="N196" s="60"/>
      <c r="O196" s="55"/>
      <c r="P196" s="67"/>
      <c r="Q196" s="67"/>
      <c r="R196" s="67"/>
      <c r="S196" s="67"/>
      <c r="T196" s="56">
        <v>122.17</v>
      </c>
      <c r="U196" s="103"/>
      <c r="V196" s="103">
        <v>201.11320291397234</v>
      </c>
      <c r="W196" s="103">
        <v>186.20871366628671</v>
      </c>
      <c r="X196" s="103">
        <f>IF(W196=0,V196,W196)</f>
        <v>186.20871366628671</v>
      </c>
      <c r="Y196" s="162">
        <v>8.8699999999999992</v>
      </c>
      <c r="Z196" s="56">
        <v>0.71</v>
      </c>
      <c r="AA196" s="56"/>
      <c r="AB196" s="56">
        <v>0.69</v>
      </c>
      <c r="AC196" s="56">
        <v>0.81369999999999998</v>
      </c>
      <c r="AD196" s="56">
        <v>0.64</v>
      </c>
      <c r="AE196" s="56">
        <v>0.51</v>
      </c>
      <c r="AF196" s="56">
        <f t="shared" si="64"/>
        <v>0.64</v>
      </c>
      <c r="AG196" s="57">
        <v>0.88</v>
      </c>
      <c r="AH196" s="103">
        <v>7.4300000000000002E-10</v>
      </c>
      <c r="AI196" s="103"/>
      <c r="AJ196" s="62">
        <f t="shared" si="70"/>
        <v>-7.5175775125520765</v>
      </c>
      <c r="AK196" s="62"/>
      <c r="AL196" s="62">
        <f t="shared" si="68"/>
        <v>-7.5175775125520765</v>
      </c>
      <c r="AM196" s="62">
        <v>-9.9274100000000001</v>
      </c>
      <c r="AN196" s="154">
        <v>-5.59</v>
      </c>
      <c r="AO196" s="410"/>
      <c r="AP196" s="410">
        <v>4.28</v>
      </c>
      <c r="AQ196" s="56" t="s">
        <v>6311</v>
      </c>
      <c r="AR196" s="56" t="s">
        <v>6311</v>
      </c>
      <c r="AS196" s="155"/>
      <c r="AT196" s="58" t="s">
        <v>266</v>
      </c>
      <c r="AU196" s="56">
        <v>6</v>
      </c>
      <c r="AV196" s="56">
        <v>120</v>
      </c>
      <c r="AW196" s="56">
        <v>114</v>
      </c>
      <c r="AX196" s="56">
        <v>28</v>
      </c>
      <c r="AY196" s="56" t="s">
        <v>8728</v>
      </c>
      <c r="AZ196" s="56" t="s">
        <v>1563</v>
      </c>
      <c r="BA196" s="56">
        <v>32</v>
      </c>
      <c r="BB196" s="55" t="s">
        <v>2485</v>
      </c>
      <c r="BC196" s="55" t="s">
        <v>8726</v>
      </c>
      <c r="BD196" s="55" t="s">
        <v>8374</v>
      </c>
      <c r="BE196" s="56" t="s">
        <v>2449</v>
      </c>
      <c r="BF196" s="56" t="s">
        <v>272</v>
      </c>
      <c r="BG196" s="56" t="s">
        <v>272</v>
      </c>
      <c r="BH196" s="56" t="s">
        <v>2486</v>
      </c>
      <c r="BI196" s="103">
        <v>6.3999999999999997E-6</v>
      </c>
      <c r="BJ196" s="103">
        <v>6.4000000000000001E-2</v>
      </c>
      <c r="BK196" s="56"/>
      <c r="BL196" s="103">
        <f t="shared" si="65"/>
        <v>11.834475093832653</v>
      </c>
      <c r="BM196" s="56" t="s">
        <v>2487</v>
      </c>
      <c r="BN196" s="56"/>
      <c r="BO196" s="56"/>
      <c r="BP196" s="56"/>
      <c r="BQ196" s="56"/>
      <c r="BR196" s="55">
        <v>2.0238577000000001E-2</v>
      </c>
      <c r="BS196" s="56"/>
      <c r="BT196" s="56"/>
      <c r="BU196" s="158"/>
      <c r="BV196" s="56"/>
      <c r="BW196" s="56"/>
      <c r="BX196" s="56"/>
      <c r="BY196" s="56"/>
      <c r="BZ196" s="56"/>
      <c r="CA196" s="56"/>
      <c r="CB196" s="56"/>
      <c r="CC196" s="56"/>
      <c r="CD196" s="56"/>
      <c r="CE196" s="56"/>
      <c r="CF196" s="56"/>
      <c r="CG196" s="56"/>
      <c r="CH196" s="56"/>
      <c r="CI196" s="103">
        <f t="shared" si="73"/>
        <v>2.0238577000000001E-2</v>
      </c>
      <c r="CJ196" s="103">
        <f t="shared" si="74"/>
        <v>-1.6938200265542473</v>
      </c>
      <c r="CK196" s="57">
        <f t="shared" si="71"/>
        <v>184.91367334113519</v>
      </c>
      <c r="CL196" s="160">
        <f t="shared" si="61"/>
        <v>584.74837899090699</v>
      </c>
      <c r="CM196" s="160"/>
      <c r="CN196" s="160"/>
      <c r="CO196" s="55" t="s">
        <v>2488</v>
      </c>
      <c r="CP196" s="55" t="s">
        <v>2489</v>
      </c>
      <c r="CQ196" s="149" t="s">
        <v>272</v>
      </c>
      <c r="CR196" s="349"/>
      <c r="CS196" s="61" t="s">
        <v>539</v>
      </c>
      <c r="CT196" s="61"/>
      <c r="CU196" s="111">
        <f t="shared" si="69"/>
        <v>9200.6821263316433</v>
      </c>
      <c r="CV196" s="331">
        <f t="shared" si="72"/>
        <v>2909.5111510357297</v>
      </c>
      <c r="CW196" s="326">
        <f t="shared" si="75"/>
        <v>1</v>
      </c>
      <c r="CX196" s="326"/>
      <c r="CY196" s="161" t="s">
        <v>5921</v>
      </c>
    </row>
    <row r="197" spans="1:103" ht="11.25" customHeight="1" x14ac:dyDescent="0.2">
      <c r="A197" s="72">
        <v>195</v>
      </c>
      <c r="B197" s="149">
        <v>187</v>
      </c>
      <c r="C197" s="54" t="s">
        <v>931</v>
      </c>
      <c r="D197" s="54" t="s">
        <v>6516</v>
      </c>
      <c r="E197" s="59"/>
      <c r="F197" s="59" t="s">
        <v>932</v>
      </c>
      <c r="G197" s="151">
        <v>33089611</v>
      </c>
      <c r="H197" s="55" t="s">
        <v>933</v>
      </c>
      <c r="I197" s="55" t="s">
        <v>933</v>
      </c>
      <c r="J197" s="55" t="s">
        <v>934</v>
      </c>
      <c r="K197" s="55" t="s">
        <v>300</v>
      </c>
      <c r="L197" s="55" t="s">
        <v>617</v>
      </c>
      <c r="M197" s="55" t="s">
        <v>935</v>
      </c>
      <c r="N197" s="60" t="s">
        <v>6383</v>
      </c>
      <c r="O197" s="55" t="s">
        <v>918</v>
      </c>
      <c r="P197" s="67"/>
      <c r="Q197" s="67"/>
      <c r="R197" s="67"/>
      <c r="S197" s="67"/>
      <c r="T197" s="56">
        <v>293.41000000000003</v>
      </c>
      <c r="U197" s="103">
        <v>3.4082001295116047E-3</v>
      </c>
      <c r="V197" s="103">
        <v>9.3521011553798442E-3</v>
      </c>
      <c r="W197" s="103">
        <v>6.9183097091893497E-3</v>
      </c>
      <c r="X197" s="103">
        <v>3.4082001295116047E-3</v>
      </c>
      <c r="Y197" s="162">
        <v>7.1</v>
      </c>
      <c r="Z197" s="56">
        <v>5.55</v>
      </c>
      <c r="AA197" s="56">
        <v>5.5</v>
      </c>
      <c r="AB197" s="56">
        <v>5.14</v>
      </c>
      <c r="AC197" s="56">
        <v>0.8306</v>
      </c>
      <c r="AD197" s="56">
        <v>5.26</v>
      </c>
      <c r="AE197" s="56">
        <v>5.64</v>
      </c>
      <c r="AF197" s="56">
        <f t="shared" si="64"/>
        <v>5.5</v>
      </c>
      <c r="AG197" s="57">
        <v>5.18</v>
      </c>
      <c r="AH197" s="103">
        <v>1.48E-8</v>
      </c>
      <c r="AI197" s="103">
        <v>9.8700000000000004E-6</v>
      </c>
      <c r="AJ197" s="62">
        <f t="shared" si="70"/>
        <v>-6.218304610917694</v>
      </c>
      <c r="AK197" s="62">
        <f>LOG10(AI197*1000/(0.08206*298.15))</f>
        <v>-3.3942491736430149</v>
      </c>
      <c r="AL197" s="62">
        <f t="shared" si="68"/>
        <v>-3.3942491736430149</v>
      </c>
      <c r="AM197" s="62">
        <v>-9.5969200000000008</v>
      </c>
      <c r="AN197" s="154">
        <v>-3.62</v>
      </c>
      <c r="AO197" s="410"/>
      <c r="AP197" s="410">
        <v>4.9400000000000004</v>
      </c>
      <c r="AQ197" s="154" t="s">
        <v>6311</v>
      </c>
      <c r="AR197" s="154" t="s">
        <v>6311</v>
      </c>
      <c r="AS197" s="149" t="s">
        <v>6</v>
      </c>
      <c r="AT197" s="58" t="s">
        <v>266</v>
      </c>
      <c r="AU197" s="56">
        <v>8</v>
      </c>
      <c r="AV197" s="56">
        <v>144</v>
      </c>
      <c r="AW197" s="56">
        <v>120</v>
      </c>
      <c r="AX197" s="56">
        <v>26</v>
      </c>
      <c r="AY197" s="56" t="s">
        <v>267</v>
      </c>
      <c r="AZ197" s="56" t="s">
        <v>268</v>
      </c>
      <c r="BA197" s="56">
        <v>2</v>
      </c>
      <c r="BB197" s="55" t="s">
        <v>888</v>
      </c>
      <c r="BC197" s="55" t="s">
        <v>270</v>
      </c>
      <c r="BD197" s="55" t="s">
        <v>8374</v>
      </c>
      <c r="BE197" s="56" t="s">
        <v>889</v>
      </c>
      <c r="BF197" s="56" t="s">
        <v>272</v>
      </c>
      <c r="BG197" s="56" t="s">
        <v>272</v>
      </c>
      <c r="BH197" s="56" t="s">
        <v>890</v>
      </c>
      <c r="BI197" s="103">
        <v>9.9999999999999995E-7</v>
      </c>
      <c r="BJ197" s="103">
        <v>0.08</v>
      </c>
      <c r="BK197" s="56"/>
      <c r="BL197" s="103">
        <f t="shared" si="65"/>
        <v>5.3253112967520876E-4</v>
      </c>
      <c r="BM197" s="56" t="s">
        <v>891</v>
      </c>
      <c r="BN197" s="162"/>
      <c r="BO197" s="162"/>
      <c r="BP197" s="162"/>
      <c r="BQ197" s="162"/>
      <c r="BR197" s="162"/>
      <c r="BS197" s="56">
        <v>2.664E-2</v>
      </c>
      <c r="BT197" s="162"/>
      <c r="BU197" s="158"/>
      <c r="BV197" s="162"/>
      <c r="BW197" s="162"/>
      <c r="BX197" s="162"/>
      <c r="BY197" s="162"/>
      <c r="BZ197" s="162"/>
      <c r="CA197" s="162"/>
      <c r="CB197" s="162"/>
      <c r="CC197" s="56"/>
      <c r="CD197" s="56"/>
      <c r="CE197" s="56"/>
      <c r="CF197" s="56"/>
      <c r="CG197" s="56"/>
      <c r="CH197" s="56"/>
      <c r="CI197" s="103">
        <f t="shared" si="73"/>
        <v>2.664E-2</v>
      </c>
      <c r="CJ197" s="103">
        <f t="shared" si="74"/>
        <v>-1.5744657795017365</v>
      </c>
      <c r="CK197" s="57">
        <f t="shared" si="71"/>
        <v>6.6566391209401093E-3</v>
      </c>
      <c r="CL197" s="160">
        <f t="shared" si="61"/>
        <v>1.998990727009042E-2</v>
      </c>
      <c r="CM197" s="160">
        <v>-2.4156371235578393</v>
      </c>
      <c r="CN197" s="160">
        <f>BJ197/(10^CM197)</f>
        <v>20.831815022095707</v>
      </c>
      <c r="CO197" s="55" t="s">
        <v>892</v>
      </c>
      <c r="CP197" s="55" t="s">
        <v>893</v>
      </c>
      <c r="CQ197" s="149">
        <v>-2.394041358577907</v>
      </c>
      <c r="CR197" s="349">
        <f>10^(CJ197-CQ197)</f>
        <v>6.6004809062601302</v>
      </c>
      <c r="CS197" s="61" t="s">
        <v>539</v>
      </c>
      <c r="CT197" s="61"/>
      <c r="CU197" s="111">
        <f t="shared" si="69"/>
        <v>0.12793544029698214</v>
      </c>
      <c r="CV197" s="331">
        <f t="shared" si="72"/>
        <v>4.2602501618895054E-2</v>
      </c>
      <c r="CW197" s="326">
        <f t="shared" si="75"/>
        <v>0</v>
      </c>
      <c r="CX197" s="326" t="s">
        <v>539</v>
      </c>
      <c r="CY197" s="161" t="s">
        <v>5921</v>
      </c>
    </row>
    <row r="198" spans="1:103" ht="11.25" customHeight="1" x14ac:dyDescent="0.2">
      <c r="A198" s="72">
        <v>196</v>
      </c>
      <c r="B198" s="149">
        <v>1247</v>
      </c>
      <c r="C198" s="54" t="s">
        <v>3429</v>
      </c>
      <c r="D198" s="54"/>
      <c r="E198" s="59"/>
      <c r="F198" s="59" t="s">
        <v>3430</v>
      </c>
      <c r="G198" s="151">
        <v>2795393</v>
      </c>
      <c r="H198" s="55" t="s">
        <v>3431</v>
      </c>
      <c r="I198" s="55" t="s">
        <v>3431</v>
      </c>
      <c r="J198" s="55" t="s">
        <v>3432</v>
      </c>
      <c r="K198" s="55" t="s">
        <v>426</v>
      </c>
      <c r="L198" s="55"/>
      <c r="M198" s="55"/>
      <c r="N198" s="60"/>
      <c r="O198" s="55"/>
      <c r="P198" s="67"/>
      <c r="Q198" s="67"/>
      <c r="R198" s="67"/>
      <c r="S198" s="67"/>
      <c r="T198" s="56">
        <v>500.13</v>
      </c>
      <c r="U198" s="103"/>
      <c r="V198" s="103">
        <v>2.0774598604362868E-4</v>
      </c>
      <c r="W198" s="103">
        <v>5.370317963702524</v>
      </c>
      <c r="X198" s="103">
        <f>IF(W198=0,V198,W198)</f>
        <v>5.370317963702524</v>
      </c>
      <c r="Y198" s="162">
        <v>2.27</v>
      </c>
      <c r="Z198" s="56">
        <v>4.49</v>
      </c>
      <c r="AA198" s="56"/>
      <c r="AB198" s="56">
        <v>2.3199999999999998</v>
      </c>
      <c r="AC198" s="56">
        <v>0.56120000000000003</v>
      </c>
      <c r="AD198" s="56">
        <v>4.16</v>
      </c>
      <c r="AE198" s="56">
        <v>7.03</v>
      </c>
      <c r="AF198" s="56">
        <f t="shared" si="64"/>
        <v>4.16</v>
      </c>
      <c r="AG198" s="57">
        <v>2.59</v>
      </c>
      <c r="AH198" s="103">
        <v>1.0999999999999999E-2</v>
      </c>
      <c r="AI198" s="103"/>
      <c r="AJ198" s="62">
        <f t="shared" si="70"/>
        <v>-0.34717364115442678</v>
      </c>
      <c r="AK198" s="62"/>
      <c r="AL198" s="62">
        <f t="shared" si="68"/>
        <v>-0.34717364115442678</v>
      </c>
      <c r="AM198" s="62">
        <v>-3.9819300000000002</v>
      </c>
      <c r="AN198" s="154">
        <v>-7.7</v>
      </c>
      <c r="AO198" s="410">
        <v>-3.27</v>
      </c>
      <c r="AP198" s="410"/>
      <c r="AQ198" s="56" t="s">
        <v>6311</v>
      </c>
      <c r="AR198" s="56" t="s">
        <v>6311</v>
      </c>
      <c r="AS198" s="155"/>
      <c r="AT198" s="58" t="s">
        <v>266</v>
      </c>
      <c r="AU198" s="56">
        <v>6</v>
      </c>
      <c r="AV198" s="56">
        <v>120</v>
      </c>
      <c r="AW198" s="56">
        <v>114</v>
      </c>
      <c r="AX198" s="56">
        <v>28</v>
      </c>
      <c r="AY198" s="56" t="s">
        <v>8728</v>
      </c>
      <c r="AZ198" s="56" t="s">
        <v>1563</v>
      </c>
      <c r="BA198" s="56">
        <v>32</v>
      </c>
      <c r="BB198" s="55" t="s">
        <v>2485</v>
      </c>
      <c r="BC198" s="55" t="s">
        <v>8726</v>
      </c>
      <c r="BD198" s="55" t="s">
        <v>8374</v>
      </c>
      <c r="BE198" s="56" t="s">
        <v>2449</v>
      </c>
      <c r="BF198" s="56" t="s">
        <v>272</v>
      </c>
      <c r="BG198" s="56" t="s">
        <v>272</v>
      </c>
      <c r="BH198" s="56" t="s">
        <v>2486</v>
      </c>
      <c r="BI198" s="103">
        <v>6.3999999999999997E-6</v>
      </c>
      <c r="BJ198" s="103">
        <v>6.4000000000000001E-2</v>
      </c>
      <c r="BK198" s="56"/>
      <c r="BL198" s="103">
        <f t="shared" si="65"/>
        <v>4.7679423979143983E-3</v>
      </c>
      <c r="BM198" s="56" t="s">
        <v>2046</v>
      </c>
      <c r="BN198" s="56"/>
      <c r="BO198" s="56"/>
      <c r="BP198" s="56"/>
      <c r="BQ198" s="56"/>
      <c r="BR198" s="55">
        <v>1.9429034000000001E-2</v>
      </c>
      <c r="BS198" s="56"/>
      <c r="BT198" s="56"/>
      <c r="BU198" s="158"/>
      <c r="BV198" s="56"/>
      <c r="BW198" s="56"/>
      <c r="BX198" s="56"/>
      <c r="BY198" s="56"/>
      <c r="BZ198" s="56"/>
      <c r="CA198" s="56"/>
      <c r="CB198" s="56"/>
      <c r="CC198" s="56"/>
      <c r="CD198" s="56"/>
      <c r="CE198" s="56"/>
      <c r="CF198" s="56"/>
      <c r="CG198" s="56"/>
      <c r="CH198" s="56"/>
      <c r="CI198" s="103">
        <f t="shared" si="73"/>
        <v>1.9429034000000001E-2</v>
      </c>
      <c r="CJ198" s="103">
        <f t="shared" si="74"/>
        <v>-1.71154879172645</v>
      </c>
      <c r="CK198" s="57">
        <f t="shared" si="71"/>
        <v>7.4499099967412469E-2</v>
      </c>
      <c r="CL198" s="160">
        <f t="shared" si="61"/>
        <v>0.24540295713695276</v>
      </c>
      <c r="CM198" s="160"/>
      <c r="CN198" s="160"/>
      <c r="CO198" s="55" t="s">
        <v>2488</v>
      </c>
      <c r="CP198" s="55" t="s">
        <v>2489</v>
      </c>
      <c r="CQ198" s="149" t="s">
        <v>272</v>
      </c>
      <c r="CR198" s="349"/>
      <c r="CS198" s="61" t="s">
        <v>539</v>
      </c>
      <c r="CT198" s="61"/>
      <c r="CU198" s="111">
        <f t="shared" si="69"/>
        <v>276.40684368057225</v>
      </c>
      <c r="CV198" s="331">
        <f t="shared" si="72"/>
        <v>83.91121818285194</v>
      </c>
      <c r="CW198" s="326">
        <f t="shared" si="75"/>
        <v>1</v>
      </c>
      <c r="CX198" s="326"/>
      <c r="CY198" s="161" t="s">
        <v>5921</v>
      </c>
    </row>
    <row r="199" spans="1:103" ht="11.25" customHeight="1" x14ac:dyDescent="0.2">
      <c r="A199" s="72">
        <v>197</v>
      </c>
      <c r="B199" s="149">
        <v>188</v>
      </c>
      <c r="C199" s="54" t="s">
        <v>936</v>
      </c>
      <c r="D199" s="54" t="s">
        <v>6459</v>
      </c>
      <c r="E199" s="59"/>
      <c r="F199" s="59" t="s">
        <v>937</v>
      </c>
      <c r="G199" s="151">
        <v>101053</v>
      </c>
      <c r="H199" s="55" t="s">
        <v>938</v>
      </c>
      <c r="I199" s="55" t="s">
        <v>8023</v>
      </c>
      <c r="J199" s="55" t="s">
        <v>939</v>
      </c>
      <c r="K199" s="55" t="s">
        <v>940</v>
      </c>
      <c r="L199" s="55" t="s">
        <v>5929</v>
      </c>
      <c r="M199" s="55" t="s">
        <v>5942</v>
      </c>
      <c r="N199" s="60" t="s">
        <v>6382</v>
      </c>
      <c r="O199" s="64" t="s">
        <v>5943</v>
      </c>
      <c r="P199" s="67"/>
      <c r="Q199" s="67"/>
      <c r="R199" s="67"/>
      <c r="S199" s="67"/>
      <c r="T199" s="56">
        <v>275.52</v>
      </c>
      <c r="U199" s="103">
        <v>2.9036004645760744E-2</v>
      </c>
      <c r="V199" s="103">
        <v>2.9968786295005809E-2</v>
      </c>
      <c r="W199" s="103">
        <v>5.1286138399136399E-2</v>
      </c>
      <c r="X199" s="103">
        <v>2.9036004645760744E-2</v>
      </c>
      <c r="Y199" s="162">
        <v>7</v>
      </c>
      <c r="Z199" s="56">
        <v>3.64</v>
      </c>
      <c r="AA199" s="56">
        <v>3.88</v>
      </c>
      <c r="AB199" s="56">
        <v>3.71</v>
      </c>
      <c r="AC199" s="56">
        <v>0.80279999999999996</v>
      </c>
      <c r="AD199" s="56">
        <v>3.55</v>
      </c>
      <c r="AE199" s="56">
        <v>3.07</v>
      </c>
      <c r="AF199" s="56">
        <f t="shared" ref="AF199:AF222" si="76">IF(AA199=0,AD199,AA199)</f>
        <v>3.88</v>
      </c>
      <c r="AG199" s="57">
        <v>3.91</v>
      </c>
      <c r="AH199" s="103">
        <v>3.3999999999999997E-7</v>
      </c>
      <c r="AI199" s="103">
        <v>2.8100000000000001E-10</v>
      </c>
      <c r="AJ199" s="62">
        <f t="shared" si="70"/>
        <v>-4.8570874092703971</v>
      </c>
      <c r="AK199" s="62">
        <f>LOG10(AI199*1000/(0.08206*298.15))</f>
        <v>-7.9398600064075717</v>
      </c>
      <c r="AL199" s="62">
        <f t="shared" si="68"/>
        <v>-7.9398600064075717</v>
      </c>
      <c r="AM199" s="62">
        <v>-11.064970000000001</v>
      </c>
      <c r="AN199" s="154">
        <v>-5.27</v>
      </c>
      <c r="AO199" s="410"/>
      <c r="AP199" s="410">
        <v>0.43</v>
      </c>
      <c r="AQ199" s="154" t="s">
        <v>6311</v>
      </c>
      <c r="AR199" s="154" t="s">
        <v>6311</v>
      </c>
      <c r="AS199" s="149" t="s">
        <v>6</v>
      </c>
      <c r="AT199" s="58" t="s">
        <v>266</v>
      </c>
      <c r="AU199" s="56">
        <v>8</v>
      </c>
      <c r="AV199" s="56">
        <v>144</v>
      </c>
      <c r="AW199" s="56">
        <v>120</v>
      </c>
      <c r="AX199" s="56">
        <v>26</v>
      </c>
      <c r="AY199" s="56" t="s">
        <v>267</v>
      </c>
      <c r="AZ199" s="56" t="s">
        <v>268</v>
      </c>
      <c r="BA199" s="56">
        <v>2</v>
      </c>
      <c r="BB199" s="55" t="s">
        <v>888</v>
      </c>
      <c r="BC199" s="55" t="s">
        <v>270</v>
      </c>
      <c r="BD199" s="55" t="s">
        <v>8374</v>
      </c>
      <c r="BE199" s="56" t="s">
        <v>889</v>
      </c>
      <c r="BF199" s="56" t="s">
        <v>272</v>
      </c>
      <c r="BG199" s="56" t="s">
        <v>272</v>
      </c>
      <c r="BH199" s="56" t="s">
        <v>890</v>
      </c>
      <c r="BI199" s="103">
        <v>9.9999999999999995E-7</v>
      </c>
      <c r="BJ199" s="103">
        <v>0.08</v>
      </c>
      <c r="BK199" s="56"/>
      <c r="BL199" s="103">
        <f t="shared" si="65"/>
        <v>2.7651328392176541E-2</v>
      </c>
      <c r="BM199" s="56" t="s">
        <v>891</v>
      </c>
      <c r="BN199" s="162"/>
      <c r="BO199" s="162"/>
      <c r="BP199" s="162"/>
      <c r="BQ199" s="162"/>
      <c r="BR199" s="162"/>
      <c r="BS199" s="56">
        <v>2.664E-2</v>
      </c>
      <c r="BT199" s="162"/>
      <c r="BU199" s="158"/>
      <c r="BV199" s="162"/>
      <c r="BW199" s="162"/>
      <c r="BX199" s="162"/>
      <c r="BY199" s="162"/>
      <c r="BZ199" s="162"/>
      <c r="CA199" s="162"/>
      <c r="CB199" s="162"/>
      <c r="CC199" s="56"/>
      <c r="CD199" s="56"/>
      <c r="CE199" s="56"/>
      <c r="CF199" s="56"/>
      <c r="CG199" s="56"/>
      <c r="CH199" s="56"/>
      <c r="CI199" s="103">
        <f t="shared" si="73"/>
        <v>2.664E-2</v>
      </c>
      <c r="CJ199" s="103">
        <f t="shared" si="74"/>
        <v>-1.5744657795017365</v>
      </c>
      <c r="CK199" s="57">
        <f t="shared" si="71"/>
        <v>0.34564160490220674</v>
      </c>
      <c r="CL199" s="160">
        <f t="shared" si="61"/>
        <v>1.0379627774841043</v>
      </c>
      <c r="CM199" s="160">
        <v>-3.21441342721113</v>
      </c>
      <c r="CN199" s="160">
        <f>BJ199/(10^CM199)</f>
        <v>131.07003463873065</v>
      </c>
      <c r="CO199" s="55" t="s">
        <v>892</v>
      </c>
      <c r="CP199" s="55" t="s">
        <v>893</v>
      </c>
      <c r="CQ199" s="149">
        <v>-3.1212766686253048</v>
      </c>
      <c r="CR199" s="349">
        <f>10^(CJ199-CQ199)</f>
        <v>35.221746670335627</v>
      </c>
      <c r="CS199" s="61" t="s">
        <v>539</v>
      </c>
      <c r="CT199" s="61"/>
      <c r="CU199" s="111">
        <f t="shared" si="69"/>
        <v>1.0899401143303582</v>
      </c>
      <c r="CV199" s="331">
        <f t="shared" si="72"/>
        <v>0.36295005807200931</v>
      </c>
      <c r="CW199" s="326">
        <f t="shared" si="75"/>
        <v>0</v>
      </c>
      <c r="CX199" s="326" t="s">
        <v>539</v>
      </c>
      <c r="CY199" s="161" t="s">
        <v>5921</v>
      </c>
    </row>
    <row r="200" spans="1:103" ht="11.25" customHeight="1" x14ac:dyDescent="0.2">
      <c r="A200" s="72">
        <v>198</v>
      </c>
      <c r="B200" s="149">
        <v>387</v>
      </c>
      <c r="C200" s="54" t="s">
        <v>1341</v>
      </c>
      <c r="D200" s="54" t="s">
        <v>6520</v>
      </c>
      <c r="E200" s="59"/>
      <c r="F200" s="59" t="s">
        <v>1342</v>
      </c>
      <c r="G200" s="151">
        <v>42874033</v>
      </c>
      <c r="H200" s="55" t="s">
        <v>1343</v>
      </c>
      <c r="I200" s="55" t="s">
        <v>7951</v>
      </c>
      <c r="J200" s="55" t="s">
        <v>1344</v>
      </c>
      <c r="K200" s="55" t="s">
        <v>426</v>
      </c>
      <c r="L200" s="55" t="s">
        <v>5248</v>
      </c>
      <c r="M200" s="55" t="s">
        <v>6082</v>
      </c>
      <c r="N200" s="60" t="s">
        <v>6082</v>
      </c>
      <c r="O200" s="55" t="s">
        <v>6083</v>
      </c>
      <c r="P200" s="67"/>
      <c r="Q200" s="67"/>
      <c r="R200" s="67"/>
      <c r="S200" s="67"/>
      <c r="T200" s="56">
        <v>361.7</v>
      </c>
      <c r="U200" s="103">
        <v>3.2070776886922869E-4</v>
      </c>
      <c r="V200" s="103">
        <v>5.4133259607409454E-4</v>
      </c>
      <c r="W200" s="103">
        <v>2.630267991895377E-3</v>
      </c>
      <c r="X200" s="103">
        <v>3.2070776886922869E-4</v>
      </c>
      <c r="Y200" s="162">
        <v>7</v>
      </c>
      <c r="Z200" s="56">
        <v>5.21</v>
      </c>
      <c r="AA200" s="56">
        <v>4.7300000000000004</v>
      </c>
      <c r="AB200" s="56">
        <v>4.5199999999999996</v>
      </c>
      <c r="AC200" s="56">
        <v>0.88080000000000003</v>
      </c>
      <c r="AD200" s="56">
        <v>4.4800000000000004</v>
      </c>
      <c r="AE200" s="56">
        <v>4.33</v>
      </c>
      <c r="AF200" s="56">
        <f t="shared" si="76"/>
        <v>4.7300000000000004</v>
      </c>
      <c r="AG200" s="57">
        <v>4.54</v>
      </c>
      <c r="AH200" s="103">
        <v>2.35E-7</v>
      </c>
      <c r="AI200" s="103">
        <v>8.1999999999999998E-7</v>
      </c>
      <c r="AJ200" s="62">
        <f t="shared" si="70"/>
        <v>-5.0174984640409157</v>
      </c>
      <c r="AK200" s="62">
        <f>LOG10(AI200*1000/(0.08206*298.15))</f>
        <v>-4.4747524739289348</v>
      </c>
      <c r="AL200" s="62">
        <f t="shared" si="68"/>
        <v>-4.4747524739289348</v>
      </c>
      <c r="AM200" s="62">
        <v>-9.2997600000000009</v>
      </c>
      <c r="AN200" s="154">
        <v>-4.5599999999999996</v>
      </c>
      <c r="AO200" s="410"/>
      <c r="AP200" s="410"/>
      <c r="AQ200" s="154" t="s">
        <v>6311</v>
      </c>
      <c r="AR200" s="154" t="s">
        <v>6311</v>
      </c>
      <c r="AS200" s="149" t="s">
        <v>6</v>
      </c>
      <c r="AT200" s="58" t="s">
        <v>266</v>
      </c>
      <c r="AU200" s="56">
        <v>8</v>
      </c>
      <c r="AV200" s="56">
        <v>144</v>
      </c>
      <c r="AW200" s="56">
        <v>120</v>
      </c>
      <c r="AX200" s="56">
        <v>26</v>
      </c>
      <c r="AY200" s="56" t="s">
        <v>267</v>
      </c>
      <c r="AZ200" s="56" t="s">
        <v>268</v>
      </c>
      <c r="BA200" s="56">
        <v>2</v>
      </c>
      <c r="BB200" s="55" t="s">
        <v>888</v>
      </c>
      <c r="BC200" s="55" t="s">
        <v>270</v>
      </c>
      <c r="BD200" s="55" t="s">
        <v>8374</v>
      </c>
      <c r="BE200" s="56" t="s">
        <v>889</v>
      </c>
      <c r="BF200" s="56" t="s">
        <v>272</v>
      </c>
      <c r="BG200" s="56" t="s">
        <v>272</v>
      </c>
      <c r="BH200" s="56" t="s">
        <v>890</v>
      </c>
      <c r="BI200" s="103">
        <v>9.9999999999999995E-7</v>
      </c>
      <c r="BJ200" s="103">
        <v>0.08</v>
      </c>
      <c r="BK200" s="56"/>
      <c r="BL200" s="103">
        <f t="shared" si="65"/>
        <v>1.0757193976350967E-3</v>
      </c>
      <c r="BM200" s="56" t="s">
        <v>891</v>
      </c>
      <c r="BN200" s="162"/>
      <c r="BO200" s="162"/>
      <c r="BP200" s="162"/>
      <c r="BQ200" s="162"/>
      <c r="BR200" s="162"/>
      <c r="BS200" s="56">
        <v>2.664E-2</v>
      </c>
      <c r="BT200" s="162"/>
      <c r="BU200" s="158"/>
      <c r="BV200" s="162"/>
      <c r="BW200" s="162"/>
      <c r="BX200" s="162"/>
      <c r="BY200" s="162"/>
      <c r="BZ200" s="162"/>
      <c r="CA200" s="162"/>
      <c r="CB200" s="162"/>
      <c r="CC200" s="56"/>
      <c r="CD200" s="56"/>
      <c r="CE200" s="56"/>
      <c r="CF200" s="56"/>
      <c r="CG200" s="56"/>
      <c r="CH200" s="56"/>
      <c r="CI200" s="103">
        <f t="shared" si="73"/>
        <v>2.664E-2</v>
      </c>
      <c r="CJ200" s="103">
        <f t="shared" si="74"/>
        <v>-1.5744657795017365</v>
      </c>
      <c r="CK200" s="57">
        <f t="shared" si="71"/>
        <v>1.3446492470438708E-2</v>
      </c>
      <c r="CL200" s="160">
        <f t="shared" si="61"/>
        <v>4.0379857268584708E-2</v>
      </c>
      <c r="CM200" s="160"/>
      <c r="CN200" s="160"/>
      <c r="CO200" s="55" t="s">
        <v>892</v>
      </c>
      <c r="CP200" s="55" t="s">
        <v>893</v>
      </c>
      <c r="CQ200" s="149">
        <v>-3.1498552198142011</v>
      </c>
      <c r="CR200" s="349">
        <f>10^(CJ200-CQ200)</f>
        <v>37.617457615364117</v>
      </c>
      <c r="CS200" s="61" t="s">
        <v>539</v>
      </c>
      <c r="CT200" s="61"/>
      <c r="CU200" s="111">
        <f t="shared" si="69"/>
        <v>1.2038579912508585E-2</v>
      </c>
      <c r="CV200" s="331">
        <f t="shared" si="72"/>
        <v>4.0088471108653588E-3</v>
      </c>
      <c r="CW200" s="326">
        <f t="shared" si="75"/>
        <v>0</v>
      </c>
      <c r="CX200" s="326" t="s">
        <v>539</v>
      </c>
      <c r="CY200" s="161" t="s">
        <v>5921</v>
      </c>
    </row>
    <row r="201" spans="1:103" ht="11.25" customHeight="1" x14ac:dyDescent="0.2">
      <c r="A201" s="72">
        <v>199</v>
      </c>
      <c r="B201" s="149">
        <v>181</v>
      </c>
      <c r="C201" s="54" t="s">
        <v>920</v>
      </c>
      <c r="D201" s="54" t="s">
        <v>6517</v>
      </c>
      <c r="E201" s="59"/>
      <c r="F201" s="59" t="s">
        <v>921</v>
      </c>
      <c r="G201" s="151">
        <v>34256821</v>
      </c>
      <c r="H201" s="55" t="s">
        <v>922</v>
      </c>
      <c r="I201" s="55" t="s">
        <v>8286</v>
      </c>
      <c r="J201" s="55" t="s">
        <v>923</v>
      </c>
      <c r="K201" s="55" t="s">
        <v>924</v>
      </c>
      <c r="L201" s="55" t="s">
        <v>6114</v>
      </c>
      <c r="M201" s="55" t="s">
        <v>6082</v>
      </c>
      <c r="N201" s="60" t="s">
        <v>6082</v>
      </c>
      <c r="O201" s="55" t="s">
        <v>6083</v>
      </c>
      <c r="P201" s="67"/>
      <c r="Q201" s="67"/>
      <c r="R201" s="67"/>
      <c r="S201" s="67"/>
      <c r="T201" s="56">
        <v>269.77</v>
      </c>
      <c r="U201" s="103">
        <v>0.82663009230084894</v>
      </c>
      <c r="V201" s="103">
        <v>0.17555695592541795</v>
      </c>
      <c r="W201" s="103">
        <v>3.0199517204020134</v>
      </c>
      <c r="X201" s="103">
        <v>0.82663009230084894</v>
      </c>
      <c r="Y201" s="162">
        <v>7.01</v>
      </c>
      <c r="Z201" s="56">
        <v>3.37</v>
      </c>
      <c r="AA201" s="56">
        <v>3.03</v>
      </c>
      <c r="AB201" s="56">
        <v>3.01</v>
      </c>
      <c r="AC201" s="56">
        <v>0.8427</v>
      </c>
      <c r="AD201" s="56">
        <v>2.99</v>
      </c>
      <c r="AE201" s="56">
        <v>2.92</v>
      </c>
      <c r="AF201" s="56">
        <f t="shared" si="76"/>
        <v>3.03</v>
      </c>
      <c r="AG201" s="57">
        <v>3.33</v>
      </c>
      <c r="AH201" s="103">
        <v>2.2300000000000001E-8</v>
      </c>
      <c r="AI201" s="103"/>
      <c r="AJ201" s="62">
        <f t="shared" si="70"/>
        <v>-6.0402614632644909</v>
      </c>
      <c r="AK201" s="62"/>
      <c r="AL201" s="62">
        <f t="shared" si="68"/>
        <v>-6.0402614632644909</v>
      </c>
      <c r="AM201" s="62">
        <v>-10.631349999999999</v>
      </c>
      <c r="AN201" s="154">
        <v>-5.33</v>
      </c>
      <c r="AO201" s="410"/>
      <c r="AP201" s="410">
        <v>1.29</v>
      </c>
      <c r="AQ201" s="154" t="s">
        <v>6311</v>
      </c>
      <c r="AR201" s="154" t="s">
        <v>6311</v>
      </c>
      <c r="AS201" s="149" t="s">
        <v>6</v>
      </c>
      <c r="AT201" s="58" t="s">
        <v>266</v>
      </c>
      <c r="AU201" s="56">
        <v>8</v>
      </c>
      <c r="AV201" s="56">
        <v>144</v>
      </c>
      <c r="AW201" s="56">
        <v>120</v>
      </c>
      <c r="AX201" s="56">
        <v>26</v>
      </c>
      <c r="AY201" s="56" t="s">
        <v>267</v>
      </c>
      <c r="AZ201" s="56" t="s">
        <v>268</v>
      </c>
      <c r="BA201" s="56">
        <v>2</v>
      </c>
      <c r="BB201" s="55" t="s">
        <v>888</v>
      </c>
      <c r="BC201" s="55" t="s">
        <v>270</v>
      </c>
      <c r="BD201" s="55" t="s">
        <v>8374</v>
      </c>
      <c r="BE201" s="56" t="s">
        <v>889</v>
      </c>
      <c r="BF201" s="56" t="s">
        <v>272</v>
      </c>
      <c r="BG201" s="56" t="s">
        <v>272</v>
      </c>
      <c r="BH201" s="56" t="s">
        <v>890</v>
      </c>
      <c r="BI201" s="103">
        <v>9.9999999999999995E-7</v>
      </c>
      <c r="BJ201" s="103">
        <v>0.08</v>
      </c>
      <c r="BK201" s="56"/>
      <c r="BL201" s="103">
        <f t="shared" si="65"/>
        <v>4.832846484700818E-2</v>
      </c>
      <c r="BM201" s="56" t="s">
        <v>891</v>
      </c>
      <c r="BN201" s="162"/>
      <c r="BO201" s="162"/>
      <c r="BP201" s="162"/>
      <c r="BQ201" s="162"/>
      <c r="BR201" s="162"/>
      <c r="BS201" s="56">
        <v>2.664E-2</v>
      </c>
      <c r="BT201" s="162"/>
      <c r="BU201" s="158"/>
      <c r="BV201" s="162"/>
      <c r="BW201" s="162"/>
      <c r="BX201" s="162"/>
      <c r="BY201" s="162"/>
      <c r="BZ201" s="162"/>
      <c r="CA201" s="162"/>
      <c r="CB201" s="162"/>
      <c r="CC201" s="56"/>
      <c r="CD201" s="56"/>
      <c r="CE201" s="56"/>
      <c r="CF201" s="56"/>
      <c r="CG201" s="56"/>
      <c r="CH201" s="56"/>
      <c r="CI201" s="103">
        <f t="shared" si="73"/>
        <v>2.664E-2</v>
      </c>
      <c r="CJ201" s="103">
        <f t="shared" si="74"/>
        <v>-1.5744657795017365</v>
      </c>
      <c r="CK201" s="57">
        <f t="shared" si="71"/>
        <v>0.60410581058760227</v>
      </c>
      <c r="CL201" s="160">
        <f t="shared" si="61"/>
        <v>1.8141315633261328</v>
      </c>
      <c r="CM201" s="160">
        <v>-2.6702556075834356</v>
      </c>
      <c r="CN201" s="160">
        <f>BJ201/(10^CM201)</f>
        <v>37.440840933848534</v>
      </c>
      <c r="CO201" s="55" t="s">
        <v>892</v>
      </c>
      <c r="CP201" s="55" t="s">
        <v>893</v>
      </c>
      <c r="CQ201" s="149">
        <v>-2.5109381583325283</v>
      </c>
      <c r="CR201" s="349">
        <f>10^(CJ201-CQ201)</f>
        <v>8.6391771369061594</v>
      </c>
      <c r="CS201" s="61" t="s">
        <v>539</v>
      </c>
      <c r="CT201" s="61"/>
      <c r="CU201" s="111">
        <f t="shared" si="69"/>
        <v>31.029658119401237</v>
      </c>
      <c r="CV201" s="331">
        <f t="shared" si="72"/>
        <v>10.332876153760612</v>
      </c>
      <c r="CW201" s="326">
        <f t="shared" si="75"/>
        <v>1</v>
      </c>
      <c r="CX201" s="326" t="s">
        <v>539</v>
      </c>
      <c r="CY201" s="161" t="s">
        <v>5921</v>
      </c>
    </row>
    <row r="202" spans="1:103" ht="11.25" customHeight="1" x14ac:dyDescent="0.2">
      <c r="A202" s="72">
        <v>200</v>
      </c>
      <c r="B202" s="149">
        <v>171</v>
      </c>
      <c r="C202" s="54" t="s">
        <v>894</v>
      </c>
      <c r="D202" s="54"/>
      <c r="E202" s="59"/>
      <c r="F202" s="59" t="s">
        <v>895</v>
      </c>
      <c r="G202" s="151">
        <v>2971360</v>
      </c>
      <c r="H202" s="55" t="s">
        <v>896</v>
      </c>
      <c r="I202" s="55" t="s">
        <v>7938</v>
      </c>
      <c r="J202" s="55" t="s">
        <v>897</v>
      </c>
      <c r="K202" s="55" t="s">
        <v>376</v>
      </c>
      <c r="L202" s="55" t="s">
        <v>617</v>
      </c>
      <c r="M202" s="55" t="s">
        <v>5926</v>
      </c>
      <c r="N202" s="60"/>
      <c r="O202" s="55" t="s">
        <v>918</v>
      </c>
      <c r="P202" s="67"/>
      <c r="Q202" s="67"/>
      <c r="R202" s="67"/>
      <c r="S202" s="67"/>
      <c r="T202" s="56">
        <v>317.58999999999997</v>
      </c>
      <c r="U202" s="103"/>
      <c r="V202" s="103">
        <v>1.521773355584244E-2</v>
      </c>
      <c r="W202" s="103">
        <v>0.20417379446695288</v>
      </c>
      <c r="X202" s="103">
        <f>IF(W202=0,V202,W202)</f>
        <v>0.20417379446695288</v>
      </c>
      <c r="Y202" s="162">
        <v>6.52</v>
      </c>
      <c r="Z202" s="56">
        <v>4.55</v>
      </c>
      <c r="AA202" s="56"/>
      <c r="AB202" s="56">
        <v>4.3899999999999997</v>
      </c>
      <c r="AC202" s="56">
        <v>0.59640000000000004</v>
      </c>
      <c r="AD202" s="56">
        <v>3.87</v>
      </c>
      <c r="AE202" s="56">
        <v>3.26</v>
      </c>
      <c r="AF202" s="56">
        <f t="shared" si="76"/>
        <v>3.87</v>
      </c>
      <c r="AG202" s="57">
        <v>4.67</v>
      </c>
      <c r="AH202" s="103">
        <v>3.0199999999999998E-13</v>
      </c>
      <c r="AI202" s="103"/>
      <c r="AJ202" s="62">
        <f t="shared" si="70"/>
        <v>-10.908559383355501</v>
      </c>
      <c r="AK202" s="62"/>
      <c r="AL202" s="62">
        <f t="shared" si="68"/>
        <v>-10.908559383355501</v>
      </c>
      <c r="AM202" s="62">
        <v>-14.95851</v>
      </c>
      <c r="AN202" s="154">
        <v>-17.100000000000001</v>
      </c>
      <c r="AO202" s="410">
        <v>9.4</v>
      </c>
      <c r="AP202" s="410"/>
      <c r="AQ202" s="154" t="s">
        <v>6311</v>
      </c>
      <c r="AR202" s="154" t="s">
        <v>6311</v>
      </c>
      <c r="AS202" s="149" t="s">
        <v>6</v>
      </c>
      <c r="AT202" s="58" t="s">
        <v>266</v>
      </c>
      <c r="AU202" s="56">
        <v>8</v>
      </c>
      <c r="AV202" s="56">
        <v>144</v>
      </c>
      <c r="AW202" s="56">
        <v>120</v>
      </c>
      <c r="AX202" s="56">
        <v>26</v>
      </c>
      <c r="AY202" s="56" t="s">
        <v>267</v>
      </c>
      <c r="AZ202" s="56" t="s">
        <v>268</v>
      </c>
      <c r="BA202" s="56">
        <v>2</v>
      </c>
      <c r="BB202" s="55" t="s">
        <v>888</v>
      </c>
      <c r="BC202" s="55" t="s">
        <v>270</v>
      </c>
      <c r="BD202" s="55" t="s">
        <v>8374</v>
      </c>
      <c r="BE202" s="56" t="s">
        <v>889</v>
      </c>
      <c r="BF202" s="56" t="s">
        <v>272</v>
      </c>
      <c r="BG202" s="56" t="s">
        <v>272</v>
      </c>
      <c r="BH202" s="56" t="s">
        <v>890</v>
      </c>
      <c r="BI202" s="103">
        <v>9.9999999999999995E-7</v>
      </c>
      <c r="BJ202" s="103">
        <v>0.08</v>
      </c>
      <c r="BK202" s="56"/>
      <c r="BL202" s="103">
        <f t="shared" si="65"/>
        <v>4.2115794701602432E-3</v>
      </c>
      <c r="BM202" s="56" t="s">
        <v>891</v>
      </c>
      <c r="BN202" s="162"/>
      <c r="BO202" s="162"/>
      <c r="BP202" s="162"/>
      <c r="BQ202" s="162"/>
      <c r="BR202" s="162"/>
      <c r="BS202" s="56">
        <v>2.664E-2</v>
      </c>
      <c r="BT202" s="162"/>
      <c r="BU202" s="158"/>
      <c r="BV202" s="162"/>
      <c r="BW202" s="162"/>
      <c r="BX202" s="162"/>
      <c r="BY202" s="162"/>
      <c r="BZ202" s="162"/>
      <c r="CA202" s="162"/>
      <c r="CB202" s="162"/>
      <c r="CC202" s="56"/>
      <c r="CD202" s="56"/>
      <c r="CE202" s="56"/>
      <c r="CF202" s="56"/>
      <c r="CG202" s="56"/>
      <c r="CH202" s="56"/>
      <c r="CI202" s="103">
        <f t="shared" si="73"/>
        <v>2.664E-2</v>
      </c>
      <c r="CJ202" s="103">
        <f t="shared" si="74"/>
        <v>-1.5744657795017365</v>
      </c>
      <c r="CK202" s="57">
        <f t="shared" si="71"/>
        <v>5.2644743377003041E-2</v>
      </c>
      <c r="CL202" s="160">
        <f t="shared" si="61"/>
        <v>0.15809232245346258</v>
      </c>
      <c r="CM202" s="160"/>
      <c r="CN202" s="160"/>
      <c r="CO202" s="55" t="s">
        <v>892</v>
      </c>
      <c r="CP202" s="55" t="s">
        <v>893</v>
      </c>
      <c r="CQ202" s="149" t="s">
        <v>272</v>
      </c>
      <c r="CR202" s="349"/>
      <c r="CS202" s="61" t="s">
        <v>539</v>
      </c>
      <c r="CT202" s="61"/>
      <c r="CU202" s="111">
        <f t="shared" si="69"/>
        <v>7.6641814739847174</v>
      </c>
      <c r="CV202" s="331">
        <f t="shared" si="72"/>
        <v>2.5521724308369111</v>
      </c>
      <c r="CW202" s="326">
        <f t="shared" si="75"/>
        <v>1</v>
      </c>
      <c r="CX202" s="326" t="s">
        <v>539</v>
      </c>
      <c r="CY202" s="161" t="s">
        <v>5921</v>
      </c>
    </row>
    <row r="203" spans="1:103" ht="11.25" customHeight="1" x14ac:dyDescent="0.2">
      <c r="A203" s="72">
        <v>201</v>
      </c>
      <c r="B203" s="149">
        <v>5</v>
      </c>
      <c r="C203" s="54" t="s">
        <v>296</v>
      </c>
      <c r="D203" s="54"/>
      <c r="E203" s="59"/>
      <c r="F203" s="59" t="s">
        <v>297</v>
      </c>
      <c r="G203" s="151">
        <v>3238606</v>
      </c>
      <c r="H203" s="55" t="s">
        <v>298</v>
      </c>
      <c r="I203" s="55" t="s">
        <v>298</v>
      </c>
      <c r="J203" s="55" t="s">
        <v>299</v>
      </c>
      <c r="K203" s="55" t="s">
        <v>300</v>
      </c>
      <c r="L203" s="64"/>
      <c r="M203" s="55"/>
      <c r="N203" s="60"/>
      <c r="O203" s="55"/>
      <c r="P203" s="67"/>
      <c r="Q203" s="67"/>
      <c r="R203" s="67"/>
      <c r="S203" s="67"/>
      <c r="T203" s="59">
        <v>127.23</v>
      </c>
      <c r="U203" s="153">
        <v>141.47606696533836</v>
      </c>
      <c r="V203" s="153">
        <v>46.506327124105951</v>
      </c>
      <c r="W203" s="153">
        <v>66.06934480075958</v>
      </c>
      <c r="X203" s="153">
        <v>141.47606696533836</v>
      </c>
      <c r="Y203" s="410">
        <v>11.71</v>
      </c>
      <c r="Z203" s="74">
        <v>2.59</v>
      </c>
      <c r="AA203" s="74"/>
      <c r="AB203" s="74">
        <v>2.42</v>
      </c>
      <c r="AC203" s="74">
        <v>0.7056</v>
      </c>
      <c r="AD203" s="74">
        <v>2.4500000000000002</v>
      </c>
      <c r="AE203" s="74">
        <v>2.4900000000000002</v>
      </c>
      <c r="AF203" s="74">
        <f t="shared" si="76"/>
        <v>2.4500000000000002</v>
      </c>
      <c r="AG203" s="68">
        <v>1.94</v>
      </c>
      <c r="AH203" s="103">
        <v>4.0099999999999999E-5</v>
      </c>
      <c r="AI203" s="153"/>
      <c r="AJ203" s="62">
        <f t="shared" si="70"/>
        <v>-2.7854219536924694</v>
      </c>
      <c r="AK203" s="62"/>
      <c r="AL203" s="62">
        <f t="shared" si="68"/>
        <v>-2.7854219536924694</v>
      </c>
      <c r="AM203" s="62">
        <v>-4.0968900000000001</v>
      </c>
      <c r="AN203" s="152">
        <v>-3.32</v>
      </c>
      <c r="AO203" s="410"/>
      <c r="AP203" s="410">
        <v>10.63</v>
      </c>
      <c r="AQ203" s="152" t="s">
        <v>6311</v>
      </c>
      <c r="AR203" s="152" t="s">
        <v>6311</v>
      </c>
      <c r="AS203" s="149" t="s">
        <v>301</v>
      </c>
      <c r="AT203" s="58" t="s">
        <v>266</v>
      </c>
      <c r="AU203" s="155">
        <v>24</v>
      </c>
      <c r="AV203" s="155">
        <v>120</v>
      </c>
      <c r="AW203" s="155">
        <v>96</v>
      </c>
      <c r="AX203" s="155">
        <v>28</v>
      </c>
      <c r="AY203" s="155" t="s">
        <v>267</v>
      </c>
      <c r="AZ203" s="155" t="s">
        <v>268</v>
      </c>
      <c r="BA203" s="155">
        <v>48</v>
      </c>
      <c r="BB203" s="55" t="s">
        <v>269</v>
      </c>
      <c r="BC203" s="156" t="s">
        <v>270</v>
      </c>
      <c r="BD203" s="156" t="s">
        <v>8374</v>
      </c>
      <c r="BE203" s="155" t="s">
        <v>271</v>
      </c>
      <c r="BF203" s="155" t="s">
        <v>272</v>
      </c>
      <c r="BG203" s="155" t="s">
        <v>272</v>
      </c>
      <c r="BH203" s="155" t="s">
        <v>272</v>
      </c>
      <c r="BI203" s="157">
        <v>7.859781498074354E-3</v>
      </c>
      <c r="BJ203" s="157">
        <v>7.8597814980743532</v>
      </c>
      <c r="BK203" s="56"/>
      <c r="BL203" s="103">
        <f t="shared" si="65"/>
        <v>0.2425051689843753</v>
      </c>
      <c r="BM203" s="56">
        <v>0</v>
      </c>
      <c r="BN203" s="56"/>
      <c r="BO203" s="56"/>
      <c r="BP203" s="56"/>
      <c r="BQ203" s="56"/>
      <c r="BR203" s="56"/>
      <c r="BS203" s="56"/>
      <c r="BT203" s="56"/>
      <c r="BU203" s="158"/>
      <c r="BV203" s="56"/>
      <c r="BW203" s="56"/>
      <c r="BX203" s="56"/>
      <c r="BY203" s="56">
        <v>3.65</v>
      </c>
      <c r="BZ203" s="56">
        <v>2.4300000000000002</v>
      </c>
      <c r="CA203" s="56">
        <v>1.84</v>
      </c>
      <c r="CB203" s="56">
        <v>0.43</v>
      </c>
      <c r="CC203" s="56"/>
      <c r="CD203" s="56"/>
      <c r="CE203" s="56"/>
      <c r="CF203" s="56"/>
      <c r="CG203" s="56"/>
      <c r="CH203" s="56"/>
      <c r="CI203" s="103">
        <f t="shared" si="73"/>
        <v>0.43</v>
      </c>
      <c r="CJ203" s="103">
        <f t="shared" si="74"/>
        <v>-0.36653154442041347</v>
      </c>
      <c r="CK203" s="57">
        <f t="shared" si="71"/>
        <v>3.0853932649882069E-2</v>
      </c>
      <c r="CL203" s="160">
        <f t="shared" si="61"/>
        <v>0.5639655092659891</v>
      </c>
      <c r="CM203" s="160"/>
      <c r="CN203" s="160"/>
      <c r="CO203" s="55" t="s">
        <v>273</v>
      </c>
      <c r="CP203" s="156" t="s">
        <v>274</v>
      </c>
      <c r="CQ203" s="149" t="s">
        <v>272</v>
      </c>
      <c r="CR203" s="349"/>
      <c r="CS203" s="61" t="s">
        <v>539</v>
      </c>
      <c r="CT203" s="61"/>
      <c r="CU203" s="111">
        <f t="shared" si="69"/>
        <v>329.01410922171715</v>
      </c>
      <c r="CV203" s="331">
        <f t="shared" si="72"/>
        <v>18</v>
      </c>
      <c r="CW203" s="326">
        <f t="shared" si="75"/>
        <v>1</v>
      </c>
      <c r="CX203" s="326"/>
      <c r="CY203" s="161" t="s">
        <v>5921</v>
      </c>
    </row>
    <row r="204" spans="1:103" ht="11.25" customHeight="1" x14ac:dyDescent="0.2">
      <c r="A204" s="72">
        <v>202</v>
      </c>
      <c r="B204" s="149">
        <v>326</v>
      </c>
      <c r="C204" s="54" t="s">
        <v>1261</v>
      </c>
      <c r="D204" s="54" t="s">
        <v>6564</v>
      </c>
      <c r="E204" s="59"/>
      <c r="F204" s="59" t="s">
        <v>1262</v>
      </c>
      <c r="G204" s="151">
        <v>79983714</v>
      </c>
      <c r="H204" s="55" t="s">
        <v>1263</v>
      </c>
      <c r="I204" s="55" t="s">
        <v>8146</v>
      </c>
      <c r="J204" s="55" t="s">
        <v>1264</v>
      </c>
      <c r="K204" s="55" t="s">
        <v>1265</v>
      </c>
      <c r="L204" s="55" t="s">
        <v>5990</v>
      </c>
      <c r="M204" s="60" t="s">
        <v>2342</v>
      </c>
      <c r="N204" s="60" t="s">
        <v>2342</v>
      </c>
      <c r="O204" s="55"/>
      <c r="P204" s="67"/>
      <c r="Q204" s="67"/>
      <c r="R204" s="67"/>
      <c r="S204" s="67"/>
      <c r="T204" s="56">
        <v>314.20999999999998</v>
      </c>
      <c r="U204" s="103">
        <v>5.4103943222685469E-2</v>
      </c>
      <c r="V204" s="103">
        <v>4.8757200598325966E-2</v>
      </c>
      <c r="W204" s="103">
        <v>6.3095734448019275E-2</v>
      </c>
      <c r="X204" s="103">
        <v>5.4103943222685469E-2</v>
      </c>
      <c r="Y204" s="162">
        <v>7.01</v>
      </c>
      <c r="Z204" s="56">
        <v>3.66</v>
      </c>
      <c r="AA204" s="56">
        <v>3.9</v>
      </c>
      <c r="AB204" s="56">
        <v>3.62</v>
      </c>
      <c r="AC204" s="56">
        <v>0.82250000000000001</v>
      </c>
      <c r="AD204" s="56">
        <v>3.63</v>
      </c>
      <c r="AE204" s="56">
        <v>3.66</v>
      </c>
      <c r="AF204" s="56">
        <f t="shared" si="76"/>
        <v>3.9</v>
      </c>
      <c r="AG204" s="57">
        <v>3.88</v>
      </c>
      <c r="AH204" s="103">
        <v>2.18E-10</v>
      </c>
      <c r="AI204" s="103">
        <v>3.2799999999999998E-9</v>
      </c>
      <c r="AJ204" s="62">
        <f t="shared" si="70"/>
        <v>-8.0501098327080474</v>
      </c>
      <c r="AK204" s="62">
        <f>LOG10(AI204*1000/(0.08206*298.15))</f>
        <v>-6.8726924826009723</v>
      </c>
      <c r="AL204" s="62">
        <f t="shared" si="68"/>
        <v>-6.8726924826009723</v>
      </c>
      <c r="AM204" s="62">
        <v>-13.361009999999998</v>
      </c>
      <c r="AN204" s="154">
        <v>-7.49</v>
      </c>
      <c r="AO204" s="410">
        <v>12.26</v>
      </c>
      <c r="AP204" s="410">
        <v>2.71</v>
      </c>
      <c r="AQ204" s="154" t="s">
        <v>6311</v>
      </c>
      <c r="AR204" s="154" t="s">
        <v>6311</v>
      </c>
      <c r="AS204" s="149" t="s">
        <v>6</v>
      </c>
      <c r="AT204" s="58" t="s">
        <v>266</v>
      </c>
      <c r="AU204" s="56">
        <v>8</v>
      </c>
      <c r="AV204" s="56">
        <v>144</v>
      </c>
      <c r="AW204" s="56">
        <v>120</v>
      </c>
      <c r="AX204" s="56">
        <v>26</v>
      </c>
      <c r="AY204" s="56" t="s">
        <v>267</v>
      </c>
      <c r="AZ204" s="56" t="s">
        <v>268</v>
      </c>
      <c r="BA204" s="56">
        <v>2</v>
      </c>
      <c r="BB204" s="55" t="s">
        <v>888</v>
      </c>
      <c r="BC204" s="55" t="s">
        <v>270</v>
      </c>
      <c r="BD204" s="55" t="s">
        <v>8374</v>
      </c>
      <c r="BE204" s="56" t="s">
        <v>889</v>
      </c>
      <c r="BF204" s="56" t="s">
        <v>272</v>
      </c>
      <c r="BG204" s="56" t="s">
        <v>272</v>
      </c>
      <c r="BH204" s="56" t="s">
        <v>890</v>
      </c>
      <c r="BI204" s="103">
        <v>9.9999999999999995E-7</v>
      </c>
      <c r="BJ204" s="103">
        <v>0.08</v>
      </c>
      <c r="BK204" s="56"/>
      <c r="BL204" s="103">
        <f t="shared" si="65"/>
        <v>2.6531023237818786E-2</v>
      </c>
      <c r="BM204" s="56" t="s">
        <v>891</v>
      </c>
      <c r="BN204" s="162"/>
      <c r="BO204" s="162"/>
      <c r="BP204" s="162"/>
      <c r="BQ204" s="162"/>
      <c r="BR204" s="162"/>
      <c r="BS204" s="56">
        <v>2.664E-2</v>
      </c>
      <c r="BT204" s="162"/>
      <c r="BU204" s="158"/>
      <c r="BV204" s="162"/>
      <c r="BW204" s="162"/>
      <c r="BX204" s="162"/>
      <c r="BY204" s="162"/>
      <c r="BZ204" s="162"/>
      <c r="CA204" s="162"/>
      <c r="CB204" s="162"/>
      <c r="CC204" s="56"/>
      <c r="CD204" s="56"/>
      <c r="CE204" s="56"/>
      <c r="CF204" s="56"/>
      <c r="CG204" s="56"/>
      <c r="CH204" s="56"/>
      <c r="CI204" s="103">
        <f t="shared" si="73"/>
        <v>2.664E-2</v>
      </c>
      <c r="CJ204" s="103">
        <f t="shared" si="74"/>
        <v>-1.5744657795017365</v>
      </c>
      <c r="CK204" s="57">
        <f t="shared" si="71"/>
        <v>0.33163779047273484</v>
      </c>
      <c r="CL204" s="160">
        <f t="shared" si="61"/>
        <v>0.99590928069890339</v>
      </c>
      <c r="CM204" s="160">
        <v>-1.917436406097677</v>
      </c>
      <c r="CN204" s="160">
        <f>BJ204/(10^CM204)</f>
        <v>6.6149473684210571</v>
      </c>
      <c r="CO204" s="55" t="s">
        <v>892</v>
      </c>
      <c r="CP204" s="55" t="s">
        <v>893</v>
      </c>
      <c r="CQ204" s="149">
        <v>-1.8535431163571139</v>
      </c>
      <c r="CR204" s="349">
        <f>10^(CJ204-CQ204)</f>
        <v>1.9014168439932437</v>
      </c>
      <c r="CS204" s="61" t="s">
        <v>539</v>
      </c>
      <c r="CT204" s="61"/>
      <c r="CU204" s="111">
        <f t="shared" si="69"/>
        <v>2.0309287996503556</v>
      </c>
      <c r="CV204" s="331">
        <f t="shared" si="72"/>
        <v>0.67629929028356839</v>
      </c>
      <c r="CW204" s="326">
        <f t="shared" si="75"/>
        <v>1</v>
      </c>
      <c r="CX204" s="326" t="s">
        <v>539</v>
      </c>
      <c r="CY204" s="161" t="s">
        <v>5921</v>
      </c>
    </row>
    <row r="205" spans="1:103" ht="11.25" customHeight="1" x14ac:dyDescent="0.2">
      <c r="A205" s="72">
        <v>203</v>
      </c>
      <c r="B205" s="149">
        <v>427</v>
      </c>
      <c r="C205" s="54" t="s">
        <v>1437</v>
      </c>
      <c r="D205" s="54" t="s">
        <v>6572</v>
      </c>
      <c r="E205" s="59"/>
      <c r="F205" s="59" t="s">
        <v>1438</v>
      </c>
      <c r="G205" s="151">
        <v>95737681</v>
      </c>
      <c r="H205" s="55" t="s">
        <v>1439</v>
      </c>
      <c r="I205" s="55" t="s">
        <v>1439</v>
      </c>
      <c r="J205" s="55" t="s">
        <v>1440</v>
      </c>
      <c r="K205" s="55" t="s">
        <v>426</v>
      </c>
      <c r="L205" s="55" t="s">
        <v>617</v>
      </c>
      <c r="M205" s="55" t="s">
        <v>6087</v>
      </c>
      <c r="N205" s="60" t="s">
        <v>6082</v>
      </c>
      <c r="O205" s="55" t="s">
        <v>918</v>
      </c>
      <c r="P205" s="67"/>
      <c r="Q205" s="67"/>
      <c r="R205" s="67"/>
      <c r="S205" s="67"/>
      <c r="T205" s="56">
        <v>321.37</v>
      </c>
      <c r="U205" s="103"/>
      <c r="V205" s="103">
        <v>5.2431776457043285E-4</v>
      </c>
      <c r="W205" s="103">
        <v>1.3489628825916516E-2</v>
      </c>
      <c r="X205" s="103">
        <f>IF(W205=0,V205,W205)</f>
        <v>1.3489628825916516E-2</v>
      </c>
      <c r="Y205" s="162">
        <v>7.01</v>
      </c>
      <c r="Z205" s="56">
        <v>5.55</v>
      </c>
      <c r="AA205" s="56"/>
      <c r="AB205" s="56">
        <v>4.2699999999999996</v>
      </c>
      <c r="AC205" s="56">
        <v>0.65580000000000005</v>
      </c>
      <c r="AD205" s="56">
        <v>4.4800000000000004</v>
      </c>
      <c r="AE205" s="56">
        <v>4.84</v>
      </c>
      <c r="AF205" s="56">
        <f t="shared" si="76"/>
        <v>4.4800000000000004</v>
      </c>
      <c r="AG205" s="57">
        <v>4.43</v>
      </c>
      <c r="AH205" s="103">
        <v>6.3399999999999998E-10</v>
      </c>
      <c r="AI205" s="103"/>
      <c r="AJ205" s="62">
        <f t="shared" si="70"/>
        <v>-7.5864770684309191</v>
      </c>
      <c r="AK205" s="62"/>
      <c r="AL205" s="62">
        <f t="shared" si="68"/>
        <v>-7.5864770684309191</v>
      </c>
      <c r="AM205" s="62">
        <v>-14.59877</v>
      </c>
      <c r="AN205" s="154">
        <v>-6.13</v>
      </c>
      <c r="AO205" s="410"/>
      <c r="AP205" s="410">
        <v>3.62</v>
      </c>
      <c r="AQ205" s="154" t="s">
        <v>6311</v>
      </c>
      <c r="AR205" s="154" t="s">
        <v>6311</v>
      </c>
      <c r="AS205" s="149" t="s">
        <v>6</v>
      </c>
      <c r="AT205" s="58" t="s">
        <v>266</v>
      </c>
      <c r="AU205" s="56">
        <v>8</v>
      </c>
      <c r="AV205" s="56">
        <v>144</v>
      </c>
      <c r="AW205" s="56">
        <v>120</v>
      </c>
      <c r="AX205" s="56">
        <v>26</v>
      </c>
      <c r="AY205" s="56" t="s">
        <v>267</v>
      </c>
      <c r="AZ205" s="56" t="s">
        <v>268</v>
      </c>
      <c r="BA205" s="56">
        <v>2</v>
      </c>
      <c r="BB205" s="55" t="s">
        <v>888</v>
      </c>
      <c r="BC205" s="55" t="s">
        <v>270</v>
      </c>
      <c r="BD205" s="55" t="s">
        <v>8374</v>
      </c>
      <c r="BE205" s="56" t="s">
        <v>889</v>
      </c>
      <c r="BF205" s="56" t="s">
        <v>272</v>
      </c>
      <c r="BG205" s="56" t="s">
        <v>272</v>
      </c>
      <c r="BH205" s="56" t="s">
        <v>890</v>
      </c>
      <c r="BI205" s="103">
        <v>9.9999999999999995E-7</v>
      </c>
      <c r="BJ205" s="103">
        <v>0.08</v>
      </c>
      <c r="BK205" s="56"/>
      <c r="BL205" s="103">
        <f t="shared" si="65"/>
        <v>5.3253112967520876E-4</v>
      </c>
      <c r="BM205" s="56" t="s">
        <v>891</v>
      </c>
      <c r="BN205" s="162"/>
      <c r="BO205" s="162"/>
      <c r="BP205" s="162"/>
      <c r="BQ205" s="162"/>
      <c r="BR205" s="162"/>
      <c r="BS205" s="56">
        <v>2.664E-2</v>
      </c>
      <c r="BT205" s="162"/>
      <c r="BU205" s="158"/>
      <c r="BV205" s="162"/>
      <c r="BW205" s="162"/>
      <c r="BX205" s="162"/>
      <c r="BY205" s="162"/>
      <c r="BZ205" s="162"/>
      <c r="CA205" s="162"/>
      <c r="CB205" s="162"/>
      <c r="CC205" s="56"/>
      <c r="CD205" s="56"/>
      <c r="CE205" s="56"/>
      <c r="CF205" s="56"/>
      <c r="CG205" s="56"/>
      <c r="CH205" s="56"/>
      <c r="CI205" s="103">
        <f t="shared" si="73"/>
        <v>2.664E-2</v>
      </c>
      <c r="CJ205" s="103">
        <f t="shared" si="74"/>
        <v>-1.5744657795017365</v>
      </c>
      <c r="CK205" s="57">
        <f t="shared" si="71"/>
        <v>6.6566391209401093E-3</v>
      </c>
      <c r="CL205" s="160">
        <f t="shared" si="61"/>
        <v>1.998990727009042E-2</v>
      </c>
      <c r="CM205" s="160">
        <v>-2.853792819004934</v>
      </c>
      <c r="CN205" s="160">
        <f>BJ205/(10^CM205)</f>
        <v>57.132444444444495</v>
      </c>
      <c r="CO205" s="55" t="s">
        <v>892</v>
      </c>
      <c r="CP205" s="55" t="s">
        <v>893</v>
      </c>
      <c r="CQ205" s="149">
        <v>-2.2949730700715336</v>
      </c>
      <c r="CR205" s="349">
        <f>10^(CJ205-CQ205)</f>
        <v>5.2542083535827588</v>
      </c>
      <c r="CS205" s="61" t="s">
        <v>539</v>
      </c>
      <c r="CT205" s="61"/>
      <c r="CU205" s="111">
        <f t="shared" si="69"/>
        <v>0.50636744842028958</v>
      </c>
      <c r="CV205" s="331">
        <f t="shared" si="72"/>
        <v>0.16862036032395644</v>
      </c>
      <c r="CW205" s="326">
        <f t="shared" si="75"/>
        <v>0</v>
      </c>
      <c r="CX205" s="326" t="s">
        <v>539</v>
      </c>
      <c r="CY205" s="161" t="s">
        <v>5921</v>
      </c>
    </row>
    <row r="206" spans="1:103" ht="11.25" customHeight="1" x14ac:dyDescent="0.2">
      <c r="A206" s="72">
        <v>204</v>
      </c>
      <c r="B206" s="149">
        <v>302</v>
      </c>
      <c r="C206" s="54" t="s">
        <v>1188</v>
      </c>
      <c r="D206" s="54" t="s">
        <v>6580</v>
      </c>
      <c r="E206" s="59"/>
      <c r="F206" s="59" t="s">
        <v>1189</v>
      </c>
      <c r="G206" s="151">
        <v>120068373</v>
      </c>
      <c r="H206" s="55" t="s">
        <v>1190</v>
      </c>
      <c r="I206" s="55" t="s">
        <v>8163</v>
      </c>
      <c r="J206" s="55" t="s">
        <v>1191</v>
      </c>
      <c r="K206" s="55" t="s">
        <v>1192</v>
      </c>
      <c r="L206" s="55" t="s">
        <v>617</v>
      </c>
      <c r="M206" s="55" t="s">
        <v>1140</v>
      </c>
      <c r="N206" s="60" t="s">
        <v>6376</v>
      </c>
      <c r="O206" s="55" t="s">
        <v>918</v>
      </c>
      <c r="P206" s="67"/>
      <c r="Q206" s="67"/>
      <c r="R206" s="67"/>
      <c r="S206" s="67"/>
      <c r="T206" s="56">
        <v>437.15</v>
      </c>
      <c r="U206" s="103">
        <v>4.3463342102253236E-3</v>
      </c>
      <c r="V206" s="103">
        <v>8.5622783941438879E-4</v>
      </c>
      <c r="W206" s="103">
        <v>2.2908676527677706E-3</v>
      </c>
      <c r="X206" s="103">
        <v>4.3463342102253236E-3</v>
      </c>
      <c r="Y206" s="162">
        <v>7</v>
      </c>
      <c r="Z206" s="56">
        <v>6.64</v>
      </c>
      <c r="AA206" s="56">
        <v>4</v>
      </c>
      <c r="AB206" s="56">
        <v>3.53</v>
      </c>
      <c r="AC206" s="56">
        <v>0.7742</v>
      </c>
      <c r="AD206" s="56">
        <v>3.71</v>
      </c>
      <c r="AE206" s="56">
        <v>4.76</v>
      </c>
      <c r="AF206" s="56">
        <f t="shared" si="76"/>
        <v>4</v>
      </c>
      <c r="AG206" s="57">
        <v>4.26</v>
      </c>
      <c r="AH206" s="103">
        <v>3.1700000000000001E-18</v>
      </c>
      <c r="AI206" s="103">
        <v>8.4199999999999999E-10</v>
      </c>
      <c r="AJ206" s="62">
        <f t="shared" si="70"/>
        <v>-15.887507064094899</v>
      </c>
      <c r="AK206" s="62">
        <f>LOG10(AI206*1000/(0.08206*298.15))</f>
        <v>-7.463254234813002</v>
      </c>
      <c r="AL206" s="62">
        <f t="shared" si="68"/>
        <v>-7.463254234813002</v>
      </c>
      <c r="AM206" s="62">
        <v>-19.078990000000005</v>
      </c>
      <c r="AN206" s="154">
        <v>-10.3</v>
      </c>
      <c r="AO206" s="410"/>
      <c r="AP206" s="410">
        <v>-5.86</v>
      </c>
      <c r="AQ206" s="154" t="s">
        <v>6311</v>
      </c>
      <c r="AR206" s="154" t="s">
        <v>6311</v>
      </c>
      <c r="AS206" s="149" t="s">
        <v>6</v>
      </c>
      <c r="AT206" s="58" t="s">
        <v>266</v>
      </c>
      <c r="AU206" s="56">
        <v>8</v>
      </c>
      <c r="AV206" s="56">
        <v>144</v>
      </c>
      <c r="AW206" s="56">
        <v>120</v>
      </c>
      <c r="AX206" s="56">
        <v>26</v>
      </c>
      <c r="AY206" s="56" t="s">
        <v>267</v>
      </c>
      <c r="AZ206" s="56" t="s">
        <v>268</v>
      </c>
      <c r="BA206" s="56">
        <v>2</v>
      </c>
      <c r="BB206" s="55" t="s">
        <v>888</v>
      </c>
      <c r="BC206" s="55" t="s">
        <v>270</v>
      </c>
      <c r="BD206" s="55" t="s">
        <v>8374</v>
      </c>
      <c r="BE206" s="56" t="s">
        <v>889</v>
      </c>
      <c r="BF206" s="56" t="s">
        <v>272</v>
      </c>
      <c r="BG206" s="56" t="s">
        <v>272</v>
      </c>
      <c r="BH206" s="56" t="s">
        <v>890</v>
      </c>
      <c r="BI206" s="103">
        <v>9.9999999999999995E-7</v>
      </c>
      <c r="BJ206" s="103">
        <v>0.08</v>
      </c>
      <c r="BK206" s="56"/>
      <c r="BL206" s="103">
        <f t="shared" si="65"/>
        <v>5.5900539588435304E-5</v>
      </c>
      <c r="BM206" s="56" t="s">
        <v>891</v>
      </c>
      <c r="BN206" s="162"/>
      <c r="BO206" s="162"/>
      <c r="BP206" s="162"/>
      <c r="BQ206" s="162"/>
      <c r="BR206" s="162"/>
      <c r="BS206" s="56">
        <v>2.664E-2</v>
      </c>
      <c r="BT206" s="162"/>
      <c r="BU206" s="158"/>
      <c r="BV206" s="162"/>
      <c r="BW206" s="162"/>
      <c r="BX206" s="162"/>
      <c r="BY206" s="162"/>
      <c r="BZ206" s="162"/>
      <c r="CA206" s="162"/>
      <c r="CB206" s="162"/>
      <c r="CC206" s="56"/>
      <c r="CD206" s="56"/>
      <c r="CE206" s="56"/>
      <c r="CF206" s="56"/>
      <c r="CG206" s="56"/>
      <c r="CH206" s="56"/>
      <c r="CI206" s="103">
        <f t="shared" si="73"/>
        <v>2.664E-2</v>
      </c>
      <c r="CJ206" s="103">
        <f t="shared" si="74"/>
        <v>-1.5744657795017365</v>
      </c>
      <c r="CK206" s="57">
        <f t="shared" si="71"/>
        <v>6.9875674485544124E-4</v>
      </c>
      <c r="CL206" s="160">
        <f t="shared" si="61"/>
        <v>2.0983686031694933E-3</v>
      </c>
      <c r="CM206" s="160">
        <v>-3.7215523903483372</v>
      </c>
      <c r="CN206" s="160">
        <f>BJ206/(10^CM206)</f>
        <v>421.34939759036149</v>
      </c>
      <c r="CO206" s="55" t="s">
        <v>892</v>
      </c>
      <c r="CP206" s="55" t="s">
        <v>893</v>
      </c>
      <c r="CQ206" s="149">
        <v>-3.4513998912748654</v>
      </c>
      <c r="CR206" s="349">
        <f>10^(CJ206-CQ206)</f>
        <v>75.324127838301351</v>
      </c>
      <c r="CS206" s="61" t="s">
        <v>539</v>
      </c>
      <c r="CT206" s="61"/>
      <c r="CU206" s="111">
        <f t="shared" si="69"/>
        <v>0.16315068356701665</v>
      </c>
      <c r="CV206" s="331">
        <f t="shared" si="72"/>
        <v>5.4329177627816541E-2</v>
      </c>
      <c r="CW206" s="326">
        <f t="shared" si="75"/>
        <v>0</v>
      </c>
      <c r="CX206" s="326" t="s">
        <v>539</v>
      </c>
      <c r="CY206" s="161" t="s">
        <v>5921</v>
      </c>
    </row>
    <row r="207" spans="1:103" ht="11.25" customHeight="1" x14ac:dyDescent="0.2">
      <c r="A207" s="72">
        <v>205</v>
      </c>
      <c r="B207" s="149">
        <v>29</v>
      </c>
      <c r="C207" s="54" t="s">
        <v>397</v>
      </c>
      <c r="D207" s="54"/>
      <c r="E207" s="59"/>
      <c r="F207" s="150" t="str">
        <f>HYPERLINK("http://www.sigmaaldrich.com/catalog/Lookup.do?N5=CAS+No.&amp;N3=mode+matchpartialmax&amp;N4=3810-74-0&amp;D7=0&amp;D10=&amp;N25=0&amp;N1=S_ID&amp;ST=RS&amp;F=PR","3810-74-0")</f>
        <v>3810-74-0</v>
      </c>
      <c r="G207" s="151">
        <v>3810740</v>
      </c>
      <c r="H207" s="55" t="s">
        <v>398</v>
      </c>
      <c r="I207" s="55" t="s">
        <v>8304</v>
      </c>
      <c r="J207" s="55"/>
      <c r="K207" s="55" t="s">
        <v>399</v>
      </c>
      <c r="L207" s="64"/>
      <c r="M207" s="55"/>
      <c r="N207" s="60"/>
      <c r="O207" s="55"/>
      <c r="P207" s="67"/>
      <c r="Q207" s="67"/>
      <c r="R207" s="67"/>
      <c r="S207" s="67"/>
      <c r="T207" s="59">
        <v>677.65</v>
      </c>
      <c r="U207" s="153"/>
      <c r="V207" s="153">
        <v>1475.6880395484395</v>
      </c>
      <c r="W207" s="153">
        <v>14.454397707459272</v>
      </c>
      <c r="X207" s="153">
        <f>IF(W207=0,V207,W207)</f>
        <v>14.454397707459272</v>
      </c>
      <c r="Y207" s="410">
        <v>9.85</v>
      </c>
      <c r="Z207" s="59">
        <v>-11.83</v>
      </c>
      <c r="AA207" s="59"/>
      <c r="AB207" s="59">
        <v>-9.25</v>
      </c>
      <c r="AC207" s="59">
        <v>3.6900000000000002E-2</v>
      </c>
      <c r="AD207" s="59">
        <v>-3.28</v>
      </c>
      <c r="AE207" s="59">
        <v>-1.97</v>
      </c>
      <c r="AF207" s="59">
        <f t="shared" si="76"/>
        <v>-3.28</v>
      </c>
      <c r="AG207" s="68">
        <v>-3.28</v>
      </c>
      <c r="AH207" s="103">
        <v>8.9160000000000008E-37</v>
      </c>
      <c r="AI207" s="153"/>
      <c r="AJ207" s="62">
        <f t="shared" si="70"/>
        <v>-34.438396266504455</v>
      </c>
      <c r="AK207" s="62"/>
      <c r="AL207" s="62">
        <f t="shared" si="68"/>
        <v>-34.438396266504455</v>
      </c>
      <c r="AM207" s="62">
        <v>-67.623559999999998</v>
      </c>
      <c r="AN207" s="152"/>
      <c r="AO207" s="410">
        <v>-4.45</v>
      </c>
      <c r="AP207" s="410">
        <v>13.1</v>
      </c>
      <c r="AQ207" s="152" t="s">
        <v>6311</v>
      </c>
      <c r="AR207" s="152" t="s">
        <v>6311</v>
      </c>
      <c r="AS207" s="149" t="s">
        <v>289</v>
      </c>
      <c r="AT207" s="58" t="s">
        <v>266</v>
      </c>
      <c r="AU207" s="155">
        <v>24</v>
      </c>
      <c r="AV207" s="155">
        <v>120</v>
      </c>
      <c r="AW207" s="155">
        <v>96</v>
      </c>
      <c r="AX207" s="155">
        <v>28</v>
      </c>
      <c r="AY207" s="155" t="s">
        <v>267</v>
      </c>
      <c r="AZ207" s="155" t="s">
        <v>268</v>
      </c>
      <c r="BA207" s="155">
        <v>48</v>
      </c>
      <c r="BB207" s="55" t="s">
        <v>269</v>
      </c>
      <c r="BC207" s="156" t="s">
        <v>270</v>
      </c>
      <c r="BD207" s="156" t="s">
        <v>8374</v>
      </c>
      <c r="BE207" s="155" t="s">
        <v>271</v>
      </c>
      <c r="BF207" s="155" t="s">
        <v>272</v>
      </c>
      <c r="BG207" s="155" t="s">
        <v>272</v>
      </c>
      <c r="BH207" s="155" t="s">
        <v>272</v>
      </c>
      <c r="BI207" s="157">
        <v>1.4756880395484396E-3</v>
      </c>
      <c r="BJ207" s="157">
        <v>5.9027521581937581</v>
      </c>
      <c r="BK207" s="56"/>
      <c r="BL207" s="103">
        <f t="shared" si="65"/>
        <v>2164327611449.1616</v>
      </c>
      <c r="BM207" s="56">
        <v>0</v>
      </c>
      <c r="BN207" s="56"/>
      <c r="BO207" s="56"/>
      <c r="BP207" s="56"/>
      <c r="BQ207" s="56"/>
      <c r="BR207" s="56"/>
      <c r="BS207" s="56"/>
      <c r="BT207" s="56"/>
      <c r="BU207" s="158"/>
      <c r="BV207" s="56"/>
      <c r="BW207" s="56"/>
      <c r="BX207" s="56"/>
      <c r="BY207" s="56"/>
      <c r="BZ207" s="56"/>
      <c r="CA207" s="56"/>
      <c r="CB207" s="56">
        <v>2.17</v>
      </c>
      <c r="CC207" s="56"/>
      <c r="CD207" s="56"/>
      <c r="CE207" s="56"/>
      <c r="CF207" s="56"/>
      <c r="CG207" s="56"/>
      <c r="CH207" s="56"/>
      <c r="CI207" s="103">
        <f t="shared" si="73"/>
        <v>2.17</v>
      </c>
      <c r="CJ207" s="103">
        <f t="shared" si="74"/>
        <v>0.33645973384852951</v>
      </c>
      <c r="CK207" s="57">
        <f t="shared" si="71"/>
        <v>366664151474.6311</v>
      </c>
      <c r="CL207" s="160">
        <f t="shared" si="61"/>
        <v>997385996059.52148</v>
      </c>
      <c r="CM207" s="160"/>
      <c r="CN207" s="160"/>
      <c r="CO207" s="55" t="s">
        <v>273</v>
      </c>
      <c r="CP207" s="156" t="s">
        <v>274</v>
      </c>
      <c r="CQ207" s="149" t="s">
        <v>272</v>
      </c>
      <c r="CR207" s="349"/>
      <c r="CS207" s="61" t="s">
        <v>539</v>
      </c>
      <c r="CT207" s="61"/>
      <c r="CU207" s="111">
        <f t="shared" si="69"/>
        <v>6.6610127684144116</v>
      </c>
      <c r="CV207" s="331">
        <f t="shared" si="72"/>
        <v>2.4487556516149436</v>
      </c>
      <c r="CW207" s="326">
        <f t="shared" si="75"/>
        <v>1</v>
      </c>
      <c r="CX207" s="326"/>
      <c r="CY207" s="161" t="s">
        <v>5921</v>
      </c>
    </row>
    <row r="208" spans="1:103" ht="11.25" customHeight="1" x14ac:dyDescent="0.2">
      <c r="A208" s="72">
        <v>206</v>
      </c>
      <c r="B208" s="149">
        <v>173</v>
      </c>
      <c r="C208" s="54" t="s">
        <v>5927</v>
      </c>
      <c r="D208" s="54" t="s">
        <v>6456</v>
      </c>
      <c r="E208" s="59"/>
      <c r="F208" s="59" t="s">
        <v>898</v>
      </c>
      <c r="G208" s="151">
        <v>94826</v>
      </c>
      <c r="H208" s="55" t="s">
        <v>899</v>
      </c>
      <c r="I208" s="55" t="s">
        <v>8007</v>
      </c>
      <c r="J208" s="55" t="s">
        <v>900</v>
      </c>
      <c r="K208" s="55" t="s">
        <v>426</v>
      </c>
      <c r="L208" s="55" t="s">
        <v>6032</v>
      </c>
      <c r="M208" s="55" t="s">
        <v>6082</v>
      </c>
      <c r="N208" s="60" t="s">
        <v>6082</v>
      </c>
      <c r="O208" s="55" t="s">
        <v>6083</v>
      </c>
      <c r="P208" s="67"/>
      <c r="Q208" s="67"/>
      <c r="R208" s="67"/>
      <c r="S208" s="67"/>
      <c r="T208" s="56">
        <v>249.09</v>
      </c>
      <c r="U208" s="103">
        <v>0.18467220683287164</v>
      </c>
      <c r="V208" s="103">
        <v>0.2306796740134088</v>
      </c>
      <c r="W208" s="103">
        <v>0.44668359215096265</v>
      </c>
      <c r="X208" s="103">
        <v>0.18467220683287164</v>
      </c>
      <c r="Y208" s="162">
        <v>4.01</v>
      </c>
      <c r="Z208" s="56">
        <v>3.6</v>
      </c>
      <c r="AA208" s="56">
        <v>3.53</v>
      </c>
      <c r="AB208" s="56">
        <v>3.33</v>
      </c>
      <c r="AC208" s="56">
        <v>0.87439999999999996</v>
      </c>
      <c r="AD208" s="56">
        <v>3.37</v>
      </c>
      <c r="AE208" s="56">
        <v>3.51</v>
      </c>
      <c r="AF208" s="56">
        <f t="shared" si="76"/>
        <v>3.53</v>
      </c>
      <c r="AG208" s="57">
        <v>3.1</v>
      </c>
      <c r="AH208" s="103">
        <v>2.2900000000000002E-9</v>
      </c>
      <c r="AI208" s="103"/>
      <c r="AJ208" s="62">
        <f t="shared" si="70"/>
        <v>-7.028730843972764</v>
      </c>
      <c r="AK208" s="62"/>
      <c r="AL208" s="62">
        <f t="shared" si="68"/>
        <v>-7.028730843972764</v>
      </c>
      <c r="AM208" s="62">
        <v>-10.113009999999999</v>
      </c>
      <c r="AN208" s="154">
        <v>-7.36</v>
      </c>
      <c r="AO208" s="410">
        <v>4.5599999999999996</v>
      </c>
      <c r="AP208" s="410"/>
      <c r="AQ208" s="154" t="s">
        <v>6311</v>
      </c>
      <c r="AR208" s="154" t="s">
        <v>6311</v>
      </c>
      <c r="AS208" s="149" t="s">
        <v>6</v>
      </c>
      <c r="AT208" s="58" t="s">
        <v>266</v>
      </c>
      <c r="AU208" s="56">
        <v>8</v>
      </c>
      <c r="AV208" s="56">
        <v>144</v>
      </c>
      <c r="AW208" s="56">
        <v>120</v>
      </c>
      <c r="AX208" s="56">
        <v>26</v>
      </c>
      <c r="AY208" s="56" t="s">
        <v>267</v>
      </c>
      <c r="AZ208" s="56" t="s">
        <v>268</v>
      </c>
      <c r="BA208" s="56">
        <v>3</v>
      </c>
      <c r="BB208" s="55" t="s">
        <v>888</v>
      </c>
      <c r="BC208" s="55" t="s">
        <v>270</v>
      </c>
      <c r="BD208" s="55" t="s">
        <v>8374</v>
      </c>
      <c r="BE208" s="56" t="s">
        <v>889</v>
      </c>
      <c r="BF208" s="56" t="s">
        <v>272</v>
      </c>
      <c r="BG208" s="56" t="s">
        <v>272</v>
      </c>
      <c r="BH208" s="56" t="s">
        <v>890</v>
      </c>
      <c r="BI208" s="103">
        <v>9.9999999999999995E-7</v>
      </c>
      <c r="BJ208" s="103">
        <v>0.08</v>
      </c>
      <c r="BK208" s="56"/>
      <c r="BL208" s="103">
        <f t="shared" si="65"/>
        <v>3.0035855063856854E-2</v>
      </c>
      <c r="BM208" s="56" t="s">
        <v>891</v>
      </c>
      <c r="BN208" s="162"/>
      <c r="BO208" s="162"/>
      <c r="BP208" s="162"/>
      <c r="BQ208" s="162"/>
      <c r="BR208" s="162"/>
      <c r="BS208" s="56">
        <v>2.5819113706999998E-2</v>
      </c>
      <c r="BT208" s="162"/>
      <c r="BU208" s="158"/>
      <c r="BV208" s="162"/>
      <c r="BW208" s="162"/>
      <c r="BX208" s="162"/>
      <c r="BY208" s="162"/>
      <c r="BZ208" s="162"/>
      <c r="CA208" s="162"/>
      <c r="CB208" s="162"/>
      <c r="CC208" s="56"/>
      <c r="CD208" s="56"/>
      <c r="CE208" s="56"/>
      <c r="CF208" s="56"/>
      <c r="CG208" s="56"/>
      <c r="CH208" s="56"/>
      <c r="CI208" s="103">
        <f t="shared" si="73"/>
        <v>2.5819113706999998E-2</v>
      </c>
      <c r="CJ208" s="103">
        <f t="shared" si="74"/>
        <v>-1.588058669845184</v>
      </c>
      <c r="CK208" s="57">
        <f t="shared" si="71"/>
        <v>0.37544818829821069</v>
      </c>
      <c r="CL208" s="160">
        <f t="shared" si="61"/>
        <v>1.16331859430611</v>
      </c>
      <c r="CM208" s="160">
        <v>-1.6527093644059438</v>
      </c>
      <c r="CN208" s="160">
        <f>BJ208/(10^CM208)</f>
        <v>3.5958316558166996</v>
      </c>
      <c r="CO208" s="55" t="s">
        <v>892</v>
      </c>
      <c r="CP208" s="55" t="s">
        <v>893</v>
      </c>
      <c r="CQ208" s="149">
        <v>-1.4884100990322788</v>
      </c>
      <c r="CR208" s="349">
        <f>10^(CJ208-CQ208)</f>
        <v>0.79497126177493671</v>
      </c>
      <c r="CS208" s="61" t="s">
        <v>539</v>
      </c>
      <c r="CT208" s="61"/>
      <c r="CU208" s="111">
        <f t="shared" si="69"/>
        <v>7.1525385777593087</v>
      </c>
      <c r="CV208" s="331">
        <f t="shared" si="72"/>
        <v>2.3084025854108954</v>
      </c>
      <c r="CW208" s="326">
        <f t="shared" si="75"/>
        <v>1</v>
      </c>
      <c r="CX208" s="326" t="s">
        <v>539</v>
      </c>
      <c r="CY208" s="161" t="s">
        <v>5921</v>
      </c>
    </row>
    <row r="209" spans="1:103" ht="11.25" customHeight="1" x14ac:dyDescent="0.2">
      <c r="A209" s="72">
        <v>207</v>
      </c>
      <c r="B209" s="149">
        <v>399</v>
      </c>
      <c r="C209" s="54" t="s">
        <v>1371</v>
      </c>
      <c r="D209" s="54"/>
      <c r="E209" s="59"/>
      <c r="F209" s="59" t="s">
        <v>1372</v>
      </c>
      <c r="G209" s="151">
        <v>4376209</v>
      </c>
      <c r="H209" s="55" t="s">
        <v>1373</v>
      </c>
      <c r="I209" s="55" t="s">
        <v>7939</v>
      </c>
      <c r="J209" s="55" t="s">
        <v>1374</v>
      </c>
      <c r="K209" s="55" t="s">
        <v>357</v>
      </c>
      <c r="L209" s="55"/>
      <c r="M209" s="55"/>
      <c r="N209" s="60"/>
      <c r="O209" s="55"/>
      <c r="P209" s="67"/>
      <c r="Q209" s="67"/>
      <c r="R209" s="67"/>
      <c r="S209" s="67"/>
      <c r="T209" s="56">
        <v>278.33999999999997</v>
      </c>
      <c r="U209" s="103"/>
      <c r="V209" s="103">
        <v>5.3603506502838258E-3</v>
      </c>
      <c r="W209" s="103">
        <v>0.26302679918953781</v>
      </c>
      <c r="X209" s="103">
        <f>IF(W209=0,V209,W209)</f>
        <v>0.26302679918953781</v>
      </c>
      <c r="Y209" s="162">
        <v>3.74</v>
      </c>
      <c r="Z209" s="56">
        <v>4.7300000000000004</v>
      </c>
      <c r="AA209" s="56"/>
      <c r="AB209" s="56">
        <v>5.09</v>
      </c>
      <c r="AC209" s="56">
        <v>0.60360000000000003</v>
      </c>
      <c r="AD209" s="56">
        <v>4.8899999999999997</v>
      </c>
      <c r="AE209" s="56">
        <v>4.67</v>
      </c>
      <c r="AF209" s="56">
        <f t="shared" si="76"/>
        <v>4.8899999999999997</v>
      </c>
      <c r="AG209" s="57">
        <v>4.0999999999999996</v>
      </c>
      <c r="AH209" s="103">
        <v>5.0799999999999998E-9</v>
      </c>
      <c r="AI209" s="103"/>
      <c r="AJ209" s="62">
        <f t="shared" si="70"/>
        <v>-6.6827026140287327</v>
      </c>
      <c r="AK209" s="62"/>
      <c r="AL209" s="62">
        <f t="shared" si="68"/>
        <v>-6.6827026140287327</v>
      </c>
      <c r="AM209" s="62">
        <v>-11.521489999999998</v>
      </c>
      <c r="AN209" s="154">
        <v>-7.1</v>
      </c>
      <c r="AO209" s="410">
        <v>3.37</v>
      </c>
      <c r="AP209" s="410"/>
      <c r="AQ209" s="154" t="s">
        <v>6311</v>
      </c>
      <c r="AR209" s="154" t="s">
        <v>6312</v>
      </c>
      <c r="AS209" s="149" t="s">
        <v>6</v>
      </c>
      <c r="AT209" s="58" t="s">
        <v>266</v>
      </c>
      <c r="AU209" s="56">
        <v>8</v>
      </c>
      <c r="AV209" s="56">
        <v>144</v>
      </c>
      <c r="AW209" s="56">
        <v>120</v>
      </c>
      <c r="AX209" s="56">
        <v>26</v>
      </c>
      <c r="AY209" s="56" t="s">
        <v>267</v>
      </c>
      <c r="AZ209" s="56" t="s">
        <v>268</v>
      </c>
      <c r="BA209" s="56">
        <v>2</v>
      </c>
      <c r="BB209" s="55" t="s">
        <v>888</v>
      </c>
      <c r="BC209" s="55" t="s">
        <v>270</v>
      </c>
      <c r="BD209" s="55" t="s">
        <v>8374</v>
      </c>
      <c r="BE209" s="56" t="s">
        <v>889</v>
      </c>
      <c r="BF209" s="56" t="s">
        <v>272</v>
      </c>
      <c r="BG209" s="56" t="s">
        <v>272</v>
      </c>
      <c r="BH209" s="56" t="s">
        <v>890</v>
      </c>
      <c r="BI209" s="103">
        <v>9.9999999999999995E-7</v>
      </c>
      <c r="BJ209" s="103">
        <v>0.08</v>
      </c>
      <c r="BK209" s="56"/>
      <c r="BL209" s="103">
        <f t="shared" si="65"/>
        <v>2.9025987239514567E-3</v>
      </c>
      <c r="BM209" s="56" t="s">
        <v>891</v>
      </c>
      <c r="BN209" s="162"/>
      <c r="BO209" s="162"/>
      <c r="BP209" s="162"/>
      <c r="BQ209" s="162"/>
      <c r="BR209" s="162"/>
      <c r="BS209" s="56">
        <v>5.6568542494923803E-4</v>
      </c>
      <c r="BT209" s="162"/>
      <c r="BU209" s="158"/>
      <c r="BV209" s="162"/>
      <c r="BW209" s="162"/>
      <c r="BX209" s="162"/>
      <c r="BY209" s="162"/>
      <c r="BZ209" s="162"/>
      <c r="CA209" s="162"/>
      <c r="CB209" s="162"/>
      <c r="CC209" s="56"/>
      <c r="CD209" s="56"/>
      <c r="CE209" s="56"/>
      <c r="CF209" s="56"/>
      <c r="CG209" s="56"/>
      <c r="CH209" s="56"/>
      <c r="CI209" s="103">
        <f t="shared" si="73"/>
        <v>5.6568542494923803E-4</v>
      </c>
      <c r="CJ209" s="103">
        <f t="shared" si="74"/>
        <v>-3.2474250108400469</v>
      </c>
      <c r="CK209" s="57">
        <f t="shared" si="71"/>
        <v>3.6282484049393209E-2</v>
      </c>
      <c r="CL209" s="160">
        <f t="shared" si="61"/>
        <v>5.1311181019237369</v>
      </c>
      <c r="CM209" s="160"/>
      <c r="CN209" s="160"/>
      <c r="CO209" s="55" t="s">
        <v>892</v>
      </c>
      <c r="CP209" s="55" t="s">
        <v>893</v>
      </c>
      <c r="CQ209" s="149" t="s">
        <v>272</v>
      </c>
      <c r="CR209" s="349"/>
      <c r="CS209" s="61" t="s">
        <v>539</v>
      </c>
      <c r="CT209" s="61"/>
      <c r="CU209" s="111">
        <f t="shared" si="69"/>
        <v>464.97008335178623</v>
      </c>
      <c r="CV209" s="331">
        <f t="shared" si="72"/>
        <v>3.2878349898692227</v>
      </c>
      <c r="CW209" s="326">
        <f t="shared" si="75"/>
        <v>1</v>
      </c>
      <c r="CX209" s="326" t="s">
        <v>539</v>
      </c>
      <c r="CY209" s="161" t="s">
        <v>5921</v>
      </c>
    </row>
    <row r="210" spans="1:103" ht="11.25" customHeight="1" x14ac:dyDescent="0.2">
      <c r="A210" s="72">
        <v>208</v>
      </c>
      <c r="B210" s="149">
        <v>1107</v>
      </c>
      <c r="C210" s="54" t="s">
        <v>1113</v>
      </c>
      <c r="D210" s="54" t="s">
        <v>6569</v>
      </c>
      <c r="E210" s="59"/>
      <c r="F210" s="59" t="s">
        <v>1114</v>
      </c>
      <c r="G210" s="151">
        <v>87674688</v>
      </c>
      <c r="H210" s="55" t="s">
        <v>1115</v>
      </c>
      <c r="I210" s="55" t="s">
        <v>8297</v>
      </c>
      <c r="J210" s="55" t="s">
        <v>1116</v>
      </c>
      <c r="K210" s="55" t="s">
        <v>1117</v>
      </c>
      <c r="L210" s="55" t="s">
        <v>5972</v>
      </c>
      <c r="M210" s="55" t="s">
        <v>6082</v>
      </c>
      <c r="N210" s="60" t="s">
        <v>6082</v>
      </c>
      <c r="O210" s="55" t="s">
        <v>6083</v>
      </c>
      <c r="P210" s="67"/>
      <c r="Q210" s="67"/>
      <c r="R210" s="67"/>
      <c r="S210" s="67"/>
      <c r="T210" s="56">
        <v>275.8</v>
      </c>
      <c r="U210" s="103">
        <v>4.3509789702683106</v>
      </c>
      <c r="V210" s="103">
        <v>0.89557650471356054</v>
      </c>
      <c r="W210" s="103">
        <v>2.7542287033381649</v>
      </c>
      <c r="X210" s="103">
        <v>4.3509789702683106</v>
      </c>
      <c r="Y210" s="162">
        <v>7.01</v>
      </c>
      <c r="Z210" s="56">
        <v>2.57</v>
      </c>
      <c r="AA210" s="56">
        <v>2.15</v>
      </c>
      <c r="AB210" s="56">
        <v>2.52</v>
      </c>
      <c r="AC210" s="56">
        <v>0.83440000000000003</v>
      </c>
      <c r="AD210" s="56">
        <v>2.4500000000000002</v>
      </c>
      <c r="AE210" s="56">
        <v>2.15</v>
      </c>
      <c r="AF210" s="56">
        <f t="shared" si="76"/>
        <v>2.15</v>
      </c>
      <c r="AG210" s="57">
        <v>3.03</v>
      </c>
      <c r="AH210" s="103">
        <v>6.0799999999999997E-10</v>
      </c>
      <c r="AI210" s="103">
        <v>8.2000000000000006E-8</v>
      </c>
      <c r="AJ210" s="62">
        <f t="shared" si="70"/>
        <v>-7.6046627470399173</v>
      </c>
      <c r="AK210" s="62">
        <f>LOG10(AI210*1000/(0.08206*298.15))</f>
        <v>-5.4747524739289348</v>
      </c>
      <c r="AL210" s="62">
        <f t="shared" si="68"/>
        <v>-5.4747524739289348</v>
      </c>
      <c r="AM210" s="62">
        <v>-10.136889999999999</v>
      </c>
      <c r="AN210" s="154">
        <v>-5.57</v>
      </c>
      <c r="AO210" s="410"/>
      <c r="AP210" s="410">
        <v>1.1599999999999999</v>
      </c>
      <c r="AQ210" s="56" t="s">
        <v>6311</v>
      </c>
      <c r="AR210" s="56" t="s">
        <v>6311</v>
      </c>
      <c r="AS210" s="155"/>
      <c r="AT210" s="58" t="s">
        <v>266</v>
      </c>
      <c r="AU210" s="56">
        <v>6</v>
      </c>
      <c r="AV210" s="56">
        <v>120</v>
      </c>
      <c r="AW210" s="56">
        <v>114</v>
      </c>
      <c r="AX210" s="56">
        <v>28</v>
      </c>
      <c r="AY210" s="56" t="s">
        <v>8728</v>
      </c>
      <c r="AZ210" s="56" t="s">
        <v>1563</v>
      </c>
      <c r="BA210" s="56">
        <v>32</v>
      </c>
      <c r="BB210" s="55" t="s">
        <v>2485</v>
      </c>
      <c r="BC210" s="55" t="s">
        <v>8726</v>
      </c>
      <c r="BD210" s="55" t="s">
        <v>8374</v>
      </c>
      <c r="BE210" s="56" t="s">
        <v>2449</v>
      </c>
      <c r="BF210" s="56" t="s">
        <v>272</v>
      </c>
      <c r="BG210" s="56" t="s">
        <v>272</v>
      </c>
      <c r="BH210" s="56" t="s">
        <v>2486</v>
      </c>
      <c r="BI210" s="103">
        <v>6.3999999999999997E-6</v>
      </c>
      <c r="BJ210" s="103">
        <v>6.4000000000000001E-2</v>
      </c>
      <c r="BK210" s="56"/>
      <c r="BL210" s="103">
        <f t="shared" si="65"/>
        <v>0.25274524862006514</v>
      </c>
      <c r="BM210" s="56" t="s">
        <v>2046</v>
      </c>
      <c r="BN210" s="56"/>
      <c r="BO210" s="56"/>
      <c r="BP210" s="56"/>
      <c r="BQ210" s="56"/>
      <c r="BR210" s="55">
        <v>2.5600000000000001E-2</v>
      </c>
      <c r="BS210" s="56"/>
      <c r="BT210" s="56"/>
      <c r="BU210" s="158"/>
      <c r="BV210" s="56"/>
      <c r="BW210" s="56"/>
      <c r="BX210" s="56"/>
      <c r="BY210" s="56"/>
      <c r="BZ210" s="56"/>
      <c r="CA210" s="56"/>
      <c r="CB210" s="56"/>
      <c r="CC210" s="56"/>
      <c r="CD210" s="56"/>
      <c r="CE210" s="56"/>
      <c r="CF210" s="56"/>
      <c r="CG210" s="56"/>
      <c r="CH210" s="56"/>
      <c r="CI210" s="103">
        <f t="shared" si="73"/>
        <v>2.5600000000000001E-2</v>
      </c>
      <c r="CJ210" s="103">
        <f t="shared" si="74"/>
        <v>-1.5917600346881504</v>
      </c>
      <c r="CK210" s="57">
        <f t="shared" si="71"/>
        <v>3.9491445096885176</v>
      </c>
      <c r="CL210" s="160">
        <f t="shared" si="61"/>
        <v>9.8728612742212949</v>
      </c>
      <c r="CM210" s="160">
        <v>-2.0256209138690129</v>
      </c>
      <c r="CN210" s="160">
        <f>BJ210/(10^CM210)</f>
        <v>6.7889230769230808</v>
      </c>
      <c r="CO210" s="55" t="s">
        <v>2488</v>
      </c>
      <c r="CP210" s="55" t="s">
        <v>2489</v>
      </c>
      <c r="CQ210" s="149">
        <v>-1.8300176008624784</v>
      </c>
      <c r="CR210" s="349">
        <f>10^(CJ210-CQ210)</f>
        <v>1.7308425622755572</v>
      </c>
      <c r="CS210" s="61" t="s">
        <v>539</v>
      </c>
      <c r="CT210" s="61"/>
      <c r="CU210" s="111">
        <f t="shared" si="69"/>
        <v>169.96011602610588</v>
      </c>
      <c r="CV210" s="331">
        <f t="shared" si="72"/>
        <v>67.984046410442346</v>
      </c>
      <c r="CW210" s="326">
        <f t="shared" si="75"/>
        <v>1</v>
      </c>
      <c r="CX210" s="326"/>
      <c r="CY210" s="161" t="s">
        <v>5921</v>
      </c>
    </row>
    <row r="211" spans="1:103" ht="11.25" customHeight="1" x14ac:dyDescent="0.2">
      <c r="A211" s="72">
        <v>209</v>
      </c>
      <c r="B211" s="149">
        <v>957</v>
      </c>
      <c r="C211" s="54" t="s">
        <v>2730</v>
      </c>
      <c r="D211" s="54" t="s">
        <v>6478</v>
      </c>
      <c r="E211" s="59"/>
      <c r="F211" s="59" t="s">
        <v>2731</v>
      </c>
      <c r="G211" s="151">
        <v>135193</v>
      </c>
      <c r="H211" s="55" t="s">
        <v>2732</v>
      </c>
      <c r="I211" s="55" t="s">
        <v>2732</v>
      </c>
      <c r="J211" s="55" t="s">
        <v>2733</v>
      </c>
      <c r="K211" s="55" t="s">
        <v>349</v>
      </c>
      <c r="L211" s="55"/>
      <c r="M211" s="60" t="s">
        <v>2342</v>
      </c>
      <c r="N211" s="60" t="s">
        <v>2342</v>
      </c>
      <c r="O211" s="55"/>
      <c r="P211" s="67"/>
      <c r="Q211" s="67"/>
      <c r="R211" s="67"/>
      <c r="S211" s="67"/>
      <c r="T211" s="56">
        <v>144.16999999999999</v>
      </c>
      <c r="U211" s="103">
        <v>5.2368731358812521</v>
      </c>
      <c r="V211" s="103">
        <v>10.487618783380732</v>
      </c>
      <c r="W211" s="103">
        <v>3.4673685045253149</v>
      </c>
      <c r="X211" s="103">
        <v>5.2368731358812521</v>
      </c>
      <c r="Y211" s="162">
        <v>6.01</v>
      </c>
      <c r="Z211" s="56">
        <v>2.69</v>
      </c>
      <c r="AA211" s="56">
        <v>2.7</v>
      </c>
      <c r="AB211" s="56">
        <v>3</v>
      </c>
      <c r="AC211" s="56">
        <v>0.87250000000000005</v>
      </c>
      <c r="AD211" s="56">
        <v>2.92</v>
      </c>
      <c r="AE211" s="56">
        <v>2.71</v>
      </c>
      <c r="AF211" s="56">
        <f t="shared" si="76"/>
        <v>2.7</v>
      </c>
      <c r="AG211" s="57">
        <v>2.6</v>
      </c>
      <c r="AH211" s="103">
        <v>5.47E-8</v>
      </c>
      <c r="AI211" s="103">
        <v>2.7400000000000001E-8</v>
      </c>
      <c r="AJ211" s="62">
        <f t="shared" si="70"/>
        <v>-5.6505789999792206</v>
      </c>
      <c r="AK211" s="62">
        <f>LOG10(AI211*1000/(0.08206*298.15))</f>
        <v>-5.9508157634922636</v>
      </c>
      <c r="AL211" s="62">
        <f t="shared" si="68"/>
        <v>-5.9508157634922636</v>
      </c>
      <c r="AM211" s="62">
        <v>-8.7641400000000012</v>
      </c>
      <c r="AN211" s="154">
        <v>-5.97</v>
      </c>
      <c r="AO211" s="410">
        <v>9.57</v>
      </c>
      <c r="AP211" s="410"/>
      <c r="AQ211" s="56" t="s">
        <v>6311</v>
      </c>
      <c r="AR211" s="56" t="s">
        <v>6311</v>
      </c>
      <c r="AS211" s="155"/>
      <c r="AT211" s="58" t="s">
        <v>266</v>
      </c>
      <c r="AU211" s="56">
        <v>6</v>
      </c>
      <c r="AV211" s="56">
        <v>120</v>
      </c>
      <c r="AW211" s="56">
        <v>114</v>
      </c>
      <c r="AX211" s="56">
        <v>28</v>
      </c>
      <c r="AY211" s="56" t="s">
        <v>8728</v>
      </c>
      <c r="AZ211" s="56" t="s">
        <v>1563</v>
      </c>
      <c r="BA211" s="56">
        <v>32</v>
      </c>
      <c r="BB211" s="55" t="s">
        <v>2485</v>
      </c>
      <c r="BC211" s="55" t="s">
        <v>8726</v>
      </c>
      <c r="BD211" s="55" t="s">
        <v>8374</v>
      </c>
      <c r="BE211" s="56" t="s">
        <v>2449</v>
      </c>
      <c r="BF211" s="56" t="s">
        <v>272</v>
      </c>
      <c r="BG211" s="56" t="s">
        <v>272</v>
      </c>
      <c r="BH211" s="56" t="s">
        <v>2486</v>
      </c>
      <c r="BI211" s="103">
        <v>6.3999999999999997E-6</v>
      </c>
      <c r="BJ211" s="103">
        <v>6.4000000000000001E-2</v>
      </c>
      <c r="BK211" s="56"/>
      <c r="BL211" s="103">
        <f t="shared" si="65"/>
        <v>0.19720185687934438</v>
      </c>
      <c r="BM211" s="56" t="s">
        <v>2046</v>
      </c>
      <c r="BN211" s="56"/>
      <c r="BO211" s="56"/>
      <c r="BP211" s="56"/>
      <c r="BQ211" s="56"/>
      <c r="BR211" s="55">
        <v>2.5399999999999999E-2</v>
      </c>
      <c r="BS211" s="56"/>
      <c r="BT211" s="56"/>
      <c r="BU211" s="158"/>
      <c r="BV211" s="56"/>
      <c r="BW211" s="56"/>
      <c r="BX211" s="56"/>
      <c r="BY211" s="56"/>
      <c r="BZ211" s="56"/>
      <c r="CA211" s="56"/>
      <c r="CB211" s="56"/>
      <c r="CC211" s="56"/>
      <c r="CD211" s="56"/>
      <c r="CE211" s="56"/>
      <c r="CF211" s="56"/>
      <c r="CG211" s="56"/>
      <c r="CH211" s="56"/>
      <c r="CI211" s="103">
        <f t="shared" si="73"/>
        <v>2.5399999999999999E-2</v>
      </c>
      <c r="CJ211" s="103">
        <f t="shared" si="74"/>
        <v>-1.5951662833800619</v>
      </c>
      <c r="CK211" s="57">
        <f t="shared" si="71"/>
        <v>3.0812790137397559</v>
      </c>
      <c r="CL211" s="160">
        <f t="shared" si="61"/>
        <v>7.7638526330450546</v>
      </c>
      <c r="CM211" s="160">
        <v>-1.6197987996632202</v>
      </c>
      <c r="CN211" s="160">
        <f>BJ211/(10^CM211)</f>
        <v>2.6667283236994233</v>
      </c>
      <c r="CO211" s="55" t="s">
        <v>2488</v>
      </c>
      <c r="CP211" s="55" t="s">
        <v>2489</v>
      </c>
      <c r="CQ211" s="149">
        <v>-1.6197987996632202</v>
      </c>
      <c r="CR211" s="349">
        <f>10^(CJ211-CQ211)</f>
        <v>1.058357803468208</v>
      </c>
      <c r="CS211" s="61" t="s">
        <v>539</v>
      </c>
      <c r="CT211" s="61"/>
      <c r="CU211" s="111">
        <f t="shared" si="69"/>
        <v>206.17610771186034</v>
      </c>
      <c r="CV211" s="331">
        <f t="shared" si="72"/>
        <v>81.826142748144562</v>
      </c>
      <c r="CW211" s="326">
        <f t="shared" si="75"/>
        <v>1</v>
      </c>
      <c r="CX211" s="326"/>
      <c r="CY211" s="161" t="s">
        <v>6351</v>
      </c>
    </row>
    <row r="212" spans="1:103" ht="11.25" customHeight="1" x14ac:dyDescent="0.2">
      <c r="A212" s="72">
        <v>210</v>
      </c>
      <c r="B212" s="149">
        <v>916</v>
      </c>
      <c r="C212" s="54" t="s">
        <v>2615</v>
      </c>
      <c r="D212" s="54"/>
      <c r="E212" s="59"/>
      <c r="F212" s="59" t="s">
        <v>2616</v>
      </c>
      <c r="G212" s="151">
        <v>5315797</v>
      </c>
      <c r="H212" s="55" t="s">
        <v>2617</v>
      </c>
      <c r="I212" s="55" t="s">
        <v>2617</v>
      </c>
      <c r="J212" s="55" t="s">
        <v>2618</v>
      </c>
      <c r="K212" s="55" t="s">
        <v>349</v>
      </c>
      <c r="L212" s="55"/>
      <c r="M212" s="55"/>
      <c r="N212" s="60"/>
      <c r="O212" s="55"/>
      <c r="P212" s="67"/>
      <c r="Q212" s="67"/>
      <c r="R212" s="67"/>
      <c r="S212" s="67"/>
      <c r="T212" s="56">
        <v>218.25</v>
      </c>
      <c r="U212" s="103"/>
      <c r="V212" s="103">
        <v>7.4868270332187851E-3</v>
      </c>
      <c r="W212" s="103">
        <v>5.2480746024977203E-3</v>
      </c>
      <c r="X212" s="103">
        <f>IF(W212=0,V212,W212)</f>
        <v>5.2480746024977203E-3</v>
      </c>
      <c r="Y212" s="162">
        <v>6.96</v>
      </c>
      <c r="Z212" s="56">
        <v>4.45</v>
      </c>
      <c r="AA212" s="56"/>
      <c r="AB212" s="56">
        <v>4.46</v>
      </c>
      <c r="AC212" s="56">
        <v>0.82820000000000005</v>
      </c>
      <c r="AD212" s="56">
        <v>4.45</v>
      </c>
      <c r="AE212" s="56">
        <v>4.43</v>
      </c>
      <c r="AF212" s="56">
        <f t="shared" si="76"/>
        <v>4.45</v>
      </c>
      <c r="AG212" s="57">
        <v>4.34</v>
      </c>
      <c r="AH212" s="103">
        <v>8.6400000000000001E-10</v>
      </c>
      <c r="AI212" s="103"/>
      <c r="AJ212" s="62">
        <f t="shared" si="70"/>
        <v>-7.4520525838337583</v>
      </c>
      <c r="AK212" s="62"/>
      <c r="AL212" s="62">
        <f t="shared" si="68"/>
        <v>-7.4520525838337583</v>
      </c>
      <c r="AM212" s="62">
        <v>-12.37102</v>
      </c>
      <c r="AN212" s="154">
        <v>-7.8</v>
      </c>
      <c r="AO212" s="410">
        <v>9.4</v>
      </c>
      <c r="AP212" s="410"/>
      <c r="AQ212" s="56" t="s">
        <v>6311</v>
      </c>
      <c r="AR212" s="56" t="s">
        <v>6311</v>
      </c>
      <c r="AS212" s="155"/>
      <c r="AT212" s="58" t="s">
        <v>266</v>
      </c>
      <c r="AU212" s="56">
        <v>6</v>
      </c>
      <c r="AV212" s="56">
        <v>120</v>
      </c>
      <c r="AW212" s="56">
        <v>114</v>
      </c>
      <c r="AX212" s="56">
        <v>28</v>
      </c>
      <c r="AY212" s="56" t="s">
        <v>8728</v>
      </c>
      <c r="AZ212" s="56" t="s">
        <v>1563</v>
      </c>
      <c r="BA212" s="56">
        <v>32</v>
      </c>
      <c r="BB212" s="55" t="s">
        <v>2485</v>
      </c>
      <c r="BC212" s="55" t="s">
        <v>8726</v>
      </c>
      <c r="BD212" s="55" t="s">
        <v>8374</v>
      </c>
      <c r="BE212" s="56" t="s">
        <v>2449</v>
      </c>
      <c r="BF212" s="56" t="s">
        <v>272</v>
      </c>
      <c r="BG212" s="56" t="s">
        <v>272</v>
      </c>
      <c r="BH212" s="56" t="s">
        <v>2486</v>
      </c>
      <c r="BI212" s="103">
        <v>6.3999999999999997E-6</v>
      </c>
      <c r="BJ212" s="103">
        <v>6.4000000000000001E-2</v>
      </c>
      <c r="BK212" s="56"/>
      <c r="BL212" s="103">
        <f t="shared" si="65"/>
        <v>5.1791083880474015E-3</v>
      </c>
      <c r="BM212" s="56" t="s">
        <v>2046</v>
      </c>
      <c r="BN212" s="56"/>
      <c r="BO212" s="56"/>
      <c r="BP212" s="56"/>
      <c r="BQ212" s="56"/>
      <c r="BR212" s="55">
        <v>2.0238577000000001E-2</v>
      </c>
      <c r="BS212" s="56"/>
      <c r="BT212" s="56"/>
      <c r="BU212" s="158"/>
      <c r="BV212" s="56"/>
      <c r="BW212" s="56"/>
      <c r="BX212" s="56"/>
      <c r="BY212" s="56"/>
      <c r="BZ212" s="56"/>
      <c r="CA212" s="56"/>
      <c r="CB212" s="56"/>
      <c r="CC212" s="56"/>
      <c r="CD212" s="56"/>
      <c r="CE212" s="56"/>
      <c r="CF212" s="56"/>
      <c r="CG212" s="56"/>
      <c r="CH212" s="56"/>
      <c r="CI212" s="103">
        <f t="shared" si="73"/>
        <v>2.0238577000000001E-2</v>
      </c>
      <c r="CJ212" s="103">
        <f t="shared" si="74"/>
        <v>-1.6938200265542473</v>
      </c>
      <c r="CK212" s="57">
        <f t="shared" si="71"/>
        <v>8.092356856324065E-2</v>
      </c>
      <c r="CL212" s="160">
        <f t="shared" si="61"/>
        <v>0.2559027933657293</v>
      </c>
      <c r="CM212" s="160"/>
      <c r="CN212" s="160"/>
      <c r="CO212" s="55" t="s">
        <v>2488</v>
      </c>
      <c r="CP212" s="55" t="s">
        <v>2489</v>
      </c>
      <c r="CQ212" s="149" t="s">
        <v>272</v>
      </c>
      <c r="CR212" s="349"/>
      <c r="CS212" s="61" t="s">
        <v>539</v>
      </c>
      <c r="CT212" s="61"/>
      <c r="CU212" s="111">
        <f t="shared" si="69"/>
        <v>0.25931045460843022</v>
      </c>
      <c r="CV212" s="331">
        <f t="shared" si="72"/>
        <v>8.2001165664026876E-2</v>
      </c>
      <c r="CW212" s="326">
        <f t="shared" si="75"/>
        <v>0</v>
      </c>
      <c r="CX212" s="326"/>
      <c r="CY212" s="161" t="s">
        <v>5921</v>
      </c>
    </row>
    <row r="213" spans="1:103" ht="11.25" customHeight="1" x14ac:dyDescent="0.2">
      <c r="A213" s="72">
        <v>211</v>
      </c>
      <c r="B213" s="149">
        <v>347</v>
      </c>
      <c r="C213" s="54" t="s">
        <v>620</v>
      </c>
      <c r="D213" s="54" t="s">
        <v>6472</v>
      </c>
      <c r="E213" s="59"/>
      <c r="F213" s="59" t="s">
        <v>621</v>
      </c>
      <c r="G213" s="151">
        <v>121755</v>
      </c>
      <c r="H213" s="55" t="s">
        <v>622</v>
      </c>
      <c r="I213" s="55" t="s">
        <v>622</v>
      </c>
      <c r="J213" s="55" t="s">
        <v>623</v>
      </c>
      <c r="K213" s="55" t="s">
        <v>624</v>
      </c>
      <c r="L213" s="55" t="s">
        <v>617</v>
      </c>
      <c r="M213" s="55" t="s">
        <v>946</v>
      </c>
      <c r="N213" s="60" t="s">
        <v>6376</v>
      </c>
      <c r="O213" s="55" t="s">
        <v>918</v>
      </c>
      <c r="P213" s="67" t="s">
        <v>6178</v>
      </c>
      <c r="Q213" s="67" t="s">
        <v>6176</v>
      </c>
      <c r="R213" s="67" t="s">
        <v>6177</v>
      </c>
      <c r="S213" s="67" t="s">
        <v>6176</v>
      </c>
      <c r="T213" s="56">
        <v>330.36</v>
      </c>
      <c r="U213" s="103">
        <v>0.43286112120111392</v>
      </c>
      <c r="V213" s="103">
        <v>0.23746821649110061</v>
      </c>
      <c r="W213" s="103">
        <v>0.56234132519034852</v>
      </c>
      <c r="X213" s="103">
        <v>0.43286112120111392</v>
      </c>
      <c r="Y213" s="162">
        <v>7</v>
      </c>
      <c r="Z213" s="56">
        <v>2.29</v>
      </c>
      <c r="AA213" s="56">
        <v>2.36</v>
      </c>
      <c r="AB213" s="56">
        <v>2.69</v>
      </c>
      <c r="AC213" s="56">
        <v>0.8125</v>
      </c>
      <c r="AD213" s="56">
        <v>2.76</v>
      </c>
      <c r="AE213" s="56">
        <v>2.93</v>
      </c>
      <c r="AF213" s="56">
        <f t="shared" si="76"/>
        <v>2.36</v>
      </c>
      <c r="AG213" s="57">
        <v>2.3199999999999998</v>
      </c>
      <c r="AH213" s="103">
        <v>8.39E-10</v>
      </c>
      <c r="AI213" s="103">
        <v>4.8900000000000003E-9</v>
      </c>
      <c r="AJ213" s="62">
        <f t="shared" si="70"/>
        <v>-7.4648043654839515</v>
      </c>
      <c r="AK213" s="62">
        <f>LOG10(AI213*1000/(0.08206*298.15))</f>
        <v>-6.6992574671890317</v>
      </c>
      <c r="AL213" s="62">
        <f t="shared" si="68"/>
        <v>-6.6992574671890317</v>
      </c>
      <c r="AM213" s="62">
        <v>-12.449109999999999</v>
      </c>
      <c r="AN213" s="154">
        <v>-5.94</v>
      </c>
      <c r="AO213" s="410"/>
      <c r="AP213" s="410"/>
      <c r="AQ213" s="154" t="s">
        <v>6312</v>
      </c>
      <c r="AR213" s="154" t="s">
        <v>6312</v>
      </c>
      <c r="AS213" s="149" t="s">
        <v>6</v>
      </c>
      <c r="AT213" s="58" t="s">
        <v>266</v>
      </c>
      <c r="AU213" s="56">
        <v>8</v>
      </c>
      <c r="AV213" s="56">
        <v>144</v>
      </c>
      <c r="AW213" s="56">
        <v>120</v>
      </c>
      <c r="AX213" s="56">
        <v>26</v>
      </c>
      <c r="AY213" s="56" t="s">
        <v>267</v>
      </c>
      <c r="AZ213" s="56" t="s">
        <v>268</v>
      </c>
      <c r="BA213" s="56">
        <v>4</v>
      </c>
      <c r="BB213" s="55" t="s">
        <v>888</v>
      </c>
      <c r="BC213" s="55" t="s">
        <v>270</v>
      </c>
      <c r="BD213" s="55" t="s">
        <v>8374</v>
      </c>
      <c r="BE213" s="56" t="s">
        <v>889</v>
      </c>
      <c r="BF213" s="56" t="s">
        <v>272</v>
      </c>
      <c r="BG213" s="56" t="s">
        <v>272</v>
      </c>
      <c r="BH213" s="56" t="s">
        <v>890</v>
      </c>
      <c r="BI213" s="103">
        <v>9.9999999999999995E-7</v>
      </c>
      <c r="BJ213" s="103">
        <v>0.08</v>
      </c>
      <c r="BK213" s="56"/>
      <c r="BL213" s="103">
        <f t="shared" si="65"/>
        <v>0.45097347641126984</v>
      </c>
      <c r="BM213" s="56" t="s">
        <v>891</v>
      </c>
      <c r="BN213" s="162"/>
      <c r="BO213" s="162"/>
      <c r="BP213" s="162"/>
      <c r="BQ213" s="162"/>
      <c r="BR213" s="162"/>
      <c r="BS213" s="172">
        <v>2.5399999999999999E-2</v>
      </c>
      <c r="BT213" s="162"/>
      <c r="BU213" s="173"/>
      <c r="BV213" s="162"/>
      <c r="BW213" s="162"/>
      <c r="BX213" s="162"/>
      <c r="BY213" s="162"/>
      <c r="BZ213" s="162"/>
      <c r="CA213" s="162"/>
      <c r="CB213" s="162"/>
      <c r="CC213" s="172"/>
      <c r="CD213" s="56"/>
      <c r="CE213" s="56"/>
      <c r="CF213" s="56"/>
      <c r="CG213" s="56"/>
      <c r="CH213" s="172"/>
      <c r="CI213" s="103">
        <f t="shared" si="73"/>
        <v>2.5399999999999999E-2</v>
      </c>
      <c r="CJ213" s="103">
        <f t="shared" si="74"/>
        <v>-1.5951662833800619</v>
      </c>
      <c r="CK213" s="57">
        <f t="shared" si="71"/>
        <v>5.6371684551408725</v>
      </c>
      <c r="CL213" s="160">
        <f t="shared" si="61"/>
        <v>17.754861276034248</v>
      </c>
      <c r="CM213" s="160">
        <v>-3.5360029785502594</v>
      </c>
      <c r="CN213" s="160">
        <f>BJ213/(10^CM213)</f>
        <v>274.84824332312525</v>
      </c>
      <c r="CO213" s="55" t="s">
        <v>892</v>
      </c>
      <c r="CP213" s="55" t="s">
        <v>893</v>
      </c>
      <c r="CQ213" s="149">
        <v>-3.1259652426230411</v>
      </c>
      <c r="CR213" s="349">
        <f>10^(CJ213-CQ213)</f>
        <v>33.946809186704073</v>
      </c>
      <c r="CS213" s="61" t="s">
        <v>539</v>
      </c>
      <c r="CT213" s="61"/>
      <c r="CU213" s="111">
        <f t="shared" si="69"/>
        <v>17.041776425240705</v>
      </c>
      <c r="CV213" s="331">
        <f t="shared" si="72"/>
        <v>5.4107640150139238</v>
      </c>
      <c r="CW213" s="326">
        <f t="shared" si="75"/>
        <v>1</v>
      </c>
      <c r="CX213" s="326" t="s">
        <v>539</v>
      </c>
      <c r="CY213" s="161" t="s">
        <v>5921</v>
      </c>
    </row>
    <row r="214" spans="1:103" ht="11.25" customHeight="1" x14ac:dyDescent="0.2">
      <c r="A214" s="72">
        <v>212</v>
      </c>
      <c r="B214" s="149">
        <v>224</v>
      </c>
      <c r="C214" s="54" t="s">
        <v>1042</v>
      </c>
      <c r="D214" s="54" t="s">
        <v>6628</v>
      </c>
      <c r="E214" s="59"/>
      <c r="F214" s="59" t="s">
        <v>1043</v>
      </c>
      <c r="G214" s="151">
        <v>5598152</v>
      </c>
      <c r="H214" s="55" t="s">
        <v>1044</v>
      </c>
      <c r="I214" s="55" t="s">
        <v>8305</v>
      </c>
      <c r="J214" s="55" t="s">
        <v>1045</v>
      </c>
      <c r="K214" s="55" t="s">
        <v>1046</v>
      </c>
      <c r="L214" s="55" t="s">
        <v>617</v>
      </c>
      <c r="M214" s="55" t="s">
        <v>618</v>
      </c>
      <c r="N214" s="60"/>
      <c r="O214" s="55" t="s">
        <v>918</v>
      </c>
      <c r="P214" s="67"/>
      <c r="Q214" s="67"/>
      <c r="R214" s="67"/>
      <c r="S214" s="67"/>
      <c r="T214" s="56">
        <v>334.52</v>
      </c>
      <c r="U214" s="103"/>
      <c r="V214" s="103">
        <v>7.7633624297500897E-2</v>
      </c>
      <c r="W214" s="103">
        <v>0.35481338923357514</v>
      </c>
      <c r="X214" s="103">
        <f>IF(W214=0,V214,W214)</f>
        <v>0.35481338923357514</v>
      </c>
      <c r="Y214" s="162">
        <v>7</v>
      </c>
      <c r="Z214" s="56">
        <v>2.89</v>
      </c>
      <c r="AA214" s="56"/>
      <c r="AB214" s="56">
        <v>3.25</v>
      </c>
      <c r="AC214" s="56">
        <v>0.68079999999999996</v>
      </c>
      <c r="AD214" s="56">
        <v>3.43</v>
      </c>
      <c r="AE214" s="56">
        <v>3.73</v>
      </c>
      <c r="AF214" s="56">
        <f t="shared" si="76"/>
        <v>3.43</v>
      </c>
      <c r="AG214" s="57">
        <v>3.81</v>
      </c>
      <c r="AH214" s="103">
        <v>5.4599999999999998E-9</v>
      </c>
      <c r="AI214" s="103"/>
      <c r="AJ214" s="62">
        <f t="shared" si="70"/>
        <v>-6.6513736836079147</v>
      </c>
      <c r="AK214" s="62"/>
      <c r="AL214" s="62">
        <f t="shared" si="68"/>
        <v>-6.6513736836079147</v>
      </c>
      <c r="AM214" s="62">
        <v>-12.981439999999999</v>
      </c>
      <c r="AN214" s="154">
        <v>-4.46</v>
      </c>
      <c r="AO214" s="410"/>
      <c r="AP214" s="410">
        <v>-5.28</v>
      </c>
      <c r="AQ214" s="154" t="s">
        <v>6312</v>
      </c>
      <c r="AR214" s="154" t="s">
        <v>6312</v>
      </c>
      <c r="AS214" s="149" t="s">
        <v>63</v>
      </c>
      <c r="AT214" s="58" t="s">
        <v>266</v>
      </c>
      <c r="AU214" s="56">
        <v>8</v>
      </c>
      <c r="AV214" s="56">
        <v>144</v>
      </c>
      <c r="AW214" s="56">
        <v>120</v>
      </c>
      <c r="AX214" s="56">
        <v>26</v>
      </c>
      <c r="AY214" s="56" t="s">
        <v>267</v>
      </c>
      <c r="AZ214" s="56" t="s">
        <v>268</v>
      </c>
      <c r="BA214" s="56">
        <v>2</v>
      </c>
      <c r="BB214" s="55" t="s">
        <v>888</v>
      </c>
      <c r="BC214" s="55" t="s">
        <v>270</v>
      </c>
      <c r="BD214" s="55" t="s">
        <v>8374</v>
      </c>
      <c r="BE214" s="56" t="s">
        <v>889</v>
      </c>
      <c r="BF214" s="56" t="s">
        <v>272</v>
      </c>
      <c r="BG214" s="56" t="s">
        <v>272</v>
      </c>
      <c r="BH214" s="56" t="s">
        <v>890</v>
      </c>
      <c r="BI214" s="103">
        <v>9.9999999999999995E-7</v>
      </c>
      <c r="BJ214" s="103">
        <v>0.08</v>
      </c>
      <c r="BK214" s="56"/>
      <c r="BL214" s="103">
        <f t="shared" si="65"/>
        <v>0.130404026090681</v>
      </c>
      <c r="BM214" s="56" t="s">
        <v>891</v>
      </c>
      <c r="BN214" s="162"/>
      <c r="BO214" s="162"/>
      <c r="BP214" s="162"/>
      <c r="BQ214" s="162"/>
      <c r="BR214" s="162"/>
      <c r="BS214" s="56">
        <v>5.6568542494923803E-4</v>
      </c>
      <c r="BT214" s="162"/>
      <c r="BU214" s="158"/>
      <c r="BV214" s="162"/>
      <c r="BW214" s="162"/>
      <c r="BX214" s="162"/>
      <c r="BY214" s="162"/>
      <c r="BZ214" s="162"/>
      <c r="CA214" s="162"/>
      <c r="CB214" s="162"/>
      <c r="CC214" s="56"/>
      <c r="CD214" s="56"/>
      <c r="CE214" s="56"/>
      <c r="CF214" s="56"/>
      <c r="CG214" s="56"/>
      <c r="CH214" s="56"/>
      <c r="CI214" s="103">
        <f t="shared" si="73"/>
        <v>5.6568542494923803E-4</v>
      </c>
      <c r="CJ214" s="103">
        <f t="shared" si="74"/>
        <v>-3.2474250108400469</v>
      </c>
      <c r="CK214" s="57">
        <f t="shared" si="71"/>
        <v>1.6300503261335124</v>
      </c>
      <c r="CL214" s="160">
        <f t="shared" si="61"/>
        <v>230.52392785686999</v>
      </c>
      <c r="CM214" s="160"/>
      <c r="CN214" s="160"/>
      <c r="CO214" s="55" t="s">
        <v>892</v>
      </c>
      <c r="CP214" s="55" t="s">
        <v>893</v>
      </c>
      <c r="CQ214" s="149" t="s">
        <v>272</v>
      </c>
      <c r="CR214" s="349"/>
      <c r="CS214" s="61" t="s">
        <v>539</v>
      </c>
      <c r="CT214" s="61"/>
      <c r="CU214" s="111">
        <f t="shared" si="69"/>
        <v>627.22738395710735</v>
      </c>
      <c r="CV214" s="331">
        <f t="shared" si="72"/>
        <v>4.435167365419689</v>
      </c>
      <c r="CW214" s="326">
        <f t="shared" si="75"/>
        <v>1</v>
      </c>
      <c r="CX214" s="326" t="s">
        <v>539</v>
      </c>
      <c r="CY214" s="161" t="s">
        <v>5921</v>
      </c>
    </row>
    <row r="215" spans="1:103" ht="11.25" customHeight="1" x14ac:dyDescent="0.2">
      <c r="A215" s="72">
        <v>213</v>
      </c>
      <c r="B215" s="149">
        <v>1063</v>
      </c>
      <c r="C215" s="54" t="s">
        <v>1042</v>
      </c>
      <c r="D215" s="54" t="s">
        <v>6628</v>
      </c>
      <c r="E215" s="59"/>
      <c r="F215" s="59" t="s">
        <v>1043</v>
      </c>
      <c r="G215" s="151">
        <v>5598152</v>
      </c>
      <c r="H215" s="55" t="s">
        <v>1044</v>
      </c>
      <c r="I215" s="55" t="s">
        <v>8305</v>
      </c>
      <c r="J215" s="55" t="s">
        <v>1045</v>
      </c>
      <c r="K215" s="55" t="s">
        <v>1046</v>
      </c>
      <c r="L215" s="55" t="s">
        <v>617</v>
      </c>
      <c r="M215" s="55" t="s">
        <v>618</v>
      </c>
      <c r="N215" s="60"/>
      <c r="O215" s="55" t="s">
        <v>918</v>
      </c>
      <c r="P215" s="67"/>
      <c r="Q215" s="67"/>
      <c r="R215" s="67"/>
      <c r="S215" s="67"/>
      <c r="T215" s="56">
        <v>334.52</v>
      </c>
      <c r="U215" s="103"/>
      <c r="V215" s="103">
        <v>7.7633624297500897E-2</v>
      </c>
      <c r="W215" s="103">
        <v>0.35481338923357514</v>
      </c>
      <c r="X215" s="103">
        <f>IF(W215=0,V215,W215)</f>
        <v>0.35481338923357514</v>
      </c>
      <c r="Y215" s="162">
        <v>7</v>
      </c>
      <c r="Z215" s="56">
        <v>2.89</v>
      </c>
      <c r="AA215" s="56"/>
      <c r="AB215" s="56">
        <v>3.25</v>
      </c>
      <c r="AC215" s="56">
        <v>0.68079999999999996</v>
      </c>
      <c r="AD215" s="56">
        <v>3.43</v>
      </c>
      <c r="AE215" s="56">
        <v>3.73</v>
      </c>
      <c r="AF215" s="56">
        <f t="shared" si="76"/>
        <v>3.43</v>
      </c>
      <c r="AG215" s="57">
        <v>3.81</v>
      </c>
      <c r="AH215" s="103">
        <v>5.4599999999999998E-9</v>
      </c>
      <c r="AI215" s="103"/>
      <c r="AJ215" s="62">
        <f t="shared" si="70"/>
        <v>-6.6513736836079147</v>
      </c>
      <c r="AK215" s="62"/>
      <c r="AL215" s="62">
        <f t="shared" ref="AL215:AL222" si="77">IF(AK215=0,AJ215,AK215)</f>
        <v>-6.6513736836079147</v>
      </c>
      <c r="AM215" s="62">
        <v>-12.981439999999999</v>
      </c>
      <c r="AN215" s="154">
        <v>-4.46</v>
      </c>
      <c r="AO215" s="410"/>
      <c r="AP215" s="410">
        <v>-5.28</v>
      </c>
      <c r="AQ215" s="56" t="s">
        <v>6312</v>
      </c>
      <c r="AR215" s="56" t="s">
        <v>6312</v>
      </c>
      <c r="AS215" s="155"/>
      <c r="AT215" s="58" t="s">
        <v>266</v>
      </c>
      <c r="AU215" s="56">
        <v>6</v>
      </c>
      <c r="AV215" s="56">
        <v>120</v>
      </c>
      <c r="AW215" s="56">
        <v>114</v>
      </c>
      <c r="AX215" s="56">
        <v>28</v>
      </c>
      <c r="AY215" s="56" t="s">
        <v>8728</v>
      </c>
      <c r="AZ215" s="56" t="s">
        <v>1563</v>
      </c>
      <c r="BA215" s="56">
        <v>32</v>
      </c>
      <c r="BB215" s="55" t="s">
        <v>2485</v>
      </c>
      <c r="BC215" s="55" t="s">
        <v>8726</v>
      </c>
      <c r="BD215" s="55" t="s">
        <v>8374</v>
      </c>
      <c r="BE215" s="56" t="s">
        <v>2449</v>
      </c>
      <c r="BF215" s="56" t="s">
        <v>272</v>
      </c>
      <c r="BG215" s="56" t="s">
        <v>272</v>
      </c>
      <c r="BH215" s="56" t="s">
        <v>2486</v>
      </c>
      <c r="BI215" s="103">
        <v>6.3999999999999997E-6</v>
      </c>
      <c r="BJ215" s="103">
        <v>6.4000000000000001E-2</v>
      </c>
      <c r="BK215" s="56"/>
      <c r="BL215" s="103">
        <f t="shared" si="65"/>
        <v>0.130404026090681</v>
      </c>
      <c r="BM215" s="56" t="s">
        <v>2046</v>
      </c>
      <c r="BN215" s="56"/>
      <c r="BO215" s="56"/>
      <c r="BP215" s="56"/>
      <c r="BQ215" s="56"/>
      <c r="BR215" s="55">
        <v>2.0137380000000002E-3</v>
      </c>
      <c r="BS215" s="56"/>
      <c r="BT215" s="56"/>
      <c r="BU215" s="158"/>
      <c r="BV215" s="56"/>
      <c r="BW215" s="56"/>
      <c r="BX215" s="56"/>
      <c r="BY215" s="56"/>
      <c r="BZ215" s="56"/>
      <c r="CA215" s="56"/>
      <c r="CB215" s="56"/>
      <c r="CC215" s="56"/>
      <c r="CD215" s="56"/>
      <c r="CE215" s="56"/>
      <c r="CF215" s="56"/>
      <c r="CG215" s="56"/>
      <c r="CH215" s="56"/>
      <c r="CI215" s="103">
        <f t="shared" si="73"/>
        <v>2.0137380000000002E-3</v>
      </c>
      <c r="CJ215" s="103">
        <f t="shared" si="74"/>
        <v>-2.6959970345550026</v>
      </c>
      <c r="CK215" s="57">
        <f t="shared" si="71"/>
        <v>2.0375629076668904</v>
      </c>
      <c r="CL215" s="160">
        <f t="shared" si="61"/>
        <v>64.757195866930545</v>
      </c>
      <c r="CM215" s="160"/>
      <c r="CN215" s="160"/>
      <c r="CO215" s="55" t="s">
        <v>2488</v>
      </c>
      <c r="CP215" s="55" t="s">
        <v>2489</v>
      </c>
      <c r="CQ215" s="149" t="s">
        <v>272</v>
      </c>
      <c r="CR215" s="349"/>
      <c r="CS215" s="61" t="s">
        <v>539</v>
      </c>
      <c r="CT215" s="61"/>
      <c r="CU215" s="111">
        <f t="shared" si="69"/>
        <v>176.19640153464607</v>
      </c>
      <c r="CV215" s="331">
        <f t="shared" si="72"/>
        <v>5.5439592067746117</v>
      </c>
      <c r="CW215" s="326">
        <f t="shared" si="75"/>
        <v>1</v>
      </c>
      <c r="CX215" s="326"/>
      <c r="CY215" s="161" t="s">
        <v>5921</v>
      </c>
    </row>
    <row r="216" spans="1:103" ht="11.25" customHeight="1" x14ac:dyDescent="0.2">
      <c r="A216" s="72">
        <v>214</v>
      </c>
      <c r="B216" s="149">
        <v>43</v>
      </c>
      <c r="C216" s="54" t="s">
        <v>456</v>
      </c>
      <c r="D216" s="54"/>
      <c r="E216" s="59"/>
      <c r="F216" s="150" t="str">
        <f>HYPERLINK("http://www.sigmaaldrich.com/catalog/Lookup.do?N5=CAS+No.&amp;N3=mode+matchpartialmax&amp;N4=6055-19-2&amp;D7=0&amp;D10=&amp;N25=0&amp;N1=S_ID&amp;ST=RS&amp;F=PR","6055-19-2")</f>
        <v>6055-19-2</v>
      </c>
      <c r="G216" s="151">
        <v>6055192</v>
      </c>
      <c r="H216" s="55" t="s">
        <v>457</v>
      </c>
      <c r="I216" s="55" t="s">
        <v>8247</v>
      </c>
      <c r="J216" s="55" t="s">
        <v>458</v>
      </c>
      <c r="K216" s="55"/>
      <c r="L216" s="64" t="s">
        <v>279</v>
      </c>
      <c r="M216" s="55" t="s">
        <v>459</v>
      </c>
      <c r="N216" s="60"/>
      <c r="O216" s="55" t="s">
        <v>281</v>
      </c>
      <c r="P216" s="67"/>
      <c r="Q216" s="67"/>
      <c r="R216" s="67"/>
      <c r="S216" s="67"/>
      <c r="T216" s="56">
        <v>261.08999999999997</v>
      </c>
      <c r="U216" s="153">
        <f>40000/261.09</f>
        <v>153.20387605806428</v>
      </c>
      <c r="V216" s="153">
        <f>5943/261.09</f>
        <v>22.762265885326901</v>
      </c>
      <c r="W216" s="153">
        <v>154.88166189124809</v>
      </c>
      <c r="X216" s="153">
        <f>40000/261.09</f>
        <v>153.20387605806428</v>
      </c>
      <c r="Y216" s="410">
        <v>8.02</v>
      </c>
      <c r="Z216" s="59">
        <v>0.97</v>
      </c>
      <c r="AA216" s="59">
        <v>9.6300000000000008</v>
      </c>
      <c r="AB216" s="59">
        <v>0.71</v>
      </c>
      <c r="AC216" s="59">
        <v>0.69450000000000001</v>
      </c>
      <c r="AD216" s="59">
        <v>0.53</v>
      </c>
      <c r="AE216" s="59">
        <v>0.23</v>
      </c>
      <c r="AF216" s="59">
        <f t="shared" si="76"/>
        <v>9.6300000000000008</v>
      </c>
      <c r="AG216" s="57">
        <v>2.73</v>
      </c>
      <c r="AH216" s="103">
        <v>1.36E-11</v>
      </c>
      <c r="AI216" s="103"/>
      <c r="AJ216" s="62">
        <f t="shared" si="70"/>
        <v>-9.2550274179424346</v>
      </c>
      <c r="AK216" s="62"/>
      <c r="AL216" s="62">
        <f t="shared" si="77"/>
        <v>-9.2550274179424346</v>
      </c>
      <c r="AM216" s="62">
        <v>-13.003439999999999</v>
      </c>
      <c r="AN216" s="152">
        <v>-18.399999999999999</v>
      </c>
      <c r="AO216" s="410"/>
      <c r="AP216" s="410">
        <v>2.84</v>
      </c>
      <c r="AQ216" s="152" t="s">
        <v>6311</v>
      </c>
      <c r="AR216" s="152" t="s">
        <v>6311</v>
      </c>
      <c r="AS216" s="149" t="s">
        <v>460</v>
      </c>
      <c r="AT216" s="58" t="s">
        <v>266</v>
      </c>
      <c r="AU216" s="155">
        <v>24</v>
      </c>
      <c r="AV216" s="155">
        <v>120</v>
      </c>
      <c r="AW216" s="155">
        <v>96</v>
      </c>
      <c r="AX216" s="155">
        <v>28</v>
      </c>
      <c r="AY216" s="155" t="s">
        <v>267</v>
      </c>
      <c r="AZ216" s="155" t="s">
        <v>268</v>
      </c>
      <c r="BA216" s="155">
        <v>48</v>
      </c>
      <c r="BB216" s="55" t="s">
        <v>269</v>
      </c>
      <c r="BC216" s="156" t="s">
        <v>270</v>
      </c>
      <c r="BD216" s="156" t="s">
        <v>8374</v>
      </c>
      <c r="BE216" s="155" t="s">
        <v>271</v>
      </c>
      <c r="BF216" s="155" t="s">
        <v>272</v>
      </c>
      <c r="BG216" s="155" t="s">
        <v>272</v>
      </c>
      <c r="BH216" s="155" t="s">
        <v>272</v>
      </c>
      <c r="BI216" s="157">
        <v>3.8300969014516072E-3</v>
      </c>
      <c r="BJ216" s="157">
        <v>61.281550423225717</v>
      </c>
      <c r="BK216" s="56"/>
      <c r="BL216" s="103"/>
      <c r="BM216" s="56">
        <v>0</v>
      </c>
      <c r="BN216" s="56"/>
      <c r="BO216" s="56"/>
      <c r="BP216" s="56"/>
      <c r="BQ216" s="56"/>
      <c r="BR216" s="56"/>
      <c r="BS216" s="56"/>
      <c r="BT216" s="56"/>
      <c r="BU216" s="158"/>
      <c r="BV216" s="56"/>
      <c r="BW216" s="56"/>
      <c r="BX216" s="56"/>
      <c r="BY216" s="56">
        <v>24.93</v>
      </c>
      <c r="BZ216" s="56">
        <v>16.11</v>
      </c>
      <c r="CA216" s="56">
        <v>15.22</v>
      </c>
      <c r="CB216" s="56">
        <v>6.37</v>
      </c>
      <c r="CC216" s="56"/>
      <c r="CD216" s="56"/>
      <c r="CE216" s="56"/>
      <c r="CF216" s="56"/>
      <c r="CG216" s="56"/>
      <c r="CH216" s="56"/>
      <c r="CI216" s="103">
        <f t="shared" si="73"/>
        <v>6.37</v>
      </c>
      <c r="CJ216" s="103">
        <f t="shared" si="74"/>
        <v>0.80413943233535046</v>
      </c>
      <c r="CK216" s="57">
        <f t="shared" si="71"/>
        <v>0</v>
      </c>
      <c r="CL216" s="160">
        <f t="shared" si="61"/>
        <v>0</v>
      </c>
      <c r="CM216" s="160"/>
      <c r="CN216" s="160"/>
      <c r="CO216" s="55" t="s">
        <v>273</v>
      </c>
      <c r="CP216" s="156" t="s">
        <v>274</v>
      </c>
      <c r="CQ216" s="149" t="s">
        <v>272</v>
      </c>
      <c r="CR216" s="349"/>
      <c r="CS216" s="61" t="s">
        <v>539</v>
      </c>
      <c r="CT216" s="61"/>
      <c r="CU216" s="111">
        <f t="shared" si="69"/>
        <v>24.050843965159228</v>
      </c>
      <c r="CV216" s="331">
        <f t="shared" si="72"/>
        <v>2.5</v>
      </c>
      <c r="CW216" s="326">
        <f t="shared" si="75"/>
        <v>1</v>
      </c>
      <c r="CX216" s="326"/>
      <c r="CY216" s="161" t="s">
        <v>5921</v>
      </c>
    </row>
    <row r="217" spans="1:103" ht="11.25" customHeight="1" x14ac:dyDescent="0.2">
      <c r="A217" s="72">
        <v>215</v>
      </c>
      <c r="B217" s="149">
        <v>1242</v>
      </c>
      <c r="C217" s="54" t="s">
        <v>1375</v>
      </c>
      <c r="D217" s="54" t="s">
        <v>6426</v>
      </c>
      <c r="E217" s="59"/>
      <c r="F217" s="59" t="s">
        <v>1376</v>
      </c>
      <c r="G217" s="151">
        <v>51036</v>
      </c>
      <c r="H217" s="55" t="s">
        <v>1377</v>
      </c>
      <c r="I217" s="55" t="s">
        <v>1377</v>
      </c>
      <c r="J217" s="55" t="s">
        <v>1378</v>
      </c>
      <c r="K217" s="55" t="s">
        <v>287</v>
      </c>
      <c r="L217" s="55" t="s">
        <v>6089</v>
      </c>
      <c r="M217" s="55" t="s">
        <v>6137</v>
      </c>
      <c r="N217" s="60" t="s">
        <v>6082</v>
      </c>
      <c r="O217" s="55" t="s">
        <v>6138</v>
      </c>
      <c r="P217" s="67"/>
      <c r="Q217" s="67"/>
      <c r="R217" s="67"/>
      <c r="S217" s="67"/>
      <c r="T217" s="56">
        <v>338.44</v>
      </c>
      <c r="U217" s="103">
        <v>4.2252688807469567E-2</v>
      </c>
      <c r="V217" s="103">
        <v>1.8863018555726272E-3</v>
      </c>
      <c r="W217" s="103">
        <v>0.10964781961431837</v>
      </c>
      <c r="X217" s="103">
        <v>4.2252688807469567E-2</v>
      </c>
      <c r="Y217" s="162">
        <v>7</v>
      </c>
      <c r="Z217" s="56">
        <v>4.29</v>
      </c>
      <c r="AA217" s="56">
        <v>4.75</v>
      </c>
      <c r="AB217" s="56">
        <v>3.86</v>
      </c>
      <c r="AC217" s="56">
        <v>0.69040000000000001</v>
      </c>
      <c r="AD217" s="56">
        <v>4</v>
      </c>
      <c r="AE217" s="56">
        <v>4.2300000000000004</v>
      </c>
      <c r="AF217" s="56">
        <f t="shared" si="76"/>
        <v>4.75</v>
      </c>
      <c r="AG217" s="57">
        <v>3.95</v>
      </c>
      <c r="AH217" s="103">
        <v>8.8899999999999998E-11</v>
      </c>
      <c r="AI217" s="103"/>
      <c r="AJ217" s="62">
        <f t="shared" si="70"/>
        <v>-8.4396645653424383</v>
      </c>
      <c r="AK217" s="62"/>
      <c r="AL217" s="62">
        <f t="shared" si="77"/>
        <v>-8.4396645653424383</v>
      </c>
      <c r="AM217" s="62">
        <v>-11.402930000000001</v>
      </c>
      <c r="AN217" s="154">
        <v>-6.3</v>
      </c>
      <c r="AO217" s="410"/>
      <c r="AP217" s="410"/>
      <c r="AQ217" s="56" t="s">
        <v>6311</v>
      </c>
      <c r="AR217" s="56" t="s">
        <v>6311</v>
      </c>
      <c r="AS217" s="155"/>
      <c r="AT217" s="58" t="s">
        <v>266</v>
      </c>
      <c r="AU217" s="56">
        <v>6</v>
      </c>
      <c r="AV217" s="56">
        <v>120</v>
      </c>
      <c r="AW217" s="56">
        <v>114</v>
      </c>
      <c r="AX217" s="56">
        <v>28</v>
      </c>
      <c r="AY217" s="56" t="s">
        <v>8728</v>
      </c>
      <c r="AZ217" s="56" t="s">
        <v>1563</v>
      </c>
      <c r="BA217" s="56">
        <v>32</v>
      </c>
      <c r="BB217" s="55" t="s">
        <v>2485</v>
      </c>
      <c r="BC217" s="55" t="s">
        <v>8726</v>
      </c>
      <c r="BD217" s="55" t="s">
        <v>8374</v>
      </c>
      <c r="BE217" s="56" t="s">
        <v>2449</v>
      </c>
      <c r="BF217" s="56" t="s">
        <v>272</v>
      </c>
      <c r="BG217" s="56" t="s">
        <v>272</v>
      </c>
      <c r="BH217" s="56" t="s">
        <v>2486</v>
      </c>
      <c r="BI217" s="103">
        <v>6.3999999999999997E-6</v>
      </c>
      <c r="BJ217" s="103">
        <v>6.4000000000000001E-2</v>
      </c>
      <c r="BK217" s="56"/>
      <c r="BL217" s="103">
        <f>10^((-0.8981*Z217)+1.7108)</f>
        <v>7.2102612361725589E-3</v>
      </c>
      <c r="BM217" s="56" t="s">
        <v>2487</v>
      </c>
      <c r="BN217" s="56"/>
      <c r="BO217" s="56"/>
      <c r="BP217" s="56"/>
      <c r="BQ217" s="56"/>
      <c r="BR217" s="65">
        <v>2.5399999999999999E-2</v>
      </c>
      <c r="BS217" s="56"/>
      <c r="BT217" s="56"/>
      <c r="BU217" s="158"/>
      <c r="BV217" s="56"/>
      <c r="BW217" s="56"/>
      <c r="BX217" s="56"/>
      <c r="BY217" s="56"/>
      <c r="BZ217" s="56"/>
      <c r="CA217" s="56"/>
      <c r="CB217" s="56"/>
      <c r="CC217" s="56"/>
      <c r="CD217" s="56"/>
      <c r="CE217" s="56"/>
      <c r="CF217" s="56"/>
      <c r="CG217" s="56"/>
      <c r="CH217" s="56"/>
      <c r="CI217" s="103">
        <f t="shared" si="73"/>
        <v>2.5399999999999999E-2</v>
      </c>
      <c r="CJ217" s="103">
        <f t="shared" si="74"/>
        <v>-1.5951662833800619</v>
      </c>
      <c r="CK217" s="57">
        <f t="shared" si="71"/>
        <v>0.11266033181519623</v>
      </c>
      <c r="CL217" s="160">
        <f t="shared" ref="CL217:CL280" si="78">BL217/CI217</f>
        <v>0.28386855260521887</v>
      </c>
      <c r="CM217" s="160">
        <v>-2.0123652673331502</v>
      </c>
      <c r="CN217" s="160">
        <f>BJ217/(10^CM217)</f>
        <v>6.5848402195645006</v>
      </c>
      <c r="CO217" s="55" t="s">
        <v>2488</v>
      </c>
      <c r="CP217" s="55" t="s">
        <v>2489</v>
      </c>
      <c r="CQ217" s="149">
        <v>-1.9166265260028368</v>
      </c>
      <c r="CR217" s="349">
        <f>10^(CJ217-CQ217)</f>
        <v>2.0963328632520062</v>
      </c>
      <c r="CS217" s="61" t="s">
        <v>539</v>
      </c>
      <c r="CT217" s="61"/>
      <c r="CU217" s="111">
        <f t="shared" si="69"/>
        <v>1.6634916853334476</v>
      </c>
      <c r="CV217" s="331">
        <f t="shared" si="72"/>
        <v>0.66019826261671199</v>
      </c>
      <c r="CW217" s="326">
        <f t="shared" si="75"/>
        <v>0</v>
      </c>
      <c r="CX217" s="326"/>
      <c r="CY217" s="161" t="s">
        <v>6351</v>
      </c>
    </row>
    <row r="218" spans="1:103" ht="11.25" customHeight="1" x14ac:dyDescent="0.2">
      <c r="A218" s="72">
        <v>216</v>
      </c>
      <c r="B218" s="149">
        <v>1035</v>
      </c>
      <c r="C218" s="54" t="s">
        <v>977</v>
      </c>
      <c r="D218" s="54" t="s">
        <v>6447</v>
      </c>
      <c r="E218" s="59"/>
      <c r="F218" s="59" t="s">
        <v>978</v>
      </c>
      <c r="G218" s="151">
        <v>80057</v>
      </c>
      <c r="H218" s="55" t="s">
        <v>979</v>
      </c>
      <c r="I218" s="55" t="s">
        <v>979</v>
      </c>
      <c r="J218" s="55" t="s">
        <v>980</v>
      </c>
      <c r="K218" s="55" t="s">
        <v>376</v>
      </c>
      <c r="L218" s="55" t="s">
        <v>5527</v>
      </c>
      <c r="M218" s="55" t="s">
        <v>602</v>
      </c>
      <c r="N218" s="60" t="s">
        <v>6386</v>
      </c>
      <c r="O218" s="55" t="s">
        <v>981</v>
      </c>
      <c r="P218" s="67"/>
      <c r="Q218" s="67"/>
      <c r="R218" s="67"/>
      <c r="S218" s="67"/>
      <c r="T218" s="56">
        <v>228.29</v>
      </c>
      <c r="U218" s="103">
        <v>0.52564720311884006</v>
      </c>
      <c r="V218" s="103">
        <v>0.75649393315519731</v>
      </c>
      <c r="W218" s="103">
        <v>0.38904514499428011</v>
      </c>
      <c r="X218" s="103">
        <v>0.52564720311884006</v>
      </c>
      <c r="Y218" s="162">
        <v>6.76</v>
      </c>
      <c r="Z218" s="56">
        <v>3.64</v>
      </c>
      <c r="AA218" s="56">
        <v>3.32</v>
      </c>
      <c r="AB218" s="56">
        <v>3.73</v>
      </c>
      <c r="AC218" s="56">
        <v>0.77510000000000001</v>
      </c>
      <c r="AD218" s="56">
        <v>3.63</v>
      </c>
      <c r="AE218" s="56">
        <v>3.43</v>
      </c>
      <c r="AF218" s="56">
        <f t="shared" si="76"/>
        <v>3.32</v>
      </c>
      <c r="AG218" s="57">
        <v>3.7</v>
      </c>
      <c r="AH218" s="103">
        <v>9.1600000000000006E-12</v>
      </c>
      <c r="AI218" s="103"/>
      <c r="AJ218" s="62">
        <f t="shared" si="70"/>
        <v>-9.4266708526448006</v>
      </c>
      <c r="AK218" s="62"/>
      <c r="AL218" s="62">
        <f t="shared" si="77"/>
        <v>-9.4266708526448006</v>
      </c>
      <c r="AM218" s="62">
        <v>-13.641390000000001</v>
      </c>
      <c r="AN218" s="154">
        <v>-10.199999999999999</v>
      </c>
      <c r="AO218" s="410">
        <v>10.29</v>
      </c>
      <c r="AP218" s="410"/>
      <c r="AQ218" s="56" t="s">
        <v>6311</v>
      </c>
      <c r="AR218" s="56" t="s">
        <v>6311</v>
      </c>
      <c r="AS218" s="155"/>
      <c r="AT218" s="58" t="s">
        <v>266</v>
      </c>
      <c r="AU218" s="56">
        <v>6</v>
      </c>
      <c r="AV218" s="56">
        <v>120</v>
      </c>
      <c r="AW218" s="56">
        <v>114</v>
      </c>
      <c r="AX218" s="56">
        <v>28</v>
      </c>
      <c r="AY218" s="56" t="s">
        <v>8728</v>
      </c>
      <c r="AZ218" s="56" t="s">
        <v>1563</v>
      </c>
      <c r="BA218" s="56">
        <v>32</v>
      </c>
      <c r="BB218" s="55" t="s">
        <v>2485</v>
      </c>
      <c r="BC218" s="55" t="s">
        <v>8726</v>
      </c>
      <c r="BD218" s="55" t="s">
        <v>8374</v>
      </c>
      <c r="BE218" s="56" t="s">
        <v>2449</v>
      </c>
      <c r="BF218" s="56" t="s">
        <v>272</v>
      </c>
      <c r="BG218" s="56" t="s">
        <v>272</v>
      </c>
      <c r="BH218" s="56" t="s">
        <v>2486</v>
      </c>
      <c r="BI218" s="103">
        <v>6.3999999999999997E-6</v>
      </c>
      <c r="BJ218" s="103">
        <v>6.4000000000000001E-2</v>
      </c>
      <c r="BK218" s="56"/>
      <c r="BL218" s="103">
        <f>10^((-0.8981*Z218)+1.7108)</f>
        <v>2.7651328392176541E-2</v>
      </c>
      <c r="BM218" s="56" t="s">
        <v>2487</v>
      </c>
      <c r="BN218" s="56"/>
      <c r="BO218" s="56"/>
      <c r="BP218" s="56"/>
      <c r="BQ218" s="56"/>
      <c r="BR218" s="55">
        <v>2.5100000000000001E-2</v>
      </c>
      <c r="BS218" s="56"/>
      <c r="BT218" s="56"/>
      <c r="BU218" s="158"/>
      <c r="BV218" s="56"/>
      <c r="BW218" s="56"/>
      <c r="BX218" s="56"/>
      <c r="BY218" s="56"/>
      <c r="BZ218" s="56"/>
      <c r="CA218" s="56"/>
      <c r="CB218" s="56"/>
      <c r="CC218" s="56"/>
      <c r="CD218" s="56"/>
      <c r="CE218" s="56"/>
      <c r="CF218" s="56"/>
      <c r="CG218" s="56"/>
      <c r="CH218" s="56"/>
      <c r="CI218" s="103">
        <f t="shared" si="73"/>
        <v>2.5100000000000001E-2</v>
      </c>
      <c r="CJ218" s="103">
        <f t="shared" si="74"/>
        <v>-1.6003262785189618</v>
      </c>
      <c r="CK218" s="57">
        <f t="shared" si="71"/>
        <v>0.43205200612775846</v>
      </c>
      <c r="CL218" s="160">
        <f t="shared" si="78"/>
        <v>1.1016465494891052</v>
      </c>
      <c r="CM218" s="160">
        <v>-1.6910590432915908</v>
      </c>
      <c r="CN218" s="160">
        <f>BJ218/(10^CM218)</f>
        <v>3.1422375724594951</v>
      </c>
      <c r="CO218" s="55" t="s">
        <v>2488</v>
      </c>
      <c r="CP218" s="55" t="s">
        <v>2489</v>
      </c>
      <c r="CQ218" s="149">
        <v>-1.5944922590022019</v>
      </c>
      <c r="CR218" s="349">
        <f>10^(CJ218-CQ218)</f>
        <v>0.98665649809353717</v>
      </c>
      <c r="CS218" s="61" t="s">
        <v>539</v>
      </c>
      <c r="CT218" s="61"/>
      <c r="CU218" s="111">
        <f t="shared" si="69"/>
        <v>20.942119646168926</v>
      </c>
      <c r="CV218" s="331">
        <f t="shared" si="72"/>
        <v>8.2132375487318754</v>
      </c>
      <c r="CW218" s="326">
        <f t="shared" si="75"/>
        <v>1</v>
      </c>
      <c r="CX218" s="326"/>
      <c r="CY218" s="161" t="s">
        <v>6351</v>
      </c>
    </row>
    <row r="219" spans="1:103" ht="11.25" customHeight="1" x14ac:dyDescent="0.2">
      <c r="A219" s="72">
        <v>217</v>
      </c>
      <c r="B219" s="149">
        <v>975</v>
      </c>
      <c r="C219" s="54" t="s">
        <v>2783</v>
      </c>
      <c r="D219" s="54"/>
      <c r="E219" s="59"/>
      <c r="F219" s="59" t="s">
        <v>2784</v>
      </c>
      <c r="G219" s="151">
        <v>6344678</v>
      </c>
      <c r="H219" s="55" t="s">
        <v>2785</v>
      </c>
      <c r="I219" s="55" t="s">
        <v>7811</v>
      </c>
      <c r="J219" s="55" t="s">
        <v>2786</v>
      </c>
      <c r="K219" s="55" t="s">
        <v>349</v>
      </c>
      <c r="L219" s="55"/>
      <c r="M219" s="55"/>
      <c r="N219" s="60"/>
      <c r="O219" s="55"/>
      <c r="P219" s="67"/>
      <c r="Q219" s="67"/>
      <c r="R219" s="67"/>
      <c r="S219" s="67"/>
      <c r="T219" s="56">
        <v>182.22</v>
      </c>
      <c r="U219" s="103"/>
      <c r="V219" s="103">
        <v>8.3251015256283617E-2</v>
      </c>
      <c r="W219" s="103">
        <v>0.38904514499428011</v>
      </c>
      <c r="X219" s="103">
        <f t="shared" ref="X219:X224" si="79">IF(W219=0,V219,W219)</f>
        <v>0.38904514499428011</v>
      </c>
      <c r="Y219" s="162">
        <v>6.66</v>
      </c>
      <c r="Z219" s="56">
        <v>3.54</v>
      </c>
      <c r="AA219" s="56"/>
      <c r="AB219" s="56">
        <v>3.39</v>
      </c>
      <c r="AC219" s="56">
        <v>0.79249999999999998</v>
      </c>
      <c r="AD219" s="56">
        <v>3.41</v>
      </c>
      <c r="AE219" s="56">
        <v>3.43</v>
      </c>
      <c r="AF219" s="56">
        <f t="shared" si="76"/>
        <v>3.41</v>
      </c>
      <c r="AG219" s="57">
        <v>3.35</v>
      </c>
      <c r="AH219" s="103">
        <v>1.74E-8</v>
      </c>
      <c r="AI219" s="103"/>
      <c r="AJ219" s="62">
        <f t="shared" si="70"/>
        <v>-6.148017078030052</v>
      </c>
      <c r="AK219" s="62"/>
      <c r="AL219" s="62">
        <f t="shared" si="77"/>
        <v>-6.148017078030052</v>
      </c>
      <c r="AM219" s="62">
        <v>-9.7905999999999995</v>
      </c>
      <c r="AN219" s="154">
        <v>-6.65</v>
      </c>
      <c r="AO219" s="410">
        <v>10.02</v>
      </c>
      <c r="AP219" s="410"/>
      <c r="AQ219" s="56" t="s">
        <v>6311</v>
      </c>
      <c r="AR219" s="56" t="s">
        <v>6311</v>
      </c>
      <c r="AS219" s="155"/>
      <c r="AT219" s="58" t="s">
        <v>266</v>
      </c>
      <c r="AU219" s="56">
        <v>6</v>
      </c>
      <c r="AV219" s="56">
        <v>120</v>
      </c>
      <c r="AW219" s="56">
        <v>114</v>
      </c>
      <c r="AX219" s="56">
        <v>28</v>
      </c>
      <c r="AY219" s="56" t="s">
        <v>8728</v>
      </c>
      <c r="AZ219" s="56" t="s">
        <v>1563</v>
      </c>
      <c r="BA219" s="56">
        <v>32</v>
      </c>
      <c r="BB219" s="55" t="s">
        <v>2485</v>
      </c>
      <c r="BC219" s="55" t="s">
        <v>8726</v>
      </c>
      <c r="BD219" s="55" t="s">
        <v>8374</v>
      </c>
      <c r="BE219" s="56" t="s">
        <v>2449</v>
      </c>
      <c r="BF219" s="56" t="s">
        <v>272</v>
      </c>
      <c r="BG219" s="56" t="s">
        <v>272</v>
      </c>
      <c r="BH219" s="56" t="s">
        <v>2486</v>
      </c>
      <c r="BI219" s="103">
        <v>6.3999999999999997E-6</v>
      </c>
      <c r="BJ219" s="103">
        <v>6.4000000000000001E-2</v>
      </c>
      <c r="BK219" s="56"/>
      <c r="BL219" s="103">
        <f>10^((-0.8981*Z219)+1.7108)</f>
        <v>3.4003686225378561E-2</v>
      </c>
      <c r="BM219" s="56" t="s">
        <v>2487</v>
      </c>
      <c r="BN219" s="56"/>
      <c r="BO219" s="56"/>
      <c r="BP219" s="56"/>
      <c r="BQ219" s="56"/>
      <c r="BR219" s="55">
        <v>2.0238577000000001E-2</v>
      </c>
      <c r="BS219" s="56"/>
      <c r="BT219" s="56"/>
      <c r="BU219" s="158"/>
      <c r="BV219" s="56"/>
      <c r="BW219" s="56"/>
      <c r="BX219" s="56"/>
      <c r="BY219" s="56"/>
      <c r="BZ219" s="56"/>
      <c r="CA219" s="56"/>
      <c r="CB219" s="56"/>
      <c r="CC219" s="56"/>
      <c r="CD219" s="56"/>
      <c r="CE219" s="56"/>
      <c r="CF219" s="56"/>
      <c r="CG219" s="56"/>
      <c r="CH219" s="56"/>
      <c r="CI219" s="103">
        <f t="shared" si="73"/>
        <v>2.0238577000000001E-2</v>
      </c>
      <c r="CJ219" s="103">
        <f t="shared" si="74"/>
        <v>-1.6938200265542473</v>
      </c>
      <c r="CK219" s="57">
        <f t="shared" si="71"/>
        <v>0.53130759727153998</v>
      </c>
      <c r="CL219" s="160">
        <f t="shared" si="78"/>
        <v>1.6801421476113938</v>
      </c>
      <c r="CM219" s="160"/>
      <c r="CN219" s="160"/>
      <c r="CO219" s="55" t="s">
        <v>2488</v>
      </c>
      <c r="CP219" s="55" t="s">
        <v>2489</v>
      </c>
      <c r="CQ219" s="149" t="s">
        <v>272</v>
      </c>
      <c r="CR219" s="349"/>
      <c r="CS219" s="61" t="s">
        <v>539</v>
      </c>
      <c r="CT219" s="61"/>
      <c r="CU219" s="111">
        <f t="shared" si="69"/>
        <v>19.222949567762601</v>
      </c>
      <c r="CV219" s="331">
        <f t="shared" si="72"/>
        <v>6.0788303905356269</v>
      </c>
      <c r="CW219" s="326">
        <f t="shared" si="75"/>
        <v>1</v>
      </c>
      <c r="CX219" s="326"/>
      <c r="CY219" s="161" t="s">
        <v>5921</v>
      </c>
    </row>
    <row r="220" spans="1:103" ht="11.25" customHeight="1" x14ac:dyDescent="0.2">
      <c r="A220" s="72">
        <v>218</v>
      </c>
      <c r="B220" s="149">
        <v>10</v>
      </c>
      <c r="C220" s="54" t="s">
        <v>322</v>
      </c>
      <c r="D220" s="54"/>
      <c r="E220" s="59"/>
      <c r="F220" s="150" t="str">
        <f>HYPERLINK("http://www.sigmaaldrich.com/catalog/Lookup.do?N5=CAS+No.&amp;N3=mode+matchpartialmax&amp;N4=6533-68-2&amp;D7=0&amp;D10=&amp;N25=0&amp;N1=S_ID&amp;ST=RS&amp;F=PR","6533-68-2")</f>
        <v>6533-68-2</v>
      </c>
      <c r="G220" s="151">
        <v>6533682</v>
      </c>
      <c r="H220" s="55" t="s">
        <v>323</v>
      </c>
      <c r="I220" s="55" t="s">
        <v>8306</v>
      </c>
      <c r="J220" s="55" t="s">
        <v>324</v>
      </c>
      <c r="K220" s="55"/>
      <c r="L220" s="64"/>
      <c r="M220" s="55"/>
      <c r="N220" s="60"/>
      <c r="O220" s="55"/>
      <c r="P220" s="67"/>
      <c r="Q220" s="67"/>
      <c r="R220" s="67"/>
      <c r="S220" s="67"/>
      <c r="T220" s="59">
        <v>303.35000000000002</v>
      </c>
      <c r="U220" s="153"/>
      <c r="V220" s="153">
        <f>55310/303.36</f>
        <v>182.32463080168776</v>
      </c>
      <c r="W220" s="153">
        <v>8.1283051616409896</v>
      </c>
      <c r="X220" s="153">
        <f t="shared" si="79"/>
        <v>8.1283051616409896</v>
      </c>
      <c r="Y220" s="410">
        <v>9.9600000000000009</v>
      </c>
      <c r="Z220" s="69">
        <v>0.39</v>
      </c>
      <c r="AA220" s="69"/>
      <c r="AB220" s="69">
        <v>1.1599999999999999</v>
      </c>
      <c r="AC220" s="69">
        <v>0.67379999999999995</v>
      </c>
      <c r="AD220" s="69">
        <v>1.01</v>
      </c>
      <c r="AE220" s="69">
        <v>0.76</v>
      </c>
      <c r="AF220" s="69">
        <f t="shared" si="76"/>
        <v>1.01</v>
      </c>
      <c r="AG220" s="68">
        <v>1.01</v>
      </c>
      <c r="AH220" s="103">
        <v>3.3599999999999999E-16</v>
      </c>
      <c r="AI220" s="153"/>
      <c r="AJ220" s="62">
        <f t="shared" si="70"/>
        <v>-13.862227048922808</v>
      </c>
      <c r="AK220" s="62"/>
      <c r="AL220" s="62">
        <f t="shared" si="77"/>
        <v>-13.862227048922808</v>
      </c>
      <c r="AM220" s="62">
        <v>-16.166260000000001</v>
      </c>
      <c r="AN220" s="152"/>
      <c r="AO220" s="410">
        <v>14.11</v>
      </c>
      <c r="AP220" s="410">
        <v>8.01</v>
      </c>
      <c r="AQ220" s="152" t="s">
        <v>6316</v>
      </c>
      <c r="AR220" s="152" t="s">
        <v>6316</v>
      </c>
      <c r="AS220" s="149" t="s">
        <v>325</v>
      </c>
      <c r="AT220" s="58" t="s">
        <v>266</v>
      </c>
      <c r="AU220" s="155">
        <v>24</v>
      </c>
      <c r="AV220" s="155">
        <v>120</v>
      </c>
      <c r="AW220" s="155">
        <v>96</v>
      </c>
      <c r="AX220" s="155">
        <v>28</v>
      </c>
      <c r="AY220" s="155" t="s">
        <v>267</v>
      </c>
      <c r="AZ220" s="155" t="s">
        <v>268</v>
      </c>
      <c r="BA220" s="155">
        <v>48</v>
      </c>
      <c r="BB220" s="55" t="s">
        <v>269</v>
      </c>
      <c r="BC220" s="156" t="s">
        <v>270</v>
      </c>
      <c r="BD220" s="156" t="s">
        <v>8374</v>
      </c>
      <c r="BE220" s="155" t="s">
        <v>271</v>
      </c>
      <c r="BF220" s="155" t="s">
        <v>272</v>
      </c>
      <c r="BG220" s="155" t="s">
        <v>272</v>
      </c>
      <c r="BH220" s="155" t="s">
        <v>272</v>
      </c>
      <c r="BI220" s="157">
        <v>2.2814902694440007E-3</v>
      </c>
      <c r="BJ220" s="157">
        <v>36.503844311104011</v>
      </c>
      <c r="BK220" s="56"/>
      <c r="BL220" s="103"/>
      <c r="BM220" s="56">
        <v>0</v>
      </c>
      <c r="BN220" s="56"/>
      <c r="BO220" s="56"/>
      <c r="BP220" s="56"/>
      <c r="BQ220" s="56"/>
      <c r="BR220" s="56"/>
      <c r="BS220" s="56"/>
      <c r="BT220" s="56"/>
      <c r="BU220" s="158"/>
      <c r="BV220" s="56"/>
      <c r="BW220" s="56"/>
      <c r="BX220" s="56"/>
      <c r="BY220" s="56"/>
      <c r="BZ220" s="56"/>
      <c r="CA220" s="56"/>
      <c r="CB220" s="56">
        <v>26.16</v>
      </c>
      <c r="CC220" s="56"/>
      <c r="CD220" s="56"/>
      <c r="CE220" s="56"/>
      <c r="CF220" s="56"/>
      <c r="CG220" s="56"/>
      <c r="CH220" s="56"/>
      <c r="CI220" s="103">
        <f t="shared" si="73"/>
        <v>26.16</v>
      </c>
      <c r="CJ220" s="103">
        <f t="shared" si="74"/>
        <v>1.4176377396522297</v>
      </c>
      <c r="CK220" s="57">
        <f t="shared" si="71"/>
        <v>0</v>
      </c>
      <c r="CL220" s="160">
        <f t="shared" si="78"/>
        <v>0</v>
      </c>
      <c r="CM220" s="160"/>
      <c r="CN220" s="160"/>
      <c r="CO220" s="55" t="s">
        <v>273</v>
      </c>
      <c r="CP220" s="156" t="s">
        <v>274</v>
      </c>
      <c r="CQ220" s="149" t="s">
        <v>272</v>
      </c>
      <c r="CR220" s="349"/>
      <c r="CS220" s="61" t="s">
        <v>539</v>
      </c>
      <c r="CT220" s="61"/>
      <c r="CU220" s="111">
        <f t="shared" si="69"/>
        <v>0.31071502911471671</v>
      </c>
      <c r="CV220" s="331">
        <f t="shared" si="72"/>
        <v>0.2226698397124289</v>
      </c>
      <c r="CW220" s="326">
        <f t="shared" si="75"/>
        <v>0</v>
      </c>
      <c r="CX220" s="326"/>
      <c r="CY220" s="161" t="s">
        <v>5921</v>
      </c>
    </row>
    <row r="221" spans="1:103" ht="11.25" customHeight="1" x14ac:dyDescent="0.2">
      <c r="A221" s="72">
        <v>219</v>
      </c>
      <c r="B221" s="149">
        <v>356</v>
      </c>
      <c r="C221" s="54" t="s">
        <v>1293</v>
      </c>
      <c r="D221" s="54"/>
      <c r="E221" s="59"/>
      <c r="F221" s="59" t="s">
        <v>1294</v>
      </c>
      <c r="G221" s="151">
        <v>6734801</v>
      </c>
      <c r="H221" s="55" t="s">
        <v>1295</v>
      </c>
      <c r="I221" s="55" t="s">
        <v>1295</v>
      </c>
      <c r="J221" s="55" t="s">
        <v>1296</v>
      </c>
      <c r="K221" s="55" t="s">
        <v>1297</v>
      </c>
      <c r="L221" s="55"/>
      <c r="M221" s="55"/>
      <c r="N221" s="60"/>
      <c r="O221" s="55"/>
      <c r="P221" s="67"/>
      <c r="Q221" s="67"/>
      <c r="R221" s="67"/>
      <c r="S221" s="67"/>
      <c r="T221" s="56">
        <v>107.2</v>
      </c>
      <c r="U221" s="103"/>
      <c r="V221" s="103">
        <v>4108.2089552238804</v>
      </c>
      <c r="W221" s="103">
        <v>177.82794100389225</v>
      </c>
      <c r="X221" s="103">
        <f t="shared" si="79"/>
        <v>177.82794100389225</v>
      </c>
      <c r="Y221" s="162">
        <v>1.98</v>
      </c>
      <c r="Z221" s="56">
        <v>0.48</v>
      </c>
      <c r="AA221" s="56"/>
      <c r="AB221" s="56">
        <v>0.78</v>
      </c>
      <c r="AC221" s="56">
        <v>0.66080000000000005</v>
      </c>
      <c r="AD221" s="56">
        <v>0.78</v>
      </c>
      <c r="AE221" s="56">
        <v>0.78</v>
      </c>
      <c r="AF221" s="56">
        <f t="shared" si="76"/>
        <v>0.78</v>
      </c>
      <c r="AG221" s="57">
        <v>0.78</v>
      </c>
      <c r="AH221" s="103">
        <v>1.7699999999999999E-4</v>
      </c>
      <c r="AI221" s="103"/>
      <c r="AJ221" s="62">
        <f t="shared" si="70"/>
        <v>-2.1405930599508451</v>
      </c>
      <c r="AK221" s="62"/>
      <c r="AL221" s="62">
        <f t="shared" si="77"/>
        <v>-2.1405930599508451</v>
      </c>
      <c r="AM221" s="62">
        <v>-6.0241499999999997</v>
      </c>
      <c r="AN221" s="154"/>
      <c r="AO221" s="410">
        <v>4.63</v>
      </c>
      <c r="AP221" s="410">
        <v>0.87</v>
      </c>
      <c r="AQ221" s="154" t="s">
        <v>6311</v>
      </c>
      <c r="AR221" s="154" t="s">
        <v>6311</v>
      </c>
      <c r="AS221" s="149" t="s">
        <v>155</v>
      </c>
      <c r="AT221" s="58" t="s">
        <v>266</v>
      </c>
      <c r="AU221" s="56">
        <v>8</v>
      </c>
      <c r="AV221" s="56">
        <v>144</v>
      </c>
      <c r="AW221" s="56">
        <v>120</v>
      </c>
      <c r="AX221" s="56">
        <v>26</v>
      </c>
      <c r="AY221" s="56" t="s">
        <v>267</v>
      </c>
      <c r="AZ221" s="56" t="s">
        <v>268</v>
      </c>
      <c r="BA221" s="56">
        <v>3</v>
      </c>
      <c r="BB221" s="55" t="s">
        <v>888</v>
      </c>
      <c r="BC221" s="55" t="s">
        <v>270</v>
      </c>
      <c r="BD221" s="55" t="s">
        <v>8374</v>
      </c>
      <c r="BE221" s="56" t="s">
        <v>889</v>
      </c>
      <c r="BF221" s="56" t="s">
        <v>272</v>
      </c>
      <c r="BG221" s="56" t="s">
        <v>272</v>
      </c>
      <c r="BH221" s="56" t="s">
        <v>890</v>
      </c>
      <c r="BI221" s="103">
        <v>9.9999999999999995E-7</v>
      </c>
      <c r="BJ221" s="103">
        <v>0.08</v>
      </c>
      <c r="BK221" s="56"/>
      <c r="BL221" s="103">
        <f>10^((-0.8981*Z221)+1.7108)</f>
        <v>19.04197541035953</v>
      </c>
      <c r="BM221" s="56" t="s">
        <v>891</v>
      </c>
      <c r="BN221" s="162"/>
      <c r="BO221" s="162"/>
      <c r="BP221" s="162"/>
      <c r="BQ221" s="162"/>
      <c r="BR221" s="162"/>
      <c r="BS221" s="56">
        <v>4.7850000000000004E-2</v>
      </c>
      <c r="BT221" s="162"/>
      <c r="BU221" s="158"/>
      <c r="BV221" s="162"/>
      <c r="BW221" s="162"/>
      <c r="BX221" s="162"/>
      <c r="BY221" s="162"/>
      <c r="BZ221" s="162"/>
      <c r="CA221" s="162"/>
      <c r="CB221" s="162"/>
      <c r="CC221" s="56"/>
      <c r="CD221" s="56"/>
      <c r="CE221" s="56"/>
      <c r="CF221" s="56"/>
      <c r="CG221" s="56"/>
      <c r="CH221" s="56"/>
      <c r="CI221" s="103">
        <f t="shared" si="73"/>
        <v>4.7850000000000004E-2</v>
      </c>
      <c r="CJ221" s="103">
        <f t="shared" si="74"/>
        <v>-1.3201180578871377</v>
      </c>
      <c r="CK221" s="57">
        <f t="shared" ref="CK221:CK252" si="80">BL221/BJ221</f>
        <v>238.02469262949413</v>
      </c>
      <c r="CL221" s="160">
        <f t="shared" si="78"/>
        <v>397.95141923426394</v>
      </c>
      <c r="CM221" s="160"/>
      <c r="CN221" s="160"/>
      <c r="CO221" s="55" t="s">
        <v>892</v>
      </c>
      <c r="CP221" s="55" t="s">
        <v>893</v>
      </c>
      <c r="CQ221" s="149" t="s">
        <v>272</v>
      </c>
      <c r="CR221" s="349"/>
      <c r="CS221" s="61" t="s">
        <v>539</v>
      </c>
      <c r="CT221" s="61"/>
      <c r="CU221" s="111">
        <f t="shared" si="69"/>
        <v>3716.3624034251252</v>
      </c>
      <c r="CV221" s="331">
        <f t="shared" ref="CV221:CV252" si="81">X221/BJ221</f>
        <v>2222.8492625486529</v>
      </c>
      <c r="CW221" s="326">
        <f t="shared" si="75"/>
        <v>1</v>
      </c>
      <c r="CX221" s="326" t="s">
        <v>539</v>
      </c>
      <c r="CY221" s="161" t="s">
        <v>5921</v>
      </c>
    </row>
    <row r="222" spans="1:103" ht="11.25" customHeight="1" x14ac:dyDescent="0.2">
      <c r="A222" s="72">
        <v>220</v>
      </c>
      <c r="B222" s="149">
        <v>930</v>
      </c>
      <c r="C222" s="54" t="s">
        <v>2654</v>
      </c>
      <c r="D222" s="54"/>
      <c r="E222" s="59"/>
      <c r="F222" s="59" t="s">
        <v>2655</v>
      </c>
      <c r="G222" s="151">
        <v>6846500</v>
      </c>
      <c r="H222" s="55" t="s">
        <v>2656</v>
      </c>
      <c r="I222" s="55" t="s">
        <v>2656</v>
      </c>
      <c r="J222" s="55" t="s">
        <v>2657</v>
      </c>
      <c r="K222" s="55" t="s">
        <v>357</v>
      </c>
      <c r="L222" s="55"/>
      <c r="M222" s="55"/>
      <c r="N222" s="60"/>
      <c r="O222" s="55"/>
      <c r="P222" s="67"/>
      <c r="Q222" s="67"/>
      <c r="R222" s="67"/>
      <c r="S222" s="67"/>
      <c r="T222" s="56">
        <v>286.41000000000003</v>
      </c>
      <c r="U222" s="103"/>
      <c r="V222" s="103">
        <v>3.289689605809853E-3</v>
      </c>
      <c r="W222" s="103">
        <v>0.24547089156850274</v>
      </c>
      <c r="X222" s="103">
        <f t="shared" si="79"/>
        <v>0.24547089156850274</v>
      </c>
      <c r="Y222" s="162">
        <v>7</v>
      </c>
      <c r="Z222" s="56">
        <v>4.91</v>
      </c>
      <c r="AA222" s="56"/>
      <c r="AB222" s="56">
        <v>4.1900000000000004</v>
      </c>
      <c r="AC222" s="56">
        <v>0.57440000000000002</v>
      </c>
      <c r="AD222" s="56">
        <v>4.12</v>
      </c>
      <c r="AE222" s="56">
        <v>4.04</v>
      </c>
      <c r="AF222" s="56">
        <f t="shared" si="76"/>
        <v>4.12</v>
      </c>
      <c r="AG222" s="57">
        <v>3.69</v>
      </c>
      <c r="AH222" s="103">
        <v>9.4199999999999996E-6</v>
      </c>
      <c r="AI222" s="103"/>
      <c r="AJ222" s="62">
        <f t="shared" si="70"/>
        <v>-3.4145154235197746</v>
      </c>
      <c r="AK222" s="62"/>
      <c r="AL222" s="62">
        <f t="shared" si="77"/>
        <v>-3.4145154235197746</v>
      </c>
      <c r="AM222" s="62">
        <v>-7.2201700000000004</v>
      </c>
      <c r="AN222" s="154">
        <v>-3.55</v>
      </c>
      <c r="AO222" s="410"/>
      <c r="AP222" s="410"/>
      <c r="AQ222" s="56" t="s">
        <v>6311</v>
      </c>
      <c r="AR222" s="56" t="s">
        <v>6312</v>
      </c>
      <c r="AS222" s="155"/>
      <c r="AT222" s="58" t="s">
        <v>266</v>
      </c>
      <c r="AU222" s="56">
        <v>6</v>
      </c>
      <c r="AV222" s="56">
        <v>120</v>
      </c>
      <c r="AW222" s="56">
        <v>114</v>
      </c>
      <c r="AX222" s="56">
        <v>28</v>
      </c>
      <c r="AY222" s="56" t="s">
        <v>8728</v>
      </c>
      <c r="AZ222" s="56" t="s">
        <v>1563</v>
      </c>
      <c r="BA222" s="56">
        <v>32</v>
      </c>
      <c r="BB222" s="55" t="s">
        <v>2485</v>
      </c>
      <c r="BC222" s="55" t="s">
        <v>8726</v>
      </c>
      <c r="BD222" s="55" t="s">
        <v>8374</v>
      </c>
      <c r="BE222" s="56" t="s">
        <v>2449</v>
      </c>
      <c r="BF222" s="56" t="s">
        <v>272</v>
      </c>
      <c r="BG222" s="56" t="s">
        <v>272</v>
      </c>
      <c r="BH222" s="56" t="s">
        <v>2486</v>
      </c>
      <c r="BI222" s="103">
        <v>6.3999999999999997E-6</v>
      </c>
      <c r="BJ222" s="103">
        <v>6.4000000000000001E-2</v>
      </c>
      <c r="BK222" s="56"/>
      <c r="BL222" s="103">
        <f>10^((-0.8981*Z222)+1.7108)</f>
        <v>2.0004559837889196E-3</v>
      </c>
      <c r="BM222" s="56" t="s">
        <v>2046</v>
      </c>
      <c r="BN222" s="56"/>
      <c r="BO222" s="56"/>
      <c r="BP222" s="56"/>
      <c r="BQ222" s="56"/>
      <c r="BR222" s="55">
        <v>2.0238577000000001E-2</v>
      </c>
      <c r="BS222" s="56"/>
      <c r="BT222" s="56"/>
      <c r="BU222" s="158"/>
      <c r="BV222" s="56"/>
      <c r="BW222" s="56"/>
      <c r="BX222" s="56"/>
      <c r="BY222" s="56"/>
      <c r="BZ222" s="56"/>
      <c r="CA222" s="56"/>
      <c r="CB222" s="56"/>
      <c r="CC222" s="56"/>
      <c r="CD222" s="56"/>
      <c r="CE222" s="56"/>
      <c r="CF222" s="56"/>
      <c r="CG222" s="56"/>
      <c r="CH222" s="56"/>
      <c r="CI222" s="103">
        <f t="shared" si="73"/>
        <v>2.0238577000000001E-2</v>
      </c>
      <c r="CJ222" s="103">
        <f t="shared" si="74"/>
        <v>-1.6938200265542473</v>
      </c>
      <c r="CK222" s="57">
        <f t="shared" si="80"/>
        <v>3.1257124746701871E-2</v>
      </c>
      <c r="CL222" s="160">
        <f t="shared" si="78"/>
        <v>9.8843707430068803E-2</v>
      </c>
      <c r="CM222" s="160"/>
      <c r="CN222" s="160"/>
      <c r="CO222" s="55" t="s">
        <v>2488</v>
      </c>
      <c r="CP222" s="55" t="s">
        <v>2489</v>
      </c>
      <c r="CQ222" s="149" t="s">
        <v>272</v>
      </c>
      <c r="CR222" s="349"/>
      <c r="CS222" s="61" t="s">
        <v>539</v>
      </c>
      <c r="CT222" s="61"/>
      <c r="CU222" s="111">
        <f t="shared" si="69"/>
        <v>12.12886121235217</v>
      </c>
      <c r="CV222" s="331">
        <f t="shared" si="81"/>
        <v>3.8354826807578553</v>
      </c>
      <c r="CW222" s="326">
        <f t="shared" si="75"/>
        <v>1</v>
      </c>
      <c r="CX222" s="326"/>
      <c r="CY222" s="161" t="s">
        <v>6351</v>
      </c>
    </row>
    <row r="223" spans="1:103" ht="11.25" customHeight="1" x14ac:dyDescent="0.2">
      <c r="A223" s="72">
        <v>221</v>
      </c>
      <c r="B223" s="149">
        <v>13</v>
      </c>
      <c r="C223" s="54" t="s">
        <v>335</v>
      </c>
      <c r="D223" s="54"/>
      <c r="E223" s="59"/>
      <c r="F223" s="150" t="str">
        <f>HYPERLINK("http://www.sigmaaldrich.com/catalog/Lookup.do?N5=CAS+No.&amp;N3=mode+matchpartialmax&amp;N4=6989-98-6&amp;D7=0&amp;D10=&amp;N25=0&amp;N1=S_ID&amp;ST=RS&amp;F=PR","6989-98-6")</f>
        <v>6989-98-6</v>
      </c>
      <c r="G223" s="151">
        <v>6989986</v>
      </c>
      <c r="H223" s="55" t="s">
        <v>8404</v>
      </c>
      <c r="I223" s="55" t="s">
        <v>8307</v>
      </c>
      <c r="J223" s="55" t="s">
        <v>336</v>
      </c>
      <c r="K223" s="55"/>
      <c r="L223" s="64" t="s">
        <v>279</v>
      </c>
      <c r="M223" s="55" t="s">
        <v>337</v>
      </c>
      <c r="N223" s="60"/>
      <c r="O223" s="55" t="s">
        <v>281</v>
      </c>
      <c r="P223" s="67"/>
      <c r="Q223" s="67"/>
      <c r="R223" s="67"/>
      <c r="S223" s="67"/>
      <c r="T223" s="59">
        <v>771.72</v>
      </c>
      <c r="U223" s="153"/>
      <c r="V223" s="153">
        <f>0.002869/771.72</f>
        <v>3.7176696211061004E-6</v>
      </c>
      <c r="W223" s="153">
        <v>8.1283051616409896</v>
      </c>
      <c r="X223" s="153">
        <f t="shared" si="79"/>
        <v>8.1283051616409896</v>
      </c>
      <c r="Y223" s="410">
        <v>9.9600000000000009</v>
      </c>
      <c r="Z223" s="74">
        <v>6.04</v>
      </c>
      <c r="AA223" s="74"/>
      <c r="AB223" s="74">
        <v>0.23</v>
      </c>
      <c r="AC223" s="74">
        <v>0.57450000000000001</v>
      </c>
      <c r="AD223" s="74">
        <v>0.17</v>
      </c>
      <c r="AE223" s="74">
        <v>0.08</v>
      </c>
      <c r="AF223" s="74"/>
      <c r="AG223" s="68">
        <v>2.08</v>
      </c>
      <c r="AH223" s="103"/>
      <c r="AI223" s="153"/>
      <c r="AJ223" s="62"/>
      <c r="AK223" s="62"/>
      <c r="AL223" s="62"/>
      <c r="AM223" s="62">
        <v>-25.080459999999999</v>
      </c>
      <c r="AN223" s="152">
        <v>-28.9</v>
      </c>
      <c r="AO223" s="410">
        <v>14.11</v>
      </c>
      <c r="AP223" s="410">
        <v>8.01</v>
      </c>
      <c r="AQ223" s="152" t="s">
        <v>6316</v>
      </c>
      <c r="AR223" s="152" t="s">
        <v>6316</v>
      </c>
      <c r="AS223" s="149" t="s">
        <v>301</v>
      </c>
      <c r="AT223" s="58" t="s">
        <v>266</v>
      </c>
      <c r="AU223" s="155">
        <v>24</v>
      </c>
      <c r="AV223" s="155">
        <v>120</v>
      </c>
      <c r="AW223" s="155">
        <v>96</v>
      </c>
      <c r="AX223" s="155">
        <v>28</v>
      </c>
      <c r="AY223" s="155" t="s">
        <v>267</v>
      </c>
      <c r="AZ223" s="155" t="s">
        <v>268</v>
      </c>
      <c r="BA223" s="155">
        <v>48</v>
      </c>
      <c r="BB223" s="55" t="s">
        <v>269</v>
      </c>
      <c r="BC223" s="156" t="s">
        <v>270</v>
      </c>
      <c r="BD223" s="156" t="s">
        <v>8374</v>
      </c>
      <c r="BE223" s="155" t="s">
        <v>271</v>
      </c>
      <c r="BF223" s="155" t="s">
        <v>272</v>
      </c>
      <c r="BG223" s="155" t="s">
        <v>272</v>
      </c>
      <c r="BH223" s="155" t="s">
        <v>272</v>
      </c>
      <c r="BI223" s="157">
        <v>1.4670285337049806E-3</v>
      </c>
      <c r="BJ223" s="157">
        <v>1.4670285337049807</v>
      </c>
      <c r="BK223" s="56"/>
      <c r="BL223" s="103"/>
      <c r="BM223" s="56">
        <v>0</v>
      </c>
      <c r="BN223" s="56"/>
      <c r="BO223" s="56"/>
      <c r="BP223" s="56"/>
      <c r="BQ223" s="56"/>
      <c r="BR223" s="56"/>
      <c r="BS223" s="56"/>
      <c r="BT223" s="56"/>
      <c r="BU223" s="158"/>
      <c r="BV223" s="56"/>
      <c r="BW223" s="56"/>
      <c r="BX223" s="56"/>
      <c r="BY223" s="56">
        <v>5.54</v>
      </c>
      <c r="BZ223" s="56">
        <v>8.7799999999999994</v>
      </c>
      <c r="CA223" s="56">
        <v>1.1299999999999999</v>
      </c>
      <c r="CB223" s="56">
        <v>0.61</v>
      </c>
      <c r="CC223" s="56"/>
      <c r="CD223" s="56"/>
      <c r="CE223" s="56"/>
      <c r="CF223" s="56"/>
      <c r="CG223" s="56"/>
      <c r="CH223" s="56"/>
      <c r="CI223" s="103">
        <f t="shared" si="73"/>
        <v>0.61</v>
      </c>
      <c r="CJ223" s="103">
        <f t="shared" si="74"/>
        <v>-0.21467016498923297</v>
      </c>
      <c r="CK223" s="57">
        <f t="shared" si="80"/>
        <v>0</v>
      </c>
      <c r="CL223" s="160">
        <f t="shared" si="78"/>
        <v>0</v>
      </c>
      <c r="CM223" s="160"/>
      <c r="CN223" s="160"/>
      <c r="CO223" s="55" t="s">
        <v>273</v>
      </c>
      <c r="CP223" s="156" t="s">
        <v>274</v>
      </c>
      <c r="CQ223" s="149" t="s">
        <v>272</v>
      </c>
      <c r="CR223" s="349"/>
      <c r="CS223" s="61" t="s">
        <v>539</v>
      </c>
      <c r="CT223" s="61"/>
      <c r="CU223" s="111">
        <f t="shared" si="69"/>
        <v>13.325090428919655</v>
      </c>
      <c r="CV223" s="331">
        <f t="shared" si="81"/>
        <v>5.5406592134325798</v>
      </c>
      <c r="CW223" s="326">
        <f t="shared" si="75"/>
        <v>1</v>
      </c>
      <c r="CX223" s="326"/>
      <c r="CY223" s="161" t="s">
        <v>5921</v>
      </c>
    </row>
    <row r="224" spans="1:103" ht="11.25" customHeight="1" x14ac:dyDescent="0.2">
      <c r="A224" s="72">
        <v>222</v>
      </c>
      <c r="B224" s="149">
        <v>27</v>
      </c>
      <c r="C224" s="54" t="s">
        <v>391</v>
      </c>
      <c r="D224" s="54"/>
      <c r="E224" s="59"/>
      <c r="F224" s="59" t="s">
        <v>392</v>
      </c>
      <c r="G224" s="151">
        <v>7061543</v>
      </c>
      <c r="H224" s="55" t="s">
        <v>393</v>
      </c>
      <c r="I224" s="55" t="s">
        <v>8308</v>
      </c>
      <c r="J224" s="55" t="s">
        <v>394</v>
      </c>
      <c r="K224" s="55"/>
      <c r="L224" s="64"/>
      <c r="M224" s="55"/>
      <c r="N224" s="60"/>
      <c r="O224" s="55"/>
      <c r="P224" s="67"/>
      <c r="Q224" s="67"/>
      <c r="R224" s="67"/>
      <c r="S224" s="67"/>
      <c r="T224" s="59">
        <v>436.41</v>
      </c>
      <c r="U224" s="153"/>
      <c r="V224" s="153">
        <f>1678/436.41</f>
        <v>3.8450081345523701</v>
      </c>
      <c r="W224" s="153">
        <v>4.1686938347033529</v>
      </c>
      <c r="X224" s="153">
        <f t="shared" si="79"/>
        <v>4.1686938347033529</v>
      </c>
      <c r="Y224" s="410">
        <v>4.66</v>
      </c>
      <c r="Z224" s="59">
        <v>0.72</v>
      </c>
      <c r="AA224" s="59"/>
      <c r="AB224" s="59">
        <v>0.76</v>
      </c>
      <c r="AC224" s="59">
        <v>0.63939999999999997</v>
      </c>
      <c r="AD224" s="59">
        <v>0.63</v>
      </c>
      <c r="AE224" s="59">
        <v>0.45</v>
      </c>
      <c r="AF224" s="59">
        <f t="shared" ref="AF224:AF255" si="82">IF(AA224=0,AD224,AA224)</f>
        <v>0.63</v>
      </c>
      <c r="AG224" s="68">
        <v>0.63</v>
      </c>
      <c r="AH224" s="103" t="s">
        <v>8405</v>
      </c>
      <c r="AI224" s="153"/>
      <c r="AJ224" s="62"/>
      <c r="AK224" s="62"/>
      <c r="AL224" s="62"/>
      <c r="AM224" s="62">
        <v>-36.200230000000005</v>
      </c>
      <c r="AN224" s="152"/>
      <c r="AO224" s="410">
        <v>7.15</v>
      </c>
      <c r="AP224" s="410"/>
      <c r="AQ224" s="152" t="s">
        <v>6311</v>
      </c>
      <c r="AR224" s="152" t="s">
        <v>6311</v>
      </c>
      <c r="AS224" s="149" t="s">
        <v>301</v>
      </c>
      <c r="AT224" s="58" t="s">
        <v>266</v>
      </c>
      <c r="AU224" s="155">
        <v>24</v>
      </c>
      <c r="AV224" s="155">
        <v>120</v>
      </c>
      <c r="AW224" s="155">
        <v>96</v>
      </c>
      <c r="AX224" s="155">
        <v>28</v>
      </c>
      <c r="AY224" s="155" t="s">
        <v>267</v>
      </c>
      <c r="AZ224" s="155" t="s">
        <v>268</v>
      </c>
      <c r="BA224" s="155">
        <v>48</v>
      </c>
      <c r="BB224" s="55" t="s">
        <v>269</v>
      </c>
      <c r="BC224" s="156" t="s">
        <v>270</v>
      </c>
      <c r="BD224" s="156" t="s">
        <v>8374</v>
      </c>
      <c r="BE224" s="155" t="s">
        <v>271</v>
      </c>
      <c r="BF224" s="155" t="s">
        <v>272</v>
      </c>
      <c r="BG224" s="155" t="s">
        <v>272</v>
      </c>
      <c r="BH224" s="155" t="s">
        <v>272</v>
      </c>
      <c r="BI224" s="157">
        <v>2.1166709000084668E-3</v>
      </c>
      <c r="BJ224" s="157">
        <v>2.1166709000084669</v>
      </c>
      <c r="BK224" s="56"/>
      <c r="BL224" s="103"/>
      <c r="BM224" s="56">
        <v>0</v>
      </c>
      <c r="BN224" s="56"/>
      <c r="BO224" s="56"/>
      <c r="BP224" s="56"/>
      <c r="BQ224" s="56"/>
      <c r="BR224" s="56"/>
      <c r="BS224" s="56"/>
      <c r="BT224" s="56"/>
      <c r="BU224" s="158"/>
      <c r="BV224" s="56"/>
      <c r="BW224" s="56"/>
      <c r="BX224" s="56"/>
      <c r="BY224" s="56"/>
      <c r="BZ224" s="56"/>
      <c r="CA224" s="56">
        <v>3.83</v>
      </c>
      <c r="CB224" s="56">
        <v>1.68</v>
      </c>
      <c r="CC224" s="56"/>
      <c r="CD224" s="56"/>
      <c r="CE224" s="56"/>
      <c r="CF224" s="56"/>
      <c r="CG224" s="56"/>
      <c r="CH224" s="56"/>
      <c r="CI224" s="103">
        <f t="shared" si="73"/>
        <v>1.68</v>
      </c>
      <c r="CJ224" s="103">
        <f t="shared" si="74"/>
        <v>0.22530928172586284</v>
      </c>
      <c r="CK224" s="57">
        <f t="shared" si="80"/>
        <v>0</v>
      </c>
      <c r="CL224" s="160">
        <f t="shared" si="78"/>
        <v>0</v>
      </c>
      <c r="CM224" s="160"/>
      <c r="CN224" s="160"/>
      <c r="CO224" s="55" t="s">
        <v>273</v>
      </c>
      <c r="CP224" s="156" t="s">
        <v>274</v>
      </c>
      <c r="CQ224" s="149" t="s">
        <v>272</v>
      </c>
      <c r="CR224" s="349"/>
      <c r="CS224" s="61" t="s">
        <v>539</v>
      </c>
      <c r="CT224" s="61"/>
      <c r="CU224" s="111">
        <f t="shared" si="69"/>
        <v>2.481365377799615</v>
      </c>
      <c r="CV224" s="331">
        <f t="shared" si="81"/>
        <v>1.9694577152672519</v>
      </c>
      <c r="CW224" s="326">
        <f t="shared" si="75"/>
        <v>1</v>
      </c>
      <c r="CX224" s="326"/>
      <c r="CY224" s="161" t="s">
        <v>5921</v>
      </c>
    </row>
    <row r="225" spans="1:103" ht="11.25" customHeight="1" x14ac:dyDescent="0.2">
      <c r="A225" s="72">
        <v>223</v>
      </c>
      <c r="B225" s="149">
        <v>2000</v>
      </c>
      <c r="C225" s="54" t="s">
        <v>1392</v>
      </c>
      <c r="D225" s="54" t="s">
        <v>6529</v>
      </c>
      <c r="E225" s="59"/>
      <c r="F225" s="167" t="s">
        <v>1393</v>
      </c>
      <c r="G225" s="151">
        <v>67747095</v>
      </c>
      <c r="H225" s="67" t="s">
        <v>1394</v>
      </c>
      <c r="I225" s="67" t="s">
        <v>7941</v>
      </c>
      <c r="J225" s="67" t="s">
        <v>1395</v>
      </c>
      <c r="K225" s="67" t="s">
        <v>1064</v>
      </c>
      <c r="L225" s="55" t="s">
        <v>6007</v>
      </c>
      <c r="M225" s="55" t="s">
        <v>6008</v>
      </c>
      <c r="N225" s="60" t="s">
        <v>6386</v>
      </c>
      <c r="O225" s="55" t="s">
        <v>6009</v>
      </c>
      <c r="P225" s="67"/>
      <c r="Q225" s="67"/>
      <c r="R225" s="67"/>
      <c r="S225" s="67"/>
      <c r="T225" s="61">
        <v>376.67</v>
      </c>
      <c r="U225" s="111">
        <v>9.0264687923115719E-2</v>
      </c>
      <c r="V225" s="111">
        <v>3.5681100167255157E-3</v>
      </c>
      <c r="W225" s="111">
        <v>6.6069344800759544E-2</v>
      </c>
      <c r="X225" s="111">
        <v>9.0264687923115719E-2</v>
      </c>
      <c r="Y225" s="411">
        <v>7.37</v>
      </c>
      <c r="Z225" s="61">
        <v>4.13</v>
      </c>
      <c r="AA225" s="61">
        <v>4.0999999999999996</v>
      </c>
      <c r="AB225" s="61">
        <v>4.1100000000000003</v>
      </c>
      <c r="AC225" s="61">
        <v>0.85909999999999997</v>
      </c>
      <c r="AD225" s="61">
        <v>4.08</v>
      </c>
      <c r="AE225" s="61">
        <v>3.98</v>
      </c>
      <c r="AF225" s="61">
        <f t="shared" si="82"/>
        <v>4.0999999999999996</v>
      </c>
      <c r="AG225" s="62">
        <v>4.18</v>
      </c>
      <c r="AH225" s="111">
        <v>7.5799999999999996E-12</v>
      </c>
      <c r="AI225" s="111">
        <v>1.6400000000000001E-8</v>
      </c>
      <c r="AJ225" s="62">
        <f>LOG10(AH225*1000/(0.08206*298.15))</f>
        <v>-9.508897120680599</v>
      </c>
      <c r="AK225" s="62">
        <f>LOG10(AI225*1000/(0.08206*298.15))</f>
        <v>-6.1737224782649536</v>
      </c>
      <c r="AL225" s="62">
        <f t="shared" ref="AL225:AL269" si="83">IF(AK225=0,AJ225,AK225)</f>
        <v>-6.1737224782649536</v>
      </c>
      <c r="AM225" s="62">
        <v>-16.703500000000002</v>
      </c>
      <c r="AN225" s="163">
        <v>-6.1421000000000001</v>
      </c>
      <c r="AO225" s="410"/>
      <c r="AP225" s="410">
        <v>4.84</v>
      </c>
      <c r="AQ225" s="163" t="s">
        <v>6311</v>
      </c>
      <c r="AR225" s="163" t="s">
        <v>6311</v>
      </c>
      <c r="AS225" s="164" t="s">
        <v>5466</v>
      </c>
      <c r="AT225" s="63" t="s">
        <v>266</v>
      </c>
      <c r="AU225" s="61">
        <v>1</v>
      </c>
      <c r="AV225" s="61">
        <v>96</v>
      </c>
      <c r="AW225" s="61">
        <v>95</v>
      </c>
      <c r="AX225" s="61">
        <v>27</v>
      </c>
      <c r="AY225" s="174" t="s">
        <v>6256</v>
      </c>
      <c r="AZ225" s="178" t="s">
        <v>536</v>
      </c>
      <c r="BA225" s="61">
        <v>72</v>
      </c>
      <c r="BB225" s="67" t="s">
        <v>6253</v>
      </c>
      <c r="BC225" s="67" t="s">
        <v>1584</v>
      </c>
      <c r="BD225" s="67"/>
      <c r="BE225" s="61" t="s">
        <v>271</v>
      </c>
      <c r="BF225" s="61" t="s">
        <v>272</v>
      </c>
      <c r="BG225" s="61" t="s">
        <v>272</v>
      </c>
      <c r="BH225" s="61" t="s">
        <v>2135</v>
      </c>
      <c r="BI225" s="111">
        <f>0.3/376.67</f>
        <v>7.9645312873337403E-4</v>
      </c>
      <c r="BJ225" s="111">
        <f>9.6/376.67</f>
        <v>2.5486500119467969E-2</v>
      </c>
      <c r="BK225" s="165"/>
      <c r="BL225" s="111">
        <f t="shared" ref="BL225:BL246" si="84">10^((-0.8981*Z225)+1.7108)</f>
        <v>1.0037995577353173E-2</v>
      </c>
      <c r="BM225" s="61">
        <v>10</v>
      </c>
      <c r="BN225" s="61"/>
      <c r="BO225" s="61"/>
      <c r="BP225" s="61"/>
      <c r="BQ225" s="61">
        <v>2.2599999999999999E-2</v>
      </c>
      <c r="BR225" s="61"/>
      <c r="BS225" s="61"/>
      <c r="BT225" s="61"/>
      <c r="BU225" s="158"/>
      <c r="BV225" s="61"/>
      <c r="BW225" s="61"/>
      <c r="BX225" s="61"/>
      <c r="BY225" s="61"/>
      <c r="BZ225" s="61"/>
      <c r="CA225" s="61"/>
      <c r="CB225" s="61"/>
      <c r="CC225" s="61"/>
      <c r="CD225" s="61"/>
      <c r="CE225" s="61"/>
      <c r="CF225" s="61"/>
      <c r="CG225" s="61"/>
      <c r="CH225" s="61"/>
      <c r="CI225" s="111">
        <f t="shared" si="73"/>
        <v>2.2599999999999999E-2</v>
      </c>
      <c r="CJ225" s="103">
        <f t="shared" si="74"/>
        <v>-1.645891560852599</v>
      </c>
      <c r="CK225" s="57">
        <f t="shared" si="80"/>
        <v>0.39385539522100205</v>
      </c>
      <c r="CL225" s="160">
        <f t="shared" si="78"/>
        <v>0.44415909634306078</v>
      </c>
      <c r="CM225" s="160">
        <v>-2.8102336781339785</v>
      </c>
      <c r="CN225" s="160">
        <f>BJ225/(10^CM225)</f>
        <v>16.464323058568745</v>
      </c>
      <c r="CO225" s="67"/>
      <c r="CP225" s="67" t="s">
        <v>6255</v>
      </c>
      <c r="CQ225" s="149">
        <v>-2.8102336781339785</v>
      </c>
      <c r="CR225" s="349">
        <f>10^(CJ225-CQ225)</f>
        <v>14.599639000234021</v>
      </c>
      <c r="CS225" s="61" t="s">
        <v>539</v>
      </c>
      <c r="CT225" s="61"/>
      <c r="CU225" s="111">
        <f t="shared" si="69"/>
        <v>3.9940127399608727</v>
      </c>
      <c r="CV225" s="331">
        <f t="shared" si="81"/>
        <v>3.5416666666666665</v>
      </c>
      <c r="CW225" s="326">
        <f t="shared" si="75"/>
        <v>1</v>
      </c>
      <c r="CX225" s="326"/>
      <c r="CY225" s="161" t="s">
        <v>5921</v>
      </c>
    </row>
    <row r="226" spans="1:103" ht="11.25" customHeight="1" x14ac:dyDescent="0.2">
      <c r="A226" s="72">
        <v>224</v>
      </c>
      <c r="B226" s="149">
        <v>458</v>
      </c>
      <c r="C226" s="54" t="s">
        <v>1495</v>
      </c>
      <c r="D226" s="54" t="s">
        <v>6514</v>
      </c>
      <c r="E226" s="59"/>
      <c r="F226" s="59" t="s">
        <v>1496</v>
      </c>
      <c r="G226" s="151">
        <v>28249776</v>
      </c>
      <c r="H226" s="55" t="s">
        <v>1497</v>
      </c>
      <c r="I226" s="55" t="s">
        <v>8114</v>
      </c>
      <c r="J226" s="55" t="s">
        <v>1498</v>
      </c>
      <c r="K226" s="55" t="s">
        <v>1499</v>
      </c>
      <c r="L226" s="55" t="s">
        <v>5248</v>
      </c>
      <c r="M226" s="55" t="s">
        <v>6082</v>
      </c>
      <c r="N226" s="60" t="s">
        <v>6082</v>
      </c>
      <c r="O226" s="55" t="s">
        <v>6083</v>
      </c>
      <c r="P226" s="67"/>
      <c r="Q226" s="67"/>
      <c r="R226" s="67"/>
      <c r="S226" s="67"/>
      <c r="T226" s="56">
        <v>257.77999999999997</v>
      </c>
      <c r="U226" s="103">
        <v>0.10861975327798899</v>
      </c>
      <c r="V226" s="103">
        <v>0.10369307161145164</v>
      </c>
      <c r="W226" s="103">
        <v>9.1201083935590926E-2</v>
      </c>
      <c r="X226" s="103">
        <v>0.10861975327798899</v>
      </c>
      <c r="Y226" s="162">
        <v>7</v>
      </c>
      <c r="Z226" s="56">
        <v>3.9</v>
      </c>
      <c r="AA226" s="56">
        <v>3.4</v>
      </c>
      <c r="AB226" s="56">
        <v>3.23</v>
      </c>
      <c r="AC226" s="56">
        <v>0.86609999999999998</v>
      </c>
      <c r="AD226" s="56">
        <v>3.3</v>
      </c>
      <c r="AE226" s="56">
        <v>3.53</v>
      </c>
      <c r="AF226" s="56">
        <f t="shared" si="82"/>
        <v>3.4</v>
      </c>
      <c r="AG226" s="57">
        <v>3.65</v>
      </c>
      <c r="AH226" s="103">
        <v>3.9299999999999999E-7</v>
      </c>
      <c r="AI226" s="103">
        <v>2.67E-7</v>
      </c>
      <c r="AJ226" s="62">
        <f>LOG10(AH226*1000/(0.08206*298.15))</f>
        <v>-4.7941737759372254</v>
      </c>
      <c r="AK226" s="62">
        <f>LOG10(AI226*1000/(0.08206*298.15))</f>
        <v>-4.9620550649480766</v>
      </c>
      <c r="AL226" s="62">
        <f t="shared" si="83"/>
        <v>-4.9620550649480766</v>
      </c>
      <c r="AM226" s="62">
        <v>-10.805289999999999</v>
      </c>
      <c r="AN226" s="154">
        <v>-5.23</v>
      </c>
      <c r="AO226" s="410"/>
      <c r="AP226" s="410">
        <v>-1.26</v>
      </c>
      <c r="AQ226" s="154" t="s">
        <v>6311</v>
      </c>
      <c r="AR226" s="154" t="s">
        <v>6311</v>
      </c>
      <c r="AS226" s="149" t="s">
        <v>6</v>
      </c>
      <c r="AT226" s="58" t="s">
        <v>266</v>
      </c>
      <c r="AU226" s="56">
        <v>8</v>
      </c>
      <c r="AV226" s="56">
        <v>144</v>
      </c>
      <c r="AW226" s="56">
        <v>120</v>
      </c>
      <c r="AX226" s="56">
        <v>26</v>
      </c>
      <c r="AY226" s="56" t="s">
        <v>267</v>
      </c>
      <c r="AZ226" s="56" t="s">
        <v>268</v>
      </c>
      <c r="BA226" s="56">
        <v>4</v>
      </c>
      <c r="BB226" s="55" t="s">
        <v>888</v>
      </c>
      <c r="BC226" s="55" t="s">
        <v>270</v>
      </c>
      <c r="BD226" s="55" t="s">
        <v>8374</v>
      </c>
      <c r="BE226" s="56" t="s">
        <v>889</v>
      </c>
      <c r="BF226" s="56" t="s">
        <v>272</v>
      </c>
      <c r="BG226" s="56" t="s">
        <v>272</v>
      </c>
      <c r="BH226" s="56" t="s">
        <v>890</v>
      </c>
      <c r="BI226" s="103">
        <v>9.9999999999999995E-7</v>
      </c>
      <c r="BJ226" s="103">
        <v>0.08</v>
      </c>
      <c r="BK226" s="56"/>
      <c r="BL226" s="103">
        <f t="shared" si="84"/>
        <v>1.6151393571555046E-2</v>
      </c>
      <c r="BM226" s="56" t="s">
        <v>891</v>
      </c>
      <c r="BN226" s="162"/>
      <c r="BO226" s="162"/>
      <c r="BP226" s="162"/>
      <c r="BQ226" s="162"/>
      <c r="BR226" s="162"/>
      <c r="BS226" s="172">
        <v>2.215E-2</v>
      </c>
      <c r="BT226" s="162"/>
      <c r="BU226" s="173"/>
      <c r="BV226" s="162"/>
      <c r="BW226" s="162"/>
      <c r="BX226" s="162"/>
      <c r="BY226" s="162"/>
      <c r="BZ226" s="162"/>
      <c r="CA226" s="162"/>
      <c r="CB226" s="162"/>
      <c r="CC226" s="172"/>
      <c r="CD226" s="56"/>
      <c r="CE226" s="56"/>
      <c r="CF226" s="56"/>
      <c r="CG226" s="56"/>
      <c r="CH226" s="172"/>
      <c r="CI226" s="103">
        <f t="shared" si="73"/>
        <v>2.215E-2</v>
      </c>
      <c r="CJ226" s="103">
        <f t="shared" si="74"/>
        <v>-1.6546262694409117</v>
      </c>
      <c r="CK226" s="57">
        <f t="shared" si="80"/>
        <v>0.20189241964443808</v>
      </c>
      <c r="CL226" s="160">
        <f t="shared" si="78"/>
        <v>0.72918255402054388</v>
      </c>
      <c r="CM226" s="160">
        <v>-2.3642918721899253</v>
      </c>
      <c r="CN226" s="160">
        <f>BJ226/(10^CM226)</f>
        <v>18.508953279801659</v>
      </c>
      <c r="CO226" s="55" t="s">
        <v>892</v>
      </c>
      <c r="CP226" s="55" t="s">
        <v>893</v>
      </c>
      <c r="CQ226" s="149">
        <v>-2.3192510579013801</v>
      </c>
      <c r="CR226" s="349">
        <f>10^(CJ226-CQ226)</f>
        <v>4.61981716827162</v>
      </c>
      <c r="CS226" s="61" t="s">
        <v>539</v>
      </c>
      <c r="CT226" s="61"/>
      <c r="CU226" s="111">
        <f t="shared" si="69"/>
        <v>4.903826333092054</v>
      </c>
      <c r="CV226" s="331">
        <f t="shared" si="81"/>
        <v>1.3577469159748623</v>
      </c>
      <c r="CW226" s="326">
        <f t="shared" si="75"/>
        <v>1</v>
      </c>
      <c r="CX226" s="326" t="s">
        <v>539</v>
      </c>
      <c r="CY226" s="161" t="s">
        <v>5921</v>
      </c>
    </row>
    <row r="227" spans="1:103" ht="11.25" customHeight="1" x14ac:dyDescent="0.2">
      <c r="A227" s="72">
        <v>225</v>
      </c>
      <c r="B227" s="149">
        <v>37</v>
      </c>
      <c r="C227" s="54" t="s">
        <v>431</v>
      </c>
      <c r="D227" s="54"/>
      <c r="E227" s="59"/>
      <c r="F227" s="59" t="s">
        <v>432</v>
      </c>
      <c r="G227" s="151">
        <v>9005656</v>
      </c>
      <c r="H227" s="55" t="s">
        <v>433</v>
      </c>
      <c r="I227" s="55" t="s">
        <v>8309</v>
      </c>
      <c r="J227" s="55" t="s">
        <v>434</v>
      </c>
      <c r="K227" s="55" t="s">
        <v>357</v>
      </c>
      <c r="L227" s="64"/>
      <c r="M227" s="55"/>
      <c r="N227" s="60"/>
      <c r="O227" s="55"/>
      <c r="P227" s="67"/>
      <c r="Q227" s="67"/>
      <c r="R227" s="67"/>
      <c r="S227" s="67"/>
      <c r="T227" s="59">
        <v>1089.3900000000001</v>
      </c>
      <c r="U227" s="153"/>
      <c r="V227" s="103">
        <v>1.8349718649886633E-5</v>
      </c>
      <c r="W227" s="103">
        <v>912.01083935590964</v>
      </c>
      <c r="X227" s="103">
        <f>IF(W227=0,V227,W227)</f>
        <v>912.01083935590964</v>
      </c>
      <c r="Y227" s="410">
        <v>6.83</v>
      </c>
      <c r="Z227" s="59">
        <v>0.7</v>
      </c>
      <c r="AA227" s="59"/>
      <c r="AB227" s="59">
        <v>5.17</v>
      </c>
      <c r="AC227" s="59">
        <v>0.57920000000000005</v>
      </c>
      <c r="AD227" s="59">
        <v>3.56</v>
      </c>
      <c r="AE227" s="59">
        <v>1.05</v>
      </c>
      <c r="AF227" s="59">
        <f t="shared" si="82"/>
        <v>3.56</v>
      </c>
      <c r="AG227" s="57">
        <v>5.19</v>
      </c>
      <c r="AH227" s="103">
        <v>1.05E-39</v>
      </c>
      <c r="AI227" s="103"/>
      <c r="AJ227" s="62">
        <f t="shared" ref="AJ227:AJ269" si="85">LOG10(AH227*1000/(0.08206*298.15))</f>
        <v>-37.367377027242711</v>
      </c>
      <c r="AK227" s="62"/>
      <c r="AL227" s="62">
        <f t="shared" si="83"/>
        <v>-37.367377027242711</v>
      </c>
      <c r="AM227" s="62">
        <v>-46.398559999999996</v>
      </c>
      <c r="AN227" s="154">
        <v>-17.2</v>
      </c>
      <c r="AO227" s="410">
        <v>13.88</v>
      </c>
      <c r="AP227" s="410"/>
      <c r="AQ227" s="154" t="s">
        <v>6311</v>
      </c>
      <c r="AR227" s="154" t="s">
        <v>6312</v>
      </c>
      <c r="AS227" s="149" t="s">
        <v>301</v>
      </c>
      <c r="AT227" s="58" t="s">
        <v>266</v>
      </c>
      <c r="AU227" s="155">
        <v>24</v>
      </c>
      <c r="AV227" s="155">
        <v>120</v>
      </c>
      <c r="AW227" s="155">
        <v>96</v>
      </c>
      <c r="AX227" s="155">
        <v>28</v>
      </c>
      <c r="AY227" s="155" t="s">
        <v>267</v>
      </c>
      <c r="AZ227" s="155" t="s">
        <v>268</v>
      </c>
      <c r="BA227" s="155">
        <v>48</v>
      </c>
      <c r="BB227" s="55" t="s">
        <v>269</v>
      </c>
      <c r="BC227" s="156" t="s">
        <v>270</v>
      </c>
      <c r="BD227" s="156" t="s">
        <v>8374</v>
      </c>
      <c r="BE227" s="155" t="s">
        <v>271</v>
      </c>
      <c r="BF227" s="155" t="s">
        <v>272</v>
      </c>
      <c r="BG227" s="155" t="s">
        <v>272</v>
      </c>
      <c r="BH227" s="155" t="s">
        <v>272</v>
      </c>
      <c r="BI227" s="157">
        <v>7.6335877862595419E-4</v>
      </c>
      <c r="BJ227" s="157">
        <v>0.76335877862595425</v>
      </c>
      <c r="BK227" s="56"/>
      <c r="BL227" s="103">
        <f t="shared" si="84"/>
        <v>12.081754314606334</v>
      </c>
      <c r="BM227" s="56">
        <v>0</v>
      </c>
      <c r="BN227" s="56"/>
      <c r="BO227" s="56"/>
      <c r="BP227" s="56"/>
      <c r="BQ227" s="56"/>
      <c r="BR227" s="56"/>
      <c r="BS227" s="56"/>
      <c r="BT227" s="56"/>
      <c r="BU227" s="158"/>
      <c r="BV227" s="56"/>
      <c r="BW227" s="56"/>
      <c r="BX227" s="56"/>
      <c r="BY227" s="56">
        <v>0.55000000000000004</v>
      </c>
      <c r="BZ227" s="56">
        <v>0.55000000000000004</v>
      </c>
      <c r="CA227" s="56">
        <v>0.53</v>
      </c>
      <c r="CB227" s="56">
        <v>0.25</v>
      </c>
      <c r="CC227" s="56"/>
      <c r="CD227" s="56"/>
      <c r="CE227" s="56"/>
      <c r="CF227" s="56"/>
      <c r="CG227" s="56"/>
      <c r="CH227" s="56"/>
      <c r="CI227" s="103">
        <f t="shared" si="73"/>
        <v>0.25</v>
      </c>
      <c r="CJ227" s="103">
        <f t="shared" si="74"/>
        <v>-0.6020599913279624</v>
      </c>
      <c r="CK227" s="57">
        <f t="shared" si="80"/>
        <v>15.827098152134296</v>
      </c>
      <c r="CL227" s="160">
        <f t="shared" si="78"/>
        <v>48.327017258425336</v>
      </c>
      <c r="CM227" s="160"/>
      <c r="CN227" s="160"/>
      <c r="CO227" s="55" t="s">
        <v>273</v>
      </c>
      <c r="CP227" s="156" t="s">
        <v>274</v>
      </c>
      <c r="CQ227" s="149" t="s">
        <v>272</v>
      </c>
      <c r="CR227" s="349"/>
      <c r="CS227" s="61" t="s">
        <v>539</v>
      </c>
      <c r="CT227" s="61"/>
      <c r="CU227" s="111">
        <f t="shared" si="69"/>
        <v>3648.0433574236386</v>
      </c>
      <c r="CV227" s="331">
        <f t="shared" si="81"/>
        <v>1194.7341995562415</v>
      </c>
      <c r="CW227" s="326">
        <f t="shared" si="75"/>
        <v>1</v>
      </c>
      <c r="CX227" s="326"/>
      <c r="CY227" s="161" t="s">
        <v>6351</v>
      </c>
    </row>
    <row r="228" spans="1:103" ht="11.25" customHeight="1" x14ac:dyDescent="0.2">
      <c r="A228" s="72">
        <v>226</v>
      </c>
      <c r="B228" s="149">
        <v>24</v>
      </c>
      <c r="C228" s="54" t="s">
        <v>381</v>
      </c>
      <c r="D228" s="54"/>
      <c r="E228" s="59"/>
      <c r="F228" s="59" t="s">
        <v>382</v>
      </c>
      <c r="G228" s="151">
        <v>10236472</v>
      </c>
      <c r="H228" s="55" t="s">
        <v>383</v>
      </c>
      <c r="I228" s="55" t="s">
        <v>8310</v>
      </c>
      <c r="J228" s="55" t="s">
        <v>384</v>
      </c>
      <c r="K228" s="55" t="s">
        <v>376</v>
      </c>
      <c r="L228" s="64"/>
      <c r="M228" s="55"/>
      <c r="N228" s="60"/>
      <c r="O228" s="55"/>
      <c r="P228" s="67"/>
      <c r="Q228" s="67"/>
      <c r="R228" s="67"/>
      <c r="S228" s="67"/>
      <c r="T228" s="59">
        <v>580.53</v>
      </c>
      <c r="U228" s="153">
        <v>1.7225638640552599</v>
      </c>
      <c r="V228" s="153">
        <v>3.3521092794515357</v>
      </c>
      <c r="W228" s="153">
        <v>3.9810717055349637E-2</v>
      </c>
      <c r="X228" s="153">
        <v>1.7225638640552599</v>
      </c>
      <c r="Y228" s="410">
        <v>5.79</v>
      </c>
      <c r="Z228" s="59">
        <v>-0.52</v>
      </c>
      <c r="AA228" s="59">
        <v>-0.44</v>
      </c>
      <c r="AB228" s="59">
        <v>-0.28000000000000003</v>
      </c>
      <c r="AC228" s="59">
        <v>0.82450000000000001</v>
      </c>
      <c r="AD228" s="59">
        <v>0.39</v>
      </c>
      <c r="AE228" s="59">
        <v>2.73</v>
      </c>
      <c r="AF228" s="59">
        <f t="shared" si="82"/>
        <v>-0.44</v>
      </c>
      <c r="AG228" s="57">
        <v>0.39</v>
      </c>
      <c r="AH228" s="103">
        <v>7.5599999999999997E-32</v>
      </c>
      <c r="AI228" s="103"/>
      <c r="AJ228" s="62">
        <f t="shared" si="85"/>
        <v>-29.510044530811445</v>
      </c>
      <c r="AK228" s="62"/>
      <c r="AL228" s="62">
        <f t="shared" si="83"/>
        <v>-29.510044530811445</v>
      </c>
      <c r="AM228" s="62">
        <v>-44.709600000000002</v>
      </c>
      <c r="AN228" s="154"/>
      <c r="AO228" s="410">
        <v>7.17</v>
      </c>
      <c r="AP228" s="410"/>
      <c r="AQ228" s="154" t="s">
        <v>6311</v>
      </c>
      <c r="AR228" s="154" t="s">
        <v>6311</v>
      </c>
      <c r="AS228" s="149" t="s">
        <v>282</v>
      </c>
      <c r="AT228" s="58" t="s">
        <v>266</v>
      </c>
      <c r="AU228" s="155">
        <v>24</v>
      </c>
      <c r="AV228" s="155">
        <v>120</v>
      </c>
      <c r="AW228" s="155">
        <v>96</v>
      </c>
      <c r="AX228" s="155">
        <v>28</v>
      </c>
      <c r="AY228" s="155" t="s">
        <v>267</v>
      </c>
      <c r="AZ228" s="155" t="s">
        <v>268</v>
      </c>
      <c r="BA228" s="155">
        <v>48</v>
      </c>
      <c r="BB228" s="55" t="s">
        <v>269</v>
      </c>
      <c r="BC228" s="156" t="s">
        <v>270</v>
      </c>
      <c r="BD228" s="156" t="s">
        <v>8374</v>
      </c>
      <c r="BE228" s="155" t="s">
        <v>271</v>
      </c>
      <c r="BF228" s="155" t="s">
        <v>272</v>
      </c>
      <c r="BG228" s="155" t="s">
        <v>272</v>
      </c>
      <c r="BH228" s="155" t="s">
        <v>272</v>
      </c>
      <c r="BI228" s="157">
        <v>1.7225638640552599E-3</v>
      </c>
      <c r="BJ228" s="157">
        <v>1.7225638640552599</v>
      </c>
      <c r="BK228" s="56"/>
      <c r="BL228" s="103">
        <f t="shared" si="84"/>
        <v>150.59550182254813</v>
      </c>
      <c r="BM228" s="56">
        <v>0</v>
      </c>
      <c r="BN228" s="56"/>
      <c r="BO228" s="56"/>
      <c r="BP228" s="56"/>
      <c r="BQ228" s="56"/>
      <c r="BR228" s="56"/>
      <c r="BS228" s="56"/>
      <c r="BT228" s="56"/>
      <c r="BU228" s="158"/>
      <c r="BV228" s="56"/>
      <c r="BW228" s="56"/>
      <c r="BX228" s="56"/>
      <c r="BY228" s="56"/>
      <c r="BZ228" s="56"/>
      <c r="CA228" s="56">
        <v>0.62</v>
      </c>
      <c r="CB228" s="56">
        <v>1.46</v>
      </c>
      <c r="CC228" s="56"/>
      <c r="CD228" s="56"/>
      <c r="CE228" s="56"/>
      <c r="CF228" s="56"/>
      <c r="CG228" s="56"/>
      <c r="CH228" s="56"/>
      <c r="CI228" s="103">
        <f t="shared" si="73"/>
        <v>0.62</v>
      </c>
      <c r="CJ228" s="103">
        <f t="shared" si="74"/>
        <v>-0.20760831050174613</v>
      </c>
      <c r="CK228" s="57">
        <f t="shared" si="80"/>
        <v>87.42520667304386</v>
      </c>
      <c r="CL228" s="160">
        <f t="shared" si="78"/>
        <v>242.89597068152923</v>
      </c>
      <c r="CM228" s="160"/>
      <c r="CN228" s="160"/>
      <c r="CO228" s="55" t="s">
        <v>273</v>
      </c>
      <c r="CP228" s="156" t="s">
        <v>274</v>
      </c>
      <c r="CQ228" s="149" t="s">
        <v>272</v>
      </c>
      <c r="CR228" s="349"/>
      <c r="CS228" s="61" t="s">
        <v>539</v>
      </c>
      <c r="CT228" s="61"/>
      <c r="CU228" s="111">
        <f t="shared" si="69"/>
        <v>2.7783288129923545</v>
      </c>
      <c r="CV228" s="331">
        <f t="shared" si="81"/>
        <v>1</v>
      </c>
      <c r="CW228" s="326">
        <f t="shared" si="75"/>
        <v>1</v>
      </c>
      <c r="CX228" s="326"/>
      <c r="CY228" s="161" t="s">
        <v>5921</v>
      </c>
    </row>
    <row r="229" spans="1:103" ht="11.25" customHeight="1" x14ac:dyDescent="0.2">
      <c r="A229" s="72">
        <v>227</v>
      </c>
      <c r="B229" s="149">
        <v>26</v>
      </c>
      <c r="C229" s="54" t="s">
        <v>388</v>
      </c>
      <c r="D229" s="54"/>
      <c r="E229" s="59"/>
      <c r="F229" s="150" t="str">
        <f>HYPERLINK("http://www.sigmaaldrich.com/catalog/Lookup.do?N5=CAS+No.&amp;N3=mode+matchpartialmax&amp;N4=11018-89-6&amp;D7=0&amp;D10=&amp;N25=0&amp;N1=S_ID&amp;ST=RS&amp;F=PR","11018-89-6")</f>
        <v>11018-89-6</v>
      </c>
      <c r="G229" s="151">
        <v>11018896</v>
      </c>
      <c r="H229" s="55" t="s">
        <v>389</v>
      </c>
      <c r="I229" s="55" t="s">
        <v>8311</v>
      </c>
      <c r="J229" s="55" t="s">
        <v>390</v>
      </c>
      <c r="K229" s="55" t="s">
        <v>361</v>
      </c>
      <c r="L229" s="64"/>
      <c r="M229" s="55"/>
      <c r="N229" s="60"/>
      <c r="O229" s="55"/>
      <c r="P229" s="67"/>
      <c r="Q229" s="67"/>
      <c r="R229" s="67"/>
      <c r="S229" s="67"/>
      <c r="T229" s="59">
        <v>584.65</v>
      </c>
      <c r="U229" s="153">
        <v>22.748653040280512</v>
      </c>
      <c r="V229" s="153">
        <v>17.68579492003763</v>
      </c>
      <c r="W229" s="153">
        <v>0.95499258602143544</v>
      </c>
      <c r="X229" s="153">
        <v>22.748653040280512</v>
      </c>
      <c r="Y229" s="410">
        <v>7</v>
      </c>
      <c r="Z229" s="59">
        <v>-2.83</v>
      </c>
      <c r="AA229" s="59">
        <v>-2</v>
      </c>
      <c r="AB229" s="59">
        <v>-1.56</v>
      </c>
      <c r="AC229" s="59">
        <v>0.7994</v>
      </c>
      <c r="AD229" s="59">
        <v>-1.58</v>
      </c>
      <c r="AE229" s="59">
        <v>-1.64</v>
      </c>
      <c r="AF229" s="59">
        <f t="shared" si="82"/>
        <v>-2</v>
      </c>
      <c r="AG229" s="57">
        <v>-1.58</v>
      </c>
      <c r="AH229" s="103">
        <v>1.7700000000000001E-22</v>
      </c>
      <c r="AI229" s="103"/>
      <c r="AJ229" s="62">
        <f t="shared" si="85"/>
        <v>-20.140593059950845</v>
      </c>
      <c r="AK229" s="62"/>
      <c r="AL229" s="62">
        <f t="shared" si="83"/>
        <v>-20.140593059950845</v>
      </c>
      <c r="AM229" s="62">
        <v>-44.8</v>
      </c>
      <c r="AN229" s="154"/>
      <c r="AO229" s="410">
        <v>13.04</v>
      </c>
      <c r="AP229" s="410"/>
      <c r="AQ229" s="154" t="s">
        <v>6311</v>
      </c>
      <c r="AR229" s="154" t="s">
        <v>6311</v>
      </c>
      <c r="AS229" s="149" t="s">
        <v>282</v>
      </c>
      <c r="AT229" s="58" t="s">
        <v>266</v>
      </c>
      <c r="AU229" s="155">
        <v>24</v>
      </c>
      <c r="AV229" s="155">
        <v>120</v>
      </c>
      <c r="AW229" s="155">
        <v>96</v>
      </c>
      <c r="AX229" s="155">
        <v>28</v>
      </c>
      <c r="AY229" s="155" t="s">
        <v>267</v>
      </c>
      <c r="AZ229" s="155" t="s">
        <v>268</v>
      </c>
      <c r="BA229" s="155">
        <v>48</v>
      </c>
      <c r="BB229" s="55" t="s">
        <v>269</v>
      </c>
      <c r="BC229" s="156" t="s">
        <v>270</v>
      </c>
      <c r="BD229" s="156" t="s">
        <v>8374</v>
      </c>
      <c r="BE229" s="155" t="s">
        <v>271</v>
      </c>
      <c r="BF229" s="155" t="s">
        <v>272</v>
      </c>
      <c r="BG229" s="155" t="s">
        <v>272</v>
      </c>
      <c r="BH229" s="155" t="s">
        <v>272</v>
      </c>
      <c r="BI229" s="157">
        <v>1.7104542966611931E-3</v>
      </c>
      <c r="BJ229" s="157">
        <v>1.7104542966611933</v>
      </c>
      <c r="BK229" s="56"/>
      <c r="BL229" s="103">
        <f t="shared" si="84"/>
        <v>17882.28449790478</v>
      </c>
      <c r="BM229" s="56">
        <v>0</v>
      </c>
      <c r="BN229" s="56"/>
      <c r="BO229" s="56"/>
      <c r="BP229" s="56"/>
      <c r="BQ229" s="56"/>
      <c r="BR229" s="56"/>
      <c r="BS229" s="56"/>
      <c r="BT229" s="56"/>
      <c r="BU229" s="158"/>
      <c r="BV229" s="56"/>
      <c r="BW229" s="56"/>
      <c r="BX229" s="56"/>
      <c r="BY229" s="56"/>
      <c r="BZ229" s="56">
        <v>2.04</v>
      </c>
      <c r="CA229" s="56">
        <v>0.55000000000000004</v>
      </c>
      <c r="CB229" s="56">
        <v>0.25</v>
      </c>
      <c r="CC229" s="56"/>
      <c r="CD229" s="56"/>
      <c r="CE229" s="56"/>
      <c r="CF229" s="56"/>
      <c r="CG229" s="56"/>
      <c r="CH229" s="56"/>
      <c r="CI229" s="103">
        <f t="shared" si="73"/>
        <v>0.25</v>
      </c>
      <c r="CJ229" s="103">
        <f t="shared" si="74"/>
        <v>-0.6020599913279624</v>
      </c>
      <c r="CK229" s="57">
        <f t="shared" si="80"/>
        <v>10454.69880885505</v>
      </c>
      <c r="CL229" s="160">
        <f t="shared" si="78"/>
        <v>71529.137991619122</v>
      </c>
      <c r="CM229" s="160"/>
      <c r="CN229" s="160"/>
      <c r="CO229" s="55" t="s">
        <v>273</v>
      </c>
      <c r="CP229" s="156" t="s">
        <v>274</v>
      </c>
      <c r="CQ229" s="149" t="s">
        <v>272</v>
      </c>
      <c r="CR229" s="349"/>
      <c r="CS229" s="61" t="s">
        <v>539</v>
      </c>
      <c r="CT229" s="61"/>
      <c r="CU229" s="111">
        <f t="shared" si="69"/>
        <v>90.994612161122049</v>
      </c>
      <c r="CV229" s="331">
        <f t="shared" si="81"/>
        <v>13.299772513469598</v>
      </c>
      <c r="CW229" s="326">
        <f t="shared" si="75"/>
        <v>1</v>
      </c>
      <c r="CX229" s="326"/>
      <c r="CY229" s="161" t="s">
        <v>5921</v>
      </c>
    </row>
    <row r="230" spans="1:103" ht="11.25" customHeight="1" x14ac:dyDescent="0.2">
      <c r="A230" s="72">
        <v>228</v>
      </c>
      <c r="B230" s="149">
        <v>758</v>
      </c>
      <c r="C230" s="54" t="s">
        <v>977</v>
      </c>
      <c r="D230" s="54" t="s">
        <v>6447</v>
      </c>
      <c r="E230" s="59"/>
      <c r="F230" s="59" t="s">
        <v>978</v>
      </c>
      <c r="G230" s="151">
        <v>80057</v>
      </c>
      <c r="H230" s="55" t="s">
        <v>979</v>
      </c>
      <c r="I230" s="55" t="s">
        <v>979</v>
      </c>
      <c r="J230" s="55" t="s">
        <v>980</v>
      </c>
      <c r="K230" s="55" t="s">
        <v>376</v>
      </c>
      <c r="L230" s="55" t="s">
        <v>5527</v>
      </c>
      <c r="M230" s="55" t="s">
        <v>602</v>
      </c>
      <c r="N230" s="60" t="s">
        <v>6386</v>
      </c>
      <c r="O230" s="55" t="s">
        <v>981</v>
      </c>
      <c r="P230" s="67"/>
      <c r="Q230" s="67"/>
      <c r="R230" s="67"/>
      <c r="S230" s="67"/>
      <c r="T230" s="56">
        <v>228.29</v>
      </c>
      <c r="U230" s="103">
        <v>0.52564720311884006</v>
      </c>
      <c r="V230" s="103">
        <v>0.75649393315519731</v>
      </c>
      <c r="W230" s="103">
        <v>0.38904514499428011</v>
      </c>
      <c r="X230" s="103">
        <v>0.52564720311884006</v>
      </c>
      <c r="Y230" s="162">
        <v>6.76</v>
      </c>
      <c r="Z230" s="56">
        <v>3.64</v>
      </c>
      <c r="AA230" s="56">
        <v>3.32</v>
      </c>
      <c r="AB230" s="56">
        <v>3.73</v>
      </c>
      <c r="AC230" s="56">
        <v>0.77510000000000001</v>
      </c>
      <c r="AD230" s="56">
        <v>3.63</v>
      </c>
      <c r="AE230" s="56">
        <v>3.43</v>
      </c>
      <c r="AF230" s="56">
        <f t="shared" si="82"/>
        <v>3.32</v>
      </c>
      <c r="AG230" s="57">
        <v>3.7</v>
      </c>
      <c r="AH230" s="103">
        <v>9.1600000000000006E-12</v>
      </c>
      <c r="AI230" s="103"/>
      <c r="AJ230" s="62">
        <f t="shared" si="85"/>
        <v>-9.4266708526448006</v>
      </c>
      <c r="AK230" s="62"/>
      <c r="AL230" s="62">
        <f t="shared" si="83"/>
        <v>-9.4266708526448006</v>
      </c>
      <c r="AM230" s="62">
        <v>-13.641390000000001</v>
      </c>
      <c r="AN230" s="154">
        <v>-10.199999999999999</v>
      </c>
      <c r="AO230" s="410">
        <v>10.29</v>
      </c>
      <c r="AP230" s="410"/>
      <c r="AQ230" s="154" t="s">
        <v>6311</v>
      </c>
      <c r="AR230" s="154" t="s">
        <v>6311</v>
      </c>
      <c r="AS230" s="149" t="s">
        <v>6</v>
      </c>
      <c r="AT230" s="58" t="s">
        <v>266</v>
      </c>
      <c r="AU230" s="56">
        <v>2</v>
      </c>
      <c r="AV230" s="56">
        <v>120</v>
      </c>
      <c r="AW230" s="56">
        <v>120</v>
      </c>
      <c r="AX230" s="56" t="s">
        <v>2137</v>
      </c>
      <c r="AY230" s="56" t="s">
        <v>8722</v>
      </c>
      <c r="AZ230" s="56" t="s">
        <v>2138</v>
      </c>
      <c r="BA230" s="56">
        <v>25</v>
      </c>
      <c r="BB230" s="55" t="s">
        <v>2139</v>
      </c>
      <c r="BC230" s="55" t="s">
        <v>2140</v>
      </c>
      <c r="BD230" s="55"/>
      <c r="BE230" s="56" t="s">
        <v>271</v>
      </c>
      <c r="BF230" s="56" t="s">
        <v>272</v>
      </c>
      <c r="BG230" s="56" t="s">
        <v>272</v>
      </c>
      <c r="BH230" s="56" t="s">
        <v>2141</v>
      </c>
      <c r="BI230" s="157">
        <v>2.1901966796618339E-3</v>
      </c>
      <c r="BJ230" s="157">
        <v>4.3803933593236671E-2</v>
      </c>
      <c r="BK230" s="56"/>
      <c r="BL230" s="103">
        <f t="shared" si="84"/>
        <v>2.7651328392176541E-2</v>
      </c>
      <c r="BM230" s="56" t="s">
        <v>2046</v>
      </c>
      <c r="BN230" s="56"/>
      <c r="BO230" s="56"/>
      <c r="BP230" s="56"/>
      <c r="BQ230" s="56"/>
      <c r="BR230" s="56">
        <v>2.1901966796618336E-2</v>
      </c>
      <c r="BS230" s="56"/>
      <c r="BT230" s="56"/>
      <c r="BU230" s="158"/>
      <c r="BV230" s="56"/>
      <c r="BW230" s="56"/>
      <c r="BX230" s="56"/>
      <c r="BY230" s="56"/>
      <c r="BZ230" s="56"/>
      <c r="CA230" s="56"/>
      <c r="CB230" s="56"/>
      <c r="CC230" s="56"/>
      <c r="CD230" s="56"/>
      <c r="CE230" s="56"/>
      <c r="CF230" s="56"/>
      <c r="CG230" s="56"/>
      <c r="CH230" s="56"/>
      <c r="CI230" s="103">
        <f t="shared" si="73"/>
        <v>2.1901966796618336E-2</v>
      </c>
      <c r="CJ230" s="103">
        <f t="shared" si="74"/>
        <v>-1.6595168837642178</v>
      </c>
      <c r="CK230" s="57">
        <f t="shared" si="80"/>
        <v>0.63125217586499827</v>
      </c>
      <c r="CL230" s="160">
        <f t="shared" si="78"/>
        <v>1.2625043517299965</v>
      </c>
      <c r="CM230" s="160">
        <v>-1.6910590432915908</v>
      </c>
      <c r="CN230" s="160">
        <f>BJ230/(10^CM230)</f>
        <v>2.1506619680967018</v>
      </c>
      <c r="CO230" s="55"/>
      <c r="CP230" s="55" t="s">
        <v>2142</v>
      </c>
      <c r="CQ230" s="149">
        <v>-1.5944922590022019</v>
      </c>
      <c r="CR230" s="349">
        <f>10^(CJ230-CQ230)</f>
        <v>0.86094493469770417</v>
      </c>
      <c r="CS230" s="61" t="s">
        <v>539</v>
      </c>
      <c r="CT230" s="61"/>
      <c r="CU230" s="111">
        <f t="shared" si="69"/>
        <v>24</v>
      </c>
      <c r="CV230" s="331">
        <f t="shared" si="81"/>
        <v>12</v>
      </c>
      <c r="CW230" s="326">
        <f t="shared" si="75"/>
        <v>1</v>
      </c>
      <c r="CX230" s="326"/>
      <c r="CY230" s="161" t="s">
        <v>6351</v>
      </c>
    </row>
    <row r="231" spans="1:103" ht="11.25" customHeight="1" x14ac:dyDescent="0.2">
      <c r="A231" s="72">
        <v>229</v>
      </c>
      <c r="B231" s="149">
        <v>25</v>
      </c>
      <c r="C231" s="54" t="s">
        <v>385</v>
      </c>
      <c r="D231" s="54"/>
      <c r="E231" s="59"/>
      <c r="F231" s="150" t="str">
        <f>HYPERLINK("http://www.sigmaaldrich.com/catalog/Lookup.do?N5=CAS+No.&amp;N3=mode+matchpartialmax&amp;N4=13241-33-3&amp;D7=0&amp;D10=&amp;N25=0&amp;N1=S_ID&amp;ST=RS&amp;F=PR","13241-33-3")</f>
        <v>13241-33-3</v>
      </c>
      <c r="G231" s="151">
        <v>13241333</v>
      </c>
      <c r="H231" s="55" t="s">
        <v>386</v>
      </c>
      <c r="I231" s="55" t="s">
        <v>8312</v>
      </c>
      <c r="J231" s="55" t="s">
        <v>387</v>
      </c>
      <c r="K231" s="55" t="s">
        <v>376</v>
      </c>
      <c r="L231" s="64"/>
      <c r="M231" s="55"/>
      <c r="N231" s="60"/>
      <c r="O231" s="55"/>
      <c r="P231" s="67"/>
      <c r="Q231" s="67"/>
      <c r="R231" s="67"/>
      <c r="S231" s="67"/>
      <c r="T231" s="59">
        <v>610.55999999999995</v>
      </c>
      <c r="U231" s="153"/>
      <c r="V231" s="153">
        <v>3.3428328092243191</v>
      </c>
      <c r="W231" s="153">
        <v>4.265795188015923E-2</v>
      </c>
      <c r="X231" s="153">
        <f>IF(W231=0,V231,W231)</f>
        <v>4.265795188015923E-2</v>
      </c>
      <c r="Y231" s="410">
        <v>5.76</v>
      </c>
      <c r="Z231" s="59">
        <v>-0.69</v>
      </c>
      <c r="AA231" s="59"/>
      <c r="AB231" s="59">
        <v>-0.39</v>
      </c>
      <c r="AC231" s="59">
        <v>0.72440000000000004</v>
      </c>
      <c r="AD231" s="59">
        <v>0.47</v>
      </c>
      <c r="AE231" s="59">
        <v>2.44</v>
      </c>
      <c r="AF231" s="59">
        <f t="shared" si="82"/>
        <v>0.47</v>
      </c>
      <c r="AG231" s="68">
        <v>0.47</v>
      </c>
      <c r="AH231" s="103">
        <v>4.47E-33</v>
      </c>
      <c r="AI231" s="153"/>
      <c r="AJ231" s="62">
        <f t="shared" si="85"/>
        <v>-30.738258803180717</v>
      </c>
      <c r="AK231" s="62"/>
      <c r="AL231" s="62">
        <f t="shared" si="83"/>
        <v>-30.738258803180717</v>
      </c>
      <c r="AM231" s="62">
        <v>-44.547989999999999</v>
      </c>
      <c r="AN231" s="152"/>
      <c r="AO231" s="410">
        <v>7.14</v>
      </c>
      <c r="AP231" s="410"/>
      <c r="AQ231" s="152" t="s">
        <v>6311</v>
      </c>
      <c r="AR231" s="152" t="s">
        <v>6311</v>
      </c>
      <c r="AS231" s="149" t="s">
        <v>301</v>
      </c>
      <c r="AT231" s="58" t="s">
        <v>266</v>
      </c>
      <c r="AU231" s="155">
        <v>24</v>
      </c>
      <c r="AV231" s="155">
        <v>120</v>
      </c>
      <c r="AW231" s="155">
        <v>96</v>
      </c>
      <c r="AX231" s="155">
        <v>28</v>
      </c>
      <c r="AY231" s="155" t="s">
        <v>267</v>
      </c>
      <c r="AZ231" s="155" t="s">
        <v>268</v>
      </c>
      <c r="BA231" s="155">
        <v>48</v>
      </c>
      <c r="BB231" s="55" t="s">
        <v>269</v>
      </c>
      <c r="BC231" s="156" t="s">
        <v>270</v>
      </c>
      <c r="BD231" s="156" t="s">
        <v>8374</v>
      </c>
      <c r="BE231" s="155" t="s">
        <v>271</v>
      </c>
      <c r="BF231" s="155" t="s">
        <v>272</v>
      </c>
      <c r="BG231" s="155" t="s">
        <v>272</v>
      </c>
      <c r="BH231" s="155" t="s">
        <v>272</v>
      </c>
      <c r="BI231" s="157">
        <v>1.6378406708595389E-3</v>
      </c>
      <c r="BJ231" s="157">
        <v>1.637840670859539</v>
      </c>
      <c r="BK231" s="56"/>
      <c r="BL231" s="103">
        <f t="shared" si="84"/>
        <v>214.03707138423789</v>
      </c>
      <c r="BM231" s="56">
        <v>0</v>
      </c>
      <c r="BN231" s="56"/>
      <c r="BO231" s="56"/>
      <c r="BP231" s="56"/>
      <c r="BQ231" s="56"/>
      <c r="BR231" s="56"/>
      <c r="BS231" s="56"/>
      <c r="BT231" s="56"/>
      <c r="BU231" s="158"/>
      <c r="BV231" s="56"/>
      <c r="BW231" s="56"/>
      <c r="BX231" s="56"/>
      <c r="BY231" s="56"/>
      <c r="BZ231" s="56"/>
      <c r="CA231" s="56">
        <v>0.27</v>
      </c>
      <c r="CB231" s="56">
        <v>0.33</v>
      </c>
      <c r="CC231" s="56"/>
      <c r="CD231" s="56"/>
      <c r="CE231" s="56"/>
      <c r="CF231" s="56"/>
      <c r="CG231" s="56"/>
      <c r="CH231" s="56"/>
      <c r="CI231" s="103">
        <f t="shared" si="73"/>
        <v>0.27</v>
      </c>
      <c r="CJ231" s="103">
        <f t="shared" si="74"/>
        <v>-0.56863623584101264</v>
      </c>
      <c r="CK231" s="57">
        <f t="shared" si="80"/>
        <v>130.68247430436028</v>
      </c>
      <c r="CL231" s="160">
        <f t="shared" si="78"/>
        <v>792.72989401569589</v>
      </c>
      <c r="CM231" s="160"/>
      <c r="CN231" s="160"/>
      <c r="CO231" s="55" t="s">
        <v>273</v>
      </c>
      <c r="CP231" s="156" t="s">
        <v>274</v>
      </c>
      <c r="CQ231" s="149" t="s">
        <v>272</v>
      </c>
      <c r="CR231" s="349"/>
      <c r="CS231" s="61" t="s">
        <v>539</v>
      </c>
      <c r="CT231" s="61"/>
      <c r="CU231" s="111">
        <f t="shared" si="69"/>
        <v>0.15799241437096009</v>
      </c>
      <c r="CV231" s="331">
        <f t="shared" si="81"/>
        <v>2.6045239099950015E-2</v>
      </c>
      <c r="CW231" s="326">
        <f t="shared" si="75"/>
        <v>0</v>
      </c>
      <c r="CX231" s="326"/>
      <c r="CY231" s="161" t="s">
        <v>5921</v>
      </c>
    </row>
    <row r="232" spans="1:103" ht="11.25" customHeight="1" x14ac:dyDescent="0.2">
      <c r="A232" s="72">
        <v>230</v>
      </c>
      <c r="B232" s="149">
        <v>46</v>
      </c>
      <c r="C232" s="54" t="s">
        <v>472</v>
      </c>
      <c r="D232" s="54"/>
      <c r="E232" s="59"/>
      <c r="F232" s="150" t="str">
        <f>HYPERLINK("http://www.sigmaaldrich.com/catalog/Lookup.do?N5=CAS+No.&amp;N3=mode+matchpartialmax&amp;N4=14919-77-8&amp;D7=0&amp;D10=&amp;N25=0&amp;N1=S_ID&amp;ST=RS&amp;F=PR","14919-77-8")</f>
        <v>14919-77-8</v>
      </c>
      <c r="G232" s="151">
        <v>14919778</v>
      </c>
      <c r="H232" s="55" t="s">
        <v>473</v>
      </c>
      <c r="I232" s="55" t="s">
        <v>473</v>
      </c>
      <c r="J232" s="55" t="s">
        <v>474</v>
      </c>
      <c r="K232" s="55" t="s">
        <v>475</v>
      </c>
      <c r="L232" s="64"/>
      <c r="M232" s="55"/>
      <c r="N232" s="60"/>
      <c r="O232" s="55"/>
      <c r="P232" s="67"/>
      <c r="Q232" s="67"/>
      <c r="R232" s="67"/>
      <c r="S232" s="67"/>
      <c r="T232" s="59">
        <v>257.24</v>
      </c>
      <c r="U232" s="153"/>
      <c r="V232" s="153">
        <v>298.67050225470376</v>
      </c>
      <c r="W232" s="153">
        <v>1096.4781961431852</v>
      </c>
      <c r="X232" s="153">
        <f>IF(W232=0,V232,W232)</f>
        <v>1096.4781961431852</v>
      </c>
      <c r="Y232" s="410">
        <v>7.55</v>
      </c>
      <c r="Z232" s="59">
        <v>-1.5</v>
      </c>
      <c r="AA232" s="59"/>
      <c r="AB232" s="59">
        <v>-1.85</v>
      </c>
      <c r="AC232" s="59">
        <v>0.40610000000000002</v>
      </c>
      <c r="AD232" s="59">
        <v>-1.9</v>
      </c>
      <c r="AE232" s="59">
        <v>-1.93</v>
      </c>
      <c r="AF232" s="59">
        <f t="shared" si="82"/>
        <v>-1.9</v>
      </c>
      <c r="AG232" s="57">
        <v>4.0199999999999996</v>
      </c>
      <c r="AH232" s="103">
        <v>5.6200000000000003E-31</v>
      </c>
      <c r="AI232" s="103"/>
      <c r="AJ232" s="62">
        <f t="shared" si="85"/>
        <v>-28.63883001074359</v>
      </c>
      <c r="AK232" s="62"/>
      <c r="AL232" s="62">
        <f t="shared" si="83"/>
        <v>-28.63883001074359</v>
      </c>
      <c r="AM232" s="62">
        <v>-31.208459999999999</v>
      </c>
      <c r="AN232" s="154">
        <v>-11.4</v>
      </c>
      <c r="AO232" s="410">
        <v>9.6199999999999992</v>
      </c>
      <c r="AP232" s="410">
        <v>5.88</v>
      </c>
      <c r="AQ232" s="154" t="s">
        <v>6311</v>
      </c>
      <c r="AR232" s="154" t="s">
        <v>6311</v>
      </c>
      <c r="AS232" s="149" t="s">
        <v>289</v>
      </c>
      <c r="AT232" s="58" t="s">
        <v>266</v>
      </c>
      <c r="AU232" s="155">
        <v>24</v>
      </c>
      <c r="AV232" s="155">
        <v>120</v>
      </c>
      <c r="AW232" s="155">
        <v>96</v>
      </c>
      <c r="AX232" s="155">
        <v>28</v>
      </c>
      <c r="AY232" s="155" t="s">
        <v>267</v>
      </c>
      <c r="AZ232" s="155" t="s">
        <v>268</v>
      </c>
      <c r="BA232" s="155">
        <v>48</v>
      </c>
      <c r="BB232" s="55" t="s">
        <v>269</v>
      </c>
      <c r="BC232" s="156" t="s">
        <v>270</v>
      </c>
      <c r="BD232" s="156" t="s">
        <v>8374</v>
      </c>
      <c r="BE232" s="155" t="s">
        <v>271</v>
      </c>
      <c r="BF232" s="155" t="s">
        <v>272</v>
      </c>
      <c r="BG232" s="155" t="s">
        <v>272</v>
      </c>
      <c r="BH232" s="155" t="s">
        <v>272</v>
      </c>
      <c r="BI232" s="157">
        <v>3.4048348655090228E-3</v>
      </c>
      <c r="BJ232" s="157">
        <v>3.4048348655090228</v>
      </c>
      <c r="BK232" s="56"/>
      <c r="BL232" s="103">
        <f t="shared" si="84"/>
        <v>1142.7467636329225</v>
      </c>
      <c r="BM232" s="56">
        <v>0</v>
      </c>
      <c r="BN232" s="56"/>
      <c r="BO232" s="56"/>
      <c r="BP232" s="56"/>
      <c r="BQ232" s="56"/>
      <c r="BR232" s="56"/>
      <c r="BS232" s="56"/>
      <c r="BT232" s="56"/>
      <c r="BU232" s="158"/>
      <c r="BV232" s="56"/>
      <c r="BW232" s="56"/>
      <c r="BX232" s="56"/>
      <c r="BY232" s="56"/>
      <c r="BZ232" s="56"/>
      <c r="CA232" s="56">
        <v>4.79</v>
      </c>
      <c r="CB232" s="56">
        <v>16.170000000000002</v>
      </c>
      <c r="CC232" s="56"/>
      <c r="CD232" s="56"/>
      <c r="CE232" s="56"/>
      <c r="CF232" s="56"/>
      <c r="CG232" s="56"/>
      <c r="CH232" s="56"/>
      <c r="CI232" s="103">
        <f t="shared" si="73"/>
        <v>4.79</v>
      </c>
      <c r="CJ232" s="103">
        <f t="shared" si="74"/>
        <v>0.68033551341456322</v>
      </c>
      <c r="CK232" s="57">
        <f t="shared" si="80"/>
        <v>335.62472447898932</v>
      </c>
      <c r="CL232" s="160">
        <f t="shared" si="78"/>
        <v>238.56926171877296</v>
      </c>
      <c r="CM232" s="160"/>
      <c r="CN232" s="160"/>
      <c r="CO232" s="55" t="s">
        <v>273</v>
      </c>
      <c r="CP232" s="156" t="s">
        <v>274</v>
      </c>
      <c r="CQ232" s="149" t="s">
        <v>272</v>
      </c>
      <c r="CR232" s="349"/>
      <c r="CS232" s="61" t="s">
        <v>539</v>
      </c>
      <c r="CT232" s="61"/>
      <c r="CU232" s="111">
        <f t="shared" si="69"/>
        <v>228.90985305703239</v>
      </c>
      <c r="CV232" s="331">
        <f t="shared" si="81"/>
        <v>322.03564620725348</v>
      </c>
      <c r="CW232" s="326">
        <f t="shared" si="75"/>
        <v>1</v>
      </c>
      <c r="CX232" s="326"/>
      <c r="CY232" s="161" t="s">
        <v>5921</v>
      </c>
    </row>
    <row r="233" spans="1:103" ht="11.25" customHeight="1" x14ac:dyDescent="0.2">
      <c r="A233" s="72">
        <v>231</v>
      </c>
      <c r="B233" s="149">
        <v>1097</v>
      </c>
      <c r="C233" s="54" t="s">
        <v>3073</v>
      </c>
      <c r="D233" s="54"/>
      <c r="E233" s="59"/>
      <c r="F233" s="59" t="s">
        <v>544</v>
      </c>
      <c r="G233" s="151">
        <v>15307796</v>
      </c>
      <c r="H233" s="55" t="s">
        <v>545</v>
      </c>
      <c r="I233" s="55" t="s">
        <v>8250</v>
      </c>
      <c r="J233" s="55" t="s">
        <v>546</v>
      </c>
      <c r="K233" s="55" t="s">
        <v>426</v>
      </c>
      <c r="L233" s="55" t="s">
        <v>279</v>
      </c>
      <c r="M233" s="55" t="s">
        <v>6116</v>
      </c>
      <c r="N233" s="60"/>
      <c r="O233" s="55" t="s">
        <v>6117</v>
      </c>
      <c r="P233" s="67"/>
      <c r="Q233" s="67"/>
      <c r="R233" s="67"/>
      <c r="S233" s="67"/>
      <c r="T233" s="56">
        <v>296.14999999999998</v>
      </c>
      <c r="U233" s="103">
        <v>8.0027013337835573E-3</v>
      </c>
      <c r="V233" s="103">
        <v>1.5255782542630424E-2</v>
      </c>
      <c r="W233" s="103">
        <v>7.585775750291826E-2</v>
      </c>
      <c r="X233" s="103">
        <v>8.0027013337835573E-3</v>
      </c>
      <c r="Y233" s="162">
        <v>4.34</v>
      </c>
      <c r="Z233" s="56">
        <v>4.0199999999999996</v>
      </c>
      <c r="AA233" s="56">
        <v>4.51</v>
      </c>
      <c r="AB233" s="56">
        <v>4.6100000000000003</v>
      </c>
      <c r="AC233" s="56">
        <v>0.87739999999999996</v>
      </c>
      <c r="AD233" s="56">
        <v>4.4800000000000004</v>
      </c>
      <c r="AE233" s="56">
        <v>4.0599999999999996</v>
      </c>
      <c r="AF233" s="56">
        <f t="shared" si="82"/>
        <v>4.51</v>
      </c>
      <c r="AG233" s="57">
        <v>4.4800000000000004</v>
      </c>
      <c r="AH233" s="103">
        <v>4.7300000000000002E-12</v>
      </c>
      <c r="AI233" s="103"/>
      <c r="AJ233" s="62">
        <f t="shared" si="85"/>
        <v>-9.71370518557484</v>
      </c>
      <c r="AK233" s="62"/>
      <c r="AL233" s="62">
        <f t="shared" si="83"/>
        <v>-9.71370518557484</v>
      </c>
      <c r="AM233" s="62">
        <v>-13.81147</v>
      </c>
      <c r="AN233" s="154"/>
      <c r="AO233" s="410">
        <v>4.18</v>
      </c>
      <c r="AP233" s="410">
        <v>-2.2599999999999998</v>
      </c>
      <c r="AQ233" s="56" t="s">
        <v>6311</v>
      </c>
      <c r="AR233" s="56" t="s">
        <v>6311</v>
      </c>
      <c r="AS233" s="155"/>
      <c r="AT233" s="58" t="s">
        <v>266</v>
      </c>
      <c r="AU233" s="56">
        <v>6</v>
      </c>
      <c r="AV233" s="56">
        <v>120</v>
      </c>
      <c r="AW233" s="56">
        <v>114</v>
      </c>
      <c r="AX233" s="56">
        <v>28</v>
      </c>
      <c r="AY233" s="56" t="s">
        <v>8728</v>
      </c>
      <c r="AZ233" s="56" t="s">
        <v>1563</v>
      </c>
      <c r="BA233" s="56">
        <v>32</v>
      </c>
      <c r="BB233" s="55" t="s">
        <v>2485</v>
      </c>
      <c r="BC233" s="55" t="s">
        <v>8726</v>
      </c>
      <c r="BD233" s="55" t="s">
        <v>8374</v>
      </c>
      <c r="BE233" s="56" t="s">
        <v>2449</v>
      </c>
      <c r="BF233" s="56" t="s">
        <v>272</v>
      </c>
      <c r="BG233" s="56" t="s">
        <v>272</v>
      </c>
      <c r="BH233" s="56" t="s">
        <v>2486</v>
      </c>
      <c r="BI233" s="103">
        <v>6.3999999999999997E-6</v>
      </c>
      <c r="BJ233" s="103">
        <v>6.4000000000000001E-2</v>
      </c>
      <c r="BK233" s="56"/>
      <c r="BL233" s="103">
        <f t="shared" si="84"/>
        <v>1.2601957191637207E-2</v>
      </c>
      <c r="BM233" s="56" t="s">
        <v>2046</v>
      </c>
      <c r="BN233" s="56"/>
      <c r="BO233" s="56"/>
      <c r="BP233" s="56"/>
      <c r="BQ233" s="56"/>
      <c r="BR233" s="55">
        <v>1.15E-2</v>
      </c>
      <c r="BS233" s="56"/>
      <c r="BT233" s="56"/>
      <c r="BU233" s="158"/>
      <c r="BV233" s="56"/>
      <c r="BW233" s="56"/>
      <c r="BX233" s="56"/>
      <c r="BY233" s="56"/>
      <c r="BZ233" s="56"/>
      <c r="CA233" s="56"/>
      <c r="CB233" s="56"/>
      <c r="CC233" s="56"/>
      <c r="CD233" s="56"/>
      <c r="CE233" s="56"/>
      <c r="CF233" s="56"/>
      <c r="CG233" s="56"/>
      <c r="CH233" s="56"/>
      <c r="CI233" s="103">
        <f t="shared" si="73"/>
        <v>1.15E-2</v>
      </c>
      <c r="CJ233" s="103">
        <f t="shared" si="74"/>
        <v>-1.9393021596463884</v>
      </c>
      <c r="CK233" s="57">
        <f t="shared" si="80"/>
        <v>0.19690558111933135</v>
      </c>
      <c r="CL233" s="160">
        <f t="shared" si="78"/>
        <v>1.0958223644901919</v>
      </c>
      <c r="CM233" s="160"/>
      <c r="CN233" s="160"/>
      <c r="CO233" s="55" t="s">
        <v>2488</v>
      </c>
      <c r="CP233" s="55" t="s">
        <v>2489</v>
      </c>
      <c r="CQ233" s="149" t="s">
        <v>272</v>
      </c>
      <c r="CR233" s="349"/>
      <c r="CS233" s="61" t="s">
        <v>539</v>
      </c>
      <c r="CT233" s="61"/>
      <c r="CU233" s="111">
        <f t="shared" si="69"/>
        <v>0.69588707250291804</v>
      </c>
      <c r="CV233" s="331">
        <f t="shared" si="81"/>
        <v>0.12504220834036808</v>
      </c>
      <c r="CW233" s="326">
        <f t="shared" si="75"/>
        <v>0</v>
      </c>
      <c r="CX233" s="326"/>
      <c r="CY233" s="161" t="s">
        <v>6351</v>
      </c>
    </row>
    <row r="234" spans="1:103" ht="11.25" customHeight="1" x14ac:dyDescent="0.2">
      <c r="A234" s="72">
        <v>232</v>
      </c>
      <c r="B234" s="149">
        <v>1028</v>
      </c>
      <c r="C234" s="54" t="s">
        <v>2931</v>
      </c>
      <c r="D234" s="54"/>
      <c r="E234" s="59"/>
      <c r="F234" s="59" t="s">
        <v>2932</v>
      </c>
      <c r="G234" s="151">
        <v>15310017</v>
      </c>
      <c r="H234" s="55" t="s">
        <v>2933</v>
      </c>
      <c r="I234" s="55" t="s">
        <v>2933</v>
      </c>
      <c r="J234" s="55" t="s">
        <v>2934</v>
      </c>
      <c r="K234" s="55" t="s">
        <v>471</v>
      </c>
      <c r="L234" s="55"/>
      <c r="M234" s="55"/>
      <c r="N234" s="60"/>
      <c r="O234" s="55"/>
      <c r="P234" s="67"/>
      <c r="Q234" s="67"/>
      <c r="R234" s="67"/>
      <c r="S234" s="67"/>
      <c r="T234" s="56">
        <v>323.13</v>
      </c>
      <c r="U234" s="103">
        <v>6.1894593507257144E-2</v>
      </c>
      <c r="V234" s="103">
        <v>0.1022498684739888</v>
      </c>
      <c r="W234" s="103">
        <v>5.4954087385762448E-2</v>
      </c>
      <c r="X234" s="103">
        <v>6.1894593507257144E-2</v>
      </c>
      <c r="Y234" s="162">
        <v>7</v>
      </c>
      <c r="Z234" s="56">
        <v>3.87</v>
      </c>
      <c r="AA234" s="56">
        <v>2.85</v>
      </c>
      <c r="AB234" s="56">
        <v>3.29</v>
      </c>
      <c r="AC234" s="56">
        <v>0.85270000000000001</v>
      </c>
      <c r="AD234" s="56">
        <v>3.27</v>
      </c>
      <c r="AE234" s="56">
        <v>3.23</v>
      </c>
      <c r="AF234" s="56">
        <f t="shared" si="82"/>
        <v>2.85</v>
      </c>
      <c r="AG234" s="57">
        <v>3.35</v>
      </c>
      <c r="AH234" s="103">
        <v>2.8300000000000001E-10</v>
      </c>
      <c r="AI234" s="103"/>
      <c r="AJ234" s="62">
        <f t="shared" si="85"/>
        <v>-7.9367798907883618</v>
      </c>
      <c r="AK234" s="62"/>
      <c r="AL234" s="62">
        <f t="shared" si="83"/>
        <v>-7.9367798907883618</v>
      </c>
      <c r="AM234" s="62">
        <v>-13.729340000000001</v>
      </c>
      <c r="AN234" s="154">
        <v>-7.83</v>
      </c>
      <c r="AO234" s="410">
        <v>12.87</v>
      </c>
      <c r="AP234" s="410">
        <v>-2.12</v>
      </c>
      <c r="AQ234" s="56" t="s">
        <v>6311</v>
      </c>
      <c r="AR234" s="56" t="s">
        <v>6311</v>
      </c>
      <c r="AS234" s="155"/>
      <c r="AT234" s="58" t="s">
        <v>266</v>
      </c>
      <c r="AU234" s="56">
        <v>6</v>
      </c>
      <c r="AV234" s="56">
        <v>120</v>
      </c>
      <c r="AW234" s="56">
        <v>114</v>
      </c>
      <c r="AX234" s="56">
        <v>28</v>
      </c>
      <c r="AY234" s="56" t="s">
        <v>8728</v>
      </c>
      <c r="AZ234" s="56" t="s">
        <v>1563</v>
      </c>
      <c r="BA234" s="56">
        <v>32</v>
      </c>
      <c r="BB234" s="55" t="s">
        <v>2485</v>
      </c>
      <c r="BC234" s="55" t="s">
        <v>8726</v>
      </c>
      <c r="BD234" s="55" t="s">
        <v>8374</v>
      </c>
      <c r="BE234" s="56" t="s">
        <v>2449</v>
      </c>
      <c r="BF234" s="56" t="s">
        <v>272</v>
      </c>
      <c r="BG234" s="56" t="s">
        <v>272</v>
      </c>
      <c r="BH234" s="56" t="s">
        <v>2486</v>
      </c>
      <c r="BI234" s="103">
        <v>6.3999999999999997E-6</v>
      </c>
      <c r="BJ234" s="103">
        <v>6.4000000000000001E-2</v>
      </c>
      <c r="BK234" s="56"/>
      <c r="BL234" s="103">
        <f t="shared" si="84"/>
        <v>1.7185137052039851E-2</v>
      </c>
      <c r="BM234" s="56" t="s">
        <v>2487</v>
      </c>
      <c r="BN234" s="56"/>
      <c r="BO234" s="56"/>
      <c r="BP234" s="56"/>
      <c r="BQ234" s="56"/>
      <c r="BR234" s="55">
        <v>2.0238577000000001E-2</v>
      </c>
      <c r="BS234" s="56"/>
      <c r="BT234" s="56"/>
      <c r="BU234" s="158"/>
      <c r="BV234" s="56"/>
      <c r="BW234" s="56"/>
      <c r="BX234" s="56"/>
      <c r="BY234" s="56"/>
      <c r="BZ234" s="56"/>
      <c r="CA234" s="56"/>
      <c r="CB234" s="56"/>
      <c r="CC234" s="56"/>
      <c r="CD234" s="56"/>
      <c r="CE234" s="56"/>
      <c r="CF234" s="56"/>
      <c r="CG234" s="56"/>
      <c r="CH234" s="56"/>
      <c r="CI234" s="103">
        <f t="shared" si="73"/>
        <v>2.0238577000000001E-2</v>
      </c>
      <c r="CJ234" s="103">
        <f t="shared" si="74"/>
        <v>-1.6938200265542473</v>
      </c>
      <c r="CK234" s="57">
        <f t="shared" si="80"/>
        <v>0.2685177664381227</v>
      </c>
      <c r="CL234" s="160">
        <f t="shared" si="78"/>
        <v>0.84912773521774043</v>
      </c>
      <c r="CM234" s="160"/>
      <c r="CN234" s="160"/>
      <c r="CO234" s="55" t="s">
        <v>2488</v>
      </c>
      <c r="CP234" s="55" t="s">
        <v>2489</v>
      </c>
      <c r="CQ234" s="149" t="s">
        <v>272</v>
      </c>
      <c r="CR234" s="349"/>
      <c r="CS234" s="61" t="s">
        <v>539</v>
      </c>
      <c r="CT234" s="61"/>
      <c r="CU234" s="111">
        <f t="shared" si="69"/>
        <v>3.0582482902457588</v>
      </c>
      <c r="CV234" s="331">
        <f t="shared" si="81"/>
        <v>0.96710302355089284</v>
      </c>
      <c r="CW234" s="326">
        <f t="shared" si="75"/>
        <v>1</v>
      </c>
      <c r="CX234" s="326"/>
      <c r="CY234" s="161" t="s">
        <v>5921</v>
      </c>
    </row>
    <row r="235" spans="1:103" ht="11.25" customHeight="1" x14ac:dyDescent="0.2">
      <c r="A235" s="72">
        <v>233</v>
      </c>
      <c r="B235" s="149">
        <v>1071</v>
      </c>
      <c r="C235" s="54" t="s">
        <v>1056</v>
      </c>
      <c r="D235" s="54" t="s">
        <v>6471</v>
      </c>
      <c r="E235" s="59"/>
      <c r="F235" s="59" t="s">
        <v>1057</v>
      </c>
      <c r="G235" s="151">
        <v>120321</v>
      </c>
      <c r="H235" s="55" t="s">
        <v>1058</v>
      </c>
      <c r="I235" s="55" t="s">
        <v>8313</v>
      </c>
      <c r="J235" s="55" t="s">
        <v>1059</v>
      </c>
      <c r="K235" s="55" t="s">
        <v>349</v>
      </c>
      <c r="L235" s="55" t="s">
        <v>5576</v>
      </c>
      <c r="M235" s="55" t="s">
        <v>6082</v>
      </c>
      <c r="N235" s="60" t="s">
        <v>6082</v>
      </c>
      <c r="O235" s="55" t="s">
        <v>6083</v>
      </c>
      <c r="P235" s="67"/>
      <c r="Q235" s="67" t="s">
        <v>6173</v>
      </c>
      <c r="R235" s="67" t="s">
        <v>6185</v>
      </c>
      <c r="S235" s="67" t="s">
        <v>6182</v>
      </c>
      <c r="T235" s="56">
        <v>218.68</v>
      </c>
      <c r="U235" s="103">
        <v>0.68136089262849819</v>
      </c>
      <c r="V235" s="103">
        <v>0.51216389244558258</v>
      </c>
      <c r="W235" s="103">
        <v>0.16982436524617422</v>
      </c>
      <c r="X235" s="103">
        <v>0.68136089262849819</v>
      </c>
      <c r="Y235" s="162">
        <v>6.72</v>
      </c>
      <c r="Z235" s="56">
        <v>4.18</v>
      </c>
      <c r="AA235" s="56">
        <v>3.6</v>
      </c>
      <c r="AB235" s="56">
        <v>4.26</v>
      </c>
      <c r="AC235" s="56">
        <v>0.77049999999999996</v>
      </c>
      <c r="AD235" s="56">
        <v>4.3099999999999996</v>
      </c>
      <c r="AE235" s="56">
        <v>4.41</v>
      </c>
      <c r="AF235" s="56">
        <f t="shared" si="82"/>
        <v>3.6</v>
      </c>
      <c r="AG235" s="57">
        <v>4.01</v>
      </c>
      <c r="AH235" s="103">
        <v>3.7E-8</v>
      </c>
      <c r="AI235" s="103">
        <v>2.7000000000000002E-9</v>
      </c>
      <c r="AJ235" s="62">
        <f t="shared" si="85"/>
        <v>-5.8203646022456565</v>
      </c>
      <c r="AK235" s="62">
        <f>LOG10(AI235*1000/(0.08206*298.15))</f>
        <v>-6.9572025621536646</v>
      </c>
      <c r="AL235" s="62">
        <f t="shared" si="83"/>
        <v>-6.9572025621536646</v>
      </c>
      <c r="AM235" s="62">
        <v>-10.455459999999999</v>
      </c>
      <c r="AN235" s="154">
        <v>-6.05</v>
      </c>
      <c r="AO235" s="410">
        <v>9.81</v>
      </c>
      <c r="AP235" s="410"/>
      <c r="AQ235" s="56" t="s">
        <v>6311</v>
      </c>
      <c r="AR235" s="56" t="s">
        <v>6311</v>
      </c>
      <c r="AS235" s="155"/>
      <c r="AT235" s="58" t="s">
        <v>266</v>
      </c>
      <c r="AU235" s="56">
        <v>6</v>
      </c>
      <c r="AV235" s="56">
        <v>120</v>
      </c>
      <c r="AW235" s="56">
        <v>114</v>
      </c>
      <c r="AX235" s="56">
        <v>28</v>
      </c>
      <c r="AY235" s="56" t="s">
        <v>8728</v>
      </c>
      <c r="AZ235" s="56" t="s">
        <v>1563</v>
      </c>
      <c r="BA235" s="56">
        <v>32</v>
      </c>
      <c r="BB235" s="55" t="s">
        <v>2485</v>
      </c>
      <c r="BC235" s="55" t="s">
        <v>8726</v>
      </c>
      <c r="BD235" s="55" t="s">
        <v>8374</v>
      </c>
      <c r="BE235" s="56" t="s">
        <v>2449</v>
      </c>
      <c r="BF235" s="56" t="s">
        <v>272</v>
      </c>
      <c r="BG235" s="56" t="s">
        <v>272</v>
      </c>
      <c r="BH235" s="56" t="s">
        <v>2486</v>
      </c>
      <c r="BI235" s="103">
        <v>6.3999999999999997E-6</v>
      </c>
      <c r="BJ235" s="103">
        <v>6.4000000000000001E-2</v>
      </c>
      <c r="BK235" s="56"/>
      <c r="BL235" s="103">
        <f t="shared" si="84"/>
        <v>9.051946948827664E-3</v>
      </c>
      <c r="BM235" s="56" t="s">
        <v>2487</v>
      </c>
      <c r="BN235" s="56"/>
      <c r="BO235" s="56"/>
      <c r="BP235" s="56"/>
      <c r="BQ235" s="56"/>
      <c r="BR235" s="55">
        <v>2.1399999999999999E-2</v>
      </c>
      <c r="BS235" s="56"/>
      <c r="BT235" s="56"/>
      <c r="BU235" s="158"/>
      <c r="BV235" s="56"/>
      <c r="BW235" s="56"/>
      <c r="BX235" s="56"/>
      <c r="BY235" s="56"/>
      <c r="BZ235" s="56"/>
      <c r="CA235" s="56"/>
      <c r="CB235" s="56"/>
      <c r="CC235" s="56"/>
      <c r="CD235" s="56"/>
      <c r="CE235" s="56"/>
      <c r="CF235" s="56"/>
      <c r="CG235" s="56"/>
      <c r="CH235" s="56"/>
      <c r="CI235" s="103">
        <f t="shared" si="73"/>
        <v>2.1399999999999999E-2</v>
      </c>
      <c r="CJ235" s="103">
        <f t="shared" si="74"/>
        <v>-1.6695862266508092</v>
      </c>
      <c r="CK235" s="57">
        <f t="shared" si="80"/>
        <v>0.14143667107543226</v>
      </c>
      <c r="CL235" s="160">
        <f t="shared" si="78"/>
        <v>0.42298817517886284</v>
      </c>
      <c r="CM235" s="160">
        <v>-2.8212951253416318</v>
      </c>
      <c r="CN235" s="160">
        <f>BJ235/(10^CM235)</f>
        <v>42.410666666666671</v>
      </c>
      <c r="CO235" s="55" t="s">
        <v>2488</v>
      </c>
      <c r="CP235" s="55" t="s">
        <v>2489</v>
      </c>
      <c r="CQ235" s="149">
        <v>-2.6518858470649418</v>
      </c>
      <c r="CR235" s="349">
        <f>10^(CJ235-CQ235)</f>
        <v>9.6006275182252434</v>
      </c>
      <c r="CS235" s="61" t="s">
        <v>539</v>
      </c>
      <c r="CT235" s="61"/>
      <c r="CU235" s="111">
        <f t="shared" si="69"/>
        <v>31.839294048060665</v>
      </c>
      <c r="CV235" s="331">
        <f t="shared" si="81"/>
        <v>10.646263947320284</v>
      </c>
      <c r="CW235" s="326">
        <f t="shared" si="75"/>
        <v>1</v>
      </c>
      <c r="CX235" s="326"/>
      <c r="CY235" s="161" t="s">
        <v>5921</v>
      </c>
    </row>
    <row r="236" spans="1:103" ht="11.25" customHeight="1" x14ac:dyDescent="0.2">
      <c r="A236" s="72">
        <v>234</v>
      </c>
      <c r="B236" s="149">
        <v>788</v>
      </c>
      <c r="C236" s="54" t="s">
        <v>2221</v>
      </c>
      <c r="D236" s="54" t="s">
        <v>6434</v>
      </c>
      <c r="E236" s="59"/>
      <c r="F236" s="59" t="s">
        <v>2222</v>
      </c>
      <c r="G236" s="151">
        <v>60571</v>
      </c>
      <c r="H236" s="55" t="s">
        <v>1703</v>
      </c>
      <c r="I236" s="55" t="s">
        <v>7988</v>
      </c>
      <c r="J236" s="55" t="s">
        <v>2223</v>
      </c>
      <c r="K236" s="55" t="s">
        <v>1705</v>
      </c>
      <c r="L236" s="55" t="s">
        <v>617</v>
      </c>
      <c r="M236" s="55" t="s">
        <v>1286</v>
      </c>
      <c r="N236" s="60" t="s">
        <v>6376</v>
      </c>
      <c r="O236" s="55" t="s">
        <v>2224</v>
      </c>
      <c r="P236" s="67" t="s">
        <v>6172</v>
      </c>
      <c r="Q236" s="67" t="s">
        <v>6176</v>
      </c>
      <c r="R236" s="67" t="s">
        <v>6181</v>
      </c>
      <c r="S236" s="67" t="s">
        <v>6173</v>
      </c>
      <c r="T236" s="56">
        <v>380.91</v>
      </c>
      <c r="U236" s="103">
        <v>6.5632301593552276E-4</v>
      </c>
      <c r="V236" s="103">
        <v>3.8197999527447423E-4</v>
      </c>
      <c r="W236" s="103">
        <v>4.2657951880159214E-4</v>
      </c>
      <c r="X236" s="103">
        <v>6.5632301593552276E-4</v>
      </c>
      <c r="Y236" s="162">
        <v>7</v>
      </c>
      <c r="Z236" s="56">
        <v>5.45</v>
      </c>
      <c r="AA236" s="56">
        <v>5.2</v>
      </c>
      <c r="AB236" s="56">
        <v>4.97</v>
      </c>
      <c r="AC236" s="56">
        <v>0.6804</v>
      </c>
      <c r="AD236" s="56">
        <v>4.9400000000000004</v>
      </c>
      <c r="AE236" s="56">
        <v>4.88</v>
      </c>
      <c r="AF236" s="56">
        <f t="shared" si="82"/>
        <v>5.2</v>
      </c>
      <c r="AG236" s="57">
        <v>4.05</v>
      </c>
      <c r="AH236" s="103">
        <v>5.4099999999999999E-7</v>
      </c>
      <c r="AI236" s="103">
        <v>1.0000000000000001E-5</v>
      </c>
      <c r="AJ236" s="62">
        <f t="shared" si="85"/>
        <v>-4.6553690612060823</v>
      </c>
      <c r="AK236" s="62">
        <f>LOG10(AI236*1000/(0.08206*298.15))</f>
        <v>-3.388566326312652</v>
      </c>
      <c r="AL236" s="62">
        <f t="shared" si="83"/>
        <v>-3.388566326312652</v>
      </c>
      <c r="AM236" s="62">
        <v>-9.114469999999999</v>
      </c>
      <c r="AN236" s="154">
        <v>-4.32</v>
      </c>
      <c r="AO236" s="410"/>
      <c r="AP236" s="410"/>
      <c r="AQ236" s="56" t="s">
        <v>6312</v>
      </c>
      <c r="AR236" s="56" t="s">
        <v>6311</v>
      </c>
      <c r="AS236" s="149" t="s">
        <v>6</v>
      </c>
      <c r="AT236" s="58" t="s">
        <v>266</v>
      </c>
      <c r="AU236" s="56">
        <v>6</v>
      </c>
      <c r="AV236" s="56">
        <v>96</v>
      </c>
      <c r="AW236" s="56">
        <v>90</v>
      </c>
      <c r="AX236" s="56">
        <v>28</v>
      </c>
      <c r="AY236" s="56" t="s">
        <v>8722</v>
      </c>
      <c r="AZ236" s="56" t="s">
        <v>2213</v>
      </c>
      <c r="BA236" s="56" t="s">
        <v>8722</v>
      </c>
      <c r="BB236" s="55" t="s">
        <v>1764</v>
      </c>
      <c r="BC236" s="55" t="s">
        <v>2214</v>
      </c>
      <c r="BD236" s="55"/>
      <c r="BE236" s="56" t="s">
        <v>1712</v>
      </c>
      <c r="BF236" s="56" t="s">
        <v>272</v>
      </c>
      <c r="BG236" s="56" t="s">
        <v>272</v>
      </c>
      <c r="BH236" s="56" t="s">
        <v>2119</v>
      </c>
      <c r="BI236" s="103">
        <v>1.0000000000000001E-5</v>
      </c>
      <c r="BJ236" s="103">
        <v>0.1</v>
      </c>
      <c r="BK236" s="56"/>
      <c r="BL236" s="103">
        <f t="shared" si="84"/>
        <v>6.5486985586723091E-4</v>
      </c>
      <c r="BM236" s="56" t="s">
        <v>1584</v>
      </c>
      <c r="BN236" s="56"/>
      <c r="BO236" s="56">
        <v>0.504</v>
      </c>
      <c r="BP236" s="56">
        <v>2.1000000000000001E-2</v>
      </c>
      <c r="BQ236" s="56"/>
      <c r="BR236" s="56"/>
      <c r="BS236" s="56"/>
      <c r="BT236" s="56"/>
      <c r="BU236" s="158"/>
      <c r="BV236" s="56"/>
      <c r="BW236" s="56"/>
      <c r="BX236" s="56"/>
      <c r="BY236" s="56"/>
      <c r="BZ236" s="56"/>
      <c r="CA236" s="56"/>
      <c r="CB236" s="56"/>
      <c r="CC236" s="56"/>
      <c r="CD236" s="56"/>
      <c r="CE236" s="56"/>
      <c r="CF236" s="56"/>
      <c r="CG236" s="56"/>
      <c r="CH236" s="56"/>
      <c r="CI236" s="103">
        <f t="shared" si="73"/>
        <v>2.1000000000000001E-2</v>
      </c>
      <c r="CJ236" s="103">
        <f t="shared" si="74"/>
        <v>-1.6777807052660807</v>
      </c>
      <c r="CK236" s="57">
        <f t="shared" si="80"/>
        <v>6.5486985586723084E-3</v>
      </c>
      <c r="CL236" s="160">
        <f t="shared" si="78"/>
        <v>3.1184278850820518E-2</v>
      </c>
      <c r="CM236" s="160">
        <v>-4.7442025151171459</v>
      </c>
      <c r="CN236" s="160">
        <f>BJ236/(10^CM236)</f>
        <v>5548.8439983485532</v>
      </c>
      <c r="CO236" s="55"/>
      <c r="CP236" s="55" t="s">
        <v>2215</v>
      </c>
      <c r="CQ236" s="149">
        <v>-4.6601848598528131</v>
      </c>
      <c r="CR236" s="349">
        <f>10^(CJ236-CQ236)</f>
        <v>960.2938656145443</v>
      </c>
      <c r="CS236" s="61" t="s">
        <v>539</v>
      </c>
      <c r="CT236" s="61"/>
      <c r="CU236" s="111">
        <f t="shared" si="69"/>
        <v>3.1253476949310605E-2</v>
      </c>
      <c r="CV236" s="331">
        <f t="shared" si="81"/>
        <v>6.5632301593552276E-3</v>
      </c>
      <c r="CW236" s="326">
        <f t="shared" si="75"/>
        <v>0</v>
      </c>
      <c r="CX236" s="326" t="s">
        <v>539</v>
      </c>
      <c r="CY236" s="161" t="s">
        <v>5921</v>
      </c>
    </row>
    <row r="237" spans="1:103" ht="11.25" customHeight="1" x14ac:dyDescent="0.2">
      <c r="A237" s="72">
        <v>235</v>
      </c>
      <c r="B237" s="149">
        <v>1260</v>
      </c>
      <c r="C237" s="54" t="s">
        <v>1432</v>
      </c>
      <c r="D237" s="54" t="s">
        <v>6574</v>
      </c>
      <c r="E237" s="59"/>
      <c r="F237" s="59" t="s">
        <v>1433</v>
      </c>
      <c r="G237" s="151">
        <v>96489713</v>
      </c>
      <c r="H237" s="55" t="s">
        <v>1434</v>
      </c>
      <c r="I237" s="55" t="s">
        <v>7915</v>
      </c>
      <c r="J237" s="55" t="s">
        <v>1435</v>
      </c>
      <c r="K237" s="55" t="s">
        <v>1436</v>
      </c>
      <c r="L237" s="55" t="s">
        <v>5951</v>
      </c>
      <c r="M237" s="55" t="s">
        <v>6011</v>
      </c>
      <c r="N237" s="60" t="s">
        <v>6381</v>
      </c>
      <c r="O237" s="55" t="s">
        <v>918</v>
      </c>
      <c r="P237" s="67"/>
      <c r="Q237" s="67"/>
      <c r="R237" s="67"/>
      <c r="S237" s="67"/>
      <c r="T237" s="56">
        <v>364.93</v>
      </c>
      <c r="U237" s="103">
        <v>3.2883018661113091E-5</v>
      </c>
      <c r="V237" s="103">
        <v>5.0036993395993747E-5</v>
      </c>
      <c r="W237" s="103">
        <v>1.5848931924611131E-2</v>
      </c>
      <c r="X237" s="103">
        <v>3.2883018661113091E-5</v>
      </c>
      <c r="Y237" s="162">
        <v>7</v>
      </c>
      <c r="Z237" s="56">
        <v>5.47</v>
      </c>
      <c r="AA237" s="56">
        <v>6.37</v>
      </c>
      <c r="AB237" s="56">
        <v>5.73</v>
      </c>
      <c r="AC237" s="56">
        <v>0.73460000000000003</v>
      </c>
      <c r="AD237" s="56">
        <v>5.44</v>
      </c>
      <c r="AE237" s="56">
        <v>4.7300000000000004</v>
      </c>
      <c r="AF237" s="56">
        <f t="shared" si="82"/>
        <v>6.37</v>
      </c>
      <c r="AG237" s="57">
        <v>5.59</v>
      </c>
      <c r="AH237" s="103">
        <v>2.26E-10</v>
      </c>
      <c r="AI237" s="103">
        <v>4.7200000000000002E-5</v>
      </c>
      <c r="AJ237" s="62">
        <f t="shared" si="85"/>
        <v>-8.0344578871652512</v>
      </c>
      <c r="AK237" s="62">
        <f>LOG10(AI237*1000/(0.08206*298.15))</f>
        <v>-2.714624327678564</v>
      </c>
      <c r="AL237" s="62">
        <f t="shared" si="83"/>
        <v>-2.714624327678564</v>
      </c>
      <c r="AM237" s="62">
        <v>-12.987449999999999</v>
      </c>
      <c r="AN237" s="154">
        <v>-7.08</v>
      </c>
      <c r="AO237" s="410"/>
      <c r="AP237" s="410">
        <v>-2.69</v>
      </c>
      <c r="AQ237" s="56" t="s">
        <v>6311</v>
      </c>
      <c r="AR237" s="56" t="s">
        <v>6311</v>
      </c>
      <c r="AS237" s="155"/>
      <c r="AT237" s="58" t="s">
        <v>266</v>
      </c>
      <c r="AU237" s="56">
        <v>6</v>
      </c>
      <c r="AV237" s="56">
        <v>120</v>
      </c>
      <c r="AW237" s="56">
        <v>114</v>
      </c>
      <c r="AX237" s="56">
        <v>28</v>
      </c>
      <c r="AY237" s="56" t="s">
        <v>8728</v>
      </c>
      <c r="AZ237" s="56" t="s">
        <v>1563</v>
      </c>
      <c r="BA237" s="56">
        <v>32</v>
      </c>
      <c r="BB237" s="55" t="s">
        <v>2485</v>
      </c>
      <c r="BC237" s="55" t="s">
        <v>8726</v>
      </c>
      <c r="BD237" s="55" t="s">
        <v>8374</v>
      </c>
      <c r="BE237" s="56" t="s">
        <v>2449</v>
      </c>
      <c r="BF237" s="56" t="s">
        <v>272</v>
      </c>
      <c r="BG237" s="56" t="s">
        <v>272</v>
      </c>
      <c r="BH237" s="56" t="s">
        <v>2486</v>
      </c>
      <c r="BI237" s="103">
        <v>6.3999999999999997E-6</v>
      </c>
      <c r="BJ237" s="103">
        <v>6.4000000000000001E-2</v>
      </c>
      <c r="BK237" s="56"/>
      <c r="BL237" s="103">
        <f t="shared" si="84"/>
        <v>6.2833752929845985E-4</v>
      </c>
      <c r="BM237" s="56" t="s">
        <v>2487</v>
      </c>
      <c r="BN237" s="56"/>
      <c r="BO237" s="56"/>
      <c r="BP237" s="56"/>
      <c r="BQ237" s="56"/>
      <c r="BR237" s="55">
        <v>2.06E-2</v>
      </c>
      <c r="BS237" s="56"/>
      <c r="BT237" s="56"/>
      <c r="BU237" s="158"/>
      <c r="BV237" s="56"/>
      <c r="BW237" s="56"/>
      <c r="BX237" s="56"/>
      <c r="BY237" s="56"/>
      <c r="BZ237" s="56"/>
      <c r="CA237" s="56"/>
      <c r="CB237" s="56"/>
      <c r="CC237" s="56"/>
      <c r="CD237" s="56"/>
      <c r="CE237" s="56"/>
      <c r="CF237" s="56"/>
      <c r="CG237" s="56"/>
      <c r="CH237" s="56"/>
      <c r="CI237" s="103">
        <f t="shared" si="73"/>
        <v>2.06E-2</v>
      </c>
      <c r="CJ237" s="103">
        <f t="shared" si="74"/>
        <v>-1.6861327796308465</v>
      </c>
      <c r="CK237" s="57">
        <f t="shared" si="80"/>
        <v>9.8177738952884355E-3</v>
      </c>
      <c r="CL237" s="160">
        <f t="shared" si="78"/>
        <v>3.0501821810604846E-2</v>
      </c>
      <c r="CM237" s="160">
        <v>-5.5772806448659633</v>
      </c>
      <c r="CN237" s="160">
        <f>BJ237/(10^CM237)</f>
        <v>24180.240653163484</v>
      </c>
      <c r="CO237" s="55" t="s">
        <v>2488</v>
      </c>
      <c r="CP237" s="55" t="s">
        <v>2489</v>
      </c>
      <c r="CQ237" s="149">
        <v>-4.9764127266621649</v>
      </c>
      <c r="CR237" s="349">
        <f>10^(CJ237-CQ237)</f>
        <v>1951.1018783945276</v>
      </c>
      <c r="CS237" s="61" t="s">
        <v>539</v>
      </c>
      <c r="CT237" s="61"/>
      <c r="CU237" s="111">
        <f t="shared" si="69"/>
        <v>1.5962630418016063E-3</v>
      </c>
      <c r="CV237" s="331">
        <f t="shared" si="81"/>
        <v>5.13797166579892E-4</v>
      </c>
      <c r="CW237" s="326">
        <f t="shared" si="75"/>
        <v>0</v>
      </c>
      <c r="CX237" s="326"/>
      <c r="CY237" s="161" t="s">
        <v>5921</v>
      </c>
    </row>
    <row r="238" spans="1:103" ht="11.25" customHeight="1" x14ac:dyDescent="0.2">
      <c r="A238" s="72">
        <v>236</v>
      </c>
      <c r="B238" s="149">
        <v>1162</v>
      </c>
      <c r="C238" s="54" t="s">
        <v>1266</v>
      </c>
      <c r="D238" s="54" t="s">
        <v>6518</v>
      </c>
      <c r="E238" s="59"/>
      <c r="F238" s="59" t="s">
        <v>1267</v>
      </c>
      <c r="G238" s="151">
        <v>35554440</v>
      </c>
      <c r="H238" s="55" t="s">
        <v>1268</v>
      </c>
      <c r="I238" s="55" t="s">
        <v>8314</v>
      </c>
      <c r="J238" s="55" t="s">
        <v>1269</v>
      </c>
      <c r="K238" s="55" t="s">
        <v>1270</v>
      </c>
      <c r="L238" s="55" t="s">
        <v>5990</v>
      </c>
      <c r="M238" s="60" t="s">
        <v>2342</v>
      </c>
      <c r="N238" s="60" t="s">
        <v>2342</v>
      </c>
      <c r="O238" s="55"/>
      <c r="P238" s="67"/>
      <c r="Q238" s="67"/>
      <c r="R238" s="67"/>
      <c r="S238" s="67"/>
      <c r="T238" s="56">
        <v>297.18</v>
      </c>
      <c r="U238" s="103">
        <v>0.60569351907934588</v>
      </c>
      <c r="V238" s="103">
        <v>2.3453799044350226E-2</v>
      </c>
      <c r="W238" s="103">
        <v>0.69183097091893575</v>
      </c>
      <c r="X238" s="103">
        <v>0.60569351907934588</v>
      </c>
      <c r="Y238" s="162">
        <v>8.7899999999999991</v>
      </c>
      <c r="Z238" s="56">
        <v>4.0999999999999996</v>
      </c>
      <c r="AA238" s="56">
        <v>3.82</v>
      </c>
      <c r="AB238" s="56">
        <v>4.1399999999999997</v>
      </c>
      <c r="AC238" s="56">
        <v>0.87649999999999995</v>
      </c>
      <c r="AD238" s="56">
        <v>4.03</v>
      </c>
      <c r="AE238" s="56">
        <v>3.58</v>
      </c>
      <c r="AF238" s="56">
        <f t="shared" si="82"/>
        <v>3.82</v>
      </c>
      <c r="AG238" s="57">
        <v>3.69</v>
      </c>
      <c r="AH238" s="103">
        <v>7.2499999999999994E-8</v>
      </c>
      <c r="AI238" s="103">
        <v>2.5899999999999999E-9</v>
      </c>
      <c r="AJ238" s="62">
        <f t="shared" si="85"/>
        <v>-5.5282283197416584</v>
      </c>
      <c r="AK238" s="62">
        <f>LOG10(AI238*1000/(0.08206*298.15))</f>
        <v>-6.9752665622313996</v>
      </c>
      <c r="AL238" s="62">
        <f t="shared" si="83"/>
        <v>-6.9752665622313996</v>
      </c>
      <c r="AM238" s="62">
        <v>-11.007019999999999</v>
      </c>
      <c r="AN238" s="154">
        <v>-7.54</v>
      </c>
      <c r="AO238" s="410"/>
      <c r="AP238" s="410">
        <v>6.74</v>
      </c>
      <c r="AQ238" s="56" t="s">
        <v>6311</v>
      </c>
      <c r="AR238" s="56" t="s">
        <v>6311</v>
      </c>
      <c r="AS238" s="155"/>
      <c r="AT238" s="58" t="s">
        <v>266</v>
      </c>
      <c r="AU238" s="56">
        <v>6</v>
      </c>
      <c r="AV238" s="56">
        <v>120</v>
      </c>
      <c r="AW238" s="56">
        <v>114</v>
      </c>
      <c r="AX238" s="56">
        <v>28</v>
      </c>
      <c r="AY238" s="56" t="s">
        <v>8728</v>
      </c>
      <c r="AZ238" s="56" t="s">
        <v>1563</v>
      </c>
      <c r="BA238" s="56">
        <v>32</v>
      </c>
      <c r="BB238" s="55" t="s">
        <v>2485</v>
      </c>
      <c r="BC238" s="55" t="s">
        <v>8726</v>
      </c>
      <c r="BD238" s="55" t="s">
        <v>8374</v>
      </c>
      <c r="BE238" s="56" t="s">
        <v>2449</v>
      </c>
      <c r="BF238" s="56" t="s">
        <v>272</v>
      </c>
      <c r="BG238" s="56" t="s">
        <v>272</v>
      </c>
      <c r="BH238" s="56" t="s">
        <v>2486</v>
      </c>
      <c r="BI238" s="103">
        <v>6.3999999999999997E-6</v>
      </c>
      <c r="BJ238" s="103">
        <v>6.4000000000000001E-2</v>
      </c>
      <c r="BK238" s="56"/>
      <c r="BL238" s="103">
        <f t="shared" si="84"/>
        <v>1.0680461036401821E-2</v>
      </c>
      <c r="BM238" s="55" t="s">
        <v>2046</v>
      </c>
      <c r="BN238" s="56"/>
      <c r="BO238" s="56"/>
      <c r="BP238" s="56"/>
      <c r="BQ238" s="56"/>
      <c r="BR238" s="65">
        <v>2.023857703E-2</v>
      </c>
      <c r="BS238" s="56"/>
      <c r="BT238" s="56"/>
      <c r="BU238" s="158"/>
      <c r="BV238" s="56"/>
      <c r="BW238" s="56"/>
      <c r="BX238" s="56"/>
      <c r="BY238" s="56"/>
      <c r="BZ238" s="56"/>
      <c r="CA238" s="56"/>
      <c r="CB238" s="56"/>
      <c r="CC238" s="56"/>
      <c r="CD238" s="56"/>
      <c r="CE238" s="56"/>
      <c r="CF238" s="56"/>
      <c r="CG238" s="56"/>
      <c r="CH238" s="56"/>
      <c r="CI238" s="103">
        <f t="shared" si="73"/>
        <v>2.023857703E-2</v>
      </c>
      <c r="CJ238" s="103">
        <f t="shared" si="74"/>
        <v>-1.693820025910485</v>
      </c>
      <c r="CK238" s="57">
        <f t="shared" si="80"/>
        <v>0.16688220369377846</v>
      </c>
      <c r="CL238" s="160">
        <f t="shared" si="78"/>
        <v>0.52772786449215203</v>
      </c>
      <c r="CM238" s="160">
        <v>-2.2373737228366304</v>
      </c>
      <c r="CN238" s="160">
        <f>BJ238/(10^CM238)</f>
        <v>11.05487145020423</v>
      </c>
      <c r="CO238" s="55" t="s">
        <v>2488</v>
      </c>
      <c r="CP238" s="55" t="s">
        <v>2489</v>
      </c>
      <c r="CQ238" s="149">
        <v>-2.115598042784204</v>
      </c>
      <c r="CR238" s="349">
        <f>10^(CJ238-CQ238)</f>
        <v>2.6410584747405266</v>
      </c>
      <c r="CS238" s="61" t="s">
        <v>539</v>
      </c>
      <c r="CT238" s="61"/>
      <c r="CU238" s="111">
        <f t="shared" si="69"/>
        <v>29.927673184805222</v>
      </c>
      <c r="CV238" s="331">
        <f t="shared" si="81"/>
        <v>9.4639612356147786</v>
      </c>
      <c r="CW238" s="326">
        <f t="shared" si="75"/>
        <v>1</v>
      </c>
      <c r="CX238" s="326"/>
      <c r="CY238" s="161" t="s">
        <v>5921</v>
      </c>
    </row>
    <row r="239" spans="1:103" ht="11.25" customHeight="1" x14ac:dyDescent="0.2">
      <c r="A239" s="72">
        <v>237</v>
      </c>
      <c r="B239" s="149">
        <v>1940</v>
      </c>
      <c r="C239" s="54" t="s">
        <v>5482</v>
      </c>
      <c r="D239" s="54"/>
      <c r="E239" s="59"/>
      <c r="F239" s="167" t="s">
        <v>5483</v>
      </c>
      <c r="G239" s="151">
        <v>17924924</v>
      </c>
      <c r="H239" s="67" t="s">
        <v>5484</v>
      </c>
      <c r="I239" s="67" t="s">
        <v>5484</v>
      </c>
      <c r="J239" s="67" t="s">
        <v>5485</v>
      </c>
      <c r="K239" s="67" t="s">
        <v>3383</v>
      </c>
      <c r="L239" s="67" t="s">
        <v>5486</v>
      </c>
      <c r="M239" s="67"/>
      <c r="N239" s="60"/>
      <c r="O239" s="67"/>
      <c r="P239" s="67"/>
      <c r="Q239" s="67"/>
      <c r="R239" s="67"/>
      <c r="S239" s="67"/>
      <c r="T239" s="61">
        <v>318.36</v>
      </c>
      <c r="U239" s="111"/>
      <c r="V239" s="111">
        <v>9.9761276542279176E-2</v>
      </c>
      <c r="W239" s="111">
        <v>1.2302687708123807</v>
      </c>
      <c r="X239" s="111">
        <f>IF(W239=0,V239,W239)</f>
        <v>1.2302687708123807</v>
      </c>
      <c r="Y239" s="411">
        <v>5.16</v>
      </c>
      <c r="Z239" s="61">
        <v>3.58</v>
      </c>
      <c r="AA239" s="61"/>
      <c r="AB239" s="61">
        <v>4.0599999999999996</v>
      </c>
      <c r="AC239" s="61">
        <v>0.55669999999999997</v>
      </c>
      <c r="AD239" s="61">
        <v>3.96</v>
      </c>
      <c r="AE239" s="61">
        <v>3.83</v>
      </c>
      <c r="AF239" s="61">
        <f t="shared" si="82"/>
        <v>3.96</v>
      </c>
      <c r="AG239" s="62">
        <v>3.96</v>
      </c>
      <c r="AH239" s="111">
        <v>4.6500000000000004E-13</v>
      </c>
      <c r="AI239" s="111"/>
      <c r="AJ239" s="62">
        <f t="shared" si="85"/>
        <v>-10.721113373422698</v>
      </c>
      <c r="AK239" s="62"/>
      <c r="AL239" s="62">
        <f t="shared" si="83"/>
        <v>-10.721113373422698</v>
      </c>
      <c r="AM239" s="62">
        <v>-15.808870000000001</v>
      </c>
      <c r="AN239" s="163"/>
      <c r="AO239" s="410">
        <v>7.58</v>
      </c>
      <c r="AP239" s="410"/>
      <c r="AQ239" s="163" t="s">
        <v>6311</v>
      </c>
      <c r="AR239" s="163" t="s">
        <v>6311</v>
      </c>
      <c r="AS239" s="164" t="s">
        <v>5466</v>
      </c>
      <c r="AT239" s="63" t="s">
        <v>266</v>
      </c>
      <c r="AU239" s="61">
        <v>0</v>
      </c>
      <c r="AV239" s="61">
        <v>120</v>
      </c>
      <c r="AW239" s="61">
        <v>120</v>
      </c>
      <c r="AX239" s="61">
        <v>27.5</v>
      </c>
      <c r="AY239" s="61" t="s">
        <v>267</v>
      </c>
      <c r="AZ239" s="61"/>
      <c r="BA239" s="61">
        <v>24</v>
      </c>
      <c r="BB239" s="67" t="s">
        <v>5487</v>
      </c>
      <c r="BC239" s="67" t="s">
        <v>1584</v>
      </c>
      <c r="BD239" s="67"/>
      <c r="BE239" s="61" t="s">
        <v>6340</v>
      </c>
      <c r="BF239" s="61"/>
      <c r="BG239" s="61"/>
      <c r="BH239" s="61" t="s">
        <v>5488</v>
      </c>
      <c r="BI239" s="111">
        <v>3.1411000000000002E-8</v>
      </c>
      <c r="BJ239" s="111">
        <v>1.5705490999999999E-2</v>
      </c>
      <c r="BK239" s="61" t="s">
        <v>5489</v>
      </c>
      <c r="BL239" s="111">
        <f t="shared" si="84"/>
        <v>3.1304156061596623E-2</v>
      </c>
      <c r="BM239" s="61"/>
      <c r="BN239" s="61">
        <v>8.9646940000000005E-3</v>
      </c>
      <c r="BO239" s="61">
        <v>6.49265E-3</v>
      </c>
      <c r="BP239" s="61">
        <v>4.0771449999999999E-3</v>
      </c>
      <c r="BQ239" s="61">
        <v>3.4520670000000001E-3</v>
      </c>
      <c r="BR239" s="61">
        <v>2.8050010000000001E-3</v>
      </c>
      <c r="BS239" s="61"/>
      <c r="BT239" s="61"/>
      <c r="BU239" s="158"/>
      <c r="BV239" s="61"/>
      <c r="BW239" s="61"/>
      <c r="BX239" s="61"/>
      <c r="BY239" s="61"/>
      <c r="BZ239" s="61"/>
      <c r="CA239" s="61"/>
      <c r="CB239" s="61"/>
      <c r="CC239" s="61"/>
      <c r="CD239" s="61"/>
      <c r="CE239" s="61"/>
      <c r="CF239" s="61"/>
      <c r="CG239" s="61"/>
      <c r="CH239" s="61"/>
      <c r="CI239" s="111">
        <f t="shared" si="73"/>
        <v>2.8050010000000001E-3</v>
      </c>
      <c r="CJ239" s="103">
        <f t="shared" si="74"/>
        <v>-2.5520669795791551</v>
      </c>
      <c r="CK239" s="57">
        <f t="shared" si="80"/>
        <v>1.9931981790060957</v>
      </c>
      <c r="CL239" s="160">
        <f t="shared" si="78"/>
        <v>11.160122959527152</v>
      </c>
      <c r="CM239" s="160"/>
      <c r="CN239" s="160"/>
      <c r="CO239" s="67"/>
      <c r="CP239" s="67" t="s">
        <v>5490</v>
      </c>
      <c r="CQ239" s="149" t="s">
        <v>272</v>
      </c>
      <c r="CR239" s="349"/>
      <c r="CS239" s="61" t="s">
        <v>539</v>
      </c>
      <c r="CT239" s="61" t="s">
        <v>6310</v>
      </c>
      <c r="CU239" s="111">
        <f t="shared" si="69"/>
        <v>438.59833590518531</v>
      </c>
      <c r="CV239" s="331">
        <f t="shared" si="81"/>
        <v>78.333671377251491</v>
      </c>
      <c r="CW239" s="326">
        <f t="shared" si="75"/>
        <v>1</v>
      </c>
      <c r="CX239" s="326" t="s">
        <v>539</v>
      </c>
      <c r="CY239" s="161" t="s">
        <v>5921</v>
      </c>
    </row>
    <row r="240" spans="1:103" ht="11.25" customHeight="1" x14ac:dyDescent="0.2">
      <c r="A240" s="72">
        <v>238</v>
      </c>
      <c r="B240" s="149">
        <v>1091</v>
      </c>
      <c r="C240" s="54" t="s">
        <v>3056</v>
      </c>
      <c r="D240" s="54" t="s">
        <v>6476</v>
      </c>
      <c r="E240" s="59"/>
      <c r="F240" s="59" t="s">
        <v>3057</v>
      </c>
      <c r="G240" s="151">
        <v>131179</v>
      </c>
      <c r="H240" s="55" t="s">
        <v>3058</v>
      </c>
      <c r="I240" s="55" t="s">
        <v>3058</v>
      </c>
      <c r="J240" s="55" t="s">
        <v>3059</v>
      </c>
      <c r="K240" s="55" t="s">
        <v>361</v>
      </c>
      <c r="L240" s="55" t="s">
        <v>6620</v>
      </c>
      <c r="M240" s="55" t="s">
        <v>6025</v>
      </c>
      <c r="N240" s="60" t="s">
        <v>2342</v>
      </c>
      <c r="O240" s="55"/>
      <c r="P240" s="67" t="s">
        <v>1639</v>
      </c>
      <c r="Q240" s="67" t="s">
        <v>6173</v>
      </c>
      <c r="R240" s="67" t="s">
        <v>6082</v>
      </c>
      <c r="S240" s="67" t="s">
        <v>6173</v>
      </c>
      <c r="T240" s="56">
        <v>246.26</v>
      </c>
      <c r="U240" s="103">
        <v>0.73905628197839679</v>
      </c>
      <c r="V240" s="103">
        <v>0.17570860066596283</v>
      </c>
      <c r="W240" s="103">
        <v>1.0715193052376053</v>
      </c>
      <c r="X240" s="103">
        <v>0.73905628197839679</v>
      </c>
      <c r="Y240" s="162">
        <v>7</v>
      </c>
      <c r="Z240" s="56">
        <v>3.36</v>
      </c>
      <c r="AA240" s="56">
        <v>3.23</v>
      </c>
      <c r="AB240" s="56">
        <v>3.25</v>
      </c>
      <c r="AC240" s="56">
        <v>0.85850000000000004</v>
      </c>
      <c r="AD240" s="56">
        <v>3.26</v>
      </c>
      <c r="AE240" s="56">
        <v>3.29</v>
      </c>
      <c r="AF240" s="56">
        <f t="shared" si="82"/>
        <v>3.23</v>
      </c>
      <c r="AG240" s="57">
        <v>2.84</v>
      </c>
      <c r="AH240" s="103">
        <v>3.8599999999999999E-7</v>
      </c>
      <c r="AI240" s="103"/>
      <c r="AJ240" s="62">
        <f t="shared" si="85"/>
        <v>-4.8019790216408964</v>
      </c>
      <c r="AK240" s="62"/>
      <c r="AL240" s="62">
        <f t="shared" si="83"/>
        <v>-4.8019790216408964</v>
      </c>
      <c r="AM240" s="62">
        <v>-9.6524699999999992</v>
      </c>
      <c r="AN240" s="154">
        <v>-5.69</v>
      </c>
      <c r="AO240" s="410"/>
      <c r="AP240" s="410"/>
      <c r="AQ240" s="56" t="s">
        <v>6311</v>
      </c>
      <c r="AR240" s="56" t="s">
        <v>6312</v>
      </c>
      <c r="AS240" s="155"/>
      <c r="AT240" s="58" t="s">
        <v>266</v>
      </c>
      <c r="AU240" s="56">
        <v>6</v>
      </c>
      <c r="AV240" s="56">
        <v>120</v>
      </c>
      <c r="AW240" s="56">
        <v>114</v>
      </c>
      <c r="AX240" s="56">
        <v>28</v>
      </c>
      <c r="AY240" s="56" t="s">
        <v>8728</v>
      </c>
      <c r="AZ240" s="56" t="s">
        <v>1563</v>
      </c>
      <c r="BA240" s="56">
        <v>32</v>
      </c>
      <c r="BB240" s="55" t="s">
        <v>2485</v>
      </c>
      <c r="BC240" s="55" t="s">
        <v>8726</v>
      </c>
      <c r="BD240" s="55" t="s">
        <v>8374</v>
      </c>
      <c r="BE240" s="56" t="s">
        <v>2449</v>
      </c>
      <c r="BF240" s="56" t="s">
        <v>272</v>
      </c>
      <c r="BG240" s="56" t="s">
        <v>272</v>
      </c>
      <c r="BH240" s="56" t="s">
        <v>2486</v>
      </c>
      <c r="BI240" s="103">
        <v>6.3999999999999997E-6</v>
      </c>
      <c r="BJ240" s="103">
        <v>6.4000000000000001E-2</v>
      </c>
      <c r="BK240" s="56"/>
      <c r="BL240" s="103">
        <f t="shared" si="84"/>
        <v>4.9338279395925909E-2</v>
      </c>
      <c r="BM240" s="56" t="s">
        <v>2046</v>
      </c>
      <c r="BN240" s="56"/>
      <c r="BO240" s="56"/>
      <c r="BP240" s="56"/>
      <c r="BQ240" s="56"/>
      <c r="BR240" s="55">
        <v>2.0238577000000001E-2</v>
      </c>
      <c r="BS240" s="56"/>
      <c r="BT240" s="56"/>
      <c r="BU240" s="158"/>
      <c r="BV240" s="56"/>
      <c r="BW240" s="56"/>
      <c r="BX240" s="56"/>
      <c r="BY240" s="56"/>
      <c r="BZ240" s="56"/>
      <c r="CA240" s="56"/>
      <c r="CB240" s="56"/>
      <c r="CC240" s="56"/>
      <c r="CD240" s="56"/>
      <c r="CE240" s="56"/>
      <c r="CF240" s="56"/>
      <c r="CG240" s="56"/>
      <c r="CH240" s="56"/>
      <c r="CI240" s="103">
        <f t="shared" si="73"/>
        <v>2.0238577000000001E-2</v>
      </c>
      <c r="CJ240" s="103">
        <f t="shared" si="74"/>
        <v>-1.6938200265542473</v>
      </c>
      <c r="CK240" s="57">
        <f t="shared" si="80"/>
        <v>0.77091061556134233</v>
      </c>
      <c r="CL240" s="160">
        <f t="shared" si="78"/>
        <v>2.4378334205970069</v>
      </c>
      <c r="CM240" s="160"/>
      <c r="CN240" s="160"/>
      <c r="CO240" s="55" t="s">
        <v>2488</v>
      </c>
      <c r="CP240" s="55" t="s">
        <v>2489</v>
      </c>
      <c r="CQ240" s="149">
        <v>-3.0111826334240934</v>
      </c>
      <c r="CR240" s="349">
        <f>10^(CJ240-CQ240)</f>
        <v>20.766466550083344</v>
      </c>
      <c r="CS240" s="61" t="s">
        <v>539</v>
      </c>
      <c r="CT240" s="61"/>
      <c r="CU240" s="111">
        <f t="shared" si="69"/>
        <v>36.517205828176394</v>
      </c>
      <c r="CV240" s="331">
        <f t="shared" si="81"/>
        <v>11.54775440591245</v>
      </c>
      <c r="CW240" s="326">
        <f t="shared" si="75"/>
        <v>1</v>
      </c>
      <c r="CX240" s="326"/>
      <c r="CY240" s="161" t="s">
        <v>6351</v>
      </c>
    </row>
    <row r="241" spans="1:103" ht="11.25" customHeight="1" x14ac:dyDescent="0.2">
      <c r="A241" s="72">
        <v>239</v>
      </c>
      <c r="B241" s="149">
        <v>1258</v>
      </c>
      <c r="C241" s="54" t="s">
        <v>3455</v>
      </c>
      <c r="D241" s="54" t="s">
        <v>6454</v>
      </c>
      <c r="E241" s="59"/>
      <c r="F241" s="59" t="s">
        <v>3456</v>
      </c>
      <c r="G241" s="151">
        <v>94133</v>
      </c>
      <c r="H241" s="55" t="s">
        <v>3457</v>
      </c>
      <c r="I241" s="55" t="s">
        <v>3457</v>
      </c>
      <c r="J241" s="55" t="s">
        <v>3458</v>
      </c>
      <c r="K241" s="55" t="s">
        <v>2962</v>
      </c>
      <c r="L241" s="55" t="s">
        <v>6626</v>
      </c>
      <c r="M241" s="55" t="s">
        <v>6616</v>
      </c>
      <c r="N241" s="60" t="s">
        <v>6082</v>
      </c>
      <c r="O241" s="55"/>
      <c r="P241" s="67"/>
      <c r="Q241" s="67" t="s">
        <v>6173</v>
      </c>
      <c r="R241" s="67" t="s">
        <v>6174</v>
      </c>
      <c r="S241" s="67" t="s">
        <v>6176</v>
      </c>
      <c r="T241" s="56">
        <v>180.2</v>
      </c>
      <c r="U241" s="103">
        <v>2.7746947835738069</v>
      </c>
      <c r="V241" s="103">
        <v>2.9372918978912317</v>
      </c>
      <c r="W241" s="103">
        <v>6.3095734448019254</v>
      </c>
      <c r="X241" s="103">
        <v>2.7746947835738069</v>
      </c>
      <c r="Y241" s="162">
        <v>5.21</v>
      </c>
      <c r="Z241" s="56">
        <v>2.98</v>
      </c>
      <c r="AA241" s="56">
        <v>3.04</v>
      </c>
      <c r="AB241" s="56">
        <v>2.85</v>
      </c>
      <c r="AC241" s="56">
        <v>0.84709999999999996</v>
      </c>
      <c r="AD241" s="56">
        <v>2.87</v>
      </c>
      <c r="AE241" s="56">
        <v>2.93</v>
      </c>
      <c r="AF241" s="56">
        <f t="shared" si="82"/>
        <v>3.04</v>
      </c>
      <c r="AG241" s="57">
        <v>2.16</v>
      </c>
      <c r="AH241" s="103">
        <v>6.3700000000000001E-9</v>
      </c>
      <c r="AI241" s="103"/>
      <c r="AJ241" s="62">
        <f t="shared" si="85"/>
        <v>-6.5844268939773016</v>
      </c>
      <c r="AK241" s="62"/>
      <c r="AL241" s="62">
        <f t="shared" si="83"/>
        <v>-6.5844268939773016</v>
      </c>
      <c r="AM241" s="62">
        <v>-10.316300000000002</v>
      </c>
      <c r="AN241" s="154">
        <v>-6.86</v>
      </c>
      <c r="AO241" s="410">
        <v>8.23</v>
      </c>
      <c r="AP241" s="410"/>
      <c r="AQ241" s="56" t="s">
        <v>6311</v>
      </c>
      <c r="AR241" s="56" t="s">
        <v>6312</v>
      </c>
      <c r="AS241" s="155"/>
      <c r="AT241" s="58" t="s">
        <v>266</v>
      </c>
      <c r="AU241" s="56">
        <v>6</v>
      </c>
      <c r="AV241" s="56">
        <v>120</v>
      </c>
      <c r="AW241" s="56">
        <v>114</v>
      </c>
      <c r="AX241" s="56">
        <v>28</v>
      </c>
      <c r="AY241" s="56" t="s">
        <v>8728</v>
      </c>
      <c r="AZ241" s="56" t="s">
        <v>1563</v>
      </c>
      <c r="BA241" s="56">
        <v>32</v>
      </c>
      <c r="BB241" s="55" t="s">
        <v>2485</v>
      </c>
      <c r="BC241" s="55" t="s">
        <v>8726</v>
      </c>
      <c r="BD241" s="55" t="s">
        <v>8374</v>
      </c>
      <c r="BE241" s="56" t="s">
        <v>2449</v>
      </c>
      <c r="BF241" s="56" t="s">
        <v>272</v>
      </c>
      <c r="BG241" s="56" t="s">
        <v>272</v>
      </c>
      <c r="BH241" s="56" t="s">
        <v>2486</v>
      </c>
      <c r="BI241" s="103">
        <v>6.3999999999999997E-6</v>
      </c>
      <c r="BJ241" s="103">
        <v>6.4000000000000001E-2</v>
      </c>
      <c r="BK241" s="56"/>
      <c r="BL241" s="103">
        <f t="shared" si="84"/>
        <v>0.10825849867090886</v>
      </c>
      <c r="BM241" s="56" t="s">
        <v>2487</v>
      </c>
      <c r="BN241" s="56"/>
      <c r="BO241" s="56"/>
      <c r="BP241" s="56"/>
      <c r="BQ241" s="56"/>
      <c r="BR241" s="55">
        <v>2.0238577000000001E-2</v>
      </c>
      <c r="BS241" s="56"/>
      <c r="BT241" s="56"/>
      <c r="BU241" s="158"/>
      <c r="BV241" s="56"/>
      <c r="BW241" s="56"/>
      <c r="BX241" s="56"/>
      <c r="BY241" s="56"/>
      <c r="BZ241" s="56"/>
      <c r="CA241" s="56"/>
      <c r="CB241" s="56"/>
      <c r="CC241" s="56"/>
      <c r="CD241" s="56"/>
      <c r="CE241" s="56"/>
      <c r="CF241" s="56"/>
      <c r="CG241" s="56"/>
      <c r="CH241" s="56"/>
      <c r="CI241" s="103">
        <f t="shared" si="73"/>
        <v>2.0238577000000001E-2</v>
      </c>
      <c r="CJ241" s="103">
        <f t="shared" si="74"/>
        <v>-1.6938200265542473</v>
      </c>
      <c r="CK241" s="57">
        <f t="shared" si="80"/>
        <v>1.691539041732951</v>
      </c>
      <c r="CL241" s="160">
        <f t="shared" si="78"/>
        <v>5.3491161296028302</v>
      </c>
      <c r="CM241" s="160"/>
      <c r="CN241" s="160"/>
      <c r="CO241" s="55" t="s">
        <v>2488</v>
      </c>
      <c r="CP241" s="55" t="s">
        <v>2489</v>
      </c>
      <c r="CQ241" s="149">
        <v>-1.449574812659157</v>
      </c>
      <c r="CR241" s="349">
        <f>10^(CJ241-CQ241)</f>
        <v>0.56984243365624987</v>
      </c>
      <c r="CS241" s="61" t="s">
        <v>539</v>
      </c>
      <c r="CT241" s="61"/>
      <c r="CU241" s="111">
        <f t="shared" si="69"/>
        <v>137.09930216802331</v>
      </c>
      <c r="CV241" s="331">
        <f t="shared" si="81"/>
        <v>43.354605993340734</v>
      </c>
      <c r="CW241" s="326">
        <f t="shared" si="75"/>
        <v>1</v>
      </c>
      <c r="CX241" s="326"/>
      <c r="CY241" s="161" t="s">
        <v>6351</v>
      </c>
    </row>
    <row r="242" spans="1:103" ht="11.25" customHeight="1" x14ac:dyDescent="0.2">
      <c r="A242" s="72">
        <v>240</v>
      </c>
      <c r="B242" s="149">
        <v>913</v>
      </c>
      <c r="C242" s="54" t="s">
        <v>2607</v>
      </c>
      <c r="D242" s="54" t="s">
        <v>6498</v>
      </c>
      <c r="E242" s="59"/>
      <c r="F242" s="59" t="s">
        <v>2608</v>
      </c>
      <c r="G242" s="151">
        <v>2687969</v>
      </c>
      <c r="H242" s="55" t="s">
        <v>2609</v>
      </c>
      <c r="I242" s="55" t="s">
        <v>2609</v>
      </c>
      <c r="J242" s="55" t="s">
        <v>2610</v>
      </c>
      <c r="K242" s="55" t="s">
        <v>471</v>
      </c>
      <c r="L242" s="55"/>
      <c r="M242" s="55" t="s">
        <v>6025</v>
      </c>
      <c r="N242" s="60" t="s">
        <v>2342</v>
      </c>
      <c r="O242" s="55" t="s">
        <v>2342</v>
      </c>
      <c r="P242" s="67" t="s">
        <v>1639</v>
      </c>
      <c r="Q242" s="67" t="s">
        <v>6173</v>
      </c>
      <c r="R242" s="67" t="s">
        <v>6082</v>
      </c>
      <c r="S242" s="67" t="s">
        <v>6173</v>
      </c>
      <c r="T242" s="56">
        <v>253.42</v>
      </c>
      <c r="U242" s="103">
        <v>2.1387420093126035E-2</v>
      </c>
      <c r="V242" s="103">
        <v>2.3131560255701997E-2</v>
      </c>
      <c r="W242" s="103">
        <v>6.4565422903465383E-2</v>
      </c>
      <c r="X242" s="103">
        <v>2.1387420093126035E-2</v>
      </c>
      <c r="Y242" s="162">
        <v>7</v>
      </c>
      <c r="Z242" s="56">
        <v>5.3</v>
      </c>
      <c r="AA242" s="56">
        <v>4.2</v>
      </c>
      <c r="AB242" s="56">
        <v>4.7300000000000004</v>
      </c>
      <c r="AC242" s="56">
        <v>0.86539999999999995</v>
      </c>
      <c r="AD242" s="56">
        <v>4.9000000000000004</v>
      </c>
      <c r="AE242" s="56">
        <v>5.45</v>
      </c>
      <c r="AF242" s="56">
        <f t="shared" si="82"/>
        <v>4.2</v>
      </c>
      <c r="AG242" s="57">
        <v>4.68</v>
      </c>
      <c r="AH242" s="103">
        <v>7.1200000000000002E-7</v>
      </c>
      <c r="AI242" s="103"/>
      <c r="AJ242" s="62">
        <f t="shared" si="85"/>
        <v>-4.5360863326757954</v>
      </c>
      <c r="AK242" s="62"/>
      <c r="AL242" s="62">
        <f t="shared" si="83"/>
        <v>-4.5360863326757954</v>
      </c>
      <c r="AM242" s="62">
        <v>-7.8680500000000002</v>
      </c>
      <c r="AN242" s="154">
        <v>-5.65</v>
      </c>
      <c r="AO242" s="410"/>
      <c r="AP242" s="410">
        <v>-0.43</v>
      </c>
      <c r="AQ242" s="56" t="s">
        <v>6311</v>
      </c>
      <c r="AR242" s="56" t="s">
        <v>6311</v>
      </c>
      <c r="AS242" s="155"/>
      <c r="AT242" s="58" t="s">
        <v>266</v>
      </c>
      <c r="AU242" s="56">
        <v>6</v>
      </c>
      <c r="AV242" s="56">
        <v>120</v>
      </c>
      <c r="AW242" s="56">
        <v>114</v>
      </c>
      <c r="AX242" s="56">
        <v>28</v>
      </c>
      <c r="AY242" s="56" t="s">
        <v>8728</v>
      </c>
      <c r="AZ242" s="56" t="s">
        <v>1563</v>
      </c>
      <c r="BA242" s="56">
        <v>32</v>
      </c>
      <c r="BB242" s="55" t="s">
        <v>2485</v>
      </c>
      <c r="BC242" s="55" t="s">
        <v>8726</v>
      </c>
      <c r="BD242" s="55" t="s">
        <v>8374</v>
      </c>
      <c r="BE242" s="56" t="s">
        <v>2449</v>
      </c>
      <c r="BF242" s="56" t="s">
        <v>272</v>
      </c>
      <c r="BG242" s="56" t="s">
        <v>272</v>
      </c>
      <c r="BH242" s="56" t="s">
        <v>2486</v>
      </c>
      <c r="BI242" s="103">
        <v>6.3999999999999997E-6</v>
      </c>
      <c r="BJ242" s="103">
        <v>6.4000000000000001E-2</v>
      </c>
      <c r="BK242" s="56"/>
      <c r="BL242" s="103">
        <f t="shared" si="84"/>
        <v>8.9303812520457227E-4</v>
      </c>
      <c r="BM242" s="56" t="s">
        <v>2046</v>
      </c>
      <c r="BN242" s="56"/>
      <c r="BO242" s="56"/>
      <c r="BP242" s="56"/>
      <c r="BQ242" s="56"/>
      <c r="BR242" s="55">
        <v>2.0238577000000001E-2</v>
      </c>
      <c r="BS242" s="56"/>
      <c r="BT242" s="56"/>
      <c r="BU242" s="158"/>
      <c r="BV242" s="56"/>
      <c r="BW242" s="56"/>
      <c r="BX242" s="56"/>
      <c r="BY242" s="56"/>
      <c r="BZ242" s="56"/>
      <c r="CA242" s="56"/>
      <c r="CB242" s="56"/>
      <c r="CC242" s="56"/>
      <c r="CD242" s="56"/>
      <c r="CE242" s="56"/>
      <c r="CF242" s="56"/>
      <c r="CG242" s="56"/>
      <c r="CH242" s="56"/>
      <c r="CI242" s="103">
        <f t="shared" si="73"/>
        <v>2.0238577000000001E-2</v>
      </c>
      <c r="CJ242" s="103">
        <f t="shared" si="74"/>
        <v>-1.6938200265542473</v>
      </c>
      <c r="CK242" s="57">
        <f t="shared" si="80"/>
        <v>1.3953720706321442E-2</v>
      </c>
      <c r="CL242" s="160">
        <f t="shared" si="78"/>
        <v>4.4125539320505204E-2</v>
      </c>
      <c r="CM242" s="160"/>
      <c r="CN242" s="160"/>
      <c r="CO242" s="55" t="s">
        <v>2488</v>
      </c>
      <c r="CP242" s="55" t="s">
        <v>2489</v>
      </c>
      <c r="CQ242" s="149">
        <v>-2.6329888749387522</v>
      </c>
      <c r="CR242" s="349">
        <f>10^(CJ242-CQ242)</f>
        <v>8.6929833615932228</v>
      </c>
      <c r="CS242" s="61" t="s">
        <v>539</v>
      </c>
      <c r="CT242" s="61"/>
      <c r="CU242" s="111">
        <f t="shared" si="69"/>
        <v>1.056765013327075</v>
      </c>
      <c r="CV242" s="331">
        <f t="shared" si="81"/>
        <v>0.3341784389550943</v>
      </c>
      <c r="CW242" s="326">
        <f t="shared" si="75"/>
        <v>0</v>
      </c>
      <c r="CX242" s="326"/>
      <c r="CY242" s="161" t="s">
        <v>6351</v>
      </c>
    </row>
    <row r="243" spans="1:103" ht="11.25" customHeight="1" x14ac:dyDescent="0.2">
      <c r="A243" s="72">
        <v>241</v>
      </c>
      <c r="B243" s="149">
        <v>1099</v>
      </c>
      <c r="C243" s="54" t="s">
        <v>3077</v>
      </c>
      <c r="D243" s="54" t="s">
        <v>6505</v>
      </c>
      <c r="E243" s="59"/>
      <c r="F243" s="59" t="s">
        <v>3078</v>
      </c>
      <c r="G243" s="151">
        <v>7173515</v>
      </c>
      <c r="H243" s="55" t="s">
        <v>3079</v>
      </c>
      <c r="I243" s="55" t="s">
        <v>8315</v>
      </c>
      <c r="J243" s="55" t="s">
        <v>3080</v>
      </c>
      <c r="K243" s="55" t="s">
        <v>426</v>
      </c>
      <c r="L243" s="55" t="s">
        <v>6618</v>
      </c>
      <c r="M243" s="55" t="s">
        <v>6025</v>
      </c>
      <c r="N243" s="60" t="s">
        <v>2342</v>
      </c>
      <c r="O243" s="55" t="s">
        <v>2342</v>
      </c>
      <c r="P243" s="67" t="s">
        <v>1639</v>
      </c>
      <c r="Q243" s="67" t="s">
        <v>6173</v>
      </c>
      <c r="R243" s="67" t="s">
        <v>6175</v>
      </c>
      <c r="S243" s="67" t="s">
        <v>6173</v>
      </c>
      <c r="T243" s="56">
        <v>326.62</v>
      </c>
      <c r="U243" s="103"/>
      <c r="V243" s="103">
        <v>1.6854448594697201E-3</v>
      </c>
      <c r="W243" s="103">
        <v>177.82794100389225</v>
      </c>
      <c r="X243" s="103">
        <f>IF(W243=0,V243,W243)</f>
        <v>177.82794100389225</v>
      </c>
      <c r="Y243" s="162">
        <v>7</v>
      </c>
      <c r="Z243" s="56">
        <v>4.66</v>
      </c>
      <c r="AA243" s="56"/>
      <c r="AB243" s="56">
        <v>5.42</v>
      </c>
      <c r="AC243" s="56">
        <v>0.52159999999999995</v>
      </c>
      <c r="AD243" s="56">
        <v>3.85</v>
      </c>
      <c r="AE243" s="56">
        <v>2.5099999999999998</v>
      </c>
      <c r="AF243" s="56">
        <f t="shared" si="82"/>
        <v>3.85</v>
      </c>
      <c r="AG243" s="57">
        <v>7.42</v>
      </c>
      <c r="AH243" s="103">
        <v>6.8500000000000001E-10</v>
      </c>
      <c r="AI243" s="103"/>
      <c r="AJ243" s="62">
        <f t="shared" si="85"/>
        <v>-7.5528757548202261</v>
      </c>
      <c r="AK243" s="62"/>
      <c r="AL243" s="62">
        <f t="shared" si="83"/>
        <v>-7.5528757548202261</v>
      </c>
      <c r="AM243" s="62">
        <v>-1.78026</v>
      </c>
      <c r="AN243" s="154">
        <v>-0.93500000000000005</v>
      </c>
      <c r="AO243" s="410"/>
      <c r="AP243" s="410"/>
      <c r="AQ243" s="56" t="s">
        <v>6311</v>
      </c>
      <c r="AR243" s="56" t="s">
        <v>6311</v>
      </c>
      <c r="AS243" s="155"/>
      <c r="AT243" s="58" t="s">
        <v>266</v>
      </c>
      <c r="AU243" s="56">
        <v>6</v>
      </c>
      <c r="AV243" s="56">
        <v>120</v>
      </c>
      <c r="AW243" s="56">
        <v>114</v>
      </c>
      <c r="AX243" s="56">
        <v>28</v>
      </c>
      <c r="AY243" s="56" t="s">
        <v>8728</v>
      </c>
      <c r="AZ243" s="56" t="s">
        <v>1563</v>
      </c>
      <c r="BA243" s="56">
        <v>32</v>
      </c>
      <c r="BB243" s="55" t="s">
        <v>2485</v>
      </c>
      <c r="BC243" s="55" t="s">
        <v>8726</v>
      </c>
      <c r="BD243" s="55" t="s">
        <v>8374</v>
      </c>
      <c r="BE243" s="56" t="s">
        <v>2449</v>
      </c>
      <c r="BF243" s="56" t="s">
        <v>272</v>
      </c>
      <c r="BG243" s="56" t="s">
        <v>272</v>
      </c>
      <c r="BH243" s="56" t="s">
        <v>2486</v>
      </c>
      <c r="BI243" s="103">
        <v>6.3999999999999997E-6</v>
      </c>
      <c r="BJ243" s="103">
        <v>6.4000000000000001E-2</v>
      </c>
      <c r="BK243" s="56"/>
      <c r="BL243" s="103">
        <f t="shared" si="84"/>
        <v>3.3547024047339783E-3</v>
      </c>
      <c r="BM243" s="56" t="s">
        <v>2487</v>
      </c>
      <c r="BN243" s="56"/>
      <c r="BO243" s="56"/>
      <c r="BP243" s="56"/>
      <c r="BQ243" s="56"/>
      <c r="BR243" s="55">
        <v>2.0238577000000001E-2</v>
      </c>
      <c r="BS243" s="56"/>
      <c r="BT243" s="56"/>
      <c r="BU243" s="158"/>
      <c r="BV243" s="56"/>
      <c r="BW243" s="56"/>
      <c r="BX243" s="56"/>
      <c r="BY243" s="56"/>
      <c r="BZ243" s="56"/>
      <c r="CA243" s="56"/>
      <c r="CB243" s="56"/>
      <c r="CC243" s="56"/>
      <c r="CD243" s="56"/>
      <c r="CE243" s="56"/>
      <c r="CF243" s="56"/>
      <c r="CG243" s="56"/>
      <c r="CH243" s="56"/>
      <c r="CI243" s="103">
        <f t="shared" si="73"/>
        <v>2.0238577000000001E-2</v>
      </c>
      <c r="CJ243" s="103">
        <f t="shared" si="74"/>
        <v>-1.6938200265542473</v>
      </c>
      <c r="CK243" s="57">
        <f t="shared" si="80"/>
        <v>5.2417225073968413E-2</v>
      </c>
      <c r="CL243" s="160">
        <f t="shared" si="78"/>
        <v>0.16575782006481871</v>
      </c>
      <c r="CM243" s="160"/>
      <c r="CN243" s="160"/>
      <c r="CO243" s="55" t="s">
        <v>2488</v>
      </c>
      <c r="CP243" s="55" t="s">
        <v>2489</v>
      </c>
      <c r="CQ243" s="149">
        <v>-2.7545876227160475</v>
      </c>
      <c r="CR243" s="349">
        <f>10^(CJ243-CQ243)</f>
        <v>11.501847263215499</v>
      </c>
      <c r="CS243" s="61" t="s">
        <v>539</v>
      </c>
      <c r="CT243" s="61"/>
      <c r="CU243" s="111">
        <f t="shared" si="69"/>
        <v>8786.5832169866608</v>
      </c>
      <c r="CV243" s="331">
        <f t="shared" si="81"/>
        <v>2778.5615781858164</v>
      </c>
      <c r="CW243" s="326">
        <f t="shared" si="75"/>
        <v>1</v>
      </c>
      <c r="CX243" s="326"/>
      <c r="CY243" s="161" t="s">
        <v>6351</v>
      </c>
    </row>
    <row r="244" spans="1:103" ht="11.25" customHeight="1" x14ac:dyDescent="0.2">
      <c r="A244" s="72">
        <v>242</v>
      </c>
      <c r="B244" s="149">
        <v>1116</v>
      </c>
      <c r="C244" s="54" t="s">
        <v>3118</v>
      </c>
      <c r="D244" s="54" t="s">
        <v>6513</v>
      </c>
      <c r="E244" s="59"/>
      <c r="F244" s="59" t="s">
        <v>1699</v>
      </c>
      <c r="G244" s="151">
        <v>27176870</v>
      </c>
      <c r="H244" s="55" t="s">
        <v>1700</v>
      </c>
      <c r="I244" s="55" t="s">
        <v>1700</v>
      </c>
      <c r="J244" s="55" t="s">
        <v>3119</v>
      </c>
      <c r="K244" s="55" t="s">
        <v>426</v>
      </c>
      <c r="L244" s="55"/>
      <c r="M244" s="55" t="s">
        <v>6025</v>
      </c>
      <c r="N244" s="60" t="s">
        <v>2342</v>
      </c>
      <c r="O244" s="55" t="s">
        <v>2342</v>
      </c>
      <c r="P244" s="67" t="s">
        <v>6631</v>
      </c>
      <c r="Q244" s="67" t="s">
        <v>6173</v>
      </c>
      <c r="R244" s="67" t="s">
        <v>6082</v>
      </c>
      <c r="S244" s="67" t="s">
        <v>6173</v>
      </c>
      <c r="T244" s="56">
        <v>326.5</v>
      </c>
      <c r="U244" s="103"/>
      <c r="V244" s="103">
        <v>2.1537519142419605E-3</v>
      </c>
      <c r="W244" s="103">
        <v>17.782794100389225</v>
      </c>
      <c r="X244" s="103">
        <f>IF(W244=0,V244,W244)</f>
        <v>17.782794100389225</v>
      </c>
      <c r="Y244" s="162">
        <v>1.76</v>
      </c>
      <c r="Z244" s="56">
        <v>4.78</v>
      </c>
      <c r="AA244" s="56"/>
      <c r="AB244" s="56">
        <v>4.1500000000000004</v>
      </c>
      <c r="AC244" s="56">
        <v>0.40200000000000002</v>
      </c>
      <c r="AD244" s="56">
        <v>5.84</v>
      </c>
      <c r="AE244" s="56">
        <v>6.77</v>
      </c>
      <c r="AF244" s="56">
        <f t="shared" si="82"/>
        <v>5.84</v>
      </c>
      <c r="AG244" s="57">
        <v>5.12</v>
      </c>
      <c r="AH244" s="103">
        <v>6.2699999999999999E-8</v>
      </c>
      <c r="AI244" s="103"/>
      <c r="AJ244" s="62">
        <f t="shared" si="85"/>
        <v>-5.5912987854819356</v>
      </c>
      <c r="AK244" s="62"/>
      <c r="AL244" s="62">
        <f t="shared" si="83"/>
        <v>-5.5912987854819356</v>
      </c>
      <c r="AM244" s="62">
        <v>-12.315449999999998</v>
      </c>
      <c r="AN244" s="154">
        <v>-13.5</v>
      </c>
      <c r="AO244" s="410">
        <v>-0.45</v>
      </c>
      <c r="AP244" s="410"/>
      <c r="AQ244" s="56" t="s">
        <v>6311</v>
      </c>
      <c r="AR244" s="56" t="s">
        <v>6311</v>
      </c>
      <c r="AS244" s="155"/>
      <c r="AT244" s="58" t="s">
        <v>266</v>
      </c>
      <c r="AU244" s="56">
        <v>6</v>
      </c>
      <c r="AV244" s="56">
        <v>120</v>
      </c>
      <c r="AW244" s="56">
        <v>114</v>
      </c>
      <c r="AX244" s="56">
        <v>28</v>
      </c>
      <c r="AY244" s="56" t="s">
        <v>8728</v>
      </c>
      <c r="AZ244" s="56" t="s">
        <v>1563</v>
      </c>
      <c r="BA244" s="56">
        <v>32</v>
      </c>
      <c r="BB244" s="55" t="s">
        <v>2485</v>
      </c>
      <c r="BC244" s="55" t="s">
        <v>8726</v>
      </c>
      <c r="BD244" s="55" t="s">
        <v>8374</v>
      </c>
      <c r="BE244" s="56" t="s">
        <v>2449</v>
      </c>
      <c r="BF244" s="56" t="s">
        <v>272</v>
      </c>
      <c r="BG244" s="56" t="s">
        <v>272</v>
      </c>
      <c r="BH244" s="56" t="s">
        <v>2486</v>
      </c>
      <c r="BI244" s="103">
        <v>6.3999999999999997E-6</v>
      </c>
      <c r="BJ244" s="103">
        <v>6.4000000000000001E-2</v>
      </c>
      <c r="BK244" s="56"/>
      <c r="BL244" s="103">
        <f t="shared" si="84"/>
        <v>2.6174717313305926E-3</v>
      </c>
      <c r="BM244" s="56" t="s">
        <v>2487</v>
      </c>
      <c r="BN244" s="56"/>
      <c r="BO244" s="56"/>
      <c r="BP244" s="56"/>
      <c r="BQ244" s="56"/>
      <c r="BR244" s="55">
        <v>2.0238577000000001E-2</v>
      </c>
      <c r="BS244" s="56"/>
      <c r="BT244" s="56"/>
      <c r="BU244" s="158"/>
      <c r="BV244" s="56"/>
      <c r="BW244" s="56"/>
      <c r="BX244" s="56"/>
      <c r="BY244" s="56"/>
      <c r="BZ244" s="56"/>
      <c r="CA244" s="56"/>
      <c r="CB244" s="56"/>
      <c r="CC244" s="56"/>
      <c r="CD244" s="56"/>
      <c r="CE244" s="56"/>
      <c r="CF244" s="56"/>
      <c r="CG244" s="56"/>
      <c r="CH244" s="56"/>
      <c r="CI244" s="103">
        <f t="shared" si="73"/>
        <v>2.0238577000000001E-2</v>
      </c>
      <c r="CJ244" s="103">
        <f t="shared" si="74"/>
        <v>-1.6938200265542473</v>
      </c>
      <c r="CK244" s="57">
        <f t="shared" si="80"/>
        <v>4.089799580204051E-2</v>
      </c>
      <c r="CL244" s="160">
        <f t="shared" si="78"/>
        <v>0.12933081863070672</v>
      </c>
      <c r="CM244" s="160"/>
      <c r="CN244" s="160"/>
      <c r="CO244" s="55" t="s">
        <v>2488</v>
      </c>
      <c r="CP244" s="55" t="s">
        <v>2489</v>
      </c>
      <c r="CQ244" s="149">
        <v>-2.2521967834096133</v>
      </c>
      <c r="CR244" s="349">
        <f>10^(CJ244-CQ244)</f>
        <v>3.6172352704956503</v>
      </c>
      <c r="CS244" s="61" t="s">
        <v>539</v>
      </c>
      <c r="CT244" s="61"/>
      <c r="CU244" s="111">
        <f t="shared" si="69"/>
        <v>878.6583216986661</v>
      </c>
      <c r="CV244" s="331">
        <f t="shared" si="81"/>
        <v>277.85615781858161</v>
      </c>
      <c r="CW244" s="326">
        <f t="shared" si="75"/>
        <v>1</v>
      </c>
      <c r="CX244" s="326"/>
      <c r="CY244" s="161" t="s">
        <v>5921</v>
      </c>
    </row>
    <row r="245" spans="1:103" ht="11.25" customHeight="1" x14ac:dyDescent="0.2">
      <c r="A245" s="72">
        <v>243</v>
      </c>
      <c r="B245" s="149">
        <v>1959</v>
      </c>
      <c r="C245" s="54" t="s">
        <v>5523</v>
      </c>
      <c r="D245" s="54"/>
      <c r="E245" s="59"/>
      <c r="F245" s="167" t="s">
        <v>5524</v>
      </c>
      <c r="G245" s="151">
        <v>21757824</v>
      </c>
      <c r="H245" s="67" t="s">
        <v>5525</v>
      </c>
      <c r="I245" s="67" t="s">
        <v>8316</v>
      </c>
      <c r="J245" s="67" t="s">
        <v>5526</v>
      </c>
      <c r="K245" s="67" t="s">
        <v>357</v>
      </c>
      <c r="L245" s="67"/>
      <c r="M245" s="67"/>
      <c r="N245" s="60"/>
      <c r="O245" s="67"/>
      <c r="P245" s="67">
        <v>3</v>
      </c>
      <c r="Q245" s="67" t="s">
        <v>6173</v>
      </c>
      <c r="R245" s="67">
        <v>1</v>
      </c>
      <c r="S245" s="67" t="s">
        <v>6173</v>
      </c>
      <c r="T245" s="61">
        <v>336.43</v>
      </c>
      <c r="U245" s="111">
        <v>0.14861932645721249</v>
      </c>
      <c r="V245" s="111">
        <v>1.396724430044883E-3</v>
      </c>
      <c r="W245" s="111">
        <v>1.6218100973589292E-2</v>
      </c>
      <c r="X245" s="111">
        <v>0.14861932645721249</v>
      </c>
      <c r="Y245" s="411">
        <v>7</v>
      </c>
      <c r="Z245" s="61">
        <v>5.14</v>
      </c>
      <c r="AA245" s="61">
        <v>4.92</v>
      </c>
      <c r="AB245" s="61">
        <v>5.33</v>
      </c>
      <c r="AC245" s="61">
        <v>0.84079999999999999</v>
      </c>
      <c r="AD245" s="61">
        <v>5.18</v>
      </c>
      <c r="AE245" s="61">
        <v>4.7300000000000004</v>
      </c>
      <c r="AF245" s="61">
        <f t="shared" si="82"/>
        <v>4.92</v>
      </c>
      <c r="AG245" s="62">
        <v>5.18</v>
      </c>
      <c r="AH245" s="111">
        <v>4.51E-7</v>
      </c>
      <c r="AI245" s="111"/>
      <c r="AJ245" s="62">
        <f t="shared" si="85"/>
        <v>-4.7343897844346916</v>
      </c>
      <c r="AK245" s="62"/>
      <c r="AL245" s="62">
        <f t="shared" si="83"/>
        <v>-4.7343897844346916</v>
      </c>
      <c r="AM245" s="62">
        <v>-7.6792999999999987</v>
      </c>
      <c r="AN245" s="163"/>
      <c r="AO245" s="410"/>
      <c r="AP245" s="410"/>
      <c r="AQ245" s="163" t="s">
        <v>6311</v>
      </c>
      <c r="AR245" s="163" t="s">
        <v>6312</v>
      </c>
      <c r="AS245" s="164" t="s">
        <v>5466</v>
      </c>
      <c r="AT245" s="63" t="s">
        <v>266</v>
      </c>
      <c r="AU245" s="61" t="s">
        <v>6231</v>
      </c>
      <c r="AV245" s="61">
        <v>96</v>
      </c>
      <c r="AW245" s="61">
        <v>96</v>
      </c>
      <c r="AX245" s="61">
        <v>27</v>
      </c>
      <c r="AY245" s="61">
        <v>24</v>
      </c>
      <c r="AZ245" s="178" t="s">
        <v>536</v>
      </c>
      <c r="BA245" s="61">
        <v>20</v>
      </c>
      <c r="BB245" s="67" t="s">
        <v>1764</v>
      </c>
      <c r="BC245" s="180" t="s">
        <v>8726</v>
      </c>
      <c r="BD245" s="180" t="s">
        <v>8374</v>
      </c>
      <c r="BE245" s="61" t="s">
        <v>2449</v>
      </c>
      <c r="BF245" s="61" t="s">
        <v>272</v>
      </c>
      <c r="BG245" s="61" t="s">
        <v>272</v>
      </c>
      <c r="BH245" s="61" t="s">
        <v>6232</v>
      </c>
      <c r="BI245" s="111">
        <f>0.2/363.43</f>
        <v>5.5031230223151636E-4</v>
      </c>
      <c r="BJ245" s="111">
        <f>10/363.43</f>
        <v>2.7515615111575818E-2</v>
      </c>
      <c r="BK245" s="165"/>
      <c r="BL245" s="111">
        <f t="shared" si="84"/>
        <v>1.2432715622339686E-3</v>
      </c>
      <c r="BM245" s="61" t="s">
        <v>1584</v>
      </c>
      <c r="BN245" s="61">
        <v>3.2000000000000002E-3</v>
      </c>
      <c r="BO245" s="61">
        <v>2.0999999999999999E-3</v>
      </c>
      <c r="BP245" s="61">
        <v>2.0999999999999999E-3</v>
      </c>
      <c r="BQ245" s="61">
        <v>1.81E-3</v>
      </c>
      <c r="BR245" s="61"/>
      <c r="BS245" s="61"/>
      <c r="BT245" s="61"/>
      <c r="BU245" s="158"/>
      <c r="BV245" s="61"/>
      <c r="BW245" s="61"/>
      <c r="BX245" s="61"/>
      <c r="BY245" s="61"/>
      <c r="BZ245" s="61"/>
      <c r="CA245" s="61"/>
      <c r="CB245" s="61"/>
      <c r="CC245" s="61"/>
      <c r="CD245" s="61"/>
      <c r="CE245" s="61"/>
      <c r="CF245" s="61"/>
      <c r="CG245" s="61"/>
      <c r="CH245" s="61"/>
      <c r="CI245" s="111">
        <f t="shared" si="73"/>
        <v>1.81E-3</v>
      </c>
      <c r="CJ245" s="103">
        <f t="shared" si="74"/>
        <v>-2.7423214251308154</v>
      </c>
      <c r="CK245" s="57">
        <f t="shared" si="80"/>
        <v>4.5184218386269119E-2</v>
      </c>
      <c r="CL245" s="160">
        <f t="shared" si="78"/>
        <v>0.68689036587512076</v>
      </c>
      <c r="CM245" s="160"/>
      <c r="CN245" s="160"/>
      <c r="CO245" s="67" t="s">
        <v>6235</v>
      </c>
      <c r="CP245" s="67" t="s">
        <v>6233</v>
      </c>
      <c r="CQ245" s="149" t="s">
        <v>272</v>
      </c>
      <c r="CR245" s="349"/>
      <c r="CS245" s="61" t="s">
        <v>539</v>
      </c>
      <c r="CT245" s="61"/>
      <c r="CU245" s="111">
        <f t="shared" si="69"/>
        <v>82.110125114482031</v>
      </c>
      <c r="CV245" s="331">
        <f t="shared" si="81"/>
        <v>5.4012721814344733</v>
      </c>
      <c r="CW245" s="326">
        <f t="shared" si="75"/>
        <v>1</v>
      </c>
      <c r="CX245" s="326"/>
      <c r="CY245" s="161" t="s">
        <v>5921</v>
      </c>
    </row>
    <row r="246" spans="1:103" ht="11.25" customHeight="1" x14ac:dyDescent="0.2">
      <c r="A246" s="72">
        <v>244</v>
      </c>
      <c r="B246" s="149">
        <v>1217</v>
      </c>
      <c r="C246" s="54" t="s">
        <v>3359</v>
      </c>
      <c r="D246" s="54" t="s">
        <v>6460</v>
      </c>
      <c r="E246" s="59"/>
      <c r="F246" s="59" t="s">
        <v>3360</v>
      </c>
      <c r="G246" s="151">
        <v>101542</v>
      </c>
      <c r="H246" s="55" t="s">
        <v>3361</v>
      </c>
      <c r="I246" s="55" t="s">
        <v>3361</v>
      </c>
      <c r="J246" s="55" t="s">
        <v>3362</v>
      </c>
      <c r="K246" s="55" t="s">
        <v>1573</v>
      </c>
      <c r="L246" s="55"/>
      <c r="M246" s="55" t="s">
        <v>6616</v>
      </c>
      <c r="N246" s="60" t="s">
        <v>6082</v>
      </c>
      <c r="O246" s="55"/>
      <c r="P246" s="67">
        <v>3</v>
      </c>
      <c r="Q246" s="67" t="s">
        <v>6173</v>
      </c>
      <c r="R246" s="67">
        <v>1</v>
      </c>
      <c r="S246" s="67" t="s">
        <v>6173</v>
      </c>
      <c r="T246" s="56">
        <v>184.24</v>
      </c>
      <c r="U246" s="103"/>
      <c r="V246" s="103">
        <v>7.8864524533217537</v>
      </c>
      <c r="W246" s="103">
        <v>2.8840315031266042</v>
      </c>
      <c r="X246" s="103">
        <f>IF(W246=0,V246,W246)</f>
        <v>2.8840315031266042</v>
      </c>
      <c r="Y246" s="162">
        <v>8.17</v>
      </c>
      <c r="Z246" s="56">
        <v>1.82</v>
      </c>
      <c r="AA246" s="56"/>
      <c r="AB246" s="56">
        <v>2.06</v>
      </c>
      <c r="AC246" s="56">
        <v>0.78690000000000004</v>
      </c>
      <c r="AD246" s="56">
        <v>1.82</v>
      </c>
      <c r="AE246" s="56">
        <v>1.29</v>
      </c>
      <c r="AF246" s="56">
        <f t="shared" si="82"/>
        <v>1.82</v>
      </c>
      <c r="AG246" s="57">
        <v>2.52</v>
      </c>
      <c r="AH246" s="103">
        <v>3.7100000000000001E-10</v>
      </c>
      <c r="AI246" s="103"/>
      <c r="AJ246" s="62">
        <f t="shared" si="85"/>
        <v>-7.8191924166976063</v>
      </c>
      <c r="AK246" s="62"/>
      <c r="AL246" s="62">
        <f t="shared" si="83"/>
        <v>-7.8191924166976063</v>
      </c>
      <c r="AM246" s="62">
        <v>-11.753459999999999</v>
      </c>
      <c r="AN246" s="154">
        <v>-7.23</v>
      </c>
      <c r="AO246" s="410"/>
      <c r="AP246" s="410">
        <v>5.2</v>
      </c>
      <c r="AQ246" s="56" t="s">
        <v>6311</v>
      </c>
      <c r="AR246" s="56" t="s">
        <v>6311</v>
      </c>
      <c r="AS246" s="155"/>
      <c r="AT246" s="58" t="s">
        <v>266</v>
      </c>
      <c r="AU246" s="56">
        <v>6</v>
      </c>
      <c r="AV246" s="56">
        <v>120</v>
      </c>
      <c r="AW246" s="56">
        <v>114</v>
      </c>
      <c r="AX246" s="56">
        <v>28</v>
      </c>
      <c r="AY246" s="56" t="s">
        <v>8728</v>
      </c>
      <c r="AZ246" s="56" t="s">
        <v>1563</v>
      </c>
      <c r="BA246" s="56">
        <v>32</v>
      </c>
      <c r="BB246" s="55" t="s">
        <v>2485</v>
      </c>
      <c r="BC246" s="55" t="s">
        <v>8726</v>
      </c>
      <c r="BD246" s="55" t="s">
        <v>8374</v>
      </c>
      <c r="BE246" s="56" t="s">
        <v>2449</v>
      </c>
      <c r="BF246" s="56" t="s">
        <v>272</v>
      </c>
      <c r="BG246" s="56" t="s">
        <v>272</v>
      </c>
      <c r="BH246" s="56" t="s">
        <v>2486</v>
      </c>
      <c r="BI246" s="103">
        <v>6.3999999999999997E-6</v>
      </c>
      <c r="BJ246" s="103">
        <v>6.4000000000000001E-2</v>
      </c>
      <c r="BK246" s="56"/>
      <c r="BL246" s="103">
        <f t="shared" si="84"/>
        <v>1.1919498957840944</v>
      </c>
      <c r="BM246" s="56" t="s">
        <v>2046</v>
      </c>
      <c r="BN246" s="56"/>
      <c r="BO246" s="56"/>
      <c r="BP246" s="56"/>
      <c r="BQ246" s="56"/>
      <c r="BR246" s="55">
        <v>2.0238577000000001E-2</v>
      </c>
      <c r="BS246" s="56"/>
      <c r="BT246" s="56"/>
      <c r="BU246" s="158"/>
      <c r="BV246" s="56"/>
      <c r="BW246" s="56"/>
      <c r="BX246" s="56"/>
      <c r="BY246" s="56"/>
      <c r="BZ246" s="56"/>
      <c r="CA246" s="56"/>
      <c r="CB246" s="56"/>
      <c r="CC246" s="56"/>
      <c r="CD246" s="56"/>
      <c r="CE246" s="56"/>
      <c r="CF246" s="56"/>
      <c r="CG246" s="56"/>
      <c r="CH246" s="56"/>
      <c r="CI246" s="103">
        <f t="shared" si="73"/>
        <v>2.0238577000000001E-2</v>
      </c>
      <c r="CJ246" s="103">
        <f t="shared" si="74"/>
        <v>-1.6938200265542473</v>
      </c>
      <c r="CK246" s="57">
        <f t="shared" si="80"/>
        <v>18.624217121626476</v>
      </c>
      <c r="CL246" s="160">
        <f t="shared" si="78"/>
        <v>58.894945814821583</v>
      </c>
      <c r="CM246" s="160"/>
      <c r="CN246" s="160"/>
      <c r="CO246" s="55" t="s">
        <v>2488</v>
      </c>
      <c r="CP246" s="55" t="s">
        <v>2489</v>
      </c>
      <c r="CQ246" s="149">
        <v>-2.4328750122499385</v>
      </c>
      <c r="CR246" s="349">
        <f>10^(CJ246-CQ246)</f>
        <v>5.4834638624705896</v>
      </c>
      <c r="CS246" s="61" t="s">
        <v>539</v>
      </c>
      <c r="CT246" s="61"/>
      <c r="CU246" s="111">
        <f t="shared" si="69"/>
        <v>142.50169382593469</v>
      </c>
      <c r="CV246" s="331">
        <f t="shared" si="81"/>
        <v>45.062992236353189</v>
      </c>
      <c r="CW246" s="326">
        <f t="shared" si="75"/>
        <v>1</v>
      </c>
      <c r="CX246" s="326"/>
      <c r="CY246" s="161" t="s">
        <v>6351</v>
      </c>
    </row>
    <row r="247" spans="1:103" ht="11.25" customHeight="1" x14ac:dyDescent="0.2">
      <c r="A247" s="72">
        <v>245</v>
      </c>
      <c r="B247" s="149">
        <v>1119</v>
      </c>
      <c r="C247" s="54" t="s">
        <v>3126</v>
      </c>
      <c r="D247" s="54" t="s">
        <v>6589</v>
      </c>
      <c r="E247" s="59"/>
      <c r="F247" s="59" t="s">
        <v>3127</v>
      </c>
      <c r="G247" s="151">
        <v>155569918</v>
      </c>
      <c r="H247" s="55" t="s">
        <v>3128</v>
      </c>
      <c r="I247" s="55" t="s">
        <v>7849</v>
      </c>
      <c r="J247" s="55" t="s">
        <v>3129</v>
      </c>
      <c r="K247" s="55" t="s">
        <v>3130</v>
      </c>
      <c r="L247" s="55" t="s">
        <v>617</v>
      </c>
      <c r="M247" s="55" t="s">
        <v>917</v>
      </c>
      <c r="N247" s="60" t="s">
        <v>6376</v>
      </c>
      <c r="O247" s="55" t="s">
        <v>918</v>
      </c>
      <c r="P247" s="67">
        <v>3</v>
      </c>
      <c r="Q247" s="67" t="s">
        <v>6173</v>
      </c>
      <c r="R247" s="67">
        <v>1</v>
      </c>
      <c r="S247" s="67" t="s">
        <v>6173</v>
      </c>
      <c r="T247" s="56">
        <v>886.12</v>
      </c>
      <c r="U247" s="103"/>
      <c r="V247" s="103"/>
      <c r="W247" s="103">
        <v>9.1201083935590926E-2</v>
      </c>
      <c r="X247" s="103">
        <f>IF(W247=0,V247,W247)</f>
        <v>9.1201083935590926E-2</v>
      </c>
      <c r="Y247" s="162">
        <v>9.2799999999999994</v>
      </c>
      <c r="Z247" s="56"/>
      <c r="AA247" s="56"/>
      <c r="AB247" s="56">
        <v>5.8</v>
      </c>
      <c r="AC247" s="56">
        <v>0.46229999999999999</v>
      </c>
      <c r="AD247" s="56">
        <v>6.32</v>
      </c>
      <c r="AE247" s="56">
        <v>6.84</v>
      </c>
      <c r="AF247" s="56">
        <f t="shared" si="82"/>
        <v>6.32</v>
      </c>
      <c r="AG247" s="57">
        <v>4.72</v>
      </c>
      <c r="AH247" s="103">
        <v>8.4699999999999999E-30</v>
      </c>
      <c r="AI247" s="103"/>
      <c r="AJ247" s="62">
        <f t="shared" si="85"/>
        <v>-27.460682915981945</v>
      </c>
      <c r="AK247" s="62"/>
      <c r="AL247" s="62">
        <f t="shared" si="83"/>
        <v>-27.460682915981945</v>
      </c>
      <c r="AM247" s="62">
        <v>-40.072839999999999</v>
      </c>
      <c r="AN247" s="154">
        <v>-34.200000000000003</v>
      </c>
      <c r="AO247" s="410">
        <v>12.42</v>
      </c>
      <c r="AP247" s="410">
        <v>8.7100000000000009</v>
      </c>
      <c r="AQ247" s="56" t="s">
        <v>6311</v>
      </c>
      <c r="AR247" s="56" t="s">
        <v>6311</v>
      </c>
      <c r="AS247" s="155"/>
      <c r="AT247" s="58" t="s">
        <v>266</v>
      </c>
      <c r="AU247" s="56">
        <v>6</v>
      </c>
      <c r="AV247" s="56">
        <v>120</v>
      </c>
      <c r="AW247" s="56">
        <v>114</v>
      </c>
      <c r="AX247" s="56">
        <v>28</v>
      </c>
      <c r="AY247" s="56" t="s">
        <v>8728</v>
      </c>
      <c r="AZ247" s="56" t="s">
        <v>1563</v>
      </c>
      <c r="BA247" s="56">
        <v>32</v>
      </c>
      <c r="BB247" s="55" t="s">
        <v>2485</v>
      </c>
      <c r="BC247" s="55" t="s">
        <v>8726</v>
      </c>
      <c r="BD247" s="55" t="s">
        <v>8374</v>
      </c>
      <c r="BE247" s="56" t="s">
        <v>2449</v>
      </c>
      <c r="BF247" s="56" t="s">
        <v>272</v>
      </c>
      <c r="BG247" s="56" t="s">
        <v>272</v>
      </c>
      <c r="BH247" s="56" t="s">
        <v>2486</v>
      </c>
      <c r="BI247" s="103">
        <v>6.3999999999999997E-6</v>
      </c>
      <c r="BJ247" s="103">
        <v>6.4000000000000001E-2</v>
      </c>
      <c r="BK247" s="56"/>
      <c r="BL247" s="103"/>
      <c r="BM247" s="56" t="s">
        <v>2046</v>
      </c>
      <c r="BN247" s="56">
        <v>20.238577029999998</v>
      </c>
      <c r="BO247" s="56"/>
      <c r="BP247" s="56"/>
      <c r="BQ247" s="56"/>
      <c r="BR247" s="55">
        <v>2.0238577000000001E-2</v>
      </c>
      <c r="BS247" s="56"/>
      <c r="BT247" s="56"/>
      <c r="BU247" s="158"/>
      <c r="BV247" s="56"/>
      <c r="BW247" s="56"/>
      <c r="BX247" s="56"/>
      <c r="BY247" s="56"/>
      <c r="BZ247" s="56"/>
      <c r="CA247" s="56"/>
      <c r="CB247" s="56"/>
      <c r="CC247" s="56"/>
      <c r="CD247" s="56"/>
      <c r="CE247" s="56"/>
      <c r="CF247" s="56"/>
      <c r="CG247" s="56"/>
      <c r="CH247" s="56"/>
      <c r="CI247" s="103">
        <f t="shared" si="73"/>
        <v>2.0238577000000001E-2</v>
      </c>
      <c r="CJ247" s="103">
        <f t="shared" si="74"/>
        <v>-1.6938200265542473</v>
      </c>
      <c r="CK247" s="57">
        <f t="shared" si="80"/>
        <v>0</v>
      </c>
      <c r="CL247" s="160">
        <f t="shared" si="78"/>
        <v>0</v>
      </c>
      <c r="CM247" s="160"/>
      <c r="CN247" s="160"/>
      <c r="CO247" s="55" t="s">
        <v>2488</v>
      </c>
      <c r="CP247" s="55" t="s">
        <v>2489</v>
      </c>
      <c r="CQ247" s="149">
        <v>-3.6862847110550652</v>
      </c>
      <c r="CR247" s="349">
        <f>10^(CJ247-CQ247)</f>
        <v>98.279895154528305</v>
      </c>
      <c r="CS247" s="61" t="s">
        <v>539</v>
      </c>
      <c r="CT247" s="61"/>
      <c r="CU247" s="111">
        <f t="shared" ref="CU247:CU310" si="86">X247/CI247</f>
        <v>4.506299229219076</v>
      </c>
      <c r="CV247" s="331">
        <f t="shared" si="81"/>
        <v>1.4250169364936083</v>
      </c>
      <c r="CW247" s="326">
        <f t="shared" si="75"/>
        <v>1</v>
      </c>
      <c r="CX247" s="326"/>
      <c r="CY247" s="161" t="s">
        <v>5921</v>
      </c>
    </row>
    <row r="248" spans="1:103" ht="11.25" customHeight="1" x14ac:dyDescent="0.2">
      <c r="A248" s="72">
        <v>246</v>
      </c>
      <c r="B248" s="149">
        <v>976</v>
      </c>
      <c r="C248" s="54" t="s">
        <v>2787</v>
      </c>
      <c r="D248" s="54" t="s">
        <v>6525</v>
      </c>
      <c r="E248" s="59"/>
      <c r="F248" s="59" t="s">
        <v>2788</v>
      </c>
      <c r="G248" s="151">
        <v>55406536</v>
      </c>
      <c r="H248" s="55" t="s">
        <v>2789</v>
      </c>
      <c r="I248" s="55" t="s">
        <v>8317</v>
      </c>
      <c r="J248" s="55" t="s">
        <v>2790</v>
      </c>
      <c r="K248" s="55" t="s">
        <v>912</v>
      </c>
      <c r="L248" s="55" t="s">
        <v>5929</v>
      </c>
      <c r="M248" s="55" t="s">
        <v>6025</v>
      </c>
      <c r="N248" s="60" t="s">
        <v>2342</v>
      </c>
      <c r="O248" s="55" t="s">
        <v>2342</v>
      </c>
      <c r="P248" s="67" t="s">
        <v>6631</v>
      </c>
      <c r="Q248" s="67" t="s">
        <v>6173</v>
      </c>
      <c r="R248" s="67" t="s">
        <v>6082</v>
      </c>
      <c r="S248" s="67" t="s">
        <v>6173</v>
      </c>
      <c r="T248" s="56">
        <v>281.08999999999997</v>
      </c>
      <c r="U248" s="103"/>
      <c r="V248" s="103">
        <v>0.45038955494681421</v>
      </c>
      <c r="W248" s="103">
        <v>0.25118864315095774</v>
      </c>
      <c r="X248" s="103">
        <f>IF(W248=0,V248,W248)</f>
        <v>0.25118864315095774</v>
      </c>
      <c r="Y248" s="162">
        <v>6.99</v>
      </c>
      <c r="Z248" s="56">
        <v>2.4500000000000002</v>
      </c>
      <c r="AA248" s="56"/>
      <c r="AB248" s="56">
        <v>2.06</v>
      </c>
      <c r="AC248" s="56">
        <v>0.52690000000000003</v>
      </c>
      <c r="AD248" s="56">
        <v>3.2</v>
      </c>
      <c r="AE248" s="56">
        <v>4.4400000000000004</v>
      </c>
      <c r="AF248" s="56">
        <f t="shared" si="82"/>
        <v>3.2</v>
      </c>
      <c r="AG248" s="57">
        <v>1.38</v>
      </c>
      <c r="AH248" s="103">
        <v>8.9299999999999996E-9</v>
      </c>
      <c r="AI248" s="103"/>
      <c r="AJ248" s="62">
        <f t="shared" si="85"/>
        <v>-6.4377148674241056</v>
      </c>
      <c r="AK248" s="62"/>
      <c r="AL248" s="62">
        <f t="shared" si="83"/>
        <v>-6.4377148674241056</v>
      </c>
      <c r="AM248" s="62">
        <v>-8.67258</v>
      </c>
      <c r="AN248" s="154">
        <v>-27.6</v>
      </c>
      <c r="AO248" s="410">
        <v>12.03</v>
      </c>
      <c r="AP248" s="410">
        <v>-1.55</v>
      </c>
      <c r="AQ248" s="56" t="s">
        <v>6311</v>
      </c>
      <c r="AR248" s="56" t="s">
        <v>6315</v>
      </c>
      <c r="AS248" s="155"/>
      <c r="AT248" s="58" t="s">
        <v>266</v>
      </c>
      <c r="AU248" s="56">
        <v>6</v>
      </c>
      <c r="AV248" s="56">
        <v>120</v>
      </c>
      <c r="AW248" s="56">
        <v>114</v>
      </c>
      <c r="AX248" s="56">
        <v>28</v>
      </c>
      <c r="AY248" s="56" t="s">
        <v>8728</v>
      </c>
      <c r="AZ248" s="56" t="s">
        <v>1563</v>
      </c>
      <c r="BA248" s="56">
        <v>32</v>
      </c>
      <c r="BB248" s="55" t="s">
        <v>2485</v>
      </c>
      <c r="BC248" s="55" t="s">
        <v>8726</v>
      </c>
      <c r="BD248" s="55" t="s">
        <v>8374</v>
      </c>
      <c r="BE248" s="56" t="s">
        <v>2449</v>
      </c>
      <c r="BF248" s="56" t="s">
        <v>272</v>
      </c>
      <c r="BG248" s="56" t="s">
        <v>272</v>
      </c>
      <c r="BH248" s="56" t="s">
        <v>2486</v>
      </c>
      <c r="BI248" s="103">
        <v>6.3999999999999997E-6</v>
      </c>
      <c r="BJ248" s="103">
        <v>6.4000000000000001E-2</v>
      </c>
      <c r="BK248" s="56"/>
      <c r="BL248" s="103">
        <f t="shared" ref="BL248:BL295" si="87">10^((-0.8981*Z248)+1.7108)</f>
        <v>0.32393285596242022</v>
      </c>
      <c r="BM248" s="56" t="s">
        <v>2487</v>
      </c>
      <c r="BN248" s="56"/>
      <c r="BO248" s="56"/>
      <c r="BP248" s="56"/>
      <c r="BQ248" s="56"/>
      <c r="BR248" s="55">
        <v>2.0238577000000001E-2</v>
      </c>
      <c r="BS248" s="56"/>
      <c r="BT248" s="56"/>
      <c r="BU248" s="158"/>
      <c r="BV248" s="56"/>
      <c r="BW248" s="56"/>
      <c r="BX248" s="56"/>
      <c r="BY248" s="56"/>
      <c r="BZ248" s="56"/>
      <c r="CA248" s="56"/>
      <c r="CB248" s="56"/>
      <c r="CC248" s="56"/>
      <c r="CD248" s="56"/>
      <c r="CE248" s="56"/>
      <c r="CF248" s="56"/>
      <c r="CG248" s="56"/>
      <c r="CH248" s="56"/>
      <c r="CI248" s="103">
        <f t="shared" si="73"/>
        <v>2.0238577000000001E-2</v>
      </c>
      <c r="CJ248" s="103">
        <f t="shared" si="74"/>
        <v>-1.6938200265542473</v>
      </c>
      <c r="CK248" s="57">
        <f t="shared" si="80"/>
        <v>5.0614508744128157</v>
      </c>
      <c r="CL248" s="160">
        <f t="shared" si="78"/>
        <v>16.005713048028042</v>
      </c>
      <c r="CM248" s="160"/>
      <c r="CN248" s="160"/>
      <c r="CO248" s="55" t="s">
        <v>2488</v>
      </c>
      <c r="CP248" s="55" t="s">
        <v>2489</v>
      </c>
      <c r="CQ248" s="149">
        <v>-3.381136248722445</v>
      </c>
      <c r="CR248" s="349">
        <f>10^(CJ248-CQ248)</f>
        <v>48.676150158729385</v>
      </c>
      <c r="CS248" s="61" t="s">
        <v>539</v>
      </c>
      <c r="CT248" s="61"/>
      <c r="CU248" s="111">
        <f t="shared" si="86"/>
        <v>12.411378682945829</v>
      </c>
      <c r="CV248" s="331">
        <f t="shared" si="81"/>
        <v>3.9248225492337143</v>
      </c>
      <c r="CW248" s="326">
        <f t="shared" si="75"/>
        <v>1</v>
      </c>
      <c r="CX248" s="326"/>
      <c r="CY248" s="161" t="s">
        <v>5921</v>
      </c>
    </row>
    <row r="249" spans="1:103" ht="11.25" customHeight="1" x14ac:dyDescent="0.2">
      <c r="A249" s="72">
        <v>247</v>
      </c>
      <c r="B249" s="149">
        <v>1281</v>
      </c>
      <c r="C249" s="54" t="s">
        <v>3520</v>
      </c>
      <c r="D249" s="54" t="s">
        <v>6492</v>
      </c>
      <c r="E249" s="59"/>
      <c r="F249" s="59" t="s">
        <v>2321</v>
      </c>
      <c r="G249" s="151">
        <v>1191500</v>
      </c>
      <c r="H249" s="55" t="s">
        <v>2322</v>
      </c>
      <c r="I249" s="55" t="s">
        <v>2322</v>
      </c>
      <c r="J249" s="55" t="s">
        <v>2323</v>
      </c>
      <c r="K249" s="55" t="s">
        <v>426</v>
      </c>
      <c r="L249" s="55" t="s">
        <v>279</v>
      </c>
      <c r="M249" s="55" t="s">
        <v>2324</v>
      </c>
      <c r="N249" s="60" t="s">
        <v>6383</v>
      </c>
      <c r="O249" s="55" t="s">
        <v>281</v>
      </c>
      <c r="P249" s="67">
        <v>3</v>
      </c>
      <c r="Q249" s="67" t="s">
        <v>6173</v>
      </c>
      <c r="R249" s="67">
        <v>1</v>
      </c>
      <c r="S249" s="67" t="s">
        <v>6173</v>
      </c>
      <c r="T249" s="56">
        <v>294.45</v>
      </c>
      <c r="U249" s="103"/>
      <c r="V249" s="103">
        <v>5.562913907284768E-2</v>
      </c>
      <c r="W249" s="103">
        <v>29.512092266663846</v>
      </c>
      <c r="X249" s="103">
        <f>IF(W249=0,V249,W249)</f>
        <v>29.512092266663846</v>
      </c>
      <c r="Y249" s="162">
        <v>1.53</v>
      </c>
      <c r="Z249" s="56">
        <v>3.4</v>
      </c>
      <c r="AA249" s="56"/>
      <c r="AB249" s="56">
        <v>3.19</v>
      </c>
      <c r="AC249" s="56">
        <v>0.39860000000000001</v>
      </c>
      <c r="AD249" s="56">
        <v>5.0999999999999996</v>
      </c>
      <c r="AE249" s="56">
        <v>6.46</v>
      </c>
      <c r="AF249" s="56">
        <f t="shared" si="82"/>
        <v>5.0999999999999996</v>
      </c>
      <c r="AG249" s="57">
        <v>5.0999999999999996</v>
      </c>
      <c r="AH249" s="103">
        <v>3.2399999999999999E-7</v>
      </c>
      <c r="AI249" s="103"/>
      <c r="AJ249" s="62">
        <f t="shared" si="85"/>
        <v>-4.8780213161060395</v>
      </c>
      <c r="AK249" s="62"/>
      <c r="AL249" s="62">
        <f t="shared" si="83"/>
        <v>-4.8780213161060395</v>
      </c>
      <c r="AM249" s="62">
        <v>-11.363960000000001</v>
      </c>
      <c r="AN249" s="154"/>
      <c r="AO249" s="410">
        <v>-3.29</v>
      </c>
      <c r="AP249" s="410"/>
      <c r="AQ249" s="56" t="s">
        <v>6311</v>
      </c>
      <c r="AR249" s="56" t="s">
        <v>6311</v>
      </c>
      <c r="AS249" s="155"/>
      <c r="AT249" s="58" t="s">
        <v>266</v>
      </c>
      <c r="AU249" s="56">
        <v>6</v>
      </c>
      <c r="AV249" s="56">
        <v>120</v>
      </c>
      <c r="AW249" s="56">
        <v>114</v>
      </c>
      <c r="AX249" s="56">
        <v>28</v>
      </c>
      <c r="AY249" s="56" t="s">
        <v>8728</v>
      </c>
      <c r="AZ249" s="56" t="s">
        <v>1563</v>
      </c>
      <c r="BA249" s="56">
        <v>32</v>
      </c>
      <c r="BB249" s="55" t="s">
        <v>2485</v>
      </c>
      <c r="BC249" s="55" t="s">
        <v>8726</v>
      </c>
      <c r="BD249" s="55" t="s">
        <v>8374</v>
      </c>
      <c r="BE249" s="56" t="s">
        <v>2449</v>
      </c>
      <c r="BF249" s="56" t="s">
        <v>272</v>
      </c>
      <c r="BG249" s="56" t="s">
        <v>272</v>
      </c>
      <c r="BH249" s="56" t="s">
        <v>2486</v>
      </c>
      <c r="BI249" s="103">
        <v>6.3999999999999997E-6</v>
      </c>
      <c r="BJ249" s="103">
        <v>6.4000000000000001E-2</v>
      </c>
      <c r="BK249" s="56"/>
      <c r="BL249" s="103">
        <f t="shared" si="87"/>
        <v>4.5421346020655666E-2</v>
      </c>
      <c r="BM249" s="56" t="s">
        <v>2046</v>
      </c>
      <c r="BN249" s="56">
        <v>20.238577029999998</v>
      </c>
      <c r="BO249" s="56"/>
      <c r="BP249" s="56"/>
      <c r="BQ249" s="56"/>
      <c r="BR249" s="55">
        <v>2.0199999999999999E-2</v>
      </c>
      <c r="BS249" s="56"/>
      <c r="BT249" s="56"/>
      <c r="BU249" s="158"/>
      <c r="BV249" s="56"/>
      <c r="BW249" s="56"/>
      <c r="BX249" s="56"/>
      <c r="BY249" s="56"/>
      <c r="BZ249" s="56"/>
      <c r="CA249" s="56"/>
      <c r="CB249" s="56"/>
      <c r="CC249" s="56"/>
      <c r="CD249" s="56"/>
      <c r="CE249" s="56"/>
      <c r="CF249" s="56"/>
      <c r="CG249" s="56"/>
      <c r="CH249" s="56"/>
      <c r="CI249" s="103">
        <f t="shared" si="73"/>
        <v>2.0199999999999999E-2</v>
      </c>
      <c r="CJ249" s="103">
        <f t="shared" si="74"/>
        <v>-1.6946486305533763</v>
      </c>
      <c r="CK249" s="57">
        <f t="shared" si="80"/>
        <v>0.70970853157274472</v>
      </c>
      <c r="CL249" s="160">
        <f t="shared" si="78"/>
        <v>2.2485814861710725</v>
      </c>
      <c r="CM249" s="160">
        <v>-1.9720819105824725</v>
      </c>
      <c r="CN249" s="160">
        <f>BJ249/(10^CM249)</f>
        <v>6.001528662420383</v>
      </c>
      <c r="CO249" s="55" t="s">
        <v>2488</v>
      </c>
      <c r="CP249" s="55" t="s">
        <v>2489</v>
      </c>
      <c r="CQ249" s="149">
        <v>-1.9454325580915328</v>
      </c>
      <c r="CR249" s="349">
        <f>10^(CJ249-CQ249)</f>
        <v>1.7814922096032315</v>
      </c>
      <c r="CS249" s="61" t="s">
        <v>539</v>
      </c>
      <c r="CT249" s="61"/>
      <c r="CU249" s="111">
        <f t="shared" si="86"/>
        <v>1460.9946666665271</v>
      </c>
      <c r="CV249" s="331">
        <f t="shared" si="81"/>
        <v>461.12644166662255</v>
      </c>
      <c r="CW249" s="326">
        <f t="shared" si="75"/>
        <v>1</v>
      </c>
      <c r="CX249" s="326"/>
      <c r="CY249" s="161" t="s">
        <v>5921</v>
      </c>
    </row>
    <row r="250" spans="1:103" ht="11.25" customHeight="1" x14ac:dyDescent="0.2">
      <c r="A250" s="72">
        <v>248</v>
      </c>
      <c r="B250" s="149">
        <v>1054</v>
      </c>
      <c r="C250" s="54" t="s">
        <v>1021</v>
      </c>
      <c r="D250" s="54" t="s">
        <v>6502</v>
      </c>
      <c r="E250" s="59"/>
      <c r="F250" s="59" t="s">
        <v>1022</v>
      </c>
      <c r="G250" s="151">
        <v>5234684</v>
      </c>
      <c r="H250" s="55" t="s">
        <v>1023</v>
      </c>
      <c r="I250" s="55" t="s">
        <v>1023</v>
      </c>
      <c r="J250" s="55" t="s">
        <v>1024</v>
      </c>
      <c r="K250" s="55" t="s">
        <v>1025</v>
      </c>
      <c r="L250" s="55" t="s">
        <v>5929</v>
      </c>
      <c r="M250" s="55" t="s">
        <v>5963</v>
      </c>
      <c r="N250" s="60" t="s">
        <v>6381</v>
      </c>
      <c r="O250" s="55" t="s">
        <v>5964</v>
      </c>
      <c r="P250" s="67">
        <v>3</v>
      </c>
      <c r="Q250" s="67" t="s">
        <v>6173</v>
      </c>
      <c r="R250" s="67">
        <v>1</v>
      </c>
      <c r="S250" s="67" t="s">
        <v>6173</v>
      </c>
      <c r="T250" s="56">
        <v>235.3</v>
      </c>
      <c r="U250" s="103">
        <v>0.62473438164045891</v>
      </c>
      <c r="V250" s="103">
        <v>1.8006799830004248</v>
      </c>
      <c r="W250" s="103">
        <v>0.93325430079699057</v>
      </c>
      <c r="X250" s="103">
        <v>0.62473438164045891</v>
      </c>
      <c r="Y250" s="162">
        <v>7</v>
      </c>
      <c r="Z250" s="56">
        <v>1.49</v>
      </c>
      <c r="AA250" s="56">
        <v>2.14</v>
      </c>
      <c r="AB250" s="56">
        <v>1.93</v>
      </c>
      <c r="AC250" s="56">
        <v>0.79559999999999997</v>
      </c>
      <c r="AD250" s="56">
        <v>2.1800000000000002</v>
      </c>
      <c r="AE250" s="56">
        <v>3</v>
      </c>
      <c r="AF250" s="56">
        <f t="shared" si="82"/>
        <v>2.14</v>
      </c>
      <c r="AG250" s="57">
        <v>1.85</v>
      </c>
      <c r="AH250" s="103">
        <v>7.4599999999999993E-12</v>
      </c>
      <c r="AI250" s="103">
        <v>3.1999999999999998E-10</v>
      </c>
      <c r="AJ250" s="62">
        <f t="shared" si="85"/>
        <v>-9.5158274988399825</v>
      </c>
      <c r="AK250" s="62">
        <f>LOG10(AI250*1000/(0.08206*298.15))</f>
        <v>-7.8834163479927462</v>
      </c>
      <c r="AL250" s="62">
        <f t="shared" si="83"/>
        <v>-7.8834163479927462</v>
      </c>
      <c r="AM250" s="62">
        <v>-13.869820000000001</v>
      </c>
      <c r="AN250" s="154">
        <v>-8.64</v>
      </c>
      <c r="AO250" s="410">
        <v>14.31</v>
      </c>
      <c r="AP250" s="410">
        <v>0.49</v>
      </c>
      <c r="AQ250" s="56" t="s">
        <v>6311</v>
      </c>
      <c r="AR250" s="56" t="s">
        <v>6311</v>
      </c>
      <c r="AS250" s="155"/>
      <c r="AT250" s="58" t="s">
        <v>266</v>
      </c>
      <c r="AU250" s="56">
        <v>6</v>
      </c>
      <c r="AV250" s="56">
        <v>120</v>
      </c>
      <c r="AW250" s="56">
        <v>114</v>
      </c>
      <c r="AX250" s="56">
        <v>28</v>
      </c>
      <c r="AY250" s="56" t="s">
        <v>8728</v>
      </c>
      <c r="AZ250" s="56" t="s">
        <v>1563</v>
      </c>
      <c r="BA250" s="56">
        <v>32</v>
      </c>
      <c r="BB250" s="55" t="s">
        <v>2485</v>
      </c>
      <c r="BC250" s="55" t="s">
        <v>8726</v>
      </c>
      <c r="BD250" s="55" t="s">
        <v>8374</v>
      </c>
      <c r="BE250" s="56" t="s">
        <v>2449</v>
      </c>
      <c r="BF250" s="56" t="s">
        <v>272</v>
      </c>
      <c r="BG250" s="56" t="s">
        <v>272</v>
      </c>
      <c r="BH250" s="56" t="s">
        <v>2486</v>
      </c>
      <c r="BI250" s="103">
        <v>6.3999999999999997E-6</v>
      </c>
      <c r="BJ250" s="103">
        <v>6.4000000000000001E-2</v>
      </c>
      <c r="BK250" s="56"/>
      <c r="BL250" s="103">
        <f t="shared" si="87"/>
        <v>2.3584734954327344</v>
      </c>
      <c r="BM250" s="56" t="s">
        <v>2046</v>
      </c>
      <c r="BN250" s="56"/>
      <c r="BO250" s="56"/>
      <c r="BP250" s="56"/>
      <c r="BQ250" s="56"/>
      <c r="BR250" s="55">
        <v>1.9900000000000001E-2</v>
      </c>
      <c r="BS250" s="56"/>
      <c r="BT250" s="56"/>
      <c r="BU250" s="158"/>
      <c r="BV250" s="56"/>
      <c r="BW250" s="56"/>
      <c r="BX250" s="56"/>
      <c r="BY250" s="56"/>
      <c r="BZ250" s="56"/>
      <c r="CA250" s="56"/>
      <c r="CB250" s="56"/>
      <c r="CC250" s="56"/>
      <c r="CD250" s="56"/>
      <c r="CE250" s="56"/>
      <c r="CF250" s="56"/>
      <c r="CG250" s="56"/>
      <c r="CH250" s="56"/>
      <c r="CI250" s="103">
        <f t="shared" si="73"/>
        <v>1.9900000000000001E-2</v>
      </c>
      <c r="CJ250" s="103">
        <f t="shared" si="74"/>
        <v>-1.7011469235902934</v>
      </c>
      <c r="CK250" s="57">
        <f t="shared" si="80"/>
        <v>36.851148366136478</v>
      </c>
      <c r="CL250" s="160">
        <f t="shared" si="78"/>
        <v>118.51625605189619</v>
      </c>
      <c r="CM250" s="160">
        <v>-1.8377433569263246</v>
      </c>
      <c r="CN250" s="160">
        <f>BJ250/(10^CM250)</f>
        <v>4.4047709609175083</v>
      </c>
      <c r="CO250" s="55" t="s">
        <v>2488</v>
      </c>
      <c r="CP250" s="55" t="s">
        <v>2489</v>
      </c>
      <c r="CQ250" s="149">
        <v>-1.819582395288788</v>
      </c>
      <c r="CR250" s="349">
        <f>10^(CJ250-CQ250)</f>
        <v>1.3135163157037721</v>
      </c>
      <c r="CS250" s="61" t="s">
        <v>539</v>
      </c>
      <c r="CT250" s="61"/>
      <c r="CU250" s="111">
        <f t="shared" si="86"/>
        <v>31.39368751962105</v>
      </c>
      <c r="CV250" s="331">
        <f t="shared" si="81"/>
        <v>9.76147471313217</v>
      </c>
      <c r="CW250" s="326">
        <f t="shared" si="75"/>
        <v>1</v>
      </c>
      <c r="CX250" s="326"/>
      <c r="CY250" s="161" t="s">
        <v>5921</v>
      </c>
    </row>
    <row r="251" spans="1:103" ht="11.25" customHeight="1" x14ac:dyDescent="0.2">
      <c r="A251" s="72">
        <v>249</v>
      </c>
      <c r="B251" s="149">
        <v>23</v>
      </c>
      <c r="C251" s="54" t="s">
        <v>377</v>
      </c>
      <c r="D251" s="54"/>
      <c r="E251" s="59"/>
      <c r="F251" s="59" t="s">
        <v>378</v>
      </c>
      <c r="G251" s="151">
        <v>25389940</v>
      </c>
      <c r="H251" s="55" t="s">
        <v>379</v>
      </c>
      <c r="I251" s="55" t="s">
        <v>379</v>
      </c>
      <c r="J251" s="55" t="s">
        <v>380</v>
      </c>
      <c r="K251" s="55" t="s">
        <v>300</v>
      </c>
      <c r="L251" s="64"/>
      <c r="M251" s="55"/>
      <c r="N251" s="60"/>
      <c r="O251" s="55"/>
      <c r="P251" s="67">
        <v>3</v>
      </c>
      <c r="Q251" s="67" t="s">
        <v>6173</v>
      </c>
      <c r="R251" s="67">
        <v>1</v>
      </c>
      <c r="S251" s="67" t="s">
        <v>6173</v>
      </c>
      <c r="T251" s="59">
        <v>406.47</v>
      </c>
      <c r="U251" s="153"/>
      <c r="V251" s="153">
        <v>2460.2061652766502</v>
      </c>
      <c r="W251" s="153">
        <v>1905.4607179632474</v>
      </c>
      <c r="X251" s="153">
        <f>IF(W251=0,V251,W251)</f>
        <v>1905.4607179632474</v>
      </c>
      <c r="Y251" s="410">
        <v>11.23</v>
      </c>
      <c r="Z251" s="59">
        <v>-4.3499999999999996</v>
      </c>
      <c r="AA251" s="59"/>
      <c r="AB251" s="59">
        <v>-4.2</v>
      </c>
      <c r="AC251" s="59">
        <v>0.1903</v>
      </c>
      <c r="AD251" s="59">
        <v>-2.33</v>
      </c>
      <c r="AE251" s="59">
        <v>-1.68</v>
      </c>
      <c r="AF251" s="59">
        <f t="shared" si="82"/>
        <v>-2.33</v>
      </c>
      <c r="AG251" s="57">
        <v>-2.33</v>
      </c>
      <c r="AH251" s="103">
        <v>1.23E-32</v>
      </c>
      <c r="AI251" s="103"/>
      <c r="AJ251" s="62">
        <f t="shared" si="85"/>
        <v>-30.298661214873253</v>
      </c>
      <c r="AK251" s="62"/>
      <c r="AL251" s="62">
        <f t="shared" si="83"/>
        <v>-30.298661214873253</v>
      </c>
      <c r="AM251" s="62">
        <v>-39.066200000000002</v>
      </c>
      <c r="AN251" s="154"/>
      <c r="AO251" s="410">
        <v>13.24</v>
      </c>
      <c r="AP251" s="410">
        <v>9.52</v>
      </c>
      <c r="AQ251" s="154" t="s">
        <v>6311</v>
      </c>
      <c r="AR251" s="154" t="s">
        <v>6311</v>
      </c>
      <c r="AS251" s="149" t="s">
        <v>289</v>
      </c>
      <c r="AT251" s="58" t="s">
        <v>266</v>
      </c>
      <c r="AU251" s="155">
        <v>24</v>
      </c>
      <c r="AV251" s="155">
        <v>120</v>
      </c>
      <c r="AW251" s="155">
        <v>96</v>
      </c>
      <c r="AX251" s="155">
        <v>28</v>
      </c>
      <c r="AY251" s="155" t="s">
        <v>267</v>
      </c>
      <c r="AZ251" s="155" t="s">
        <v>268</v>
      </c>
      <c r="BA251" s="155">
        <v>48</v>
      </c>
      <c r="BB251" s="55" t="s">
        <v>269</v>
      </c>
      <c r="BC251" s="156" t="s">
        <v>270</v>
      </c>
      <c r="BD251" s="156" t="s">
        <v>8374</v>
      </c>
      <c r="BE251" s="155" t="s">
        <v>271</v>
      </c>
      <c r="BF251" s="155" t="s">
        <v>272</v>
      </c>
      <c r="BG251" s="155" t="s">
        <v>272</v>
      </c>
      <c r="BH251" s="155" t="s">
        <v>272</v>
      </c>
      <c r="BI251" s="157">
        <v>1.7164435290078957E-3</v>
      </c>
      <c r="BJ251" s="157">
        <v>6.8657741160315826</v>
      </c>
      <c r="BK251" s="56"/>
      <c r="BL251" s="103">
        <f t="shared" si="87"/>
        <v>414509.98825008556</v>
      </c>
      <c r="BM251" s="56">
        <v>0</v>
      </c>
      <c r="BN251" s="56"/>
      <c r="BO251" s="56"/>
      <c r="BP251" s="56"/>
      <c r="BQ251" s="56"/>
      <c r="BR251" s="56"/>
      <c r="BS251" s="56"/>
      <c r="BT251" s="56"/>
      <c r="BU251" s="158"/>
      <c r="BV251" s="56"/>
      <c r="BW251" s="56"/>
      <c r="BX251" s="56"/>
      <c r="BY251" s="56"/>
      <c r="BZ251" s="56"/>
      <c r="CA251" s="56"/>
      <c r="CB251" s="56">
        <v>3.07</v>
      </c>
      <c r="CC251" s="56"/>
      <c r="CD251" s="56"/>
      <c r="CE251" s="56"/>
      <c r="CF251" s="56"/>
      <c r="CG251" s="56"/>
      <c r="CH251" s="56"/>
      <c r="CI251" s="103">
        <f t="shared" si="73"/>
        <v>3.07</v>
      </c>
      <c r="CJ251" s="103">
        <f t="shared" si="74"/>
        <v>0.48713837547718647</v>
      </c>
      <c r="CK251" s="57">
        <f t="shared" si="80"/>
        <v>60373.379788624959</v>
      </c>
      <c r="CL251" s="160">
        <f t="shared" si="78"/>
        <v>135019.54014660767</v>
      </c>
      <c r="CM251" s="160"/>
      <c r="CN251" s="160"/>
      <c r="CO251" s="55" t="s">
        <v>273</v>
      </c>
      <c r="CP251" s="156" t="s">
        <v>274</v>
      </c>
      <c r="CQ251" s="149" t="s">
        <v>272</v>
      </c>
      <c r="CR251" s="349"/>
      <c r="CS251" s="61" t="s">
        <v>539</v>
      </c>
      <c r="CT251" s="61"/>
      <c r="CU251" s="111">
        <f t="shared" si="86"/>
        <v>620.67124363623691</v>
      </c>
      <c r="CV251" s="331">
        <f t="shared" si="81"/>
        <v>277.53035357134695</v>
      </c>
      <c r="CW251" s="326">
        <f t="shared" si="75"/>
        <v>1</v>
      </c>
      <c r="CX251" s="326"/>
      <c r="CY251" s="161" t="s">
        <v>5921</v>
      </c>
    </row>
    <row r="252" spans="1:103" ht="11.25" customHeight="1" x14ac:dyDescent="0.2">
      <c r="A252" s="72">
        <v>250</v>
      </c>
      <c r="B252" s="149">
        <v>2060</v>
      </c>
      <c r="C252" s="54" t="s">
        <v>5669</v>
      </c>
      <c r="D252" s="54" t="s">
        <v>6457</v>
      </c>
      <c r="E252" s="59"/>
      <c r="F252" s="167" t="s">
        <v>1670</v>
      </c>
      <c r="G252" s="151">
        <v>95761</v>
      </c>
      <c r="H252" s="67" t="s">
        <v>1671</v>
      </c>
      <c r="I252" s="67" t="s">
        <v>8213</v>
      </c>
      <c r="J252" s="67" t="s">
        <v>1672</v>
      </c>
      <c r="K252" s="67" t="s">
        <v>1573</v>
      </c>
      <c r="L252" s="67" t="s">
        <v>617</v>
      </c>
      <c r="M252" s="67" t="s">
        <v>1629</v>
      </c>
      <c r="N252" s="60" t="s">
        <v>6385</v>
      </c>
      <c r="O252" s="67" t="s">
        <v>498</v>
      </c>
      <c r="P252" s="67">
        <v>3</v>
      </c>
      <c r="Q252" s="67" t="s">
        <v>6173</v>
      </c>
      <c r="R252" s="67">
        <v>1</v>
      </c>
      <c r="S252" s="67" t="s">
        <v>6173</v>
      </c>
      <c r="T252" s="61">
        <v>162.02000000000001</v>
      </c>
      <c r="U252" s="111">
        <v>0.56783113195901735</v>
      </c>
      <c r="V252" s="111">
        <v>2.0855449944451299</v>
      </c>
      <c r="W252" s="111">
        <v>1.819700858609981</v>
      </c>
      <c r="X252" s="111">
        <v>0.56783113195901735</v>
      </c>
      <c r="Y252" s="411">
        <v>7.2</v>
      </c>
      <c r="Z252" s="61">
        <v>2.37</v>
      </c>
      <c r="AA252" s="61">
        <v>2.69</v>
      </c>
      <c r="AB252" s="61">
        <v>2.62</v>
      </c>
      <c r="AC252" s="61">
        <v>0.89139999999999997</v>
      </c>
      <c r="AD252" s="61">
        <v>2.6</v>
      </c>
      <c r="AE252" s="61">
        <v>2.5099999999999998</v>
      </c>
      <c r="AF252" s="61">
        <f t="shared" si="82"/>
        <v>2.69</v>
      </c>
      <c r="AG252" s="62">
        <v>2.4700000000000002</v>
      </c>
      <c r="AH252" s="111">
        <v>1.0499999999999999E-6</v>
      </c>
      <c r="AI252" s="111">
        <v>1.4600000000000001E-5</v>
      </c>
      <c r="AJ252" s="62">
        <f t="shared" si="85"/>
        <v>-4.3673770272427141</v>
      </c>
      <c r="AK252" s="62">
        <f>LOG10(AI252*1000/(0.08206*298.15))</f>
        <v>-3.2242134705282148</v>
      </c>
      <c r="AL252" s="62">
        <f t="shared" si="83"/>
        <v>-3.2242134705282148</v>
      </c>
      <c r="AM252" s="62">
        <v>-7.2924100000000003</v>
      </c>
      <c r="AN252" s="163">
        <v>-4.3684000000000003</v>
      </c>
      <c r="AO252" s="410"/>
      <c r="AP252" s="410">
        <v>2.9</v>
      </c>
      <c r="AQ252" s="61" t="s">
        <v>6311</v>
      </c>
      <c r="AR252" s="61" t="s">
        <v>6311</v>
      </c>
      <c r="AS252" s="164" t="s">
        <v>5466</v>
      </c>
      <c r="AT252" s="63" t="s">
        <v>266</v>
      </c>
      <c r="AU252" s="61">
        <v>0</v>
      </c>
      <c r="AV252" s="61">
        <v>96</v>
      </c>
      <c r="AW252" s="61">
        <v>96</v>
      </c>
      <c r="AX252" s="61">
        <v>26.4</v>
      </c>
      <c r="AY252" s="61" t="s">
        <v>5670</v>
      </c>
      <c r="AZ252" s="61" t="s">
        <v>5671</v>
      </c>
      <c r="BA252" s="61">
        <v>20</v>
      </c>
      <c r="BB252" s="67" t="s">
        <v>5487</v>
      </c>
      <c r="BC252" s="67" t="s">
        <v>5494</v>
      </c>
      <c r="BD252" s="67"/>
      <c r="BE252" s="61" t="s">
        <v>5598</v>
      </c>
      <c r="BF252" s="61"/>
      <c r="BG252" s="61">
        <v>7.4</v>
      </c>
      <c r="BH252" s="61"/>
      <c r="BI252" s="111">
        <v>3.0899999999999999E-3</v>
      </c>
      <c r="BJ252" s="111">
        <v>4.9399999999999999E-2</v>
      </c>
      <c r="BK252" s="165" t="s">
        <v>5672</v>
      </c>
      <c r="BL252" s="111">
        <f t="shared" si="87"/>
        <v>0.38221083995251059</v>
      </c>
      <c r="BM252" s="61"/>
      <c r="BN252" s="61"/>
      <c r="BO252" s="61"/>
      <c r="BP252" s="61"/>
      <c r="BQ252" s="61">
        <v>1.9874090000000001E-2</v>
      </c>
      <c r="BR252" s="61"/>
      <c r="BS252" s="61"/>
      <c r="BT252" s="61"/>
      <c r="BU252" s="158"/>
      <c r="BV252" s="61"/>
      <c r="BW252" s="61"/>
      <c r="BX252" s="61"/>
      <c r="BY252" s="61"/>
      <c r="BZ252" s="61"/>
      <c r="CA252" s="61"/>
      <c r="CB252" s="61"/>
      <c r="CC252" s="61"/>
      <c r="CD252" s="61"/>
      <c r="CE252" s="61"/>
      <c r="CF252" s="61"/>
      <c r="CG252" s="61"/>
      <c r="CH252" s="61"/>
      <c r="CI252" s="111">
        <f t="shared" si="73"/>
        <v>1.9874090000000001E-2</v>
      </c>
      <c r="CJ252" s="103">
        <f t="shared" si="74"/>
        <v>-1.7017127478048928</v>
      </c>
      <c r="CK252" s="57">
        <f t="shared" si="80"/>
        <v>7.7370615375002147</v>
      </c>
      <c r="CL252" s="160">
        <f t="shared" si="78"/>
        <v>19.231614627513039</v>
      </c>
      <c r="CM252" s="160">
        <v>-1.8594468109488289</v>
      </c>
      <c r="CN252" s="160">
        <f t="shared" ref="CN252:CN257" si="88">BJ252/(10^CM252)</f>
        <v>3.5741581050360325</v>
      </c>
      <c r="CO252" s="67" t="s">
        <v>5494</v>
      </c>
      <c r="CP252" s="67" t="s">
        <v>5673</v>
      </c>
      <c r="CQ252" s="149">
        <v>-1.4618243103116244</v>
      </c>
      <c r="CR252" s="349">
        <f t="shared" ref="CR252:CR257" si="89">10^(CJ252-CQ252)</f>
        <v>0.5755877765818711</v>
      </c>
      <c r="CS252" s="61" t="s">
        <v>539</v>
      </c>
      <c r="CT252" s="61" t="s">
        <v>6310</v>
      </c>
      <c r="CU252" s="111">
        <f t="shared" si="86"/>
        <v>28.571428023070105</v>
      </c>
      <c r="CV252" s="331">
        <f t="shared" si="81"/>
        <v>11.494557327105614</v>
      </c>
      <c r="CW252" s="326">
        <f t="shared" si="75"/>
        <v>1</v>
      </c>
      <c r="CX252" s="326" t="s">
        <v>539</v>
      </c>
      <c r="CY252" s="161" t="s">
        <v>6351</v>
      </c>
    </row>
    <row r="253" spans="1:103" ht="11.25" customHeight="1" x14ac:dyDescent="0.2">
      <c r="A253" s="72">
        <v>251</v>
      </c>
      <c r="B253" s="149">
        <v>633</v>
      </c>
      <c r="C253" s="54" t="s">
        <v>522</v>
      </c>
      <c r="D253" s="54" t="s">
        <v>6483</v>
      </c>
      <c r="E253" s="59"/>
      <c r="F253" s="59" t="s">
        <v>523</v>
      </c>
      <c r="G253" s="151">
        <v>151213</v>
      </c>
      <c r="H253" s="55" t="s">
        <v>524</v>
      </c>
      <c r="I253" s="55" t="s">
        <v>524</v>
      </c>
      <c r="J253" s="55" t="s">
        <v>525</v>
      </c>
      <c r="K253" s="55" t="s">
        <v>426</v>
      </c>
      <c r="L253" s="64" t="s">
        <v>279</v>
      </c>
      <c r="M253" s="55" t="s">
        <v>1884</v>
      </c>
      <c r="N253" s="60" t="s">
        <v>526</v>
      </c>
      <c r="O253" s="55" t="s">
        <v>281</v>
      </c>
      <c r="P253" s="67">
        <v>3</v>
      </c>
      <c r="Q253" s="67" t="s">
        <v>6173</v>
      </c>
      <c r="R253" s="67">
        <v>1</v>
      </c>
      <c r="S253" s="67" t="s">
        <v>6173</v>
      </c>
      <c r="T253" s="56">
        <v>266.39999999999998</v>
      </c>
      <c r="U253" s="103"/>
      <c r="V253" s="103">
        <v>0.61448948948948945</v>
      </c>
      <c r="W253" s="103">
        <v>158.48931924611131</v>
      </c>
      <c r="X253" s="103">
        <f>IF(W253=0,V253,W253)</f>
        <v>158.48931924611131</v>
      </c>
      <c r="Y253" s="162">
        <v>0.8</v>
      </c>
      <c r="Z253" s="56">
        <v>2.42</v>
      </c>
      <c r="AA253" s="56"/>
      <c r="AB253" s="56">
        <v>2.4300000000000002</v>
      </c>
      <c r="AC253" s="56">
        <v>0.41520000000000001</v>
      </c>
      <c r="AD253" s="56">
        <v>4.12</v>
      </c>
      <c r="AE253" s="56">
        <v>5.39</v>
      </c>
      <c r="AF253" s="56">
        <f t="shared" si="82"/>
        <v>4.12</v>
      </c>
      <c r="AG253" s="57">
        <v>4.12</v>
      </c>
      <c r="AH253" s="103">
        <v>1.8400000000000001E-7</v>
      </c>
      <c r="AI253" s="103"/>
      <c r="AJ253" s="62">
        <f t="shared" si="85"/>
        <v>-5.1237485033031156</v>
      </c>
      <c r="AK253" s="62"/>
      <c r="AL253" s="62">
        <f t="shared" si="83"/>
        <v>-5.1237485033031156</v>
      </c>
      <c r="AM253" s="62">
        <v>-11.085739999999999</v>
      </c>
      <c r="AN253" s="154"/>
      <c r="AO253" s="410">
        <v>-3.29</v>
      </c>
      <c r="AP253" s="410"/>
      <c r="AQ253" s="154" t="s">
        <v>6311</v>
      </c>
      <c r="AR253" s="154" t="s">
        <v>6311</v>
      </c>
      <c r="AS253" s="149" t="s">
        <v>6</v>
      </c>
      <c r="AT253" s="58" t="s">
        <v>266</v>
      </c>
      <c r="AU253" s="56">
        <v>2</v>
      </c>
      <c r="AV253" s="56" t="s">
        <v>646</v>
      </c>
      <c r="AW253" s="56" t="s">
        <v>646</v>
      </c>
      <c r="AX253" s="56">
        <v>26</v>
      </c>
      <c r="AY253" s="56" t="s">
        <v>647</v>
      </c>
      <c r="AZ253" s="56" t="s">
        <v>536</v>
      </c>
      <c r="BA253" s="56">
        <v>10</v>
      </c>
      <c r="BB253" s="55" t="s">
        <v>1764</v>
      </c>
      <c r="BC253" s="55" t="s">
        <v>538</v>
      </c>
      <c r="BD253" s="55"/>
      <c r="BE253" s="56" t="s">
        <v>1809</v>
      </c>
      <c r="BF253" s="56" t="s">
        <v>539</v>
      </c>
      <c r="BG253" s="56" t="s">
        <v>272</v>
      </c>
      <c r="BH253" s="56" t="s">
        <v>272</v>
      </c>
      <c r="BI253" s="157">
        <v>2.1672792842776893E-3</v>
      </c>
      <c r="BJ253" s="157">
        <v>3.4676468548443029E-2</v>
      </c>
      <c r="BK253" s="56"/>
      <c r="BL253" s="103">
        <f t="shared" si="87"/>
        <v>0.34466564762417012</v>
      </c>
      <c r="BM253" s="56" t="s">
        <v>541</v>
      </c>
      <c r="BN253" s="56"/>
      <c r="BO253" s="56">
        <v>1.8863998890353006E-2</v>
      </c>
      <c r="BP253" s="56"/>
      <c r="BQ253" s="56"/>
      <c r="BR253" s="56">
        <v>2.7E-2</v>
      </c>
      <c r="BS253" s="56"/>
      <c r="BT253" s="56"/>
      <c r="BU253" s="158"/>
      <c r="BV253" s="56"/>
      <c r="BW253" s="56"/>
      <c r="BX253" s="56"/>
      <c r="BY253" s="56"/>
      <c r="BZ253" s="56"/>
      <c r="CA253" s="56"/>
      <c r="CB253" s="56"/>
      <c r="CC253" s="56"/>
      <c r="CD253" s="56"/>
      <c r="CE253" s="56"/>
      <c r="CF253" s="56"/>
      <c r="CG253" s="56"/>
      <c r="CH253" s="56"/>
      <c r="CI253" s="103">
        <f t="shared" si="73"/>
        <v>1.8863998890353006E-2</v>
      </c>
      <c r="CJ253" s="103">
        <f t="shared" si="74"/>
        <v>-1.7243662377957196</v>
      </c>
      <c r="CK253" s="57">
        <f t="shared" ref="CK253:CK258" si="90">BL253/BJ253</f>
        <v>9.9394679461858182</v>
      </c>
      <c r="CL253" s="160">
        <f t="shared" si="78"/>
        <v>18.271080783429813</v>
      </c>
      <c r="CM253" s="160">
        <v>-1.7723217067229196</v>
      </c>
      <c r="CN253" s="160">
        <f t="shared" si="88"/>
        <v>2.0528469380678263</v>
      </c>
      <c r="CO253" s="55"/>
      <c r="CP253" s="55" t="s">
        <v>1811</v>
      </c>
      <c r="CQ253" s="149">
        <v>-1.4111928510400207</v>
      </c>
      <c r="CR253" s="349">
        <f t="shared" si="89"/>
        <v>0.48621305232795797</v>
      </c>
      <c r="CS253" s="61" t="s">
        <v>539</v>
      </c>
      <c r="CT253" s="61"/>
      <c r="CU253" s="111">
        <f t="shared" si="86"/>
        <v>8401.6819640061731</v>
      </c>
      <c r="CV253" s="331">
        <f t="shared" ref="CV253:CV258" si="91">X253/BJ253</f>
        <v>4570.5149884193579</v>
      </c>
      <c r="CW253" s="326">
        <f t="shared" si="75"/>
        <v>1</v>
      </c>
      <c r="CX253" s="326"/>
      <c r="CY253" s="161" t="s">
        <v>6351</v>
      </c>
    </row>
    <row r="254" spans="1:103" ht="11.25" customHeight="1" x14ac:dyDescent="0.2">
      <c r="A254" s="72">
        <v>252</v>
      </c>
      <c r="B254" s="149">
        <v>1112</v>
      </c>
      <c r="C254" s="54" t="s">
        <v>1123</v>
      </c>
      <c r="D254" s="54" t="s">
        <v>6473</v>
      </c>
      <c r="E254" s="59"/>
      <c r="F254" s="59" t="s">
        <v>1124</v>
      </c>
      <c r="G254" s="151">
        <v>122394</v>
      </c>
      <c r="H254" s="55" t="s">
        <v>1125</v>
      </c>
      <c r="I254" s="55" t="s">
        <v>1125</v>
      </c>
      <c r="J254" s="55" t="s">
        <v>1126</v>
      </c>
      <c r="K254" s="55" t="s">
        <v>426</v>
      </c>
      <c r="L254" s="55" t="s">
        <v>5974</v>
      </c>
      <c r="M254" s="55" t="s">
        <v>6082</v>
      </c>
      <c r="N254" s="60" t="s">
        <v>6082</v>
      </c>
      <c r="O254" s="55" t="s">
        <v>6083</v>
      </c>
      <c r="P254" s="67">
        <v>3</v>
      </c>
      <c r="Q254" s="67" t="s">
        <v>6173</v>
      </c>
      <c r="R254" s="67">
        <v>1</v>
      </c>
      <c r="S254" s="67" t="s">
        <v>6173</v>
      </c>
      <c r="T254" s="56">
        <v>169.22</v>
      </c>
      <c r="U254" s="103">
        <v>0.31320174920222194</v>
      </c>
      <c r="V254" s="103">
        <v>0.37590119371232716</v>
      </c>
      <c r="W254" s="103">
        <v>1.1220184543019622</v>
      </c>
      <c r="X254" s="103">
        <v>0.31320174920222194</v>
      </c>
      <c r="Y254" s="162">
        <v>7</v>
      </c>
      <c r="Z254" s="56">
        <v>3.29</v>
      </c>
      <c r="AA254" s="56">
        <v>3.5</v>
      </c>
      <c r="AB254" s="56">
        <v>3.19</v>
      </c>
      <c r="AC254" s="56">
        <v>0.79549999999999998</v>
      </c>
      <c r="AD254" s="56">
        <v>3.12</v>
      </c>
      <c r="AE254" s="56">
        <v>2.97</v>
      </c>
      <c r="AF254" s="56">
        <f t="shared" si="82"/>
        <v>3.5</v>
      </c>
      <c r="AG254" s="57">
        <v>3.2</v>
      </c>
      <c r="AH254" s="103">
        <v>1.0499999999999999E-6</v>
      </c>
      <c r="AI254" s="103">
        <v>2.6900000000000001E-6</v>
      </c>
      <c r="AJ254" s="62">
        <f t="shared" si="85"/>
        <v>-4.3673770272427141</v>
      </c>
      <c r="AK254" s="62">
        <f>LOG10(AI254*1000/(0.08206*298.15))</f>
        <v>-3.9588140463102439</v>
      </c>
      <c r="AL254" s="62">
        <f t="shared" si="83"/>
        <v>-3.9588140463102439</v>
      </c>
      <c r="AM254" s="62">
        <v>-7.8134599999999992</v>
      </c>
      <c r="AN254" s="154">
        <v>-3.84</v>
      </c>
      <c r="AO254" s="410"/>
      <c r="AP254" s="410">
        <v>0.78</v>
      </c>
      <c r="AQ254" s="56" t="s">
        <v>6311</v>
      </c>
      <c r="AR254" s="56" t="s">
        <v>6311</v>
      </c>
      <c r="AS254" s="155"/>
      <c r="AT254" s="58" t="s">
        <v>266</v>
      </c>
      <c r="AU254" s="56">
        <v>6</v>
      </c>
      <c r="AV254" s="56">
        <v>120</v>
      </c>
      <c r="AW254" s="56">
        <v>114</v>
      </c>
      <c r="AX254" s="56">
        <v>28</v>
      </c>
      <c r="AY254" s="56" t="s">
        <v>8728</v>
      </c>
      <c r="AZ254" s="56" t="s">
        <v>1563</v>
      </c>
      <c r="BA254" s="56">
        <v>32</v>
      </c>
      <c r="BB254" s="55" t="s">
        <v>2485</v>
      </c>
      <c r="BC254" s="55" t="s">
        <v>8726</v>
      </c>
      <c r="BD254" s="55" t="s">
        <v>8374</v>
      </c>
      <c r="BE254" s="56" t="s">
        <v>2449</v>
      </c>
      <c r="BF254" s="56" t="s">
        <v>272</v>
      </c>
      <c r="BG254" s="56" t="s">
        <v>272</v>
      </c>
      <c r="BH254" s="56" t="s">
        <v>2486</v>
      </c>
      <c r="BI254" s="103">
        <v>6.3999999999999997E-6</v>
      </c>
      <c r="BJ254" s="103">
        <v>6.4000000000000001E-2</v>
      </c>
      <c r="BK254" s="56"/>
      <c r="BL254" s="103">
        <f t="shared" si="87"/>
        <v>5.7023123165170088E-2</v>
      </c>
      <c r="BM254" s="56" t="s">
        <v>2046</v>
      </c>
      <c r="BN254" s="56"/>
      <c r="BO254" s="56"/>
      <c r="BP254" s="56"/>
      <c r="BQ254" s="56"/>
      <c r="BR254" s="55">
        <v>1.83E-2</v>
      </c>
      <c r="BS254" s="56"/>
      <c r="BT254" s="56"/>
      <c r="BU254" s="158"/>
      <c r="BV254" s="56"/>
      <c r="BW254" s="56"/>
      <c r="BX254" s="56"/>
      <c r="BY254" s="56"/>
      <c r="BZ254" s="56"/>
      <c r="CA254" s="56"/>
      <c r="CB254" s="56"/>
      <c r="CC254" s="56"/>
      <c r="CD254" s="56"/>
      <c r="CE254" s="56"/>
      <c r="CF254" s="56"/>
      <c r="CG254" s="56"/>
      <c r="CH254" s="56"/>
      <c r="CI254" s="103">
        <f t="shared" si="73"/>
        <v>1.83E-2</v>
      </c>
      <c r="CJ254" s="103">
        <f t="shared" si="74"/>
        <v>-1.7375489102695705</v>
      </c>
      <c r="CK254" s="57">
        <f t="shared" si="90"/>
        <v>0.89098629945578256</v>
      </c>
      <c r="CL254" s="160">
        <f t="shared" si="78"/>
        <v>3.1160176592989117</v>
      </c>
      <c r="CM254" s="160">
        <v>-1.7702247164394374</v>
      </c>
      <c r="CN254" s="160">
        <f t="shared" si="88"/>
        <v>3.7705498804253685</v>
      </c>
      <c r="CO254" s="55" t="s">
        <v>2488</v>
      </c>
      <c r="CP254" s="55" t="s">
        <v>2489</v>
      </c>
      <c r="CQ254" s="149">
        <v>-1.730087304541734</v>
      </c>
      <c r="CR254" s="349">
        <f t="shared" si="89"/>
        <v>0.98296576930809498</v>
      </c>
      <c r="CS254" s="61" t="s">
        <v>539</v>
      </c>
      <c r="CT254" s="61"/>
      <c r="CU254" s="111">
        <f t="shared" si="86"/>
        <v>17.114849683181525</v>
      </c>
      <c r="CV254" s="331">
        <f t="shared" si="91"/>
        <v>4.8937773312847179</v>
      </c>
      <c r="CW254" s="326">
        <f t="shared" si="75"/>
        <v>1</v>
      </c>
      <c r="CX254" s="326"/>
      <c r="CY254" s="161" t="s">
        <v>6351</v>
      </c>
    </row>
    <row r="255" spans="1:103" ht="11.25" customHeight="1" x14ac:dyDescent="0.2">
      <c r="A255" s="72">
        <v>253</v>
      </c>
      <c r="B255" s="149">
        <v>1973</v>
      </c>
      <c r="C255" s="54" t="s">
        <v>4686</v>
      </c>
      <c r="D255" s="54" t="s">
        <v>6499</v>
      </c>
      <c r="E255" s="59"/>
      <c r="F255" s="167" t="s">
        <v>1037</v>
      </c>
      <c r="G255" s="151">
        <v>2921882</v>
      </c>
      <c r="H255" s="67" t="s">
        <v>1038</v>
      </c>
      <c r="I255" s="67" t="s">
        <v>7929</v>
      </c>
      <c r="J255" s="67" t="s">
        <v>1039</v>
      </c>
      <c r="K255" s="67" t="s">
        <v>1040</v>
      </c>
      <c r="L255" s="67" t="s">
        <v>617</v>
      </c>
      <c r="M255" s="67" t="s">
        <v>946</v>
      </c>
      <c r="N255" s="60" t="s">
        <v>6376</v>
      </c>
      <c r="O255" s="67" t="s">
        <v>918</v>
      </c>
      <c r="P255" s="67">
        <v>3</v>
      </c>
      <c r="Q255" s="67" t="s">
        <v>6173</v>
      </c>
      <c r="R255" s="67">
        <v>1</v>
      </c>
      <c r="S255" s="67" t="s">
        <v>6173</v>
      </c>
      <c r="T255" s="61">
        <v>350.59</v>
      </c>
      <c r="U255" s="111">
        <v>3.1946147922074222E-3</v>
      </c>
      <c r="V255" s="111">
        <v>1.0182834650161157E-3</v>
      </c>
      <c r="W255" s="111">
        <v>4.0738027780411268E-3</v>
      </c>
      <c r="X255" s="111">
        <v>3.1946147922074222E-3</v>
      </c>
      <c r="Y255" s="411">
        <v>7</v>
      </c>
      <c r="Z255" s="61">
        <v>5.1100000000000003</v>
      </c>
      <c r="AA255" s="61">
        <v>4.96</v>
      </c>
      <c r="AB255" s="61">
        <v>4.79</v>
      </c>
      <c r="AC255" s="61">
        <v>0.86860000000000004</v>
      </c>
      <c r="AD255" s="61">
        <v>4.78</v>
      </c>
      <c r="AE255" s="61">
        <v>4.7699999999999996</v>
      </c>
      <c r="AF255" s="61">
        <f t="shared" si="82"/>
        <v>4.96</v>
      </c>
      <c r="AG255" s="62">
        <v>5.16</v>
      </c>
      <c r="AH255" s="111">
        <v>2.52E-6</v>
      </c>
      <c r="AI255" s="111">
        <v>2.9299999999999999E-6</v>
      </c>
      <c r="AJ255" s="62">
        <f t="shared" si="85"/>
        <v>-3.9871657855311078</v>
      </c>
      <c r="AK255" s="62">
        <f>LOG10(AI255*1000/(0.08206*298.15))</f>
        <v>-3.9216987059585424</v>
      </c>
      <c r="AL255" s="62">
        <f t="shared" si="83"/>
        <v>-3.9216987059585424</v>
      </c>
      <c r="AM255" s="62">
        <v>-11.220610000000001</v>
      </c>
      <c r="AN255" s="163">
        <v>-2.6389999999999998</v>
      </c>
      <c r="AO255" s="410"/>
      <c r="AP255" s="410">
        <v>-5.28</v>
      </c>
      <c r="AQ255" s="163" t="s">
        <v>6312</v>
      </c>
      <c r="AR255" s="163" t="s">
        <v>6312</v>
      </c>
      <c r="AS255" s="164" t="s">
        <v>5466</v>
      </c>
      <c r="AT255" s="63" t="s">
        <v>266</v>
      </c>
      <c r="AU255" s="61">
        <v>2</v>
      </c>
      <c r="AV255" s="61">
        <v>144</v>
      </c>
      <c r="AW255" s="61">
        <v>142</v>
      </c>
      <c r="AX255" s="61">
        <v>25</v>
      </c>
      <c r="AY255" s="61" t="s">
        <v>267</v>
      </c>
      <c r="AZ255" s="61" t="s">
        <v>6201</v>
      </c>
      <c r="BA255" s="61">
        <v>12</v>
      </c>
      <c r="BB255" s="67" t="s">
        <v>6215</v>
      </c>
      <c r="BC255" s="67" t="s">
        <v>6214</v>
      </c>
      <c r="BD255" s="67"/>
      <c r="BE255" s="61" t="s">
        <v>2449</v>
      </c>
      <c r="BF255" s="61" t="s">
        <v>6203</v>
      </c>
      <c r="BG255" s="61" t="s">
        <v>6203</v>
      </c>
      <c r="BH255" s="61" t="s">
        <v>5626</v>
      </c>
      <c r="BI255" s="111">
        <v>1.4261673179497421E-4</v>
      </c>
      <c r="BJ255" s="111">
        <v>7.1308365897487097E-2</v>
      </c>
      <c r="BK255" s="165"/>
      <c r="BL255" s="111">
        <f t="shared" si="87"/>
        <v>1.3228451213969966E-3</v>
      </c>
      <c r="BM255" s="61" t="s">
        <v>6250</v>
      </c>
      <c r="BN255" s="61"/>
      <c r="BO255" s="61"/>
      <c r="BP255" s="61"/>
      <c r="BQ255" s="61"/>
      <c r="BR255" s="61"/>
      <c r="BS255" s="61"/>
      <c r="BT255" s="61">
        <v>1.78E-2</v>
      </c>
      <c r="BU255" s="158"/>
      <c r="BV255" s="61"/>
      <c r="BW255" s="61"/>
      <c r="BX255" s="61"/>
      <c r="BY255" s="61"/>
      <c r="BZ255" s="61"/>
      <c r="CA255" s="61"/>
      <c r="CB255" s="61"/>
      <c r="CC255" s="61"/>
      <c r="CD255" s="61"/>
      <c r="CE255" s="61"/>
      <c r="CF255" s="61"/>
      <c r="CG255" s="61"/>
      <c r="CH255" s="61"/>
      <c r="CI255" s="111">
        <f t="shared" si="73"/>
        <v>1.78E-2</v>
      </c>
      <c r="CJ255" s="103">
        <f t="shared" si="74"/>
        <v>-1.7495799976911059</v>
      </c>
      <c r="CK255" s="57">
        <f t="shared" si="90"/>
        <v>1.855105084442292E-2</v>
      </c>
      <c r="CL255" s="160">
        <f t="shared" si="78"/>
        <v>7.4317141651516663E-2</v>
      </c>
      <c r="CM255" s="160">
        <v>-4.7871813037708</v>
      </c>
      <c r="CN255" s="160">
        <f t="shared" si="88"/>
        <v>4368.393860303363</v>
      </c>
      <c r="CO255" s="161" t="s">
        <v>6216</v>
      </c>
      <c r="CP255" s="67" t="s">
        <v>6323</v>
      </c>
      <c r="CQ255" s="149">
        <v>-4.1215484689214863</v>
      </c>
      <c r="CR255" s="349">
        <f t="shared" si="89"/>
        <v>235.48783189995652</v>
      </c>
      <c r="CS255" s="61" t="s">
        <v>539</v>
      </c>
      <c r="CT255" s="61"/>
      <c r="CU255" s="111">
        <f t="shared" si="86"/>
        <v>0.17947274113524844</v>
      </c>
      <c r="CV255" s="331">
        <f t="shared" si="91"/>
        <v>4.4800000000000006E-2</v>
      </c>
      <c r="CW255" s="326">
        <f t="shared" si="75"/>
        <v>0</v>
      </c>
      <c r="CX255" s="326"/>
      <c r="CY255" s="161" t="s">
        <v>5921</v>
      </c>
    </row>
    <row r="256" spans="1:103" ht="11.25" customHeight="1" x14ac:dyDescent="0.2">
      <c r="A256" s="72">
        <v>254</v>
      </c>
      <c r="B256" s="149">
        <v>629</v>
      </c>
      <c r="C256" s="54" t="s">
        <v>1349</v>
      </c>
      <c r="D256" s="54" t="s">
        <v>6431</v>
      </c>
      <c r="E256" s="59"/>
      <c r="F256" s="59" t="s">
        <v>1350</v>
      </c>
      <c r="G256" s="151">
        <v>56382</v>
      </c>
      <c r="H256" s="55" t="s">
        <v>1351</v>
      </c>
      <c r="I256" s="55" t="s">
        <v>7980</v>
      </c>
      <c r="J256" s="55" t="s">
        <v>1352</v>
      </c>
      <c r="K256" s="55" t="s">
        <v>628</v>
      </c>
      <c r="L256" s="55" t="s">
        <v>617</v>
      </c>
      <c r="M256" s="55" t="s">
        <v>618</v>
      </c>
      <c r="N256" s="60" t="s">
        <v>6376</v>
      </c>
      <c r="O256" s="55" t="s">
        <v>1353</v>
      </c>
      <c r="P256" s="67">
        <v>3</v>
      </c>
      <c r="Q256" s="67" t="s">
        <v>6173</v>
      </c>
      <c r="R256" s="67">
        <v>1</v>
      </c>
      <c r="S256" s="67" t="s">
        <v>6173</v>
      </c>
      <c r="T256" s="56">
        <v>291.26</v>
      </c>
      <c r="U256" s="103">
        <v>3.7766943624253244E-2</v>
      </c>
      <c r="V256" s="103">
        <v>1.0348142553045388E-2</v>
      </c>
      <c r="W256" s="103">
        <v>2.3442288153199219E-2</v>
      </c>
      <c r="X256" s="103">
        <v>3.7766943624253244E-2</v>
      </c>
      <c r="Y256" s="162">
        <v>7</v>
      </c>
      <c r="Z256" s="56">
        <v>3.73</v>
      </c>
      <c r="AA256" s="56">
        <v>3.83</v>
      </c>
      <c r="AB256" s="56">
        <v>3.48</v>
      </c>
      <c r="AC256" s="56">
        <v>0.87450000000000006</v>
      </c>
      <c r="AD256" s="56">
        <v>3.57</v>
      </c>
      <c r="AE256" s="56">
        <v>3.84</v>
      </c>
      <c r="AF256" s="56">
        <f t="shared" ref="AF256:AF287" si="92">IF(AA256=0,AD256,AA256)</f>
        <v>3.83</v>
      </c>
      <c r="AG256" s="57">
        <v>3</v>
      </c>
      <c r="AH256" s="103">
        <v>2.96E-7</v>
      </c>
      <c r="AI256" s="103">
        <v>2.9799999999999999E-7</v>
      </c>
      <c r="AJ256" s="62">
        <f t="shared" si="85"/>
        <v>-4.9172746152537128</v>
      </c>
      <c r="AK256" s="62">
        <f>LOG10(AI256*1000/(0.08206*298.15))</f>
        <v>-4.9143500622363963</v>
      </c>
      <c r="AL256" s="62">
        <f t="shared" si="83"/>
        <v>-4.9143500622363963</v>
      </c>
      <c r="AM256" s="62">
        <v>-11.31479</v>
      </c>
      <c r="AN256" s="154">
        <v>-4.29</v>
      </c>
      <c r="AO256" s="410"/>
      <c r="AP256" s="410"/>
      <c r="AQ256" s="154" t="s">
        <v>6314</v>
      </c>
      <c r="AR256" s="154" t="s">
        <v>6314</v>
      </c>
      <c r="AS256" s="149" t="s">
        <v>6</v>
      </c>
      <c r="AT256" s="58" t="s">
        <v>266</v>
      </c>
      <c r="AU256" s="56">
        <v>2</v>
      </c>
      <c r="AV256" s="56" t="s">
        <v>646</v>
      </c>
      <c r="AW256" s="56" t="s">
        <v>646</v>
      </c>
      <c r="AX256" s="56">
        <v>26</v>
      </c>
      <c r="AY256" s="56" t="s">
        <v>647</v>
      </c>
      <c r="AZ256" s="56" t="s">
        <v>536</v>
      </c>
      <c r="BA256" s="56">
        <v>10</v>
      </c>
      <c r="BB256" s="55" t="s">
        <v>1764</v>
      </c>
      <c r="BC256" s="55" t="s">
        <v>538</v>
      </c>
      <c r="BD256" s="55"/>
      <c r="BE256" s="56" t="s">
        <v>1809</v>
      </c>
      <c r="BF256" s="56" t="s">
        <v>539</v>
      </c>
      <c r="BG256" s="56" t="s">
        <v>272</v>
      </c>
      <c r="BH256" s="56" t="s">
        <v>272</v>
      </c>
      <c r="BI256" s="157">
        <v>2.1458490695598436E-3</v>
      </c>
      <c r="BJ256" s="157">
        <v>3.4333585112957497E-2</v>
      </c>
      <c r="BK256" s="56" t="s">
        <v>1810</v>
      </c>
      <c r="BL256" s="103">
        <f t="shared" si="87"/>
        <v>2.2955512860559066E-2</v>
      </c>
      <c r="BM256" s="56" t="s">
        <v>541</v>
      </c>
      <c r="BN256" s="56"/>
      <c r="BO256" s="56">
        <v>1.7407127652269452E-2</v>
      </c>
      <c r="BP256" s="56"/>
      <c r="BQ256" s="56"/>
      <c r="BR256" s="56">
        <v>1.7000000000000001E-2</v>
      </c>
      <c r="BS256" s="56"/>
      <c r="BT256" s="56"/>
      <c r="BU256" s="158"/>
      <c r="BV256" s="56"/>
      <c r="BW256" s="56"/>
      <c r="BX256" s="56"/>
      <c r="BY256" s="56"/>
      <c r="BZ256" s="56"/>
      <c r="CA256" s="56"/>
      <c r="CB256" s="56"/>
      <c r="CC256" s="56"/>
      <c r="CD256" s="56"/>
      <c r="CE256" s="56"/>
      <c r="CF256" s="56"/>
      <c r="CG256" s="56"/>
      <c r="CH256" s="56"/>
      <c r="CI256" s="103">
        <f t="shared" si="73"/>
        <v>1.7000000000000001E-2</v>
      </c>
      <c r="CJ256" s="103">
        <f t="shared" si="74"/>
        <v>-1.7695510786217261</v>
      </c>
      <c r="CK256" s="57">
        <f t="shared" si="90"/>
        <v>0.66860226757664332</v>
      </c>
      <c r="CL256" s="160">
        <f t="shared" si="78"/>
        <v>1.3503242859152391</v>
      </c>
      <c r="CM256" s="160">
        <v>-3.28330914160333</v>
      </c>
      <c r="CN256" s="160">
        <f t="shared" si="88"/>
        <v>65.921684507273383</v>
      </c>
      <c r="CO256" s="55"/>
      <c r="CP256" s="55" t="s">
        <v>1811</v>
      </c>
      <c r="CQ256" s="149">
        <v>-2.6971744164506752</v>
      </c>
      <c r="CR256" s="349">
        <f t="shared" si="89"/>
        <v>8.4649293515167177</v>
      </c>
      <c r="CS256" s="61" t="s">
        <v>539</v>
      </c>
      <c r="CT256" s="61" t="s">
        <v>6310</v>
      </c>
      <c r="CU256" s="111">
        <f t="shared" si="86"/>
        <v>2.2215849190737202</v>
      </c>
      <c r="CV256" s="331">
        <f t="shared" si="91"/>
        <v>1.0999999999999999</v>
      </c>
      <c r="CW256" s="326">
        <f t="shared" si="75"/>
        <v>1</v>
      </c>
      <c r="CX256" s="326" t="s">
        <v>539</v>
      </c>
      <c r="CY256" s="161" t="s">
        <v>5921</v>
      </c>
    </row>
    <row r="257" spans="1:103" ht="11.25" customHeight="1" x14ac:dyDescent="0.2">
      <c r="A257" s="72">
        <v>255</v>
      </c>
      <c r="B257" s="149">
        <v>2165</v>
      </c>
      <c r="C257" s="54" t="s">
        <v>1669</v>
      </c>
      <c r="D257" s="54" t="s">
        <v>6457</v>
      </c>
      <c r="E257" s="59"/>
      <c r="F257" s="59" t="s">
        <v>1670</v>
      </c>
      <c r="G257" s="151">
        <v>95761</v>
      </c>
      <c r="H257" s="55" t="s">
        <v>1671</v>
      </c>
      <c r="I257" s="55" t="s">
        <v>8213</v>
      </c>
      <c r="J257" s="55" t="s">
        <v>1672</v>
      </c>
      <c r="K257" s="55" t="s">
        <v>1573</v>
      </c>
      <c r="L257" s="55" t="s">
        <v>5527</v>
      </c>
      <c r="M257" s="55" t="s">
        <v>1629</v>
      </c>
      <c r="N257" s="60" t="s">
        <v>6385</v>
      </c>
      <c r="O257" s="55" t="s">
        <v>498</v>
      </c>
      <c r="P257" s="67">
        <v>3</v>
      </c>
      <c r="Q257" s="67" t="s">
        <v>6173</v>
      </c>
      <c r="R257" s="67">
        <v>1</v>
      </c>
      <c r="S257" s="67" t="s">
        <v>6173</v>
      </c>
      <c r="T257" s="56">
        <v>162.02000000000001</v>
      </c>
      <c r="U257" s="103">
        <v>0.56783113195901735</v>
      </c>
      <c r="V257" s="103">
        <v>2.0855449944451299</v>
      </c>
      <c r="W257" s="103">
        <v>1.819700858609981</v>
      </c>
      <c r="X257" s="103">
        <v>0.56783113195901735</v>
      </c>
      <c r="Y257" s="162">
        <v>7.2</v>
      </c>
      <c r="Z257" s="56">
        <v>2.37</v>
      </c>
      <c r="AA257" s="56">
        <v>2.69</v>
      </c>
      <c r="AB257" s="56">
        <v>2.62</v>
      </c>
      <c r="AC257" s="56">
        <v>0.89139999999999997</v>
      </c>
      <c r="AD257" s="56">
        <v>2.6</v>
      </c>
      <c r="AE257" s="56">
        <v>2.5099999999999998</v>
      </c>
      <c r="AF257" s="56">
        <f t="shared" si="92"/>
        <v>2.69</v>
      </c>
      <c r="AG257" s="57">
        <v>2.4700000000000002</v>
      </c>
      <c r="AH257" s="103">
        <v>1.0499999999999999E-6</v>
      </c>
      <c r="AI257" s="103">
        <v>1.4600000000000001E-5</v>
      </c>
      <c r="AJ257" s="62">
        <f t="shared" si="85"/>
        <v>-4.3673770272427141</v>
      </c>
      <c r="AK257" s="62">
        <f>LOG10(AI257*1000/(0.08206*298.15))</f>
        <v>-3.2242134705282148</v>
      </c>
      <c r="AL257" s="62">
        <f t="shared" si="83"/>
        <v>-3.2242134705282148</v>
      </c>
      <c r="AM257" s="62">
        <v>-7.2924100000000003</v>
      </c>
      <c r="AN257" s="154">
        <v>-4.37</v>
      </c>
      <c r="AO257" s="410"/>
      <c r="AP257" s="410">
        <v>2.9</v>
      </c>
      <c r="AQ257" s="154" t="s">
        <v>6311</v>
      </c>
      <c r="AR257" s="154" t="s">
        <v>6311</v>
      </c>
      <c r="AS257" s="149" t="s">
        <v>6</v>
      </c>
      <c r="AT257" s="58" t="s">
        <v>266</v>
      </c>
      <c r="AU257" s="56">
        <v>0</v>
      </c>
      <c r="AV257" s="56">
        <v>96</v>
      </c>
      <c r="AW257" s="56">
        <v>96</v>
      </c>
      <c r="AX257" s="56">
        <v>26</v>
      </c>
      <c r="AY257" s="472" t="s">
        <v>6360</v>
      </c>
      <c r="AZ257" s="56" t="s">
        <v>536</v>
      </c>
      <c r="BA257" s="56">
        <v>20</v>
      </c>
      <c r="BB257" s="55" t="s">
        <v>1764</v>
      </c>
      <c r="BC257" s="55" t="s">
        <v>6359</v>
      </c>
      <c r="BD257" s="55"/>
      <c r="BE257" s="56" t="s">
        <v>1712</v>
      </c>
      <c r="BF257" s="56" t="s">
        <v>539</v>
      </c>
      <c r="BG257" s="56" t="s">
        <v>539</v>
      </c>
      <c r="BH257" s="56" t="s">
        <v>272</v>
      </c>
      <c r="BI257" s="56">
        <f>0.5/162.02</f>
        <v>3.0860387606468334E-3</v>
      </c>
      <c r="BJ257" s="56">
        <f>8/162.02</f>
        <v>4.9376620170349335E-2</v>
      </c>
      <c r="BK257" s="56" t="s">
        <v>6365</v>
      </c>
      <c r="BL257" s="103">
        <f t="shared" si="87"/>
        <v>0.38221083995251059</v>
      </c>
      <c r="BM257" s="56" t="s">
        <v>541</v>
      </c>
      <c r="BN257" s="56"/>
      <c r="BO257" s="56">
        <f>3/162.02</f>
        <v>1.8516232563881001E-2</v>
      </c>
      <c r="BP257" s="56"/>
      <c r="BQ257" s="56">
        <f>2.7/162.02</f>
        <v>1.6664609307492903E-2</v>
      </c>
      <c r="BR257" s="56"/>
      <c r="BS257" s="56"/>
      <c r="BT257" s="56"/>
      <c r="BU257" s="158"/>
      <c r="BV257" s="56"/>
      <c r="BW257" s="56"/>
      <c r="BX257" s="56"/>
      <c r="BY257" s="56"/>
      <c r="BZ257" s="56"/>
      <c r="CA257" s="56"/>
      <c r="CB257" s="56"/>
      <c r="CC257" s="56"/>
      <c r="CD257" s="56"/>
      <c r="CE257" s="56"/>
      <c r="CF257" s="56"/>
      <c r="CG257" s="56"/>
      <c r="CH257" s="56"/>
      <c r="CI257" s="103">
        <f t="shared" si="73"/>
        <v>1.6664609307492903E-2</v>
      </c>
      <c r="CJ257" s="103">
        <f t="shared" si="74"/>
        <v>-1.7782048636769532</v>
      </c>
      <c r="CK257" s="57">
        <f t="shared" si="90"/>
        <v>7.7407250361382216</v>
      </c>
      <c r="CL257" s="160">
        <f t="shared" si="78"/>
        <v>22.935481588557689</v>
      </c>
      <c r="CM257" s="160">
        <v>-1.8594468109488289</v>
      </c>
      <c r="CN257" s="160">
        <f t="shared" si="88"/>
        <v>3.5724665421283346</v>
      </c>
      <c r="CO257" s="55"/>
      <c r="CP257" s="55" t="s">
        <v>6364</v>
      </c>
      <c r="CQ257" s="149">
        <v>-1.4618243103116244</v>
      </c>
      <c r="CR257" s="349">
        <f t="shared" si="89"/>
        <v>0.48263570401992734</v>
      </c>
      <c r="CS257" s="61" t="s">
        <v>539</v>
      </c>
      <c r="CT257" s="61" t="s">
        <v>6310</v>
      </c>
      <c r="CU257" s="111">
        <f t="shared" si="86"/>
        <v>34.074074074074069</v>
      </c>
      <c r="CV257" s="331">
        <f t="shared" si="91"/>
        <v>11.5</v>
      </c>
      <c r="CW257" s="326">
        <f t="shared" si="75"/>
        <v>1</v>
      </c>
      <c r="CX257" s="326" t="s">
        <v>539</v>
      </c>
      <c r="CY257" s="161" t="s">
        <v>6351</v>
      </c>
    </row>
    <row r="258" spans="1:103" ht="11.25" customHeight="1" x14ac:dyDescent="0.2">
      <c r="A258" s="72">
        <v>256</v>
      </c>
      <c r="B258" s="149">
        <v>15</v>
      </c>
      <c r="C258" s="54" t="s">
        <v>342</v>
      </c>
      <c r="D258" s="54"/>
      <c r="E258" s="59"/>
      <c r="F258" s="150" t="str">
        <f>HYPERLINK("http://www.sigmaaldrich.com/catalog/Lookup.do?N5=CAS+No.&amp;N3=mode+matchpartialmax&amp;N4=29883-15-6&amp;D7=0&amp;D10=&amp;N25=0&amp;N1=S_ID&amp;ST=RS&amp;F=PR","29883-15-6")</f>
        <v>29883-15-6</v>
      </c>
      <c r="G258" s="151">
        <v>29883156</v>
      </c>
      <c r="H258" s="55" t="s">
        <v>343</v>
      </c>
      <c r="I258" s="55"/>
      <c r="J258" s="55" t="s">
        <v>344</v>
      </c>
      <c r="K258" s="55" t="s">
        <v>345</v>
      </c>
      <c r="L258" s="64"/>
      <c r="M258" s="55"/>
      <c r="N258" s="60"/>
      <c r="O258" s="55"/>
      <c r="P258" s="67">
        <v>3</v>
      </c>
      <c r="Q258" s="67" t="s">
        <v>6173</v>
      </c>
      <c r="R258" s="67">
        <v>1</v>
      </c>
      <c r="S258" s="67" t="s">
        <v>6173</v>
      </c>
      <c r="T258" s="59">
        <v>457.43</v>
      </c>
      <c r="U258" s="153"/>
      <c r="V258" s="153">
        <v>2186.1268390792034</v>
      </c>
      <c r="W258" s="153">
        <v>8.5113803820237681</v>
      </c>
      <c r="X258" s="153">
        <f>IF(W258=0,V258,W258)</f>
        <v>8.5113803820237681</v>
      </c>
      <c r="Y258" s="410">
        <v>6.9</v>
      </c>
      <c r="Z258" s="59">
        <v>-4.34</v>
      </c>
      <c r="AA258" s="59"/>
      <c r="AB258" s="59">
        <v>-2.17</v>
      </c>
      <c r="AC258" s="59">
        <v>0.64680000000000004</v>
      </c>
      <c r="AD258" s="59">
        <v>-1.48</v>
      </c>
      <c r="AE258" s="59">
        <v>-0.36</v>
      </c>
      <c r="AF258" s="59">
        <f t="shared" si="92"/>
        <v>-1.48</v>
      </c>
      <c r="AG258" s="57">
        <v>-2.73</v>
      </c>
      <c r="AH258" s="103">
        <v>3.1600000000000002E-23</v>
      </c>
      <c r="AI258" s="103"/>
      <c r="AJ258" s="62">
        <f t="shared" si="85"/>
        <v>-20.888879243694248</v>
      </c>
      <c r="AK258" s="62"/>
      <c r="AL258" s="62">
        <f t="shared" si="83"/>
        <v>-20.888879243694248</v>
      </c>
      <c r="AM258" s="62">
        <v>-38.782359999999997</v>
      </c>
      <c r="AN258" s="154">
        <v>-27.7</v>
      </c>
      <c r="AO258" s="410">
        <v>12.69</v>
      </c>
      <c r="AP258" s="410"/>
      <c r="AQ258" s="154" t="s">
        <v>6311</v>
      </c>
      <c r="AR258" s="154" t="s">
        <v>6311</v>
      </c>
      <c r="AS258" s="149" t="s">
        <v>282</v>
      </c>
      <c r="AT258" s="58" t="s">
        <v>266</v>
      </c>
      <c r="AU258" s="155">
        <v>24</v>
      </c>
      <c r="AV258" s="155">
        <v>120</v>
      </c>
      <c r="AW258" s="155">
        <v>96</v>
      </c>
      <c r="AX258" s="155">
        <v>28</v>
      </c>
      <c r="AY258" s="155" t="s">
        <v>267</v>
      </c>
      <c r="AZ258" s="155" t="s">
        <v>268</v>
      </c>
      <c r="BA258" s="155">
        <v>48</v>
      </c>
      <c r="BB258" s="55" t="s">
        <v>269</v>
      </c>
      <c r="BC258" s="156" t="s">
        <v>270</v>
      </c>
      <c r="BD258" s="156" t="s">
        <v>8374</v>
      </c>
      <c r="BE258" s="155" t="s">
        <v>271</v>
      </c>
      <c r="BF258" s="155" t="s">
        <v>272</v>
      </c>
      <c r="BG258" s="155" t="s">
        <v>272</v>
      </c>
      <c r="BH258" s="155" t="s">
        <v>272</v>
      </c>
      <c r="BI258" s="157">
        <v>2.1861268390792033E-3</v>
      </c>
      <c r="BJ258" s="157">
        <v>2.1861268390792032</v>
      </c>
      <c r="BK258" s="56"/>
      <c r="BL258" s="103">
        <f t="shared" si="87"/>
        <v>406026.14523951587</v>
      </c>
      <c r="BM258" s="56">
        <v>0</v>
      </c>
      <c r="BN258" s="56"/>
      <c r="BO258" s="56"/>
      <c r="BP258" s="56"/>
      <c r="BQ258" s="56"/>
      <c r="BR258" s="56"/>
      <c r="BS258" s="56"/>
      <c r="BT258" s="56"/>
      <c r="BU258" s="158"/>
      <c r="BV258" s="56"/>
      <c r="BW258" s="56"/>
      <c r="BX258" s="56"/>
      <c r="BY258" s="56"/>
      <c r="BZ258" s="56"/>
      <c r="CA258" s="56"/>
      <c r="CB258" s="56">
        <v>0.59</v>
      </c>
      <c r="CC258" s="56"/>
      <c r="CD258" s="56"/>
      <c r="CE258" s="56"/>
      <c r="CF258" s="56"/>
      <c r="CG258" s="56"/>
      <c r="CH258" s="56"/>
      <c r="CI258" s="103">
        <f t="shared" si="73"/>
        <v>0.59</v>
      </c>
      <c r="CJ258" s="103">
        <f t="shared" si="74"/>
        <v>-0.22914798835785583</v>
      </c>
      <c r="CK258" s="57">
        <f t="shared" si="90"/>
        <v>185728.53961691176</v>
      </c>
      <c r="CL258" s="160">
        <f t="shared" si="78"/>
        <v>688179.90718562016</v>
      </c>
      <c r="CM258" s="160"/>
      <c r="CN258" s="160"/>
      <c r="CO258" s="55" t="s">
        <v>273</v>
      </c>
      <c r="CP258" s="156" t="s">
        <v>274</v>
      </c>
      <c r="CQ258" s="149" t="s">
        <v>272</v>
      </c>
      <c r="CR258" s="349"/>
      <c r="CS258" s="61" t="s">
        <v>539</v>
      </c>
      <c r="CT258" s="61"/>
      <c r="CU258" s="111">
        <f t="shared" si="86"/>
        <v>14.426068444108083</v>
      </c>
      <c r="CV258" s="331">
        <f t="shared" si="91"/>
        <v>3.8933607281491325</v>
      </c>
      <c r="CW258" s="326">
        <f t="shared" si="75"/>
        <v>1</v>
      </c>
      <c r="CX258" s="326"/>
      <c r="CY258" s="161" t="s">
        <v>5921</v>
      </c>
    </row>
    <row r="259" spans="1:103" ht="11.25" customHeight="1" x14ac:dyDescent="0.2">
      <c r="A259" s="72">
        <v>257</v>
      </c>
      <c r="B259" s="149">
        <v>875</v>
      </c>
      <c r="C259" s="54" t="s">
        <v>2480</v>
      </c>
      <c r="D259" s="54" t="s">
        <v>6470</v>
      </c>
      <c r="E259" s="59"/>
      <c r="F259" s="59" t="s">
        <v>2481</v>
      </c>
      <c r="G259" s="151">
        <v>119619</v>
      </c>
      <c r="H259" s="55" t="s">
        <v>2482</v>
      </c>
      <c r="I259" s="55" t="s">
        <v>2482</v>
      </c>
      <c r="J259" s="55" t="s">
        <v>2483</v>
      </c>
      <c r="K259" s="55" t="s">
        <v>426</v>
      </c>
      <c r="L259" s="55" t="s">
        <v>5527</v>
      </c>
      <c r="M259" s="55" t="s">
        <v>866</v>
      </c>
      <c r="N259" s="60" t="s">
        <v>6082</v>
      </c>
      <c r="O259" s="55" t="s">
        <v>498</v>
      </c>
      <c r="P259" s="67">
        <v>3</v>
      </c>
      <c r="Q259" s="67" t="s">
        <v>6173</v>
      </c>
      <c r="R259" s="67">
        <v>1</v>
      </c>
      <c r="S259" s="67" t="s">
        <v>6173</v>
      </c>
      <c r="T259" s="56">
        <v>182.22</v>
      </c>
      <c r="U259" s="103">
        <v>0.75183843705411046</v>
      </c>
      <c r="V259" s="103">
        <v>0.56689715728240586</v>
      </c>
      <c r="W259" s="103">
        <v>0.7079457843841378</v>
      </c>
      <c r="X259" s="103">
        <v>0.75183843705411046</v>
      </c>
      <c r="Y259" s="162">
        <v>7</v>
      </c>
      <c r="Z259" s="56">
        <v>3.15</v>
      </c>
      <c r="AA259" s="56">
        <v>3.18</v>
      </c>
      <c r="AB259" s="56">
        <v>2.9</v>
      </c>
      <c r="AC259" s="56">
        <v>0.90490000000000004</v>
      </c>
      <c r="AD259" s="56">
        <v>2.96</v>
      </c>
      <c r="AE259" s="56">
        <v>3.18</v>
      </c>
      <c r="AF259" s="56">
        <f t="shared" si="92"/>
        <v>3.18</v>
      </c>
      <c r="AG259" s="57">
        <v>3.09</v>
      </c>
      <c r="AH259" s="103">
        <v>1.9400000000000001E-6</v>
      </c>
      <c r="AI259" s="103"/>
      <c r="AJ259" s="62">
        <f t="shared" si="85"/>
        <v>-4.100764596382426</v>
      </c>
      <c r="AK259" s="62"/>
      <c r="AL259" s="62">
        <f t="shared" si="83"/>
        <v>-4.100764596382426</v>
      </c>
      <c r="AM259" s="62">
        <v>-8.2286799999999989</v>
      </c>
      <c r="AN259" s="154">
        <v>-3.85</v>
      </c>
      <c r="AO259" s="410"/>
      <c r="AP259" s="410"/>
      <c r="AQ259" s="56" t="s">
        <v>6311</v>
      </c>
      <c r="AR259" s="56" t="s">
        <v>6311</v>
      </c>
      <c r="AS259" s="155" t="s">
        <v>6</v>
      </c>
      <c r="AT259" s="58" t="s">
        <v>266</v>
      </c>
      <c r="AU259" s="155">
        <v>2</v>
      </c>
      <c r="AV259" s="155">
        <v>98</v>
      </c>
      <c r="AW259" s="155">
        <v>96</v>
      </c>
      <c r="AX259" s="155">
        <v>26</v>
      </c>
      <c r="AY259" s="56" t="s">
        <v>267</v>
      </c>
      <c r="AZ259" s="56" t="s">
        <v>536</v>
      </c>
      <c r="BA259" s="56">
        <v>10</v>
      </c>
      <c r="BB259" s="55" t="s">
        <v>1764</v>
      </c>
      <c r="BC259" s="55" t="s">
        <v>2448</v>
      </c>
      <c r="BD259" s="55"/>
      <c r="BE259" s="56" t="s">
        <v>2449</v>
      </c>
      <c r="BF259" s="56"/>
      <c r="BG259" s="56"/>
      <c r="BH259" s="56"/>
      <c r="BI259" s="103"/>
      <c r="BJ259" s="103"/>
      <c r="BK259" s="56"/>
      <c r="BL259" s="103">
        <f t="shared" si="87"/>
        <v>7.6170183176510087E-2</v>
      </c>
      <c r="BM259" s="56" t="s">
        <v>541</v>
      </c>
      <c r="BN259" s="155">
        <v>2.1399999999999999E-2</v>
      </c>
      <c r="BO259" s="155">
        <v>1.9E-2</v>
      </c>
      <c r="BP259" s="155">
        <v>1.9E-2</v>
      </c>
      <c r="BQ259" s="155">
        <v>1.6399999999999998E-2</v>
      </c>
      <c r="BR259" s="155"/>
      <c r="BS259" s="155"/>
      <c r="BT259" s="155"/>
      <c r="BU259" s="175"/>
      <c r="BV259" s="155"/>
      <c r="BW259" s="155"/>
      <c r="BX259" s="155"/>
      <c r="BY259" s="155"/>
      <c r="BZ259" s="155"/>
      <c r="CA259" s="155"/>
      <c r="CB259" s="155"/>
      <c r="CC259" s="155"/>
      <c r="CD259" s="155"/>
      <c r="CE259" s="155"/>
      <c r="CF259" s="155"/>
      <c r="CG259" s="155"/>
      <c r="CH259" s="155"/>
      <c r="CI259" s="157">
        <f t="shared" ref="CI259:CI322" si="93">MIN(BN259:CH259)</f>
        <v>1.6399999999999998E-2</v>
      </c>
      <c r="CJ259" s="103">
        <f t="shared" ref="CJ259:CJ322" si="94">LOG10(CI259)</f>
        <v>-1.7851561519523023</v>
      </c>
      <c r="CK259" s="57" t="s">
        <v>404</v>
      </c>
      <c r="CL259" s="160">
        <f t="shared" si="78"/>
        <v>4.6445233644213477</v>
      </c>
      <c r="CM259" s="160">
        <v>-1.124528699714062</v>
      </c>
      <c r="CN259" s="160"/>
      <c r="CO259" s="156"/>
      <c r="CP259" s="55" t="s">
        <v>2470</v>
      </c>
      <c r="CQ259" s="149">
        <v>-1.124528699714062</v>
      </c>
      <c r="CR259" s="349">
        <f>10^(CJ259-CQ259)</f>
        <v>0.21846031109170322</v>
      </c>
      <c r="CS259" s="61" t="s">
        <v>539</v>
      </c>
      <c r="CT259" s="61"/>
      <c r="CU259" s="111">
        <f t="shared" si="86"/>
        <v>45.843807137445765</v>
      </c>
      <c r="CV259" s="331"/>
      <c r="CW259" s="326">
        <f t="shared" ref="CW259:CW322" si="95">IF(CU259&lt;2,0,1)</f>
        <v>1</v>
      </c>
      <c r="CX259" s="326"/>
      <c r="CY259" s="161" t="s">
        <v>6351</v>
      </c>
    </row>
    <row r="260" spans="1:103" ht="11.25" customHeight="1" x14ac:dyDescent="0.2">
      <c r="A260" s="72">
        <v>258</v>
      </c>
      <c r="B260" s="149">
        <v>2166</v>
      </c>
      <c r="C260" s="54" t="s">
        <v>1894</v>
      </c>
      <c r="D260" s="54" t="s">
        <v>6427</v>
      </c>
      <c r="E260" s="59"/>
      <c r="F260" s="59" t="s">
        <v>1696</v>
      </c>
      <c r="G260" s="151">
        <v>51285</v>
      </c>
      <c r="H260" s="55" t="s">
        <v>1697</v>
      </c>
      <c r="I260" s="55" t="s">
        <v>1697</v>
      </c>
      <c r="J260" s="55" t="s">
        <v>1698</v>
      </c>
      <c r="K260" s="55" t="s">
        <v>1693</v>
      </c>
      <c r="L260" s="55" t="s">
        <v>6110</v>
      </c>
      <c r="M260" s="55" t="s">
        <v>497</v>
      </c>
      <c r="N260" s="60" t="s">
        <v>6381</v>
      </c>
      <c r="O260" s="55" t="s">
        <v>6086</v>
      </c>
      <c r="P260" s="67">
        <v>3</v>
      </c>
      <c r="Q260" s="67" t="s">
        <v>6173</v>
      </c>
      <c r="R260" s="67">
        <v>1</v>
      </c>
      <c r="S260" s="67" t="s">
        <v>6173</v>
      </c>
      <c r="T260" s="56">
        <v>184.11</v>
      </c>
      <c r="U260" s="103">
        <v>15.153984031285644</v>
      </c>
      <c r="V260" s="103">
        <v>10.70555646081147</v>
      </c>
      <c r="W260" s="103">
        <v>6.1659500186148195</v>
      </c>
      <c r="X260" s="103">
        <v>15.153984031285644</v>
      </c>
      <c r="Y260" s="162">
        <v>3.15</v>
      </c>
      <c r="Z260" s="56">
        <v>1.73</v>
      </c>
      <c r="AA260" s="56">
        <v>1.67</v>
      </c>
      <c r="AB260" s="56">
        <v>1.62</v>
      </c>
      <c r="AC260" s="56">
        <v>0.79949999999999999</v>
      </c>
      <c r="AD260" s="56">
        <v>1.66</v>
      </c>
      <c r="AE260" s="56">
        <v>1.74</v>
      </c>
      <c r="AF260" s="56">
        <f t="shared" si="92"/>
        <v>1.67</v>
      </c>
      <c r="AG260" s="57">
        <v>0.7</v>
      </c>
      <c r="AH260" s="103">
        <v>2.7599999999999999E-8</v>
      </c>
      <c r="AI260" s="103">
        <v>8.6000000000000002E-8</v>
      </c>
      <c r="AJ260" s="62">
        <f t="shared" si="85"/>
        <v>-5.9476572442474342</v>
      </c>
      <c r="AK260" s="62">
        <f>LOG10(AI260*1000/(0.08206*298.15))</f>
        <v>-5.4540678750690841</v>
      </c>
      <c r="AL260" s="62">
        <f t="shared" si="83"/>
        <v>-5.4540678750690841</v>
      </c>
      <c r="AM260" s="62">
        <v>-9.2873400000000004</v>
      </c>
      <c r="AN260" s="154">
        <v>-5.58</v>
      </c>
      <c r="AO260" s="410">
        <v>4.04</v>
      </c>
      <c r="AP260" s="410"/>
      <c r="AQ260" s="56" t="s">
        <v>6311</v>
      </c>
      <c r="AR260" s="56" t="s">
        <v>6311</v>
      </c>
      <c r="AS260" s="155"/>
      <c r="AT260" s="58" t="s">
        <v>266</v>
      </c>
      <c r="AU260" s="56">
        <v>0</v>
      </c>
      <c r="AV260" s="56">
        <v>96</v>
      </c>
      <c r="AW260" s="56">
        <v>96</v>
      </c>
      <c r="AX260" s="56">
        <v>26</v>
      </c>
      <c r="AY260" s="472" t="s">
        <v>6360</v>
      </c>
      <c r="AZ260" s="56" t="s">
        <v>536</v>
      </c>
      <c r="BA260" s="56">
        <v>20</v>
      </c>
      <c r="BB260" s="55" t="s">
        <v>1764</v>
      </c>
      <c r="BC260" s="55" t="s">
        <v>6359</v>
      </c>
      <c r="BD260" s="55"/>
      <c r="BE260" s="56" t="s">
        <v>1712</v>
      </c>
      <c r="BF260" s="56" t="s">
        <v>539</v>
      </c>
      <c r="BG260" s="56" t="s">
        <v>539</v>
      </c>
      <c r="BH260" s="56" t="s">
        <v>272</v>
      </c>
      <c r="BI260" s="56">
        <f>0.625/184.11</f>
        <v>3.3947096844277875E-3</v>
      </c>
      <c r="BJ260" s="56">
        <f>10/184.11</f>
        <v>5.4315354950844601E-2</v>
      </c>
      <c r="BK260" s="56"/>
      <c r="BL260" s="103">
        <f t="shared" si="87"/>
        <v>1.4357770264403475</v>
      </c>
      <c r="BM260" s="56" t="s">
        <v>2046</v>
      </c>
      <c r="BN260" s="56"/>
      <c r="BO260" s="56">
        <f>4.1/184.11</f>
        <v>2.2269295529846283E-2</v>
      </c>
      <c r="BP260" s="56"/>
      <c r="BQ260" s="56">
        <f>3/184.11</f>
        <v>1.6294606485253379E-2</v>
      </c>
      <c r="BR260" s="65"/>
      <c r="BS260" s="56"/>
      <c r="BT260" s="56"/>
      <c r="BU260" s="158"/>
      <c r="BV260" s="56"/>
      <c r="BW260" s="56"/>
      <c r="BX260" s="56"/>
      <c r="BY260" s="56"/>
      <c r="BZ260" s="56"/>
      <c r="CA260" s="56"/>
      <c r="CB260" s="56"/>
      <c r="CC260" s="56"/>
      <c r="CD260" s="56"/>
      <c r="CE260" s="56"/>
      <c r="CF260" s="56"/>
      <c r="CG260" s="56"/>
      <c r="CH260" s="56"/>
      <c r="CI260" s="103">
        <f t="shared" si="93"/>
        <v>1.6294606485253379E-2</v>
      </c>
      <c r="CJ260" s="103">
        <f t="shared" si="94"/>
        <v>-1.7879561232839318</v>
      </c>
      <c r="CK260" s="57">
        <f t="shared" ref="CK260:CK289" si="96">BL260/BJ260</f>
        <v>26.434090833793242</v>
      </c>
      <c r="CL260" s="160">
        <f t="shared" si="78"/>
        <v>88.113636112644144</v>
      </c>
      <c r="CM260" s="160">
        <v>-2.2096012260030591</v>
      </c>
      <c r="CN260" s="160">
        <f>BJ260/(10^CM260)</f>
        <v>8.8008343754449907</v>
      </c>
      <c r="CO260" s="55"/>
      <c r="CP260" s="55" t="s">
        <v>6364</v>
      </c>
      <c r="CQ260" s="149">
        <v>-1.52953156925994</v>
      </c>
      <c r="CR260" s="349">
        <f>10^(CJ260-CQ260)</f>
        <v>0.55153800767253547</v>
      </c>
      <c r="CS260" s="61" t="s">
        <v>539</v>
      </c>
      <c r="CT260" s="61"/>
      <c r="CU260" s="111">
        <f t="shared" si="86"/>
        <v>930.00000000000011</v>
      </c>
      <c r="CV260" s="331">
        <f t="shared" ref="CV260:CV289" si="97">X260/BJ260</f>
        <v>279</v>
      </c>
      <c r="CW260" s="326">
        <f t="shared" si="95"/>
        <v>1</v>
      </c>
      <c r="CX260" s="326" t="s">
        <v>539</v>
      </c>
      <c r="CY260" s="161" t="s">
        <v>6351</v>
      </c>
    </row>
    <row r="261" spans="1:103" ht="11.25" customHeight="1" x14ac:dyDescent="0.2">
      <c r="A261" s="72">
        <v>259</v>
      </c>
      <c r="B261" s="149">
        <v>743</v>
      </c>
      <c r="C261" s="54" t="s">
        <v>2113</v>
      </c>
      <c r="D261" s="54"/>
      <c r="E261" s="59"/>
      <c r="F261" s="59" t="s">
        <v>2114</v>
      </c>
      <c r="G261" s="151">
        <v>34157830</v>
      </c>
      <c r="H261" s="55" t="s">
        <v>2115</v>
      </c>
      <c r="I261" s="55" t="s">
        <v>8318</v>
      </c>
      <c r="J261" s="55" t="s">
        <v>2116</v>
      </c>
      <c r="K261" s="55" t="s">
        <v>2117</v>
      </c>
      <c r="L261" s="55"/>
      <c r="M261" s="55"/>
      <c r="N261" s="60"/>
      <c r="O261" s="55"/>
      <c r="P261" s="67">
        <v>3</v>
      </c>
      <c r="Q261" s="67" t="s">
        <v>6173</v>
      </c>
      <c r="R261" s="67">
        <v>1</v>
      </c>
      <c r="S261" s="67" t="s">
        <v>6173</v>
      </c>
      <c r="T261" s="56">
        <v>450.61</v>
      </c>
      <c r="U261" s="103"/>
      <c r="V261" s="103">
        <v>4.6736645880029291E-5</v>
      </c>
      <c r="W261" s="103">
        <v>1.3182567385564064E-3</v>
      </c>
      <c r="X261" s="103">
        <f>IF(W261=0,V261,W261)</f>
        <v>1.3182567385564064E-3</v>
      </c>
      <c r="Y261" s="162">
        <v>5.92</v>
      </c>
      <c r="Z261" s="56">
        <v>6.14</v>
      </c>
      <c r="AA261" s="56"/>
      <c r="AB261" s="56">
        <v>6.22</v>
      </c>
      <c r="AC261" s="56">
        <v>0.4446</v>
      </c>
      <c r="AD261" s="56">
        <v>6.71</v>
      </c>
      <c r="AE261" s="56">
        <v>7.08</v>
      </c>
      <c r="AF261" s="56">
        <f t="shared" si="92"/>
        <v>6.71</v>
      </c>
      <c r="AG261" s="57">
        <v>3.2</v>
      </c>
      <c r="AH261" s="103">
        <v>1.62E-9</v>
      </c>
      <c r="AI261" s="103"/>
      <c r="AJ261" s="62">
        <f t="shared" si="85"/>
        <v>-7.1790513117700208</v>
      </c>
      <c r="AK261" s="62"/>
      <c r="AL261" s="62">
        <f t="shared" si="83"/>
        <v>-7.1790513117700208</v>
      </c>
      <c r="AM261" s="62">
        <v>-18.76155</v>
      </c>
      <c r="AN261" s="154">
        <v>-16.899999999999999</v>
      </c>
      <c r="AO261" s="410">
        <v>4.78</v>
      </c>
      <c r="AP261" s="410"/>
      <c r="AQ261" s="154" t="s">
        <v>6311</v>
      </c>
      <c r="AR261" s="154" t="s">
        <v>6311</v>
      </c>
      <c r="AS261" s="149" t="s">
        <v>63</v>
      </c>
      <c r="AT261" s="58" t="s">
        <v>266</v>
      </c>
      <c r="AU261" s="56">
        <v>2</v>
      </c>
      <c r="AV261" s="56">
        <v>120</v>
      </c>
      <c r="AW261" s="56">
        <v>120</v>
      </c>
      <c r="AX261" s="56">
        <v>28.5</v>
      </c>
      <c r="AY261" s="56" t="s">
        <v>8722</v>
      </c>
      <c r="AZ261" s="56" t="s">
        <v>2118</v>
      </c>
      <c r="BA261" s="56" t="s">
        <v>8722</v>
      </c>
      <c r="BB261" s="55" t="s">
        <v>888</v>
      </c>
      <c r="BC261" s="55" t="s">
        <v>8726</v>
      </c>
      <c r="BD261" s="55" t="s">
        <v>8374</v>
      </c>
      <c r="BE261" s="56" t="s">
        <v>271</v>
      </c>
      <c r="BF261" s="56" t="s">
        <v>272</v>
      </c>
      <c r="BG261" s="56" t="s">
        <v>272</v>
      </c>
      <c r="BH261" s="56" t="s">
        <v>2119</v>
      </c>
      <c r="BI261" s="157">
        <v>5.5481580115401685E-7</v>
      </c>
      <c r="BJ261" s="157">
        <v>4.4385264092321348E-6</v>
      </c>
      <c r="BK261" s="56"/>
      <c r="BL261" s="103">
        <f t="shared" si="87"/>
        <v>1.5720487152634088E-4</v>
      </c>
      <c r="BM261" s="56">
        <v>0</v>
      </c>
      <c r="BN261" s="56"/>
      <c r="BO261" s="56"/>
      <c r="BP261" s="56"/>
      <c r="BQ261" s="56"/>
      <c r="BR261" s="56">
        <v>1.4E-3</v>
      </c>
      <c r="BS261" s="56"/>
      <c r="BT261" s="56"/>
      <c r="BU261" s="158"/>
      <c r="BV261" s="56"/>
      <c r="BW261" s="56"/>
      <c r="BX261" s="56"/>
      <c r="BY261" s="56"/>
      <c r="BZ261" s="56"/>
      <c r="CA261" s="56"/>
      <c r="CB261" s="56"/>
      <c r="CC261" s="56"/>
      <c r="CD261" s="56"/>
      <c r="CE261" s="56"/>
      <c r="CF261" s="56"/>
      <c r="CG261" s="56"/>
      <c r="CH261" s="56"/>
      <c r="CI261" s="103">
        <f t="shared" si="93"/>
        <v>1.4E-3</v>
      </c>
      <c r="CJ261" s="103">
        <f t="shared" si="94"/>
        <v>-2.8538719643217618</v>
      </c>
      <c r="CK261" s="57">
        <f t="shared" si="96"/>
        <v>35.418257554884597</v>
      </c>
      <c r="CL261" s="160">
        <f t="shared" si="78"/>
        <v>0.11228919394738635</v>
      </c>
      <c r="CM261" s="160"/>
      <c r="CN261" s="160"/>
      <c r="CO261" s="55"/>
      <c r="CP261" s="55" t="s">
        <v>2120</v>
      </c>
      <c r="CQ261" s="149" t="s">
        <v>272</v>
      </c>
      <c r="CR261" s="349"/>
      <c r="CS261" s="61" t="s">
        <v>539</v>
      </c>
      <c r="CT261" s="61"/>
      <c r="CU261" s="111">
        <f t="shared" si="86"/>
        <v>0.94161195611171888</v>
      </c>
      <c r="CV261" s="331">
        <f t="shared" si="97"/>
        <v>297.00324319675838</v>
      </c>
      <c r="CW261" s="326">
        <f t="shared" si="95"/>
        <v>0</v>
      </c>
      <c r="CX261" s="326"/>
      <c r="CY261" s="161" t="s">
        <v>5921</v>
      </c>
    </row>
    <row r="262" spans="1:103" ht="11.25" customHeight="1" x14ac:dyDescent="0.2">
      <c r="A262" s="72">
        <v>260</v>
      </c>
      <c r="B262" s="149">
        <v>617</v>
      </c>
      <c r="C262" s="54" t="s">
        <v>1669</v>
      </c>
      <c r="D262" s="54" t="s">
        <v>6457</v>
      </c>
      <c r="E262" s="59"/>
      <c r="F262" s="59" t="s">
        <v>1670</v>
      </c>
      <c r="G262" s="151">
        <v>95761</v>
      </c>
      <c r="H262" s="55" t="s">
        <v>1671</v>
      </c>
      <c r="I262" s="55" t="s">
        <v>8213</v>
      </c>
      <c r="J262" s="55" t="s">
        <v>1672</v>
      </c>
      <c r="K262" s="55" t="s">
        <v>1573</v>
      </c>
      <c r="L262" s="55"/>
      <c r="M262" s="55" t="s">
        <v>1629</v>
      </c>
      <c r="N262" s="60" t="s">
        <v>6385</v>
      </c>
      <c r="O262" s="55" t="s">
        <v>498</v>
      </c>
      <c r="P262" s="67">
        <v>3</v>
      </c>
      <c r="Q262" s="67" t="s">
        <v>6173</v>
      </c>
      <c r="R262" s="67">
        <v>1</v>
      </c>
      <c r="S262" s="67" t="s">
        <v>6173</v>
      </c>
      <c r="T262" s="56">
        <v>162.02000000000001</v>
      </c>
      <c r="U262" s="103">
        <v>0.56783113195901735</v>
      </c>
      <c r="V262" s="103">
        <v>2.0855449944451299</v>
      </c>
      <c r="W262" s="103">
        <v>1.819700858609981</v>
      </c>
      <c r="X262" s="103">
        <v>0.56783113195901735</v>
      </c>
      <c r="Y262" s="162">
        <v>7.2</v>
      </c>
      <c r="Z262" s="56">
        <v>2.37</v>
      </c>
      <c r="AA262" s="56">
        <v>2.69</v>
      </c>
      <c r="AB262" s="56">
        <v>2.62</v>
      </c>
      <c r="AC262" s="56">
        <v>0.89139999999999997</v>
      </c>
      <c r="AD262" s="56">
        <v>2.6</v>
      </c>
      <c r="AE262" s="56">
        <v>2.5099999999999998</v>
      </c>
      <c r="AF262" s="56">
        <f t="shared" si="92"/>
        <v>2.69</v>
      </c>
      <c r="AG262" s="57">
        <v>2.4700000000000002</v>
      </c>
      <c r="AH262" s="103">
        <v>1.0499999999999999E-6</v>
      </c>
      <c r="AI262" s="103">
        <v>1.4600000000000001E-5</v>
      </c>
      <c r="AJ262" s="62">
        <f t="shared" si="85"/>
        <v>-4.3673770272427141</v>
      </c>
      <c r="AK262" s="62">
        <f>LOG10(AI262*1000/(0.08206*298.15))</f>
        <v>-3.2242134705282148</v>
      </c>
      <c r="AL262" s="62">
        <f t="shared" si="83"/>
        <v>-3.2242134705282148</v>
      </c>
      <c r="AM262" s="62">
        <v>-7.2924100000000003</v>
      </c>
      <c r="AN262" s="154">
        <v>-4.37</v>
      </c>
      <c r="AO262" s="410"/>
      <c r="AP262" s="410">
        <v>2.9</v>
      </c>
      <c r="AQ262" s="154" t="s">
        <v>6311</v>
      </c>
      <c r="AR262" s="154" t="s">
        <v>6311</v>
      </c>
      <c r="AS262" s="149" t="s">
        <v>6</v>
      </c>
      <c r="AT262" s="58" t="s">
        <v>266</v>
      </c>
      <c r="AU262" s="56">
        <v>2</v>
      </c>
      <c r="AV262" s="56" t="s">
        <v>646</v>
      </c>
      <c r="AW262" s="56" t="s">
        <v>646</v>
      </c>
      <c r="AX262" s="56">
        <v>26</v>
      </c>
      <c r="AY262" s="56" t="s">
        <v>647</v>
      </c>
      <c r="AZ262" s="56" t="s">
        <v>536</v>
      </c>
      <c r="BA262" s="56">
        <v>20</v>
      </c>
      <c r="BB262" s="55" t="s">
        <v>1764</v>
      </c>
      <c r="BC262" s="55" t="s">
        <v>538</v>
      </c>
      <c r="BD262" s="55"/>
      <c r="BE262" s="56" t="s">
        <v>1809</v>
      </c>
      <c r="BF262" s="56" t="s">
        <v>539</v>
      </c>
      <c r="BG262" s="56" t="s">
        <v>272</v>
      </c>
      <c r="BH262" s="56" t="s">
        <v>272</v>
      </c>
      <c r="BI262" s="157">
        <v>3.0860387606468334E-3</v>
      </c>
      <c r="BJ262" s="157">
        <v>4.9376620170349335E-2</v>
      </c>
      <c r="BK262" s="56"/>
      <c r="BL262" s="103">
        <f t="shared" si="87"/>
        <v>0.38221083995251059</v>
      </c>
      <c r="BM262" s="56" t="s">
        <v>541</v>
      </c>
      <c r="BN262" s="56"/>
      <c r="BO262" s="56">
        <v>1.6726330082705836E-2</v>
      </c>
      <c r="BP262" s="56"/>
      <c r="BQ262" s="56"/>
      <c r="BR262" s="56">
        <v>1.6E-2</v>
      </c>
      <c r="BS262" s="56"/>
      <c r="BT262" s="56"/>
      <c r="BU262" s="158"/>
      <c r="BV262" s="56"/>
      <c r="BW262" s="56"/>
      <c r="BX262" s="56"/>
      <c r="BY262" s="56"/>
      <c r="BZ262" s="56"/>
      <c r="CA262" s="56"/>
      <c r="CB262" s="56"/>
      <c r="CC262" s="56"/>
      <c r="CD262" s="56"/>
      <c r="CE262" s="56"/>
      <c r="CF262" s="56"/>
      <c r="CG262" s="56"/>
      <c r="CH262" s="56"/>
      <c r="CI262" s="103">
        <f t="shared" si="93"/>
        <v>1.6E-2</v>
      </c>
      <c r="CJ262" s="103">
        <f t="shared" si="94"/>
        <v>-1.7958800173440752</v>
      </c>
      <c r="CK262" s="57">
        <f t="shared" si="96"/>
        <v>7.7407250361382216</v>
      </c>
      <c r="CL262" s="160">
        <f t="shared" si="78"/>
        <v>23.888177497031911</v>
      </c>
      <c r="CM262" s="160">
        <v>-1.8594468109488289</v>
      </c>
      <c r="CN262" s="160">
        <f>BJ262/(10^CM262)</f>
        <v>3.5724665421283346</v>
      </c>
      <c r="CO262" s="55"/>
      <c r="CP262" s="55" t="s">
        <v>1811</v>
      </c>
      <c r="CQ262" s="149">
        <v>-1.4618243103116244</v>
      </c>
      <c r="CR262" s="349">
        <f>10^(CJ262-CQ262)</f>
        <v>0.46338747712775469</v>
      </c>
      <c r="CS262" s="61" t="s">
        <v>539</v>
      </c>
      <c r="CT262" s="61"/>
      <c r="CU262" s="111">
        <f t="shared" si="86"/>
        <v>35.489445747438587</v>
      </c>
      <c r="CV262" s="331">
        <f t="shared" si="97"/>
        <v>11.5</v>
      </c>
      <c r="CW262" s="326">
        <f t="shared" si="95"/>
        <v>1</v>
      </c>
      <c r="CX262" s="326"/>
      <c r="CY262" s="161" t="s">
        <v>6351</v>
      </c>
    </row>
    <row r="263" spans="1:103" ht="11.25" customHeight="1" x14ac:dyDescent="0.2">
      <c r="A263" s="72">
        <v>261</v>
      </c>
      <c r="B263" s="149">
        <v>1060</v>
      </c>
      <c r="C263" s="54" t="s">
        <v>1031</v>
      </c>
      <c r="D263" s="54" t="s">
        <v>6494</v>
      </c>
      <c r="E263" s="59"/>
      <c r="F263" s="59" t="s">
        <v>1032</v>
      </c>
      <c r="G263" s="151">
        <v>1897456</v>
      </c>
      <c r="H263" s="55" t="s">
        <v>1033</v>
      </c>
      <c r="I263" s="55"/>
      <c r="J263" s="55" t="s">
        <v>1034</v>
      </c>
      <c r="K263" s="55" t="s">
        <v>426</v>
      </c>
      <c r="L263" s="55" t="s">
        <v>5929</v>
      </c>
      <c r="M263" s="55" t="s">
        <v>6085</v>
      </c>
      <c r="N263" s="60" t="s">
        <v>6383</v>
      </c>
      <c r="O263" s="55" t="s">
        <v>1035</v>
      </c>
      <c r="P263" s="67">
        <v>3</v>
      </c>
      <c r="Q263" s="67" t="s">
        <v>6173</v>
      </c>
      <c r="R263" s="67">
        <v>1</v>
      </c>
      <c r="S263" s="67" t="s">
        <v>6173</v>
      </c>
      <c r="T263" s="56">
        <v>265.91000000000003</v>
      </c>
      <c r="U263" s="103">
        <v>3.0461434319882666E-3</v>
      </c>
      <c r="V263" s="103">
        <v>9.7815050204956566E-2</v>
      </c>
      <c r="W263" s="103">
        <v>6.9183097091893497E-3</v>
      </c>
      <c r="X263" s="103">
        <v>3.0461434319882666E-3</v>
      </c>
      <c r="Y263" s="162">
        <v>7</v>
      </c>
      <c r="Z263" s="56">
        <v>3.66</v>
      </c>
      <c r="AA263" s="56">
        <v>3.05</v>
      </c>
      <c r="AB263" s="56">
        <v>3.2</v>
      </c>
      <c r="AC263" s="56">
        <v>0.76400000000000001</v>
      </c>
      <c r="AD263" s="56">
        <v>3.12</v>
      </c>
      <c r="AE263" s="56">
        <v>2.88</v>
      </c>
      <c r="AF263" s="56">
        <f t="shared" si="92"/>
        <v>3.05</v>
      </c>
      <c r="AG263" s="57">
        <v>4.17</v>
      </c>
      <c r="AH263" s="103">
        <v>1.5200000000000001E-7</v>
      </c>
      <c r="AI263" s="103">
        <v>1.9999999999999999E-6</v>
      </c>
      <c r="AJ263" s="62">
        <f t="shared" si="85"/>
        <v>-5.2067227383678789</v>
      </c>
      <c r="AK263" s="62">
        <f>LOG10(AI263*1000/(0.08206*298.15))</f>
        <v>-4.0875363306486703</v>
      </c>
      <c r="AL263" s="62">
        <f t="shared" si="83"/>
        <v>-4.0875363306486703</v>
      </c>
      <c r="AM263" s="62">
        <v>-8.3957800000000002</v>
      </c>
      <c r="AN263" s="154">
        <v>-5.47</v>
      </c>
      <c r="AO263" s="410"/>
      <c r="AP263" s="410"/>
      <c r="AQ263" s="56" t="s">
        <v>6311</v>
      </c>
      <c r="AR263" s="56" t="s">
        <v>6311</v>
      </c>
      <c r="AS263" s="155"/>
      <c r="AT263" s="58" t="s">
        <v>266</v>
      </c>
      <c r="AU263" s="56">
        <v>6</v>
      </c>
      <c r="AV263" s="56">
        <v>120</v>
      </c>
      <c r="AW263" s="56">
        <v>114</v>
      </c>
      <c r="AX263" s="56">
        <v>28</v>
      </c>
      <c r="AY263" s="56" t="s">
        <v>8728</v>
      </c>
      <c r="AZ263" s="56" t="s">
        <v>1563</v>
      </c>
      <c r="BA263" s="56">
        <v>32</v>
      </c>
      <c r="BB263" s="55" t="s">
        <v>2485</v>
      </c>
      <c r="BC263" s="55" t="s">
        <v>8726</v>
      </c>
      <c r="BD263" s="55" t="s">
        <v>8374</v>
      </c>
      <c r="BE263" s="56" t="s">
        <v>2449</v>
      </c>
      <c r="BF263" s="56" t="s">
        <v>272</v>
      </c>
      <c r="BG263" s="56" t="s">
        <v>272</v>
      </c>
      <c r="BH263" s="56" t="s">
        <v>2486</v>
      </c>
      <c r="BI263" s="103">
        <v>6.3999999999999997E-6</v>
      </c>
      <c r="BJ263" s="103">
        <v>6.4000000000000001E-2</v>
      </c>
      <c r="BK263" s="56"/>
      <c r="BL263" s="103">
        <f t="shared" si="87"/>
        <v>2.6531023237818786E-2</v>
      </c>
      <c r="BM263" s="56" t="s">
        <v>2046</v>
      </c>
      <c r="BN263" s="56">
        <v>20.238577029999998</v>
      </c>
      <c r="BO263" s="56"/>
      <c r="BP263" s="56"/>
      <c r="BQ263" s="56"/>
      <c r="BR263" s="55">
        <v>1.55E-2</v>
      </c>
      <c r="BS263" s="56"/>
      <c r="BT263" s="56"/>
      <c r="BU263" s="158"/>
      <c r="BV263" s="56"/>
      <c r="BW263" s="56"/>
      <c r="BX263" s="56"/>
      <c r="BY263" s="56"/>
      <c r="BZ263" s="56"/>
      <c r="CA263" s="56"/>
      <c r="CB263" s="56"/>
      <c r="CC263" s="56"/>
      <c r="CD263" s="56"/>
      <c r="CE263" s="56"/>
      <c r="CF263" s="56"/>
      <c r="CG263" s="56"/>
      <c r="CH263" s="56"/>
      <c r="CI263" s="103">
        <f t="shared" si="93"/>
        <v>1.55E-2</v>
      </c>
      <c r="CJ263" s="103">
        <f t="shared" si="94"/>
        <v>-1.8096683018297086</v>
      </c>
      <c r="CK263" s="57">
        <f t="shared" si="96"/>
        <v>0.41454723809091854</v>
      </c>
      <c r="CL263" s="160">
        <f t="shared" si="78"/>
        <v>1.711678918568954</v>
      </c>
      <c r="CM263" s="160">
        <v>-4.0706262308774948</v>
      </c>
      <c r="CN263" s="160">
        <f>BJ263/(10^CM263)</f>
        <v>753.01946902654868</v>
      </c>
      <c r="CO263" s="55" t="s">
        <v>2488</v>
      </c>
      <c r="CP263" s="55" t="s">
        <v>2489</v>
      </c>
      <c r="CQ263" s="149">
        <v>-3.5519439697905129</v>
      </c>
      <c r="CR263" s="349">
        <f>10^(CJ263-CQ263)</f>
        <v>55.242798108982399</v>
      </c>
      <c r="CS263" s="61" t="s">
        <v>539</v>
      </c>
      <c r="CT263" s="61"/>
      <c r="CU263" s="111">
        <f t="shared" si="86"/>
        <v>0.19652538270892042</v>
      </c>
      <c r="CV263" s="331">
        <f t="shared" si="97"/>
        <v>4.7595991124816668E-2</v>
      </c>
      <c r="CW263" s="326">
        <f t="shared" si="95"/>
        <v>0</v>
      </c>
      <c r="CX263" s="326"/>
      <c r="CY263" s="161" t="s">
        <v>5921</v>
      </c>
    </row>
    <row r="264" spans="1:103" ht="11.25" customHeight="1" x14ac:dyDescent="0.2">
      <c r="A264" s="72">
        <v>262</v>
      </c>
      <c r="B264" s="149">
        <v>276</v>
      </c>
      <c r="C264" s="54" t="s">
        <v>1127</v>
      </c>
      <c r="D264" s="54" t="s">
        <v>6575</v>
      </c>
      <c r="E264" s="59"/>
      <c r="F264" s="59" t="s">
        <v>1128</v>
      </c>
      <c r="G264" s="151">
        <v>97886458</v>
      </c>
      <c r="H264" s="55" t="s">
        <v>1129</v>
      </c>
      <c r="I264" s="55" t="s">
        <v>1129</v>
      </c>
      <c r="J264" s="55" t="s">
        <v>1130</v>
      </c>
      <c r="K264" s="55" t="s">
        <v>357</v>
      </c>
      <c r="L264" s="55" t="s">
        <v>5975</v>
      </c>
      <c r="M264" s="55" t="s">
        <v>6082</v>
      </c>
      <c r="N264" s="60" t="s">
        <v>6082</v>
      </c>
      <c r="O264" s="55" t="s">
        <v>6083</v>
      </c>
      <c r="P264" s="67">
        <v>3</v>
      </c>
      <c r="Q264" s="67" t="s">
        <v>6173</v>
      </c>
      <c r="R264" s="67">
        <v>1</v>
      </c>
      <c r="S264" s="67" t="s">
        <v>6173</v>
      </c>
      <c r="T264" s="56">
        <v>401.42</v>
      </c>
      <c r="U264" s="103">
        <v>3.4876189527178513E-3</v>
      </c>
      <c r="V264" s="103">
        <v>6.5641971002939562E-4</v>
      </c>
      <c r="W264" s="103">
        <v>8.3176377110266903E-4</v>
      </c>
      <c r="X264" s="103">
        <v>3.4876189527178513E-3</v>
      </c>
      <c r="Y264" s="162">
        <v>7</v>
      </c>
      <c r="Z264" s="56">
        <v>4.46</v>
      </c>
      <c r="AA264" s="56">
        <v>4.75</v>
      </c>
      <c r="AB264" s="56">
        <v>3.79</v>
      </c>
      <c r="AC264" s="56">
        <v>0.67700000000000005</v>
      </c>
      <c r="AD264" s="56">
        <v>4.51</v>
      </c>
      <c r="AE264" s="56">
        <v>5.88</v>
      </c>
      <c r="AF264" s="56">
        <f t="shared" si="92"/>
        <v>4.75</v>
      </c>
      <c r="AG264" s="57">
        <v>4.6900000000000004</v>
      </c>
      <c r="AH264" s="103">
        <v>3.6300000000000001E-9</v>
      </c>
      <c r="AI264" s="103"/>
      <c r="AJ264" s="62">
        <f t="shared" si="85"/>
        <v>-6.8286597012765391</v>
      </c>
      <c r="AK264" s="62"/>
      <c r="AL264" s="62">
        <f t="shared" si="83"/>
        <v>-6.8286597012765391</v>
      </c>
      <c r="AM264" s="62">
        <v>-12.00319</v>
      </c>
      <c r="AN264" s="154">
        <v>-5.0999999999999996</v>
      </c>
      <c r="AO264" s="410"/>
      <c r="AP264" s="410">
        <v>-7.1</v>
      </c>
      <c r="AQ264" s="154" t="s">
        <v>6311</v>
      </c>
      <c r="AR264" s="154" t="s">
        <v>6311</v>
      </c>
      <c r="AS264" s="149" t="s">
        <v>6</v>
      </c>
      <c r="AT264" s="58" t="s">
        <v>266</v>
      </c>
      <c r="AU264" s="56">
        <v>8</v>
      </c>
      <c r="AV264" s="56">
        <v>144</v>
      </c>
      <c r="AW264" s="56">
        <v>120</v>
      </c>
      <c r="AX264" s="56">
        <v>26</v>
      </c>
      <c r="AY264" s="56" t="s">
        <v>267</v>
      </c>
      <c r="AZ264" s="56" t="s">
        <v>268</v>
      </c>
      <c r="BA264" s="56">
        <v>3</v>
      </c>
      <c r="BB264" s="55" t="s">
        <v>888</v>
      </c>
      <c r="BC264" s="55" t="s">
        <v>270</v>
      </c>
      <c r="BD264" s="55" t="s">
        <v>8374</v>
      </c>
      <c r="BE264" s="56" t="s">
        <v>889</v>
      </c>
      <c r="BF264" s="56" t="s">
        <v>272</v>
      </c>
      <c r="BG264" s="56" t="s">
        <v>272</v>
      </c>
      <c r="BH264" s="56" t="s">
        <v>890</v>
      </c>
      <c r="BI264" s="103">
        <v>9.9999999999999995E-7</v>
      </c>
      <c r="BJ264" s="103">
        <v>0.08</v>
      </c>
      <c r="BK264" s="56"/>
      <c r="BL264" s="103">
        <f t="shared" si="87"/>
        <v>5.0731067385228461E-3</v>
      </c>
      <c r="BM264" s="56" t="s">
        <v>891</v>
      </c>
      <c r="BN264" s="162"/>
      <c r="BO264" s="162"/>
      <c r="BP264" s="162"/>
      <c r="BQ264" s="162"/>
      <c r="BR264" s="162"/>
      <c r="BS264" s="56">
        <v>1.541E-2</v>
      </c>
      <c r="BT264" s="162"/>
      <c r="BU264" s="158"/>
      <c r="BV264" s="162"/>
      <c r="BW264" s="162"/>
      <c r="BX264" s="162"/>
      <c r="BY264" s="162"/>
      <c r="BZ264" s="162"/>
      <c r="CA264" s="162"/>
      <c r="CB264" s="162"/>
      <c r="CC264" s="56"/>
      <c r="CD264" s="56"/>
      <c r="CE264" s="56"/>
      <c r="CF264" s="56"/>
      <c r="CG264" s="56"/>
      <c r="CH264" s="56"/>
      <c r="CI264" s="103">
        <f t="shared" si="93"/>
        <v>1.541E-2</v>
      </c>
      <c r="CJ264" s="103">
        <f t="shared" si="94"/>
        <v>-1.8121973612815807</v>
      </c>
      <c r="CK264" s="57">
        <f t="shared" si="96"/>
        <v>6.3413834231535571E-2</v>
      </c>
      <c r="CL264" s="160">
        <f t="shared" si="78"/>
        <v>0.3292087435770828</v>
      </c>
      <c r="CM264" s="160">
        <v>-2.9408411749184613</v>
      </c>
      <c r="CN264" s="160">
        <f>BJ264/(10^CM264)</f>
        <v>69.81217391304358</v>
      </c>
      <c r="CO264" s="55" t="s">
        <v>892</v>
      </c>
      <c r="CP264" s="55" t="s">
        <v>893</v>
      </c>
      <c r="CQ264" s="149">
        <v>-2.9361711617913895</v>
      </c>
      <c r="CR264" s="349">
        <f>10^(CJ264-CQ264)</f>
        <v>13.303741586666359</v>
      </c>
      <c r="CS264" s="61" t="s">
        <v>539</v>
      </c>
      <c r="CT264" s="61"/>
      <c r="CU264" s="111">
        <f t="shared" si="86"/>
        <v>0.22632180095508445</v>
      </c>
      <c r="CV264" s="331">
        <f t="shared" si="97"/>
        <v>4.3595236908973142E-2</v>
      </c>
      <c r="CW264" s="326">
        <f t="shared" si="95"/>
        <v>0</v>
      </c>
      <c r="CX264" s="326" t="s">
        <v>539</v>
      </c>
      <c r="CY264" s="161" t="s">
        <v>5921</v>
      </c>
    </row>
    <row r="265" spans="1:103" ht="11.25" customHeight="1" x14ac:dyDescent="0.2">
      <c r="A265" s="72">
        <v>263</v>
      </c>
      <c r="B265" s="149">
        <v>300</v>
      </c>
      <c r="C265" s="54" t="s">
        <v>1181</v>
      </c>
      <c r="D265" s="54" t="s">
        <v>6430</v>
      </c>
      <c r="E265" s="59"/>
      <c r="F265" s="59" t="s">
        <v>1182</v>
      </c>
      <c r="G265" s="151">
        <v>55389</v>
      </c>
      <c r="H265" s="55" t="s">
        <v>1183</v>
      </c>
      <c r="I265" s="55" t="s">
        <v>1183</v>
      </c>
      <c r="J265" s="55" t="s">
        <v>1184</v>
      </c>
      <c r="K265" s="55" t="s">
        <v>628</v>
      </c>
      <c r="L265" s="55" t="s">
        <v>617</v>
      </c>
      <c r="M265" s="55" t="s">
        <v>946</v>
      </c>
      <c r="N265" s="60" t="s">
        <v>6376</v>
      </c>
      <c r="O265" s="55" t="s">
        <v>918</v>
      </c>
      <c r="P265" s="67">
        <v>3</v>
      </c>
      <c r="Q265" s="67" t="s">
        <v>6173</v>
      </c>
      <c r="R265" s="67">
        <v>1</v>
      </c>
      <c r="S265" s="67" t="s">
        <v>6173</v>
      </c>
      <c r="T265" s="56">
        <v>278.33</v>
      </c>
      <c r="U265" s="103">
        <v>2.694643049617361E-2</v>
      </c>
      <c r="V265" s="103">
        <v>1.8919987065713365E-2</v>
      </c>
      <c r="W265" s="103">
        <v>7.4131024130091636E-2</v>
      </c>
      <c r="X265" s="103">
        <v>2.694643049617361E-2</v>
      </c>
      <c r="Y265" s="162">
        <v>7</v>
      </c>
      <c r="Z265" s="56">
        <v>4.08</v>
      </c>
      <c r="AA265" s="56">
        <v>4.09</v>
      </c>
      <c r="AB265" s="56">
        <v>3.95</v>
      </c>
      <c r="AC265" s="56">
        <v>0.90920000000000001</v>
      </c>
      <c r="AD265" s="56">
        <v>3.8</v>
      </c>
      <c r="AE265" s="56">
        <v>3.21</v>
      </c>
      <c r="AF265" s="56">
        <f t="shared" si="92"/>
        <v>4.09</v>
      </c>
      <c r="AG265" s="57">
        <v>3.76</v>
      </c>
      <c r="AH265" s="103">
        <v>1.37E-6</v>
      </c>
      <c r="AI265" s="103">
        <v>1.46E-6</v>
      </c>
      <c r="AJ265" s="62">
        <f t="shared" si="85"/>
        <v>-4.2518457591562449</v>
      </c>
      <c r="AK265" s="62">
        <f>LOG10(AI265*1000/(0.08206*298.15))</f>
        <v>-4.2242134705282144</v>
      </c>
      <c r="AL265" s="62">
        <f t="shared" si="83"/>
        <v>-4.2242134705282144</v>
      </c>
      <c r="AM265" s="62">
        <v>-10.03593</v>
      </c>
      <c r="AN265" s="154">
        <v>-4.05</v>
      </c>
      <c r="AO265" s="410"/>
      <c r="AP265" s="410"/>
      <c r="AQ265" s="154" t="s">
        <v>6312</v>
      </c>
      <c r="AR265" s="154" t="s">
        <v>6312</v>
      </c>
      <c r="AS265" s="149" t="s">
        <v>6</v>
      </c>
      <c r="AT265" s="58" t="s">
        <v>266</v>
      </c>
      <c r="AU265" s="56">
        <v>8</v>
      </c>
      <c r="AV265" s="56">
        <v>144</v>
      </c>
      <c r="AW265" s="56">
        <v>120</v>
      </c>
      <c r="AX265" s="56">
        <v>26</v>
      </c>
      <c r="AY265" s="56" t="s">
        <v>267</v>
      </c>
      <c r="AZ265" s="56" t="s">
        <v>268</v>
      </c>
      <c r="BA265" s="56">
        <v>2</v>
      </c>
      <c r="BB265" s="55" t="s">
        <v>888</v>
      </c>
      <c r="BC265" s="55" t="s">
        <v>270</v>
      </c>
      <c r="BD265" s="55" t="s">
        <v>8374</v>
      </c>
      <c r="BE265" s="56" t="s">
        <v>889</v>
      </c>
      <c r="BF265" s="56" t="s">
        <v>272</v>
      </c>
      <c r="BG265" s="56" t="s">
        <v>272</v>
      </c>
      <c r="BH265" s="56" t="s">
        <v>890</v>
      </c>
      <c r="BI265" s="103">
        <v>9.9999999999999995E-7</v>
      </c>
      <c r="BJ265" s="103">
        <v>0.08</v>
      </c>
      <c r="BK265" s="56"/>
      <c r="BL265" s="103">
        <f t="shared" si="87"/>
        <v>1.1131456666790537E-2</v>
      </c>
      <c r="BM265" s="56" t="s">
        <v>891</v>
      </c>
      <c r="BN265" s="162"/>
      <c r="BO265" s="162"/>
      <c r="BP265" s="162"/>
      <c r="BQ265" s="162"/>
      <c r="BR265" s="162"/>
      <c r="BS265" s="56">
        <v>1.5380611171211632E-2</v>
      </c>
      <c r="BT265" s="162"/>
      <c r="BU265" s="158"/>
      <c r="BV265" s="162"/>
      <c r="BW265" s="162"/>
      <c r="BX265" s="162"/>
      <c r="BY265" s="162"/>
      <c r="BZ265" s="162"/>
      <c r="CA265" s="162"/>
      <c r="CB265" s="162"/>
      <c r="CC265" s="56"/>
      <c r="CD265" s="56"/>
      <c r="CE265" s="56"/>
      <c r="CF265" s="56"/>
      <c r="CG265" s="56"/>
      <c r="CH265" s="56"/>
      <c r="CI265" s="103">
        <f t="shared" si="93"/>
        <v>1.5380611171211632E-2</v>
      </c>
      <c r="CJ265" s="103">
        <f t="shared" si="94"/>
        <v>-1.8130264068615678</v>
      </c>
      <c r="CK265" s="57">
        <f t="shared" si="96"/>
        <v>0.13914320833488172</v>
      </c>
      <c r="CL265" s="160">
        <f t="shared" si="78"/>
        <v>0.72373305214461381</v>
      </c>
      <c r="CM265" s="160">
        <v>-2.55795669784789</v>
      </c>
      <c r="CN265" s="160">
        <f>BJ265/(10^CM265)</f>
        <v>28.909906350610136</v>
      </c>
      <c r="CO265" s="55" t="s">
        <v>892</v>
      </c>
      <c r="CP265" s="55" t="s">
        <v>893</v>
      </c>
      <c r="CQ265" s="149">
        <v>-2.2135934732833005</v>
      </c>
      <c r="CR265" s="349">
        <f>10^(CJ265-CQ265)</f>
        <v>2.5151683907603819</v>
      </c>
      <c r="CS265" s="61" t="s">
        <v>539</v>
      </c>
      <c r="CT265" s="61"/>
      <c r="CU265" s="111">
        <f t="shared" si="86"/>
        <v>1.7519739753001546</v>
      </c>
      <c r="CV265" s="331">
        <f t="shared" si="97"/>
        <v>0.33683038120217013</v>
      </c>
      <c r="CW265" s="326">
        <f t="shared" si="95"/>
        <v>0</v>
      </c>
      <c r="CX265" s="326" t="s">
        <v>539</v>
      </c>
      <c r="CY265" s="161" t="s">
        <v>5921</v>
      </c>
    </row>
    <row r="266" spans="1:103" ht="11.25" customHeight="1" x14ac:dyDescent="0.2">
      <c r="A266" s="72">
        <v>264</v>
      </c>
      <c r="B266" s="149">
        <v>191</v>
      </c>
      <c r="C266" s="54" t="s">
        <v>941</v>
      </c>
      <c r="D266" s="54"/>
      <c r="E266" s="59"/>
      <c r="F266" s="59" t="s">
        <v>942</v>
      </c>
      <c r="G266" s="151">
        <v>35575963</v>
      </c>
      <c r="H266" s="55" t="s">
        <v>943</v>
      </c>
      <c r="I266" s="55" t="s">
        <v>8121</v>
      </c>
      <c r="J266" s="55" t="s">
        <v>944</v>
      </c>
      <c r="K266" s="55" t="s">
        <v>945</v>
      </c>
      <c r="L266" s="55" t="s">
        <v>617</v>
      </c>
      <c r="M266" s="55" t="s">
        <v>946</v>
      </c>
      <c r="N266" s="60"/>
      <c r="O266" s="55" t="s">
        <v>918</v>
      </c>
      <c r="P266" s="67">
        <v>3</v>
      </c>
      <c r="Q266" s="67" t="s">
        <v>6173</v>
      </c>
      <c r="R266" s="67">
        <v>1</v>
      </c>
      <c r="S266" s="67" t="s">
        <v>6173</v>
      </c>
      <c r="T266" s="56">
        <v>324.68</v>
      </c>
      <c r="U266" s="103">
        <v>3.3879512135025256</v>
      </c>
      <c r="V266" s="103">
        <v>3.4341505482321053</v>
      </c>
      <c r="W266" s="103">
        <v>7.7624711662869155</v>
      </c>
      <c r="X266" s="103">
        <v>3.3879512135025256</v>
      </c>
      <c r="Y266" s="162">
        <v>7.01</v>
      </c>
      <c r="Z266" s="56">
        <v>1</v>
      </c>
      <c r="AA266" s="56">
        <v>1.05</v>
      </c>
      <c r="AB266" s="56">
        <v>1.73</v>
      </c>
      <c r="AC266" s="56">
        <v>0.75849999999999995</v>
      </c>
      <c r="AD266" s="56">
        <v>1.52</v>
      </c>
      <c r="AE266" s="56">
        <v>0.82</v>
      </c>
      <c r="AF266" s="56">
        <f t="shared" si="92"/>
        <v>1.05</v>
      </c>
      <c r="AG266" s="57">
        <v>1.8</v>
      </c>
      <c r="AH266" s="103">
        <v>6.3300000000000003E-13</v>
      </c>
      <c r="AI266" s="103">
        <v>1.43E-11</v>
      </c>
      <c r="AJ266" s="62">
        <f t="shared" si="85"/>
        <v>-10.587162616295297</v>
      </c>
      <c r="AK266" s="62">
        <f>LOG10(AI266*1000/(0.08206*298.15))</f>
        <v>-9.2332302888475901</v>
      </c>
      <c r="AL266" s="62">
        <f t="shared" si="83"/>
        <v>-9.2332302888475901</v>
      </c>
      <c r="AM266" s="62">
        <v>-17.02599</v>
      </c>
      <c r="AN266" s="154">
        <v>-11.6</v>
      </c>
      <c r="AO266" s="410"/>
      <c r="AP266" s="410">
        <v>0.94</v>
      </c>
      <c r="AQ266" s="154" t="s">
        <v>6314</v>
      </c>
      <c r="AR266" s="154" t="s">
        <v>6312</v>
      </c>
      <c r="AS266" s="149" t="s">
        <v>6</v>
      </c>
      <c r="AT266" s="58" t="s">
        <v>266</v>
      </c>
      <c r="AU266" s="56">
        <v>8</v>
      </c>
      <c r="AV266" s="56">
        <v>144</v>
      </c>
      <c r="AW266" s="56">
        <v>120</v>
      </c>
      <c r="AX266" s="56">
        <v>26</v>
      </c>
      <c r="AY266" s="56" t="s">
        <v>267</v>
      </c>
      <c r="AZ266" s="56" t="s">
        <v>268</v>
      </c>
      <c r="BA266" s="56">
        <v>2</v>
      </c>
      <c r="BB266" s="55" t="s">
        <v>888</v>
      </c>
      <c r="BC266" s="55" t="s">
        <v>270</v>
      </c>
      <c r="BD266" s="55" t="s">
        <v>8374</v>
      </c>
      <c r="BE266" s="56" t="s">
        <v>889</v>
      </c>
      <c r="BF266" s="56" t="s">
        <v>272</v>
      </c>
      <c r="BG266" s="56" t="s">
        <v>272</v>
      </c>
      <c r="BH266" s="56" t="s">
        <v>890</v>
      </c>
      <c r="BI266" s="103">
        <v>9.9999999999999995E-7</v>
      </c>
      <c r="BJ266" s="103">
        <v>0.08</v>
      </c>
      <c r="BK266" s="56"/>
      <c r="BL266" s="103">
        <f t="shared" si="87"/>
        <v>6.4968075173879427</v>
      </c>
      <c r="BM266" s="56" t="s">
        <v>891</v>
      </c>
      <c r="BN266" s="162"/>
      <c r="BO266" s="162"/>
      <c r="BP266" s="162"/>
      <c r="BQ266" s="162"/>
      <c r="BR266" s="162"/>
      <c r="BS266" s="56">
        <v>2.664E-2</v>
      </c>
      <c r="BT266" s="162"/>
      <c r="BU266" s="158"/>
      <c r="BV266" s="162"/>
      <c r="BW266" s="162"/>
      <c r="BX266" s="162"/>
      <c r="BY266" s="162"/>
      <c r="BZ266" s="162"/>
      <c r="CA266" s="162"/>
      <c r="CB266" s="162"/>
      <c r="CC266" s="56"/>
      <c r="CD266" s="56"/>
      <c r="CE266" s="56"/>
      <c r="CF266" s="56"/>
      <c r="CG266" s="56"/>
      <c r="CH266" s="56"/>
      <c r="CI266" s="103">
        <f t="shared" si="93"/>
        <v>2.664E-2</v>
      </c>
      <c r="CJ266" s="103">
        <f t="shared" si="94"/>
        <v>-1.5744657795017365</v>
      </c>
      <c r="CK266" s="57">
        <f t="shared" si="96"/>
        <v>81.21009396734928</v>
      </c>
      <c r="CL266" s="160">
        <f t="shared" si="78"/>
        <v>243.87415605810597</v>
      </c>
      <c r="CM266" s="160"/>
      <c r="CN266" s="160"/>
      <c r="CO266" s="55" t="s">
        <v>892</v>
      </c>
      <c r="CP266" s="55" t="s">
        <v>893</v>
      </c>
      <c r="CQ266" s="149" t="s">
        <v>272</v>
      </c>
      <c r="CR266" s="349"/>
      <c r="CS266" s="61" t="s">
        <v>539</v>
      </c>
      <c r="CT266" s="61"/>
      <c r="CU266" s="111">
        <f t="shared" si="86"/>
        <v>127.1753458521969</v>
      </c>
      <c r="CV266" s="331">
        <f t="shared" si="97"/>
        <v>42.349390168781568</v>
      </c>
      <c r="CW266" s="326">
        <f t="shared" si="95"/>
        <v>1</v>
      </c>
      <c r="CX266" s="326" t="s">
        <v>539</v>
      </c>
      <c r="CY266" s="161" t="s">
        <v>5921</v>
      </c>
    </row>
    <row r="267" spans="1:103" ht="11.25" customHeight="1" x14ac:dyDescent="0.2">
      <c r="A267" s="72">
        <v>265</v>
      </c>
      <c r="B267" s="149">
        <v>262</v>
      </c>
      <c r="C267" s="54" t="s">
        <v>1103</v>
      </c>
      <c r="D267" s="54" t="s">
        <v>6468</v>
      </c>
      <c r="E267" s="59"/>
      <c r="F267" s="59" t="s">
        <v>1104</v>
      </c>
      <c r="G267" s="151">
        <v>115322</v>
      </c>
      <c r="H267" s="55" t="s">
        <v>1105</v>
      </c>
      <c r="I267" s="55" t="s">
        <v>7933</v>
      </c>
      <c r="J267" s="55" t="s">
        <v>1106</v>
      </c>
      <c r="K267" s="55" t="s">
        <v>1107</v>
      </c>
      <c r="L267" s="55" t="s">
        <v>617</v>
      </c>
      <c r="M267" s="168" t="s">
        <v>6078</v>
      </c>
      <c r="N267" s="60" t="s">
        <v>6376</v>
      </c>
      <c r="O267" s="55" t="s">
        <v>6083</v>
      </c>
      <c r="P267" s="67">
        <v>3</v>
      </c>
      <c r="Q267" s="67" t="s">
        <v>6173</v>
      </c>
      <c r="R267" s="67">
        <v>1</v>
      </c>
      <c r="S267" s="67" t="s">
        <v>6173</v>
      </c>
      <c r="T267" s="56">
        <v>370.48</v>
      </c>
      <c r="U267" s="103">
        <v>2.1593608291945584E-3</v>
      </c>
      <c r="V267" s="103">
        <v>2.0978190455625133E-3</v>
      </c>
      <c r="W267" s="103">
        <v>3.6307805477010084E-3</v>
      </c>
      <c r="X267" s="103">
        <v>2.1593608291945584E-3</v>
      </c>
      <c r="Y267" s="162">
        <v>7</v>
      </c>
      <c r="Z267" s="56">
        <v>5.81</v>
      </c>
      <c r="AA267" s="56">
        <v>5.0199999999999996</v>
      </c>
      <c r="AB267" s="56">
        <v>5.0999999999999996</v>
      </c>
      <c r="AC267" s="56">
        <v>0.69640000000000002</v>
      </c>
      <c r="AD267" s="56">
        <v>5.33</v>
      </c>
      <c r="AE267" s="56">
        <v>5.74</v>
      </c>
      <c r="AF267" s="56">
        <f t="shared" si="92"/>
        <v>5.0199999999999996</v>
      </c>
      <c r="AG267" s="57">
        <v>5.73</v>
      </c>
      <c r="AH267" s="103">
        <v>5.5900000000000003E-10</v>
      </c>
      <c r="AI267" s="103">
        <v>2.4200000000000002E-7</v>
      </c>
      <c r="AJ267" s="62">
        <f t="shared" si="85"/>
        <v>-7.6411545184262284</v>
      </c>
      <c r="AK267" s="62">
        <f>LOG10(AI267*1000/(0.08206*298.15))</f>
        <v>-5.0047509603322204</v>
      </c>
      <c r="AL267" s="62">
        <f t="shared" si="83"/>
        <v>-5.0047509603322204</v>
      </c>
      <c r="AM267" s="62">
        <v>-11.992599999999998</v>
      </c>
      <c r="AN267" s="154">
        <v>-5.87</v>
      </c>
      <c r="AO267" s="410">
        <v>10.7</v>
      </c>
      <c r="AP267" s="410"/>
      <c r="AQ267" s="154" t="s">
        <v>6311</v>
      </c>
      <c r="AR267" s="154" t="s">
        <v>6311</v>
      </c>
      <c r="AS267" s="149" t="s">
        <v>6</v>
      </c>
      <c r="AT267" s="58" t="s">
        <v>266</v>
      </c>
      <c r="AU267" s="56">
        <v>8</v>
      </c>
      <c r="AV267" s="56">
        <v>144</v>
      </c>
      <c r="AW267" s="56">
        <v>120</v>
      </c>
      <c r="AX267" s="56">
        <v>26</v>
      </c>
      <c r="AY267" s="56" t="s">
        <v>267</v>
      </c>
      <c r="AZ267" s="56" t="s">
        <v>268</v>
      </c>
      <c r="BA267" s="56">
        <v>2</v>
      </c>
      <c r="BB267" s="55" t="s">
        <v>888</v>
      </c>
      <c r="BC267" s="55" t="s">
        <v>270</v>
      </c>
      <c r="BD267" s="55" t="s">
        <v>8374</v>
      </c>
      <c r="BE267" s="56" t="s">
        <v>889</v>
      </c>
      <c r="BF267" s="56" t="s">
        <v>272</v>
      </c>
      <c r="BG267" s="56" t="s">
        <v>272</v>
      </c>
      <c r="BH267" s="56" t="s">
        <v>890</v>
      </c>
      <c r="BI267" s="103">
        <v>9.9999999999999995E-7</v>
      </c>
      <c r="BJ267" s="103">
        <v>0.08</v>
      </c>
      <c r="BK267" s="56"/>
      <c r="BL267" s="103">
        <f t="shared" si="87"/>
        <v>3.1105629872460813E-4</v>
      </c>
      <c r="BM267" s="56" t="s">
        <v>891</v>
      </c>
      <c r="BN267" s="162"/>
      <c r="BO267" s="162"/>
      <c r="BP267" s="162"/>
      <c r="BQ267" s="162"/>
      <c r="BR267" s="162"/>
      <c r="BS267" s="56">
        <v>1.5380611171211632E-2</v>
      </c>
      <c r="BT267" s="162"/>
      <c r="BU267" s="158"/>
      <c r="BV267" s="162"/>
      <c r="BW267" s="162"/>
      <c r="BX267" s="162"/>
      <c r="BY267" s="162"/>
      <c r="BZ267" s="162"/>
      <c r="CA267" s="162"/>
      <c r="CB267" s="162"/>
      <c r="CC267" s="56"/>
      <c r="CD267" s="56"/>
      <c r="CE267" s="56"/>
      <c r="CF267" s="56"/>
      <c r="CG267" s="56"/>
      <c r="CH267" s="56"/>
      <c r="CI267" s="103">
        <f t="shared" si="93"/>
        <v>1.5380611171211632E-2</v>
      </c>
      <c r="CJ267" s="103">
        <f t="shared" si="94"/>
        <v>-1.8130264068615678</v>
      </c>
      <c r="CK267" s="57">
        <f t="shared" si="96"/>
        <v>3.8882037340576014E-3</v>
      </c>
      <c r="CL267" s="160">
        <f t="shared" si="78"/>
        <v>2.0223923175876252E-2</v>
      </c>
      <c r="CM267" s="160">
        <v>-3.1043099062575026</v>
      </c>
      <c r="CN267" s="160">
        <f>BJ267/(10^CM267)</f>
        <v>101.71848736568707</v>
      </c>
      <c r="CO267" s="55" t="s">
        <v>892</v>
      </c>
      <c r="CP267" s="55" t="s">
        <v>893</v>
      </c>
      <c r="CQ267" s="149">
        <v>-2.7738395371468778</v>
      </c>
      <c r="CR267" s="349">
        <f>10^(CJ267-CQ267)</f>
        <v>9.1371999830808601</v>
      </c>
      <c r="CS267" s="61" t="s">
        <v>539</v>
      </c>
      <c r="CT267" s="61"/>
      <c r="CU267" s="111">
        <f t="shared" si="86"/>
        <v>0.14039499504651032</v>
      </c>
      <c r="CV267" s="331">
        <f t="shared" si="97"/>
        <v>2.6992010364931981E-2</v>
      </c>
      <c r="CW267" s="326">
        <f t="shared" si="95"/>
        <v>0</v>
      </c>
      <c r="CX267" s="326" t="s">
        <v>539</v>
      </c>
      <c r="CY267" s="161" t="s">
        <v>5921</v>
      </c>
    </row>
    <row r="268" spans="1:103" ht="11.25" customHeight="1" x14ac:dyDescent="0.2">
      <c r="A268" s="72">
        <v>266</v>
      </c>
      <c r="B268" s="149">
        <v>452</v>
      </c>
      <c r="C268" s="54" t="s">
        <v>1482</v>
      </c>
      <c r="D268" s="54" t="s">
        <v>6506</v>
      </c>
      <c r="E268" s="59"/>
      <c r="F268" s="59" t="s">
        <v>1483</v>
      </c>
      <c r="G268" s="151">
        <v>7696120</v>
      </c>
      <c r="H268" s="55" t="s">
        <v>1484</v>
      </c>
      <c r="I268" s="55" t="s">
        <v>1484</v>
      </c>
      <c r="J268" s="55" t="s">
        <v>1485</v>
      </c>
      <c r="K268" s="55" t="s">
        <v>1486</v>
      </c>
      <c r="L268" s="55" t="s">
        <v>617</v>
      </c>
      <c r="M268" s="55" t="s">
        <v>1086</v>
      </c>
      <c r="N268" s="60" t="s">
        <v>6376</v>
      </c>
      <c r="O268" s="55" t="s">
        <v>918</v>
      </c>
      <c r="P268" s="67">
        <v>3</v>
      </c>
      <c r="Q268" s="67" t="s">
        <v>6173</v>
      </c>
      <c r="R268" s="67">
        <v>1</v>
      </c>
      <c r="S268" s="67" t="s">
        <v>6173</v>
      </c>
      <c r="T268" s="56">
        <v>331.41</v>
      </c>
      <c r="U268" s="103">
        <v>5.521861138770707E-3</v>
      </c>
      <c r="V268" s="103">
        <v>2.207537491324945E-3</v>
      </c>
      <c r="W268" s="103">
        <v>1.2302687708123802E-2</v>
      </c>
      <c r="X268" s="103">
        <v>5.521861138770707E-3</v>
      </c>
      <c r="Y268" s="162">
        <v>7</v>
      </c>
      <c r="Z268" s="56">
        <v>5.54</v>
      </c>
      <c r="AA268" s="56">
        <v>4.7300000000000004</v>
      </c>
      <c r="AB268" s="56">
        <v>4.41</v>
      </c>
      <c r="AC268" s="56">
        <v>0.84209999999999996</v>
      </c>
      <c r="AD268" s="56">
        <v>4.5</v>
      </c>
      <c r="AE268" s="56">
        <v>4.78</v>
      </c>
      <c r="AF268" s="56">
        <f t="shared" si="92"/>
        <v>4.7300000000000004</v>
      </c>
      <c r="AG268" s="57">
        <v>2.65</v>
      </c>
      <c r="AH268" s="103">
        <v>5.5700000000000004E-9</v>
      </c>
      <c r="AI268" s="103">
        <v>1.6899999999999999E-6</v>
      </c>
      <c r="AJ268" s="62">
        <f t="shared" si="85"/>
        <v>-6.6427111311389231</v>
      </c>
      <c r="AK268" s="62">
        <f>LOG10(AI268*1000/(0.08206*298.15))</f>
        <v>-4.1606796216989785</v>
      </c>
      <c r="AL268" s="62">
        <f t="shared" si="83"/>
        <v>-4.1606796216989785</v>
      </c>
      <c r="AM268" s="62">
        <v>-13.825500000000002</v>
      </c>
      <c r="AN268" s="154">
        <v>-7.39</v>
      </c>
      <c r="AO268" s="410"/>
      <c r="AP268" s="410">
        <v>-2.5499999999999998</v>
      </c>
      <c r="AQ268" s="154" t="s">
        <v>6311</v>
      </c>
      <c r="AR268" s="154" t="s">
        <v>6312</v>
      </c>
      <c r="AS268" s="149" t="s">
        <v>6</v>
      </c>
      <c r="AT268" s="58" t="s">
        <v>266</v>
      </c>
      <c r="AU268" s="56">
        <v>8</v>
      </c>
      <c r="AV268" s="56">
        <v>144</v>
      </c>
      <c r="AW268" s="56">
        <v>120</v>
      </c>
      <c r="AX268" s="56">
        <v>26</v>
      </c>
      <c r="AY268" s="56" t="s">
        <v>267</v>
      </c>
      <c r="AZ268" s="56" t="s">
        <v>268</v>
      </c>
      <c r="BA268" s="56">
        <v>2</v>
      </c>
      <c r="BB268" s="55" t="s">
        <v>888</v>
      </c>
      <c r="BC268" s="55" t="s">
        <v>270</v>
      </c>
      <c r="BD268" s="55" t="s">
        <v>8374</v>
      </c>
      <c r="BE268" s="56" t="s">
        <v>889</v>
      </c>
      <c r="BF268" s="56" t="s">
        <v>272</v>
      </c>
      <c r="BG268" s="56" t="s">
        <v>272</v>
      </c>
      <c r="BH268" s="56" t="s">
        <v>890</v>
      </c>
      <c r="BI268" s="103">
        <v>9.9999999999999995E-7</v>
      </c>
      <c r="BJ268" s="103">
        <v>0.08</v>
      </c>
      <c r="BK268" s="56"/>
      <c r="BL268" s="103">
        <f t="shared" si="87"/>
        <v>5.4365827149938876E-4</v>
      </c>
      <c r="BM268" s="56" t="s">
        <v>891</v>
      </c>
      <c r="BN268" s="162"/>
      <c r="BO268" s="162"/>
      <c r="BP268" s="162"/>
      <c r="BQ268" s="162"/>
      <c r="BR268" s="162"/>
      <c r="BS268" s="56">
        <v>1.5380611171211632E-2</v>
      </c>
      <c r="BT268" s="162"/>
      <c r="BU268" s="158"/>
      <c r="BV268" s="162"/>
      <c r="BW268" s="162"/>
      <c r="BX268" s="162"/>
      <c r="BY268" s="162"/>
      <c r="BZ268" s="162"/>
      <c r="CA268" s="162"/>
      <c r="CB268" s="162"/>
      <c r="CC268" s="56"/>
      <c r="CD268" s="56"/>
      <c r="CE268" s="56"/>
      <c r="CF268" s="56"/>
      <c r="CG268" s="56"/>
      <c r="CH268" s="56"/>
      <c r="CI268" s="103">
        <f t="shared" si="93"/>
        <v>1.5380611171211632E-2</v>
      </c>
      <c r="CJ268" s="103">
        <f t="shared" si="94"/>
        <v>-1.8130264068615678</v>
      </c>
      <c r="CK268" s="57">
        <f t="shared" si="96"/>
        <v>6.795728393742359E-3</v>
      </c>
      <c r="CL268" s="160">
        <f t="shared" si="78"/>
        <v>3.5346987544745349E-2</v>
      </c>
      <c r="CM268" s="160">
        <v>-4.5751550993276888</v>
      </c>
      <c r="CN268" s="160">
        <f>BJ268/(10^CM268)</f>
        <v>3007.7732067628467</v>
      </c>
      <c r="CO268" s="55" t="s">
        <v>892</v>
      </c>
      <c r="CP268" s="55" t="s">
        <v>893</v>
      </c>
      <c r="CQ268" s="149">
        <v>-4.3136996935769929</v>
      </c>
      <c r="CR268" s="349">
        <f>10^(CJ268-CQ268)</f>
        <v>316.71839412012332</v>
      </c>
      <c r="CS268" s="61" t="s">
        <v>539</v>
      </c>
      <c r="CT268" s="61"/>
      <c r="CU268" s="111">
        <f t="shared" si="86"/>
        <v>0.35901441609200457</v>
      </c>
      <c r="CV268" s="331">
        <f t="shared" si="97"/>
        <v>6.9023264234633841E-2</v>
      </c>
      <c r="CW268" s="326">
        <f t="shared" si="95"/>
        <v>0</v>
      </c>
      <c r="CX268" s="326" t="s">
        <v>539</v>
      </c>
      <c r="CY268" s="161" t="s">
        <v>5921</v>
      </c>
    </row>
    <row r="269" spans="1:103" ht="11.25" customHeight="1" x14ac:dyDescent="0.2">
      <c r="A269" s="72">
        <v>267</v>
      </c>
      <c r="B269" s="149">
        <v>779</v>
      </c>
      <c r="C269" s="54" t="s">
        <v>2186</v>
      </c>
      <c r="D269" s="54"/>
      <c r="E269" s="59"/>
      <c r="F269" s="59" t="s">
        <v>2187</v>
      </c>
      <c r="G269" s="151">
        <v>43210679</v>
      </c>
      <c r="H269" s="55" t="s">
        <v>2188</v>
      </c>
      <c r="I269" s="55" t="s">
        <v>2188</v>
      </c>
      <c r="J269" s="55" t="s">
        <v>2189</v>
      </c>
      <c r="K269" s="55" t="s">
        <v>967</v>
      </c>
      <c r="L269" s="55"/>
      <c r="M269" s="55"/>
      <c r="N269" s="60"/>
      <c r="O269" s="55"/>
      <c r="P269" s="67">
        <v>3</v>
      </c>
      <c r="Q269" s="67" t="s">
        <v>6173</v>
      </c>
      <c r="R269" s="67">
        <v>1</v>
      </c>
      <c r="S269" s="67" t="s">
        <v>6173</v>
      </c>
      <c r="T269" s="56">
        <v>299.35000000000002</v>
      </c>
      <c r="U269" s="103"/>
      <c r="V269" s="103">
        <v>2.1309503925171201E-2</v>
      </c>
      <c r="W269" s="103">
        <v>1.8620871366628624E-2</v>
      </c>
      <c r="X269" s="103">
        <f>IF(W269=0,V269,W269)</f>
        <v>1.8620871366628624E-2</v>
      </c>
      <c r="Y269" s="162">
        <v>7.34</v>
      </c>
      <c r="Z269" s="56">
        <v>3.85</v>
      </c>
      <c r="AA269" s="56"/>
      <c r="AB269" s="56">
        <v>3.5</v>
      </c>
      <c r="AC269" s="56">
        <v>0.83860000000000001</v>
      </c>
      <c r="AD269" s="56">
        <v>3.55</v>
      </c>
      <c r="AE269" s="56">
        <v>3.75</v>
      </c>
      <c r="AF269" s="56">
        <f t="shared" si="92"/>
        <v>3.55</v>
      </c>
      <c r="AG269" s="57">
        <v>3.07</v>
      </c>
      <c r="AH269" s="103">
        <v>8.6599999999999995E-15</v>
      </c>
      <c r="AI269" s="103"/>
      <c r="AJ269" s="62">
        <f t="shared" si="85"/>
        <v>-12.451048434295306</v>
      </c>
      <c r="AK269" s="62"/>
      <c r="AL269" s="62">
        <f t="shared" si="83"/>
        <v>-12.451048434295306</v>
      </c>
      <c r="AM269" s="62">
        <v>-18.746079999999999</v>
      </c>
      <c r="AN269" s="154">
        <v>-11.9</v>
      </c>
      <c r="AO269" s="410">
        <v>10.51</v>
      </c>
      <c r="AP269" s="410">
        <v>5.25</v>
      </c>
      <c r="AQ269" s="56" t="s">
        <v>6311</v>
      </c>
      <c r="AR269" s="56" t="s">
        <v>6312</v>
      </c>
      <c r="AS269" s="149" t="s">
        <v>6</v>
      </c>
      <c r="AT269" s="58" t="s">
        <v>266</v>
      </c>
      <c r="AU269" s="56">
        <v>0</v>
      </c>
      <c r="AV269" s="56">
        <v>144</v>
      </c>
      <c r="AW269" s="56">
        <v>144</v>
      </c>
      <c r="AX269" s="56">
        <v>25</v>
      </c>
      <c r="AY269" s="56" t="s">
        <v>8722</v>
      </c>
      <c r="AZ269" s="56" t="s">
        <v>2175</v>
      </c>
      <c r="BA269" s="56" t="s">
        <v>8722</v>
      </c>
      <c r="BB269" s="55" t="s">
        <v>2176</v>
      </c>
      <c r="BC269" s="55" t="s">
        <v>538</v>
      </c>
      <c r="BD269" s="55"/>
      <c r="BE269" s="56" t="s">
        <v>271</v>
      </c>
      <c r="BF269" s="56" t="s">
        <v>1974</v>
      </c>
      <c r="BG269" s="56" t="s">
        <v>1974</v>
      </c>
      <c r="BH269" s="56" t="s">
        <v>2177</v>
      </c>
      <c r="BI269" s="103">
        <v>2E-3</v>
      </c>
      <c r="BJ269" s="103">
        <v>0.2</v>
      </c>
      <c r="BK269" s="56" t="s">
        <v>2178</v>
      </c>
      <c r="BL269" s="103">
        <f t="shared" si="87"/>
        <v>1.7910800643872269E-2</v>
      </c>
      <c r="BM269" s="56" t="s">
        <v>541</v>
      </c>
      <c r="BN269" s="56"/>
      <c r="BO269" s="56"/>
      <c r="BP269" s="56"/>
      <c r="BQ269" s="56"/>
      <c r="BR269" s="56">
        <v>8.0173709704359442E-5</v>
      </c>
      <c r="BS269" s="56"/>
      <c r="BT269" s="56"/>
      <c r="BU269" s="158"/>
      <c r="BV269" s="56"/>
      <c r="BW269" s="56"/>
      <c r="BX269" s="56"/>
      <c r="BY269" s="56"/>
      <c r="BZ269" s="56"/>
      <c r="CA269" s="56"/>
      <c r="CB269" s="56"/>
      <c r="CC269" s="56"/>
      <c r="CD269" s="56"/>
      <c r="CE269" s="56"/>
      <c r="CF269" s="56"/>
      <c r="CG269" s="56"/>
      <c r="CH269" s="56"/>
      <c r="CI269" s="103">
        <f t="shared" si="93"/>
        <v>8.0173709704359442E-5</v>
      </c>
      <c r="CJ269" s="103">
        <f t="shared" si="94"/>
        <v>-4.0959680207700977</v>
      </c>
      <c r="CK269" s="57">
        <f t="shared" si="96"/>
        <v>8.9554003219361342E-2</v>
      </c>
      <c r="CL269" s="160">
        <f t="shared" si="78"/>
        <v>223.3999238642985</v>
      </c>
      <c r="CM269" s="160"/>
      <c r="CN269" s="160"/>
      <c r="CO269" s="55" t="s">
        <v>2179</v>
      </c>
      <c r="CP269" s="55" t="s">
        <v>2180</v>
      </c>
      <c r="CQ269" s="149" t="s">
        <v>272</v>
      </c>
      <c r="CR269" s="349"/>
      <c r="CS269" s="61" t="s">
        <v>539</v>
      </c>
      <c r="CT269" s="61" t="s">
        <v>6310</v>
      </c>
      <c r="CU269" s="111">
        <f t="shared" si="86"/>
        <v>232.25657681667829</v>
      </c>
      <c r="CV269" s="331">
        <f t="shared" si="97"/>
        <v>9.3104356833143109E-2</v>
      </c>
      <c r="CW269" s="326">
        <f t="shared" si="95"/>
        <v>1</v>
      </c>
      <c r="CX269" s="326" t="s">
        <v>539</v>
      </c>
      <c r="CY269" s="161" t="s">
        <v>5921</v>
      </c>
    </row>
    <row r="270" spans="1:103" ht="11.25" customHeight="1" x14ac:dyDescent="0.2">
      <c r="A270" s="72">
        <v>268</v>
      </c>
      <c r="B270" s="149">
        <v>1607</v>
      </c>
      <c r="C270" s="54" t="s">
        <v>3822</v>
      </c>
      <c r="D270" s="54"/>
      <c r="E270" s="59"/>
      <c r="F270" s="59" t="s">
        <v>3823</v>
      </c>
      <c r="G270" s="151">
        <v>43222486</v>
      </c>
      <c r="H270" s="55" t="s">
        <v>3824</v>
      </c>
      <c r="I270" s="55" t="s">
        <v>8126</v>
      </c>
      <c r="J270" s="55" t="s">
        <v>3825</v>
      </c>
      <c r="K270" s="55" t="s">
        <v>1594</v>
      </c>
      <c r="L270" s="55"/>
      <c r="M270" s="55"/>
      <c r="N270" s="60"/>
      <c r="O270" s="55"/>
      <c r="P270" s="67">
        <v>3</v>
      </c>
      <c r="Q270" s="67" t="s">
        <v>6173</v>
      </c>
      <c r="R270" s="67">
        <v>1</v>
      </c>
      <c r="S270" s="67" t="s">
        <v>6173</v>
      </c>
      <c r="T270" s="56">
        <v>360.44</v>
      </c>
      <c r="U270" s="103">
        <v>2266.6740650316278</v>
      </c>
      <c r="V270" s="103">
        <v>4.1393851958717125</v>
      </c>
      <c r="W270" s="103"/>
      <c r="X270" s="103">
        <v>2266.6740650316278</v>
      </c>
      <c r="Y270" s="162"/>
      <c r="Z270" s="56">
        <v>-0.02</v>
      </c>
      <c r="AA270" s="56">
        <v>0.65</v>
      </c>
      <c r="AB270" s="56"/>
      <c r="AC270" s="56"/>
      <c r="AD270" s="56"/>
      <c r="AE270" s="56"/>
      <c r="AF270" s="56">
        <f t="shared" si="92"/>
        <v>0.65</v>
      </c>
      <c r="AG270" s="57">
        <v>3.23</v>
      </c>
      <c r="AH270" s="103"/>
      <c r="AI270" s="103"/>
      <c r="AJ270" s="62"/>
      <c r="AK270" s="62"/>
      <c r="AL270" s="62"/>
      <c r="AM270" s="62"/>
      <c r="AN270" s="154">
        <v>-4.04</v>
      </c>
      <c r="AO270" s="410"/>
      <c r="AP270" s="410"/>
      <c r="AQ270" s="56" t="s">
        <v>6311</v>
      </c>
      <c r="AR270" s="56" t="s">
        <v>6311</v>
      </c>
      <c r="AS270" s="155"/>
      <c r="AT270" s="58" t="s">
        <v>266</v>
      </c>
      <c r="AU270" s="56">
        <v>6</v>
      </c>
      <c r="AV270" s="56">
        <v>120</v>
      </c>
      <c r="AW270" s="56">
        <v>114</v>
      </c>
      <c r="AX270" s="56">
        <v>28</v>
      </c>
      <c r="AY270" s="56" t="s">
        <v>8728</v>
      </c>
      <c r="AZ270" s="56" t="s">
        <v>1563</v>
      </c>
      <c r="BA270" s="56">
        <v>32</v>
      </c>
      <c r="BB270" s="55" t="s">
        <v>2485</v>
      </c>
      <c r="BC270" s="55" t="s">
        <v>8726</v>
      </c>
      <c r="BD270" s="55" t="s">
        <v>8374</v>
      </c>
      <c r="BE270" s="56" t="s">
        <v>2449</v>
      </c>
      <c r="BF270" s="56" t="s">
        <v>272</v>
      </c>
      <c r="BG270" s="56" t="s">
        <v>272</v>
      </c>
      <c r="BH270" s="56" t="s">
        <v>2486</v>
      </c>
      <c r="BI270" s="103">
        <v>6.3999999999999997E-6</v>
      </c>
      <c r="BJ270" s="103">
        <v>6.4000000000000001E-2</v>
      </c>
      <c r="BK270" s="56"/>
      <c r="BL270" s="103">
        <f t="shared" si="87"/>
        <v>53.5503113213706</v>
      </c>
      <c r="BM270" s="55" t="s">
        <v>2487</v>
      </c>
      <c r="BN270" s="56"/>
      <c r="BO270" s="56"/>
      <c r="BP270" s="56"/>
      <c r="BQ270" s="56"/>
      <c r="BR270" s="55">
        <v>2.0238577000000001E-2</v>
      </c>
      <c r="BS270" s="56"/>
      <c r="BT270" s="56"/>
      <c r="BU270" s="158"/>
      <c r="BV270" s="56"/>
      <c r="BW270" s="56"/>
      <c r="BX270" s="56"/>
      <c r="BY270" s="56"/>
      <c r="BZ270" s="56"/>
      <c r="CA270" s="56"/>
      <c r="CB270" s="56"/>
      <c r="CC270" s="56"/>
      <c r="CD270" s="56"/>
      <c r="CE270" s="56"/>
      <c r="CF270" s="56"/>
      <c r="CG270" s="56"/>
      <c r="CH270" s="56"/>
      <c r="CI270" s="103">
        <f t="shared" si="93"/>
        <v>2.0238577000000001E-2</v>
      </c>
      <c r="CJ270" s="103">
        <f t="shared" si="94"/>
        <v>-1.6938200265542473</v>
      </c>
      <c r="CK270" s="57">
        <f t="shared" si="96"/>
        <v>836.72361439641566</v>
      </c>
      <c r="CL270" s="160">
        <f t="shared" si="78"/>
        <v>2645.9523968197268</v>
      </c>
      <c r="CM270" s="160"/>
      <c r="CN270" s="160"/>
      <c r="CO270" s="55" t="s">
        <v>2488</v>
      </c>
      <c r="CP270" s="55" t="s">
        <v>2489</v>
      </c>
      <c r="CQ270" s="149" t="s">
        <v>272</v>
      </c>
      <c r="CR270" s="349"/>
      <c r="CS270" s="61" t="s">
        <v>539</v>
      </c>
      <c r="CT270" s="61"/>
      <c r="CU270" s="111">
        <f t="shared" si="86"/>
        <v>111997.69949397272</v>
      </c>
      <c r="CV270" s="331">
        <f t="shared" si="97"/>
        <v>35416.782266119182</v>
      </c>
      <c r="CW270" s="326">
        <f t="shared" si="95"/>
        <v>1</v>
      </c>
      <c r="CX270" s="326"/>
      <c r="CY270" s="161" t="s">
        <v>5921</v>
      </c>
    </row>
    <row r="271" spans="1:103" ht="11.25" customHeight="1" x14ac:dyDescent="0.2">
      <c r="A271" s="72">
        <v>269</v>
      </c>
      <c r="B271" s="149">
        <v>298</v>
      </c>
      <c r="C271" s="54" t="s">
        <v>1176</v>
      </c>
      <c r="D271" s="54" t="s">
        <v>6533</v>
      </c>
      <c r="E271" s="59"/>
      <c r="F271" s="59" t="s">
        <v>1177</v>
      </c>
      <c r="G271" s="151">
        <v>72490018</v>
      </c>
      <c r="H271" s="55" t="s">
        <v>1178</v>
      </c>
      <c r="I271" s="55" t="s">
        <v>1178</v>
      </c>
      <c r="J271" s="55" t="s">
        <v>1179</v>
      </c>
      <c r="K271" s="55" t="s">
        <v>1180</v>
      </c>
      <c r="L271" s="55" t="s">
        <v>617</v>
      </c>
      <c r="M271" s="55" t="s">
        <v>6087</v>
      </c>
      <c r="N271" s="60" t="s">
        <v>6082</v>
      </c>
      <c r="O271" s="55" t="s">
        <v>918</v>
      </c>
      <c r="P271" s="67">
        <v>3</v>
      </c>
      <c r="Q271" s="67" t="s">
        <v>6173</v>
      </c>
      <c r="R271" s="67">
        <v>1</v>
      </c>
      <c r="S271" s="67" t="s">
        <v>6173</v>
      </c>
      <c r="T271" s="56">
        <v>301.33999999999997</v>
      </c>
      <c r="U271" s="103">
        <v>1.9911063914515168E-2</v>
      </c>
      <c r="V271" s="103">
        <v>8.5119798234552339E-3</v>
      </c>
      <c r="W271" s="103">
        <v>7.0794578438413705E-2</v>
      </c>
      <c r="X271" s="103">
        <v>1.9911063914515168E-2</v>
      </c>
      <c r="Y271" s="162">
        <v>7</v>
      </c>
      <c r="Z271" s="56">
        <v>4.24</v>
      </c>
      <c r="AA271" s="56">
        <v>4.3</v>
      </c>
      <c r="AB271" s="56">
        <v>3.95</v>
      </c>
      <c r="AC271" s="56">
        <v>0.76349999999999996</v>
      </c>
      <c r="AD271" s="56">
        <v>3.91</v>
      </c>
      <c r="AE271" s="56">
        <v>3.83</v>
      </c>
      <c r="AF271" s="56">
        <f t="shared" si="92"/>
        <v>4.3</v>
      </c>
      <c r="AG271" s="57">
        <v>3.1</v>
      </c>
      <c r="AH271" s="103">
        <v>1.45E-11</v>
      </c>
      <c r="AI271" s="103">
        <v>4.3000000000000001E-10</v>
      </c>
      <c r="AJ271" s="62">
        <f t="shared" ref="AJ271:AK274" si="98">LOG10(AH271*1000/(0.08206*298.15))</f>
        <v>-9.2271983240776763</v>
      </c>
      <c r="AK271" s="62">
        <f t="shared" si="98"/>
        <v>-7.7550978707330653</v>
      </c>
      <c r="AL271" s="62">
        <f t="shared" ref="AL271:AL295" si="99">IF(AK271=0,AJ271,AK271)</f>
        <v>-7.7550978707330653</v>
      </c>
      <c r="AM271" s="62">
        <v>-14.524919999999998</v>
      </c>
      <c r="AN271" s="154">
        <v>-6.97</v>
      </c>
      <c r="AO271" s="410">
        <v>12.13</v>
      </c>
      <c r="AP271" s="410">
        <v>-1.49</v>
      </c>
      <c r="AQ271" s="154" t="s">
        <v>6311</v>
      </c>
      <c r="AR271" s="154" t="s">
        <v>6312</v>
      </c>
      <c r="AS271" s="149" t="s">
        <v>6</v>
      </c>
      <c r="AT271" s="58" t="s">
        <v>266</v>
      </c>
      <c r="AU271" s="56">
        <v>8</v>
      </c>
      <c r="AV271" s="56">
        <v>144</v>
      </c>
      <c r="AW271" s="56">
        <v>120</v>
      </c>
      <c r="AX271" s="56">
        <v>26</v>
      </c>
      <c r="AY271" s="56" t="s">
        <v>267</v>
      </c>
      <c r="AZ271" s="56" t="s">
        <v>268</v>
      </c>
      <c r="BA271" s="56">
        <v>2</v>
      </c>
      <c r="BB271" s="55" t="s">
        <v>888</v>
      </c>
      <c r="BC271" s="55" t="s">
        <v>270</v>
      </c>
      <c r="BD271" s="55" t="s">
        <v>8374</v>
      </c>
      <c r="BE271" s="56" t="s">
        <v>889</v>
      </c>
      <c r="BF271" s="56" t="s">
        <v>272</v>
      </c>
      <c r="BG271" s="56" t="s">
        <v>272</v>
      </c>
      <c r="BH271" s="56" t="s">
        <v>890</v>
      </c>
      <c r="BI271" s="103">
        <v>9.9999999999999995E-7</v>
      </c>
      <c r="BJ271" s="103">
        <v>0.08</v>
      </c>
      <c r="BK271" s="56"/>
      <c r="BL271" s="103">
        <f t="shared" si="87"/>
        <v>7.9956909612284976E-3</v>
      </c>
      <c r="BM271" s="56" t="s">
        <v>891</v>
      </c>
      <c r="BN271" s="162"/>
      <c r="BO271" s="162"/>
      <c r="BP271" s="162"/>
      <c r="BQ271" s="162"/>
      <c r="BR271" s="162"/>
      <c r="BS271" s="56">
        <v>1.5380611171211632E-2</v>
      </c>
      <c r="BT271" s="162"/>
      <c r="BU271" s="158"/>
      <c r="BV271" s="162"/>
      <c r="BW271" s="162"/>
      <c r="BX271" s="162"/>
      <c r="BY271" s="162"/>
      <c r="BZ271" s="162"/>
      <c r="CA271" s="162"/>
      <c r="CB271" s="162"/>
      <c r="CC271" s="56"/>
      <c r="CD271" s="56"/>
      <c r="CE271" s="56"/>
      <c r="CF271" s="56"/>
      <c r="CG271" s="56"/>
      <c r="CH271" s="56"/>
      <c r="CI271" s="103">
        <f t="shared" si="93"/>
        <v>1.5380611171211632E-2</v>
      </c>
      <c r="CJ271" s="103">
        <f t="shared" si="94"/>
        <v>-1.8130264068615678</v>
      </c>
      <c r="CK271" s="57">
        <f t="shared" si="96"/>
        <v>9.9946137015356221E-2</v>
      </c>
      <c r="CL271" s="160">
        <f t="shared" si="78"/>
        <v>0.51985521720972183</v>
      </c>
      <c r="CM271" s="160">
        <v>-2.4672248248355171</v>
      </c>
      <c r="CN271" s="160">
        <f t="shared" ref="CN271:CN276" si="100">BJ271/(10^CM271)</f>
        <v>23.45928718336333</v>
      </c>
      <c r="CO271" s="55" t="s">
        <v>892</v>
      </c>
      <c r="CP271" s="55" t="s">
        <v>893</v>
      </c>
      <c r="CQ271" s="149">
        <v>-2.3813311631291771</v>
      </c>
      <c r="CR271" s="349">
        <f t="shared" ref="CR271:CR276" si="101">10^(CJ271-CQ271)</f>
        <v>3.700877893645969</v>
      </c>
      <c r="CS271" s="61" t="s">
        <v>539</v>
      </c>
      <c r="CT271" s="61"/>
      <c r="CU271" s="111">
        <f t="shared" si="86"/>
        <v>1.2945560935695017</v>
      </c>
      <c r="CV271" s="331">
        <f t="shared" si="97"/>
        <v>0.2488882989314396</v>
      </c>
      <c r="CW271" s="326">
        <f t="shared" si="95"/>
        <v>0</v>
      </c>
      <c r="CX271" s="326" t="s">
        <v>539</v>
      </c>
      <c r="CY271" s="161" t="s">
        <v>5921</v>
      </c>
    </row>
    <row r="272" spans="1:103" ht="11.25" customHeight="1" x14ac:dyDescent="0.2">
      <c r="A272" s="72">
        <v>270</v>
      </c>
      <c r="B272" s="149">
        <v>210</v>
      </c>
      <c r="C272" s="54" t="s">
        <v>1007</v>
      </c>
      <c r="D272" s="54" t="s">
        <v>6593</v>
      </c>
      <c r="E272" s="59"/>
      <c r="F272" s="59" t="s">
        <v>1008</v>
      </c>
      <c r="G272" s="151">
        <v>33629479</v>
      </c>
      <c r="H272" s="55" t="s">
        <v>1009</v>
      </c>
      <c r="I272" s="55" t="s">
        <v>8119</v>
      </c>
      <c r="J272" s="55" t="s">
        <v>1010</v>
      </c>
      <c r="K272" s="55" t="s">
        <v>1011</v>
      </c>
      <c r="L272" s="55" t="s">
        <v>5959</v>
      </c>
      <c r="M272" s="168" t="s">
        <v>6077</v>
      </c>
      <c r="N272" s="60" t="s">
        <v>6088</v>
      </c>
      <c r="O272" s="55" t="s">
        <v>6083</v>
      </c>
      <c r="P272" s="67">
        <v>3</v>
      </c>
      <c r="Q272" s="67" t="s">
        <v>6173</v>
      </c>
      <c r="R272" s="67">
        <v>1</v>
      </c>
      <c r="S272" s="67" t="s">
        <v>6173</v>
      </c>
      <c r="T272" s="56">
        <v>295.33</v>
      </c>
      <c r="U272" s="103">
        <v>3.3860427318592764E-3</v>
      </c>
      <c r="V272" s="103">
        <v>2.7271188162394612E-3</v>
      </c>
      <c r="W272" s="103">
        <v>3.5481338923357502E-3</v>
      </c>
      <c r="X272" s="103">
        <v>3.3860427318592764E-3</v>
      </c>
      <c r="Y272" s="162">
        <v>7</v>
      </c>
      <c r="Z272" s="56">
        <v>5.15</v>
      </c>
      <c r="AA272" s="56">
        <v>4.93</v>
      </c>
      <c r="AB272" s="56">
        <v>4.62</v>
      </c>
      <c r="AC272" s="56">
        <v>0.79</v>
      </c>
      <c r="AD272" s="56">
        <v>4.99</v>
      </c>
      <c r="AE272" s="56">
        <v>5.8</v>
      </c>
      <c r="AF272" s="56">
        <f t="shared" si="92"/>
        <v>4.93</v>
      </c>
      <c r="AG272" s="57">
        <v>3.79</v>
      </c>
      <c r="AH272" s="103">
        <v>2.3199999999999998E-6</v>
      </c>
      <c r="AI272" s="103">
        <v>4.9400000000000001E-6</v>
      </c>
      <c r="AJ272" s="62">
        <f t="shared" si="98"/>
        <v>-4.0230783414217521</v>
      </c>
      <c r="AK272" s="62">
        <f t="shared" si="98"/>
        <v>-3.6948393773890049</v>
      </c>
      <c r="AL272" s="62">
        <f t="shared" si="99"/>
        <v>-3.6948393773890049</v>
      </c>
      <c r="AM272" s="62">
        <v>-9.5759299999999996</v>
      </c>
      <c r="AN272" s="154">
        <v>-2.4900000000000002</v>
      </c>
      <c r="AO272" s="410"/>
      <c r="AP272" s="410">
        <v>-3.5</v>
      </c>
      <c r="AQ272" s="154" t="s">
        <v>6311</v>
      </c>
      <c r="AR272" s="154" t="s">
        <v>6311</v>
      </c>
      <c r="AS272" s="149" t="s">
        <v>6</v>
      </c>
      <c r="AT272" s="58" t="s">
        <v>266</v>
      </c>
      <c r="AU272" s="56">
        <v>8</v>
      </c>
      <c r="AV272" s="56">
        <v>144</v>
      </c>
      <c r="AW272" s="56">
        <v>120</v>
      </c>
      <c r="AX272" s="56">
        <v>26</v>
      </c>
      <c r="AY272" s="56" t="s">
        <v>267</v>
      </c>
      <c r="AZ272" s="56" t="s">
        <v>268</v>
      </c>
      <c r="BA272" s="56">
        <v>2</v>
      </c>
      <c r="BB272" s="55" t="s">
        <v>888</v>
      </c>
      <c r="BC272" s="55" t="s">
        <v>270</v>
      </c>
      <c r="BD272" s="55" t="s">
        <v>8374</v>
      </c>
      <c r="BE272" s="56" t="s">
        <v>889</v>
      </c>
      <c r="BF272" s="56" t="s">
        <v>272</v>
      </c>
      <c r="BG272" s="56" t="s">
        <v>272</v>
      </c>
      <c r="BH272" s="56" t="s">
        <v>890</v>
      </c>
      <c r="BI272" s="103">
        <v>9.9999999999999995E-7</v>
      </c>
      <c r="BJ272" s="103">
        <v>0.08</v>
      </c>
      <c r="BK272" s="56"/>
      <c r="BL272" s="103">
        <f t="shared" si="87"/>
        <v>1.2178253219683763E-3</v>
      </c>
      <c r="BM272" s="56" t="s">
        <v>891</v>
      </c>
      <c r="BN272" s="162"/>
      <c r="BO272" s="162"/>
      <c r="BP272" s="162"/>
      <c r="BQ272" s="162"/>
      <c r="BR272" s="162"/>
      <c r="BS272" s="56">
        <v>1.5380611171211632E-2</v>
      </c>
      <c r="BT272" s="162"/>
      <c r="BU272" s="158"/>
      <c r="BV272" s="162"/>
      <c r="BW272" s="162"/>
      <c r="BX272" s="162"/>
      <c r="BY272" s="162"/>
      <c r="BZ272" s="162"/>
      <c r="CA272" s="162"/>
      <c r="CB272" s="162"/>
      <c r="CC272" s="56"/>
      <c r="CD272" s="56"/>
      <c r="CE272" s="56"/>
      <c r="CF272" s="56"/>
      <c r="CG272" s="56"/>
      <c r="CH272" s="56"/>
      <c r="CI272" s="103">
        <f t="shared" si="93"/>
        <v>1.5380611171211632E-2</v>
      </c>
      <c r="CJ272" s="103">
        <f t="shared" si="94"/>
        <v>-1.8130264068615678</v>
      </c>
      <c r="CK272" s="57">
        <f t="shared" si="96"/>
        <v>1.5222816524604704E-2</v>
      </c>
      <c r="CL272" s="160">
        <f t="shared" si="78"/>
        <v>7.9179254218962228E-2</v>
      </c>
      <c r="CM272" s="160">
        <v>-2.902105841329143</v>
      </c>
      <c r="CN272" s="160">
        <f t="shared" si="100"/>
        <v>63.855135135135207</v>
      </c>
      <c r="CO272" s="55" t="s">
        <v>892</v>
      </c>
      <c r="CP272" s="55" t="s">
        <v>893</v>
      </c>
      <c r="CQ272" s="149">
        <v>-2.6862067033626404</v>
      </c>
      <c r="CR272" s="349">
        <f t="shared" si="101"/>
        <v>7.467587094792</v>
      </c>
      <c r="CS272" s="61" t="s">
        <v>539</v>
      </c>
      <c r="CT272" s="61"/>
      <c r="CU272" s="111">
        <f t="shared" si="86"/>
        <v>0.22015007688361812</v>
      </c>
      <c r="CV272" s="331">
        <f t="shared" si="97"/>
        <v>4.2325534148240952E-2</v>
      </c>
      <c r="CW272" s="326">
        <f t="shared" si="95"/>
        <v>0</v>
      </c>
      <c r="CX272" s="326" t="s">
        <v>539</v>
      </c>
      <c r="CY272" s="161" t="s">
        <v>5921</v>
      </c>
    </row>
    <row r="273" spans="1:103" ht="11.25" customHeight="1" x14ac:dyDescent="0.2">
      <c r="A273" s="72">
        <v>271</v>
      </c>
      <c r="B273" s="149">
        <v>206</v>
      </c>
      <c r="C273" s="54" t="s">
        <v>987</v>
      </c>
      <c r="D273" s="54" t="s">
        <v>6493</v>
      </c>
      <c r="E273" s="59"/>
      <c r="F273" s="59" t="s">
        <v>988</v>
      </c>
      <c r="G273" s="151">
        <v>1689845</v>
      </c>
      <c r="H273" s="55" t="s">
        <v>989</v>
      </c>
      <c r="I273" s="55" t="s">
        <v>8319</v>
      </c>
      <c r="J273" s="55" t="s">
        <v>990</v>
      </c>
      <c r="K273" s="55" t="s">
        <v>349</v>
      </c>
      <c r="L273" s="55" t="s">
        <v>5248</v>
      </c>
      <c r="M273" s="55" t="s">
        <v>991</v>
      </c>
      <c r="N273" s="60" t="s">
        <v>6381</v>
      </c>
      <c r="O273" s="55" t="s">
        <v>992</v>
      </c>
      <c r="P273" s="67">
        <v>3</v>
      </c>
      <c r="Q273" s="67" t="s">
        <v>6173</v>
      </c>
      <c r="R273" s="67">
        <v>1</v>
      </c>
      <c r="S273" s="67" t="s">
        <v>6173</v>
      </c>
      <c r="T273" s="56">
        <v>276.91000000000003</v>
      </c>
      <c r="U273" s="103">
        <v>0.46946661370120252</v>
      </c>
      <c r="V273" s="103">
        <v>0.15842692571593656</v>
      </c>
      <c r="W273" s="103">
        <v>0.75857757502918277</v>
      </c>
      <c r="X273" s="103">
        <v>0.46946661370120252</v>
      </c>
      <c r="Y273" s="162">
        <v>3.98</v>
      </c>
      <c r="Z273" s="56">
        <v>3.39</v>
      </c>
      <c r="AA273" s="56"/>
      <c r="AB273" s="56">
        <v>3.19</v>
      </c>
      <c r="AC273" s="56">
        <v>0.87050000000000005</v>
      </c>
      <c r="AD273" s="56">
        <v>3.14</v>
      </c>
      <c r="AE273" s="56">
        <v>2.95</v>
      </c>
      <c r="AF273" s="56">
        <f t="shared" si="92"/>
        <v>3.14</v>
      </c>
      <c r="AG273" s="57">
        <v>2.88</v>
      </c>
      <c r="AH273" s="103">
        <v>8.6000000000000003E-10</v>
      </c>
      <c r="AI273" s="103">
        <v>1.3200000000000001E-10</v>
      </c>
      <c r="AJ273" s="62">
        <f t="shared" si="98"/>
        <v>-7.4540678750690841</v>
      </c>
      <c r="AK273" s="62">
        <f t="shared" si="98"/>
        <v>-8.267992395106802</v>
      </c>
      <c r="AL273" s="62">
        <f t="shared" si="99"/>
        <v>-8.267992395106802</v>
      </c>
      <c r="AM273" s="62">
        <v>-8.8538800000000002</v>
      </c>
      <c r="AN273" s="154">
        <v>-5.6</v>
      </c>
      <c r="AO273" s="410">
        <v>4.78</v>
      </c>
      <c r="AP273" s="410"/>
      <c r="AQ273" s="154" t="s">
        <v>6311</v>
      </c>
      <c r="AR273" s="154" t="s">
        <v>6311</v>
      </c>
      <c r="AS273" s="149" t="s">
        <v>6</v>
      </c>
      <c r="AT273" s="58" t="s">
        <v>266</v>
      </c>
      <c r="AU273" s="56">
        <v>8</v>
      </c>
      <c r="AV273" s="56">
        <v>144</v>
      </c>
      <c r="AW273" s="56">
        <v>120</v>
      </c>
      <c r="AX273" s="56">
        <v>26</v>
      </c>
      <c r="AY273" s="56" t="s">
        <v>267</v>
      </c>
      <c r="AZ273" s="56" t="s">
        <v>268</v>
      </c>
      <c r="BA273" s="56">
        <v>2</v>
      </c>
      <c r="BB273" s="55" t="s">
        <v>888</v>
      </c>
      <c r="BC273" s="55" t="s">
        <v>270</v>
      </c>
      <c r="BD273" s="55" t="s">
        <v>8374</v>
      </c>
      <c r="BE273" s="56" t="s">
        <v>889</v>
      </c>
      <c r="BF273" s="56" t="s">
        <v>272</v>
      </c>
      <c r="BG273" s="56" t="s">
        <v>272</v>
      </c>
      <c r="BH273" s="56" t="s">
        <v>890</v>
      </c>
      <c r="BI273" s="103">
        <v>9.9999999999999995E-7</v>
      </c>
      <c r="BJ273" s="103">
        <v>0.08</v>
      </c>
      <c r="BK273" s="56"/>
      <c r="BL273" s="103">
        <f t="shared" si="87"/>
        <v>4.6370416846478135E-2</v>
      </c>
      <c r="BM273" s="56" t="s">
        <v>891</v>
      </c>
      <c r="BN273" s="162"/>
      <c r="BO273" s="162"/>
      <c r="BP273" s="162"/>
      <c r="BQ273" s="162"/>
      <c r="BR273" s="162"/>
      <c r="BS273" s="56">
        <v>1.5380611171211632E-2</v>
      </c>
      <c r="BT273" s="162"/>
      <c r="BU273" s="158"/>
      <c r="BV273" s="162"/>
      <c r="BW273" s="162"/>
      <c r="BX273" s="162"/>
      <c r="BY273" s="162"/>
      <c r="BZ273" s="162"/>
      <c r="CA273" s="162"/>
      <c r="CB273" s="162"/>
      <c r="CC273" s="56"/>
      <c r="CD273" s="56"/>
      <c r="CE273" s="56"/>
      <c r="CF273" s="56"/>
      <c r="CG273" s="56"/>
      <c r="CH273" s="56"/>
      <c r="CI273" s="103">
        <f t="shared" si="93"/>
        <v>1.5380611171211632E-2</v>
      </c>
      <c r="CJ273" s="103">
        <f t="shared" si="94"/>
        <v>-1.8130264068615678</v>
      </c>
      <c r="CK273" s="57">
        <f t="shared" si="96"/>
        <v>0.57963021058097663</v>
      </c>
      <c r="CL273" s="160">
        <f t="shared" si="78"/>
        <v>3.014861784769066</v>
      </c>
      <c r="CM273" s="160">
        <v>-1.654629244018496</v>
      </c>
      <c r="CN273" s="160">
        <f t="shared" si="100"/>
        <v>3.6117628866508711</v>
      </c>
      <c r="CO273" s="55" t="s">
        <v>892</v>
      </c>
      <c r="CP273" s="55" t="s">
        <v>893</v>
      </c>
      <c r="CQ273" s="149">
        <v>-1.4646833158727159</v>
      </c>
      <c r="CR273" s="349">
        <f t="shared" si="101"/>
        <v>0.44839102277468462</v>
      </c>
      <c r="CS273" s="61" t="s">
        <v>539</v>
      </c>
      <c r="CT273" s="61"/>
      <c r="CU273" s="111">
        <f t="shared" si="86"/>
        <v>30.523274301343612</v>
      </c>
      <c r="CV273" s="331">
        <f t="shared" si="97"/>
        <v>5.8683326712650317</v>
      </c>
      <c r="CW273" s="326">
        <f t="shared" si="95"/>
        <v>1</v>
      </c>
      <c r="CX273" s="326" t="s">
        <v>539</v>
      </c>
      <c r="CY273" s="161" t="s">
        <v>5921</v>
      </c>
    </row>
    <row r="274" spans="1:103" ht="11.25" customHeight="1" x14ac:dyDescent="0.2">
      <c r="A274" s="72">
        <v>272</v>
      </c>
      <c r="B274" s="149">
        <v>377</v>
      </c>
      <c r="C274" s="54" t="s">
        <v>1323</v>
      </c>
      <c r="D274" s="54" t="s">
        <v>6484</v>
      </c>
      <c r="E274" s="59"/>
      <c r="F274" s="59" t="s">
        <v>1324</v>
      </c>
      <c r="G274" s="151">
        <v>300765</v>
      </c>
      <c r="H274" s="55" t="s">
        <v>1325</v>
      </c>
      <c r="I274" s="55" t="s">
        <v>8048</v>
      </c>
      <c r="J274" s="55" t="s">
        <v>1326</v>
      </c>
      <c r="K274" s="55" t="s">
        <v>637</v>
      </c>
      <c r="L274" s="55" t="s">
        <v>617</v>
      </c>
      <c r="M274" s="55" t="s">
        <v>946</v>
      </c>
      <c r="N274" s="60" t="s">
        <v>6376</v>
      </c>
      <c r="O274" s="55" t="s">
        <v>918</v>
      </c>
      <c r="P274" s="67">
        <v>3</v>
      </c>
      <c r="Q274" s="67" t="s">
        <v>6173</v>
      </c>
      <c r="R274" s="67">
        <v>1</v>
      </c>
      <c r="S274" s="67" t="s">
        <v>6173</v>
      </c>
      <c r="T274" s="56">
        <v>380.78</v>
      </c>
      <c r="U274" s="103">
        <v>3.9392825253427178E-3</v>
      </c>
      <c r="V274" s="103">
        <v>0.70040443300593525</v>
      </c>
      <c r="W274" s="103">
        <v>15.848931924611124</v>
      </c>
      <c r="X274" s="103">
        <v>3.9392825253427178E-3</v>
      </c>
      <c r="Y274" s="162">
        <v>7</v>
      </c>
      <c r="Z274" s="56">
        <v>1.6</v>
      </c>
      <c r="AA274" s="56">
        <v>1.38</v>
      </c>
      <c r="AB274" s="56">
        <v>2.33</v>
      </c>
      <c r="AC274" s="56">
        <v>0.77559999999999996</v>
      </c>
      <c r="AD274" s="56">
        <v>2.19</v>
      </c>
      <c r="AE274" s="56">
        <v>1.86</v>
      </c>
      <c r="AF274" s="56">
        <f t="shared" si="92"/>
        <v>1.38</v>
      </c>
      <c r="AG274" s="57">
        <v>2.33</v>
      </c>
      <c r="AH274" s="103">
        <v>5.4499999999999998E-10</v>
      </c>
      <c r="AI274" s="103">
        <v>6.5099999999999997E-5</v>
      </c>
      <c r="AJ274" s="62">
        <f t="shared" si="98"/>
        <v>-7.652169824036009</v>
      </c>
      <c r="AK274" s="62">
        <f t="shared" si="98"/>
        <v>-2.5749853377444598</v>
      </c>
      <c r="AL274" s="62">
        <f t="shared" si="99"/>
        <v>-2.5749853377444598</v>
      </c>
      <c r="AM274" s="62">
        <v>-11.466990000000003</v>
      </c>
      <c r="AN274" s="154">
        <v>-5.81</v>
      </c>
      <c r="AO274" s="410"/>
      <c r="AP274" s="410"/>
      <c r="AQ274" s="154" t="s">
        <v>6315</v>
      </c>
      <c r="AR274" s="154" t="s">
        <v>6315</v>
      </c>
      <c r="AS274" s="149" t="s">
        <v>6</v>
      </c>
      <c r="AT274" s="58" t="s">
        <v>266</v>
      </c>
      <c r="AU274" s="56">
        <v>8</v>
      </c>
      <c r="AV274" s="56">
        <v>144</v>
      </c>
      <c r="AW274" s="56">
        <v>120</v>
      </c>
      <c r="AX274" s="56">
        <v>26</v>
      </c>
      <c r="AY274" s="56" t="s">
        <v>267</v>
      </c>
      <c r="AZ274" s="56" t="s">
        <v>268</v>
      </c>
      <c r="BA274" s="56">
        <v>2</v>
      </c>
      <c r="BB274" s="55" t="s">
        <v>888</v>
      </c>
      <c r="BC274" s="55" t="s">
        <v>270</v>
      </c>
      <c r="BD274" s="55" t="s">
        <v>8374</v>
      </c>
      <c r="BE274" s="56" t="s">
        <v>889</v>
      </c>
      <c r="BF274" s="56" t="s">
        <v>272</v>
      </c>
      <c r="BG274" s="56" t="s">
        <v>272</v>
      </c>
      <c r="BH274" s="56" t="s">
        <v>890</v>
      </c>
      <c r="BI274" s="103">
        <v>9.9999999999999995E-7</v>
      </c>
      <c r="BJ274" s="103">
        <v>0.08</v>
      </c>
      <c r="BK274" s="56"/>
      <c r="BL274" s="103">
        <f t="shared" si="87"/>
        <v>1.8786245784241389</v>
      </c>
      <c r="BM274" s="56" t="s">
        <v>891</v>
      </c>
      <c r="BN274" s="162"/>
      <c r="BO274" s="162"/>
      <c r="BP274" s="162"/>
      <c r="BQ274" s="162"/>
      <c r="BR274" s="162"/>
      <c r="BS274" s="56">
        <v>1.5380611171211632E-2</v>
      </c>
      <c r="BT274" s="162"/>
      <c r="BU274" s="158"/>
      <c r="BV274" s="162"/>
      <c r="BW274" s="162"/>
      <c r="BX274" s="162"/>
      <c r="BY274" s="162"/>
      <c r="BZ274" s="162"/>
      <c r="CA274" s="162"/>
      <c r="CB274" s="162"/>
      <c r="CC274" s="56"/>
      <c r="CD274" s="56"/>
      <c r="CE274" s="56"/>
      <c r="CF274" s="56"/>
      <c r="CG274" s="56"/>
      <c r="CH274" s="56"/>
      <c r="CI274" s="103">
        <f t="shared" si="93"/>
        <v>1.5380611171211632E-2</v>
      </c>
      <c r="CJ274" s="103">
        <f t="shared" si="94"/>
        <v>-1.8130264068615678</v>
      </c>
      <c r="CK274" s="57">
        <f t="shared" si="96"/>
        <v>23.482807230301734</v>
      </c>
      <c r="CL274" s="160">
        <f t="shared" si="78"/>
        <v>122.14238806975492</v>
      </c>
      <c r="CM274" s="160">
        <v>-3.2607556235496347</v>
      </c>
      <c r="CN274" s="160">
        <f t="shared" si="100"/>
        <v>145.82957514652074</v>
      </c>
      <c r="CO274" s="55" t="s">
        <v>892</v>
      </c>
      <c r="CP274" s="55" t="s">
        <v>893</v>
      </c>
      <c r="CQ274" s="149">
        <v>-2.976878918948791</v>
      </c>
      <c r="CR274" s="349">
        <f t="shared" si="101"/>
        <v>14.583189260047913</v>
      </c>
      <c r="CS274" s="61" t="s">
        <v>539</v>
      </c>
      <c r="CT274" s="61"/>
      <c r="CU274" s="111">
        <f t="shared" si="86"/>
        <v>0.25612002549781604</v>
      </c>
      <c r="CV274" s="331">
        <f t="shared" si="97"/>
        <v>4.9241031566783972E-2</v>
      </c>
      <c r="CW274" s="326">
        <f t="shared" si="95"/>
        <v>0</v>
      </c>
      <c r="CX274" s="326" t="s">
        <v>539</v>
      </c>
      <c r="CY274" s="161" t="s">
        <v>5921</v>
      </c>
    </row>
    <row r="275" spans="1:103" ht="11.25" customHeight="1" x14ac:dyDescent="0.2">
      <c r="A275" s="72">
        <v>273</v>
      </c>
      <c r="B275" s="149">
        <v>398</v>
      </c>
      <c r="C275" s="54" t="s">
        <v>1366</v>
      </c>
      <c r="D275" s="54" t="s">
        <v>6497</v>
      </c>
      <c r="E275" s="59"/>
      <c r="F275" s="59" t="s">
        <v>1367</v>
      </c>
      <c r="G275" s="151">
        <v>2310170</v>
      </c>
      <c r="H275" s="55" t="s">
        <v>1368</v>
      </c>
      <c r="I275" s="55" t="s">
        <v>7944</v>
      </c>
      <c r="J275" s="55" t="s">
        <v>1369</v>
      </c>
      <c r="K275" s="55" t="s">
        <v>1370</v>
      </c>
      <c r="L275" s="55" t="s">
        <v>617</v>
      </c>
      <c r="M275" s="55" t="s">
        <v>946</v>
      </c>
      <c r="N275" s="60" t="s">
        <v>6376</v>
      </c>
      <c r="O275" s="55" t="s">
        <v>918</v>
      </c>
      <c r="P275" s="67">
        <v>3</v>
      </c>
      <c r="Q275" s="67" t="s">
        <v>6173</v>
      </c>
      <c r="R275" s="67">
        <v>1</v>
      </c>
      <c r="S275" s="67" t="s">
        <v>6173</v>
      </c>
      <c r="T275" s="56">
        <v>367.81</v>
      </c>
      <c r="U275" s="103">
        <v>8.2923248416301894E-3</v>
      </c>
      <c r="V275" s="103">
        <v>2.3871020363774773E-3</v>
      </c>
      <c r="W275" s="103">
        <v>1.5135612484362064E-3</v>
      </c>
      <c r="X275" s="103">
        <v>8.2923248416301894E-3</v>
      </c>
      <c r="Y275" s="162">
        <v>7</v>
      </c>
      <c r="Z275" s="56">
        <v>4.29</v>
      </c>
      <c r="AA275" s="56">
        <v>4.38</v>
      </c>
      <c r="AB275" s="56">
        <v>4.49</v>
      </c>
      <c r="AC275" s="56">
        <v>0.79679999999999995</v>
      </c>
      <c r="AD275" s="56">
        <v>4.43</v>
      </c>
      <c r="AE275" s="56">
        <v>4.28</v>
      </c>
      <c r="AF275" s="56">
        <f t="shared" si="92"/>
        <v>4.38</v>
      </c>
      <c r="AG275" s="57">
        <v>4.92</v>
      </c>
      <c r="AH275" s="103">
        <v>3.9400000000000001E-7</v>
      </c>
      <c r="AI275" s="103"/>
      <c r="AJ275" s="62">
        <f t="shared" ref="AJ275:AJ295" si="102">LOG10(AH275*1000/(0.08206*298.15))</f>
        <v>-4.7930701044870778</v>
      </c>
      <c r="AK275" s="62"/>
      <c r="AL275" s="62">
        <f t="shared" si="99"/>
        <v>-4.7930701044870778</v>
      </c>
      <c r="AM275" s="62">
        <v>-14.334989999999999</v>
      </c>
      <c r="AN275" s="154">
        <v>-5.78</v>
      </c>
      <c r="AO275" s="410"/>
      <c r="AP275" s="410">
        <v>-1.75</v>
      </c>
      <c r="AQ275" s="154" t="s">
        <v>6314</v>
      </c>
      <c r="AR275" s="154" t="s">
        <v>6312</v>
      </c>
      <c r="AS275" s="149" t="s">
        <v>6</v>
      </c>
      <c r="AT275" s="58" t="s">
        <v>266</v>
      </c>
      <c r="AU275" s="56">
        <v>8</v>
      </c>
      <c r="AV275" s="56">
        <v>144</v>
      </c>
      <c r="AW275" s="56">
        <v>120</v>
      </c>
      <c r="AX275" s="56">
        <v>26</v>
      </c>
      <c r="AY275" s="56" t="s">
        <v>267</v>
      </c>
      <c r="AZ275" s="56" t="s">
        <v>268</v>
      </c>
      <c r="BA275" s="56">
        <v>2</v>
      </c>
      <c r="BB275" s="55" t="s">
        <v>888</v>
      </c>
      <c r="BC275" s="55" t="s">
        <v>270</v>
      </c>
      <c r="BD275" s="55" t="s">
        <v>8374</v>
      </c>
      <c r="BE275" s="56" t="s">
        <v>889</v>
      </c>
      <c r="BF275" s="56" t="s">
        <v>272</v>
      </c>
      <c r="BG275" s="56" t="s">
        <v>272</v>
      </c>
      <c r="BH275" s="56" t="s">
        <v>890</v>
      </c>
      <c r="BI275" s="103">
        <v>9.9999999999999995E-7</v>
      </c>
      <c r="BJ275" s="103">
        <v>0.08</v>
      </c>
      <c r="BK275" s="56"/>
      <c r="BL275" s="103">
        <f t="shared" si="87"/>
        <v>7.2102612361725589E-3</v>
      </c>
      <c r="BM275" s="56" t="s">
        <v>891</v>
      </c>
      <c r="BN275" s="162"/>
      <c r="BO275" s="162"/>
      <c r="BP275" s="162"/>
      <c r="BQ275" s="162"/>
      <c r="BR275" s="162"/>
      <c r="BS275" s="56">
        <v>1.5380611171211632E-2</v>
      </c>
      <c r="BT275" s="162"/>
      <c r="BU275" s="158"/>
      <c r="BV275" s="162"/>
      <c r="BW275" s="162"/>
      <c r="BX275" s="162"/>
      <c r="BY275" s="162"/>
      <c r="BZ275" s="162"/>
      <c r="CA275" s="162"/>
      <c r="CB275" s="162"/>
      <c r="CC275" s="56"/>
      <c r="CD275" s="56"/>
      <c r="CE275" s="56"/>
      <c r="CF275" s="56"/>
      <c r="CG275" s="56"/>
      <c r="CH275" s="56"/>
      <c r="CI275" s="103">
        <f t="shared" si="93"/>
        <v>1.5380611171211632E-2</v>
      </c>
      <c r="CJ275" s="103">
        <f t="shared" si="94"/>
        <v>-1.8130264068615678</v>
      </c>
      <c r="CK275" s="57">
        <f t="shared" si="96"/>
        <v>9.0128265452156978E-2</v>
      </c>
      <c r="CL275" s="160">
        <f t="shared" si="78"/>
        <v>0.46878899387744932</v>
      </c>
      <c r="CM275" s="160">
        <v>-3.6659668645273569</v>
      </c>
      <c r="CN275" s="160">
        <f t="shared" si="100"/>
        <v>370.72924908946715</v>
      </c>
      <c r="CO275" s="55" t="s">
        <v>892</v>
      </c>
      <c r="CP275" s="55" t="s">
        <v>893</v>
      </c>
      <c r="CQ275" s="149">
        <v>-3.3441617153359351</v>
      </c>
      <c r="CR275" s="349">
        <f t="shared" si="101"/>
        <v>33.973110247974539</v>
      </c>
      <c r="CS275" s="61" t="s">
        <v>539</v>
      </c>
      <c r="CT275" s="61"/>
      <c r="CU275" s="111">
        <f t="shared" si="86"/>
        <v>0.53914143913547408</v>
      </c>
      <c r="CV275" s="331">
        <f t="shared" si="97"/>
        <v>0.10365406052037736</v>
      </c>
      <c r="CW275" s="326">
        <f t="shared" si="95"/>
        <v>0</v>
      </c>
      <c r="CX275" s="326" t="s">
        <v>539</v>
      </c>
      <c r="CY275" s="161" t="s">
        <v>5921</v>
      </c>
    </row>
    <row r="276" spans="1:103" ht="11.25" customHeight="1" x14ac:dyDescent="0.2">
      <c r="A276" s="72">
        <v>274</v>
      </c>
      <c r="B276" s="149">
        <v>198</v>
      </c>
      <c r="C276" s="54" t="s">
        <v>968</v>
      </c>
      <c r="D276" s="54" t="s">
        <v>6489</v>
      </c>
      <c r="E276" s="59"/>
      <c r="F276" s="59" t="s">
        <v>969</v>
      </c>
      <c r="G276" s="151">
        <v>741582</v>
      </c>
      <c r="H276" s="55" t="s">
        <v>970</v>
      </c>
      <c r="I276" s="55" t="s">
        <v>970</v>
      </c>
      <c r="J276" s="55" t="s">
        <v>971</v>
      </c>
      <c r="K276" s="55" t="s">
        <v>951</v>
      </c>
      <c r="L276" s="55" t="s">
        <v>5948</v>
      </c>
      <c r="M276" s="55" t="s">
        <v>946</v>
      </c>
      <c r="N276" s="60" t="s">
        <v>6376</v>
      </c>
      <c r="O276" s="55" t="s">
        <v>5947</v>
      </c>
      <c r="P276" s="67">
        <v>3</v>
      </c>
      <c r="Q276" s="67" t="s">
        <v>6173</v>
      </c>
      <c r="R276" s="67">
        <v>1</v>
      </c>
      <c r="S276" s="67" t="s">
        <v>6173</v>
      </c>
      <c r="T276" s="56">
        <v>397.52</v>
      </c>
      <c r="U276" s="103">
        <v>6.288991748842826E-2</v>
      </c>
      <c r="V276" s="103">
        <v>2.0670658080096599E-3</v>
      </c>
      <c r="W276" s="103">
        <v>1.8197008586099819E-2</v>
      </c>
      <c r="X276" s="103">
        <v>6.288991748842826E-2</v>
      </c>
      <c r="Y276" s="162">
        <v>6.98</v>
      </c>
      <c r="Z276" s="56">
        <v>4.12</v>
      </c>
      <c r="AA276" s="56">
        <v>4.2</v>
      </c>
      <c r="AB276" s="56">
        <v>4.09</v>
      </c>
      <c r="AC276" s="56">
        <v>0.82809999999999995</v>
      </c>
      <c r="AD276" s="56">
        <v>4.12</v>
      </c>
      <c r="AE276" s="56">
        <v>4.22</v>
      </c>
      <c r="AF276" s="56">
        <f t="shared" si="92"/>
        <v>4.2</v>
      </c>
      <c r="AG276" s="57">
        <v>4</v>
      </c>
      <c r="AH276" s="103">
        <v>3.2799999999999998E-9</v>
      </c>
      <c r="AI276" s="103">
        <v>9.1499999999999992E-9</v>
      </c>
      <c r="AJ276" s="62">
        <f t="shared" si="102"/>
        <v>-6.8726924826009723</v>
      </c>
      <c r="AK276" s="62">
        <f>LOG10(AI276*1000/(0.08206*298.15))</f>
        <v>-6.4271452322462039</v>
      </c>
      <c r="AL276" s="62">
        <f t="shared" si="99"/>
        <v>-6.4271452322462039</v>
      </c>
      <c r="AM276" s="62">
        <v>-17.95234</v>
      </c>
      <c r="AN276" s="154">
        <v>-14.8</v>
      </c>
      <c r="AO276" s="410">
        <v>10.210000000000001</v>
      </c>
      <c r="AP276" s="410">
        <v>-7.16</v>
      </c>
      <c r="AQ276" s="154" t="s">
        <v>6313</v>
      </c>
      <c r="AR276" s="154" t="s">
        <v>6313</v>
      </c>
      <c r="AS276" s="149" t="s">
        <v>6</v>
      </c>
      <c r="AT276" s="58" t="s">
        <v>266</v>
      </c>
      <c r="AU276" s="56">
        <v>8</v>
      </c>
      <c r="AV276" s="56">
        <v>144</v>
      </c>
      <c r="AW276" s="56">
        <v>120</v>
      </c>
      <c r="AX276" s="56">
        <v>26</v>
      </c>
      <c r="AY276" s="56" t="s">
        <v>267</v>
      </c>
      <c r="AZ276" s="56" t="s">
        <v>268</v>
      </c>
      <c r="BA276" s="56">
        <v>6</v>
      </c>
      <c r="BB276" s="55" t="s">
        <v>888</v>
      </c>
      <c r="BC276" s="55" t="s">
        <v>270</v>
      </c>
      <c r="BD276" s="55" t="s">
        <v>8374</v>
      </c>
      <c r="BE276" s="56" t="s">
        <v>889</v>
      </c>
      <c r="BF276" s="56" t="s">
        <v>272</v>
      </c>
      <c r="BG276" s="56" t="s">
        <v>272</v>
      </c>
      <c r="BH276" s="56" t="s">
        <v>890</v>
      </c>
      <c r="BI276" s="103">
        <v>9.9999999999999995E-7</v>
      </c>
      <c r="BJ276" s="103">
        <v>0.08</v>
      </c>
      <c r="BK276" s="56"/>
      <c r="BL276" s="103">
        <f t="shared" si="87"/>
        <v>1.0247737682923289E-2</v>
      </c>
      <c r="BM276" s="56" t="s">
        <v>891</v>
      </c>
      <c r="BN276" s="162"/>
      <c r="BO276" s="162"/>
      <c r="BP276" s="162"/>
      <c r="BQ276" s="162"/>
      <c r="BR276" s="162"/>
      <c r="BS276" s="56">
        <v>1.5380611171211632E-2</v>
      </c>
      <c r="BT276" s="162"/>
      <c r="BU276" s="158"/>
      <c r="BV276" s="162"/>
      <c r="BW276" s="162"/>
      <c r="BX276" s="162"/>
      <c r="BY276" s="162"/>
      <c r="BZ276" s="162"/>
      <c r="CA276" s="162"/>
      <c r="CB276" s="162"/>
      <c r="CC276" s="56"/>
      <c r="CD276" s="56"/>
      <c r="CE276" s="56"/>
      <c r="CF276" s="56"/>
      <c r="CG276" s="56"/>
      <c r="CH276" s="56"/>
      <c r="CI276" s="103">
        <f t="shared" si="93"/>
        <v>1.5380611171211632E-2</v>
      </c>
      <c r="CJ276" s="103">
        <f t="shared" si="94"/>
        <v>-1.8130264068615678</v>
      </c>
      <c r="CK276" s="57">
        <f t="shared" si="96"/>
        <v>0.1280967210365411</v>
      </c>
      <c r="CL276" s="160">
        <f t="shared" si="78"/>
        <v>0.66627636371851706</v>
      </c>
      <c r="CM276" s="160">
        <v>-2.4976812981155492</v>
      </c>
      <c r="CN276" s="160">
        <f t="shared" si="100"/>
        <v>25.163513787772633</v>
      </c>
      <c r="CO276" s="55" t="s">
        <v>892</v>
      </c>
      <c r="CP276" s="55" t="s">
        <v>893</v>
      </c>
      <c r="CQ276" s="149">
        <v>-2.481207614274946</v>
      </c>
      <c r="CR276" s="349">
        <f t="shared" si="101"/>
        <v>4.6578039775358517</v>
      </c>
      <c r="CS276" s="61" t="s">
        <v>539</v>
      </c>
      <c r="CT276" s="61"/>
      <c r="CU276" s="111">
        <f t="shared" si="86"/>
        <v>4.0889088728893475</v>
      </c>
      <c r="CV276" s="331">
        <f t="shared" si="97"/>
        <v>0.78612396860535327</v>
      </c>
      <c r="CW276" s="326">
        <f t="shared" si="95"/>
        <v>1</v>
      </c>
      <c r="CX276" s="326" t="s">
        <v>539</v>
      </c>
      <c r="CY276" s="161" t="s">
        <v>5921</v>
      </c>
    </row>
    <row r="277" spans="1:103" ht="11.25" customHeight="1" x14ac:dyDescent="0.2">
      <c r="A277" s="72">
        <v>275</v>
      </c>
      <c r="B277" s="149">
        <v>1160</v>
      </c>
      <c r="C277" s="54" t="s">
        <v>3205</v>
      </c>
      <c r="D277" s="54"/>
      <c r="E277" s="59"/>
      <c r="F277" s="59" t="s">
        <v>3206</v>
      </c>
      <c r="G277" s="151">
        <v>52806538</v>
      </c>
      <c r="H277" s="55" t="s">
        <v>3207</v>
      </c>
      <c r="I277" s="55" t="s">
        <v>8320</v>
      </c>
      <c r="J277" s="55" t="s">
        <v>3208</v>
      </c>
      <c r="K277" s="55" t="s">
        <v>471</v>
      </c>
      <c r="L277" s="55"/>
      <c r="M277" s="55"/>
      <c r="N277" s="60"/>
      <c r="O277" s="55"/>
      <c r="P277" s="67">
        <v>3</v>
      </c>
      <c r="Q277" s="67" t="s">
        <v>6173</v>
      </c>
      <c r="R277" s="67">
        <v>1</v>
      </c>
      <c r="S277" s="67" t="s">
        <v>6173</v>
      </c>
      <c r="T277" s="56">
        <v>292.20999999999998</v>
      </c>
      <c r="U277" s="103"/>
      <c r="V277" s="103">
        <v>9.393929023647378E-2</v>
      </c>
      <c r="W277" s="103">
        <v>0.66069344800759555</v>
      </c>
      <c r="X277" s="103">
        <f>IF(W277=0,V277,W277)</f>
        <v>0.66069344800759555</v>
      </c>
      <c r="Y277" s="162">
        <v>7</v>
      </c>
      <c r="Z277" s="56">
        <v>2.8</v>
      </c>
      <c r="AA277" s="56">
        <v>2.7</v>
      </c>
      <c r="AB277" s="56">
        <v>2.35</v>
      </c>
      <c r="AC277" s="56">
        <v>0.85829999999999995</v>
      </c>
      <c r="AD277" s="56">
        <v>2.52</v>
      </c>
      <c r="AE277" s="56">
        <v>3.16</v>
      </c>
      <c r="AF277" s="56">
        <f t="shared" si="92"/>
        <v>2.7</v>
      </c>
      <c r="AG277" s="57">
        <v>1.61</v>
      </c>
      <c r="AH277" s="103">
        <v>5.8200000000000003E-11</v>
      </c>
      <c r="AI277" s="103"/>
      <c r="AJ277" s="62">
        <f t="shared" si="102"/>
        <v>-8.6236433416627634</v>
      </c>
      <c r="AK277" s="62"/>
      <c r="AL277" s="62">
        <f t="shared" si="99"/>
        <v>-8.6236433416627634</v>
      </c>
      <c r="AM277" s="62">
        <v>-13.451649999999999</v>
      </c>
      <c r="AN277" s="154">
        <v>-8.6</v>
      </c>
      <c r="AO277" s="410">
        <v>12.87</v>
      </c>
      <c r="AP277" s="410">
        <v>-4.5999999999999996</v>
      </c>
      <c r="AQ277" s="56" t="s">
        <v>6311</v>
      </c>
      <c r="AR277" s="56" t="s">
        <v>6311</v>
      </c>
      <c r="AS277" s="155"/>
      <c r="AT277" s="58" t="s">
        <v>266</v>
      </c>
      <c r="AU277" s="56">
        <v>6</v>
      </c>
      <c r="AV277" s="56">
        <v>120</v>
      </c>
      <c r="AW277" s="56">
        <v>114</v>
      </c>
      <c r="AX277" s="56">
        <v>28</v>
      </c>
      <c r="AY277" s="56" t="s">
        <v>8728</v>
      </c>
      <c r="AZ277" s="56" t="s">
        <v>1563</v>
      </c>
      <c r="BA277" s="56">
        <v>32</v>
      </c>
      <c r="BB277" s="55" t="s">
        <v>2485</v>
      </c>
      <c r="BC277" s="55" t="s">
        <v>8726</v>
      </c>
      <c r="BD277" s="55" t="s">
        <v>8374</v>
      </c>
      <c r="BE277" s="56" t="s">
        <v>2449</v>
      </c>
      <c r="BF277" s="56" t="s">
        <v>272</v>
      </c>
      <c r="BG277" s="56" t="s">
        <v>272</v>
      </c>
      <c r="BH277" s="56" t="s">
        <v>2486</v>
      </c>
      <c r="BI277" s="103">
        <v>6.3999999999999997E-6</v>
      </c>
      <c r="BJ277" s="103">
        <v>6.4000000000000001E-2</v>
      </c>
      <c r="BK277" s="56"/>
      <c r="BL277" s="103">
        <f t="shared" si="87"/>
        <v>0.15707967715636428</v>
      </c>
      <c r="BM277" s="56" t="s">
        <v>2487</v>
      </c>
      <c r="BN277" s="56"/>
      <c r="BO277" s="56"/>
      <c r="BP277" s="56"/>
      <c r="BQ277" s="56"/>
      <c r="BR277" s="55">
        <v>1.0119289E-2</v>
      </c>
      <c r="BS277" s="56"/>
      <c r="BT277" s="56"/>
      <c r="BU277" s="158"/>
      <c r="BV277" s="56"/>
      <c r="BW277" s="56"/>
      <c r="BX277" s="56"/>
      <c r="BY277" s="56"/>
      <c r="BZ277" s="56"/>
      <c r="CA277" s="56"/>
      <c r="CB277" s="56"/>
      <c r="CC277" s="56"/>
      <c r="CD277" s="56"/>
      <c r="CE277" s="56"/>
      <c r="CF277" s="56"/>
      <c r="CG277" s="56"/>
      <c r="CH277" s="56"/>
      <c r="CI277" s="103">
        <f t="shared" si="93"/>
        <v>1.0119289E-2</v>
      </c>
      <c r="CJ277" s="103">
        <f t="shared" si="94"/>
        <v>-1.9948500007594832</v>
      </c>
      <c r="CK277" s="57">
        <f t="shared" si="96"/>
        <v>2.4543699555681919</v>
      </c>
      <c r="CL277" s="160">
        <f t="shared" si="78"/>
        <v>15.522797812807232</v>
      </c>
      <c r="CM277" s="160"/>
      <c r="CN277" s="160"/>
      <c r="CO277" s="55" t="s">
        <v>2488</v>
      </c>
      <c r="CP277" s="55" t="s">
        <v>2489</v>
      </c>
      <c r="CQ277" s="149" t="s">
        <v>272</v>
      </c>
      <c r="CR277" s="349"/>
      <c r="CS277" s="61" t="s">
        <v>539</v>
      </c>
      <c r="CT277" s="61"/>
      <c r="CU277" s="111">
        <f t="shared" si="86"/>
        <v>65.290500944048105</v>
      </c>
      <c r="CV277" s="331">
        <f t="shared" si="97"/>
        <v>10.32333512511868</v>
      </c>
      <c r="CW277" s="326">
        <f t="shared" si="95"/>
        <v>1</v>
      </c>
      <c r="CX277" s="326"/>
      <c r="CY277" s="161" t="s">
        <v>5921</v>
      </c>
    </row>
    <row r="278" spans="1:103" ht="11.25" customHeight="1" x14ac:dyDescent="0.2">
      <c r="A278" s="72">
        <v>276</v>
      </c>
      <c r="B278" s="149">
        <v>403</v>
      </c>
      <c r="C278" s="54" t="s">
        <v>1379</v>
      </c>
      <c r="D278" s="54" t="s">
        <v>6515</v>
      </c>
      <c r="E278" s="59"/>
      <c r="F278" s="59" t="s">
        <v>1380</v>
      </c>
      <c r="G278" s="151">
        <v>29232937</v>
      </c>
      <c r="H278" s="55" t="s">
        <v>1381</v>
      </c>
      <c r="I278" s="55" t="s">
        <v>1381</v>
      </c>
      <c r="J278" s="55" t="s">
        <v>1382</v>
      </c>
      <c r="K278" s="55" t="s">
        <v>628</v>
      </c>
      <c r="L278" s="55" t="s">
        <v>617</v>
      </c>
      <c r="M278" s="55" t="s">
        <v>946</v>
      </c>
      <c r="N278" s="60" t="s">
        <v>6376</v>
      </c>
      <c r="O278" s="55" t="s">
        <v>918</v>
      </c>
      <c r="P278" s="67">
        <v>3</v>
      </c>
      <c r="Q278" s="67" t="s">
        <v>6173</v>
      </c>
      <c r="R278" s="67">
        <v>1</v>
      </c>
      <c r="S278" s="67" t="s">
        <v>6173</v>
      </c>
      <c r="T278" s="56">
        <v>305.33</v>
      </c>
      <c r="U278" s="103">
        <v>2.8166246356401272E-2</v>
      </c>
      <c r="V278" s="103">
        <v>9.6911538335571357E-3</v>
      </c>
      <c r="W278" s="103">
        <v>2.5703957827688622E-2</v>
      </c>
      <c r="X278" s="103">
        <v>2.8166246356401272E-2</v>
      </c>
      <c r="Y278" s="162">
        <v>7.03</v>
      </c>
      <c r="Z278" s="56">
        <v>4</v>
      </c>
      <c r="AA278" s="56">
        <v>4.2</v>
      </c>
      <c r="AB278" s="56">
        <v>3.91</v>
      </c>
      <c r="AC278" s="56">
        <v>0.879</v>
      </c>
      <c r="AD278" s="56">
        <v>3.93</v>
      </c>
      <c r="AE278" s="56">
        <v>4</v>
      </c>
      <c r="AF278" s="56">
        <f t="shared" si="92"/>
        <v>4.2</v>
      </c>
      <c r="AG278" s="57">
        <v>3.79</v>
      </c>
      <c r="AH278" s="103">
        <v>2.5299999999999999E-6</v>
      </c>
      <c r="AI278" s="103">
        <v>7.0100000000000004E-7</v>
      </c>
      <c r="AJ278" s="62">
        <f t="shared" si="102"/>
        <v>-3.985445805136834</v>
      </c>
      <c r="AK278" s="62">
        <f>LOG10(AI278*1000/(0.08206*298.15))</f>
        <v>-4.5428483083459934</v>
      </c>
      <c r="AL278" s="62">
        <f t="shared" si="99"/>
        <v>-4.5428483083459934</v>
      </c>
      <c r="AM278" s="62">
        <v>-12.844440000000001</v>
      </c>
      <c r="AN278" s="154">
        <v>-4.0199999999999996</v>
      </c>
      <c r="AO278" s="410"/>
      <c r="AP278" s="410">
        <v>3.74</v>
      </c>
      <c r="AQ278" s="154" t="s">
        <v>6312</v>
      </c>
      <c r="AR278" s="154" t="s">
        <v>6312</v>
      </c>
      <c r="AS278" s="149" t="s">
        <v>6</v>
      </c>
      <c r="AT278" s="58" t="s">
        <v>266</v>
      </c>
      <c r="AU278" s="56">
        <v>8</v>
      </c>
      <c r="AV278" s="56">
        <v>144</v>
      </c>
      <c r="AW278" s="56">
        <v>120</v>
      </c>
      <c r="AX278" s="56">
        <v>26</v>
      </c>
      <c r="AY278" s="56" t="s">
        <v>267</v>
      </c>
      <c r="AZ278" s="56" t="s">
        <v>268</v>
      </c>
      <c r="BA278" s="56">
        <v>2</v>
      </c>
      <c r="BB278" s="55" t="s">
        <v>888</v>
      </c>
      <c r="BC278" s="55" t="s">
        <v>270</v>
      </c>
      <c r="BD278" s="55" t="s">
        <v>8374</v>
      </c>
      <c r="BE278" s="56" t="s">
        <v>889</v>
      </c>
      <c r="BF278" s="56" t="s">
        <v>272</v>
      </c>
      <c r="BG278" s="56" t="s">
        <v>272</v>
      </c>
      <c r="BH278" s="56" t="s">
        <v>890</v>
      </c>
      <c r="BI278" s="103">
        <v>9.9999999999999995E-7</v>
      </c>
      <c r="BJ278" s="103">
        <v>0.08</v>
      </c>
      <c r="BK278" s="56"/>
      <c r="BL278" s="103">
        <f t="shared" si="87"/>
        <v>1.3134090365327335E-2</v>
      </c>
      <c r="BM278" s="56" t="s">
        <v>891</v>
      </c>
      <c r="BN278" s="162"/>
      <c r="BO278" s="162"/>
      <c r="BP278" s="162"/>
      <c r="BQ278" s="162"/>
      <c r="BR278" s="162"/>
      <c r="BS278" s="56">
        <v>1.5380611171211632E-2</v>
      </c>
      <c r="BT278" s="162"/>
      <c r="BU278" s="158"/>
      <c r="BV278" s="162"/>
      <c r="BW278" s="162"/>
      <c r="BX278" s="162"/>
      <c r="BY278" s="162"/>
      <c r="BZ278" s="162"/>
      <c r="CA278" s="162"/>
      <c r="CB278" s="162"/>
      <c r="CC278" s="56"/>
      <c r="CD278" s="56"/>
      <c r="CE278" s="56"/>
      <c r="CF278" s="56"/>
      <c r="CG278" s="56"/>
      <c r="CH278" s="56"/>
      <c r="CI278" s="103">
        <f t="shared" si="93"/>
        <v>1.5380611171211632E-2</v>
      </c>
      <c r="CJ278" s="103">
        <f t="shared" si="94"/>
        <v>-1.8130264068615678</v>
      </c>
      <c r="CK278" s="57">
        <f t="shared" si="96"/>
        <v>0.16417612956659169</v>
      </c>
      <c r="CL278" s="160">
        <f t="shared" si="78"/>
        <v>0.85393813152957276</v>
      </c>
      <c r="CM278" s="160">
        <v>-2.6493498005474119</v>
      </c>
      <c r="CN278" s="160">
        <f>BJ278/(10^CM278)</f>
        <v>35.681227586063841</v>
      </c>
      <c r="CO278" s="55" t="s">
        <v>892</v>
      </c>
      <c r="CP278" s="55" t="s">
        <v>893</v>
      </c>
      <c r="CQ278" s="149">
        <v>-2.3534831286815225</v>
      </c>
      <c r="CR278" s="349">
        <f>10^(CJ278-CQ278)</f>
        <v>3.4710168489392728</v>
      </c>
      <c r="CS278" s="61" t="s">
        <v>539</v>
      </c>
      <c r="CT278" s="61"/>
      <c r="CU278" s="111">
        <f t="shared" si="86"/>
        <v>1.8312826481902689</v>
      </c>
      <c r="CV278" s="331">
        <f t="shared" si="97"/>
        <v>0.3520780794550159</v>
      </c>
      <c r="CW278" s="326">
        <f t="shared" si="95"/>
        <v>0</v>
      </c>
      <c r="CX278" s="326" t="s">
        <v>539</v>
      </c>
      <c r="CY278" s="161" t="s">
        <v>5921</v>
      </c>
    </row>
    <row r="279" spans="1:103" ht="11.25" customHeight="1" x14ac:dyDescent="0.2">
      <c r="A279" s="72">
        <v>277</v>
      </c>
      <c r="B279" s="149">
        <v>780</v>
      </c>
      <c r="C279" s="54" t="s">
        <v>2190</v>
      </c>
      <c r="D279" s="54"/>
      <c r="E279" s="59"/>
      <c r="F279" s="59" t="s">
        <v>2191</v>
      </c>
      <c r="G279" s="151">
        <v>53716500</v>
      </c>
      <c r="H279" s="55" t="s">
        <v>2192</v>
      </c>
      <c r="I279" s="55" t="s">
        <v>2192</v>
      </c>
      <c r="J279" s="55" t="s">
        <v>2193</v>
      </c>
      <c r="K279" s="55" t="s">
        <v>967</v>
      </c>
      <c r="L279" s="55"/>
      <c r="M279" s="55"/>
      <c r="N279" s="60"/>
      <c r="O279" s="55"/>
      <c r="P279" s="67">
        <v>3</v>
      </c>
      <c r="Q279" s="67" t="s">
        <v>6173</v>
      </c>
      <c r="R279" s="67">
        <v>1</v>
      </c>
      <c r="S279" s="67" t="s">
        <v>6173</v>
      </c>
      <c r="T279" s="56">
        <v>315.35000000000002</v>
      </c>
      <c r="U279" s="103"/>
      <c r="V279" s="103">
        <v>1.2912636752814333</v>
      </c>
      <c r="W279" s="103">
        <v>0.19498445997580452</v>
      </c>
      <c r="X279" s="103">
        <f>IF(W279=0,V279,W279)</f>
        <v>0.19498445997580452</v>
      </c>
      <c r="Y279" s="162">
        <v>6.84</v>
      </c>
      <c r="Z279" s="56">
        <v>1.63</v>
      </c>
      <c r="AA279" s="56"/>
      <c r="AB279" s="56">
        <v>1.7</v>
      </c>
      <c r="AC279" s="56">
        <v>0.77759999999999996</v>
      </c>
      <c r="AD279" s="56">
        <v>1.62</v>
      </c>
      <c r="AE279" s="56">
        <v>1.36</v>
      </c>
      <c r="AF279" s="56">
        <f t="shared" si="92"/>
        <v>1.62</v>
      </c>
      <c r="AG279" s="57">
        <v>1.59</v>
      </c>
      <c r="AH279" s="103">
        <v>5.4600000000000002E-19</v>
      </c>
      <c r="AI279" s="103"/>
      <c r="AJ279" s="62">
        <f t="shared" si="102"/>
        <v>-16.651373683607915</v>
      </c>
      <c r="AK279" s="62"/>
      <c r="AL279" s="62">
        <f t="shared" si="99"/>
        <v>-16.651373683607915</v>
      </c>
      <c r="AM279" s="62">
        <v>-24.770359999999997</v>
      </c>
      <c r="AN279" s="154">
        <v>-24.5</v>
      </c>
      <c r="AO279" s="410">
        <v>9.7899999999999991</v>
      </c>
      <c r="AP279" s="410">
        <v>4.47</v>
      </c>
      <c r="AQ279" s="56" t="s">
        <v>6311</v>
      </c>
      <c r="AR279" s="56" t="s">
        <v>6312</v>
      </c>
      <c r="AS279" s="149" t="s">
        <v>6</v>
      </c>
      <c r="AT279" s="58" t="s">
        <v>266</v>
      </c>
      <c r="AU279" s="56">
        <v>0</v>
      </c>
      <c r="AV279" s="56">
        <v>144</v>
      </c>
      <c r="AW279" s="56">
        <v>144</v>
      </c>
      <c r="AX279" s="56">
        <v>25</v>
      </c>
      <c r="AY279" s="56" t="s">
        <v>8722</v>
      </c>
      <c r="AZ279" s="56" t="s">
        <v>2175</v>
      </c>
      <c r="BA279" s="56" t="s">
        <v>8722</v>
      </c>
      <c r="BB279" s="55" t="s">
        <v>2176</v>
      </c>
      <c r="BC279" s="55" t="s">
        <v>538</v>
      </c>
      <c r="BD279" s="55"/>
      <c r="BE279" s="56" t="s">
        <v>271</v>
      </c>
      <c r="BF279" s="56" t="s">
        <v>1974</v>
      </c>
      <c r="BG279" s="56" t="s">
        <v>1974</v>
      </c>
      <c r="BH279" s="56" t="s">
        <v>2177</v>
      </c>
      <c r="BI279" s="103">
        <v>0.1</v>
      </c>
      <c r="BJ279" s="103">
        <v>10</v>
      </c>
      <c r="BK279" s="56" t="s">
        <v>2178</v>
      </c>
      <c r="BL279" s="103">
        <f t="shared" si="87"/>
        <v>1.7656190257571063</v>
      </c>
      <c r="BM279" s="56" t="s">
        <v>541</v>
      </c>
      <c r="BN279" s="56"/>
      <c r="BO279" s="56"/>
      <c r="BP279" s="56"/>
      <c r="BQ279" s="56"/>
      <c r="BR279" s="56">
        <v>2.1563342318059297E-2</v>
      </c>
      <c r="BS279" s="56"/>
      <c r="BT279" s="56"/>
      <c r="BU279" s="158"/>
      <c r="BV279" s="56"/>
      <c r="BW279" s="56"/>
      <c r="BX279" s="56"/>
      <c r="BY279" s="56"/>
      <c r="BZ279" s="56"/>
      <c r="CA279" s="56"/>
      <c r="CB279" s="56"/>
      <c r="CC279" s="56"/>
      <c r="CD279" s="56"/>
      <c r="CE279" s="56"/>
      <c r="CF279" s="56"/>
      <c r="CG279" s="56"/>
      <c r="CH279" s="56"/>
      <c r="CI279" s="103">
        <f t="shared" si="93"/>
        <v>2.1563342318059297E-2</v>
      </c>
      <c r="CJ279" s="103">
        <f t="shared" si="94"/>
        <v>-1.6662839226231023</v>
      </c>
      <c r="CK279" s="57">
        <f t="shared" si="96"/>
        <v>0.17656190257571064</v>
      </c>
      <c r="CL279" s="160">
        <f t="shared" si="78"/>
        <v>81.880582319485811</v>
      </c>
      <c r="CM279" s="160"/>
      <c r="CN279" s="160"/>
      <c r="CO279" s="55" t="s">
        <v>2179</v>
      </c>
      <c r="CP279" s="55" t="s">
        <v>2180</v>
      </c>
      <c r="CQ279" s="149" t="s">
        <v>272</v>
      </c>
      <c r="CR279" s="349"/>
      <c r="CS279" s="61" t="s">
        <v>539</v>
      </c>
      <c r="CT279" s="61" t="s">
        <v>6310</v>
      </c>
      <c r="CU279" s="111">
        <f t="shared" si="86"/>
        <v>9.0424043313779361</v>
      </c>
      <c r="CV279" s="331">
        <f t="shared" si="97"/>
        <v>1.9498445997580452E-2</v>
      </c>
      <c r="CW279" s="326">
        <f t="shared" si="95"/>
        <v>1</v>
      </c>
      <c r="CX279" s="326" t="s">
        <v>539</v>
      </c>
      <c r="CY279" s="161" t="s">
        <v>5921</v>
      </c>
    </row>
    <row r="280" spans="1:103" ht="11.25" customHeight="1" x14ac:dyDescent="0.2">
      <c r="A280" s="72">
        <v>278</v>
      </c>
      <c r="B280" s="149">
        <v>777</v>
      </c>
      <c r="C280" s="54" t="s">
        <v>2170</v>
      </c>
      <c r="D280" s="54"/>
      <c r="E280" s="59"/>
      <c r="F280" s="59" t="s">
        <v>2171</v>
      </c>
      <c r="G280" s="151">
        <v>54965218</v>
      </c>
      <c r="H280" s="55" t="s">
        <v>2172</v>
      </c>
      <c r="I280" s="55" t="s">
        <v>2172</v>
      </c>
      <c r="J280" s="55" t="s">
        <v>2173</v>
      </c>
      <c r="K280" s="55" t="s">
        <v>967</v>
      </c>
      <c r="L280" s="64" t="s">
        <v>279</v>
      </c>
      <c r="M280" s="55" t="s">
        <v>2174</v>
      </c>
      <c r="N280" s="60"/>
      <c r="O280" s="55" t="s">
        <v>281</v>
      </c>
      <c r="P280" s="67">
        <v>3</v>
      </c>
      <c r="Q280" s="67" t="s">
        <v>6173</v>
      </c>
      <c r="R280" s="67">
        <v>1</v>
      </c>
      <c r="S280" s="67" t="s">
        <v>6173</v>
      </c>
      <c r="T280" s="56">
        <v>265.33</v>
      </c>
      <c r="U280" s="103"/>
      <c r="V280" s="103">
        <v>0.17483887988542571</v>
      </c>
      <c r="W280" s="103">
        <v>3.0902954325135859E-2</v>
      </c>
      <c r="X280" s="103">
        <f>IF(W280=0,V280,W280)</f>
        <v>3.0902954325135859E-2</v>
      </c>
      <c r="Y280" s="162">
        <v>7.5</v>
      </c>
      <c r="Z280" s="56">
        <v>3.14</v>
      </c>
      <c r="AA280" s="56">
        <v>3.07</v>
      </c>
      <c r="AB280" s="56">
        <v>3.12</v>
      </c>
      <c r="AC280" s="56">
        <v>0.77380000000000004</v>
      </c>
      <c r="AD280" s="56">
        <v>3.11</v>
      </c>
      <c r="AE280" s="56">
        <v>3.07</v>
      </c>
      <c r="AF280" s="56">
        <f t="shared" si="92"/>
        <v>3.07</v>
      </c>
      <c r="AG280" s="57">
        <v>2.52</v>
      </c>
      <c r="AH280" s="103">
        <v>7.6300000000000001E-14</v>
      </c>
      <c r="AI280" s="103"/>
      <c r="AJ280" s="62">
        <f t="shared" si="102"/>
        <v>-11.506041788357772</v>
      </c>
      <c r="AK280" s="62"/>
      <c r="AL280" s="62">
        <f t="shared" si="99"/>
        <v>-11.506041788357772</v>
      </c>
      <c r="AM280" s="62">
        <v>-16.298100000000002</v>
      </c>
      <c r="AN280" s="154">
        <v>-10.6</v>
      </c>
      <c r="AO280" s="410">
        <v>10.72</v>
      </c>
      <c r="AP280" s="410">
        <v>5.37</v>
      </c>
      <c r="AQ280" s="56" t="s">
        <v>6311</v>
      </c>
      <c r="AR280" s="56" t="s">
        <v>6312</v>
      </c>
      <c r="AS280" s="149" t="s">
        <v>6</v>
      </c>
      <c r="AT280" s="58" t="s">
        <v>266</v>
      </c>
      <c r="AU280" s="56">
        <v>0</v>
      </c>
      <c r="AV280" s="56">
        <v>144</v>
      </c>
      <c r="AW280" s="56">
        <v>144</v>
      </c>
      <c r="AX280" s="56">
        <v>25</v>
      </c>
      <c r="AY280" s="56" t="s">
        <v>8722</v>
      </c>
      <c r="AZ280" s="56" t="s">
        <v>2175</v>
      </c>
      <c r="BA280" s="56" t="s">
        <v>8722</v>
      </c>
      <c r="BB280" s="55" t="s">
        <v>2176</v>
      </c>
      <c r="BC280" s="55" t="s">
        <v>538</v>
      </c>
      <c r="BD280" s="55"/>
      <c r="BE280" s="56" t="s">
        <v>271</v>
      </c>
      <c r="BF280" s="56" t="s">
        <v>1974</v>
      </c>
      <c r="BG280" s="56" t="s">
        <v>1974</v>
      </c>
      <c r="BH280" s="56" t="s">
        <v>2177</v>
      </c>
      <c r="BI280" s="103">
        <v>2.2000000000000001E-3</v>
      </c>
      <c r="BJ280" s="103">
        <v>0.22</v>
      </c>
      <c r="BK280" s="56" t="s">
        <v>2178</v>
      </c>
      <c r="BL280" s="103">
        <f t="shared" si="87"/>
        <v>7.7761745404047386E-2</v>
      </c>
      <c r="BM280" s="56" t="s">
        <v>541</v>
      </c>
      <c r="BN280" s="56"/>
      <c r="BO280" s="56"/>
      <c r="BP280" s="56"/>
      <c r="BQ280" s="56"/>
      <c r="BR280" s="56">
        <v>1.5829344589756155E-4</v>
      </c>
      <c r="BS280" s="56"/>
      <c r="BT280" s="56"/>
      <c r="BU280" s="158"/>
      <c r="BV280" s="56"/>
      <c r="BW280" s="56"/>
      <c r="BX280" s="56"/>
      <c r="BY280" s="56"/>
      <c r="BZ280" s="56"/>
      <c r="CA280" s="56"/>
      <c r="CB280" s="56"/>
      <c r="CC280" s="56"/>
      <c r="CD280" s="56"/>
      <c r="CE280" s="56"/>
      <c r="CF280" s="56"/>
      <c r="CG280" s="56"/>
      <c r="CH280" s="56"/>
      <c r="CI280" s="103">
        <f t="shared" si="93"/>
        <v>1.5829344589756155E-4</v>
      </c>
      <c r="CJ280" s="103">
        <f t="shared" si="94"/>
        <v>-3.8005370666250067</v>
      </c>
      <c r="CK280" s="57">
        <f t="shared" si="96"/>
        <v>0.35346247910930628</v>
      </c>
      <c r="CL280" s="160">
        <f t="shared" si="78"/>
        <v>491.25056923942594</v>
      </c>
      <c r="CM280" s="160"/>
      <c r="CN280" s="160"/>
      <c r="CO280" s="55" t="s">
        <v>2179</v>
      </c>
      <c r="CP280" s="55" t="s">
        <v>2180</v>
      </c>
      <c r="CQ280" s="149" t="s">
        <v>272</v>
      </c>
      <c r="CR280" s="349"/>
      <c r="CS280" s="61" t="s">
        <v>539</v>
      </c>
      <c r="CT280" s="61" t="s">
        <v>6310</v>
      </c>
      <c r="CU280" s="111">
        <f t="shared" si="86"/>
        <v>195.22573502591183</v>
      </c>
      <c r="CV280" s="331">
        <f t="shared" si="97"/>
        <v>0.14046797420516299</v>
      </c>
      <c r="CW280" s="326">
        <f t="shared" si="95"/>
        <v>1</v>
      </c>
      <c r="CX280" s="326" t="s">
        <v>539</v>
      </c>
      <c r="CY280" s="161" t="s">
        <v>5921</v>
      </c>
    </row>
    <row r="281" spans="1:103" ht="11.25" customHeight="1" x14ac:dyDescent="0.2">
      <c r="A281" s="72">
        <v>279</v>
      </c>
      <c r="B281" s="149">
        <v>1288</v>
      </c>
      <c r="C281" s="54" t="s">
        <v>3540</v>
      </c>
      <c r="D281" s="54"/>
      <c r="E281" s="59"/>
      <c r="F281" s="59" t="s">
        <v>3541</v>
      </c>
      <c r="G281" s="151">
        <v>54965241</v>
      </c>
      <c r="H281" s="55" t="s">
        <v>3542</v>
      </c>
      <c r="I281" s="55" t="s">
        <v>7757</v>
      </c>
      <c r="J281" s="55" t="s">
        <v>3543</v>
      </c>
      <c r="K281" s="55" t="s">
        <v>471</v>
      </c>
      <c r="L281" s="55"/>
      <c r="M281" s="55"/>
      <c r="N281" s="60"/>
      <c r="O281" s="55"/>
      <c r="P281" s="67">
        <v>3</v>
      </c>
      <c r="Q281" s="67" t="s">
        <v>6173</v>
      </c>
      <c r="R281" s="67">
        <v>1</v>
      </c>
      <c r="S281" s="67" t="s">
        <v>6173</v>
      </c>
      <c r="T281" s="56">
        <v>355.47</v>
      </c>
      <c r="U281" s="103"/>
      <c r="V281" s="103">
        <v>2.6165358539398543E-2</v>
      </c>
      <c r="W281" s="103">
        <v>0.54954087385762462</v>
      </c>
      <c r="X281" s="103">
        <f>IF(W281=0,V281,W281)</f>
        <v>0.54954087385762462</v>
      </c>
      <c r="Y281" s="162">
        <v>9.9600000000000009</v>
      </c>
      <c r="Z281" s="56">
        <v>3.27</v>
      </c>
      <c r="AA281" s="56"/>
      <c r="AB281" s="56">
        <v>3.06</v>
      </c>
      <c r="AC281" s="56">
        <v>0.64929999999999999</v>
      </c>
      <c r="AD281" s="56">
        <v>3.41</v>
      </c>
      <c r="AE281" s="56">
        <v>3.89</v>
      </c>
      <c r="AF281" s="56">
        <f t="shared" si="92"/>
        <v>3.41</v>
      </c>
      <c r="AG281" s="57">
        <v>4.25</v>
      </c>
      <c r="AH281" s="103">
        <v>2.1300000000000001E-16</v>
      </c>
      <c r="AI281" s="103"/>
      <c r="AJ281" s="62">
        <f t="shared" si="102"/>
        <v>-14.060186722873913</v>
      </c>
      <c r="AK281" s="62"/>
      <c r="AL281" s="62">
        <f t="shared" si="99"/>
        <v>-14.060186722873913</v>
      </c>
      <c r="AM281" s="62">
        <v>-18.4193</v>
      </c>
      <c r="AN281" s="154">
        <v>-28.7</v>
      </c>
      <c r="AO281" s="410"/>
      <c r="AP281" s="410">
        <v>9.2799999999999994</v>
      </c>
      <c r="AQ281" s="56" t="s">
        <v>6311</v>
      </c>
      <c r="AR281" s="56" t="s">
        <v>6311</v>
      </c>
      <c r="AS281" s="155"/>
      <c r="AT281" s="58" t="s">
        <v>266</v>
      </c>
      <c r="AU281" s="56">
        <v>6</v>
      </c>
      <c r="AV281" s="56">
        <v>120</v>
      </c>
      <c r="AW281" s="56">
        <v>114</v>
      </c>
      <c r="AX281" s="56">
        <v>28</v>
      </c>
      <c r="AY281" s="56" t="s">
        <v>8728</v>
      </c>
      <c r="AZ281" s="56" t="s">
        <v>1563</v>
      </c>
      <c r="BA281" s="56">
        <v>32</v>
      </c>
      <c r="BB281" s="55" t="s">
        <v>2485</v>
      </c>
      <c r="BC281" s="55" t="s">
        <v>8726</v>
      </c>
      <c r="BD281" s="55" t="s">
        <v>8374</v>
      </c>
      <c r="BE281" s="56" t="s">
        <v>2449</v>
      </c>
      <c r="BF281" s="56" t="s">
        <v>272</v>
      </c>
      <c r="BG281" s="56" t="s">
        <v>272</v>
      </c>
      <c r="BH281" s="56" t="s">
        <v>2486</v>
      </c>
      <c r="BI281" s="103">
        <v>6.3999999999999997E-6</v>
      </c>
      <c r="BJ281" s="103">
        <v>6.4000000000000001E-2</v>
      </c>
      <c r="BK281" s="56"/>
      <c r="BL281" s="103">
        <f t="shared" si="87"/>
        <v>5.9430994818927302E-2</v>
      </c>
      <c r="BM281" s="56" t="s">
        <v>2046</v>
      </c>
      <c r="BN281" s="56"/>
      <c r="BO281" s="56"/>
      <c r="BP281" s="56"/>
      <c r="BQ281" s="56"/>
      <c r="BR281" s="55">
        <v>1.8518297999999999E-2</v>
      </c>
      <c r="BS281" s="56"/>
      <c r="BT281" s="56"/>
      <c r="BU281" s="158"/>
      <c r="BV281" s="56"/>
      <c r="BW281" s="56"/>
      <c r="BX281" s="56"/>
      <c r="BY281" s="56"/>
      <c r="BZ281" s="56"/>
      <c r="CA281" s="56"/>
      <c r="CB281" s="56"/>
      <c r="CC281" s="56"/>
      <c r="CD281" s="56"/>
      <c r="CE281" s="56"/>
      <c r="CF281" s="56"/>
      <c r="CG281" s="56"/>
      <c r="CH281" s="56"/>
      <c r="CI281" s="103">
        <f t="shared" si="93"/>
        <v>1.8518297999999999E-2</v>
      </c>
      <c r="CJ281" s="103">
        <f t="shared" si="94"/>
        <v>-1.7323989314324508</v>
      </c>
      <c r="CK281" s="57">
        <f t="shared" si="96"/>
        <v>0.92860929404573911</v>
      </c>
      <c r="CL281" s="160">
        <f t="shared" ref="CL281:CL344" si="103">BL281/CI281</f>
        <v>3.2093119367086169</v>
      </c>
      <c r="CM281" s="160"/>
      <c r="CN281" s="160"/>
      <c r="CO281" s="55" t="s">
        <v>2488</v>
      </c>
      <c r="CP281" s="55" t="s">
        <v>2489</v>
      </c>
      <c r="CQ281" s="149" t="s">
        <v>272</v>
      </c>
      <c r="CR281" s="349"/>
      <c r="CS281" s="61" t="s">
        <v>539</v>
      </c>
      <c r="CT281" s="61"/>
      <c r="CU281" s="111">
        <f t="shared" si="86"/>
        <v>29.675560564886936</v>
      </c>
      <c r="CV281" s="331">
        <f t="shared" si="97"/>
        <v>8.5865761540253853</v>
      </c>
      <c r="CW281" s="326">
        <f t="shared" si="95"/>
        <v>1</v>
      </c>
      <c r="CX281" s="326"/>
      <c r="CY281" s="161" t="s">
        <v>5921</v>
      </c>
    </row>
    <row r="282" spans="1:103" ht="11.25" customHeight="1" x14ac:dyDescent="0.2">
      <c r="A282" s="72">
        <v>280</v>
      </c>
      <c r="B282" s="149">
        <v>408</v>
      </c>
      <c r="C282" s="54" t="s">
        <v>1396</v>
      </c>
      <c r="D282" s="54" t="s">
        <v>6519</v>
      </c>
      <c r="E282" s="59"/>
      <c r="F282" s="59" t="s">
        <v>1397</v>
      </c>
      <c r="G282" s="151">
        <v>41198087</v>
      </c>
      <c r="H282" s="55" t="s">
        <v>1398</v>
      </c>
      <c r="I282" s="55" t="s">
        <v>7947</v>
      </c>
      <c r="J282" s="55" t="s">
        <v>1399</v>
      </c>
      <c r="K282" s="55" t="s">
        <v>637</v>
      </c>
      <c r="L282" s="55" t="s">
        <v>617</v>
      </c>
      <c r="M282" s="55" t="s">
        <v>946</v>
      </c>
      <c r="N282" s="60" t="s">
        <v>6376</v>
      </c>
      <c r="O282" s="55" t="s">
        <v>918</v>
      </c>
      <c r="P282" s="67">
        <v>3</v>
      </c>
      <c r="Q282" s="67" t="s">
        <v>6173</v>
      </c>
      <c r="R282" s="67">
        <v>1</v>
      </c>
      <c r="S282" s="67" t="s">
        <v>6173</v>
      </c>
      <c r="T282" s="56">
        <v>373.63</v>
      </c>
      <c r="U282" s="103">
        <v>7.4940449107405729E-2</v>
      </c>
      <c r="V282" s="103">
        <v>1.2001177635628832E-3</v>
      </c>
      <c r="W282" s="103">
        <v>4.265795188015923E-2</v>
      </c>
      <c r="X282" s="103">
        <v>7.4940449107405729E-2</v>
      </c>
      <c r="Y282" s="162">
        <v>7</v>
      </c>
      <c r="Z282" s="56">
        <v>4.82</v>
      </c>
      <c r="AA282" s="56">
        <v>4.68</v>
      </c>
      <c r="AB282" s="56">
        <v>4.34</v>
      </c>
      <c r="AC282" s="56">
        <v>0.82909999999999995</v>
      </c>
      <c r="AD282" s="56">
        <v>4.4000000000000004</v>
      </c>
      <c r="AE282" s="56">
        <v>4.5999999999999996</v>
      </c>
      <c r="AF282" s="56">
        <f t="shared" si="92"/>
        <v>4.68</v>
      </c>
      <c r="AG282" s="57">
        <v>4.7300000000000004</v>
      </c>
      <c r="AH282" s="103">
        <v>3.4900000000000001E-8</v>
      </c>
      <c r="AI282" s="103">
        <v>2.2099999999999999E-8</v>
      </c>
      <c r="AJ282" s="62">
        <f t="shared" si="102"/>
        <v>-5.8457408993534719</v>
      </c>
      <c r="AK282" s="62">
        <f>LOG10(AI282*1000/(0.08206*298.15))</f>
        <v>-6.0441740526275414</v>
      </c>
      <c r="AL282" s="62">
        <f t="shared" si="99"/>
        <v>-6.0441740526275414</v>
      </c>
      <c r="AM282" s="62">
        <v>-11.780619999999999</v>
      </c>
      <c r="AN282" s="154">
        <v>-4.54</v>
      </c>
      <c r="AO282" s="410"/>
      <c r="AP282" s="410"/>
      <c r="AQ282" s="154" t="s">
        <v>6315</v>
      </c>
      <c r="AR282" s="154" t="s">
        <v>6315</v>
      </c>
      <c r="AS282" s="149" t="s">
        <v>6</v>
      </c>
      <c r="AT282" s="58" t="s">
        <v>266</v>
      </c>
      <c r="AU282" s="56">
        <v>8</v>
      </c>
      <c r="AV282" s="56">
        <v>144</v>
      </c>
      <c r="AW282" s="56">
        <v>120</v>
      </c>
      <c r="AX282" s="56">
        <v>26</v>
      </c>
      <c r="AY282" s="56" t="s">
        <v>267</v>
      </c>
      <c r="AZ282" s="56" t="s">
        <v>268</v>
      </c>
      <c r="BA282" s="56">
        <v>2</v>
      </c>
      <c r="BB282" s="55" t="s">
        <v>888</v>
      </c>
      <c r="BC282" s="55" t="s">
        <v>270</v>
      </c>
      <c r="BD282" s="55" t="s">
        <v>8374</v>
      </c>
      <c r="BE282" s="56" t="s">
        <v>889</v>
      </c>
      <c r="BF282" s="56" t="s">
        <v>272</v>
      </c>
      <c r="BG282" s="56" t="s">
        <v>272</v>
      </c>
      <c r="BH282" s="56" t="s">
        <v>890</v>
      </c>
      <c r="BI282" s="103">
        <v>9.9999999999999995E-7</v>
      </c>
      <c r="BJ282" s="103">
        <v>0.08</v>
      </c>
      <c r="BK282" s="56"/>
      <c r="BL282" s="103">
        <f t="shared" si="87"/>
        <v>2.4096723814383521E-3</v>
      </c>
      <c r="BM282" s="56" t="s">
        <v>891</v>
      </c>
      <c r="BN282" s="162"/>
      <c r="BO282" s="162"/>
      <c r="BP282" s="162"/>
      <c r="BQ282" s="162"/>
      <c r="BR282" s="162"/>
      <c r="BS282" s="56">
        <v>1.5380611171211632E-2</v>
      </c>
      <c r="BT282" s="162"/>
      <c r="BU282" s="158"/>
      <c r="BV282" s="162"/>
      <c r="BW282" s="162"/>
      <c r="BX282" s="162"/>
      <c r="BY282" s="162"/>
      <c r="BZ282" s="162"/>
      <c r="CA282" s="162"/>
      <c r="CB282" s="162"/>
      <c r="CC282" s="56"/>
      <c r="CD282" s="56"/>
      <c r="CE282" s="56"/>
      <c r="CF282" s="56"/>
      <c r="CG282" s="56"/>
      <c r="CH282" s="56"/>
      <c r="CI282" s="103">
        <f t="shared" si="93"/>
        <v>1.5380611171211632E-2</v>
      </c>
      <c r="CJ282" s="103">
        <f t="shared" si="94"/>
        <v>-1.8130264068615678</v>
      </c>
      <c r="CK282" s="57">
        <f t="shared" si="96"/>
        <v>3.0120904767979399E-2</v>
      </c>
      <c r="CL282" s="160">
        <f t="shared" si="103"/>
        <v>0.15666948176601792</v>
      </c>
      <c r="CM282" s="160">
        <v>-4.1412678345975333</v>
      </c>
      <c r="CN282" s="160">
        <f>BJ282/(10^CM282)</f>
        <v>1107.5359232449023</v>
      </c>
      <c r="CO282" s="55" t="s">
        <v>892</v>
      </c>
      <c r="CP282" s="55" t="s">
        <v>893</v>
      </c>
      <c r="CQ282" s="149">
        <v>-3.9645846603552095</v>
      </c>
      <c r="CR282" s="349">
        <f>10^(CJ282-CQ282)</f>
        <v>141.76148485106441</v>
      </c>
      <c r="CS282" s="61" t="s">
        <v>539</v>
      </c>
      <c r="CT282" s="61"/>
      <c r="CU282" s="111">
        <f t="shared" si="86"/>
        <v>4.872397349701818</v>
      </c>
      <c r="CV282" s="331">
        <f t="shared" si="97"/>
        <v>0.93675561384257156</v>
      </c>
      <c r="CW282" s="326">
        <f t="shared" si="95"/>
        <v>1</v>
      </c>
      <c r="CX282" s="326" t="s">
        <v>539</v>
      </c>
      <c r="CY282" s="161" t="s">
        <v>6351</v>
      </c>
    </row>
    <row r="283" spans="1:103" ht="11.25" customHeight="1" x14ac:dyDescent="0.2">
      <c r="A283" s="72">
        <v>281</v>
      </c>
      <c r="B283" s="149">
        <v>319</v>
      </c>
      <c r="C283" s="54" t="s">
        <v>1244</v>
      </c>
      <c r="D283" s="54" t="s">
        <v>6530</v>
      </c>
      <c r="E283" s="59"/>
      <c r="F283" s="59" t="s">
        <v>1245</v>
      </c>
      <c r="G283" s="151">
        <v>66332965</v>
      </c>
      <c r="H283" s="55" t="s">
        <v>1246</v>
      </c>
      <c r="I283" s="55" t="s">
        <v>1246</v>
      </c>
      <c r="J283" s="55" t="s">
        <v>1247</v>
      </c>
      <c r="K283" s="55" t="s">
        <v>471</v>
      </c>
      <c r="L283" s="55" t="s">
        <v>6123</v>
      </c>
      <c r="M283" s="55" t="s">
        <v>6082</v>
      </c>
      <c r="N283" s="60" t="s">
        <v>6082</v>
      </c>
      <c r="O283" s="55" t="s">
        <v>6083</v>
      </c>
      <c r="P283" s="67">
        <v>3</v>
      </c>
      <c r="Q283" s="67" t="s">
        <v>6173</v>
      </c>
      <c r="R283" s="67">
        <v>1</v>
      </c>
      <c r="S283" s="67" t="s">
        <v>6173</v>
      </c>
      <c r="T283" s="56">
        <v>323.31</v>
      </c>
      <c r="U283" s="103">
        <v>2.0197333828214408E-2</v>
      </c>
      <c r="V283" s="103">
        <v>1.9164269586465003E-2</v>
      </c>
      <c r="W283" s="103">
        <v>1.0964781961431844E-2</v>
      </c>
      <c r="X283" s="103">
        <v>2.0197333828214408E-2</v>
      </c>
      <c r="Y283" s="162">
        <v>7</v>
      </c>
      <c r="Z283" s="56">
        <v>4.6500000000000004</v>
      </c>
      <c r="AA283" s="56">
        <v>3.7</v>
      </c>
      <c r="AB283" s="56">
        <v>4.17</v>
      </c>
      <c r="AC283" s="56">
        <v>0.85319999999999996</v>
      </c>
      <c r="AD283" s="56">
        <v>4.0599999999999996</v>
      </c>
      <c r="AE283" s="56">
        <v>3.7</v>
      </c>
      <c r="AF283" s="56">
        <f t="shared" si="92"/>
        <v>3.7</v>
      </c>
      <c r="AG283" s="57">
        <v>4.07</v>
      </c>
      <c r="AH283" s="103">
        <v>1.1100000000000001E-9</v>
      </c>
      <c r="AI283" s="103">
        <v>3.1800000000000002E-9</v>
      </c>
      <c r="AJ283" s="62">
        <f t="shared" si="102"/>
        <v>-7.3432433475259939</v>
      </c>
      <c r="AK283" s="62">
        <f>LOG10(AI283*1000/(0.08206*298.15))</f>
        <v>-6.8861392063282194</v>
      </c>
      <c r="AL283" s="62">
        <f t="shared" si="99"/>
        <v>-6.8861392063282194</v>
      </c>
      <c r="AM283" s="62">
        <v>-12.147180000000001</v>
      </c>
      <c r="AN283" s="154">
        <v>-8.86</v>
      </c>
      <c r="AO283" s="410">
        <v>12.44</v>
      </c>
      <c r="AP283" s="410">
        <v>-2.52</v>
      </c>
      <c r="AQ283" s="154" t="s">
        <v>6311</v>
      </c>
      <c r="AR283" s="154" t="s">
        <v>6311</v>
      </c>
      <c r="AS283" s="149" t="s">
        <v>6</v>
      </c>
      <c r="AT283" s="58" t="s">
        <v>266</v>
      </c>
      <c r="AU283" s="56">
        <v>8</v>
      </c>
      <c r="AV283" s="56">
        <v>144</v>
      </c>
      <c r="AW283" s="56">
        <v>120</v>
      </c>
      <c r="AX283" s="56">
        <v>26</v>
      </c>
      <c r="AY283" s="56" t="s">
        <v>267</v>
      </c>
      <c r="AZ283" s="56" t="s">
        <v>268</v>
      </c>
      <c r="BA283" s="56">
        <v>2</v>
      </c>
      <c r="BB283" s="55" t="s">
        <v>888</v>
      </c>
      <c r="BC283" s="55" t="s">
        <v>270</v>
      </c>
      <c r="BD283" s="55" t="s">
        <v>8374</v>
      </c>
      <c r="BE283" s="56" t="s">
        <v>889</v>
      </c>
      <c r="BF283" s="56" t="s">
        <v>272</v>
      </c>
      <c r="BG283" s="56" t="s">
        <v>272</v>
      </c>
      <c r="BH283" s="56" t="s">
        <v>890</v>
      </c>
      <c r="BI283" s="103">
        <v>9.9999999999999995E-7</v>
      </c>
      <c r="BJ283" s="103">
        <v>0.08</v>
      </c>
      <c r="BK283" s="56"/>
      <c r="BL283" s="103">
        <f t="shared" si="87"/>
        <v>3.4247983059034789E-3</v>
      </c>
      <c r="BM283" s="56" t="s">
        <v>891</v>
      </c>
      <c r="BN283" s="162"/>
      <c r="BO283" s="162"/>
      <c r="BP283" s="162"/>
      <c r="BQ283" s="162"/>
      <c r="BR283" s="162"/>
      <c r="BS283" s="56">
        <v>1.5380611171211632E-2</v>
      </c>
      <c r="BT283" s="162"/>
      <c r="BU283" s="158"/>
      <c r="BV283" s="162"/>
      <c r="BW283" s="162"/>
      <c r="BX283" s="162"/>
      <c r="BY283" s="162"/>
      <c r="BZ283" s="162"/>
      <c r="CA283" s="162"/>
      <c r="CB283" s="162"/>
      <c r="CC283" s="56"/>
      <c r="CD283" s="56"/>
      <c r="CE283" s="56"/>
      <c r="CF283" s="56"/>
      <c r="CG283" s="56"/>
      <c r="CH283" s="56"/>
      <c r="CI283" s="103">
        <f t="shared" si="93"/>
        <v>1.5380611171211632E-2</v>
      </c>
      <c r="CJ283" s="103">
        <f t="shared" si="94"/>
        <v>-1.8130264068615678</v>
      </c>
      <c r="CK283" s="57">
        <f t="shared" si="96"/>
        <v>4.2809978823793483E-2</v>
      </c>
      <c r="CL283" s="160">
        <f t="shared" si="103"/>
        <v>0.22266984502630041</v>
      </c>
      <c r="CM283" s="160">
        <v>-1.8283779002011855</v>
      </c>
      <c r="CN283" s="160">
        <f>BJ283/(10^CM283)</f>
        <v>5.3885000000000005</v>
      </c>
      <c r="CO283" s="55" t="s">
        <v>892</v>
      </c>
      <c r="CP283" s="55" t="s">
        <v>893</v>
      </c>
      <c r="CQ283" s="149">
        <v>-1.802801638977495</v>
      </c>
      <c r="CR283" s="349">
        <f>10^(CJ283-CQ283)</f>
        <v>0.97673158544504957</v>
      </c>
      <c r="CS283" s="61" t="s">
        <v>539</v>
      </c>
      <c r="CT283" s="61"/>
      <c r="CU283" s="111">
        <f t="shared" si="86"/>
        <v>1.3131684822784147</v>
      </c>
      <c r="CV283" s="331">
        <f t="shared" si="97"/>
        <v>0.2524666728526801</v>
      </c>
      <c r="CW283" s="326">
        <f t="shared" si="95"/>
        <v>0</v>
      </c>
      <c r="CX283" s="326" t="s">
        <v>539</v>
      </c>
      <c r="CY283" s="161" t="s">
        <v>5921</v>
      </c>
    </row>
    <row r="284" spans="1:103" ht="11.25" customHeight="1" x14ac:dyDescent="0.2">
      <c r="A284" s="72">
        <v>282</v>
      </c>
      <c r="B284" s="149">
        <v>2045</v>
      </c>
      <c r="C284" s="54" t="s">
        <v>5589</v>
      </c>
      <c r="D284" s="54"/>
      <c r="E284" s="59"/>
      <c r="F284" s="167" t="s">
        <v>5590</v>
      </c>
      <c r="G284" s="151">
        <v>56573854</v>
      </c>
      <c r="H284" s="67" t="s">
        <v>3584</v>
      </c>
      <c r="I284" s="67" t="s">
        <v>7791</v>
      </c>
      <c r="J284" s="67" t="s">
        <v>5591</v>
      </c>
      <c r="K284" s="67" t="s">
        <v>403</v>
      </c>
      <c r="L284" s="67"/>
      <c r="M284" s="67"/>
      <c r="N284" s="60"/>
      <c r="O284" s="67"/>
      <c r="P284" s="67">
        <v>3</v>
      </c>
      <c r="Q284" s="67" t="s">
        <v>6173</v>
      </c>
      <c r="R284" s="67">
        <v>1</v>
      </c>
      <c r="S284" s="67" t="s">
        <v>6173</v>
      </c>
      <c r="T284" s="61">
        <v>325.51</v>
      </c>
      <c r="U284" s="111">
        <v>5.2225738072563054E-2</v>
      </c>
      <c r="V284" s="111">
        <v>0.35267733710177873</v>
      </c>
      <c r="W284" s="111">
        <v>1.1220184543019615E-3</v>
      </c>
      <c r="X284" s="111">
        <v>5.2225738072563054E-2</v>
      </c>
      <c r="Y284" s="411">
        <v>7</v>
      </c>
      <c r="Z284" s="61">
        <v>4.7</v>
      </c>
      <c r="AA284" s="61">
        <v>2.2000000000000002</v>
      </c>
      <c r="AB284" s="61">
        <v>3.52</v>
      </c>
      <c r="AC284" s="61">
        <v>0.58020000000000005</v>
      </c>
      <c r="AD284" s="61">
        <v>3.68</v>
      </c>
      <c r="AE284" s="61">
        <v>3.85</v>
      </c>
      <c r="AF284" s="61">
        <f t="shared" si="92"/>
        <v>2.2000000000000002</v>
      </c>
      <c r="AG284" s="62">
        <v>3.68</v>
      </c>
      <c r="AH284" s="103">
        <v>3.99</v>
      </c>
      <c r="AI284" s="153"/>
      <c r="AJ284" s="62">
        <f t="shared" si="102"/>
        <v>2.2124065693740964</v>
      </c>
      <c r="AK284" s="62"/>
      <c r="AL284" s="62">
        <f t="shared" si="99"/>
        <v>2.2124065693740964</v>
      </c>
      <c r="AM284" s="62">
        <v>-1.06331</v>
      </c>
      <c r="AN284" s="152"/>
      <c r="AO284" s="410"/>
      <c r="AP284" s="410"/>
      <c r="AQ284" s="163" t="s">
        <v>6311</v>
      </c>
      <c r="AR284" s="163" t="s">
        <v>6311</v>
      </c>
      <c r="AS284" s="164" t="s">
        <v>5466</v>
      </c>
      <c r="AT284" s="63" t="s">
        <v>266</v>
      </c>
      <c r="AU284" s="61">
        <v>3</v>
      </c>
      <c r="AV284" s="61">
        <v>96</v>
      </c>
      <c r="AW284" s="61">
        <v>96</v>
      </c>
      <c r="AX284" s="61">
        <v>28.5</v>
      </c>
      <c r="AY284" s="174">
        <v>0.59027777777777779</v>
      </c>
      <c r="AZ284" s="178" t="s">
        <v>6249</v>
      </c>
      <c r="BA284" s="61">
        <v>20</v>
      </c>
      <c r="BB284" s="67" t="s">
        <v>6247</v>
      </c>
      <c r="BC284" s="67" t="s">
        <v>6248</v>
      </c>
      <c r="BD284" s="67"/>
      <c r="BE284" s="61" t="s">
        <v>271</v>
      </c>
      <c r="BF284" s="61" t="s">
        <v>272</v>
      </c>
      <c r="BG284" s="61" t="s">
        <v>272</v>
      </c>
      <c r="BH284" s="61" t="s">
        <v>6246</v>
      </c>
      <c r="BI284" s="111">
        <f>1/325.51/1000</f>
        <v>3.0721022395625327E-6</v>
      </c>
      <c r="BJ284" s="111">
        <f>100/325.51/1000</f>
        <v>3.0721022395625326E-4</v>
      </c>
      <c r="BK284" s="165"/>
      <c r="BL284" s="111">
        <f t="shared" si="87"/>
        <v>3.0883747991894929E-3</v>
      </c>
      <c r="BM284" s="61" t="s">
        <v>6250</v>
      </c>
      <c r="BN284" s="61"/>
      <c r="BO284" s="61"/>
      <c r="BP284" s="61"/>
      <c r="BQ284" s="61"/>
      <c r="BR284" s="61"/>
      <c r="BS284" s="61"/>
      <c r="BT284" s="61"/>
      <c r="BU284" s="158">
        <f>40/325.51/1000</f>
        <v>1.228840895825013E-4</v>
      </c>
      <c r="BV284" s="61"/>
      <c r="BW284" s="61"/>
      <c r="BX284" s="61"/>
      <c r="BY284" s="61"/>
      <c r="BZ284" s="61"/>
      <c r="CA284" s="61"/>
      <c r="CB284" s="61"/>
      <c r="CC284" s="61"/>
      <c r="CD284" s="61"/>
      <c r="CE284" s="61"/>
      <c r="CF284" s="61"/>
      <c r="CG284" s="61"/>
      <c r="CH284" s="61"/>
      <c r="CI284" s="111">
        <f t="shared" si="93"/>
        <v>1.228840895825013E-4</v>
      </c>
      <c r="CJ284" s="103">
        <f t="shared" si="94"/>
        <v>-3.9105043437516969</v>
      </c>
      <c r="CK284" s="57">
        <f t="shared" si="96"/>
        <v>10.052968808841719</v>
      </c>
      <c r="CL284" s="160">
        <f t="shared" si="103"/>
        <v>25.132422022104297</v>
      </c>
      <c r="CM284" s="160"/>
      <c r="CN284" s="160"/>
      <c r="CO284" s="67"/>
      <c r="CP284" s="67" t="s">
        <v>6251</v>
      </c>
      <c r="CQ284" s="149" t="s">
        <v>272</v>
      </c>
      <c r="CR284" s="349"/>
      <c r="CS284" s="61" t="s">
        <v>539</v>
      </c>
      <c r="CT284" s="61"/>
      <c r="CU284" s="111">
        <f t="shared" si="86"/>
        <v>425</v>
      </c>
      <c r="CV284" s="331">
        <f t="shared" si="97"/>
        <v>170</v>
      </c>
      <c r="CW284" s="326">
        <f t="shared" si="95"/>
        <v>1</v>
      </c>
      <c r="CX284" s="326"/>
      <c r="CY284" s="161" t="s">
        <v>5921</v>
      </c>
    </row>
    <row r="285" spans="1:103" ht="11.25" customHeight="1" x14ac:dyDescent="0.2">
      <c r="A285" s="72">
        <v>283</v>
      </c>
      <c r="B285" s="149">
        <v>383</v>
      </c>
      <c r="C285" s="54" t="s">
        <v>1332</v>
      </c>
      <c r="D285" s="54" t="s">
        <v>6508</v>
      </c>
      <c r="E285" s="59"/>
      <c r="F285" s="59" t="s">
        <v>1333</v>
      </c>
      <c r="G285" s="151">
        <v>19044883</v>
      </c>
      <c r="H285" s="55" t="s">
        <v>1334</v>
      </c>
      <c r="I285" s="55" t="s">
        <v>8104</v>
      </c>
      <c r="J285" s="55" t="s">
        <v>1335</v>
      </c>
      <c r="K285" s="55" t="s">
        <v>1336</v>
      </c>
      <c r="L285" s="55" t="s">
        <v>6003</v>
      </c>
      <c r="M285" s="55" t="s">
        <v>6088</v>
      </c>
      <c r="N285" s="60" t="s">
        <v>6088</v>
      </c>
      <c r="O285" s="55" t="s">
        <v>6083</v>
      </c>
      <c r="P285" s="67">
        <v>3</v>
      </c>
      <c r="Q285" s="67" t="s">
        <v>6173</v>
      </c>
      <c r="R285" s="67">
        <v>1</v>
      </c>
      <c r="S285" s="67" t="s">
        <v>6173</v>
      </c>
      <c r="T285" s="56">
        <v>346.36</v>
      </c>
      <c r="U285" s="103">
        <v>7.2179235477537818E-3</v>
      </c>
      <c r="V285" s="103">
        <v>1.2276244370019632E-2</v>
      </c>
      <c r="W285" s="103">
        <v>9.5499258602143589E-3</v>
      </c>
      <c r="X285" s="103">
        <v>7.2179235477537818E-3</v>
      </c>
      <c r="Y285" s="162">
        <v>6.89</v>
      </c>
      <c r="Z285" s="56">
        <v>2.73</v>
      </c>
      <c r="AA285" s="56">
        <v>3.73</v>
      </c>
      <c r="AB285" s="56">
        <v>2.34</v>
      </c>
      <c r="AC285" s="56">
        <v>0.86619999999999997</v>
      </c>
      <c r="AD285" s="56">
        <v>2.59</v>
      </c>
      <c r="AE285" s="56">
        <v>3.38</v>
      </c>
      <c r="AF285" s="56">
        <f t="shared" si="92"/>
        <v>3.73</v>
      </c>
      <c r="AG285" s="57">
        <v>1.55</v>
      </c>
      <c r="AH285" s="103">
        <v>1.9099999999999998E-9</v>
      </c>
      <c r="AI285" s="103"/>
      <c r="AJ285" s="62">
        <f t="shared" si="102"/>
        <v>-7.1075329590649243</v>
      </c>
      <c r="AK285" s="62"/>
      <c r="AL285" s="62">
        <f t="shared" si="99"/>
        <v>-7.1075329590649243</v>
      </c>
      <c r="AM285" s="62">
        <v>-19.59789</v>
      </c>
      <c r="AN285" s="154">
        <v>-15.6</v>
      </c>
      <c r="AO285" s="410">
        <v>9.14</v>
      </c>
      <c r="AP285" s="410">
        <v>-2.57</v>
      </c>
      <c r="AQ285" s="154" t="s">
        <v>6311</v>
      </c>
      <c r="AR285" s="154" t="s">
        <v>6311</v>
      </c>
      <c r="AS285" s="149" t="s">
        <v>6</v>
      </c>
      <c r="AT285" s="58" t="s">
        <v>266</v>
      </c>
      <c r="AU285" s="56">
        <v>8</v>
      </c>
      <c r="AV285" s="56">
        <v>144</v>
      </c>
      <c r="AW285" s="56">
        <v>120</v>
      </c>
      <c r="AX285" s="56">
        <v>26</v>
      </c>
      <c r="AY285" s="56" t="s">
        <v>267</v>
      </c>
      <c r="AZ285" s="56" t="s">
        <v>268</v>
      </c>
      <c r="BA285" s="56">
        <v>2</v>
      </c>
      <c r="BB285" s="55" t="s">
        <v>888</v>
      </c>
      <c r="BC285" s="55" t="s">
        <v>270</v>
      </c>
      <c r="BD285" s="55" t="s">
        <v>8374</v>
      </c>
      <c r="BE285" s="56" t="s">
        <v>889</v>
      </c>
      <c r="BF285" s="56" t="s">
        <v>272</v>
      </c>
      <c r="BG285" s="56" t="s">
        <v>272</v>
      </c>
      <c r="BH285" s="56" t="s">
        <v>890</v>
      </c>
      <c r="BI285" s="103">
        <v>9.9999999999999995E-7</v>
      </c>
      <c r="BJ285" s="103">
        <v>0.08</v>
      </c>
      <c r="BK285" s="56"/>
      <c r="BL285" s="103">
        <f t="shared" si="87"/>
        <v>0.18154613186555818</v>
      </c>
      <c r="BM285" s="56" t="s">
        <v>891</v>
      </c>
      <c r="BN285" s="162"/>
      <c r="BO285" s="162"/>
      <c r="BP285" s="162"/>
      <c r="BQ285" s="162"/>
      <c r="BR285" s="162"/>
      <c r="BS285" s="56">
        <v>1.5380611171211632E-2</v>
      </c>
      <c r="BT285" s="162"/>
      <c r="BU285" s="158"/>
      <c r="BV285" s="162"/>
      <c r="BW285" s="162"/>
      <c r="BX285" s="162"/>
      <c r="BY285" s="162"/>
      <c r="BZ285" s="162"/>
      <c r="CA285" s="162"/>
      <c r="CB285" s="162"/>
      <c r="CC285" s="56"/>
      <c r="CD285" s="56"/>
      <c r="CE285" s="56"/>
      <c r="CF285" s="56"/>
      <c r="CG285" s="56"/>
      <c r="CH285" s="56"/>
      <c r="CI285" s="103">
        <f t="shared" si="93"/>
        <v>1.5380611171211632E-2</v>
      </c>
      <c r="CJ285" s="103">
        <f t="shared" si="94"/>
        <v>-1.8130264068615678</v>
      </c>
      <c r="CK285" s="57">
        <f t="shared" si="96"/>
        <v>2.2693266483194772</v>
      </c>
      <c r="CL285" s="160">
        <f t="shared" si="103"/>
        <v>11.803570732310281</v>
      </c>
      <c r="CM285" s="160">
        <v>-2.080135243212109</v>
      </c>
      <c r="CN285" s="160">
        <f>BJ285/(10^CM285)</f>
        <v>9.6211111111111176</v>
      </c>
      <c r="CO285" s="55" t="s">
        <v>892</v>
      </c>
      <c r="CP285" s="55" t="s">
        <v>893</v>
      </c>
      <c r="CQ285" s="149">
        <v>-2.0360513366711919</v>
      </c>
      <c r="CR285" s="349">
        <f>10^(CJ285-CQ285)</f>
        <v>1.6711865426918915</v>
      </c>
      <c r="CS285" s="61" t="s">
        <v>539</v>
      </c>
      <c r="CT285" s="61"/>
      <c r="CU285" s="111">
        <f t="shared" si="86"/>
        <v>0.46928717379344415</v>
      </c>
      <c r="CV285" s="331">
        <f t="shared" si="97"/>
        <v>9.0224044346922272E-2</v>
      </c>
      <c r="CW285" s="326">
        <f t="shared" si="95"/>
        <v>0</v>
      </c>
      <c r="CX285" s="326" t="s">
        <v>539</v>
      </c>
      <c r="CY285" s="161" t="s">
        <v>5921</v>
      </c>
    </row>
    <row r="286" spans="1:103" ht="11.25" customHeight="1" x14ac:dyDescent="0.2">
      <c r="A286" s="72">
        <v>284</v>
      </c>
      <c r="B286" s="149">
        <v>778</v>
      </c>
      <c r="C286" s="54" t="s">
        <v>2181</v>
      </c>
      <c r="D286" s="54"/>
      <c r="E286" s="59"/>
      <c r="F286" s="59" t="s">
        <v>2182</v>
      </c>
      <c r="G286" s="151">
        <v>58306302</v>
      </c>
      <c r="H286" s="55" t="s">
        <v>2183</v>
      </c>
      <c r="I286" s="55" t="s">
        <v>2183</v>
      </c>
      <c r="J286" s="55" t="s">
        <v>2184</v>
      </c>
      <c r="K286" s="55" t="s">
        <v>2185</v>
      </c>
      <c r="L286" s="55"/>
      <c r="M286" s="55"/>
      <c r="N286" s="60"/>
      <c r="O286" s="55"/>
      <c r="P286" s="67">
        <v>3</v>
      </c>
      <c r="Q286" s="67" t="s">
        <v>6173</v>
      </c>
      <c r="R286" s="67">
        <v>1</v>
      </c>
      <c r="S286" s="67" t="s">
        <v>6173</v>
      </c>
      <c r="T286" s="56">
        <v>446.48</v>
      </c>
      <c r="U286" s="103"/>
      <c r="V286" s="103">
        <v>0.17228095323418741</v>
      </c>
      <c r="W286" s="103">
        <v>3.3884415613920256E-2</v>
      </c>
      <c r="X286" s="103">
        <f>IF(W286=0,V286,W286)</f>
        <v>3.3884415613920256E-2</v>
      </c>
      <c r="Y286" s="162">
        <v>6.07</v>
      </c>
      <c r="Z286" s="56">
        <v>1.53</v>
      </c>
      <c r="AA286" s="56"/>
      <c r="AB286" s="56">
        <v>2.67</v>
      </c>
      <c r="AC286" s="56">
        <v>0.59419999999999995</v>
      </c>
      <c r="AD286" s="56">
        <v>2.54</v>
      </c>
      <c r="AE286" s="56">
        <v>2.36</v>
      </c>
      <c r="AF286" s="56">
        <f t="shared" si="92"/>
        <v>2.54</v>
      </c>
      <c r="AG286" s="57">
        <v>2.57</v>
      </c>
      <c r="AH286" s="103">
        <v>1.4900000000000001E-21</v>
      </c>
      <c r="AI286" s="103"/>
      <c r="AJ286" s="62">
        <f t="shared" si="102"/>
        <v>-19.215380057900379</v>
      </c>
      <c r="AK286" s="62"/>
      <c r="AL286" s="62">
        <f t="shared" si="99"/>
        <v>-19.215380057900379</v>
      </c>
      <c r="AM286" s="62">
        <v>-28.317799999999998</v>
      </c>
      <c r="AN286" s="154">
        <v>-24.4</v>
      </c>
      <c r="AO286" s="410">
        <v>7.6</v>
      </c>
      <c r="AP286" s="410">
        <v>1.67</v>
      </c>
      <c r="AQ286" s="56" t="s">
        <v>6311</v>
      </c>
      <c r="AR286" s="56" t="s">
        <v>6311</v>
      </c>
      <c r="AS286" s="149" t="s">
        <v>6</v>
      </c>
      <c r="AT286" s="58" t="s">
        <v>266</v>
      </c>
      <c r="AU286" s="56">
        <v>0</v>
      </c>
      <c r="AV286" s="56">
        <v>144</v>
      </c>
      <c r="AW286" s="56">
        <v>144</v>
      </c>
      <c r="AX286" s="56">
        <v>25</v>
      </c>
      <c r="AY286" s="56" t="s">
        <v>8722</v>
      </c>
      <c r="AZ286" s="56" t="s">
        <v>2175</v>
      </c>
      <c r="BA286" s="56" t="s">
        <v>8722</v>
      </c>
      <c r="BB286" s="55" t="s">
        <v>2176</v>
      </c>
      <c r="BC286" s="166" t="s">
        <v>538</v>
      </c>
      <c r="BD286" s="166"/>
      <c r="BE286" s="56" t="s">
        <v>271</v>
      </c>
      <c r="BF286" s="56" t="s">
        <v>1974</v>
      </c>
      <c r="BG286" s="56" t="s">
        <v>1974</v>
      </c>
      <c r="BH286" s="56" t="s">
        <v>2177</v>
      </c>
      <c r="BI286" s="103">
        <v>0.02</v>
      </c>
      <c r="BJ286" s="103">
        <v>2</v>
      </c>
      <c r="BK286" s="56" t="s">
        <v>2178</v>
      </c>
      <c r="BL286" s="103">
        <f t="shared" si="87"/>
        <v>2.1712358442204067</v>
      </c>
      <c r="BM286" s="56" t="s">
        <v>541</v>
      </c>
      <c r="BN286" s="56"/>
      <c r="BO286" s="56"/>
      <c r="BP286" s="56"/>
      <c r="BQ286" s="56"/>
      <c r="BR286" s="56">
        <v>7.6149521825796774E-4</v>
      </c>
      <c r="BS286" s="56"/>
      <c r="BT286" s="56"/>
      <c r="BU286" s="158"/>
      <c r="BV286" s="56"/>
      <c r="BW286" s="56"/>
      <c r="BX286" s="56"/>
      <c r="BY286" s="56"/>
      <c r="BZ286" s="56"/>
      <c r="CA286" s="56"/>
      <c r="CB286" s="56"/>
      <c r="CC286" s="56"/>
      <c r="CD286" s="56"/>
      <c r="CE286" s="56"/>
      <c r="CF286" s="56"/>
      <c r="CG286" s="56"/>
      <c r="CH286" s="56"/>
      <c r="CI286" s="103">
        <f t="shared" si="93"/>
        <v>7.6149521825796774E-4</v>
      </c>
      <c r="CJ286" s="103">
        <f t="shared" si="94"/>
        <v>-3.1183328194332551</v>
      </c>
      <c r="CK286" s="57">
        <f t="shared" si="96"/>
        <v>1.0856179221102034</v>
      </c>
      <c r="CL286" s="160">
        <f t="shared" si="103"/>
        <v>2851.279682605792</v>
      </c>
      <c r="CM286" s="160"/>
      <c r="CN286" s="160"/>
      <c r="CO286" s="55" t="s">
        <v>2179</v>
      </c>
      <c r="CP286" s="55" t="s">
        <v>2180</v>
      </c>
      <c r="CQ286" s="149" t="s">
        <v>272</v>
      </c>
      <c r="CR286" s="349"/>
      <c r="CS286" s="61" t="s">
        <v>539</v>
      </c>
      <c r="CT286" s="61" t="s">
        <v>6310</v>
      </c>
      <c r="CU286" s="111">
        <f t="shared" si="86"/>
        <v>44.497213904291925</v>
      </c>
      <c r="CV286" s="331">
        <f t="shared" si="97"/>
        <v>1.6942207806960128E-2</v>
      </c>
      <c r="CW286" s="326">
        <f t="shared" si="95"/>
        <v>1</v>
      </c>
      <c r="CX286" s="326" t="s">
        <v>539</v>
      </c>
      <c r="CY286" s="161" t="s">
        <v>5921</v>
      </c>
    </row>
    <row r="287" spans="1:103" ht="11.25" customHeight="1" x14ac:dyDescent="0.2">
      <c r="A287" s="72">
        <v>285</v>
      </c>
      <c r="B287" s="149">
        <v>247</v>
      </c>
      <c r="C287" s="54" t="s">
        <v>1077</v>
      </c>
      <c r="D287" s="54" t="s">
        <v>6581</v>
      </c>
      <c r="E287" s="59"/>
      <c r="F287" s="59" t="s">
        <v>1078</v>
      </c>
      <c r="G287" s="151">
        <v>121552612</v>
      </c>
      <c r="H287" s="55" t="s">
        <v>1079</v>
      </c>
      <c r="I287" s="55" t="s">
        <v>1079</v>
      </c>
      <c r="J287" s="55" t="s">
        <v>1080</v>
      </c>
      <c r="K287" s="55" t="s">
        <v>426</v>
      </c>
      <c r="L287" s="55" t="s">
        <v>5969</v>
      </c>
      <c r="M287" s="55" t="s">
        <v>6082</v>
      </c>
      <c r="N287" s="60" t="s">
        <v>6082</v>
      </c>
      <c r="O287" s="55" t="s">
        <v>6083</v>
      </c>
      <c r="P287" s="67">
        <v>3</v>
      </c>
      <c r="Q287" s="67" t="s">
        <v>6173</v>
      </c>
      <c r="R287" s="67">
        <v>1</v>
      </c>
      <c r="S287" s="67" t="s">
        <v>6173</v>
      </c>
      <c r="T287" s="56">
        <v>225.29</v>
      </c>
      <c r="U287" s="103">
        <v>5.770340450086555E-2</v>
      </c>
      <c r="V287" s="103">
        <v>5.4951395978516587E-2</v>
      </c>
      <c r="W287" s="103">
        <v>5.0118723362727241E-2</v>
      </c>
      <c r="X287" s="103">
        <v>5.770340450086555E-2</v>
      </c>
      <c r="Y287" s="162">
        <v>7.09</v>
      </c>
      <c r="Z287" s="56">
        <v>3.99</v>
      </c>
      <c r="AA287" s="56">
        <v>4</v>
      </c>
      <c r="AB287" s="56">
        <v>3.5</v>
      </c>
      <c r="AC287" s="56">
        <v>0.81540000000000001</v>
      </c>
      <c r="AD287" s="56">
        <v>3.62</v>
      </c>
      <c r="AE287" s="56">
        <v>4</v>
      </c>
      <c r="AF287" s="56">
        <f t="shared" si="92"/>
        <v>4</v>
      </c>
      <c r="AG287" s="57">
        <v>3.52</v>
      </c>
      <c r="AH287" s="103">
        <v>1.9099999999999999E-6</v>
      </c>
      <c r="AI287" s="103">
        <v>8.3900000000000004E-8</v>
      </c>
      <c r="AJ287" s="62">
        <f t="shared" si="102"/>
        <v>-4.1075329590649243</v>
      </c>
      <c r="AK287" s="62">
        <f>LOG10(AI287*1000/(0.08206*298.15))</f>
        <v>-5.4648043654839515</v>
      </c>
      <c r="AL287" s="62">
        <f t="shared" si="99"/>
        <v>-5.4648043654839515</v>
      </c>
      <c r="AM287" s="62">
        <v>-10.070709999999998</v>
      </c>
      <c r="AN287" s="154">
        <v>-5.85</v>
      </c>
      <c r="AO287" s="410"/>
      <c r="AP287" s="410">
        <v>3.8</v>
      </c>
      <c r="AQ287" s="154" t="s">
        <v>6311</v>
      </c>
      <c r="AR287" s="154" t="s">
        <v>6311</v>
      </c>
      <c r="AS287" s="149" t="s">
        <v>6</v>
      </c>
      <c r="AT287" s="58" t="s">
        <v>266</v>
      </c>
      <c r="AU287" s="56">
        <v>8</v>
      </c>
      <c r="AV287" s="56">
        <v>144</v>
      </c>
      <c r="AW287" s="56">
        <v>120</v>
      </c>
      <c r="AX287" s="56">
        <v>26</v>
      </c>
      <c r="AY287" s="56" t="s">
        <v>267</v>
      </c>
      <c r="AZ287" s="56" t="s">
        <v>268</v>
      </c>
      <c r="BA287" s="56">
        <v>2</v>
      </c>
      <c r="BB287" s="55" t="s">
        <v>888</v>
      </c>
      <c r="BC287" s="55" t="s">
        <v>270</v>
      </c>
      <c r="BD287" s="55" t="s">
        <v>8374</v>
      </c>
      <c r="BE287" s="56" t="s">
        <v>889</v>
      </c>
      <c r="BF287" s="56" t="s">
        <v>272</v>
      </c>
      <c r="BG287" s="56" t="s">
        <v>272</v>
      </c>
      <c r="BH287" s="56" t="s">
        <v>890</v>
      </c>
      <c r="BI287" s="103">
        <v>9.9999999999999995E-7</v>
      </c>
      <c r="BJ287" s="103">
        <v>0.08</v>
      </c>
      <c r="BK287" s="56"/>
      <c r="BL287" s="103">
        <f t="shared" si="87"/>
        <v>1.3408524812597552E-2</v>
      </c>
      <c r="BM287" s="56" t="s">
        <v>891</v>
      </c>
      <c r="BN287" s="162"/>
      <c r="BO287" s="162"/>
      <c r="BP287" s="162"/>
      <c r="BQ287" s="162"/>
      <c r="BR287" s="162"/>
      <c r="BS287" s="56">
        <v>1.5380611171211632E-2</v>
      </c>
      <c r="BT287" s="162"/>
      <c r="BU287" s="158"/>
      <c r="BV287" s="162"/>
      <c r="BW287" s="162"/>
      <c r="BX287" s="162"/>
      <c r="BY287" s="162"/>
      <c r="BZ287" s="162"/>
      <c r="CA287" s="162"/>
      <c r="CB287" s="162"/>
      <c r="CC287" s="56"/>
      <c r="CD287" s="56"/>
      <c r="CE287" s="56"/>
      <c r="CF287" s="56"/>
      <c r="CG287" s="56"/>
      <c r="CH287" s="56"/>
      <c r="CI287" s="103">
        <f t="shared" si="93"/>
        <v>1.5380611171211632E-2</v>
      </c>
      <c r="CJ287" s="103">
        <f t="shared" si="94"/>
        <v>-1.8130264068615678</v>
      </c>
      <c r="CK287" s="57">
        <f t="shared" si="96"/>
        <v>0.16760656015746939</v>
      </c>
      <c r="CL287" s="160">
        <f t="shared" si="103"/>
        <v>0.87178101463839774</v>
      </c>
      <c r="CM287" s="160">
        <v>-1.9707248724458855</v>
      </c>
      <c r="CN287" s="160">
        <f>BJ287/(10^CM287)</f>
        <v>7.4785062240663933</v>
      </c>
      <c r="CO287" s="55" t="s">
        <v>892</v>
      </c>
      <c r="CP287" s="55" t="s">
        <v>893</v>
      </c>
      <c r="CQ287" s="149">
        <v>-1.9442007435209607</v>
      </c>
      <c r="CR287" s="349">
        <f t="shared" ref="CR287:CR297" si="104">10^(CJ287-CQ287)</f>
        <v>1.3526154278660356</v>
      </c>
      <c r="CS287" s="61" t="s">
        <v>539</v>
      </c>
      <c r="CT287" s="61"/>
      <c r="CU287" s="111">
        <f t="shared" si="86"/>
        <v>3.7516977614563722</v>
      </c>
      <c r="CV287" s="331">
        <f t="shared" si="97"/>
        <v>0.72129255626081934</v>
      </c>
      <c r="CW287" s="326">
        <f t="shared" si="95"/>
        <v>1</v>
      </c>
      <c r="CX287" s="326" t="s">
        <v>539</v>
      </c>
      <c r="CY287" s="161" t="s">
        <v>5921</v>
      </c>
    </row>
    <row r="288" spans="1:103" ht="11.25" customHeight="1" x14ac:dyDescent="0.2">
      <c r="A288" s="72">
        <v>286</v>
      </c>
      <c r="B288" s="149">
        <v>801</v>
      </c>
      <c r="C288" s="54" t="s">
        <v>2256</v>
      </c>
      <c r="D288" s="54" t="s">
        <v>6586</v>
      </c>
      <c r="E288" s="59"/>
      <c r="F288" s="59" t="s">
        <v>2257</v>
      </c>
      <c r="G288" s="151">
        <v>135158542</v>
      </c>
      <c r="H288" s="55" t="s">
        <v>2258</v>
      </c>
      <c r="I288" s="55" t="s">
        <v>8169</v>
      </c>
      <c r="J288" s="55" t="s">
        <v>2259</v>
      </c>
      <c r="K288" s="55" t="s">
        <v>357</v>
      </c>
      <c r="L288" s="55" t="s">
        <v>6024</v>
      </c>
      <c r="M288" s="60" t="s">
        <v>2342</v>
      </c>
      <c r="N288" s="60" t="s">
        <v>2342</v>
      </c>
      <c r="O288" s="55"/>
      <c r="P288" s="67">
        <v>3</v>
      </c>
      <c r="Q288" s="67" t="s">
        <v>6173</v>
      </c>
      <c r="R288" s="67">
        <v>1</v>
      </c>
      <c r="S288" s="67" t="s">
        <v>6173</v>
      </c>
      <c r="T288" s="56">
        <v>210.28</v>
      </c>
      <c r="U288" s="103">
        <v>3.6617842876165117E-2</v>
      </c>
      <c r="V288" s="103">
        <v>0.41478029294274299</v>
      </c>
      <c r="W288" s="103">
        <v>0.25703957827688606</v>
      </c>
      <c r="X288" s="103">
        <v>3.6617842876165117E-2</v>
      </c>
      <c r="Y288" s="162">
        <v>7</v>
      </c>
      <c r="Z288" s="56">
        <v>1.55</v>
      </c>
      <c r="AA288" s="56">
        <v>3.1</v>
      </c>
      <c r="AB288" s="56">
        <v>2</v>
      </c>
      <c r="AC288" s="56">
        <v>0.77859999999999996</v>
      </c>
      <c r="AD288" s="56">
        <v>2.0499999999999998</v>
      </c>
      <c r="AE288" s="56">
        <v>2.1800000000000002</v>
      </c>
      <c r="AF288" s="56">
        <f t="shared" ref="AF288:AF319" si="105">IF(AA288=0,AD288,AA288)</f>
        <v>3.1</v>
      </c>
      <c r="AG288" s="57">
        <v>2.62</v>
      </c>
      <c r="AH288" s="103">
        <v>3.9000000000000002E-9</v>
      </c>
      <c r="AI288" s="103">
        <v>1.1899999999999999E-7</v>
      </c>
      <c r="AJ288" s="62">
        <f t="shared" si="102"/>
        <v>-6.7975017192861529</v>
      </c>
      <c r="AK288" s="62">
        <f>LOG10(AI288*1000/(0.08206*298.15))</f>
        <v>-5.3130193649201214</v>
      </c>
      <c r="AL288" s="62">
        <f t="shared" si="99"/>
        <v>-5.3130193649201214</v>
      </c>
      <c r="AM288" s="62">
        <v>-10.888459999999998</v>
      </c>
      <c r="AN288" s="154">
        <v>-5.2</v>
      </c>
      <c r="AO288" s="410"/>
      <c r="AP288" s="410">
        <v>-3.9</v>
      </c>
      <c r="AQ288" s="56" t="s">
        <v>6311</v>
      </c>
      <c r="AR288" s="56" t="s">
        <v>6311</v>
      </c>
      <c r="AS288" s="149" t="s">
        <v>6</v>
      </c>
      <c r="AT288" s="58" t="s">
        <v>266</v>
      </c>
      <c r="AU288" s="56">
        <v>8</v>
      </c>
      <c r="AV288" s="56">
        <v>144</v>
      </c>
      <c r="AW288" s="56">
        <v>120</v>
      </c>
      <c r="AX288" s="56">
        <v>26</v>
      </c>
      <c r="AY288" s="56" t="s">
        <v>267</v>
      </c>
      <c r="AZ288" s="56" t="s">
        <v>2253</v>
      </c>
      <c r="BA288" s="56">
        <v>2</v>
      </c>
      <c r="BB288" s="55" t="s">
        <v>2254</v>
      </c>
      <c r="BC288" s="55" t="s">
        <v>270</v>
      </c>
      <c r="BD288" s="55" t="s">
        <v>8374</v>
      </c>
      <c r="BE288" s="56" t="s">
        <v>1712</v>
      </c>
      <c r="BF288" s="56" t="s">
        <v>272</v>
      </c>
      <c r="BG288" s="56" t="s">
        <v>272</v>
      </c>
      <c r="BH288" s="56" t="s">
        <v>2255</v>
      </c>
      <c r="BI288" s="103">
        <v>9.9999999999999995E-7</v>
      </c>
      <c r="BJ288" s="103">
        <v>0.08</v>
      </c>
      <c r="BK288" s="56"/>
      <c r="BL288" s="103">
        <f t="shared" si="87"/>
        <v>2.0832673143506195</v>
      </c>
      <c r="BM288" s="56" t="s">
        <v>891</v>
      </c>
      <c r="BN288" s="56"/>
      <c r="BO288" s="56"/>
      <c r="BP288" s="56"/>
      <c r="BQ288" s="56"/>
      <c r="BR288" s="56"/>
      <c r="BS288" s="56">
        <v>1.5380611171211632E-2</v>
      </c>
      <c r="BT288" s="56"/>
      <c r="BU288" s="158"/>
      <c r="BV288" s="56"/>
      <c r="BW288" s="56"/>
      <c r="BX288" s="56"/>
      <c r="BY288" s="56"/>
      <c r="BZ288" s="56"/>
      <c r="CA288" s="56"/>
      <c r="CB288" s="56"/>
      <c r="CC288" s="56"/>
      <c r="CD288" s="56"/>
      <c r="CE288" s="56"/>
      <c r="CF288" s="56"/>
      <c r="CG288" s="56"/>
      <c r="CH288" s="56"/>
      <c r="CI288" s="103">
        <f t="shared" si="93"/>
        <v>1.5380611171211632E-2</v>
      </c>
      <c r="CJ288" s="103">
        <f t="shared" si="94"/>
        <v>-1.8130264068615678</v>
      </c>
      <c r="CK288" s="57">
        <f t="shared" si="96"/>
        <v>26.040841429382745</v>
      </c>
      <c r="CL288" s="160">
        <f t="shared" si="103"/>
        <v>135.44762891151788</v>
      </c>
      <c r="CM288" s="160">
        <v>-2.3783152961962188</v>
      </c>
      <c r="CN288" s="160">
        <f>BJ288/(10^CM288)</f>
        <v>19.116363636363648</v>
      </c>
      <c r="CO288" s="55" t="s">
        <v>892</v>
      </c>
      <c r="CP288" s="55" t="s">
        <v>893</v>
      </c>
      <c r="CQ288" s="149">
        <v>-2.2484966409433409</v>
      </c>
      <c r="CR288" s="349">
        <f t="shared" si="104"/>
        <v>2.7256509203384458</v>
      </c>
      <c r="CS288" s="61" t="s">
        <v>539</v>
      </c>
      <c r="CT288" s="61"/>
      <c r="CU288" s="111">
        <f t="shared" si="86"/>
        <v>2.3807794416325843</v>
      </c>
      <c r="CV288" s="331">
        <f t="shared" si="97"/>
        <v>0.45772303595206398</v>
      </c>
      <c r="CW288" s="326">
        <f t="shared" si="95"/>
        <v>1</v>
      </c>
      <c r="CX288" s="326" t="s">
        <v>539</v>
      </c>
      <c r="CY288" s="161" t="s">
        <v>5921</v>
      </c>
    </row>
    <row r="289" spans="1:103" ht="11.25" customHeight="1" x14ac:dyDescent="0.2">
      <c r="A289" s="72">
        <v>287</v>
      </c>
      <c r="B289" s="149">
        <v>401</v>
      </c>
      <c r="C289" s="54" t="s">
        <v>1375</v>
      </c>
      <c r="D289" s="54" t="s">
        <v>6426</v>
      </c>
      <c r="E289" s="59"/>
      <c r="F289" s="59" t="s">
        <v>1376</v>
      </c>
      <c r="G289" s="151">
        <v>51036</v>
      </c>
      <c r="H289" s="55" t="s">
        <v>1377</v>
      </c>
      <c r="I289" s="55" t="s">
        <v>1377</v>
      </c>
      <c r="J289" s="55" t="s">
        <v>1378</v>
      </c>
      <c r="K289" s="55" t="s">
        <v>287</v>
      </c>
      <c r="L289" s="55" t="s">
        <v>6089</v>
      </c>
      <c r="M289" s="55" t="s">
        <v>6137</v>
      </c>
      <c r="N289" s="60" t="s">
        <v>6082</v>
      </c>
      <c r="O289" s="55" t="s">
        <v>6138</v>
      </c>
      <c r="P289" s="67">
        <v>3</v>
      </c>
      <c r="Q289" s="67" t="s">
        <v>6173</v>
      </c>
      <c r="R289" s="67">
        <v>1</v>
      </c>
      <c r="S289" s="67" t="s">
        <v>6173</v>
      </c>
      <c r="T289" s="56">
        <v>338.44</v>
      </c>
      <c r="U289" s="103">
        <v>4.2252688807469567E-2</v>
      </c>
      <c r="V289" s="103">
        <v>1.8863018555726272E-3</v>
      </c>
      <c r="W289" s="103">
        <v>0.10964781961431837</v>
      </c>
      <c r="X289" s="103">
        <v>4.2252688807469567E-2</v>
      </c>
      <c r="Y289" s="162">
        <v>7</v>
      </c>
      <c r="Z289" s="56">
        <v>4.29</v>
      </c>
      <c r="AA289" s="56">
        <v>4.75</v>
      </c>
      <c r="AB289" s="56">
        <v>3.86</v>
      </c>
      <c r="AC289" s="56">
        <v>0.69040000000000001</v>
      </c>
      <c r="AD289" s="56">
        <v>4</v>
      </c>
      <c r="AE289" s="56">
        <v>4.2300000000000004</v>
      </c>
      <c r="AF289" s="56">
        <f t="shared" si="105"/>
        <v>4.75</v>
      </c>
      <c r="AG289" s="57">
        <v>3.95</v>
      </c>
      <c r="AH289" s="103">
        <v>8.8899999999999998E-11</v>
      </c>
      <c r="AI289" s="103"/>
      <c r="AJ289" s="62">
        <f t="shared" si="102"/>
        <v>-8.4396645653424383</v>
      </c>
      <c r="AK289" s="62"/>
      <c r="AL289" s="62">
        <f t="shared" si="99"/>
        <v>-8.4396645653424383</v>
      </c>
      <c r="AM289" s="62">
        <v>-11.402930000000001</v>
      </c>
      <c r="AN289" s="154">
        <v>-6.3</v>
      </c>
      <c r="AO289" s="410"/>
      <c r="AP289" s="410"/>
      <c r="AQ289" s="154" t="s">
        <v>6311</v>
      </c>
      <c r="AR289" s="154" t="s">
        <v>6311</v>
      </c>
      <c r="AS289" s="149" t="s">
        <v>6</v>
      </c>
      <c r="AT289" s="58" t="s">
        <v>266</v>
      </c>
      <c r="AU289" s="56">
        <v>8</v>
      </c>
      <c r="AV289" s="56">
        <v>144</v>
      </c>
      <c r="AW289" s="56">
        <v>120</v>
      </c>
      <c r="AX289" s="56">
        <v>26</v>
      </c>
      <c r="AY289" s="56" t="s">
        <v>267</v>
      </c>
      <c r="AZ289" s="56" t="s">
        <v>268</v>
      </c>
      <c r="BA289" s="56">
        <v>2</v>
      </c>
      <c r="BB289" s="55" t="s">
        <v>888</v>
      </c>
      <c r="BC289" s="55" t="s">
        <v>270</v>
      </c>
      <c r="BD289" s="55" t="s">
        <v>8374</v>
      </c>
      <c r="BE289" s="56" t="s">
        <v>889</v>
      </c>
      <c r="BF289" s="56" t="s">
        <v>272</v>
      </c>
      <c r="BG289" s="56" t="s">
        <v>272</v>
      </c>
      <c r="BH289" s="56" t="s">
        <v>890</v>
      </c>
      <c r="BI289" s="103">
        <v>9.9999999999999995E-7</v>
      </c>
      <c r="BJ289" s="103">
        <v>0.08</v>
      </c>
      <c r="BK289" s="56"/>
      <c r="BL289" s="103">
        <f t="shared" si="87"/>
        <v>7.2102612361725589E-3</v>
      </c>
      <c r="BM289" s="56" t="s">
        <v>891</v>
      </c>
      <c r="BN289" s="162"/>
      <c r="BO289" s="162"/>
      <c r="BP289" s="162"/>
      <c r="BQ289" s="162"/>
      <c r="BR289" s="162"/>
      <c r="BS289" s="56">
        <v>1.5380611171211632E-2</v>
      </c>
      <c r="BT289" s="162"/>
      <c r="BU289" s="158"/>
      <c r="BV289" s="162"/>
      <c r="BW289" s="162"/>
      <c r="BX289" s="162"/>
      <c r="BY289" s="162"/>
      <c r="BZ289" s="162"/>
      <c r="CA289" s="162"/>
      <c r="CB289" s="162"/>
      <c r="CC289" s="56"/>
      <c r="CD289" s="56"/>
      <c r="CE289" s="56"/>
      <c r="CF289" s="56"/>
      <c r="CG289" s="56"/>
      <c r="CH289" s="56"/>
      <c r="CI289" s="103">
        <f t="shared" si="93"/>
        <v>1.5380611171211632E-2</v>
      </c>
      <c r="CJ289" s="103">
        <f t="shared" si="94"/>
        <v>-1.8130264068615678</v>
      </c>
      <c r="CK289" s="57">
        <f t="shared" si="96"/>
        <v>9.0128265452156978E-2</v>
      </c>
      <c r="CL289" s="160">
        <f t="shared" si="103"/>
        <v>0.46878899387744932</v>
      </c>
      <c r="CM289" s="160">
        <v>-2.0123652673331502</v>
      </c>
      <c r="CN289" s="160">
        <f>BJ289/(10^CM289)</f>
        <v>8.231050274455626</v>
      </c>
      <c r="CO289" s="55" t="s">
        <v>892</v>
      </c>
      <c r="CP289" s="55" t="s">
        <v>893</v>
      </c>
      <c r="CQ289" s="149">
        <v>-1.9166265260028368</v>
      </c>
      <c r="CR289" s="349">
        <f t="shared" si="104"/>
        <v>1.2694047502012544</v>
      </c>
      <c r="CS289" s="61" t="s">
        <v>539</v>
      </c>
      <c r="CT289" s="61"/>
      <c r="CU289" s="111">
        <f t="shared" si="86"/>
        <v>2.7471397811912208</v>
      </c>
      <c r="CV289" s="331">
        <f t="shared" si="97"/>
        <v>0.52815861009336962</v>
      </c>
      <c r="CW289" s="326">
        <f t="shared" si="95"/>
        <v>1</v>
      </c>
      <c r="CX289" s="326" t="s">
        <v>539</v>
      </c>
      <c r="CY289" s="161" t="s">
        <v>6351</v>
      </c>
    </row>
    <row r="290" spans="1:103" ht="11.25" customHeight="1" x14ac:dyDescent="0.2">
      <c r="A290" s="72">
        <v>288</v>
      </c>
      <c r="B290" s="149">
        <v>872</v>
      </c>
      <c r="C290" s="54" t="s">
        <v>1400</v>
      </c>
      <c r="D290" s="54" t="s">
        <v>6488</v>
      </c>
      <c r="E290" s="59"/>
      <c r="F290" s="59" t="s">
        <v>1401</v>
      </c>
      <c r="G290" s="151">
        <v>709988</v>
      </c>
      <c r="H290" s="55" t="s">
        <v>1402</v>
      </c>
      <c r="I290" s="55" t="s">
        <v>8059</v>
      </c>
      <c r="J290" s="55" t="s">
        <v>1403</v>
      </c>
      <c r="K290" s="55" t="s">
        <v>471</v>
      </c>
      <c r="L290" s="55" t="s">
        <v>1404</v>
      </c>
      <c r="M290" s="55" t="s">
        <v>6082</v>
      </c>
      <c r="N290" s="60" t="s">
        <v>6082</v>
      </c>
      <c r="O290" s="55" t="s">
        <v>6083</v>
      </c>
      <c r="P290" s="67">
        <v>3</v>
      </c>
      <c r="Q290" s="67" t="s">
        <v>6173</v>
      </c>
      <c r="R290" s="67">
        <v>1</v>
      </c>
      <c r="S290" s="67" t="s">
        <v>6173</v>
      </c>
      <c r="T290" s="56">
        <v>218.08</v>
      </c>
      <c r="U290" s="103">
        <v>0.6969919295671313</v>
      </c>
      <c r="V290" s="103">
        <v>0.38600513573000733</v>
      </c>
      <c r="W290" s="103">
        <v>0.4168693834703352</v>
      </c>
      <c r="X290" s="103">
        <v>0.6969919295671313</v>
      </c>
      <c r="Y290" s="162">
        <v>7</v>
      </c>
      <c r="Z290" s="56">
        <v>2.88</v>
      </c>
      <c r="AA290" s="56">
        <v>3.07</v>
      </c>
      <c r="AB290" s="56">
        <v>3.39</v>
      </c>
      <c r="AC290" s="56">
        <v>0.89070000000000005</v>
      </c>
      <c r="AD290" s="56">
        <v>3.34</v>
      </c>
      <c r="AE290" s="56">
        <v>3.18</v>
      </c>
      <c r="AF290" s="56">
        <f t="shared" si="105"/>
        <v>3.07</v>
      </c>
      <c r="AG290" s="57">
        <v>3.05</v>
      </c>
      <c r="AH290" s="103">
        <v>4.4999999999999998E-9</v>
      </c>
      <c r="AI290" s="103">
        <v>1.7100000000000001E-9</v>
      </c>
      <c r="AJ290" s="62">
        <f t="shared" si="102"/>
        <v>-6.7353538125373085</v>
      </c>
      <c r="AK290" s="62">
        <f>LOG10(AI290*1000/(0.08206*298.15))</f>
        <v>-7.1555702159204984</v>
      </c>
      <c r="AL290" s="62">
        <f t="shared" si="99"/>
        <v>-7.1555702159204984</v>
      </c>
      <c r="AM290" s="62">
        <v>-10.588889999999999</v>
      </c>
      <c r="AN290" s="154">
        <v>-7.75</v>
      </c>
      <c r="AO290" s="410">
        <v>13.58</v>
      </c>
      <c r="AP290" s="410">
        <v>-0.91</v>
      </c>
      <c r="AQ290" s="154" t="s">
        <v>6311</v>
      </c>
      <c r="AR290" s="154" t="s">
        <v>6311</v>
      </c>
      <c r="AS290" s="149" t="s">
        <v>6</v>
      </c>
      <c r="AT290" s="58" t="s">
        <v>266</v>
      </c>
      <c r="AU290" s="56">
        <v>2</v>
      </c>
      <c r="AV290" s="56">
        <v>98</v>
      </c>
      <c r="AW290" s="56">
        <v>96</v>
      </c>
      <c r="AX290" s="56">
        <v>26</v>
      </c>
      <c r="AY290" s="56" t="s">
        <v>267</v>
      </c>
      <c r="AZ290" s="56" t="s">
        <v>536</v>
      </c>
      <c r="BA290" s="56">
        <v>10</v>
      </c>
      <c r="BB290" s="55" t="s">
        <v>1764</v>
      </c>
      <c r="BC290" s="55" t="s">
        <v>2448</v>
      </c>
      <c r="BD290" s="55"/>
      <c r="BE290" s="56" t="s">
        <v>1712</v>
      </c>
      <c r="BF290" s="56"/>
      <c r="BG290" s="56"/>
      <c r="BH290" s="56"/>
      <c r="BI290" s="103"/>
      <c r="BJ290" s="103"/>
      <c r="BK290" s="56"/>
      <c r="BL290" s="103">
        <f t="shared" si="87"/>
        <v>0.13312879467583441</v>
      </c>
      <c r="BM290" s="56" t="s">
        <v>541</v>
      </c>
      <c r="BN290" s="162">
        <v>1.8699999999999998E-2</v>
      </c>
      <c r="BO290" s="56">
        <v>1.6399999999999998E-2</v>
      </c>
      <c r="BP290" s="56">
        <v>1.6199999999999999E-2</v>
      </c>
      <c r="BQ290" s="56">
        <v>1.5099999999999999E-2</v>
      </c>
      <c r="BR290" s="56"/>
      <c r="BS290" s="56"/>
      <c r="BT290" s="56"/>
      <c r="BU290" s="158"/>
      <c r="BV290" s="56"/>
      <c r="BW290" s="56"/>
      <c r="BX290" s="56"/>
      <c r="BY290" s="56"/>
      <c r="BZ290" s="56"/>
      <c r="CA290" s="56"/>
      <c r="CB290" s="56"/>
      <c r="CC290" s="56"/>
      <c r="CD290" s="56"/>
      <c r="CE290" s="56"/>
      <c r="CF290" s="56"/>
      <c r="CG290" s="56"/>
      <c r="CH290" s="56"/>
      <c r="CI290" s="103">
        <f t="shared" si="93"/>
        <v>1.5099999999999999E-2</v>
      </c>
      <c r="CJ290" s="103">
        <f t="shared" si="94"/>
        <v>-1.8210230527068305</v>
      </c>
      <c r="CK290" s="57" t="s">
        <v>404</v>
      </c>
      <c r="CL290" s="160">
        <f t="shared" si="103"/>
        <v>8.8164764685983066</v>
      </c>
      <c r="CM290" s="160">
        <v>-1.6041469356578677</v>
      </c>
      <c r="CN290" s="160"/>
      <c r="CO290" s="55"/>
      <c r="CP290" s="55" t="s">
        <v>2470</v>
      </c>
      <c r="CQ290" s="149">
        <v>-1.4685362088928104</v>
      </c>
      <c r="CR290" s="349">
        <f t="shared" si="104"/>
        <v>0.44413311539184785</v>
      </c>
      <c r="CS290" s="61" t="s">
        <v>539</v>
      </c>
      <c r="CT290" s="61"/>
      <c r="CU290" s="111">
        <f t="shared" si="86"/>
        <v>46.158405931598104</v>
      </c>
      <c r="CV290" s="331"/>
      <c r="CW290" s="326">
        <f t="shared" si="95"/>
        <v>1</v>
      </c>
      <c r="CX290" s="326" t="s">
        <v>539</v>
      </c>
      <c r="CY290" s="161" t="s">
        <v>5921</v>
      </c>
    </row>
    <row r="291" spans="1:103" ht="11.25" customHeight="1" x14ac:dyDescent="0.2">
      <c r="A291" s="72">
        <v>289</v>
      </c>
      <c r="B291" s="149">
        <v>616</v>
      </c>
      <c r="C291" s="54" t="s">
        <v>1835</v>
      </c>
      <c r="D291" s="54" t="s">
        <v>6452</v>
      </c>
      <c r="E291" s="59"/>
      <c r="F291" s="59" t="s">
        <v>1836</v>
      </c>
      <c r="G291" s="151">
        <v>88062</v>
      </c>
      <c r="H291" s="55" t="s">
        <v>1837</v>
      </c>
      <c r="I291" s="55" t="s">
        <v>8321</v>
      </c>
      <c r="J291" s="55" t="s">
        <v>1838</v>
      </c>
      <c r="K291" s="55" t="s">
        <v>349</v>
      </c>
      <c r="L291" s="55"/>
      <c r="M291" s="55" t="s">
        <v>497</v>
      </c>
      <c r="N291" s="60" t="s">
        <v>6381</v>
      </c>
      <c r="O291" s="55" t="s">
        <v>498</v>
      </c>
      <c r="P291" s="67">
        <v>3</v>
      </c>
      <c r="Q291" s="67" t="s">
        <v>6173</v>
      </c>
      <c r="R291" s="67">
        <v>1</v>
      </c>
      <c r="S291" s="67" t="s">
        <v>6173</v>
      </c>
      <c r="T291" s="56">
        <v>197.45</v>
      </c>
      <c r="U291" s="103">
        <v>4.0516586477589263</v>
      </c>
      <c r="V291" s="103">
        <v>0.61281337047353768</v>
      </c>
      <c r="W291" s="103">
        <v>0.56234132519034852</v>
      </c>
      <c r="X291" s="103">
        <v>4.0516586477589263</v>
      </c>
      <c r="Y291" s="162">
        <v>4.92</v>
      </c>
      <c r="Z291" s="56">
        <v>3.45</v>
      </c>
      <c r="AA291" s="56">
        <v>3.69</v>
      </c>
      <c r="AB291" s="56">
        <v>3.67</v>
      </c>
      <c r="AC291" s="56">
        <v>0.91900000000000004</v>
      </c>
      <c r="AD291" s="56">
        <v>3.65</v>
      </c>
      <c r="AE291" s="56">
        <v>3.58</v>
      </c>
      <c r="AF291" s="56">
        <f t="shared" si="105"/>
        <v>3.69</v>
      </c>
      <c r="AG291" s="57">
        <v>3.49</v>
      </c>
      <c r="AH291" s="103">
        <v>2.28E-7</v>
      </c>
      <c r="AI291" s="103">
        <v>2.6000000000000001E-6</v>
      </c>
      <c r="AJ291" s="62">
        <f t="shared" si="102"/>
        <v>-5.0306314793121976</v>
      </c>
      <c r="AK291" s="62">
        <f>LOG10(AI291*1000/(0.08206*298.15))</f>
        <v>-3.9735929783418338</v>
      </c>
      <c r="AL291" s="62">
        <f t="shared" si="99"/>
        <v>-3.9735929783418338</v>
      </c>
      <c r="AM291" s="62">
        <v>-5.7308899999999996</v>
      </c>
      <c r="AN291" s="154">
        <v>-3.39</v>
      </c>
      <c r="AO291" s="410">
        <v>6.59</v>
      </c>
      <c r="AP291" s="410"/>
      <c r="AQ291" s="154" t="s">
        <v>6311</v>
      </c>
      <c r="AR291" s="154" t="s">
        <v>6311</v>
      </c>
      <c r="AS291" s="149" t="s">
        <v>6</v>
      </c>
      <c r="AT291" s="58" t="s">
        <v>266</v>
      </c>
      <c r="AU291" s="56">
        <v>2</v>
      </c>
      <c r="AV291" s="56" t="s">
        <v>646</v>
      </c>
      <c r="AW291" s="56" t="s">
        <v>646</v>
      </c>
      <c r="AX291" s="56">
        <v>26</v>
      </c>
      <c r="AY291" s="56" t="s">
        <v>647</v>
      </c>
      <c r="AZ291" s="56" t="s">
        <v>536</v>
      </c>
      <c r="BA291" s="56">
        <v>10</v>
      </c>
      <c r="BB291" s="55" t="s">
        <v>1764</v>
      </c>
      <c r="BC291" s="55" t="s">
        <v>538</v>
      </c>
      <c r="BD291" s="55"/>
      <c r="BE291" s="56" t="s">
        <v>1809</v>
      </c>
      <c r="BF291" s="56" t="s">
        <v>539</v>
      </c>
      <c r="BG291" s="56" t="s">
        <v>272</v>
      </c>
      <c r="BH291" s="56" t="s">
        <v>272</v>
      </c>
      <c r="BI291" s="157">
        <v>3.1653583185616615E-3</v>
      </c>
      <c r="BJ291" s="157">
        <v>5.0645733096986584E-2</v>
      </c>
      <c r="BK291" s="56"/>
      <c r="BL291" s="103">
        <f t="shared" si="87"/>
        <v>4.0959533340592637E-2</v>
      </c>
      <c r="BM291" s="56" t="s">
        <v>541</v>
      </c>
      <c r="BN291" s="56"/>
      <c r="BO291" s="56">
        <v>2.071410483666751E-2</v>
      </c>
      <c r="BP291" s="56"/>
      <c r="BQ291" s="56"/>
      <c r="BR291" s="56">
        <v>1.4999999999999999E-2</v>
      </c>
      <c r="BS291" s="56"/>
      <c r="BT291" s="56"/>
      <c r="BU291" s="158"/>
      <c r="BV291" s="56"/>
      <c r="BW291" s="56"/>
      <c r="BX291" s="56"/>
      <c r="BY291" s="56"/>
      <c r="BZ291" s="56"/>
      <c r="CA291" s="56"/>
      <c r="CB291" s="56"/>
      <c r="CC291" s="56"/>
      <c r="CD291" s="56"/>
      <c r="CE291" s="56"/>
      <c r="CF291" s="56"/>
      <c r="CG291" s="56"/>
      <c r="CH291" s="56"/>
      <c r="CI291" s="103">
        <f t="shared" si="93"/>
        <v>1.4999999999999999E-2</v>
      </c>
      <c r="CJ291" s="103">
        <f t="shared" si="94"/>
        <v>-1.8239087409443189</v>
      </c>
      <c r="CK291" s="57">
        <f t="shared" ref="CK291:CK314" si="106">BL291/BJ291</f>
        <v>0.80874598581000157</v>
      </c>
      <c r="CL291" s="160">
        <f t="shared" si="103"/>
        <v>2.730635556039509</v>
      </c>
      <c r="CM291" s="160">
        <v>-2.7576310805438662</v>
      </c>
      <c r="CN291" s="160">
        <f>BJ291/(10^CM291)</f>
        <v>28.985042564708415</v>
      </c>
      <c r="CO291" s="55"/>
      <c r="CP291" s="55" t="s">
        <v>1811</v>
      </c>
      <c r="CQ291" s="149">
        <v>-2.0614467129662142</v>
      </c>
      <c r="CR291" s="349">
        <f t="shared" si="104"/>
        <v>1.7279770575235871</v>
      </c>
      <c r="CS291" s="61" t="s">
        <v>539</v>
      </c>
      <c r="CT291" s="61"/>
      <c r="CU291" s="111">
        <f t="shared" si="86"/>
        <v>270.11057651726173</v>
      </c>
      <c r="CV291" s="331">
        <f t="shared" ref="CV291:CV314" si="107">X291/BJ291</f>
        <v>79.999999999999986</v>
      </c>
      <c r="CW291" s="326">
        <f t="shared" si="95"/>
        <v>1</v>
      </c>
      <c r="CX291" s="326"/>
      <c r="CY291" s="161" t="s">
        <v>5921</v>
      </c>
    </row>
    <row r="292" spans="1:103" ht="11.25" customHeight="1" x14ac:dyDescent="0.2">
      <c r="A292" s="72">
        <v>290</v>
      </c>
      <c r="B292" s="149">
        <v>204</v>
      </c>
      <c r="C292" s="54" t="s">
        <v>982</v>
      </c>
      <c r="D292" s="54" t="s">
        <v>6591</v>
      </c>
      <c r="E292" s="59"/>
      <c r="F292" s="59" t="s">
        <v>983</v>
      </c>
      <c r="G292" s="151">
        <v>188425856</v>
      </c>
      <c r="H292" s="55" t="s">
        <v>984</v>
      </c>
      <c r="I292" s="55" t="s">
        <v>7963</v>
      </c>
      <c r="J292" s="55" t="s">
        <v>985</v>
      </c>
      <c r="K292" s="55" t="s">
        <v>986</v>
      </c>
      <c r="L292" s="55" t="s">
        <v>5929</v>
      </c>
      <c r="M292" s="55" t="s">
        <v>5952</v>
      </c>
      <c r="N292" s="60" t="s">
        <v>6381</v>
      </c>
      <c r="O292" s="55" t="s">
        <v>5953</v>
      </c>
      <c r="P292" s="67">
        <v>3</v>
      </c>
      <c r="Q292" s="67" t="s">
        <v>6173</v>
      </c>
      <c r="R292" s="67">
        <v>1</v>
      </c>
      <c r="S292" s="67" t="s">
        <v>6173</v>
      </c>
      <c r="T292" s="56">
        <v>343.21</v>
      </c>
      <c r="U292" s="103"/>
      <c r="V292" s="103">
        <v>5.8826957256490203E-2</v>
      </c>
      <c r="W292" s="103">
        <v>2.13796208950223E-3</v>
      </c>
      <c r="X292" s="103">
        <f>IF(W292=0,V292,W292)</f>
        <v>2.13796208950223E-3</v>
      </c>
      <c r="Y292" s="162">
        <v>7</v>
      </c>
      <c r="Z292" s="56">
        <v>4</v>
      </c>
      <c r="AA292" s="56">
        <v>2.96</v>
      </c>
      <c r="AB292" s="56">
        <v>4.82</v>
      </c>
      <c r="AC292" s="56">
        <v>0.84850000000000003</v>
      </c>
      <c r="AD292" s="56">
        <v>4.6900000000000004</v>
      </c>
      <c r="AE292" s="56">
        <v>4.3099999999999996</v>
      </c>
      <c r="AF292" s="56">
        <f t="shared" si="105"/>
        <v>2.96</v>
      </c>
      <c r="AG292" s="57">
        <v>4.6900000000000004</v>
      </c>
      <c r="AH292" s="103">
        <v>4.2499999999999999E-12</v>
      </c>
      <c r="AI292" s="103"/>
      <c r="AJ292" s="62">
        <f t="shared" si="102"/>
        <v>-9.7601773962623408</v>
      </c>
      <c r="AK292" s="62"/>
      <c r="AL292" s="62">
        <f t="shared" si="99"/>
        <v>-9.7601773962623408</v>
      </c>
      <c r="AM292" s="62">
        <v>-17.975920000000002</v>
      </c>
      <c r="AN292" s="154">
        <v>-11.6</v>
      </c>
      <c r="AO292" s="410">
        <v>10.75</v>
      </c>
      <c r="AP292" s="410">
        <v>-0.3</v>
      </c>
      <c r="AQ292" s="154" t="s">
        <v>6311</v>
      </c>
      <c r="AR292" s="154" t="s">
        <v>6311</v>
      </c>
      <c r="AS292" s="149" t="s">
        <v>6</v>
      </c>
      <c r="AT292" s="58" t="s">
        <v>266</v>
      </c>
      <c r="AU292" s="56">
        <v>8</v>
      </c>
      <c r="AV292" s="56">
        <v>144</v>
      </c>
      <c r="AW292" s="56">
        <v>120</v>
      </c>
      <c r="AX292" s="56">
        <v>26</v>
      </c>
      <c r="AY292" s="56" t="s">
        <v>267</v>
      </c>
      <c r="AZ292" s="56" t="s">
        <v>268</v>
      </c>
      <c r="BA292" s="56">
        <v>3</v>
      </c>
      <c r="BB292" s="55" t="s">
        <v>888</v>
      </c>
      <c r="BC292" s="55" t="s">
        <v>270</v>
      </c>
      <c r="BD292" s="55" t="s">
        <v>8374</v>
      </c>
      <c r="BE292" s="56" t="s">
        <v>889</v>
      </c>
      <c r="BF292" s="56" t="s">
        <v>272</v>
      </c>
      <c r="BG292" s="56" t="s">
        <v>272</v>
      </c>
      <c r="BH292" s="56" t="s">
        <v>890</v>
      </c>
      <c r="BI292" s="103">
        <v>9.9999999999999995E-7</v>
      </c>
      <c r="BJ292" s="103">
        <v>0.08</v>
      </c>
      <c r="BK292" s="56"/>
      <c r="BL292" s="103">
        <f t="shared" si="87"/>
        <v>1.3134090365327335E-2</v>
      </c>
      <c r="BM292" s="56" t="s">
        <v>891</v>
      </c>
      <c r="BN292" s="162"/>
      <c r="BO292" s="162"/>
      <c r="BP292" s="162"/>
      <c r="BQ292" s="162"/>
      <c r="BR292" s="162"/>
      <c r="BS292" s="56">
        <v>1.4199999999999999E-2</v>
      </c>
      <c r="BT292" s="162"/>
      <c r="BU292" s="158"/>
      <c r="BV292" s="162"/>
      <c r="BW292" s="162"/>
      <c r="BX292" s="162"/>
      <c r="BY292" s="162"/>
      <c r="BZ292" s="162"/>
      <c r="CA292" s="162"/>
      <c r="CB292" s="162"/>
      <c r="CC292" s="56"/>
      <c r="CD292" s="56"/>
      <c r="CE292" s="56"/>
      <c r="CF292" s="56"/>
      <c r="CG292" s="56"/>
      <c r="CH292" s="56"/>
      <c r="CI292" s="103">
        <f t="shared" si="93"/>
        <v>1.4199999999999999E-2</v>
      </c>
      <c r="CJ292" s="103">
        <f t="shared" si="94"/>
        <v>-1.8477116556169435</v>
      </c>
      <c r="CK292" s="57">
        <f t="shared" si="106"/>
        <v>0.16417612956659169</v>
      </c>
      <c r="CL292" s="160">
        <f t="shared" si="103"/>
        <v>0.92493594122023493</v>
      </c>
      <c r="CM292" s="160">
        <v>-2.1041961691014479</v>
      </c>
      <c r="CN292" s="160">
        <f>BJ292/(10^CM292)</f>
        <v>10.169185185185189</v>
      </c>
      <c r="CO292" s="55" t="s">
        <v>892</v>
      </c>
      <c r="CP292" s="55" t="s">
        <v>893</v>
      </c>
      <c r="CQ292" s="149">
        <v>-2.1041961691014479</v>
      </c>
      <c r="CR292" s="349">
        <f t="shared" si="104"/>
        <v>1.8050303703703712</v>
      </c>
      <c r="CS292" s="61" t="s">
        <v>539</v>
      </c>
      <c r="CT292" s="61"/>
      <c r="CU292" s="111">
        <f t="shared" si="86"/>
        <v>0.15056071052832606</v>
      </c>
      <c r="CV292" s="331">
        <f t="shared" si="107"/>
        <v>2.6724526118777875E-2</v>
      </c>
      <c r="CW292" s="326">
        <f t="shared" si="95"/>
        <v>0</v>
      </c>
      <c r="CX292" s="326" t="s">
        <v>539</v>
      </c>
      <c r="CY292" s="161" t="s">
        <v>5921</v>
      </c>
    </row>
    <row r="293" spans="1:103" ht="11.25" customHeight="1" x14ac:dyDescent="0.2">
      <c r="A293" s="72">
        <v>291</v>
      </c>
      <c r="B293" s="149">
        <v>2168</v>
      </c>
      <c r="C293" s="54" t="s">
        <v>620</v>
      </c>
      <c r="D293" s="54" t="s">
        <v>6472</v>
      </c>
      <c r="E293" s="59"/>
      <c r="F293" s="59" t="s">
        <v>621</v>
      </c>
      <c r="G293" s="151">
        <v>121755</v>
      </c>
      <c r="H293" s="55" t="s">
        <v>622</v>
      </c>
      <c r="I293" s="55" t="s">
        <v>622</v>
      </c>
      <c r="J293" s="55" t="s">
        <v>623</v>
      </c>
      <c r="K293" s="55" t="s">
        <v>624</v>
      </c>
      <c r="L293" s="64" t="s">
        <v>316</v>
      </c>
      <c r="M293" s="55" t="s">
        <v>1867</v>
      </c>
      <c r="N293" s="60" t="s">
        <v>6376</v>
      </c>
      <c r="O293" s="55" t="s">
        <v>281</v>
      </c>
      <c r="P293" s="67">
        <v>3</v>
      </c>
      <c r="Q293" s="67" t="s">
        <v>6173</v>
      </c>
      <c r="R293" s="67">
        <v>1</v>
      </c>
      <c r="S293" s="67" t="s">
        <v>6173</v>
      </c>
      <c r="T293" s="56">
        <v>330.36</v>
      </c>
      <c r="U293" s="103">
        <v>0.43286112120111392</v>
      </c>
      <c r="V293" s="103">
        <v>0.23746821649110061</v>
      </c>
      <c r="W293" s="103">
        <v>0.56234132519034852</v>
      </c>
      <c r="X293" s="103">
        <v>0.43286112120111392</v>
      </c>
      <c r="Y293" s="162">
        <v>7</v>
      </c>
      <c r="Z293" s="56">
        <v>2.29</v>
      </c>
      <c r="AA293" s="56">
        <v>2.36</v>
      </c>
      <c r="AB293" s="56">
        <v>2.69</v>
      </c>
      <c r="AC293" s="56">
        <v>0.8125</v>
      </c>
      <c r="AD293" s="56">
        <v>2.76</v>
      </c>
      <c r="AE293" s="56">
        <v>2.93</v>
      </c>
      <c r="AF293" s="56">
        <f t="shared" si="105"/>
        <v>2.36</v>
      </c>
      <c r="AG293" s="57">
        <v>2.3199999999999998</v>
      </c>
      <c r="AH293" s="103">
        <v>8.39E-10</v>
      </c>
      <c r="AI293" s="103">
        <v>4.8900000000000003E-9</v>
      </c>
      <c r="AJ293" s="62">
        <f t="shared" si="102"/>
        <v>-7.4648043654839515</v>
      </c>
      <c r="AK293" s="62">
        <f>LOG10(AI293*1000/(0.08206*298.15))</f>
        <v>-6.6992574671890317</v>
      </c>
      <c r="AL293" s="62">
        <f t="shared" si="99"/>
        <v>-6.6992574671890317</v>
      </c>
      <c r="AM293" s="62">
        <v>-12.449109999999999</v>
      </c>
      <c r="AN293" s="154">
        <v>-5.94</v>
      </c>
      <c r="AO293" s="410"/>
      <c r="AP293" s="410"/>
      <c r="AQ293" s="154" t="s">
        <v>6312</v>
      </c>
      <c r="AR293" s="154" t="s">
        <v>6312</v>
      </c>
      <c r="AS293" s="149" t="s">
        <v>6</v>
      </c>
      <c r="AT293" s="58" t="s">
        <v>266</v>
      </c>
      <c r="AU293" s="56">
        <v>0</v>
      </c>
      <c r="AV293" s="56">
        <v>96</v>
      </c>
      <c r="AW293" s="56">
        <v>96</v>
      </c>
      <c r="AX293" s="56">
        <v>26</v>
      </c>
      <c r="AY293" s="472" t="s">
        <v>6360</v>
      </c>
      <c r="AZ293" s="56" t="s">
        <v>536</v>
      </c>
      <c r="BA293" s="56">
        <v>20</v>
      </c>
      <c r="BB293" s="55" t="s">
        <v>1764</v>
      </c>
      <c r="BC293" s="55" t="s">
        <v>6359</v>
      </c>
      <c r="BD293" s="55"/>
      <c r="BE293" s="56" t="s">
        <v>1712</v>
      </c>
      <c r="BF293" s="56" t="s">
        <v>539</v>
      </c>
      <c r="BG293" s="56" t="s">
        <v>539</v>
      </c>
      <c r="BH293" s="56" t="s">
        <v>272</v>
      </c>
      <c r="BI293" s="56">
        <f>0.5/330.36</f>
        <v>1.5135004237801185E-3</v>
      </c>
      <c r="BJ293" s="56">
        <f>8/330.36</f>
        <v>2.4216006780481896E-2</v>
      </c>
      <c r="BK293" s="56"/>
      <c r="BL293" s="103">
        <f t="shared" si="87"/>
        <v>0.45097347641126984</v>
      </c>
      <c r="BM293" s="56" t="s">
        <v>541</v>
      </c>
      <c r="BN293" s="56"/>
      <c r="BO293" s="56">
        <f>6.123/330.36</f>
        <v>1.8534326189611334E-2</v>
      </c>
      <c r="BP293" s="56"/>
      <c r="BQ293" s="56">
        <f>4.56/330.36</f>
        <v>1.3803123864874681E-2</v>
      </c>
      <c r="BR293" s="56"/>
      <c r="BS293" s="56"/>
      <c r="BT293" s="56"/>
      <c r="BU293" s="158"/>
      <c r="BV293" s="56"/>
      <c r="BW293" s="56"/>
      <c r="BX293" s="56"/>
      <c r="BY293" s="56"/>
      <c r="BZ293" s="56"/>
      <c r="CA293" s="56"/>
      <c r="CB293" s="56"/>
      <c r="CC293" s="56"/>
      <c r="CD293" s="56"/>
      <c r="CE293" s="56"/>
      <c r="CF293" s="56"/>
      <c r="CG293" s="56"/>
      <c r="CH293" s="56"/>
      <c r="CI293" s="103">
        <f t="shared" si="93"/>
        <v>1.3803123864874681E-2</v>
      </c>
      <c r="CJ293" s="103">
        <f t="shared" si="94"/>
        <v>-1.8600226147765202</v>
      </c>
      <c r="CK293" s="57">
        <f t="shared" si="106"/>
        <v>18.622949708403389</v>
      </c>
      <c r="CL293" s="160">
        <f t="shared" si="103"/>
        <v>32.671841593690154</v>
      </c>
      <c r="CM293" s="160">
        <v>-3.5360029785502594</v>
      </c>
      <c r="CN293" s="160">
        <f>BJ293/(10^CM293)</f>
        <v>83.19658654895423</v>
      </c>
      <c r="CO293" s="55"/>
      <c r="CP293" s="55" t="s">
        <v>6355</v>
      </c>
      <c r="CQ293" s="149">
        <v>-3.1259652426230411</v>
      </c>
      <c r="CR293" s="349">
        <f t="shared" si="104"/>
        <v>18.44771700871425</v>
      </c>
      <c r="CS293" s="61" t="s">
        <v>539</v>
      </c>
      <c r="CT293" s="61"/>
      <c r="CU293" s="111">
        <f t="shared" si="86"/>
        <v>31.359649122807017</v>
      </c>
      <c r="CV293" s="331">
        <f t="shared" si="107"/>
        <v>17.875</v>
      </c>
      <c r="CW293" s="326">
        <f t="shared" si="95"/>
        <v>1</v>
      </c>
      <c r="CX293" s="326" t="s">
        <v>539</v>
      </c>
      <c r="CY293" s="161" t="s">
        <v>5921</v>
      </c>
    </row>
    <row r="294" spans="1:103" ht="11.25" customHeight="1" x14ac:dyDescent="0.2">
      <c r="A294" s="72">
        <v>292</v>
      </c>
      <c r="B294" s="149">
        <v>446</v>
      </c>
      <c r="C294" s="54" t="s">
        <v>1474</v>
      </c>
      <c r="D294" s="54" t="s">
        <v>6573</v>
      </c>
      <c r="E294" s="59"/>
      <c r="F294" s="59" t="s">
        <v>1475</v>
      </c>
      <c r="G294" s="151">
        <v>96182535</v>
      </c>
      <c r="H294" s="55" t="s">
        <v>1476</v>
      </c>
      <c r="I294" s="55" t="s">
        <v>1476</v>
      </c>
      <c r="J294" s="55" t="s">
        <v>1477</v>
      </c>
      <c r="K294" s="55" t="s">
        <v>628</v>
      </c>
      <c r="L294" s="55" t="s">
        <v>617</v>
      </c>
      <c r="M294" s="55" t="s">
        <v>946</v>
      </c>
      <c r="N294" s="60" t="s">
        <v>6376</v>
      </c>
      <c r="O294" s="55" t="s">
        <v>918</v>
      </c>
      <c r="P294" s="67">
        <v>3</v>
      </c>
      <c r="Q294" s="67" t="s">
        <v>6173</v>
      </c>
      <c r="R294" s="67">
        <v>1</v>
      </c>
      <c r="S294" s="67" t="s">
        <v>6173</v>
      </c>
      <c r="T294" s="56">
        <v>318.37</v>
      </c>
      <c r="U294" s="103">
        <v>1.7275497063165498E-2</v>
      </c>
      <c r="V294" s="103">
        <v>7.9812796431824595E-3</v>
      </c>
      <c r="W294" s="103">
        <v>5.7543993733715576E-2</v>
      </c>
      <c r="X294" s="103">
        <v>1.7275497063165498E-2</v>
      </c>
      <c r="Y294" s="162">
        <v>7</v>
      </c>
      <c r="Z294" s="56">
        <v>4.1900000000000004</v>
      </c>
      <c r="AA294" s="56"/>
      <c r="AB294" s="56">
        <v>3.92</v>
      </c>
      <c r="AC294" s="56">
        <v>0.78249999999999997</v>
      </c>
      <c r="AD294" s="56">
        <v>3.73</v>
      </c>
      <c r="AE294" s="56">
        <v>3.3</v>
      </c>
      <c r="AF294" s="56">
        <f t="shared" si="105"/>
        <v>3.73</v>
      </c>
      <c r="AG294" s="57">
        <v>3.79</v>
      </c>
      <c r="AH294" s="103">
        <v>1.3899999999999999E-7</v>
      </c>
      <c r="AI294" s="103">
        <v>2.8499999999999998E-6</v>
      </c>
      <c r="AJ294" s="62">
        <f t="shared" si="102"/>
        <v>-5.2455515260585566</v>
      </c>
      <c r="AK294" s="62">
        <f>LOG10(AI294*1000/(0.08206*298.15))</f>
        <v>-3.9337214663041418</v>
      </c>
      <c r="AL294" s="62">
        <f t="shared" si="99"/>
        <v>-3.9337214663041418</v>
      </c>
      <c r="AM294" s="62">
        <v>-11.76464</v>
      </c>
      <c r="AN294" s="154">
        <v>-4.3499999999999996</v>
      </c>
      <c r="AO294" s="410"/>
      <c r="AP294" s="410">
        <v>0.46</v>
      </c>
      <c r="AQ294" s="154" t="s">
        <v>6312</v>
      </c>
      <c r="AR294" s="154" t="s">
        <v>6312</v>
      </c>
      <c r="AS294" s="149" t="s">
        <v>6</v>
      </c>
      <c r="AT294" s="58" t="s">
        <v>266</v>
      </c>
      <c r="AU294" s="56">
        <v>8</v>
      </c>
      <c r="AV294" s="56">
        <v>144</v>
      </c>
      <c r="AW294" s="56">
        <v>120</v>
      </c>
      <c r="AX294" s="56">
        <v>26</v>
      </c>
      <c r="AY294" s="56" t="s">
        <v>267</v>
      </c>
      <c r="AZ294" s="56" t="s">
        <v>268</v>
      </c>
      <c r="BA294" s="56">
        <v>3</v>
      </c>
      <c r="BB294" s="55" t="s">
        <v>888</v>
      </c>
      <c r="BC294" s="55" t="s">
        <v>270</v>
      </c>
      <c r="BD294" s="55" t="s">
        <v>8374</v>
      </c>
      <c r="BE294" s="56" t="s">
        <v>889</v>
      </c>
      <c r="BF294" s="56" t="s">
        <v>272</v>
      </c>
      <c r="BG294" s="56" t="s">
        <v>272</v>
      </c>
      <c r="BH294" s="56" t="s">
        <v>890</v>
      </c>
      <c r="BI294" s="103">
        <v>9.9999999999999995E-7</v>
      </c>
      <c r="BJ294" s="103">
        <v>0.08</v>
      </c>
      <c r="BK294" s="56"/>
      <c r="BL294" s="103">
        <f t="shared" si="87"/>
        <v>8.8666792857297061E-3</v>
      </c>
      <c r="BM294" s="56" t="s">
        <v>891</v>
      </c>
      <c r="BN294" s="162"/>
      <c r="BO294" s="162"/>
      <c r="BP294" s="162"/>
      <c r="BQ294" s="162"/>
      <c r="BR294" s="162"/>
      <c r="BS294" s="172">
        <v>1.35E-2</v>
      </c>
      <c r="BT294" s="162"/>
      <c r="BU294" s="173"/>
      <c r="BV294" s="162"/>
      <c r="BW294" s="162"/>
      <c r="BX294" s="162"/>
      <c r="BY294" s="162"/>
      <c r="BZ294" s="162"/>
      <c r="CA294" s="162"/>
      <c r="CB294" s="162"/>
      <c r="CC294" s="172"/>
      <c r="CD294" s="56"/>
      <c r="CE294" s="56"/>
      <c r="CF294" s="56"/>
      <c r="CG294" s="56"/>
      <c r="CH294" s="172"/>
      <c r="CI294" s="103">
        <f t="shared" si="93"/>
        <v>1.35E-2</v>
      </c>
      <c r="CJ294" s="103">
        <f t="shared" si="94"/>
        <v>-1.8696662315049939</v>
      </c>
      <c r="CK294" s="57">
        <f t="shared" si="106"/>
        <v>0.11083349107162133</v>
      </c>
      <c r="CL294" s="160">
        <f t="shared" si="103"/>
        <v>0.65679105820220041</v>
      </c>
      <c r="CM294" s="160">
        <v>-3.5535421307866382</v>
      </c>
      <c r="CN294" s="160">
        <f>BJ294/(10^CM294)</f>
        <v>286.17528089887668</v>
      </c>
      <c r="CO294" s="55" t="s">
        <v>892</v>
      </c>
      <c r="CP294" s="55" t="s">
        <v>893</v>
      </c>
      <c r="CQ294" s="149">
        <v>-2.8550606468837754</v>
      </c>
      <c r="CR294" s="349">
        <f t="shared" si="104"/>
        <v>9.6692862073064454</v>
      </c>
      <c r="CS294" s="61" t="s">
        <v>539</v>
      </c>
      <c r="CT294" s="61"/>
      <c r="CU294" s="111">
        <f t="shared" si="86"/>
        <v>1.2796664491233702</v>
      </c>
      <c r="CV294" s="331">
        <f t="shared" si="107"/>
        <v>0.21594371328956871</v>
      </c>
      <c r="CW294" s="326">
        <f t="shared" si="95"/>
        <v>0</v>
      </c>
      <c r="CX294" s="326" t="s">
        <v>539</v>
      </c>
      <c r="CY294" s="161" t="s">
        <v>5921</v>
      </c>
    </row>
    <row r="295" spans="1:103" ht="11.25" customHeight="1" x14ac:dyDescent="0.2">
      <c r="A295" s="72">
        <v>293</v>
      </c>
      <c r="B295" s="149">
        <v>93</v>
      </c>
      <c r="C295" s="54" t="s">
        <v>3660</v>
      </c>
      <c r="D295" s="54" t="s">
        <v>6479</v>
      </c>
      <c r="E295" s="59"/>
      <c r="F295" s="59" t="s">
        <v>3661</v>
      </c>
      <c r="G295" s="151">
        <v>137304</v>
      </c>
      <c r="H295" s="55" t="s">
        <v>3662</v>
      </c>
      <c r="I295" s="55" t="s">
        <v>3662</v>
      </c>
      <c r="J295" s="169" t="s">
        <v>3663</v>
      </c>
      <c r="K295" s="55" t="s">
        <v>403</v>
      </c>
      <c r="L295" s="55" t="s">
        <v>5929</v>
      </c>
      <c r="M295" s="55" t="s">
        <v>1515</v>
      </c>
      <c r="N295" s="60" t="s">
        <v>6382</v>
      </c>
      <c r="O295" s="65" t="s">
        <v>1516</v>
      </c>
      <c r="P295" s="67">
        <v>3</v>
      </c>
      <c r="Q295" s="67" t="s">
        <v>6173</v>
      </c>
      <c r="R295" s="67">
        <v>1</v>
      </c>
      <c r="S295" s="67" t="s">
        <v>6173</v>
      </c>
      <c r="T295" s="170">
        <v>305.81</v>
      </c>
      <c r="U295" s="407">
        <v>0.21255027631535922</v>
      </c>
      <c r="V295" s="103">
        <v>33.68104378535692</v>
      </c>
      <c r="W295" s="103"/>
      <c r="X295" s="407">
        <v>0.21255027631535922</v>
      </c>
      <c r="Y295" s="162"/>
      <c r="Z295" s="56">
        <v>1.1399999999999999</v>
      </c>
      <c r="AA295" s="56">
        <v>1.23</v>
      </c>
      <c r="AB295" s="56"/>
      <c r="AC295" s="56"/>
      <c r="AD295" s="56"/>
      <c r="AE295" s="56"/>
      <c r="AF295" s="56">
        <f t="shared" si="105"/>
        <v>1.23</v>
      </c>
      <c r="AG295" s="56" t="s">
        <v>404</v>
      </c>
      <c r="AH295" s="103">
        <v>1.74E-9</v>
      </c>
      <c r="AI295" s="103">
        <v>6.1900000000000003E-10</v>
      </c>
      <c r="AJ295" s="62">
        <f t="shared" si="102"/>
        <v>-7.148017078030052</v>
      </c>
      <c r="AK295" s="62">
        <f>LOG10(AI295*1000/(0.08206*298.15))</f>
        <v>-7.5968756772925339</v>
      </c>
      <c r="AL295" s="62">
        <f t="shared" si="99"/>
        <v>-7.5968756772925339</v>
      </c>
      <c r="AM295" s="62"/>
      <c r="AN295" s="340">
        <v>-7.6</v>
      </c>
      <c r="AO295" s="410"/>
      <c r="AP295" s="410"/>
      <c r="AQ295" s="56" t="s">
        <v>6311</v>
      </c>
      <c r="AR295" s="56" t="s">
        <v>6311</v>
      </c>
      <c r="AS295" s="155"/>
      <c r="AT295" s="58" t="s">
        <v>266</v>
      </c>
      <c r="AU295" s="56">
        <v>6</v>
      </c>
      <c r="AV295" s="56">
        <v>120</v>
      </c>
      <c r="AW295" s="56">
        <v>114</v>
      </c>
      <c r="AX295" s="56">
        <v>28</v>
      </c>
      <c r="AY295" s="56" t="s">
        <v>8728</v>
      </c>
      <c r="AZ295" s="56" t="s">
        <v>1563</v>
      </c>
      <c r="BA295" s="56">
        <v>32</v>
      </c>
      <c r="BB295" s="55" t="s">
        <v>2485</v>
      </c>
      <c r="BC295" s="55" t="s">
        <v>8726</v>
      </c>
      <c r="BD295" s="55" t="s">
        <v>8374</v>
      </c>
      <c r="BE295" s="56" t="s">
        <v>2449</v>
      </c>
      <c r="BF295" s="56" t="s">
        <v>272</v>
      </c>
      <c r="BG295" s="56" t="s">
        <v>272</v>
      </c>
      <c r="BH295" s="56" t="s">
        <v>2486</v>
      </c>
      <c r="BI295" s="103">
        <v>6.3999999999999997E-6</v>
      </c>
      <c r="BJ295" s="103">
        <v>6.4000000000000001E-2</v>
      </c>
      <c r="BK295" s="56"/>
      <c r="BL295" s="103">
        <f t="shared" si="87"/>
        <v>4.8636912738666416</v>
      </c>
      <c r="BM295" s="56" t="s">
        <v>2046</v>
      </c>
      <c r="BN295" s="56"/>
      <c r="BO295" s="56"/>
      <c r="BP295" s="56"/>
      <c r="BQ295" s="56"/>
      <c r="BR295" s="55">
        <v>1.2800000000000001E-2</v>
      </c>
      <c r="BS295" s="56"/>
      <c r="BT295" s="56"/>
      <c r="BU295" s="158"/>
      <c r="BV295" s="56"/>
      <c r="BW295" s="56"/>
      <c r="BX295" s="56"/>
      <c r="BY295" s="56"/>
      <c r="BZ295" s="56"/>
      <c r="CA295" s="56"/>
      <c r="CB295" s="56"/>
      <c r="CC295" s="56"/>
      <c r="CD295" s="56"/>
      <c r="CE295" s="56"/>
      <c r="CF295" s="56"/>
      <c r="CG295" s="56"/>
      <c r="CH295" s="56"/>
      <c r="CI295" s="103">
        <f t="shared" si="93"/>
        <v>1.2800000000000001E-2</v>
      </c>
      <c r="CJ295" s="103">
        <f t="shared" si="94"/>
        <v>-1.8927900303521317</v>
      </c>
      <c r="CK295" s="57">
        <f t="shared" si="106"/>
        <v>75.995176154166273</v>
      </c>
      <c r="CL295" s="160">
        <f t="shared" si="103"/>
        <v>379.97588077083134</v>
      </c>
      <c r="CM295" s="160">
        <v>-3.6141283877871522</v>
      </c>
      <c r="CN295" s="160">
        <f>BJ295/(10^CM295)</f>
        <v>263.21362221893702</v>
      </c>
      <c r="CO295" s="55" t="s">
        <v>2488</v>
      </c>
      <c r="CP295" s="55" t="s">
        <v>2489</v>
      </c>
      <c r="CQ295" s="149">
        <v>-3.0529218876316779</v>
      </c>
      <c r="CR295" s="349">
        <f t="shared" si="104"/>
        <v>14.458786911094597</v>
      </c>
      <c r="CS295" s="61" t="s">
        <v>539</v>
      </c>
      <c r="CT295" s="61"/>
      <c r="CU295" s="111">
        <f t="shared" si="86"/>
        <v>16.605490337137439</v>
      </c>
      <c r="CV295" s="331">
        <f t="shared" si="107"/>
        <v>3.3210980674274877</v>
      </c>
      <c r="CW295" s="326">
        <f t="shared" si="95"/>
        <v>1</v>
      </c>
      <c r="CX295" s="326"/>
      <c r="CY295" s="161" t="s">
        <v>6351</v>
      </c>
    </row>
    <row r="296" spans="1:103" ht="11.25" customHeight="1" x14ac:dyDescent="0.2">
      <c r="A296" s="72">
        <v>294</v>
      </c>
      <c r="B296" s="149">
        <v>1016</v>
      </c>
      <c r="C296" s="54" t="s">
        <v>913</v>
      </c>
      <c r="D296" s="54" t="s">
        <v>6532</v>
      </c>
      <c r="E296" s="59"/>
      <c r="F296" s="59" t="s">
        <v>914</v>
      </c>
      <c r="G296" s="151">
        <v>71751412</v>
      </c>
      <c r="H296" s="55" t="s">
        <v>915</v>
      </c>
      <c r="I296" s="55"/>
      <c r="J296" s="55" t="s">
        <v>916</v>
      </c>
      <c r="K296" s="55"/>
      <c r="L296" s="55" t="s">
        <v>617</v>
      </c>
      <c r="M296" s="55" t="s">
        <v>917</v>
      </c>
      <c r="N296" s="60"/>
      <c r="O296" s="55" t="s">
        <v>918</v>
      </c>
      <c r="P296" s="67">
        <v>3</v>
      </c>
      <c r="Q296" s="67" t="s">
        <v>6173</v>
      </c>
      <c r="R296" s="67">
        <v>1</v>
      </c>
      <c r="S296" s="67" t="s">
        <v>6173</v>
      </c>
      <c r="T296" s="56">
        <v>873.08</v>
      </c>
      <c r="U296" s="103"/>
      <c r="V296" s="103"/>
      <c r="W296" s="103">
        <v>0.22387211385683381</v>
      </c>
      <c r="X296" s="103">
        <f>IF(W296=0,V296,W296)</f>
        <v>0.22387211385683381</v>
      </c>
      <c r="Y296" s="162">
        <v>7</v>
      </c>
      <c r="Z296" s="56"/>
      <c r="AA296" s="56"/>
      <c r="AB296" s="56">
        <v>5.35</v>
      </c>
      <c r="AC296" s="56">
        <v>0.43709999999999999</v>
      </c>
      <c r="AD296" s="56">
        <v>5.94</v>
      </c>
      <c r="AE296" s="56">
        <v>6.51</v>
      </c>
      <c r="AF296" s="56">
        <f t="shared" si="105"/>
        <v>5.94</v>
      </c>
      <c r="AG296" s="57">
        <v>4.5199999999999996</v>
      </c>
      <c r="AH296" s="103"/>
      <c r="AI296" s="103"/>
      <c r="AJ296" s="62"/>
      <c r="AK296" s="62"/>
      <c r="AL296" s="62"/>
      <c r="AM296" s="62">
        <v>-40.112469999999995</v>
      </c>
      <c r="AN296" s="154">
        <v>-29.9</v>
      </c>
      <c r="AO296" s="410">
        <v>12.42</v>
      </c>
      <c r="AP296" s="410"/>
      <c r="AQ296" s="56" t="s">
        <v>6311</v>
      </c>
      <c r="AR296" s="56" t="s">
        <v>6311</v>
      </c>
      <c r="AS296" s="155"/>
      <c r="AT296" s="58" t="s">
        <v>266</v>
      </c>
      <c r="AU296" s="56">
        <v>6</v>
      </c>
      <c r="AV296" s="56">
        <v>120</v>
      </c>
      <c r="AW296" s="56">
        <v>114</v>
      </c>
      <c r="AX296" s="56">
        <v>28</v>
      </c>
      <c r="AY296" s="56" t="s">
        <v>8728</v>
      </c>
      <c r="AZ296" s="56" t="s">
        <v>1563</v>
      </c>
      <c r="BA296" s="56">
        <v>32</v>
      </c>
      <c r="BB296" s="55" t="s">
        <v>2485</v>
      </c>
      <c r="BC296" s="55" t="s">
        <v>8726</v>
      </c>
      <c r="BD296" s="55" t="s">
        <v>8374</v>
      </c>
      <c r="BE296" s="56" t="s">
        <v>2449</v>
      </c>
      <c r="BF296" s="56" t="s">
        <v>272</v>
      </c>
      <c r="BG296" s="56" t="s">
        <v>272</v>
      </c>
      <c r="BH296" s="56" t="s">
        <v>2486</v>
      </c>
      <c r="BI296" s="103">
        <v>6.3999999999999997E-6</v>
      </c>
      <c r="BJ296" s="103">
        <v>6.4000000000000001E-2</v>
      </c>
      <c r="BK296" s="56"/>
      <c r="BL296" s="103"/>
      <c r="BM296" s="56" t="s">
        <v>2046</v>
      </c>
      <c r="BN296" s="56"/>
      <c r="BO296" s="56"/>
      <c r="BP296" s="56"/>
      <c r="BQ296" s="56"/>
      <c r="BR296" s="55">
        <v>1.2244339E-2</v>
      </c>
      <c r="BS296" s="56"/>
      <c r="BT296" s="56"/>
      <c r="BU296" s="158"/>
      <c r="BV296" s="56"/>
      <c r="BW296" s="56"/>
      <c r="BX296" s="56"/>
      <c r="BY296" s="56"/>
      <c r="BZ296" s="56"/>
      <c r="CA296" s="56"/>
      <c r="CB296" s="56"/>
      <c r="CC296" s="56"/>
      <c r="CD296" s="56"/>
      <c r="CE296" s="56"/>
      <c r="CF296" s="56"/>
      <c r="CG296" s="56"/>
      <c r="CH296" s="56"/>
      <c r="CI296" s="103">
        <f t="shared" si="93"/>
        <v>1.2244339E-2</v>
      </c>
      <c r="CJ296" s="103">
        <f t="shared" si="94"/>
        <v>-1.9120646549166436</v>
      </c>
      <c r="CK296" s="57">
        <f t="shared" si="106"/>
        <v>0</v>
      </c>
      <c r="CL296" s="160">
        <f t="shared" si="103"/>
        <v>0</v>
      </c>
      <c r="CM296" s="160"/>
      <c r="CN296" s="160"/>
      <c r="CO296" s="55" t="s">
        <v>2488</v>
      </c>
      <c r="CP296" s="55" t="s">
        <v>2489</v>
      </c>
      <c r="CQ296" s="149">
        <v>-3.1122353103240314</v>
      </c>
      <c r="CR296" s="349">
        <f t="shared" si="104"/>
        <v>15.855160963942275</v>
      </c>
      <c r="CS296" s="61" t="s">
        <v>539</v>
      </c>
      <c r="CT296" s="61"/>
      <c r="CU296" s="111">
        <f t="shared" si="86"/>
        <v>18.283723919832163</v>
      </c>
      <c r="CV296" s="331">
        <f t="shared" si="107"/>
        <v>3.4980017790130282</v>
      </c>
      <c r="CW296" s="326">
        <f t="shared" si="95"/>
        <v>1</v>
      </c>
      <c r="CX296" s="326"/>
      <c r="CY296" s="161" t="s">
        <v>5921</v>
      </c>
    </row>
    <row r="297" spans="1:103" ht="11.25" customHeight="1" x14ac:dyDescent="0.2">
      <c r="A297" s="72">
        <v>295</v>
      </c>
      <c r="B297" s="149">
        <v>1004</v>
      </c>
      <c r="C297" s="54" t="s">
        <v>2865</v>
      </c>
      <c r="D297" s="54" t="s">
        <v>6512</v>
      </c>
      <c r="E297" s="59"/>
      <c r="F297" s="59" t="s">
        <v>2866</v>
      </c>
      <c r="G297" s="151">
        <v>26172554</v>
      </c>
      <c r="H297" s="55" t="s">
        <v>2867</v>
      </c>
      <c r="I297" s="55" t="s">
        <v>8322</v>
      </c>
      <c r="J297" s="55" t="s">
        <v>2868</v>
      </c>
      <c r="K297" s="55" t="s">
        <v>2869</v>
      </c>
      <c r="L297" s="55" t="s">
        <v>5576</v>
      </c>
      <c r="M297" s="55" t="s">
        <v>6113</v>
      </c>
      <c r="N297" s="60" t="s">
        <v>6383</v>
      </c>
      <c r="O297" s="55"/>
      <c r="P297" s="67">
        <v>3</v>
      </c>
      <c r="Q297" s="67" t="s">
        <v>6173</v>
      </c>
      <c r="R297" s="67">
        <v>1</v>
      </c>
      <c r="S297" s="67" t="s">
        <v>6173</v>
      </c>
      <c r="T297" s="56">
        <v>149.6</v>
      </c>
      <c r="U297" s="103"/>
      <c r="V297" s="103">
        <v>993.98395721925135</v>
      </c>
      <c r="W297" s="103">
        <v>97.723722095581053</v>
      </c>
      <c r="X297" s="103">
        <f>IF(W297=0,V297,W297)</f>
        <v>97.723722095581053</v>
      </c>
      <c r="Y297" s="162">
        <v>7</v>
      </c>
      <c r="Z297" s="56">
        <v>-0.34</v>
      </c>
      <c r="AA297" s="56"/>
      <c r="AB297" s="56">
        <v>1.58</v>
      </c>
      <c r="AC297" s="56">
        <v>0.67220000000000002</v>
      </c>
      <c r="AD297" s="56">
        <v>1.1200000000000001</v>
      </c>
      <c r="AE297" s="56">
        <v>0.24</v>
      </c>
      <c r="AF297" s="56">
        <f t="shared" si="105"/>
        <v>1.1200000000000001</v>
      </c>
      <c r="AG297" s="57">
        <v>1.52</v>
      </c>
      <c r="AH297" s="103">
        <v>3.5700000000000002E-8</v>
      </c>
      <c r="AI297" s="103"/>
      <c r="AJ297" s="62">
        <f t="shared" ref="AJ297:AJ323" si="108">LOG10(AH297*1000/(0.08206*298.15))</f>
        <v>-5.8358981102004588</v>
      </c>
      <c r="AK297" s="62"/>
      <c r="AL297" s="62">
        <f t="shared" ref="AL297:AL323" si="109">IF(AK297=0,AJ297,AK297)</f>
        <v>-5.8358981102004588</v>
      </c>
      <c r="AM297" s="62">
        <v>-8.8374600000000001</v>
      </c>
      <c r="AN297" s="154">
        <v>-3.6</v>
      </c>
      <c r="AO297" s="410"/>
      <c r="AP297" s="410">
        <v>-4.0599999999999996</v>
      </c>
      <c r="AQ297" s="56" t="s">
        <v>6311</v>
      </c>
      <c r="AR297" s="56" t="s">
        <v>6311</v>
      </c>
      <c r="AS297" s="155"/>
      <c r="AT297" s="58" t="s">
        <v>266</v>
      </c>
      <c r="AU297" s="56">
        <v>6</v>
      </c>
      <c r="AV297" s="56">
        <v>120</v>
      </c>
      <c r="AW297" s="56">
        <v>114</v>
      </c>
      <c r="AX297" s="56">
        <v>28</v>
      </c>
      <c r="AY297" s="56" t="s">
        <v>8728</v>
      </c>
      <c r="AZ297" s="56" t="s">
        <v>1563</v>
      </c>
      <c r="BA297" s="56">
        <v>32</v>
      </c>
      <c r="BB297" s="55" t="s">
        <v>2485</v>
      </c>
      <c r="BC297" s="55" t="s">
        <v>8726</v>
      </c>
      <c r="BD297" s="55" t="s">
        <v>8374</v>
      </c>
      <c r="BE297" s="56" t="s">
        <v>2449</v>
      </c>
      <c r="BF297" s="56" t="s">
        <v>272</v>
      </c>
      <c r="BG297" s="56" t="s">
        <v>272</v>
      </c>
      <c r="BH297" s="56" t="s">
        <v>2486</v>
      </c>
      <c r="BI297" s="103">
        <v>6.3999999999999997E-6</v>
      </c>
      <c r="BJ297" s="103">
        <v>6.4000000000000001E-2</v>
      </c>
      <c r="BK297" s="56"/>
      <c r="BL297" s="103">
        <f t="shared" ref="BL297:BL332" si="110">10^((-0.8981*Z297)+1.7108)</f>
        <v>103.78963866644689</v>
      </c>
      <c r="BM297" s="56" t="s">
        <v>2487</v>
      </c>
      <c r="BN297" s="56"/>
      <c r="BO297" s="56"/>
      <c r="BP297" s="56"/>
      <c r="BQ297" s="56"/>
      <c r="BR297" s="55">
        <v>1.2200000000000001E-2</v>
      </c>
      <c r="BS297" s="56"/>
      <c r="BT297" s="56"/>
      <c r="BU297" s="158"/>
      <c r="BV297" s="56"/>
      <c r="BW297" s="56"/>
      <c r="BX297" s="56"/>
      <c r="BY297" s="56"/>
      <c r="BZ297" s="56"/>
      <c r="CA297" s="56"/>
      <c r="CB297" s="56"/>
      <c r="CC297" s="56"/>
      <c r="CD297" s="56"/>
      <c r="CE297" s="56"/>
      <c r="CF297" s="56"/>
      <c r="CG297" s="56"/>
      <c r="CH297" s="56"/>
      <c r="CI297" s="103">
        <f t="shared" si="93"/>
        <v>1.2200000000000001E-2</v>
      </c>
      <c r="CJ297" s="103">
        <f t="shared" si="94"/>
        <v>-1.9136401693252518</v>
      </c>
      <c r="CK297" s="57">
        <f t="shared" si="106"/>
        <v>1621.7131041632326</v>
      </c>
      <c r="CL297" s="160">
        <f t="shared" si="103"/>
        <v>8507.3474316759748</v>
      </c>
      <c r="CM297" s="160">
        <v>-2.5536923568373027</v>
      </c>
      <c r="CN297" s="160">
        <f>BJ297/(10^CM297)</f>
        <v>22.901943073320357</v>
      </c>
      <c r="CO297" s="55" t="s">
        <v>2488</v>
      </c>
      <c r="CP297" s="55" t="s">
        <v>2489</v>
      </c>
      <c r="CQ297" s="149">
        <v>-2.3996832933165444</v>
      </c>
      <c r="CR297" s="349">
        <f t="shared" si="104"/>
        <v>3.0622674915268706</v>
      </c>
      <c r="CS297" s="61" t="s">
        <v>539</v>
      </c>
      <c r="CT297" s="61"/>
      <c r="CU297" s="111">
        <f t="shared" si="86"/>
        <v>8010.1411553754961</v>
      </c>
      <c r="CV297" s="331">
        <f t="shared" si="107"/>
        <v>1526.9331577434539</v>
      </c>
      <c r="CW297" s="326">
        <f t="shared" si="95"/>
        <v>1</v>
      </c>
      <c r="CX297" s="326"/>
      <c r="CY297" s="161" t="s">
        <v>5921</v>
      </c>
    </row>
    <row r="298" spans="1:103" ht="11.25" customHeight="1" x14ac:dyDescent="0.2">
      <c r="A298" s="72">
        <v>296</v>
      </c>
      <c r="B298" s="149">
        <v>784</v>
      </c>
      <c r="C298" s="54" t="s">
        <v>2205</v>
      </c>
      <c r="D298" s="54"/>
      <c r="E298" s="59"/>
      <c r="F298" s="59" t="s">
        <v>2206</v>
      </c>
      <c r="G298" s="151">
        <v>69004031</v>
      </c>
      <c r="H298" s="55" t="s">
        <v>2207</v>
      </c>
      <c r="I298" s="55" t="s">
        <v>8323</v>
      </c>
      <c r="J298" s="55" t="s">
        <v>2208</v>
      </c>
      <c r="K298" s="55" t="s">
        <v>940</v>
      </c>
      <c r="L298" s="55"/>
      <c r="M298" s="55"/>
      <c r="N298" s="60"/>
      <c r="O298" s="55"/>
      <c r="P298" s="67">
        <v>3</v>
      </c>
      <c r="Q298" s="67" t="s">
        <v>6173</v>
      </c>
      <c r="R298" s="67">
        <v>1</v>
      </c>
      <c r="S298" s="67" t="s">
        <v>6173</v>
      </c>
      <c r="T298" s="56">
        <v>425.38</v>
      </c>
      <c r="U298" s="103"/>
      <c r="V298" s="103">
        <v>1.3968686821195167E-5</v>
      </c>
      <c r="W298" s="103">
        <v>5.8884365535558803E-3</v>
      </c>
      <c r="X298" s="103">
        <f>IF(W298=0,V298,W298)</f>
        <v>5.8884365535558803E-3</v>
      </c>
      <c r="Y298" s="162">
        <v>5.9</v>
      </c>
      <c r="Z298" s="56">
        <v>6.5</v>
      </c>
      <c r="AA298" s="56"/>
      <c r="AB298" s="56">
        <v>3.84</v>
      </c>
      <c r="AC298" s="56">
        <v>0.70809999999999995</v>
      </c>
      <c r="AD298" s="56">
        <v>3.61</v>
      </c>
      <c r="AE298" s="56">
        <v>2.9</v>
      </c>
      <c r="AF298" s="56">
        <f t="shared" si="105"/>
        <v>3.61</v>
      </c>
      <c r="AG298" s="57">
        <v>5.18</v>
      </c>
      <c r="AH298" s="103">
        <v>5.4700000000000001E-16</v>
      </c>
      <c r="AI298" s="103"/>
      <c r="AJ298" s="62">
        <f t="shared" si="108"/>
        <v>-13.650578999979221</v>
      </c>
      <c r="AK298" s="62"/>
      <c r="AL298" s="62">
        <f t="shared" si="109"/>
        <v>-13.650578999979221</v>
      </c>
      <c r="AM298" s="62">
        <v>-18.39526</v>
      </c>
      <c r="AN298" s="154">
        <v>-3.62</v>
      </c>
      <c r="AO298" s="410">
        <v>6.47</v>
      </c>
      <c r="AP298" s="410">
        <v>-0.91</v>
      </c>
      <c r="AQ298" s="56" t="s">
        <v>6311</v>
      </c>
      <c r="AR298" s="56" t="s">
        <v>6311</v>
      </c>
      <c r="AS298" s="149" t="s">
        <v>1154</v>
      </c>
      <c r="AT298" s="58" t="s">
        <v>266</v>
      </c>
      <c r="AU298" s="56">
        <v>0</v>
      </c>
      <c r="AV298" s="56">
        <v>144</v>
      </c>
      <c r="AW298" s="56">
        <v>144</v>
      </c>
      <c r="AX298" s="56">
        <v>25</v>
      </c>
      <c r="AY298" s="56" t="s">
        <v>8722</v>
      </c>
      <c r="AZ298" s="56" t="s">
        <v>2175</v>
      </c>
      <c r="BA298" s="56" t="s">
        <v>8722</v>
      </c>
      <c r="BB298" s="55" t="s">
        <v>2176</v>
      </c>
      <c r="BC298" s="55" t="s">
        <v>538</v>
      </c>
      <c r="BD298" s="55"/>
      <c r="BE298" s="56" t="s">
        <v>271</v>
      </c>
      <c r="BF298" s="56" t="s">
        <v>1974</v>
      </c>
      <c r="BG298" s="56" t="s">
        <v>1974</v>
      </c>
      <c r="BH298" s="56" t="s">
        <v>2177</v>
      </c>
      <c r="BI298" s="103">
        <v>0.1</v>
      </c>
      <c r="BJ298" s="103">
        <v>10</v>
      </c>
      <c r="BK298" s="56" t="s">
        <v>2178</v>
      </c>
      <c r="BL298" s="103">
        <f t="shared" si="110"/>
        <v>7.4670661720570809E-5</v>
      </c>
      <c r="BM298" s="56" t="s">
        <v>541</v>
      </c>
      <c r="BN298" s="56"/>
      <c r="BO298" s="56"/>
      <c r="BP298" s="56"/>
      <c r="BQ298" s="56"/>
      <c r="BR298" s="56">
        <v>2.5859231745733228E-3</v>
      </c>
      <c r="BS298" s="56"/>
      <c r="BT298" s="56"/>
      <c r="BU298" s="158"/>
      <c r="BV298" s="56"/>
      <c r="BW298" s="56"/>
      <c r="BX298" s="56"/>
      <c r="BY298" s="56"/>
      <c r="BZ298" s="56"/>
      <c r="CA298" s="56"/>
      <c r="CB298" s="56"/>
      <c r="CC298" s="56"/>
      <c r="CD298" s="56"/>
      <c r="CE298" s="56"/>
      <c r="CF298" s="56"/>
      <c r="CG298" s="56"/>
      <c r="CH298" s="56"/>
      <c r="CI298" s="103">
        <f t="shared" si="93"/>
        <v>2.5859231745733228E-3</v>
      </c>
      <c r="CJ298" s="103">
        <f t="shared" si="94"/>
        <v>-2.5873843817582118</v>
      </c>
      <c r="CK298" s="57">
        <f t="shared" si="106"/>
        <v>7.4670661720570813E-6</v>
      </c>
      <c r="CL298" s="160">
        <f t="shared" si="103"/>
        <v>2.8875823711542192E-2</v>
      </c>
      <c r="CM298" s="160"/>
      <c r="CN298" s="160"/>
      <c r="CO298" s="55" t="s">
        <v>2179</v>
      </c>
      <c r="CP298" s="55" t="s">
        <v>2180</v>
      </c>
      <c r="CQ298" s="149" t="s">
        <v>272</v>
      </c>
      <c r="CR298" s="349"/>
      <c r="CS298" s="61" t="s">
        <v>539</v>
      </c>
      <c r="CT298" s="61" t="s">
        <v>6310</v>
      </c>
      <c r="CU298" s="111">
        <f t="shared" si="86"/>
        <v>2.2771119465014547</v>
      </c>
      <c r="CV298" s="331">
        <f t="shared" si="107"/>
        <v>5.8884365535558808E-4</v>
      </c>
      <c r="CW298" s="326">
        <f t="shared" si="95"/>
        <v>1</v>
      </c>
      <c r="CX298" s="326" t="s">
        <v>539</v>
      </c>
      <c r="CY298" s="161" t="s">
        <v>5921</v>
      </c>
    </row>
    <row r="299" spans="1:103" ht="11.25" customHeight="1" x14ac:dyDescent="0.2">
      <c r="A299" s="72">
        <v>297</v>
      </c>
      <c r="B299" s="149">
        <v>207</v>
      </c>
      <c r="C299" s="54" t="s">
        <v>993</v>
      </c>
      <c r="D299" s="54"/>
      <c r="E299" s="59"/>
      <c r="F299" s="59" t="s">
        <v>994</v>
      </c>
      <c r="G299" s="151">
        <v>69327760</v>
      </c>
      <c r="H299" s="55" t="s">
        <v>995</v>
      </c>
      <c r="I299" s="55" t="s">
        <v>995</v>
      </c>
      <c r="J299" s="55" t="s">
        <v>996</v>
      </c>
      <c r="K299" s="55" t="s">
        <v>426</v>
      </c>
      <c r="L299" s="55" t="s">
        <v>617</v>
      </c>
      <c r="M299" s="55" t="s">
        <v>997</v>
      </c>
      <c r="N299" s="60"/>
      <c r="O299" s="55" t="s">
        <v>918</v>
      </c>
      <c r="P299" s="67">
        <v>3</v>
      </c>
      <c r="Q299" s="67" t="s">
        <v>6173</v>
      </c>
      <c r="R299" s="67">
        <v>1</v>
      </c>
      <c r="S299" s="67" t="s">
        <v>6173</v>
      </c>
      <c r="T299" s="56">
        <v>305.44</v>
      </c>
      <c r="U299" s="103">
        <v>2.9465688842325827E-3</v>
      </c>
      <c r="V299" s="103">
        <v>7.9459140911471975E-3</v>
      </c>
      <c r="W299" s="103">
        <v>4.0738027780411246E-2</v>
      </c>
      <c r="X299" s="103">
        <v>2.9465688842325827E-3</v>
      </c>
      <c r="Y299" s="162">
        <v>7.01</v>
      </c>
      <c r="Z299" s="56">
        <v>4.3</v>
      </c>
      <c r="AA299" s="56">
        <v>4.3</v>
      </c>
      <c r="AB299" s="56">
        <v>3.67</v>
      </c>
      <c r="AC299" s="56">
        <v>0.77549999999999997</v>
      </c>
      <c r="AD299" s="56">
        <v>3.85</v>
      </c>
      <c r="AE299" s="56">
        <v>4.29</v>
      </c>
      <c r="AF299" s="56">
        <f t="shared" si="105"/>
        <v>4.3</v>
      </c>
      <c r="AG299" s="57">
        <v>4.0199999999999996</v>
      </c>
      <c r="AH299" s="103">
        <v>8.9500000000000007E-9</v>
      </c>
      <c r="AI299" s="103">
        <v>4.1999999999999996E-6</v>
      </c>
      <c r="AJ299" s="62">
        <f t="shared" si="108"/>
        <v>-6.4367432909967395</v>
      </c>
      <c r="AK299" s="62">
        <f>LOG10(AI299*1000/(0.08206*298.15))</f>
        <v>-3.7653170359147512</v>
      </c>
      <c r="AL299" s="62">
        <f t="shared" si="109"/>
        <v>-3.7653170359147512</v>
      </c>
      <c r="AM299" s="62">
        <v>-12.785059999999998</v>
      </c>
      <c r="AN299" s="154">
        <v>-5.68</v>
      </c>
      <c r="AO299" s="410"/>
      <c r="AP299" s="410">
        <v>3.02</v>
      </c>
      <c r="AQ299" s="154" t="s">
        <v>6311</v>
      </c>
      <c r="AR299" s="154" t="s">
        <v>6311</v>
      </c>
      <c r="AS299" s="149" t="s">
        <v>6</v>
      </c>
      <c r="AT299" s="58" t="s">
        <v>266</v>
      </c>
      <c r="AU299" s="56">
        <v>8</v>
      </c>
      <c r="AV299" s="56">
        <v>144</v>
      </c>
      <c r="AW299" s="56">
        <v>120</v>
      </c>
      <c r="AX299" s="56">
        <v>26</v>
      </c>
      <c r="AY299" s="56" t="s">
        <v>267</v>
      </c>
      <c r="AZ299" s="56" t="s">
        <v>268</v>
      </c>
      <c r="BA299" s="56">
        <v>2</v>
      </c>
      <c r="BB299" s="55" t="s">
        <v>888</v>
      </c>
      <c r="BC299" s="55" t="s">
        <v>270</v>
      </c>
      <c r="BD299" s="55" t="s">
        <v>8374</v>
      </c>
      <c r="BE299" s="56" t="s">
        <v>889</v>
      </c>
      <c r="BF299" s="56" t="s">
        <v>272</v>
      </c>
      <c r="BG299" s="56" t="s">
        <v>272</v>
      </c>
      <c r="BH299" s="56" t="s">
        <v>890</v>
      </c>
      <c r="BI299" s="103">
        <v>9.9999999999999995E-7</v>
      </c>
      <c r="BJ299" s="103">
        <v>0.08</v>
      </c>
      <c r="BK299" s="56"/>
      <c r="BL299" s="103">
        <f t="shared" si="110"/>
        <v>7.0626876525995306E-3</v>
      </c>
      <c r="BM299" s="56" t="s">
        <v>891</v>
      </c>
      <c r="BN299" s="162"/>
      <c r="BO299" s="162"/>
      <c r="BP299" s="162"/>
      <c r="BQ299" s="162"/>
      <c r="BR299" s="162"/>
      <c r="BS299" s="56">
        <v>2.96E-3</v>
      </c>
      <c r="BT299" s="162"/>
      <c r="BU299" s="158"/>
      <c r="BV299" s="162"/>
      <c r="BW299" s="162"/>
      <c r="BX299" s="162"/>
      <c r="BY299" s="162"/>
      <c r="BZ299" s="162"/>
      <c r="CA299" s="162"/>
      <c r="CB299" s="162"/>
      <c r="CC299" s="56"/>
      <c r="CD299" s="56"/>
      <c r="CE299" s="56"/>
      <c r="CF299" s="56"/>
      <c r="CG299" s="56"/>
      <c r="CH299" s="56"/>
      <c r="CI299" s="103">
        <f t="shared" si="93"/>
        <v>2.96E-3</v>
      </c>
      <c r="CJ299" s="103">
        <f t="shared" si="94"/>
        <v>-2.5287082889410613</v>
      </c>
      <c r="CK299" s="57">
        <f t="shared" si="106"/>
        <v>8.8283595657494135E-2</v>
      </c>
      <c r="CL299" s="160">
        <f t="shared" si="103"/>
        <v>2.3860431258782198</v>
      </c>
      <c r="CM299" s="160"/>
      <c r="CN299" s="160"/>
      <c r="CO299" s="55" t="s">
        <v>892</v>
      </c>
      <c r="CP299" s="55" t="s">
        <v>893</v>
      </c>
      <c r="CQ299" s="149" t="s">
        <v>272</v>
      </c>
      <c r="CR299" s="349"/>
      <c r="CS299" s="61" t="s">
        <v>539</v>
      </c>
      <c r="CT299" s="61"/>
      <c r="CU299" s="111">
        <f t="shared" si="86"/>
        <v>0.99546246088938606</v>
      </c>
      <c r="CV299" s="331">
        <f t="shared" si="107"/>
        <v>3.6832111052907283E-2</v>
      </c>
      <c r="CW299" s="326">
        <f t="shared" si="95"/>
        <v>0</v>
      </c>
      <c r="CX299" s="326" t="s">
        <v>539</v>
      </c>
      <c r="CY299" s="161" t="s">
        <v>5921</v>
      </c>
    </row>
    <row r="300" spans="1:103" ht="11.25" customHeight="1" x14ac:dyDescent="0.2">
      <c r="A300" s="72">
        <v>298</v>
      </c>
      <c r="B300" s="149">
        <v>783</v>
      </c>
      <c r="C300" s="54" t="s">
        <v>2201</v>
      </c>
      <c r="D300" s="54"/>
      <c r="E300" s="59"/>
      <c r="F300" s="59" t="s">
        <v>2202</v>
      </c>
      <c r="G300" s="151">
        <v>69770452</v>
      </c>
      <c r="H300" s="55" t="s">
        <v>2203</v>
      </c>
      <c r="I300" s="55" t="s">
        <v>8324</v>
      </c>
      <c r="J300" s="55" t="s">
        <v>2204</v>
      </c>
      <c r="K300" s="55" t="s">
        <v>2086</v>
      </c>
      <c r="L300" s="55" t="s">
        <v>617</v>
      </c>
      <c r="M300" s="55" t="s">
        <v>1086</v>
      </c>
      <c r="N300" s="60"/>
      <c r="O300" s="55" t="s">
        <v>918</v>
      </c>
      <c r="P300" s="67">
        <v>3</v>
      </c>
      <c r="Q300" s="67" t="s">
        <v>6173</v>
      </c>
      <c r="R300" s="67">
        <v>1</v>
      </c>
      <c r="S300" s="67" t="s">
        <v>6173</v>
      </c>
      <c r="T300" s="56">
        <v>510.38</v>
      </c>
      <c r="U300" s="103"/>
      <c r="V300" s="103">
        <v>1.9070104627924293E-7</v>
      </c>
      <c r="W300" s="103">
        <v>1.7378008287493727E-6</v>
      </c>
      <c r="X300" s="103">
        <f>IF(W300=0,V300,W300)</f>
        <v>1.7378008287493727E-6</v>
      </c>
      <c r="Y300" s="162">
        <v>7</v>
      </c>
      <c r="Z300" s="56">
        <v>7.65</v>
      </c>
      <c r="AA300" s="56"/>
      <c r="AB300" s="56">
        <v>7.1</v>
      </c>
      <c r="AC300" s="56">
        <v>0.70569999999999999</v>
      </c>
      <c r="AD300" s="56">
        <v>7.33</v>
      </c>
      <c r="AE300" s="56">
        <v>7.8</v>
      </c>
      <c r="AF300" s="56">
        <f t="shared" si="105"/>
        <v>7.33</v>
      </c>
      <c r="AG300" s="57">
        <v>7.33</v>
      </c>
      <c r="AH300" s="103">
        <v>4.2499999999999997E-8</v>
      </c>
      <c r="AI300" s="103"/>
      <c r="AJ300" s="62">
        <f t="shared" si="108"/>
        <v>-5.7601773962623399</v>
      </c>
      <c r="AK300" s="62"/>
      <c r="AL300" s="62">
        <f t="shared" si="109"/>
        <v>-5.7601773962623399</v>
      </c>
      <c r="AM300" s="62">
        <v>-17.930540000000001</v>
      </c>
      <c r="AN300" s="154"/>
      <c r="AO300" s="410"/>
      <c r="AP300" s="410"/>
      <c r="AQ300" s="56" t="s">
        <v>6311</v>
      </c>
      <c r="AR300" s="56" t="s">
        <v>6312</v>
      </c>
      <c r="AS300" s="149" t="s">
        <v>1154</v>
      </c>
      <c r="AT300" s="58" t="s">
        <v>266</v>
      </c>
      <c r="AU300" s="56">
        <v>0</v>
      </c>
      <c r="AV300" s="56">
        <v>144</v>
      </c>
      <c r="AW300" s="56">
        <v>144</v>
      </c>
      <c r="AX300" s="56">
        <v>25</v>
      </c>
      <c r="AY300" s="56" t="s">
        <v>8722</v>
      </c>
      <c r="AZ300" s="56" t="s">
        <v>2175</v>
      </c>
      <c r="BA300" s="56" t="s">
        <v>8722</v>
      </c>
      <c r="BB300" s="55" t="s">
        <v>2176</v>
      </c>
      <c r="BC300" s="55" t="s">
        <v>538</v>
      </c>
      <c r="BD300" s="55"/>
      <c r="BE300" s="56" t="s">
        <v>271</v>
      </c>
      <c r="BF300" s="56" t="s">
        <v>1974</v>
      </c>
      <c r="BG300" s="56" t="s">
        <v>1974</v>
      </c>
      <c r="BH300" s="56" t="s">
        <v>2177</v>
      </c>
      <c r="BI300" s="103">
        <v>0.01</v>
      </c>
      <c r="BJ300" s="103">
        <v>1</v>
      </c>
      <c r="BK300" s="56"/>
      <c r="BL300" s="103">
        <f t="shared" si="110"/>
        <v>6.9236483168645932E-6</v>
      </c>
      <c r="BM300" s="56" t="s">
        <v>541</v>
      </c>
      <c r="BN300" s="56"/>
      <c r="BO300" s="56"/>
      <c r="BP300" s="56"/>
      <c r="BQ300" s="56"/>
      <c r="BR300" s="56">
        <v>2.1551724137931037E-4</v>
      </c>
      <c r="BS300" s="56"/>
      <c r="BT300" s="56"/>
      <c r="BU300" s="158"/>
      <c r="BV300" s="56"/>
      <c r="BW300" s="56"/>
      <c r="BX300" s="56"/>
      <c r="BY300" s="56"/>
      <c r="BZ300" s="56"/>
      <c r="CA300" s="56"/>
      <c r="CB300" s="56"/>
      <c r="CC300" s="56"/>
      <c r="CD300" s="56"/>
      <c r="CE300" s="56"/>
      <c r="CF300" s="56"/>
      <c r="CG300" s="56"/>
      <c r="CH300" s="56"/>
      <c r="CI300" s="103">
        <f t="shared" si="93"/>
        <v>2.1551724137931037E-4</v>
      </c>
      <c r="CJ300" s="103">
        <f t="shared" si="94"/>
        <v>-3.6665179805548807</v>
      </c>
      <c r="CK300" s="57">
        <f t="shared" si="106"/>
        <v>6.9236483168645932E-6</v>
      </c>
      <c r="CL300" s="160">
        <f t="shared" si="103"/>
        <v>3.2125728190251709E-2</v>
      </c>
      <c r="CM300" s="160"/>
      <c r="CN300" s="160"/>
      <c r="CO300" s="55" t="s">
        <v>2179</v>
      </c>
      <c r="CP300" s="55" t="s">
        <v>2180</v>
      </c>
      <c r="CQ300" s="149" t="s">
        <v>272</v>
      </c>
      <c r="CR300" s="349"/>
      <c r="CS300" s="61" t="s">
        <v>539</v>
      </c>
      <c r="CT300" s="61"/>
      <c r="CU300" s="111">
        <f t="shared" si="86"/>
        <v>8.0633958453970884E-3</v>
      </c>
      <c r="CV300" s="331">
        <f t="shared" si="107"/>
        <v>1.7378008287493727E-6</v>
      </c>
      <c r="CW300" s="326">
        <f t="shared" si="95"/>
        <v>0</v>
      </c>
      <c r="CX300" s="326"/>
      <c r="CY300" s="161" t="s">
        <v>5921</v>
      </c>
    </row>
    <row r="301" spans="1:103" ht="11.25" customHeight="1" x14ac:dyDescent="0.2">
      <c r="A301" s="72">
        <v>299</v>
      </c>
      <c r="B301" s="149">
        <v>1020</v>
      </c>
      <c r="C301" s="54" t="s">
        <v>925</v>
      </c>
      <c r="D301" s="54" t="s">
        <v>6507</v>
      </c>
      <c r="E301" s="59"/>
      <c r="F301" s="59" t="s">
        <v>926</v>
      </c>
      <c r="G301" s="151">
        <v>15972608</v>
      </c>
      <c r="H301" s="55" t="s">
        <v>927</v>
      </c>
      <c r="I301" s="55" t="s">
        <v>8288</v>
      </c>
      <c r="J301" s="55" t="s">
        <v>928</v>
      </c>
      <c r="K301" s="55" t="s">
        <v>924</v>
      </c>
      <c r="L301" s="55" t="s">
        <v>5941</v>
      </c>
      <c r="M301" s="55" t="s">
        <v>6082</v>
      </c>
      <c r="N301" s="60" t="s">
        <v>6088</v>
      </c>
      <c r="O301" s="55" t="s">
        <v>6083</v>
      </c>
      <c r="P301" s="67">
        <v>3</v>
      </c>
      <c r="Q301" s="67" t="s">
        <v>6173</v>
      </c>
      <c r="R301" s="67">
        <v>1</v>
      </c>
      <c r="S301" s="67" t="s">
        <v>6173</v>
      </c>
      <c r="T301" s="56">
        <v>269.77</v>
      </c>
      <c r="U301" s="103">
        <v>0.88964673610853695</v>
      </c>
      <c r="V301" s="103">
        <v>6.6982985506171933E-2</v>
      </c>
      <c r="W301" s="103">
        <v>3.0199517204020134</v>
      </c>
      <c r="X301" s="103">
        <v>0.88964673610853695</v>
      </c>
      <c r="Y301" s="162">
        <v>7.01</v>
      </c>
      <c r="Z301" s="56">
        <v>3.37</v>
      </c>
      <c r="AA301" s="56">
        <v>3.52</v>
      </c>
      <c r="AB301" s="56">
        <v>3.01</v>
      </c>
      <c r="AC301" s="56">
        <v>0.8427</v>
      </c>
      <c r="AD301" s="56">
        <v>2.99</v>
      </c>
      <c r="AE301" s="56">
        <v>2.92</v>
      </c>
      <c r="AF301" s="56">
        <f t="shared" si="105"/>
        <v>3.52</v>
      </c>
      <c r="AG301" s="57">
        <v>3.3</v>
      </c>
      <c r="AH301" s="103">
        <v>2.2300000000000001E-8</v>
      </c>
      <c r="AI301" s="103">
        <v>8.3199999999999994E-9</v>
      </c>
      <c r="AJ301" s="62">
        <f t="shared" si="108"/>
        <v>-6.0402614632644909</v>
      </c>
      <c r="AK301" s="62">
        <f>LOG10(AI301*1000/(0.08206*298.15))</f>
        <v>-6.468443000021928</v>
      </c>
      <c r="AL301" s="62">
        <f t="shared" si="109"/>
        <v>-6.468443000021928</v>
      </c>
      <c r="AM301" s="62">
        <v>-10.631349999999999</v>
      </c>
      <c r="AN301" s="154">
        <v>-5.33</v>
      </c>
      <c r="AO301" s="410"/>
      <c r="AP301" s="410">
        <v>1.2</v>
      </c>
      <c r="AQ301" s="56" t="s">
        <v>6311</v>
      </c>
      <c r="AR301" s="56" t="s">
        <v>6311</v>
      </c>
      <c r="AS301" s="155"/>
      <c r="AT301" s="58" t="s">
        <v>266</v>
      </c>
      <c r="AU301" s="56">
        <v>6</v>
      </c>
      <c r="AV301" s="56">
        <v>120</v>
      </c>
      <c r="AW301" s="56">
        <v>114</v>
      </c>
      <c r="AX301" s="56">
        <v>28</v>
      </c>
      <c r="AY301" s="56" t="s">
        <v>8728</v>
      </c>
      <c r="AZ301" s="56" t="s">
        <v>1563</v>
      </c>
      <c r="BA301" s="56">
        <v>32</v>
      </c>
      <c r="BB301" s="55" t="s">
        <v>2485</v>
      </c>
      <c r="BC301" s="55" t="s">
        <v>8726</v>
      </c>
      <c r="BD301" s="55" t="s">
        <v>8374</v>
      </c>
      <c r="BE301" s="56" t="s">
        <v>2449</v>
      </c>
      <c r="BF301" s="56" t="s">
        <v>272</v>
      </c>
      <c r="BG301" s="56" t="s">
        <v>272</v>
      </c>
      <c r="BH301" s="56" t="s">
        <v>2486</v>
      </c>
      <c r="BI301" s="103">
        <v>6.3999999999999997E-6</v>
      </c>
      <c r="BJ301" s="103">
        <v>6.4000000000000001E-2</v>
      </c>
      <c r="BK301" s="56"/>
      <c r="BL301" s="103">
        <f t="shared" si="110"/>
        <v>4.832846484700818E-2</v>
      </c>
      <c r="BM301" s="56" t="s">
        <v>2046</v>
      </c>
      <c r="BN301" s="56"/>
      <c r="BO301" s="56"/>
      <c r="BP301" s="56"/>
      <c r="BQ301" s="56"/>
      <c r="BR301" s="55">
        <v>1.1900000000000001E-2</v>
      </c>
      <c r="BS301" s="56"/>
      <c r="BT301" s="56"/>
      <c r="BU301" s="158"/>
      <c r="BV301" s="56"/>
      <c r="BW301" s="56"/>
      <c r="BX301" s="56"/>
      <c r="BY301" s="56"/>
      <c r="BZ301" s="56"/>
      <c r="CA301" s="56"/>
      <c r="CB301" s="56"/>
      <c r="CC301" s="56"/>
      <c r="CD301" s="56"/>
      <c r="CE301" s="56"/>
      <c r="CF301" s="56"/>
      <c r="CG301" s="56"/>
      <c r="CH301" s="56"/>
      <c r="CI301" s="103">
        <f t="shared" si="93"/>
        <v>1.1900000000000001E-2</v>
      </c>
      <c r="CJ301" s="103">
        <f t="shared" si="94"/>
        <v>-1.9244530386074692</v>
      </c>
      <c r="CK301" s="57">
        <f t="shared" si="106"/>
        <v>0.75513226323450278</v>
      </c>
      <c r="CL301" s="160">
        <f t="shared" si="103"/>
        <v>4.0612155333620317</v>
      </c>
      <c r="CM301" s="160">
        <v>-2.0724164104677936</v>
      </c>
      <c r="CN301" s="160">
        <f>BJ301/(10^CM301)</f>
        <v>7.5612985218910032</v>
      </c>
      <c r="CO301" s="55" t="s">
        <v>2488</v>
      </c>
      <c r="CP301" s="55" t="s">
        <v>2489</v>
      </c>
      <c r="CQ301" s="149">
        <v>-1.8764715896195507</v>
      </c>
      <c r="CR301" s="349">
        <f>10^(CJ301-CQ301)</f>
        <v>0.89540301212658036</v>
      </c>
      <c r="CS301" s="61" t="s">
        <v>539</v>
      </c>
      <c r="CT301" s="61"/>
      <c r="CU301" s="111">
        <f t="shared" si="86"/>
        <v>74.760229925087131</v>
      </c>
      <c r="CV301" s="331">
        <f t="shared" si="107"/>
        <v>13.90073025169589</v>
      </c>
      <c r="CW301" s="326">
        <f t="shared" si="95"/>
        <v>1</v>
      </c>
      <c r="CX301" s="326"/>
      <c r="CY301" s="161" t="s">
        <v>5921</v>
      </c>
    </row>
    <row r="302" spans="1:103" ht="11.25" customHeight="1" x14ac:dyDescent="0.2">
      <c r="A302" s="72">
        <v>300</v>
      </c>
      <c r="B302" s="149">
        <v>782</v>
      </c>
      <c r="C302" s="54" t="s">
        <v>2197</v>
      </c>
      <c r="D302" s="54"/>
      <c r="E302" s="59"/>
      <c r="F302" s="59" t="s">
        <v>2198</v>
      </c>
      <c r="G302" s="151">
        <v>70288867</v>
      </c>
      <c r="H302" s="55" t="s">
        <v>2199</v>
      </c>
      <c r="I302" s="55" t="s">
        <v>8325</v>
      </c>
      <c r="J302" s="55"/>
      <c r="K302" s="55" t="s">
        <v>1318</v>
      </c>
      <c r="L302" s="64" t="s">
        <v>279</v>
      </c>
      <c r="M302" s="55" t="s">
        <v>2200</v>
      </c>
      <c r="N302" s="60"/>
      <c r="O302" s="55" t="s">
        <v>281</v>
      </c>
      <c r="P302" s="67">
        <v>3</v>
      </c>
      <c r="Q302" s="67" t="s">
        <v>6173</v>
      </c>
      <c r="R302" s="67">
        <v>1</v>
      </c>
      <c r="S302" s="67" t="s">
        <v>6173</v>
      </c>
      <c r="T302" s="56">
        <v>861.09</v>
      </c>
      <c r="U302" s="103"/>
      <c r="V302" s="103">
        <v>1.0309026930982824E-6</v>
      </c>
      <c r="W302" s="103">
        <v>0.35481338923357514</v>
      </c>
      <c r="X302" s="103">
        <f>IF(W302=0,V302,W302)</f>
        <v>0.35481338923357514</v>
      </c>
      <c r="Y302" s="162">
        <v>7</v>
      </c>
      <c r="Z302" s="56">
        <v>4.1100000000000003</v>
      </c>
      <c r="AA302" s="56"/>
      <c r="AB302" s="56">
        <v>5.52</v>
      </c>
      <c r="AC302" s="56">
        <v>0.54579999999999995</v>
      </c>
      <c r="AD302" s="56">
        <v>5.76</v>
      </c>
      <c r="AE302" s="56">
        <v>6.08</v>
      </c>
      <c r="AF302" s="56">
        <f t="shared" si="105"/>
        <v>5.76</v>
      </c>
      <c r="AG302" s="57">
        <v>5.76</v>
      </c>
      <c r="AH302" s="103">
        <v>1.18E-27</v>
      </c>
      <c r="AI302" s="103"/>
      <c r="AJ302" s="62">
        <f t="shared" si="108"/>
        <v>-25.316684319006526</v>
      </c>
      <c r="AK302" s="62"/>
      <c r="AL302" s="62">
        <f t="shared" si="109"/>
        <v>-25.316684319006526</v>
      </c>
      <c r="AM302" s="62">
        <v>-39.275649999999999</v>
      </c>
      <c r="AN302" s="154"/>
      <c r="AO302" s="410">
        <v>12.42</v>
      </c>
      <c r="AP302" s="410"/>
      <c r="AQ302" s="56" t="s">
        <v>6311</v>
      </c>
      <c r="AR302" s="56" t="s">
        <v>6311</v>
      </c>
      <c r="AS302" s="149" t="s">
        <v>6</v>
      </c>
      <c r="AT302" s="58" t="s">
        <v>266</v>
      </c>
      <c r="AU302" s="56">
        <v>0</v>
      </c>
      <c r="AV302" s="56">
        <v>144</v>
      </c>
      <c r="AW302" s="56">
        <v>144</v>
      </c>
      <c r="AX302" s="56">
        <v>25</v>
      </c>
      <c r="AY302" s="56" t="s">
        <v>8722</v>
      </c>
      <c r="AZ302" s="56" t="s">
        <v>2175</v>
      </c>
      <c r="BA302" s="56" t="s">
        <v>8722</v>
      </c>
      <c r="BB302" s="55" t="s">
        <v>2176</v>
      </c>
      <c r="BC302" s="55" t="s">
        <v>538</v>
      </c>
      <c r="BD302" s="55"/>
      <c r="BE302" s="56" t="s">
        <v>271</v>
      </c>
      <c r="BF302" s="56" t="s">
        <v>1974</v>
      </c>
      <c r="BG302" s="56" t="s">
        <v>1974</v>
      </c>
      <c r="BH302" s="56" t="s">
        <v>2177</v>
      </c>
      <c r="BI302" s="103">
        <v>0.1</v>
      </c>
      <c r="BJ302" s="103">
        <v>10</v>
      </c>
      <c r="BK302" s="56" t="s">
        <v>2178</v>
      </c>
      <c r="BL302" s="103">
        <f t="shared" si="110"/>
        <v>1.0461862311927477E-2</v>
      </c>
      <c r="BM302" s="56" t="s">
        <v>541</v>
      </c>
      <c r="BN302" s="56"/>
      <c r="BO302" s="56"/>
      <c r="BP302" s="56"/>
      <c r="BQ302" s="56"/>
      <c r="BR302" s="56">
        <v>5.1098026919369638E-4</v>
      </c>
      <c r="BS302" s="56"/>
      <c r="BT302" s="56"/>
      <c r="BU302" s="158"/>
      <c r="BV302" s="56"/>
      <c r="BW302" s="56"/>
      <c r="BX302" s="56"/>
      <c r="BY302" s="56"/>
      <c r="BZ302" s="56"/>
      <c r="CA302" s="56"/>
      <c r="CB302" s="56"/>
      <c r="CC302" s="56"/>
      <c r="CD302" s="56"/>
      <c r="CE302" s="56"/>
      <c r="CF302" s="56"/>
      <c r="CG302" s="56"/>
      <c r="CH302" s="56"/>
      <c r="CI302" s="103">
        <f t="shared" si="93"/>
        <v>5.1098026919369638E-4</v>
      </c>
      <c r="CJ302" s="103">
        <f t="shared" si="94"/>
        <v>-3.2915958692307252</v>
      </c>
      <c r="CK302" s="57">
        <f t="shared" si="106"/>
        <v>1.0461862311927478E-3</v>
      </c>
      <c r="CL302" s="160">
        <f t="shared" si="103"/>
        <v>20.474102314040071</v>
      </c>
      <c r="CM302" s="160"/>
      <c r="CN302" s="160"/>
      <c r="CO302" s="55" t="s">
        <v>2179</v>
      </c>
      <c r="CP302" s="55" t="s">
        <v>2180</v>
      </c>
      <c r="CQ302" s="149" t="s">
        <v>272</v>
      </c>
      <c r="CR302" s="349"/>
      <c r="CS302" s="61" t="s">
        <v>539</v>
      </c>
      <c r="CT302" s="61" t="s">
        <v>6310</v>
      </c>
      <c r="CU302" s="111">
        <f t="shared" si="86"/>
        <v>694.37786667077091</v>
      </c>
      <c r="CV302" s="331">
        <f t="shared" si="107"/>
        <v>3.5481338923357517E-2</v>
      </c>
      <c r="CW302" s="326">
        <f t="shared" si="95"/>
        <v>1</v>
      </c>
      <c r="CX302" s="326" t="s">
        <v>539</v>
      </c>
      <c r="CY302" s="161" t="s">
        <v>5921</v>
      </c>
    </row>
    <row r="303" spans="1:103" ht="11.25" customHeight="1" x14ac:dyDescent="0.2">
      <c r="A303" s="72">
        <v>301</v>
      </c>
      <c r="B303" s="149">
        <v>1140</v>
      </c>
      <c r="C303" s="54" t="s">
        <v>1204</v>
      </c>
      <c r="D303" s="54" t="s">
        <v>6583</v>
      </c>
      <c r="E303" s="59"/>
      <c r="F303" s="59" t="s">
        <v>1205</v>
      </c>
      <c r="G303" s="151">
        <v>131341861</v>
      </c>
      <c r="H303" s="55" t="s">
        <v>1206</v>
      </c>
      <c r="I303" s="55" t="s">
        <v>8326</v>
      </c>
      <c r="J303" s="55" t="s">
        <v>1207</v>
      </c>
      <c r="K303" s="55" t="s">
        <v>1208</v>
      </c>
      <c r="L303" s="55" t="s">
        <v>5985</v>
      </c>
      <c r="M303" s="55" t="s">
        <v>6082</v>
      </c>
      <c r="N303" s="55" t="s">
        <v>6082</v>
      </c>
      <c r="O303" s="55" t="s">
        <v>6083</v>
      </c>
      <c r="P303" s="67">
        <v>3</v>
      </c>
      <c r="Q303" s="67" t="s">
        <v>6173</v>
      </c>
      <c r="R303" s="67">
        <v>1</v>
      </c>
      <c r="S303" s="67" t="s">
        <v>6173</v>
      </c>
      <c r="T303" s="56">
        <v>248.19</v>
      </c>
      <c r="U303" s="103">
        <v>7.252508159071679E-3</v>
      </c>
      <c r="V303" s="103">
        <v>1.6056247229944798E-2</v>
      </c>
      <c r="W303" s="103">
        <v>5.7543993733715576E-2</v>
      </c>
      <c r="X303" s="103">
        <v>7.252508159071679E-3</v>
      </c>
      <c r="Y303" s="162">
        <v>7</v>
      </c>
      <c r="Z303" s="56">
        <v>3.83</v>
      </c>
      <c r="AA303" s="56">
        <v>4.12</v>
      </c>
      <c r="AB303" s="56">
        <v>2.25</v>
      </c>
      <c r="AC303" s="56">
        <v>0.81240000000000001</v>
      </c>
      <c r="AD303" s="56">
        <v>2.57</v>
      </c>
      <c r="AE303" s="56">
        <v>3.67</v>
      </c>
      <c r="AF303" s="56">
        <f t="shared" si="105"/>
        <v>4.12</v>
      </c>
      <c r="AG303" s="57">
        <v>3.5</v>
      </c>
      <c r="AH303" s="103">
        <v>3.1000000000000003E-11</v>
      </c>
      <c r="AI303" s="103">
        <v>5.3200000000000002E-10</v>
      </c>
      <c r="AJ303" s="62">
        <f t="shared" si="108"/>
        <v>-8.8972046324783793</v>
      </c>
      <c r="AK303" s="62">
        <f>LOG10(AI303*1000/(0.08206*298.15))</f>
        <v>-7.6626546940176032</v>
      </c>
      <c r="AL303" s="62">
        <f t="shared" si="109"/>
        <v>-7.6626546940176032</v>
      </c>
      <c r="AM303" s="62">
        <v>-12.228909999999999</v>
      </c>
      <c r="AN303" s="154">
        <v>-5.95</v>
      </c>
      <c r="AO303" s="410">
        <v>14.1</v>
      </c>
      <c r="AP303" s="410">
        <v>-9.1300000000000008</v>
      </c>
      <c r="AQ303" s="56" t="s">
        <v>6311</v>
      </c>
      <c r="AR303" s="56" t="s">
        <v>6311</v>
      </c>
      <c r="AS303" s="155"/>
      <c r="AT303" s="58" t="s">
        <v>266</v>
      </c>
      <c r="AU303" s="56">
        <v>6</v>
      </c>
      <c r="AV303" s="56">
        <v>120</v>
      </c>
      <c r="AW303" s="56">
        <v>114</v>
      </c>
      <c r="AX303" s="56">
        <v>28</v>
      </c>
      <c r="AY303" s="56" t="s">
        <v>8728</v>
      </c>
      <c r="AZ303" s="56" t="s">
        <v>1563</v>
      </c>
      <c r="BA303" s="56">
        <v>32</v>
      </c>
      <c r="BB303" s="55" t="s">
        <v>2485</v>
      </c>
      <c r="BC303" s="55" t="s">
        <v>8726</v>
      </c>
      <c r="BD303" s="55" t="s">
        <v>8374</v>
      </c>
      <c r="BE303" s="56" t="s">
        <v>2449</v>
      </c>
      <c r="BF303" s="56" t="s">
        <v>272</v>
      </c>
      <c r="BG303" s="56" t="s">
        <v>272</v>
      </c>
      <c r="BH303" s="56" t="s">
        <v>2486</v>
      </c>
      <c r="BI303" s="103">
        <v>6.3999999999999997E-6</v>
      </c>
      <c r="BJ303" s="103">
        <v>6.4000000000000001E-2</v>
      </c>
      <c r="BK303" s="56"/>
      <c r="BL303" s="103">
        <f t="shared" si="110"/>
        <v>1.8667106275213386E-2</v>
      </c>
      <c r="BM303" s="56" t="s">
        <v>2046</v>
      </c>
      <c r="BN303" s="56"/>
      <c r="BO303" s="56"/>
      <c r="BP303" s="56"/>
      <c r="BQ303" s="56"/>
      <c r="BR303" s="55">
        <v>1.1900000000000001E-2</v>
      </c>
      <c r="BS303" s="56"/>
      <c r="BT303" s="56"/>
      <c r="BU303" s="158"/>
      <c r="BV303" s="56"/>
      <c r="BW303" s="56"/>
      <c r="BX303" s="56"/>
      <c r="BY303" s="56"/>
      <c r="BZ303" s="56"/>
      <c r="CA303" s="56"/>
      <c r="CB303" s="56"/>
      <c r="CC303" s="56"/>
      <c r="CD303" s="56"/>
      <c r="CE303" s="56"/>
      <c r="CF303" s="56"/>
      <c r="CG303" s="56"/>
      <c r="CH303" s="56"/>
      <c r="CI303" s="103">
        <f t="shared" si="93"/>
        <v>1.1900000000000001E-2</v>
      </c>
      <c r="CJ303" s="103">
        <f t="shared" si="94"/>
        <v>-1.9244530386074692</v>
      </c>
      <c r="CK303" s="57">
        <f t="shared" si="106"/>
        <v>0.29167353555020914</v>
      </c>
      <c r="CL303" s="160">
        <f t="shared" si="103"/>
        <v>1.5686643928750743</v>
      </c>
      <c r="CM303" s="160">
        <v>-2.72268642111132</v>
      </c>
      <c r="CN303" s="160">
        <f>BJ303/(10^CM303)</f>
        <v>33.796085106383011</v>
      </c>
      <c r="CO303" s="55" t="s">
        <v>2488</v>
      </c>
      <c r="CP303" s="55" t="s">
        <v>2489</v>
      </c>
      <c r="CQ303" s="149">
        <v>-2.5932334664513208</v>
      </c>
      <c r="CR303" s="349">
        <f>10^(CJ303-CQ303)</f>
        <v>4.6642350462960325</v>
      </c>
      <c r="CS303" s="61" t="s">
        <v>539</v>
      </c>
      <c r="CT303" s="61"/>
      <c r="CU303" s="111">
        <f t="shared" si="86"/>
        <v>0.60945446714888052</v>
      </c>
      <c r="CV303" s="331">
        <f t="shared" si="107"/>
        <v>0.11332043998549499</v>
      </c>
      <c r="CW303" s="326">
        <f t="shared" si="95"/>
        <v>0</v>
      </c>
      <c r="CX303" s="326"/>
      <c r="CY303" s="161" t="s">
        <v>5921</v>
      </c>
    </row>
    <row r="304" spans="1:103" ht="11.25" customHeight="1" x14ac:dyDescent="0.2">
      <c r="A304" s="72">
        <v>302</v>
      </c>
      <c r="B304" s="149">
        <v>2169</v>
      </c>
      <c r="C304" s="54" t="s">
        <v>1392</v>
      </c>
      <c r="D304" s="54" t="s">
        <v>6529</v>
      </c>
      <c r="E304" s="59"/>
      <c r="F304" s="59" t="s">
        <v>1393</v>
      </c>
      <c r="G304" s="151">
        <v>67747095</v>
      </c>
      <c r="H304" s="55" t="s">
        <v>1394</v>
      </c>
      <c r="I304" s="55" t="s">
        <v>7941</v>
      </c>
      <c r="J304" s="55" t="s">
        <v>1395</v>
      </c>
      <c r="K304" s="55" t="s">
        <v>1064</v>
      </c>
      <c r="L304" s="55" t="s">
        <v>6007</v>
      </c>
      <c r="M304" s="55" t="s">
        <v>6008</v>
      </c>
      <c r="N304" s="60" t="s">
        <v>6386</v>
      </c>
      <c r="O304" s="55" t="s">
        <v>6009</v>
      </c>
      <c r="P304" s="67">
        <v>3</v>
      </c>
      <c r="Q304" s="67" t="s">
        <v>6173</v>
      </c>
      <c r="R304" s="67">
        <v>1</v>
      </c>
      <c r="S304" s="67" t="s">
        <v>6173</v>
      </c>
      <c r="T304" s="56">
        <v>376.66</v>
      </c>
      <c r="U304" s="103">
        <v>9.0264687923115719E-2</v>
      </c>
      <c r="V304" s="103">
        <v>3.5681100167255157E-3</v>
      </c>
      <c r="W304" s="103">
        <v>6.6069344800759544E-2</v>
      </c>
      <c r="X304" s="103">
        <v>9.0264687923115719E-2</v>
      </c>
      <c r="Y304" s="162">
        <v>7.37</v>
      </c>
      <c r="Z304" s="56">
        <v>4.13</v>
      </c>
      <c r="AA304" s="56">
        <v>4.0999999999999996</v>
      </c>
      <c r="AB304" s="56">
        <v>4.1100000000000003</v>
      </c>
      <c r="AC304" s="56">
        <v>0.85909999999999997</v>
      </c>
      <c r="AD304" s="56">
        <v>4.08</v>
      </c>
      <c r="AE304" s="56">
        <v>3.98</v>
      </c>
      <c r="AF304" s="56">
        <f t="shared" si="105"/>
        <v>4.0999999999999996</v>
      </c>
      <c r="AG304" s="57">
        <v>4.18</v>
      </c>
      <c r="AH304" s="103">
        <v>7.5799999999999996E-12</v>
      </c>
      <c r="AI304" s="103">
        <v>1.6400000000000001E-8</v>
      </c>
      <c r="AJ304" s="62">
        <f t="shared" si="108"/>
        <v>-9.508897120680599</v>
      </c>
      <c r="AK304" s="62">
        <f>LOG10(AI304*1000/(0.08206*298.15))</f>
        <v>-6.1737224782649536</v>
      </c>
      <c r="AL304" s="62">
        <f t="shared" si="109"/>
        <v>-6.1737224782649536</v>
      </c>
      <c r="AM304" s="62">
        <v>-16.703500000000002</v>
      </c>
      <c r="AN304" s="154">
        <v>-6.14</v>
      </c>
      <c r="AO304" s="410"/>
      <c r="AP304" s="410">
        <v>4.84</v>
      </c>
      <c r="AQ304" s="154" t="s">
        <v>6311</v>
      </c>
      <c r="AR304" s="154" t="s">
        <v>6311</v>
      </c>
      <c r="AS304" s="149" t="s">
        <v>6</v>
      </c>
      <c r="AT304" s="58" t="s">
        <v>266</v>
      </c>
      <c r="AU304" s="56">
        <v>0</v>
      </c>
      <c r="AV304" s="56">
        <v>96</v>
      </c>
      <c r="AW304" s="56">
        <v>96</v>
      </c>
      <c r="AX304" s="56">
        <v>26</v>
      </c>
      <c r="AY304" s="472" t="s">
        <v>6360</v>
      </c>
      <c r="AZ304" s="56" t="s">
        <v>536</v>
      </c>
      <c r="BA304" s="56">
        <v>20</v>
      </c>
      <c r="BB304" s="55" t="s">
        <v>1764</v>
      </c>
      <c r="BC304" s="55" t="s">
        <v>6359</v>
      </c>
      <c r="BD304" s="55"/>
      <c r="BE304" s="56" t="s">
        <v>1712</v>
      </c>
      <c r="BF304" s="56" t="s">
        <v>539</v>
      </c>
      <c r="BG304" s="56" t="s">
        <v>539</v>
      </c>
      <c r="BH304" s="56" t="s">
        <v>272</v>
      </c>
      <c r="BI304" s="474">
        <f>0.5/376.66</f>
        <v>1.3274571231349226E-3</v>
      </c>
      <c r="BJ304" s="474">
        <f>8/376.66</f>
        <v>2.1239313970158762E-2</v>
      </c>
      <c r="BK304" s="56" t="s">
        <v>6367</v>
      </c>
      <c r="BL304" s="103">
        <f t="shared" si="110"/>
        <v>1.0037995577353173E-2</v>
      </c>
      <c r="BM304" s="56" t="s">
        <v>541</v>
      </c>
      <c r="BN304" s="162"/>
      <c r="BO304" s="474">
        <f>4.461/376.66</f>
        <v>1.1843572452609781E-2</v>
      </c>
      <c r="BP304" s="162"/>
      <c r="BQ304" s="474">
        <f>5.6/376.66</f>
        <v>1.4867519779111132E-2</v>
      </c>
      <c r="BR304" s="162"/>
      <c r="BS304" s="56"/>
      <c r="BT304" s="162"/>
      <c r="BU304" s="158"/>
      <c r="BV304" s="162"/>
      <c r="BW304" s="162"/>
      <c r="BX304" s="162"/>
      <c r="BY304" s="162"/>
      <c r="BZ304" s="162"/>
      <c r="CA304" s="162"/>
      <c r="CB304" s="162"/>
      <c r="CC304" s="56"/>
      <c r="CD304" s="56"/>
      <c r="CE304" s="56"/>
      <c r="CF304" s="56"/>
      <c r="CG304" s="56"/>
      <c r="CH304" s="56"/>
      <c r="CI304" s="103">
        <f t="shared" si="93"/>
        <v>1.1843572452609781E-2</v>
      </c>
      <c r="CJ304" s="103">
        <f t="shared" si="94"/>
        <v>-1.9265172788261182</v>
      </c>
      <c r="CK304" s="57">
        <f t="shared" si="106"/>
        <v>0.47261392677073083</v>
      </c>
      <c r="CL304" s="160">
        <f t="shared" si="103"/>
        <v>0.84754795206586997</v>
      </c>
      <c r="CM304" s="160">
        <v>-2.8102336781339785</v>
      </c>
      <c r="CN304" s="160">
        <f>BJ304/(10^CM304)</f>
        <v>13.72063347685598</v>
      </c>
      <c r="CO304" s="55"/>
      <c r="CP304" s="55" t="s">
        <v>6355</v>
      </c>
      <c r="CQ304" s="149">
        <v>-2.8102336781339785</v>
      </c>
      <c r="CR304" s="349">
        <f>10^(CJ304-CQ304)</f>
        <v>7.6509682425318157</v>
      </c>
      <c r="CS304" s="61" t="s">
        <v>539</v>
      </c>
      <c r="CT304" s="61" t="s">
        <v>6310</v>
      </c>
      <c r="CU304" s="111">
        <f t="shared" si="86"/>
        <v>7.6214071627708506</v>
      </c>
      <c r="CV304" s="331">
        <f t="shared" si="107"/>
        <v>4.2498871691400959</v>
      </c>
      <c r="CW304" s="326">
        <f t="shared" si="95"/>
        <v>1</v>
      </c>
      <c r="CX304" s="326" t="s">
        <v>539</v>
      </c>
      <c r="CY304" s="161" t="s">
        <v>5921</v>
      </c>
    </row>
    <row r="305" spans="1:103" ht="11.25" customHeight="1" x14ac:dyDescent="0.2">
      <c r="A305" s="72">
        <v>303</v>
      </c>
      <c r="B305" s="149">
        <v>1310</v>
      </c>
      <c r="C305" s="54" t="s">
        <v>1535</v>
      </c>
      <c r="D305" s="54" t="s">
        <v>6500</v>
      </c>
      <c r="E305" s="59"/>
      <c r="F305" s="59" t="s">
        <v>1536</v>
      </c>
      <c r="G305" s="151">
        <v>3380345</v>
      </c>
      <c r="H305" s="169" t="s">
        <v>1537</v>
      </c>
      <c r="I305" s="169" t="s">
        <v>7884</v>
      </c>
      <c r="J305" s="169" t="s">
        <v>1538</v>
      </c>
      <c r="K305" s="55" t="s">
        <v>349</v>
      </c>
      <c r="L305" s="55" t="s">
        <v>6067</v>
      </c>
      <c r="M305" s="55" t="s">
        <v>6082</v>
      </c>
      <c r="N305" s="60" t="s">
        <v>6082</v>
      </c>
      <c r="O305" s="65" t="s">
        <v>6083</v>
      </c>
      <c r="P305" s="67">
        <v>3</v>
      </c>
      <c r="Q305" s="67" t="s">
        <v>6173</v>
      </c>
      <c r="R305" s="67">
        <v>1</v>
      </c>
      <c r="S305" s="67" t="s">
        <v>6173</v>
      </c>
      <c r="T305" s="154">
        <v>289.54000000000002</v>
      </c>
      <c r="U305" s="103">
        <v>3.4537542308489329E-2</v>
      </c>
      <c r="V305" s="103">
        <v>1.595979830075292E-2</v>
      </c>
      <c r="W305" s="103">
        <v>4.8977881936844584E-3</v>
      </c>
      <c r="X305" s="103">
        <v>3.4537542308489329E-2</v>
      </c>
      <c r="Y305" s="162">
        <v>6.54</v>
      </c>
      <c r="Z305" s="56">
        <v>4.66</v>
      </c>
      <c r="AA305" s="56">
        <v>4.76</v>
      </c>
      <c r="AB305" s="56">
        <v>5.3</v>
      </c>
      <c r="AC305" s="56">
        <v>0.87380000000000002</v>
      </c>
      <c r="AD305" s="56">
        <v>5.27</v>
      </c>
      <c r="AE305" s="56">
        <v>5.17</v>
      </c>
      <c r="AF305" s="56">
        <f t="shared" si="105"/>
        <v>4.76</v>
      </c>
      <c r="AG305" s="57">
        <v>4.8499999999999996</v>
      </c>
      <c r="AH305" s="103">
        <v>4.9900000000000003E-9</v>
      </c>
      <c r="AI305" s="103"/>
      <c r="AJ305" s="62">
        <f t="shared" si="108"/>
        <v>-6.6904657806892622</v>
      </c>
      <c r="AK305" s="62"/>
      <c r="AL305" s="62">
        <f t="shared" si="109"/>
        <v>-6.6904657806892622</v>
      </c>
      <c r="AM305" s="62">
        <v>-10.51848</v>
      </c>
      <c r="AN305" s="170">
        <v>-3.91</v>
      </c>
      <c r="AO305" s="410">
        <v>7.8</v>
      </c>
      <c r="AP305" s="410"/>
      <c r="AQ305" s="56" t="s">
        <v>6311</v>
      </c>
      <c r="AR305" s="56" t="s">
        <v>6311</v>
      </c>
      <c r="AS305" s="155"/>
      <c r="AT305" s="58" t="s">
        <v>266</v>
      </c>
      <c r="AU305" s="56">
        <v>6</v>
      </c>
      <c r="AV305" s="56">
        <v>120</v>
      </c>
      <c r="AW305" s="56">
        <v>114</v>
      </c>
      <c r="AX305" s="56">
        <v>28</v>
      </c>
      <c r="AY305" s="56" t="s">
        <v>8728</v>
      </c>
      <c r="AZ305" s="56" t="s">
        <v>1563</v>
      </c>
      <c r="BA305" s="56">
        <v>32</v>
      </c>
      <c r="BB305" s="55" t="s">
        <v>2485</v>
      </c>
      <c r="BC305" s="55" t="s">
        <v>8726</v>
      </c>
      <c r="BD305" s="55" t="s">
        <v>8374</v>
      </c>
      <c r="BE305" s="56" t="s">
        <v>2449</v>
      </c>
      <c r="BF305" s="56" t="s">
        <v>272</v>
      </c>
      <c r="BG305" s="56" t="s">
        <v>272</v>
      </c>
      <c r="BH305" s="56" t="s">
        <v>2486</v>
      </c>
      <c r="BI305" s="103">
        <v>6.3999999999999997E-6</v>
      </c>
      <c r="BJ305" s="103">
        <v>6.4000000000000001E-2</v>
      </c>
      <c r="BK305" s="56"/>
      <c r="BL305" s="103">
        <f t="shared" si="110"/>
        <v>3.3547024047339783E-3</v>
      </c>
      <c r="BM305" s="56" t="s">
        <v>2487</v>
      </c>
      <c r="BN305" s="56"/>
      <c r="BO305" s="56"/>
      <c r="BP305" s="56"/>
      <c r="BQ305" s="56"/>
      <c r="BR305" s="55">
        <v>1.1599999999999999E-2</v>
      </c>
      <c r="BS305" s="56"/>
      <c r="BT305" s="56"/>
      <c r="BU305" s="158"/>
      <c r="BV305" s="56"/>
      <c r="BW305" s="56"/>
      <c r="BX305" s="56"/>
      <c r="BY305" s="56"/>
      <c r="BZ305" s="56"/>
      <c r="CA305" s="56"/>
      <c r="CB305" s="56"/>
      <c r="CC305" s="56"/>
      <c r="CD305" s="56"/>
      <c r="CE305" s="56"/>
      <c r="CF305" s="56"/>
      <c r="CG305" s="56"/>
      <c r="CH305" s="56"/>
      <c r="CI305" s="103">
        <f t="shared" si="93"/>
        <v>1.1599999999999999E-2</v>
      </c>
      <c r="CJ305" s="103">
        <f t="shared" si="94"/>
        <v>-1.9355420107730816</v>
      </c>
      <c r="CK305" s="57">
        <f t="shared" si="106"/>
        <v>5.2417225073968413E-2</v>
      </c>
      <c r="CL305" s="160">
        <f t="shared" si="103"/>
        <v>0.28919848316672231</v>
      </c>
      <c r="CM305" s="160">
        <v>-3.0303448059053788</v>
      </c>
      <c r="CN305" s="160">
        <f>BJ305/(10^CM305)</f>
        <v>68.631703703703778</v>
      </c>
      <c r="CO305" s="55" t="s">
        <v>2488</v>
      </c>
      <c r="CP305" s="55" t="s">
        <v>2489</v>
      </c>
      <c r="CQ305" s="149">
        <v>-2.4921962873970331</v>
      </c>
      <c r="CR305" s="349">
        <f>10^(CJ305-CQ305)</f>
        <v>3.6029171591180398</v>
      </c>
      <c r="CS305" s="61" t="s">
        <v>539</v>
      </c>
      <c r="CT305" s="61"/>
      <c r="CU305" s="111">
        <f t="shared" si="86"/>
        <v>2.9773743369387353</v>
      </c>
      <c r="CV305" s="331">
        <f t="shared" si="107"/>
        <v>0.53964909857014576</v>
      </c>
      <c r="CW305" s="326">
        <f t="shared" si="95"/>
        <v>1</v>
      </c>
      <c r="CX305" s="326"/>
      <c r="CY305" s="161" t="s">
        <v>6351</v>
      </c>
    </row>
    <row r="306" spans="1:103" ht="11.25" customHeight="1" x14ac:dyDescent="0.2">
      <c r="A306" s="72">
        <v>304</v>
      </c>
      <c r="B306" s="149">
        <v>1174</v>
      </c>
      <c r="C306" s="54" t="s">
        <v>3239</v>
      </c>
      <c r="D306" s="54"/>
      <c r="E306" s="59"/>
      <c r="F306" s="59" t="s">
        <v>3240</v>
      </c>
      <c r="G306" s="151">
        <v>75330755</v>
      </c>
      <c r="H306" s="55" t="s">
        <v>3241</v>
      </c>
      <c r="I306" s="55" t="s">
        <v>3241</v>
      </c>
      <c r="J306" s="55" t="s">
        <v>3242</v>
      </c>
      <c r="K306" s="55" t="s">
        <v>357</v>
      </c>
      <c r="L306" s="55" t="s">
        <v>279</v>
      </c>
      <c r="M306" s="55" t="s">
        <v>3243</v>
      </c>
      <c r="N306" s="60"/>
      <c r="O306" s="55" t="s">
        <v>281</v>
      </c>
      <c r="P306" s="67">
        <v>3</v>
      </c>
      <c r="Q306" s="67" t="s">
        <v>6173</v>
      </c>
      <c r="R306" s="67">
        <v>1</v>
      </c>
      <c r="S306" s="67" t="s">
        <v>6173</v>
      </c>
      <c r="T306" s="56">
        <v>404.54</v>
      </c>
      <c r="U306" s="103"/>
      <c r="V306" s="103">
        <v>5.2825431354130616E-3</v>
      </c>
      <c r="W306" s="103">
        <v>2.754228703338164E-2</v>
      </c>
      <c r="X306" s="103">
        <f>IF(W306=0,V306,W306)</f>
        <v>2.754228703338164E-2</v>
      </c>
      <c r="Y306" s="162">
        <v>7</v>
      </c>
      <c r="Z306" s="56">
        <v>4.74</v>
      </c>
      <c r="AA306" s="56">
        <v>4.26</v>
      </c>
      <c r="AB306" s="56">
        <v>4.16</v>
      </c>
      <c r="AC306" s="56">
        <v>0.91600000000000004</v>
      </c>
      <c r="AD306" s="56">
        <v>4.1399999999999997</v>
      </c>
      <c r="AE306" s="56">
        <v>4.07</v>
      </c>
      <c r="AF306" s="56">
        <f t="shared" si="105"/>
        <v>4.26</v>
      </c>
      <c r="AG306" s="57">
        <v>4.0999999999999996</v>
      </c>
      <c r="AH306" s="103">
        <v>2.1199999999999999E-10</v>
      </c>
      <c r="AI306" s="103"/>
      <c r="AJ306" s="62">
        <f t="shared" si="108"/>
        <v>-8.0622304653838999</v>
      </c>
      <c r="AK306" s="62"/>
      <c r="AL306" s="62">
        <f t="shared" si="109"/>
        <v>-8.0622304653838999</v>
      </c>
      <c r="AM306" s="62">
        <v>-17.448979999999999</v>
      </c>
      <c r="AN306" s="154">
        <v>-11.9</v>
      </c>
      <c r="AO306" s="410">
        <v>13.49</v>
      </c>
      <c r="AP306" s="410"/>
      <c r="AQ306" s="56" t="s">
        <v>6311</v>
      </c>
      <c r="AR306" s="56" t="s">
        <v>6312</v>
      </c>
      <c r="AS306" s="155"/>
      <c r="AT306" s="58" t="s">
        <v>266</v>
      </c>
      <c r="AU306" s="56">
        <v>6</v>
      </c>
      <c r="AV306" s="56">
        <v>120</v>
      </c>
      <c r="AW306" s="56">
        <v>114</v>
      </c>
      <c r="AX306" s="56">
        <v>28</v>
      </c>
      <c r="AY306" s="56" t="s">
        <v>8728</v>
      </c>
      <c r="AZ306" s="56" t="s">
        <v>1563</v>
      </c>
      <c r="BA306" s="56">
        <v>32</v>
      </c>
      <c r="BB306" s="55" t="s">
        <v>2485</v>
      </c>
      <c r="BC306" s="55" t="s">
        <v>8726</v>
      </c>
      <c r="BD306" s="55" t="s">
        <v>8374</v>
      </c>
      <c r="BE306" s="56" t="s">
        <v>2449</v>
      </c>
      <c r="BF306" s="56" t="s">
        <v>272</v>
      </c>
      <c r="BG306" s="56" t="s">
        <v>272</v>
      </c>
      <c r="BH306" s="56" t="s">
        <v>2486</v>
      </c>
      <c r="BI306" s="103">
        <v>6.3999999999999997E-6</v>
      </c>
      <c r="BJ306" s="103">
        <v>6.4000000000000001E-2</v>
      </c>
      <c r="BK306" s="56"/>
      <c r="BL306" s="103">
        <f t="shared" si="110"/>
        <v>2.8431907661344621E-3</v>
      </c>
      <c r="BM306" s="56" t="s">
        <v>2046</v>
      </c>
      <c r="BN306" s="56"/>
      <c r="BO306" s="56"/>
      <c r="BP306" s="56"/>
      <c r="BQ306" s="56"/>
      <c r="BR306" s="55">
        <v>2.0238579999999999E-3</v>
      </c>
      <c r="BS306" s="56"/>
      <c r="BT306" s="56"/>
      <c r="BU306" s="158"/>
      <c r="BV306" s="56"/>
      <c r="BW306" s="56"/>
      <c r="BX306" s="56"/>
      <c r="BY306" s="56"/>
      <c r="BZ306" s="56"/>
      <c r="CA306" s="56"/>
      <c r="CB306" s="56"/>
      <c r="CC306" s="56"/>
      <c r="CD306" s="56"/>
      <c r="CE306" s="56"/>
      <c r="CF306" s="56"/>
      <c r="CG306" s="56"/>
      <c r="CH306" s="56"/>
      <c r="CI306" s="103">
        <f t="shared" si="93"/>
        <v>2.0238579999999999E-3</v>
      </c>
      <c r="CJ306" s="103">
        <f t="shared" si="94"/>
        <v>-2.6938199621780141</v>
      </c>
      <c r="CK306" s="57">
        <f t="shared" si="106"/>
        <v>4.4424855720850968E-2</v>
      </c>
      <c r="CL306" s="160">
        <f t="shared" si="103"/>
        <v>1.4048370815217581</v>
      </c>
      <c r="CM306" s="160"/>
      <c r="CN306" s="160"/>
      <c r="CO306" s="55" t="s">
        <v>2488</v>
      </c>
      <c r="CP306" s="55" t="s">
        <v>2489</v>
      </c>
      <c r="CQ306" s="149" t="s">
        <v>272</v>
      </c>
      <c r="CR306" s="349"/>
      <c r="CS306" s="61" t="s">
        <v>539</v>
      </c>
      <c r="CT306" s="61"/>
      <c r="CU306" s="111">
        <f t="shared" si="86"/>
        <v>13.608804092669368</v>
      </c>
      <c r="CV306" s="331">
        <f t="shared" si="107"/>
        <v>0.43034823489658813</v>
      </c>
      <c r="CW306" s="326">
        <f t="shared" si="95"/>
        <v>1</v>
      </c>
      <c r="CX306" s="326"/>
      <c r="CY306" s="161" t="s">
        <v>6351</v>
      </c>
    </row>
    <row r="307" spans="1:103" ht="11.25" customHeight="1" x14ac:dyDescent="0.2">
      <c r="A307" s="72">
        <v>305</v>
      </c>
      <c r="B307" s="149">
        <v>1187</v>
      </c>
      <c r="C307" s="54" t="s">
        <v>1302</v>
      </c>
      <c r="D307" s="54" t="s">
        <v>6504</v>
      </c>
      <c r="E307" s="59"/>
      <c r="F307" s="59" t="s">
        <v>1303</v>
      </c>
      <c r="G307" s="151">
        <v>6317186</v>
      </c>
      <c r="H307" s="55" t="s">
        <v>1304</v>
      </c>
      <c r="I307" s="55"/>
      <c r="J307" s="55" t="s">
        <v>1305</v>
      </c>
      <c r="K307" s="55" t="s">
        <v>1306</v>
      </c>
      <c r="L307" s="55" t="s">
        <v>5998</v>
      </c>
      <c r="M307" s="55" t="s">
        <v>6088</v>
      </c>
      <c r="N307" s="60" t="s">
        <v>6088</v>
      </c>
      <c r="O307" s="55" t="s">
        <v>6083</v>
      </c>
      <c r="P307" s="67">
        <v>3</v>
      </c>
      <c r="Q307" s="67" t="s">
        <v>6173</v>
      </c>
      <c r="R307" s="67">
        <v>1</v>
      </c>
      <c r="S307" s="67" t="s">
        <v>6173</v>
      </c>
      <c r="T307" s="56">
        <v>130.19</v>
      </c>
      <c r="U307" s="103"/>
      <c r="V307" s="103">
        <v>208.69498425378293</v>
      </c>
      <c r="W307" s="103">
        <v>213.79620895022313</v>
      </c>
      <c r="X307" s="103">
        <f>IF(W307=0,V307,W307)</f>
        <v>213.79620895022313</v>
      </c>
      <c r="Y307" s="162">
        <v>7</v>
      </c>
      <c r="Z307" s="56">
        <v>0.62</v>
      </c>
      <c r="AA307" s="56"/>
      <c r="AB307" s="56">
        <v>0.81</v>
      </c>
      <c r="AC307" s="56">
        <v>0.60450000000000004</v>
      </c>
      <c r="AD307" s="56">
        <v>0.8</v>
      </c>
      <c r="AE307" s="56">
        <v>0.8</v>
      </c>
      <c r="AF307" s="56">
        <f t="shared" si="105"/>
        <v>0.8</v>
      </c>
      <c r="AG307" s="57">
        <v>1.36</v>
      </c>
      <c r="AH307" s="103">
        <v>2.6099999999999999E-8</v>
      </c>
      <c r="AI307" s="103"/>
      <c r="AJ307" s="62">
        <f t="shared" si="108"/>
        <v>-5.9719258189743707</v>
      </c>
      <c r="AK307" s="62"/>
      <c r="AL307" s="62">
        <f t="shared" si="109"/>
        <v>-5.9719258189743707</v>
      </c>
      <c r="AM307" s="62">
        <v>-8.0618999999999996</v>
      </c>
      <c r="AN307" s="154">
        <v>-11.9</v>
      </c>
      <c r="AO307" s="410"/>
      <c r="AP307" s="410"/>
      <c r="AQ307" s="56" t="s">
        <v>6311</v>
      </c>
      <c r="AR307" s="56" t="s">
        <v>6311</v>
      </c>
      <c r="AS307" s="155"/>
      <c r="AT307" s="58" t="s">
        <v>266</v>
      </c>
      <c r="AU307" s="56">
        <v>6</v>
      </c>
      <c r="AV307" s="56">
        <v>120</v>
      </c>
      <c r="AW307" s="56">
        <v>114</v>
      </c>
      <c r="AX307" s="56">
        <v>28</v>
      </c>
      <c r="AY307" s="56" t="s">
        <v>8728</v>
      </c>
      <c r="AZ307" s="56" t="s">
        <v>1563</v>
      </c>
      <c r="BA307" s="56">
        <v>32</v>
      </c>
      <c r="BB307" s="55" t="s">
        <v>2485</v>
      </c>
      <c r="BC307" s="55" t="s">
        <v>8726</v>
      </c>
      <c r="BD307" s="55" t="s">
        <v>8374</v>
      </c>
      <c r="BE307" s="56" t="s">
        <v>2449</v>
      </c>
      <c r="BF307" s="56" t="s">
        <v>272</v>
      </c>
      <c r="BG307" s="56" t="s">
        <v>272</v>
      </c>
      <c r="BH307" s="56" t="s">
        <v>2486</v>
      </c>
      <c r="BI307" s="103">
        <v>6.3999999999999997E-6</v>
      </c>
      <c r="BJ307" s="103">
        <v>6.4000000000000001E-2</v>
      </c>
      <c r="BK307" s="56"/>
      <c r="BL307" s="103">
        <f t="shared" si="110"/>
        <v>14.255353786098398</v>
      </c>
      <c r="BM307" s="56" t="s">
        <v>2487</v>
      </c>
      <c r="BN307" s="56"/>
      <c r="BO307" s="56"/>
      <c r="BP307" s="56"/>
      <c r="BQ307" s="56"/>
      <c r="BR307" s="55">
        <v>1.1599999999999999E-2</v>
      </c>
      <c r="BS307" s="56"/>
      <c r="BT307" s="56"/>
      <c r="BU307" s="158"/>
      <c r="BV307" s="56"/>
      <c r="BW307" s="56"/>
      <c r="BX307" s="56"/>
      <c r="BY307" s="56"/>
      <c r="BZ307" s="56"/>
      <c r="CA307" s="56"/>
      <c r="CB307" s="56"/>
      <c r="CC307" s="56"/>
      <c r="CD307" s="56"/>
      <c r="CE307" s="56"/>
      <c r="CF307" s="56"/>
      <c r="CG307" s="56"/>
      <c r="CH307" s="56"/>
      <c r="CI307" s="103">
        <f t="shared" si="93"/>
        <v>1.1599999999999999E-2</v>
      </c>
      <c r="CJ307" s="103">
        <f t="shared" si="94"/>
        <v>-1.9355420107730816</v>
      </c>
      <c r="CK307" s="57">
        <f t="shared" si="106"/>
        <v>222.73990290778747</v>
      </c>
      <c r="CL307" s="160">
        <f t="shared" si="103"/>
        <v>1228.9098091464136</v>
      </c>
      <c r="CM307" s="160">
        <v>-2.8973041126366863</v>
      </c>
      <c r="CN307" s="160">
        <f>BJ307/(10^CM307)</f>
        <v>50.522413222368058</v>
      </c>
      <c r="CO307" s="55" t="s">
        <v>2488</v>
      </c>
      <c r="CP307" s="55" t="s">
        <v>2489</v>
      </c>
      <c r="CQ307" s="149">
        <v>-2.552004069908373</v>
      </c>
      <c r="CR307" s="349">
        <f>10^(CJ307-CQ307)</f>
        <v>4.1348718967306679</v>
      </c>
      <c r="CS307" s="61" t="s">
        <v>539</v>
      </c>
      <c r="CT307" s="61"/>
      <c r="CU307" s="111">
        <f t="shared" si="86"/>
        <v>18430.707668122686</v>
      </c>
      <c r="CV307" s="331">
        <f t="shared" si="107"/>
        <v>3340.5657648472366</v>
      </c>
      <c r="CW307" s="326">
        <f t="shared" si="95"/>
        <v>1</v>
      </c>
      <c r="CX307" s="326"/>
      <c r="CY307" s="161" t="s">
        <v>5921</v>
      </c>
    </row>
    <row r="308" spans="1:103" ht="11.25" customHeight="1" x14ac:dyDescent="0.2">
      <c r="A308" s="72">
        <v>306</v>
      </c>
      <c r="B308" s="149">
        <v>940</v>
      </c>
      <c r="C308" s="54" t="s">
        <v>2679</v>
      </c>
      <c r="D308" s="54" t="s">
        <v>6427</v>
      </c>
      <c r="E308" s="59"/>
      <c r="F308" s="59" t="s">
        <v>1696</v>
      </c>
      <c r="G308" s="151">
        <v>51285</v>
      </c>
      <c r="H308" s="55" t="s">
        <v>1697</v>
      </c>
      <c r="I308" s="55" t="s">
        <v>1697</v>
      </c>
      <c r="J308" s="55" t="s">
        <v>1698</v>
      </c>
      <c r="K308" s="55" t="s">
        <v>1693</v>
      </c>
      <c r="L308" s="55" t="s">
        <v>6110</v>
      </c>
      <c r="M308" s="55" t="s">
        <v>497</v>
      </c>
      <c r="N308" s="60" t="s">
        <v>6381</v>
      </c>
      <c r="O308" s="55" t="s">
        <v>6086</v>
      </c>
      <c r="P308" s="67">
        <v>3</v>
      </c>
      <c r="Q308" s="67" t="s">
        <v>6173</v>
      </c>
      <c r="R308" s="67">
        <v>1</v>
      </c>
      <c r="S308" s="67" t="s">
        <v>6173</v>
      </c>
      <c r="T308" s="56">
        <v>184.11</v>
      </c>
      <c r="U308" s="103">
        <v>15.153984031285644</v>
      </c>
      <c r="V308" s="103">
        <v>10.70555646081147</v>
      </c>
      <c r="W308" s="103">
        <v>6.1659500186148195</v>
      </c>
      <c r="X308" s="103">
        <v>15.153984031285644</v>
      </c>
      <c r="Y308" s="162">
        <v>3.15</v>
      </c>
      <c r="Z308" s="56">
        <v>1.73</v>
      </c>
      <c r="AA308" s="56">
        <v>1.67</v>
      </c>
      <c r="AB308" s="56">
        <v>1.62</v>
      </c>
      <c r="AC308" s="56">
        <v>0.79949999999999999</v>
      </c>
      <c r="AD308" s="56">
        <v>1.66</v>
      </c>
      <c r="AE308" s="56">
        <v>1.74</v>
      </c>
      <c r="AF308" s="56">
        <f t="shared" si="105"/>
        <v>1.67</v>
      </c>
      <c r="AG308" s="57">
        <v>0.7</v>
      </c>
      <c r="AH308" s="103">
        <v>2.7599999999999999E-8</v>
      </c>
      <c r="AI308" s="103">
        <v>8.6000000000000002E-8</v>
      </c>
      <c r="AJ308" s="62">
        <f t="shared" si="108"/>
        <v>-5.9476572442474342</v>
      </c>
      <c r="AK308" s="62">
        <f t="shared" ref="AK308:AK316" si="111">LOG10(AI308*1000/(0.08206*298.15))</f>
        <v>-5.4540678750690841</v>
      </c>
      <c r="AL308" s="62">
        <f t="shared" si="109"/>
        <v>-5.4540678750690841</v>
      </c>
      <c r="AM308" s="62">
        <v>-9.2873400000000004</v>
      </c>
      <c r="AN308" s="154">
        <v>-5.58</v>
      </c>
      <c r="AO308" s="410">
        <v>4.04</v>
      </c>
      <c r="AP308" s="410"/>
      <c r="AQ308" s="56" t="s">
        <v>6311</v>
      </c>
      <c r="AR308" s="56" t="s">
        <v>6311</v>
      </c>
      <c r="AS308" s="155"/>
      <c r="AT308" s="58" t="s">
        <v>266</v>
      </c>
      <c r="AU308" s="56">
        <v>6</v>
      </c>
      <c r="AV308" s="56">
        <v>120</v>
      </c>
      <c r="AW308" s="56">
        <v>114</v>
      </c>
      <c r="AX308" s="56">
        <v>28</v>
      </c>
      <c r="AY308" s="56" t="s">
        <v>8728</v>
      </c>
      <c r="AZ308" s="56" t="s">
        <v>1563</v>
      </c>
      <c r="BA308" s="56">
        <v>32</v>
      </c>
      <c r="BB308" s="55" t="s">
        <v>2485</v>
      </c>
      <c r="BC308" s="55" t="s">
        <v>8726</v>
      </c>
      <c r="BD308" s="55" t="s">
        <v>8374</v>
      </c>
      <c r="BE308" s="56" t="s">
        <v>2449</v>
      </c>
      <c r="BF308" s="56" t="s">
        <v>272</v>
      </c>
      <c r="BG308" s="56" t="s">
        <v>272</v>
      </c>
      <c r="BH308" s="56" t="s">
        <v>2486</v>
      </c>
      <c r="BI308" s="103">
        <v>6.3999999999999997E-6</v>
      </c>
      <c r="BJ308" s="103">
        <v>6.4000000000000001E-2</v>
      </c>
      <c r="BK308" s="56"/>
      <c r="BL308" s="103">
        <f t="shared" si="110"/>
        <v>1.4357770264403475</v>
      </c>
      <c r="BM308" s="56" t="s">
        <v>2046</v>
      </c>
      <c r="BN308" s="56"/>
      <c r="BO308" s="56"/>
      <c r="BP308" s="56"/>
      <c r="BQ308" s="56"/>
      <c r="BR308" s="65">
        <v>1.1299999999999999E-2</v>
      </c>
      <c r="BS308" s="56"/>
      <c r="BT308" s="56"/>
      <c r="BU308" s="158"/>
      <c r="BV308" s="56"/>
      <c r="BW308" s="56"/>
      <c r="BX308" s="56"/>
      <c r="BY308" s="56"/>
      <c r="BZ308" s="56"/>
      <c r="CA308" s="56"/>
      <c r="CB308" s="56"/>
      <c r="CC308" s="56"/>
      <c r="CD308" s="56"/>
      <c r="CE308" s="56"/>
      <c r="CF308" s="56"/>
      <c r="CG308" s="56"/>
      <c r="CH308" s="56"/>
      <c r="CI308" s="103">
        <f t="shared" si="93"/>
        <v>1.1299999999999999E-2</v>
      </c>
      <c r="CJ308" s="103">
        <f t="shared" si="94"/>
        <v>-1.9469215565165803</v>
      </c>
      <c r="CK308" s="57">
        <f t="shared" si="106"/>
        <v>22.43401603813043</v>
      </c>
      <c r="CL308" s="160">
        <f t="shared" si="103"/>
        <v>127.05991384427855</v>
      </c>
      <c r="CM308" s="160">
        <v>-2.2096012260030591</v>
      </c>
      <c r="CN308" s="160">
        <f>BJ308/(10^CM308)</f>
        <v>10.370058347924335</v>
      </c>
      <c r="CO308" s="55" t="s">
        <v>2488</v>
      </c>
      <c r="CP308" s="55" t="s">
        <v>2489</v>
      </c>
      <c r="CQ308" s="149">
        <v>-1.52953156925994</v>
      </c>
      <c r="CR308" s="349">
        <f>10^(CJ308-CQ308)</f>
        <v>0.38248112909875748</v>
      </c>
      <c r="CS308" s="61" t="s">
        <v>539</v>
      </c>
      <c r="CT308" s="61"/>
      <c r="CU308" s="111">
        <f t="shared" si="86"/>
        <v>1341.0605337420925</v>
      </c>
      <c r="CV308" s="331">
        <f t="shared" si="107"/>
        <v>236.78100048883817</v>
      </c>
      <c r="CW308" s="326">
        <f t="shared" si="95"/>
        <v>1</v>
      </c>
      <c r="CX308" s="326"/>
      <c r="CY308" s="161" t="s">
        <v>6351</v>
      </c>
    </row>
    <row r="309" spans="1:103" ht="11.25" customHeight="1" x14ac:dyDescent="0.2">
      <c r="A309" s="72">
        <v>307</v>
      </c>
      <c r="B309" s="149">
        <v>1048</v>
      </c>
      <c r="C309" s="54" t="s">
        <v>1017</v>
      </c>
      <c r="D309" s="54" t="s">
        <v>6477</v>
      </c>
      <c r="E309" s="59"/>
      <c r="F309" s="59" t="s">
        <v>1018</v>
      </c>
      <c r="G309" s="151">
        <v>133062</v>
      </c>
      <c r="H309" s="55" t="s">
        <v>1019</v>
      </c>
      <c r="I309" s="55" t="s">
        <v>7879</v>
      </c>
      <c r="J309" s="55" t="s">
        <v>1020</v>
      </c>
      <c r="K309" s="55" t="s">
        <v>1016</v>
      </c>
      <c r="L309" s="55" t="s">
        <v>5929</v>
      </c>
      <c r="M309" s="55" t="s">
        <v>6082</v>
      </c>
      <c r="N309" s="60" t="s">
        <v>6082</v>
      </c>
      <c r="O309" s="55" t="s">
        <v>6083</v>
      </c>
      <c r="P309" s="67">
        <v>3</v>
      </c>
      <c r="Q309" s="67" t="s">
        <v>6173</v>
      </c>
      <c r="R309" s="67">
        <v>1</v>
      </c>
      <c r="S309" s="67" t="s">
        <v>6173</v>
      </c>
      <c r="T309" s="56">
        <v>300.58999999999997</v>
      </c>
      <c r="U309" s="103">
        <v>1.6966632289830003E-2</v>
      </c>
      <c r="V309" s="103">
        <v>0.16464286902425232</v>
      </c>
      <c r="W309" s="103">
        <v>1.8197008586099819E-2</v>
      </c>
      <c r="X309" s="103">
        <v>1.6966632289830003E-2</v>
      </c>
      <c r="Y309" s="162">
        <v>7</v>
      </c>
      <c r="Z309" s="56">
        <v>2.74</v>
      </c>
      <c r="AA309" s="56">
        <v>2.8</v>
      </c>
      <c r="AB309" s="56">
        <v>2.35</v>
      </c>
      <c r="AC309" s="56">
        <v>0.74490000000000001</v>
      </c>
      <c r="AD309" s="56">
        <v>2.19</v>
      </c>
      <c r="AE309" s="56">
        <v>1.85</v>
      </c>
      <c r="AF309" s="56">
        <f t="shared" si="105"/>
        <v>2.8</v>
      </c>
      <c r="AG309" s="57">
        <v>2.33</v>
      </c>
      <c r="AH309" s="103">
        <v>4.5900000000000001E-9</v>
      </c>
      <c r="AI309" s="103">
        <v>6.9999999999999998E-9</v>
      </c>
      <c r="AJ309" s="62">
        <f t="shared" si="108"/>
        <v>-6.7267536407753905</v>
      </c>
      <c r="AK309" s="62">
        <f t="shared" si="111"/>
        <v>-6.5434682862983946</v>
      </c>
      <c r="AL309" s="62">
        <f t="shared" si="109"/>
        <v>-6.5434682862983946</v>
      </c>
      <c r="AM309" s="62">
        <v>-12.354499999999998</v>
      </c>
      <c r="AN309" s="154">
        <v>-6.93</v>
      </c>
      <c r="AO309" s="410"/>
      <c r="AP309" s="410">
        <v>-2.68</v>
      </c>
      <c r="AQ309" s="56" t="s">
        <v>6311</v>
      </c>
      <c r="AR309" s="56" t="s">
        <v>6311</v>
      </c>
      <c r="AS309" s="155"/>
      <c r="AT309" s="58" t="s">
        <v>266</v>
      </c>
      <c r="AU309" s="56">
        <v>6</v>
      </c>
      <c r="AV309" s="56">
        <v>120</v>
      </c>
      <c r="AW309" s="56">
        <v>114</v>
      </c>
      <c r="AX309" s="56">
        <v>28</v>
      </c>
      <c r="AY309" s="56" t="s">
        <v>8728</v>
      </c>
      <c r="AZ309" s="56" t="s">
        <v>1563</v>
      </c>
      <c r="BA309" s="56">
        <v>32</v>
      </c>
      <c r="BB309" s="55" t="s">
        <v>2485</v>
      </c>
      <c r="BC309" s="55" t="s">
        <v>8726</v>
      </c>
      <c r="BD309" s="55" t="s">
        <v>8374</v>
      </c>
      <c r="BE309" s="56" t="s">
        <v>2449</v>
      </c>
      <c r="BF309" s="56" t="s">
        <v>272</v>
      </c>
      <c r="BG309" s="56" t="s">
        <v>272</v>
      </c>
      <c r="BH309" s="56" t="s">
        <v>2486</v>
      </c>
      <c r="BI309" s="103">
        <v>6.3999999999999997E-6</v>
      </c>
      <c r="BJ309" s="103">
        <v>6.4000000000000001E-2</v>
      </c>
      <c r="BK309" s="56"/>
      <c r="BL309" s="103">
        <f t="shared" si="110"/>
        <v>0.17783039780465951</v>
      </c>
      <c r="BM309" s="56" t="s">
        <v>2046</v>
      </c>
      <c r="BN309" s="56">
        <v>19.934998369999999</v>
      </c>
      <c r="BO309" s="56"/>
      <c r="BP309" s="56"/>
      <c r="BQ309" s="56"/>
      <c r="BR309" s="55">
        <v>1.09E-2</v>
      </c>
      <c r="BS309" s="56"/>
      <c r="BT309" s="56"/>
      <c r="BU309" s="158"/>
      <c r="BV309" s="56"/>
      <c r="BW309" s="56"/>
      <c r="BX309" s="56"/>
      <c r="BY309" s="56"/>
      <c r="BZ309" s="56"/>
      <c r="CA309" s="56"/>
      <c r="CB309" s="56"/>
      <c r="CC309" s="56"/>
      <c r="CD309" s="56"/>
      <c r="CE309" s="56"/>
      <c r="CF309" s="56"/>
      <c r="CG309" s="56"/>
      <c r="CH309" s="56"/>
      <c r="CI309" s="103">
        <f t="shared" si="93"/>
        <v>1.09E-2</v>
      </c>
      <c r="CJ309" s="103">
        <f t="shared" si="94"/>
        <v>-1.9625735020593764</v>
      </c>
      <c r="CK309" s="57">
        <f t="shared" si="106"/>
        <v>2.7785999656978047</v>
      </c>
      <c r="CL309" s="160">
        <f t="shared" si="103"/>
        <v>16.314715394922892</v>
      </c>
      <c r="CM309" s="160">
        <v>-3.5545208149506622</v>
      </c>
      <c r="CN309" s="160">
        <f>BJ309/(10^CM309)</f>
        <v>229.45672408009565</v>
      </c>
      <c r="CO309" s="55" t="s">
        <v>2488</v>
      </c>
      <c r="CP309" s="55" t="s">
        <v>2489</v>
      </c>
      <c r="CQ309" s="149">
        <v>-3.420074865683207</v>
      </c>
      <c r="CR309" s="349">
        <f>10^(CJ309-CQ309)</f>
        <v>28.674863790726903</v>
      </c>
      <c r="CS309" s="61" t="s">
        <v>539</v>
      </c>
      <c r="CT309" s="61"/>
      <c r="CU309" s="111">
        <f t="shared" si="86"/>
        <v>1.5565717697091745</v>
      </c>
      <c r="CV309" s="331">
        <f t="shared" si="107"/>
        <v>0.26510362952859379</v>
      </c>
      <c r="CW309" s="326">
        <f t="shared" si="95"/>
        <v>0</v>
      </c>
      <c r="CX309" s="326"/>
      <c r="CY309" s="161" t="s">
        <v>5921</v>
      </c>
    </row>
    <row r="310" spans="1:103" ht="11.25" customHeight="1" x14ac:dyDescent="0.2">
      <c r="A310" s="72">
        <v>308</v>
      </c>
      <c r="B310" s="149">
        <v>2157</v>
      </c>
      <c r="C310" s="54" t="s">
        <v>5917</v>
      </c>
      <c r="D310" s="54"/>
      <c r="E310" s="59"/>
      <c r="F310" s="167" t="s">
        <v>5910</v>
      </c>
      <c r="G310" s="151">
        <v>77458016</v>
      </c>
      <c r="H310" s="67" t="s">
        <v>5911</v>
      </c>
      <c r="I310" s="67" t="s">
        <v>8327</v>
      </c>
      <c r="J310" s="67" t="s">
        <v>5912</v>
      </c>
      <c r="K310" s="67" t="s">
        <v>5913</v>
      </c>
      <c r="L310" s="67"/>
      <c r="M310" s="67"/>
      <c r="N310" s="60"/>
      <c r="O310" s="67"/>
      <c r="P310" s="67">
        <v>3</v>
      </c>
      <c r="Q310" s="67" t="s">
        <v>6173</v>
      </c>
      <c r="R310" s="67">
        <v>1</v>
      </c>
      <c r="S310" s="67" t="s">
        <v>6173</v>
      </c>
      <c r="T310" s="61">
        <v>360.8</v>
      </c>
      <c r="U310" s="111">
        <v>9.1463414634146339E-2</v>
      </c>
      <c r="V310" s="111">
        <v>8.9079822616407976E-3</v>
      </c>
      <c r="W310" s="111">
        <v>0.13489628825916533</v>
      </c>
      <c r="X310" s="111">
        <v>9.1463414634146339E-2</v>
      </c>
      <c r="Y310" s="411">
        <v>7</v>
      </c>
      <c r="Z310" s="61">
        <v>3.76</v>
      </c>
      <c r="AA310" s="61">
        <v>3.77</v>
      </c>
      <c r="AB310" s="61">
        <v>3.67</v>
      </c>
      <c r="AC310" s="61">
        <v>0.7994</v>
      </c>
      <c r="AD310" s="61">
        <v>3.76</v>
      </c>
      <c r="AE310" s="61">
        <v>4.01</v>
      </c>
      <c r="AF310" s="61">
        <f t="shared" si="105"/>
        <v>3.77</v>
      </c>
      <c r="AG310" s="62">
        <v>3.76</v>
      </c>
      <c r="AH310" s="111">
        <v>2.1800000000000001E-13</v>
      </c>
      <c r="AI310" s="111">
        <v>1.73E-10</v>
      </c>
      <c r="AJ310" s="62">
        <f t="shared" si="108"/>
        <v>-11.050109832708047</v>
      </c>
      <c r="AK310" s="62">
        <f t="shared" si="111"/>
        <v>-8.1505202231838556</v>
      </c>
      <c r="AL310" s="62">
        <f t="shared" si="109"/>
        <v>-8.1505202231838556</v>
      </c>
      <c r="AM310" s="62">
        <v>-16.12341</v>
      </c>
      <c r="AN310" s="163"/>
      <c r="AO310" s="410"/>
      <c r="AP310" s="410">
        <v>-1.95</v>
      </c>
      <c r="AQ310" s="163" t="s">
        <v>6314</v>
      </c>
      <c r="AR310" s="163" t="s">
        <v>6314</v>
      </c>
      <c r="AS310" s="164" t="s">
        <v>5466</v>
      </c>
      <c r="AT310" s="63" t="s">
        <v>266</v>
      </c>
      <c r="AU310" s="61">
        <v>0</v>
      </c>
      <c r="AV310" s="61">
        <v>96</v>
      </c>
      <c r="AW310" s="61">
        <v>96</v>
      </c>
      <c r="AX310" s="61">
        <v>28</v>
      </c>
      <c r="AY310" s="61" t="s">
        <v>267</v>
      </c>
      <c r="AZ310" s="61" t="s">
        <v>5914</v>
      </c>
      <c r="BA310" s="61"/>
      <c r="BB310" s="67" t="s">
        <v>5487</v>
      </c>
      <c r="BC310" s="67" t="s">
        <v>5915</v>
      </c>
      <c r="BD310" s="67" t="s">
        <v>8374</v>
      </c>
      <c r="BE310" s="61" t="s">
        <v>5733</v>
      </c>
      <c r="BF310" s="61"/>
      <c r="BG310" s="61"/>
      <c r="BH310" s="61"/>
      <c r="BI310" s="111">
        <v>5.5432370000000003E-3</v>
      </c>
      <c r="BJ310" s="111">
        <v>1.6629712000000001E-2</v>
      </c>
      <c r="BK310" s="165"/>
      <c r="BL310" s="111">
        <f t="shared" si="110"/>
        <v>2.1574661972438215E-2</v>
      </c>
      <c r="BM310" s="61"/>
      <c r="BN310" s="61">
        <v>7.6219510000000001E-3</v>
      </c>
      <c r="BO310" s="61">
        <v>6.7627490000000002E-3</v>
      </c>
      <c r="BP310" s="61">
        <v>6.7627490000000002E-3</v>
      </c>
      <c r="BQ310" s="61">
        <v>6.1807099999999998E-3</v>
      </c>
      <c r="BR310" s="61"/>
      <c r="BS310" s="61"/>
      <c r="BT310" s="61"/>
      <c r="BU310" s="158"/>
      <c r="BV310" s="61"/>
      <c r="BW310" s="61"/>
      <c r="BX310" s="61"/>
      <c r="BY310" s="61"/>
      <c r="BZ310" s="61"/>
      <c r="CA310" s="61"/>
      <c r="CB310" s="61"/>
      <c r="CC310" s="61"/>
      <c r="CD310" s="61"/>
      <c r="CE310" s="61"/>
      <c r="CF310" s="61"/>
      <c r="CG310" s="61"/>
      <c r="CH310" s="61"/>
      <c r="CI310" s="111">
        <f t="shared" si="93"/>
        <v>6.1807099999999998E-3</v>
      </c>
      <c r="CJ310" s="103">
        <f t="shared" si="94"/>
        <v>-2.2089616331035953</v>
      </c>
      <c r="CK310" s="57">
        <f t="shared" si="106"/>
        <v>1.2973563205687635</v>
      </c>
      <c r="CL310" s="160">
        <f t="shared" si="103"/>
        <v>3.4906445978598275</v>
      </c>
      <c r="CM310" s="160"/>
      <c r="CN310" s="160"/>
      <c r="CO310" s="67"/>
      <c r="CP310" s="67" t="s">
        <v>5916</v>
      </c>
      <c r="CQ310" s="149" t="s">
        <v>272</v>
      </c>
      <c r="CR310" s="349"/>
      <c r="CS310" s="61" t="s">
        <v>539</v>
      </c>
      <c r="CT310" s="61"/>
      <c r="CU310" s="111">
        <f t="shared" si="86"/>
        <v>14.798205163184544</v>
      </c>
      <c r="CV310" s="331">
        <f t="shared" si="107"/>
        <v>5.499999917866667</v>
      </c>
      <c r="CW310" s="326">
        <f t="shared" si="95"/>
        <v>1</v>
      </c>
      <c r="CX310" s="326" t="s">
        <v>539</v>
      </c>
      <c r="CY310" s="161" t="s">
        <v>5921</v>
      </c>
    </row>
    <row r="311" spans="1:103" ht="11.25" customHeight="1" x14ac:dyDescent="0.2">
      <c r="A311" s="72">
        <v>309</v>
      </c>
      <c r="B311" s="149">
        <v>2156</v>
      </c>
      <c r="C311" s="54" t="s">
        <v>5909</v>
      </c>
      <c r="D311" s="54"/>
      <c r="E311" s="59"/>
      <c r="F311" s="167" t="s">
        <v>5910</v>
      </c>
      <c r="G311" s="151">
        <v>77458016</v>
      </c>
      <c r="H311" s="67" t="s">
        <v>5911</v>
      </c>
      <c r="I311" s="67" t="s">
        <v>8327</v>
      </c>
      <c r="J311" s="67" t="s">
        <v>5912</v>
      </c>
      <c r="K311" s="67" t="s">
        <v>5913</v>
      </c>
      <c r="L311" s="67"/>
      <c r="M311" s="67"/>
      <c r="N311" s="60"/>
      <c r="O311" s="67"/>
      <c r="P311" s="67">
        <v>3</v>
      </c>
      <c r="Q311" s="67" t="s">
        <v>6173</v>
      </c>
      <c r="R311" s="67">
        <v>1</v>
      </c>
      <c r="S311" s="67" t="s">
        <v>6173</v>
      </c>
      <c r="T311" s="61">
        <v>360.8</v>
      </c>
      <c r="U311" s="111">
        <v>9.1463414634146339E-2</v>
      </c>
      <c r="V311" s="111">
        <v>8.9079822616407976E-3</v>
      </c>
      <c r="W311" s="111">
        <v>0.13489628825916533</v>
      </c>
      <c r="X311" s="111">
        <v>9.1463414634146339E-2</v>
      </c>
      <c r="Y311" s="411">
        <v>7</v>
      </c>
      <c r="Z311" s="61">
        <v>3.76</v>
      </c>
      <c r="AA311" s="61">
        <v>3.77</v>
      </c>
      <c r="AB311" s="61">
        <v>3.67</v>
      </c>
      <c r="AC311" s="61">
        <v>0.7994</v>
      </c>
      <c r="AD311" s="61">
        <v>3.76</v>
      </c>
      <c r="AE311" s="61">
        <v>4.01</v>
      </c>
      <c r="AF311" s="61">
        <f t="shared" si="105"/>
        <v>3.77</v>
      </c>
      <c r="AG311" s="62">
        <v>3.76</v>
      </c>
      <c r="AH311" s="111">
        <v>2.1800000000000001E-13</v>
      </c>
      <c r="AI311" s="111">
        <v>1.73E-10</v>
      </c>
      <c r="AJ311" s="62">
        <f t="shared" si="108"/>
        <v>-11.050109832708047</v>
      </c>
      <c r="AK311" s="62">
        <f t="shared" si="111"/>
        <v>-8.1505202231838556</v>
      </c>
      <c r="AL311" s="62">
        <f t="shared" si="109"/>
        <v>-8.1505202231838556</v>
      </c>
      <c r="AM311" s="62">
        <v>-16.12341</v>
      </c>
      <c r="AN311" s="163"/>
      <c r="AO311" s="410"/>
      <c r="AP311" s="410">
        <v>-1.95</v>
      </c>
      <c r="AQ311" s="163" t="s">
        <v>6314</v>
      </c>
      <c r="AR311" s="163" t="s">
        <v>6314</v>
      </c>
      <c r="AS311" s="164" t="s">
        <v>5466</v>
      </c>
      <c r="AT311" s="63" t="s">
        <v>266</v>
      </c>
      <c r="AU311" s="61">
        <v>0</v>
      </c>
      <c r="AV311" s="61">
        <v>96</v>
      </c>
      <c r="AW311" s="61">
        <v>96</v>
      </c>
      <c r="AX311" s="61">
        <v>28</v>
      </c>
      <c r="AY311" s="61" t="s">
        <v>267</v>
      </c>
      <c r="AZ311" s="61" t="s">
        <v>5914</v>
      </c>
      <c r="BA311" s="61"/>
      <c r="BB311" s="67" t="s">
        <v>5487</v>
      </c>
      <c r="BC311" s="67" t="s">
        <v>5915</v>
      </c>
      <c r="BD311" s="67" t="s">
        <v>8374</v>
      </c>
      <c r="BE311" s="61" t="s">
        <v>5733</v>
      </c>
      <c r="BF311" s="61"/>
      <c r="BG311" s="61"/>
      <c r="BH311" s="61"/>
      <c r="BI311" s="111">
        <v>5.5432370000000003E-3</v>
      </c>
      <c r="BJ311" s="111">
        <v>9.9778269999999999E-3</v>
      </c>
      <c r="BK311" s="165"/>
      <c r="BL311" s="111">
        <f t="shared" si="110"/>
        <v>2.1574661972438215E-2</v>
      </c>
      <c r="BM311" s="61"/>
      <c r="BN311" s="61">
        <v>8.2594239999999996E-3</v>
      </c>
      <c r="BO311" s="61">
        <v>7.9545450000000004E-3</v>
      </c>
      <c r="BP311" s="61">
        <v>7.1230599999999996E-3</v>
      </c>
      <c r="BQ311" s="61">
        <v>7.1230599999999996E-3</v>
      </c>
      <c r="BR311" s="61"/>
      <c r="BS311" s="61"/>
      <c r="BT311" s="61"/>
      <c r="BU311" s="158"/>
      <c r="BV311" s="61"/>
      <c r="BW311" s="61"/>
      <c r="BX311" s="61"/>
      <c r="BY311" s="61"/>
      <c r="BZ311" s="61"/>
      <c r="CA311" s="61"/>
      <c r="CB311" s="61"/>
      <c r="CC311" s="61"/>
      <c r="CD311" s="61"/>
      <c r="CE311" s="61"/>
      <c r="CF311" s="61"/>
      <c r="CG311" s="61"/>
      <c r="CH311" s="61"/>
      <c r="CI311" s="111">
        <f t="shared" si="93"/>
        <v>7.1230599999999996E-3</v>
      </c>
      <c r="CJ311" s="103">
        <f t="shared" si="94"/>
        <v>-2.147333397427273</v>
      </c>
      <c r="CK311" s="57">
        <f t="shared" si="106"/>
        <v>2.1622605776225843</v>
      </c>
      <c r="CL311" s="160">
        <f t="shared" si="103"/>
        <v>3.0288474296774441</v>
      </c>
      <c r="CM311" s="160"/>
      <c r="CN311" s="160"/>
      <c r="CO311" s="67"/>
      <c r="CP311" s="67" t="s">
        <v>5916</v>
      </c>
      <c r="CQ311" s="149" t="s">
        <v>272</v>
      </c>
      <c r="CR311" s="349"/>
      <c r="CS311" s="61" t="s">
        <v>539</v>
      </c>
      <c r="CT311" s="61"/>
      <c r="CU311" s="111">
        <f t="shared" ref="CU311:CU374" si="112">X311/CI311</f>
        <v>12.840466686248094</v>
      </c>
      <c r="CV311" s="331">
        <f t="shared" si="107"/>
        <v>9.1666667135185183</v>
      </c>
      <c r="CW311" s="326">
        <f t="shared" si="95"/>
        <v>1</v>
      </c>
      <c r="CX311" s="326" t="s">
        <v>539</v>
      </c>
      <c r="CY311" s="161" t="s">
        <v>5921</v>
      </c>
    </row>
    <row r="312" spans="1:103" ht="11.25" customHeight="1" x14ac:dyDescent="0.2">
      <c r="A312" s="72">
        <v>310</v>
      </c>
      <c r="B312" s="149">
        <v>2158</v>
      </c>
      <c r="C312" s="54" t="s">
        <v>5918</v>
      </c>
      <c r="D312" s="54"/>
      <c r="E312" s="59"/>
      <c r="F312" s="167" t="s">
        <v>5910</v>
      </c>
      <c r="G312" s="151">
        <v>77458016</v>
      </c>
      <c r="H312" s="67" t="s">
        <v>5911</v>
      </c>
      <c r="I312" s="67" t="s">
        <v>8327</v>
      </c>
      <c r="J312" s="67" t="s">
        <v>5912</v>
      </c>
      <c r="K312" s="67" t="s">
        <v>5913</v>
      </c>
      <c r="L312" s="67"/>
      <c r="M312" s="67"/>
      <c r="N312" s="60"/>
      <c r="O312" s="67"/>
      <c r="P312" s="67">
        <v>3</v>
      </c>
      <c r="Q312" s="67" t="s">
        <v>6173</v>
      </c>
      <c r="R312" s="67">
        <v>1</v>
      </c>
      <c r="S312" s="67" t="s">
        <v>6173</v>
      </c>
      <c r="T312" s="61">
        <v>360.8</v>
      </c>
      <c r="U312" s="111">
        <v>9.1463414634146339E-2</v>
      </c>
      <c r="V312" s="111">
        <v>8.9079822616407976E-3</v>
      </c>
      <c r="W312" s="111">
        <v>0.13489628825916533</v>
      </c>
      <c r="X312" s="111">
        <v>9.1463414634146339E-2</v>
      </c>
      <c r="Y312" s="411">
        <v>7</v>
      </c>
      <c r="Z312" s="61">
        <v>3.76</v>
      </c>
      <c r="AA312" s="61">
        <v>3.77</v>
      </c>
      <c r="AB312" s="61">
        <v>3.67</v>
      </c>
      <c r="AC312" s="61">
        <v>0.7994</v>
      </c>
      <c r="AD312" s="61">
        <v>3.76</v>
      </c>
      <c r="AE312" s="61">
        <v>4.01</v>
      </c>
      <c r="AF312" s="61">
        <f t="shared" si="105"/>
        <v>3.77</v>
      </c>
      <c r="AG312" s="61">
        <v>3.76</v>
      </c>
      <c r="AH312" s="111">
        <v>2.1800000000000001E-13</v>
      </c>
      <c r="AI312" s="111">
        <v>1.73E-10</v>
      </c>
      <c r="AJ312" s="62">
        <f t="shared" si="108"/>
        <v>-11.050109832708047</v>
      </c>
      <c r="AK312" s="62">
        <f t="shared" si="111"/>
        <v>-8.1505202231838556</v>
      </c>
      <c r="AL312" s="62">
        <f t="shared" si="109"/>
        <v>-8.1505202231838556</v>
      </c>
      <c r="AM312" s="62">
        <v>-16.12341</v>
      </c>
      <c r="AN312" s="163"/>
      <c r="AO312" s="410"/>
      <c r="AP312" s="410">
        <v>-1.95</v>
      </c>
      <c r="AQ312" s="163" t="s">
        <v>6314</v>
      </c>
      <c r="AR312" s="163" t="s">
        <v>6314</v>
      </c>
      <c r="AS312" s="164" t="s">
        <v>5466</v>
      </c>
      <c r="AT312" s="63" t="s">
        <v>266</v>
      </c>
      <c r="AU312" s="61">
        <v>0</v>
      </c>
      <c r="AV312" s="61">
        <v>96</v>
      </c>
      <c r="AW312" s="61">
        <v>96</v>
      </c>
      <c r="AX312" s="61">
        <v>28</v>
      </c>
      <c r="AY312" s="61" t="s">
        <v>267</v>
      </c>
      <c r="AZ312" s="61" t="s">
        <v>5914</v>
      </c>
      <c r="BA312" s="61"/>
      <c r="BB312" s="67" t="s">
        <v>5487</v>
      </c>
      <c r="BC312" s="67" t="s">
        <v>5915</v>
      </c>
      <c r="BD312" s="67" t="s">
        <v>8374</v>
      </c>
      <c r="BE312" s="61" t="s">
        <v>5733</v>
      </c>
      <c r="BF312" s="61"/>
      <c r="BG312" s="61"/>
      <c r="BH312" s="61"/>
      <c r="BI312" s="111">
        <v>5.5432370000000003E-3</v>
      </c>
      <c r="BJ312" s="111">
        <v>1.6629712000000001E-2</v>
      </c>
      <c r="BK312" s="165"/>
      <c r="BL312" s="111">
        <f t="shared" si="110"/>
        <v>2.1574661972438215E-2</v>
      </c>
      <c r="BM312" s="61"/>
      <c r="BN312" s="61">
        <v>1.2305986999999999E-2</v>
      </c>
      <c r="BO312" s="61">
        <v>1.1862528000000001E-2</v>
      </c>
      <c r="BP312" s="61">
        <v>1.1141907E-2</v>
      </c>
      <c r="BQ312" s="61">
        <v>1.1058758E-2</v>
      </c>
      <c r="BR312" s="61"/>
      <c r="BS312" s="61"/>
      <c r="BT312" s="61"/>
      <c r="BU312" s="158"/>
      <c r="BV312" s="61"/>
      <c r="BW312" s="61"/>
      <c r="BX312" s="61"/>
      <c r="BY312" s="61"/>
      <c r="BZ312" s="61"/>
      <c r="CA312" s="61"/>
      <c r="CB312" s="61"/>
      <c r="CC312" s="61"/>
      <c r="CD312" s="61"/>
      <c r="CE312" s="61"/>
      <c r="CF312" s="61"/>
      <c r="CG312" s="61"/>
      <c r="CH312" s="61"/>
      <c r="CI312" s="111">
        <f t="shared" si="93"/>
        <v>1.1058758E-2</v>
      </c>
      <c r="CJ312" s="103">
        <f t="shared" si="94"/>
        <v>-1.9562936455480315</v>
      </c>
      <c r="CK312" s="57">
        <f t="shared" si="106"/>
        <v>1.2973563205687635</v>
      </c>
      <c r="CL312" s="160">
        <f t="shared" si="103"/>
        <v>1.9509118449321539</v>
      </c>
      <c r="CM312" s="160"/>
      <c r="CN312" s="160"/>
      <c r="CO312" s="67"/>
      <c r="CP312" s="67" t="s">
        <v>5916</v>
      </c>
      <c r="CQ312" s="149" t="s">
        <v>272</v>
      </c>
      <c r="CR312" s="349"/>
      <c r="CS312" s="61" t="s">
        <v>539</v>
      </c>
      <c r="CT312" s="61"/>
      <c r="CU312" s="111">
        <f t="shared" si="112"/>
        <v>8.270676927205237</v>
      </c>
      <c r="CV312" s="331">
        <f t="shared" si="107"/>
        <v>5.499999917866667</v>
      </c>
      <c r="CW312" s="326">
        <f t="shared" si="95"/>
        <v>1</v>
      </c>
      <c r="CX312" s="326" t="s">
        <v>539</v>
      </c>
      <c r="CY312" s="161" t="s">
        <v>5921</v>
      </c>
    </row>
    <row r="313" spans="1:103" ht="11.25" customHeight="1" x14ac:dyDescent="0.2">
      <c r="A313" s="72">
        <v>311</v>
      </c>
      <c r="B313" s="149">
        <v>936</v>
      </c>
      <c r="C313" s="54" t="s">
        <v>2675</v>
      </c>
      <c r="D313" s="54" t="s">
        <v>6452</v>
      </c>
      <c r="E313" s="59"/>
      <c r="F313" s="59" t="s">
        <v>1836</v>
      </c>
      <c r="G313" s="151">
        <v>88062</v>
      </c>
      <c r="H313" s="55" t="s">
        <v>1837</v>
      </c>
      <c r="I313" s="55" t="s">
        <v>8321</v>
      </c>
      <c r="J313" s="55" t="s">
        <v>1838</v>
      </c>
      <c r="K313" s="55" t="s">
        <v>349</v>
      </c>
      <c r="L313" s="55" t="s">
        <v>5527</v>
      </c>
      <c r="M313" s="55" t="s">
        <v>497</v>
      </c>
      <c r="N313" s="60" t="s">
        <v>6381</v>
      </c>
      <c r="O313" s="55" t="s">
        <v>6086</v>
      </c>
      <c r="P313" s="67">
        <v>3</v>
      </c>
      <c r="Q313" s="67" t="s">
        <v>6173</v>
      </c>
      <c r="R313" s="67">
        <v>1</v>
      </c>
      <c r="S313" s="67" t="s">
        <v>6173</v>
      </c>
      <c r="T313" s="56">
        <v>197.45</v>
      </c>
      <c r="U313" s="103">
        <v>4.0516586477589263</v>
      </c>
      <c r="V313" s="103">
        <v>0.61281337047353768</v>
      </c>
      <c r="W313" s="103">
        <v>0.56234132519034852</v>
      </c>
      <c r="X313" s="103">
        <v>4.0516586477589263</v>
      </c>
      <c r="Y313" s="162">
        <v>4.92</v>
      </c>
      <c r="Z313" s="56">
        <v>3.45</v>
      </c>
      <c r="AA313" s="56">
        <v>3.69</v>
      </c>
      <c r="AB313" s="56">
        <v>3.67</v>
      </c>
      <c r="AC313" s="56">
        <v>0.91900000000000004</v>
      </c>
      <c r="AD313" s="56">
        <v>3.65</v>
      </c>
      <c r="AE313" s="56">
        <v>3.58</v>
      </c>
      <c r="AF313" s="56">
        <f t="shared" si="105"/>
        <v>3.69</v>
      </c>
      <c r="AG313" s="57">
        <v>3.49</v>
      </c>
      <c r="AH313" s="103">
        <v>2.28E-7</v>
      </c>
      <c r="AI313" s="103">
        <v>2.6000000000000001E-6</v>
      </c>
      <c r="AJ313" s="62">
        <f t="shared" si="108"/>
        <v>-5.0306314793121976</v>
      </c>
      <c r="AK313" s="62">
        <f t="shared" si="111"/>
        <v>-3.9735929783418338</v>
      </c>
      <c r="AL313" s="62">
        <f t="shared" si="109"/>
        <v>-3.9735929783418338</v>
      </c>
      <c r="AM313" s="62">
        <v>-5.7308899999999996</v>
      </c>
      <c r="AN313" s="154">
        <v>-3.39</v>
      </c>
      <c r="AO313" s="410">
        <v>6.59</v>
      </c>
      <c r="AP313" s="410"/>
      <c r="AQ313" s="56" t="s">
        <v>6311</v>
      </c>
      <c r="AR313" s="56" t="s">
        <v>6311</v>
      </c>
      <c r="AS313" s="155"/>
      <c r="AT313" s="58" t="s">
        <v>266</v>
      </c>
      <c r="AU313" s="56">
        <v>6</v>
      </c>
      <c r="AV313" s="56">
        <v>120</v>
      </c>
      <c r="AW313" s="56">
        <v>114</v>
      </c>
      <c r="AX313" s="56">
        <v>28</v>
      </c>
      <c r="AY313" s="56" t="s">
        <v>8728</v>
      </c>
      <c r="AZ313" s="56" t="s">
        <v>1563</v>
      </c>
      <c r="BA313" s="56">
        <v>32</v>
      </c>
      <c r="BB313" s="55" t="s">
        <v>2485</v>
      </c>
      <c r="BC313" s="55" t="s">
        <v>8726</v>
      </c>
      <c r="BD313" s="55" t="s">
        <v>8374</v>
      </c>
      <c r="BE313" s="56" t="s">
        <v>2449</v>
      </c>
      <c r="BF313" s="56" t="s">
        <v>272</v>
      </c>
      <c r="BG313" s="56" t="s">
        <v>272</v>
      </c>
      <c r="BH313" s="56" t="s">
        <v>2486</v>
      </c>
      <c r="BI313" s="103">
        <v>6.3999999999999997E-6</v>
      </c>
      <c r="BJ313" s="103">
        <v>6.4000000000000001E-2</v>
      </c>
      <c r="BK313" s="56"/>
      <c r="BL313" s="103">
        <f t="shared" si="110"/>
        <v>4.0959533340592637E-2</v>
      </c>
      <c r="BM313" s="56" t="s">
        <v>2046</v>
      </c>
      <c r="BN313" s="56"/>
      <c r="BO313" s="56"/>
      <c r="BP313" s="56"/>
      <c r="BQ313" s="56"/>
      <c r="BR313" s="55">
        <v>1.0800000000000001E-2</v>
      </c>
      <c r="BS313" s="56"/>
      <c r="BT313" s="56"/>
      <c r="BU313" s="158"/>
      <c r="BV313" s="56"/>
      <c r="BW313" s="56"/>
      <c r="BX313" s="56"/>
      <c r="BY313" s="56"/>
      <c r="BZ313" s="56"/>
      <c r="CA313" s="56"/>
      <c r="CB313" s="56"/>
      <c r="CC313" s="56"/>
      <c r="CD313" s="56"/>
      <c r="CE313" s="56"/>
      <c r="CF313" s="56"/>
      <c r="CG313" s="56"/>
      <c r="CH313" s="56"/>
      <c r="CI313" s="103">
        <f t="shared" si="93"/>
        <v>1.0800000000000001E-2</v>
      </c>
      <c r="CJ313" s="103">
        <f t="shared" si="94"/>
        <v>-1.9665762445130504</v>
      </c>
      <c r="CK313" s="57">
        <f t="shared" si="106"/>
        <v>0.63999270844675993</v>
      </c>
      <c r="CL313" s="160">
        <f t="shared" si="103"/>
        <v>3.7925493833882071</v>
      </c>
      <c r="CM313" s="160">
        <v>-2.7576310805438662</v>
      </c>
      <c r="CN313" s="160">
        <f>BJ313/(10^CM313)</f>
        <v>36.627818588170726</v>
      </c>
      <c r="CO313" s="55" t="s">
        <v>2488</v>
      </c>
      <c r="CP313" s="55" t="s">
        <v>2489</v>
      </c>
      <c r="CQ313" s="149">
        <v>-2.0614467129662142</v>
      </c>
      <c r="CR313" s="349">
        <f>10^(CJ313-CQ313)</f>
        <v>1.2441434814169829</v>
      </c>
      <c r="CS313" s="61" t="s">
        <v>539</v>
      </c>
      <c r="CT313" s="61"/>
      <c r="CU313" s="111">
        <f t="shared" si="112"/>
        <v>375.15357849619687</v>
      </c>
      <c r="CV313" s="331">
        <f t="shared" si="107"/>
        <v>63.307166371233222</v>
      </c>
      <c r="CW313" s="326">
        <f t="shared" si="95"/>
        <v>1</v>
      </c>
      <c r="CX313" s="326"/>
      <c r="CY313" s="161" t="s">
        <v>5921</v>
      </c>
    </row>
    <row r="314" spans="1:103" ht="11.25" customHeight="1" x14ac:dyDescent="0.2">
      <c r="A314" s="72">
        <v>312</v>
      </c>
      <c r="B314" s="149">
        <v>304</v>
      </c>
      <c r="C314" s="54" t="s">
        <v>1197</v>
      </c>
      <c r="D314" s="54"/>
      <c r="E314" s="59"/>
      <c r="F314" s="59" t="s">
        <v>1198</v>
      </c>
      <c r="G314" s="151">
        <v>79241466</v>
      </c>
      <c r="H314" s="55" t="s">
        <v>1195</v>
      </c>
      <c r="I314" s="55" t="s">
        <v>1195</v>
      </c>
      <c r="J314" s="55" t="s">
        <v>1196</v>
      </c>
      <c r="K314" s="55" t="s">
        <v>357</v>
      </c>
      <c r="L314" s="55" t="s">
        <v>5982</v>
      </c>
      <c r="M314" s="55" t="s">
        <v>5960</v>
      </c>
      <c r="N314" s="60"/>
      <c r="O314" s="55"/>
      <c r="P314" s="67">
        <v>3</v>
      </c>
      <c r="Q314" s="67" t="s">
        <v>6173</v>
      </c>
      <c r="R314" s="67">
        <v>1</v>
      </c>
      <c r="S314" s="67" t="s">
        <v>6173</v>
      </c>
      <c r="T314" s="56">
        <v>383.36</v>
      </c>
      <c r="U314" s="103">
        <v>5.2170283806343906E-3</v>
      </c>
      <c r="V314" s="103">
        <v>1.4524207011686141E-3</v>
      </c>
      <c r="W314" s="103">
        <v>3.8904514499428049E-2</v>
      </c>
      <c r="X314" s="103">
        <v>5.2170283806343906E-3</v>
      </c>
      <c r="Y314" s="162">
        <v>7</v>
      </c>
      <c r="Z314" s="56">
        <v>5.34</v>
      </c>
      <c r="AA314" s="56">
        <v>4.5</v>
      </c>
      <c r="AB314" s="56">
        <v>4.26</v>
      </c>
      <c r="AC314" s="56">
        <v>0.8861</v>
      </c>
      <c r="AD314" s="56">
        <v>4.1399999999999997</v>
      </c>
      <c r="AE314" s="56">
        <v>3.64</v>
      </c>
      <c r="AF314" s="56">
        <f t="shared" si="105"/>
        <v>4.5</v>
      </c>
      <c r="AG314" s="57">
        <v>4.46</v>
      </c>
      <c r="AH314" s="103">
        <v>3.7900000000000002E-8</v>
      </c>
      <c r="AI314" s="103">
        <v>2.0800000000000001E-7</v>
      </c>
      <c r="AJ314" s="62">
        <f t="shared" si="108"/>
        <v>-5.8099271163445794</v>
      </c>
      <c r="AK314" s="62">
        <f t="shared" si="111"/>
        <v>-5.0705029913498905</v>
      </c>
      <c r="AL314" s="62">
        <f t="shared" si="109"/>
        <v>-5.0705029913498905</v>
      </c>
      <c r="AM314" s="62">
        <v>-12.061889999999998</v>
      </c>
      <c r="AN314" s="154">
        <v>-5.76</v>
      </c>
      <c r="AO314" s="410"/>
      <c r="AP314" s="410">
        <v>0.78</v>
      </c>
      <c r="AQ314" s="154" t="s">
        <v>6311</v>
      </c>
      <c r="AR314" s="154" t="s">
        <v>6312</v>
      </c>
      <c r="AS314" s="149" t="s">
        <v>6</v>
      </c>
      <c r="AT314" s="58" t="s">
        <v>266</v>
      </c>
      <c r="AU314" s="56">
        <v>8</v>
      </c>
      <c r="AV314" s="56">
        <v>144</v>
      </c>
      <c r="AW314" s="56">
        <v>120</v>
      </c>
      <c r="AX314" s="56">
        <v>26</v>
      </c>
      <c r="AY314" s="56" t="s">
        <v>267</v>
      </c>
      <c r="AZ314" s="56" t="s">
        <v>268</v>
      </c>
      <c r="BA314" s="56">
        <v>2</v>
      </c>
      <c r="BB314" s="55" t="s">
        <v>888</v>
      </c>
      <c r="BC314" s="55" t="s">
        <v>270</v>
      </c>
      <c r="BD314" s="55" t="s">
        <v>8374</v>
      </c>
      <c r="BE314" s="56" t="s">
        <v>889</v>
      </c>
      <c r="BF314" s="56" t="s">
        <v>272</v>
      </c>
      <c r="BG314" s="56" t="s">
        <v>272</v>
      </c>
      <c r="BH314" s="56" t="s">
        <v>890</v>
      </c>
      <c r="BI314" s="103">
        <v>9.9999999999999995E-7</v>
      </c>
      <c r="BJ314" s="103">
        <v>0.08</v>
      </c>
      <c r="BK314" s="56"/>
      <c r="BL314" s="103">
        <f t="shared" si="110"/>
        <v>8.2214041898477554E-4</v>
      </c>
      <c r="BM314" s="56" t="s">
        <v>891</v>
      </c>
      <c r="BN314" s="162"/>
      <c r="BO314" s="162"/>
      <c r="BP314" s="162"/>
      <c r="BQ314" s="162"/>
      <c r="BR314" s="162"/>
      <c r="BS314" s="56">
        <v>5.1268703904038763E-3</v>
      </c>
      <c r="BT314" s="162"/>
      <c r="BU314" s="158"/>
      <c r="BV314" s="162"/>
      <c r="BW314" s="162"/>
      <c r="BX314" s="162"/>
      <c r="BY314" s="162"/>
      <c r="BZ314" s="162"/>
      <c r="CA314" s="162"/>
      <c r="CB314" s="162"/>
      <c r="CC314" s="56"/>
      <c r="CD314" s="56"/>
      <c r="CE314" s="56"/>
      <c r="CF314" s="56"/>
      <c r="CG314" s="56"/>
      <c r="CH314" s="56"/>
      <c r="CI314" s="103">
        <f t="shared" si="93"/>
        <v>5.1268703904038763E-3</v>
      </c>
      <c r="CJ314" s="103">
        <f t="shared" si="94"/>
        <v>-2.2901476615812304</v>
      </c>
      <c r="CK314" s="57">
        <f t="shared" si="106"/>
        <v>1.0276755237309695E-2</v>
      </c>
      <c r="CL314" s="160">
        <f t="shared" si="103"/>
        <v>0.16035911899072025</v>
      </c>
      <c r="CM314" s="160"/>
      <c r="CN314" s="160"/>
      <c r="CO314" s="55" t="s">
        <v>892</v>
      </c>
      <c r="CP314" s="55" t="s">
        <v>893</v>
      </c>
      <c r="CQ314" s="149" t="s">
        <v>272</v>
      </c>
      <c r="CR314" s="349"/>
      <c r="CS314" s="61" t="s">
        <v>539</v>
      </c>
      <c r="CT314" s="61"/>
      <c r="CU314" s="111">
        <f t="shared" si="112"/>
        <v>1.0175853851112104</v>
      </c>
      <c r="CV314" s="331">
        <f t="shared" si="107"/>
        <v>6.5212854757929886E-2</v>
      </c>
      <c r="CW314" s="326">
        <f t="shared" si="95"/>
        <v>0</v>
      </c>
      <c r="CX314" s="326" t="s">
        <v>539</v>
      </c>
      <c r="CY314" s="161" t="s">
        <v>5921</v>
      </c>
    </row>
    <row r="315" spans="1:103" ht="11.25" customHeight="1" x14ac:dyDescent="0.2">
      <c r="A315" s="72">
        <v>313</v>
      </c>
      <c r="B315" s="149">
        <v>865</v>
      </c>
      <c r="C315" s="54" t="s">
        <v>947</v>
      </c>
      <c r="D315" s="54" t="s">
        <v>6451</v>
      </c>
      <c r="E315" s="59"/>
      <c r="F315" s="59" t="s">
        <v>948</v>
      </c>
      <c r="G315" s="151">
        <v>86500</v>
      </c>
      <c r="H315" s="55" t="s">
        <v>949</v>
      </c>
      <c r="I315" s="55" t="s">
        <v>949</v>
      </c>
      <c r="J315" s="55" t="s">
        <v>950</v>
      </c>
      <c r="K315" s="55" t="s">
        <v>951</v>
      </c>
      <c r="L315" s="60" t="s">
        <v>617</v>
      </c>
      <c r="M315" s="60" t="s">
        <v>946</v>
      </c>
      <c r="N315" s="60" t="s">
        <v>6376</v>
      </c>
      <c r="O315" s="60" t="s">
        <v>918</v>
      </c>
      <c r="P315" s="67">
        <v>3</v>
      </c>
      <c r="Q315" s="67" t="s">
        <v>6173</v>
      </c>
      <c r="R315" s="67">
        <v>1</v>
      </c>
      <c r="S315" s="67" t="s">
        <v>6173</v>
      </c>
      <c r="T315" s="154">
        <v>317.33</v>
      </c>
      <c r="U315" s="103">
        <v>6.5862036365928217E-2</v>
      </c>
      <c r="V315" s="103">
        <v>0.13720732360634041</v>
      </c>
      <c r="W315" s="103">
        <v>0.16595869074375585</v>
      </c>
      <c r="X315" s="103">
        <v>6.5862036365928217E-2</v>
      </c>
      <c r="Y315" s="162">
        <v>7</v>
      </c>
      <c r="Z315" s="56">
        <v>2.5299999999999998</v>
      </c>
      <c r="AA315" s="56">
        <v>2.75</v>
      </c>
      <c r="AB315" s="56">
        <v>3.17</v>
      </c>
      <c r="AC315" s="56">
        <v>0.83950000000000002</v>
      </c>
      <c r="AD315" s="56">
        <v>3.01</v>
      </c>
      <c r="AE315" s="56">
        <v>2.54</v>
      </c>
      <c r="AF315" s="56">
        <f t="shared" si="105"/>
        <v>2.75</v>
      </c>
      <c r="AG315" s="57">
        <v>3.27</v>
      </c>
      <c r="AH315" s="103">
        <v>2.8599999999999999E-10</v>
      </c>
      <c r="AI315" s="103">
        <v>2.3899999999999999E-8</v>
      </c>
      <c r="AJ315" s="62">
        <f t="shared" si="108"/>
        <v>-7.9322002931836089</v>
      </c>
      <c r="AK315" s="62">
        <f t="shared" si="111"/>
        <v>-6.0101684253645145</v>
      </c>
      <c r="AL315" s="62">
        <f t="shared" si="109"/>
        <v>-6.0101684253645145</v>
      </c>
      <c r="AM315" s="62">
        <v>-15.46162</v>
      </c>
      <c r="AN315" s="154">
        <v>-6.71</v>
      </c>
      <c r="AO315" s="410"/>
      <c r="AP315" s="410">
        <v>-2.6</v>
      </c>
      <c r="AQ315" s="154" t="s">
        <v>6314</v>
      </c>
      <c r="AR315" s="154" t="s">
        <v>6314</v>
      </c>
      <c r="AS315" s="149" t="s">
        <v>6</v>
      </c>
      <c r="AT315" s="58" t="s">
        <v>266</v>
      </c>
      <c r="AU315" s="56">
        <v>2</v>
      </c>
      <c r="AV315" s="56">
        <v>98</v>
      </c>
      <c r="AW315" s="56">
        <v>96</v>
      </c>
      <c r="AX315" s="56">
        <v>26</v>
      </c>
      <c r="AY315" s="56" t="s">
        <v>267</v>
      </c>
      <c r="AZ315" s="56" t="s">
        <v>536</v>
      </c>
      <c r="BA315" s="56">
        <v>10</v>
      </c>
      <c r="BB315" s="55" t="s">
        <v>1764</v>
      </c>
      <c r="BC315" s="55" t="s">
        <v>2448</v>
      </c>
      <c r="BD315" s="55"/>
      <c r="BE315" s="56" t="s">
        <v>2449</v>
      </c>
      <c r="BF315" s="56"/>
      <c r="BG315" s="56" t="s">
        <v>540</v>
      </c>
      <c r="BH315" s="56" t="s">
        <v>272</v>
      </c>
      <c r="BI315" s="103"/>
      <c r="BJ315" s="103"/>
      <c r="BK315" s="56" t="s">
        <v>6605</v>
      </c>
      <c r="BL315" s="103">
        <f t="shared" si="110"/>
        <v>0.27454086646262549</v>
      </c>
      <c r="BM315" s="56" t="s">
        <v>541</v>
      </c>
      <c r="BN315" s="162"/>
      <c r="BO315" s="56"/>
      <c r="BP315" s="56"/>
      <c r="BQ315" s="56">
        <v>1.0682885324425677E-2</v>
      </c>
      <c r="BR315" s="56"/>
      <c r="BS315" s="56"/>
      <c r="BT315" s="56"/>
      <c r="BU315" s="158"/>
      <c r="BV315" s="56"/>
      <c r="BW315" s="56"/>
      <c r="BX315" s="56"/>
      <c r="BY315" s="56"/>
      <c r="BZ315" s="56"/>
      <c r="CA315" s="56"/>
      <c r="CB315" s="56"/>
      <c r="CC315" s="56"/>
      <c r="CD315" s="56"/>
      <c r="CE315" s="56"/>
      <c r="CF315" s="56"/>
      <c r="CG315" s="56"/>
      <c r="CH315" s="56"/>
      <c r="CI315" s="103">
        <f t="shared" si="93"/>
        <v>1.0682885324425677E-2</v>
      </c>
      <c r="CJ315" s="103">
        <f t="shared" si="94"/>
        <v>-1.9713114335209432</v>
      </c>
      <c r="CK315" s="57" t="s">
        <v>404</v>
      </c>
      <c r="CL315" s="160">
        <f t="shared" si="103"/>
        <v>25.699130724066354</v>
      </c>
      <c r="CM315" s="160">
        <v>-4.650879177629478</v>
      </c>
      <c r="CN315" s="160"/>
      <c r="CO315" s="55"/>
      <c r="CP315" s="55" t="s">
        <v>2450</v>
      </c>
      <c r="CQ315" s="149">
        <v>-3.5696380357924622</v>
      </c>
      <c r="CR315" s="349">
        <f>10^(CJ315-CQ315)</f>
        <v>39.657615912131568</v>
      </c>
      <c r="CS315" s="61" t="s">
        <v>539</v>
      </c>
      <c r="CT315" s="61"/>
      <c r="CU315" s="111">
        <f t="shared" si="112"/>
        <v>6.1651917404129799</v>
      </c>
      <c r="CV315" s="331"/>
      <c r="CW315" s="326">
        <f t="shared" si="95"/>
        <v>1</v>
      </c>
      <c r="CX315" s="326"/>
      <c r="CY315" s="161" t="s">
        <v>5921</v>
      </c>
    </row>
    <row r="316" spans="1:103" ht="11.25" customHeight="1" x14ac:dyDescent="0.2">
      <c r="A316" s="72">
        <v>314</v>
      </c>
      <c r="B316" s="149">
        <v>935</v>
      </c>
      <c r="C316" s="54" t="s">
        <v>2671</v>
      </c>
      <c r="D316" s="54" t="s">
        <v>6600</v>
      </c>
      <c r="E316" s="59"/>
      <c r="F316" s="59" t="s">
        <v>2672</v>
      </c>
      <c r="G316" s="151">
        <v>95954</v>
      </c>
      <c r="H316" s="55" t="s">
        <v>2673</v>
      </c>
      <c r="I316" s="55" t="s">
        <v>8328</v>
      </c>
      <c r="J316" s="55" t="s">
        <v>2674</v>
      </c>
      <c r="K316" s="55" t="s">
        <v>349</v>
      </c>
      <c r="L316" s="55" t="s">
        <v>5527</v>
      </c>
      <c r="M316" s="55" t="s">
        <v>497</v>
      </c>
      <c r="N316" s="60" t="s">
        <v>6381</v>
      </c>
      <c r="O316" s="55" t="s">
        <v>6086</v>
      </c>
      <c r="P316" s="67">
        <v>3</v>
      </c>
      <c r="Q316" s="67" t="s">
        <v>6173</v>
      </c>
      <c r="R316" s="67">
        <v>1</v>
      </c>
      <c r="S316" s="67" t="s">
        <v>6173</v>
      </c>
      <c r="T316" s="56">
        <v>197.45</v>
      </c>
      <c r="U316" s="103">
        <v>6.0774879716383898</v>
      </c>
      <c r="V316" s="103">
        <v>0.57786781463661685</v>
      </c>
      <c r="W316" s="103">
        <v>0.50118723362727213</v>
      </c>
      <c r="X316" s="103">
        <v>6.0774879716383898</v>
      </c>
      <c r="Y316" s="162">
        <v>5.21</v>
      </c>
      <c r="Z316" s="56">
        <v>3.45</v>
      </c>
      <c r="AA316" s="56">
        <v>3.72</v>
      </c>
      <c r="AB316" s="56">
        <v>3.72</v>
      </c>
      <c r="AC316" s="56">
        <v>0.90329999999999999</v>
      </c>
      <c r="AD316" s="56">
        <v>3.72</v>
      </c>
      <c r="AE316" s="56">
        <v>3.71</v>
      </c>
      <c r="AF316" s="56">
        <f t="shared" si="105"/>
        <v>3.72</v>
      </c>
      <c r="AG316" s="57">
        <v>3.49</v>
      </c>
      <c r="AH316" s="103">
        <v>2.28E-7</v>
      </c>
      <c r="AI316" s="103">
        <v>1.6199999999999999E-6</v>
      </c>
      <c r="AJ316" s="62">
        <f t="shared" si="108"/>
        <v>-5.0306314793121976</v>
      </c>
      <c r="AK316" s="62">
        <f t="shared" si="111"/>
        <v>-4.1790513117700208</v>
      </c>
      <c r="AL316" s="62">
        <f t="shared" si="109"/>
        <v>-4.1790513117700208</v>
      </c>
      <c r="AM316" s="62">
        <v>-7.0376299999999992</v>
      </c>
      <c r="AN316" s="154">
        <v>-3.44</v>
      </c>
      <c r="AO316" s="410">
        <v>7.1</v>
      </c>
      <c r="AP316" s="410"/>
      <c r="AQ316" s="56" t="s">
        <v>6311</v>
      </c>
      <c r="AR316" s="56" t="s">
        <v>6311</v>
      </c>
      <c r="AS316" s="155"/>
      <c r="AT316" s="58" t="s">
        <v>266</v>
      </c>
      <c r="AU316" s="56">
        <v>6</v>
      </c>
      <c r="AV316" s="56">
        <v>120</v>
      </c>
      <c r="AW316" s="56">
        <v>114</v>
      </c>
      <c r="AX316" s="56">
        <v>28</v>
      </c>
      <c r="AY316" s="56" t="s">
        <v>8728</v>
      </c>
      <c r="AZ316" s="56" t="s">
        <v>1563</v>
      </c>
      <c r="BA316" s="56">
        <v>32</v>
      </c>
      <c r="BB316" s="55" t="s">
        <v>2485</v>
      </c>
      <c r="BC316" s="55" t="s">
        <v>8726</v>
      </c>
      <c r="BD316" s="55" t="s">
        <v>8374</v>
      </c>
      <c r="BE316" s="56" t="s">
        <v>2449</v>
      </c>
      <c r="BF316" s="56" t="s">
        <v>272</v>
      </c>
      <c r="BG316" s="56" t="s">
        <v>272</v>
      </c>
      <c r="BH316" s="56" t="s">
        <v>2486</v>
      </c>
      <c r="BI316" s="103">
        <v>6.3999999999999997E-6</v>
      </c>
      <c r="BJ316" s="103">
        <v>6.4000000000000001E-2</v>
      </c>
      <c r="BK316" s="56"/>
      <c r="BL316" s="103">
        <f t="shared" si="110"/>
        <v>4.0959533340592637E-2</v>
      </c>
      <c r="BM316" s="56" t="s">
        <v>2046</v>
      </c>
      <c r="BN316" s="56">
        <v>20.238577029999998</v>
      </c>
      <c r="BO316" s="56"/>
      <c r="BP316" s="56"/>
      <c r="BQ316" s="56"/>
      <c r="BR316" s="55">
        <v>1.03E-2</v>
      </c>
      <c r="BS316" s="56"/>
      <c r="BT316" s="56"/>
      <c r="BU316" s="158"/>
      <c r="BV316" s="56"/>
      <c r="BW316" s="56"/>
      <c r="BX316" s="56"/>
      <c r="BY316" s="56"/>
      <c r="BZ316" s="56"/>
      <c r="CA316" s="56"/>
      <c r="CB316" s="56"/>
      <c r="CC316" s="56"/>
      <c r="CD316" s="56"/>
      <c r="CE316" s="56"/>
      <c r="CF316" s="56"/>
      <c r="CG316" s="56"/>
      <c r="CH316" s="56"/>
      <c r="CI316" s="103">
        <f t="shared" si="93"/>
        <v>1.03E-2</v>
      </c>
      <c r="CJ316" s="103">
        <f t="shared" si="94"/>
        <v>-1.9871627752948278</v>
      </c>
      <c r="CK316" s="57">
        <f>BL316/BJ316</f>
        <v>0.63999270844675993</v>
      </c>
      <c r="CL316" s="160">
        <f t="shared" si="103"/>
        <v>3.9766537223876344</v>
      </c>
      <c r="CM316" s="160">
        <v>-2.7965545575399968</v>
      </c>
      <c r="CN316" s="160">
        <f>BJ316/(10^CM316)</f>
        <v>40.062175720726579</v>
      </c>
      <c r="CO316" s="55" t="s">
        <v>2488</v>
      </c>
      <c r="CP316" s="55" t="s">
        <v>2489</v>
      </c>
      <c r="CQ316" s="149">
        <v>-2.4510287681361715</v>
      </c>
      <c r="CR316" s="349">
        <f>10^(CJ316-CQ316)</f>
        <v>2.9098191173446577</v>
      </c>
      <c r="CS316" s="61" t="s">
        <v>539</v>
      </c>
      <c r="CT316" s="61"/>
      <c r="CU316" s="111">
        <f t="shared" si="112"/>
        <v>590.0473758872223</v>
      </c>
      <c r="CV316" s="331">
        <f>X316/BJ316</f>
        <v>94.960749556849834</v>
      </c>
      <c r="CW316" s="326">
        <f t="shared" si="95"/>
        <v>1</v>
      </c>
      <c r="CX316" s="326"/>
      <c r="CY316" s="161" t="s">
        <v>5921</v>
      </c>
    </row>
    <row r="317" spans="1:103" ht="11.25" customHeight="1" x14ac:dyDescent="0.2">
      <c r="A317" s="72">
        <v>315</v>
      </c>
      <c r="B317" s="149">
        <v>1270</v>
      </c>
      <c r="C317" s="54" t="s">
        <v>3486</v>
      </c>
      <c r="D317" s="54"/>
      <c r="E317" s="59"/>
      <c r="F317" s="59" t="s">
        <v>3487</v>
      </c>
      <c r="G317" s="151">
        <v>79902639</v>
      </c>
      <c r="H317" s="55" t="s">
        <v>3488</v>
      </c>
      <c r="I317" s="55" t="s">
        <v>3488</v>
      </c>
      <c r="J317" s="55" t="s">
        <v>3489</v>
      </c>
      <c r="K317" s="55" t="s">
        <v>357</v>
      </c>
      <c r="L317" s="55" t="s">
        <v>279</v>
      </c>
      <c r="M317" s="55" t="s">
        <v>3490</v>
      </c>
      <c r="N317" s="60"/>
      <c r="O317" s="55" t="s">
        <v>281</v>
      </c>
      <c r="P317" s="67">
        <v>3</v>
      </c>
      <c r="Q317" s="67" t="s">
        <v>6173</v>
      </c>
      <c r="R317" s="67">
        <v>1</v>
      </c>
      <c r="S317" s="67" t="s">
        <v>6173</v>
      </c>
      <c r="T317" s="56">
        <v>418.57</v>
      </c>
      <c r="U317" s="103">
        <v>7.1672599565186223E-5</v>
      </c>
      <c r="V317" s="103">
        <v>1.8283680149079008E-3</v>
      </c>
      <c r="W317" s="103">
        <v>1.7378008287493744E-2</v>
      </c>
      <c r="X317" s="103">
        <v>7.1672599565186223E-5</v>
      </c>
      <c r="Y317" s="162">
        <v>7</v>
      </c>
      <c r="Z317" s="56">
        <v>5.19</v>
      </c>
      <c r="AA317" s="56">
        <v>4.68</v>
      </c>
      <c r="AB317" s="56">
        <v>4.6500000000000004</v>
      </c>
      <c r="AC317" s="56">
        <v>0.89959999999999996</v>
      </c>
      <c r="AD317" s="56">
        <v>4.5999999999999996</v>
      </c>
      <c r="AE317" s="56">
        <v>4.42</v>
      </c>
      <c r="AF317" s="56">
        <f t="shared" si="105"/>
        <v>4.68</v>
      </c>
      <c r="AG317" s="57">
        <v>4.6399999999999997</v>
      </c>
      <c r="AH317" s="103">
        <v>2.8100000000000001E-10</v>
      </c>
      <c r="AI317" s="103"/>
      <c r="AJ317" s="62">
        <f t="shared" si="108"/>
        <v>-7.9398600064075717</v>
      </c>
      <c r="AK317" s="62"/>
      <c r="AL317" s="62">
        <f t="shared" si="109"/>
        <v>-7.9398600064075717</v>
      </c>
      <c r="AM317" s="62">
        <v>-17.394950000000001</v>
      </c>
      <c r="AN317" s="154">
        <v>-11.8</v>
      </c>
      <c r="AO317" s="410">
        <v>13.49</v>
      </c>
      <c r="AP317" s="410"/>
      <c r="AQ317" s="56" t="s">
        <v>6311</v>
      </c>
      <c r="AR317" s="56" t="s">
        <v>6312</v>
      </c>
      <c r="AS317" s="155"/>
      <c r="AT317" s="58" t="s">
        <v>266</v>
      </c>
      <c r="AU317" s="56">
        <v>6</v>
      </c>
      <c r="AV317" s="56">
        <v>120</v>
      </c>
      <c r="AW317" s="56">
        <v>114</v>
      </c>
      <c r="AX317" s="56">
        <v>28</v>
      </c>
      <c r="AY317" s="56" t="s">
        <v>8728</v>
      </c>
      <c r="AZ317" s="56" t="s">
        <v>1563</v>
      </c>
      <c r="BA317" s="56">
        <v>32</v>
      </c>
      <c r="BB317" s="55" t="s">
        <v>2485</v>
      </c>
      <c r="BC317" s="55" t="s">
        <v>8726</v>
      </c>
      <c r="BD317" s="55" t="s">
        <v>8374</v>
      </c>
      <c r="BE317" s="56" t="s">
        <v>2449</v>
      </c>
      <c r="BF317" s="56" t="s">
        <v>272</v>
      </c>
      <c r="BG317" s="56" t="s">
        <v>272</v>
      </c>
      <c r="BH317" s="56" t="s">
        <v>2486</v>
      </c>
      <c r="BI317" s="103">
        <v>6.3999999999999997E-6</v>
      </c>
      <c r="BJ317" s="103">
        <v>6.4000000000000001E-2</v>
      </c>
      <c r="BK317" s="56"/>
      <c r="BL317" s="103">
        <f t="shared" si="110"/>
        <v>1.1211429749698502E-3</v>
      </c>
      <c r="BM317" s="56" t="s">
        <v>2046</v>
      </c>
      <c r="BN317" s="56"/>
      <c r="BO317" s="56"/>
      <c r="BP317" s="56"/>
      <c r="BQ317" s="56"/>
      <c r="BR317" s="55">
        <v>2.0238579999999999E-3</v>
      </c>
      <c r="BS317" s="56"/>
      <c r="BT317" s="56"/>
      <c r="BU317" s="158"/>
      <c r="BV317" s="56"/>
      <c r="BW317" s="56"/>
      <c r="BX317" s="56"/>
      <c r="BY317" s="56"/>
      <c r="BZ317" s="56"/>
      <c r="CA317" s="56"/>
      <c r="CB317" s="56"/>
      <c r="CC317" s="56"/>
      <c r="CD317" s="56"/>
      <c r="CE317" s="56"/>
      <c r="CF317" s="56"/>
      <c r="CG317" s="56"/>
      <c r="CH317" s="56"/>
      <c r="CI317" s="103">
        <f t="shared" si="93"/>
        <v>2.0238579999999999E-3</v>
      </c>
      <c r="CJ317" s="103">
        <f t="shared" si="94"/>
        <v>-2.6938199621780141</v>
      </c>
      <c r="CK317" s="57">
        <f>BL317/BJ317</f>
        <v>1.7517858983903907E-2</v>
      </c>
      <c r="CL317" s="160">
        <f t="shared" si="103"/>
        <v>0.55396325975925698</v>
      </c>
      <c r="CM317" s="160"/>
      <c r="CN317" s="160"/>
      <c r="CO317" s="55" t="s">
        <v>2488</v>
      </c>
      <c r="CP317" s="55" t="s">
        <v>2489</v>
      </c>
      <c r="CQ317" s="149" t="s">
        <v>272</v>
      </c>
      <c r="CR317" s="349"/>
      <c r="CS317" s="61" t="s">
        <v>539</v>
      </c>
      <c r="CT317" s="61"/>
      <c r="CU317" s="111">
        <f t="shared" si="112"/>
        <v>3.5413847989921345E-2</v>
      </c>
      <c r="CV317" s="331">
        <f>X317/BJ317</f>
        <v>1.1198843682060347E-3</v>
      </c>
      <c r="CW317" s="326">
        <f t="shared" si="95"/>
        <v>0</v>
      </c>
      <c r="CX317" s="326"/>
      <c r="CY317" s="161" t="s">
        <v>5921</v>
      </c>
    </row>
    <row r="318" spans="1:103" ht="11.25" customHeight="1" x14ac:dyDescent="0.2">
      <c r="A318" s="72">
        <v>316</v>
      </c>
      <c r="B318" s="149">
        <v>625</v>
      </c>
      <c r="C318" s="54" t="s">
        <v>620</v>
      </c>
      <c r="D318" s="54" t="s">
        <v>6472</v>
      </c>
      <c r="E318" s="59"/>
      <c r="F318" s="59" t="s">
        <v>621</v>
      </c>
      <c r="G318" s="151">
        <v>121755</v>
      </c>
      <c r="H318" s="55" t="s">
        <v>622</v>
      </c>
      <c r="I318" s="55" t="s">
        <v>622</v>
      </c>
      <c r="J318" s="55" t="s">
        <v>623</v>
      </c>
      <c r="K318" s="55" t="s">
        <v>624</v>
      </c>
      <c r="L318" s="64" t="s">
        <v>316</v>
      </c>
      <c r="M318" s="55" t="s">
        <v>1867</v>
      </c>
      <c r="N318" s="60" t="s">
        <v>6376</v>
      </c>
      <c r="O318" s="55" t="s">
        <v>281</v>
      </c>
      <c r="P318" s="67">
        <v>3</v>
      </c>
      <c r="Q318" s="67" t="s">
        <v>6173</v>
      </c>
      <c r="R318" s="67">
        <v>1</v>
      </c>
      <c r="S318" s="67" t="s">
        <v>6173</v>
      </c>
      <c r="T318" s="56">
        <v>330.36</v>
      </c>
      <c r="U318" s="103">
        <v>0.43286112120111392</v>
      </c>
      <c r="V318" s="103">
        <v>0.23746821649110061</v>
      </c>
      <c r="W318" s="103">
        <v>0.56234132519034852</v>
      </c>
      <c r="X318" s="103">
        <v>0.43286112120111392</v>
      </c>
      <c r="Y318" s="162">
        <v>7</v>
      </c>
      <c r="Z318" s="56">
        <v>2.29</v>
      </c>
      <c r="AA318" s="56">
        <v>2.36</v>
      </c>
      <c r="AB318" s="56">
        <v>2.69</v>
      </c>
      <c r="AC318" s="56">
        <v>0.8125</v>
      </c>
      <c r="AD318" s="56">
        <v>2.76</v>
      </c>
      <c r="AE318" s="56">
        <v>2.93</v>
      </c>
      <c r="AF318" s="56">
        <f t="shared" si="105"/>
        <v>2.36</v>
      </c>
      <c r="AG318" s="57">
        <v>2.3199999999999998</v>
      </c>
      <c r="AH318" s="103">
        <v>8.39E-10</v>
      </c>
      <c r="AI318" s="103">
        <v>4.8900000000000003E-9</v>
      </c>
      <c r="AJ318" s="62">
        <f t="shared" si="108"/>
        <v>-7.4648043654839515</v>
      </c>
      <c r="AK318" s="62">
        <f>LOG10(AI318*1000/(0.08206*298.15))</f>
        <v>-6.6992574671890317</v>
      </c>
      <c r="AL318" s="62">
        <f t="shared" si="109"/>
        <v>-6.6992574671890317</v>
      </c>
      <c r="AM318" s="62">
        <v>-12.449109999999999</v>
      </c>
      <c r="AN318" s="154">
        <v>-5.94</v>
      </c>
      <c r="AO318" s="410"/>
      <c r="AP318" s="410"/>
      <c r="AQ318" s="154" t="s">
        <v>6312</v>
      </c>
      <c r="AR318" s="154" t="s">
        <v>6312</v>
      </c>
      <c r="AS318" s="149" t="s">
        <v>6</v>
      </c>
      <c r="AT318" s="58" t="s">
        <v>266</v>
      </c>
      <c r="AU318" s="56">
        <v>2</v>
      </c>
      <c r="AV318" s="56" t="s">
        <v>646</v>
      </c>
      <c r="AW318" s="56" t="s">
        <v>646</v>
      </c>
      <c r="AX318" s="56">
        <v>26</v>
      </c>
      <c r="AY318" s="56" t="s">
        <v>647</v>
      </c>
      <c r="AZ318" s="56" t="s">
        <v>536</v>
      </c>
      <c r="BA318" s="56">
        <v>10</v>
      </c>
      <c r="BB318" s="55" t="s">
        <v>1764</v>
      </c>
      <c r="BC318" s="55" t="s">
        <v>538</v>
      </c>
      <c r="BD318" s="55"/>
      <c r="BE318" s="56" t="s">
        <v>1809</v>
      </c>
      <c r="BF318" s="56" t="s">
        <v>539</v>
      </c>
      <c r="BG318" s="56" t="s">
        <v>272</v>
      </c>
      <c r="BH318" s="56" t="s">
        <v>272</v>
      </c>
      <c r="BI318" s="157">
        <v>1.5135004237801185E-3</v>
      </c>
      <c r="BJ318" s="157">
        <v>0.15135004237801186</v>
      </c>
      <c r="BK318" s="56"/>
      <c r="BL318" s="103">
        <f t="shared" si="110"/>
        <v>0.45097347641126984</v>
      </c>
      <c r="BM318" s="56" t="s">
        <v>541</v>
      </c>
      <c r="BN318" s="56"/>
      <c r="BO318" s="56">
        <v>2.8332727933163819E-2</v>
      </c>
      <c r="BP318" s="56"/>
      <c r="BQ318" s="56"/>
      <c r="BR318" s="56">
        <v>0.01</v>
      </c>
      <c r="BS318" s="56"/>
      <c r="BT318" s="56"/>
      <c r="BU318" s="158"/>
      <c r="BV318" s="56"/>
      <c r="BW318" s="56"/>
      <c r="BX318" s="56"/>
      <c r="BY318" s="56"/>
      <c r="BZ318" s="56"/>
      <c r="CA318" s="56"/>
      <c r="CB318" s="56"/>
      <c r="CC318" s="56"/>
      <c r="CD318" s="56"/>
      <c r="CE318" s="56"/>
      <c r="CF318" s="56"/>
      <c r="CG318" s="56"/>
      <c r="CH318" s="56"/>
      <c r="CI318" s="103">
        <f t="shared" si="93"/>
        <v>0.01</v>
      </c>
      <c r="CJ318" s="103">
        <f t="shared" si="94"/>
        <v>-2</v>
      </c>
      <c r="CK318" s="57">
        <f>BL318/BJ318</f>
        <v>2.9796719533445422</v>
      </c>
      <c r="CL318" s="160">
        <f t="shared" si="103"/>
        <v>45.09734764112698</v>
      </c>
      <c r="CM318" s="160">
        <v>-3.5360029785502594</v>
      </c>
      <c r="CN318" s="160">
        <f>BJ318/(10^CM318)</f>
        <v>519.97866593096398</v>
      </c>
      <c r="CO318" s="55"/>
      <c r="CP318" s="55" t="s">
        <v>1811</v>
      </c>
      <c r="CQ318" s="149">
        <v>-3.1259652426230411</v>
      </c>
      <c r="CR318" s="349">
        <f>10^(CJ318-CQ318)</f>
        <v>13.364885506576405</v>
      </c>
      <c r="CS318" s="61" t="s">
        <v>539</v>
      </c>
      <c r="CT318" s="61"/>
      <c r="CU318" s="111">
        <f t="shared" si="112"/>
        <v>43.28611212011139</v>
      </c>
      <c r="CV318" s="331">
        <f>X318/BJ318</f>
        <v>2.86</v>
      </c>
      <c r="CW318" s="326">
        <f t="shared" si="95"/>
        <v>1</v>
      </c>
      <c r="CX318" s="326"/>
      <c r="CY318" s="161" t="s">
        <v>5921</v>
      </c>
    </row>
    <row r="319" spans="1:103" ht="11.25" customHeight="1" x14ac:dyDescent="0.2">
      <c r="A319" s="72">
        <v>317</v>
      </c>
      <c r="B319" s="149">
        <v>59</v>
      </c>
      <c r="C319" s="54" t="s">
        <v>522</v>
      </c>
      <c r="D319" s="54" t="s">
        <v>6483</v>
      </c>
      <c r="E319" s="59"/>
      <c r="F319" s="59" t="s">
        <v>523</v>
      </c>
      <c r="G319" s="151">
        <v>151213</v>
      </c>
      <c r="H319" s="55" t="s">
        <v>524</v>
      </c>
      <c r="I319" s="55" t="s">
        <v>524</v>
      </c>
      <c r="J319" s="55" t="s">
        <v>525</v>
      </c>
      <c r="K319" s="55" t="s">
        <v>426</v>
      </c>
      <c r="L319" s="64" t="s">
        <v>6106</v>
      </c>
      <c r="M319" s="55" t="s">
        <v>526</v>
      </c>
      <c r="N319" s="60" t="s">
        <v>526</v>
      </c>
      <c r="O319" s="55" t="s">
        <v>281</v>
      </c>
      <c r="P319" s="67">
        <v>3</v>
      </c>
      <c r="Q319" s="67" t="s">
        <v>6173</v>
      </c>
      <c r="R319" s="67">
        <v>1</v>
      </c>
      <c r="S319" s="67" t="s">
        <v>6173</v>
      </c>
      <c r="T319" s="59">
        <v>266.39999999999998</v>
      </c>
      <c r="U319" s="153"/>
      <c r="V319" s="153">
        <v>0.61448948948948945</v>
      </c>
      <c r="W319" s="153">
        <v>158.48931924611131</v>
      </c>
      <c r="X319" s="153">
        <f>IF(W319=0,V319,W319)</f>
        <v>158.48931924611131</v>
      </c>
      <c r="Y319" s="410">
        <v>0.8</v>
      </c>
      <c r="Z319" s="59">
        <v>2.42</v>
      </c>
      <c r="AA319" s="59"/>
      <c r="AB319" s="59">
        <v>2.4300000000000002</v>
      </c>
      <c r="AC319" s="59">
        <v>0.41520000000000001</v>
      </c>
      <c r="AD319" s="59">
        <v>4.12</v>
      </c>
      <c r="AE319" s="59">
        <v>5.39</v>
      </c>
      <c r="AF319" s="59">
        <f t="shared" si="105"/>
        <v>4.12</v>
      </c>
      <c r="AG319" s="57">
        <v>4.12</v>
      </c>
      <c r="AH319" s="103">
        <v>1.8400000000000001E-7</v>
      </c>
      <c r="AI319" s="103"/>
      <c r="AJ319" s="62">
        <f t="shared" si="108"/>
        <v>-5.1237485033031156</v>
      </c>
      <c r="AK319" s="62"/>
      <c r="AL319" s="62">
        <f t="shared" si="109"/>
        <v>-5.1237485033031156</v>
      </c>
      <c r="AM319" s="62">
        <v>-11.085739999999999</v>
      </c>
      <c r="AN319" s="341">
        <v>-5.0854382317876849</v>
      </c>
      <c r="AO319" s="410">
        <v>-3.29</v>
      </c>
      <c r="AP319" s="410"/>
      <c r="AQ319" s="154" t="s">
        <v>6311</v>
      </c>
      <c r="AR319" s="154" t="s">
        <v>6311</v>
      </c>
      <c r="AS319" s="149" t="s">
        <v>282</v>
      </c>
      <c r="AT319" s="58" t="s">
        <v>266</v>
      </c>
      <c r="AU319" s="155">
        <v>24</v>
      </c>
      <c r="AV319" s="155">
        <v>120</v>
      </c>
      <c r="AW319" s="155">
        <v>96</v>
      </c>
      <c r="AX319" s="155">
        <v>28</v>
      </c>
      <c r="AY319" s="155" t="s">
        <v>267</v>
      </c>
      <c r="AZ319" s="155" t="s">
        <v>268</v>
      </c>
      <c r="BA319" s="155">
        <v>48</v>
      </c>
      <c r="BB319" s="55" t="s">
        <v>269</v>
      </c>
      <c r="BC319" s="156" t="s">
        <v>270</v>
      </c>
      <c r="BD319" s="156" t="s">
        <v>8374</v>
      </c>
      <c r="BE319" s="155" t="s">
        <v>271</v>
      </c>
      <c r="BF319" s="155" t="s">
        <v>272</v>
      </c>
      <c r="BG319" s="155" t="s">
        <v>272</v>
      </c>
      <c r="BH319" s="155" t="s">
        <v>272</v>
      </c>
      <c r="BI319" s="157">
        <v>3.4550668555436547E-3</v>
      </c>
      <c r="BJ319" s="157">
        <v>3.4550668555436546</v>
      </c>
      <c r="BK319" s="56"/>
      <c r="BL319" s="103">
        <f t="shared" si="110"/>
        <v>0.34466564762417012</v>
      </c>
      <c r="BM319" s="56">
        <v>0</v>
      </c>
      <c r="BN319" s="56"/>
      <c r="BO319" s="56"/>
      <c r="BP319" s="56"/>
      <c r="BQ319" s="56"/>
      <c r="BR319" s="56"/>
      <c r="BS319" s="56"/>
      <c r="BT319" s="56"/>
      <c r="BU319" s="158"/>
      <c r="BV319" s="56"/>
      <c r="BW319" s="56"/>
      <c r="BX319" s="56"/>
      <c r="BY319" s="56">
        <v>0.02</v>
      </c>
      <c r="BZ319" s="56">
        <v>0.01</v>
      </c>
      <c r="CA319" s="56">
        <v>0.01</v>
      </c>
      <c r="CB319" s="56">
        <v>0.01</v>
      </c>
      <c r="CC319" s="56"/>
      <c r="CD319" s="56"/>
      <c r="CE319" s="56"/>
      <c r="CF319" s="56"/>
      <c r="CG319" s="56"/>
      <c r="CH319" s="56"/>
      <c r="CI319" s="103">
        <f t="shared" si="93"/>
        <v>0.01</v>
      </c>
      <c r="CJ319" s="103">
        <f t="shared" si="94"/>
        <v>-2</v>
      </c>
      <c r="CK319" s="57">
        <f>BL319/BJ319</f>
        <v>9.9756578391863568E-2</v>
      </c>
      <c r="CL319" s="160">
        <f t="shared" si="103"/>
        <v>34.466564762417015</v>
      </c>
      <c r="CM319" s="160">
        <v>-1.7723217067229196</v>
      </c>
      <c r="CN319" s="160">
        <f>BJ319/(10^CM319)</f>
        <v>204.53995784818426</v>
      </c>
      <c r="CO319" s="55" t="s">
        <v>273</v>
      </c>
      <c r="CP319" s="156" t="s">
        <v>274</v>
      </c>
      <c r="CQ319" s="149">
        <v>-1.4111928510400207</v>
      </c>
      <c r="CR319" s="349">
        <f>10^(CJ319-CQ319)</f>
        <v>0.25774654417341275</v>
      </c>
      <c r="CS319" s="61" t="s">
        <v>539</v>
      </c>
      <c r="CT319" s="61"/>
      <c r="CU319" s="111">
        <f t="shared" si="112"/>
        <v>15848.93192461113</v>
      </c>
      <c r="CV319" s="331">
        <f>X319/BJ319</f>
        <v>45.871563669402001</v>
      </c>
      <c r="CW319" s="326">
        <f t="shared" si="95"/>
        <v>1</v>
      </c>
      <c r="CX319" s="326"/>
      <c r="CY319" s="161" t="s">
        <v>6351</v>
      </c>
    </row>
    <row r="320" spans="1:103" ht="11.25" customHeight="1" x14ac:dyDescent="0.2">
      <c r="A320" s="72">
        <v>318</v>
      </c>
      <c r="B320" s="149">
        <v>341</v>
      </c>
      <c r="C320" s="54" t="s">
        <v>1274</v>
      </c>
      <c r="D320" s="54"/>
      <c r="E320" s="59"/>
      <c r="F320" s="59" t="s">
        <v>1275</v>
      </c>
      <c r="G320" s="151">
        <v>82558507</v>
      </c>
      <c r="H320" s="55" t="s">
        <v>1276</v>
      </c>
      <c r="I320" s="55" t="s">
        <v>1276</v>
      </c>
      <c r="J320" s="55" t="s">
        <v>1277</v>
      </c>
      <c r="K320" s="55" t="s">
        <v>471</v>
      </c>
      <c r="L320" s="55"/>
      <c r="M320" s="55"/>
      <c r="N320" s="60"/>
      <c r="O320" s="55"/>
      <c r="P320" s="67">
        <v>3</v>
      </c>
      <c r="Q320" s="67" t="s">
        <v>6173</v>
      </c>
      <c r="R320" s="67">
        <v>1</v>
      </c>
      <c r="S320" s="67" t="s">
        <v>6173</v>
      </c>
      <c r="T320" s="56">
        <v>332.39</v>
      </c>
      <c r="U320" s="103">
        <v>4.2720900147417192E-3</v>
      </c>
      <c r="V320" s="103">
        <v>1.0265050091759679E-2</v>
      </c>
      <c r="W320" s="103">
        <v>2.4547089156850253E-2</v>
      </c>
      <c r="X320" s="103">
        <v>4.2720900147417192E-3</v>
      </c>
      <c r="Y320" s="162">
        <v>7</v>
      </c>
      <c r="Z320" s="56">
        <v>3.98</v>
      </c>
      <c r="AA320" s="56">
        <v>3.94</v>
      </c>
      <c r="AB320" s="56">
        <v>3.7</v>
      </c>
      <c r="AC320" s="56">
        <v>0.86580000000000001</v>
      </c>
      <c r="AD320" s="56">
        <v>3.6</v>
      </c>
      <c r="AE320" s="56">
        <v>3.25</v>
      </c>
      <c r="AF320" s="56">
        <f t="shared" ref="AF320:AF351" si="113">IF(AA320=0,AD320,AA320)</f>
        <v>3.94</v>
      </c>
      <c r="AG320" s="57">
        <v>4.08</v>
      </c>
      <c r="AH320" s="103">
        <v>2.0500000000000001E-13</v>
      </c>
      <c r="AI320" s="103">
        <v>1.27E-9</v>
      </c>
      <c r="AJ320" s="62">
        <f t="shared" si="108"/>
        <v>-11.076812465256898</v>
      </c>
      <c r="AK320" s="62">
        <f>LOG10(AI320*1000/(0.08206*298.15))</f>
        <v>-7.2847626053566952</v>
      </c>
      <c r="AL320" s="62">
        <f t="shared" si="109"/>
        <v>-7.2847626053566952</v>
      </c>
      <c r="AM320" s="62">
        <v>-16.252230000000001</v>
      </c>
      <c r="AN320" s="154">
        <v>-7.83</v>
      </c>
      <c r="AO320" s="410">
        <v>11.44</v>
      </c>
      <c r="AP320" s="410">
        <v>-1.64</v>
      </c>
      <c r="AQ320" s="154" t="s">
        <v>6311</v>
      </c>
      <c r="AR320" s="154" t="s">
        <v>6311</v>
      </c>
      <c r="AS320" s="149" t="s">
        <v>6</v>
      </c>
      <c r="AT320" s="58" t="s">
        <v>266</v>
      </c>
      <c r="AU320" s="56">
        <v>8</v>
      </c>
      <c r="AV320" s="56">
        <v>144</v>
      </c>
      <c r="AW320" s="56">
        <v>120</v>
      </c>
      <c r="AX320" s="56">
        <v>26</v>
      </c>
      <c r="AY320" s="56" t="s">
        <v>267</v>
      </c>
      <c r="AZ320" s="56" t="s">
        <v>268</v>
      </c>
      <c r="BA320" s="56">
        <v>2</v>
      </c>
      <c r="BB320" s="55" t="s">
        <v>888</v>
      </c>
      <c r="BC320" s="55" t="s">
        <v>270</v>
      </c>
      <c r="BD320" s="55" t="s">
        <v>8374</v>
      </c>
      <c r="BE320" s="56" t="s">
        <v>889</v>
      </c>
      <c r="BF320" s="56" t="s">
        <v>272</v>
      </c>
      <c r="BG320" s="56" t="s">
        <v>272</v>
      </c>
      <c r="BH320" s="56" t="s">
        <v>890</v>
      </c>
      <c r="BI320" s="103">
        <v>9.9999999999999995E-7</v>
      </c>
      <c r="BJ320" s="103">
        <v>0.08</v>
      </c>
      <c r="BK320" s="56"/>
      <c r="BL320" s="103">
        <f t="shared" si="110"/>
        <v>1.3688693518103673E-2</v>
      </c>
      <c r="BM320" s="56" t="s">
        <v>891</v>
      </c>
      <c r="BN320" s="162"/>
      <c r="BO320" s="162"/>
      <c r="BP320" s="162"/>
      <c r="BQ320" s="162"/>
      <c r="BR320" s="162"/>
      <c r="BS320" s="56">
        <v>2.664E-2</v>
      </c>
      <c r="BT320" s="162"/>
      <c r="BU320" s="158"/>
      <c r="BV320" s="162"/>
      <c r="BW320" s="162"/>
      <c r="BX320" s="162"/>
      <c r="BY320" s="162"/>
      <c r="BZ320" s="162"/>
      <c r="CA320" s="162"/>
      <c r="CB320" s="162"/>
      <c r="CC320" s="56"/>
      <c r="CD320" s="56"/>
      <c r="CE320" s="56"/>
      <c r="CF320" s="56"/>
      <c r="CG320" s="56"/>
      <c r="CH320" s="56"/>
      <c r="CI320" s="103">
        <f t="shared" si="93"/>
        <v>2.664E-2</v>
      </c>
      <c r="CJ320" s="103">
        <f t="shared" si="94"/>
        <v>-1.5744657795017365</v>
      </c>
      <c r="CK320" s="57">
        <f>BL320/BJ320</f>
        <v>0.1711086689762959</v>
      </c>
      <c r="CL320" s="160">
        <f t="shared" si="103"/>
        <v>0.51383984677566341</v>
      </c>
      <c r="CM320" s="160"/>
      <c r="CN320" s="160"/>
      <c r="CO320" s="55" t="s">
        <v>892</v>
      </c>
      <c r="CP320" s="55" t="s">
        <v>893</v>
      </c>
      <c r="CQ320" s="149" t="s">
        <v>272</v>
      </c>
      <c r="CR320" s="349"/>
      <c r="CS320" s="61" t="s">
        <v>539</v>
      </c>
      <c r="CT320" s="61"/>
      <c r="CU320" s="111">
        <f t="shared" si="112"/>
        <v>0.16036373929210657</v>
      </c>
      <c r="CV320" s="331">
        <f>X320/BJ320</f>
        <v>5.3401125184271488E-2</v>
      </c>
      <c r="CW320" s="326">
        <f t="shared" si="95"/>
        <v>0</v>
      </c>
      <c r="CX320" s="326" t="s">
        <v>539</v>
      </c>
      <c r="CY320" s="161" t="s">
        <v>5921</v>
      </c>
    </row>
    <row r="321" spans="1:103" ht="11.25" customHeight="1" x14ac:dyDescent="0.2">
      <c r="A321" s="72">
        <v>319</v>
      </c>
      <c r="B321" s="149">
        <v>1948</v>
      </c>
      <c r="C321" s="54" t="s">
        <v>5515</v>
      </c>
      <c r="D321" s="54" t="s">
        <v>6446</v>
      </c>
      <c r="E321" s="59"/>
      <c r="F321" s="59" t="s">
        <v>2269</v>
      </c>
      <c r="G321" s="151">
        <v>79947</v>
      </c>
      <c r="H321" s="67" t="s">
        <v>2270</v>
      </c>
      <c r="I321" s="67" t="s">
        <v>2270</v>
      </c>
      <c r="J321" s="67" t="s">
        <v>2271</v>
      </c>
      <c r="K321" s="67" t="s">
        <v>376</v>
      </c>
      <c r="L321" s="67" t="s">
        <v>5492</v>
      </c>
      <c r="M321" s="60" t="s">
        <v>2342</v>
      </c>
      <c r="N321" s="60" t="s">
        <v>2342</v>
      </c>
      <c r="O321" s="67"/>
      <c r="P321" s="67">
        <v>3</v>
      </c>
      <c r="Q321" s="67" t="s">
        <v>6173</v>
      </c>
      <c r="R321" s="67">
        <v>1</v>
      </c>
      <c r="S321" s="67" t="s">
        <v>6173</v>
      </c>
      <c r="T321" s="61">
        <v>543.88</v>
      </c>
      <c r="U321" s="111"/>
      <c r="V321" s="111">
        <v>1.8423181584172981E-6</v>
      </c>
      <c r="W321" s="111">
        <v>5.4954087385762412E-4</v>
      </c>
      <c r="X321" s="111">
        <f>IF(W321=0,V321,W321)</f>
        <v>5.4954087385762412E-4</v>
      </c>
      <c r="Y321" s="411">
        <v>6.97</v>
      </c>
      <c r="Z321" s="62">
        <v>7.2</v>
      </c>
      <c r="AA321" s="62">
        <v>0</v>
      </c>
      <c r="AB321" s="62">
        <v>6.4</v>
      </c>
      <c r="AC321" s="62">
        <v>0.56699999999999995</v>
      </c>
      <c r="AD321" s="62">
        <v>6.8</v>
      </c>
      <c r="AE321" s="62">
        <v>7.29</v>
      </c>
      <c r="AF321" s="62">
        <f t="shared" si="113"/>
        <v>6.8</v>
      </c>
      <c r="AG321" s="62">
        <v>6.88</v>
      </c>
      <c r="AH321" s="111">
        <v>2.3099999999999997E-13</v>
      </c>
      <c r="AI321" s="111"/>
      <c r="AJ321" s="62">
        <f t="shared" si="108"/>
        <v>-11.024954346420508</v>
      </c>
      <c r="AK321" s="62"/>
      <c r="AL321" s="62">
        <f t="shared" si="109"/>
        <v>-11.024954346420508</v>
      </c>
      <c r="AM321" s="62">
        <v>-12.1549</v>
      </c>
      <c r="AN321" s="163"/>
      <c r="AO321" s="410">
        <v>8.5</v>
      </c>
      <c r="AP321" s="410"/>
      <c r="AQ321" s="163" t="s">
        <v>6311</v>
      </c>
      <c r="AR321" s="163" t="s">
        <v>6311</v>
      </c>
      <c r="AS321" s="164" t="s">
        <v>5466</v>
      </c>
      <c r="AT321" s="63" t="s">
        <v>266</v>
      </c>
      <c r="AU321" s="61">
        <v>0</v>
      </c>
      <c r="AV321" s="61">
        <v>96</v>
      </c>
      <c r="AW321" s="61">
        <v>96</v>
      </c>
      <c r="AX321" s="61">
        <v>26</v>
      </c>
      <c r="AY321" s="61" t="s">
        <v>267</v>
      </c>
      <c r="AZ321" s="61"/>
      <c r="BA321" s="61">
        <v>10</v>
      </c>
      <c r="BB321" s="67" t="s">
        <v>5487</v>
      </c>
      <c r="BC321" s="67" t="s">
        <v>8726</v>
      </c>
      <c r="BD321" s="67" t="s">
        <v>8374</v>
      </c>
      <c r="BE321" s="61" t="s">
        <v>2449</v>
      </c>
      <c r="BF321" s="61"/>
      <c r="BG321" s="61"/>
      <c r="BH321" s="61" t="s">
        <v>5512</v>
      </c>
      <c r="BI321" s="111"/>
      <c r="BJ321" s="111"/>
      <c r="BK321" s="165"/>
      <c r="BL321" s="111">
        <f t="shared" si="110"/>
        <v>1.755820033836557E-5</v>
      </c>
      <c r="BM321" s="61"/>
      <c r="BN321" s="61"/>
      <c r="BO321" s="61"/>
      <c r="BP321" s="61"/>
      <c r="BQ321" s="61">
        <v>9.6896369999999992E-3</v>
      </c>
      <c r="BR321" s="61"/>
      <c r="BS321" s="61"/>
      <c r="BT321" s="61"/>
      <c r="BU321" s="158"/>
      <c r="BV321" s="61"/>
      <c r="BW321" s="61"/>
      <c r="BX321" s="61"/>
      <c r="BY321" s="61"/>
      <c r="BZ321" s="61"/>
      <c r="CA321" s="61"/>
      <c r="CB321" s="61"/>
      <c r="CC321" s="61"/>
      <c r="CD321" s="61"/>
      <c r="CE321" s="61"/>
      <c r="CF321" s="61"/>
      <c r="CG321" s="61"/>
      <c r="CH321" s="61"/>
      <c r="CI321" s="111">
        <f t="shared" si="93"/>
        <v>9.6896369999999992E-3</v>
      </c>
      <c r="CJ321" s="103">
        <f t="shared" si="94"/>
        <v>-2.0136924924899851</v>
      </c>
      <c r="CK321" s="57" t="s">
        <v>404</v>
      </c>
      <c r="CL321" s="160">
        <f t="shared" si="103"/>
        <v>1.8120596610962383E-3</v>
      </c>
      <c r="CM321" s="160">
        <v>-3.1334351123598188</v>
      </c>
      <c r="CN321" s="160">
        <f>BJ321/(10^CM321)</f>
        <v>0</v>
      </c>
      <c r="CO321" s="67"/>
      <c r="CP321" s="67" t="s">
        <v>5513</v>
      </c>
      <c r="CQ321" s="149">
        <v>-2.884571744269377</v>
      </c>
      <c r="CR321" s="349">
        <f>10^(CJ321-CQ321)</f>
        <v>7.4281258273343198</v>
      </c>
      <c r="CS321" s="61" t="s">
        <v>539</v>
      </c>
      <c r="CT321" s="61"/>
      <c r="CU321" s="111">
        <f t="shared" si="112"/>
        <v>5.6714289075805849E-2</v>
      </c>
      <c r="CV321" s="331"/>
      <c r="CW321" s="326">
        <f t="shared" si="95"/>
        <v>0</v>
      </c>
      <c r="CX321" s="326"/>
      <c r="CY321" s="161" t="s">
        <v>6351</v>
      </c>
    </row>
    <row r="322" spans="1:103" ht="11.25" customHeight="1" x14ac:dyDescent="0.2">
      <c r="A322" s="72">
        <v>320</v>
      </c>
      <c r="B322" s="149">
        <v>1939</v>
      </c>
      <c r="C322" s="54" t="s">
        <v>5477</v>
      </c>
      <c r="D322" s="54"/>
      <c r="E322" s="59"/>
      <c r="F322" s="59" t="s">
        <v>5478</v>
      </c>
      <c r="G322" s="151">
        <v>83002044</v>
      </c>
      <c r="H322" s="67" t="s">
        <v>5479</v>
      </c>
      <c r="I322" s="67" t="s">
        <v>5479</v>
      </c>
      <c r="J322" s="67" t="s">
        <v>5480</v>
      </c>
      <c r="K322" s="67" t="s">
        <v>349</v>
      </c>
      <c r="L322" s="67"/>
      <c r="M322" s="67" t="s">
        <v>5464</v>
      </c>
      <c r="N322" s="60"/>
      <c r="O322" s="67" t="s">
        <v>5481</v>
      </c>
      <c r="P322" s="67">
        <v>3</v>
      </c>
      <c r="Q322" s="67" t="s">
        <v>6173</v>
      </c>
      <c r="R322" s="67">
        <v>1</v>
      </c>
      <c r="S322" s="67" t="s">
        <v>6173</v>
      </c>
      <c r="T322" s="61">
        <v>376.58</v>
      </c>
      <c r="U322" s="111"/>
      <c r="V322" s="111">
        <v>2.5086303043178078E-4</v>
      </c>
      <c r="W322" s="111">
        <v>1.1748975549395286E-2</v>
      </c>
      <c r="X322" s="111">
        <f>IF(W322=0,V322,W322)</f>
        <v>1.1748975549395286E-2</v>
      </c>
      <c r="Y322" s="411">
        <v>6.99</v>
      </c>
      <c r="Z322" s="61">
        <v>7.5</v>
      </c>
      <c r="AA322" s="61">
        <v>6.13</v>
      </c>
      <c r="AB322" s="61">
        <v>6.2</v>
      </c>
      <c r="AC322" s="61">
        <v>0.90280000000000005</v>
      </c>
      <c r="AD322" s="61">
        <v>6.15</v>
      </c>
      <c r="AE322" s="61">
        <v>5.97</v>
      </c>
      <c r="AF322" s="61">
        <f t="shared" si="113"/>
        <v>6.13</v>
      </c>
      <c r="AG322" s="62">
        <v>7.5</v>
      </c>
      <c r="AH322" s="111">
        <v>3.75E-11</v>
      </c>
      <c r="AI322" s="111"/>
      <c r="AJ322" s="62">
        <f t="shared" si="108"/>
        <v>-8.8145350585849336</v>
      </c>
      <c r="AK322" s="62"/>
      <c r="AL322" s="62">
        <f t="shared" si="109"/>
        <v>-8.8145350585849336</v>
      </c>
      <c r="AM322" s="62">
        <v>-16.274500000000003</v>
      </c>
      <c r="AN322" s="163"/>
      <c r="AO322" s="410">
        <v>10.25</v>
      </c>
      <c r="AP322" s="410"/>
      <c r="AQ322" s="163" t="s">
        <v>6311</v>
      </c>
      <c r="AR322" s="163" t="s">
        <v>6311</v>
      </c>
      <c r="AS322" s="164" t="s">
        <v>5466</v>
      </c>
      <c r="AT322" s="63" t="s">
        <v>266</v>
      </c>
      <c r="AU322" s="61">
        <v>24</v>
      </c>
      <c r="AV322" s="61">
        <v>120</v>
      </c>
      <c r="AW322" s="61">
        <v>96</v>
      </c>
      <c r="AX322" s="61">
        <v>25</v>
      </c>
      <c r="AY322" s="61" t="s">
        <v>267</v>
      </c>
      <c r="AZ322" s="61" t="s">
        <v>268</v>
      </c>
      <c r="BA322" s="61" t="s">
        <v>5467</v>
      </c>
      <c r="BB322" s="67" t="s">
        <v>5468</v>
      </c>
      <c r="BC322" s="67" t="s">
        <v>5469</v>
      </c>
      <c r="BD322" s="67" t="s">
        <v>8374</v>
      </c>
      <c r="BE322" s="61" t="s">
        <v>2449</v>
      </c>
      <c r="BF322" s="61"/>
      <c r="BG322" s="61"/>
      <c r="BH322" s="61" t="s">
        <v>5470</v>
      </c>
      <c r="BI322" s="111">
        <v>3.3193477999999998E-2</v>
      </c>
      <c r="BJ322" s="111">
        <v>0.26554782500000002</v>
      </c>
      <c r="BK322" s="61"/>
      <c r="BL322" s="111">
        <f t="shared" si="110"/>
        <v>9.4416957156783501E-6</v>
      </c>
      <c r="BM322" s="61" t="s">
        <v>1584</v>
      </c>
      <c r="BN322" s="61"/>
      <c r="BO322" s="61"/>
      <c r="BP322" s="61"/>
      <c r="BQ322" s="61"/>
      <c r="BR322" s="61"/>
      <c r="BS322" s="61"/>
      <c r="BT322" s="61"/>
      <c r="BU322" s="158"/>
      <c r="BV322" s="61"/>
      <c r="BW322" s="61"/>
      <c r="BX322" s="61"/>
      <c r="BY322" s="61"/>
      <c r="BZ322" s="61"/>
      <c r="CA322" s="61"/>
      <c r="CB322" s="61">
        <v>4.4930692000000001E-2</v>
      </c>
      <c r="CC322" s="61"/>
      <c r="CD322" s="61"/>
      <c r="CE322" s="61"/>
      <c r="CF322" s="61"/>
      <c r="CG322" s="61"/>
      <c r="CH322" s="61"/>
      <c r="CI322" s="111">
        <f t="shared" si="93"/>
        <v>4.4930692000000001E-2</v>
      </c>
      <c r="CJ322" s="103">
        <f t="shared" si="94"/>
        <v>-1.3474568925695132</v>
      </c>
      <c r="CK322" s="57">
        <f t="shared" ref="CK322:CK351" si="114">BL322/BJ322</f>
        <v>3.5555537747968185E-5</v>
      </c>
      <c r="CL322" s="160">
        <f t="shared" si="103"/>
        <v>2.1013911193885795E-4</v>
      </c>
      <c r="CM322" s="160"/>
      <c r="CN322" s="160"/>
      <c r="CO322" s="67"/>
      <c r="CP322" s="67" t="s">
        <v>5471</v>
      </c>
      <c r="CQ322" s="149" t="s">
        <v>272</v>
      </c>
      <c r="CR322" s="349"/>
      <c r="CS322" s="61" t="s">
        <v>539</v>
      </c>
      <c r="CT322" s="61"/>
      <c r="CU322" s="111">
        <f t="shared" si="112"/>
        <v>0.2614910883054124</v>
      </c>
      <c r="CV322" s="331">
        <f t="shared" ref="CV322:CV351" si="115">X322/BJ322</f>
        <v>4.4244292151123008E-2</v>
      </c>
      <c r="CW322" s="326">
        <f t="shared" si="95"/>
        <v>0</v>
      </c>
      <c r="CX322" s="326"/>
      <c r="CY322" s="161" t="s">
        <v>5921</v>
      </c>
    </row>
    <row r="323" spans="1:103" ht="11.25" customHeight="1" x14ac:dyDescent="0.2">
      <c r="A323" s="72">
        <v>321</v>
      </c>
      <c r="B323" s="149">
        <v>272</v>
      </c>
      <c r="C323" s="54" t="s">
        <v>1118</v>
      </c>
      <c r="D323" s="54"/>
      <c r="E323" s="59"/>
      <c r="F323" s="59" t="s">
        <v>1119</v>
      </c>
      <c r="G323" s="151">
        <v>83657243</v>
      </c>
      <c r="H323" s="55" t="s">
        <v>1120</v>
      </c>
      <c r="I323" s="55" t="s">
        <v>8151</v>
      </c>
      <c r="J323" s="55" t="s">
        <v>1121</v>
      </c>
      <c r="K323" s="55" t="s">
        <v>1122</v>
      </c>
      <c r="L323" s="55" t="s">
        <v>5973</v>
      </c>
      <c r="M323" s="55" t="s">
        <v>5960</v>
      </c>
      <c r="N323" s="60"/>
      <c r="O323" s="55"/>
      <c r="P323" s="67">
        <v>3</v>
      </c>
      <c r="Q323" s="67" t="s">
        <v>6173</v>
      </c>
      <c r="R323" s="67">
        <v>1</v>
      </c>
      <c r="S323" s="67" t="s">
        <v>6173</v>
      </c>
      <c r="T323" s="56">
        <v>326.22000000000003</v>
      </c>
      <c r="U323" s="103">
        <v>1.2261663907792287E-2</v>
      </c>
      <c r="V323" s="103">
        <v>1.8150327999509532E-2</v>
      </c>
      <c r="W323" s="103">
        <v>8.9125093813374433E-3</v>
      </c>
      <c r="X323" s="103">
        <v>1.2261663907792287E-2</v>
      </c>
      <c r="Y323" s="162">
        <v>7</v>
      </c>
      <c r="Z323" s="56">
        <v>3.92</v>
      </c>
      <c r="AA323" s="56">
        <v>4.3</v>
      </c>
      <c r="AB323" s="56">
        <v>3.94</v>
      </c>
      <c r="AC323" s="56">
        <v>0.84009999999999996</v>
      </c>
      <c r="AD323" s="56">
        <v>4</v>
      </c>
      <c r="AE323" s="56">
        <v>4.2300000000000004</v>
      </c>
      <c r="AF323" s="56">
        <f t="shared" si="113"/>
        <v>4.3</v>
      </c>
      <c r="AG323" s="57">
        <v>4.16</v>
      </c>
      <c r="AH323" s="103">
        <v>8.4500000000000005E-11</v>
      </c>
      <c r="AI323" s="103">
        <v>3.9700000000000002E-7</v>
      </c>
      <c r="AJ323" s="62">
        <f t="shared" si="108"/>
        <v>-8.4617096173629598</v>
      </c>
      <c r="AK323" s="62">
        <f>LOG10(AI323*1000/(0.08206*298.15))</f>
        <v>-4.7897758195495364</v>
      </c>
      <c r="AL323" s="62">
        <f t="shared" si="109"/>
        <v>-4.7897758195495364</v>
      </c>
      <c r="AM323" s="62">
        <v>-13.611089999999999</v>
      </c>
      <c r="AN323" s="154">
        <v>-8.74</v>
      </c>
      <c r="AO323" s="410">
        <v>12.89</v>
      </c>
      <c r="AP323" s="410">
        <v>2.2000000000000002</v>
      </c>
      <c r="AQ323" s="154" t="s">
        <v>6311</v>
      </c>
      <c r="AR323" s="154" t="s">
        <v>6311</v>
      </c>
      <c r="AS323" s="149" t="s">
        <v>6</v>
      </c>
      <c r="AT323" s="58" t="s">
        <v>266</v>
      </c>
      <c r="AU323" s="56">
        <v>8</v>
      </c>
      <c r="AV323" s="56">
        <v>144</v>
      </c>
      <c r="AW323" s="56">
        <v>120</v>
      </c>
      <c r="AX323" s="56">
        <v>26</v>
      </c>
      <c r="AY323" s="56" t="s">
        <v>267</v>
      </c>
      <c r="AZ323" s="56" t="s">
        <v>268</v>
      </c>
      <c r="BA323" s="56">
        <v>2</v>
      </c>
      <c r="BB323" s="55" t="s">
        <v>888</v>
      </c>
      <c r="BC323" s="55" t="s">
        <v>270</v>
      </c>
      <c r="BD323" s="55" t="s">
        <v>8374</v>
      </c>
      <c r="BE323" s="56" t="s">
        <v>889</v>
      </c>
      <c r="BF323" s="56" t="s">
        <v>272</v>
      </c>
      <c r="BG323" s="56" t="s">
        <v>272</v>
      </c>
      <c r="BH323" s="56" t="s">
        <v>890</v>
      </c>
      <c r="BI323" s="103">
        <v>9.9999999999999995E-7</v>
      </c>
      <c r="BJ323" s="103">
        <v>0.08</v>
      </c>
      <c r="BK323" s="56"/>
      <c r="BL323" s="103">
        <f t="shared" si="110"/>
        <v>1.5497013094362723E-2</v>
      </c>
      <c r="BM323" s="56" t="s">
        <v>891</v>
      </c>
      <c r="BN323" s="162"/>
      <c r="BO323" s="162"/>
      <c r="BP323" s="162"/>
      <c r="BQ323" s="162"/>
      <c r="BR323" s="162"/>
      <c r="BS323" s="56">
        <v>1.5380611171211632E-2</v>
      </c>
      <c r="BT323" s="162"/>
      <c r="BU323" s="158"/>
      <c r="BV323" s="162"/>
      <c r="BW323" s="162"/>
      <c r="BX323" s="162"/>
      <c r="BY323" s="162"/>
      <c r="BZ323" s="162"/>
      <c r="CA323" s="162"/>
      <c r="CB323" s="162"/>
      <c r="CC323" s="56"/>
      <c r="CD323" s="56"/>
      <c r="CE323" s="56"/>
      <c r="CF323" s="56"/>
      <c r="CG323" s="56"/>
      <c r="CH323" s="56"/>
      <c r="CI323" s="103">
        <f t="shared" ref="CI323:CI386" si="116">MIN(BN323:CH323)</f>
        <v>1.5380611171211632E-2</v>
      </c>
      <c r="CJ323" s="103">
        <f t="shared" ref="CJ323:CJ386" si="117">LOG10(CI323)</f>
        <v>-1.8130264068615678</v>
      </c>
      <c r="CK323" s="57">
        <f t="shared" si="114"/>
        <v>0.19371266367953402</v>
      </c>
      <c r="CL323" s="160">
        <f t="shared" si="103"/>
        <v>1.0075680947821477</v>
      </c>
      <c r="CM323" s="160"/>
      <c r="CN323" s="160"/>
      <c r="CO323" s="55" t="s">
        <v>892</v>
      </c>
      <c r="CP323" s="55" t="s">
        <v>893</v>
      </c>
      <c r="CQ323" s="149" t="s">
        <v>272</v>
      </c>
      <c r="CR323" s="349"/>
      <c r="CS323" s="61" t="s">
        <v>539</v>
      </c>
      <c r="CT323" s="61"/>
      <c r="CU323" s="111">
        <f t="shared" si="112"/>
        <v>0.79721564840952641</v>
      </c>
      <c r="CV323" s="331">
        <f t="shared" si="115"/>
        <v>0.15327079884740358</v>
      </c>
      <c r="CW323" s="326">
        <f t="shared" ref="CW323:CW386" si="118">IF(CU323&lt;2,0,1)</f>
        <v>0</v>
      </c>
      <c r="CX323" s="326" t="s">
        <v>539</v>
      </c>
      <c r="CY323" s="161" t="s">
        <v>5921</v>
      </c>
    </row>
    <row r="324" spans="1:103" ht="11.25" customHeight="1" x14ac:dyDescent="0.2">
      <c r="A324" s="72">
        <v>322</v>
      </c>
      <c r="B324" s="149">
        <v>1192</v>
      </c>
      <c r="C324" s="54" t="s">
        <v>3285</v>
      </c>
      <c r="D324" s="54"/>
      <c r="E324" s="59"/>
      <c r="F324" s="59" t="s">
        <v>3286</v>
      </c>
      <c r="G324" s="151">
        <v>84371653</v>
      </c>
      <c r="H324" s="55" t="s">
        <v>3287</v>
      </c>
      <c r="I324" s="55" t="s">
        <v>8329</v>
      </c>
      <c r="J324" s="55" t="s">
        <v>3288</v>
      </c>
      <c r="K324" s="55" t="s">
        <v>3289</v>
      </c>
      <c r="L324" s="55" t="s">
        <v>279</v>
      </c>
      <c r="M324" s="55" t="s">
        <v>3290</v>
      </c>
      <c r="N324" s="60"/>
      <c r="O324" s="55" t="s">
        <v>281</v>
      </c>
      <c r="P324" s="67">
        <v>3</v>
      </c>
      <c r="Q324" s="67" t="s">
        <v>6173</v>
      </c>
      <c r="R324" s="67">
        <v>1</v>
      </c>
      <c r="S324" s="67" t="s">
        <v>6173</v>
      </c>
      <c r="T324" s="56">
        <v>429.59</v>
      </c>
      <c r="U324" s="103"/>
      <c r="V324" s="103">
        <v>1.1406224539677368E-4</v>
      </c>
      <c r="W324" s="103">
        <v>5.2480746024977185E-5</v>
      </c>
      <c r="X324" s="103">
        <f>IF(W324=0,V324,W324)</f>
        <v>5.2480746024977185E-5</v>
      </c>
      <c r="Y324" s="162">
        <v>7</v>
      </c>
      <c r="Z324" s="56">
        <v>5.39</v>
      </c>
      <c r="AA324" s="56"/>
      <c r="AB324" s="56">
        <v>5.46</v>
      </c>
      <c r="AC324" s="56">
        <v>0.41120000000000001</v>
      </c>
      <c r="AD324" s="56">
        <v>5.16</v>
      </c>
      <c r="AE324" s="56">
        <v>4.95</v>
      </c>
      <c r="AF324" s="56">
        <f t="shared" si="113"/>
        <v>5.16</v>
      </c>
      <c r="AG324" s="57">
        <v>5.24</v>
      </c>
      <c r="AH324" s="103"/>
      <c r="AI324" s="103"/>
      <c r="AJ324" s="62"/>
      <c r="AK324" s="62"/>
      <c r="AL324" s="62"/>
      <c r="AM324" s="62">
        <v>-21.696059999999996</v>
      </c>
      <c r="AN324" s="154">
        <v>-13.9</v>
      </c>
      <c r="AO324" s="410">
        <v>12.94</v>
      </c>
      <c r="AP324" s="410">
        <v>5.49</v>
      </c>
      <c r="AQ324" s="56" t="s">
        <v>6311</v>
      </c>
      <c r="AR324" s="56" t="s">
        <v>6311</v>
      </c>
      <c r="AS324" s="155"/>
      <c r="AT324" s="58" t="s">
        <v>266</v>
      </c>
      <c r="AU324" s="56">
        <v>6</v>
      </c>
      <c r="AV324" s="56">
        <v>120</v>
      </c>
      <c r="AW324" s="56">
        <v>114</v>
      </c>
      <c r="AX324" s="56">
        <v>28</v>
      </c>
      <c r="AY324" s="56" t="s">
        <v>8728</v>
      </c>
      <c r="AZ324" s="56" t="s">
        <v>1563</v>
      </c>
      <c r="BA324" s="56">
        <v>32</v>
      </c>
      <c r="BB324" s="55" t="s">
        <v>2485</v>
      </c>
      <c r="BC324" s="55" t="s">
        <v>8726</v>
      </c>
      <c r="BD324" s="55" t="s">
        <v>8374</v>
      </c>
      <c r="BE324" s="56" t="s">
        <v>2449</v>
      </c>
      <c r="BF324" s="56" t="s">
        <v>272</v>
      </c>
      <c r="BG324" s="56" t="s">
        <v>272</v>
      </c>
      <c r="BH324" s="56" t="s">
        <v>2486</v>
      </c>
      <c r="BI324" s="103">
        <v>6.3999999999999997E-6</v>
      </c>
      <c r="BJ324" s="103">
        <v>6.4000000000000001E-2</v>
      </c>
      <c r="BK324" s="56"/>
      <c r="BL324" s="103">
        <f t="shared" si="110"/>
        <v>7.4138022873082945E-4</v>
      </c>
      <c r="BM324" s="56" t="s">
        <v>2487</v>
      </c>
      <c r="BN324" s="56"/>
      <c r="BO324" s="56"/>
      <c r="BP324" s="56"/>
      <c r="BQ324" s="56"/>
      <c r="BR324" s="55">
        <v>2.0238577000000001E-2</v>
      </c>
      <c r="BS324" s="56"/>
      <c r="BT324" s="56"/>
      <c r="BU324" s="158"/>
      <c r="BV324" s="56"/>
      <c r="BW324" s="56"/>
      <c r="BX324" s="56"/>
      <c r="BY324" s="56"/>
      <c r="BZ324" s="56"/>
      <c r="CA324" s="56"/>
      <c r="CB324" s="56"/>
      <c r="CC324" s="56"/>
      <c r="CD324" s="56"/>
      <c r="CE324" s="56"/>
      <c r="CF324" s="56"/>
      <c r="CG324" s="56"/>
      <c r="CH324" s="56"/>
      <c r="CI324" s="103">
        <f t="shared" si="116"/>
        <v>2.0238577000000001E-2</v>
      </c>
      <c r="CJ324" s="103">
        <f t="shared" si="117"/>
        <v>-1.6938200265542473</v>
      </c>
      <c r="CK324" s="57">
        <f t="shared" si="114"/>
        <v>1.158406607391921E-2</v>
      </c>
      <c r="CL324" s="160">
        <f t="shared" si="103"/>
        <v>3.6632033404859911E-2</v>
      </c>
      <c r="CM324" s="160"/>
      <c r="CN324" s="160"/>
      <c r="CO324" s="55" t="s">
        <v>2488</v>
      </c>
      <c r="CP324" s="55" t="s">
        <v>2489</v>
      </c>
      <c r="CQ324" s="149" t="s">
        <v>272</v>
      </c>
      <c r="CR324" s="349"/>
      <c r="CS324" s="61" t="s">
        <v>539</v>
      </c>
      <c r="CT324" s="61"/>
      <c r="CU324" s="111">
        <f t="shared" si="112"/>
        <v>2.5931045460843016E-3</v>
      </c>
      <c r="CV324" s="331">
        <f t="shared" si="115"/>
        <v>8.2001165664026847E-4</v>
      </c>
      <c r="CW324" s="326">
        <f t="shared" si="118"/>
        <v>0</v>
      </c>
      <c r="CX324" s="326"/>
      <c r="CY324" s="161" t="s">
        <v>5921</v>
      </c>
    </row>
    <row r="325" spans="1:103" ht="11.25" customHeight="1" x14ac:dyDescent="0.2">
      <c r="A325" s="72">
        <v>323</v>
      </c>
      <c r="B325" s="149">
        <v>223</v>
      </c>
      <c r="C325" s="54" t="s">
        <v>1036</v>
      </c>
      <c r="D325" s="54" t="s">
        <v>6644</v>
      </c>
      <c r="E325" s="59"/>
      <c r="F325" s="59" t="s">
        <v>1037</v>
      </c>
      <c r="G325" s="151">
        <v>2921882</v>
      </c>
      <c r="H325" s="55" t="s">
        <v>1038</v>
      </c>
      <c r="I325" s="55" t="s">
        <v>7929</v>
      </c>
      <c r="J325" s="55" t="s">
        <v>1039</v>
      </c>
      <c r="K325" s="55" t="s">
        <v>1040</v>
      </c>
      <c r="L325" s="55" t="s">
        <v>617</v>
      </c>
      <c r="M325" s="55" t="s">
        <v>618</v>
      </c>
      <c r="N325" s="60" t="s">
        <v>6376</v>
      </c>
      <c r="O325" s="55" t="s">
        <v>1041</v>
      </c>
      <c r="P325" s="67">
        <v>3</v>
      </c>
      <c r="Q325" s="67" t="s">
        <v>6173</v>
      </c>
      <c r="R325" s="67">
        <v>1</v>
      </c>
      <c r="S325" s="67" t="s">
        <v>6173</v>
      </c>
      <c r="T325" s="56">
        <v>350.59</v>
      </c>
      <c r="U325" s="103">
        <v>3.1946147922074222E-3</v>
      </c>
      <c r="V325" s="103">
        <v>1.0182834650161157E-3</v>
      </c>
      <c r="W325" s="103">
        <v>4.0738027780411268E-3</v>
      </c>
      <c r="X325" s="103">
        <v>3.1946147922074222E-3</v>
      </c>
      <c r="Y325" s="162">
        <v>7</v>
      </c>
      <c r="Z325" s="56">
        <v>5.1100000000000003</v>
      </c>
      <c r="AA325" s="56">
        <v>4.96</v>
      </c>
      <c r="AB325" s="56">
        <v>4.79</v>
      </c>
      <c r="AC325" s="56">
        <v>0.86860000000000004</v>
      </c>
      <c r="AD325" s="56">
        <v>4.78</v>
      </c>
      <c r="AE325" s="56">
        <v>4.7699999999999996</v>
      </c>
      <c r="AF325" s="56">
        <f t="shared" si="113"/>
        <v>4.96</v>
      </c>
      <c r="AG325" s="57">
        <v>5.16</v>
      </c>
      <c r="AH325" s="103">
        <v>2.52E-6</v>
      </c>
      <c r="AI325" s="103">
        <v>2.9299999999999999E-6</v>
      </c>
      <c r="AJ325" s="62">
        <f>LOG10(AH325*1000/(0.08206*298.15))</f>
        <v>-3.9871657855311078</v>
      </c>
      <c r="AK325" s="62">
        <f>LOG10(AI325*1000/(0.08206*298.15))</f>
        <v>-3.9216987059585424</v>
      </c>
      <c r="AL325" s="62">
        <f t="shared" ref="AL325:AL332" si="119">IF(AK325=0,AJ325,AK325)</f>
        <v>-3.9216987059585424</v>
      </c>
      <c r="AM325" s="62">
        <v>-11.220610000000001</v>
      </c>
      <c r="AN325" s="154">
        <v>-2.64</v>
      </c>
      <c r="AO325" s="410"/>
      <c r="AP325" s="410">
        <v>-5.28</v>
      </c>
      <c r="AQ325" s="154" t="s">
        <v>6312</v>
      </c>
      <c r="AR325" s="154" t="s">
        <v>6312</v>
      </c>
      <c r="AS325" s="149" t="s">
        <v>6</v>
      </c>
      <c r="AT325" s="58" t="s">
        <v>266</v>
      </c>
      <c r="AU325" s="56">
        <v>8</v>
      </c>
      <c r="AV325" s="56">
        <v>144</v>
      </c>
      <c r="AW325" s="56">
        <v>120</v>
      </c>
      <c r="AX325" s="56">
        <v>26</v>
      </c>
      <c r="AY325" s="56" t="s">
        <v>267</v>
      </c>
      <c r="AZ325" s="56" t="s">
        <v>268</v>
      </c>
      <c r="BA325" s="56">
        <v>14</v>
      </c>
      <c r="BB325" s="55" t="s">
        <v>888</v>
      </c>
      <c r="BC325" s="55" t="s">
        <v>270</v>
      </c>
      <c r="BD325" s="55" t="s">
        <v>8374</v>
      </c>
      <c r="BE325" s="56" t="s">
        <v>889</v>
      </c>
      <c r="BF325" s="56" t="s">
        <v>272</v>
      </c>
      <c r="BG325" s="56" t="s">
        <v>272</v>
      </c>
      <c r="BH325" s="56" t="s">
        <v>890</v>
      </c>
      <c r="BI325" s="103">
        <v>9.9999999999999995E-7</v>
      </c>
      <c r="BJ325" s="103">
        <v>0.08</v>
      </c>
      <c r="BK325" s="56"/>
      <c r="BL325" s="103">
        <f t="shared" si="110"/>
        <v>1.3228451213969966E-3</v>
      </c>
      <c r="BM325" s="56" t="s">
        <v>891</v>
      </c>
      <c r="BN325" s="162"/>
      <c r="BO325" s="162"/>
      <c r="BP325" s="162"/>
      <c r="BQ325" s="162"/>
      <c r="BR325" s="162"/>
      <c r="BS325" s="172">
        <v>9.41E-3</v>
      </c>
      <c r="BT325" s="162"/>
      <c r="BU325" s="173"/>
      <c r="BV325" s="162"/>
      <c r="BW325" s="162"/>
      <c r="BX325" s="162"/>
      <c r="BY325" s="162"/>
      <c r="BZ325" s="162"/>
      <c r="CA325" s="162"/>
      <c r="CB325" s="162"/>
      <c r="CC325" s="172"/>
      <c r="CD325" s="56"/>
      <c r="CE325" s="56"/>
      <c r="CF325" s="56"/>
      <c r="CG325" s="56"/>
      <c r="CH325" s="172"/>
      <c r="CI325" s="103">
        <f t="shared" si="116"/>
        <v>9.41E-3</v>
      </c>
      <c r="CJ325" s="103">
        <f t="shared" si="117"/>
        <v>-2.026410376572743</v>
      </c>
      <c r="CK325" s="57">
        <f t="shared" si="114"/>
        <v>1.6535564017462458E-2</v>
      </c>
      <c r="CL325" s="160">
        <f t="shared" si="103"/>
        <v>0.14057865264580199</v>
      </c>
      <c r="CM325" s="160">
        <v>-4.7871813037708</v>
      </c>
      <c r="CN325" s="160">
        <f>BJ325/(10^CM325)</f>
        <v>4900.8486511480187</v>
      </c>
      <c r="CO325" s="55" t="s">
        <v>892</v>
      </c>
      <c r="CP325" s="55" t="s">
        <v>893</v>
      </c>
      <c r="CQ325" s="149">
        <v>-4.1215484689214863</v>
      </c>
      <c r="CR325" s="349">
        <f>10^(CJ325-CQ325)</f>
        <v>124.49103922351628</v>
      </c>
      <c r="CS325" s="61" t="s">
        <v>539</v>
      </c>
      <c r="CT325" s="61"/>
      <c r="CU325" s="111">
        <f t="shared" si="112"/>
        <v>0.33949147632384935</v>
      </c>
      <c r="CV325" s="331">
        <f t="shared" si="115"/>
        <v>3.9932684902592774E-2</v>
      </c>
      <c r="CW325" s="326">
        <f t="shared" si="118"/>
        <v>0</v>
      </c>
      <c r="CX325" s="326" t="s">
        <v>539</v>
      </c>
      <c r="CY325" s="161" t="s">
        <v>5921</v>
      </c>
    </row>
    <row r="326" spans="1:103" ht="11.25" customHeight="1" x14ac:dyDescent="0.2">
      <c r="A326" s="72">
        <v>324</v>
      </c>
      <c r="B326" s="149">
        <v>317</v>
      </c>
      <c r="C326" s="54" t="s">
        <v>6645</v>
      </c>
      <c r="D326" s="54"/>
      <c r="E326" s="59"/>
      <c r="F326" s="59" t="s">
        <v>1236</v>
      </c>
      <c r="G326" s="151">
        <v>85509199</v>
      </c>
      <c r="H326" s="55" t="s">
        <v>1237</v>
      </c>
      <c r="I326" s="55" t="s">
        <v>1237</v>
      </c>
      <c r="J326" s="55" t="s">
        <v>1238</v>
      </c>
      <c r="K326" s="55" t="s">
        <v>1112</v>
      </c>
      <c r="L326" s="55" t="s">
        <v>5990</v>
      </c>
      <c r="M326" s="67" t="s">
        <v>5992</v>
      </c>
      <c r="N326" s="60"/>
      <c r="O326" s="55" t="s">
        <v>5991</v>
      </c>
      <c r="P326" s="67">
        <v>3</v>
      </c>
      <c r="Q326" s="67" t="s">
        <v>6173</v>
      </c>
      <c r="R326" s="67">
        <v>1</v>
      </c>
      <c r="S326" s="67" t="s">
        <v>6173</v>
      </c>
      <c r="T326" s="56">
        <v>315.39</v>
      </c>
      <c r="U326" s="103">
        <v>0.17121658898506611</v>
      </c>
      <c r="V326" s="103">
        <v>2.1884016614350486E-2</v>
      </c>
      <c r="W326" s="103">
        <v>4.5708818961487457E-2</v>
      </c>
      <c r="X326" s="103">
        <v>0.17121658898506611</v>
      </c>
      <c r="Y326" s="162">
        <v>7.02</v>
      </c>
      <c r="Z326" s="56">
        <v>4.8899999999999997</v>
      </c>
      <c r="AA326" s="56">
        <v>3.7</v>
      </c>
      <c r="AB326" s="56">
        <v>4.1399999999999997</v>
      </c>
      <c r="AC326" s="56">
        <v>0.87539999999999996</v>
      </c>
      <c r="AD326" s="56">
        <v>4.09</v>
      </c>
      <c r="AE326" s="56">
        <v>3.84</v>
      </c>
      <c r="AF326" s="56">
        <f t="shared" si="113"/>
        <v>3.7</v>
      </c>
      <c r="AG326" s="57">
        <v>4.09</v>
      </c>
      <c r="AH326" s="103">
        <v>5.06E-7</v>
      </c>
      <c r="AI326" s="103"/>
      <c r="AJ326" s="62">
        <f t="shared" ref="AJ326:AJ332" si="120">LOG10(AH326*1000/(0.08206*298.15))</f>
        <v>-4.6844158094728527</v>
      </c>
      <c r="AK326" s="62"/>
      <c r="AL326" s="62">
        <f t="shared" si="119"/>
        <v>-4.6844158094728527</v>
      </c>
      <c r="AM326" s="62">
        <v>-10.404159999999997</v>
      </c>
      <c r="AN326" s="154">
        <v>-6.16</v>
      </c>
      <c r="AO326" s="410"/>
      <c r="AP326" s="410">
        <v>2.91</v>
      </c>
      <c r="AQ326" s="154" t="s">
        <v>6311</v>
      </c>
      <c r="AR326" s="154" t="s">
        <v>6311</v>
      </c>
      <c r="AS326" s="149" t="s">
        <v>6</v>
      </c>
      <c r="AT326" s="58" t="s">
        <v>266</v>
      </c>
      <c r="AU326" s="56">
        <v>8</v>
      </c>
      <c r="AV326" s="56">
        <v>144</v>
      </c>
      <c r="AW326" s="56">
        <v>120</v>
      </c>
      <c r="AX326" s="56">
        <v>26</v>
      </c>
      <c r="AY326" s="56" t="s">
        <v>267</v>
      </c>
      <c r="AZ326" s="56" t="s">
        <v>268</v>
      </c>
      <c r="BA326" s="56">
        <v>2</v>
      </c>
      <c r="BB326" s="55" t="s">
        <v>888</v>
      </c>
      <c r="BC326" s="55" t="s">
        <v>270</v>
      </c>
      <c r="BD326" s="55" t="s">
        <v>8374</v>
      </c>
      <c r="BE326" s="56" t="s">
        <v>889</v>
      </c>
      <c r="BF326" s="56" t="s">
        <v>272</v>
      </c>
      <c r="BG326" s="56" t="s">
        <v>272</v>
      </c>
      <c r="BH326" s="56" t="s">
        <v>890</v>
      </c>
      <c r="BI326" s="103">
        <v>9.9999999999999995E-7</v>
      </c>
      <c r="BJ326" s="103">
        <v>0.08</v>
      </c>
      <c r="BK326" s="56"/>
      <c r="BL326" s="103">
        <f t="shared" si="110"/>
        <v>2.0849277031649762E-3</v>
      </c>
      <c r="BM326" s="56" t="s">
        <v>891</v>
      </c>
      <c r="BN326" s="162"/>
      <c r="BO326" s="162"/>
      <c r="BP326" s="162"/>
      <c r="BQ326" s="162"/>
      <c r="BR326" s="162"/>
      <c r="BS326" s="56">
        <v>2.664E-2</v>
      </c>
      <c r="BT326" s="162"/>
      <c r="BU326" s="158"/>
      <c r="BV326" s="162"/>
      <c r="BW326" s="162"/>
      <c r="BX326" s="162"/>
      <c r="BY326" s="162"/>
      <c r="BZ326" s="162"/>
      <c r="CA326" s="162"/>
      <c r="CB326" s="162"/>
      <c r="CC326" s="56"/>
      <c r="CD326" s="56"/>
      <c r="CE326" s="56"/>
      <c r="CF326" s="56"/>
      <c r="CG326" s="56"/>
      <c r="CH326" s="56"/>
      <c r="CI326" s="103">
        <f t="shared" si="116"/>
        <v>2.664E-2</v>
      </c>
      <c r="CJ326" s="103">
        <f t="shared" si="117"/>
        <v>-1.5744657795017365</v>
      </c>
      <c r="CK326" s="57">
        <f t="shared" si="114"/>
        <v>2.6061596289562203E-2</v>
      </c>
      <c r="CL326" s="160">
        <f t="shared" si="103"/>
        <v>7.8263051920607216E-2</v>
      </c>
      <c r="CM326" s="160"/>
      <c r="CN326" s="160"/>
      <c r="CO326" s="55" t="s">
        <v>892</v>
      </c>
      <c r="CP326" s="55" t="s">
        <v>893</v>
      </c>
      <c r="CQ326" s="149" t="s">
        <v>272</v>
      </c>
      <c r="CR326" s="349"/>
      <c r="CS326" s="61" t="s">
        <v>539</v>
      </c>
      <c r="CT326" s="61"/>
      <c r="CU326" s="111">
        <f t="shared" si="112"/>
        <v>6.4270491360760555</v>
      </c>
      <c r="CV326" s="331">
        <f t="shared" si="115"/>
        <v>2.1402073623133262</v>
      </c>
      <c r="CW326" s="326">
        <f t="shared" si="118"/>
        <v>1</v>
      </c>
      <c r="CX326" s="326" t="s">
        <v>539</v>
      </c>
      <c r="CY326" s="161" t="s">
        <v>5921</v>
      </c>
    </row>
    <row r="327" spans="1:103" ht="11.25" customHeight="1" x14ac:dyDescent="0.2">
      <c r="A327" s="72">
        <v>325</v>
      </c>
      <c r="B327" s="149">
        <v>200</v>
      </c>
      <c r="C327" s="54" t="s">
        <v>972</v>
      </c>
      <c r="D327" s="54" t="s">
        <v>6646</v>
      </c>
      <c r="E327" s="59"/>
      <c r="F327" s="59" t="s">
        <v>973</v>
      </c>
      <c r="G327" s="151">
        <v>149877418</v>
      </c>
      <c r="H327" s="55" t="s">
        <v>974</v>
      </c>
      <c r="I327" s="55" t="s">
        <v>974</v>
      </c>
      <c r="J327" s="55" t="s">
        <v>975</v>
      </c>
      <c r="K327" s="55" t="s">
        <v>976</v>
      </c>
      <c r="L327" s="55" t="s">
        <v>5951</v>
      </c>
      <c r="M327" s="55" t="s">
        <v>5950</v>
      </c>
      <c r="N327" s="60" t="s">
        <v>6376</v>
      </c>
      <c r="O327" s="55" t="s">
        <v>5949</v>
      </c>
      <c r="P327" s="67">
        <v>3</v>
      </c>
      <c r="Q327" s="67" t="s">
        <v>6173</v>
      </c>
      <c r="R327" s="67">
        <v>1</v>
      </c>
      <c r="S327" s="67" t="s">
        <v>6173</v>
      </c>
      <c r="T327" s="56">
        <v>300.35000000000002</v>
      </c>
      <c r="U327" s="103">
        <v>1.2518728150491092E-2</v>
      </c>
      <c r="V327" s="103">
        <v>1.1806226069585483E-2</v>
      </c>
      <c r="W327" s="103">
        <v>0.16982436524617422</v>
      </c>
      <c r="X327" s="103">
        <v>1.2518728150491092E-2</v>
      </c>
      <c r="Y327" s="162">
        <v>6.79</v>
      </c>
      <c r="Z327" s="56">
        <v>4.1399999999999997</v>
      </c>
      <c r="AA327" s="56"/>
      <c r="AB327" s="56">
        <v>3.72</v>
      </c>
      <c r="AC327" s="56">
        <v>0.85740000000000005</v>
      </c>
      <c r="AD327" s="56">
        <v>3.57</v>
      </c>
      <c r="AE327" s="56">
        <v>3.12</v>
      </c>
      <c r="AF327" s="56">
        <f t="shared" si="113"/>
        <v>3.57</v>
      </c>
      <c r="AG327" s="57">
        <v>3.87</v>
      </c>
      <c r="AH327" s="103">
        <v>7.3000000000000002E-13</v>
      </c>
      <c r="AI327" s="103"/>
      <c r="AJ327" s="62">
        <f t="shared" si="120"/>
        <v>-10.525243466192196</v>
      </c>
      <c r="AK327" s="62"/>
      <c r="AL327" s="62">
        <f t="shared" si="119"/>
        <v>-10.525243466192196</v>
      </c>
      <c r="AM327" s="62">
        <v>-16.03735</v>
      </c>
      <c r="AN327" s="154">
        <v>-6.27</v>
      </c>
      <c r="AO327" s="410">
        <v>9.84</v>
      </c>
      <c r="AP327" s="410">
        <v>3.26</v>
      </c>
      <c r="AQ327" s="154" t="s">
        <v>6311</v>
      </c>
      <c r="AR327" s="154" t="s">
        <v>6311</v>
      </c>
      <c r="AS327" s="149" t="s">
        <v>6</v>
      </c>
      <c r="AT327" s="58" t="s">
        <v>266</v>
      </c>
      <c r="AU327" s="56">
        <v>8</v>
      </c>
      <c r="AV327" s="56">
        <v>144</v>
      </c>
      <c r="AW327" s="56">
        <v>120</v>
      </c>
      <c r="AX327" s="56">
        <v>26</v>
      </c>
      <c r="AY327" s="56" t="s">
        <v>267</v>
      </c>
      <c r="AZ327" s="56" t="s">
        <v>268</v>
      </c>
      <c r="BA327" s="56">
        <v>3</v>
      </c>
      <c r="BB327" s="55" t="s">
        <v>888</v>
      </c>
      <c r="BC327" s="55" t="s">
        <v>270</v>
      </c>
      <c r="BD327" s="55" t="s">
        <v>8374</v>
      </c>
      <c r="BE327" s="56" t="s">
        <v>889</v>
      </c>
      <c r="BF327" s="56" t="s">
        <v>272</v>
      </c>
      <c r="BG327" s="56" t="s">
        <v>272</v>
      </c>
      <c r="BH327" s="56" t="s">
        <v>890</v>
      </c>
      <c r="BI327" s="103">
        <v>9.9999999999999995E-7</v>
      </c>
      <c r="BJ327" s="103">
        <v>0.08</v>
      </c>
      <c r="BK327" s="56"/>
      <c r="BL327" s="103">
        <f t="shared" si="110"/>
        <v>9.8325462974008116E-3</v>
      </c>
      <c r="BM327" s="56" t="s">
        <v>891</v>
      </c>
      <c r="BN327" s="162"/>
      <c r="BO327" s="162"/>
      <c r="BP327" s="162"/>
      <c r="BQ327" s="162"/>
      <c r="BR327" s="162"/>
      <c r="BS327" s="172">
        <v>9.1599999999999997E-3</v>
      </c>
      <c r="BT327" s="162"/>
      <c r="BU327" s="173"/>
      <c r="BV327" s="162"/>
      <c r="BW327" s="162"/>
      <c r="BX327" s="162"/>
      <c r="BY327" s="162"/>
      <c r="BZ327" s="162"/>
      <c r="CA327" s="162"/>
      <c r="CB327" s="162"/>
      <c r="CC327" s="172"/>
      <c r="CD327" s="56"/>
      <c r="CE327" s="56"/>
      <c r="CF327" s="56"/>
      <c r="CG327" s="56"/>
      <c r="CH327" s="172"/>
      <c r="CI327" s="103">
        <f t="shared" si="116"/>
        <v>9.1599999999999997E-3</v>
      </c>
      <c r="CJ327" s="103">
        <f t="shared" si="117"/>
        <v>-2.0381045263321496</v>
      </c>
      <c r="CK327" s="57">
        <f t="shared" si="114"/>
        <v>0.12290682871751014</v>
      </c>
      <c r="CL327" s="160">
        <f t="shared" si="103"/>
        <v>1.0734220848690843</v>
      </c>
      <c r="CM327" s="160">
        <v>-2.7141996427204367</v>
      </c>
      <c r="CN327" s="160">
        <f>BJ327/(10^CM327)</f>
        <v>41.427586206896564</v>
      </c>
      <c r="CO327" s="55" t="s">
        <v>892</v>
      </c>
      <c r="CP327" s="55" t="s">
        <v>893</v>
      </c>
      <c r="CQ327" s="149">
        <v>-2.6555068433615099</v>
      </c>
      <c r="CR327" s="349">
        <f>10^(CJ327-CQ327)</f>
        <v>4.1438336905882345</v>
      </c>
      <c r="CS327" s="61" t="s">
        <v>539</v>
      </c>
      <c r="CT327" s="61"/>
      <c r="CU327" s="111">
        <f t="shared" si="112"/>
        <v>1.3666733788745733</v>
      </c>
      <c r="CV327" s="331">
        <f t="shared" si="115"/>
        <v>0.15648410188113865</v>
      </c>
      <c r="CW327" s="326">
        <f t="shared" si="118"/>
        <v>0</v>
      </c>
      <c r="CX327" s="326" t="s">
        <v>539</v>
      </c>
      <c r="CY327" s="161" t="s">
        <v>5921</v>
      </c>
    </row>
    <row r="328" spans="1:103" ht="11.25" customHeight="1" x14ac:dyDescent="0.2">
      <c r="A328" s="72">
        <v>326</v>
      </c>
      <c r="B328" s="149">
        <v>311</v>
      </c>
      <c r="C328" s="54" t="s">
        <v>6647</v>
      </c>
      <c r="D328" s="54"/>
      <c r="E328" s="59"/>
      <c r="F328" s="59" t="s">
        <v>1218</v>
      </c>
      <c r="G328" s="151">
        <v>87546187</v>
      </c>
      <c r="H328" s="55" t="s">
        <v>1219</v>
      </c>
      <c r="I328" s="55" t="s">
        <v>8153</v>
      </c>
      <c r="J328" s="55" t="s">
        <v>1220</v>
      </c>
      <c r="K328" s="55" t="s">
        <v>1221</v>
      </c>
      <c r="L328" s="55" t="s">
        <v>5988</v>
      </c>
      <c r="M328" s="55" t="s">
        <v>6082</v>
      </c>
      <c r="N328" s="60"/>
      <c r="O328" s="55" t="s">
        <v>6083</v>
      </c>
      <c r="P328" s="67">
        <v>3</v>
      </c>
      <c r="Q328" s="67" t="s">
        <v>6173</v>
      </c>
      <c r="R328" s="67">
        <v>1</v>
      </c>
      <c r="S328" s="67" t="s">
        <v>6173</v>
      </c>
      <c r="T328" s="56">
        <v>423.86</v>
      </c>
      <c r="U328" s="103">
        <v>4.4590194875666493E-4</v>
      </c>
      <c r="V328" s="103">
        <v>2.8098900580380312E-4</v>
      </c>
      <c r="W328" s="103">
        <v>2.187761623949548E-4</v>
      </c>
      <c r="X328" s="103">
        <v>4.4590194875666493E-4</v>
      </c>
      <c r="Y328" s="162">
        <v>7</v>
      </c>
      <c r="Z328" s="56">
        <v>4.95</v>
      </c>
      <c r="AA328" s="56">
        <v>4.99</v>
      </c>
      <c r="AB328" s="56">
        <v>5.05</v>
      </c>
      <c r="AC328" s="56">
        <v>0.73470000000000002</v>
      </c>
      <c r="AD328" s="56">
        <v>4.87</v>
      </c>
      <c r="AE328" s="56">
        <v>4.2699999999999996</v>
      </c>
      <c r="AF328" s="56">
        <f t="shared" si="113"/>
        <v>4.99</v>
      </c>
      <c r="AG328" s="57">
        <v>3.98</v>
      </c>
      <c r="AH328" s="103">
        <v>1.6699999999999999E-10</v>
      </c>
      <c r="AI328" s="103"/>
      <c r="AJ328" s="62">
        <f t="shared" si="120"/>
        <v>-8.1658498551650691</v>
      </c>
      <c r="AK328" s="62"/>
      <c r="AL328" s="62">
        <f t="shared" si="119"/>
        <v>-8.1658498551650691</v>
      </c>
      <c r="AM328" s="62">
        <v>-15.96363</v>
      </c>
      <c r="AN328" s="154">
        <v>-8.93</v>
      </c>
      <c r="AO328" s="410"/>
      <c r="AP328" s="410">
        <v>-2.3199999999999998</v>
      </c>
      <c r="AQ328" s="154" t="s">
        <v>6311</v>
      </c>
      <c r="AR328" s="154" t="s">
        <v>6314</v>
      </c>
      <c r="AS328" s="149" t="s">
        <v>6</v>
      </c>
      <c r="AT328" s="58" t="s">
        <v>266</v>
      </c>
      <c r="AU328" s="56">
        <v>8</v>
      </c>
      <c r="AV328" s="56">
        <v>144</v>
      </c>
      <c r="AW328" s="56">
        <v>120</v>
      </c>
      <c r="AX328" s="56">
        <v>26</v>
      </c>
      <c r="AY328" s="56" t="s">
        <v>267</v>
      </c>
      <c r="AZ328" s="56" t="s">
        <v>268</v>
      </c>
      <c r="BA328" s="56">
        <v>3</v>
      </c>
      <c r="BB328" s="55" t="s">
        <v>888</v>
      </c>
      <c r="BC328" s="55" t="s">
        <v>270</v>
      </c>
      <c r="BD328" s="55" t="s">
        <v>8374</v>
      </c>
      <c r="BE328" s="56" t="s">
        <v>889</v>
      </c>
      <c r="BF328" s="56" t="s">
        <v>272</v>
      </c>
      <c r="BG328" s="56" t="s">
        <v>272</v>
      </c>
      <c r="BH328" s="56" t="s">
        <v>890</v>
      </c>
      <c r="BI328" s="103">
        <v>9.9999999999999995E-7</v>
      </c>
      <c r="BJ328" s="103">
        <v>0.08</v>
      </c>
      <c r="BK328" s="56"/>
      <c r="BL328" s="103">
        <f t="shared" si="110"/>
        <v>1.8416411060794048E-3</v>
      </c>
      <c r="BM328" s="56" t="s">
        <v>891</v>
      </c>
      <c r="BN328" s="162"/>
      <c r="BO328" s="162"/>
      <c r="BP328" s="162"/>
      <c r="BQ328" s="162"/>
      <c r="BR328" s="162"/>
      <c r="BS328" s="172">
        <v>3.0600000000000002E-3</v>
      </c>
      <c r="BT328" s="162"/>
      <c r="BU328" s="173"/>
      <c r="BV328" s="162"/>
      <c r="BW328" s="162"/>
      <c r="BX328" s="162"/>
      <c r="BY328" s="162"/>
      <c r="BZ328" s="162"/>
      <c r="CA328" s="162"/>
      <c r="CB328" s="162"/>
      <c r="CC328" s="172"/>
      <c r="CD328" s="56"/>
      <c r="CE328" s="56"/>
      <c r="CF328" s="56"/>
      <c r="CG328" s="56"/>
      <c r="CH328" s="172"/>
      <c r="CI328" s="103">
        <f t="shared" si="116"/>
        <v>3.0600000000000002E-3</v>
      </c>
      <c r="CJ328" s="103">
        <f t="shared" si="117"/>
        <v>-2.5142785735184199</v>
      </c>
      <c r="CK328" s="57">
        <f t="shared" si="114"/>
        <v>2.3020513825992558E-2</v>
      </c>
      <c r="CL328" s="160">
        <f t="shared" si="103"/>
        <v>0.60184349871875964</v>
      </c>
      <c r="CM328" s="160"/>
      <c r="CN328" s="160"/>
      <c r="CO328" s="55" t="s">
        <v>892</v>
      </c>
      <c r="CP328" s="55" t="s">
        <v>893</v>
      </c>
      <c r="CQ328" s="149" t="s">
        <v>272</v>
      </c>
      <c r="CR328" s="349"/>
      <c r="CS328" s="61" t="s">
        <v>539</v>
      </c>
      <c r="CT328" s="61"/>
      <c r="CU328" s="111">
        <f t="shared" si="112"/>
        <v>0.14571959109694932</v>
      </c>
      <c r="CV328" s="331">
        <f t="shared" si="115"/>
        <v>5.5737743594583113E-3</v>
      </c>
      <c r="CW328" s="326">
        <f t="shared" si="118"/>
        <v>0</v>
      </c>
      <c r="CX328" s="326" t="s">
        <v>539</v>
      </c>
      <c r="CY328" s="161" t="s">
        <v>5921</v>
      </c>
    </row>
    <row r="329" spans="1:103" ht="11.25" customHeight="1" x14ac:dyDescent="0.2">
      <c r="A329" s="72">
        <v>327</v>
      </c>
      <c r="B329" s="149">
        <v>1132</v>
      </c>
      <c r="C329" s="54" t="s">
        <v>1150</v>
      </c>
      <c r="D329" s="54" t="s">
        <v>6648</v>
      </c>
      <c r="E329" s="59"/>
      <c r="F329" s="59" t="s">
        <v>1151</v>
      </c>
      <c r="G329" s="151">
        <v>161326347</v>
      </c>
      <c r="H329" s="55" t="s">
        <v>1152</v>
      </c>
      <c r="I329" s="55" t="s">
        <v>8330</v>
      </c>
      <c r="J329" s="55" t="s">
        <v>1153</v>
      </c>
      <c r="K329" s="55" t="s">
        <v>483</v>
      </c>
      <c r="L329" s="55" t="s">
        <v>5977</v>
      </c>
      <c r="M329" s="55" t="s">
        <v>6082</v>
      </c>
      <c r="N329" s="60" t="s">
        <v>6082</v>
      </c>
      <c r="O329" s="55" t="s">
        <v>6083</v>
      </c>
      <c r="P329" s="67">
        <v>3</v>
      </c>
      <c r="Q329" s="67" t="s">
        <v>6173</v>
      </c>
      <c r="R329" s="67">
        <v>1</v>
      </c>
      <c r="S329" s="67" t="s">
        <v>6173</v>
      </c>
      <c r="T329" s="56">
        <v>311.39999999999998</v>
      </c>
      <c r="U329" s="103"/>
      <c r="V329" s="103">
        <v>3.8375080282594731E-2</v>
      </c>
      <c r="W329" s="103">
        <v>4.3651583224016556E-2</v>
      </c>
      <c r="X329" s="103">
        <f>IF(W329=0,V329,W329)</f>
        <v>4.3651583224016556E-2</v>
      </c>
      <c r="Y329" s="162">
        <v>7</v>
      </c>
      <c r="Z329" s="56">
        <v>3.45</v>
      </c>
      <c r="AA329" s="56"/>
      <c r="AB329" s="56">
        <v>2.71</v>
      </c>
      <c r="AC329" s="56">
        <v>0.69220000000000004</v>
      </c>
      <c r="AD329" s="56">
        <v>3.02</v>
      </c>
      <c r="AE329" s="56">
        <v>3.61</v>
      </c>
      <c r="AF329" s="56">
        <f t="shared" si="113"/>
        <v>3.02</v>
      </c>
      <c r="AG329" s="57">
        <v>3.31</v>
      </c>
      <c r="AH329" s="103">
        <v>2.8199999999999999E-14</v>
      </c>
      <c r="AI329" s="103"/>
      <c r="AJ329" s="62">
        <f t="shared" si="120"/>
        <v>-11.938317217993291</v>
      </c>
      <c r="AK329" s="62"/>
      <c r="AL329" s="62">
        <f t="shared" si="119"/>
        <v>-11.938317217993291</v>
      </c>
      <c r="AM329" s="62">
        <v>-17.162509999999997</v>
      </c>
      <c r="AN329" s="154">
        <v>-9.2799999999999994</v>
      </c>
      <c r="AO329" s="410"/>
      <c r="AP329" s="410">
        <v>0.49</v>
      </c>
      <c r="AQ329" s="56" t="s">
        <v>6311</v>
      </c>
      <c r="AR329" s="56" t="s">
        <v>6311</v>
      </c>
      <c r="AS329" s="155"/>
      <c r="AT329" s="58" t="s">
        <v>266</v>
      </c>
      <c r="AU329" s="56">
        <v>6</v>
      </c>
      <c r="AV329" s="56">
        <v>120</v>
      </c>
      <c r="AW329" s="56">
        <v>114</v>
      </c>
      <c r="AX329" s="56">
        <v>28</v>
      </c>
      <c r="AY329" s="56" t="s">
        <v>8728</v>
      </c>
      <c r="AZ329" s="56" t="s">
        <v>1563</v>
      </c>
      <c r="BA329" s="56">
        <v>32</v>
      </c>
      <c r="BB329" s="55" t="s">
        <v>2485</v>
      </c>
      <c r="BC329" s="55" t="s">
        <v>8726</v>
      </c>
      <c r="BD329" s="55" t="s">
        <v>8374</v>
      </c>
      <c r="BE329" s="56" t="s">
        <v>2449</v>
      </c>
      <c r="BF329" s="56" t="s">
        <v>272</v>
      </c>
      <c r="BG329" s="56" t="s">
        <v>272</v>
      </c>
      <c r="BH329" s="56" t="s">
        <v>2486</v>
      </c>
      <c r="BI329" s="103">
        <v>6.3999999999999997E-6</v>
      </c>
      <c r="BJ329" s="103">
        <v>6.4000000000000001E-2</v>
      </c>
      <c r="BK329" s="56"/>
      <c r="BL329" s="103">
        <f t="shared" si="110"/>
        <v>4.0959533340592637E-2</v>
      </c>
      <c r="BM329" s="56" t="s">
        <v>2046</v>
      </c>
      <c r="BN329" s="56">
        <v>20.238577029999998</v>
      </c>
      <c r="BO329" s="56"/>
      <c r="BP329" s="56"/>
      <c r="BQ329" s="56"/>
      <c r="BR329" s="55">
        <v>9.0299999999999998E-3</v>
      </c>
      <c r="BS329" s="56"/>
      <c r="BT329" s="56"/>
      <c r="BU329" s="158"/>
      <c r="BV329" s="56"/>
      <c r="BW329" s="56"/>
      <c r="BX329" s="56"/>
      <c r="BY329" s="56"/>
      <c r="BZ329" s="56"/>
      <c r="CA329" s="56"/>
      <c r="CB329" s="56"/>
      <c r="CC329" s="56"/>
      <c r="CD329" s="56"/>
      <c r="CE329" s="56"/>
      <c r="CF329" s="56"/>
      <c r="CG329" s="56"/>
      <c r="CH329" s="56"/>
      <c r="CI329" s="103">
        <f t="shared" si="116"/>
        <v>9.0299999999999998E-3</v>
      </c>
      <c r="CJ329" s="103">
        <f t="shared" si="117"/>
        <v>-2.0443122496864943</v>
      </c>
      <c r="CK329" s="57">
        <f t="shared" si="114"/>
        <v>0.63999270844675993</v>
      </c>
      <c r="CL329" s="160">
        <f t="shared" si="103"/>
        <v>4.53593946185965</v>
      </c>
      <c r="CM329" s="160">
        <v>-2.6240868885011253</v>
      </c>
      <c r="CN329" s="160">
        <f>BJ329/(10^CM329)</f>
        <v>26.931891891891915</v>
      </c>
      <c r="CO329" s="55" t="s">
        <v>2488</v>
      </c>
      <c r="CP329" s="55" t="s">
        <v>2489</v>
      </c>
      <c r="CQ329" s="149">
        <v>-2.6240868885011253</v>
      </c>
      <c r="CR329" s="349">
        <f>10^(CJ329-CQ329)</f>
        <v>3.7999216216216216</v>
      </c>
      <c r="CS329" s="61" t="s">
        <v>539</v>
      </c>
      <c r="CT329" s="61"/>
      <c r="CU329" s="111">
        <f t="shared" si="112"/>
        <v>4.8340623725378249</v>
      </c>
      <c r="CV329" s="331">
        <f t="shared" si="115"/>
        <v>0.68205598787525867</v>
      </c>
      <c r="CW329" s="326">
        <f t="shared" si="118"/>
        <v>1</v>
      </c>
      <c r="CX329" s="326"/>
      <c r="CY329" s="161" t="s">
        <v>5921</v>
      </c>
    </row>
    <row r="330" spans="1:103" ht="11.25" customHeight="1" x14ac:dyDescent="0.2">
      <c r="A330" s="72">
        <v>328</v>
      </c>
      <c r="B330" s="149">
        <v>360</v>
      </c>
      <c r="C330" s="54" t="s">
        <v>1298</v>
      </c>
      <c r="D330" s="54" t="s">
        <v>6649</v>
      </c>
      <c r="E330" s="59"/>
      <c r="F330" s="59" t="s">
        <v>1299</v>
      </c>
      <c r="G330" s="151">
        <v>72435</v>
      </c>
      <c r="H330" s="55" t="s">
        <v>1300</v>
      </c>
      <c r="I330" s="55" t="s">
        <v>7923</v>
      </c>
      <c r="J330" s="55" t="s">
        <v>1301</v>
      </c>
      <c r="K330" s="55" t="s">
        <v>426</v>
      </c>
      <c r="L330" s="55" t="s">
        <v>617</v>
      </c>
      <c r="M330" s="55" t="s">
        <v>1086</v>
      </c>
      <c r="N330" s="60" t="s">
        <v>6376</v>
      </c>
      <c r="O330" s="55" t="s">
        <v>918</v>
      </c>
      <c r="P330" s="67" t="s">
        <v>6631</v>
      </c>
      <c r="Q330" s="67" t="s">
        <v>6173</v>
      </c>
      <c r="R330" s="67" t="s">
        <v>6082</v>
      </c>
      <c r="S330" s="67" t="s">
        <v>6173</v>
      </c>
      <c r="T330" s="56">
        <v>345.65</v>
      </c>
      <c r="U330" s="103">
        <v>2.8930999566035008E-4</v>
      </c>
      <c r="V330" s="103">
        <v>8.737161868942572E-4</v>
      </c>
      <c r="W330" s="103">
        <v>1.7782794100389215E-2</v>
      </c>
      <c r="X330" s="103">
        <v>2.8930999566035008E-4</v>
      </c>
      <c r="Y330" s="162">
        <v>7</v>
      </c>
      <c r="Z330" s="56">
        <v>5.67</v>
      </c>
      <c r="AA330" s="56">
        <v>5.08</v>
      </c>
      <c r="AB330" s="56">
        <v>5.83</v>
      </c>
      <c r="AC330" s="56">
        <v>0.84089999999999998</v>
      </c>
      <c r="AD330" s="56">
        <v>5.51</v>
      </c>
      <c r="AE330" s="56">
        <v>4.5599999999999996</v>
      </c>
      <c r="AF330" s="56">
        <f t="shared" si="113"/>
        <v>5.08</v>
      </c>
      <c r="AG330" s="57">
        <v>5.14</v>
      </c>
      <c r="AH330" s="103">
        <v>9.7500000000000006E-8</v>
      </c>
      <c r="AI330" s="103">
        <v>2.03E-7</v>
      </c>
      <c r="AJ330" s="62">
        <f t="shared" si="120"/>
        <v>-5.3995617106141154</v>
      </c>
      <c r="AK330" s="62">
        <f>LOG10(AI330*1000/(0.08206*298.15))</f>
        <v>-5.081070288399439</v>
      </c>
      <c r="AL330" s="62">
        <f t="shared" si="119"/>
        <v>-5.081070288399439</v>
      </c>
      <c r="AM330" s="62">
        <v>-9.6148900000000008</v>
      </c>
      <c r="AN330" s="154">
        <v>-6.6</v>
      </c>
      <c r="AO330" s="410"/>
      <c r="AP330" s="410"/>
      <c r="AQ330" s="154" t="s">
        <v>6311</v>
      </c>
      <c r="AR330" s="154" t="s">
        <v>6311</v>
      </c>
      <c r="AS330" s="149" t="s">
        <v>6</v>
      </c>
      <c r="AT330" s="58" t="s">
        <v>266</v>
      </c>
      <c r="AU330" s="56">
        <v>8</v>
      </c>
      <c r="AV330" s="56">
        <v>144</v>
      </c>
      <c r="AW330" s="56">
        <v>120</v>
      </c>
      <c r="AX330" s="56">
        <v>26</v>
      </c>
      <c r="AY330" s="56" t="s">
        <v>267</v>
      </c>
      <c r="AZ330" s="56" t="s">
        <v>268</v>
      </c>
      <c r="BA330" s="56">
        <v>2</v>
      </c>
      <c r="BB330" s="55" t="s">
        <v>888</v>
      </c>
      <c r="BC330" s="55" t="s">
        <v>270</v>
      </c>
      <c r="BD330" s="55" t="s">
        <v>8374</v>
      </c>
      <c r="BE330" s="56" t="s">
        <v>889</v>
      </c>
      <c r="BF330" s="56" t="s">
        <v>272</v>
      </c>
      <c r="BG330" s="56" t="s">
        <v>272</v>
      </c>
      <c r="BH330" s="56" t="s">
        <v>890</v>
      </c>
      <c r="BI330" s="103">
        <v>9.9999999999999995E-7</v>
      </c>
      <c r="BJ330" s="103">
        <v>0.08</v>
      </c>
      <c r="BK330" s="56"/>
      <c r="BL330" s="103">
        <f t="shared" si="110"/>
        <v>4.1550188654928839E-4</v>
      </c>
      <c r="BM330" s="56" t="s">
        <v>891</v>
      </c>
      <c r="BN330" s="162"/>
      <c r="BO330" s="162"/>
      <c r="BP330" s="162"/>
      <c r="BQ330" s="162"/>
      <c r="BR330" s="162"/>
      <c r="BS330" s="56">
        <v>8.8800000000000007E-3</v>
      </c>
      <c r="BT330" s="162"/>
      <c r="BU330" s="158"/>
      <c r="BV330" s="162"/>
      <c r="BW330" s="162"/>
      <c r="BX330" s="162"/>
      <c r="BY330" s="162"/>
      <c r="BZ330" s="162"/>
      <c r="CA330" s="162"/>
      <c r="CB330" s="162"/>
      <c r="CC330" s="56"/>
      <c r="CD330" s="56"/>
      <c r="CE330" s="56"/>
      <c r="CF330" s="56"/>
      <c r="CG330" s="56"/>
      <c r="CH330" s="56"/>
      <c r="CI330" s="103">
        <f t="shared" si="116"/>
        <v>8.8800000000000007E-3</v>
      </c>
      <c r="CJ330" s="103">
        <f t="shared" si="117"/>
        <v>-2.0515870342213991</v>
      </c>
      <c r="CK330" s="57">
        <f t="shared" si="114"/>
        <v>5.1937735818661044E-3</v>
      </c>
      <c r="CL330" s="160">
        <f t="shared" si="103"/>
        <v>4.6790752989784724E-2</v>
      </c>
      <c r="CM330" s="160"/>
      <c r="CN330" s="160"/>
      <c r="CO330" s="55" t="s">
        <v>892</v>
      </c>
      <c r="CP330" s="55" t="s">
        <v>893</v>
      </c>
      <c r="CQ330" s="149">
        <v>-4.058441922882789</v>
      </c>
      <c r="CR330" s="349">
        <f>10^(CJ330-CQ330)</f>
        <v>101.59091891928027</v>
      </c>
      <c r="CS330" s="61" t="s">
        <v>539</v>
      </c>
      <c r="CT330" s="61"/>
      <c r="CU330" s="111">
        <f t="shared" si="112"/>
        <v>3.257995446625564E-2</v>
      </c>
      <c r="CV330" s="331">
        <f t="shared" si="115"/>
        <v>3.6163749457543762E-3</v>
      </c>
      <c r="CW330" s="326">
        <f t="shared" si="118"/>
        <v>0</v>
      </c>
      <c r="CX330" s="326" t="s">
        <v>539</v>
      </c>
      <c r="CY330" s="161" t="s">
        <v>5921</v>
      </c>
    </row>
    <row r="331" spans="1:103" ht="11.25" customHeight="1" x14ac:dyDescent="0.2">
      <c r="A331" s="72">
        <v>329</v>
      </c>
      <c r="B331" s="149">
        <v>800</v>
      </c>
      <c r="C331" s="54" t="s">
        <v>2249</v>
      </c>
      <c r="D331" s="54" t="s">
        <v>6650</v>
      </c>
      <c r="E331" s="59"/>
      <c r="F331" s="59" t="s">
        <v>2250</v>
      </c>
      <c r="G331" s="151">
        <v>556616</v>
      </c>
      <c r="H331" s="55" t="s">
        <v>2251</v>
      </c>
      <c r="I331" s="55" t="s">
        <v>2251</v>
      </c>
      <c r="J331" s="55" t="s">
        <v>2252</v>
      </c>
      <c r="K331" s="55" t="s">
        <v>1468</v>
      </c>
      <c r="L331" s="55" t="s">
        <v>6022</v>
      </c>
      <c r="M331" s="55" t="s">
        <v>6023</v>
      </c>
      <c r="N331" s="60" t="s">
        <v>6382</v>
      </c>
      <c r="O331" s="64" t="s">
        <v>5943</v>
      </c>
      <c r="P331" s="67">
        <v>3</v>
      </c>
      <c r="Q331" s="67" t="s">
        <v>6173</v>
      </c>
      <c r="R331" s="67">
        <v>1</v>
      </c>
      <c r="S331" s="67" t="s">
        <v>6173</v>
      </c>
      <c r="T331" s="56">
        <v>73.12</v>
      </c>
      <c r="U331" s="103">
        <v>103.93873085339168</v>
      </c>
      <c r="V331" s="103">
        <v>288.97702407002186</v>
      </c>
      <c r="W331" s="103">
        <v>53.703179637025258</v>
      </c>
      <c r="X331" s="103">
        <v>103.93873085339168</v>
      </c>
      <c r="Y331" s="162">
        <v>7</v>
      </c>
      <c r="Z331" s="56">
        <v>1.3</v>
      </c>
      <c r="AA331" s="56">
        <v>0.94</v>
      </c>
      <c r="AB331" s="56">
        <v>1.6</v>
      </c>
      <c r="AC331" s="56">
        <v>0.87309999999999999</v>
      </c>
      <c r="AD331" s="56">
        <v>1.44</v>
      </c>
      <c r="AE331" s="56">
        <v>0.94</v>
      </c>
      <c r="AF331" s="56">
        <f t="shared" si="113"/>
        <v>0.94</v>
      </c>
      <c r="AG331" s="57">
        <v>1.53</v>
      </c>
      <c r="AH331" s="103">
        <v>3.1099999999999999E-3</v>
      </c>
      <c r="AI331" s="103">
        <v>4.4799999999999998E-5</v>
      </c>
      <c r="AJ331" s="62">
        <f t="shared" si="120"/>
        <v>-0.89580593728581437</v>
      </c>
      <c r="AK331" s="62">
        <f>LOG10(AI331*1000/(0.08206*298.15))</f>
        <v>-2.737288312314508</v>
      </c>
      <c r="AL331" s="62">
        <f t="shared" si="119"/>
        <v>-2.737288312314508</v>
      </c>
      <c r="AM331" s="62">
        <v>-1.2832599999999998</v>
      </c>
      <c r="AN331" s="154">
        <v>-2.31</v>
      </c>
      <c r="AO331" s="410"/>
      <c r="AP331" s="410"/>
      <c r="AQ331" s="56" t="s">
        <v>6311</v>
      </c>
      <c r="AR331" s="56" t="s">
        <v>6311</v>
      </c>
      <c r="AS331" s="149" t="s">
        <v>6</v>
      </c>
      <c r="AT331" s="58" t="s">
        <v>266</v>
      </c>
      <c r="AU331" s="56">
        <v>8</v>
      </c>
      <c r="AV331" s="56">
        <v>144</v>
      </c>
      <c r="AW331" s="56">
        <v>120</v>
      </c>
      <c r="AX331" s="56">
        <v>26</v>
      </c>
      <c r="AY331" s="56" t="s">
        <v>267</v>
      </c>
      <c r="AZ331" s="56" t="s">
        <v>2253</v>
      </c>
      <c r="BA331" s="56">
        <v>2</v>
      </c>
      <c r="BB331" s="55" t="s">
        <v>2254</v>
      </c>
      <c r="BC331" s="55" t="s">
        <v>270</v>
      </c>
      <c r="BD331" s="55" t="s">
        <v>8374</v>
      </c>
      <c r="BE331" s="56" t="s">
        <v>1712</v>
      </c>
      <c r="BF331" s="56" t="s">
        <v>272</v>
      </c>
      <c r="BG331" s="56" t="s">
        <v>272</v>
      </c>
      <c r="BH331" s="56" t="s">
        <v>2255</v>
      </c>
      <c r="BI331" s="103">
        <v>9.9999999999999995E-7</v>
      </c>
      <c r="BJ331" s="103">
        <v>0.08</v>
      </c>
      <c r="BK331" s="56"/>
      <c r="BL331" s="103">
        <f t="shared" si="110"/>
        <v>3.4935744279256031</v>
      </c>
      <c r="BM331" s="56" t="s">
        <v>891</v>
      </c>
      <c r="BN331" s="56"/>
      <c r="BO331" s="56"/>
      <c r="BP331" s="56"/>
      <c r="BQ331" s="56"/>
      <c r="BR331" s="56"/>
      <c r="BS331" s="56">
        <v>8.8800000000000007E-3</v>
      </c>
      <c r="BT331" s="56"/>
      <c r="BU331" s="158"/>
      <c r="BV331" s="56"/>
      <c r="BW331" s="56"/>
      <c r="BX331" s="56"/>
      <c r="BY331" s="56"/>
      <c r="BZ331" s="56"/>
      <c r="CA331" s="56"/>
      <c r="CB331" s="56"/>
      <c r="CC331" s="56"/>
      <c r="CD331" s="56"/>
      <c r="CE331" s="56"/>
      <c r="CF331" s="56"/>
      <c r="CG331" s="56"/>
      <c r="CH331" s="56"/>
      <c r="CI331" s="103">
        <f t="shared" si="116"/>
        <v>8.8800000000000007E-3</v>
      </c>
      <c r="CJ331" s="103">
        <f t="shared" si="117"/>
        <v>-2.0515870342213991</v>
      </c>
      <c r="CK331" s="57">
        <f t="shared" si="114"/>
        <v>43.669680349070035</v>
      </c>
      <c r="CL331" s="160">
        <f t="shared" si="103"/>
        <v>393.42054368531564</v>
      </c>
      <c r="CM331" s="160">
        <v>-3.0228372754380102</v>
      </c>
      <c r="CN331" s="160">
        <f>BJ331/(10^CM331)</f>
        <v>84.31935241384015</v>
      </c>
      <c r="CO331" s="55" t="s">
        <v>892</v>
      </c>
      <c r="CP331" s="55" t="s">
        <v>893</v>
      </c>
      <c r="CQ331" s="149">
        <v>-2.9191407964062464</v>
      </c>
      <c r="CR331" s="349">
        <f>10^(CJ331-CQ331)</f>
        <v>7.3714642252389666</v>
      </c>
      <c r="CS331" s="61" t="s">
        <v>539</v>
      </c>
      <c r="CT331" s="61"/>
      <c r="CU331" s="111">
        <f t="shared" si="112"/>
        <v>11704.812033039601</v>
      </c>
      <c r="CV331" s="331">
        <f t="shared" si="115"/>
        <v>1299.234135667396</v>
      </c>
      <c r="CW331" s="326">
        <f t="shared" si="118"/>
        <v>1</v>
      </c>
      <c r="CX331" s="326" t="s">
        <v>539</v>
      </c>
      <c r="CY331" s="161" t="s">
        <v>6351</v>
      </c>
    </row>
    <row r="332" spans="1:103" ht="11.25" customHeight="1" x14ac:dyDescent="0.2">
      <c r="A332" s="72">
        <v>330</v>
      </c>
      <c r="B332" s="149">
        <v>234</v>
      </c>
      <c r="C332" s="54" t="s">
        <v>1056</v>
      </c>
      <c r="D332" s="54" t="s">
        <v>6471</v>
      </c>
      <c r="E332" s="59"/>
      <c r="F332" s="59" t="s">
        <v>1057</v>
      </c>
      <c r="G332" s="151">
        <v>120321</v>
      </c>
      <c r="H332" s="55" t="s">
        <v>1058</v>
      </c>
      <c r="I332" s="55" t="s">
        <v>8313</v>
      </c>
      <c r="J332" s="55" t="s">
        <v>1059</v>
      </c>
      <c r="K332" s="55" t="s">
        <v>349</v>
      </c>
      <c r="L332" s="55" t="s">
        <v>5576</v>
      </c>
      <c r="M332" s="168" t="s">
        <v>6075</v>
      </c>
      <c r="N332" s="60" t="s">
        <v>6082</v>
      </c>
      <c r="O332" s="55" t="s">
        <v>6083</v>
      </c>
      <c r="P332" s="67">
        <v>3</v>
      </c>
      <c r="Q332" s="67" t="s">
        <v>6173</v>
      </c>
      <c r="R332" s="67">
        <v>1</v>
      </c>
      <c r="S332" s="67" t="s">
        <v>6173</v>
      </c>
      <c r="T332" s="56">
        <v>218.68</v>
      </c>
      <c r="U332" s="103">
        <v>0.68136089262849819</v>
      </c>
      <c r="V332" s="103">
        <v>0.51216389244558258</v>
      </c>
      <c r="W332" s="103">
        <v>0.16982436524617422</v>
      </c>
      <c r="X332" s="103">
        <v>0.68136089262849819</v>
      </c>
      <c r="Y332" s="162">
        <v>6.72</v>
      </c>
      <c r="Z332" s="56">
        <v>4.18</v>
      </c>
      <c r="AA332" s="56">
        <v>3.6</v>
      </c>
      <c r="AB332" s="56">
        <v>4.26</v>
      </c>
      <c r="AC332" s="56">
        <v>0.77049999999999996</v>
      </c>
      <c r="AD332" s="56">
        <v>4.3099999999999996</v>
      </c>
      <c r="AE332" s="56">
        <v>4.41</v>
      </c>
      <c r="AF332" s="56">
        <f t="shared" si="113"/>
        <v>3.6</v>
      </c>
      <c r="AG332" s="57">
        <v>4.01</v>
      </c>
      <c r="AH332" s="103">
        <v>3.7E-8</v>
      </c>
      <c r="AI332" s="103">
        <v>2.7000000000000002E-9</v>
      </c>
      <c r="AJ332" s="62">
        <f t="shared" si="120"/>
        <v>-5.8203646022456565</v>
      </c>
      <c r="AK332" s="62">
        <f>LOG10(AI332*1000/(0.08206*298.15))</f>
        <v>-6.9572025621536646</v>
      </c>
      <c r="AL332" s="62">
        <f t="shared" si="119"/>
        <v>-6.9572025621536646</v>
      </c>
      <c r="AM332" s="62">
        <v>-10.455459999999999</v>
      </c>
      <c r="AN332" s="154">
        <v>-6.05</v>
      </c>
      <c r="AO332" s="410">
        <v>9.81</v>
      </c>
      <c r="AP332" s="410"/>
      <c r="AQ332" s="154" t="s">
        <v>6311</v>
      </c>
      <c r="AR332" s="154" t="s">
        <v>6311</v>
      </c>
      <c r="AS332" s="149" t="s">
        <v>6</v>
      </c>
      <c r="AT332" s="58" t="s">
        <v>266</v>
      </c>
      <c r="AU332" s="56">
        <v>8</v>
      </c>
      <c r="AV332" s="56">
        <v>144</v>
      </c>
      <c r="AW332" s="56">
        <v>120</v>
      </c>
      <c r="AX332" s="56">
        <v>26</v>
      </c>
      <c r="AY332" s="56" t="s">
        <v>267</v>
      </c>
      <c r="AZ332" s="56" t="s">
        <v>268</v>
      </c>
      <c r="BA332" s="56">
        <v>3</v>
      </c>
      <c r="BB332" s="55" t="s">
        <v>888</v>
      </c>
      <c r="BC332" s="55" t="s">
        <v>270</v>
      </c>
      <c r="BD332" s="55" t="s">
        <v>8374</v>
      </c>
      <c r="BE332" s="56" t="s">
        <v>889</v>
      </c>
      <c r="BF332" s="56" t="s">
        <v>272</v>
      </c>
      <c r="BG332" s="56" t="s">
        <v>272</v>
      </c>
      <c r="BH332" s="56" t="s">
        <v>890</v>
      </c>
      <c r="BI332" s="103">
        <v>9.9999999999999995E-7</v>
      </c>
      <c r="BJ332" s="103">
        <v>0.08</v>
      </c>
      <c r="BK332" s="56"/>
      <c r="BL332" s="103">
        <f t="shared" si="110"/>
        <v>9.051946948827664E-3</v>
      </c>
      <c r="BM332" s="56" t="s">
        <v>891</v>
      </c>
      <c r="BN332" s="162"/>
      <c r="BO332" s="162"/>
      <c r="BP332" s="162"/>
      <c r="BQ332" s="162"/>
      <c r="BR332" s="162"/>
      <c r="BS332" s="56">
        <v>8.8800000000000007E-3</v>
      </c>
      <c r="BT332" s="162"/>
      <c r="BU332" s="158"/>
      <c r="BV332" s="162"/>
      <c r="BW332" s="162"/>
      <c r="BX332" s="162"/>
      <c r="BY332" s="162"/>
      <c r="BZ332" s="162"/>
      <c r="CA332" s="162"/>
      <c r="CB332" s="162"/>
      <c r="CC332" s="56"/>
      <c r="CD332" s="56"/>
      <c r="CE332" s="56"/>
      <c r="CF332" s="56"/>
      <c r="CG332" s="56"/>
      <c r="CH332" s="56"/>
      <c r="CI332" s="103">
        <f t="shared" si="116"/>
        <v>8.8800000000000007E-3</v>
      </c>
      <c r="CJ332" s="103">
        <f t="shared" si="117"/>
        <v>-2.0515870342213991</v>
      </c>
      <c r="CK332" s="57">
        <f t="shared" si="114"/>
        <v>0.1131493368603458</v>
      </c>
      <c r="CL332" s="160">
        <f t="shared" si="103"/>
        <v>1.0193633951382504</v>
      </c>
      <c r="CM332" s="160">
        <v>-2.8212951253416318</v>
      </c>
      <c r="CN332" s="160">
        <f>BJ332/(10^CM332)</f>
        <v>53.013333333333335</v>
      </c>
      <c r="CO332" s="55" t="s">
        <v>892</v>
      </c>
      <c r="CP332" s="55" t="s">
        <v>893</v>
      </c>
      <c r="CQ332" s="149">
        <v>-2.6518858470649418</v>
      </c>
      <c r="CR332" s="349">
        <f>10^(CJ332-CQ332)</f>
        <v>3.9838117926093526</v>
      </c>
      <c r="CS332" s="61" t="s">
        <v>539</v>
      </c>
      <c r="CT332" s="61"/>
      <c r="CU332" s="111">
        <f t="shared" si="112"/>
        <v>76.729830250956994</v>
      </c>
      <c r="CV332" s="331">
        <f t="shared" si="115"/>
        <v>8.5170111578562278</v>
      </c>
      <c r="CW332" s="326">
        <f t="shared" si="118"/>
        <v>1</v>
      </c>
      <c r="CX332" s="326" t="s">
        <v>539</v>
      </c>
      <c r="CY332" s="161" t="s">
        <v>5921</v>
      </c>
    </row>
    <row r="333" spans="1:103" ht="11.25" customHeight="1" x14ac:dyDescent="0.2">
      <c r="A333" s="72">
        <v>331</v>
      </c>
      <c r="B333" s="149">
        <v>57</v>
      </c>
      <c r="C333" s="54" t="s">
        <v>6651</v>
      </c>
      <c r="D333" s="54"/>
      <c r="E333" s="59"/>
      <c r="F333" s="59" t="s">
        <v>515</v>
      </c>
      <c r="G333" s="151">
        <v>91374208</v>
      </c>
      <c r="H333" s="55" t="s">
        <v>516</v>
      </c>
      <c r="I333" s="55" t="s">
        <v>8331</v>
      </c>
      <c r="J333" s="55" t="s">
        <v>517</v>
      </c>
      <c r="K333" s="55"/>
      <c r="L333" s="64"/>
      <c r="M333" s="55"/>
      <c r="N333" s="60"/>
      <c r="O333" s="55"/>
      <c r="P333" s="67">
        <v>3</v>
      </c>
      <c r="Q333" s="67" t="s">
        <v>6173</v>
      </c>
      <c r="R333" s="67">
        <v>1</v>
      </c>
      <c r="S333" s="67" t="s">
        <v>6173</v>
      </c>
      <c r="T333" s="59">
        <v>260.37</v>
      </c>
      <c r="U333" s="153"/>
      <c r="V333" s="153">
        <f>102.4/260.37</f>
        <v>0.39328647693666707</v>
      </c>
      <c r="W333" s="153">
        <v>1.9054607179632461</v>
      </c>
      <c r="X333" s="153">
        <f>IF(W333=0,V333,W333)</f>
        <v>1.9054607179632461</v>
      </c>
      <c r="Y333" s="410">
        <v>10.33</v>
      </c>
      <c r="Z333" s="59">
        <v>3.03</v>
      </c>
      <c r="AA333" s="59">
        <v>2.7</v>
      </c>
      <c r="AB333" s="59">
        <v>3.22</v>
      </c>
      <c r="AC333" s="59">
        <v>0.83579999999999999</v>
      </c>
      <c r="AD333" s="59">
        <v>3.21</v>
      </c>
      <c r="AE333" s="59">
        <v>3.19</v>
      </c>
      <c r="AF333" s="59">
        <f t="shared" si="113"/>
        <v>2.7</v>
      </c>
      <c r="AG333" s="57">
        <v>1.95</v>
      </c>
      <c r="AH333" s="103" t="s">
        <v>8406</v>
      </c>
      <c r="AI333" s="103"/>
      <c r="AJ333" s="62"/>
      <c r="AK333" s="62"/>
      <c r="AL333" s="62"/>
      <c r="AM333" s="62">
        <v>-13.820359999999999</v>
      </c>
      <c r="AN333" s="152">
        <v>-12.9</v>
      </c>
      <c r="AO333" s="410">
        <v>14.17</v>
      </c>
      <c r="AP333" s="410">
        <v>9.4499999999999993</v>
      </c>
      <c r="AQ333" s="152" t="s">
        <v>6311</v>
      </c>
      <c r="AR333" s="152" t="s">
        <v>6316</v>
      </c>
      <c r="AS333" s="149" t="s">
        <v>518</v>
      </c>
      <c r="AT333" s="58" t="s">
        <v>266</v>
      </c>
      <c r="AU333" s="155">
        <v>24</v>
      </c>
      <c r="AV333" s="155">
        <v>120</v>
      </c>
      <c r="AW333" s="155">
        <v>96</v>
      </c>
      <c r="AX333" s="155">
        <v>28</v>
      </c>
      <c r="AY333" s="155" t="s">
        <v>267</v>
      </c>
      <c r="AZ333" s="155" t="s">
        <v>268</v>
      </c>
      <c r="BA333" s="155">
        <v>48</v>
      </c>
      <c r="BB333" s="55" t="s">
        <v>269</v>
      </c>
      <c r="BC333" s="156" t="s">
        <v>270</v>
      </c>
      <c r="BD333" s="156" t="s">
        <v>8374</v>
      </c>
      <c r="BE333" s="155" t="s">
        <v>271</v>
      </c>
      <c r="BF333" s="155" t="s">
        <v>272</v>
      </c>
      <c r="BG333" s="155" t="s">
        <v>272</v>
      </c>
      <c r="BH333" s="155" t="s">
        <v>272</v>
      </c>
      <c r="BI333" s="157">
        <v>3.3688182185689264E-3</v>
      </c>
      <c r="BJ333" s="157">
        <v>5.3901091497102822</v>
      </c>
      <c r="BK333" s="56"/>
      <c r="BL333" s="103"/>
      <c r="BM333" s="56">
        <v>0</v>
      </c>
      <c r="BN333" s="56"/>
      <c r="BO333" s="56"/>
      <c r="BP333" s="56"/>
      <c r="BQ333" s="56"/>
      <c r="BR333" s="56"/>
      <c r="BS333" s="56"/>
      <c r="BT333" s="56"/>
      <c r="BU333" s="158"/>
      <c r="BV333" s="56"/>
      <c r="BW333" s="56"/>
      <c r="BX333" s="56"/>
      <c r="BY333" s="56">
        <v>2.96</v>
      </c>
      <c r="BZ333" s="56">
        <v>1.8</v>
      </c>
      <c r="CA333" s="56">
        <v>1.53</v>
      </c>
      <c r="CB333" s="56">
        <v>1.47</v>
      </c>
      <c r="CC333" s="56"/>
      <c r="CD333" s="56"/>
      <c r="CE333" s="56"/>
      <c r="CF333" s="56"/>
      <c r="CG333" s="56"/>
      <c r="CH333" s="56"/>
      <c r="CI333" s="103">
        <f t="shared" si="116"/>
        <v>1.47</v>
      </c>
      <c r="CJ333" s="103">
        <f t="shared" si="117"/>
        <v>0.16731733474817609</v>
      </c>
      <c r="CK333" s="57">
        <f t="shared" si="114"/>
        <v>0</v>
      </c>
      <c r="CL333" s="160">
        <f t="shared" si="103"/>
        <v>0</v>
      </c>
      <c r="CM333" s="160"/>
      <c r="CN333" s="160"/>
      <c r="CO333" s="55" t="s">
        <v>273</v>
      </c>
      <c r="CP333" s="156" t="s">
        <v>274</v>
      </c>
      <c r="CQ333" s="149" t="s">
        <v>272</v>
      </c>
      <c r="CR333" s="349"/>
      <c r="CS333" s="61" t="s">
        <v>539</v>
      </c>
      <c r="CT333" s="61"/>
      <c r="CU333" s="111">
        <f t="shared" si="112"/>
        <v>1.2962317809273782</v>
      </c>
      <c r="CV333" s="331">
        <f t="shared" si="115"/>
        <v>0.35351059970013121</v>
      </c>
      <c r="CW333" s="326">
        <f t="shared" si="118"/>
        <v>0</v>
      </c>
      <c r="CX333" s="326"/>
      <c r="CY333" s="161" t="s">
        <v>5921</v>
      </c>
    </row>
    <row r="334" spans="1:103" ht="11.25" customHeight="1" x14ac:dyDescent="0.2">
      <c r="A334" s="72">
        <v>332</v>
      </c>
      <c r="B334" s="149">
        <v>421</v>
      </c>
      <c r="C334" s="54" t="s">
        <v>6652</v>
      </c>
      <c r="D334" s="54"/>
      <c r="E334" s="59"/>
      <c r="F334" s="59" t="s">
        <v>1419</v>
      </c>
      <c r="G334" s="151">
        <v>94125345</v>
      </c>
      <c r="H334" s="55" t="s">
        <v>1420</v>
      </c>
      <c r="I334" s="55" t="s">
        <v>1420</v>
      </c>
      <c r="J334" s="55" t="s">
        <v>1421</v>
      </c>
      <c r="K334" s="55" t="s">
        <v>1422</v>
      </c>
      <c r="L334" s="55"/>
      <c r="M334" s="55"/>
      <c r="N334" s="60"/>
      <c r="O334" s="55"/>
      <c r="P334" s="67">
        <v>3</v>
      </c>
      <c r="Q334" s="67" t="s">
        <v>6173</v>
      </c>
      <c r="R334" s="67">
        <v>1</v>
      </c>
      <c r="S334" s="67" t="s">
        <v>6173</v>
      </c>
      <c r="T334" s="56">
        <v>419.38</v>
      </c>
      <c r="U334" s="103">
        <v>6.9149697172015828E-2</v>
      </c>
      <c r="V334" s="103">
        <v>5.0121608088130095E-3</v>
      </c>
      <c r="W334" s="103">
        <v>7.0794578438413705E-2</v>
      </c>
      <c r="X334" s="103">
        <v>6.9149697172015828E-2</v>
      </c>
      <c r="Y334" s="162">
        <v>4.28</v>
      </c>
      <c r="Z334" s="56">
        <v>3.56</v>
      </c>
      <c r="AA334" s="56"/>
      <c r="AB334" s="56">
        <v>2.65</v>
      </c>
      <c r="AC334" s="56">
        <v>0.63749999999999996</v>
      </c>
      <c r="AD334" s="56">
        <v>2.79</v>
      </c>
      <c r="AE334" s="56">
        <v>3.02</v>
      </c>
      <c r="AF334" s="56">
        <f t="shared" si="113"/>
        <v>2.79</v>
      </c>
      <c r="AG334" s="57">
        <v>2.75</v>
      </c>
      <c r="AH334" s="103">
        <v>1.79E-10</v>
      </c>
      <c r="AI334" s="103"/>
      <c r="AJ334" s="62">
        <f t="shared" ref="AJ334:AJ365" si="121">LOG10(AH334*1000/(0.08206*298.15))</f>
        <v>-8.1357132953327582</v>
      </c>
      <c r="AK334" s="62"/>
      <c r="AL334" s="62">
        <f t="shared" ref="AL334:AL365" si="122">IF(AK334=0,AJ334,AK334)</f>
        <v>-8.1357132953327582</v>
      </c>
      <c r="AM334" s="62">
        <v>-21.087910000000001</v>
      </c>
      <c r="AN334" s="154">
        <v>-21.3</v>
      </c>
      <c r="AO334" s="410">
        <v>4.3</v>
      </c>
      <c r="AP334" s="410">
        <v>2.59</v>
      </c>
      <c r="AQ334" s="154" t="s">
        <v>6311</v>
      </c>
      <c r="AR334" s="154" t="s">
        <v>6311</v>
      </c>
      <c r="AS334" s="149" t="s">
        <v>6</v>
      </c>
      <c r="AT334" s="58" t="s">
        <v>266</v>
      </c>
      <c r="AU334" s="56">
        <v>8</v>
      </c>
      <c r="AV334" s="56">
        <v>144</v>
      </c>
      <c r="AW334" s="56">
        <v>120</v>
      </c>
      <c r="AX334" s="56">
        <v>26</v>
      </c>
      <c r="AY334" s="56" t="s">
        <v>267</v>
      </c>
      <c r="AZ334" s="56" t="s">
        <v>268</v>
      </c>
      <c r="BA334" s="56">
        <v>6</v>
      </c>
      <c r="BB334" s="55" t="s">
        <v>888</v>
      </c>
      <c r="BC334" s="55" t="s">
        <v>270</v>
      </c>
      <c r="BD334" s="55" t="s">
        <v>8374</v>
      </c>
      <c r="BE334" s="56" t="s">
        <v>889</v>
      </c>
      <c r="BF334" s="56" t="s">
        <v>272</v>
      </c>
      <c r="BG334" s="56" t="s">
        <v>272</v>
      </c>
      <c r="BH334" s="56" t="s">
        <v>890</v>
      </c>
      <c r="BI334" s="103">
        <v>9.9999999999999995E-7</v>
      </c>
      <c r="BJ334" s="103">
        <v>0.08</v>
      </c>
      <c r="BK334" s="56"/>
      <c r="BL334" s="103">
        <f t="shared" ref="BL334:BL371" si="123">10^((-0.8981*Z334)+1.7108)</f>
        <v>3.2626012632082591E-2</v>
      </c>
      <c r="BM334" s="56" t="s">
        <v>891</v>
      </c>
      <c r="BN334" s="162"/>
      <c r="BO334" s="162"/>
      <c r="BP334" s="162"/>
      <c r="BQ334" s="162"/>
      <c r="BR334" s="162"/>
      <c r="BS334" s="172">
        <v>7.1029999999999996E-2</v>
      </c>
      <c r="BT334" s="162"/>
      <c r="BU334" s="173"/>
      <c r="BV334" s="162"/>
      <c r="BW334" s="162"/>
      <c r="BX334" s="162"/>
      <c r="BY334" s="162"/>
      <c r="BZ334" s="162"/>
      <c r="CA334" s="162"/>
      <c r="CB334" s="162"/>
      <c r="CC334" s="172"/>
      <c r="CD334" s="56"/>
      <c r="CE334" s="56"/>
      <c r="CF334" s="56"/>
      <c r="CG334" s="56"/>
      <c r="CH334" s="172"/>
      <c r="CI334" s="103">
        <f t="shared" si="116"/>
        <v>7.1029999999999996E-2</v>
      </c>
      <c r="CJ334" s="103">
        <f t="shared" si="117"/>
        <v>-1.148558185327945</v>
      </c>
      <c r="CK334" s="57">
        <f t="shared" si="114"/>
        <v>0.40782515790103235</v>
      </c>
      <c r="CL334" s="160">
        <f t="shared" si="103"/>
        <v>0.45932722275211307</v>
      </c>
      <c r="CM334" s="160"/>
      <c r="CN334" s="160"/>
      <c r="CO334" s="55" t="s">
        <v>892</v>
      </c>
      <c r="CP334" s="55" t="s">
        <v>893</v>
      </c>
      <c r="CQ334" s="149" t="s">
        <v>272</v>
      </c>
      <c r="CR334" s="349"/>
      <c r="CS334" s="61" t="s">
        <v>539</v>
      </c>
      <c r="CT334" s="61"/>
      <c r="CU334" s="111">
        <f t="shared" si="112"/>
        <v>0.97352804690997929</v>
      </c>
      <c r="CV334" s="331">
        <f t="shared" si="115"/>
        <v>0.86437121465019784</v>
      </c>
      <c r="CW334" s="326">
        <f t="shared" si="118"/>
        <v>0</v>
      </c>
      <c r="CX334" s="326" t="s">
        <v>539</v>
      </c>
      <c r="CY334" s="161" t="s">
        <v>5921</v>
      </c>
    </row>
    <row r="335" spans="1:103" ht="11.25" customHeight="1" x14ac:dyDescent="0.2">
      <c r="A335" s="72">
        <v>333</v>
      </c>
      <c r="B335" s="149">
        <v>303</v>
      </c>
      <c r="C335" s="54" t="s">
        <v>1193</v>
      </c>
      <c r="D335" s="54" t="s">
        <v>6653</v>
      </c>
      <c r="E335" s="59"/>
      <c r="F335" s="59" t="s">
        <v>1194</v>
      </c>
      <c r="G335" s="151">
        <v>69806504</v>
      </c>
      <c r="H335" s="55" t="s">
        <v>1195</v>
      </c>
      <c r="I335" s="55" t="s">
        <v>1195</v>
      </c>
      <c r="J335" s="55" t="s">
        <v>1196</v>
      </c>
      <c r="K335" s="55" t="s">
        <v>357</v>
      </c>
      <c r="L335" s="55" t="s">
        <v>5982</v>
      </c>
      <c r="M335" s="60" t="s">
        <v>2342</v>
      </c>
      <c r="N335" s="60" t="s">
        <v>2342</v>
      </c>
      <c r="O335" s="55"/>
      <c r="P335" s="67">
        <v>3</v>
      </c>
      <c r="Q335" s="67" t="s">
        <v>6173</v>
      </c>
      <c r="R335" s="67">
        <v>1</v>
      </c>
      <c r="S335" s="67" t="s">
        <v>6173</v>
      </c>
      <c r="T335" s="56">
        <v>383.36</v>
      </c>
      <c r="U335" s="103">
        <v>5.2170283806343906E-3</v>
      </c>
      <c r="V335" s="103">
        <v>1.4524207011686141E-3</v>
      </c>
      <c r="W335" s="103">
        <v>3.8904514499428049E-2</v>
      </c>
      <c r="X335" s="103">
        <v>5.2170283806343906E-3</v>
      </c>
      <c r="Y335" s="162">
        <v>7</v>
      </c>
      <c r="Z335" s="56">
        <v>5.34</v>
      </c>
      <c r="AA335" s="56">
        <v>4.5</v>
      </c>
      <c r="AB335" s="56">
        <v>4.26</v>
      </c>
      <c r="AC335" s="56">
        <v>0.8861</v>
      </c>
      <c r="AD335" s="56">
        <v>4.1399999999999997</v>
      </c>
      <c r="AE335" s="56">
        <v>3.64</v>
      </c>
      <c r="AF335" s="56">
        <f t="shared" si="113"/>
        <v>4.5</v>
      </c>
      <c r="AG335" s="57">
        <v>4.46</v>
      </c>
      <c r="AH335" s="103">
        <v>3.7900000000000002E-8</v>
      </c>
      <c r="AI335" s="103">
        <v>2.0800000000000001E-7</v>
      </c>
      <c r="AJ335" s="62">
        <f t="shared" si="121"/>
        <v>-5.8099271163445794</v>
      </c>
      <c r="AK335" s="62">
        <f>LOG10(AI335*1000/(0.08206*298.15))</f>
        <v>-5.0705029913498905</v>
      </c>
      <c r="AL335" s="62">
        <f t="shared" si="122"/>
        <v>-5.0705029913498905</v>
      </c>
      <c r="AM335" s="62">
        <v>-12.061889999999998</v>
      </c>
      <c r="AN335" s="154">
        <v>-5.76</v>
      </c>
      <c r="AO335" s="410"/>
      <c r="AP335" s="410">
        <v>0.78</v>
      </c>
      <c r="AQ335" s="154" t="s">
        <v>6311</v>
      </c>
      <c r="AR335" s="154" t="s">
        <v>6312</v>
      </c>
      <c r="AS335" s="149" t="s">
        <v>6</v>
      </c>
      <c r="AT335" s="58" t="s">
        <v>266</v>
      </c>
      <c r="AU335" s="56">
        <v>8</v>
      </c>
      <c r="AV335" s="56">
        <v>144</v>
      </c>
      <c r="AW335" s="56">
        <v>120</v>
      </c>
      <c r="AX335" s="56">
        <v>26</v>
      </c>
      <c r="AY335" s="56" t="s">
        <v>267</v>
      </c>
      <c r="AZ335" s="56" t="s">
        <v>268</v>
      </c>
      <c r="BA335" s="56">
        <v>2</v>
      </c>
      <c r="BB335" s="55" t="s">
        <v>888</v>
      </c>
      <c r="BC335" s="55" t="s">
        <v>270</v>
      </c>
      <c r="BD335" s="55" t="s">
        <v>8374</v>
      </c>
      <c r="BE335" s="56" t="s">
        <v>889</v>
      </c>
      <c r="BF335" s="56" t="s">
        <v>272</v>
      </c>
      <c r="BG335" s="56" t="s">
        <v>272</v>
      </c>
      <c r="BH335" s="56" t="s">
        <v>890</v>
      </c>
      <c r="BI335" s="103">
        <v>9.9999999999999995E-7</v>
      </c>
      <c r="BJ335" s="103">
        <v>0.08</v>
      </c>
      <c r="BK335" s="56"/>
      <c r="BL335" s="103">
        <f t="shared" si="123"/>
        <v>8.2214041898477554E-4</v>
      </c>
      <c r="BM335" s="56" t="s">
        <v>891</v>
      </c>
      <c r="BN335" s="162"/>
      <c r="BO335" s="162"/>
      <c r="BP335" s="162"/>
      <c r="BQ335" s="162"/>
      <c r="BR335" s="162"/>
      <c r="BS335" s="56">
        <v>8.8800000000000007E-3</v>
      </c>
      <c r="BT335" s="162"/>
      <c r="BU335" s="158"/>
      <c r="BV335" s="162"/>
      <c r="BW335" s="162"/>
      <c r="BX335" s="162"/>
      <c r="BY335" s="162"/>
      <c r="BZ335" s="162"/>
      <c r="CA335" s="162"/>
      <c r="CB335" s="162"/>
      <c r="CC335" s="56"/>
      <c r="CD335" s="56"/>
      <c r="CE335" s="56"/>
      <c r="CF335" s="56"/>
      <c r="CG335" s="56"/>
      <c r="CH335" s="56"/>
      <c r="CI335" s="103">
        <f t="shared" si="116"/>
        <v>8.8800000000000007E-3</v>
      </c>
      <c r="CJ335" s="103">
        <f t="shared" si="117"/>
        <v>-2.0515870342213991</v>
      </c>
      <c r="CK335" s="57">
        <f t="shared" si="114"/>
        <v>1.0276755237309695E-2</v>
      </c>
      <c r="CL335" s="160">
        <f t="shared" si="103"/>
        <v>9.2583380516303548E-2</v>
      </c>
      <c r="CM335" s="160">
        <v>-3.0154050723062036</v>
      </c>
      <c r="CN335" s="160">
        <f>BJ335/(10^CM335)</f>
        <v>82.888648648648726</v>
      </c>
      <c r="CO335" s="55" t="s">
        <v>892</v>
      </c>
      <c r="CP335" s="55" t="s">
        <v>893</v>
      </c>
      <c r="CQ335" s="149">
        <v>-2.145841811462796</v>
      </c>
      <c r="CR335" s="349">
        <f>10^(CJ335-CQ335)</f>
        <v>1.2423809319988244</v>
      </c>
      <c r="CS335" s="61" t="s">
        <v>539</v>
      </c>
      <c r="CT335" s="61"/>
      <c r="CU335" s="111">
        <f t="shared" si="112"/>
        <v>0.58750319601738632</v>
      </c>
      <c r="CV335" s="331">
        <f t="shared" si="115"/>
        <v>6.5212854757929886E-2</v>
      </c>
      <c r="CW335" s="326">
        <f t="shared" si="118"/>
        <v>0</v>
      </c>
      <c r="CX335" s="326" t="s">
        <v>539</v>
      </c>
      <c r="CY335" s="161" t="s">
        <v>5921</v>
      </c>
    </row>
    <row r="336" spans="1:103" ht="11.25" customHeight="1" x14ac:dyDescent="0.2">
      <c r="A336" s="72">
        <v>334</v>
      </c>
      <c r="B336" s="149">
        <v>279</v>
      </c>
      <c r="C336" s="54" t="s">
        <v>1135</v>
      </c>
      <c r="D336" s="54" t="s">
        <v>6654</v>
      </c>
      <c r="E336" s="59"/>
      <c r="F336" s="59" t="s">
        <v>1136</v>
      </c>
      <c r="G336" s="151">
        <v>115297</v>
      </c>
      <c r="H336" s="55" t="s">
        <v>1137</v>
      </c>
      <c r="I336" s="55" t="s">
        <v>7890</v>
      </c>
      <c r="J336" s="55" t="s">
        <v>1138</v>
      </c>
      <c r="K336" s="55" t="s">
        <v>1139</v>
      </c>
      <c r="L336" s="55" t="s">
        <v>617</v>
      </c>
      <c r="M336" s="55" t="s">
        <v>1140</v>
      </c>
      <c r="N336" s="60" t="s">
        <v>6376</v>
      </c>
      <c r="O336" s="55" t="s">
        <v>918</v>
      </c>
      <c r="P336" s="67">
        <v>3</v>
      </c>
      <c r="Q336" s="67" t="s">
        <v>6173</v>
      </c>
      <c r="R336" s="67">
        <v>1</v>
      </c>
      <c r="S336" s="67" t="s">
        <v>6173</v>
      </c>
      <c r="T336" s="56">
        <v>406.92</v>
      </c>
      <c r="U336" s="103">
        <v>1.1058684753759952E-3</v>
      </c>
      <c r="V336" s="103">
        <v>3.6542809397424555E-3</v>
      </c>
      <c r="W336" s="103">
        <v>2.8840315031265994E-3</v>
      </c>
      <c r="X336" s="103">
        <v>1.1058684753759952E-3</v>
      </c>
      <c r="Y336" s="162">
        <v>7</v>
      </c>
      <c r="Z336" s="56">
        <v>3.5</v>
      </c>
      <c r="AA336" s="56">
        <v>3.83</v>
      </c>
      <c r="AB336" s="56">
        <v>4.1900000000000004</v>
      </c>
      <c r="AC336" s="56">
        <v>0.72519999999999996</v>
      </c>
      <c r="AD336" s="56">
        <v>3.87</v>
      </c>
      <c r="AE336" s="56">
        <v>3.12</v>
      </c>
      <c r="AF336" s="56">
        <f t="shared" si="113"/>
        <v>3.83</v>
      </c>
      <c r="AG336" s="57">
        <v>3.04</v>
      </c>
      <c r="AH336" s="103">
        <v>9.0299999999999995E-8</v>
      </c>
      <c r="AI336" s="103">
        <v>6.4999999999999994E-5</v>
      </c>
      <c r="AJ336" s="62">
        <f t="shared" si="121"/>
        <v>-5.4328785759991458</v>
      </c>
      <c r="AK336" s="62">
        <f>LOG10(AI336*1000/(0.08206*298.15))</f>
        <v>-2.5756529696697963</v>
      </c>
      <c r="AL336" s="62">
        <f t="shared" si="122"/>
        <v>-2.5756529696697963</v>
      </c>
      <c r="AM336" s="62">
        <v>-16.826589999999999</v>
      </c>
      <c r="AN336" s="154">
        <v>0.3</v>
      </c>
      <c r="AO336" s="410"/>
      <c r="AP336" s="410"/>
      <c r="AQ336" s="154" t="s">
        <v>6311</v>
      </c>
      <c r="AR336" s="154" t="s">
        <v>6311</v>
      </c>
      <c r="AS336" s="149" t="s">
        <v>6</v>
      </c>
      <c r="AT336" s="58" t="s">
        <v>266</v>
      </c>
      <c r="AU336" s="56">
        <v>8</v>
      </c>
      <c r="AV336" s="56">
        <v>144</v>
      </c>
      <c r="AW336" s="56">
        <v>120</v>
      </c>
      <c r="AX336" s="56">
        <v>26</v>
      </c>
      <c r="AY336" s="56" t="s">
        <v>267</v>
      </c>
      <c r="AZ336" s="56" t="s">
        <v>268</v>
      </c>
      <c r="BA336" s="56">
        <v>2</v>
      </c>
      <c r="BB336" s="55" t="s">
        <v>888</v>
      </c>
      <c r="BC336" s="55" t="s">
        <v>270</v>
      </c>
      <c r="BD336" s="55" t="s">
        <v>8374</v>
      </c>
      <c r="BE336" s="56" t="s">
        <v>889</v>
      </c>
      <c r="BF336" s="56" t="s">
        <v>272</v>
      </c>
      <c r="BG336" s="56" t="s">
        <v>272</v>
      </c>
      <c r="BH336" s="56" t="s">
        <v>890</v>
      </c>
      <c r="BI336" s="103">
        <v>9.9999999999999995E-7</v>
      </c>
      <c r="BJ336" s="103">
        <v>0.08</v>
      </c>
      <c r="BK336" s="56"/>
      <c r="BL336" s="103">
        <f t="shared" si="123"/>
        <v>3.6936011775524802E-2</v>
      </c>
      <c r="BM336" s="56" t="s">
        <v>891</v>
      </c>
      <c r="BN336" s="162"/>
      <c r="BO336" s="162"/>
      <c r="BP336" s="162"/>
      <c r="BQ336" s="162"/>
      <c r="BR336" s="162"/>
      <c r="BS336" s="56">
        <v>8.8800000000000007E-3</v>
      </c>
      <c r="BT336" s="162"/>
      <c r="BU336" s="158"/>
      <c r="BV336" s="162"/>
      <c r="BW336" s="162"/>
      <c r="BX336" s="162"/>
      <c r="BY336" s="162"/>
      <c r="BZ336" s="162"/>
      <c r="CA336" s="162"/>
      <c r="CB336" s="162"/>
      <c r="CC336" s="56"/>
      <c r="CD336" s="56"/>
      <c r="CE336" s="56"/>
      <c r="CF336" s="56"/>
      <c r="CG336" s="56"/>
      <c r="CH336" s="56"/>
      <c r="CI336" s="103">
        <f t="shared" si="116"/>
        <v>8.8800000000000007E-3</v>
      </c>
      <c r="CJ336" s="103">
        <f t="shared" si="117"/>
        <v>-2.0515870342213991</v>
      </c>
      <c r="CK336" s="57">
        <f t="shared" si="114"/>
        <v>0.46170014719406</v>
      </c>
      <c r="CL336" s="160">
        <f t="shared" si="103"/>
        <v>4.1594607855320715</v>
      </c>
      <c r="CM336" s="160">
        <v>-5.6582519598035192</v>
      </c>
      <c r="CN336" s="160">
        <f>BJ336/(10^CM336)</f>
        <v>36420.168168211327</v>
      </c>
      <c r="CO336" s="55" t="s">
        <v>892</v>
      </c>
      <c r="CP336" s="55" t="s">
        <v>893</v>
      </c>
      <c r="CQ336" s="149">
        <v>-5.5405853180066282</v>
      </c>
      <c r="CR336" s="349">
        <f>10^(CJ336-CQ336)</f>
        <v>3083.1757663454241</v>
      </c>
      <c r="CS336" s="61" t="s">
        <v>539</v>
      </c>
      <c r="CT336" s="61"/>
      <c r="CU336" s="111">
        <f t="shared" si="112"/>
        <v>0.12453473821801746</v>
      </c>
      <c r="CV336" s="331">
        <f t="shared" si="115"/>
        <v>1.3823355942199939E-2</v>
      </c>
      <c r="CW336" s="326">
        <f t="shared" si="118"/>
        <v>0</v>
      </c>
      <c r="CX336" s="326" t="s">
        <v>539</v>
      </c>
      <c r="CY336" s="161" t="s">
        <v>5921</v>
      </c>
    </row>
    <row r="337" spans="1:103" ht="11.25" customHeight="1" x14ac:dyDescent="0.2">
      <c r="A337" s="72">
        <v>335</v>
      </c>
      <c r="B337" s="149">
        <v>320</v>
      </c>
      <c r="C337" s="54" t="s">
        <v>1248</v>
      </c>
      <c r="D337" s="54" t="s">
        <v>6655</v>
      </c>
      <c r="E337" s="59"/>
      <c r="F337" s="59" t="s">
        <v>1249</v>
      </c>
      <c r="G337" s="151">
        <v>133073</v>
      </c>
      <c r="H337" s="55" t="s">
        <v>1250</v>
      </c>
      <c r="I337" s="55" t="s">
        <v>8042</v>
      </c>
      <c r="J337" s="55" t="s">
        <v>1251</v>
      </c>
      <c r="K337" s="55" t="s">
        <v>1016</v>
      </c>
      <c r="L337" s="55" t="s">
        <v>5929</v>
      </c>
      <c r="M337" s="55" t="s">
        <v>6082</v>
      </c>
      <c r="N337" s="60" t="s">
        <v>6082</v>
      </c>
      <c r="O337" s="55" t="s">
        <v>6083</v>
      </c>
      <c r="P337" s="67">
        <v>3</v>
      </c>
      <c r="Q337" s="67" t="s">
        <v>6173</v>
      </c>
      <c r="R337" s="67">
        <v>1</v>
      </c>
      <c r="S337" s="67" t="s">
        <v>6173</v>
      </c>
      <c r="T337" s="56">
        <v>296.56</v>
      </c>
      <c r="U337" s="103">
        <v>2.6975991367682766E-3</v>
      </c>
      <c r="V337" s="103">
        <v>0.15966414890747235</v>
      </c>
      <c r="W337" s="103">
        <v>0.23988329190194879</v>
      </c>
      <c r="X337" s="103">
        <v>2.6975991367682766E-3</v>
      </c>
      <c r="Y337" s="162">
        <v>7</v>
      </c>
      <c r="Z337" s="56">
        <v>2.84</v>
      </c>
      <c r="AA337" s="56">
        <v>2.85</v>
      </c>
      <c r="AB337" s="56">
        <v>2.97</v>
      </c>
      <c r="AC337" s="56">
        <v>0.59689999999999999</v>
      </c>
      <c r="AD337" s="56">
        <v>2.92</v>
      </c>
      <c r="AE337" s="56">
        <v>2.85</v>
      </c>
      <c r="AF337" s="56">
        <f t="shared" si="113"/>
        <v>2.85</v>
      </c>
      <c r="AG337" s="57">
        <v>2.98</v>
      </c>
      <c r="AH337" s="103">
        <v>1.5400000000000001E-9</v>
      </c>
      <c r="AI337" s="103">
        <v>7.6599999999999998E-8</v>
      </c>
      <c r="AJ337" s="62">
        <f t="shared" si="121"/>
        <v>-7.2010456054761889</v>
      </c>
      <c r="AK337" s="62">
        <f>LOG10(AI337*1000/(0.08206*298.15))</f>
        <v>-5.5043375566800483</v>
      </c>
      <c r="AL337" s="62">
        <f t="shared" si="122"/>
        <v>-5.5043375566800483</v>
      </c>
      <c r="AM337" s="62">
        <v>-12.622150000000001</v>
      </c>
      <c r="AN337" s="154">
        <v>-6.45</v>
      </c>
      <c r="AO337" s="410"/>
      <c r="AP337" s="410">
        <v>-3.34</v>
      </c>
      <c r="AQ337" s="154" t="s">
        <v>6311</v>
      </c>
      <c r="AR337" s="154" t="s">
        <v>6311</v>
      </c>
      <c r="AS337" s="149" t="s">
        <v>6</v>
      </c>
      <c r="AT337" s="58" t="s">
        <v>266</v>
      </c>
      <c r="AU337" s="56">
        <v>8</v>
      </c>
      <c r="AV337" s="56">
        <v>144</v>
      </c>
      <c r="AW337" s="56">
        <v>120</v>
      </c>
      <c r="AX337" s="56">
        <v>26</v>
      </c>
      <c r="AY337" s="56" t="s">
        <v>267</v>
      </c>
      <c r="AZ337" s="56" t="s">
        <v>268</v>
      </c>
      <c r="BA337" s="56">
        <v>2</v>
      </c>
      <c r="BB337" s="55" t="s">
        <v>888</v>
      </c>
      <c r="BC337" s="55" t="s">
        <v>270</v>
      </c>
      <c r="BD337" s="55" t="s">
        <v>8374</v>
      </c>
      <c r="BE337" s="56" t="s">
        <v>889</v>
      </c>
      <c r="BF337" s="56" t="s">
        <v>272</v>
      </c>
      <c r="BG337" s="56" t="s">
        <v>272</v>
      </c>
      <c r="BH337" s="56" t="s">
        <v>890</v>
      </c>
      <c r="BI337" s="103">
        <v>9.9999999999999995E-7</v>
      </c>
      <c r="BJ337" s="103">
        <v>0.08</v>
      </c>
      <c r="BK337" s="56"/>
      <c r="BL337" s="103">
        <f t="shared" si="123"/>
        <v>0.14460922545915242</v>
      </c>
      <c r="BM337" s="56" t="s">
        <v>891</v>
      </c>
      <c r="BN337" s="162"/>
      <c r="BO337" s="162"/>
      <c r="BP337" s="162"/>
      <c r="BQ337" s="162"/>
      <c r="BR337" s="162"/>
      <c r="BS337" s="56">
        <v>8.8800000000000007E-3</v>
      </c>
      <c r="BT337" s="162"/>
      <c r="BU337" s="158"/>
      <c r="BV337" s="162"/>
      <c r="BW337" s="162"/>
      <c r="BX337" s="162"/>
      <c r="BY337" s="162"/>
      <c r="BZ337" s="162"/>
      <c r="CA337" s="162"/>
      <c r="CB337" s="162"/>
      <c r="CC337" s="56"/>
      <c r="CD337" s="56"/>
      <c r="CE337" s="56"/>
      <c r="CF337" s="56"/>
      <c r="CG337" s="56"/>
      <c r="CH337" s="56"/>
      <c r="CI337" s="103">
        <f t="shared" si="116"/>
        <v>8.8800000000000007E-3</v>
      </c>
      <c r="CJ337" s="103">
        <f t="shared" si="117"/>
        <v>-2.0515870342213991</v>
      </c>
      <c r="CK337" s="57">
        <f t="shared" si="114"/>
        <v>1.8076153182394052</v>
      </c>
      <c r="CL337" s="160">
        <f t="shared" si="103"/>
        <v>16.284822686841487</v>
      </c>
      <c r="CM337" s="160">
        <v>-3.669536162877606</v>
      </c>
      <c r="CN337" s="160">
        <f>BJ337/(10^CM337)</f>
        <v>373.78868431632094</v>
      </c>
      <c r="CO337" s="55" t="s">
        <v>892</v>
      </c>
      <c r="CP337" s="55" t="s">
        <v>893</v>
      </c>
      <c r="CQ337" s="149">
        <v>-3.5726852536532676</v>
      </c>
      <c r="CR337" s="349">
        <f>10^(CJ337-CQ337)</f>
        <v>33.196952682682749</v>
      </c>
      <c r="CS337" s="61" t="s">
        <v>539</v>
      </c>
      <c r="CT337" s="61"/>
      <c r="CU337" s="111">
        <f t="shared" si="112"/>
        <v>0.30378368657300409</v>
      </c>
      <c r="CV337" s="331">
        <f t="shared" si="115"/>
        <v>3.3719989209603458E-2</v>
      </c>
      <c r="CW337" s="326">
        <f t="shared" si="118"/>
        <v>0</v>
      </c>
      <c r="CX337" s="326" t="s">
        <v>539</v>
      </c>
      <c r="CY337" s="161" t="s">
        <v>5921</v>
      </c>
    </row>
    <row r="338" spans="1:103" ht="11.25" customHeight="1" x14ac:dyDescent="0.2">
      <c r="A338" s="72">
        <v>336</v>
      </c>
      <c r="B338" s="149">
        <v>251</v>
      </c>
      <c r="C338" s="54" t="s">
        <v>1081</v>
      </c>
      <c r="D338" s="54" t="s">
        <v>6656</v>
      </c>
      <c r="E338" s="59"/>
      <c r="F338" s="59" t="s">
        <v>1082</v>
      </c>
      <c r="G338" s="151">
        <v>584792</v>
      </c>
      <c r="H338" s="55" t="s">
        <v>1083</v>
      </c>
      <c r="I338" s="55" t="s">
        <v>8056</v>
      </c>
      <c r="J338" s="55" t="s">
        <v>1084</v>
      </c>
      <c r="K338" s="55" t="s">
        <v>1085</v>
      </c>
      <c r="L338" s="55" t="s">
        <v>617</v>
      </c>
      <c r="M338" s="55" t="s">
        <v>1086</v>
      </c>
      <c r="N338" s="60" t="s">
        <v>6376</v>
      </c>
      <c r="O338" s="55" t="s">
        <v>918</v>
      </c>
      <c r="P338" s="67">
        <v>3</v>
      </c>
      <c r="Q338" s="67" t="s">
        <v>6173</v>
      </c>
      <c r="R338" s="67">
        <v>1</v>
      </c>
      <c r="S338" s="67" t="s">
        <v>6173</v>
      </c>
      <c r="T338" s="56">
        <v>302.41000000000003</v>
      </c>
      <c r="U338" s="103">
        <v>1.5211137197843984E-2</v>
      </c>
      <c r="V338" s="103">
        <v>3.2531992989649813E-3</v>
      </c>
      <c r="W338" s="103">
        <v>5.0118723362727241E-2</v>
      </c>
      <c r="X338" s="103">
        <v>1.5211137197843984E-2</v>
      </c>
      <c r="Y338" s="162">
        <v>7</v>
      </c>
      <c r="Z338" s="56">
        <v>5.52</v>
      </c>
      <c r="AA338" s="56">
        <v>4.78</v>
      </c>
      <c r="AB338" s="56">
        <v>5.0999999999999996</v>
      </c>
      <c r="AC338" s="56">
        <v>0.78859999999999997</v>
      </c>
      <c r="AD338" s="56">
        <v>5.05</v>
      </c>
      <c r="AE338" s="56">
        <v>4.92</v>
      </c>
      <c r="AF338" s="56">
        <f t="shared" si="113"/>
        <v>4.78</v>
      </c>
      <c r="AG338" s="57">
        <v>3.54</v>
      </c>
      <c r="AH338" s="103">
        <v>6.1200000000000003E-7</v>
      </c>
      <c r="AI338" s="103">
        <v>1.04E-7</v>
      </c>
      <c r="AJ338" s="62">
        <f t="shared" si="121"/>
        <v>-4.6018149041670906</v>
      </c>
      <c r="AK338" s="62">
        <f>LOG10(AI338*1000/(0.08206*298.15))</f>
        <v>-5.3715329870138717</v>
      </c>
      <c r="AL338" s="62">
        <f t="shared" si="122"/>
        <v>-5.3715329870138717</v>
      </c>
      <c r="AM338" s="62">
        <v>-10.080069999999999</v>
      </c>
      <c r="AN338" s="154">
        <v>-6.91</v>
      </c>
      <c r="AO338" s="410"/>
      <c r="AP338" s="410"/>
      <c r="AQ338" s="154" t="s">
        <v>6311</v>
      </c>
      <c r="AR338" s="154" t="s">
        <v>6312</v>
      </c>
      <c r="AS338" s="149" t="s">
        <v>6</v>
      </c>
      <c r="AT338" s="58" t="s">
        <v>266</v>
      </c>
      <c r="AU338" s="56">
        <v>8</v>
      </c>
      <c r="AV338" s="56">
        <v>144</v>
      </c>
      <c r="AW338" s="56">
        <v>120</v>
      </c>
      <c r="AX338" s="56">
        <v>26</v>
      </c>
      <c r="AY338" s="56" t="s">
        <v>267</v>
      </c>
      <c r="AZ338" s="56" t="s">
        <v>268</v>
      </c>
      <c r="BA338" s="56">
        <v>2</v>
      </c>
      <c r="BB338" s="55" t="s">
        <v>888</v>
      </c>
      <c r="BC338" s="55" t="s">
        <v>270</v>
      </c>
      <c r="BD338" s="55" t="s">
        <v>8374</v>
      </c>
      <c r="BE338" s="56" t="s">
        <v>889</v>
      </c>
      <c r="BF338" s="56" t="s">
        <v>272</v>
      </c>
      <c r="BG338" s="56" t="s">
        <v>272</v>
      </c>
      <c r="BH338" s="56" t="s">
        <v>890</v>
      </c>
      <c r="BI338" s="103">
        <v>9.9999999999999995E-7</v>
      </c>
      <c r="BJ338" s="103">
        <v>0.08</v>
      </c>
      <c r="BK338" s="56"/>
      <c r="BL338" s="103">
        <f t="shared" si="123"/>
        <v>5.6661491204470463E-4</v>
      </c>
      <c r="BM338" s="56" t="s">
        <v>891</v>
      </c>
      <c r="BN338" s="162"/>
      <c r="BO338" s="162"/>
      <c r="BP338" s="162"/>
      <c r="BQ338" s="162"/>
      <c r="BR338" s="162"/>
      <c r="BS338" s="56">
        <v>8.8800000000000007E-3</v>
      </c>
      <c r="BT338" s="162"/>
      <c r="BU338" s="158"/>
      <c r="BV338" s="162"/>
      <c r="BW338" s="162"/>
      <c r="BX338" s="162"/>
      <c r="BY338" s="162"/>
      <c r="BZ338" s="162"/>
      <c r="CA338" s="162"/>
      <c r="CB338" s="162"/>
      <c r="CC338" s="56"/>
      <c r="CD338" s="56"/>
      <c r="CE338" s="56"/>
      <c r="CF338" s="56"/>
      <c r="CG338" s="56"/>
      <c r="CH338" s="56"/>
      <c r="CI338" s="103">
        <f t="shared" si="116"/>
        <v>8.8800000000000007E-3</v>
      </c>
      <c r="CJ338" s="103">
        <f t="shared" si="117"/>
        <v>-2.0515870342213991</v>
      </c>
      <c r="CK338" s="57">
        <f t="shared" si="114"/>
        <v>7.0826864005588078E-3</v>
      </c>
      <c r="CL338" s="160">
        <f t="shared" si="103"/>
        <v>6.3807985590619884E-2</v>
      </c>
      <c r="CM338" s="160">
        <v>-4.3177016021418586</v>
      </c>
      <c r="CN338" s="160">
        <f>BJ338/(10^CM338)</f>
        <v>1662.6145971652161</v>
      </c>
      <c r="CO338" s="55" t="s">
        <v>892</v>
      </c>
      <c r="CP338" s="55" t="s">
        <v>893</v>
      </c>
      <c r="CQ338" s="149">
        <v>-3.9204690305836989</v>
      </c>
      <c r="CR338" s="349">
        <f>10^(CJ338-CQ338)</f>
        <v>73.940434168103977</v>
      </c>
      <c r="CS338" s="61" t="s">
        <v>539</v>
      </c>
      <c r="CT338" s="61"/>
      <c r="CU338" s="111">
        <f t="shared" si="112"/>
        <v>1.7129659006581062</v>
      </c>
      <c r="CV338" s="331">
        <f t="shared" si="115"/>
        <v>0.19013921497304978</v>
      </c>
      <c r="CW338" s="326">
        <f t="shared" si="118"/>
        <v>0</v>
      </c>
      <c r="CX338" s="326" t="s">
        <v>539</v>
      </c>
      <c r="CY338" s="161" t="s">
        <v>5921</v>
      </c>
    </row>
    <row r="339" spans="1:103" ht="11.25" customHeight="1" x14ac:dyDescent="0.2">
      <c r="A339" s="72">
        <v>337</v>
      </c>
      <c r="B339" s="149">
        <v>295</v>
      </c>
      <c r="C339" s="54" t="s">
        <v>1164</v>
      </c>
      <c r="D339" s="54" t="s">
        <v>6657</v>
      </c>
      <c r="E339" s="59"/>
      <c r="F339" s="59" t="s">
        <v>1165</v>
      </c>
      <c r="G339" s="151">
        <v>126833178</v>
      </c>
      <c r="H339" s="55" t="s">
        <v>1166</v>
      </c>
      <c r="I339" s="55" t="s">
        <v>8166</v>
      </c>
      <c r="J339" s="55" t="s">
        <v>1167</v>
      </c>
      <c r="K339" s="55" t="s">
        <v>464</v>
      </c>
      <c r="L339" s="55" t="s">
        <v>5979</v>
      </c>
      <c r="M339" s="55" t="s">
        <v>6082</v>
      </c>
      <c r="N339" s="60" t="s">
        <v>6082</v>
      </c>
      <c r="O339" s="55" t="s">
        <v>6083</v>
      </c>
      <c r="P339" s="67">
        <v>3</v>
      </c>
      <c r="Q339" s="67" t="s">
        <v>6173</v>
      </c>
      <c r="R339" s="67">
        <v>1</v>
      </c>
      <c r="S339" s="67" t="s">
        <v>6173</v>
      </c>
      <c r="T339" s="56">
        <v>302.2</v>
      </c>
      <c r="U339" s="103"/>
      <c r="V339" s="103">
        <v>3.9675711449371279E-2</v>
      </c>
      <c r="W339" s="103">
        <v>6.1659500186148186E-2</v>
      </c>
      <c r="X339" s="103">
        <f>IF(W339=0,V339,W339)</f>
        <v>6.1659500186148186E-2</v>
      </c>
      <c r="Y339" s="162">
        <v>5.94</v>
      </c>
      <c r="Z339" s="56">
        <v>3.72</v>
      </c>
      <c r="AA339" s="56">
        <v>3.51</v>
      </c>
      <c r="AB339" s="56">
        <v>4.93</v>
      </c>
      <c r="AC339" s="56">
        <v>0.39019999999999999</v>
      </c>
      <c r="AD339" s="56">
        <v>4.3600000000000003</v>
      </c>
      <c r="AE339" s="56">
        <v>4.0199999999999996</v>
      </c>
      <c r="AF339" s="56">
        <f t="shared" si="113"/>
        <v>3.51</v>
      </c>
      <c r="AG339" s="57">
        <v>4.0199999999999996</v>
      </c>
      <c r="AH339" s="103">
        <v>8.5100000000000001E-13</v>
      </c>
      <c r="AI339" s="103"/>
      <c r="AJ339" s="62">
        <f t="shared" si="121"/>
        <v>-10.458636766228064</v>
      </c>
      <c r="AK339" s="62"/>
      <c r="AL339" s="62">
        <f t="shared" si="122"/>
        <v>-10.458636766228064</v>
      </c>
      <c r="AM339" s="62">
        <v>-14.288309999999999</v>
      </c>
      <c r="AN339" s="154">
        <v>-10.199999999999999</v>
      </c>
      <c r="AO339" s="410">
        <v>7.73</v>
      </c>
      <c r="AP339" s="410"/>
      <c r="AQ339" s="154" t="s">
        <v>6311</v>
      </c>
      <c r="AR339" s="154" t="s">
        <v>6311</v>
      </c>
      <c r="AS339" s="149" t="s">
        <v>63</v>
      </c>
      <c r="AT339" s="58" t="s">
        <v>266</v>
      </c>
      <c r="AU339" s="56">
        <v>8</v>
      </c>
      <c r="AV339" s="56">
        <v>144</v>
      </c>
      <c r="AW339" s="56">
        <v>120</v>
      </c>
      <c r="AX339" s="56">
        <v>26</v>
      </c>
      <c r="AY339" s="56" t="s">
        <v>267</v>
      </c>
      <c r="AZ339" s="56" t="s">
        <v>268</v>
      </c>
      <c r="BA339" s="56">
        <v>2</v>
      </c>
      <c r="BB339" s="55" t="s">
        <v>888</v>
      </c>
      <c r="BC339" s="55" t="s">
        <v>270</v>
      </c>
      <c r="BD339" s="55" t="s">
        <v>8374</v>
      </c>
      <c r="BE339" s="56" t="s">
        <v>889</v>
      </c>
      <c r="BF339" s="56" t="s">
        <v>272</v>
      </c>
      <c r="BG339" s="56" t="s">
        <v>272</v>
      </c>
      <c r="BH339" s="56" t="s">
        <v>890</v>
      </c>
      <c r="BI339" s="103">
        <v>9.9999999999999995E-7</v>
      </c>
      <c r="BJ339" s="103">
        <v>0.08</v>
      </c>
      <c r="BK339" s="56"/>
      <c r="BL339" s="103">
        <f t="shared" si="123"/>
        <v>2.3435164157943375E-2</v>
      </c>
      <c r="BM339" s="56" t="s">
        <v>891</v>
      </c>
      <c r="BN339" s="162"/>
      <c r="BO339" s="162"/>
      <c r="BP339" s="162"/>
      <c r="BQ339" s="162"/>
      <c r="BR339" s="162"/>
      <c r="BS339" s="56">
        <v>8.8800000000000007E-3</v>
      </c>
      <c r="BT339" s="162"/>
      <c r="BU339" s="158"/>
      <c r="BV339" s="162"/>
      <c r="BW339" s="162"/>
      <c r="BX339" s="162"/>
      <c r="BY339" s="162"/>
      <c r="BZ339" s="162"/>
      <c r="CA339" s="162"/>
      <c r="CB339" s="162"/>
      <c r="CC339" s="56"/>
      <c r="CD339" s="56"/>
      <c r="CE339" s="56"/>
      <c r="CF339" s="56"/>
      <c r="CG339" s="56"/>
      <c r="CH339" s="56"/>
      <c r="CI339" s="103">
        <f t="shared" si="116"/>
        <v>8.8800000000000007E-3</v>
      </c>
      <c r="CJ339" s="103">
        <f t="shared" si="117"/>
        <v>-2.0515870342213991</v>
      </c>
      <c r="CK339" s="57">
        <f t="shared" si="114"/>
        <v>0.29293955197429217</v>
      </c>
      <c r="CL339" s="160">
        <f t="shared" si="103"/>
        <v>2.6390950628314611</v>
      </c>
      <c r="CM339" s="160">
        <v>-2.2904565918867701</v>
      </c>
      <c r="CN339" s="160">
        <f>BJ339/(10^CM339)</f>
        <v>15.615165044943979</v>
      </c>
      <c r="CO339" s="55" t="s">
        <v>892</v>
      </c>
      <c r="CP339" s="55" t="s">
        <v>893</v>
      </c>
      <c r="CQ339" s="149">
        <v>-2.2216189442987901</v>
      </c>
      <c r="CR339" s="349">
        <f>10^(CJ339-CQ339)</f>
        <v>1.4792170706385468</v>
      </c>
      <c r="CS339" s="61" t="s">
        <v>539</v>
      </c>
      <c r="CT339" s="61"/>
      <c r="CU339" s="111">
        <f t="shared" si="112"/>
        <v>6.9436374083500203</v>
      </c>
      <c r="CV339" s="331">
        <f t="shared" si="115"/>
        <v>0.77074375232685233</v>
      </c>
      <c r="CW339" s="326">
        <f t="shared" si="118"/>
        <v>1</v>
      </c>
      <c r="CX339" s="326" t="s">
        <v>539</v>
      </c>
      <c r="CY339" s="161" t="s">
        <v>5921</v>
      </c>
    </row>
    <row r="340" spans="1:103" ht="11.25" customHeight="1" x14ac:dyDescent="0.2">
      <c r="A340" s="72">
        <v>338</v>
      </c>
      <c r="B340" s="149">
        <v>325</v>
      </c>
      <c r="C340" s="54" t="s">
        <v>6658</v>
      </c>
      <c r="D340" s="54"/>
      <c r="E340" s="59"/>
      <c r="F340" s="59" t="s">
        <v>1257</v>
      </c>
      <c r="G340" s="151">
        <v>100784201</v>
      </c>
      <c r="H340" s="55" t="s">
        <v>1258</v>
      </c>
      <c r="I340" s="55" t="s">
        <v>8332</v>
      </c>
      <c r="J340" s="55" t="s">
        <v>1259</v>
      </c>
      <c r="K340" s="55" t="s">
        <v>1260</v>
      </c>
      <c r="L340" s="55"/>
      <c r="M340" s="55" t="s">
        <v>6082</v>
      </c>
      <c r="N340" s="60"/>
      <c r="O340" s="55" t="s">
        <v>6083</v>
      </c>
      <c r="P340" s="67">
        <v>3</v>
      </c>
      <c r="Q340" s="67" t="s">
        <v>6173</v>
      </c>
      <c r="R340" s="67">
        <v>1</v>
      </c>
      <c r="S340" s="67" t="s">
        <v>6173</v>
      </c>
      <c r="T340" s="56">
        <v>434.81</v>
      </c>
      <c r="U340" s="103">
        <v>3.4497826636921872E-2</v>
      </c>
      <c r="V340" s="103">
        <v>0.2175892918746119</v>
      </c>
      <c r="W340" s="103">
        <v>0.1737800828749376</v>
      </c>
      <c r="X340" s="103">
        <v>3.4497826636921872E-2</v>
      </c>
      <c r="Y340" s="162">
        <v>3.79</v>
      </c>
      <c r="Z340" s="56">
        <v>0.4</v>
      </c>
      <c r="AA340" s="56">
        <v>-0.02</v>
      </c>
      <c r="AB340" s="56">
        <v>1.01</v>
      </c>
      <c r="AC340" s="56">
        <v>0.68240000000000001</v>
      </c>
      <c r="AD340" s="56">
        <v>1.2</v>
      </c>
      <c r="AE340" s="56">
        <v>1.69</v>
      </c>
      <c r="AF340" s="56">
        <f t="shared" si="113"/>
        <v>-0.02</v>
      </c>
      <c r="AG340" s="57">
        <v>0.88</v>
      </c>
      <c r="AH340" s="103">
        <v>9.6200000000000005E-16</v>
      </c>
      <c r="AI340" s="103"/>
      <c r="AJ340" s="62">
        <f t="shared" si="121"/>
        <v>-13.405391254274839</v>
      </c>
      <c r="AK340" s="62"/>
      <c r="AL340" s="62">
        <f t="shared" si="122"/>
        <v>-13.405391254274839</v>
      </c>
      <c r="AM340" s="62">
        <v>-28.066760000000002</v>
      </c>
      <c r="AN340" s="154">
        <v>-19.600000000000001</v>
      </c>
      <c r="AO340" s="410">
        <v>2.58</v>
      </c>
      <c r="AP340" s="410">
        <v>-1.03</v>
      </c>
      <c r="AQ340" s="154" t="s">
        <v>6311</v>
      </c>
      <c r="AR340" s="154" t="s">
        <v>6312</v>
      </c>
      <c r="AS340" s="149" t="s">
        <v>6</v>
      </c>
      <c r="AT340" s="58" t="s">
        <v>266</v>
      </c>
      <c r="AU340" s="56">
        <v>8</v>
      </c>
      <c r="AV340" s="56">
        <v>144</v>
      </c>
      <c r="AW340" s="56">
        <v>120</v>
      </c>
      <c r="AX340" s="56">
        <v>26</v>
      </c>
      <c r="AY340" s="56" t="s">
        <v>267</v>
      </c>
      <c r="AZ340" s="56" t="s">
        <v>268</v>
      </c>
      <c r="BA340" s="56">
        <v>3</v>
      </c>
      <c r="BB340" s="55" t="s">
        <v>888</v>
      </c>
      <c r="BC340" s="55" t="s">
        <v>270</v>
      </c>
      <c r="BD340" s="55" t="s">
        <v>8374</v>
      </c>
      <c r="BE340" s="56" t="s">
        <v>889</v>
      </c>
      <c r="BF340" s="56" t="s">
        <v>272</v>
      </c>
      <c r="BG340" s="56" t="s">
        <v>272</v>
      </c>
      <c r="BH340" s="56" t="s">
        <v>890</v>
      </c>
      <c r="BI340" s="103">
        <v>9.9999999999999995E-7</v>
      </c>
      <c r="BJ340" s="103">
        <v>0.08</v>
      </c>
      <c r="BK340" s="56"/>
      <c r="BL340" s="103">
        <f t="shared" si="123"/>
        <v>22.467771582864401</v>
      </c>
      <c r="BM340" s="56" t="s">
        <v>891</v>
      </c>
      <c r="BN340" s="162"/>
      <c r="BO340" s="162"/>
      <c r="BP340" s="162"/>
      <c r="BQ340" s="162"/>
      <c r="BR340" s="162"/>
      <c r="BS340" s="56">
        <v>4.6164921748011227E-2</v>
      </c>
      <c r="BT340" s="162"/>
      <c r="BU340" s="158"/>
      <c r="BV340" s="162"/>
      <c r="BW340" s="162"/>
      <c r="BX340" s="162"/>
      <c r="BY340" s="162"/>
      <c r="BZ340" s="162"/>
      <c r="CA340" s="162"/>
      <c r="CB340" s="162"/>
      <c r="CC340" s="56"/>
      <c r="CD340" s="56"/>
      <c r="CE340" s="56"/>
      <c r="CF340" s="56"/>
      <c r="CG340" s="56"/>
      <c r="CH340" s="56"/>
      <c r="CI340" s="103">
        <f t="shared" si="116"/>
        <v>4.6164921748011227E-2</v>
      </c>
      <c r="CJ340" s="103">
        <f t="shared" si="117"/>
        <v>-1.3356878962548966</v>
      </c>
      <c r="CK340" s="57">
        <f t="shared" si="114"/>
        <v>280.84714478580503</v>
      </c>
      <c r="CL340" s="160">
        <f t="shared" si="103"/>
        <v>486.68492725934942</v>
      </c>
      <c r="CM340" s="160"/>
      <c r="CN340" s="160"/>
      <c r="CO340" s="55" t="s">
        <v>892</v>
      </c>
      <c r="CP340" s="55" t="s">
        <v>893</v>
      </c>
      <c r="CQ340" s="149" t="s">
        <v>272</v>
      </c>
      <c r="CR340" s="349"/>
      <c r="CS340" s="61" t="s">
        <v>539</v>
      </c>
      <c r="CT340" s="61"/>
      <c r="CU340" s="111">
        <f t="shared" si="112"/>
        <v>0.74727358632223895</v>
      </c>
      <c r="CV340" s="331">
        <f t="shared" si="115"/>
        <v>0.43122283296152336</v>
      </c>
      <c r="CW340" s="326">
        <f t="shared" si="118"/>
        <v>0</v>
      </c>
      <c r="CX340" s="326" t="s">
        <v>539</v>
      </c>
      <c r="CY340" s="161" t="s">
        <v>5921</v>
      </c>
    </row>
    <row r="341" spans="1:103" ht="11.25" customHeight="1" x14ac:dyDescent="0.2">
      <c r="A341" s="72">
        <v>339</v>
      </c>
      <c r="B341" s="149">
        <v>876</v>
      </c>
      <c r="C341" s="54" t="s">
        <v>6659</v>
      </c>
      <c r="D341" s="54"/>
      <c r="E341" s="59"/>
      <c r="F341" s="59" t="s">
        <v>2484</v>
      </c>
      <c r="G341" s="151">
        <v>102409927</v>
      </c>
      <c r="H341" s="475" t="s">
        <v>6635</v>
      </c>
      <c r="I341" s="475" t="s">
        <v>8333</v>
      </c>
      <c r="J341" s="55"/>
      <c r="K341" s="55"/>
      <c r="L341" s="55"/>
      <c r="M341" s="55"/>
      <c r="N341" s="60"/>
      <c r="O341" s="55"/>
      <c r="P341" s="67">
        <v>3</v>
      </c>
      <c r="Q341" s="67" t="s">
        <v>6173</v>
      </c>
      <c r="R341" s="67">
        <v>1</v>
      </c>
      <c r="S341" s="67" t="s">
        <v>6173</v>
      </c>
      <c r="T341" s="56">
        <v>419.39</v>
      </c>
      <c r="U341" s="103"/>
      <c r="V341" s="103">
        <v>1.5415245952454757</v>
      </c>
      <c r="W341" s="103">
        <v>0.64565422903465508</v>
      </c>
      <c r="X341" s="103">
        <f>IF(W341=0,V341,W341)</f>
        <v>0.64565422903465508</v>
      </c>
      <c r="Y341" s="162">
        <v>7</v>
      </c>
      <c r="Z341" s="56">
        <v>0.65</v>
      </c>
      <c r="AA341" s="56"/>
      <c r="AB341" s="56">
        <v>0.23</v>
      </c>
      <c r="AC341" s="56">
        <v>0.50480000000000003</v>
      </c>
      <c r="AD341" s="56">
        <v>-0.09</v>
      </c>
      <c r="AE341" s="56">
        <v>-0.44</v>
      </c>
      <c r="AF341" s="56">
        <f t="shared" si="113"/>
        <v>-0.09</v>
      </c>
      <c r="AG341" s="57" t="s">
        <v>5921</v>
      </c>
      <c r="AH341" s="103">
        <v>9.1300000000000004E-22</v>
      </c>
      <c r="AI341" s="103"/>
      <c r="AJ341" s="62">
        <f t="shared" si="121"/>
        <v>-19.428095548778352</v>
      </c>
      <c r="AK341" s="62"/>
      <c r="AL341" s="62">
        <f t="shared" si="122"/>
        <v>-19.428095548778352</v>
      </c>
      <c r="AM341" s="62">
        <v>-28.992149999999999</v>
      </c>
      <c r="AN341" s="154"/>
      <c r="AO341" s="410">
        <v>13.28</v>
      </c>
      <c r="AP341" s="410">
        <v>-1.42</v>
      </c>
      <c r="AQ341" s="56" t="s">
        <v>6317</v>
      </c>
      <c r="AR341" s="56" t="s">
        <v>6317</v>
      </c>
      <c r="AS341" s="155"/>
      <c r="AT341" s="58" t="s">
        <v>266</v>
      </c>
      <c r="AU341" s="56">
        <v>6</v>
      </c>
      <c r="AV341" s="56">
        <v>120</v>
      </c>
      <c r="AW341" s="56">
        <v>114</v>
      </c>
      <c r="AX341" s="56">
        <v>28</v>
      </c>
      <c r="AY341" s="56" t="s">
        <v>8728</v>
      </c>
      <c r="AZ341" s="56" t="s">
        <v>1563</v>
      </c>
      <c r="BA341" s="56">
        <v>32</v>
      </c>
      <c r="BB341" s="55" t="s">
        <v>2485</v>
      </c>
      <c r="BC341" s="55" t="s">
        <v>8726</v>
      </c>
      <c r="BD341" s="55" t="s">
        <v>8374</v>
      </c>
      <c r="BE341" s="56" t="s">
        <v>2449</v>
      </c>
      <c r="BF341" s="56" t="s">
        <v>272</v>
      </c>
      <c r="BG341" s="56" t="s">
        <v>272</v>
      </c>
      <c r="BH341" s="56" t="s">
        <v>2486</v>
      </c>
      <c r="BI341" s="103">
        <v>6.3999999999999997E-6</v>
      </c>
      <c r="BJ341" s="103">
        <v>6.4000000000000001E-2</v>
      </c>
      <c r="BK341" s="56"/>
      <c r="BL341" s="103">
        <f t="shared" si="123"/>
        <v>13.397846569614826</v>
      </c>
      <c r="BM341" s="55" t="s">
        <v>2487</v>
      </c>
      <c r="BN341" s="56"/>
      <c r="BO341" s="56"/>
      <c r="BP341" s="56"/>
      <c r="BQ341" s="56"/>
      <c r="BR341" s="55">
        <v>2.0238577000000001E-2</v>
      </c>
      <c r="BS341" s="56"/>
      <c r="BT341" s="56"/>
      <c r="BU341" s="158"/>
      <c r="BV341" s="56"/>
      <c r="BW341" s="56"/>
      <c r="BX341" s="56"/>
      <c r="BY341" s="56"/>
      <c r="BZ341" s="56"/>
      <c r="CA341" s="56"/>
      <c r="CB341" s="56"/>
      <c r="CC341" s="56"/>
      <c r="CD341" s="56"/>
      <c r="CE341" s="56"/>
      <c r="CF341" s="56"/>
      <c r="CG341" s="56"/>
      <c r="CH341" s="56"/>
      <c r="CI341" s="103">
        <f t="shared" si="116"/>
        <v>2.0238577000000001E-2</v>
      </c>
      <c r="CJ341" s="103">
        <f t="shared" si="117"/>
        <v>-1.6938200265542473</v>
      </c>
      <c r="CK341" s="57">
        <f t="shared" si="114"/>
        <v>209.34135265023164</v>
      </c>
      <c r="CL341" s="160">
        <f t="shared" si="103"/>
        <v>661.99548365553687</v>
      </c>
      <c r="CM341" s="160"/>
      <c r="CN341" s="160"/>
      <c r="CO341" s="55" t="s">
        <v>2488</v>
      </c>
      <c r="CP341" s="55" t="s">
        <v>2489</v>
      </c>
      <c r="CQ341" s="149" t="s">
        <v>272</v>
      </c>
      <c r="CR341" s="349"/>
      <c r="CS341" s="61" t="s">
        <v>539</v>
      </c>
      <c r="CT341" s="61"/>
      <c r="CU341" s="111">
        <f t="shared" si="112"/>
        <v>31.902155424991346</v>
      </c>
      <c r="CV341" s="331">
        <f t="shared" si="115"/>
        <v>10.088347328666485</v>
      </c>
      <c r="CW341" s="326">
        <f t="shared" si="118"/>
        <v>1</v>
      </c>
      <c r="CX341" s="326"/>
      <c r="CY341" s="161" t="s">
        <v>5921</v>
      </c>
    </row>
    <row r="342" spans="1:103" ht="11.25" customHeight="1" x14ac:dyDescent="0.2">
      <c r="A342" s="72">
        <v>340</v>
      </c>
      <c r="B342" s="149">
        <v>371</v>
      </c>
      <c r="C342" s="54" t="s">
        <v>3280</v>
      </c>
      <c r="D342" s="54" t="s">
        <v>6660</v>
      </c>
      <c r="E342" s="59"/>
      <c r="F342" s="59" t="s">
        <v>1311</v>
      </c>
      <c r="G342" s="151">
        <v>113484</v>
      </c>
      <c r="H342" s="55" t="s">
        <v>1312</v>
      </c>
      <c r="I342" s="55" t="s">
        <v>1312</v>
      </c>
      <c r="J342" s="55" t="s">
        <v>1313</v>
      </c>
      <c r="K342" s="55" t="s">
        <v>1314</v>
      </c>
      <c r="L342" s="55" t="s">
        <v>617</v>
      </c>
      <c r="M342" s="55" t="s">
        <v>6000</v>
      </c>
      <c r="N342" s="60" t="s">
        <v>2342</v>
      </c>
      <c r="O342" s="55" t="s">
        <v>6001</v>
      </c>
      <c r="P342" s="67">
        <v>3</v>
      </c>
      <c r="Q342" s="67" t="s">
        <v>6173</v>
      </c>
      <c r="R342" s="67">
        <v>1</v>
      </c>
      <c r="S342" s="67" t="s">
        <v>6173</v>
      </c>
      <c r="T342" s="56">
        <v>275.39</v>
      </c>
      <c r="U342" s="103"/>
      <c r="V342" s="103">
        <v>4.2775699916482078E-2</v>
      </c>
      <c r="W342" s="103">
        <v>1.9498445997580431E-2</v>
      </c>
      <c r="X342" s="103">
        <f>IF(W342=0,V342,W342)</f>
        <v>1.9498445997580431E-2</v>
      </c>
      <c r="Y342" s="162">
        <v>7</v>
      </c>
      <c r="Z342" s="56">
        <v>3.76</v>
      </c>
      <c r="AA342" s="56">
        <v>3.7</v>
      </c>
      <c r="AB342" s="56">
        <v>3.56</v>
      </c>
      <c r="AC342" s="56">
        <v>0.70889999999999997</v>
      </c>
      <c r="AD342" s="56">
        <v>3.66</v>
      </c>
      <c r="AE342" s="56">
        <v>3.85</v>
      </c>
      <c r="AF342" s="56">
        <f t="shared" si="113"/>
        <v>3.7</v>
      </c>
      <c r="AG342" s="57">
        <v>3.03</v>
      </c>
      <c r="AH342" s="103">
        <v>2.8500000000000002E-7</v>
      </c>
      <c r="AI342" s="103"/>
      <c r="AJ342" s="62">
        <f t="shared" si="121"/>
        <v>-4.9337214663041413</v>
      </c>
      <c r="AK342" s="62"/>
      <c r="AL342" s="62">
        <f t="shared" si="122"/>
        <v>-4.9337214663041413</v>
      </c>
      <c r="AM342" s="62">
        <v>-11.151609999999998</v>
      </c>
      <c r="AN342" s="154">
        <v>-5.39</v>
      </c>
      <c r="AO342" s="410"/>
      <c r="AP342" s="410">
        <v>-7.53</v>
      </c>
      <c r="AQ342" s="154" t="s">
        <v>6311</v>
      </c>
      <c r="AR342" s="154" t="s">
        <v>6311</v>
      </c>
      <c r="AS342" s="149" t="s">
        <v>6</v>
      </c>
      <c r="AT342" s="58" t="s">
        <v>266</v>
      </c>
      <c r="AU342" s="56">
        <v>8</v>
      </c>
      <c r="AV342" s="56">
        <v>144</v>
      </c>
      <c r="AW342" s="56">
        <v>120</v>
      </c>
      <c r="AX342" s="56">
        <v>26</v>
      </c>
      <c r="AY342" s="56" t="s">
        <v>267</v>
      </c>
      <c r="AZ342" s="56" t="s">
        <v>268</v>
      </c>
      <c r="BA342" s="56">
        <v>2</v>
      </c>
      <c r="BB342" s="55" t="s">
        <v>888</v>
      </c>
      <c r="BC342" s="55" t="s">
        <v>270</v>
      </c>
      <c r="BD342" s="55" t="s">
        <v>8374</v>
      </c>
      <c r="BE342" s="56" t="s">
        <v>889</v>
      </c>
      <c r="BF342" s="56" t="s">
        <v>272</v>
      </c>
      <c r="BG342" s="56" t="s">
        <v>272</v>
      </c>
      <c r="BH342" s="56" t="s">
        <v>890</v>
      </c>
      <c r="BI342" s="103">
        <v>9.9999999999999995E-7</v>
      </c>
      <c r="BJ342" s="103">
        <v>0.08</v>
      </c>
      <c r="BK342" s="56"/>
      <c r="BL342" s="103">
        <f t="shared" si="123"/>
        <v>2.1574661972438215E-2</v>
      </c>
      <c r="BM342" s="56" t="s">
        <v>891</v>
      </c>
      <c r="BN342" s="162"/>
      <c r="BO342" s="162"/>
      <c r="BP342" s="162"/>
      <c r="BQ342" s="162"/>
      <c r="BR342" s="162"/>
      <c r="BS342" s="56">
        <v>8.8800000000000007E-3</v>
      </c>
      <c r="BT342" s="162"/>
      <c r="BU342" s="158"/>
      <c r="BV342" s="162"/>
      <c r="BW342" s="162"/>
      <c r="BX342" s="162"/>
      <c r="BY342" s="162"/>
      <c r="BZ342" s="162"/>
      <c r="CA342" s="162"/>
      <c r="CB342" s="162"/>
      <c r="CC342" s="56"/>
      <c r="CD342" s="56"/>
      <c r="CE342" s="56"/>
      <c r="CF342" s="56"/>
      <c r="CG342" s="56"/>
      <c r="CH342" s="56"/>
      <c r="CI342" s="103">
        <f t="shared" si="116"/>
        <v>8.8800000000000007E-3</v>
      </c>
      <c r="CJ342" s="103">
        <f t="shared" si="117"/>
        <v>-2.0515870342213991</v>
      </c>
      <c r="CK342" s="57">
        <f t="shared" si="114"/>
        <v>0.2696832746554777</v>
      </c>
      <c r="CL342" s="160">
        <f t="shared" si="103"/>
        <v>2.4295790509502493</v>
      </c>
      <c r="CM342" s="160">
        <v>-2.9062382250852181</v>
      </c>
      <c r="CN342" s="160">
        <f>BJ342/(10^CM342)</f>
        <v>64.465627157226592</v>
      </c>
      <c r="CO342" s="55" t="s">
        <v>892</v>
      </c>
      <c r="CP342" s="55" t="s">
        <v>893</v>
      </c>
      <c r="CQ342" s="149">
        <v>-2.694612899897403</v>
      </c>
      <c r="CR342" s="349">
        <f>10^(CJ342-CQ342)</f>
        <v>4.3956779440176232</v>
      </c>
      <c r="CS342" s="61" t="s">
        <v>539</v>
      </c>
      <c r="CT342" s="61"/>
      <c r="CU342" s="111">
        <f t="shared" si="112"/>
        <v>2.195770945673472</v>
      </c>
      <c r="CV342" s="331">
        <f t="shared" si="115"/>
        <v>0.24373057496975539</v>
      </c>
      <c r="CW342" s="326">
        <f t="shared" si="118"/>
        <v>1</v>
      </c>
      <c r="CX342" s="326" t="s">
        <v>539</v>
      </c>
      <c r="CY342" s="161" t="s">
        <v>5921</v>
      </c>
    </row>
    <row r="343" spans="1:103" ht="11.25" customHeight="1" x14ac:dyDescent="0.2">
      <c r="A343" s="72">
        <v>341</v>
      </c>
      <c r="B343" s="149">
        <v>312</v>
      </c>
      <c r="C343" s="54" t="s">
        <v>1222</v>
      </c>
      <c r="D343" s="54" t="s">
        <v>6661</v>
      </c>
      <c r="E343" s="59"/>
      <c r="F343" s="59" t="s">
        <v>1223</v>
      </c>
      <c r="G343" s="151">
        <v>103361097</v>
      </c>
      <c r="H343" s="55" t="s">
        <v>1224</v>
      </c>
      <c r="I343" s="55" t="s">
        <v>8157</v>
      </c>
      <c r="J343" s="55" t="s">
        <v>1225</v>
      </c>
      <c r="K343" s="55" t="s">
        <v>1226</v>
      </c>
      <c r="L343" s="55" t="s">
        <v>6158</v>
      </c>
      <c r="M343" s="55" t="s">
        <v>6159</v>
      </c>
      <c r="N343" s="60" t="s">
        <v>6385</v>
      </c>
      <c r="O343" s="55" t="s">
        <v>5957</v>
      </c>
      <c r="P343" s="67">
        <v>3</v>
      </c>
      <c r="Q343" s="67" t="s">
        <v>6173</v>
      </c>
      <c r="R343" s="67">
        <v>1</v>
      </c>
      <c r="S343" s="67" t="s">
        <v>6173</v>
      </c>
      <c r="T343" s="56">
        <v>354.33</v>
      </c>
      <c r="U343" s="103">
        <v>5.0517878813535408E-3</v>
      </c>
      <c r="V343" s="103">
        <v>0.109333107555104</v>
      </c>
      <c r="W343" s="103">
        <v>3.0199517204020148E-3</v>
      </c>
      <c r="X343" s="103">
        <v>5.0517878813535408E-3</v>
      </c>
      <c r="Y343" s="162">
        <v>7</v>
      </c>
      <c r="Z343" s="56">
        <v>1.34</v>
      </c>
      <c r="AA343" s="56">
        <v>2.5499999999999998</v>
      </c>
      <c r="AB343" s="56">
        <v>1.93</v>
      </c>
      <c r="AC343" s="56">
        <v>0.7702</v>
      </c>
      <c r="AD343" s="56">
        <v>2</v>
      </c>
      <c r="AE343" s="56">
        <v>2.29</v>
      </c>
      <c r="AF343" s="56">
        <f t="shared" si="113"/>
        <v>2.5499999999999998</v>
      </c>
      <c r="AG343" s="57">
        <v>1.46</v>
      </c>
      <c r="AH343" s="103">
        <v>5.1700000000000003E-14</v>
      </c>
      <c r="AI343" s="103">
        <v>6.2799999999999996E-7</v>
      </c>
      <c r="AJ343" s="62">
        <f t="shared" si="121"/>
        <v>-11.675075783218709</v>
      </c>
      <c r="AK343" s="62">
        <f>LOG10(AI343*1000/(0.08206*298.15))</f>
        <v>-4.5906066825754559</v>
      </c>
      <c r="AL343" s="62">
        <f t="shared" si="122"/>
        <v>-4.5906066825754559</v>
      </c>
      <c r="AM343" s="62">
        <v>-19.772009999999998</v>
      </c>
      <c r="AN343" s="154">
        <v>-13.9</v>
      </c>
      <c r="AO343" s="410"/>
      <c r="AP343" s="410"/>
      <c r="AQ343" s="154" t="s">
        <v>6311</v>
      </c>
      <c r="AR343" s="154" t="s">
        <v>6311</v>
      </c>
      <c r="AS343" s="149" t="s">
        <v>6</v>
      </c>
      <c r="AT343" s="58" t="s">
        <v>266</v>
      </c>
      <c r="AU343" s="56">
        <v>8</v>
      </c>
      <c r="AV343" s="56">
        <v>144</v>
      </c>
      <c r="AW343" s="56">
        <v>120</v>
      </c>
      <c r="AX343" s="56">
        <v>26</v>
      </c>
      <c r="AY343" s="56" t="s">
        <v>267</v>
      </c>
      <c r="AZ343" s="56" t="s">
        <v>268</v>
      </c>
      <c r="BA343" s="56">
        <v>2</v>
      </c>
      <c r="BB343" s="55" t="s">
        <v>888</v>
      </c>
      <c r="BC343" s="55" t="s">
        <v>270</v>
      </c>
      <c r="BD343" s="55" t="s">
        <v>8374</v>
      </c>
      <c r="BE343" s="56" t="s">
        <v>889</v>
      </c>
      <c r="BF343" s="56" t="s">
        <v>272</v>
      </c>
      <c r="BG343" s="56" t="s">
        <v>272</v>
      </c>
      <c r="BH343" s="56" t="s">
        <v>890</v>
      </c>
      <c r="BI343" s="103">
        <v>9.9999999999999995E-7</v>
      </c>
      <c r="BJ343" s="103">
        <v>0.08</v>
      </c>
      <c r="BK343" s="56"/>
      <c r="BL343" s="103">
        <f t="shared" si="123"/>
        <v>3.2162218642919709</v>
      </c>
      <c r="BM343" s="56" t="s">
        <v>891</v>
      </c>
      <c r="BN343" s="162"/>
      <c r="BO343" s="162"/>
      <c r="BP343" s="162"/>
      <c r="BQ343" s="162"/>
      <c r="BR343" s="162"/>
      <c r="BS343" s="56">
        <v>8.8800000000000007E-3</v>
      </c>
      <c r="BT343" s="162"/>
      <c r="BU343" s="158"/>
      <c r="BV343" s="162"/>
      <c r="BW343" s="162"/>
      <c r="BX343" s="162"/>
      <c r="BY343" s="162"/>
      <c r="BZ343" s="162"/>
      <c r="CA343" s="162"/>
      <c r="CB343" s="162"/>
      <c r="CC343" s="56"/>
      <c r="CD343" s="56"/>
      <c r="CE343" s="56"/>
      <c r="CF343" s="56"/>
      <c r="CG343" s="56"/>
      <c r="CH343" s="56"/>
      <c r="CI343" s="103">
        <f t="shared" si="116"/>
        <v>8.8800000000000007E-3</v>
      </c>
      <c r="CJ343" s="103">
        <f t="shared" si="117"/>
        <v>-2.0515870342213991</v>
      </c>
      <c r="CK343" s="57">
        <f t="shared" si="114"/>
        <v>40.202773303649636</v>
      </c>
      <c r="CL343" s="160">
        <f t="shared" si="103"/>
        <v>362.18714687972641</v>
      </c>
      <c r="CM343" s="160">
        <v>-2.1876800882119616</v>
      </c>
      <c r="CN343" s="160">
        <f>BJ343/(10^CM343)</f>
        <v>12.324521739130439</v>
      </c>
      <c r="CO343" s="55" t="s">
        <v>892</v>
      </c>
      <c r="CP343" s="55" t="s">
        <v>893</v>
      </c>
      <c r="CQ343" s="149">
        <v>-2.1876800882119616</v>
      </c>
      <c r="CR343" s="349">
        <f>10^(CJ343-CQ343)</f>
        <v>1.3680219130434781</v>
      </c>
      <c r="CS343" s="61" t="s">
        <v>539</v>
      </c>
      <c r="CT343" s="61"/>
      <c r="CU343" s="111">
        <f t="shared" si="112"/>
        <v>0.56889503168395728</v>
      </c>
      <c r="CV343" s="331">
        <f t="shared" si="115"/>
        <v>6.3147348516919263E-2</v>
      </c>
      <c r="CW343" s="326">
        <f t="shared" si="118"/>
        <v>0</v>
      </c>
      <c r="CX343" s="326" t="s">
        <v>539</v>
      </c>
      <c r="CY343" s="161" t="s">
        <v>5921</v>
      </c>
    </row>
    <row r="344" spans="1:103" ht="11.25" customHeight="1" x14ac:dyDescent="0.2">
      <c r="A344" s="72">
        <v>342</v>
      </c>
      <c r="B344" s="149">
        <v>1008</v>
      </c>
      <c r="C344" s="54" t="s">
        <v>6662</v>
      </c>
      <c r="D344" s="54"/>
      <c r="E344" s="59"/>
      <c r="F344" s="59" t="s">
        <v>2881</v>
      </c>
      <c r="G344" s="151">
        <v>105624860</v>
      </c>
      <c r="H344" s="55" t="s">
        <v>2882</v>
      </c>
      <c r="I344" s="55" t="s">
        <v>7812</v>
      </c>
      <c r="J344" s="55" t="s">
        <v>2883</v>
      </c>
      <c r="K344" s="55" t="s">
        <v>2884</v>
      </c>
      <c r="L344" s="55"/>
      <c r="M344" s="55"/>
      <c r="N344" s="60"/>
      <c r="O344" s="55"/>
      <c r="P344" s="67">
        <v>3</v>
      </c>
      <c r="Q344" s="67" t="s">
        <v>6173</v>
      </c>
      <c r="R344" s="67">
        <v>1</v>
      </c>
      <c r="S344" s="67" t="s">
        <v>6173</v>
      </c>
      <c r="T344" s="56">
        <v>323.39</v>
      </c>
      <c r="U344" s="103"/>
      <c r="V344" s="103">
        <v>3.2406691610748634E-2</v>
      </c>
      <c r="W344" s="103">
        <v>3.2359365692962778E-2</v>
      </c>
      <c r="X344" s="103">
        <f>IF(W344=0,V344,W344)</f>
        <v>3.2359365692962778E-2</v>
      </c>
      <c r="Y344" s="162">
        <v>5.81</v>
      </c>
      <c r="Z344" s="56">
        <v>4.1100000000000003</v>
      </c>
      <c r="AA344" s="56"/>
      <c r="AB344" s="56">
        <v>4.12</v>
      </c>
      <c r="AC344" s="56">
        <v>0.57799999999999996</v>
      </c>
      <c r="AD344" s="56">
        <v>4.21</v>
      </c>
      <c r="AE344" s="56">
        <v>4.34</v>
      </c>
      <c r="AF344" s="56">
        <f t="shared" si="113"/>
        <v>4.21</v>
      </c>
      <c r="AG344" s="57">
        <v>4.1900000000000004</v>
      </c>
      <c r="AH344" s="103">
        <v>2.07E-11</v>
      </c>
      <c r="AI344" s="103"/>
      <c r="AJ344" s="62">
        <f t="shared" si="121"/>
        <v>-9.0725959808557342</v>
      </c>
      <c r="AK344" s="62"/>
      <c r="AL344" s="62">
        <f t="shared" si="122"/>
        <v>-9.0725959808557342</v>
      </c>
      <c r="AM344" s="62">
        <v>-17.969070000000002</v>
      </c>
      <c r="AN344" s="154">
        <v>-9.5399999999999991</v>
      </c>
      <c r="AO344" s="410">
        <v>7.11</v>
      </c>
      <c r="AP344" s="410">
        <v>-3.02</v>
      </c>
      <c r="AQ344" s="56" t="s">
        <v>6311</v>
      </c>
      <c r="AR344" s="56" t="s">
        <v>6311</v>
      </c>
      <c r="AS344" s="155"/>
      <c r="AT344" s="58" t="s">
        <v>266</v>
      </c>
      <c r="AU344" s="56">
        <v>6</v>
      </c>
      <c r="AV344" s="56">
        <v>120</v>
      </c>
      <c r="AW344" s="56">
        <v>114</v>
      </c>
      <c r="AX344" s="56">
        <v>28</v>
      </c>
      <c r="AY344" s="56" t="s">
        <v>8728</v>
      </c>
      <c r="AZ344" s="56" t="s">
        <v>1563</v>
      </c>
      <c r="BA344" s="56">
        <v>32</v>
      </c>
      <c r="BB344" s="55" t="s">
        <v>2485</v>
      </c>
      <c r="BC344" s="55" t="s">
        <v>8726</v>
      </c>
      <c r="BD344" s="55" t="s">
        <v>8374</v>
      </c>
      <c r="BE344" s="56" t="s">
        <v>2449</v>
      </c>
      <c r="BF344" s="56" t="s">
        <v>272</v>
      </c>
      <c r="BG344" s="56" t="s">
        <v>272</v>
      </c>
      <c r="BH344" s="56" t="s">
        <v>2486</v>
      </c>
      <c r="BI344" s="103">
        <v>6.3999999999999997E-6</v>
      </c>
      <c r="BJ344" s="103">
        <v>6.4000000000000001E-2</v>
      </c>
      <c r="BK344" s="56"/>
      <c r="BL344" s="103">
        <f t="shared" si="123"/>
        <v>1.0461862311927477E-2</v>
      </c>
      <c r="BM344" s="56" t="s">
        <v>2046</v>
      </c>
      <c r="BN344" s="56"/>
      <c r="BO344" s="56"/>
      <c r="BP344" s="56"/>
      <c r="BQ344" s="56"/>
      <c r="BR344" s="55">
        <v>2.0238577000000001E-2</v>
      </c>
      <c r="BS344" s="56"/>
      <c r="BT344" s="56"/>
      <c r="BU344" s="158"/>
      <c r="BV344" s="56"/>
      <c r="BW344" s="56"/>
      <c r="BX344" s="56"/>
      <c r="BY344" s="56"/>
      <c r="BZ344" s="56"/>
      <c r="CA344" s="56"/>
      <c r="CB344" s="56"/>
      <c r="CC344" s="56"/>
      <c r="CD344" s="56"/>
      <c r="CE344" s="56"/>
      <c r="CF344" s="56"/>
      <c r="CG344" s="56"/>
      <c r="CH344" s="56"/>
      <c r="CI344" s="103">
        <f t="shared" si="116"/>
        <v>2.0238577000000001E-2</v>
      </c>
      <c r="CJ344" s="103">
        <f t="shared" si="117"/>
        <v>-1.6938200265542473</v>
      </c>
      <c r="CK344" s="57">
        <f t="shared" si="114"/>
        <v>0.16346659862386684</v>
      </c>
      <c r="CL344" s="160">
        <f t="shared" si="103"/>
        <v>0.5169267736524894</v>
      </c>
      <c r="CM344" s="160"/>
      <c r="CN344" s="160"/>
      <c r="CO344" s="55" t="s">
        <v>2488</v>
      </c>
      <c r="CP344" s="55" t="s">
        <v>2489</v>
      </c>
      <c r="CQ344" s="149" t="s">
        <v>272</v>
      </c>
      <c r="CR344" s="349"/>
      <c r="CS344" s="61" t="s">
        <v>539</v>
      </c>
      <c r="CT344" s="61"/>
      <c r="CU344" s="111">
        <f t="shared" si="112"/>
        <v>1.5988953024198675</v>
      </c>
      <c r="CV344" s="331">
        <f t="shared" si="115"/>
        <v>0.50561508895254337</v>
      </c>
      <c r="CW344" s="326">
        <f t="shared" si="118"/>
        <v>0</v>
      </c>
      <c r="CX344" s="326"/>
      <c r="CY344" s="161" t="s">
        <v>5921</v>
      </c>
    </row>
    <row r="345" spans="1:103" ht="11.25" customHeight="1" x14ac:dyDescent="0.2">
      <c r="A345" s="72">
        <v>343</v>
      </c>
      <c r="B345" s="149">
        <v>170</v>
      </c>
      <c r="C345" s="54" t="s">
        <v>883</v>
      </c>
      <c r="D345" s="54" t="s">
        <v>6630</v>
      </c>
      <c r="E345" s="59"/>
      <c r="F345" s="59" t="s">
        <v>884</v>
      </c>
      <c r="G345" s="151">
        <v>111812589</v>
      </c>
      <c r="H345" s="55" t="s">
        <v>885</v>
      </c>
      <c r="I345" s="55" t="s">
        <v>885</v>
      </c>
      <c r="J345" s="55" t="s">
        <v>886</v>
      </c>
      <c r="K345" s="55" t="s">
        <v>887</v>
      </c>
      <c r="L345" s="55" t="s">
        <v>5925</v>
      </c>
      <c r="M345" s="55" t="s">
        <v>5923</v>
      </c>
      <c r="N345" s="60"/>
      <c r="O345" s="64" t="s">
        <v>5924</v>
      </c>
      <c r="P345" s="67">
        <v>3</v>
      </c>
      <c r="Q345" s="67" t="s">
        <v>6173</v>
      </c>
      <c r="R345" s="67">
        <v>1</v>
      </c>
      <c r="S345" s="67" t="s">
        <v>6173</v>
      </c>
      <c r="T345" s="56">
        <v>421.49</v>
      </c>
      <c r="U345" s="103">
        <v>3.463901871930532E-5</v>
      </c>
      <c r="V345" s="103">
        <v>2.8114546015326576E-4</v>
      </c>
      <c r="W345" s="103">
        <v>4.7863009232263745E-4</v>
      </c>
      <c r="X345" s="103">
        <v>3.463901871930532E-5</v>
      </c>
      <c r="Y345" s="162">
        <v>7</v>
      </c>
      <c r="Z345" s="56">
        <v>5.57</v>
      </c>
      <c r="AA345" s="56">
        <v>5.01</v>
      </c>
      <c r="AB345" s="56">
        <v>4.72</v>
      </c>
      <c r="AC345" s="56">
        <v>0.85519999999999996</v>
      </c>
      <c r="AD345" s="56">
        <v>5.09</v>
      </c>
      <c r="AE345" s="56">
        <v>6.44</v>
      </c>
      <c r="AF345" s="56">
        <f t="shared" si="113"/>
        <v>5.01</v>
      </c>
      <c r="AG345" s="57">
        <v>5.62</v>
      </c>
      <c r="AH345" s="103">
        <v>4.9099999999999997E-11</v>
      </c>
      <c r="AI345" s="103">
        <v>2.1399999999999998E-6</v>
      </c>
      <c r="AJ345" s="62">
        <f t="shared" si="121"/>
        <v>-8.6974848341896838</v>
      </c>
      <c r="AK345" s="62">
        <f>LOG10(AI345*1000/(0.08206*298.15))</f>
        <v>-4.0581525529634606</v>
      </c>
      <c r="AL345" s="62">
        <f t="shared" si="122"/>
        <v>-4.0581525529634606</v>
      </c>
      <c r="AM345" s="62">
        <v>-16.903649999999999</v>
      </c>
      <c r="AN345" s="154">
        <v>-5.45</v>
      </c>
      <c r="AO345" s="410"/>
      <c r="AP345" s="410">
        <v>1.58</v>
      </c>
      <c r="AQ345" s="154" t="s">
        <v>6311</v>
      </c>
      <c r="AR345" s="154" t="s">
        <v>6312</v>
      </c>
      <c r="AS345" s="149" t="s">
        <v>6</v>
      </c>
      <c r="AT345" s="58" t="s">
        <v>266</v>
      </c>
      <c r="AU345" s="56">
        <v>8</v>
      </c>
      <c r="AV345" s="56">
        <v>144</v>
      </c>
      <c r="AW345" s="56">
        <v>120</v>
      </c>
      <c r="AX345" s="56">
        <v>26</v>
      </c>
      <c r="AY345" s="56" t="s">
        <v>267</v>
      </c>
      <c r="AZ345" s="56" t="s">
        <v>268</v>
      </c>
      <c r="BA345" s="56">
        <v>2</v>
      </c>
      <c r="BB345" s="55" t="s">
        <v>888</v>
      </c>
      <c r="BC345" s="55" t="s">
        <v>270</v>
      </c>
      <c r="BD345" s="55" t="s">
        <v>8374</v>
      </c>
      <c r="BE345" s="56" t="s">
        <v>889</v>
      </c>
      <c r="BF345" s="56" t="s">
        <v>272</v>
      </c>
      <c r="BG345" s="56" t="s">
        <v>272</v>
      </c>
      <c r="BH345" s="56" t="s">
        <v>890</v>
      </c>
      <c r="BI345" s="103">
        <v>9.9999999999999995E-7</v>
      </c>
      <c r="BJ345" s="103">
        <v>0.08</v>
      </c>
      <c r="BK345" s="56"/>
      <c r="BL345" s="103">
        <f t="shared" si="123"/>
        <v>5.1095540785202418E-4</v>
      </c>
      <c r="BM345" s="56" t="s">
        <v>891</v>
      </c>
      <c r="BN345" s="162"/>
      <c r="BO345" s="162"/>
      <c r="BP345" s="162"/>
      <c r="BQ345" s="162"/>
      <c r="BR345" s="162"/>
      <c r="BS345" s="56">
        <v>1.8727519857151401E-4</v>
      </c>
      <c r="BT345" s="162"/>
      <c r="BU345" s="158"/>
      <c r="BV345" s="162"/>
      <c r="BW345" s="162"/>
      <c r="BX345" s="162"/>
      <c r="BY345" s="162"/>
      <c r="BZ345" s="162"/>
      <c r="CA345" s="162"/>
      <c r="CB345" s="162"/>
      <c r="CC345" s="56"/>
      <c r="CD345" s="56"/>
      <c r="CE345" s="56"/>
      <c r="CF345" s="56"/>
      <c r="CG345" s="56"/>
      <c r="CH345" s="56"/>
      <c r="CI345" s="103">
        <f t="shared" si="116"/>
        <v>1.8727519857151401E-4</v>
      </c>
      <c r="CJ345" s="103">
        <f t="shared" si="117"/>
        <v>-3.7275197337658716</v>
      </c>
      <c r="CK345" s="57">
        <f t="shared" si="114"/>
        <v>6.3869425981503023E-3</v>
      </c>
      <c r="CL345" s="160">
        <f t="shared" ref="CL345:CL408" si="124">BL345/CI345</f>
        <v>2.728366659063548</v>
      </c>
      <c r="CM345" s="160"/>
      <c r="CN345" s="160"/>
      <c r="CO345" s="55" t="s">
        <v>892</v>
      </c>
      <c r="CP345" s="55" t="s">
        <v>893</v>
      </c>
      <c r="CQ345" s="149" t="s">
        <v>272</v>
      </c>
      <c r="CR345" s="349"/>
      <c r="CS345" s="61" t="s">
        <v>539</v>
      </c>
      <c r="CT345" s="61"/>
      <c r="CU345" s="111">
        <f t="shared" si="112"/>
        <v>0.18496319311645457</v>
      </c>
      <c r="CV345" s="331">
        <f t="shared" si="115"/>
        <v>4.3298773399131648E-4</v>
      </c>
      <c r="CW345" s="326">
        <f t="shared" si="118"/>
        <v>0</v>
      </c>
      <c r="CX345" s="326" t="s">
        <v>539</v>
      </c>
      <c r="CY345" s="161" t="s">
        <v>5921</v>
      </c>
    </row>
    <row r="346" spans="1:103" ht="11.25" customHeight="1" x14ac:dyDescent="0.2">
      <c r="A346" s="72">
        <v>344</v>
      </c>
      <c r="B346" s="149">
        <v>1136</v>
      </c>
      <c r="C346" s="54" t="s">
        <v>6663</v>
      </c>
      <c r="D346" s="54"/>
      <c r="E346" s="59"/>
      <c r="F346" s="59" t="s">
        <v>884</v>
      </c>
      <c r="G346" s="151">
        <v>111812589</v>
      </c>
      <c r="H346" s="55" t="s">
        <v>885</v>
      </c>
      <c r="I346" s="55" t="s">
        <v>885</v>
      </c>
      <c r="J346" s="55" t="s">
        <v>886</v>
      </c>
      <c r="K346" s="55" t="s">
        <v>887</v>
      </c>
      <c r="L346" s="64"/>
      <c r="M346" s="55"/>
      <c r="N346" s="60"/>
      <c r="O346" s="55"/>
      <c r="P346" s="67">
        <v>3</v>
      </c>
      <c r="Q346" s="67" t="s">
        <v>6173</v>
      </c>
      <c r="R346" s="67">
        <v>1</v>
      </c>
      <c r="S346" s="67" t="s">
        <v>6173</v>
      </c>
      <c r="T346" s="56">
        <v>421.49</v>
      </c>
      <c r="U346" s="103">
        <v>3.463901871930532E-5</v>
      </c>
      <c r="V346" s="103">
        <v>2.8114546015326576E-4</v>
      </c>
      <c r="W346" s="103">
        <v>4.7863009232263745E-4</v>
      </c>
      <c r="X346" s="103">
        <v>3.463901871930532E-5</v>
      </c>
      <c r="Y346" s="162">
        <v>7</v>
      </c>
      <c r="Z346" s="56">
        <v>5.57</v>
      </c>
      <c r="AA346" s="56">
        <v>5.01</v>
      </c>
      <c r="AB346" s="56">
        <v>4.72</v>
      </c>
      <c r="AC346" s="56">
        <v>0.85519999999999996</v>
      </c>
      <c r="AD346" s="56">
        <v>5.09</v>
      </c>
      <c r="AE346" s="56">
        <v>6.44</v>
      </c>
      <c r="AF346" s="56">
        <f t="shared" si="113"/>
        <v>5.01</v>
      </c>
      <c r="AG346" s="57">
        <v>5.62</v>
      </c>
      <c r="AH346" s="103">
        <v>4.9099999999999997E-11</v>
      </c>
      <c r="AI346" s="103">
        <v>2.1399999999999998E-6</v>
      </c>
      <c r="AJ346" s="62">
        <f t="shared" si="121"/>
        <v>-8.6974848341896838</v>
      </c>
      <c r="AK346" s="62">
        <f>LOG10(AI346*1000/(0.08206*298.15))</f>
        <v>-4.0581525529634606</v>
      </c>
      <c r="AL346" s="62">
        <f t="shared" si="122"/>
        <v>-4.0581525529634606</v>
      </c>
      <c r="AM346" s="62">
        <v>-16.903649999999999</v>
      </c>
      <c r="AN346" s="154">
        <v>-5.45</v>
      </c>
      <c r="AO346" s="410"/>
      <c r="AP346" s="410">
        <v>1.58</v>
      </c>
      <c r="AQ346" s="56" t="s">
        <v>6311</v>
      </c>
      <c r="AR346" s="56" t="s">
        <v>6312</v>
      </c>
      <c r="AS346" s="155"/>
      <c r="AT346" s="58" t="s">
        <v>266</v>
      </c>
      <c r="AU346" s="56">
        <v>6</v>
      </c>
      <c r="AV346" s="56">
        <v>120</v>
      </c>
      <c r="AW346" s="56">
        <v>114</v>
      </c>
      <c r="AX346" s="56">
        <v>28</v>
      </c>
      <c r="AY346" s="56" t="s">
        <v>8728</v>
      </c>
      <c r="AZ346" s="56" t="s">
        <v>1563</v>
      </c>
      <c r="BA346" s="56">
        <v>32</v>
      </c>
      <c r="BB346" s="55" t="s">
        <v>2485</v>
      </c>
      <c r="BC346" s="55" t="s">
        <v>8726</v>
      </c>
      <c r="BD346" s="55" t="s">
        <v>8374</v>
      </c>
      <c r="BE346" s="56" t="s">
        <v>2449</v>
      </c>
      <c r="BF346" s="56" t="s">
        <v>272</v>
      </c>
      <c r="BG346" s="56" t="s">
        <v>272</v>
      </c>
      <c r="BH346" s="56" t="s">
        <v>2486</v>
      </c>
      <c r="BI346" s="103">
        <v>6.3999999999999997E-6</v>
      </c>
      <c r="BJ346" s="103">
        <v>6.4000000000000001E-2</v>
      </c>
      <c r="BK346" s="56"/>
      <c r="BL346" s="103">
        <f t="shared" si="123"/>
        <v>5.1095540785202418E-4</v>
      </c>
      <c r="BM346" s="56" t="s">
        <v>2046</v>
      </c>
      <c r="BN346" s="56">
        <v>20.238577029999998</v>
      </c>
      <c r="BO346" s="56"/>
      <c r="BP346" s="56"/>
      <c r="BQ346" s="56"/>
      <c r="BR346" s="55">
        <v>2.0238579999999999E-3</v>
      </c>
      <c r="BS346" s="56"/>
      <c r="BT346" s="56"/>
      <c r="BU346" s="158"/>
      <c r="BV346" s="56"/>
      <c r="BW346" s="56"/>
      <c r="BX346" s="56"/>
      <c r="BY346" s="56"/>
      <c r="BZ346" s="56"/>
      <c r="CA346" s="56"/>
      <c r="CB346" s="56"/>
      <c r="CC346" s="56"/>
      <c r="CD346" s="56"/>
      <c r="CE346" s="56"/>
      <c r="CF346" s="56"/>
      <c r="CG346" s="56"/>
      <c r="CH346" s="56"/>
      <c r="CI346" s="103">
        <f t="shared" si="116"/>
        <v>2.0238579999999999E-3</v>
      </c>
      <c r="CJ346" s="103">
        <f t="shared" si="117"/>
        <v>-2.6938199621780141</v>
      </c>
      <c r="CK346" s="57">
        <f t="shared" si="114"/>
        <v>7.9836782476878781E-3</v>
      </c>
      <c r="CL346" s="160">
        <f t="shared" si="124"/>
        <v>0.25246603657570055</v>
      </c>
      <c r="CM346" s="160"/>
      <c r="CN346" s="160"/>
      <c r="CO346" s="55" t="s">
        <v>2488</v>
      </c>
      <c r="CP346" s="55" t="s">
        <v>2489</v>
      </c>
      <c r="CQ346" s="149" t="s">
        <v>272</v>
      </c>
      <c r="CR346" s="349"/>
      <c r="CS346" s="61" t="s">
        <v>539</v>
      </c>
      <c r="CT346" s="61"/>
      <c r="CU346" s="111">
        <f t="shared" si="112"/>
        <v>1.7115340463266356E-2</v>
      </c>
      <c r="CV346" s="331">
        <f t="shared" si="115"/>
        <v>5.4123466748914558E-4</v>
      </c>
      <c r="CW346" s="326">
        <f t="shared" si="118"/>
        <v>0</v>
      </c>
      <c r="CX346" s="326"/>
      <c r="CY346" s="161" t="s">
        <v>5921</v>
      </c>
    </row>
    <row r="347" spans="1:103" ht="11.25" customHeight="1" x14ac:dyDescent="0.2">
      <c r="A347" s="72">
        <v>345</v>
      </c>
      <c r="B347" s="149">
        <v>384</v>
      </c>
      <c r="C347" s="54" t="s">
        <v>1337</v>
      </c>
      <c r="D347" s="54" t="s">
        <v>6664</v>
      </c>
      <c r="E347" s="59"/>
      <c r="F347" s="59" t="s">
        <v>1338</v>
      </c>
      <c r="G347" s="151">
        <v>19666309</v>
      </c>
      <c r="H347" s="55" t="s">
        <v>1339</v>
      </c>
      <c r="I347" s="55" t="s">
        <v>7936</v>
      </c>
      <c r="J347" s="55" t="s">
        <v>1340</v>
      </c>
      <c r="K347" s="55" t="s">
        <v>976</v>
      </c>
      <c r="L347" s="55" t="s">
        <v>6004</v>
      </c>
      <c r="M347" s="55" t="s">
        <v>6082</v>
      </c>
      <c r="N347" s="60" t="s">
        <v>6082</v>
      </c>
      <c r="O347" s="55" t="s">
        <v>6083</v>
      </c>
      <c r="P347" s="67">
        <v>3</v>
      </c>
      <c r="Q347" s="67" t="s">
        <v>6173</v>
      </c>
      <c r="R347" s="67">
        <v>1</v>
      </c>
      <c r="S347" s="67" t="s">
        <v>6173</v>
      </c>
      <c r="T347" s="56">
        <v>345.22</v>
      </c>
      <c r="U347" s="103">
        <v>2.0276924859509876E-3</v>
      </c>
      <c r="V347" s="103">
        <v>1.5259834308556863E-3</v>
      </c>
      <c r="W347" s="103">
        <v>2.0892961308540377E-3</v>
      </c>
      <c r="X347" s="103">
        <v>2.0276924859509876E-3</v>
      </c>
      <c r="Y347" s="162">
        <v>7</v>
      </c>
      <c r="Z347" s="56">
        <v>4.8099999999999996</v>
      </c>
      <c r="AA347" s="56">
        <v>4.8</v>
      </c>
      <c r="AB347" s="56">
        <v>4.5</v>
      </c>
      <c r="AC347" s="56">
        <v>0.83169999999999999</v>
      </c>
      <c r="AD347" s="56">
        <v>4.51</v>
      </c>
      <c r="AE347" s="56">
        <v>4.54</v>
      </c>
      <c r="AF347" s="56">
        <f t="shared" si="113"/>
        <v>4.8</v>
      </c>
      <c r="AG347" s="57">
        <v>5.36</v>
      </c>
      <c r="AH347" s="103">
        <v>3.2199999999999997E-8</v>
      </c>
      <c r="AI347" s="103">
        <v>7.2699999999999996E-8</v>
      </c>
      <c r="AJ347" s="62">
        <f t="shared" si="121"/>
        <v>-5.8807104546168212</v>
      </c>
      <c r="AK347" s="62">
        <f>LOG10(AI347*1000/(0.08206*298.15))</f>
        <v>-5.5270319154536143</v>
      </c>
      <c r="AL347" s="62">
        <f t="shared" si="122"/>
        <v>-5.5270319154536143</v>
      </c>
      <c r="AM347" s="62">
        <v>-10.731549999999999</v>
      </c>
      <c r="AN347" s="154">
        <v>-0.77500000000000002</v>
      </c>
      <c r="AO347" s="410"/>
      <c r="AP347" s="410">
        <v>-2.73</v>
      </c>
      <c r="AQ347" s="154" t="s">
        <v>6311</v>
      </c>
      <c r="AR347" s="154" t="s">
        <v>6311</v>
      </c>
      <c r="AS347" s="149" t="s">
        <v>6</v>
      </c>
      <c r="AT347" s="58" t="s">
        <v>266</v>
      </c>
      <c r="AU347" s="56">
        <v>8</v>
      </c>
      <c r="AV347" s="56">
        <v>144</v>
      </c>
      <c r="AW347" s="56">
        <v>120</v>
      </c>
      <c r="AX347" s="56">
        <v>26</v>
      </c>
      <c r="AY347" s="56" t="s">
        <v>267</v>
      </c>
      <c r="AZ347" s="56" t="s">
        <v>268</v>
      </c>
      <c r="BA347" s="56">
        <v>3</v>
      </c>
      <c r="BB347" s="55" t="s">
        <v>888</v>
      </c>
      <c r="BC347" s="55" t="s">
        <v>270</v>
      </c>
      <c r="BD347" s="55" t="s">
        <v>8374</v>
      </c>
      <c r="BE347" s="56" t="s">
        <v>889</v>
      </c>
      <c r="BF347" s="56" t="s">
        <v>272</v>
      </c>
      <c r="BG347" s="56" t="s">
        <v>272</v>
      </c>
      <c r="BH347" s="56" t="s">
        <v>890</v>
      </c>
      <c r="BI347" s="103">
        <v>9.9999999999999995E-7</v>
      </c>
      <c r="BJ347" s="103">
        <v>0.08</v>
      </c>
      <c r="BK347" s="56"/>
      <c r="BL347" s="103">
        <f t="shared" si="123"/>
        <v>2.4600220508641203E-3</v>
      </c>
      <c r="BM347" s="56" t="s">
        <v>891</v>
      </c>
      <c r="BN347" s="162"/>
      <c r="BO347" s="162"/>
      <c r="BP347" s="162"/>
      <c r="BQ347" s="162"/>
      <c r="BR347" s="162"/>
      <c r="BS347" s="56">
        <v>8.8100000000000001E-3</v>
      </c>
      <c r="BT347" s="162"/>
      <c r="BU347" s="158"/>
      <c r="BV347" s="162"/>
      <c r="BW347" s="162"/>
      <c r="BX347" s="162"/>
      <c r="BY347" s="162"/>
      <c r="BZ347" s="162"/>
      <c r="CA347" s="162"/>
      <c r="CB347" s="162"/>
      <c r="CC347" s="56"/>
      <c r="CD347" s="56"/>
      <c r="CE347" s="56"/>
      <c r="CF347" s="56"/>
      <c r="CG347" s="56"/>
      <c r="CH347" s="56"/>
      <c r="CI347" s="103">
        <f t="shared" si="116"/>
        <v>8.8100000000000001E-3</v>
      </c>
      <c r="CJ347" s="103">
        <f t="shared" si="117"/>
        <v>-2.0550240915879523</v>
      </c>
      <c r="CK347" s="57">
        <f t="shared" si="114"/>
        <v>3.0750275635801502E-2</v>
      </c>
      <c r="CL347" s="160">
        <f t="shared" si="124"/>
        <v>0.2792306527655074</v>
      </c>
      <c r="CM347" s="160">
        <v>-2.2256033580255483</v>
      </c>
      <c r="CN347" s="160">
        <f>BJ347/(10^CM347)</f>
        <v>13.449103785761206</v>
      </c>
      <c r="CO347" s="55" t="s">
        <v>892</v>
      </c>
      <c r="CP347" s="55" t="s">
        <v>893</v>
      </c>
      <c r="CQ347" s="149">
        <v>-2.0626637892282793</v>
      </c>
      <c r="CR347" s="349">
        <f>10^(CJ347-CQ347)</f>
        <v>1.017746687738674</v>
      </c>
      <c r="CS347" s="61" t="s">
        <v>539</v>
      </c>
      <c r="CT347" s="61"/>
      <c r="CU347" s="111">
        <f t="shared" si="112"/>
        <v>0.23015805742916998</v>
      </c>
      <c r="CV347" s="331">
        <f t="shared" si="115"/>
        <v>2.5346156074387345E-2</v>
      </c>
      <c r="CW347" s="326">
        <f t="shared" si="118"/>
        <v>0</v>
      </c>
      <c r="CX347" s="326" t="s">
        <v>539</v>
      </c>
      <c r="CY347" s="161" t="s">
        <v>5921</v>
      </c>
    </row>
    <row r="348" spans="1:103" ht="11.25" customHeight="1" x14ac:dyDescent="0.2">
      <c r="A348" s="72">
        <v>346</v>
      </c>
      <c r="B348" s="149">
        <v>240</v>
      </c>
      <c r="C348" s="54" t="s">
        <v>6665</v>
      </c>
      <c r="D348" s="54"/>
      <c r="E348" s="59"/>
      <c r="F348" s="59" t="s">
        <v>1065</v>
      </c>
      <c r="G348" s="151">
        <v>113136779</v>
      </c>
      <c r="H348" s="55" t="s">
        <v>1066</v>
      </c>
      <c r="I348" s="55" t="s">
        <v>8334</v>
      </c>
      <c r="J348" s="55" t="s">
        <v>1067</v>
      </c>
      <c r="K348" s="55" t="s">
        <v>471</v>
      </c>
      <c r="L348" s="55" t="s">
        <v>5248</v>
      </c>
      <c r="M348" s="55" t="s">
        <v>6082</v>
      </c>
      <c r="N348" s="60"/>
      <c r="O348" s="55" t="s">
        <v>6083</v>
      </c>
      <c r="P348" s="67">
        <v>3</v>
      </c>
      <c r="Q348" s="67" t="s">
        <v>6173</v>
      </c>
      <c r="R348" s="67">
        <v>1</v>
      </c>
      <c r="S348" s="67" t="s">
        <v>6173</v>
      </c>
      <c r="T348" s="56">
        <v>274.10000000000002</v>
      </c>
      <c r="U348" s="103">
        <v>0.134987230937614</v>
      </c>
      <c r="V348" s="103">
        <v>1.8248814301349869</v>
      </c>
      <c r="W348" s="103">
        <v>0.75857757502918277</v>
      </c>
      <c r="X348" s="103">
        <v>0.134987230937614</v>
      </c>
      <c r="Y348" s="162">
        <v>3.68</v>
      </c>
      <c r="Z348" s="56">
        <v>1.8</v>
      </c>
      <c r="AA348" s="56"/>
      <c r="AB348" s="56">
        <v>2.3199999999999998</v>
      </c>
      <c r="AC348" s="56">
        <v>0.61990000000000001</v>
      </c>
      <c r="AD348" s="56">
        <v>1.94</v>
      </c>
      <c r="AE348" s="56">
        <v>1.49</v>
      </c>
      <c r="AF348" s="56">
        <f t="shared" si="113"/>
        <v>1.94</v>
      </c>
      <c r="AG348" s="57">
        <v>2.2000000000000002</v>
      </c>
      <c r="AH348" s="103">
        <v>1.96E-14</v>
      </c>
      <c r="AI348" s="103">
        <v>7.3099999999999996E-10</v>
      </c>
      <c r="AJ348" s="62">
        <f t="shared" si="121"/>
        <v>-12.096310254956176</v>
      </c>
      <c r="AK348" s="62">
        <f>LOG10(AI348*1000/(0.08206*298.15))</f>
        <v>-7.5246489493547912</v>
      </c>
      <c r="AL348" s="62">
        <f t="shared" si="122"/>
        <v>-7.5246489493547912</v>
      </c>
      <c r="AM348" s="62">
        <v>-16.463000000000001</v>
      </c>
      <c r="AN348" s="154">
        <v>-13.2</v>
      </c>
      <c r="AO348" s="410">
        <v>4.0999999999999996</v>
      </c>
      <c r="AP348" s="410">
        <v>-1.29</v>
      </c>
      <c r="AQ348" s="154" t="s">
        <v>6311</v>
      </c>
      <c r="AR348" s="154" t="s">
        <v>6311</v>
      </c>
      <c r="AS348" s="149" t="s">
        <v>6</v>
      </c>
      <c r="AT348" s="58" t="s">
        <v>266</v>
      </c>
      <c r="AU348" s="56">
        <v>8</v>
      </c>
      <c r="AV348" s="56">
        <v>144</v>
      </c>
      <c r="AW348" s="56">
        <v>120</v>
      </c>
      <c r="AX348" s="56">
        <v>26</v>
      </c>
      <c r="AY348" s="56" t="s">
        <v>267</v>
      </c>
      <c r="AZ348" s="56" t="s">
        <v>268</v>
      </c>
      <c r="BA348" s="56">
        <v>2</v>
      </c>
      <c r="BB348" s="55" t="s">
        <v>888</v>
      </c>
      <c r="BC348" s="55" t="s">
        <v>270</v>
      </c>
      <c r="BD348" s="55" t="s">
        <v>8374</v>
      </c>
      <c r="BE348" s="56" t="s">
        <v>889</v>
      </c>
      <c r="BF348" s="56" t="s">
        <v>272</v>
      </c>
      <c r="BG348" s="56" t="s">
        <v>272</v>
      </c>
      <c r="BH348" s="56" t="s">
        <v>890</v>
      </c>
      <c r="BI348" s="103">
        <v>9.9999999999999995E-7</v>
      </c>
      <c r="BJ348" s="103">
        <v>0.08</v>
      </c>
      <c r="BK348" s="56"/>
      <c r="BL348" s="103">
        <f t="shared" si="123"/>
        <v>1.2422814491513863</v>
      </c>
      <c r="BM348" s="56" t="s">
        <v>891</v>
      </c>
      <c r="BN348" s="162"/>
      <c r="BO348" s="162"/>
      <c r="BP348" s="162"/>
      <c r="BQ348" s="162"/>
      <c r="BR348" s="162"/>
      <c r="BS348" s="56">
        <v>2.664E-2</v>
      </c>
      <c r="BT348" s="162"/>
      <c r="BU348" s="158"/>
      <c r="BV348" s="162"/>
      <c r="BW348" s="162"/>
      <c r="BX348" s="162"/>
      <c r="BY348" s="162"/>
      <c r="BZ348" s="162"/>
      <c r="CA348" s="162"/>
      <c r="CB348" s="162"/>
      <c r="CC348" s="56"/>
      <c r="CD348" s="56"/>
      <c r="CE348" s="56"/>
      <c r="CF348" s="56"/>
      <c r="CG348" s="56"/>
      <c r="CH348" s="56"/>
      <c r="CI348" s="103">
        <f t="shared" si="116"/>
        <v>2.664E-2</v>
      </c>
      <c r="CJ348" s="103">
        <f t="shared" si="117"/>
        <v>-1.5744657795017365</v>
      </c>
      <c r="CK348" s="57">
        <f t="shared" si="114"/>
        <v>15.528518114392329</v>
      </c>
      <c r="CL348" s="160">
        <f t="shared" si="124"/>
        <v>46.632186529706694</v>
      </c>
      <c r="CM348" s="160"/>
      <c r="CN348" s="160"/>
      <c r="CO348" s="55" t="s">
        <v>892</v>
      </c>
      <c r="CP348" s="55" t="s">
        <v>893</v>
      </c>
      <c r="CQ348" s="149" t="s">
        <v>272</v>
      </c>
      <c r="CR348" s="349"/>
      <c r="CS348" s="61" t="s">
        <v>539</v>
      </c>
      <c r="CT348" s="61"/>
      <c r="CU348" s="111">
        <f t="shared" si="112"/>
        <v>5.0670882484089335</v>
      </c>
      <c r="CV348" s="331">
        <f t="shared" si="115"/>
        <v>1.6873403867201751</v>
      </c>
      <c r="CW348" s="326">
        <f t="shared" si="118"/>
        <v>1</v>
      </c>
      <c r="CX348" s="326" t="s">
        <v>539</v>
      </c>
      <c r="CY348" s="161" t="s">
        <v>5921</v>
      </c>
    </row>
    <row r="349" spans="1:103" ht="11.25" customHeight="1" x14ac:dyDescent="0.2">
      <c r="A349" s="72">
        <v>347</v>
      </c>
      <c r="B349" s="149">
        <v>1080</v>
      </c>
      <c r="C349" s="54" t="s">
        <v>6665</v>
      </c>
      <c r="D349" s="54"/>
      <c r="E349" s="59"/>
      <c r="F349" s="59" t="s">
        <v>1065</v>
      </c>
      <c r="G349" s="151">
        <v>113136779</v>
      </c>
      <c r="H349" s="55" t="s">
        <v>1066</v>
      </c>
      <c r="I349" s="55" t="s">
        <v>8334</v>
      </c>
      <c r="J349" s="55" t="s">
        <v>1067</v>
      </c>
      <c r="K349" s="55" t="s">
        <v>471</v>
      </c>
      <c r="L349" s="55" t="s">
        <v>5248</v>
      </c>
      <c r="M349" s="55" t="s">
        <v>6082</v>
      </c>
      <c r="N349" s="60"/>
      <c r="O349" s="55" t="s">
        <v>6083</v>
      </c>
      <c r="P349" s="67">
        <v>3</v>
      </c>
      <c r="Q349" s="67" t="s">
        <v>6173</v>
      </c>
      <c r="R349" s="67">
        <v>1</v>
      </c>
      <c r="S349" s="67" t="s">
        <v>6173</v>
      </c>
      <c r="T349" s="56">
        <v>274.10000000000002</v>
      </c>
      <c r="U349" s="103">
        <v>0.134987230937614</v>
      </c>
      <c r="V349" s="103">
        <v>1.8248814301349869</v>
      </c>
      <c r="W349" s="103">
        <v>0.75857757502918277</v>
      </c>
      <c r="X349" s="103">
        <v>0.134987230937614</v>
      </c>
      <c r="Y349" s="162">
        <v>3.68</v>
      </c>
      <c r="Z349" s="56">
        <v>1.8</v>
      </c>
      <c r="AA349" s="56"/>
      <c r="AB349" s="56">
        <v>2.3199999999999998</v>
      </c>
      <c r="AC349" s="56">
        <v>0.61990000000000001</v>
      </c>
      <c r="AD349" s="56">
        <v>1.94</v>
      </c>
      <c r="AE349" s="56">
        <v>1.49</v>
      </c>
      <c r="AF349" s="56">
        <f t="shared" si="113"/>
        <v>1.94</v>
      </c>
      <c r="AG349" s="57">
        <v>2.2000000000000002</v>
      </c>
      <c r="AH349" s="103">
        <v>1.96E-14</v>
      </c>
      <c r="AI349" s="103">
        <v>7.3099999999999996E-10</v>
      </c>
      <c r="AJ349" s="62">
        <f t="shared" si="121"/>
        <v>-12.096310254956176</v>
      </c>
      <c r="AK349" s="62">
        <f>LOG10(AI349*1000/(0.08206*298.15))</f>
        <v>-7.5246489493547912</v>
      </c>
      <c r="AL349" s="62">
        <f t="shared" si="122"/>
        <v>-7.5246489493547912</v>
      </c>
      <c r="AM349" s="62">
        <v>-16.463000000000001</v>
      </c>
      <c r="AN349" s="154">
        <v>-13.2</v>
      </c>
      <c r="AO349" s="410">
        <v>4.0999999999999996</v>
      </c>
      <c r="AP349" s="410">
        <v>-1.29</v>
      </c>
      <c r="AQ349" s="56" t="s">
        <v>6311</v>
      </c>
      <c r="AR349" s="56" t="s">
        <v>6311</v>
      </c>
      <c r="AS349" s="155"/>
      <c r="AT349" s="58" t="s">
        <v>266</v>
      </c>
      <c r="AU349" s="56">
        <v>6</v>
      </c>
      <c r="AV349" s="56">
        <v>120</v>
      </c>
      <c r="AW349" s="56">
        <v>114</v>
      </c>
      <c r="AX349" s="56">
        <v>28</v>
      </c>
      <c r="AY349" s="56" t="s">
        <v>8728</v>
      </c>
      <c r="AZ349" s="56" t="s">
        <v>1563</v>
      </c>
      <c r="BA349" s="56">
        <v>32</v>
      </c>
      <c r="BB349" s="55" t="s">
        <v>2485</v>
      </c>
      <c r="BC349" s="55" t="s">
        <v>8726</v>
      </c>
      <c r="BD349" s="55" t="s">
        <v>8374</v>
      </c>
      <c r="BE349" s="56" t="s">
        <v>2449</v>
      </c>
      <c r="BF349" s="56" t="s">
        <v>272</v>
      </c>
      <c r="BG349" s="56" t="s">
        <v>272</v>
      </c>
      <c r="BH349" s="56" t="s">
        <v>2486</v>
      </c>
      <c r="BI349" s="103">
        <v>6.3999999999999997E-6</v>
      </c>
      <c r="BJ349" s="103">
        <v>6.4000000000000001E-2</v>
      </c>
      <c r="BK349" s="56"/>
      <c r="BL349" s="103">
        <f t="shared" si="123"/>
        <v>1.2422814491513863</v>
      </c>
      <c r="BM349" s="56" t="s">
        <v>2487</v>
      </c>
      <c r="BN349" s="56"/>
      <c r="BO349" s="56"/>
      <c r="BP349" s="56"/>
      <c r="BQ349" s="56"/>
      <c r="BR349" s="55">
        <v>2.0238577000000001E-2</v>
      </c>
      <c r="BS349" s="56"/>
      <c r="BT349" s="56"/>
      <c r="BU349" s="158"/>
      <c r="BV349" s="56"/>
      <c r="BW349" s="56"/>
      <c r="BX349" s="56"/>
      <c r="BY349" s="56"/>
      <c r="BZ349" s="56"/>
      <c r="CA349" s="56"/>
      <c r="CB349" s="56"/>
      <c r="CC349" s="56"/>
      <c r="CD349" s="56"/>
      <c r="CE349" s="56"/>
      <c r="CF349" s="56"/>
      <c r="CG349" s="56"/>
      <c r="CH349" s="56"/>
      <c r="CI349" s="103">
        <f t="shared" si="116"/>
        <v>2.0238577000000001E-2</v>
      </c>
      <c r="CJ349" s="103">
        <f t="shared" si="117"/>
        <v>-1.6938200265542473</v>
      </c>
      <c r="CK349" s="57">
        <f t="shared" si="114"/>
        <v>19.410647642990408</v>
      </c>
      <c r="CL349" s="160">
        <f t="shared" si="124"/>
        <v>61.381857486886858</v>
      </c>
      <c r="CM349" s="160"/>
      <c r="CN349" s="160"/>
      <c r="CO349" s="55" t="s">
        <v>2488</v>
      </c>
      <c r="CP349" s="55" t="s">
        <v>2489</v>
      </c>
      <c r="CQ349" s="149" t="s">
        <v>272</v>
      </c>
      <c r="CR349" s="349"/>
      <c r="CS349" s="61" t="s">
        <v>539</v>
      </c>
      <c r="CT349" s="61"/>
      <c r="CU349" s="111">
        <f t="shared" si="112"/>
        <v>6.6697985207959034</v>
      </c>
      <c r="CV349" s="331">
        <f t="shared" si="115"/>
        <v>2.1091754834002185</v>
      </c>
      <c r="CW349" s="326">
        <f t="shared" si="118"/>
        <v>1</v>
      </c>
      <c r="CX349" s="326"/>
      <c r="CY349" s="161" t="s">
        <v>5921</v>
      </c>
    </row>
    <row r="350" spans="1:103" ht="11.25" customHeight="1" x14ac:dyDescent="0.2">
      <c r="A350" s="72">
        <v>348</v>
      </c>
      <c r="B350" s="149">
        <v>331</v>
      </c>
      <c r="C350" s="54" t="s">
        <v>6666</v>
      </c>
      <c r="D350" s="54"/>
      <c r="E350" s="59"/>
      <c r="F350" s="59" t="s">
        <v>1271</v>
      </c>
      <c r="G350" s="151">
        <v>114311329</v>
      </c>
      <c r="H350" s="55" t="s">
        <v>1272</v>
      </c>
      <c r="I350" s="55" t="s">
        <v>1272</v>
      </c>
      <c r="J350" s="55" t="s">
        <v>1273</v>
      </c>
      <c r="K350" s="55" t="s">
        <v>471</v>
      </c>
      <c r="L350" s="55"/>
      <c r="M350" s="55"/>
      <c r="N350" s="60"/>
      <c r="O350" s="55"/>
      <c r="P350" s="67">
        <v>3</v>
      </c>
      <c r="Q350" s="67" t="s">
        <v>6173</v>
      </c>
      <c r="R350" s="67">
        <v>1</v>
      </c>
      <c r="S350" s="67" t="s">
        <v>6173</v>
      </c>
      <c r="T350" s="56">
        <v>305.33</v>
      </c>
      <c r="U350" s="103">
        <v>14.443389119968559</v>
      </c>
      <c r="V350" s="103">
        <v>8.9083941964431936</v>
      </c>
      <c r="W350" s="103">
        <v>7.7624711662869155</v>
      </c>
      <c r="X350" s="103">
        <v>14.443389119968559</v>
      </c>
      <c r="Y350" s="162">
        <v>2.82</v>
      </c>
      <c r="Z350" s="56">
        <v>1.35</v>
      </c>
      <c r="AA350" s="56">
        <v>0.73</v>
      </c>
      <c r="AB350" s="56">
        <v>0.65</v>
      </c>
      <c r="AC350" s="56">
        <v>0.88380000000000003</v>
      </c>
      <c r="AD350" s="56">
        <v>0.61</v>
      </c>
      <c r="AE350" s="56">
        <v>0.25</v>
      </c>
      <c r="AF350" s="56">
        <f t="shared" si="113"/>
        <v>0.73</v>
      </c>
      <c r="AG350" s="57">
        <v>1.08</v>
      </c>
      <c r="AH350" s="103">
        <v>9.1499999999999995E-19</v>
      </c>
      <c r="AI350" s="103"/>
      <c r="AJ350" s="62">
        <f t="shared" si="121"/>
        <v>-16.427145232246204</v>
      </c>
      <c r="AK350" s="62"/>
      <c r="AL350" s="62">
        <f t="shared" si="122"/>
        <v>-16.427145232246204</v>
      </c>
      <c r="AM350" s="62">
        <v>-19.604050000000001</v>
      </c>
      <c r="AN350" s="154">
        <v>-18.100000000000001</v>
      </c>
      <c r="AO350" s="410">
        <v>10.6</v>
      </c>
      <c r="AP350" s="410">
        <v>3.17</v>
      </c>
      <c r="AQ350" s="154" t="s">
        <v>6311</v>
      </c>
      <c r="AR350" s="154" t="s">
        <v>6311</v>
      </c>
      <c r="AS350" s="149" t="s">
        <v>6</v>
      </c>
      <c r="AT350" s="58" t="s">
        <v>266</v>
      </c>
      <c r="AU350" s="56">
        <v>8</v>
      </c>
      <c r="AV350" s="56">
        <v>144</v>
      </c>
      <c r="AW350" s="56">
        <v>120</v>
      </c>
      <c r="AX350" s="56">
        <v>26</v>
      </c>
      <c r="AY350" s="56" t="s">
        <v>267</v>
      </c>
      <c r="AZ350" s="56" t="s">
        <v>268</v>
      </c>
      <c r="BA350" s="56">
        <v>2</v>
      </c>
      <c r="BB350" s="55" t="s">
        <v>888</v>
      </c>
      <c r="BC350" s="55" t="s">
        <v>270</v>
      </c>
      <c r="BD350" s="55" t="s">
        <v>8374</v>
      </c>
      <c r="BE350" s="56" t="s">
        <v>889</v>
      </c>
      <c r="BF350" s="56" t="s">
        <v>272</v>
      </c>
      <c r="BG350" s="56" t="s">
        <v>272</v>
      </c>
      <c r="BH350" s="56" t="s">
        <v>890</v>
      </c>
      <c r="BI350" s="103">
        <v>9.9999999999999995E-7</v>
      </c>
      <c r="BJ350" s="103">
        <v>0.08</v>
      </c>
      <c r="BK350" s="56"/>
      <c r="BL350" s="103">
        <f t="shared" si="123"/>
        <v>3.1503949309073138</v>
      </c>
      <c r="BM350" s="56" t="s">
        <v>891</v>
      </c>
      <c r="BN350" s="162"/>
      <c r="BO350" s="162"/>
      <c r="BP350" s="162"/>
      <c r="BQ350" s="162"/>
      <c r="BR350" s="162"/>
      <c r="BS350" s="56">
        <v>5.1268703904038763E-3</v>
      </c>
      <c r="BT350" s="162"/>
      <c r="BU350" s="158"/>
      <c r="BV350" s="162"/>
      <c r="BW350" s="162"/>
      <c r="BX350" s="162"/>
      <c r="BY350" s="162"/>
      <c r="BZ350" s="162"/>
      <c r="CA350" s="162"/>
      <c r="CB350" s="162"/>
      <c r="CC350" s="56"/>
      <c r="CD350" s="56"/>
      <c r="CE350" s="56"/>
      <c r="CF350" s="56"/>
      <c r="CG350" s="56"/>
      <c r="CH350" s="56"/>
      <c r="CI350" s="103">
        <f t="shared" si="116"/>
        <v>5.1268703904038763E-3</v>
      </c>
      <c r="CJ350" s="103">
        <f t="shared" si="117"/>
        <v>-2.2901476615812304</v>
      </c>
      <c r="CK350" s="57">
        <f t="shared" si="114"/>
        <v>39.379936636341419</v>
      </c>
      <c r="CL350" s="160">
        <f t="shared" si="124"/>
        <v>614.48694642330076</v>
      </c>
      <c r="CM350" s="160"/>
      <c r="CN350" s="160"/>
      <c r="CO350" s="55" t="s">
        <v>892</v>
      </c>
      <c r="CP350" s="55" t="s">
        <v>893</v>
      </c>
      <c r="CQ350" s="149" t="s">
        <v>272</v>
      </c>
      <c r="CR350" s="349"/>
      <c r="CS350" s="61" t="s">
        <v>539</v>
      </c>
      <c r="CT350" s="61"/>
      <c r="CU350" s="111">
        <f t="shared" si="112"/>
        <v>2817.1941204136351</v>
      </c>
      <c r="CV350" s="331">
        <f t="shared" si="115"/>
        <v>180.54236399960698</v>
      </c>
      <c r="CW350" s="326">
        <f t="shared" si="118"/>
        <v>1</v>
      </c>
      <c r="CX350" s="326" t="s">
        <v>539</v>
      </c>
      <c r="CY350" s="161" t="s">
        <v>5921</v>
      </c>
    </row>
    <row r="351" spans="1:103" ht="11.25" customHeight="1" x14ac:dyDescent="0.2">
      <c r="A351" s="72">
        <v>349</v>
      </c>
      <c r="B351" s="149">
        <v>406</v>
      </c>
      <c r="C351" s="54" t="s">
        <v>1392</v>
      </c>
      <c r="D351" s="54" t="s">
        <v>6529</v>
      </c>
      <c r="E351" s="59"/>
      <c r="F351" s="59" t="s">
        <v>1393</v>
      </c>
      <c r="G351" s="151">
        <v>67747095</v>
      </c>
      <c r="H351" s="55" t="s">
        <v>1394</v>
      </c>
      <c r="I351" s="55" t="s">
        <v>7941</v>
      </c>
      <c r="J351" s="55" t="s">
        <v>1395</v>
      </c>
      <c r="K351" s="55" t="s">
        <v>1064</v>
      </c>
      <c r="L351" s="55" t="s">
        <v>6007</v>
      </c>
      <c r="M351" s="55" t="s">
        <v>6008</v>
      </c>
      <c r="N351" s="60" t="s">
        <v>6386</v>
      </c>
      <c r="O351" s="55" t="s">
        <v>6009</v>
      </c>
      <c r="P351" s="67">
        <v>3</v>
      </c>
      <c r="Q351" s="67" t="s">
        <v>6173</v>
      </c>
      <c r="R351" s="67">
        <v>1</v>
      </c>
      <c r="S351" s="67" t="s">
        <v>6173</v>
      </c>
      <c r="T351" s="56">
        <v>376.66</v>
      </c>
      <c r="U351" s="103">
        <v>9.0264687923115719E-2</v>
      </c>
      <c r="V351" s="103">
        <v>3.5681100167255157E-3</v>
      </c>
      <c r="W351" s="103">
        <v>6.6069344800759544E-2</v>
      </c>
      <c r="X351" s="103">
        <v>9.0264687923115719E-2</v>
      </c>
      <c r="Y351" s="162">
        <v>7.37</v>
      </c>
      <c r="Z351" s="56">
        <v>4.13</v>
      </c>
      <c r="AA351" s="56">
        <v>4.0999999999999996</v>
      </c>
      <c r="AB351" s="56">
        <v>4.1100000000000003</v>
      </c>
      <c r="AC351" s="56">
        <v>0.85909999999999997</v>
      </c>
      <c r="AD351" s="56">
        <v>4.08</v>
      </c>
      <c r="AE351" s="56">
        <v>3.98</v>
      </c>
      <c r="AF351" s="56">
        <f t="shared" si="113"/>
        <v>4.0999999999999996</v>
      </c>
      <c r="AG351" s="57">
        <v>4.18</v>
      </c>
      <c r="AH351" s="103">
        <v>7.5799999999999996E-12</v>
      </c>
      <c r="AI351" s="103">
        <v>1.6400000000000001E-8</v>
      </c>
      <c r="AJ351" s="62">
        <f t="shared" si="121"/>
        <v>-9.508897120680599</v>
      </c>
      <c r="AK351" s="62">
        <f>LOG10(AI351*1000/(0.08206*298.15))</f>
        <v>-6.1737224782649536</v>
      </c>
      <c r="AL351" s="62">
        <f t="shared" si="122"/>
        <v>-6.1737224782649536</v>
      </c>
      <c r="AM351" s="62">
        <v>-16.703500000000002</v>
      </c>
      <c r="AN351" s="154">
        <v>-6.14</v>
      </c>
      <c r="AO351" s="410"/>
      <c r="AP351" s="410">
        <v>4.84</v>
      </c>
      <c r="AQ351" s="154" t="s">
        <v>6311</v>
      </c>
      <c r="AR351" s="154" t="s">
        <v>6311</v>
      </c>
      <c r="AS351" s="149" t="s">
        <v>6</v>
      </c>
      <c r="AT351" s="58" t="s">
        <v>266</v>
      </c>
      <c r="AU351" s="56">
        <v>8</v>
      </c>
      <c r="AV351" s="56">
        <v>144</v>
      </c>
      <c r="AW351" s="56">
        <v>120</v>
      </c>
      <c r="AX351" s="56">
        <v>26</v>
      </c>
      <c r="AY351" s="56" t="s">
        <v>267</v>
      </c>
      <c r="AZ351" s="56" t="s">
        <v>268</v>
      </c>
      <c r="BA351" s="56">
        <v>3</v>
      </c>
      <c r="BB351" s="55" t="s">
        <v>888</v>
      </c>
      <c r="BC351" s="55" t="s">
        <v>270</v>
      </c>
      <c r="BD351" s="55" t="s">
        <v>8374</v>
      </c>
      <c r="BE351" s="56" t="s">
        <v>889</v>
      </c>
      <c r="BF351" s="56" t="s">
        <v>272</v>
      </c>
      <c r="BG351" s="56" t="s">
        <v>272</v>
      </c>
      <c r="BH351" s="56" t="s">
        <v>890</v>
      </c>
      <c r="BI351" s="103">
        <v>9.9999999999999995E-7</v>
      </c>
      <c r="BJ351" s="103">
        <v>0.08</v>
      </c>
      <c r="BK351" s="56"/>
      <c r="BL351" s="103">
        <f t="shared" si="123"/>
        <v>1.0037995577353173E-2</v>
      </c>
      <c r="BM351" s="56" t="s">
        <v>891</v>
      </c>
      <c r="BN351" s="162"/>
      <c r="BO351" s="162"/>
      <c r="BP351" s="162"/>
      <c r="BQ351" s="162"/>
      <c r="BR351" s="162"/>
      <c r="BS351" s="56">
        <v>8.6099999999999996E-3</v>
      </c>
      <c r="BT351" s="162"/>
      <c r="BU351" s="158"/>
      <c r="BV351" s="162"/>
      <c r="BW351" s="162"/>
      <c r="BX351" s="162"/>
      <c r="BY351" s="162"/>
      <c r="BZ351" s="162"/>
      <c r="CA351" s="162"/>
      <c r="CB351" s="162"/>
      <c r="CC351" s="56"/>
      <c r="CD351" s="56"/>
      <c r="CE351" s="56"/>
      <c r="CF351" s="56"/>
      <c r="CG351" s="56"/>
      <c r="CH351" s="56"/>
      <c r="CI351" s="103">
        <f t="shared" si="116"/>
        <v>8.6099999999999996E-3</v>
      </c>
      <c r="CJ351" s="103">
        <f t="shared" si="117"/>
        <v>-2.0649968485463455</v>
      </c>
      <c r="CK351" s="57">
        <f t="shared" si="114"/>
        <v>0.12547494471691467</v>
      </c>
      <c r="CL351" s="160">
        <f t="shared" si="124"/>
        <v>1.1658531448726102</v>
      </c>
      <c r="CM351" s="160">
        <v>-2.8102336781339785</v>
      </c>
      <c r="CN351" s="160">
        <f>BJ351/(10^CM351)</f>
        <v>51.680138053925745</v>
      </c>
      <c r="CO351" s="55" t="s">
        <v>892</v>
      </c>
      <c r="CP351" s="55" t="s">
        <v>893</v>
      </c>
      <c r="CQ351" s="149">
        <v>-2.8102336781339785</v>
      </c>
      <c r="CR351" s="349">
        <f>10^(CJ351-CQ351)</f>
        <v>5.5620748580537533</v>
      </c>
      <c r="CS351" s="61" t="s">
        <v>539</v>
      </c>
      <c r="CT351" s="61"/>
      <c r="CU351" s="111">
        <f t="shared" si="112"/>
        <v>10.483703591534928</v>
      </c>
      <c r="CV351" s="331">
        <f t="shared" si="115"/>
        <v>1.1283085990389465</v>
      </c>
      <c r="CW351" s="326">
        <f t="shared" si="118"/>
        <v>1</v>
      </c>
      <c r="CX351" s="326" t="s">
        <v>539</v>
      </c>
      <c r="CY351" s="161" t="s">
        <v>5921</v>
      </c>
    </row>
    <row r="352" spans="1:103" ht="11.25" customHeight="1" x14ac:dyDescent="0.2">
      <c r="A352" s="72">
        <v>350</v>
      </c>
      <c r="B352" s="149">
        <v>540</v>
      </c>
      <c r="C352" s="54" t="s">
        <v>6667</v>
      </c>
      <c r="D352" s="54" t="s">
        <v>6513</v>
      </c>
      <c r="E352" s="59"/>
      <c r="F352" s="59" t="s">
        <v>1699</v>
      </c>
      <c r="G352" s="151">
        <v>27176870</v>
      </c>
      <c r="H352" s="55" t="s">
        <v>1700</v>
      </c>
      <c r="I352" s="55" t="s">
        <v>1700</v>
      </c>
      <c r="J352" s="55"/>
      <c r="K352" s="55" t="s">
        <v>426</v>
      </c>
      <c r="L352" s="55"/>
      <c r="M352" s="55" t="s">
        <v>6025</v>
      </c>
      <c r="N352" s="60" t="s">
        <v>2342</v>
      </c>
      <c r="O352" s="55" t="s">
        <v>2342</v>
      </c>
      <c r="P352" s="67" t="s">
        <v>6631</v>
      </c>
      <c r="Q352" s="67" t="s">
        <v>6173</v>
      </c>
      <c r="R352" s="67" t="s">
        <v>6082</v>
      </c>
      <c r="S352" s="67" t="s">
        <v>6173</v>
      </c>
      <c r="T352" s="56">
        <v>326.5</v>
      </c>
      <c r="U352" s="103"/>
      <c r="V352" s="103">
        <v>2.1537519142419605E-3</v>
      </c>
      <c r="W352" s="103">
        <v>17.782794100389225</v>
      </c>
      <c r="X352" s="103">
        <f>IF(W352=0,V352,W352)</f>
        <v>17.782794100389225</v>
      </c>
      <c r="Y352" s="162">
        <v>1.76</v>
      </c>
      <c r="Z352" s="56">
        <v>4.78</v>
      </c>
      <c r="AA352" s="56"/>
      <c r="AB352" s="56">
        <v>4.1500000000000004</v>
      </c>
      <c r="AC352" s="56">
        <v>0.40200000000000002</v>
      </c>
      <c r="AD352" s="56">
        <v>5.84</v>
      </c>
      <c r="AE352" s="56">
        <v>6.77</v>
      </c>
      <c r="AF352" s="56">
        <f t="shared" ref="AF352:AF383" si="125">IF(AA352=0,AD352,AA352)</f>
        <v>5.84</v>
      </c>
      <c r="AG352" s="57">
        <v>5.12</v>
      </c>
      <c r="AH352" s="103">
        <v>6.2699999999999999E-8</v>
      </c>
      <c r="AI352" s="103"/>
      <c r="AJ352" s="62">
        <f t="shared" si="121"/>
        <v>-5.5912987854819356</v>
      </c>
      <c r="AK352" s="62"/>
      <c r="AL352" s="62">
        <f t="shared" si="122"/>
        <v>-5.5912987854819356</v>
      </c>
      <c r="AM352" s="62">
        <v>-12.315449999999998</v>
      </c>
      <c r="AN352" s="154"/>
      <c r="AO352" s="410">
        <v>-0.45</v>
      </c>
      <c r="AP352" s="410"/>
      <c r="AQ352" s="154" t="s">
        <v>6311</v>
      </c>
      <c r="AR352" s="154" t="s">
        <v>6311</v>
      </c>
      <c r="AS352" s="149" t="s">
        <v>6</v>
      </c>
      <c r="AT352" s="58" t="s">
        <v>266</v>
      </c>
      <c r="AU352" s="56">
        <v>2</v>
      </c>
      <c r="AV352" s="56">
        <v>96</v>
      </c>
      <c r="AW352" s="56">
        <v>96</v>
      </c>
      <c r="AX352" s="56" t="s">
        <v>6240</v>
      </c>
      <c r="AY352" s="56" t="s">
        <v>1584</v>
      </c>
      <c r="AZ352" s="61" t="s">
        <v>1584</v>
      </c>
      <c r="BA352" s="56" t="s">
        <v>8722</v>
      </c>
      <c r="BB352" s="55" t="s">
        <v>8722</v>
      </c>
      <c r="BC352" s="55" t="s">
        <v>8722</v>
      </c>
      <c r="BD352" s="55"/>
      <c r="BE352" s="56" t="s">
        <v>8722</v>
      </c>
      <c r="BF352" s="56" t="s">
        <v>8722</v>
      </c>
      <c r="BG352" s="56" t="s">
        <v>8722</v>
      </c>
      <c r="BH352" s="56" t="s">
        <v>8722</v>
      </c>
      <c r="BI352" s="103" t="s">
        <v>8722</v>
      </c>
      <c r="BJ352" s="103" t="s">
        <v>8722</v>
      </c>
      <c r="BK352" s="56"/>
      <c r="BL352" s="103">
        <f t="shared" si="123"/>
        <v>2.6174717313305926E-3</v>
      </c>
      <c r="BM352" s="55" t="s">
        <v>1640</v>
      </c>
      <c r="BN352" s="56"/>
      <c r="BO352" s="56">
        <v>8.3333333333333332E-3</v>
      </c>
      <c r="BP352" s="56"/>
      <c r="BQ352" s="56">
        <v>1.0185185185185184E-2</v>
      </c>
      <c r="BR352" s="56"/>
      <c r="BS352" s="56"/>
      <c r="BT352" s="56"/>
      <c r="BU352" s="158"/>
      <c r="BV352" s="56"/>
      <c r="BW352" s="56"/>
      <c r="BX352" s="56"/>
      <c r="BY352" s="56"/>
      <c r="BZ352" s="56"/>
      <c r="CA352" s="56"/>
      <c r="CB352" s="56"/>
      <c r="CC352" s="56"/>
      <c r="CD352" s="56"/>
      <c r="CE352" s="56"/>
      <c r="CF352" s="56"/>
      <c r="CG352" s="56"/>
      <c r="CH352" s="56"/>
      <c r="CI352" s="103">
        <f t="shared" si="116"/>
        <v>8.3333333333333332E-3</v>
      </c>
      <c r="CJ352" s="103">
        <f t="shared" si="117"/>
        <v>-2.0791812460476247</v>
      </c>
      <c r="CK352" s="57" t="s">
        <v>404</v>
      </c>
      <c r="CL352" s="160">
        <f t="shared" si="124"/>
        <v>0.31409660775967113</v>
      </c>
      <c r="CM352" s="160"/>
      <c r="CN352" s="160"/>
      <c r="CO352" s="55" t="s">
        <v>1641</v>
      </c>
      <c r="CP352" s="55" t="s">
        <v>1688</v>
      </c>
      <c r="CQ352" s="149">
        <v>-2.2521967834096133</v>
      </c>
      <c r="CR352" s="349">
        <f>10^(CJ352-CQ352)</f>
        <v>1.4894143621920866</v>
      </c>
      <c r="CS352" s="61" t="s">
        <v>539</v>
      </c>
      <c r="CT352" s="61"/>
      <c r="CU352" s="111">
        <f t="shared" si="112"/>
        <v>2133.9352920467072</v>
      </c>
      <c r="CV352" s="331"/>
      <c r="CW352" s="326">
        <f t="shared" si="118"/>
        <v>1</v>
      </c>
      <c r="CX352" s="326"/>
      <c r="CY352" s="161" t="s">
        <v>5921</v>
      </c>
    </row>
    <row r="353" spans="1:103" ht="11.25" customHeight="1" x14ac:dyDescent="0.2">
      <c r="A353" s="72">
        <v>351</v>
      </c>
      <c r="B353" s="149">
        <v>781</v>
      </c>
      <c r="C353" s="54" t="s">
        <v>6668</v>
      </c>
      <c r="D353" s="54"/>
      <c r="E353" s="59"/>
      <c r="F353" s="59" t="s">
        <v>2194</v>
      </c>
      <c r="G353" s="151">
        <v>117704253</v>
      </c>
      <c r="H353" s="55" t="s">
        <v>2195</v>
      </c>
      <c r="I353" s="55" t="s">
        <v>8335</v>
      </c>
      <c r="J353" s="55" t="s">
        <v>2196</v>
      </c>
      <c r="K353" s="55" t="s">
        <v>1318</v>
      </c>
      <c r="L353" s="55"/>
      <c r="M353" s="168" t="s">
        <v>6081</v>
      </c>
      <c r="N353" s="60"/>
      <c r="O353" s="55" t="s">
        <v>6083</v>
      </c>
      <c r="P353" s="67"/>
      <c r="Q353" s="67"/>
      <c r="R353" s="67"/>
      <c r="S353" s="67"/>
      <c r="T353" s="56">
        <v>899.11</v>
      </c>
      <c r="U353" s="103"/>
      <c r="V353" s="103">
        <v>5.7234376216480739E-8</v>
      </c>
      <c r="W353" s="103">
        <v>7.9432823472428152E-2</v>
      </c>
      <c r="X353" s="103">
        <f>IF(W353=0,V353,W353)</f>
        <v>7.9432823472428152E-2</v>
      </c>
      <c r="Y353" s="162">
        <v>7</v>
      </c>
      <c r="Z353" s="56">
        <v>5.26</v>
      </c>
      <c r="AA353" s="56"/>
      <c r="AB353" s="56">
        <v>5.74</v>
      </c>
      <c r="AC353" s="56">
        <v>0.46970000000000001</v>
      </c>
      <c r="AD353" s="56">
        <v>6.43</v>
      </c>
      <c r="AE353" s="56">
        <v>7.15</v>
      </c>
      <c r="AF353" s="56">
        <f t="shared" si="125"/>
        <v>6.43</v>
      </c>
      <c r="AG353" s="57">
        <v>4.45</v>
      </c>
      <c r="AH353" s="103">
        <v>1.0700000000000001E-27</v>
      </c>
      <c r="AI353" s="103"/>
      <c r="AJ353" s="62">
        <f t="shared" si="121"/>
        <v>-25.359182548627441</v>
      </c>
      <c r="AK353" s="62"/>
      <c r="AL353" s="62">
        <f t="shared" si="122"/>
        <v>-25.359182548627441</v>
      </c>
      <c r="AM353" s="62">
        <v>-40.735749999999996</v>
      </c>
      <c r="AN353" s="154">
        <v>-7.5</v>
      </c>
      <c r="AO353" s="410">
        <v>12.42</v>
      </c>
      <c r="AP353" s="410"/>
      <c r="AQ353" s="56" t="s">
        <v>6311</v>
      </c>
      <c r="AR353" s="56" t="s">
        <v>6311</v>
      </c>
      <c r="AS353" s="149" t="s">
        <v>1154</v>
      </c>
      <c r="AT353" s="58" t="s">
        <v>266</v>
      </c>
      <c r="AU353" s="56">
        <v>0</v>
      </c>
      <c r="AV353" s="56">
        <v>144</v>
      </c>
      <c r="AW353" s="56">
        <v>144</v>
      </c>
      <c r="AX353" s="56">
        <v>25</v>
      </c>
      <c r="AY353" s="56" t="s">
        <v>8722</v>
      </c>
      <c r="AZ353" s="56" t="s">
        <v>2175</v>
      </c>
      <c r="BA353" s="56" t="s">
        <v>8722</v>
      </c>
      <c r="BB353" s="55" t="s">
        <v>2176</v>
      </c>
      <c r="BC353" s="55" t="s">
        <v>538</v>
      </c>
      <c r="BD353" s="55"/>
      <c r="BE353" s="56" t="s">
        <v>271</v>
      </c>
      <c r="BF353" s="56" t="s">
        <v>1974</v>
      </c>
      <c r="BG353" s="56" t="s">
        <v>1974</v>
      </c>
      <c r="BH353" s="56" t="s">
        <v>2177</v>
      </c>
      <c r="BI353" s="103">
        <v>0.1</v>
      </c>
      <c r="BJ353" s="103">
        <v>10</v>
      </c>
      <c r="BK353" s="56" t="s">
        <v>2178</v>
      </c>
      <c r="BL353" s="103">
        <f t="shared" si="123"/>
        <v>9.7004973195906623E-4</v>
      </c>
      <c r="BM353" s="56" t="s">
        <v>541</v>
      </c>
      <c r="BN353" s="56"/>
      <c r="BO353" s="56"/>
      <c r="BP353" s="56"/>
      <c r="BQ353" s="56"/>
      <c r="BR353" s="56">
        <v>6.4508235922189718E-4</v>
      </c>
      <c r="BS353" s="56"/>
      <c r="BT353" s="56"/>
      <c r="BU353" s="158"/>
      <c r="BV353" s="56"/>
      <c r="BW353" s="56"/>
      <c r="BX353" s="56"/>
      <c r="BY353" s="56"/>
      <c r="BZ353" s="56"/>
      <c r="CA353" s="56"/>
      <c r="CB353" s="56"/>
      <c r="CC353" s="56"/>
      <c r="CD353" s="56"/>
      <c r="CE353" s="56"/>
      <c r="CF353" s="56"/>
      <c r="CG353" s="56"/>
      <c r="CH353" s="56"/>
      <c r="CI353" s="103">
        <f t="shared" si="116"/>
        <v>6.4508235922189718E-4</v>
      </c>
      <c r="CJ353" s="103">
        <f t="shared" si="117"/>
        <v>-3.190384834400076</v>
      </c>
      <c r="CK353" s="57">
        <f>BL353/BJ353</f>
        <v>9.7004973195906628E-5</v>
      </c>
      <c r="CL353" s="160">
        <f t="shared" si="124"/>
        <v>1.5037610594857174</v>
      </c>
      <c r="CM353" s="160"/>
      <c r="CN353" s="160"/>
      <c r="CO353" s="55" t="s">
        <v>2179</v>
      </c>
      <c r="CP353" s="55" t="s">
        <v>2180</v>
      </c>
      <c r="CQ353" s="149" t="s">
        <v>272</v>
      </c>
      <c r="CR353" s="349"/>
      <c r="CS353" s="61" t="s">
        <v>539</v>
      </c>
      <c r="CT353" s="61" t="s">
        <v>6310</v>
      </c>
      <c r="CU353" s="111">
        <f t="shared" si="112"/>
        <v>123.13594122809462</v>
      </c>
      <c r="CV353" s="331">
        <f>X353/BJ353</f>
        <v>7.9432823472428155E-3</v>
      </c>
      <c r="CW353" s="326">
        <f t="shared" si="118"/>
        <v>1</v>
      </c>
      <c r="CX353" s="326" t="s">
        <v>539</v>
      </c>
      <c r="CY353" s="161" t="s">
        <v>5921</v>
      </c>
    </row>
    <row r="354" spans="1:103" ht="11.25" customHeight="1" x14ac:dyDescent="0.2">
      <c r="A354" s="72">
        <v>352</v>
      </c>
      <c r="B354" s="149">
        <v>1039</v>
      </c>
      <c r="C354" s="54" t="s">
        <v>987</v>
      </c>
      <c r="D354" s="54" t="s">
        <v>6493</v>
      </c>
      <c r="E354" s="59"/>
      <c r="F354" s="59" t="s">
        <v>988</v>
      </c>
      <c r="G354" s="151">
        <v>1689845</v>
      </c>
      <c r="H354" s="55" t="s">
        <v>989</v>
      </c>
      <c r="I354" s="55" t="s">
        <v>8319</v>
      </c>
      <c r="J354" s="55" t="s">
        <v>990</v>
      </c>
      <c r="K354" s="55" t="s">
        <v>349</v>
      </c>
      <c r="L354" s="55" t="s">
        <v>5248</v>
      </c>
      <c r="M354" s="55" t="s">
        <v>991</v>
      </c>
      <c r="N354" s="60" t="s">
        <v>6381</v>
      </c>
      <c r="O354" s="55" t="s">
        <v>992</v>
      </c>
      <c r="P354" s="67"/>
      <c r="Q354" s="67"/>
      <c r="R354" s="67"/>
      <c r="S354" s="67"/>
      <c r="T354" s="56">
        <v>276.91000000000003</v>
      </c>
      <c r="U354" s="103">
        <v>0.46946661370120252</v>
      </c>
      <c r="V354" s="103">
        <v>0.15842692571593656</v>
      </c>
      <c r="W354" s="103">
        <v>0.75857757502918277</v>
      </c>
      <c r="X354" s="103">
        <v>0.46946661370120252</v>
      </c>
      <c r="Y354" s="162">
        <v>3.98</v>
      </c>
      <c r="Z354" s="56">
        <v>3.39</v>
      </c>
      <c r="AA354" s="56"/>
      <c r="AB354" s="56">
        <v>3.19</v>
      </c>
      <c r="AC354" s="56">
        <v>0.87050000000000005</v>
      </c>
      <c r="AD354" s="56">
        <v>3.14</v>
      </c>
      <c r="AE354" s="56">
        <v>2.95</v>
      </c>
      <c r="AF354" s="56">
        <f t="shared" si="125"/>
        <v>3.14</v>
      </c>
      <c r="AG354" s="57">
        <v>2.88</v>
      </c>
      <c r="AH354" s="103">
        <v>8.6000000000000003E-10</v>
      </c>
      <c r="AI354" s="103">
        <v>1.3200000000000001E-10</v>
      </c>
      <c r="AJ354" s="62">
        <f t="shared" si="121"/>
        <v>-7.4540678750690841</v>
      </c>
      <c r="AK354" s="62">
        <f>LOG10(AI354*1000/(0.08206*298.15))</f>
        <v>-8.267992395106802</v>
      </c>
      <c r="AL354" s="62">
        <f t="shared" si="122"/>
        <v>-8.267992395106802</v>
      </c>
      <c r="AM354" s="62">
        <v>-8.8538800000000002</v>
      </c>
      <c r="AN354" s="154">
        <v>-5.6</v>
      </c>
      <c r="AO354" s="410">
        <v>4.78</v>
      </c>
      <c r="AP354" s="410"/>
      <c r="AQ354" s="56" t="s">
        <v>6311</v>
      </c>
      <c r="AR354" s="56" t="s">
        <v>6311</v>
      </c>
      <c r="AS354" s="155"/>
      <c r="AT354" s="58" t="s">
        <v>266</v>
      </c>
      <c r="AU354" s="56">
        <v>6</v>
      </c>
      <c r="AV354" s="56">
        <v>120</v>
      </c>
      <c r="AW354" s="56">
        <v>114</v>
      </c>
      <c r="AX354" s="56">
        <v>28</v>
      </c>
      <c r="AY354" s="56" t="s">
        <v>8728</v>
      </c>
      <c r="AZ354" s="56" t="s">
        <v>1563</v>
      </c>
      <c r="BA354" s="56">
        <v>32</v>
      </c>
      <c r="BB354" s="55" t="s">
        <v>2485</v>
      </c>
      <c r="BC354" s="55" t="s">
        <v>8726</v>
      </c>
      <c r="BD354" s="55" t="s">
        <v>8374</v>
      </c>
      <c r="BE354" s="56" t="s">
        <v>2449</v>
      </c>
      <c r="BF354" s="56" t="s">
        <v>272</v>
      </c>
      <c r="BG354" s="56" t="s">
        <v>272</v>
      </c>
      <c r="BH354" s="56" t="s">
        <v>2486</v>
      </c>
      <c r="BI354" s="103">
        <v>6.3999999999999997E-6</v>
      </c>
      <c r="BJ354" s="103">
        <v>6.4000000000000001E-2</v>
      </c>
      <c r="BK354" s="56"/>
      <c r="BL354" s="103">
        <f t="shared" si="123"/>
        <v>4.6370416846478135E-2</v>
      </c>
      <c r="BM354" s="56" t="s">
        <v>2046</v>
      </c>
      <c r="BN354" s="56"/>
      <c r="BO354" s="56"/>
      <c r="BP354" s="56"/>
      <c r="BQ354" s="56"/>
      <c r="BR354" s="55">
        <v>8.2299999999999995E-3</v>
      </c>
      <c r="BS354" s="56"/>
      <c r="BT354" s="56"/>
      <c r="BU354" s="158"/>
      <c r="BV354" s="56"/>
      <c r="BW354" s="56"/>
      <c r="BX354" s="56"/>
      <c r="BY354" s="56"/>
      <c r="BZ354" s="56"/>
      <c r="CA354" s="56"/>
      <c r="CB354" s="56"/>
      <c r="CC354" s="56"/>
      <c r="CD354" s="56"/>
      <c r="CE354" s="56"/>
      <c r="CF354" s="56"/>
      <c r="CG354" s="56"/>
      <c r="CH354" s="56"/>
      <c r="CI354" s="103">
        <f t="shared" si="116"/>
        <v>8.2299999999999995E-3</v>
      </c>
      <c r="CJ354" s="103">
        <f t="shared" si="117"/>
        <v>-2.0846001647877301</v>
      </c>
      <c r="CK354" s="57">
        <f>BL354/BJ354</f>
        <v>0.72453776322622088</v>
      </c>
      <c r="CL354" s="160">
        <f t="shared" si="124"/>
        <v>5.634315534201475</v>
      </c>
      <c r="CM354" s="160">
        <v>-1.654629244018496</v>
      </c>
      <c r="CN354" s="160">
        <f>BJ354/(10^CM354)</f>
        <v>2.8894103093206969</v>
      </c>
      <c r="CO354" s="55" t="s">
        <v>2488</v>
      </c>
      <c r="CP354" s="55" t="s">
        <v>2489</v>
      </c>
      <c r="CQ354" s="149">
        <v>-1.4646833158727159</v>
      </c>
      <c r="CR354" s="349">
        <f>10^(CJ354-CQ354)</f>
        <v>0.23992922494151767</v>
      </c>
      <c r="CS354" s="61" t="s">
        <v>539</v>
      </c>
      <c r="CT354" s="61"/>
      <c r="CU354" s="111">
        <f t="shared" si="112"/>
        <v>57.043330947898241</v>
      </c>
      <c r="CV354" s="331">
        <f>X354/BJ354</f>
        <v>7.3354158390812891</v>
      </c>
      <c r="CW354" s="326">
        <f t="shared" si="118"/>
        <v>1</v>
      </c>
      <c r="CX354" s="326"/>
      <c r="CY354" s="161" t="s">
        <v>5921</v>
      </c>
    </row>
    <row r="355" spans="1:103" ht="11.25" customHeight="1" x14ac:dyDescent="0.2">
      <c r="A355" s="72">
        <v>353</v>
      </c>
      <c r="B355" s="149">
        <v>440</v>
      </c>
      <c r="C355" s="54" t="s">
        <v>6669</v>
      </c>
      <c r="D355" s="54"/>
      <c r="E355" s="59"/>
      <c r="F355" s="59" t="s">
        <v>1457</v>
      </c>
      <c r="G355" s="151">
        <v>118134308</v>
      </c>
      <c r="H355" s="55" t="s">
        <v>1458</v>
      </c>
      <c r="I355" s="55" t="s">
        <v>1458</v>
      </c>
      <c r="J355" s="55" t="s">
        <v>1459</v>
      </c>
      <c r="K355" s="55" t="s">
        <v>300</v>
      </c>
      <c r="L355" s="55"/>
      <c r="M355" s="55"/>
      <c r="N355" s="60"/>
      <c r="O355" s="55"/>
      <c r="P355" s="67"/>
      <c r="Q355" s="67"/>
      <c r="R355" s="67"/>
      <c r="S355" s="67"/>
      <c r="T355" s="56">
        <v>297.48</v>
      </c>
      <c r="U355" s="103">
        <v>1.5799381471023262</v>
      </c>
      <c r="V355" s="103">
        <v>8.6291515395993008E-3</v>
      </c>
      <c r="W355" s="103">
        <v>1.4791083881682066</v>
      </c>
      <c r="X355" s="103">
        <v>1.5799381471023262</v>
      </c>
      <c r="Y355" s="162">
        <v>9.9600000000000009</v>
      </c>
      <c r="Z355" s="56">
        <v>5.51</v>
      </c>
      <c r="AA355" s="56"/>
      <c r="AB355" s="56">
        <v>4.67</v>
      </c>
      <c r="AC355" s="56">
        <v>0.47460000000000002</v>
      </c>
      <c r="AD355" s="56">
        <v>4.78</v>
      </c>
      <c r="AE355" s="56">
        <v>4.88</v>
      </c>
      <c r="AF355" s="56">
        <f t="shared" si="125"/>
        <v>4.78</v>
      </c>
      <c r="AG355" s="57">
        <v>3.96</v>
      </c>
      <c r="AH355" s="103">
        <v>1.9399999999999999E-7</v>
      </c>
      <c r="AI355" s="103">
        <v>1.0700000000000001E-7</v>
      </c>
      <c r="AJ355" s="62">
        <f t="shared" si="121"/>
        <v>-5.100764596382426</v>
      </c>
      <c r="AK355" s="62">
        <f>LOG10(AI355*1000/(0.08206*298.15))</f>
        <v>-5.3591825486274418</v>
      </c>
      <c r="AL355" s="62">
        <f t="shared" si="122"/>
        <v>-5.3591825486274418</v>
      </c>
      <c r="AM355" s="62">
        <v>-8.4572500000000019</v>
      </c>
      <c r="AN355" s="154">
        <v>-5.31</v>
      </c>
      <c r="AO355" s="410"/>
      <c r="AP355" s="410">
        <v>8.7799999999999994</v>
      </c>
      <c r="AQ355" s="154" t="s">
        <v>6311</v>
      </c>
      <c r="AR355" s="154" t="s">
        <v>6311</v>
      </c>
      <c r="AS355" s="149" t="s">
        <v>6</v>
      </c>
      <c r="AT355" s="58" t="s">
        <v>266</v>
      </c>
      <c r="AU355" s="56">
        <v>8</v>
      </c>
      <c r="AV355" s="56">
        <v>144</v>
      </c>
      <c r="AW355" s="56">
        <v>120</v>
      </c>
      <c r="AX355" s="56">
        <v>26</v>
      </c>
      <c r="AY355" s="56" t="s">
        <v>267</v>
      </c>
      <c r="AZ355" s="56" t="s">
        <v>268</v>
      </c>
      <c r="BA355" s="56">
        <v>3</v>
      </c>
      <c r="BB355" s="55" t="s">
        <v>888</v>
      </c>
      <c r="BC355" s="55" t="s">
        <v>270</v>
      </c>
      <c r="BD355" s="55" t="s">
        <v>8374</v>
      </c>
      <c r="BE355" s="56" t="s">
        <v>889</v>
      </c>
      <c r="BF355" s="56" t="s">
        <v>272</v>
      </c>
      <c r="BG355" s="56" t="s">
        <v>272</v>
      </c>
      <c r="BH355" s="56" t="s">
        <v>890</v>
      </c>
      <c r="BI355" s="103">
        <v>9.9999999999999995E-7</v>
      </c>
      <c r="BJ355" s="103">
        <v>0.08</v>
      </c>
      <c r="BK355" s="56"/>
      <c r="BL355" s="103">
        <f t="shared" si="123"/>
        <v>5.7845422834882807E-4</v>
      </c>
      <c r="BM355" s="56" t="s">
        <v>891</v>
      </c>
      <c r="BN355" s="162"/>
      <c r="BO355" s="162"/>
      <c r="BP355" s="162"/>
      <c r="BQ355" s="162"/>
      <c r="BR355" s="162"/>
      <c r="BS355" s="56">
        <v>7.7450000000000005E-2</v>
      </c>
      <c r="BT355" s="162"/>
      <c r="BU355" s="158"/>
      <c r="BV355" s="162"/>
      <c r="BW355" s="162"/>
      <c r="BX355" s="162"/>
      <c r="BY355" s="162"/>
      <c r="BZ355" s="162"/>
      <c r="CA355" s="162"/>
      <c r="CB355" s="162"/>
      <c r="CC355" s="56"/>
      <c r="CD355" s="56"/>
      <c r="CE355" s="56"/>
      <c r="CF355" s="56"/>
      <c r="CG355" s="162"/>
      <c r="CH355" s="56"/>
      <c r="CI355" s="103">
        <f t="shared" si="116"/>
        <v>7.7450000000000005E-2</v>
      </c>
      <c r="CJ355" s="103">
        <f t="shared" si="117"/>
        <v>-1.1109785779047752</v>
      </c>
      <c r="CK355" s="57">
        <f>BL355/BJ355</f>
        <v>7.2306778543603512E-3</v>
      </c>
      <c r="CL355" s="160">
        <f t="shared" si="124"/>
        <v>7.4687440716440035E-3</v>
      </c>
      <c r="CM355" s="160"/>
      <c r="CN355" s="160"/>
      <c r="CO355" s="55" t="s">
        <v>892</v>
      </c>
      <c r="CP355" s="55" t="s">
        <v>893</v>
      </c>
      <c r="CQ355" s="149" t="s">
        <v>272</v>
      </c>
      <c r="CR355" s="349"/>
      <c r="CS355" s="61" t="s">
        <v>539</v>
      </c>
      <c r="CT355" s="61"/>
      <c r="CU355" s="111">
        <f t="shared" si="112"/>
        <v>20.399459613974514</v>
      </c>
      <c r="CV355" s="331">
        <f>X355/BJ355</f>
        <v>19.749226838779077</v>
      </c>
      <c r="CW355" s="326">
        <f t="shared" si="118"/>
        <v>1</v>
      </c>
      <c r="CX355" s="326" t="s">
        <v>539</v>
      </c>
      <c r="CY355" s="161" t="s">
        <v>5921</v>
      </c>
    </row>
    <row r="356" spans="1:103" ht="11.25" customHeight="1" x14ac:dyDescent="0.2">
      <c r="A356" s="72">
        <v>354</v>
      </c>
      <c r="B356" s="149">
        <v>899</v>
      </c>
      <c r="C356" s="54" t="s">
        <v>2563</v>
      </c>
      <c r="D356" s="54" t="s">
        <v>6670</v>
      </c>
      <c r="E356" s="59"/>
      <c r="F356" s="59" t="s">
        <v>2564</v>
      </c>
      <c r="G356" s="151">
        <v>528290</v>
      </c>
      <c r="H356" s="55" t="s">
        <v>2565</v>
      </c>
      <c r="I356" s="55" t="s">
        <v>8336</v>
      </c>
      <c r="J356" s="55" t="s">
        <v>2566</v>
      </c>
      <c r="K356" s="55" t="s">
        <v>1011</v>
      </c>
      <c r="L356" s="55" t="s">
        <v>6071</v>
      </c>
      <c r="M356" s="60" t="s">
        <v>2342</v>
      </c>
      <c r="N356" s="60" t="s">
        <v>2342</v>
      </c>
      <c r="O356" s="55"/>
      <c r="P356" s="67"/>
      <c r="Q356" s="67"/>
      <c r="R356" s="67"/>
      <c r="S356" s="67"/>
      <c r="T356" s="56">
        <v>168.11</v>
      </c>
      <c r="U356" s="103">
        <v>2.9742430551424661</v>
      </c>
      <c r="V356" s="103">
        <v>5.4815299506275652</v>
      </c>
      <c r="W356" s="103">
        <v>2.5118864315095779</v>
      </c>
      <c r="X356" s="103">
        <v>2.9742430551424661</v>
      </c>
      <c r="Y356" s="162">
        <v>7</v>
      </c>
      <c r="Z356" s="56">
        <v>1.63</v>
      </c>
      <c r="AA356" s="56">
        <v>1.69</v>
      </c>
      <c r="AB356" s="56">
        <v>1.54</v>
      </c>
      <c r="AC356" s="56">
        <v>0.92079999999999995</v>
      </c>
      <c r="AD356" s="56">
        <v>1.6</v>
      </c>
      <c r="AE356" s="56">
        <v>1.84</v>
      </c>
      <c r="AF356" s="56">
        <f t="shared" si="125"/>
        <v>1.69</v>
      </c>
      <c r="AG356" s="57">
        <v>1.04</v>
      </c>
      <c r="AH356" s="103">
        <v>8.3900000000000004E-8</v>
      </c>
      <c r="AI356" s="103">
        <v>5.3300000000000001E-8</v>
      </c>
      <c r="AJ356" s="62">
        <f t="shared" si="121"/>
        <v>-5.4648043654839515</v>
      </c>
      <c r="AK356" s="62">
        <f>LOG10(AI356*1000/(0.08206*298.15))</f>
        <v>-5.6618391172860791</v>
      </c>
      <c r="AL356" s="62">
        <f t="shared" si="122"/>
        <v>-5.6618391172860791</v>
      </c>
      <c r="AM356" s="62">
        <v>-7.4061899999999996</v>
      </c>
      <c r="AN356" s="154">
        <v>-5</v>
      </c>
      <c r="AO356" s="410"/>
      <c r="AP356" s="410"/>
      <c r="AQ356" s="56" t="s">
        <v>6311</v>
      </c>
      <c r="AR356" s="56" t="s">
        <v>6311</v>
      </c>
      <c r="AS356" s="155"/>
      <c r="AT356" s="58" t="s">
        <v>266</v>
      </c>
      <c r="AU356" s="56">
        <v>6</v>
      </c>
      <c r="AV356" s="56">
        <v>120</v>
      </c>
      <c r="AW356" s="56">
        <v>114</v>
      </c>
      <c r="AX356" s="56">
        <v>28</v>
      </c>
      <c r="AY356" s="56" t="s">
        <v>8728</v>
      </c>
      <c r="AZ356" s="56" t="s">
        <v>1563</v>
      </c>
      <c r="BA356" s="56">
        <v>32</v>
      </c>
      <c r="BB356" s="55" t="s">
        <v>2485</v>
      </c>
      <c r="BC356" s="55" t="s">
        <v>8726</v>
      </c>
      <c r="BD356" s="55" t="s">
        <v>8374</v>
      </c>
      <c r="BE356" s="56" t="s">
        <v>2449</v>
      </c>
      <c r="BF356" s="56" t="s">
        <v>272</v>
      </c>
      <c r="BG356" s="56" t="s">
        <v>272</v>
      </c>
      <c r="BH356" s="56" t="s">
        <v>2486</v>
      </c>
      <c r="BI356" s="103">
        <v>6.3999999999999997E-6</v>
      </c>
      <c r="BJ356" s="103">
        <v>6.4000000000000001E-2</v>
      </c>
      <c r="BK356" s="56"/>
      <c r="BL356" s="103">
        <f t="shared" si="123"/>
        <v>1.7656190257571063</v>
      </c>
      <c r="BM356" s="56" t="s">
        <v>2046</v>
      </c>
      <c r="BN356" s="56"/>
      <c r="BO356" s="56"/>
      <c r="BP356" s="56"/>
      <c r="BQ356" s="56"/>
      <c r="BR356" s="55">
        <v>7.3099999999999997E-3</v>
      </c>
      <c r="BS356" s="56"/>
      <c r="BT356" s="56"/>
      <c r="BU356" s="158"/>
      <c r="BV356" s="56"/>
      <c r="BW356" s="56"/>
      <c r="BX356" s="56"/>
      <c r="BY356" s="56"/>
      <c r="BZ356" s="56"/>
      <c r="CA356" s="56"/>
      <c r="CB356" s="56"/>
      <c r="CC356" s="56"/>
      <c r="CD356" s="56"/>
      <c r="CE356" s="56"/>
      <c r="CF356" s="56"/>
      <c r="CG356" s="56"/>
      <c r="CH356" s="56"/>
      <c r="CI356" s="103">
        <f t="shared" si="116"/>
        <v>7.3099999999999997E-3</v>
      </c>
      <c r="CJ356" s="103">
        <f t="shared" si="117"/>
        <v>-2.1360826230421397</v>
      </c>
      <c r="CK356" s="57">
        <f>BL356/BJ356</f>
        <v>27.587797277454786</v>
      </c>
      <c r="CL356" s="160">
        <f t="shared" si="124"/>
        <v>241.53475044556859</v>
      </c>
      <c r="CM356" s="160">
        <v>-2.4488947930928595</v>
      </c>
      <c r="CN356" s="160">
        <f>BJ356/(10^CM356)</f>
        <v>17.991806310089505</v>
      </c>
      <c r="CO356" s="55" t="s">
        <v>2488</v>
      </c>
      <c r="CP356" s="55" t="s">
        <v>2489</v>
      </c>
      <c r="CQ356" s="149">
        <v>-2.4488947930928595</v>
      </c>
      <c r="CR356" s="349">
        <f t="shared" ref="CR356:CR371" si="126">10^(CJ356-CQ356)</f>
        <v>2.055001626980534</v>
      </c>
      <c r="CS356" s="61" t="s">
        <v>539</v>
      </c>
      <c r="CT356" s="61"/>
      <c r="CU356" s="111">
        <f t="shared" si="112"/>
        <v>406.87319495792974</v>
      </c>
      <c r="CV356" s="331">
        <f>X356/BJ356</f>
        <v>46.47254773660103</v>
      </c>
      <c r="CW356" s="326">
        <f t="shared" si="118"/>
        <v>1</v>
      </c>
      <c r="CX356" s="326"/>
      <c r="CY356" s="161" t="s">
        <v>5921</v>
      </c>
    </row>
    <row r="357" spans="1:103" ht="11.25" customHeight="1" x14ac:dyDescent="0.2">
      <c r="A357" s="72">
        <v>355</v>
      </c>
      <c r="B357" s="149">
        <v>873</v>
      </c>
      <c r="C357" s="54" t="s">
        <v>2476</v>
      </c>
      <c r="D357" s="54" t="s">
        <v>6671</v>
      </c>
      <c r="E357" s="59"/>
      <c r="F357" s="59" t="s">
        <v>2477</v>
      </c>
      <c r="G357" s="151">
        <v>12427382</v>
      </c>
      <c r="H357" s="55" t="s">
        <v>2478</v>
      </c>
      <c r="I357" s="55" t="s">
        <v>2478</v>
      </c>
      <c r="J357" s="55" t="s">
        <v>2479</v>
      </c>
      <c r="K357" s="55" t="s">
        <v>1297</v>
      </c>
      <c r="L357" s="55" t="s">
        <v>5929</v>
      </c>
      <c r="M357" s="55" t="s">
        <v>1515</v>
      </c>
      <c r="N357" s="60" t="s">
        <v>6382</v>
      </c>
      <c r="O357" s="55" t="s">
        <v>1516</v>
      </c>
      <c r="P357" s="67"/>
      <c r="Q357" s="67"/>
      <c r="R357" s="67"/>
      <c r="S357" s="67"/>
      <c r="T357" s="56">
        <v>212.38</v>
      </c>
      <c r="U357" s="103"/>
      <c r="V357" s="103">
        <v>132.49835201054714</v>
      </c>
      <c r="W357" s="103">
        <v>58.884365535558885</v>
      </c>
      <c r="X357" s="103">
        <f>IF(W357=0,V357,W357)</f>
        <v>58.884365535558885</v>
      </c>
      <c r="Y357" s="162">
        <v>1.25</v>
      </c>
      <c r="Z357" s="56">
        <v>0.62</v>
      </c>
      <c r="AA357" s="56">
        <v>1.33</v>
      </c>
      <c r="AB357" s="56">
        <v>0.96</v>
      </c>
      <c r="AC357" s="56">
        <v>0.5101</v>
      </c>
      <c r="AD357" s="56">
        <v>1.3</v>
      </c>
      <c r="AE357" s="56">
        <v>1.66</v>
      </c>
      <c r="AF357" s="56">
        <f t="shared" si="125"/>
        <v>1.33</v>
      </c>
      <c r="AG357" s="57">
        <v>1.3</v>
      </c>
      <c r="AH357" s="103">
        <v>5.6400000000000002E-7</v>
      </c>
      <c r="AI357" s="103"/>
      <c r="AJ357" s="62">
        <f t="shared" si="121"/>
        <v>-4.6372872223293093</v>
      </c>
      <c r="AK357" s="62"/>
      <c r="AL357" s="62">
        <f t="shared" si="122"/>
        <v>-4.6372872223293093</v>
      </c>
      <c r="AM357" s="62">
        <v>-12.801919999999999</v>
      </c>
      <c r="AN357" s="154"/>
      <c r="AO357" s="410">
        <v>1.25</v>
      </c>
      <c r="AP357" s="410">
        <v>1.71</v>
      </c>
      <c r="AQ357" s="154" t="s">
        <v>6311</v>
      </c>
      <c r="AR357" s="154" t="s">
        <v>6311</v>
      </c>
      <c r="AS357" s="149" t="s">
        <v>6</v>
      </c>
      <c r="AT357" s="58" t="s">
        <v>266</v>
      </c>
      <c r="AU357" s="56">
        <v>2</v>
      </c>
      <c r="AV357" s="56">
        <v>98</v>
      </c>
      <c r="AW357" s="56">
        <v>96</v>
      </c>
      <c r="AX357" s="56">
        <v>26</v>
      </c>
      <c r="AY357" s="56" t="s">
        <v>267</v>
      </c>
      <c r="AZ357" s="56" t="s">
        <v>536</v>
      </c>
      <c r="BA357" s="56">
        <v>10</v>
      </c>
      <c r="BB357" s="55" t="s">
        <v>1764</v>
      </c>
      <c r="BC357" s="55" t="s">
        <v>2448</v>
      </c>
      <c r="BD357" s="55"/>
      <c r="BE357" s="56" t="s">
        <v>2449</v>
      </c>
      <c r="BF357" s="56"/>
      <c r="BG357" s="56"/>
      <c r="BH357" s="56"/>
      <c r="BI357" s="103"/>
      <c r="BJ357" s="103"/>
      <c r="BK357" s="56"/>
      <c r="BL357" s="103">
        <f t="shared" si="123"/>
        <v>14.255353786098398</v>
      </c>
      <c r="BM357" s="56" t="s">
        <v>541</v>
      </c>
      <c r="BN357" s="162">
        <v>7.0699999999999999E-3</v>
      </c>
      <c r="BO357" s="56">
        <v>6.9199999999999999E-3</v>
      </c>
      <c r="BP357" s="56">
        <v>6.9199999999999999E-3</v>
      </c>
      <c r="BQ357" s="56">
        <v>6.9199999999999999E-3</v>
      </c>
      <c r="BR357" s="56"/>
      <c r="BS357" s="56"/>
      <c r="BT357" s="56"/>
      <c r="BU357" s="158"/>
      <c r="BV357" s="56"/>
      <c r="BW357" s="56"/>
      <c r="BX357" s="56"/>
      <c r="BY357" s="56"/>
      <c r="BZ357" s="56"/>
      <c r="CA357" s="56"/>
      <c r="CB357" s="56"/>
      <c r="CC357" s="56"/>
      <c r="CD357" s="56"/>
      <c r="CE357" s="56"/>
      <c r="CF357" s="56"/>
      <c r="CG357" s="56"/>
      <c r="CH357" s="56"/>
      <c r="CI357" s="103">
        <f t="shared" si="116"/>
        <v>6.9199999999999999E-3</v>
      </c>
      <c r="CJ357" s="103">
        <f t="shared" si="117"/>
        <v>-2.159893905543242</v>
      </c>
      <c r="CK357" s="57" t="s">
        <v>404</v>
      </c>
      <c r="CL357" s="160">
        <f t="shared" si="124"/>
        <v>2060.0222234246239</v>
      </c>
      <c r="CM357" s="160">
        <v>-2.3941238240351312</v>
      </c>
      <c r="CN357" s="160"/>
      <c r="CO357" s="55"/>
      <c r="CP357" s="55" t="s">
        <v>2470</v>
      </c>
      <c r="CQ357" s="149">
        <v>-2.2668280988898459</v>
      </c>
      <c r="CR357" s="349">
        <f t="shared" si="126"/>
        <v>1.2791874600557109</v>
      </c>
      <c r="CS357" s="61" t="s">
        <v>539</v>
      </c>
      <c r="CT357" s="61"/>
      <c r="CU357" s="111">
        <f t="shared" si="112"/>
        <v>8509.3013779709381</v>
      </c>
      <c r="CV357" s="331"/>
      <c r="CW357" s="326">
        <f t="shared" si="118"/>
        <v>1</v>
      </c>
      <c r="CX357" s="326"/>
      <c r="CY357" s="161" t="s">
        <v>5921</v>
      </c>
    </row>
    <row r="358" spans="1:103" ht="11.25" customHeight="1" x14ac:dyDescent="0.2">
      <c r="A358" s="72">
        <v>356</v>
      </c>
      <c r="B358" s="149">
        <v>799</v>
      </c>
      <c r="C358" s="54" t="s">
        <v>1108</v>
      </c>
      <c r="D358" s="54" t="s">
        <v>6672</v>
      </c>
      <c r="E358" s="59"/>
      <c r="F358" s="59" t="s">
        <v>1109</v>
      </c>
      <c r="G358" s="151">
        <v>119446683</v>
      </c>
      <c r="H358" s="55" t="s">
        <v>1110</v>
      </c>
      <c r="I358" s="55" t="s">
        <v>7954</v>
      </c>
      <c r="J358" s="55" t="s">
        <v>1111</v>
      </c>
      <c r="K358" s="55" t="s">
        <v>1112</v>
      </c>
      <c r="L358" s="64" t="s">
        <v>5929</v>
      </c>
      <c r="M358" s="55" t="s">
        <v>6082</v>
      </c>
      <c r="N358" s="60" t="s">
        <v>6082</v>
      </c>
      <c r="O358" s="55" t="s">
        <v>6083</v>
      </c>
      <c r="P358" s="67"/>
      <c r="Q358" s="67"/>
      <c r="R358" s="67"/>
      <c r="S358" s="67"/>
      <c r="T358" s="56">
        <v>406.26</v>
      </c>
      <c r="U358" s="103">
        <v>3.6922168069709056E-2</v>
      </c>
      <c r="V358" s="103">
        <v>1.4660562201545809E-3</v>
      </c>
      <c r="W358" s="103">
        <v>1.2882495516931332E-3</v>
      </c>
      <c r="X358" s="103">
        <v>3.6922168069709056E-2</v>
      </c>
      <c r="Y358" s="162">
        <v>7</v>
      </c>
      <c r="Z358" s="56">
        <v>5.2</v>
      </c>
      <c r="AA358" s="56">
        <v>4.3</v>
      </c>
      <c r="AB358" s="56">
        <v>3.84</v>
      </c>
      <c r="AC358" s="56">
        <v>0.90800000000000003</v>
      </c>
      <c r="AD358" s="56">
        <v>4</v>
      </c>
      <c r="AE358" s="56">
        <v>4.92</v>
      </c>
      <c r="AF358" s="56">
        <f t="shared" si="125"/>
        <v>4.3</v>
      </c>
      <c r="AG358" s="57">
        <v>4.37</v>
      </c>
      <c r="AH358" s="103">
        <v>1.6900000000000001E-11</v>
      </c>
      <c r="AI358" s="103">
        <v>8.9099999999999998E-12</v>
      </c>
      <c r="AJ358" s="62">
        <f t="shared" si="121"/>
        <v>-9.1606796216989785</v>
      </c>
      <c r="AK358" s="62">
        <f>LOG10(AI358*1000/(0.08206*298.15))</f>
        <v>-9.4386886222757767</v>
      </c>
      <c r="AL358" s="62">
        <f t="shared" si="122"/>
        <v>-9.4386886222757767</v>
      </c>
      <c r="AM358" s="62">
        <v>-16.91262</v>
      </c>
      <c r="AN358" s="154">
        <v>-10.1</v>
      </c>
      <c r="AO358" s="410"/>
      <c r="AP358" s="410">
        <v>2.94</v>
      </c>
      <c r="AQ358" s="154" t="s">
        <v>6311</v>
      </c>
      <c r="AR358" s="154" t="s">
        <v>6311</v>
      </c>
      <c r="AS358" s="155" t="s">
        <v>6</v>
      </c>
      <c r="AT358" s="58" t="s">
        <v>266</v>
      </c>
      <c r="AU358" s="56">
        <v>0</v>
      </c>
      <c r="AV358" s="56">
        <v>96</v>
      </c>
      <c r="AW358" s="56">
        <v>96</v>
      </c>
      <c r="AX358" s="56">
        <v>26</v>
      </c>
      <c r="AY358" s="56" t="s">
        <v>8722</v>
      </c>
      <c r="AZ358" s="56" t="s">
        <v>536</v>
      </c>
      <c r="BA358" s="56">
        <v>20</v>
      </c>
      <c r="BB358" s="55" t="s">
        <v>1764</v>
      </c>
      <c r="BC358" s="55" t="s">
        <v>538</v>
      </c>
      <c r="BD358" s="55"/>
      <c r="BE358" s="56" t="s">
        <v>271</v>
      </c>
      <c r="BF358" s="56" t="s">
        <v>272</v>
      </c>
      <c r="BG358" s="56" t="s">
        <v>272</v>
      </c>
      <c r="BH358" s="56" t="s">
        <v>2247</v>
      </c>
      <c r="BI358" s="103">
        <v>1.2307177299657615E-3</v>
      </c>
      <c r="BJ358" s="103">
        <v>7.3843063797945684E-3</v>
      </c>
      <c r="BK358" s="56" t="s">
        <v>1810</v>
      </c>
      <c r="BL358" s="103">
        <f t="shared" si="123"/>
        <v>1.0981963602641333E-3</v>
      </c>
      <c r="BM358" s="56" t="s">
        <v>1584</v>
      </c>
      <c r="BN358" s="56"/>
      <c r="BO358" s="56"/>
      <c r="BP358" s="56"/>
      <c r="BQ358" s="56">
        <v>5.981288167633601E-3</v>
      </c>
      <c r="BR358" s="56"/>
      <c r="BS358" s="56"/>
      <c r="BT358" s="56"/>
      <c r="BU358" s="158"/>
      <c r="BV358" s="56"/>
      <c r="BW358" s="56"/>
      <c r="BX358" s="56"/>
      <c r="BY358" s="56"/>
      <c r="BZ358" s="56"/>
      <c r="CA358" s="56"/>
      <c r="CB358" s="56"/>
      <c r="CC358" s="56"/>
      <c r="CD358" s="56"/>
      <c r="CE358" s="56"/>
      <c r="CF358" s="56"/>
      <c r="CG358" s="56"/>
      <c r="CH358" s="56"/>
      <c r="CI358" s="103">
        <f t="shared" si="116"/>
        <v>5.981288167633601E-3</v>
      </c>
      <c r="CJ358" s="103">
        <f t="shared" si="117"/>
        <v>-2.2232052735620869</v>
      </c>
      <c r="CK358" s="57">
        <f>BL358/BJ358</f>
        <v>0.14872031356514287</v>
      </c>
      <c r="CL358" s="160">
        <f t="shared" si="124"/>
        <v>0.18360532538906527</v>
      </c>
      <c r="CM358" s="160">
        <v>-3.1782303885975653</v>
      </c>
      <c r="CN358" s="160">
        <f>BJ358/(10^CM358)</f>
        <v>11.131151562065572</v>
      </c>
      <c r="CO358" s="55"/>
      <c r="CP358" s="55" t="s">
        <v>2248</v>
      </c>
      <c r="CQ358" s="149">
        <v>-2.8599866469775228</v>
      </c>
      <c r="CR358" s="349">
        <f t="shared" si="126"/>
        <v>4.3329270119441867</v>
      </c>
      <c r="CS358" s="61" t="s">
        <v>539</v>
      </c>
      <c r="CT358" s="61" t="s">
        <v>6310</v>
      </c>
      <c r="CU358" s="111">
        <f t="shared" si="112"/>
        <v>6.1729458663277725</v>
      </c>
      <c r="CV358" s="331">
        <f>X358/BJ358</f>
        <v>5.0000861517254966</v>
      </c>
      <c r="CW358" s="326">
        <f t="shared" si="118"/>
        <v>1</v>
      </c>
      <c r="CX358" s="326" t="s">
        <v>539</v>
      </c>
      <c r="CY358" s="161" t="s">
        <v>5921</v>
      </c>
    </row>
    <row r="359" spans="1:103" ht="11.25" customHeight="1" x14ac:dyDescent="0.2">
      <c r="A359" s="72">
        <v>357</v>
      </c>
      <c r="B359" s="149">
        <v>609</v>
      </c>
      <c r="C359" s="54" t="s">
        <v>1095</v>
      </c>
      <c r="D359" s="54" t="s">
        <v>6673</v>
      </c>
      <c r="E359" s="59"/>
      <c r="F359" s="59" t="s">
        <v>1096</v>
      </c>
      <c r="G359" s="151">
        <v>84742</v>
      </c>
      <c r="H359" s="55" t="s">
        <v>1097</v>
      </c>
      <c r="I359" s="55" t="s">
        <v>1097</v>
      </c>
      <c r="J359" s="55" t="s">
        <v>1098</v>
      </c>
      <c r="K359" s="55" t="s">
        <v>357</v>
      </c>
      <c r="L359" s="55" t="s">
        <v>5492</v>
      </c>
      <c r="M359" s="55" t="s">
        <v>866</v>
      </c>
      <c r="N359" s="60" t="s">
        <v>6082</v>
      </c>
      <c r="O359" s="55" t="s">
        <v>6086</v>
      </c>
      <c r="P359" s="67"/>
      <c r="Q359" s="67" t="s">
        <v>6173</v>
      </c>
      <c r="R359" s="67" t="s">
        <v>6174</v>
      </c>
      <c r="S359" s="67" t="s">
        <v>6176</v>
      </c>
      <c r="T359" s="56">
        <v>278.33999999999997</v>
      </c>
      <c r="U359" s="103">
        <v>4.0238557160307539E-2</v>
      </c>
      <c r="V359" s="103">
        <v>8.4465042753466991E-3</v>
      </c>
      <c r="W359" s="103">
        <v>8.9125093813374523E-2</v>
      </c>
      <c r="X359" s="103">
        <v>4.0238557160307539E-2</v>
      </c>
      <c r="Y359" s="162">
        <v>7</v>
      </c>
      <c r="Z359" s="56">
        <v>4.6100000000000003</v>
      </c>
      <c r="AA359" s="56">
        <v>4.5</v>
      </c>
      <c r="AB359" s="56">
        <v>4.62</v>
      </c>
      <c r="AC359" s="56">
        <v>0.79549999999999998</v>
      </c>
      <c r="AD359" s="56">
        <v>4.68</v>
      </c>
      <c r="AE359" s="56">
        <v>4.83</v>
      </c>
      <c r="AF359" s="56">
        <f t="shared" si="125"/>
        <v>4.5</v>
      </c>
      <c r="AG359" s="57">
        <v>3.98</v>
      </c>
      <c r="AH359" s="103">
        <v>1.22E-6</v>
      </c>
      <c r="AI359" s="103">
        <v>1.81E-6</v>
      </c>
      <c r="AJ359" s="62">
        <f t="shared" si="121"/>
        <v>-4.302206495637904</v>
      </c>
      <c r="AK359" s="62">
        <f>LOG10(AI359*1000/(0.08206*298.15))</f>
        <v>-4.130887751443467</v>
      </c>
      <c r="AL359" s="62">
        <f t="shared" si="122"/>
        <v>-4.130887751443467</v>
      </c>
      <c r="AM359" s="62">
        <v>-8.9484100000000009</v>
      </c>
      <c r="AN359" s="154">
        <v>-4.67</v>
      </c>
      <c r="AO359" s="410"/>
      <c r="AP359" s="410"/>
      <c r="AQ359" s="154" t="s">
        <v>6311</v>
      </c>
      <c r="AR359" s="154" t="s">
        <v>6312</v>
      </c>
      <c r="AS359" s="149" t="s">
        <v>6</v>
      </c>
      <c r="AT359" s="58" t="s">
        <v>266</v>
      </c>
      <c r="AU359" s="56">
        <v>2</v>
      </c>
      <c r="AV359" s="56" t="s">
        <v>646</v>
      </c>
      <c r="AW359" s="56" t="s">
        <v>646</v>
      </c>
      <c r="AX359" s="56">
        <v>26</v>
      </c>
      <c r="AY359" s="56" t="s">
        <v>647</v>
      </c>
      <c r="AZ359" s="56" t="s">
        <v>536</v>
      </c>
      <c r="BA359" s="56">
        <v>10</v>
      </c>
      <c r="BB359" s="55" t="s">
        <v>1764</v>
      </c>
      <c r="BC359" s="55" t="s">
        <v>538</v>
      </c>
      <c r="BD359" s="55"/>
      <c r="BE359" s="56" t="s">
        <v>1809</v>
      </c>
      <c r="BF359" s="56" t="s">
        <v>539</v>
      </c>
      <c r="BG359" s="56" t="s">
        <v>272</v>
      </c>
      <c r="BH359" s="56" t="s">
        <v>272</v>
      </c>
      <c r="BI359" s="157">
        <v>2.2454551986778762E-3</v>
      </c>
      <c r="BJ359" s="157">
        <v>3.5927283178846019E-2</v>
      </c>
      <c r="BK359" s="56"/>
      <c r="BL359" s="103">
        <f t="shared" si="123"/>
        <v>3.7201375673569328E-3</v>
      </c>
      <c r="BM359" s="56" t="s">
        <v>541</v>
      </c>
      <c r="BN359" s="56"/>
      <c r="BO359" s="56">
        <v>8.1914205647768915E-3</v>
      </c>
      <c r="BP359" s="56"/>
      <c r="BQ359" s="56"/>
      <c r="BR359" s="56">
        <v>5.7999999999999996E-3</v>
      </c>
      <c r="BS359" s="56"/>
      <c r="BT359" s="56"/>
      <c r="BU359" s="158"/>
      <c r="BV359" s="56"/>
      <c r="BW359" s="56"/>
      <c r="BX359" s="56"/>
      <c r="BY359" s="56"/>
      <c r="BZ359" s="56"/>
      <c r="CA359" s="56"/>
      <c r="CB359" s="56"/>
      <c r="CC359" s="56"/>
      <c r="CD359" s="56"/>
      <c r="CE359" s="56"/>
      <c r="CF359" s="56"/>
      <c r="CG359" s="56"/>
      <c r="CH359" s="56"/>
      <c r="CI359" s="103">
        <f t="shared" si="116"/>
        <v>5.7999999999999996E-3</v>
      </c>
      <c r="CJ359" s="103">
        <f t="shared" si="117"/>
        <v>-2.2365720064370627</v>
      </c>
      <c r="CK359" s="57">
        <f>BL359/BJ359</f>
        <v>0.10354630904981287</v>
      </c>
      <c r="CL359" s="160">
        <f t="shared" si="124"/>
        <v>0.64140302885464362</v>
      </c>
      <c r="CM359" s="160">
        <v>-2.3583644594795694</v>
      </c>
      <c r="CN359" s="160">
        <f>BJ359/(10^CM359)</f>
        <v>8.199527685212372</v>
      </c>
      <c r="CO359" s="55"/>
      <c r="CP359" s="55" t="s">
        <v>1811</v>
      </c>
      <c r="CQ359" s="149">
        <v>-2.294003281648453</v>
      </c>
      <c r="CR359" s="349">
        <f t="shared" si="126"/>
        <v>1.141382672598521</v>
      </c>
      <c r="CS359" s="61" t="s">
        <v>539</v>
      </c>
      <c r="CT359" s="61"/>
      <c r="CU359" s="111">
        <f t="shared" si="112"/>
        <v>6.9376822690185413</v>
      </c>
      <c r="CV359" s="331">
        <f>X359/BJ359</f>
        <v>1.1199999999999999</v>
      </c>
      <c r="CW359" s="326">
        <f t="shared" si="118"/>
        <v>1</v>
      </c>
      <c r="CX359" s="326"/>
      <c r="CY359" s="161" t="s">
        <v>6351</v>
      </c>
    </row>
    <row r="360" spans="1:103" ht="11.25" customHeight="1" x14ac:dyDescent="0.2">
      <c r="A360" s="72">
        <v>358</v>
      </c>
      <c r="B360" s="149">
        <v>2043</v>
      </c>
      <c r="C360" s="54" t="s">
        <v>6674</v>
      </c>
      <c r="D360" s="54" t="s">
        <v>6446</v>
      </c>
      <c r="E360" s="59"/>
      <c r="F360" s="59" t="s">
        <v>2269</v>
      </c>
      <c r="G360" s="151">
        <v>79947</v>
      </c>
      <c r="H360" s="67" t="s">
        <v>2270</v>
      </c>
      <c r="I360" s="67" t="s">
        <v>2270</v>
      </c>
      <c r="J360" s="67" t="s">
        <v>2271</v>
      </c>
      <c r="K360" s="67" t="s">
        <v>376</v>
      </c>
      <c r="L360" s="67" t="s">
        <v>5492</v>
      </c>
      <c r="M360" s="67" t="s">
        <v>5960</v>
      </c>
      <c r="N360" s="60" t="s">
        <v>2342</v>
      </c>
      <c r="O360" s="67"/>
      <c r="P360" s="67"/>
      <c r="Q360" s="67"/>
      <c r="R360" s="67"/>
      <c r="S360" s="67"/>
      <c r="T360" s="61">
        <v>543.88</v>
      </c>
      <c r="U360" s="111"/>
      <c r="V360" s="111">
        <v>1.8423181584172981E-6</v>
      </c>
      <c r="W360" s="111">
        <v>5.4954087385762412E-4</v>
      </c>
      <c r="X360" s="111">
        <f>IF(W360=0,V360,W360)</f>
        <v>5.4954087385762412E-4</v>
      </c>
      <c r="Y360" s="411">
        <v>6.97</v>
      </c>
      <c r="Z360" s="61">
        <v>7.2</v>
      </c>
      <c r="AA360" s="61"/>
      <c r="AB360" s="61">
        <v>6.4</v>
      </c>
      <c r="AC360" s="61">
        <v>0.56699999999999995</v>
      </c>
      <c r="AD360" s="61">
        <v>6.8</v>
      </c>
      <c r="AE360" s="61">
        <v>7.29</v>
      </c>
      <c r="AF360" s="61">
        <f t="shared" si="125"/>
        <v>6.8</v>
      </c>
      <c r="AG360" s="62">
        <v>6.88</v>
      </c>
      <c r="AH360" s="111">
        <v>2.3099999999999997E-13</v>
      </c>
      <c r="AI360" s="111"/>
      <c r="AJ360" s="62">
        <f t="shared" si="121"/>
        <v>-11.024954346420508</v>
      </c>
      <c r="AK360" s="62"/>
      <c r="AL360" s="62">
        <f t="shared" si="122"/>
        <v>-11.024954346420508</v>
      </c>
      <c r="AM360" s="62">
        <v>-12.1549</v>
      </c>
      <c r="AN360" s="163">
        <v>-7.9859</v>
      </c>
      <c r="AO360" s="410">
        <v>8.5</v>
      </c>
      <c r="AP360" s="410"/>
      <c r="AQ360" s="163" t="s">
        <v>6311</v>
      </c>
      <c r="AR360" s="163" t="s">
        <v>6311</v>
      </c>
      <c r="AS360" s="164" t="s">
        <v>5466</v>
      </c>
      <c r="AT360" s="63" t="s">
        <v>266</v>
      </c>
      <c r="AU360" s="61">
        <v>0</v>
      </c>
      <c r="AV360" s="56">
        <v>96</v>
      </c>
      <c r="AW360" s="56">
        <v>96</v>
      </c>
      <c r="AX360" s="61">
        <v>21</v>
      </c>
      <c r="AY360" s="174" t="s">
        <v>6256</v>
      </c>
      <c r="AZ360" s="61" t="s">
        <v>1584</v>
      </c>
      <c r="BA360" s="61">
        <v>6</v>
      </c>
      <c r="BB360" s="61" t="s">
        <v>1584</v>
      </c>
      <c r="BC360" s="61" t="s">
        <v>6230</v>
      </c>
      <c r="BD360" s="61"/>
      <c r="BE360" s="61" t="s">
        <v>271</v>
      </c>
      <c r="BF360" s="61" t="s">
        <v>272</v>
      </c>
      <c r="BG360" s="61" t="s">
        <v>272</v>
      </c>
      <c r="BH360" s="61" t="s">
        <v>6257</v>
      </c>
      <c r="BI360" s="111" t="s">
        <v>1584</v>
      </c>
      <c r="BJ360" s="111" t="s">
        <v>1584</v>
      </c>
      <c r="BK360" s="165"/>
      <c r="BL360" s="111">
        <f t="shared" si="123"/>
        <v>1.755820033836557E-5</v>
      </c>
      <c r="BM360" s="61" t="s">
        <v>1584</v>
      </c>
      <c r="BN360" s="61"/>
      <c r="BO360" s="61"/>
      <c r="BP360" s="61"/>
      <c r="BQ360" s="61">
        <v>5.4999999999999997E-3</v>
      </c>
      <c r="BR360" s="61"/>
      <c r="BS360" s="61"/>
      <c r="BT360" s="61"/>
      <c r="BU360" s="158"/>
      <c r="BV360" s="61"/>
      <c r="BW360" s="61"/>
      <c r="BX360" s="61"/>
      <c r="BY360" s="61"/>
      <c r="BZ360" s="61"/>
      <c r="CA360" s="61"/>
      <c r="CB360" s="61"/>
      <c r="CC360" s="61"/>
      <c r="CD360" s="61"/>
      <c r="CE360" s="61"/>
      <c r="CF360" s="61"/>
      <c r="CG360" s="161"/>
      <c r="CH360" s="61"/>
      <c r="CI360" s="111">
        <f t="shared" si="116"/>
        <v>5.4999999999999997E-3</v>
      </c>
      <c r="CJ360" s="103">
        <f t="shared" si="117"/>
        <v>-2.2596373105057563</v>
      </c>
      <c r="CK360" s="57" t="s">
        <v>404</v>
      </c>
      <c r="CL360" s="160">
        <f t="shared" si="124"/>
        <v>3.1924000615210129E-3</v>
      </c>
      <c r="CM360" s="160">
        <v>-3.1334351123598188</v>
      </c>
      <c r="CN360" s="160" t="s">
        <v>404</v>
      </c>
      <c r="CO360" s="67"/>
      <c r="CP360" s="67" t="s">
        <v>6259</v>
      </c>
      <c r="CQ360" s="149">
        <v>-2.884571744269377</v>
      </c>
      <c r="CR360" s="349">
        <f t="shared" si="126"/>
        <v>4.2163284393769063</v>
      </c>
      <c r="CS360" s="61" t="s">
        <v>539</v>
      </c>
      <c r="CT360" s="61"/>
      <c r="CU360" s="111">
        <f t="shared" si="112"/>
        <v>9.9916522519568021E-2</v>
      </c>
      <c r="CV360" s="331"/>
      <c r="CW360" s="326">
        <f t="shared" si="118"/>
        <v>0</v>
      </c>
      <c r="CX360" s="326"/>
      <c r="CY360" s="161" t="s">
        <v>6351</v>
      </c>
    </row>
    <row r="361" spans="1:103" ht="11.25" customHeight="1" x14ac:dyDescent="0.2">
      <c r="A361" s="72">
        <v>359</v>
      </c>
      <c r="B361" s="149">
        <v>216</v>
      </c>
      <c r="C361" s="54" t="s">
        <v>1021</v>
      </c>
      <c r="D361" s="54" t="s">
        <v>6502</v>
      </c>
      <c r="E361" s="59"/>
      <c r="F361" s="59" t="s">
        <v>1022</v>
      </c>
      <c r="G361" s="151">
        <v>5234684</v>
      </c>
      <c r="H361" s="55" t="s">
        <v>1023</v>
      </c>
      <c r="I361" s="55" t="s">
        <v>1023</v>
      </c>
      <c r="J361" s="55" t="s">
        <v>1024</v>
      </c>
      <c r="K361" s="55" t="s">
        <v>1025</v>
      </c>
      <c r="L361" s="55" t="s">
        <v>5929</v>
      </c>
      <c r="M361" s="55" t="s">
        <v>5963</v>
      </c>
      <c r="N361" s="60" t="s">
        <v>6381</v>
      </c>
      <c r="O361" s="55" t="s">
        <v>5964</v>
      </c>
      <c r="P361" s="67"/>
      <c r="Q361" s="67"/>
      <c r="R361" s="67"/>
      <c r="S361" s="67"/>
      <c r="T361" s="56">
        <v>235.3</v>
      </c>
      <c r="U361" s="103">
        <v>0.62473438164045891</v>
      </c>
      <c r="V361" s="103">
        <v>1.8006799830004248</v>
      </c>
      <c r="W361" s="103">
        <v>0.93325430079699057</v>
      </c>
      <c r="X361" s="103">
        <v>0.62473438164045891</v>
      </c>
      <c r="Y361" s="162">
        <v>7</v>
      </c>
      <c r="Z361" s="56">
        <v>1.49</v>
      </c>
      <c r="AA361" s="56">
        <v>2.14</v>
      </c>
      <c r="AB361" s="56">
        <v>1.93</v>
      </c>
      <c r="AC361" s="56">
        <v>0.79559999999999997</v>
      </c>
      <c r="AD361" s="56">
        <v>2.1800000000000002</v>
      </c>
      <c r="AE361" s="56">
        <v>3</v>
      </c>
      <c r="AF361" s="56">
        <f t="shared" si="125"/>
        <v>2.14</v>
      </c>
      <c r="AG361" s="57">
        <v>1.85</v>
      </c>
      <c r="AH361" s="103">
        <v>7.4599999999999993E-12</v>
      </c>
      <c r="AI361" s="103">
        <v>3.1999999999999998E-10</v>
      </c>
      <c r="AJ361" s="62">
        <f t="shared" si="121"/>
        <v>-9.5158274988399825</v>
      </c>
      <c r="AK361" s="62">
        <f>LOG10(AI361*1000/(0.08206*298.15))</f>
        <v>-7.8834163479927462</v>
      </c>
      <c r="AL361" s="62">
        <f t="shared" si="122"/>
        <v>-7.8834163479927462</v>
      </c>
      <c r="AM361" s="62">
        <v>-13.869820000000001</v>
      </c>
      <c r="AN361" s="154">
        <v>-8.64</v>
      </c>
      <c r="AO361" s="410">
        <v>14.31</v>
      </c>
      <c r="AP361" s="410">
        <v>0.49</v>
      </c>
      <c r="AQ361" s="154" t="s">
        <v>6311</v>
      </c>
      <c r="AR361" s="154" t="s">
        <v>6311</v>
      </c>
      <c r="AS361" s="149" t="s">
        <v>6</v>
      </c>
      <c r="AT361" s="58" t="s">
        <v>266</v>
      </c>
      <c r="AU361" s="56">
        <v>8</v>
      </c>
      <c r="AV361" s="56">
        <v>144</v>
      </c>
      <c r="AW361" s="56">
        <v>120</v>
      </c>
      <c r="AX361" s="56">
        <v>26</v>
      </c>
      <c r="AY361" s="56" t="s">
        <v>267</v>
      </c>
      <c r="AZ361" s="56" t="s">
        <v>268</v>
      </c>
      <c r="BA361" s="56">
        <v>2</v>
      </c>
      <c r="BB361" s="55" t="s">
        <v>888</v>
      </c>
      <c r="BC361" s="55" t="s">
        <v>270</v>
      </c>
      <c r="BD361" s="55" t="s">
        <v>8374</v>
      </c>
      <c r="BE361" s="56" t="s">
        <v>889</v>
      </c>
      <c r="BF361" s="56" t="s">
        <v>272</v>
      </c>
      <c r="BG361" s="56" t="s">
        <v>272</v>
      </c>
      <c r="BH361" s="56" t="s">
        <v>890</v>
      </c>
      <c r="BI361" s="103">
        <v>9.9999999999999995E-7</v>
      </c>
      <c r="BJ361" s="103">
        <v>0.08</v>
      </c>
      <c r="BK361" s="56"/>
      <c r="BL361" s="103">
        <f t="shared" si="123"/>
        <v>2.3584734954327344</v>
      </c>
      <c r="BM361" s="56" t="s">
        <v>891</v>
      </c>
      <c r="BN361" s="162"/>
      <c r="BO361" s="162"/>
      <c r="BP361" s="162"/>
      <c r="BQ361" s="162"/>
      <c r="BR361" s="162"/>
      <c r="BS361" s="56">
        <v>5.1268703904038763E-3</v>
      </c>
      <c r="BT361" s="162"/>
      <c r="BU361" s="158"/>
      <c r="BV361" s="162"/>
      <c r="BW361" s="162"/>
      <c r="BX361" s="162"/>
      <c r="BY361" s="162"/>
      <c r="BZ361" s="162"/>
      <c r="CA361" s="162"/>
      <c r="CB361" s="162"/>
      <c r="CC361" s="56"/>
      <c r="CD361" s="56"/>
      <c r="CE361" s="56"/>
      <c r="CF361" s="56"/>
      <c r="CG361" s="56"/>
      <c r="CH361" s="56"/>
      <c r="CI361" s="103">
        <f t="shared" si="116"/>
        <v>5.1268703904038763E-3</v>
      </c>
      <c r="CJ361" s="103">
        <f t="shared" si="117"/>
        <v>-2.2901476615812304</v>
      </c>
      <c r="CK361" s="57">
        <f t="shared" ref="CK361:CK369" si="127">BL361/BJ361</f>
        <v>29.480918692909182</v>
      </c>
      <c r="CL361" s="160">
        <f t="shared" si="124"/>
        <v>460.02206333266452</v>
      </c>
      <c r="CM361" s="160">
        <v>-1.8377433569263246</v>
      </c>
      <c r="CN361" s="160">
        <f t="shared" ref="CN361:CN369" si="128">BJ361/(10^CM361)</f>
        <v>5.5059637011468849</v>
      </c>
      <c r="CO361" s="55" t="s">
        <v>892</v>
      </c>
      <c r="CP361" s="55" t="s">
        <v>893</v>
      </c>
      <c r="CQ361" s="149">
        <v>-1.819582395288788</v>
      </c>
      <c r="CR361" s="349">
        <f t="shared" si="126"/>
        <v>0.33840341237658578</v>
      </c>
      <c r="CS361" s="61" t="s">
        <v>539</v>
      </c>
      <c r="CT361" s="61"/>
      <c r="CU361" s="111">
        <f t="shared" si="112"/>
        <v>121.85492007166668</v>
      </c>
      <c r="CV361" s="331">
        <f t="shared" ref="CV361:CV369" si="129">X361/BJ361</f>
        <v>7.809179770505736</v>
      </c>
      <c r="CW361" s="326">
        <f t="shared" si="118"/>
        <v>1</v>
      </c>
      <c r="CX361" s="326" t="s">
        <v>539</v>
      </c>
      <c r="CY361" s="161" t="s">
        <v>5921</v>
      </c>
    </row>
    <row r="362" spans="1:103" ht="11.25" customHeight="1" x14ac:dyDescent="0.2">
      <c r="A362" s="72">
        <v>360</v>
      </c>
      <c r="B362" s="149">
        <v>208</v>
      </c>
      <c r="C362" s="54" t="s">
        <v>998</v>
      </c>
      <c r="D362" s="54" t="s">
        <v>6675</v>
      </c>
      <c r="E362" s="59"/>
      <c r="F362" s="59" t="s">
        <v>999</v>
      </c>
      <c r="G362" s="151">
        <v>23184669</v>
      </c>
      <c r="H362" s="55" t="s">
        <v>1000</v>
      </c>
      <c r="I362" s="55" t="s">
        <v>7949</v>
      </c>
      <c r="J362" s="55" t="s">
        <v>1001</v>
      </c>
      <c r="K362" s="55" t="s">
        <v>924</v>
      </c>
      <c r="L362" s="55" t="s">
        <v>5954</v>
      </c>
      <c r="M362" s="55" t="s">
        <v>6082</v>
      </c>
      <c r="N362" s="60" t="s">
        <v>6082</v>
      </c>
      <c r="O362" s="55" t="s">
        <v>6083</v>
      </c>
      <c r="P362" s="67"/>
      <c r="Q362" s="67"/>
      <c r="R362" s="67"/>
      <c r="S362" s="67"/>
      <c r="T362" s="56">
        <v>311.85000000000002</v>
      </c>
      <c r="U362" s="103">
        <v>6.4133397466730802E-2</v>
      </c>
      <c r="V362" s="103">
        <v>4.8164181497514823E-3</v>
      </c>
      <c r="W362" s="103">
        <v>0.26915348039269166</v>
      </c>
      <c r="X362" s="103">
        <v>6.4133397466730802E-2</v>
      </c>
      <c r="Y362" s="162">
        <v>7</v>
      </c>
      <c r="Z362" s="56">
        <v>4.84</v>
      </c>
      <c r="AA362" s="56">
        <v>4.5</v>
      </c>
      <c r="AB362" s="56">
        <v>3.97</v>
      </c>
      <c r="AC362" s="56">
        <v>0.87309999999999999</v>
      </c>
      <c r="AD362" s="56">
        <v>4.0999999999999996</v>
      </c>
      <c r="AE362" s="56">
        <v>4.51</v>
      </c>
      <c r="AF362" s="56">
        <f t="shared" si="125"/>
        <v>4.5</v>
      </c>
      <c r="AG362" s="57">
        <v>4.5</v>
      </c>
      <c r="AH362" s="103">
        <v>5.2199999999999998E-8</v>
      </c>
      <c r="AI362" s="103">
        <v>5.1E-8</v>
      </c>
      <c r="AJ362" s="62">
        <f t="shared" si="121"/>
        <v>-5.6708958233103894</v>
      </c>
      <c r="AK362" s="62">
        <f>LOG10(AI362*1000/(0.08206*298.15))</f>
        <v>-5.6809961502147157</v>
      </c>
      <c r="AL362" s="62">
        <f t="shared" si="122"/>
        <v>-5.6809961502147157</v>
      </c>
      <c r="AM362" s="62">
        <v>-11.024289999999999</v>
      </c>
      <c r="AN362" s="154">
        <v>-4.9400000000000004</v>
      </c>
      <c r="AO362" s="410"/>
      <c r="AP362" s="410">
        <v>1.2</v>
      </c>
      <c r="AQ362" s="154" t="s">
        <v>6311</v>
      </c>
      <c r="AR362" s="154" t="s">
        <v>6311</v>
      </c>
      <c r="AS362" s="149" t="s">
        <v>6</v>
      </c>
      <c r="AT362" s="58" t="s">
        <v>266</v>
      </c>
      <c r="AU362" s="56">
        <v>8</v>
      </c>
      <c r="AV362" s="56">
        <v>144</v>
      </c>
      <c r="AW362" s="56">
        <v>120</v>
      </c>
      <c r="AX362" s="56">
        <v>26</v>
      </c>
      <c r="AY362" s="56" t="s">
        <v>267</v>
      </c>
      <c r="AZ362" s="56" t="s">
        <v>268</v>
      </c>
      <c r="BA362" s="56">
        <v>2</v>
      </c>
      <c r="BB362" s="55" t="s">
        <v>888</v>
      </c>
      <c r="BC362" s="55" t="s">
        <v>270</v>
      </c>
      <c r="BD362" s="55" t="s">
        <v>8374</v>
      </c>
      <c r="BE362" s="56" t="s">
        <v>889</v>
      </c>
      <c r="BF362" s="56" t="s">
        <v>272</v>
      </c>
      <c r="BG362" s="56" t="s">
        <v>272</v>
      </c>
      <c r="BH362" s="56" t="s">
        <v>890</v>
      </c>
      <c r="BI362" s="103">
        <v>9.9999999999999995E-7</v>
      </c>
      <c r="BJ362" s="103">
        <v>0.08</v>
      </c>
      <c r="BK362" s="56"/>
      <c r="BL362" s="103">
        <f t="shared" si="123"/>
        <v>2.3120434953699822E-3</v>
      </c>
      <c r="BM362" s="56" t="s">
        <v>891</v>
      </c>
      <c r="BN362" s="162"/>
      <c r="BO362" s="162"/>
      <c r="BP362" s="162"/>
      <c r="BQ362" s="162"/>
      <c r="BR362" s="162"/>
      <c r="BS362" s="56">
        <v>5.1268703904038763E-3</v>
      </c>
      <c r="BT362" s="162"/>
      <c r="BU362" s="158"/>
      <c r="BV362" s="162"/>
      <c r="BW362" s="162"/>
      <c r="BX362" s="162"/>
      <c r="BY362" s="162"/>
      <c r="BZ362" s="162"/>
      <c r="CA362" s="162"/>
      <c r="CB362" s="162"/>
      <c r="CC362" s="56"/>
      <c r="CD362" s="56"/>
      <c r="CE362" s="56"/>
      <c r="CF362" s="56"/>
      <c r="CG362" s="56"/>
      <c r="CH362" s="56"/>
      <c r="CI362" s="103">
        <f t="shared" si="116"/>
        <v>5.1268703904038763E-3</v>
      </c>
      <c r="CJ362" s="103">
        <f t="shared" si="117"/>
        <v>-2.2901476615812304</v>
      </c>
      <c r="CK362" s="57">
        <f t="shared" si="127"/>
        <v>2.8900543692124778E-2</v>
      </c>
      <c r="CL362" s="160">
        <f t="shared" si="124"/>
        <v>0.4509658562263455</v>
      </c>
      <c r="CM362" s="160">
        <v>-2.8458726839612218</v>
      </c>
      <c r="CN362" s="160">
        <f t="shared" si="128"/>
        <v>56.099975417611397</v>
      </c>
      <c r="CO362" s="55" t="s">
        <v>892</v>
      </c>
      <c r="CP362" s="55" t="s">
        <v>893</v>
      </c>
      <c r="CQ362" s="149">
        <v>-2.8458726839612218</v>
      </c>
      <c r="CR362" s="349">
        <f t="shared" si="126"/>
        <v>3.5952162858867127</v>
      </c>
      <c r="CS362" s="61" t="s">
        <v>539</v>
      </c>
      <c r="CT362" s="61"/>
      <c r="CU362" s="111">
        <f t="shared" si="112"/>
        <v>12.509268341710234</v>
      </c>
      <c r="CV362" s="331">
        <f t="shared" si="129"/>
        <v>0.80166746833413505</v>
      </c>
      <c r="CW362" s="326">
        <f t="shared" si="118"/>
        <v>1</v>
      </c>
      <c r="CX362" s="326" t="s">
        <v>539</v>
      </c>
      <c r="CY362" s="161" t="s">
        <v>5921</v>
      </c>
    </row>
    <row r="363" spans="1:103" ht="11.25" customHeight="1" x14ac:dyDescent="0.2">
      <c r="A363" s="72">
        <v>361</v>
      </c>
      <c r="B363" s="149">
        <v>193</v>
      </c>
      <c r="C363" s="54" t="s">
        <v>953</v>
      </c>
      <c r="D363" s="54" t="s">
        <v>6676</v>
      </c>
      <c r="E363" s="59"/>
      <c r="F363" s="59" t="s">
        <v>954</v>
      </c>
      <c r="G363" s="151">
        <v>131860338</v>
      </c>
      <c r="H363" s="55" t="s">
        <v>955</v>
      </c>
      <c r="I363" s="55"/>
      <c r="J363" s="55" t="s">
        <v>956</v>
      </c>
      <c r="K363" s="55" t="s">
        <v>957</v>
      </c>
      <c r="L363" s="55" t="s">
        <v>5929</v>
      </c>
      <c r="M363" s="55" t="s">
        <v>5945</v>
      </c>
      <c r="N363" s="60" t="s">
        <v>6381</v>
      </c>
      <c r="O363" s="55" t="s">
        <v>5944</v>
      </c>
      <c r="P363" s="67"/>
      <c r="Q363" s="67"/>
      <c r="R363" s="67"/>
      <c r="S363" s="67"/>
      <c r="T363" s="56">
        <v>403.39</v>
      </c>
      <c r="U363" s="103">
        <v>1.4873943330275911E-2</v>
      </c>
      <c r="V363" s="103">
        <v>2.8781080344083887E-2</v>
      </c>
      <c r="W363" s="103">
        <v>8.9125093813374485E-4</v>
      </c>
      <c r="X363" s="103">
        <v>1.4873943330275911E-2</v>
      </c>
      <c r="Y363" s="162">
        <v>7</v>
      </c>
      <c r="Z363" s="56">
        <v>1.58</v>
      </c>
      <c r="AA363" s="56">
        <v>2.5</v>
      </c>
      <c r="AB363" s="56">
        <v>2.86</v>
      </c>
      <c r="AC363" s="56">
        <v>0.7379</v>
      </c>
      <c r="AD363" s="56">
        <v>3.54</v>
      </c>
      <c r="AE363" s="56">
        <v>5.13</v>
      </c>
      <c r="AF363" s="56">
        <f t="shared" si="125"/>
        <v>2.5</v>
      </c>
      <c r="AG363" s="57">
        <v>3.32</v>
      </c>
      <c r="AH363" s="103">
        <v>8.0099999999999994E-14</v>
      </c>
      <c r="AI363" s="103">
        <v>7.3000000000000004E-14</v>
      </c>
      <c r="AJ363" s="62">
        <f t="shared" si="121"/>
        <v>-11.484933810228414</v>
      </c>
      <c r="AK363" s="62">
        <f>LOG10(AI363*1000/(0.08206*298.15))</f>
        <v>-11.525243466192196</v>
      </c>
      <c r="AL363" s="62">
        <f t="shared" si="122"/>
        <v>-11.525243466192196</v>
      </c>
      <c r="AM363" s="62">
        <v>-20.836600000000001</v>
      </c>
      <c r="AN363" s="154">
        <v>-10.4</v>
      </c>
      <c r="AO363" s="410"/>
      <c r="AP363" s="410">
        <v>-0.93</v>
      </c>
      <c r="AQ363" s="154" t="s">
        <v>6311</v>
      </c>
      <c r="AR363" s="154" t="s">
        <v>6312</v>
      </c>
      <c r="AS363" s="149" t="s">
        <v>6</v>
      </c>
      <c r="AT363" s="58" t="s">
        <v>266</v>
      </c>
      <c r="AU363" s="56">
        <v>8</v>
      </c>
      <c r="AV363" s="56">
        <v>144</v>
      </c>
      <c r="AW363" s="56">
        <v>120</v>
      </c>
      <c r="AX363" s="56">
        <v>26</v>
      </c>
      <c r="AY363" s="56" t="s">
        <v>267</v>
      </c>
      <c r="AZ363" s="56" t="s">
        <v>268</v>
      </c>
      <c r="BA363" s="56">
        <v>2</v>
      </c>
      <c r="BB363" s="55" t="s">
        <v>888</v>
      </c>
      <c r="BC363" s="55" t="s">
        <v>270</v>
      </c>
      <c r="BD363" s="55" t="s">
        <v>8374</v>
      </c>
      <c r="BE363" s="56" t="s">
        <v>889</v>
      </c>
      <c r="BF363" s="56" t="s">
        <v>272</v>
      </c>
      <c r="BG363" s="56" t="s">
        <v>272</v>
      </c>
      <c r="BH363" s="56" t="s">
        <v>890</v>
      </c>
      <c r="BI363" s="103">
        <v>9.9999999999999995E-7</v>
      </c>
      <c r="BJ363" s="103">
        <v>0.08</v>
      </c>
      <c r="BK363" s="56"/>
      <c r="BL363" s="103">
        <f t="shared" si="123"/>
        <v>1.9579518165576351</v>
      </c>
      <c r="BM363" s="56" t="s">
        <v>891</v>
      </c>
      <c r="BN363" s="162"/>
      <c r="BO363" s="162"/>
      <c r="BP363" s="162"/>
      <c r="BQ363" s="162"/>
      <c r="BR363" s="162"/>
      <c r="BS363" s="56">
        <v>5.1268703904038763E-3</v>
      </c>
      <c r="BT363" s="162"/>
      <c r="BU363" s="158"/>
      <c r="BV363" s="162"/>
      <c r="BW363" s="162"/>
      <c r="BX363" s="162"/>
      <c r="BY363" s="162"/>
      <c r="BZ363" s="162"/>
      <c r="CA363" s="162"/>
      <c r="CB363" s="162"/>
      <c r="CC363" s="56"/>
      <c r="CD363" s="56"/>
      <c r="CE363" s="56"/>
      <c r="CF363" s="56"/>
      <c r="CG363" s="56"/>
      <c r="CH363" s="56"/>
      <c r="CI363" s="103">
        <f t="shared" si="116"/>
        <v>5.1268703904038763E-3</v>
      </c>
      <c r="CJ363" s="103">
        <f t="shared" si="117"/>
        <v>-2.2901476615812304</v>
      </c>
      <c r="CK363" s="57">
        <f t="shared" si="127"/>
        <v>24.474397706970439</v>
      </c>
      <c r="CL363" s="160">
        <f t="shared" si="124"/>
        <v>381.90000282090119</v>
      </c>
      <c r="CM363" s="160">
        <v>-2.9336272699552848</v>
      </c>
      <c r="CN363" s="160">
        <f t="shared" si="128"/>
        <v>68.662127659574466</v>
      </c>
      <c r="CO363" s="55" t="s">
        <v>892</v>
      </c>
      <c r="CP363" s="55" t="s">
        <v>893</v>
      </c>
      <c r="CQ363" s="149">
        <v>-2.7489798563440311</v>
      </c>
      <c r="CR363" s="349">
        <f t="shared" si="126"/>
        <v>2.8762868435003117</v>
      </c>
      <c r="CS363" s="61" t="s">
        <v>539</v>
      </c>
      <c r="CT363" s="61"/>
      <c r="CU363" s="111">
        <f t="shared" si="112"/>
        <v>2.9011740492047422</v>
      </c>
      <c r="CV363" s="331">
        <f t="shared" si="129"/>
        <v>0.1859242916284489</v>
      </c>
      <c r="CW363" s="326">
        <f t="shared" si="118"/>
        <v>1</v>
      </c>
      <c r="CX363" s="326" t="s">
        <v>539</v>
      </c>
      <c r="CY363" s="161" t="s">
        <v>5921</v>
      </c>
    </row>
    <row r="364" spans="1:103" ht="11.25" customHeight="1" x14ac:dyDescent="0.2">
      <c r="A364" s="72">
        <v>362</v>
      </c>
      <c r="B364" s="149">
        <v>266</v>
      </c>
      <c r="C364" s="54" t="s">
        <v>1108</v>
      </c>
      <c r="D364" s="54" t="s">
        <v>6672</v>
      </c>
      <c r="E364" s="59"/>
      <c r="F364" s="59" t="s">
        <v>1109</v>
      </c>
      <c r="G364" s="151">
        <v>119446683</v>
      </c>
      <c r="H364" s="55" t="s">
        <v>1110</v>
      </c>
      <c r="I364" s="55" t="s">
        <v>7954</v>
      </c>
      <c r="J364" s="55" t="s">
        <v>1111</v>
      </c>
      <c r="K364" s="55" t="s">
        <v>1112</v>
      </c>
      <c r="L364" s="55" t="s">
        <v>5929</v>
      </c>
      <c r="M364" s="55" t="s">
        <v>6082</v>
      </c>
      <c r="N364" s="60" t="s">
        <v>6082</v>
      </c>
      <c r="O364" s="55" t="s">
        <v>6083</v>
      </c>
      <c r="P364" s="67"/>
      <c r="Q364" s="67"/>
      <c r="R364" s="67"/>
      <c r="S364" s="67"/>
      <c r="T364" s="56">
        <v>406.26</v>
      </c>
      <c r="U364" s="103">
        <v>3.6922168069709056E-2</v>
      </c>
      <c r="V364" s="103">
        <v>1.4660562201545809E-3</v>
      </c>
      <c r="W364" s="103">
        <v>1.2882495516931332E-3</v>
      </c>
      <c r="X364" s="103">
        <v>3.6922168069709056E-2</v>
      </c>
      <c r="Y364" s="162">
        <v>7</v>
      </c>
      <c r="Z364" s="56">
        <v>5.2</v>
      </c>
      <c r="AA364" s="56">
        <v>4.3</v>
      </c>
      <c r="AB364" s="56">
        <v>3.84</v>
      </c>
      <c r="AC364" s="56">
        <v>0.90800000000000003</v>
      </c>
      <c r="AD364" s="56">
        <v>4</v>
      </c>
      <c r="AE364" s="56">
        <v>4.92</v>
      </c>
      <c r="AF364" s="56">
        <f t="shared" si="125"/>
        <v>4.3</v>
      </c>
      <c r="AG364" s="57">
        <v>4.37</v>
      </c>
      <c r="AH364" s="103">
        <v>1.6900000000000001E-11</v>
      </c>
      <c r="AI364" s="103">
        <v>8.9099999999999998E-12</v>
      </c>
      <c r="AJ364" s="62">
        <f t="shared" si="121"/>
        <v>-9.1606796216989785</v>
      </c>
      <c r="AK364" s="62">
        <f>LOG10(AI364*1000/(0.08206*298.15))</f>
        <v>-9.4386886222757767</v>
      </c>
      <c r="AL364" s="62">
        <f t="shared" si="122"/>
        <v>-9.4386886222757767</v>
      </c>
      <c r="AM364" s="62">
        <v>-16.91262</v>
      </c>
      <c r="AN364" s="154">
        <v>-10.1</v>
      </c>
      <c r="AO364" s="410"/>
      <c r="AP364" s="410">
        <v>2.94</v>
      </c>
      <c r="AQ364" s="154" t="s">
        <v>6311</v>
      </c>
      <c r="AR364" s="154" t="s">
        <v>6311</v>
      </c>
      <c r="AS364" s="149" t="s">
        <v>6</v>
      </c>
      <c r="AT364" s="58" t="s">
        <v>266</v>
      </c>
      <c r="AU364" s="56">
        <v>8</v>
      </c>
      <c r="AV364" s="56">
        <v>144</v>
      </c>
      <c r="AW364" s="56">
        <v>120</v>
      </c>
      <c r="AX364" s="56">
        <v>26</v>
      </c>
      <c r="AY364" s="56" t="s">
        <v>267</v>
      </c>
      <c r="AZ364" s="56" t="s">
        <v>268</v>
      </c>
      <c r="BA364" s="56">
        <v>4</v>
      </c>
      <c r="BB364" s="55" t="s">
        <v>888</v>
      </c>
      <c r="BC364" s="55" t="s">
        <v>270</v>
      </c>
      <c r="BD364" s="55" t="s">
        <v>8374</v>
      </c>
      <c r="BE364" s="56" t="s">
        <v>889</v>
      </c>
      <c r="BF364" s="56" t="s">
        <v>272</v>
      </c>
      <c r="BG364" s="56" t="s">
        <v>272</v>
      </c>
      <c r="BH364" s="56" t="s">
        <v>890</v>
      </c>
      <c r="BI364" s="103">
        <v>9.9999999999999995E-7</v>
      </c>
      <c r="BJ364" s="103">
        <v>0.08</v>
      </c>
      <c r="BK364" s="56"/>
      <c r="BL364" s="103">
        <f t="shared" si="123"/>
        <v>1.0981963602641333E-3</v>
      </c>
      <c r="BM364" s="56" t="s">
        <v>891</v>
      </c>
      <c r="BN364" s="162"/>
      <c r="BO364" s="162"/>
      <c r="BP364" s="162"/>
      <c r="BQ364" s="162"/>
      <c r="BR364" s="162"/>
      <c r="BS364" s="56">
        <v>5.1268703904038763E-3</v>
      </c>
      <c r="BT364" s="162"/>
      <c r="BU364" s="158"/>
      <c r="BV364" s="162"/>
      <c r="BW364" s="162"/>
      <c r="BX364" s="162"/>
      <c r="BY364" s="162"/>
      <c r="BZ364" s="162"/>
      <c r="CA364" s="162"/>
      <c r="CB364" s="162"/>
      <c r="CC364" s="56"/>
      <c r="CD364" s="56"/>
      <c r="CE364" s="56"/>
      <c r="CF364" s="56"/>
      <c r="CG364" s="56"/>
      <c r="CH364" s="56"/>
      <c r="CI364" s="103">
        <f t="shared" si="116"/>
        <v>5.1268703904038763E-3</v>
      </c>
      <c r="CJ364" s="103">
        <f t="shared" si="117"/>
        <v>-2.2901476615812304</v>
      </c>
      <c r="CK364" s="57">
        <f t="shared" si="127"/>
        <v>1.3727454503301666E-2</v>
      </c>
      <c r="CL364" s="160">
        <f t="shared" si="124"/>
        <v>0.21420404196674481</v>
      </c>
      <c r="CM364" s="160">
        <v>-3.1782303885975653</v>
      </c>
      <c r="CN364" s="160">
        <f t="shared" si="128"/>
        <v>120.59252137775185</v>
      </c>
      <c r="CO364" s="55" t="s">
        <v>892</v>
      </c>
      <c r="CP364" s="55" t="s">
        <v>893</v>
      </c>
      <c r="CQ364" s="149">
        <v>-2.8599866469775228</v>
      </c>
      <c r="CR364" s="349">
        <f t="shared" si="126"/>
        <v>3.7139750800715112</v>
      </c>
      <c r="CS364" s="61" t="s">
        <v>539</v>
      </c>
      <c r="CT364" s="61"/>
      <c r="CU364" s="111">
        <f t="shared" si="112"/>
        <v>7.2016971871997066</v>
      </c>
      <c r="CV364" s="331">
        <f t="shared" si="129"/>
        <v>0.46152710087136317</v>
      </c>
      <c r="CW364" s="326">
        <f t="shared" si="118"/>
        <v>1</v>
      </c>
      <c r="CX364" s="326" t="s">
        <v>539</v>
      </c>
      <c r="CY364" s="161" t="s">
        <v>5921</v>
      </c>
    </row>
    <row r="365" spans="1:103" ht="11.25" customHeight="1" x14ac:dyDescent="0.2">
      <c r="A365" s="72">
        <v>363</v>
      </c>
      <c r="B365" s="149">
        <v>365</v>
      </c>
      <c r="C365" s="54" t="s">
        <v>1302</v>
      </c>
      <c r="D365" s="54" t="s">
        <v>6504</v>
      </c>
      <c r="E365" s="59"/>
      <c r="F365" s="59" t="s">
        <v>1303</v>
      </c>
      <c r="G365" s="151">
        <v>6317186</v>
      </c>
      <c r="H365" s="55" t="s">
        <v>1304</v>
      </c>
      <c r="I365" s="55"/>
      <c r="J365" s="55" t="s">
        <v>1305</v>
      </c>
      <c r="K365" s="55" t="s">
        <v>1306</v>
      </c>
      <c r="L365" s="55" t="s">
        <v>5998</v>
      </c>
      <c r="M365" s="55" t="s">
        <v>929</v>
      </c>
      <c r="N365" s="60" t="s">
        <v>6088</v>
      </c>
      <c r="O365" s="55" t="s">
        <v>6083</v>
      </c>
      <c r="P365" s="67"/>
      <c r="Q365" s="67"/>
      <c r="R365" s="67"/>
      <c r="S365" s="67"/>
      <c r="T365" s="56">
        <v>130.19</v>
      </c>
      <c r="U365" s="103"/>
      <c r="V365" s="103">
        <v>208.69498425378293</v>
      </c>
      <c r="W365" s="103">
        <v>213.79620895022313</v>
      </c>
      <c r="X365" s="103">
        <f>IF(W365=0,V365,W365)</f>
        <v>213.79620895022313</v>
      </c>
      <c r="Y365" s="162">
        <v>7</v>
      </c>
      <c r="Z365" s="56">
        <v>0.62</v>
      </c>
      <c r="AA365" s="56"/>
      <c r="AB365" s="56">
        <v>0.81</v>
      </c>
      <c r="AC365" s="56">
        <v>0.60450000000000004</v>
      </c>
      <c r="AD365" s="56">
        <v>0.8</v>
      </c>
      <c r="AE365" s="56">
        <v>0.8</v>
      </c>
      <c r="AF365" s="56">
        <f t="shared" si="125"/>
        <v>0.8</v>
      </c>
      <c r="AG365" s="57">
        <v>1.36</v>
      </c>
      <c r="AH365" s="103">
        <v>2.6099999999999999E-8</v>
      </c>
      <c r="AI365" s="103"/>
      <c r="AJ365" s="62">
        <f t="shared" si="121"/>
        <v>-5.9719258189743707</v>
      </c>
      <c r="AK365" s="62"/>
      <c r="AL365" s="62">
        <f t="shared" si="122"/>
        <v>-5.9719258189743707</v>
      </c>
      <c r="AM365" s="62">
        <v>-8.0618999999999996</v>
      </c>
      <c r="AN365" s="154">
        <v>-11.9</v>
      </c>
      <c r="AO365" s="410"/>
      <c r="AP365" s="410"/>
      <c r="AQ365" s="154" t="s">
        <v>6311</v>
      </c>
      <c r="AR365" s="154" t="s">
        <v>6311</v>
      </c>
      <c r="AS365" s="149" t="s">
        <v>6</v>
      </c>
      <c r="AT365" s="58" t="s">
        <v>266</v>
      </c>
      <c r="AU365" s="56">
        <v>8</v>
      </c>
      <c r="AV365" s="56">
        <v>144</v>
      </c>
      <c r="AW365" s="56">
        <v>120</v>
      </c>
      <c r="AX365" s="56">
        <v>26</v>
      </c>
      <c r="AY365" s="56" t="s">
        <v>267</v>
      </c>
      <c r="AZ365" s="56" t="s">
        <v>268</v>
      </c>
      <c r="BA365" s="56">
        <v>2</v>
      </c>
      <c r="BB365" s="55" t="s">
        <v>888</v>
      </c>
      <c r="BC365" s="55" t="s">
        <v>270</v>
      </c>
      <c r="BD365" s="55" t="s">
        <v>8374</v>
      </c>
      <c r="BE365" s="56" t="s">
        <v>889</v>
      </c>
      <c r="BF365" s="56" t="s">
        <v>272</v>
      </c>
      <c r="BG365" s="56" t="s">
        <v>272</v>
      </c>
      <c r="BH365" s="56" t="s">
        <v>890</v>
      </c>
      <c r="BI365" s="103">
        <v>9.9999999999999995E-7</v>
      </c>
      <c r="BJ365" s="103">
        <v>0.08</v>
      </c>
      <c r="BK365" s="56"/>
      <c r="BL365" s="103">
        <f t="shared" si="123"/>
        <v>14.255353786098398</v>
      </c>
      <c r="BM365" s="56" t="s">
        <v>891</v>
      </c>
      <c r="BN365" s="162"/>
      <c r="BO365" s="162"/>
      <c r="BP365" s="162"/>
      <c r="BQ365" s="162"/>
      <c r="BR365" s="162"/>
      <c r="BS365" s="56">
        <v>5.1268703904038763E-3</v>
      </c>
      <c r="BT365" s="162"/>
      <c r="BU365" s="158"/>
      <c r="BV365" s="162"/>
      <c r="BW365" s="162"/>
      <c r="BX365" s="162"/>
      <c r="BY365" s="162"/>
      <c r="BZ365" s="162"/>
      <c r="CA365" s="162"/>
      <c r="CB365" s="162"/>
      <c r="CC365" s="56"/>
      <c r="CD365" s="56"/>
      <c r="CE365" s="56"/>
      <c r="CF365" s="56"/>
      <c r="CG365" s="56"/>
      <c r="CH365" s="56"/>
      <c r="CI365" s="103">
        <f t="shared" si="116"/>
        <v>5.1268703904038763E-3</v>
      </c>
      <c r="CJ365" s="103">
        <f t="shared" si="117"/>
        <v>-2.2901476615812304</v>
      </c>
      <c r="CK365" s="57">
        <f t="shared" si="127"/>
        <v>178.19192232622999</v>
      </c>
      <c r="CL365" s="160">
        <f t="shared" si="124"/>
        <v>2780.5176843909667</v>
      </c>
      <c r="CM365" s="160">
        <v>-2.8973041126366863</v>
      </c>
      <c r="CN365" s="160">
        <f t="shared" si="128"/>
        <v>63.153016527960069</v>
      </c>
      <c r="CO365" s="55" t="s">
        <v>892</v>
      </c>
      <c r="CP365" s="55" t="s">
        <v>893</v>
      </c>
      <c r="CQ365" s="149">
        <v>-2.552004069908373</v>
      </c>
      <c r="CR365" s="349">
        <f t="shared" si="126"/>
        <v>1.8274958875397906</v>
      </c>
      <c r="CS365" s="61" t="s">
        <v>539</v>
      </c>
      <c r="CT365" s="61"/>
      <c r="CU365" s="111">
        <f t="shared" si="112"/>
        <v>41701.114455788113</v>
      </c>
      <c r="CV365" s="331">
        <f t="shared" si="129"/>
        <v>2672.452611877789</v>
      </c>
      <c r="CW365" s="326">
        <f t="shared" si="118"/>
        <v>1</v>
      </c>
      <c r="CX365" s="326" t="s">
        <v>539</v>
      </c>
      <c r="CY365" s="161" t="s">
        <v>5921</v>
      </c>
    </row>
    <row r="366" spans="1:103" ht="11.25" customHeight="1" x14ac:dyDescent="0.2">
      <c r="A366" s="72">
        <v>364</v>
      </c>
      <c r="B366" s="149">
        <v>405</v>
      </c>
      <c r="C366" s="54" t="s">
        <v>1387</v>
      </c>
      <c r="D366" s="54" t="s">
        <v>6677</v>
      </c>
      <c r="E366" s="59"/>
      <c r="F366" s="59" t="s">
        <v>1388</v>
      </c>
      <c r="G366" s="151">
        <v>86209510</v>
      </c>
      <c r="H366" s="55" t="s">
        <v>1389</v>
      </c>
      <c r="I366" s="55" t="s">
        <v>1389</v>
      </c>
      <c r="J366" s="55" t="s">
        <v>1390</v>
      </c>
      <c r="K366" s="55" t="s">
        <v>1391</v>
      </c>
      <c r="L366" s="55" t="s">
        <v>6006</v>
      </c>
      <c r="M366" s="55" t="s">
        <v>6082</v>
      </c>
      <c r="N366" s="60" t="s">
        <v>6082</v>
      </c>
      <c r="O366" s="55" t="s">
        <v>6083</v>
      </c>
      <c r="P366" s="67"/>
      <c r="Q366" s="67"/>
      <c r="R366" s="67"/>
      <c r="S366" s="67"/>
      <c r="T366" s="56">
        <v>468.34</v>
      </c>
      <c r="U366" s="103">
        <v>7.046163043942435E-3</v>
      </c>
      <c r="V366" s="103">
        <v>2.1416065251740189E-2</v>
      </c>
      <c r="W366" s="103">
        <v>4.265795188015923E-2</v>
      </c>
      <c r="X366" s="103">
        <v>7.046163043942435E-3</v>
      </c>
      <c r="Y366" s="162">
        <v>4.42</v>
      </c>
      <c r="Z366" s="56">
        <v>2.41</v>
      </c>
      <c r="AA366" s="56"/>
      <c r="AB366" s="56">
        <v>1.99</v>
      </c>
      <c r="AC366" s="56">
        <v>0.65010000000000001</v>
      </c>
      <c r="AD366" s="56">
        <v>2.2599999999999998</v>
      </c>
      <c r="AE366" s="56">
        <v>2.93</v>
      </c>
      <c r="AF366" s="56">
        <f t="shared" si="125"/>
        <v>2.2599999999999998</v>
      </c>
      <c r="AG366" s="57">
        <v>3.11</v>
      </c>
      <c r="AH366" s="103">
        <v>1.3899999999999999E-12</v>
      </c>
      <c r="AI366" s="103"/>
      <c r="AJ366" s="62">
        <f t="shared" ref="AJ366:AJ397" si="130">LOG10(AH366*1000/(0.08206*298.15))</f>
        <v>-10.245551526058557</v>
      </c>
      <c r="AK366" s="62"/>
      <c r="AL366" s="62">
        <f t="shared" ref="AL366:AL397" si="131">IF(AK366=0,AJ366,AK366)</f>
        <v>-10.245551526058557</v>
      </c>
      <c r="AM366" s="62">
        <v>-24.811799999999998</v>
      </c>
      <c r="AN366" s="154">
        <v>-18.7</v>
      </c>
      <c r="AO366" s="410">
        <v>3.78</v>
      </c>
      <c r="AP366" s="410">
        <v>-4.76</v>
      </c>
      <c r="AQ366" s="154" t="s">
        <v>6311</v>
      </c>
      <c r="AR366" s="154" t="s">
        <v>6312</v>
      </c>
      <c r="AS366" s="149" t="s">
        <v>6</v>
      </c>
      <c r="AT366" s="58" t="s">
        <v>266</v>
      </c>
      <c r="AU366" s="56">
        <v>8</v>
      </c>
      <c r="AV366" s="56">
        <v>144</v>
      </c>
      <c r="AW366" s="56">
        <v>120</v>
      </c>
      <c r="AX366" s="56">
        <v>26</v>
      </c>
      <c r="AY366" s="56" t="s">
        <v>267</v>
      </c>
      <c r="AZ366" s="56" t="s">
        <v>268</v>
      </c>
      <c r="BA366" s="56">
        <v>2</v>
      </c>
      <c r="BB366" s="55" t="s">
        <v>888</v>
      </c>
      <c r="BC366" s="55" t="s">
        <v>270</v>
      </c>
      <c r="BD366" s="55" t="s">
        <v>8374</v>
      </c>
      <c r="BE366" s="56" t="s">
        <v>889</v>
      </c>
      <c r="BF366" s="56" t="s">
        <v>272</v>
      </c>
      <c r="BG366" s="56" t="s">
        <v>272</v>
      </c>
      <c r="BH366" s="56" t="s">
        <v>890</v>
      </c>
      <c r="BI366" s="103">
        <v>9.9999999999999995E-7</v>
      </c>
      <c r="BJ366" s="103">
        <v>0.08</v>
      </c>
      <c r="BK366" s="56"/>
      <c r="BL366" s="103">
        <f t="shared" si="123"/>
        <v>0.35186737411361746</v>
      </c>
      <c r="BM366" s="56" t="s">
        <v>891</v>
      </c>
      <c r="BN366" s="162"/>
      <c r="BO366" s="162"/>
      <c r="BP366" s="162"/>
      <c r="BQ366" s="162"/>
      <c r="BR366" s="162"/>
      <c r="BS366" s="56">
        <v>5.1268703904038763E-3</v>
      </c>
      <c r="BT366" s="162"/>
      <c r="BU366" s="158"/>
      <c r="BV366" s="162"/>
      <c r="BW366" s="162"/>
      <c r="BX366" s="162"/>
      <c r="BY366" s="162"/>
      <c r="BZ366" s="162"/>
      <c r="CA366" s="162"/>
      <c r="CB366" s="162"/>
      <c r="CC366" s="56"/>
      <c r="CD366" s="56"/>
      <c r="CE366" s="56"/>
      <c r="CF366" s="56"/>
      <c r="CG366" s="56"/>
      <c r="CH366" s="56"/>
      <c r="CI366" s="103">
        <f t="shared" si="116"/>
        <v>5.1268703904038763E-3</v>
      </c>
      <c r="CJ366" s="103">
        <f t="shared" si="117"/>
        <v>-2.2901476615812304</v>
      </c>
      <c r="CK366" s="57">
        <f t="shared" si="127"/>
        <v>4.3983421764202184</v>
      </c>
      <c r="CL366" s="160">
        <f t="shared" si="124"/>
        <v>68.632001068764808</v>
      </c>
      <c r="CM366" s="160">
        <v>-0.34834195687137276</v>
      </c>
      <c r="CN366" s="160">
        <f t="shared" si="128"/>
        <v>0.1784152380952381</v>
      </c>
      <c r="CO366" s="55" t="s">
        <v>892</v>
      </c>
      <c r="CP366" s="55" t="s">
        <v>893</v>
      </c>
      <c r="CQ366" s="149">
        <v>-0.34834195687137276</v>
      </c>
      <c r="CR366" s="349">
        <f t="shared" si="126"/>
        <v>1.1433897517341664E-2</v>
      </c>
      <c r="CS366" s="61" t="s">
        <v>539</v>
      </c>
      <c r="CT366" s="61"/>
      <c r="CU366" s="111">
        <f t="shared" si="112"/>
        <v>1.3743595034372156</v>
      </c>
      <c r="CV366" s="331">
        <f t="shared" si="129"/>
        <v>8.8077038049280437E-2</v>
      </c>
      <c r="CW366" s="326">
        <f t="shared" si="118"/>
        <v>0</v>
      </c>
      <c r="CX366" s="326" t="s">
        <v>539</v>
      </c>
      <c r="CY366" s="161" t="s">
        <v>5921</v>
      </c>
    </row>
    <row r="367" spans="1:103" ht="11.25" customHeight="1" x14ac:dyDescent="0.2">
      <c r="A367" s="72">
        <v>365</v>
      </c>
      <c r="B367" s="149">
        <v>306</v>
      </c>
      <c r="C367" s="54" t="s">
        <v>1204</v>
      </c>
      <c r="D367" s="54" t="s">
        <v>6583</v>
      </c>
      <c r="E367" s="59"/>
      <c r="F367" s="59" t="s">
        <v>1205</v>
      </c>
      <c r="G367" s="151">
        <v>131341861</v>
      </c>
      <c r="H367" s="55" t="s">
        <v>1206</v>
      </c>
      <c r="I367" s="55" t="s">
        <v>8326</v>
      </c>
      <c r="J367" s="55" t="s">
        <v>1207</v>
      </c>
      <c r="K367" s="55" t="s">
        <v>1208</v>
      </c>
      <c r="L367" s="55" t="s">
        <v>5985</v>
      </c>
      <c r="M367" s="55" t="s">
        <v>6082</v>
      </c>
      <c r="N367" s="55" t="s">
        <v>6082</v>
      </c>
      <c r="O367" s="55" t="s">
        <v>6083</v>
      </c>
      <c r="P367" s="67"/>
      <c r="Q367" s="67"/>
      <c r="R367" s="67"/>
      <c r="S367" s="67"/>
      <c r="T367" s="56">
        <v>248.19</v>
      </c>
      <c r="U367" s="103">
        <v>7.252508159071679E-3</v>
      </c>
      <c r="V367" s="103">
        <v>1.6056247229944798E-2</v>
      </c>
      <c r="W367" s="103">
        <v>5.7543993733715576E-2</v>
      </c>
      <c r="X367" s="103">
        <v>7.252508159071679E-3</v>
      </c>
      <c r="Y367" s="162">
        <v>7</v>
      </c>
      <c r="Z367" s="56">
        <v>3.83</v>
      </c>
      <c r="AA367" s="56">
        <v>4.12</v>
      </c>
      <c r="AB367" s="56">
        <v>2.25</v>
      </c>
      <c r="AC367" s="56">
        <v>0.81240000000000001</v>
      </c>
      <c r="AD367" s="56">
        <v>2.57</v>
      </c>
      <c r="AE367" s="56">
        <v>3.67</v>
      </c>
      <c r="AF367" s="56">
        <f t="shared" si="125"/>
        <v>4.12</v>
      </c>
      <c r="AG367" s="57">
        <v>3.5</v>
      </c>
      <c r="AH367" s="103">
        <v>3.1000000000000003E-11</v>
      </c>
      <c r="AI367" s="103">
        <v>5.3200000000000002E-10</v>
      </c>
      <c r="AJ367" s="62">
        <f t="shared" si="130"/>
        <v>-8.8972046324783793</v>
      </c>
      <c r="AK367" s="62">
        <f>LOG10(AI367*1000/(0.08206*298.15))</f>
        <v>-7.6626546940176032</v>
      </c>
      <c r="AL367" s="62">
        <f t="shared" si="131"/>
        <v>-7.6626546940176032</v>
      </c>
      <c r="AM367" s="62">
        <v>-12.228909999999999</v>
      </c>
      <c r="AN367" s="154">
        <v>-5.95</v>
      </c>
      <c r="AO367" s="410">
        <v>14.1</v>
      </c>
      <c r="AP367" s="410">
        <v>-9.1300000000000008</v>
      </c>
      <c r="AQ367" s="154" t="s">
        <v>6311</v>
      </c>
      <c r="AR367" s="154" t="s">
        <v>6311</v>
      </c>
      <c r="AS367" s="149" t="s">
        <v>6</v>
      </c>
      <c r="AT367" s="58" t="s">
        <v>266</v>
      </c>
      <c r="AU367" s="56">
        <v>8</v>
      </c>
      <c r="AV367" s="56">
        <v>144</v>
      </c>
      <c r="AW367" s="56">
        <v>120</v>
      </c>
      <c r="AX367" s="56">
        <v>26</v>
      </c>
      <c r="AY367" s="56" t="s">
        <v>267</v>
      </c>
      <c r="AZ367" s="56" t="s">
        <v>268</v>
      </c>
      <c r="BA367" s="56">
        <v>2</v>
      </c>
      <c r="BB367" s="55" t="s">
        <v>888</v>
      </c>
      <c r="BC367" s="55" t="s">
        <v>270</v>
      </c>
      <c r="BD367" s="55" t="s">
        <v>8374</v>
      </c>
      <c r="BE367" s="56" t="s">
        <v>889</v>
      </c>
      <c r="BF367" s="56" t="s">
        <v>272</v>
      </c>
      <c r="BG367" s="56" t="s">
        <v>272</v>
      </c>
      <c r="BH367" s="56" t="s">
        <v>890</v>
      </c>
      <c r="BI367" s="103">
        <v>9.9999999999999995E-7</v>
      </c>
      <c r="BJ367" s="103">
        <v>0.08</v>
      </c>
      <c r="BK367" s="56"/>
      <c r="BL367" s="103">
        <f t="shared" si="123"/>
        <v>1.8667106275213386E-2</v>
      </c>
      <c r="BM367" s="56" t="s">
        <v>891</v>
      </c>
      <c r="BN367" s="162"/>
      <c r="BO367" s="162"/>
      <c r="BP367" s="162"/>
      <c r="BQ367" s="162"/>
      <c r="BR367" s="162"/>
      <c r="BS367" s="56">
        <v>5.1268703904038763E-3</v>
      </c>
      <c r="BT367" s="162"/>
      <c r="BU367" s="158"/>
      <c r="BV367" s="162"/>
      <c r="BW367" s="162"/>
      <c r="BX367" s="162"/>
      <c r="BY367" s="162"/>
      <c r="BZ367" s="162"/>
      <c r="CA367" s="162"/>
      <c r="CB367" s="162"/>
      <c r="CC367" s="56"/>
      <c r="CD367" s="56"/>
      <c r="CE367" s="56"/>
      <c r="CF367" s="56"/>
      <c r="CG367" s="56"/>
      <c r="CH367" s="56"/>
      <c r="CI367" s="103">
        <f t="shared" si="116"/>
        <v>5.1268703904038763E-3</v>
      </c>
      <c r="CJ367" s="103">
        <f t="shared" si="117"/>
        <v>-2.2901476615812304</v>
      </c>
      <c r="CK367" s="57">
        <f t="shared" si="127"/>
        <v>0.23333882844016732</v>
      </c>
      <c r="CL367" s="160">
        <f t="shared" si="124"/>
        <v>3.6410333895222302</v>
      </c>
      <c r="CM367" s="160">
        <v>-2.72268642111132</v>
      </c>
      <c r="CN367" s="160">
        <f t="shared" si="128"/>
        <v>42.245106382978769</v>
      </c>
      <c r="CO367" s="55" t="s">
        <v>892</v>
      </c>
      <c r="CP367" s="55" t="s">
        <v>893</v>
      </c>
      <c r="CQ367" s="149">
        <v>-2.5932334664513208</v>
      </c>
      <c r="CR367" s="349">
        <f t="shared" si="126"/>
        <v>2.0094897943478292</v>
      </c>
      <c r="CS367" s="61" t="s">
        <v>539</v>
      </c>
      <c r="CT367" s="61"/>
      <c r="CU367" s="111">
        <f t="shared" si="112"/>
        <v>1.4146072763310782</v>
      </c>
      <c r="CV367" s="331">
        <f t="shared" si="129"/>
        <v>9.0656351988395986E-2</v>
      </c>
      <c r="CW367" s="326">
        <f t="shared" si="118"/>
        <v>0</v>
      </c>
      <c r="CX367" s="326" t="s">
        <v>539</v>
      </c>
      <c r="CY367" s="161" t="s">
        <v>5921</v>
      </c>
    </row>
    <row r="368" spans="1:103" ht="11.25" customHeight="1" x14ac:dyDescent="0.2">
      <c r="A368" s="72">
        <v>366</v>
      </c>
      <c r="B368" s="149">
        <v>479</v>
      </c>
      <c r="C368" s="54" t="s">
        <v>1547</v>
      </c>
      <c r="D368" s="54" t="s">
        <v>6678</v>
      </c>
      <c r="E368" s="59"/>
      <c r="F368" s="59" t="s">
        <v>1548</v>
      </c>
      <c r="G368" s="151">
        <v>156052685</v>
      </c>
      <c r="H368" s="55" t="s">
        <v>1549</v>
      </c>
      <c r="I368" s="55" t="s">
        <v>8179</v>
      </c>
      <c r="J368" s="55" t="s">
        <v>1550</v>
      </c>
      <c r="K368" s="55" t="s">
        <v>1551</v>
      </c>
      <c r="L368" s="55" t="s">
        <v>6021</v>
      </c>
      <c r="M368" s="55" t="s">
        <v>6082</v>
      </c>
      <c r="N368" s="60" t="s">
        <v>6082</v>
      </c>
      <c r="O368" s="55" t="s">
        <v>6083</v>
      </c>
      <c r="P368" s="67"/>
      <c r="Q368" s="67"/>
      <c r="R368" s="67"/>
      <c r="S368" s="67"/>
      <c r="T368" s="56">
        <v>336.64</v>
      </c>
      <c r="U368" s="103"/>
      <c r="V368" s="103">
        <v>1.3619890684410647E-2</v>
      </c>
      <c r="W368" s="103">
        <v>2.8183829312644511E-2</v>
      </c>
      <c r="X368" s="103">
        <f>IF(W368=0,V368,W368)</f>
        <v>2.8183829312644511E-2</v>
      </c>
      <c r="Y368" s="162">
        <v>7</v>
      </c>
      <c r="Z368" s="56">
        <v>4.3499999999999996</v>
      </c>
      <c r="AA368" s="56">
        <v>3.76</v>
      </c>
      <c r="AB368" s="56">
        <v>3.82</v>
      </c>
      <c r="AC368" s="56">
        <v>0.6704</v>
      </c>
      <c r="AD368" s="56">
        <v>4.21</v>
      </c>
      <c r="AE368" s="56">
        <v>4.84</v>
      </c>
      <c r="AF368" s="56">
        <f t="shared" si="125"/>
        <v>3.76</v>
      </c>
      <c r="AG368" s="57">
        <v>4.3099999999999996</v>
      </c>
      <c r="AH368" s="103">
        <v>3.2600000000000002E-11</v>
      </c>
      <c r="AI368" s="103"/>
      <c r="AJ368" s="62">
        <f t="shared" si="130"/>
        <v>-8.875348726244713</v>
      </c>
      <c r="AK368" s="62"/>
      <c r="AL368" s="62">
        <f t="shared" si="131"/>
        <v>-8.875348726244713</v>
      </c>
      <c r="AM368" s="62">
        <v>-13.971229999999998</v>
      </c>
      <c r="AN368" s="154">
        <v>-8.7200000000000006</v>
      </c>
      <c r="AO368" s="410">
        <v>11.2</v>
      </c>
      <c r="AP368" s="410">
        <v>-2.7</v>
      </c>
      <c r="AQ368" s="154" t="s">
        <v>6311</v>
      </c>
      <c r="AR368" s="154" t="s">
        <v>6311</v>
      </c>
      <c r="AS368" s="149" t="s">
        <v>63</v>
      </c>
      <c r="AT368" s="58" t="s">
        <v>266</v>
      </c>
      <c r="AU368" s="56">
        <v>8</v>
      </c>
      <c r="AV368" s="56">
        <v>144</v>
      </c>
      <c r="AW368" s="56">
        <v>120</v>
      </c>
      <c r="AX368" s="56">
        <v>26</v>
      </c>
      <c r="AY368" s="56" t="s">
        <v>267</v>
      </c>
      <c r="AZ368" s="56" t="s">
        <v>268</v>
      </c>
      <c r="BA368" s="56">
        <v>2</v>
      </c>
      <c r="BB368" s="55" t="s">
        <v>888</v>
      </c>
      <c r="BC368" s="55" t="s">
        <v>270</v>
      </c>
      <c r="BD368" s="55" t="s">
        <v>8374</v>
      </c>
      <c r="BE368" s="56" t="s">
        <v>889</v>
      </c>
      <c r="BF368" s="56" t="s">
        <v>272</v>
      </c>
      <c r="BG368" s="56" t="s">
        <v>272</v>
      </c>
      <c r="BH368" s="56" t="s">
        <v>890</v>
      </c>
      <c r="BI368" s="103">
        <v>9.9999999999999995E-7</v>
      </c>
      <c r="BJ368" s="103">
        <v>0.08</v>
      </c>
      <c r="BK368" s="56"/>
      <c r="BL368" s="103">
        <f t="shared" si="123"/>
        <v>6.3689083597233938E-3</v>
      </c>
      <c r="BM368" s="56" t="s">
        <v>891</v>
      </c>
      <c r="BN368" s="162"/>
      <c r="BO368" s="162"/>
      <c r="BP368" s="162"/>
      <c r="BQ368" s="162"/>
      <c r="BR368" s="162"/>
      <c r="BS368" s="56">
        <v>5.1268703904038763E-3</v>
      </c>
      <c r="BT368" s="162"/>
      <c r="BU368" s="158"/>
      <c r="BV368" s="162"/>
      <c r="BW368" s="162"/>
      <c r="BX368" s="162"/>
      <c r="BY368" s="162"/>
      <c r="BZ368" s="162"/>
      <c r="CA368" s="162"/>
      <c r="CB368" s="162"/>
      <c r="CC368" s="56"/>
      <c r="CD368" s="56"/>
      <c r="CE368" s="56"/>
      <c r="CF368" s="56"/>
      <c r="CG368" s="56"/>
      <c r="CH368" s="56"/>
      <c r="CI368" s="103">
        <f t="shared" si="116"/>
        <v>5.1268703904038763E-3</v>
      </c>
      <c r="CJ368" s="103">
        <f t="shared" si="117"/>
        <v>-2.2901476615812304</v>
      </c>
      <c r="CK368" s="57">
        <f t="shared" si="127"/>
        <v>7.9611354496542427E-2</v>
      </c>
      <c r="CL368" s="160">
        <f t="shared" si="124"/>
        <v>1.2422604580845811</v>
      </c>
      <c r="CM368" s="160">
        <v>-3.3340411197831648</v>
      </c>
      <c r="CN368" s="160">
        <f t="shared" si="128"/>
        <v>172.63589743589762</v>
      </c>
      <c r="CO368" s="55" t="s">
        <v>892</v>
      </c>
      <c r="CP368" s="55" t="s">
        <v>893</v>
      </c>
      <c r="CQ368" s="149">
        <v>-3.3340411197831648</v>
      </c>
      <c r="CR368" s="349">
        <f t="shared" si="126"/>
        <v>11.063523386061291</v>
      </c>
      <c r="CS368" s="61" t="s">
        <v>539</v>
      </c>
      <c r="CT368" s="61"/>
      <c r="CU368" s="111">
        <f t="shared" si="112"/>
        <v>5.4972775136654644</v>
      </c>
      <c r="CV368" s="331">
        <f t="shared" si="129"/>
        <v>0.35229786640805638</v>
      </c>
      <c r="CW368" s="326">
        <f t="shared" si="118"/>
        <v>1</v>
      </c>
      <c r="CX368" s="326" t="s">
        <v>539</v>
      </c>
      <c r="CY368" s="161" t="s">
        <v>5921</v>
      </c>
    </row>
    <row r="369" spans="1:103" ht="11.25" customHeight="1" x14ac:dyDescent="0.2">
      <c r="A369" s="72">
        <v>367</v>
      </c>
      <c r="B369" s="149">
        <v>404</v>
      </c>
      <c r="C369" s="54" t="s">
        <v>1383</v>
      </c>
      <c r="D369" s="54" t="s">
        <v>6679</v>
      </c>
      <c r="E369" s="59"/>
      <c r="F369" s="59" t="s">
        <v>1384</v>
      </c>
      <c r="G369" s="151">
        <v>23031369</v>
      </c>
      <c r="H369" s="55" t="s">
        <v>1385</v>
      </c>
      <c r="I369" s="55" t="s">
        <v>8108</v>
      </c>
      <c r="J369" s="55" t="s">
        <v>1386</v>
      </c>
      <c r="K369" s="55" t="s">
        <v>1085</v>
      </c>
      <c r="L369" s="55" t="s">
        <v>617</v>
      </c>
      <c r="M369" s="55" t="s">
        <v>1086</v>
      </c>
      <c r="N369" s="60" t="s">
        <v>6376</v>
      </c>
      <c r="O369" s="55" t="s">
        <v>918</v>
      </c>
      <c r="P369" s="67"/>
      <c r="Q369" s="67"/>
      <c r="R369" s="67"/>
      <c r="S369" s="67"/>
      <c r="T369" s="56">
        <v>300.39</v>
      </c>
      <c r="U369" s="103">
        <v>2.6632045008156066E-2</v>
      </c>
      <c r="V369" s="103">
        <v>5.9522620593228806E-3</v>
      </c>
      <c r="W369" s="103">
        <v>4.1686938347033506E-2</v>
      </c>
      <c r="X369" s="103">
        <v>2.6632045008156066E-2</v>
      </c>
      <c r="Y369" s="162">
        <v>7</v>
      </c>
      <c r="Z369" s="56">
        <v>4.88</v>
      </c>
      <c r="AA369" s="56">
        <v>4.49</v>
      </c>
      <c r="AB369" s="56">
        <v>4.6900000000000004</v>
      </c>
      <c r="AC369" s="56">
        <v>0.82520000000000004</v>
      </c>
      <c r="AD369" s="56">
        <v>4.5999999999999996</v>
      </c>
      <c r="AE369" s="56">
        <v>4.38</v>
      </c>
      <c r="AF369" s="56">
        <f t="shared" si="125"/>
        <v>4.49</v>
      </c>
      <c r="AG369" s="57">
        <v>3.18</v>
      </c>
      <c r="AH369" s="103">
        <v>1.02E-7</v>
      </c>
      <c r="AI369" s="103"/>
      <c r="AJ369" s="62">
        <f t="shared" si="130"/>
        <v>-5.3799661545507345</v>
      </c>
      <c r="AK369" s="62"/>
      <c r="AL369" s="62">
        <f t="shared" si="131"/>
        <v>-5.3799661545507345</v>
      </c>
      <c r="AM369" s="62">
        <v>-10.852540000000001</v>
      </c>
      <c r="AN369" s="154">
        <v>-7.93</v>
      </c>
      <c r="AO369" s="410"/>
      <c r="AP369" s="410"/>
      <c r="AQ369" s="154" t="s">
        <v>6311</v>
      </c>
      <c r="AR369" s="154" t="s">
        <v>6312</v>
      </c>
      <c r="AS369" s="149" t="s">
        <v>6</v>
      </c>
      <c r="AT369" s="58" t="s">
        <v>266</v>
      </c>
      <c r="AU369" s="56">
        <v>8</v>
      </c>
      <c r="AV369" s="56">
        <v>144</v>
      </c>
      <c r="AW369" s="56">
        <v>120</v>
      </c>
      <c r="AX369" s="56">
        <v>26</v>
      </c>
      <c r="AY369" s="56" t="s">
        <v>267</v>
      </c>
      <c r="AZ369" s="56" t="s">
        <v>268</v>
      </c>
      <c r="BA369" s="56">
        <v>3</v>
      </c>
      <c r="BB369" s="55" t="s">
        <v>888</v>
      </c>
      <c r="BC369" s="55" t="s">
        <v>270</v>
      </c>
      <c r="BD369" s="55" t="s">
        <v>8374</v>
      </c>
      <c r="BE369" s="56" t="s">
        <v>889</v>
      </c>
      <c r="BF369" s="56" t="s">
        <v>272</v>
      </c>
      <c r="BG369" s="56" t="s">
        <v>272</v>
      </c>
      <c r="BH369" s="56" t="s">
        <v>890</v>
      </c>
      <c r="BI369" s="103">
        <v>9.9999999999999995E-7</v>
      </c>
      <c r="BJ369" s="103">
        <v>0.08</v>
      </c>
      <c r="BK369" s="56"/>
      <c r="BL369" s="103">
        <f t="shared" si="123"/>
        <v>2.1284918911598223E-3</v>
      </c>
      <c r="BM369" s="56" t="s">
        <v>891</v>
      </c>
      <c r="BN369" s="162"/>
      <c r="BO369" s="162"/>
      <c r="BP369" s="162"/>
      <c r="BQ369" s="162"/>
      <c r="BR369" s="162"/>
      <c r="BS369" s="56">
        <v>5.0800000000000003E-3</v>
      </c>
      <c r="BT369" s="162"/>
      <c r="BU369" s="158"/>
      <c r="BV369" s="162"/>
      <c r="BW369" s="162"/>
      <c r="BX369" s="162"/>
      <c r="BY369" s="162"/>
      <c r="BZ369" s="162"/>
      <c r="CA369" s="162"/>
      <c r="CB369" s="162"/>
      <c r="CC369" s="56"/>
      <c r="CD369" s="56"/>
      <c r="CE369" s="56"/>
      <c r="CF369" s="56"/>
      <c r="CG369" s="56"/>
      <c r="CH369" s="56"/>
      <c r="CI369" s="103">
        <f t="shared" si="116"/>
        <v>5.0800000000000003E-3</v>
      </c>
      <c r="CJ369" s="103">
        <f t="shared" si="117"/>
        <v>-2.2941362877160807</v>
      </c>
      <c r="CK369" s="57">
        <f t="shared" si="127"/>
        <v>2.6606148639497777E-2</v>
      </c>
      <c r="CL369" s="160">
        <f t="shared" si="124"/>
        <v>0.41899446676374452</v>
      </c>
      <c r="CM369" s="160">
        <v>-4.3985042248374135</v>
      </c>
      <c r="CN369" s="160">
        <f t="shared" si="128"/>
        <v>2002.6000000000051</v>
      </c>
      <c r="CO369" s="55" t="s">
        <v>892</v>
      </c>
      <c r="CP369" s="55" t="s">
        <v>893</v>
      </c>
      <c r="CQ369" s="149">
        <v>-4.2668835074501228</v>
      </c>
      <c r="CR369" s="349">
        <f t="shared" si="126"/>
        <v>93.917650557215794</v>
      </c>
      <c r="CS369" s="61" t="s">
        <v>539</v>
      </c>
      <c r="CT369" s="61"/>
      <c r="CU369" s="111">
        <f t="shared" si="112"/>
        <v>5.2425285449126111</v>
      </c>
      <c r="CV369" s="331">
        <f t="shared" si="129"/>
        <v>0.33290056260195083</v>
      </c>
      <c r="CW369" s="326">
        <f t="shared" si="118"/>
        <v>1</v>
      </c>
      <c r="CX369" s="326" t="s">
        <v>539</v>
      </c>
      <c r="CY369" s="161" t="s">
        <v>5921</v>
      </c>
    </row>
    <row r="370" spans="1:103" ht="11.25" customHeight="1" x14ac:dyDescent="0.2">
      <c r="A370" s="72">
        <v>368</v>
      </c>
      <c r="B370" s="149">
        <v>1946</v>
      </c>
      <c r="C370" s="54" t="s">
        <v>4919</v>
      </c>
      <c r="D370" s="54" t="s">
        <v>6680</v>
      </c>
      <c r="E370" s="59"/>
      <c r="F370" s="167" t="s">
        <v>4920</v>
      </c>
      <c r="G370" s="151">
        <v>76448</v>
      </c>
      <c r="H370" s="67" t="s">
        <v>5514</v>
      </c>
      <c r="I370" s="67" t="s">
        <v>5514</v>
      </c>
      <c r="J370" s="67" t="s">
        <v>4922</v>
      </c>
      <c r="K370" s="67" t="s">
        <v>1139</v>
      </c>
      <c r="L370" s="55" t="s">
        <v>617</v>
      </c>
      <c r="M370" s="168" t="s">
        <v>6080</v>
      </c>
      <c r="N370" s="60" t="s">
        <v>6376</v>
      </c>
      <c r="O370" s="55" t="s">
        <v>6083</v>
      </c>
      <c r="P370" s="67"/>
      <c r="Q370" s="67"/>
      <c r="R370" s="67"/>
      <c r="S370" s="67"/>
      <c r="T370" s="61">
        <v>373.32</v>
      </c>
      <c r="U370" s="111">
        <v>4.8216007714561236E-4</v>
      </c>
      <c r="V370" s="111">
        <v>2.5516982749383904E-4</v>
      </c>
      <c r="W370" s="111">
        <v>3.8018939632056091E-4</v>
      </c>
      <c r="X370" s="111">
        <v>4.8216007714561236E-4</v>
      </c>
      <c r="Y370" s="411">
        <v>7</v>
      </c>
      <c r="Z370" s="62">
        <v>5.86</v>
      </c>
      <c r="AA370" s="62">
        <v>5.47</v>
      </c>
      <c r="AB370" s="62"/>
      <c r="AC370" s="62"/>
      <c r="AD370" s="62"/>
      <c r="AE370" s="62"/>
      <c r="AF370" s="62">
        <f t="shared" si="125"/>
        <v>5.47</v>
      </c>
      <c r="AG370" s="62">
        <v>4.68</v>
      </c>
      <c r="AH370" s="111">
        <v>1.76E-4</v>
      </c>
      <c r="AI370" s="111">
        <v>2.9399999999999999E-4</v>
      </c>
      <c r="AJ370" s="62">
        <f t="shared" si="130"/>
        <v>-2.143053658498502</v>
      </c>
      <c r="AK370" s="62">
        <f>LOG10(AI370*1000/(0.08206*298.15))</f>
        <v>-1.9202189959004945</v>
      </c>
      <c r="AL370" s="62">
        <f t="shared" si="131"/>
        <v>-1.9202189959004945</v>
      </c>
      <c r="AM370" s="62"/>
      <c r="AN370" s="163"/>
      <c r="AO370" s="410"/>
      <c r="AP370" s="410"/>
      <c r="AQ370" s="163" t="s">
        <v>6311</v>
      </c>
      <c r="AR370" s="163" t="s">
        <v>6311</v>
      </c>
      <c r="AS370" s="164" t="s">
        <v>5466</v>
      </c>
      <c r="AT370" s="63" t="s">
        <v>266</v>
      </c>
      <c r="AU370" s="61">
        <v>0</v>
      </c>
      <c r="AV370" s="61">
        <v>96</v>
      </c>
      <c r="AW370" s="61">
        <v>96</v>
      </c>
      <c r="AX370" s="61">
        <v>26</v>
      </c>
      <c r="AY370" s="61" t="s">
        <v>267</v>
      </c>
      <c r="AZ370" s="61"/>
      <c r="BA370" s="61">
        <v>10</v>
      </c>
      <c r="BB370" s="67" t="s">
        <v>5487</v>
      </c>
      <c r="BC370" s="67" t="s">
        <v>8726</v>
      </c>
      <c r="BD370" s="67" t="s">
        <v>8374</v>
      </c>
      <c r="BE370" s="61" t="s">
        <v>2449</v>
      </c>
      <c r="BF370" s="61"/>
      <c r="BG370" s="61"/>
      <c r="BH370" s="61" t="s">
        <v>5512</v>
      </c>
      <c r="BI370" s="111"/>
      <c r="BJ370" s="111"/>
      <c r="BK370" s="61"/>
      <c r="BL370" s="111">
        <f t="shared" si="123"/>
        <v>2.8050073268674124E-4</v>
      </c>
      <c r="BM370" s="61"/>
      <c r="BN370" s="61"/>
      <c r="BO370" s="61"/>
      <c r="BP370" s="61"/>
      <c r="BQ370" s="61">
        <v>4.655523E-3</v>
      </c>
      <c r="BR370" s="61"/>
      <c r="BS370" s="61"/>
      <c r="BT370" s="61"/>
      <c r="BU370" s="158"/>
      <c r="BV370" s="61"/>
      <c r="BW370" s="61"/>
      <c r="BX370" s="61"/>
      <c r="BY370" s="61"/>
      <c r="BZ370" s="61"/>
      <c r="CA370" s="61"/>
      <c r="CB370" s="61"/>
      <c r="CC370" s="61"/>
      <c r="CD370" s="61"/>
      <c r="CE370" s="61"/>
      <c r="CF370" s="61"/>
      <c r="CG370" s="61"/>
      <c r="CH370" s="61"/>
      <c r="CI370" s="111">
        <f t="shared" si="116"/>
        <v>4.655523E-3</v>
      </c>
      <c r="CJ370" s="103">
        <f t="shared" si="117"/>
        <v>-2.3320315234355142</v>
      </c>
      <c r="CK370" s="57" t="s">
        <v>404</v>
      </c>
      <c r="CL370" s="160">
        <f t="shared" si="124"/>
        <v>6.0251175364559734E-2</v>
      </c>
      <c r="CM370" s="160">
        <v>-4.4253497746264783</v>
      </c>
      <c r="CN370" s="160"/>
      <c r="CO370" s="67"/>
      <c r="CP370" s="67" t="s">
        <v>5513</v>
      </c>
      <c r="CQ370" s="149">
        <v>-4.2922227173172196</v>
      </c>
      <c r="CR370" s="349">
        <f t="shared" si="126"/>
        <v>91.24124315657383</v>
      </c>
      <c r="CS370" s="61" t="s">
        <v>539</v>
      </c>
      <c r="CT370" s="61"/>
      <c r="CU370" s="111">
        <f t="shared" si="112"/>
        <v>0.10356732791259164</v>
      </c>
      <c r="CV370" s="331"/>
      <c r="CW370" s="326">
        <f t="shared" si="118"/>
        <v>0</v>
      </c>
      <c r="CX370" s="326"/>
      <c r="CY370" s="161" t="s">
        <v>5921</v>
      </c>
    </row>
    <row r="371" spans="1:103" ht="11.25" customHeight="1" x14ac:dyDescent="0.2">
      <c r="A371" s="72">
        <v>369</v>
      </c>
      <c r="B371" s="149">
        <v>1947</v>
      </c>
      <c r="C371" s="54" t="s">
        <v>1298</v>
      </c>
      <c r="D371" s="54" t="s">
        <v>6649</v>
      </c>
      <c r="E371" s="59"/>
      <c r="F371" s="59" t="s">
        <v>1299</v>
      </c>
      <c r="G371" s="151">
        <v>72435</v>
      </c>
      <c r="H371" s="67" t="s">
        <v>1300</v>
      </c>
      <c r="I371" s="67" t="s">
        <v>7923</v>
      </c>
      <c r="J371" s="67" t="s">
        <v>1301</v>
      </c>
      <c r="K371" s="67" t="s">
        <v>426</v>
      </c>
      <c r="L371" s="67" t="s">
        <v>617</v>
      </c>
      <c r="M371" s="67" t="s">
        <v>1086</v>
      </c>
      <c r="N371" s="60" t="s">
        <v>6376</v>
      </c>
      <c r="O371" s="67" t="s">
        <v>918</v>
      </c>
      <c r="P371" s="67" t="s">
        <v>6631</v>
      </c>
      <c r="Q371" s="67" t="s">
        <v>6173</v>
      </c>
      <c r="R371" s="67" t="s">
        <v>6082</v>
      </c>
      <c r="S371" s="67" t="s">
        <v>6173</v>
      </c>
      <c r="T371" s="61">
        <v>345.66</v>
      </c>
      <c r="U371" s="111">
        <v>2.8930999566035008E-4</v>
      </c>
      <c r="V371" s="111">
        <v>8.737161868942572E-4</v>
      </c>
      <c r="W371" s="111">
        <v>1.7782794100389215E-2</v>
      </c>
      <c r="X371" s="111">
        <v>2.8930999566035008E-4</v>
      </c>
      <c r="Y371" s="411">
        <v>7</v>
      </c>
      <c r="Z371" s="62">
        <v>5.67</v>
      </c>
      <c r="AA371" s="62">
        <v>5.08</v>
      </c>
      <c r="AB371" s="62">
        <v>5.83</v>
      </c>
      <c r="AC371" s="62">
        <v>0.84089999999999998</v>
      </c>
      <c r="AD371" s="62">
        <v>5.51</v>
      </c>
      <c r="AE371" s="62">
        <v>4.5599999999999996</v>
      </c>
      <c r="AF371" s="62">
        <f t="shared" si="125"/>
        <v>5.08</v>
      </c>
      <c r="AG371" s="62">
        <v>5.14</v>
      </c>
      <c r="AH371" s="111">
        <v>9.7500000000000006E-8</v>
      </c>
      <c r="AI371" s="111">
        <v>2.03E-7</v>
      </c>
      <c r="AJ371" s="62">
        <f t="shared" si="130"/>
        <v>-5.3995617106141154</v>
      </c>
      <c r="AK371" s="62">
        <f>LOG10(AI371*1000/(0.08206*298.15))</f>
        <v>-5.081070288399439</v>
      </c>
      <c r="AL371" s="62">
        <f t="shared" si="131"/>
        <v>-5.081070288399439</v>
      </c>
      <c r="AM371" s="62">
        <v>-9.6148900000000008</v>
      </c>
      <c r="AN371" s="163"/>
      <c r="AO371" s="410"/>
      <c r="AP371" s="410"/>
      <c r="AQ371" s="163" t="s">
        <v>6311</v>
      </c>
      <c r="AR371" s="163" t="s">
        <v>6311</v>
      </c>
      <c r="AS371" s="164" t="s">
        <v>5466</v>
      </c>
      <c r="AT371" s="63" t="s">
        <v>266</v>
      </c>
      <c r="AU371" s="61">
        <v>0</v>
      </c>
      <c r="AV371" s="61">
        <v>96</v>
      </c>
      <c r="AW371" s="61">
        <v>96</v>
      </c>
      <c r="AX371" s="61">
        <v>26</v>
      </c>
      <c r="AY371" s="61" t="s">
        <v>267</v>
      </c>
      <c r="AZ371" s="61"/>
      <c r="BA371" s="61">
        <v>10</v>
      </c>
      <c r="BB371" s="67" t="s">
        <v>5487</v>
      </c>
      <c r="BC371" s="67" t="s">
        <v>8726</v>
      </c>
      <c r="BD371" s="67" t="s">
        <v>8374</v>
      </c>
      <c r="BE371" s="61" t="s">
        <v>2449</v>
      </c>
      <c r="BF371" s="61"/>
      <c r="BG371" s="61"/>
      <c r="BH371" s="61" t="s">
        <v>5512</v>
      </c>
      <c r="BI371" s="111"/>
      <c r="BJ371" s="111"/>
      <c r="BK371" s="165"/>
      <c r="BL371" s="111">
        <f t="shared" si="123"/>
        <v>4.1550188654928839E-4</v>
      </c>
      <c r="BM371" s="61"/>
      <c r="BN371" s="61"/>
      <c r="BO371" s="61"/>
      <c r="BP371" s="61"/>
      <c r="BQ371" s="61">
        <v>4.5883240000000004E-3</v>
      </c>
      <c r="BR371" s="61"/>
      <c r="BS371" s="61"/>
      <c r="BT371" s="61"/>
      <c r="BU371" s="158"/>
      <c r="BV371" s="61"/>
      <c r="BW371" s="61"/>
      <c r="BX371" s="61"/>
      <c r="BY371" s="61"/>
      <c r="BZ371" s="61"/>
      <c r="CA371" s="61"/>
      <c r="CB371" s="61"/>
      <c r="CC371" s="61"/>
      <c r="CD371" s="61"/>
      <c r="CE371" s="61"/>
      <c r="CF371" s="61"/>
      <c r="CG371" s="61"/>
      <c r="CH371" s="61"/>
      <c r="CI371" s="111">
        <f t="shared" si="116"/>
        <v>4.5883240000000004E-3</v>
      </c>
      <c r="CJ371" s="103">
        <f t="shared" si="117"/>
        <v>-2.338345922408974</v>
      </c>
      <c r="CK371" s="57" t="s">
        <v>404</v>
      </c>
      <c r="CL371" s="160">
        <f t="shared" si="124"/>
        <v>9.0556352722538411E-2</v>
      </c>
      <c r="CM371" s="160"/>
      <c r="CN371" s="160"/>
      <c r="CO371" s="67"/>
      <c r="CP371" s="67" t="s">
        <v>5513</v>
      </c>
      <c r="CQ371" s="149">
        <v>-4.058441922882789</v>
      </c>
      <c r="CR371" s="349">
        <f t="shared" si="126"/>
        <v>52.492348137318452</v>
      </c>
      <c r="CS371" s="61" t="s">
        <v>539</v>
      </c>
      <c r="CT371" s="61"/>
      <c r="CU371" s="111">
        <f t="shared" si="112"/>
        <v>6.3053523609132675E-2</v>
      </c>
      <c r="CV371" s="331"/>
      <c r="CW371" s="326">
        <f t="shared" si="118"/>
        <v>0</v>
      </c>
      <c r="CX371" s="326"/>
      <c r="CY371" s="161" t="s">
        <v>5921</v>
      </c>
    </row>
    <row r="372" spans="1:103" ht="11.25" customHeight="1" x14ac:dyDescent="0.2">
      <c r="A372" s="72">
        <v>370</v>
      </c>
      <c r="B372" s="149">
        <v>1938</v>
      </c>
      <c r="C372" s="54" t="s">
        <v>6681</v>
      </c>
      <c r="D372" s="54"/>
      <c r="E372" s="59"/>
      <c r="F372" s="167" t="s">
        <v>5472</v>
      </c>
      <c r="G372" s="151">
        <v>131543232</v>
      </c>
      <c r="H372" s="67" t="s">
        <v>5473</v>
      </c>
      <c r="I372" s="67"/>
      <c r="J372" s="67" t="s">
        <v>5474</v>
      </c>
      <c r="K372" s="67"/>
      <c r="L372" s="67"/>
      <c r="M372" s="67" t="s">
        <v>5475</v>
      </c>
      <c r="N372" s="60"/>
      <c r="O372" s="67" t="s">
        <v>5476</v>
      </c>
      <c r="P372" s="67"/>
      <c r="Q372" s="67"/>
      <c r="R372" s="67"/>
      <c r="S372" s="67"/>
      <c r="T372" s="61">
        <v>426.52</v>
      </c>
      <c r="U372" s="111"/>
      <c r="V372" s="111">
        <f>0.1652/426.52</f>
        <v>3.8732064147050554E-4</v>
      </c>
      <c r="W372" s="111">
        <v>2.5703957827688598E-3</v>
      </c>
      <c r="X372" s="111">
        <f>IF(W372=0,V372,W372)</f>
        <v>2.5703957827688598E-3</v>
      </c>
      <c r="Y372" s="411">
        <v>7.53</v>
      </c>
      <c r="Z372" s="61">
        <v>4.68</v>
      </c>
      <c r="AA372" s="61"/>
      <c r="AB372" s="61">
        <v>4</v>
      </c>
      <c r="AC372" s="61">
        <v>0.42359999999999998</v>
      </c>
      <c r="AD372" s="61">
        <v>4.13</v>
      </c>
      <c r="AE372" s="61">
        <v>4.28</v>
      </c>
      <c r="AF372" s="61">
        <f t="shared" si="125"/>
        <v>4.13</v>
      </c>
      <c r="AG372" s="62">
        <v>4.13</v>
      </c>
      <c r="AH372" s="111">
        <v>8.6300000000000005E-17</v>
      </c>
      <c r="AI372" s="111"/>
      <c r="AJ372" s="62">
        <f t="shared" si="130"/>
        <v>-14.452555530597442</v>
      </c>
      <c r="AK372" s="62"/>
      <c r="AL372" s="62">
        <f t="shared" si="131"/>
        <v>-14.452555530597442</v>
      </c>
      <c r="AM372" s="62">
        <v>-20.964419999999997</v>
      </c>
      <c r="AN372" s="163"/>
      <c r="AO372" s="410"/>
      <c r="AP372" s="410">
        <v>6.66</v>
      </c>
      <c r="AQ372" s="163" t="s">
        <v>6311</v>
      </c>
      <c r="AR372" s="163" t="s">
        <v>6311</v>
      </c>
      <c r="AS372" s="164" t="s">
        <v>5466</v>
      </c>
      <c r="AT372" s="63" t="s">
        <v>266</v>
      </c>
      <c r="AU372" s="61">
        <v>24</v>
      </c>
      <c r="AV372" s="61">
        <v>120</v>
      </c>
      <c r="AW372" s="61">
        <v>96</v>
      </c>
      <c r="AX372" s="61">
        <v>25</v>
      </c>
      <c r="AY372" s="61" t="s">
        <v>267</v>
      </c>
      <c r="AZ372" s="61" t="s">
        <v>268</v>
      </c>
      <c r="BA372" s="61" t="s">
        <v>5467</v>
      </c>
      <c r="BB372" s="67" t="s">
        <v>5468</v>
      </c>
      <c r="BC372" s="67" t="s">
        <v>5469</v>
      </c>
      <c r="BD372" s="67" t="s">
        <v>8374</v>
      </c>
      <c r="BE372" s="61" t="s">
        <v>2449</v>
      </c>
      <c r="BF372" s="61"/>
      <c r="BG372" s="61"/>
      <c r="BH372" s="61" t="s">
        <v>5470</v>
      </c>
      <c r="BI372" s="111">
        <v>2.9306948999999999E-2</v>
      </c>
      <c r="BJ372" s="111">
        <v>0.23445559399999999</v>
      </c>
      <c r="BK372" s="61"/>
      <c r="BL372" s="111"/>
      <c r="BM372" s="61" t="s">
        <v>1584</v>
      </c>
      <c r="BN372" s="61"/>
      <c r="BO372" s="61"/>
      <c r="BP372" s="61"/>
      <c r="BQ372" s="61"/>
      <c r="BR372" s="61"/>
      <c r="BS372" s="61"/>
      <c r="BT372" s="61"/>
      <c r="BU372" s="158"/>
      <c r="BV372" s="61"/>
      <c r="BW372" s="61"/>
      <c r="BX372" s="61"/>
      <c r="BY372" s="61"/>
      <c r="BZ372" s="61"/>
      <c r="CA372" s="61"/>
      <c r="CB372" s="61">
        <v>4.2202009999999998E-3</v>
      </c>
      <c r="CC372" s="61"/>
      <c r="CD372" s="61"/>
      <c r="CE372" s="61"/>
      <c r="CF372" s="61"/>
      <c r="CG372" s="61"/>
      <c r="CH372" s="61"/>
      <c r="CI372" s="111">
        <f t="shared" si="116"/>
        <v>4.2202009999999998E-3</v>
      </c>
      <c r="CJ372" s="103">
        <f t="shared" si="117"/>
        <v>-2.3746668639406896</v>
      </c>
      <c r="CK372" s="57">
        <f t="shared" ref="CK372:CK404" si="132">BL372/BJ372</f>
        <v>0</v>
      </c>
      <c r="CL372" s="160">
        <f t="shared" si="124"/>
        <v>0</v>
      </c>
      <c r="CM372" s="160"/>
      <c r="CN372" s="160"/>
      <c r="CO372" s="67"/>
      <c r="CP372" s="67" t="s">
        <v>5471</v>
      </c>
      <c r="CQ372" s="149" t="s">
        <v>272</v>
      </c>
      <c r="CR372" s="349"/>
      <c r="CS372" s="61" t="s">
        <v>539</v>
      </c>
      <c r="CT372" s="61"/>
      <c r="CU372" s="111">
        <f t="shared" si="112"/>
        <v>0.60906951653934494</v>
      </c>
      <c r="CV372" s="331">
        <f t="shared" ref="CV372:CV404" si="133">X372/BJ372</f>
        <v>1.0963252097831626E-2</v>
      </c>
      <c r="CW372" s="326">
        <f t="shared" si="118"/>
        <v>0</v>
      </c>
      <c r="CX372" s="326"/>
      <c r="CY372" s="161" t="s">
        <v>5921</v>
      </c>
    </row>
    <row r="373" spans="1:103" ht="11.25" customHeight="1" x14ac:dyDescent="0.2">
      <c r="A373" s="72">
        <v>371</v>
      </c>
      <c r="B373" s="149">
        <v>1290</v>
      </c>
      <c r="C373" s="54" t="s">
        <v>1469</v>
      </c>
      <c r="D373" s="54" t="s">
        <v>6682</v>
      </c>
      <c r="E373" s="59"/>
      <c r="F373" s="59" t="s">
        <v>1470</v>
      </c>
      <c r="G373" s="151">
        <v>119168773</v>
      </c>
      <c r="H373" s="55" t="s">
        <v>1471</v>
      </c>
      <c r="I373" s="55" t="s">
        <v>7899</v>
      </c>
      <c r="J373" s="55" t="s">
        <v>1472</v>
      </c>
      <c r="K373" s="55" t="s">
        <v>1473</v>
      </c>
      <c r="L373" s="55" t="s">
        <v>617</v>
      </c>
      <c r="M373" s="55" t="s">
        <v>6011</v>
      </c>
      <c r="N373" s="60" t="s">
        <v>6381</v>
      </c>
      <c r="O373" s="55" t="s">
        <v>918</v>
      </c>
      <c r="P373" s="67"/>
      <c r="Q373" s="67"/>
      <c r="R373" s="67"/>
      <c r="S373" s="67"/>
      <c r="T373" s="56">
        <v>333.86</v>
      </c>
      <c r="U373" s="103">
        <v>7.7876954412028996E-3</v>
      </c>
      <c r="V373" s="103">
        <v>2.68256155274666E-3</v>
      </c>
      <c r="W373" s="103">
        <v>3.162277660168375E-2</v>
      </c>
      <c r="X373" s="103">
        <v>7.7876954412028996E-3</v>
      </c>
      <c r="Y373" s="162">
        <v>7</v>
      </c>
      <c r="Z373" s="56">
        <v>5.76</v>
      </c>
      <c r="AA373" s="56">
        <v>4.6100000000000003</v>
      </c>
      <c r="AB373" s="56">
        <v>4.5599999999999996</v>
      </c>
      <c r="AC373" s="56">
        <v>0.85609999999999997</v>
      </c>
      <c r="AD373" s="56">
        <v>4.41</v>
      </c>
      <c r="AE373" s="56">
        <v>3.9</v>
      </c>
      <c r="AF373" s="56">
        <f t="shared" si="125"/>
        <v>4.6100000000000003</v>
      </c>
      <c r="AG373" s="57">
        <v>4.6500000000000004</v>
      </c>
      <c r="AH373" s="103">
        <v>1.6100000000000001E-11</v>
      </c>
      <c r="AI373" s="103"/>
      <c r="AJ373" s="62">
        <f t="shared" si="130"/>
        <v>-9.1817404502808024</v>
      </c>
      <c r="AK373" s="62"/>
      <c r="AL373" s="62">
        <f t="shared" si="131"/>
        <v>-9.1817404502808024</v>
      </c>
      <c r="AM373" s="62">
        <v>-14.803520000000001</v>
      </c>
      <c r="AN373" s="154">
        <v>-8.34</v>
      </c>
      <c r="AO373" s="410">
        <v>13.19</v>
      </c>
      <c r="AP373" s="410">
        <v>-0.91</v>
      </c>
      <c r="AQ373" s="56" t="s">
        <v>6311</v>
      </c>
      <c r="AR373" s="56" t="s">
        <v>6311</v>
      </c>
      <c r="AS373" s="155"/>
      <c r="AT373" s="58" t="s">
        <v>266</v>
      </c>
      <c r="AU373" s="56">
        <v>6</v>
      </c>
      <c r="AV373" s="56">
        <v>120</v>
      </c>
      <c r="AW373" s="56">
        <v>114</v>
      </c>
      <c r="AX373" s="56">
        <v>28</v>
      </c>
      <c r="AY373" s="56" t="s">
        <v>8728</v>
      </c>
      <c r="AZ373" s="56" t="s">
        <v>1563</v>
      </c>
      <c r="BA373" s="56">
        <v>32</v>
      </c>
      <c r="BB373" s="55" t="s">
        <v>2485</v>
      </c>
      <c r="BC373" s="55" t="s">
        <v>8726</v>
      </c>
      <c r="BD373" s="55" t="s">
        <v>8374</v>
      </c>
      <c r="BE373" s="56" t="s">
        <v>2449</v>
      </c>
      <c r="BF373" s="56" t="s">
        <v>272</v>
      </c>
      <c r="BG373" s="56" t="s">
        <v>272</v>
      </c>
      <c r="BH373" s="56" t="s">
        <v>2486</v>
      </c>
      <c r="BI373" s="103">
        <v>6.3999999999999997E-6</v>
      </c>
      <c r="BJ373" s="103">
        <v>6.4000000000000001E-2</v>
      </c>
      <c r="BK373" s="56"/>
      <c r="BL373" s="103">
        <f t="shared" ref="BL373:BL400" si="134">10^((-0.8981*Z373)+1.7108)</f>
        <v>3.4494035024253567E-4</v>
      </c>
      <c r="BM373" s="56" t="s">
        <v>2487</v>
      </c>
      <c r="BN373" s="56"/>
      <c r="BO373" s="56"/>
      <c r="BP373" s="56"/>
      <c r="BQ373" s="56"/>
      <c r="BR373" s="55">
        <v>4.3299999999999996E-3</v>
      </c>
      <c r="BS373" s="56"/>
      <c r="BT373" s="56"/>
      <c r="BU373" s="158"/>
      <c r="BV373" s="56"/>
      <c r="BW373" s="56"/>
      <c r="BX373" s="56"/>
      <c r="BY373" s="56"/>
      <c r="BZ373" s="56"/>
      <c r="CA373" s="56"/>
      <c r="CB373" s="56"/>
      <c r="CC373" s="56"/>
      <c r="CD373" s="56"/>
      <c r="CE373" s="56"/>
      <c r="CF373" s="56"/>
      <c r="CG373" s="56"/>
      <c r="CH373" s="56"/>
      <c r="CI373" s="103">
        <f t="shared" si="116"/>
        <v>4.3299999999999996E-3</v>
      </c>
      <c r="CJ373" s="103">
        <f t="shared" si="117"/>
        <v>-2.3635121036466344</v>
      </c>
      <c r="CK373" s="57">
        <f t="shared" si="132"/>
        <v>5.3896929725396198E-3</v>
      </c>
      <c r="CL373" s="160">
        <f t="shared" si="124"/>
        <v>7.9662898439384691E-2</v>
      </c>
      <c r="CM373" s="160">
        <v>-4.2731443867368002</v>
      </c>
      <c r="CN373" s="160">
        <f>BJ373/(10^CM373)</f>
        <v>1200.3955056179793</v>
      </c>
      <c r="CO373" s="55" t="s">
        <v>2488</v>
      </c>
      <c r="CP373" s="55" t="s">
        <v>2489</v>
      </c>
      <c r="CQ373" s="149">
        <v>-3.9141129136142796</v>
      </c>
      <c r="CR373" s="349">
        <f>10^(CJ373-CQ373)</f>
        <v>35.530458346460399</v>
      </c>
      <c r="CS373" s="61" t="s">
        <v>539</v>
      </c>
      <c r="CT373" s="61"/>
      <c r="CU373" s="111">
        <f t="shared" si="112"/>
        <v>1.7985439818020554</v>
      </c>
      <c r="CV373" s="331">
        <f t="shared" si="133"/>
        <v>0.1216827412687953</v>
      </c>
      <c r="CW373" s="326">
        <f t="shared" si="118"/>
        <v>0</v>
      </c>
      <c r="CX373" s="326"/>
      <c r="CY373" s="161" t="s">
        <v>5921</v>
      </c>
    </row>
    <row r="374" spans="1:103" ht="11.25" customHeight="1" x14ac:dyDescent="0.2">
      <c r="A374" s="72">
        <v>372</v>
      </c>
      <c r="B374" s="149">
        <v>260</v>
      </c>
      <c r="C374" s="54" t="s">
        <v>1099</v>
      </c>
      <c r="D374" s="54" t="s">
        <v>6683</v>
      </c>
      <c r="E374" s="59"/>
      <c r="F374" s="59" t="s">
        <v>1100</v>
      </c>
      <c r="G374" s="151">
        <v>51338273</v>
      </c>
      <c r="H374" s="55" t="s">
        <v>1101</v>
      </c>
      <c r="I374" s="55" t="s">
        <v>7924</v>
      </c>
      <c r="J374" s="55" t="s">
        <v>1102</v>
      </c>
      <c r="K374" s="55" t="s">
        <v>357</v>
      </c>
      <c r="L374" s="55" t="s">
        <v>5968</v>
      </c>
      <c r="M374" s="55" t="s">
        <v>6082</v>
      </c>
      <c r="N374" s="60" t="s">
        <v>6082</v>
      </c>
      <c r="O374" s="55" t="s">
        <v>6083</v>
      </c>
      <c r="P374" s="67"/>
      <c r="Q374" s="67"/>
      <c r="R374" s="67"/>
      <c r="S374" s="67"/>
      <c r="T374" s="56">
        <v>341.19</v>
      </c>
      <c r="U374" s="103">
        <v>2.344734605351857E-3</v>
      </c>
      <c r="V374" s="103">
        <v>2.3262698203347109E-3</v>
      </c>
      <c r="W374" s="103">
        <v>6.6069344800759591E-3</v>
      </c>
      <c r="X374" s="103">
        <v>2.344734605351857E-3</v>
      </c>
      <c r="Y374" s="162">
        <v>7</v>
      </c>
      <c r="Z374" s="56">
        <v>4.54</v>
      </c>
      <c r="AA374" s="56">
        <v>4.62</v>
      </c>
      <c r="AB374" s="56">
        <v>5.18</v>
      </c>
      <c r="AC374" s="56">
        <v>0.77900000000000003</v>
      </c>
      <c r="AD374" s="56">
        <v>4.8899999999999997</v>
      </c>
      <c r="AE374" s="56">
        <v>4.24</v>
      </c>
      <c r="AF374" s="56">
        <f t="shared" si="125"/>
        <v>4.62</v>
      </c>
      <c r="AG374" s="57">
        <v>4.49</v>
      </c>
      <c r="AH374" s="103">
        <v>8.5599999999999999E-8</v>
      </c>
      <c r="AI374" s="103">
        <v>1.9700000000000002E-6</v>
      </c>
      <c r="AJ374" s="62">
        <f t="shared" si="130"/>
        <v>-5.4560925616354989</v>
      </c>
      <c r="AK374" s="62">
        <f>LOG10(AI374*1000/(0.08206*298.15))</f>
        <v>-4.0941001001510591</v>
      </c>
      <c r="AL374" s="62">
        <f t="shared" si="131"/>
        <v>-4.0941001001510591</v>
      </c>
      <c r="AM374" s="62">
        <v>-11.93689</v>
      </c>
      <c r="AN374" s="154">
        <v>-5.05</v>
      </c>
      <c r="AO374" s="410"/>
      <c r="AP374" s="410"/>
      <c r="AQ374" s="154" t="s">
        <v>6311</v>
      </c>
      <c r="AR374" s="154" t="s">
        <v>6312</v>
      </c>
      <c r="AS374" s="149" t="s">
        <v>6</v>
      </c>
      <c r="AT374" s="58" t="s">
        <v>266</v>
      </c>
      <c r="AU374" s="56">
        <v>8</v>
      </c>
      <c r="AV374" s="56">
        <v>144</v>
      </c>
      <c r="AW374" s="56">
        <v>120</v>
      </c>
      <c r="AX374" s="56">
        <v>26</v>
      </c>
      <c r="AY374" s="56" t="s">
        <v>267</v>
      </c>
      <c r="AZ374" s="56" t="s">
        <v>268</v>
      </c>
      <c r="BA374" s="56">
        <v>9</v>
      </c>
      <c r="BB374" s="55" t="s">
        <v>888</v>
      </c>
      <c r="BC374" s="55" t="s">
        <v>270</v>
      </c>
      <c r="BD374" s="55" t="s">
        <v>8374</v>
      </c>
      <c r="BE374" s="56" t="s">
        <v>889</v>
      </c>
      <c r="BF374" s="56" t="s">
        <v>272</v>
      </c>
      <c r="BG374" s="56" t="s">
        <v>272</v>
      </c>
      <c r="BH374" s="56" t="s">
        <v>890</v>
      </c>
      <c r="BI374" s="103">
        <v>9.9999999999999995E-7</v>
      </c>
      <c r="BJ374" s="103">
        <v>0.08</v>
      </c>
      <c r="BK374" s="56"/>
      <c r="BL374" s="103">
        <f t="shared" si="134"/>
        <v>4.2995796629318201E-3</v>
      </c>
      <c r="BM374" s="56" t="s">
        <v>891</v>
      </c>
      <c r="BN374" s="162"/>
      <c r="BO374" s="162"/>
      <c r="BP374" s="162"/>
      <c r="BQ374" s="162"/>
      <c r="BR374" s="162"/>
      <c r="BS374" s="56">
        <v>4.2500000000000003E-3</v>
      </c>
      <c r="BT374" s="162"/>
      <c r="BU374" s="158"/>
      <c r="BV374" s="162"/>
      <c r="BW374" s="162"/>
      <c r="BX374" s="162"/>
      <c r="BY374" s="162"/>
      <c r="BZ374" s="162"/>
      <c r="CA374" s="162"/>
      <c r="CB374" s="162"/>
      <c r="CC374" s="56"/>
      <c r="CD374" s="56"/>
      <c r="CE374" s="56"/>
      <c r="CF374" s="56"/>
      <c r="CG374" s="56"/>
      <c r="CH374" s="56"/>
      <c r="CI374" s="103">
        <f t="shared" si="116"/>
        <v>4.2500000000000003E-3</v>
      </c>
      <c r="CJ374" s="103">
        <f t="shared" si="117"/>
        <v>-2.3716110699496884</v>
      </c>
      <c r="CK374" s="57">
        <f t="shared" si="132"/>
        <v>5.374474578664775E-2</v>
      </c>
      <c r="CL374" s="160">
        <f t="shared" si="124"/>
        <v>1.0116658030427812</v>
      </c>
      <c r="CM374" s="160">
        <v>-3.066536551683964</v>
      </c>
      <c r="CN374" s="160">
        <f>BJ374/(10^CM374)</f>
        <v>93.245211567288848</v>
      </c>
      <c r="CO374" s="55" t="s">
        <v>892</v>
      </c>
      <c r="CP374" s="55" t="s">
        <v>893</v>
      </c>
      <c r="CQ374" s="149">
        <v>-2.8390279179795299</v>
      </c>
      <c r="CR374" s="349">
        <f>10^(CJ374-CQ374)</f>
        <v>2.9337077493305972</v>
      </c>
      <c r="CS374" s="61" t="s">
        <v>539</v>
      </c>
      <c r="CT374" s="61"/>
      <c r="CU374" s="111">
        <f t="shared" si="112"/>
        <v>0.55170226008278989</v>
      </c>
      <c r="CV374" s="331">
        <f t="shared" si="133"/>
        <v>2.9309182566898212E-2</v>
      </c>
      <c r="CW374" s="326">
        <f t="shared" si="118"/>
        <v>0</v>
      </c>
      <c r="CX374" s="326" t="s">
        <v>539</v>
      </c>
      <c r="CY374" s="161" t="s">
        <v>5921</v>
      </c>
    </row>
    <row r="375" spans="1:103" ht="11.25" customHeight="1" x14ac:dyDescent="0.2">
      <c r="A375" s="72">
        <v>373</v>
      </c>
      <c r="B375" s="149">
        <v>961</v>
      </c>
      <c r="C375" s="54" t="s">
        <v>6684</v>
      </c>
      <c r="D375" s="54"/>
      <c r="E375" s="59"/>
      <c r="F375" s="59" t="s">
        <v>2740</v>
      </c>
      <c r="G375" s="151">
        <v>134002601</v>
      </c>
      <c r="H375" s="55" t="s">
        <v>2741</v>
      </c>
      <c r="I375" s="55" t="s">
        <v>7799</v>
      </c>
      <c r="J375" s="55" t="s">
        <v>2742</v>
      </c>
      <c r="K375" s="55" t="s">
        <v>426</v>
      </c>
      <c r="L375" s="55"/>
      <c r="M375" s="55"/>
      <c r="N375" s="60"/>
      <c r="O375" s="55"/>
      <c r="P375" s="67"/>
      <c r="Q375" s="67"/>
      <c r="R375" s="67"/>
      <c r="S375" s="67"/>
      <c r="T375" s="56">
        <v>340.33</v>
      </c>
      <c r="U375" s="103"/>
      <c r="V375" s="103">
        <v>2.7247083712866925E-3</v>
      </c>
      <c r="W375" s="103">
        <v>9.1201083935590926E-2</v>
      </c>
      <c r="X375" s="103">
        <f>IF(W375=0,V375,W375)</f>
        <v>9.1201083935590926E-2</v>
      </c>
      <c r="Y375" s="162">
        <v>7.01</v>
      </c>
      <c r="Z375" s="56">
        <v>4.55</v>
      </c>
      <c r="AA375" s="56"/>
      <c r="AB375" s="56">
        <v>2.85</v>
      </c>
      <c r="AC375" s="56">
        <v>0.64880000000000004</v>
      </c>
      <c r="AD375" s="56">
        <v>3.04</v>
      </c>
      <c r="AE375" s="56">
        <v>3.37</v>
      </c>
      <c r="AF375" s="56">
        <f t="shared" si="125"/>
        <v>3.04</v>
      </c>
      <c r="AG375" s="57">
        <v>4.7</v>
      </c>
      <c r="AH375" s="103">
        <v>1.4399999999999999E-13</v>
      </c>
      <c r="AI375" s="103"/>
      <c r="AJ375" s="62">
        <f t="shared" si="130"/>
        <v>-11.230203834217402</v>
      </c>
      <c r="AK375" s="62"/>
      <c r="AL375" s="62">
        <f t="shared" si="131"/>
        <v>-11.230203834217402</v>
      </c>
      <c r="AM375" s="62">
        <v>-14.939299999999998</v>
      </c>
      <c r="AN375" s="154">
        <v>-12.7</v>
      </c>
      <c r="AO375" s="410"/>
      <c r="AP375" s="410">
        <v>2.42</v>
      </c>
      <c r="AQ375" s="56" t="s">
        <v>6311</v>
      </c>
      <c r="AR375" s="56" t="s">
        <v>6311</v>
      </c>
      <c r="AS375" s="155"/>
      <c r="AT375" s="58" t="s">
        <v>266</v>
      </c>
      <c r="AU375" s="56">
        <v>6</v>
      </c>
      <c r="AV375" s="56">
        <v>120</v>
      </c>
      <c r="AW375" s="56">
        <v>114</v>
      </c>
      <c r="AX375" s="56">
        <v>28</v>
      </c>
      <c r="AY375" s="56" t="s">
        <v>8728</v>
      </c>
      <c r="AZ375" s="56" t="s">
        <v>1563</v>
      </c>
      <c r="BA375" s="56">
        <v>32</v>
      </c>
      <c r="BB375" s="55" t="s">
        <v>2485</v>
      </c>
      <c r="BC375" s="55" t="s">
        <v>8726</v>
      </c>
      <c r="BD375" s="55" t="s">
        <v>8374</v>
      </c>
      <c r="BE375" s="56" t="s">
        <v>2449</v>
      </c>
      <c r="BF375" s="56" t="s">
        <v>272</v>
      </c>
      <c r="BG375" s="56" t="s">
        <v>272</v>
      </c>
      <c r="BH375" s="56" t="s">
        <v>2486</v>
      </c>
      <c r="BI375" s="103">
        <v>6.3999999999999997E-6</v>
      </c>
      <c r="BJ375" s="103">
        <v>6.4000000000000001E-2</v>
      </c>
      <c r="BK375" s="56"/>
      <c r="BL375" s="103">
        <f t="shared" si="134"/>
        <v>4.2115794701602432E-3</v>
      </c>
      <c r="BM375" s="56" t="s">
        <v>2046</v>
      </c>
      <c r="BN375" s="56">
        <v>20.238577029999998</v>
      </c>
      <c r="BO375" s="56"/>
      <c r="BP375" s="56"/>
      <c r="BQ375" s="56"/>
      <c r="BR375" s="55">
        <v>2.0238577000000001E-2</v>
      </c>
      <c r="BS375" s="56"/>
      <c r="BT375" s="56"/>
      <c r="BU375" s="158"/>
      <c r="BV375" s="56"/>
      <c r="BW375" s="56"/>
      <c r="BX375" s="56"/>
      <c r="BY375" s="56"/>
      <c r="BZ375" s="56"/>
      <c r="CA375" s="56"/>
      <c r="CB375" s="56"/>
      <c r="CC375" s="56"/>
      <c r="CD375" s="56"/>
      <c r="CE375" s="56"/>
      <c r="CF375" s="56"/>
      <c r="CG375" s="56"/>
      <c r="CH375" s="56"/>
      <c r="CI375" s="103">
        <f t="shared" si="116"/>
        <v>2.0238577000000001E-2</v>
      </c>
      <c r="CJ375" s="103">
        <f t="shared" si="117"/>
        <v>-1.6938200265542473</v>
      </c>
      <c r="CK375" s="57">
        <f t="shared" si="132"/>
        <v>6.5805929221253792E-2</v>
      </c>
      <c r="CL375" s="160">
        <f t="shared" si="124"/>
        <v>0.20809662014084504</v>
      </c>
      <c r="CM375" s="160"/>
      <c r="CN375" s="160"/>
      <c r="CO375" s="55" t="s">
        <v>2488</v>
      </c>
      <c r="CP375" s="55" t="s">
        <v>2489</v>
      </c>
      <c r="CQ375" s="149" t="s">
        <v>272</v>
      </c>
      <c r="CR375" s="349"/>
      <c r="CS375" s="61" t="s">
        <v>539</v>
      </c>
      <c r="CT375" s="61"/>
      <c r="CU375" s="111">
        <f t="shared" ref="CU375:CU417" si="135">X375/CI375</f>
        <v>4.506299229219076</v>
      </c>
      <c r="CV375" s="331">
        <f t="shared" si="133"/>
        <v>1.4250169364936083</v>
      </c>
      <c r="CW375" s="326">
        <f t="shared" si="118"/>
        <v>1</v>
      </c>
      <c r="CX375" s="326"/>
      <c r="CY375" s="161" t="s">
        <v>5921</v>
      </c>
    </row>
    <row r="376" spans="1:103" ht="11.25" customHeight="1" x14ac:dyDescent="0.2">
      <c r="A376" s="72">
        <v>374</v>
      </c>
      <c r="B376" s="149">
        <v>831</v>
      </c>
      <c r="C376" s="54" t="s">
        <v>6685</v>
      </c>
      <c r="D376" s="54" t="s">
        <v>6686</v>
      </c>
      <c r="E376" s="59"/>
      <c r="F376" s="59" t="s">
        <v>2375</v>
      </c>
      <c r="G376" s="151">
        <v>26062793</v>
      </c>
      <c r="H376" s="55" t="s">
        <v>2376</v>
      </c>
      <c r="I376" s="55" t="s">
        <v>8337</v>
      </c>
      <c r="J376" s="55" t="s">
        <v>2377</v>
      </c>
      <c r="K376" s="55" t="s">
        <v>426</v>
      </c>
      <c r="L376" s="55"/>
      <c r="M376" s="55" t="s">
        <v>6025</v>
      </c>
      <c r="N376" s="60" t="s">
        <v>2342</v>
      </c>
      <c r="O376" s="60" t="s">
        <v>2342</v>
      </c>
      <c r="P376" s="67"/>
      <c r="Q376" s="67"/>
      <c r="R376" s="67"/>
      <c r="S376" s="67"/>
      <c r="T376" s="56">
        <v>161.68</v>
      </c>
      <c r="U376" s="103"/>
      <c r="V376" s="103">
        <v>6185.0569025235027</v>
      </c>
      <c r="W376" s="103">
        <v>1905.4607179632474</v>
      </c>
      <c r="X376" s="103">
        <f>IF(W376=0,V376,W376)</f>
        <v>1905.4607179632474</v>
      </c>
      <c r="Y376" s="162">
        <v>7</v>
      </c>
      <c r="Z376" s="56">
        <v>-2.4900000000000002</v>
      </c>
      <c r="AA376" s="56"/>
      <c r="AB376" s="56">
        <v>-2.72</v>
      </c>
      <c r="AC376" s="56">
        <v>0.66339999999999999</v>
      </c>
      <c r="AD376" s="56">
        <v>-2.54</v>
      </c>
      <c r="AE376" s="56">
        <v>-2.2999999999999998</v>
      </c>
      <c r="AF376" s="56">
        <f t="shared" si="125"/>
        <v>-2.54</v>
      </c>
      <c r="AG376" s="57">
        <v>7.38</v>
      </c>
      <c r="AH376" s="103">
        <v>7.2E-12</v>
      </c>
      <c r="AI376" s="103"/>
      <c r="AJ376" s="62">
        <f t="shared" si="130"/>
        <v>-9.5312338298813835</v>
      </c>
      <c r="AK376" s="62"/>
      <c r="AL376" s="62">
        <f t="shared" si="131"/>
        <v>-9.5312338298813835</v>
      </c>
      <c r="AM376" s="62">
        <v>-0.9079600000000001</v>
      </c>
      <c r="AN376" s="154">
        <v>-20.9</v>
      </c>
      <c r="AO376" s="410"/>
      <c r="AP376" s="410"/>
      <c r="AQ376" s="56" t="s">
        <v>6311</v>
      </c>
      <c r="AR376" s="56" t="s">
        <v>6311</v>
      </c>
      <c r="AS376" s="149" t="s">
        <v>6</v>
      </c>
      <c r="AT376" s="58" t="s">
        <v>266</v>
      </c>
      <c r="AU376" s="61">
        <v>0</v>
      </c>
      <c r="AV376" s="56">
        <v>96</v>
      </c>
      <c r="AW376" s="56">
        <v>96</v>
      </c>
      <c r="AX376" s="56">
        <v>26</v>
      </c>
      <c r="AY376" s="56" t="s">
        <v>6360</v>
      </c>
      <c r="AZ376" s="56" t="s">
        <v>536</v>
      </c>
      <c r="BA376" s="56">
        <v>20</v>
      </c>
      <c r="BB376" s="55" t="s">
        <v>1764</v>
      </c>
      <c r="BC376" s="55" t="s">
        <v>6372</v>
      </c>
      <c r="BD376" s="55"/>
      <c r="BE376" s="56" t="s">
        <v>6361</v>
      </c>
      <c r="BF376" s="56" t="s">
        <v>1974</v>
      </c>
      <c r="BG376" s="56" t="s">
        <v>1974</v>
      </c>
      <c r="BH376" s="56" t="s">
        <v>272</v>
      </c>
      <c r="BI376" s="157">
        <v>6.1850569025235038E-4</v>
      </c>
      <c r="BJ376" s="157">
        <v>9.8960910440376061E-3</v>
      </c>
      <c r="BK376" s="56"/>
      <c r="BL376" s="103">
        <f t="shared" si="134"/>
        <v>8852.562467292255</v>
      </c>
      <c r="BM376" s="56" t="s">
        <v>541</v>
      </c>
      <c r="BN376" s="56"/>
      <c r="BO376" s="56"/>
      <c r="BP376" s="56"/>
      <c r="BQ376" s="56">
        <f>(0.002653389+0.00327808+0.003760515+0.002560614+0.001515339+0.001880257+0.005671697+0.002894607+0.006432459+0.002616279+0.002517318+0.002560614)/12</f>
        <v>3.1950973333333336E-3</v>
      </c>
      <c r="BR376" s="56"/>
      <c r="BS376" s="56"/>
      <c r="BT376" s="56"/>
      <c r="BU376" s="158"/>
      <c r="BV376" s="56"/>
      <c r="BW376" s="56"/>
      <c r="BX376" s="56"/>
      <c r="BY376" s="56"/>
      <c r="BZ376" s="56"/>
      <c r="CA376" s="56"/>
      <c r="CB376" s="56"/>
      <c r="CC376" s="56"/>
      <c r="CD376" s="56"/>
      <c r="CE376" s="56"/>
      <c r="CF376" s="56"/>
      <c r="CG376" s="56"/>
      <c r="CH376" s="56"/>
      <c r="CI376" s="103">
        <f t="shared" si="116"/>
        <v>3.1950973333333336E-3</v>
      </c>
      <c r="CJ376" s="103">
        <f t="shared" si="117"/>
        <v>-2.4955159072440152</v>
      </c>
      <c r="CK376" s="57">
        <f t="shared" si="132"/>
        <v>894551.43731988233</v>
      </c>
      <c r="CL376" s="160">
        <f t="shared" si="124"/>
        <v>2770670.6693835473</v>
      </c>
      <c r="CM376" s="160"/>
      <c r="CN376" s="160"/>
      <c r="CO376" s="55"/>
      <c r="CP376" s="55" t="s">
        <v>6355</v>
      </c>
      <c r="CQ376" s="149">
        <v>-3.0927986281304038</v>
      </c>
      <c r="CR376" s="349">
        <f>10^(CJ376-CQ376)</f>
        <v>3.9562408314232966</v>
      </c>
      <c r="CS376" s="61" t="s">
        <v>539</v>
      </c>
      <c r="CT376" s="61"/>
      <c r="CU376" s="111">
        <f t="shared" si="135"/>
        <v>596370.1631509756</v>
      </c>
      <c r="CV376" s="331">
        <f t="shared" si="133"/>
        <v>192546.80555018614</v>
      </c>
      <c r="CW376" s="326">
        <f t="shared" si="118"/>
        <v>1</v>
      </c>
      <c r="CX376" s="326" t="s">
        <v>539</v>
      </c>
      <c r="CY376" s="161" t="s">
        <v>5921</v>
      </c>
    </row>
    <row r="377" spans="1:103" ht="11.25" customHeight="1" x14ac:dyDescent="0.2">
      <c r="A377" s="72">
        <v>375</v>
      </c>
      <c r="B377" s="149">
        <v>1012</v>
      </c>
      <c r="C377" s="54" t="s">
        <v>6687</v>
      </c>
      <c r="D377" s="54"/>
      <c r="E377" s="59"/>
      <c r="F377" s="59" t="s">
        <v>2894</v>
      </c>
      <c r="G377" s="151">
        <v>135080034</v>
      </c>
      <c r="H377" s="55" t="s">
        <v>2895</v>
      </c>
      <c r="I377" s="55" t="s">
        <v>7745</v>
      </c>
      <c r="J377" s="55" t="s">
        <v>2896</v>
      </c>
      <c r="K377" s="55" t="s">
        <v>306</v>
      </c>
      <c r="L377" s="55"/>
      <c r="M377" s="55"/>
      <c r="N377" s="60"/>
      <c r="O377" s="55"/>
      <c r="P377" s="67"/>
      <c r="Q377" s="67"/>
      <c r="R377" s="67"/>
      <c r="S377" s="67"/>
      <c r="T377" s="56">
        <v>301.79000000000002</v>
      </c>
      <c r="U377" s="103"/>
      <c r="V377" s="103">
        <v>1.0782332085224825E-3</v>
      </c>
      <c r="W377" s="103">
        <v>3.6307805477010069E-2</v>
      </c>
      <c r="X377" s="103">
        <f>IF(W377=0,V377,W377)</f>
        <v>3.6307805477010069E-2</v>
      </c>
      <c r="Y377" s="162">
        <v>7</v>
      </c>
      <c r="Z377" s="56">
        <v>5.35</v>
      </c>
      <c r="AA377" s="56"/>
      <c r="AB377" s="56">
        <v>3.79</v>
      </c>
      <c r="AC377" s="56">
        <v>0.4133</v>
      </c>
      <c r="AD377" s="56">
        <v>3.43</v>
      </c>
      <c r="AE377" s="56">
        <v>3.14</v>
      </c>
      <c r="AF377" s="56">
        <f t="shared" si="125"/>
        <v>3.43</v>
      </c>
      <c r="AG377" s="57">
        <v>4.05</v>
      </c>
      <c r="AH377" s="103">
        <v>3.9099999999999999E-11</v>
      </c>
      <c r="AI377" s="103"/>
      <c r="AJ377" s="62">
        <f t="shared" si="130"/>
        <v>-8.7963895689167853</v>
      </c>
      <c r="AK377" s="62"/>
      <c r="AL377" s="62">
        <f t="shared" si="131"/>
        <v>-8.7963895689167853</v>
      </c>
      <c r="AM377" s="62">
        <v>-12.697209999999998</v>
      </c>
      <c r="AN377" s="154">
        <v>-8.7799999999999994</v>
      </c>
      <c r="AO377" s="410">
        <v>11.36</v>
      </c>
      <c r="AP377" s="410">
        <v>2.2200000000000002</v>
      </c>
      <c r="AQ377" s="56" t="s">
        <v>6311</v>
      </c>
      <c r="AR377" s="56" t="s">
        <v>6311</v>
      </c>
      <c r="AS377" s="155"/>
      <c r="AT377" s="58" t="s">
        <v>266</v>
      </c>
      <c r="AU377" s="56">
        <v>6</v>
      </c>
      <c r="AV377" s="56">
        <v>120</v>
      </c>
      <c r="AW377" s="56">
        <v>114</v>
      </c>
      <c r="AX377" s="56">
        <v>28</v>
      </c>
      <c r="AY377" s="56" t="s">
        <v>8728</v>
      </c>
      <c r="AZ377" s="56" t="s">
        <v>1563</v>
      </c>
      <c r="BA377" s="56">
        <v>32</v>
      </c>
      <c r="BB377" s="55" t="s">
        <v>2485</v>
      </c>
      <c r="BC377" s="55" t="s">
        <v>8726</v>
      </c>
      <c r="BD377" s="55" t="s">
        <v>8374</v>
      </c>
      <c r="BE377" s="56" t="s">
        <v>2449</v>
      </c>
      <c r="BF377" s="56" t="s">
        <v>272</v>
      </c>
      <c r="BG377" s="56" t="s">
        <v>272</v>
      </c>
      <c r="BH377" s="56" t="s">
        <v>2486</v>
      </c>
      <c r="BI377" s="103">
        <v>6.3999999999999997E-6</v>
      </c>
      <c r="BJ377" s="103">
        <v>6.4000000000000001E-2</v>
      </c>
      <c r="BK377" s="56"/>
      <c r="BL377" s="103">
        <f t="shared" si="134"/>
        <v>8.0531353798063974E-4</v>
      </c>
      <c r="BM377" s="56" t="s">
        <v>2046</v>
      </c>
      <c r="BN377" s="56">
        <v>20.238577029999998</v>
      </c>
      <c r="BO377" s="56"/>
      <c r="BP377" s="56"/>
      <c r="BQ377" s="56"/>
      <c r="BR377" s="55">
        <v>2.0238579999999999E-3</v>
      </c>
      <c r="BS377" s="56"/>
      <c r="BT377" s="56"/>
      <c r="BU377" s="158"/>
      <c r="BV377" s="56"/>
      <c r="BW377" s="56"/>
      <c r="BX377" s="56"/>
      <c r="BY377" s="56"/>
      <c r="BZ377" s="56"/>
      <c r="CA377" s="56"/>
      <c r="CB377" s="56"/>
      <c r="CC377" s="56"/>
      <c r="CD377" s="56"/>
      <c r="CE377" s="56"/>
      <c r="CF377" s="56"/>
      <c r="CG377" s="56"/>
      <c r="CH377" s="56"/>
      <c r="CI377" s="103">
        <f t="shared" si="116"/>
        <v>2.0238579999999999E-3</v>
      </c>
      <c r="CJ377" s="103">
        <f t="shared" si="117"/>
        <v>-2.6938199621780141</v>
      </c>
      <c r="CK377" s="57">
        <f t="shared" si="132"/>
        <v>1.2583024030947496E-2</v>
      </c>
      <c r="CL377" s="160">
        <f t="shared" si="124"/>
        <v>0.39791009941440547</v>
      </c>
      <c r="CM377" s="160"/>
      <c r="CN377" s="160"/>
      <c r="CO377" s="55" t="s">
        <v>2488</v>
      </c>
      <c r="CP377" s="55" t="s">
        <v>2489</v>
      </c>
      <c r="CQ377" s="149" t="s">
        <v>272</v>
      </c>
      <c r="CR377" s="349"/>
      <c r="CS377" s="61" t="s">
        <v>539</v>
      </c>
      <c r="CT377" s="61"/>
      <c r="CU377" s="111">
        <f t="shared" si="135"/>
        <v>17.93989769885539</v>
      </c>
      <c r="CV377" s="331">
        <f t="shared" si="133"/>
        <v>0.56730946057828235</v>
      </c>
      <c r="CW377" s="326">
        <f t="shared" si="118"/>
        <v>1</v>
      </c>
      <c r="CX377" s="326"/>
      <c r="CY377" s="161" t="s">
        <v>5921</v>
      </c>
    </row>
    <row r="378" spans="1:103" ht="11.25" customHeight="1" x14ac:dyDescent="0.2">
      <c r="A378" s="72">
        <v>376</v>
      </c>
      <c r="B378" s="149">
        <v>239</v>
      </c>
      <c r="C378" s="54" t="s">
        <v>1060</v>
      </c>
      <c r="D378" s="54" t="s">
        <v>6688</v>
      </c>
      <c r="E378" s="59"/>
      <c r="F378" s="59" t="s">
        <v>1061</v>
      </c>
      <c r="G378" s="151">
        <v>120116883</v>
      </c>
      <c r="H378" s="55" t="s">
        <v>1062</v>
      </c>
      <c r="I378" s="55" t="s">
        <v>7894</v>
      </c>
      <c r="J378" s="55" t="s">
        <v>1063</v>
      </c>
      <c r="K378" s="55" t="s">
        <v>1064</v>
      </c>
      <c r="L378" s="55" t="s">
        <v>5929</v>
      </c>
      <c r="M378" s="60" t="s">
        <v>2342</v>
      </c>
      <c r="N378" s="60" t="s">
        <v>2342</v>
      </c>
      <c r="O378" s="55"/>
      <c r="P378" s="67"/>
      <c r="Q378" s="67"/>
      <c r="R378" s="67"/>
      <c r="S378" s="67"/>
      <c r="T378" s="56">
        <v>324.79000000000002</v>
      </c>
      <c r="U378" s="103"/>
      <c r="V378" s="103">
        <v>5.2372302102897256E-2</v>
      </c>
      <c r="W378" s="103">
        <v>7.585775750291826E-2</v>
      </c>
      <c r="X378" s="103">
        <f>IF(W378=0,V378,W378)</f>
        <v>7.585775750291826E-2</v>
      </c>
      <c r="Y378" s="162">
        <v>7</v>
      </c>
      <c r="Z378" s="56">
        <v>2.87</v>
      </c>
      <c r="AA378" s="56"/>
      <c r="AB378" s="56">
        <v>1.1299999999999999</v>
      </c>
      <c r="AC378" s="56">
        <v>0.69910000000000005</v>
      </c>
      <c r="AD378" s="56">
        <v>1.33</v>
      </c>
      <c r="AE378" s="56">
        <v>1.76</v>
      </c>
      <c r="AF378" s="56">
        <f t="shared" si="125"/>
        <v>1.33</v>
      </c>
      <c r="AG378" s="57">
        <v>2.79</v>
      </c>
      <c r="AH378" s="103">
        <v>5.2900000000000003E-12</v>
      </c>
      <c r="AI378" s="103"/>
      <c r="AJ378" s="62">
        <f t="shared" si="130"/>
        <v>-9.6651106542774663</v>
      </c>
      <c r="AK378" s="62"/>
      <c r="AL378" s="62">
        <f t="shared" si="131"/>
        <v>-9.6651106542774663</v>
      </c>
      <c r="AM378" s="62">
        <v>-18.323869999999999</v>
      </c>
      <c r="AN378" s="154">
        <v>-3.68</v>
      </c>
      <c r="AO378" s="410"/>
      <c r="AP378" s="410">
        <v>-6.61</v>
      </c>
      <c r="AQ378" s="154" t="s">
        <v>6311</v>
      </c>
      <c r="AR378" s="154" t="s">
        <v>6311</v>
      </c>
      <c r="AS378" s="149" t="s">
        <v>63</v>
      </c>
      <c r="AT378" s="58" t="s">
        <v>266</v>
      </c>
      <c r="AU378" s="56">
        <v>8</v>
      </c>
      <c r="AV378" s="56">
        <v>144</v>
      </c>
      <c r="AW378" s="56">
        <v>120</v>
      </c>
      <c r="AX378" s="56">
        <v>26</v>
      </c>
      <c r="AY378" s="56" t="s">
        <v>267</v>
      </c>
      <c r="AZ378" s="56" t="s">
        <v>268</v>
      </c>
      <c r="BA378" s="56">
        <v>4</v>
      </c>
      <c r="BB378" s="55" t="s">
        <v>888</v>
      </c>
      <c r="BC378" s="55" t="s">
        <v>270</v>
      </c>
      <c r="BD378" s="55" t="s">
        <v>8374</v>
      </c>
      <c r="BE378" s="56" t="s">
        <v>889</v>
      </c>
      <c r="BF378" s="56" t="s">
        <v>272</v>
      </c>
      <c r="BG378" s="56" t="s">
        <v>272</v>
      </c>
      <c r="BH378" s="56" t="s">
        <v>890</v>
      </c>
      <c r="BI378" s="103">
        <v>9.9999999999999995E-7</v>
      </c>
      <c r="BJ378" s="103">
        <v>0.08</v>
      </c>
      <c r="BK378" s="56"/>
      <c r="BL378" s="103">
        <f t="shared" si="134"/>
        <v>0.13591049680871009</v>
      </c>
      <c r="BM378" s="56" t="s">
        <v>891</v>
      </c>
      <c r="BN378" s="162"/>
      <c r="BO378" s="162"/>
      <c r="BP378" s="162"/>
      <c r="BQ378" s="162"/>
      <c r="BR378" s="162"/>
      <c r="BS378" s="172">
        <v>3.1099999999999999E-3</v>
      </c>
      <c r="BT378" s="162"/>
      <c r="BU378" s="173"/>
      <c r="BV378" s="162"/>
      <c r="BW378" s="162"/>
      <c r="BX378" s="162"/>
      <c r="BY378" s="162"/>
      <c r="BZ378" s="162"/>
      <c r="CA378" s="162"/>
      <c r="CB378" s="162"/>
      <c r="CC378" s="172"/>
      <c r="CD378" s="56"/>
      <c r="CE378" s="56"/>
      <c r="CF378" s="56"/>
      <c r="CG378" s="56"/>
      <c r="CH378" s="172"/>
      <c r="CI378" s="103">
        <f t="shared" si="116"/>
        <v>3.1099999999999999E-3</v>
      </c>
      <c r="CJ378" s="103">
        <f t="shared" si="117"/>
        <v>-2.5072396109731625</v>
      </c>
      <c r="CK378" s="57">
        <f t="shared" si="132"/>
        <v>1.6988812101088762</v>
      </c>
      <c r="CL378" s="160">
        <f t="shared" si="124"/>
        <v>43.701124375791025</v>
      </c>
      <c r="CM378" s="160">
        <v>-3.8769395938726521</v>
      </c>
      <c r="CN378" s="160">
        <f>BJ378/(10^CM378)</f>
        <v>602.6006292865319</v>
      </c>
      <c r="CO378" s="55" t="s">
        <v>892</v>
      </c>
      <c r="CP378" s="55" t="s">
        <v>893</v>
      </c>
      <c r="CQ378" s="149">
        <v>-3.8769395938726521</v>
      </c>
      <c r="CR378" s="349">
        <f>10^(CJ378-CQ378)</f>
        <v>23.426099463513896</v>
      </c>
      <c r="CS378" s="61" t="s">
        <v>539</v>
      </c>
      <c r="CT378" s="61"/>
      <c r="CU378" s="111">
        <f t="shared" si="135"/>
        <v>24.391561898044458</v>
      </c>
      <c r="CV378" s="331">
        <f t="shared" si="133"/>
        <v>0.94822196878647824</v>
      </c>
      <c r="CW378" s="326">
        <f t="shared" si="118"/>
        <v>1</v>
      </c>
      <c r="CX378" s="326" t="s">
        <v>539</v>
      </c>
      <c r="CY378" s="161" t="s">
        <v>5921</v>
      </c>
    </row>
    <row r="379" spans="1:103" ht="11.25" customHeight="1" x14ac:dyDescent="0.2">
      <c r="A379" s="72">
        <v>377</v>
      </c>
      <c r="B379" s="149">
        <v>1089</v>
      </c>
      <c r="C379" s="54" t="s">
        <v>6689</v>
      </c>
      <c r="D379" s="54"/>
      <c r="E379" s="59"/>
      <c r="F379" s="59" t="s">
        <v>3048</v>
      </c>
      <c r="G379" s="151">
        <v>139340560</v>
      </c>
      <c r="H379" s="55" t="s">
        <v>3049</v>
      </c>
      <c r="I379" s="55" t="s">
        <v>7779</v>
      </c>
      <c r="J379" s="55" t="s">
        <v>3050</v>
      </c>
      <c r="K379" s="55" t="s">
        <v>3051</v>
      </c>
      <c r="L379" s="55"/>
      <c r="M379" s="55"/>
      <c r="N379" s="60"/>
      <c r="O379" s="55"/>
      <c r="P379" s="67"/>
      <c r="Q379" s="67"/>
      <c r="R379" s="67"/>
      <c r="S379" s="67"/>
      <c r="T379" s="56">
        <v>323.43</v>
      </c>
      <c r="U379" s="103"/>
      <c r="V379" s="103">
        <v>5.1881396283585317E-4</v>
      </c>
      <c r="W379" s="103">
        <v>1.0471285480508979E-3</v>
      </c>
      <c r="X379" s="103">
        <f>IF(W379=0,V379,W379)</f>
        <v>1.0471285480508979E-3</v>
      </c>
      <c r="Y379" s="162">
        <v>6.8</v>
      </c>
      <c r="Z379" s="56">
        <v>6.21</v>
      </c>
      <c r="AA379" s="56"/>
      <c r="AB379" s="56">
        <v>4.97</v>
      </c>
      <c r="AC379" s="56">
        <v>0.63619999999999999</v>
      </c>
      <c r="AD379" s="56">
        <v>5.88</v>
      </c>
      <c r="AE379" s="56">
        <v>7.29</v>
      </c>
      <c r="AF379" s="56">
        <f t="shared" si="125"/>
        <v>5.88</v>
      </c>
      <c r="AG379" s="57">
        <v>5.9</v>
      </c>
      <c r="AH379" s="103">
        <v>4.4500000000000002E-13</v>
      </c>
      <c r="AI379" s="103"/>
      <c r="AJ379" s="62">
        <f t="shared" si="130"/>
        <v>-10.74020631533172</v>
      </c>
      <c r="AK379" s="62"/>
      <c r="AL379" s="62">
        <f t="shared" si="131"/>
        <v>-10.74020631533172</v>
      </c>
      <c r="AM379" s="62">
        <v>-13.490129999999999</v>
      </c>
      <c r="AN379" s="154">
        <v>-8.35</v>
      </c>
      <c r="AO379" s="410">
        <v>8.07</v>
      </c>
      <c r="AP379" s="410">
        <v>0.73</v>
      </c>
      <c r="AQ379" s="56" t="s">
        <v>6311</v>
      </c>
      <c r="AR379" s="56" t="s">
        <v>6311</v>
      </c>
      <c r="AS379" s="155"/>
      <c r="AT379" s="58" t="s">
        <v>266</v>
      </c>
      <c r="AU379" s="56">
        <v>6</v>
      </c>
      <c r="AV379" s="56">
        <v>120</v>
      </c>
      <c r="AW379" s="56">
        <v>114</v>
      </c>
      <c r="AX379" s="56">
        <v>28</v>
      </c>
      <c r="AY379" s="56" t="s">
        <v>8728</v>
      </c>
      <c r="AZ379" s="56" t="s">
        <v>1563</v>
      </c>
      <c r="BA379" s="56">
        <v>32</v>
      </c>
      <c r="BB379" s="55" t="s">
        <v>2485</v>
      </c>
      <c r="BC379" s="55" t="s">
        <v>8726</v>
      </c>
      <c r="BD379" s="55" t="s">
        <v>8374</v>
      </c>
      <c r="BE379" s="56" t="s">
        <v>2449</v>
      </c>
      <c r="BF379" s="56" t="s">
        <v>272</v>
      </c>
      <c r="BG379" s="56" t="s">
        <v>272</v>
      </c>
      <c r="BH379" s="56" t="s">
        <v>2486</v>
      </c>
      <c r="BI379" s="103">
        <v>6.3999999999999997E-6</v>
      </c>
      <c r="BJ379" s="103">
        <v>6.4000000000000001E-2</v>
      </c>
      <c r="BK379" s="56"/>
      <c r="BL379" s="103">
        <f t="shared" si="134"/>
        <v>1.3601881909030129E-4</v>
      </c>
      <c r="BM379" s="56" t="s">
        <v>2487</v>
      </c>
      <c r="BN379" s="56"/>
      <c r="BO379" s="56"/>
      <c r="BP379" s="56"/>
      <c r="BQ379" s="56"/>
      <c r="BR379" s="55">
        <v>2.0238577000000001E-2</v>
      </c>
      <c r="BS379" s="56"/>
      <c r="BT379" s="56"/>
      <c r="BU379" s="158"/>
      <c r="BV379" s="56"/>
      <c r="BW379" s="56"/>
      <c r="BX379" s="56"/>
      <c r="BY379" s="56"/>
      <c r="BZ379" s="56"/>
      <c r="CA379" s="56"/>
      <c r="CB379" s="56"/>
      <c r="CC379" s="56"/>
      <c r="CD379" s="56"/>
      <c r="CE379" s="56"/>
      <c r="CF379" s="56"/>
      <c r="CG379" s="56"/>
      <c r="CH379" s="56"/>
      <c r="CI379" s="103">
        <f t="shared" si="116"/>
        <v>2.0238577000000001E-2</v>
      </c>
      <c r="CJ379" s="103">
        <f t="shared" si="117"/>
        <v>-1.6938200265542473</v>
      </c>
      <c r="CK379" s="57">
        <f t="shared" si="132"/>
        <v>2.1252940482859575E-3</v>
      </c>
      <c r="CL379" s="160">
        <f t="shared" si="124"/>
        <v>6.7207698985112087E-3</v>
      </c>
      <c r="CM379" s="160"/>
      <c r="CN379" s="160"/>
      <c r="CO379" s="55" t="s">
        <v>2488</v>
      </c>
      <c r="CP379" s="55" t="s">
        <v>2489</v>
      </c>
      <c r="CQ379" s="149" t="s">
        <v>272</v>
      </c>
      <c r="CR379" s="349"/>
      <c r="CS379" s="61" t="s">
        <v>539</v>
      </c>
      <c r="CT379" s="61"/>
      <c r="CU379" s="111">
        <f t="shared" si="135"/>
        <v>5.1739237795764885E-2</v>
      </c>
      <c r="CV379" s="331">
        <f t="shared" si="133"/>
        <v>1.6361383563295279E-2</v>
      </c>
      <c r="CW379" s="326">
        <f t="shared" si="118"/>
        <v>0</v>
      </c>
      <c r="CX379" s="326"/>
      <c r="CY379" s="161" t="s">
        <v>5921</v>
      </c>
    </row>
    <row r="380" spans="1:103" ht="11.25" customHeight="1" x14ac:dyDescent="0.2">
      <c r="A380" s="72">
        <v>378</v>
      </c>
      <c r="B380" s="149">
        <v>688</v>
      </c>
      <c r="C380" s="54" t="s">
        <v>6690</v>
      </c>
      <c r="D380" s="54" t="s">
        <v>6691</v>
      </c>
      <c r="E380" s="59"/>
      <c r="F380" s="59" t="s">
        <v>1986</v>
      </c>
      <c r="G380" s="151">
        <v>105760</v>
      </c>
      <c r="H380" s="55" t="s">
        <v>1987</v>
      </c>
      <c r="I380" s="55" t="s">
        <v>1987</v>
      </c>
      <c r="J380" s="55" t="s">
        <v>1988</v>
      </c>
      <c r="K380" s="55" t="s">
        <v>357</v>
      </c>
      <c r="L380" s="55"/>
      <c r="M380" s="55" t="s">
        <v>6624</v>
      </c>
      <c r="N380" s="60" t="s">
        <v>6088</v>
      </c>
      <c r="O380" s="55"/>
      <c r="P380" s="67" t="s">
        <v>6172</v>
      </c>
      <c r="Q380" s="67" t="s">
        <v>6173</v>
      </c>
      <c r="R380" s="67" t="s">
        <v>6175</v>
      </c>
      <c r="S380" s="67" t="s">
        <v>6176</v>
      </c>
      <c r="T380" s="56">
        <v>228.28</v>
      </c>
      <c r="U380" s="103">
        <v>2.1902926230944453</v>
      </c>
      <c r="V380" s="103">
        <v>3.8150516909059046E-2</v>
      </c>
      <c r="W380" s="103">
        <v>0.8317637711026703</v>
      </c>
      <c r="X380" s="103">
        <v>2.1902926230944453</v>
      </c>
      <c r="Y380" s="162">
        <v>7</v>
      </c>
      <c r="Z380" s="56">
        <v>4.16</v>
      </c>
      <c r="AA380" s="56"/>
      <c r="AB380" s="56">
        <v>2.61</v>
      </c>
      <c r="AC380" s="56">
        <v>0.73299999999999998</v>
      </c>
      <c r="AD380" s="56">
        <v>3.04</v>
      </c>
      <c r="AE380" s="56">
        <v>3.81</v>
      </c>
      <c r="AF380" s="56">
        <f t="shared" si="125"/>
        <v>3.04</v>
      </c>
      <c r="AG380" s="57">
        <v>2.89</v>
      </c>
      <c r="AH380" s="103">
        <v>7.5799999999999998E-7</v>
      </c>
      <c r="AI380" s="103">
        <v>3.7399999999999999E-7</v>
      </c>
      <c r="AJ380" s="62">
        <f t="shared" si="130"/>
        <v>-4.5088971206805981</v>
      </c>
      <c r="AK380" s="62">
        <f>LOG10(AI380*1000/(0.08206*298.15))</f>
        <v>-4.8156947241121717</v>
      </c>
      <c r="AL380" s="62">
        <f t="shared" si="131"/>
        <v>-4.8156947241121717</v>
      </c>
      <c r="AM380" s="62">
        <v>-7.2245500000000007</v>
      </c>
      <c r="AN380" s="154">
        <v>-3.96</v>
      </c>
      <c r="AO380" s="410"/>
      <c r="AP380" s="410"/>
      <c r="AQ380" s="154" t="s">
        <v>6311</v>
      </c>
      <c r="AR380" s="154" t="s">
        <v>6312</v>
      </c>
      <c r="AS380" s="149" t="s">
        <v>6</v>
      </c>
      <c r="AT380" s="58" t="s">
        <v>266</v>
      </c>
      <c r="AU380" s="56">
        <v>2</v>
      </c>
      <c r="AV380" s="56">
        <v>96</v>
      </c>
      <c r="AW380" s="56">
        <v>96</v>
      </c>
      <c r="AX380" s="56">
        <v>26</v>
      </c>
      <c r="AY380" s="56" t="s">
        <v>6360</v>
      </c>
      <c r="AZ380" s="56" t="s">
        <v>536</v>
      </c>
      <c r="BA380" s="56">
        <v>20</v>
      </c>
      <c r="BB380" s="55" t="s">
        <v>1764</v>
      </c>
      <c r="BC380" s="55" t="s">
        <v>6372</v>
      </c>
      <c r="BD380" s="55"/>
      <c r="BE380" s="56" t="s">
        <v>6361</v>
      </c>
      <c r="BF380" s="56" t="s">
        <v>1974</v>
      </c>
      <c r="BG380" s="56" t="s">
        <v>1974</v>
      </c>
      <c r="BH380" s="56" t="s">
        <v>272</v>
      </c>
      <c r="BI380" s="56">
        <f>0.25/228.28</f>
        <v>1.0951463115472227E-3</v>
      </c>
      <c r="BJ380" s="56">
        <f>4/228.28</f>
        <v>1.7522340984755563E-2</v>
      </c>
      <c r="BK380" s="56" t="s">
        <v>6362</v>
      </c>
      <c r="BL380" s="103">
        <f t="shared" si="134"/>
        <v>9.4341765648075435E-3</v>
      </c>
      <c r="BM380" s="56" t="s">
        <v>541</v>
      </c>
      <c r="BN380" s="56"/>
      <c r="BO380" s="56">
        <f>1.38/228.28</f>
        <v>6.0452076397406688E-3</v>
      </c>
      <c r="BP380" s="56"/>
      <c r="BQ380" s="56">
        <f>0.7/228.28</f>
        <v>3.0664096723322233E-3</v>
      </c>
      <c r="BR380" s="56"/>
      <c r="BS380" s="56"/>
      <c r="BT380" s="56"/>
      <c r="BU380" s="158"/>
      <c r="BV380" s="56"/>
      <c r="BW380" s="56"/>
      <c r="BX380" s="56"/>
      <c r="BY380" s="56"/>
      <c r="BZ380" s="56"/>
      <c r="CA380" s="56"/>
      <c r="CB380" s="56"/>
      <c r="CC380" s="56"/>
      <c r="CD380" s="56"/>
      <c r="CE380" s="56"/>
      <c r="CF380" s="56"/>
      <c r="CG380" s="56"/>
      <c r="CH380" s="56"/>
      <c r="CI380" s="103">
        <f t="shared" si="116"/>
        <v>3.0664096723322233E-3</v>
      </c>
      <c r="CJ380" s="103">
        <f t="shared" si="117"/>
        <v>-2.5133698238626638</v>
      </c>
      <c r="CK380" s="57">
        <f t="shared" si="132"/>
        <v>0.53840845655356651</v>
      </c>
      <c r="CL380" s="160">
        <f t="shared" si="124"/>
        <v>3.0766197517346661</v>
      </c>
      <c r="CM380" s="160"/>
      <c r="CN380" s="160"/>
      <c r="CO380" s="55"/>
      <c r="CP380" s="55" t="s">
        <v>6355</v>
      </c>
      <c r="CQ380" s="149">
        <v>-2.4298016156612863</v>
      </c>
      <c r="CR380" s="349">
        <f>10^(CJ380-CQ380)</f>
        <v>0.82495791138430508</v>
      </c>
      <c r="CS380" s="61" t="s">
        <v>539</v>
      </c>
      <c r="CT380" s="61" t="s">
        <v>6310</v>
      </c>
      <c r="CU380" s="111">
        <f t="shared" si="135"/>
        <v>714.28571428571433</v>
      </c>
      <c r="CV380" s="331">
        <f t="shared" si="133"/>
        <v>125</v>
      </c>
      <c r="CW380" s="326">
        <f t="shared" si="118"/>
        <v>1</v>
      </c>
      <c r="CX380" s="326" t="s">
        <v>539</v>
      </c>
      <c r="CY380" s="161" t="s">
        <v>6351</v>
      </c>
    </row>
    <row r="381" spans="1:103" ht="11.25" customHeight="1" x14ac:dyDescent="0.2">
      <c r="A381" s="72">
        <v>379</v>
      </c>
      <c r="B381" s="149">
        <v>330</v>
      </c>
      <c r="C381" s="54" t="s">
        <v>1266</v>
      </c>
      <c r="D381" s="54" t="s">
        <v>6518</v>
      </c>
      <c r="E381" s="59"/>
      <c r="F381" s="59" t="s">
        <v>1267</v>
      </c>
      <c r="G381" s="151">
        <v>35554440</v>
      </c>
      <c r="H381" s="55" t="s">
        <v>1268</v>
      </c>
      <c r="I381" s="55" t="s">
        <v>8314</v>
      </c>
      <c r="J381" s="55" t="s">
        <v>1269</v>
      </c>
      <c r="K381" s="55" t="s">
        <v>1270</v>
      </c>
      <c r="L381" s="55" t="s">
        <v>5990</v>
      </c>
      <c r="M381" s="60" t="s">
        <v>2342</v>
      </c>
      <c r="N381" s="60" t="s">
        <v>2342</v>
      </c>
      <c r="O381" s="55"/>
      <c r="P381" s="67"/>
      <c r="Q381" s="67"/>
      <c r="R381" s="67"/>
      <c r="S381" s="67"/>
      <c r="T381" s="56">
        <v>297.18</v>
      </c>
      <c r="U381" s="103">
        <v>0.60569351907934588</v>
      </c>
      <c r="V381" s="103">
        <v>2.3453799044350226E-2</v>
      </c>
      <c r="W381" s="103">
        <v>0.69183097091893575</v>
      </c>
      <c r="X381" s="103">
        <v>0.60569351907934588</v>
      </c>
      <c r="Y381" s="162">
        <v>8.7899999999999991</v>
      </c>
      <c r="Z381" s="56">
        <v>4.0999999999999996</v>
      </c>
      <c r="AA381" s="56">
        <v>3.82</v>
      </c>
      <c r="AB381" s="56">
        <v>4.1399999999999997</v>
      </c>
      <c r="AC381" s="56">
        <v>0.87649999999999995</v>
      </c>
      <c r="AD381" s="56">
        <v>4.03</v>
      </c>
      <c r="AE381" s="56">
        <v>3.58</v>
      </c>
      <c r="AF381" s="56">
        <f t="shared" si="125"/>
        <v>3.82</v>
      </c>
      <c r="AG381" s="57">
        <v>3.69</v>
      </c>
      <c r="AH381" s="103">
        <v>7.2499999999999994E-8</v>
      </c>
      <c r="AI381" s="103">
        <v>2.5899999999999999E-9</v>
      </c>
      <c r="AJ381" s="62">
        <f t="shared" si="130"/>
        <v>-5.5282283197416584</v>
      </c>
      <c r="AK381" s="62">
        <f>LOG10(AI381*1000/(0.08206*298.15))</f>
        <v>-6.9752665622313996</v>
      </c>
      <c r="AL381" s="62">
        <f t="shared" si="131"/>
        <v>-6.9752665622313996</v>
      </c>
      <c r="AM381" s="62">
        <v>-11.007019999999999</v>
      </c>
      <c r="AN381" s="154">
        <v>-7.54</v>
      </c>
      <c r="AO381" s="410"/>
      <c r="AP381" s="410">
        <v>6.74</v>
      </c>
      <c r="AQ381" s="154" t="s">
        <v>6311</v>
      </c>
      <c r="AR381" s="154" t="s">
        <v>6311</v>
      </c>
      <c r="AS381" s="149" t="s">
        <v>6</v>
      </c>
      <c r="AT381" s="58" t="s">
        <v>266</v>
      </c>
      <c r="AU381" s="56">
        <v>8</v>
      </c>
      <c r="AV381" s="56">
        <v>144</v>
      </c>
      <c r="AW381" s="56">
        <v>120</v>
      </c>
      <c r="AX381" s="56">
        <v>26</v>
      </c>
      <c r="AY381" s="56" t="s">
        <v>267</v>
      </c>
      <c r="AZ381" s="56" t="s">
        <v>268</v>
      </c>
      <c r="BA381" s="56">
        <v>3</v>
      </c>
      <c r="BB381" s="55" t="s">
        <v>888</v>
      </c>
      <c r="BC381" s="55" t="s">
        <v>270</v>
      </c>
      <c r="BD381" s="55" t="s">
        <v>8374</v>
      </c>
      <c r="BE381" s="56" t="s">
        <v>889</v>
      </c>
      <c r="BF381" s="56" t="s">
        <v>272</v>
      </c>
      <c r="BG381" s="56" t="s">
        <v>272</v>
      </c>
      <c r="BH381" s="56" t="s">
        <v>890</v>
      </c>
      <c r="BI381" s="103">
        <v>9.9999999999999995E-7</v>
      </c>
      <c r="BJ381" s="103">
        <v>0.08</v>
      </c>
      <c r="BK381" s="56"/>
      <c r="BL381" s="103">
        <f t="shared" si="134"/>
        <v>1.0680461036401821E-2</v>
      </c>
      <c r="BM381" s="56" t="s">
        <v>891</v>
      </c>
      <c r="BN381" s="162"/>
      <c r="BO381" s="162"/>
      <c r="BP381" s="162"/>
      <c r="BQ381" s="162"/>
      <c r="BR381" s="162"/>
      <c r="BS381" s="56">
        <v>3.0600000000000002E-3</v>
      </c>
      <c r="BT381" s="162"/>
      <c r="BU381" s="158"/>
      <c r="BV381" s="162"/>
      <c r="BW381" s="162"/>
      <c r="BX381" s="162"/>
      <c r="BY381" s="162"/>
      <c r="BZ381" s="162"/>
      <c r="CA381" s="162"/>
      <c r="CB381" s="162"/>
      <c r="CC381" s="56"/>
      <c r="CD381" s="56"/>
      <c r="CE381" s="56"/>
      <c r="CF381" s="56"/>
      <c r="CG381" s="56"/>
      <c r="CH381" s="56"/>
      <c r="CI381" s="103">
        <f t="shared" si="116"/>
        <v>3.0600000000000002E-3</v>
      </c>
      <c r="CJ381" s="103">
        <f t="shared" si="117"/>
        <v>-2.5142785735184199</v>
      </c>
      <c r="CK381" s="57">
        <f t="shared" si="132"/>
        <v>0.13350576295502276</v>
      </c>
      <c r="CL381" s="160">
        <f t="shared" si="124"/>
        <v>3.4903467439221636</v>
      </c>
      <c r="CM381" s="160">
        <v>-2.2373737228366304</v>
      </c>
      <c r="CN381" s="160">
        <f>BJ381/(10^CM381)</f>
        <v>13.818589312755288</v>
      </c>
      <c r="CO381" s="55" t="s">
        <v>892</v>
      </c>
      <c r="CP381" s="55" t="s">
        <v>893</v>
      </c>
      <c r="CQ381" s="149">
        <v>-2.115598042784204</v>
      </c>
      <c r="CR381" s="349">
        <f>10^(CJ381-CQ381)</f>
        <v>0.39931853512855464</v>
      </c>
      <c r="CS381" s="61" t="s">
        <v>539</v>
      </c>
      <c r="CT381" s="61"/>
      <c r="CU381" s="111">
        <f t="shared" si="135"/>
        <v>197.93905852266204</v>
      </c>
      <c r="CV381" s="331">
        <f t="shared" si="133"/>
        <v>7.5711689884918236</v>
      </c>
      <c r="CW381" s="326">
        <f t="shared" si="118"/>
        <v>1</v>
      </c>
      <c r="CX381" s="326" t="s">
        <v>539</v>
      </c>
      <c r="CY381" s="161" t="s">
        <v>5921</v>
      </c>
    </row>
    <row r="382" spans="1:103" ht="11.25" customHeight="1" x14ac:dyDescent="0.2">
      <c r="A382" s="72">
        <v>380</v>
      </c>
      <c r="B382" s="149">
        <v>2073</v>
      </c>
      <c r="C382" s="54" t="s">
        <v>6692</v>
      </c>
      <c r="D382" s="54"/>
      <c r="E382" s="59"/>
      <c r="F382" s="167" t="s">
        <v>5706</v>
      </c>
      <c r="G382" s="151">
        <v>145572447</v>
      </c>
      <c r="H382" s="67" t="s">
        <v>5707</v>
      </c>
      <c r="I382" s="67" t="s">
        <v>8338</v>
      </c>
      <c r="J382" s="67" t="s">
        <v>5708</v>
      </c>
      <c r="K382" s="67" t="s">
        <v>4241</v>
      </c>
      <c r="L382" s="67"/>
      <c r="M382" s="67"/>
      <c r="N382" s="60"/>
      <c r="O382" s="67"/>
      <c r="P382" s="67"/>
      <c r="Q382" s="67"/>
      <c r="R382" s="67"/>
      <c r="S382" s="67"/>
      <c r="T382" s="61">
        <v>246.17</v>
      </c>
      <c r="U382" s="111"/>
      <c r="V382" s="111">
        <v>5.2890279075435673</v>
      </c>
      <c r="W382" s="111">
        <v>2.2908676527677714</v>
      </c>
      <c r="X382" s="111">
        <f>IF(W382=0,V382,W382)</f>
        <v>2.2908676527677714</v>
      </c>
      <c r="Y382" s="411">
        <v>10.36</v>
      </c>
      <c r="Z382" s="61">
        <v>1.5</v>
      </c>
      <c r="AA382" s="61"/>
      <c r="AB382" s="61">
        <v>2.98</v>
      </c>
      <c r="AC382" s="61">
        <v>0.28839999999999999</v>
      </c>
      <c r="AD382" s="61">
        <v>1.87</v>
      </c>
      <c r="AE382" s="61">
        <v>1.37</v>
      </c>
      <c r="AF382" s="61">
        <f t="shared" si="125"/>
        <v>1.87</v>
      </c>
      <c r="AG382" s="62">
        <v>1.87</v>
      </c>
      <c r="AH382" s="111">
        <v>6.0699999999999998E-12</v>
      </c>
      <c r="AI382" s="111"/>
      <c r="AJ382" s="62">
        <f t="shared" si="130"/>
        <v>-9.6053776352373941</v>
      </c>
      <c r="AK382" s="62"/>
      <c r="AL382" s="62">
        <f t="shared" si="131"/>
        <v>-9.6053776352373941</v>
      </c>
      <c r="AM382" s="62">
        <v>-12.65137</v>
      </c>
      <c r="AN382" s="163"/>
      <c r="AO382" s="410"/>
      <c r="AP382" s="410">
        <v>9.59</v>
      </c>
      <c r="AQ382" s="163" t="s">
        <v>6311</v>
      </c>
      <c r="AR382" s="163" t="s">
        <v>6311</v>
      </c>
      <c r="AS382" s="164" t="s">
        <v>5466</v>
      </c>
      <c r="AT382" s="63" t="s">
        <v>266</v>
      </c>
      <c r="AU382" s="61">
        <v>0</v>
      </c>
      <c r="AV382" s="61">
        <v>96</v>
      </c>
      <c r="AW382" s="61">
        <v>96</v>
      </c>
      <c r="AX382" s="61">
        <v>26</v>
      </c>
      <c r="AY382" s="61" t="s">
        <v>267</v>
      </c>
      <c r="AZ382" s="61" t="s">
        <v>5671</v>
      </c>
      <c r="BA382" s="61">
        <v>20</v>
      </c>
      <c r="BB382" s="67" t="s">
        <v>5487</v>
      </c>
      <c r="BC382" s="67" t="s">
        <v>5494</v>
      </c>
      <c r="BD382" s="67"/>
      <c r="BE382" s="61" t="s">
        <v>5598</v>
      </c>
      <c r="BF382" s="61" t="s">
        <v>5681</v>
      </c>
      <c r="BG382" s="61"/>
      <c r="BH382" s="61"/>
      <c r="BI382" s="111">
        <v>0.122</v>
      </c>
      <c r="BJ382" s="111">
        <v>0.73099999999999998</v>
      </c>
      <c r="BK382" s="165"/>
      <c r="BL382" s="111">
        <f t="shared" si="134"/>
        <v>2.3102022367248067</v>
      </c>
      <c r="BM382" s="61"/>
      <c r="BN382" s="61"/>
      <c r="BO382" s="61"/>
      <c r="BP382" s="61"/>
      <c r="BQ382" s="61">
        <v>0.67433074699999995</v>
      </c>
      <c r="BR382" s="61"/>
      <c r="BS382" s="61"/>
      <c r="BT382" s="61"/>
      <c r="BU382" s="158"/>
      <c r="BV382" s="61"/>
      <c r="BW382" s="61"/>
      <c r="BX382" s="61"/>
      <c r="BY382" s="61"/>
      <c r="BZ382" s="61"/>
      <c r="CA382" s="61"/>
      <c r="CB382" s="61"/>
      <c r="CC382" s="61"/>
      <c r="CD382" s="61"/>
      <c r="CE382" s="61"/>
      <c r="CF382" s="61"/>
      <c r="CG382" s="61"/>
      <c r="CH382" s="61"/>
      <c r="CI382" s="111">
        <f t="shared" si="116"/>
        <v>0.67433074699999995</v>
      </c>
      <c r="CJ382" s="103">
        <f t="shared" si="117"/>
        <v>-0.17112703764205953</v>
      </c>
      <c r="CK382" s="57">
        <f t="shared" si="132"/>
        <v>3.160331377188518</v>
      </c>
      <c r="CL382" s="160">
        <f t="shared" si="124"/>
        <v>3.4259185822425606</v>
      </c>
      <c r="CM382" s="160"/>
      <c r="CN382" s="160"/>
      <c r="CO382" s="67" t="s">
        <v>5494</v>
      </c>
      <c r="CP382" s="67" t="s">
        <v>5705</v>
      </c>
      <c r="CQ382" s="149" t="s">
        <v>272</v>
      </c>
      <c r="CR382" s="349"/>
      <c r="CS382" s="61" t="s">
        <v>539</v>
      </c>
      <c r="CT382" s="61"/>
      <c r="CU382" s="111">
        <f t="shared" si="135"/>
        <v>3.397246326019554</v>
      </c>
      <c r="CV382" s="331">
        <f t="shared" si="133"/>
        <v>3.1338818779312878</v>
      </c>
      <c r="CW382" s="326">
        <f t="shared" si="118"/>
        <v>1</v>
      </c>
      <c r="CX382" s="326" t="s">
        <v>539</v>
      </c>
      <c r="CY382" s="161" t="s">
        <v>5921</v>
      </c>
    </row>
    <row r="383" spans="1:103" ht="11.25" customHeight="1" x14ac:dyDescent="0.2">
      <c r="A383" s="72">
        <v>381</v>
      </c>
      <c r="B383" s="149">
        <v>880</v>
      </c>
      <c r="C383" s="54" t="s">
        <v>6693</v>
      </c>
      <c r="D383" s="54"/>
      <c r="E383" s="59"/>
      <c r="F383" s="59" t="s">
        <v>2500</v>
      </c>
      <c r="G383" s="151">
        <v>145742285</v>
      </c>
      <c r="H383" s="55" t="s">
        <v>2501</v>
      </c>
      <c r="I383" s="55" t="s">
        <v>7842</v>
      </c>
      <c r="J383" s="55" t="s">
        <v>2502</v>
      </c>
      <c r="K383" s="55" t="s">
        <v>2503</v>
      </c>
      <c r="L383" s="55"/>
      <c r="M383" s="55"/>
      <c r="N383" s="60"/>
      <c r="O383" s="55"/>
      <c r="P383" s="67"/>
      <c r="Q383" s="67"/>
      <c r="R383" s="67"/>
      <c r="S383" s="67"/>
      <c r="T383" s="56">
        <v>556.63</v>
      </c>
      <c r="U383" s="103"/>
      <c r="V383" s="103">
        <v>1.7437076693674434E-3</v>
      </c>
      <c r="W383" s="103">
        <v>4.7863009232263715E-3</v>
      </c>
      <c r="X383" s="103">
        <f>IF(W383=0,V383,W383)</f>
        <v>4.7863009232263715E-3</v>
      </c>
      <c r="Y383" s="162">
        <v>8.44</v>
      </c>
      <c r="Z383" s="56">
        <v>1.7</v>
      </c>
      <c r="AA383" s="56"/>
      <c r="AB383" s="56">
        <v>1.74</v>
      </c>
      <c r="AC383" s="56">
        <v>0.54339999999999999</v>
      </c>
      <c r="AD383" s="56">
        <v>2.34</v>
      </c>
      <c r="AE383" s="56">
        <v>3.29</v>
      </c>
      <c r="AF383" s="56">
        <f t="shared" si="125"/>
        <v>2.34</v>
      </c>
      <c r="AG383" s="57">
        <v>3.24</v>
      </c>
      <c r="AH383" s="103">
        <v>2.3300000000000001E-17</v>
      </c>
      <c r="AI383" s="103"/>
      <c r="AJ383" s="62">
        <f t="shared" si="130"/>
        <v>-15.021210405286633</v>
      </c>
      <c r="AK383" s="62"/>
      <c r="AL383" s="62">
        <f t="shared" si="131"/>
        <v>-15.021210405286633</v>
      </c>
      <c r="AM383" s="62">
        <v>-31.679770000000001</v>
      </c>
      <c r="AN383" s="154">
        <v>-31.6</v>
      </c>
      <c r="AO383" s="410"/>
      <c r="AP383" s="410">
        <v>8.64</v>
      </c>
      <c r="AQ383" s="56" t="s">
        <v>6311</v>
      </c>
      <c r="AR383" s="56" t="s">
        <v>6311</v>
      </c>
      <c r="AS383" s="155"/>
      <c r="AT383" s="58" t="s">
        <v>266</v>
      </c>
      <c r="AU383" s="56">
        <v>6</v>
      </c>
      <c r="AV383" s="56">
        <v>120</v>
      </c>
      <c r="AW383" s="56">
        <v>114</v>
      </c>
      <c r="AX383" s="56">
        <v>28</v>
      </c>
      <c r="AY383" s="56" t="s">
        <v>8728</v>
      </c>
      <c r="AZ383" s="56" t="s">
        <v>1563</v>
      </c>
      <c r="BA383" s="56">
        <v>32</v>
      </c>
      <c r="BB383" s="55" t="s">
        <v>2485</v>
      </c>
      <c r="BC383" s="55" t="s">
        <v>8726</v>
      </c>
      <c r="BD383" s="55" t="s">
        <v>8374</v>
      </c>
      <c r="BE383" s="56" t="s">
        <v>2449</v>
      </c>
      <c r="BF383" s="56" t="s">
        <v>272</v>
      </c>
      <c r="BG383" s="56" t="s">
        <v>272</v>
      </c>
      <c r="BH383" s="56" t="s">
        <v>2486</v>
      </c>
      <c r="BI383" s="103">
        <v>6.3999999999999997E-6</v>
      </c>
      <c r="BJ383" s="103">
        <v>6.4000000000000001E-2</v>
      </c>
      <c r="BK383" s="56"/>
      <c r="BL383" s="103">
        <f t="shared" si="134"/>
        <v>1.5276715824077349</v>
      </c>
      <c r="BM383" s="56" t="s">
        <v>2046</v>
      </c>
      <c r="BN383" s="56"/>
      <c r="BO383" s="56"/>
      <c r="BP383" s="56"/>
      <c r="BQ383" s="56"/>
      <c r="BR383" s="55">
        <v>2.0238577000000001E-2</v>
      </c>
      <c r="BS383" s="56"/>
      <c r="BT383" s="56"/>
      <c r="BU383" s="158"/>
      <c r="BV383" s="56"/>
      <c r="BW383" s="56"/>
      <c r="BX383" s="56"/>
      <c r="BY383" s="56"/>
      <c r="BZ383" s="56"/>
      <c r="CA383" s="56"/>
      <c r="CB383" s="56"/>
      <c r="CC383" s="56"/>
      <c r="CD383" s="56"/>
      <c r="CE383" s="56"/>
      <c r="CF383" s="56"/>
      <c r="CG383" s="56"/>
      <c r="CH383" s="56"/>
      <c r="CI383" s="103">
        <f t="shared" si="116"/>
        <v>2.0238577000000001E-2</v>
      </c>
      <c r="CJ383" s="103">
        <f t="shared" si="117"/>
        <v>-1.6938200265542473</v>
      </c>
      <c r="CK383" s="57">
        <f t="shared" si="132"/>
        <v>23.869868475120857</v>
      </c>
      <c r="CL383" s="160">
        <f t="shared" si="124"/>
        <v>75.483151923563341</v>
      </c>
      <c r="CM383" s="160"/>
      <c r="CN383" s="160"/>
      <c r="CO383" s="55" t="s">
        <v>2488</v>
      </c>
      <c r="CP383" s="55" t="s">
        <v>2489</v>
      </c>
      <c r="CQ383" s="149" t="s">
        <v>272</v>
      </c>
      <c r="CR383" s="349"/>
      <c r="CS383" s="61" t="s">
        <v>539</v>
      </c>
      <c r="CT383" s="61"/>
      <c r="CU383" s="111">
        <f t="shared" si="135"/>
        <v>0.23649394536119667</v>
      </c>
      <c r="CV383" s="331">
        <f t="shared" si="133"/>
        <v>7.4785951925412056E-2</v>
      </c>
      <c r="CW383" s="326">
        <f t="shared" si="118"/>
        <v>0</v>
      </c>
      <c r="CX383" s="326"/>
      <c r="CY383" s="161" t="s">
        <v>5921</v>
      </c>
    </row>
    <row r="384" spans="1:103" ht="11.25" customHeight="1" x14ac:dyDescent="0.2">
      <c r="A384" s="72">
        <v>382</v>
      </c>
      <c r="B384" s="149">
        <v>439</v>
      </c>
      <c r="C384" s="54" t="s">
        <v>6694</v>
      </c>
      <c r="D384" s="54"/>
      <c r="E384" s="59"/>
      <c r="F384" s="59" t="s">
        <v>1453</v>
      </c>
      <c r="G384" s="151">
        <v>148477718</v>
      </c>
      <c r="H384" s="55" t="s">
        <v>1454</v>
      </c>
      <c r="I384" s="55" t="s">
        <v>7966</v>
      </c>
      <c r="J384" s="55" t="s">
        <v>1455</v>
      </c>
      <c r="K384" s="55" t="s">
        <v>361</v>
      </c>
      <c r="L384" s="55" t="s">
        <v>617</v>
      </c>
      <c r="M384" s="55" t="s">
        <v>1456</v>
      </c>
      <c r="N384" s="60"/>
      <c r="O384" s="55" t="s">
        <v>918</v>
      </c>
      <c r="P384" s="67"/>
      <c r="Q384" s="67"/>
      <c r="R384" s="67"/>
      <c r="S384" s="67"/>
      <c r="T384" s="56">
        <v>411.32</v>
      </c>
      <c r="U384" s="103"/>
      <c r="V384" s="103">
        <v>3.1240883010794515E-5</v>
      </c>
      <c r="W384" s="103">
        <v>2.9512092266663814E-4</v>
      </c>
      <c r="X384" s="103">
        <f>IF(W384=0,V384,W384)</f>
        <v>2.9512092266663814E-4</v>
      </c>
      <c r="Y384" s="162">
        <v>7</v>
      </c>
      <c r="Z384" s="56">
        <v>6.21</v>
      </c>
      <c r="AA384" s="56"/>
      <c r="AB384" s="56">
        <v>5.44</v>
      </c>
      <c r="AC384" s="56">
        <v>0.57879999999999998</v>
      </c>
      <c r="AD384" s="56">
        <v>5.83</v>
      </c>
      <c r="AE384" s="56">
        <v>6.36</v>
      </c>
      <c r="AF384" s="56">
        <f t="shared" ref="AF384:AF416" si="136">IF(AA384=0,AD384,AA384)</f>
        <v>5.83</v>
      </c>
      <c r="AG384" s="57">
        <v>5.76</v>
      </c>
      <c r="AH384" s="103">
        <v>1.2599999999999999E-7</v>
      </c>
      <c r="AI384" s="103"/>
      <c r="AJ384" s="62">
        <f t="shared" si="130"/>
        <v>-5.288195781195089</v>
      </c>
      <c r="AK384" s="62"/>
      <c r="AL384" s="62">
        <f t="shared" si="131"/>
        <v>-5.288195781195089</v>
      </c>
      <c r="AM384" s="62">
        <v>-11.30762</v>
      </c>
      <c r="AN384" s="154">
        <v>-6.99</v>
      </c>
      <c r="AO384" s="410"/>
      <c r="AP384" s="410"/>
      <c r="AQ384" s="154" t="s">
        <v>6311</v>
      </c>
      <c r="AR384" s="154" t="s">
        <v>6312</v>
      </c>
      <c r="AS384" s="149" t="s">
        <v>63</v>
      </c>
      <c r="AT384" s="58" t="s">
        <v>266</v>
      </c>
      <c r="AU384" s="56">
        <v>8</v>
      </c>
      <c r="AV384" s="56">
        <v>144</v>
      </c>
      <c r="AW384" s="56">
        <v>120</v>
      </c>
      <c r="AX384" s="56">
        <v>26</v>
      </c>
      <c r="AY384" s="56" t="s">
        <v>267</v>
      </c>
      <c r="AZ384" s="56" t="s">
        <v>268</v>
      </c>
      <c r="BA384" s="56">
        <v>2</v>
      </c>
      <c r="BB384" s="55" t="s">
        <v>888</v>
      </c>
      <c r="BC384" s="55" t="s">
        <v>270</v>
      </c>
      <c r="BD384" s="55" t="s">
        <v>8374</v>
      </c>
      <c r="BE384" s="56" t="s">
        <v>889</v>
      </c>
      <c r="BF384" s="56" t="s">
        <v>272</v>
      </c>
      <c r="BG384" s="56" t="s">
        <v>272</v>
      </c>
      <c r="BH384" s="56" t="s">
        <v>890</v>
      </c>
      <c r="BI384" s="103">
        <v>9.9999999999999995E-7</v>
      </c>
      <c r="BJ384" s="103">
        <v>0.08</v>
      </c>
      <c r="BK384" s="56"/>
      <c r="BL384" s="103">
        <f t="shared" si="134"/>
        <v>1.3601881909030129E-4</v>
      </c>
      <c r="BM384" s="56" t="s">
        <v>891</v>
      </c>
      <c r="BN384" s="162"/>
      <c r="BO384" s="162"/>
      <c r="BP384" s="162"/>
      <c r="BQ384" s="162"/>
      <c r="BR384" s="162"/>
      <c r="BS384" s="56">
        <v>1.7204650534085252E-3</v>
      </c>
      <c r="BT384" s="162"/>
      <c r="BU384" s="158"/>
      <c r="BV384" s="162"/>
      <c r="BW384" s="162"/>
      <c r="BX384" s="162"/>
      <c r="BY384" s="162"/>
      <c r="BZ384" s="162"/>
      <c r="CA384" s="162"/>
      <c r="CB384" s="162"/>
      <c r="CC384" s="56"/>
      <c r="CD384" s="56"/>
      <c r="CE384" s="56"/>
      <c r="CF384" s="56"/>
      <c r="CG384" s="56"/>
      <c r="CH384" s="56"/>
      <c r="CI384" s="103">
        <f t="shared" si="116"/>
        <v>1.7204650534085252E-3</v>
      </c>
      <c r="CJ384" s="103">
        <f t="shared" si="117"/>
        <v>-2.7643541444705306</v>
      </c>
      <c r="CK384" s="57">
        <f t="shared" si="132"/>
        <v>1.7002352386287661E-3</v>
      </c>
      <c r="CL384" s="160">
        <f t="shared" si="124"/>
        <v>7.9059332719851272E-2</v>
      </c>
      <c r="CM384" s="160"/>
      <c r="CN384" s="160"/>
      <c r="CO384" s="55" t="s">
        <v>892</v>
      </c>
      <c r="CP384" s="55" t="s">
        <v>893</v>
      </c>
      <c r="CQ384" s="149" t="s">
        <v>272</v>
      </c>
      <c r="CR384" s="349"/>
      <c r="CS384" s="61" t="s">
        <v>539</v>
      </c>
      <c r="CT384" s="61"/>
      <c r="CU384" s="111">
        <f t="shared" si="135"/>
        <v>0.17153555201946991</v>
      </c>
      <c r="CV384" s="331">
        <f t="shared" si="133"/>
        <v>3.6890115333329766E-3</v>
      </c>
      <c r="CW384" s="326">
        <f t="shared" si="118"/>
        <v>0</v>
      </c>
      <c r="CX384" s="326" t="s">
        <v>539</v>
      </c>
      <c r="CY384" s="161" t="s">
        <v>5921</v>
      </c>
    </row>
    <row r="385" spans="1:103" ht="11.25" customHeight="1" x14ac:dyDescent="0.2">
      <c r="A385" s="72">
        <v>383</v>
      </c>
      <c r="B385" s="149">
        <v>885</v>
      </c>
      <c r="C385" s="54" t="s">
        <v>6695</v>
      </c>
      <c r="D385" s="54"/>
      <c r="E385" s="59"/>
      <c r="F385" s="59" t="s">
        <v>2518</v>
      </c>
      <c r="G385" s="151">
        <v>149413741</v>
      </c>
      <c r="H385" s="55" t="s">
        <v>2519</v>
      </c>
      <c r="I385" s="55" t="s">
        <v>7832</v>
      </c>
      <c r="J385" s="55" t="s">
        <v>2520</v>
      </c>
      <c r="K385" s="55" t="s">
        <v>455</v>
      </c>
      <c r="L385" s="55"/>
      <c r="M385" s="55"/>
      <c r="N385" s="60"/>
      <c r="O385" s="55"/>
      <c r="P385" s="67"/>
      <c r="Q385" s="67"/>
      <c r="R385" s="67"/>
      <c r="S385" s="67"/>
      <c r="T385" s="56">
        <v>419.56</v>
      </c>
      <c r="U385" s="103"/>
      <c r="V385" s="103">
        <v>1.9494232052626561E-3</v>
      </c>
      <c r="W385" s="103">
        <v>0.16595869074375585</v>
      </c>
      <c r="X385" s="103">
        <f>IF(W385=0,V385,W385)</f>
        <v>0.16595869074375585</v>
      </c>
      <c r="Y385" s="162">
        <v>9.82</v>
      </c>
      <c r="Z385" s="56">
        <v>4.04</v>
      </c>
      <c r="AA385" s="56"/>
      <c r="AB385" s="56">
        <v>3.86</v>
      </c>
      <c r="AC385" s="56">
        <v>0.56599999999999995</v>
      </c>
      <c r="AD385" s="56">
        <v>3.76</v>
      </c>
      <c r="AE385" s="56">
        <v>3.63</v>
      </c>
      <c r="AF385" s="56">
        <f t="shared" si="136"/>
        <v>3.76</v>
      </c>
      <c r="AG385" s="57">
        <v>3.68</v>
      </c>
      <c r="AH385" s="103">
        <v>1.7599999999999999E-17</v>
      </c>
      <c r="AI385" s="103"/>
      <c r="AJ385" s="62">
        <f t="shared" si="130"/>
        <v>-15.143053658498502</v>
      </c>
      <c r="AK385" s="62"/>
      <c r="AL385" s="62">
        <f t="shared" si="131"/>
        <v>-15.143053658498502</v>
      </c>
      <c r="AM385" s="62">
        <v>-22.329050000000002</v>
      </c>
      <c r="AN385" s="154">
        <v>-16.2</v>
      </c>
      <c r="AO385" s="410"/>
      <c r="AP385" s="410">
        <v>9.31</v>
      </c>
      <c r="AQ385" s="56" t="s">
        <v>6311</v>
      </c>
      <c r="AR385" s="56" t="s">
        <v>6311</v>
      </c>
      <c r="AS385" s="155"/>
      <c r="AT385" s="58" t="s">
        <v>266</v>
      </c>
      <c r="AU385" s="56">
        <v>6</v>
      </c>
      <c r="AV385" s="56">
        <v>120</v>
      </c>
      <c r="AW385" s="56">
        <v>114</v>
      </c>
      <c r="AX385" s="56">
        <v>28</v>
      </c>
      <c r="AY385" s="56" t="s">
        <v>8728</v>
      </c>
      <c r="AZ385" s="56" t="s">
        <v>1563</v>
      </c>
      <c r="BA385" s="56">
        <v>32</v>
      </c>
      <c r="BB385" s="55" t="s">
        <v>2485</v>
      </c>
      <c r="BC385" s="55" t="s">
        <v>8726</v>
      </c>
      <c r="BD385" s="55" t="s">
        <v>8374</v>
      </c>
      <c r="BE385" s="56" t="s">
        <v>2449</v>
      </c>
      <c r="BF385" s="56" t="s">
        <v>272</v>
      </c>
      <c r="BG385" s="56" t="s">
        <v>272</v>
      </c>
      <c r="BH385" s="56" t="s">
        <v>2486</v>
      </c>
      <c r="BI385" s="103">
        <v>6.3999999999999997E-6</v>
      </c>
      <c r="BJ385" s="103">
        <v>6.4000000000000001E-2</v>
      </c>
      <c r="BK385" s="56"/>
      <c r="BL385" s="103">
        <f t="shared" si="134"/>
        <v>1.2091383616416788E-2</v>
      </c>
      <c r="BM385" s="56" t="s">
        <v>2046</v>
      </c>
      <c r="BN385" s="56">
        <v>20.238577029999998</v>
      </c>
      <c r="BO385" s="56"/>
      <c r="BP385" s="56"/>
      <c r="BQ385" s="56"/>
      <c r="BR385" s="55">
        <v>2.0238577000000001E-2</v>
      </c>
      <c r="BS385" s="56"/>
      <c r="BT385" s="56"/>
      <c r="BU385" s="158"/>
      <c r="BV385" s="56"/>
      <c r="BW385" s="56"/>
      <c r="BX385" s="56"/>
      <c r="BY385" s="56"/>
      <c r="BZ385" s="56"/>
      <c r="CA385" s="56"/>
      <c r="CB385" s="56"/>
      <c r="CC385" s="56"/>
      <c r="CD385" s="56"/>
      <c r="CE385" s="56"/>
      <c r="CF385" s="56"/>
      <c r="CG385" s="56"/>
      <c r="CH385" s="56"/>
      <c r="CI385" s="103">
        <f t="shared" si="116"/>
        <v>2.0238577000000001E-2</v>
      </c>
      <c r="CJ385" s="103">
        <f t="shared" si="117"/>
        <v>-1.6938200265542473</v>
      </c>
      <c r="CK385" s="57">
        <f t="shared" si="132"/>
        <v>0.18892786900651232</v>
      </c>
      <c r="CL385" s="160">
        <f t="shared" si="124"/>
        <v>0.59744238028280283</v>
      </c>
      <c r="CM385" s="160"/>
      <c r="CN385" s="160"/>
      <c r="CO385" s="55" t="s">
        <v>2488</v>
      </c>
      <c r="CP385" s="55" t="s">
        <v>2489</v>
      </c>
      <c r="CQ385" s="149" t="s">
        <v>272</v>
      </c>
      <c r="CR385" s="349"/>
      <c r="CS385" s="61" t="s">
        <v>539</v>
      </c>
      <c r="CT385" s="61"/>
      <c r="CU385" s="111">
        <f t="shared" si="135"/>
        <v>8.2001165765634543</v>
      </c>
      <c r="CV385" s="331">
        <f t="shared" si="133"/>
        <v>2.5931045428711852</v>
      </c>
      <c r="CW385" s="326">
        <f t="shared" si="118"/>
        <v>1</v>
      </c>
      <c r="CX385" s="326"/>
      <c r="CY385" s="161" t="s">
        <v>5921</v>
      </c>
    </row>
    <row r="386" spans="1:103" ht="11.25" customHeight="1" x14ac:dyDescent="0.2">
      <c r="A386" s="72">
        <v>384</v>
      </c>
      <c r="B386" s="149">
        <v>471</v>
      </c>
      <c r="C386" s="54" t="s">
        <v>1535</v>
      </c>
      <c r="D386" s="54" t="s">
        <v>6500</v>
      </c>
      <c r="E386" s="59"/>
      <c r="F386" s="59" t="s">
        <v>1536</v>
      </c>
      <c r="G386" s="151">
        <v>3380345</v>
      </c>
      <c r="H386" s="55" t="s">
        <v>1537</v>
      </c>
      <c r="I386" s="55" t="s">
        <v>7884</v>
      </c>
      <c r="J386" s="55" t="s">
        <v>1538</v>
      </c>
      <c r="K386" s="55" t="s">
        <v>349</v>
      </c>
      <c r="L386" s="55" t="s">
        <v>6068</v>
      </c>
      <c r="M386" s="55" t="s">
        <v>6082</v>
      </c>
      <c r="N386" s="60" t="s">
        <v>6082</v>
      </c>
      <c r="O386" s="55" t="s">
        <v>6083</v>
      </c>
      <c r="P386" s="67"/>
      <c r="Q386" s="67"/>
      <c r="R386" s="67"/>
      <c r="S386" s="67"/>
      <c r="T386" s="56">
        <v>289.54000000000002</v>
      </c>
      <c r="U386" s="103">
        <v>3.4537542308489329E-2</v>
      </c>
      <c r="V386" s="103">
        <v>1.595979830075292E-2</v>
      </c>
      <c r="W386" s="103">
        <v>4.8977881936844584E-3</v>
      </c>
      <c r="X386" s="103">
        <v>3.4537542308489329E-2</v>
      </c>
      <c r="Y386" s="162">
        <v>6.54</v>
      </c>
      <c r="Z386" s="56">
        <v>4.66</v>
      </c>
      <c r="AA386" s="56">
        <v>4.76</v>
      </c>
      <c r="AB386" s="56">
        <v>5.3</v>
      </c>
      <c r="AC386" s="56">
        <v>0.87380000000000002</v>
      </c>
      <c r="AD386" s="56">
        <v>5.27</v>
      </c>
      <c r="AE386" s="56">
        <v>5.17</v>
      </c>
      <c r="AF386" s="56">
        <f t="shared" si="136"/>
        <v>4.76</v>
      </c>
      <c r="AG386" s="57">
        <v>4.8499999999999996</v>
      </c>
      <c r="AH386" s="103">
        <v>4.9900000000000003E-9</v>
      </c>
      <c r="AI386" s="103"/>
      <c r="AJ386" s="62">
        <f t="shared" si="130"/>
        <v>-6.6904657806892622</v>
      </c>
      <c r="AK386" s="62"/>
      <c r="AL386" s="62">
        <f t="shared" si="131"/>
        <v>-6.6904657806892622</v>
      </c>
      <c r="AM386" s="62">
        <v>-10.51848</v>
      </c>
      <c r="AN386" s="154">
        <v>-3.91</v>
      </c>
      <c r="AO386" s="410">
        <v>7.8</v>
      </c>
      <c r="AP386" s="410"/>
      <c r="AQ386" s="154" t="s">
        <v>6311</v>
      </c>
      <c r="AR386" s="154" t="s">
        <v>6311</v>
      </c>
      <c r="AS386" s="149" t="s">
        <v>6</v>
      </c>
      <c r="AT386" s="58" t="s">
        <v>266</v>
      </c>
      <c r="AU386" s="56">
        <v>8</v>
      </c>
      <c r="AV386" s="56">
        <v>144</v>
      </c>
      <c r="AW386" s="56">
        <v>120</v>
      </c>
      <c r="AX386" s="56">
        <v>26</v>
      </c>
      <c r="AY386" s="56" t="s">
        <v>267</v>
      </c>
      <c r="AZ386" s="56" t="s">
        <v>268</v>
      </c>
      <c r="BA386" s="56">
        <v>2</v>
      </c>
      <c r="BB386" s="55" t="s">
        <v>888</v>
      </c>
      <c r="BC386" s="55" t="s">
        <v>270</v>
      </c>
      <c r="BD386" s="55" t="s">
        <v>8374</v>
      </c>
      <c r="BE386" s="56" t="s">
        <v>889</v>
      </c>
      <c r="BF386" s="56" t="s">
        <v>272</v>
      </c>
      <c r="BG386" s="56" t="s">
        <v>272</v>
      </c>
      <c r="BH386" s="56" t="s">
        <v>890</v>
      </c>
      <c r="BI386" s="103">
        <v>9.9999999999999995E-7</v>
      </c>
      <c r="BJ386" s="103">
        <v>0.08</v>
      </c>
      <c r="BK386" s="56"/>
      <c r="BL386" s="103">
        <f t="shared" si="134"/>
        <v>3.3547024047339783E-3</v>
      </c>
      <c r="BM386" s="56" t="s">
        <v>891</v>
      </c>
      <c r="BN386" s="162"/>
      <c r="BO386" s="162"/>
      <c r="BP386" s="162"/>
      <c r="BQ386" s="162"/>
      <c r="BR386" s="162"/>
      <c r="BS386" s="56">
        <v>2.96E-3</v>
      </c>
      <c r="BT386" s="162"/>
      <c r="BU386" s="158"/>
      <c r="BV386" s="162"/>
      <c r="BW386" s="162"/>
      <c r="BX386" s="162"/>
      <c r="BY386" s="162"/>
      <c r="BZ386" s="162"/>
      <c r="CA386" s="162"/>
      <c r="CB386" s="162"/>
      <c r="CC386" s="56"/>
      <c r="CD386" s="56"/>
      <c r="CE386" s="56"/>
      <c r="CF386" s="56"/>
      <c r="CG386" s="56"/>
      <c r="CH386" s="56"/>
      <c r="CI386" s="103">
        <f t="shared" si="116"/>
        <v>2.96E-3</v>
      </c>
      <c r="CJ386" s="103">
        <f t="shared" si="117"/>
        <v>-2.5287082889410613</v>
      </c>
      <c r="CK386" s="57">
        <f t="shared" si="132"/>
        <v>4.1933780059174725E-2</v>
      </c>
      <c r="CL386" s="160">
        <f t="shared" si="124"/>
        <v>1.1333454070047224</v>
      </c>
      <c r="CM386" s="160">
        <v>-3.0303448059053788</v>
      </c>
      <c r="CN386" s="160">
        <f>BJ386/(10^CM386)</f>
        <v>85.789629629629729</v>
      </c>
      <c r="CO386" s="55" t="s">
        <v>892</v>
      </c>
      <c r="CP386" s="55" t="s">
        <v>893</v>
      </c>
      <c r="CQ386" s="149">
        <v>-2.4921962873970331</v>
      </c>
      <c r="CR386" s="349">
        <f>10^(CJ386-CQ386)</f>
        <v>0.91936506818874153</v>
      </c>
      <c r="CS386" s="61" t="s">
        <v>539</v>
      </c>
      <c r="CT386" s="61"/>
      <c r="CU386" s="111">
        <f t="shared" si="135"/>
        <v>11.668088617732881</v>
      </c>
      <c r="CV386" s="331">
        <f t="shared" si="133"/>
        <v>0.43171927885611661</v>
      </c>
      <c r="CW386" s="326">
        <f t="shared" si="118"/>
        <v>1</v>
      </c>
      <c r="CX386" s="326" t="s">
        <v>539</v>
      </c>
      <c r="CY386" s="161" t="s">
        <v>6351</v>
      </c>
    </row>
    <row r="387" spans="1:103" ht="11.25" customHeight="1" x14ac:dyDescent="0.2">
      <c r="A387" s="72">
        <v>385</v>
      </c>
      <c r="B387" s="149">
        <v>288</v>
      </c>
      <c r="C387" s="54" t="s">
        <v>6696</v>
      </c>
      <c r="D387" s="54"/>
      <c r="E387" s="59"/>
      <c r="F387" s="59" t="s">
        <v>1141</v>
      </c>
      <c r="G387" s="151">
        <v>153233911</v>
      </c>
      <c r="H387" s="55" t="s">
        <v>1142</v>
      </c>
      <c r="I387" s="55" t="s">
        <v>1142</v>
      </c>
      <c r="J387" s="55" t="s">
        <v>1143</v>
      </c>
      <c r="K387" s="55" t="s">
        <v>426</v>
      </c>
      <c r="L387" s="55" t="s">
        <v>617</v>
      </c>
      <c r="M387" s="55" t="s">
        <v>1144</v>
      </c>
      <c r="N387" s="60"/>
      <c r="O387" s="55" t="s">
        <v>918</v>
      </c>
      <c r="P387" s="67"/>
      <c r="Q387" s="67"/>
      <c r="R387" s="67"/>
      <c r="S387" s="67"/>
      <c r="T387" s="56">
        <v>359.41</v>
      </c>
      <c r="U387" s="103">
        <v>2.0978826409949637E-4</v>
      </c>
      <c r="V387" s="103">
        <v>1.0595142038340614E-5</v>
      </c>
      <c r="W387" s="103">
        <v>2.0417379446695245E-3</v>
      </c>
      <c r="X387" s="103">
        <v>2.0978826409949637E-4</v>
      </c>
      <c r="Y387" s="162">
        <v>7</v>
      </c>
      <c r="Z387" s="56">
        <v>7.21</v>
      </c>
      <c r="AA387" s="56"/>
      <c r="AB387" s="56">
        <v>5.2</v>
      </c>
      <c r="AC387" s="56">
        <v>0.68340000000000001</v>
      </c>
      <c r="AD387" s="56">
        <v>5.44</v>
      </c>
      <c r="AE387" s="56">
        <v>5.85</v>
      </c>
      <c r="AF387" s="56">
        <f t="shared" si="136"/>
        <v>5.44</v>
      </c>
      <c r="AG387" s="57">
        <v>5.6</v>
      </c>
      <c r="AH387" s="103">
        <v>4.51E-8</v>
      </c>
      <c r="AI387" s="103">
        <v>1.03E-7</v>
      </c>
      <c r="AJ387" s="62">
        <f t="shared" si="130"/>
        <v>-5.7343897844346916</v>
      </c>
      <c r="AK387" s="62">
        <f>LOG10(AI387*1000/(0.08206*298.15))</f>
        <v>-5.3757291016074795</v>
      </c>
      <c r="AL387" s="62">
        <f t="shared" si="131"/>
        <v>-5.3757291016074795</v>
      </c>
      <c r="AM387" s="62">
        <v>-9.1111300000000011</v>
      </c>
      <c r="AN387" s="154">
        <v>-3</v>
      </c>
      <c r="AO387" s="410"/>
      <c r="AP387" s="410">
        <v>2.04</v>
      </c>
      <c r="AQ387" s="154" t="s">
        <v>6311</v>
      </c>
      <c r="AR387" s="154" t="s">
        <v>6311</v>
      </c>
      <c r="AS387" s="149" t="s">
        <v>6</v>
      </c>
      <c r="AT387" s="58" t="s">
        <v>266</v>
      </c>
      <c r="AU387" s="56">
        <v>8</v>
      </c>
      <c r="AV387" s="56">
        <v>144</v>
      </c>
      <c r="AW387" s="56">
        <v>120</v>
      </c>
      <c r="AX387" s="56">
        <v>26</v>
      </c>
      <c r="AY387" s="56" t="s">
        <v>267</v>
      </c>
      <c r="AZ387" s="56" t="s">
        <v>268</v>
      </c>
      <c r="BA387" s="56">
        <v>3</v>
      </c>
      <c r="BB387" s="55" t="s">
        <v>888</v>
      </c>
      <c r="BC387" s="55" t="s">
        <v>270</v>
      </c>
      <c r="BD387" s="55" t="s">
        <v>8374</v>
      </c>
      <c r="BE387" s="56" t="s">
        <v>889</v>
      </c>
      <c r="BF387" s="56" t="s">
        <v>272</v>
      </c>
      <c r="BG387" s="56" t="s">
        <v>272</v>
      </c>
      <c r="BH387" s="56" t="s">
        <v>890</v>
      </c>
      <c r="BI387" s="103">
        <v>9.9999999999999995E-7</v>
      </c>
      <c r="BJ387" s="103">
        <v>0.08</v>
      </c>
      <c r="BK387" s="56"/>
      <c r="BL387" s="103">
        <f t="shared" si="134"/>
        <v>1.7198833810558457E-5</v>
      </c>
      <c r="BM387" s="56" t="s">
        <v>891</v>
      </c>
      <c r="BN387" s="162"/>
      <c r="BO387" s="162"/>
      <c r="BP387" s="162"/>
      <c r="BQ387" s="162"/>
      <c r="BR387" s="162"/>
      <c r="BS387" s="56">
        <v>1.7204650534085252E-3</v>
      </c>
      <c r="BT387" s="162"/>
      <c r="BU387" s="158"/>
      <c r="BV387" s="162"/>
      <c r="BW387" s="162"/>
      <c r="BX387" s="162"/>
      <c r="BY387" s="162"/>
      <c r="BZ387" s="162"/>
      <c r="CA387" s="162"/>
      <c r="CB387" s="162"/>
      <c r="CC387" s="56"/>
      <c r="CD387" s="56"/>
      <c r="CE387" s="56"/>
      <c r="CF387" s="56"/>
      <c r="CG387" s="56"/>
      <c r="CH387" s="56"/>
      <c r="CI387" s="103">
        <f t="shared" ref="CI387:CI450" si="137">MIN(BN387:CH387)</f>
        <v>1.7204650534085252E-3</v>
      </c>
      <c r="CJ387" s="103">
        <f t="shared" ref="CJ387:CJ450" si="138">LOG10(CI387)</f>
        <v>-2.7643541444705306</v>
      </c>
      <c r="CK387" s="57">
        <f t="shared" si="132"/>
        <v>2.1498542263198071E-4</v>
      </c>
      <c r="CL387" s="160">
        <f t="shared" si="124"/>
        <v>9.9966190981239222E-3</v>
      </c>
      <c r="CM387" s="160"/>
      <c r="CN387" s="160"/>
      <c r="CO387" s="55" t="s">
        <v>892</v>
      </c>
      <c r="CP387" s="55" t="s">
        <v>893</v>
      </c>
      <c r="CQ387" s="149" t="s">
        <v>272</v>
      </c>
      <c r="CR387" s="349"/>
      <c r="CS387" s="61" t="s">
        <v>539</v>
      </c>
      <c r="CT387" s="61"/>
      <c r="CU387" s="111">
        <f t="shared" si="135"/>
        <v>0.12193695168865604</v>
      </c>
      <c r="CV387" s="331">
        <f t="shared" si="133"/>
        <v>2.6223533012437045E-3</v>
      </c>
      <c r="CW387" s="326">
        <f t="shared" ref="CW387:CW450" si="139">IF(CU387&lt;2,0,1)</f>
        <v>0</v>
      </c>
      <c r="CX387" s="326" t="s">
        <v>539</v>
      </c>
      <c r="CY387" s="161" t="s">
        <v>5921</v>
      </c>
    </row>
    <row r="388" spans="1:103" ht="11.25" customHeight="1" x14ac:dyDescent="0.2">
      <c r="A388" s="72">
        <v>386</v>
      </c>
      <c r="B388" s="149">
        <v>297</v>
      </c>
      <c r="C388" s="54" t="s">
        <v>1172</v>
      </c>
      <c r="D388" s="54" t="s">
        <v>6697</v>
      </c>
      <c r="E388" s="59"/>
      <c r="F388" s="59" t="s">
        <v>1173</v>
      </c>
      <c r="G388" s="151">
        <v>66441234</v>
      </c>
      <c r="H388" s="55" t="s">
        <v>1174</v>
      </c>
      <c r="I388" s="55" t="s">
        <v>7937</v>
      </c>
      <c r="J388" s="55" t="s">
        <v>1175</v>
      </c>
      <c r="K388" s="55" t="s">
        <v>357</v>
      </c>
      <c r="L388" s="55" t="s">
        <v>5980</v>
      </c>
      <c r="M388" s="55" t="s">
        <v>6082</v>
      </c>
      <c r="N388" s="60" t="s">
        <v>6082</v>
      </c>
      <c r="O388" s="55" t="s">
        <v>6083</v>
      </c>
      <c r="P388" s="67"/>
      <c r="Q388" s="67"/>
      <c r="R388" s="67"/>
      <c r="S388" s="67"/>
      <c r="T388" s="56">
        <v>361.78</v>
      </c>
      <c r="U388" s="103">
        <v>2.4876997070042571E-3</v>
      </c>
      <c r="V388" s="103">
        <v>1.7820222234507161E-3</v>
      </c>
      <c r="W388" s="103">
        <v>2.8183829312644531E-3</v>
      </c>
      <c r="X388" s="103">
        <v>2.4876997070042571E-3</v>
      </c>
      <c r="Y388" s="162">
        <v>7</v>
      </c>
      <c r="Z388" s="56">
        <v>4.95</v>
      </c>
      <c r="AA388" s="56">
        <v>4.58</v>
      </c>
      <c r="AB388" s="56">
        <v>4.07</v>
      </c>
      <c r="AC388" s="56">
        <v>0.86009999999999998</v>
      </c>
      <c r="AD388" s="56">
        <v>4.22</v>
      </c>
      <c r="AE388" s="56">
        <v>4.78</v>
      </c>
      <c r="AF388" s="56">
        <f t="shared" si="136"/>
        <v>4.58</v>
      </c>
      <c r="AG388" s="57">
        <v>4.42</v>
      </c>
      <c r="AH388" s="103">
        <v>1.9599999999999999E-11</v>
      </c>
      <c r="AI388" s="103">
        <v>1.59E-8</v>
      </c>
      <c r="AJ388" s="62">
        <f t="shared" si="130"/>
        <v>-9.0963102549561761</v>
      </c>
      <c r="AK388" s="62">
        <f>LOG10(AI388*1000/(0.08206*298.15))</f>
        <v>-6.1871692019922007</v>
      </c>
      <c r="AL388" s="62">
        <f t="shared" si="131"/>
        <v>-6.1871692019922007</v>
      </c>
      <c r="AM388" s="62">
        <v>-15.666689999999999</v>
      </c>
      <c r="AN388" s="154">
        <v>-7.36</v>
      </c>
      <c r="AO388" s="410"/>
      <c r="AP388" s="410">
        <v>-0.08</v>
      </c>
      <c r="AQ388" s="154" t="s">
        <v>6311</v>
      </c>
      <c r="AR388" s="154" t="s">
        <v>6312</v>
      </c>
      <c r="AS388" s="149" t="s">
        <v>6</v>
      </c>
      <c r="AT388" s="58" t="s">
        <v>266</v>
      </c>
      <c r="AU388" s="56">
        <v>8</v>
      </c>
      <c r="AV388" s="56">
        <v>144</v>
      </c>
      <c r="AW388" s="56">
        <v>120</v>
      </c>
      <c r="AX388" s="56">
        <v>26</v>
      </c>
      <c r="AY388" s="56" t="s">
        <v>267</v>
      </c>
      <c r="AZ388" s="56" t="s">
        <v>268</v>
      </c>
      <c r="BA388" s="56">
        <v>3</v>
      </c>
      <c r="BB388" s="55" t="s">
        <v>888</v>
      </c>
      <c r="BC388" s="55" t="s">
        <v>270</v>
      </c>
      <c r="BD388" s="55" t="s">
        <v>8374</v>
      </c>
      <c r="BE388" s="56" t="s">
        <v>889</v>
      </c>
      <c r="BF388" s="56" t="s">
        <v>272</v>
      </c>
      <c r="BG388" s="56" t="s">
        <v>272</v>
      </c>
      <c r="BH388" s="56" t="s">
        <v>890</v>
      </c>
      <c r="BI388" s="103">
        <v>9.9999999999999995E-7</v>
      </c>
      <c r="BJ388" s="103">
        <v>0.08</v>
      </c>
      <c r="BK388" s="56"/>
      <c r="BL388" s="103">
        <f t="shared" si="134"/>
        <v>1.8416411060794048E-3</v>
      </c>
      <c r="BM388" s="56" t="s">
        <v>891</v>
      </c>
      <c r="BN388" s="162"/>
      <c r="BO388" s="162"/>
      <c r="BP388" s="162"/>
      <c r="BQ388" s="162"/>
      <c r="BR388" s="162"/>
      <c r="BS388" s="56">
        <v>2.96E-3</v>
      </c>
      <c r="BT388" s="162"/>
      <c r="BU388" s="158"/>
      <c r="BV388" s="162"/>
      <c r="BW388" s="162"/>
      <c r="BX388" s="162"/>
      <c r="BY388" s="162"/>
      <c r="BZ388" s="162"/>
      <c r="CA388" s="162"/>
      <c r="CB388" s="162"/>
      <c r="CC388" s="56"/>
      <c r="CD388" s="56"/>
      <c r="CE388" s="56"/>
      <c r="CF388" s="56"/>
      <c r="CG388" s="56"/>
      <c r="CH388" s="56"/>
      <c r="CI388" s="103">
        <f t="shared" si="137"/>
        <v>2.96E-3</v>
      </c>
      <c r="CJ388" s="103">
        <f t="shared" si="138"/>
        <v>-2.5287082889410613</v>
      </c>
      <c r="CK388" s="57">
        <f t="shared" si="132"/>
        <v>2.3020513825992558E-2</v>
      </c>
      <c r="CL388" s="160">
        <f t="shared" si="124"/>
        <v>0.62217604935115023</v>
      </c>
      <c r="CM388" s="160">
        <v>-2.3518360261264908</v>
      </c>
      <c r="CN388" s="160">
        <f>BJ388/(10^CM388)</f>
        <v>17.985644836206362</v>
      </c>
      <c r="CO388" s="55" t="s">
        <v>892</v>
      </c>
      <c r="CP388" s="55" t="s">
        <v>893</v>
      </c>
      <c r="CQ388" s="149">
        <v>-2.1004145568546404</v>
      </c>
      <c r="CR388" s="349">
        <f>10^(CJ388-CQ388)</f>
        <v>0.37299779796867694</v>
      </c>
      <c r="CS388" s="61" t="s">
        <v>539</v>
      </c>
      <c r="CT388" s="61"/>
      <c r="CU388" s="111">
        <f t="shared" si="135"/>
        <v>0.84043909020414098</v>
      </c>
      <c r="CV388" s="331">
        <f t="shared" si="133"/>
        <v>3.1096246337553212E-2</v>
      </c>
      <c r="CW388" s="326">
        <f t="shared" si="139"/>
        <v>0</v>
      </c>
      <c r="CX388" s="326" t="s">
        <v>539</v>
      </c>
      <c r="CY388" s="161" t="s">
        <v>5921</v>
      </c>
    </row>
    <row r="389" spans="1:103" ht="11.25" customHeight="1" x14ac:dyDescent="0.2">
      <c r="A389" s="72">
        <v>387</v>
      </c>
      <c r="B389" s="149">
        <v>460</v>
      </c>
      <c r="C389" s="54" t="s">
        <v>1505</v>
      </c>
      <c r="D389" s="54" t="s">
        <v>6698</v>
      </c>
      <c r="E389" s="59"/>
      <c r="F389" s="59" t="s">
        <v>1506</v>
      </c>
      <c r="G389" s="151">
        <v>23564058</v>
      </c>
      <c r="H389" s="55" t="s">
        <v>1507</v>
      </c>
      <c r="I389" s="55" t="s">
        <v>1507</v>
      </c>
      <c r="J389" s="55" t="s">
        <v>1508</v>
      </c>
      <c r="K389" s="55" t="s">
        <v>1509</v>
      </c>
      <c r="L389" s="55" t="s">
        <v>6013</v>
      </c>
      <c r="M389" s="60" t="s">
        <v>2342</v>
      </c>
      <c r="N389" s="60" t="s">
        <v>2342</v>
      </c>
      <c r="O389" s="55"/>
      <c r="P389" s="67"/>
      <c r="Q389" s="67"/>
      <c r="R389" s="67"/>
      <c r="S389" s="67"/>
      <c r="T389" s="56">
        <v>342.4</v>
      </c>
      <c r="U389" s="103">
        <v>7.7686915887850483E-2</v>
      </c>
      <c r="V389" s="103">
        <v>1.2818341121495327</v>
      </c>
      <c r="W389" s="103">
        <v>7.4131024130091636E-2</v>
      </c>
      <c r="X389" s="103">
        <v>7.7686915887850483E-2</v>
      </c>
      <c r="Y389" s="162">
        <v>4.8499999999999996</v>
      </c>
      <c r="Z389" s="56">
        <v>1.1000000000000001</v>
      </c>
      <c r="AA389" s="56">
        <v>1.4</v>
      </c>
      <c r="AB389" s="56">
        <v>1.29</v>
      </c>
      <c r="AC389" s="56">
        <v>0.84450000000000003</v>
      </c>
      <c r="AD389" s="56">
        <v>1.26</v>
      </c>
      <c r="AE389" s="56">
        <v>1.1599999999999999</v>
      </c>
      <c r="AF389" s="56">
        <f t="shared" si="136"/>
        <v>1.4</v>
      </c>
      <c r="AG389" s="57">
        <v>2.13</v>
      </c>
      <c r="AH389" s="103">
        <v>2.9400000000000001E-13</v>
      </c>
      <c r="AI389" s="103">
        <v>1.21E-9</v>
      </c>
      <c r="AJ389" s="62">
        <f t="shared" si="130"/>
        <v>-10.920218995900495</v>
      </c>
      <c r="AK389" s="62">
        <f>LOG10(AI389*1000/(0.08206*298.15))</f>
        <v>-7.3057809559962017</v>
      </c>
      <c r="AL389" s="62">
        <f t="shared" si="131"/>
        <v>-7.3057809559962017</v>
      </c>
      <c r="AM389" s="62">
        <v>-23.00292</v>
      </c>
      <c r="AN389" s="154">
        <v>-20.2</v>
      </c>
      <c r="AO389" s="410">
        <v>6.12</v>
      </c>
      <c r="AP389" s="410">
        <v>-0.47</v>
      </c>
      <c r="AQ389" s="154" t="s">
        <v>6311</v>
      </c>
      <c r="AR389" s="154" t="s">
        <v>6311</v>
      </c>
      <c r="AS389" s="149" t="s">
        <v>6</v>
      </c>
      <c r="AT389" s="58" t="s">
        <v>266</v>
      </c>
      <c r="AU389" s="56">
        <v>8</v>
      </c>
      <c r="AV389" s="56">
        <v>144</v>
      </c>
      <c r="AW389" s="56">
        <v>120</v>
      </c>
      <c r="AX389" s="56">
        <v>26</v>
      </c>
      <c r="AY389" s="56" t="s">
        <v>267</v>
      </c>
      <c r="AZ389" s="56" t="s">
        <v>268</v>
      </c>
      <c r="BA389" s="56">
        <v>2</v>
      </c>
      <c r="BB389" s="55" t="s">
        <v>888</v>
      </c>
      <c r="BC389" s="55" t="s">
        <v>270</v>
      </c>
      <c r="BD389" s="55" t="s">
        <v>8374</v>
      </c>
      <c r="BE389" s="56" t="s">
        <v>889</v>
      </c>
      <c r="BF389" s="56" t="s">
        <v>272</v>
      </c>
      <c r="BG389" s="56" t="s">
        <v>272</v>
      </c>
      <c r="BH389" s="56" t="s">
        <v>890</v>
      </c>
      <c r="BI389" s="103">
        <v>9.9999999999999995E-7</v>
      </c>
      <c r="BJ389" s="103">
        <v>0.08</v>
      </c>
      <c r="BK389" s="56"/>
      <c r="BL389" s="103">
        <f t="shared" si="134"/>
        <v>5.283114218069028</v>
      </c>
      <c r="BM389" s="56" t="s">
        <v>891</v>
      </c>
      <c r="BN389" s="162"/>
      <c r="BO389" s="162"/>
      <c r="BP389" s="162"/>
      <c r="BQ389" s="162"/>
      <c r="BR389" s="162"/>
      <c r="BS389" s="56">
        <v>2.96E-3</v>
      </c>
      <c r="BT389" s="162"/>
      <c r="BU389" s="158"/>
      <c r="BV389" s="162"/>
      <c r="BW389" s="162"/>
      <c r="BX389" s="162"/>
      <c r="BY389" s="162"/>
      <c r="BZ389" s="162"/>
      <c r="CA389" s="162"/>
      <c r="CB389" s="162"/>
      <c r="CC389" s="56"/>
      <c r="CD389" s="56"/>
      <c r="CE389" s="56"/>
      <c r="CF389" s="56"/>
      <c r="CG389" s="56"/>
      <c r="CH389" s="56"/>
      <c r="CI389" s="103">
        <f t="shared" si="137"/>
        <v>2.96E-3</v>
      </c>
      <c r="CJ389" s="103">
        <f t="shared" si="138"/>
        <v>-2.5287082889410613</v>
      </c>
      <c r="CK389" s="57">
        <f t="shared" si="132"/>
        <v>66.038927725862848</v>
      </c>
      <c r="CL389" s="160">
        <f t="shared" si="124"/>
        <v>1784.8358844827799</v>
      </c>
      <c r="CM389" s="160">
        <v>-1.4139099832331679</v>
      </c>
      <c r="CN389" s="160">
        <f>BJ389/(10^CM389)</f>
        <v>2.0749133752004743</v>
      </c>
      <c r="CO389" s="55" t="s">
        <v>892</v>
      </c>
      <c r="CP389" s="55" t="s">
        <v>893</v>
      </c>
      <c r="CQ389" s="149">
        <v>-1.234409735604173</v>
      </c>
      <c r="CR389" s="349">
        <f>10^(CJ389-CQ389)</f>
        <v>5.0781023121091673E-2</v>
      </c>
      <c r="CS389" s="61" t="s">
        <v>539</v>
      </c>
      <c r="CT389" s="61"/>
      <c r="CU389" s="111">
        <f t="shared" si="135"/>
        <v>26.245579691841378</v>
      </c>
      <c r="CV389" s="331">
        <f t="shared" si="133"/>
        <v>0.97108644859813098</v>
      </c>
      <c r="CW389" s="326">
        <f t="shared" si="139"/>
        <v>1</v>
      </c>
      <c r="CX389" s="326" t="s">
        <v>539</v>
      </c>
      <c r="CY389" s="161" t="s">
        <v>5921</v>
      </c>
    </row>
    <row r="390" spans="1:103" ht="11.25" customHeight="1" x14ac:dyDescent="0.2">
      <c r="A390" s="72">
        <v>388</v>
      </c>
      <c r="B390" s="149">
        <v>243</v>
      </c>
      <c r="C390" s="54" t="s">
        <v>1068</v>
      </c>
      <c r="D390" s="54" t="s">
        <v>6699</v>
      </c>
      <c r="E390" s="59"/>
      <c r="F390" s="59" t="s">
        <v>1069</v>
      </c>
      <c r="G390" s="151">
        <v>122008859</v>
      </c>
      <c r="H390" s="55" t="s">
        <v>1070</v>
      </c>
      <c r="I390" s="55" t="s">
        <v>7955</v>
      </c>
      <c r="J390" s="55" t="s">
        <v>1071</v>
      </c>
      <c r="K390" s="55" t="s">
        <v>357</v>
      </c>
      <c r="L390" s="55" t="s">
        <v>5968</v>
      </c>
      <c r="M390" s="60" t="s">
        <v>2342</v>
      </c>
      <c r="N390" s="60" t="s">
        <v>2342</v>
      </c>
      <c r="O390" s="55"/>
      <c r="P390" s="67"/>
      <c r="Q390" s="67"/>
      <c r="R390" s="67"/>
      <c r="S390" s="67"/>
      <c r="T390" s="56">
        <v>357.38</v>
      </c>
      <c r="U390" s="103">
        <v>1.9586994235827409E-3</v>
      </c>
      <c r="V390" s="103">
        <v>1.2661592702445577E-2</v>
      </c>
      <c r="W390" s="103">
        <v>1.2022644346174126E-3</v>
      </c>
      <c r="X390" s="103">
        <v>1.9586994235827409E-3</v>
      </c>
      <c r="Y390" s="162">
        <v>7</v>
      </c>
      <c r="Z390" s="56">
        <v>4.47</v>
      </c>
      <c r="AA390" s="56">
        <v>3.31</v>
      </c>
      <c r="AB390" s="56">
        <v>4.05</v>
      </c>
      <c r="AC390" s="56">
        <v>0.70509999999999995</v>
      </c>
      <c r="AD390" s="56">
        <v>4.17</v>
      </c>
      <c r="AE390" s="56">
        <v>4.4000000000000004</v>
      </c>
      <c r="AF390" s="56">
        <f t="shared" si="136"/>
        <v>3.31</v>
      </c>
      <c r="AG390" s="57">
        <v>4.3499999999999996</v>
      </c>
      <c r="AH390" s="103">
        <v>4.1100000000000001E-9</v>
      </c>
      <c r="AI390" s="103">
        <v>6.0500000000000004E-9</v>
      </c>
      <c r="AJ390" s="62">
        <f t="shared" si="130"/>
        <v>-6.7747245044365823</v>
      </c>
      <c r="AK390" s="62">
        <f>LOG10(AI390*1000/(0.08206*298.15))</f>
        <v>-6.606810951660183</v>
      </c>
      <c r="AL390" s="62">
        <f t="shared" si="131"/>
        <v>-6.606810951660183</v>
      </c>
      <c r="AM390" s="62">
        <v>-14.01172</v>
      </c>
      <c r="AN390" s="154">
        <v>-6.94</v>
      </c>
      <c r="AO390" s="410"/>
      <c r="AP390" s="410"/>
      <c r="AQ390" s="154" t="s">
        <v>6311</v>
      </c>
      <c r="AR390" s="154" t="s">
        <v>6312</v>
      </c>
      <c r="AS390" s="149" t="s">
        <v>63</v>
      </c>
      <c r="AT390" s="58" t="s">
        <v>266</v>
      </c>
      <c r="AU390" s="56">
        <v>8</v>
      </c>
      <c r="AV390" s="56">
        <v>144</v>
      </c>
      <c r="AW390" s="56">
        <v>120</v>
      </c>
      <c r="AX390" s="56">
        <v>26</v>
      </c>
      <c r="AY390" s="56" t="s">
        <v>267</v>
      </c>
      <c r="AZ390" s="56" t="s">
        <v>268</v>
      </c>
      <c r="BA390" s="56">
        <v>2</v>
      </c>
      <c r="BB390" s="55" t="s">
        <v>888</v>
      </c>
      <c r="BC390" s="55" t="s">
        <v>270</v>
      </c>
      <c r="BD390" s="55" t="s">
        <v>8374</v>
      </c>
      <c r="BE390" s="56" t="s">
        <v>889</v>
      </c>
      <c r="BF390" s="56" t="s">
        <v>272</v>
      </c>
      <c r="BG390" s="56" t="s">
        <v>272</v>
      </c>
      <c r="BH390" s="56" t="s">
        <v>890</v>
      </c>
      <c r="BI390" s="103">
        <v>9.9999999999999995E-7</v>
      </c>
      <c r="BJ390" s="103">
        <v>0.08</v>
      </c>
      <c r="BK390" s="56"/>
      <c r="BL390" s="103">
        <f t="shared" si="134"/>
        <v>4.9692746419135745E-3</v>
      </c>
      <c r="BM390" s="56" t="s">
        <v>891</v>
      </c>
      <c r="BN390" s="162"/>
      <c r="BO390" s="162"/>
      <c r="BP390" s="162"/>
      <c r="BQ390" s="162"/>
      <c r="BR390" s="162"/>
      <c r="BS390" s="56">
        <v>2.96E-3</v>
      </c>
      <c r="BT390" s="162"/>
      <c r="BU390" s="158"/>
      <c r="BV390" s="162"/>
      <c r="BW390" s="162"/>
      <c r="BX390" s="162"/>
      <c r="BY390" s="162"/>
      <c r="BZ390" s="162"/>
      <c r="CA390" s="162"/>
      <c r="CB390" s="162"/>
      <c r="CC390" s="56"/>
      <c r="CD390" s="56"/>
      <c r="CE390" s="56"/>
      <c r="CF390" s="56"/>
      <c r="CG390" s="56"/>
      <c r="CH390" s="56"/>
      <c r="CI390" s="103">
        <f t="shared" si="137"/>
        <v>2.96E-3</v>
      </c>
      <c r="CJ390" s="103">
        <f t="shared" si="138"/>
        <v>-2.5287082889410613</v>
      </c>
      <c r="CK390" s="57">
        <f t="shared" si="132"/>
        <v>6.2115933023919677E-2</v>
      </c>
      <c r="CL390" s="160">
        <f t="shared" si="124"/>
        <v>1.678809000646478</v>
      </c>
      <c r="CM390" s="160">
        <v>-2.6284819740794108</v>
      </c>
      <c r="CN390" s="160">
        <f>BJ390/(10^CM390)</f>
        <v>34.007285001357488</v>
      </c>
      <c r="CO390" s="55" t="s">
        <v>892</v>
      </c>
      <c r="CP390" s="55" t="s">
        <v>893</v>
      </c>
      <c r="CQ390" s="149">
        <v>-2.6284819740794108</v>
      </c>
      <c r="CR390" s="349">
        <f>10^(CJ390-CQ390)</f>
        <v>1.2582695450502273</v>
      </c>
      <c r="CS390" s="61" t="s">
        <v>539</v>
      </c>
      <c r="CT390" s="61"/>
      <c r="CU390" s="111">
        <f t="shared" si="135"/>
        <v>0.66172277823741243</v>
      </c>
      <c r="CV390" s="331">
        <f t="shared" si="133"/>
        <v>2.4483742794784262E-2</v>
      </c>
      <c r="CW390" s="326">
        <f t="shared" si="139"/>
        <v>0</v>
      </c>
      <c r="CX390" s="326" t="s">
        <v>539</v>
      </c>
      <c r="CY390" s="161" t="s">
        <v>5921</v>
      </c>
    </row>
    <row r="391" spans="1:103" ht="11.25" customHeight="1" x14ac:dyDescent="0.2">
      <c r="A391" s="72">
        <v>389</v>
      </c>
      <c r="B391" s="149">
        <v>291</v>
      </c>
      <c r="C391" s="54" t="s">
        <v>1150</v>
      </c>
      <c r="D391" s="54" t="s">
        <v>6648</v>
      </c>
      <c r="E391" s="59"/>
      <c r="F391" s="59" t="s">
        <v>1151</v>
      </c>
      <c r="G391" s="151">
        <v>161326347</v>
      </c>
      <c r="H391" s="55" t="s">
        <v>1152</v>
      </c>
      <c r="I391" s="55" t="s">
        <v>8330</v>
      </c>
      <c r="J391" s="55" t="s">
        <v>1153</v>
      </c>
      <c r="K391" s="55" t="s">
        <v>483</v>
      </c>
      <c r="L391" s="55" t="s">
        <v>5977</v>
      </c>
      <c r="M391" s="55" t="s">
        <v>6082</v>
      </c>
      <c r="N391" s="60" t="s">
        <v>6082</v>
      </c>
      <c r="O391" s="55" t="s">
        <v>6083</v>
      </c>
      <c r="P391" s="67"/>
      <c r="Q391" s="67"/>
      <c r="R391" s="67"/>
      <c r="S391" s="67"/>
      <c r="T391" s="56">
        <v>311.39999999999998</v>
      </c>
      <c r="U391" s="103"/>
      <c r="V391" s="103">
        <v>3.8375080282594731E-2</v>
      </c>
      <c r="W391" s="103">
        <v>4.3651583224016556E-2</v>
      </c>
      <c r="X391" s="103">
        <f>IF(W391=0,V391,W391)</f>
        <v>4.3651583224016556E-2</v>
      </c>
      <c r="Y391" s="162">
        <v>7</v>
      </c>
      <c r="Z391" s="56">
        <v>3.45</v>
      </c>
      <c r="AA391" s="56"/>
      <c r="AB391" s="56">
        <v>2.71</v>
      </c>
      <c r="AC391" s="56">
        <v>0.69220000000000004</v>
      </c>
      <c r="AD391" s="56">
        <v>3.02</v>
      </c>
      <c r="AE391" s="56">
        <v>3.61</v>
      </c>
      <c r="AF391" s="56">
        <f t="shared" si="136"/>
        <v>3.02</v>
      </c>
      <c r="AG391" s="57">
        <v>3.31</v>
      </c>
      <c r="AH391" s="103">
        <v>2.8199999999999999E-14</v>
      </c>
      <c r="AI391" s="103"/>
      <c r="AJ391" s="62">
        <f t="shared" si="130"/>
        <v>-11.938317217993291</v>
      </c>
      <c r="AK391" s="62"/>
      <c r="AL391" s="62">
        <f t="shared" si="131"/>
        <v>-11.938317217993291</v>
      </c>
      <c r="AM391" s="62">
        <v>-17.162509999999997</v>
      </c>
      <c r="AN391" s="154">
        <v>-9.2799999999999994</v>
      </c>
      <c r="AO391" s="410"/>
      <c r="AP391" s="410">
        <v>0.49</v>
      </c>
      <c r="AQ391" s="154" t="s">
        <v>6311</v>
      </c>
      <c r="AR391" s="154" t="s">
        <v>6311</v>
      </c>
      <c r="AS391" s="149" t="s">
        <v>1154</v>
      </c>
      <c r="AT391" s="58" t="s">
        <v>266</v>
      </c>
      <c r="AU391" s="56">
        <v>8</v>
      </c>
      <c r="AV391" s="56">
        <v>144</v>
      </c>
      <c r="AW391" s="56">
        <v>120</v>
      </c>
      <c r="AX391" s="56">
        <v>26</v>
      </c>
      <c r="AY391" s="56" t="s">
        <v>267</v>
      </c>
      <c r="AZ391" s="56" t="s">
        <v>268</v>
      </c>
      <c r="BA391" s="56">
        <v>2</v>
      </c>
      <c r="BB391" s="55" t="s">
        <v>888</v>
      </c>
      <c r="BC391" s="55" t="s">
        <v>270</v>
      </c>
      <c r="BD391" s="55" t="s">
        <v>8374</v>
      </c>
      <c r="BE391" s="56" t="s">
        <v>889</v>
      </c>
      <c r="BF391" s="56" t="s">
        <v>272</v>
      </c>
      <c r="BG391" s="56" t="s">
        <v>272</v>
      </c>
      <c r="BH391" s="56" t="s">
        <v>890</v>
      </c>
      <c r="BI391" s="103">
        <v>9.9999999999999995E-7</v>
      </c>
      <c r="BJ391" s="103">
        <v>0.08</v>
      </c>
      <c r="BK391" s="56"/>
      <c r="BL391" s="103">
        <f t="shared" si="134"/>
        <v>4.0959533340592637E-2</v>
      </c>
      <c r="BM391" s="56" t="s">
        <v>891</v>
      </c>
      <c r="BN391" s="162"/>
      <c r="BO391" s="162"/>
      <c r="BP391" s="162"/>
      <c r="BQ391" s="162"/>
      <c r="BR391" s="162"/>
      <c r="BS391" s="56">
        <v>2.96E-3</v>
      </c>
      <c r="BT391" s="162"/>
      <c r="BU391" s="158"/>
      <c r="BV391" s="162"/>
      <c r="BW391" s="162"/>
      <c r="BX391" s="162"/>
      <c r="BY391" s="162"/>
      <c r="BZ391" s="162"/>
      <c r="CA391" s="162"/>
      <c r="CB391" s="162"/>
      <c r="CC391" s="56"/>
      <c r="CD391" s="56"/>
      <c r="CE391" s="56"/>
      <c r="CF391" s="56"/>
      <c r="CG391" s="56"/>
      <c r="CH391" s="56"/>
      <c r="CI391" s="103">
        <f t="shared" si="137"/>
        <v>2.96E-3</v>
      </c>
      <c r="CJ391" s="103">
        <f t="shared" si="138"/>
        <v>-2.5287082889410613</v>
      </c>
      <c r="CK391" s="57">
        <f t="shared" si="132"/>
        <v>0.51199416675740794</v>
      </c>
      <c r="CL391" s="160">
        <f t="shared" si="124"/>
        <v>13.837680182632647</v>
      </c>
      <c r="CM391" s="160">
        <v>-2.6240868885011253</v>
      </c>
      <c r="CN391" s="160">
        <f>BJ391/(10^CM391)</f>
        <v>33.664864864864896</v>
      </c>
      <c r="CO391" s="55" t="s">
        <v>892</v>
      </c>
      <c r="CP391" s="55" t="s">
        <v>893</v>
      </c>
      <c r="CQ391" s="149">
        <v>-2.6240868885011253</v>
      </c>
      <c r="CR391" s="349">
        <f>10^(CJ391-CQ391)</f>
        <v>1.2456000000000005</v>
      </c>
      <c r="CS391" s="61" t="s">
        <v>539</v>
      </c>
      <c r="CT391" s="61"/>
      <c r="CU391" s="111">
        <f t="shared" si="135"/>
        <v>14.747156494600189</v>
      </c>
      <c r="CV391" s="331">
        <f t="shared" si="133"/>
        <v>0.54564479030020696</v>
      </c>
      <c r="CW391" s="326">
        <f t="shared" si="139"/>
        <v>1</v>
      </c>
      <c r="CX391" s="326" t="s">
        <v>539</v>
      </c>
      <c r="CY391" s="161" t="s">
        <v>5921</v>
      </c>
    </row>
    <row r="392" spans="1:103" ht="11.25" customHeight="1" x14ac:dyDescent="0.2">
      <c r="A392" s="72">
        <v>390</v>
      </c>
      <c r="B392" s="149">
        <v>943</v>
      </c>
      <c r="C392" s="54" t="s">
        <v>6700</v>
      </c>
      <c r="D392" s="54"/>
      <c r="E392" s="59"/>
      <c r="F392" s="59" t="s">
        <v>2687</v>
      </c>
      <c r="G392" s="151">
        <v>174185161</v>
      </c>
      <c r="H392" s="55" t="s">
        <v>2688</v>
      </c>
      <c r="I392" s="55" t="s">
        <v>7743</v>
      </c>
      <c r="J392" s="55" t="s">
        <v>2689</v>
      </c>
      <c r="K392" s="55" t="s">
        <v>2690</v>
      </c>
      <c r="L392" s="55"/>
      <c r="M392" s="55"/>
      <c r="N392" s="60"/>
      <c r="O392" s="55"/>
      <c r="P392" s="67"/>
      <c r="Q392" s="67"/>
      <c r="R392" s="67"/>
      <c r="S392" s="67"/>
      <c r="T392" s="56">
        <v>353.76</v>
      </c>
      <c r="U392" s="103"/>
      <c r="V392" s="103">
        <v>8.6979873360470382E-3</v>
      </c>
      <c r="W392" s="103">
        <v>1.6595869074375578E-3</v>
      </c>
      <c r="X392" s="103">
        <f>IF(W392=0,V392,W392)</f>
        <v>1.6595869074375578E-3</v>
      </c>
      <c r="Y392" s="162">
        <v>7</v>
      </c>
      <c r="Z392" s="56">
        <v>2.09</v>
      </c>
      <c r="AA392" s="56"/>
      <c r="AB392" s="56">
        <v>3.66</v>
      </c>
      <c r="AC392" s="56">
        <v>0.47989999999999999</v>
      </c>
      <c r="AD392" s="56">
        <v>3.92</v>
      </c>
      <c r="AE392" s="56">
        <v>4.28</v>
      </c>
      <c r="AF392" s="56">
        <f t="shared" si="136"/>
        <v>3.92</v>
      </c>
      <c r="AG392" s="57">
        <v>4.0199999999999996</v>
      </c>
      <c r="AH392" s="103">
        <v>1.5600000000000001E-14</v>
      </c>
      <c r="AI392" s="103"/>
      <c r="AJ392" s="62">
        <f t="shared" si="130"/>
        <v>-12.19544172795819</v>
      </c>
      <c r="AK392" s="62"/>
      <c r="AL392" s="62">
        <f t="shared" si="131"/>
        <v>-12.19544172795819</v>
      </c>
      <c r="AM392" s="62">
        <v>-18.28548</v>
      </c>
      <c r="AN392" s="154">
        <v>-9.68</v>
      </c>
      <c r="AO392" s="410">
        <v>17.059999999999999</v>
      </c>
      <c r="AP392" s="410">
        <v>4.53</v>
      </c>
      <c r="AQ392" s="56" t="s">
        <v>6311</v>
      </c>
      <c r="AR392" s="56" t="s">
        <v>6311</v>
      </c>
      <c r="AS392" s="155"/>
      <c r="AT392" s="58" t="s">
        <v>266</v>
      </c>
      <c r="AU392" s="56">
        <v>6</v>
      </c>
      <c r="AV392" s="56">
        <v>120</v>
      </c>
      <c r="AW392" s="56">
        <v>114</v>
      </c>
      <c r="AX392" s="56">
        <v>28</v>
      </c>
      <c r="AY392" s="56" t="s">
        <v>8728</v>
      </c>
      <c r="AZ392" s="56" t="s">
        <v>1563</v>
      </c>
      <c r="BA392" s="56">
        <v>32</v>
      </c>
      <c r="BB392" s="55" t="s">
        <v>2485</v>
      </c>
      <c r="BC392" s="55" t="s">
        <v>8726</v>
      </c>
      <c r="BD392" s="55" t="s">
        <v>8374</v>
      </c>
      <c r="BE392" s="56" t="s">
        <v>2449</v>
      </c>
      <c r="BF392" s="56" t="s">
        <v>272</v>
      </c>
      <c r="BG392" s="56" t="s">
        <v>272</v>
      </c>
      <c r="BH392" s="56" t="s">
        <v>2486</v>
      </c>
      <c r="BI392" s="103">
        <v>6.3999999999999997E-6</v>
      </c>
      <c r="BJ392" s="103">
        <v>6.4000000000000001E-2</v>
      </c>
      <c r="BK392" s="56"/>
      <c r="BL392" s="103">
        <f t="shared" si="134"/>
        <v>0.68197899725728606</v>
      </c>
      <c r="BM392" s="56" t="s">
        <v>2046</v>
      </c>
      <c r="BN392" s="56">
        <v>20.238577029999998</v>
      </c>
      <c r="BO392" s="56"/>
      <c r="BP392" s="56"/>
      <c r="BQ392" s="56"/>
      <c r="BR392" s="55">
        <v>2.0238577000000001E-2</v>
      </c>
      <c r="BS392" s="56"/>
      <c r="BT392" s="56"/>
      <c r="BU392" s="158"/>
      <c r="BV392" s="56"/>
      <c r="BW392" s="56"/>
      <c r="BX392" s="56"/>
      <c r="BY392" s="56"/>
      <c r="BZ392" s="56"/>
      <c r="CA392" s="56"/>
      <c r="CB392" s="56"/>
      <c r="CC392" s="56"/>
      <c r="CD392" s="56"/>
      <c r="CE392" s="56"/>
      <c r="CF392" s="56"/>
      <c r="CG392" s="56"/>
      <c r="CH392" s="56"/>
      <c r="CI392" s="103">
        <f t="shared" si="137"/>
        <v>2.0238577000000001E-2</v>
      </c>
      <c r="CJ392" s="103">
        <f t="shared" si="138"/>
        <v>-1.6938200265542473</v>
      </c>
      <c r="CK392" s="57">
        <f t="shared" si="132"/>
        <v>10.655921832145095</v>
      </c>
      <c r="CL392" s="160">
        <f t="shared" si="124"/>
        <v>33.696983600046885</v>
      </c>
      <c r="CM392" s="160"/>
      <c r="CN392" s="160"/>
      <c r="CO392" s="55" t="s">
        <v>2488</v>
      </c>
      <c r="CP392" s="55" t="s">
        <v>2489</v>
      </c>
      <c r="CQ392" s="149" t="s">
        <v>272</v>
      </c>
      <c r="CR392" s="349"/>
      <c r="CS392" s="61" t="s">
        <v>539</v>
      </c>
      <c r="CT392" s="61"/>
      <c r="CU392" s="111">
        <f t="shared" si="135"/>
        <v>8.2001165765634501E-2</v>
      </c>
      <c r="CV392" s="331">
        <f t="shared" si="133"/>
        <v>2.593104542871184E-2</v>
      </c>
      <c r="CW392" s="326">
        <f t="shared" si="139"/>
        <v>0</v>
      </c>
      <c r="CX392" s="326"/>
      <c r="CY392" s="161" t="s">
        <v>5921</v>
      </c>
    </row>
    <row r="393" spans="1:103" ht="11.25" customHeight="1" x14ac:dyDescent="0.2">
      <c r="A393" s="72">
        <v>391</v>
      </c>
      <c r="B393" s="149">
        <v>2164</v>
      </c>
      <c r="C393" s="54" t="s">
        <v>6701</v>
      </c>
      <c r="D393" s="54" t="s">
        <v>6702</v>
      </c>
      <c r="E393" s="59"/>
      <c r="F393" s="59" t="s">
        <v>1690</v>
      </c>
      <c r="G393" s="151">
        <v>534521</v>
      </c>
      <c r="H393" s="55" t="s">
        <v>1691</v>
      </c>
      <c r="I393" s="55" t="s">
        <v>1691</v>
      </c>
      <c r="J393" s="55" t="s">
        <v>1692</v>
      </c>
      <c r="K393" s="55" t="s">
        <v>1693</v>
      </c>
      <c r="L393" s="55" t="s">
        <v>617</v>
      </c>
      <c r="M393" s="55" t="s">
        <v>1694</v>
      </c>
      <c r="N393" s="60" t="s">
        <v>6381</v>
      </c>
      <c r="O393" s="55" t="s">
        <v>1695</v>
      </c>
      <c r="P393" s="67"/>
      <c r="Q393" s="67" t="s">
        <v>6173</v>
      </c>
      <c r="R393" s="67" t="s">
        <v>6180</v>
      </c>
      <c r="S393" s="67" t="s">
        <v>6176</v>
      </c>
      <c r="T393" s="56">
        <v>198.13</v>
      </c>
      <c r="U393" s="103">
        <v>0.99934386513905016</v>
      </c>
      <c r="V393" s="103">
        <v>3.4240145359107657</v>
      </c>
      <c r="W393" s="103">
        <v>2.8840315031266042</v>
      </c>
      <c r="X393" s="103">
        <v>0.99934386513905016</v>
      </c>
      <c r="Y393" s="162">
        <v>3.5</v>
      </c>
      <c r="Z393" s="56">
        <v>2.27</v>
      </c>
      <c r="AA393" s="56">
        <v>2.13</v>
      </c>
      <c r="AB393" s="56">
        <v>2.29</v>
      </c>
      <c r="AC393" s="56">
        <v>0.86</v>
      </c>
      <c r="AD393" s="56">
        <v>2.27</v>
      </c>
      <c r="AE393" s="56">
        <v>2.2000000000000002</v>
      </c>
      <c r="AF393" s="56">
        <f t="shared" si="136"/>
        <v>2.13</v>
      </c>
      <c r="AG393" s="57">
        <v>1.1499999999999999</v>
      </c>
      <c r="AH393" s="103">
        <v>3.0500000000000002E-8</v>
      </c>
      <c r="AI393" s="103">
        <v>1.3999999999999999E-6</v>
      </c>
      <c r="AJ393" s="62">
        <f t="shared" si="130"/>
        <v>-5.9042664869658656</v>
      </c>
      <c r="AK393" s="62">
        <f>LOG10(AI393*1000/(0.08206*298.15))</f>
        <v>-4.2424382906344134</v>
      </c>
      <c r="AL393" s="62">
        <f t="shared" si="131"/>
        <v>-4.2424382906344134</v>
      </c>
      <c r="AM393" s="62">
        <v>-9.2475299999999994</v>
      </c>
      <c r="AN393" s="154">
        <v>-5.07</v>
      </c>
      <c r="AO393" s="410">
        <v>4.42</v>
      </c>
      <c r="AP393" s="410"/>
      <c r="AQ393" s="154" t="s">
        <v>6311</v>
      </c>
      <c r="AR393" s="154" t="s">
        <v>6311</v>
      </c>
      <c r="AS393" s="149" t="s">
        <v>6</v>
      </c>
      <c r="AT393" s="58" t="s">
        <v>266</v>
      </c>
      <c r="AU393" s="56">
        <v>0</v>
      </c>
      <c r="AV393" s="56">
        <v>96</v>
      </c>
      <c r="AW393" s="56">
        <v>96</v>
      </c>
      <c r="AX393" s="56">
        <v>26</v>
      </c>
      <c r="AY393" s="472" t="s">
        <v>6360</v>
      </c>
      <c r="AZ393" s="56" t="s">
        <v>536</v>
      </c>
      <c r="BA393" s="56">
        <v>20</v>
      </c>
      <c r="BB393" s="55" t="s">
        <v>1764</v>
      </c>
      <c r="BC393" s="55" t="s">
        <v>6359</v>
      </c>
      <c r="BD393" s="55"/>
      <c r="BE393" s="56" t="s">
        <v>1712</v>
      </c>
      <c r="BF393" s="56" t="s">
        <v>539</v>
      </c>
      <c r="BG393" s="56" t="s">
        <v>539</v>
      </c>
      <c r="BH393" s="56" t="s">
        <v>272</v>
      </c>
      <c r="BI393" s="103">
        <f>0.18/198.13</f>
        <v>9.084944228536819E-4</v>
      </c>
      <c r="BJ393" s="103">
        <f>1.89/198.13</f>
        <v>9.5391914399636599E-3</v>
      </c>
      <c r="BK393" s="56"/>
      <c r="BL393" s="103">
        <f t="shared" si="134"/>
        <v>0.47001638725467887</v>
      </c>
      <c r="BM393" s="56" t="s">
        <v>541</v>
      </c>
      <c r="BN393" s="56"/>
      <c r="BO393" s="56">
        <f>0.723/198.13</f>
        <v>3.6491192651289558E-3</v>
      </c>
      <c r="BP393" s="56"/>
      <c r="BQ393" s="56">
        <f>0.567/198.13</f>
        <v>2.8617574319890981E-3</v>
      </c>
      <c r="BR393" s="56"/>
      <c r="BS393" s="56"/>
      <c r="BT393" s="56"/>
      <c r="BU393" s="158"/>
      <c r="BV393" s="56"/>
      <c r="BW393" s="56"/>
      <c r="BX393" s="56"/>
      <c r="BY393" s="56"/>
      <c r="BZ393" s="56"/>
      <c r="CA393" s="56"/>
      <c r="CB393" s="56"/>
      <c r="CC393" s="56"/>
      <c r="CD393" s="56"/>
      <c r="CE393" s="56"/>
      <c r="CF393" s="56"/>
      <c r="CG393" s="56"/>
      <c r="CH393" s="56"/>
      <c r="CI393" s="103">
        <f t="shared" si="137"/>
        <v>2.8617574319890981E-3</v>
      </c>
      <c r="CJ393" s="103">
        <f t="shared" si="138"/>
        <v>-2.5433671806437324</v>
      </c>
      <c r="CK393" s="57">
        <f t="shared" si="132"/>
        <v>49.272141167602925</v>
      </c>
      <c r="CL393" s="160">
        <f t="shared" si="124"/>
        <v>164.24047055867641</v>
      </c>
      <c r="CM393" s="160"/>
      <c r="CN393" s="160"/>
      <c r="CO393" s="55"/>
      <c r="CP393" s="55" t="s">
        <v>6355</v>
      </c>
      <c r="CQ393" s="149">
        <v>-2.4104555644709507</v>
      </c>
      <c r="CR393" s="349">
        <f>10^(CJ393-CQ393)</f>
        <v>0.73635693919243261</v>
      </c>
      <c r="CS393" s="61" t="s">
        <v>539</v>
      </c>
      <c r="CT393" s="61"/>
      <c r="CU393" s="111">
        <f t="shared" si="135"/>
        <v>349.20634920634922</v>
      </c>
      <c r="CV393" s="331">
        <f t="shared" si="133"/>
        <v>104.76190476190477</v>
      </c>
      <c r="CW393" s="326">
        <f t="shared" si="139"/>
        <v>1</v>
      </c>
      <c r="CX393" s="326" t="s">
        <v>539</v>
      </c>
      <c r="CY393" s="161" t="s">
        <v>6351</v>
      </c>
    </row>
    <row r="394" spans="1:103" ht="11.25" customHeight="1" x14ac:dyDescent="0.2">
      <c r="A394" s="72">
        <v>392</v>
      </c>
      <c r="B394" s="149">
        <v>790</v>
      </c>
      <c r="C394" s="54" t="s">
        <v>2078</v>
      </c>
      <c r="D394" s="54" t="s">
        <v>6568</v>
      </c>
      <c r="E394" s="59"/>
      <c r="F394" s="59" t="s">
        <v>2079</v>
      </c>
      <c r="G394" s="151">
        <v>84852153</v>
      </c>
      <c r="H394" s="55" t="s">
        <v>2080</v>
      </c>
      <c r="I394" s="55" t="s">
        <v>2080</v>
      </c>
      <c r="J394" s="55"/>
      <c r="K394" s="55" t="s">
        <v>349</v>
      </c>
      <c r="L394" s="55"/>
      <c r="M394" s="55" t="s">
        <v>602</v>
      </c>
      <c r="N394" s="60" t="s">
        <v>6386</v>
      </c>
      <c r="O394" s="55" t="s">
        <v>2081</v>
      </c>
      <c r="P394" s="67"/>
      <c r="Q394" s="67"/>
      <c r="R394" s="67"/>
      <c r="S394" s="67"/>
      <c r="T394" s="56">
        <v>220.36</v>
      </c>
      <c r="U394" s="103">
        <v>22.690143401706298</v>
      </c>
      <c r="V394" s="103">
        <v>7.0067162824469049E-3</v>
      </c>
      <c r="W394" s="103">
        <v>0.16595869074375585</v>
      </c>
      <c r="X394" s="103">
        <v>22.690143401706298</v>
      </c>
      <c r="Y394" s="162">
        <v>6.83</v>
      </c>
      <c r="Z394" s="56">
        <v>5.77</v>
      </c>
      <c r="AA394" s="56"/>
      <c r="AB394" s="56">
        <v>5.2</v>
      </c>
      <c r="AC394" s="56">
        <v>0.65349999999999997</v>
      </c>
      <c r="AD394" s="56">
        <v>5.39</v>
      </c>
      <c r="AE394" s="56">
        <v>5.64</v>
      </c>
      <c r="AF394" s="56">
        <f t="shared" si="136"/>
        <v>5.39</v>
      </c>
      <c r="AG394" s="57">
        <v>5.39</v>
      </c>
      <c r="AH394" s="103">
        <v>5.9699999999999996E-6</v>
      </c>
      <c r="AI394" s="103">
        <v>4.3000000000000003E-6</v>
      </c>
      <c r="AJ394" s="62">
        <f t="shared" si="130"/>
        <v>-3.6125919951832826</v>
      </c>
      <c r="AK394" s="62">
        <f>LOG10(AI394*1000/(0.08206*298.15))</f>
        <v>-3.7550978707330653</v>
      </c>
      <c r="AL394" s="62">
        <f t="shared" si="131"/>
        <v>-3.7550978707330653</v>
      </c>
      <c r="AM394" s="62">
        <v>-7.7129099999999999</v>
      </c>
      <c r="AN394" s="154"/>
      <c r="AO394" s="410">
        <v>10.15</v>
      </c>
      <c r="AP394" s="410"/>
      <c r="AQ394" s="56" t="s">
        <v>6311</v>
      </c>
      <c r="AR394" s="56" t="s">
        <v>6311</v>
      </c>
      <c r="AS394" s="149" t="s">
        <v>6</v>
      </c>
      <c r="AT394" s="58" t="s">
        <v>266</v>
      </c>
      <c r="AU394" s="56">
        <v>6</v>
      </c>
      <c r="AV394" s="56">
        <v>96</v>
      </c>
      <c r="AW394" s="56">
        <v>90</v>
      </c>
      <c r="AX394" s="56">
        <v>28</v>
      </c>
      <c r="AY394" s="56" t="s">
        <v>8722</v>
      </c>
      <c r="AZ394" s="56" t="s">
        <v>2213</v>
      </c>
      <c r="BA394" s="56" t="s">
        <v>8722</v>
      </c>
      <c r="BB394" s="55" t="s">
        <v>1764</v>
      </c>
      <c r="BC394" s="55" t="s">
        <v>2214</v>
      </c>
      <c r="BD394" s="55"/>
      <c r="BE394" s="56" t="s">
        <v>1712</v>
      </c>
      <c r="BF394" s="56" t="s">
        <v>272</v>
      </c>
      <c r="BG394" s="56" t="s">
        <v>272</v>
      </c>
      <c r="BH394" s="56" t="s">
        <v>2119</v>
      </c>
      <c r="BI394" s="103">
        <v>1.0000000000000001E-5</v>
      </c>
      <c r="BJ394" s="103">
        <v>0.1</v>
      </c>
      <c r="BK394" s="56"/>
      <c r="BL394" s="103">
        <f t="shared" si="134"/>
        <v>3.3788040027167332E-4</v>
      </c>
      <c r="BM394" s="56" t="s">
        <v>1584</v>
      </c>
      <c r="BN394" s="56"/>
      <c r="BO394" s="56">
        <v>4.7999999999999996E-3</v>
      </c>
      <c r="BP394" s="56">
        <v>2.7000000000000001E-3</v>
      </c>
      <c r="BQ394" s="56"/>
      <c r="BR394" s="56"/>
      <c r="BS394" s="56"/>
      <c r="BT394" s="56"/>
      <c r="BU394" s="158"/>
      <c r="BV394" s="56"/>
      <c r="BW394" s="56"/>
      <c r="BX394" s="56"/>
      <c r="BY394" s="56"/>
      <c r="BZ394" s="56"/>
      <c r="CA394" s="56"/>
      <c r="CB394" s="56"/>
      <c r="CC394" s="56"/>
      <c r="CD394" s="56"/>
      <c r="CE394" s="56"/>
      <c r="CF394" s="56"/>
      <c r="CG394" s="56"/>
      <c r="CH394" s="56"/>
      <c r="CI394" s="103">
        <f t="shared" si="137"/>
        <v>2.7000000000000001E-3</v>
      </c>
      <c r="CJ394" s="103">
        <f t="shared" si="138"/>
        <v>-2.5686362358410126</v>
      </c>
      <c r="CK394" s="57">
        <f t="shared" si="132"/>
        <v>3.3788040027167331E-3</v>
      </c>
      <c r="CL394" s="160">
        <f t="shared" si="124"/>
        <v>0.12514088898950862</v>
      </c>
      <c r="CM394" s="160"/>
      <c r="CN394" s="160"/>
      <c r="CO394" s="55"/>
      <c r="CP394" s="55" t="s">
        <v>2215</v>
      </c>
      <c r="CQ394" s="149">
        <v>-3.02298647759023</v>
      </c>
      <c r="CR394" s="349">
        <f>10^(CJ394-CQ394)</f>
        <v>2.8467559808612459</v>
      </c>
      <c r="CS394" s="61" t="s">
        <v>539</v>
      </c>
      <c r="CT394" s="61"/>
      <c r="CU394" s="111">
        <f t="shared" si="135"/>
        <v>8403.7568154467772</v>
      </c>
      <c r="CV394" s="331">
        <f t="shared" si="133"/>
        <v>226.90143401706297</v>
      </c>
      <c r="CW394" s="326">
        <f t="shared" si="139"/>
        <v>1</v>
      </c>
      <c r="CX394" s="326" t="s">
        <v>539</v>
      </c>
      <c r="CY394" s="161" t="s">
        <v>6351</v>
      </c>
    </row>
    <row r="395" spans="1:103" ht="11.25" customHeight="1" x14ac:dyDescent="0.2">
      <c r="A395" s="72">
        <v>393</v>
      </c>
      <c r="B395" s="149">
        <v>419</v>
      </c>
      <c r="C395" s="54" t="s">
        <v>6703</v>
      </c>
      <c r="D395" s="54"/>
      <c r="E395" s="59"/>
      <c r="F395" s="59" t="s">
        <v>1415</v>
      </c>
      <c r="G395" s="151">
        <v>181274157</v>
      </c>
      <c r="H395" s="55" t="s">
        <v>1416</v>
      </c>
      <c r="I395" s="55" t="s">
        <v>7863</v>
      </c>
      <c r="J395" s="55" t="s">
        <v>1417</v>
      </c>
      <c r="K395" s="55" t="s">
        <v>1418</v>
      </c>
      <c r="L395" s="55"/>
      <c r="M395" s="55"/>
      <c r="N395" s="60"/>
      <c r="O395" s="55"/>
      <c r="P395" s="67"/>
      <c r="Q395" s="67"/>
      <c r="R395" s="67"/>
      <c r="S395" s="67"/>
      <c r="T395" s="56">
        <v>398.39</v>
      </c>
      <c r="U395" s="103"/>
      <c r="V395" s="103">
        <v>4.242074349255754E-2</v>
      </c>
      <c r="W395" s="103">
        <v>0.81283051616409874</v>
      </c>
      <c r="X395" s="103">
        <f>IF(W395=0,V395,W395)</f>
        <v>0.81283051616409874</v>
      </c>
      <c r="Y395" s="162">
        <v>3.63</v>
      </c>
      <c r="Z395" s="56">
        <v>2.66</v>
      </c>
      <c r="AA395" s="56"/>
      <c r="AB395" s="56">
        <v>1.1000000000000001</v>
      </c>
      <c r="AC395" s="56">
        <v>0.48370000000000002</v>
      </c>
      <c r="AD395" s="56">
        <v>0.63</v>
      </c>
      <c r="AE395" s="56">
        <v>0.06</v>
      </c>
      <c r="AF395" s="56">
        <f t="shared" si="136"/>
        <v>0.63</v>
      </c>
      <c r="AG395" s="57">
        <v>0.63</v>
      </c>
      <c r="AH395" s="103">
        <v>1.41E-17</v>
      </c>
      <c r="AI395" s="103"/>
      <c r="AJ395" s="62">
        <f t="shared" si="130"/>
        <v>-15.239347213657272</v>
      </c>
      <c r="AK395" s="62"/>
      <c r="AL395" s="62">
        <f t="shared" si="131"/>
        <v>-15.239347213657272</v>
      </c>
      <c r="AM395" s="62">
        <v>-24.07235</v>
      </c>
      <c r="AN395" s="154"/>
      <c r="AO395" s="410">
        <v>4.0199999999999996</v>
      </c>
      <c r="AP395" s="410">
        <v>-3.75</v>
      </c>
      <c r="AQ395" s="154" t="s">
        <v>6311</v>
      </c>
      <c r="AR395" s="154" t="s">
        <v>6312</v>
      </c>
      <c r="AS395" s="149" t="s">
        <v>120</v>
      </c>
      <c r="AT395" s="58" t="s">
        <v>266</v>
      </c>
      <c r="AU395" s="56">
        <v>8</v>
      </c>
      <c r="AV395" s="56">
        <v>144</v>
      </c>
      <c r="AW395" s="56">
        <v>120</v>
      </c>
      <c r="AX395" s="56">
        <v>26</v>
      </c>
      <c r="AY395" s="56" t="s">
        <v>267</v>
      </c>
      <c r="AZ395" s="56" t="s">
        <v>268</v>
      </c>
      <c r="BA395" s="56">
        <v>2</v>
      </c>
      <c r="BB395" s="55" t="s">
        <v>888</v>
      </c>
      <c r="BC395" s="55" t="s">
        <v>270</v>
      </c>
      <c r="BD395" s="55" t="s">
        <v>8374</v>
      </c>
      <c r="BE395" s="56" t="s">
        <v>889</v>
      </c>
      <c r="BF395" s="56" t="s">
        <v>272</v>
      </c>
      <c r="BG395" s="56" t="s">
        <v>272</v>
      </c>
      <c r="BH395" s="56" t="s">
        <v>890</v>
      </c>
      <c r="BI395" s="103">
        <v>9.9999999999999995E-7</v>
      </c>
      <c r="BJ395" s="103">
        <v>0.08</v>
      </c>
      <c r="BK395" s="56"/>
      <c r="BL395" s="103">
        <f t="shared" si="134"/>
        <v>0.20982343860140321</v>
      </c>
      <c r="BM395" s="56" t="s">
        <v>891</v>
      </c>
      <c r="BN395" s="162"/>
      <c r="BO395" s="162"/>
      <c r="BP395" s="162"/>
      <c r="BQ395" s="162"/>
      <c r="BR395" s="162"/>
      <c r="BS395" s="172">
        <v>5.645E-2</v>
      </c>
      <c r="BT395" s="162"/>
      <c r="BU395" s="173"/>
      <c r="BV395" s="162"/>
      <c r="BW395" s="162"/>
      <c r="BX395" s="162"/>
      <c r="BY395" s="162"/>
      <c r="BZ395" s="162"/>
      <c r="CA395" s="162"/>
      <c r="CB395" s="162"/>
      <c r="CC395" s="172"/>
      <c r="CD395" s="56"/>
      <c r="CE395" s="56"/>
      <c r="CF395" s="56"/>
      <c r="CG395" s="56"/>
      <c r="CH395" s="172"/>
      <c r="CI395" s="103">
        <f t="shared" si="137"/>
        <v>5.645E-2</v>
      </c>
      <c r="CJ395" s="103">
        <f t="shared" si="138"/>
        <v>-1.2483360537390134</v>
      </c>
      <c r="CK395" s="57">
        <f t="shared" si="132"/>
        <v>2.6227929825175402</v>
      </c>
      <c r="CL395" s="160">
        <f t="shared" si="124"/>
        <v>3.7169785403260089</v>
      </c>
      <c r="CM395" s="160"/>
      <c r="CN395" s="160"/>
      <c r="CO395" s="55" t="s">
        <v>892</v>
      </c>
      <c r="CP395" s="55" t="s">
        <v>893</v>
      </c>
      <c r="CQ395" s="149" t="s">
        <v>272</v>
      </c>
      <c r="CR395" s="349"/>
      <c r="CS395" s="61" t="s">
        <v>539</v>
      </c>
      <c r="CT395" s="61"/>
      <c r="CU395" s="111">
        <f t="shared" si="135"/>
        <v>14.39912340414701</v>
      </c>
      <c r="CV395" s="331">
        <f t="shared" si="133"/>
        <v>10.160381452051235</v>
      </c>
      <c r="CW395" s="326">
        <f t="shared" si="139"/>
        <v>1</v>
      </c>
      <c r="CX395" s="326" t="s">
        <v>539</v>
      </c>
      <c r="CY395" s="161" t="s">
        <v>5921</v>
      </c>
    </row>
    <row r="396" spans="1:103" ht="11.25" customHeight="1" x14ac:dyDescent="0.2">
      <c r="A396" s="72">
        <v>394</v>
      </c>
      <c r="B396" s="149">
        <v>898</v>
      </c>
      <c r="C396" s="54" t="s">
        <v>2558</v>
      </c>
      <c r="D396" s="54" t="s">
        <v>6704</v>
      </c>
      <c r="E396" s="59"/>
      <c r="F396" s="59" t="s">
        <v>2559</v>
      </c>
      <c r="G396" s="151">
        <v>643798</v>
      </c>
      <c r="H396" s="55" t="s">
        <v>2560</v>
      </c>
      <c r="I396" s="55" t="s">
        <v>2560</v>
      </c>
      <c r="J396" s="55" t="s">
        <v>2561</v>
      </c>
      <c r="K396" s="55" t="s">
        <v>2562</v>
      </c>
      <c r="L396" s="55" t="s">
        <v>6070</v>
      </c>
      <c r="M396" s="60" t="s">
        <v>2342</v>
      </c>
      <c r="N396" s="60" t="s">
        <v>2342</v>
      </c>
      <c r="O396" s="55"/>
      <c r="P396" s="67"/>
      <c r="Q396" s="67"/>
      <c r="R396" s="67"/>
      <c r="S396" s="67"/>
      <c r="T396" s="56">
        <v>134.13</v>
      </c>
      <c r="U396" s="103"/>
      <c r="V396" s="103">
        <v>39.856855289644379</v>
      </c>
      <c r="W396" s="103">
        <v>12.882495516931332</v>
      </c>
      <c r="X396" s="103">
        <f>IF(W396=0,V396,W396)</f>
        <v>12.882495516931332</v>
      </c>
      <c r="Y396" s="162">
        <v>7</v>
      </c>
      <c r="Z396" s="56">
        <v>1.43</v>
      </c>
      <c r="AA396" s="56"/>
      <c r="AB396" s="56">
        <v>1.43</v>
      </c>
      <c r="AC396" s="56">
        <v>0.82310000000000005</v>
      </c>
      <c r="AD396" s="56">
        <v>1.17</v>
      </c>
      <c r="AE396" s="56">
        <v>0.51</v>
      </c>
      <c r="AF396" s="56">
        <f t="shared" si="136"/>
        <v>1.17</v>
      </c>
      <c r="AG396" s="57">
        <v>1.38</v>
      </c>
      <c r="AH396" s="103">
        <v>3.3500000000000002E-8</v>
      </c>
      <c r="AI396" s="103"/>
      <c r="AJ396" s="62">
        <f t="shared" si="130"/>
        <v>-5.8635215192758068</v>
      </c>
      <c r="AK396" s="62"/>
      <c r="AL396" s="62">
        <f t="shared" si="131"/>
        <v>-5.8635215192758068</v>
      </c>
      <c r="AM396" s="62">
        <v>-8.6995499999999986</v>
      </c>
      <c r="AN396" s="154">
        <v>-5.4</v>
      </c>
      <c r="AO396" s="410"/>
      <c r="AP396" s="410"/>
      <c r="AQ396" s="56" t="s">
        <v>6311</v>
      </c>
      <c r="AR396" s="56" t="s">
        <v>6311</v>
      </c>
      <c r="AS396" s="155"/>
      <c r="AT396" s="58" t="s">
        <v>266</v>
      </c>
      <c r="AU396" s="56">
        <v>6</v>
      </c>
      <c r="AV396" s="56">
        <v>120</v>
      </c>
      <c r="AW396" s="56">
        <v>114</v>
      </c>
      <c r="AX396" s="56">
        <v>28</v>
      </c>
      <c r="AY396" s="56" t="s">
        <v>8728</v>
      </c>
      <c r="AZ396" s="56" t="s">
        <v>1563</v>
      </c>
      <c r="BA396" s="56">
        <v>32</v>
      </c>
      <c r="BB396" s="55" t="s">
        <v>2485</v>
      </c>
      <c r="BC396" s="55" t="s">
        <v>8726</v>
      </c>
      <c r="BD396" s="55" t="s">
        <v>8374</v>
      </c>
      <c r="BE396" s="56" t="s">
        <v>2449</v>
      </c>
      <c r="BF396" s="56" t="s">
        <v>272</v>
      </c>
      <c r="BG396" s="56" t="s">
        <v>272</v>
      </c>
      <c r="BH396" s="56" t="s">
        <v>2486</v>
      </c>
      <c r="BI396" s="103">
        <v>6.3999999999999997E-6</v>
      </c>
      <c r="BJ396" s="103">
        <v>6.4000000000000001E-2</v>
      </c>
      <c r="BK396" s="56"/>
      <c r="BL396" s="103">
        <f t="shared" si="134"/>
        <v>2.6700352808024381</v>
      </c>
      <c r="BM396" s="56" t="s">
        <v>2487</v>
      </c>
      <c r="BN396" s="56"/>
      <c r="BO396" s="56"/>
      <c r="BP396" s="56"/>
      <c r="BQ396" s="56"/>
      <c r="BR396" s="55">
        <v>2.5799999999999998E-3</v>
      </c>
      <c r="BS396" s="56"/>
      <c r="BT396" s="56"/>
      <c r="BU396" s="158"/>
      <c r="BV396" s="56"/>
      <c r="BW396" s="56"/>
      <c r="BX396" s="56"/>
      <c r="BY396" s="56"/>
      <c r="BZ396" s="56"/>
      <c r="CA396" s="56"/>
      <c r="CB396" s="56"/>
      <c r="CC396" s="56"/>
      <c r="CD396" s="56"/>
      <c r="CE396" s="56"/>
      <c r="CF396" s="56"/>
      <c r="CG396" s="56"/>
      <c r="CH396" s="56"/>
      <c r="CI396" s="103">
        <f t="shared" si="137"/>
        <v>2.5799999999999998E-3</v>
      </c>
      <c r="CJ396" s="103">
        <f t="shared" si="138"/>
        <v>-2.5883802940367699</v>
      </c>
      <c r="CK396" s="57">
        <f t="shared" si="132"/>
        <v>41.719301262538096</v>
      </c>
      <c r="CL396" s="160">
        <f t="shared" si="124"/>
        <v>1034.8973956598597</v>
      </c>
      <c r="CM396" s="160">
        <v>-3.5483446785400692</v>
      </c>
      <c r="CN396" s="160">
        <f>BJ396/(10^CM396)</f>
        <v>226.21669469780534</v>
      </c>
      <c r="CO396" s="55" t="s">
        <v>2488</v>
      </c>
      <c r="CP396" s="55" t="s">
        <v>2489</v>
      </c>
      <c r="CQ396" s="149">
        <v>-3.5483446785400692</v>
      </c>
      <c r="CR396" s="349">
        <f>10^(CJ396-CQ396)</f>
        <v>9.1193605050052664</v>
      </c>
      <c r="CS396" s="61" t="s">
        <v>539</v>
      </c>
      <c r="CT396" s="61"/>
      <c r="CU396" s="111">
        <f t="shared" si="135"/>
        <v>4993.2153166400512</v>
      </c>
      <c r="CV396" s="331">
        <f t="shared" si="133"/>
        <v>201.28899245205207</v>
      </c>
      <c r="CW396" s="326">
        <f t="shared" si="139"/>
        <v>1</v>
      </c>
      <c r="CX396" s="326"/>
      <c r="CY396" s="161" t="s">
        <v>5921</v>
      </c>
    </row>
    <row r="397" spans="1:103" ht="11.25" customHeight="1" x14ac:dyDescent="0.2">
      <c r="A397" s="72">
        <v>395</v>
      </c>
      <c r="B397" s="149">
        <v>789</v>
      </c>
      <c r="C397" s="54" t="s">
        <v>620</v>
      </c>
      <c r="D397" s="54" t="s">
        <v>6472</v>
      </c>
      <c r="E397" s="59"/>
      <c r="F397" s="59" t="s">
        <v>621</v>
      </c>
      <c r="G397" s="151">
        <v>121755</v>
      </c>
      <c r="H397" s="55" t="s">
        <v>622</v>
      </c>
      <c r="I397" s="55" t="s">
        <v>622</v>
      </c>
      <c r="J397" s="55" t="s">
        <v>623</v>
      </c>
      <c r="K397" s="55" t="s">
        <v>624</v>
      </c>
      <c r="L397" s="55" t="s">
        <v>617</v>
      </c>
      <c r="M397" s="55" t="s">
        <v>1867</v>
      </c>
      <c r="N397" s="60" t="s">
        <v>6376</v>
      </c>
      <c r="O397" s="55" t="s">
        <v>2225</v>
      </c>
      <c r="P397" s="67" t="s">
        <v>6178</v>
      </c>
      <c r="Q397" s="67" t="s">
        <v>6176</v>
      </c>
      <c r="R397" s="67" t="s">
        <v>6177</v>
      </c>
      <c r="S397" s="67" t="s">
        <v>6176</v>
      </c>
      <c r="T397" s="56">
        <v>330.36</v>
      </c>
      <c r="U397" s="103">
        <v>0.43286112120111392</v>
      </c>
      <c r="V397" s="103">
        <v>0.23746821649110061</v>
      </c>
      <c r="W397" s="103">
        <v>0.56234132519034852</v>
      </c>
      <c r="X397" s="103">
        <v>0.43286112120111392</v>
      </c>
      <c r="Y397" s="162">
        <v>7</v>
      </c>
      <c r="Z397" s="56">
        <v>2.29</v>
      </c>
      <c r="AA397" s="56">
        <v>2.36</v>
      </c>
      <c r="AB397" s="56">
        <v>2.69</v>
      </c>
      <c r="AC397" s="56">
        <v>0.8125</v>
      </c>
      <c r="AD397" s="56">
        <v>2.76</v>
      </c>
      <c r="AE397" s="56">
        <v>2.93</v>
      </c>
      <c r="AF397" s="56">
        <f t="shared" si="136"/>
        <v>2.36</v>
      </c>
      <c r="AG397" s="57">
        <v>2.3199999999999998</v>
      </c>
      <c r="AH397" s="103">
        <v>8.39E-10</v>
      </c>
      <c r="AI397" s="103">
        <v>4.8900000000000003E-9</v>
      </c>
      <c r="AJ397" s="62">
        <f t="shared" si="130"/>
        <v>-7.4648043654839515</v>
      </c>
      <c r="AK397" s="62">
        <f>LOG10(AI397*1000/(0.08206*298.15))</f>
        <v>-6.6992574671890317</v>
      </c>
      <c r="AL397" s="62">
        <f t="shared" si="131"/>
        <v>-6.6992574671890317</v>
      </c>
      <c r="AM397" s="62">
        <v>-12.449109999999999</v>
      </c>
      <c r="AN397" s="154">
        <v>-5.94</v>
      </c>
      <c r="AO397" s="410"/>
      <c r="AP397" s="410"/>
      <c r="AQ397" s="56" t="s">
        <v>6312</v>
      </c>
      <c r="AR397" s="56" t="s">
        <v>6312</v>
      </c>
      <c r="AS397" s="149" t="s">
        <v>6</v>
      </c>
      <c r="AT397" s="58" t="s">
        <v>266</v>
      </c>
      <c r="AU397" s="56">
        <v>6</v>
      </c>
      <c r="AV397" s="56">
        <v>96</v>
      </c>
      <c r="AW397" s="56">
        <v>90</v>
      </c>
      <c r="AX397" s="56">
        <v>28</v>
      </c>
      <c r="AY397" s="56" t="s">
        <v>8722</v>
      </c>
      <c r="AZ397" s="56" t="s">
        <v>2213</v>
      </c>
      <c r="BA397" s="56" t="s">
        <v>8722</v>
      </c>
      <c r="BB397" s="55" t="s">
        <v>1764</v>
      </c>
      <c r="BC397" s="55" t="s">
        <v>2214</v>
      </c>
      <c r="BD397" s="55"/>
      <c r="BE397" s="56" t="s">
        <v>1712</v>
      </c>
      <c r="BF397" s="56" t="s">
        <v>272</v>
      </c>
      <c r="BG397" s="56" t="s">
        <v>272</v>
      </c>
      <c r="BH397" s="56" t="s">
        <v>2119</v>
      </c>
      <c r="BI397" s="103">
        <v>1.0000000000000001E-5</v>
      </c>
      <c r="BJ397" s="103">
        <v>0.1</v>
      </c>
      <c r="BK397" s="56"/>
      <c r="BL397" s="103">
        <f t="shared" si="134"/>
        <v>0.45097347641126984</v>
      </c>
      <c r="BM397" s="56" t="s">
        <v>1584</v>
      </c>
      <c r="BN397" s="56"/>
      <c r="BO397" s="56">
        <v>7.8E-2</v>
      </c>
      <c r="BP397" s="56">
        <v>2.3E-3</v>
      </c>
      <c r="BQ397" s="56"/>
      <c r="BR397" s="56"/>
      <c r="BS397" s="56"/>
      <c r="BT397" s="56"/>
      <c r="BU397" s="158"/>
      <c r="BV397" s="56"/>
      <c r="BW397" s="56"/>
      <c r="BX397" s="56"/>
      <c r="BY397" s="56"/>
      <c r="BZ397" s="56"/>
      <c r="CA397" s="56"/>
      <c r="CB397" s="56"/>
      <c r="CC397" s="56"/>
      <c r="CD397" s="56"/>
      <c r="CE397" s="56"/>
      <c r="CF397" s="56"/>
      <c r="CG397" s="56"/>
      <c r="CH397" s="56"/>
      <c r="CI397" s="103">
        <f t="shared" si="137"/>
        <v>2.3E-3</v>
      </c>
      <c r="CJ397" s="103">
        <f t="shared" si="138"/>
        <v>-2.6382721639824069</v>
      </c>
      <c r="CK397" s="57">
        <f t="shared" si="132"/>
        <v>4.5097347641126984</v>
      </c>
      <c r="CL397" s="160">
        <f t="shared" si="124"/>
        <v>196.07542452663907</v>
      </c>
      <c r="CM397" s="160">
        <v>-3.5360029785502594</v>
      </c>
      <c r="CN397" s="160">
        <f>BJ397/(10^CM397)</f>
        <v>343.56030415390654</v>
      </c>
      <c r="CO397" s="55"/>
      <c r="CP397" s="55" t="s">
        <v>2215</v>
      </c>
      <c r="CQ397" s="149">
        <v>-3.1259652426230411</v>
      </c>
      <c r="CR397" s="349">
        <f>10^(CJ397-CQ397)</f>
        <v>3.0739236665125746</v>
      </c>
      <c r="CS397" s="61" t="s">
        <v>539</v>
      </c>
      <c r="CT397" s="61"/>
      <c r="CU397" s="111">
        <f t="shared" si="135"/>
        <v>188.20048747874517</v>
      </c>
      <c r="CV397" s="331">
        <f t="shared" si="133"/>
        <v>4.3286112120111389</v>
      </c>
      <c r="CW397" s="326">
        <f t="shared" si="139"/>
        <v>1</v>
      </c>
      <c r="CX397" s="326" t="s">
        <v>539</v>
      </c>
      <c r="CY397" s="161" t="s">
        <v>5921</v>
      </c>
    </row>
    <row r="398" spans="1:103" ht="11.25" customHeight="1" x14ac:dyDescent="0.2">
      <c r="A398" s="72">
        <v>396</v>
      </c>
      <c r="B398" s="149">
        <v>1131</v>
      </c>
      <c r="C398" s="54" t="s">
        <v>6705</v>
      </c>
      <c r="D398" s="54"/>
      <c r="E398" s="59"/>
      <c r="F398" s="59" t="s">
        <v>3159</v>
      </c>
      <c r="G398" s="151">
        <v>196808454</v>
      </c>
      <c r="H398" s="55" t="s">
        <v>3160</v>
      </c>
      <c r="I398" s="55" t="s">
        <v>7753</v>
      </c>
      <c r="J398" s="55" t="s">
        <v>3161</v>
      </c>
      <c r="K398" s="55" t="s">
        <v>357</v>
      </c>
      <c r="L398" s="55"/>
      <c r="M398" s="55"/>
      <c r="N398" s="60"/>
      <c r="O398" s="55"/>
      <c r="P398" s="67"/>
      <c r="Q398" s="67" t="s">
        <v>6173</v>
      </c>
      <c r="R398" s="67" t="s">
        <v>6174</v>
      </c>
      <c r="S398" s="67" t="s">
        <v>6176</v>
      </c>
      <c r="T398" s="56">
        <v>326.39</v>
      </c>
      <c r="U398" s="103"/>
      <c r="V398" s="103">
        <v>8.1528233095376696E-4</v>
      </c>
      <c r="W398" s="103">
        <v>8.9125093813374433E-3</v>
      </c>
      <c r="X398" s="103">
        <f>IF(W398=0,V398,W398)</f>
        <v>8.9125093813374433E-3</v>
      </c>
      <c r="Y398" s="162">
        <v>7</v>
      </c>
      <c r="Z398" s="56">
        <v>5.28</v>
      </c>
      <c r="AA398" s="56"/>
      <c r="AB398" s="56">
        <v>4.7699999999999996</v>
      </c>
      <c r="AC398" s="56">
        <v>0.7409</v>
      </c>
      <c r="AD398" s="56">
        <v>5.13</v>
      </c>
      <c r="AE398" s="56">
        <v>5.76</v>
      </c>
      <c r="AF398" s="56">
        <f t="shared" si="136"/>
        <v>5.13</v>
      </c>
      <c r="AG398" s="57">
        <v>4.66</v>
      </c>
      <c r="AH398" s="103">
        <v>6.7500000000000002E-8</v>
      </c>
      <c r="AI398" s="103"/>
      <c r="AJ398" s="62">
        <f t="shared" ref="AJ398:AJ414" si="140">LOG10(AH398*1000/(0.08206*298.15))</f>
        <v>-5.5592625534816271</v>
      </c>
      <c r="AK398" s="62"/>
      <c r="AL398" s="62">
        <f t="shared" ref="AL398:AL414" si="141">IF(AK398=0,AJ398,AK398)</f>
        <v>-5.5592625534816271</v>
      </c>
      <c r="AM398" s="62">
        <v>-11.680589999999999</v>
      </c>
      <c r="AN398" s="154">
        <v>-6.5</v>
      </c>
      <c r="AO398" s="410"/>
      <c r="AP398" s="410"/>
      <c r="AQ398" s="56" t="s">
        <v>6311</v>
      </c>
      <c r="AR398" s="56" t="s">
        <v>6312</v>
      </c>
      <c r="AS398" s="155"/>
      <c r="AT398" s="58" t="s">
        <v>266</v>
      </c>
      <c r="AU398" s="56">
        <v>6</v>
      </c>
      <c r="AV398" s="56">
        <v>120</v>
      </c>
      <c r="AW398" s="56">
        <v>114</v>
      </c>
      <c r="AX398" s="56">
        <v>28</v>
      </c>
      <c r="AY398" s="56" t="s">
        <v>8728</v>
      </c>
      <c r="AZ398" s="56" t="s">
        <v>1563</v>
      </c>
      <c r="BA398" s="56">
        <v>32</v>
      </c>
      <c r="BB398" s="55" t="s">
        <v>2485</v>
      </c>
      <c r="BC398" s="55" t="s">
        <v>8726</v>
      </c>
      <c r="BD398" s="55" t="s">
        <v>8374</v>
      </c>
      <c r="BE398" s="56" t="s">
        <v>2449</v>
      </c>
      <c r="BF398" s="56" t="s">
        <v>272</v>
      </c>
      <c r="BG398" s="56" t="s">
        <v>272</v>
      </c>
      <c r="BH398" s="56" t="s">
        <v>2486</v>
      </c>
      <c r="BI398" s="103">
        <v>6.3999999999999997E-6</v>
      </c>
      <c r="BJ398" s="103">
        <v>6.4000000000000001E-2</v>
      </c>
      <c r="BK398" s="56"/>
      <c r="BL398" s="103">
        <f t="shared" si="134"/>
        <v>9.307477606655426E-4</v>
      </c>
      <c r="BM398" s="56" t="s">
        <v>2487</v>
      </c>
      <c r="BN398" s="56"/>
      <c r="BO398" s="56"/>
      <c r="BP398" s="56"/>
      <c r="BQ398" s="56"/>
      <c r="BR398" s="55">
        <v>2.0238577000000001E-2</v>
      </c>
      <c r="BS398" s="56"/>
      <c r="BT398" s="56"/>
      <c r="BU398" s="158"/>
      <c r="BV398" s="56"/>
      <c r="BW398" s="56"/>
      <c r="BX398" s="56"/>
      <c r="BY398" s="56"/>
      <c r="BZ398" s="56"/>
      <c r="CA398" s="56"/>
      <c r="CB398" s="56"/>
      <c r="CC398" s="56"/>
      <c r="CD398" s="56"/>
      <c r="CE398" s="56"/>
      <c r="CF398" s="56"/>
      <c r="CG398" s="56"/>
      <c r="CH398" s="56"/>
      <c r="CI398" s="103">
        <f t="shared" si="137"/>
        <v>2.0238577000000001E-2</v>
      </c>
      <c r="CJ398" s="103">
        <f t="shared" si="138"/>
        <v>-1.6938200265542473</v>
      </c>
      <c r="CK398" s="57">
        <f t="shared" si="132"/>
        <v>1.4542933760399102E-2</v>
      </c>
      <c r="CL398" s="160">
        <f t="shared" si="124"/>
        <v>4.5988794600803337E-2</v>
      </c>
      <c r="CM398" s="160"/>
      <c r="CN398" s="160"/>
      <c r="CO398" s="55" t="s">
        <v>2488</v>
      </c>
      <c r="CP398" s="55" t="s">
        <v>2489</v>
      </c>
      <c r="CQ398" s="149" t="s">
        <v>272</v>
      </c>
      <c r="CR398" s="349"/>
      <c r="CS398" s="61" t="s">
        <v>539</v>
      </c>
      <c r="CT398" s="61"/>
      <c r="CU398" s="111">
        <f t="shared" si="135"/>
        <v>0.4403723335557358</v>
      </c>
      <c r="CV398" s="331">
        <f t="shared" si="133"/>
        <v>0.13925795908339755</v>
      </c>
      <c r="CW398" s="326">
        <f t="shared" si="139"/>
        <v>0</v>
      </c>
      <c r="CX398" s="326"/>
      <c r="CY398" s="161" t="s">
        <v>5921</v>
      </c>
    </row>
    <row r="399" spans="1:103" ht="11.25" customHeight="1" x14ac:dyDescent="0.2">
      <c r="A399" s="72">
        <v>397</v>
      </c>
      <c r="B399" s="149">
        <v>1066</v>
      </c>
      <c r="C399" s="54" t="s">
        <v>6706</v>
      </c>
      <c r="D399" s="54"/>
      <c r="E399" s="59"/>
      <c r="F399" s="59" t="s">
        <v>2999</v>
      </c>
      <c r="G399" s="151">
        <v>199171885</v>
      </c>
      <c r="H399" s="55" t="s">
        <v>3000</v>
      </c>
      <c r="I399" s="55" t="s">
        <v>7825</v>
      </c>
      <c r="J399" s="55" t="s">
        <v>3001</v>
      </c>
      <c r="K399" s="55" t="s">
        <v>3002</v>
      </c>
      <c r="L399" s="55"/>
      <c r="M399" s="55"/>
      <c r="N399" s="60"/>
      <c r="O399" s="55"/>
      <c r="P399" s="67"/>
      <c r="Q399" s="67"/>
      <c r="R399" s="67"/>
      <c r="S399" s="67"/>
      <c r="T399" s="56">
        <v>379.5</v>
      </c>
      <c r="U399" s="103"/>
      <c r="V399" s="103">
        <v>9.4993412384716724E-5</v>
      </c>
      <c r="W399" s="103">
        <v>1.071519305237606E-2</v>
      </c>
      <c r="X399" s="103">
        <f>IF(W399=0,V399,W399)</f>
        <v>1.071519305237606E-2</v>
      </c>
      <c r="Y399" s="162">
        <v>5.05</v>
      </c>
      <c r="Z399" s="56">
        <v>6.07</v>
      </c>
      <c r="AA399" s="56"/>
      <c r="AB399" s="56">
        <v>4.5599999999999996</v>
      </c>
      <c r="AC399" s="56">
        <v>0.59919999999999995</v>
      </c>
      <c r="AD399" s="56">
        <v>4.68</v>
      </c>
      <c r="AE399" s="56">
        <v>4.83</v>
      </c>
      <c r="AF399" s="56">
        <f t="shared" si="136"/>
        <v>4.68</v>
      </c>
      <c r="AG399" s="57">
        <v>4.6100000000000003</v>
      </c>
      <c r="AH399" s="103">
        <v>1.2699999999999999E-13</v>
      </c>
      <c r="AI399" s="103"/>
      <c r="AJ399" s="62">
        <f t="shared" si="140"/>
        <v>-11.284762605356695</v>
      </c>
      <c r="AK399" s="62"/>
      <c r="AL399" s="62">
        <f t="shared" si="141"/>
        <v>-11.284762605356695</v>
      </c>
      <c r="AM399" s="62">
        <v>-17.03209</v>
      </c>
      <c r="AN399" s="154">
        <v>-11.1</v>
      </c>
      <c r="AO399" s="410">
        <v>4.3600000000000003</v>
      </c>
      <c r="AP399" s="410">
        <v>2.9</v>
      </c>
      <c r="AQ399" s="56" t="s">
        <v>6311</v>
      </c>
      <c r="AR399" s="56" t="s">
        <v>6311</v>
      </c>
      <c r="AS399" s="155"/>
      <c r="AT399" s="58" t="s">
        <v>266</v>
      </c>
      <c r="AU399" s="56">
        <v>6</v>
      </c>
      <c r="AV399" s="56">
        <v>120</v>
      </c>
      <c r="AW399" s="56">
        <v>114</v>
      </c>
      <c r="AX399" s="56">
        <v>28</v>
      </c>
      <c r="AY399" s="56" t="s">
        <v>8728</v>
      </c>
      <c r="AZ399" s="56" t="s">
        <v>1563</v>
      </c>
      <c r="BA399" s="56">
        <v>32</v>
      </c>
      <c r="BB399" s="55" t="s">
        <v>2485</v>
      </c>
      <c r="BC399" s="55" t="s">
        <v>8726</v>
      </c>
      <c r="BD399" s="55" t="s">
        <v>8374</v>
      </c>
      <c r="BE399" s="56" t="s">
        <v>2449</v>
      </c>
      <c r="BF399" s="56" t="s">
        <v>272</v>
      </c>
      <c r="BG399" s="56" t="s">
        <v>272</v>
      </c>
      <c r="BH399" s="56" t="s">
        <v>2486</v>
      </c>
      <c r="BI399" s="103">
        <v>6.3999999999999997E-6</v>
      </c>
      <c r="BJ399" s="103">
        <v>6.4000000000000001E-2</v>
      </c>
      <c r="BK399" s="56"/>
      <c r="BL399" s="103">
        <f t="shared" si="134"/>
        <v>1.8169082629078273E-4</v>
      </c>
      <c r="BM399" s="56" t="s">
        <v>2046</v>
      </c>
      <c r="BN399" s="56">
        <v>20.238577029999998</v>
      </c>
      <c r="BO399" s="56"/>
      <c r="BP399" s="56"/>
      <c r="BQ399" s="56"/>
      <c r="BR399" s="55">
        <v>2.0238579999999999E-3</v>
      </c>
      <c r="BS399" s="56"/>
      <c r="BT399" s="56"/>
      <c r="BU399" s="158"/>
      <c r="BV399" s="56"/>
      <c r="BW399" s="56"/>
      <c r="BX399" s="56"/>
      <c r="BY399" s="56"/>
      <c r="BZ399" s="56"/>
      <c r="CA399" s="56"/>
      <c r="CB399" s="56"/>
      <c r="CC399" s="56"/>
      <c r="CD399" s="56"/>
      <c r="CE399" s="56"/>
      <c r="CF399" s="56"/>
      <c r="CG399" s="56"/>
      <c r="CH399" s="56"/>
      <c r="CI399" s="103">
        <f t="shared" si="137"/>
        <v>2.0238579999999999E-3</v>
      </c>
      <c r="CJ399" s="103">
        <f t="shared" si="138"/>
        <v>-2.6938199621780141</v>
      </c>
      <c r="CK399" s="57">
        <f t="shared" si="132"/>
        <v>2.8389191607934802E-3</v>
      </c>
      <c r="CL399" s="160">
        <f t="shared" si="124"/>
        <v>8.9774493215819859E-2</v>
      </c>
      <c r="CM399" s="160"/>
      <c r="CN399" s="160"/>
      <c r="CO399" s="55" t="s">
        <v>2488</v>
      </c>
      <c r="CP399" s="55" t="s">
        <v>2489</v>
      </c>
      <c r="CQ399" s="149" t="s">
        <v>272</v>
      </c>
      <c r="CR399" s="349"/>
      <c r="CS399" s="61" t="s">
        <v>539</v>
      </c>
      <c r="CT399" s="61"/>
      <c r="CU399" s="111">
        <f t="shared" si="135"/>
        <v>5.294439161431316</v>
      </c>
      <c r="CV399" s="331">
        <f t="shared" si="133"/>
        <v>0.16742489144337594</v>
      </c>
      <c r="CW399" s="326">
        <f t="shared" si="139"/>
        <v>1</v>
      </c>
      <c r="CX399" s="326"/>
      <c r="CY399" s="161" t="s">
        <v>5921</v>
      </c>
    </row>
    <row r="400" spans="1:103" ht="11.25" customHeight="1" x14ac:dyDescent="0.2">
      <c r="A400" s="72">
        <v>398</v>
      </c>
      <c r="B400" s="149">
        <v>890</v>
      </c>
      <c r="C400" s="54" t="s">
        <v>6707</v>
      </c>
      <c r="D400" s="54"/>
      <c r="E400" s="59"/>
      <c r="F400" s="59" t="s">
        <v>2533</v>
      </c>
      <c r="G400" s="151">
        <v>203942498</v>
      </c>
      <c r="H400" s="55" t="s">
        <v>2534</v>
      </c>
      <c r="I400" s="55" t="s">
        <v>7767</v>
      </c>
      <c r="J400" s="55" t="s">
        <v>2535</v>
      </c>
      <c r="K400" s="55" t="s">
        <v>2536</v>
      </c>
      <c r="L400" s="55"/>
      <c r="M400" s="55"/>
      <c r="N400" s="60"/>
      <c r="O400" s="55"/>
      <c r="P400" s="67"/>
      <c r="Q400" s="67"/>
      <c r="R400" s="67"/>
      <c r="S400" s="67"/>
      <c r="T400" s="56">
        <v>393.5</v>
      </c>
      <c r="U400" s="103"/>
      <c r="V400" s="103">
        <v>5.8576874205844981E-3</v>
      </c>
      <c r="W400" s="103">
        <v>1.3489628825916516E-2</v>
      </c>
      <c r="X400" s="103">
        <f>IF(W400=0,V400,W400)</f>
        <v>1.3489628825916516E-2</v>
      </c>
      <c r="Y400" s="162">
        <v>7.92</v>
      </c>
      <c r="Z400" s="56">
        <v>3.7</v>
      </c>
      <c r="AA400" s="56"/>
      <c r="AB400" s="56">
        <v>4</v>
      </c>
      <c r="AC400" s="56">
        <v>0.57640000000000002</v>
      </c>
      <c r="AD400" s="56">
        <v>3.58</v>
      </c>
      <c r="AE400" s="56">
        <v>2.93</v>
      </c>
      <c r="AF400" s="56">
        <f t="shared" si="136"/>
        <v>3.58</v>
      </c>
      <c r="AG400" s="57">
        <v>2.5099999999999998</v>
      </c>
      <c r="AH400" s="103">
        <v>2.24E-20</v>
      </c>
      <c r="AI400" s="103"/>
      <c r="AJ400" s="62">
        <f t="shared" si="140"/>
        <v>-18.038318307978489</v>
      </c>
      <c r="AK400" s="62"/>
      <c r="AL400" s="62">
        <f t="shared" si="141"/>
        <v>-18.038318307978489</v>
      </c>
      <c r="AM400" s="62">
        <v>-22.30631</v>
      </c>
      <c r="AN400" s="154">
        <v>-28.8</v>
      </c>
      <c r="AO400" s="410">
        <v>15.77</v>
      </c>
      <c r="AP400" s="410">
        <v>6.74</v>
      </c>
      <c r="AQ400" s="56" t="s">
        <v>6311</v>
      </c>
      <c r="AR400" s="56" t="s">
        <v>6311</v>
      </c>
      <c r="AS400" s="155"/>
      <c r="AT400" s="58" t="s">
        <v>266</v>
      </c>
      <c r="AU400" s="56">
        <v>6</v>
      </c>
      <c r="AV400" s="56">
        <v>120</v>
      </c>
      <c r="AW400" s="56">
        <v>114</v>
      </c>
      <c r="AX400" s="56">
        <v>28</v>
      </c>
      <c r="AY400" s="56" t="s">
        <v>8728</v>
      </c>
      <c r="AZ400" s="56" t="s">
        <v>1563</v>
      </c>
      <c r="BA400" s="56">
        <v>32</v>
      </c>
      <c r="BB400" s="55" t="s">
        <v>2485</v>
      </c>
      <c r="BC400" s="55" t="s">
        <v>8726</v>
      </c>
      <c r="BD400" s="55" t="s">
        <v>8374</v>
      </c>
      <c r="BE400" s="56" t="s">
        <v>2449</v>
      </c>
      <c r="BF400" s="56" t="s">
        <v>272</v>
      </c>
      <c r="BG400" s="56" t="s">
        <v>272</v>
      </c>
      <c r="BH400" s="56" t="s">
        <v>2486</v>
      </c>
      <c r="BI400" s="103">
        <v>6.3999999999999997E-6</v>
      </c>
      <c r="BJ400" s="103">
        <v>6.4000000000000001E-2</v>
      </c>
      <c r="BK400" s="56"/>
      <c r="BL400" s="103">
        <f t="shared" si="134"/>
        <v>2.4424742847164057E-2</v>
      </c>
      <c r="BM400" s="56" t="s">
        <v>2046</v>
      </c>
      <c r="BN400" s="56">
        <v>20.238577029999998</v>
      </c>
      <c r="BO400" s="56"/>
      <c r="BP400" s="56"/>
      <c r="BQ400" s="56"/>
      <c r="BR400" s="55">
        <v>2.0238577000000001E-2</v>
      </c>
      <c r="BS400" s="56"/>
      <c r="BT400" s="56"/>
      <c r="BU400" s="158"/>
      <c r="BV400" s="56"/>
      <c r="BW400" s="56"/>
      <c r="BX400" s="56"/>
      <c r="BY400" s="56"/>
      <c r="BZ400" s="56"/>
      <c r="CA400" s="56"/>
      <c r="CB400" s="56"/>
      <c r="CC400" s="56"/>
      <c r="CD400" s="56"/>
      <c r="CE400" s="56"/>
      <c r="CF400" s="56"/>
      <c r="CG400" s="56"/>
      <c r="CH400" s="56"/>
      <c r="CI400" s="103">
        <f t="shared" si="137"/>
        <v>2.0238577000000001E-2</v>
      </c>
      <c r="CJ400" s="103">
        <f t="shared" si="138"/>
        <v>-1.6938200265542473</v>
      </c>
      <c r="CK400" s="57">
        <f t="shared" si="132"/>
        <v>0.38163660698693841</v>
      </c>
      <c r="CL400" s="160">
        <f t="shared" si="124"/>
        <v>1.2068409180726518</v>
      </c>
      <c r="CM400" s="160"/>
      <c r="CN400" s="160"/>
      <c r="CO400" s="55" t="s">
        <v>2488</v>
      </c>
      <c r="CP400" s="55" t="s">
        <v>2489</v>
      </c>
      <c r="CQ400" s="149" t="s">
        <v>272</v>
      </c>
      <c r="CR400" s="349"/>
      <c r="CS400" s="61" t="s">
        <v>539</v>
      </c>
      <c r="CT400" s="61"/>
      <c r="CU400" s="111">
        <f t="shared" si="135"/>
        <v>0.66653049895338567</v>
      </c>
      <c r="CV400" s="331">
        <f t="shared" si="133"/>
        <v>0.21077545040494555</v>
      </c>
      <c r="CW400" s="326">
        <f t="shared" si="139"/>
        <v>0</v>
      </c>
      <c r="CX400" s="326"/>
      <c r="CY400" s="161" t="s">
        <v>5921</v>
      </c>
    </row>
    <row r="401" spans="1:103" ht="11.25" customHeight="1" x14ac:dyDescent="0.2">
      <c r="A401" s="72">
        <v>399</v>
      </c>
      <c r="B401" s="149">
        <v>9</v>
      </c>
      <c r="C401" s="54" t="s">
        <v>6708</v>
      </c>
      <c r="D401" s="54"/>
      <c r="E401" s="59"/>
      <c r="F401" s="59" t="s">
        <v>319</v>
      </c>
      <c r="G401" s="151">
        <v>207671441</v>
      </c>
      <c r="H401" s="55" t="s">
        <v>320</v>
      </c>
      <c r="I401" s="55" t="s">
        <v>7864</v>
      </c>
      <c r="J401" s="55" t="s">
        <v>321</v>
      </c>
      <c r="K401" s="55"/>
      <c r="L401" s="64"/>
      <c r="M401" s="55"/>
      <c r="N401" s="60"/>
      <c r="O401" s="55"/>
      <c r="P401" s="67"/>
      <c r="Q401" s="67"/>
      <c r="R401" s="67"/>
      <c r="S401" s="67"/>
      <c r="T401" s="59">
        <v>324.42</v>
      </c>
      <c r="U401" s="153">
        <f>500/324.42</f>
        <v>1.5412120091239749</v>
      </c>
      <c r="V401" s="153">
        <f>103.5/324.42</f>
        <v>0.31903088588866285</v>
      </c>
      <c r="W401" s="153">
        <v>0.47863009232263826</v>
      </c>
      <c r="X401" s="153">
        <f>500/324.42</f>
        <v>1.5412120091239749</v>
      </c>
      <c r="Y401" s="410">
        <v>9.92</v>
      </c>
      <c r="Z401" s="59">
        <v>3.29</v>
      </c>
      <c r="AA401" s="59">
        <v>3.44</v>
      </c>
      <c r="AB401" s="59">
        <v>2.86</v>
      </c>
      <c r="AC401" s="59">
        <v>0.8165</v>
      </c>
      <c r="AD401" s="59">
        <v>3.02</v>
      </c>
      <c r="AE401" s="59">
        <v>3.44</v>
      </c>
      <c r="AF401" s="59">
        <f t="shared" si="136"/>
        <v>3.44</v>
      </c>
      <c r="AG401" s="68">
        <v>3.02</v>
      </c>
      <c r="AH401" s="103">
        <v>8.5800000000000004E-16</v>
      </c>
      <c r="AI401" s="153"/>
      <c r="AJ401" s="62">
        <f t="shared" si="140"/>
        <v>-13.455079038463946</v>
      </c>
      <c r="AK401" s="62"/>
      <c r="AL401" s="62">
        <f t="shared" si="141"/>
        <v>-13.455079038463946</v>
      </c>
      <c r="AM401" s="62">
        <v>-17.699870000000001</v>
      </c>
      <c r="AN401" s="152"/>
      <c r="AO401" s="410">
        <v>12.8</v>
      </c>
      <c r="AP401" s="410">
        <v>9.2799999999999994</v>
      </c>
      <c r="AQ401" s="152" t="s">
        <v>6311</v>
      </c>
      <c r="AR401" s="152" t="s">
        <v>6311</v>
      </c>
      <c r="AS401" s="149" t="s">
        <v>282</v>
      </c>
      <c r="AT401" s="58" t="s">
        <v>266</v>
      </c>
      <c r="AU401" s="155">
        <v>24</v>
      </c>
      <c r="AV401" s="155">
        <v>120</v>
      </c>
      <c r="AW401" s="155">
        <v>96</v>
      </c>
      <c r="AX401" s="155">
        <v>28</v>
      </c>
      <c r="AY401" s="155" t="s">
        <v>267</v>
      </c>
      <c r="AZ401" s="155" t="s">
        <v>268</v>
      </c>
      <c r="BA401" s="155">
        <v>48</v>
      </c>
      <c r="BB401" s="55" t="s">
        <v>269</v>
      </c>
      <c r="BC401" s="156" t="s">
        <v>270</v>
      </c>
      <c r="BD401" s="156" t="s">
        <v>8374</v>
      </c>
      <c r="BE401" s="155" t="s">
        <v>271</v>
      </c>
      <c r="BF401" s="155" t="s">
        <v>272</v>
      </c>
      <c r="BG401" s="155" t="s">
        <v>272</v>
      </c>
      <c r="BH401" s="155" t="s">
        <v>272</v>
      </c>
      <c r="BI401" s="157">
        <v>2.5544741614938562E-3</v>
      </c>
      <c r="BJ401" s="157">
        <v>2.5544741614938564</v>
      </c>
      <c r="BK401" s="56"/>
      <c r="BL401" s="103"/>
      <c r="BM401" s="56">
        <v>0</v>
      </c>
      <c r="BN401" s="56"/>
      <c r="BO401" s="56"/>
      <c r="BP401" s="56"/>
      <c r="BQ401" s="56"/>
      <c r="BR401" s="56"/>
      <c r="BS401" s="56"/>
      <c r="BT401" s="56"/>
      <c r="BU401" s="158"/>
      <c r="BV401" s="56"/>
      <c r="BW401" s="56"/>
      <c r="BX401" s="56"/>
      <c r="BY401" s="56"/>
      <c r="BZ401" s="56"/>
      <c r="CA401" s="56"/>
      <c r="CB401" s="56">
        <v>1.44</v>
      </c>
      <c r="CC401" s="56"/>
      <c r="CD401" s="56"/>
      <c r="CE401" s="56"/>
      <c r="CF401" s="56"/>
      <c r="CG401" s="56"/>
      <c r="CH401" s="56"/>
      <c r="CI401" s="103">
        <f t="shared" si="137"/>
        <v>1.44</v>
      </c>
      <c r="CJ401" s="103">
        <f t="shared" si="138"/>
        <v>0.15836249209524964</v>
      </c>
      <c r="CK401" s="57">
        <f t="shared" si="132"/>
        <v>0</v>
      </c>
      <c r="CL401" s="160">
        <f t="shared" si="124"/>
        <v>0</v>
      </c>
      <c r="CM401" s="160"/>
      <c r="CN401" s="160"/>
      <c r="CO401" s="55" t="s">
        <v>273</v>
      </c>
      <c r="CP401" s="156" t="s">
        <v>274</v>
      </c>
      <c r="CQ401" s="149" t="s">
        <v>272</v>
      </c>
      <c r="CR401" s="349"/>
      <c r="CS401" s="61" t="s">
        <v>539</v>
      </c>
      <c r="CT401" s="61"/>
      <c r="CU401" s="111">
        <f t="shared" si="135"/>
        <v>1.0702861174472049</v>
      </c>
      <c r="CV401" s="331">
        <f t="shared" si="133"/>
        <v>0.60333826521176248</v>
      </c>
      <c r="CW401" s="326">
        <f t="shared" si="139"/>
        <v>0</v>
      </c>
      <c r="CX401" s="326"/>
      <c r="CY401" s="161" t="s">
        <v>5921</v>
      </c>
    </row>
    <row r="402" spans="1:103" ht="11.25" customHeight="1" x14ac:dyDescent="0.2">
      <c r="A402" s="72">
        <v>400</v>
      </c>
      <c r="B402" s="149">
        <v>28</v>
      </c>
      <c r="C402" s="54" t="s">
        <v>6709</v>
      </c>
      <c r="D402" s="54"/>
      <c r="E402" s="59"/>
      <c r="F402" s="150" t="str">
        <f>HYPERLINK("http://www.sigmaaldrich.com/catalog/Lookup.do?N5=CAS+No.&amp;N3=mode+matchpartialmax&amp;N4=207671-50-9&amp;D7=0&amp;D10=&amp;N25=0&amp;N1=S_ID&amp;ST=RS&amp;F=PR","207671-50-9")</f>
        <v>207671-50-9</v>
      </c>
      <c r="G402" s="151">
        <v>207671509</v>
      </c>
      <c r="H402" s="55" t="s">
        <v>395</v>
      </c>
      <c r="I402" s="55" t="s">
        <v>7865</v>
      </c>
      <c r="J402" s="55" t="s">
        <v>396</v>
      </c>
      <c r="K402" s="55"/>
      <c r="L402" s="64"/>
      <c r="M402" s="55"/>
      <c r="N402" s="60"/>
      <c r="O402" s="55"/>
      <c r="P402" s="67"/>
      <c r="Q402" s="67"/>
      <c r="R402" s="67"/>
      <c r="S402" s="67"/>
      <c r="T402" s="59">
        <v>610.52</v>
      </c>
      <c r="U402" s="153"/>
      <c r="V402" s="103">
        <f>4614/610.52</f>
        <v>7.557491974054904</v>
      </c>
      <c r="W402" s="103">
        <v>0.51286138399136461</v>
      </c>
      <c r="X402" s="103">
        <f>IF(W402=0,V402,W402)</f>
        <v>0.51286138399136461</v>
      </c>
      <c r="Y402" s="410">
        <v>4.74</v>
      </c>
      <c r="Z402" s="68">
        <v>-1.1100000000000001</v>
      </c>
      <c r="AA402" s="68"/>
      <c r="AB402" s="68">
        <v>-1.08</v>
      </c>
      <c r="AC402" s="68">
        <v>0.58050000000000002</v>
      </c>
      <c r="AD402" s="68">
        <v>-0.21</v>
      </c>
      <c r="AE402" s="68">
        <v>1.76</v>
      </c>
      <c r="AF402" s="68">
        <f t="shared" si="136"/>
        <v>-0.21</v>
      </c>
      <c r="AG402" s="68">
        <v>-0.21</v>
      </c>
      <c r="AH402" s="103">
        <v>1.5899999999999999E-38</v>
      </c>
      <c r="AI402" s="153"/>
      <c r="AJ402" s="62">
        <f t="shared" si="140"/>
        <v>-36.187169201992198</v>
      </c>
      <c r="AK402" s="62"/>
      <c r="AL402" s="62">
        <f t="shared" si="141"/>
        <v>-36.187169201992198</v>
      </c>
      <c r="AM402" s="62">
        <v>-52.42886</v>
      </c>
      <c r="AN402" s="152"/>
      <c r="AO402" s="410">
        <v>6.17</v>
      </c>
      <c r="AP402" s="410"/>
      <c r="AQ402" s="152" t="s">
        <v>6317</v>
      </c>
      <c r="AR402" s="152" t="s">
        <v>6317</v>
      </c>
      <c r="AS402" s="149" t="s">
        <v>301</v>
      </c>
      <c r="AT402" s="58" t="s">
        <v>266</v>
      </c>
      <c r="AU402" s="155">
        <v>24</v>
      </c>
      <c r="AV402" s="155">
        <v>120</v>
      </c>
      <c r="AW402" s="155">
        <v>96</v>
      </c>
      <c r="AX402" s="155">
        <v>28</v>
      </c>
      <c r="AY402" s="155" t="s">
        <v>267</v>
      </c>
      <c r="AZ402" s="155" t="s">
        <v>268</v>
      </c>
      <c r="BA402" s="155">
        <v>48</v>
      </c>
      <c r="BB402" s="55" t="s">
        <v>269</v>
      </c>
      <c r="BC402" s="156" t="s">
        <v>270</v>
      </c>
      <c r="BD402" s="156" t="s">
        <v>8374</v>
      </c>
      <c r="BE402" s="155" t="s">
        <v>271</v>
      </c>
      <c r="BF402" s="155" t="s">
        <v>272</v>
      </c>
      <c r="BG402" s="155" t="s">
        <v>272</v>
      </c>
      <c r="BH402" s="155" t="s">
        <v>272</v>
      </c>
      <c r="BI402" s="157">
        <v>1.6379479787721942E-3</v>
      </c>
      <c r="BJ402" s="157">
        <v>2.6207167660355108</v>
      </c>
      <c r="BK402" s="56"/>
      <c r="BL402" s="103"/>
      <c r="BM402" s="56">
        <v>0</v>
      </c>
      <c r="BN402" s="56"/>
      <c r="BO402" s="56"/>
      <c r="BP402" s="56"/>
      <c r="BQ402" s="56"/>
      <c r="BR402" s="56"/>
      <c r="BS402" s="56"/>
      <c r="BT402" s="56"/>
      <c r="BU402" s="158"/>
      <c r="BV402" s="56"/>
      <c r="BW402" s="56"/>
      <c r="BX402" s="56"/>
      <c r="BY402" s="56"/>
      <c r="BZ402" s="56">
        <v>20.87</v>
      </c>
      <c r="CA402" s="56">
        <v>29.41</v>
      </c>
      <c r="CB402" s="56">
        <v>14.29</v>
      </c>
      <c r="CC402" s="56"/>
      <c r="CD402" s="56"/>
      <c r="CE402" s="56"/>
      <c r="CF402" s="56"/>
      <c r="CG402" s="56"/>
      <c r="CH402" s="56"/>
      <c r="CI402" s="103">
        <f t="shared" si="137"/>
        <v>14.29</v>
      </c>
      <c r="CJ402" s="103">
        <f t="shared" si="138"/>
        <v>1.1550322287909702</v>
      </c>
      <c r="CK402" s="57">
        <f t="shared" si="132"/>
        <v>0</v>
      </c>
      <c r="CL402" s="160">
        <f t="shared" si="124"/>
        <v>0</v>
      </c>
      <c r="CM402" s="160"/>
      <c r="CN402" s="160"/>
      <c r="CO402" s="55" t="s">
        <v>273</v>
      </c>
      <c r="CP402" s="156" t="s">
        <v>274</v>
      </c>
      <c r="CQ402" s="149" t="s">
        <v>272</v>
      </c>
      <c r="CR402" s="349"/>
      <c r="CS402" s="61" t="s">
        <v>539</v>
      </c>
      <c r="CT402" s="61"/>
      <c r="CU402" s="111">
        <f t="shared" si="135"/>
        <v>3.5889530020389408E-2</v>
      </c>
      <c r="CV402" s="331">
        <f t="shared" si="133"/>
        <v>0.19569508259650495</v>
      </c>
      <c r="CW402" s="326">
        <f t="shared" si="139"/>
        <v>0</v>
      </c>
      <c r="CX402" s="326"/>
      <c r="CY402" s="161" t="s">
        <v>5921</v>
      </c>
    </row>
    <row r="403" spans="1:103" ht="11.25" customHeight="1" x14ac:dyDescent="0.2">
      <c r="A403" s="72">
        <v>401</v>
      </c>
      <c r="B403" s="149">
        <v>1285</v>
      </c>
      <c r="C403" s="54" t="s">
        <v>6710</v>
      </c>
      <c r="D403" s="54"/>
      <c r="E403" s="59"/>
      <c r="F403" s="59" t="s">
        <v>3531</v>
      </c>
      <c r="G403" s="151">
        <v>288104790</v>
      </c>
      <c r="H403" s="55" t="s">
        <v>3532</v>
      </c>
      <c r="I403" s="55" t="s">
        <v>7819</v>
      </c>
      <c r="J403" s="55" t="s">
        <v>3533</v>
      </c>
      <c r="K403" s="55" t="s">
        <v>3534</v>
      </c>
      <c r="L403" s="55"/>
      <c r="M403" s="55"/>
      <c r="N403" s="60"/>
      <c r="O403" s="55"/>
      <c r="P403" s="67"/>
      <c r="Q403" s="67"/>
      <c r="R403" s="67"/>
      <c r="S403" s="67"/>
      <c r="T403" s="56">
        <v>522.26</v>
      </c>
      <c r="U403" s="103"/>
      <c r="V403" s="103">
        <v>1.4732125761115155E-6</v>
      </c>
      <c r="W403" s="103">
        <v>7.5857757502918141E-5</v>
      </c>
      <c r="X403" s="103">
        <f>IF(W403=0,V403,W403)</f>
        <v>7.5857757502918141E-5</v>
      </c>
      <c r="Y403" s="162">
        <v>7</v>
      </c>
      <c r="Z403" s="56">
        <v>6.82</v>
      </c>
      <c r="AA403" s="56"/>
      <c r="AB403" s="56">
        <v>5.37</v>
      </c>
      <c r="AC403" s="56">
        <v>0.66649999999999998</v>
      </c>
      <c r="AD403" s="56">
        <v>5.73</v>
      </c>
      <c r="AE403" s="56">
        <v>6.88</v>
      </c>
      <c r="AF403" s="56">
        <f t="shared" si="136"/>
        <v>5.73</v>
      </c>
      <c r="AG403" s="57">
        <v>6.61</v>
      </c>
      <c r="AH403" s="103">
        <v>2.82E-18</v>
      </c>
      <c r="AI403" s="103"/>
      <c r="AJ403" s="62">
        <f t="shared" si="140"/>
        <v>-15.938317217993291</v>
      </c>
      <c r="AK403" s="62"/>
      <c r="AL403" s="62">
        <f t="shared" si="141"/>
        <v>-15.938317217993291</v>
      </c>
      <c r="AM403" s="62">
        <v>-22.838989999999999</v>
      </c>
      <c r="AN403" s="154">
        <v>-12.1</v>
      </c>
      <c r="AO403" s="410">
        <v>11.3</v>
      </c>
      <c r="AP403" s="410">
        <v>3.22</v>
      </c>
      <c r="AQ403" s="56" t="s">
        <v>6311</v>
      </c>
      <c r="AR403" s="56" t="s">
        <v>6311</v>
      </c>
      <c r="AS403" s="155"/>
      <c r="AT403" s="58" t="s">
        <v>266</v>
      </c>
      <c r="AU403" s="56">
        <v>6</v>
      </c>
      <c r="AV403" s="56">
        <v>120</v>
      </c>
      <c r="AW403" s="56">
        <v>114</v>
      </c>
      <c r="AX403" s="56">
        <v>28</v>
      </c>
      <c r="AY403" s="56" t="s">
        <v>8728</v>
      </c>
      <c r="AZ403" s="56" t="s">
        <v>1563</v>
      </c>
      <c r="BA403" s="56">
        <v>32</v>
      </c>
      <c r="BB403" s="55" t="s">
        <v>2485</v>
      </c>
      <c r="BC403" s="55" t="s">
        <v>8726</v>
      </c>
      <c r="BD403" s="55" t="s">
        <v>8374</v>
      </c>
      <c r="BE403" s="56" t="s">
        <v>2449</v>
      </c>
      <c r="BF403" s="56" t="s">
        <v>272</v>
      </c>
      <c r="BG403" s="56" t="s">
        <v>272</v>
      </c>
      <c r="BH403" s="56" t="s">
        <v>2486</v>
      </c>
      <c r="BI403" s="103">
        <v>6.3999999999999997E-6</v>
      </c>
      <c r="BJ403" s="103">
        <v>6.4000000000000001E-2</v>
      </c>
      <c r="BK403" s="56"/>
      <c r="BL403" s="103">
        <f>10^((-0.8981*Z403)+1.7108)</f>
        <v>3.8526361909399323E-5</v>
      </c>
      <c r="BM403" s="56" t="s">
        <v>2487</v>
      </c>
      <c r="BN403" s="56"/>
      <c r="BO403" s="56"/>
      <c r="BP403" s="56"/>
      <c r="BQ403" s="56"/>
      <c r="BR403" s="55">
        <v>2.0238577000000001E-2</v>
      </c>
      <c r="BS403" s="56"/>
      <c r="BT403" s="56"/>
      <c r="BU403" s="158"/>
      <c r="BV403" s="56"/>
      <c r="BW403" s="56"/>
      <c r="BX403" s="56"/>
      <c r="BY403" s="56"/>
      <c r="BZ403" s="56"/>
      <c r="CA403" s="56"/>
      <c r="CB403" s="56"/>
      <c r="CC403" s="56"/>
      <c r="CD403" s="56"/>
      <c r="CE403" s="56"/>
      <c r="CF403" s="56"/>
      <c r="CG403" s="56"/>
      <c r="CH403" s="56"/>
      <c r="CI403" s="103">
        <f t="shared" si="137"/>
        <v>2.0238577000000001E-2</v>
      </c>
      <c r="CJ403" s="103">
        <f t="shared" si="138"/>
        <v>-1.6938200265542473</v>
      </c>
      <c r="CK403" s="57">
        <f t="shared" si="132"/>
        <v>6.019744048343644E-4</v>
      </c>
      <c r="CL403" s="160">
        <f t="shared" si="124"/>
        <v>1.9036102147596307E-3</v>
      </c>
      <c r="CM403" s="160"/>
      <c r="CN403" s="160"/>
      <c r="CO403" s="55" t="s">
        <v>2488</v>
      </c>
      <c r="CP403" s="55" t="s">
        <v>2489</v>
      </c>
      <c r="CQ403" s="149" t="s">
        <v>272</v>
      </c>
      <c r="CR403" s="349"/>
      <c r="CS403" s="61" t="s">
        <v>539</v>
      </c>
      <c r="CT403" s="61"/>
      <c r="CU403" s="111">
        <f t="shared" si="135"/>
        <v>3.748176440612309E-3</v>
      </c>
      <c r="CV403" s="331">
        <f t="shared" si="133"/>
        <v>1.1852774609830959E-3</v>
      </c>
      <c r="CW403" s="326">
        <f t="shared" si="139"/>
        <v>0</v>
      </c>
      <c r="CX403" s="326"/>
      <c r="CY403" s="161" t="s">
        <v>5921</v>
      </c>
    </row>
    <row r="404" spans="1:103" ht="11.25" customHeight="1" x14ac:dyDescent="0.2">
      <c r="A404" s="72">
        <v>402</v>
      </c>
      <c r="B404" s="149">
        <v>929</v>
      </c>
      <c r="C404" s="54" t="s">
        <v>6711</v>
      </c>
      <c r="D404" s="54"/>
      <c r="E404" s="59"/>
      <c r="F404" s="59" t="s">
        <v>2651</v>
      </c>
      <c r="G404" s="151">
        <v>344930956</v>
      </c>
      <c r="H404" s="55" t="s">
        <v>2652</v>
      </c>
      <c r="I404" s="55" t="s">
        <v>7851</v>
      </c>
      <c r="J404" s="55" t="s">
        <v>2653</v>
      </c>
      <c r="K404" s="55" t="s">
        <v>471</v>
      </c>
      <c r="L404" s="55"/>
      <c r="M404" s="55"/>
      <c r="N404" s="60"/>
      <c r="O404" s="55"/>
      <c r="P404" s="67"/>
      <c r="Q404" s="67"/>
      <c r="R404" s="67"/>
      <c r="S404" s="67"/>
      <c r="T404" s="56">
        <v>664.57</v>
      </c>
      <c r="U404" s="103"/>
      <c r="V404" s="103"/>
      <c r="W404" s="103">
        <v>16.595869074375592</v>
      </c>
      <c r="X404" s="103">
        <f>IF(W404=0,V404,W404)</f>
        <v>16.595869074375592</v>
      </c>
      <c r="Y404" s="162">
        <v>7</v>
      </c>
      <c r="Z404" s="56"/>
      <c r="AA404" s="56"/>
      <c r="AB404" s="56">
        <v>3.51</v>
      </c>
      <c r="AC404" s="56">
        <v>0.34860000000000002</v>
      </c>
      <c r="AD404" s="56">
        <v>4.1399999999999997</v>
      </c>
      <c r="AE404" s="56">
        <v>4.54</v>
      </c>
      <c r="AF404" s="56">
        <f t="shared" si="136"/>
        <v>4.1399999999999997</v>
      </c>
      <c r="AG404" s="57">
        <v>7.56</v>
      </c>
      <c r="AH404" s="103">
        <v>4.3600000000000003E-19</v>
      </c>
      <c r="AI404" s="103"/>
      <c r="AJ404" s="62">
        <f t="shared" si="140"/>
        <v>-16.749079837044064</v>
      </c>
      <c r="AK404" s="62"/>
      <c r="AL404" s="62">
        <f t="shared" si="141"/>
        <v>-16.749079837044064</v>
      </c>
      <c r="AM404" s="62">
        <v>-12.043839999999999</v>
      </c>
      <c r="AN404" s="154">
        <v>-16.899999999999999</v>
      </c>
      <c r="AO404" s="410"/>
      <c r="AP404" s="410">
        <v>-2.6</v>
      </c>
      <c r="AQ404" s="56" t="s">
        <v>6311</v>
      </c>
      <c r="AR404" s="56" t="s">
        <v>6311</v>
      </c>
      <c r="AS404" s="155"/>
      <c r="AT404" s="58" t="s">
        <v>266</v>
      </c>
      <c r="AU404" s="56">
        <v>6</v>
      </c>
      <c r="AV404" s="56">
        <v>120</v>
      </c>
      <c r="AW404" s="56">
        <v>114</v>
      </c>
      <c r="AX404" s="56">
        <v>28</v>
      </c>
      <c r="AY404" s="56" t="s">
        <v>8728</v>
      </c>
      <c r="AZ404" s="56" t="s">
        <v>1563</v>
      </c>
      <c r="BA404" s="56">
        <v>32</v>
      </c>
      <c r="BB404" s="55" t="s">
        <v>2485</v>
      </c>
      <c r="BC404" s="55" t="s">
        <v>8726</v>
      </c>
      <c r="BD404" s="55" t="s">
        <v>8374</v>
      </c>
      <c r="BE404" s="56" t="s">
        <v>2449</v>
      </c>
      <c r="BF404" s="56" t="s">
        <v>272</v>
      </c>
      <c r="BG404" s="56" t="s">
        <v>272</v>
      </c>
      <c r="BH404" s="56" t="s">
        <v>2486</v>
      </c>
      <c r="BI404" s="103">
        <v>6.3999999999999997E-6</v>
      </c>
      <c r="BJ404" s="103">
        <v>6.4000000000000001E-2</v>
      </c>
      <c r="BK404" s="56"/>
      <c r="BL404" s="103"/>
      <c r="BM404" s="56" t="s">
        <v>2487</v>
      </c>
      <c r="BN404" s="56"/>
      <c r="BO404" s="56"/>
      <c r="BP404" s="56"/>
      <c r="BQ404" s="56"/>
      <c r="BR404" s="55">
        <v>5.0596440000000003E-3</v>
      </c>
      <c r="BS404" s="56"/>
      <c r="BT404" s="56"/>
      <c r="BU404" s="158"/>
      <c r="BV404" s="56"/>
      <c r="BW404" s="56"/>
      <c r="BX404" s="56"/>
      <c r="BY404" s="56"/>
      <c r="BZ404" s="56"/>
      <c r="CA404" s="56"/>
      <c r="CB404" s="56"/>
      <c r="CC404" s="56"/>
      <c r="CD404" s="56"/>
      <c r="CE404" s="56"/>
      <c r="CF404" s="56"/>
      <c r="CG404" s="56"/>
      <c r="CH404" s="56"/>
      <c r="CI404" s="103">
        <f t="shared" si="137"/>
        <v>5.0596440000000003E-3</v>
      </c>
      <c r="CJ404" s="103">
        <f t="shared" si="138"/>
        <v>-2.2958800393409562</v>
      </c>
      <c r="CK404" s="57">
        <f t="shared" si="132"/>
        <v>0</v>
      </c>
      <c r="CL404" s="160">
        <f t="shared" si="124"/>
        <v>0</v>
      </c>
      <c r="CM404" s="160"/>
      <c r="CN404" s="160"/>
      <c r="CO404" s="55" t="s">
        <v>2488</v>
      </c>
      <c r="CP404" s="55" t="s">
        <v>2489</v>
      </c>
      <c r="CQ404" s="149" t="s">
        <v>272</v>
      </c>
      <c r="CR404" s="349"/>
      <c r="CS404" s="61" t="s">
        <v>539</v>
      </c>
      <c r="CT404" s="61"/>
      <c r="CU404" s="111">
        <f t="shared" si="135"/>
        <v>3280.0467926944252</v>
      </c>
      <c r="CV404" s="331">
        <f t="shared" si="133"/>
        <v>259.3104542871186</v>
      </c>
      <c r="CW404" s="326">
        <f t="shared" si="139"/>
        <v>1</v>
      </c>
      <c r="CX404" s="326"/>
      <c r="CY404" s="161" t="s">
        <v>5921</v>
      </c>
    </row>
    <row r="405" spans="1:103" ht="11.25" customHeight="1" x14ac:dyDescent="0.2">
      <c r="A405" s="72">
        <v>403</v>
      </c>
      <c r="B405" s="149">
        <v>575</v>
      </c>
      <c r="C405" s="54" t="s">
        <v>1756</v>
      </c>
      <c r="D405" s="54" t="s">
        <v>6712</v>
      </c>
      <c r="E405" s="59"/>
      <c r="F405" s="59" t="s">
        <v>1757</v>
      </c>
      <c r="G405" s="151">
        <v>87865</v>
      </c>
      <c r="H405" s="55" t="s">
        <v>1758</v>
      </c>
      <c r="I405" s="55" t="s">
        <v>7866</v>
      </c>
      <c r="J405" s="55" t="s">
        <v>1759</v>
      </c>
      <c r="K405" s="55" t="s">
        <v>349</v>
      </c>
      <c r="L405" s="55" t="s">
        <v>6134</v>
      </c>
      <c r="M405" s="55" t="s">
        <v>497</v>
      </c>
      <c r="N405" s="60" t="s">
        <v>6381</v>
      </c>
      <c r="O405" s="55" t="s">
        <v>6086</v>
      </c>
      <c r="P405" s="67"/>
      <c r="Q405" s="67" t="s">
        <v>6173</v>
      </c>
      <c r="R405" s="67" t="s">
        <v>6180</v>
      </c>
      <c r="S405" s="67" t="s">
        <v>6176</v>
      </c>
      <c r="T405" s="56">
        <v>266.33999999999997</v>
      </c>
      <c r="U405" s="103">
        <v>5.2564391379439822E-2</v>
      </c>
      <c r="V405" s="103">
        <v>1.1601712097319217E-2</v>
      </c>
      <c r="W405" s="103">
        <v>3.8018939632056103E-2</v>
      </c>
      <c r="X405" s="103">
        <v>5.2564391379439822E-2</v>
      </c>
      <c r="Y405" s="162">
        <v>4.71</v>
      </c>
      <c r="Z405" s="56">
        <v>4.74</v>
      </c>
      <c r="AA405" s="56">
        <v>5.12</v>
      </c>
      <c r="AB405" s="56">
        <v>5.1100000000000003</v>
      </c>
      <c r="AC405" s="56">
        <v>0.88800000000000001</v>
      </c>
      <c r="AD405" s="56">
        <v>5.04</v>
      </c>
      <c r="AE405" s="56">
        <v>4.78</v>
      </c>
      <c r="AF405" s="56">
        <f t="shared" si="136"/>
        <v>5.12</v>
      </c>
      <c r="AG405" s="57">
        <v>4.8499999999999996</v>
      </c>
      <c r="AH405" s="103">
        <v>1.2499999999999999E-7</v>
      </c>
      <c r="AI405" s="103">
        <v>2.4500000000000001E-8</v>
      </c>
      <c r="AJ405" s="62">
        <f t="shared" si="140"/>
        <v>-5.2916563133045953</v>
      </c>
      <c r="AK405" s="62">
        <f>LOG10(AI405*1000/(0.08206*298.15))</f>
        <v>-5.9994002419481189</v>
      </c>
      <c r="AL405" s="62">
        <f t="shared" si="141"/>
        <v>-5.9994002419481189</v>
      </c>
      <c r="AM405" s="62">
        <v>-7.034559999999999</v>
      </c>
      <c r="AN405" s="154">
        <v>-3.97</v>
      </c>
      <c r="AO405" s="410">
        <v>4.68</v>
      </c>
      <c r="AP405" s="410"/>
      <c r="AQ405" s="154" t="s">
        <v>6311</v>
      </c>
      <c r="AR405" s="154" t="s">
        <v>6311</v>
      </c>
      <c r="AS405" s="149" t="s">
        <v>6</v>
      </c>
      <c r="AT405" s="58" t="s">
        <v>266</v>
      </c>
      <c r="AU405" s="56">
        <v>2</v>
      </c>
      <c r="AV405" s="56">
        <v>96</v>
      </c>
      <c r="AW405" s="56">
        <v>96</v>
      </c>
      <c r="AX405" s="56" t="s">
        <v>6240</v>
      </c>
      <c r="AY405" s="56" t="s">
        <v>1584</v>
      </c>
      <c r="AZ405" s="61" t="s">
        <v>1584</v>
      </c>
      <c r="BA405" s="56" t="s">
        <v>8722</v>
      </c>
      <c r="BB405" s="55" t="s">
        <v>8722</v>
      </c>
      <c r="BC405" s="55" t="s">
        <v>8722</v>
      </c>
      <c r="BD405" s="55"/>
      <c r="BE405" s="56" t="s">
        <v>8722</v>
      </c>
      <c r="BF405" s="56" t="s">
        <v>8722</v>
      </c>
      <c r="BG405" s="56" t="s">
        <v>8722</v>
      </c>
      <c r="BH405" s="56" t="s">
        <v>8722</v>
      </c>
      <c r="BI405" s="103" t="s">
        <v>8722</v>
      </c>
      <c r="BJ405" s="103" t="s">
        <v>8722</v>
      </c>
      <c r="BK405" s="56"/>
      <c r="BL405" s="103">
        <f t="shared" ref="BL405:BL414" si="142">10^((-0.8981*Z405)+1.7108)</f>
        <v>2.8431907661344621E-3</v>
      </c>
      <c r="BM405" s="55" t="s">
        <v>1640</v>
      </c>
      <c r="BN405" s="56"/>
      <c r="BO405" s="56">
        <v>3.7545993842457012E-3</v>
      </c>
      <c r="BP405" s="56">
        <v>2.440489599759706E-3</v>
      </c>
      <c r="BQ405" s="56">
        <v>2.1401216490200495E-3</v>
      </c>
      <c r="BR405" s="56"/>
      <c r="BS405" s="56"/>
      <c r="BT405" s="56"/>
      <c r="BU405" s="158"/>
      <c r="BV405" s="56"/>
      <c r="BW405" s="56"/>
      <c r="BX405" s="56"/>
      <c r="BY405" s="56"/>
      <c r="BZ405" s="56"/>
      <c r="CA405" s="56"/>
      <c r="CB405" s="56"/>
      <c r="CC405" s="56"/>
      <c r="CD405" s="56"/>
      <c r="CE405" s="56"/>
      <c r="CF405" s="56"/>
      <c r="CG405" s="56"/>
      <c r="CH405" s="56"/>
      <c r="CI405" s="103">
        <f t="shared" si="137"/>
        <v>2.1401216490200495E-3</v>
      </c>
      <c r="CJ405" s="103">
        <f t="shared" si="138"/>
        <v>-2.6695615397365189</v>
      </c>
      <c r="CK405" s="57" t="s">
        <v>404</v>
      </c>
      <c r="CL405" s="160">
        <f t="shared" si="124"/>
        <v>1.328518295881145</v>
      </c>
      <c r="CM405" s="160">
        <v>-3.2759817693598996</v>
      </c>
      <c r="CN405" s="160" t="s">
        <v>404</v>
      </c>
      <c r="CO405" s="55" t="s">
        <v>1641</v>
      </c>
      <c r="CP405" s="55" t="s">
        <v>1642</v>
      </c>
      <c r="CQ405" s="149">
        <v>-3.1473762053339587</v>
      </c>
      <c r="CR405" s="349">
        <f>10^(CJ405-CQ405)</f>
        <v>3.0047937385646</v>
      </c>
      <c r="CS405" s="61" t="s">
        <v>539</v>
      </c>
      <c r="CT405" s="61"/>
      <c r="CU405" s="111">
        <f t="shared" si="135"/>
        <v>24.561403508771935</v>
      </c>
      <c r="CV405" s="331"/>
      <c r="CW405" s="326">
        <f t="shared" si="139"/>
        <v>1</v>
      </c>
      <c r="CX405" s="326"/>
      <c r="CY405" s="161" t="s">
        <v>5921</v>
      </c>
    </row>
    <row r="406" spans="1:103" ht="11.25" customHeight="1" x14ac:dyDescent="0.2">
      <c r="A406" s="72">
        <v>404</v>
      </c>
      <c r="B406" s="149">
        <v>254</v>
      </c>
      <c r="C406" s="54" t="s">
        <v>1095</v>
      </c>
      <c r="D406" s="54" t="s">
        <v>6673</v>
      </c>
      <c r="E406" s="59"/>
      <c r="F406" s="59" t="s">
        <v>1096</v>
      </c>
      <c r="G406" s="151">
        <v>84742</v>
      </c>
      <c r="H406" s="55" t="s">
        <v>1097</v>
      </c>
      <c r="I406" s="55" t="s">
        <v>1097</v>
      </c>
      <c r="J406" s="55" t="s">
        <v>1098</v>
      </c>
      <c r="K406" s="55" t="s">
        <v>357</v>
      </c>
      <c r="L406" s="55" t="s">
        <v>5492</v>
      </c>
      <c r="M406" s="55" t="s">
        <v>866</v>
      </c>
      <c r="N406" s="60" t="s">
        <v>6082</v>
      </c>
      <c r="O406" s="55" t="s">
        <v>6086</v>
      </c>
      <c r="P406" s="67"/>
      <c r="Q406" s="67" t="s">
        <v>6173</v>
      </c>
      <c r="R406" s="67" t="s">
        <v>6174</v>
      </c>
      <c r="S406" s="67" t="s">
        <v>6176</v>
      </c>
      <c r="T406" s="56">
        <v>278.33999999999997</v>
      </c>
      <c r="U406" s="103">
        <v>4.0238557160307539E-2</v>
      </c>
      <c r="V406" s="103">
        <v>8.4465042753466991E-3</v>
      </c>
      <c r="W406" s="103">
        <v>8.9125093813374523E-2</v>
      </c>
      <c r="X406" s="103">
        <v>4.0238557160307539E-2</v>
      </c>
      <c r="Y406" s="162">
        <v>7</v>
      </c>
      <c r="Z406" s="56">
        <v>4.6100000000000003</v>
      </c>
      <c r="AA406" s="56">
        <v>4.5</v>
      </c>
      <c r="AB406" s="56">
        <v>4.62</v>
      </c>
      <c r="AC406" s="56">
        <v>0.79549999999999998</v>
      </c>
      <c r="AD406" s="56">
        <v>4.68</v>
      </c>
      <c r="AE406" s="56">
        <v>4.83</v>
      </c>
      <c r="AF406" s="56">
        <f t="shared" si="136"/>
        <v>4.5</v>
      </c>
      <c r="AG406" s="57">
        <v>3.98</v>
      </c>
      <c r="AH406" s="103">
        <v>1.22E-6</v>
      </c>
      <c r="AI406" s="103">
        <v>1.81E-6</v>
      </c>
      <c r="AJ406" s="62">
        <f t="shared" si="140"/>
        <v>-4.302206495637904</v>
      </c>
      <c r="AK406" s="62">
        <f>LOG10(AI406*1000/(0.08206*298.15))</f>
        <v>-4.130887751443467</v>
      </c>
      <c r="AL406" s="62">
        <f t="shared" si="141"/>
        <v>-4.130887751443467</v>
      </c>
      <c r="AM406" s="62">
        <v>-8.9484100000000009</v>
      </c>
      <c r="AN406" s="154">
        <v>-4.67</v>
      </c>
      <c r="AO406" s="410"/>
      <c r="AP406" s="410"/>
      <c r="AQ406" s="154" t="s">
        <v>6311</v>
      </c>
      <c r="AR406" s="154" t="s">
        <v>6312</v>
      </c>
      <c r="AS406" s="149" t="s">
        <v>6</v>
      </c>
      <c r="AT406" s="58" t="s">
        <v>266</v>
      </c>
      <c r="AU406" s="56">
        <v>8</v>
      </c>
      <c r="AV406" s="56">
        <v>144</v>
      </c>
      <c r="AW406" s="56">
        <v>120</v>
      </c>
      <c r="AX406" s="56">
        <v>26</v>
      </c>
      <c r="AY406" s="56" t="s">
        <v>267</v>
      </c>
      <c r="AZ406" s="56" t="s">
        <v>268</v>
      </c>
      <c r="BA406" s="56">
        <v>4</v>
      </c>
      <c r="BB406" s="55" t="s">
        <v>888</v>
      </c>
      <c r="BC406" s="55" t="s">
        <v>270</v>
      </c>
      <c r="BD406" s="55" t="s">
        <v>8374</v>
      </c>
      <c r="BE406" s="56" t="s">
        <v>889</v>
      </c>
      <c r="BF406" s="56" t="s">
        <v>272</v>
      </c>
      <c r="BG406" s="56" t="s">
        <v>272</v>
      </c>
      <c r="BH406" s="56" t="s">
        <v>890</v>
      </c>
      <c r="BI406" s="103">
        <v>9.9999999999999995E-7</v>
      </c>
      <c r="BJ406" s="103">
        <v>0.08</v>
      </c>
      <c r="BK406" s="56"/>
      <c r="BL406" s="103">
        <f t="shared" si="142"/>
        <v>3.7201375673569328E-3</v>
      </c>
      <c r="BM406" s="56" t="s">
        <v>891</v>
      </c>
      <c r="BN406" s="162"/>
      <c r="BO406" s="162"/>
      <c r="BP406" s="162"/>
      <c r="BQ406" s="162"/>
      <c r="BR406" s="162"/>
      <c r="BS406" s="56">
        <v>2.1099999999999999E-3</v>
      </c>
      <c r="BT406" s="162"/>
      <c r="BU406" s="158"/>
      <c r="BV406" s="162"/>
      <c r="BW406" s="162"/>
      <c r="BX406" s="162"/>
      <c r="BY406" s="162"/>
      <c r="BZ406" s="162"/>
      <c r="CA406" s="162"/>
      <c r="CB406" s="162"/>
      <c r="CC406" s="56"/>
      <c r="CD406" s="56"/>
      <c r="CE406" s="56"/>
      <c r="CF406" s="56"/>
      <c r="CG406" s="56"/>
      <c r="CH406" s="56"/>
      <c r="CI406" s="103">
        <f t="shared" si="137"/>
        <v>2.1099999999999999E-3</v>
      </c>
      <c r="CJ406" s="103">
        <f t="shared" si="138"/>
        <v>-2.6757175447023074</v>
      </c>
      <c r="CK406" s="57">
        <f t="shared" ref="CK406:CK426" si="143">BL406/BJ406</f>
        <v>4.6501719591961657E-2</v>
      </c>
      <c r="CL406" s="160">
        <f t="shared" si="124"/>
        <v>1.7630983731549446</v>
      </c>
      <c r="CM406" s="160">
        <v>-2.3583644594795694</v>
      </c>
      <c r="CN406" s="160">
        <f>BJ406/(10^CM406)</f>
        <v>18.258052287216092</v>
      </c>
      <c r="CO406" s="55" t="s">
        <v>892</v>
      </c>
      <c r="CP406" s="55" t="s">
        <v>893</v>
      </c>
      <c r="CQ406" s="149">
        <v>-2.294003281648453</v>
      </c>
      <c r="CR406" s="349">
        <f>10^(CJ406-CQ406)</f>
        <v>0.41522714468670313</v>
      </c>
      <c r="CS406" s="61" t="s">
        <v>539</v>
      </c>
      <c r="CT406" s="61"/>
      <c r="CU406" s="111">
        <f t="shared" si="135"/>
        <v>19.070406237112579</v>
      </c>
      <c r="CV406" s="331">
        <f t="shared" ref="CV406:CV417" si="144">X406/BJ406</f>
        <v>0.50298196450384425</v>
      </c>
      <c r="CW406" s="326">
        <f t="shared" si="139"/>
        <v>1</v>
      </c>
      <c r="CX406" s="326" t="s">
        <v>539</v>
      </c>
      <c r="CY406" s="161" t="s">
        <v>6351</v>
      </c>
    </row>
    <row r="407" spans="1:103" ht="11.25" customHeight="1" x14ac:dyDescent="0.2">
      <c r="A407" s="72">
        <v>405</v>
      </c>
      <c r="B407" s="149">
        <v>964</v>
      </c>
      <c r="C407" s="54" t="s">
        <v>6713</v>
      </c>
      <c r="D407" s="54"/>
      <c r="E407" s="59"/>
      <c r="F407" s="59" t="s">
        <v>2749</v>
      </c>
      <c r="G407" s="151">
        <v>402910274</v>
      </c>
      <c r="H407" s="55" t="s">
        <v>2750</v>
      </c>
      <c r="I407" s="55" t="s">
        <v>7771</v>
      </c>
      <c r="J407" s="55" t="s">
        <v>2751</v>
      </c>
      <c r="K407" s="55" t="s">
        <v>2752</v>
      </c>
      <c r="L407" s="55"/>
      <c r="M407" s="55"/>
      <c r="N407" s="60"/>
      <c r="O407" s="55"/>
      <c r="P407" s="67"/>
      <c r="Q407" s="67"/>
      <c r="R407" s="67"/>
      <c r="S407" s="67"/>
      <c r="T407" s="56">
        <v>357.38</v>
      </c>
      <c r="U407" s="103"/>
      <c r="V407" s="103">
        <v>16.279590352006267</v>
      </c>
      <c r="W407" s="103">
        <v>1.4125375446227526</v>
      </c>
      <c r="X407" s="103">
        <f t="shared" ref="X407:X417" si="145">IF(W407=0,V407,W407)</f>
        <v>1.4125375446227526</v>
      </c>
      <c r="Y407" s="162">
        <v>7.42</v>
      </c>
      <c r="Z407" s="56">
        <v>0.44</v>
      </c>
      <c r="AA407" s="56"/>
      <c r="AB407" s="56">
        <v>0.23</v>
      </c>
      <c r="AC407" s="56">
        <v>0.68910000000000005</v>
      </c>
      <c r="AD407" s="56">
        <v>0.44</v>
      </c>
      <c r="AE407" s="56">
        <v>1.2</v>
      </c>
      <c r="AF407" s="56">
        <f t="shared" si="136"/>
        <v>0.44</v>
      </c>
      <c r="AG407" s="57">
        <v>1.85</v>
      </c>
      <c r="AH407" s="103">
        <v>6.5499999999999998E-19</v>
      </c>
      <c r="AI407" s="103"/>
      <c r="AJ407" s="62">
        <f t="shared" si="140"/>
        <v>-16.572325026320868</v>
      </c>
      <c r="AK407" s="62"/>
      <c r="AL407" s="62">
        <f t="shared" si="141"/>
        <v>-16.572325026320868</v>
      </c>
      <c r="AM407" s="62">
        <v>-22.246029999999998</v>
      </c>
      <c r="AN407" s="154">
        <v>-11.3</v>
      </c>
      <c r="AO407" s="410">
        <v>6.43</v>
      </c>
      <c r="AP407" s="410">
        <v>9</v>
      </c>
      <c r="AQ407" s="56" t="s">
        <v>6311</v>
      </c>
      <c r="AR407" s="56" t="s">
        <v>6311</v>
      </c>
      <c r="AS407" s="155"/>
      <c r="AT407" s="58" t="s">
        <v>266</v>
      </c>
      <c r="AU407" s="56">
        <v>6</v>
      </c>
      <c r="AV407" s="56">
        <v>120</v>
      </c>
      <c r="AW407" s="56">
        <v>114</v>
      </c>
      <c r="AX407" s="56">
        <v>28</v>
      </c>
      <c r="AY407" s="56" t="s">
        <v>8728</v>
      </c>
      <c r="AZ407" s="56" t="s">
        <v>1563</v>
      </c>
      <c r="BA407" s="56">
        <v>32</v>
      </c>
      <c r="BB407" s="55" t="s">
        <v>2485</v>
      </c>
      <c r="BC407" s="55" t="s">
        <v>8726</v>
      </c>
      <c r="BD407" s="55" t="s">
        <v>8374</v>
      </c>
      <c r="BE407" s="56" t="s">
        <v>2449</v>
      </c>
      <c r="BF407" s="56" t="s">
        <v>272</v>
      </c>
      <c r="BG407" s="56" t="s">
        <v>272</v>
      </c>
      <c r="BH407" s="56" t="s">
        <v>2486</v>
      </c>
      <c r="BI407" s="103">
        <v>6.3999999999999997E-6</v>
      </c>
      <c r="BJ407" s="103">
        <v>6.4000000000000001E-2</v>
      </c>
      <c r="BK407" s="56"/>
      <c r="BL407" s="103">
        <f t="shared" si="142"/>
        <v>20.684070054186101</v>
      </c>
      <c r="BM407" s="56" t="s">
        <v>2487</v>
      </c>
      <c r="BN407" s="56"/>
      <c r="BO407" s="56"/>
      <c r="BP407" s="56"/>
      <c r="BQ407" s="56"/>
      <c r="BR407" s="55">
        <v>2.0238577000000001E-2</v>
      </c>
      <c r="BS407" s="56"/>
      <c r="BT407" s="56"/>
      <c r="BU407" s="158"/>
      <c r="BV407" s="56"/>
      <c r="BW407" s="56"/>
      <c r="BX407" s="56"/>
      <c r="BY407" s="56"/>
      <c r="BZ407" s="56"/>
      <c r="CA407" s="56"/>
      <c r="CB407" s="56"/>
      <c r="CC407" s="56"/>
      <c r="CD407" s="56"/>
      <c r="CE407" s="56"/>
      <c r="CF407" s="56"/>
      <c r="CG407" s="56"/>
      <c r="CH407" s="56"/>
      <c r="CI407" s="103">
        <f t="shared" si="137"/>
        <v>2.0238577000000001E-2</v>
      </c>
      <c r="CJ407" s="103">
        <f t="shared" si="138"/>
        <v>-1.6938200265542473</v>
      </c>
      <c r="CK407" s="57">
        <f t="shared" si="143"/>
        <v>323.18859459665782</v>
      </c>
      <c r="CL407" s="160">
        <f t="shared" si="124"/>
        <v>1022.0120739806015</v>
      </c>
      <c r="CM407" s="160"/>
      <c r="CN407" s="160"/>
      <c r="CO407" s="55" t="s">
        <v>2488</v>
      </c>
      <c r="CP407" s="55" t="s">
        <v>2489</v>
      </c>
      <c r="CQ407" s="149" t="s">
        <v>272</v>
      </c>
      <c r="CR407" s="349"/>
      <c r="CS407" s="61" t="s">
        <v>539</v>
      </c>
      <c r="CT407" s="61"/>
      <c r="CU407" s="111">
        <f t="shared" si="135"/>
        <v>69.794311360070054</v>
      </c>
      <c r="CV407" s="331">
        <f t="shared" si="144"/>
        <v>22.07089913473051</v>
      </c>
      <c r="CW407" s="326">
        <f t="shared" si="139"/>
        <v>1</v>
      </c>
      <c r="CX407" s="326"/>
      <c r="CY407" s="161" t="s">
        <v>5921</v>
      </c>
    </row>
    <row r="408" spans="1:103" ht="11.25" customHeight="1" x14ac:dyDescent="0.2">
      <c r="A408" s="72">
        <v>406</v>
      </c>
      <c r="B408" s="149">
        <v>176</v>
      </c>
      <c r="C408" s="54" t="s">
        <v>6714</v>
      </c>
      <c r="D408" s="54"/>
      <c r="E408" s="59"/>
      <c r="F408" s="59" t="s">
        <v>909</v>
      </c>
      <c r="G408" s="151">
        <v>555406536</v>
      </c>
      <c r="H408" s="55" t="s">
        <v>910</v>
      </c>
      <c r="I408" s="55" t="s">
        <v>7867</v>
      </c>
      <c r="J408" s="55" t="s">
        <v>911</v>
      </c>
      <c r="K408" s="55" t="s">
        <v>912</v>
      </c>
      <c r="L408" s="55" t="s">
        <v>5576</v>
      </c>
      <c r="M408" s="55" t="s">
        <v>5931</v>
      </c>
      <c r="N408" s="60"/>
      <c r="O408" s="55" t="s">
        <v>5940</v>
      </c>
      <c r="P408" s="67"/>
      <c r="Q408" s="67"/>
      <c r="R408" s="67"/>
      <c r="S408" s="67"/>
      <c r="T408" s="56">
        <v>281.08999999999997</v>
      </c>
      <c r="U408" s="103"/>
      <c r="V408" s="103">
        <v>0.45038955494681421</v>
      </c>
      <c r="W408" s="103">
        <v>0.25118864315095774</v>
      </c>
      <c r="X408" s="103">
        <f t="shared" si="145"/>
        <v>0.25118864315095774</v>
      </c>
      <c r="Y408" s="162">
        <v>6.99</v>
      </c>
      <c r="Z408" s="56">
        <v>2.4500000000000002</v>
      </c>
      <c r="AA408" s="56"/>
      <c r="AB408" s="56">
        <v>2.06</v>
      </c>
      <c r="AC408" s="56">
        <v>0.52690000000000003</v>
      </c>
      <c r="AD408" s="56">
        <v>3.2</v>
      </c>
      <c r="AE408" s="56">
        <v>4.4400000000000004</v>
      </c>
      <c r="AF408" s="56">
        <f t="shared" si="136"/>
        <v>3.2</v>
      </c>
      <c r="AG408" s="57">
        <v>5.26</v>
      </c>
      <c r="AH408" s="103">
        <v>8.9299999999999996E-9</v>
      </c>
      <c r="AI408" s="103"/>
      <c r="AJ408" s="62">
        <f t="shared" si="140"/>
        <v>-6.4377148674241056</v>
      </c>
      <c r="AK408" s="62"/>
      <c r="AL408" s="62">
        <f t="shared" si="141"/>
        <v>-6.4377148674241056</v>
      </c>
      <c r="AM408" s="62">
        <v>-8.67258</v>
      </c>
      <c r="AN408" s="154">
        <v>-6.64</v>
      </c>
      <c r="AO408" s="410">
        <v>12.03</v>
      </c>
      <c r="AP408" s="410">
        <v>-1.55</v>
      </c>
      <c r="AQ408" s="154" t="s">
        <v>6311</v>
      </c>
      <c r="AR408" s="154" t="s">
        <v>6315</v>
      </c>
      <c r="AS408" s="149" t="s">
        <v>63</v>
      </c>
      <c r="AT408" s="58" t="s">
        <v>266</v>
      </c>
      <c r="AU408" s="56">
        <v>8</v>
      </c>
      <c r="AV408" s="56">
        <v>144</v>
      </c>
      <c r="AW408" s="56">
        <v>120</v>
      </c>
      <c r="AX408" s="56">
        <v>26</v>
      </c>
      <c r="AY408" s="56" t="s">
        <v>267</v>
      </c>
      <c r="AZ408" s="56" t="s">
        <v>268</v>
      </c>
      <c r="BA408" s="56">
        <v>4</v>
      </c>
      <c r="BB408" s="55" t="s">
        <v>888</v>
      </c>
      <c r="BC408" s="55" t="s">
        <v>270</v>
      </c>
      <c r="BD408" s="55" t="s">
        <v>8374</v>
      </c>
      <c r="BE408" s="56" t="s">
        <v>889</v>
      </c>
      <c r="BF408" s="56" t="s">
        <v>272</v>
      </c>
      <c r="BG408" s="56" t="s">
        <v>272</v>
      </c>
      <c r="BH408" s="56" t="s">
        <v>890</v>
      </c>
      <c r="BI408" s="103">
        <v>9.9999999999999995E-7</v>
      </c>
      <c r="BJ408" s="103">
        <v>0.08</v>
      </c>
      <c r="BK408" s="56"/>
      <c r="BL408" s="103">
        <f t="shared" si="142"/>
        <v>0.32393285596242022</v>
      </c>
      <c r="BM408" s="56" t="s">
        <v>891</v>
      </c>
      <c r="BN408" s="162"/>
      <c r="BO408" s="162"/>
      <c r="BP408" s="162"/>
      <c r="BQ408" s="162"/>
      <c r="BR408" s="162"/>
      <c r="BS408" s="56">
        <v>2.5499999999999997E-3</v>
      </c>
      <c r="BT408" s="162"/>
      <c r="BU408" s="158"/>
      <c r="BV408" s="162"/>
      <c r="BW408" s="162"/>
      <c r="BX408" s="162"/>
      <c r="BY408" s="162"/>
      <c r="BZ408" s="162"/>
      <c r="CA408" s="162"/>
      <c r="CB408" s="162"/>
      <c r="CC408" s="56"/>
      <c r="CD408" s="56"/>
      <c r="CE408" s="56"/>
      <c r="CF408" s="56"/>
      <c r="CG408" s="56"/>
      <c r="CH408" s="56"/>
      <c r="CI408" s="103">
        <f t="shared" si="137"/>
        <v>2.5499999999999997E-3</v>
      </c>
      <c r="CJ408" s="103">
        <f t="shared" si="138"/>
        <v>-2.593459819566045</v>
      </c>
      <c r="CK408" s="57">
        <f t="shared" si="143"/>
        <v>4.0491606995302529</v>
      </c>
      <c r="CL408" s="160">
        <f t="shared" si="124"/>
        <v>127.03249253428245</v>
      </c>
      <c r="CM408" s="160"/>
      <c r="CN408" s="160"/>
      <c r="CO408" s="55" t="s">
        <v>892</v>
      </c>
      <c r="CP408" s="55" t="s">
        <v>893</v>
      </c>
      <c r="CQ408" s="149" t="s">
        <v>272</v>
      </c>
      <c r="CR408" s="349"/>
      <c r="CS408" s="61" t="s">
        <v>539</v>
      </c>
      <c r="CT408" s="61"/>
      <c r="CU408" s="111">
        <f t="shared" si="135"/>
        <v>98.505350255277548</v>
      </c>
      <c r="CV408" s="331">
        <f t="shared" si="144"/>
        <v>3.1398580393869717</v>
      </c>
      <c r="CW408" s="326">
        <f t="shared" si="139"/>
        <v>1</v>
      </c>
      <c r="CX408" s="326" t="s">
        <v>539</v>
      </c>
      <c r="CY408" s="161" t="s">
        <v>5921</v>
      </c>
    </row>
    <row r="409" spans="1:103" ht="11.25" customHeight="1" x14ac:dyDescent="0.2">
      <c r="A409" s="72">
        <v>407</v>
      </c>
      <c r="B409" s="149">
        <v>1011</v>
      </c>
      <c r="C409" s="54" t="s">
        <v>6715</v>
      </c>
      <c r="D409" s="54"/>
      <c r="E409" s="59"/>
      <c r="F409" s="59" t="s">
        <v>2891</v>
      </c>
      <c r="G409" s="151">
        <v>676116044</v>
      </c>
      <c r="H409" s="55" t="s">
        <v>2892</v>
      </c>
      <c r="I409" s="55" t="s">
        <v>7823</v>
      </c>
      <c r="J409" s="55" t="s">
        <v>2893</v>
      </c>
      <c r="K409" s="55" t="s">
        <v>1473</v>
      </c>
      <c r="L409" s="55"/>
      <c r="M409" s="55"/>
      <c r="N409" s="60"/>
      <c r="O409" s="55"/>
      <c r="P409" s="67"/>
      <c r="Q409" s="67"/>
      <c r="R409" s="67"/>
      <c r="S409" s="67"/>
      <c r="T409" s="56">
        <v>610.16</v>
      </c>
      <c r="U409" s="103"/>
      <c r="V409" s="103">
        <v>1.2467221712337748E-9</v>
      </c>
      <c r="W409" s="103">
        <v>9.3325430079699008E-4</v>
      </c>
      <c r="X409" s="103">
        <f t="shared" si="145"/>
        <v>9.3325430079699008E-4</v>
      </c>
      <c r="Y409" s="162">
        <v>6.03</v>
      </c>
      <c r="Z409" s="56">
        <v>9.67</v>
      </c>
      <c r="AA409" s="56"/>
      <c r="AB409" s="56">
        <v>6.82</v>
      </c>
      <c r="AC409" s="56">
        <v>0.50219999999999998</v>
      </c>
      <c r="AD409" s="56">
        <v>7.56</v>
      </c>
      <c r="AE409" s="56">
        <v>8.3800000000000008</v>
      </c>
      <c r="AF409" s="56">
        <f t="shared" si="136"/>
        <v>7.56</v>
      </c>
      <c r="AG409" s="57">
        <v>9.31</v>
      </c>
      <c r="AH409" s="103">
        <v>1.9399999999999999E-23</v>
      </c>
      <c r="AI409" s="103"/>
      <c r="AJ409" s="62">
        <f t="shared" si="140"/>
        <v>-21.100764596382426</v>
      </c>
      <c r="AK409" s="62"/>
      <c r="AL409" s="62">
        <f t="shared" si="141"/>
        <v>-21.100764596382426</v>
      </c>
      <c r="AM409" s="62">
        <v>-28.812149999999999</v>
      </c>
      <c r="AN409" s="154">
        <v>-29.5</v>
      </c>
      <c r="AO409" s="410">
        <v>4.01</v>
      </c>
      <c r="AP409" s="410">
        <v>1.71</v>
      </c>
      <c r="AQ409" s="56" t="s">
        <v>6311</v>
      </c>
      <c r="AR409" s="56" t="s">
        <v>6311</v>
      </c>
      <c r="AS409" s="155"/>
      <c r="AT409" s="58" t="s">
        <v>266</v>
      </c>
      <c r="AU409" s="56">
        <v>6</v>
      </c>
      <c r="AV409" s="56">
        <v>120</v>
      </c>
      <c r="AW409" s="56">
        <v>114</v>
      </c>
      <c r="AX409" s="56">
        <v>28</v>
      </c>
      <c r="AY409" s="56" t="s">
        <v>8728</v>
      </c>
      <c r="AZ409" s="56" t="s">
        <v>1563</v>
      </c>
      <c r="BA409" s="56">
        <v>32</v>
      </c>
      <c r="BB409" s="55" t="s">
        <v>2485</v>
      </c>
      <c r="BC409" s="55" t="s">
        <v>8726</v>
      </c>
      <c r="BD409" s="55" t="s">
        <v>8374</v>
      </c>
      <c r="BE409" s="56" t="s">
        <v>2449</v>
      </c>
      <c r="BF409" s="56" t="s">
        <v>272</v>
      </c>
      <c r="BG409" s="56" t="s">
        <v>272</v>
      </c>
      <c r="BH409" s="56" t="s">
        <v>2486</v>
      </c>
      <c r="BI409" s="103">
        <v>6.3999999999999997E-6</v>
      </c>
      <c r="BJ409" s="103">
        <v>6.4000000000000001E-2</v>
      </c>
      <c r="BK409" s="56"/>
      <c r="BL409" s="103">
        <f t="shared" si="142"/>
        <v>1.0621185649199557E-7</v>
      </c>
      <c r="BM409" s="56" t="s">
        <v>2487</v>
      </c>
      <c r="BN409" s="56"/>
      <c r="BO409" s="56"/>
      <c r="BP409" s="56"/>
      <c r="BQ409" s="56"/>
      <c r="BR409" s="55">
        <v>2.0238577000000001E-2</v>
      </c>
      <c r="BS409" s="56"/>
      <c r="BT409" s="56"/>
      <c r="BU409" s="158"/>
      <c r="BV409" s="56"/>
      <c r="BW409" s="56"/>
      <c r="BX409" s="56"/>
      <c r="BY409" s="56"/>
      <c r="BZ409" s="56"/>
      <c r="CA409" s="56"/>
      <c r="CB409" s="56"/>
      <c r="CC409" s="56"/>
      <c r="CD409" s="56"/>
      <c r="CE409" s="56"/>
      <c r="CF409" s="56"/>
      <c r="CG409" s="56"/>
      <c r="CH409" s="56"/>
      <c r="CI409" s="103">
        <f t="shared" si="137"/>
        <v>2.0238577000000001E-2</v>
      </c>
      <c r="CJ409" s="103">
        <f t="shared" si="138"/>
        <v>-1.6938200265542473</v>
      </c>
      <c r="CK409" s="57">
        <f t="shared" si="143"/>
        <v>1.6595602576874309E-6</v>
      </c>
      <c r="CL409" s="160">
        <f t="shared" ref="CL409:CL472" si="146">BL409/CI409</f>
        <v>5.2479903350910278E-6</v>
      </c>
      <c r="CM409" s="160"/>
      <c r="CN409" s="160"/>
      <c r="CO409" s="55" t="s">
        <v>2488</v>
      </c>
      <c r="CP409" s="55" t="s">
        <v>2489</v>
      </c>
      <c r="CQ409" s="149" t="s">
        <v>272</v>
      </c>
      <c r="CR409" s="349"/>
      <c r="CS409" s="61" t="s">
        <v>539</v>
      </c>
      <c r="CT409" s="61"/>
      <c r="CU409" s="111">
        <f t="shared" si="135"/>
        <v>4.6112644223800424E-2</v>
      </c>
      <c r="CV409" s="331">
        <f t="shared" si="144"/>
        <v>1.4582098449952969E-2</v>
      </c>
      <c r="CW409" s="326">
        <f t="shared" si="139"/>
        <v>0</v>
      </c>
      <c r="CX409" s="326"/>
      <c r="CY409" s="161" t="s">
        <v>5921</v>
      </c>
    </row>
    <row r="410" spans="1:103" ht="11.25" customHeight="1" x14ac:dyDescent="0.2">
      <c r="A410" s="72">
        <v>408</v>
      </c>
      <c r="B410" s="149">
        <v>963</v>
      </c>
      <c r="C410" s="54" t="s">
        <v>6716</v>
      </c>
      <c r="D410" s="54"/>
      <c r="E410" s="59"/>
      <c r="F410" s="59" t="s">
        <v>2746</v>
      </c>
      <c r="G410" s="151">
        <v>686756876</v>
      </c>
      <c r="H410" s="55" t="s">
        <v>2747</v>
      </c>
      <c r="I410" s="55" t="s">
        <v>7820</v>
      </c>
      <c r="J410" s="55" t="s">
        <v>2748</v>
      </c>
      <c r="K410" s="55" t="s">
        <v>1292</v>
      </c>
      <c r="L410" s="55"/>
      <c r="M410" s="55"/>
      <c r="N410" s="60"/>
      <c r="O410" s="55"/>
      <c r="P410" s="67"/>
      <c r="Q410" s="67"/>
      <c r="R410" s="67"/>
      <c r="S410" s="67"/>
      <c r="T410" s="56">
        <v>498.33</v>
      </c>
      <c r="U410" s="103"/>
      <c r="V410" s="103">
        <v>2.3257680653382298E-3</v>
      </c>
      <c r="W410" s="103">
        <v>0.11748975549395278</v>
      </c>
      <c r="X410" s="103">
        <f t="shared" si="145"/>
        <v>0.11748975549395278</v>
      </c>
      <c r="Y410" s="162">
        <v>7.3</v>
      </c>
      <c r="Z410" s="56">
        <v>3.28</v>
      </c>
      <c r="AA410" s="56"/>
      <c r="AB410" s="56">
        <v>3.21</v>
      </c>
      <c r="AC410" s="56">
        <v>0.50529999999999997</v>
      </c>
      <c r="AD410" s="56">
        <v>2.3199999999999998</v>
      </c>
      <c r="AE410" s="56">
        <v>1.1599999999999999</v>
      </c>
      <c r="AF410" s="56">
        <f t="shared" si="136"/>
        <v>2.3199999999999998</v>
      </c>
      <c r="AG410" s="57">
        <v>2.95</v>
      </c>
      <c r="AH410" s="103">
        <v>1.9100000000000001E-19</v>
      </c>
      <c r="AI410" s="103"/>
      <c r="AJ410" s="62">
        <f t="shared" si="140"/>
        <v>-17.107532959064923</v>
      </c>
      <c r="AK410" s="62"/>
      <c r="AL410" s="62">
        <f t="shared" si="141"/>
        <v>-17.107532959064923</v>
      </c>
      <c r="AM410" s="62">
        <v>-27.925269999999998</v>
      </c>
      <c r="AN410" s="154">
        <v>-16.3</v>
      </c>
      <c r="AO410" s="410">
        <v>14.1</v>
      </c>
      <c r="AP410" s="410">
        <v>5.22</v>
      </c>
      <c r="AQ410" s="56" t="s">
        <v>6311</v>
      </c>
      <c r="AR410" s="56" t="s">
        <v>6311</v>
      </c>
      <c r="AS410" s="155"/>
      <c r="AT410" s="58" t="s">
        <v>266</v>
      </c>
      <c r="AU410" s="56">
        <v>6</v>
      </c>
      <c r="AV410" s="56">
        <v>120</v>
      </c>
      <c r="AW410" s="56">
        <v>114</v>
      </c>
      <c r="AX410" s="56">
        <v>28</v>
      </c>
      <c r="AY410" s="56" t="s">
        <v>8728</v>
      </c>
      <c r="AZ410" s="56" t="s">
        <v>1563</v>
      </c>
      <c r="BA410" s="56">
        <v>32</v>
      </c>
      <c r="BB410" s="55" t="s">
        <v>2485</v>
      </c>
      <c r="BC410" s="55" t="s">
        <v>8726</v>
      </c>
      <c r="BD410" s="55" t="s">
        <v>8374</v>
      </c>
      <c r="BE410" s="56" t="s">
        <v>2449</v>
      </c>
      <c r="BF410" s="56" t="s">
        <v>272</v>
      </c>
      <c r="BG410" s="56" t="s">
        <v>272</v>
      </c>
      <c r="BH410" s="56" t="s">
        <v>2486</v>
      </c>
      <c r="BI410" s="103">
        <v>6.3999999999999997E-6</v>
      </c>
      <c r="BJ410" s="103">
        <v>6.4000000000000001E-2</v>
      </c>
      <c r="BK410" s="56"/>
      <c r="BL410" s="103">
        <f t="shared" si="142"/>
        <v>5.8214611030121002E-2</v>
      </c>
      <c r="BM410" s="56" t="s">
        <v>2487</v>
      </c>
      <c r="BN410" s="56"/>
      <c r="BO410" s="56"/>
      <c r="BP410" s="56"/>
      <c r="BQ410" s="56"/>
      <c r="BR410" s="55">
        <v>2.0238577000000001E-2</v>
      </c>
      <c r="BS410" s="56"/>
      <c r="BT410" s="56"/>
      <c r="BU410" s="158"/>
      <c r="BV410" s="56"/>
      <c r="BW410" s="56"/>
      <c r="BX410" s="56"/>
      <c r="BY410" s="56"/>
      <c r="BZ410" s="56"/>
      <c r="CA410" s="56"/>
      <c r="CB410" s="56"/>
      <c r="CC410" s="56"/>
      <c r="CD410" s="56"/>
      <c r="CE410" s="56"/>
      <c r="CF410" s="56"/>
      <c r="CG410" s="56"/>
      <c r="CH410" s="56"/>
      <c r="CI410" s="103">
        <f t="shared" si="137"/>
        <v>2.0238577000000001E-2</v>
      </c>
      <c r="CJ410" s="103">
        <f t="shared" si="138"/>
        <v>-1.6938200265542473</v>
      </c>
      <c r="CK410" s="57">
        <f t="shared" si="143"/>
        <v>0.9096032973456406</v>
      </c>
      <c r="CL410" s="160">
        <f t="shared" si="146"/>
        <v>2.8764181903757859</v>
      </c>
      <c r="CM410" s="160"/>
      <c r="CN410" s="160"/>
      <c r="CO410" s="55" t="s">
        <v>2488</v>
      </c>
      <c r="CP410" s="55" t="s">
        <v>2489</v>
      </c>
      <c r="CQ410" s="149" t="s">
        <v>272</v>
      </c>
      <c r="CR410" s="349"/>
      <c r="CS410" s="61" t="s">
        <v>539</v>
      </c>
      <c r="CT410" s="61"/>
      <c r="CU410" s="111">
        <f t="shared" si="135"/>
        <v>5.8052379618365846</v>
      </c>
      <c r="CV410" s="331">
        <f t="shared" si="144"/>
        <v>1.8357774295930123</v>
      </c>
      <c r="CW410" s="326">
        <f t="shared" si="139"/>
        <v>1</v>
      </c>
      <c r="CX410" s="326"/>
      <c r="CY410" s="161" t="s">
        <v>5921</v>
      </c>
    </row>
    <row r="411" spans="1:103" ht="11.25" customHeight="1" x14ac:dyDescent="0.2">
      <c r="A411" s="72">
        <v>409</v>
      </c>
      <c r="B411" s="149">
        <v>886</v>
      </c>
      <c r="C411" s="54" t="s">
        <v>6717</v>
      </c>
      <c r="D411" s="54"/>
      <c r="E411" s="59"/>
      <c r="F411" s="59" t="s">
        <v>2521</v>
      </c>
      <c r="G411" s="151">
        <v>725228455</v>
      </c>
      <c r="H411" s="55" t="s">
        <v>2522</v>
      </c>
      <c r="I411" s="55" t="s">
        <v>7817</v>
      </c>
      <c r="J411" s="55" t="s">
        <v>2523</v>
      </c>
      <c r="K411" s="55" t="s">
        <v>300</v>
      </c>
      <c r="L411" s="55"/>
      <c r="M411" s="55"/>
      <c r="N411" s="60"/>
      <c r="O411" s="55"/>
      <c r="P411" s="67"/>
      <c r="Q411" s="67"/>
      <c r="R411" s="67"/>
      <c r="S411" s="67"/>
      <c r="T411" s="56">
        <v>406.47</v>
      </c>
      <c r="U411" s="103"/>
      <c r="V411" s="103">
        <v>2460.2061652766502</v>
      </c>
      <c r="W411" s="103">
        <v>1905.4607179632474</v>
      </c>
      <c r="X411" s="103">
        <f t="shared" si="145"/>
        <v>1905.4607179632474</v>
      </c>
      <c r="Y411" s="162">
        <v>11.23</v>
      </c>
      <c r="Z411" s="56">
        <v>-4.3499999999999996</v>
      </c>
      <c r="AA411" s="56"/>
      <c r="AB411" s="56">
        <v>-4.2</v>
      </c>
      <c r="AC411" s="56">
        <v>0.1903</v>
      </c>
      <c r="AD411" s="56">
        <v>-2.33</v>
      </c>
      <c r="AE411" s="56">
        <v>-1.68</v>
      </c>
      <c r="AF411" s="56">
        <f t="shared" si="136"/>
        <v>-2.33</v>
      </c>
      <c r="AG411" s="57">
        <v>-4.01</v>
      </c>
      <c r="AH411" s="103">
        <v>1.23E-32</v>
      </c>
      <c r="AI411" s="103"/>
      <c r="AJ411" s="62">
        <f t="shared" si="140"/>
        <v>-30.298661214873253</v>
      </c>
      <c r="AK411" s="62"/>
      <c r="AL411" s="62">
        <f t="shared" si="141"/>
        <v>-30.298661214873253</v>
      </c>
      <c r="AM411" s="62">
        <v>-39.066200000000002</v>
      </c>
      <c r="AN411" s="154">
        <v>-26.7</v>
      </c>
      <c r="AO411" s="410">
        <v>13.24</v>
      </c>
      <c r="AP411" s="410">
        <v>9.52</v>
      </c>
      <c r="AQ411" s="56" t="s">
        <v>6311</v>
      </c>
      <c r="AR411" s="56" t="s">
        <v>6311</v>
      </c>
      <c r="AS411" s="155"/>
      <c r="AT411" s="58" t="s">
        <v>266</v>
      </c>
      <c r="AU411" s="56">
        <v>6</v>
      </c>
      <c r="AV411" s="56">
        <v>120</v>
      </c>
      <c r="AW411" s="56">
        <v>114</v>
      </c>
      <c r="AX411" s="56">
        <v>28</v>
      </c>
      <c r="AY411" s="56" t="s">
        <v>8728</v>
      </c>
      <c r="AZ411" s="56" t="s">
        <v>1563</v>
      </c>
      <c r="BA411" s="56">
        <v>32</v>
      </c>
      <c r="BB411" s="55" t="s">
        <v>2485</v>
      </c>
      <c r="BC411" s="55" t="s">
        <v>8726</v>
      </c>
      <c r="BD411" s="55" t="s">
        <v>8374</v>
      </c>
      <c r="BE411" s="56" t="s">
        <v>2449</v>
      </c>
      <c r="BF411" s="56" t="s">
        <v>272</v>
      </c>
      <c r="BG411" s="56" t="s">
        <v>272</v>
      </c>
      <c r="BH411" s="56" t="s">
        <v>2486</v>
      </c>
      <c r="BI411" s="103">
        <v>6.3999999999999997E-6</v>
      </c>
      <c r="BJ411" s="103">
        <v>6.4000000000000001E-2</v>
      </c>
      <c r="BK411" s="56"/>
      <c r="BL411" s="103">
        <f t="shared" si="142"/>
        <v>414509.98825008556</v>
      </c>
      <c r="BM411" s="56" t="s">
        <v>2046</v>
      </c>
      <c r="BN411" s="56"/>
      <c r="BO411" s="56"/>
      <c r="BP411" s="56"/>
      <c r="BQ411" s="56"/>
      <c r="BR411" s="55">
        <v>2.0238577000000001E-2</v>
      </c>
      <c r="BS411" s="56"/>
      <c r="BT411" s="56"/>
      <c r="BU411" s="158"/>
      <c r="BV411" s="56"/>
      <c r="BW411" s="56"/>
      <c r="BX411" s="56"/>
      <c r="BY411" s="56"/>
      <c r="BZ411" s="56"/>
      <c r="CA411" s="56"/>
      <c r="CB411" s="56"/>
      <c r="CC411" s="56"/>
      <c r="CD411" s="56"/>
      <c r="CE411" s="56"/>
      <c r="CF411" s="56"/>
      <c r="CG411" s="56"/>
      <c r="CH411" s="56"/>
      <c r="CI411" s="103">
        <f t="shared" si="137"/>
        <v>2.0238577000000001E-2</v>
      </c>
      <c r="CJ411" s="103">
        <f t="shared" si="138"/>
        <v>-1.6938200265542473</v>
      </c>
      <c r="CK411" s="57">
        <f t="shared" si="143"/>
        <v>6476718.5664075864</v>
      </c>
      <c r="CL411" s="160">
        <f t="shared" si="146"/>
        <v>20481182.459126722</v>
      </c>
      <c r="CM411" s="160"/>
      <c r="CN411" s="160"/>
      <c r="CO411" s="55" t="s">
        <v>2488</v>
      </c>
      <c r="CP411" s="55" t="s">
        <v>2489</v>
      </c>
      <c r="CQ411" s="149" t="s">
        <v>272</v>
      </c>
      <c r="CR411" s="349"/>
      <c r="CS411" s="61" t="s">
        <v>539</v>
      </c>
      <c r="CT411" s="61"/>
      <c r="CU411" s="111">
        <f t="shared" si="135"/>
        <v>94149.93544077962</v>
      </c>
      <c r="CV411" s="331">
        <f t="shared" si="144"/>
        <v>29772.823718175739</v>
      </c>
      <c r="CW411" s="326">
        <f t="shared" si="139"/>
        <v>1</v>
      </c>
      <c r="CX411" s="326"/>
      <c r="CY411" s="161" t="s">
        <v>5921</v>
      </c>
    </row>
    <row r="412" spans="1:103" ht="11.25" customHeight="1" x14ac:dyDescent="0.2">
      <c r="A412" s="72">
        <v>410</v>
      </c>
      <c r="B412" s="149">
        <v>948</v>
      </c>
      <c r="C412" s="54" t="s">
        <v>6718</v>
      </c>
      <c r="D412" s="54"/>
      <c r="E412" s="59"/>
      <c r="F412" s="59" t="s">
        <v>2707</v>
      </c>
      <c r="G412" s="151">
        <v>742693385</v>
      </c>
      <c r="H412" s="55" t="s">
        <v>2708</v>
      </c>
      <c r="I412" s="55" t="s">
        <v>7747</v>
      </c>
      <c r="J412" s="55" t="s">
        <v>2709</v>
      </c>
      <c r="K412" s="55" t="s">
        <v>2710</v>
      </c>
      <c r="L412" s="55"/>
      <c r="M412" s="55"/>
      <c r="N412" s="60"/>
      <c r="O412" s="55"/>
      <c r="P412" s="67"/>
      <c r="Q412" s="67"/>
      <c r="R412" s="67"/>
      <c r="S412" s="67"/>
      <c r="T412" s="56">
        <v>373.19</v>
      </c>
      <c r="U412" s="103"/>
      <c r="V412" s="103">
        <v>0.20678474771564084</v>
      </c>
      <c r="W412" s="103">
        <v>5.6234132519034884E-2</v>
      </c>
      <c r="X412" s="103">
        <f t="shared" si="145"/>
        <v>5.6234132519034884E-2</v>
      </c>
      <c r="Y412" s="162">
        <v>4.72</v>
      </c>
      <c r="Z412" s="56">
        <v>2.0699999999999998</v>
      </c>
      <c r="AA412" s="56"/>
      <c r="AB412" s="56">
        <v>3.66</v>
      </c>
      <c r="AC412" s="56">
        <v>0.69159999999999999</v>
      </c>
      <c r="AD412" s="56">
        <v>3.09</v>
      </c>
      <c r="AE412" s="56">
        <v>1.86</v>
      </c>
      <c r="AF412" s="56">
        <f t="shared" si="136"/>
        <v>3.09</v>
      </c>
      <c r="AG412" s="57">
        <v>2.97</v>
      </c>
      <c r="AH412" s="103">
        <v>9.4400000000000004E-15</v>
      </c>
      <c r="AI412" s="103"/>
      <c r="AJ412" s="62">
        <f t="shared" si="140"/>
        <v>-12.413594332014583</v>
      </c>
      <c r="AK412" s="62"/>
      <c r="AL412" s="62">
        <f t="shared" si="141"/>
        <v>-12.413594332014583</v>
      </c>
      <c r="AM412" s="62">
        <v>-18.626550000000002</v>
      </c>
      <c r="AN412" s="154">
        <v>-10.9</v>
      </c>
      <c r="AO412" s="410">
        <v>5.96</v>
      </c>
      <c r="AP412" s="410">
        <v>-1.03</v>
      </c>
      <c r="AQ412" s="56" t="s">
        <v>6311</v>
      </c>
      <c r="AR412" s="56" t="s">
        <v>6311</v>
      </c>
      <c r="AS412" s="155"/>
      <c r="AT412" s="58" t="s">
        <v>266</v>
      </c>
      <c r="AU412" s="56">
        <v>6</v>
      </c>
      <c r="AV412" s="56">
        <v>120</v>
      </c>
      <c r="AW412" s="56">
        <v>114</v>
      </c>
      <c r="AX412" s="56">
        <v>28</v>
      </c>
      <c r="AY412" s="56" t="s">
        <v>8728</v>
      </c>
      <c r="AZ412" s="56" t="s">
        <v>1563</v>
      </c>
      <c r="BA412" s="56">
        <v>32</v>
      </c>
      <c r="BB412" s="55" t="s">
        <v>2485</v>
      </c>
      <c r="BC412" s="55" t="s">
        <v>8726</v>
      </c>
      <c r="BD412" s="55" t="s">
        <v>8374</v>
      </c>
      <c r="BE412" s="56" t="s">
        <v>2449</v>
      </c>
      <c r="BF412" s="56" t="s">
        <v>272</v>
      </c>
      <c r="BG412" s="56" t="s">
        <v>272</v>
      </c>
      <c r="BH412" s="56" t="s">
        <v>2486</v>
      </c>
      <c r="BI412" s="103">
        <v>6.3999999999999997E-6</v>
      </c>
      <c r="BJ412" s="103">
        <v>6.4000000000000001E-2</v>
      </c>
      <c r="BK412" s="56"/>
      <c r="BL412" s="103">
        <f t="shared" si="142"/>
        <v>0.71077640092100924</v>
      </c>
      <c r="BM412" s="56" t="s">
        <v>2046</v>
      </c>
      <c r="BN412" s="56"/>
      <c r="BO412" s="56"/>
      <c r="BP412" s="56"/>
      <c r="BQ412" s="56"/>
      <c r="BR412" s="55">
        <v>2.0238577000000001E-2</v>
      </c>
      <c r="BS412" s="56"/>
      <c r="BT412" s="56"/>
      <c r="BU412" s="158"/>
      <c r="BV412" s="56"/>
      <c r="BW412" s="56"/>
      <c r="BX412" s="56"/>
      <c r="BY412" s="56"/>
      <c r="BZ412" s="56"/>
      <c r="CA412" s="56"/>
      <c r="CB412" s="56"/>
      <c r="CC412" s="56"/>
      <c r="CD412" s="56"/>
      <c r="CE412" s="56"/>
      <c r="CF412" s="56"/>
      <c r="CG412" s="56"/>
      <c r="CH412" s="56"/>
      <c r="CI412" s="103">
        <f t="shared" si="137"/>
        <v>2.0238577000000001E-2</v>
      </c>
      <c r="CJ412" s="103">
        <f t="shared" si="138"/>
        <v>-1.6938200265542473</v>
      </c>
      <c r="CK412" s="57">
        <f t="shared" si="143"/>
        <v>11.105881264390769</v>
      </c>
      <c r="CL412" s="160">
        <f t="shared" si="146"/>
        <v>35.119880262382537</v>
      </c>
      <c r="CM412" s="160"/>
      <c r="CN412" s="160"/>
      <c r="CO412" s="55" t="s">
        <v>2488</v>
      </c>
      <c r="CP412" s="55" t="s">
        <v>2489</v>
      </c>
      <c r="CQ412" s="149" t="s">
        <v>272</v>
      </c>
      <c r="CR412" s="349"/>
      <c r="CS412" s="61" t="s">
        <v>539</v>
      </c>
      <c r="CT412" s="61"/>
      <c r="CU412" s="111">
        <f t="shared" si="135"/>
        <v>2.7785615816287321</v>
      </c>
      <c r="CV412" s="331">
        <f t="shared" si="144"/>
        <v>0.87865832060992</v>
      </c>
      <c r="CW412" s="326">
        <f t="shared" si="139"/>
        <v>1</v>
      </c>
      <c r="CX412" s="326"/>
      <c r="CY412" s="161" t="s">
        <v>5921</v>
      </c>
    </row>
    <row r="413" spans="1:103" ht="11.25" customHeight="1" x14ac:dyDescent="0.2">
      <c r="A413" s="72">
        <v>411</v>
      </c>
      <c r="B413" s="149">
        <v>1125</v>
      </c>
      <c r="C413" s="54" t="s">
        <v>6719</v>
      </c>
      <c r="D413" s="54"/>
      <c r="E413" s="59"/>
      <c r="F413" s="59" t="s">
        <v>3142</v>
      </c>
      <c r="G413" s="151">
        <v>929601092</v>
      </c>
      <c r="H413" s="55" t="s">
        <v>3143</v>
      </c>
      <c r="I413" s="55" t="s">
        <v>7744</v>
      </c>
      <c r="J413" s="55" t="s">
        <v>3144</v>
      </c>
      <c r="K413" s="55" t="s">
        <v>300</v>
      </c>
      <c r="L413" s="55"/>
      <c r="M413" s="55"/>
      <c r="N413" s="60"/>
      <c r="O413" s="55"/>
      <c r="P413" s="67"/>
      <c r="Q413" s="67"/>
      <c r="R413" s="67"/>
      <c r="S413" s="67"/>
      <c r="T413" s="56">
        <v>269.17</v>
      </c>
      <c r="U413" s="103"/>
      <c r="V413" s="103">
        <v>0.11033919084593379</v>
      </c>
      <c r="W413" s="103">
        <v>0.1584893192461112</v>
      </c>
      <c r="X413" s="103">
        <f t="shared" si="145"/>
        <v>0.1584893192461112</v>
      </c>
      <c r="Y413" s="162">
        <v>8.74</v>
      </c>
      <c r="Z413" s="56">
        <v>4.45</v>
      </c>
      <c r="AA413" s="56"/>
      <c r="AB413" s="56">
        <v>4.43</v>
      </c>
      <c r="AC413" s="56">
        <v>0.59570000000000001</v>
      </c>
      <c r="AD413" s="56">
        <v>3.61</v>
      </c>
      <c r="AE413" s="56">
        <v>2.4900000000000002</v>
      </c>
      <c r="AF413" s="56">
        <f t="shared" si="136"/>
        <v>3.61</v>
      </c>
      <c r="AG413" s="57">
        <v>4.1500000000000004</v>
      </c>
      <c r="AH413" s="103">
        <v>1.67E-7</v>
      </c>
      <c r="AI413" s="103"/>
      <c r="AJ413" s="62">
        <f t="shared" si="140"/>
        <v>-5.1658498551650682</v>
      </c>
      <c r="AK413" s="62"/>
      <c r="AL413" s="62">
        <f t="shared" si="141"/>
        <v>-5.1658498551650682</v>
      </c>
      <c r="AM413" s="62">
        <v>-7.218589999999999</v>
      </c>
      <c r="AN413" s="154">
        <v>-5.33</v>
      </c>
      <c r="AO413" s="410"/>
      <c r="AP413" s="410">
        <v>7.29</v>
      </c>
      <c r="AQ413" s="56" t="s">
        <v>6311</v>
      </c>
      <c r="AR413" s="56" t="s">
        <v>6311</v>
      </c>
      <c r="AS413" s="155"/>
      <c r="AT413" s="58" t="s">
        <v>266</v>
      </c>
      <c r="AU413" s="56">
        <v>6</v>
      </c>
      <c r="AV413" s="56">
        <v>120</v>
      </c>
      <c r="AW413" s="56">
        <v>114</v>
      </c>
      <c r="AX413" s="56">
        <v>28</v>
      </c>
      <c r="AY413" s="56" t="s">
        <v>8728</v>
      </c>
      <c r="AZ413" s="56" t="s">
        <v>1563</v>
      </c>
      <c r="BA413" s="56">
        <v>32</v>
      </c>
      <c r="BB413" s="55" t="s">
        <v>2485</v>
      </c>
      <c r="BC413" s="55" t="s">
        <v>8726</v>
      </c>
      <c r="BD413" s="55" t="s">
        <v>8374</v>
      </c>
      <c r="BE413" s="56" t="s">
        <v>2449</v>
      </c>
      <c r="BF413" s="56" t="s">
        <v>272</v>
      </c>
      <c r="BG413" s="56" t="s">
        <v>272</v>
      </c>
      <c r="BH413" s="56" t="s">
        <v>2486</v>
      </c>
      <c r="BI413" s="103">
        <v>6.3999999999999997E-6</v>
      </c>
      <c r="BJ413" s="103">
        <v>6.4000000000000001E-2</v>
      </c>
      <c r="BK413" s="56"/>
      <c r="BL413" s="103">
        <f t="shared" si="142"/>
        <v>5.1791083880474015E-3</v>
      </c>
      <c r="BM413" s="56" t="s">
        <v>2046</v>
      </c>
      <c r="BN413" s="56">
        <v>18.51829798</v>
      </c>
      <c r="BO413" s="56"/>
      <c r="BP413" s="56"/>
      <c r="BQ413" s="56"/>
      <c r="BR413" s="55">
        <v>1.8518297999999999E-2</v>
      </c>
      <c r="BS413" s="56"/>
      <c r="BT413" s="56"/>
      <c r="BU413" s="158"/>
      <c r="BV413" s="56"/>
      <c r="BW413" s="56"/>
      <c r="BX413" s="56"/>
      <c r="BY413" s="56"/>
      <c r="BZ413" s="56"/>
      <c r="CA413" s="56"/>
      <c r="CB413" s="56"/>
      <c r="CC413" s="56"/>
      <c r="CD413" s="56"/>
      <c r="CE413" s="56"/>
      <c r="CF413" s="56"/>
      <c r="CG413" s="56"/>
      <c r="CH413" s="56"/>
      <c r="CI413" s="103">
        <f t="shared" si="137"/>
        <v>1.8518297999999999E-2</v>
      </c>
      <c r="CJ413" s="103">
        <f t="shared" si="138"/>
        <v>-1.7323989314324508</v>
      </c>
      <c r="CK413" s="57">
        <f t="shared" si="143"/>
        <v>8.092356856324065E-2</v>
      </c>
      <c r="CL413" s="160">
        <f t="shared" si="146"/>
        <v>0.27967518332664276</v>
      </c>
      <c r="CM413" s="160"/>
      <c r="CN413" s="160"/>
      <c r="CO413" s="55" t="s">
        <v>2488</v>
      </c>
      <c r="CP413" s="55" t="s">
        <v>2489</v>
      </c>
      <c r="CQ413" s="149" t="s">
        <v>272</v>
      </c>
      <c r="CR413" s="349"/>
      <c r="CS413" s="61" t="s">
        <v>539</v>
      </c>
      <c r="CT413" s="61"/>
      <c r="CU413" s="111">
        <f t="shared" si="135"/>
        <v>8.5585251542075422</v>
      </c>
      <c r="CV413" s="331">
        <f t="shared" si="144"/>
        <v>2.4763956132204874</v>
      </c>
      <c r="CW413" s="326">
        <f t="shared" si="139"/>
        <v>1</v>
      </c>
      <c r="CX413" s="326"/>
      <c r="CY413" s="161" t="s">
        <v>5921</v>
      </c>
    </row>
    <row r="414" spans="1:103" ht="11.25" customHeight="1" x14ac:dyDescent="0.2">
      <c r="A414" s="72">
        <v>412</v>
      </c>
      <c r="B414" s="149">
        <v>983</v>
      </c>
      <c r="C414" s="54" t="s">
        <v>6720</v>
      </c>
      <c r="D414" s="54"/>
      <c r="E414" s="59"/>
      <c r="F414" s="59" t="s">
        <v>2803</v>
      </c>
      <c r="G414" s="151">
        <v>1062243519</v>
      </c>
      <c r="H414" s="55" t="s">
        <v>2804</v>
      </c>
      <c r="I414" s="55" t="s">
        <v>7777</v>
      </c>
      <c r="J414" s="55" t="s">
        <v>2805</v>
      </c>
      <c r="K414" s="55" t="s">
        <v>426</v>
      </c>
      <c r="L414" s="55"/>
      <c r="M414" s="55"/>
      <c r="N414" s="60"/>
      <c r="O414" s="55"/>
      <c r="P414" s="67"/>
      <c r="Q414" s="67"/>
      <c r="R414" s="67"/>
      <c r="S414" s="67"/>
      <c r="T414" s="56">
        <v>180.29</v>
      </c>
      <c r="U414" s="103"/>
      <c r="V414" s="103">
        <v>0.16867269399301127</v>
      </c>
      <c r="W414" s="103">
        <v>1.1481536214968824</v>
      </c>
      <c r="X414" s="103">
        <f t="shared" si="145"/>
        <v>1.1481536214968824</v>
      </c>
      <c r="Y414" s="162">
        <v>7</v>
      </c>
      <c r="Z414" s="56">
        <v>3.81</v>
      </c>
      <c r="AA414" s="56"/>
      <c r="AB414" s="56">
        <v>2.85</v>
      </c>
      <c r="AC414" s="56">
        <v>0.60740000000000005</v>
      </c>
      <c r="AD414" s="56">
        <v>3.07</v>
      </c>
      <c r="AE414" s="56">
        <v>3.31</v>
      </c>
      <c r="AF414" s="56">
        <f t="shared" si="136"/>
        <v>3.07</v>
      </c>
      <c r="AG414" s="57">
        <v>2.9</v>
      </c>
      <c r="AH414" s="103">
        <v>1.2300000000000001E-4</v>
      </c>
      <c r="AI414" s="103"/>
      <c r="AJ414" s="62">
        <f t="shared" si="140"/>
        <v>-2.2986612148732539</v>
      </c>
      <c r="AK414" s="62"/>
      <c r="AL414" s="62">
        <f t="shared" si="141"/>
        <v>-2.2986612148732539</v>
      </c>
      <c r="AM414" s="62">
        <v>-4.8055599999999998</v>
      </c>
      <c r="AN414" s="154">
        <v>-3.2</v>
      </c>
      <c r="AO414" s="410"/>
      <c r="AP414" s="410"/>
      <c r="AQ414" s="56" t="s">
        <v>6311</v>
      </c>
      <c r="AR414" s="56" t="s">
        <v>6311</v>
      </c>
      <c r="AS414" s="155"/>
      <c r="AT414" s="58" t="s">
        <v>266</v>
      </c>
      <c r="AU414" s="56">
        <v>6</v>
      </c>
      <c r="AV414" s="56">
        <v>120</v>
      </c>
      <c r="AW414" s="56">
        <v>114</v>
      </c>
      <c r="AX414" s="56">
        <v>28</v>
      </c>
      <c r="AY414" s="56" t="s">
        <v>8728</v>
      </c>
      <c r="AZ414" s="56" t="s">
        <v>1563</v>
      </c>
      <c r="BA414" s="56">
        <v>32</v>
      </c>
      <c r="BB414" s="55" t="s">
        <v>2485</v>
      </c>
      <c r="BC414" s="55" t="s">
        <v>8726</v>
      </c>
      <c r="BD414" s="55" t="s">
        <v>8374</v>
      </c>
      <c r="BE414" s="56" t="s">
        <v>2449</v>
      </c>
      <c r="BF414" s="56" t="s">
        <v>272</v>
      </c>
      <c r="BG414" s="56" t="s">
        <v>272</v>
      </c>
      <c r="BH414" s="56" t="s">
        <v>2486</v>
      </c>
      <c r="BI414" s="103">
        <v>6.3999999999999997E-6</v>
      </c>
      <c r="BJ414" s="103">
        <v>6.4000000000000001E-2</v>
      </c>
      <c r="BK414" s="56"/>
      <c r="BL414" s="103">
        <f t="shared" si="142"/>
        <v>1.9455347843946244E-2</v>
      </c>
      <c r="BM414" s="56" t="s">
        <v>2046</v>
      </c>
      <c r="BN414" s="56"/>
      <c r="BO414" s="56"/>
      <c r="BP414" s="56"/>
      <c r="BQ414" s="56"/>
      <c r="BR414" s="55">
        <v>1.8821877000000001E-2</v>
      </c>
      <c r="BS414" s="56"/>
      <c r="BT414" s="56"/>
      <c r="BU414" s="158"/>
      <c r="BV414" s="56"/>
      <c r="BW414" s="56"/>
      <c r="BX414" s="56"/>
      <c r="BY414" s="56"/>
      <c r="BZ414" s="56"/>
      <c r="CA414" s="56"/>
      <c r="CB414" s="56"/>
      <c r="CC414" s="56"/>
      <c r="CD414" s="56"/>
      <c r="CE414" s="56"/>
      <c r="CF414" s="56"/>
      <c r="CG414" s="56"/>
      <c r="CH414" s="56"/>
      <c r="CI414" s="103">
        <f t="shared" si="137"/>
        <v>1.8821877000000001E-2</v>
      </c>
      <c r="CJ414" s="103">
        <f t="shared" si="138"/>
        <v>-1.7253370690014833</v>
      </c>
      <c r="CK414" s="57">
        <f t="shared" si="143"/>
        <v>0.30398981006166004</v>
      </c>
      <c r="CL414" s="160">
        <f t="shared" si="146"/>
        <v>1.0336560930637386</v>
      </c>
      <c r="CM414" s="160"/>
      <c r="CN414" s="160"/>
      <c r="CO414" s="55" t="s">
        <v>2488</v>
      </c>
      <c r="CP414" s="55" t="s">
        <v>2489</v>
      </c>
      <c r="CQ414" s="149" t="s">
        <v>272</v>
      </c>
      <c r="CR414" s="349"/>
      <c r="CS414" s="61" t="s">
        <v>539</v>
      </c>
      <c r="CT414" s="61"/>
      <c r="CU414" s="111">
        <f t="shared" si="135"/>
        <v>61.001016078092654</v>
      </c>
      <c r="CV414" s="331">
        <f t="shared" si="144"/>
        <v>17.939900335888787</v>
      </c>
      <c r="CW414" s="326">
        <f t="shared" si="139"/>
        <v>1</v>
      </c>
      <c r="CX414" s="326"/>
      <c r="CY414" s="161" t="s">
        <v>5921</v>
      </c>
    </row>
    <row r="415" spans="1:103" ht="11.25" customHeight="1" x14ac:dyDescent="0.2">
      <c r="A415" s="72">
        <v>413</v>
      </c>
      <c r="B415" s="149">
        <v>278</v>
      </c>
      <c r="C415" s="54" t="s">
        <v>6721</v>
      </c>
      <c r="D415" s="54"/>
      <c r="E415" s="59"/>
      <c r="F415" s="59" t="s">
        <v>1131</v>
      </c>
      <c r="G415" s="151" t="s">
        <v>1132</v>
      </c>
      <c r="H415" s="55" t="s">
        <v>1133</v>
      </c>
      <c r="I415" s="55" t="s">
        <v>7868</v>
      </c>
      <c r="J415" s="55" t="s">
        <v>1134</v>
      </c>
      <c r="K415" s="55"/>
      <c r="L415" s="55"/>
      <c r="M415" s="55"/>
      <c r="N415" s="60"/>
      <c r="O415" s="55"/>
      <c r="P415" s="67"/>
      <c r="Q415" s="67"/>
      <c r="R415" s="67"/>
      <c r="S415" s="67"/>
      <c r="T415" s="56">
        <v>886.12</v>
      </c>
      <c r="U415" s="103"/>
      <c r="V415" s="103"/>
      <c r="W415" s="103">
        <v>9.1201083935590926E-2</v>
      </c>
      <c r="X415" s="103">
        <f t="shared" si="145"/>
        <v>9.1201083935590926E-2</v>
      </c>
      <c r="Y415" s="162">
        <v>9.2799999999999994</v>
      </c>
      <c r="Z415" s="56"/>
      <c r="AA415" s="56"/>
      <c r="AB415" s="56">
        <v>5.8</v>
      </c>
      <c r="AC415" s="56">
        <v>0.46229999999999999</v>
      </c>
      <c r="AD415" s="56">
        <v>6.32</v>
      </c>
      <c r="AE415" s="56">
        <v>6.84</v>
      </c>
      <c r="AF415" s="56">
        <f t="shared" si="136"/>
        <v>6.32</v>
      </c>
      <c r="AG415" s="57">
        <v>4.38</v>
      </c>
      <c r="AH415" s="103"/>
      <c r="AI415" s="103"/>
      <c r="AJ415" s="62"/>
      <c r="AK415" s="62"/>
      <c r="AL415" s="62"/>
      <c r="AM415" s="62">
        <v>-40.072839999999999</v>
      </c>
      <c r="AN415" s="154">
        <v>-30.5</v>
      </c>
      <c r="AO415" s="410">
        <v>12.42</v>
      </c>
      <c r="AP415" s="410">
        <v>8.7100000000000009</v>
      </c>
      <c r="AQ415" s="154" t="s">
        <v>5921</v>
      </c>
      <c r="AR415" s="154" t="s">
        <v>5921</v>
      </c>
      <c r="AS415" s="149" t="s">
        <v>63</v>
      </c>
      <c r="AT415" s="58" t="s">
        <v>266</v>
      </c>
      <c r="AU415" s="56">
        <v>8</v>
      </c>
      <c r="AV415" s="56">
        <v>144</v>
      </c>
      <c r="AW415" s="56">
        <v>120</v>
      </c>
      <c r="AX415" s="56">
        <v>26</v>
      </c>
      <c r="AY415" s="56" t="s">
        <v>267</v>
      </c>
      <c r="AZ415" s="56" t="s">
        <v>268</v>
      </c>
      <c r="BA415" s="56">
        <v>2</v>
      </c>
      <c r="BB415" s="55" t="s">
        <v>888</v>
      </c>
      <c r="BC415" s="55" t="s">
        <v>270</v>
      </c>
      <c r="BD415" s="55" t="s">
        <v>8374</v>
      </c>
      <c r="BE415" s="56" t="s">
        <v>889</v>
      </c>
      <c r="BF415" s="56" t="s">
        <v>272</v>
      </c>
      <c r="BG415" s="56" t="s">
        <v>272</v>
      </c>
      <c r="BH415" s="56" t="s">
        <v>890</v>
      </c>
      <c r="BI415" s="103">
        <v>9.9999999999999995E-7</v>
      </c>
      <c r="BJ415" s="103">
        <v>0.08</v>
      </c>
      <c r="BK415" s="56"/>
      <c r="BL415" s="103"/>
      <c r="BM415" s="56" t="s">
        <v>891</v>
      </c>
      <c r="BN415" s="162"/>
      <c r="BO415" s="162"/>
      <c r="BP415" s="162"/>
      <c r="BQ415" s="162"/>
      <c r="BR415" s="162"/>
      <c r="BS415" s="56">
        <v>2.96E-3</v>
      </c>
      <c r="BT415" s="162"/>
      <c r="BU415" s="158"/>
      <c r="BV415" s="162"/>
      <c r="BW415" s="162"/>
      <c r="BX415" s="162"/>
      <c r="BY415" s="162"/>
      <c r="BZ415" s="162"/>
      <c r="CA415" s="162"/>
      <c r="CB415" s="162"/>
      <c r="CC415" s="56"/>
      <c r="CD415" s="56"/>
      <c r="CE415" s="56"/>
      <c r="CF415" s="56"/>
      <c r="CG415" s="56"/>
      <c r="CH415" s="56"/>
      <c r="CI415" s="103">
        <f t="shared" si="137"/>
        <v>2.96E-3</v>
      </c>
      <c r="CJ415" s="103">
        <f t="shared" si="138"/>
        <v>-2.5287082889410613</v>
      </c>
      <c r="CK415" s="57">
        <f t="shared" si="143"/>
        <v>0</v>
      </c>
      <c r="CL415" s="160">
        <f t="shared" si="146"/>
        <v>0</v>
      </c>
      <c r="CM415" s="160"/>
      <c r="CN415" s="160"/>
      <c r="CO415" s="55" t="s">
        <v>892</v>
      </c>
      <c r="CP415" s="55" t="s">
        <v>893</v>
      </c>
      <c r="CQ415" s="149" t="s">
        <v>272</v>
      </c>
      <c r="CR415" s="349"/>
      <c r="CS415" s="61" t="s">
        <v>539</v>
      </c>
      <c r="CT415" s="61"/>
      <c r="CU415" s="111">
        <f t="shared" si="135"/>
        <v>30.811177005267204</v>
      </c>
      <c r="CV415" s="331">
        <f t="shared" si="144"/>
        <v>1.1400135491948866</v>
      </c>
      <c r="CW415" s="326">
        <f t="shared" si="139"/>
        <v>1</v>
      </c>
      <c r="CX415" s="326" t="s">
        <v>539</v>
      </c>
      <c r="CY415" s="161" t="s">
        <v>5921</v>
      </c>
    </row>
    <row r="416" spans="1:103" ht="11.25" customHeight="1" x14ac:dyDescent="0.2">
      <c r="A416" s="72">
        <v>414</v>
      </c>
      <c r="B416" s="149">
        <v>20</v>
      </c>
      <c r="C416" s="54" t="s">
        <v>6722</v>
      </c>
      <c r="D416" s="54"/>
      <c r="E416" s="59"/>
      <c r="F416" s="59" t="s">
        <v>363</v>
      </c>
      <c r="G416" s="151" t="s">
        <v>364</v>
      </c>
      <c r="H416" s="55" t="s">
        <v>365</v>
      </c>
      <c r="I416" s="55" t="s">
        <v>365</v>
      </c>
      <c r="J416" s="55" t="s">
        <v>366</v>
      </c>
      <c r="K416" s="55" t="s">
        <v>300</v>
      </c>
      <c r="L416" s="64"/>
      <c r="M416" s="55"/>
      <c r="N416" s="60"/>
      <c r="O416" s="55"/>
      <c r="P416" s="67"/>
      <c r="Q416" s="67"/>
      <c r="R416" s="67"/>
      <c r="S416" s="67"/>
      <c r="T416" s="59">
        <v>418.53</v>
      </c>
      <c r="U416" s="153"/>
      <c r="V416" s="103">
        <v>2298.0431510286003</v>
      </c>
      <c r="W416" s="103">
        <v>2398.8329190194909</v>
      </c>
      <c r="X416" s="103">
        <f t="shared" si="145"/>
        <v>2398.8329190194909</v>
      </c>
      <c r="Y416" s="410">
        <v>11.7</v>
      </c>
      <c r="Z416" s="68">
        <v>-1.88</v>
      </c>
      <c r="AA416" s="68">
        <v>0</v>
      </c>
      <c r="AB416" s="68">
        <v>-1.71</v>
      </c>
      <c r="AC416" s="68">
        <v>0.49399999999999999</v>
      </c>
      <c r="AD416" s="68">
        <v>-2.16</v>
      </c>
      <c r="AE416" s="68">
        <v>-2.57</v>
      </c>
      <c r="AF416" s="68">
        <f t="shared" si="136"/>
        <v>-2.16</v>
      </c>
      <c r="AG416" s="68">
        <v>-3.48</v>
      </c>
      <c r="AH416" s="103">
        <v>9.7799999999999999E-31</v>
      </c>
      <c r="AI416" s="153"/>
      <c r="AJ416" s="62">
        <f>LOG10(AH416*1000/(0.08206*298.15))</f>
        <v>-28.39822747152505</v>
      </c>
      <c r="AK416" s="62"/>
      <c r="AL416" s="62">
        <f>IF(AK416=0,AJ416,AK416)</f>
        <v>-28.39822747152505</v>
      </c>
      <c r="AM416" s="62">
        <v>-34.734479999999998</v>
      </c>
      <c r="AN416" s="152">
        <v>-32</v>
      </c>
      <c r="AO416" s="410">
        <v>13.48</v>
      </c>
      <c r="AP416" s="410">
        <v>9.77</v>
      </c>
      <c r="AQ416" s="152" t="s">
        <v>5921</v>
      </c>
      <c r="AR416" s="152" t="s">
        <v>5921</v>
      </c>
      <c r="AS416" s="149" t="s">
        <v>301</v>
      </c>
      <c r="AT416" s="58" t="s">
        <v>266</v>
      </c>
      <c r="AU416" s="155">
        <v>24</v>
      </c>
      <c r="AV416" s="155">
        <v>120</v>
      </c>
      <c r="AW416" s="155">
        <v>96</v>
      </c>
      <c r="AX416" s="155">
        <v>28</v>
      </c>
      <c r="AY416" s="155" t="s">
        <v>267</v>
      </c>
      <c r="AZ416" s="155" t="s">
        <v>268</v>
      </c>
      <c r="BA416" s="155">
        <v>48</v>
      </c>
      <c r="BB416" s="55" t="s">
        <v>269</v>
      </c>
      <c r="BC416" s="156" t="s">
        <v>270</v>
      </c>
      <c r="BD416" s="156" t="s">
        <v>8374</v>
      </c>
      <c r="BE416" s="155" t="s">
        <v>271</v>
      </c>
      <c r="BF416" s="155" t="s">
        <v>272</v>
      </c>
      <c r="BG416" s="155" t="s">
        <v>272</v>
      </c>
      <c r="BH416" s="155" t="s">
        <v>272</v>
      </c>
      <c r="BI416" s="157">
        <v>1.7371063282783541E-3</v>
      </c>
      <c r="BJ416" s="157">
        <v>2.7793701252453666</v>
      </c>
      <c r="BK416" s="56"/>
      <c r="BL416" s="103">
        <f>10^((-0.8981*Z416)+1.7108)</f>
        <v>2507.4252792478933</v>
      </c>
      <c r="BM416" s="56">
        <v>0</v>
      </c>
      <c r="BN416" s="56"/>
      <c r="BO416" s="56"/>
      <c r="BP416" s="56"/>
      <c r="BQ416" s="56"/>
      <c r="BR416" s="56"/>
      <c r="BS416" s="56"/>
      <c r="BT416" s="56"/>
      <c r="BU416" s="158"/>
      <c r="BV416" s="56"/>
      <c r="BW416" s="56"/>
      <c r="BX416" s="56"/>
      <c r="BY416" s="56"/>
      <c r="BZ416" s="56"/>
      <c r="CA416" s="56">
        <v>2.79</v>
      </c>
      <c r="CB416" s="56">
        <v>0.44</v>
      </c>
      <c r="CC416" s="56"/>
      <c r="CD416" s="56"/>
      <c r="CE416" s="56"/>
      <c r="CF416" s="56"/>
      <c r="CG416" s="56"/>
      <c r="CH416" s="56"/>
      <c r="CI416" s="103">
        <f t="shared" si="137"/>
        <v>0.44</v>
      </c>
      <c r="CJ416" s="103">
        <f t="shared" si="138"/>
        <v>-0.35654732351381258</v>
      </c>
      <c r="CK416" s="57">
        <f t="shared" si="143"/>
        <v>902.15594406539662</v>
      </c>
      <c r="CL416" s="160">
        <f t="shared" si="146"/>
        <v>5698.6938164724843</v>
      </c>
      <c r="CM416" s="160"/>
      <c r="CN416" s="160"/>
      <c r="CO416" s="55" t="s">
        <v>273</v>
      </c>
      <c r="CP416" s="156" t="s">
        <v>274</v>
      </c>
      <c r="CQ416" s="149" t="s">
        <v>272</v>
      </c>
      <c r="CR416" s="349"/>
      <c r="CS416" s="61" t="s">
        <v>539</v>
      </c>
      <c r="CT416" s="61"/>
      <c r="CU416" s="111">
        <f t="shared" si="135"/>
        <v>5451.8929977715698</v>
      </c>
      <c r="CV416" s="331">
        <f t="shared" si="144"/>
        <v>863.08509155746879</v>
      </c>
      <c r="CW416" s="326">
        <f t="shared" si="139"/>
        <v>1</v>
      </c>
      <c r="CX416" s="326"/>
      <c r="CY416" s="161" t="s">
        <v>5921</v>
      </c>
    </row>
    <row r="417" spans="1:103" ht="11.25" customHeight="1" x14ac:dyDescent="0.2">
      <c r="A417" s="72">
        <v>415</v>
      </c>
      <c r="B417" s="149">
        <v>21</v>
      </c>
      <c r="C417" s="54" t="s">
        <v>6723</v>
      </c>
      <c r="D417" s="54"/>
      <c r="E417" s="59"/>
      <c r="F417" s="59" t="s">
        <v>367</v>
      </c>
      <c r="G417" s="151" t="s">
        <v>368</v>
      </c>
      <c r="H417" s="55" t="s">
        <v>369</v>
      </c>
      <c r="I417" s="55" t="s">
        <v>7869</v>
      </c>
      <c r="J417" s="55" t="s">
        <v>370</v>
      </c>
      <c r="K417" s="55" t="s">
        <v>371</v>
      </c>
      <c r="L417" s="64"/>
      <c r="M417" s="55"/>
      <c r="N417" s="60"/>
      <c r="O417" s="55"/>
      <c r="P417" s="67"/>
      <c r="Q417" s="67"/>
      <c r="R417" s="67"/>
      <c r="S417" s="67"/>
      <c r="T417" s="59">
        <v>822.92</v>
      </c>
      <c r="U417" s="153"/>
      <c r="V417" s="153">
        <v>6.5073154134059211E-3</v>
      </c>
      <c r="W417" s="153">
        <v>2.8183829312644511E-2</v>
      </c>
      <c r="X417" s="153">
        <f t="shared" si="145"/>
        <v>2.8183829312644511E-2</v>
      </c>
      <c r="Y417" s="410">
        <v>4.43</v>
      </c>
      <c r="Z417" s="59">
        <v>0.32</v>
      </c>
      <c r="AA417" s="59"/>
      <c r="AB417" s="59"/>
      <c r="AC417" s="59"/>
      <c r="AD417" s="59"/>
      <c r="AE417" s="59"/>
      <c r="AF417" s="59"/>
      <c r="AG417" s="57">
        <v>3.48</v>
      </c>
      <c r="AH417" s="103">
        <v>5.89E-44</v>
      </c>
      <c r="AI417" s="103"/>
      <c r="AJ417" s="62">
        <f>LOG10(AH417*1000/(0.08206*298.15))</f>
        <v>-41.618451031525552</v>
      </c>
      <c r="AK417" s="62"/>
      <c r="AL417" s="62">
        <f>IF(AK417=0,AJ417,AK417)</f>
        <v>-41.618451031525552</v>
      </c>
      <c r="AM417" s="62"/>
      <c r="AN417" s="154"/>
      <c r="AO417" s="410">
        <v>2.76</v>
      </c>
      <c r="AP417" s="410">
        <v>-1.67</v>
      </c>
      <c r="AQ417" s="154" t="s">
        <v>5921</v>
      </c>
      <c r="AR417" s="154" t="s">
        <v>5921</v>
      </c>
      <c r="AS417" s="149" t="s">
        <v>6</v>
      </c>
      <c r="AT417" s="58" t="s">
        <v>266</v>
      </c>
      <c r="AU417" s="155">
        <v>24</v>
      </c>
      <c r="AV417" s="155">
        <v>120</v>
      </c>
      <c r="AW417" s="155">
        <v>96</v>
      </c>
      <c r="AX417" s="155">
        <v>28</v>
      </c>
      <c r="AY417" s="155" t="s">
        <v>267</v>
      </c>
      <c r="AZ417" s="155" t="s">
        <v>268</v>
      </c>
      <c r="BA417" s="155">
        <v>48</v>
      </c>
      <c r="BB417" s="55" t="s">
        <v>269</v>
      </c>
      <c r="BC417" s="156" t="s">
        <v>270</v>
      </c>
      <c r="BD417" s="156" t="s">
        <v>8374</v>
      </c>
      <c r="BE417" s="155" t="s">
        <v>271</v>
      </c>
      <c r="BF417" s="155" t="s">
        <v>272</v>
      </c>
      <c r="BG417" s="155" t="s">
        <v>272</v>
      </c>
      <c r="BH417" s="155" t="s">
        <v>272</v>
      </c>
      <c r="BI417" s="157">
        <v>1.2151849511495649E-3</v>
      </c>
      <c r="BJ417" s="157">
        <v>1.2151849511495649</v>
      </c>
      <c r="BK417" s="56"/>
      <c r="BL417" s="103">
        <f>10^((-0.8981*Z417)+1.7108)</f>
        <v>26.509894536736926</v>
      </c>
      <c r="BM417" s="56">
        <v>0</v>
      </c>
      <c r="BN417" s="56"/>
      <c r="BO417" s="56"/>
      <c r="BP417" s="56"/>
      <c r="BQ417" s="56"/>
      <c r="BR417" s="56"/>
      <c r="BS417" s="56"/>
      <c r="BT417" s="56"/>
      <c r="BU417" s="158"/>
      <c r="BV417" s="56"/>
      <c r="BW417" s="56"/>
      <c r="BX417" s="56"/>
      <c r="BY417" s="56">
        <v>0.1</v>
      </c>
      <c r="BZ417" s="56">
        <v>0.5</v>
      </c>
      <c r="CA417" s="56">
        <v>0.18</v>
      </c>
      <c r="CB417" s="56">
        <v>7.0000000000000007E-2</v>
      </c>
      <c r="CC417" s="56"/>
      <c r="CD417" s="56"/>
      <c r="CE417" s="56"/>
      <c r="CF417" s="56"/>
      <c r="CG417" s="56"/>
      <c r="CH417" s="56"/>
      <c r="CI417" s="103">
        <f t="shared" si="137"/>
        <v>7.0000000000000007E-2</v>
      </c>
      <c r="CJ417" s="103">
        <f t="shared" si="138"/>
        <v>-1.1549019599857431</v>
      </c>
      <c r="CK417" s="57">
        <f t="shared" si="143"/>
        <v>21.815522412171553</v>
      </c>
      <c r="CL417" s="160">
        <f t="shared" si="146"/>
        <v>378.71277909624177</v>
      </c>
      <c r="CM417" s="160"/>
      <c r="CN417" s="160"/>
      <c r="CO417" s="55" t="s">
        <v>273</v>
      </c>
      <c r="CP417" s="156" t="s">
        <v>274</v>
      </c>
      <c r="CQ417" s="149" t="s">
        <v>272</v>
      </c>
      <c r="CR417" s="349"/>
      <c r="CS417" s="61" t="s">
        <v>539</v>
      </c>
      <c r="CT417" s="61"/>
      <c r="CU417" s="111">
        <f t="shared" si="135"/>
        <v>0.40262613303777872</v>
      </c>
      <c r="CV417" s="331">
        <f t="shared" si="144"/>
        <v>2.3193036817961421E-2</v>
      </c>
      <c r="CW417" s="326">
        <f t="shared" si="139"/>
        <v>0</v>
      </c>
      <c r="CX417" s="326"/>
      <c r="CY417" s="161" t="s">
        <v>5921</v>
      </c>
    </row>
    <row r="418" spans="1:103" s="456" customFormat="1" ht="11.25" customHeight="1" x14ac:dyDescent="0.2">
      <c r="A418" s="72">
        <v>416</v>
      </c>
      <c r="B418" s="327">
        <v>2070</v>
      </c>
      <c r="C418" s="432" t="s">
        <v>6724</v>
      </c>
      <c r="D418" s="432"/>
      <c r="E418" s="433"/>
      <c r="F418" s="434" t="s">
        <v>6389</v>
      </c>
      <c r="G418" s="434" t="s">
        <v>6389</v>
      </c>
      <c r="H418" s="435" t="s">
        <v>5531</v>
      </c>
      <c r="I418" s="435" t="s">
        <v>7870</v>
      </c>
      <c r="J418" s="435" t="s">
        <v>5531</v>
      </c>
      <c r="K418" s="435"/>
      <c r="L418" s="435"/>
      <c r="M418" s="435"/>
      <c r="N418" s="436"/>
      <c r="O418" s="435"/>
      <c r="P418" s="435"/>
      <c r="Q418" s="435"/>
      <c r="R418" s="435"/>
      <c r="S418" s="435"/>
      <c r="T418" s="437" t="s">
        <v>404</v>
      </c>
      <c r="U418" s="438"/>
      <c r="V418" s="439"/>
      <c r="W418" s="439"/>
      <c r="X418" s="439"/>
      <c r="Y418" s="440"/>
      <c r="Z418" s="437"/>
      <c r="AA418" s="437"/>
      <c r="AB418" s="437"/>
      <c r="AC418" s="437"/>
      <c r="AD418" s="437"/>
      <c r="AE418" s="437"/>
      <c r="AF418" s="437"/>
      <c r="AG418" s="441">
        <v>2.0699999999999998</v>
      </c>
      <c r="AH418" s="439"/>
      <c r="AI418" s="442"/>
      <c r="AJ418" s="441"/>
      <c r="AK418" s="441"/>
      <c r="AL418" s="441"/>
      <c r="AM418" s="441"/>
      <c r="AN418" s="443"/>
      <c r="AO418" s="444"/>
      <c r="AP418" s="444"/>
      <c r="AQ418" s="445" t="s">
        <v>6311</v>
      </c>
      <c r="AR418" s="445" t="s">
        <v>6311</v>
      </c>
      <c r="AS418" s="446" t="s">
        <v>5466</v>
      </c>
      <c r="AT418" s="447" t="s">
        <v>266</v>
      </c>
      <c r="AU418" s="437">
        <v>2</v>
      </c>
      <c r="AV418" s="437">
        <v>96</v>
      </c>
      <c r="AW418" s="437">
        <v>94</v>
      </c>
      <c r="AX418" s="437">
        <v>28.5</v>
      </c>
      <c r="AY418" s="437"/>
      <c r="AZ418" s="437" t="s">
        <v>5695</v>
      </c>
      <c r="BA418" s="437">
        <v>20</v>
      </c>
      <c r="BB418" s="435" t="s">
        <v>5696</v>
      </c>
      <c r="BC418" s="435" t="s">
        <v>5697</v>
      </c>
      <c r="BD418" s="435"/>
      <c r="BE418" s="437" t="s">
        <v>1584</v>
      </c>
      <c r="BF418" s="437"/>
      <c r="BG418" s="437">
        <v>7</v>
      </c>
      <c r="BH418" s="437" t="s">
        <v>5658</v>
      </c>
      <c r="BI418" s="438">
        <v>6.2500000000000001E-4</v>
      </c>
      <c r="BJ418" s="438">
        <v>0.02</v>
      </c>
      <c r="BK418" s="448"/>
      <c r="BL418" s="438"/>
      <c r="BM418" s="437"/>
      <c r="BN418" s="437"/>
      <c r="BO418" s="437"/>
      <c r="BP418" s="437"/>
      <c r="BQ418" s="437">
        <v>1.5E-3</v>
      </c>
      <c r="BR418" s="437"/>
      <c r="BS418" s="437"/>
      <c r="BT418" s="437"/>
      <c r="BU418" s="449"/>
      <c r="BV418" s="437"/>
      <c r="BW418" s="437"/>
      <c r="BX418" s="437"/>
      <c r="BY418" s="437"/>
      <c r="BZ418" s="437"/>
      <c r="CA418" s="437"/>
      <c r="CB418" s="437"/>
      <c r="CC418" s="437"/>
      <c r="CD418" s="437"/>
      <c r="CE418" s="437"/>
      <c r="CF418" s="437"/>
      <c r="CG418" s="437"/>
      <c r="CH418" s="437"/>
      <c r="CI418" s="438">
        <f t="shared" si="137"/>
        <v>1.5E-3</v>
      </c>
      <c r="CJ418" s="439">
        <f t="shared" si="138"/>
        <v>-2.8239087409443187</v>
      </c>
      <c r="CK418" s="450">
        <f t="shared" si="143"/>
        <v>0</v>
      </c>
      <c r="CL418" s="451">
        <f t="shared" si="146"/>
        <v>0</v>
      </c>
      <c r="CM418" s="451"/>
      <c r="CN418" s="451"/>
      <c r="CO418" s="435"/>
      <c r="CP418" s="435" t="s">
        <v>5699</v>
      </c>
      <c r="CQ418" s="327" t="s">
        <v>272</v>
      </c>
      <c r="CR418" s="452"/>
      <c r="CS418" s="437" t="s">
        <v>539</v>
      </c>
      <c r="CT418" s="437"/>
      <c r="CU418" s="438" t="s">
        <v>6310</v>
      </c>
      <c r="CV418" s="453"/>
      <c r="CW418" s="454">
        <f t="shared" si="139"/>
        <v>1</v>
      </c>
      <c r="CX418" s="454"/>
      <c r="CY418" s="455" t="s">
        <v>5921</v>
      </c>
    </row>
    <row r="419" spans="1:103" ht="11.25" customHeight="1" x14ac:dyDescent="0.2">
      <c r="A419" s="72">
        <v>417</v>
      </c>
      <c r="B419" s="149">
        <v>1193</v>
      </c>
      <c r="C419" s="54" t="s">
        <v>6725</v>
      </c>
      <c r="D419" s="54" t="s">
        <v>6726</v>
      </c>
      <c r="E419" s="59"/>
      <c r="F419" s="59" t="s">
        <v>3291</v>
      </c>
      <c r="G419" s="151" t="s">
        <v>3291</v>
      </c>
      <c r="H419" s="55" t="s">
        <v>3292</v>
      </c>
      <c r="I419" s="55" t="s">
        <v>7859</v>
      </c>
      <c r="J419" s="55"/>
      <c r="K419" s="55" t="s">
        <v>1318</v>
      </c>
      <c r="L419" s="55"/>
      <c r="M419" s="55"/>
      <c r="N419" s="60"/>
      <c r="O419" s="55"/>
      <c r="P419" s="67"/>
      <c r="Q419" s="67"/>
      <c r="R419" s="67"/>
      <c r="S419" s="67"/>
      <c r="T419" s="56">
        <v>542.72</v>
      </c>
      <c r="U419" s="103">
        <v>1.3266509433962265E-2</v>
      </c>
      <c r="V419" s="103">
        <v>6.4029333726415085E-6</v>
      </c>
      <c r="W419" s="103">
        <v>2.8183829312644511E-2</v>
      </c>
      <c r="X419" s="103">
        <v>1.3266509433962265E-2</v>
      </c>
      <c r="Y419" s="162">
        <v>7</v>
      </c>
      <c r="Z419" s="56">
        <v>5.71</v>
      </c>
      <c r="AA419" s="56">
        <v>5.9</v>
      </c>
      <c r="AB419" s="56">
        <v>5.36</v>
      </c>
      <c r="AC419" s="56">
        <v>0.64549999999999996</v>
      </c>
      <c r="AD419" s="56">
        <v>5.74</v>
      </c>
      <c r="AE419" s="56">
        <v>6.38</v>
      </c>
      <c r="AF419" s="56">
        <f t="shared" ref="AF419:AF425" si="147">IF(AA419=0,AD419,AA419)</f>
        <v>5.9</v>
      </c>
      <c r="AG419" s="57">
        <v>5.74</v>
      </c>
      <c r="AH419" s="103">
        <v>5.0200000000000003E-15</v>
      </c>
      <c r="AI419" s="103"/>
      <c r="AJ419" s="62">
        <f t="shared" ref="AJ419:AJ425" si="148">LOG10(AH419*1000/(0.08206*298.15))</f>
        <v>-12.687862609167633</v>
      </c>
      <c r="AK419" s="62"/>
      <c r="AL419" s="62">
        <f t="shared" ref="AL419:AL425" si="149">IF(AK419=0,AJ419,AK419)</f>
        <v>-12.687862609167633</v>
      </c>
      <c r="AM419" s="62">
        <v>-22.864359999999998</v>
      </c>
      <c r="AN419" s="154"/>
      <c r="AO419" s="410">
        <v>12.46</v>
      </c>
      <c r="AP419" s="410"/>
      <c r="AQ419" s="56" t="s">
        <v>5921</v>
      </c>
      <c r="AR419" s="56" t="s">
        <v>5921</v>
      </c>
      <c r="AS419" s="155"/>
      <c r="AT419" s="58" t="s">
        <v>266</v>
      </c>
      <c r="AU419" s="56">
        <v>6</v>
      </c>
      <c r="AV419" s="56">
        <v>120</v>
      </c>
      <c r="AW419" s="56">
        <v>114</v>
      </c>
      <c r="AX419" s="56">
        <v>28</v>
      </c>
      <c r="AY419" s="56" t="s">
        <v>8728</v>
      </c>
      <c r="AZ419" s="56" t="s">
        <v>1563</v>
      </c>
      <c r="BA419" s="56">
        <v>32</v>
      </c>
      <c r="BB419" s="55" t="s">
        <v>2485</v>
      </c>
      <c r="BC419" s="55" t="s">
        <v>8726</v>
      </c>
      <c r="BD419" s="55" t="s">
        <v>8374</v>
      </c>
      <c r="BE419" s="56" t="s">
        <v>2449</v>
      </c>
      <c r="BF419" s="56" t="s">
        <v>272</v>
      </c>
      <c r="BG419" s="56" t="s">
        <v>272</v>
      </c>
      <c r="BH419" s="56" t="s">
        <v>2486</v>
      </c>
      <c r="BI419" s="103">
        <v>6.3999999999999997E-6</v>
      </c>
      <c r="BJ419" s="103">
        <v>6.4000000000000001E-2</v>
      </c>
      <c r="BK419" s="56"/>
      <c r="BL419" s="103">
        <f>10^((-0.8981*Z419)+1.7108)</f>
        <v>3.8251546653548027E-4</v>
      </c>
      <c r="BM419" s="56" t="s">
        <v>2046</v>
      </c>
      <c r="BN419" s="56"/>
      <c r="BO419" s="56"/>
      <c r="BP419" s="56"/>
      <c r="BQ419" s="56"/>
      <c r="BR419" s="55">
        <v>1.9732613E-2</v>
      </c>
      <c r="BS419" s="56"/>
      <c r="BT419" s="56"/>
      <c r="BU419" s="158"/>
      <c r="BV419" s="56"/>
      <c r="BW419" s="56"/>
      <c r="BX419" s="56"/>
      <c r="BY419" s="56"/>
      <c r="BZ419" s="56"/>
      <c r="CA419" s="56"/>
      <c r="CB419" s="56"/>
      <c r="CC419" s="56"/>
      <c r="CD419" s="56"/>
      <c r="CE419" s="56"/>
      <c r="CF419" s="56"/>
      <c r="CG419" s="56"/>
      <c r="CH419" s="56"/>
      <c r="CI419" s="103">
        <f t="shared" si="137"/>
        <v>1.9732613E-2</v>
      </c>
      <c r="CJ419" s="103">
        <f t="shared" si="138"/>
        <v>-1.7048154015018981</v>
      </c>
      <c r="CK419" s="57">
        <f t="shared" si="143"/>
        <v>5.9768041646168788E-3</v>
      </c>
      <c r="CL419" s="160">
        <f t="shared" si="146"/>
        <v>1.938493733878429E-2</v>
      </c>
      <c r="CM419" s="160"/>
      <c r="CN419" s="160"/>
      <c r="CO419" s="55" t="s">
        <v>2488</v>
      </c>
      <c r="CP419" s="55" t="s">
        <v>2489</v>
      </c>
      <c r="CQ419" s="149" t="s">
        <v>272</v>
      </c>
      <c r="CR419" s="349"/>
      <c r="CS419" s="61" t="s">
        <v>539</v>
      </c>
      <c r="CT419" s="61"/>
      <c r="CU419" s="111">
        <f t="shared" ref="CU419:CU430" si="150">X419/CI419</f>
        <v>0.67231387115139107</v>
      </c>
      <c r="CV419" s="331">
        <f t="shared" ref="CV419:CV426" si="151">X419/BJ419</f>
        <v>0.20728920990566038</v>
      </c>
      <c r="CW419" s="326">
        <f t="shared" si="139"/>
        <v>0</v>
      </c>
      <c r="CX419" s="326"/>
      <c r="CY419" s="161" t="s">
        <v>5921</v>
      </c>
    </row>
    <row r="420" spans="1:103" ht="11.25" customHeight="1" x14ac:dyDescent="0.2">
      <c r="A420" s="72">
        <v>418</v>
      </c>
      <c r="B420" s="149">
        <v>889</v>
      </c>
      <c r="C420" s="54" t="s">
        <v>6727</v>
      </c>
      <c r="D420" s="54"/>
      <c r="E420" s="59"/>
      <c r="F420" s="59" t="s">
        <v>2530</v>
      </c>
      <c r="G420" s="151" t="s">
        <v>2530</v>
      </c>
      <c r="H420" s="55" t="s">
        <v>2531</v>
      </c>
      <c r="I420" s="55" t="s">
        <v>7871</v>
      </c>
      <c r="J420" s="55" t="s">
        <v>2532</v>
      </c>
      <c r="K420" s="55"/>
      <c r="L420" s="55"/>
      <c r="M420" s="55"/>
      <c r="N420" s="60"/>
      <c r="O420" s="55"/>
      <c r="P420" s="67"/>
      <c r="Q420" s="67"/>
      <c r="R420" s="67"/>
      <c r="S420" s="67"/>
      <c r="T420" s="56">
        <v>355.9</v>
      </c>
      <c r="U420" s="103"/>
      <c r="V420" s="103">
        <f>0.008131/355.9</f>
        <v>2.2846305141893789E-5</v>
      </c>
      <c r="W420" s="103">
        <v>1.8197008586099819E-2</v>
      </c>
      <c r="X420" s="103">
        <f t="shared" ref="X420:X426" si="152">IF(W420=0,V420,W420)</f>
        <v>1.8197008586099819E-2</v>
      </c>
      <c r="Y420" s="162">
        <v>8.69</v>
      </c>
      <c r="Z420" s="56">
        <v>6.85</v>
      </c>
      <c r="AA420" s="56"/>
      <c r="AB420" s="56">
        <v>5.36</v>
      </c>
      <c r="AC420" s="56">
        <v>0.73719999999999997</v>
      </c>
      <c r="AD420" s="56">
        <v>5.59</v>
      </c>
      <c r="AE420" s="56">
        <v>6.05</v>
      </c>
      <c r="AF420" s="56">
        <f t="shared" si="147"/>
        <v>5.59</v>
      </c>
      <c r="AG420" s="57">
        <v>2.65</v>
      </c>
      <c r="AH420" s="103">
        <v>9.8999999999999993E-9</v>
      </c>
      <c r="AI420" s="103"/>
      <c r="AJ420" s="62">
        <f t="shared" si="148"/>
        <v>-6.3929311317151019</v>
      </c>
      <c r="AK420" s="62"/>
      <c r="AL420" s="62">
        <f t="shared" si="149"/>
        <v>-6.3929311317151019</v>
      </c>
      <c r="AM420" s="62">
        <v>-12.557479999999998</v>
      </c>
      <c r="AN420" s="154">
        <v>-18.7</v>
      </c>
      <c r="AO420" s="410"/>
      <c r="AP420" s="410">
        <v>8.26</v>
      </c>
      <c r="AQ420" s="56" t="s">
        <v>5921</v>
      </c>
      <c r="AR420" s="56" t="s">
        <v>5921</v>
      </c>
      <c r="AS420" s="155"/>
      <c r="AT420" s="58" t="s">
        <v>266</v>
      </c>
      <c r="AU420" s="56">
        <v>6</v>
      </c>
      <c r="AV420" s="56">
        <v>120</v>
      </c>
      <c r="AW420" s="56">
        <v>114</v>
      </c>
      <c r="AX420" s="56">
        <v>28</v>
      </c>
      <c r="AY420" s="56" t="s">
        <v>8728</v>
      </c>
      <c r="AZ420" s="56" t="s">
        <v>1563</v>
      </c>
      <c r="BA420" s="56">
        <v>32</v>
      </c>
      <c r="BB420" s="55" t="s">
        <v>2485</v>
      </c>
      <c r="BC420" s="55" t="s">
        <v>8726</v>
      </c>
      <c r="BD420" s="55" t="s">
        <v>8374</v>
      </c>
      <c r="BE420" s="56" t="s">
        <v>2449</v>
      </c>
      <c r="BF420" s="56" t="s">
        <v>272</v>
      </c>
      <c r="BG420" s="56" t="s">
        <v>272</v>
      </c>
      <c r="BH420" s="56" t="s">
        <v>2486</v>
      </c>
      <c r="BI420" s="103">
        <v>6.3999999999999997E-6</v>
      </c>
      <c r="BJ420" s="103">
        <v>6.4000000000000001E-2</v>
      </c>
      <c r="BK420" s="56"/>
      <c r="BL420" s="103"/>
      <c r="BM420" s="56" t="s">
        <v>2046</v>
      </c>
      <c r="BN420" s="56"/>
      <c r="BO420" s="56"/>
      <c r="BP420" s="56"/>
      <c r="BQ420" s="56"/>
      <c r="BR420" s="55">
        <v>1.8315912E-2</v>
      </c>
      <c r="BS420" s="56"/>
      <c r="BT420" s="56"/>
      <c r="BU420" s="158"/>
      <c r="BV420" s="56"/>
      <c r="BW420" s="56"/>
      <c r="BX420" s="56"/>
      <c r="BY420" s="56"/>
      <c r="BZ420" s="56"/>
      <c r="CA420" s="56"/>
      <c r="CB420" s="56"/>
      <c r="CC420" s="56"/>
      <c r="CD420" s="56"/>
      <c r="CE420" s="56"/>
      <c r="CF420" s="56"/>
      <c r="CG420" s="56"/>
      <c r="CH420" s="56"/>
      <c r="CI420" s="103">
        <f t="shared" si="137"/>
        <v>1.8315912E-2</v>
      </c>
      <c r="CJ420" s="103">
        <f t="shared" si="138"/>
        <v>-1.7371714517356385</v>
      </c>
      <c r="CK420" s="57">
        <f t="shared" si="143"/>
        <v>0</v>
      </c>
      <c r="CL420" s="160">
        <f t="shared" si="146"/>
        <v>0</v>
      </c>
      <c r="CM420" s="160"/>
      <c r="CN420" s="160"/>
      <c r="CO420" s="55" t="s">
        <v>2488</v>
      </c>
      <c r="CP420" s="55" t="s">
        <v>2489</v>
      </c>
      <c r="CQ420" s="149" t="s">
        <v>272</v>
      </c>
      <c r="CR420" s="349"/>
      <c r="CS420" s="61" t="s">
        <v>539</v>
      </c>
      <c r="CT420" s="61"/>
      <c r="CU420" s="111">
        <f t="shared" si="150"/>
        <v>0.99350819037019933</v>
      </c>
      <c r="CV420" s="331">
        <f t="shared" si="151"/>
        <v>0.28432825915780968</v>
      </c>
      <c r="CW420" s="326">
        <f t="shared" si="139"/>
        <v>0</v>
      </c>
      <c r="CX420" s="326"/>
      <c r="CY420" s="161" t="s">
        <v>5921</v>
      </c>
    </row>
    <row r="421" spans="1:103" ht="11.25" customHeight="1" x14ac:dyDescent="0.2">
      <c r="A421" s="72">
        <v>419</v>
      </c>
      <c r="B421" s="149">
        <v>894</v>
      </c>
      <c r="C421" s="54" t="s">
        <v>6728</v>
      </c>
      <c r="D421" s="54"/>
      <c r="E421" s="59"/>
      <c r="F421" s="59" t="s">
        <v>2546</v>
      </c>
      <c r="G421" s="151" t="s">
        <v>2546</v>
      </c>
      <c r="H421" s="55" t="s">
        <v>2547</v>
      </c>
      <c r="I421" s="55" t="s">
        <v>7872</v>
      </c>
      <c r="J421" s="55" t="s">
        <v>2548</v>
      </c>
      <c r="K421" s="55"/>
      <c r="L421" s="55"/>
      <c r="M421" s="55"/>
      <c r="N421" s="60"/>
      <c r="O421" s="55"/>
      <c r="P421" s="67"/>
      <c r="Q421" s="67"/>
      <c r="R421" s="67"/>
      <c r="S421" s="67"/>
      <c r="T421" s="56">
        <v>601.61</v>
      </c>
      <c r="U421" s="103"/>
      <c r="V421" s="103">
        <f>0.0324/601.61</f>
        <v>5.3855487774471827E-5</v>
      </c>
      <c r="W421" s="103">
        <v>0.29512092266663859</v>
      </c>
      <c r="X421" s="103">
        <f t="shared" si="152"/>
        <v>0.29512092266663859</v>
      </c>
      <c r="Y421" s="162">
        <v>9.48</v>
      </c>
      <c r="Z421" s="56">
        <v>4.3099999999999996</v>
      </c>
      <c r="AA421" s="56"/>
      <c r="AB421" s="56">
        <v>3.93</v>
      </c>
      <c r="AC421" s="56">
        <v>0.4577</v>
      </c>
      <c r="AD421" s="56">
        <v>4.24</v>
      </c>
      <c r="AE421" s="56">
        <v>4.53</v>
      </c>
      <c r="AF421" s="56">
        <f t="shared" si="147"/>
        <v>4.24</v>
      </c>
      <c r="AG421" s="57">
        <v>6.6</v>
      </c>
      <c r="AH421" s="103">
        <v>3.4599999999999999E-20</v>
      </c>
      <c r="AI421" s="103"/>
      <c r="AJ421" s="62">
        <f t="shared" si="148"/>
        <v>-17.849490227519876</v>
      </c>
      <c r="AK421" s="62"/>
      <c r="AL421" s="62">
        <f t="shared" si="149"/>
        <v>-17.849490227519876</v>
      </c>
      <c r="AM421" s="62">
        <v>-28.903690000000005</v>
      </c>
      <c r="AN421" s="154">
        <v>-26.1</v>
      </c>
      <c r="AO421" s="410"/>
      <c r="AP421" s="410">
        <v>8.32</v>
      </c>
      <c r="AQ421" s="56" t="s">
        <v>5921</v>
      </c>
      <c r="AR421" s="56" t="s">
        <v>5921</v>
      </c>
      <c r="AS421" s="155"/>
      <c r="AT421" s="58" t="s">
        <v>266</v>
      </c>
      <c r="AU421" s="56">
        <v>6</v>
      </c>
      <c r="AV421" s="56">
        <v>120</v>
      </c>
      <c r="AW421" s="56">
        <v>114</v>
      </c>
      <c r="AX421" s="56">
        <v>28</v>
      </c>
      <c r="AY421" s="56" t="s">
        <v>8728</v>
      </c>
      <c r="AZ421" s="56" t="s">
        <v>1563</v>
      </c>
      <c r="BA421" s="56">
        <v>32</v>
      </c>
      <c r="BB421" s="55" t="s">
        <v>2485</v>
      </c>
      <c r="BC421" s="55" t="s">
        <v>8726</v>
      </c>
      <c r="BD421" s="55" t="s">
        <v>8374</v>
      </c>
      <c r="BE421" s="56" t="s">
        <v>2449</v>
      </c>
      <c r="BF421" s="56" t="s">
        <v>272</v>
      </c>
      <c r="BG421" s="56" t="s">
        <v>272</v>
      </c>
      <c r="BH421" s="56" t="s">
        <v>2486</v>
      </c>
      <c r="BI421" s="103">
        <v>6.3999999999999997E-6</v>
      </c>
      <c r="BJ421" s="103">
        <v>6.4000000000000001E-2</v>
      </c>
      <c r="BK421" s="56"/>
      <c r="BL421" s="103"/>
      <c r="BM421" s="56" t="s">
        <v>2046</v>
      </c>
      <c r="BN421" s="56"/>
      <c r="BO421" s="56"/>
      <c r="BP421" s="56"/>
      <c r="BQ421" s="56"/>
      <c r="BR421" s="55">
        <v>1.9106482000000001E-2</v>
      </c>
      <c r="BS421" s="56"/>
      <c r="BT421" s="56"/>
      <c r="BU421" s="158"/>
      <c r="BV421" s="56"/>
      <c r="BW421" s="56"/>
      <c r="BX421" s="56"/>
      <c r="BY421" s="56"/>
      <c r="BZ421" s="56"/>
      <c r="CA421" s="56"/>
      <c r="CB421" s="56"/>
      <c r="CC421" s="56"/>
      <c r="CD421" s="56"/>
      <c r="CE421" s="56"/>
      <c r="CF421" s="56"/>
      <c r="CG421" s="56"/>
      <c r="CH421" s="56"/>
      <c r="CI421" s="103">
        <f t="shared" si="137"/>
        <v>1.9106482000000001E-2</v>
      </c>
      <c r="CJ421" s="103">
        <f t="shared" si="138"/>
        <v>-1.7188192704874763</v>
      </c>
      <c r="CK421" s="57">
        <f t="shared" si="143"/>
        <v>0</v>
      </c>
      <c r="CL421" s="160">
        <f t="shared" si="146"/>
        <v>0</v>
      </c>
      <c r="CM421" s="160"/>
      <c r="CN421" s="160"/>
      <c r="CO421" s="55" t="s">
        <v>2488</v>
      </c>
      <c r="CP421" s="55" t="s">
        <v>2489</v>
      </c>
      <c r="CQ421" s="149" t="s">
        <v>272</v>
      </c>
      <c r="CR421" s="349"/>
      <c r="CS421" s="61" t="s">
        <v>539</v>
      </c>
      <c r="CT421" s="61"/>
      <c r="CU421" s="111">
        <f t="shared" si="150"/>
        <v>15.44611523286383</v>
      </c>
      <c r="CV421" s="331">
        <f t="shared" si="151"/>
        <v>4.611264416666228</v>
      </c>
      <c r="CW421" s="326">
        <f t="shared" si="139"/>
        <v>1</v>
      </c>
      <c r="CX421" s="326"/>
      <c r="CY421" s="161" t="s">
        <v>5921</v>
      </c>
    </row>
    <row r="422" spans="1:103" ht="11.25" customHeight="1" x14ac:dyDescent="0.2">
      <c r="A422" s="72">
        <v>420</v>
      </c>
      <c r="B422" s="149">
        <v>1202</v>
      </c>
      <c r="C422" s="54" t="s">
        <v>6729</v>
      </c>
      <c r="D422" s="54"/>
      <c r="E422" s="59"/>
      <c r="F422" s="59" t="s">
        <v>3316</v>
      </c>
      <c r="G422" s="151" t="s">
        <v>3316</v>
      </c>
      <c r="H422" s="55" t="s">
        <v>3317</v>
      </c>
      <c r="I422" s="55" t="s">
        <v>7873</v>
      </c>
      <c r="J422" s="55" t="s">
        <v>3318</v>
      </c>
      <c r="K422" s="55"/>
      <c r="L422" s="55"/>
      <c r="M422" s="55"/>
      <c r="N422" s="60"/>
      <c r="O422" s="55"/>
      <c r="P422" s="67"/>
      <c r="Q422" s="67"/>
      <c r="R422" s="67"/>
      <c r="S422" s="67"/>
      <c r="T422" s="56">
        <v>457.32</v>
      </c>
      <c r="U422" s="103"/>
      <c r="V422" s="103">
        <f>0.004767/457.32</f>
        <v>1.0423773287850958E-5</v>
      </c>
      <c r="W422" s="103">
        <v>3.5481338923357482E-2</v>
      </c>
      <c r="X422" s="103">
        <f t="shared" si="152"/>
        <v>3.5481338923357482E-2</v>
      </c>
      <c r="Y422" s="162">
        <v>8.8699999999999992</v>
      </c>
      <c r="Z422" s="56">
        <v>6.38</v>
      </c>
      <c r="AA422" s="103"/>
      <c r="AB422" s="103">
        <v>5.3</v>
      </c>
      <c r="AC422" s="103">
        <v>0.66190000000000004</v>
      </c>
      <c r="AD422" s="103">
        <v>5.32</v>
      </c>
      <c r="AE422" s="103">
        <v>5.37</v>
      </c>
      <c r="AF422" s="103">
        <f t="shared" si="147"/>
        <v>5.32</v>
      </c>
      <c r="AG422" s="57">
        <v>3.09</v>
      </c>
      <c r="AH422" s="103">
        <v>7.4399999999999996E-13</v>
      </c>
      <c r="AI422" s="103"/>
      <c r="AJ422" s="62">
        <f t="shared" si="148"/>
        <v>-10.516993390766773</v>
      </c>
      <c r="AK422" s="62"/>
      <c r="AL422" s="62">
        <f t="shared" si="149"/>
        <v>-10.516993390766773</v>
      </c>
      <c r="AM422" s="62">
        <v>-15.983109999999998</v>
      </c>
      <c r="AN422" s="154">
        <v>-17.8</v>
      </c>
      <c r="AO422" s="410">
        <v>11.95</v>
      </c>
      <c r="AP422" s="410">
        <v>10.11</v>
      </c>
      <c r="AQ422" s="56" t="s">
        <v>5921</v>
      </c>
      <c r="AR422" s="56" t="s">
        <v>5921</v>
      </c>
      <c r="AS422" s="155"/>
      <c r="AT422" s="58" t="s">
        <v>266</v>
      </c>
      <c r="AU422" s="56">
        <v>6</v>
      </c>
      <c r="AV422" s="56">
        <v>120</v>
      </c>
      <c r="AW422" s="56">
        <v>114</v>
      </c>
      <c r="AX422" s="56">
        <v>28</v>
      </c>
      <c r="AY422" s="56" t="s">
        <v>8728</v>
      </c>
      <c r="AZ422" s="56" t="s">
        <v>1563</v>
      </c>
      <c r="BA422" s="56">
        <v>32</v>
      </c>
      <c r="BB422" s="55" t="s">
        <v>2485</v>
      </c>
      <c r="BC422" s="55" t="s">
        <v>8726</v>
      </c>
      <c r="BD422" s="55" t="s">
        <v>8374</v>
      </c>
      <c r="BE422" s="56" t="s">
        <v>2449</v>
      </c>
      <c r="BF422" s="56" t="s">
        <v>272</v>
      </c>
      <c r="BG422" s="56" t="s">
        <v>272</v>
      </c>
      <c r="BH422" s="56" t="s">
        <v>2486</v>
      </c>
      <c r="BI422" s="103">
        <v>6.3999999999999997E-6</v>
      </c>
      <c r="BJ422" s="103">
        <v>6.4000000000000001E-2</v>
      </c>
      <c r="BK422" s="56"/>
      <c r="BL422" s="103"/>
      <c r="BM422" s="56" t="s">
        <v>2046</v>
      </c>
      <c r="BN422" s="56"/>
      <c r="BO422" s="56"/>
      <c r="BP422" s="56"/>
      <c r="BQ422" s="56"/>
      <c r="BR422" s="55">
        <v>3.0079584999999999E-2</v>
      </c>
      <c r="BS422" s="56"/>
      <c r="BT422" s="56"/>
      <c r="BU422" s="158"/>
      <c r="BV422" s="56"/>
      <c r="BW422" s="56"/>
      <c r="BX422" s="56"/>
      <c r="BY422" s="56"/>
      <c r="BZ422" s="56"/>
      <c r="CA422" s="56"/>
      <c r="CB422" s="56"/>
      <c r="CC422" s="56"/>
      <c r="CD422" s="56"/>
      <c r="CE422" s="56"/>
      <c r="CF422" s="56"/>
      <c r="CG422" s="56"/>
      <c r="CH422" s="56"/>
      <c r="CI422" s="103">
        <f t="shared" si="137"/>
        <v>3.0079584999999999E-2</v>
      </c>
      <c r="CJ422" s="103">
        <f t="shared" si="138"/>
        <v>-1.5217281598840287</v>
      </c>
      <c r="CK422" s="57">
        <f t="shared" si="143"/>
        <v>0</v>
      </c>
      <c r="CL422" s="160">
        <f t="shared" si="146"/>
        <v>0</v>
      </c>
      <c r="CM422" s="160"/>
      <c r="CN422" s="160"/>
      <c r="CO422" s="55" t="s">
        <v>2488</v>
      </c>
      <c r="CP422" s="55" t="s">
        <v>2489</v>
      </c>
      <c r="CQ422" s="149" t="s">
        <v>272</v>
      </c>
      <c r="CR422" s="349"/>
      <c r="CS422" s="61" t="s">
        <v>539</v>
      </c>
      <c r="CT422" s="61"/>
      <c r="CU422" s="111">
        <f t="shared" si="150"/>
        <v>1.179582062829573</v>
      </c>
      <c r="CV422" s="331">
        <f t="shared" si="151"/>
        <v>0.55439592067746069</v>
      </c>
      <c r="CW422" s="326">
        <f t="shared" si="139"/>
        <v>0</v>
      </c>
      <c r="CX422" s="326"/>
      <c r="CY422" s="161" t="s">
        <v>5921</v>
      </c>
    </row>
    <row r="423" spans="1:103" ht="11.25" customHeight="1" x14ac:dyDescent="0.2">
      <c r="A423" s="72">
        <v>421</v>
      </c>
      <c r="B423" s="149">
        <v>877</v>
      </c>
      <c r="C423" s="54" t="s">
        <v>6730</v>
      </c>
      <c r="D423" s="54"/>
      <c r="E423" s="59"/>
      <c r="F423" s="59" t="s">
        <v>2490</v>
      </c>
      <c r="G423" s="151" t="s">
        <v>2490</v>
      </c>
      <c r="H423" s="55" t="s">
        <v>2491</v>
      </c>
      <c r="I423" s="55" t="s">
        <v>7874</v>
      </c>
      <c r="J423" s="55" t="s">
        <v>2492</v>
      </c>
      <c r="K423" s="55"/>
      <c r="L423" s="55"/>
      <c r="M423" s="55"/>
      <c r="N423" s="60"/>
      <c r="O423" s="55"/>
      <c r="P423" s="67"/>
      <c r="Q423" s="67"/>
      <c r="R423" s="67"/>
      <c r="S423" s="67"/>
      <c r="T423" s="56">
        <v>643.15</v>
      </c>
      <c r="U423" s="103"/>
      <c r="V423" s="103">
        <f>0.0004577/643.15</f>
        <v>7.1165358003576148E-7</v>
      </c>
      <c r="W423" s="103">
        <v>8.1283051616409824E-3</v>
      </c>
      <c r="X423" s="103">
        <f t="shared" si="152"/>
        <v>8.1283051616409824E-3</v>
      </c>
      <c r="Y423" s="162">
        <v>8.25</v>
      </c>
      <c r="Z423" s="56">
        <v>6.16</v>
      </c>
      <c r="AA423" s="56"/>
      <c r="AB423" s="56">
        <v>4.53</v>
      </c>
      <c r="AC423" s="56">
        <v>0.5242</v>
      </c>
      <c r="AD423" s="56">
        <v>4.7300000000000004</v>
      </c>
      <c r="AE423" s="56">
        <v>5.08</v>
      </c>
      <c r="AF423" s="56">
        <f t="shared" si="147"/>
        <v>4.7300000000000004</v>
      </c>
      <c r="AG423" s="57">
        <v>5.99</v>
      </c>
      <c r="AH423" s="103">
        <v>3.8599999999999998E-23</v>
      </c>
      <c r="AI423" s="103"/>
      <c r="AJ423" s="62">
        <f t="shared" si="148"/>
        <v>-20.801979021640896</v>
      </c>
      <c r="AK423" s="62"/>
      <c r="AL423" s="62">
        <f t="shared" si="149"/>
        <v>-20.801979021640896</v>
      </c>
      <c r="AM423" s="62">
        <v>-30.592549999999999</v>
      </c>
      <c r="AN423" s="154">
        <v>-12.7</v>
      </c>
      <c r="AO423" s="410">
        <v>13.72</v>
      </c>
      <c r="AP423" s="410">
        <v>9.6199999999999992</v>
      </c>
      <c r="AQ423" s="56" t="s">
        <v>5921</v>
      </c>
      <c r="AR423" s="56" t="s">
        <v>5921</v>
      </c>
      <c r="AS423" s="155"/>
      <c r="AT423" s="58" t="s">
        <v>266</v>
      </c>
      <c r="AU423" s="56">
        <v>6</v>
      </c>
      <c r="AV423" s="56">
        <v>120</v>
      </c>
      <c r="AW423" s="56">
        <v>114</v>
      </c>
      <c r="AX423" s="56">
        <v>28</v>
      </c>
      <c r="AY423" s="56" t="s">
        <v>8728</v>
      </c>
      <c r="AZ423" s="56" t="s">
        <v>1563</v>
      </c>
      <c r="BA423" s="56">
        <v>32</v>
      </c>
      <c r="BB423" s="55" t="s">
        <v>2485</v>
      </c>
      <c r="BC423" s="55" t="s">
        <v>8726</v>
      </c>
      <c r="BD423" s="55" t="s">
        <v>8374</v>
      </c>
      <c r="BE423" s="56" t="s">
        <v>2449</v>
      </c>
      <c r="BF423" s="56" t="s">
        <v>272</v>
      </c>
      <c r="BG423" s="56" t="s">
        <v>272</v>
      </c>
      <c r="BH423" s="56" t="s">
        <v>2486</v>
      </c>
      <c r="BI423" s="103">
        <v>6.3999999999999997E-6</v>
      </c>
      <c r="BJ423" s="103">
        <v>6.4000000000000001E-2</v>
      </c>
      <c r="BK423" s="56"/>
      <c r="BL423" s="103"/>
      <c r="BM423" s="56" t="s">
        <v>2046</v>
      </c>
      <c r="BN423" s="56">
        <v>19.10648162</v>
      </c>
      <c r="BO423" s="56"/>
      <c r="BP423" s="56"/>
      <c r="BQ423" s="56"/>
      <c r="BR423" s="55">
        <v>1.9106482000000001E-2</v>
      </c>
      <c r="BS423" s="56"/>
      <c r="BT423" s="56"/>
      <c r="BU423" s="158"/>
      <c r="BV423" s="56"/>
      <c r="BW423" s="56"/>
      <c r="BX423" s="56"/>
      <c r="BY423" s="56"/>
      <c r="BZ423" s="56"/>
      <c r="CA423" s="56"/>
      <c r="CB423" s="56"/>
      <c r="CC423" s="56"/>
      <c r="CD423" s="56"/>
      <c r="CE423" s="56"/>
      <c r="CF423" s="56"/>
      <c r="CG423" s="56"/>
      <c r="CH423" s="56"/>
      <c r="CI423" s="103">
        <f t="shared" si="137"/>
        <v>1.9106482000000001E-2</v>
      </c>
      <c r="CJ423" s="103">
        <f t="shared" si="138"/>
        <v>-1.7188192704874763</v>
      </c>
      <c r="CK423" s="57">
        <f t="shared" si="143"/>
        <v>0</v>
      </c>
      <c r="CL423" s="160">
        <f t="shared" si="146"/>
        <v>0</v>
      </c>
      <c r="CM423" s="160"/>
      <c r="CN423" s="160"/>
      <c r="CO423" s="55" t="s">
        <v>2488</v>
      </c>
      <c r="CP423" s="55" t="s">
        <v>2489</v>
      </c>
      <c r="CQ423" s="149" t="s">
        <v>272</v>
      </c>
      <c r="CR423" s="349"/>
      <c r="CS423" s="61" t="s">
        <v>539</v>
      </c>
      <c r="CT423" s="61"/>
      <c r="CU423" s="111">
        <f t="shared" si="150"/>
        <v>0.42542133929422393</v>
      </c>
      <c r="CV423" s="331">
        <f t="shared" si="151"/>
        <v>0.12700476815064035</v>
      </c>
      <c r="CW423" s="326">
        <f t="shared" si="139"/>
        <v>0</v>
      </c>
      <c r="CX423" s="326"/>
      <c r="CY423" s="161" t="s">
        <v>5921</v>
      </c>
    </row>
    <row r="424" spans="1:103" ht="11.25" customHeight="1" x14ac:dyDescent="0.2">
      <c r="A424" s="72">
        <v>422</v>
      </c>
      <c r="B424" s="149">
        <v>974</v>
      </c>
      <c r="C424" s="54" t="s">
        <v>6731</v>
      </c>
      <c r="D424" s="54"/>
      <c r="E424" s="59"/>
      <c r="F424" s="59" t="s">
        <v>2780</v>
      </c>
      <c r="G424" s="151" t="s">
        <v>2780</v>
      </c>
      <c r="H424" s="55" t="s">
        <v>2781</v>
      </c>
      <c r="I424" s="55" t="s">
        <v>7875</v>
      </c>
      <c r="J424" s="55" t="s">
        <v>2782</v>
      </c>
      <c r="K424" s="55"/>
      <c r="L424" s="55"/>
      <c r="M424" s="55"/>
      <c r="N424" s="60"/>
      <c r="O424" s="55"/>
      <c r="P424" s="67"/>
      <c r="Q424" s="67"/>
      <c r="R424" s="67"/>
      <c r="S424" s="67"/>
      <c r="T424" s="56">
        <v>604.52</v>
      </c>
      <c r="U424" s="103"/>
      <c r="V424" s="103">
        <f>0.2949/604.52</f>
        <v>4.8782505128035469E-4</v>
      </c>
      <c r="W424" s="103">
        <v>1.6982436524617447E-3</v>
      </c>
      <c r="X424" s="103">
        <f t="shared" si="152"/>
        <v>1.6982436524617447E-3</v>
      </c>
      <c r="Y424" s="162">
        <v>7.02</v>
      </c>
      <c r="Z424" s="56">
        <v>5.86</v>
      </c>
      <c r="AA424" s="56"/>
      <c r="AB424" s="56">
        <v>6.12</v>
      </c>
      <c r="AC424" s="56">
        <v>0.6583</v>
      </c>
      <c r="AD424" s="56">
        <v>5.77</v>
      </c>
      <c r="AE424" s="56">
        <v>5.17</v>
      </c>
      <c r="AF424" s="56">
        <f t="shared" si="147"/>
        <v>5.77</v>
      </c>
      <c r="AG424" s="57">
        <v>6.27</v>
      </c>
      <c r="AH424" s="103">
        <v>3.3899999999999999E-19</v>
      </c>
      <c r="AI424" s="103"/>
      <c r="AJ424" s="62">
        <f t="shared" si="148"/>
        <v>-16.858366628109568</v>
      </c>
      <c r="AK424" s="62"/>
      <c r="AL424" s="62">
        <f t="shared" si="149"/>
        <v>-16.858366628109568</v>
      </c>
      <c r="AM424" s="62">
        <v>-28.883569999999999</v>
      </c>
      <c r="AN424" s="154">
        <v>-8.5500000000000007</v>
      </c>
      <c r="AO424" s="410"/>
      <c r="AP424" s="410">
        <v>4.74</v>
      </c>
      <c r="AQ424" s="56" t="s">
        <v>5921</v>
      </c>
      <c r="AR424" s="56" t="s">
        <v>5921</v>
      </c>
      <c r="AS424" s="155"/>
      <c r="AT424" s="58" t="s">
        <v>266</v>
      </c>
      <c r="AU424" s="56">
        <v>6</v>
      </c>
      <c r="AV424" s="56">
        <v>120</v>
      </c>
      <c r="AW424" s="56">
        <v>114</v>
      </c>
      <c r="AX424" s="56">
        <v>28</v>
      </c>
      <c r="AY424" s="56" t="s">
        <v>8728</v>
      </c>
      <c r="AZ424" s="56" t="s">
        <v>1563</v>
      </c>
      <c r="BA424" s="56">
        <v>32</v>
      </c>
      <c r="BB424" s="55" t="s">
        <v>2485</v>
      </c>
      <c r="BC424" s="55" t="s">
        <v>8726</v>
      </c>
      <c r="BD424" s="55" t="s">
        <v>8374</v>
      </c>
      <c r="BE424" s="56" t="s">
        <v>2449</v>
      </c>
      <c r="BF424" s="56" t="s">
        <v>272</v>
      </c>
      <c r="BG424" s="56" t="s">
        <v>272</v>
      </c>
      <c r="BH424" s="56" t="s">
        <v>2486</v>
      </c>
      <c r="BI424" s="103">
        <v>6.3999999999999997E-6</v>
      </c>
      <c r="BJ424" s="103">
        <v>6.4000000000000001E-2</v>
      </c>
      <c r="BK424" s="56"/>
      <c r="BL424" s="103"/>
      <c r="BM424" s="56" t="s">
        <v>2487</v>
      </c>
      <c r="BN424" s="56"/>
      <c r="BO424" s="56"/>
      <c r="BP424" s="56"/>
      <c r="BQ424" s="56"/>
      <c r="BR424" s="55">
        <v>1.9106482000000001E-2</v>
      </c>
      <c r="BS424" s="56"/>
      <c r="BT424" s="56"/>
      <c r="BU424" s="158"/>
      <c r="BV424" s="56"/>
      <c r="BW424" s="56"/>
      <c r="BX424" s="56"/>
      <c r="BY424" s="56"/>
      <c r="BZ424" s="56"/>
      <c r="CA424" s="56"/>
      <c r="CB424" s="56"/>
      <c r="CC424" s="56"/>
      <c r="CD424" s="56"/>
      <c r="CE424" s="56"/>
      <c r="CF424" s="56"/>
      <c r="CG424" s="56"/>
      <c r="CH424" s="56"/>
      <c r="CI424" s="103">
        <f t="shared" si="137"/>
        <v>1.9106482000000001E-2</v>
      </c>
      <c r="CJ424" s="103">
        <f t="shared" si="138"/>
        <v>-1.7188192704874763</v>
      </c>
      <c r="CK424" s="57">
        <f t="shared" si="143"/>
        <v>0</v>
      </c>
      <c r="CL424" s="160">
        <f t="shared" si="146"/>
        <v>0</v>
      </c>
      <c r="CM424" s="160"/>
      <c r="CN424" s="160"/>
      <c r="CO424" s="55" t="s">
        <v>2488</v>
      </c>
      <c r="CP424" s="55" t="s">
        <v>2489</v>
      </c>
      <c r="CQ424" s="149" t="s">
        <v>272</v>
      </c>
      <c r="CR424" s="349"/>
      <c r="CS424" s="61" t="s">
        <v>539</v>
      </c>
      <c r="CT424" s="61"/>
      <c r="CU424" s="111">
        <f t="shared" si="150"/>
        <v>8.8883115817016689E-2</v>
      </c>
      <c r="CV424" s="331">
        <f t="shared" si="151"/>
        <v>2.6535057069714759E-2</v>
      </c>
      <c r="CW424" s="326">
        <f t="shared" si="139"/>
        <v>0</v>
      </c>
      <c r="CX424" s="326"/>
      <c r="CY424" s="161" t="s">
        <v>5921</v>
      </c>
    </row>
    <row r="425" spans="1:103" ht="11.25" customHeight="1" x14ac:dyDescent="0.2">
      <c r="A425" s="72">
        <v>423</v>
      </c>
      <c r="B425" s="149">
        <v>999</v>
      </c>
      <c r="C425" s="54" t="s">
        <v>6732</v>
      </c>
      <c r="D425" s="54"/>
      <c r="E425" s="59"/>
      <c r="F425" s="59" t="s">
        <v>2848</v>
      </c>
      <c r="G425" s="151" t="s">
        <v>2848</v>
      </c>
      <c r="H425" s="55" t="s">
        <v>2849</v>
      </c>
      <c r="I425" s="55" t="s">
        <v>7876</v>
      </c>
      <c r="J425" s="55" t="s">
        <v>2850</v>
      </c>
      <c r="K425" s="55"/>
      <c r="L425" s="55"/>
      <c r="M425" s="55"/>
      <c r="N425" s="60"/>
      <c r="O425" s="55"/>
      <c r="P425" s="67"/>
      <c r="Q425" s="67"/>
      <c r="R425" s="67"/>
      <c r="S425" s="67"/>
      <c r="T425" s="56">
        <v>604.85</v>
      </c>
      <c r="U425" s="103"/>
      <c r="V425" s="103">
        <f>0.0002126/604.85</f>
        <v>3.5149210548069765E-7</v>
      </c>
      <c r="W425" s="103">
        <v>3.5481338923357482E-2</v>
      </c>
      <c r="X425" s="103">
        <f t="shared" si="152"/>
        <v>3.5481338923357482E-2</v>
      </c>
      <c r="Y425" s="162">
        <v>9.19</v>
      </c>
      <c r="Z425" s="56">
        <v>6.5</v>
      </c>
      <c r="AA425" s="56"/>
      <c r="AB425" s="56">
        <v>5.49</v>
      </c>
      <c r="AC425" s="56">
        <v>0.77700000000000002</v>
      </c>
      <c r="AD425" s="56">
        <v>5.32</v>
      </c>
      <c r="AE425" s="56">
        <v>4.4800000000000004</v>
      </c>
      <c r="AF425" s="56">
        <f t="shared" si="147"/>
        <v>5.32</v>
      </c>
      <c r="AG425" s="57">
        <v>5.32</v>
      </c>
      <c r="AH425" s="103">
        <v>6.4700000000000002E-21</v>
      </c>
      <c r="AI425" s="153"/>
      <c r="AJ425" s="62">
        <f t="shared" si="148"/>
        <v>-18.577662045643951</v>
      </c>
      <c r="AK425" s="62"/>
      <c r="AL425" s="62">
        <f t="shared" si="149"/>
        <v>-18.577662045643951</v>
      </c>
      <c r="AM425" s="62">
        <v>-29.493640000000003</v>
      </c>
      <c r="AN425" s="152"/>
      <c r="AO425" s="410"/>
      <c r="AP425" s="410">
        <v>9.0299999999999994</v>
      </c>
      <c r="AQ425" s="56" t="s">
        <v>5921</v>
      </c>
      <c r="AR425" s="56" t="s">
        <v>5921</v>
      </c>
      <c r="AS425" s="155"/>
      <c r="AT425" s="58" t="s">
        <v>266</v>
      </c>
      <c r="AU425" s="56">
        <v>6</v>
      </c>
      <c r="AV425" s="56">
        <v>120</v>
      </c>
      <c r="AW425" s="56">
        <v>114</v>
      </c>
      <c r="AX425" s="56">
        <v>28</v>
      </c>
      <c r="AY425" s="56" t="s">
        <v>8728</v>
      </c>
      <c r="AZ425" s="56" t="s">
        <v>1563</v>
      </c>
      <c r="BA425" s="56">
        <v>32</v>
      </c>
      <c r="BB425" s="55" t="s">
        <v>2485</v>
      </c>
      <c r="BC425" s="55" t="s">
        <v>8726</v>
      </c>
      <c r="BD425" s="55" t="s">
        <v>8374</v>
      </c>
      <c r="BE425" s="56" t="s">
        <v>2449</v>
      </c>
      <c r="BF425" s="56" t="s">
        <v>272</v>
      </c>
      <c r="BG425" s="56" t="s">
        <v>272</v>
      </c>
      <c r="BH425" s="56" t="s">
        <v>2486</v>
      </c>
      <c r="BI425" s="103">
        <v>6.3999999999999997E-6</v>
      </c>
      <c r="BJ425" s="103">
        <v>6.4000000000000001E-2</v>
      </c>
      <c r="BK425" s="56"/>
      <c r="BL425" s="103"/>
      <c r="BM425" s="56" t="s">
        <v>2046</v>
      </c>
      <c r="BN425" s="56"/>
      <c r="BO425" s="56"/>
      <c r="BP425" s="56"/>
      <c r="BQ425" s="56"/>
      <c r="BR425" s="55">
        <v>7.6906589999999999E-3</v>
      </c>
      <c r="BS425" s="56"/>
      <c r="BT425" s="56"/>
      <c r="BU425" s="158"/>
      <c r="BV425" s="56"/>
      <c r="BW425" s="56"/>
      <c r="BX425" s="56"/>
      <c r="BY425" s="56"/>
      <c r="BZ425" s="56"/>
      <c r="CA425" s="56"/>
      <c r="CB425" s="56"/>
      <c r="CC425" s="56"/>
      <c r="CD425" s="56"/>
      <c r="CE425" s="56"/>
      <c r="CF425" s="56"/>
      <c r="CG425" s="56"/>
      <c r="CH425" s="56"/>
      <c r="CI425" s="103">
        <f t="shared" si="137"/>
        <v>7.6906589999999999E-3</v>
      </c>
      <c r="CJ425" s="103">
        <f t="shared" si="138"/>
        <v>-2.1140364446197371</v>
      </c>
      <c r="CK425" s="57">
        <f t="shared" si="143"/>
        <v>0</v>
      </c>
      <c r="CL425" s="160">
        <f t="shared" si="146"/>
        <v>0</v>
      </c>
      <c r="CM425" s="160"/>
      <c r="CN425" s="160"/>
      <c r="CO425" s="55" t="s">
        <v>2488</v>
      </c>
      <c r="CP425" s="55" t="s">
        <v>2489</v>
      </c>
      <c r="CQ425" s="149" t="s">
        <v>272</v>
      </c>
      <c r="CR425" s="349"/>
      <c r="CS425" s="61" t="s">
        <v>539</v>
      </c>
      <c r="CT425" s="61"/>
      <c r="CU425" s="111">
        <f t="shared" si="150"/>
        <v>4.6135628849696086</v>
      </c>
      <c r="CV425" s="331">
        <f t="shared" si="151"/>
        <v>0.55439592067746069</v>
      </c>
      <c r="CW425" s="326">
        <f t="shared" si="139"/>
        <v>1</v>
      </c>
      <c r="CX425" s="326"/>
      <c r="CY425" s="161" t="s">
        <v>5921</v>
      </c>
    </row>
    <row r="426" spans="1:103" ht="11.25" customHeight="1" x14ac:dyDescent="0.2">
      <c r="A426" s="72">
        <v>424</v>
      </c>
      <c r="B426" s="149">
        <v>760</v>
      </c>
      <c r="C426" s="54" t="s">
        <v>6733</v>
      </c>
      <c r="D426" s="54"/>
      <c r="E426" s="59"/>
      <c r="F426" s="59" t="s">
        <v>6390</v>
      </c>
      <c r="G426" s="59" t="s">
        <v>6390</v>
      </c>
      <c r="H426" s="55"/>
      <c r="I426" s="55" t="s">
        <v>7877</v>
      </c>
      <c r="J426" s="55" t="s">
        <v>2147</v>
      </c>
      <c r="K426" s="55"/>
      <c r="L426" s="55"/>
      <c r="M426" s="55"/>
      <c r="N426" s="60"/>
      <c r="O426" s="55"/>
      <c r="P426" s="67"/>
      <c r="Q426" s="67"/>
      <c r="R426" s="67"/>
      <c r="S426" s="67"/>
      <c r="T426" s="56">
        <v>265.35000000000002</v>
      </c>
      <c r="U426" s="103"/>
      <c r="V426" s="103"/>
      <c r="W426" s="103">
        <v>0.25118864315095774</v>
      </c>
      <c r="X426" s="103">
        <f t="shared" si="152"/>
        <v>0.25118864315095774</v>
      </c>
      <c r="Y426" s="162">
        <v>6.89</v>
      </c>
      <c r="Z426" s="56"/>
      <c r="AA426" s="56"/>
      <c r="AB426" s="56"/>
      <c r="AC426" s="56"/>
      <c r="AD426" s="56"/>
      <c r="AE426" s="56"/>
      <c r="AF426" s="56"/>
      <c r="AG426" s="57">
        <v>4.0199999999999996</v>
      </c>
      <c r="AH426" s="103"/>
      <c r="AI426" s="103"/>
      <c r="AJ426" s="62"/>
      <c r="AK426" s="62"/>
      <c r="AL426" s="62"/>
      <c r="AM426" s="62"/>
      <c r="AN426" s="154">
        <v>-7.41</v>
      </c>
      <c r="AO426" s="410">
        <v>10.59</v>
      </c>
      <c r="AP426" s="410"/>
      <c r="AQ426" s="154" t="s">
        <v>5921</v>
      </c>
      <c r="AR426" s="154" t="s">
        <v>5921</v>
      </c>
      <c r="AS426" s="149" t="s">
        <v>1687</v>
      </c>
      <c r="AT426" s="58" t="s">
        <v>266</v>
      </c>
      <c r="AU426" s="56">
        <v>2</v>
      </c>
      <c r="AV426" s="56">
        <v>120</v>
      </c>
      <c r="AW426" s="56">
        <v>120</v>
      </c>
      <c r="AX426" s="56" t="s">
        <v>2137</v>
      </c>
      <c r="AY426" s="56" t="s">
        <v>8722</v>
      </c>
      <c r="AZ426" s="56" t="s">
        <v>2138</v>
      </c>
      <c r="BA426" s="56">
        <v>25</v>
      </c>
      <c r="BB426" s="55" t="s">
        <v>2139</v>
      </c>
      <c r="BC426" s="55" t="s">
        <v>2140</v>
      </c>
      <c r="BD426" s="55"/>
      <c r="BE426" s="56" t="s">
        <v>271</v>
      </c>
      <c r="BF426" s="56" t="s">
        <v>272</v>
      </c>
      <c r="BG426" s="56" t="s">
        <v>272</v>
      </c>
      <c r="BH426" s="56" t="s">
        <v>2141</v>
      </c>
      <c r="BI426" s="157">
        <v>1.0317149165342632E-3</v>
      </c>
      <c r="BJ426" s="157">
        <v>2.0634298330685266E-2</v>
      </c>
      <c r="BK426" s="56"/>
      <c r="BL426" s="103"/>
      <c r="BM426" s="56" t="s">
        <v>2046</v>
      </c>
      <c r="BN426" s="56"/>
      <c r="BO426" s="56"/>
      <c r="BP426" s="56"/>
      <c r="BQ426" s="56"/>
      <c r="BR426" s="56">
        <v>2.7237273796504552E-3</v>
      </c>
      <c r="BS426" s="56"/>
      <c r="BT426" s="56"/>
      <c r="BU426" s="158"/>
      <c r="BV426" s="56"/>
      <c r="BW426" s="56"/>
      <c r="BX426" s="56"/>
      <c r="BY426" s="56"/>
      <c r="BZ426" s="56"/>
      <c r="CA426" s="56"/>
      <c r="CB426" s="56"/>
      <c r="CC426" s="56"/>
      <c r="CD426" s="56"/>
      <c r="CE426" s="56"/>
      <c r="CF426" s="56"/>
      <c r="CG426" s="56"/>
      <c r="CH426" s="56"/>
      <c r="CI426" s="103">
        <f t="shared" si="137"/>
        <v>2.7237273796504552E-3</v>
      </c>
      <c r="CJ426" s="103">
        <f t="shared" si="138"/>
        <v>-2.5648363635134821</v>
      </c>
      <c r="CK426" s="57">
        <f t="shared" si="143"/>
        <v>0</v>
      </c>
      <c r="CL426" s="160">
        <f t="shared" si="146"/>
        <v>0</v>
      </c>
      <c r="CM426" s="160"/>
      <c r="CN426" s="160"/>
      <c r="CO426" s="55"/>
      <c r="CP426" s="55" t="s">
        <v>2142</v>
      </c>
      <c r="CQ426" s="149" t="s">
        <v>272</v>
      </c>
      <c r="CR426" s="349"/>
      <c r="CS426" s="61" t="s">
        <v>539</v>
      </c>
      <c r="CT426" s="61"/>
      <c r="CU426" s="111">
        <f t="shared" si="150"/>
        <v>92.222387977461096</v>
      </c>
      <c r="CV426" s="331">
        <f t="shared" si="151"/>
        <v>12.173355213024864</v>
      </c>
      <c r="CW426" s="326">
        <f t="shared" si="139"/>
        <v>1</v>
      </c>
      <c r="CX426" s="326"/>
      <c r="CY426" s="161" t="s">
        <v>5921</v>
      </c>
    </row>
    <row r="427" spans="1:103" ht="11.25" customHeight="1" x14ac:dyDescent="0.2">
      <c r="A427" s="72">
        <v>425</v>
      </c>
      <c r="B427" s="149">
        <v>536</v>
      </c>
      <c r="C427" s="54" t="s">
        <v>6734</v>
      </c>
      <c r="D427" s="54" t="s">
        <v>6702</v>
      </c>
      <c r="E427" s="59"/>
      <c r="F427" s="59" t="s">
        <v>1690</v>
      </c>
      <c r="G427" s="151">
        <v>534521</v>
      </c>
      <c r="H427" s="55" t="s">
        <v>1691</v>
      </c>
      <c r="I427" s="55" t="s">
        <v>1691</v>
      </c>
      <c r="J427" s="55" t="s">
        <v>1692</v>
      </c>
      <c r="K427" s="55" t="s">
        <v>1693</v>
      </c>
      <c r="L427" s="55" t="s">
        <v>617</v>
      </c>
      <c r="M427" s="55" t="s">
        <v>1694</v>
      </c>
      <c r="N427" s="60" t="s">
        <v>6381</v>
      </c>
      <c r="O427" s="55" t="s">
        <v>1695</v>
      </c>
      <c r="P427" s="67"/>
      <c r="Q427" s="67" t="s">
        <v>6173</v>
      </c>
      <c r="R427" s="67" t="s">
        <v>6180</v>
      </c>
      <c r="S427" s="67" t="s">
        <v>6176</v>
      </c>
      <c r="T427" s="56">
        <v>198.13</v>
      </c>
      <c r="U427" s="103">
        <v>0.99934386513905016</v>
      </c>
      <c r="V427" s="103">
        <v>3.4240145359107657</v>
      </c>
      <c r="W427" s="103">
        <v>2.8840315031266042</v>
      </c>
      <c r="X427" s="103">
        <v>0.99934386513905016</v>
      </c>
      <c r="Y427" s="162">
        <v>3.5</v>
      </c>
      <c r="Z427" s="56">
        <v>2.27</v>
      </c>
      <c r="AA427" s="56">
        <v>2.13</v>
      </c>
      <c r="AB427" s="56">
        <v>2.29</v>
      </c>
      <c r="AC427" s="56">
        <v>0.86</v>
      </c>
      <c r="AD427" s="56">
        <v>2.27</v>
      </c>
      <c r="AE427" s="56">
        <v>2.2000000000000002</v>
      </c>
      <c r="AF427" s="56">
        <f>IF(AA427=0,AD427,AA427)</f>
        <v>2.13</v>
      </c>
      <c r="AG427" s="57">
        <v>1.1499999999999999</v>
      </c>
      <c r="AH427" s="103">
        <v>3.0500000000000002E-8</v>
      </c>
      <c r="AI427" s="103">
        <v>1.3999999999999999E-6</v>
      </c>
      <c r="AJ427" s="62">
        <f t="shared" ref="AJ427:AK430" si="153">LOG10(AH427*1000/(0.08206*298.15))</f>
        <v>-5.9042664869658656</v>
      </c>
      <c r="AK427" s="62">
        <f t="shared" si="153"/>
        <v>-4.2424382906344134</v>
      </c>
      <c r="AL427" s="62">
        <f>IF(AK427=0,AJ427,AK427)</f>
        <v>-4.2424382906344134</v>
      </c>
      <c r="AM427" s="62">
        <v>-9.2475299999999994</v>
      </c>
      <c r="AN427" s="154">
        <v>-5.07</v>
      </c>
      <c r="AO427" s="410">
        <v>4.42</v>
      </c>
      <c r="AP427" s="410"/>
      <c r="AQ427" s="154" t="s">
        <v>6311</v>
      </c>
      <c r="AR427" s="154" t="s">
        <v>6311</v>
      </c>
      <c r="AS427" s="149" t="s">
        <v>6</v>
      </c>
      <c r="AT427" s="58" t="s">
        <v>266</v>
      </c>
      <c r="AU427" s="56">
        <v>2</v>
      </c>
      <c r="AV427" s="56">
        <v>96</v>
      </c>
      <c r="AW427" s="56">
        <v>96</v>
      </c>
      <c r="AX427" s="56">
        <v>27</v>
      </c>
      <c r="AY427" s="56" t="s">
        <v>8722</v>
      </c>
      <c r="AZ427" s="56" t="s">
        <v>536</v>
      </c>
      <c r="BA427" s="56">
        <v>10</v>
      </c>
      <c r="BB427" s="55" t="s">
        <v>1644</v>
      </c>
      <c r="BC427" s="55" t="s">
        <v>538</v>
      </c>
      <c r="BD427" s="55"/>
      <c r="BE427" s="56" t="s">
        <v>889</v>
      </c>
      <c r="BF427" s="56" t="s">
        <v>272</v>
      </c>
      <c r="BG427" s="56" t="s">
        <v>539</v>
      </c>
      <c r="BH427" s="56" t="s">
        <v>272</v>
      </c>
      <c r="BI427" s="103" t="s">
        <v>8722</v>
      </c>
      <c r="BJ427" s="103" t="s">
        <v>8722</v>
      </c>
      <c r="BK427" s="56"/>
      <c r="BL427" s="103">
        <f>10^((-0.8981*Z427)+1.7108)</f>
        <v>0.47001638725467887</v>
      </c>
      <c r="BM427" s="56" t="s">
        <v>541</v>
      </c>
      <c r="BN427" s="56"/>
      <c r="BO427" s="56">
        <v>3.0281619057232262E-3</v>
      </c>
      <c r="BP427" s="56">
        <v>2.2206520641970327E-3</v>
      </c>
      <c r="BQ427" s="56">
        <v>1.9683052387201002E-3</v>
      </c>
      <c r="BR427" s="56"/>
      <c r="BS427" s="56"/>
      <c r="BT427" s="56"/>
      <c r="BU427" s="158"/>
      <c r="BV427" s="56"/>
      <c r="BW427" s="56"/>
      <c r="BX427" s="56"/>
      <c r="BY427" s="56"/>
      <c r="BZ427" s="56"/>
      <c r="CA427" s="56"/>
      <c r="CB427" s="56"/>
      <c r="CC427" s="56"/>
      <c r="CD427" s="56"/>
      <c r="CE427" s="56"/>
      <c r="CF427" s="56"/>
      <c r="CG427" s="56"/>
      <c r="CH427" s="56"/>
      <c r="CI427" s="103">
        <f t="shared" si="137"/>
        <v>1.9683052387201002E-3</v>
      </c>
      <c r="CJ427" s="103">
        <f t="shared" si="138"/>
        <v>-2.7059075516300317</v>
      </c>
      <c r="CK427" s="57" t="s">
        <v>404</v>
      </c>
      <c r="CL427" s="160">
        <f t="shared" si="146"/>
        <v>238.79242812985106</v>
      </c>
      <c r="CM427" s="160"/>
      <c r="CN427" s="160"/>
      <c r="CO427" s="55" t="s">
        <v>1641</v>
      </c>
      <c r="CP427" s="55" t="s">
        <v>1645</v>
      </c>
      <c r="CQ427" s="149">
        <v>-2.4104555644709507</v>
      </c>
      <c r="CR427" s="349">
        <f>10^(CJ427-CQ427)</f>
        <v>0.5064633378004223</v>
      </c>
      <c r="CS427" s="61" t="s">
        <v>539</v>
      </c>
      <c r="CT427" s="61"/>
      <c r="CU427" s="111">
        <f t="shared" si="150"/>
        <v>507.7179318939771</v>
      </c>
      <c r="CV427" s="331"/>
      <c r="CW427" s="326">
        <f t="shared" si="139"/>
        <v>1</v>
      </c>
      <c r="CX427" s="326" t="s">
        <v>539</v>
      </c>
      <c r="CY427" s="161" t="s">
        <v>6351</v>
      </c>
    </row>
    <row r="428" spans="1:103" ht="11.25" customHeight="1" x14ac:dyDescent="0.2">
      <c r="A428" s="72">
        <v>426</v>
      </c>
      <c r="B428" s="149">
        <v>432</v>
      </c>
      <c r="C428" s="54" t="s">
        <v>1445</v>
      </c>
      <c r="D428" s="54" t="s">
        <v>6735</v>
      </c>
      <c r="E428" s="59"/>
      <c r="F428" s="59" t="s">
        <v>1446</v>
      </c>
      <c r="G428" s="151">
        <v>76578148</v>
      </c>
      <c r="H428" s="55" t="s">
        <v>1447</v>
      </c>
      <c r="I428" s="55" t="s">
        <v>7878</v>
      </c>
      <c r="J428" s="55" t="s">
        <v>1448</v>
      </c>
      <c r="K428" s="55" t="s">
        <v>357</v>
      </c>
      <c r="L428" s="55" t="s">
        <v>6012</v>
      </c>
      <c r="M428" s="55" t="s">
        <v>6082</v>
      </c>
      <c r="N428" s="60" t="s">
        <v>6082</v>
      </c>
      <c r="O428" s="55" t="s">
        <v>6083</v>
      </c>
      <c r="P428" s="67"/>
      <c r="Q428" s="67"/>
      <c r="R428" s="67"/>
      <c r="S428" s="67"/>
      <c r="T428" s="56">
        <v>372.8</v>
      </c>
      <c r="U428" s="103">
        <v>1.0729613733905579E-3</v>
      </c>
      <c r="V428" s="103">
        <v>2.671942060085837E-3</v>
      </c>
      <c r="W428" s="103">
        <v>4.1686938347033544E-3</v>
      </c>
      <c r="X428" s="103">
        <v>1.0729613733905579E-3</v>
      </c>
      <c r="Y428" s="162">
        <v>7</v>
      </c>
      <c r="Z428" s="56">
        <v>4.3499999999999996</v>
      </c>
      <c r="AA428" s="56">
        <v>4.28</v>
      </c>
      <c r="AB428" s="56">
        <v>4.3099999999999996</v>
      </c>
      <c r="AC428" s="56">
        <v>0.89810000000000001</v>
      </c>
      <c r="AD428" s="56">
        <v>4.37</v>
      </c>
      <c r="AE428" s="56">
        <v>4.6500000000000004</v>
      </c>
      <c r="AF428" s="56">
        <f>IF(AA428=0,AD428,AA428)</f>
        <v>4.28</v>
      </c>
      <c r="AG428" s="57">
        <v>4.13</v>
      </c>
      <c r="AH428" s="103">
        <v>7.4000000000000003E-11</v>
      </c>
      <c r="AI428" s="103">
        <v>1.0600000000000001E-8</v>
      </c>
      <c r="AJ428" s="62">
        <f t="shared" si="153"/>
        <v>-8.5193346065816762</v>
      </c>
      <c r="AK428" s="62">
        <f t="shared" si="153"/>
        <v>-6.3632604610478811</v>
      </c>
      <c r="AL428" s="62">
        <f>IF(AK428=0,AJ428,AK428)</f>
        <v>-6.3632604610478811</v>
      </c>
      <c r="AM428" s="62">
        <v>-16.472549999999998</v>
      </c>
      <c r="AN428" s="154">
        <v>-7.56</v>
      </c>
      <c r="AO428" s="410"/>
      <c r="AP428" s="410">
        <v>-1.39</v>
      </c>
      <c r="AQ428" s="154" t="s">
        <v>6311</v>
      </c>
      <c r="AR428" s="154" t="s">
        <v>6312</v>
      </c>
      <c r="AS428" s="149" t="s">
        <v>6</v>
      </c>
      <c r="AT428" s="58" t="s">
        <v>266</v>
      </c>
      <c r="AU428" s="56">
        <v>8</v>
      </c>
      <c r="AV428" s="56">
        <v>144</v>
      </c>
      <c r="AW428" s="56">
        <v>120</v>
      </c>
      <c r="AX428" s="56">
        <v>26</v>
      </c>
      <c r="AY428" s="56" t="s">
        <v>267</v>
      </c>
      <c r="AZ428" s="56" t="s">
        <v>268</v>
      </c>
      <c r="BA428" s="56">
        <v>2</v>
      </c>
      <c r="BB428" s="55" t="s">
        <v>888</v>
      </c>
      <c r="BC428" s="55" t="s">
        <v>270</v>
      </c>
      <c r="BD428" s="55" t="s">
        <v>8374</v>
      </c>
      <c r="BE428" s="56" t="s">
        <v>889</v>
      </c>
      <c r="BF428" s="56" t="s">
        <v>272</v>
      </c>
      <c r="BG428" s="56" t="s">
        <v>272</v>
      </c>
      <c r="BH428" s="56" t="s">
        <v>890</v>
      </c>
      <c r="BI428" s="103">
        <v>9.9999999999999995E-7</v>
      </c>
      <c r="BJ428" s="103">
        <v>0.08</v>
      </c>
      <c r="BK428" s="56"/>
      <c r="BL428" s="103">
        <f>10^((-0.8981*Z428)+1.7108)</f>
        <v>6.3689083597233938E-3</v>
      </c>
      <c r="BM428" s="56" t="s">
        <v>891</v>
      </c>
      <c r="BN428" s="162"/>
      <c r="BO428" s="162"/>
      <c r="BP428" s="162"/>
      <c r="BQ428" s="162"/>
      <c r="BR428" s="162"/>
      <c r="BS428" s="56">
        <v>1.7204650534085252E-3</v>
      </c>
      <c r="BT428" s="162"/>
      <c r="BU428" s="158"/>
      <c r="BV428" s="162"/>
      <c r="BW428" s="162"/>
      <c r="BX428" s="162"/>
      <c r="BY428" s="162"/>
      <c r="BZ428" s="162"/>
      <c r="CA428" s="162"/>
      <c r="CB428" s="162"/>
      <c r="CC428" s="56"/>
      <c r="CD428" s="56"/>
      <c r="CE428" s="56"/>
      <c r="CF428" s="56"/>
      <c r="CG428" s="56"/>
      <c r="CH428" s="56"/>
      <c r="CI428" s="103">
        <f t="shared" si="137"/>
        <v>1.7204650534085252E-3</v>
      </c>
      <c r="CJ428" s="103">
        <f t="shared" si="138"/>
        <v>-2.7643541444705306</v>
      </c>
      <c r="CK428" s="57">
        <f t="shared" ref="CK428:CK436" si="154">BL428/BJ428</f>
        <v>7.9611354496542427E-2</v>
      </c>
      <c r="CL428" s="160">
        <f t="shared" si="146"/>
        <v>3.7018527909680787</v>
      </c>
      <c r="CM428" s="160">
        <v>-2.5081504933482033</v>
      </c>
      <c r="CN428" s="160">
        <f>BJ428/(10^CM428)</f>
        <v>25.777481292012403</v>
      </c>
      <c r="CO428" s="55" t="s">
        <v>892</v>
      </c>
      <c r="CP428" s="55" t="s">
        <v>893</v>
      </c>
      <c r="CQ428" s="149">
        <v>-2.3897799644553714</v>
      </c>
      <c r="CR428" s="349">
        <f>10^(CJ428-CQ428)</f>
        <v>0.42211017402859013</v>
      </c>
      <c r="CS428" s="61" t="s">
        <v>539</v>
      </c>
      <c r="CT428" s="61"/>
      <c r="CU428" s="111">
        <f t="shared" si="150"/>
        <v>0.62364613059988894</v>
      </c>
      <c r="CV428" s="331">
        <f>X428/BJ428</f>
        <v>1.3412017167381975E-2</v>
      </c>
      <c r="CW428" s="326">
        <f t="shared" si="139"/>
        <v>0</v>
      </c>
      <c r="CX428" s="326" t="s">
        <v>539</v>
      </c>
      <c r="CY428" s="161" t="s">
        <v>5921</v>
      </c>
    </row>
    <row r="429" spans="1:103" ht="11.25" customHeight="1" x14ac:dyDescent="0.2">
      <c r="A429" s="72">
        <v>427</v>
      </c>
      <c r="B429" s="149">
        <v>214</v>
      </c>
      <c r="C429" s="54" t="s">
        <v>1017</v>
      </c>
      <c r="D429" s="54" t="s">
        <v>6477</v>
      </c>
      <c r="E429" s="59"/>
      <c r="F429" s="59" t="s">
        <v>1018</v>
      </c>
      <c r="G429" s="151">
        <v>133062</v>
      </c>
      <c r="H429" s="55" t="s">
        <v>1019</v>
      </c>
      <c r="I429" s="55" t="s">
        <v>7879</v>
      </c>
      <c r="J429" s="55" t="s">
        <v>1020</v>
      </c>
      <c r="K429" s="55" t="s">
        <v>1016</v>
      </c>
      <c r="L429" s="55" t="s">
        <v>5929</v>
      </c>
      <c r="M429" s="168" t="s">
        <v>6073</v>
      </c>
      <c r="N429" s="60" t="s">
        <v>6082</v>
      </c>
      <c r="O429" s="55" t="s">
        <v>6083</v>
      </c>
      <c r="P429" s="67"/>
      <c r="Q429" s="67"/>
      <c r="R429" s="67"/>
      <c r="S429" s="67"/>
      <c r="T429" s="56">
        <v>300.58999999999997</v>
      </c>
      <c r="U429" s="103">
        <v>1.6966632289830003E-2</v>
      </c>
      <c r="V429" s="103">
        <v>0.16464286902425232</v>
      </c>
      <c r="W429" s="103">
        <v>1.8197008586099819E-2</v>
      </c>
      <c r="X429" s="103">
        <v>1.6966632289830003E-2</v>
      </c>
      <c r="Y429" s="162">
        <v>7</v>
      </c>
      <c r="Z429" s="56">
        <v>2.74</v>
      </c>
      <c r="AA429" s="56">
        <v>2.8</v>
      </c>
      <c r="AB429" s="56">
        <v>2.35</v>
      </c>
      <c r="AC429" s="56">
        <v>0.74490000000000001</v>
      </c>
      <c r="AD429" s="56">
        <v>2.19</v>
      </c>
      <c r="AE429" s="56">
        <v>1.85</v>
      </c>
      <c r="AF429" s="56">
        <f>IF(AA429=0,AD429,AA429)</f>
        <v>2.8</v>
      </c>
      <c r="AG429" s="57">
        <v>2.33</v>
      </c>
      <c r="AH429" s="103">
        <v>4.5900000000000001E-9</v>
      </c>
      <c r="AI429" s="103">
        <v>6.9999999999999998E-9</v>
      </c>
      <c r="AJ429" s="62">
        <f t="shared" si="153"/>
        <v>-6.7267536407753905</v>
      </c>
      <c r="AK429" s="62">
        <f t="shared" si="153"/>
        <v>-6.5434682862983946</v>
      </c>
      <c r="AL429" s="62">
        <f>IF(AK429=0,AJ429,AK429)</f>
        <v>-6.5434682862983946</v>
      </c>
      <c r="AM429" s="62">
        <v>-12.354499999999998</v>
      </c>
      <c r="AN429" s="154">
        <v>-6.93</v>
      </c>
      <c r="AO429" s="410"/>
      <c r="AP429" s="410">
        <v>-2.68</v>
      </c>
      <c r="AQ429" s="154" t="s">
        <v>6311</v>
      </c>
      <c r="AR429" s="154" t="s">
        <v>6311</v>
      </c>
      <c r="AS429" s="149" t="s">
        <v>6</v>
      </c>
      <c r="AT429" s="58" t="s">
        <v>266</v>
      </c>
      <c r="AU429" s="56">
        <v>8</v>
      </c>
      <c r="AV429" s="56">
        <v>144</v>
      </c>
      <c r="AW429" s="56">
        <v>120</v>
      </c>
      <c r="AX429" s="56">
        <v>26</v>
      </c>
      <c r="AY429" s="56" t="s">
        <v>267</v>
      </c>
      <c r="AZ429" s="56" t="s">
        <v>268</v>
      </c>
      <c r="BA429" s="56">
        <v>2</v>
      </c>
      <c r="BB429" s="55" t="s">
        <v>888</v>
      </c>
      <c r="BC429" s="55" t="s">
        <v>270</v>
      </c>
      <c r="BD429" s="55" t="s">
        <v>8374</v>
      </c>
      <c r="BE429" s="56" t="s">
        <v>889</v>
      </c>
      <c r="BF429" s="56" t="s">
        <v>272</v>
      </c>
      <c r="BG429" s="56" t="s">
        <v>272</v>
      </c>
      <c r="BH429" s="56" t="s">
        <v>890</v>
      </c>
      <c r="BI429" s="103">
        <v>9.9999999999999995E-7</v>
      </c>
      <c r="BJ429" s="103">
        <v>0.08</v>
      </c>
      <c r="BK429" s="56"/>
      <c r="BL429" s="103">
        <f>10^((-0.8981*Z429)+1.7108)</f>
        <v>0.17783039780465951</v>
      </c>
      <c r="BM429" s="56" t="s">
        <v>891</v>
      </c>
      <c r="BN429" s="162"/>
      <c r="BO429" s="162"/>
      <c r="BP429" s="162"/>
      <c r="BQ429" s="162"/>
      <c r="BR429" s="162"/>
      <c r="BS429" s="56">
        <v>1.7204650534085252E-3</v>
      </c>
      <c r="BT429" s="162"/>
      <c r="BU429" s="158"/>
      <c r="BV429" s="162"/>
      <c r="BW429" s="162"/>
      <c r="BX429" s="162"/>
      <c r="BY429" s="162"/>
      <c r="BZ429" s="162"/>
      <c r="CA429" s="162"/>
      <c r="CB429" s="162"/>
      <c r="CC429" s="56"/>
      <c r="CD429" s="56"/>
      <c r="CE429" s="56"/>
      <c r="CF429" s="56"/>
      <c r="CG429" s="56"/>
      <c r="CH429" s="56"/>
      <c r="CI429" s="103">
        <f t="shared" si="137"/>
        <v>1.7204650534085252E-3</v>
      </c>
      <c r="CJ429" s="103">
        <f t="shared" si="138"/>
        <v>-2.7643541444705306</v>
      </c>
      <c r="CK429" s="57">
        <f t="shared" si="154"/>
        <v>2.222879972558244</v>
      </c>
      <c r="CL429" s="160">
        <f t="shared" si="146"/>
        <v>103.36181920832867</v>
      </c>
      <c r="CM429" s="160">
        <v>-3.5545208149506622</v>
      </c>
      <c r="CN429" s="160">
        <f>BJ429/(10^CM429)</f>
        <v>286.82090510011955</v>
      </c>
      <c r="CO429" s="55" t="s">
        <v>892</v>
      </c>
      <c r="CP429" s="55" t="s">
        <v>893</v>
      </c>
      <c r="CQ429" s="149">
        <v>-3.420074865683207</v>
      </c>
      <c r="CR429" s="349">
        <f>10^(CJ429-CQ429)</f>
        <v>4.5260643177243276</v>
      </c>
      <c r="CS429" s="61" t="s">
        <v>539</v>
      </c>
      <c r="CT429" s="61"/>
      <c r="CU429" s="111">
        <f t="shared" si="150"/>
        <v>9.8616547056368873</v>
      </c>
      <c r="CV429" s="331">
        <f>X429/BJ429</f>
        <v>0.21208290362287502</v>
      </c>
      <c r="CW429" s="326">
        <f t="shared" si="139"/>
        <v>1</v>
      </c>
      <c r="CX429" s="326" t="s">
        <v>539</v>
      </c>
      <c r="CY429" s="161" t="s">
        <v>5921</v>
      </c>
    </row>
    <row r="430" spans="1:103" ht="11.25" customHeight="1" x14ac:dyDescent="0.2">
      <c r="A430" s="72">
        <v>428</v>
      </c>
      <c r="B430" s="149">
        <v>213</v>
      </c>
      <c r="C430" s="54" t="s">
        <v>1012</v>
      </c>
      <c r="D430" s="54" t="s">
        <v>6736</v>
      </c>
      <c r="E430" s="59"/>
      <c r="F430" s="59" t="s">
        <v>1013</v>
      </c>
      <c r="G430" s="151">
        <v>2939802</v>
      </c>
      <c r="H430" s="55" t="s">
        <v>1014</v>
      </c>
      <c r="I430" s="55" t="s">
        <v>7880</v>
      </c>
      <c r="J430" s="55" t="s">
        <v>1015</v>
      </c>
      <c r="K430" s="55" t="s">
        <v>1016</v>
      </c>
      <c r="L430" s="55" t="s">
        <v>5929</v>
      </c>
      <c r="M430" s="168" t="s">
        <v>6073</v>
      </c>
      <c r="N430" s="60" t="s">
        <v>6082</v>
      </c>
      <c r="O430" s="55" t="s">
        <v>6083</v>
      </c>
      <c r="P430" s="67"/>
      <c r="Q430" s="67"/>
      <c r="R430" s="67"/>
      <c r="S430" s="67"/>
      <c r="T430" s="56">
        <v>349.06</v>
      </c>
      <c r="U430" s="103">
        <v>4.0107717870853142E-3</v>
      </c>
      <c r="V430" s="103">
        <v>1.0224603220076777E-2</v>
      </c>
      <c r="W430" s="103">
        <v>3.7153522909717271E-3</v>
      </c>
      <c r="X430" s="103">
        <v>4.0107717870853142E-3</v>
      </c>
      <c r="Y430" s="162">
        <v>7</v>
      </c>
      <c r="Z430" s="56">
        <v>3.42</v>
      </c>
      <c r="AA430" s="56">
        <v>3.8</v>
      </c>
      <c r="AB430" s="56">
        <v>3.37</v>
      </c>
      <c r="AC430" s="56">
        <v>0.81399999999999995</v>
      </c>
      <c r="AD430" s="56">
        <v>3.12</v>
      </c>
      <c r="AE430" s="56">
        <v>2.4</v>
      </c>
      <c r="AF430" s="56">
        <f>IF(AA430=0,AD430,AA430)</f>
        <v>3.8</v>
      </c>
      <c r="AG430" s="57">
        <v>2.95</v>
      </c>
      <c r="AH430" s="103">
        <v>2.1499999999999998E-9</v>
      </c>
      <c r="AI430" s="103">
        <v>4.9200000000000004E-9</v>
      </c>
      <c r="AJ430" s="62">
        <f t="shared" si="153"/>
        <v>-7.0561278663970466</v>
      </c>
      <c r="AK430" s="62">
        <f t="shared" si="153"/>
        <v>-6.6966012235452919</v>
      </c>
      <c r="AL430" s="62">
        <f>IF(AK430=0,AJ430,AK430)</f>
        <v>-6.6966012235452919</v>
      </c>
      <c r="AM430" s="62">
        <v>-14.13646</v>
      </c>
      <c r="AN430" s="154">
        <v>-7.96</v>
      </c>
      <c r="AO430" s="410"/>
      <c r="AP430" s="410">
        <v>-2.67</v>
      </c>
      <c r="AQ430" s="154" t="s">
        <v>6311</v>
      </c>
      <c r="AR430" s="154" t="s">
        <v>6311</v>
      </c>
      <c r="AS430" s="149" t="s">
        <v>6</v>
      </c>
      <c r="AT430" s="58" t="s">
        <v>266</v>
      </c>
      <c r="AU430" s="56">
        <v>8</v>
      </c>
      <c r="AV430" s="56">
        <v>144</v>
      </c>
      <c r="AW430" s="56">
        <v>120</v>
      </c>
      <c r="AX430" s="56">
        <v>26</v>
      </c>
      <c r="AY430" s="56" t="s">
        <v>267</v>
      </c>
      <c r="AZ430" s="56" t="s">
        <v>268</v>
      </c>
      <c r="BA430" s="56">
        <v>2</v>
      </c>
      <c r="BB430" s="55" t="s">
        <v>888</v>
      </c>
      <c r="BC430" s="55" t="s">
        <v>270</v>
      </c>
      <c r="BD430" s="55" t="s">
        <v>8374</v>
      </c>
      <c r="BE430" s="56" t="s">
        <v>889</v>
      </c>
      <c r="BF430" s="56" t="s">
        <v>272</v>
      </c>
      <c r="BG430" s="56" t="s">
        <v>272</v>
      </c>
      <c r="BH430" s="56" t="s">
        <v>890</v>
      </c>
      <c r="BI430" s="103">
        <v>9.9999999999999995E-7</v>
      </c>
      <c r="BJ430" s="103">
        <v>0.08</v>
      </c>
      <c r="BK430" s="56"/>
      <c r="BL430" s="103">
        <f>10^((-0.8981*Z430)+1.7108)</f>
        <v>4.3581081157315266E-2</v>
      </c>
      <c r="BM430" s="56" t="s">
        <v>891</v>
      </c>
      <c r="BN430" s="162"/>
      <c r="BO430" s="162"/>
      <c r="BP430" s="162"/>
      <c r="BQ430" s="162"/>
      <c r="BR430" s="162"/>
      <c r="BS430" s="56">
        <v>1.7204650534085252E-3</v>
      </c>
      <c r="BT430" s="162"/>
      <c r="BU430" s="158"/>
      <c r="BV430" s="162"/>
      <c r="BW430" s="162"/>
      <c r="BX430" s="162"/>
      <c r="BY430" s="162"/>
      <c r="BZ430" s="162"/>
      <c r="CA430" s="162"/>
      <c r="CB430" s="162"/>
      <c r="CC430" s="56"/>
      <c r="CD430" s="56"/>
      <c r="CE430" s="56"/>
      <c r="CF430" s="56"/>
      <c r="CG430" s="56"/>
      <c r="CH430" s="56"/>
      <c r="CI430" s="103">
        <f t="shared" si="137"/>
        <v>1.7204650534085252E-3</v>
      </c>
      <c r="CJ430" s="103">
        <f t="shared" si="138"/>
        <v>-2.7643541444705306</v>
      </c>
      <c r="CK430" s="57">
        <f t="shared" si="154"/>
        <v>0.54476351446644078</v>
      </c>
      <c r="CL430" s="160">
        <f t="shared" si="146"/>
        <v>25.330988892203273</v>
      </c>
      <c r="CM430" s="160">
        <v>-3.5577585127270774</v>
      </c>
      <c r="CN430" s="160">
        <f>BJ430/(10^CM430)</f>
        <v>288.9671666844128</v>
      </c>
      <c r="CO430" s="55" t="s">
        <v>892</v>
      </c>
      <c r="CP430" s="55" t="s">
        <v>893</v>
      </c>
      <c r="CQ430" s="149">
        <v>-3.3704951654893431</v>
      </c>
      <c r="CR430" s="349">
        <f>10^(CJ430-CQ430)</f>
        <v>4.0377648311417689</v>
      </c>
      <c r="CS430" s="61" t="s">
        <v>539</v>
      </c>
      <c r="CT430" s="61"/>
      <c r="CU430" s="111">
        <f t="shared" si="150"/>
        <v>2.3312137489449807</v>
      </c>
      <c r="CV430" s="331">
        <f>X430/BJ430</f>
        <v>5.0134647338566429E-2</v>
      </c>
      <c r="CW430" s="326">
        <f t="shared" si="139"/>
        <v>1</v>
      </c>
      <c r="CX430" s="326" t="s">
        <v>539</v>
      </c>
      <c r="CY430" s="161" t="s">
        <v>5921</v>
      </c>
    </row>
    <row r="431" spans="1:103" ht="11.25" customHeight="1" x14ac:dyDescent="0.2">
      <c r="A431" s="72">
        <v>429</v>
      </c>
      <c r="B431" s="149">
        <v>2167</v>
      </c>
      <c r="C431" s="54" t="s">
        <v>6737</v>
      </c>
      <c r="D431" s="54"/>
      <c r="E431" s="59"/>
      <c r="F431" s="59" t="s">
        <v>2131</v>
      </c>
      <c r="G431" s="151">
        <v>95144244</v>
      </c>
      <c r="H431" s="55"/>
      <c r="I431" s="55" t="s">
        <v>7877</v>
      </c>
      <c r="J431" s="55" t="s">
        <v>2132</v>
      </c>
      <c r="K431" s="55"/>
      <c r="L431" s="55" t="s">
        <v>5527</v>
      </c>
      <c r="M431" s="55" t="s">
        <v>526</v>
      </c>
      <c r="N431" s="60"/>
      <c r="O431" s="55" t="s">
        <v>2342</v>
      </c>
      <c r="P431" s="67"/>
      <c r="Q431" s="67"/>
      <c r="R431" s="67"/>
      <c r="S431" s="67"/>
      <c r="T431" s="56">
        <v>400000</v>
      </c>
      <c r="U431" s="103"/>
      <c r="V431" s="103"/>
      <c r="W431" s="103"/>
      <c r="X431" s="103"/>
      <c r="Y431" s="162"/>
      <c r="Z431" s="56"/>
      <c r="AA431" s="56"/>
      <c r="AB431" s="56"/>
      <c r="AC431" s="56"/>
      <c r="AD431" s="56"/>
      <c r="AE431" s="56"/>
      <c r="AF431" s="56"/>
      <c r="AG431" s="57">
        <v>1.29</v>
      </c>
      <c r="AH431" s="103"/>
      <c r="AI431" s="103"/>
      <c r="AJ431" s="62"/>
      <c r="AK431" s="62"/>
      <c r="AL431" s="62"/>
      <c r="AM431" s="62"/>
      <c r="AN431" s="154">
        <v>-12.6</v>
      </c>
      <c r="AO431" s="410"/>
      <c r="AP431" s="410"/>
      <c r="AQ431" s="154" t="s">
        <v>6317</v>
      </c>
      <c r="AR431" s="154" t="s">
        <v>6317</v>
      </c>
      <c r="AS431" s="149" t="s">
        <v>6</v>
      </c>
      <c r="AT431" s="58" t="s">
        <v>266</v>
      </c>
      <c r="AU431" s="56">
        <v>0</v>
      </c>
      <c r="AV431" s="56">
        <v>96</v>
      </c>
      <c r="AW431" s="56">
        <v>96</v>
      </c>
      <c r="AX431" s="56">
        <v>26</v>
      </c>
      <c r="AY431" s="472" t="s">
        <v>6360</v>
      </c>
      <c r="AZ431" s="56" t="s">
        <v>536</v>
      </c>
      <c r="BA431" s="56">
        <v>20</v>
      </c>
      <c r="BB431" s="55" t="s">
        <v>1764</v>
      </c>
      <c r="BC431" s="55" t="s">
        <v>6359</v>
      </c>
      <c r="BD431" s="55"/>
      <c r="BE431" s="56" t="s">
        <v>1712</v>
      </c>
      <c r="BF431" s="56" t="s">
        <v>539</v>
      </c>
      <c r="BG431" s="56" t="s">
        <v>539</v>
      </c>
      <c r="BH431" s="56" t="s">
        <v>272</v>
      </c>
      <c r="BI431" s="56">
        <f>0.156/400000</f>
        <v>3.9000000000000002E-7</v>
      </c>
      <c r="BJ431" s="56">
        <f>2.5/400000</f>
        <v>6.2500000000000003E-6</v>
      </c>
      <c r="BK431" s="56"/>
      <c r="BL431" s="103"/>
      <c r="BM431" s="56" t="s">
        <v>2046</v>
      </c>
      <c r="BN431" s="56"/>
      <c r="BO431" s="56"/>
      <c r="BP431" s="56"/>
      <c r="BQ431" s="56">
        <f>0.876/400000</f>
        <v>2.1900000000000002E-6</v>
      </c>
      <c r="BR431" s="56"/>
      <c r="BS431" s="56"/>
      <c r="BT431" s="56"/>
      <c r="BU431" s="158"/>
      <c r="BV431" s="56"/>
      <c r="BW431" s="56"/>
      <c r="BX431" s="56"/>
      <c r="BY431" s="56"/>
      <c r="BZ431" s="56"/>
      <c r="CA431" s="56"/>
      <c r="CB431" s="56"/>
      <c r="CC431" s="56"/>
      <c r="CD431" s="56"/>
      <c r="CE431" s="56"/>
      <c r="CF431" s="56"/>
      <c r="CG431" s="56"/>
      <c r="CH431" s="56"/>
      <c r="CI431" s="103">
        <f t="shared" si="137"/>
        <v>2.1900000000000002E-6</v>
      </c>
      <c r="CJ431" s="103">
        <f t="shared" si="138"/>
        <v>-5.6595558851598815</v>
      </c>
      <c r="CK431" s="57">
        <f t="shared" si="154"/>
        <v>0</v>
      </c>
      <c r="CL431" s="160">
        <f t="shared" si="146"/>
        <v>0</v>
      </c>
      <c r="CM431" s="160"/>
      <c r="CN431" s="160"/>
      <c r="CO431" s="55"/>
      <c r="CP431" s="55" t="s">
        <v>6355</v>
      </c>
      <c r="CQ431" s="149" t="s">
        <v>272</v>
      </c>
      <c r="CR431" s="349"/>
      <c r="CS431" s="61" t="s">
        <v>539</v>
      </c>
      <c r="CT431" s="61"/>
      <c r="CU431" s="111" t="s">
        <v>6310</v>
      </c>
      <c r="CV431" s="331"/>
      <c r="CW431" s="326">
        <f t="shared" si="139"/>
        <v>1</v>
      </c>
      <c r="CX431" s="326" t="s">
        <v>539</v>
      </c>
      <c r="CY431" s="161" t="s">
        <v>5921</v>
      </c>
    </row>
    <row r="432" spans="1:103" ht="11.25" customHeight="1" x14ac:dyDescent="0.2">
      <c r="A432" s="72">
        <v>430</v>
      </c>
      <c r="B432" s="149">
        <v>196</v>
      </c>
      <c r="C432" s="54" t="s">
        <v>963</v>
      </c>
      <c r="D432" s="54" t="s">
        <v>6738</v>
      </c>
      <c r="E432" s="59"/>
      <c r="F432" s="59" t="s">
        <v>964</v>
      </c>
      <c r="G432" s="151">
        <v>17804352</v>
      </c>
      <c r="H432" s="55" t="s">
        <v>965</v>
      </c>
      <c r="I432" s="55" t="s">
        <v>7881</v>
      </c>
      <c r="J432" s="55" t="s">
        <v>966</v>
      </c>
      <c r="K432" s="55" t="s">
        <v>967</v>
      </c>
      <c r="L432" s="55" t="s">
        <v>5929</v>
      </c>
      <c r="M432" s="55" t="s">
        <v>5946</v>
      </c>
      <c r="N432" s="60" t="s">
        <v>6383</v>
      </c>
      <c r="O432" s="55" t="s">
        <v>5947</v>
      </c>
      <c r="P432" s="67"/>
      <c r="Q432" s="67"/>
      <c r="R432" s="67"/>
      <c r="S432" s="67"/>
      <c r="T432" s="56">
        <v>290.32</v>
      </c>
      <c r="U432" s="103">
        <v>1.3089005235602094E-2</v>
      </c>
      <c r="V432" s="103">
        <v>0.74469550840451915</v>
      </c>
      <c r="W432" s="103">
        <v>0.39810717055349709</v>
      </c>
      <c r="X432" s="103">
        <v>1.3089005235602094E-2</v>
      </c>
      <c r="Y432" s="162">
        <v>7.05</v>
      </c>
      <c r="Z432" s="56">
        <v>2.2400000000000002</v>
      </c>
      <c r="AA432" s="56">
        <v>2.12</v>
      </c>
      <c r="AB432" s="56">
        <v>1.69</v>
      </c>
      <c r="AC432" s="56">
        <v>0.86480000000000001</v>
      </c>
      <c r="AD432" s="56">
        <v>1.8</v>
      </c>
      <c r="AE432" s="56">
        <v>2.12</v>
      </c>
      <c r="AF432" s="56">
        <f t="shared" ref="AF432:AF462" si="155">IF(AA432=0,AD432,AA432)</f>
        <v>2.12</v>
      </c>
      <c r="AG432" s="57">
        <v>1.83</v>
      </c>
      <c r="AH432" s="103">
        <v>1.23E-12</v>
      </c>
      <c r="AI432" s="103">
        <v>4.9300000000000002E-12</v>
      </c>
      <c r="AJ432" s="62">
        <f>LOG10(AH432*1000/(0.08206*298.15))</f>
        <v>-10.298661214873254</v>
      </c>
      <c r="AK432" s="62">
        <f>LOG10(AI432*1000/(0.08206*298.15))</f>
        <v>-9.6957194070354209</v>
      </c>
      <c r="AL432" s="62">
        <f t="shared" ref="AL432:AL462" si="156">IF(AK432=0,AJ432,AK432)</f>
        <v>-9.6957194070354209</v>
      </c>
      <c r="AM432" s="62">
        <v>-20.06701</v>
      </c>
      <c r="AN432" s="154">
        <v>-10.199999999999999</v>
      </c>
      <c r="AO432" s="410">
        <v>11.78</v>
      </c>
      <c r="AP432" s="410">
        <v>3.48</v>
      </c>
      <c r="AQ432" s="154" t="s">
        <v>6311</v>
      </c>
      <c r="AR432" s="154" t="s">
        <v>6312</v>
      </c>
      <c r="AS432" s="149" t="s">
        <v>6</v>
      </c>
      <c r="AT432" s="58" t="s">
        <v>266</v>
      </c>
      <c r="AU432" s="56">
        <v>8</v>
      </c>
      <c r="AV432" s="56">
        <v>144</v>
      </c>
      <c r="AW432" s="56">
        <v>120</v>
      </c>
      <c r="AX432" s="56">
        <v>26</v>
      </c>
      <c r="AY432" s="56" t="s">
        <v>267</v>
      </c>
      <c r="AZ432" s="56" t="s">
        <v>268</v>
      </c>
      <c r="BA432" s="56">
        <v>2</v>
      </c>
      <c r="BB432" s="55" t="s">
        <v>888</v>
      </c>
      <c r="BC432" s="55" t="s">
        <v>270</v>
      </c>
      <c r="BD432" s="55" t="s">
        <v>8374</v>
      </c>
      <c r="BE432" s="56" t="s">
        <v>889</v>
      </c>
      <c r="BF432" s="56" t="s">
        <v>272</v>
      </c>
      <c r="BG432" s="56" t="s">
        <v>272</v>
      </c>
      <c r="BH432" s="56" t="s">
        <v>890</v>
      </c>
      <c r="BI432" s="103">
        <v>9.9999999999999995E-7</v>
      </c>
      <c r="BJ432" s="103">
        <v>0.08</v>
      </c>
      <c r="BK432" s="56"/>
      <c r="BL432" s="103">
        <f t="shared" ref="BL432:BL462" si="157">10^((-0.8981*Z432)+1.7108)</f>
        <v>0.50009901596984063</v>
      </c>
      <c r="BM432" s="56" t="s">
        <v>891</v>
      </c>
      <c r="BN432" s="162"/>
      <c r="BO432" s="162"/>
      <c r="BP432" s="162"/>
      <c r="BQ432" s="162"/>
      <c r="BR432" s="162"/>
      <c r="BS432" s="56">
        <v>1.7204650534085252E-3</v>
      </c>
      <c r="BT432" s="162"/>
      <c r="BU432" s="158"/>
      <c r="BV432" s="162"/>
      <c r="BW432" s="162"/>
      <c r="BX432" s="162"/>
      <c r="BY432" s="162"/>
      <c r="BZ432" s="162"/>
      <c r="CA432" s="162"/>
      <c r="CB432" s="162"/>
      <c r="CC432" s="56"/>
      <c r="CD432" s="56"/>
      <c r="CE432" s="56"/>
      <c r="CF432" s="56"/>
      <c r="CG432" s="56"/>
      <c r="CH432" s="56"/>
      <c r="CI432" s="103">
        <f t="shared" si="137"/>
        <v>1.7204650534085252E-3</v>
      </c>
      <c r="CJ432" s="103">
        <f t="shared" si="138"/>
        <v>-2.7643541444705306</v>
      </c>
      <c r="CK432" s="57">
        <f t="shared" si="154"/>
        <v>6.2512376996230081</v>
      </c>
      <c r="CL432" s="160">
        <f t="shared" si="146"/>
        <v>290.67664872300776</v>
      </c>
      <c r="CM432" s="160">
        <v>-3.0151188228318464</v>
      </c>
      <c r="CN432" s="160">
        <f>BJ432/(10^CM432)</f>
        <v>82.834033599480563</v>
      </c>
      <c r="CO432" s="55" t="s">
        <v>892</v>
      </c>
      <c r="CP432" s="55" t="s">
        <v>893</v>
      </c>
      <c r="CQ432" s="149">
        <v>-2.7220187178733299</v>
      </c>
      <c r="CR432" s="349">
        <f>10^(CJ432-CQ432)</f>
        <v>0.90711964724858152</v>
      </c>
      <c r="CS432" s="61" t="s">
        <v>539</v>
      </c>
      <c r="CT432" s="61"/>
      <c r="CU432" s="111">
        <f t="shared" ref="CU432:CU462" si="158">X432/CI432</f>
        <v>7.6078297607211578</v>
      </c>
      <c r="CV432" s="331">
        <f>X432/BJ432</f>
        <v>0.16361256544502617</v>
      </c>
      <c r="CW432" s="326">
        <f t="shared" si="139"/>
        <v>1</v>
      </c>
      <c r="CX432" s="326" t="s">
        <v>539</v>
      </c>
      <c r="CY432" s="161" t="s">
        <v>5921</v>
      </c>
    </row>
    <row r="433" spans="1:103" ht="11.25" customHeight="1" x14ac:dyDescent="0.2">
      <c r="A433" s="72">
        <v>431</v>
      </c>
      <c r="B433" s="149">
        <v>174</v>
      </c>
      <c r="C433" s="54" t="s">
        <v>901</v>
      </c>
      <c r="D433" s="54" t="s">
        <v>6739</v>
      </c>
      <c r="E433" s="59"/>
      <c r="F433" s="59" t="s">
        <v>902</v>
      </c>
      <c r="G433" s="151">
        <v>136458</v>
      </c>
      <c r="H433" s="55" t="s">
        <v>903</v>
      </c>
      <c r="I433" s="55" t="s">
        <v>903</v>
      </c>
      <c r="J433" s="55" t="s">
        <v>904</v>
      </c>
      <c r="K433" s="55" t="s">
        <v>357</v>
      </c>
      <c r="L433" s="55" t="s">
        <v>5928</v>
      </c>
      <c r="M433" s="55" t="s">
        <v>6082</v>
      </c>
      <c r="N433" s="60" t="s">
        <v>6082</v>
      </c>
      <c r="O433" s="55" t="s">
        <v>6083</v>
      </c>
      <c r="P433" s="67"/>
      <c r="Q433" s="67"/>
      <c r="R433" s="67"/>
      <c r="S433" s="67"/>
      <c r="T433" s="56">
        <v>251.28</v>
      </c>
      <c r="U433" s="103"/>
      <c r="V433" s="103">
        <v>8.277618592804839E-2</v>
      </c>
      <c r="W433" s="103">
        <v>2.4547089156850301</v>
      </c>
      <c r="X433" s="103">
        <f>IF(W433=0,V433,W433)</f>
        <v>2.4547089156850301</v>
      </c>
      <c r="Y433" s="162">
        <v>7</v>
      </c>
      <c r="Z433" s="56">
        <v>2.12</v>
      </c>
      <c r="AA433" s="56">
        <v>3.57</v>
      </c>
      <c r="AB433" s="56">
        <v>2.65</v>
      </c>
      <c r="AC433" s="56">
        <v>0.8266</v>
      </c>
      <c r="AD433" s="56">
        <v>2.77</v>
      </c>
      <c r="AE433" s="56">
        <v>3.09</v>
      </c>
      <c r="AF433" s="56">
        <f t="shared" si="155"/>
        <v>3.57</v>
      </c>
      <c r="AG433" s="57">
        <v>2.34</v>
      </c>
      <c r="AH433" s="103">
        <v>9.0899999999999996E-10</v>
      </c>
      <c r="AI433" s="103"/>
      <c r="AJ433" s="62">
        <f t="shared" ref="AJ433:AJ462" si="159">LOG10(AH433*1000/(0.08206*298.15))</f>
        <v>-7.4300024430906841</v>
      </c>
      <c r="AK433" s="62"/>
      <c r="AL433" s="62">
        <f t="shared" si="156"/>
        <v>-7.4300024430906841</v>
      </c>
      <c r="AM433" s="62">
        <v>-10.431010000000001</v>
      </c>
      <c r="AN433" s="154">
        <v>-7.8</v>
      </c>
      <c r="AO433" s="410"/>
      <c r="AP433" s="410">
        <v>-0.23</v>
      </c>
      <c r="AQ433" s="154" t="s">
        <v>6311</v>
      </c>
      <c r="AR433" s="154" t="s">
        <v>6312</v>
      </c>
      <c r="AS433" s="149" t="s">
        <v>6</v>
      </c>
      <c r="AT433" s="58" t="s">
        <v>266</v>
      </c>
      <c r="AU433" s="56">
        <v>8</v>
      </c>
      <c r="AV433" s="56">
        <v>144</v>
      </c>
      <c r="AW433" s="56">
        <v>120</v>
      </c>
      <c r="AX433" s="56">
        <v>26</v>
      </c>
      <c r="AY433" s="56" t="s">
        <v>267</v>
      </c>
      <c r="AZ433" s="56" t="s">
        <v>268</v>
      </c>
      <c r="BA433" s="56">
        <v>2</v>
      </c>
      <c r="BB433" s="55" t="s">
        <v>888</v>
      </c>
      <c r="BC433" s="55" t="s">
        <v>270</v>
      </c>
      <c r="BD433" s="55" t="s">
        <v>8374</v>
      </c>
      <c r="BE433" s="56" t="s">
        <v>889</v>
      </c>
      <c r="BF433" s="56" t="s">
        <v>272</v>
      </c>
      <c r="BG433" s="56" t="s">
        <v>272</v>
      </c>
      <c r="BH433" s="56" t="s">
        <v>890</v>
      </c>
      <c r="BI433" s="103">
        <v>9.9999999999999995E-7</v>
      </c>
      <c r="BJ433" s="103">
        <v>0.08</v>
      </c>
      <c r="BK433" s="56"/>
      <c r="BL433" s="103">
        <f t="shared" si="157"/>
        <v>0.64095567925246333</v>
      </c>
      <c r="BM433" s="56" t="s">
        <v>891</v>
      </c>
      <c r="BN433" s="162"/>
      <c r="BO433" s="162"/>
      <c r="BP433" s="162"/>
      <c r="BQ433" s="162"/>
      <c r="BR433" s="162"/>
      <c r="BS433" s="56">
        <v>1.7204650534085252E-3</v>
      </c>
      <c r="BT433" s="162"/>
      <c r="BU433" s="158"/>
      <c r="BV433" s="162"/>
      <c r="BW433" s="162"/>
      <c r="BX433" s="162"/>
      <c r="BY433" s="162"/>
      <c r="BZ433" s="162"/>
      <c r="CA433" s="162"/>
      <c r="CB433" s="162"/>
      <c r="CC433" s="56"/>
      <c r="CD433" s="56"/>
      <c r="CE433" s="56"/>
      <c r="CF433" s="56"/>
      <c r="CG433" s="56"/>
      <c r="CH433" s="56"/>
      <c r="CI433" s="103">
        <f t="shared" si="137"/>
        <v>1.7204650534085252E-3</v>
      </c>
      <c r="CJ433" s="103">
        <f t="shared" si="138"/>
        <v>-2.7643541444705306</v>
      </c>
      <c r="CK433" s="57">
        <f t="shared" si="154"/>
        <v>8.0119459906557911</v>
      </c>
      <c r="CL433" s="160">
        <f t="shared" si="146"/>
        <v>372.54792126269831</v>
      </c>
      <c r="CM433" s="160">
        <v>-2.7567052469042608</v>
      </c>
      <c r="CN433" s="160">
        <f>BJ433/(10^CM433)</f>
        <v>45.687272727272749</v>
      </c>
      <c r="CO433" s="55" t="s">
        <v>892</v>
      </c>
      <c r="CP433" s="55" t="s">
        <v>893</v>
      </c>
      <c r="CQ433" s="149">
        <v>-2.5784315851473547</v>
      </c>
      <c r="CR433" s="349">
        <f>10^(CJ433-CQ433)</f>
        <v>0.65174459872225765</v>
      </c>
      <c r="CS433" s="61" t="s">
        <v>539</v>
      </c>
      <c r="CT433" s="61"/>
      <c r="CU433" s="111">
        <f t="shared" si="158"/>
        <v>1426.7705762589287</v>
      </c>
      <c r="CV433" s="331">
        <f>X433/BJ433</f>
        <v>30.683861446062878</v>
      </c>
      <c r="CW433" s="326">
        <f t="shared" si="139"/>
        <v>1</v>
      </c>
      <c r="CX433" s="326" t="s">
        <v>539</v>
      </c>
      <c r="CY433" s="161" t="s">
        <v>5921</v>
      </c>
    </row>
    <row r="434" spans="1:103" ht="11.25" customHeight="1" x14ac:dyDescent="0.2">
      <c r="A434" s="72">
        <v>432</v>
      </c>
      <c r="B434" s="149">
        <v>372</v>
      </c>
      <c r="C434" s="54" t="s">
        <v>1315</v>
      </c>
      <c r="D434" s="54" t="s">
        <v>6726</v>
      </c>
      <c r="E434" s="59"/>
      <c r="F434" s="59" t="s">
        <v>3291</v>
      </c>
      <c r="G434" s="59" t="s">
        <v>3291</v>
      </c>
      <c r="H434" s="55" t="s">
        <v>1317</v>
      </c>
      <c r="I434" s="55" t="s">
        <v>7882</v>
      </c>
      <c r="J434" s="55"/>
      <c r="K434" s="55" t="s">
        <v>1318</v>
      </c>
      <c r="L434" s="55" t="s">
        <v>617</v>
      </c>
      <c r="M434" s="55" t="s">
        <v>917</v>
      </c>
      <c r="N434" s="60" t="s">
        <v>6376</v>
      </c>
      <c r="O434" s="55" t="s">
        <v>918</v>
      </c>
      <c r="P434" s="67"/>
      <c r="Q434" s="67"/>
      <c r="R434" s="67"/>
      <c r="S434" s="67"/>
      <c r="T434" s="56">
        <v>528.69000000000005</v>
      </c>
      <c r="U434" s="103">
        <v>1.6644914789385081E-3</v>
      </c>
      <c r="V434" s="103">
        <v>2.6367058200457732E-5</v>
      </c>
      <c r="W434" s="103">
        <v>2.8183829312644511E-2</v>
      </c>
      <c r="X434" s="103">
        <v>1.6644914789385081E-3</v>
      </c>
      <c r="Y434" s="162">
        <v>7</v>
      </c>
      <c r="Z434" s="56">
        <v>5.21</v>
      </c>
      <c r="AA434" s="56">
        <v>5.3</v>
      </c>
      <c r="AB434" s="56">
        <v>5.1100000000000003</v>
      </c>
      <c r="AC434" s="56">
        <v>0.64639999999999997</v>
      </c>
      <c r="AD434" s="56">
        <v>5.39</v>
      </c>
      <c r="AE434" s="56">
        <v>5.85</v>
      </c>
      <c r="AF434" s="56">
        <f t="shared" si="155"/>
        <v>5.3</v>
      </c>
      <c r="AG434" s="57">
        <v>5.39</v>
      </c>
      <c r="AH434" s="103">
        <v>3.7799999999999999E-15</v>
      </c>
      <c r="AI434" s="103"/>
      <c r="AJ434" s="62">
        <f t="shared" si="159"/>
        <v>-12.811074526475426</v>
      </c>
      <c r="AK434" s="62"/>
      <c r="AL434" s="62">
        <f t="shared" si="156"/>
        <v>-12.811074526475426</v>
      </c>
      <c r="AM434" s="62">
        <v>-22.732559999999999</v>
      </c>
      <c r="AN434" s="154"/>
      <c r="AO434" s="410">
        <v>12.46</v>
      </c>
      <c r="AP434" s="410"/>
      <c r="AQ434" s="154" t="s">
        <v>6311</v>
      </c>
      <c r="AR434" s="154" t="s">
        <v>6311</v>
      </c>
      <c r="AS434" s="149" t="s">
        <v>6</v>
      </c>
      <c r="AT434" s="58" t="s">
        <v>266</v>
      </c>
      <c r="AU434" s="56">
        <v>8</v>
      </c>
      <c r="AV434" s="56">
        <v>144</v>
      </c>
      <c r="AW434" s="56">
        <v>120</v>
      </c>
      <c r="AX434" s="56">
        <v>26</v>
      </c>
      <c r="AY434" s="56" t="s">
        <v>267</v>
      </c>
      <c r="AZ434" s="56" t="s">
        <v>268</v>
      </c>
      <c r="BA434" s="56">
        <v>2</v>
      </c>
      <c r="BB434" s="55" t="s">
        <v>888</v>
      </c>
      <c r="BC434" s="55" t="s">
        <v>270</v>
      </c>
      <c r="BD434" s="55" t="s">
        <v>8374</v>
      </c>
      <c r="BE434" s="56" t="s">
        <v>889</v>
      </c>
      <c r="BF434" s="56" t="s">
        <v>272</v>
      </c>
      <c r="BG434" s="56" t="s">
        <v>272</v>
      </c>
      <c r="BH434" s="56" t="s">
        <v>890</v>
      </c>
      <c r="BI434" s="103">
        <v>9.9999999999999995E-7</v>
      </c>
      <c r="BJ434" s="103">
        <v>0.08</v>
      </c>
      <c r="BK434" s="56"/>
      <c r="BL434" s="103">
        <f t="shared" si="157"/>
        <v>1.0757193976350967E-3</v>
      </c>
      <c r="BM434" s="56" t="s">
        <v>891</v>
      </c>
      <c r="BN434" s="162"/>
      <c r="BO434" s="162"/>
      <c r="BP434" s="162"/>
      <c r="BQ434" s="162"/>
      <c r="BR434" s="162"/>
      <c r="BS434" s="56">
        <v>1.7204650534085252E-3</v>
      </c>
      <c r="BT434" s="162"/>
      <c r="BU434" s="158"/>
      <c r="BV434" s="162"/>
      <c r="BW434" s="162"/>
      <c r="BX434" s="162"/>
      <c r="BY434" s="162"/>
      <c r="BZ434" s="162"/>
      <c r="CA434" s="162"/>
      <c r="CB434" s="162"/>
      <c r="CC434" s="56"/>
      <c r="CD434" s="56"/>
      <c r="CE434" s="56"/>
      <c r="CF434" s="56"/>
      <c r="CG434" s="56"/>
      <c r="CH434" s="56"/>
      <c r="CI434" s="103">
        <f t="shared" si="137"/>
        <v>1.7204650534085252E-3</v>
      </c>
      <c r="CJ434" s="103">
        <f t="shared" si="138"/>
        <v>-2.7643541444705306</v>
      </c>
      <c r="CK434" s="57">
        <f t="shared" si="154"/>
        <v>1.3446492470438708E-2</v>
      </c>
      <c r="CL434" s="160">
        <f t="shared" si="146"/>
        <v>0.62524919963001802</v>
      </c>
      <c r="CM434" s="160">
        <v>-4.2760430646012102</v>
      </c>
      <c r="CN434" s="160">
        <f>BJ434/(10^CM434)</f>
        <v>1510.542857142859</v>
      </c>
      <c r="CO434" s="55" t="s">
        <v>892</v>
      </c>
      <c r="CP434" s="55" t="s">
        <v>893</v>
      </c>
      <c r="CQ434" s="149" t="s">
        <v>272</v>
      </c>
      <c r="CR434" s="349"/>
      <c r="CS434" s="61" t="s">
        <v>539</v>
      </c>
      <c r="CT434" s="61"/>
      <c r="CU434" s="111">
        <f t="shared" si="158"/>
        <v>0.96746602067904597</v>
      </c>
      <c r="CV434" s="331">
        <f>X434/BJ434</f>
        <v>2.0806143486731352E-2</v>
      </c>
      <c r="CW434" s="326">
        <f t="shared" si="139"/>
        <v>0</v>
      </c>
      <c r="CX434" s="326" t="s">
        <v>539</v>
      </c>
      <c r="CY434" s="161" t="s">
        <v>5921</v>
      </c>
    </row>
    <row r="435" spans="1:103" ht="11.25" customHeight="1" x14ac:dyDescent="0.2">
      <c r="A435" s="72">
        <v>433</v>
      </c>
      <c r="B435" s="149">
        <v>474</v>
      </c>
      <c r="C435" s="54" t="s">
        <v>1543</v>
      </c>
      <c r="D435" s="54" t="s">
        <v>6740</v>
      </c>
      <c r="E435" s="59"/>
      <c r="F435" s="59" t="s">
        <v>1544</v>
      </c>
      <c r="G435" s="151">
        <v>68694111</v>
      </c>
      <c r="H435" s="55" t="s">
        <v>1545</v>
      </c>
      <c r="I435" s="55" t="s">
        <v>7883</v>
      </c>
      <c r="J435" s="55" t="s">
        <v>1546</v>
      </c>
      <c r="K435" s="55" t="s">
        <v>1064</v>
      </c>
      <c r="L435" s="55" t="s">
        <v>6093</v>
      </c>
      <c r="M435" s="55" t="s">
        <v>6082</v>
      </c>
      <c r="N435" s="60" t="s">
        <v>6082</v>
      </c>
      <c r="O435" s="55" t="s">
        <v>6083</v>
      </c>
      <c r="P435" s="67"/>
      <c r="Q435" s="67"/>
      <c r="R435" s="67"/>
      <c r="S435" s="67"/>
      <c r="T435" s="56">
        <v>345.75</v>
      </c>
      <c r="U435" s="103">
        <v>36.153289949385396</v>
      </c>
      <c r="V435" s="103">
        <v>1.2115690527838032</v>
      </c>
      <c r="W435" s="103">
        <v>3.0199517204020148E-3</v>
      </c>
      <c r="X435" s="103">
        <v>36.153289949385396</v>
      </c>
      <c r="Y435" s="162">
        <v>7</v>
      </c>
      <c r="Z435" s="56">
        <v>1.5</v>
      </c>
      <c r="AA435" s="56">
        <v>1.4</v>
      </c>
      <c r="AB435" s="56">
        <v>4.49</v>
      </c>
      <c r="AC435" s="56">
        <v>0.85199999999999998</v>
      </c>
      <c r="AD435" s="56">
        <v>4.53</v>
      </c>
      <c r="AE435" s="56">
        <v>4.66</v>
      </c>
      <c r="AF435" s="56">
        <f t="shared" si="155"/>
        <v>1.4</v>
      </c>
      <c r="AG435" s="57">
        <v>3.87</v>
      </c>
      <c r="AH435" s="103">
        <v>2.34E-7</v>
      </c>
      <c r="AI435" s="103">
        <v>5.13E-11</v>
      </c>
      <c r="AJ435" s="62">
        <f t="shared" si="159"/>
        <v>-5.019350468902509</v>
      </c>
      <c r="AK435" s="62">
        <f>LOG10(AI435*1000/(0.08206*298.15))</f>
        <v>-8.6784489612008358</v>
      </c>
      <c r="AL435" s="62">
        <f t="shared" si="156"/>
        <v>-8.6784489612008358</v>
      </c>
      <c r="AM435" s="62">
        <v>-9.3395799999999998</v>
      </c>
      <c r="AN435" s="154">
        <v>-8.7899999999999991</v>
      </c>
      <c r="AO435" s="410"/>
      <c r="AP435" s="410">
        <v>3.21</v>
      </c>
      <c r="AQ435" s="154" t="s">
        <v>6311</v>
      </c>
      <c r="AR435" s="154" t="s">
        <v>6311</v>
      </c>
      <c r="AS435" s="149" t="s">
        <v>6</v>
      </c>
      <c r="AT435" s="58" t="s">
        <v>266</v>
      </c>
      <c r="AU435" s="56">
        <v>8</v>
      </c>
      <c r="AV435" s="56">
        <v>144</v>
      </c>
      <c r="AW435" s="56">
        <v>120</v>
      </c>
      <c r="AX435" s="56">
        <v>26</v>
      </c>
      <c r="AY435" s="56" t="s">
        <v>267</v>
      </c>
      <c r="AZ435" s="56" t="s">
        <v>268</v>
      </c>
      <c r="BA435" s="56">
        <v>3</v>
      </c>
      <c r="BB435" s="55" t="s">
        <v>888</v>
      </c>
      <c r="BC435" s="55" t="s">
        <v>270</v>
      </c>
      <c r="BD435" s="55" t="s">
        <v>8374</v>
      </c>
      <c r="BE435" s="56" t="s">
        <v>889</v>
      </c>
      <c r="BF435" s="56" t="s">
        <v>272</v>
      </c>
      <c r="BG435" s="56" t="s">
        <v>272</v>
      </c>
      <c r="BH435" s="56" t="s">
        <v>890</v>
      </c>
      <c r="BI435" s="103">
        <v>9.9999999999999995E-7</v>
      </c>
      <c r="BJ435" s="103">
        <v>0.08</v>
      </c>
      <c r="BK435" s="56"/>
      <c r="BL435" s="103">
        <f t="shared" si="157"/>
        <v>2.3102022367248067</v>
      </c>
      <c r="BM435" s="56" t="s">
        <v>891</v>
      </c>
      <c r="BN435" s="162"/>
      <c r="BO435" s="162"/>
      <c r="BP435" s="162"/>
      <c r="BQ435" s="162"/>
      <c r="BR435" s="162"/>
      <c r="BS435" s="56">
        <v>1.7099999999999999E-3</v>
      </c>
      <c r="BT435" s="162"/>
      <c r="BU435" s="158"/>
      <c r="BV435" s="162"/>
      <c r="BW435" s="162"/>
      <c r="BX435" s="162"/>
      <c r="BY435" s="162"/>
      <c r="BZ435" s="162"/>
      <c r="CA435" s="162"/>
      <c r="CB435" s="162"/>
      <c r="CC435" s="56"/>
      <c r="CD435" s="56"/>
      <c r="CE435" s="56"/>
      <c r="CF435" s="56"/>
      <c r="CG435" s="56"/>
      <c r="CH435" s="56"/>
      <c r="CI435" s="103">
        <f t="shared" si="137"/>
        <v>1.7099999999999999E-3</v>
      </c>
      <c r="CJ435" s="103">
        <f t="shared" si="138"/>
        <v>-2.7670038896078464</v>
      </c>
      <c r="CK435" s="57">
        <f t="shared" si="154"/>
        <v>28.877527959060085</v>
      </c>
      <c r="CL435" s="160">
        <f t="shared" si="146"/>
        <v>1350.9954600729864</v>
      </c>
      <c r="CM435" s="160">
        <v>-2.7753341952184107</v>
      </c>
      <c r="CN435" s="160">
        <f>BJ435/(10^CM435)</f>
        <v>47.689655172413794</v>
      </c>
      <c r="CO435" s="55" t="s">
        <v>892</v>
      </c>
      <c r="CP435" s="55" t="s">
        <v>893</v>
      </c>
      <c r="CQ435" s="149">
        <v>-2.6974786964526318</v>
      </c>
      <c r="CR435" s="349">
        <f>10^(CJ435-CQ435)</f>
        <v>0.85206908194329389</v>
      </c>
      <c r="CS435" s="61" t="s">
        <v>539</v>
      </c>
      <c r="CT435" s="61"/>
      <c r="CU435" s="111">
        <f t="shared" si="158"/>
        <v>21142.274824201988</v>
      </c>
      <c r="CV435" s="331">
        <f>X435/BJ435</f>
        <v>451.91612436731742</v>
      </c>
      <c r="CW435" s="326">
        <f t="shared" si="139"/>
        <v>1</v>
      </c>
      <c r="CX435" s="326" t="s">
        <v>539</v>
      </c>
      <c r="CY435" s="161" t="s">
        <v>5921</v>
      </c>
    </row>
    <row r="436" spans="1:103" ht="11.25" customHeight="1" x14ac:dyDescent="0.2">
      <c r="A436" s="72">
        <v>434</v>
      </c>
      <c r="B436" s="149">
        <v>436</v>
      </c>
      <c r="C436" s="54" t="s">
        <v>1449</v>
      </c>
      <c r="D436" s="54" t="s">
        <v>6741</v>
      </c>
      <c r="E436" s="59"/>
      <c r="F436" s="59" t="s">
        <v>1450</v>
      </c>
      <c r="G436" s="151">
        <v>28434006</v>
      </c>
      <c r="H436" s="55" t="s">
        <v>1451</v>
      </c>
      <c r="I436" s="55" t="s">
        <v>1451</v>
      </c>
      <c r="J436" s="55" t="s">
        <v>1452</v>
      </c>
      <c r="K436" s="55" t="s">
        <v>1085</v>
      </c>
      <c r="L436" s="55" t="s">
        <v>617</v>
      </c>
      <c r="M436" s="55" t="s">
        <v>1086</v>
      </c>
      <c r="N436" s="60" t="s">
        <v>6376</v>
      </c>
      <c r="O436" s="55" t="s">
        <v>918</v>
      </c>
      <c r="P436" s="67"/>
      <c r="Q436" s="67"/>
      <c r="R436" s="67"/>
      <c r="S436" s="67"/>
      <c r="T436" s="56">
        <v>302.41000000000003</v>
      </c>
      <c r="U436" s="103">
        <v>1.5211137197843984E-2</v>
      </c>
      <c r="V436" s="103">
        <v>3.2531992989649813E-3</v>
      </c>
      <c r="W436" s="103">
        <v>5.0118723362727241E-2</v>
      </c>
      <c r="X436" s="103">
        <v>1.5211137197843984E-2</v>
      </c>
      <c r="Y436" s="162">
        <v>7</v>
      </c>
      <c r="Z436" s="56">
        <v>5.52</v>
      </c>
      <c r="AA436" s="56">
        <v>4.78</v>
      </c>
      <c r="AB436" s="56">
        <v>5.0999999999999996</v>
      </c>
      <c r="AC436" s="56">
        <v>0.78859999999999997</v>
      </c>
      <c r="AD436" s="56">
        <v>5.05</v>
      </c>
      <c r="AE436" s="56">
        <v>4.92</v>
      </c>
      <c r="AF436" s="56">
        <f t="shared" si="155"/>
        <v>4.78</v>
      </c>
      <c r="AG436" s="57">
        <v>3.54</v>
      </c>
      <c r="AH436" s="103">
        <v>6.1200000000000003E-7</v>
      </c>
      <c r="AI436" s="103">
        <v>1.04E-7</v>
      </c>
      <c r="AJ436" s="62">
        <f t="shared" si="159"/>
        <v>-4.6018149041670906</v>
      </c>
      <c r="AK436" s="62">
        <f>LOG10(AI436*1000/(0.08206*298.15))</f>
        <v>-5.3715329870138717</v>
      </c>
      <c r="AL436" s="62">
        <f t="shared" si="156"/>
        <v>-5.3715329870138717</v>
      </c>
      <c r="AM436" s="62">
        <v>-10.080069999999999</v>
      </c>
      <c r="AN436" s="154">
        <v>-6.91</v>
      </c>
      <c r="AO436" s="410"/>
      <c r="AP436" s="410"/>
      <c r="AQ436" s="154" t="s">
        <v>6311</v>
      </c>
      <c r="AR436" s="154" t="s">
        <v>6312</v>
      </c>
      <c r="AS436" s="149" t="s">
        <v>6</v>
      </c>
      <c r="AT436" s="58" t="s">
        <v>266</v>
      </c>
      <c r="AU436" s="56">
        <v>8</v>
      </c>
      <c r="AV436" s="56">
        <v>144</v>
      </c>
      <c r="AW436" s="56">
        <v>120</v>
      </c>
      <c r="AX436" s="56">
        <v>26</v>
      </c>
      <c r="AY436" s="56" t="s">
        <v>267</v>
      </c>
      <c r="AZ436" s="56" t="s">
        <v>268</v>
      </c>
      <c r="BA436" s="56">
        <v>2</v>
      </c>
      <c r="BB436" s="55" t="s">
        <v>888</v>
      </c>
      <c r="BC436" s="55" t="s">
        <v>270</v>
      </c>
      <c r="BD436" s="55" t="s">
        <v>8374</v>
      </c>
      <c r="BE436" s="56" t="s">
        <v>889</v>
      </c>
      <c r="BF436" s="56" t="s">
        <v>272</v>
      </c>
      <c r="BG436" s="56" t="s">
        <v>272</v>
      </c>
      <c r="BH436" s="56" t="s">
        <v>890</v>
      </c>
      <c r="BI436" s="103">
        <v>9.9999999999999995E-7</v>
      </c>
      <c r="BJ436" s="103">
        <v>0.08</v>
      </c>
      <c r="BK436" s="56"/>
      <c r="BL436" s="103">
        <f t="shared" si="157"/>
        <v>5.6661491204470463E-4</v>
      </c>
      <c r="BM436" s="56" t="s">
        <v>891</v>
      </c>
      <c r="BN436" s="162"/>
      <c r="BO436" s="162"/>
      <c r="BP436" s="162"/>
      <c r="BQ436" s="162"/>
      <c r="BR436" s="162"/>
      <c r="BS436" s="56">
        <v>1.702996140763473E-3</v>
      </c>
      <c r="BT436" s="162"/>
      <c r="BU436" s="158"/>
      <c r="BV436" s="162"/>
      <c r="BW436" s="162"/>
      <c r="BX436" s="162"/>
      <c r="BY436" s="162"/>
      <c r="BZ436" s="162"/>
      <c r="CA436" s="162"/>
      <c r="CB436" s="162"/>
      <c r="CC436" s="56"/>
      <c r="CD436" s="56"/>
      <c r="CE436" s="56"/>
      <c r="CF436" s="56"/>
      <c r="CG436" s="56"/>
      <c r="CH436" s="56"/>
      <c r="CI436" s="103">
        <f t="shared" si="137"/>
        <v>1.702996140763473E-3</v>
      </c>
      <c r="CJ436" s="103">
        <f t="shared" si="138"/>
        <v>-2.7687863362106384</v>
      </c>
      <c r="CK436" s="57">
        <f t="shared" si="154"/>
        <v>7.0826864005588078E-3</v>
      </c>
      <c r="CL436" s="160">
        <f t="shared" si="146"/>
        <v>0.33271649798964581</v>
      </c>
      <c r="CM436" s="160">
        <v>-3.9632890425251839</v>
      </c>
      <c r="CN436" s="160">
        <f>BJ436/(10^CM436)</f>
        <v>735.15519327468633</v>
      </c>
      <c r="CO436" s="55" t="s">
        <v>892</v>
      </c>
      <c r="CP436" s="55" t="s">
        <v>893</v>
      </c>
      <c r="CQ436" s="149">
        <v>-3.8786102360566619</v>
      </c>
      <c r="CR436" s="349">
        <f>10^(CJ436-CQ436)</f>
        <v>12.877272909561029</v>
      </c>
      <c r="CS436" s="61" t="s">
        <v>539</v>
      </c>
      <c r="CT436" s="61"/>
      <c r="CU436" s="111">
        <f t="shared" si="158"/>
        <v>8.9319857125598965</v>
      </c>
      <c r="CV436" s="331">
        <f>X436/BJ436</f>
        <v>0.19013921497304978</v>
      </c>
      <c r="CW436" s="326">
        <f t="shared" si="139"/>
        <v>1</v>
      </c>
      <c r="CX436" s="326" t="s">
        <v>539</v>
      </c>
      <c r="CY436" s="161" t="s">
        <v>5921</v>
      </c>
    </row>
    <row r="437" spans="1:103" ht="11.25" customHeight="1" x14ac:dyDescent="0.2">
      <c r="A437" s="72">
        <v>435</v>
      </c>
      <c r="B437" s="149">
        <v>598</v>
      </c>
      <c r="C437" s="54" t="s">
        <v>6742</v>
      </c>
      <c r="D437" s="54" t="s">
        <v>6743</v>
      </c>
      <c r="E437" s="59"/>
      <c r="F437" s="59" t="s">
        <v>1793</v>
      </c>
      <c r="G437" s="151">
        <v>24938918</v>
      </c>
      <c r="H437" s="55" t="s">
        <v>1794</v>
      </c>
      <c r="I437" s="55" t="s">
        <v>1794</v>
      </c>
      <c r="J437" s="55"/>
      <c r="K437" s="55" t="s">
        <v>426</v>
      </c>
      <c r="L437" s="55" t="s">
        <v>5527</v>
      </c>
      <c r="M437" s="55" t="s">
        <v>6616</v>
      </c>
      <c r="N437" s="60" t="s">
        <v>6082</v>
      </c>
      <c r="O437" s="55"/>
      <c r="P437" s="67" t="s">
        <v>6183</v>
      </c>
      <c r="Q437" s="67" t="s">
        <v>6182</v>
      </c>
      <c r="R437" s="67" t="s">
        <v>6185</v>
      </c>
      <c r="S437" s="67" t="s">
        <v>6182</v>
      </c>
      <c r="T437" s="56">
        <v>552</v>
      </c>
      <c r="U437" s="103"/>
      <c r="V437" s="103">
        <v>6.3768115942028983E-3</v>
      </c>
      <c r="W437" s="103">
        <v>2.6915348039269147</v>
      </c>
      <c r="X437" s="103">
        <f>IF(W437=0,V437,W437)</f>
        <v>2.6915348039269147</v>
      </c>
      <c r="Y437" s="162">
        <v>7</v>
      </c>
      <c r="Z437" s="56">
        <v>3.89</v>
      </c>
      <c r="AA437" s="56"/>
      <c r="AB437" s="56">
        <v>5.33</v>
      </c>
      <c r="AC437" s="56">
        <v>0.47760000000000002</v>
      </c>
      <c r="AD437" s="56">
        <v>4.7</v>
      </c>
      <c r="AE437" s="56">
        <v>4.1500000000000004</v>
      </c>
      <c r="AF437" s="56">
        <f t="shared" si="155"/>
        <v>4.7</v>
      </c>
      <c r="AG437" s="57">
        <v>4.7</v>
      </c>
      <c r="AH437" s="103">
        <v>7.3099999999999999E-14</v>
      </c>
      <c r="AI437" s="103"/>
      <c r="AJ437" s="62">
        <f t="shared" si="159"/>
        <v>-11.524648949354791</v>
      </c>
      <c r="AK437" s="62"/>
      <c r="AL437" s="62">
        <f t="shared" si="156"/>
        <v>-11.524648949354791</v>
      </c>
      <c r="AM437" s="62">
        <v>-13.72733</v>
      </c>
      <c r="AN437" s="154"/>
      <c r="AO437" s="410">
        <v>14.36</v>
      </c>
      <c r="AP437" s="410"/>
      <c r="AQ437" s="154" t="s">
        <v>6311</v>
      </c>
      <c r="AR437" s="154" t="s">
        <v>6311</v>
      </c>
      <c r="AS437" s="149" t="s">
        <v>63</v>
      </c>
      <c r="AT437" s="58" t="s">
        <v>266</v>
      </c>
      <c r="AU437" s="56">
        <v>2</v>
      </c>
      <c r="AV437" s="56">
        <v>96</v>
      </c>
      <c r="AW437" s="56">
        <v>96</v>
      </c>
      <c r="AX437" s="56" t="s">
        <v>6240</v>
      </c>
      <c r="AY437" s="56" t="s">
        <v>1584</v>
      </c>
      <c r="AZ437" s="61" t="s">
        <v>1584</v>
      </c>
      <c r="BA437" s="56" t="s">
        <v>8722</v>
      </c>
      <c r="BB437" s="55" t="s">
        <v>8722</v>
      </c>
      <c r="BC437" s="55" t="s">
        <v>8722</v>
      </c>
      <c r="BD437" s="55"/>
      <c r="BE437" s="56" t="s">
        <v>8722</v>
      </c>
      <c r="BF437" s="56" t="s">
        <v>8722</v>
      </c>
      <c r="BG437" s="56" t="s">
        <v>8722</v>
      </c>
      <c r="BH437" s="56" t="s">
        <v>8722</v>
      </c>
      <c r="BI437" s="103" t="s">
        <v>8722</v>
      </c>
      <c r="BJ437" s="103" t="s">
        <v>8722</v>
      </c>
      <c r="BK437" s="56"/>
      <c r="BL437" s="103">
        <f t="shared" si="157"/>
        <v>1.648887402464792E-2</v>
      </c>
      <c r="BM437" s="55" t="s">
        <v>1640</v>
      </c>
      <c r="BN437" s="56"/>
      <c r="BO437" s="56">
        <v>3.6231884057971015E-3</v>
      </c>
      <c r="BP437" s="56"/>
      <c r="BQ437" s="56">
        <v>1.5760869565217392E-3</v>
      </c>
      <c r="BR437" s="56"/>
      <c r="BS437" s="56"/>
      <c r="BT437" s="56"/>
      <c r="BU437" s="158"/>
      <c r="BV437" s="56"/>
      <c r="BW437" s="56"/>
      <c r="BX437" s="56"/>
      <c r="BY437" s="56"/>
      <c r="BZ437" s="56"/>
      <c r="CA437" s="56"/>
      <c r="CB437" s="56"/>
      <c r="CC437" s="56"/>
      <c r="CD437" s="56"/>
      <c r="CE437" s="56"/>
      <c r="CF437" s="56"/>
      <c r="CG437" s="56"/>
      <c r="CH437" s="56"/>
      <c r="CI437" s="103">
        <f t="shared" si="137"/>
        <v>1.5760869565217392E-3</v>
      </c>
      <c r="CJ437" s="103">
        <f t="shared" si="138"/>
        <v>-2.8024198251105803</v>
      </c>
      <c r="CK437" s="57" t="s">
        <v>404</v>
      </c>
      <c r="CL437" s="160">
        <f t="shared" si="146"/>
        <v>10.461906277707646</v>
      </c>
      <c r="CM437" s="160"/>
      <c r="CN437" s="160"/>
      <c r="CO437" s="55" t="s">
        <v>1641</v>
      </c>
      <c r="CP437" s="55" t="s">
        <v>1688</v>
      </c>
      <c r="CQ437" s="149">
        <v>-2.5323744238582111</v>
      </c>
      <c r="CR437" s="349">
        <f>10^(CJ437-CQ437)</f>
        <v>0.53697565786807999</v>
      </c>
      <c r="CS437" s="61" t="s">
        <v>539</v>
      </c>
      <c r="CT437" s="61"/>
      <c r="CU437" s="111">
        <f t="shared" si="158"/>
        <v>1707.7324273191459</v>
      </c>
      <c r="CV437" s="331"/>
      <c r="CW437" s="326">
        <f t="shared" si="139"/>
        <v>1</v>
      </c>
      <c r="CX437" s="326"/>
      <c r="CY437" s="161" t="s">
        <v>5921</v>
      </c>
    </row>
    <row r="438" spans="1:103" ht="11.25" customHeight="1" x14ac:dyDescent="0.2">
      <c r="A438" s="72">
        <v>436</v>
      </c>
      <c r="B438" s="149">
        <v>100</v>
      </c>
      <c r="C438" s="54" t="s">
        <v>6744</v>
      </c>
      <c r="D438" s="54" t="s">
        <v>8357</v>
      </c>
      <c r="E438" s="59"/>
      <c r="F438" s="59" t="s">
        <v>665</v>
      </c>
      <c r="G438" s="151">
        <v>66819</v>
      </c>
      <c r="H438" s="55" t="s">
        <v>666</v>
      </c>
      <c r="I438" s="55" t="s">
        <v>666</v>
      </c>
      <c r="J438" s="55" t="s">
        <v>667</v>
      </c>
      <c r="K438" s="55" t="s">
        <v>668</v>
      </c>
      <c r="L438" s="55"/>
      <c r="M438" s="55"/>
      <c r="N438" s="60"/>
      <c r="O438" s="55"/>
      <c r="P438" s="67"/>
      <c r="Q438" s="67"/>
      <c r="R438" s="67"/>
      <c r="S438" s="67"/>
      <c r="T438" s="56">
        <v>281.35000000000002</v>
      </c>
      <c r="U438" s="103">
        <v>74.640127954505061</v>
      </c>
      <c r="V438" s="103">
        <v>18.969255375866357</v>
      </c>
      <c r="W438" s="103">
        <v>29.512092266663846</v>
      </c>
      <c r="X438" s="103">
        <v>74.640127954505061</v>
      </c>
      <c r="Y438" s="162">
        <v>6.54</v>
      </c>
      <c r="Z438" s="56">
        <v>0.08</v>
      </c>
      <c r="AA438" s="56">
        <v>0.55000000000000004</v>
      </c>
      <c r="AB438" s="56">
        <v>0.96</v>
      </c>
      <c r="AC438" s="56">
        <v>0.76439999999999997</v>
      </c>
      <c r="AD438" s="56">
        <v>0.83</v>
      </c>
      <c r="AE438" s="56">
        <v>0.56000000000000005</v>
      </c>
      <c r="AF438" s="56">
        <f t="shared" si="155"/>
        <v>0.55000000000000004</v>
      </c>
      <c r="AG438" s="57">
        <v>0.8</v>
      </c>
      <c r="AH438" s="103">
        <v>3.52E-15</v>
      </c>
      <c r="AI438" s="103"/>
      <c r="AJ438" s="62">
        <f t="shared" si="159"/>
        <v>-12.842023662834521</v>
      </c>
      <c r="AK438" s="62"/>
      <c r="AL438" s="62">
        <f t="shared" si="156"/>
        <v>-12.842023662834521</v>
      </c>
      <c r="AM438" s="62">
        <v>-17.743000000000002</v>
      </c>
      <c r="AN438" s="154">
        <v>-11.6</v>
      </c>
      <c r="AO438" s="410">
        <v>11.61</v>
      </c>
      <c r="AP438" s="410">
        <v>-4.79</v>
      </c>
      <c r="AQ438" s="154" t="s">
        <v>6311</v>
      </c>
      <c r="AR438" s="154" t="s">
        <v>6311</v>
      </c>
      <c r="AS438" s="149" t="s">
        <v>6</v>
      </c>
      <c r="AT438" s="58" t="s">
        <v>266</v>
      </c>
      <c r="AU438" s="56">
        <v>0</v>
      </c>
      <c r="AV438" s="56" t="s">
        <v>646</v>
      </c>
      <c r="AW438" s="56" t="s">
        <v>646</v>
      </c>
      <c r="AX438" s="56">
        <v>26</v>
      </c>
      <c r="AY438" s="56" t="s">
        <v>647</v>
      </c>
      <c r="AZ438" s="56" t="s">
        <v>536</v>
      </c>
      <c r="BA438" s="56">
        <v>20</v>
      </c>
      <c r="BB438" s="55" t="s">
        <v>537</v>
      </c>
      <c r="BC438" s="55" t="s">
        <v>648</v>
      </c>
      <c r="BD438" s="55"/>
      <c r="BE438" s="155" t="s">
        <v>649</v>
      </c>
      <c r="BF438" s="155" t="s">
        <v>650</v>
      </c>
      <c r="BG438" s="155" t="s">
        <v>540</v>
      </c>
      <c r="BH438" s="155" t="s">
        <v>272</v>
      </c>
      <c r="BI438" s="103">
        <v>1.8E-3</v>
      </c>
      <c r="BJ438" s="103">
        <v>2.8400000000000002E-2</v>
      </c>
      <c r="BK438" s="56"/>
      <c r="BL438" s="103">
        <f t="shared" si="157"/>
        <v>43.546374179437244</v>
      </c>
      <c r="BM438" s="56" t="s">
        <v>541</v>
      </c>
      <c r="BN438" s="56"/>
      <c r="BO438" s="56">
        <v>5.1999999999999998E-3</v>
      </c>
      <c r="BP438" s="56"/>
      <c r="BQ438" s="56"/>
      <c r="BR438" s="56">
        <v>4.5992535987204501E-3</v>
      </c>
      <c r="BS438" s="56"/>
      <c r="BT438" s="56"/>
      <c r="BU438" s="158"/>
      <c r="BV438" s="56"/>
      <c r="BW438" s="56"/>
      <c r="BX438" s="56"/>
      <c r="BY438" s="56"/>
      <c r="BZ438" s="56"/>
      <c r="CA438" s="56"/>
      <c r="CB438" s="56"/>
      <c r="CC438" s="56"/>
      <c r="CD438" s="56"/>
      <c r="CE438" s="56"/>
      <c r="CF438" s="56"/>
      <c r="CG438" s="56"/>
      <c r="CH438" s="56"/>
      <c r="CI438" s="103">
        <f t="shared" si="137"/>
        <v>4.5992535987204501E-3</v>
      </c>
      <c r="CJ438" s="103">
        <f t="shared" si="138"/>
        <v>-2.3373126431573303</v>
      </c>
      <c r="CK438" s="57">
        <f t="shared" ref="CK438:CK454" si="160">BL438/BJ438</f>
        <v>1533.3230344872268</v>
      </c>
      <c r="CL438" s="160">
        <f t="shared" si="146"/>
        <v>9468.1393936512213</v>
      </c>
      <c r="CM438" s="160"/>
      <c r="CN438" s="160"/>
      <c r="CO438" s="55"/>
      <c r="CP438" s="55" t="s">
        <v>651</v>
      </c>
      <c r="CQ438" s="149" t="s">
        <v>272</v>
      </c>
      <c r="CR438" s="349"/>
      <c r="CS438" s="61" t="s">
        <v>539</v>
      </c>
      <c r="CT438" s="61"/>
      <c r="CU438" s="111">
        <f t="shared" si="158"/>
        <v>16228.748068006198</v>
      </c>
      <c r="CV438" s="331">
        <f t="shared" ref="CV438:CV454" si="161">X438/BJ438</f>
        <v>2628.1735195248261</v>
      </c>
      <c r="CW438" s="326">
        <f t="shared" si="139"/>
        <v>1</v>
      </c>
      <c r="CX438" s="326"/>
      <c r="CY438" s="161" t="s">
        <v>5921</v>
      </c>
    </row>
    <row r="439" spans="1:103" ht="11.25" customHeight="1" x14ac:dyDescent="0.2">
      <c r="A439" s="72">
        <v>437</v>
      </c>
      <c r="B439" s="149">
        <v>101</v>
      </c>
      <c r="C439" s="54" t="s">
        <v>6745</v>
      </c>
      <c r="D439" s="54"/>
      <c r="E439" s="59"/>
      <c r="F439" s="59" t="s">
        <v>669</v>
      </c>
      <c r="G439" s="151">
        <v>477305</v>
      </c>
      <c r="H439" s="55" t="s">
        <v>670</v>
      </c>
      <c r="I439" s="55" t="s">
        <v>670</v>
      </c>
      <c r="J439" s="55" t="s">
        <v>671</v>
      </c>
      <c r="K439" s="55" t="s">
        <v>672</v>
      </c>
      <c r="L439" s="55"/>
      <c r="M439" s="55"/>
      <c r="N439" s="60"/>
      <c r="O439" s="55"/>
      <c r="P439" s="67"/>
      <c r="Q439" s="67"/>
      <c r="R439" s="67"/>
      <c r="S439" s="67"/>
      <c r="T439" s="56">
        <v>371.43</v>
      </c>
      <c r="U439" s="103"/>
      <c r="V439" s="103">
        <v>8.510351883261988</v>
      </c>
      <c r="W439" s="103">
        <v>1.3803842646028843</v>
      </c>
      <c r="X439" s="103">
        <f>IF(W439=0,V439,W439)</f>
        <v>1.3803842646028843</v>
      </c>
      <c r="Y439" s="162">
        <v>9.8000000000000007</v>
      </c>
      <c r="Z439" s="56">
        <v>2.38</v>
      </c>
      <c r="AA439" s="56">
        <v>1.37</v>
      </c>
      <c r="AB439" s="56">
        <v>1.42</v>
      </c>
      <c r="AC439" s="56">
        <v>0.84379999999999999</v>
      </c>
      <c r="AD439" s="56">
        <v>1.44</v>
      </c>
      <c r="AE439" s="56">
        <v>1.52</v>
      </c>
      <c r="AF439" s="56">
        <f t="shared" si="155"/>
        <v>1.37</v>
      </c>
      <c r="AG439" s="57">
        <v>2.9</v>
      </c>
      <c r="AH439" s="103">
        <v>1.21E-14</v>
      </c>
      <c r="AI439" s="103"/>
      <c r="AJ439" s="62">
        <f t="shared" si="159"/>
        <v>-12.305780955996202</v>
      </c>
      <c r="AK439" s="62"/>
      <c r="AL439" s="62">
        <f t="shared" si="156"/>
        <v>-12.305780955996202</v>
      </c>
      <c r="AM439" s="62">
        <v>-20.44172</v>
      </c>
      <c r="AN439" s="154">
        <v>-15.5</v>
      </c>
      <c r="AO439" s="410"/>
      <c r="AP439" s="410">
        <v>8.48</v>
      </c>
      <c r="AQ439" s="154" t="s">
        <v>6311</v>
      </c>
      <c r="AR439" s="154" t="s">
        <v>6311</v>
      </c>
      <c r="AS439" s="149" t="s">
        <v>6</v>
      </c>
      <c r="AT439" s="58" t="s">
        <v>266</v>
      </c>
      <c r="AU439" s="56">
        <v>0</v>
      </c>
      <c r="AV439" s="56" t="s">
        <v>646</v>
      </c>
      <c r="AW439" s="56" t="s">
        <v>646</v>
      </c>
      <c r="AX439" s="56">
        <v>26</v>
      </c>
      <c r="AY439" s="56" t="s">
        <v>647</v>
      </c>
      <c r="AZ439" s="56" t="s">
        <v>536</v>
      </c>
      <c r="BA439" s="56">
        <v>20</v>
      </c>
      <c r="BB439" s="55" t="s">
        <v>537</v>
      </c>
      <c r="BC439" s="55" t="s">
        <v>648</v>
      </c>
      <c r="BD439" s="55"/>
      <c r="BE439" s="155" t="s">
        <v>649</v>
      </c>
      <c r="BF439" s="155" t="s">
        <v>650</v>
      </c>
      <c r="BG439" s="155" t="s">
        <v>540</v>
      </c>
      <c r="BH439" s="155" t="s">
        <v>272</v>
      </c>
      <c r="BI439" s="103">
        <v>3.2</v>
      </c>
      <c r="BJ439" s="103">
        <v>26.7</v>
      </c>
      <c r="BK439" s="56"/>
      <c r="BL439" s="103">
        <f t="shared" si="157"/>
        <v>0.37438806883718984</v>
      </c>
      <c r="BM439" s="56" t="s">
        <v>541</v>
      </c>
      <c r="BN439" s="56"/>
      <c r="BO439" s="56">
        <v>9.1999999999999998E-3</v>
      </c>
      <c r="BP439" s="56"/>
      <c r="BQ439" s="56"/>
      <c r="BR439" s="56">
        <v>1.00087873462214E-2</v>
      </c>
      <c r="BS439" s="56"/>
      <c r="BT439" s="56"/>
      <c r="BU439" s="158"/>
      <c r="BV439" s="56"/>
      <c r="BW439" s="56"/>
      <c r="BX439" s="56"/>
      <c r="BY439" s="56"/>
      <c r="BZ439" s="56"/>
      <c r="CA439" s="56"/>
      <c r="CB439" s="56"/>
      <c r="CC439" s="56"/>
      <c r="CD439" s="56"/>
      <c r="CE439" s="56"/>
      <c r="CF439" s="56"/>
      <c r="CG439" s="56"/>
      <c r="CH439" s="56"/>
      <c r="CI439" s="103">
        <f t="shared" si="137"/>
        <v>9.1999999999999998E-3</v>
      </c>
      <c r="CJ439" s="103">
        <f t="shared" si="138"/>
        <v>-2.0362121726544449</v>
      </c>
      <c r="CK439" s="57">
        <f t="shared" si="160"/>
        <v>1.4022025050082017E-2</v>
      </c>
      <c r="CL439" s="160">
        <f t="shared" si="146"/>
        <v>40.6943553083902</v>
      </c>
      <c r="CM439" s="160"/>
      <c r="CN439" s="160"/>
      <c r="CO439" s="55"/>
      <c r="CP439" s="55" t="s">
        <v>651</v>
      </c>
      <c r="CQ439" s="149" t="s">
        <v>272</v>
      </c>
      <c r="CR439" s="349"/>
      <c r="CS439" s="61" t="s">
        <v>539</v>
      </c>
      <c r="CT439" s="61"/>
      <c r="CU439" s="111">
        <f t="shared" si="158"/>
        <v>150.04176789161787</v>
      </c>
      <c r="CV439" s="331">
        <f t="shared" si="161"/>
        <v>5.1699785191119264E-2</v>
      </c>
      <c r="CW439" s="326">
        <f t="shared" si="139"/>
        <v>1</v>
      </c>
      <c r="CX439" s="326"/>
      <c r="CY439" s="161" t="s">
        <v>5921</v>
      </c>
    </row>
    <row r="440" spans="1:103" ht="11.25" customHeight="1" x14ac:dyDescent="0.2">
      <c r="A440" s="72">
        <v>438</v>
      </c>
      <c r="B440" s="149">
        <v>757</v>
      </c>
      <c r="C440" s="54" t="s">
        <v>1535</v>
      </c>
      <c r="D440" s="54" t="s">
        <v>6500</v>
      </c>
      <c r="E440" s="59"/>
      <c r="F440" s="59" t="s">
        <v>1536</v>
      </c>
      <c r="G440" s="151">
        <v>3380345</v>
      </c>
      <c r="H440" s="55" t="s">
        <v>1537</v>
      </c>
      <c r="I440" s="55" t="s">
        <v>7884</v>
      </c>
      <c r="J440" s="55" t="s">
        <v>1538</v>
      </c>
      <c r="K440" s="55" t="s">
        <v>349</v>
      </c>
      <c r="L440" s="55" t="s">
        <v>6067</v>
      </c>
      <c r="M440" s="55" t="s">
        <v>6082</v>
      </c>
      <c r="N440" s="60" t="s">
        <v>6082</v>
      </c>
      <c r="O440" s="55" t="s">
        <v>6083</v>
      </c>
      <c r="P440" s="67"/>
      <c r="Q440" s="67"/>
      <c r="R440" s="67"/>
      <c r="S440" s="67"/>
      <c r="T440" s="56">
        <v>289.54000000000002</v>
      </c>
      <c r="U440" s="103">
        <v>3.4537542308489329E-2</v>
      </c>
      <c r="V440" s="103">
        <v>1.595979830075292E-2</v>
      </c>
      <c r="W440" s="103">
        <v>4.8977881936844584E-3</v>
      </c>
      <c r="X440" s="103">
        <v>3.4537542308489329E-2</v>
      </c>
      <c r="Y440" s="162">
        <v>6.54</v>
      </c>
      <c r="Z440" s="56">
        <v>4.66</v>
      </c>
      <c r="AA440" s="56">
        <v>4.76</v>
      </c>
      <c r="AB440" s="56">
        <v>5.3</v>
      </c>
      <c r="AC440" s="56">
        <v>0.87380000000000002</v>
      </c>
      <c r="AD440" s="56">
        <v>5.27</v>
      </c>
      <c r="AE440" s="56">
        <v>5.17</v>
      </c>
      <c r="AF440" s="56">
        <f t="shared" si="155"/>
        <v>4.76</v>
      </c>
      <c r="AG440" s="57">
        <v>4.8499999999999996</v>
      </c>
      <c r="AH440" s="103">
        <v>4.9900000000000003E-9</v>
      </c>
      <c r="AI440" s="103"/>
      <c r="AJ440" s="62">
        <f t="shared" si="159"/>
        <v>-6.6904657806892622</v>
      </c>
      <c r="AK440" s="62"/>
      <c r="AL440" s="62">
        <f t="shared" si="156"/>
        <v>-6.6904657806892622</v>
      </c>
      <c r="AM440" s="62">
        <v>-10.51848</v>
      </c>
      <c r="AN440" s="154">
        <v>-3.91</v>
      </c>
      <c r="AO440" s="410">
        <v>7.8</v>
      </c>
      <c r="AP440" s="410"/>
      <c r="AQ440" s="154" t="s">
        <v>6311</v>
      </c>
      <c r="AR440" s="154" t="s">
        <v>6311</v>
      </c>
      <c r="AS440" s="149" t="s">
        <v>6</v>
      </c>
      <c r="AT440" s="58" t="s">
        <v>266</v>
      </c>
      <c r="AU440" s="56">
        <v>2</v>
      </c>
      <c r="AV440" s="56">
        <v>96</v>
      </c>
      <c r="AW440" s="56">
        <v>96</v>
      </c>
      <c r="AX440" s="56">
        <v>28</v>
      </c>
      <c r="AY440" s="56" t="s">
        <v>8722</v>
      </c>
      <c r="AZ440" s="56" t="s">
        <v>536</v>
      </c>
      <c r="BA440" s="56" t="s">
        <v>8722</v>
      </c>
      <c r="BB440" s="55" t="s">
        <v>1764</v>
      </c>
      <c r="BC440" s="55" t="s">
        <v>2134</v>
      </c>
      <c r="BD440" s="55"/>
      <c r="BE440" s="56" t="s">
        <v>271</v>
      </c>
      <c r="BF440" s="56" t="s">
        <v>272</v>
      </c>
      <c r="BG440" s="56">
        <v>7</v>
      </c>
      <c r="BH440" s="56" t="s">
        <v>2135</v>
      </c>
      <c r="BI440" s="157">
        <v>3.4536349507857021E-4</v>
      </c>
      <c r="BJ440" s="157">
        <v>3.1082714557071319E-3</v>
      </c>
      <c r="BK440" s="56"/>
      <c r="BL440" s="103">
        <f t="shared" si="157"/>
        <v>3.3547024047339783E-3</v>
      </c>
      <c r="BM440" s="56" t="s">
        <v>2046</v>
      </c>
      <c r="BN440" s="56"/>
      <c r="BO440" s="56"/>
      <c r="BP440" s="56"/>
      <c r="BQ440" s="56">
        <v>1.4505266793299948E-3</v>
      </c>
      <c r="BR440" s="56"/>
      <c r="BS440" s="56"/>
      <c r="BT440" s="56"/>
      <c r="BU440" s="158"/>
      <c r="BV440" s="56"/>
      <c r="BW440" s="56"/>
      <c r="BX440" s="56"/>
      <c r="BY440" s="56"/>
      <c r="BZ440" s="56"/>
      <c r="CA440" s="56"/>
      <c r="CB440" s="56"/>
      <c r="CC440" s="56"/>
      <c r="CD440" s="56"/>
      <c r="CE440" s="56"/>
      <c r="CF440" s="56"/>
      <c r="CG440" s="56"/>
      <c r="CH440" s="56"/>
      <c r="CI440" s="103">
        <f t="shared" si="137"/>
        <v>1.4505266793299948E-3</v>
      </c>
      <c r="CJ440" s="103">
        <f t="shared" si="138"/>
        <v>-2.8384742788714923</v>
      </c>
      <c r="CK440" s="57">
        <f t="shared" si="160"/>
        <v>1.0792823125452482</v>
      </c>
      <c r="CL440" s="160">
        <f t="shared" si="146"/>
        <v>2.3127478125969607</v>
      </c>
      <c r="CM440" s="160">
        <v>-3.0303448059053788</v>
      </c>
      <c r="CN440" s="160">
        <f>BJ440/(10^CM440)</f>
        <v>3.3332182121683109</v>
      </c>
      <c r="CO440" s="55"/>
      <c r="CP440" s="55" t="s">
        <v>2136</v>
      </c>
      <c r="CQ440" s="149">
        <v>-2.4921962873970331</v>
      </c>
      <c r="CR440" s="349">
        <f>10^(CJ440-CQ440)</f>
        <v>0.45052822954453003</v>
      </c>
      <c r="CS440" s="61" t="s">
        <v>539</v>
      </c>
      <c r="CT440" s="61"/>
      <c r="CU440" s="111">
        <f t="shared" si="158"/>
        <v>23.810346131959726</v>
      </c>
      <c r="CV440" s="331">
        <f t="shared" si="161"/>
        <v>11.111494861581205</v>
      </c>
      <c r="CW440" s="326">
        <f t="shared" si="139"/>
        <v>1</v>
      </c>
      <c r="CX440" s="326"/>
      <c r="CY440" s="161" t="s">
        <v>6351</v>
      </c>
    </row>
    <row r="441" spans="1:103" ht="11.25" customHeight="1" x14ac:dyDescent="0.2">
      <c r="A441" s="72">
        <v>439</v>
      </c>
      <c r="B441" s="149">
        <v>107</v>
      </c>
      <c r="C441" s="54" t="s">
        <v>6746</v>
      </c>
      <c r="D441" s="54"/>
      <c r="E441" s="59"/>
      <c r="F441" s="59" t="s">
        <v>531</v>
      </c>
      <c r="G441" s="151">
        <v>50782</v>
      </c>
      <c r="H441" s="55" t="s">
        <v>532</v>
      </c>
      <c r="I441" s="55" t="s">
        <v>532</v>
      </c>
      <c r="J441" s="55" t="s">
        <v>533</v>
      </c>
      <c r="K441" s="55" t="s">
        <v>357</v>
      </c>
      <c r="L441" s="64" t="s">
        <v>279</v>
      </c>
      <c r="M441" s="55" t="s">
        <v>534</v>
      </c>
      <c r="N441" s="60"/>
      <c r="O441" s="55" t="s">
        <v>281</v>
      </c>
      <c r="P441" s="67"/>
      <c r="Q441" s="67"/>
      <c r="R441" s="67"/>
      <c r="S441" s="67"/>
      <c r="T441" s="56">
        <v>180.16</v>
      </c>
      <c r="U441" s="103">
        <v>25.532859680284194</v>
      </c>
      <c r="V441" s="103">
        <v>29.390541740674955</v>
      </c>
      <c r="W441" s="103">
        <v>13.182567385564075</v>
      </c>
      <c r="X441" s="103">
        <v>25.532859680284194</v>
      </c>
      <c r="Y441" s="162">
        <v>2.72</v>
      </c>
      <c r="Z441" s="56">
        <v>1.1299999999999999</v>
      </c>
      <c r="AA441" s="56">
        <v>1.19</v>
      </c>
      <c r="AB441" s="56">
        <v>1.44</v>
      </c>
      <c r="AC441" s="56">
        <v>0.93910000000000005</v>
      </c>
      <c r="AD441" s="56">
        <v>1.39</v>
      </c>
      <c r="AE441" s="56">
        <v>1.19</v>
      </c>
      <c r="AF441" s="56">
        <f t="shared" si="155"/>
        <v>1.19</v>
      </c>
      <c r="AG441" s="57">
        <v>1.24</v>
      </c>
      <c r="AH441" s="103">
        <v>1.3000000000000001E-9</v>
      </c>
      <c r="AI441" s="103">
        <v>1.3000000000000001E-9</v>
      </c>
      <c r="AJ441" s="62">
        <f t="shared" si="159"/>
        <v>-7.2746229740058146</v>
      </c>
      <c r="AK441" s="62">
        <f>LOG10(AI441*1000/(0.08206*298.15))</f>
        <v>-7.2746229740058146</v>
      </c>
      <c r="AL441" s="62">
        <f t="shared" si="156"/>
        <v>-7.2746229740058146</v>
      </c>
      <c r="AM441" s="62">
        <v>-10.548029999999999</v>
      </c>
      <c r="AN441" s="154">
        <v>-7.7</v>
      </c>
      <c r="AO441" s="410">
        <v>3.48</v>
      </c>
      <c r="AP441" s="410"/>
      <c r="AQ441" s="154" t="s">
        <v>6311</v>
      </c>
      <c r="AR441" s="154" t="s">
        <v>6314</v>
      </c>
      <c r="AS441" s="149" t="s">
        <v>6</v>
      </c>
      <c r="AT441" s="58" t="s">
        <v>266</v>
      </c>
      <c r="AU441" s="56">
        <v>0</v>
      </c>
      <c r="AV441" s="56" t="s">
        <v>646</v>
      </c>
      <c r="AW441" s="56" t="s">
        <v>646</v>
      </c>
      <c r="AX441" s="56">
        <v>26</v>
      </c>
      <c r="AY441" s="56" t="s">
        <v>647</v>
      </c>
      <c r="AZ441" s="56" t="s">
        <v>536</v>
      </c>
      <c r="BA441" s="56">
        <v>20</v>
      </c>
      <c r="BB441" s="55" t="s">
        <v>537</v>
      </c>
      <c r="BC441" s="55" t="s">
        <v>648</v>
      </c>
      <c r="BD441" s="55"/>
      <c r="BE441" s="155" t="s">
        <v>649</v>
      </c>
      <c r="BF441" s="155" t="s">
        <v>650</v>
      </c>
      <c r="BG441" s="155" t="s">
        <v>540</v>
      </c>
      <c r="BH441" s="155" t="s">
        <v>272</v>
      </c>
      <c r="BI441" s="103">
        <v>0.111</v>
      </c>
      <c r="BJ441" s="103">
        <v>0.42699999999999999</v>
      </c>
      <c r="BK441" s="56"/>
      <c r="BL441" s="103">
        <f t="shared" si="157"/>
        <v>4.9653172250600512</v>
      </c>
      <c r="BM441" s="56" t="s">
        <v>541</v>
      </c>
      <c r="BN441" s="56"/>
      <c r="BO441" s="56">
        <v>0.29599999999999999</v>
      </c>
      <c r="BP441" s="56"/>
      <c r="BQ441" s="56"/>
      <c r="BR441" s="56">
        <v>0.26700016651865</v>
      </c>
      <c r="BS441" s="56"/>
      <c r="BT441" s="56"/>
      <c r="BU441" s="158"/>
      <c r="BV441" s="56"/>
      <c r="BW441" s="56"/>
      <c r="BX441" s="56"/>
      <c r="BY441" s="56"/>
      <c r="BZ441" s="56"/>
      <c r="CA441" s="56"/>
      <c r="CB441" s="56"/>
      <c r="CC441" s="56"/>
      <c r="CD441" s="56"/>
      <c r="CE441" s="56"/>
      <c r="CF441" s="56"/>
      <c r="CG441" s="56"/>
      <c r="CH441" s="56"/>
      <c r="CI441" s="103">
        <f t="shared" si="137"/>
        <v>0.26700016651865</v>
      </c>
      <c r="CJ441" s="103">
        <f t="shared" si="138"/>
        <v>-0.57348846778108664</v>
      </c>
      <c r="CK441" s="57">
        <f t="shared" si="160"/>
        <v>11.628377576253047</v>
      </c>
      <c r="CL441" s="160">
        <f t="shared" si="146"/>
        <v>18.596682128710295</v>
      </c>
      <c r="CM441" s="160"/>
      <c r="CN441" s="160"/>
      <c r="CO441" s="55"/>
      <c r="CP441" s="55" t="s">
        <v>651</v>
      </c>
      <c r="CQ441" s="149" t="s">
        <v>272</v>
      </c>
      <c r="CR441" s="349"/>
      <c r="CS441" s="61" t="s">
        <v>539</v>
      </c>
      <c r="CT441" s="61"/>
      <c r="CU441" s="111">
        <f t="shared" si="158"/>
        <v>95.628628300876812</v>
      </c>
      <c r="CV441" s="331">
        <f t="shared" si="161"/>
        <v>59.795924309799048</v>
      </c>
      <c r="CW441" s="326">
        <f t="shared" si="139"/>
        <v>1</v>
      </c>
      <c r="CX441" s="326"/>
      <c r="CY441" s="161" t="s">
        <v>6351</v>
      </c>
    </row>
    <row r="442" spans="1:103" ht="11.25" customHeight="1" x14ac:dyDescent="0.2">
      <c r="A442" s="72">
        <v>440</v>
      </c>
      <c r="B442" s="149">
        <v>114</v>
      </c>
      <c r="C442" s="54" t="s">
        <v>6747</v>
      </c>
      <c r="D442" s="54"/>
      <c r="E442" s="59"/>
      <c r="F442" s="59" t="s">
        <v>704</v>
      </c>
      <c r="G442" s="151">
        <v>2430275</v>
      </c>
      <c r="H442" s="55" t="s">
        <v>705</v>
      </c>
      <c r="I442" s="55" t="s">
        <v>705</v>
      </c>
      <c r="J442" s="55" t="s">
        <v>706</v>
      </c>
      <c r="K442" s="55" t="s">
        <v>471</v>
      </c>
      <c r="L442" s="55"/>
      <c r="M442" s="55"/>
      <c r="N442" s="60"/>
      <c r="O442" s="55"/>
      <c r="P442" s="67"/>
      <c r="Q442" s="67"/>
      <c r="R442" s="67"/>
      <c r="S442" s="67"/>
      <c r="T442" s="56">
        <v>143.22999999999999</v>
      </c>
      <c r="U442" s="103"/>
      <c r="V442" s="103">
        <v>19.590867834950778</v>
      </c>
      <c r="W442" s="103">
        <v>9.5499258602143566</v>
      </c>
      <c r="X442" s="103">
        <f>IF(W442=0,V442,W442)</f>
        <v>9.5499258602143566</v>
      </c>
      <c r="Y442" s="162">
        <v>7</v>
      </c>
      <c r="Z442" s="56">
        <v>1.71</v>
      </c>
      <c r="AA442" s="56"/>
      <c r="AB442" s="56">
        <v>2.13</v>
      </c>
      <c r="AC442" s="56">
        <v>0.82830000000000004</v>
      </c>
      <c r="AD442" s="56">
        <v>2.0299999999999998</v>
      </c>
      <c r="AE442" s="56">
        <v>1.77</v>
      </c>
      <c r="AF442" s="56">
        <f t="shared" si="155"/>
        <v>2.0299999999999998</v>
      </c>
      <c r="AG442" s="57">
        <v>1.72</v>
      </c>
      <c r="AH442" s="103">
        <v>6.1200000000000005E-8</v>
      </c>
      <c r="AI442" s="103"/>
      <c r="AJ442" s="62">
        <f t="shared" si="159"/>
        <v>-5.6018149041670906</v>
      </c>
      <c r="AK442" s="62"/>
      <c r="AL442" s="62">
        <f t="shared" si="156"/>
        <v>-5.6018149041670906</v>
      </c>
      <c r="AM442" s="62">
        <v>-8.1777200000000008</v>
      </c>
      <c r="AN442" s="154">
        <v>-6.78</v>
      </c>
      <c r="AO442" s="410">
        <v>16.760000000000002</v>
      </c>
      <c r="AP442" s="410">
        <v>-0.55000000000000004</v>
      </c>
      <c r="AQ442" s="154" t="s">
        <v>6311</v>
      </c>
      <c r="AR442" s="154" t="s">
        <v>6311</v>
      </c>
      <c r="AS442" s="149" t="s">
        <v>6</v>
      </c>
      <c r="AT442" s="58" t="s">
        <v>266</v>
      </c>
      <c r="AU442" s="56">
        <v>0</v>
      </c>
      <c r="AV442" s="56" t="s">
        <v>646</v>
      </c>
      <c r="AW442" s="56" t="s">
        <v>646</v>
      </c>
      <c r="AX442" s="56">
        <v>26</v>
      </c>
      <c r="AY442" s="56" t="s">
        <v>647</v>
      </c>
      <c r="AZ442" s="56" t="s">
        <v>536</v>
      </c>
      <c r="BA442" s="56">
        <v>20</v>
      </c>
      <c r="BB442" s="55" t="s">
        <v>537</v>
      </c>
      <c r="BC442" s="55" t="s">
        <v>648</v>
      </c>
      <c r="BD442" s="55"/>
      <c r="BE442" s="155" t="s">
        <v>649</v>
      </c>
      <c r="BF442" s="155" t="s">
        <v>650</v>
      </c>
      <c r="BG442" s="155" t="s">
        <v>540</v>
      </c>
      <c r="BH442" s="155" t="s">
        <v>272</v>
      </c>
      <c r="BI442" s="103">
        <v>3.6</v>
      </c>
      <c r="BJ442" s="103">
        <v>14</v>
      </c>
      <c r="BK442" s="56"/>
      <c r="BL442" s="103">
        <f t="shared" si="157"/>
        <v>1.4964044809041741</v>
      </c>
      <c r="BM442" s="56" t="s">
        <v>541</v>
      </c>
      <c r="BN442" s="56"/>
      <c r="BO442" s="56">
        <v>7.9</v>
      </c>
      <c r="BP442" s="56"/>
      <c r="BQ442" s="56"/>
      <c r="BR442" s="56">
        <v>7.0999511275570804</v>
      </c>
      <c r="BS442" s="56"/>
      <c r="BT442" s="56"/>
      <c r="BU442" s="158"/>
      <c r="BV442" s="56"/>
      <c r="BW442" s="56"/>
      <c r="BX442" s="56"/>
      <c r="BY442" s="56"/>
      <c r="BZ442" s="56"/>
      <c r="CA442" s="56"/>
      <c r="CB442" s="56"/>
      <c r="CC442" s="56"/>
      <c r="CD442" s="56"/>
      <c r="CE442" s="56"/>
      <c r="CF442" s="56"/>
      <c r="CG442" s="56"/>
      <c r="CH442" s="56"/>
      <c r="CI442" s="103">
        <f t="shared" si="137"/>
        <v>7.0999511275570804</v>
      </c>
      <c r="CJ442" s="103">
        <f t="shared" si="138"/>
        <v>0.85125535926762064</v>
      </c>
      <c r="CK442" s="57">
        <f t="shared" si="160"/>
        <v>0.10688603435029816</v>
      </c>
      <c r="CL442" s="160">
        <f t="shared" si="146"/>
        <v>0.2107626452661302</v>
      </c>
      <c r="CM442" s="160"/>
      <c r="CN442" s="160"/>
      <c r="CO442" s="55"/>
      <c r="CP442" s="55" t="s">
        <v>651</v>
      </c>
      <c r="CQ442" s="149" t="s">
        <v>272</v>
      </c>
      <c r="CR442" s="349"/>
      <c r="CS442" s="61" t="s">
        <v>539</v>
      </c>
      <c r="CT442" s="61"/>
      <c r="CU442" s="111">
        <f t="shared" si="158"/>
        <v>1.3450692390188681</v>
      </c>
      <c r="CV442" s="331">
        <f t="shared" si="161"/>
        <v>0.6821375614438826</v>
      </c>
      <c r="CW442" s="326">
        <f t="shared" si="139"/>
        <v>0</v>
      </c>
      <c r="CX442" s="326"/>
      <c r="CY442" s="161" t="s">
        <v>5921</v>
      </c>
    </row>
    <row r="443" spans="1:103" ht="11.25" customHeight="1" x14ac:dyDescent="0.2">
      <c r="A443" s="72">
        <v>441</v>
      </c>
      <c r="B443" s="149">
        <v>1113</v>
      </c>
      <c r="C443" s="54" t="s">
        <v>3110</v>
      </c>
      <c r="D443" s="54" t="s">
        <v>6748</v>
      </c>
      <c r="E443" s="59"/>
      <c r="F443" s="59" t="s">
        <v>902</v>
      </c>
      <c r="G443" s="151">
        <v>136458</v>
      </c>
      <c r="H443" s="55" t="s">
        <v>903</v>
      </c>
      <c r="I443" s="55" t="s">
        <v>903</v>
      </c>
      <c r="J443" s="55" t="s">
        <v>904</v>
      </c>
      <c r="K443" s="55" t="s">
        <v>357</v>
      </c>
      <c r="L443" s="55" t="s">
        <v>6025</v>
      </c>
      <c r="M443" s="55" t="s">
        <v>6082</v>
      </c>
      <c r="N443" s="60" t="s">
        <v>6082</v>
      </c>
      <c r="O443" s="55" t="s">
        <v>6083</v>
      </c>
      <c r="P443" s="67"/>
      <c r="Q443" s="67"/>
      <c r="R443" s="67"/>
      <c r="S443" s="67"/>
      <c r="T443" s="56">
        <v>251.28</v>
      </c>
      <c r="U443" s="103"/>
      <c r="V443" s="103">
        <v>8.277618592804839E-2</v>
      </c>
      <c r="W443" s="103">
        <v>2.4547089156850301</v>
      </c>
      <c r="X443" s="103">
        <f>IF(W443=0,V443,W443)</f>
        <v>2.4547089156850301</v>
      </c>
      <c r="Y443" s="162">
        <v>7</v>
      </c>
      <c r="Z443" s="56">
        <v>2.12</v>
      </c>
      <c r="AA443" s="56">
        <v>3.57</v>
      </c>
      <c r="AB443" s="56">
        <v>2.65</v>
      </c>
      <c r="AC443" s="56">
        <v>0.8266</v>
      </c>
      <c r="AD443" s="56">
        <v>2.77</v>
      </c>
      <c r="AE443" s="56">
        <v>3.09</v>
      </c>
      <c r="AF443" s="56">
        <f t="shared" si="155"/>
        <v>3.57</v>
      </c>
      <c r="AG443" s="57">
        <v>2.34</v>
      </c>
      <c r="AH443" s="103">
        <v>9.0899999999999996E-10</v>
      </c>
      <c r="AI443" s="103"/>
      <c r="AJ443" s="62">
        <f t="shared" si="159"/>
        <v>-7.4300024430906841</v>
      </c>
      <c r="AK443" s="62"/>
      <c r="AL443" s="62">
        <f t="shared" si="156"/>
        <v>-7.4300024430906841</v>
      </c>
      <c r="AM443" s="62">
        <v>-10.431010000000001</v>
      </c>
      <c r="AN443" s="154">
        <v>-7.8</v>
      </c>
      <c r="AO443" s="410"/>
      <c r="AP443" s="410">
        <v>-0.23</v>
      </c>
      <c r="AQ443" s="56" t="s">
        <v>6311</v>
      </c>
      <c r="AR443" s="56" t="s">
        <v>6312</v>
      </c>
      <c r="AS443" s="155"/>
      <c r="AT443" s="58" t="s">
        <v>266</v>
      </c>
      <c r="AU443" s="56">
        <v>6</v>
      </c>
      <c r="AV443" s="56">
        <v>120</v>
      </c>
      <c r="AW443" s="56">
        <v>114</v>
      </c>
      <c r="AX443" s="56">
        <v>28</v>
      </c>
      <c r="AY443" s="56" t="s">
        <v>8728</v>
      </c>
      <c r="AZ443" s="56" t="s">
        <v>1563</v>
      </c>
      <c r="BA443" s="56">
        <v>32</v>
      </c>
      <c r="BB443" s="55" t="s">
        <v>2485</v>
      </c>
      <c r="BC443" s="55" t="s">
        <v>8726</v>
      </c>
      <c r="BD443" s="55" t="s">
        <v>8374</v>
      </c>
      <c r="BE443" s="56" t="s">
        <v>2449</v>
      </c>
      <c r="BF443" s="56" t="s">
        <v>272</v>
      </c>
      <c r="BG443" s="56" t="s">
        <v>272</v>
      </c>
      <c r="BH443" s="56" t="s">
        <v>2486</v>
      </c>
      <c r="BI443" s="103">
        <v>6.3999999999999997E-6</v>
      </c>
      <c r="BJ443" s="103">
        <v>6.4000000000000001E-2</v>
      </c>
      <c r="BK443" s="56"/>
      <c r="BL443" s="103">
        <f t="shared" si="157"/>
        <v>0.64095567925246333</v>
      </c>
      <c r="BM443" s="56" t="s">
        <v>2046</v>
      </c>
      <c r="BN443" s="56"/>
      <c r="BO443" s="56"/>
      <c r="BP443" s="56"/>
      <c r="BQ443" s="56"/>
      <c r="BR443" s="55">
        <v>1.31E-3</v>
      </c>
      <c r="BS443" s="56"/>
      <c r="BT443" s="56"/>
      <c r="BU443" s="158"/>
      <c r="BV443" s="56"/>
      <c r="BW443" s="56"/>
      <c r="BX443" s="56"/>
      <c r="BY443" s="56"/>
      <c r="BZ443" s="56"/>
      <c r="CA443" s="56"/>
      <c r="CB443" s="56"/>
      <c r="CC443" s="56"/>
      <c r="CD443" s="56"/>
      <c r="CE443" s="56"/>
      <c r="CF443" s="56"/>
      <c r="CG443" s="56"/>
      <c r="CH443" s="56"/>
      <c r="CI443" s="103">
        <f t="shared" si="137"/>
        <v>1.31E-3</v>
      </c>
      <c r="CJ443" s="103">
        <f t="shared" si="138"/>
        <v>-2.8827287043442356</v>
      </c>
      <c r="CK443" s="57">
        <f t="shared" si="160"/>
        <v>10.01493248831974</v>
      </c>
      <c r="CL443" s="160">
        <f t="shared" si="146"/>
        <v>489.27914446752925</v>
      </c>
      <c r="CM443" s="160">
        <v>-2.7567052469042608</v>
      </c>
      <c r="CN443" s="160">
        <f>BJ443/(10^CM443)</f>
        <v>36.549818181818203</v>
      </c>
      <c r="CO443" s="55" t="s">
        <v>2488</v>
      </c>
      <c r="CP443" s="55" t="s">
        <v>2489</v>
      </c>
      <c r="CQ443" s="149">
        <v>-2.5784315851473547</v>
      </c>
      <c r="CR443" s="349">
        <f>10^(CJ443-CQ443)</f>
        <v>0.49625269785902809</v>
      </c>
      <c r="CS443" s="61" t="s">
        <v>539</v>
      </c>
      <c r="CT443" s="61"/>
      <c r="CU443" s="111">
        <f t="shared" si="158"/>
        <v>1873.823599759565</v>
      </c>
      <c r="CV443" s="331">
        <f t="shared" si="161"/>
        <v>38.354826807578597</v>
      </c>
      <c r="CW443" s="326">
        <f t="shared" si="139"/>
        <v>1</v>
      </c>
      <c r="CX443" s="326"/>
      <c r="CY443" s="161" t="s">
        <v>5921</v>
      </c>
    </row>
    <row r="444" spans="1:103" ht="11.25" customHeight="1" x14ac:dyDescent="0.2">
      <c r="A444" s="72">
        <v>442</v>
      </c>
      <c r="B444" s="149">
        <v>1159</v>
      </c>
      <c r="C444" s="54" t="s">
        <v>1719</v>
      </c>
      <c r="D444" s="54" t="s">
        <v>6749</v>
      </c>
      <c r="E444" s="59"/>
      <c r="F444" s="59" t="s">
        <v>1720</v>
      </c>
      <c r="G444" s="151">
        <v>123319</v>
      </c>
      <c r="H444" s="55" t="s">
        <v>1721</v>
      </c>
      <c r="I444" s="55" t="s">
        <v>1721</v>
      </c>
      <c r="J444" s="55" t="s">
        <v>1722</v>
      </c>
      <c r="K444" s="55" t="s">
        <v>1723</v>
      </c>
      <c r="L444" s="55" t="s">
        <v>5527</v>
      </c>
      <c r="M444" s="55" t="s">
        <v>6129</v>
      </c>
      <c r="N444" s="60" t="s">
        <v>6383</v>
      </c>
      <c r="O444" s="55"/>
      <c r="P444" s="67"/>
      <c r="Q444" s="67" t="s">
        <v>6182</v>
      </c>
      <c r="R444" s="67" t="s">
        <v>6185</v>
      </c>
      <c r="S444" s="67" t="s">
        <v>6176</v>
      </c>
      <c r="T444" s="56">
        <v>110.11</v>
      </c>
      <c r="U444" s="103">
        <v>653.89156298247212</v>
      </c>
      <c r="V444" s="103">
        <v>1176.0966306420853</v>
      </c>
      <c r="W444" s="103">
        <v>1778.2794100389231</v>
      </c>
      <c r="X444" s="103">
        <v>653.89156298247212</v>
      </c>
      <c r="Y444" s="162">
        <v>5.04</v>
      </c>
      <c r="Z444" s="56">
        <v>1.03</v>
      </c>
      <c r="AA444" s="56">
        <v>0.59</v>
      </c>
      <c r="AB444" s="56">
        <v>0.48</v>
      </c>
      <c r="AC444" s="56">
        <v>0.82310000000000005</v>
      </c>
      <c r="AD444" s="56">
        <v>0.53</v>
      </c>
      <c r="AE444" s="56">
        <v>0.64</v>
      </c>
      <c r="AF444" s="56">
        <f t="shared" si="155"/>
        <v>0.59</v>
      </c>
      <c r="AG444" s="57">
        <v>1.1200000000000001</v>
      </c>
      <c r="AH444" s="103">
        <v>5.8299999999999995E-11</v>
      </c>
      <c r="AI444" s="103">
        <v>4.7300000000000001E-11</v>
      </c>
      <c r="AJ444" s="62">
        <f t="shared" si="159"/>
        <v>-8.622897771553637</v>
      </c>
      <c r="AK444" s="62">
        <f>LOG10(AI444*1000/(0.08206*298.15))</f>
        <v>-8.71370518557484</v>
      </c>
      <c r="AL444" s="62">
        <f t="shared" si="156"/>
        <v>-8.71370518557484</v>
      </c>
      <c r="AM444" s="62">
        <v>-10.688190000000001</v>
      </c>
      <c r="AN444" s="154">
        <v>-8.7899999999999991</v>
      </c>
      <c r="AO444" s="410">
        <v>10.33</v>
      </c>
      <c r="AP444" s="410"/>
      <c r="AQ444" s="56" t="s">
        <v>6311</v>
      </c>
      <c r="AR444" s="56" t="s">
        <v>6311</v>
      </c>
      <c r="AS444" s="155"/>
      <c r="AT444" s="58" t="s">
        <v>266</v>
      </c>
      <c r="AU444" s="56">
        <v>6</v>
      </c>
      <c r="AV444" s="56">
        <v>120</v>
      </c>
      <c r="AW444" s="56">
        <v>114</v>
      </c>
      <c r="AX444" s="56">
        <v>28</v>
      </c>
      <c r="AY444" s="56" t="s">
        <v>8728</v>
      </c>
      <c r="AZ444" s="56" t="s">
        <v>1563</v>
      </c>
      <c r="BA444" s="56">
        <v>32</v>
      </c>
      <c r="BB444" s="55" t="s">
        <v>2485</v>
      </c>
      <c r="BC444" s="55" t="s">
        <v>8726</v>
      </c>
      <c r="BD444" s="55" t="s">
        <v>8374</v>
      </c>
      <c r="BE444" s="56" t="s">
        <v>2449</v>
      </c>
      <c r="BF444" s="56" t="s">
        <v>272</v>
      </c>
      <c r="BG444" s="56" t="s">
        <v>272</v>
      </c>
      <c r="BH444" s="56" t="s">
        <v>2486</v>
      </c>
      <c r="BI444" s="103">
        <v>6.3999999999999997E-6</v>
      </c>
      <c r="BJ444" s="103">
        <v>6.4000000000000001E-2</v>
      </c>
      <c r="BK444" s="56"/>
      <c r="BL444" s="103">
        <f t="shared" si="157"/>
        <v>6.1060028124427888</v>
      </c>
      <c r="BM444" s="56" t="s">
        <v>2487</v>
      </c>
      <c r="BN444" s="56"/>
      <c r="BO444" s="56"/>
      <c r="BP444" s="56"/>
      <c r="BQ444" s="56"/>
      <c r="BR444" s="55">
        <v>1.2700000000000001E-3</v>
      </c>
      <c r="BS444" s="56"/>
      <c r="BT444" s="56"/>
      <c r="BU444" s="158"/>
      <c r="BV444" s="56"/>
      <c r="BW444" s="56"/>
      <c r="BX444" s="56"/>
      <c r="BY444" s="56"/>
      <c r="BZ444" s="56"/>
      <c r="CA444" s="56"/>
      <c r="CB444" s="56"/>
      <c r="CC444" s="56"/>
      <c r="CD444" s="56"/>
      <c r="CE444" s="56"/>
      <c r="CF444" s="56"/>
      <c r="CG444" s="56"/>
      <c r="CH444" s="56"/>
      <c r="CI444" s="103">
        <f t="shared" si="137"/>
        <v>1.2700000000000001E-3</v>
      </c>
      <c r="CJ444" s="103">
        <f t="shared" si="138"/>
        <v>-2.8961962790440432</v>
      </c>
      <c r="CK444" s="57">
        <f t="shared" si="160"/>
        <v>95.406293944418579</v>
      </c>
      <c r="CL444" s="160">
        <f t="shared" si="146"/>
        <v>4807.8762302699124</v>
      </c>
      <c r="CM444" s="160">
        <v>-3.400352652133444</v>
      </c>
      <c r="CN444" s="160">
        <f>BJ444/(10^CM444)</f>
        <v>160.89132420091329</v>
      </c>
      <c r="CO444" s="55" t="s">
        <v>2488</v>
      </c>
      <c r="CP444" s="55" t="s">
        <v>2489</v>
      </c>
      <c r="CQ444" s="149">
        <v>-2.7678662289639937</v>
      </c>
      <c r="CR444" s="349">
        <f>10^(CJ444-CQ444)</f>
        <v>0.74416621614985934</v>
      </c>
      <c r="CS444" s="61" t="s">
        <v>539</v>
      </c>
      <c r="CT444" s="61"/>
      <c r="CU444" s="111">
        <f t="shared" si="158"/>
        <v>514875.24644289142</v>
      </c>
      <c r="CV444" s="331">
        <f t="shared" si="161"/>
        <v>10217.055671601127</v>
      </c>
      <c r="CW444" s="326">
        <f t="shared" si="139"/>
        <v>1</v>
      </c>
      <c r="CX444" s="326"/>
      <c r="CY444" s="161" t="s">
        <v>6351</v>
      </c>
    </row>
    <row r="445" spans="1:103" ht="11.25" customHeight="1" x14ac:dyDescent="0.2">
      <c r="A445" s="72">
        <v>443</v>
      </c>
      <c r="B445" s="149">
        <v>118</v>
      </c>
      <c r="C445" s="54" t="s">
        <v>6750</v>
      </c>
      <c r="D445" s="54"/>
      <c r="E445" s="59"/>
      <c r="F445" s="59" t="s">
        <v>717</v>
      </c>
      <c r="G445" s="151">
        <v>127071</v>
      </c>
      <c r="H445" s="55" t="s">
        <v>718</v>
      </c>
      <c r="I445" s="55" t="s">
        <v>718</v>
      </c>
      <c r="J445" s="55" t="s">
        <v>719</v>
      </c>
      <c r="K445" s="55" t="s">
        <v>426</v>
      </c>
      <c r="L445" s="64" t="s">
        <v>279</v>
      </c>
      <c r="M445" s="55" t="s">
        <v>720</v>
      </c>
      <c r="N445" s="60"/>
      <c r="O445" s="55" t="s">
        <v>281</v>
      </c>
      <c r="P445" s="67"/>
      <c r="Q445" s="67"/>
      <c r="R445" s="67"/>
      <c r="S445" s="67"/>
      <c r="T445" s="56">
        <v>76.05</v>
      </c>
      <c r="U445" s="103">
        <v>13149.243918474689</v>
      </c>
      <c r="V445" s="103">
        <v>2948.0604865220253</v>
      </c>
      <c r="W445" s="103">
        <v>12882.495516931347</v>
      </c>
      <c r="X445" s="103">
        <v>13149.243918474689</v>
      </c>
      <c r="Y445" s="162">
        <v>4.55</v>
      </c>
      <c r="Z445" s="56">
        <v>-1.68</v>
      </c>
      <c r="AA445" s="56">
        <v>-1.8</v>
      </c>
      <c r="AB445" s="56">
        <v>-1.36</v>
      </c>
      <c r="AC445" s="56">
        <v>0.70209999999999995</v>
      </c>
      <c r="AD445" s="56">
        <v>-1.54</v>
      </c>
      <c r="AE445" s="56">
        <v>-1.8</v>
      </c>
      <c r="AF445" s="56">
        <f t="shared" si="155"/>
        <v>-1.8</v>
      </c>
      <c r="AG445" s="57">
        <v>-1.34</v>
      </c>
      <c r="AH445" s="103">
        <v>5.4199999999999998E-11</v>
      </c>
      <c r="AI445" s="103"/>
      <c r="AJ445" s="62">
        <f t="shared" si="159"/>
        <v>-8.654567039774264</v>
      </c>
      <c r="AK445" s="62"/>
      <c r="AL445" s="62">
        <f t="shared" si="156"/>
        <v>-8.654567039774264</v>
      </c>
      <c r="AM445" s="62">
        <v>-12.359780000000001</v>
      </c>
      <c r="AN445" s="154">
        <v>-13.5</v>
      </c>
      <c r="AO445" s="410">
        <v>10.56</v>
      </c>
      <c r="AP445" s="410">
        <v>-0.47</v>
      </c>
      <c r="AQ445" s="154" t="s">
        <v>6311</v>
      </c>
      <c r="AR445" s="154" t="s">
        <v>6311</v>
      </c>
      <c r="AS445" s="149" t="s">
        <v>6</v>
      </c>
      <c r="AT445" s="58" t="s">
        <v>266</v>
      </c>
      <c r="AU445" s="56">
        <v>0</v>
      </c>
      <c r="AV445" s="56" t="s">
        <v>646</v>
      </c>
      <c r="AW445" s="56" t="s">
        <v>646</v>
      </c>
      <c r="AX445" s="56">
        <v>26</v>
      </c>
      <c r="AY445" s="56" t="s">
        <v>647</v>
      </c>
      <c r="AZ445" s="56" t="s">
        <v>536</v>
      </c>
      <c r="BA445" s="56">
        <v>20</v>
      </c>
      <c r="BB445" s="55" t="s">
        <v>537</v>
      </c>
      <c r="BC445" s="55" t="s">
        <v>648</v>
      </c>
      <c r="BD445" s="55"/>
      <c r="BE445" s="155" t="s">
        <v>649</v>
      </c>
      <c r="BF445" s="155" t="s">
        <v>650</v>
      </c>
      <c r="BG445" s="155" t="s">
        <v>540</v>
      </c>
      <c r="BH445" s="155" t="s">
        <v>272</v>
      </c>
      <c r="BI445" s="103">
        <v>9.1999999999999993</v>
      </c>
      <c r="BJ445" s="103">
        <v>46.6</v>
      </c>
      <c r="BK445" s="56"/>
      <c r="BL445" s="103">
        <f t="shared" si="157"/>
        <v>1658.0896179671047</v>
      </c>
      <c r="BM445" s="56" t="s">
        <v>541</v>
      </c>
      <c r="BN445" s="56"/>
      <c r="BO445" s="56">
        <v>30.4</v>
      </c>
      <c r="BP445" s="56"/>
      <c r="BQ445" s="56"/>
      <c r="BR445" s="476">
        <v>30.4</v>
      </c>
      <c r="BS445" s="56"/>
      <c r="BT445" s="476"/>
      <c r="BU445" s="158"/>
      <c r="BV445" s="56"/>
      <c r="BW445" s="56"/>
      <c r="BX445" s="56"/>
      <c r="BY445" s="56"/>
      <c r="BZ445" s="56"/>
      <c r="CA445" s="56"/>
      <c r="CB445" s="56"/>
      <c r="CC445" s="56"/>
      <c r="CD445" s="56"/>
      <c r="CE445" s="56"/>
      <c r="CF445" s="56"/>
      <c r="CG445" s="56"/>
      <c r="CH445" s="56"/>
      <c r="CI445" s="103">
        <f t="shared" si="137"/>
        <v>30.4</v>
      </c>
      <c r="CJ445" s="103">
        <f t="shared" si="138"/>
        <v>1.4828735836087537</v>
      </c>
      <c r="CK445" s="57">
        <f t="shared" si="160"/>
        <v>35.581322273972205</v>
      </c>
      <c r="CL445" s="160">
        <f t="shared" si="146"/>
        <v>54.542421643654762</v>
      </c>
      <c r="CM445" s="160"/>
      <c r="CN445" s="160"/>
      <c r="CO445" s="55"/>
      <c r="CP445" s="55" t="s">
        <v>651</v>
      </c>
      <c r="CQ445" s="149" t="s">
        <v>272</v>
      </c>
      <c r="CR445" s="349"/>
      <c r="CS445" s="61" t="s">
        <v>539</v>
      </c>
      <c r="CT445" s="61"/>
      <c r="CU445" s="111">
        <f t="shared" si="158"/>
        <v>432.54091837087793</v>
      </c>
      <c r="CV445" s="331">
        <f t="shared" si="161"/>
        <v>282.17261627628085</v>
      </c>
      <c r="CW445" s="326">
        <f t="shared" si="139"/>
        <v>1</v>
      </c>
      <c r="CX445" s="326"/>
      <c r="CY445" s="161" t="s">
        <v>5921</v>
      </c>
    </row>
    <row r="446" spans="1:103" ht="11.25" customHeight="1" x14ac:dyDescent="0.2">
      <c r="A446" s="72">
        <v>444</v>
      </c>
      <c r="B446" s="149">
        <v>967</v>
      </c>
      <c r="C446" s="54" t="s">
        <v>2759</v>
      </c>
      <c r="D446" s="54" t="s">
        <v>6446</v>
      </c>
      <c r="E446" s="59"/>
      <c r="F446" s="59" t="s">
        <v>2269</v>
      </c>
      <c r="G446" s="151">
        <v>79947</v>
      </c>
      <c r="H446" s="55" t="s">
        <v>2270</v>
      </c>
      <c r="I446" s="55" t="s">
        <v>2270</v>
      </c>
      <c r="J446" s="55"/>
      <c r="K446" s="55" t="s">
        <v>376</v>
      </c>
      <c r="L446" s="67" t="s">
        <v>5492</v>
      </c>
      <c r="M446" s="60" t="s">
        <v>2342</v>
      </c>
      <c r="N446" s="60" t="s">
        <v>2342</v>
      </c>
      <c r="O446" s="55"/>
      <c r="P446" s="67"/>
      <c r="Q446" s="67"/>
      <c r="R446" s="67"/>
      <c r="S446" s="67"/>
      <c r="T446" s="56">
        <v>543.87</v>
      </c>
      <c r="U446" s="103"/>
      <c r="V446" s="103">
        <v>1.8423181584172981E-6</v>
      </c>
      <c r="W446" s="103">
        <v>5.4954087385762412E-4</v>
      </c>
      <c r="X446" s="103">
        <f>IF(W446=0,V446,W446)</f>
        <v>5.4954087385762412E-4</v>
      </c>
      <c r="Y446" s="162">
        <v>6.97</v>
      </c>
      <c r="Z446" s="56">
        <v>7.2</v>
      </c>
      <c r="AA446" s="56"/>
      <c r="AB446" s="56">
        <v>6.4</v>
      </c>
      <c r="AC446" s="56">
        <v>0.56699999999999995</v>
      </c>
      <c r="AD446" s="56">
        <v>6.8</v>
      </c>
      <c r="AE446" s="56">
        <v>7.29</v>
      </c>
      <c r="AF446" s="56">
        <f t="shared" si="155"/>
        <v>6.8</v>
      </c>
      <c r="AG446" s="57">
        <v>6.88</v>
      </c>
      <c r="AH446" s="103">
        <v>2.3099999999999997E-13</v>
      </c>
      <c r="AI446" s="103"/>
      <c r="AJ446" s="62">
        <f t="shared" si="159"/>
        <v>-11.024954346420508</v>
      </c>
      <c r="AK446" s="62"/>
      <c r="AL446" s="62">
        <f t="shared" si="156"/>
        <v>-11.024954346420508</v>
      </c>
      <c r="AM446" s="62">
        <v>-12.1549</v>
      </c>
      <c r="AN446" s="154"/>
      <c r="AO446" s="410">
        <v>8.5</v>
      </c>
      <c r="AP446" s="410"/>
      <c r="AQ446" s="56" t="s">
        <v>6311</v>
      </c>
      <c r="AR446" s="56" t="s">
        <v>6311</v>
      </c>
      <c r="AS446" s="155"/>
      <c r="AT446" s="58" t="s">
        <v>266</v>
      </c>
      <c r="AU446" s="56">
        <v>6</v>
      </c>
      <c r="AV446" s="56">
        <v>120</v>
      </c>
      <c r="AW446" s="56">
        <v>114</v>
      </c>
      <c r="AX446" s="56">
        <v>28</v>
      </c>
      <c r="AY446" s="56" t="s">
        <v>8728</v>
      </c>
      <c r="AZ446" s="56" t="s">
        <v>1563</v>
      </c>
      <c r="BA446" s="56">
        <v>32</v>
      </c>
      <c r="BB446" s="55" t="s">
        <v>2485</v>
      </c>
      <c r="BC446" s="55" t="s">
        <v>8726</v>
      </c>
      <c r="BD446" s="55" t="s">
        <v>8374</v>
      </c>
      <c r="BE446" s="56" t="s">
        <v>2449</v>
      </c>
      <c r="BF446" s="56" t="s">
        <v>272</v>
      </c>
      <c r="BG446" s="56" t="s">
        <v>272</v>
      </c>
      <c r="BH446" s="56" t="s">
        <v>2486</v>
      </c>
      <c r="BI446" s="103">
        <v>6.3999999999999997E-6</v>
      </c>
      <c r="BJ446" s="103">
        <v>6.4000000000000001E-2</v>
      </c>
      <c r="BK446" s="56"/>
      <c r="BL446" s="103">
        <f t="shared" si="157"/>
        <v>1.755820033836557E-5</v>
      </c>
      <c r="BM446" s="56" t="s">
        <v>2046</v>
      </c>
      <c r="BN446" s="56"/>
      <c r="BO446" s="56"/>
      <c r="BP446" s="56"/>
      <c r="BQ446" s="56"/>
      <c r="BR446" s="55">
        <v>1.17E-3</v>
      </c>
      <c r="BS446" s="56"/>
      <c r="BT446" s="56"/>
      <c r="BU446" s="158"/>
      <c r="BV446" s="56"/>
      <c r="BW446" s="56"/>
      <c r="BX446" s="56"/>
      <c r="BY446" s="56"/>
      <c r="BZ446" s="56"/>
      <c r="CA446" s="56"/>
      <c r="CB446" s="56"/>
      <c r="CC446" s="56"/>
      <c r="CD446" s="56"/>
      <c r="CE446" s="56"/>
      <c r="CF446" s="56"/>
      <c r="CG446" s="56"/>
      <c r="CH446" s="56"/>
      <c r="CI446" s="103">
        <f t="shared" si="137"/>
        <v>1.17E-3</v>
      </c>
      <c r="CJ446" s="103">
        <f t="shared" si="138"/>
        <v>-2.9318141382538383</v>
      </c>
      <c r="CK446" s="57">
        <f t="shared" si="160"/>
        <v>2.7434688028696205E-4</v>
      </c>
      <c r="CL446" s="160">
        <f t="shared" si="146"/>
        <v>1.5007008836209888E-2</v>
      </c>
      <c r="CM446" s="160">
        <v>-3.1334351123598188</v>
      </c>
      <c r="CN446" s="160">
        <f>BJ446/(10^CM446)</f>
        <v>87.019200000000069</v>
      </c>
      <c r="CO446" s="55" t="s">
        <v>2488</v>
      </c>
      <c r="CP446" s="55" t="s">
        <v>2489</v>
      </c>
      <c r="CQ446" s="149">
        <v>-2.884571744269377</v>
      </c>
      <c r="CR446" s="349">
        <f>10^(CJ446-CQ446)</f>
        <v>0.89692804983108787</v>
      </c>
      <c r="CS446" s="61" t="s">
        <v>539</v>
      </c>
      <c r="CT446" s="61"/>
      <c r="CU446" s="111">
        <f t="shared" si="158"/>
        <v>0.46969305457916588</v>
      </c>
      <c r="CV446" s="331">
        <f t="shared" si="161"/>
        <v>8.5865761540253761E-3</v>
      </c>
      <c r="CW446" s="326">
        <f t="shared" si="139"/>
        <v>0</v>
      </c>
      <c r="CX446" s="326"/>
      <c r="CY446" s="161" t="s">
        <v>6351</v>
      </c>
    </row>
    <row r="447" spans="1:103" ht="11.25" customHeight="1" x14ac:dyDescent="0.2">
      <c r="A447" s="72">
        <v>445</v>
      </c>
      <c r="B447" s="149">
        <v>1222</v>
      </c>
      <c r="C447" s="54" t="s">
        <v>3374</v>
      </c>
      <c r="D447" s="54" t="s">
        <v>6751</v>
      </c>
      <c r="E447" s="59"/>
      <c r="F447" s="59" t="s">
        <v>3375</v>
      </c>
      <c r="G447" s="151">
        <v>26530201</v>
      </c>
      <c r="H447" s="55" t="s">
        <v>3376</v>
      </c>
      <c r="I447" s="55" t="s">
        <v>3376</v>
      </c>
      <c r="J447" s="55" t="s">
        <v>3377</v>
      </c>
      <c r="K447" s="55" t="s">
        <v>3378</v>
      </c>
      <c r="L447" s="55" t="s">
        <v>5929</v>
      </c>
      <c r="M447" s="55" t="s">
        <v>6082</v>
      </c>
      <c r="N447" s="60" t="s">
        <v>6082</v>
      </c>
      <c r="O447" s="55" t="s">
        <v>6083</v>
      </c>
      <c r="P447" s="67"/>
      <c r="Q447" s="67"/>
      <c r="R447" s="67"/>
      <c r="S447" s="67"/>
      <c r="T447" s="56">
        <v>213.34</v>
      </c>
      <c r="U447" s="103">
        <v>2.3436767601012467</v>
      </c>
      <c r="V447" s="103">
        <v>1.4146432923971126</v>
      </c>
      <c r="W447" s="103">
        <v>0.3235936569296281</v>
      </c>
      <c r="X447" s="103">
        <v>2.3436767601012467</v>
      </c>
      <c r="Y447" s="162">
        <v>7</v>
      </c>
      <c r="Z447" s="56">
        <v>2.61</v>
      </c>
      <c r="AA447" s="56">
        <v>2.4500000000000002</v>
      </c>
      <c r="AB447" s="56">
        <v>2.74</v>
      </c>
      <c r="AC447" s="56">
        <v>0.78990000000000005</v>
      </c>
      <c r="AD447" s="56">
        <v>2.99</v>
      </c>
      <c r="AE447" s="56">
        <v>3.77</v>
      </c>
      <c r="AF447" s="56">
        <f t="shared" si="155"/>
        <v>2.4500000000000002</v>
      </c>
      <c r="AG447" s="57">
        <v>3.78</v>
      </c>
      <c r="AH447" s="103">
        <v>3.5999999999999999E-7</v>
      </c>
      <c r="AI447" s="103">
        <v>2.07E-8</v>
      </c>
      <c r="AJ447" s="62">
        <f t="shared" si="159"/>
        <v>-4.8322638255453647</v>
      </c>
      <c r="AK447" s="62">
        <f>LOG10(AI447*1000/(0.08206*298.15))</f>
        <v>-6.0725959808557342</v>
      </c>
      <c r="AL447" s="62">
        <f t="shared" si="156"/>
        <v>-6.0725959808557342</v>
      </c>
      <c r="AM447" s="62">
        <v>-9.23611</v>
      </c>
      <c r="AN447" s="154">
        <v>-5.73</v>
      </c>
      <c r="AO447" s="410"/>
      <c r="AP447" s="410">
        <v>-2.04</v>
      </c>
      <c r="AQ447" s="56" t="s">
        <v>6311</v>
      </c>
      <c r="AR447" s="56" t="s">
        <v>6311</v>
      </c>
      <c r="AS447" s="155"/>
      <c r="AT447" s="58" t="s">
        <v>266</v>
      </c>
      <c r="AU447" s="56">
        <v>6</v>
      </c>
      <c r="AV447" s="56">
        <v>120</v>
      </c>
      <c r="AW447" s="56">
        <v>114</v>
      </c>
      <c r="AX447" s="56">
        <v>28</v>
      </c>
      <c r="AY447" s="56" t="s">
        <v>8728</v>
      </c>
      <c r="AZ447" s="56" t="s">
        <v>1563</v>
      </c>
      <c r="BA447" s="56">
        <v>32</v>
      </c>
      <c r="BB447" s="55" t="s">
        <v>2485</v>
      </c>
      <c r="BC447" s="55" t="s">
        <v>8726</v>
      </c>
      <c r="BD447" s="55" t="s">
        <v>8374</v>
      </c>
      <c r="BE447" s="56" t="s">
        <v>2449</v>
      </c>
      <c r="BF447" s="56" t="s">
        <v>272</v>
      </c>
      <c r="BG447" s="56" t="s">
        <v>272</v>
      </c>
      <c r="BH447" s="56" t="s">
        <v>2486</v>
      </c>
      <c r="BI447" s="103">
        <v>6.3999999999999997E-6</v>
      </c>
      <c r="BJ447" s="103">
        <v>6.4000000000000001E-2</v>
      </c>
      <c r="BK447" s="56"/>
      <c r="BL447" s="103">
        <f t="shared" si="157"/>
        <v>0.23267997046521618</v>
      </c>
      <c r="BM447" s="56" t="s">
        <v>2487</v>
      </c>
      <c r="BN447" s="56"/>
      <c r="BO447" s="56"/>
      <c r="BP447" s="56"/>
      <c r="BQ447" s="56"/>
      <c r="BR447" s="55">
        <v>1.16E-3</v>
      </c>
      <c r="BS447" s="56"/>
      <c r="BT447" s="56"/>
      <c r="BU447" s="158"/>
      <c r="BV447" s="56"/>
      <c r="BW447" s="56"/>
      <c r="BX447" s="56"/>
      <c r="BY447" s="56"/>
      <c r="BZ447" s="56"/>
      <c r="CA447" s="56"/>
      <c r="CB447" s="56"/>
      <c r="CC447" s="56"/>
      <c r="CD447" s="56"/>
      <c r="CE447" s="56"/>
      <c r="CF447" s="56"/>
      <c r="CG447" s="56"/>
      <c r="CH447" s="56"/>
      <c r="CI447" s="103">
        <f t="shared" si="137"/>
        <v>1.16E-3</v>
      </c>
      <c r="CJ447" s="103">
        <f t="shared" si="138"/>
        <v>-2.9355420107730814</v>
      </c>
      <c r="CK447" s="57">
        <f t="shared" si="160"/>
        <v>3.6356245385190027</v>
      </c>
      <c r="CL447" s="160">
        <f t="shared" si="146"/>
        <v>200.58618143553119</v>
      </c>
      <c r="CM447" s="160">
        <v>-3.5999692366668907</v>
      </c>
      <c r="CN447" s="160">
        <f>BJ447/(10^CM447)</f>
        <v>254.77054179474962</v>
      </c>
      <c r="CO447" s="55" t="s">
        <v>2488</v>
      </c>
      <c r="CP447" s="55" t="s">
        <v>2489</v>
      </c>
      <c r="CQ447" s="149">
        <v>-3.3169171826036643</v>
      </c>
      <c r="CR447" s="349">
        <f>10^(CJ447-CQ447)</f>
        <v>2.4064407424337402</v>
      </c>
      <c r="CS447" s="61" t="s">
        <v>539</v>
      </c>
      <c r="CT447" s="61"/>
      <c r="CU447" s="111">
        <f t="shared" si="158"/>
        <v>2020.4110000872815</v>
      </c>
      <c r="CV447" s="331">
        <f t="shared" si="161"/>
        <v>36.619949376581978</v>
      </c>
      <c r="CW447" s="326">
        <f t="shared" si="139"/>
        <v>1</v>
      </c>
      <c r="CX447" s="326"/>
      <c r="CY447" s="161" t="s">
        <v>5921</v>
      </c>
    </row>
    <row r="448" spans="1:103" ht="11.25" customHeight="1" x14ac:dyDescent="0.2">
      <c r="A448" s="72">
        <v>446</v>
      </c>
      <c r="B448" s="149">
        <v>816</v>
      </c>
      <c r="C448" s="54" t="s">
        <v>6752</v>
      </c>
      <c r="D448" s="54" t="s">
        <v>6492</v>
      </c>
      <c r="E448" s="59"/>
      <c r="F448" s="59" t="s">
        <v>2321</v>
      </c>
      <c r="G448" s="151">
        <v>1191500</v>
      </c>
      <c r="H448" s="55" t="s">
        <v>2322</v>
      </c>
      <c r="I448" s="55" t="s">
        <v>2322</v>
      </c>
      <c r="J448" s="55" t="s">
        <v>2323</v>
      </c>
      <c r="K448" s="55" t="s">
        <v>426</v>
      </c>
      <c r="L448" s="64" t="s">
        <v>279</v>
      </c>
      <c r="M448" s="55" t="s">
        <v>2324</v>
      </c>
      <c r="N448" s="60" t="s">
        <v>6383</v>
      </c>
      <c r="O448" s="55" t="s">
        <v>281</v>
      </c>
      <c r="P448" s="67"/>
      <c r="Q448" s="67"/>
      <c r="R448" s="67"/>
      <c r="S448" s="67"/>
      <c r="T448" s="56">
        <v>294.45</v>
      </c>
      <c r="U448" s="103"/>
      <c r="V448" s="103">
        <v>5.562913907284768E-2</v>
      </c>
      <c r="W448" s="103">
        <v>29.512092266663846</v>
      </c>
      <c r="X448" s="103">
        <f>IF(W448=0,V448,W448)</f>
        <v>29.512092266663846</v>
      </c>
      <c r="Y448" s="162">
        <v>1.53</v>
      </c>
      <c r="Z448" s="56">
        <v>3.4</v>
      </c>
      <c r="AA448" s="56"/>
      <c r="AB448" s="56">
        <v>3.19</v>
      </c>
      <c r="AC448" s="56">
        <v>0.39860000000000001</v>
      </c>
      <c r="AD448" s="56">
        <v>5.0999999999999996</v>
      </c>
      <c r="AE448" s="56">
        <v>6.46</v>
      </c>
      <c r="AF448" s="56">
        <f t="shared" si="155"/>
        <v>5.0999999999999996</v>
      </c>
      <c r="AG448" s="57">
        <v>5.0999999999999996</v>
      </c>
      <c r="AH448" s="103">
        <v>3.2399999999999999E-7</v>
      </c>
      <c r="AI448" s="103"/>
      <c r="AJ448" s="62">
        <f t="shared" si="159"/>
        <v>-4.8780213161060395</v>
      </c>
      <c r="AK448" s="62"/>
      <c r="AL448" s="62">
        <f t="shared" si="156"/>
        <v>-4.8780213161060395</v>
      </c>
      <c r="AM448" s="62">
        <v>-11.363960000000001</v>
      </c>
      <c r="AN448" s="154"/>
      <c r="AO448" s="410">
        <v>-3.29</v>
      </c>
      <c r="AP448" s="410"/>
      <c r="AQ448" s="154" t="s">
        <v>6311</v>
      </c>
      <c r="AR448" s="154" t="s">
        <v>6311</v>
      </c>
      <c r="AS448" s="149" t="s">
        <v>6</v>
      </c>
      <c r="AT448" s="58" t="s">
        <v>266</v>
      </c>
      <c r="AU448" s="61">
        <v>0</v>
      </c>
      <c r="AV448" s="56">
        <v>96</v>
      </c>
      <c r="AW448" s="56">
        <v>96</v>
      </c>
      <c r="AX448" s="56">
        <v>26</v>
      </c>
      <c r="AY448" s="56" t="s">
        <v>6360</v>
      </c>
      <c r="AZ448" s="56" t="s">
        <v>536</v>
      </c>
      <c r="BA448" s="56">
        <v>20</v>
      </c>
      <c r="BB448" s="55" t="s">
        <v>1764</v>
      </c>
      <c r="BC448" s="55" t="s">
        <v>6372</v>
      </c>
      <c r="BD448" s="55"/>
      <c r="BE448" s="56" t="s">
        <v>6361</v>
      </c>
      <c r="BF448" s="56" t="s">
        <v>1974</v>
      </c>
      <c r="BG448" s="56" t="s">
        <v>1974</v>
      </c>
      <c r="BH448" s="56" t="s">
        <v>272</v>
      </c>
      <c r="BI448" s="157">
        <v>5.2980132450331126E-4</v>
      </c>
      <c r="BJ448" s="157">
        <v>8.4904058413992189E-3</v>
      </c>
      <c r="BK448" s="56" t="s">
        <v>6366</v>
      </c>
      <c r="BL448" s="103">
        <f t="shared" si="157"/>
        <v>4.5421346020655666E-2</v>
      </c>
      <c r="BM448" s="56" t="s">
        <v>541</v>
      </c>
      <c r="BN448" s="56"/>
      <c r="BO448" s="155">
        <f>(0.000662252+0.000828664+0.000910172+0.000988283+0.001029037+0.001029037+0.001029037+0.001049414+0.00107998+0.001334692+0.001847512+0.00195619)/12</f>
        <v>1.1453558333333334E-3</v>
      </c>
      <c r="BP448" s="56"/>
      <c r="BQ448" s="56">
        <f>(0.000662252+0.000828664+0.000910172+0.000988283+0.001029037+0.001029037+0.001049414+0.00107998+0.001151299+0.001334692+0.001799966+0.001946001)/12</f>
        <v>1.1507330833333332E-3</v>
      </c>
      <c r="BR448" s="56"/>
      <c r="BS448" s="56"/>
      <c r="BT448" s="56"/>
      <c r="BU448" s="158"/>
      <c r="BV448" s="56"/>
      <c r="BW448" s="56"/>
      <c r="BX448" s="56"/>
      <c r="BY448" s="56"/>
      <c r="BZ448" s="56"/>
      <c r="CA448" s="56"/>
      <c r="CB448" s="56"/>
      <c r="CC448" s="56"/>
      <c r="CD448" s="56"/>
      <c r="CE448" s="56"/>
      <c r="CF448" s="56"/>
      <c r="CG448" s="56"/>
      <c r="CH448" s="56"/>
      <c r="CI448" s="103">
        <f t="shared" si="137"/>
        <v>1.1453558333333334E-3</v>
      </c>
      <c r="CJ448" s="103">
        <f t="shared" si="138"/>
        <v>-2.9410595679569687</v>
      </c>
      <c r="CK448" s="57">
        <f t="shared" si="160"/>
        <v>5.3497261343128244</v>
      </c>
      <c r="CL448" s="160">
        <f t="shared" si="146"/>
        <v>39.656973578652632</v>
      </c>
      <c r="CM448" s="160">
        <v>-1.9720819105824725</v>
      </c>
      <c r="CN448" s="160">
        <f>BJ448/(10^CM448)</f>
        <v>0.79617834394904474</v>
      </c>
      <c r="CO448" s="55"/>
      <c r="CP448" s="55" t="s">
        <v>6355</v>
      </c>
      <c r="CQ448" s="149">
        <v>-1.9454325580915328</v>
      </c>
      <c r="CR448" s="349">
        <f>10^(CJ448-CQ448)</f>
        <v>0.10101200466866095</v>
      </c>
      <c r="CS448" s="61" t="s">
        <v>539</v>
      </c>
      <c r="CT448" s="61" t="s">
        <v>6310</v>
      </c>
      <c r="CU448" s="111">
        <f t="shared" si="158"/>
        <v>25766.745501941255</v>
      </c>
      <c r="CV448" s="331">
        <f t="shared" si="161"/>
        <v>3475.9342271676678</v>
      </c>
      <c r="CW448" s="326">
        <f t="shared" si="139"/>
        <v>1</v>
      </c>
      <c r="CX448" s="326" t="s">
        <v>539</v>
      </c>
      <c r="CY448" s="161" t="s">
        <v>5921</v>
      </c>
    </row>
    <row r="449" spans="1:103" ht="11.25" customHeight="1" x14ac:dyDescent="0.2">
      <c r="A449" s="72">
        <v>447</v>
      </c>
      <c r="B449" s="149">
        <v>130</v>
      </c>
      <c r="C449" s="54" t="s">
        <v>755</v>
      </c>
      <c r="D449" s="54" t="s">
        <v>8366</v>
      </c>
      <c r="E449" s="59"/>
      <c r="F449" s="59" t="s">
        <v>756</v>
      </c>
      <c r="G449" s="151">
        <v>123397</v>
      </c>
      <c r="H449" s="55" t="s">
        <v>757</v>
      </c>
      <c r="I449" s="55" t="s">
        <v>757</v>
      </c>
      <c r="J449" s="55" t="s">
        <v>758</v>
      </c>
      <c r="K449" s="55" t="s">
        <v>471</v>
      </c>
      <c r="L449" s="55"/>
      <c r="M449" s="55"/>
      <c r="N449" s="60"/>
      <c r="O449" s="55"/>
      <c r="P449" s="67"/>
      <c r="Q449" s="67"/>
      <c r="R449" s="67"/>
      <c r="S449" s="67"/>
      <c r="T449" s="56">
        <v>59.07</v>
      </c>
      <c r="U449" s="103">
        <v>16929.067208396817</v>
      </c>
      <c r="V449" s="103">
        <v>15644.151007279499</v>
      </c>
      <c r="W449" s="103">
        <v>1380.384264602885</v>
      </c>
      <c r="X449" s="103">
        <v>16929.067208396817</v>
      </c>
      <c r="Y449" s="162">
        <v>7.08</v>
      </c>
      <c r="Z449" s="56">
        <v>-1.1399999999999999</v>
      </c>
      <c r="AA449" s="56">
        <v>-0.97</v>
      </c>
      <c r="AB449" s="56">
        <v>-0.89</v>
      </c>
      <c r="AC449" s="56">
        <v>0.85619999999999996</v>
      </c>
      <c r="AD449" s="56">
        <v>-0.81</v>
      </c>
      <c r="AE449" s="56">
        <v>-0.6</v>
      </c>
      <c r="AF449" s="56">
        <f t="shared" si="155"/>
        <v>-0.97</v>
      </c>
      <c r="AG449" s="57">
        <v>-0.26</v>
      </c>
      <c r="AH449" s="103">
        <v>3.3600000000000003E-8</v>
      </c>
      <c r="AI449" s="103">
        <v>1.9700000000000001E-8</v>
      </c>
      <c r="AJ449" s="62">
        <f t="shared" si="159"/>
        <v>-5.8622270489228079</v>
      </c>
      <c r="AK449" s="62">
        <f>LOG10(AI449*1000/(0.08206*298.15))</f>
        <v>-6.0941001001510591</v>
      </c>
      <c r="AL449" s="62">
        <f t="shared" si="156"/>
        <v>-6.0941001001510591</v>
      </c>
      <c r="AM449" s="62">
        <v>-6.36416</v>
      </c>
      <c r="AN449" s="154">
        <v>-6.79</v>
      </c>
      <c r="AO449" s="410">
        <v>16.48</v>
      </c>
      <c r="AP449" s="410">
        <v>-0.47</v>
      </c>
      <c r="AQ449" s="154" t="s">
        <v>6311</v>
      </c>
      <c r="AR449" s="154" t="s">
        <v>6311</v>
      </c>
      <c r="AS449" s="149" t="s">
        <v>87</v>
      </c>
      <c r="AT449" s="58" t="s">
        <v>266</v>
      </c>
      <c r="AU449" s="56">
        <v>0</v>
      </c>
      <c r="AV449" s="56" t="s">
        <v>646</v>
      </c>
      <c r="AW449" s="56" t="s">
        <v>646</v>
      </c>
      <c r="AX449" s="56">
        <v>26</v>
      </c>
      <c r="AY449" s="56" t="s">
        <v>647</v>
      </c>
      <c r="AZ449" s="56" t="s">
        <v>536</v>
      </c>
      <c r="BA449" s="56">
        <v>20</v>
      </c>
      <c r="BB449" s="55" t="s">
        <v>537</v>
      </c>
      <c r="BC449" s="55" t="s">
        <v>648</v>
      </c>
      <c r="BD449" s="55"/>
      <c r="BE449" s="155" t="s">
        <v>649</v>
      </c>
      <c r="BF449" s="155" t="s">
        <v>650</v>
      </c>
      <c r="BG449" s="155" t="s">
        <v>540</v>
      </c>
      <c r="BH449" s="155" t="s">
        <v>272</v>
      </c>
      <c r="BI449" s="103">
        <v>135.4</v>
      </c>
      <c r="BJ449" s="103">
        <v>519.70000000000005</v>
      </c>
      <c r="BK449" s="56"/>
      <c r="BL449" s="103">
        <f t="shared" si="157"/>
        <v>542.79270223005494</v>
      </c>
      <c r="BM449" s="56" t="s">
        <v>541</v>
      </c>
      <c r="BN449" s="56"/>
      <c r="BO449" s="56">
        <v>377.8</v>
      </c>
      <c r="BP449" s="56"/>
      <c r="BQ449" s="56"/>
      <c r="BR449" s="56">
        <v>294.08904689351601</v>
      </c>
      <c r="BS449" s="56"/>
      <c r="BT449" s="56"/>
      <c r="BU449" s="158"/>
      <c r="BV449" s="56"/>
      <c r="BW449" s="56"/>
      <c r="BX449" s="56"/>
      <c r="BY449" s="56"/>
      <c r="BZ449" s="56"/>
      <c r="CA449" s="56"/>
      <c r="CB449" s="56"/>
      <c r="CC449" s="56"/>
      <c r="CD449" s="56"/>
      <c r="CE449" s="56"/>
      <c r="CF449" s="56"/>
      <c r="CG449" s="56"/>
      <c r="CH449" s="56"/>
      <c r="CI449" s="103">
        <f t="shared" si="137"/>
        <v>294.08904689351601</v>
      </c>
      <c r="CJ449" s="103">
        <f t="shared" si="138"/>
        <v>2.4684788498648134</v>
      </c>
      <c r="CK449" s="57">
        <f t="shared" si="160"/>
        <v>1.0444346781413409</v>
      </c>
      <c r="CL449" s="160">
        <f t="shared" si="146"/>
        <v>1.8456746620236752</v>
      </c>
      <c r="CM449" s="160"/>
      <c r="CN449" s="160"/>
      <c r="CO449" s="55"/>
      <c r="CP449" s="55" t="s">
        <v>651</v>
      </c>
      <c r="CQ449" s="149" t="s">
        <v>272</v>
      </c>
      <c r="CR449" s="349"/>
      <c r="CS449" s="61" t="s">
        <v>539</v>
      </c>
      <c r="CT449" s="61"/>
      <c r="CU449" s="111">
        <f t="shared" si="158"/>
        <v>57.564426105697521</v>
      </c>
      <c r="CV449" s="331">
        <f t="shared" si="161"/>
        <v>32.574691568975979</v>
      </c>
      <c r="CW449" s="326">
        <f t="shared" si="139"/>
        <v>1</v>
      </c>
      <c r="CX449" s="326"/>
      <c r="CY449" s="161" t="s">
        <v>6351</v>
      </c>
    </row>
    <row r="450" spans="1:103" ht="11.25" customHeight="1" x14ac:dyDescent="0.2">
      <c r="A450" s="72">
        <v>448</v>
      </c>
      <c r="B450" s="149">
        <v>1307</v>
      </c>
      <c r="C450" s="54" t="s">
        <v>3588</v>
      </c>
      <c r="D450" s="54" t="s">
        <v>6753</v>
      </c>
      <c r="E450" s="59"/>
      <c r="F450" s="59" t="s">
        <v>3589</v>
      </c>
      <c r="G450" s="151">
        <v>2155706</v>
      </c>
      <c r="H450" s="55" t="s">
        <v>3590</v>
      </c>
      <c r="I450" s="55" t="s">
        <v>3590</v>
      </c>
      <c r="J450" s="55" t="s">
        <v>3591</v>
      </c>
      <c r="K450" s="55" t="s">
        <v>403</v>
      </c>
      <c r="L450" s="55" t="s">
        <v>6143</v>
      </c>
      <c r="M450" s="60" t="s">
        <v>2342</v>
      </c>
      <c r="N450" s="60" t="s">
        <v>2342</v>
      </c>
      <c r="O450" s="55"/>
      <c r="P450" s="67"/>
      <c r="Q450" s="67"/>
      <c r="R450" s="67"/>
      <c r="S450" s="67"/>
      <c r="T450" s="56">
        <v>375.13</v>
      </c>
      <c r="U450" s="103"/>
      <c r="V450" s="103">
        <v>3.3854930290832513E-3</v>
      </c>
      <c r="W450" s="103">
        <v>7.413102413009145E-6</v>
      </c>
      <c r="X450" s="103">
        <f>IF(W450=0,V450,W450)</f>
        <v>7.413102413009145E-6</v>
      </c>
      <c r="Y450" s="162">
        <v>7</v>
      </c>
      <c r="Z450" s="56">
        <v>4.1399999999999997</v>
      </c>
      <c r="AA450" s="56"/>
      <c r="AB450" s="56">
        <v>3.46</v>
      </c>
      <c r="AC450" s="56">
        <v>0.60299999999999998</v>
      </c>
      <c r="AD450" s="56">
        <v>5.8</v>
      </c>
      <c r="AE450" s="56">
        <v>9.49</v>
      </c>
      <c r="AF450" s="56">
        <f t="shared" si="155"/>
        <v>5.8</v>
      </c>
      <c r="AG450" s="57">
        <v>5.8</v>
      </c>
      <c r="AH450" s="103">
        <v>4.8000000000000001E-2</v>
      </c>
      <c r="AI450" s="103"/>
      <c r="AJ450" s="62">
        <f t="shared" si="159"/>
        <v>0.29267491106293542</v>
      </c>
      <c r="AK450" s="62"/>
      <c r="AL450" s="62">
        <f t="shared" si="156"/>
        <v>0.29267491106293542</v>
      </c>
      <c r="AM450" s="62">
        <v>-4.1811600000000002</v>
      </c>
      <c r="AN450" s="154">
        <v>-2.57</v>
      </c>
      <c r="AO450" s="410"/>
      <c r="AP450" s="410"/>
      <c r="AQ450" s="56" t="s">
        <v>6311</v>
      </c>
      <c r="AR450" s="56" t="s">
        <v>6311</v>
      </c>
      <c r="AS450" s="155"/>
      <c r="AT450" s="58" t="s">
        <v>266</v>
      </c>
      <c r="AU450" s="56">
        <v>6</v>
      </c>
      <c r="AV450" s="56">
        <v>120</v>
      </c>
      <c r="AW450" s="56">
        <v>114</v>
      </c>
      <c r="AX450" s="56">
        <v>28</v>
      </c>
      <c r="AY450" s="56" t="s">
        <v>8728</v>
      </c>
      <c r="AZ450" s="56" t="s">
        <v>1563</v>
      </c>
      <c r="BA450" s="56">
        <v>32</v>
      </c>
      <c r="BB450" s="55" t="s">
        <v>2485</v>
      </c>
      <c r="BC450" s="55" t="s">
        <v>8726</v>
      </c>
      <c r="BD450" s="55" t="s">
        <v>8374</v>
      </c>
      <c r="BE450" s="56" t="s">
        <v>2449</v>
      </c>
      <c r="BF450" s="56" t="s">
        <v>272</v>
      </c>
      <c r="BG450" s="56" t="s">
        <v>272</v>
      </c>
      <c r="BH450" s="56" t="s">
        <v>2486</v>
      </c>
      <c r="BI450" s="103">
        <v>6.3999999999999997E-6</v>
      </c>
      <c r="BJ450" s="103">
        <v>6.4000000000000001E-2</v>
      </c>
      <c r="BK450" s="56"/>
      <c r="BL450" s="103">
        <f t="shared" si="157"/>
        <v>9.8325462974008116E-3</v>
      </c>
      <c r="BM450" s="56" t="s">
        <v>2046</v>
      </c>
      <c r="BN450" s="56">
        <v>2.023857703</v>
      </c>
      <c r="BO450" s="56"/>
      <c r="BP450" s="56"/>
      <c r="BQ450" s="56"/>
      <c r="BR450" s="55">
        <v>1.1000000000000001E-3</v>
      </c>
      <c r="BS450" s="56"/>
      <c r="BT450" s="56"/>
      <c r="BU450" s="158"/>
      <c r="BV450" s="56"/>
      <c r="BW450" s="56"/>
      <c r="BX450" s="56"/>
      <c r="BY450" s="56"/>
      <c r="BZ450" s="56"/>
      <c r="CA450" s="56"/>
      <c r="CB450" s="56"/>
      <c r="CC450" s="56"/>
      <c r="CD450" s="56"/>
      <c r="CE450" s="56"/>
      <c r="CF450" s="56"/>
      <c r="CG450" s="56"/>
      <c r="CH450" s="56"/>
      <c r="CI450" s="103">
        <f t="shared" si="137"/>
        <v>1.1000000000000001E-3</v>
      </c>
      <c r="CJ450" s="103">
        <f t="shared" si="138"/>
        <v>-2.9586073148417751</v>
      </c>
      <c r="CK450" s="57">
        <f t="shared" si="160"/>
        <v>0.15363353589688769</v>
      </c>
      <c r="CL450" s="160">
        <f t="shared" si="146"/>
        <v>8.9386784521825557</v>
      </c>
      <c r="CM450" s="160">
        <v>-4.0178792962905812</v>
      </c>
      <c r="CN450" s="160">
        <f>BJ450/(10^CM450)</f>
        <v>666.8977777777784</v>
      </c>
      <c r="CO450" s="55" t="s">
        <v>2488</v>
      </c>
      <c r="CP450" s="55" t="s">
        <v>2489</v>
      </c>
      <c r="CQ450" s="149">
        <v>-3.8963602719474344</v>
      </c>
      <c r="CR450" s="349">
        <f t="shared" ref="CR450:CR462" si="162">10^(CJ450-CQ450)</f>
        <v>8.6646885575525872</v>
      </c>
      <c r="CS450" s="61" t="s">
        <v>539</v>
      </c>
      <c r="CT450" s="61"/>
      <c r="CU450" s="111">
        <f t="shared" si="158"/>
        <v>6.7391840118264951E-3</v>
      </c>
      <c r="CV450" s="331">
        <f t="shared" si="161"/>
        <v>1.1582972520326789E-4</v>
      </c>
      <c r="CW450" s="326">
        <f t="shared" si="139"/>
        <v>0</v>
      </c>
      <c r="CX450" s="326"/>
      <c r="CY450" s="161" t="s">
        <v>5921</v>
      </c>
    </row>
    <row r="451" spans="1:103" ht="11.25" customHeight="1" x14ac:dyDescent="0.2">
      <c r="A451" s="72">
        <v>449</v>
      </c>
      <c r="B451" s="149">
        <v>683</v>
      </c>
      <c r="C451" s="54" t="s">
        <v>1535</v>
      </c>
      <c r="D451" s="54" t="s">
        <v>6500</v>
      </c>
      <c r="E451" s="59"/>
      <c r="F451" s="59" t="s">
        <v>1536</v>
      </c>
      <c r="G451" s="151">
        <v>3380345</v>
      </c>
      <c r="H451" s="55" t="s">
        <v>1537</v>
      </c>
      <c r="I451" s="55" t="s">
        <v>7884</v>
      </c>
      <c r="J451" s="55" t="s">
        <v>1538</v>
      </c>
      <c r="K451" s="55" t="s">
        <v>349</v>
      </c>
      <c r="L451" s="55" t="s">
        <v>6067</v>
      </c>
      <c r="M451" s="55" t="s">
        <v>6082</v>
      </c>
      <c r="N451" s="60" t="s">
        <v>6082</v>
      </c>
      <c r="O451" s="65" t="s">
        <v>6083</v>
      </c>
      <c r="P451" s="67"/>
      <c r="Q451" s="67"/>
      <c r="R451" s="67"/>
      <c r="S451" s="67"/>
      <c r="T451" s="56">
        <v>289.54000000000002</v>
      </c>
      <c r="U451" s="103">
        <v>3.4537542308489329E-2</v>
      </c>
      <c r="V451" s="103">
        <v>1.595979830075292E-2</v>
      </c>
      <c r="W451" s="103">
        <v>4.8977881936844584E-3</v>
      </c>
      <c r="X451" s="103">
        <v>3.4537542308489329E-2</v>
      </c>
      <c r="Y451" s="162">
        <v>6.54</v>
      </c>
      <c r="Z451" s="56">
        <v>4.66</v>
      </c>
      <c r="AA451" s="56">
        <v>4.76</v>
      </c>
      <c r="AB451" s="56">
        <v>5.3</v>
      </c>
      <c r="AC451" s="56">
        <v>0.87380000000000002</v>
      </c>
      <c r="AD451" s="56">
        <v>5.27</v>
      </c>
      <c r="AE451" s="56">
        <v>5.17</v>
      </c>
      <c r="AF451" s="56">
        <f t="shared" si="155"/>
        <v>4.76</v>
      </c>
      <c r="AG451" s="57">
        <v>4.8499999999999996</v>
      </c>
      <c r="AH451" s="103">
        <v>4.9900000000000003E-9</v>
      </c>
      <c r="AI451" s="103"/>
      <c r="AJ451" s="62">
        <f t="shared" si="159"/>
        <v>-6.6904657806892622</v>
      </c>
      <c r="AK451" s="62"/>
      <c r="AL451" s="62">
        <f t="shared" si="156"/>
        <v>-6.6904657806892622</v>
      </c>
      <c r="AM451" s="62">
        <v>-10.51848</v>
      </c>
      <c r="AN451" s="154">
        <v>-3.91</v>
      </c>
      <c r="AO451" s="410">
        <v>7.8</v>
      </c>
      <c r="AP451" s="410"/>
      <c r="AQ451" s="154" t="s">
        <v>6311</v>
      </c>
      <c r="AR451" s="154" t="s">
        <v>6311</v>
      </c>
      <c r="AS451" s="149" t="s">
        <v>6</v>
      </c>
      <c r="AT451" s="58" t="s">
        <v>266</v>
      </c>
      <c r="AU451" s="56">
        <v>2</v>
      </c>
      <c r="AV451" s="56">
        <v>96</v>
      </c>
      <c r="AW451" s="56">
        <v>96</v>
      </c>
      <c r="AX451" s="56">
        <v>26</v>
      </c>
      <c r="AY451" s="56" t="s">
        <v>6360</v>
      </c>
      <c r="AZ451" s="56" t="s">
        <v>536</v>
      </c>
      <c r="BA451" s="56">
        <v>20</v>
      </c>
      <c r="BB451" s="55" t="s">
        <v>1764</v>
      </c>
      <c r="BC451" s="55" t="s">
        <v>6372</v>
      </c>
      <c r="BD451" s="55"/>
      <c r="BE451" s="56" t="s">
        <v>6361</v>
      </c>
      <c r="BF451" s="56" t="s">
        <v>1974</v>
      </c>
      <c r="BG451" s="56" t="s">
        <v>1974</v>
      </c>
      <c r="BH451" s="56" t="s">
        <v>272</v>
      </c>
      <c r="BI451" s="157">
        <f>0.075/289.54</f>
        <v>2.5903156731366995E-4</v>
      </c>
      <c r="BJ451" s="157">
        <f>1.2/289.54</f>
        <v>4.1445050770187192E-3</v>
      </c>
      <c r="BK451" s="56"/>
      <c r="BL451" s="103">
        <f t="shared" si="157"/>
        <v>3.3547024047339783E-3</v>
      </c>
      <c r="BM451" s="56" t="s">
        <v>541</v>
      </c>
      <c r="BN451" s="56"/>
      <c r="BO451" s="56">
        <f>0.42/289.54</f>
        <v>1.4505767769565517E-3</v>
      </c>
      <c r="BP451" s="56"/>
      <c r="BQ451" s="477">
        <f>0.3/289.54</f>
        <v>1.0361262692546798E-3</v>
      </c>
      <c r="BR451" s="56"/>
      <c r="BS451" s="56"/>
      <c r="BT451" s="56"/>
      <c r="BU451" s="158"/>
      <c r="BV451" s="56"/>
      <c r="BW451" s="56"/>
      <c r="BX451" s="56"/>
      <c r="BY451" s="56"/>
      <c r="BZ451" s="56"/>
      <c r="CA451" s="56"/>
      <c r="CB451" s="56"/>
      <c r="CC451" s="56"/>
      <c r="CD451" s="56"/>
      <c r="CE451" s="56"/>
      <c r="CF451" s="56"/>
      <c r="CG451" s="56"/>
      <c r="CH451" s="56"/>
      <c r="CI451" s="103">
        <f t="shared" ref="CI451:CI510" si="163">MIN(BN451:CH451)</f>
        <v>1.0361262692546798E-3</v>
      </c>
      <c r="CJ451" s="103">
        <f t="shared" ref="CJ451:CJ510" si="164">LOG10(CI451)</f>
        <v>-2.9845873153447036</v>
      </c>
      <c r="CK451" s="57">
        <f t="shared" si="160"/>
        <v>0.80943377855556342</v>
      </c>
      <c r="CL451" s="160">
        <f t="shared" si="146"/>
        <v>3.2377351142222537</v>
      </c>
      <c r="CM451" s="160">
        <v>-3.0303448059053788</v>
      </c>
      <c r="CN451" s="160">
        <f>BJ451/(10^CM451)</f>
        <v>4.4444444444444491</v>
      </c>
      <c r="CO451" s="55"/>
      <c r="CP451" s="55" t="s">
        <v>6355</v>
      </c>
      <c r="CQ451" s="149">
        <v>-2.4921962873970331</v>
      </c>
      <c r="CR451" s="349">
        <f t="shared" si="162"/>
        <v>0.321816992630228</v>
      </c>
      <c r="CS451" s="61" t="s">
        <v>539</v>
      </c>
      <c r="CT451" s="61"/>
      <c r="CU451" s="111">
        <f t="shared" si="158"/>
        <v>33.333333333333336</v>
      </c>
      <c r="CV451" s="331">
        <f t="shared" si="161"/>
        <v>8.3333333333333339</v>
      </c>
      <c r="CW451" s="326">
        <f t="shared" ref="CW451:CW510" si="165">IF(CU451&lt;2,0,1)</f>
        <v>1</v>
      </c>
      <c r="CX451" s="326" t="s">
        <v>539</v>
      </c>
      <c r="CY451" s="161" t="s">
        <v>6351</v>
      </c>
    </row>
    <row r="452" spans="1:103" ht="11.25" customHeight="1" x14ac:dyDescent="0.2">
      <c r="A452" s="72">
        <v>450</v>
      </c>
      <c r="B452" s="149">
        <v>305</v>
      </c>
      <c r="C452" s="54" t="s">
        <v>1199</v>
      </c>
      <c r="D452" s="54" t="s">
        <v>6535</v>
      </c>
      <c r="E452" s="59"/>
      <c r="F452" s="59" t="s">
        <v>1200</v>
      </c>
      <c r="G452" s="151">
        <v>79622596</v>
      </c>
      <c r="H452" s="55" t="s">
        <v>1201</v>
      </c>
      <c r="I452" s="55" t="s">
        <v>7885</v>
      </c>
      <c r="J452" s="55" t="s">
        <v>1202</v>
      </c>
      <c r="K452" s="55" t="s">
        <v>1203</v>
      </c>
      <c r="L452" s="55" t="s">
        <v>5248</v>
      </c>
      <c r="M452" s="55" t="s">
        <v>5983</v>
      </c>
      <c r="N452" s="60" t="s">
        <v>6381</v>
      </c>
      <c r="O452" s="55" t="s">
        <v>5984</v>
      </c>
      <c r="P452" s="67"/>
      <c r="Q452" s="67"/>
      <c r="R452" s="67"/>
      <c r="S452" s="67"/>
      <c r="T452" s="56">
        <v>465.09</v>
      </c>
      <c r="U452" s="103">
        <v>3.7842138080801569E-3</v>
      </c>
      <c r="V452" s="103">
        <v>9.6733965469049008E-4</v>
      </c>
      <c r="W452" s="103">
        <v>2.7542287033381599E-5</v>
      </c>
      <c r="X452" s="103">
        <v>3.7842138080801569E-3</v>
      </c>
      <c r="Y452" s="162">
        <v>7</v>
      </c>
      <c r="Z452" s="56">
        <v>4.0199999999999996</v>
      </c>
      <c r="AA452" s="56">
        <v>4.01</v>
      </c>
      <c r="AB452" s="56">
        <v>4.04</v>
      </c>
      <c r="AC452" s="56">
        <v>0.73080000000000001</v>
      </c>
      <c r="AD452" s="56">
        <v>5.16</v>
      </c>
      <c r="AE452" s="56">
        <v>8.19</v>
      </c>
      <c r="AF452" s="56">
        <f t="shared" si="155"/>
        <v>4.01</v>
      </c>
      <c r="AG452" s="57">
        <v>4.62</v>
      </c>
      <c r="AH452" s="103">
        <v>5.2300000000000003E-9</v>
      </c>
      <c r="AI452" s="103"/>
      <c r="AJ452" s="62">
        <f t="shared" si="159"/>
        <v>-6.6700646374453774</v>
      </c>
      <c r="AK452" s="62"/>
      <c r="AL452" s="62">
        <f t="shared" si="156"/>
        <v>-6.6700646374453774</v>
      </c>
      <c r="AM452" s="62">
        <v>-10.72462</v>
      </c>
      <c r="AN452" s="154">
        <v>-2.95</v>
      </c>
      <c r="AO452" s="410"/>
      <c r="AP452" s="410">
        <v>-1.43</v>
      </c>
      <c r="AQ452" s="154" t="s">
        <v>6311</v>
      </c>
      <c r="AR452" s="154" t="s">
        <v>6311</v>
      </c>
      <c r="AS452" s="149" t="s">
        <v>6</v>
      </c>
      <c r="AT452" s="58" t="s">
        <v>266</v>
      </c>
      <c r="AU452" s="56">
        <v>8</v>
      </c>
      <c r="AV452" s="56">
        <v>144</v>
      </c>
      <c r="AW452" s="56">
        <v>120</v>
      </c>
      <c r="AX452" s="56">
        <v>26</v>
      </c>
      <c r="AY452" s="56" t="s">
        <v>267</v>
      </c>
      <c r="AZ452" s="56" t="s">
        <v>268</v>
      </c>
      <c r="BA452" s="56">
        <v>3</v>
      </c>
      <c r="BB452" s="55" t="s">
        <v>888</v>
      </c>
      <c r="BC452" s="55" t="s">
        <v>270</v>
      </c>
      <c r="BD452" s="55" t="s">
        <v>8374</v>
      </c>
      <c r="BE452" s="56" t="s">
        <v>889</v>
      </c>
      <c r="BF452" s="56" t="s">
        <v>272</v>
      </c>
      <c r="BG452" s="56" t="s">
        <v>272</v>
      </c>
      <c r="BH452" s="56" t="s">
        <v>890</v>
      </c>
      <c r="BI452" s="103">
        <v>9.9999999999999995E-7</v>
      </c>
      <c r="BJ452" s="103">
        <v>0.08</v>
      </c>
      <c r="BK452" s="56"/>
      <c r="BL452" s="103">
        <f t="shared" si="157"/>
        <v>1.2601957191637207E-2</v>
      </c>
      <c r="BM452" s="56" t="s">
        <v>891</v>
      </c>
      <c r="BN452" s="162"/>
      <c r="BO452" s="162"/>
      <c r="BP452" s="162"/>
      <c r="BQ452" s="162"/>
      <c r="BR452" s="162"/>
      <c r="BS452" s="56">
        <v>1.0319999999999999E-3</v>
      </c>
      <c r="BT452" s="162"/>
      <c r="BU452" s="158"/>
      <c r="BV452" s="162"/>
      <c r="BW452" s="162"/>
      <c r="BX452" s="162"/>
      <c r="BY452" s="162"/>
      <c r="BZ452" s="162"/>
      <c r="CA452" s="162"/>
      <c r="CB452" s="162"/>
      <c r="CC452" s="56"/>
      <c r="CD452" s="56"/>
      <c r="CE452" s="56"/>
      <c r="CF452" s="56"/>
      <c r="CG452" s="56"/>
      <c r="CH452" s="56"/>
      <c r="CI452" s="103">
        <f t="shared" si="163"/>
        <v>1.0319999999999999E-3</v>
      </c>
      <c r="CJ452" s="103">
        <f t="shared" si="164"/>
        <v>-2.9863203027088074</v>
      </c>
      <c r="CK452" s="57">
        <f t="shared" si="160"/>
        <v>0.15752446489546507</v>
      </c>
      <c r="CL452" s="160">
        <f t="shared" si="146"/>
        <v>12.211198829105822</v>
      </c>
      <c r="CM452" s="160">
        <v>-3.945726386540406</v>
      </c>
      <c r="CN452" s="160">
        <f>BJ452/(10^CM452)</f>
        <v>706.01897533206818</v>
      </c>
      <c r="CO452" s="55" t="s">
        <v>892</v>
      </c>
      <c r="CP452" s="55" t="s">
        <v>893</v>
      </c>
      <c r="CQ452" s="149">
        <v>-3.8943684013735997</v>
      </c>
      <c r="CR452" s="349">
        <f t="shared" si="162"/>
        <v>8.0918551253789488</v>
      </c>
      <c r="CS452" s="61" t="s">
        <v>539</v>
      </c>
      <c r="CT452" s="61"/>
      <c r="CU452" s="111">
        <f t="shared" si="158"/>
        <v>3.666873845038912</v>
      </c>
      <c r="CV452" s="331">
        <f t="shared" si="161"/>
        <v>4.730267260100196E-2</v>
      </c>
      <c r="CW452" s="326">
        <f t="shared" si="165"/>
        <v>1</v>
      </c>
      <c r="CX452" s="326" t="s">
        <v>539</v>
      </c>
      <c r="CY452" s="161" t="s">
        <v>5921</v>
      </c>
    </row>
    <row r="453" spans="1:103" ht="11.25" customHeight="1" x14ac:dyDescent="0.2">
      <c r="A453" s="72">
        <v>451</v>
      </c>
      <c r="B453" s="149">
        <v>379</v>
      </c>
      <c r="C453" s="54" t="s">
        <v>1327</v>
      </c>
      <c r="D453" s="54" t="s">
        <v>6754</v>
      </c>
      <c r="E453" s="59"/>
      <c r="F453" s="59" t="s">
        <v>1328</v>
      </c>
      <c r="G453" s="151">
        <v>50657</v>
      </c>
      <c r="H453" s="55" t="s">
        <v>1329</v>
      </c>
      <c r="I453" s="55" t="s">
        <v>7886</v>
      </c>
      <c r="J453" s="55" t="s">
        <v>1330</v>
      </c>
      <c r="K453" s="55" t="s">
        <v>464</v>
      </c>
      <c r="L453" s="64" t="s">
        <v>279</v>
      </c>
      <c r="M453" s="55" t="s">
        <v>1331</v>
      </c>
      <c r="N453" s="60" t="s">
        <v>6381</v>
      </c>
      <c r="O453" s="55" t="s">
        <v>281</v>
      </c>
      <c r="P453" s="67"/>
      <c r="Q453" s="67"/>
      <c r="R453" s="67"/>
      <c r="S453" s="67"/>
      <c r="T453" s="56">
        <v>327.12</v>
      </c>
      <c r="U453" s="103">
        <v>4.8911714355588162E-3</v>
      </c>
      <c r="V453" s="103">
        <v>5.1510149180728788E-3</v>
      </c>
      <c r="W453" s="103">
        <v>1.0715193052376047E-3</v>
      </c>
      <c r="X453" s="103">
        <v>4.8911714355588162E-3</v>
      </c>
      <c r="Y453" s="162">
        <v>6.72</v>
      </c>
      <c r="Z453" s="56">
        <v>4.5599999999999996</v>
      </c>
      <c r="AA453" s="56"/>
      <c r="AB453" s="56">
        <v>4.43</v>
      </c>
      <c r="AC453" s="56">
        <v>0.72719999999999996</v>
      </c>
      <c r="AD453" s="56">
        <v>4.72</v>
      </c>
      <c r="AE453" s="56">
        <v>5.4</v>
      </c>
      <c r="AF453" s="56">
        <f t="shared" si="155"/>
        <v>4.72</v>
      </c>
      <c r="AG453" s="57">
        <v>3.4</v>
      </c>
      <c r="AH453" s="103">
        <v>3.4699999999999999E-13</v>
      </c>
      <c r="AI453" s="103">
        <v>3.9999999999999999E-12</v>
      </c>
      <c r="AJ453" s="62">
        <f t="shared" si="159"/>
        <v>-10.848236851521778</v>
      </c>
      <c r="AK453" s="62">
        <f>LOG10(AI453*1000/(0.08206*298.15))</f>
        <v>-9.7865063349846899</v>
      </c>
      <c r="AL453" s="62">
        <f t="shared" si="156"/>
        <v>-9.7865063349846899</v>
      </c>
      <c r="AM453" s="62">
        <v>-17.142900000000001</v>
      </c>
      <c r="AN453" s="154">
        <v>-8.14</v>
      </c>
      <c r="AO453" s="410">
        <v>7.45</v>
      </c>
      <c r="AP453" s="410">
        <v>-2.36</v>
      </c>
      <c r="AQ453" s="154" t="s">
        <v>6311</v>
      </c>
      <c r="AR453" s="154" t="s">
        <v>6311</v>
      </c>
      <c r="AS453" s="149" t="s">
        <v>6</v>
      </c>
      <c r="AT453" s="58" t="s">
        <v>266</v>
      </c>
      <c r="AU453" s="56">
        <v>8</v>
      </c>
      <c r="AV453" s="56">
        <v>144</v>
      </c>
      <c r="AW453" s="56">
        <v>120</v>
      </c>
      <c r="AX453" s="56">
        <v>26</v>
      </c>
      <c r="AY453" s="56" t="s">
        <v>267</v>
      </c>
      <c r="AZ453" s="56" t="s">
        <v>268</v>
      </c>
      <c r="BA453" s="56">
        <v>2</v>
      </c>
      <c r="BB453" s="55" t="s">
        <v>888</v>
      </c>
      <c r="BC453" s="55" t="s">
        <v>270</v>
      </c>
      <c r="BD453" s="55" t="s">
        <v>8374</v>
      </c>
      <c r="BE453" s="56" t="s">
        <v>889</v>
      </c>
      <c r="BF453" s="56" t="s">
        <v>272</v>
      </c>
      <c r="BG453" s="56" t="s">
        <v>272</v>
      </c>
      <c r="BH453" s="56" t="s">
        <v>890</v>
      </c>
      <c r="BI453" s="103">
        <v>9.9999999999999995E-7</v>
      </c>
      <c r="BJ453" s="103">
        <v>0.08</v>
      </c>
      <c r="BK453" s="56"/>
      <c r="BL453" s="103">
        <f t="shared" si="157"/>
        <v>4.1253803915753968E-3</v>
      </c>
      <c r="BM453" s="56" t="s">
        <v>891</v>
      </c>
      <c r="BN453" s="162"/>
      <c r="BO453" s="162"/>
      <c r="BP453" s="162"/>
      <c r="BQ453" s="162"/>
      <c r="BR453" s="162"/>
      <c r="BS453" s="56">
        <v>1E-3</v>
      </c>
      <c r="BT453" s="162"/>
      <c r="BU453" s="158"/>
      <c r="BV453" s="162"/>
      <c r="BW453" s="162"/>
      <c r="BX453" s="162"/>
      <c r="BY453" s="162"/>
      <c r="BZ453" s="162"/>
      <c r="CA453" s="162"/>
      <c r="CB453" s="162"/>
      <c r="CC453" s="56"/>
      <c r="CD453" s="56"/>
      <c r="CE453" s="56"/>
      <c r="CF453" s="56"/>
      <c r="CG453" s="56"/>
      <c r="CH453" s="56"/>
      <c r="CI453" s="103">
        <f t="shared" si="163"/>
        <v>1E-3</v>
      </c>
      <c r="CJ453" s="103">
        <f t="shared" si="164"/>
        <v>-3</v>
      </c>
      <c r="CK453" s="57">
        <f t="shared" si="160"/>
        <v>5.1567254894692459E-2</v>
      </c>
      <c r="CL453" s="160">
        <f t="shared" si="146"/>
        <v>4.1253803915753968</v>
      </c>
      <c r="CM453" s="160">
        <v>-3.4733144123880546</v>
      </c>
      <c r="CN453" s="160">
        <f>BJ453/(10^CM453)</f>
        <v>237.90545454545475</v>
      </c>
      <c r="CO453" s="55" t="s">
        <v>892</v>
      </c>
      <c r="CP453" s="55" t="s">
        <v>893</v>
      </c>
      <c r="CQ453" s="149">
        <v>-3.4733144123880546</v>
      </c>
      <c r="CR453" s="349">
        <f t="shared" si="162"/>
        <v>2.9738181818181824</v>
      </c>
      <c r="CS453" s="61" t="s">
        <v>539</v>
      </c>
      <c r="CT453" s="61"/>
      <c r="CU453" s="111">
        <f t="shared" si="158"/>
        <v>4.8911714355588156</v>
      </c>
      <c r="CV453" s="331">
        <f t="shared" si="161"/>
        <v>6.1139642944485199E-2</v>
      </c>
      <c r="CW453" s="326">
        <f t="shared" si="165"/>
        <v>1</v>
      </c>
      <c r="CX453" s="326" t="s">
        <v>539</v>
      </c>
      <c r="CY453" s="161" t="s">
        <v>5921</v>
      </c>
    </row>
    <row r="454" spans="1:103" ht="11.25" customHeight="1" x14ac:dyDescent="0.2">
      <c r="A454" s="72">
        <v>452</v>
      </c>
      <c r="B454" s="149">
        <v>622</v>
      </c>
      <c r="C454" s="54" t="s">
        <v>6755</v>
      </c>
      <c r="D454" s="54" t="s">
        <v>6756</v>
      </c>
      <c r="E454" s="59"/>
      <c r="F454" s="59" t="s">
        <v>1856</v>
      </c>
      <c r="G454" s="151">
        <v>97234</v>
      </c>
      <c r="H454" s="55" t="s">
        <v>1857</v>
      </c>
      <c r="I454" s="55" t="s">
        <v>7887</v>
      </c>
      <c r="J454" s="55" t="s">
        <v>1858</v>
      </c>
      <c r="K454" s="55" t="s">
        <v>376</v>
      </c>
      <c r="L454" s="55" t="s">
        <v>6632</v>
      </c>
      <c r="M454" s="55" t="s">
        <v>497</v>
      </c>
      <c r="N454" s="60" t="s">
        <v>6381</v>
      </c>
      <c r="O454" s="55" t="s">
        <v>498</v>
      </c>
      <c r="P454" s="67" t="s">
        <v>1639</v>
      </c>
      <c r="Q454" s="67" t="s">
        <v>6173</v>
      </c>
      <c r="R454" s="67" t="s">
        <v>6180</v>
      </c>
      <c r="S454" s="67" t="s">
        <v>6176</v>
      </c>
      <c r="T454" s="56">
        <v>269.12</v>
      </c>
      <c r="U454" s="103">
        <v>0.111474435196195</v>
      </c>
      <c r="V454" s="103">
        <v>6.0084720570749116E-2</v>
      </c>
      <c r="W454" s="103">
        <v>6.7608297539198101E-2</v>
      </c>
      <c r="X454" s="103">
        <v>0.111474435196195</v>
      </c>
      <c r="Y454" s="162">
        <v>6.62</v>
      </c>
      <c r="Z454" s="56">
        <v>4.34</v>
      </c>
      <c r="AA454" s="56">
        <v>4.26</v>
      </c>
      <c r="AB454" s="56">
        <v>4.53</v>
      </c>
      <c r="AC454" s="56">
        <v>0.85260000000000002</v>
      </c>
      <c r="AD454" s="56">
        <v>4.5599999999999996</v>
      </c>
      <c r="AE454" s="56">
        <v>4.62</v>
      </c>
      <c r="AF454" s="56">
        <f t="shared" si="155"/>
        <v>4.26</v>
      </c>
      <c r="AG454" s="57">
        <v>4.34</v>
      </c>
      <c r="AH454" s="103">
        <v>2.8500000000000002E-12</v>
      </c>
      <c r="AI454" s="103">
        <v>1.1499999999999999E-12</v>
      </c>
      <c r="AJ454" s="62">
        <f t="shared" si="159"/>
        <v>-9.9337214663041422</v>
      </c>
      <c r="AK454" s="62">
        <f>LOG10(AI454*1000/(0.08206*298.15))</f>
        <v>-10.327868485959041</v>
      </c>
      <c r="AL454" s="62">
        <f t="shared" si="156"/>
        <v>-10.327868485959041</v>
      </c>
      <c r="AM454" s="62">
        <v>-15.802580000000001</v>
      </c>
      <c r="AN454" s="154">
        <v>-9.84</v>
      </c>
      <c r="AO454" s="410">
        <v>9.15</v>
      </c>
      <c r="AP454" s="410"/>
      <c r="AQ454" s="154" t="s">
        <v>6311</v>
      </c>
      <c r="AR454" s="154" t="s">
        <v>6311</v>
      </c>
      <c r="AS454" s="149" t="s">
        <v>6</v>
      </c>
      <c r="AT454" s="58" t="s">
        <v>266</v>
      </c>
      <c r="AU454" s="56">
        <v>2</v>
      </c>
      <c r="AV454" s="56" t="s">
        <v>646</v>
      </c>
      <c r="AW454" s="56" t="s">
        <v>646</v>
      </c>
      <c r="AX454" s="56">
        <v>26</v>
      </c>
      <c r="AY454" s="56" t="s">
        <v>647</v>
      </c>
      <c r="AZ454" s="56" t="s">
        <v>536</v>
      </c>
      <c r="BA454" s="56">
        <v>10</v>
      </c>
      <c r="BB454" s="55" t="s">
        <v>1764</v>
      </c>
      <c r="BC454" s="55" t="s">
        <v>538</v>
      </c>
      <c r="BD454" s="55"/>
      <c r="BE454" s="56" t="s">
        <v>1809</v>
      </c>
      <c r="BF454" s="56" t="s">
        <v>539</v>
      </c>
      <c r="BG454" s="56" t="s">
        <v>272</v>
      </c>
      <c r="BH454" s="56" t="s">
        <v>272</v>
      </c>
      <c r="BI454" s="157">
        <v>2.322297774309813E-3</v>
      </c>
      <c r="BJ454" s="157">
        <v>7.4313528777914016E-3</v>
      </c>
      <c r="BK454" s="56" t="s">
        <v>1843</v>
      </c>
      <c r="BL454" s="103">
        <f t="shared" si="157"/>
        <v>6.5019855502100304E-3</v>
      </c>
      <c r="BM454" s="56" t="s">
        <v>541</v>
      </c>
      <c r="BN454" s="56"/>
      <c r="BO454" s="56">
        <v>1.7092111618920226E-3</v>
      </c>
      <c r="BP454" s="56"/>
      <c r="BQ454" s="56"/>
      <c r="BR454" s="56">
        <v>9.8999999999999999E-4</v>
      </c>
      <c r="BS454" s="56"/>
      <c r="BT454" s="56"/>
      <c r="BU454" s="158"/>
      <c r="BV454" s="56"/>
      <c r="BW454" s="56"/>
      <c r="BX454" s="56"/>
      <c r="BY454" s="56"/>
      <c r="BZ454" s="56"/>
      <c r="CA454" s="56"/>
      <c r="CB454" s="56"/>
      <c r="CC454" s="56"/>
      <c r="CD454" s="56"/>
      <c r="CE454" s="56"/>
      <c r="CF454" s="56"/>
      <c r="CG454" s="56"/>
      <c r="CH454" s="56"/>
      <c r="CI454" s="103">
        <f t="shared" si="163"/>
        <v>9.8999999999999999E-4</v>
      </c>
      <c r="CJ454" s="103">
        <f t="shared" si="164"/>
        <v>-3.0043648054024499</v>
      </c>
      <c r="CK454" s="57">
        <f t="shared" si="160"/>
        <v>0.8749396855640128</v>
      </c>
      <c r="CL454" s="160">
        <f t="shared" si="146"/>
        <v>6.5676621719293236</v>
      </c>
      <c r="CM454" s="160"/>
      <c r="CN454" s="160"/>
      <c r="CO454" s="55"/>
      <c r="CP454" s="55" t="s">
        <v>1811</v>
      </c>
      <c r="CQ454" s="149">
        <v>-2.9392858874882646</v>
      </c>
      <c r="CR454" s="349">
        <f t="shared" si="162"/>
        <v>0.86083731073605207</v>
      </c>
      <c r="CS454" s="61" t="s">
        <v>539</v>
      </c>
      <c r="CT454" s="61" t="s">
        <v>6310</v>
      </c>
      <c r="CU454" s="111">
        <f t="shared" si="158"/>
        <v>112.60043959211616</v>
      </c>
      <c r="CV454" s="331">
        <f t="shared" si="161"/>
        <v>15.000557372175981</v>
      </c>
      <c r="CW454" s="326">
        <f t="shared" si="165"/>
        <v>1</v>
      </c>
      <c r="CX454" s="326" t="s">
        <v>539</v>
      </c>
      <c r="CY454" s="161" t="s">
        <v>5921</v>
      </c>
    </row>
    <row r="455" spans="1:103" ht="11.25" customHeight="1" x14ac:dyDescent="0.2">
      <c r="A455" s="72">
        <v>453</v>
      </c>
      <c r="B455" s="149">
        <v>596</v>
      </c>
      <c r="C455" s="54" t="s">
        <v>1535</v>
      </c>
      <c r="D455" s="54" t="s">
        <v>6500</v>
      </c>
      <c r="E455" s="59"/>
      <c r="F455" s="59" t="s">
        <v>1536</v>
      </c>
      <c r="G455" s="151">
        <v>3380345</v>
      </c>
      <c r="H455" s="55" t="s">
        <v>1537</v>
      </c>
      <c r="I455" s="55" t="s">
        <v>7884</v>
      </c>
      <c r="J455" s="55" t="s">
        <v>1538</v>
      </c>
      <c r="K455" s="55" t="s">
        <v>349</v>
      </c>
      <c r="L455" s="55" t="s">
        <v>6067</v>
      </c>
      <c r="M455" s="55" t="s">
        <v>6082</v>
      </c>
      <c r="N455" s="60" t="s">
        <v>6082</v>
      </c>
      <c r="O455" s="65" t="s">
        <v>6083</v>
      </c>
      <c r="P455" s="67"/>
      <c r="Q455" s="67"/>
      <c r="R455" s="67"/>
      <c r="S455" s="67"/>
      <c r="T455" s="56">
        <v>289.54000000000002</v>
      </c>
      <c r="U455" s="103">
        <v>3.4537542308489329E-2</v>
      </c>
      <c r="V455" s="103">
        <v>1.595979830075292E-2</v>
      </c>
      <c r="W455" s="103">
        <v>4.8977881936844584E-3</v>
      </c>
      <c r="X455" s="103">
        <v>3.4537542308489329E-2</v>
      </c>
      <c r="Y455" s="162">
        <v>6.54</v>
      </c>
      <c r="Z455" s="56">
        <v>4.66</v>
      </c>
      <c r="AA455" s="56">
        <v>4.76</v>
      </c>
      <c r="AB455" s="56">
        <v>5.3</v>
      </c>
      <c r="AC455" s="56">
        <v>0.87380000000000002</v>
      </c>
      <c r="AD455" s="56">
        <v>5.27</v>
      </c>
      <c r="AE455" s="56">
        <v>5.17</v>
      </c>
      <c r="AF455" s="56">
        <f t="shared" si="155"/>
        <v>4.76</v>
      </c>
      <c r="AG455" s="57">
        <v>4.8499999999999996</v>
      </c>
      <c r="AH455" s="103">
        <v>4.9900000000000003E-9</v>
      </c>
      <c r="AI455" s="103"/>
      <c r="AJ455" s="62">
        <f t="shared" si="159"/>
        <v>-6.6904657806892622</v>
      </c>
      <c r="AK455" s="62"/>
      <c r="AL455" s="62">
        <f t="shared" si="156"/>
        <v>-6.6904657806892622</v>
      </c>
      <c r="AM455" s="62">
        <v>-10.51848</v>
      </c>
      <c r="AN455" s="154">
        <v>-3.91</v>
      </c>
      <c r="AO455" s="410">
        <v>7.8</v>
      </c>
      <c r="AP455" s="410"/>
      <c r="AQ455" s="154" t="s">
        <v>6311</v>
      </c>
      <c r="AR455" s="154" t="s">
        <v>6311</v>
      </c>
      <c r="AS455" s="149" t="s">
        <v>6</v>
      </c>
      <c r="AT455" s="58" t="s">
        <v>266</v>
      </c>
      <c r="AU455" s="56">
        <v>2</v>
      </c>
      <c r="AV455" s="56">
        <v>96</v>
      </c>
      <c r="AW455" s="56">
        <v>96</v>
      </c>
      <c r="AX455" s="56" t="s">
        <v>6240</v>
      </c>
      <c r="AY455" s="56" t="s">
        <v>1584</v>
      </c>
      <c r="AZ455" s="61" t="s">
        <v>1584</v>
      </c>
      <c r="BA455" s="56" t="s">
        <v>8722</v>
      </c>
      <c r="BB455" s="55" t="s">
        <v>8722</v>
      </c>
      <c r="BC455" s="55" t="s">
        <v>8722</v>
      </c>
      <c r="BD455" s="55"/>
      <c r="BE455" s="56" t="s">
        <v>8722</v>
      </c>
      <c r="BF455" s="56" t="s">
        <v>8722</v>
      </c>
      <c r="BG455" s="56" t="s">
        <v>8722</v>
      </c>
      <c r="BH455" s="56" t="s">
        <v>8722</v>
      </c>
      <c r="BI455" s="103" t="s">
        <v>8722</v>
      </c>
      <c r="BJ455" s="103" t="s">
        <v>8722</v>
      </c>
      <c r="BK455" s="56"/>
      <c r="BL455" s="103">
        <f t="shared" si="157"/>
        <v>3.3547024047339783E-3</v>
      </c>
      <c r="BM455" s="55" t="s">
        <v>1640</v>
      </c>
      <c r="BN455" s="56"/>
      <c r="BO455" s="56">
        <v>1.2433515231056156E-3</v>
      </c>
      <c r="BP455" s="56"/>
      <c r="BQ455" s="56">
        <v>9.670511846377012E-4</v>
      </c>
      <c r="BR455" s="56"/>
      <c r="BS455" s="56"/>
      <c r="BT455" s="56"/>
      <c r="BU455" s="158"/>
      <c r="BV455" s="56"/>
      <c r="BW455" s="56"/>
      <c r="BX455" s="56"/>
      <c r="BY455" s="56"/>
      <c r="BZ455" s="56"/>
      <c r="CA455" s="56"/>
      <c r="CB455" s="56"/>
      <c r="CC455" s="56"/>
      <c r="CD455" s="56"/>
      <c r="CE455" s="56"/>
      <c r="CF455" s="56"/>
      <c r="CG455" s="56"/>
      <c r="CH455" s="56"/>
      <c r="CI455" s="103">
        <f t="shared" si="163"/>
        <v>9.670511846377012E-4</v>
      </c>
      <c r="CJ455" s="103">
        <f t="shared" si="164"/>
        <v>-3.0145505387221467</v>
      </c>
      <c r="CK455" s="57" t="s">
        <v>404</v>
      </c>
      <c r="CL455" s="160">
        <f t="shared" si="146"/>
        <v>3.4690019080952714</v>
      </c>
      <c r="CM455" s="160">
        <v>-3.0303448059053788</v>
      </c>
      <c r="CN455" s="160" t="s">
        <v>404</v>
      </c>
      <c r="CO455" s="55" t="s">
        <v>1641</v>
      </c>
      <c r="CP455" s="55" t="s">
        <v>1688</v>
      </c>
      <c r="CQ455" s="149">
        <v>-2.4921962873970331</v>
      </c>
      <c r="CR455" s="349">
        <f t="shared" si="162"/>
        <v>0.30036252645487943</v>
      </c>
      <c r="CS455" s="61" t="s">
        <v>539</v>
      </c>
      <c r="CT455" s="61"/>
      <c r="CU455" s="111">
        <f t="shared" si="158"/>
        <v>35.714285714285715</v>
      </c>
      <c r="CV455" s="331"/>
      <c r="CW455" s="326">
        <f t="shared" si="165"/>
        <v>1</v>
      </c>
      <c r="CX455" s="326"/>
      <c r="CY455" s="161" t="s">
        <v>6351</v>
      </c>
    </row>
    <row r="456" spans="1:103" ht="11.25" customHeight="1" x14ac:dyDescent="0.2">
      <c r="A456" s="72">
        <v>454</v>
      </c>
      <c r="B456" s="149">
        <v>1941</v>
      </c>
      <c r="C456" s="54" t="s">
        <v>5208</v>
      </c>
      <c r="D456" s="54" t="s">
        <v>6757</v>
      </c>
      <c r="E456" s="59"/>
      <c r="F456" s="167" t="s">
        <v>5209</v>
      </c>
      <c r="G456" s="151">
        <v>85018</v>
      </c>
      <c r="H456" s="67" t="s">
        <v>5491</v>
      </c>
      <c r="I456" s="67" t="s">
        <v>7888</v>
      </c>
      <c r="J456" s="67" t="s">
        <v>5211</v>
      </c>
      <c r="K456" s="67" t="s">
        <v>426</v>
      </c>
      <c r="L456" s="67" t="s">
        <v>5492</v>
      </c>
      <c r="M456" s="67" t="s">
        <v>866</v>
      </c>
      <c r="N456" s="60" t="s">
        <v>6082</v>
      </c>
      <c r="O456" s="67" t="s">
        <v>6086</v>
      </c>
      <c r="P456" s="67"/>
      <c r="Q456" s="67"/>
      <c r="R456" s="67"/>
      <c r="S456" s="67"/>
      <c r="T456" s="61">
        <v>178.23</v>
      </c>
      <c r="U456" s="111">
        <v>6.4523368680917915E-3</v>
      </c>
      <c r="V456" s="111">
        <v>3.798462660607081E-3</v>
      </c>
      <c r="W456" s="111">
        <v>2.5703957827688598E-3</v>
      </c>
      <c r="X456" s="111">
        <v>6.4523368680917915E-3</v>
      </c>
      <c r="Y456" s="411">
        <v>7</v>
      </c>
      <c r="Z456" s="61">
        <v>4.3499999999999996</v>
      </c>
      <c r="AA456" s="61">
        <v>4.46</v>
      </c>
      <c r="AB456" s="61">
        <v>4.72</v>
      </c>
      <c r="AC456" s="61">
        <v>0.88919999999999999</v>
      </c>
      <c r="AD456" s="61">
        <v>4.71</v>
      </c>
      <c r="AE456" s="61">
        <v>4.68</v>
      </c>
      <c r="AF456" s="61">
        <f t="shared" si="155"/>
        <v>4.46</v>
      </c>
      <c r="AG456" s="62">
        <v>4.09</v>
      </c>
      <c r="AH456" s="111">
        <v>5.13E-5</v>
      </c>
      <c r="AI456" s="111">
        <v>4.2299999999999998E-5</v>
      </c>
      <c r="AJ456" s="62">
        <f t="shared" si="159"/>
        <v>-2.6784489612008358</v>
      </c>
      <c r="AK456" s="62">
        <f t="shared" ref="AK456:AK461" si="166">LOG10(AI456*1000/(0.08206*298.15))</f>
        <v>-2.7622259589376097</v>
      </c>
      <c r="AL456" s="62">
        <f t="shared" si="156"/>
        <v>-2.7622259589376097</v>
      </c>
      <c r="AM456" s="62">
        <v>-6.7898499999999995</v>
      </c>
      <c r="AN456" s="163">
        <v>-2.7795000000000001</v>
      </c>
      <c r="AO456" s="410"/>
      <c r="AP456" s="410"/>
      <c r="AQ456" s="163" t="s">
        <v>6311</v>
      </c>
      <c r="AR456" s="163" t="s">
        <v>6311</v>
      </c>
      <c r="AS456" s="164" t="s">
        <v>5466</v>
      </c>
      <c r="AT456" s="63" t="s">
        <v>266</v>
      </c>
      <c r="AU456" s="61">
        <v>0</v>
      </c>
      <c r="AV456" s="61">
        <v>120</v>
      </c>
      <c r="AW456" s="61">
        <v>120</v>
      </c>
      <c r="AX456" s="61">
        <v>28</v>
      </c>
      <c r="AY456" s="61" t="s">
        <v>647</v>
      </c>
      <c r="AZ456" s="61"/>
      <c r="BA456" s="61">
        <v>20</v>
      </c>
      <c r="BB456" s="67" t="s">
        <v>5493</v>
      </c>
      <c r="BC456" s="67" t="s">
        <v>5494</v>
      </c>
      <c r="BD456" s="67"/>
      <c r="BE456" s="61" t="s">
        <v>5495</v>
      </c>
      <c r="BF456" s="61"/>
      <c r="BG456" s="61"/>
      <c r="BH456" s="61" t="s">
        <v>5496</v>
      </c>
      <c r="BI456" s="111"/>
      <c r="BJ456" s="111"/>
      <c r="BK456" s="61" t="s">
        <v>5497</v>
      </c>
      <c r="BL456" s="111">
        <f t="shared" si="157"/>
        <v>6.3689083597233938E-3</v>
      </c>
      <c r="BM456" s="61"/>
      <c r="BN456" s="61"/>
      <c r="BO456" s="61"/>
      <c r="BP456" s="61"/>
      <c r="BQ456" s="61"/>
      <c r="BR456" s="61" t="s">
        <v>5498</v>
      </c>
      <c r="BS456" s="61"/>
      <c r="BT456" s="61">
        <v>8.9771600000000001E-4</v>
      </c>
      <c r="BU456" s="158"/>
      <c r="BV456" s="61"/>
      <c r="BW456" s="61"/>
      <c r="BX456" s="61"/>
      <c r="BY456" s="61"/>
      <c r="BZ456" s="61"/>
      <c r="CA456" s="61"/>
      <c r="CB456" s="61"/>
      <c r="CC456" s="61"/>
      <c r="CD456" s="61"/>
      <c r="CE456" s="61"/>
      <c r="CF456" s="61"/>
      <c r="CG456" s="61"/>
      <c r="CH456" s="61"/>
      <c r="CI456" s="111">
        <f t="shared" si="163"/>
        <v>8.9771600000000001E-4</v>
      </c>
      <c r="CJ456" s="103">
        <f t="shared" si="164"/>
        <v>-3.0468610343132836</v>
      </c>
      <c r="CK456" s="57" t="s">
        <v>404</v>
      </c>
      <c r="CL456" s="160">
        <f t="shared" si="146"/>
        <v>7.0945692844099844</v>
      </c>
      <c r="CM456" s="160">
        <v>-2.8817649496862066</v>
      </c>
      <c r="CN456" s="160"/>
      <c r="CO456" s="67"/>
      <c r="CP456" s="67" t="s">
        <v>5499</v>
      </c>
      <c r="CQ456" s="149">
        <v>-2.4348484392770935</v>
      </c>
      <c r="CR456" s="349">
        <f t="shared" si="162"/>
        <v>0.24433596914436692</v>
      </c>
      <c r="CS456" s="61" t="s">
        <v>539</v>
      </c>
      <c r="CT456" s="61" t="s">
        <v>6310</v>
      </c>
      <c r="CU456" s="111">
        <f t="shared" si="158"/>
        <v>7.1875034733610539</v>
      </c>
      <c r="CV456" s="331"/>
      <c r="CW456" s="326">
        <f t="shared" si="165"/>
        <v>1</v>
      </c>
      <c r="CX456" s="326" t="s">
        <v>539</v>
      </c>
      <c r="CY456" s="161" t="s">
        <v>5921</v>
      </c>
    </row>
    <row r="457" spans="1:103" ht="11.25" customHeight="1" x14ac:dyDescent="0.2">
      <c r="A457" s="72">
        <v>455</v>
      </c>
      <c r="B457" s="149">
        <v>740</v>
      </c>
      <c r="C457" s="54" t="s">
        <v>1359</v>
      </c>
      <c r="D457" s="54" t="s">
        <v>6523</v>
      </c>
      <c r="E457" s="59"/>
      <c r="F457" s="59" t="s">
        <v>1360</v>
      </c>
      <c r="G457" s="151">
        <v>52645531</v>
      </c>
      <c r="H457" s="55" t="s">
        <v>1361</v>
      </c>
      <c r="I457" s="55" t="s">
        <v>7889</v>
      </c>
      <c r="J457" s="55" t="s">
        <v>1362</v>
      </c>
      <c r="K457" s="55" t="s">
        <v>1363</v>
      </c>
      <c r="L457" s="64" t="s">
        <v>279</v>
      </c>
      <c r="M457" s="55" t="s">
        <v>1364</v>
      </c>
      <c r="N457" s="60" t="s">
        <v>6376</v>
      </c>
      <c r="O457" s="55" t="s">
        <v>281</v>
      </c>
      <c r="P457" s="67" t="s">
        <v>6178</v>
      </c>
      <c r="Q457" s="67" t="s">
        <v>6173</v>
      </c>
      <c r="R457" s="67" t="s">
        <v>6181</v>
      </c>
      <c r="S457" s="67" t="s">
        <v>6176</v>
      </c>
      <c r="T457" s="56">
        <v>391.29</v>
      </c>
      <c r="U457" s="103">
        <v>1.5333895576171125E-5</v>
      </c>
      <c r="V457" s="103">
        <v>2.4909913363489995E-5</v>
      </c>
      <c r="W457" s="103">
        <v>1.3182567385564047E-4</v>
      </c>
      <c r="X457" s="103">
        <v>1.5333895576171125E-5</v>
      </c>
      <c r="Y457" s="162">
        <v>7</v>
      </c>
      <c r="Z457" s="56">
        <v>7.43</v>
      </c>
      <c r="AA457" s="56">
        <v>6.5</v>
      </c>
      <c r="AB457" s="56">
        <v>6.33</v>
      </c>
      <c r="AC457" s="56">
        <v>0.93520000000000003</v>
      </c>
      <c r="AD457" s="56">
        <v>6.47</v>
      </c>
      <c r="AE457" s="56">
        <v>7.15</v>
      </c>
      <c r="AF457" s="56">
        <f t="shared" si="155"/>
        <v>6.5</v>
      </c>
      <c r="AG457" s="57">
        <v>5.3</v>
      </c>
      <c r="AH457" s="103">
        <v>2.8799999999999998E-7</v>
      </c>
      <c r="AI457" s="103">
        <v>1.8700000000000001E-6</v>
      </c>
      <c r="AJ457" s="62">
        <f t="shared" si="159"/>
        <v>-4.9291738385534209</v>
      </c>
      <c r="AK457" s="62">
        <f t="shared" si="166"/>
        <v>-4.116724719776153</v>
      </c>
      <c r="AL457" s="62">
        <f t="shared" si="156"/>
        <v>-4.116724719776153</v>
      </c>
      <c r="AM457" s="62">
        <v>-12.603410000000002</v>
      </c>
      <c r="AN457" s="154">
        <v>-4.92</v>
      </c>
      <c r="AO457" s="410"/>
      <c r="AP457" s="410"/>
      <c r="AQ457" s="154" t="s">
        <v>6311</v>
      </c>
      <c r="AR457" s="154" t="s">
        <v>6312</v>
      </c>
      <c r="AS457" s="149" t="s">
        <v>6</v>
      </c>
      <c r="AT457" s="58" t="s">
        <v>266</v>
      </c>
      <c r="AU457" s="56">
        <v>2</v>
      </c>
      <c r="AV457" s="56">
        <v>120</v>
      </c>
      <c r="AW457" s="56">
        <v>120</v>
      </c>
      <c r="AX457" s="56">
        <v>28</v>
      </c>
      <c r="AY457" s="56" t="s">
        <v>8722</v>
      </c>
      <c r="AZ457" s="56" t="s">
        <v>536</v>
      </c>
      <c r="BA457" s="56" t="s">
        <v>8722</v>
      </c>
      <c r="BB457" s="55" t="s">
        <v>2087</v>
      </c>
      <c r="BC457" s="55" t="s">
        <v>2088</v>
      </c>
      <c r="BD457" s="55"/>
      <c r="BE457" s="56" t="s">
        <v>271</v>
      </c>
      <c r="BF457" s="56" t="s">
        <v>272</v>
      </c>
      <c r="BG457" s="56" t="s">
        <v>272</v>
      </c>
      <c r="BH457" s="56" t="s">
        <v>2089</v>
      </c>
      <c r="BI457" s="157">
        <v>2.5555839509327881E-4</v>
      </c>
      <c r="BJ457" s="157">
        <v>1.277791975466394E-3</v>
      </c>
      <c r="BK457" s="56"/>
      <c r="BL457" s="103">
        <f t="shared" si="157"/>
        <v>1.0912317662371588E-5</v>
      </c>
      <c r="BM457" s="56" t="s">
        <v>2090</v>
      </c>
      <c r="BN457" s="56"/>
      <c r="BO457" s="56"/>
      <c r="BP457" s="56"/>
      <c r="BQ457" s="56"/>
      <c r="BR457" s="56"/>
      <c r="BS457" s="56"/>
      <c r="BT457" s="56">
        <v>7.6667518527983637E-4</v>
      </c>
      <c r="BU457" s="158"/>
      <c r="BV457" s="56"/>
      <c r="BW457" s="56"/>
      <c r="BX457" s="56"/>
      <c r="BY457" s="56"/>
      <c r="BZ457" s="56"/>
      <c r="CA457" s="56"/>
      <c r="CB457" s="56"/>
      <c r="CC457" s="56"/>
      <c r="CD457" s="56"/>
      <c r="CE457" s="56"/>
      <c r="CF457" s="56"/>
      <c r="CG457" s="56"/>
      <c r="CH457" s="56"/>
      <c r="CI457" s="103">
        <f t="shared" si="163"/>
        <v>7.6667518527983637E-4</v>
      </c>
      <c r="CJ457" s="103">
        <f t="shared" si="164"/>
        <v>-3.1153885931810179</v>
      </c>
      <c r="CK457" s="57">
        <f>BL457/BJ457</f>
        <v>8.539979802572005E-3</v>
      </c>
      <c r="CL457" s="160">
        <f t="shared" si="146"/>
        <v>1.4233299670953343E-2</v>
      </c>
      <c r="CM457" s="160">
        <v>-5.1945587403267419</v>
      </c>
      <c r="CN457" s="160">
        <f>BJ457/(10^CM457)</f>
        <v>199.99488883209827</v>
      </c>
      <c r="CO457" s="55" t="s">
        <v>2096</v>
      </c>
      <c r="CP457" s="55" t="s">
        <v>2091</v>
      </c>
      <c r="CQ457" s="149">
        <v>-4.6793572938459178</v>
      </c>
      <c r="CR457" s="349">
        <f t="shared" si="162"/>
        <v>36.641116666974696</v>
      </c>
      <c r="CS457" s="61" t="s">
        <v>539</v>
      </c>
      <c r="CT457" s="61"/>
      <c r="CU457" s="111">
        <f t="shared" si="158"/>
        <v>2.0000511129852541E-2</v>
      </c>
      <c r="CV457" s="331">
        <f>X457/BJ457</f>
        <v>1.2000306677911523E-2</v>
      </c>
      <c r="CW457" s="326">
        <f t="shared" si="165"/>
        <v>0</v>
      </c>
      <c r="CX457" s="326"/>
      <c r="CY457" s="161" t="s">
        <v>5921</v>
      </c>
    </row>
    <row r="458" spans="1:103" ht="11.25" customHeight="1" x14ac:dyDescent="0.2">
      <c r="A458" s="72">
        <v>456</v>
      </c>
      <c r="B458" s="149">
        <v>558</v>
      </c>
      <c r="C458" s="54" t="s">
        <v>1731</v>
      </c>
      <c r="D458" s="54" t="s">
        <v>6597</v>
      </c>
      <c r="E458" s="59"/>
      <c r="F458" s="59" t="s">
        <v>1732</v>
      </c>
      <c r="G458" s="151">
        <v>100618</v>
      </c>
      <c r="H458" s="55" t="s">
        <v>1733</v>
      </c>
      <c r="I458" s="55" t="s">
        <v>1733</v>
      </c>
      <c r="J458" s="55" t="s">
        <v>1734</v>
      </c>
      <c r="K458" s="55" t="s">
        <v>426</v>
      </c>
      <c r="L458" s="55" t="s">
        <v>5527</v>
      </c>
      <c r="M458" s="55" t="s">
        <v>6082</v>
      </c>
      <c r="N458" s="60" t="s">
        <v>6082</v>
      </c>
      <c r="O458" s="55" t="s">
        <v>6083</v>
      </c>
      <c r="P458" s="67"/>
      <c r="Q458" s="67" t="s">
        <v>6173</v>
      </c>
      <c r="R458" s="67" t="s">
        <v>6185</v>
      </c>
      <c r="S458" s="67" t="s">
        <v>6176</v>
      </c>
      <c r="T458" s="56">
        <v>107.15</v>
      </c>
      <c r="U458" s="103">
        <v>52.449836677554828</v>
      </c>
      <c r="V458" s="103">
        <v>39.654689687354171</v>
      </c>
      <c r="W458" s="103">
        <v>33.884415613920247</v>
      </c>
      <c r="X458" s="103">
        <v>52.449836677554828</v>
      </c>
      <c r="Y458" s="162">
        <v>8.6199999999999992</v>
      </c>
      <c r="Z458" s="56">
        <v>1.62</v>
      </c>
      <c r="AA458" s="56">
        <v>1.66</v>
      </c>
      <c r="AB458" s="56">
        <v>1.98</v>
      </c>
      <c r="AC458" s="56">
        <v>0.91490000000000005</v>
      </c>
      <c r="AD458" s="56">
        <v>1.9</v>
      </c>
      <c r="AE458" s="56">
        <v>1.6</v>
      </c>
      <c r="AF458" s="56">
        <f t="shared" si="155"/>
        <v>1.66</v>
      </c>
      <c r="AG458" s="57">
        <v>1.74</v>
      </c>
      <c r="AH458" s="103">
        <v>4.1799999999999998E-6</v>
      </c>
      <c r="AI458" s="103">
        <v>8.8799999999999997E-6</v>
      </c>
      <c r="AJ458" s="62">
        <f t="shared" si="159"/>
        <v>-3.7673900445376165</v>
      </c>
      <c r="AK458" s="62">
        <f t="shared" si="166"/>
        <v>-3.4401533605340506</v>
      </c>
      <c r="AL458" s="62">
        <f t="shared" si="156"/>
        <v>-3.4401533605340506</v>
      </c>
      <c r="AM458" s="62">
        <v>-5.276489999999999</v>
      </c>
      <c r="AN458" s="154">
        <v>-3.47</v>
      </c>
      <c r="AO458" s="410"/>
      <c r="AP458" s="410">
        <v>4.7</v>
      </c>
      <c r="AQ458" s="154" t="s">
        <v>6311</v>
      </c>
      <c r="AR458" s="154" t="s">
        <v>6311</v>
      </c>
      <c r="AS458" s="149" t="s">
        <v>6</v>
      </c>
      <c r="AT458" s="58" t="s">
        <v>266</v>
      </c>
      <c r="AU458" s="56">
        <v>2</v>
      </c>
      <c r="AV458" s="56">
        <v>96</v>
      </c>
      <c r="AW458" s="56">
        <v>96</v>
      </c>
      <c r="AX458" s="56">
        <v>25</v>
      </c>
      <c r="AY458" s="56" t="s">
        <v>8722</v>
      </c>
      <c r="AZ458" s="56" t="s">
        <v>1563</v>
      </c>
      <c r="BA458" s="56">
        <v>12</v>
      </c>
      <c r="BB458" s="55" t="s">
        <v>888</v>
      </c>
      <c r="BC458" s="55" t="s">
        <v>538</v>
      </c>
      <c r="BD458" s="55"/>
      <c r="BE458" s="56" t="s">
        <v>271</v>
      </c>
      <c r="BF458" s="56" t="s">
        <v>272</v>
      </c>
      <c r="BG458" s="56" t="s">
        <v>539</v>
      </c>
      <c r="BH458" s="56" t="s">
        <v>272</v>
      </c>
      <c r="BI458" s="103">
        <v>1E-4</v>
      </c>
      <c r="BJ458" s="103">
        <v>5.0000000000000001E-4</v>
      </c>
      <c r="BK458" s="56"/>
      <c r="BL458" s="103">
        <f t="shared" si="157"/>
        <v>1.8025113165778388</v>
      </c>
      <c r="BM458" s="56">
        <v>0</v>
      </c>
      <c r="BN458" s="56"/>
      <c r="BO458" s="56"/>
      <c r="BP458" s="56"/>
      <c r="BQ458" s="56">
        <v>7.1000000000000002E-4</v>
      </c>
      <c r="BR458" s="56"/>
      <c r="BS458" s="56"/>
      <c r="BT458" s="56"/>
      <c r="BU458" s="158"/>
      <c r="BV458" s="56"/>
      <c r="BW458" s="56"/>
      <c r="BX458" s="56"/>
      <c r="BY458" s="56"/>
      <c r="BZ458" s="56"/>
      <c r="CA458" s="56"/>
      <c r="CB458" s="56"/>
      <c r="CC458" s="56"/>
      <c r="CD458" s="56"/>
      <c r="CE458" s="56"/>
      <c r="CF458" s="56"/>
      <c r="CG458" s="56"/>
      <c r="CH458" s="56"/>
      <c r="CI458" s="103">
        <f t="shared" si="163"/>
        <v>7.1000000000000002E-4</v>
      </c>
      <c r="CJ458" s="103">
        <f t="shared" si="164"/>
        <v>-3.1487416512809245</v>
      </c>
      <c r="CK458" s="57">
        <f>BL458/BJ458</f>
        <v>3605.0226331556773</v>
      </c>
      <c r="CL458" s="160">
        <f t="shared" si="146"/>
        <v>2538.7483332082238</v>
      </c>
      <c r="CM458" s="160">
        <v>-2.9992175377847461E-2</v>
      </c>
      <c r="CN458" s="160">
        <f>BJ458/(10^CM458)</f>
        <v>5.3574999999999988E-4</v>
      </c>
      <c r="CO458" s="55"/>
      <c r="CP458" s="55" t="s">
        <v>1564</v>
      </c>
      <c r="CQ458" s="149">
        <v>-1.5893669133293862</v>
      </c>
      <c r="CR458" s="349">
        <f t="shared" si="162"/>
        <v>2.7581968747716328E-2</v>
      </c>
      <c r="CS458" s="61" t="s">
        <v>539</v>
      </c>
      <c r="CT458" s="61"/>
      <c r="CU458" s="111">
        <f t="shared" si="158"/>
        <v>73873.0094050068</v>
      </c>
      <c r="CV458" s="331">
        <f>X458/BJ458</f>
        <v>104899.67335510965</v>
      </c>
      <c r="CW458" s="326">
        <f t="shared" si="165"/>
        <v>1</v>
      </c>
      <c r="CX458" s="326"/>
      <c r="CY458" s="161" t="s">
        <v>6351</v>
      </c>
    </row>
    <row r="459" spans="1:103" ht="11.25" customHeight="1" x14ac:dyDescent="0.2">
      <c r="A459" s="72">
        <v>457</v>
      </c>
      <c r="B459" s="149">
        <v>1230</v>
      </c>
      <c r="C459" s="54" t="s">
        <v>1756</v>
      </c>
      <c r="D459" s="54" t="s">
        <v>6712</v>
      </c>
      <c r="E459" s="59"/>
      <c r="F459" s="59" t="s">
        <v>1757</v>
      </c>
      <c r="G459" s="151">
        <v>87865</v>
      </c>
      <c r="H459" s="55" t="s">
        <v>1758</v>
      </c>
      <c r="I459" s="55" t="s">
        <v>7866</v>
      </c>
      <c r="J459" s="55" t="s">
        <v>1759</v>
      </c>
      <c r="K459" s="55" t="s">
        <v>349</v>
      </c>
      <c r="L459" s="55" t="s">
        <v>6134</v>
      </c>
      <c r="M459" s="55" t="s">
        <v>497</v>
      </c>
      <c r="N459" s="60" t="s">
        <v>6381</v>
      </c>
      <c r="O459" s="55" t="s">
        <v>6086</v>
      </c>
      <c r="P459" s="67"/>
      <c r="Q459" s="67" t="s">
        <v>6173</v>
      </c>
      <c r="R459" s="67" t="s">
        <v>6180</v>
      </c>
      <c r="S459" s="67" t="s">
        <v>6176</v>
      </c>
      <c r="T459" s="56">
        <v>266.33999999999997</v>
      </c>
      <c r="U459" s="103">
        <v>5.2564391379439822E-2</v>
      </c>
      <c r="V459" s="103">
        <v>1.1601712097319217E-2</v>
      </c>
      <c r="W459" s="103">
        <v>3.8018939632056103E-2</v>
      </c>
      <c r="X459" s="103">
        <v>5.2564391379439822E-2</v>
      </c>
      <c r="Y459" s="162">
        <v>4.71</v>
      </c>
      <c r="Z459" s="56">
        <v>4.74</v>
      </c>
      <c r="AA459" s="56">
        <v>5.12</v>
      </c>
      <c r="AB459" s="56">
        <v>5.1100000000000003</v>
      </c>
      <c r="AC459" s="56">
        <v>0.88800000000000001</v>
      </c>
      <c r="AD459" s="56">
        <v>5.04</v>
      </c>
      <c r="AE459" s="56">
        <v>4.78</v>
      </c>
      <c r="AF459" s="56">
        <f t="shared" si="155"/>
        <v>5.12</v>
      </c>
      <c r="AG459" s="57">
        <v>4.8499999999999996</v>
      </c>
      <c r="AH459" s="103">
        <v>1.2499999999999999E-7</v>
      </c>
      <c r="AI459" s="103">
        <v>2.4500000000000001E-8</v>
      </c>
      <c r="AJ459" s="62">
        <f t="shared" si="159"/>
        <v>-5.2916563133045953</v>
      </c>
      <c r="AK459" s="62">
        <f t="shared" si="166"/>
        <v>-5.9994002419481189</v>
      </c>
      <c r="AL459" s="62">
        <f t="shared" si="156"/>
        <v>-5.9994002419481189</v>
      </c>
      <c r="AM459" s="62">
        <v>-7.034559999999999</v>
      </c>
      <c r="AN459" s="154">
        <v>-3.97</v>
      </c>
      <c r="AO459" s="410">
        <v>4.68</v>
      </c>
      <c r="AP459" s="410"/>
      <c r="AQ459" s="56" t="s">
        <v>6311</v>
      </c>
      <c r="AR459" s="56" t="s">
        <v>6311</v>
      </c>
      <c r="AS459" s="155"/>
      <c r="AT459" s="58" t="s">
        <v>266</v>
      </c>
      <c r="AU459" s="56">
        <v>6</v>
      </c>
      <c r="AV459" s="56">
        <v>120</v>
      </c>
      <c r="AW459" s="56">
        <v>114</v>
      </c>
      <c r="AX459" s="56">
        <v>28</v>
      </c>
      <c r="AY459" s="56" t="s">
        <v>8728</v>
      </c>
      <c r="AZ459" s="56" t="s">
        <v>1563</v>
      </c>
      <c r="BA459" s="56">
        <v>32</v>
      </c>
      <c r="BB459" s="55" t="s">
        <v>2485</v>
      </c>
      <c r="BC459" s="55" t="s">
        <v>8726</v>
      </c>
      <c r="BD459" s="55" t="s">
        <v>8374</v>
      </c>
      <c r="BE459" s="56" t="s">
        <v>2449</v>
      </c>
      <c r="BF459" s="56" t="s">
        <v>272</v>
      </c>
      <c r="BG459" s="56" t="s">
        <v>272</v>
      </c>
      <c r="BH459" s="56" t="s">
        <v>2486</v>
      </c>
      <c r="BI459" s="103">
        <v>6.3999999999999997E-6</v>
      </c>
      <c r="BJ459" s="103">
        <v>6.4000000000000001E-2</v>
      </c>
      <c r="BK459" s="56"/>
      <c r="BL459" s="103">
        <f t="shared" si="157"/>
        <v>2.8431907661344621E-3</v>
      </c>
      <c r="BM459" s="56" t="s">
        <v>2046</v>
      </c>
      <c r="BN459" s="56">
        <v>10.32167428</v>
      </c>
      <c r="BO459" s="56"/>
      <c r="BP459" s="56"/>
      <c r="BQ459" s="56"/>
      <c r="BR459" s="55">
        <v>5.9299999999999999E-4</v>
      </c>
      <c r="BS459" s="56"/>
      <c r="BT459" s="56"/>
      <c r="BU459" s="158"/>
      <c r="BV459" s="56"/>
      <c r="BW459" s="56"/>
      <c r="BX459" s="56"/>
      <c r="BY459" s="56"/>
      <c r="BZ459" s="56"/>
      <c r="CA459" s="56"/>
      <c r="CB459" s="56"/>
      <c r="CC459" s="56"/>
      <c r="CD459" s="56"/>
      <c r="CE459" s="56"/>
      <c r="CF459" s="56"/>
      <c r="CG459" s="56"/>
      <c r="CH459" s="56"/>
      <c r="CI459" s="103">
        <f t="shared" si="163"/>
        <v>5.9299999999999999E-4</v>
      </c>
      <c r="CJ459" s="103">
        <f t="shared" si="164"/>
        <v>-3.2269453066357374</v>
      </c>
      <c r="CK459" s="57">
        <f>BL459/BJ459</f>
        <v>4.4424855720850968E-2</v>
      </c>
      <c r="CL459" s="160">
        <f t="shared" si="146"/>
        <v>4.7945881385066818</v>
      </c>
      <c r="CM459" s="160">
        <v>-3.2759817693598996</v>
      </c>
      <c r="CN459" s="160">
        <f>BJ459/(10^CM459)</f>
        <v>120.82637423448324</v>
      </c>
      <c r="CO459" s="55" t="s">
        <v>2488</v>
      </c>
      <c r="CP459" s="55" t="s">
        <v>2489</v>
      </c>
      <c r="CQ459" s="149">
        <v>-3.1473762053339587</v>
      </c>
      <c r="CR459" s="349">
        <f t="shared" si="162"/>
        <v>0.832589440784688</v>
      </c>
      <c r="CS459" s="61" t="s">
        <v>539</v>
      </c>
      <c r="CT459" s="61"/>
      <c r="CU459" s="111">
        <f t="shared" si="158"/>
        <v>88.641469442562936</v>
      </c>
      <c r="CV459" s="331">
        <f>X459/BJ459</f>
        <v>0.82131861530374717</v>
      </c>
      <c r="CW459" s="326">
        <f t="shared" si="165"/>
        <v>1</v>
      </c>
      <c r="CX459" s="326"/>
      <c r="CY459" s="161" t="s">
        <v>5921</v>
      </c>
    </row>
    <row r="460" spans="1:103" ht="11.25" customHeight="1" x14ac:dyDescent="0.2">
      <c r="A460" s="72">
        <v>458</v>
      </c>
      <c r="B460" s="149">
        <v>1945</v>
      </c>
      <c r="C460" s="54" t="s">
        <v>1135</v>
      </c>
      <c r="D460" s="54" t="s">
        <v>6654</v>
      </c>
      <c r="E460" s="59"/>
      <c r="F460" s="167" t="s">
        <v>1136</v>
      </c>
      <c r="G460" s="151">
        <v>115297</v>
      </c>
      <c r="H460" s="67" t="s">
        <v>1137</v>
      </c>
      <c r="I460" s="67" t="s">
        <v>7890</v>
      </c>
      <c r="J460" s="67" t="s">
        <v>1138</v>
      </c>
      <c r="K460" s="67" t="s">
        <v>1139</v>
      </c>
      <c r="L460" s="67" t="s">
        <v>617</v>
      </c>
      <c r="M460" s="67" t="s">
        <v>1140</v>
      </c>
      <c r="N460" s="60" t="s">
        <v>6376</v>
      </c>
      <c r="O460" s="67" t="s">
        <v>918</v>
      </c>
      <c r="P460" s="67" t="s">
        <v>6172</v>
      </c>
      <c r="Q460" s="67" t="s">
        <v>6176</v>
      </c>
      <c r="R460" s="67" t="s">
        <v>6181</v>
      </c>
      <c r="S460" s="67" t="s">
        <v>6173</v>
      </c>
      <c r="T460" s="61">
        <v>406.93</v>
      </c>
      <c r="U460" s="111">
        <v>1.1058684753759952E-3</v>
      </c>
      <c r="V460" s="111">
        <v>3.6542809397424555E-3</v>
      </c>
      <c r="W460" s="111">
        <v>2.8840315031265994E-3</v>
      </c>
      <c r="X460" s="111">
        <v>1.1058684753759952E-3</v>
      </c>
      <c r="Y460" s="411">
        <v>7</v>
      </c>
      <c r="Z460" s="61">
        <v>3.5</v>
      </c>
      <c r="AA460" s="61">
        <v>3.83</v>
      </c>
      <c r="AB460" s="61">
        <v>4.1900000000000004</v>
      </c>
      <c r="AC460" s="61">
        <v>0.72519999999999996</v>
      </c>
      <c r="AD460" s="61">
        <v>3.87</v>
      </c>
      <c r="AE460" s="61">
        <v>3.12</v>
      </c>
      <c r="AF460" s="61">
        <f t="shared" si="155"/>
        <v>3.83</v>
      </c>
      <c r="AG460" s="62">
        <v>3.04</v>
      </c>
      <c r="AH460" s="111">
        <v>9.0299999999999995E-8</v>
      </c>
      <c r="AI460" s="111">
        <v>6.4999999999999994E-5</v>
      </c>
      <c r="AJ460" s="62">
        <f t="shared" si="159"/>
        <v>-5.4328785759991458</v>
      </c>
      <c r="AK460" s="62">
        <f t="shared" si="166"/>
        <v>-2.5756529696697963</v>
      </c>
      <c r="AL460" s="62">
        <f t="shared" si="156"/>
        <v>-2.5756529696697963</v>
      </c>
      <c r="AM460" s="62">
        <v>-16.826589999999999</v>
      </c>
      <c r="AN460" s="163">
        <v>0.3</v>
      </c>
      <c r="AO460" s="410"/>
      <c r="AP460" s="410"/>
      <c r="AQ460" s="163" t="s">
        <v>6311</v>
      </c>
      <c r="AR460" s="163" t="s">
        <v>6311</v>
      </c>
      <c r="AS460" s="164" t="s">
        <v>5466</v>
      </c>
      <c r="AT460" s="63" t="s">
        <v>266</v>
      </c>
      <c r="AU460" s="61">
        <v>0</v>
      </c>
      <c r="AV460" s="61">
        <v>96</v>
      </c>
      <c r="AW460" s="61">
        <v>96</v>
      </c>
      <c r="AX460" s="61">
        <v>26</v>
      </c>
      <c r="AY460" s="61" t="s">
        <v>267</v>
      </c>
      <c r="AZ460" s="61"/>
      <c r="BA460" s="61">
        <v>10</v>
      </c>
      <c r="BB460" s="67" t="s">
        <v>5487</v>
      </c>
      <c r="BC460" s="67" t="s">
        <v>8726</v>
      </c>
      <c r="BD460" s="67" t="s">
        <v>8374</v>
      </c>
      <c r="BE460" s="61" t="s">
        <v>2449</v>
      </c>
      <c r="BF460" s="61"/>
      <c r="BG460" s="61"/>
      <c r="BH460" s="61" t="s">
        <v>5512</v>
      </c>
      <c r="BI460" s="111"/>
      <c r="BJ460" s="111"/>
      <c r="BK460" s="61"/>
      <c r="BL460" s="111">
        <f t="shared" si="157"/>
        <v>3.6936011775524802E-2</v>
      </c>
      <c r="BM460" s="61"/>
      <c r="BN460" s="61"/>
      <c r="BO460" s="61"/>
      <c r="BP460" s="61"/>
      <c r="BQ460" s="61">
        <v>5.8486699999999998E-4</v>
      </c>
      <c r="BR460" s="61"/>
      <c r="BS460" s="61"/>
      <c r="BT460" s="61"/>
      <c r="BU460" s="158"/>
      <c r="BV460" s="61"/>
      <c r="BW460" s="61"/>
      <c r="BX460" s="61"/>
      <c r="BY460" s="61"/>
      <c r="BZ460" s="61"/>
      <c r="CA460" s="61"/>
      <c r="CB460" s="61"/>
      <c r="CC460" s="61"/>
      <c r="CD460" s="61"/>
      <c r="CE460" s="61"/>
      <c r="CF460" s="61"/>
      <c r="CG460" s="61"/>
      <c r="CH460" s="61"/>
      <c r="CI460" s="111">
        <f t="shared" si="163"/>
        <v>5.8486699999999998E-4</v>
      </c>
      <c r="CJ460" s="103">
        <f t="shared" si="164"/>
        <v>-3.2329428821795312</v>
      </c>
      <c r="CK460" s="57" t="s">
        <v>404</v>
      </c>
      <c r="CL460" s="160">
        <f t="shared" si="146"/>
        <v>63.152839492610802</v>
      </c>
      <c r="CM460" s="160">
        <v>-5.6582519598035192</v>
      </c>
      <c r="CN460" s="160"/>
      <c r="CO460" s="67"/>
      <c r="CP460" s="67" t="s">
        <v>5513</v>
      </c>
      <c r="CQ460" s="149">
        <v>-5.5405853180066282</v>
      </c>
      <c r="CR460" s="349">
        <f t="shared" si="162"/>
        <v>203.06844154675099</v>
      </c>
      <c r="CS460" s="61" t="s">
        <v>539</v>
      </c>
      <c r="CT460" s="61"/>
      <c r="CU460" s="111">
        <f t="shared" si="158"/>
        <v>1.89080333712792</v>
      </c>
      <c r="CV460" s="331"/>
      <c r="CW460" s="326">
        <f t="shared" si="165"/>
        <v>0</v>
      </c>
      <c r="CX460" s="326"/>
      <c r="CY460" s="161" t="s">
        <v>5921</v>
      </c>
    </row>
    <row r="461" spans="1:103" ht="11.25" customHeight="1" x14ac:dyDescent="0.2">
      <c r="A461" s="72">
        <v>459</v>
      </c>
      <c r="B461" s="149">
        <v>217</v>
      </c>
      <c r="C461" s="54" t="s">
        <v>1026</v>
      </c>
      <c r="D461" s="54" t="s">
        <v>6758</v>
      </c>
      <c r="E461" s="59"/>
      <c r="F461" s="59" t="s">
        <v>1027</v>
      </c>
      <c r="G461" s="151">
        <v>128639021</v>
      </c>
      <c r="H461" s="55" t="s">
        <v>1028</v>
      </c>
      <c r="I461" s="55" t="s">
        <v>7891</v>
      </c>
      <c r="J461" s="55" t="s">
        <v>1029</v>
      </c>
      <c r="K461" s="55" t="s">
        <v>1030</v>
      </c>
      <c r="L461" s="55" t="s">
        <v>5929</v>
      </c>
      <c r="M461" s="55" t="s">
        <v>5966</v>
      </c>
      <c r="N461" s="60" t="s">
        <v>6385</v>
      </c>
      <c r="O461" s="55" t="s">
        <v>5965</v>
      </c>
      <c r="P461" s="67"/>
      <c r="Q461" s="67"/>
      <c r="R461" s="67"/>
      <c r="S461" s="67"/>
      <c r="T461" s="56">
        <v>412.19</v>
      </c>
      <c r="U461" s="103">
        <v>5.3373444285402361E-2</v>
      </c>
      <c r="V461" s="103">
        <v>8.4281520657949003E-3</v>
      </c>
      <c r="W461" s="103">
        <v>8.3176377110266958E-2</v>
      </c>
      <c r="X461" s="103">
        <v>5.3373444285402361E-2</v>
      </c>
      <c r="Y461" s="162">
        <v>7</v>
      </c>
      <c r="Z461" s="56">
        <v>4.26</v>
      </c>
      <c r="AA461" s="56">
        <v>3.36</v>
      </c>
      <c r="AB461" s="56">
        <v>2.99</v>
      </c>
      <c r="AC461" s="56">
        <v>0.73440000000000005</v>
      </c>
      <c r="AD461" s="56">
        <v>3.05</v>
      </c>
      <c r="AE461" s="56">
        <v>3.21</v>
      </c>
      <c r="AF461" s="56">
        <f t="shared" si="155"/>
        <v>3.36</v>
      </c>
      <c r="AG461" s="57">
        <v>4.43</v>
      </c>
      <c r="AH461" s="103">
        <v>5.9600000000000006E-11</v>
      </c>
      <c r="AI461" s="103">
        <v>2.9600000000000001E-9</v>
      </c>
      <c r="AJ461" s="62">
        <f t="shared" si="159"/>
        <v>-8.613320066572415</v>
      </c>
      <c r="AK461" s="62">
        <f t="shared" si="166"/>
        <v>-6.9172746152537128</v>
      </c>
      <c r="AL461" s="62">
        <f t="shared" si="156"/>
        <v>-6.9172746152537128</v>
      </c>
      <c r="AM461" s="62">
        <v>-13.92361</v>
      </c>
      <c r="AN461" s="154">
        <v>-9.6</v>
      </c>
      <c r="AO461" s="410"/>
      <c r="AP461" s="410">
        <v>-2.2599999999999998</v>
      </c>
      <c r="AQ461" s="154" t="s">
        <v>6311</v>
      </c>
      <c r="AR461" s="154" t="s">
        <v>6314</v>
      </c>
      <c r="AS461" s="149" t="s">
        <v>6</v>
      </c>
      <c r="AT461" s="58" t="s">
        <v>266</v>
      </c>
      <c r="AU461" s="56">
        <v>8</v>
      </c>
      <c r="AV461" s="56">
        <v>144</v>
      </c>
      <c r="AW461" s="56">
        <v>120</v>
      </c>
      <c r="AX461" s="56">
        <v>26</v>
      </c>
      <c r="AY461" s="56" t="s">
        <v>267</v>
      </c>
      <c r="AZ461" s="56" t="s">
        <v>268</v>
      </c>
      <c r="BA461" s="56">
        <v>2</v>
      </c>
      <c r="BB461" s="55" t="s">
        <v>888</v>
      </c>
      <c r="BC461" s="55" t="s">
        <v>270</v>
      </c>
      <c r="BD461" s="55" t="s">
        <v>8374</v>
      </c>
      <c r="BE461" s="56" t="s">
        <v>889</v>
      </c>
      <c r="BF461" s="56" t="s">
        <v>272</v>
      </c>
      <c r="BG461" s="56" t="s">
        <v>272</v>
      </c>
      <c r="BH461" s="56" t="s">
        <v>890</v>
      </c>
      <c r="BI461" s="103">
        <v>9.9999999999999995E-7</v>
      </c>
      <c r="BJ461" s="103">
        <v>0.08</v>
      </c>
      <c r="BK461" s="56"/>
      <c r="BL461" s="103">
        <f t="shared" si="157"/>
        <v>7.6717421921324528E-3</v>
      </c>
      <c r="BM461" s="56" t="s">
        <v>891</v>
      </c>
      <c r="BN461" s="162"/>
      <c r="BO461" s="162"/>
      <c r="BP461" s="162"/>
      <c r="BQ461" s="162"/>
      <c r="BR461" s="162"/>
      <c r="BS461" s="56">
        <v>5.6568542494923803E-4</v>
      </c>
      <c r="BT461" s="162"/>
      <c r="BU461" s="158"/>
      <c r="BV461" s="162"/>
      <c r="BW461" s="162"/>
      <c r="BX461" s="162"/>
      <c r="BY461" s="162"/>
      <c r="BZ461" s="162"/>
      <c r="CA461" s="162"/>
      <c r="CB461" s="162"/>
      <c r="CC461" s="56"/>
      <c r="CD461" s="56"/>
      <c r="CE461" s="56"/>
      <c r="CF461" s="56"/>
      <c r="CG461" s="56"/>
      <c r="CH461" s="56"/>
      <c r="CI461" s="103">
        <f t="shared" si="163"/>
        <v>5.6568542494923803E-4</v>
      </c>
      <c r="CJ461" s="103">
        <f t="shared" si="164"/>
        <v>-3.2474250108400469</v>
      </c>
      <c r="CK461" s="57">
        <f t="shared" ref="CK461:CK477" si="167">BL461/BJ461</f>
        <v>9.5896777401655656E-2</v>
      </c>
      <c r="CL461" s="160">
        <f t="shared" si="146"/>
        <v>13.561852318929516</v>
      </c>
      <c r="CM461" s="160">
        <v>-2.4109774686458332</v>
      </c>
      <c r="CN461" s="160">
        <f>BJ461/(10^CM461)</f>
        <v>20.609500000000004</v>
      </c>
      <c r="CO461" s="55" t="s">
        <v>892</v>
      </c>
      <c r="CP461" s="55" t="s">
        <v>893</v>
      </c>
      <c r="CQ461" s="149">
        <v>-2.3625224621418051</v>
      </c>
      <c r="CR461" s="349">
        <f t="shared" si="162"/>
        <v>0.13034592287448049</v>
      </c>
      <c r="CS461" s="61" t="s">
        <v>539</v>
      </c>
      <c r="CT461" s="61"/>
      <c r="CU461" s="111">
        <f t="shared" si="158"/>
        <v>94.351810973725975</v>
      </c>
      <c r="CV461" s="331">
        <f>X461/BJ461</f>
        <v>0.66716805356752951</v>
      </c>
      <c r="CW461" s="326">
        <f t="shared" si="165"/>
        <v>1</v>
      </c>
      <c r="CX461" s="326" t="s">
        <v>539</v>
      </c>
      <c r="CY461" s="161" t="s">
        <v>5921</v>
      </c>
    </row>
    <row r="462" spans="1:103" ht="11.25" customHeight="1" x14ac:dyDescent="0.2">
      <c r="A462" s="72">
        <v>460</v>
      </c>
      <c r="B462" s="149">
        <v>443</v>
      </c>
      <c r="C462" s="54" t="s">
        <v>1464</v>
      </c>
      <c r="D462" s="54" t="s">
        <v>6759</v>
      </c>
      <c r="E462" s="59"/>
      <c r="F462" s="59" t="s">
        <v>1465</v>
      </c>
      <c r="G462" s="151">
        <v>21564170</v>
      </c>
      <c r="H462" s="55" t="s">
        <v>1466</v>
      </c>
      <c r="I462" s="55" t="s">
        <v>7892</v>
      </c>
      <c r="J462" s="55" t="s">
        <v>1467</v>
      </c>
      <c r="K462" s="55" t="s">
        <v>1468</v>
      </c>
      <c r="L462" s="55" t="s">
        <v>5929</v>
      </c>
      <c r="M462" s="55" t="s">
        <v>6088</v>
      </c>
      <c r="N462" s="60" t="s">
        <v>6088</v>
      </c>
      <c r="O462" s="55" t="s">
        <v>6083</v>
      </c>
      <c r="P462" s="67"/>
      <c r="Q462" s="67"/>
      <c r="R462" s="67"/>
      <c r="S462" s="67"/>
      <c r="T462" s="56">
        <v>238.36</v>
      </c>
      <c r="U462" s="103">
        <v>0.52441684846450742</v>
      </c>
      <c r="V462" s="103">
        <v>0.17481960060412821</v>
      </c>
      <c r="W462" s="103">
        <v>0.38904514499428011</v>
      </c>
      <c r="X462" s="103">
        <v>0.52441684846450742</v>
      </c>
      <c r="Y462" s="162">
        <v>7</v>
      </c>
      <c r="Z462" s="56">
        <v>3.12</v>
      </c>
      <c r="AA462" s="56">
        <v>3.3</v>
      </c>
      <c r="AB462" s="56">
        <v>2.83</v>
      </c>
      <c r="AC462" s="56">
        <v>0.82469999999999999</v>
      </c>
      <c r="AD462" s="56">
        <v>2.91</v>
      </c>
      <c r="AE462" s="56">
        <v>3.12</v>
      </c>
      <c r="AF462" s="56">
        <f t="shared" si="155"/>
        <v>3.3</v>
      </c>
      <c r="AG462" s="57">
        <v>3.94</v>
      </c>
      <c r="AH462" s="103">
        <v>6.49E-12</v>
      </c>
      <c r="AI462" s="103"/>
      <c r="AJ462" s="62">
        <f t="shared" si="159"/>
        <v>-9.5763216295122824</v>
      </c>
      <c r="AK462" s="62"/>
      <c r="AL462" s="62">
        <f t="shared" si="156"/>
        <v>-9.5763216295122824</v>
      </c>
      <c r="AM462" s="62">
        <v>-11.81157</v>
      </c>
      <c r="AN462" s="154">
        <v>-12.3</v>
      </c>
      <c r="AO462" s="410"/>
      <c r="AP462" s="410">
        <v>-0.09</v>
      </c>
      <c r="AQ462" s="154" t="s">
        <v>6311</v>
      </c>
      <c r="AR462" s="154" t="s">
        <v>6311</v>
      </c>
      <c r="AS462" s="149" t="s">
        <v>6</v>
      </c>
      <c r="AT462" s="58" t="s">
        <v>266</v>
      </c>
      <c r="AU462" s="56">
        <v>8</v>
      </c>
      <c r="AV462" s="56">
        <v>144</v>
      </c>
      <c r="AW462" s="56">
        <v>120</v>
      </c>
      <c r="AX462" s="56">
        <v>26</v>
      </c>
      <c r="AY462" s="56" t="s">
        <v>267</v>
      </c>
      <c r="AZ462" s="56" t="s">
        <v>268</v>
      </c>
      <c r="BA462" s="56">
        <v>2</v>
      </c>
      <c r="BB462" s="55" t="s">
        <v>888</v>
      </c>
      <c r="BC462" s="55" t="s">
        <v>270</v>
      </c>
      <c r="BD462" s="55" t="s">
        <v>8374</v>
      </c>
      <c r="BE462" s="56" t="s">
        <v>889</v>
      </c>
      <c r="BF462" s="56" t="s">
        <v>272</v>
      </c>
      <c r="BG462" s="56" t="s">
        <v>272</v>
      </c>
      <c r="BH462" s="56" t="s">
        <v>890</v>
      </c>
      <c r="BI462" s="103">
        <v>9.9999999999999995E-7</v>
      </c>
      <c r="BJ462" s="103">
        <v>0.08</v>
      </c>
      <c r="BK462" s="56"/>
      <c r="BL462" s="103">
        <f t="shared" si="157"/>
        <v>8.1045330941141552E-2</v>
      </c>
      <c r="BM462" s="56" t="s">
        <v>891</v>
      </c>
      <c r="BN462" s="162"/>
      <c r="BO462" s="162"/>
      <c r="BP462" s="162"/>
      <c r="BQ462" s="162"/>
      <c r="BR462" s="162"/>
      <c r="BS462" s="56">
        <v>5.6568542494923803E-4</v>
      </c>
      <c r="BT462" s="162"/>
      <c r="BU462" s="158"/>
      <c r="BV462" s="162"/>
      <c r="BW462" s="162"/>
      <c r="BX462" s="162"/>
      <c r="BY462" s="162"/>
      <c r="BZ462" s="162"/>
      <c r="CA462" s="162"/>
      <c r="CB462" s="162"/>
      <c r="CC462" s="56"/>
      <c r="CD462" s="56"/>
      <c r="CE462" s="56"/>
      <c r="CF462" s="56"/>
      <c r="CG462" s="56"/>
      <c r="CH462" s="56"/>
      <c r="CI462" s="103">
        <f t="shared" si="163"/>
        <v>5.6568542494923803E-4</v>
      </c>
      <c r="CJ462" s="103">
        <f t="shared" si="164"/>
        <v>-3.2474250108400469</v>
      </c>
      <c r="CK462" s="57">
        <f t="shared" si="167"/>
        <v>1.0130666367642693</v>
      </c>
      <c r="CL462" s="160">
        <f t="shared" si="146"/>
        <v>143.26925772997276</v>
      </c>
      <c r="CM462" s="160">
        <v>-4.0049776804613346</v>
      </c>
      <c r="CN462" s="160">
        <f>BJ462/(10^CM462)</f>
        <v>809.22197428805327</v>
      </c>
      <c r="CO462" s="55" t="s">
        <v>892</v>
      </c>
      <c r="CP462" s="55" t="s">
        <v>893</v>
      </c>
      <c r="CQ462" s="149">
        <v>-3.9716331432737606</v>
      </c>
      <c r="CR462" s="349">
        <f t="shared" si="162"/>
        <v>5.2991734203296454</v>
      </c>
      <c r="CS462" s="61" t="s">
        <v>539</v>
      </c>
      <c r="CT462" s="61"/>
      <c r="CU462" s="111">
        <f t="shared" si="158"/>
        <v>927.0467742943282</v>
      </c>
      <c r="CV462" s="331">
        <f>X462/BJ462</f>
        <v>6.5552106058063426</v>
      </c>
      <c r="CW462" s="326">
        <f t="shared" si="165"/>
        <v>1</v>
      </c>
      <c r="CX462" s="326" t="s">
        <v>539</v>
      </c>
      <c r="CY462" s="161" t="s">
        <v>5921</v>
      </c>
    </row>
    <row r="463" spans="1:103" ht="11.25" customHeight="1" x14ac:dyDescent="0.2">
      <c r="A463" s="72">
        <v>461</v>
      </c>
      <c r="B463" s="149">
        <v>753</v>
      </c>
      <c r="C463" s="54" t="s">
        <v>6737</v>
      </c>
      <c r="D463" s="54"/>
      <c r="E463" s="59"/>
      <c r="F463" s="59" t="s">
        <v>2131</v>
      </c>
      <c r="G463" s="151">
        <v>95144244</v>
      </c>
      <c r="H463" s="55"/>
      <c r="I463" s="55" t="s">
        <v>7877</v>
      </c>
      <c r="J463" s="55" t="s">
        <v>2132</v>
      </c>
      <c r="K463" s="55"/>
      <c r="L463" s="55"/>
      <c r="M463" s="55"/>
      <c r="N463" s="60"/>
      <c r="O463" s="55"/>
      <c r="P463" s="67"/>
      <c r="Q463" s="67"/>
      <c r="R463" s="67"/>
      <c r="S463" s="67"/>
      <c r="T463" s="56">
        <v>400000</v>
      </c>
      <c r="U463" s="103"/>
      <c r="V463" s="103"/>
      <c r="W463" s="103"/>
      <c r="X463" s="103"/>
      <c r="Y463" s="162"/>
      <c r="Z463" s="56"/>
      <c r="AA463" s="56"/>
      <c r="AB463" s="56"/>
      <c r="AC463" s="56"/>
      <c r="AD463" s="56"/>
      <c r="AE463" s="56"/>
      <c r="AF463" s="56"/>
      <c r="AG463" s="57">
        <v>1.29</v>
      </c>
      <c r="AH463" s="103"/>
      <c r="AI463" s="103"/>
      <c r="AJ463" s="62"/>
      <c r="AK463" s="62"/>
      <c r="AL463" s="62"/>
      <c r="AM463" s="62"/>
      <c r="AN463" s="154">
        <v>-12.6</v>
      </c>
      <c r="AO463" s="410"/>
      <c r="AP463" s="410"/>
      <c r="AQ463" s="154" t="s">
        <v>6317</v>
      </c>
      <c r="AR463" s="154" t="s">
        <v>6317</v>
      </c>
      <c r="AS463" s="149" t="s">
        <v>6</v>
      </c>
      <c r="AT463" s="58" t="s">
        <v>266</v>
      </c>
      <c r="AU463" s="56">
        <v>2</v>
      </c>
      <c r="AV463" s="56" t="s">
        <v>646</v>
      </c>
      <c r="AW463" s="56" t="s">
        <v>646</v>
      </c>
      <c r="AX463" s="56">
        <v>26</v>
      </c>
      <c r="AY463" s="56" t="s">
        <v>8722</v>
      </c>
      <c r="AZ463" s="56" t="s">
        <v>536</v>
      </c>
      <c r="BA463" s="56">
        <v>10</v>
      </c>
      <c r="BB463" s="55" t="s">
        <v>1764</v>
      </c>
      <c r="BC463" s="55" t="s">
        <v>538</v>
      </c>
      <c r="BD463" s="55"/>
      <c r="BE463" s="56" t="s">
        <v>649</v>
      </c>
      <c r="BF463" s="56" t="s">
        <v>272</v>
      </c>
      <c r="BG463" s="56" t="s">
        <v>272</v>
      </c>
      <c r="BH463" s="56" t="s">
        <v>272</v>
      </c>
      <c r="BI463" s="103">
        <v>0.03</v>
      </c>
      <c r="BJ463" s="103">
        <v>0.875</v>
      </c>
      <c r="BK463" s="56"/>
      <c r="BL463" s="103"/>
      <c r="BM463" s="56" t="s">
        <v>2046</v>
      </c>
      <c r="BN463" s="56"/>
      <c r="BO463" s="56">
        <v>1000</v>
      </c>
      <c r="BP463" s="56"/>
      <c r="BQ463" s="56"/>
      <c r="BR463" s="56">
        <v>1.6250000000000001E-2</v>
      </c>
      <c r="BS463" s="56"/>
      <c r="BT463" s="56"/>
      <c r="BU463" s="158"/>
      <c r="BV463" s="56"/>
      <c r="BW463" s="56"/>
      <c r="BX463" s="56"/>
      <c r="BY463" s="56"/>
      <c r="BZ463" s="56"/>
      <c r="CA463" s="56"/>
      <c r="CB463" s="56"/>
      <c r="CC463" s="56"/>
      <c r="CD463" s="56"/>
      <c r="CE463" s="56"/>
      <c r="CF463" s="56"/>
      <c r="CG463" s="56"/>
      <c r="CH463" s="56"/>
      <c r="CI463" s="103">
        <f t="shared" si="163"/>
        <v>1.6250000000000001E-2</v>
      </c>
      <c r="CJ463" s="103">
        <f t="shared" si="164"/>
        <v>-1.7891466346851068</v>
      </c>
      <c r="CK463" s="57">
        <f t="shared" si="167"/>
        <v>0</v>
      </c>
      <c r="CL463" s="160">
        <f t="shared" si="146"/>
        <v>0</v>
      </c>
      <c r="CM463" s="160"/>
      <c r="CN463" s="160"/>
      <c r="CO463" s="55"/>
      <c r="CP463" s="55" t="s">
        <v>2130</v>
      </c>
      <c r="CQ463" s="149" t="s">
        <v>272</v>
      </c>
      <c r="CR463" s="349"/>
      <c r="CS463" s="61" t="s">
        <v>539</v>
      </c>
      <c r="CT463" s="61"/>
      <c r="CU463" s="111" t="s">
        <v>6310</v>
      </c>
      <c r="CV463" s="331"/>
      <c r="CW463" s="326">
        <f t="shared" si="165"/>
        <v>1</v>
      </c>
      <c r="CX463" s="326"/>
      <c r="CY463" s="161" t="s">
        <v>5921</v>
      </c>
    </row>
    <row r="464" spans="1:103" ht="11.25" customHeight="1" x14ac:dyDescent="0.2">
      <c r="A464" s="72">
        <v>462</v>
      </c>
      <c r="B464" s="149">
        <v>308</v>
      </c>
      <c r="C464" s="54" t="s">
        <v>1213</v>
      </c>
      <c r="D464" s="54" t="s">
        <v>6760</v>
      </c>
      <c r="E464" s="59"/>
      <c r="F464" s="59" t="s">
        <v>1214</v>
      </c>
      <c r="G464" s="151">
        <v>188489078</v>
      </c>
      <c r="H464" s="55" t="s">
        <v>1215</v>
      </c>
      <c r="I464" s="55" t="s">
        <v>7893</v>
      </c>
      <c r="J464" s="55" t="s">
        <v>1216</v>
      </c>
      <c r="K464" s="55" t="s">
        <v>1217</v>
      </c>
      <c r="L464" s="55" t="s">
        <v>5987</v>
      </c>
      <c r="M464" s="60" t="s">
        <v>2342</v>
      </c>
      <c r="N464" s="60" t="s">
        <v>2342</v>
      </c>
      <c r="O464" s="55"/>
      <c r="P464" s="67"/>
      <c r="Q464" s="67"/>
      <c r="R464" s="67"/>
      <c r="S464" s="67"/>
      <c r="T464" s="56">
        <v>408.73</v>
      </c>
      <c r="U464" s="103"/>
      <c r="V464" s="103">
        <v>1.8973405426565212E-3</v>
      </c>
      <c r="W464" s="103">
        <v>2.951209226666379E-3</v>
      </c>
      <c r="X464" s="103">
        <f>IF(W464=0,V464,W464)</f>
        <v>2.951209226666379E-3</v>
      </c>
      <c r="Y464" s="162">
        <v>7</v>
      </c>
      <c r="Z464" s="56">
        <v>4.1500000000000004</v>
      </c>
      <c r="AA464" s="56"/>
      <c r="AB464" s="56">
        <v>3.46</v>
      </c>
      <c r="AC464" s="56">
        <v>0.60660000000000003</v>
      </c>
      <c r="AD464" s="56">
        <v>3.48</v>
      </c>
      <c r="AE464" s="56">
        <v>3.53</v>
      </c>
      <c r="AF464" s="56">
        <f t="shared" ref="AF464:AF499" si="168">IF(AA464=0,AD464,AA464)</f>
        <v>3.48</v>
      </c>
      <c r="AG464" s="57">
        <v>-0.75</v>
      </c>
      <c r="AH464" s="103">
        <v>9.3600000000000008E-10</v>
      </c>
      <c r="AI464" s="103"/>
      <c r="AJ464" s="62">
        <f t="shared" ref="AJ464:AJ498" si="169">LOG10(AH464*1000/(0.08206*298.15))</f>
        <v>-7.4172904775745465</v>
      </c>
      <c r="AK464" s="62"/>
      <c r="AL464" s="62">
        <f t="shared" ref="AL464:AL498" si="170">IF(AK464=0,AJ464,AK464)</f>
        <v>-7.4172904775745465</v>
      </c>
      <c r="AM464" s="62">
        <v>-12.87222</v>
      </c>
      <c r="AN464" s="154">
        <v>-10.8</v>
      </c>
      <c r="AO464" s="410"/>
      <c r="AP464" s="410">
        <v>-3.03</v>
      </c>
      <c r="AQ464" s="154" t="s">
        <v>6311</v>
      </c>
      <c r="AR464" s="154" t="s">
        <v>6314</v>
      </c>
      <c r="AS464" s="149" t="s">
        <v>63</v>
      </c>
      <c r="AT464" s="58" t="s">
        <v>266</v>
      </c>
      <c r="AU464" s="56">
        <v>8</v>
      </c>
      <c r="AV464" s="56">
        <v>144</v>
      </c>
      <c r="AW464" s="56">
        <v>120</v>
      </c>
      <c r="AX464" s="56">
        <v>26</v>
      </c>
      <c r="AY464" s="56" t="s">
        <v>267</v>
      </c>
      <c r="AZ464" s="56" t="s">
        <v>268</v>
      </c>
      <c r="BA464" s="56">
        <v>2</v>
      </c>
      <c r="BB464" s="55" t="s">
        <v>888</v>
      </c>
      <c r="BC464" s="55" t="s">
        <v>270</v>
      </c>
      <c r="BD464" s="55" t="s">
        <v>8374</v>
      </c>
      <c r="BE464" s="56" t="s">
        <v>889</v>
      </c>
      <c r="BF464" s="56" t="s">
        <v>272</v>
      </c>
      <c r="BG464" s="56" t="s">
        <v>272</v>
      </c>
      <c r="BH464" s="56" t="s">
        <v>890</v>
      </c>
      <c r="BI464" s="103">
        <v>9.9999999999999995E-7</v>
      </c>
      <c r="BJ464" s="103">
        <v>0.08</v>
      </c>
      <c r="BK464" s="56"/>
      <c r="BL464" s="103">
        <f t="shared" ref="BL464:BL492" si="171">10^((-0.8981*Z464)+1.7108)</f>
        <v>9.6313019811094854E-3</v>
      </c>
      <c r="BM464" s="56" t="s">
        <v>891</v>
      </c>
      <c r="BN464" s="162"/>
      <c r="BO464" s="162"/>
      <c r="BP464" s="162"/>
      <c r="BQ464" s="162"/>
      <c r="BR464" s="162"/>
      <c r="BS464" s="56">
        <v>5.6568542494923803E-4</v>
      </c>
      <c r="BT464" s="162"/>
      <c r="BU464" s="158"/>
      <c r="BV464" s="162"/>
      <c r="BW464" s="162"/>
      <c r="BX464" s="162"/>
      <c r="BY464" s="162"/>
      <c r="BZ464" s="162"/>
      <c r="CA464" s="162"/>
      <c r="CB464" s="162"/>
      <c r="CC464" s="56"/>
      <c r="CD464" s="56"/>
      <c r="CE464" s="56"/>
      <c r="CF464" s="56"/>
      <c r="CG464" s="56"/>
      <c r="CH464" s="56"/>
      <c r="CI464" s="103">
        <f t="shared" si="163"/>
        <v>5.6568542494923803E-4</v>
      </c>
      <c r="CJ464" s="103">
        <f t="shared" si="164"/>
        <v>-3.2474250108400469</v>
      </c>
      <c r="CK464" s="57">
        <f t="shared" si="167"/>
        <v>0.12039127476386857</v>
      </c>
      <c r="CL464" s="160">
        <f t="shared" si="146"/>
        <v>17.025897356244865</v>
      </c>
      <c r="CM464" s="160">
        <v>-2.2134965065935064</v>
      </c>
      <c r="CN464" s="160">
        <f>BJ464/(10^CM464)</f>
        <v>13.079359999999999</v>
      </c>
      <c r="CO464" s="55" t="s">
        <v>892</v>
      </c>
      <c r="CP464" s="55" t="s">
        <v>893</v>
      </c>
      <c r="CQ464" s="149">
        <v>-2.1283656488960281</v>
      </c>
      <c r="CR464" s="349">
        <f t="shared" ref="CR464:CR495" si="172">10^(CJ464-CQ464)</f>
        <v>7.6022235814018055E-2</v>
      </c>
      <c r="CS464" s="61" t="s">
        <v>539</v>
      </c>
      <c r="CT464" s="61"/>
      <c r="CU464" s="111">
        <f t="shared" ref="CU464:CU510" si="173">X464/CI464</f>
        <v>5.2170501421902582</v>
      </c>
      <c r="CV464" s="331">
        <f t="shared" ref="CV464:CV477" si="174">X464/BJ464</f>
        <v>3.689011533332974E-2</v>
      </c>
      <c r="CW464" s="326">
        <f t="shared" si="165"/>
        <v>1</v>
      </c>
      <c r="CX464" s="326" t="s">
        <v>539</v>
      </c>
      <c r="CY464" s="161" t="s">
        <v>5921</v>
      </c>
    </row>
    <row r="465" spans="1:103" ht="11.25" customHeight="1" x14ac:dyDescent="0.2">
      <c r="A465" s="72">
        <v>463</v>
      </c>
      <c r="B465" s="149">
        <v>620</v>
      </c>
      <c r="C465" s="54" t="s">
        <v>6761</v>
      </c>
      <c r="D465" s="54" t="s">
        <v>6762</v>
      </c>
      <c r="E465" s="59"/>
      <c r="F465" s="59" t="s">
        <v>1848</v>
      </c>
      <c r="G465" s="151">
        <v>58275</v>
      </c>
      <c r="H465" s="55" t="s">
        <v>1849</v>
      </c>
      <c r="I465" s="55" t="s">
        <v>1849</v>
      </c>
      <c r="J465" s="55" t="s">
        <v>1850</v>
      </c>
      <c r="K465" s="55" t="s">
        <v>1771</v>
      </c>
      <c r="L465" s="64" t="s">
        <v>279</v>
      </c>
      <c r="M465" s="55" t="s">
        <v>1851</v>
      </c>
      <c r="N465" s="60" t="s">
        <v>6383</v>
      </c>
      <c r="O465" s="55" t="s">
        <v>281</v>
      </c>
      <c r="P465" s="67" t="s">
        <v>6172</v>
      </c>
      <c r="Q465" s="67" t="s">
        <v>6173</v>
      </c>
      <c r="R465" s="67" t="s">
        <v>6175</v>
      </c>
      <c r="S465" s="67" t="s">
        <v>6176</v>
      </c>
      <c r="T465" s="56">
        <v>172.18</v>
      </c>
      <c r="U465" s="103">
        <v>0.92926007666395627</v>
      </c>
      <c r="V465" s="103">
        <v>4.6102915553490531</v>
      </c>
      <c r="W465" s="103">
        <v>0.35481338923357514</v>
      </c>
      <c r="X465" s="103">
        <v>0.92926007666395627</v>
      </c>
      <c r="Y465" s="162">
        <v>7</v>
      </c>
      <c r="Z465" s="56">
        <v>2.21</v>
      </c>
      <c r="AA465" s="56">
        <v>2.2000000000000002</v>
      </c>
      <c r="AB465" s="56">
        <v>1.9</v>
      </c>
      <c r="AC465" s="56">
        <v>0.81189999999999996</v>
      </c>
      <c r="AD465" s="56">
        <v>2.02</v>
      </c>
      <c r="AE465" s="56">
        <v>2.38</v>
      </c>
      <c r="AF465" s="56">
        <f t="shared" si="168"/>
        <v>2.2000000000000002</v>
      </c>
      <c r="AG465" s="57">
        <v>1.68</v>
      </c>
      <c r="AH465" s="103">
        <v>3.0899999999999999E-9</v>
      </c>
      <c r="AI465" s="103"/>
      <c r="AJ465" s="62">
        <f t="shared" si="169"/>
        <v>-6.8986078468878169</v>
      </c>
      <c r="AK465" s="62"/>
      <c r="AL465" s="62">
        <f t="shared" si="170"/>
        <v>-6.8986078468878169</v>
      </c>
      <c r="AM465" s="62">
        <v>-9.7995200000000011</v>
      </c>
      <c r="AN465" s="154">
        <v>-5.71</v>
      </c>
      <c r="AO465" s="410"/>
      <c r="AP465" s="410"/>
      <c r="AQ465" s="154" t="s">
        <v>6311</v>
      </c>
      <c r="AR465" s="154" t="s">
        <v>6311</v>
      </c>
      <c r="AS465" s="149" t="s">
        <v>6</v>
      </c>
      <c r="AT465" s="58" t="s">
        <v>266</v>
      </c>
      <c r="AU465" s="56">
        <v>2</v>
      </c>
      <c r="AV465" s="56" t="s">
        <v>646</v>
      </c>
      <c r="AW465" s="56" t="s">
        <v>646</v>
      </c>
      <c r="AX465" s="56">
        <v>26</v>
      </c>
      <c r="AY465" s="56" t="s">
        <v>647</v>
      </c>
      <c r="AZ465" s="56" t="s">
        <v>536</v>
      </c>
      <c r="BA465" s="56">
        <v>10</v>
      </c>
      <c r="BB465" s="55" t="s">
        <v>1764</v>
      </c>
      <c r="BC465" s="55" t="s">
        <v>538</v>
      </c>
      <c r="BD465" s="55"/>
      <c r="BE465" s="56" t="s">
        <v>1809</v>
      </c>
      <c r="BF465" s="56" t="s">
        <v>539</v>
      </c>
      <c r="BG465" s="56" t="s">
        <v>272</v>
      </c>
      <c r="BH465" s="56" t="s">
        <v>272</v>
      </c>
      <c r="BI465" s="157">
        <v>1.8177594517683956E-4</v>
      </c>
      <c r="BJ465" s="157">
        <v>9.2920610953017031E-3</v>
      </c>
      <c r="BK465" s="56" t="s">
        <v>1843</v>
      </c>
      <c r="BL465" s="103">
        <f t="shared" si="171"/>
        <v>0.53210703404365922</v>
      </c>
      <c r="BM465" s="56" t="s">
        <v>541</v>
      </c>
      <c r="BN465" s="56"/>
      <c r="BO465" s="56">
        <v>6.9690458214762756E-4</v>
      </c>
      <c r="BP465" s="56"/>
      <c r="BQ465" s="56"/>
      <c r="BR465" s="56">
        <v>5.5000000000000003E-4</v>
      </c>
      <c r="BS465" s="56"/>
      <c r="BT465" s="56"/>
      <c r="BU465" s="158"/>
      <c r="BV465" s="56"/>
      <c r="BW465" s="56"/>
      <c r="BX465" s="56"/>
      <c r="BY465" s="56"/>
      <c r="BZ465" s="56"/>
      <c r="CA465" s="56"/>
      <c r="CB465" s="56"/>
      <c r="CC465" s="56"/>
      <c r="CD465" s="56"/>
      <c r="CE465" s="56"/>
      <c r="CF465" s="56"/>
      <c r="CG465" s="56"/>
      <c r="CH465" s="56"/>
      <c r="CI465" s="103">
        <f t="shared" si="163"/>
        <v>5.5000000000000003E-4</v>
      </c>
      <c r="CJ465" s="103">
        <f t="shared" si="164"/>
        <v>-3.2596373105057563</v>
      </c>
      <c r="CK465" s="57">
        <f t="shared" si="167"/>
        <v>57.26469386998604</v>
      </c>
      <c r="CL465" s="160">
        <f t="shared" si="146"/>
        <v>967.46733462483485</v>
      </c>
      <c r="CM465" s="160"/>
      <c r="CN465" s="160"/>
      <c r="CO465" s="55"/>
      <c r="CP465" s="55" t="s">
        <v>1811</v>
      </c>
      <c r="CQ465" s="149">
        <v>-3.1926248715093979</v>
      </c>
      <c r="CR465" s="349">
        <f t="shared" si="172"/>
        <v>0.85701329843456475</v>
      </c>
      <c r="CS465" s="61" t="s">
        <v>539</v>
      </c>
      <c r="CT465" s="61" t="s">
        <v>6310</v>
      </c>
      <c r="CU465" s="111">
        <f t="shared" si="173"/>
        <v>1689.5637757526476</v>
      </c>
      <c r="CV465" s="331">
        <f t="shared" si="174"/>
        <v>100.00580787547912</v>
      </c>
      <c r="CW465" s="326">
        <f t="shared" si="165"/>
        <v>1</v>
      </c>
      <c r="CX465" s="326" t="s">
        <v>539</v>
      </c>
      <c r="CY465" s="161" t="s">
        <v>5921</v>
      </c>
    </row>
    <row r="466" spans="1:103" ht="11.25" customHeight="1" x14ac:dyDescent="0.2">
      <c r="A466" s="72">
        <v>464</v>
      </c>
      <c r="B466" s="149">
        <v>1079</v>
      </c>
      <c r="C466" s="54" t="s">
        <v>1060</v>
      </c>
      <c r="D466" s="54" t="s">
        <v>6688</v>
      </c>
      <c r="E466" s="59"/>
      <c r="F466" s="59" t="s">
        <v>1061</v>
      </c>
      <c r="G466" s="151">
        <v>120116883</v>
      </c>
      <c r="H466" s="55" t="s">
        <v>1062</v>
      </c>
      <c r="I466" s="55" t="s">
        <v>7894</v>
      </c>
      <c r="J466" s="55" t="s">
        <v>1063</v>
      </c>
      <c r="K466" s="55" t="s">
        <v>1064</v>
      </c>
      <c r="L466" s="55" t="s">
        <v>5929</v>
      </c>
      <c r="M466" s="60" t="s">
        <v>2342</v>
      </c>
      <c r="N466" s="60" t="s">
        <v>2342</v>
      </c>
      <c r="O466" s="55"/>
      <c r="P466" s="67"/>
      <c r="Q466" s="67"/>
      <c r="R466" s="67"/>
      <c r="S466" s="67"/>
      <c r="T466" s="56">
        <v>324.79000000000002</v>
      </c>
      <c r="U466" s="103"/>
      <c r="V466" s="103">
        <v>5.2372302102897256E-2</v>
      </c>
      <c r="W466" s="103">
        <v>7.585775750291826E-2</v>
      </c>
      <c r="X466" s="103">
        <f>IF(W466=0,V466,W466)</f>
        <v>7.585775750291826E-2</v>
      </c>
      <c r="Y466" s="162">
        <v>7</v>
      </c>
      <c r="Z466" s="56">
        <v>2.87</v>
      </c>
      <c r="AA466" s="56"/>
      <c r="AB466" s="56">
        <v>1.1299999999999999</v>
      </c>
      <c r="AC466" s="56">
        <v>0.69910000000000005</v>
      </c>
      <c r="AD466" s="56">
        <v>1.33</v>
      </c>
      <c r="AE466" s="56">
        <v>1.76</v>
      </c>
      <c r="AF466" s="56">
        <f t="shared" si="168"/>
        <v>1.33</v>
      </c>
      <c r="AG466" s="57">
        <v>2.79</v>
      </c>
      <c r="AH466" s="103">
        <v>5.2900000000000003E-12</v>
      </c>
      <c r="AI466" s="103"/>
      <c r="AJ466" s="62">
        <f t="shared" si="169"/>
        <v>-9.6651106542774663</v>
      </c>
      <c r="AK466" s="62"/>
      <c r="AL466" s="62">
        <f t="shared" si="170"/>
        <v>-9.6651106542774663</v>
      </c>
      <c r="AM466" s="62">
        <v>-18.323869999999999</v>
      </c>
      <c r="AN466" s="154">
        <v>-3.68</v>
      </c>
      <c r="AO466" s="410"/>
      <c r="AP466" s="410">
        <v>-6.61</v>
      </c>
      <c r="AQ466" s="56" t="s">
        <v>6311</v>
      </c>
      <c r="AR466" s="56" t="s">
        <v>6311</v>
      </c>
      <c r="AS466" s="155"/>
      <c r="AT466" s="58" t="s">
        <v>266</v>
      </c>
      <c r="AU466" s="56">
        <v>6</v>
      </c>
      <c r="AV466" s="56">
        <v>120</v>
      </c>
      <c r="AW466" s="56">
        <v>114</v>
      </c>
      <c r="AX466" s="56">
        <v>28</v>
      </c>
      <c r="AY466" s="56" t="s">
        <v>8728</v>
      </c>
      <c r="AZ466" s="56" t="s">
        <v>1563</v>
      </c>
      <c r="BA466" s="56">
        <v>32</v>
      </c>
      <c r="BB466" s="55" t="s">
        <v>2485</v>
      </c>
      <c r="BC466" s="55" t="s">
        <v>8726</v>
      </c>
      <c r="BD466" s="55" t="s">
        <v>8374</v>
      </c>
      <c r="BE466" s="56" t="s">
        <v>2449</v>
      </c>
      <c r="BF466" s="56" t="s">
        <v>272</v>
      </c>
      <c r="BG466" s="56" t="s">
        <v>272</v>
      </c>
      <c r="BH466" s="56" t="s">
        <v>2486</v>
      </c>
      <c r="BI466" s="103">
        <v>6.3999999999999997E-6</v>
      </c>
      <c r="BJ466" s="103">
        <v>6.4000000000000001E-2</v>
      </c>
      <c r="BK466" s="56"/>
      <c r="BL466" s="103">
        <f t="shared" si="171"/>
        <v>0.13591049680871009</v>
      </c>
      <c r="BM466" s="56" t="s">
        <v>2487</v>
      </c>
      <c r="BN466" s="56"/>
      <c r="BO466" s="56"/>
      <c r="BP466" s="56"/>
      <c r="BQ466" s="56"/>
      <c r="BR466" s="55">
        <v>5.4299999999999997E-4</v>
      </c>
      <c r="BS466" s="56"/>
      <c r="BT466" s="56"/>
      <c r="BU466" s="158"/>
      <c r="BV466" s="56"/>
      <c r="BW466" s="56"/>
      <c r="BX466" s="56"/>
      <c r="BY466" s="56"/>
      <c r="BZ466" s="56"/>
      <c r="CA466" s="56"/>
      <c r="CB466" s="56"/>
      <c r="CC466" s="56"/>
      <c r="CD466" s="56"/>
      <c r="CE466" s="56"/>
      <c r="CF466" s="56"/>
      <c r="CG466" s="56"/>
      <c r="CH466" s="56"/>
      <c r="CI466" s="103">
        <f t="shared" si="163"/>
        <v>5.4299999999999997E-4</v>
      </c>
      <c r="CJ466" s="103">
        <f t="shared" si="164"/>
        <v>-3.2652001704111533</v>
      </c>
      <c r="CK466" s="57">
        <f t="shared" si="167"/>
        <v>2.1236015126360952</v>
      </c>
      <c r="CL466" s="160">
        <f t="shared" si="146"/>
        <v>250.29557423335194</v>
      </c>
      <c r="CM466" s="160">
        <v>-3.8769395938726521</v>
      </c>
      <c r="CN466" s="160">
        <f t="shared" ref="CN466:CN477" si="175">BJ466/(10^CM466)</f>
        <v>482.08050342922553</v>
      </c>
      <c r="CO466" s="55" t="s">
        <v>2488</v>
      </c>
      <c r="CP466" s="55" t="s">
        <v>2489</v>
      </c>
      <c r="CQ466" s="149">
        <v>-3.8769395938726521</v>
      </c>
      <c r="CR466" s="349">
        <f t="shared" si="172"/>
        <v>4.0901517712823274</v>
      </c>
      <c r="CS466" s="61" t="s">
        <v>539</v>
      </c>
      <c r="CT466" s="61"/>
      <c r="CU466" s="111">
        <f t="shared" si="173"/>
        <v>139.70121087093602</v>
      </c>
      <c r="CV466" s="331">
        <f t="shared" si="174"/>
        <v>1.1852774609830978</v>
      </c>
      <c r="CW466" s="326">
        <f t="shared" si="165"/>
        <v>1</v>
      </c>
      <c r="CX466" s="326"/>
      <c r="CY466" s="161" t="s">
        <v>5921</v>
      </c>
    </row>
    <row r="467" spans="1:103" ht="11.25" customHeight="1" x14ac:dyDescent="0.2">
      <c r="A467" s="72">
        <v>465</v>
      </c>
      <c r="B467" s="149">
        <v>926</v>
      </c>
      <c r="C467" s="54" t="s">
        <v>2644</v>
      </c>
      <c r="D467" s="54" t="s">
        <v>6759</v>
      </c>
      <c r="E467" s="59"/>
      <c r="F467" s="59" t="s">
        <v>1465</v>
      </c>
      <c r="G467" s="151">
        <v>21564170</v>
      </c>
      <c r="H467" s="55" t="s">
        <v>1466</v>
      </c>
      <c r="I467" s="55" t="s">
        <v>7892</v>
      </c>
      <c r="J467" s="55" t="s">
        <v>1467</v>
      </c>
      <c r="K467" s="55" t="s">
        <v>1468</v>
      </c>
      <c r="L467" s="55" t="s">
        <v>5929</v>
      </c>
      <c r="M467" s="55" t="s">
        <v>6088</v>
      </c>
      <c r="N467" s="60" t="s">
        <v>6088</v>
      </c>
      <c r="O467" s="55" t="s">
        <v>6083</v>
      </c>
      <c r="P467" s="67"/>
      <c r="Q467" s="67"/>
      <c r="R467" s="67"/>
      <c r="S467" s="67"/>
      <c r="T467" s="56">
        <v>238.36</v>
      </c>
      <c r="U467" s="103">
        <v>0.52441684846450742</v>
      </c>
      <c r="V467" s="103">
        <v>0.17481960060412821</v>
      </c>
      <c r="W467" s="103">
        <v>0.38904514499428011</v>
      </c>
      <c r="X467" s="103">
        <v>0.52441684846450742</v>
      </c>
      <c r="Y467" s="162">
        <v>7</v>
      </c>
      <c r="Z467" s="56">
        <v>3.12</v>
      </c>
      <c r="AA467" s="56">
        <v>3.3</v>
      </c>
      <c r="AB467" s="56">
        <v>2.83</v>
      </c>
      <c r="AC467" s="56">
        <v>0.82469999999999999</v>
      </c>
      <c r="AD467" s="56">
        <v>2.91</v>
      </c>
      <c r="AE467" s="56">
        <v>3.12</v>
      </c>
      <c r="AF467" s="56">
        <f t="shared" si="168"/>
        <v>3.3</v>
      </c>
      <c r="AG467" s="57">
        <v>3.94</v>
      </c>
      <c r="AH467" s="103">
        <v>6.49E-12</v>
      </c>
      <c r="AI467" s="103"/>
      <c r="AJ467" s="62">
        <f t="shared" si="169"/>
        <v>-9.5763216295122824</v>
      </c>
      <c r="AK467" s="62"/>
      <c r="AL467" s="62">
        <f t="shared" si="170"/>
        <v>-9.5763216295122824</v>
      </c>
      <c r="AM467" s="62">
        <v>-11.81157</v>
      </c>
      <c r="AN467" s="154">
        <v>-12.3</v>
      </c>
      <c r="AO467" s="410"/>
      <c r="AP467" s="410">
        <v>-0.09</v>
      </c>
      <c r="AQ467" s="56" t="s">
        <v>6311</v>
      </c>
      <c r="AR467" s="56" t="s">
        <v>6311</v>
      </c>
      <c r="AS467" s="155"/>
      <c r="AT467" s="58" t="s">
        <v>266</v>
      </c>
      <c r="AU467" s="56">
        <v>6</v>
      </c>
      <c r="AV467" s="56">
        <v>120</v>
      </c>
      <c r="AW467" s="56">
        <v>114</v>
      </c>
      <c r="AX467" s="56">
        <v>28</v>
      </c>
      <c r="AY467" s="56" t="s">
        <v>8728</v>
      </c>
      <c r="AZ467" s="56" t="s">
        <v>1563</v>
      </c>
      <c r="BA467" s="56">
        <v>32</v>
      </c>
      <c r="BB467" s="55" t="s">
        <v>2485</v>
      </c>
      <c r="BC467" s="55" t="s">
        <v>8726</v>
      </c>
      <c r="BD467" s="55" t="s">
        <v>8374</v>
      </c>
      <c r="BE467" s="56" t="s">
        <v>2449</v>
      </c>
      <c r="BF467" s="56" t="s">
        <v>272</v>
      </c>
      <c r="BG467" s="56" t="s">
        <v>272</v>
      </c>
      <c r="BH467" s="56" t="s">
        <v>2486</v>
      </c>
      <c r="BI467" s="103">
        <v>6.3999999999999997E-6</v>
      </c>
      <c r="BJ467" s="103">
        <v>6.4000000000000001E-2</v>
      </c>
      <c r="BK467" s="56"/>
      <c r="BL467" s="103">
        <f t="shared" si="171"/>
        <v>8.1045330941141552E-2</v>
      </c>
      <c r="BM467" s="56" t="s">
        <v>2046</v>
      </c>
      <c r="BN467" s="56">
        <v>2.023857703</v>
      </c>
      <c r="BO467" s="56"/>
      <c r="BP467" s="56"/>
      <c r="BQ467" s="56"/>
      <c r="BR467" s="55">
        <v>5.2899999999999996E-4</v>
      </c>
      <c r="BS467" s="56"/>
      <c r="BT467" s="56"/>
      <c r="BU467" s="158"/>
      <c r="BV467" s="56"/>
      <c r="BW467" s="56"/>
      <c r="BX467" s="56"/>
      <c r="BY467" s="56"/>
      <c r="BZ467" s="56"/>
      <c r="CA467" s="56"/>
      <c r="CB467" s="56"/>
      <c r="CC467" s="56"/>
      <c r="CD467" s="56"/>
      <c r="CE467" s="56"/>
      <c r="CF467" s="56"/>
      <c r="CG467" s="56"/>
      <c r="CH467" s="56"/>
      <c r="CI467" s="103">
        <f t="shared" si="163"/>
        <v>5.2899999999999996E-4</v>
      </c>
      <c r="CJ467" s="103">
        <f t="shared" si="164"/>
        <v>-3.2765443279648143</v>
      </c>
      <c r="CK467" s="57">
        <f t="shared" si="167"/>
        <v>1.2663332959553368</v>
      </c>
      <c r="CL467" s="160">
        <f t="shared" si="146"/>
        <v>153.20478438779122</v>
      </c>
      <c r="CM467" s="160">
        <v>-4.0049776804613346</v>
      </c>
      <c r="CN467" s="160">
        <f t="shared" si="175"/>
        <v>647.37757943044267</v>
      </c>
      <c r="CO467" s="55" t="s">
        <v>2488</v>
      </c>
      <c r="CP467" s="55" t="s">
        <v>2489</v>
      </c>
      <c r="CQ467" s="149">
        <v>-3.9716331432737606</v>
      </c>
      <c r="CR467" s="349">
        <f t="shared" si="172"/>
        <v>4.95551523111265</v>
      </c>
      <c r="CS467" s="61" t="s">
        <v>539</v>
      </c>
      <c r="CT467" s="61"/>
      <c r="CU467" s="111">
        <f t="shared" si="173"/>
        <v>991.33619747543946</v>
      </c>
      <c r="CV467" s="331">
        <f t="shared" si="174"/>
        <v>8.1940132572579287</v>
      </c>
      <c r="CW467" s="326">
        <f t="shared" si="165"/>
        <v>1</v>
      </c>
      <c r="CX467" s="326"/>
      <c r="CY467" s="161" t="s">
        <v>5921</v>
      </c>
    </row>
    <row r="468" spans="1:103" ht="11.25" customHeight="1" x14ac:dyDescent="0.2">
      <c r="A468" s="72">
        <v>466</v>
      </c>
      <c r="B468" s="149">
        <v>1259</v>
      </c>
      <c r="C468" s="54" t="s">
        <v>1423</v>
      </c>
      <c r="D468" s="54" t="s">
        <v>6590</v>
      </c>
      <c r="E468" s="59"/>
      <c r="F468" s="59" t="s">
        <v>1424</v>
      </c>
      <c r="G468" s="151">
        <v>175013180</v>
      </c>
      <c r="H468" s="55" t="s">
        <v>1425</v>
      </c>
      <c r="I468" s="55" t="s">
        <v>7895</v>
      </c>
      <c r="J468" s="55" t="s">
        <v>1426</v>
      </c>
      <c r="K468" s="55" t="s">
        <v>1427</v>
      </c>
      <c r="L468" s="55" t="s">
        <v>6090</v>
      </c>
      <c r="M468" s="55" t="s">
        <v>6082</v>
      </c>
      <c r="N468" s="60" t="s">
        <v>6082</v>
      </c>
      <c r="O468" s="55" t="s">
        <v>6083</v>
      </c>
      <c r="P468" s="67"/>
      <c r="Q468" s="67"/>
      <c r="R468" s="67"/>
      <c r="S468" s="67"/>
      <c r="T468" s="56">
        <v>387.82</v>
      </c>
      <c r="U468" s="103"/>
      <c r="V468" s="103">
        <v>3.6743850239801972E-3</v>
      </c>
      <c r="W468" s="103">
        <v>6.7608297539198158E-3</v>
      </c>
      <c r="X468" s="103">
        <f>IF(W468=0,V468,W468)</f>
        <v>6.7608297539198158E-3</v>
      </c>
      <c r="Y468" s="162">
        <v>7</v>
      </c>
      <c r="Z468" s="56">
        <v>5.45</v>
      </c>
      <c r="AA468" s="56">
        <v>3.99</v>
      </c>
      <c r="AB468" s="56">
        <v>3.95</v>
      </c>
      <c r="AC468" s="56">
        <v>0.61850000000000005</v>
      </c>
      <c r="AD468" s="56">
        <v>4.07</v>
      </c>
      <c r="AE468" s="56">
        <v>4.25</v>
      </c>
      <c r="AF468" s="56">
        <f t="shared" si="168"/>
        <v>3.99</v>
      </c>
      <c r="AG468" s="57">
        <v>4.0199999999999996</v>
      </c>
      <c r="AH468" s="103">
        <v>1.15E-15</v>
      </c>
      <c r="AI468" s="103"/>
      <c r="AJ468" s="62">
        <f t="shared" si="169"/>
        <v>-13.327868485959041</v>
      </c>
      <c r="AK468" s="62"/>
      <c r="AL468" s="62">
        <f t="shared" si="170"/>
        <v>-13.327868485959041</v>
      </c>
      <c r="AM468" s="62">
        <v>-18.93666</v>
      </c>
      <c r="AN468" s="154">
        <v>-9.9600000000000009</v>
      </c>
      <c r="AO468" s="410"/>
      <c r="AP468" s="410">
        <v>-0.23</v>
      </c>
      <c r="AQ468" s="56" t="s">
        <v>6311</v>
      </c>
      <c r="AR468" s="56" t="s">
        <v>6311</v>
      </c>
      <c r="AS468" s="155"/>
      <c r="AT468" s="58" t="s">
        <v>266</v>
      </c>
      <c r="AU468" s="56">
        <v>6</v>
      </c>
      <c r="AV468" s="56">
        <v>120</v>
      </c>
      <c r="AW468" s="56">
        <v>114</v>
      </c>
      <c r="AX468" s="56">
        <v>28</v>
      </c>
      <c r="AY468" s="56" t="s">
        <v>8728</v>
      </c>
      <c r="AZ468" s="56" t="s">
        <v>1563</v>
      </c>
      <c r="BA468" s="56">
        <v>32</v>
      </c>
      <c r="BB468" s="55" t="s">
        <v>2485</v>
      </c>
      <c r="BC468" s="55" t="s">
        <v>8726</v>
      </c>
      <c r="BD468" s="55" t="s">
        <v>8374</v>
      </c>
      <c r="BE468" s="56" t="s">
        <v>2449</v>
      </c>
      <c r="BF468" s="56" t="s">
        <v>272</v>
      </c>
      <c r="BG468" s="56" t="s">
        <v>272</v>
      </c>
      <c r="BH468" s="56" t="s">
        <v>2486</v>
      </c>
      <c r="BI468" s="103">
        <v>6.3999999999999997E-6</v>
      </c>
      <c r="BJ468" s="103">
        <v>6.4000000000000001E-2</v>
      </c>
      <c r="BK468" s="56"/>
      <c r="BL468" s="103">
        <f t="shared" si="171"/>
        <v>6.5486985586723091E-4</v>
      </c>
      <c r="BM468" s="56" t="s">
        <v>2487</v>
      </c>
      <c r="BN468" s="56"/>
      <c r="BO468" s="56"/>
      <c r="BP468" s="56"/>
      <c r="BQ468" s="56"/>
      <c r="BR468" s="55">
        <v>4.9799999999999996E-4</v>
      </c>
      <c r="BS468" s="56"/>
      <c r="BT468" s="56"/>
      <c r="BU468" s="158"/>
      <c r="BV468" s="56"/>
      <c r="BW468" s="56"/>
      <c r="BX468" s="56"/>
      <c r="BY468" s="56"/>
      <c r="BZ468" s="56"/>
      <c r="CA468" s="56"/>
      <c r="CB468" s="56"/>
      <c r="CC468" s="56"/>
      <c r="CD468" s="56"/>
      <c r="CE468" s="56"/>
      <c r="CF468" s="56"/>
      <c r="CG468" s="56"/>
      <c r="CH468" s="56"/>
      <c r="CI468" s="103">
        <f t="shared" si="163"/>
        <v>4.9799999999999996E-4</v>
      </c>
      <c r="CJ468" s="103">
        <f t="shared" si="164"/>
        <v>-3.3027706572402824</v>
      </c>
      <c r="CK468" s="57">
        <f t="shared" si="167"/>
        <v>1.0232341497925483E-2</v>
      </c>
      <c r="CL468" s="160">
        <f t="shared" si="146"/>
        <v>1.314999710576769</v>
      </c>
      <c r="CM468" s="160">
        <v>-4.7962385125256786</v>
      </c>
      <c r="CN468" s="160">
        <f t="shared" si="175"/>
        <v>4003.3032258064532</v>
      </c>
      <c r="CO468" s="55" t="s">
        <v>2488</v>
      </c>
      <c r="CP468" s="55" t="s">
        <v>2489</v>
      </c>
      <c r="CQ468" s="149">
        <v>-4.6639819316065694</v>
      </c>
      <c r="CR468" s="349">
        <f t="shared" si="172"/>
        <v>22.97265943839464</v>
      </c>
      <c r="CS468" s="61" t="s">
        <v>539</v>
      </c>
      <c r="CT468" s="61"/>
      <c r="CU468" s="111">
        <f t="shared" si="173"/>
        <v>13.575963361284773</v>
      </c>
      <c r="CV468" s="331">
        <f t="shared" si="174"/>
        <v>0.10563796490499712</v>
      </c>
      <c r="CW468" s="326">
        <f t="shared" si="165"/>
        <v>1</v>
      </c>
      <c r="CX468" s="326"/>
      <c r="CY468" s="161" t="s">
        <v>5921</v>
      </c>
    </row>
    <row r="469" spans="1:103" ht="11.25" customHeight="1" x14ac:dyDescent="0.2">
      <c r="A469" s="72">
        <v>467</v>
      </c>
      <c r="B469" s="149">
        <v>739</v>
      </c>
      <c r="C469" s="54" t="s">
        <v>2101</v>
      </c>
      <c r="D469" s="54" t="s">
        <v>6567</v>
      </c>
      <c r="E469" s="59"/>
      <c r="F469" s="59" t="s">
        <v>2102</v>
      </c>
      <c r="G469" s="151">
        <v>82657043</v>
      </c>
      <c r="H469" s="55" t="s">
        <v>2103</v>
      </c>
      <c r="I469" s="55" t="s">
        <v>7896</v>
      </c>
      <c r="J469" s="55" t="s">
        <v>2104</v>
      </c>
      <c r="K469" s="55" t="s">
        <v>1363</v>
      </c>
      <c r="L469" s="55" t="s">
        <v>617</v>
      </c>
      <c r="M469" s="55" t="s">
        <v>1086</v>
      </c>
      <c r="N469" s="60" t="s">
        <v>6376</v>
      </c>
      <c r="O469" s="55" t="s">
        <v>918</v>
      </c>
      <c r="P469" s="67"/>
      <c r="Q469" s="67"/>
      <c r="R469" s="67"/>
      <c r="S469" s="67"/>
      <c r="T469" s="56">
        <v>422.87</v>
      </c>
      <c r="U469" s="103">
        <v>2.3647929623761441E-4</v>
      </c>
      <c r="V469" s="103">
        <v>5.6920566604393782E-7</v>
      </c>
      <c r="W469" s="103">
        <v>2.9512092266663814E-4</v>
      </c>
      <c r="X469" s="103">
        <v>2.3647929623761441E-4</v>
      </c>
      <c r="Y469" s="162">
        <v>7</v>
      </c>
      <c r="Z469" s="56">
        <v>8.15</v>
      </c>
      <c r="AA469" s="56"/>
      <c r="AB469" s="56">
        <v>6.84</v>
      </c>
      <c r="AC469" s="56">
        <v>0.85719999999999996</v>
      </c>
      <c r="AD469" s="56">
        <v>6.93</v>
      </c>
      <c r="AE469" s="56">
        <v>7.3</v>
      </c>
      <c r="AF469" s="56">
        <f t="shared" si="168"/>
        <v>6.93</v>
      </c>
      <c r="AG469" s="57">
        <v>6.43</v>
      </c>
      <c r="AH469" s="103">
        <v>1.91E-5</v>
      </c>
      <c r="AI469" s="103">
        <v>9.9999999999999995E-7</v>
      </c>
      <c r="AJ469" s="62">
        <f t="shared" si="169"/>
        <v>-3.1075329590649243</v>
      </c>
      <c r="AK469" s="62">
        <f t="shared" ref="AK469:AK475" si="176">LOG10(AI469*1000/(0.08206*298.15))</f>
        <v>-4.3885663263126515</v>
      </c>
      <c r="AL469" s="62">
        <f t="shared" si="170"/>
        <v>-4.3885663263126515</v>
      </c>
      <c r="AM469" s="62">
        <v>-9.5165900000000008</v>
      </c>
      <c r="AN469" s="154">
        <v>-4.72</v>
      </c>
      <c r="AO469" s="410"/>
      <c r="AP469" s="410"/>
      <c r="AQ469" s="154" t="s">
        <v>6311</v>
      </c>
      <c r="AR469" s="154" t="s">
        <v>6312</v>
      </c>
      <c r="AS469" s="149" t="s">
        <v>6</v>
      </c>
      <c r="AT469" s="58" t="s">
        <v>266</v>
      </c>
      <c r="AU469" s="56">
        <v>2</v>
      </c>
      <c r="AV469" s="56">
        <v>120</v>
      </c>
      <c r="AW469" s="56">
        <v>120</v>
      </c>
      <c r="AX469" s="56">
        <v>28</v>
      </c>
      <c r="AY469" s="56" t="s">
        <v>8722</v>
      </c>
      <c r="AZ469" s="56" t="s">
        <v>536</v>
      </c>
      <c r="BA469" s="56" t="s">
        <v>8722</v>
      </c>
      <c r="BB469" s="55" t="s">
        <v>2087</v>
      </c>
      <c r="BC469" s="55" t="s">
        <v>2088</v>
      </c>
      <c r="BD469" s="55"/>
      <c r="BE469" s="56" t="s">
        <v>271</v>
      </c>
      <c r="BF469" s="56" t="s">
        <v>272</v>
      </c>
      <c r="BG469" s="56" t="s">
        <v>272</v>
      </c>
      <c r="BH469" s="56" t="s">
        <v>2089</v>
      </c>
      <c r="BI469" s="157">
        <v>1.182368520620507E-4</v>
      </c>
      <c r="BJ469" s="157">
        <v>1.182368520620507E-3</v>
      </c>
      <c r="BK469" s="56"/>
      <c r="BL469" s="103">
        <f t="shared" si="171"/>
        <v>2.4619827176821421E-6</v>
      </c>
      <c r="BM469" s="56" t="s">
        <v>2090</v>
      </c>
      <c r="BN469" s="56"/>
      <c r="BO469" s="56"/>
      <c r="BP469" s="56"/>
      <c r="BQ469" s="56"/>
      <c r="BR469" s="56"/>
      <c r="BS469" s="56"/>
      <c r="BT469" s="56">
        <v>4.4930003783579268E-4</v>
      </c>
      <c r="BU469" s="158"/>
      <c r="BV469" s="56"/>
      <c r="BW469" s="56"/>
      <c r="BX469" s="56"/>
      <c r="BY469" s="56"/>
      <c r="BZ469" s="56"/>
      <c r="CA469" s="56"/>
      <c r="CB469" s="56"/>
      <c r="CC469" s="56"/>
      <c r="CD469" s="56"/>
      <c r="CE469" s="56"/>
      <c r="CF469" s="56"/>
      <c r="CG469" s="56"/>
      <c r="CH469" s="56"/>
      <c r="CI469" s="103">
        <f t="shared" si="163"/>
        <v>4.4930003783579268E-4</v>
      </c>
      <c r="CJ469" s="103">
        <f t="shared" si="164"/>
        <v>-3.347463544834806</v>
      </c>
      <c r="CK469" s="57">
        <f t="shared" si="167"/>
        <v>2.0822465033068483E-3</v>
      </c>
      <c r="CL469" s="160">
        <f t="shared" si="146"/>
        <v>5.4795960613338119E-3</v>
      </c>
      <c r="CM469" s="160">
        <v>-6.0896484331721936</v>
      </c>
      <c r="CN469" s="160">
        <f t="shared" si="175"/>
        <v>1453.4540009151026</v>
      </c>
      <c r="CO469" s="55" t="s">
        <v>2096</v>
      </c>
      <c r="CP469" s="55" t="s">
        <v>2091</v>
      </c>
      <c r="CQ469" s="149">
        <v>-5.5299276220699003</v>
      </c>
      <c r="CR469" s="349">
        <f t="shared" si="172"/>
        <v>152.21732207757108</v>
      </c>
      <c r="CS469" s="61" t="s">
        <v>539</v>
      </c>
      <c r="CT469" s="61"/>
      <c r="CU469" s="111">
        <f t="shared" si="173"/>
        <v>0.52632823575243359</v>
      </c>
      <c r="CV469" s="331">
        <f t="shared" si="174"/>
        <v>0.20000472958592475</v>
      </c>
      <c r="CW469" s="326">
        <f t="shared" si="165"/>
        <v>0</v>
      </c>
      <c r="CX469" s="326"/>
      <c r="CY469" s="161" t="s">
        <v>5921</v>
      </c>
    </row>
    <row r="470" spans="1:103" ht="11.25" customHeight="1" x14ac:dyDescent="0.2">
      <c r="A470" s="72">
        <v>468</v>
      </c>
      <c r="B470" s="149">
        <v>1110</v>
      </c>
      <c r="C470" s="54" t="s">
        <v>3102</v>
      </c>
      <c r="D470" s="54" t="s">
        <v>6763</v>
      </c>
      <c r="E470" s="59"/>
      <c r="F470" s="59" t="s">
        <v>3103</v>
      </c>
      <c r="G470" s="151">
        <v>88857</v>
      </c>
      <c r="H470" s="55" t="s">
        <v>3104</v>
      </c>
      <c r="I470" s="55" t="s">
        <v>3104</v>
      </c>
      <c r="J470" s="55" t="s">
        <v>3105</v>
      </c>
      <c r="K470" s="55" t="s">
        <v>1693</v>
      </c>
      <c r="L470" s="55" t="s">
        <v>6119</v>
      </c>
      <c r="M470" s="55" t="s">
        <v>1694</v>
      </c>
      <c r="N470" s="60" t="s">
        <v>6381</v>
      </c>
      <c r="O470" s="55" t="s">
        <v>3106</v>
      </c>
      <c r="P470" s="67"/>
      <c r="Q470" s="67" t="s">
        <v>6173</v>
      </c>
      <c r="R470" s="67" t="s">
        <v>6180</v>
      </c>
      <c r="S470" s="67" t="s">
        <v>6176</v>
      </c>
      <c r="T470" s="56">
        <v>240.21</v>
      </c>
      <c r="U470" s="103">
        <v>0.21647724907372715</v>
      </c>
      <c r="V470" s="103">
        <v>0.10161941634403231</v>
      </c>
      <c r="W470" s="103">
        <v>0.3235936569296281</v>
      </c>
      <c r="X470" s="103">
        <v>0.21647724907372715</v>
      </c>
      <c r="Y470" s="162">
        <v>3.9</v>
      </c>
      <c r="Z470" s="56">
        <v>3.67</v>
      </c>
      <c r="AA470" s="56">
        <v>3.56</v>
      </c>
      <c r="AB470" s="56">
        <v>3.23</v>
      </c>
      <c r="AC470" s="56">
        <v>0.89729999999999999</v>
      </c>
      <c r="AD470" s="56">
        <v>3.32</v>
      </c>
      <c r="AE470" s="56">
        <v>3.61</v>
      </c>
      <c r="AF470" s="56">
        <f t="shared" si="168"/>
        <v>3.56</v>
      </c>
      <c r="AG470" s="57">
        <v>2.34</v>
      </c>
      <c r="AH470" s="103">
        <v>7.1299999999999997E-8</v>
      </c>
      <c r="AI470" s="103">
        <v>4.5600000000000001E-7</v>
      </c>
      <c r="AJ470" s="62">
        <f t="shared" si="169"/>
        <v>-5.5354767964607863</v>
      </c>
      <c r="AK470" s="62">
        <f t="shared" si="176"/>
        <v>-4.7296014836482172</v>
      </c>
      <c r="AL470" s="62">
        <f t="shared" si="170"/>
        <v>-4.7296014836482172</v>
      </c>
      <c r="AM470" s="62">
        <v>-9.7318999999999996</v>
      </c>
      <c r="AN470" s="154">
        <v>-4.67</v>
      </c>
      <c r="AO470" s="410">
        <v>4.08</v>
      </c>
      <c r="AP470" s="410"/>
      <c r="AQ470" s="56" t="s">
        <v>6311</v>
      </c>
      <c r="AR470" s="56" t="s">
        <v>6311</v>
      </c>
      <c r="AS470" s="155"/>
      <c r="AT470" s="58" t="s">
        <v>266</v>
      </c>
      <c r="AU470" s="56">
        <v>6</v>
      </c>
      <c r="AV470" s="56">
        <v>120</v>
      </c>
      <c r="AW470" s="56">
        <v>114</v>
      </c>
      <c r="AX470" s="56">
        <v>28</v>
      </c>
      <c r="AY470" s="56" t="s">
        <v>8728</v>
      </c>
      <c r="AZ470" s="56" t="s">
        <v>1563</v>
      </c>
      <c r="BA470" s="56">
        <v>32</v>
      </c>
      <c r="BB470" s="55" t="s">
        <v>2485</v>
      </c>
      <c r="BC470" s="55" t="s">
        <v>8726</v>
      </c>
      <c r="BD470" s="55" t="s">
        <v>8374</v>
      </c>
      <c r="BE470" s="56" t="s">
        <v>2449</v>
      </c>
      <c r="BF470" s="56" t="s">
        <v>272</v>
      </c>
      <c r="BG470" s="56" t="s">
        <v>272</v>
      </c>
      <c r="BH470" s="56" t="s">
        <v>2486</v>
      </c>
      <c r="BI470" s="103">
        <v>6.3999999999999997E-6</v>
      </c>
      <c r="BJ470" s="103">
        <v>6.4000000000000001E-2</v>
      </c>
      <c r="BK470" s="56"/>
      <c r="BL470" s="103">
        <f t="shared" si="171"/>
        <v>2.5988008491637047E-2</v>
      </c>
      <c r="BM470" s="56" t="s">
        <v>2487</v>
      </c>
      <c r="BN470" s="56"/>
      <c r="BO470" s="56"/>
      <c r="BP470" s="56"/>
      <c r="BQ470" s="56"/>
      <c r="BR470" s="55">
        <v>3.6200000000000002E-4</v>
      </c>
      <c r="BS470" s="56"/>
      <c r="BT470" s="56"/>
      <c r="BU470" s="158"/>
      <c r="BV470" s="56"/>
      <c r="BW470" s="56"/>
      <c r="BX470" s="56"/>
      <c r="BY470" s="56"/>
      <c r="BZ470" s="56"/>
      <c r="CA470" s="56"/>
      <c r="CB470" s="56"/>
      <c r="CC470" s="56"/>
      <c r="CD470" s="56"/>
      <c r="CE470" s="56"/>
      <c r="CF470" s="56"/>
      <c r="CG470" s="56"/>
      <c r="CH470" s="56"/>
      <c r="CI470" s="103">
        <f t="shared" si="163"/>
        <v>3.6200000000000002E-4</v>
      </c>
      <c r="CJ470" s="103">
        <f t="shared" si="164"/>
        <v>-3.4412914294668342</v>
      </c>
      <c r="CK470" s="57">
        <f t="shared" si="167"/>
        <v>0.40606263268182885</v>
      </c>
      <c r="CL470" s="160">
        <f t="shared" si="146"/>
        <v>71.790078706179685</v>
      </c>
      <c r="CM470" s="160">
        <v>-3.1150151608261325</v>
      </c>
      <c r="CN470" s="160">
        <f t="shared" si="175"/>
        <v>83.405585383401274</v>
      </c>
      <c r="CO470" s="55" t="s">
        <v>2488</v>
      </c>
      <c r="CP470" s="55" t="s">
        <v>2489</v>
      </c>
      <c r="CQ470" s="149">
        <v>-3.1150151608261325</v>
      </c>
      <c r="CR470" s="349">
        <f t="shared" si="172"/>
        <v>0.4717628423248631</v>
      </c>
      <c r="CS470" s="61" t="s">
        <v>539</v>
      </c>
      <c r="CT470" s="61"/>
      <c r="CU470" s="111">
        <f t="shared" si="173"/>
        <v>598.00345047990925</v>
      </c>
      <c r="CV470" s="331">
        <f t="shared" si="174"/>
        <v>3.3824570167769865</v>
      </c>
      <c r="CW470" s="326">
        <f t="shared" si="165"/>
        <v>1</v>
      </c>
      <c r="CX470" s="326"/>
      <c r="CY470" s="161" t="s">
        <v>6351</v>
      </c>
    </row>
    <row r="471" spans="1:103" ht="11.25" customHeight="1" x14ac:dyDescent="0.2">
      <c r="A471" s="72">
        <v>469</v>
      </c>
      <c r="B471" s="149">
        <v>221</v>
      </c>
      <c r="C471" s="54" t="s">
        <v>1031</v>
      </c>
      <c r="D471" s="54" t="s">
        <v>6494</v>
      </c>
      <c r="E471" s="59"/>
      <c r="F471" s="59" t="s">
        <v>1032</v>
      </c>
      <c r="G471" s="151">
        <v>1897456</v>
      </c>
      <c r="H471" s="55" t="s">
        <v>1033</v>
      </c>
      <c r="I471" s="55" t="s">
        <v>7750</v>
      </c>
      <c r="J471" s="55" t="s">
        <v>1034</v>
      </c>
      <c r="K471" s="55" t="s">
        <v>426</v>
      </c>
      <c r="L471" s="55" t="s">
        <v>5929</v>
      </c>
      <c r="M471" s="55" t="s">
        <v>6085</v>
      </c>
      <c r="N471" s="60" t="s">
        <v>6383</v>
      </c>
      <c r="O471" s="55" t="s">
        <v>1035</v>
      </c>
      <c r="P471" s="67"/>
      <c r="Q471" s="67"/>
      <c r="R471" s="67"/>
      <c r="S471" s="67"/>
      <c r="T471" s="56">
        <v>265.91000000000003</v>
      </c>
      <c r="U471" s="103">
        <v>3.0461434319882666E-3</v>
      </c>
      <c r="V471" s="103">
        <v>9.7815050204956566E-2</v>
      </c>
      <c r="W471" s="103">
        <v>6.9183097091893497E-3</v>
      </c>
      <c r="X471" s="103">
        <v>3.0461434319882666E-3</v>
      </c>
      <c r="Y471" s="162">
        <v>7</v>
      </c>
      <c r="Z471" s="56">
        <v>3.66</v>
      </c>
      <c r="AA471" s="56">
        <v>3.05</v>
      </c>
      <c r="AB471" s="56">
        <v>3.2</v>
      </c>
      <c r="AC471" s="56">
        <v>0.76400000000000001</v>
      </c>
      <c r="AD471" s="56">
        <v>3.12</v>
      </c>
      <c r="AE471" s="56">
        <v>2.88</v>
      </c>
      <c r="AF471" s="56">
        <f t="shared" si="168"/>
        <v>3.05</v>
      </c>
      <c r="AG471" s="57">
        <v>4.17</v>
      </c>
      <c r="AH471" s="103">
        <v>1.5200000000000001E-7</v>
      </c>
      <c r="AI471" s="103">
        <v>1.9999999999999999E-6</v>
      </c>
      <c r="AJ471" s="62">
        <f t="shared" si="169"/>
        <v>-5.2067227383678789</v>
      </c>
      <c r="AK471" s="62">
        <f t="shared" si="176"/>
        <v>-4.0875363306486703</v>
      </c>
      <c r="AL471" s="62">
        <f t="shared" si="170"/>
        <v>-4.0875363306486703</v>
      </c>
      <c r="AM471" s="62">
        <v>-8.3957800000000002</v>
      </c>
      <c r="AN471" s="154">
        <v>-5.47</v>
      </c>
      <c r="AO471" s="410"/>
      <c r="AP471" s="410"/>
      <c r="AQ471" s="154" t="s">
        <v>6311</v>
      </c>
      <c r="AR471" s="154" t="s">
        <v>6311</v>
      </c>
      <c r="AS471" s="149" t="s">
        <v>6</v>
      </c>
      <c r="AT471" s="58" t="s">
        <v>266</v>
      </c>
      <c r="AU471" s="56">
        <v>8</v>
      </c>
      <c r="AV471" s="56">
        <v>144</v>
      </c>
      <c r="AW471" s="56">
        <v>120</v>
      </c>
      <c r="AX471" s="56">
        <v>26</v>
      </c>
      <c r="AY471" s="56" t="s">
        <v>267</v>
      </c>
      <c r="AZ471" s="56" t="s">
        <v>268</v>
      </c>
      <c r="BA471" s="56">
        <v>2</v>
      </c>
      <c r="BB471" s="55" t="s">
        <v>888</v>
      </c>
      <c r="BC471" s="55" t="s">
        <v>270</v>
      </c>
      <c r="BD471" s="55" t="s">
        <v>8374</v>
      </c>
      <c r="BE471" s="56" t="s">
        <v>889</v>
      </c>
      <c r="BF471" s="56" t="s">
        <v>272</v>
      </c>
      <c r="BG471" s="56" t="s">
        <v>272</v>
      </c>
      <c r="BH471" s="56" t="s">
        <v>890</v>
      </c>
      <c r="BI471" s="103">
        <v>9.9999999999999995E-7</v>
      </c>
      <c r="BJ471" s="103">
        <v>0.08</v>
      </c>
      <c r="BK471" s="56"/>
      <c r="BL471" s="103">
        <f t="shared" si="171"/>
        <v>2.6531023237818786E-2</v>
      </c>
      <c r="BM471" s="56" t="s">
        <v>891</v>
      </c>
      <c r="BN471" s="162"/>
      <c r="BO471" s="162"/>
      <c r="BP471" s="162"/>
      <c r="BQ471" s="162"/>
      <c r="BR471" s="162"/>
      <c r="BS471" s="56">
        <v>3.2000000000000003E-4</v>
      </c>
      <c r="BT471" s="162"/>
      <c r="BU471" s="158"/>
      <c r="BV471" s="162"/>
      <c r="BW471" s="162"/>
      <c r="BX471" s="162"/>
      <c r="BY471" s="162"/>
      <c r="BZ471" s="162"/>
      <c r="CA471" s="162"/>
      <c r="CB471" s="162"/>
      <c r="CC471" s="56"/>
      <c r="CD471" s="56"/>
      <c r="CE471" s="56"/>
      <c r="CF471" s="56"/>
      <c r="CG471" s="56"/>
      <c r="CH471" s="56"/>
      <c r="CI471" s="103">
        <f t="shared" si="163"/>
        <v>3.2000000000000003E-4</v>
      </c>
      <c r="CJ471" s="103">
        <f t="shared" si="164"/>
        <v>-3.4948500216800942</v>
      </c>
      <c r="CK471" s="57">
        <f t="shared" si="167"/>
        <v>0.33163779047273484</v>
      </c>
      <c r="CL471" s="160">
        <f t="shared" si="146"/>
        <v>82.909447618183705</v>
      </c>
      <c r="CM471" s="160">
        <v>-4.0706262308774948</v>
      </c>
      <c r="CN471" s="160">
        <f t="shared" si="175"/>
        <v>941.2743362831859</v>
      </c>
      <c r="CO471" s="55" t="s">
        <v>892</v>
      </c>
      <c r="CP471" s="55" t="s">
        <v>893</v>
      </c>
      <c r="CQ471" s="149">
        <v>-3.5519439697905129</v>
      </c>
      <c r="CR471" s="349">
        <f t="shared" si="172"/>
        <v>1.1404964770886683</v>
      </c>
      <c r="CS471" s="61" t="s">
        <v>539</v>
      </c>
      <c r="CT471" s="61"/>
      <c r="CU471" s="111">
        <f t="shared" si="173"/>
        <v>9.5191982249633327</v>
      </c>
      <c r="CV471" s="331">
        <f t="shared" si="174"/>
        <v>3.8076792899853329E-2</v>
      </c>
      <c r="CW471" s="326">
        <f t="shared" si="165"/>
        <v>1</v>
      </c>
      <c r="CX471" s="326" t="s">
        <v>539</v>
      </c>
      <c r="CY471" s="161" t="s">
        <v>5921</v>
      </c>
    </row>
    <row r="472" spans="1:103" ht="11.25" customHeight="1" x14ac:dyDescent="0.2">
      <c r="A472" s="72">
        <v>470</v>
      </c>
      <c r="B472" s="149">
        <v>461</v>
      </c>
      <c r="C472" s="54" t="s">
        <v>1510</v>
      </c>
      <c r="D472" s="54" t="s">
        <v>6764</v>
      </c>
      <c r="E472" s="59"/>
      <c r="F472" s="59" t="s">
        <v>1511</v>
      </c>
      <c r="G472" s="151">
        <v>137268</v>
      </c>
      <c r="H472" s="55" t="s">
        <v>1512</v>
      </c>
      <c r="I472" s="55" t="s">
        <v>1512</v>
      </c>
      <c r="J472" s="55" t="s">
        <v>1513</v>
      </c>
      <c r="K472" s="55" t="s">
        <v>1514</v>
      </c>
      <c r="L472" s="55" t="s">
        <v>6092</v>
      </c>
      <c r="M472" s="55" t="s">
        <v>1515</v>
      </c>
      <c r="N472" s="60" t="s">
        <v>6382</v>
      </c>
      <c r="O472" s="55" t="s">
        <v>1516</v>
      </c>
      <c r="P472" s="67"/>
      <c r="Q472" s="67"/>
      <c r="R472" s="67"/>
      <c r="S472" s="67"/>
      <c r="T472" s="56">
        <v>240.44</v>
      </c>
      <c r="U472" s="103">
        <v>0.12477125270337715</v>
      </c>
      <c r="V472" s="103">
        <v>37.697554483447014</v>
      </c>
      <c r="W472" s="103">
        <v>0.22387211385683381</v>
      </c>
      <c r="X472" s="103">
        <v>0.12477125270337715</v>
      </c>
      <c r="Y472" s="162">
        <v>7</v>
      </c>
      <c r="Z472" s="56">
        <v>1.7</v>
      </c>
      <c r="AA472" s="56">
        <v>1.73</v>
      </c>
      <c r="AB472" s="56">
        <v>2.02</v>
      </c>
      <c r="AC472" s="56">
        <v>0.82899999999999996</v>
      </c>
      <c r="AD472" s="56">
        <v>1.94</v>
      </c>
      <c r="AE472" s="56">
        <v>1.75</v>
      </c>
      <c r="AF472" s="56">
        <f t="shared" si="168"/>
        <v>1.73</v>
      </c>
      <c r="AG472" s="57">
        <v>3.34</v>
      </c>
      <c r="AH472" s="103">
        <v>2.6800000000000001E-5</v>
      </c>
      <c r="AI472" s="103">
        <v>1.8199999999999999E-7</v>
      </c>
      <c r="AJ472" s="62">
        <f t="shared" si="169"/>
        <v>-2.960431532283863</v>
      </c>
      <c r="AK472" s="62">
        <f t="shared" si="176"/>
        <v>-5.1284949383275773</v>
      </c>
      <c r="AL472" s="62">
        <f t="shared" si="170"/>
        <v>-5.1284949383275773</v>
      </c>
      <c r="AM472" s="62">
        <v>-12.009799999999998</v>
      </c>
      <c r="AN472" s="154">
        <v>-6.05</v>
      </c>
      <c r="AO472" s="410"/>
      <c r="AP472" s="410">
        <v>0.87</v>
      </c>
      <c r="AQ472" s="154" t="s">
        <v>6311</v>
      </c>
      <c r="AR472" s="154" t="s">
        <v>6311</v>
      </c>
      <c r="AS472" s="149" t="s">
        <v>6</v>
      </c>
      <c r="AT472" s="58" t="s">
        <v>266</v>
      </c>
      <c r="AU472" s="56">
        <v>8</v>
      </c>
      <c r="AV472" s="56">
        <v>144</v>
      </c>
      <c r="AW472" s="56">
        <v>120</v>
      </c>
      <c r="AX472" s="56">
        <v>26</v>
      </c>
      <c r="AY472" s="56" t="s">
        <v>267</v>
      </c>
      <c r="AZ472" s="56" t="s">
        <v>268</v>
      </c>
      <c r="BA472" s="56">
        <v>2</v>
      </c>
      <c r="BB472" s="55" t="s">
        <v>888</v>
      </c>
      <c r="BC472" s="55" t="s">
        <v>270</v>
      </c>
      <c r="BD472" s="55" t="s">
        <v>8374</v>
      </c>
      <c r="BE472" s="56" t="s">
        <v>889</v>
      </c>
      <c r="BF472" s="56" t="s">
        <v>272</v>
      </c>
      <c r="BG472" s="56" t="s">
        <v>272</v>
      </c>
      <c r="BH472" s="56" t="s">
        <v>890</v>
      </c>
      <c r="BI472" s="103">
        <v>9.9999999999999995E-7</v>
      </c>
      <c r="BJ472" s="103">
        <v>0.08</v>
      </c>
      <c r="BK472" s="56"/>
      <c r="BL472" s="103">
        <f t="shared" si="171"/>
        <v>1.5276715824077349</v>
      </c>
      <c r="BM472" s="56" t="s">
        <v>891</v>
      </c>
      <c r="BN472" s="162"/>
      <c r="BO472" s="162"/>
      <c r="BP472" s="162"/>
      <c r="BQ472" s="162"/>
      <c r="BR472" s="162"/>
      <c r="BS472" s="56">
        <v>3.2000000000000003E-4</v>
      </c>
      <c r="BT472" s="162"/>
      <c r="BU472" s="158"/>
      <c r="BV472" s="162"/>
      <c r="BW472" s="162"/>
      <c r="BX472" s="162"/>
      <c r="BY472" s="162"/>
      <c r="BZ472" s="162"/>
      <c r="CA472" s="162"/>
      <c r="CB472" s="162"/>
      <c r="CC472" s="56"/>
      <c r="CD472" s="56"/>
      <c r="CE472" s="56"/>
      <c r="CF472" s="56"/>
      <c r="CG472" s="56"/>
      <c r="CH472" s="56"/>
      <c r="CI472" s="103">
        <f t="shared" si="163"/>
        <v>3.2000000000000003E-4</v>
      </c>
      <c r="CJ472" s="103">
        <f t="shared" si="164"/>
        <v>-3.4948500216800942</v>
      </c>
      <c r="CK472" s="57">
        <f t="shared" si="167"/>
        <v>19.095894780096685</v>
      </c>
      <c r="CL472" s="160">
        <f t="shared" si="146"/>
        <v>4773.9736950241713</v>
      </c>
      <c r="CM472" s="160">
        <v>-4.0454833814184958</v>
      </c>
      <c r="CN472" s="160">
        <f t="shared" si="175"/>
        <v>888.32803512418059</v>
      </c>
      <c r="CO472" s="55" t="s">
        <v>892</v>
      </c>
      <c r="CP472" s="55" t="s">
        <v>893</v>
      </c>
      <c r="CQ472" s="149">
        <v>-3.6786492426503892</v>
      </c>
      <c r="CR472" s="349">
        <f t="shared" si="172"/>
        <v>1.5268600111696056</v>
      </c>
      <c r="CS472" s="61" t="s">
        <v>539</v>
      </c>
      <c r="CT472" s="61"/>
      <c r="CU472" s="111">
        <f t="shared" si="173"/>
        <v>389.91016469805356</v>
      </c>
      <c r="CV472" s="331">
        <f t="shared" si="174"/>
        <v>1.5596406587922143</v>
      </c>
      <c r="CW472" s="326">
        <f t="shared" si="165"/>
        <v>1</v>
      </c>
      <c r="CX472" s="326" t="s">
        <v>539</v>
      </c>
      <c r="CY472" s="161" t="s">
        <v>6351</v>
      </c>
    </row>
    <row r="473" spans="1:103" ht="11.25" customHeight="1" x14ac:dyDescent="0.2">
      <c r="A473" s="72">
        <v>471</v>
      </c>
      <c r="B473" s="149">
        <v>228</v>
      </c>
      <c r="C473" s="54" t="s">
        <v>1051</v>
      </c>
      <c r="D473" s="54" t="s">
        <v>6765</v>
      </c>
      <c r="E473" s="59"/>
      <c r="F473" s="59" t="s">
        <v>1052</v>
      </c>
      <c r="G473" s="151">
        <v>105512069</v>
      </c>
      <c r="H473" s="55" t="s">
        <v>1053</v>
      </c>
      <c r="I473" s="55" t="s">
        <v>7897</v>
      </c>
      <c r="J473" s="55" t="s">
        <v>1054</v>
      </c>
      <c r="K473" s="55" t="s">
        <v>1055</v>
      </c>
      <c r="L473" s="55" t="s">
        <v>5967</v>
      </c>
      <c r="M473" s="168" t="s">
        <v>6074</v>
      </c>
      <c r="N473" s="60" t="s">
        <v>6082</v>
      </c>
      <c r="O473" s="55" t="s">
        <v>6083</v>
      </c>
      <c r="P473" s="67"/>
      <c r="Q473" s="67"/>
      <c r="R473" s="67"/>
      <c r="S473" s="67"/>
      <c r="T473" s="56">
        <v>349.74</v>
      </c>
      <c r="U473" s="103">
        <v>1.14370675358838E-2</v>
      </c>
      <c r="V473" s="103">
        <v>8.3033110310516377E-3</v>
      </c>
      <c r="W473" s="103">
        <v>3.3884415613920256E-2</v>
      </c>
      <c r="X473" s="103">
        <v>1.14370675358838E-2</v>
      </c>
      <c r="Y473" s="162">
        <v>7</v>
      </c>
      <c r="Z473" s="56">
        <v>3.12</v>
      </c>
      <c r="AA473" s="56">
        <v>3.9</v>
      </c>
      <c r="AB473" s="56">
        <v>3.37</v>
      </c>
      <c r="AC473" s="56">
        <v>0.78569999999999995</v>
      </c>
      <c r="AD473" s="56">
        <v>3.09</v>
      </c>
      <c r="AE473" s="56">
        <v>2.33</v>
      </c>
      <c r="AF473" s="56">
        <f t="shared" si="168"/>
        <v>3.9</v>
      </c>
      <c r="AG473" s="57">
        <v>3.83</v>
      </c>
      <c r="AH473" s="103">
        <v>3.5099999999999998E-10</v>
      </c>
      <c r="AI473" s="103">
        <v>2.76E-9</v>
      </c>
      <c r="AJ473" s="62">
        <f t="shared" si="169"/>
        <v>-7.8432592098468277</v>
      </c>
      <c r="AK473" s="62">
        <f t="shared" si="176"/>
        <v>-6.9476572442474342</v>
      </c>
      <c r="AL473" s="62">
        <f t="shared" si="170"/>
        <v>-6.9476572442474342</v>
      </c>
      <c r="AM473" s="62">
        <v>-14.626449999999998</v>
      </c>
      <c r="AN473" s="154">
        <v>-7.69</v>
      </c>
      <c r="AO473" s="410"/>
      <c r="AP473" s="410">
        <v>-1.54</v>
      </c>
      <c r="AQ473" s="154" t="s">
        <v>6311</v>
      </c>
      <c r="AR473" s="154" t="s">
        <v>6314</v>
      </c>
      <c r="AS473" s="149" t="s">
        <v>6</v>
      </c>
      <c r="AT473" s="58" t="s">
        <v>266</v>
      </c>
      <c r="AU473" s="56">
        <v>8</v>
      </c>
      <c r="AV473" s="56">
        <v>144</v>
      </c>
      <c r="AW473" s="56">
        <v>120</v>
      </c>
      <c r="AX473" s="56">
        <v>26</v>
      </c>
      <c r="AY473" s="56" t="s">
        <v>267</v>
      </c>
      <c r="AZ473" s="56" t="s">
        <v>268</v>
      </c>
      <c r="BA473" s="56">
        <v>2</v>
      </c>
      <c r="BB473" s="55" t="s">
        <v>888</v>
      </c>
      <c r="BC473" s="55" t="s">
        <v>270</v>
      </c>
      <c r="BD473" s="55" t="s">
        <v>8374</v>
      </c>
      <c r="BE473" s="56" t="s">
        <v>889</v>
      </c>
      <c r="BF473" s="56" t="s">
        <v>272</v>
      </c>
      <c r="BG473" s="56" t="s">
        <v>272</v>
      </c>
      <c r="BH473" s="56" t="s">
        <v>890</v>
      </c>
      <c r="BI473" s="103">
        <v>9.9999999999999995E-7</v>
      </c>
      <c r="BJ473" s="103">
        <v>0.08</v>
      </c>
      <c r="BK473" s="56"/>
      <c r="BL473" s="103">
        <f t="shared" si="171"/>
        <v>8.1045330941141552E-2</v>
      </c>
      <c r="BM473" s="56" t="s">
        <v>891</v>
      </c>
      <c r="BN473" s="162"/>
      <c r="BO473" s="162"/>
      <c r="BP473" s="162"/>
      <c r="BQ473" s="162"/>
      <c r="BR473" s="162"/>
      <c r="BS473" s="56">
        <v>3.2000000000000003E-4</v>
      </c>
      <c r="BT473" s="162"/>
      <c r="BU473" s="158"/>
      <c r="BV473" s="162"/>
      <c r="BW473" s="162"/>
      <c r="BX473" s="162"/>
      <c r="BY473" s="162"/>
      <c r="BZ473" s="162"/>
      <c r="CA473" s="162"/>
      <c r="CB473" s="162"/>
      <c r="CC473" s="56"/>
      <c r="CD473" s="56"/>
      <c r="CE473" s="56"/>
      <c r="CF473" s="56"/>
      <c r="CG473" s="56"/>
      <c r="CH473" s="56"/>
      <c r="CI473" s="103">
        <f t="shared" si="163"/>
        <v>3.2000000000000003E-4</v>
      </c>
      <c r="CJ473" s="103">
        <f t="shared" si="164"/>
        <v>-3.4948500216800942</v>
      </c>
      <c r="CK473" s="57">
        <f t="shared" si="167"/>
        <v>1.0130666367642693</v>
      </c>
      <c r="CL473" s="160">
        <f t="shared" ref="CL473:CL492" si="177">BL473/CI473</f>
        <v>253.26665919106733</v>
      </c>
      <c r="CM473" s="160">
        <v>-3.1635340639914826</v>
      </c>
      <c r="CN473" s="160">
        <f t="shared" si="175"/>
        <v>116.58000000000014</v>
      </c>
      <c r="CO473" s="55" t="s">
        <v>892</v>
      </c>
      <c r="CP473" s="55" t="s">
        <v>893</v>
      </c>
      <c r="CQ473" s="149">
        <v>-3.060946271217166</v>
      </c>
      <c r="CR473" s="349">
        <f t="shared" si="172"/>
        <v>0.36821056843905325</v>
      </c>
      <c r="CS473" s="61" t="s">
        <v>539</v>
      </c>
      <c r="CT473" s="61"/>
      <c r="CU473" s="111">
        <f t="shared" si="173"/>
        <v>35.740836049636869</v>
      </c>
      <c r="CV473" s="331">
        <f t="shared" si="174"/>
        <v>0.1429633441985475</v>
      </c>
      <c r="CW473" s="326">
        <f t="shared" si="165"/>
        <v>1</v>
      </c>
      <c r="CX473" s="326" t="s">
        <v>539</v>
      </c>
      <c r="CY473" s="161" t="s">
        <v>5921</v>
      </c>
    </row>
    <row r="474" spans="1:103" ht="11.25" customHeight="1" x14ac:dyDescent="0.2">
      <c r="A474" s="72">
        <v>472</v>
      </c>
      <c r="B474" s="149">
        <v>343</v>
      </c>
      <c r="C474" s="54" t="s">
        <v>1278</v>
      </c>
      <c r="D474" s="54" t="s">
        <v>6766</v>
      </c>
      <c r="E474" s="59"/>
      <c r="F474" s="59" t="s">
        <v>1279</v>
      </c>
      <c r="G474" s="151">
        <v>77501634</v>
      </c>
      <c r="H474" s="55" t="s">
        <v>1280</v>
      </c>
      <c r="I474" s="55" t="s">
        <v>7898</v>
      </c>
      <c r="J474" s="55" t="s">
        <v>1281</v>
      </c>
      <c r="K474" s="55" t="s">
        <v>357</v>
      </c>
      <c r="L474" s="55" t="s">
        <v>5996</v>
      </c>
      <c r="M474" s="60" t="s">
        <v>2342</v>
      </c>
      <c r="N474" s="60" t="s">
        <v>2342</v>
      </c>
      <c r="O474" s="55"/>
      <c r="P474" s="67"/>
      <c r="Q474" s="67"/>
      <c r="R474" s="67"/>
      <c r="S474" s="67"/>
      <c r="T474" s="56">
        <v>461.77</v>
      </c>
      <c r="U474" s="103">
        <v>2.1655802672326051E-4</v>
      </c>
      <c r="V474" s="103">
        <v>8.6406652662580934E-5</v>
      </c>
      <c r="W474" s="103">
        <v>6.165950018614814E-4</v>
      </c>
      <c r="X474" s="103">
        <v>2.1655802672326051E-4</v>
      </c>
      <c r="Y474" s="162">
        <v>7</v>
      </c>
      <c r="Z474" s="56">
        <v>4.92</v>
      </c>
      <c r="AA474" s="56">
        <v>4.8099999999999996</v>
      </c>
      <c r="AB474" s="56">
        <v>4.49</v>
      </c>
      <c r="AC474" s="56">
        <v>0.83730000000000004</v>
      </c>
      <c r="AD474" s="56">
        <v>4.5599999999999996</v>
      </c>
      <c r="AE474" s="56">
        <v>4.84</v>
      </c>
      <c r="AF474" s="56">
        <f t="shared" si="168"/>
        <v>4.8099999999999996</v>
      </c>
      <c r="AG474" s="57">
        <v>4.46</v>
      </c>
      <c r="AH474" s="103">
        <v>5.7299999999999999E-10</v>
      </c>
      <c r="AI474" s="103">
        <v>4.7199999999999999E-7</v>
      </c>
      <c r="AJ474" s="62">
        <f t="shared" si="169"/>
        <v>-7.6304117043452617</v>
      </c>
      <c r="AK474" s="62">
        <f t="shared" si="176"/>
        <v>-4.714624327678564</v>
      </c>
      <c r="AL474" s="62">
        <f t="shared" si="170"/>
        <v>-4.714624327678564</v>
      </c>
      <c r="AM474" s="62">
        <v>-14.377310000000001</v>
      </c>
      <c r="AN474" s="154">
        <v>-7.74</v>
      </c>
      <c r="AO474" s="410"/>
      <c r="AP474" s="410"/>
      <c r="AQ474" s="154" t="s">
        <v>6311</v>
      </c>
      <c r="AR474" s="154" t="s">
        <v>6312</v>
      </c>
      <c r="AS474" s="149" t="s">
        <v>6</v>
      </c>
      <c r="AT474" s="58" t="s">
        <v>266</v>
      </c>
      <c r="AU474" s="56">
        <v>8</v>
      </c>
      <c r="AV474" s="56">
        <v>144</v>
      </c>
      <c r="AW474" s="56">
        <v>120</v>
      </c>
      <c r="AX474" s="56">
        <v>26</v>
      </c>
      <c r="AY474" s="56" t="s">
        <v>267</v>
      </c>
      <c r="AZ474" s="56" t="s">
        <v>268</v>
      </c>
      <c r="BA474" s="56">
        <v>2</v>
      </c>
      <c r="BB474" s="55" t="s">
        <v>888</v>
      </c>
      <c r="BC474" s="55" t="s">
        <v>270</v>
      </c>
      <c r="BD474" s="55" t="s">
        <v>8374</v>
      </c>
      <c r="BE474" s="56" t="s">
        <v>889</v>
      </c>
      <c r="BF474" s="56" t="s">
        <v>272</v>
      </c>
      <c r="BG474" s="56" t="s">
        <v>272</v>
      </c>
      <c r="BH474" s="56" t="s">
        <v>890</v>
      </c>
      <c r="BI474" s="103">
        <v>9.9999999999999995E-7</v>
      </c>
      <c r="BJ474" s="103">
        <v>0.08</v>
      </c>
      <c r="BK474" s="56"/>
      <c r="BL474" s="103">
        <f t="shared" si="171"/>
        <v>1.9595123274305615E-3</v>
      </c>
      <c r="BM474" s="56" t="s">
        <v>891</v>
      </c>
      <c r="BN474" s="162"/>
      <c r="BO474" s="162"/>
      <c r="BP474" s="162"/>
      <c r="BQ474" s="162"/>
      <c r="BR474" s="162"/>
      <c r="BS474" s="56">
        <v>3.2000000000000003E-4</v>
      </c>
      <c r="BT474" s="162"/>
      <c r="BU474" s="158"/>
      <c r="BV474" s="162"/>
      <c r="BW474" s="162"/>
      <c r="BX474" s="162"/>
      <c r="BY474" s="162"/>
      <c r="BZ474" s="162"/>
      <c r="CA474" s="162"/>
      <c r="CB474" s="162"/>
      <c r="CC474" s="56"/>
      <c r="CD474" s="56"/>
      <c r="CE474" s="56"/>
      <c r="CF474" s="56"/>
      <c r="CG474" s="56"/>
      <c r="CH474" s="56"/>
      <c r="CI474" s="103">
        <f t="shared" si="163"/>
        <v>3.2000000000000003E-4</v>
      </c>
      <c r="CJ474" s="103">
        <f t="shared" si="164"/>
        <v>-3.4948500216800942</v>
      </c>
      <c r="CK474" s="57">
        <f t="shared" si="167"/>
        <v>2.4493904092882018E-2</v>
      </c>
      <c r="CL474" s="160">
        <f t="shared" si="177"/>
        <v>6.1234760232205039</v>
      </c>
      <c r="CM474" s="160">
        <v>-2.3422064197769203</v>
      </c>
      <c r="CN474" s="160">
        <f t="shared" si="175"/>
        <v>17.591238095238094</v>
      </c>
      <c r="CO474" s="55" t="s">
        <v>892</v>
      </c>
      <c r="CP474" s="55" t="s">
        <v>893</v>
      </c>
      <c r="CQ474" s="149">
        <v>-2.2192152051103826</v>
      </c>
      <c r="CR474" s="349">
        <f t="shared" si="172"/>
        <v>5.3010900713539505E-2</v>
      </c>
      <c r="CS474" s="61" t="s">
        <v>539</v>
      </c>
      <c r="CT474" s="61"/>
      <c r="CU474" s="111">
        <f t="shared" si="173"/>
        <v>0.67674383351018907</v>
      </c>
      <c r="CV474" s="331">
        <f t="shared" si="174"/>
        <v>2.7069753340407563E-3</v>
      </c>
      <c r="CW474" s="326">
        <f t="shared" si="165"/>
        <v>0</v>
      </c>
      <c r="CX474" s="326" t="s">
        <v>539</v>
      </c>
      <c r="CY474" s="161" t="s">
        <v>6351</v>
      </c>
    </row>
    <row r="475" spans="1:103" ht="11.25" customHeight="1" x14ac:dyDescent="0.2">
      <c r="A475" s="72">
        <v>473</v>
      </c>
      <c r="B475" s="149">
        <v>290</v>
      </c>
      <c r="C475" s="54" t="s">
        <v>1145</v>
      </c>
      <c r="D475" s="54" t="s">
        <v>6584</v>
      </c>
      <c r="E475" s="59"/>
      <c r="F475" s="59" t="s">
        <v>1146</v>
      </c>
      <c r="G475" s="151">
        <v>131807573</v>
      </c>
      <c r="H475" s="55" t="s">
        <v>1147</v>
      </c>
      <c r="I475" s="55" t="s">
        <v>1147</v>
      </c>
      <c r="J475" s="55" t="s">
        <v>1148</v>
      </c>
      <c r="K475" s="55" t="s">
        <v>1149</v>
      </c>
      <c r="L475" s="55" t="s">
        <v>5976</v>
      </c>
      <c r="M475" s="60" t="s">
        <v>2342</v>
      </c>
      <c r="N475" s="60" t="s">
        <v>2342</v>
      </c>
      <c r="O475" s="55"/>
      <c r="P475" s="67"/>
      <c r="Q475" s="67"/>
      <c r="R475" s="67"/>
      <c r="S475" s="67"/>
      <c r="T475" s="56">
        <v>374.39</v>
      </c>
      <c r="U475" s="103">
        <v>1.3889259862710009E-4</v>
      </c>
      <c r="V475" s="103">
        <v>1.2569780175752559E-3</v>
      </c>
      <c r="W475" s="103">
        <v>3.4673685045253128E-3</v>
      </c>
      <c r="X475" s="103">
        <v>1.3889259862710009E-4</v>
      </c>
      <c r="Y475" s="162">
        <v>7</v>
      </c>
      <c r="Z475" s="56">
        <v>4.8899999999999997</v>
      </c>
      <c r="AA475" s="56">
        <v>4.6500000000000004</v>
      </c>
      <c r="AB475" s="56">
        <v>4.12</v>
      </c>
      <c r="AC475" s="56">
        <v>0.81379999999999997</v>
      </c>
      <c r="AD475" s="56">
        <v>4.2699999999999996</v>
      </c>
      <c r="AE475" s="56">
        <v>4.76</v>
      </c>
      <c r="AF475" s="56">
        <f t="shared" si="168"/>
        <v>4.6500000000000004</v>
      </c>
      <c r="AG475" s="57">
        <v>3.9</v>
      </c>
      <c r="AH475" s="103">
        <v>2.5799999999999999E-12</v>
      </c>
      <c r="AI475" s="103">
        <v>4.5499999999999997E-8</v>
      </c>
      <c r="AJ475" s="62">
        <f t="shared" si="169"/>
        <v>-9.9769466203494215</v>
      </c>
      <c r="AK475" s="62">
        <f t="shared" si="176"/>
        <v>-5.7305549296555398</v>
      </c>
      <c r="AL475" s="62">
        <f t="shared" si="170"/>
        <v>-5.7305549296555398</v>
      </c>
      <c r="AM475" s="62">
        <v>-19.723759999999999</v>
      </c>
      <c r="AN475" s="154">
        <v>-12.2</v>
      </c>
      <c r="AO475" s="410"/>
      <c r="AP475" s="410">
        <v>0.63</v>
      </c>
      <c r="AQ475" s="154" t="s">
        <v>6311</v>
      </c>
      <c r="AR475" s="154" t="s">
        <v>6311</v>
      </c>
      <c r="AS475" s="149" t="s">
        <v>6</v>
      </c>
      <c r="AT475" s="58" t="s">
        <v>266</v>
      </c>
      <c r="AU475" s="56">
        <v>8</v>
      </c>
      <c r="AV475" s="56">
        <v>144</v>
      </c>
      <c r="AW475" s="56">
        <v>120</v>
      </c>
      <c r="AX475" s="56">
        <v>26</v>
      </c>
      <c r="AY475" s="56" t="s">
        <v>267</v>
      </c>
      <c r="AZ475" s="56" t="s">
        <v>268</v>
      </c>
      <c r="BA475" s="56">
        <v>2</v>
      </c>
      <c r="BB475" s="55" t="s">
        <v>888</v>
      </c>
      <c r="BC475" s="55" t="s">
        <v>270</v>
      </c>
      <c r="BD475" s="55" t="s">
        <v>8374</v>
      </c>
      <c r="BE475" s="56" t="s">
        <v>889</v>
      </c>
      <c r="BF475" s="56" t="s">
        <v>272</v>
      </c>
      <c r="BG475" s="56" t="s">
        <v>272</v>
      </c>
      <c r="BH475" s="56" t="s">
        <v>890</v>
      </c>
      <c r="BI475" s="103">
        <v>9.9999999999999995E-7</v>
      </c>
      <c r="BJ475" s="103">
        <v>0.08</v>
      </c>
      <c r="BK475" s="56"/>
      <c r="BL475" s="103">
        <f t="shared" si="171"/>
        <v>2.0849277031649762E-3</v>
      </c>
      <c r="BM475" s="56" t="s">
        <v>891</v>
      </c>
      <c r="BN475" s="162"/>
      <c r="BO475" s="162"/>
      <c r="BP475" s="162"/>
      <c r="BQ475" s="162"/>
      <c r="BR475" s="162"/>
      <c r="BS475" s="56">
        <v>3.2000000000000003E-4</v>
      </c>
      <c r="BT475" s="162"/>
      <c r="BU475" s="158"/>
      <c r="BV475" s="162"/>
      <c r="BW475" s="162"/>
      <c r="BX475" s="162"/>
      <c r="BY475" s="162"/>
      <c r="BZ475" s="162"/>
      <c r="CA475" s="162"/>
      <c r="CB475" s="162"/>
      <c r="CC475" s="56"/>
      <c r="CD475" s="56"/>
      <c r="CE475" s="56"/>
      <c r="CF475" s="56"/>
      <c r="CG475" s="56"/>
      <c r="CH475" s="56"/>
      <c r="CI475" s="103">
        <f t="shared" si="163"/>
        <v>3.2000000000000003E-4</v>
      </c>
      <c r="CJ475" s="103">
        <f t="shared" si="164"/>
        <v>-3.4948500216800942</v>
      </c>
      <c r="CK475" s="57">
        <f t="shared" si="167"/>
        <v>2.6061596289562203E-2</v>
      </c>
      <c r="CL475" s="160">
        <f t="shared" si="177"/>
        <v>6.5153990723905499</v>
      </c>
      <c r="CM475" s="160">
        <v>-4.4941429941177518</v>
      </c>
      <c r="CN475" s="160">
        <f t="shared" si="175"/>
        <v>2495.9333333333366</v>
      </c>
      <c r="CO475" s="55" t="s">
        <v>892</v>
      </c>
      <c r="CP475" s="55" t="s">
        <v>893</v>
      </c>
      <c r="CQ475" s="149">
        <v>-4.4767619409881458</v>
      </c>
      <c r="CR475" s="349">
        <f t="shared" si="172"/>
        <v>9.5920607204938566</v>
      </c>
      <c r="CS475" s="61" t="s">
        <v>539</v>
      </c>
      <c r="CT475" s="61"/>
      <c r="CU475" s="111">
        <f t="shared" si="173"/>
        <v>0.43403937070968773</v>
      </c>
      <c r="CV475" s="331">
        <f t="shared" si="174"/>
        <v>1.7361574828387511E-3</v>
      </c>
      <c r="CW475" s="326">
        <f t="shared" si="165"/>
        <v>0</v>
      </c>
      <c r="CX475" s="326" t="s">
        <v>539</v>
      </c>
      <c r="CY475" s="161" t="s">
        <v>5921</v>
      </c>
    </row>
    <row r="476" spans="1:103" ht="11.25" customHeight="1" x14ac:dyDescent="0.2">
      <c r="A476" s="72">
        <v>474</v>
      </c>
      <c r="B476" s="149">
        <v>445</v>
      </c>
      <c r="C476" s="54" t="s">
        <v>1469</v>
      </c>
      <c r="D476" s="54" t="s">
        <v>6682</v>
      </c>
      <c r="E476" s="59"/>
      <c r="F476" s="59" t="s">
        <v>1470</v>
      </c>
      <c r="G476" s="151">
        <v>119168773</v>
      </c>
      <c r="H476" s="55" t="s">
        <v>1471</v>
      </c>
      <c r="I476" s="55" t="s">
        <v>7899</v>
      </c>
      <c r="J476" s="55" t="s">
        <v>1472</v>
      </c>
      <c r="K476" s="55" t="s">
        <v>1473</v>
      </c>
      <c r="L476" s="55" t="s">
        <v>617</v>
      </c>
      <c r="M476" s="55" t="s">
        <v>6011</v>
      </c>
      <c r="N476" s="60" t="s">
        <v>6381</v>
      </c>
      <c r="O476" s="55" t="s">
        <v>918</v>
      </c>
      <c r="P476" s="67"/>
      <c r="Q476" s="67"/>
      <c r="R476" s="67"/>
      <c r="S476" s="67"/>
      <c r="T476" s="56">
        <v>333.86</v>
      </c>
      <c r="U476" s="103">
        <v>7.7876954412028996E-3</v>
      </c>
      <c r="V476" s="103">
        <v>2.68256155274666E-3</v>
      </c>
      <c r="W476" s="103">
        <v>3.162277660168375E-2</v>
      </c>
      <c r="X476" s="103">
        <v>7.7876954412028996E-3</v>
      </c>
      <c r="Y476" s="162">
        <v>7</v>
      </c>
      <c r="Z476" s="56">
        <v>5.76</v>
      </c>
      <c r="AA476" s="56">
        <v>4.6100000000000003</v>
      </c>
      <c r="AB476" s="56">
        <v>4.5599999999999996</v>
      </c>
      <c r="AC476" s="56">
        <v>0.85609999999999997</v>
      </c>
      <c r="AD476" s="56">
        <v>4.41</v>
      </c>
      <c r="AE476" s="56">
        <v>3.9</v>
      </c>
      <c r="AF476" s="56">
        <f t="shared" si="168"/>
        <v>4.6100000000000003</v>
      </c>
      <c r="AG476" s="57">
        <v>4.6500000000000004</v>
      </c>
      <c r="AH476" s="103">
        <v>1.6100000000000001E-11</v>
      </c>
      <c r="AI476" s="103"/>
      <c r="AJ476" s="62">
        <f t="shared" si="169"/>
        <v>-9.1817404502808024</v>
      </c>
      <c r="AK476" s="62"/>
      <c r="AL476" s="62">
        <f t="shared" si="170"/>
        <v>-9.1817404502808024</v>
      </c>
      <c r="AM476" s="62">
        <v>-14.803520000000001</v>
      </c>
      <c r="AN476" s="154">
        <v>-8.34</v>
      </c>
      <c r="AO476" s="410">
        <v>13.19</v>
      </c>
      <c r="AP476" s="410">
        <v>-0.91</v>
      </c>
      <c r="AQ476" s="154" t="s">
        <v>6311</v>
      </c>
      <c r="AR476" s="154" t="s">
        <v>6311</v>
      </c>
      <c r="AS476" s="149" t="s">
        <v>6</v>
      </c>
      <c r="AT476" s="58" t="s">
        <v>266</v>
      </c>
      <c r="AU476" s="56">
        <v>8</v>
      </c>
      <c r="AV476" s="56">
        <v>144</v>
      </c>
      <c r="AW476" s="56">
        <v>120</v>
      </c>
      <c r="AX476" s="56">
        <v>26</v>
      </c>
      <c r="AY476" s="56" t="s">
        <v>267</v>
      </c>
      <c r="AZ476" s="56" t="s">
        <v>268</v>
      </c>
      <c r="BA476" s="56">
        <v>2</v>
      </c>
      <c r="BB476" s="55" t="s">
        <v>888</v>
      </c>
      <c r="BC476" s="55" t="s">
        <v>270</v>
      </c>
      <c r="BD476" s="55" t="s">
        <v>8374</v>
      </c>
      <c r="BE476" s="56" t="s">
        <v>889</v>
      </c>
      <c r="BF476" s="56" t="s">
        <v>272</v>
      </c>
      <c r="BG476" s="56" t="s">
        <v>272</v>
      </c>
      <c r="BH476" s="56" t="s">
        <v>890</v>
      </c>
      <c r="BI476" s="103">
        <v>9.9999999999999995E-7</v>
      </c>
      <c r="BJ476" s="103">
        <v>0.08</v>
      </c>
      <c r="BK476" s="56"/>
      <c r="BL476" s="103">
        <f t="shared" si="171"/>
        <v>3.4494035024253567E-4</v>
      </c>
      <c r="BM476" s="56" t="s">
        <v>891</v>
      </c>
      <c r="BN476" s="162"/>
      <c r="BO476" s="162"/>
      <c r="BP476" s="162"/>
      <c r="BQ476" s="162"/>
      <c r="BR476" s="162"/>
      <c r="BS476" s="56">
        <v>3.2000000000000003E-4</v>
      </c>
      <c r="BT476" s="162"/>
      <c r="BU476" s="158"/>
      <c r="BV476" s="162"/>
      <c r="BW476" s="162"/>
      <c r="BX476" s="162"/>
      <c r="BY476" s="162"/>
      <c r="BZ476" s="162"/>
      <c r="CA476" s="162"/>
      <c r="CB476" s="162"/>
      <c r="CC476" s="56"/>
      <c r="CD476" s="56"/>
      <c r="CE476" s="56"/>
      <c r="CF476" s="56"/>
      <c r="CG476" s="56"/>
      <c r="CH476" s="56"/>
      <c r="CI476" s="103">
        <f t="shared" si="163"/>
        <v>3.2000000000000003E-4</v>
      </c>
      <c r="CJ476" s="103">
        <f t="shared" si="164"/>
        <v>-3.4948500216800942</v>
      </c>
      <c r="CK476" s="57">
        <f t="shared" si="167"/>
        <v>4.3117543780316955E-3</v>
      </c>
      <c r="CL476" s="160">
        <f t="shared" si="177"/>
        <v>1.0779385945079238</v>
      </c>
      <c r="CM476" s="160">
        <v>-4.2731443867368002</v>
      </c>
      <c r="CN476" s="160">
        <f t="shared" si="175"/>
        <v>1500.4943820224742</v>
      </c>
      <c r="CO476" s="55" t="s">
        <v>892</v>
      </c>
      <c r="CP476" s="55" t="s">
        <v>893</v>
      </c>
      <c r="CQ476" s="149">
        <v>-3.9141129136142796</v>
      </c>
      <c r="CR476" s="349">
        <f t="shared" si="172"/>
        <v>2.6258075452349465</v>
      </c>
      <c r="CS476" s="61" t="s">
        <v>539</v>
      </c>
      <c r="CT476" s="61"/>
      <c r="CU476" s="111">
        <f t="shared" si="173"/>
        <v>24.336548253759059</v>
      </c>
      <c r="CV476" s="331">
        <f t="shared" si="174"/>
        <v>9.7346193015036248E-2</v>
      </c>
      <c r="CW476" s="326">
        <f t="shared" si="165"/>
        <v>1</v>
      </c>
      <c r="CX476" s="326" t="s">
        <v>539</v>
      </c>
      <c r="CY476" s="161" t="s">
        <v>5921</v>
      </c>
    </row>
    <row r="477" spans="1:103" ht="11.25" customHeight="1" x14ac:dyDescent="0.2">
      <c r="A477" s="72">
        <v>475</v>
      </c>
      <c r="B477" s="149">
        <v>472</v>
      </c>
      <c r="C477" s="54" t="s">
        <v>1539</v>
      </c>
      <c r="D477" s="54" t="s">
        <v>6587</v>
      </c>
      <c r="E477" s="59"/>
      <c r="F477" s="59" t="s">
        <v>1540</v>
      </c>
      <c r="G477" s="151">
        <v>141517217</v>
      </c>
      <c r="H477" s="55" t="s">
        <v>1541</v>
      </c>
      <c r="I477" s="55" t="s">
        <v>1541</v>
      </c>
      <c r="J477" s="55" t="s">
        <v>1542</v>
      </c>
      <c r="K477" s="55" t="s">
        <v>300</v>
      </c>
      <c r="L477" s="55" t="s">
        <v>5929</v>
      </c>
      <c r="M477" s="55" t="s">
        <v>6082</v>
      </c>
      <c r="N477" s="60" t="s">
        <v>6082</v>
      </c>
      <c r="O477" s="55" t="s">
        <v>6083</v>
      </c>
      <c r="P477" s="67"/>
      <c r="Q477" s="67"/>
      <c r="R477" s="67"/>
      <c r="S477" s="67"/>
      <c r="T477" s="56">
        <v>408.37</v>
      </c>
      <c r="U477" s="103"/>
      <c r="V477" s="103">
        <v>9.5501628425202637E-4</v>
      </c>
      <c r="W477" s="103">
        <v>1.0232929922807527E-3</v>
      </c>
      <c r="X477" s="103">
        <f>IF(W477=0,V477,W477)</f>
        <v>1.0232929922807527E-3</v>
      </c>
      <c r="Y477" s="162">
        <v>7</v>
      </c>
      <c r="Z477" s="56">
        <v>6.62</v>
      </c>
      <c r="AA477" s="56">
        <v>4.5</v>
      </c>
      <c r="AB477" s="56">
        <v>4.7300000000000004</v>
      </c>
      <c r="AC477" s="56">
        <v>0.70989999999999998</v>
      </c>
      <c r="AD477" s="56">
        <v>4.8499999999999996</v>
      </c>
      <c r="AE477" s="56">
        <v>5.1100000000000003</v>
      </c>
      <c r="AF477" s="56">
        <f t="shared" si="168"/>
        <v>4.5</v>
      </c>
      <c r="AG477" s="57">
        <v>5.04</v>
      </c>
      <c r="AH477" s="103">
        <v>1.0700000000000001E-7</v>
      </c>
      <c r="AI477" s="103"/>
      <c r="AJ477" s="62">
        <f t="shared" si="169"/>
        <v>-5.3591825486274418</v>
      </c>
      <c r="AK477" s="62"/>
      <c r="AL477" s="62">
        <f t="shared" si="170"/>
        <v>-5.3591825486274418</v>
      </c>
      <c r="AM477" s="62">
        <v>-11.2052</v>
      </c>
      <c r="AN477" s="154">
        <v>-5.94</v>
      </c>
      <c r="AO477" s="410"/>
      <c r="AP477" s="410"/>
      <c r="AQ477" s="154" t="s">
        <v>6311</v>
      </c>
      <c r="AR477" s="154" t="s">
        <v>6312</v>
      </c>
      <c r="AS477" s="149" t="s">
        <v>63</v>
      </c>
      <c r="AT477" s="58" t="s">
        <v>266</v>
      </c>
      <c r="AU477" s="56">
        <v>8</v>
      </c>
      <c r="AV477" s="56">
        <v>144</v>
      </c>
      <c r="AW477" s="56">
        <v>120</v>
      </c>
      <c r="AX477" s="56">
        <v>26</v>
      </c>
      <c r="AY477" s="56" t="s">
        <v>267</v>
      </c>
      <c r="AZ477" s="56" t="s">
        <v>268</v>
      </c>
      <c r="BA477" s="56">
        <v>3</v>
      </c>
      <c r="BB477" s="55" t="s">
        <v>888</v>
      </c>
      <c r="BC477" s="55" t="s">
        <v>270</v>
      </c>
      <c r="BD477" s="55" t="s">
        <v>8374</v>
      </c>
      <c r="BE477" s="56" t="s">
        <v>889</v>
      </c>
      <c r="BF477" s="56" t="s">
        <v>272</v>
      </c>
      <c r="BG477" s="56" t="s">
        <v>272</v>
      </c>
      <c r="BH477" s="56" t="s">
        <v>890</v>
      </c>
      <c r="BI477" s="103">
        <v>9.9999999999999995E-7</v>
      </c>
      <c r="BJ477" s="103">
        <v>0.08</v>
      </c>
      <c r="BK477" s="56"/>
      <c r="BL477" s="103">
        <f t="shared" si="171"/>
        <v>5.8261008767137519E-5</v>
      </c>
      <c r="BM477" s="56" t="s">
        <v>891</v>
      </c>
      <c r="BN477" s="162"/>
      <c r="BO477" s="162"/>
      <c r="BP477" s="162"/>
      <c r="BQ477" s="162"/>
      <c r="BR477" s="162"/>
      <c r="BS477" s="56">
        <v>3.1061162670000003E-4</v>
      </c>
      <c r="BT477" s="162"/>
      <c r="BU477" s="158"/>
      <c r="BV477" s="162"/>
      <c r="BW477" s="162"/>
      <c r="BX477" s="162"/>
      <c r="BY477" s="162"/>
      <c r="BZ477" s="162"/>
      <c r="CA477" s="162"/>
      <c r="CB477" s="162"/>
      <c r="CC477" s="56"/>
      <c r="CD477" s="56"/>
      <c r="CE477" s="56"/>
      <c r="CF477" s="56"/>
      <c r="CG477" s="56"/>
      <c r="CH477" s="56"/>
      <c r="CI477" s="103">
        <f t="shared" si="163"/>
        <v>3.1061162670000003E-4</v>
      </c>
      <c r="CJ477" s="103">
        <f t="shared" si="164"/>
        <v>-3.5077822919521231</v>
      </c>
      <c r="CK477" s="57">
        <f t="shared" si="167"/>
        <v>7.2826260958921897E-4</v>
      </c>
      <c r="CL477" s="160">
        <f t="shared" si="177"/>
        <v>0.18756866697526461</v>
      </c>
      <c r="CM477" s="160">
        <v>-4.4649257944236753</v>
      </c>
      <c r="CN477" s="160">
        <f t="shared" si="175"/>
        <v>2333.5428571428588</v>
      </c>
      <c r="CO477" s="55" t="s">
        <v>892</v>
      </c>
      <c r="CP477" s="55" t="s">
        <v>893</v>
      </c>
      <c r="CQ477" s="149">
        <v>-4.1717929323513099</v>
      </c>
      <c r="CR477" s="349">
        <f t="shared" si="172"/>
        <v>4.6132887717526794</v>
      </c>
      <c r="CS477" s="61" t="s">
        <v>539</v>
      </c>
      <c r="CT477" s="61"/>
      <c r="CU477" s="111">
        <f t="shared" si="173"/>
        <v>3.2944452310186256</v>
      </c>
      <c r="CV477" s="331">
        <f t="shared" si="174"/>
        <v>1.2791162403509408E-2</v>
      </c>
      <c r="CW477" s="326">
        <f t="shared" si="165"/>
        <v>1</v>
      </c>
      <c r="CX477" s="326" t="s">
        <v>539</v>
      </c>
      <c r="CY477" s="161" t="s">
        <v>5921</v>
      </c>
    </row>
    <row r="478" spans="1:103" ht="11.25" customHeight="1" x14ac:dyDescent="0.2">
      <c r="A478" s="72">
        <v>476</v>
      </c>
      <c r="B478" s="149">
        <v>812</v>
      </c>
      <c r="C478" s="54" t="s">
        <v>6767</v>
      </c>
      <c r="D478" s="54" t="s">
        <v>6768</v>
      </c>
      <c r="E478" s="59"/>
      <c r="F478" s="59" t="s">
        <v>2307</v>
      </c>
      <c r="G478" s="151">
        <v>481390</v>
      </c>
      <c r="H478" s="55" t="s">
        <v>2308</v>
      </c>
      <c r="I478" s="55" t="s">
        <v>2308</v>
      </c>
      <c r="J478" s="55" t="s">
        <v>2309</v>
      </c>
      <c r="K478" s="55" t="s">
        <v>2310</v>
      </c>
      <c r="L478" s="55" t="s">
        <v>6619</v>
      </c>
      <c r="M478" s="55" t="s">
        <v>6025</v>
      </c>
      <c r="N478" s="60" t="s">
        <v>2342</v>
      </c>
      <c r="O478" s="55"/>
      <c r="P478" s="67" t="s">
        <v>6631</v>
      </c>
      <c r="Q478" s="67" t="s">
        <v>6173</v>
      </c>
      <c r="R478" s="67" t="s">
        <v>6175</v>
      </c>
      <c r="S478" s="67" t="s">
        <v>6173</v>
      </c>
      <c r="T478" s="56">
        <v>174.15</v>
      </c>
      <c r="U478" s="103"/>
      <c r="V478" s="103">
        <v>29.405684754521964</v>
      </c>
      <c r="W478" s="103">
        <v>1.1220184543019622</v>
      </c>
      <c r="X478" s="103">
        <f>IF(W478=0,V478,W478)</f>
        <v>1.1220184543019622</v>
      </c>
      <c r="Y478" s="162">
        <v>4.7699999999999996</v>
      </c>
      <c r="Z478" s="56">
        <v>1.96</v>
      </c>
      <c r="AA478" s="56">
        <v>1.92</v>
      </c>
      <c r="AB478" s="56">
        <v>1.83</v>
      </c>
      <c r="AC478" s="56">
        <v>0.87329999999999997</v>
      </c>
      <c r="AD478" s="56">
        <v>1.84</v>
      </c>
      <c r="AE478" s="56">
        <v>1.86</v>
      </c>
      <c r="AF478" s="56">
        <f t="shared" si="168"/>
        <v>1.92</v>
      </c>
      <c r="AG478" s="57">
        <v>1.27</v>
      </c>
      <c r="AH478" s="103">
        <v>2.5799999999999999E-10</v>
      </c>
      <c r="AI478" s="103"/>
      <c r="AJ478" s="62">
        <f t="shared" si="169"/>
        <v>-7.9769466203494215</v>
      </c>
      <c r="AK478" s="62"/>
      <c r="AL478" s="62">
        <f t="shared" si="170"/>
        <v>-7.9769466203494215</v>
      </c>
      <c r="AM478" s="62">
        <v>-10.650509999999999</v>
      </c>
      <c r="AN478" s="154">
        <v>-6.38</v>
      </c>
      <c r="AO478" s="410">
        <v>6.59</v>
      </c>
      <c r="AP478" s="410"/>
      <c r="AQ478" s="154" t="s">
        <v>6311</v>
      </c>
      <c r="AR478" s="154" t="s">
        <v>6311</v>
      </c>
      <c r="AS478" s="149" t="s">
        <v>6</v>
      </c>
      <c r="AT478" s="58" t="s">
        <v>266</v>
      </c>
      <c r="AU478" s="155"/>
      <c r="AV478" s="56">
        <v>96</v>
      </c>
      <c r="AW478" s="56">
        <v>96</v>
      </c>
      <c r="AX478" s="56">
        <v>26</v>
      </c>
      <c r="AY478" s="56" t="s">
        <v>8722</v>
      </c>
      <c r="AZ478" s="56" t="s">
        <v>536</v>
      </c>
      <c r="BA478" s="56">
        <v>20</v>
      </c>
      <c r="BB478" s="55" t="s">
        <v>1764</v>
      </c>
      <c r="BC478" s="55" t="s">
        <v>538</v>
      </c>
      <c r="BD478" s="55"/>
      <c r="BE478" s="56" t="s">
        <v>8722</v>
      </c>
      <c r="BF478" s="56" t="s">
        <v>8722</v>
      </c>
      <c r="BG478" s="56" t="s">
        <v>8722</v>
      </c>
      <c r="BH478" s="56" t="s">
        <v>8722</v>
      </c>
      <c r="BI478" s="103" t="s">
        <v>8722</v>
      </c>
      <c r="BJ478" s="103" t="s">
        <v>8722</v>
      </c>
      <c r="BK478" s="56"/>
      <c r="BL478" s="103">
        <f t="shared" si="171"/>
        <v>0.89232693003380892</v>
      </c>
      <c r="BM478" s="55" t="s">
        <v>1640</v>
      </c>
      <c r="BN478" s="56"/>
      <c r="BO478" s="155">
        <f>(0.000296968+0.000317409+0.000275609)/3</f>
        <v>2.96662E-4</v>
      </c>
      <c r="BP478" s="56"/>
      <c r="BQ478" s="56">
        <f>(0.000294557+0.000330501+0.00027314)/3</f>
        <v>2.9939933333333332E-4</v>
      </c>
      <c r="BR478" s="56"/>
      <c r="BS478" s="56"/>
      <c r="BT478" s="56"/>
      <c r="BU478" s="158"/>
      <c r="BV478" s="56"/>
      <c r="BW478" s="56"/>
      <c r="BX478" s="56"/>
      <c r="BY478" s="56"/>
      <c r="BZ478" s="56"/>
      <c r="CA478" s="56"/>
      <c r="CB478" s="56"/>
      <c r="CC478" s="56"/>
      <c r="CD478" s="56"/>
      <c r="CE478" s="56"/>
      <c r="CF478" s="56"/>
      <c r="CG478" s="56"/>
      <c r="CH478" s="56"/>
      <c r="CI478" s="103">
        <f t="shared" si="163"/>
        <v>2.96662E-4</v>
      </c>
      <c r="CJ478" s="103">
        <f t="shared" si="164"/>
        <v>-3.5277380797270737</v>
      </c>
      <c r="CK478" s="57" t="s">
        <v>404</v>
      </c>
      <c r="CL478" s="160">
        <f t="shared" si="177"/>
        <v>3007.890899521371</v>
      </c>
      <c r="CM478" s="160"/>
      <c r="CN478" s="160"/>
      <c r="CO478" s="55"/>
      <c r="CP478" s="55" t="s">
        <v>2277</v>
      </c>
      <c r="CQ478" s="149">
        <v>-3.6076354686720427</v>
      </c>
      <c r="CR478" s="349">
        <f t="shared" si="172"/>
        <v>1.2019804083299284</v>
      </c>
      <c r="CS478" s="61" t="s">
        <v>539</v>
      </c>
      <c r="CT478" s="61"/>
      <c r="CU478" s="111">
        <f t="shared" si="173"/>
        <v>3782.1441718250476</v>
      </c>
      <c r="CV478" s="331"/>
      <c r="CW478" s="326">
        <f t="shared" si="165"/>
        <v>1</v>
      </c>
      <c r="CX478" s="326"/>
      <c r="CY478" s="161" t="s">
        <v>5921</v>
      </c>
    </row>
    <row r="479" spans="1:103" ht="11.25" customHeight="1" x14ac:dyDescent="0.2">
      <c r="A479" s="72">
        <v>477</v>
      </c>
      <c r="B479" s="149">
        <v>738</v>
      </c>
      <c r="C479" s="54" t="s">
        <v>2097</v>
      </c>
      <c r="D479" s="54" t="s">
        <v>6769</v>
      </c>
      <c r="E479" s="59"/>
      <c r="F479" s="59" t="s">
        <v>2098</v>
      </c>
      <c r="G479" s="151">
        <v>68085858</v>
      </c>
      <c r="H479" s="55" t="s">
        <v>2099</v>
      </c>
      <c r="I479" s="55" t="s">
        <v>7900</v>
      </c>
      <c r="J479" s="55" t="s">
        <v>2100</v>
      </c>
      <c r="K479" s="55" t="s">
        <v>2086</v>
      </c>
      <c r="L479" s="55" t="s">
        <v>617</v>
      </c>
      <c r="M479" s="55" t="s">
        <v>1086</v>
      </c>
      <c r="N479" s="60" t="s">
        <v>6376</v>
      </c>
      <c r="O479" s="55" t="s">
        <v>918</v>
      </c>
      <c r="P479" s="67"/>
      <c r="Q479" s="67"/>
      <c r="R479" s="67"/>
      <c r="S479" s="67"/>
      <c r="T479" s="56">
        <v>449.85</v>
      </c>
      <c r="U479" s="103">
        <v>1.1114816049794376E-5</v>
      </c>
      <c r="V479" s="103">
        <v>1.8968545070579081E-6</v>
      </c>
      <c r="W479" s="103">
        <v>1.3803842646028822E-4</v>
      </c>
      <c r="X479" s="103">
        <v>1.1114816049794376E-5</v>
      </c>
      <c r="Y479" s="162">
        <v>7</v>
      </c>
      <c r="Z479" s="56">
        <v>6.85</v>
      </c>
      <c r="AA479" s="56">
        <v>7</v>
      </c>
      <c r="AB479" s="56">
        <v>6.34</v>
      </c>
      <c r="AC479" s="56">
        <v>0.89419999999999999</v>
      </c>
      <c r="AD479" s="56">
        <v>6.32</v>
      </c>
      <c r="AE479" s="56">
        <v>6.2</v>
      </c>
      <c r="AF479" s="56">
        <f t="shared" si="168"/>
        <v>7</v>
      </c>
      <c r="AG479" s="57">
        <v>5.56</v>
      </c>
      <c r="AH479" s="103">
        <v>1.3499999999999999E-5</v>
      </c>
      <c r="AI479" s="103">
        <v>1.48E-6</v>
      </c>
      <c r="AJ479" s="62">
        <f t="shared" si="169"/>
        <v>-3.2582325578176459</v>
      </c>
      <c r="AK479" s="62">
        <f>LOG10(AI479*1000/(0.08206*298.15))</f>
        <v>-4.218304610917694</v>
      </c>
      <c r="AL479" s="62">
        <f t="shared" si="170"/>
        <v>-4.218304610917694</v>
      </c>
      <c r="AM479" s="62">
        <v>-13.49095</v>
      </c>
      <c r="AN479" s="154">
        <v>-4.4400000000000004</v>
      </c>
      <c r="AO479" s="410"/>
      <c r="AP479" s="410"/>
      <c r="AQ479" s="154" t="s">
        <v>6311</v>
      </c>
      <c r="AR479" s="154" t="s">
        <v>6312</v>
      </c>
      <c r="AS479" s="149" t="s">
        <v>6</v>
      </c>
      <c r="AT479" s="58" t="s">
        <v>266</v>
      </c>
      <c r="AU479" s="56">
        <v>2</v>
      </c>
      <c r="AV479" s="56">
        <v>120</v>
      </c>
      <c r="AW479" s="56">
        <v>120</v>
      </c>
      <c r="AX479" s="56">
        <v>28</v>
      </c>
      <c r="AY479" s="56" t="s">
        <v>8722</v>
      </c>
      <c r="AZ479" s="56" t="s">
        <v>536</v>
      </c>
      <c r="BA479" s="56" t="s">
        <v>8722</v>
      </c>
      <c r="BB479" s="55" t="s">
        <v>2087</v>
      </c>
      <c r="BC479" s="55" t="s">
        <v>2088</v>
      </c>
      <c r="BD479" s="55"/>
      <c r="BE479" s="56" t="s">
        <v>271</v>
      </c>
      <c r="BF479" s="56" t="s">
        <v>272</v>
      </c>
      <c r="BG479" s="56" t="s">
        <v>272</v>
      </c>
      <c r="BH479" s="56" t="s">
        <v>2089</v>
      </c>
      <c r="BI479" s="157">
        <v>2.2229137954030144E-5</v>
      </c>
      <c r="BJ479" s="157">
        <v>4.4458275908060285E-4</v>
      </c>
      <c r="BK479" s="56"/>
      <c r="BL479" s="103">
        <f t="shared" si="171"/>
        <v>3.6208872364216369E-5</v>
      </c>
      <c r="BM479" s="56" t="s">
        <v>2090</v>
      </c>
      <c r="BN479" s="56"/>
      <c r="BO479" s="56"/>
      <c r="BP479" s="56"/>
      <c r="BQ479" s="56"/>
      <c r="BR479" s="56"/>
      <c r="BS479" s="56"/>
      <c r="BT479" s="56">
        <v>2.4452051749433159E-4</v>
      </c>
      <c r="BU479" s="158"/>
      <c r="BV479" s="56"/>
      <c r="BW479" s="56"/>
      <c r="BX479" s="56"/>
      <c r="BY479" s="56"/>
      <c r="BZ479" s="56"/>
      <c r="CA479" s="56"/>
      <c r="CB479" s="56"/>
      <c r="CC479" s="56"/>
      <c r="CD479" s="56"/>
      <c r="CE479" s="56"/>
      <c r="CF479" s="56"/>
      <c r="CG479" s="56"/>
      <c r="CH479" s="56"/>
      <c r="CI479" s="103">
        <f t="shared" si="163"/>
        <v>2.4452051749433159E-4</v>
      </c>
      <c r="CJ479" s="103">
        <f t="shared" si="164"/>
        <v>-3.6116846937562359</v>
      </c>
      <c r="CK479" s="57">
        <f t="shared" ref="CK479:CK492" si="178">BL479/BJ479</f>
        <v>8.1444616608831885E-2</v>
      </c>
      <c r="CL479" s="160">
        <f t="shared" si="177"/>
        <v>0.14808112110696703</v>
      </c>
      <c r="CM479" s="160">
        <v>-5.9903098931336345</v>
      </c>
      <c r="CN479" s="160">
        <f t="shared" ref="CN479:CN488" si="179">BJ479/(10^CM479)</f>
        <v>434.77294385306391</v>
      </c>
      <c r="CO479" s="55" t="s">
        <v>2096</v>
      </c>
      <c r="CP479" s="55" t="s">
        <v>2091</v>
      </c>
      <c r="CQ479" s="149">
        <v>-5.9554919290629371</v>
      </c>
      <c r="CR479" s="349">
        <f t="shared" si="172"/>
        <v>220.70249118872772</v>
      </c>
      <c r="CS479" s="61" t="s">
        <v>539</v>
      </c>
      <c r="CT479" s="61"/>
      <c r="CU479" s="111">
        <f t="shared" si="173"/>
        <v>4.545555589236816E-2</v>
      </c>
      <c r="CV479" s="331">
        <f t="shared" ref="CV479:CV494" si="180">X479/BJ479</f>
        <v>2.5000555740802489E-2</v>
      </c>
      <c r="CW479" s="326">
        <f t="shared" si="165"/>
        <v>0</v>
      </c>
      <c r="CX479" s="326"/>
      <c r="CY479" s="161" t="s">
        <v>5921</v>
      </c>
    </row>
    <row r="480" spans="1:103" ht="11.25" customHeight="1" x14ac:dyDescent="0.2">
      <c r="A480" s="72">
        <v>478</v>
      </c>
      <c r="B480" s="149">
        <v>1268</v>
      </c>
      <c r="C480" s="54" t="s">
        <v>1874</v>
      </c>
      <c r="D480" s="54" t="s">
        <v>6770</v>
      </c>
      <c r="E480" s="59"/>
      <c r="F480" s="59" t="s">
        <v>1875</v>
      </c>
      <c r="G480" s="151">
        <v>83794</v>
      </c>
      <c r="H480" s="55" t="s">
        <v>1876</v>
      </c>
      <c r="I480" s="55" t="s">
        <v>1876</v>
      </c>
      <c r="J480" s="55" t="s">
        <v>1877</v>
      </c>
      <c r="K480" s="55" t="s">
        <v>1878</v>
      </c>
      <c r="L480" s="55" t="s">
        <v>617</v>
      </c>
      <c r="M480" s="55" t="s">
        <v>6099</v>
      </c>
      <c r="N480" s="60" t="s">
        <v>6381</v>
      </c>
      <c r="O480" s="55" t="s">
        <v>6100</v>
      </c>
      <c r="P480" s="67"/>
      <c r="Q480" s="67" t="s">
        <v>6176</v>
      </c>
      <c r="R480" s="67" t="s">
        <v>6185</v>
      </c>
      <c r="S480" s="67" t="s">
        <v>6176</v>
      </c>
      <c r="T480" s="56">
        <v>394.42</v>
      </c>
      <c r="U480" s="103">
        <v>5.0707367780538509E-4</v>
      </c>
      <c r="V480" s="103">
        <v>2.6494599665331368E-3</v>
      </c>
      <c r="W480" s="103">
        <v>6.9183097091893536E-4</v>
      </c>
      <c r="X480" s="103">
        <v>5.0707367780538509E-4</v>
      </c>
      <c r="Y480" s="162">
        <v>7</v>
      </c>
      <c r="Z480" s="56">
        <v>4.3099999999999996</v>
      </c>
      <c r="AA480" s="56">
        <v>4.0999999999999996</v>
      </c>
      <c r="AB480" s="56">
        <v>3.96</v>
      </c>
      <c r="AC480" s="56">
        <v>0.64770000000000005</v>
      </c>
      <c r="AD480" s="56">
        <v>4.24</v>
      </c>
      <c r="AE480" s="56">
        <v>4.6500000000000004</v>
      </c>
      <c r="AF480" s="56">
        <f t="shared" si="168"/>
        <v>4.0999999999999996</v>
      </c>
      <c r="AG480" s="57">
        <v>3.51</v>
      </c>
      <c r="AH480" s="103">
        <v>1.12E-13</v>
      </c>
      <c r="AI480" s="103"/>
      <c r="AJ480" s="62">
        <f t="shared" si="169"/>
        <v>-11.33934830364247</v>
      </c>
      <c r="AK480" s="62"/>
      <c r="AL480" s="62">
        <f t="shared" si="170"/>
        <v>-11.33934830364247</v>
      </c>
      <c r="AM480" s="62">
        <v>-18.712900000000001</v>
      </c>
      <c r="AN480" s="154">
        <v>-13</v>
      </c>
      <c r="AO480" s="410"/>
      <c r="AP480" s="410"/>
      <c r="AQ480" s="56" t="s">
        <v>6311</v>
      </c>
      <c r="AR480" s="56" t="s">
        <v>6311</v>
      </c>
      <c r="AS480" s="155"/>
      <c r="AT480" s="58" t="s">
        <v>266</v>
      </c>
      <c r="AU480" s="56">
        <v>6</v>
      </c>
      <c r="AV480" s="56">
        <v>120</v>
      </c>
      <c r="AW480" s="56">
        <v>114</v>
      </c>
      <c r="AX480" s="56">
        <v>28</v>
      </c>
      <c r="AY480" s="56" t="s">
        <v>8728</v>
      </c>
      <c r="AZ480" s="56" t="s">
        <v>1563</v>
      </c>
      <c r="BA480" s="56">
        <v>32</v>
      </c>
      <c r="BB480" s="55" t="s">
        <v>2485</v>
      </c>
      <c r="BC480" s="55" t="s">
        <v>8726</v>
      </c>
      <c r="BD480" s="55" t="s">
        <v>8374</v>
      </c>
      <c r="BE480" s="56" t="s">
        <v>2449</v>
      </c>
      <c r="BF480" s="56" t="s">
        <v>272</v>
      </c>
      <c r="BG480" s="56" t="s">
        <v>272</v>
      </c>
      <c r="BH480" s="56" t="s">
        <v>2486</v>
      </c>
      <c r="BI480" s="103">
        <v>6.3999999999999997E-6</v>
      </c>
      <c r="BJ480" s="103">
        <v>6.4000000000000001E-2</v>
      </c>
      <c r="BK480" s="56"/>
      <c r="BL480" s="103">
        <f t="shared" si="171"/>
        <v>6.9181344814436396E-3</v>
      </c>
      <c r="BM480" s="56" t="s">
        <v>2046</v>
      </c>
      <c r="BN480" s="56">
        <v>2.023857703</v>
      </c>
      <c r="BO480" s="56"/>
      <c r="BP480" s="56"/>
      <c r="BQ480" s="56"/>
      <c r="BR480" s="55">
        <v>2.3599999999999999E-4</v>
      </c>
      <c r="BS480" s="56"/>
      <c r="BT480" s="56"/>
      <c r="BU480" s="158"/>
      <c r="BV480" s="56"/>
      <c r="BW480" s="56"/>
      <c r="BX480" s="56"/>
      <c r="BY480" s="56"/>
      <c r="BZ480" s="56"/>
      <c r="CA480" s="56"/>
      <c r="CB480" s="56"/>
      <c r="CC480" s="56"/>
      <c r="CD480" s="56"/>
      <c r="CE480" s="56"/>
      <c r="CF480" s="56"/>
      <c r="CG480" s="56"/>
      <c r="CH480" s="56"/>
      <c r="CI480" s="103">
        <f t="shared" si="163"/>
        <v>2.3599999999999999E-4</v>
      </c>
      <c r="CJ480" s="103">
        <f t="shared" si="164"/>
        <v>-3.6270879970298933</v>
      </c>
      <c r="CK480" s="57">
        <f t="shared" si="178"/>
        <v>0.10809585127255687</v>
      </c>
      <c r="CL480" s="160">
        <f t="shared" si="177"/>
        <v>29.31412915865949</v>
      </c>
      <c r="CM480" s="160">
        <v>-4.6043685997444435</v>
      </c>
      <c r="CN480" s="160">
        <f t="shared" si="179"/>
        <v>2573.6445979769073</v>
      </c>
      <c r="CO480" s="55" t="s">
        <v>2488</v>
      </c>
      <c r="CP480" s="55" t="s">
        <v>2489</v>
      </c>
      <c r="CQ480" s="149">
        <v>-4.2059349606899765</v>
      </c>
      <c r="CR480" s="349">
        <f t="shared" si="172"/>
        <v>3.7918134581184662</v>
      </c>
      <c r="CS480" s="61" t="s">
        <v>539</v>
      </c>
      <c r="CT480" s="61"/>
      <c r="CU480" s="111">
        <f t="shared" si="173"/>
        <v>2.1486172788363778</v>
      </c>
      <c r="CV480" s="331">
        <f t="shared" si="180"/>
        <v>7.9230262157091412E-3</v>
      </c>
      <c r="CW480" s="326">
        <f t="shared" si="165"/>
        <v>1</v>
      </c>
      <c r="CX480" s="326"/>
      <c r="CY480" s="161" t="s">
        <v>5921</v>
      </c>
    </row>
    <row r="481" spans="1:103" ht="11.25" customHeight="1" x14ac:dyDescent="0.2">
      <c r="A481" s="72">
        <v>479</v>
      </c>
      <c r="B481" s="149">
        <v>2149</v>
      </c>
      <c r="C481" s="54" t="s">
        <v>1345</v>
      </c>
      <c r="D481" s="54" t="s">
        <v>6534</v>
      </c>
      <c r="E481" s="59"/>
      <c r="F481" s="167" t="s">
        <v>1346</v>
      </c>
      <c r="G481" s="151">
        <v>76738620</v>
      </c>
      <c r="H481" s="67" t="s">
        <v>1347</v>
      </c>
      <c r="I481" s="67" t="s">
        <v>7901</v>
      </c>
      <c r="J481" s="67" t="s">
        <v>5876</v>
      </c>
      <c r="K481" s="67" t="s">
        <v>1112</v>
      </c>
      <c r="L481" s="55" t="s">
        <v>6005</v>
      </c>
      <c r="M481" s="60" t="s">
        <v>2342</v>
      </c>
      <c r="N481" s="60" t="s">
        <v>2342</v>
      </c>
      <c r="O481" s="67"/>
      <c r="P481" s="67"/>
      <c r="Q481" s="67"/>
      <c r="R481" s="67"/>
      <c r="S481" s="67"/>
      <c r="T481" s="61">
        <v>293.8</v>
      </c>
      <c r="U481" s="111">
        <v>8.8498587426392994E-2</v>
      </c>
      <c r="V481" s="111">
        <v>0.27186085299023111</v>
      </c>
      <c r="W481" s="111">
        <v>0.20892961308540386</v>
      </c>
      <c r="X481" s="111">
        <v>8.8498587426392994E-2</v>
      </c>
      <c r="Y481" s="411">
        <v>7.03</v>
      </c>
      <c r="Z481" s="61">
        <v>3.36</v>
      </c>
      <c r="AA481" s="61">
        <v>3.2</v>
      </c>
      <c r="AB481" s="61">
        <v>3.48</v>
      </c>
      <c r="AC481" s="61">
        <v>0.83650000000000002</v>
      </c>
      <c r="AD481" s="61">
        <v>3.37</v>
      </c>
      <c r="AE481" s="61">
        <v>2.99</v>
      </c>
      <c r="AF481" s="61">
        <f t="shared" si="168"/>
        <v>3.2</v>
      </c>
      <c r="AG481" s="62">
        <v>3.49</v>
      </c>
      <c r="AH481" s="111">
        <v>3.9E-10</v>
      </c>
      <c r="AI481" s="111">
        <v>8.2800000000000001E-11</v>
      </c>
      <c r="AJ481" s="62">
        <f t="shared" si="169"/>
        <v>-7.7975017192861529</v>
      </c>
      <c r="AK481" s="62">
        <f>LOG10(AI481*1000/(0.08206*298.15))</f>
        <v>-8.4705359895277716</v>
      </c>
      <c r="AL481" s="62">
        <f t="shared" si="170"/>
        <v>-8.4705359895277716</v>
      </c>
      <c r="AM481" s="62">
        <v>-13.015940000000001</v>
      </c>
      <c r="AN481" s="163">
        <v>-7.9161999999999999</v>
      </c>
      <c r="AO481" s="410">
        <v>13.92</v>
      </c>
      <c r="AP481" s="410">
        <v>2.57</v>
      </c>
      <c r="AQ481" s="163" t="s">
        <v>6311</v>
      </c>
      <c r="AR481" s="163" t="s">
        <v>6311</v>
      </c>
      <c r="AS481" s="164" t="s">
        <v>5466</v>
      </c>
      <c r="AT481" s="63" t="s">
        <v>266</v>
      </c>
      <c r="AU481" s="61">
        <v>0</v>
      </c>
      <c r="AV481" s="61">
        <v>120</v>
      </c>
      <c r="AW481" s="61">
        <v>120</v>
      </c>
      <c r="AX481" s="61">
        <v>28.5</v>
      </c>
      <c r="AY481" s="61"/>
      <c r="AZ481" s="61"/>
      <c r="BA481" s="61"/>
      <c r="BB481" s="67"/>
      <c r="BC481" s="67" t="s">
        <v>5877</v>
      </c>
      <c r="BD481" s="67"/>
      <c r="BE481" s="61" t="s">
        <v>2449</v>
      </c>
      <c r="BF481" s="61"/>
      <c r="BG481" s="61"/>
      <c r="BH481" s="61" t="s">
        <v>5626</v>
      </c>
      <c r="BI481" s="111">
        <v>3.4E-5</v>
      </c>
      <c r="BJ481" s="111">
        <v>0.68</v>
      </c>
      <c r="BK481" s="165"/>
      <c r="BL481" s="111">
        <f t="shared" si="171"/>
        <v>4.9338279395925909E-2</v>
      </c>
      <c r="BM481" s="61"/>
      <c r="BN481" s="61">
        <v>3.3934600000000003E-4</v>
      </c>
      <c r="BO481" s="61">
        <v>2.4302199999999999E-4</v>
      </c>
      <c r="BP481" s="61">
        <v>2.4302199999999999E-4</v>
      </c>
      <c r="BQ481" s="61">
        <v>2.4302199999999999E-4</v>
      </c>
      <c r="BR481" s="61">
        <v>1.9945499999999999E-4</v>
      </c>
      <c r="BS481" s="61"/>
      <c r="BT481" s="61"/>
      <c r="BU481" s="158"/>
      <c r="BV481" s="61"/>
      <c r="BW481" s="61"/>
      <c r="BX481" s="61"/>
      <c r="BY481" s="61"/>
      <c r="BZ481" s="61"/>
      <c r="CA481" s="61"/>
      <c r="CB481" s="61"/>
      <c r="CC481" s="61"/>
      <c r="CD481" s="61"/>
      <c r="CE481" s="61"/>
      <c r="CF481" s="61"/>
      <c r="CG481" s="61"/>
      <c r="CH481" s="61"/>
      <c r="CI481" s="111">
        <f t="shared" si="163"/>
        <v>1.9945499999999999E-4</v>
      </c>
      <c r="CJ481" s="103">
        <f t="shared" si="164"/>
        <v>-3.7001550721884775</v>
      </c>
      <c r="CK481" s="57">
        <f t="shared" si="178"/>
        <v>7.2556293229302807E-2</v>
      </c>
      <c r="CL481" s="160">
        <f t="shared" si="177"/>
        <v>247.36546787960145</v>
      </c>
      <c r="CM481" s="160">
        <v>-1.1557541655918258</v>
      </c>
      <c r="CN481" s="160">
        <f t="shared" si="179"/>
        <v>9.7333665380667878</v>
      </c>
      <c r="CO481" s="67"/>
      <c r="CP481" s="67" t="s">
        <v>5878</v>
      </c>
      <c r="CQ481" s="149">
        <v>-1.1076563876867407</v>
      </c>
      <c r="CR481" s="349">
        <f t="shared" si="172"/>
        <v>2.5556496422345035E-3</v>
      </c>
      <c r="CS481" s="61" t="s">
        <v>539</v>
      </c>
      <c r="CT481" s="61"/>
      <c r="CU481" s="111">
        <f t="shared" si="173"/>
        <v>443.70202515050011</v>
      </c>
      <c r="CV481" s="331">
        <f t="shared" si="180"/>
        <v>0.13014498150940146</v>
      </c>
      <c r="CW481" s="326">
        <f t="shared" si="165"/>
        <v>1</v>
      </c>
      <c r="CX481" s="326"/>
      <c r="CY481" s="161" t="s">
        <v>5921</v>
      </c>
    </row>
    <row r="482" spans="1:103" ht="11.25" customHeight="1" x14ac:dyDescent="0.2">
      <c r="A482" s="72">
        <v>480</v>
      </c>
      <c r="B482" s="149">
        <v>468</v>
      </c>
      <c r="C482" s="54" t="s">
        <v>1531</v>
      </c>
      <c r="D482" s="54" t="s">
        <v>6771</v>
      </c>
      <c r="E482" s="59"/>
      <c r="F482" s="59" t="s">
        <v>1532</v>
      </c>
      <c r="G482" s="151">
        <v>78488</v>
      </c>
      <c r="H482" s="55" t="s">
        <v>1533</v>
      </c>
      <c r="I482" s="55" t="s">
        <v>1533</v>
      </c>
      <c r="J482" s="55" t="s">
        <v>1534</v>
      </c>
      <c r="K482" s="55" t="s">
        <v>637</v>
      </c>
      <c r="L482" s="55" t="s">
        <v>6018</v>
      </c>
      <c r="M482" s="55" t="s">
        <v>6019</v>
      </c>
      <c r="N482" s="60" t="s">
        <v>6376</v>
      </c>
      <c r="O482" s="64" t="s">
        <v>6020</v>
      </c>
      <c r="P482" s="67"/>
      <c r="Q482" s="67"/>
      <c r="R482" s="67"/>
      <c r="S482" s="67"/>
      <c r="T482" s="56">
        <v>314.51</v>
      </c>
      <c r="U482" s="103">
        <v>7.3129630218435023E-3</v>
      </c>
      <c r="V482" s="103">
        <v>4.3528027725668497E-4</v>
      </c>
      <c r="W482" s="103">
        <v>0.40738027780411218</v>
      </c>
      <c r="X482" s="103">
        <v>7.3129630218435023E-3</v>
      </c>
      <c r="Y482" s="162">
        <v>7</v>
      </c>
      <c r="Z482" s="56">
        <v>5.75</v>
      </c>
      <c r="AA482" s="56">
        <v>5.7</v>
      </c>
      <c r="AB482" s="56">
        <v>4.28</v>
      </c>
      <c r="AC482" s="56">
        <v>0.81089999999999995</v>
      </c>
      <c r="AD482" s="56">
        <v>3.95</v>
      </c>
      <c r="AE482" s="56">
        <v>3.23</v>
      </c>
      <c r="AF482" s="56">
        <f t="shared" si="168"/>
        <v>5.7</v>
      </c>
      <c r="AG482" s="57">
        <v>5.3</v>
      </c>
      <c r="AH482" s="103">
        <v>5.2799999999999996E-7</v>
      </c>
      <c r="AI482" s="103">
        <v>2.9400000000000001E-7</v>
      </c>
      <c r="AJ482" s="62">
        <f t="shared" si="169"/>
        <v>-4.6659324037788394</v>
      </c>
      <c r="AK482" s="62">
        <f>LOG10(AI482*1000/(0.08206*298.15))</f>
        <v>-4.9202189959004947</v>
      </c>
      <c r="AL482" s="62">
        <f t="shared" si="170"/>
        <v>-4.9202189959004947</v>
      </c>
      <c r="AM482" s="62">
        <v>-8.7748200000000001</v>
      </c>
      <c r="AN482" s="154">
        <v>-4.34</v>
      </c>
      <c r="AO482" s="410"/>
      <c r="AP482" s="410"/>
      <c r="AQ482" s="154" t="s">
        <v>6312</v>
      </c>
      <c r="AR482" s="154" t="s">
        <v>6312</v>
      </c>
      <c r="AS482" s="149" t="s">
        <v>6</v>
      </c>
      <c r="AT482" s="58" t="s">
        <v>266</v>
      </c>
      <c r="AU482" s="56">
        <v>8</v>
      </c>
      <c r="AV482" s="56">
        <v>144</v>
      </c>
      <c r="AW482" s="56">
        <v>120</v>
      </c>
      <c r="AX482" s="56">
        <v>26</v>
      </c>
      <c r="AY482" s="56" t="s">
        <v>267</v>
      </c>
      <c r="AZ482" s="56" t="s">
        <v>268</v>
      </c>
      <c r="BA482" s="56">
        <v>2</v>
      </c>
      <c r="BB482" s="55" t="s">
        <v>888</v>
      </c>
      <c r="BC482" s="55" t="s">
        <v>270</v>
      </c>
      <c r="BD482" s="55" t="s">
        <v>8374</v>
      </c>
      <c r="BE482" s="56" t="s">
        <v>889</v>
      </c>
      <c r="BF482" s="56" t="s">
        <v>272</v>
      </c>
      <c r="BG482" s="56" t="s">
        <v>272</v>
      </c>
      <c r="BH482" s="56" t="s">
        <v>890</v>
      </c>
      <c r="BI482" s="103">
        <v>9.9999999999999995E-7</v>
      </c>
      <c r="BJ482" s="103">
        <v>0.08</v>
      </c>
      <c r="BK482" s="56"/>
      <c r="BL482" s="103">
        <f t="shared" si="171"/>
        <v>3.5214781659360505E-4</v>
      </c>
      <c r="BM482" s="56" t="s">
        <v>891</v>
      </c>
      <c r="BN482" s="162"/>
      <c r="BO482" s="162"/>
      <c r="BP482" s="162"/>
      <c r="BQ482" s="162"/>
      <c r="BR482" s="162"/>
      <c r="BS482" s="56">
        <v>1.8727519857151401E-4</v>
      </c>
      <c r="BT482" s="162"/>
      <c r="BU482" s="158"/>
      <c r="BV482" s="162"/>
      <c r="BW482" s="162"/>
      <c r="BX482" s="162"/>
      <c r="BY482" s="162"/>
      <c r="BZ482" s="162"/>
      <c r="CA482" s="162"/>
      <c r="CB482" s="162"/>
      <c r="CC482" s="56"/>
      <c r="CD482" s="56"/>
      <c r="CE482" s="56"/>
      <c r="CF482" s="56"/>
      <c r="CG482" s="56"/>
      <c r="CH482" s="56"/>
      <c r="CI482" s="103">
        <f t="shared" si="163"/>
        <v>1.8727519857151401E-4</v>
      </c>
      <c r="CJ482" s="103">
        <f t="shared" si="164"/>
        <v>-3.7275197337658716</v>
      </c>
      <c r="CK482" s="57">
        <f t="shared" si="178"/>
        <v>4.401847707420063E-3</v>
      </c>
      <c r="CL482" s="160">
        <f t="shared" si="177"/>
        <v>1.8803761484686496</v>
      </c>
      <c r="CM482" s="160">
        <v>-2.7133947863995984</v>
      </c>
      <c r="CN482" s="160">
        <f t="shared" si="179"/>
        <v>41.350881624210615</v>
      </c>
      <c r="CO482" s="55" t="s">
        <v>892</v>
      </c>
      <c r="CP482" s="55" t="s">
        <v>893</v>
      </c>
      <c r="CQ482" s="149">
        <v>-2.6366286941465695</v>
      </c>
      <c r="CR482" s="349">
        <f t="shared" si="172"/>
        <v>8.1116454584385253E-2</v>
      </c>
      <c r="CS482" s="61" t="s">
        <v>539</v>
      </c>
      <c r="CT482" s="61"/>
      <c r="CU482" s="111">
        <f t="shared" si="173"/>
        <v>39.049287239446876</v>
      </c>
      <c r="CV482" s="331">
        <f t="shared" si="180"/>
        <v>9.1412037773043783E-2</v>
      </c>
      <c r="CW482" s="326">
        <f t="shared" si="165"/>
        <v>1</v>
      </c>
      <c r="CX482" s="326" t="s">
        <v>539</v>
      </c>
      <c r="CY482" s="161" t="s">
        <v>5921</v>
      </c>
    </row>
    <row r="483" spans="1:103" ht="11.25" customHeight="1" x14ac:dyDescent="0.2">
      <c r="A483" s="72">
        <v>481</v>
      </c>
      <c r="B483" s="149">
        <v>414</v>
      </c>
      <c r="C483" s="54" t="s">
        <v>1406</v>
      </c>
      <c r="D483" s="54" t="s">
        <v>6772</v>
      </c>
      <c r="E483" s="59"/>
      <c r="F483" s="59" t="s">
        <v>1407</v>
      </c>
      <c r="G483" s="151">
        <v>2312358</v>
      </c>
      <c r="H483" s="55" t="s">
        <v>1408</v>
      </c>
      <c r="I483" s="55" t="s">
        <v>7902</v>
      </c>
      <c r="J483" s="55" t="s">
        <v>1409</v>
      </c>
      <c r="K483" s="55" t="s">
        <v>426</v>
      </c>
      <c r="L483" s="55" t="s">
        <v>617</v>
      </c>
      <c r="M483" s="55" t="s">
        <v>1410</v>
      </c>
      <c r="N483" s="60" t="s">
        <v>6381</v>
      </c>
      <c r="O483" s="55" t="s">
        <v>918</v>
      </c>
      <c r="P483" s="67"/>
      <c r="Q483" s="67"/>
      <c r="R483" s="67"/>
      <c r="S483" s="67"/>
      <c r="T483" s="56">
        <v>350.47</v>
      </c>
      <c r="U483" s="103">
        <v>6.1346192256113213E-4</v>
      </c>
      <c r="V483" s="103">
        <v>9.4301937398350781E-4</v>
      </c>
      <c r="W483" s="103">
        <v>5.3703179637025304E-3</v>
      </c>
      <c r="X483" s="103">
        <v>6.1346192256113213E-4</v>
      </c>
      <c r="Y483" s="162">
        <v>7</v>
      </c>
      <c r="Z483" s="56">
        <v>5.57</v>
      </c>
      <c r="AA483" s="56">
        <v>5</v>
      </c>
      <c r="AB483" s="56">
        <v>4.05</v>
      </c>
      <c r="AC483" s="56">
        <v>0.67020000000000002</v>
      </c>
      <c r="AD483" s="56">
        <v>4.33</v>
      </c>
      <c r="AE483" s="56">
        <v>4.8099999999999996</v>
      </c>
      <c r="AF483" s="56">
        <f t="shared" si="168"/>
        <v>5</v>
      </c>
      <c r="AG483" s="57">
        <v>4.45</v>
      </c>
      <c r="AH483" s="103">
        <v>9.1699999999999994E-8</v>
      </c>
      <c r="AI483" s="103">
        <v>6.4000000000000001E-7</v>
      </c>
      <c r="AJ483" s="62">
        <f t="shared" si="169"/>
        <v>-5.4261969906426311</v>
      </c>
      <c r="AK483" s="62">
        <f>LOG10(AI483*1000/(0.08206*298.15))</f>
        <v>-4.5823863523287649</v>
      </c>
      <c r="AL483" s="62">
        <f t="shared" si="170"/>
        <v>-4.5823863523287649</v>
      </c>
      <c r="AM483" s="62">
        <v>-17.54712</v>
      </c>
      <c r="AN483" s="154">
        <v>-6.3E-2</v>
      </c>
      <c r="AO483" s="410"/>
      <c r="AP483" s="410"/>
      <c r="AQ483" s="154" t="s">
        <v>6311</v>
      </c>
      <c r="AR483" s="154" t="s">
        <v>6311</v>
      </c>
      <c r="AS483" s="149" t="s">
        <v>6</v>
      </c>
      <c r="AT483" s="58" t="s">
        <v>266</v>
      </c>
      <c r="AU483" s="56">
        <v>8</v>
      </c>
      <c r="AV483" s="56">
        <v>144</v>
      </c>
      <c r="AW483" s="56">
        <v>120</v>
      </c>
      <c r="AX483" s="56">
        <v>26</v>
      </c>
      <c r="AY483" s="56" t="s">
        <v>267</v>
      </c>
      <c r="AZ483" s="56" t="s">
        <v>268</v>
      </c>
      <c r="BA483" s="56">
        <v>3</v>
      </c>
      <c r="BB483" s="55" t="s">
        <v>888</v>
      </c>
      <c r="BC483" s="55" t="s">
        <v>270</v>
      </c>
      <c r="BD483" s="55" t="s">
        <v>8374</v>
      </c>
      <c r="BE483" s="56" t="s">
        <v>889</v>
      </c>
      <c r="BF483" s="56" t="s">
        <v>272</v>
      </c>
      <c r="BG483" s="56" t="s">
        <v>272</v>
      </c>
      <c r="BH483" s="56" t="s">
        <v>890</v>
      </c>
      <c r="BI483" s="103">
        <v>9.9999999999999995E-7</v>
      </c>
      <c r="BJ483" s="103">
        <v>0.08</v>
      </c>
      <c r="BK483" s="56"/>
      <c r="BL483" s="103">
        <f t="shared" si="171"/>
        <v>5.1095540785202418E-4</v>
      </c>
      <c r="BM483" s="56" t="s">
        <v>891</v>
      </c>
      <c r="BN483" s="162"/>
      <c r="BO483" s="162"/>
      <c r="BP483" s="162"/>
      <c r="BQ483" s="162"/>
      <c r="BR483" s="162"/>
      <c r="BS483" s="56">
        <v>1.8727519857151401E-4</v>
      </c>
      <c r="BT483" s="162"/>
      <c r="BU483" s="158"/>
      <c r="BV483" s="162"/>
      <c r="BW483" s="162"/>
      <c r="BX483" s="162"/>
      <c r="BY483" s="162"/>
      <c r="BZ483" s="162"/>
      <c r="CA483" s="162"/>
      <c r="CB483" s="162"/>
      <c r="CC483" s="56"/>
      <c r="CD483" s="56"/>
      <c r="CE483" s="56"/>
      <c r="CF483" s="56"/>
      <c r="CG483" s="56"/>
      <c r="CH483" s="56"/>
      <c r="CI483" s="103">
        <f t="shared" si="163"/>
        <v>1.8727519857151401E-4</v>
      </c>
      <c r="CJ483" s="103">
        <f t="shared" si="164"/>
        <v>-3.7275197337658716</v>
      </c>
      <c r="CK483" s="57">
        <f t="shared" si="178"/>
        <v>6.3869425981503023E-3</v>
      </c>
      <c r="CL483" s="160">
        <f t="shared" si="177"/>
        <v>2.728366659063548</v>
      </c>
      <c r="CM483" s="160">
        <v>-3.6876117660825884</v>
      </c>
      <c r="CN483" s="160">
        <f t="shared" si="179"/>
        <v>389.6742902652453</v>
      </c>
      <c r="CO483" s="55" t="s">
        <v>892</v>
      </c>
      <c r="CP483" s="55" t="s">
        <v>893</v>
      </c>
      <c r="CQ483" s="149">
        <v>-3.4247893272914851</v>
      </c>
      <c r="CR483" s="349">
        <f t="shared" si="172"/>
        <v>0.49804615718404938</v>
      </c>
      <c r="CS483" s="61" t="s">
        <v>539</v>
      </c>
      <c r="CT483" s="61"/>
      <c r="CU483" s="111">
        <f t="shared" si="173"/>
        <v>3.2757243203609363</v>
      </c>
      <c r="CV483" s="331">
        <f t="shared" si="180"/>
        <v>7.6682740320141518E-3</v>
      </c>
      <c r="CW483" s="326">
        <f t="shared" si="165"/>
        <v>1</v>
      </c>
      <c r="CX483" s="326" t="s">
        <v>539</v>
      </c>
      <c r="CY483" s="161" t="s">
        <v>6351</v>
      </c>
    </row>
    <row r="484" spans="1:103" ht="11.25" customHeight="1" x14ac:dyDescent="0.2">
      <c r="A484" s="72">
        <v>482</v>
      </c>
      <c r="B484" s="149">
        <v>423</v>
      </c>
      <c r="C484" s="54" t="s">
        <v>1423</v>
      </c>
      <c r="D484" s="54" t="s">
        <v>6590</v>
      </c>
      <c r="E484" s="59"/>
      <c r="F484" s="59" t="s">
        <v>1424</v>
      </c>
      <c r="G484" s="151">
        <v>175013180</v>
      </c>
      <c r="H484" s="55" t="s">
        <v>1425</v>
      </c>
      <c r="I484" s="55" t="s">
        <v>7895</v>
      </c>
      <c r="J484" s="55" t="s">
        <v>1426</v>
      </c>
      <c r="K484" s="55" t="s">
        <v>1427</v>
      </c>
      <c r="L484" s="55" t="s">
        <v>6090</v>
      </c>
      <c r="M484" s="55" t="s">
        <v>6082</v>
      </c>
      <c r="N484" s="60" t="s">
        <v>6082</v>
      </c>
      <c r="O484" s="55" t="s">
        <v>6083</v>
      </c>
      <c r="P484" s="67"/>
      <c r="Q484" s="67"/>
      <c r="R484" s="67"/>
      <c r="S484" s="67"/>
      <c r="T484" s="56">
        <v>387.82</v>
      </c>
      <c r="U484" s="103"/>
      <c r="V484" s="103">
        <v>3.6743850239801972E-3</v>
      </c>
      <c r="W484" s="103">
        <v>6.7608297539198158E-3</v>
      </c>
      <c r="X484" s="103">
        <f>IF(W484=0,V484,W484)</f>
        <v>6.7608297539198158E-3</v>
      </c>
      <c r="Y484" s="162">
        <v>7</v>
      </c>
      <c r="Z484" s="56">
        <v>5.45</v>
      </c>
      <c r="AA484" s="56">
        <v>3.99</v>
      </c>
      <c r="AB484" s="56">
        <v>3.95</v>
      </c>
      <c r="AC484" s="56">
        <v>0.61850000000000005</v>
      </c>
      <c r="AD484" s="56">
        <v>4.07</v>
      </c>
      <c r="AE484" s="56">
        <v>4.25</v>
      </c>
      <c r="AF484" s="56">
        <f t="shared" si="168"/>
        <v>3.99</v>
      </c>
      <c r="AG484" s="57">
        <v>4.0199999999999996</v>
      </c>
      <c r="AH484" s="103">
        <v>1.15E-15</v>
      </c>
      <c r="AI484" s="103"/>
      <c r="AJ484" s="62">
        <f t="shared" si="169"/>
        <v>-13.327868485959041</v>
      </c>
      <c r="AK484" s="62"/>
      <c r="AL484" s="62">
        <f t="shared" si="170"/>
        <v>-13.327868485959041</v>
      </c>
      <c r="AM484" s="62">
        <v>-18.93666</v>
      </c>
      <c r="AN484" s="154">
        <v>-9.9600000000000009</v>
      </c>
      <c r="AO484" s="410"/>
      <c r="AP484" s="410">
        <v>-0.23</v>
      </c>
      <c r="AQ484" s="154" t="s">
        <v>6311</v>
      </c>
      <c r="AR484" s="154" t="s">
        <v>6311</v>
      </c>
      <c r="AS484" s="149" t="s">
        <v>63</v>
      </c>
      <c r="AT484" s="58" t="s">
        <v>266</v>
      </c>
      <c r="AU484" s="56">
        <v>8</v>
      </c>
      <c r="AV484" s="56">
        <v>144</v>
      </c>
      <c r="AW484" s="56">
        <v>120</v>
      </c>
      <c r="AX484" s="56">
        <v>26</v>
      </c>
      <c r="AY484" s="56" t="s">
        <v>267</v>
      </c>
      <c r="AZ484" s="56" t="s">
        <v>268</v>
      </c>
      <c r="BA484" s="56">
        <v>2</v>
      </c>
      <c r="BB484" s="55" t="s">
        <v>888</v>
      </c>
      <c r="BC484" s="55" t="s">
        <v>270</v>
      </c>
      <c r="BD484" s="55" t="s">
        <v>8374</v>
      </c>
      <c r="BE484" s="56" t="s">
        <v>889</v>
      </c>
      <c r="BF484" s="56" t="s">
        <v>272</v>
      </c>
      <c r="BG484" s="56" t="s">
        <v>272</v>
      </c>
      <c r="BH484" s="56" t="s">
        <v>890</v>
      </c>
      <c r="BI484" s="103">
        <v>9.9999999999999995E-7</v>
      </c>
      <c r="BJ484" s="103">
        <v>0.08</v>
      </c>
      <c r="BK484" s="56"/>
      <c r="BL484" s="103">
        <f t="shared" si="171"/>
        <v>6.5486985586723091E-4</v>
      </c>
      <c r="BM484" s="56" t="s">
        <v>891</v>
      </c>
      <c r="BN484" s="162"/>
      <c r="BO484" s="162"/>
      <c r="BP484" s="162"/>
      <c r="BQ484" s="162"/>
      <c r="BR484" s="162"/>
      <c r="BS484" s="56">
        <v>1.8727519857151401E-4</v>
      </c>
      <c r="BT484" s="162"/>
      <c r="BU484" s="158"/>
      <c r="BV484" s="162"/>
      <c r="BW484" s="162"/>
      <c r="BX484" s="162"/>
      <c r="BY484" s="162"/>
      <c r="BZ484" s="162"/>
      <c r="CA484" s="162"/>
      <c r="CB484" s="162"/>
      <c r="CC484" s="56"/>
      <c r="CD484" s="56"/>
      <c r="CE484" s="56"/>
      <c r="CF484" s="56"/>
      <c r="CG484" s="56"/>
      <c r="CH484" s="56"/>
      <c r="CI484" s="103">
        <f t="shared" si="163"/>
        <v>1.8727519857151401E-4</v>
      </c>
      <c r="CJ484" s="103">
        <f t="shared" si="164"/>
        <v>-3.7275197337658716</v>
      </c>
      <c r="CK484" s="57">
        <f t="shared" si="178"/>
        <v>8.1858731983403855E-3</v>
      </c>
      <c r="CL484" s="160">
        <f t="shared" si="177"/>
        <v>3.4968317260502513</v>
      </c>
      <c r="CM484" s="160">
        <v>-4.7962385125256786</v>
      </c>
      <c r="CN484" s="160">
        <f t="shared" si="179"/>
        <v>5004.1290322580662</v>
      </c>
      <c r="CO484" s="55" t="s">
        <v>892</v>
      </c>
      <c r="CP484" s="55" t="s">
        <v>893</v>
      </c>
      <c r="CQ484" s="149">
        <v>-4.6639819316065694</v>
      </c>
      <c r="CR484" s="349">
        <f t="shared" si="172"/>
        <v>8.6389746145404054</v>
      </c>
      <c r="CS484" s="61" t="s">
        <v>539</v>
      </c>
      <c r="CT484" s="61"/>
      <c r="CU484" s="111">
        <f t="shared" si="173"/>
        <v>36.101041704879492</v>
      </c>
      <c r="CV484" s="331">
        <f t="shared" si="180"/>
        <v>8.4510371923997699E-2</v>
      </c>
      <c r="CW484" s="326">
        <f t="shared" si="165"/>
        <v>1</v>
      </c>
      <c r="CX484" s="326" t="s">
        <v>539</v>
      </c>
      <c r="CY484" s="161" t="s">
        <v>5921</v>
      </c>
    </row>
    <row r="485" spans="1:103" ht="11.25" customHeight="1" x14ac:dyDescent="0.2">
      <c r="A485" s="72">
        <v>483</v>
      </c>
      <c r="B485" s="149">
        <v>301</v>
      </c>
      <c r="C485" s="54" t="s">
        <v>6144</v>
      </c>
      <c r="D485" s="54" t="s">
        <v>6773</v>
      </c>
      <c r="E485" s="59"/>
      <c r="F485" s="59" t="s">
        <v>1185</v>
      </c>
      <c r="G485" s="151">
        <v>76879</v>
      </c>
      <c r="H485" s="55" t="s">
        <v>1186</v>
      </c>
      <c r="I485" s="55" t="s">
        <v>1186</v>
      </c>
      <c r="J485" s="55" t="s">
        <v>1187</v>
      </c>
      <c r="K485" s="55" t="s">
        <v>403</v>
      </c>
      <c r="L485" s="55" t="s">
        <v>5929</v>
      </c>
      <c r="M485" s="168" t="s">
        <v>6079</v>
      </c>
      <c r="N485" s="60" t="s">
        <v>6381</v>
      </c>
      <c r="O485" s="65" t="s">
        <v>6083</v>
      </c>
      <c r="P485" s="67"/>
      <c r="Q485" s="67"/>
      <c r="R485" s="67"/>
      <c r="S485" s="67"/>
      <c r="T485" s="56">
        <v>367.03</v>
      </c>
      <c r="U485" s="103">
        <v>1.0898291692777158E-3</v>
      </c>
      <c r="V485" s="103">
        <v>1.2862708770400241E-2</v>
      </c>
      <c r="W485" s="103">
        <v>2.3442288153199219E-2</v>
      </c>
      <c r="X485" s="103">
        <v>1.0898291692777158E-3</v>
      </c>
      <c r="Y485" s="162">
        <v>4.71</v>
      </c>
      <c r="Z485" s="56">
        <v>3.47</v>
      </c>
      <c r="AA485" s="56">
        <v>3.53</v>
      </c>
      <c r="AB485" s="56">
        <v>2.85</v>
      </c>
      <c r="AC485" s="56">
        <v>0.71630000000000005</v>
      </c>
      <c r="AD485" s="56">
        <v>3.09</v>
      </c>
      <c r="AE485" s="56">
        <v>3.53</v>
      </c>
      <c r="AF485" s="56">
        <f t="shared" si="168"/>
        <v>3.53</v>
      </c>
      <c r="AG485" s="57">
        <v>3.09</v>
      </c>
      <c r="AH485" s="103">
        <v>4.5900000000000001E-8</v>
      </c>
      <c r="AI485" s="103">
        <v>4.2599999999999998E-7</v>
      </c>
      <c r="AJ485" s="62">
        <f t="shared" si="169"/>
        <v>-5.7267536407753905</v>
      </c>
      <c r="AK485" s="62">
        <f>LOG10(AI485*1000/(0.08206*298.15))</f>
        <v>-4.7591567272099331</v>
      </c>
      <c r="AL485" s="62">
        <f t="shared" si="170"/>
        <v>-4.7591567272099331</v>
      </c>
      <c r="AM485" s="62">
        <v>-11.08738</v>
      </c>
      <c r="AN485" s="154">
        <v>-9.75</v>
      </c>
      <c r="AO485" s="410">
        <v>3.98</v>
      </c>
      <c r="AP485" s="410"/>
      <c r="AQ485" s="154" t="s">
        <v>6311</v>
      </c>
      <c r="AR485" s="154" t="s">
        <v>6311</v>
      </c>
      <c r="AS485" s="149" t="s">
        <v>6</v>
      </c>
      <c r="AT485" s="58" t="s">
        <v>266</v>
      </c>
      <c r="AU485" s="56">
        <v>8</v>
      </c>
      <c r="AV485" s="56">
        <v>144</v>
      </c>
      <c r="AW485" s="56">
        <v>120</v>
      </c>
      <c r="AX485" s="56">
        <v>26</v>
      </c>
      <c r="AY485" s="56" t="s">
        <v>267</v>
      </c>
      <c r="AZ485" s="56" t="s">
        <v>268</v>
      </c>
      <c r="BA485" s="56">
        <v>2</v>
      </c>
      <c r="BB485" s="55" t="s">
        <v>888</v>
      </c>
      <c r="BC485" s="55" t="s">
        <v>270</v>
      </c>
      <c r="BD485" s="55" t="s">
        <v>8374</v>
      </c>
      <c r="BE485" s="56" t="s">
        <v>889</v>
      </c>
      <c r="BF485" s="56" t="s">
        <v>272</v>
      </c>
      <c r="BG485" s="56" t="s">
        <v>272</v>
      </c>
      <c r="BH485" s="56" t="s">
        <v>890</v>
      </c>
      <c r="BI485" s="103">
        <v>9.9999999999999995E-7</v>
      </c>
      <c r="BJ485" s="103">
        <v>0.08</v>
      </c>
      <c r="BK485" s="56"/>
      <c r="BL485" s="103">
        <f t="shared" si="171"/>
        <v>3.9300040687265454E-2</v>
      </c>
      <c r="BM485" s="56" t="s">
        <v>891</v>
      </c>
      <c r="BN485" s="162"/>
      <c r="BO485" s="162"/>
      <c r="BP485" s="162"/>
      <c r="BQ485" s="162"/>
      <c r="BR485" s="162"/>
      <c r="BS485" s="56">
        <v>1.8727519857151401E-4</v>
      </c>
      <c r="BT485" s="162"/>
      <c r="BU485" s="158"/>
      <c r="BV485" s="162"/>
      <c r="BW485" s="162"/>
      <c r="BX485" s="162"/>
      <c r="BY485" s="162"/>
      <c r="BZ485" s="162"/>
      <c r="CA485" s="162"/>
      <c r="CB485" s="162"/>
      <c r="CC485" s="56"/>
      <c r="CD485" s="56"/>
      <c r="CE485" s="56"/>
      <c r="CF485" s="56"/>
      <c r="CG485" s="56"/>
      <c r="CH485" s="56"/>
      <c r="CI485" s="103">
        <f t="shared" si="163"/>
        <v>1.8727519857151401E-4</v>
      </c>
      <c r="CJ485" s="103">
        <f t="shared" si="164"/>
        <v>-3.7275197337658716</v>
      </c>
      <c r="CK485" s="57">
        <f t="shared" si="178"/>
        <v>0.49125050859081815</v>
      </c>
      <c r="CL485" s="160">
        <f t="shared" si="177"/>
        <v>209.85181693590948</v>
      </c>
      <c r="CM485" s="160">
        <v>-4.3380742496748841</v>
      </c>
      <c r="CN485" s="160">
        <f t="shared" si="179"/>
        <v>1742.4656951473617</v>
      </c>
      <c r="CO485" s="55" t="s">
        <v>892</v>
      </c>
      <c r="CP485" s="55" t="s">
        <v>893</v>
      </c>
      <c r="CQ485" s="149">
        <v>-4.2064875607472203</v>
      </c>
      <c r="CR485" s="349">
        <f t="shared" si="172"/>
        <v>3.0127828256134439</v>
      </c>
      <c r="CS485" s="61" t="s">
        <v>539</v>
      </c>
      <c r="CT485" s="61"/>
      <c r="CU485" s="111">
        <f t="shared" si="173"/>
        <v>5.819399352346954</v>
      </c>
      <c r="CV485" s="331">
        <f t="shared" si="180"/>
        <v>1.3622864615971448E-2</v>
      </c>
      <c r="CW485" s="326">
        <f t="shared" si="165"/>
        <v>1</v>
      </c>
      <c r="CX485" s="326" t="s">
        <v>539</v>
      </c>
      <c r="CY485" s="161" t="s">
        <v>5921</v>
      </c>
    </row>
    <row r="486" spans="1:103" ht="11.25" customHeight="1" x14ac:dyDescent="0.2">
      <c r="A486" s="72">
        <v>484</v>
      </c>
      <c r="B486" s="149">
        <v>424</v>
      </c>
      <c r="C486" s="54" t="s">
        <v>1428</v>
      </c>
      <c r="D486" s="54" t="s">
        <v>6774</v>
      </c>
      <c r="E486" s="59"/>
      <c r="F486" s="59" t="s">
        <v>1429</v>
      </c>
      <c r="G486" s="151">
        <v>129630199</v>
      </c>
      <c r="H486" s="55" t="s">
        <v>1430</v>
      </c>
      <c r="I486" s="55" t="s">
        <v>7903</v>
      </c>
      <c r="J486" s="55" t="s">
        <v>1431</v>
      </c>
      <c r="K486" s="55" t="s">
        <v>341</v>
      </c>
      <c r="L486" s="55" t="s">
        <v>6010</v>
      </c>
      <c r="M486" s="60" t="s">
        <v>2342</v>
      </c>
      <c r="N486" s="60" t="s">
        <v>2342</v>
      </c>
      <c r="O486" s="55"/>
      <c r="P486" s="67"/>
      <c r="Q486" s="67"/>
      <c r="R486" s="67"/>
      <c r="S486" s="67"/>
      <c r="T486" s="56">
        <v>413.18</v>
      </c>
      <c r="U486" s="103">
        <v>2.4202526743792052E-3</v>
      </c>
      <c r="V486" s="103">
        <v>6.4209303451280312E-3</v>
      </c>
      <c r="W486" s="103">
        <v>5.6234132519034832E-3</v>
      </c>
      <c r="X486" s="103">
        <v>2.4202526743792052E-3</v>
      </c>
      <c r="Y486" s="162">
        <v>7</v>
      </c>
      <c r="Z486" s="56">
        <v>4.87</v>
      </c>
      <c r="AA486" s="56">
        <v>3.49</v>
      </c>
      <c r="AB486" s="56">
        <v>3.89</v>
      </c>
      <c r="AC486" s="56">
        <v>0.6179</v>
      </c>
      <c r="AD486" s="56">
        <v>3.68</v>
      </c>
      <c r="AE486" s="56">
        <v>3.33</v>
      </c>
      <c r="AF486" s="56">
        <f t="shared" si="168"/>
        <v>3.49</v>
      </c>
      <c r="AG486" s="57">
        <v>4.82</v>
      </c>
      <c r="AH486" s="103">
        <v>1.2E-9</v>
      </c>
      <c r="AI486" s="103"/>
      <c r="AJ486" s="62">
        <f t="shared" si="169"/>
        <v>-7.3093850802650273</v>
      </c>
      <c r="AK486" s="62"/>
      <c r="AL486" s="62">
        <f t="shared" si="170"/>
        <v>-7.3093850802650273</v>
      </c>
      <c r="AM486" s="62">
        <v>-13.619489999999999</v>
      </c>
      <c r="AN486" s="154">
        <v>-2.14</v>
      </c>
      <c r="AO486" s="410"/>
      <c r="AP486" s="410">
        <v>-2.79</v>
      </c>
      <c r="AQ486" s="154" t="s">
        <v>6311</v>
      </c>
      <c r="AR486" s="154" t="s">
        <v>6314</v>
      </c>
      <c r="AS486" s="149" t="s">
        <v>63</v>
      </c>
      <c r="AT486" s="58" t="s">
        <v>266</v>
      </c>
      <c r="AU486" s="56">
        <v>8</v>
      </c>
      <c r="AV486" s="56">
        <v>144</v>
      </c>
      <c r="AW486" s="56">
        <v>120</v>
      </c>
      <c r="AX486" s="56">
        <v>26</v>
      </c>
      <c r="AY486" s="56" t="s">
        <v>267</v>
      </c>
      <c r="AZ486" s="56" t="s">
        <v>268</v>
      </c>
      <c r="BA486" s="56">
        <v>2</v>
      </c>
      <c r="BB486" s="55" t="s">
        <v>888</v>
      </c>
      <c r="BC486" s="55" t="s">
        <v>270</v>
      </c>
      <c r="BD486" s="55" t="s">
        <v>8374</v>
      </c>
      <c r="BE486" s="56" t="s">
        <v>889</v>
      </c>
      <c r="BF486" s="56" t="s">
        <v>272</v>
      </c>
      <c r="BG486" s="56" t="s">
        <v>272</v>
      </c>
      <c r="BH486" s="56" t="s">
        <v>890</v>
      </c>
      <c r="BI486" s="103">
        <v>9.9999999999999995E-7</v>
      </c>
      <c r="BJ486" s="103">
        <v>0.08</v>
      </c>
      <c r="BK486" s="56"/>
      <c r="BL486" s="103">
        <f t="shared" si="171"/>
        <v>2.1729663449987923E-3</v>
      </c>
      <c r="BM486" s="56" t="s">
        <v>891</v>
      </c>
      <c r="BN486" s="162"/>
      <c r="BO486" s="162"/>
      <c r="BP486" s="162"/>
      <c r="BQ486" s="162"/>
      <c r="BR486" s="162"/>
      <c r="BS486" s="56">
        <v>1.8727519857151401E-4</v>
      </c>
      <c r="BT486" s="162"/>
      <c r="BU486" s="158"/>
      <c r="BV486" s="162"/>
      <c r="BW486" s="162"/>
      <c r="BX486" s="162"/>
      <c r="BY486" s="162"/>
      <c r="BZ486" s="162"/>
      <c r="CA486" s="162"/>
      <c r="CB486" s="162"/>
      <c r="CC486" s="56"/>
      <c r="CD486" s="56"/>
      <c r="CE486" s="56"/>
      <c r="CF486" s="56"/>
      <c r="CG486" s="56"/>
      <c r="CH486" s="56"/>
      <c r="CI486" s="103">
        <f t="shared" si="163"/>
        <v>1.8727519857151401E-4</v>
      </c>
      <c r="CJ486" s="103">
        <f t="shared" si="164"/>
        <v>-3.7275197337658716</v>
      </c>
      <c r="CK486" s="57">
        <f t="shared" si="178"/>
        <v>2.7162079312484901E-2</v>
      </c>
      <c r="CL486" s="160">
        <f t="shared" si="177"/>
        <v>11.603065230065745</v>
      </c>
      <c r="CM486" s="160">
        <v>-2.4120193086528023</v>
      </c>
      <c r="CN486" s="160">
        <f t="shared" si="179"/>
        <v>20.659000000000006</v>
      </c>
      <c r="CO486" s="55" t="s">
        <v>892</v>
      </c>
      <c r="CP486" s="55" t="s">
        <v>893</v>
      </c>
      <c r="CQ486" s="149">
        <v>-2.2548223300418213</v>
      </c>
      <c r="CR486" s="349">
        <f t="shared" si="172"/>
        <v>3.367461167492463E-2</v>
      </c>
      <c r="CS486" s="61" t="s">
        <v>539</v>
      </c>
      <c r="CT486" s="61"/>
      <c r="CU486" s="111">
        <f t="shared" si="173"/>
        <v>12.923508787283401</v>
      </c>
      <c r="CV486" s="331">
        <f t="shared" si="180"/>
        <v>3.0253158429740065E-2</v>
      </c>
      <c r="CW486" s="326">
        <f t="shared" si="165"/>
        <v>1</v>
      </c>
      <c r="CX486" s="326" t="s">
        <v>539</v>
      </c>
      <c r="CY486" s="161" t="s">
        <v>5921</v>
      </c>
    </row>
    <row r="487" spans="1:103" ht="11.25" customHeight="1" x14ac:dyDescent="0.2">
      <c r="A487" s="72">
        <v>485</v>
      </c>
      <c r="B487" s="149">
        <v>314</v>
      </c>
      <c r="C487" s="54" t="s">
        <v>1227</v>
      </c>
      <c r="D487" s="54" t="s">
        <v>6592</v>
      </c>
      <c r="E487" s="59"/>
      <c r="F487" s="59" t="s">
        <v>1228</v>
      </c>
      <c r="G487" s="151">
        <v>361377299</v>
      </c>
      <c r="H487" s="55" t="s">
        <v>1229</v>
      </c>
      <c r="I487" s="55" t="s">
        <v>7904</v>
      </c>
      <c r="J487" s="55" t="s">
        <v>1230</v>
      </c>
      <c r="K487" s="55" t="s">
        <v>300</v>
      </c>
      <c r="L487" s="55" t="s">
        <v>5989</v>
      </c>
      <c r="M487" s="55" t="s">
        <v>6082</v>
      </c>
      <c r="N487" s="60" t="s">
        <v>6082</v>
      </c>
      <c r="O487" s="55" t="s">
        <v>6083</v>
      </c>
      <c r="P487" s="67"/>
      <c r="Q487" s="67"/>
      <c r="R487" s="67"/>
      <c r="S487" s="67"/>
      <c r="T487" s="56">
        <v>458.83</v>
      </c>
      <c r="U487" s="103"/>
      <c r="V487" s="103">
        <v>5.54453719242421E-2</v>
      </c>
      <c r="W487" s="103">
        <v>5.7543993733715545E-4</v>
      </c>
      <c r="X487" s="103">
        <f>IF(W487=0,V487,W487)</f>
        <v>5.7543993733715545E-4</v>
      </c>
      <c r="Y487" s="162">
        <v>7</v>
      </c>
      <c r="Z487" s="56">
        <v>2</v>
      </c>
      <c r="AA487" s="56"/>
      <c r="AB487" s="56">
        <v>3.78</v>
      </c>
      <c r="AC487" s="56">
        <v>0.67889999999999995</v>
      </c>
      <c r="AD487" s="56">
        <v>4.28</v>
      </c>
      <c r="AE487" s="56">
        <v>5.34</v>
      </c>
      <c r="AF487" s="56">
        <f t="shared" si="168"/>
        <v>4.28</v>
      </c>
      <c r="AG487" s="57">
        <v>5.04</v>
      </c>
      <c r="AH487" s="103">
        <v>2.8100000000000001E-13</v>
      </c>
      <c r="AI487" s="103"/>
      <c r="AJ487" s="62">
        <f t="shared" si="169"/>
        <v>-10.939860006407573</v>
      </c>
      <c r="AK487" s="62"/>
      <c r="AL487" s="62">
        <f t="shared" si="170"/>
        <v>-10.939860006407573</v>
      </c>
      <c r="AM487" s="62">
        <v>-19.734660000000002</v>
      </c>
      <c r="AN487" s="154">
        <v>-0.622</v>
      </c>
      <c r="AO487" s="410"/>
      <c r="AP487" s="410">
        <v>-2.1</v>
      </c>
      <c r="AQ487" s="154" t="s">
        <v>6311</v>
      </c>
      <c r="AR487" s="154" t="s">
        <v>6311</v>
      </c>
      <c r="AS487" s="149" t="s">
        <v>63</v>
      </c>
      <c r="AT487" s="58" t="s">
        <v>266</v>
      </c>
      <c r="AU487" s="56">
        <v>8</v>
      </c>
      <c r="AV487" s="56">
        <v>144</v>
      </c>
      <c r="AW487" s="56">
        <v>120</v>
      </c>
      <c r="AX487" s="56">
        <v>26</v>
      </c>
      <c r="AY487" s="56" t="s">
        <v>267</v>
      </c>
      <c r="AZ487" s="56" t="s">
        <v>268</v>
      </c>
      <c r="BA487" s="56">
        <v>2</v>
      </c>
      <c r="BB487" s="55" t="s">
        <v>888</v>
      </c>
      <c r="BC487" s="55" t="s">
        <v>270</v>
      </c>
      <c r="BD487" s="55" t="s">
        <v>8374</v>
      </c>
      <c r="BE487" s="56" t="s">
        <v>889</v>
      </c>
      <c r="BF487" s="56" t="s">
        <v>272</v>
      </c>
      <c r="BG487" s="56" t="s">
        <v>272</v>
      </c>
      <c r="BH487" s="56" t="s">
        <v>890</v>
      </c>
      <c r="BI487" s="103">
        <v>9.9999999999999995E-7</v>
      </c>
      <c r="BJ487" s="103">
        <v>0.08</v>
      </c>
      <c r="BK487" s="56"/>
      <c r="BL487" s="103">
        <f t="shared" si="171"/>
        <v>0.82148568512832731</v>
      </c>
      <c r="BM487" s="56" t="s">
        <v>891</v>
      </c>
      <c r="BN487" s="162"/>
      <c r="BO487" s="162"/>
      <c r="BP487" s="162"/>
      <c r="BQ487" s="162"/>
      <c r="BR487" s="162"/>
      <c r="BS487" s="56">
        <v>1.8727519857151401E-4</v>
      </c>
      <c r="BT487" s="162"/>
      <c r="BU487" s="158"/>
      <c r="BV487" s="162"/>
      <c r="BW487" s="162"/>
      <c r="BX487" s="162"/>
      <c r="BY487" s="162"/>
      <c r="BZ487" s="162"/>
      <c r="CA487" s="162"/>
      <c r="CB487" s="162"/>
      <c r="CC487" s="56"/>
      <c r="CD487" s="56"/>
      <c r="CE487" s="56"/>
      <c r="CF487" s="56"/>
      <c r="CG487" s="56"/>
      <c r="CH487" s="56"/>
      <c r="CI487" s="103">
        <f t="shared" si="163"/>
        <v>1.8727519857151401E-4</v>
      </c>
      <c r="CJ487" s="103">
        <f t="shared" si="164"/>
        <v>-3.7275197337658716</v>
      </c>
      <c r="CK487" s="57">
        <f t="shared" si="178"/>
        <v>10.268571064104091</v>
      </c>
      <c r="CL487" s="160">
        <f t="shared" si="177"/>
        <v>4386.5161612130396</v>
      </c>
      <c r="CM487" s="160">
        <v>-3.0231625489801535</v>
      </c>
      <c r="CN487" s="160">
        <f t="shared" si="179"/>
        <v>84.382528735632292</v>
      </c>
      <c r="CO487" s="55" t="s">
        <v>892</v>
      </c>
      <c r="CP487" s="55" t="s">
        <v>893</v>
      </c>
      <c r="CQ487" s="149">
        <v>-2.8490213103243494</v>
      </c>
      <c r="CR487" s="349">
        <f t="shared" si="172"/>
        <v>0.1322822510058646</v>
      </c>
      <c r="CS487" s="61" t="s">
        <v>539</v>
      </c>
      <c r="CT487" s="61"/>
      <c r="CU487" s="111">
        <f t="shared" si="173"/>
        <v>3.0726969813753238</v>
      </c>
      <c r="CV487" s="331">
        <f t="shared" si="180"/>
        <v>7.1929992167144427E-3</v>
      </c>
      <c r="CW487" s="326">
        <f t="shared" si="165"/>
        <v>1</v>
      </c>
      <c r="CX487" s="326" t="s">
        <v>539</v>
      </c>
      <c r="CY487" s="161" t="s">
        <v>5921</v>
      </c>
    </row>
    <row r="488" spans="1:103" ht="11.25" customHeight="1" x14ac:dyDescent="0.2">
      <c r="A488" s="72">
        <v>486</v>
      </c>
      <c r="B488" s="149">
        <v>627</v>
      </c>
      <c r="C488" s="54" t="s">
        <v>1874</v>
      </c>
      <c r="D488" s="54" t="s">
        <v>6770</v>
      </c>
      <c r="E488" s="59"/>
      <c r="F488" s="59" t="s">
        <v>1875</v>
      </c>
      <c r="G488" s="151">
        <v>83794</v>
      </c>
      <c r="H488" s="55" t="s">
        <v>1876</v>
      </c>
      <c r="I488" s="55" t="s">
        <v>1876</v>
      </c>
      <c r="J488" s="55" t="s">
        <v>1877</v>
      </c>
      <c r="K488" s="55" t="s">
        <v>1878</v>
      </c>
      <c r="L488" s="55" t="s">
        <v>617</v>
      </c>
      <c r="M488" s="55" t="s">
        <v>6099</v>
      </c>
      <c r="N488" s="60" t="s">
        <v>6381</v>
      </c>
      <c r="O488" s="55" t="s">
        <v>6100</v>
      </c>
      <c r="P488" s="67"/>
      <c r="Q488" s="67" t="s">
        <v>6176</v>
      </c>
      <c r="R488" s="67" t="s">
        <v>6185</v>
      </c>
      <c r="S488" s="67" t="s">
        <v>6176</v>
      </c>
      <c r="T488" s="56">
        <v>394.42</v>
      </c>
      <c r="U488" s="103">
        <v>5.0707367780538509E-4</v>
      </c>
      <c r="V488" s="103">
        <v>2.6494599665331368E-3</v>
      </c>
      <c r="W488" s="103">
        <v>6.9183097091893536E-4</v>
      </c>
      <c r="X488" s="103">
        <v>5.0707367780538509E-4</v>
      </c>
      <c r="Y488" s="162">
        <v>7</v>
      </c>
      <c r="Z488" s="56">
        <v>4.3099999999999996</v>
      </c>
      <c r="AA488" s="56">
        <v>4.0999999999999996</v>
      </c>
      <c r="AB488" s="56">
        <v>3.96</v>
      </c>
      <c r="AC488" s="56">
        <v>0.64770000000000005</v>
      </c>
      <c r="AD488" s="56">
        <v>4.24</v>
      </c>
      <c r="AE488" s="56">
        <v>4.6500000000000004</v>
      </c>
      <c r="AF488" s="56">
        <f t="shared" si="168"/>
        <v>4.0999999999999996</v>
      </c>
      <c r="AG488" s="57">
        <v>3.51</v>
      </c>
      <c r="AH488" s="103">
        <v>1.12E-13</v>
      </c>
      <c r="AI488" s="103"/>
      <c r="AJ488" s="62">
        <f t="shared" si="169"/>
        <v>-11.33934830364247</v>
      </c>
      <c r="AK488" s="62"/>
      <c r="AL488" s="62">
        <f t="shared" si="170"/>
        <v>-11.33934830364247</v>
      </c>
      <c r="AM488" s="62">
        <v>-18.712900000000001</v>
      </c>
      <c r="AN488" s="154">
        <v>-13</v>
      </c>
      <c r="AO488" s="410"/>
      <c r="AP488" s="410"/>
      <c r="AQ488" s="154" t="s">
        <v>6311</v>
      </c>
      <c r="AR488" s="154" t="s">
        <v>6311</v>
      </c>
      <c r="AS488" s="149" t="s">
        <v>6</v>
      </c>
      <c r="AT488" s="58" t="s">
        <v>266</v>
      </c>
      <c r="AU488" s="56">
        <v>2</v>
      </c>
      <c r="AV488" s="56" t="s">
        <v>646</v>
      </c>
      <c r="AW488" s="56" t="s">
        <v>646</v>
      </c>
      <c r="AX488" s="56">
        <v>26</v>
      </c>
      <c r="AY488" s="56" t="s">
        <v>647</v>
      </c>
      <c r="AZ488" s="56" t="s">
        <v>536</v>
      </c>
      <c r="BA488" s="56">
        <v>10</v>
      </c>
      <c r="BB488" s="55" t="s">
        <v>1764</v>
      </c>
      <c r="BC488" s="55" t="s">
        <v>538</v>
      </c>
      <c r="BD488" s="55"/>
      <c r="BE488" s="56" t="s">
        <v>1809</v>
      </c>
      <c r="BF488" s="56" t="s">
        <v>539</v>
      </c>
      <c r="BG488" s="56" t="s">
        <v>272</v>
      </c>
      <c r="BH488" s="56" t="s">
        <v>272</v>
      </c>
      <c r="BI488" s="157">
        <v>3.9804274522728999E-5</v>
      </c>
      <c r="BJ488" s="157">
        <v>1.267652054863981E-3</v>
      </c>
      <c r="BK488" s="56" t="s">
        <v>1810</v>
      </c>
      <c r="BL488" s="103">
        <f t="shared" si="171"/>
        <v>6.9181344814436396E-3</v>
      </c>
      <c r="BM488" s="56" t="s">
        <v>541</v>
      </c>
      <c r="BN488" s="56"/>
      <c r="BO488" s="56">
        <v>1.926831123393251E-4</v>
      </c>
      <c r="BP488" s="56"/>
      <c r="BQ488" s="56"/>
      <c r="BR488" s="56">
        <v>1.7000000000000001E-4</v>
      </c>
      <c r="BS488" s="56"/>
      <c r="BT488" s="56"/>
      <c r="BU488" s="158"/>
      <c r="BV488" s="56"/>
      <c r="BW488" s="56"/>
      <c r="BX488" s="56"/>
      <c r="BY488" s="56"/>
      <c r="BZ488" s="56"/>
      <c r="CA488" s="56"/>
      <c r="CB488" s="56"/>
      <c r="CC488" s="56"/>
      <c r="CD488" s="56"/>
      <c r="CE488" s="56"/>
      <c r="CF488" s="56"/>
      <c r="CG488" s="56"/>
      <c r="CH488" s="56"/>
      <c r="CI488" s="103">
        <f t="shared" si="163"/>
        <v>1.7000000000000001E-4</v>
      </c>
      <c r="CJ488" s="103">
        <f t="shared" si="164"/>
        <v>-3.7695510786217259</v>
      </c>
      <c r="CK488" s="57">
        <f t="shared" si="178"/>
        <v>5.4574395670316296</v>
      </c>
      <c r="CL488" s="160">
        <f t="shared" si="177"/>
        <v>40.69490871437435</v>
      </c>
      <c r="CM488" s="160">
        <v>-4.6043685997444435</v>
      </c>
      <c r="CN488" s="160">
        <f t="shared" si="179"/>
        <v>50.976341611172039</v>
      </c>
      <c r="CO488" s="55"/>
      <c r="CP488" s="55" t="s">
        <v>1811</v>
      </c>
      <c r="CQ488" s="149">
        <v>-4.2059349606899765</v>
      </c>
      <c r="CR488" s="349">
        <f t="shared" si="172"/>
        <v>2.7313910503395729</v>
      </c>
      <c r="CS488" s="61" t="s">
        <v>539</v>
      </c>
      <c r="CT488" s="61" t="s">
        <v>6310</v>
      </c>
      <c r="CU488" s="111">
        <f t="shared" si="173"/>
        <v>2.982786340031677</v>
      </c>
      <c r="CV488" s="331">
        <f t="shared" si="180"/>
        <v>0.40001014147355607</v>
      </c>
      <c r="CW488" s="326">
        <f t="shared" si="165"/>
        <v>1</v>
      </c>
      <c r="CX488" s="326" t="s">
        <v>539</v>
      </c>
      <c r="CY488" s="161" t="s">
        <v>5921</v>
      </c>
    </row>
    <row r="489" spans="1:103" ht="11.25" customHeight="1" x14ac:dyDescent="0.2">
      <c r="A489" s="72">
        <v>487</v>
      </c>
      <c r="B489" s="149">
        <v>624</v>
      </c>
      <c r="C489" s="54" t="s">
        <v>6775</v>
      </c>
      <c r="D489" s="54" t="s">
        <v>6776</v>
      </c>
      <c r="E489" s="59"/>
      <c r="F489" s="59" t="s">
        <v>1863</v>
      </c>
      <c r="G489" s="151">
        <v>70304</v>
      </c>
      <c r="H489" s="55" t="s">
        <v>1864</v>
      </c>
      <c r="I489" s="55" t="s">
        <v>7905</v>
      </c>
      <c r="J489" s="55" t="s">
        <v>1865</v>
      </c>
      <c r="K489" s="55" t="s">
        <v>376</v>
      </c>
      <c r="L489" s="64" t="s">
        <v>279</v>
      </c>
      <c r="M489" s="55" t="s">
        <v>497</v>
      </c>
      <c r="N489" s="60" t="s">
        <v>6381</v>
      </c>
      <c r="O489" s="55" t="s">
        <v>281</v>
      </c>
      <c r="P489" s="67"/>
      <c r="Q489" s="67" t="s">
        <v>6173</v>
      </c>
      <c r="R489" s="67" t="s">
        <v>6185</v>
      </c>
      <c r="S489" s="67" t="s">
        <v>6176</v>
      </c>
      <c r="T489" s="56">
        <v>406.9</v>
      </c>
      <c r="U489" s="103">
        <v>0.34406488080609487</v>
      </c>
      <c r="V489" s="103">
        <v>9.4298353403784719E-6</v>
      </c>
      <c r="W489" s="103">
        <v>2.2387211385683345E-4</v>
      </c>
      <c r="X489" s="103">
        <v>0.34406488080609487</v>
      </c>
      <c r="Y489" s="162">
        <v>6.66</v>
      </c>
      <c r="Z489" s="56">
        <v>6.92</v>
      </c>
      <c r="AA489" s="56">
        <v>7.54</v>
      </c>
      <c r="AB489" s="56">
        <v>7.28</v>
      </c>
      <c r="AC489" s="56">
        <v>0.80659999999999998</v>
      </c>
      <c r="AD489" s="56">
        <v>7.25</v>
      </c>
      <c r="AE489" s="56">
        <v>7.2</v>
      </c>
      <c r="AF489" s="56">
        <f t="shared" si="168"/>
        <v>7.54</v>
      </c>
      <c r="AG489" s="57">
        <v>7.05</v>
      </c>
      <c r="AH489" s="103">
        <v>8.5999999999999997E-13</v>
      </c>
      <c r="AI489" s="103"/>
      <c r="AJ489" s="62">
        <f t="shared" si="169"/>
        <v>-10.454067875069084</v>
      </c>
      <c r="AK489" s="62"/>
      <c r="AL489" s="62">
        <f t="shared" si="170"/>
        <v>-10.454067875069084</v>
      </c>
      <c r="AM489" s="62">
        <v>-14.64447</v>
      </c>
      <c r="AN489" s="154">
        <v>-7.01</v>
      </c>
      <c r="AO489" s="410">
        <v>6.49</v>
      </c>
      <c r="AP489" s="410"/>
      <c r="AQ489" s="154" t="s">
        <v>6311</v>
      </c>
      <c r="AR489" s="154" t="s">
        <v>6311</v>
      </c>
      <c r="AS489" s="149" t="s">
        <v>6</v>
      </c>
      <c r="AT489" s="58" t="s">
        <v>266</v>
      </c>
      <c r="AU489" s="56">
        <v>2</v>
      </c>
      <c r="AV489" s="56" t="s">
        <v>646</v>
      </c>
      <c r="AW489" s="56" t="s">
        <v>646</v>
      </c>
      <c r="AX489" s="56">
        <v>26</v>
      </c>
      <c r="AY489" s="56" t="s">
        <v>647</v>
      </c>
      <c r="AZ489" s="56" t="s">
        <v>536</v>
      </c>
      <c r="BA489" s="56">
        <v>10</v>
      </c>
      <c r="BB489" s="55" t="s">
        <v>1764</v>
      </c>
      <c r="BC489" s="55" t="s">
        <v>538</v>
      </c>
      <c r="BD489" s="55"/>
      <c r="BE489" s="56" t="s">
        <v>1809</v>
      </c>
      <c r="BF489" s="56" t="s">
        <v>539</v>
      </c>
      <c r="BG489" s="56" t="s">
        <v>272</v>
      </c>
      <c r="BH489" s="56" t="s">
        <v>272</v>
      </c>
      <c r="BI489" s="157">
        <v>3.0719323683369789E-5</v>
      </c>
      <c r="BJ489" s="157">
        <v>1.2287729473347915E-3</v>
      </c>
      <c r="BK489" s="56" t="s">
        <v>1866</v>
      </c>
      <c r="BL489" s="103">
        <f t="shared" si="171"/>
        <v>3.1329105846105539E-5</v>
      </c>
      <c r="BM489" s="56" t="s">
        <v>541</v>
      </c>
      <c r="BN489" s="56"/>
      <c r="BO489" s="56">
        <v>1.9414612567889705E-4</v>
      </c>
      <c r="BP489" s="56"/>
      <c r="BQ489" s="56"/>
      <c r="BR489" s="56">
        <v>1.7000000000000001E-4</v>
      </c>
      <c r="BS489" s="56"/>
      <c r="BT489" s="56"/>
      <c r="BU489" s="158"/>
      <c r="BV489" s="56"/>
      <c r="BW489" s="56"/>
      <c r="BX489" s="56"/>
      <c r="BY489" s="56"/>
      <c r="BZ489" s="56"/>
      <c r="CA489" s="56"/>
      <c r="CB489" s="56"/>
      <c r="CC489" s="56"/>
      <c r="CD489" s="56"/>
      <c r="CE489" s="56"/>
      <c r="CF489" s="56"/>
      <c r="CG489" s="56"/>
      <c r="CH489" s="56"/>
      <c r="CI489" s="103">
        <f t="shared" si="163"/>
        <v>1.7000000000000001E-4</v>
      </c>
      <c r="CJ489" s="103">
        <f t="shared" si="164"/>
        <v>-3.7695510786217259</v>
      </c>
      <c r="CK489" s="57">
        <f t="shared" si="178"/>
        <v>2.5496252919677609E-2</v>
      </c>
      <c r="CL489" s="160">
        <f t="shared" si="177"/>
        <v>0.18428885791826788</v>
      </c>
      <c r="CM489" s="160"/>
      <c r="CN489" s="160"/>
      <c r="CO489" s="55"/>
      <c r="CP489" s="55" t="s">
        <v>1811</v>
      </c>
      <c r="CQ489" s="149">
        <v>-3.794646209361817</v>
      </c>
      <c r="CR489" s="349">
        <f t="shared" si="172"/>
        <v>1.059485776543875</v>
      </c>
      <c r="CS489" s="61" t="s">
        <v>539</v>
      </c>
      <c r="CT489" s="61" t="s">
        <v>6310</v>
      </c>
      <c r="CU489" s="111">
        <f t="shared" si="173"/>
        <v>2023.9110635652639</v>
      </c>
      <c r="CV489" s="331">
        <f t="shared" si="180"/>
        <v>280.00688129761613</v>
      </c>
      <c r="CW489" s="326">
        <f t="shared" si="165"/>
        <v>1</v>
      </c>
      <c r="CX489" s="326" t="s">
        <v>539</v>
      </c>
      <c r="CY489" s="161" t="s">
        <v>5921</v>
      </c>
    </row>
    <row r="490" spans="1:103" ht="11.25" customHeight="1" x14ac:dyDescent="0.2">
      <c r="A490" s="72">
        <v>488</v>
      </c>
      <c r="B490" s="149">
        <v>737</v>
      </c>
      <c r="C490" s="54" t="s">
        <v>2092</v>
      </c>
      <c r="D490" s="54" t="s">
        <v>6594</v>
      </c>
      <c r="E490" s="59"/>
      <c r="F490" s="59" t="s">
        <v>2093</v>
      </c>
      <c r="G490" s="151">
        <v>52315078</v>
      </c>
      <c r="H490" s="55" t="s">
        <v>2094</v>
      </c>
      <c r="I490" s="55" t="s">
        <v>7906</v>
      </c>
      <c r="J490" s="55" t="s">
        <v>2095</v>
      </c>
      <c r="K490" s="55" t="s">
        <v>2086</v>
      </c>
      <c r="L490" s="55" t="s">
        <v>617</v>
      </c>
      <c r="M490" s="55" t="s">
        <v>1086</v>
      </c>
      <c r="N490" s="60" t="s">
        <v>6376</v>
      </c>
      <c r="O490" s="55" t="s">
        <v>918</v>
      </c>
      <c r="P490" s="67"/>
      <c r="Q490" s="67"/>
      <c r="R490" s="67"/>
      <c r="S490" s="67"/>
      <c r="T490" s="56">
        <v>416.3</v>
      </c>
      <c r="U490" s="103">
        <v>2.7624309392265195E-4</v>
      </c>
      <c r="V490" s="103">
        <v>3.7448955080470816E-6</v>
      </c>
      <c r="W490" s="103">
        <v>1.1220184543019621E-4</v>
      </c>
      <c r="X490" s="103">
        <v>2.7624309392265195E-4</v>
      </c>
      <c r="Y490" s="162">
        <v>7</v>
      </c>
      <c r="Z490" s="56">
        <v>6.38</v>
      </c>
      <c r="AA490" s="56">
        <v>6.94</v>
      </c>
      <c r="AB490" s="56">
        <v>6.02</v>
      </c>
      <c r="AC490" s="56">
        <v>0.95830000000000004</v>
      </c>
      <c r="AD490" s="56">
        <v>6.05</v>
      </c>
      <c r="AE490" s="56">
        <v>6.27</v>
      </c>
      <c r="AF490" s="56">
        <f t="shared" si="168"/>
        <v>6.94</v>
      </c>
      <c r="AG490" s="57">
        <v>5.09</v>
      </c>
      <c r="AH490" s="103">
        <v>7.8899999999999998E-7</v>
      </c>
      <c r="AI490" s="103">
        <v>4.2E-7</v>
      </c>
      <c r="AJ490" s="62">
        <f t="shared" si="169"/>
        <v>-4.4914893231032318</v>
      </c>
      <c r="AK490" s="62">
        <f>LOG10(AI490*1000/(0.08206*298.15))</f>
        <v>-4.7653170359147516</v>
      </c>
      <c r="AL490" s="62">
        <f t="shared" si="170"/>
        <v>-4.7653170359147516</v>
      </c>
      <c r="AM490" s="62">
        <v>-15.410480000000002</v>
      </c>
      <c r="AN490" s="154">
        <v>-4.5599999999999996</v>
      </c>
      <c r="AO490" s="410"/>
      <c r="AP490" s="410"/>
      <c r="AQ490" s="154" t="s">
        <v>6311</v>
      </c>
      <c r="AR490" s="154" t="s">
        <v>6312</v>
      </c>
      <c r="AS490" s="149" t="s">
        <v>6</v>
      </c>
      <c r="AT490" s="58" t="s">
        <v>266</v>
      </c>
      <c r="AU490" s="56">
        <v>2</v>
      </c>
      <c r="AV490" s="56">
        <v>120</v>
      </c>
      <c r="AW490" s="56">
        <v>120</v>
      </c>
      <c r="AX490" s="56">
        <v>28</v>
      </c>
      <c r="AY490" s="56" t="s">
        <v>8722</v>
      </c>
      <c r="AZ490" s="56" t="s">
        <v>536</v>
      </c>
      <c r="BA490" s="56" t="s">
        <v>8722</v>
      </c>
      <c r="BB490" s="55" t="s">
        <v>2087</v>
      </c>
      <c r="BC490" s="55" t="s">
        <v>2088</v>
      </c>
      <c r="BD490" s="55"/>
      <c r="BE490" s="56" t="s">
        <v>271</v>
      </c>
      <c r="BF490" s="56" t="s">
        <v>272</v>
      </c>
      <c r="BG490" s="56" t="s">
        <v>272</v>
      </c>
      <c r="BH490" s="56" t="s">
        <v>2089</v>
      </c>
      <c r="BI490" s="157">
        <v>2.4020561600730225E-5</v>
      </c>
      <c r="BJ490" s="157">
        <v>4.804112320146045E-4</v>
      </c>
      <c r="BK490" s="56"/>
      <c r="BL490" s="103">
        <f t="shared" si="171"/>
        <v>9.570221731095291E-5</v>
      </c>
      <c r="BM490" s="56" t="s">
        <v>2090</v>
      </c>
      <c r="BN490" s="56"/>
      <c r="BO490" s="56"/>
      <c r="BP490" s="56"/>
      <c r="BQ490" s="56"/>
      <c r="BR490" s="56"/>
      <c r="BS490" s="56"/>
      <c r="BT490" s="56">
        <v>1.5613365040474648E-4</v>
      </c>
      <c r="BU490" s="158"/>
      <c r="BV490" s="56"/>
      <c r="BW490" s="56"/>
      <c r="BX490" s="56"/>
      <c r="BY490" s="56"/>
      <c r="BZ490" s="56"/>
      <c r="CA490" s="56"/>
      <c r="CB490" s="56"/>
      <c r="CC490" s="56"/>
      <c r="CD490" s="56"/>
      <c r="CE490" s="56"/>
      <c r="CF490" s="56"/>
      <c r="CG490" s="56"/>
      <c r="CH490" s="56"/>
      <c r="CI490" s="103">
        <f t="shared" si="163"/>
        <v>1.5613365040474648E-4</v>
      </c>
      <c r="CJ490" s="103">
        <f t="shared" si="164"/>
        <v>-3.8065034863665703</v>
      </c>
      <c r="CK490" s="57">
        <f t="shared" si="178"/>
        <v>0.19920895044361403</v>
      </c>
      <c r="CL490" s="160">
        <f t="shared" si="177"/>
        <v>0.61295061674958162</v>
      </c>
      <c r="CM490" s="160">
        <v>-5.3911759078850627</v>
      </c>
      <c r="CN490" s="160">
        <f>BJ490/(10^CM490)</f>
        <v>118.24670847991661</v>
      </c>
      <c r="CO490" s="55" t="s">
        <v>2096</v>
      </c>
      <c r="CP490" s="55" t="s">
        <v>2091</v>
      </c>
      <c r="CQ490" s="149">
        <v>-5.3240904654321648</v>
      </c>
      <c r="CR490" s="349">
        <f t="shared" si="172"/>
        <v>32.929639712536918</v>
      </c>
      <c r="CS490" s="61" t="s">
        <v>539</v>
      </c>
      <c r="CT490" s="61"/>
      <c r="CU490" s="111">
        <f t="shared" si="173"/>
        <v>1.7692732681682957</v>
      </c>
      <c r="CV490" s="331">
        <f t="shared" si="180"/>
        <v>0.57501381215469616</v>
      </c>
      <c r="CW490" s="326">
        <f t="shared" si="165"/>
        <v>0</v>
      </c>
      <c r="CX490" s="326"/>
      <c r="CY490" s="161" t="s">
        <v>5921</v>
      </c>
    </row>
    <row r="491" spans="1:103" ht="11.25" customHeight="1" x14ac:dyDescent="0.2">
      <c r="A491" s="72">
        <v>489</v>
      </c>
      <c r="B491" s="149">
        <v>1240</v>
      </c>
      <c r="C491" s="54" t="s">
        <v>3413</v>
      </c>
      <c r="D491" s="54" t="s">
        <v>6777</v>
      </c>
      <c r="E491" s="59"/>
      <c r="F491" s="59" t="s">
        <v>3414</v>
      </c>
      <c r="G491" s="151">
        <v>62384</v>
      </c>
      <c r="H491" s="55" t="s">
        <v>8442</v>
      </c>
      <c r="I491" s="55" t="s">
        <v>3415</v>
      </c>
      <c r="J491" s="55" t="s">
        <v>8443</v>
      </c>
      <c r="K491" s="55" t="s">
        <v>6387</v>
      </c>
      <c r="L491" s="55" t="s">
        <v>6136</v>
      </c>
      <c r="M491" s="55" t="s">
        <v>5960</v>
      </c>
      <c r="N491" s="60" t="s">
        <v>2342</v>
      </c>
      <c r="O491" s="55"/>
      <c r="P491" s="67"/>
      <c r="Q491" s="67"/>
      <c r="R491" s="67"/>
      <c r="S491" s="67"/>
      <c r="T491" s="56">
        <v>336.74</v>
      </c>
      <c r="U491" s="103">
        <v>12.977371265664905</v>
      </c>
      <c r="V491" s="103">
        <v>5.4730652729108513</v>
      </c>
      <c r="W491" s="103"/>
      <c r="X491" s="103">
        <v>12.977371265664905</v>
      </c>
      <c r="Y491" s="162"/>
      <c r="Z491" s="56">
        <v>0.89</v>
      </c>
      <c r="AA491" s="56">
        <v>0.71</v>
      </c>
      <c r="AB491" s="56"/>
      <c r="AC491" s="56"/>
      <c r="AD491" s="56"/>
      <c r="AE491" s="56"/>
      <c r="AF491" s="56">
        <f t="shared" si="168"/>
        <v>0.71</v>
      </c>
      <c r="AG491" s="57" t="s">
        <v>5921</v>
      </c>
      <c r="AH491" s="103">
        <v>5.8700000000000004E-10</v>
      </c>
      <c r="AI491" s="103">
        <v>5.6600000000000001E-10</v>
      </c>
      <c r="AJ491" s="62">
        <f t="shared" si="169"/>
        <v>-7.6199282250650375</v>
      </c>
      <c r="AK491" s="62">
        <f>LOG10(AI491*1000/(0.08206*298.15))</f>
        <v>-7.6357498951243805</v>
      </c>
      <c r="AL491" s="62">
        <f t="shared" si="170"/>
        <v>-7.6357498951243805</v>
      </c>
      <c r="AM491" s="62"/>
      <c r="AN491" s="154"/>
      <c r="AO491" s="410"/>
      <c r="AP491" s="410"/>
      <c r="AQ491" s="56" t="s">
        <v>6311</v>
      </c>
      <c r="AR491" s="56" t="s">
        <v>6311</v>
      </c>
      <c r="AS491" s="155"/>
      <c r="AT491" s="58" t="s">
        <v>266</v>
      </c>
      <c r="AU491" s="56">
        <v>6</v>
      </c>
      <c r="AV491" s="56">
        <v>120</v>
      </c>
      <c r="AW491" s="56">
        <v>114</v>
      </c>
      <c r="AX491" s="56">
        <v>28</v>
      </c>
      <c r="AY491" s="56" t="s">
        <v>8728</v>
      </c>
      <c r="AZ491" s="56" t="s">
        <v>1563</v>
      </c>
      <c r="BA491" s="56">
        <v>32</v>
      </c>
      <c r="BB491" s="55" t="s">
        <v>2485</v>
      </c>
      <c r="BC491" s="55" t="s">
        <v>8726</v>
      </c>
      <c r="BD491" s="55" t="s">
        <v>8374</v>
      </c>
      <c r="BE491" s="56" t="s">
        <v>2449</v>
      </c>
      <c r="BF491" s="56" t="s">
        <v>272</v>
      </c>
      <c r="BG491" s="56" t="s">
        <v>272</v>
      </c>
      <c r="BH491" s="56" t="s">
        <v>2486</v>
      </c>
      <c r="BI491" s="103">
        <v>6.3999999999999997E-6</v>
      </c>
      <c r="BJ491" s="103">
        <v>6.4000000000000001E-2</v>
      </c>
      <c r="BK491" s="56"/>
      <c r="BL491" s="103">
        <f t="shared" si="171"/>
        <v>8.1562588452562093</v>
      </c>
      <c r="BM491" s="56" t="s">
        <v>2046</v>
      </c>
      <c r="BN491" s="56">
        <v>0.20238576999999999</v>
      </c>
      <c r="BO491" s="56"/>
      <c r="BP491" s="56"/>
      <c r="BQ491" s="56"/>
      <c r="BR491" s="65">
        <v>1.13E-4</v>
      </c>
      <c r="BS491" s="56"/>
      <c r="BT491" s="56"/>
      <c r="BU491" s="158"/>
      <c r="BV491" s="56"/>
      <c r="BW491" s="56"/>
      <c r="BX491" s="56"/>
      <c r="BY491" s="56"/>
      <c r="BZ491" s="56"/>
      <c r="CA491" s="56"/>
      <c r="CB491" s="56"/>
      <c r="CC491" s="56"/>
      <c r="CD491" s="56"/>
      <c r="CE491" s="56"/>
      <c r="CF491" s="56"/>
      <c r="CG491" s="56"/>
      <c r="CH491" s="56"/>
      <c r="CI491" s="103">
        <f t="shared" si="163"/>
        <v>1.13E-4</v>
      </c>
      <c r="CJ491" s="103">
        <f t="shared" si="164"/>
        <v>-3.9469215565165805</v>
      </c>
      <c r="CK491" s="57">
        <f t="shared" si="178"/>
        <v>127.44154445712827</v>
      </c>
      <c r="CL491" s="160">
        <f t="shared" si="177"/>
        <v>72179.281816426635</v>
      </c>
      <c r="CM491" s="160">
        <v>-4.5927962563161069</v>
      </c>
      <c r="CN491" s="160">
        <f>BJ491/(10^CM491)</f>
        <v>2505.972093023257</v>
      </c>
      <c r="CO491" s="55" t="s">
        <v>2488</v>
      </c>
      <c r="CP491" s="55" t="s">
        <v>2489</v>
      </c>
      <c r="CQ491" s="149">
        <v>-4.5927962563161069</v>
      </c>
      <c r="CR491" s="349">
        <f t="shared" si="172"/>
        <v>4.4246069767441805</v>
      </c>
      <c r="CS491" s="61" t="s">
        <v>539</v>
      </c>
      <c r="CT491" s="61"/>
      <c r="CU491" s="111">
        <f t="shared" si="173"/>
        <v>114843.99350145934</v>
      </c>
      <c r="CV491" s="331">
        <f t="shared" si="180"/>
        <v>202.77142602601413</v>
      </c>
      <c r="CW491" s="326">
        <f t="shared" si="165"/>
        <v>1</v>
      </c>
      <c r="CX491" s="326"/>
      <c r="CY491" s="161" t="s">
        <v>5921</v>
      </c>
    </row>
    <row r="492" spans="1:103" ht="11.25" customHeight="1" x14ac:dyDescent="0.2">
      <c r="A492" s="72">
        <v>490</v>
      </c>
      <c r="B492" s="149">
        <v>1334</v>
      </c>
      <c r="C492" s="54" t="s">
        <v>6144</v>
      </c>
      <c r="D492" s="54" t="s">
        <v>6773</v>
      </c>
      <c r="E492" s="59"/>
      <c r="F492" s="59" t="s">
        <v>1185</v>
      </c>
      <c r="G492" s="151">
        <v>76879</v>
      </c>
      <c r="H492" s="169" t="s">
        <v>1186</v>
      </c>
      <c r="I492" s="169" t="s">
        <v>1186</v>
      </c>
      <c r="J492" s="169" t="s">
        <v>1187</v>
      </c>
      <c r="K492" s="169" t="s">
        <v>403</v>
      </c>
      <c r="L492" s="55" t="s">
        <v>5929</v>
      </c>
      <c r="M492" s="168" t="s">
        <v>6079</v>
      </c>
      <c r="N492" s="60" t="s">
        <v>6381</v>
      </c>
      <c r="O492" s="65" t="s">
        <v>6083</v>
      </c>
      <c r="P492" s="67"/>
      <c r="Q492" s="67"/>
      <c r="R492" s="67"/>
      <c r="S492" s="67"/>
      <c r="T492" s="170">
        <v>367.01</v>
      </c>
      <c r="U492" s="407">
        <v>1.0898291692777158E-3</v>
      </c>
      <c r="V492" s="103">
        <v>1.2862708770400241E-2</v>
      </c>
      <c r="W492" s="103">
        <v>2.3442288153199219E-2</v>
      </c>
      <c r="X492" s="407">
        <v>1.0898291692777158E-3</v>
      </c>
      <c r="Y492" s="162">
        <v>4.71</v>
      </c>
      <c r="Z492" s="56">
        <v>3.47</v>
      </c>
      <c r="AA492" s="56">
        <v>3.53</v>
      </c>
      <c r="AB492" s="56">
        <v>2.85</v>
      </c>
      <c r="AC492" s="56">
        <v>0.71630000000000005</v>
      </c>
      <c r="AD492" s="56">
        <v>3.09</v>
      </c>
      <c r="AE492" s="56">
        <v>3.53</v>
      </c>
      <c r="AF492" s="56">
        <f t="shared" si="168"/>
        <v>3.53</v>
      </c>
      <c r="AG492" s="56">
        <v>3.09</v>
      </c>
      <c r="AH492" s="103">
        <v>4.5900000000000001E-8</v>
      </c>
      <c r="AI492" s="103">
        <v>4.2599999999999998E-7</v>
      </c>
      <c r="AJ492" s="62">
        <f t="shared" si="169"/>
        <v>-5.7267536407753905</v>
      </c>
      <c r="AK492" s="62">
        <f>LOG10(AI492*1000/(0.08206*298.15))</f>
        <v>-4.7591567272099331</v>
      </c>
      <c r="AL492" s="62">
        <f t="shared" si="170"/>
        <v>-4.7591567272099331</v>
      </c>
      <c r="AM492" s="62">
        <v>-11.08738</v>
      </c>
      <c r="AN492" s="56">
        <v>-9.75</v>
      </c>
      <c r="AO492" s="410">
        <v>3.98</v>
      </c>
      <c r="AP492" s="410"/>
      <c r="AQ492" s="56" t="s">
        <v>6311</v>
      </c>
      <c r="AR492" s="56" t="s">
        <v>6311</v>
      </c>
      <c r="AS492" s="155"/>
      <c r="AT492" s="58" t="s">
        <v>266</v>
      </c>
      <c r="AU492" s="56">
        <v>6</v>
      </c>
      <c r="AV492" s="56">
        <v>120</v>
      </c>
      <c r="AW492" s="56">
        <v>114</v>
      </c>
      <c r="AX492" s="56">
        <v>28</v>
      </c>
      <c r="AY492" s="56" t="s">
        <v>8728</v>
      </c>
      <c r="AZ492" s="56" t="s">
        <v>1563</v>
      </c>
      <c r="BA492" s="56">
        <v>32</v>
      </c>
      <c r="BB492" s="55" t="s">
        <v>2485</v>
      </c>
      <c r="BC492" s="55" t="s">
        <v>8726</v>
      </c>
      <c r="BD492" s="55" t="s">
        <v>8374</v>
      </c>
      <c r="BE492" s="56" t="s">
        <v>2449</v>
      </c>
      <c r="BF492" s="56" t="s">
        <v>272</v>
      </c>
      <c r="BG492" s="56" t="s">
        <v>272</v>
      </c>
      <c r="BH492" s="56" t="s">
        <v>2486</v>
      </c>
      <c r="BI492" s="103">
        <v>6.3999999999999997E-6</v>
      </c>
      <c r="BJ492" s="103">
        <v>6.4000000000000001E-2</v>
      </c>
      <c r="BK492" s="56"/>
      <c r="BL492" s="103">
        <f t="shared" si="171"/>
        <v>3.9300040687265454E-2</v>
      </c>
      <c r="BM492" s="56" t="s">
        <v>2046</v>
      </c>
      <c r="BN492" s="56"/>
      <c r="BO492" s="56"/>
      <c r="BP492" s="56"/>
      <c r="BQ492" s="56"/>
      <c r="BR492" s="65">
        <v>1.12E-4</v>
      </c>
      <c r="BS492" s="56"/>
      <c r="BT492" s="56"/>
      <c r="BU492" s="158"/>
      <c r="BV492" s="56"/>
      <c r="BW492" s="56"/>
      <c r="BX492" s="56"/>
      <c r="BY492" s="56"/>
      <c r="BZ492" s="56"/>
      <c r="CA492" s="56"/>
      <c r="CB492" s="56"/>
      <c r="CC492" s="56"/>
      <c r="CD492" s="56"/>
      <c r="CE492" s="56"/>
      <c r="CF492" s="56"/>
      <c r="CG492" s="56"/>
      <c r="CH492" s="56"/>
      <c r="CI492" s="103">
        <f t="shared" si="163"/>
        <v>1.12E-4</v>
      </c>
      <c r="CJ492" s="103">
        <f t="shared" si="164"/>
        <v>-3.9507819773298185</v>
      </c>
      <c r="CK492" s="57">
        <f t="shared" si="178"/>
        <v>0.61406313573852267</v>
      </c>
      <c r="CL492" s="160">
        <f t="shared" si="177"/>
        <v>350.89322042201297</v>
      </c>
      <c r="CM492" s="160">
        <v>-4.3380742496748841</v>
      </c>
      <c r="CN492" s="160">
        <f>BJ492/(10^CM492)</f>
        <v>1393.9725561178893</v>
      </c>
      <c r="CO492" s="55" t="s">
        <v>2488</v>
      </c>
      <c r="CP492" s="55" t="s">
        <v>2489</v>
      </c>
      <c r="CQ492" s="149">
        <v>-4.2064875607472203</v>
      </c>
      <c r="CR492" s="349">
        <f t="shared" si="172"/>
        <v>1.8017958546702693</v>
      </c>
      <c r="CS492" s="61" t="s">
        <v>539</v>
      </c>
      <c r="CT492" s="61"/>
      <c r="CU492" s="111">
        <f t="shared" si="173"/>
        <v>9.7306175828367483</v>
      </c>
      <c r="CV492" s="331">
        <f t="shared" si="180"/>
        <v>1.7028580769964309E-2</v>
      </c>
      <c r="CW492" s="326">
        <f t="shared" si="165"/>
        <v>1</v>
      </c>
      <c r="CX492" s="326"/>
      <c r="CY492" s="161" t="s">
        <v>5921</v>
      </c>
    </row>
    <row r="493" spans="1:103" ht="11.25" customHeight="1" x14ac:dyDescent="0.2">
      <c r="A493" s="72">
        <v>491</v>
      </c>
      <c r="B493" s="149">
        <v>2163</v>
      </c>
      <c r="C493" s="54" t="s">
        <v>6778</v>
      </c>
      <c r="D493" s="54" t="s">
        <v>6779</v>
      </c>
      <c r="E493" s="59"/>
      <c r="F493" s="59" t="s">
        <v>643</v>
      </c>
      <c r="G493" s="151">
        <v>115093</v>
      </c>
      <c r="H493" s="55" t="s">
        <v>644</v>
      </c>
      <c r="I493" s="55" t="s">
        <v>7907</v>
      </c>
      <c r="J493" s="55" t="s">
        <v>645</v>
      </c>
      <c r="K493" s="55" t="s">
        <v>6357</v>
      </c>
      <c r="L493" s="55"/>
      <c r="M493" s="55" t="s">
        <v>2342</v>
      </c>
      <c r="N493" s="60" t="s">
        <v>2342</v>
      </c>
      <c r="O493" s="55"/>
      <c r="P493" s="67"/>
      <c r="Q493" s="67"/>
      <c r="R493" s="67"/>
      <c r="S493" s="67"/>
      <c r="T493" s="56">
        <v>251.08</v>
      </c>
      <c r="U493" s="103"/>
      <c r="V493" s="103">
        <v>41.500716902979129</v>
      </c>
      <c r="W493" s="103"/>
      <c r="X493" s="103">
        <f>IF(W493=0,V493,W493)</f>
        <v>41.500716902979129</v>
      </c>
      <c r="Y493" s="162"/>
      <c r="Z493" s="56">
        <v>0.39</v>
      </c>
      <c r="AA493" s="56">
        <v>0.41</v>
      </c>
      <c r="AB493" s="56"/>
      <c r="AC493" s="56"/>
      <c r="AD493" s="56"/>
      <c r="AE493" s="56"/>
      <c r="AF493" s="56">
        <f t="shared" si="168"/>
        <v>0.41</v>
      </c>
      <c r="AG493" s="57" t="s">
        <v>404</v>
      </c>
      <c r="AH493" s="103">
        <v>7.1999999999999998E-3</v>
      </c>
      <c r="AI493" s="103">
        <v>3.6699999999999999E-7</v>
      </c>
      <c r="AJ493" s="62">
        <f t="shared" si="169"/>
        <v>-0.53123382988138335</v>
      </c>
      <c r="AK493" s="62">
        <f>LOG10(AI493*1000/(0.08206*298.15))</f>
        <v>-4.8239002620605627</v>
      </c>
      <c r="AL493" s="62">
        <f t="shared" si="170"/>
        <v>-4.8239002620605627</v>
      </c>
      <c r="AM493" s="62"/>
      <c r="AN493" s="154"/>
      <c r="AO493" s="410"/>
      <c r="AP493" s="410"/>
      <c r="AQ493" s="154" t="s">
        <v>6311</v>
      </c>
      <c r="AR493" s="154" t="s">
        <v>6311</v>
      </c>
      <c r="AS493" s="149" t="s">
        <v>6</v>
      </c>
      <c r="AT493" s="58" t="s">
        <v>266</v>
      </c>
      <c r="AU493" s="56">
        <v>0</v>
      </c>
      <c r="AV493" s="56">
        <v>96</v>
      </c>
      <c r="AW493" s="56">
        <v>96</v>
      </c>
      <c r="AX493" s="56">
        <v>26</v>
      </c>
      <c r="AY493" s="472" t="s">
        <v>6360</v>
      </c>
      <c r="AZ493" s="56" t="s">
        <v>536</v>
      </c>
      <c r="BA493" s="56">
        <v>20</v>
      </c>
      <c r="BB493" s="55" t="s">
        <v>1764</v>
      </c>
      <c r="BC493" s="55" t="s">
        <v>6359</v>
      </c>
      <c r="BD493" s="55"/>
      <c r="BE493" s="56" t="s">
        <v>1712</v>
      </c>
      <c r="BF493" s="56" t="s">
        <v>539</v>
      </c>
      <c r="BG493" s="56" t="s">
        <v>539</v>
      </c>
      <c r="BH493" s="56" t="s">
        <v>272</v>
      </c>
      <c r="BI493" s="157">
        <f>0.00625/251.08</f>
        <v>2.4892464553130476E-5</v>
      </c>
      <c r="BJ493" s="157">
        <f>0.1/251.08</f>
        <v>3.9827943285008761E-4</v>
      </c>
      <c r="BK493" s="56"/>
      <c r="BL493" s="103" t="s">
        <v>404</v>
      </c>
      <c r="BM493" s="56" t="s">
        <v>2046</v>
      </c>
      <c r="BN493" s="56"/>
      <c r="BO493" s="56">
        <f>0.042/251.08</f>
        <v>1.6727736179703679E-4</v>
      </c>
      <c r="BP493" s="56"/>
      <c r="BQ493" s="56">
        <f>0.028/251.08</f>
        <v>1.1151824119802454E-4</v>
      </c>
      <c r="BR493" s="56"/>
      <c r="BS493" s="56"/>
      <c r="BT493" s="56"/>
      <c r="BU493" s="158"/>
      <c r="BV493" s="56"/>
      <c r="BW493" s="56"/>
      <c r="BX493" s="56"/>
      <c r="BY493" s="56"/>
      <c r="BZ493" s="56"/>
      <c r="CA493" s="56"/>
      <c r="CB493" s="56"/>
      <c r="CC493" s="56"/>
      <c r="CD493" s="56"/>
      <c r="CE493" s="56"/>
      <c r="CF493" s="56"/>
      <c r="CG493" s="56"/>
      <c r="CH493" s="56"/>
      <c r="CI493" s="103">
        <f t="shared" si="163"/>
        <v>1.1151824119802454E-4</v>
      </c>
      <c r="CJ493" s="103">
        <f t="shared" si="164"/>
        <v>-3.9526540886364541</v>
      </c>
      <c r="CK493" s="57"/>
      <c r="CL493" s="160"/>
      <c r="CM493" s="160"/>
      <c r="CN493" s="160"/>
      <c r="CO493" s="55"/>
      <c r="CP493" s="55" t="s">
        <v>6355</v>
      </c>
      <c r="CQ493" s="149">
        <v>-3.8425066278625866</v>
      </c>
      <c r="CR493" s="349">
        <f t="shared" si="172"/>
        <v>0.77598359366317027</v>
      </c>
      <c r="CS493" s="61" t="s">
        <v>539</v>
      </c>
      <c r="CT493" s="61"/>
      <c r="CU493" s="111">
        <f t="shared" si="173"/>
        <v>372142.8571428571</v>
      </c>
      <c r="CV493" s="331">
        <f t="shared" si="180"/>
        <v>104200</v>
      </c>
      <c r="CW493" s="326">
        <f t="shared" si="165"/>
        <v>1</v>
      </c>
      <c r="CX493" s="326" t="s">
        <v>539</v>
      </c>
      <c r="CY493" s="161"/>
    </row>
    <row r="494" spans="1:103" ht="11.25" customHeight="1" x14ac:dyDescent="0.2">
      <c r="A494" s="72">
        <v>492</v>
      </c>
      <c r="B494" s="149">
        <v>2012</v>
      </c>
      <c r="C494" s="54" t="s">
        <v>5577</v>
      </c>
      <c r="D494" s="54" t="s">
        <v>6780</v>
      </c>
      <c r="E494" s="59"/>
      <c r="F494" s="167" t="s">
        <v>5578</v>
      </c>
      <c r="G494" s="151">
        <v>900958</v>
      </c>
      <c r="H494" s="67" t="s">
        <v>5579</v>
      </c>
      <c r="I494" s="67" t="s">
        <v>5579</v>
      </c>
      <c r="J494" s="67"/>
      <c r="K494" s="67" t="s">
        <v>403</v>
      </c>
      <c r="L494" s="67" t="s">
        <v>6169</v>
      </c>
      <c r="M494" s="60" t="s">
        <v>2342</v>
      </c>
      <c r="N494" s="60" t="s">
        <v>2342</v>
      </c>
      <c r="O494" s="67"/>
      <c r="P494" s="67"/>
      <c r="Q494" s="67"/>
      <c r="R494" s="67"/>
      <c r="S494" s="67"/>
      <c r="T494" s="61">
        <v>409.07</v>
      </c>
      <c r="U494" s="111">
        <v>2.2001124501918986E-2</v>
      </c>
      <c r="V494" s="111">
        <v>0.72994841958588996</v>
      </c>
      <c r="W494" s="111">
        <v>4.3651583224016556E-2</v>
      </c>
      <c r="X494" s="111">
        <v>2.2001124501918986E-2</v>
      </c>
      <c r="Y494" s="411">
        <v>7</v>
      </c>
      <c r="Z494" s="61">
        <v>1.1200000000000001</v>
      </c>
      <c r="AA494" s="61"/>
      <c r="AB494" s="61">
        <v>2.42</v>
      </c>
      <c r="AC494" s="61">
        <v>0.51280000000000003</v>
      </c>
      <c r="AD494" s="61">
        <v>1.63</v>
      </c>
      <c r="AE494" s="61">
        <v>0.82</v>
      </c>
      <c r="AF494" s="61">
        <f t="shared" si="168"/>
        <v>1.63</v>
      </c>
      <c r="AG494" s="62">
        <v>1.63</v>
      </c>
      <c r="AH494" s="111">
        <v>2.9900000000000002E-6</v>
      </c>
      <c r="AI494" s="111"/>
      <c r="AJ494" s="62">
        <f t="shared" si="169"/>
        <v>-3.912895137988222</v>
      </c>
      <c r="AK494" s="62"/>
      <c r="AL494" s="62">
        <f t="shared" si="170"/>
        <v>-3.912895137988222</v>
      </c>
      <c r="AM494" s="62">
        <v>-10.5715</v>
      </c>
      <c r="AN494" s="163"/>
      <c r="AO494" s="410"/>
      <c r="AP494" s="410"/>
      <c r="AQ494" s="163" t="s">
        <v>6311</v>
      </c>
      <c r="AR494" s="163" t="s">
        <v>6311</v>
      </c>
      <c r="AS494" s="164" t="s">
        <v>5466</v>
      </c>
      <c r="AT494" s="63" t="s">
        <v>266</v>
      </c>
      <c r="AU494" s="61">
        <v>0</v>
      </c>
      <c r="AV494" s="61">
        <v>96</v>
      </c>
      <c r="AW494" s="61">
        <v>96</v>
      </c>
      <c r="AX494" s="61">
        <v>28</v>
      </c>
      <c r="AY494" s="174">
        <v>0.59027777777777779</v>
      </c>
      <c r="AZ494" s="61" t="s">
        <v>1584</v>
      </c>
      <c r="BA494" s="61">
        <v>100</v>
      </c>
      <c r="BB494" s="67" t="s">
        <v>1584</v>
      </c>
      <c r="BC494" s="67" t="s">
        <v>1584</v>
      </c>
      <c r="BD494" s="67"/>
      <c r="BE494" s="67" t="s">
        <v>6242</v>
      </c>
      <c r="BF494" s="61" t="s">
        <v>6243</v>
      </c>
      <c r="BG494" s="61" t="s">
        <v>272</v>
      </c>
      <c r="BH494" s="61" t="s">
        <v>4089</v>
      </c>
      <c r="BI494" s="111">
        <f>0.5/409.07/1000</f>
        <v>1.2222846945510547E-6</v>
      </c>
      <c r="BJ494" s="111">
        <f>100/409.07/1000</f>
        <v>2.4445693891021096E-4</v>
      </c>
      <c r="BK494" s="165"/>
      <c r="BL494" s="111">
        <f>10^((-0.8981*Z494)+1.7108)</f>
        <v>5.0690666321585383</v>
      </c>
      <c r="BM494" s="61">
        <v>0</v>
      </c>
      <c r="BN494" s="61"/>
      <c r="BO494" s="61"/>
      <c r="BP494" s="61"/>
      <c r="BQ494" s="61">
        <v>9.7800000000000006E-5</v>
      </c>
      <c r="BR494" s="61"/>
      <c r="BS494" s="61"/>
      <c r="BT494" s="61"/>
      <c r="BU494" s="158"/>
      <c r="BV494" s="61"/>
      <c r="BW494" s="61"/>
      <c r="BX494" s="61"/>
      <c r="BY494" s="61"/>
      <c r="BZ494" s="61"/>
      <c r="CA494" s="61"/>
      <c r="CB494" s="61"/>
      <c r="CC494" s="61"/>
      <c r="CD494" s="61"/>
      <c r="CE494" s="61"/>
      <c r="CF494" s="61"/>
      <c r="CG494" s="61"/>
      <c r="CH494" s="61"/>
      <c r="CI494" s="111">
        <f t="shared" si="163"/>
        <v>9.7800000000000006E-5</v>
      </c>
      <c r="CJ494" s="103">
        <f t="shared" si="164"/>
        <v>-4.0096611452123989</v>
      </c>
      <c r="CK494" s="57">
        <f>BL494/BJ494</f>
        <v>20736.030872170933</v>
      </c>
      <c r="CL494" s="160">
        <f t="shared" ref="CL494:CL510" si="181">BL494/CI494</f>
        <v>51830.947159085255</v>
      </c>
      <c r="CM494" s="160">
        <v>-4.0435959067093208</v>
      </c>
      <c r="CN494" s="160">
        <f>BJ494/(10^CM494)</f>
        <v>2.7027027027027004</v>
      </c>
      <c r="CO494" s="67"/>
      <c r="CP494" s="67" t="s">
        <v>6244</v>
      </c>
      <c r="CQ494" s="149">
        <v>-4.0435959067093208</v>
      </c>
      <c r="CR494" s="349">
        <f t="shared" si="172"/>
        <v>1.0812715135135118</v>
      </c>
      <c r="CS494" s="61" t="s">
        <v>539</v>
      </c>
      <c r="CT494" s="61"/>
      <c r="CU494" s="111">
        <f t="shared" si="173"/>
        <v>224.96037323025547</v>
      </c>
      <c r="CV494" s="331">
        <f t="shared" si="180"/>
        <v>90</v>
      </c>
      <c r="CW494" s="326">
        <f t="shared" si="165"/>
        <v>1</v>
      </c>
      <c r="CX494" s="326"/>
      <c r="CY494" s="161" t="s">
        <v>5921</v>
      </c>
    </row>
    <row r="495" spans="1:103" ht="11.25" customHeight="1" x14ac:dyDescent="0.2">
      <c r="A495" s="72">
        <v>493</v>
      </c>
      <c r="B495" s="149">
        <v>595</v>
      </c>
      <c r="C495" s="54" t="s">
        <v>1788</v>
      </c>
      <c r="D495" s="54" t="s">
        <v>6781</v>
      </c>
      <c r="E495" s="59"/>
      <c r="F495" s="59" t="s">
        <v>1789</v>
      </c>
      <c r="G495" s="151">
        <v>101202</v>
      </c>
      <c r="H495" s="55" t="s">
        <v>1790</v>
      </c>
      <c r="I495" s="55" t="s">
        <v>7908</v>
      </c>
      <c r="J495" s="55" t="s">
        <v>1791</v>
      </c>
      <c r="K495" s="55" t="s">
        <v>1292</v>
      </c>
      <c r="L495" s="55" t="s">
        <v>6064</v>
      </c>
      <c r="M495" s="55" t="s">
        <v>6065</v>
      </c>
      <c r="N495" s="60" t="s">
        <v>6082</v>
      </c>
      <c r="O495" s="55" t="s">
        <v>6086</v>
      </c>
      <c r="P495" s="67"/>
      <c r="Q495" s="67"/>
      <c r="R495" s="67"/>
      <c r="S495" s="67"/>
      <c r="T495" s="56">
        <v>315.58</v>
      </c>
      <c r="U495" s="103"/>
      <c r="V495" s="103">
        <v>2.0530451866404716E-3</v>
      </c>
      <c r="W495" s="103">
        <v>4.4668359215096327E-4</v>
      </c>
      <c r="X495" s="103">
        <f>IF(W495=0,V495,W495)</f>
        <v>4.4668359215096327E-4</v>
      </c>
      <c r="Y495" s="162">
        <v>7</v>
      </c>
      <c r="Z495" s="56">
        <v>4.9000000000000004</v>
      </c>
      <c r="AA495" s="56"/>
      <c r="AB495" s="56">
        <v>5.05</v>
      </c>
      <c r="AC495" s="56">
        <v>0.84040000000000004</v>
      </c>
      <c r="AD495" s="56">
        <v>5.23</v>
      </c>
      <c r="AE495" s="56">
        <v>5.75</v>
      </c>
      <c r="AF495" s="56">
        <f t="shared" si="168"/>
        <v>5.23</v>
      </c>
      <c r="AG495" s="57">
        <v>4.74</v>
      </c>
      <c r="AH495" s="103">
        <v>4.5200000000000003E-11</v>
      </c>
      <c r="AI495" s="103"/>
      <c r="AJ495" s="62">
        <f t="shared" si="169"/>
        <v>-8.73342789150127</v>
      </c>
      <c r="AK495" s="62"/>
      <c r="AL495" s="62">
        <f t="shared" si="170"/>
        <v>-8.73342789150127</v>
      </c>
      <c r="AM495" s="62">
        <v>-15.384709999999998</v>
      </c>
      <c r="AN495" s="154">
        <v>-9.3699999999999992</v>
      </c>
      <c r="AO495" s="410">
        <v>12.77</v>
      </c>
      <c r="AP495" s="410">
        <v>-0.34</v>
      </c>
      <c r="AQ495" s="154" t="s">
        <v>6311</v>
      </c>
      <c r="AR495" s="154" t="s">
        <v>6311</v>
      </c>
      <c r="AS495" s="149" t="s">
        <v>1792</v>
      </c>
      <c r="AT495" s="58" t="s">
        <v>266</v>
      </c>
      <c r="AU495" s="56">
        <v>2</v>
      </c>
      <c r="AV495" s="56">
        <v>96</v>
      </c>
      <c r="AW495" s="56">
        <v>96</v>
      </c>
      <c r="AX495" s="56" t="s">
        <v>6240</v>
      </c>
      <c r="AY495" s="56" t="s">
        <v>1584</v>
      </c>
      <c r="AZ495" s="61" t="s">
        <v>1584</v>
      </c>
      <c r="BA495" s="56" t="s">
        <v>8722</v>
      </c>
      <c r="BB495" s="55" t="s">
        <v>8722</v>
      </c>
      <c r="BC495" s="55" t="s">
        <v>8722</v>
      </c>
      <c r="BD495" s="55"/>
      <c r="BE495" s="56" t="s">
        <v>8722</v>
      </c>
      <c r="BF495" s="56" t="s">
        <v>8722</v>
      </c>
      <c r="BG495" s="56" t="s">
        <v>8722</v>
      </c>
      <c r="BH495" s="56" t="s">
        <v>8722</v>
      </c>
      <c r="BI495" s="103" t="s">
        <v>8722</v>
      </c>
      <c r="BJ495" s="103" t="s">
        <v>8722</v>
      </c>
      <c r="BK495" s="56"/>
      <c r="BL495" s="103">
        <f>10^((-0.8981*Z495)+1.7108)</f>
        <v>2.0422551504559023E-3</v>
      </c>
      <c r="BM495" s="55" t="s">
        <v>1640</v>
      </c>
      <c r="BN495" s="56"/>
      <c r="BO495" s="56"/>
      <c r="BP495" s="56"/>
      <c r="BQ495" s="56">
        <v>8.238537342754841E-5</v>
      </c>
      <c r="BR495" s="56"/>
      <c r="BS495" s="56"/>
      <c r="BT495" s="56"/>
      <c r="BU495" s="158"/>
      <c r="BV495" s="56"/>
      <c r="BW495" s="56"/>
      <c r="BX495" s="56"/>
      <c r="BY495" s="56"/>
      <c r="BZ495" s="56"/>
      <c r="CA495" s="56"/>
      <c r="CB495" s="56"/>
      <c r="CC495" s="56"/>
      <c r="CD495" s="56"/>
      <c r="CE495" s="56"/>
      <c r="CF495" s="56"/>
      <c r="CG495" s="56"/>
      <c r="CH495" s="56"/>
      <c r="CI495" s="103">
        <f t="shared" si="163"/>
        <v>8.238537342754841E-5</v>
      </c>
      <c r="CJ495" s="103">
        <f t="shared" si="164"/>
        <v>-4.0841498854334057</v>
      </c>
      <c r="CK495" s="57" t="s">
        <v>404</v>
      </c>
      <c r="CL495" s="160">
        <f t="shared" si="181"/>
        <v>24.789050112783773</v>
      </c>
      <c r="CM495" s="160">
        <v>-3.865641016255426</v>
      </c>
      <c r="CN495" s="160" t="s">
        <v>404</v>
      </c>
      <c r="CO495" s="55" t="s">
        <v>1641</v>
      </c>
      <c r="CP495" s="55" t="s">
        <v>1688</v>
      </c>
      <c r="CQ495" s="149">
        <v>-3.5503720405830479</v>
      </c>
      <c r="CR495" s="349">
        <f t="shared" si="172"/>
        <v>0.29256485554688072</v>
      </c>
      <c r="CS495" s="61" t="s">
        <v>539</v>
      </c>
      <c r="CT495" s="61"/>
      <c r="CU495" s="111">
        <f t="shared" si="173"/>
        <v>5.4218798018047112</v>
      </c>
      <c r="CV495" s="331"/>
      <c r="CW495" s="326">
        <f t="shared" si="165"/>
        <v>1</v>
      </c>
      <c r="CX495" s="326"/>
      <c r="CY495" s="161" t="s">
        <v>6351</v>
      </c>
    </row>
    <row r="496" spans="1:103" ht="11.25" customHeight="1" x14ac:dyDescent="0.2">
      <c r="A496" s="72">
        <v>494</v>
      </c>
      <c r="B496" s="149">
        <v>744</v>
      </c>
      <c r="C496" s="54" t="s">
        <v>6782</v>
      </c>
      <c r="D496" s="54"/>
      <c r="E496" s="59"/>
      <c r="F496" s="59" t="s">
        <v>661</v>
      </c>
      <c r="G496" s="151">
        <v>302794</v>
      </c>
      <c r="H496" s="55" t="s">
        <v>662</v>
      </c>
      <c r="I496" s="55" t="s">
        <v>662</v>
      </c>
      <c r="J496" s="55" t="s">
        <v>663</v>
      </c>
      <c r="K496" s="55" t="s">
        <v>426</v>
      </c>
      <c r="L496" s="64" t="s">
        <v>279</v>
      </c>
      <c r="M496" s="55" t="s">
        <v>664</v>
      </c>
      <c r="N496" s="60"/>
      <c r="O496" s="55" t="s">
        <v>281</v>
      </c>
      <c r="P496" s="67"/>
      <c r="Q496" s="67"/>
      <c r="R496" s="67"/>
      <c r="S496" s="67"/>
      <c r="T496" s="56">
        <v>300.44</v>
      </c>
      <c r="U496" s="103"/>
      <c r="V496" s="103">
        <v>4.2038343762481695E-4</v>
      </c>
      <c r="W496" s="103">
        <v>4.8977881936844637E-2</v>
      </c>
      <c r="X496" s="103">
        <f>IF(W496=0,V496,W496)</f>
        <v>4.8977881936844637E-2</v>
      </c>
      <c r="Y496" s="162">
        <v>4.6500000000000004</v>
      </c>
      <c r="Z496" s="56">
        <v>7.85</v>
      </c>
      <c r="AA496" s="56">
        <v>6.3</v>
      </c>
      <c r="AB496" s="56">
        <v>5.52</v>
      </c>
      <c r="AC496" s="56">
        <v>0.80679999999999996</v>
      </c>
      <c r="AD496" s="56">
        <v>5.9</v>
      </c>
      <c r="AE496" s="56">
        <v>6.83</v>
      </c>
      <c r="AF496" s="56">
        <f t="shared" si="168"/>
        <v>6.3</v>
      </c>
      <c r="AG496" s="57">
        <v>5.9</v>
      </c>
      <c r="AH496" s="103">
        <v>9.5000000000000005E-6</v>
      </c>
      <c r="AI496" s="103"/>
      <c r="AJ496" s="62">
        <f t="shared" si="169"/>
        <v>-3.4108427210238039</v>
      </c>
      <c r="AK496" s="62"/>
      <c r="AL496" s="62">
        <f t="shared" si="170"/>
        <v>-3.4108427210238039</v>
      </c>
      <c r="AM496" s="62">
        <v>-10.49797</v>
      </c>
      <c r="AN496" s="154">
        <v>-7.02</v>
      </c>
      <c r="AO496" s="410">
        <v>4.7300000000000004</v>
      </c>
      <c r="AP496" s="410"/>
      <c r="AQ496" s="154" t="s">
        <v>6311</v>
      </c>
      <c r="AR496" s="154" t="s">
        <v>6311</v>
      </c>
      <c r="AS496" s="149" t="s">
        <v>6</v>
      </c>
      <c r="AT496" s="58" t="s">
        <v>266</v>
      </c>
      <c r="AU496" s="56">
        <v>2</v>
      </c>
      <c r="AV496" s="56" t="s">
        <v>646</v>
      </c>
      <c r="AW496" s="56" t="s">
        <v>646</v>
      </c>
      <c r="AX496" s="56">
        <v>26</v>
      </c>
      <c r="AY496" s="56" t="s">
        <v>8722</v>
      </c>
      <c r="AZ496" s="56" t="s">
        <v>536</v>
      </c>
      <c r="BA496" s="56">
        <v>12</v>
      </c>
      <c r="BB496" s="55" t="s">
        <v>1764</v>
      </c>
      <c r="BC496" s="55" t="s">
        <v>2121</v>
      </c>
      <c r="BD496" s="55"/>
      <c r="BE496" s="56" t="s">
        <v>271</v>
      </c>
      <c r="BF496" s="56" t="s">
        <v>2122</v>
      </c>
      <c r="BG496" s="473" t="s">
        <v>2123</v>
      </c>
      <c r="BH496" s="56" t="s">
        <v>2124</v>
      </c>
      <c r="BI496" s="103">
        <v>8.5199999999999995E-9</v>
      </c>
      <c r="BJ496" s="103">
        <v>1.66E-2</v>
      </c>
      <c r="BK496" s="56"/>
      <c r="BL496" s="103">
        <f>10^((-0.8981*Z496)+1.7108)</f>
        <v>4.5784133579813217E-6</v>
      </c>
      <c r="BM496" s="56">
        <v>13.9</v>
      </c>
      <c r="BN496" s="56"/>
      <c r="BO496" s="56">
        <v>1.2600000000000001E-3</v>
      </c>
      <c r="BP496" s="56"/>
      <c r="BQ496" s="56"/>
      <c r="BR496" s="56">
        <v>2.58E-5</v>
      </c>
      <c r="BS496" s="56"/>
      <c r="BT496" s="56"/>
      <c r="BU496" s="158"/>
      <c r="BV496" s="56"/>
      <c r="BW496" s="56"/>
      <c r="BX496" s="56"/>
      <c r="BY496" s="56"/>
      <c r="BZ496" s="56"/>
      <c r="CA496" s="56"/>
      <c r="CB496" s="56"/>
      <c r="CC496" s="56"/>
      <c r="CD496" s="56"/>
      <c r="CE496" s="56"/>
      <c r="CF496" s="56"/>
      <c r="CG496" s="56"/>
      <c r="CH496" s="56"/>
      <c r="CI496" s="103">
        <f t="shared" si="163"/>
        <v>2.58E-5</v>
      </c>
      <c r="CJ496" s="103">
        <f t="shared" si="164"/>
        <v>-4.5883802940367699</v>
      </c>
      <c r="CK496" s="57">
        <f t="shared" ref="CK496:CK501" si="182">BL496/BJ496</f>
        <v>2.758080336133326E-4</v>
      </c>
      <c r="CL496" s="160">
        <f t="shared" si="181"/>
        <v>0.17745788209229929</v>
      </c>
      <c r="CM496" s="160"/>
      <c r="CN496" s="160"/>
      <c r="CO496" s="55" t="s">
        <v>2125</v>
      </c>
      <c r="CP496" s="55" t="s">
        <v>2126</v>
      </c>
      <c r="CQ496" s="149" t="s">
        <v>272</v>
      </c>
      <c r="CR496" s="349"/>
      <c r="CS496" s="61" t="s">
        <v>539</v>
      </c>
      <c r="CT496" s="61"/>
      <c r="CU496" s="111">
        <f t="shared" si="173"/>
        <v>1898.3675169319627</v>
      </c>
      <c r="CV496" s="331">
        <f t="shared" ref="CV496:CV501" si="183">X496/BJ496</f>
        <v>2.9504748154725684</v>
      </c>
      <c r="CW496" s="326">
        <f t="shared" si="165"/>
        <v>1</v>
      </c>
      <c r="CX496" s="326"/>
      <c r="CY496" s="161" t="s">
        <v>5921</v>
      </c>
    </row>
    <row r="497" spans="1:103" ht="11.25" customHeight="1" x14ac:dyDescent="0.2">
      <c r="A497" s="72">
        <v>495</v>
      </c>
      <c r="B497" s="149">
        <v>746</v>
      </c>
      <c r="C497" s="54" t="s">
        <v>6783</v>
      </c>
      <c r="D497" s="54"/>
      <c r="E497" s="59"/>
      <c r="F497" s="59" t="s">
        <v>2127</v>
      </c>
      <c r="G497" s="151">
        <v>1069665</v>
      </c>
      <c r="H497" s="55" t="s">
        <v>2128</v>
      </c>
      <c r="I497" s="55" t="s">
        <v>2128</v>
      </c>
      <c r="J497" s="55" t="s">
        <v>2129</v>
      </c>
      <c r="K497" s="55" t="s">
        <v>426</v>
      </c>
      <c r="L497" s="55"/>
      <c r="M497" s="55"/>
      <c r="N497" s="60"/>
      <c r="O497" s="55"/>
      <c r="P497" s="67"/>
      <c r="Q497" s="67"/>
      <c r="R497" s="67"/>
      <c r="S497" s="67"/>
      <c r="T497" s="56">
        <v>166.2</v>
      </c>
      <c r="U497" s="103">
        <v>12.03369434416366</v>
      </c>
      <c r="V497" s="103">
        <v>5.3826714801444044</v>
      </c>
      <c r="W497" s="103">
        <v>14.454397707459272</v>
      </c>
      <c r="X497" s="103">
        <v>12.03369434416366</v>
      </c>
      <c r="Y497" s="162">
        <v>3.33</v>
      </c>
      <c r="Z497" s="56">
        <v>2.96</v>
      </c>
      <c r="AA497" s="56">
        <v>2.75</v>
      </c>
      <c r="AB497" s="56">
        <v>2.64</v>
      </c>
      <c r="AC497" s="56">
        <v>0.93820000000000003</v>
      </c>
      <c r="AD497" s="56">
        <v>2.65</v>
      </c>
      <c r="AE497" s="56">
        <v>2.72</v>
      </c>
      <c r="AF497" s="56">
        <f t="shared" si="168"/>
        <v>2.75</v>
      </c>
      <c r="AG497" s="57">
        <v>7.25</v>
      </c>
      <c r="AH497" s="103">
        <v>3.0000000000000001E-6</v>
      </c>
      <c r="AI497" s="103"/>
      <c r="AJ497" s="62">
        <f t="shared" si="169"/>
        <v>-3.9114450715929894</v>
      </c>
      <c r="AK497" s="62"/>
      <c r="AL497" s="62">
        <f t="shared" si="170"/>
        <v>-3.9114450715929894</v>
      </c>
      <c r="AM497" s="62">
        <v>-5.7235100000000001</v>
      </c>
      <c r="AN497" s="154">
        <v>-10.6</v>
      </c>
      <c r="AO497" s="410">
        <v>4.82</v>
      </c>
      <c r="AP497" s="410"/>
      <c r="AQ497" s="154" t="s">
        <v>6311</v>
      </c>
      <c r="AR497" s="154" t="s">
        <v>6311</v>
      </c>
      <c r="AS497" s="149" t="s">
        <v>6</v>
      </c>
      <c r="AT497" s="58" t="s">
        <v>266</v>
      </c>
      <c r="AU497" s="56">
        <v>2</v>
      </c>
      <c r="AV497" s="56" t="s">
        <v>646</v>
      </c>
      <c r="AW497" s="56" t="s">
        <v>646</v>
      </c>
      <c r="AX497" s="56">
        <v>26</v>
      </c>
      <c r="AY497" s="56" t="s">
        <v>8722</v>
      </c>
      <c r="AZ497" s="56" t="s">
        <v>536</v>
      </c>
      <c r="BA497" s="56">
        <v>12</v>
      </c>
      <c r="BB497" s="55" t="s">
        <v>1764</v>
      </c>
      <c r="BC497" s="55" t="s">
        <v>2121</v>
      </c>
      <c r="BD497" s="55"/>
      <c r="BE497" s="56" t="s">
        <v>271</v>
      </c>
      <c r="BF497" s="56" t="s">
        <v>2122</v>
      </c>
      <c r="BG497" s="473" t="s">
        <v>2123</v>
      </c>
      <c r="BH497" s="56" t="s">
        <v>272</v>
      </c>
      <c r="BI497" s="103">
        <v>4.7E-2</v>
      </c>
      <c r="BJ497" s="103">
        <v>12</v>
      </c>
      <c r="BK497" s="56"/>
      <c r="BL497" s="103">
        <f>10^((-0.8981*Z497)+1.7108)</f>
        <v>0.11282984720039825</v>
      </c>
      <c r="BM497" s="56">
        <v>2.1</v>
      </c>
      <c r="BN497" s="56"/>
      <c r="BO497" s="56">
        <v>2.09</v>
      </c>
      <c r="BP497" s="56"/>
      <c r="BQ497" s="56"/>
      <c r="BR497" s="56">
        <v>0.84</v>
      </c>
      <c r="BS497" s="56"/>
      <c r="BT497" s="56"/>
      <c r="BU497" s="158"/>
      <c r="BV497" s="56"/>
      <c r="BW497" s="56"/>
      <c r="BX497" s="56"/>
      <c r="BY497" s="56"/>
      <c r="BZ497" s="56"/>
      <c r="CA497" s="56"/>
      <c r="CB497" s="56"/>
      <c r="CC497" s="56"/>
      <c r="CD497" s="56"/>
      <c r="CE497" s="56"/>
      <c r="CF497" s="56"/>
      <c r="CG497" s="56"/>
      <c r="CH497" s="56"/>
      <c r="CI497" s="103">
        <f t="shared" si="163"/>
        <v>0.84</v>
      </c>
      <c r="CJ497" s="103">
        <f t="shared" si="164"/>
        <v>-7.5720713938118356E-2</v>
      </c>
      <c r="CK497" s="57">
        <f t="shared" si="182"/>
        <v>9.4024872666998542E-3</v>
      </c>
      <c r="CL497" s="160">
        <f t="shared" si="181"/>
        <v>0.13432124666714079</v>
      </c>
      <c r="CM497" s="160"/>
      <c r="CN497" s="160"/>
      <c r="CO497" s="55" t="s">
        <v>2125</v>
      </c>
      <c r="CP497" s="55" t="s">
        <v>2126</v>
      </c>
      <c r="CQ497" s="149" t="s">
        <v>272</v>
      </c>
      <c r="CR497" s="349"/>
      <c r="CS497" s="61" t="s">
        <v>539</v>
      </c>
      <c r="CT497" s="61"/>
      <c r="CU497" s="111">
        <f t="shared" si="173"/>
        <v>14.325826600194834</v>
      </c>
      <c r="CV497" s="331">
        <f t="shared" si="183"/>
        <v>1.0028078620136383</v>
      </c>
      <c r="CW497" s="326">
        <f t="shared" si="165"/>
        <v>1</v>
      </c>
      <c r="CX497" s="326"/>
      <c r="CY497" s="161" t="s">
        <v>5921</v>
      </c>
    </row>
    <row r="498" spans="1:103" ht="11.25" customHeight="1" x14ac:dyDescent="0.2">
      <c r="A498" s="72">
        <v>496</v>
      </c>
      <c r="B498" s="149">
        <v>736</v>
      </c>
      <c r="C498" s="54" t="s">
        <v>2082</v>
      </c>
      <c r="D498" s="54" t="s">
        <v>6784</v>
      </c>
      <c r="E498" s="59"/>
      <c r="F498" s="59" t="s">
        <v>2083</v>
      </c>
      <c r="G498" s="151">
        <v>52918635</v>
      </c>
      <c r="H498" s="55" t="s">
        <v>2084</v>
      </c>
      <c r="I498" s="55" t="s">
        <v>7909</v>
      </c>
      <c r="J498" s="55" t="s">
        <v>2085</v>
      </c>
      <c r="K498" s="55" t="s">
        <v>2086</v>
      </c>
      <c r="L498" s="55" t="s">
        <v>617</v>
      </c>
      <c r="M498" s="55" t="s">
        <v>1086</v>
      </c>
      <c r="N498" s="60" t="s">
        <v>6376</v>
      </c>
      <c r="O498" s="55" t="s">
        <v>918</v>
      </c>
      <c r="P498" s="67" t="s">
        <v>6172</v>
      </c>
      <c r="Q498" s="67" t="s">
        <v>6179</v>
      </c>
      <c r="R498" s="67" t="s">
        <v>6174</v>
      </c>
      <c r="S498" s="67" t="s">
        <v>6173</v>
      </c>
      <c r="T498" s="56">
        <v>505.2</v>
      </c>
      <c r="U498" s="103">
        <v>3.9588281868566905E-6</v>
      </c>
      <c r="V498" s="103">
        <v>3.616389548693587E-6</v>
      </c>
      <c r="W498" s="103">
        <v>9.9999999999999991E-5</v>
      </c>
      <c r="X498" s="103">
        <v>3.9588281868566905E-6</v>
      </c>
      <c r="Y498" s="162">
        <v>7</v>
      </c>
      <c r="Z498" s="56">
        <v>6.18</v>
      </c>
      <c r="AA498" s="56">
        <v>6.2</v>
      </c>
      <c r="AB498" s="56">
        <v>6.1</v>
      </c>
      <c r="AC498" s="56">
        <v>0.91710000000000003</v>
      </c>
      <c r="AD498" s="56">
        <v>6.12</v>
      </c>
      <c r="AE498" s="56">
        <v>6.2</v>
      </c>
      <c r="AF498" s="56">
        <f t="shared" si="168"/>
        <v>6.2</v>
      </c>
      <c r="AG498" s="57">
        <v>5.34</v>
      </c>
      <c r="AH498" s="103">
        <v>6.06E-8</v>
      </c>
      <c r="AI498" s="103">
        <v>4.9899999999999997E-6</v>
      </c>
      <c r="AJ498" s="62">
        <f t="shared" si="169"/>
        <v>-5.6060937021463655</v>
      </c>
      <c r="AK498" s="62">
        <f>LOG10(AI498*1000/(0.08206*298.15))</f>
        <v>-3.6904657806892618</v>
      </c>
      <c r="AL498" s="62">
        <f t="shared" si="170"/>
        <v>-3.6904657806892618</v>
      </c>
      <c r="AM498" s="62">
        <v>-16.417359999999999</v>
      </c>
      <c r="AN498" s="154">
        <v>-4.7300000000000004</v>
      </c>
      <c r="AO498" s="410"/>
      <c r="AP498" s="410"/>
      <c r="AQ498" s="154" t="s">
        <v>6311</v>
      </c>
      <c r="AR498" s="154" t="s">
        <v>6312</v>
      </c>
      <c r="AS498" s="149" t="s">
        <v>6</v>
      </c>
      <c r="AT498" s="58" t="s">
        <v>266</v>
      </c>
      <c r="AU498" s="56">
        <v>2</v>
      </c>
      <c r="AV498" s="56">
        <v>120</v>
      </c>
      <c r="AW498" s="56">
        <v>120</v>
      </c>
      <c r="AX498" s="56">
        <v>28</v>
      </c>
      <c r="AY498" s="56" t="s">
        <v>8722</v>
      </c>
      <c r="AZ498" s="56" t="s">
        <v>536</v>
      </c>
      <c r="BA498" s="56" t="s">
        <v>8722</v>
      </c>
      <c r="BB498" s="55" t="s">
        <v>2087</v>
      </c>
      <c r="BC498" s="55" t="s">
        <v>2088</v>
      </c>
      <c r="BD498" s="55"/>
      <c r="BE498" s="56" t="s">
        <v>271</v>
      </c>
      <c r="BF498" s="56" t="s">
        <v>272</v>
      </c>
      <c r="BG498" s="56" t="s">
        <v>272</v>
      </c>
      <c r="BH498" s="56" t="s">
        <v>2089</v>
      </c>
      <c r="BI498" s="157">
        <v>1.9793749134023476E-5</v>
      </c>
      <c r="BJ498" s="157">
        <v>1.9793749134023477E-4</v>
      </c>
      <c r="BK498" s="56"/>
      <c r="BL498" s="103">
        <f>10^((-0.8981*Z498)+1.7108)</f>
        <v>1.4472448073088402E-4</v>
      </c>
      <c r="BM498" s="56" t="s">
        <v>2090</v>
      </c>
      <c r="BN498" s="56"/>
      <c r="BO498" s="56"/>
      <c r="BP498" s="56"/>
      <c r="BQ498" s="56"/>
      <c r="BR498" s="56"/>
      <c r="BS498" s="56"/>
      <c r="BT498" s="56">
        <v>7.9174996536093904E-5</v>
      </c>
      <c r="BU498" s="158"/>
      <c r="BV498" s="56"/>
      <c r="BW498" s="56"/>
      <c r="BX498" s="56"/>
      <c r="BY498" s="56"/>
      <c r="BZ498" s="56"/>
      <c r="CA498" s="56"/>
      <c r="CB498" s="56"/>
      <c r="CC498" s="56"/>
      <c r="CD498" s="56"/>
      <c r="CE498" s="56"/>
      <c r="CF498" s="56"/>
      <c r="CG498" s="56"/>
      <c r="CH498" s="56"/>
      <c r="CI498" s="103">
        <f t="shared" si="163"/>
        <v>7.9174996536093904E-5</v>
      </c>
      <c r="CJ498" s="103">
        <f t="shared" si="164"/>
        <v>-4.1014119469564339</v>
      </c>
      <c r="CK498" s="57">
        <f t="shared" si="182"/>
        <v>0.73116254910049905</v>
      </c>
      <c r="CL498" s="160">
        <f t="shared" si="181"/>
        <v>1.8279063727512479</v>
      </c>
      <c r="CM498" s="160"/>
      <c r="CN498" s="160"/>
      <c r="CO498" s="55"/>
      <c r="CP498" s="55" t="s">
        <v>2091</v>
      </c>
      <c r="CQ498" s="149">
        <v>-5.9521777723828144</v>
      </c>
      <c r="CR498" s="349">
        <f>10^(CJ498-CQ498)</f>
        <v>70.919526188154663</v>
      </c>
      <c r="CS498" s="61" t="s">
        <v>539</v>
      </c>
      <c r="CT498" s="61"/>
      <c r="CU498" s="111">
        <f t="shared" si="173"/>
        <v>5.0000989707046715E-2</v>
      </c>
      <c r="CV498" s="331">
        <f t="shared" si="183"/>
        <v>2.0000395882818683E-2</v>
      </c>
      <c r="CW498" s="326">
        <f t="shared" si="165"/>
        <v>0</v>
      </c>
      <c r="CX498" s="326"/>
      <c r="CY498" s="161" t="s">
        <v>5921</v>
      </c>
    </row>
    <row r="499" spans="1:103" ht="11.25" customHeight="1" x14ac:dyDescent="0.2">
      <c r="A499" s="72">
        <v>497</v>
      </c>
      <c r="B499" s="149">
        <v>178</v>
      </c>
      <c r="C499" s="54" t="s">
        <v>913</v>
      </c>
      <c r="D499" s="54" t="s">
        <v>6532</v>
      </c>
      <c r="E499" s="59"/>
      <c r="F499" s="59" t="s">
        <v>914</v>
      </c>
      <c r="G499" s="151">
        <v>71751412</v>
      </c>
      <c r="H499" s="55" t="s">
        <v>915</v>
      </c>
      <c r="I499" s="55" t="s">
        <v>7910</v>
      </c>
      <c r="J499" s="55" t="s">
        <v>916</v>
      </c>
      <c r="K499" s="55"/>
      <c r="L499" s="55" t="s">
        <v>617</v>
      </c>
      <c r="M499" s="55" t="s">
        <v>917</v>
      </c>
      <c r="N499" s="60"/>
      <c r="O499" s="55" t="s">
        <v>918</v>
      </c>
      <c r="P499" s="67"/>
      <c r="Q499" s="67"/>
      <c r="R499" s="67"/>
      <c r="S499" s="67"/>
      <c r="T499" s="56">
        <v>873.08</v>
      </c>
      <c r="U499" s="103"/>
      <c r="V499" s="103"/>
      <c r="W499" s="103">
        <v>0.22387211385683381</v>
      </c>
      <c r="X499" s="103">
        <f>IF(W499=0,V499,W499)</f>
        <v>0.22387211385683381</v>
      </c>
      <c r="Y499" s="162">
        <v>7</v>
      </c>
      <c r="Z499" s="56"/>
      <c r="AA499" s="56"/>
      <c r="AB499" s="56">
        <v>5.35</v>
      </c>
      <c r="AC499" s="56">
        <v>0.43709999999999999</v>
      </c>
      <c r="AD499" s="56">
        <v>5.94</v>
      </c>
      <c r="AE499" s="56">
        <v>6.51</v>
      </c>
      <c r="AF499" s="56">
        <f t="shared" si="168"/>
        <v>5.94</v>
      </c>
      <c r="AG499" s="57">
        <v>4.5199999999999996</v>
      </c>
      <c r="AH499" s="103"/>
      <c r="AI499" s="103"/>
      <c r="AJ499" s="62"/>
      <c r="AK499" s="62"/>
      <c r="AL499" s="62"/>
      <c r="AM499" s="62">
        <v>-40.112469999999995</v>
      </c>
      <c r="AN499" s="154">
        <v>-29.9</v>
      </c>
      <c r="AO499" s="410">
        <v>12.42</v>
      </c>
      <c r="AP499" s="410"/>
      <c r="AQ499" s="154" t="s">
        <v>6311</v>
      </c>
      <c r="AR499" s="154" t="s">
        <v>6311</v>
      </c>
      <c r="AS499" s="149" t="s">
        <v>919</v>
      </c>
      <c r="AT499" s="58" t="s">
        <v>266</v>
      </c>
      <c r="AU499" s="56">
        <v>8</v>
      </c>
      <c r="AV499" s="56">
        <v>144</v>
      </c>
      <c r="AW499" s="56">
        <v>120</v>
      </c>
      <c r="AX499" s="56">
        <v>26</v>
      </c>
      <c r="AY499" s="56" t="s">
        <v>267</v>
      </c>
      <c r="AZ499" s="56" t="s">
        <v>268</v>
      </c>
      <c r="BA499" s="56">
        <v>2</v>
      </c>
      <c r="BB499" s="55" t="s">
        <v>888</v>
      </c>
      <c r="BC499" s="55" t="s">
        <v>270</v>
      </c>
      <c r="BD499" s="55" t="s">
        <v>8374</v>
      </c>
      <c r="BE499" s="56" t="s">
        <v>889</v>
      </c>
      <c r="BF499" s="56" t="s">
        <v>272</v>
      </c>
      <c r="BG499" s="56" t="s">
        <v>272</v>
      </c>
      <c r="BH499" s="56" t="s">
        <v>890</v>
      </c>
      <c r="BI499" s="103">
        <v>9.9999999999999995E-7</v>
      </c>
      <c r="BJ499" s="103">
        <v>0.08</v>
      </c>
      <c r="BK499" s="56"/>
      <c r="BL499" s="103"/>
      <c r="BM499" s="56" t="s">
        <v>891</v>
      </c>
      <c r="BN499" s="162"/>
      <c r="BO499" s="162"/>
      <c r="BP499" s="162"/>
      <c r="BQ499" s="162"/>
      <c r="BR499" s="162"/>
      <c r="BS499" s="56">
        <v>3.6310402349295194E-5</v>
      </c>
      <c r="BT499" s="162"/>
      <c r="BU499" s="158"/>
      <c r="BV499" s="162"/>
      <c r="BW499" s="162"/>
      <c r="BX499" s="162"/>
      <c r="BY499" s="162"/>
      <c r="BZ499" s="162"/>
      <c r="CA499" s="162"/>
      <c r="CB499" s="162"/>
      <c r="CC499" s="56"/>
      <c r="CD499" s="56"/>
      <c r="CE499" s="56"/>
      <c r="CF499" s="56"/>
      <c r="CG499" s="56"/>
      <c r="CH499" s="56"/>
      <c r="CI499" s="103">
        <f t="shared" si="163"/>
        <v>3.6310402349295194E-5</v>
      </c>
      <c r="CJ499" s="103">
        <f t="shared" si="164"/>
        <v>-4.439968938718323</v>
      </c>
      <c r="CK499" s="57">
        <f t="shared" si="182"/>
        <v>0</v>
      </c>
      <c r="CL499" s="160">
        <f t="shared" si="181"/>
        <v>0</v>
      </c>
      <c r="CM499" s="160"/>
      <c r="CN499" s="160"/>
      <c r="CO499" s="55" t="s">
        <v>892</v>
      </c>
      <c r="CP499" s="55" t="s">
        <v>893</v>
      </c>
      <c r="CQ499" s="149">
        <v>-3.1122353103240314</v>
      </c>
      <c r="CR499" s="349">
        <f>10^(CJ499-CQ499)</f>
        <v>4.7018240340583731E-2</v>
      </c>
      <c r="CS499" s="61" t="s">
        <v>539</v>
      </c>
      <c r="CT499" s="61"/>
      <c r="CU499" s="111">
        <f t="shared" si="173"/>
        <v>6165.5090379679941</v>
      </c>
      <c r="CV499" s="331">
        <f t="shared" si="183"/>
        <v>2.7984014232104224</v>
      </c>
      <c r="CW499" s="326">
        <f t="shared" si="165"/>
        <v>1</v>
      </c>
      <c r="CX499" s="326" t="s">
        <v>539</v>
      </c>
      <c r="CY499" s="161" t="s">
        <v>5921</v>
      </c>
    </row>
    <row r="500" spans="1:103" ht="11.25" customHeight="1" x14ac:dyDescent="0.2">
      <c r="A500" s="72">
        <v>498</v>
      </c>
      <c r="B500" s="149">
        <v>827</v>
      </c>
      <c r="C500" s="54" t="s">
        <v>6785</v>
      </c>
      <c r="D500" s="54" t="s">
        <v>6786</v>
      </c>
      <c r="E500" s="59"/>
      <c r="F500" s="59" t="s">
        <v>2355</v>
      </c>
      <c r="G500" s="151">
        <v>13463417</v>
      </c>
      <c r="H500" s="55" t="s">
        <v>2356</v>
      </c>
      <c r="I500" s="55" t="s">
        <v>2356</v>
      </c>
      <c r="J500" s="55" t="s">
        <v>2357</v>
      </c>
      <c r="K500" s="55" t="s">
        <v>6617</v>
      </c>
      <c r="L500" s="55" t="s">
        <v>5929</v>
      </c>
      <c r="M500" s="55" t="s">
        <v>2342</v>
      </c>
      <c r="N500" s="60" t="s">
        <v>2342</v>
      </c>
      <c r="O500" s="55"/>
      <c r="P500" s="67"/>
      <c r="Q500" s="67"/>
      <c r="R500" s="67"/>
      <c r="S500" s="67"/>
      <c r="T500" s="56">
        <v>317.7</v>
      </c>
      <c r="U500" s="103"/>
      <c r="V500" s="103">
        <v>1534.7812401636766</v>
      </c>
      <c r="W500" s="103"/>
      <c r="X500" s="103">
        <f>IF(W500=0,V500,W500)</f>
        <v>1534.7812401636766</v>
      </c>
      <c r="Y500" s="162"/>
      <c r="Z500" s="56">
        <v>-1.99</v>
      </c>
      <c r="AA500" s="56"/>
      <c r="AB500" s="56"/>
      <c r="AC500" s="56"/>
      <c r="AD500" s="56"/>
      <c r="AE500" s="56"/>
      <c r="AF500" s="56"/>
      <c r="AG500" s="57" t="s">
        <v>5921</v>
      </c>
      <c r="AH500" s="103">
        <v>8.1399999999999998E-22</v>
      </c>
      <c r="AI500" s="103"/>
      <c r="AJ500" s="62">
        <f t="shared" ref="AJ500:AJ531" si="184">LOG10(AH500*1000/(0.08206*298.15))</f>
        <v>-19.477941921423451</v>
      </c>
      <c r="AK500" s="62"/>
      <c r="AL500" s="62">
        <f t="shared" ref="AL500:AL531" si="185">IF(AK500=0,AJ500,AK500)</f>
        <v>-19.477941921423451</v>
      </c>
      <c r="AM500" s="62"/>
      <c r="AN500" s="154"/>
      <c r="AO500" s="410"/>
      <c r="AP500" s="410"/>
      <c r="AQ500" s="56" t="s">
        <v>6311</v>
      </c>
      <c r="AR500" s="56" t="s">
        <v>6311</v>
      </c>
      <c r="AS500" s="149" t="s">
        <v>6</v>
      </c>
      <c r="AT500" s="58" t="s">
        <v>266</v>
      </c>
      <c r="AU500" s="61">
        <v>0</v>
      </c>
      <c r="AV500" s="56">
        <v>96</v>
      </c>
      <c r="AW500" s="56">
        <v>96</v>
      </c>
      <c r="AX500" s="56">
        <v>25</v>
      </c>
      <c r="AY500" s="56" t="s">
        <v>1780</v>
      </c>
      <c r="AZ500" s="56" t="s">
        <v>2358</v>
      </c>
      <c r="BA500" s="472" t="s">
        <v>2359</v>
      </c>
      <c r="BB500" s="55" t="s">
        <v>2360</v>
      </c>
      <c r="BC500" s="55" t="s">
        <v>2361</v>
      </c>
      <c r="BD500" s="55"/>
      <c r="BE500" s="56" t="s">
        <v>271</v>
      </c>
      <c r="BF500" s="56" t="s">
        <v>8722</v>
      </c>
      <c r="BG500" s="56" t="s">
        <v>2362</v>
      </c>
      <c r="BH500" s="56" t="s">
        <v>2363</v>
      </c>
      <c r="BI500" s="157">
        <v>9.4428706326723324E-6</v>
      </c>
      <c r="BJ500" s="157">
        <v>9.4428706326723328E-4</v>
      </c>
      <c r="BK500" s="56"/>
      <c r="BL500" s="103">
        <f>10^((-0.8981*Z500)+1.7108)</f>
        <v>3147.8860283222793</v>
      </c>
      <c r="BM500" s="56" t="s">
        <v>1584</v>
      </c>
      <c r="BN500" s="56"/>
      <c r="BO500" s="56"/>
      <c r="BP500" s="56"/>
      <c r="BQ500" s="56">
        <f>(0.000028328611898017+0.0000157381177211206)/2</f>
        <v>2.2033364809568802E-5</v>
      </c>
      <c r="BR500" s="56"/>
      <c r="BS500" s="56"/>
      <c r="BT500" s="56"/>
      <c r="BU500" s="158"/>
      <c r="BV500" s="56"/>
      <c r="BW500" s="56"/>
      <c r="BX500" s="56"/>
      <c r="BY500" s="56"/>
      <c r="BZ500" s="56"/>
      <c r="CA500" s="56"/>
      <c r="CB500" s="56"/>
      <c r="CC500" s="56"/>
      <c r="CD500" s="56"/>
      <c r="CE500" s="56"/>
      <c r="CF500" s="56"/>
      <c r="CG500" s="56"/>
      <c r="CH500" s="56"/>
      <c r="CI500" s="103">
        <f t="shared" si="163"/>
        <v>2.2033364809568802E-5</v>
      </c>
      <c r="CJ500" s="103">
        <f t="shared" si="164"/>
        <v>-4.6569191748128898</v>
      </c>
      <c r="CK500" s="57">
        <f t="shared" si="182"/>
        <v>3333611.3039932935</v>
      </c>
      <c r="CL500" s="160">
        <f t="shared" si="181"/>
        <v>142869055.8854267</v>
      </c>
      <c r="CM500" s="160"/>
      <c r="CN500" s="160"/>
      <c r="CO500" s="55"/>
      <c r="CP500" s="55" t="s">
        <v>2364</v>
      </c>
      <c r="CQ500" s="149">
        <v>-5.0419555516817853</v>
      </c>
      <c r="CR500" s="349">
        <f>10^(CJ500-CQ500)</f>
        <v>2.4268133584853815</v>
      </c>
      <c r="CS500" s="61" t="s">
        <v>539</v>
      </c>
      <c r="CT500" s="61"/>
      <c r="CU500" s="111">
        <f t="shared" si="173"/>
        <v>69657142.857142776</v>
      </c>
      <c r="CV500" s="331">
        <f t="shared" si="183"/>
        <v>1625333.3333333335</v>
      </c>
      <c r="CW500" s="326">
        <f t="shared" si="165"/>
        <v>1</v>
      </c>
      <c r="CX500" s="326"/>
      <c r="CY500" s="161" t="s">
        <v>6351</v>
      </c>
    </row>
    <row r="501" spans="1:103" ht="11.25" customHeight="1" x14ac:dyDescent="0.2">
      <c r="A501" s="72">
        <v>499</v>
      </c>
      <c r="B501" s="149">
        <v>318</v>
      </c>
      <c r="C501" s="54" t="s">
        <v>1239</v>
      </c>
      <c r="D501" s="54" t="s">
        <v>6578</v>
      </c>
      <c r="E501" s="59"/>
      <c r="F501" s="59" t="s">
        <v>1240</v>
      </c>
      <c r="G501" s="151">
        <v>117337196</v>
      </c>
      <c r="H501" s="55" t="s">
        <v>1241</v>
      </c>
      <c r="I501" s="55" t="s">
        <v>7911</v>
      </c>
      <c r="J501" s="55" t="s">
        <v>1242</v>
      </c>
      <c r="K501" s="55" t="s">
        <v>1243</v>
      </c>
      <c r="L501" s="55" t="s">
        <v>5994</v>
      </c>
      <c r="M501" s="55" t="s">
        <v>6082</v>
      </c>
      <c r="N501" s="60" t="s">
        <v>6082</v>
      </c>
      <c r="O501" s="55" t="s">
        <v>6083</v>
      </c>
      <c r="P501" s="67"/>
      <c r="Q501" s="67"/>
      <c r="R501" s="67"/>
      <c r="S501" s="67"/>
      <c r="T501" s="56">
        <v>403.88</v>
      </c>
      <c r="U501" s="103">
        <v>2.1045855204516193E-3</v>
      </c>
      <c r="V501" s="103">
        <v>4.3280182232346238E-3</v>
      </c>
      <c r="W501" s="103">
        <v>0.10715193052376051</v>
      </c>
      <c r="X501" s="103">
        <v>2.1045855204516193E-3</v>
      </c>
      <c r="Y501" s="162">
        <v>7</v>
      </c>
      <c r="Z501" s="56">
        <v>2.59</v>
      </c>
      <c r="AA501" s="56">
        <v>3.77</v>
      </c>
      <c r="AB501" s="56">
        <v>3.8</v>
      </c>
      <c r="AC501" s="56">
        <v>0.71419999999999995</v>
      </c>
      <c r="AD501" s="56">
        <v>3.16</v>
      </c>
      <c r="AE501" s="56">
        <v>1.4</v>
      </c>
      <c r="AF501" s="56">
        <f t="shared" ref="AF501:AF532" si="186">IF(AA501=0,AD501,AA501)</f>
        <v>3.77</v>
      </c>
      <c r="AG501" s="57">
        <v>3.89</v>
      </c>
      <c r="AH501" s="103">
        <v>8.7700000000000001E-15</v>
      </c>
      <c r="AI501" s="103">
        <v>2.0700000000000001E-9</v>
      </c>
      <c r="AJ501" s="62">
        <f t="shared" si="184"/>
        <v>-12.445566732946611</v>
      </c>
      <c r="AK501" s="62">
        <f>LOG10(AI501*1000/(0.08206*298.15))</f>
        <v>-7.0725959808557342</v>
      </c>
      <c r="AL501" s="62">
        <f t="shared" si="185"/>
        <v>-7.0725959808557342</v>
      </c>
      <c r="AM501" s="62">
        <v>-18.93338</v>
      </c>
      <c r="AN501" s="154">
        <v>-11.4</v>
      </c>
      <c r="AO501" s="410"/>
      <c r="AP501" s="410">
        <v>-2.86</v>
      </c>
      <c r="AQ501" s="154" t="s">
        <v>6311</v>
      </c>
      <c r="AR501" s="154" t="s">
        <v>6314</v>
      </c>
      <c r="AS501" s="149" t="s">
        <v>6</v>
      </c>
      <c r="AT501" s="58" t="s">
        <v>266</v>
      </c>
      <c r="AU501" s="56">
        <v>8</v>
      </c>
      <c r="AV501" s="56">
        <v>144</v>
      </c>
      <c r="AW501" s="56">
        <v>120</v>
      </c>
      <c r="AX501" s="56">
        <v>26</v>
      </c>
      <c r="AY501" s="56" t="s">
        <v>267</v>
      </c>
      <c r="AZ501" s="56" t="s">
        <v>268</v>
      </c>
      <c r="BA501" s="56">
        <v>2</v>
      </c>
      <c r="BB501" s="55" t="s">
        <v>888</v>
      </c>
      <c r="BC501" s="55" t="s">
        <v>270</v>
      </c>
      <c r="BD501" s="55" t="s">
        <v>8374</v>
      </c>
      <c r="BE501" s="56" t="s">
        <v>889</v>
      </c>
      <c r="BF501" s="56" t="s">
        <v>272</v>
      </c>
      <c r="BG501" s="56" t="s">
        <v>272</v>
      </c>
      <c r="BH501" s="56" t="s">
        <v>890</v>
      </c>
      <c r="BI501" s="103">
        <v>9.9999999999999995E-7</v>
      </c>
      <c r="BJ501" s="103">
        <v>0.08</v>
      </c>
      <c r="BK501" s="56"/>
      <c r="BL501" s="103">
        <f>10^((-0.8981*Z501)+1.7108)</f>
        <v>0.2425051689843753</v>
      </c>
      <c r="BM501" s="56" t="s">
        <v>891</v>
      </c>
      <c r="BN501" s="162"/>
      <c r="BO501" s="162"/>
      <c r="BP501" s="162"/>
      <c r="BQ501" s="162"/>
      <c r="BR501" s="162"/>
      <c r="BS501" s="56">
        <v>2.0899760764181009E-5</v>
      </c>
      <c r="BT501" s="162"/>
      <c r="BU501" s="158"/>
      <c r="BV501" s="162"/>
      <c r="BW501" s="162"/>
      <c r="BX501" s="162"/>
      <c r="BY501" s="162"/>
      <c r="BZ501" s="162"/>
      <c r="CA501" s="162"/>
      <c r="CB501" s="162"/>
      <c r="CC501" s="56"/>
      <c r="CD501" s="56"/>
      <c r="CE501" s="56"/>
      <c r="CF501" s="56"/>
      <c r="CG501" s="56"/>
      <c r="CH501" s="56"/>
      <c r="CI501" s="103">
        <f t="shared" si="163"/>
        <v>2.0899760764181009E-5</v>
      </c>
      <c r="CJ501" s="103">
        <f t="shared" si="164"/>
        <v>-4.6798586851516593</v>
      </c>
      <c r="CK501" s="57">
        <f t="shared" si="182"/>
        <v>3.031314612304691</v>
      </c>
      <c r="CL501" s="160">
        <f t="shared" si="181"/>
        <v>11603.250952039223</v>
      </c>
      <c r="CM501" s="160">
        <v>-3.9727838920080902</v>
      </c>
      <c r="CN501" s="160">
        <f>BJ501/(10^CM501)</f>
        <v>751.40465116279222</v>
      </c>
      <c r="CO501" s="55" t="s">
        <v>892</v>
      </c>
      <c r="CP501" s="55" t="s">
        <v>893</v>
      </c>
      <c r="CQ501" s="149">
        <v>-3.7164541019587642</v>
      </c>
      <c r="CR501" s="349">
        <f>10^(CJ501-CQ501)</f>
        <v>0.10879161323352776</v>
      </c>
      <c r="CS501" s="61" t="s">
        <v>539</v>
      </c>
      <c r="CT501" s="61"/>
      <c r="CU501" s="111">
        <f t="shared" si="173"/>
        <v>100.69902446245015</v>
      </c>
      <c r="CV501" s="331">
        <f t="shared" si="183"/>
        <v>2.630731900564524E-2</v>
      </c>
      <c r="CW501" s="326">
        <f t="shared" si="165"/>
        <v>1</v>
      </c>
      <c r="CX501" s="326" t="s">
        <v>539</v>
      </c>
      <c r="CY501" s="161" t="s">
        <v>5921</v>
      </c>
    </row>
    <row r="502" spans="1:103" ht="11.25" customHeight="1" x14ac:dyDescent="0.2">
      <c r="A502" s="72">
        <v>500</v>
      </c>
      <c r="B502" s="149">
        <v>810</v>
      </c>
      <c r="C502" s="54" t="s">
        <v>6787</v>
      </c>
      <c r="D502" s="54"/>
      <c r="E502" s="59"/>
      <c r="F502" s="59" t="s">
        <v>2300</v>
      </c>
      <c r="G502" s="151">
        <v>130370</v>
      </c>
      <c r="H502" s="55" t="s">
        <v>2301</v>
      </c>
      <c r="I502" s="55" t="s">
        <v>7912</v>
      </c>
      <c r="J502" s="55" t="s">
        <v>2302</v>
      </c>
      <c r="K502" s="55" t="s">
        <v>426</v>
      </c>
      <c r="L502" s="55"/>
      <c r="M502" s="55"/>
      <c r="N502" s="60"/>
      <c r="O502" s="55"/>
      <c r="P502" s="67"/>
      <c r="Q502" s="67"/>
      <c r="R502" s="67"/>
      <c r="S502" s="67"/>
      <c r="T502" s="56">
        <v>254.26</v>
      </c>
      <c r="U502" s="103"/>
      <c r="V502" s="103">
        <v>509.32116730905375</v>
      </c>
      <c r="W502" s="103">
        <v>87.096358995608014</v>
      </c>
      <c r="X502" s="103">
        <f>IF(W502=0,V502,W502)</f>
        <v>87.096358995608014</v>
      </c>
      <c r="Y502" s="162">
        <v>1.0900000000000001</v>
      </c>
      <c r="Z502" s="56">
        <v>-0.89</v>
      </c>
      <c r="AA502" s="56"/>
      <c r="AB502" s="56">
        <v>-0.73</v>
      </c>
      <c r="AC502" s="56">
        <v>0.44119999999999998</v>
      </c>
      <c r="AD502" s="56">
        <v>-0.4</v>
      </c>
      <c r="AE502" s="56">
        <v>-0.09</v>
      </c>
      <c r="AF502" s="56">
        <f t="shared" si="186"/>
        <v>-0.4</v>
      </c>
      <c r="AG502" s="57">
        <v>3.37</v>
      </c>
      <c r="AH502" s="103">
        <v>1.7899999999999999E-15</v>
      </c>
      <c r="AI502" s="103"/>
      <c r="AJ502" s="62">
        <f t="shared" si="184"/>
        <v>-13.135713295332758</v>
      </c>
      <c r="AK502" s="62"/>
      <c r="AL502" s="62">
        <f t="shared" si="185"/>
        <v>-13.135713295332758</v>
      </c>
      <c r="AM502" s="62">
        <v>-17.937249999999999</v>
      </c>
      <c r="AN502" s="154">
        <v>-10.3</v>
      </c>
      <c r="AO502" s="410">
        <v>-0.14000000000000001</v>
      </c>
      <c r="AP502" s="410"/>
      <c r="AQ502" s="154" t="s">
        <v>6311</v>
      </c>
      <c r="AR502" s="154" t="s">
        <v>6311</v>
      </c>
      <c r="AS502" s="149" t="s">
        <v>6</v>
      </c>
      <c r="AT502" s="58" t="s">
        <v>266</v>
      </c>
      <c r="AU502" s="155"/>
      <c r="AV502" s="56">
        <v>96</v>
      </c>
      <c r="AW502" s="56">
        <v>96</v>
      </c>
      <c r="AX502" s="56">
        <v>26</v>
      </c>
      <c r="AY502" s="56" t="s">
        <v>8722</v>
      </c>
      <c r="AZ502" s="56" t="s">
        <v>536</v>
      </c>
      <c r="BA502" s="56">
        <v>20</v>
      </c>
      <c r="BB502" s="55" t="s">
        <v>1764</v>
      </c>
      <c r="BC502" s="55" t="s">
        <v>538</v>
      </c>
      <c r="BD502" s="55"/>
      <c r="BE502" s="56" t="s">
        <v>8722</v>
      </c>
      <c r="BF502" s="56" t="s">
        <v>8722</v>
      </c>
      <c r="BG502" s="56" t="s">
        <v>8722</v>
      </c>
      <c r="BH502" s="56" t="s">
        <v>8722</v>
      </c>
      <c r="BI502" s="103" t="s">
        <v>8722</v>
      </c>
      <c r="BJ502" s="103" t="s">
        <v>8722</v>
      </c>
      <c r="BK502" s="56"/>
      <c r="BL502" s="103">
        <f>10^((-0.8981*Z502)+1.7108)</f>
        <v>323.67488323280207</v>
      </c>
      <c r="BM502" s="55" t="s">
        <v>1640</v>
      </c>
      <c r="BN502" s="56"/>
      <c r="BO502" s="155">
        <f>(0.000661526+0.000756444+0.000740769)/3</f>
        <v>7.1957966666666656E-4</v>
      </c>
      <c r="BP502" s="56"/>
      <c r="BQ502" s="56">
        <f>(0.000522227+0.000448632+0.000512272)/3</f>
        <v>4.9437699999999995E-4</v>
      </c>
      <c r="BR502" s="56"/>
      <c r="BS502" s="56"/>
      <c r="BT502" s="56"/>
      <c r="BU502" s="158"/>
      <c r="BV502" s="56"/>
      <c r="BW502" s="56"/>
      <c r="BX502" s="56"/>
      <c r="BY502" s="56"/>
      <c r="BZ502" s="56"/>
      <c r="CA502" s="56"/>
      <c r="CB502" s="56"/>
      <c r="CC502" s="56"/>
      <c r="CD502" s="56"/>
      <c r="CE502" s="56"/>
      <c r="CF502" s="56"/>
      <c r="CG502" s="56"/>
      <c r="CH502" s="56"/>
      <c r="CI502" s="103">
        <f t="shared" si="163"/>
        <v>4.9437699999999995E-4</v>
      </c>
      <c r="CJ502" s="103">
        <f t="shared" si="164"/>
        <v>-3.3059417422182595</v>
      </c>
      <c r="CK502" s="57" t="s">
        <v>404</v>
      </c>
      <c r="CL502" s="160">
        <f t="shared" si="181"/>
        <v>654712.66509728832</v>
      </c>
      <c r="CM502" s="160"/>
      <c r="CN502" s="160"/>
      <c r="CO502" s="55"/>
      <c r="CP502" s="55" t="s">
        <v>2277</v>
      </c>
      <c r="CQ502" s="149" t="s">
        <v>272</v>
      </c>
      <c r="CR502" s="349"/>
      <c r="CS502" s="61" t="s">
        <v>539</v>
      </c>
      <c r="CT502" s="61"/>
      <c r="CU502" s="111">
        <f t="shared" si="173"/>
        <v>176173.97046304343</v>
      </c>
      <c r="CV502" s="331"/>
      <c r="CW502" s="326">
        <f t="shared" si="165"/>
        <v>1</v>
      </c>
      <c r="CX502" s="326"/>
      <c r="CY502" s="161" t="s">
        <v>5921</v>
      </c>
    </row>
    <row r="503" spans="1:103" ht="11.25" customHeight="1" x14ac:dyDescent="0.2">
      <c r="A503" s="72">
        <v>501</v>
      </c>
      <c r="B503" s="149">
        <v>805</v>
      </c>
      <c r="C503" s="54" t="s">
        <v>6788</v>
      </c>
      <c r="D503" s="54"/>
      <c r="E503" s="59"/>
      <c r="F503" s="59" t="s">
        <v>2278</v>
      </c>
      <c r="G503" s="151">
        <v>100630</v>
      </c>
      <c r="H503" s="55" t="s">
        <v>2279</v>
      </c>
      <c r="I503" s="55" t="s">
        <v>2279</v>
      </c>
      <c r="J503" s="55" t="s">
        <v>2280</v>
      </c>
      <c r="K503" s="55" t="s">
        <v>2281</v>
      </c>
      <c r="L503" s="55"/>
      <c r="M503" s="55"/>
      <c r="N503" s="60"/>
      <c r="O503" s="55"/>
      <c r="P503" s="67"/>
      <c r="Q503" s="67"/>
      <c r="R503" s="67"/>
      <c r="S503" s="67"/>
      <c r="T503" s="56">
        <v>108.14</v>
      </c>
      <c r="U503" s="103">
        <v>1174.403550952469</v>
      </c>
      <c r="V503" s="103">
        <v>87.340484557055674</v>
      </c>
      <c r="W503" s="103">
        <v>204.1737944669529</v>
      </c>
      <c r="X503" s="103">
        <v>1174.403550952469</v>
      </c>
      <c r="Y503" s="162">
        <v>9.3000000000000007</v>
      </c>
      <c r="Z503" s="56">
        <v>0.79</v>
      </c>
      <c r="AA503" s="56">
        <v>1.25</v>
      </c>
      <c r="AB503" s="56">
        <v>1.3</v>
      </c>
      <c r="AC503" s="56">
        <v>0.85929999999999995</v>
      </c>
      <c r="AD503" s="56">
        <v>1.29</v>
      </c>
      <c r="AE503" s="56">
        <v>1.25</v>
      </c>
      <c r="AF503" s="56">
        <f t="shared" si="186"/>
        <v>1.25</v>
      </c>
      <c r="AG503" s="57">
        <v>0.88</v>
      </c>
      <c r="AH503" s="103">
        <v>7.9500000000000001E-9</v>
      </c>
      <c r="AI503" s="103">
        <v>4.42E-9</v>
      </c>
      <c r="AJ503" s="62">
        <f t="shared" si="184"/>
        <v>-6.4881991976561819</v>
      </c>
      <c r="AK503" s="62">
        <f>LOG10(AI503*1000/(0.08206*298.15))</f>
        <v>-6.7431440569635601</v>
      </c>
      <c r="AL503" s="62">
        <f t="shared" si="185"/>
        <v>-6.7431440569635601</v>
      </c>
      <c r="AM503" s="62">
        <v>-8.9870699999999992</v>
      </c>
      <c r="AN503" s="154">
        <v>-6.63</v>
      </c>
      <c r="AO503" s="410"/>
      <c r="AP503" s="410">
        <v>5.21</v>
      </c>
      <c r="AQ503" s="154" t="s">
        <v>6311</v>
      </c>
      <c r="AR503" s="154" t="s">
        <v>6311</v>
      </c>
      <c r="AS503" s="149" t="s">
        <v>6</v>
      </c>
      <c r="AT503" s="58" t="s">
        <v>266</v>
      </c>
      <c r="AU503" s="155"/>
      <c r="AV503" s="56">
        <v>96</v>
      </c>
      <c r="AW503" s="56">
        <v>96</v>
      </c>
      <c r="AX503" s="56">
        <v>26</v>
      </c>
      <c r="AY503" s="56" t="s">
        <v>8722</v>
      </c>
      <c r="AZ503" s="56" t="s">
        <v>536</v>
      </c>
      <c r="BA503" s="56">
        <v>20</v>
      </c>
      <c r="BB503" s="55" t="s">
        <v>1764</v>
      </c>
      <c r="BC503" s="55" t="s">
        <v>538</v>
      </c>
      <c r="BD503" s="55"/>
      <c r="BE503" s="56" t="s">
        <v>8722</v>
      </c>
      <c r="BF503" s="56" t="s">
        <v>8722</v>
      </c>
      <c r="BG503" s="56" t="s">
        <v>8722</v>
      </c>
      <c r="BH503" s="56" t="s">
        <v>8722</v>
      </c>
      <c r="BI503" s="103" t="s">
        <v>8722</v>
      </c>
      <c r="BJ503" s="103" t="s">
        <v>8722</v>
      </c>
      <c r="BK503" s="56"/>
      <c r="BL503" s="103">
        <f>10^((-0.8981*Z503)+1.7108)</f>
        <v>10.030001546888778</v>
      </c>
      <c r="BM503" s="55" t="s">
        <v>1640</v>
      </c>
      <c r="BN503" s="56"/>
      <c r="BO503" s="56"/>
      <c r="BP503" s="56"/>
      <c r="BQ503" s="56">
        <f>(0.0171074533012761+0.0106343628629554)/2</f>
        <v>1.3870908082115749E-2</v>
      </c>
      <c r="BR503" s="56"/>
      <c r="BS503" s="56"/>
      <c r="BT503" s="56"/>
      <c r="BU503" s="158"/>
      <c r="BV503" s="56"/>
      <c r="BW503" s="56"/>
      <c r="BX503" s="56"/>
      <c r="BY503" s="56"/>
      <c r="BZ503" s="56"/>
      <c r="CA503" s="56"/>
      <c r="CB503" s="56"/>
      <c r="CC503" s="56"/>
      <c r="CD503" s="56"/>
      <c r="CE503" s="56"/>
      <c r="CF503" s="56"/>
      <c r="CG503" s="56"/>
      <c r="CH503" s="56"/>
      <c r="CI503" s="103">
        <f t="shared" si="163"/>
        <v>1.3870908082115749E-2</v>
      </c>
      <c r="CJ503" s="103">
        <f t="shared" si="164"/>
        <v>-1.8578951061839255</v>
      </c>
      <c r="CK503" s="57" t="s">
        <v>404</v>
      </c>
      <c r="CL503" s="160">
        <f t="shared" si="181"/>
        <v>723.09624485370307</v>
      </c>
      <c r="CM503" s="160"/>
      <c r="CN503" s="160"/>
      <c r="CO503" s="55"/>
      <c r="CP503" s="55" t="s">
        <v>2277</v>
      </c>
      <c r="CQ503" s="149" t="s">
        <v>272</v>
      </c>
      <c r="CR503" s="349"/>
      <c r="CS503" s="61" t="s">
        <v>539</v>
      </c>
      <c r="CT503" s="61"/>
      <c r="CU503" s="111">
        <f t="shared" si="173"/>
        <v>84666.666666666832</v>
      </c>
      <c r="CV503" s="331"/>
      <c r="CW503" s="326">
        <f t="shared" si="165"/>
        <v>1</v>
      </c>
      <c r="CX503" s="326"/>
      <c r="CY503" s="161" t="s">
        <v>6351</v>
      </c>
    </row>
    <row r="504" spans="1:103" ht="11.25" customHeight="1" x14ac:dyDescent="0.2">
      <c r="A504" s="72">
        <v>502</v>
      </c>
      <c r="B504" s="149">
        <v>755</v>
      </c>
      <c r="C504" s="54" t="s">
        <v>1707</v>
      </c>
      <c r="D504" s="54" t="s">
        <v>6789</v>
      </c>
      <c r="E504" s="59"/>
      <c r="F504" s="59" t="s">
        <v>1708</v>
      </c>
      <c r="G504" s="151">
        <v>51630581</v>
      </c>
      <c r="H504" s="55" t="s">
        <v>1709</v>
      </c>
      <c r="I504" s="55" t="s">
        <v>7913</v>
      </c>
      <c r="J504" s="55" t="s">
        <v>1710</v>
      </c>
      <c r="K504" s="55" t="s">
        <v>1711</v>
      </c>
      <c r="L504" s="55" t="s">
        <v>617</v>
      </c>
      <c r="M504" s="55" t="s">
        <v>1086</v>
      </c>
      <c r="N504" s="60" t="s">
        <v>6388</v>
      </c>
      <c r="O504" s="55" t="s">
        <v>1365</v>
      </c>
      <c r="P504" s="67"/>
      <c r="Q504" s="67" t="s">
        <v>6173</v>
      </c>
      <c r="R504" s="67" t="s">
        <v>6174</v>
      </c>
      <c r="S504" s="67" t="s">
        <v>6176</v>
      </c>
      <c r="T504" s="56">
        <v>419.9</v>
      </c>
      <c r="U504" s="103">
        <v>4.7630388187663733E-6</v>
      </c>
      <c r="V504" s="103">
        <v>1.4527268397237439E-5</v>
      </c>
      <c r="W504" s="103">
        <v>6.1659500186148089E-5</v>
      </c>
      <c r="X504" s="103">
        <v>4.7630388187663733E-6</v>
      </c>
      <c r="Y504" s="162">
        <v>7</v>
      </c>
      <c r="Z504" s="56">
        <v>6.76</v>
      </c>
      <c r="AA504" s="56">
        <v>6.22</v>
      </c>
      <c r="AB504" s="56">
        <v>5.98</v>
      </c>
      <c r="AC504" s="56">
        <v>0.58919999999999995</v>
      </c>
      <c r="AD504" s="56">
        <v>6.28</v>
      </c>
      <c r="AE504" s="56">
        <v>6.67</v>
      </c>
      <c r="AF504" s="56">
        <f t="shared" si="186"/>
        <v>6.22</v>
      </c>
      <c r="AG504" s="57">
        <v>6.03</v>
      </c>
      <c r="AH504" s="103">
        <v>1.1899999999999999E-7</v>
      </c>
      <c r="AI504" s="103">
        <v>3.4499999999999998E-8</v>
      </c>
      <c r="AJ504" s="62">
        <f t="shared" si="184"/>
        <v>-5.3130193649201214</v>
      </c>
      <c r="AK504" s="62">
        <f>LOG10(AI504*1000/(0.08206*298.15))</f>
        <v>-5.850747231239378</v>
      </c>
      <c r="AL504" s="62">
        <f t="shared" si="185"/>
        <v>-5.850747231239378</v>
      </c>
      <c r="AM504" s="62">
        <v>-16.262410000000003</v>
      </c>
      <c r="AN504" s="154">
        <v>-6.07</v>
      </c>
      <c r="AO504" s="410"/>
      <c r="AP504" s="410"/>
      <c r="AQ504" s="154" t="s">
        <v>6311</v>
      </c>
      <c r="AR504" s="154" t="s">
        <v>6312</v>
      </c>
      <c r="AS504" s="149" t="s">
        <v>6</v>
      </c>
      <c r="AT504" s="58" t="s">
        <v>266</v>
      </c>
      <c r="AU504" s="56">
        <v>2</v>
      </c>
      <c r="AV504" s="56">
        <v>96</v>
      </c>
      <c r="AW504" s="56">
        <v>96</v>
      </c>
      <c r="AX504" s="56" t="s">
        <v>6240</v>
      </c>
      <c r="AY504" s="56" t="s">
        <v>1584</v>
      </c>
      <c r="AZ504" s="56" t="s">
        <v>536</v>
      </c>
      <c r="BA504" s="56">
        <v>10</v>
      </c>
      <c r="BB504" s="55" t="s">
        <v>1764</v>
      </c>
      <c r="BC504" s="55" t="s">
        <v>270</v>
      </c>
      <c r="BD504" s="55" t="s">
        <v>8374</v>
      </c>
      <c r="BE504" s="56" t="s">
        <v>1712</v>
      </c>
      <c r="BF504" s="56" t="s">
        <v>272</v>
      </c>
      <c r="BG504" s="56" t="s">
        <v>272</v>
      </c>
      <c r="BH504" s="56" t="s">
        <v>272</v>
      </c>
      <c r="BI504" s="157">
        <v>2.3814626943868923E-7</v>
      </c>
      <c r="BJ504" s="157">
        <v>1.1907313471934461E-3</v>
      </c>
      <c r="BK504" s="56"/>
      <c r="BL504" s="103">
        <f>10^((-0.8981*Z504)+1.7108)</f>
        <v>4.3615815797067237E-5</v>
      </c>
      <c r="BM504" s="56" t="s">
        <v>1584</v>
      </c>
      <c r="BN504" s="56"/>
      <c r="BO504" s="56">
        <v>4.2628182229525373E-5</v>
      </c>
      <c r="BP504" s="56"/>
      <c r="BQ504" s="56">
        <v>1.9742325736467339E-5</v>
      </c>
      <c r="BR504" s="56"/>
      <c r="BS504" s="56"/>
      <c r="BT504" s="56"/>
      <c r="BU504" s="158"/>
      <c r="BV504" s="56"/>
      <c r="BW504" s="56"/>
      <c r="BX504" s="56"/>
      <c r="BY504" s="56"/>
      <c r="BZ504" s="56"/>
      <c r="CA504" s="56"/>
      <c r="CB504" s="56"/>
      <c r="CC504" s="56"/>
      <c r="CD504" s="56"/>
      <c r="CE504" s="56"/>
      <c r="CF504" s="56"/>
      <c r="CG504" s="56"/>
      <c r="CH504" s="56"/>
      <c r="CI504" s="103">
        <f t="shared" si="163"/>
        <v>1.9742325736467339E-5</v>
      </c>
      <c r="CJ504" s="103">
        <f t="shared" si="164"/>
        <v>-4.7046016867718903</v>
      </c>
      <c r="CK504" s="57">
        <f>BL504/BJ504</f>
        <v>3.6629434422693008E-2</v>
      </c>
      <c r="CL504" s="160">
        <f t="shared" si="181"/>
        <v>2.2092541871346807</v>
      </c>
      <c r="CM504" s="160">
        <v>-5.7538858610952248</v>
      </c>
      <c r="CN504" s="160">
        <f>BJ504/(10^CM504)</f>
        <v>675.61556766048307</v>
      </c>
      <c r="CO504" s="55"/>
      <c r="CP504" s="55" t="s">
        <v>2133</v>
      </c>
      <c r="CQ504" s="149">
        <v>-5.400000814477691</v>
      </c>
      <c r="CR504" s="349">
        <f>10^(CJ504-CQ504)</f>
        <v>4.9590573146156167</v>
      </c>
      <c r="CS504" s="61" t="s">
        <v>539</v>
      </c>
      <c r="CT504" s="61"/>
      <c r="CU504" s="111">
        <f t="shared" si="173"/>
        <v>0.24126026904561976</v>
      </c>
      <c r="CV504" s="331">
        <f>X504/BJ504</f>
        <v>4.0000952607763757E-3</v>
      </c>
      <c r="CW504" s="326">
        <f t="shared" si="165"/>
        <v>0</v>
      </c>
      <c r="CX504" s="326" t="s">
        <v>539</v>
      </c>
      <c r="CY504" s="161" t="s">
        <v>5921</v>
      </c>
    </row>
    <row r="505" spans="1:103" ht="11.25" customHeight="1" x14ac:dyDescent="0.2">
      <c r="A505" s="72">
        <v>503</v>
      </c>
      <c r="B505" s="149">
        <v>829</v>
      </c>
      <c r="C505" s="54" t="s">
        <v>6790</v>
      </c>
      <c r="D505" s="54"/>
      <c r="E505" s="59"/>
      <c r="F505" s="59" t="s">
        <v>2368</v>
      </c>
      <c r="G505" s="151" t="s">
        <v>2369</v>
      </c>
      <c r="H505" s="55" t="s">
        <v>2370</v>
      </c>
      <c r="I505" s="55" t="s">
        <v>7914</v>
      </c>
      <c r="J505" s="55" t="s">
        <v>2371</v>
      </c>
      <c r="K505" s="55"/>
      <c r="L505" s="55"/>
      <c r="M505" s="55"/>
      <c r="N505" s="60"/>
      <c r="O505" s="55"/>
      <c r="P505" s="67"/>
      <c r="Q505" s="67"/>
      <c r="R505" s="67"/>
      <c r="S505" s="67"/>
      <c r="T505" s="56">
        <v>122.17</v>
      </c>
      <c r="U505" s="103">
        <f>1000000/122.17</f>
        <v>8185.3155439142174</v>
      </c>
      <c r="V505" s="103">
        <f>24580/122.17</f>
        <v>201.19505606941146</v>
      </c>
      <c r="W505" s="103">
        <v>154.88166189124809</v>
      </c>
      <c r="X505" s="103">
        <f>1000000/122.17</f>
        <v>8185.3155439142174</v>
      </c>
      <c r="Y505" s="162">
        <v>10.87</v>
      </c>
      <c r="Z505" s="56">
        <v>0.71</v>
      </c>
      <c r="AA505" s="56"/>
      <c r="AB505" s="56">
        <v>1.1499999999999999</v>
      </c>
      <c r="AC505" s="56">
        <v>0.76180000000000003</v>
      </c>
      <c r="AD505" s="56">
        <v>1</v>
      </c>
      <c r="AE505" s="56">
        <v>0.73</v>
      </c>
      <c r="AF505" s="56">
        <f t="shared" si="186"/>
        <v>1</v>
      </c>
      <c r="AG505" s="57">
        <v>1.61</v>
      </c>
      <c r="AH505" s="103">
        <v>2.5500000000000001E-9</v>
      </c>
      <c r="AI505" s="103"/>
      <c r="AJ505" s="62">
        <f t="shared" si="184"/>
        <v>-6.982026145878697</v>
      </c>
      <c r="AK505" s="62"/>
      <c r="AL505" s="62">
        <f t="shared" si="185"/>
        <v>-6.982026145878697</v>
      </c>
      <c r="AM505" s="62">
        <v>-9.5158999999999985</v>
      </c>
      <c r="AN505" s="154">
        <v>-9.9600000000000009</v>
      </c>
      <c r="AO505" s="410"/>
      <c r="AP505" s="410">
        <v>8.4499999999999993</v>
      </c>
      <c r="AQ505" s="56" t="s">
        <v>5921</v>
      </c>
      <c r="AR505" s="56" t="s">
        <v>5921</v>
      </c>
      <c r="AS505" s="149" t="s">
        <v>63</v>
      </c>
      <c r="AT505" s="58" t="s">
        <v>266</v>
      </c>
      <c r="AU505" s="155"/>
      <c r="AV505" s="56">
        <v>96</v>
      </c>
      <c r="AW505" s="56">
        <v>96</v>
      </c>
      <c r="AX505" s="56">
        <v>26</v>
      </c>
      <c r="AY505" s="56" t="s">
        <v>8722</v>
      </c>
      <c r="AZ505" s="56" t="s">
        <v>536</v>
      </c>
      <c r="BA505" s="56">
        <v>20</v>
      </c>
      <c r="BB505" s="55" t="s">
        <v>1764</v>
      </c>
      <c r="BC505" s="55" t="s">
        <v>538</v>
      </c>
      <c r="BD505" s="55"/>
      <c r="BE505" s="56" t="s">
        <v>8722</v>
      </c>
      <c r="BF505" s="56" t="s">
        <v>8722</v>
      </c>
      <c r="BG505" s="56" t="s">
        <v>8722</v>
      </c>
      <c r="BH505" s="56" t="s">
        <v>8722</v>
      </c>
      <c r="BI505" s="103" t="s">
        <v>8722</v>
      </c>
      <c r="BJ505" s="103" t="s">
        <v>8722</v>
      </c>
      <c r="BK505" s="56"/>
      <c r="BL505" s="103"/>
      <c r="BM505" s="55" t="s">
        <v>1640</v>
      </c>
      <c r="BN505" s="56"/>
      <c r="BO505" s="56"/>
      <c r="BP505" s="56"/>
      <c r="BQ505" s="56">
        <f>(0.057973243+0.041826849+0.074734738)/3</f>
        <v>5.8178276666666667E-2</v>
      </c>
      <c r="BR505" s="56"/>
      <c r="BS505" s="56"/>
      <c r="BT505" s="56"/>
      <c r="BU505" s="158"/>
      <c r="BV505" s="56"/>
      <c r="BW505" s="56"/>
      <c r="BX505" s="56"/>
      <c r="BY505" s="56"/>
      <c r="BZ505" s="56"/>
      <c r="CA505" s="56"/>
      <c r="CB505" s="56"/>
      <c r="CC505" s="56"/>
      <c r="CD505" s="56"/>
      <c r="CE505" s="56"/>
      <c r="CF505" s="56"/>
      <c r="CG505" s="56"/>
      <c r="CH505" s="56"/>
      <c r="CI505" s="103">
        <f t="shared" si="163"/>
        <v>5.8178276666666667E-2</v>
      </c>
      <c r="CJ505" s="103">
        <f t="shared" si="164"/>
        <v>-1.2352391473935651</v>
      </c>
      <c r="CK505" s="57" t="s">
        <v>404</v>
      </c>
      <c r="CL505" s="160">
        <f t="shared" si="181"/>
        <v>0</v>
      </c>
      <c r="CM505" s="160"/>
      <c r="CN505" s="160"/>
      <c r="CO505" s="55"/>
      <c r="CP505" s="55" t="s">
        <v>2277</v>
      </c>
      <c r="CQ505" s="149" t="s">
        <v>272</v>
      </c>
      <c r="CR505" s="349"/>
      <c r="CS505" s="61" t="s">
        <v>539</v>
      </c>
      <c r="CT505" s="61"/>
      <c r="CU505" s="111">
        <f t="shared" si="173"/>
        <v>140693.67490570594</v>
      </c>
      <c r="CV505" s="331"/>
      <c r="CW505" s="326">
        <f t="shared" si="165"/>
        <v>1</v>
      </c>
      <c r="CX505" s="326"/>
      <c r="CY505" s="161" t="s">
        <v>5921</v>
      </c>
    </row>
    <row r="506" spans="1:103" ht="11.25" customHeight="1" x14ac:dyDescent="0.2">
      <c r="A506" s="72">
        <v>504</v>
      </c>
      <c r="B506" s="149">
        <v>425</v>
      </c>
      <c r="C506" s="54" t="s">
        <v>1432</v>
      </c>
      <c r="D506" s="54" t="s">
        <v>6574</v>
      </c>
      <c r="E506" s="59"/>
      <c r="F506" s="59" t="s">
        <v>1433</v>
      </c>
      <c r="G506" s="151">
        <v>96489713</v>
      </c>
      <c r="H506" s="55" t="s">
        <v>1434</v>
      </c>
      <c r="I506" s="55" t="s">
        <v>7915</v>
      </c>
      <c r="J506" s="55" t="s">
        <v>1435</v>
      </c>
      <c r="K506" s="55" t="s">
        <v>1436</v>
      </c>
      <c r="L506" s="55" t="s">
        <v>5951</v>
      </c>
      <c r="M506" s="55" t="s">
        <v>6011</v>
      </c>
      <c r="N506" s="60" t="s">
        <v>6381</v>
      </c>
      <c r="O506" s="55" t="s">
        <v>918</v>
      </c>
      <c r="P506" s="67"/>
      <c r="Q506" s="67"/>
      <c r="R506" s="67"/>
      <c r="S506" s="67"/>
      <c r="T506" s="56">
        <v>364.93</v>
      </c>
      <c r="U506" s="103">
        <v>3.2883018661113091E-5</v>
      </c>
      <c r="V506" s="103">
        <v>5.0036993395993747E-5</v>
      </c>
      <c r="W506" s="103">
        <v>1.5848931924611131E-2</v>
      </c>
      <c r="X506" s="103">
        <v>3.2883018661113091E-5</v>
      </c>
      <c r="Y506" s="162">
        <v>7</v>
      </c>
      <c r="Z506" s="56">
        <v>5.47</v>
      </c>
      <c r="AA506" s="56">
        <v>6.37</v>
      </c>
      <c r="AB506" s="56">
        <v>5.73</v>
      </c>
      <c r="AC506" s="56">
        <v>0.73460000000000003</v>
      </c>
      <c r="AD506" s="56">
        <v>5.44</v>
      </c>
      <c r="AE506" s="56">
        <v>4.7300000000000004</v>
      </c>
      <c r="AF506" s="56">
        <f t="shared" si="186"/>
        <v>6.37</v>
      </c>
      <c r="AG506" s="57">
        <v>5.59</v>
      </c>
      <c r="AH506" s="103">
        <v>2.26E-10</v>
      </c>
      <c r="AI506" s="103">
        <v>4.7200000000000002E-5</v>
      </c>
      <c r="AJ506" s="62">
        <f t="shared" si="184"/>
        <v>-8.0344578871652512</v>
      </c>
      <c r="AK506" s="62">
        <f>LOG10(AI506*1000/(0.08206*298.15))</f>
        <v>-2.714624327678564</v>
      </c>
      <c r="AL506" s="62">
        <f t="shared" si="185"/>
        <v>-2.714624327678564</v>
      </c>
      <c r="AM506" s="62">
        <v>-12.987449999999999</v>
      </c>
      <c r="AN506" s="154">
        <v>-7.08</v>
      </c>
      <c r="AO506" s="410"/>
      <c r="AP506" s="410">
        <v>-2.69</v>
      </c>
      <c r="AQ506" s="154" t="s">
        <v>6311</v>
      </c>
      <c r="AR506" s="154" t="s">
        <v>6311</v>
      </c>
      <c r="AS506" s="149" t="s">
        <v>6</v>
      </c>
      <c r="AT506" s="58" t="s">
        <v>266</v>
      </c>
      <c r="AU506" s="56">
        <v>8</v>
      </c>
      <c r="AV506" s="56">
        <v>144</v>
      </c>
      <c r="AW506" s="56">
        <v>120</v>
      </c>
      <c r="AX506" s="56">
        <v>26</v>
      </c>
      <c r="AY506" s="56" t="s">
        <v>267</v>
      </c>
      <c r="AZ506" s="56" t="s">
        <v>268</v>
      </c>
      <c r="BA506" s="56">
        <v>2</v>
      </c>
      <c r="BB506" s="55" t="s">
        <v>888</v>
      </c>
      <c r="BC506" s="55" t="s">
        <v>270</v>
      </c>
      <c r="BD506" s="55" t="s">
        <v>8374</v>
      </c>
      <c r="BE506" s="56" t="s">
        <v>889</v>
      </c>
      <c r="BF506" s="56" t="s">
        <v>272</v>
      </c>
      <c r="BG506" s="56" t="s">
        <v>272</v>
      </c>
      <c r="BH506" s="56" t="s">
        <v>890</v>
      </c>
      <c r="BI506" s="103">
        <v>9.9999999999999995E-7</v>
      </c>
      <c r="BJ506" s="103">
        <v>0.08</v>
      </c>
      <c r="BK506" s="56"/>
      <c r="BL506" s="103">
        <f t="shared" ref="BL506:BL537" si="187">10^((-0.8981*Z506)+1.7108)</f>
        <v>6.2833752929845985E-4</v>
      </c>
      <c r="BM506" s="56" t="s">
        <v>891</v>
      </c>
      <c r="BN506" s="162"/>
      <c r="BO506" s="162"/>
      <c r="BP506" s="162"/>
      <c r="BQ506" s="162"/>
      <c r="BR506" s="162"/>
      <c r="BS506" s="56">
        <v>1.2E-5</v>
      </c>
      <c r="BT506" s="162"/>
      <c r="BU506" s="158"/>
      <c r="BV506" s="162"/>
      <c r="BW506" s="162"/>
      <c r="BX506" s="162"/>
      <c r="BY506" s="162"/>
      <c r="BZ506" s="162"/>
      <c r="CA506" s="162"/>
      <c r="CB506" s="162"/>
      <c r="CC506" s="56"/>
      <c r="CD506" s="56"/>
      <c r="CE506" s="56"/>
      <c r="CF506" s="56"/>
      <c r="CG506" s="56"/>
      <c r="CH506" s="56"/>
      <c r="CI506" s="103">
        <f t="shared" si="163"/>
        <v>1.2E-5</v>
      </c>
      <c r="CJ506" s="103">
        <f t="shared" si="164"/>
        <v>-4.9208187539523749</v>
      </c>
      <c r="CK506" s="57">
        <f>BL506/BJ506</f>
        <v>7.8542191162307481E-3</v>
      </c>
      <c r="CL506" s="160">
        <f t="shared" si="181"/>
        <v>52.361460774871652</v>
      </c>
      <c r="CM506" s="160">
        <v>-5.5772806448659633</v>
      </c>
      <c r="CN506" s="160">
        <f>BJ506/(10^CM506)</f>
        <v>30225.300816454353</v>
      </c>
      <c r="CO506" s="55" t="s">
        <v>892</v>
      </c>
      <c r="CP506" s="55" t="s">
        <v>893</v>
      </c>
      <c r="CQ506" s="149">
        <v>-4.9764127266621649</v>
      </c>
      <c r="CR506" s="349">
        <f>10^(CJ506-CQ506)</f>
        <v>1.1365642010065209</v>
      </c>
      <c r="CS506" s="61" t="s">
        <v>539</v>
      </c>
      <c r="CT506" s="61"/>
      <c r="CU506" s="111">
        <f t="shared" si="173"/>
        <v>2.7402515550927573</v>
      </c>
      <c r="CV506" s="331">
        <f>X506/BJ506</f>
        <v>4.1103773326391362E-4</v>
      </c>
      <c r="CW506" s="326">
        <f t="shared" si="165"/>
        <v>1</v>
      </c>
      <c r="CX506" s="326" t="s">
        <v>539</v>
      </c>
      <c r="CY506" s="161" t="s">
        <v>5921</v>
      </c>
    </row>
    <row r="507" spans="1:103" ht="11.25" customHeight="1" x14ac:dyDescent="0.2">
      <c r="A507" s="72">
        <v>505</v>
      </c>
      <c r="B507" s="149">
        <v>209</v>
      </c>
      <c r="C507" s="54" t="s">
        <v>1002</v>
      </c>
      <c r="D507" s="54" t="s">
        <v>6585</v>
      </c>
      <c r="E507" s="59"/>
      <c r="F507" s="59" t="s">
        <v>1003</v>
      </c>
      <c r="G507" s="151">
        <v>134605644</v>
      </c>
      <c r="H507" s="55" t="s">
        <v>1004</v>
      </c>
      <c r="I507" s="55" t="s">
        <v>7783</v>
      </c>
      <c r="J507" s="55" t="s">
        <v>1005</v>
      </c>
      <c r="K507" s="55" t="s">
        <v>1006</v>
      </c>
      <c r="L507" s="55" t="s">
        <v>5955</v>
      </c>
      <c r="M507" s="55" t="s">
        <v>5956</v>
      </c>
      <c r="N507" s="60" t="s">
        <v>6385</v>
      </c>
      <c r="O507" s="55" t="s">
        <v>5957</v>
      </c>
      <c r="P507" s="67"/>
      <c r="Q507" s="67"/>
      <c r="R507" s="67"/>
      <c r="S507" s="67"/>
      <c r="T507" s="56">
        <v>474.81</v>
      </c>
      <c r="U507" s="103"/>
      <c r="V507" s="103">
        <v>5.3874181251447944E-3</v>
      </c>
      <c r="W507" s="103">
        <v>1.8620871366628634E-3</v>
      </c>
      <c r="X507" s="103">
        <f>IF(W507=0,V507,W507)</f>
        <v>1.8620871366628634E-3</v>
      </c>
      <c r="Y507" s="162">
        <v>7</v>
      </c>
      <c r="Z507" s="56">
        <v>3.05</v>
      </c>
      <c r="AA507" s="56"/>
      <c r="AB507" s="56">
        <v>3.65</v>
      </c>
      <c r="AC507" s="56">
        <v>0.56579999999999997</v>
      </c>
      <c r="AD507" s="56">
        <v>3.64</v>
      </c>
      <c r="AE507" s="56">
        <v>3.63</v>
      </c>
      <c r="AF507" s="56">
        <f t="shared" si="186"/>
        <v>3.64</v>
      </c>
      <c r="AG507" s="57">
        <v>4.2300000000000004</v>
      </c>
      <c r="AH507" s="103">
        <v>2.2499999999999999E-12</v>
      </c>
      <c r="AI507" s="103"/>
      <c r="AJ507" s="62">
        <f t="shared" si="184"/>
        <v>-10.03638380820129</v>
      </c>
      <c r="AK507" s="62"/>
      <c r="AL507" s="62">
        <f t="shared" si="185"/>
        <v>-10.03638380820129</v>
      </c>
      <c r="AM507" s="62">
        <v>-17.98612</v>
      </c>
      <c r="AN507" s="154">
        <v>-11.3</v>
      </c>
      <c r="AO507" s="410"/>
      <c r="AP507" s="410">
        <v>-4.21</v>
      </c>
      <c r="AQ507" s="154" t="s">
        <v>6311</v>
      </c>
      <c r="AR507" s="154" t="s">
        <v>6312</v>
      </c>
      <c r="AS507" s="149" t="s">
        <v>63</v>
      </c>
      <c r="AT507" s="58" t="s">
        <v>266</v>
      </c>
      <c r="AU507" s="56">
        <v>8</v>
      </c>
      <c r="AV507" s="56">
        <v>144</v>
      </c>
      <c r="AW507" s="56">
        <v>120</v>
      </c>
      <c r="AX507" s="56">
        <v>26</v>
      </c>
      <c r="AY507" s="56" t="s">
        <v>267</v>
      </c>
      <c r="AZ507" s="56" t="s">
        <v>268</v>
      </c>
      <c r="BA507" s="56">
        <v>2</v>
      </c>
      <c r="BB507" s="55" t="s">
        <v>888</v>
      </c>
      <c r="BC507" s="55" t="s">
        <v>270</v>
      </c>
      <c r="BD507" s="55" t="s">
        <v>8374</v>
      </c>
      <c r="BE507" s="56" t="s">
        <v>889</v>
      </c>
      <c r="BF507" s="56" t="s">
        <v>272</v>
      </c>
      <c r="BG507" s="56" t="s">
        <v>272</v>
      </c>
      <c r="BH507" s="56" t="s">
        <v>890</v>
      </c>
      <c r="BI507" s="103">
        <v>9.9999999999999995E-7</v>
      </c>
      <c r="BJ507" s="103">
        <v>0.08</v>
      </c>
      <c r="BK507" s="56"/>
      <c r="BL507" s="103">
        <f t="shared" si="187"/>
        <v>9.3668809386983007E-2</v>
      </c>
      <c r="BM507" s="56" t="s">
        <v>891</v>
      </c>
      <c r="BN507" s="162"/>
      <c r="BO507" s="162"/>
      <c r="BP507" s="162"/>
      <c r="BQ507" s="162"/>
      <c r="BR507" s="162"/>
      <c r="BS507" s="56">
        <v>6.9282032302755094E-6</v>
      </c>
      <c r="BT507" s="162"/>
      <c r="BU507" s="158"/>
      <c r="BV507" s="162"/>
      <c r="BW507" s="162"/>
      <c r="BX507" s="162"/>
      <c r="BY507" s="162"/>
      <c r="BZ507" s="162"/>
      <c r="CA507" s="162"/>
      <c r="CB507" s="162"/>
      <c r="CC507" s="56"/>
      <c r="CD507" s="56"/>
      <c r="CE507" s="56"/>
      <c r="CF507" s="56"/>
      <c r="CG507" s="56"/>
      <c r="CH507" s="56"/>
      <c r="CI507" s="103">
        <f t="shared" si="163"/>
        <v>6.9282032302755094E-6</v>
      </c>
      <c r="CJ507" s="103">
        <f t="shared" si="164"/>
        <v>-5.1593793813122062</v>
      </c>
      <c r="CK507" s="57">
        <f>BL507/BJ507</f>
        <v>1.1708601173372875</v>
      </c>
      <c r="CL507" s="160">
        <f t="shared" si="181"/>
        <v>13519.928078561596</v>
      </c>
      <c r="CM507" s="160">
        <v>-2.0854552500527799</v>
      </c>
      <c r="CN507" s="160">
        <f>BJ507/(10^CM507)</f>
        <v>9.7396923076923123</v>
      </c>
      <c r="CO507" s="55" t="s">
        <v>892</v>
      </c>
      <c r="CP507" s="55" t="s">
        <v>893</v>
      </c>
      <c r="CQ507" s="149">
        <v>-2.0854552500527799</v>
      </c>
      <c r="CR507" s="349">
        <f>10^(CJ507-CQ507)</f>
        <v>8.4348209635054213E-4</v>
      </c>
      <c r="CS507" s="61" t="s">
        <v>539</v>
      </c>
      <c r="CT507" s="61"/>
      <c r="CU507" s="111">
        <f t="shared" si="173"/>
        <v>268.76912740171093</v>
      </c>
      <c r="CV507" s="331">
        <f>X507/BJ507</f>
        <v>2.3276089208285791E-2</v>
      </c>
      <c r="CW507" s="326">
        <f t="shared" si="165"/>
        <v>1</v>
      </c>
      <c r="CX507" s="326" t="s">
        <v>539</v>
      </c>
      <c r="CY507" s="161" t="s">
        <v>6351</v>
      </c>
    </row>
    <row r="508" spans="1:103" ht="11.25" customHeight="1" x14ac:dyDescent="0.2">
      <c r="A508" s="72">
        <v>506</v>
      </c>
      <c r="B508" s="149">
        <v>814</v>
      </c>
      <c r="C508" s="54" t="s">
        <v>6791</v>
      </c>
      <c r="D508" s="54"/>
      <c r="E508" s="59"/>
      <c r="F508" s="59" t="s">
        <v>2314</v>
      </c>
      <c r="G508" s="151">
        <v>613945</v>
      </c>
      <c r="H508" s="55" t="s">
        <v>2315</v>
      </c>
      <c r="I508" s="55" t="s">
        <v>2315</v>
      </c>
      <c r="J508" s="55" t="s">
        <v>2316</v>
      </c>
      <c r="K508" s="55" t="s">
        <v>483</v>
      </c>
      <c r="L508" s="55"/>
      <c r="M508" s="55"/>
      <c r="N508" s="60"/>
      <c r="O508" s="55"/>
      <c r="P508" s="67"/>
      <c r="Q508" s="67"/>
      <c r="R508" s="67"/>
      <c r="S508" s="67"/>
      <c r="T508" s="56">
        <v>136.15</v>
      </c>
      <c r="U508" s="103"/>
      <c r="V508" s="103">
        <v>21.505692251193537</v>
      </c>
      <c r="W508" s="103">
        <v>123.02687708123815</v>
      </c>
      <c r="X508" s="103">
        <f>IF(W508=0,V508,W508)</f>
        <v>123.02687708123815</v>
      </c>
      <c r="Y508" s="162">
        <v>7.79</v>
      </c>
      <c r="Z508" s="56">
        <v>0.37</v>
      </c>
      <c r="AA508" s="56">
        <v>0.19</v>
      </c>
      <c r="AB508" s="56">
        <v>0.19</v>
      </c>
      <c r="AC508" s="56">
        <v>0.85329999999999995</v>
      </c>
      <c r="AD508" s="56">
        <v>0.2</v>
      </c>
      <c r="AE508" s="56">
        <v>0.25</v>
      </c>
      <c r="AF508" s="56">
        <f t="shared" si="186"/>
        <v>0.19</v>
      </c>
      <c r="AG508" s="57">
        <v>0.33</v>
      </c>
      <c r="AH508" s="103">
        <v>9.2500000000000004E-12</v>
      </c>
      <c r="AI508" s="103"/>
      <c r="AJ508" s="62">
        <f t="shared" si="184"/>
        <v>-9.4224245935736199</v>
      </c>
      <c r="AK508" s="62"/>
      <c r="AL508" s="62">
        <f t="shared" si="185"/>
        <v>-9.4224245935736199</v>
      </c>
      <c r="AM508" s="62">
        <v>-12.834619999999999</v>
      </c>
      <c r="AN508" s="154">
        <v>-8.85</v>
      </c>
      <c r="AO508" s="410">
        <v>12.65</v>
      </c>
      <c r="AP508" s="410">
        <v>3.06</v>
      </c>
      <c r="AQ508" s="154" t="s">
        <v>6311</v>
      </c>
      <c r="AR508" s="154" t="s">
        <v>6311</v>
      </c>
      <c r="AS508" s="149" t="s">
        <v>6</v>
      </c>
      <c r="AT508" s="58" t="s">
        <v>266</v>
      </c>
      <c r="AU508" s="155"/>
      <c r="AV508" s="56">
        <v>96</v>
      </c>
      <c r="AW508" s="56">
        <v>96</v>
      </c>
      <c r="AX508" s="56">
        <v>26</v>
      </c>
      <c r="AY508" s="56" t="s">
        <v>8722</v>
      </c>
      <c r="AZ508" s="56" t="s">
        <v>536</v>
      </c>
      <c r="BA508" s="56">
        <v>20</v>
      </c>
      <c r="BB508" s="55" t="s">
        <v>1764</v>
      </c>
      <c r="BC508" s="55" t="s">
        <v>538</v>
      </c>
      <c r="BD508" s="55"/>
      <c r="BE508" s="56" t="s">
        <v>8722</v>
      </c>
      <c r="BF508" s="56" t="s">
        <v>8722</v>
      </c>
      <c r="BG508" s="56" t="s">
        <v>8722</v>
      </c>
      <c r="BH508" s="56" t="s">
        <v>8722</v>
      </c>
      <c r="BI508" s="103" t="s">
        <v>8722</v>
      </c>
      <c r="BJ508" s="103" t="s">
        <v>8722</v>
      </c>
      <c r="BK508" s="56"/>
      <c r="BL508" s="103">
        <f t="shared" si="187"/>
        <v>23.905784488184963</v>
      </c>
      <c r="BM508" s="55" t="s">
        <v>1640</v>
      </c>
      <c r="BN508" s="56"/>
      <c r="BO508" s="56"/>
      <c r="BP508" s="56"/>
      <c r="BQ508" s="56">
        <f>(0.654865957+0.518105031+0.376863753)/3</f>
        <v>0.51661158033333343</v>
      </c>
      <c r="BR508" s="56"/>
      <c r="BS508" s="56"/>
      <c r="BT508" s="56"/>
      <c r="BU508" s="158"/>
      <c r="BV508" s="56"/>
      <c r="BW508" s="56"/>
      <c r="BX508" s="56"/>
      <c r="BY508" s="56"/>
      <c r="BZ508" s="56"/>
      <c r="CA508" s="56"/>
      <c r="CB508" s="56"/>
      <c r="CC508" s="56"/>
      <c r="CD508" s="56"/>
      <c r="CE508" s="56"/>
      <c r="CF508" s="56"/>
      <c r="CG508" s="56"/>
      <c r="CH508" s="56"/>
      <c r="CI508" s="103">
        <f t="shared" si="163"/>
        <v>0.51661158033333343</v>
      </c>
      <c r="CJ508" s="103">
        <f t="shared" si="164"/>
        <v>-0.28683586293525887</v>
      </c>
      <c r="CK508" s="57" t="s">
        <v>404</v>
      </c>
      <c r="CL508" s="160">
        <f t="shared" si="181"/>
        <v>46.274193994567888</v>
      </c>
      <c r="CM508" s="160"/>
      <c r="CN508" s="160"/>
      <c r="CO508" s="55"/>
      <c r="CP508" s="55" t="s">
        <v>2277</v>
      </c>
      <c r="CQ508" s="149" t="s">
        <v>272</v>
      </c>
      <c r="CR508" s="349"/>
      <c r="CS508" s="61" t="s">
        <v>539</v>
      </c>
      <c r="CT508" s="61"/>
      <c r="CU508" s="111">
        <f t="shared" si="173"/>
        <v>238.14192667120912</v>
      </c>
      <c r="CV508" s="331"/>
      <c r="CW508" s="326">
        <f t="shared" si="165"/>
        <v>1</v>
      </c>
      <c r="CX508" s="326"/>
      <c r="CY508" s="161" t="s">
        <v>5921</v>
      </c>
    </row>
    <row r="509" spans="1:103" ht="11.25" customHeight="1" x14ac:dyDescent="0.2">
      <c r="A509" s="72">
        <v>507</v>
      </c>
      <c r="B509" s="149">
        <v>723</v>
      </c>
      <c r="C509" s="54" t="s">
        <v>1354</v>
      </c>
      <c r="D509" s="54"/>
      <c r="E509" s="59"/>
      <c r="F509" s="59" t="s">
        <v>1355</v>
      </c>
      <c r="G509" s="151">
        <v>1763231</v>
      </c>
      <c r="H509" s="55" t="s">
        <v>1356</v>
      </c>
      <c r="I509" s="55" t="s">
        <v>1356</v>
      </c>
      <c r="J509" s="55" t="s">
        <v>1357</v>
      </c>
      <c r="K509" s="55" t="s">
        <v>426</v>
      </c>
      <c r="L509" s="55"/>
      <c r="M509" s="55"/>
      <c r="N509" s="60"/>
      <c r="O509" s="55"/>
      <c r="P509" s="67"/>
      <c r="Q509" s="67"/>
      <c r="R509" s="67"/>
      <c r="S509" s="67"/>
      <c r="T509" s="56">
        <v>500.13</v>
      </c>
      <c r="U509" s="103"/>
      <c r="V509" s="103">
        <v>2.0774598604362868E-4</v>
      </c>
      <c r="W509" s="103">
        <v>5.370317963702524</v>
      </c>
      <c r="X509" s="103">
        <f>IF(W509=0,V509,W509)</f>
        <v>5.370317963702524</v>
      </c>
      <c r="Y509" s="162">
        <v>2.27</v>
      </c>
      <c r="Z509" s="56">
        <v>4.49</v>
      </c>
      <c r="AA509" s="56"/>
      <c r="AB509" s="56">
        <v>2.3199999999999998</v>
      </c>
      <c r="AC509" s="56">
        <v>0.56120000000000003</v>
      </c>
      <c r="AD509" s="56">
        <v>4.16</v>
      </c>
      <c r="AE509" s="56">
        <v>7.03</v>
      </c>
      <c r="AF509" s="56">
        <f t="shared" si="186"/>
        <v>4.16</v>
      </c>
      <c r="AG509" s="57">
        <v>4.3899999999999997</v>
      </c>
      <c r="AH509" s="103">
        <v>1.0999999999999999E-2</v>
      </c>
      <c r="AI509" s="103"/>
      <c r="AJ509" s="62">
        <f t="shared" si="184"/>
        <v>-0.34717364115442678</v>
      </c>
      <c r="AK509" s="62"/>
      <c r="AL509" s="62">
        <f t="shared" si="185"/>
        <v>-0.34717364115442678</v>
      </c>
      <c r="AM509" s="62">
        <v>-3.9819300000000002</v>
      </c>
      <c r="AN509" s="154">
        <v>-7.26</v>
      </c>
      <c r="AO509" s="410">
        <v>-3.27</v>
      </c>
      <c r="AP509" s="410"/>
      <c r="AQ509" s="154" t="s">
        <v>6311</v>
      </c>
      <c r="AR509" s="154" t="s">
        <v>6311</v>
      </c>
      <c r="AS509" s="149" t="s">
        <v>63</v>
      </c>
      <c r="AT509" s="58" t="s">
        <v>266</v>
      </c>
      <c r="AU509" s="56">
        <v>2</v>
      </c>
      <c r="AV509" s="56">
        <v>96</v>
      </c>
      <c r="AW509" s="56">
        <v>96</v>
      </c>
      <c r="AX509" s="56" t="s">
        <v>6240</v>
      </c>
      <c r="AY509" s="56" t="s">
        <v>1584</v>
      </c>
      <c r="AZ509" s="61" t="s">
        <v>1584</v>
      </c>
      <c r="BA509" s="56" t="s">
        <v>8722</v>
      </c>
      <c r="BB509" s="55" t="s">
        <v>8722</v>
      </c>
      <c r="BC509" s="55" t="s">
        <v>8722</v>
      </c>
      <c r="BD509" s="55"/>
      <c r="BE509" s="56" t="s">
        <v>8722</v>
      </c>
      <c r="BF509" s="56" t="s">
        <v>8722</v>
      </c>
      <c r="BG509" s="56" t="s">
        <v>8722</v>
      </c>
      <c r="BH509" s="56" t="s">
        <v>8722</v>
      </c>
      <c r="BI509" s="103" t="s">
        <v>8722</v>
      </c>
      <c r="BJ509" s="103" t="s">
        <v>8722</v>
      </c>
      <c r="BK509" s="56"/>
      <c r="BL509" s="103">
        <f t="shared" si="187"/>
        <v>4.7679423979143983E-3</v>
      </c>
      <c r="BM509" s="55" t="s">
        <v>2048</v>
      </c>
      <c r="BN509" s="56"/>
      <c r="BO509" s="56">
        <v>0.21394437446263972</v>
      </c>
      <c r="BP509" s="56"/>
      <c r="BQ509" s="56">
        <v>0.14196308959670487</v>
      </c>
      <c r="BR509" s="56"/>
      <c r="BS509" s="56"/>
      <c r="BT509" s="56"/>
      <c r="BU509" s="158"/>
      <c r="BV509" s="56"/>
      <c r="BW509" s="56"/>
      <c r="BX509" s="56"/>
      <c r="BY509" s="56"/>
      <c r="BZ509" s="56"/>
      <c r="CA509" s="56"/>
      <c r="CB509" s="56"/>
      <c r="CC509" s="56"/>
      <c r="CD509" s="56"/>
      <c r="CE509" s="56"/>
      <c r="CF509" s="56"/>
      <c r="CG509" s="56"/>
      <c r="CH509" s="56"/>
      <c r="CI509" s="103">
        <f t="shared" si="163"/>
        <v>0.14196308959670487</v>
      </c>
      <c r="CJ509" s="103">
        <f t="shared" si="164"/>
        <v>-0.84782455750562868</v>
      </c>
      <c r="CK509" s="57" t="s">
        <v>404</v>
      </c>
      <c r="CL509" s="160">
        <f t="shared" si="181"/>
        <v>3.3585789175618705E-2</v>
      </c>
      <c r="CM509" s="160"/>
      <c r="CN509" s="160"/>
      <c r="CO509" s="55" t="s">
        <v>1641</v>
      </c>
      <c r="CP509" s="55" t="s">
        <v>2049</v>
      </c>
      <c r="CQ509" s="149" t="s">
        <v>272</v>
      </c>
      <c r="CR509" s="349"/>
      <c r="CS509" s="61" t="s">
        <v>539</v>
      </c>
      <c r="CT509" s="61"/>
      <c r="CU509" s="111">
        <f t="shared" si="173"/>
        <v>37.828973566007647</v>
      </c>
      <c r="CV509" s="331"/>
      <c r="CW509" s="326">
        <f t="shared" si="165"/>
        <v>1</v>
      </c>
      <c r="CX509" s="326"/>
      <c r="CY509" s="161" t="s">
        <v>5921</v>
      </c>
    </row>
    <row r="510" spans="1:103" ht="11.25" customHeight="1" x14ac:dyDescent="0.2">
      <c r="A510" s="72">
        <v>508</v>
      </c>
      <c r="B510" s="149">
        <v>725</v>
      </c>
      <c r="C510" s="54" t="s">
        <v>6792</v>
      </c>
      <c r="D510" s="54"/>
      <c r="E510" s="59"/>
      <c r="F510" s="59" t="s">
        <v>2050</v>
      </c>
      <c r="G510" s="151">
        <v>335671</v>
      </c>
      <c r="H510" s="55" t="s">
        <v>2051</v>
      </c>
      <c r="I510" s="55" t="s">
        <v>2051</v>
      </c>
      <c r="J510" s="55" t="s">
        <v>2052</v>
      </c>
      <c r="K510" s="55" t="s">
        <v>426</v>
      </c>
      <c r="L510" s="55"/>
      <c r="M510" s="55"/>
      <c r="N510" s="60"/>
      <c r="O510" s="55"/>
      <c r="P510" s="67"/>
      <c r="Q510" s="67"/>
      <c r="R510" s="67"/>
      <c r="S510" s="67"/>
      <c r="T510" s="56">
        <v>414.07</v>
      </c>
      <c r="U510" s="103"/>
      <c r="V510" s="103">
        <v>1.1623638515226894E-3</v>
      </c>
      <c r="W510" s="103">
        <v>1.0715193052376053</v>
      </c>
      <c r="X510" s="103">
        <f>IF(W510=0,V510,W510)</f>
        <v>1.0715193052376053</v>
      </c>
      <c r="Y510" s="162">
        <v>2.98</v>
      </c>
      <c r="Z510" s="56">
        <v>4.8099999999999996</v>
      </c>
      <c r="AA510" s="56"/>
      <c r="AB510" s="56">
        <v>4.2</v>
      </c>
      <c r="AC510" s="56">
        <v>0.57179999999999997</v>
      </c>
      <c r="AD510" s="56">
        <v>5.57</v>
      </c>
      <c r="AE510" s="56">
        <v>7.75</v>
      </c>
      <c r="AF510" s="56">
        <f t="shared" si="186"/>
        <v>5.57</v>
      </c>
      <c r="AG510" s="57">
        <v>3.71</v>
      </c>
      <c r="AH510" s="103">
        <v>9.0800000000000006E-2</v>
      </c>
      <c r="AI510" s="103"/>
      <c r="AJ510" s="62">
        <f t="shared" si="184"/>
        <v>0.56951952220843338</v>
      </c>
      <c r="AK510" s="62"/>
      <c r="AL510" s="62">
        <f t="shared" si="185"/>
        <v>0.56951952220843338</v>
      </c>
      <c r="AM510" s="62">
        <v>-2.2879299999999998</v>
      </c>
      <c r="AN510" s="154">
        <v>-6.09</v>
      </c>
      <c r="AO510" s="410">
        <v>0.5</v>
      </c>
      <c r="AP510" s="410"/>
      <c r="AQ510" s="154" t="s">
        <v>6311</v>
      </c>
      <c r="AR510" s="154" t="s">
        <v>6311</v>
      </c>
      <c r="AS510" s="149" t="s">
        <v>6</v>
      </c>
      <c r="AT510" s="58" t="s">
        <v>266</v>
      </c>
      <c r="AU510" s="56">
        <v>2</v>
      </c>
      <c r="AV510" s="56">
        <v>96</v>
      </c>
      <c r="AW510" s="56">
        <v>96</v>
      </c>
      <c r="AX510" s="56" t="s">
        <v>6240</v>
      </c>
      <c r="AY510" s="56" t="s">
        <v>1584</v>
      </c>
      <c r="AZ510" s="61" t="s">
        <v>1584</v>
      </c>
      <c r="BA510" s="56" t="s">
        <v>8722</v>
      </c>
      <c r="BB510" s="55" t="s">
        <v>8722</v>
      </c>
      <c r="BC510" s="55" t="s">
        <v>8722</v>
      </c>
      <c r="BD510" s="55"/>
      <c r="BE510" s="56" t="s">
        <v>8722</v>
      </c>
      <c r="BF510" s="56" t="s">
        <v>8722</v>
      </c>
      <c r="BG510" s="56" t="s">
        <v>8722</v>
      </c>
      <c r="BH510" s="56" t="s">
        <v>8722</v>
      </c>
      <c r="BI510" s="103" t="s">
        <v>8722</v>
      </c>
      <c r="BJ510" s="103" t="s">
        <v>8722</v>
      </c>
      <c r="BK510" s="56"/>
      <c r="BL510" s="103">
        <f t="shared" si="187"/>
        <v>2.4600220508641203E-3</v>
      </c>
      <c r="BM510" s="55" t="s">
        <v>2048</v>
      </c>
      <c r="BN510" s="56"/>
      <c r="BO510" s="56">
        <v>2.4271258482865217</v>
      </c>
      <c r="BP510" s="56"/>
      <c r="BQ510" s="56">
        <v>1.205110247059676</v>
      </c>
      <c r="BR510" s="56"/>
      <c r="BS510" s="56"/>
      <c r="BT510" s="56"/>
      <c r="BU510" s="158"/>
      <c r="BV510" s="56"/>
      <c r="BW510" s="56"/>
      <c r="BX510" s="56"/>
      <c r="BY510" s="56"/>
      <c r="BZ510" s="56"/>
      <c r="CA510" s="56"/>
      <c r="CB510" s="56"/>
      <c r="CC510" s="56"/>
      <c r="CD510" s="56"/>
      <c r="CE510" s="56"/>
      <c r="CF510" s="56"/>
      <c r="CG510" s="56"/>
      <c r="CH510" s="56"/>
      <c r="CI510" s="103">
        <f t="shared" si="163"/>
        <v>1.205110247059676</v>
      </c>
      <c r="CJ510" s="103">
        <f t="shared" si="164"/>
        <v>8.1026779275624558E-2</v>
      </c>
      <c r="CK510" s="57" t="s">
        <v>404</v>
      </c>
      <c r="CL510" s="160">
        <f t="shared" si="181"/>
        <v>2.041325311826265E-3</v>
      </c>
      <c r="CM510" s="160"/>
      <c r="CN510" s="160"/>
      <c r="CO510" s="55" t="s">
        <v>1641</v>
      </c>
      <c r="CP510" s="55" t="s">
        <v>2049</v>
      </c>
      <c r="CQ510" s="149" t="s">
        <v>272</v>
      </c>
      <c r="CR510" s="349"/>
      <c r="CS510" s="61" t="s">
        <v>539</v>
      </c>
      <c r="CT510" s="61"/>
      <c r="CU510" s="111">
        <f t="shared" si="173"/>
        <v>0.8891462900195094</v>
      </c>
      <c r="CV510" s="331"/>
      <c r="CW510" s="326">
        <f t="shared" si="165"/>
        <v>0</v>
      </c>
      <c r="CX510" s="326"/>
      <c r="CY510" s="161" t="s">
        <v>5921</v>
      </c>
    </row>
    <row r="511" spans="1:103" ht="11.25" customHeight="1" x14ac:dyDescent="0.2">
      <c r="A511" s="72">
        <v>509</v>
      </c>
      <c r="B511" s="191">
        <v>2140</v>
      </c>
      <c r="C511" s="128" t="s">
        <v>578</v>
      </c>
      <c r="D511" s="128" t="s">
        <v>6629</v>
      </c>
      <c r="E511" s="129"/>
      <c r="F511" s="129" t="s">
        <v>579</v>
      </c>
      <c r="G511" s="129">
        <v>51384511</v>
      </c>
      <c r="H511" s="138" t="s">
        <v>5850</v>
      </c>
      <c r="I511" s="138" t="s">
        <v>5850</v>
      </c>
      <c r="J511" s="138" t="s">
        <v>5851</v>
      </c>
      <c r="K511" s="138" t="s">
        <v>300</v>
      </c>
      <c r="L511" s="138" t="s">
        <v>279</v>
      </c>
      <c r="M511" s="138" t="s">
        <v>5852</v>
      </c>
      <c r="N511" s="138" t="s">
        <v>6376</v>
      </c>
      <c r="O511" s="138" t="s">
        <v>281</v>
      </c>
      <c r="P511" s="138"/>
      <c r="Q511" s="138"/>
      <c r="R511" s="138"/>
      <c r="S511" s="138"/>
      <c r="T511" s="135">
        <v>267.36</v>
      </c>
      <c r="U511" s="185">
        <v>63.210652304009571</v>
      </c>
      <c r="V511" s="185">
        <v>17.86729503291442</v>
      </c>
      <c r="W511" s="185">
        <v>39.810717055349727</v>
      </c>
      <c r="X511" s="185">
        <v>63.210652304009571</v>
      </c>
      <c r="Y511" s="204">
        <v>11.06</v>
      </c>
      <c r="Z511" s="135">
        <v>1.69</v>
      </c>
      <c r="AA511" s="135">
        <v>1.88</v>
      </c>
      <c r="AB511" s="135">
        <v>1.88</v>
      </c>
      <c r="AC511" s="135">
        <v>0.79749999999999999</v>
      </c>
      <c r="AD511" s="135">
        <v>1.85</v>
      </c>
      <c r="AE511" s="135">
        <v>1.79</v>
      </c>
      <c r="AF511" s="135">
        <f t="shared" si="186"/>
        <v>1.88</v>
      </c>
      <c r="AG511" s="136">
        <v>1.85</v>
      </c>
      <c r="AH511" s="185">
        <v>1.4000000000000001E-13</v>
      </c>
      <c r="AI511" s="185"/>
      <c r="AJ511" s="136">
        <f t="shared" si="184"/>
        <v>-11.242438290634414</v>
      </c>
      <c r="AK511" s="136"/>
      <c r="AL511" s="136">
        <f t="shared" si="185"/>
        <v>-11.242438290634414</v>
      </c>
      <c r="AM511" s="136">
        <v>-13.46964</v>
      </c>
      <c r="AN511" s="186"/>
      <c r="AO511" s="481">
        <v>13.89</v>
      </c>
      <c r="AP511" s="481">
        <v>9.43</v>
      </c>
      <c r="AQ511" s="186" t="s">
        <v>6311</v>
      </c>
      <c r="AR511" s="186" t="s">
        <v>6311</v>
      </c>
      <c r="AS511" s="183" t="s">
        <v>5466</v>
      </c>
      <c r="AT511" s="137" t="s">
        <v>266</v>
      </c>
      <c r="AU511" s="135">
        <v>0</v>
      </c>
      <c r="AV511" s="130">
        <v>96</v>
      </c>
      <c r="AW511" s="130">
        <v>96</v>
      </c>
      <c r="AX511" s="135">
        <v>26</v>
      </c>
      <c r="AY511" s="135" t="s">
        <v>1780</v>
      </c>
      <c r="AZ511" s="135" t="s">
        <v>5671</v>
      </c>
      <c r="BA511" s="135">
        <v>20</v>
      </c>
      <c r="BB511" s="138" t="s">
        <v>5487</v>
      </c>
      <c r="BC511" s="138" t="s">
        <v>5848</v>
      </c>
      <c r="BD511" s="138"/>
      <c r="BE511" s="135" t="s">
        <v>5733</v>
      </c>
      <c r="BF511" s="135"/>
      <c r="BG511" s="135"/>
      <c r="BH511" s="135"/>
      <c r="BI511" s="185"/>
      <c r="BJ511" s="185">
        <v>1.87014E-4</v>
      </c>
      <c r="BK511" s="201"/>
      <c r="BL511" s="185">
        <f t="shared" si="187"/>
        <v>1.5595920043529998</v>
      </c>
      <c r="BM511" s="135"/>
      <c r="BN511" s="135"/>
      <c r="BO511" s="135"/>
      <c r="BP511" s="135"/>
      <c r="BQ511" s="135"/>
      <c r="BR511" s="135"/>
      <c r="BS511" s="135"/>
      <c r="BT511" s="135"/>
      <c r="BU511" s="195"/>
      <c r="BV511" s="135"/>
      <c r="BW511" s="135"/>
      <c r="BX511" s="135"/>
      <c r="BY511" s="135"/>
      <c r="BZ511" s="135"/>
      <c r="CA511" s="135"/>
      <c r="CB511" s="135"/>
      <c r="CC511" s="135"/>
      <c r="CD511" s="135"/>
      <c r="CE511" s="135"/>
      <c r="CF511" s="135"/>
      <c r="CG511" s="135"/>
      <c r="CH511" s="135"/>
      <c r="CI511" s="187"/>
      <c r="CJ511" s="187"/>
      <c r="CK511" s="131">
        <f t="shared" ref="CK511:CK516" si="188">BL511/BJ511</f>
        <v>8339.4398513105971</v>
      </c>
      <c r="CL511" s="188"/>
      <c r="CM511" s="188"/>
      <c r="CN511" s="188"/>
      <c r="CO511" s="138" t="s">
        <v>5842</v>
      </c>
      <c r="CP511" s="138" t="s">
        <v>5849</v>
      </c>
      <c r="CQ511" s="191" t="s">
        <v>272</v>
      </c>
      <c r="CR511" s="191"/>
      <c r="CS511" s="135" t="s">
        <v>539</v>
      </c>
      <c r="CT511" s="135"/>
      <c r="CU511" s="185"/>
      <c r="CV511" s="332">
        <f t="shared" ref="CV511:CV542" si="189">X511/BJ511</f>
        <v>337999.5738501373</v>
      </c>
      <c r="CW511" s="329">
        <f t="shared" ref="CW511:CW574" si="190">IF(CV511&lt;1,0,1)</f>
        <v>1</v>
      </c>
      <c r="CX511" s="329" t="s">
        <v>539</v>
      </c>
      <c r="CY511" s="189" t="s">
        <v>5921</v>
      </c>
    </row>
    <row r="512" spans="1:103" ht="11.25" customHeight="1" x14ac:dyDescent="0.2">
      <c r="A512" s="72">
        <v>510</v>
      </c>
      <c r="B512" s="183">
        <v>1673</v>
      </c>
      <c r="C512" s="133" t="s">
        <v>4886</v>
      </c>
      <c r="D512" s="133" t="s">
        <v>6793</v>
      </c>
      <c r="E512" s="134"/>
      <c r="F512" s="134" t="s">
        <v>4887</v>
      </c>
      <c r="G512" s="184">
        <v>206440</v>
      </c>
      <c r="H512" s="138" t="s">
        <v>4888</v>
      </c>
      <c r="I512" s="138" t="s">
        <v>4888</v>
      </c>
      <c r="J512" s="138" t="s">
        <v>4889</v>
      </c>
      <c r="K512" s="138" t="s">
        <v>426</v>
      </c>
      <c r="L512" s="138" t="s">
        <v>6124</v>
      </c>
      <c r="M512" s="138" t="s">
        <v>6082</v>
      </c>
      <c r="N512" s="138" t="s">
        <v>6082</v>
      </c>
      <c r="O512" s="138" t="s">
        <v>6083</v>
      </c>
      <c r="P512" s="138"/>
      <c r="Q512" s="138"/>
      <c r="R512" s="138"/>
      <c r="S512" s="138"/>
      <c r="T512" s="135">
        <v>202.25</v>
      </c>
      <c r="U512" s="185">
        <v>1.2855377008652658E-3</v>
      </c>
      <c r="V512" s="185">
        <v>6.4128553770086529E-4</v>
      </c>
      <c r="W512" s="185">
        <v>6.3095734448019255E-4</v>
      </c>
      <c r="X512" s="185">
        <v>1.2855377008652658E-3</v>
      </c>
      <c r="Y512" s="204">
        <v>7</v>
      </c>
      <c r="Z512" s="135">
        <v>4.93</v>
      </c>
      <c r="AA512" s="135">
        <v>5.16</v>
      </c>
      <c r="AB512" s="135">
        <v>5.0999999999999996</v>
      </c>
      <c r="AC512" s="135">
        <v>0.81679999999999997</v>
      </c>
      <c r="AD512" s="135">
        <v>5.12</v>
      </c>
      <c r="AE512" s="135">
        <v>5.17</v>
      </c>
      <c r="AF512" s="135">
        <f t="shared" si="186"/>
        <v>5.16</v>
      </c>
      <c r="AG512" s="136">
        <v>4.54</v>
      </c>
      <c r="AH512" s="185">
        <v>8.3000000000000002E-6</v>
      </c>
      <c r="AI512" s="185">
        <v>8.8599999999999999E-6</v>
      </c>
      <c r="AJ512" s="136">
        <f t="shared" si="184"/>
        <v>-3.4694882339365778</v>
      </c>
      <c r="AK512" s="136">
        <f>LOG10(AI512*1000/(0.08206*298.15))</f>
        <v>-3.4411326044256012</v>
      </c>
      <c r="AL512" s="136">
        <f t="shared" si="185"/>
        <v>-3.4411326044256012</v>
      </c>
      <c r="AM512" s="136">
        <v>-8.1794899999999995</v>
      </c>
      <c r="AN512" s="186">
        <v>-3.35</v>
      </c>
      <c r="AO512" s="481"/>
      <c r="AP512" s="481"/>
      <c r="AQ512" s="186" t="s">
        <v>6311</v>
      </c>
      <c r="AR512" s="186" t="s">
        <v>6311</v>
      </c>
      <c r="AS512" s="183"/>
      <c r="AT512" s="137" t="s">
        <v>266</v>
      </c>
      <c r="AU512" s="135">
        <v>6</v>
      </c>
      <c r="AV512" s="135">
        <v>120</v>
      </c>
      <c r="AW512" s="135">
        <v>114</v>
      </c>
      <c r="AX512" s="135">
        <v>28</v>
      </c>
      <c r="AY512" s="135" t="s">
        <v>8728</v>
      </c>
      <c r="AZ512" s="135" t="s">
        <v>1563</v>
      </c>
      <c r="BA512" s="135">
        <v>32</v>
      </c>
      <c r="BB512" s="138" t="s">
        <v>2485</v>
      </c>
      <c r="BC512" s="138" t="s">
        <v>8726</v>
      </c>
      <c r="BD512" s="138" t="s">
        <v>8374</v>
      </c>
      <c r="BE512" s="135" t="s">
        <v>2449</v>
      </c>
      <c r="BF512" s="135" t="s">
        <v>272</v>
      </c>
      <c r="BG512" s="135" t="s">
        <v>272</v>
      </c>
      <c r="BH512" s="135" t="s">
        <v>2486</v>
      </c>
      <c r="BI512" s="185">
        <v>6.3999999999999997E-6</v>
      </c>
      <c r="BJ512" s="185">
        <v>6.4000000000000001E-2</v>
      </c>
      <c r="BK512" s="135"/>
      <c r="BL512" s="185">
        <f t="shared" si="187"/>
        <v>1.9194066715128898E-3</v>
      </c>
      <c r="BM512" s="138" t="s">
        <v>2487</v>
      </c>
      <c r="BN512" s="135"/>
      <c r="BO512" s="135"/>
      <c r="BP512" s="135"/>
      <c r="BQ512" s="135"/>
      <c r="BR512" s="138" t="s">
        <v>2496</v>
      </c>
      <c r="BS512" s="135"/>
      <c r="BT512" s="135"/>
      <c r="BU512" s="135"/>
      <c r="BV512" s="135"/>
      <c r="BW512" s="135"/>
      <c r="BX512" s="135"/>
      <c r="BY512" s="135"/>
      <c r="BZ512" s="135"/>
      <c r="CA512" s="135"/>
      <c r="CB512" s="135"/>
      <c r="CC512" s="135"/>
      <c r="CD512" s="135"/>
      <c r="CE512" s="135"/>
      <c r="CF512" s="135"/>
      <c r="CG512" s="135"/>
      <c r="CH512" s="135"/>
      <c r="CI512" s="185"/>
      <c r="CJ512" s="187"/>
      <c r="CK512" s="136">
        <f t="shared" si="188"/>
        <v>2.9990729242388901E-2</v>
      </c>
      <c r="CL512" s="188"/>
      <c r="CM512" s="188"/>
      <c r="CN512" s="188"/>
      <c r="CO512" s="138" t="s">
        <v>2488</v>
      </c>
      <c r="CP512" s="138" t="s">
        <v>2489</v>
      </c>
      <c r="CQ512" s="183">
        <v>-2.8474030758952207</v>
      </c>
      <c r="CR512" s="191">
        <f>10^(CJ512-CQ512)</f>
        <v>703.72515584520056</v>
      </c>
      <c r="CS512" s="135" t="s">
        <v>539</v>
      </c>
      <c r="CT512" s="135"/>
      <c r="CU512" s="135"/>
      <c r="CV512" s="332">
        <f t="shared" si="189"/>
        <v>2.0086526576019777E-2</v>
      </c>
      <c r="CW512" s="329">
        <f t="shared" si="190"/>
        <v>0</v>
      </c>
      <c r="CX512" s="329"/>
      <c r="CY512" s="189" t="s">
        <v>5921</v>
      </c>
    </row>
    <row r="513" spans="1:103" ht="11.25" customHeight="1" x14ac:dyDescent="0.2">
      <c r="A513" s="72">
        <v>511</v>
      </c>
      <c r="B513" s="183">
        <v>1517</v>
      </c>
      <c r="C513" s="133" t="s">
        <v>6794</v>
      </c>
      <c r="D513" s="133"/>
      <c r="E513" s="134"/>
      <c r="F513" s="134" t="s">
        <v>4605</v>
      </c>
      <c r="G513" s="184">
        <v>56553</v>
      </c>
      <c r="H513" s="138" t="s">
        <v>4606</v>
      </c>
      <c r="I513" s="138" t="s">
        <v>4606</v>
      </c>
      <c r="J513" s="138" t="s">
        <v>4607</v>
      </c>
      <c r="K513" s="138" t="s">
        <v>426</v>
      </c>
      <c r="L513" s="138"/>
      <c r="M513" s="138"/>
      <c r="N513" s="138"/>
      <c r="O513" s="138"/>
      <c r="P513" s="138"/>
      <c r="Q513" s="138"/>
      <c r="R513" s="138"/>
      <c r="S513" s="138"/>
      <c r="T513" s="135">
        <v>228.29</v>
      </c>
      <c r="U513" s="185">
        <v>4.1175697577642478E-5</v>
      </c>
      <c r="V513" s="185">
        <v>1.2733803495553901E-4</v>
      </c>
      <c r="W513" s="185">
        <v>6.4565422903465396E-5</v>
      </c>
      <c r="X513" s="185">
        <v>4.1175697577642478E-5</v>
      </c>
      <c r="Y513" s="204">
        <v>7</v>
      </c>
      <c r="Z513" s="135">
        <v>5.52</v>
      </c>
      <c r="AA513" s="135">
        <v>5.76</v>
      </c>
      <c r="AB513" s="135">
        <v>5.82</v>
      </c>
      <c r="AC513" s="135">
        <v>0.83289999999999997</v>
      </c>
      <c r="AD513" s="135">
        <v>5.85</v>
      </c>
      <c r="AE513" s="135">
        <v>5.91</v>
      </c>
      <c r="AF513" s="135">
        <f t="shared" si="186"/>
        <v>5.76</v>
      </c>
      <c r="AG513" s="136">
        <v>5.24</v>
      </c>
      <c r="AH513" s="185">
        <v>5.0100000000000003E-6</v>
      </c>
      <c r="AI513" s="185">
        <v>1.2E-5</v>
      </c>
      <c r="AJ513" s="136">
        <f t="shared" si="184"/>
        <v>-3.6887286004454061</v>
      </c>
      <c r="AK513" s="136">
        <f>LOG10(AI513*1000/(0.08206*298.15))</f>
        <v>-3.3093850802650269</v>
      </c>
      <c r="AL513" s="136">
        <f t="shared" si="185"/>
        <v>-3.3093850802650269</v>
      </c>
      <c r="AM513" s="136">
        <v>-9.0531000000000006</v>
      </c>
      <c r="AN513" s="186">
        <v>-4.07</v>
      </c>
      <c r="AO513" s="481"/>
      <c r="AP513" s="481"/>
      <c r="AQ513" s="135" t="s">
        <v>6311</v>
      </c>
      <c r="AR513" s="135" t="s">
        <v>6311</v>
      </c>
      <c r="AS513" s="190"/>
      <c r="AT513" s="137" t="s">
        <v>266</v>
      </c>
      <c r="AU513" s="135">
        <v>6</v>
      </c>
      <c r="AV513" s="135">
        <v>120</v>
      </c>
      <c r="AW513" s="135">
        <v>114</v>
      </c>
      <c r="AX513" s="135">
        <v>28</v>
      </c>
      <c r="AY513" s="135" t="s">
        <v>8728</v>
      </c>
      <c r="AZ513" s="135" t="s">
        <v>1563</v>
      </c>
      <c r="BA513" s="135">
        <v>32</v>
      </c>
      <c r="BB513" s="138" t="s">
        <v>2485</v>
      </c>
      <c r="BC513" s="138" t="s">
        <v>8726</v>
      </c>
      <c r="BD513" s="138" t="s">
        <v>8374</v>
      </c>
      <c r="BE513" s="135" t="s">
        <v>2449</v>
      </c>
      <c r="BF513" s="135" t="s">
        <v>272</v>
      </c>
      <c r="BG513" s="135" t="s">
        <v>272</v>
      </c>
      <c r="BH513" s="135" t="s">
        <v>2486</v>
      </c>
      <c r="BI513" s="185">
        <v>6.3999999999999997E-6</v>
      </c>
      <c r="BJ513" s="185">
        <v>6.4000000000000001E-2</v>
      </c>
      <c r="BK513" s="135"/>
      <c r="BL513" s="185">
        <f t="shared" si="187"/>
        <v>5.6661491204470463E-4</v>
      </c>
      <c r="BM513" s="138" t="s">
        <v>2487</v>
      </c>
      <c r="BN513" s="135"/>
      <c r="BO513" s="135"/>
      <c r="BP513" s="135"/>
      <c r="BQ513" s="135"/>
      <c r="BR513" s="138" t="s">
        <v>2496</v>
      </c>
      <c r="BS513" s="135"/>
      <c r="BT513" s="135"/>
      <c r="BU513" s="135"/>
      <c r="BV513" s="135"/>
      <c r="BW513" s="135"/>
      <c r="BX513" s="135"/>
      <c r="BY513" s="135"/>
      <c r="BZ513" s="135"/>
      <c r="CA513" s="135"/>
      <c r="CB513" s="135"/>
      <c r="CC513" s="135"/>
      <c r="CD513" s="135"/>
      <c r="CE513" s="135"/>
      <c r="CF513" s="135"/>
      <c r="CG513" s="135"/>
      <c r="CH513" s="135"/>
      <c r="CI513" s="185"/>
      <c r="CJ513" s="187"/>
      <c r="CK513" s="136">
        <f t="shared" si="188"/>
        <v>8.8533580006985094E-3</v>
      </c>
      <c r="CL513" s="188"/>
      <c r="CM513" s="188"/>
      <c r="CN513" s="188"/>
      <c r="CO513" s="138" t="s">
        <v>2488</v>
      </c>
      <c r="CP513" s="138" t="s">
        <v>2489</v>
      </c>
      <c r="CQ513" s="191" t="s">
        <v>272</v>
      </c>
      <c r="CR513" s="191"/>
      <c r="CS513" s="135" t="s">
        <v>539</v>
      </c>
      <c r="CT513" s="135"/>
      <c r="CU513" s="135"/>
      <c r="CV513" s="332">
        <f t="shared" si="189"/>
        <v>6.4337027465066374E-4</v>
      </c>
      <c r="CW513" s="329">
        <f t="shared" si="190"/>
        <v>0</v>
      </c>
      <c r="CX513" s="329"/>
      <c r="CY513" s="189" t="s">
        <v>5921</v>
      </c>
    </row>
    <row r="514" spans="1:103" ht="11.25" customHeight="1" x14ac:dyDescent="0.2">
      <c r="A514" s="72">
        <v>512</v>
      </c>
      <c r="B514" s="183">
        <v>1744</v>
      </c>
      <c r="C514" s="133" t="s">
        <v>5030</v>
      </c>
      <c r="D514" s="133" t="s">
        <v>6795</v>
      </c>
      <c r="E514" s="134"/>
      <c r="F514" s="134" t="s">
        <v>5031</v>
      </c>
      <c r="G514" s="184">
        <v>2385855</v>
      </c>
      <c r="H514" s="138" t="s">
        <v>5032</v>
      </c>
      <c r="I514" s="138" t="s">
        <v>7916</v>
      </c>
      <c r="J514" s="138" t="s">
        <v>5033</v>
      </c>
      <c r="K514" s="138" t="s">
        <v>426</v>
      </c>
      <c r="L514" s="138" t="s">
        <v>617</v>
      </c>
      <c r="M514" s="197" t="s">
        <v>6080</v>
      </c>
      <c r="N514" s="138" t="s">
        <v>6376</v>
      </c>
      <c r="O514" s="138" t="s">
        <v>6083</v>
      </c>
      <c r="P514" s="138"/>
      <c r="Q514" s="138"/>
      <c r="R514" s="138"/>
      <c r="S514" s="138"/>
      <c r="T514" s="135">
        <v>545.54</v>
      </c>
      <c r="U514" s="185">
        <v>1.5580892326868794E-4</v>
      </c>
      <c r="V514" s="185">
        <v>8.7161344722660124E-7</v>
      </c>
      <c r="W514" s="185">
        <v>5.6234132519034743E-6</v>
      </c>
      <c r="X514" s="185">
        <v>1.5580892326868794E-4</v>
      </c>
      <c r="Y514" s="204">
        <v>7</v>
      </c>
      <c r="Z514" s="135">
        <v>7.01</v>
      </c>
      <c r="AA514" s="135">
        <v>6.89</v>
      </c>
      <c r="AB514" s="135">
        <v>6.62</v>
      </c>
      <c r="AC514" s="135">
        <v>0.62390000000000001</v>
      </c>
      <c r="AD514" s="135">
        <v>6.91</v>
      </c>
      <c r="AE514" s="135">
        <v>7.42</v>
      </c>
      <c r="AF514" s="135">
        <f t="shared" si="186"/>
        <v>6.89</v>
      </c>
      <c r="AG514" s="136">
        <v>6.28</v>
      </c>
      <c r="AH514" s="185">
        <v>1.28E-6</v>
      </c>
      <c r="AI514" s="185">
        <v>8.1099999999999998E-4</v>
      </c>
      <c r="AJ514" s="136">
        <f t="shared" si="184"/>
        <v>-4.2813563566647836</v>
      </c>
      <c r="AK514" s="136">
        <f>LOG10(AI514*1000/(0.08206*298.15))</f>
        <v>-1.4795454721014958</v>
      </c>
      <c r="AL514" s="136">
        <f t="shared" si="185"/>
        <v>-1.4795454721014958</v>
      </c>
      <c r="AM514" s="136">
        <v>-11.191249999999998</v>
      </c>
      <c r="AN514" s="186">
        <v>-1.1399999999999999</v>
      </c>
      <c r="AO514" s="481"/>
      <c r="AP514" s="481"/>
      <c r="AQ514" s="186" t="s">
        <v>6311</v>
      </c>
      <c r="AR514" s="186" t="s">
        <v>6311</v>
      </c>
      <c r="AS514" s="183"/>
      <c r="AT514" s="137" t="s">
        <v>266</v>
      </c>
      <c r="AU514" s="135">
        <v>6</v>
      </c>
      <c r="AV514" s="135">
        <v>120</v>
      </c>
      <c r="AW514" s="135">
        <v>114</v>
      </c>
      <c r="AX514" s="135">
        <v>28</v>
      </c>
      <c r="AY514" s="135" t="s">
        <v>8728</v>
      </c>
      <c r="AZ514" s="135" t="s">
        <v>1563</v>
      </c>
      <c r="BA514" s="135">
        <v>32</v>
      </c>
      <c r="BB514" s="138" t="s">
        <v>2485</v>
      </c>
      <c r="BC514" s="138" t="s">
        <v>8726</v>
      </c>
      <c r="BD514" s="138" t="s">
        <v>8374</v>
      </c>
      <c r="BE514" s="135" t="s">
        <v>2449</v>
      </c>
      <c r="BF514" s="135" t="s">
        <v>272</v>
      </c>
      <c r="BG514" s="135" t="s">
        <v>272</v>
      </c>
      <c r="BH514" s="135" t="s">
        <v>2486</v>
      </c>
      <c r="BI514" s="185">
        <v>6.3999999999999997E-6</v>
      </c>
      <c r="BJ514" s="185">
        <v>6.4000000000000001E-2</v>
      </c>
      <c r="BK514" s="135"/>
      <c r="BL514" s="185">
        <f t="shared" si="187"/>
        <v>2.6008721243337049E-5</v>
      </c>
      <c r="BM514" s="138" t="s">
        <v>2487</v>
      </c>
      <c r="BN514" s="135"/>
      <c r="BO514" s="135"/>
      <c r="BP514" s="135"/>
      <c r="BQ514" s="135"/>
      <c r="BR514" s="138" t="s">
        <v>2496</v>
      </c>
      <c r="BS514" s="135"/>
      <c r="BT514" s="135"/>
      <c r="BU514" s="135"/>
      <c r="BV514" s="135"/>
      <c r="BW514" s="135"/>
      <c r="BX514" s="135"/>
      <c r="BY514" s="135"/>
      <c r="BZ514" s="135"/>
      <c r="CA514" s="135"/>
      <c r="CB514" s="135"/>
      <c r="CC514" s="135"/>
      <c r="CD514" s="135"/>
      <c r="CE514" s="135"/>
      <c r="CF514" s="135"/>
      <c r="CG514" s="135"/>
      <c r="CH514" s="135"/>
      <c r="CI514" s="185"/>
      <c r="CJ514" s="187"/>
      <c r="CK514" s="136">
        <f t="shared" si="188"/>
        <v>4.0638626942714141E-4</v>
      </c>
      <c r="CL514" s="188"/>
      <c r="CM514" s="188"/>
      <c r="CN514" s="188"/>
      <c r="CO514" s="138" t="s">
        <v>2488</v>
      </c>
      <c r="CP514" s="138" t="s">
        <v>2489</v>
      </c>
      <c r="CQ514" s="183">
        <v>-1.5361201741815831</v>
      </c>
      <c r="CR514" s="191">
        <f>10^(CJ514-CQ514)</f>
        <v>34.3653027413255</v>
      </c>
      <c r="CS514" s="135" t="s">
        <v>539</v>
      </c>
      <c r="CT514" s="135"/>
      <c r="CU514" s="135"/>
      <c r="CV514" s="332">
        <f t="shared" si="189"/>
        <v>2.4345144260732492E-3</v>
      </c>
      <c r="CW514" s="329">
        <f t="shared" si="190"/>
        <v>0</v>
      </c>
      <c r="CX514" s="329"/>
      <c r="CY514" s="189" t="s">
        <v>5921</v>
      </c>
    </row>
    <row r="515" spans="1:103" ht="11.25" customHeight="1" x14ac:dyDescent="0.2">
      <c r="A515" s="72">
        <v>513</v>
      </c>
      <c r="B515" s="183">
        <v>1057</v>
      </c>
      <c r="C515" s="133" t="s">
        <v>2981</v>
      </c>
      <c r="D515" s="133" t="s">
        <v>6796</v>
      </c>
      <c r="E515" s="134"/>
      <c r="F515" s="134" t="s">
        <v>2982</v>
      </c>
      <c r="G515" s="184">
        <v>57749</v>
      </c>
      <c r="H515" s="138" t="s">
        <v>2983</v>
      </c>
      <c r="I515" s="138" t="s">
        <v>7917</v>
      </c>
      <c r="J515" s="138" t="s">
        <v>2984</v>
      </c>
      <c r="K515" s="138" t="s">
        <v>1139</v>
      </c>
      <c r="L515" s="138" t="s">
        <v>617</v>
      </c>
      <c r="M515" s="138" t="s">
        <v>1140</v>
      </c>
      <c r="N515" s="138" t="s">
        <v>6376</v>
      </c>
      <c r="O515" s="138" t="s">
        <v>918</v>
      </c>
      <c r="P515" s="138"/>
      <c r="Q515" s="138"/>
      <c r="R515" s="138"/>
      <c r="S515" s="138"/>
      <c r="T515" s="135">
        <v>409.78</v>
      </c>
      <c r="U515" s="185">
        <v>1.3665869490946364E-4</v>
      </c>
      <c r="V515" s="185">
        <v>3.1699936551320223E-5</v>
      </c>
      <c r="W515" s="185">
        <v>2.4547089156850242E-4</v>
      </c>
      <c r="X515" s="185">
        <v>1.3665869490946364E-4</v>
      </c>
      <c r="Y515" s="204">
        <v>7</v>
      </c>
      <c r="Z515" s="135">
        <v>6.26</v>
      </c>
      <c r="AA515" s="135">
        <v>6.22</v>
      </c>
      <c r="AB515" s="135">
        <v>5.98</v>
      </c>
      <c r="AC515" s="135">
        <v>0.92349999999999999</v>
      </c>
      <c r="AD515" s="135">
        <v>5.91</v>
      </c>
      <c r="AE515" s="135">
        <v>5.57</v>
      </c>
      <c r="AF515" s="135">
        <f t="shared" si="186"/>
        <v>6.22</v>
      </c>
      <c r="AG515" s="136">
        <v>5.14</v>
      </c>
      <c r="AH515" s="185">
        <v>7.0300000000000001E-5</v>
      </c>
      <c r="AI515" s="185">
        <v>4.8600000000000002E-5</v>
      </c>
      <c r="AJ515" s="136">
        <f t="shared" si="184"/>
        <v>-2.5416110012928277</v>
      </c>
      <c r="AK515" s="136">
        <f>LOG10(AI515*1000/(0.08206*298.15))</f>
        <v>-2.7019300570503586</v>
      </c>
      <c r="AL515" s="136">
        <f t="shared" si="185"/>
        <v>-2.7019300570503586</v>
      </c>
      <c r="AM515" s="136">
        <v>-8.2279499999999999</v>
      </c>
      <c r="AN515" s="186">
        <v>-2.61</v>
      </c>
      <c r="AO515" s="481"/>
      <c r="AP515" s="481"/>
      <c r="AQ515" s="135" t="s">
        <v>6311</v>
      </c>
      <c r="AR515" s="135" t="s">
        <v>6311</v>
      </c>
      <c r="AS515" s="190"/>
      <c r="AT515" s="137" t="s">
        <v>266</v>
      </c>
      <c r="AU515" s="135">
        <v>6</v>
      </c>
      <c r="AV515" s="135">
        <v>120</v>
      </c>
      <c r="AW515" s="135">
        <v>114</v>
      </c>
      <c r="AX515" s="135">
        <v>28</v>
      </c>
      <c r="AY515" s="135" t="s">
        <v>8728</v>
      </c>
      <c r="AZ515" s="135" t="s">
        <v>1563</v>
      </c>
      <c r="BA515" s="135">
        <v>32</v>
      </c>
      <c r="BB515" s="138" t="s">
        <v>2485</v>
      </c>
      <c r="BC515" s="138" t="s">
        <v>8726</v>
      </c>
      <c r="BD515" s="138" t="s">
        <v>8374</v>
      </c>
      <c r="BE515" s="135" t="s">
        <v>2449</v>
      </c>
      <c r="BF515" s="135" t="s">
        <v>272</v>
      </c>
      <c r="BG515" s="135" t="s">
        <v>272</v>
      </c>
      <c r="BH515" s="135" t="s">
        <v>2486</v>
      </c>
      <c r="BI515" s="185">
        <v>6.3999999999999997E-6</v>
      </c>
      <c r="BJ515" s="185">
        <v>6.4000000000000001E-2</v>
      </c>
      <c r="BK515" s="135"/>
      <c r="BL515" s="185">
        <f t="shared" si="187"/>
        <v>1.2265746930845389E-4</v>
      </c>
      <c r="BM515" s="138" t="s">
        <v>2487</v>
      </c>
      <c r="BN515" s="135"/>
      <c r="BO515" s="135"/>
      <c r="BP515" s="135"/>
      <c r="BQ515" s="135"/>
      <c r="BR515" s="138" t="s">
        <v>2496</v>
      </c>
      <c r="BS515" s="135"/>
      <c r="BT515" s="135"/>
      <c r="BU515" s="135">
        <v>6.3999999999999997E-6</v>
      </c>
      <c r="BV515" s="135"/>
      <c r="BW515" s="135"/>
      <c r="BX515" s="135"/>
      <c r="BY515" s="135"/>
      <c r="BZ515" s="135"/>
      <c r="CA515" s="135"/>
      <c r="CB515" s="135"/>
      <c r="CC515" s="135"/>
      <c r="CD515" s="135"/>
      <c r="CE515" s="135"/>
      <c r="CF515" s="135"/>
      <c r="CG515" s="135"/>
      <c r="CH515" s="135"/>
      <c r="CI515" s="185"/>
      <c r="CJ515" s="187"/>
      <c r="CK515" s="136">
        <f t="shared" si="188"/>
        <v>1.9165229579445921E-3</v>
      </c>
      <c r="CL515" s="188"/>
      <c r="CM515" s="188"/>
      <c r="CN515" s="188"/>
      <c r="CO515" s="138" t="s">
        <v>2488</v>
      </c>
      <c r="CP515" s="138" t="s">
        <v>2489</v>
      </c>
      <c r="CQ515" s="183">
        <v>-3.832994962130686</v>
      </c>
      <c r="CR515" s="191">
        <f>10^(CJ515-CQ515)</f>
        <v>6807.6146173139778</v>
      </c>
      <c r="CS515" s="135" t="s">
        <v>539</v>
      </c>
      <c r="CT515" s="135"/>
      <c r="CU515" s="135"/>
      <c r="CV515" s="332">
        <f t="shared" si="189"/>
        <v>2.1352921079603694E-3</v>
      </c>
      <c r="CW515" s="329">
        <f t="shared" si="190"/>
        <v>0</v>
      </c>
      <c r="CX515" s="329"/>
      <c r="CY515" s="189" t="s">
        <v>5921</v>
      </c>
    </row>
    <row r="516" spans="1:103" ht="11.25" customHeight="1" x14ac:dyDescent="0.2">
      <c r="A516" s="72">
        <v>514</v>
      </c>
      <c r="B516" s="183">
        <v>1220</v>
      </c>
      <c r="C516" s="133" t="s">
        <v>6797</v>
      </c>
      <c r="D516" s="133"/>
      <c r="E516" s="134"/>
      <c r="F516" s="134" t="s">
        <v>3369</v>
      </c>
      <c r="G516" s="184">
        <v>57114</v>
      </c>
      <c r="H516" s="138" t="s">
        <v>3370</v>
      </c>
      <c r="I516" s="138" t="s">
        <v>3370</v>
      </c>
      <c r="J516" s="138" t="s">
        <v>3371</v>
      </c>
      <c r="K516" s="138" t="s">
        <v>426</v>
      </c>
      <c r="L516" s="138"/>
      <c r="M516" s="138"/>
      <c r="N516" s="138"/>
      <c r="O516" s="138"/>
      <c r="P516" s="138"/>
      <c r="Q516" s="138"/>
      <c r="R516" s="138"/>
      <c r="S516" s="138"/>
      <c r="T516" s="135">
        <v>284.48</v>
      </c>
      <c r="U516" s="185">
        <v>2.0985658042744653E-3</v>
      </c>
      <c r="V516" s="185">
        <v>1.2345331833520808E-5</v>
      </c>
      <c r="W516" s="185">
        <v>1.0964781961431844E-2</v>
      </c>
      <c r="X516" s="185">
        <v>2.0985658042744653E-3</v>
      </c>
      <c r="Y516" s="204">
        <v>5.13</v>
      </c>
      <c r="Z516" s="135">
        <v>7.94</v>
      </c>
      <c r="AA516" s="135">
        <v>8.23</v>
      </c>
      <c r="AB516" s="135">
        <v>7.98</v>
      </c>
      <c r="AC516" s="135">
        <v>0.78069999999999995</v>
      </c>
      <c r="AD516" s="135">
        <v>8.06</v>
      </c>
      <c r="AE516" s="135">
        <v>8.2200000000000006</v>
      </c>
      <c r="AF516" s="135">
        <f t="shared" si="186"/>
        <v>8.23</v>
      </c>
      <c r="AG516" s="136">
        <v>6.85</v>
      </c>
      <c r="AH516" s="185">
        <v>5.1E-5</v>
      </c>
      <c r="AI516" s="185">
        <v>4.7599999999999997E-7</v>
      </c>
      <c r="AJ516" s="136">
        <f t="shared" si="184"/>
        <v>-2.6809961502147157</v>
      </c>
      <c r="AK516" s="136">
        <f>LOG10(AI516*1000/(0.08206*298.15))</f>
        <v>-4.7109593735921589</v>
      </c>
      <c r="AL516" s="136">
        <f t="shared" si="185"/>
        <v>-4.7109593735921589</v>
      </c>
      <c r="AM516" s="136">
        <v>-6.9975699999999996</v>
      </c>
      <c r="AN516" s="186">
        <v>-2.9</v>
      </c>
      <c r="AO516" s="481">
        <v>4.78</v>
      </c>
      <c r="AP516" s="481"/>
      <c r="AQ516" s="135" t="s">
        <v>6311</v>
      </c>
      <c r="AR516" s="135" t="s">
        <v>6311</v>
      </c>
      <c r="AS516" s="190"/>
      <c r="AT516" s="137" t="s">
        <v>266</v>
      </c>
      <c r="AU516" s="135">
        <v>6</v>
      </c>
      <c r="AV516" s="135">
        <v>120</v>
      </c>
      <c r="AW516" s="135">
        <v>114</v>
      </c>
      <c r="AX516" s="135">
        <v>28</v>
      </c>
      <c r="AY516" s="135" t="s">
        <v>8728</v>
      </c>
      <c r="AZ516" s="135" t="s">
        <v>1563</v>
      </c>
      <c r="BA516" s="135">
        <v>32</v>
      </c>
      <c r="BB516" s="138" t="s">
        <v>2485</v>
      </c>
      <c r="BC516" s="138" t="s">
        <v>8726</v>
      </c>
      <c r="BD516" s="138" t="s">
        <v>8374</v>
      </c>
      <c r="BE516" s="135" t="s">
        <v>2449</v>
      </c>
      <c r="BF516" s="135" t="s">
        <v>272</v>
      </c>
      <c r="BG516" s="135" t="s">
        <v>272</v>
      </c>
      <c r="BH516" s="135" t="s">
        <v>2486</v>
      </c>
      <c r="BI516" s="185">
        <v>6.3999999999999997E-6</v>
      </c>
      <c r="BJ516" s="185">
        <v>6.4000000000000001E-2</v>
      </c>
      <c r="BK516" s="135"/>
      <c r="BL516" s="185">
        <f t="shared" si="187"/>
        <v>3.8008961171583885E-6</v>
      </c>
      <c r="BM516" s="138" t="s">
        <v>2487</v>
      </c>
      <c r="BN516" s="135"/>
      <c r="BO516" s="135"/>
      <c r="BP516" s="135"/>
      <c r="BQ516" s="135"/>
      <c r="BR516" s="138" t="s">
        <v>2496</v>
      </c>
      <c r="BS516" s="135"/>
      <c r="BT516" s="135"/>
      <c r="BU516" s="135">
        <v>6.4000000000000005E-4</v>
      </c>
      <c r="BV516" s="135"/>
      <c r="BW516" s="135"/>
      <c r="BX516" s="135"/>
      <c r="BY516" s="135"/>
      <c r="BZ516" s="135"/>
      <c r="CA516" s="135"/>
      <c r="CB516" s="135"/>
      <c r="CC516" s="135"/>
      <c r="CD516" s="135"/>
      <c r="CE516" s="135"/>
      <c r="CF516" s="135"/>
      <c r="CG516" s="135"/>
      <c r="CH516" s="135"/>
      <c r="CI516" s="185"/>
      <c r="CJ516" s="187"/>
      <c r="CK516" s="136">
        <f t="shared" si="188"/>
        <v>5.9389001830599816E-5</v>
      </c>
      <c r="CL516" s="188"/>
      <c r="CM516" s="188"/>
      <c r="CN516" s="188"/>
      <c r="CO516" s="138" t="s">
        <v>2488</v>
      </c>
      <c r="CP516" s="138" t="s">
        <v>2489</v>
      </c>
      <c r="CQ516" s="191" t="s">
        <v>272</v>
      </c>
      <c r="CR516" s="191"/>
      <c r="CS516" s="135" t="s">
        <v>539</v>
      </c>
      <c r="CT516" s="135"/>
      <c r="CU516" s="135"/>
      <c r="CV516" s="332">
        <f t="shared" si="189"/>
        <v>3.2790090691788523E-2</v>
      </c>
      <c r="CW516" s="329">
        <f t="shared" si="190"/>
        <v>0</v>
      </c>
      <c r="CX516" s="329"/>
      <c r="CY516" s="189" t="s">
        <v>6351</v>
      </c>
    </row>
    <row r="517" spans="1:103" ht="11.25" customHeight="1" x14ac:dyDescent="0.2">
      <c r="A517" s="72">
        <v>515</v>
      </c>
      <c r="B517" s="191">
        <v>1319</v>
      </c>
      <c r="C517" s="128" t="s">
        <v>6798</v>
      </c>
      <c r="D517" s="128"/>
      <c r="E517" s="129"/>
      <c r="F517" s="129" t="s">
        <v>2855</v>
      </c>
      <c r="G517" s="192">
        <v>57410</v>
      </c>
      <c r="H517" s="139" t="s">
        <v>2856</v>
      </c>
      <c r="I517" s="139" t="s">
        <v>2856</v>
      </c>
      <c r="J517" s="139" t="s">
        <v>2857</v>
      </c>
      <c r="K517" s="139" t="s">
        <v>2039</v>
      </c>
      <c r="L517" s="196" t="s">
        <v>279</v>
      </c>
      <c r="M517" s="139" t="s">
        <v>2858</v>
      </c>
      <c r="N517" s="138" t="s">
        <v>6376</v>
      </c>
      <c r="O517" s="139" t="s">
        <v>281</v>
      </c>
      <c r="P517" s="138"/>
      <c r="Q517" s="138"/>
      <c r="R517" s="138"/>
      <c r="S517" s="138"/>
      <c r="T517" s="130">
        <v>252.27</v>
      </c>
      <c r="U517" s="187">
        <v>0.12684821817893527</v>
      </c>
      <c r="V517" s="187">
        <v>0.70797161771118244</v>
      </c>
      <c r="W517" s="187">
        <v>0.26915348039269166</v>
      </c>
      <c r="X517" s="187">
        <v>0.12684821817893527</v>
      </c>
      <c r="Y517" s="194">
        <v>6.01</v>
      </c>
      <c r="Z517" s="130">
        <v>2.16</v>
      </c>
      <c r="AA517" s="130">
        <v>2.4700000000000002</v>
      </c>
      <c r="AB517" s="130">
        <v>2.38</v>
      </c>
      <c r="AC517" s="130">
        <v>0.82340000000000002</v>
      </c>
      <c r="AD517" s="130">
        <v>2.42</v>
      </c>
      <c r="AE517" s="130">
        <v>2.52</v>
      </c>
      <c r="AF517" s="130">
        <f t="shared" si="186"/>
        <v>2.4700000000000002</v>
      </c>
      <c r="AG517" s="131">
        <v>2.2200000000000002</v>
      </c>
      <c r="AH517" s="187">
        <v>1.0199999999999999E-11</v>
      </c>
      <c r="AI517" s="187"/>
      <c r="AJ517" s="136">
        <f t="shared" si="184"/>
        <v>-9.3799661545507345</v>
      </c>
      <c r="AK517" s="136"/>
      <c r="AL517" s="136">
        <f t="shared" si="185"/>
        <v>-9.3799661545507345</v>
      </c>
      <c r="AM517" s="136">
        <v>-15.56823</v>
      </c>
      <c r="AN517" s="193">
        <v>-10.1</v>
      </c>
      <c r="AO517" s="481">
        <v>8.2799999999999994</v>
      </c>
      <c r="AP517" s="481">
        <v>-2.81</v>
      </c>
      <c r="AQ517" s="130" t="s">
        <v>6311</v>
      </c>
      <c r="AR517" s="130" t="s">
        <v>6311</v>
      </c>
      <c r="AS517" s="191" t="s">
        <v>6</v>
      </c>
      <c r="AT517" s="132" t="s">
        <v>266</v>
      </c>
      <c r="AU517" s="130">
        <v>0</v>
      </c>
      <c r="AV517" s="130">
        <v>120</v>
      </c>
      <c r="AW517" s="130">
        <v>120</v>
      </c>
      <c r="AX517" s="130">
        <v>26</v>
      </c>
      <c r="AY517" s="130" t="s">
        <v>647</v>
      </c>
      <c r="AZ517" s="130" t="s">
        <v>536</v>
      </c>
      <c r="BA517" s="130">
        <v>10</v>
      </c>
      <c r="BB517" s="139" t="s">
        <v>1764</v>
      </c>
      <c r="BC517" s="139" t="s">
        <v>538</v>
      </c>
      <c r="BD517" s="139"/>
      <c r="BE517" s="130" t="s">
        <v>271</v>
      </c>
      <c r="BF517" s="130" t="s">
        <v>539</v>
      </c>
      <c r="BG517" s="130">
        <v>7.5</v>
      </c>
      <c r="BH517" s="130" t="s">
        <v>272</v>
      </c>
      <c r="BI517" s="187">
        <v>1.244698140880802</v>
      </c>
      <c r="BJ517" s="187">
        <v>17</v>
      </c>
      <c r="BK517" s="130" t="s">
        <v>2066</v>
      </c>
      <c r="BL517" s="187">
        <f t="shared" si="187"/>
        <v>0.59007063172200003</v>
      </c>
      <c r="BM517" s="130" t="s">
        <v>541</v>
      </c>
      <c r="BN517" s="130"/>
      <c r="BO517" s="130"/>
      <c r="BP517" s="130"/>
      <c r="BQ517" s="130"/>
      <c r="BR517" s="130"/>
      <c r="BS517" s="130"/>
      <c r="BT517" s="130"/>
      <c r="BU517" s="195"/>
      <c r="BV517" s="130"/>
      <c r="BW517" s="130"/>
      <c r="BX517" s="130"/>
      <c r="BY517" s="130"/>
      <c r="BZ517" s="130"/>
      <c r="CA517" s="130"/>
      <c r="CB517" s="130"/>
      <c r="CC517" s="130"/>
      <c r="CD517" s="130"/>
      <c r="CE517" s="130"/>
      <c r="CF517" s="130"/>
      <c r="CG517" s="130"/>
      <c r="CH517" s="130"/>
      <c r="CI517" s="187"/>
      <c r="CJ517" s="187"/>
      <c r="CK517" s="131">
        <v>7.0000000000000001E-3</v>
      </c>
      <c r="CL517" s="188"/>
      <c r="CM517" s="188"/>
      <c r="CN517" s="188"/>
      <c r="CO517" s="139" t="s">
        <v>4125</v>
      </c>
      <c r="CP517" s="139" t="s">
        <v>4126</v>
      </c>
      <c r="CQ517" s="191" t="s">
        <v>272</v>
      </c>
      <c r="CR517" s="191"/>
      <c r="CS517" s="135" t="s">
        <v>539</v>
      </c>
      <c r="CT517" s="135" t="s">
        <v>6310</v>
      </c>
      <c r="CU517" s="135"/>
      <c r="CV517" s="332">
        <f t="shared" si="189"/>
        <v>7.4616598928785452E-3</v>
      </c>
      <c r="CW517" s="329">
        <f t="shared" si="190"/>
        <v>0</v>
      </c>
      <c r="CX517" s="329" t="s">
        <v>539</v>
      </c>
      <c r="CY517" s="189" t="s">
        <v>5921</v>
      </c>
    </row>
    <row r="518" spans="1:103" ht="11.25" customHeight="1" x14ac:dyDescent="0.2">
      <c r="A518" s="72">
        <v>516</v>
      </c>
      <c r="B518" s="183">
        <v>1497</v>
      </c>
      <c r="C518" s="133" t="s">
        <v>4585</v>
      </c>
      <c r="D518" s="133" t="s">
        <v>6799</v>
      </c>
      <c r="E518" s="134"/>
      <c r="F518" s="134" t="s">
        <v>4586</v>
      </c>
      <c r="G518" s="184">
        <v>309002</v>
      </c>
      <c r="H518" s="138" t="s">
        <v>4587</v>
      </c>
      <c r="I518" s="138" t="s">
        <v>7918</v>
      </c>
      <c r="J518" s="138" t="s">
        <v>4588</v>
      </c>
      <c r="K518" s="138" t="s">
        <v>1139</v>
      </c>
      <c r="L518" s="138" t="s">
        <v>617</v>
      </c>
      <c r="M518" s="197" t="s">
        <v>6080</v>
      </c>
      <c r="N518" s="138" t="s">
        <v>6376</v>
      </c>
      <c r="O518" s="138" t="s">
        <v>6083</v>
      </c>
      <c r="P518" s="138"/>
      <c r="Q518" s="138"/>
      <c r="R518" s="138"/>
      <c r="S518" s="138"/>
      <c r="T518" s="135">
        <v>364.91</v>
      </c>
      <c r="U518" s="185">
        <v>4.6586829629223641E-5</v>
      </c>
      <c r="V518" s="185">
        <v>3.8776684661971441E-5</v>
      </c>
      <c r="W518" s="185">
        <v>4.1686938347033491E-4</v>
      </c>
      <c r="X518" s="185">
        <v>4.6586829629223641E-5</v>
      </c>
      <c r="Y518" s="204">
        <v>7</v>
      </c>
      <c r="Z518" s="135">
        <v>6.75</v>
      </c>
      <c r="AA518" s="135">
        <v>6.5</v>
      </c>
      <c r="AB518" s="135">
        <v>6.12</v>
      </c>
      <c r="AC518" s="135">
        <v>0.81110000000000004</v>
      </c>
      <c r="AD518" s="135">
        <v>5.9</v>
      </c>
      <c r="AE518" s="135">
        <v>5.32</v>
      </c>
      <c r="AF518" s="135">
        <f t="shared" si="186"/>
        <v>6.5</v>
      </c>
      <c r="AG518" s="136">
        <v>4.67</v>
      </c>
      <c r="AH518" s="185">
        <v>3.8699999999999997E-4</v>
      </c>
      <c r="AI518" s="185">
        <v>4.3999999999999999E-5</v>
      </c>
      <c r="AJ518" s="136">
        <f t="shared" si="184"/>
        <v>-1.8008553612937404</v>
      </c>
      <c r="AK518" s="136">
        <f t="shared" ref="AK518:AK526" si="191">LOG10(AI518*1000/(0.08206*298.15))</f>
        <v>-2.7451136498264646</v>
      </c>
      <c r="AL518" s="136">
        <f t="shared" si="185"/>
        <v>-2.7451136498264646</v>
      </c>
      <c r="AM518" s="136">
        <v>-7.7620799999999992</v>
      </c>
      <c r="AN518" s="186">
        <v>-1.49</v>
      </c>
      <c r="AO518" s="481"/>
      <c r="AP518" s="481"/>
      <c r="AQ518" s="135" t="s">
        <v>6311</v>
      </c>
      <c r="AR518" s="135" t="s">
        <v>6311</v>
      </c>
      <c r="AS518" s="190"/>
      <c r="AT518" s="137" t="s">
        <v>266</v>
      </c>
      <c r="AU518" s="135">
        <v>6</v>
      </c>
      <c r="AV518" s="135">
        <v>120</v>
      </c>
      <c r="AW518" s="135">
        <v>114</v>
      </c>
      <c r="AX518" s="135">
        <v>28</v>
      </c>
      <c r="AY518" s="135" t="s">
        <v>8728</v>
      </c>
      <c r="AZ518" s="135" t="s">
        <v>1563</v>
      </c>
      <c r="BA518" s="135">
        <v>32</v>
      </c>
      <c r="BB518" s="138" t="s">
        <v>2485</v>
      </c>
      <c r="BC518" s="138" t="s">
        <v>8726</v>
      </c>
      <c r="BD518" s="138" t="s">
        <v>8374</v>
      </c>
      <c r="BE518" s="135" t="s">
        <v>2449</v>
      </c>
      <c r="BF518" s="135" t="s">
        <v>272</v>
      </c>
      <c r="BG518" s="135" t="s">
        <v>272</v>
      </c>
      <c r="BH518" s="135" t="s">
        <v>2486</v>
      </c>
      <c r="BI518" s="185">
        <v>6.3999999999999997E-6</v>
      </c>
      <c r="BJ518" s="185">
        <v>6.4000000000000001E-2</v>
      </c>
      <c r="BK518" s="135"/>
      <c r="BL518" s="185">
        <f t="shared" si="187"/>
        <v>4.4527160394794962E-5</v>
      </c>
      <c r="BM518" s="138" t="s">
        <v>2487</v>
      </c>
      <c r="BN518" s="135"/>
      <c r="BO518" s="135"/>
      <c r="BP518" s="135"/>
      <c r="BQ518" s="135"/>
      <c r="BR518" s="138" t="s">
        <v>2496</v>
      </c>
      <c r="BS518" s="135"/>
      <c r="BT518" s="135"/>
      <c r="BU518" s="135"/>
      <c r="BV518" s="135"/>
      <c r="BW518" s="135"/>
      <c r="BX518" s="135"/>
      <c r="BY518" s="135"/>
      <c r="BZ518" s="135"/>
      <c r="CA518" s="135"/>
      <c r="CB518" s="135"/>
      <c r="CC518" s="135"/>
      <c r="CD518" s="135"/>
      <c r="CE518" s="135"/>
      <c r="CF518" s="135"/>
      <c r="CG518" s="135"/>
      <c r="CH518" s="135"/>
      <c r="CI518" s="185"/>
      <c r="CJ518" s="187"/>
      <c r="CK518" s="136">
        <f t="shared" ref="CK518:CK581" si="192">BL518/BJ518</f>
        <v>6.9573688116867131E-4</v>
      </c>
      <c r="CL518" s="188"/>
      <c r="CM518" s="188"/>
      <c r="CN518" s="188"/>
      <c r="CO518" s="138" t="s">
        <v>2488</v>
      </c>
      <c r="CP518" s="138" t="s">
        <v>2489</v>
      </c>
      <c r="CQ518" s="183">
        <v>-4.577603990722225</v>
      </c>
      <c r="CR518" s="191">
        <f>10^(CJ518-CQ518)</f>
        <v>37809.76609982361</v>
      </c>
      <c r="CS518" s="135" t="s">
        <v>539</v>
      </c>
      <c r="CT518" s="135"/>
      <c r="CU518" s="135"/>
      <c r="CV518" s="332">
        <f t="shared" si="189"/>
        <v>7.279192129566194E-4</v>
      </c>
      <c r="CW518" s="329">
        <f t="shared" si="190"/>
        <v>0</v>
      </c>
      <c r="CX518" s="329"/>
      <c r="CY518" s="189" t="s">
        <v>5921</v>
      </c>
    </row>
    <row r="519" spans="1:103" ht="11.25" customHeight="1" x14ac:dyDescent="0.2">
      <c r="A519" s="72">
        <v>517</v>
      </c>
      <c r="B519" s="183">
        <v>1483</v>
      </c>
      <c r="C519" s="133" t="s">
        <v>6800</v>
      </c>
      <c r="D519" s="133"/>
      <c r="E519" s="134"/>
      <c r="F519" s="134" t="s">
        <v>4558</v>
      </c>
      <c r="G519" s="184">
        <v>57976</v>
      </c>
      <c r="H519" s="138" t="s">
        <v>4559</v>
      </c>
      <c r="I519" s="138" t="s">
        <v>4559</v>
      </c>
      <c r="J519" s="138" t="s">
        <v>4560</v>
      </c>
      <c r="K519" s="138" t="s">
        <v>426</v>
      </c>
      <c r="L519" s="138"/>
      <c r="M519" s="138"/>
      <c r="N519" s="138"/>
      <c r="O519" s="138"/>
      <c r="P519" s="138"/>
      <c r="Q519" s="138"/>
      <c r="R519" s="138"/>
      <c r="S519" s="138"/>
      <c r="T519" s="135">
        <v>256.33999999999997</v>
      </c>
      <c r="U519" s="185">
        <v>2.3796520246547557E-4</v>
      </c>
      <c r="V519" s="185">
        <v>7.3535148630724827E-5</v>
      </c>
      <c r="W519" s="185">
        <v>2.3988329190194863E-5</v>
      </c>
      <c r="X519" s="185">
        <v>2.3796520246547557E-4</v>
      </c>
      <c r="Y519" s="204">
        <v>7</v>
      </c>
      <c r="Z519" s="135">
        <v>6.62</v>
      </c>
      <c r="AA519" s="135">
        <v>5.8</v>
      </c>
      <c r="AB519" s="135">
        <v>6.26</v>
      </c>
      <c r="AC519" s="135">
        <v>0.8054</v>
      </c>
      <c r="AD519" s="135">
        <v>6.44</v>
      </c>
      <c r="AE519" s="135">
        <v>6.83</v>
      </c>
      <c r="AF519" s="135">
        <f t="shared" si="186"/>
        <v>5.8</v>
      </c>
      <c r="AG519" s="136">
        <v>6.13</v>
      </c>
      <c r="AH519" s="185">
        <v>6.1E-6</v>
      </c>
      <c r="AI519" s="185">
        <v>3.76E-6</v>
      </c>
      <c r="AJ519" s="136">
        <f t="shared" si="184"/>
        <v>-3.6032364913018848</v>
      </c>
      <c r="AK519" s="136">
        <f t="shared" si="191"/>
        <v>-3.8133784813849907</v>
      </c>
      <c r="AL519" s="136">
        <f t="shared" si="185"/>
        <v>-3.8133784813849907</v>
      </c>
      <c r="AM519" s="136">
        <v>-8.9926899999999996</v>
      </c>
      <c r="AN519" s="186">
        <v>-4.05</v>
      </c>
      <c r="AO519" s="481"/>
      <c r="AP519" s="481"/>
      <c r="AQ519" s="135" t="s">
        <v>6311</v>
      </c>
      <c r="AR519" s="135" t="s">
        <v>6311</v>
      </c>
      <c r="AS519" s="190"/>
      <c r="AT519" s="137" t="s">
        <v>266</v>
      </c>
      <c r="AU519" s="135">
        <v>6</v>
      </c>
      <c r="AV519" s="135">
        <v>120</v>
      </c>
      <c r="AW519" s="135">
        <v>114</v>
      </c>
      <c r="AX519" s="135">
        <v>28</v>
      </c>
      <c r="AY519" s="135" t="s">
        <v>8728</v>
      </c>
      <c r="AZ519" s="135" t="s">
        <v>1563</v>
      </c>
      <c r="BA519" s="135">
        <v>32</v>
      </c>
      <c r="BB519" s="138" t="s">
        <v>2485</v>
      </c>
      <c r="BC519" s="138" t="s">
        <v>8726</v>
      </c>
      <c r="BD519" s="138" t="s">
        <v>8374</v>
      </c>
      <c r="BE519" s="135" t="s">
        <v>2449</v>
      </c>
      <c r="BF519" s="135" t="s">
        <v>272</v>
      </c>
      <c r="BG519" s="135" t="s">
        <v>272</v>
      </c>
      <c r="BH519" s="135" t="s">
        <v>2486</v>
      </c>
      <c r="BI519" s="185">
        <v>6.3999999999999997E-6</v>
      </c>
      <c r="BJ519" s="185">
        <v>6.4000000000000001E-2</v>
      </c>
      <c r="BK519" s="135"/>
      <c r="BL519" s="185">
        <f t="shared" si="187"/>
        <v>5.8261008767137519E-5</v>
      </c>
      <c r="BM519" s="138" t="s">
        <v>2487</v>
      </c>
      <c r="BN519" s="135"/>
      <c r="BO519" s="135"/>
      <c r="BP519" s="135"/>
      <c r="BQ519" s="135"/>
      <c r="BR519" s="138" t="s">
        <v>2496</v>
      </c>
      <c r="BS519" s="135"/>
      <c r="BT519" s="135"/>
      <c r="BU519" s="135"/>
      <c r="BV519" s="135"/>
      <c r="BW519" s="135"/>
      <c r="BX519" s="135"/>
      <c r="BY519" s="135"/>
      <c r="BZ519" s="135"/>
      <c r="CA519" s="135"/>
      <c r="CB519" s="135"/>
      <c r="CC519" s="135"/>
      <c r="CD519" s="135"/>
      <c r="CE519" s="135"/>
      <c r="CF519" s="135"/>
      <c r="CG519" s="135"/>
      <c r="CH519" s="135"/>
      <c r="CI519" s="185"/>
      <c r="CJ519" s="187"/>
      <c r="CK519" s="136">
        <f t="shared" si="192"/>
        <v>9.1032826198652369E-4</v>
      </c>
      <c r="CL519" s="188"/>
      <c r="CM519" s="188"/>
      <c r="CN519" s="188"/>
      <c r="CO519" s="138" t="s">
        <v>2488</v>
      </c>
      <c r="CP519" s="138" t="s">
        <v>2489</v>
      </c>
      <c r="CQ519" s="191" t="s">
        <v>272</v>
      </c>
      <c r="CR519" s="191"/>
      <c r="CS519" s="135" t="s">
        <v>539</v>
      </c>
      <c r="CT519" s="135"/>
      <c r="CU519" s="135"/>
      <c r="CV519" s="332">
        <f t="shared" si="189"/>
        <v>3.7182062885230556E-3</v>
      </c>
      <c r="CW519" s="329">
        <f t="shared" si="190"/>
        <v>0</v>
      </c>
      <c r="CX519" s="329"/>
      <c r="CY519" s="189" t="s">
        <v>5921</v>
      </c>
    </row>
    <row r="520" spans="1:103" ht="11.25" customHeight="1" x14ac:dyDescent="0.2">
      <c r="A520" s="72">
        <v>518</v>
      </c>
      <c r="B520" s="183">
        <v>1369</v>
      </c>
      <c r="C520" s="133" t="s">
        <v>4225</v>
      </c>
      <c r="D520" s="133" t="s">
        <v>6801</v>
      </c>
      <c r="E520" s="134"/>
      <c r="F520" s="134" t="s">
        <v>4226</v>
      </c>
      <c r="G520" s="184">
        <v>95943</v>
      </c>
      <c r="H520" s="138" t="s">
        <v>4227</v>
      </c>
      <c r="I520" s="138" t="s">
        <v>7919</v>
      </c>
      <c r="J520" s="138" t="s">
        <v>4228</v>
      </c>
      <c r="K520" s="138" t="s">
        <v>426</v>
      </c>
      <c r="L520" s="138" t="s">
        <v>5527</v>
      </c>
      <c r="M520" s="138" t="s">
        <v>866</v>
      </c>
      <c r="N520" s="138" t="s">
        <v>6082</v>
      </c>
      <c r="O520" s="138" t="s">
        <v>498</v>
      </c>
      <c r="P520" s="138" t="s">
        <v>6183</v>
      </c>
      <c r="Q520" s="138" t="s">
        <v>6176</v>
      </c>
      <c r="R520" s="138" t="s">
        <v>6185</v>
      </c>
      <c r="S520" s="138" t="s">
        <v>6182</v>
      </c>
      <c r="T520" s="135">
        <v>215.89</v>
      </c>
      <c r="U520" s="185">
        <v>2.7560331650377506E-3</v>
      </c>
      <c r="V520" s="185">
        <v>1.826856269396452E-2</v>
      </c>
      <c r="W520" s="185">
        <v>7.0794578438413622E-3</v>
      </c>
      <c r="X520" s="185">
        <v>2.7560331650377506E-3</v>
      </c>
      <c r="Y520" s="204">
        <v>7</v>
      </c>
      <c r="Z520" s="135">
        <v>4.57</v>
      </c>
      <c r="AA520" s="135">
        <v>4.6399999999999997</v>
      </c>
      <c r="AB520" s="135">
        <v>4.45</v>
      </c>
      <c r="AC520" s="135">
        <v>0.87070000000000003</v>
      </c>
      <c r="AD520" s="135">
        <v>4.3899999999999997</v>
      </c>
      <c r="AE520" s="135">
        <v>4.2300000000000004</v>
      </c>
      <c r="AF520" s="135">
        <f t="shared" si="186"/>
        <v>4.6399999999999997</v>
      </c>
      <c r="AG520" s="136">
        <v>4.51</v>
      </c>
      <c r="AH520" s="185">
        <v>1.6199999999999999E-3</v>
      </c>
      <c r="AI520" s="185">
        <v>1E-3</v>
      </c>
      <c r="AJ520" s="136">
        <f t="shared" si="184"/>
        <v>-1.179051311770021</v>
      </c>
      <c r="AK520" s="136">
        <f t="shared" si="191"/>
        <v>-1.3885663263126518</v>
      </c>
      <c r="AL520" s="136">
        <f t="shared" si="185"/>
        <v>-1.3885663263126518</v>
      </c>
      <c r="AM520" s="136">
        <v>-3.6282399999999999</v>
      </c>
      <c r="AN520" s="186">
        <v>-1.4</v>
      </c>
      <c r="AO520" s="481"/>
      <c r="AP520" s="481"/>
      <c r="AQ520" s="135" t="s">
        <v>6311</v>
      </c>
      <c r="AR520" s="135" t="s">
        <v>6311</v>
      </c>
      <c r="AS520" s="190"/>
      <c r="AT520" s="137" t="s">
        <v>266</v>
      </c>
      <c r="AU520" s="135">
        <v>6</v>
      </c>
      <c r="AV520" s="135">
        <v>120</v>
      </c>
      <c r="AW520" s="135">
        <v>114</v>
      </c>
      <c r="AX520" s="135">
        <v>28</v>
      </c>
      <c r="AY520" s="135" t="s">
        <v>8728</v>
      </c>
      <c r="AZ520" s="135" t="s">
        <v>1563</v>
      </c>
      <c r="BA520" s="135">
        <v>32</v>
      </c>
      <c r="BB520" s="138" t="s">
        <v>2485</v>
      </c>
      <c r="BC520" s="138" t="s">
        <v>8726</v>
      </c>
      <c r="BD520" s="138" t="s">
        <v>8374</v>
      </c>
      <c r="BE520" s="135" t="s">
        <v>2449</v>
      </c>
      <c r="BF520" s="135" t="s">
        <v>272</v>
      </c>
      <c r="BG520" s="135" t="s">
        <v>272</v>
      </c>
      <c r="BH520" s="135" t="s">
        <v>2486</v>
      </c>
      <c r="BI520" s="185">
        <v>6.3999999999999997E-6</v>
      </c>
      <c r="BJ520" s="185">
        <v>6.4000000000000001E-2</v>
      </c>
      <c r="BK520" s="135"/>
      <c r="BL520" s="185">
        <f t="shared" si="187"/>
        <v>4.0409455634817194E-3</v>
      </c>
      <c r="BM520" s="138" t="s">
        <v>2487</v>
      </c>
      <c r="BN520" s="135"/>
      <c r="BO520" s="135"/>
      <c r="BP520" s="135"/>
      <c r="BQ520" s="135"/>
      <c r="BR520" s="138" t="s">
        <v>2496</v>
      </c>
      <c r="BS520" s="135"/>
      <c r="BT520" s="135"/>
      <c r="BU520" s="135"/>
      <c r="BV520" s="135"/>
      <c r="BW520" s="135"/>
      <c r="BX520" s="135"/>
      <c r="BY520" s="135"/>
      <c r="BZ520" s="135"/>
      <c r="CA520" s="135"/>
      <c r="CB520" s="135"/>
      <c r="CC520" s="135"/>
      <c r="CD520" s="135"/>
      <c r="CE520" s="135"/>
      <c r="CF520" s="135"/>
      <c r="CG520" s="135"/>
      <c r="CH520" s="135"/>
      <c r="CI520" s="185"/>
      <c r="CJ520" s="187"/>
      <c r="CK520" s="136">
        <f t="shared" si="192"/>
        <v>6.3139774429401871E-2</v>
      </c>
      <c r="CL520" s="188"/>
      <c r="CM520" s="188"/>
      <c r="CN520" s="188"/>
      <c r="CO520" s="138" t="s">
        <v>2488</v>
      </c>
      <c r="CP520" s="138" t="s">
        <v>2489</v>
      </c>
      <c r="CQ520" s="183">
        <v>-2.4651594819735698</v>
      </c>
      <c r="CR520" s="191">
        <f>10^(CJ520-CQ520)</f>
        <v>291.84985506600276</v>
      </c>
      <c r="CS520" s="135" t="s">
        <v>539</v>
      </c>
      <c r="CT520" s="135"/>
      <c r="CU520" s="135"/>
      <c r="CV520" s="332">
        <f t="shared" si="189"/>
        <v>4.3063018203714852E-2</v>
      </c>
      <c r="CW520" s="329">
        <f t="shared" si="190"/>
        <v>0</v>
      </c>
      <c r="CX520" s="329"/>
      <c r="CY520" s="189" t="s">
        <v>5921</v>
      </c>
    </row>
    <row r="521" spans="1:103" ht="11.25" customHeight="1" x14ac:dyDescent="0.2">
      <c r="A521" s="72">
        <v>519</v>
      </c>
      <c r="B521" s="183">
        <v>1248</v>
      </c>
      <c r="C521" s="133" t="s">
        <v>3433</v>
      </c>
      <c r="D521" s="133" t="s">
        <v>6802</v>
      </c>
      <c r="E521" s="134"/>
      <c r="F521" s="134" t="s">
        <v>3434</v>
      </c>
      <c r="G521" s="184">
        <v>72548</v>
      </c>
      <c r="H521" s="138" t="s">
        <v>3435</v>
      </c>
      <c r="I521" s="138" t="s">
        <v>7920</v>
      </c>
      <c r="J521" s="138" t="s">
        <v>3436</v>
      </c>
      <c r="K521" s="138" t="s">
        <v>426</v>
      </c>
      <c r="L521" s="138" t="s">
        <v>617</v>
      </c>
      <c r="M521" s="197" t="s">
        <v>6078</v>
      </c>
      <c r="N521" s="138" t="s">
        <v>6376</v>
      </c>
      <c r="O521" s="138" t="s">
        <v>6083</v>
      </c>
      <c r="P521" s="138"/>
      <c r="Q521" s="138"/>
      <c r="R521" s="138"/>
      <c r="S521" s="138"/>
      <c r="T521" s="135">
        <v>320.04000000000002</v>
      </c>
      <c r="U521" s="185">
        <v>2.8121484814398198E-4</v>
      </c>
      <c r="V521" s="185">
        <v>2.1134858142732158E-4</v>
      </c>
      <c r="W521" s="185">
        <v>3.1622776601683734E-4</v>
      </c>
      <c r="X521" s="185">
        <v>2.8121484814398198E-4</v>
      </c>
      <c r="Y521" s="204">
        <v>7</v>
      </c>
      <c r="Z521" s="135">
        <v>5.87</v>
      </c>
      <c r="AA521" s="135">
        <v>6.02</v>
      </c>
      <c r="AB521" s="135">
        <v>6.04</v>
      </c>
      <c r="AC521" s="135">
        <v>0.78520000000000001</v>
      </c>
      <c r="AD521" s="135">
        <v>5.84</v>
      </c>
      <c r="AE521" s="135">
        <v>5.39</v>
      </c>
      <c r="AF521" s="135">
        <f t="shared" si="186"/>
        <v>6.02</v>
      </c>
      <c r="AG521" s="136">
        <v>5.92</v>
      </c>
      <c r="AH521" s="185">
        <v>4.3399999999999998E-5</v>
      </c>
      <c r="AI521" s="185">
        <v>6.6000000000000003E-6</v>
      </c>
      <c r="AJ521" s="136">
        <f t="shared" si="184"/>
        <v>-2.7510765968001412</v>
      </c>
      <c r="AK521" s="136">
        <f t="shared" si="191"/>
        <v>-3.5690223907707832</v>
      </c>
      <c r="AL521" s="136">
        <f t="shared" si="185"/>
        <v>-3.5690223907707832</v>
      </c>
      <c r="AM521" s="136">
        <v>-7.4749499999999998</v>
      </c>
      <c r="AN521" s="186">
        <v>-4.57</v>
      </c>
      <c r="AO521" s="481"/>
      <c r="AP521" s="481"/>
      <c r="AQ521" s="135" t="s">
        <v>6311</v>
      </c>
      <c r="AR521" s="135" t="s">
        <v>6311</v>
      </c>
      <c r="AS521" s="190"/>
      <c r="AT521" s="137" t="s">
        <v>266</v>
      </c>
      <c r="AU521" s="135">
        <v>6</v>
      </c>
      <c r="AV521" s="135">
        <v>120</v>
      </c>
      <c r="AW521" s="135">
        <v>114</v>
      </c>
      <c r="AX521" s="135">
        <v>28</v>
      </c>
      <c r="AY521" s="135" t="s">
        <v>8728</v>
      </c>
      <c r="AZ521" s="135" t="s">
        <v>1563</v>
      </c>
      <c r="BA521" s="135">
        <v>32</v>
      </c>
      <c r="BB521" s="138" t="s">
        <v>2485</v>
      </c>
      <c r="BC521" s="138" t="s">
        <v>8726</v>
      </c>
      <c r="BD521" s="138" t="s">
        <v>8374</v>
      </c>
      <c r="BE521" s="135" t="s">
        <v>2449</v>
      </c>
      <c r="BF521" s="135" t="s">
        <v>272</v>
      </c>
      <c r="BG521" s="135" t="s">
        <v>272</v>
      </c>
      <c r="BH521" s="135" t="s">
        <v>2486</v>
      </c>
      <c r="BI521" s="185">
        <v>6.3999999999999997E-6</v>
      </c>
      <c r="BJ521" s="185">
        <v>6.4000000000000001E-2</v>
      </c>
      <c r="BK521" s="135"/>
      <c r="BL521" s="185">
        <f t="shared" si="187"/>
        <v>2.7475967879679705E-4</v>
      </c>
      <c r="BM521" s="138" t="s">
        <v>2487</v>
      </c>
      <c r="BN521" s="135"/>
      <c r="BO521" s="135"/>
      <c r="BP521" s="135"/>
      <c r="BQ521" s="135"/>
      <c r="BR521" s="138" t="s">
        <v>2496</v>
      </c>
      <c r="BS521" s="135"/>
      <c r="BT521" s="135"/>
      <c r="BU521" s="135">
        <v>6.3999999999999997E-5</v>
      </c>
      <c r="BV521" s="135"/>
      <c r="BW521" s="135"/>
      <c r="BX521" s="135"/>
      <c r="BY521" s="135"/>
      <c r="BZ521" s="135"/>
      <c r="CA521" s="135"/>
      <c r="CB521" s="135"/>
      <c r="CC521" s="135"/>
      <c r="CD521" s="135"/>
      <c r="CE521" s="135"/>
      <c r="CF521" s="135"/>
      <c r="CG521" s="135"/>
      <c r="CH521" s="135"/>
      <c r="CI521" s="185"/>
      <c r="CJ521" s="187"/>
      <c r="CK521" s="136">
        <f t="shared" si="192"/>
        <v>4.2931199811999535E-3</v>
      </c>
      <c r="CL521" s="188"/>
      <c r="CM521" s="188"/>
      <c r="CN521" s="188"/>
      <c r="CO521" s="138" t="s">
        <v>2488</v>
      </c>
      <c r="CP521" s="138" t="s">
        <v>2489</v>
      </c>
      <c r="CQ521" s="183">
        <v>-3.2169060887233587</v>
      </c>
      <c r="CR521" s="191">
        <f>10^(CJ521-CQ521)</f>
        <v>1647.8060335538325</v>
      </c>
      <c r="CS521" s="135" t="s">
        <v>539</v>
      </c>
      <c r="CT521" s="135"/>
      <c r="CU521" s="135"/>
      <c r="CV521" s="332">
        <f t="shared" si="189"/>
        <v>4.393982002249718E-3</v>
      </c>
      <c r="CW521" s="329">
        <f t="shared" si="190"/>
        <v>0</v>
      </c>
      <c r="CX521" s="329"/>
      <c r="CY521" s="189" t="s">
        <v>5921</v>
      </c>
    </row>
    <row r="522" spans="1:103" ht="11.25" customHeight="1" x14ac:dyDescent="0.2">
      <c r="A522" s="72">
        <v>520</v>
      </c>
      <c r="B522" s="183">
        <v>1827</v>
      </c>
      <c r="C522" s="133" t="s">
        <v>6803</v>
      </c>
      <c r="D522" s="133" t="s">
        <v>6804</v>
      </c>
      <c r="E522" s="134"/>
      <c r="F522" s="134" t="s">
        <v>2217</v>
      </c>
      <c r="G522" s="184">
        <v>50293</v>
      </c>
      <c r="H522" s="138" t="s">
        <v>2218</v>
      </c>
      <c r="I522" s="138" t="s">
        <v>7921</v>
      </c>
      <c r="J522" s="138" t="s">
        <v>2219</v>
      </c>
      <c r="K522" s="138" t="s">
        <v>426</v>
      </c>
      <c r="L522" s="138" t="s">
        <v>617</v>
      </c>
      <c r="M522" s="138" t="s">
        <v>1086</v>
      </c>
      <c r="N522" s="138" t="s">
        <v>6376</v>
      </c>
      <c r="O522" s="138" t="s">
        <v>918</v>
      </c>
      <c r="P522" s="138"/>
      <c r="Q522" s="138"/>
      <c r="R522" s="138"/>
      <c r="S522" s="138"/>
      <c r="T522" s="135">
        <v>354.48</v>
      </c>
      <c r="U522" s="185">
        <v>1.5515684946964567E-5</v>
      </c>
      <c r="V522" s="185">
        <v>2.0613292710449108E-5</v>
      </c>
      <c r="W522" s="185">
        <v>1.174897554939528E-4</v>
      </c>
      <c r="X522" s="185">
        <v>1.5515684946964567E-5</v>
      </c>
      <c r="Y522" s="204">
        <v>7</v>
      </c>
      <c r="Z522" s="135">
        <v>6.79</v>
      </c>
      <c r="AA522" s="135">
        <v>6.91</v>
      </c>
      <c r="AB522" s="135">
        <v>6.33</v>
      </c>
      <c r="AC522" s="135">
        <v>0.82679999999999998</v>
      </c>
      <c r="AD522" s="135">
        <v>6.22</v>
      </c>
      <c r="AE522" s="135">
        <v>5.92</v>
      </c>
      <c r="AF522" s="135">
        <f t="shared" si="186"/>
        <v>6.91</v>
      </c>
      <c r="AG522" s="136">
        <v>6.54</v>
      </c>
      <c r="AH522" s="185">
        <v>1.5299999999999999E-5</v>
      </c>
      <c r="AI522" s="185">
        <v>8.32E-6</v>
      </c>
      <c r="AJ522" s="136">
        <f t="shared" si="184"/>
        <v>-3.2038748954950531</v>
      </c>
      <c r="AK522" s="136">
        <f t="shared" si="191"/>
        <v>-3.468443000021928</v>
      </c>
      <c r="AL522" s="136">
        <f t="shared" si="185"/>
        <v>-3.468443000021928</v>
      </c>
      <c r="AM522" s="136">
        <v>-7.4330299999999996</v>
      </c>
      <c r="AN522" s="186">
        <v>-4.3499999999999996</v>
      </c>
      <c r="AO522" s="481"/>
      <c r="AP522" s="481"/>
      <c r="AQ522" s="186" t="s">
        <v>6311</v>
      </c>
      <c r="AR522" s="186" t="s">
        <v>6311</v>
      </c>
      <c r="AS522" s="183"/>
      <c r="AT522" s="137" t="s">
        <v>266</v>
      </c>
      <c r="AU522" s="135">
        <v>6</v>
      </c>
      <c r="AV522" s="135">
        <v>120</v>
      </c>
      <c r="AW522" s="135">
        <v>114</v>
      </c>
      <c r="AX522" s="135">
        <v>28</v>
      </c>
      <c r="AY522" s="135" t="s">
        <v>8728</v>
      </c>
      <c r="AZ522" s="135" t="s">
        <v>1563</v>
      </c>
      <c r="BA522" s="135">
        <v>32</v>
      </c>
      <c r="BB522" s="138" t="s">
        <v>2485</v>
      </c>
      <c r="BC522" s="138" t="s">
        <v>8726</v>
      </c>
      <c r="BD522" s="138" t="s">
        <v>8374</v>
      </c>
      <c r="BE522" s="135" t="s">
        <v>2449</v>
      </c>
      <c r="BF522" s="135" t="s">
        <v>272</v>
      </c>
      <c r="BG522" s="135" t="s">
        <v>272</v>
      </c>
      <c r="BH522" s="135" t="s">
        <v>2486</v>
      </c>
      <c r="BI522" s="185">
        <v>6.3999999999999997E-6</v>
      </c>
      <c r="BJ522" s="185">
        <v>6.4000000000000001E-2</v>
      </c>
      <c r="BK522" s="135"/>
      <c r="BL522" s="185">
        <f t="shared" si="187"/>
        <v>4.0992178575571082E-5</v>
      </c>
      <c r="BM522" s="138" t="s">
        <v>2487</v>
      </c>
      <c r="BN522" s="135"/>
      <c r="BO522" s="135"/>
      <c r="BP522" s="135"/>
      <c r="BQ522" s="135"/>
      <c r="BR522" s="138" t="s">
        <v>2496</v>
      </c>
      <c r="BS522" s="135"/>
      <c r="BT522" s="135"/>
      <c r="BU522" s="135"/>
      <c r="BV522" s="135"/>
      <c r="BW522" s="135"/>
      <c r="BX522" s="135"/>
      <c r="BY522" s="135"/>
      <c r="BZ522" s="135"/>
      <c r="CA522" s="135"/>
      <c r="CB522" s="135"/>
      <c r="CC522" s="135"/>
      <c r="CD522" s="135"/>
      <c r="CE522" s="135"/>
      <c r="CF522" s="135"/>
      <c r="CG522" s="135"/>
      <c r="CH522" s="135"/>
      <c r="CI522" s="185"/>
      <c r="CJ522" s="187"/>
      <c r="CK522" s="136">
        <f t="shared" si="192"/>
        <v>6.4050279024329814E-4</v>
      </c>
      <c r="CL522" s="188"/>
      <c r="CM522" s="188"/>
      <c r="CN522" s="188"/>
      <c r="CO522" s="138" t="s">
        <v>2488</v>
      </c>
      <c r="CP522" s="138" t="s">
        <v>2489</v>
      </c>
      <c r="CQ522" s="183">
        <v>-4.697241030215876</v>
      </c>
      <c r="CR522" s="191">
        <f>10^(CJ522-CQ522)</f>
        <v>49801.340203877131</v>
      </c>
      <c r="CS522" s="135" t="s">
        <v>539</v>
      </c>
      <c r="CT522" s="135"/>
      <c r="CU522" s="135"/>
      <c r="CV522" s="332">
        <f t="shared" si="189"/>
        <v>2.4243257729632134E-4</v>
      </c>
      <c r="CW522" s="329">
        <f t="shared" si="190"/>
        <v>0</v>
      </c>
      <c r="CX522" s="329"/>
      <c r="CY522" s="189" t="s">
        <v>5921</v>
      </c>
    </row>
    <row r="523" spans="1:103" ht="11.25" customHeight="1" x14ac:dyDescent="0.2">
      <c r="A523" s="72">
        <v>521</v>
      </c>
      <c r="B523" s="183">
        <v>1826</v>
      </c>
      <c r="C523" s="133" t="s">
        <v>5238</v>
      </c>
      <c r="D523" s="133" t="s">
        <v>6805</v>
      </c>
      <c r="E523" s="134"/>
      <c r="F523" s="134" t="s">
        <v>5239</v>
      </c>
      <c r="G523" s="184">
        <v>72559</v>
      </c>
      <c r="H523" s="138" t="s">
        <v>5240</v>
      </c>
      <c r="I523" s="138" t="s">
        <v>7922</v>
      </c>
      <c r="J523" s="138" t="s">
        <v>5241</v>
      </c>
      <c r="K523" s="138" t="s">
        <v>1139</v>
      </c>
      <c r="L523" s="138" t="s">
        <v>617</v>
      </c>
      <c r="M523" s="197" t="s">
        <v>6078</v>
      </c>
      <c r="N523" s="138" t="s">
        <v>6376</v>
      </c>
      <c r="O523" s="138" t="s">
        <v>6083</v>
      </c>
      <c r="P523" s="138"/>
      <c r="Q523" s="138"/>
      <c r="R523" s="138"/>
      <c r="S523" s="138"/>
      <c r="T523" s="135">
        <v>318.02</v>
      </c>
      <c r="U523" s="185">
        <v>1.2577825294006668E-4</v>
      </c>
      <c r="V523" s="185">
        <v>8.3422426262499218E-5</v>
      </c>
      <c r="W523" s="185">
        <v>8.7096358995608056E-5</v>
      </c>
      <c r="X523" s="185">
        <v>1.2577825294006668E-4</v>
      </c>
      <c r="Y523" s="204">
        <v>7</v>
      </c>
      <c r="Z523" s="135">
        <v>6</v>
      </c>
      <c r="AA523" s="135">
        <v>6.51</v>
      </c>
      <c r="AB523" s="135">
        <v>6.49</v>
      </c>
      <c r="AC523" s="135">
        <v>0.8236</v>
      </c>
      <c r="AD523" s="135">
        <v>6.46</v>
      </c>
      <c r="AE523" s="135">
        <v>6.37</v>
      </c>
      <c r="AF523" s="135">
        <f t="shared" si="186"/>
        <v>6.51</v>
      </c>
      <c r="AG523" s="136">
        <v>5.93</v>
      </c>
      <c r="AH523" s="185">
        <v>3.5200000000000002E-5</v>
      </c>
      <c r="AI523" s="185">
        <v>4.1600000000000002E-5</v>
      </c>
      <c r="AJ523" s="136">
        <f t="shared" si="184"/>
        <v>-2.8420236628345208</v>
      </c>
      <c r="AK523" s="136">
        <f t="shared" si="191"/>
        <v>-2.7694729956859092</v>
      </c>
      <c r="AL523" s="136">
        <f t="shared" si="185"/>
        <v>-2.7694729956859092</v>
      </c>
      <c r="AM523" s="136">
        <v>-7.8475300000000008</v>
      </c>
      <c r="AN523" s="186">
        <v>-3.27</v>
      </c>
      <c r="AO523" s="481"/>
      <c r="AP523" s="481"/>
      <c r="AQ523" s="186" t="s">
        <v>6311</v>
      </c>
      <c r="AR523" s="186" t="s">
        <v>6311</v>
      </c>
      <c r="AS523" s="183"/>
      <c r="AT523" s="137" t="s">
        <v>266</v>
      </c>
      <c r="AU523" s="135">
        <v>6</v>
      </c>
      <c r="AV523" s="135">
        <v>120</v>
      </c>
      <c r="AW523" s="135">
        <v>114</v>
      </c>
      <c r="AX523" s="135">
        <v>28</v>
      </c>
      <c r="AY523" s="135" t="s">
        <v>8728</v>
      </c>
      <c r="AZ523" s="135" t="s">
        <v>1563</v>
      </c>
      <c r="BA523" s="135">
        <v>32</v>
      </c>
      <c r="BB523" s="138" t="s">
        <v>2485</v>
      </c>
      <c r="BC523" s="138" t="s">
        <v>8726</v>
      </c>
      <c r="BD523" s="138" t="s">
        <v>8374</v>
      </c>
      <c r="BE523" s="135" t="s">
        <v>2449</v>
      </c>
      <c r="BF523" s="135" t="s">
        <v>272</v>
      </c>
      <c r="BG523" s="135" t="s">
        <v>272</v>
      </c>
      <c r="BH523" s="135" t="s">
        <v>2486</v>
      </c>
      <c r="BI523" s="185">
        <v>6.3999999999999997E-6</v>
      </c>
      <c r="BJ523" s="185">
        <v>6.4000000000000001E-2</v>
      </c>
      <c r="BK523" s="135"/>
      <c r="BL523" s="185">
        <f t="shared" si="187"/>
        <v>2.0999067037624208E-4</v>
      </c>
      <c r="BM523" s="138" t="s">
        <v>2487</v>
      </c>
      <c r="BN523" s="135"/>
      <c r="BO523" s="135"/>
      <c r="BP523" s="135"/>
      <c r="BQ523" s="135"/>
      <c r="BR523" s="138" t="s">
        <v>2496</v>
      </c>
      <c r="BS523" s="135"/>
      <c r="BT523" s="135"/>
      <c r="BU523" s="135"/>
      <c r="BV523" s="135"/>
      <c r="BW523" s="135"/>
      <c r="BX523" s="135"/>
      <c r="BY523" s="135"/>
      <c r="BZ523" s="135"/>
      <c r="CA523" s="135"/>
      <c r="CB523" s="135"/>
      <c r="CC523" s="135"/>
      <c r="CD523" s="135"/>
      <c r="CE523" s="135"/>
      <c r="CF523" s="135"/>
      <c r="CG523" s="135"/>
      <c r="CH523" s="135"/>
      <c r="CI523" s="185"/>
      <c r="CJ523" s="187"/>
      <c r="CK523" s="136">
        <f t="shared" si="192"/>
        <v>3.2811042246287826E-3</v>
      </c>
      <c r="CL523" s="188"/>
      <c r="CM523" s="188"/>
      <c r="CN523" s="188"/>
      <c r="CO523" s="138" t="s">
        <v>2488</v>
      </c>
      <c r="CP523" s="138" t="s">
        <v>2489</v>
      </c>
      <c r="CQ523" s="183">
        <v>-3.5597738232281366</v>
      </c>
      <c r="CR523" s="191">
        <f>10^(CJ523-CQ523)</f>
        <v>3628.890161204019</v>
      </c>
      <c r="CS523" s="135" t="s">
        <v>539</v>
      </c>
      <c r="CT523" s="135"/>
      <c r="CU523" s="135"/>
      <c r="CV523" s="332">
        <f t="shared" si="189"/>
        <v>1.9652852021885417E-3</v>
      </c>
      <c r="CW523" s="329">
        <f t="shared" si="190"/>
        <v>0</v>
      </c>
      <c r="CX523" s="329"/>
      <c r="CY523" s="189" t="s">
        <v>5921</v>
      </c>
    </row>
    <row r="524" spans="1:103" ht="11.25" customHeight="1" x14ac:dyDescent="0.2">
      <c r="A524" s="72">
        <v>522</v>
      </c>
      <c r="B524" s="183">
        <v>1185</v>
      </c>
      <c r="C524" s="133" t="s">
        <v>1298</v>
      </c>
      <c r="D524" s="133" t="s">
        <v>6649</v>
      </c>
      <c r="E524" s="134"/>
      <c r="F524" s="134" t="s">
        <v>1299</v>
      </c>
      <c r="G524" s="184">
        <v>72435</v>
      </c>
      <c r="H524" s="138" t="s">
        <v>1300</v>
      </c>
      <c r="I524" s="138" t="s">
        <v>7923</v>
      </c>
      <c r="J524" s="138" t="s">
        <v>1301</v>
      </c>
      <c r="K524" s="138" t="s">
        <v>426</v>
      </c>
      <c r="L524" s="138" t="s">
        <v>617</v>
      </c>
      <c r="M524" s="138" t="s">
        <v>1086</v>
      </c>
      <c r="N524" s="138" t="s">
        <v>6376</v>
      </c>
      <c r="O524" s="138" t="s">
        <v>918</v>
      </c>
      <c r="P524" s="138" t="s">
        <v>6631</v>
      </c>
      <c r="Q524" s="138" t="s">
        <v>6173</v>
      </c>
      <c r="R524" s="138" t="s">
        <v>6082</v>
      </c>
      <c r="S524" s="138" t="s">
        <v>6173</v>
      </c>
      <c r="T524" s="135">
        <v>345.65</v>
      </c>
      <c r="U524" s="185">
        <v>2.8930999566035008E-4</v>
      </c>
      <c r="V524" s="185">
        <v>8.737161868942572E-4</v>
      </c>
      <c r="W524" s="185">
        <v>1.7782794100389215E-2</v>
      </c>
      <c r="X524" s="185">
        <v>2.8930999566035008E-4</v>
      </c>
      <c r="Y524" s="204">
        <v>7</v>
      </c>
      <c r="Z524" s="135">
        <v>5.67</v>
      </c>
      <c r="AA524" s="135">
        <v>5.08</v>
      </c>
      <c r="AB524" s="135">
        <v>5.83</v>
      </c>
      <c r="AC524" s="135">
        <v>0.84089999999999998</v>
      </c>
      <c r="AD524" s="135">
        <v>5.51</v>
      </c>
      <c r="AE524" s="135">
        <v>4.5599999999999996</v>
      </c>
      <c r="AF524" s="135">
        <f t="shared" si="186"/>
        <v>5.08</v>
      </c>
      <c r="AG524" s="136">
        <v>5.14</v>
      </c>
      <c r="AH524" s="185">
        <v>9.7500000000000006E-8</v>
      </c>
      <c r="AI524" s="185">
        <v>2.03E-7</v>
      </c>
      <c r="AJ524" s="136">
        <f t="shared" si="184"/>
        <v>-5.3995617106141154</v>
      </c>
      <c r="AK524" s="136">
        <f t="shared" si="191"/>
        <v>-5.081070288399439</v>
      </c>
      <c r="AL524" s="136">
        <f t="shared" si="185"/>
        <v>-5.081070288399439</v>
      </c>
      <c r="AM524" s="136">
        <v>-9.6148900000000008</v>
      </c>
      <c r="AN524" s="186">
        <v>-6.6</v>
      </c>
      <c r="AO524" s="481"/>
      <c r="AP524" s="481"/>
      <c r="AQ524" s="135" t="s">
        <v>6311</v>
      </c>
      <c r="AR524" s="135" t="s">
        <v>6311</v>
      </c>
      <c r="AS524" s="190"/>
      <c r="AT524" s="137" t="s">
        <v>266</v>
      </c>
      <c r="AU524" s="135">
        <v>6</v>
      </c>
      <c r="AV524" s="135">
        <v>120</v>
      </c>
      <c r="AW524" s="135">
        <v>114</v>
      </c>
      <c r="AX524" s="135">
        <v>28</v>
      </c>
      <c r="AY524" s="135" t="s">
        <v>8728</v>
      </c>
      <c r="AZ524" s="135" t="s">
        <v>1563</v>
      </c>
      <c r="BA524" s="135">
        <v>32</v>
      </c>
      <c r="BB524" s="138" t="s">
        <v>2485</v>
      </c>
      <c r="BC524" s="138" t="s">
        <v>8726</v>
      </c>
      <c r="BD524" s="138" t="s">
        <v>8374</v>
      </c>
      <c r="BE524" s="135" t="s">
        <v>2449</v>
      </c>
      <c r="BF524" s="135" t="s">
        <v>272</v>
      </c>
      <c r="BG524" s="135" t="s">
        <v>272</v>
      </c>
      <c r="BH524" s="135" t="s">
        <v>2486</v>
      </c>
      <c r="BI524" s="185">
        <v>6.3999999999999997E-6</v>
      </c>
      <c r="BJ524" s="185">
        <v>6.4000000000000001E-2</v>
      </c>
      <c r="BK524" s="135"/>
      <c r="BL524" s="185">
        <f t="shared" si="187"/>
        <v>4.1550188654928839E-4</v>
      </c>
      <c r="BM524" s="138" t="s">
        <v>2487</v>
      </c>
      <c r="BN524" s="135"/>
      <c r="BO524" s="135"/>
      <c r="BP524" s="135"/>
      <c r="BQ524" s="135"/>
      <c r="BR524" s="138" t="s">
        <v>2496</v>
      </c>
      <c r="BS524" s="135"/>
      <c r="BT524" s="135"/>
      <c r="BU524" s="135">
        <v>6.3680000000000004E-3</v>
      </c>
      <c r="BV524" s="135"/>
      <c r="BW524" s="135"/>
      <c r="BX524" s="135"/>
      <c r="BY524" s="135"/>
      <c r="BZ524" s="135"/>
      <c r="CA524" s="135"/>
      <c r="CB524" s="135"/>
      <c r="CC524" s="135"/>
      <c r="CD524" s="135"/>
      <c r="CE524" s="135"/>
      <c r="CF524" s="135"/>
      <c r="CG524" s="135"/>
      <c r="CH524" s="135"/>
      <c r="CI524" s="185"/>
      <c r="CJ524" s="187"/>
      <c r="CK524" s="136">
        <f t="shared" si="192"/>
        <v>6.4922169773326309E-3</v>
      </c>
      <c r="CL524" s="188"/>
      <c r="CM524" s="188"/>
      <c r="CN524" s="188"/>
      <c r="CO524" s="138" t="s">
        <v>2488</v>
      </c>
      <c r="CP524" s="138" t="s">
        <v>2489</v>
      </c>
      <c r="CQ524" s="183">
        <v>-4.058441922882789</v>
      </c>
      <c r="CR524" s="191">
        <f>10^(CJ524-CQ524)</f>
        <v>11440.41879721626</v>
      </c>
      <c r="CS524" s="135" t="s">
        <v>539</v>
      </c>
      <c r="CT524" s="135"/>
      <c r="CU524" s="135"/>
      <c r="CV524" s="332">
        <f t="shared" si="189"/>
        <v>4.5204686821929702E-3</v>
      </c>
      <c r="CW524" s="329">
        <f t="shared" si="190"/>
        <v>0</v>
      </c>
      <c r="CX524" s="329"/>
      <c r="CY524" s="189" t="s">
        <v>5921</v>
      </c>
    </row>
    <row r="525" spans="1:103" ht="11.25" customHeight="1" x14ac:dyDescent="0.2">
      <c r="A525" s="72">
        <v>523</v>
      </c>
      <c r="B525" s="183">
        <v>1926</v>
      </c>
      <c r="C525" s="133" t="s">
        <v>6806</v>
      </c>
      <c r="D525" s="133"/>
      <c r="E525" s="134"/>
      <c r="F525" s="134" t="s">
        <v>5411</v>
      </c>
      <c r="G525" s="184">
        <v>78422</v>
      </c>
      <c r="H525" s="138" t="s">
        <v>5412</v>
      </c>
      <c r="I525" s="138" t="s">
        <v>5412</v>
      </c>
      <c r="J525" s="138" t="s">
        <v>5413</v>
      </c>
      <c r="K525" s="138" t="s">
        <v>637</v>
      </c>
      <c r="L525" s="138"/>
      <c r="M525" s="138"/>
      <c r="N525" s="138"/>
      <c r="O525" s="138"/>
      <c r="P525" s="138"/>
      <c r="Q525" s="138"/>
      <c r="R525" s="138"/>
      <c r="S525" s="138"/>
      <c r="T525" s="135">
        <v>434.63</v>
      </c>
      <c r="U525" s="185">
        <v>1.380484550077077E-3</v>
      </c>
      <c r="V525" s="185">
        <v>3.3614798794376828E-8</v>
      </c>
      <c r="W525" s="185">
        <v>4.1686938347033491E-4</v>
      </c>
      <c r="X525" s="185">
        <v>1.380484550077077E-3</v>
      </c>
      <c r="Y525" s="204">
        <v>7</v>
      </c>
      <c r="Z525" s="135">
        <v>9.49</v>
      </c>
      <c r="AA525" s="135"/>
      <c r="AB525" s="135">
        <v>8.0500000000000007</v>
      </c>
      <c r="AC525" s="135">
        <v>0.62090000000000001</v>
      </c>
      <c r="AD525" s="135">
        <v>8.9600000000000009</v>
      </c>
      <c r="AE525" s="135">
        <v>10.09</v>
      </c>
      <c r="AF525" s="135">
        <f t="shared" si="186"/>
        <v>8.9600000000000009</v>
      </c>
      <c r="AG525" s="136">
        <v>8.1999999999999993</v>
      </c>
      <c r="AH525" s="185">
        <v>9.5600000000000006E-5</v>
      </c>
      <c r="AI525" s="185">
        <v>7.8600000000000002E-8</v>
      </c>
      <c r="AJ525" s="136">
        <f t="shared" si="184"/>
        <v>-2.4081084340365515</v>
      </c>
      <c r="AK525" s="136">
        <f t="shared" si="191"/>
        <v>-5.4931437802732441</v>
      </c>
      <c r="AL525" s="136">
        <f t="shared" si="185"/>
        <v>-5.4931437802732441</v>
      </c>
      <c r="AM525" s="136">
        <v>-10.5585</v>
      </c>
      <c r="AN525" s="186">
        <v>-2.04</v>
      </c>
      <c r="AO525" s="481"/>
      <c r="AP525" s="481"/>
      <c r="AQ525" s="186" t="s">
        <v>6312</v>
      </c>
      <c r="AR525" s="186" t="s">
        <v>6312</v>
      </c>
      <c r="AS525" s="183"/>
      <c r="AT525" s="137" t="s">
        <v>266</v>
      </c>
      <c r="AU525" s="135">
        <v>6</v>
      </c>
      <c r="AV525" s="135">
        <v>120</v>
      </c>
      <c r="AW525" s="135">
        <v>114</v>
      </c>
      <c r="AX525" s="135">
        <v>28</v>
      </c>
      <c r="AY525" s="135" t="s">
        <v>8728</v>
      </c>
      <c r="AZ525" s="135" t="s">
        <v>1563</v>
      </c>
      <c r="BA525" s="135">
        <v>32</v>
      </c>
      <c r="BB525" s="138" t="s">
        <v>2485</v>
      </c>
      <c r="BC525" s="138" t="s">
        <v>8726</v>
      </c>
      <c r="BD525" s="138" t="s">
        <v>8374</v>
      </c>
      <c r="BE525" s="135" t="s">
        <v>2449</v>
      </c>
      <c r="BF525" s="135" t="s">
        <v>272</v>
      </c>
      <c r="BG525" s="135" t="s">
        <v>272</v>
      </c>
      <c r="BH525" s="135" t="s">
        <v>2486</v>
      </c>
      <c r="BI525" s="185">
        <v>6.3999999999999997E-6</v>
      </c>
      <c r="BJ525" s="185">
        <v>6.4000000000000001E-2</v>
      </c>
      <c r="BK525" s="135"/>
      <c r="BL525" s="185">
        <f t="shared" si="187"/>
        <v>1.5411006371570908E-7</v>
      </c>
      <c r="BM525" s="138" t="s">
        <v>2487</v>
      </c>
      <c r="BN525" s="135"/>
      <c r="BO525" s="135"/>
      <c r="BP525" s="135"/>
      <c r="BQ525" s="135"/>
      <c r="BR525" s="138" t="s">
        <v>2496</v>
      </c>
      <c r="BS525" s="135"/>
      <c r="BT525" s="135"/>
      <c r="BU525" s="135"/>
      <c r="BV525" s="135"/>
      <c r="BW525" s="135"/>
      <c r="BX525" s="135"/>
      <c r="BY525" s="135"/>
      <c r="BZ525" s="135"/>
      <c r="CA525" s="135"/>
      <c r="CB525" s="135"/>
      <c r="CC525" s="135"/>
      <c r="CD525" s="135"/>
      <c r="CE525" s="135"/>
      <c r="CF525" s="135"/>
      <c r="CG525" s="135"/>
      <c r="CH525" s="135"/>
      <c r="CI525" s="185"/>
      <c r="CJ525" s="187"/>
      <c r="CK525" s="136">
        <f t="shared" si="192"/>
        <v>2.4079697455579545E-6</v>
      </c>
      <c r="CL525" s="188"/>
      <c r="CM525" s="188"/>
      <c r="CN525" s="188"/>
      <c r="CO525" s="138" t="s">
        <v>2488</v>
      </c>
      <c r="CP525" s="138" t="s">
        <v>2489</v>
      </c>
      <c r="CQ525" s="191" t="s">
        <v>272</v>
      </c>
      <c r="CR525" s="191"/>
      <c r="CS525" s="135" t="s">
        <v>539</v>
      </c>
      <c r="CT525" s="135"/>
      <c r="CU525" s="135"/>
      <c r="CV525" s="332">
        <f t="shared" si="189"/>
        <v>2.1570071094954325E-2</v>
      </c>
      <c r="CW525" s="329">
        <f t="shared" si="190"/>
        <v>0</v>
      </c>
      <c r="CX525" s="329"/>
      <c r="CY525" s="189" t="s">
        <v>6351</v>
      </c>
    </row>
    <row r="526" spans="1:103" ht="11.25" customHeight="1" x14ac:dyDescent="0.2">
      <c r="A526" s="72">
        <v>524</v>
      </c>
      <c r="B526" s="183">
        <v>1597</v>
      </c>
      <c r="C526" s="133" t="s">
        <v>1099</v>
      </c>
      <c r="D526" s="133" t="s">
        <v>6683</v>
      </c>
      <c r="E526" s="134"/>
      <c r="F526" s="134" t="s">
        <v>1100</v>
      </c>
      <c r="G526" s="184">
        <v>51338273</v>
      </c>
      <c r="H526" s="138" t="s">
        <v>1101</v>
      </c>
      <c r="I526" s="138" t="s">
        <v>7924</v>
      </c>
      <c r="J526" s="138" t="s">
        <v>1102</v>
      </c>
      <c r="K526" s="138" t="s">
        <v>357</v>
      </c>
      <c r="L526" s="138" t="s">
        <v>5968</v>
      </c>
      <c r="M526" s="138" t="s">
        <v>6082</v>
      </c>
      <c r="N526" s="138" t="s">
        <v>6082</v>
      </c>
      <c r="O526" s="138" t="s">
        <v>6083</v>
      </c>
      <c r="P526" s="138"/>
      <c r="Q526" s="138"/>
      <c r="R526" s="138"/>
      <c r="S526" s="138"/>
      <c r="T526" s="135">
        <v>341.19</v>
      </c>
      <c r="U526" s="185">
        <v>2.344734605351857E-3</v>
      </c>
      <c r="V526" s="185">
        <v>2.3262698203347109E-3</v>
      </c>
      <c r="W526" s="185">
        <v>6.6069344800759591E-3</v>
      </c>
      <c r="X526" s="185">
        <v>2.344734605351857E-3</v>
      </c>
      <c r="Y526" s="204">
        <v>7</v>
      </c>
      <c r="Z526" s="135">
        <v>4.54</v>
      </c>
      <c r="AA526" s="135">
        <v>4.62</v>
      </c>
      <c r="AB526" s="135">
        <v>5.18</v>
      </c>
      <c r="AC526" s="135">
        <v>0.77900000000000003</v>
      </c>
      <c r="AD526" s="135">
        <v>4.8899999999999997</v>
      </c>
      <c r="AE526" s="135">
        <v>4.24</v>
      </c>
      <c r="AF526" s="135">
        <f t="shared" si="186"/>
        <v>4.62</v>
      </c>
      <c r="AG526" s="136">
        <v>4.49</v>
      </c>
      <c r="AH526" s="185">
        <v>8.5599999999999999E-8</v>
      </c>
      <c r="AI526" s="185">
        <v>1.9700000000000002E-6</v>
      </c>
      <c r="AJ526" s="136">
        <f t="shared" si="184"/>
        <v>-5.4560925616354989</v>
      </c>
      <c r="AK526" s="136">
        <f t="shared" si="191"/>
        <v>-4.0941001001510591</v>
      </c>
      <c r="AL526" s="136">
        <f t="shared" si="185"/>
        <v>-4.0941001001510591</v>
      </c>
      <c r="AM526" s="136">
        <v>-11.93689</v>
      </c>
      <c r="AN526" s="186">
        <v>-5.05</v>
      </c>
      <c r="AO526" s="481"/>
      <c r="AP526" s="481"/>
      <c r="AQ526" s="135" t="s">
        <v>6311</v>
      </c>
      <c r="AR526" s="135" t="s">
        <v>6312</v>
      </c>
      <c r="AS526" s="190"/>
      <c r="AT526" s="137" t="s">
        <v>266</v>
      </c>
      <c r="AU526" s="135">
        <v>6</v>
      </c>
      <c r="AV526" s="135">
        <v>120</v>
      </c>
      <c r="AW526" s="135">
        <v>114</v>
      </c>
      <c r="AX526" s="135">
        <v>28</v>
      </c>
      <c r="AY526" s="135" t="s">
        <v>8728</v>
      </c>
      <c r="AZ526" s="135" t="s">
        <v>1563</v>
      </c>
      <c r="BA526" s="135">
        <v>32</v>
      </c>
      <c r="BB526" s="138" t="s">
        <v>2485</v>
      </c>
      <c r="BC526" s="138" t="s">
        <v>8726</v>
      </c>
      <c r="BD526" s="138" t="s">
        <v>8374</v>
      </c>
      <c r="BE526" s="135" t="s">
        <v>2449</v>
      </c>
      <c r="BF526" s="135" t="s">
        <v>272</v>
      </c>
      <c r="BG526" s="135" t="s">
        <v>272</v>
      </c>
      <c r="BH526" s="135" t="s">
        <v>2486</v>
      </c>
      <c r="BI526" s="185">
        <v>6.3999999999999997E-6</v>
      </c>
      <c r="BJ526" s="185">
        <v>6.4000000000000001E-2</v>
      </c>
      <c r="BK526" s="135"/>
      <c r="BL526" s="185">
        <f t="shared" si="187"/>
        <v>4.2995796629318201E-3</v>
      </c>
      <c r="BM526" s="138" t="s">
        <v>2487</v>
      </c>
      <c r="BN526" s="135"/>
      <c r="BO526" s="135"/>
      <c r="BP526" s="135"/>
      <c r="BQ526" s="135"/>
      <c r="BR526" s="138" t="s">
        <v>2496</v>
      </c>
      <c r="BS526" s="135"/>
      <c r="BT526" s="135"/>
      <c r="BU526" s="135"/>
      <c r="BV526" s="135"/>
      <c r="BW526" s="135"/>
      <c r="BX526" s="135"/>
      <c r="BY526" s="135"/>
      <c r="BZ526" s="135"/>
      <c r="CA526" s="135"/>
      <c r="CB526" s="135"/>
      <c r="CC526" s="135"/>
      <c r="CD526" s="135"/>
      <c r="CE526" s="135"/>
      <c r="CF526" s="135"/>
      <c r="CG526" s="135"/>
      <c r="CH526" s="135"/>
      <c r="CI526" s="185"/>
      <c r="CJ526" s="187"/>
      <c r="CK526" s="136">
        <f t="shared" si="192"/>
        <v>6.718093223330969E-2</v>
      </c>
      <c r="CL526" s="188"/>
      <c r="CM526" s="188">
        <v>-3.066536551683964</v>
      </c>
      <c r="CN526" s="188">
        <f>BJ526/(10^CM526)</f>
        <v>74.596169253831079</v>
      </c>
      <c r="CO526" s="138" t="s">
        <v>2488</v>
      </c>
      <c r="CP526" s="138" t="s">
        <v>2489</v>
      </c>
      <c r="CQ526" s="183">
        <v>-2.8390279179795299</v>
      </c>
      <c r="CR526" s="191">
        <f>10^(CJ526-CQ526)</f>
        <v>690.28417631308173</v>
      </c>
      <c r="CS526" s="135" t="s">
        <v>539</v>
      </c>
      <c r="CT526" s="135"/>
      <c r="CU526" s="135"/>
      <c r="CV526" s="332">
        <f t="shared" si="189"/>
        <v>3.6636478208622765E-2</v>
      </c>
      <c r="CW526" s="329">
        <f t="shared" si="190"/>
        <v>0</v>
      </c>
      <c r="CX526" s="329"/>
      <c r="CY526" s="189" t="s">
        <v>5921</v>
      </c>
    </row>
    <row r="527" spans="1:103" ht="11.25" customHeight="1" x14ac:dyDescent="0.2">
      <c r="A527" s="72">
        <v>525</v>
      </c>
      <c r="B527" s="183">
        <v>1420</v>
      </c>
      <c r="C527" s="133" t="s">
        <v>6807</v>
      </c>
      <c r="D527" s="133"/>
      <c r="E527" s="134"/>
      <c r="F527" s="134" t="s">
        <v>4369</v>
      </c>
      <c r="G527" s="184">
        <v>78637</v>
      </c>
      <c r="H527" s="138" t="s">
        <v>4370</v>
      </c>
      <c r="I527" s="138" t="s">
        <v>4370</v>
      </c>
      <c r="J527" s="138" t="s">
        <v>4371</v>
      </c>
      <c r="K527" s="138" t="s">
        <v>3026</v>
      </c>
      <c r="L527" s="138"/>
      <c r="M527" s="138"/>
      <c r="N527" s="138"/>
      <c r="O527" s="138"/>
      <c r="P527" s="138"/>
      <c r="Q527" s="138"/>
      <c r="R527" s="138"/>
      <c r="S527" s="138"/>
      <c r="T527" s="135">
        <v>290.44</v>
      </c>
      <c r="U527" s="185"/>
      <c r="V527" s="185">
        <v>1.2133314970389754E-4</v>
      </c>
      <c r="W527" s="185">
        <v>3.6307805477010048E-4</v>
      </c>
      <c r="X527" s="185">
        <f>IF(W527=0,V527,W527)</f>
        <v>3.6307805477010048E-4</v>
      </c>
      <c r="Y527" s="204">
        <v>7</v>
      </c>
      <c r="Z527" s="135">
        <v>6.55</v>
      </c>
      <c r="AA527" s="135"/>
      <c r="AB527" s="135">
        <v>5</v>
      </c>
      <c r="AC527" s="135">
        <v>0.3659</v>
      </c>
      <c r="AD527" s="135">
        <v>5.58</v>
      </c>
      <c r="AE527" s="135">
        <v>5.93</v>
      </c>
      <c r="AF527" s="135">
        <f t="shared" si="186"/>
        <v>5.58</v>
      </c>
      <c r="AG527" s="136">
        <v>5.85</v>
      </c>
      <c r="AH527" s="185">
        <v>2.5699999999999998E-3</v>
      </c>
      <c r="AI527" s="185"/>
      <c r="AJ527" s="136">
        <f t="shared" si="184"/>
        <v>-0.97863320298135725</v>
      </c>
      <c r="AK527" s="136"/>
      <c r="AL527" s="136">
        <f t="shared" si="185"/>
        <v>-0.97863320298135725</v>
      </c>
      <c r="AM527" s="136">
        <v>-7.1837600000000004</v>
      </c>
      <c r="AN527" s="186">
        <v>-1.42</v>
      </c>
      <c r="AO527" s="481"/>
      <c r="AP527" s="481"/>
      <c r="AQ527" s="135" t="s">
        <v>6311</v>
      </c>
      <c r="AR527" s="135" t="s">
        <v>6311</v>
      </c>
      <c r="AS527" s="190"/>
      <c r="AT527" s="137" t="s">
        <v>266</v>
      </c>
      <c r="AU527" s="135">
        <v>6</v>
      </c>
      <c r="AV527" s="135">
        <v>120</v>
      </c>
      <c r="AW527" s="135">
        <v>114</v>
      </c>
      <c r="AX527" s="135">
        <v>28</v>
      </c>
      <c r="AY527" s="135" t="s">
        <v>8728</v>
      </c>
      <c r="AZ527" s="135" t="s">
        <v>1563</v>
      </c>
      <c r="BA527" s="135">
        <v>32</v>
      </c>
      <c r="BB527" s="138" t="s">
        <v>2485</v>
      </c>
      <c r="BC527" s="138" t="s">
        <v>8726</v>
      </c>
      <c r="BD527" s="138" t="s">
        <v>8374</v>
      </c>
      <c r="BE527" s="135" t="s">
        <v>2449</v>
      </c>
      <c r="BF527" s="135" t="s">
        <v>272</v>
      </c>
      <c r="BG527" s="135" t="s">
        <v>272</v>
      </c>
      <c r="BH527" s="135" t="s">
        <v>2486</v>
      </c>
      <c r="BI527" s="185">
        <v>6.3999999999999997E-6</v>
      </c>
      <c r="BJ527" s="185">
        <v>6.4000000000000001E-2</v>
      </c>
      <c r="BK527" s="135"/>
      <c r="BL527" s="185">
        <f t="shared" si="187"/>
        <v>6.7335641196475735E-5</v>
      </c>
      <c r="BM527" s="138" t="s">
        <v>2487</v>
      </c>
      <c r="BN527" s="135"/>
      <c r="BO527" s="135"/>
      <c r="BP527" s="135"/>
      <c r="BQ527" s="135"/>
      <c r="BR527" s="138" t="s">
        <v>2496</v>
      </c>
      <c r="BS527" s="135"/>
      <c r="BT527" s="135"/>
      <c r="BU527" s="135"/>
      <c r="BV527" s="135"/>
      <c r="BW527" s="135"/>
      <c r="BX527" s="135"/>
      <c r="BY527" s="135"/>
      <c r="BZ527" s="135"/>
      <c r="CA527" s="135"/>
      <c r="CB527" s="135"/>
      <c r="CC527" s="135"/>
      <c r="CD527" s="135"/>
      <c r="CE527" s="135"/>
      <c r="CF527" s="135"/>
      <c r="CG527" s="135"/>
      <c r="CH527" s="135"/>
      <c r="CI527" s="185"/>
      <c r="CJ527" s="187"/>
      <c r="CK527" s="136">
        <f t="shared" si="192"/>
        <v>1.0521193936949334E-3</v>
      </c>
      <c r="CL527" s="188"/>
      <c r="CM527" s="188"/>
      <c r="CN527" s="188"/>
      <c r="CO527" s="138" t="s">
        <v>2488</v>
      </c>
      <c r="CP527" s="138" t="s">
        <v>2489</v>
      </c>
      <c r="CQ527" s="191" t="s">
        <v>272</v>
      </c>
      <c r="CR527" s="191"/>
      <c r="CS527" s="135" t="s">
        <v>539</v>
      </c>
      <c r="CT527" s="135"/>
      <c r="CU527" s="135"/>
      <c r="CV527" s="332">
        <f t="shared" si="189"/>
        <v>5.6730946057828198E-3</v>
      </c>
      <c r="CW527" s="329">
        <f t="shared" si="190"/>
        <v>0</v>
      </c>
      <c r="CX527" s="329"/>
      <c r="CY527" s="189" t="s">
        <v>6351</v>
      </c>
    </row>
    <row r="528" spans="1:103" ht="11.25" customHeight="1" x14ac:dyDescent="0.2">
      <c r="A528" s="72">
        <v>526</v>
      </c>
      <c r="B528" s="183">
        <v>1098</v>
      </c>
      <c r="C528" s="133" t="s">
        <v>6808</v>
      </c>
      <c r="D528" s="133"/>
      <c r="E528" s="134"/>
      <c r="F528" s="134" t="s">
        <v>3074</v>
      </c>
      <c r="G528" s="184">
        <v>80433</v>
      </c>
      <c r="H528" s="138" t="s">
        <v>3075</v>
      </c>
      <c r="I528" s="138" t="s">
        <v>3075</v>
      </c>
      <c r="J528" s="138" t="s">
        <v>3076</v>
      </c>
      <c r="K528" s="138" t="s">
        <v>3026</v>
      </c>
      <c r="L528" s="138"/>
      <c r="M528" s="138"/>
      <c r="N528" s="138"/>
      <c r="O528" s="138"/>
      <c r="P528" s="138"/>
      <c r="Q528" s="138"/>
      <c r="R528" s="138"/>
      <c r="S528" s="138"/>
      <c r="T528" s="135">
        <v>270.37</v>
      </c>
      <c r="U528" s="185">
        <v>1.7013721936605393E-3</v>
      </c>
      <c r="V528" s="185">
        <v>1.3511114398786848E-3</v>
      </c>
      <c r="W528" s="185">
        <v>1.7378008287493752E-3</v>
      </c>
      <c r="X528" s="185">
        <v>1.7013721936605393E-3</v>
      </c>
      <c r="Y528" s="204">
        <v>7</v>
      </c>
      <c r="Z528" s="135">
        <v>5.88</v>
      </c>
      <c r="AA528" s="135">
        <v>5.5</v>
      </c>
      <c r="AB528" s="135">
        <v>5.31</v>
      </c>
      <c r="AC528" s="135">
        <v>0.74119999999999997</v>
      </c>
      <c r="AD528" s="135">
        <v>5.44</v>
      </c>
      <c r="AE528" s="135">
        <v>5.71</v>
      </c>
      <c r="AF528" s="135">
        <f t="shared" si="186"/>
        <v>5.5</v>
      </c>
      <c r="AG528" s="136">
        <v>5.01</v>
      </c>
      <c r="AH528" s="185">
        <v>4.4199999999999997E-5</v>
      </c>
      <c r="AI528" s="185"/>
      <c r="AJ528" s="136">
        <f t="shared" si="184"/>
        <v>-2.7431440569635601</v>
      </c>
      <c r="AK528" s="136"/>
      <c r="AL528" s="136">
        <f t="shared" si="185"/>
        <v>-2.7431440569635601</v>
      </c>
      <c r="AM528" s="136">
        <v>-8.6399699999999999</v>
      </c>
      <c r="AN528" s="186">
        <v>-2.39</v>
      </c>
      <c r="AO528" s="481"/>
      <c r="AP528" s="481"/>
      <c r="AQ528" s="135" t="s">
        <v>6311</v>
      </c>
      <c r="AR528" s="135" t="s">
        <v>6311</v>
      </c>
      <c r="AS528" s="190"/>
      <c r="AT528" s="137" t="s">
        <v>266</v>
      </c>
      <c r="AU528" s="135">
        <v>6</v>
      </c>
      <c r="AV528" s="135">
        <v>120</v>
      </c>
      <c r="AW528" s="135">
        <v>114</v>
      </c>
      <c r="AX528" s="135">
        <v>28</v>
      </c>
      <c r="AY528" s="135" t="s">
        <v>8728</v>
      </c>
      <c r="AZ528" s="135" t="s">
        <v>1563</v>
      </c>
      <c r="BA528" s="135">
        <v>32</v>
      </c>
      <c r="BB528" s="138" t="s">
        <v>2485</v>
      </c>
      <c r="BC528" s="138" t="s">
        <v>8726</v>
      </c>
      <c r="BD528" s="138" t="s">
        <v>8374</v>
      </c>
      <c r="BE528" s="135" t="s">
        <v>2449</v>
      </c>
      <c r="BF528" s="135" t="s">
        <v>272</v>
      </c>
      <c r="BG528" s="135" t="s">
        <v>272</v>
      </c>
      <c r="BH528" s="135" t="s">
        <v>2486</v>
      </c>
      <c r="BI528" s="185">
        <v>6.3999999999999997E-6</v>
      </c>
      <c r="BJ528" s="185">
        <v>6.4000000000000001E-2</v>
      </c>
      <c r="BK528" s="135"/>
      <c r="BL528" s="185">
        <f t="shared" si="187"/>
        <v>2.6913612798590606E-4</v>
      </c>
      <c r="BM528" s="138" t="s">
        <v>2487</v>
      </c>
      <c r="BN528" s="135"/>
      <c r="BO528" s="135"/>
      <c r="BP528" s="135"/>
      <c r="BQ528" s="135"/>
      <c r="BR528" s="138" t="s">
        <v>2496</v>
      </c>
      <c r="BS528" s="135"/>
      <c r="BT528" s="135"/>
      <c r="BU528" s="135">
        <v>6.4000000000000005E-4</v>
      </c>
      <c r="BV528" s="135"/>
      <c r="BW528" s="135"/>
      <c r="BX528" s="135"/>
      <c r="BY528" s="135"/>
      <c r="BZ528" s="135"/>
      <c r="CA528" s="135"/>
      <c r="CB528" s="135"/>
      <c r="CC528" s="135"/>
      <c r="CD528" s="135"/>
      <c r="CE528" s="135"/>
      <c r="CF528" s="135"/>
      <c r="CG528" s="135"/>
      <c r="CH528" s="135"/>
      <c r="CI528" s="185"/>
      <c r="CJ528" s="187"/>
      <c r="CK528" s="136">
        <f t="shared" si="192"/>
        <v>4.2052519997797817E-3</v>
      </c>
      <c r="CL528" s="188"/>
      <c r="CM528" s="188"/>
      <c r="CN528" s="188"/>
      <c r="CO528" s="138" t="s">
        <v>2488</v>
      </c>
      <c r="CP528" s="138" t="s">
        <v>2489</v>
      </c>
      <c r="CQ528" s="191" t="s">
        <v>272</v>
      </c>
      <c r="CR528" s="191"/>
      <c r="CS528" s="135" t="s">
        <v>539</v>
      </c>
      <c r="CT528" s="135"/>
      <c r="CU528" s="135"/>
      <c r="CV528" s="332">
        <f t="shared" si="189"/>
        <v>2.6583940525945926E-2</v>
      </c>
      <c r="CW528" s="329">
        <f t="shared" si="190"/>
        <v>0</v>
      </c>
      <c r="CX528" s="329"/>
      <c r="CY528" s="189" t="s">
        <v>6351</v>
      </c>
    </row>
    <row r="529" spans="1:103" ht="11.25" customHeight="1" x14ac:dyDescent="0.2">
      <c r="A529" s="72">
        <v>527</v>
      </c>
      <c r="B529" s="191">
        <v>415</v>
      </c>
      <c r="C529" s="128" t="s">
        <v>3354</v>
      </c>
      <c r="D529" s="128" t="s">
        <v>6809</v>
      </c>
      <c r="E529" s="129"/>
      <c r="F529" s="129" t="s">
        <v>3355</v>
      </c>
      <c r="G529" s="192">
        <v>116714466</v>
      </c>
      <c r="H529" s="139" t="s">
        <v>3356</v>
      </c>
      <c r="I529" s="139" t="s">
        <v>7925</v>
      </c>
      <c r="J529" s="139" t="s">
        <v>3357</v>
      </c>
      <c r="K529" s="139" t="s">
        <v>2039</v>
      </c>
      <c r="L529" s="139" t="s">
        <v>617</v>
      </c>
      <c r="M529" s="139" t="s">
        <v>3358</v>
      </c>
      <c r="N529" s="138" t="s">
        <v>2342</v>
      </c>
      <c r="O529" s="139" t="s">
        <v>918</v>
      </c>
      <c r="P529" s="138"/>
      <c r="Q529" s="138"/>
      <c r="R529" s="138"/>
      <c r="S529" s="138"/>
      <c r="T529" s="130">
        <v>492.7</v>
      </c>
      <c r="U529" s="187">
        <v>1.0777349299776741E-4</v>
      </c>
      <c r="V529" s="187">
        <v>5.1106149786888576E-5</v>
      </c>
      <c r="W529" s="187">
        <v>4.1686938347033518E-5</v>
      </c>
      <c r="X529" s="187">
        <v>1.0777349299776741E-4</v>
      </c>
      <c r="Y529" s="194">
        <v>6.98</v>
      </c>
      <c r="Z529" s="130">
        <v>5.26</v>
      </c>
      <c r="AA529" s="130">
        <v>5.27</v>
      </c>
      <c r="AB529" s="130">
        <v>4.96</v>
      </c>
      <c r="AC529" s="130">
        <v>0.73060000000000003</v>
      </c>
      <c r="AD529" s="130">
        <v>5.45</v>
      </c>
      <c r="AE529" s="130">
        <v>6.78</v>
      </c>
      <c r="AF529" s="130">
        <f t="shared" si="186"/>
        <v>5.27</v>
      </c>
      <c r="AG529" s="131">
        <v>6.16</v>
      </c>
      <c r="AH529" s="187">
        <v>6.7800000000000004E-13</v>
      </c>
      <c r="AI529" s="187"/>
      <c r="AJ529" s="136">
        <f t="shared" si="184"/>
        <v>-10.557336632445589</v>
      </c>
      <c r="AK529" s="136"/>
      <c r="AL529" s="136">
        <f t="shared" si="185"/>
        <v>-10.557336632445589</v>
      </c>
      <c r="AM529" s="136">
        <v>-16.34385</v>
      </c>
      <c r="AN529" s="193">
        <v>-5.39</v>
      </c>
      <c r="AO529" s="481">
        <v>8.68</v>
      </c>
      <c r="AP529" s="481">
        <v>-1.23</v>
      </c>
      <c r="AQ529" s="193" t="s">
        <v>6311</v>
      </c>
      <c r="AR529" s="193" t="s">
        <v>6311</v>
      </c>
      <c r="AS529" s="191" t="s">
        <v>6</v>
      </c>
      <c r="AT529" s="132" t="s">
        <v>266</v>
      </c>
      <c r="AU529" s="130">
        <v>8</v>
      </c>
      <c r="AV529" s="130">
        <v>144</v>
      </c>
      <c r="AW529" s="130">
        <v>120</v>
      </c>
      <c r="AX529" s="130">
        <v>26</v>
      </c>
      <c r="AY529" s="130" t="s">
        <v>267</v>
      </c>
      <c r="AZ529" s="130" t="s">
        <v>2253</v>
      </c>
      <c r="BA529" s="130">
        <v>2</v>
      </c>
      <c r="BB529" s="139" t="s">
        <v>2254</v>
      </c>
      <c r="BC529" s="139" t="s">
        <v>270</v>
      </c>
      <c r="BD529" s="139" t="s">
        <v>8374</v>
      </c>
      <c r="BE529" s="130" t="s">
        <v>1712</v>
      </c>
      <c r="BF529" s="130" t="s">
        <v>272</v>
      </c>
      <c r="BG529" s="130" t="s">
        <v>272</v>
      </c>
      <c r="BH529" s="130" t="s">
        <v>2255</v>
      </c>
      <c r="BI529" s="187">
        <v>9.9999999999999995E-7</v>
      </c>
      <c r="BJ529" s="187">
        <v>0.08</v>
      </c>
      <c r="BK529" s="130"/>
      <c r="BL529" s="187">
        <f t="shared" si="187"/>
        <v>9.7004973195906623E-4</v>
      </c>
      <c r="BM529" s="130" t="s">
        <v>891</v>
      </c>
      <c r="BN529" s="194"/>
      <c r="BO529" s="194"/>
      <c r="BP529" s="194"/>
      <c r="BQ529" s="194"/>
      <c r="BR529" s="194"/>
      <c r="BS529" s="130"/>
      <c r="BT529" s="194"/>
      <c r="BU529" s="195"/>
      <c r="BV529" s="194"/>
      <c r="BW529" s="194"/>
      <c r="BX529" s="194"/>
      <c r="BY529" s="194"/>
      <c r="BZ529" s="194"/>
      <c r="CA529" s="194"/>
      <c r="CB529" s="194"/>
      <c r="CC529" s="130"/>
      <c r="CD529" s="130"/>
      <c r="CE529" s="130"/>
      <c r="CF529" s="130"/>
      <c r="CG529" s="194"/>
      <c r="CH529" s="130"/>
      <c r="CI529" s="187"/>
      <c r="CJ529" s="187"/>
      <c r="CK529" s="131">
        <f t="shared" si="192"/>
        <v>1.2125621649488327E-2</v>
      </c>
      <c r="CL529" s="188"/>
      <c r="CM529" s="188"/>
      <c r="CN529" s="188"/>
      <c r="CO529" s="139" t="s">
        <v>892</v>
      </c>
      <c r="CP529" s="139" t="s">
        <v>893</v>
      </c>
      <c r="CQ529" s="191">
        <v>-0.8973979725924851</v>
      </c>
      <c r="CR529" s="191">
        <f>10^(CJ529-CQ529)</f>
        <v>7.8958333333333348</v>
      </c>
      <c r="CS529" s="135" t="s">
        <v>539</v>
      </c>
      <c r="CT529" s="135"/>
      <c r="CU529" s="135"/>
      <c r="CV529" s="332">
        <f t="shared" si="189"/>
        <v>1.3471686624720925E-3</v>
      </c>
      <c r="CW529" s="329">
        <f t="shared" si="190"/>
        <v>0</v>
      </c>
      <c r="CX529" s="329" t="s">
        <v>539</v>
      </c>
      <c r="CY529" s="189" t="s">
        <v>5921</v>
      </c>
    </row>
    <row r="530" spans="1:103" ht="11.25" customHeight="1" x14ac:dyDescent="0.2">
      <c r="A530" s="72">
        <v>528</v>
      </c>
      <c r="B530" s="183">
        <v>1180</v>
      </c>
      <c r="C530" s="133" t="s">
        <v>6810</v>
      </c>
      <c r="D530" s="133"/>
      <c r="E530" s="134"/>
      <c r="F530" s="134" t="s">
        <v>3254</v>
      </c>
      <c r="G530" s="184">
        <v>84162</v>
      </c>
      <c r="H530" s="138" t="s">
        <v>3255</v>
      </c>
      <c r="I530" s="138" t="s">
        <v>3255</v>
      </c>
      <c r="J530" s="138" t="s">
        <v>3256</v>
      </c>
      <c r="K530" s="138" t="s">
        <v>376</v>
      </c>
      <c r="L530" s="138"/>
      <c r="M530" s="138"/>
      <c r="N530" s="138"/>
      <c r="O530" s="138"/>
      <c r="P530" s="138"/>
      <c r="Q530" s="138"/>
      <c r="R530" s="138"/>
      <c r="S530" s="138"/>
      <c r="T530" s="135">
        <v>270.37</v>
      </c>
      <c r="U530" s="185">
        <v>4.4383622443318414E-2</v>
      </c>
      <c r="V530" s="185">
        <v>4.2497318489477381E-3</v>
      </c>
      <c r="W530" s="185">
        <v>8.7096358995608025E-2</v>
      </c>
      <c r="X530" s="185">
        <v>4.4383622443318414E-2</v>
      </c>
      <c r="Y530" s="204">
        <v>6.81</v>
      </c>
      <c r="Z530" s="135">
        <v>5.6</v>
      </c>
      <c r="AA530" s="135"/>
      <c r="AB530" s="135">
        <v>4.0199999999999996</v>
      </c>
      <c r="AC530" s="135">
        <v>0.6401</v>
      </c>
      <c r="AD530" s="135">
        <v>4.45</v>
      </c>
      <c r="AE530" s="135">
        <v>4.9800000000000004</v>
      </c>
      <c r="AF530" s="135">
        <f t="shared" si="186"/>
        <v>4.45</v>
      </c>
      <c r="AG530" s="136">
        <v>5.05</v>
      </c>
      <c r="AH530" s="185">
        <v>2.1399999999999998E-11</v>
      </c>
      <c r="AI530" s="185"/>
      <c r="AJ530" s="136">
        <f t="shared" si="184"/>
        <v>-9.0581525529634614</v>
      </c>
      <c r="AK530" s="136"/>
      <c r="AL530" s="136">
        <f t="shared" si="185"/>
        <v>-9.0581525529634614</v>
      </c>
      <c r="AM530" s="136">
        <v>-14.286290000000001</v>
      </c>
      <c r="AN530" s="186">
        <v>-9.82</v>
      </c>
      <c r="AO530" s="481">
        <v>9.8000000000000007</v>
      </c>
      <c r="AP530" s="481"/>
      <c r="AQ530" s="135" t="s">
        <v>6311</v>
      </c>
      <c r="AR530" s="135" t="s">
        <v>6311</v>
      </c>
      <c r="AS530" s="190"/>
      <c r="AT530" s="137" t="s">
        <v>266</v>
      </c>
      <c r="AU530" s="135">
        <v>6</v>
      </c>
      <c r="AV530" s="135">
        <v>120</v>
      </c>
      <c r="AW530" s="135">
        <v>114</v>
      </c>
      <c r="AX530" s="135">
        <v>28</v>
      </c>
      <c r="AY530" s="135" t="s">
        <v>8728</v>
      </c>
      <c r="AZ530" s="135" t="s">
        <v>1563</v>
      </c>
      <c r="BA530" s="135">
        <v>32</v>
      </c>
      <c r="BB530" s="138" t="s">
        <v>2485</v>
      </c>
      <c r="BC530" s="138" t="s">
        <v>8726</v>
      </c>
      <c r="BD530" s="138" t="s">
        <v>8374</v>
      </c>
      <c r="BE530" s="135" t="s">
        <v>2449</v>
      </c>
      <c r="BF530" s="135" t="s">
        <v>272</v>
      </c>
      <c r="BG530" s="135" t="s">
        <v>272</v>
      </c>
      <c r="BH530" s="135" t="s">
        <v>2486</v>
      </c>
      <c r="BI530" s="185">
        <v>6.3999999999999997E-6</v>
      </c>
      <c r="BJ530" s="185">
        <v>6.4000000000000001E-2</v>
      </c>
      <c r="BK530" s="135"/>
      <c r="BL530" s="185">
        <f t="shared" si="187"/>
        <v>4.8021973084892602E-4</v>
      </c>
      <c r="BM530" s="138" t="s">
        <v>2487</v>
      </c>
      <c r="BN530" s="135"/>
      <c r="BO530" s="135"/>
      <c r="BP530" s="135"/>
      <c r="BQ530" s="135"/>
      <c r="BR530" s="138" t="s">
        <v>2496</v>
      </c>
      <c r="BS530" s="135"/>
      <c r="BT530" s="135"/>
      <c r="BU530" s="135">
        <v>6.4000000000000001E-2</v>
      </c>
      <c r="BV530" s="135"/>
      <c r="BW530" s="135"/>
      <c r="BX530" s="135"/>
      <c r="BY530" s="135"/>
      <c r="BZ530" s="135"/>
      <c r="CA530" s="135"/>
      <c r="CB530" s="135"/>
      <c r="CC530" s="135"/>
      <c r="CD530" s="135"/>
      <c r="CE530" s="135"/>
      <c r="CF530" s="135"/>
      <c r="CG530" s="135"/>
      <c r="CH530" s="135"/>
      <c r="CI530" s="185"/>
      <c r="CJ530" s="187"/>
      <c r="CK530" s="136">
        <f t="shared" si="192"/>
        <v>7.5034332945144687E-3</v>
      </c>
      <c r="CL530" s="188"/>
      <c r="CM530" s="188"/>
      <c r="CN530" s="188"/>
      <c r="CO530" s="138" t="s">
        <v>2488</v>
      </c>
      <c r="CP530" s="138" t="s">
        <v>2489</v>
      </c>
      <c r="CQ530" s="191" t="s">
        <v>272</v>
      </c>
      <c r="CR530" s="191"/>
      <c r="CS530" s="135" t="s">
        <v>539</v>
      </c>
      <c r="CT530" s="135"/>
      <c r="CU530" s="135"/>
      <c r="CV530" s="332">
        <f t="shared" si="189"/>
        <v>0.69349410067685024</v>
      </c>
      <c r="CW530" s="329">
        <f t="shared" si="190"/>
        <v>0</v>
      </c>
      <c r="CX530" s="329"/>
      <c r="CY530" s="189" t="s">
        <v>5921</v>
      </c>
    </row>
    <row r="531" spans="1:103" ht="11.25" customHeight="1" x14ac:dyDescent="0.2">
      <c r="A531" s="72">
        <v>529</v>
      </c>
      <c r="B531" s="183">
        <v>1608</v>
      </c>
      <c r="C531" s="133" t="s">
        <v>6811</v>
      </c>
      <c r="D531" s="133"/>
      <c r="E531" s="134"/>
      <c r="F531" s="134" t="s">
        <v>4771</v>
      </c>
      <c r="G531" s="184">
        <v>84753</v>
      </c>
      <c r="H531" s="138" t="s">
        <v>4772</v>
      </c>
      <c r="I531" s="138" t="s">
        <v>4772</v>
      </c>
      <c r="J531" s="138" t="s">
        <v>4773</v>
      </c>
      <c r="K531" s="138" t="s">
        <v>357</v>
      </c>
      <c r="L531" s="138"/>
      <c r="M531" s="138"/>
      <c r="N531" s="138"/>
      <c r="O531" s="138"/>
      <c r="P531" s="138"/>
      <c r="Q531" s="138" t="s">
        <v>6173</v>
      </c>
      <c r="R531" s="138" t="s">
        <v>6174</v>
      </c>
      <c r="S531" s="138" t="s">
        <v>6176</v>
      </c>
      <c r="T531" s="135">
        <v>334.45</v>
      </c>
      <c r="U531" s="185">
        <v>1.4949917775452235E-4</v>
      </c>
      <c r="V531" s="185">
        <v>3.4414710719091041E-5</v>
      </c>
      <c r="W531" s="185">
        <v>3.9810717055349656E-3</v>
      </c>
      <c r="X531" s="185">
        <v>1.4949917775452235E-4</v>
      </c>
      <c r="Y531" s="204">
        <v>7</v>
      </c>
      <c r="Z531" s="135">
        <v>6.57</v>
      </c>
      <c r="AA531" s="135">
        <v>6.82</v>
      </c>
      <c r="AB531" s="135">
        <v>6.78</v>
      </c>
      <c r="AC531" s="135">
        <v>0.81950000000000001</v>
      </c>
      <c r="AD531" s="135">
        <v>6.83</v>
      </c>
      <c r="AE531" s="135">
        <v>6.95</v>
      </c>
      <c r="AF531" s="135">
        <f t="shared" si="186"/>
        <v>6.82</v>
      </c>
      <c r="AG531" s="136">
        <v>5.74</v>
      </c>
      <c r="AH531" s="185">
        <v>3.8E-6</v>
      </c>
      <c r="AI531" s="185">
        <v>2.5700000000000001E-5</v>
      </c>
      <c r="AJ531" s="136">
        <f t="shared" si="184"/>
        <v>-3.8087827296958419</v>
      </c>
      <c r="AK531" s="136">
        <f>LOG10(AI531*1000/(0.08206*298.15))</f>
        <v>-2.9786332029813574</v>
      </c>
      <c r="AL531" s="136">
        <f t="shared" si="185"/>
        <v>-2.9786332029813574</v>
      </c>
      <c r="AM531" s="136">
        <v>-9.4628000000000014</v>
      </c>
      <c r="AN531" s="186">
        <v>-4.1399999999999997</v>
      </c>
      <c r="AO531" s="481"/>
      <c r="AP531" s="481"/>
      <c r="AQ531" s="135" t="s">
        <v>6311</v>
      </c>
      <c r="AR531" s="135" t="s">
        <v>6312</v>
      </c>
      <c r="AS531" s="190"/>
      <c r="AT531" s="137" t="s">
        <v>266</v>
      </c>
      <c r="AU531" s="135">
        <v>6</v>
      </c>
      <c r="AV531" s="135">
        <v>120</v>
      </c>
      <c r="AW531" s="135">
        <v>114</v>
      </c>
      <c r="AX531" s="135">
        <v>28</v>
      </c>
      <c r="AY531" s="135" t="s">
        <v>8728</v>
      </c>
      <c r="AZ531" s="135" t="s">
        <v>1563</v>
      </c>
      <c r="BA531" s="135">
        <v>32</v>
      </c>
      <c r="BB531" s="138" t="s">
        <v>2485</v>
      </c>
      <c r="BC531" s="138" t="s">
        <v>8726</v>
      </c>
      <c r="BD531" s="138" t="s">
        <v>8374</v>
      </c>
      <c r="BE531" s="135" t="s">
        <v>2449</v>
      </c>
      <c r="BF531" s="135" t="s">
        <v>272</v>
      </c>
      <c r="BG531" s="135" t="s">
        <v>272</v>
      </c>
      <c r="BH531" s="135" t="s">
        <v>2486</v>
      </c>
      <c r="BI531" s="185">
        <v>6.3999999999999997E-6</v>
      </c>
      <c r="BJ531" s="185">
        <v>6.4000000000000001E-2</v>
      </c>
      <c r="BK531" s="135"/>
      <c r="BL531" s="185">
        <f t="shared" si="187"/>
        <v>6.4607509483073311E-5</v>
      </c>
      <c r="BM531" s="138" t="s">
        <v>2487</v>
      </c>
      <c r="BN531" s="135"/>
      <c r="BO531" s="135"/>
      <c r="BP531" s="135"/>
      <c r="BQ531" s="135"/>
      <c r="BR531" s="138" t="s">
        <v>2496</v>
      </c>
      <c r="BS531" s="135"/>
      <c r="BT531" s="135"/>
      <c r="BU531" s="135"/>
      <c r="BV531" s="135"/>
      <c r="BW531" s="135"/>
      <c r="BX531" s="135"/>
      <c r="BY531" s="135"/>
      <c r="BZ531" s="135"/>
      <c r="CA531" s="135"/>
      <c r="CB531" s="135"/>
      <c r="CC531" s="135"/>
      <c r="CD531" s="135"/>
      <c r="CE531" s="135"/>
      <c r="CF531" s="135"/>
      <c r="CG531" s="135"/>
      <c r="CH531" s="135"/>
      <c r="CI531" s="185"/>
      <c r="CJ531" s="187"/>
      <c r="CK531" s="136">
        <f t="shared" si="192"/>
        <v>1.0094923356730205E-3</v>
      </c>
      <c r="CL531" s="188"/>
      <c r="CM531" s="188"/>
      <c r="CN531" s="188"/>
      <c r="CO531" s="138" t="s">
        <v>2488</v>
      </c>
      <c r="CP531" s="138" t="s">
        <v>2489</v>
      </c>
      <c r="CQ531" s="191" t="s">
        <v>272</v>
      </c>
      <c r="CR531" s="191"/>
      <c r="CS531" s="135" t="s">
        <v>539</v>
      </c>
      <c r="CT531" s="135"/>
      <c r="CU531" s="135"/>
      <c r="CV531" s="332">
        <f t="shared" si="189"/>
        <v>2.3359246524144116E-3</v>
      </c>
      <c r="CW531" s="329">
        <f t="shared" si="190"/>
        <v>0</v>
      </c>
      <c r="CX531" s="329"/>
      <c r="CY531" s="189" t="s">
        <v>5921</v>
      </c>
    </row>
    <row r="532" spans="1:103" ht="11.25" customHeight="1" x14ac:dyDescent="0.2">
      <c r="A532" s="72">
        <v>530</v>
      </c>
      <c r="B532" s="183">
        <v>1923</v>
      </c>
      <c r="C532" s="133" t="s">
        <v>6812</v>
      </c>
      <c r="D532" s="133"/>
      <c r="E532" s="134"/>
      <c r="F532" s="134" t="s">
        <v>5402</v>
      </c>
      <c r="G532" s="184">
        <v>89043</v>
      </c>
      <c r="H532" s="138" t="s">
        <v>5403</v>
      </c>
      <c r="I532" s="138" t="s">
        <v>5403</v>
      </c>
      <c r="J532" s="138" t="s">
        <v>5404</v>
      </c>
      <c r="K532" s="138" t="s">
        <v>357</v>
      </c>
      <c r="L532" s="138"/>
      <c r="M532" s="138"/>
      <c r="N532" s="138"/>
      <c r="O532" s="138"/>
      <c r="P532" s="138"/>
      <c r="Q532" s="138"/>
      <c r="R532" s="138"/>
      <c r="S532" s="138"/>
      <c r="T532" s="135">
        <v>546.78</v>
      </c>
      <c r="U532" s="185"/>
      <c r="V532" s="185">
        <v>5.347671824134021E-11</v>
      </c>
      <c r="W532" s="185">
        <v>1.2302687708123769E-6</v>
      </c>
      <c r="X532" s="185">
        <f>IF(W532=0,V532,W532)</f>
        <v>1.2302687708123769E-6</v>
      </c>
      <c r="Y532" s="204">
        <v>7</v>
      </c>
      <c r="Z532" s="135">
        <v>11.81</v>
      </c>
      <c r="AA532" s="135"/>
      <c r="AB532" s="135">
        <v>11.58</v>
      </c>
      <c r="AC532" s="135">
        <v>0.60699999999999998</v>
      </c>
      <c r="AD532" s="135">
        <v>12.38</v>
      </c>
      <c r="AE532" s="135">
        <v>13.35</v>
      </c>
      <c r="AF532" s="135">
        <f t="shared" si="186"/>
        <v>12.38</v>
      </c>
      <c r="AG532" s="136">
        <v>10.35</v>
      </c>
      <c r="AH532" s="185">
        <v>5.5300000000000004E-7</v>
      </c>
      <c r="AI532" s="185"/>
      <c r="AJ532" s="136">
        <f t="shared" ref="AJ532:AJ563" si="193">LOG10(AH532*1000/(0.08206*298.15))</f>
        <v>-4.6458411950079537</v>
      </c>
      <c r="AK532" s="136"/>
      <c r="AL532" s="136">
        <f t="shared" ref="AL532:AL563" si="194">IF(AK532=0,AJ532,AK532)</f>
        <v>-4.6458411950079537</v>
      </c>
      <c r="AM532" s="136">
        <v>-13.818409999999998</v>
      </c>
      <c r="AN532" s="186">
        <v>-5.13</v>
      </c>
      <c r="AO532" s="481"/>
      <c r="AP532" s="481"/>
      <c r="AQ532" s="186" t="s">
        <v>6311</v>
      </c>
      <c r="AR532" s="186" t="s">
        <v>6312</v>
      </c>
      <c r="AS532" s="183"/>
      <c r="AT532" s="137" t="s">
        <v>266</v>
      </c>
      <c r="AU532" s="135">
        <v>6</v>
      </c>
      <c r="AV532" s="135">
        <v>120</v>
      </c>
      <c r="AW532" s="135">
        <v>114</v>
      </c>
      <c r="AX532" s="135">
        <v>28</v>
      </c>
      <c r="AY532" s="135" t="s">
        <v>8728</v>
      </c>
      <c r="AZ532" s="135" t="s">
        <v>1563</v>
      </c>
      <c r="BA532" s="135">
        <v>32</v>
      </c>
      <c r="BB532" s="138" t="s">
        <v>2485</v>
      </c>
      <c r="BC532" s="138" t="s">
        <v>8726</v>
      </c>
      <c r="BD532" s="138" t="s">
        <v>8374</v>
      </c>
      <c r="BE532" s="135" t="s">
        <v>2449</v>
      </c>
      <c r="BF532" s="135" t="s">
        <v>272</v>
      </c>
      <c r="BG532" s="135" t="s">
        <v>272</v>
      </c>
      <c r="BH532" s="135" t="s">
        <v>2486</v>
      </c>
      <c r="BI532" s="185">
        <v>6.3999999999999997E-6</v>
      </c>
      <c r="BJ532" s="185">
        <v>6.4000000000000001E-2</v>
      </c>
      <c r="BK532" s="135"/>
      <c r="BL532" s="185">
        <f t="shared" si="187"/>
        <v>1.2712735172339563E-9</v>
      </c>
      <c r="BM532" s="138" t="s">
        <v>2487</v>
      </c>
      <c r="BN532" s="135"/>
      <c r="BO532" s="135"/>
      <c r="BP532" s="135"/>
      <c r="BQ532" s="135"/>
      <c r="BR532" s="138" t="s">
        <v>2496</v>
      </c>
      <c r="BS532" s="135"/>
      <c r="BT532" s="135"/>
      <c r="BU532" s="135"/>
      <c r="BV532" s="135"/>
      <c r="BW532" s="135"/>
      <c r="BX532" s="135"/>
      <c r="BY532" s="135"/>
      <c r="BZ532" s="135"/>
      <c r="CA532" s="135"/>
      <c r="CB532" s="135"/>
      <c r="CC532" s="135"/>
      <c r="CD532" s="135"/>
      <c r="CE532" s="135"/>
      <c r="CF532" s="135"/>
      <c r="CG532" s="135"/>
      <c r="CH532" s="135"/>
      <c r="CI532" s="185"/>
      <c r="CJ532" s="187"/>
      <c r="CK532" s="136">
        <f t="shared" si="192"/>
        <v>1.9863648706780565E-8</v>
      </c>
      <c r="CL532" s="188"/>
      <c r="CM532" s="188"/>
      <c r="CN532" s="188"/>
      <c r="CO532" s="138" t="s">
        <v>2488</v>
      </c>
      <c r="CP532" s="138" t="s">
        <v>2489</v>
      </c>
      <c r="CQ532" s="191" t="s">
        <v>272</v>
      </c>
      <c r="CR532" s="191"/>
      <c r="CS532" s="135" t="s">
        <v>539</v>
      </c>
      <c r="CT532" s="135"/>
      <c r="CU532" s="135"/>
      <c r="CV532" s="332">
        <f t="shared" si="189"/>
        <v>1.9222949543943389E-5</v>
      </c>
      <c r="CW532" s="329">
        <f t="shared" si="190"/>
        <v>0</v>
      </c>
      <c r="CX532" s="329"/>
      <c r="CY532" s="189" t="s">
        <v>6351</v>
      </c>
    </row>
    <row r="533" spans="1:103" ht="11.25" customHeight="1" x14ac:dyDescent="0.2">
      <c r="A533" s="72">
        <v>531</v>
      </c>
      <c r="B533" s="183">
        <v>1456</v>
      </c>
      <c r="C533" s="133" t="s">
        <v>6813</v>
      </c>
      <c r="D533" s="133"/>
      <c r="E533" s="134"/>
      <c r="F533" s="134" t="s">
        <v>4476</v>
      </c>
      <c r="G533" s="184">
        <v>92682</v>
      </c>
      <c r="H533" s="138" t="s">
        <v>4477</v>
      </c>
      <c r="I533" s="138" t="s">
        <v>4477</v>
      </c>
      <c r="J533" s="138" t="s">
        <v>4478</v>
      </c>
      <c r="K533" s="138" t="s">
        <v>426</v>
      </c>
      <c r="L533" s="140"/>
      <c r="M533" s="138"/>
      <c r="N533" s="138"/>
      <c r="O533" s="138"/>
      <c r="P533" s="138"/>
      <c r="Q533" s="138"/>
      <c r="R533" s="138"/>
      <c r="S533" s="138"/>
      <c r="T533" s="135">
        <v>180.29</v>
      </c>
      <c r="U533" s="185"/>
      <c r="V533" s="185">
        <v>0.16867269399301127</v>
      </c>
      <c r="W533" s="185">
        <v>1.1481536214968824</v>
      </c>
      <c r="X533" s="185">
        <f>IF(W533=0,V533,W533)</f>
        <v>1.1481536214968824</v>
      </c>
      <c r="Y533" s="204">
        <v>7</v>
      </c>
      <c r="Z533" s="135">
        <v>3.81</v>
      </c>
      <c r="AA533" s="135"/>
      <c r="AB533" s="135">
        <v>2.85</v>
      </c>
      <c r="AC533" s="135">
        <v>0.60740000000000005</v>
      </c>
      <c r="AD533" s="135">
        <v>3.07</v>
      </c>
      <c r="AE533" s="135">
        <v>3.31</v>
      </c>
      <c r="AF533" s="135">
        <f t="shared" ref="AF533:AF560" si="195">IF(AA533=0,AD533,AA533)</f>
        <v>3.07</v>
      </c>
      <c r="AG533" s="136">
        <v>4.72</v>
      </c>
      <c r="AH533" s="185">
        <v>1.2300000000000001E-4</v>
      </c>
      <c r="AI533" s="185"/>
      <c r="AJ533" s="136">
        <f t="shared" si="193"/>
        <v>-2.2986612148732539</v>
      </c>
      <c r="AK533" s="136"/>
      <c r="AL533" s="136">
        <f t="shared" si="194"/>
        <v>-2.2986612148732539</v>
      </c>
      <c r="AM533" s="136">
        <v>-4.8055599999999998</v>
      </c>
      <c r="AN533" s="186">
        <v>-1.51</v>
      </c>
      <c r="AO533" s="481"/>
      <c r="AP533" s="481"/>
      <c r="AQ533" s="135" t="s">
        <v>6311</v>
      </c>
      <c r="AR533" s="135" t="s">
        <v>6311</v>
      </c>
      <c r="AS533" s="190"/>
      <c r="AT533" s="137" t="s">
        <v>266</v>
      </c>
      <c r="AU533" s="135">
        <v>6</v>
      </c>
      <c r="AV533" s="135">
        <v>120</v>
      </c>
      <c r="AW533" s="135">
        <v>114</v>
      </c>
      <c r="AX533" s="135">
        <v>28</v>
      </c>
      <c r="AY533" s="135" t="s">
        <v>8728</v>
      </c>
      <c r="AZ533" s="135" t="s">
        <v>1563</v>
      </c>
      <c r="BA533" s="135">
        <v>32</v>
      </c>
      <c r="BB533" s="138" t="s">
        <v>2485</v>
      </c>
      <c r="BC533" s="138" t="s">
        <v>8726</v>
      </c>
      <c r="BD533" s="138" t="s">
        <v>8374</v>
      </c>
      <c r="BE533" s="135" t="s">
        <v>2449</v>
      </c>
      <c r="BF533" s="135" t="s">
        <v>272</v>
      </c>
      <c r="BG533" s="135" t="s">
        <v>272</v>
      </c>
      <c r="BH533" s="135" t="s">
        <v>2486</v>
      </c>
      <c r="BI533" s="185">
        <v>6.3999999999999997E-6</v>
      </c>
      <c r="BJ533" s="185">
        <v>6.4000000000000001E-2</v>
      </c>
      <c r="BK533" s="135"/>
      <c r="BL533" s="185">
        <f t="shared" si="187"/>
        <v>1.9455347843946244E-2</v>
      </c>
      <c r="BM533" s="138" t="s">
        <v>2487</v>
      </c>
      <c r="BN533" s="135"/>
      <c r="BO533" s="135"/>
      <c r="BP533" s="135"/>
      <c r="BQ533" s="135"/>
      <c r="BR533" s="138" t="s">
        <v>2496</v>
      </c>
      <c r="BS533" s="135"/>
      <c r="BT533" s="135"/>
      <c r="BU533" s="135"/>
      <c r="BV533" s="135"/>
      <c r="BW533" s="135"/>
      <c r="BX533" s="135"/>
      <c r="BY533" s="135"/>
      <c r="BZ533" s="135"/>
      <c r="CA533" s="135"/>
      <c r="CB533" s="135"/>
      <c r="CC533" s="135"/>
      <c r="CD533" s="135"/>
      <c r="CE533" s="135"/>
      <c r="CF533" s="135"/>
      <c r="CG533" s="135"/>
      <c r="CH533" s="135"/>
      <c r="CI533" s="185"/>
      <c r="CJ533" s="187"/>
      <c r="CK533" s="136">
        <f t="shared" si="192"/>
        <v>0.30398981006166004</v>
      </c>
      <c r="CL533" s="188"/>
      <c r="CM533" s="188"/>
      <c r="CN533" s="188"/>
      <c r="CO533" s="138" t="s">
        <v>2488</v>
      </c>
      <c r="CP533" s="138" t="s">
        <v>2489</v>
      </c>
      <c r="CQ533" s="191" t="s">
        <v>272</v>
      </c>
      <c r="CR533" s="191"/>
      <c r="CS533" s="135" t="s">
        <v>539</v>
      </c>
      <c r="CT533" s="135"/>
      <c r="CU533" s="135"/>
      <c r="CV533" s="332">
        <f t="shared" si="189"/>
        <v>17.939900335888787</v>
      </c>
      <c r="CW533" s="329">
        <f t="shared" si="190"/>
        <v>1</v>
      </c>
      <c r="CX533" s="329"/>
      <c r="CY533" s="189" t="s">
        <v>5921</v>
      </c>
    </row>
    <row r="534" spans="1:103" ht="11.25" customHeight="1" x14ac:dyDescent="0.2">
      <c r="A534" s="72">
        <v>532</v>
      </c>
      <c r="B534" s="183">
        <v>1216</v>
      </c>
      <c r="C534" s="133" t="s">
        <v>3354</v>
      </c>
      <c r="D534" s="133" t="s">
        <v>6809</v>
      </c>
      <c r="E534" s="134"/>
      <c r="F534" s="134" t="s">
        <v>3355</v>
      </c>
      <c r="G534" s="184">
        <v>116714466</v>
      </c>
      <c r="H534" s="138" t="s">
        <v>3356</v>
      </c>
      <c r="I534" s="138" t="s">
        <v>7925</v>
      </c>
      <c r="J534" s="138" t="s">
        <v>3357</v>
      </c>
      <c r="K534" s="138" t="s">
        <v>2039</v>
      </c>
      <c r="L534" s="138" t="s">
        <v>617</v>
      </c>
      <c r="M534" s="138" t="s">
        <v>3358</v>
      </c>
      <c r="N534" s="138" t="s">
        <v>2342</v>
      </c>
      <c r="O534" s="138" t="s">
        <v>918</v>
      </c>
      <c r="P534" s="138"/>
      <c r="Q534" s="138"/>
      <c r="R534" s="138"/>
      <c r="S534" s="138"/>
      <c r="T534" s="135">
        <v>492.7</v>
      </c>
      <c r="U534" s="185">
        <v>1.0777349299776741E-4</v>
      </c>
      <c r="V534" s="185">
        <v>5.1106149786888576E-5</v>
      </c>
      <c r="W534" s="185">
        <v>4.1686938347033518E-5</v>
      </c>
      <c r="X534" s="185">
        <v>1.0777349299776741E-4</v>
      </c>
      <c r="Y534" s="204">
        <v>6.98</v>
      </c>
      <c r="Z534" s="135">
        <v>5.26</v>
      </c>
      <c r="AA534" s="135">
        <v>5.27</v>
      </c>
      <c r="AB534" s="135">
        <v>4.96</v>
      </c>
      <c r="AC534" s="135">
        <v>0.73060000000000003</v>
      </c>
      <c r="AD534" s="135">
        <v>5.45</v>
      </c>
      <c r="AE534" s="135">
        <v>6.78</v>
      </c>
      <c r="AF534" s="135">
        <f t="shared" si="195"/>
        <v>5.27</v>
      </c>
      <c r="AG534" s="136">
        <v>6.16</v>
      </c>
      <c r="AH534" s="185">
        <v>6.7800000000000004E-13</v>
      </c>
      <c r="AI534" s="185"/>
      <c r="AJ534" s="136">
        <f t="shared" si="193"/>
        <v>-10.557336632445589</v>
      </c>
      <c r="AK534" s="136"/>
      <c r="AL534" s="136">
        <f t="shared" si="194"/>
        <v>-10.557336632445589</v>
      </c>
      <c r="AM534" s="136">
        <v>-16.34385</v>
      </c>
      <c r="AN534" s="186">
        <v>-5.39</v>
      </c>
      <c r="AO534" s="481">
        <v>8.68</v>
      </c>
      <c r="AP534" s="481">
        <v>-1.23</v>
      </c>
      <c r="AQ534" s="135" t="s">
        <v>6311</v>
      </c>
      <c r="AR534" s="135" t="s">
        <v>6311</v>
      </c>
      <c r="AS534" s="190"/>
      <c r="AT534" s="137" t="s">
        <v>266</v>
      </c>
      <c r="AU534" s="135">
        <v>6</v>
      </c>
      <c r="AV534" s="135">
        <v>120</v>
      </c>
      <c r="AW534" s="135">
        <v>114</v>
      </c>
      <c r="AX534" s="135">
        <v>28</v>
      </c>
      <c r="AY534" s="135" t="s">
        <v>8728</v>
      </c>
      <c r="AZ534" s="135" t="s">
        <v>1563</v>
      </c>
      <c r="BA534" s="135">
        <v>32</v>
      </c>
      <c r="BB534" s="138" t="s">
        <v>2485</v>
      </c>
      <c r="BC534" s="138" t="s">
        <v>8726</v>
      </c>
      <c r="BD534" s="138" t="s">
        <v>8374</v>
      </c>
      <c r="BE534" s="135" t="s">
        <v>2449</v>
      </c>
      <c r="BF534" s="135" t="s">
        <v>272</v>
      </c>
      <c r="BG534" s="135" t="s">
        <v>272</v>
      </c>
      <c r="BH534" s="135" t="s">
        <v>2486</v>
      </c>
      <c r="BI534" s="185">
        <v>6.3999999999999997E-6</v>
      </c>
      <c r="BJ534" s="185">
        <v>6.4000000000000001E-2</v>
      </c>
      <c r="BK534" s="135"/>
      <c r="BL534" s="185">
        <f t="shared" si="187"/>
        <v>9.7004973195906623E-4</v>
      </c>
      <c r="BM534" s="138" t="s">
        <v>2487</v>
      </c>
      <c r="BN534" s="135"/>
      <c r="BO534" s="135"/>
      <c r="BP534" s="135"/>
      <c r="BQ534" s="135"/>
      <c r="BR534" s="138" t="s">
        <v>2496</v>
      </c>
      <c r="BS534" s="135"/>
      <c r="BT534" s="135"/>
      <c r="BU534" s="135">
        <v>3.1999999999999999E-6</v>
      </c>
      <c r="BV534" s="135"/>
      <c r="BW534" s="135"/>
      <c r="BX534" s="135"/>
      <c r="BY534" s="135"/>
      <c r="BZ534" s="135"/>
      <c r="CA534" s="135"/>
      <c r="CB534" s="135"/>
      <c r="CC534" s="135"/>
      <c r="CD534" s="135"/>
      <c r="CE534" s="135"/>
      <c r="CF534" s="135"/>
      <c r="CG534" s="135"/>
      <c r="CH534" s="135"/>
      <c r="CI534" s="185"/>
      <c r="CJ534" s="187"/>
      <c r="CK534" s="136">
        <f t="shared" si="192"/>
        <v>1.5157027061860409E-2</v>
      </c>
      <c r="CL534" s="188"/>
      <c r="CM534" s="188"/>
      <c r="CN534" s="188"/>
      <c r="CO534" s="138" t="s">
        <v>2488</v>
      </c>
      <c r="CP534" s="138" t="s">
        <v>2489</v>
      </c>
      <c r="CQ534" s="183">
        <v>-0.8973979725924851</v>
      </c>
      <c r="CR534" s="191">
        <f>10^(CJ534-CQ534)</f>
        <v>7.8958333333333348</v>
      </c>
      <c r="CS534" s="135" t="s">
        <v>539</v>
      </c>
      <c r="CT534" s="135"/>
      <c r="CU534" s="135"/>
      <c r="CV534" s="332">
        <f t="shared" si="189"/>
        <v>1.6839608280901158E-3</v>
      </c>
      <c r="CW534" s="329">
        <f t="shared" si="190"/>
        <v>0</v>
      </c>
      <c r="CX534" s="329"/>
      <c r="CY534" s="189" t="s">
        <v>5921</v>
      </c>
    </row>
    <row r="535" spans="1:103" ht="11.25" customHeight="1" x14ac:dyDescent="0.2">
      <c r="A535" s="72">
        <v>533</v>
      </c>
      <c r="B535" s="183">
        <v>941</v>
      </c>
      <c r="C535" s="133" t="s">
        <v>6814</v>
      </c>
      <c r="D535" s="133"/>
      <c r="E535" s="134"/>
      <c r="F535" s="134" t="s">
        <v>2680</v>
      </c>
      <c r="G535" s="184">
        <v>96764</v>
      </c>
      <c r="H535" s="138" t="s">
        <v>2681</v>
      </c>
      <c r="I535" s="138" t="s">
        <v>2681</v>
      </c>
      <c r="J535" s="138" t="s">
        <v>2682</v>
      </c>
      <c r="K535" s="138" t="s">
        <v>349</v>
      </c>
      <c r="L535" s="138"/>
      <c r="M535" s="138"/>
      <c r="N535" s="138"/>
      <c r="O535" s="138"/>
      <c r="P535" s="138"/>
      <c r="Q535" s="138"/>
      <c r="R535" s="138"/>
      <c r="S535" s="138"/>
      <c r="T535" s="135">
        <v>206.32</v>
      </c>
      <c r="U535" s="185">
        <v>0.16963939511438542</v>
      </c>
      <c r="V535" s="185">
        <v>2.7646374563784413E-2</v>
      </c>
      <c r="W535" s="185">
        <v>0.44668359215096265</v>
      </c>
      <c r="X535" s="185">
        <v>0.16963939511438542</v>
      </c>
      <c r="Y535" s="204">
        <v>6.97</v>
      </c>
      <c r="Z535" s="135">
        <v>5.33</v>
      </c>
      <c r="AA535" s="135">
        <v>5.19</v>
      </c>
      <c r="AB535" s="135">
        <v>4.67</v>
      </c>
      <c r="AC535" s="135">
        <v>0.84019999999999995</v>
      </c>
      <c r="AD535" s="135">
        <v>4.72</v>
      </c>
      <c r="AE535" s="135">
        <v>4.8600000000000003</v>
      </c>
      <c r="AF535" s="135">
        <f t="shared" si="195"/>
        <v>5.19</v>
      </c>
      <c r="AG535" s="136">
        <v>4.76</v>
      </c>
      <c r="AH535" s="185">
        <v>3.7400000000000002E-6</v>
      </c>
      <c r="AI535" s="185"/>
      <c r="AJ535" s="136">
        <f t="shared" si="193"/>
        <v>-3.8156947241121717</v>
      </c>
      <c r="AK535" s="136"/>
      <c r="AL535" s="136">
        <f t="shared" si="194"/>
        <v>-3.8156947241121717</v>
      </c>
      <c r="AM535" s="136">
        <v>-7.0015999999999998</v>
      </c>
      <c r="AN535" s="186">
        <v>-3.38</v>
      </c>
      <c r="AO535" s="481">
        <v>11.56</v>
      </c>
      <c r="AP535" s="481"/>
      <c r="AQ535" s="135" t="s">
        <v>6311</v>
      </c>
      <c r="AR535" s="135" t="s">
        <v>6311</v>
      </c>
      <c r="AS535" s="190"/>
      <c r="AT535" s="137" t="s">
        <v>266</v>
      </c>
      <c r="AU535" s="135">
        <v>6</v>
      </c>
      <c r="AV535" s="135">
        <v>120</v>
      </c>
      <c r="AW535" s="135">
        <v>114</v>
      </c>
      <c r="AX535" s="135">
        <v>28</v>
      </c>
      <c r="AY535" s="135" t="s">
        <v>8728</v>
      </c>
      <c r="AZ535" s="135" t="s">
        <v>1563</v>
      </c>
      <c r="BA535" s="135">
        <v>32</v>
      </c>
      <c r="BB535" s="138" t="s">
        <v>2485</v>
      </c>
      <c r="BC535" s="138" t="s">
        <v>8726</v>
      </c>
      <c r="BD535" s="138" t="s">
        <v>8374</v>
      </c>
      <c r="BE535" s="135" t="s">
        <v>2449</v>
      </c>
      <c r="BF535" s="135" t="s">
        <v>272</v>
      </c>
      <c r="BG535" s="135" t="s">
        <v>272</v>
      </c>
      <c r="BH535" s="135" t="s">
        <v>2486</v>
      </c>
      <c r="BI535" s="185">
        <v>6.3999999999999997E-6</v>
      </c>
      <c r="BJ535" s="185">
        <v>6.4000000000000001E-2</v>
      </c>
      <c r="BK535" s="135"/>
      <c r="BL535" s="185">
        <f t="shared" si="187"/>
        <v>8.3931889462997397E-4</v>
      </c>
      <c r="BM535" s="138" t="s">
        <v>2487</v>
      </c>
      <c r="BN535" s="135"/>
      <c r="BO535" s="135"/>
      <c r="BP535" s="135"/>
      <c r="BQ535" s="135"/>
      <c r="BR535" s="138" t="s">
        <v>2496</v>
      </c>
      <c r="BS535" s="135"/>
      <c r="BT535" s="135"/>
      <c r="BU535" s="135">
        <v>6.4000000000000001E-2</v>
      </c>
      <c r="BV535" s="135"/>
      <c r="BW535" s="135"/>
      <c r="BX535" s="135"/>
      <c r="BY535" s="135"/>
      <c r="BZ535" s="135"/>
      <c r="CA535" s="135"/>
      <c r="CB535" s="135"/>
      <c r="CC535" s="135"/>
      <c r="CD535" s="135"/>
      <c r="CE535" s="135"/>
      <c r="CF535" s="135"/>
      <c r="CG535" s="135"/>
      <c r="CH535" s="135"/>
      <c r="CI535" s="185"/>
      <c r="CJ535" s="187"/>
      <c r="CK535" s="136">
        <f t="shared" si="192"/>
        <v>1.3114357728593344E-2</v>
      </c>
      <c r="CL535" s="188"/>
      <c r="CM535" s="188"/>
      <c r="CN535" s="188"/>
      <c r="CO535" s="138" t="s">
        <v>2488</v>
      </c>
      <c r="CP535" s="138" t="s">
        <v>2489</v>
      </c>
      <c r="CQ535" s="191" t="s">
        <v>272</v>
      </c>
      <c r="CR535" s="191"/>
      <c r="CS535" s="135" t="s">
        <v>539</v>
      </c>
      <c r="CT535" s="135"/>
      <c r="CU535" s="135"/>
      <c r="CV535" s="332">
        <f t="shared" si="189"/>
        <v>2.6506155486622722</v>
      </c>
      <c r="CW535" s="329">
        <f t="shared" si="190"/>
        <v>1</v>
      </c>
      <c r="CX535" s="329"/>
      <c r="CY535" s="189" t="s">
        <v>6351</v>
      </c>
    </row>
    <row r="536" spans="1:103" ht="11.25" customHeight="1" x14ac:dyDescent="0.2">
      <c r="A536" s="72">
        <v>534</v>
      </c>
      <c r="B536" s="191">
        <v>1114</v>
      </c>
      <c r="C536" s="128" t="s">
        <v>6815</v>
      </c>
      <c r="D536" s="128"/>
      <c r="E536" s="129"/>
      <c r="F536" s="129" t="s">
        <v>3111</v>
      </c>
      <c r="G536" s="192">
        <v>97778</v>
      </c>
      <c r="H536" s="139" t="s">
        <v>3112</v>
      </c>
      <c r="I536" s="139" t="s">
        <v>3112</v>
      </c>
      <c r="J536" s="139" t="s">
        <v>3113</v>
      </c>
      <c r="K536" s="139" t="s">
        <v>1514</v>
      </c>
      <c r="L536" s="139"/>
      <c r="M536" s="139" t="s">
        <v>3114</v>
      </c>
      <c r="N536" s="138"/>
      <c r="O536" s="139" t="s">
        <v>3115</v>
      </c>
      <c r="P536" s="138" t="s">
        <v>6172</v>
      </c>
      <c r="Q536" s="138" t="s">
        <v>6176</v>
      </c>
      <c r="R536" s="138" t="s">
        <v>6175</v>
      </c>
      <c r="S536" s="138" t="s">
        <v>6173</v>
      </c>
      <c r="T536" s="130">
        <v>296.54000000000002</v>
      </c>
      <c r="U536" s="187">
        <v>1.3792405746273689E-2</v>
      </c>
      <c r="V536" s="185">
        <v>0.21467592904835769</v>
      </c>
      <c r="W536" s="185">
        <v>7.7624711662868957E-3</v>
      </c>
      <c r="X536" s="187">
        <v>1.3792405746273689E-2</v>
      </c>
      <c r="Y536" s="194">
        <v>7</v>
      </c>
      <c r="Z536" s="130">
        <v>3.67</v>
      </c>
      <c r="AA536" s="130">
        <v>3.88</v>
      </c>
      <c r="AB536" s="130">
        <v>3.45</v>
      </c>
      <c r="AC536" s="130">
        <v>0.79459999999999997</v>
      </c>
      <c r="AD536" s="130">
        <v>3.59</v>
      </c>
      <c r="AE536" s="130">
        <v>3.88</v>
      </c>
      <c r="AF536" s="130">
        <f t="shared" si="195"/>
        <v>3.88</v>
      </c>
      <c r="AG536" s="131">
        <v>4.84</v>
      </c>
      <c r="AH536" s="187">
        <v>8.3200000000000003E-5</v>
      </c>
      <c r="AI536" s="187"/>
      <c r="AJ536" s="136">
        <f t="shared" si="193"/>
        <v>-2.468443000021928</v>
      </c>
      <c r="AK536" s="136"/>
      <c r="AL536" s="136">
        <f t="shared" si="194"/>
        <v>-2.468443000021928</v>
      </c>
      <c r="AM536" s="136">
        <v>-12.58268</v>
      </c>
      <c r="AN536" s="193">
        <v>-5.52</v>
      </c>
      <c r="AO536" s="481"/>
      <c r="AP536" s="481">
        <v>0.86</v>
      </c>
      <c r="AQ536" s="130" t="s">
        <v>6311</v>
      </c>
      <c r="AR536" s="130" t="s">
        <v>6311</v>
      </c>
      <c r="AS536" s="198"/>
      <c r="AT536" s="132" t="s">
        <v>266</v>
      </c>
      <c r="AU536" s="130">
        <v>6</v>
      </c>
      <c r="AV536" s="130">
        <v>120</v>
      </c>
      <c r="AW536" s="130">
        <v>114</v>
      </c>
      <c r="AX536" s="130">
        <v>28</v>
      </c>
      <c r="AY536" s="130" t="s">
        <v>8728</v>
      </c>
      <c r="AZ536" s="130" t="s">
        <v>1563</v>
      </c>
      <c r="BA536" s="130">
        <v>32</v>
      </c>
      <c r="BB536" s="139" t="s">
        <v>2485</v>
      </c>
      <c r="BC536" s="139" t="s">
        <v>8726</v>
      </c>
      <c r="BD536" s="139" t="s">
        <v>8374</v>
      </c>
      <c r="BE536" s="130" t="s">
        <v>2449</v>
      </c>
      <c r="BF536" s="130" t="s">
        <v>272</v>
      </c>
      <c r="BG536" s="130" t="s">
        <v>272</v>
      </c>
      <c r="BH536" s="130" t="s">
        <v>2486</v>
      </c>
      <c r="BI536" s="187">
        <v>6.3999999999999997E-6</v>
      </c>
      <c r="BJ536" s="187">
        <v>6.4000000000000001E-2</v>
      </c>
      <c r="BK536" s="130"/>
      <c r="BL536" s="187">
        <f t="shared" si="187"/>
        <v>2.5988008491637047E-2</v>
      </c>
      <c r="BM536" s="139" t="s">
        <v>2487</v>
      </c>
      <c r="BN536" s="130"/>
      <c r="BO536" s="130"/>
      <c r="BP536" s="130"/>
      <c r="BQ536" s="130"/>
      <c r="BR536" s="139" t="s">
        <v>2496</v>
      </c>
      <c r="BS536" s="130"/>
      <c r="BT536" s="130"/>
      <c r="BU536" s="195">
        <v>6.5280000000000005E-2</v>
      </c>
      <c r="BV536" s="130"/>
      <c r="BW536" s="130"/>
      <c r="BX536" s="130"/>
      <c r="BY536" s="130"/>
      <c r="BZ536" s="130"/>
      <c r="CA536" s="130"/>
      <c r="CB536" s="130"/>
      <c r="CC536" s="130"/>
      <c r="CD536" s="130"/>
      <c r="CE536" s="130"/>
      <c r="CF536" s="130"/>
      <c r="CG536" s="130"/>
      <c r="CH536" s="130"/>
      <c r="CI536" s="187"/>
      <c r="CJ536" s="187"/>
      <c r="CK536" s="131">
        <f t="shared" si="192"/>
        <v>0.40606263268182885</v>
      </c>
      <c r="CL536" s="188"/>
      <c r="CM536" s="188"/>
      <c r="CN536" s="188"/>
      <c r="CO536" s="139" t="s">
        <v>2488</v>
      </c>
      <c r="CP536" s="139" t="s">
        <v>2489</v>
      </c>
      <c r="CQ536" s="191" t="s">
        <v>272</v>
      </c>
      <c r="CR536" s="191"/>
      <c r="CS536" s="135" t="s">
        <v>539</v>
      </c>
      <c r="CT536" s="135"/>
      <c r="CU536" s="135"/>
      <c r="CV536" s="332">
        <f t="shared" si="189"/>
        <v>0.21550633978552639</v>
      </c>
      <c r="CW536" s="329">
        <f t="shared" si="190"/>
        <v>0</v>
      </c>
      <c r="CX536" s="329"/>
      <c r="CY536" s="189" t="s">
        <v>6351</v>
      </c>
    </row>
    <row r="537" spans="1:103" ht="11.25" customHeight="1" x14ac:dyDescent="0.2">
      <c r="A537" s="72">
        <v>535</v>
      </c>
      <c r="B537" s="183">
        <v>1924</v>
      </c>
      <c r="C537" s="133" t="s">
        <v>6816</v>
      </c>
      <c r="D537" s="133"/>
      <c r="E537" s="134"/>
      <c r="F537" s="134" t="s">
        <v>5405</v>
      </c>
      <c r="G537" s="184">
        <v>101020</v>
      </c>
      <c r="H537" s="138" t="s">
        <v>5406</v>
      </c>
      <c r="I537" s="138" t="s">
        <v>5406</v>
      </c>
      <c r="J537" s="138" t="s">
        <v>5407</v>
      </c>
      <c r="K537" s="138" t="s">
        <v>426</v>
      </c>
      <c r="L537" s="138"/>
      <c r="M537" s="138"/>
      <c r="N537" s="138"/>
      <c r="O537" s="138"/>
      <c r="P537" s="138"/>
      <c r="Q537" s="138"/>
      <c r="R537" s="138"/>
      <c r="S537" s="138"/>
      <c r="T537" s="135">
        <v>310.27999999999997</v>
      </c>
      <c r="U537" s="185"/>
      <c r="V537" s="185">
        <v>7.5802500966868632E-5</v>
      </c>
      <c r="W537" s="185">
        <v>8.1283051616409894E-4</v>
      </c>
      <c r="X537" s="185">
        <f>IF(W537=0,V537,W537)</f>
        <v>8.1283051616409894E-4</v>
      </c>
      <c r="Y537" s="204">
        <v>7</v>
      </c>
      <c r="Z537" s="135">
        <v>6.62</v>
      </c>
      <c r="AA537" s="135"/>
      <c r="AB537" s="135">
        <v>4.1399999999999997</v>
      </c>
      <c r="AC537" s="135">
        <v>0.49020000000000002</v>
      </c>
      <c r="AD537" s="135">
        <v>5.8</v>
      </c>
      <c r="AE537" s="135">
        <v>7.43</v>
      </c>
      <c r="AF537" s="135">
        <f t="shared" si="195"/>
        <v>5.8</v>
      </c>
      <c r="AG537" s="136">
        <v>4.7300000000000004</v>
      </c>
      <c r="AH537" s="185">
        <v>5.4099999999999999E-7</v>
      </c>
      <c r="AI537" s="185"/>
      <c r="AJ537" s="136">
        <f t="shared" si="193"/>
        <v>-4.6553690612060823</v>
      </c>
      <c r="AK537" s="136"/>
      <c r="AL537" s="136">
        <f t="shared" si="194"/>
        <v>-4.6553690612060823</v>
      </c>
      <c r="AM537" s="136">
        <v>-13.00583</v>
      </c>
      <c r="AN537" s="186"/>
      <c r="AO537" s="481"/>
      <c r="AP537" s="481"/>
      <c r="AQ537" s="186" t="s">
        <v>6311</v>
      </c>
      <c r="AR537" s="186" t="s">
        <v>6311</v>
      </c>
      <c r="AS537" s="183"/>
      <c r="AT537" s="137" t="s">
        <v>266</v>
      </c>
      <c r="AU537" s="135">
        <v>6</v>
      </c>
      <c r="AV537" s="135">
        <v>120</v>
      </c>
      <c r="AW537" s="135">
        <v>114</v>
      </c>
      <c r="AX537" s="135">
        <v>28</v>
      </c>
      <c r="AY537" s="135" t="s">
        <v>8728</v>
      </c>
      <c r="AZ537" s="135" t="s">
        <v>1563</v>
      </c>
      <c r="BA537" s="135">
        <v>32</v>
      </c>
      <c r="BB537" s="138" t="s">
        <v>2485</v>
      </c>
      <c r="BC537" s="138" t="s">
        <v>8726</v>
      </c>
      <c r="BD537" s="138" t="s">
        <v>8374</v>
      </c>
      <c r="BE537" s="135" t="s">
        <v>2449</v>
      </c>
      <c r="BF537" s="135" t="s">
        <v>272</v>
      </c>
      <c r="BG537" s="135" t="s">
        <v>272</v>
      </c>
      <c r="BH537" s="135" t="s">
        <v>2486</v>
      </c>
      <c r="BI537" s="185">
        <v>6.3999999999999997E-6</v>
      </c>
      <c r="BJ537" s="185">
        <v>6.4000000000000001E-2</v>
      </c>
      <c r="BK537" s="135"/>
      <c r="BL537" s="185">
        <f t="shared" si="187"/>
        <v>5.8261008767137519E-5</v>
      </c>
      <c r="BM537" s="138" t="s">
        <v>2487</v>
      </c>
      <c r="BN537" s="135"/>
      <c r="BO537" s="135"/>
      <c r="BP537" s="135"/>
      <c r="BQ537" s="135"/>
      <c r="BR537" s="138" t="s">
        <v>2496</v>
      </c>
      <c r="BS537" s="135"/>
      <c r="BT537" s="135"/>
      <c r="BU537" s="135"/>
      <c r="BV537" s="135"/>
      <c r="BW537" s="135"/>
      <c r="BX537" s="135"/>
      <c r="BY537" s="135"/>
      <c r="BZ537" s="135"/>
      <c r="CA537" s="135"/>
      <c r="CB537" s="135"/>
      <c r="CC537" s="135"/>
      <c r="CD537" s="135"/>
      <c r="CE537" s="135"/>
      <c r="CF537" s="135"/>
      <c r="CG537" s="135"/>
      <c r="CH537" s="135"/>
      <c r="CI537" s="185"/>
      <c r="CJ537" s="187"/>
      <c r="CK537" s="136">
        <f t="shared" si="192"/>
        <v>9.1032826198652369E-4</v>
      </c>
      <c r="CL537" s="188"/>
      <c r="CM537" s="188"/>
      <c r="CN537" s="188"/>
      <c r="CO537" s="138" t="s">
        <v>2488</v>
      </c>
      <c r="CP537" s="138" t="s">
        <v>2489</v>
      </c>
      <c r="CQ537" s="191" t="s">
        <v>272</v>
      </c>
      <c r="CR537" s="191"/>
      <c r="CS537" s="135" t="s">
        <v>539</v>
      </c>
      <c r="CT537" s="135"/>
      <c r="CU537" s="135"/>
      <c r="CV537" s="332">
        <f t="shared" si="189"/>
        <v>1.2700476815064046E-2</v>
      </c>
      <c r="CW537" s="329">
        <f t="shared" si="190"/>
        <v>0</v>
      </c>
      <c r="CX537" s="329"/>
      <c r="CY537" s="189" t="s">
        <v>6351</v>
      </c>
    </row>
    <row r="538" spans="1:103" ht="11.25" customHeight="1" x14ac:dyDescent="0.2">
      <c r="A538" s="72">
        <v>536</v>
      </c>
      <c r="B538" s="183">
        <v>1675</v>
      </c>
      <c r="C538" s="133" t="s">
        <v>4893</v>
      </c>
      <c r="D538" s="133" t="s">
        <v>6817</v>
      </c>
      <c r="E538" s="134"/>
      <c r="F538" s="134" t="s">
        <v>4894</v>
      </c>
      <c r="G538" s="184">
        <v>59756604</v>
      </c>
      <c r="H538" s="138" t="s">
        <v>4895</v>
      </c>
      <c r="I538" s="138" t="s">
        <v>4895</v>
      </c>
      <c r="J538" s="138" t="s">
        <v>4896</v>
      </c>
      <c r="K538" s="138" t="s">
        <v>2752</v>
      </c>
      <c r="L538" s="138" t="s">
        <v>6160</v>
      </c>
      <c r="M538" s="138" t="s">
        <v>6082</v>
      </c>
      <c r="N538" s="138" t="s">
        <v>6082</v>
      </c>
      <c r="O538" s="138" t="s">
        <v>6083</v>
      </c>
      <c r="P538" s="138"/>
      <c r="Q538" s="138"/>
      <c r="R538" s="138"/>
      <c r="S538" s="138"/>
      <c r="T538" s="135">
        <v>329.32</v>
      </c>
      <c r="U538" s="185">
        <v>3.6438722215474312E-2</v>
      </c>
      <c r="V538" s="185">
        <v>5.0103243046277175E-2</v>
      </c>
      <c r="W538" s="185">
        <v>2.2908676527677727E-2</v>
      </c>
      <c r="X538" s="185">
        <v>3.6438722215474312E-2</v>
      </c>
      <c r="Y538" s="204">
        <v>7</v>
      </c>
      <c r="Z538" s="135">
        <v>4.4800000000000004</v>
      </c>
      <c r="AA538" s="135">
        <v>3.16</v>
      </c>
      <c r="AB538" s="135">
        <v>3.8</v>
      </c>
      <c r="AC538" s="135">
        <v>0.69310000000000005</v>
      </c>
      <c r="AD538" s="135">
        <v>3.77</v>
      </c>
      <c r="AE538" s="135">
        <v>3.7</v>
      </c>
      <c r="AF538" s="135">
        <f t="shared" si="195"/>
        <v>3.16</v>
      </c>
      <c r="AG538" s="136">
        <v>4.54</v>
      </c>
      <c r="AH538" s="185">
        <v>1.73E-10</v>
      </c>
      <c r="AI538" s="185">
        <v>8.0999999999999997E-9</v>
      </c>
      <c r="AJ538" s="136">
        <f t="shared" si="193"/>
        <v>-8.1505202231838556</v>
      </c>
      <c r="AK538" s="136">
        <f>LOG10(AI538*1000/(0.08206*298.15))</f>
        <v>-6.480081307434002</v>
      </c>
      <c r="AL538" s="136">
        <f t="shared" si="194"/>
        <v>-6.480081307434002</v>
      </c>
      <c r="AM538" s="136">
        <v>-11.983689999999999</v>
      </c>
      <c r="AN538" s="186">
        <v>-7.04</v>
      </c>
      <c r="AO538" s="481"/>
      <c r="AP538" s="481">
        <v>1.62</v>
      </c>
      <c r="AQ538" s="186" t="s">
        <v>6311</v>
      </c>
      <c r="AR538" s="186" t="s">
        <v>6311</v>
      </c>
      <c r="AS538" s="183"/>
      <c r="AT538" s="137" t="s">
        <v>266</v>
      </c>
      <c r="AU538" s="135">
        <v>6</v>
      </c>
      <c r="AV538" s="135">
        <v>120</v>
      </c>
      <c r="AW538" s="135">
        <v>114</v>
      </c>
      <c r="AX538" s="135">
        <v>28</v>
      </c>
      <c r="AY538" s="135" t="s">
        <v>8728</v>
      </c>
      <c r="AZ538" s="135" t="s">
        <v>1563</v>
      </c>
      <c r="BA538" s="135">
        <v>32</v>
      </c>
      <c r="BB538" s="138" t="s">
        <v>2485</v>
      </c>
      <c r="BC538" s="138" t="s">
        <v>8726</v>
      </c>
      <c r="BD538" s="138" t="s">
        <v>8374</v>
      </c>
      <c r="BE538" s="135" t="s">
        <v>2449</v>
      </c>
      <c r="BF538" s="135" t="s">
        <v>272</v>
      </c>
      <c r="BG538" s="135" t="s">
        <v>272</v>
      </c>
      <c r="BH538" s="135" t="s">
        <v>2486</v>
      </c>
      <c r="BI538" s="185">
        <v>6.3999999999999997E-6</v>
      </c>
      <c r="BJ538" s="185">
        <v>6.4000000000000001E-2</v>
      </c>
      <c r="BK538" s="135"/>
      <c r="BL538" s="185">
        <f t="shared" ref="BL538:BL569" si="196">10^((-0.8981*Z538)+1.7108)</f>
        <v>4.8675676936289838E-3</v>
      </c>
      <c r="BM538" s="138" t="s">
        <v>2487</v>
      </c>
      <c r="BN538" s="135"/>
      <c r="BO538" s="135"/>
      <c r="BP538" s="135"/>
      <c r="BQ538" s="135"/>
      <c r="BR538" s="138" t="s">
        <v>2496</v>
      </c>
      <c r="BS538" s="135"/>
      <c r="BT538" s="135"/>
      <c r="BU538" s="135"/>
      <c r="BV538" s="135"/>
      <c r="BW538" s="135"/>
      <c r="BX538" s="135"/>
      <c r="BY538" s="135"/>
      <c r="BZ538" s="135"/>
      <c r="CA538" s="135"/>
      <c r="CB538" s="135"/>
      <c r="CC538" s="135"/>
      <c r="CD538" s="135"/>
      <c r="CE538" s="135"/>
      <c r="CF538" s="135"/>
      <c r="CG538" s="135"/>
      <c r="CH538" s="135"/>
      <c r="CI538" s="185"/>
      <c r="CJ538" s="187"/>
      <c r="CK538" s="136">
        <f t="shared" si="192"/>
        <v>7.6055745212952872E-2</v>
      </c>
      <c r="CL538" s="188"/>
      <c r="CM538" s="188"/>
      <c r="CN538" s="188"/>
      <c r="CO538" s="138" t="s">
        <v>2488</v>
      </c>
      <c r="CP538" s="138" t="s">
        <v>2489</v>
      </c>
      <c r="CQ538" s="183">
        <v>-1.6006573863386315</v>
      </c>
      <c r="CR538" s="191">
        <f>10^(CJ538-CQ538)</f>
        <v>39.871023690577481</v>
      </c>
      <c r="CS538" s="135" t="s">
        <v>539</v>
      </c>
      <c r="CT538" s="135"/>
      <c r="CU538" s="135"/>
      <c r="CV538" s="332">
        <f t="shared" si="189"/>
        <v>0.56935503461678616</v>
      </c>
      <c r="CW538" s="329">
        <f t="shared" si="190"/>
        <v>0</v>
      </c>
      <c r="CX538" s="329"/>
      <c r="CY538" s="189" t="s">
        <v>5921</v>
      </c>
    </row>
    <row r="539" spans="1:103" ht="11.25" customHeight="1" x14ac:dyDescent="0.2">
      <c r="A539" s="72">
        <v>537</v>
      </c>
      <c r="B539" s="183">
        <v>1586</v>
      </c>
      <c r="C539" s="133" t="s">
        <v>6818</v>
      </c>
      <c r="D539" s="133"/>
      <c r="E539" s="134"/>
      <c r="F539" s="134" t="s">
        <v>4738</v>
      </c>
      <c r="G539" s="184">
        <v>103231</v>
      </c>
      <c r="H539" s="138" t="s">
        <v>4739</v>
      </c>
      <c r="I539" s="138" t="s">
        <v>4739</v>
      </c>
      <c r="J539" s="138" t="s">
        <v>4740</v>
      </c>
      <c r="K539" s="138" t="s">
        <v>357</v>
      </c>
      <c r="L539" s="138"/>
      <c r="M539" s="138"/>
      <c r="N539" s="138"/>
      <c r="O539" s="138"/>
      <c r="P539" s="138"/>
      <c r="Q539" s="138"/>
      <c r="R539" s="138"/>
      <c r="S539" s="138"/>
      <c r="T539" s="135">
        <v>370.57</v>
      </c>
      <c r="U539" s="185">
        <v>2.1048654775076233E-3</v>
      </c>
      <c r="V539" s="185">
        <v>1.4712469978681492E-6</v>
      </c>
      <c r="W539" s="185">
        <v>1.4791083881682055E-3</v>
      </c>
      <c r="X539" s="185">
        <v>2.1048654775076233E-3</v>
      </c>
      <c r="Y539" s="204">
        <v>7</v>
      </c>
      <c r="Z539" s="135">
        <v>8.1199999999999992</v>
      </c>
      <c r="AA539" s="135"/>
      <c r="AB539" s="135">
        <v>7.12</v>
      </c>
      <c r="AC539" s="135">
        <v>0.76149999999999995</v>
      </c>
      <c r="AD539" s="135">
        <v>7.42</v>
      </c>
      <c r="AE539" s="135">
        <v>8.1</v>
      </c>
      <c r="AF539" s="135">
        <f t="shared" si="195"/>
        <v>7.42</v>
      </c>
      <c r="AG539" s="136">
        <v>6.43</v>
      </c>
      <c r="AH539" s="185">
        <v>5.1600000000000001E-5</v>
      </c>
      <c r="AI539" s="185">
        <v>4.34E-7</v>
      </c>
      <c r="AJ539" s="136">
        <f t="shared" si="193"/>
        <v>-2.6759166246854402</v>
      </c>
      <c r="AK539" s="136">
        <f>LOG10(AI539*1000/(0.08206*298.15))</f>
        <v>-4.7510765968001412</v>
      </c>
      <c r="AL539" s="136">
        <f t="shared" si="194"/>
        <v>-4.7510765968001412</v>
      </c>
      <c r="AM539" s="136">
        <v>-7.9560200000000005</v>
      </c>
      <c r="AN539" s="186">
        <v>-3.79</v>
      </c>
      <c r="AO539" s="481"/>
      <c r="AP539" s="481"/>
      <c r="AQ539" s="135" t="s">
        <v>6311</v>
      </c>
      <c r="AR539" s="135" t="s">
        <v>6312</v>
      </c>
      <c r="AS539" s="190"/>
      <c r="AT539" s="137" t="s">
        <v>266</v>
      </c>
      <c r="AU539" s="135">
        <v>6</v>
      </c>
      <c r="AV539" s="135">
        <v>120</v>
      </c>
      <c r="AW539" s="135">
        <v>114</v>
      </c>
      <c r="AX539" s="135">
        <v>28</v>
      </c>
      <c r="AY539" s="135" t="s">
        <v>8728</v>
      </c>
      <c r="AZ539" s="135" t="s">
        <v>1563</v>
      </c>
      <c r="BA539" s="135">
        <v>32</v>
      </c>
      <c r="BB539" s="138" t="s">
        <v>2485</v>
      </c>
      <c r="BC539" s="138" t="s">
        <v>8726</v>
      </c>
      <c r="BD539" s="138" t="s">
        <v>8374</v>
      </c>
      <c r="BE539" s="135" t="s">
        <v>2449</v>
      </c>
      <c r="BF539" s="135" t="s">
        <v>272</v>
      </c>
      <c r="BG539" s="135" t="s">
        <v>272</v>
      </c>
      <c r="BH539" s="135" t="s">
        <v>2486</v>
      </c>
      <c r="BI539" s="185">
        <v>6.3999999999999997E-6</v>
      </c>
      <c r="BJ539" s="185">
        <v>6.4000000000000001E-2</v>
      </c>
      <c r="BK539" s="135"/>
      <c r="BL539" s="185">
        <f t="shared" si="196"/>
        <v>2.6195578874156366E-6</v>
      </c>
      <c r="BM539" s="138" t="s">
        <v>2487</v>
      </c>
      <c r="BN539" s="135"/>
      <c r="BO539" s="135"/>
      <c r="BP539" s="135"/>
      <c r="BQ539" s="135"/>
      <c r="BR539" s="138" t="s">
        <v>2496</v>
      </c>
      <c r="BS539" s="135"/>
      <c r="BT539" s="135"/>
      <c r="BU539" s="135"/>
      <c r="BV539" s="135"/>
      <c r="BW539" s="135"/>
      <c r="BX539" s="135"/>
      <c r="BY539" s="135"/>
      <c r="BZ539" s="135"/>
      <c r="CA539" s="135"/>
      <c r="CB539" s="135"/>
      <c r="CC539" s="135"/>
      <c r="CD539" s="135"/>
      <c r="CE539" s="135"/>
      <c r="CF539" s="135"/>
      <c r="CG539" s="135"/>
      <c r="CH539" s="135"/>
      <c r="CI539" s="185"/>
      <c r="CJ539" s="187"/>
      <c r="CK539" s="136">
        <f t="shared" si="192"/>
        <v>4.0930591990869319E-5</v>
      </c>
      <c r="CL539" s="188"/>
      <c r="CM539" s="188"/>
      <c r="CN539" s="188"/>
      <c r="CO539" s="138" t="s">
        <v>2488</v>
      </c>
      <c r="CP539" s="138" t="s">
        <v>2489</v>
      </c>
      <c r="CQ539" s="191" t="s">
        <v>272</v>
      </c>
      <c r="CR539" s="191"/>
      <c r="CS539" s="135" t="s">
        <v>539</v>
      </c>
      <c r="CT539" s="135"/>
      <c r="CU539" s="135"/>
      <c r="CV539" s="332">
        <f t="shared" si="189"/>
        <v>3.2888523086056616E-2</v>
      </c>
      <c r="CW539" s="329">
        <f t="shared" si="190"/>
        <v>0</v>
      </c>
      <c r="CX539" s="329"/>
      <c r="CY539" s="189" t="s">
        <v>6351</v>
      </c>
    </row>
    <row r="540" spans="1:103" ht="11.25" customHeight="1" x14ac:dyDescent="0.2">
      <c r="A540" s="72">
        <v>538</v>
      </c>
      <c r="B540" s="183">
        <v>1528</v>
      </c>
      <c r="C540" s="133" t="s">
        <v>6819</v>
      </c>
      <c r="D540" s="133"/>
      <c r="E540" s="134"/>
      <c r="F540" s="134" t="s">
        <v>4636</v>
      </c>
      <c r="G540" s="184">
        <v>103242</v>
      </c>
      <c r="H540" s="138" t="s">
        <v>4637</v>
      </c>
      <c r="I540" s="138" t="s">
        <v>4637</v>
      </c>
      <c r="J540" s="138" t="s">
        <v>4638</v>
      </c>
      <c r="K540" s="138" t="s">
        <v>357</v>
      </c>
      <c r="L540" s="138"/>
      <c r="M540" s="138"/>
      <c r="N540" s="138"/>
      <c r="O540" s="138"/>
      <c r="P540" s="138"/>
      <c r="Q540" s="138"/>
      <c r="R540" s="138"/>
      <c r="S540" s="138"/>
      <c r="T540" s="135">
        <v>412.65</v>
      </c>
      <c r="U540" s="185"/>
      <c r="V540" s="185">
        <v>4.0106627892887433E-8</v>
      </c>
      <c r="W540" s="185">
        <v>2.6302679918953787E-4</v>
      </c>
      <c r="X540" s="185">
        <f>IF(W540=0,V540,W540)</f>
        <v>2.6302679918953787E-4</v>
      </c>
      <c r="Y540" s="204">
        <v>7</v>
      </c>
      <c r="Z540" s="135">
        <v>9.59</v>
      </c>
      <c r="AA540" s="135"/>
      <c r="AB540" s="135">
        <v>8.1</v>
      </c>
      <c r="AC540" s="135">
        <v>0.73440000000000005</v>
      </c>
      <c r="AD540" s="135">
        <v>8.5500000000000007</v>
      </c>
      <c r="AE540" s="135">
        <v>9.33</v>
      </c>
      <c r="AF540" s="135">
        <f t="shared" si="195"/>
        <v>8.5500000000000007</v>
      </c>
      <c r="AG540" s="136">
        <v>7.66</v>
      </c>
      <c r="AH540" s="185">
        <v>1.21E-4</v>
      </c>
      <c r="AI540" s="185"/>
      <c r="AJ540" s="136">
        <f t="shared" si="193"/>
        <v>-2.3057809559962017</v>
      </c>
      <c r="AK540" s="136"/>
      <c r="AL540" s="136">
        <f t="shared" si="194"/>
        <v>-2.3057809559962017</v>
      </c>
      <c r="AM540" s="136">
        <v>-8.3386099999999992</v>
      </c>
      <c r="AN540" s="186">
        <v>-3.39</v>
      </c>
      <c r="AO540" s="481"/>
      <c r="AP540" s="481"/>
      <c r="AQ540" s="135" t="s">
        <v>6311</v>
      </c>
      <c r="AR540" s="135" t="s">
        <v>6312</v>
      </c>
      <c r="AS540" s="190"/>
      <c r="AT540" s="137" t="s">
        <v>266</v>
      </c>
      <c r="AU540" s="135">
        <v>6</v>
      </c>
      <c r="AV540" s="135">
        <v>120</v>
      </c>
      <c r="AW540" s="135">
        <v>114</v>
      </c>
      <c r="AX540" s="135">
        <v>28</v>
      </c>
      <c r="AY540" s="135" t="s">
        <v>8728</v>
      </c>
      <c r="AZ540" s="135" t="s">
        <v>1563</v>
      </c>
      <c r="BA540" s="135">
        <v>32</v>
      </c>
      <c r="BB540" s="138" t="s">
        <v>2485</v>
      </c>
      <c r="BC540" s="138" t="s">
        <v>8726</v>
      </c>
      <c r="BD540" s="138" t="s">
        <v>8374</v>
      </c>
      <c r="BE540" s="135" t="s">
        <v>2449</v>
      </c>
      <c r="BF540" s="135" t="s">
        <v>272</v>
      </c>
      <c r="BG540" s="135" t="s">
        <v>272</v>
      </c>
      <c r="BH540" s="135" t="s">
        <v>2486</v>
      </c>
      <c r="BI540" s="185">
        <v>6.3999999999999997E-6</v>
      </c>
      <c r="BJ540" s="185">
        <v>6.4000000000000001E-2</v>
      </c>
      <c r="BK540" s="135"/>
      <c r="BL540" s="185">
        <f t="shared" si="196"/>
        <v>1.2532017711544119E-7</v>
      </c>
      <c r="BM540" s="138" t="s">
        <v>2487</v>
      </c>
      <c r="BN540" s="135"/>
      <c r="BO540" s="135"/>
      <c r="BP540" s="135"/>
      <c r="BQ540" s="135"/>
      <c r="BR540" s="138" t="s">
        <v>2496</v>
      </c>
      <c r="BS540" s="135"/>
      <c r="BT540" s="135"/>
      <c r="BU540" s="135"/>
      <c r="BV540" s="135"/>
      <c r="BW540" s="135"/>
      <c r="BX540" s="135"/>
      <c r="BY540" s="135"/>
      <c r="BZ540" s="135"/>
      <c r="CA540" s="135"/>
      <c r="CB540" s="135"/>
      <c r="CC540" s="135"/>
      <c r="CD540" s="135"/>
      <c r="CE540" s="135"/>
      <c r="CF540" s="135"/>
      <c r="CG540" s="135"/>
      <c r="CH540" s="135"/>
      <c r="CI540" s="185"/>
      <c r="CJ540" s="187"/>
      <c r="CK540" s="136">
        <f t="shared" si="192"/>
        <v>1.9581277674287685E-6</v>
      </c>
      <c r="CL540" s="188"/>
      <c r="CM540" s="188"/>
      <c r="CN540" s="188"/>
      <c r="CO540" s="138" t="s">
        <v>2488</v>
      </c>
      <c r="CP540" s="138" t="s">
        <v>2489</v>
      </c>
      <c r="CQ540" s="191" t="s">
        <v>272</v>
      </c>
      <c r="CR540" s="191"/>
      <c r="CS540" s="135" t="s">
        <v>539</v>
      </c>
      <c r="CT540" s="135"/>
      <c r="CU540" s="135"/>
      <c r="CV540" s="332">
        <f t="shared" si="189"/>
        <v>4.1097937373365291E-3</v>
      </c>
      <c r="CW540" s="329">
        <f t="shared" si="190"/>
        <v>0</v>
      </c>
      <c r="CX540" s="329"/>
      <c r="CY540" s="189" t="s">
        <v>6351</v>
      </c>
    </row>
    <row r="541" spans="1:103" ht="11.25" customHeight="1" x14ac:dyDescent="0.2">
      <c r="A541" s="72">
        <v>539</v>
      </c>
      <c r="B541" s="183">
        <v>1229</v>
      </c>
      <c r="C541" s="133" t="s">
        <v>6820</v>
      </c>
      <c r="D541" s="133" t="s">
        <v>6821</v>
      </c>
      <c r="E541" s="134"/>
      <c r="F541" s="134" t="s">
        <v>1442</v>
      </c>
      <c r="G541" s="184">
        <v>82688</v>
      </c>
      <c r="H541" s="138" t="s">
        <v>1443</v>
      </c>
      <c r="I541" s="138" t="s">
        <v>7926</v>
      </c>
      <c r="J541" s="138" t="s">
        <v>1444</v>
      </c>
      <c r="K541" s="138" t="s">
        <v>426</v>
      </c>
      <c r="L541" s="138" t="s">
        <v>5929</v>
      </c>
      <c r="M541" s="138" t="s">
        <v>6082</v>
      </c>
      <c r="N541" s="138" t="s">
        <v>6082</v>
      </c>
      <c r="O541" s="138" t="s">
        <v>6083</v>
      </c>
      <c r="P541" s="138"/>
      <c r="Q541" s="138"/>
      <c r="R541" s="138"/>
      <c r="S541" s="138"/>
      <c r="T541" s="135">
        <v>295.33</v>
      </c>
      <c r="U541" s="185">
        <v>1.4898588020180817E-3</v>
      </c>
      <c r="V541" s="185">
        <v>1.965259201571124E-3</v>
      </c>
      <c r="W541" s="185">
        <v>4.8977881936844584E-3</v>
      </c>
      <c r="X541" s="185">
        <v>1.4898588020180817E-3</v>
      </c>
      <c r="Y541" s="204">
        <v>7</v>
      </c>
      <c r="Z541" s="135">
        <v>5.03</v>
      </c>
      <c r="AA541" s="135">
        <v>4.6399999999999997</v>
      </c>
      <c r="AB541" s="135">
        <v>4.8</v>
      </c>
      <c r="AC541" s="135">
        <v>0.82630000000000003</v>
      </c>
      <c r="AD541" s="135">
        <v>4.62</v>
      </c>
      <c r="AE541" s="135">
        <v>4.16</v>
      </c>
      <c r="AF541" s="135">
        <f t="shared" si="195"/>
        <v>4.6399999999999997</v>
      </c>
      <c r="AG541" s="136">
        <v>4.8099999999999996</v>
      </c>
      <c r="AH541" s="185">
        <v>4.7500000000000003E-6</v>
      </c>
      <c r="AI541" s="185">
        <v>4.4199999999999997E-5</v>
      </c>
      <c r="AJ541" s="136">
        <f t="shared" si="193"/>
        <v>-3.7118727166877852</v>
      </c>
      <c r="AK541" s="136">
        <f>LOG10(AI541*1000/(0.08206*298.15))</f>
        <v>-2.7431440569635601</v>
      </c>
      <c r="AL541" s="136">
        <f t="shared" si="194"/>
        <v>-2.7431440569635601</v>
      </c>
      <c r="AM541" s="136">
        <v>-6.2418199999999997</v>
      </c>
      <c r="AN541" s="186">
        <v>-3.9</v>
      </c>
      <c r="AO541" s="481"/>
      <c r="AP541" s="481"/>
      <c r="AQ541" s="135" t="s">
        <v>6311</v>
      </c>
      <c r="AR541" s="135" t="s">
        <v>6311</v>
      </c>
      <c r="AS541" s="190"/>
      <c r="AT541" s="137" t="s">
        <v>266</v>
      </c>
      <c r="AU541" s="135">
        <v>6</v>
      </c>
      <c r="AV541" s="135">
        <v>120</v>
      </c>
      <c r="AW541" s="135">
        <v>114</v>
      </c>
      <c r="AX541" s="135">
        <v>28</v>
      </c>
      <c r="AY541" s="135" t="s">
        <v>8728</v>
      </c>
      <c r="AZ541" s="135" t="s">
        <v>1563</v>
      </c>
      <c r="BA541" s="135">
        <v>32</v>
      </c>
      <c r="BB541" s="138" t="s">
        <v>2485</v>
      </c>
      <c r="BC541" s="138" t="s">
        <v>8726</v>
      </c>
      <c r="BD541" s="138" t="s">
        <v>8374</v>
      </c>
      <c r="BE541" s="135" t="s">
        <v>2449</v>
      </c>
      <c r="BF541" s="135" t="s">
        <v>272</v>
      </c>
      <c r="BG541" s="135" t="s">
        <v>272</v>
      </c>
      <c r="BH541" s="135" t="s">
        <v>2486</v>
      </c>
      <c r="BI541" s="185">
        <v>6.3999999999999997E-6</v>
      </c>
      <c r="BJ541" s="185">
        <v>6.4000000000000001E-2</v>
      </c>
      <c r="BK541" s="135"/>
      <c r="BL541" s="185">
        <f t="shared" si="196"/>
        <v>1.5608350177201016E-3</v>
      </c>
      <c r="BM541" s="138" t="s">
        <v>2487</v>
      </c>
      <c r="BN541" s="135"/>
      <c r="BO541" s="135"/>
      <c r="BP541" s="135"/>
      <c r="BQ541" s="135"/>
      <c r="BR541" s="138" t="s">
        <v>2496</v>
      </c>
      <c r="BS541" s="135"/>
      <c r="BT541" s="135"/>
      <c r="BU541" s="135">
        <v>6.4000000000000005E-4</v>
      </c>
      <c r="BV541" s="135"/>
      <c r="BW541" s="135"/>
      <c r="BX541" s="135"/>
      <c r="BY541" s="135"/>
      <c r="BZ541" s="135"/>
      <c r="CA541" s="135"/>
      <c r="CB541" s="135"/>
      <c r="CC541" s="135"/>
      <c r="CD541" s="135"/>
      <c r="CE541" s="135"/>
      <c r="CF541" s="135"/>
      <c r="CG541" s="135"/>
      <c r="CH541" s="135"/>
      <c r="CI541" s="185"/>
      <c r="CJ541" s="187"/>
      <c r="CK541" s="136">
        <f t="shared" si="192"/>
        <v>2.4388047151876587E-2</v>
      </c>
      <c r="CL541" s="188"/>
      <c r="CM541" s="188"/>
      <c r="CN541" s="188"/>
      <c r="CO541" s="138" t="s">
        <v>2488</v>
      </c>
      <c r="CP541" s="138" t="s">
        <v>2489</v>
      </c>
      <c r="CQ541" s="183">
        <v>-2.863311030252611</v>
      </c>
      <c r="CR541" s="191">
        <f>10^(CJ541-CQ541)</f>
        <v>729.98011559835334</v>
      </c>
      <c r="CS541" s="135" t="s">
        <v>539</v>
      </c>
      <c r="CT541" s="135"/>
      <c r="CU541" s="135"/>
      <c r="CV541" s="332">
        <f t="shared" si="189"/>
        <v>2.3279043781532525E-2</v>
      </c>
      <c r="CW541" s="329">
        <f t="shared" si="190"/>
        <v>0</v>
      </c>
      <c r="CX541" s="329"/>
      <c r="CY541" s="189" t="s">
        <v>5921</v>
      </c>
    </row>
    <row r="542" spans="1:103" ht="11.25" customHeight="1" x14ac:dyDescent="0.2">
      <c r="A542" s="72">
        <v>540</v>
      </c>
      <c r="B542" s="183">
        <v>1591</v>
      </c>
      <c r="C542" s="133" t="s">
        <v>6822</v>
      </c>
      <c r="D542" s="133"/>
      <c r="E542" s="134"/>
      <c r="F542" s="134" t="s">
        <v>4750</v>
      </c>
      <c r="G542" s="184">
        <v>109433</v>
      </c>
      <c r="H542" s="138" t="s">
        <v>4751</v>
      </c>
      <c r="I542" s="138" t="s">
        <v>4751</v>
      </c>
      <c r="J542" s="138" t="s">
        <v>4752</v>
      </c>
      <c r="K542" s="138" t="s">
        <v>357</v>
      </c>
      <c r="L542" s="138"/>
      <c r="M542" s="138"/>
      <c r="N542" s="138"/>
      <c r="O542" s="138"/>
      <c r="P542" s="138"/>
      <c r="Q542" s="138" t="s">
        <v>6173</v>
      </c>
      <c r="R542" s="138" t="s">
        <v>6175</v>
      </c>
      <c r="S542" s="138" t="s">
        <v>6176</v>
      </c>
      <c r="T542" s="135">
        <v>314.45999999999998</v>
      </c>
      <c r="U542" s="185">
        <v>0.12720218787763152</v>
      </c>
      <c r="V542" s="185">
        <v>1.3432551039877888E-4</v>
      </c>
      <c r="W542" s="185">
        <v>3.0199517204020178E-2</v>
      </c>
      <c r="X542" s="185">
        <v>0.12720218787763152</v>
      </c>
      <c r="Y542" s="204">
        <v>7</v>
      </c>
      <c r="Z542" s="135">
        <v>6.3</v>
      </c>
      <c r="AA542" s="135"/>
      <c r="AB542" s="135">
        <v>5.6</v>
      </c>
      <c r="AC542" s="135">
        <v>0.67190000000000005</v>
      </c>
      <c r="AD542" s="135">
        <v>5.76</v>
      </c>
      <c r="AE542" s="135">
        <v>5.97</v>
      </c>
      <c r="AF542" s="135">
        <f t="shared" si="195"/>
        <v>5.76</v>
      </c>
      <c r="AG542" s="136">
        <v>4.97</v>
      </c>
      <c r="AH542" s="185">
        <v>1.66E-5</v>
      </c>
      <c r="AI542" s="185">
        <v>4.8499999999999998E-8</v>
      </c>
      <c r="AJ542" s="136">
        <f t="shared" si="193"/>
        <v>-3.1684582382725965</v>
      </c>
      <c r="AK542" s="136">
        <f>LOG10(AI542*1000/(0.08206*298.15))</f>
        <v>-5.7028245877103885</v>
      </c>
      <c r="AL542" s="136">
        <f t="shared" si="194"/>
        <v>-5.7028245877103885</v>
      </c>
      <c r="AM542" s="136">
        <v>-7.2654999999999994</v>
      </c>
      <c r="AN542" s="186">
        <v>-4.32</v>
      </c>
      <c r="AO542" s="481"/>
      <c r="AP542" s="481"/>
      <c r="AQ542" s="135" t="s">
        <v>6311</v>
      </c>
      <c r="AR542" s="135" t="s">
        <v>6312</v>
      </c>
      <c r="AS542" s="190"/>
      <c r="AT542" s="137" t="s">
        <v>266</v>
      </c>
      <c r="AU542" s="135">
        <v>6</v>
      </c>
      <c r="AV542" s="135">
        <v>120</v>
      </c>
      <c r="AW542" s="135">
        <v>114</v>
      </c>
      <c r="AX542" s="135">
        <v>28</v>
      </c>
      <c r="AY542" s="135" t="s">
        <v>8728</v>
      </c>
      <c r="AZ542" s="135" t="s">
        <v>1563</v>
      </c>
      <c r="BA542" s="135">
        <v>32</v>
      </c>
      <c r="BB542" s="138" t="s">
        <v>2485</v>
      </c>
      <c r="BC542" s="138" t="s">
        <v>8726</v>
      </c>
      <c r="BD542" s="138" t="s">
        <v>8374</v>
      </c>
      <c r="BE542" s="135" t="s">
        <v>2449</v>
      </c>
      <c r="BF542" s="135" t="s">
        <v>272</v>
      </c>
      <c r="BG542" s="135" t="s">
        <v>272</v>
      </c>
      <c r="BH542" s="135" t="s">
        <v>2486</v>
      </c>
      <c r="BI542" s="185">
        <v>6.3999999999999997E-6</v>
      </c>
      <c r="BJ542" s="185">
        <v>6.4000000000000001E-2</v>
      </c>
      <c r="BK542" s="135"/>
      <c r="BL542" s="185">
        <f t="shared" si="196"/>
        <v>1.1291977392988041E-4</v>
      </c>
      <c r="BM542" s="138" t="s">
        <v>2487</v>
      </c>
      <c r="BN542" s="135"/>
      <c r="BO542" s="135"/>
      <c r="BP542" s="135"/>
      <c r="BQ542" s="135"/>
      <c r="BR542" s="138" t="s">
        <v>2496</v>
      </c>
      <c r="BS542" s="135"/>
      <c r="BT542" s="135"/>
      <c r="BU542" s="135"/>
      <c r="BV542" s="135"/>
      <c r="BW542" s="135"/>
      <c r="BX542" s="135"/>
      <c r="BY542" s="135"/>
      <c r="BZ542" s="135"/>
      <c r="CA542" s="135"/>
      <c r="CB542" s="135"/>
      <c r="CC542" s="135"/>
      <c r="CD542" s="135"/>
      <c r="CE542" s="135"/>
      <c r="CF542" s="135"/>
      <c r="CG542" s="135"/>
      <c r="CH542" s="135"/>
      <c r="CI542" s="185"/>
      <c r="CJ542" s="187"/>
      <c r="CK542" s="136">
        <f t="shared" si="192"/>
        <v>1.7643714676543814E-3</v>
      </c>
      <c r="CL542" s="188"/>
      <c r="CM542" s="188"/>
      <c r="CN542" s="188"/>
      <c r="CO542" s="138" t="s">
        <v>2488</v>
      </c>
      <c r="CP542" s="138" t="s">
        <v>2489</v>
      </c>
      <c r="CQ542" s="191" t="s">
        <v>272</v>
      </c>
      <c r="CR542" s="191"/>
      <c r="CS542" s="135" t="s">
        <v>539</v>
      </c>
      <c r="CT542" s="135"/>
      <c r="CU542" s="135"/>
      <c r="CV542" s="332">
        <f t="shared" si="189"/>
        <v>1.9875341855879924</v>
      </c>
      <c r="CW542" s="329">
        <f t="shared" si="190"/>
        <v>1</v>
      </c>
      <c r="CX542" s="329"/>
      <c r="CY542" s="189" t="s">
        <v>6351</v>
      </c>
    </row>
    <row r="543" spans="1:103" ht="11.25" customHeight="1" x14ac:dyDescent="0.2">
      <c r="A543" s="72">
        <v>541</v>
      </c>
      <c r="B543" s="183">
        <v>1734</v>
      </c>
      <c r="C543" s="133" t="s">
        <v>6823</v>
      </c>
      <c r="D543" s="133"/>
      <c r="E543" s="134"/>
      <c r="F543" s="134" t="s">
        <v>5014</v>
      </c>
      <c r="G543" s="184">
        <v>111820</v>
      </c>
      <c r="H543" s="138" t="s">
        <v>5015</v>
      </c>
      <c r="I543" s="138" t="s">
        <v>5015</v>
      </c>
      <c r="J543" s="138" t="s">
        <v>5016</v>
      </c>
      <c r="K543" s="138" t="s">
        <v>357</v>
      </c>
      <c r="L543" s="138"/>
      <c r="M543" s="138"/>
      <c r="N543" s="138"/>
      <c r="O543" s="138"/>
      <c r="P543" s="138"/>
      <c r="Q543" s="138"/>
      <c r="R543" s="138"/>
      <c r="S543" s="138"/>
      <c r="T543" s="135">
        <v>214.34</v>
      </c>
      <c r="U543" s="185"/>
      <c r="V543" s="185">
        <v>4.1247550620509468E-3</v>
      </c>
      <c r="W543" s="185">
        <v>0.1737800828749376</v>
      </c>
      <c r="X543" s="185">
        <f>IF(W543=0,V543,W543)</f>
        <v>0.1737800828749376</v>
      </c>
      <c r="Y543" s="204">
        <v>7</v>
      </c>
      <c r="Z543" s="135">
        <v>5.28</v>
      </c>
      <c r="AA543" s="135">
        <v>5.41</v>
      </c>
      <c r="AB543" s="135">
        <v>5.44</v>
      </c>
      <c r="AC543" s="135">
        <v>0.86939999999999995</v>
      </c>
      <c r="AD543" s="135">
        <v>5.45</v>
      </c>
      <c r="AE543" s="135">
        <v>5.49</v>
      </c>
      <c r="AF543" s="135">
        <f t="shared" si="195"/>
        <v>5.41</v>
      </c>
      <c r="AG543" s="136">
        <v>4.55</v>
      </c>
      <c r="AH543" s="185">
        <v>2.98E-3</v>
      </c>
      <c r="AI543" s="185"/>
      <c r="AJ543" s="136">
        <f t="shared" si="193"/>
        <v>-0.91435006223639659</v>
      </c>
      <c r="AK543" s="136"/>
      <c r="AL543" s="136">
        <f t="shared" si="194"/>
        <v>-0.91435006223639659</v>
      </c>
      <c r="AM543" s="136">
        <v>-3.7966199999999999</v>
      </c>
      <c r="AN543" s="186">
        <v>-1.1299999999999999</v>
      </c>
      <c r="AO543" s="481"/>
      <c r="AP543" s="481"/>
      <c r="AQ543" s="186" t="s">
        <v>6311</v>
      </c>
      <c r="AR543" s="186" t="s">
        <v>6312</v>
      </c>
      <c r="AS543" s="183"/>
      <c r="AT543" s="137" t="s">
        <v>266</v>
      </c>
      <c r="AU543" s="135">
        <v>6</v>
      </c>
      <c r="AV543" s="135">
        <v>120</v>
      </c>
      <c r="AW543" s="135">
        <v>114</v>
      </c>
      <c r="AX543" s="135">
        <v>28</v>
      </c>
      <c r="AY543" s="135" t="s">
        <v>8728</v>
      </c>
      <c r="AZ543" s="135" t="s">
        <v>1563</v>
      </c>
      <c r="BA543" s="135">
        <v>32</v>
      </c>
      <c r="BB543" s="138" t="s">
        <v>2485</v>
      </c>
      <c r="BC543" s="138" t="s">
        <v>8726</v>
      </c>
      <c r="BD543" s="138" t="s">
        <v>8374</v>
      </c>
      <c r="BE543" s="135" t="s">
        <v>2449</v>
      </c>
      <c r="BF543" s="135" t="s">
        <v>272</v>
      </c>
      <c r="BG543" s="135" t="s">
        <v>272</v>
      </c>
      <c r="BH543" s="135" t="s">
        <v>2486</v>
      </c>
      <c r="BI543" s="185">
        <v>6.3999999999999997E-6</v>
      </c>
      <c r="BJ543" s="185">
        <v>6.4000000000000001E-2</v>
      </c>
      <c r="BK543" s="135"/>
      <c r="BL543" s="185">
        <f t="shared" si="196"/>
        <v>9.307477606655426E-4</v>
      </c>
      <c r="BM543" s="138" t="s">
        <v>2487</v>
      </c>
      <c r="BN543" s="135"/>
      <c r="BO543" s="135"/>
      <c r="BP543" s="135"/>
      <c r="BQ543" s="135"/>
      <c r="BR543" s="138" t="s">
        <v>2496</v>
      </c>
      <c r="BS543" s="135"/>
      <c r="BT543" s="135"/>
      <c r="BU543" s="135"/>
      <c r="BV543" s="135"/>
      <c r="BW543" s="135"/>
      <c r="BX543" s="135"/>
      <c r="BY543" s="135"/>
      <c r="BZ543" s="135"/>
      <c r="CA543" s="135"/>
      <c r="CB543" s="135"/>
      <c r="CC543" s="135"/>
      <c r="CD543" s="135"/>
      <c r="CE543" s="135"/>
      <c r="CF543" s="135"/>
      <c r="CG543" s="135"/>
      <c r="CH543" s="135"/>
      <c r="CI543" s="185"/>
      <c r="CJ543" s="187"/>
      <c r="CK543" s="136">
        <f t="shared" si="192"/>
        <v>1.4542933760399102E-2</v>
      </c>
      <c r="CL543" s="188"/>
      <c r="CM543" s="188"/>
      <c r="CN543" s="188"/>
      <c r="CO543" s="138" t="s">
        <v>2488</v>
      </c>
      <c r="CP543" s="138" t="s">
        <v>2489</v>
      </c>
      <c r="CQ543" s="191" t="s">
        <v>272</v>
      </c>
      <c r="CR543" s="191"/>
      <c r="CS543" s="135" t="s">
        <v>539</v>
      </c>
      <c r="CT543" s="135"/>
      <c r="CU543" s="135"/>
      <c r="CV543" s="332">
        <f t="shared" ref="CV543:CV574" si="197">X543/BJ543</f>
        <v>2.7153137949208999</v>
      </c>
      <c r="CW543" s="329">
        <f t="shared" si="190"/>
        <v>1</v>
      </c>
      <c r="CX543" s="329"/>
      <c r="CY543" s="189" t="s">
        <v>6351</v>
      </c>
    </row>
    <row r="544" spans="1:103" ht="11.25" customHeight="1" x14ac:dyDescent="0.2">
      <c r="A544" s="72">
        <v>542</v>
      </c>
      <c r="B544" s="183">
        <v>1117</v>
      </c>
      <c r="C544" s="133" t="s">
        <v>6824</v>
      </c>
      <c r="D544" s="133"/>
      <c r="E544" s="134"/>
      <c r="F544" s="134" t="s">
        <v>3120</v>
      </c>
      <c r="G544" s="184">
        <v>112005</v>
      </c>
      <c r="H544" s="138" t="s">
        <v>3121</v>
      </c>
      <c r="I544" s="138" t="s">
        <v>7927</v>
      </c>
      <c r="J544" s="138" t="s">
        <v>3122</v>
      </c>
      <c r="K544" s="138" t="s">
        <v>426</v>
      </c>
      <c r="L544" s="138"/>
      <c r="M544" s="138"/>
      <c r="N544" s="138"/>
      <c r="O544" s="138"/>
      <c r="P544" s="138"/>
      <c r="Q544" s="138"/>
      <c r="R544" s="138"/>
      <c r="S544" s="138"/>
      <c r="T544" s="135">
        <v>228.44</v>
      </c>
      <c r="U544" s="185"/>
      <c r="V544" s="185">
        <v>7.8576431448082644</v>
      </c>
      <c r="W544" s="185">
        <v>489.77881936844614</v>
      </c>
      <c r="X544" s="185">
        <f>IF(W544=0,V544,W544)</f>
        <v>489.77881936844614</v>
      </c>
      <c r="Y544" s="204">
        <v>7</v>
      </c>
      <c r="Z544" s="135">
        <v>1.22</v>
      </c>
      <c r="AA544" s="135"/>
      <c r="AB544" s="135">
        <v>1.21</v>
      </c>
      <c r="AC544" s="135">
        <v>0.80259999999999998</v>
      </c>
      <c r="AD544" s="135">
        <v>1.04</v>
      </c>
      <c r="AE544" s="135">
        <v>0.67</v>
      </c>
      <c r="AF544" s="135">
        <f t="shared" si="195"/>
        <v>1.04</v>
      </c>
      <c r="AG544" s="136">
        <v>4.46</v>
      </c>
      <c r="AH544" s="185">
        <v>9.4199999999999995E-11</v>
      </c>
      <c r="AI544" s="185"/>
      <c r="AJ544" s="136">
        <f t="shared" si="193"/>
        <v>-8.4145154235197737</v>
      </c>
      <c r="AK544" s="136"/>
      <c r="AL544" s="136">
        <f t="shared" si="194"/>
        <v>-8.4145154235197737</v>
      </c>
      <c r="AM544" s="136">
        <v>-0.82478999999999991</v>
      </c>
      <c r="AN544" s="186">
        <v>-1.86</v>
      </c>
      <c r="AO544" s="481"/>
      <c r="AP544" s="481"/>
      <c r="AQ544" s="135" t="s">
        <v>6311</v>
      </c>
      <c r="AR544" s="135" t="s">
        <v>6311</v>
      </c>
      <c r="AS544" s="190"/>
      <c r="AT544" s="137" t="s">
        <v>266</v>
      </c>
      <c r="AU544" s="135">
        <v>6</v>
      </c>
      <c r="AV544" s="135">
        <v>120</v>
      </c>
      <c r="AW544" s="135">
        <v>114</v>
      </c>
      <c r="AX544" s="135">
        <v>28</v>
      </c>
      <c r="AY544" s="135" t="s">
        <v>8728</v>
      </c>
      <c r="AZ544" s="135" t="s">
        <v>1563</v>
      </c>
      <c r="BA544" s="135">
        <v>32</v>
      </c>
      <c r="BB544" s="138" t="s">
        <v>2485</v>
      </c>
      <c r="BC544" s="138" t="s">
        <v>8726</v>
      </c>
      <c r="BD544" s="138" t="s">
        <v>8374</v>
      </c>
      <c r="BE544" s="135" t="s">
        <v>2449</v>
      </c>
      <c r="BF544" s="135" t="s">
        <v>272</v>
      </c>
      <c r="BG544" s="135" t="s">
        <v>272</v>
      </c>
      <c r="BH544" s="135" t="s">
        <v>2486</v>
      </c>
      <c r="BI544" s="185">
        <v>6.3999999999999997E-6</v>
      </c>
      <c r="BJ544" s="185">
        <v>6.4000000000000001E-2</v>
      </c>
      <c r="BK544" s="135"/>
      <c r="BL544" s="185">
        <f t="shared" si="196"/>
        <v>4.1220950328328669</v>
      </c>
      <c r="BM544" s="138" t="s">
        <v>2487</v>
      </c>
      <c r="BN544" s="135"/>
      <c r="BO544" s="135"/>
      <c r="BP544" s="135"/>
      <c r="BQ544" s="135"/>
      <c r="BR544" s="138" t="s">
        <v>2496</v>
      </c>
      <c r="BS544" s="135"/>
      <c r="BT544" s="135"/>
      <c r="BU544" s="135">
        <v>6.4000000000000003E-3</v>
      </c>
      <c r="BV544" s="135"/>
      <c r="BW544" s="135"/>
      <c r="BX544" s="135"/>
      <c r="BY544" s="135"/>
      <c r="BZ544" s="135"/>
      <c r="CA544" s="135"/>
      <c r="CB544" s="135"/>
      <c r="CC544" s="135"/>
      <c r="CD544" s="135"/>
      <c r="CE544" s="135"/>
      <c r="CF544" s="135"/>
      <c r="CG544" s="135"/>
      <c r="CH544" s="135"/>
      <c r="CI544" s="185"/>
      <c r="CJ544" s="187"/>
      <c r="CK544" s="136">
        <f t="shared" si="192"/>
        <v>64.40773488801355</v>
      </c>
      <c r="CL544" s="188"/>
      <c r="CM544" s="188"/>
      <c r="CN544" s="188"/>
      <c r="CO544" s="138" t="s">
        <v>2488</v>
      </c>
      <c r="CP544" s="138" t="s">
        <v>2489</v>
      </c>
      <c r="CQ544" s="191" t="s">
        <v>272</v>
      </c>
      <c r="CR544" s="191"/>
      <c r="CS544" s="135" t="s">
        <v>539</v>
      </c>
      <c r="CT544" s="135"/>
      <c r="CU544" s="135"/>
      <c r="CV544" s="332">
        <f t="shared" si="197"/>
        <v>7652.7940526319708</v>
      </c>
      <c r="CW544" s="329">
        <f t="shared" si="190"/>
        <v>1</v>
      </c>
      <c r="CX544" s="329"/>
      <c r="CY544" s="189" t="s">
        <v>5921</v>
      </c>
    </row>
    <row r="545" spans="1:103" ht="21.6" customHeight="1" x14ac:dyDescent="0.2">
      <c r="A545" s="72">
        <v>543</v>
      </c>
      <c r="B545" s="191">
        <v>287</v>
      </c>
      <c r="C545" s="128" t="s">
        <v>3815</v>
      </c>
      <c r="D545" s="128" t="s">
        <v>6825</v>
      </c>
      <c r="E545" s="129"/>
      <c r="F545" s="129" t="s">
        <v>3816</v>
      </c>
      <c r="G545" s="192">
        <v>117817</v>
      </c>
      <c r="H545" s="139" t="s">
        <v>3817</v>
      </c>
      <c r="I545" s="139" t="s">
        <v>3817</v>
      </c>
      <c r="J545" s="139" t="s">
        <v>3818</v>
      </c>
      <c r="K545" s="139" t="s">
        <v>357</v>
      </c>
      <c r="L545" s="139" t="s">
        <v>5527</v>
      </c>
      <c r="M545" s="138" t="s">
        <v>2342</v>
      </c>
      <c r="N545" s="138" t="s">
        <v>2342</v>
      </c>
      <c r="O545" s="139"/>
      <c r="P545" s="138"/>
      <c r="Q545" s="138"/>
      <c r="R545" s="138"/>
      <c r="S545" s="138"/>
      <c r="T545" s="130">
        <v>390.56</v>
      </c>
      <c r="U545" s="187">
        <v>6.9131503482179439E-4</v>
      </c>
      <c r="V545" s="187">
        <v>2.8984022941417452E-6</v>
      </c>
      <c r="W545" s="187">
        <v>2.6302679918953787E-4</v>
      </c>
      <c r="X545" s="187">
        <v>6.9131503482179439E-4</v>
      </c>
      <c r="Y545" s="194">
        <v>7</v>
      </c>
      <c r="Z545" s="130">
        <v>8.39</v>
      </c>
      <c r="AA545" s="130">
        <v>7.6</v>
      </c>
      <c r="AB545" s="130">
        <v>7.44</v>
      </c>
      <c r="AC545" s="130">
        <v>0.71960000000000002</v>
      </c>
      <c r="AD545" s="130">
        <v>7.91</v>
      </c>
      <c r="AE545" s="130">
        <v>8.7100000000000009</v>
      </c>
      <c r="AF545" s="130">
        <f t="shared" si="195"/>
        <v>7.6</v>
      </c>
      <c r="AG545" s="131">
        <v>7.11</v>
      </c>
      <c r="AH545" s="187">
        <v>1.1800000000000001E-5</v>
      </c>
      <c r="AI545" s="187">
        <v>2.7000000000000001E-7</v>
      </c>
      <c r="AJ545" s="136">
        <f t="shared" si="193"/>
        <v>-3.3166843190065265</v>
      </c>
      <c r="AK545" s="136">
        <f>LOG10(AI545*1000/(0.08206*298.15))</f>
        <v>-4.9572025621536646</v>
      </c>
      <c r="AL545" s="136">
        <f t="shared" si="194"/>
        <v>-4.9572025621536646</v>
      </c>
      <c r="AM545" s="136">
        <v>-10.153320000000001</v>
      </c>
      <c r="AN545" s="193">
        <v>-3.61</v>
      </c>
      <c r="AO545" s="481"/>
      <c r="AP545" s="481"/>
      <c r="AQ545" s="193" t="s">
        <v>6311</v>
      </c>
      <c r="AR545" s="193" t="s">
        <v>6312</v>
      </c>
      <c r="AS545" s="191" t="s">
        <v>6</v>
      </c>
      <c r="AT545" s="132" t="s">
        <v>266</v>
      </c>
      <c r="AU545" s="130">
        <v>8</v>
      </c>
      <c r="AV545" s="130">
        <v>144</v>
      </c>
      <c r="AW545" s="130">
        <v>120</v>
      </c>
      <c r="AX545" s="130">
        <v>26</v>
      </c>
      <c r="AY545" s="130" t="s">
        <v>267</v>
      </c>
      <c r="AZ545" s="130" t="s">
        <v>2253</v>
      </c>
      <c r="BA545" s="130">
        <v>2</v>
      </c>
      <c r="BB545" s="139" t="s">
        <v>2254</v>
      </c>
      <c r="BC545" s="139" t="s">
        <v>270</v>
      </c>
      <c r="BD545" s="139" t="s">
        <v>8374</v>
      </c>
      <c r="BE545" s="130" t="s">
        <v>1712</v>
      </c>
      <c r="BF545" s="130" t="s">
        <v>272</v>
      </c>
      <c r="BG545" s="130" t="s">
        <v>272</v>
      </c>
      <c r="BH545" s="130" t="s">
        <v>2255</v>
      </c>
      <c r="BI545" s="187">
        <v>9.9999999999999995E-7</v>
      </c>
      <c r="BJ545" s="187">
        <v>0.08</v>
      </c>
      <c r="BK545" s="130"/>
      <c r="BL545" s="187">
        <f t="shared" si="196"/>
        <v>1.4987907357816669E-6</v>
      </c>
      <c r="BM545" s="130" t="s">
        <v>891</v>
      </c>
      <c r="BN545" s="194"/>
      <c r="BO545" s="194"/>
      <c r="BP545" s="194"/>
      <c r="BQ545" s="194"/>
      <c r="BR545" s="194"/>
      <c r="BS545" s="130"/>
      <c r="BT545" s="194"/>
      <c r="BU545" s="195"/>
      <c r="BV545" s="194"/>
      <c r="BW545" s="194"/>
      <c r="BX545" s="194"/>
      <c r="BY545" s="194"/>
      <c r="BZ545" s="194"/>
      <c r="CA545" s="194"/>
      <c r="CB545" s="194"/>
      <c r="CC545" s="130"/>
      <c r="CD545" s="130"/>
      <c r="CE545" s="130"/>
      <c r="CF545" s="130"/>
      <c r="CG545" s="194"/>
      <c r="CH545" s="130"/>
      <c r="CI545" s="187"/>
      <c r="CJ545" s="187"/>
      <c r="CK545" s="131">
        <f t="shared" si="192"/>
        <v>1.8734884197270835E-5</v>
      </c>
      <c r="CL545" s="188"/>
      <c r="CM545" s="188"/>
      <c r="CN545" s="188"/>
      <c r="CO545" s="139" t="s">
        <v>892</v>
      </c>
      <c r="CP545" s="139" t="s">
        <v>893</v>
      </c>
      <c r="CQ545" s="191">
        <v>-0.13680866778072365</v>
      </c>
      <c r="CR545" s="191">
        <f>10^(CJ545-CQ545)</f>
        <v>1.3702779452733251</v>
      </c>
      <c r="CS545" s="135" t="s">
        <v>539</v>
      </c>
      <c r="CT545" s="135"/>
      <c r="CU545" s="135"/>
      <c r="CV545" s="332">
        <f t="shared" si="197"/>
        <v>8.641437935272429E-3</v>
      </c>
      <c r="CW545" s="329">
        <f t="shared" si="190"/>
        <v>0</v>
      </c>
      <c r="CX545" s="329" t="s">
        <v>539</v>
      </c>
      <c r="CY545" s="189" t="s">
        <v>6351</v>
      </c>
    </row>
    <row r="546" spans="1:103" ht="11.25" customHeight="1" x14ac:dyDescent="0.2">
      <c r="A546" s="72">
        <v>544</v>
      </c>
      <c r="B546" s="183">
        <v>1357</v>
      </c>
      <c r="C546" s="133" t="s">
        <v>6826</v>
      </c>
      <c r="D546" s="133"/>
      <c r="E546" s="134"/>
      <c r="F546" s="134" t="s">
        <v>4195</v>
      </c>
      <c r="G546" s="184">
        <v>112709</v>
      </c>
      <c r="H546" s="138" t="s">
        <v>4196</v>
      </c>
      <c r="I546" s="138" t="s">
        <v>4196</v>
      </c>
      <c r="J546" s="138" t="s">
        <v>4197</v>
      </c>
      <c r="K546" s="138" t="s">
        <v>426</v>
      </c>
      <c r="L546" s="138"/>
      <c r="M546" s="138"/>
      <c r="N546" s="138"/>
      <c r="O546" s="138"/>
      <c r="P546" s="138" t="s">
        <v>6183</v>
      </c>
      <c r="Q546" s="138" t="s">
        <v>6173</v>
      </c>
      <c r="R546" s="138" t="s">
        <v>6185</v>
      </c>
      <c r="S546" s="138" t="s">
        <v>6182</v>
      </c>
      <c r="T546" s="135">
        <v>200.36</v>
      </c>
      <c r="U546" s="185"/>
      <c r="V546" s="185">
        <v>2.2624276302655223E-2</v>
      </c>
      <c r="W546" s="185">
        <v>9.5499258602143589E-3</v>
      </c>
      <c r="X546" s="185">
        <f>IF(W546=0,V546,W546)</f>
        <v>9.5499258602143589E-3</v>
      </c>
      <c r="Y546" s="204">
        <v>7</v>
      </c>
      <c r="Z546" s="135">
        <v>5.26</v>
      </c>
      <c r="AA546" s="135"/>
      <c r="AB546" s="135">
        <v>5.91</v>
      </c>
      <c r="AC546" s="135">
        <v>0.89939999999999998</v>
      </c>
      <c r="AD546" s="135">
        <v>5.85</v>
      </c>
      <c r="AE546" s="135">
        <v>5.66</v>
      </c>
      <c r="AF546" s="135">
        <f t="shared" si="195"/>
        <v>5.85</v>
      </c>
      <c r="AG546" s="136">
        <v>4.8499999999999996</v>
      </c>
      <c r="AH546" s="185">
        <v>1.2799999999999999E-4</v>
      </c>
      <c r="AI546" s="185"/>
      <c r="AJ546" s="136">
        <f t="shared" si="193"/>
        <v>-2.2813563566647836</v>
      </c>
      <c r="AK546" s="136"/>
      <c r="AL546" s="136">
        <f t="shared" si="194"/>
        <v>-2.2813563566647836</v>
      </c>
      <c r="AM546" s="136">
        <v>-4.5736400000000001</v>
      </c>
      <c r="AN546" s="186">
        <v>-2.12</v>
      </c>
      <c r="AO546" s="481">
        <v>15.2</v>
      </c>
      <c r="AP546" s="481"/>
      <c r="AQ546" s="135" t="s">
        <v>6311</v>
      </c>
      <c r="AR546" s="135" t="s">
        <v>6311</v>
      </c>
      <c r="AS546" s="190"/>
      <c r="AT546" s="137" t="s">
        <v>266</v>
      </c>
      <c r="AU546" s="135">
        <v>6</v>
      </c>
      <c r="AV546" s="135">
        <v>120</v>
      </c>
      <c r="AW546" s="135">
        <v>114</v>
      </c>
      <c r="AX546" s="135">
        <v>28</v>
      </c>
      <c r="AY546" s="135" t="s">
        <v>8728</v>
      </c>
      <c r="AZ546" s="135" t="s">
        <v>1563</v>
      </c>
      <c r="BA546" s="135">
        <v>32</v>
      </c>
      <c r="BB546" s="138" t="s">
        <v>2485</v>
      </c>
      <c r="BC546" s="138" t="s">
        <v>8726</v>
      </c>
      <c r="BD546" s="138" t="s">
        <v>8374</v>
      </c>
      <c r="BE546" s="135" t="s">
        <v>2449</v>
      </c>
      <c r="BF546" s="135" t="s">
        <v>272</v>
      </c>
      <c r="BG546" s="135" t="s">
        <v>272</v>
      </c>
      <c r="BH546" s="135" t="s">
        <v>2486</v>
      </c>
      <c r="BI546" s="185">
        <v>6.3999999999999997E-6</v>
      </c>
      <c r="BJ546" s="185">
        <v>6.4000000000000001E-2</v>
      </c>
      <c r="BK546" s="135"/>
      <c r="BL546" s="185">
        <f t="shared" si="196"/>
        <v>9.7004973195906623E-4</v>
      </c>
      <c r="BM546" s="138" t="s">
        <v>2487</v>
      </c>
      <c r="BN546" s="135"/>
      <c r="BO546" s="135"/>
      <c r="BP546" s="135"/>
      <c r="BQ546" s="135"/>
      <c r="BR546" s="138" t="s">
        <v>2496</v>
      </c>
      <c r="BS546" s="135"/>
      <c r="BT546" s="135"/>
      <c r="BU546" s="135"/>
      <c r="BV546" s="135"/>
      <c r="BW546" s="135"/>
      <c r="BX546" s="135"/>
      <c r="BY546" s="135"/>
      <c r="BZ546" s="135"/>
      <c r="CA546" s="135"/>
      <c r="CB546" s="135"/>
      <c r="CC546" s="135"/>
      <c r="CD546" s="135"/>
      <c r="CE546" s="135"/>
      <c r="CF546" s="135"/>
      <c r="CG546" s="135"/>
      <c r="CH546" s="135"/>
      <c r="CI546" s="185"/>
      <c r="CJ546" s="187"/>
      <c r="CK546" s="136">
        <f t="shared" si="192"/>
        <v>1.5157027061860409E-2</v>
      </c>
      <c r="CL546" s="188"/>
      <c r="CM546" s="188"/>
      <c r="CN546" s="188"/>
      <c r="CO546" s="138" t="s">
        <v>2488</v>
      </c>
      <c r="CP546" s="138" t="s">
        <v>2489</v>
      </c>
      <c r="CQ546" s="191" t="s">
        <v>272</v>
      </c>
      <c r="CR546" s="191"/>
      <c r="CS546" s="135" t="s">
        <v>539</v>
      </c>
      <c r="CT546" s="135"/>
      <c r="CU546" s="135"/>
      <c r="CV546" s="332">
        <f t="shared" si="197"/>
        <v>0.14921759156584935</v>
      </c>
      <c r="CW546" s="329">
        <f t="shared" si="190"/>
        <v>0</v>
      </c>
      <c r="CX546" s="329"/>
      <c r="CY546" s="189" t="s">
        <v>5921</v>
      </c>
    </row>
    <row r="547" spans="1:103" ht="11.25" customHeight="1" x14ac:dyDescent="0.2">
      <c r="A547" s="72">
        <v>545</v>
      </c>
      <c r="B547" s="183">
        <v>917</v>
      </c>
      <c r="C547" s="133" t="s">
        <v>6827</v>
      </c>
      <c r="D547" s="133"/>
      <c r="E547" s="134"/>
      <c r="F547" s="134" t="s">
        <v>2619</v>
      </c>
      <c r="G547" s="184">
        <v>112721</v>
      </c>
      <c r="H547" s="138" t="s">
        <v>2620</v>
      </c>
      <c r="I547" s="138" t="s">
        <v>2620</v>
      </c>
      <c r="J547" s="138" t="s">
        <v>2621</v>
      </c>
      <c r="K547" s="138" t="s">
        <v>426</v>
      </c>
      <c r="L547" s="138"/>
      <c r="M547" s="138"/>
      <c r="N547" s="138"/>
      <c r="O547" s="138"/>
      <c r="P547" s="138" t="s">
        <v>6183</v>
      </c>
      <c r="Q547" s="138" t="s">
        <v>6173</v>
      </c>
      <c r="R547" s="138" t="s">
        <v>6185</v>
      </c>
      <c r="S547" s="138" t="s">
        <v>6182</v>
      </c>
      <c r="T547" s="135">
        <v>214.39</v>
      </c>
      <c r="U547" s="185">
        <v>8.9089976211577035E-4</v>
      </c>
      <c r="V547" s="185">
        <v>3.9409487382807036E-3</v>
      </c>
      <c r="W547" s="185">
        <v>2.0892961308540377E-3</v>
      </c>
      <c r="X547" s="185">
        <v>8.9089976211577035E-4</v>
      </c>
      <c r="Y547" s="204">
        <v>7</v>
      </c>
      <c r="Z547" s="135">
        <v>5.75</v>
      </c>
      <c r="AA547" s="135">
        <v>6.03</v>
      </c>
      <c r="AB547" s="135">
        <v>6.21</v>
      </c>
      <c r="AC547" s="135">
        <v>0.90280000000000005</v>
      </c>
      <c r="AD547" s="135">
        <v>6.21</v>
      </c>
      <c r="AE547" s="135">
        <v>6.19</v>
      </c>
      <c r="AF547" s="135">
        <f t="shared" si="195"/>
        <v>6.03</v>
      </c>
      <c r="AG547" s="136">
        <v>5.29</v>
      </c>
      <c r="AH547" s="185">
        <v>1.7000000000000001E-4</v>
      </c>
      <c r="AI547" s="185">
        <v>1.6000000000000001E-4</v>
      </c>
      <c r="AJ547" s="136">
        <f t="shared" si="193"/>
        <v>-2.1581174049343779</v>
      </c>
      <c r="AK547" s="136">
        <f>LOG10(AI547*1000/(0.08206*298.15))</f>
        <v>-2.184446343656727</v>
      </c>
      <c r="AL547" s="136">
        <f t="shared" si="194"/>
        <v>-2.184446343656727</v>
      </c>
      <c r="AM547" s="136">
        <v>-4.7075700000000005</v>
      </c>
      <c r="AN547" s="186">
        <v>-1.99</v>
      </c>
      <c r="AO547" s="481">
        <v>15.2</v>
      </c>
      <c r="AP547" s="481"/>
      <c r="AQ547" s="135" t="s">
        <v>6311</v>
      </c>
      <c r="AR547" s="135" t="s">
        <v>6311</v>
      </c>
      <c r="AS547" s="190"/>
      <c r="AT547" s="137" t="s">
        <v>266</v>
      </c>
      <c r="AU547" s="135">
        <v>6</v>
      </c>
      <c r="AV547" s="135">
        <v>120</v>
      </c>
      <c r="AW547" s="135">
        <v>114</v>
      </c>
      <c r="AX547" s="135">
        <v>28</v>
      </c>
      <c r="AY547" s="135" t="s">
        <v>8728</v>
      </c>
      <c r="AZ547" s="135" t="s">
        <v>1563</v>
      </c>
      <c r="BA547" s="135">
        <v>32</v>
      </c>
      <c r="BB547" s="138" t="s">
        <v>2485</v>
      </c>
      <c r="BC547" s="138" t="s">
        <v>8726</v>
      </c>
      <c r="BD547" s="138" t="s">
        <v>8374</v>
      </c>
      <c r="BE547" s="135" t="s">
        <v>2449</v>
      </c>
      <c r="BF547" s="135" t="s">
        <v>272</v>
      </c>
      <c r="BG547" s="135" t="s">
        <v>272</v>
      </c>
      <c r="BH547" s="135" t="s">
        <v>2486</v>
      </c>
      <c r="BI547" s="185">
        <v>6.3999999999999997E-6</v>
      </c>
      <c r="BJ547" s="185">
        <v>6.4000000000000001E-2</v>
      </c>
      <c r="BK547" s="135"/>
      <c r="BL547" s="185">
        <f t="shared" si="196"/>
        <v>3.5214781659360505E-4</v>
      </c>
      <c r="BM547" s="138" t="s">
        <v>2487</v>
      </c>
      <c r="BN547" s="135"/>
      <c r="BO547" s="135"/>
      <c r="BP547" s="135"/>
      <c r="BQ547" s="135"/>
      <c r="BR547" s="138" t="s">
        <v>2496</v>
      </c>
      <c r="BS547" s="135"/>
      <c r="BT547" s="135"/>
      <c r="BU547" s="135">
        <v>6.4000000000000005E-4</v>
      </c>
      <c r="BV547" s="135"/>
      <c r="BW547" s="135"/>
      <c r="BX547" s="135"/>
      <c r="BY547" s="135"/>
      <c r="BZ547" s="135"/>
      <c r="CA547" s="135"/>
      <c r="CB547" s="135"/>
      <c r="CC547" s="135"/>
      <c r="CD547" s="135"/>
      <c r="CE547" s="135"/>
      <c r="CF547" s="135"/>
      <c r="CG547" s="135"/>
      <c r="CH547" s="135"/>
      <c r="CI547" s="185"/>
      <c r="CJ547" s="187"/>
      <c r="CK547" s="136">
        <f t="shared" si="192"/>
        <v>5.502309634275079E-3</v>
      </c>
      <c r="CL547" s="188"/>
      <c r="CM547" s="188"/>
      <c r="CN547" s="188"/>
      <c r="CO547" s="138" t="s">
        <v>2488</v>
      </c>
      <c r="CP547" s="138" t="s">
        <v>2489</v>
      </c>
      <c r="CQ547" s="191" t="s">
        <v>272</v>
      </c>
      <c r="CR547" s="191"/>
      <c r="CS547" s="135" t="s">
        <v>539</v>
      </c>
      <c r="CT547" s="135"/>
      <c r="CU547" s="135"/>
      <c r="CV547" s="332">
        <f t="shared" si="197"/>
        <v>1.3920308783058912E-2</v>
      </c>
      <c r="CW547" s="329">
        <f t="shared" si="190"/>
        <v>0</v>
      </c>
      <c r="CX547" s="329"/>
      <c r="CY547" s="189" t="s">
        <v>6351</v>
      </c>
    </row>
    <row r="548" spans="1:103" ht="11.25" customHeight="1" x14ac:dyDescent="0.2">
      <c r="A548" s="72">
        <v>546</v>
      </c>
      <c r="B548" s="183">
        <v>1587</v>
      </c>
      <c r="C548" s="133" t="s">
        <v>4741</v>
      </c>
      <c r="D548" s="133" t="s">
        <v>6825</v>
      </c>
      <c r="E548" s="134"/>
      <c r="F548" s="134" t="s">
        <v>3816</v>
      </c>
      <c r="G548" s="184">
        <v>117817</v>
      </c>
      <c r="H548" s="138" t="s">
        <v>3817</v>
      </c>
      <c r="I548" s="138" t="s">
        <v>3817</v>
      </c>
      <c r="J548" s="138" t="s">
        <v>3818</v>
      </c>
      <c r="K548" s="138" t="s">
        <v>357</v>
      </c>
      <c r="L548" s="138" t="s">
        <v>5527</v>
      </c>
      <c r="M548" s="138" t="s">
        <v>2342</v>
      </c>
      <c r="N548" s="138" t="s">
        <v>2342</v>
      </c>
      <c r="O548" s="138"/>
      <c r="P548" s="138"/>
      <c r="Q548" s="138"/>
      <c r="R548" s="138"/>
      <c r="S548" s="138"/>
      <c r="T548" s="135">
        <v>390.56</v>
      </c>
      <c r="U548" s="185">
        <v>6.9131503482179439E-4</v>
      </c>
      <c r="V548" s="185">
        <v>2.8984022941417452E-6</v>
      </c>
      <c r="W548" s="185">
        <v>2.6302679918953787E-4</v>
      </c>
      <c r="X548" s="185">
        <v>6.9131503482179439E-4</v>
      </c>
      <c r="Y548" s="204">
        <v>7</v>
      </c>
      <c r="Z548" s="135">
        <v>8.39</v>
      </c>
      <c r="AA548" s="135">
        <v>7.6</v>
      </c>
      <c r="AB548" s="135">
        <v>7.44</v>
      </c>
      <c r="AC548" s="135">
        <v>0.71960000000000002</v>
      </c>
      <c r="AD548" s="135">
        <v>7.91</v>
      </c>
      <c r="AE548" s="135">
        <v>8.7100000000000009</v>
      </c>
      <c r="AF548" s="135">
        <f t="shared" si="195"/>
        <v>7.6</v>
      </c>
      <c r="AG548" s="136">
        <v>7.11</v>
      </c>
      <c r="AH548" s="185">
        <v>1.1800000000000001E-5</v>
      </c>
      <c r="AI548" s="185">
        <v>2.7000000000000001E-7</v>
      </c>
      <c r="AJ548" s="136">
        <f t="shared" si="193"/>
        <v>-3.3166843190065265</v>
      </c>
      <c r="AK548" s="136">
        <f>LOG10(AI548*1000/(0.08206*298.15))</f>
        <v>-4.9572025621536646</v>
      </c>
      <c r="AL548" s="136">
        <f t="shared" si="194"/>
        <v>-4.9572025621536646</v>
      </c>
      <c r="AM548" s="136">
        <v>-10.153320000000001</v>
      </c>
      <c r="AN548" s="186">
        <v>-3.61</v>
      </c>
      <c r="AO548" s="481"/>
      <c r="AP548" s="481"/>
      <c r="AQ548" s="135" t="s">
        <v>6311</v>
      </c>
      <c r="AR548" s="135" t="s">
        <v>6312</v>
      </c>
      <c r="AS548" s="190"/>
      <c r="AT548" s="137" t="s">
        <v>266</v>
      </c>
      <c r="AU548" s="135">
        <v>6</v>
      </c>
      <c r="AV548" s="135">
        <v>120</v>
      </c>
      <c r="AW548" s="135">
        <v>114</v>
      </c>
      <c r="AX548" s="135">
        <v>28</v>
      </c>
      <c r="AY548" s="135" t="s">
        <v>8728</v>
      </c>
      <c r="AZ548" s="135" t="s">
        <v>1563</v>
      </c>
      <c r="BA548" s="135">
        <v>32</v>
      </c>
      <c r="BB548" s="138" t="s">
        <v>2485</v>
      </c>
      <c r="BC548" s="138" t="s">
        <v>8726</v>
      </c>
      <c r="BD548" s="138" t="s">
        <v>8374</v>
      </c>
      <c r="BE548" s="135" t="s">
        <v>2449</v>
      </c>
      <c r="BF548" s="135" t="s">
        <v>272</v>
      </c>
      <c r="BG548" s="135" t="s">
        <v>272</v>
      </c>
      <c r="BH548" s="135" t="s">
        <v>2486</v>
      </c>
      <c r="BI548" s="185">
        <v>6.3999999999999997E-6</v>
      </c>
      <c r="BJ548" s="185">
        <v>6.4000000000000001E-2</v>
      </c>
      <c r="BK548" s="135"/>
      <c r="BL548" s="185">
        <f t="shared" si="196"/>
        <v>1.4987907357816669E-6</v>
      </c>
      <c r="BM548" s="138" t="s">
        <v>2487</v>
      </c>
      <c r="BN548" s="135"/>
      <c r="BO548" s="135"/>
      <c r="BP548" s="135"/>
      <c r="BQ548" s="135"/>
      <c r="BR548" s="138" t="s">
        <v>2496</v>
      </c>
      <c r="BS548" s="135"/>
      <c r="BT548" s="135"/>
      <c r="BU548" s="135"/>
      <c r="BV548" s="135"/>
      <c r="BW548" s="135"/>
      <c r="BX548" s="135"/>
      <c r="BY548" s="135"/>
      <c r="BZ548" s="135"/>
      <c r="CA548" s="135"/>
      <c r="CB548" s="135"/>
      <c r="CC548" s="135"/>
      <c r="CD548" s="135"/>
      <c r="CE548" s="135"/>
      <c r="CF548" s="135"/>
      <c r="CG548" s="135"/>
      <c r="CH548" s="135"/>
      <c r="CI548" s="185"/>
      <c r="CJ548" s="187"/>
      <c r="CK548" s="136">
        <f t="shared" si="192"/>
        <v>2.3418605246588543E-5</v>
      </c>
      <c r="CL548" s="188"/>
      <c r="CM548" s="188"/>
      <c r="CN548" s="188"/>
      <c r="CO548" s="138" t="s">
        <v>2488</v>
      </c>
      <c r="CP548" s="138" t="s">
        <v>2489</v>
      </c>
      <c r="CQ548" s="183">
        <v>-0.13680866778072365</v>
      </c>
      <c r="CR548" s="191">
        <f>10^(CJ548-CQ548)</f>
        <v>1.3702779452733251</v>
      </c>
      <c r="CS548" s="135" t="s">
        <v>539</v>
      </c>
      <c r="CT548" s="135"/>
      <c r="CU548" s="135"/>
      <c r="CV548" s="332">
        <f t="shared" si="197"/>
        <v>1.0801797419090537E-2</v>
      </c>
      <c r="CW548" s="329">
        <f t="shared" si="190"/>
        <v>0</v>
      </c>
      <c r="CX548" s="329"/>
      <c r="CY548" s="189" t="s">
        <v>6351</v>
      </c>
    </row>
    <row r="549" spans="1:103" ht="11.25" customHeight="1" x14ac:dyDescent="0.2">
      <c r="A549" s="72">
        <v>547</v>
      </c>
      <c r="B549" s="183">
        <v>1064</v>
      </c>
      <c r="C549" s="133" t="s">
        <v>1047</v>
      </c>
      <c r="D549" s="133" t="s">
        <v>6503</v>
      </c>
      <c r="E549" s="134"/>
      <c r="F549" s="134" t="s">
        <v>1048</v>
      </c>
      <c r="G549" s="184">
        <v>5598130</v>
      </c>
      <c r="H549" s="138" t="s">
        <v>1049</v>
      </c>
      <c r="I549" s="138" t="s">
        <v>7928</v>
      </c>
      <c r="J549" s="138" t="s">
        <v>1050</v>
      </c>
      <c r="K549" s="138" t="s">
        <v>1040</v>
      </c>
      <c r="L549" s="138" t="s">
        <v>617</v>
      </c>
      <c r="M549" s="138" t="s">
        <v>946</v>
      </c>
      <c r="N549" s="138" t="s">
        <v>6376</v>
      </c>
      <c r="O549" s="138" t="s">
        <v>918</v>
      </c>
      <c r="P549" s="138"/>
      <c r="Q549" s="138"/>
      <c r="R549" s="138"/>
      <c r="S549" s="138"/>
      <c r="T549" s="135">
        <v>322.52999999999997</v>
      </c>
      <c r="U549" s="185">
        <v>1.4758317055777757E-2</v>
      </c>
      <c r="V549" s="185">
        <v>5.8506185471118967E-3</v>
      </c>
      <c r="W549" s="185">
        <v>2.1877616239495488E-2</v>
      </c>
      <c r="X549" s="185">
        <v>1.4758317055777757E-2</v>
      </c>
      <c r="Y549" s="204">
        <v>7</v>
      </c>
      <c r="Z549" s="135">
        <v>4.13</v>
      </c>
      <c r="AA549" s="135">
        <v>4.3099999999999996</v>
      </c>
      <c r="AB549" s="135">
        <v>4.3</v>
      </c>
      <c r="AC549" s="135">
        <v>0.86850000000000005</v>
      </c>
      <c r="AD549" s="135">
        <v>4.17</v>
      </c>
      <c r="AE549" s="135">
        <v>3.71</v>
      </c>
      <c r="AF549" s="135">
        <f t="shared" si="195"/>
        <v>4.3099999999999996</v>
      </c>
      <c r="AG549" s="136">
        <v>4.43</v>
      </c>
      <c r="AH549" s="185">
        <v>1.4300000000000001E-6</v>
      </c>
      <c r="AI549" s="185">
        <v>3.7500000000000001E-6</v>
      </c>
      <c r="AJ549" s="136">
        <f t="shared" si="193"/>
        <v>-4.2332302888475901</v>
      </c>
      <c r="AK549" s="136">
        <f>LOG10(AI549*1000/(0.08206*298.15))</f>
        <v>-3.8145350585849327</v>
      </c>
      <c r="AL549" s="136">
        <f t="shared" si="194"/>
        <v>-3.8145350585849327</v>
      </c>
      <c r="AM549" s="136">
        <v>-10.934170000000002</v>
      </c>
      <c r="AN549" s="186">
        <v>-2.9</v>
      </c>
      <c r="AO549" s="481"/>
      <c r="AP549" s="481">
        <v>-5.59</v>
      </c>
      <c r="AQ549" s="135" t="s">
        <v>6312</v>
      </c>
      <c r="AR549" s="135" t="s">
        <v>6312</v>
      </c>
      <c r="AS549" s="190"/>
      <c r="AT549" s="137" t="s">
        <v>266</v>
      </c>
      <c r="AU549" s="135">
        <v>6</v>
      </c>
      <c r="AV549" s="135">
        <v>120</v>
      </c>
      <c r="AW549" s="135">
        <v>114</v>
      </c>
      <c r="AX549" s="135">
        <v>28</v>
      </c>
      <c r="AY549" s="135" t="s">
        <v>8728</v>
      </c>
      <c r="AZ549" s="135" t="s">
        <v>1563</v>
      </c>
      <c r="BA549" s="135">
        <v>32</v>
      </c>
      <c r="BB549" s="138" t="s">
        <v>2485</v>
      </c>
      <c r="BC549" s="138" t="s">
        <v>8726</v>
      </c>
      <c r="BD549" s="138" t="s">
        <v>8374</v>
      </c>
      <c r="BE549" s="135" t="s">
        <v>2449</v>
      </c>
      <c r="BF549" s="135" t="s">
        <v>272</v>
      </c>
      <c r="BG549" s="135" t="s">
        <v>272</v>
      </c>
      <c r="BH549" s="135" t="s">
        <v>2486</v>
      </c>
      <c r="BI549" s="185">
        <v>6.3999999999999997E-6</v>
      </c>
      <c r="BJ549" s="185">
        <v>6.4000000000000001E-2</v>
      </c>
      <c r="BK549" s="135"/>
      <c r="BL549" s="185">
        <f t="shared" si="196"/>
        <v>1.0037995577353173E-2</v>
      </c>
      <c r="BM549" s="138" t="s">
        <v>2487</v>
      </c>
      <c r="BN549" s="135"/>
      <c r="BO549" s="135"/>
      <c r="BP549" s="135"/>
      <c r="BQ549" s="135"/>
      <c r="BR549" s="138" t="s">
        <v>2496</v>
      </c>
      <c r="BS549" s="135"/>
      <c r="BT549" s="135"/>
      <c r="BU549" s="135">
        <v>6.4000000000000001E-2</v>
      </c>
      <c r="BV549" s="135"/>
      <c r="BW549" s="135"/>
      <c r="BX549" s="135"/>
      <c r="BY549" s="135"/>
      <c r="BZ549" s="135"/>
      <c r="CA549" s="135"/>
      <c r="CB549" s="135"/>
      <c r="CC549" s="135"/>
      <c r="CD549" s="135"/>
      <c r="CE549" s="135"/>
      <c r="CF549" s="135"/>
      <c r="CG549" s="135"/>
      <c r="CH549" s="135"/>
      <c r="CI549" s="185"/>
      <c r="CJ549" s="187"/>
      <c r="CK549" s="136">
        <f t="shared" si="192"/>
        <v>0.15684368089614334</v>
      </c>
      <c r="CL549" s="188"/>
      <c r="CM549" s="188">
        <v>-3.6225306876593688</v>
      </c>
      <c r="CN549" s="188">
        <f>BJ549/(10^CM549)</f>
        <v>268.35559946900941</v>
      </c>
      <c r="CO549" s="138" t="s">
        <v>2488</v>
      </c>
      <c r="CP549" s="138" t="s">
        <v>2489</v>
      </c>
      <c r="CQ549" s="183">
        <v>-3.2218039860237933</v>
      </c>
      <c r="CR549" s="191">
        <f>10^(CJ549-CQ549)</f>
        <v>1666.4948888846509</v>
      </c>
      <c r="CS549" s="135" t="s">
        <v>539</v>
      </c>
      <c r="CT549" s="135"/>
      <c r="CU549" s="135"/>
      <c r="CV549" s="332">
        <f t="shared" si="197"/>
        <v>0.23059870399652746</v>
      </c>
      <c r="CW549" s="329">
        <f t="shared" si="190"/>
        <v>0</v>
      </c>
      <c r="CX549" s="329"/>
      <c r="CY549" s="189" t="s">
        <v>5921</v>
      </c>
    </row>
    <row r="550" spans="1:103" ht="11.25" customHeight="1" x14ac:dyDescent="0.2">
      <c r="A550" s="72">
        <v>548</v>
      </c>
      <c r="B550" s="183">
        <v>1553</v>
      </c>
      <c r="C550" s="133" t="s">
        <v>4686</v>
      </c>
      <c r="D550" s="133" t="s">
        <v>6499</v>
      </c>
      <c r="E550" s="134"/>
      <c r="F550" s="134" t="s">
        <v>1037</v>
      </c>
      <c r="G550" s="184">
        <v>2921882</v>
      </c>
      <c r="H550" s="138" t="s">
        <v>1038</v>
      </c>
      <c r="I550" s="138" t="s">
        <v>7929</v>
      </c>
      <c r="J550" s="138" t="s">
        <v>1039</v>
      </c>
      <c r="K550" s="138" t="s">
        <v>1040</v>
      </c>
      <c r="L550" s="138" t="s">
        <v>617</v>
      </c>
      <c r="M550" s="138" t="s">
        <v>618</v>
      </c>
      <c r="N550" s="138" t="s">
        <v>6376</v>
      </c>
      <c r="O550" s="138" t="s">
        <v>1041</v>
      </c>
      <c r="P550" s="138" t="s">
        <v>6178</v>
      </c>
      <c r="Q550" s="138" t="s">
        <v>6173</v>
      </c>
      <c r="R550" s="138" t="s">
        <v>6177</v>
      </c>
      <c r="S550" s="138" t="s">
        <v>6176</v>
      </c>
      <c r="T550" s="135">
        <v>350.59</v>
      </c>
      <c r="U550" s="185">
        <v>3.1946147922074222E-3</v>
      </c>
      <c r="V550" s="185">
        <v>1.0182834650161157E-3</v>
      </c>
      <c r="W550" s="185">
        <v>4.0738027780411268E-3</v>
      </c>
      <c r="X550" s="185">
        <v>3.1946147922074222E-3</v>
      </c>
      <c r="Y550" s="204">
        <v>7</v>
      </c>
      <c r="Z550" s="135">
        <v>5.1100000000000003</v>
      </c>
      <c r="AA550" s="135">
        <v>4.96</v>
      </c>
      <c r="AB550" s="135">
        <v>4.79</v>
      </c>
      <c r="AC550" s="135">
        <v>0.86860000000000004</v>
      </c>
      <c r="AD550" s="135">
        <v>4.78</v>
      </c>
      <c r="AE550" s="135">
        <v>4.7699999999999996</v>
      </c>
      <c r="AF550" s="135">
        <f t="shared" si="195"/>
        <v>4.96</v>
      </c>
      <c r="AG550" s="136">
        <v>5.16</v>
      </c>
      <c r="AH550" s="185">
        <v>2.52E-6</v>
      </c>
      <c r="AI550" s="185">
        <v>2.9299999999999999E-6</v>
      </c>
      <c r="AJ550" s="136">
        <f t="shared" si="193"/>
        <v>-3.9871657855311078</v>
      </c>
      <c r="AK550" s="136">
        <f>LOG10(AI550*1000/(0.08206*298.15))</f>
        <v>-3.9216987059585424</v>
      </c>
      <c r="AL550" s="136">
        <f t="shared" si="194"/>
        <v>-3.9216987059585424</v>
      </c>
      <c r="AM550" s="136">
        <v>-11.220610000000001</v>
      </c>
      <c r="AN550" s="186">
        <v>-2.64</v>
      </c>
      <c r="AO550" s="481"/>
      <c r="AP550" s="481">
        <v>-5.28</v>
      </c>
      <c r="AQ550" s="135" t="s">
        <v>6312</v>
      </c>
      <c r="AR550" s="135" t="s">
        <v>6312</v>
      </c>
      <c r="AS550" s="190"/>
      <c r="AT550" s="137" t="s">
        <v>266</v>
      </c>
      <c r="AU550" s="135">
        <v>6</v>
      </c>
      <c r="AV550" s="135">
        <v>120</v>
      </c>
      <c r="AW550" s="135">
        <v>114</v>
      </c>
      <c r="AX550" s="135">
        <v>28</v>
      </c>
      <c r="AY550" s="135" t="s">
        <v>8728</v>
      </c>
      <c r="AZ550" s="135" t="s">
        <v>1563</v>
      </c>
      <c r="BA550" s="135">
        <v>32</v>
      </c>
      <c r="BB550" s="138" t="s">
        <v>2485</v>
      </c>
      <c r="BC550" s="138" t="s">
        <v>8726</v>
      </c>
      <c r="BD550" s="138" t="s">
        <v>8374</v>
      </c>
      <c r="BE550" s="135" t="s">
        <v>2449</v>
      </c>
      <c r="BF550" s="135" t="s">
        <v>272</v>
      </c>
      <c r="BG550" s="135" t="s">
        <v>272</v>
      </c>
      <c r="BH550" s="135" t="s">
        <v>2486</v>
      </c>
      <c r="BI550" s="185">
        <v>6.3999999999999997E-6</v>
      </c>
      <c r="BJ550" s="185">
        <v>6.4000000000000001E-2</v>
      </c>
      <c r="BK550" s="135"/>
      <c r="BL550" s="185">
        <f t="shared" si="196"/>
        <v>1.3228451213969966E-3</v>
      </c>
      <c r="BM550" s="138" t="s">
        <v>2487</v>
      </c>
      <c r="BN550" s="135"/>
      <c r="BO550" s="135"/>
      <c r="BP550" s="135"/>
      <c r="BQ550" s="135"/>
      <c r="BR550" s="138" t="s">
        <v>2496</v>
      </c>
      <c r="BS550" s="135"/>
      <c r="BT550" s="135"/>
      <c r="BU550" s="135"/>
      <c r="BV550" s="135"/>
      <c r="BW550" s="135"/>
      <c r="BX550" s="135"/>
      <c r="BY550" s="135"/>
      <c r="BZ550" s="135"/>
      <c r="CA550" s="135"/>
      <c r="CB550" s="135"/>
      <c r="CC550" s="135"/>
      <c r="CD550" s="135"/>
      <c r="CE550" s="135"/>
      <c r="CF550" s="135"/>
      <c r="CG550" s="135"/>
      <c r="CH550" s="135"/>
      <c r="CI550" s="185"/>
      <c r="CJ550" s="187"/>
      <c r="CK550" s="136">
        <f t="shared" si="192"/>
        <v>2.066945502182807E-2</v>
      </c>
      <c r="CL550" s="188"/>
      <c r="CM550" s="188">
        <v>-4.7871813037708</v>
      </c>
      <c r="CN550" s="188">
        <f>BJ550/(10^CM550)</f>
        <v>3920.6789209184149</v>
      </c>
      <c r="CO550" s="138" t="s">
        <v>2488</v>
      </c>
      <c r="CP550" s="138" t="s">
        <v>2489</v>
      </c>
      <c r="CQ550" s="183">
        <v>-4.1215484689214863</v>
      </c>
      <c r="CR550" s="191">
        <f>10^(CJ550-CQ550)</f>
        <v>13229.653477525637</v>
      </c>
      <c r="CS550" s="135" t="s">
        <v>539</v>
      </c>
      <c r="CT550" s="135"/>
      <c r="CU550" s="135"/>
      <c r="CV550" s="332">
        <f t="shared" si="197"/>
        <v>4.9915856128240968E-2</v>
      </c>
      <c r="CW550" s="329">
        <f t="shared" si="190"/>
        <v>0</v>
      </c>
      <c r="CX550" s="329"/>
      <c r="CY550" s="189" t="s">
        <v>5921</v>
      </c>
    </row>
    <row r="551" spans="1:103" ht="11.25" customHeight="1" x14ac:dyDescent="0.2">
      <c r="A551" s="72">
        <v>549</v>
      </c>
      <c r="B551" s="183">
        <v>1626</v>
      </c>
      <c r="C551" s="133" t="s">
        <v>6828</v>
      </c>
      <c r="D551" s="133"/>
      <c r="E551" s="134"/>
      <c r="F551" s="134" t="s">
        <v>4816</v>
      </c>
      <c r="G551" s="184">
        <v>117840</v>
      </c>
      <c r="H551" s="138" t="s">
        <v>4817</v>
      </c>
      <c r="I551" s="138" t="s">
        <v>4817</v>
      </c>
      <c r="J551" s="138" t="s">
        <v>4818</v>
      </c>
      <c r="K551" s="138" t="s">
        <v>357</v>
      </c>
      <c r="L551" s="138"/>
      <c r="M551" s="138"/>
      <c r="N551" s="138"/>
      <c r="O551" s="138"/>
      <c r="P551" s="138"/>
      <c r="Q551" s="138" t="s">
        <v>6173</v>
      </c>
      <c r="R551" s="138" t="s">
        <v>6174</v>
      </c>
      <c r="S551" s="138" t="s">
        <v>6176</v>
      </c>
      <c r="T551" s="135">
        <v>390.56</v>
      </c>
      <c r="U551" s="185">
        <v>5.6329373207701758E-5</v>
      </c>
      <c r="V551" s="185">
        <v>1.0845964768537485E-6</v>
      </c>
      <c r="W551" s="185">
        <v>2.137962089502228E-4</v>
      </c>
      <c r="X551" s="185">
        <v>5.6329373207701758E-5</v>
      </c>
      <c r="Y551" s="204">
        <v>7</v>
      </c>
      <c r="Z551" s="135">
        <v>8.5399999999999991</v>
      </c>
      <c r="AA551" s="135">
        <v>8.1</v>
      </c>
      <c r="AB551" s="135">
        <v>8.2799999999999994</v>
      </c>
      <c r="AC551" s="135">
        <v>0.79469999999999996</v>
      </c>
      <c r="AD551" s="135">
        <v>8.5299999999999994</v>
      </c>
      <c r="AE551" s="135">
        <v>9.08</v>
      </c>
      <c r="AF551" s="135">
        <f t="shared" si="195"/>
        <v>8.1</v>
      </c>
      <c r="AG551" s="136">
        <v>7.5</v>
      </c>
      <c r="AH551" s="185">
        <v>1.1800000000000001E-5</v>
      </c>
      <c r="AI551" s="185">
        <v>2.57E-6</v>
      </c>
      <c r="AJ551" s="136">
        <f t="shared" si="193"/>
        <v>-3.3166843190065265</v>
      </c>
      <c r="AK551" s="136">
        <f>LOG10(AI551*1000/(0.08206*298.15))</f>
        <v>-3.9786332029813574</v>
      </c>
      <c r="AL551" s="136">
        <f t="shared" si="194"/>
        <v>-3.9786332029813574</v>
      </c>
      <c r="AM551" s="136">
        <v>-9.9793199999999995</v>
      </c>
      <c r="AN551" s="186">
        <v>-3.61</v>
      </c>
      <c r="AO551" s="481"/>
      <c r="AP551" s="481"/>
      <c r="AQ551" s="186" t="s">
        <v>6311</v>
      </c>
      <c r="AR551" s="186" t="s">
        <v>6312</v>
      </c>
      <c r="AS551" s="183"/>
      <c r="AT551" s="137" t="s">
        <v>266</v>
      </c>
      <c r="AU551" s="135">
        <v>6</v>
      </c>
      <c r="AV551" s="135">
        <v>120</v>
      </c>
      <c r="AW551" s="135">
        <v>114</v>
      </c>
      <c r="AX551" s="135">
        <v>28</v>
      </c>
      <c r="AY551" s="135" t="s">
        <v>8728</v>
      </c>
      <c r="AZ551" s="135" t="s">
        <v>1563</v>
      </c>
      <c r="BA551" s="135">
        <v>32</v>
      </c>
      <c r="BB551" s="138" t="s">
        <v>2485</v>
      </c>
      <c r="BC551" s="138" t="s">
        <v>8726</v>
      </c>
      <c r="BD551" s="138" t="s">
        <v>8374</v>
      </c>
      <c r="BE551" s="135" t="s">
        <v>2449</v>
      </c>
      <c r="BF551" s="135" t="s">
        <v>272</v>
      </c>
      <c r="BG551" s="135" t="s">
        <v>272</v>
      </c>
      <c r="BH551" s="135" t="s">
        <v>2486</v>
      </c>
      <c r="BI551" s="185">
        <v>6.3999999999999997E-6</v>
      </c>
      <c r="BJ551" s="185">
        <v>6.4000000000000001E-2</v>
      </c>
      <c r="BK551" s="135"/>
      <c r="BL551" s="185">
        <f t="shared" si="196"/>
        <v>1.0990716358180628E-6</v>
      </c>
      <c r="BM551" s="138" t="s">
        <v>2487</v>
      </c>
      <c r="BN551" s="135"/>
      <c r="BO551" s="135"/>
      <c r="BP551" s="135"/>
      <c r="BQ551" s="135"/>
      <c r="BR551" s="138" t="s">
        <v>2496</v>
      </c>
      <c r="BS551" s="135"/>
      <c r="BT551" s="135"/>
      <c r="BU551" s="135"/>
      <c r="BV551" s="135"/>
      <c r="BW551" s="135"/>
      <c r="BX551" s="135"/>
      <c r="BY551" s="135"/>
      <c r="BZ551" s="135"/>
      <c r="CA551" s="135"/>
      <c r="CB551" s="135"/>
      <c r="CC551" s="135"/>
      <c r="CD551" s="135"/>
      <c r="CE551" s="135"/>
      <c r="CF551" s="135"/>
      <c r="CG551" s="135"/>
      <c r="CH551" s="135"/>
      <c r="CI551" s="185"/>
      <c r="CJ551" s="187"/>
      <c r="CK551" s="136">
        <f t="shared" si="192"/>
        <v>1.7172994309657231E-5</v>
      </c>
      <c r="CL551" s="188"/>
      <c r="CM551" s="188"/>
      <c r="CN551" s="188"/>
      <c r="CO551" s="138" t="s">
        <v>2488</v>
      </c>
      <c r="CP551" s="138" t="s">
        <v>2489</v>
      </c>
      <c r="CQ551" s="191" t="s">
        <v>272</v>
      </c>
      <c r="CR551" s="191"/>
      <c r="CS551" s="135" t="s">
        <v>539</v>
      </c>
      <c r="CT551" s="135"/>
      <c r="CU551" s="135"/>
      <c r="CV551" s="332">
        <f t="shared" si="197"/>
        <v>8.801464563703399E-4</v>
      </c>
      <c r="CW551" s="329">
        <f t="shared" si="190"/>
        <v>0</v>
      </c>
      <c r="CX551" s="329"/>
      <c r="CY551" s="189" t="s">
        <v>5921</v>
      </c>
    </row>
    <row r="552" spans="1:103" ht="11.25" customHeight="1" x14ac:dyDescent="0.2">
      <c r="A552" s="72">
        <v>550</v>
      </c>
      <c r="B552" s="183">
        <v>1413</v>
      </c>
      <c r="C552" s="133" t="s">
        <v>6829</v>
      </c>
      <c r="D552" s="133"/>
      <c r="E552" s="134"/>
      <c r="F552" s="134" t="s">
        <v>4348</v>
      </c>
      <c r="G552" s="184">
        <v>120956</v>
      </c>
      <c r="H552" s="138" t="s">
        <v>4349</v>
      </c>
      <c r="I552" s="138" t="s">
        <v>4349</v>
      </c>
      <c r="J552" s="138" t="s">
        <v>4350</v>
      </c>
      <c r="K552" s="138" t="s">
        <v>349</v>
      </c>
      <c r="L552" s="138"/>
      <c r="M552" s="138"/>
      <c r="N552" s="138"/>
      <c r="O552" s="138"/>
      <c r="P552" s="138"/>
      <c r="Q552" s="138"/>
      <c r="R552" s="138"/>
      <c r="S552" s="138"/>
      <c r="T552" s="135">
        <v>234.38</v>
      </c>
      <c r="U552" s="185"/>
      <c r="V552" s="185">
        <v>1.8947862445601162E-3</v>
      </c>
      <c r="W552" s="185">
        <v>0.16982436524617422</v>
      </c>
      <c r="X552" s="185">
        <f>IF(W552=0,V552,W552)</f>
        <v>0.16982436524617422</v>
      </c>
      <c r="Y552" s="204">
        <v>6.97</v>
      </c>
      <c r="Z552" s="135">
        <v>6.31</v>
      </c>
      <c r="AA552" s="135"/>
      <c r="AB552" s="135">
        <v>5.24</v>
      </c>
      <c r="AC552" s="135">
        <v>0.78490000000000004</v>
      </c>
      <c r="AD552" s="135">
        <v>5.46</v>
      </c>
      <c r="AE552" s="135">
        <v>5.92</v>
      </c>
      <c r="AF552" s="135">
        <f t="shared" si="195"/>
        <v>5.46</v>
      </c>
      <c r="AG552" s="136">
        <v>5.46</v>
      </c>
      <c r="AH552" s="185">
        <v>6.5899999999999996E-6</v>
      </c>
      <c r="AI552" s="185"/>
      <c r="AJ552" s="136">
        <f t="shared" si="193"/>
        <v>-3.5696809117186419</v>
      </c>
      <c r="AK552" s="136"/>
      <c r="AL552" s="136">
        <f t="shared" si="194"/>
        <v>-3.5696809117186419</v>
      </c>
      <c r="AM552" s="136">
        <v>-7.2398999999999996</v>
      </c>
      <c r="AN552" s="186"/>
      <c r="AO552" s="481">
        <v>11</v>
      </c>
      <c r="AP552" s="481"/>
      <c r="AQ552" s="135" t="s">
        <v>6311</v>
      </c>
      <c r="AR552" s="135" t="s">
        <v>6311</v>
      </c>
      <c r="AS552" s="190"/>
      <c r="AT552" s="137" t="s">
        <v>266</v>
      </c>
      <c r="AU552" s="135">
        <v>6</v>
      </c>
      <c r="AV552" s="135">
        <v>120</v>
      </c>
      <c r="AW552" s="135">
        <v>114</v>
      </c>
      <c r="AX552" s="135">
        <v>28</v>
      </c>
      <c r="AY552" s="135" t="s">
        <v>8728</v>
      </c>
      <c r="AZ552" s="135" t="s">
        <v>1563</v>
      </c>
      <c r="BA552" s="135">
        <v>32</v>
      </c>
      <c r="BB552" s="138" t="s">
        <v>2485</v>
      </c>
      <c r="BC552" s="138" t="s">
        <v>8726</v>
      </c>
      <c r="BD552" s="138" t="s">
        <v>8374</v>
      </c>
      <c r="BE552" s="135" t="s">
        <v>2449</v>
      </c>
      <c r="BF552" s="135" t="s">
        <v>272</v>
      </c>
      <c r="BG552" s="135" t="s">
        <v>272</v>
      </c>
      <c r="BH552" s="135" t="s">
        <v>2486</v>
      </c>
      <c r="BI552" s="185">
        <v>6.3999999999999997E-6</v>
      </c>
      <c r="BJ552" s="185">
        <v>6.4000000000000001E-2</v>
      </c>
      <c r="BK552" s="135"/>
      <c r="BL552" s="185">
        <f t="shared" si="196"/>
        <v>1.1060862664280471E-4</v>
      </c>
      <c r="BM552" s="138" t="s">
        <v>2487</v>
      </c>
      <c r="BN552" s="135"/>
      <c r="BO552" s="135"/>
      <c r="BP552" s="135"/>
      <c r="BQ552" s="135"/>
      <c r="BR552" s="138" t="s">
        <v>2496</v>
      </c>
      <c r="BS552" s="135"/>
      <c r="BT552" s="135"/>
      <c r="BU552" s="135"/>
      <c r="BV552" s="135"/>
      <c r="BW552" s="135"/>
      <c r="BX552" s="135"/>
      <c r="BY552" s="135"/>
      <c r="BZ552" s="135"/>
      <c r="CA552" s="135"/>
      <c r="CB552" s="135"/>
      <c r="CC552" s="135"/>
      <c r="CD552" s="135"/>
      <c r="CE552" s="135"/>
      <c r="CF552" s="135"/>
      <c r="CG552" s="135"/>
      <c r="CH552" s="135"/>
      <c r="CI552" s="185"/>
      <c r="CJ552" s="187"/>
      <c r="CK552" s="136">
        <f t="shared" si="192"/>
        <v>1.7282597912938237E-3</v>
      </c>
      <c r="CL552" s="188"/>
      <c r="CM552" s="188"/>
      <c r="CN552" s="188"/>
      <c r="CO552" s="138" t="s">
        <v>2488</v>
      </c>
      <c r="CP552" s="138" t="s">
        <v>2489</v>
      </c>
      <c r="CQ552" s="191" t="s">
        <v>272</v>
      </c>
      <c r="CR552" s="191"/>
      <c r="CS552" s="135" t="s">
        <v>539</v>
      </c>
      <c r="CT552" s="135"/>
      <c r="CU552" s="135"/>
      <c r="CV552" s="332">
        <f t="shared" si="197"/>
        <v>2.653505706971472</v>
      </c>
      <c r="CW552" s="329">
        <f t="shared" si="190"/>
        <v>1</v>
      </c>
      <c r="CX552" s="329"/>
      <c r="CY552" s="189" t="s">
        <v>5921</v>
      </c>
    </row>
    <row r="553" spans="1:103" ht="11.25" customHeight="1" x14ac:dyDescent="0.2">
      <c r="A553" s="72">
        <v>551</v>
      </c>
      <c r="B553" s="183">
        <v>1527</v>
      </c>
      <c r="C553" s="133" t="s">
        <v>6830</v>
      </c>
      <c r="D553" s="133"/>
      <c r="E553" s="134"/>
      <c r="F553" s="134" t="s">
        <v>4633</v>
      </c>
      <c r="G553" s="184">
        <v>122623</v>
      </c>
      <c r="H553" s="138" t="s">
        <v>4634</v>
      </c>
      <c r="I553" s="138" t="s">
        <v>4634</v>
      </c>
      <c r="J553" s="138" t="s">
        <v>4635</v>
      </c>
      <c r="K553" s="138" t="s">
        <v>357</v>
      </c>
      <c r="L553" s="138"/>
      <c r="M553" s="138"/>
      <c r="N553" s="138"/>
      <c r="O553" s="138"/>
      <c r="P553" s="138"/>
      <c r="Q553" s="138"/>
      <c r="R553" s="138"/>
      <c r="S553" s="138"/>
      <c r="T553" s="135">
        <v>426.67</v>
      </c>
      <c r="U553" s="185"/>
      <c r="V553" s="185">
        <v>1.2067874469730706E-8</v>
      </c>
      <c r="W553" s="185">
        <v>1.3489628825916512E-4</v>
      </c>
      <c r="X553" s="185">
        <f>IF(W553=0,V553,W553)</f>
        <v>1.3489628825916512E-4</v>
      </c>
      <c r="Y553" s="204">
        <v>7</v>
      </c>
      <c r="Z553" s="135">
        <v>10.08</v>
      </c>
      <c r="AA553" s="135"/>
      <c r="AB553" s="135">
        <v>8.33</v>
      </c>
      <c r="AC553" s="135">
        <v>0.72150000000000003</v>
      </c>
      <c r="AD553" s="135">
        <v>8.91</v>
      </c>
      <c r="AE553" s="135">
        <v>9.86</v>
      </c>
      <c r="AF553" s="135">
        <f t="shared" si="195"/>
        <v>8.91</v>
      </c>
      <c r="AG553" s="136">
        <v>8.1</v>
      </c>
      <c r="AH553" s="185">
        <v>1.6000000000000001E-4</v>
      </c>
      <c r="AI553" s="185"/>
      <c r="AJ553" s="136">
        <f t="shared" si="193"/>
        <v>-2.184446343656727</v>
      </c>
      <c r="AK553" s="136"/>
      <c r="AL553" s="136">
        <f t="shared" si="194"/>
        <v>-2.184446343656727</v>
      </c>
      <c r="AM553" s="136">
        <v>-8.4725400000000004</v>
      </c>
      <c r="AN553" s="186">
        <v>-3.26</v>
      </c>
      <c r="AO553" s="481"/>
      <c r="AP553" s="481"/>
      <c r="AQ553" s="135" t="s">
        <v>6311</v>
      </c>
      <c r="AR553" s="135" t="s">
        <v>6312</v>
      </c>
      <c r="AS553" s="190"/>
      <c r="AT553" s="137" t="s">
        <v>266</v>
      </c>
      <c r="AU553" s="135">
        <v>6</v>
      </c>
      <c r="AV553" s="135">
        <v>120</v>
      </c>
      <c r="AW553" s="135">
        <v>114</v>
      </c>
      <c r="AX553" s="135">
        <v>28</v>
      </c>
      <c r="AY553" s="135" t="s">
        <v>8728</v>
      </c>
      <c r="AZ553" s="135" t="s">
        <v>1563</v>
      </c>
      <c r="BA553" s="135">
        <v>32</v>
      </c>
      <c r="BB553" s="138" t="s">
        <v>2485</v>
      </c>
      <c r="BC553" s="138" t="s">
        <v>8726</v>
      </c>
      <c r="BD553" s="138" t="s">
        <v>8374</v>
      </c>
      <c r="BE553" s="135" t="s">
        <v>2449</v>
      </c>
      <c r="BF553" s="135" t="s">
        <v>272</v>
      </c>
      <c r="BG553" s="135" t="s">
        <v>272</v>
      </c>
      <c r="BH553" s="135" t="s">
        <v>2486</v>
      </c>
      <c r="BI553" s="185">
        <v>6.3999999999999997E-6</v>
      </c>
      <c r="BJ553" s="185">
        <v>6.4000000000000001E-2</v>
      </c>
      <c r="BK553" s="135"/>
      <c r="BL553" s="185">
        <f t="shared" si="196"/>
        <v>4.5493777579012408E-8</v>
      </c>
      <c r="BM553" s="138" t="s">
        <v>2487</v>
      </c>
      <c r="BN553" s="135"/>
      <c r="BO553" s="135"/>
      <c r="BP553" s="135"/>
      <c r="BQ553" s="135"/>
      <c r="BR553" s="138" t="s">
        <v>2496</v>
      </c>
      <c r="BS553" s="135"/>
      <c r="BT553" s="135"/>
      <c r="BU553" s="135"/>
      <c r="BV553" s="135"/>
      <c r="BW553" s="135"/>
      <c r="BX553" s="135"/>
      <c r="BY553" s="135"/>
      <c r="BZ553" s="135"/>
      <c r="CA553" s="135"/>
      <c r="CB553" s="135"/>
      <c r="CC553" s="135"/>
      <c r="CD553" s="135"/>
      <c r="CE553" s="135"/>
      <c r="CF553" s="135"/>
      <c r="CG553" s="135"/>
      <c r="CH553" s="135"/>
      <c r="CI553" s="185"/>
      <c r="CJ553" s="187"/>
      <c r="CK553" s="136">
        <f t="shared" si="192"/>
        <v>7.1084027467206889E-7</v>
      </c>
      <c r="CL553" s="188"/>
      <c r="CM553" s="188"/>
      <c r="CN553" s="188"/>
      <c r="CO553" s="138" t="s">
        <v>2488</v>
      </c>
      <c r="CP553" s="138" t="s">
        <v>2489</v>
      </c>
      <c r="CQ553" s="191" t="s">
        <v>272</v>
      </c>
      <c r="CR553" s="191"/>
      <c r="CS553" s="135" t="s">
        <v>539</v>
      </c>
      <c r="CT553" s="135"/>
      <c r="CU553" s="135"/>
      <c r="CV553" s="332">
        <f t="shared" si="197"/>
        <v>2.1077545040494548E-3</v>
      </c>
      <c r="CW553" s="329">
        <f t="shared" si="190"/>
        <v>0</v>
      </c>
      <c r="CX553" s="329"/>
      <c r="CY553" s="189" t="s">
        <v>6351</v>
      </c>
    </row>
    <row r="554" spans="1:103" ht="11.25" customHeight="1" x14ac:dyDescent="0.2">
      <c r="A554" s="72">
        <v>552</v>
      </c>
      <c r="B554" s="183">
        <v>1637</v>
      </c>
      <c r="C554" s="133" t="s">
        <v>6831</v>
      </c>
      <c r="D554" s="133"/>
      <c r="E554" s="134"/>
      <c r="F554" s="134" t="s">
        <v>4838</v>
      </c>
      <c r="G554" s="184">
        <v>123013</v>
      </c>
      <c r="H554" s="138" t="s">
        <v>4839</v>
      </c>
      <c r="I554" s="138" t="s">
        <v>4839</v>
      </c>
      <c r="J554" s="138" t="s">
        <v>4840</v>
      </c>
      <c r="K554" s="138" t="s">
        <v>426</v>
      </c>
      <c r="L554" s="138"/>
      <c r="M554" s="138"/>
      <c r="N554" s="138"/>
      <c r="O554" s="138"/>
      <c r="P554" s="138"/>
      <c r="Q554" s="138" t="s">
        <v>6173</v>
      </c>
      <c r="R554" s="138" t="s">
        <v>6185</v>
      </c>
      <c r="S554" s="138" t="s">
        <v>6182</v>
      </c>
      <c r="T554" s="135">
        <v>246.43</v>
      </c>
      <c r="U554" s="185">
        <v>4.0579474901594773E-5</v>
      </c>
      <c r="V554" s="185">
        <v>4.1188167025118697E-6</v>
      </c>
      <c r="W554" s="185">
        <v>4.8977881936844561E-5</v>
      </c>
      <c r="X554" s="185">
        <v>4.0579474901594773E-5</v>
      </c>
      <c r="Y554" s="204">
        <v>7</v>
      </c>
      <c r="Z554" s="135">
        <v>7.94</v>
      </c>
      <c r="AA554" s="135">
        <v>8.65</v>
      </c>
      <c r="AB554" s="135">
        <v>8.2200000000000006</v>
      </c>
      <c r="AC554" s="135">
        <v>0.88600000000000001</v>
      </c>
      <c r="AD554" s="135">
        <v>8.3000000000000007</v>
      </c>
      <c r="AE554" s="135">
        <v>8.52</v>
      </c>
      <c r="AF554" s="135">
        <f t="shared" si="195"/>
        <v>8.65</v>
      </c>
      <c r="AG554" s="136">
        <v>7.03</v>
      </c>
      <c r="AH554" s="185">
        <v>0.13400000000000001</v>
      </c>
      <c r="AI554" s="185"/>
      <c r="AJ554" s="136">
        <f t="shared" si="193"/>
        <v>0.73853847205215584</v>
      </c>
      <c r="AK554" s="136"/>
      <c r="AL554" s="136">
        <f t="shared" si="194"/>
        <v>0.73853847205215584</v>
      </c>
      <c r="AM554" s="136">
        <v>-3.6659699999999997</v>
      </c>
      <c r="AN554" s="186">
        <v>0.89</v>
      </c>
      <c r="AO554" s="481"/>
      <c r="AP554" s="481"/>
      <c r="AQ554" s="186" t="s">
        <v>6311</v>
      </c>
      <c r="AR554" s="186" t="s">
        <v>6311</v>
      </c>
      <c r="AS554" s="183"/>
      <c r="AT554" s="137" t="s">
        <v>266</v>
      </c>
      <c r="AU554" s="135">
        <v>6</v>
      </c>
      <c r="AV554" s="135">
        <v>120</v>
      </c>
      <c r="AW554" s="135">
        <v>114</v>
      </c>
      <c r="AX554" s="135">
        <v>28</v>
      </c>
      <c r="AY554" s="135" t="s">
        <v>8728</v>
      </c>
      <c r="AZ554" s="135" t="s">
        <v>1563</v>
      </c>
      <c r="BA554" s="135">
        <v>32</v>
      </c>
      <c r="BB554" s="138" t="s">
        <v>2485</v>
      </c>
      <c r="BC554" s="138" t="s">
        <v>8726</v>
      </c>
      <c r="BD554" s="138" t="s">
        <v>8374</v>
      </c>
      <c r="BE554" s="135" t="s">
        <v>2449</v>
      </c>
      <c r="BF554" s="135" t="s">
        <v>272</v>
      </c>
      <c r="BG554" s="135" t="s">
        <v>272</v>
      </c>
      <c r="BH554" s="135" t="s">
        <v>2486</v>
      </c>
      <c r="BI554" s="185">
        <v>6.3999999999999997E-6</v>
      </c>
      <c r="BJ554" s="185">
        <v>6.4000000000000001E-2</v>
      </c>
      <c r="BK554" s="135"/>
      <c r="BL554" s="185">
        <f t="shared" si="196"/>
        <v>3.8008961171583885E-6</v>
      </c>
      <c r="BM554" s="138" t="s">
        <v>2487</v>
      </c>
      <c r="BN554" s="135"/>
      <c r="BO554" s="135"/>
      <c r="BP554" s="135"/>
      <c r="BQ554" s="135"/>
      <c r="BR554" s="138" t="s">
        <v>2496</v>
      </c>
      <c r="BS554" s="135"/>
      <c r="BT554" s="135"/>
      <c r="BU554" s="135"/>
      <c r="BV554" s="135"/>
      <c r="BW554" s="135"/>
      <c r="BX554" s="135"/>
      <c r="BY554" s="135"/>
      <c r="BZ554" s="135"/>
      <c r="CA554" s="135"/>
      <c r="CB554" s="135"/>
      <c r="CC554" s="135"/>
      <c r="CD554" s="135"/>
      <c r="CE554" s="135"/>
      <c r="CF554" s="135"/>
      <c r="CG554" s="135"/>
      <c r="CH554" s="135"/>
      <c r="CI554" s="185"/>
      <c r="CJ554" s="187"/>
      <c r="CK554" s="136">
        <f t="shared" si="192"/>
        <v>5.9389001830599816E-5</v>
      </c>
      <c r="CL554" s="188"/>
      <c r="CM554" s="188"/>
      <c r="CN554" s="188"/>
      <c r="CO554" s="138" t="s">
        <v>2488</v>
      </c>
      <c r="CP554" s="138" t="s">
        <v>2489</v>
      </c>
      <c r="CQ554" s="191" t="s">
        <v>272</v>
      </c>
      <c r="CR554" s="191"/>
      <c r="CS554" s="135" t="s">
        <v>539</v>
      </c>
      <c r="CT554" s="135"/>
      <c r="CU554" s="135"/>
      <c r="CV554" s="332">
        <f t="shared" si="197"/>
        <v>6.3405429533741836E-4</v>
      </c>
      <c r="CW554" s="329">
        <f t="shared" si="190"/>
        <v>0</v>
      </c>
      <c r="CX554" s="329"/>
      <c r="CY554" s="189" t="s">
        <v>5921</v>
      </c>
    </row>
    <row r="555" spans="1:103" ht="11.25" customHeight="1" x14ac:dyDescent="0.2">
      <c r="A555" s="72">
        <v>553</v>
      </c>
      <c r="B555" s="183">
        <v>1582</v>
      </c>
      <c r="C555" s="133" t="s">
        <v>6832</v>
      </c>
      <c r="D555" s="133"/>
      <c r="E555" s="134"/>
      <c r="F555" s="134" t="s">
        <v>4726</v>
      </c>
      <c r="G555" s="184">
        <v>124185</v>
      </c>
      <c r="H555" s="138" t="s">
        <v>4727</v>
      </c>
      <c r="I555" s="138" t="s">
        <v>4727</v>
      </c>
      <c r="J555" s="138" t="s">
        <v>4728</v>
      </c>
      <c r="K555" s="138" t="s">
        <v>426</v>
      </c>
      <c r="L555" s="138"/>
      <c r="M555" s="138"/>
      <c r="N555" s="138"/>
      <c r="O555" s="138"/>
      <c r="P555" s="138" t="s">
        <v>6183</v>
      </c>
      <c r="Q555" s="138" t="s">
        <v>6182</v>
      </c>
      <c r="R555" s="138" t="s">
        <v>6185</v>
      </c>
      <c r="S555" s="138" t="s">
        <v>6176</v>
      </c>
      <c r="T555" s="135">
        <v>142.28</v>
      </c>
      <c r="U555" s="185">
        <v>3.6547652516165304E-4</v>
      </c>
      <c r="V555" s="185">
        <v>8.7995501827382618E-3</v>
      </c>
      <c r="W555" s="185">
        <v>2.570395782768861E-4</v>
      </c>
      <c r="X555" s="185">
        <v>3.6547652516165304E-4</v>
      </c>
      <c r="Y555" s="204">
        <v>7</v>
      </c>
      <c r="Z555" s="135">
        <v>5.25</v>
      </c>
      <c r="AA555" s="135">
        <v>5.01</v>
      </c>
      <c r="AB555" s="135">
        <v>5.72</v>
      </c>
      <c r="AC555" s="135">
        <v>0.77859999999999996</v>
      </c>
      <c r="AD555" s="135">
        <v>5.84</v>
      </c>
      <c r="AE555" s="135">
        <v>6.07</v>
      </c>
      <c r="AF555" s="135">
        <f t="shared" si="195"/>
        <v>5.01</v>
      </c>
      <c r="AG555" s="136">
        <v>4.74</v>
      </c>
      <c r="AH555" s="185">
        <v>5.3</v>
      </c>
      <c r="AI555" s="185">
        <v>5.15</v>
      </c>
      <c r="AJ555" s="136">
        <f t="shared" si="193"/>
        <v>2.3357095432881372</v>
      </c>
      <c r="AK555" s="136">
        <f>LOG10(AI555*1000/(0.08206*298.15))</f>
        <v>2.3232409027285392</v>
      </c>
      <c r="AL555" s="136">
        <f t="shared" si="194"/>
        <v>2.3232409027285392</v>
      </c>
      <c r="AM555" s="136">
        <v>-0.54074000000000022</v>
      </c>
      <c r="AN555" s="186">
        <v>2.3199999999999998</v>
      </c>
      <c r="AO555" s="481"/>
      <c r="AP555" s="481"/>
      <c r="AQ555" s="135" t="s">
        <v>6311</v>
      </c>
      <c r="AR555" s="135" t="s">
        <v>6311</v>
      </c>
      <c r="AS555" s="190"/>
      <c r="AT555" s="137" t="s">
        <v>266</v>
      </c>
      <c r="AU555" s="135">
        <v>6</v>
      </c>
      <c r="AV555" s="135">
        <v>120</v>
      </c>
      <c r="AW555" s="135">
        <v>114</v>
      </c>
      <c r="AX555" s="135">
        <v>28</v>
      </c>
      <c r="AY555" s="135" t="s">
        <v>8728</v>
      </c>
      <c r="AZ555" s="135" t="s">
        <v>1563</v>
      </c>
      <c r="BA555" s="135">
        <v>32</v>
      </c>
      <c r="BB555" s="138" t="s">
        <v>2485</v>
      </c>
      <c r="BC555" s="138" t="s">
        <v>8726</v>
      </c>
      <c r="BD555" s="138" t="s">
        <v>8374</v>
      </c>
      <c r="BE555" s="135" t="s">
        <v>2449</v>
      </c>
      <c r="BF555" s="135" t="s">
        <v>272</v>
      </c>
      <c r="BG555" s="135" t="s">
        <v>272</v>
      </c>
      <c r="BH555" s="135" t="s">
        <v>2486</v>
      </c>
      <c r="BI555" s="185">
        <v>6.3999999999999997E-6</v>
      </c>
      <c r="BJ555" s="185">
        <v>6.4000000000000001E-2</v>
      </c>
      <c r="BK555" s="135"/>
      <c r="BL555" s="185">
        <f t="shared" si="196"/>
        <v>9.9031874599886599E-4</v>
      </c>
      <c r="BM555" s="138" t="s">
        <v>2487</v>
      </c>
      <c r="BN555" s="135"/>
      <c r="BO555" s="135"/>
      <c r="BP555" s="135"/>
      <c r="BQ555" s="135"/>
      <c r="BR555" s="138" t="s">
        <v>2496</v>
      </c>
      <c r="BS555" s="135"/>
      <c r="BT555" s="135"/>
      <c r="BU555" s="135"/>
      <c r="BV555" s="135"/>
      <c r="BW555" s="135"/>
      <c r="BX555" s="135"/>
      <c r="BY555" s="135"/>
      <c r="BZ555" s="135"/>
      <c r="CA555" s="135"/>
      <c r="CB555" s="135"/>
      <c r="CC555" s="135"/>
      <c r="CD555" s="135"/>
      <c r="CE555" s="135"/>
      <c r="CF555" s="135"/>
      <c r="CG555" s="135"/>
      <c r="CH555" s="135"/>
      <c r="CI555" s="185"/>
      <c r="CJ555" s="187"/>
      <c r="CK555" s="136">
        <f t="shared" si="192"/>
        <v>1.547373040623228E-2</v>
      </c>
      <c r="CL555" s="188"/>
      <c r="CM555" s="188"/>
      <c r="CN555" s="188"/>
      <c r="CO555" s="138" t="s">
        <v>2488</v>
      </c>
      <c r="CP555" s="138" t="s">
        <v>2489</v>
      </c>
      <c r="CQ555" s="191" t="s">
        <v>272</v>
      </c>
      <c r="CR555" s="191"/>
      <c r="CS555" s="135" t="s">
        <v>539</v>
      </c>
      <c r="CT555" s="135"/>
      <c r="CU555" s="135"/>
      <c r="CV555" s="332">
        <f t="shared" si="197"/>
        <v>5.7105707056508285E-3</v>
      </c>
      <c r="CW555" s="329">
        <f t="shared" si="190"/>
        <v>0</v>
      </c>
      <c r="CX555" s="329"/>
      <c r="CY555" s="189" t="s">
        <v>6351</v>
      </c>
    </row>
    <row r="556" spans="1:103" ht="11.25" customHeight="1" x14ac:dyDescent="0.2">
      <c r="A556" s="72">
        <v>554</v>
      </c>
      <c r="B556" s="191">
        <v>1879</v>
      </c>
      <c r="C556" s="128" t="s">
        <v>6833</v>
      </c>
      <c r="D556" s="128"/>
      <c r="E556" s="129"/>
      <c r="F556" s="129" t="s">
        <v>5335</v>
      </c>
      <c r="G556" s="192">
        <v>126147</v>
      </c>
      <c r="H556" s="139" t="s">
        <v>5336</v>
      </c>
      <c r="I556" s="139" t="s">
        <v>7930</v>
      </c>
      <c r="J556" s="139" t="s">
        <v>5337</v>
      </c>
      <c r="K556" s="139" t="s">
        <v>357</v>
      </c>
      <c r="L556" s="139"/>
      <c r="M556" s="139"/>
      <c r="N556" s="138"/>
      <c r="O556" s="139"/>
      <c r="P556" s="138"/>
      <c r="Q556" s="138"/>
      <c r="R556" s="138"/>
      <c r="S556" s="138"/>
      <c r="T556" s="130">
        <v>678.59</v>
      </c>
      <c r="U556" s="187">
        <v>1.3410159300903344</v>
      </c>
      <c r="V556" s="185">
        <v>0.16460602130889049</v>
      </c>
      <c r="W556" s="185">
        <v>2.1379620895022318</v>
      </c>
      <c r="X556" s="187">
        <v>1.3410159300903344</v>
      </c>
      <c r="Y556" s="194">
        <v>7</v>
      </c>
      <c r="Z556" s="130">
        <v>-0.42</v>
      </c>
      <c r="AA556" s="130"/>
      <c r="AB556" s="130">
        <v>1.08</v>
      </c>
      <c r="AC556" s="130">
        <v>0.32319999999999999</v>
      </c>
      <c r="AD556" s="130">
        <v>2.35</v>
      </c>
      <c r="AE556" s="130">
        <v>3.19</v>
      </c>
      <c r="AF556" s="130">
        <f t="shared" si="195"/>
        <v>2.35</v>
      </c>
      <c r="AG556" s="131">
        <v>6.17</v>
      </c>
      <c r="AH556" s="187">
        <v>1.4399999999999999E-28</v>
      </c>
      <c r="AI556" s="187"/>
      <c r="AJ556" s="136">
        <f t="shared" si="193"/>
        <v>-26.230203834217402</v>
      </c>
      <c r="AK556" s="136"/>
      <c r="AL556" s="136">
        <f t="shared" si="194"/>
        <v>-26.230203834217402</v>
      </c>
      <c r="AM556" s="136">
        <v>-31.589190000000002</v>
      </c>
      <c r="AN556" s="193">
        <v>-15.8</v>
      </c>
      <c r="AO556" s="481"/>
      <c r="AP556" s="481"/>
      <c r="AQ556" s="193" t="s">
        <v>6311</v>
      </c>
      <c r="AR556" s="193" t="s">
        <v>6314</v>
      </c>
      <c r="AS556" s="191"/>
      <c r="AT556" s="132" t="s">
        <v>266</v>
      </c>
      <c r="AU556" s="130">
        <v>6</v>
      </c>
      <c r="AV556" s="130">
        <v>120</v>
      </c>
      <c r="AW556" s="130">
        <v>114</v>
      </c>
      <c r="AX556" s="130">
        <v>28</v>
      </c>
      <c r="AY556" s="130" t="s">
        <v>8728</v>
      </c>
      <c r="AZ556" s="130" t="s">
        <v>1563</v>
      </c>
      <c r="BA556" s="130">
        <v>32</v>
      </c>
      <c r="BB556" s="139" t="s">
        <v>2485</v>
      </c>
      <c r="BC556" s="139" t="s">
        <v>8726</v>
      </c>
      <c r="BD556" s="139" t="s">
        <v>8374</v>
      </c>
      <c r="BE556" s="130" t="s">
        <v>2449</v>
      </c>
      <c r="BF556" s="130" t="s">
        <v>272</v>
      </c>
      <c r="BG556" s="130" t="s">
        <v>272</v>
      </c>
      <c r="BH556" s="130" t="s">
        <v>2486</v>
      </c>
      <c r="BI556" s="187">
        <v>6.3999999999999997E-6</v>
      </c>
      <c r="BJ556" s="187">
        <v>6.4000000000000001E-2</v>
      </c>
      <c r="BK556" s="130"/>
      <c r="BL556" s="187">
        <f t="shared" si="196"/>
        <v>122.46218388440451</v>
      </c>
      <c r="BM556" s="139" t="s">
        <v>2487</v>
      </c>
      <c r="BN556" s="130"/>
      <c r="BO556" s="130"/>
      <c r="BP556" s="130"/>
      <c r="BQ556" s="130"/>
      <c r="BR556" s="139" t="s">
        <v>2496</v>
      </c>
      <c r="BS556" s="130"/>
      <c r="BT556" s="130"/>
      <c r="BU556" s="195"/>
      <c r="BV556" s="130"/>
      <c r="BW556" s="130"/>
      <c r="BX556" s="130"/>
      <c r="BY556" s="130"/>
      <c r="BZ556" s="130"/>
      <c r="CA556" s="130"/>
      <c r="CB556" s="130"/>
      <c r="CC556" s="130"/>
      <c r="CD556" s="130"/>
      <c r="CE556" s="130"/>
      <c r="CF556" s="130"/>
      <c r="CG556" s="130"/>
      <c r="CH556" s="130"/>
      <c r="CI556" s="187"/>
      <c r="CJ556" s="187"/>
      <c r="CK556" s="131">
        <f t="shared" si="192"/>
        <v>1913.4716231938205</v>
      </c>
      <c r="CL556" s="188"/>
      <c r="CM556" s="188"/>
      <c r="CN556" s="188"/>
      <c r="CO556" s="139" t="s">
        <v>2488</v>
      </c>
      <c r="CP556" s="139" t="s">
        <v>2489</v>
      </c>
      <c r="CQ556" s="191" t="s">
        <v>272</v>
      </c>
      <c r="CR556" s="191"/>
      <c r="CS556" s="135" t="s">
        <v>539</v>
      </c>
      <c r="CT556" s="135"/>
      <c r="CU556" s="135"/>
      <c r="CV556" s="332">
        <f t="shared" si="197"/>
        <v>20.953373907661476</v>
      </c>
      <c r="CW556" s="329">
        <f t="shared" si="190"/>
        <v>1</v>
      </c>
      <c r="CX556" s="329"/>
      <c r="CY556" s="189" t="s">
        <v>5921</v>
      </c>
    </row>
    <row r="557" spans="1:103" ht="11.25" customHeight="1" x14ac:dyDescent="0.2">
      <c r="A557" s="72">
        <v>555</v>
      </c>
      <c r="B557" s="183">
        <v>1422</v>
      </c>
      <c r="C557" s="133" t="s">
        <v>6834</v>
      </c>
      <c r="D557" s="133"/>
      <c r="E557" s="134"/>
      <c r="F557" s="134" t="s">
        <v>4375</v>
      </c>
      <c r="G557" s="184">
        <v>128392</v>
      </c>
      <c r="H557" s="138" t="s">
        <v>4376</v>
      </c>
      <c r="I557" s="138" t="s">
        <v>4376</v>
      </c>
      <c r="J557" s="138" t="s">
        <v>4377</v>
      </c>
      <c r="K557" s="138" t="s">
        <v>349</v>
      </c>
      <c r="L557" s="138"/>
      <c r="M557" s="138"/>
      <c r="N557" s="138"/>
      <c r="O557" s="138"/>
      <c r="P557" s="138"/>
      <c r="Q557" s="138"/>
      <c r="R557" s="138"/>
      <c r="S557" s="138"/>
      <c r="T557" s="135">
        <v>206.32</v>
      </c>
      <c r="U557" s="185">
        <v>1.211709965102753E-2</v>
      </c>
      <c r="V557" s="185">
        <v>4.7019193485847231E-2</v>
      </c>
      <c r="W557" s="185">
        <v>0.44668359215096265</v>
      </c>
      <c r="X557" s="185">
        <v>1.211709965102753E-2</v>
      </c>
      <c r="Y557" s="204">
        <v>6.99</v>
      </c>
      <c r="Z557" s="135">
        <v>4.4800000000000004</v>
      </c>
      <c r="AA557" s="135">
        <v>4.92</v>
      </c>
      <c r="AB557" s="135">
        <v>4.63</v>
      </c>
      <c r="AC557" s="135">
        <v>0.83409999999999995</v>
      </c>
      <c r="AD557" s="135">
        <v>4.6900000000000004</v>
      </c>
      <c r="AE557" s="135">
        <v>4.8600000000000003</v>
      </c>
      <c r="AF557" s="135">
        <f t="shared" si="195"/>
        <v>4.92</v>
      </c>
      <c r="AG557" s="136">
        <v>4.76</v>
      </c>
      <c r="AH557" s="185">
        <v>3.7400000000000002E-6</v>
      </c>
      <c r="AI557" s="185"/>
      <c r="AJ557" s="136">
        <f t="shared" si="193"/>
        <v>-3.8156947241121717</v>
      </c>
      <c r="AK557" s="136"/>
      <c r="AL557" s="136">
        <f t="shared" si="194"/>
        <v>-3.8156947241121717</v>
      </c>
      <c r="AM557" s="136">
        <v>-6.2598399999999996</v>
      </c>
      <c r="AN557" s="186">
        <v>-2.88</v>
      </c>
      <c r="AO557" s="481">
        <v>12.16</v>
      </c>
      <c r="AP557" s="481"/>
      <c r="AQ557" s="135" t="s">
        <v>6311</v>
      </c>
      <c r="AR557" s="135" t="s">
        <v>6311</v>
      </c>
      <c r="AS557" s="190"/>
      <c r="AT557" s="137" t="s">
        <v>266</v>
      </c>
      <c r="AU557" s="135">
        <v>6</v>
      </c>
      <c r="AV557" s="135">
        <v>120</v>
      </c>
      <c r="AW557" s="135">
        <v>114</v>
      </c>
      <c r="AX557" s="135">
        <v>28</v>
      </c>
      <c r="AY557" s="135" t="s">
        <v>8728</v>
      </c>
      <c r="AZ557" s="135" t="s">
        <v>1563</v>
      </c>
      <c r="BA557" s="135">
        <v>32</v>
      </c>
      <c r="BB557" s="138" t="s">
        <v>2485</v>
      </c>
      <c r="BC557" s="138" t="s">
        <v>8726</v>
      </c>
      <c r="BD557" s="138" t="s">
        <v>8374</v>
      </c>
      <c r="BE557" s="135" t="s">
        <v>2449</v>
      </c>
      <c r="BF557" s="135" t="s">
        <v>272</v>
      </c>
      <c r="BG557" s="135" t="s">
        <v>272</v>
      </c>
      <c r="BH557" s="135" t="s">
        <v>2486</v>
      </c>
      <c r="BI557" s="185">
        <v>6.3999999999999997E-6</v>
      </c>
      <c r="BJ557" s="185">
        <v>6.4000000000000001E-2</v>
      </c>
      <c r="BK557" s="135"/>
      <c r="BL557" s="185">
        <f t="shared" si="196"/>
        <v>4.8675676936289838E-3</v>
      </c>
      <c r="BM557" s="138" t="s">
        <v>2487</v>
      </c>
      <c r="BN557" s="135"/>
      <c r="BO557" s="135"/>
      <c r="BP557" s="135"/>
      <c r="BQ557" s="135"/>
      <c r="BR557" s="138" t="s">
        <v>2496</v>
      </c>
      <c r="BS557" s="135"/>
      <c r="BT557" s="135"/>
      <c r="BU557" s="135"/>
      <c r="BV557" s="135"/>
      <c r="BW557" s="135"/>
      <c r="BX557" s="135"/>
      <c r="BY557" s="135"/>
      <c r="BZ557" s="135"/>
      <c r="CA557" s="135"/>
      <c r="CB557" s="135"/>
      <c r="CC557" s="135"/>
      <c r="CD557" s="135"/>
      <c r="CE557" s="135"/>
      <c r="CF557" s="135"/>
      <c r="CG557" s="135"/>
      <c r="CH557" s="135"/>
      <c r="CI557" s="185"/>
      <c r="CJ557" s="187"/>
      <c r="CK557" s="136">
        <f t="shared" si="192"/>
        <v>7.6055745212952872E-2</v>
      </c>
      <c r="CL557" s="188"/>
      <c r="CM557" s="188"/>
      <c r="CN557" s="188"/>
      <c r="CO557" s="138" t="s">
        <v>2488</v>
      </c>
      <c r="CP557" s="138" t="s">
        <v>2489</v>
      </c>
      <c r="CQ557" s="191" t="s">
        <v>272</v>
      </c>
      <c r="CR557" s="191"/>
      <c r="CS557" s="135" t="s">
        <v>539</v>
      </c>
      <c r="CT557" s="135"/>
      <c r="CU557" s="135"/>
      <c r="CV557" s="332">
        <f t="shared" si="197"/>
        <v>0.18932968204730516</v>
      </c>
      <c r="CW557" s="329">
        <f t="shared" si="190"/>
        <v>0</v>
      </c>
      <c r="CX557" s="329"/>
      <c r="CY557" s="189" t="s">
        <v>6351</v>
      </c>
    </row>
    <row r="558" spans="1:103" ht="11.25" customHeight="1" x14ac:dyDescent="0.2">
      <c r="A558" s="72">
        <v>556</v>
      </c>
      <c r="B558" s="183">
        <v>1844</v>
      </c>
      <c r="C558" s="133" t="s">
        <v>6835</v>
      </c>
      <c r="D558" s="133"/>
      <c r="E558" s="134"/>
      <c r="F558" s="134" t="s">
        <v>5255</v>
      </c>
      <c r="G558" s="184">
        <v>129000</v>
      </c>
      <c r="H558" s="138" t="s">
        <v>5256</v>
      </c>
      <c r="I558" s="138" t="s">
        <v>5256</v>
      </c>
      <c r="J558" s="138" t="s">
        <v>5257</v>
      </c>
      <c r="K558" s="138" t="s">
        <v>426</v>
      </c>
      <c r="L558" s="138"/>
      <c r="M558" s="138"/>
      <c r="N558" s="138"/>
      <c r="O558" s="138"/>
      <c r="P558" s="138"/>
      <c r="Q558" s="138"/>
      <c r="R558" s="138"/>
      <c r="S558" s="138"/>
      <c r="T558" s="135">
        <v>202.25</v>
      </c>
      <c r="U558" s="185">
        <v>6.6749072929542653E-4</v>
      </c>
      <c r="V558" s="185">
        <v>1.1119901112484549E-3</v>
      </c>
      <c r="W558" s="185">
        <v>2.137962089502228E-4</v>
      </c>
      <c r="X558" s="185">
        <v>6.6749072929542653E-4</v>
      </c>
      <c r="Y558" s="204">
        <v>7</v>
      </c>
      <c r="Z558" s="135">
        <v>4.93</v>
      </c>
      <c r="AA558" s="135">
        <v>4.88</v>
      </c>
      <c r="AB558" s="135">
        <v>4.84</v>
      </c>
      <c r="AC558" s="135">
        <v>0.89939999999999998</v>
      </c>
      <c r="AD558" s="135">
        <v>4.92</v>
      </c>
      <c r="AE558" s="135">
        <v>5.17</v>
      </c>
      <c r="AF558" s="135">
        <f t="shared" si="195"/>
        <v>4.88</v>
      </c>
      <c r="AG558" s="136">
        <v>4.68</v>
      </c>
      <c r="AH558" s="185">
        <v>8.3000000000000002E-6</v>
      </c>
      <c r="AI558" s="185">
        <v>1.19E-5</v>
      </c>
      <c r="AJ558" s="136">
        <f t="shared" si="193"/>
        <v>-3.4694882339365778</v>
      </c>
      <c r="AK558" s="136">
        <f>LOG10(AI558*1000/(0.08206*298.15))</f>
        <v>-3.3130193649201209</v>
      </c>
      <c r="AL558" s="136">
        <f t="shared" si="194"/>
        <v>-3.3130193649201209</v>
      </c>
      <c r="AM558" s="136">
        <v>-8.1794899999999995</v>
      </c>
      <c r="AN558" s="186">
        <v>-3.69</v>
      </c>
      <c r="AO558" s="481"/>
      <c r="AP558" s="481"/>
      <c r="AQ558" s="186" t="s">
        <v>6311</v>
      </c>
      <c r="AR558" s="186" t="s">
        <v>6311</v>
      </c>
      <c r="AS558" s="183"/>
      <c r="AT558" s="137" t="s">
        <v>266</v>
      </c>
      <c r="AU558" s="135">
        <v>6</v>
      </c>
      <c r="AV558" s="135">
        <v>120</v>
      </c>
      <c r="AW558" s="135">
        <v>114</v>
      </c>
      <c r="AX558" s="135">
        <v>28</v>
      </c>
      <c r="AY558" s="135" t="s">
        <v>8728</v>
      </c>
      <c r="AZ558" s="135" t="s">
        <v>1563</v>
      </c>
      <c r="BA558" s="135">
        <v>32</v>
      </c>
      <c r="BB558" s="138" t="s">
        <v>2485</v>
      </c>
      <c r="BC558" s="138" t="s">
        <v>8726</v>
      </c>
      <c r="BD558" s="138" t="s">
        <v>8374</v>
      </c>
      <c r="BE558" s="135" t="s">
        <v>2449</v>
      </c>
      <c r="BF558" s="135" t="s">
        <v>272</v>
      </c>
      <c r="BG558" s="135" t="s">
        <v>272</v>
      </c>
      <c r="BH558" s="135" t="s">
        <v>2486</v>
      </c>
      <c r="BI558" s="185">
        <v>6.3999999999999997E-6</v>
      </c>
      <c r="BJ558" s="185">
        <v>6.4000000000000001E-2</v>
      </c>
      <c r="BK558" s="135"/>
      <c r="BL558" s="185">
        <f t="shared" si="196"/>
        <v>1.9194066715128898E-3</v>
      </c>
      <c r="BM558" s="138" t="s">
        <v>2487</v>
      </c>
      <c r="BN558" s="135"/>
      <c r="BO558" s="135"/>
      <c r="BP558" s="135"/>
      <c r="BQ558" s="135"/>
      <c r="BR558" s="138" t="s">
        <v>2496</v>
      </c>
      <c r="BS558" s="135"/>
      <c r="BT558" s="135"/>
      <c r="BU558" s="135"/>
      <c r="BV558" s="135"/>
      <c r="BW558" s="135"/>
      <c r="BX558" s="135"/>
      <c r="BY558" s="135"/>
      <c r="BZ558" s="135"/>
      <c r="CA558" s="135"/>
      <c r="CB558" s="135"/>
      <c r="CC558" s="135"/>
      <c r="CD558" s="135"/>
      <c r="CE558" s="135"/>
      <c r="CF558" s="135"/>
      <c r="CG558" s="135"/>
      <c r="CH558" s="135"/>
      <c r="CI558" s="185"/>
      <c r="CJ558" s="187"/>
      <c r="CK558" s="136">
        <f t="shared" si="192"/>
        <v>2.9990729242388901E-2</v>
      </c>
      <c r="CL558" s="188"/>
      <c r="CM558" s="188"/>
      <c r="CN558" s="188"/>
      <c r="CO558" s="138" t="s">
        <v>2488</v>
      </c>
      <c r="CP558" s="138" t="s">
        <v>2489</v>
      </c>
      <c r="CQ558" s="191" t="s">
        <v>272</v>
      </c>
      <c r="CR558" s="191"/>
      <c r="CS558" s="135" t="s">
        <v>539</v>
      </c>
      <c r="CT558" s="135"/>
      <c r="CU558" s="135"/>
      <c r="CV558" s="332">
        <f t="shared" si="197"/>
        <v>1.0429542645241039E-2</v>
      </c>
      <c r="CW558" s="329">
        <f t="shared" si="190"/>
        <v>0</v>
      </c>
      <c r="CX558" s="329"/>
      <c r="CY558" s="189" t="s">
        <v>6351</v>
      </c>
    </row>
    <row r="559" spans="1:103" ht="11.25" customHeight="1" x14ac:dyDescent="0.2">
      <c r="A559" s="72">
        <v>557</v>
      </c>
      <c r="B559" s="183">
        <v>1627</v>
      </c>
      <c r="C559" s="133" t="s">
        <v>6836</v>
      </c>
      <c r="D559" s="133"/>
      <c r="E559" s="134"/>
      <c r="F559" s="134" t="s">
        <v>4819</v>
      </c>
      <c r="G559" s="184">
        <v>131180</v>
      </c>
      <c r="H559" s="138" t="s">
        <v>4820</v>
      </c>
      <c r="I559" s="138" t="s">
        <v>4820</v>
      </c>
      <c r="J559" s="138" t="s">
        <v>4821</v>
      </c>
      <c r="K559" s="138" t="s">
        <v>357</v>
      </c>
      <c r="L559" s="138"/>
      <c r="M559" s="138"/>
      <c r="N559" s="138"/>
      <c r="O559" s="138"/>
      <c r="P559" s="138"/>
      <c r="Q559" s="138" t="s">
        <v>6173</v>
      </c>
      <c r="R559" s="138" t="s">
        <v>6174</v>
      </c>
      <c r="S559" s="138" t="s">
        <v>6176</v>
      </c>
      <c r="T559" s="135">
        <v>306.39999999999998</v>
      </c>
      <c r="U559" s="185">
        <v>0.32637075718015668</v>
      </c>
      <c r="V559" s="185">
        <v>5.8322454308093994E-4</v>
      </c>
      <c r="W559" s="185">
        <v>1.8197008586099819E-2</v>
      </c>
      <c r="X559" s="185">
        <v>0.32637075718015668</v>
      </c>
      <c r="Y559" s="204">
        <v>7</v>
      </c>
      <c r="Z559" s="135">
        <v>5.59</v>
      </c>
      <c r="AA559" s="135">
        <v>5.62</v>
      </c>
      <c r="AB559" s="135">
        <v>5.89</v>
      </c>
      <c r="AC559" s="135">
        <v>0.62519999999999998</v>
      </c>
      <c r="AD559" s="135">
        <v>5.89</v>
      </c>
      <c r="AE559" s="135">
        <v>5.89</v>
      </c>
      <c r="AF559" s="135">
        <f t="shared" si="195"/>
        <v>5.62</v>
      </c>
      <c r="AG559" s="136">
        <v>4.8600000000000003</v>
      </c>
      <c r="AH559" s="185">
        <v>2.1600000000000001E-6</v>
      </c>
      <c r="AI559" s="185"/>
      <c r="AJ559" s="136">
        <f t="shared" si="193"/>
        <v>-4.0541125751617209</v>
      </c>
      <c r="AK559" s="136"/>
      <c r="AL559" s="136">
        <f t="shared" si="194"/>
        <v>-4.0541125751617209</v>
      </c>
      <c r="AM559" s="136">
        <v>-9.1845800000000004</v>
      </c>
      <c r="AN559" s="186">
        <v>-4.4000000000000004</v>
      </c>
      <c r="AO559" s="481"/>
      <c r="AP559" s="481"/>
      <c r="AQ559" s="186" t="s">
        <v>6311</v>
      </c>
      <c r="AR559" s="186" t="s">
        <v>6312</v>
      </c>
      <c r="AS559" s="183"/>
      <c r="AT559" s="137" t="s">
        <v>266</v>
      </c>
      <c r="AU559" s="135">
        <v>6</v>
      </c>
      <c r="AV559" s="135">
        <v>120</v>
      </c>
      <c r="AW559" s="135">
        <v>114</v>
      </c>
      <c r="AX559" s="135">
        <v>28</v>
      </c>
      <c r="AY559" s="135" t="s">
        <v>8728</v>
      </c>
      <c r="AZ559" s="135" t="s">
        <v>1563</v>
      </c>
      <c r="BA559" s="135">
        <v>32</v>
      </c>
      <c r="BB559" s="138" t="s">
        <v>2485</v>
      </c>
      <c r="BC559" s="138" t="s">
        <v>8726</v>
      </c>
      <c r="BD559" s="138" t="s">
        <v>8374</v>
      </c>
      <c r="BE559" s="135" t="s">
        <v>2449</v>
      </c>
      <c r="BF559" s="135" t="s">
        <v>272</v>
      </c>
      <c r="BG559" s="135" t="s">
        <v>272</v>
      </c>
      <c r="BH559" s="135" t="s">
        <v>2486</v>
      </c>
      <c r="BI559" s="185">
        <v>6.3999999999999997E-6</v>
      </c>
      <c r="BJ559" s="185">
        <v>6.4000000000000001E-2</v>
      </c>
      <c r="BK559" s="135"/>
      <c r="BL559" s="185">
        <f t="shared" si="196"/>
        <v>4.9025383543767473E-4</v>
      </c>
      <c r="BM559" s="138" t="s">
        <v>2487</v>
      </c>
      <c r="BN559" s="135"/>
      <c r="BO559" s="135"/>
      <c r="BP559" s="135"/>
      <c r="BQ559" s="135"/>
      <c r="BR559" s="138" t="s">
        <v>2496</v>
      </c>
      <c r="BS559" s="135"/>
      <c r="BT559" s="135"/>
      <c r="BU559" s="135"/>
      <c r="BV559" s="135"/>
      <c r="BW559" s="135"/>
      <c r="BX559" s="135"/>
      <c r="BY559" s="135"/>
      <c r="BZ559" s="135"/>
      <c r="CA559" s="135"/>
      <c r="CB559" s="135"/>
      <c r="CC559" s="135"/>
      <c r="CD559" s="135"/>
      <c r="CE559" s="135"/>
      <c r="CF559" s="135"/>
      <c r="CG559" s="135"/>
      <c r="CH559" s="135"/>
      <c r="CI559" s="185"/>
      <c r="CJ559" s="187"/>
      <c r="CK559" s="136">
        <f t="shared" si="192"/>
        <v>7.6602161787136672E-3</v>
      </c>
      <c r="CL559" s="188"/>
      <c r="CM559" s="188"/>
      <c r="CN559" s="188"/>
      <c r="CO559" s="138" t="s">
        <v>2488</v>
      </c>
      <c r="CP559" s="138" t="s">
        <v>2489</v>
      </c>
      <c r="CQ559" s="191" t="s">
        <v>272</v>
      </c>
      <c r="CR559" s="191"/>
      <c r="CS559" s="135" t="s">
        <v>539</v>
      </c>
      <c r="CT559" s="135"/>
      <c r="CU559" s="135"/>
      <c r="CV559" s="332">
        <f t="shared" si="197"/>
        <v>5.0995430809399478</v>
      </c>
      <c r="CW559" s="329">
        <f t="shared" si="190"/>
        <v>1</v>
      </c>
      <c r="CX559" s="329"/>
      <c r="CY559" s="189" t="s">
        <v>5921</v>
      </c>
    </row>
    <row r="560" spans="1:103" ht="11.25" customHeight="1" x14ac:dyDescent="0.2">
      <c r="A560" s="72">
        <v>558</v>
      </c>
      <c r="B560" s="183">
        <v>1644</v>
      </c>
      <c r="C560" s="133" t="s">
        <v>4844</v>
      </c>
      <c r="D560" s="133" t="s">
        <v>6837</v>
      </c>
      <c r="E560" s="134"/>
      <c r="F560" s="134" t="s">
        <v>4845</v>
      </c>
      <c r="G560" s="184">
        <v>563122</v>
      </c>
      <c r="H560" s="138" t="s">
        <v>4846</v>
      </c>
      <c r="I560" s="138" t="s">
        <v>4846</v>
      </c>
      <c r="J560" s="138" t="s">
        <v>4847</v>
      </c>
      <c r="K560" s="138" t="s">
        <v>1872</v>
      </c>
      <c r="L560" s="138" t="s">
        <v>617</v>
      </c>
      <c r="M560" s="138" t="s">
        <v>946</v>
      </c>
      <c r="N560" s="138" t="s">
        <v>6376</v>
      </c>
      <c r="O560" s="138" t="s">
        <v>918</v>
      </c>
      <c r="P560" s="138" t="s">
        <v>6178</v>
      </c>
      <c r="Q560" s="138" t="s">
        <v>6173</v>
      </c>
      <c r="R560" s="138" t="s">
        <v>6177</v>
      </c>
      <c r="S560" s="138" t="s">
        <v>6182</v>
      </c>
      <c r="T560" s="135">
        <v>384.48</v>
      </c>
      <c r="U560" s="185">
        <v>5.2018310445276737E-3</v>
      </c>
      <c r="V560" s="185">
        <v>4.6478360382854763E-4</v>
      </c>
      <c r="W560" s="185">
        <v>7.2443596007498957E-3</v>
      </c>
      <c r="X560" s="185">
        <v>5.2018310445276737E-3</v>
      </c>
      <c r="Y560" s="204">
        <v>7</v>
      </c>
      <c r="Z560" s="135">
        <v>5</v>
      </c>
      <c r="AA560" s="135">
        <v>5.07</v>
      </c>
      <c r="AB560" s="135">
        <v>4.9000000000000004</v>
      </c>
      <c r="AC560" s="135">
        <v>0.84160000000000001</v>
      </c>
      <c r="AD560" s="135">
        <v>4.9400000000000004</v>
      </c>
      <c r="AE560" s="135">
        <v>5.07</v>
      </c>
      <c r="AF560" s="135">
        <f t="shared" si="195"/>
        <v>5.07</v>
      </c>
      <c r="AG560" s="136">
        <v>4.99</v>
      </c>
      <c r="AH560" s="185">
        <v>1.6899999999999999E-7</v>
      </c>
      <c r="AI560" s="185">
        <v>3.7899999999999999E-7</v>
      </c>
      <c r="AJ560" s="136">
        <f t="shared" si="193"/>
        <v>-5.1606796216989785</v>
      </c>
      <c r="AK560" s="136">
        <f>LOG10(AI560*1000/(0.08206*298.15))</f>
        <v>-4.8099271163445794</v>
      </c>
      <c r="AL560" s="136">
        <f t="shared" si="194"/>
        <v>-4.8099271163445794</v>
      </c>
      <c r="AM560" s="136">
        <v>-12.701129999999999</v>
      </c>
      <c r="AN560" s="186">
        <v>-5.34</v>
      </c>
      <c r="AO560" s="481"/>
      <c r="AP560" s="481"/>
      <c r="AQ560" s="186" t="s">
        <v>6314</v>
      </c>
      <c r="AR560" s="186" t="s">
        <v>6314</v>
      </c>
      <c r="AS560" s="183"/>
      <c r="AT560" s="137" t="s">
        <v>266</v>
      </c>
      <c r="AU560" s="135">
        <v>6</v>
      </c>
      <c r="AV560" s="135">
        <v>120</v>
      </c>
      <c r="AW560" s="135">
        <v>114</v>
      </c>
      <c r="AX560" s="135">
        <v>28</v>
      </c>
      <c r="AY560" s="135" t="s">
        <v>8728</v>
      </c>
      <c r="AZ560" s="135" t="s">
        <v>1563</v>
      </c>
      <c r="BA560" s="135">
        <v>32</v>
      </c>
      <c r="BB560" s="138" t="s">
        <v>2485</v>
      </c>
      <c r="BC560" s="138" t="s">
        <v>8726</v>
      </c>
      <c r="BD560" s="138" t="s">
        <v>8374</v>
      </c>
      <c r="BE560" s="135" t="s">
        <v>2449</v>
      </c>
      <c r="BF560" s="135" t="s">
        <v>272</v>
      </c>
      <c r="BG560" s="135" t="s">
        <v>272</v>
      </c>
      <c r="BH560" s="135" t="s">
        <v>2486</v>
      </c>
      <c r="BI560" s="185">
        <v>6.3999999999999997E-6</v>
      </c>
      <c r="BJ560" s="185">
        <v>6.4000000000000001E-2</v>
      </c>
      <c r="BK560" s="135"/>
      <c r="BL560" s="185">
        <f t="shared" si="196"/>
        <v>1.6607337055040557E-3</v>
      </c>
      <c r="BM560" s="138" t="s">
        <v>2487</v>
      </c>
      <c r="BN560" s="135"/>
      <c r="BO560" s="135"/>
      <c r="BP560" s="135"/>
      <c r="BQ560" s="135"/>
      <c r="BR560" s="138" t="s">
        <v>2496</v>
      </c>
      <c r="BS560" s="135"/>
      <c r="BT560" s="135"/>
      <c r="BU560" s="135"/>
      <c r="BV560" s="135"/>
      <c r="BW560" s="135"/>
      <c r="BX560" s="135"/>
      <c r="BY560" s="135"/>
      <c r="BZ560" s="135"/>
      <c r="CA560" s="135"/>
      <c r="CB560" s="135"/>
      <c r="CC560" s="135"/>
      <c r="CD560" s="135"/>
      <c r="CE560" s="135"/>
      <c r="CF560" s="135"/>
      <c r="CG560" s="135"/>
      <c r="CH560" s="135"/>
      <c r="CI560" s="185"/>
      <c r="CJ560" s="187"/>
      <c r="CK560" s="136">
        <f t="shared" si="192"/>
        <v>2.5948964148500869E-2</v>
      </c>
      <c r="CL560" s="188"/>
      <c r="CM560" s="188"/>
      <c r="CN560" s="188"/>
      <c r="CO560" s="138" t="s">
        <v>2488</v>
      </c>
      <c r="CP560" s="138" t="s">
        <v>2489</v>
      </c>
      <c r="CQ560" s="183">
        <v>-2.9739655214729686</v>
      </c>
      <c r="CR560" s="191">
        <f>10^(CJ560-CQ560)</f>
        <v>941.81482311859224</v>
      </c>
      <c r="CS560" s="135" t="s">
        <v>539</v>
      </c>
      <c r="CT560" s="135"/>
      <c r="CU560" s="135"/>
      <c r="CV560" s="332">
        <f t="shared" si="197"/>
        <v>8.1278610070744897E-2</v>
      </c>
      <c r="CW560" s="329">
        <f t="shared" si="190"/>
        <v>0</v>
      </c>
      <c r="CX560" s="329"/>
      <c r="CY560" s="189" t="s">
        <v>5921</v>
      </c>
    </row>
    <row r="561" spans="1:103" ht="11.25" customHeight="1" x14ac:dyDescent="0.2">
      <c r="A561" s="72">
        <v>559</v>
      </c>
      <c r="B561" s="191">
        <v>1628</v>
      </c>
      <c r="C561" s="128" t="s">
        <v>6838</v>
      </c>
      <c r="D561" s="128"/>
      <c r="E561" s="129"/>
      <c r="F561" s="129" t="s">
        <v>4822</v>
      </c>
      <c r="G561" s="192">
        <v>147240</v>
      </c>
      <c r="H561" s="139" t="s">
        <v>4823</v>
      </c>
      <c r="I561" s="139" t="s">
        <v>7931</v>
      </c>
      <c r="J561" s="139" t="s">
        <v>4824</v>
      </c>
      <c r="K561" s="139" t="s">
        <v>426</v>
      </c>
      <c r="L561" s="139"/>
      <c r="M561" s="139"/>
      <c r="N561" s="138"/>
      <c r="O561" s="139"/>
      <c r="P561" s="138"/>
      <c r="Q561" s="138"/>
      <c r="R561" s="138"/>
      <c r="S561" s="138"/>
      <c r="T561" s="130">
        <v>291.82</v>
      </c>
      <c r="U561" s="187"/>
      <c r="V561" s="185">
        <v>2.0642862038242753</v>
      </c>
      <c r="W561" s="185"/>
      <c r="X561" s="185">
        <f>IF(W561=0,V561,W561)</f>
        <v>2.0642862038242753</v>
      </c>
      <c r="Y561" s="194"/>
      <c r="Z561" s="130">
        <v>1.59</v>
      </c>
      <c r="AA561" s="130"/>
      <c r="AB561" s="130"/>
      <c r="AC561" s="130"/>
      <c r="AD561" s="130"/>
      <c r="AE561" s="130"/>
      <c r="AF561" s="130"/>
      <c r="AG561" s="131">
        <v>5.24</v>
      </c>
      <c r="AH561" s="187">
        <v>2.3299999999999999E-16</v>
      </c>
      <c r="AI561" s="187"/>
      <c r="AJ561" s="136">
        <f t="shared" si="193"/>
        <v>-14.021210405286633</v>
      </c>
      <c r="AK561" s="136"/>
      <c r="AL561" s="136">
        <f t="shared" si="194"/>
        <v>-14.021210405286633</v>
      </c>
      <c r="AM561" s="136"/>
      <c r="AN561" s="193">
        <v>-9.56</v>
      </c>
      <c r="AO561" s="481"/>
      <c r="AP561" s="481"/>
      <c r="AQ561" s="193" t="s">
        <v>6311</v>
      </c>
      <c r="AR561" s="193" t="s">
        <v>6316</v>
      </c>
      <c r="AS561" s="191"/>
      <c r="AT561" s="132" t="s">
        <v>266</v>
      </c>
      <c r="AU561" s="130">
        <v>6</v>
      </c>
      <c r="AV561" s="130">
        <v>120</v>
      </c>
      <c r="AW561" s="130">
        <v>114</v>
      </c>
      <c r="AX561" s="130">
        <v>28</v>
      </c>
      <c r="AY561" s="130" t="s">
        <v>8728</v>
      </c>
      <c r="AZ561" s="130" t="s">
        <v>1563</v>
      </c>
      <c r="BA561" s="130">
        <v>32</v>
      </c>
      <c r="BB561" s="139" t="s">
        <v>2485</v>
      </c>
      <c r="BC561" s="139" t="s">
        <v>8726</v>
      </c>
      <c r="BD561" s="139" t="s">
        <v>8374</v>
      </c>
      <c r="BE561" s="130" t="s">
        <v>2449</v>
      </c>
      <c r="BF561" s="130" t="s">
        <v>272</v>
      </c>
      <c r="BG561" s="130" t="s">
        <v>272</v>
      </c>
      <c r="BH561" s="130" t="s">
        <v>2486</v>
      </c>
      <c r="BI561" s="187">
        <v>6.3999999999999997E-6</v>
      </c>
      <c r="BJ561" s="187">
        <v>6.4000000000000001E-2</v>
      </c>
      <c r="BK561" s="130"/>
      <c r="BL561" s="187">
        <f t="shared" si="196"/>
        <v>1.9178780998685401</v>
      </c>
      <c r="BM561" s="139" t="s">
        <v>2487</v>
      </c>
      <c r="BN561" s="130"/>
      <c r="BO561" s="130"/>
      <c r="BP561" s="130"/>
      <c r="BQ561" s="130"/>
      <c r="BR561" s="139" t="s">
        <v>2496</v>
      </c>
      <c r="BS561" s="130"/>
      <c r="BT561" s="130"/>
      <c r="BU561" s="195"/>
      <c r="BV561" s="130"/>
      <c r="BW561" s="130"/>
      <c r="BX561" s="130"/>
      <c r="BY561" s="130"/>
      <c r="BZ561" s="130"/>
      <c r="CA561" s="130"/>
      <c r="CB561" s="130"/>
      <c r="CC561" s="130"/>
      <c r="CD561" s="130"/>
      <c r="CE561" s="130"/>
      <c r="CF561" s="130"/>
      <c r="CG561" s="130"/>
      <c r="CH561" s="130"/>
      <c r="CI561" s="187"/>
      <c r="CJ561" s="187"/>
      <c r="CK561" s="131">
        <f t="shared" si="192"/>
        <v>29.966845310445937</v>
      </c>
      <c r="CL561" s="188"/>
      <c r="CM561" s="188"/>
      <c r="CN561" s="188"/>
      <c r="CO561" s="139" t="s">
        <v>2488</v>
      </c>
      <c r="CP561" s="139" t="s">
        <v>2489</v>
      </c>
      <c r="CQ561" s="191" t="s">
        <v>272</v>
      </c>
      <c r="CR561" s="191"/>
      <c r="CS561" s="135" t="s">
        <v>539</v>
      </c>
      <c r="CT561" s="135"/>
      <c r="CU561" s="135"/>
      <c r="CV561" s="332">
        <f t="shared" si="197"/>
        <v>32.254471934754299</v>
      </c>
      <c r="CW561" s="329">
        <f t="shared" si="190"/>
        <v>1</v>
      </c>
      <c r="CX561" s="329"/>
      <c r="CY561" s="189" t="s">
        <v>5921</v>
      </c>
    </row>
    <row r="562" spans="1:103" ht="11.25" customHeight="1" x14ac:dyDescent="0.2">
      <c r="A562" s="72">
        <v>560</v>
      </c>
      <c r="B562" s="191">
        <v>1481</v>
      </c>
      <c r="C562" s="128" t="s">
        <v>6839</v>
      </c>
      <c r="D562" s="128"/>
      <c r="E562" s="129"/>
      <c r="F562" s="129" t="s">
        <v>4551</v>
      </c>
      <c r="G562" s="192">
        <v>154427</v>
      </c>
      <c r="H562" s="139" t="s">
        <v>4552</v>
      </c>
      <c r="I562" s="139" t="s">
        <v>4552</v>
      </c>
      <c r="J562" s="139" t="s">
        <v>4553</v>
      </c>
      <c r="K562" s="139" t="s">
        <v>1064</v>
      </c>
      <c r="L562" s="139" t="s">
        <v>279</v>
      </c>
      <c r="M562" s="139" t="s">
        <v>4554</v>
      </c>
      <c r="N562" s="138" t="s">
        <v>6383</v>
      </c>
      <c r="O562" s="139" t="s">
        <v>281</v>
      </c>
      <c r="P562" s="138"/>
      <c r="Q562" s="138"/>
      <c r="R562" s="138"/>
      <c r="S562" s="138"/>
      <c r="T562" s="130">
        <v>167.19</v>
      </c>
      <c r="U562" s="187"/>
      <c r="V562" s="185">
        <v>217.11824869908489</v>
      </c>
      <c r="W562" s="185">
        <v>1.6982436524617426</v>
      </c>
      <c r="X562" s="185">
        <f>IF(W562=0,V562,W562)</f>
        <v>1.6982436524617426</v>
      </c>
      <c r="Y562" s="194">
        <v>4.7300000000000004</v>
      </c>
      <c r="Z562" s="130">
        <v>-0.31</v>
      </c>
      <c r="AA562" s="130">
        <v>-7.0000000000000007E-2</v>
      </c>
      <c r="AB562" s="130">
        <v>-0.2</v>
      </c>
      <c r="AC562" s="130">
        <v>0.67159999999999997</v>
      </c>
      <c r="AD562" s="130">
        <v>-0.19</v>
      </c>
      <c r="AE562" s="130">
        <v>-0.16</v>
      </c>
      <c r="AF562" s="130">
        <f t="shared" ref="AF562:AF593" si="198">IF(AA562=0,AD562,AA562)</f>
        <v>-7.0000000000000007E-2</v>
      </c>
      <c r="AG562" s="131">
        <v>4.76</v>
      </c>
      <c r="AH562" s="187">
        <v>4.6399999999999997E-15</v>
      </c>
      <c r="AI562" s="187"/>
      <c r="AJ562" s="136">
        <f t="shared" si="193"/>
        <v>-12.722048345757772</v>
      </c>
      <c r="AK562" s="136"/>
      <c r="AL562" s="136">
        <f t="shared" si="194"/>
        <v>-12.722048345757772</v>
      </c>
      <c r="AM562" s="136">
        <v>-16.542259999999999</v>
      </c>
      <c r="AN562" s="193">
        <v>-16.100000000000001</v>
      </c>
      <c r="AO562" s="481">
        <v>6.79</v>
      </c>
      <c r="AP562" s="481">
        <v>2.4500000000000002</v>
      </c>
      <c r="AQ562" s="130" t="s">
        <v>6311</v>
      </c>
      <c r="AR562" s="130" t="s">
        <v>6311</v>
      </c>
      <c r="AS562" s="198"/>
      <c r="AT562" s="132" t="s">
        <v>266</v>
      </c>
      <c r="AU562" s="130">
        <v>6</v>
      </c>
      <c r="AV562" s="130">
        <v>120</v>
      </c>
      <c r="AW562" s="130">
        <v>114</v>
      </c>
      <c r="AX562" s="130">
        <v>28</v>
      </c>
      <c r="AY562" s="130" t="s">
        <v>8728</v>
      </c>
      <c r="AZ562" s="130" t="s">
        <v>1563</v>
      </c>
      <c r="BA562" s="130">
        <v>32</v>
      </c>
      <c r="BB562" s="139" t="s">
        <v>2485</v>
      </c>
      <c r="BC562" s="139" t="s">
        <v>8726</v>
      </c>
      <c r="BD562" s="139" t="s">
        <v>8374</v>
      </c>
      <c r="BE562" s="130" t="s">
        <v>2449</v>
      </c>
      <c r="BF562" s="130" t="s">
        <v>272</v>
      </c>
      <c r="BG562" s="130" t="s">
        <v>272</v>
      </c>
      <c r="BH562" s="130" t="s">
        <v>2486</v>
      </c>
      <c r="BI562" s="187">
        <v>6.3999999999999997E-6</v>
      </c>
      <c r="BJ562" s="187">
        <v>6.4000000000000001E-2</v>
      </c>
      <c r="BK562" s="130"/>
      <c r="BL562" s="187">
        <f t="shared" si="196"/>
        <v>97.546344709092068</v>
      </c>
      <c r="BM562" s="139" t="s">
        <v>2487</v>
      </c>
      <c r="BN562" s="130"/>
      <c r="BO562" s="130"/>
      <c r="BP562" s="130"/>
      <c r="BQ562" s="130"/>
      <c r="BR562" s="139" t="s">
        <v>2496</v>
      </c>
      <c r="BS562" s="130"/>
      <c r="BT562" s="130"/>
      <c r="BU562" s="195"/>
      <c r="BV562" s="130"/>
      <c r="BW562" s="130"/>
      <c r="BX562" s="130"/>
      <c r="BY562" s="130"/>
      <c r="BZ562" s="130"/>
      <c r="CA562" s="130"/>
      <c r="CB562" s="130"/>
      <c r="CC562" s="130"/>
      <c r="CD562" s="130"/>
      <c r="CE562" s="130"/>
      <c r="CF562" s="130"/>
      <c r="CG562" s="130"/>
      <c r="CH562" s="130"/>
      <c r="CI562" s="187"/>
      <c r="CJ562" s="187"/>
      <c r="CK562" s="131">
        <f t="shared" si="192"/>
        <v>1524.1616360795636</v>
      </c>
      <c r="CL562" s="188"/>
      <c r="CM562" s="188"/>
      <c r="CN562" s="188"/>
      <c r="CO562" s="139" t="s">
        <v>2488</v>
      </c>
      <c r="CP562" s="139" t="s">
        <v>2489</v>
      </c>
      <c r="CQ562" s="191" t="s">
        <v>272</v>
      </c>
      <c r="CR562" s="191"/>
      <c r="CS562" s="135" t="s">
        <v>539</v>
      </c>
      <c r="CT562" s="135"/>
      <c r="CU562" s="135"/>
      <c r="CV562" s="332">
        <f t="shared" si="197"/>
        <v>26.535057069714728</v>
      </c>
      <c r="CW562" s="329">
        <f t="shared" si="190"/>
        <v>1</v>
      </c>
      <c r="CX562" s="329"/>
      <c r="CY562" s="189" t="s">
        <v>5921</v>
      </c>
    </row>
    <row r="563" spans="1:103" ht="11.25" customHeight="1" x14ac:dyDescent="0.2">
      <c r="A563" s="72">
        <v>561</v>
      </c>
      <c r="B563" s="183">
        <v>1519</v>
      </c>
      <c r="C563" s="133" t="s">
        <v>6840</v>
      </c>
      <c r="D563" s="133"/>
      <c r="E563" s="134"/>
      <c r="F563" s="134" t="s">
        <v>4611</v>
      </c>
      <c r="G563" s="184">
        <v>205992</v>
      </c>
      <c r="H563" s="138" t="s">
        <v>4612</v>
      </c>
      <c r="I563" s="138" t="s">
        <v>4612</v>
      </c>
      <c r="J563" s="138" t="s">
        <v>4613</v>
      </c>
      <c r="K563" s="138" t="s">
        <v>426</v>
      </c>
      <c r="L563" s="138"/>
      <c r="M563" s="138"/>
      <c r="N563" s="138"/>
      <c r="O563" s="138"/>
      <c r="P563" s="138"/>
      <c r="Q563" s="138"/>
      <c r="R563" s="138"/>
      <c r="S563" s="138"/>
      <c r="T563" s="135">
        <v>252.31</v>
      </c>
      <c r="U563" s="185">
        <v>5.9450675756014424E-6</v>
      </c>
      <c r="V563" s="185">
        <v>8.1843763624113197E-5</v>
      </c>
      <c r="W563" s="185">
        <v>2.0417379446695271E-5</v>
      </c>
      <c r="X563" s="185">
        <v>5.9450675756014424E-6</v>
      </c>
      <c r="Y563" s="204">
        <v>7</v>
      </c>
      <c r="Z563" s="135">
        <v>6.11</v>
      </c>
      <c r="AA563" s="135">
        <v>5.78</v>
      </c>
      <c r="AB563" s="135">
        <v>6.26</v>
      </c>
      <c r="AC563" s="135">
        <v>0.82799999999999996</v>
      </c>
      <c r="AD563" s="135">
        <v>6.3</v>
      </c>
      <c r="AE563" s="135">
        <v>6.4</v>
      </c>
      <c r="AF563" s="135">
        <f t="shared" si="198"/>
        <v>5.78</v>
      </c>
      <c r="AG563" s="136">
        <v>5.65</v>
      </c>
      <c r="AH563" s="185">
        <v>8.0999999999999997E-7</v>
      </c>
      <c r="AI563" s="185">
        <v>6.5700000000000002E-7</v>
      </c>
      <c r="AJ563" s="136">
        <f t="shared" si="193"/>
        <v>-4.480081307434002</v>
      </c>
      <c r="AK563" s="136">
        <f>LOG10(AI563*1000/(0.08206*298.15))</f>
        <v>-4.5710009567528713</v>
      </c>
      <c r="AL563" s="136">
        <f t="shared" si="194"/>
        <v>-4.5710009567528713</v>
      </c>
      <c r="AM563" s="136">
        <v>-10.442740000000001</v>
      </c>
      <c r="AN563" s="186">
        <v>-4.2699999999999996</v>
      </c>
      <c r="AO563" s="481"/>
      <c r="AP563" s="481"/>
      <c r="AQ563" s="135" t="s">
        <v>6311</v>
      </c>
      <c r="AR563" s="135" t="s">
        <v>6311</v>
      </c>
      <c r="AS563" s="190"/>
      <c r="AT563" s="137" t="s">
        <v>266</v>
      </c>
      <c r="AU563" s="135">
        <v>6</v>
      </c>
      <c r="AV563" s="135">
        <v>120</v>
      </c>
      <c r="AW563" s="135">
        <v>114</v>
      </c>
      <c r="AX563" s="135">
        <v>28</v>
      </c>
      <c r="AY563" s="135" t="s">
        <v>8728</v>
      </c>
      <c r="AZ563" s="135" t="s">
        <v>1563</v>
      </c>
      <c r="BA563" s="135">
        <v>32</v>
      </c>
      <c r="BB563" s="138" t="s">
        <v>2485</v>
      </c>
      <c r="BC563" s="138" t="s">
        <v>8726</v>
      </c>
      <c r="BD563" s="138" t="s">
        <v>8374</v>
      </c>
      <c r="BE563" s="135" t="s">
        <v>2449</v>
      </c>
      <c r="BF563" s="135" t="s">
        <v>272</v>
      </c>
      <c r="BG563" s="135" t="s">
        <v>272</v>
      </c>
      <c r="BH563" s="135" t="s">
        <v>2486</v>
      </c>
      <c r="BI563" s="185">
        <v>6.3999999999999997E-6</v>
      </c>
      <c r="BJ563" s="185">
        <v>6.4000000000000001E-2</v>
      </c>
      <c r="BK563" s="135"/>
      <c r="BL563" s="185">
        <f t="shared" si="196"/>
        <v>1.6726651173842785E-4</v>
      </c>
      <c r="BM563" s="138" t="s">
        <v>2487</v>
      </c>
      <c r="BN563" s="135"/>
      <c r="BO563" s="135"/>
      <c r="BP563" s="135"/>
      <c r="BQ563" s="135"/>
      <c r="BR563" s="138" t="s">
        <v>2496</v>
      </c>
      <c r="BS563" s="135"/>
      <c r="BT563" s="135"/>
      <c r="BU563" s="135"/>
      <c r="BV563" s="135"/>
      <c r="BW563" s="135"/>
      <c r="BX563" s="135"/>
      <c r="BY563" s="135"/>
      <c r="BZ563" s="135"/>
      <c r="CA563" s="135"/>
      <c r="CB563" s="135"/>
      <c r="CC563" s="135"/>
      <c r="CD563" s="135"/>
      <c r="CE563" s="135"/>
      <c r="CF563" s="135"/>
      <c r="CG563" s="135"/>
      <c r="CH563" s="135"/>
      <c r="CI563" s="185"/>
      <c r="CJ563" s="187"/>
      <c r="CK563" s="136">
        <f t="shared" si="192"/>
        <v>2.6135392459129352E-3</v>
      </c>
      <c r="CL563" s="188"/>
      <c r="CM563" s="188"/>
      <c r="CN563" s="188"/>
      <c r="CO563" s="138" t="s">
        <v>2488</v>
      </c>
      <c r="CP563" s="138" t="s">
        <v>2489</v>
      </c>
      <c r="CQ563" s="191" t="s">
        <v>272</v>
      </c>
      <c r="CR563" s="191"/>
      <c r="CS563" s="135" t="s">
        <v>539</v>
      </c>
      <c r="CT563" s="135"/>
      <c r="CU563" s="135"/>
      <c r="CV563" s="332">
        <f t="shared" si="197"/>
        <v>9.2891680868772538E-5</v>
      </c>
      <c r="CW563" s="329">
        <f t="shared" si="190"/>
        <v>0</v>
      </c>
      <c r="CX563" s="329"/>
      <c r="CY563" s="189" t="s">
        <v>5921</v>
      </c>
    </row>
    <row r="564" spans="1:103" ht="11.25" customHeight="1" x14ac:dyDescent="0.2">
      <c r="A564" s="72">
        <v>562</v>
      </c>
      <c r="B564" s="183">
        <v>1909</v>
      </c>
      <c r="C564" s="133" t="s">
        <v>1531</v>
      </c>
      <c r="D564" s="133" t="s">
        <v>6771</v>
      </c>
      <c r="E564" s="134"/>
      <c r="F564" s="134" t="s">
        <v>1532</v>
      </c>
      <c r="G564" s="184">
        <v>78488</v>
      </c>
      <c r="H564" s="138" t="s">
        <v>1533</v>
      </c>
      <c r="I564" s="138" t="s">
        <v>1533</v>
      </c>
      <c r="J564" s="138" t="s">
        <v>1534</v>
      </c>
      <c r="K564" s="138" t="s">
        <v>637</v>
      </c>
      <c r="L564" s="138" t="s">
        <v>6018</v>
      </c>
      <c r="M564" s="138" t="s">
        <v>6019</v>
      </c>
      <c r="N564" s="138" t="s">
        <v>6376</v>
      </c>
      <c r="O564" s="140" t="s">
        <v>6020</v>
      </c>
      <c r="P564" s="138"/>
      <c r="Q564" s="138"/>
      <c r="R564" s="138"/>
      <c r="S564" s="138"/>
      <c r="T564" s="135">
        <v>314.51</v>
      </c>
      <c r="U564" s="185">
        <v>7.3129630218435023E-3</v>
      </c>
      <c r="V564" s="185">
        <v>4.3528027725668497E-4</v>
      </c>
      <c r="W564" s="185">
        <v>0.40738027780411218</v>
      </c>
      <c r="X564" s="185">
        <v>7.3129630218435023E-3</v>
      </c>
      <c r="Y564" s="204">
        <v>7</v>
      </c>
      <c r="Z564" s="135">
        <v>5.75</v>
      </c>
      <c r="AA564" s="135">
        <v>5.7</v>
      </c>
      <c r="AB564" s="135">
        <v>4.28</v>
      </c>
      <c r="AC564" s="135">
        <v>0.81089999999999995</v>
      </c>
      <c r="AD564" s="135">
        <v>3.95</v>
      </c>
      <c r="AE564" s="135">
        <v>3.23</v>
      </c>
      <c r="AF564" s="135">
        <f t="shared" si="198"/>
        <v>5.7</v>
      </c>
      <c r="AG564" s="136">
        <v>5.3</v>
      </c>
      <c r="AH564" s="185">
        <v>5.2799999999999996E-7</v>
      </c>
      <c r="AI564" s="185">
        <v>2.9400000000000001E-7</v>
      </c>
      <c r="AJ564" s="136">
        <f t="shared" ref="AJ564:AJ595" si="199">LOG10(AH564*1000/(0.08206*298.15))</f>
        <v>-4.6659324037788394</v>
      </c>
      <c r="AK564" s="136">
        <f>LOG10(AI564*1000/(0.08206*298.15))</f>
        <v>-4.9202189959004947</v>
      </c>
      <c r="AL564" s="136">
        <f t="shared" ref="AL564:AL595" si="200">IF(AK564=0,AJ564,AK564)</f>
        <v>-4.9202189959004947</v>
      </c>
      <c r="AM564" s="136">
        <v>-8.7748200000000001</v>
      </c>
      <c r="AN564" s="186">
        <v>-4.34</v>
      </c>
      <c r="AO564" s="481"/>
      <c r="AP564" s="481"/>
      <c r="AQ564" s="186" t="s">
        <v>6312</v>
      </c>
      <c r="AR564" s="186" t="s">
        <v>6312</v>
      </c>
      <c r="AS564" s="183"/>
      <c r="AT564" s="137" t="s">
        <v>266</v>
      </c>
      <c r="AU564" s="135">
        <v>6</v>
      </c>
      <c r="AV564" s="135">
        <v>120</v>
      </c>
      <c r="AW564" s="135">
        <v>114</v>
      </c>
      <c r="AX564" s="135">
        <v>28</v>
      </c>
      <c r="AY564" s="135" t="s">
        <v>8728</v>
      </c>
      <c r="AZ564" s="135" t="s">
        <v>1563</v>
      </c>
      <c r="BA564" s="135">
        <v>32</v>
      </c>
      <c r="BB564" s="138" t="s">
        <v>2485</v>
      </c>
      <c r="BC564" s="138" t="s">
        <v>8726</v>
      </c>
      <c r="BD564" s="138" t="s">
        <v>8374</v>
      </c>
      <c r="BE564" s="135" t="s">
        <v>2449</v>
      </c>
      <c r="BF564" s="135" t="s">
        <v>272</v>
      </c>
      <c r="BG564" s="135" t="s">
        <v>272</v>
      </c>
      <c r="BH564" s="135" t="s">
        <v>2486</v>
      </c>
      <c r="BI564" s="185">
        <v>6.3999999999999997E-6</v>
      </c>
      <c r="BJ564" s="185">
        <v>6.4000000000000001E-2</v>
      </c>
      <c r="BK564" s="135"/>
      <c r="BL564" s="185">
        <f t="shared" si="196"/>
        <v>3.5214781659360505E-4</v>
      </c>
      <c r="BM564" s="138" t="s">
        <v>2487</v>
      </c>
      <c r="BN564" s="135"/>
      <c r="BO564" s="135"/>
      <c r="BP564" s="135"/>
      <c r="BQ564" s="135"/>
      <c r="BR564" s="138" t="s">
        <v>2496</v>
      </c>
      <c r="BS564" s="135"/>
      <c r="BT564" s="135"/>
      <c r="BU564" s="135"/>
      <c r="BV564" s="135"/>
      <c r="BW564" s="135"/>
      <c r="BX564" s="135"/>
      <c r="BY564" s="135"/>
      <c r="BZ564" s="135"/>
      <c r="CA564" s="135"/>
      <c r="CB564" s="135"/>
      <c r="CC564" s="135"/>
      <c r="CD564" s="135"/>
      <c r="CE564" s="135"/>
      <c r="CF564" s="135"/>
      <c r="CG564" s="135"/>
      <c r="CH564" s="135"/>
      <c r="CI564" s="185"/>
      <c r="CJ564" s="187"/>
      <c r="CK564" s="136">
        <f t="shared" si="192"/>
        <v>5.502309634275079E-3</v>
      </c>
      <c r="CL564" s="188"/>
      <c r="CM564" s="188">
        <v>-2.7133947863995984</v>
      </c>
      <c r="CN564" s="188">
        <f>BJ564/(10^CM564)</f>
        <v>33.080705299368496</v>
      </c>
      <c r="CO564" s="138" t="s">
        <v>2488</v>
      </c>
      <c r="CP564" s="138" t="s">
        <v>2489</v>
      </c>
      <c r="CQ564" s="183">
        <v>-2.6366286941465695</v>
      </c>
      <c r="CR564" s="191">
        <f>10^(CJ564-CQ564)</f>
        <v>433.14040088127138</v>
      </c>
      <c r="CS564" s="135" t="s">
        <v>539</v>
      </c>
      <c r="CT564" s="135"/>
      <c r="CU564" s="135"/>
      <c r="CV564" s="332">
        <f t="shared" si="197"/>
        <v>0.11426504721630472</v>
      </c>
      <c r="CW564" s="329">
        <f t="shared" si="190"/>
        <v>0</v>
      </c>
      <c r="CX564" s="329"/>
      <c r="CY564" s="189" t="s">
        <v>5921</v>
      </c>
    </row>
    <row r="565" spans="1:103" ht="11.25" customHeight="1" x14ac:dyDescent="0.2">
      <c r="A565" s="72">
        <v>563</v>
      </c>
      <c r="B565" s="183">
        <v>1352</v>
      </c>
      <c r="C565" s="133" t="s">
        <v>4185</v>
      </c>
      <c r="D565" s="133" t="s">
        <v>6841</v>
      </c>
      <c r="E565" s="134"/>
      <c r="F565" s="134" t="s">
        <v>4186</v>
      </c>
      <c r="G565" s="184">
        <v>112538</v>
      </c>
      <c r="H565" s="138" t="s">
        <v>4187</v>
      </c>
      <c r="I565" s="138" t="s">
        <v>4187</v>
      </c>
      <c r="J565" s="138" t="s">
        <v>4188</v>
      </c>
      <c r="K565" s="138" t="s">
        <v>426</v>
      </c>
      <c r="L565" s="138" t="s">
        <v>6146</v>
      </c>
      <c r="M565" s="138" t="s">
        <v>6082</v>
      </c>
      <c r="N565" s="138" t="s">
        <v>6082</v>
      </c>
      <c r="O565" s="138"/>
      <c r="P565" s="138" t="s">
        <v>6183</v>
      </c>
      <c r="Q565" s="138" t="s">
        <v>6173</v>
      </c>
      <c r="R565" s="138" t="s">
        <v>6185</v>
      </c>
      <c r="S565" s="138" t="s">
        <v>6182</v>
      </c>
      <c r="T565" s="135">
        <v>186.33</v>
      </c>
      <c r="U565" s="185">
        <v>2.1467289218053989E-2</v>
      </c>
      <c r="V565" s="185">
        <v>3.7020340256534105E-2</v>
      </c>
      <c r="W565" s="185">
        <v>4.1686938347033506E-2</v>
      </c>
      <c r="X565" s="185">
        <v>2.1467289218053989E-2</v>
      </c>
      <c r="Y565" s="204">
        <v>7</v>
      </c>
      <c r="Z565" s="135">
        <v>4.7699999999999996</v>
      </c>
      <c r="AA565" s="135">
        <v>5.13</v>
      </c>
      <c r="AB565" s="135">
        <v>4.96</v>
      </c>
      <c r="AC565" s="135">
        <v>0.92349999999999999</v>
      </c>
      <c r="AD565" s="135">
        <v>5</v>
      </c>
      <c r="AE565" s="135">
        <v>5.13</v>
      </c>
      <c r="AF565" s="135">
        <f t="shared" si="198"/>
        <v>5.13</v>
      </c>
      <c r="AG565" s="136">
        <v>4.41</v>
      </c>
      <c r="AH565" s="185">
        <v>9.6299999999999996E-5</v>
      </c>
      <c r="AI565" s="185">
        <v>2.2200000000000001E-5</v>
      </c>
      <c r="AJ565" s="136">
        <f t="shared" si="199"/>
        <v>-2.4049400391881171</v>
      </c>
      <c r="AK565" s="136">
        <f>LOG10(AI565*1000/(0.08206*298.15))</f>
        <v>-3.0422133518620131</v>
      </c>
      <c r="AL565" s="136">
        <f t="shared" si="200"/>
        <v>-3.0422133518620131</v>
      </c>
      <c r="AM565" s="136">
        <v>-4.4692699999999999</v>
      </c>
      <c r="AN565" s="186">
        <v>-2.25</v>
      </c>
      <c r="AO565" s="481">
        <v>15.2</v>
      </c>
      <c r="AP565" s="481"/>
      <c r="AQ565" s="135" t="s">
        <v>6311</v>
      </c>
      <c r="AR565" s="135" t="s">
        <v>6311</v>
      </c>
      <c r="AS565" s="190"/>
      <c r="AT565" s="137" t="s">
        <v>266</v>
      </c>
      <c r="AU565" s="135">
        <v>6</v>
      </c>
      <c r="AV565" s="135">
        <v>120</v>
      </c>
      <c r="AW565" s="135">
        <v>114</v>
      </c>
      <c r="AX565" s="135">
        <v>28</v>
      </c>
      <c r="AY565" s="135" t="s">
        <v>8728</v>
      </c>
      <c r="AZ565" s="135" t="s">
        <v>1563</v>
      </c>
      <c r="BA565" s="135">
        <v>32</v>
      </c>
      <c r="BB565" s="138" t="s">
        <v>2485</v>
      </c>
      <c r="BC565" s="138" t="s">
        <v>8726</v>
      </c>
      <c r="BD565" s="138" t="s">
        <v>8374</v>
      </c>
      <c r="BE565" s="135" t="s">
        <v>2449</v>
      </c>
      <c r="BF565" s="135" t="s">
        <v>272</v>
      </c>
      <c r="BG565" s="135" t="s">
        <v>272</v>
      </c>
      <c r="BH565" s="135" t="s">
        <v>2486</v>
      </c>
      <c r="BI565" s="185">
        <v>6.3999999999999997E-6</v>
      </c>
      <c r="BJ565" s="185">
        <v>6.4000000000000001E-2</v>
      </c>
      <c r="BK565" s="135"/>
      <c r="BL565" s="185">
        <f t="shared" si="196"/>
        <v>2.6721633306612523E-3</v>
      </c>
      <c r="BM565" s="138" t="s">
        <v>2487</v>
      </c>
      <c r="BN565" s="135"/>
      <c r="BO565" s="135"/>
      <c r="BP565" s="135"/>
      <c r="BQ565" s="135"/>
      <c r="BR565" s="138" t="s">
        <v>2496</v>
      </c>
      <c r="BS565" s="135"/>
      <c r="BT565" s="135"/>
      <c r="BU565" s="135"/>
      <c r="BV565" s="135"/>
      <c r="BW565" s="135"/>
      <c r="BX565" s="135"/>
      <c r="BY565" s="135"/>
      <c r="BZ565" s="135"/>
      <c r="CA565" s="135"/>
      <c r="CB565" s="135"/>
      <c r="CC565" s="135"/>
      <c r="CD565" s="135"/>
      <c r="CE565" s="135"/>
      <c r="CF565" s="135"/>
      <c r="CG565" s="135"/>
      <c r="CH565" s="135"/>
      <c r="CI565" s="185"/>
      <c r="CJ565" s="187"/>
      <c r="CK565" s="136">
        <f t="shared" si="192"/>
        <v>4.1752552041582063E-2</v>
      </c>
      <c r="CL565" s="188"/>
      <c r="CM565" s="188"/>
      <c r="CN565" s="188"/>
      <c r="CO565" s="138" t="s">
        <v>2488</v>
      </c>
      <c r="CP565" s="138" t="s">
        <v>2489</v>
      </c>
      <c r="CQ565" s="183">
        <v>-2.268122097073892</v>
      </c>
      <c r="CR565" s="191">
        <f>10^(CJ565-CQ565)</f>
        <v>185.4052796518275</v>
      </c>
      <c r="CS565" s="135" t="s">
        <v>539</v>
      </c>
      <c r="CT565" s="135"/>
      <c r="CU565" s="135"/>
      <c r="CV565" s="332">
        <f t="shared" si="197"/>
        <v>0.33542639403209357</v>
      </c>
      <c r="CW565" s="329">
        <f t="shared" si="190"/>
        <v>0</v>
      </c>
      <c r="CX565" s="329"/>
      <c r="CY565" s="189" t="s">
        <v>6351</v>
      </c>
    </row>
    <row r="566" spans="1:103" ht="11.25" customHeight="1" x14ac:dyDescent="0.2">
      <c r="A566" s="72">
        <v>564</v>
      </c>
      <c r="B566" s="191">
        <v>1997</v>
      </c>
      <c r="C566" s="128" t="s">
        <v>6842</v>
      </c>
      <c r="D566" s="128"/>
      <c r="E566" s="129"/>
      <c r="F566" s="134" t="s">
        <v>2050</v>
      </c>
      <c r="G566" s="192">
        <v>335671</v>
      </c>
      <c r="H566" s="138" t="s">
        <v>2051</v>
      </c>
      <c r="I566" s="138" t="s">
        <v>2051</v>
      </c>
      <c r="J566" s="138" t="s">
        <v>2052</v>
      </c>
      <c r="K566" s="138" t="s">
        <v>426</v>
      </c>
      <c r="L566" s="138" t="s">
        <v>5527</v>
      </c>
      <c r="M566" s="138"/>
      <c r="N566" s="138"/>
      <c r="O566" s="138"/>
      <c r="P566" s="138"/>
      <c r="Q566" s="138"/>
      <c r="R566" s="138"/>
      <c r="S566" s="138"/>
      <c r="T566" s="135">
        <v>414.07</v>
      </c>
      <c r="U566" s="185"/>
      <c r="V566" s="185">
        <v>1.1623638515226894E-3</v>
      </c>
      <c r="W566" s="185">
        <v>1.0715193052376053</v>
      </c>
      <c r="X566" s="185">
        <f>IF(W566=0,V566,W566)</f>
        <v>1.0715193052376053</v>
      </c>
      <c r="Y566" s="204">
        <v>2.98</v>
      </c>
      <c r="Z566" s="135">
        <v>4.8099999999999996</v>
      </c>
      <c r="AA566" s="135"/>
      <c r="AB566" s="135">
        <v>4.2</v>
      </c>
      <c r="AC566" s="135">
        <v>0.57179999999999997</v>
      </c>
      <c r="AD566" s="135">
        <v>5.57</v>
      </c>
      <c r="AE566" s="135">
        <v>7.75</v>
      </c>
      <c r="AF566" s="135">
        <f t="shared" si="198"/>
        <v>5.57</v>
      </c>
      <c r="AG566" s="136">
        <v>3.71</v>
      </c>
      <c r="AH566" s="185">
        <v>9.0800000000000006E-2</v>
      </c>
      <c r="AI566" s="185"/>
      <c r="AJ566" s="136">
        <f t="shared" si="199"/>
        <v>0.56951952220843338</v>
      </c>
      <c r="AK566" s="136"/>
      <c r="AL566" s="136">
        <f t="shared" si="200"/>
        <v>0.56951952220843338</v>
      </c>
      <c r="AM566" s="136">
        <v>-2.2879299999999998</v>
      </c>
      <c r="AN566" s="186">
        <v>-6.0853999999999999</v>
      </c>
      <c r="AO566" s="481">
        <v>0.5</v>
      </c>
      <c r="AP566" s="481"/>
      <c r="AQ566" s="186" t="s">
        <v>6311</v>
      </c>
      <c r="AR566" s="186" t="s">
        <v>6311</v>
      </c>
      <c r="AS566" s="183" t="s">
        <v>5466</v>
      </c>
      <c r="AT566" s="137" t="s">
        <v>266</v>
      </c>
      <c r="AU566" s="135">
        <v>1</v>
      </c>
      <c r="AV566" s="135">
        <v>96</v>
      </c>
      <c r="AW566" s="135">
        <v>95</v>
      </c>
      <c r="AX566" s="135">
        <v>26</v>
      </c>
      <c r="AY566" s="199">
        <v>0.59027777777777779</v>
      </c>
      <c r="AZ566" s="200" t="s">
        <v>536</v>
      </c>
      <c r="BA566" s="135">
        <v>20</v>
      </c>
      <c r="BB566" s="138" t="s">
        <v>1764</v>
      </c>
      <c r="BC566" s="138" t="s">
        <v>6264</v>
      </c>
      <c r="BD566" s="138"/>
      <c r="BE566" s="138" t="s">
        <v>6265</v>
      </c>
      <c r="BF566" s="135" t="s">
        <v>272</v>
      </c>
      <c r="BG566" s="135" t="s">
        <v>272</v>
      </c>
      <c r="BH566" s="135" t="s">
        <v>5936</v>
      </c>
      <c r="BI566" s="185">
        <f>(10^(-1))/414.07</f>
        <v>2.415050595309972E-4</v>
      </c>
      <c r="BJ566" s="185">
        <f>500/T566</f>
        <v>1.207525297654986</v>
      </c>
      <c r="BK566" s="201"/>
      <c r="BL566" s="185">
        <f t="shared" si="196"/>
        <v>2.4600220508641203E-3</v>
      </c>
      <c r="BM566" s="135" t="s">
        <v>6266</v>
      </c>
      <c r="BN566" s="135"/>
      <c r="BO566" s="135"/>
      <c r="BP566" s="135"/>
      <c r="BQ566" s="189"/>
      <c r="BR566" s="189"/>
      <c r="BS566" s="135"/>
      <c r="BT566" s="135"/>
      <c r="BU566" s="195"/>
      <c r="BV566" s="135"/>
      <c r="BW566" s="135"/>
      <c r="BX566" s="135"/>
      <c r="BY566" s="135"/>
      <c r="BZ566" s="135"/>
      <c r="CA566" s="135"/>
      <c r="CB566" s="135"/>
      <c r="CC566" s="135"/>
      <c r="CD566" s="135"/>
      <c r="CE566" s="135"/>
      <c r="CF566" s="135"/>
      <c r="CG566" s="135"/>
      <c r="CH566" s="135"/>
      <c r="CI566" s="185"/>
      <c r="CJ566" s="187"/>
      <c r="CK566" s="131">
        <f t="shared" si="192"/>
        <v>2.0372426612026125E-3</v>
      </c>
      <c r="CL566" s="188"/>
      <c r="CM566" s="188"/>
      <c r="CN566" s="188"/>
      <c r="CO566" s="138"/>
      <c r="CP566" s="138" t="s">
        <v>6270</v>
      </c>
      <c r="CQ566" s="191" t="s">
        <v>272</v>
      </c>
      <c r="CR566" s="191"/>
      <c r="CS566" s="135" t="s">
        <v>539</v>
      </c>
      <c r="CT566" s="135"/>
      <c r="CU566" s="135"/>
      <c r="CV566" s="332">
        <f t="shared" si="197"/>
        <v>0.88736799743947037</v>
      </c>
      <c r="CW566" s="329">
        <f t="shared" si="190"/>
        <v>0</v>
      </c>
      <c r="CX566" s="329"/>
      <c r="CY566" s="189" t="s">
        <v>5921</v>
      </c>
    </row>
    <row r="567" spans="1:103" ht="11.25" customHeight="1" x14ac:dyDescent="0.2">
      <c r="A567" s="72">
        <v>565</v>
      </c>
      <c r="B567" s="183">
        <v>1809</v>
      </c>
      <c r="C567" s="133" t="s">
        <v>6843</v>
      </c>
      <c r="D567" s="133"/>
      <c r="E567" s="134"/>
      <c r="F567" s="134" t="s">
        <v>5198</v>
      </c>
      <c r="G567" s="184">
        <v>335762</v>
      </c>
      <c r="H567" s="138" t="s">
        <v>5199</v>
      </c>
      <c r="I567" s="138" t="s">
        <v>7932</v>
      </c>
      <c r="J567" s="138" t="s">
        <v>5200</v>
      </c>
      <c r="K567" s="138" t="s">
        <v>426</v>
      </c>
      <c r="L567" s="138"/>
      <c r="M567" s="138"/>
      <c r="N567" s="138"/>
      <c r="O567" s="138"/>
      <c r="P567" s="138"/>
      <c r="Q567" s="138"/>
      <c r="R567" s="138"/>
      <c r="S567" s="138"/>
      <c r="T567" s="135">
        <v>514.08000000000004</v>
      </c>
      <c r="U567" s="185"/>
      <c r="V567" s="185">
        <v>1.5645120504191871E-5</v>
      </c>
      <c r="W567" s="185">
        <v>0.19498445997580452</v>
      </c>
      <c r="X567" s="185">
        <f>IF(W567=0,V567,W567)</f>
        <v>0.19498445997580452</v>
      </c>
      <c r="Y567" s="204">
        <v>3.72</v>
      </c>
      <c r="Z567" s="135">
        <v>6.15</v>
      </c>
      <c r="AA567" s="135"/>
      <c r="AB567" s="135">
        <v>5.43</v>
      </c>
      <c r="AC567" s="135">
        <v>0.45850000000000002</v>
      </c>
      <c r="AD567" s="135">
        <v>7.37</v>
      </c>
      <c r="AE567" s="135">
        <v>9.5299999999999994</v>
      </c>
      <c r="AF567" s="135">
        <f t="shared" si="198"/>
        <v>7.37</v>
      </c>
      <c r="AG567" s="136">
        <v>4.7</v>
      </c>
      <c r="AH567" s="185">
        <v>2.5099999999999998</v>
      </c>
      <c r="AI567" s="185"/>
      <c r="AJ567" s="136">
        <f t="shared" si="199"/>
        <v>2.0111073951683864</v>
      </c>
      <c r="AK567" s="136"/>
      <c r="AL567" s="136">
        <f t="shared" si="200"/>
        <v>2.0111073951683864</v>
      </c>
      <c r="AM567" s="136">
        <v>-1.2900100000000001</v>
      </c>
      <c r="AN567" s="186">
        <v>-6.5</v>
      </c>
      <c r="AO567" s="481">
        <v>0.52</v>
      </c>
      <c r="AP567" s="481"/>
      <c r="AQ567" s="186" t="s">
        <v>6311</v>
      </c>
      <c r="AR567" s="186" t="s">
        <v>6311</v>
      </c>
      <c r="AS567" s="183"/>
      <c r="AT567" s="137" t="s">
        <v>266</v>
      </c>
      <c r="AU567" s="135">
        <v>6</v>
      </c>
      <c r="AV567" s="135">
        <v>120</v>
      </c>
      <c r="AW567" s="135">
        <v>114</v>
      </c>
      <c r="AX567" s="135">
        <v>28</v>
      </c>
      <c r="AY567" s="135" t="s">
        <v>8728</v>
      </c>
      <c r="AZ567" s="135" t="s">
        <v>1563</v>
      </c>
      <c r="BA567" s="135">
        <v>32</v>
      </c>
      <c r="BB567" s="138" t="s">
        <v>2485</v>
      </c>
      <c r="BC567" s="138" t="s">
        <v>8726</v>
      </c>
      <c r="BD567" s="138" t="s">
        <v>8374</v>
      </c>
      <c r="BE567" s="135" t="s">
        <v>2449</v>
      </c>
      <c r="BF567" s="135" t="s">
        <v>272</v>
      </c>
      <c r="BG567" s="135" t="s">
        <v>272</v>
      </c>
      <c r="BH567" s="135" t="s">
        <v>2486</v>
      </c>
      <c r="BI567" s="185">
        <v>6.3999999999999997E-6</v>
      </c>
      <c r="BJ567" s="185">
        <v>6.4000000000000001E-2</v>
      </c>
      <c r="BK567" s="135"/>
      <c r="BL567" s="185">
        <f t="shared" si="196"/>
        <v>1.5398733398000412E-4</v>
      </c>
      <c r="BM567" s="138" t="s">
        <v>2487</v>
      </c>
      <c r="BN567" s="135"/>
      <c r="BO567" s="135"/>
      <c r="BP567" s="135"/>
      <c r="BQ567" s="135"/>
      <c r="BR567" s="138" t="s">
        <v>2496</v>
      </c>
      <c r="BS567" s="135"/>
      <c r="BT567" s="135"/>
      <c r="BU567" s="135"/>
      <c r="BV567" s="135"/>
      <c r="BW567" s="135"/>
      <c r="BX567" s="135"/>
      <c r="BY567" s="135"/>
      <c r="BZ567" s="135"/>
      <c r="CA567" s="135"/>
      <c r="CB567" s="135"/>
      <c r="CC567" s="135"/>
      <c r="CD567" s="135"/>
      <c r="CE567" s="135"/>
      <c r="CF567" s="135"/>
      <c r="CG567" s="135"/>
      <c r="CH567" s="135"/>
      <c r="CI567" s="185"/>
      <c r="CJ567" s="187"/>
      <c r="CK567" s="136">
        <f t="shared" si="192"/>
        <v>2.4060520934375642E-3</v>
      </c>
      <c r="CL567" s="188"/>
      <c r="CM567" s="188"/>
      <c r="CN567" s="188"/>
      <c r="CO567" s="138" t="s">
        <v>2488</v>
      </c>
      <c r="CP567" s="138" t="s">
        <v>2489</v>
      </c>
      <c r="CQ567" s="191" t="s">
        <v>272</v>
      </c>
      <c r="CR567" s="191"/>
      <c r="CS567" s="135" t="s">
        <v>539</v>
      </c>
      <c r="CT567" s="135"/>
      <c r="CU567" s="135"/>
      <c r="CV567" s="332">
        <f t="shared" si="197"/>
        <v>3.0466321871219457</v>
      </c>
      <c r="CW567" s="329">
        <f t="shared" si="190"/>
        <v>1</v>
      </c>
      <c r="CX567" s="329"/>
      <c r="CY567" s="189" t="s">
        <v>5921</v>
      </c>
    </row>
    <row r="568" spans="1:103" ht="11.25" customHeight="1" x14ac:dyDescent="0.25">
      <c r="A568" s="72">
        <v>566</v>
      </c>
      <c r="B568" s="183">
        <v>2042</v>
      </c>
      <c r="C568" s="133" t="s">
        <v>6844</v>
      </c>
      <c r="D568" s="133"/>
      <c r="E568" s="134"/>
      <c r="F568" s="134" t="s">
        <v>5859</v>
      </c>
      <c r="G568" s="134">
        <v>375224</v>
      </c>
      <c r="H568" s="202" t="s">
        <v>6269</v>
      </c>
      <c r="I568" s="202" t="s">
        <v>6269</v>
      </c>
      <c r="J568" s="138"/>
      <c r="K568" s="138" t="s">
        <v>6268</v>
      </c>
      <c r="L568" s="138" t="s">
        <v>5527</v>
      </c>
      <c r="M568" s="138"/>
      <c r="N568" s="138"/>
      <c r="O568" s="138"/>
      <c r="P568" s="138"/>
      <c r="Q568" s="138"/>
      <c r="R568" s="138"/>
      <c r="S568" s="138"/>
      <c r="T568" s="135">
        <v>214.04</v>
      </c>
      <c r="U568" s="185"/>
      <c r="V568" s="185">
        <v>6.4146888432068776</v>
      </c>
      <c r="W568" s="185">
        <v>47.863009232263828</v>
      </c>
      <c r="X568" s="185">
        <f>IF(W568=0,V568,W568)</f>
        <v>47.863009232263828</v>
      </c>
      <c r="Y568" s="204">
        <v>1.37</v>
      </c>
      <c r="Z568" s="135">
        <v>2.14</v>
      </c>
      <c r="AA568" s="135"/>
      <c r="AB568" s="135">
        <v>1.71</v>
      </c>
      <c r="AC568" s="135">
        <v>0.56689999999999996</v>
      </c>
      <c r="AD568" s="135">
        <v>2.62</v>
      </c>
      <c r="AE568" s="135">
        <v>3.93</v>
      </c>
      <c r="AF568" s="135">
        <f t="shared" si="198"/>
        <v>2.62</v>
      </c>
      <c r="AG568" s="136">
        <v>2.62</v>
      </c>
      <c r="AH568" s="185">
        <v>1.1900000000000001E-4</v>
      </c>
      <c r="AI568" s="185"/>
      <c r="AJ568" s="136">
        <f t="shared" si="199"/>
        <v>-2.3130193649201209</v>
      </c>
      <c r="AK568" s="136"/>
      <c r="AL568" s="136">
        <f t="shared" si="200"/>
        <v>-2.3130193649201209</v>
      </c>
      <c r="AM568" s="136">
        <v>-4.2505699999999997</v>
      </c>
      <c r="AN568" s="186"/>
      <c r="AO568" s="481">
        <v>0.37</v>
      </c>
      <c r="AP568" s="481"/>
      <c r="AQ568" s="186" t="s">
        <v>6311</v>
      </c>
      <c r="AR568" s="186" t="s">
        <v>6311</v>
      </c>
      <c r="AS568" s="183" t="s">
        <v>5466</v>
      </c>
      <c r="AT568" s="137" t="s">
        <v>266</v>
      </c>
      <c r="AU568" s="135">
        <v>1</v>
      </c>
      <c r="AV568" s="135">
        <v>96</v>
      </c>
      <c r="AW568" s="135">
        <v>95</v>
      </c>
      <c r="AX568" s="135">
        <v>26</v>
      </c>
      <c r="AY568" s="199">
        <v>0.59027777777777779</v>
      </c>
      <c r="AZ568" s="200" t="s">
        <v>536</v>
      </c>
      <c r="BA568" s="135">
        <v>20</v>
      </c>
      <c r="BB568" s="138" t="s">
        <v>1764</v>
      </c>
      <c r="BC568" s="138" t="s">
        <v>6264</v>
      </c>
      <c r="BD568" s="138"/>
      <c r="BE568" s="138" t="s">
        <v>6265</v>
      </c>
      <c r="BF568" s="135" t="s">
        <v>272</v>
      </c>
      <c r="BG568" s="135" t="s">
        <v>272</v>
      </c>
      <c r="BH568" s="135" t="s">
        <v>5936</v>
      </c>
      <c r="BI568" s="185">
        <f>(10^(1.68))/214.04</f>
        <v>0.22361712405281189</v>
      </c>
      <c r="BJ568" s="185">
        <f>3000/214.04</f>
        <v>14.016071762287423</v>
      </c>
      <c r="BK568" s="201"/>
      <c r="BL568" s="185">
        <f t="shared" si="196"/>
        <v>0.61498709137859531</v>
      </c>
      <c r="BM568" s="135" t="s">
        <v>6266</v>
      </c>
      <c r="BN568" s="135"/>
      <c r="BO568" s="135"/>
      <c r="BP568" s="135"/>
      <c r="BQ568" s="135"/>
      <c r="BR568" s="135"/>
      <c r="BS568" s="135"/>
      <c r="BT568" s="135"/>
      <c r="BU568" s="135"/>
      <c r="BV568" s="135"/>
      <c r="BW568" s="135"/>
      <c r="BX568" s="135"/>
      <c r="BY568" s="135"/>
      <c r="BZ568" s="135"/>
      <c r="CA568" s="135"/>
      <c r="CB568" s="135"/>
      <c r="CC568" s="135"/>
      <c r="CD568" s="135"/>
      <c r="CE568" s="135"/>
      <c r="CF568" s="135"/>
      <c r="CG568" s="135"/>
      <c r="CH568" s="135"/>
      <c r="CI568" s="185"/>
      <c r="CJ568" s="187"/>
      <c r="CK568" s="136">
        <f t="shared" si="192"/>
        <v>4.3877279012891512E-2</v>
      </c>
      <c r="CL568" s="188"/>
      <c r="CM568" s="188"/>
      <c r="CN568" s="188"/>
      <c r="CO568" s="138"/>
      <c r="CP568" s="138" t="s">
        <v>6270</v>
      </c>
      <c r="CQ568" s="191" t="s">
        <v>272</v>
      </c>
      <c r="CR568" s="191"/>
      <c r="CS568" s="135" t="s">
        <v>539</v>
      </c>
      <c r="CT568" s="135"/>
      <c r="CU568" s="135"/>
      <c r="CV568" s="332">
        <f t="shared" si="197"/>
        <v>3.4148661653579166</v>
      </c>
      <c r="CW568" s="329">
        <f t="shared" si="190"/>
        <v>1</v>
      </c>
      <c r="CX568" s="329"/>
      <c r="CY568" s="189" t="s">
        <v>5921</v>
      </c>
    </row>
    <row r="569" spans="1:103" ht="11.25" customHeight="1" x14ac:dyDescent="0.2">
      <c r="A569" s="72">
        <v>567</v>
      </c>
      <c r="B569" s="183">
        <v>1691</v>
      </c>
      <c r="C569" s="133" t="s">
        <v>6845</v>
      </c>
      <c r="D569" s="133"/>
      <c r="E569" s="134"/>
      <c r="F569" s="134" t="s">
        <v>4933</v>
      </c>
      <c r="G569" s="184">
        <v>544763</v>
      </c>
      <c r="H569" s="138" t="s">
        <v>4934</v>
      </c>
      <c r="I569" s="138" t="s">
        <v>4934</v>
      </c>
      <c r="J569" s="138" t="s">
        <v>4935</v>
      </c>
      <c r="K569" s="138" t="s">
        <v>426</v>
      </c>
      <c r="L569" s="138"/>
      <c r="M569" s="138"/>
      <c r="N569" s="138"/>
      <c r="O569" s="138"/>
      <c r="P569" s="138"/>
      <c r="Q569" s="138" t="s">
        <v>6182</v>
      </c>
      <c r="R569" s="138" t="s">
        <v>6185</v>
      </c>
      <c r="S569" s="138" t="s">
        <v>6182</v>
      </c>
      <c r="T569" s="135">
        <v>226.44</v>
      </c>
      <c r="U569" s="185">
        <v>3.9745627980922097E-6</v>
      </c>
      <c r="V569" s="185">
        <v>4.0597950892068539E-6</v>
      </c>
      <c r="W569" s="185">
        <v>4.2657951880159237E-5</v>
      </c>
      <c r="X569" s="185">
        <v>3.9745627980922097E-6</v>
      </c>
      <c r="Y569" s="204">
        <v>7</v>
      </c>
      <c r="Z569" s="135">
        <v>8.1999999999999993</v>
      </c>
      <c r="AA569" s="135"/>
      <c r="AB569" s="135">
        <v>8.48</v>
      </c>
      <c r="AC569" s="135">
        <v>0.79</v>
      </c>
      <c r="AD569" s="135">
        <v>8.74</v>
      </c>
      <c r="AE569" s="135">
        <v>9.26</v>
      </c>
      <c r="AF569" s="135">
        <f t="shared" si="198"/>
        <v>8.74</v>
      </c>
      <c r="AG569" s="136">
        <v>7.38</v>
      </c>
      <c r="AH569" s="185">
        <v>29</v>
      </c>
      <c r="AI569" s="185">
        <v>0.47299999999999998</v>
      </c>
      <c r="AJ569" s="136">
        <f t="shared" si="199"/>
        <v>3.0738316715863041</v>
      </c>
      <c r="AK569" s="136">
        <f>LOG10(AI569*1000/(0.08206*298.15))</f>
        <v>1.2862948144251598</v>
      </c>
      <c r="AL569" s="136">
        <f t="shared" si="200"/>
        <v>1.2862948144251598</v>
      </c>
      <c r="AM569" s="136">
        <v>-1.3141400000000001</v>
      </c>
      <c r="AN569" s="186">
        <v>3.11</v>
      </c>
      <c r="AO569" s="481"/>
      <c r="AP569" s="481"/>
      <c r="AQ569" s="186" t="s">
        <v>6311</v>
      </c>
      <c r="AR569" s="186" t="s">
        <v>6311</v>
      </c>
      <c r="AS569" s="183"/>
      <c r="AT569" s="137" t="s">
        <v>266</v>
      </c>
      <c r="AU569" s="135">
        <v>6</v>
      </c>
      <c r="AV569" s="135">
        <v>120</v>
      </c>
      <c r="AW569" s="135">
        <v>114</v>
      </c>
      <c r="AX569" s="135">
        <v>28</v>
      </c>
      <c r="AY569" s="135" t="s">
        <v>8728</v>
      </c>
      <c r="AZ569" s="135" t="s">
        <v>1563</v>
      </c>
      <c r="BA569" s="135">
        <v>32</v>
      </c>
      <c r="BB569" s="138" t="s">
        <v>2485</v>
      </c>
      <c r="BC569" s="138" t="s">
        <v>8726</v>
      </c>
      <c r="BD569" s="138" t="s">
        <v>8374</v>
      </c>
      <c r="BE569" s="135" t="s">
        <v>2449</v>
      </c>
      <c r="BF569" s="135" t="s">
        <v>272</v>
      </c>
      <c r="BG569" s="135" t="s">
        <v>272</v>
      </c>
      <c r="BH569" s="135" t="s">
        <v>2486</v>
      </c>
      <c r="BI569" s="185">
        <v>6.3999999999999997E-6</v>
      </c>
      <c r="BJ569" s="185">
        <v>6.4000000000000001E-2</v>
      </c>
      <c r="BK569" s="135"/>
      <c r="BL569" s="185">
        <f t="shared" si="196"/>
        <v>2.220138151850594E-6</v>
      </c>
      <c r="BM569" s="138" t="s">
        <v>2487</v>
      </c>
      <c r="BN569" s="135"/>
      <c r="BO569" s="135"/>
      <c r="BP569" s="135"/>
      <c r="BQ569" s="135"/>
      <c r="BR569" s="138" t="s">
        <v>2496</v>
      </c>
      <c r="BS569" s="135"/>
      <c r="BT569" s="135"/>
      <c r="BU569" s="135"/>
      <c r="BV569" s="135"/>
      <c r="BW569" s="135"/>
      <c r="BX569" s="135"/>
      <c r="BY569" s="135"/>
      <c r="BZ569" s="135"/>
      <c r="CA569" s="135"/>
      <c r="CB569" s="135"/>
      <c r="CC569" s="135"/>
      <c r="CD569" s="135"/>
      <c r="CE569" s="135"/>
      <c r="CF569" s="135"/>
      <c r="CG569" s="135"/>
      <c r="CH569" s="135"/>
      <c r="CI569" s="185"/>
      <c r="CJ569" s="187"/>
      <c r="CK569" s="136">
        <f t="shared" si="192"/>
        <v>3.4689658622665533E-5</v>
      </c>
      <c r="CL569" s="188"/>
      <c r="CM569" s="188"/>
      <c r="CN569" s="188"/>
      <c r="CO569" s="138" t="s">
        <v>2488</v>
      </c>
      <c r="CP569" s="138" t="s">
        <v>2489</v>
      </c>
      <c r="CQ569" s="191" t="s">
        <v>272</v>
      </c>
      <c r="CR569" s="191"/>
      <c r="CS569" s="135" t="s">
        <v>539</v>
      </c>
      <c r="CT569" s="135"/>
      <c r="CU569" s="135"/>
      <c r="CV569" s="332">
        <f t="shared" si="197"/>
        <v>6.2102543720190774E-5</v>
      </c>
      <c r="CW569" s="329">
        <f t="shared" si="190"/>
        <v>0</v>
      </c>
      <c r="CX569" s="329"/>
      <c r="CY569" s="189" t="s">
        <v>6351</v>
      </c>
    </row>
    <row r="570" spans="1:103" ht="11.25" customHeight="1" x14ac:dyDescent="0.2">
      <c r="A570" s="72">
        <v>568</v>
      </c>
      <c r="B570" s="183">
        <v>1793</v>
      </c>
      <c r="C570" s="133" t="s">
        <v>6846</v>
      </c>
      <c r="D570" s="133"/>
      <c r="E570" s="134"/>
      <c r="F570" s="134" t="s">
        <v>5160</v>
      </c>
      <c r="G570" s="184">
        <v>556672</v>
      </c>
      <c r="H570" s="138" t="s">
        <v>5161</v>
      </c>
      <c r="I570" s="138" t="s">
        <v>5161</v>
      </c>
      <c r="J570" s="138" t="s">
        <v>5162</v>
      </c>
      <c r="K570" s="138" t="s">
        <v>426</v>
      </c>
      <c r="L570" s="138"/>
      <c r="M570" s="138"/>
      <c r="N570" s="138"/>
      <c r="O570" s="138"/>
      <c r="P570" s="138"/>
      <c r="Q570" s="138"/>
      <c r="R570" s="138"/>
      <c r="S570" s="138"/>
      <c r="T570" s="135">
        <v>296.62</v>
      </c>
      <c r="U570" s="185">
        <v>1.6856584181781405E-5</v>
      </c>
      <c r="V570" s="185">
        <v>2.0645944305845864E-4</v>
      </c>
      <c r="W570" s="185"/>
      <c r="X570" s="185">
        <v>1.6856584181781405E-5</v>
      </c>
      <c r="Y570" s="204"/>
      <c r="Z570" s="135">
        <v>6.79</v>
      </c>
      <c r="AA570" s="135">
        <v>6.74</v>
      </c>
      <c r="AB570" s="135">
        <v>4.43</v>
      </c>
      <c r="AC570" s="135">
        <v>0.79510000000000003</v>
      </c>
      <c r="AD570" s="135">
        <v>4.42</v>
      </c>
      <c r="AE570" s="135"/>
      <c r="AF570" s="135">
        <f t="shared" si="198"/>
        <v>6.74</v>
      </c>
      <c r="AG570" s="136">
        <v>4.67</v>
      </c>
      <c r="AH570" s="185">
        <v>8.72E-2</v>
      </c>
      <c r="AI570" s="185">
        <v>0.11700000000000001</v>
      </c>
      <c r="AJ570" s="136">
        <f t="shared" si="199"/>
        <v>0.55195015861991548</v>
      </c>
      <c r="AK570" s="136">
        <f>LOG10(AI570*1000/(0.08206*298.15))</f>
        <v>0.67961953543350984</v>
      </c>
      <c r="AL570" s="136">
        <f t="shared" si="200"/>
        <v>0.67961953543350984</v>
      </c>
      <c r="AM570" s="136">
        <v>-5.4666499999999996</v>
      </c>
      <c r="AN570" s="186">
        <v>1.29</v>
      </c>
      <c r="AO570" s="481"/>
      <c r="AP570" s="481"/>
      <c r="AQ570" s="186" t="s">
        <v>6311</v>
      </c>
      <c r="AR570" s="186" t="s">
        <v>6311</v>
      </c>
      <c r="AS570" s="183"/>
      <c r="AT570" s="137" t="s">
        <v>266</v>
      </c>
      <c r="AU570" s="135">
        <v>6</v>
      </c>
      <c r="AV570" s="135">
        <v>120</v>
      </c>
      <c r="AW570" s="135">
        <v>114</v>
      </c>
      <c r="AX570" s="135">
        <v>28</v>
      </c>
      <c r="AY570" s="135" t="s">
        <v>8728</v>
      </c>
      <c r="AZ570" s="135" t="s">
        <v>1563</v>
      </c>
      <c r="BA570" s="135">
        <v>32</v>
      </c>
      <c r="BB570" s="138" t="s">
        <v>2485</v>
      </c>
      <c r="BC570" s="138" t="s">
        <v>8726</v>
      </c>
      <c r="BD570" s="138" t="s">
        <v>8374</v>
      </c>
      <c r="BE570" s="135" t="s">
        <v>2449</v>
      </c>
      <c r="BF570" s="135" t="s">
        <v>272</v>
      </c>
      <c r="BG570" s="135" t="s">
        <v>272</v>
      </c>
      <c r="BH570" s="135" t="s">
        <v>2486</v>
      </c>
      <c r="BI570" s="185">
        <v>6.3999999999999997E-6</v>
      </c>
      <c r="BJ570" s="185">
        <v>6.4000000000000001E-2</v>
      </c>
      <c r="BK570" s="135"/>
      <c r="BL570" s="185">
        <f t="shared" ref="BL570:BL602" si="201">10^((-0.8981*Z570)+1.7108)</f>
        <v>4.0992178575571082E-5</v>
      </c>
      <c r="BM570" s="138" t="s">
        <v>2487</v>
      </c>
      <c r="BN570" s="135"/>
      <c r="BO570" s="135"/>
      <c r="BP570" s="135"/>
      <c r="BQ570" s="135"/>
      <c r="BR570" s="138" t="s">
        <v>2496</v>
      </c>
      <c r="BS570" s="135"/>
      <c r="BT570" s="135"/>
      <c r="BU570" s="135"/>
      <c r="BV570" s="135"/>
      <c r="BW570" s="135"/>
      <c r="BX570" s="135"/>
      <c r="BY570" s="135"/>
      <c r="BZ570" s="135"/>
      <c r="CA570" s="135"/>
      <c r="CB570" s="135"/>
      <c r="CC570" s="135"/>
      <c r="CD570" s="135"/>
      <c r="CE570" s="135"/>
      <c r="CF570" s="135"/>
      <c r="CG570" s="135"/>
      <c r="CH570" s="135"/>
      <c r="CI570" s="185"/>
      <c r="CJ570" s="187"/>
      <c r="CK570" s="136">
        <f t="shared" si="192"/>
        <v>6.4050279024329814E-4</v>
      </c>
      <c r="CL570" s="188"/>
      <c r="CM570" s="188"/>
      <c r="CN570" s="188"/>
      <c r="CO570" s="138" t="s">
        <v>2488</v>
      </c>
      <c r="CP570" s="138" t="s">
        <v>2489</v>
      </c>
      <c r="CQ570" s="191" t="s">
        <v>272</v>
      </c>
      <c r="CR570" s="191"/>
      <c r="CS570" s="135" t="s">
        <v>539</v>
      </c>
      <c r="CT570" s="135"/>
      <c r="CU570" s="135"/>
      <c r="CV570" s="332">
        <f t="shared" si="197"/>
        <v>2.6338412784033448E-4</v>
      </c>
      <c r="CW570" s="329">
        <f t="shared" si="190"/>
        <v>0</v>
      </c>
      <c r="CX570" s="329"/>
      <c r="CY570" s="189" t="s">
        <v>6351</v>
      </c>
    </row>
    <row r="571" spans="1:103" ht="11.25" customHeight="1" x14ac:dyDescent="0.2">
      <c r="A571" s="72">
        <v>569</v>
      </c>
      <c r="B571" s="183">
        <v>1600</v>
      </c>
      <c r="C571" s="133" t="s">
        <v>1103</v>
      </c>
      <c r="D571" s="133" t="s">
        <v>6468</v>
      </c>
      <c r="E571" s="134"/>
      <c r="F571" s="134" t="s">
        <v>1104</v>
      </c>
      <c r="G571" s="184">
        <v>115322</v>
      </c>
      <c r="H571" s="138" t="s">
        <v>1105</v>
      </c>
      <c r="I571" s="138" t="s">
        <v>7933</v>
      </c>
      <c r="J571" s="138" t="s">
        <v>1106</v>
      </c>
      <c r="K571" s="138" t="s">
        <v>1107</v>
      </c>
      <c r="L571" s="138" t="s">
        <v>617</v>
      </c>
      <c r="M571" s="197" t="s">
        <v>6078</v>
      </c>
      <c r="N571" s="138" t="s">
        <v>6376</v>
      </c>
      <c r="O571" s="138" t="s">
        <v>6083</v>
      </c>
      <c r="P571" s="138"/>
      <c r="Q571" s="138" t="s">
        <v>6173</v>
      </c>
      <c r="R571" s="138" t="s">
        <v>6175</v>
      </c>
      <c r="S571" s="138" t="s">
        <v>6176</v>
      </c>
      <c r="T571" s="135">
        <v>370.48</v>
      </c>
      <c r="U571" s="185">
        <v>2.1593608291945584E-3</v>
      </c>
      <c r="V571" s="185">
        <v>2.0978190455625133E-3</v>
      </c>
      <c r="W571" s="185">
        <v>3.6307805477010084E-3</v>
      </c>
      <c r="X571" s="185">
        <v>2.1593608291945584E-3</v>
      </c>
      <c r="Y571" s="204">
        <v>7</v>
      </c>
      <c r="Z571" s="135">
        <v>5.81</v>
      </c>
      <c r="AA571" s="135">
        <v>5.0199999999999996</v>
      </c>
      <c r="AB571" s="135">
        <v>5.0999999999999996</v>
      </c>
      <c r="AC571" s="135">
        <v>0.69640000000000002</v>
      </c>
      <c r="AD571" s="135">
        <v>5.33</v>
      </c>
      <c r="AE571" s="135">
        <v>5.74</v>
      </c>
      <c r="AF571" s="135">
        <f t="shared" si="198"/>
        <v>5.0199999999999996</v>
      </c>
      <c r="AG571" s="136">
        <v>5.73</v>
      </c>
      <c r="AH571" s="185">
        <v>5.5900000000000003E-10</v>
      </c>
      <c r="AI571" s="185">
        <v>2.4200000000000002E-7</v>
      </c>
      <c r="AJ571" s="136">
        <f t="shared" si="199"/>
        <v>-7.6411545184262284</v>
      </c>
      <c r="AK571" s="136">
        <f>LOG10(AI571*1000/(0.08206*298.15))</f>
        <v>-5.0047509603322204</v>
      </c>
      <c r="AL571" s="136">
        <f t="shared" si="200"/>
        <v>-5.0047509603322204</v>
      </c>
      <c r="AM571" s="136">
        <v>-11.992599999999998</v>
      </c>
      <c r="AN571" s="186">
        <v>-5.87</v>
      </c>
      <c r="AO571" s="481">
        <v>10.7</v>
      </c>
      <c r="AP571" s="481"/>
      <c r="AQ571" s="135" t="s">
        <v>6311</v>
      </c>
      <c r="AR571" s="135" t="s">
        <v>6311</v>
      </c>
      <c r="AS571" s="190"/>
      <c r="AT571" s="137" t="s">
        <v>266</v>
      </c>
      <c r="AU571" s="135">
        <v>6</v>
      </c>
      <c r="AV571" s="135">
        <v>120</v>
      </c>
      <c r="AW571" s="135">
        <v>114</v>
      </c>
      <c r="AX571" s="135">
        <v>28</v>
      </c>
      <c r="AY571" s="135" t="s">
        <v>8728</v>
      </c>
      <c r="AZ571" s="135" t="s">
        <v>1563</v>
      </c>
      <c r="BA571" s="135">
        <v>32</v>
      </c>
      <c r="BB571" s="138" t="s">
        <v>2485</v>
      </c>
      <c r="BC571" s="138" t="s">
        <v>8726</v>
      </c>
      <c r="BD571" s="138" t="s">
        <v>8374</v>
      </c>
      <c r="BE571" s="135" t="s">
        <v>2449</v>
      </c>
      <c r="BF571" s="135" t="s">
        <v>272</v>
      </c>
      <c r="BG571" s="135" t="s">
        <v>272</v>
      </c>
      <c r="BH571" s="135" t="s">
        <v>2486</v>
      </c>
      <c r="BI571" s="185">
        <v>6.3999999999999997E-6</v>
      </c>
      <c r="BJ571" s="185">
        <v>6.4000000000000001E-2</v>
      </c>
      <c r="BK571" s="135"/>
      <c r="BL571" s="185">
        <f t="shared" si="201"/>
        <v>3.1105629872460813E-4</v>
      </c>
      <c r="BM571" s="138" t="s">
        <v>2487</v>
      </c>
      <c r="BN571" s="135"/>
      <c r="BO571" s="135"/>
      <c r="BP571" s="135"/>
      <c r="BQ571" s="135"/>
      <c r="BR571" s="138" t="s">
        <v>2496</v>
      </c>
      <c r="BS571" s="135"/>
      <c r="BT571" s="135"/>
      <c r="BU571" s="135"/>
      <c r="BV571" s="135"/>
      <c r="BW571" s="135"/>
      <c r="BX571" s="135"/>
      <c r="BY571" s="135"/>
      <c r="BZ571" s="135"/>
      <c r="CA571" s="135"/>
      <c r="CB571" s="135"/>
      <c r="CC571" s="135"/>
      <c r="CD571" s="135"/>
      <c r="CE571" s="135"/>
      <c r="CF571" s="135"/>
      <c r="CG571" s="135"/>
      <c r="CH571" s="135"/>
      <c r="CI571" s="185"/>
      <c r="CJ571" s="187"/>
      <c r="CK571" s="136">
        <f t="shared" si="192"/>
        <v>4.8602546675720016E-3</v>
      </c>
      <c r="CL571" s="188"/>
      <c r="CM571" s="188">
        <v>-3.1043099062575026</v>
      </c>
      <c r="CN571" s="188">
        <f>BJ571/(10^CM571)</f>
        <v>81.374789892549657</v>
      </c>
      <c r="CO571" s="138" t="s">
        <v>2488</v>
      </c>
      <c r="CP571" s="138" t="s">
        <v>2489</v>
      </c>
      <c r="CQ571" s="183">
        <v>-2.7738395371468778</v>
      </c>
      <c r="CR571" s="191">
        <f>10^(CJ571-CQ571)</f>
        <v>594.0726204809888</v>
      </c>
      <c r="CS571" s="135" t="s">
        <v>539</v>
      </c>
      <c r="CT571" s="135"/>
      <c r="CU571" s="135"/>
      <c r="CV571" s="332">
        <f t="shared" si="197"/>
        <v>3.3740012956164973E-2</v>
      </c>
      <c r="CW571" s="329">
        <f t="shared" si="190"/>
        <v>0</v>
      </c>
      <c r="CX571" s="329"/>
      <c r="CY571" s="189" t="s">
        <v>5921</v>
      </c>
    </row>
    <row r="572" spans="1:103" ht="11.25" customHeight="1" x14ac:dyDescent="0.2">
      <c r="A572" s="72">
        <v>570</v>
      </c>
      <c r="B572" s="191">
        <v>233</v>
      </c>
      <c r="C572" s="128" t="s">
        <v>2101</v>
      </c>
      <c r="D572" s="128" t="s">
        <v>6567</v>
      </c>
      <c r="E572" s="129"/>
      <c r="F572" s="129" t="s">
        <v>2102</v>
      </c>
      <c r="G572" s="192">
        <v>82657043</v>
      </c>
      <c r="H572" s="139" t="s">
        <v>2103</v>
      </c>
      <c r="I572" s="139" t="s">
        <v>7896</v>
      </c>
      <c r="J572" s="139" t="s">
        <v>2104</v>
      </c>
      <c r="K572" s="139" t="s">
        <v>1363</v>
      </c>
      <c r="L572" s="139" t="s">
        <v>617</v>
      </c>
      <c r="M572" s="139" t="s">
        <v>1086</v>
      </c>
      <c r="N572" s="138" t="s">
        <v>6376</v>
      </c>
      <c r="O572" s="139" t="s">
        <v>918</v>
      </c>
      <c r="P572" s="138"/>
      <c r="Q572" s="138"/>
      <c r="R572" s="138"/>
      <c r="S572" s="138"/>
      <c r="T572" s="130">
        <v>422.87</v>
      </c>
      <c r="U572" s="187">
        <v>2.3647929623761441E-4</v>
      </c>
      <c r="V572" s="187">
        <v>5.6920566604393782E-7</v>
      </c>
      <c r="W572" s="187">
        <v>2.9512092266663814E-4</v>
      </c>
      <c r="X572" s="187">
        <v>2.3647929623761441E-4</v>
      </c>
      <c r="Y572" s="194">
        <v>7</v>
      </c>
      <c r="Z572" s="130">
        <v>8.15</v>
      </c>
      <c r="AA572" s="130"/>
      <c r="AB572" s="130">
        <v>6.84</v>
      </c>
      <c r="AC572" s="130">
        <v>0.85719999999999996</v>
      </c>
      <c r="AD572" s="130">
        <v>6.93</v>
      </c>
      <c r="AE572" s="130">
        <v>7.3</v>
      </c>
      <c r="AF572" s="130">
        <f t="shared" si="198"/>
        <v>6.93</v>
      </c>
      <c r="AG572" s="131">
        <v>6.43</v>
      </c>
      <c r="AH572" s="187">
        <v>1.91E-5</v>
      </c>
      <c r="AI572" s="187">
        <v>9.9999999999999995E-7</v>
      </c>
      <c r="AJ572" s="136">
        <f t="shared" si="199"/>
        <v>-3.1075329590649243</v>
      </c>
      <c r="AK572" s="136">
        <f>LOG10(AI572*1000/(0.08206*298.15))</f>
        <v>-4.3885663263126515</v>
      </c>
      <c r="AL572" s="136">
        <f t="shared" si="200"/>
        <v>-4.3885663263126515</v>
      </c>
      <c r="AM572" s="136">
        <v>-9.5165900000000008</v>
      </c>
      <c r="AN572" s="193">
        <v>-4.72</v>
      </c>
      <c r="AO572" s="481"/>
      <c r="AP572" s="481"/>
      <c r="AQ572" s="193" t="s">
        <v>6311</v>
      </c>
      <c r="AR572" s="193" t="s">
        <v>6312</v>
      </c>
      <c r="AS572" s="191" t="s">
        <v>46</v>
      </c>
      <c r="AT572" s="132" t="s">
        <v>266</v>
      </c>
      <c r="AU572" s="130">
        <v>8</v>
      </c>
      <c r="AV572" s="130">
        <v>144</v>
      </c>
      <c r="AW572" s="130">
        <v>120</v>
      </c>
      <c r="AX572" s="130">
        <v>26</v>
      </c>
      <c r="AY572" s="130" t="s">
        <v>267</v>
      </c>
      <c r="AZ572" s="130" t="s">
        <v>2253</v>
      </c>
      <c r="BA572" s="130">
        <v>2</v>
      </c>
      <c r="BB572" s="139" t="s">
        <v>2254</v>
      </c>
      <c r="BC572" s="139" t="s">
        <v>270</v>
      </c>
      <c r="BD572" s="139" t="s">
        <v>8374</v>
      </c>
      <c r="BE572" s="130" t="s">
        <v>1712</v>
      </c>
      <c r="BF572" s="130" t="s">
        <v>272</v>
      </c>
      <c r="BG572" s="130" t="s">
        <v>272</v>
      </c>
      <c r="BH572" s="130" t="s">
        <v>2255</v>
      </c>
      <c r="BI572" s="187">
        <v>9.9999999999999995E-7</v>
      </c>
      <c r="BJ572" s="187">
        <v>0.08</v>
      </c>
      <c r="BK572" s="130"/>
      <c r="BL572" s="187">
        <f t="shared" si="201"/>
        <v>2.4619827176821421E-6</v>
      </c>
      <c r="BM572" s="130" t="s">
        <v>891</v>
      </c>
      <c r="BN572" s="194"/>
      <c r="BO572" s="194"/>
      <c r="BP572" s="194"/>
      <c r="BQ572" s="194"/>
      <c r="BR572" s="194"/>
      <c r="BS572" s="130"/>
      <c r="BT572" s="194"/>
      <c r="BU572" s="195"/>
      <c r="BV572" s="194"/>
      <c r="BW572" s="194"/>
      <c r="BX572" s="194"/>
      <c r="BY572" s="194"/>
      <c r="BZ572" s="194"/>
      <c r="CA572" s="194"/>
      <c r="CB572" s="194"/>
      <c r="CC572" s="130"/>
      <c r="CD572" s="130"/>
      <c r="CE572" s="130"/>
      <c r="CF572" s="130"/>
      <c r="CG572" s="194"/>
      <c r="CH572" s="130"/>
      <c r="CI572" s="187"/>
      <c r="CJ572" s="187"/>
      <c r="CK572" s="131">
        <f t="shared" si="192"/>
        <v>3.0774783971026776E-5</v>
      </c>
      <c r="CL572" s="188"/>
      <c r="CM572" s="188">
        <v>-6.0896484331721936</v>
      </c>
      <c r="CN572" s="188">
        <f>BJ572/(10^CM572)</f>
        <v>98341.860465116566</v>
      </c>
      <c r="CO572" s="139" t="s">
        <v>892</v>
      </c>
      <c r="CP572" s="139" t="s">
        <v>893</v>
      </c>
      <c r="CQ572" s="191">
        <v>-5.5299276220699003</v>
      </c>
      <c r="CR572" s="191">
        <f>10^(CJ572-CQ572)</f>
        <v>338787.69031664886</v>
      </c>
      <c r="CS572" s="135" t="s">
        <v>539</v>
      </c>
      <c r="CT572" s="135"/>
      <c r="CU572" s="135"/>
      <c r="CV572" s="332">
        <f t="shared" si="197"/>
        <v>2.95599120297018E-3</v>
      </c>
      <c r="CW572" s="329">
        <f t="shared" si="190"/>
        <v>0</v>
      </c>
      <c r="CX572" s="329" t="s">
        <v>539</v>
      </c>
      <c r="CY572" s="189" t="s">
        <v>5921</v>
      </c>
    </row>
    <row r="573" spans="1:103" ht="11.25" customHeight="1" x14ac:dyDescent="0.2">
      <c r="A573" s="72">
        <v>571</v>
      </c>
      <c r="B573" s="183">
        <v>1805</v>
      </c>
      <c r="C573" s="133" t="s">
        <v>6847</v>
      </c>
      <c r="D573" s="133"/>
      <c r="E573" s="134"/>
      <c r="F573" s="134" t="s">
        <v>5186</v>
      </c>
      <c r="G573" s="184">
        <v>629629</v>
      </c>
      <c r="H573" s="138" t="s">
        <v>5187</v>
      </c>
      <c r="I573" s="138" t="s">
        <v>5187</v>
      </c>
      <c r="J573" s="138" t="s">
        <v>5188</v>
      </c>
      <c r="K573" s="138" t="s">
        <v>426</v>
      </c>
      <c r="L573" s="138"/>
      <c r="M573" s="138"/>
      <c r="N573" s="138"/>
      <c r="O573" s="138"/>
      <c r="P573" s="138"/>
      <c r="Q573" s="138" t="s">
        <v>6182</v>
      </c>
      <c r="R573" s="138" t="s">
        <v>6185</v>
      </c>
      <c r="S573" s="138" t="s">
        <v>6182</v>
      </c>
      <c r="T573" s="135">
        <v>212.41</v>
      </c>
      <c r="U573" s="185">
        <v>3.577985970528695E-7</v>
      </c>
      <c r="V573" s="185">
        <v>1.3492773409914788E-5</v>
      </c>
      <c r="W573" s="185">
        <v>1E-8</v>
      </c>
      <c r="X573" s="185">
        <v>3.577985970528695E-7</v>
      </c>
      <c r="Y573" s="204">
        <v>7</v>
      </c>
      <c r="Z573" s="135">
        <v>7.71</v>
      </c>
      <c r="AA573" s="135"/>
      <c r="AB573" s="135">
        <v>8.1</v>
      </c>
      <c r="AC573" s="135">
        <v>0.82840000000000003</v>
      </c>
      <c r="AD573" s="135">
        <v>8.2899999999999991</v>
      </c>
      <c r="AE573" s="135">
        <v>8.73</v>
      </c>
      <c r="AF573" s="135">
        <f t="shared" si="198"/>
        <v>8.2899999999999991</v>
      </c>
      <c r="AG573" s="136">
        <v>6.94</v>
      </c>
      <c r="AH573" s="185">
        <v>21.9</v>
      </c>
      <c r="AI573" s="185">
        <v>12.6</v>
      </c>
      <c r="AJ573" s="136">
        <f t="shared" si="199"/>
        <v>2.9518777885274665</v>
      </c>
      <c r="AK573" s="136">
        <f>LOG10(AI573*1000/(0.08206*298.15))</f>
        <v>2.711804218804911</v>
      </c>
      <c r="AL573" s="136">
        <f t="shared" si="200"/>
        <v>2.711804218804911</v>
      </c>
      <c r="AM573" s="136">
        <v>-1.20977</v>
      </c>
      <c r="AN573" s="186">
        <v>2.98</v>
      </c>
      <c r="AO573" s="481"/>
      <c r="AP573" s="481"/>
      <c r="AQ573" s="186" t="s">
        <v>6311</v>
      </c>
      <c r="AR573" s="186" t="s">
        <v>6311</v>
      </c>
      <c r="AS573" s="183"/>
      <c r="AT573" s="137" t="s">
        <v>266</v>
      </c>
      <c r="AU573" s="135">
        <v>6</v>
      </c>
      <c r="AV573" s="135">
        <v>120</v>
      </c>
      <c r="AW573" s="135">
        <v>114</v>
      </c>
      <c r="AX573" s="135">
        <v>28</v>
      </c>
      <c r="AY573" s="135" t="s">
        <v>8728</v>
      </c>
      <c r="AZ573" s="135" t="s">
        <v>1563</v>
      </c>
      <c r="BA573" s="135">
        <v>32</v>
      </c>
      <c r="BB573" s="138" t="s">
        <v>2485</v>
      </c>
      <c r="BC573" s="138" t="s">
        <v>8726</v>
      </c>
      <c r="BD573" s="138" t="s">
        <v>8374</v>
      </c>
      <c r="BE573" s="135" t="s">
        <v>2449</v>
      </c>
      <c r="BF573" s="135" t="s">
        <v>272</v>
      </c>
      <c r="BG573" s="135" t="s">
        <v>272</v>
      </c>
      <c r="BH573" s="135" t="s">
        <v>2486</v>
      </c>
      <c r="BI573" s="185">
        <v>6.3999999999999997E-6</v>
      </c>
      <c r="BJ573" s="185">
        <v>6.4000000000000001E-2</v>
      </c>
      <c r="BK573" s="135"/>
      <c r="BL573" s="185">
        <f t="shared" si="201"/>
        <v>6.1157398047995539E-6</v>
      </c>
      <c r="BM573" s="138" t="s">
        <v>2487</v>
      </c>
      <c r="BN573" s="135"/>
      <c r="BO573" s="135"/>
      <c r="BP573" s="135"/>
      <c r="BQ573" s="135"/>
      <c r="BR573" s="138" t="s">
        <v>2496</v>
      </c>
      <c r="BS573" s="135"/>
      <c r="BT573" s="135"/>
      <c r="BU573" s="135"/>
      <c r="BV573" s="135"/>
      <c r="BW573" s="135"/>
      <c r="BX573" s="135"/>
      <c r="BY573" s="135"/>
      <c r="BZ573" s="135"/>
      <c r="CA573" s="135"/>
      <c r="CB573" s="135"/>
      <c r="CC573" s="135"/>
      <c r="CD573" s="135"/>
      <c r="CE573" s="135"/>
      <c r="CF573" s="135"/>
      <c r="CG573" s="135"/>
      <c r="CH573" s="135"/>
      <c r="CI573" s="185"/>
      <c r="CJ573" s="187"/>
      <c r="CK573" s="136">
        <f t="shared" si="192"/>
        <v>9.5558434449993026E-5</v>
      </c>
      <c r="CL573" s="188"/>
      <c r="CM573" s="188"/>
      <c r="CN573" s="188"/>
      <c r="CO573" s="138" t="s">
        <v>2488</v>
      </c>
      <c r="CP573" s="138" t="s">
        <v>2489</v>
      </c>
      <c r="CQ573" s="191" t="s">
        <v>272</v>
      </c>
      <c r="CR573" s="191"/>
      <c r="CS573" s="135" t="s">
        <v>539</v>
      </c>
      <c r="CT573" s="135"/>
      <c r="CU573" s="135"/>
      <c r="CV573" s="332">
        <f t="shared" si="197"/>
        <v>5.5906030789510857E-6</v>
      </c>
      <c r="CW573" s="329">
        <f t="shared" si="190"/>
        <v>0</v>
      </c>
      <c r="CX573" s="329"/>
      <c r="CY573" s="189" t="s">
        <v>6351</v>
      </c>
    </row>
    <row r="574" spans="1:103" ht="11.25" customHeight="1" x14ac:dyDescent="0.2">
      <c r="A574" s="72">
        <v>572</v>
      </c>
      <c r="B574" s="183">
        <v>1356</v>
      </c>
      <c r="C574" s="133" t="s">
        <v>6848</v>
      </c>
      <c r="D574" s="133"/>
      <c r="E574" s="134"/>
      <c r="F574" s="134" t="s">
        <v>4192</v>
      </c>
      <c r="G574" s="184">
        <v>629765</v>
      </c>
      <c r="H574" s="138" t="s">
        <v>4193</v>
      </c>
      <c r="I574" s="138" t="s">
        <v>4193</v>
      </c>
      <c r="J574" s="138" t="s">
        <v>4194</v>
      </c>
      <c r="K574" s="138" t="s">
        <v>426</v>
      </c>
      <c r="L574" s="138"/>
      <c r="M574" s="138"/>
      <c r="N574" s="138"/>
      <c r="O574" s="138"/>
      <c r="P574" s="138" t="s">
        <v>6183</v>
      </c>
      <c r="Q574" s="138" t="s">
        <v>6173</v>
      </c>
      <c r="R574" s="138" t="s">
        <v>6185</v>
      </c>
      <c r="S574" s="138" t="s">
        <v>6182</v>
      </c>
      <c r="T574" s="135">
        <v>228.41</v>
      </c>
      <c r="U574" s="185">
        <v>4.5094347883192505E-4</v>
      </c>
      <c r="V574" s="185">
        <v>2.0489470688673877E-3</v>
      </c>
      <c r="W574" s="185">
        <v>4.365158322401653E-4</v>
      </c>
      <c r="X574" s="185">
        <v>4.5094347883192505E-4</v>
      </c>
      <c r="Y574" s="204">
        <v>7</v>
      </c>
      <c r="Z574" s="135">
        <v>6.24</v>
      </c>
      <c r="AA574" s="135"/>
      <c r="AB574" s="135">
        <v>6.51</v>
      </c>
      <c r="AC574" s="135">
        <v>0.89990000000000003</v>
      </c>
      <c r="AD574" s="135">
        <v>6.56</v>
      </c>
      <c r="AE574" s="135">
        <v>6.72</v>
      </c>
      <c r="AF574" s="135">
        <f t="shared" si="198"/>
        <v>6.56</v>
      </c>
      <c r="AG574" s="136">
        <v>5.73</v>
      </c>
      <c r="AH574" s="185">
        <v>2.2499999999999999E-4</v>
      </c>
      <c r="AI574" s="185"/>
      <c r="AJ574" s="136">
        <f t="shared" si="199"/>
        <v>-2.0363838082012893</v>
      </c>
      <c r="AK574" s="136"/>
      <c r="AL574" s="136">
        <f t="shared" si="200"/>
        <v>-2.0363838082012893</v>
      </c>
      <c r="AM574" s="136">
        <v>-4.8518599999999994</v>
      </c>
      <c r="AN574" s="186">
        <v>-1.85</v>
      </c>
      <c r="AO574" s="481">
        <v>15.2</v>
      </c>
      <c r="AP574" s="481"/>
      <c r="AQ574" s="135" t="s">
        <v>6311</v>
      </c>
      <c r="AR574" s="135" t="s">
        <v>6311</v>
      </c>
      <c r="AS574" s="190"/>
      <c r="AT574" s="137" t="s">
        <v>266</v>
      </c>
      <c r="AU574" s="135">
        <v>6</v>
      </c>
      <c r="AV574" s="135">
        <v>120</v>
      </c>
      <c r="AW574" s="135">
        <v>114</v>
      </c>
      <c r="AX574" s="135">
        <v>28</v>
      </c>
      <c r="AY574" s="135" t="s">
        <v>8728</v>
      </c>
      <c r="AZ574" s="135" t="s">
        <v>1563</v>
      </c>
      <c r="BA574" s="135">
        <v>32</v>
      </c>
      <c r="BB574" s="138" t="s">
        <v>2485</v>
      </c>
      <c r="BC574" s="138" t="s">
        <v>8726</v>
      </c>
      <c r="BD574" s="138" t="s">
        <v>8374</v>
      </c>
      <c r="BE574" s="135" t="s">
        <v>2449</v>
      </c>
      <c r="BF574" s="135" t="s">
        <v>272</v>
      </c>
      <c r="BG574" s="135" t="s">
        <v>272</v>
      </c>
      <c r="BH574" s="135" t="s">
        <v>2486</v>
      </c>
      <c r="BI574" s="185">
        <v>6.3999999999999997E-6</v>
      </c>
      <c r="BJ574" s="185">
        <v>6.4000000000000001E-2</v>
      </c>
      <c r="BK574" s="135"/>
      <c r="BL574" s="185">
        <f t="shared" si="201"/>
        <v>1.2783683211911451E-4</v>
      </c>
      <c r="BM574" s="138" t="s">
        <v>2487</v>
      </c>
      <c r="BN574" s="135"/>
      <c r="BO574" s="135"/>
      <c r="BP574" s="135"/>
      <c r="BQ574" s="135"/>
      <c r="BR574" s="138" t="s">
        <v>2496</v>
      </c>
      <c r="BS574" s="135"/>
      <c r="BT574" s="135"/>
      <c r="BU574" s="135"/>
      <c r="BV574" s="135"/>
      <c r="BW574" s="135"/>
      <c r="BX574" s="135"/>
      <c r="BY574" s="135"/>
      <c r="BZ574" s="135"/>
      <c r="CA574" s="135"/>
      <c r="CB574" s="135"/>
      <c r="CC574" s="135"/>
      <c r="CD574" s="135"/>
      <c r="CE574" s="135"/>
      <c r="CF574" s="135"/>
      <c r="CG574" s="135"/>
      <c r="CH574" s="135"/>
      <c r="CI574" s="185"/>
      <c r="CJ574" s="187"/>
      <c r="CK574" s="136">
        <f t="shared" si="192"/>
        <v>1.9974505018611642E-3</v>
      </c>
      <c r="CL574" s="188"/>
      <c r="CM574" s="188"/>
      <c r="CN574" s="188"/>
      <c r="CO574" s="138" t="s">
        <v>2488</v>
      </c>
      <c r="CP574" s="138" t="s">
        <v>2489</v>
      </c>
      <c r="CQ574" s="191" t="s">
        <v>272</v>
      </c>
      <c r="CR574" s="191"/>
      <c r="CS574" s="135" t="s">
        <v>539</v>
      </c>
      <c r="CT574" s="135"/>
      <c r="CU574" s="135"/>
      <c r="CV574" s="332">
        <f t="shared" si="197"/>
        <v>7.0459918567488287E-3</v>
      </c>
      <c r="CW574" s="329">
        <f t="shared" si="190"/>
        <v>0</v>
      </c>
      <c r="CX574" s="329"/>
      <c r="CY574" s="189" t="s">
        <v>5921</v>
      </c>
    </row>
    <row r="575" spans="1:103" ht="11.25" customHeight="1" x14ac:dyDescent="0.2">
      <c r="A575" s="72">
        <v>573</v>
      </c>
      <c r="B575" s="183">
        <v>895</v>
      </c>
      <c r="C575" s="133" t="s">
        <v>6849</v>
      </c>
      <c r="D575" s="133"/>
      <c r="E575" s="134"/>
      <c r="F575" s="134" t="s">
        <v>2549</v>
      </c>
      <c r="G575" s="184">
        <v>678397</v>
      </c>
      <c r="H575" s="138" t="s">
        <v>2550</v>
      </c>
      <c r="I575" s="138" t="s">
        <v>2550</v>
      </c>
      <c r="J575" s="138" t="s">
        <v>2551</v>
      </c>
      <c r="K575" s="138" t="s">
        <v>426</v>
      </c>
      <c r="L575" s="138"/>
      <c r="M575" s="138"/>
      <c r="N575" s="138"/>
      <c r="O575" s="138"/>
      <c r="P575" s="138"/>
      <c r="Q575" s="138"/>
      <c r="R575" s="138"/>
      <c r="S575" s="138"/>
      <c r="T575" s="135">
        <v>464.12</v>
      </c>
      <c r="U575" s="185"/>
      <c r="V575" s="185">
        <v>1.4515642506248385E-4</v>
      </c>
      <c r="W575" s="185">
        <v>9.5499258602143589E-3</v>
      </c>
      <c r="X575" s="185">
        <f>IF(W575=0,V575,W575)</f>
        <v>9.5499258602143589E-3</v>
      </c>
      <c r="Y575" s="204">
        <v>7</v>
      </c>
      <c r="Z575" s="135">
        <v>5.75</v>
      </c>
      <c r="AA575" s="135">
        <v>5.58</v>
      </c>
      <c r="AB575" s="135">
        <v>5.47</v>
      </c>
      <c r="AC575" s="135">
        <v>0.50749999999999995</v>
      </c>
      <c r="AD575" s="135">
        <v>5.68</v>
      </c>
      <c r="AE575" s="135">
        <v>5.94</v>
      </c>
      <c r="AF575" s="135">
        <f t="shared" si="198"/>
        <v>5.58</v>
      </c>
      <c r="AG575" s="136">
        <v>4.49</v>
      </c>
      <c r="AH575" s="185">
        <v>4.1399999999999997</v>
      </c>
      <c r="AI575" s="185"/>
      <c r="AJ575" s="136">
        <f t="shared" si="199"/>
        <v>2.2284340148082471</v>
      </c>
      <c r="AK575" s="136"/>
      <c r="AL575" s="136">
        <f t="shared" si="200"/>
        <v>2.2284340148082471</v>
      </c>
      <c r="AM575" s="136">
        <v>0.86612000000000011</v>
      </c>
      <c r="AN575" s="186">
        <v>-1.51</v>
      </c>
      <c r="AO575" s="481">
        <v>14.28</v>
      </c>
      <c r="AP575" s="481"/>
      <c r="AQ575" s="135" t="s">
        <v>6311</v>
      </c>
      <c r="AR575" s="135" t="s">
        <v>6311</v>
      </c>
      <c r="AS575" s="190"/>
      <c r="AT575" s="137" t="s">
        <v>266</v>
      </c>
      <c r="AU575" s="135">
        <v>6</v>
      </c>
      <c r="AV575" s="135">
        <v>120</v>
      </c>
      <c r="AW575" s="135">
        <v>114</v>
      </c>
      <c r="AX575" s="135">
        <v>28</v>
      </c>
      <c r="AY575" s="135" t="s">
        <v>8728</v>
      </c>
      <c r="AZ575" s="135" t="s">
        <v>1563</v>
      </c>
      <c r="BA575" s="135">
        <v>32</v>
      </c>
      <c r="BB575" s="138" t="s">
        <v>2485</v>
      </c>
      <c r="BC575" s="138" t="s">
        <v>8726</v>
      </c>
      <c r="BD575" s="138" t="s">
        <v>8374</v>
      </c>
      <c r="BE575" s="135" t="s">
        <v>2449</v>
      </c>
      <c r="BF575" s="135" t="s">
        <v>272</v>
      </c>
      <c r="BG575" s="135" t="s">
        <v>272</v>
      </c>
      <c r="BH575" s="135" t="s">
        <v>2486</v>
      </c>
      <c r="BI575" s="185">
        <v>6.3999999999999997E-6</v>
      </c>
      <c r="BJ575" s="185">
        <v>6.4000000000000001E-2</v>
      </c>
      <c r="BK575" s="135"/>
      <c r="BL575" s="185">
        <f t="shared" si="201"/>
        <v>3.5214781659360505E-4</v>
      </c>
      <c r="BM575" s="138" t="s">
        <v>2487</v>
      </c>
      <c r="BN575" s="135"/>
      <c r="BO575" s="135"/>
      <c r="BP575" s="135"/>
      <c r="BQ575" s="135"/>
      <c r="BR575" s="138" t="s">
        <v>2496</v>
      </c>
      <c r="BS575" s="135"/>
      <c r="BT575" s="135"/>
      <c r="BU575" s="135">
        <v>6.4000000000000005E-4</v>
      </c>
      <c r="BV575" s="135"/>
      <c r="BW575" s="135"/>
      <c r="BX575" s="135"/>
      <c r="BY575" s="135"/>
      <c r="BZ575" s="135"/>
      <c r="CA575" s="135"/>
      <c r="CB575" s="135"/>
      <c r="CC575" s="135"/>
      <c r="CD575" s="135"/>
      <c r="CE575" s="135"/>
      <c r="CF575" s="135"/>
      <c r="CG575" s="135"/>
      <c r="CH575" s="135"/>
      <c r="CI575" s="185"/>
      <c r="CJ575" s="187"/>
      <c r="CK575" s="136">
        <f t="shared" si="192"/>
        <v>5.502309634275079E-3</v>
      </c>
      <c r="CL575" s="188"/>
      <c r="CM575" s="188"/>
      <c r="CN575" s="188"/>
      <c r="CO575" s="138" t="s">
        <v>2488</v>
      </c>
      <c r="CP575" s="138" t="s">
        <v>2489</v>
      </c>
      <c r="CQ575" s="191" t="s">
        <v>272</v>
      </c>
      <c r="CR575" s="191"/>
      <c r="CS575" s="135" t="s">
        <v>539</v>
      </c>
      <c r="CT575" s="135"/>
      <c r="CU575" s="135"/>
      <c r="CV575" s="332">
        <f t="shared" ref="CV575:CV606" si="202">X575/BJ575</f>
        <v>0.14921759156584935</v>
      </c>
      <c r="CW575" s="329">
        <f t="shared" ref="CW575:CW638" si="203">IF(CV575&lt;1,0,1)</f>
        <v>0</v>
      </c>
      <c r="CX575" s="329"/>
      <c r="CY575" s="189" t="s">
        <v>5921</v>
      </c>
    </row>
    <row r="576" spans="1:103" ht="11.25" customHeight="1" x14ac:dyDescent="0.2">
      <c r="A576" s="72">
        <v>574</v>
      </c>
      <c r="B576" s="183">
        <v>1034</v>
      </c>
      <c r="C576" s="133" t="s">
        <v>2101</v>
      </c>
      <c r="D576" s="133" t="s">
        <v>6567</v>
      </c>
      <c r="E576" s="134"/>
      <c r="F576" s="134" t="s">
        <v>2102</v>
      </c>
      <c r="G576" s="184">
        <v>82657043</v>
      </c>
      <c r="H576" s="138" t="s">
        <v>2103</v>
      </c>
      <c r="I576" s="138" t="s">
        <v>7896</v>
      </c>
      <c r="J576" s="138" t="s">
        <v>2104</v>
      </c>
      <c r="K576" s="138" t="s">
        <v>1363</v>
      </c>
      <c r="L576" s="138" t="s">
        <v>617</v>
      </c>
      <c r="M576" s="138" t="s">
        <v>1086</v>
      </c>
      <c r="N576" s="138" t="s">
        <v>6376</v>
      </c>
      <c r="O576" s="138" t="s">
        <v>918</v>
      </c>
      <c r="P576" s="138"/>
      <c r="Q576" s="138"/>
      <c r="R576" s="138"/>
      <c r="S576" s="138"/>
      <c r="T576" s="135">
        <v>422.87</v>
      </c>
      <c r="U576" s="185">
        <v>2.3647929623761441E-4</v>
      </c>
      <c r="V576" s="185">
        <v>5.6920566604393782E-7</v>
      </c>
      <c r="W576" s="185">
        <v>2.9512092266663814E-4</v>
      </c>
      <c r="X576" s="185">
        <v>2.3647929623761441E-4</v>
      </c>
      <c r="Y576" s="204">
        <v>7</v>
      </c>
      <c r="Z576" s="135">
        <v>8.15</v>
      </c>
      <c r="AA576" s="135"/>
      <c r="AB576" s="135">
        <v>6.84</v>
      </c>
      <c r="AC576" s="135">
        <v>0.85719999999999996</v>
      </c>
      <c r="AD576" s="135">
        <v>6.93</v>
      </c>
      <c r="AE576" s="135">
        <v>7.3</v>
      </c>
      <c r="AF576" s="135">
        <f t="shared" si="198"/>
        <v>6.93</v>
      </c>
      <c r="AG576" s="136">
        <v>6.43</v>
      </c>
      <c r="AH576" s="185">
        <v>1.91E-5</v>
      </c>
      <c r="AI576" s="185">
        <v>9.9999999999999995E-7</v>
      </c>
      <c r="AJ576" s="136">
        <f t="shared" si="199"/>
        <v>-3.1075329590649243</v>
      </c>
      <c r="AK576" s="136">
        <f>LOG10(AI576*1000/(0.08206*298.15))</f>
        <v>-4.3885663263126515</v>
      </c>
      <c r="AL576" s="136">
        <f t="shared" si="200"/>
        <v>-4.3885663263126515</v>
      </c>
      <c r="AM576" s="136">
        <v>-9.5165900000000008</v>
      </c>
      <c r="AN576" s="186">
        <v>-4.72</v>
      </c>
      <c r="AO576" s="481"/>
      <c r="AP576" s="481"/>
      <c r="AQ576" s="135" t="s">
        <v>6311</v>
      </c>
      <c r="AR576" s="135" t="s">
        <v>6312</v>
      </c>
      <c r="AS576" s="190"/>
      <c r="AT576" s="137" t="s">
        <v>266</v>
      </c>
      <c r="AU576" s="135">
        <v>6</v>
      </c>
      <c r="AV576" s="135">
        <v>120</v>
      </c>
      <c r="AW576" s="135">
        <v>114</v>
      </c>
      <c r="AX576" s="135">
        <v>28</v>
      </c>
      <c r="AY576" s="135" t="s">
        <v>8728</v>
      </c>
      <c r="AZ576" s="135" t="s">
        <v>1563</v>
      </c>
      <c r="BA576" s="135">
        <v>32</v>
      </c>
      <c r="BB576" s="138" t="s">
        <v>2485</v>
      </c>
      <c r="BC576" s="138" t="s">
        <v>8726</v>
      </c>
      <c r="BD576" s="138" t="s">
        <v>8374</v>
      </c>
      <c r="BE576" s="135" t="s">
        <v>2449</v>
      </c>
      <c r="BF576" s="135" t="s">
        <v>272</v>
      </c>
      <c r="BG576" s="135" t="s">
        <v>272</v>
      </c>
      <c r="BH576" s="135" t="s">
        <v>2486</v>
      </c>
      <c r="BI576" s="185">
        <v>6.3999999999999997E-6</v>
      </c>
      <c r="BJ576" s="185">
        <v>6.4000000000000001E-2</v>
      </c>
      <c r="BK576" s="135"/>
      <c r="BL576" s="185">
        <f t="shared" si="201"/>
        <v>2.4619827176821421E-6</v>
      </c>
      <c r="BM576" s="138" t="s">
        <v>2487</v>
      </c>
      <c r="BN576" s="135"/>
      <c r="BO576" s="135"/>
      <c r="BP576" s="135"/>
      <c r="BQ576" s="135"/>
      <c r="BR576" s="138" t="s">
        <v>2496</v>
      </c>
      <c r="BS576" s="135"/>
      <c r="BT576" s="135"/>
      <c r="BU576" s="135">
        <v>6.4000000000000001E-2</v>
      </c>
      <c r="BV576" s="135"/>
      <c r="BW576" s="135"/>
      <c r="BX576" s="135"/>
      <c r="BY576" s="135"/>
      <c r="BZ576" s="135"/>
      <c r="CA576" s="135"/>
      <c r="CB576" s="135"/>
      <c r="CC576" s="135"/>
      <c r="CD576" s="135"/>
      <c r="CE576" s="135"/>
      <c r="CF576" s="135"/>
      <c r="CG576" s="135"/>
      <c r="CH576" s="135"/>
      <c r="CI576" s="185"/>
      <c r="CJ576" s="187"/>
      <c r="CK576" s="136">
        <f t="shared" si="192"/>
        <v>3.8468479963783471E-5</v>
      </c>
      <c r="CL576" s="188"/>
      <c r="CM576" s="188">
        <v>-6.0896484331721936</v>
      </c>
      <c r="CN576" s="188">
        <f>BJ576/(10^CM576)</f>
        <v>78673.488372093256</v>
      </c>
      <c r="CO576" s="138" t="s">
        <v>2488</v>
      </c>
      <c r="CP576" s="138" t="s">
        <v>2489</v>
      </c>
      <c r="CQ576" s="183">
        <v>-5.5299276220699003</v>
      </c>
      <c r="CR576" s="191">
        <f>10^(CJ576-CQ576)</f>
        <v>338787.69031664886</v>
      </c>
      <c r="CS576" s="135" t="s">
        <v>539</v>
      </c>
      <c r="CT576" s="135"/>
      <c r="CU576" s="135"/>
      <c r="CV576" s="332">
        <f t="shared" si="202"/>
        <v>3.6949890037127251E-3</v>
      </c>
      <c r="CW576" s="329">
        <f t="shared" si="203"/>
        <v>0</v>
      </c>
      <c r="CX576" s="329"/>
      <c r="CY576" s="189" t="s">
        <v>5921</v>
      </c>
    </row>
    <row r="577" spans="1:103" ht="11.25" customHeight="1" x14ac:dyDescent="0.2">
      <c r="A577" s="72">
        <v>575</v>
      </c>
      <c r="B577" s="183">
        <v>1629</v>
      </c>
      <c r="C577" s="133" t="s">
        <v>6850</v>
      </c>
      <c r="D577" s="133"/>
      <c r="E577" s="134"/>
      <c r="F577" s="134" t="s">
        <v>4825</v>
      </c>
      <c r="G577" s="184">
        <v>744456</v>
      </c>
      <c r="H577" s="138" t="s">
        <v>4826</v>
      </c>
      <c r="I577" s="138" t="s">
        <v>4826</v>
      </c>
      <c r="J577" s="138" t="s">
        <v>4827</v>
      </c>
      <c r="K577" s="138" t="s">
        <v>357</v>
      </c>
      <c r="L577" s="140"/>
      <c r="M577" s="138"/>
      <c r="N577" s="138"/>
      <c r="O577" s="138"/>
      <c r="P577" s="138"/>
      <c r="Q577" s="138"/>
      <c r="R577" s="138"/>
      <c r="S577" s="138"/>
      <c r="T577" s="135">
        <v>318.32</v>
      </c>
      <c r="U577" s="185"/>
      <c r="V577" s="185">
        <v>9.5469967328474497E-3</v>
      </c>
      <c r="W577" s="185">
        <v>2.3442288153199207E-4</v>
      </c>
      <c r="X577" s="185">
        <f>IF(W577=0,V577,W577)</f>
        <v>2.3442288153199207E-4</v>
      </c>
      <c r="Y577" s="204">
        <v>7</v>
      </c>
      <c r="Z577" s="135">
        <v>4.0999999999999996</v>
      </c>
      <c r="AA577" s="135"/>
      <c r="AB577" s="135">
        <v>4.67</v>
      </c>
      <c r="AC577" s="135">
        <v>0.80959999999999999</v>
      </c>
      <c r="AD577" s="135">
        <v>4.83</v>
      </c>
      <c r="AE577" s="135">
        <v>5.24</v>
      </c>
      <c r="AF577" s="135">
        <f t="shared" si="198"/>
        <v>4.83</v>
      </c>
      <c r="AG577" s="136">
        <v>7.07</v>
      </c>
      <c r="AH577" s="185">
        <v>3.0600000000000003E-8</v>
      </c>
      <c r="AI577" s="185"/>
      <c r="AJ577" s="136">
        <f t="shared" si="199"/>
        <v>-5.9028448998310719</v>
      </c>
      <c r="AK577" s="136"/>
      <c r="AL577" s="136">
        <f t="shared" si="200"/>
        <v>-5.9028448998310719</v>
      </c>
      <c r="AM577" s="136">
        <v>-13.59967</v>
      </c>
      <c r="AN577" s="186">
        <v>-22.6</v>
      </c>
      <c r="AO577" s="481"/>
      <c r="AP577" s="481"/>
      <c r="AQ577" s="186" t="s">
        <v>6311</v>
      </c>
      <c r="AR577" s="186" t="s">
        <v>6314</v>
      </c>
      <c r="AS577" s="183"/>
      <c r="AT577" s="137" t="s">
        <v>266</v>
      </c>
      <c r="AU577" s="135">
        <v>6</v>
      </c>
      <c r="AV577" s="135">
        <v>120</v>
      </c>
      <c r="AW577" s="135">
        <v>114</v>
      </c>
      <c r="AX577" s="135">
        <v>28</v>
      </c>
      <c r="AY577" s="135" t="s">
        <v>8728</v>
      </c>
      <c r="AZ577" s="135" t="s">
        <v>1563</v>
      </c>
      <c r="BA577" s="135">
        <v>32</v>
      </c>
      <c r="BB577" s="138" t="s">
        <v>2485</v>
      </c>
      <c r="BC577" s="138" t="s">
        <v>8726</v>
      </c>
      <c r="BD577" s="138" t="s">
        <v>8374</v>
      </c>
      <c r="BE577" s="135" t="s">
        <v>2449</v>
      </c>
      <c r="BF577" s="135" t="s">
        <v>272</v>
      </c>
      <c r="BG577" s="135" t="s">
        <v>272</v>
      </c>
      <c r="BH577" s="135" t="s">
        <v>2486</v>
      </c>
      <c r="BI577" s="185">
        <v>6.3999999999999997E-6</v>
      </c>
      <c r="BJ577" s="185">
        <v>6.4000000000000001E-2</v>
      </c>
      <c r="BK577" s="135"/>
      <c r="BL577" s="185">
        <f t="shared" si="201"/>
        <v>1.0680461036401821E-2</v>
      </c>
      <c r="BM577" s="138" t="s">
        <v>2487</v>
      </c>
      <c r="BN577" s="135"/>
      <c r="BO577" s="135"/>
      <c r="BP577" s="135"/>
      <c r="BQ577" s="135"/>
      <c r="BR577" s="138" t="s">
        <v>2496</v>
      </c>
      <c r="BS577" s="135"/>
      <c r="BT577" s="135"/>
      <c r="BU577" s="135"/>
      <c r="BV577" s="135"/>
      <c r="BW577" s="135"/>
      <c r="BX577" s="135"/>
      <c r="BY577" s="135"/>
      <c r="BZ577" s="135"/>
      <c r="CA577" s="135"/>
      <c r="CB577" s="135"/>
      <c r="CC577" s="135"/>
      <c r="CD577" s="135"/>
      <c r="CE577" s="135"/>
      <c r="CF577" s="135"/>
      <c r="CG577" s="135"/>
      <c r="CH577" s="135"/>
      <c r="CI577" s="185"/>
      <c r="CJ577" s="187"/>
      <c r="CK577" s="136">
        <f t="shared" si="192"/>
        <v>0.16688220369377846</v>
      </c>
      <c r="CL577" s="188"/>
      <c r="CM577" s="188"/>
      <c r="CN577" s="188"/>
      <c r="CO577" s="138" t="s">
        <v>2488</v>
      </c>
      <c r="CP577" s="138" t="s">
        <v>2489</v>
      </c>
      <c r="CQ577" s="191" t="s">
        <v>272</v>
      </c>
      <c r="CR577" s="191"/>
      <c r="CS577" s="135" t="s">
        <v>539</v>
      </c>
      <c r="CT577" s="135"/>
      <c r="CU577" s="135"/>
      <c r="CV577" s="332">
        <f t="shared" si="202"/>
        <v>3.662857523937376E-3</v>
      </c>
      <c r="CW577" s="329">
        <f t="shared" si="203"/>
        <v>0</v>
      </c>
      <c r="CX577" s="329"/>
      <c r="CY577" s="189" t="s">
        <v>5921</v>
      </c>
    </row>
    <row r="578" spans="1:103" ht="11.25" customHeight="1" x14ac:dyDescent="0.2">
      <c r="A578" s="72">
        <v>576</v>
      </c>
      <c r="B578" s="183">
        <v>1796</v>
      </c>
      <c r="C578" s="133" t="s">
        <v>6851</v>
      </c>
      <c r="D578" s="133"/>
      <c r="E578" s="134"/>
      <c r="F578" s="134" t="s">
        <v>5169</v>
      </c>
      <c r="G578" s="184">
        <v>789026</v>
      </c>
      <c r="H578" s="138" t="s">
        <v>5170</v>
      </c>
      <c r="I578" s="138" t="s">
        <v>7934</v>
      </c>
      <c r="J578" s="138" t="s">
        <v>5171</v>
      </c>
      <c r="K578" s="138" t="s">
        <v>426</v>
      </c>
      <c r="L578" s="138"/>
      <c r="M578" s="138"/>
      <c r="N578" s="138"/>
      <c r="O578" s="138"/>
      <c r="P578" s="138"/>
      <c r="Q578" s="138"/>
      <c r="R578" s="138"/>
      <c r="S578" s="138"/>
      <c r="T578" s="135">
        <v>354.48</v>
      </c>
      <c r="U578" s="185">
        <v>2.3978785827127061E-4</v>
      </c>
      <c r="V578" s="185">
        <v>2.5871699390656737E-5</v>
      </c>
      <c r="W578" s="185">
        <v>1.2302687708123797E-4</v>
      </c>
      <c r="X578" s="185">
        <v>2.3978785827127061E-4</v>
      </c>
      <c r="Y578" s="204">
        <v>7</v>
      </c>
      <c r="Z578" s="135">
        <v>6.79</v>
      </c>
      <c r="AA578" s="135"/>
      <c r="AB578" s="135">
        <v>6.33</v>
      </c>
      <c r="AC578" s="135">
        <v>0.82679999999999998</v>
      </c>
      <c r="AD578" s="135">
        <v>6.22</v>
      </c>
      <c r="AE578" s="135">
        <v>5.92</v>
      </c>
      <c r="AF578" s="135">
        <f t="shared" si="198"/>
        <v>6.22</v>
      </c>
      <c r="AG578" s="136">
        <v>6.54</v>
      </c>
      <c r="AH578" s="185">
        <v>1.5299999999999999E-5</v>
      </c>
      <c r="AI578" s="185">
        <v>7.4100000000000002E-6</v>
      </c>
      <c r="AJ578" s="136">
        <f t="shared" si="199"/>
        <v>-3.2038748954950531</v>
      </c>
      <c r="AK578" s="136">
        <f>LOG10(AI578*1000/(0.08206*298.15))</f>
        <v>-3.5187481183333236</v>
      </c>
      <c r="AL578" s="136">
        <f t="shared" si="200"/>
        <v>-3.5187481183333236</v>
      </c>
      <c r="AM578" s="136">
        <v>-7.4330299999999996</v>
      </c>
      <c r="AN578" s="186">
        <v>-4.3499999999999996</v>
      </c>
      <c r="AO578" s="481"/>
      <c r="AP578" s="481"/>
      <c r="AQ578" s="186" t="s">
        <v>6311</v>
      </c>
      <c r="AR578" s="186" t="s">
        <v>6311</v>
      </c>
      <c r="AS578" s="183"/>
      <c r="AT578" s="137" t="s">
        <v>266</v>
      </c>
      <c r="AU578" s="135">
        <v>6</v>
      </c>
      <c r="AV578" s="135">
        <v>120</v>
      </c>
      <c r="AW578" s="135">
        <v>114</v>
      </c>
      <c r="AX578" s="135">
        <v>28</v>
      </c>
      <c r="AY578" s="135" t="s">
        <v>8728</v>
      </c>
      <c r="AZ578" s="135" t="s">
        <v>1563</v>
      </c>
      <c r="BA578" s="135">
        <v>32</v>
      </c>
      <c r="BB578" s="138" t="s">
        <v>2485</v>
      </c>
      <c r="BC578" s="138" t="s">
        <v>8726</v>
      </c>
      <c r="BD578" s="138" t="s">
        <v>8374</v>
      </c>
      <c r="BE578" s="135" t="s">
        <v>2449</v>
      </c>
      <c r="BF578" s="135" t="s">
        <v>272</v>
      </c>
      <c r="BG578" s="135" t="s">
        <v>272</v>
      </c>
      <c r="BH578" s="135" t="s">
        <v>2486</v>
      </c>
      <c r="BI578" s="185">
        <v>6.3999999999999997E-6</v>
      </c>
      <c r="BJ578" s="185">
        <v>6.4000000000000001E-2</v>
      </c>
      <c r="BK578" s="135"/>
      <c r="BL578" s="185">
        <f t="shared" si="201"/>
        <v>4.0992178575571082E-5</v>
      </c>
      <c r="BM578" s="138" t="s">
        <v>2487</v>
      </c>
      <c r="BN578" s="135"/>
      <c r="BO578" s="135"/>
      <c r="BP578" s="135"/>
      <c r="BQ578" s="135"/>
      <c r="BR578" s="138" t="s">
        <v>2496</v>
      </c>
      <c r="BS578" s="135"/>
      <c r="BT578" s="135"/>
      <c r="BU578" s="135"/>
      <c r="BV578" s="135"/>
      <c r="BW578" s="135"/>
      <c r="BX578" s="135"/>
      <c r="BY578" s="135"/>
      <c r="BZ578" s="135"/>
      <c r="CA578" s="135"/>
      <c r="CB578" s="135"/>
      <c r="CC578" s="135"/>
      <c r="CD578" s="135"/>
      <c r="CE578" s="135"/>
      <c r="CF578" s="135"/>
      <c r="CG578" s="135"/>
      <c r="CH578" s="135"/>
      <c r="CI578" s="185"/>
      <c r="CJ578" s="187"/>
      <c r="CK578" s="136">
        <f t="shared" si="192"/>
        <v>6.4050279024329814E-4</v>
      </c>
      <c r="CL578" s="188"/>
      <c r="CM578" s="188"/>
      <c r="CN578" s="188"/>
      <c r="CO578" s="138" t="s">
        <v>2488</v>
      </c>
      <c r="CP578" s="138" t="s">
        <v>2489</v>
      </c>
      <c r="CQ578" s="191" t="s">
        <v>272</v>
      </c>
      <c r="CR578" s="191"/>
      <c r="CS578" s="135" t="s">
        <v>539</v>
      </c>
      <c r="CT578" s="135"/>
      <c r="CU578" s="135"/>
      <c r="CV578" s="332">
        <f t="shared" si="202"/>
        <v>3.7466852854886033E-3</v>
      </c>
      <c r="CW578" s="329">
        <f t="shared" si="203"/>
        <v>0</v>
      </c>
      <c r="CX578" s="329"/>
      <c r="CY578" s="189" t="s">
        <v>5921</v>
      </c>
    </row>
    <row r="579" spans="1:103" ht="11.25" customHeight="1" x14ac:dyDescent="0.2">
      <c r="A579" s="72">
        <v>577</v>
      </c>
      <c r="B579" s="191">
        <v>1443</v>
      </c>
      <c r="C579" s="128" t="s">
        <v>6852</v>
      </c>
      <c r="D579" s="128"/>
      <c r="E579" s="129"/>
      <c r="F579" s="129" t="s">
        <v>4438</v>
      </c>
      <c r="G579" s="192">
        <v>826620</v>
      </c>
      <c r="H579" s="139" t="s">
        <v>4439</v>
      </c>
      <c r="I579" s="139" t="s">
        <v>4439</v>
      </c>
      <c r="J579" s="139" t="s">
        <v>4440</v>
      </c>
      <c r="K579" s="139" t="s">
        <v>426</v>
      </c>
      <c r="L579" s="139"/>
      <c r="M579" s="139"/>
      <c r="N579" s="138"/>
      <c r="O579" s="139"/>
      <c r="P579" s="138"/>
      <c r="Q579" s="138"/>
      <c r="R579" s="138"/>
      <c r="S579" s="138"/>
      <c r="T579" s="130">
        <v>164.16</v>
      </c>
      <c r="U579" s="187"/>
      <c r="V579" s="185">
        <v>10.544590643274853</v>
      </c>
      <c r="W579" s="185">
        <v>0.10471285480508985</v>
      </c>
      <c r="X579" s="185">
        <f t="shared" ref="X579:X588" si="204">IF(W579=0,V579,W579)</f>
        <v>0.10471285480508985</v>
      </c>
      <c r="Y579" s="194">
        <v>7</v>
      </c>
      <c r="Z579" s="130">
        <v>1.85</v>
      </c>
      <c r="AA579" s="130"/>
      <c r="AB579" s="130">
        <v>0.55000000000000004</v>
      </c>
      <c r="AC579" s="130">
        <v>0.51449999999999996</v>
      </c>
      <c r="AD579" s="130">
        <v>0.26</v>
      </c>
      <c r="AE579" s="130">
        <v>-0.04</v>
      </c>
      <c r="AF579" s="130">
        <f t="shared" si="198"/>
        <v>0.26</v>
      </c>
      <c r="AG579" s="131">
        <v>4.59</v>
      </c>
      <c r="AH579" s="187">
        <v>1.11E-5</v>
      </c>
      <c r="AI579" s="187"/>
      <c r="AJ579" s="136">
        <f t="shared" si="199"/>
        <v>-3.3432433475259944</v>
      </c>
      <c r="AK579" s="136"/>
      <c r="AL579" s="136">
        <f t="shared" si="200"/>
        <v>-3.3432433475259944</v>
      </c>
      <c r="AM579" s="136">
        <v>-12.148280000000002</v>
      </c>
      <c r="AN579" s="193">
        <v>-12.9</v>
      </c>
      <c r="AO579" s="481"/>
      <c r="AP579" s="481"/>
      <c r="AQ579" s="130" t="s">
        <v>6311</v>
      </c>
      <c r="AR579" s="130" t="s">
        <v>6311</v>
      </c>
      <c r="AS579" s="198"/>
      <c r="AT579" s="132" t="s">
        <v>266</v>
      </c>
      <c r="AU579" s="130">
        <v>6</v>
      </c>
      <c r="AV579" s="130">
        <v>120</v>
      </c>
      <c r="AW579" s="130">
        <v>114</v>
      </c>
      <c r="AX579" s="130">
        <v>28</v>
      </c>
      <c r="AY579" s="130" t="s">
        <v>8728</v>
      </c>
      <c r="AZ579" s="130" t="s">
        <v>1563</v>
      </c>
      <c r="BA579" s="130">
        <v>32</v>
      </c>
      <c r="BB579" s="139" t="s">
        <v>2485</v>
      </c>
      <c r="BC579" s="139" t="s">
        <v>8726</v>
      </c>
      <c r="BD579" s="139" t="s">
        <v>8374</v>
      </c>
      <c r="BE579" s="130" t="s">
        <v>2449</v>
      </c>
      <c r="BF579" s="130" t="s">
        <v>272</v>
      </c>
      <c r="BG579" s="130" t="s">
        <v>272</v>
      </c>
      <c r="BH579" s="130" t="s">
        <v>2486</v>
      </c>
      <c r="BI579" s="187">
        <v>6.3999999999999997E-6</v>
      </c>
      <c r="BJ579" s="187">
        <v>6.4000000000000001E-2</v>
      </c>
      <c r="BK579" s="130"/>
      <c r="BL579" s="187">
        <f t="shared" si="201"/>
        <v>1.1202501223054133</v>
      </c>
      <c r="BM579" s="139" t="s">
        <v>2487</v>
      </c>
      <c r="BN579" s="130"/>
      <c r="BO579" s="130"/>
      <c r="BP579" s="130"/>
      <c r="BQ579" s="130"/>
      <c r="BR579" s="139" t="s">
        <v>2496</v>
      </c>
      <c r="BS579" s="130"/>
      <c r="BT579" s="130"/>
      <c r="BU579" s="195"/>
      <c r="BV579" s="130"/>
      <c r="BW579" s="130"/>
      <c r="BX579" s="130"/>
      <c r="BY579" s="130"/>
      <c r="BZ579" s="130"/>
      <c r="CA579" s="130"/>
      <c r="CB579" s="130"/>
      <c r="CC579" s="130"/>
      <c r="CD579" s="130"/>
      <c r="CE579" s="130"/>
      <c r="CF579" s="130"/>
      <c r="CG579" s="130"/>
      <c r="CH579" s="130"/>
      <c r="CI579" s="187"/>
      <c r="CJ579" s="187"/>
      <c r="CK579" s="131">
        <f t="shared" si="192"/>
        <v>17.503908161022082</v>
      </c>
      <c r="CL579" s="188"/>
      <c r="CM579" s="188"/>
      <c r="CN579" s="188"/>
      <c r="CO579" s="139" t="s">
        <v>2488</v>
      </c>
      <c r="CP579" s="139" t="s">
        <v>2489</v>
      </c>
      <c r="CQ579" s="191" t="s">
        <v>272</v>
      </c>
      <c r="CR579" s="191"/>
      <c r="CS579" s="135" t="s">
        <v>539</v>
      </c>
      <c r="CT579" s="135"/>
      <c r="CU579" s="135"/>
      <c r="CV579" s="332">
        <f t="shared" si="202"/>
        <v>1.6361383563295289</v>
      </c>
      <c r="CW579" s="329">
        <f t="shared" si="203"/>
        <v>1</v>
      </c>
      <c r="CX579" s="329"/>
      <c r="CY579" s="189" t="s">
        <v>5921</v>
      </c>
    </row>
    <row r="580" spans="1:103" ht="11.25" customHeight="1" x14ac:dyDescent="0.2">
      <c r="A580" s="72">
        <v>578</v>
      </c>
      <c r="B580" s="183">
        <v>1279</v>
      </c>
      <c r="C580" s="133" t="s">
        <v>6853</v>
      </c>
      <c r="D580" s="133"/>
      <c r="E580" s="134"/>
      <c r="F580" s="134" t="s">
        <v>3513</v>
      </c>
      <c r="G580" s="184">
        <v>1120010</v>
      </c>
      <c r="H580" s="138" t="s">
        <v>3514</v>
      </c>
      <c r="I580" s="138" t="s">
        <v>3514</v>
      </c>
      <c r="J580" s="138" t="s">
        <v>3515</v>
      </c>
      <c r="K580" s="138" t="s">
        <v>426</v>
      </c>
      <c r="L580" s="138"/>
      <c r="M580" s="138"/>
      <c r="N580" s="138"/>
      <c r="O580" s="138"/>
      <c r="P580" s="138"/>
      <c r="Q580" s="138"/>
      <c r="R580" s="138"/>
      <c r="S580" s="138"/>
      <c r="T580" s="135">
        <v>322.5</v>
      </c>
      <c r="U580" s="185"/>
      <c r="V580" s="185">
        <v>5.0387596899224806E-3</v>
      </c>
      <c r="W580" s="185">
        <v>5.8884365535558896</v>
      </c>
      <c r="X580" s="185">
        <f t="shared" si="204"/>
        <v>5.8884365535558896</v>
      </c>
      <c r="Y580" s="204">
        <v>2.23</v>
      </c>
      <c r="Z580" s="135">
        <v>4.3899999999999997</v>
      </c>
      <c r="AA580" s="135"/>
      <c r="AB580" s="135">
        <v>3.8</v>
      </c>
      <c r="AC580" s="135">
        <v>0.26889999999999997</v>
      </c>
      <c r="AD580" s="135">
        <v>6.36</v>
      </c>
      <c r="AE580" s="135">
        <v>7.52</v>
      </c>
      <c r="AF580" s="135">
        <f t="shared" si="198"/>
        <v>6.36</v>
      </c>
      <c r="AG580" s="136">
        <v>6.36</v>
      </c>
      <c r="AH580" s="185">
        <v>5.7000000000000005E-7</v>
      </c>
      <c r="AI580" s="185"/>
      <c r="AJ580" s="136">
        <f t="shared" si="199"/>
        <v>-4.6326914706401601</v>
      </c>
      <c r="AK580" s="136"/>
      <c r="AL580" s="136">
        <f t="shared" si="200"/>
        <v>-4.6326914706401601</v>
      </c>
      <c r="AM580" s="136">
        <v>-11.650399999999999</v>
      </c>
      <c r="AN580" s="186"/>
      <c r="AO580" s="481">
        <v>-3.29</v>
      </c>
      <c r="AP580" s="481"/>
      <c r="AQ580" s="135" t="s">
        <v>6311</v>
      </c>
      <c r="AR580" s="135" t="s">
        <v>6311</v>
      </c>
      <c r="AS580" s="190"/>
      <c r="AT580" s="137" t="s">
        <v>266</v>
      </c>
      <c r="AU580" s="135">
        <v>6</v>
      </c>
      <c r="AV580" s="135">
        <v>120</v>
      </c>
      <c r="AW580" s="135">
        <v>114</v>
      </c>
      <c r="AX580" s="135">
        <v>28</v>
      </c>
      <c r="AY580" s="135" t="s">
        <v>8728</v>
      </c>
      <c r="AZ580" s="135" t="s">
        <v>1563</v>
      </c>
      <c r="BA580" s="135">
        <v>32</v>
      </c>
      <c r="BB580" s="138" t="s">
        <v>2485</v>
      </c>
      <c r="BC580" s="138" t="s">
        <v>8726</v>
      </c>
      <c r="BD580" s="138" t="s">
        <v>8374</v>
      </c>
      <c r="BE580" s="135" t="s">
        <v>2449</v>
      </c>
      <c r="BF580" s="135" t="s">
        <v>272</v>
      </c>
      <c r="BG580" s="135" t="s">
        <v>272</v>
      </c>
      <c r="BH580" s="135" t="s">
        <v>2486</v>
      </c>
      <c r="BI580" s="185">
        <v>6.3999999999999997E-6</v>
      </c>
      <c r="BJ580" s="185">
        <v>6.4000000000000001E-2</v>
      </c>
      <c r="BK580" s="135"/>
      <c r="BL580" s="185">
        <f t="shared" si="201"/>
        <v>5.8632849366192178E-3</v>
      </c>
      <c r="BM580" s="138" t="s">
        <v>2487</v>
      </c>
      <c r="BN580" s="135"/>
      <c r="BO580" s="135"/>
      <c r="BP580" s="135"/>
      <c r="BQ580" s="135"/>
      <c r="BR580" s="138" t="s">
        <v>2496</v>
      </c>
      <c r="BS580" s="135"/>
      <c r="BT580" s="135"/>
      <c r="BU580" s="135">
        <v>3.1999999999999999E-6</v>
      </c>
      <c r="BV580" s="135"/>
      <c r="BW580" s="135"/>
      <c r="BX580" s="135"/>
      <c r="BY580" s="135"/>
      <c r="BZ580" s="135"/>
      <c r="CA580" s="135"/>
      <c r="CB580" s="135"/>
      <c r="CC580" s="135"/>
      <c r="CD580" s="135"/>
      <c r="CE580" s="135"/>
      <c r="CF580" s="135"/>
      <c r="CG580" s="135"/>
      <c r="CH580" s="135"/>
      <c r="CI580" s="185"/>
      <c r="CJ580" s="187"/>
      <c r="CK580" s="136">
        <f t="shared" si="192"/>
        <v>9.161382713467528E-2</v>
      </c>
      <c r="CL580" s="188"/>
      <c r="CM580" s="188"/>
      <c r="CN580" s="188"/>
      <c r="CO580" s="138" t="s">
        <v>2488</v>
      </c>
      <c r="CP580" s="138" t="s">
        <v>2489</v>
      </c>
      <c r="CQ580" s="191" t="s">
        <v>272</v>
      </c>
      <c r="CR580" s="191"/>
      <c r="CS580" s="135" t="s">
        <v>539</v>
      </c>
      <c r="CT580" s="135"/>
      <c r="CU580" s="135"/>
      <c r="CV580" s="332">
        <f t="shared" si="202"/>
        <v>92.006821149310767</v>
      </c>
      <c r="CW580" s="329">
        <f t="shared" si="203"/>
        <v>1</v>
      </c>
      <c r="CX580" s="329"/>
      <c r="CY580" s="189" t="s">
        <v>5921</v>
      </c>
    </row>
    <row r="581" spans="1:103" ht="11.25" customHeight="1" x14ac:dyDescent="0.2">
      <c r="A581" s="72">
        <v>579</v>
      </c>
      <c r="B581" s="183">
        <v>918</v>
      </c>
      <c r="C581" s="133" t="s">
        <v>6854</v>
      </c>
      <c r="D581" s="133"/>
      <c r="E581" s="134"/>
      <c r="F581" s="134" t="s">
        <v>2622</v>
      </c>
      <c r="G581" s="184">
        <v>1120361</v>
      </c>
      <c r="H581" s="138" t="s">
        <v>2623</v>
      </c>
      <c r="I581" s="138" t="s">
        <v>2623</v>
      </c>
      <c r="J581" s="138" t="s">
        <v>2624</v>
      </c>
      <c r="K581" s="138" t="s">
        <v>426</v>
      </c>
      <c r="L581" s="138"/>
      <c r="M581" s="138"/>
      <c r="N581" s="138"/>
      <c r="O581" s="138"/>
      <c r="P581" s="138"/>
      <c r="Q581" s="138" t="s">
        <v>6173</v>
      </c>
      <c r="R581" s="138" t="s">
        <v>6185</v>
      </c>
      <c r="S581" s="138" t="s">
        <v>6182</v>
      </c>
      <c r="T581" s="135">
        <v>196.37</v>
      </c>
      <c r="U581" s="185"/>
      <c r="V581" s="185">
        <v>6.0650812242195856E-5</v>
      </c>
      <c r="W581" s="185">
        <v>4.2657951880159296E-7</v>
      </c>
      <c r="X581" s="185">
        <f t="shared" si="204"/>
        <v>4.2657951880159296E-7</v>
      </c>
      <c r="Y581" s="204">
        <v>7</v>
      </c>
      <c r="Z581" s="135">
        <v>7.08</v>
      </c>
      <c r="AA581" s="135"/>
      <c r="AB581" s="135">
        <v>6.37</v>
      </c>
      <c r="AC581" s="135">
        <v>0.83309999999999995</v>
      </c>
      <c r="AD581" s="135">
        <v>6.75</v>
      </c>
      <c r="AE581" s="135">
        <v>7.68</v>
      </c>
      <c r="AF581" s="135">
        <f t="shared" si="198"/>
        <v>6.75</v>
      </c>
      <c r="AG581" s="136">
        <v>6.28</v>
      </c>
      <c r="AH581" s="185">
        <v>3.46</v>
      </c>
      <c r="AI581" s="185"/>
      <c r="AJ581" s="136">
        <f t="shared" si="199"/>
        <v>2.1505097724801248</v>
      </c>
      <c r="AK581" s="136"/>
      <c r="AL581" s="136">
        <f t="shared" si="200"/>
        <v>2.1505097724801248</v>
      </c>
      <c r="AM581" s="136">
        <v>-1.5773299999999999</v>
      </c>
      <c r="AN581" s="186">
        <v>2.4700000000000002</v>
      </c>
      <c r="AO581" s="481"/>
      <c r="AP581" s="481"/>
      <c r="AQ581" s="135" t="s">
        <v>6311</v>
      </c>
      <c r="AR581" s="135" t="s">
        <v>6311</v>
      </c>
      <c r="AS581" s="190"/>
      <c r="AT581" s="137" t="s">
        <v>266</v>
      </c>
      <c r="AU581" s="135">
        <v>6</v>
      </c>
      <c r="AV581" s="135">
        <v>120</v>
      </c>
      <c r="AW581" s="135">
        <v>114</v>
      </c>
      <c r="AX581" s="135">
        <v>28</v>
      </c>
      <c r="AY581" s="135" t="s">
        <v>8728</v>
      </c>
      <c r="AZ581" s="135" t="s">
        <v>1563</v>
      </c>
      <c r="BA581" s="135">
        <v>32</v>
      </c>
      <c r="BB581" s="138" t="s">
        <v>2485</v>
      </c>
      <c r="BC581" s="138" t="s">
        <v>8726</v>
      </c>
      <c r="BD581" s="138" t="s">
        <v>8374</v>
      </c>
      <c r="BE581" s="135" t="s">
        <v>2449</v>
      </c>
      <c r="BF581" s="135" t="s">
        <v>272</v>
      </c>
      <c r="BG581" s="135" t="s">
        <v>272</v>
      </c>
      <c r="BH581" s="135" t="s">
        <v>2486</v>
      </c>
      <c r="BI581" s="185">
        <v>6.3999999999999997E-6</v>
      </c>
      <c r="BJ581" s="185">
        <v>6.4000000000000001E-2</v>
      </c>
      <c r="BK581" s="135"/>
      <c r="BL581" s="185">
        <f t="shared" si="201"/>
        <v>2.2503600017094727E-5</v>
      </c>
      <c r="BM581" s="138" t="s">
        <v>2487</v>
      </c>
      <c r="BN581" s="135"/>
      <c r="BO581" s="135"/>
      <c r="BP581" s="135"/>
      <c r="BQ581" s="135"/>
      <c r="BR581" s="138" t="s">
        <v>2496</v>
      </c>
      <c r="BS581" s="135"/>
      <c r="BT581" s="135"/>
      <c r="BU581" s="135">
        <v>6.4000000000000005E-4</v>
      </c>
      <c r="BV581" s="135"/>
      <c r="BW581" s="135"/>
      <c r="BX581" s="135"/>
      <c r="BY581" s="135"/>
      <c r="BZ581" s="135"/>
      <c r="CA581" s="135"/>
      <c r="CB581" s="135"/>
      <c r="CC581" s="135"/>
      <c r="CD581" s="135"/>
      <c r="CE581" s="135"/>
      <c r="CF581" s="135"/>
      <c r="CG581" s="135"/>
      <c r="CH581" s="135"/>
      <c r="CI581" s="185"/>
      <c r="CJ581" s="187"/>
      <c r="CK581" s="136">
        <f t="shared" si="192"/>
        <v>3.5161875026710511E-4</v>
      </c>
      <c r="CL581" s="188"/>
      <c r="CM581" s="188"/>
      <c r="CN581" s="188"/>
      <c r="CO581" s="138" t="s">
        <v>2488</v>
      </c>
      <c r="CP581" s="138" t="s">
        <v>2489</v>
      </c>
      <c r="CQ581" s="191" t="s">
        <v>272</v>
      </c>
      <c r="CR581" s="191"/>
      <c r="CS581" s="135" t="s">
        <v>539</v>
      </c>
      <c r="CT581" s="135"/>
      <c r="CU581" s="135"/>
      <c r="CV581" s="332">
        <f t="shared" si="202"/>
        <v>6.6653049812748898E-6</v>
      </c>
      <c r="CW581" s="329">
        <f t="shared" si="203"/>
        <v>0</v>
      </c>
      <c r="CX581" s="329"/>
      <c r="CY581" s="189" t="s">
        <v>6351</v>
      </c>
    </row>
    <row r="582" spans="1:103" ht="11.25" customHeight="1" x14ac:dyDescent="0.2">
      <c r="A582" s="72">
        <v>580</v>
      </c>
      <c r="B582" s="191">
        <v>1872</v>
      </c>
      <c r="C582" s="128" t="s">
        <v>6855</v>
      </c>
      <c r="D582" s="128"/>
      <c r="E582" s="129"/>
      <c r="F582" s="129" t="s">
        <v>5316</v>
      </c>
      <c r="G582" s="192">
        <v>1300727</v>
      </c>
      <c r="H582" s="139" t="s">
        <v>5317</v>
      </c>
      <c r="I582" s="139" t="s">
        <v>5317</v>
      </c>
      <c r="J582" s="139" t="s">
        <v>5318</v>
      </c>
      <c r="K582" s="139" t="s">
        <v>426</v>
      </c>
      <c r="L582" s="139"/>
      <c r="M582" s="139"/>
      <c r="N582" s="138"/>
      <c r="O582" s="139"/>
      <c r="P582" s="138"/>
      <c r="Q582" s="138"/>
      <c r="R582" s="138"/>
      <c r="S582" s="138"/>
      <c r="T582" s="130">
        <v>186.23</v>
      </c>
      <c r="U582" s="187"/>
      <c r="V582" s="185">
        <v>316.49036138108789</v>
      </c>
      <c r="W582" s="185">
        <v>1659.5869074375607</v>
      </c>
      <c r="X582" s="185">
        <f t="shared" si="204"/>
        <v>1659.5869074375607</v>
      </c>
      <c r="Y582" s="194"/>
      <c r="Z582" s="130">
        <v>-7.0000000000000007E-2</v>
      </c>
      <c r="AA582" s="130"/>
      <c r="AB582" s="130">
        <v>-0.09</v>
      </c>
      <c r="AC582" s="130">
        <v>0.72489999999999999</v>
      </c>
      <c r="AD582" s="130">
        <v>0.47</v>
      </c>
      <c r="AE582" s="130">
        <v>1.39</v>
      </c>
      <c r="AF582" s="130">
        <f t="shared" si="198"/>
        <v>0.47</v>
      </c>
      <c r="AG582" s="131">
        <v>7.3</v>
      </c>
      <c r="AH582" s="187">
        <v>3.0600000000000002E-9</v>
      </c>
      <c r="AI582" s="187"/>
      <c r="AJ582" s="136">
        <f t="shared" si="199"/>
        <v>-6.9028448998310719</v>
      </c>
      <c r="AK582" s="136"/>
      <c r="AL582" s="136">
        <f t="shared" si="200"/>
        <v>-6.9028448998310719</v>
      </c>
      <c r="AM582" s="136">
        <v>-10.845700000000001</v>
      </c>
      <c r="AN582" s="193">
        <v>-14.3</v>
      </c>
      <c r="AO582" s="481">
        <v>-0.36</v>
      </c>
      <c r="AP582" s="481"/>
      <c r="AQ582" s="193" t="s">
        <v>6311</v>
      </c>
      <c r="AR582" s="193" t="s">
        <v>6311</v>
      </c>
      <c r="AS582" s="191"/>
      <c r="AT582" s="132" t="s">
        <v>266</v>
      </c>
      <c r="AU582" s="130">
        <v>6</v>
      </c>
      <c r="AV582" s="130">
        <v>120</v>
      </c>
      <c r="AW582" s="130">
        <v>114</v>
      </c>
      <c r="AX582" s="130">
        <v>28</v>
      </c>
      <c r="AY582" s="130" t="s">
        <v>8728</v>
      </c>
      <c r="AZ582" s="130" t="s">
        <v>1563</v>
      </c>
      <c r="BA582" s="130">
        <v>32</v>
      </c>
      <c r="BB582" s="139" t="s">
        <v>2485</v>
      </c>
      <c r="BC582" s="139" t="s">
        <v>8726</v>
      </c>
      <c r="BD582" s="139" t="s">
        <v>8374</v>
      </c>
      <c r="BE582" s="130" t="s">
        <v>2449</v>
      </c>
      <c r="BF582" s="130" t="s">
        <v>272</v>
      </c>
      <c r="BG582" s="130" t="s">
        <v>272</v>
      </c>
      <c r="BH582" s="130" t="s">
        <v>2486</v>
      </c>
      <c r="BI582" s="187">
        <v>6.3999999999999997E-6</v>
      </c>
      <c r="BJ582" s="187">
        <v>6.4000000000000001E-2</v>
      </c>
      <c r="BK582" s="130"/>
      <c r="BL582" s="187">
        <f t="shared" si="201"/>
        <v>59.383665331735287</v>
      </c>
      <c r="BM582" s="139" t="s">
        <v>2487</v>
      </c>
      <c r="BN582" s="130"/>
      <c r="BO582" s="130"/>
      <c r="BP582" s="130"/>
      <c r="BQ582" s="130"/>
      <c r="BR582" s="139" t="s">
        <v>2496</v>
      </c>
      <c r="BS582" s="130"/>
      <c r="BT582" s="130"/>
      <c r="BU582" s="195"/>
      <c r="BV582" s="130"/>
      <c r="BW582" s="130"/>
      <c r="BX582" s="130"/>
      <c r="BY582" s="130"/>
      <c r="BZ582" s="130"/>
      <c r="CA582" s="130"/>
      <c r="CB582" s="130"/>
      <c r="CC582" s="130"/>
      <c r="CD582" s="130"/>
      <c r="CE582" s="130"/>
      <c r="CF582" s="130"/>
      <c r="CG582" s="130"/>
      <c r="CH582" s="130"/>
      <c r="CI582" s="187"/>
      <c r="CJ582" s="187"/>
      <c r="CK582" s="131">
        <f t="shared" ref="CK582:CK645" si="205">BL582/BJ582</f>
        <v>927.8697708083638</v>
      </c>
      <c r="CL582" s="188"/>
      <c r="CM582" s="188"/>
      <c r="CN582" s="188"/>
      <c r="CO582" s="139" t="s">
        <v>2488</v>
      </c>
      <c r="CP582" s="139" t="s">
        <v>2489</v>
      </c>
      <c r="CQ582" s="191" t="s">
        <v>272</v>
      </c>
      <c r="CR582" s="191"/>
      <c r="CS582" s="135" t="s">
        <v>539</v>
      </c>
      <c r="CT582" s="135"/>
      <c r="CU582" s="135"/>
      <c r="CV582" s="332">
        <f t="shared" si="202"/>
        <v>25931.045428711885</v>
      </c>
      <c r="CW582" s="329">
        <f t="shared" si="203"/>
        <v>1</v>
      </c>
      <c r="CX582" s="329"/>
      <c r="CY582" s="189" t="s">
        <v>6351</v>
      </c>
    </row>
    <row r="583" spans="1:103" ht="11.25" customHeight="1" x14ac:dyDescent="0.2">
      <c r="A583" s="72">
        <v>581</v>
      </c>
      <c r="B583" s="183">
        <v>1874</v>
      </c>
      <c r="C583" s="133" t="s">
        <v>6856</v>
      </c>
      <c r="D583" s="133"/>
      <c r="E583" s="134"/>
      <c r="F583" s="134" t="s">
        <v>5322</v>
      </c>
      <c r="G583" s="184">
        <v>1338438</v>
      </c>
      <c r="H583" s="138" t="s">
        <v>5323</v>
      </c>
      <c r="I583" s="138" t="s">
        <v>5323</v>
      </c>
      <c r="J583" s="138"/>
      <c r="K583" s="138" t="s">
        <v>357</v>
      </c>
      <c r="L583" s="138"/>
      <c r="M583" s="138"/>
      <c r="N583" s="138"/>
      <c r="O583" s="138"/>
      <c r="P583" s="138"/>
      <c r="Q583" s="138"/>
      <c r="R583" s="138"/>
      <c r="S583" s="138"/>
      <c r="T583" s="135">
        <v>428.61</v>
      </c>
      <c r="U583" s="185"/>
      <c r="V583" s="185">
        <v>4.4655980961713449E-5</v>
      </c>
      <c r="W583" s="185">
        <v>4.6773514128719785E-3</v>
      </c>
      <c r="X583" s="185">
        <f t="shared" si="204"/>
        <v>4.6773514128719785E-3</v>
      </c>
      <c r="Y583" s="204">
        <v>7</v>
      </c>
      <c r="Z583" s="135">
        <v>5.89</v>
      </c>
      <c r="AA583" s="135"/>
      <c r="AB583" s="135">
        <v>5.85</v>
      </c>
      <c r="AC583" s="135">
        <v>0.6905</v>
      </c>
      <c r="AD583" s="135">
        <v>6.31</v>
      </c>
      <c r="AE583" s="135">
        <v>7.14</v>
      </c>
      <c r="AF583" s="135">
        <f t="shared" si="198"/>
        <v>6.31</v>
      </c>
      <c r="AG583" s="136">
        <v>6.31</v>
      </c>
      <c r="AH583" s="185">
        <v>1.42E-12</v>
      </c>
      <c r="AI583" s="185"/>
      <c r="AJ583" s="136">
        <f t="shared" si="199"/>
        <v>-10.236277981929595</v>
      </c>
      <c r="AK583" s="136"/>
      <c r="AL583" s="136">
        <f t="shared" si="200"/>
        <v>-10.236277981929595</v>
      </c>
      <c r="AM583" s="136">
        <v>-18.701530000000002</v>
      </c>
      <c r="AN583" s="186"/>
      <c r="AO583" s="481">
        <v>13.17</v>
      </c>
      <c r="AP583" s="481"/>
      <c r="AQ583" s="186" t="s">
        <v>6311</v>
      </c>
      <c r="AR583" s="186" t="s">
        <v>6312</v>
      </c>
      <c r="AS583" s="183"/>
      <c r="AT583" s="137" t="s">
        <v>266</v>
      </c>
      <c r="AU583" s="135">
        <v>6</v>
      </c>
      <c r="AV583" s="135">
        <v>120</v>
      </c>
      <c r="AW583" s="135">
        <v>114</v>
      </c>
      <c r="AX583" s="135">
        <v>28</v>
      </c>
      <c r="AY583" s="135" t="s">
        <v>8728</v>
      </c>
      <c r="AZ583" s="135" t="s">
        <v>1563</v>
      </c>
      <c r="BA583" s="135">
        <v>32</v>
      </c>
      <c r="BB583" s="138" t="s">
        <v>2485</v>
      </c>
      <c r="BC583" s="138" t="s">
        <v>8726</v>
      </c>
      <c r="BD583" s="138" t="s">
        <v>8374</v>
      </c>
      <c r="BE583" s="135" t="s">
        <v>2449</v>
      </c>
      <c r="BF583" s="135" t="s">
        <v>272</v>
      </c>
      <c r="BG583" s="135" t="s">
        <v>272</v>
      </c>
      <c r="BH583" s="135" t="s">
        <v>2486</v>
      </c>
      <c r="BI583" s="185">
        <v>6.3999999999999997E-6</v>
      </c>
      <c r="BJ583" s="185">
        <v>6.4000000000000001E-2</v>
      </c>
      <c r="BK583" s="135"/>
      <c r="BL583" s="185">
        <f t="shared" si="201"/>
        <v>2.6362767529953212E-4</v>
      </c>
      <c r="BM583" s="138" t="s">
        <v>2487</v>
      </c>
      <c r="BN583" s="135"/>
      <c r="BO583" s="135"/>
      <c r="BP583" s="135"/>
      <c r="BQ583" s="135"/>
      <c r="BR583" s="138" t="s">
        <v>2496</v>
      </c>
      <c r="BS583" s="135"/>
      <c r="BT583" s="135"/>
      <c r="BU583" s="135"/>
      <c r="BV583" s="135"/>
      <c r="BW583" s="135"/>
      <c r="BX583" s="135"/>
      <c r="BY583" s="135"/>
      <c r="BZ583" s="135"/>
      <c r="CA583" s="135"/>
      <c r="CB583" s="135"/>
      <c r="CC583" s="135"/>
      <c r="CD583" s="135"/>
      <c r="CE583" s="135"/>
      <c r="CF583" s="135"/>
      <c r="CG583" s="135"/>
      <c r="CH583" s="135"/>
      <c r="CI583" s="185"/>
      <c r="CJ583" s="187"/>
      <c r="CK583" s="136">
        <f t="shared" si="205"/>
        <v>4.1191824265551895E-3</v>
      </c>
      <c r="CL583" s="188"/>
      <c r="CM583" s="188"/>
      <c r="CN583" s="188"/>
      <c r="CO583" s="138" t="s">
        <v>2488</v>
      </c>
      <c r="CP583" s="138" t="s">
        <v>2489</v>
      </c>
      <c r="CQ583" s="191" t="s">
        <v>272</v>
      </c>
      <c r="CR583" s="191"/>
      <c r="CS583" s="135" t="s">
        <v>539</v>
      </c>
      <c r="CT583" s="135"/>
      <c r="CU583" s="135"/>
      <c r="CV583" s="332">
        <f t="shared" si="202"/>
        <v>7.3083615826124659E-2</v>
      </c>
      <c r="CW583" s="329">
        <f t="shared" si="203"/>
        <v>0</v>
      </c>
      <c r="CX583" s="329"/>
      <c r="CY583" s="189" t="s">
        <v>5921</v>
      </c>
    </row>
    <row r="584" spans="1:103" ht="11.25" customHeight="1" x14ac:dyDescent="0.2">
      <c r="A584" s="72">
        <v>582</v>
      </c>
      <c r="B584" s="183">
        <v>1466</v>
      </c>
      <c r="C584" s="133" t="s">
        <v>6857</v>
      </c>
      <c r="D584" s="133"/>
      <c r="E584" s="134"/>
      <c r="F584" s="134" t="s">
        <v>4502</v>
      </c>
      <c r="G584" s="184">
        <v>1806264</v>
      </c>
      <c r="H584" s="138" t="s">
        <v>4503</v>
      </c>
      <c r="I584" s="138" t="s">
        <v>4503</v>
      </c>
      <c r="J584" s="138" t="s">
        <v>4504</v>
      </c>
      <c r="K584" s="138" t="s">
        <v>349</v>
      </c>
      <c r="L584" s="138"/>
      <c r="M584" s="138"/>
      <c r="N584" s="138"/>
      <c r="O584" s="138"/>
      <c r="P584" s="138" t="s">
        <v>6184</v>
      </c>
      <c r="Q584" s="138" t="s">
        <v>6179</v>
      </c>
      <c r="R584" s="138" t="s">
        <v>6185</v>
      </c>
      <c r="S584" s="138" t="s">
        <v>6176</v>
      </c>
      <c r="T584" s="135">
        <v>206.32</v>
      </c>
      <c r="U584" s="185"/>
      <c r="V584" s="185">
        <v>1.5093059325319892E-2</v>
      </c>
      <c r="W584" s="185">
        <v>0.15135612484362068</v>
      </c>
      <c r="X584" s="185">
        <f t="shared" si="204"/>
        <v>0.15135612484362068</v>
      </c>
      <c r="Y584" s="204">
        <v>6.84</v>
      </c>
      <c r="Z584" s="135">
        <v>5.5</v>
      </c>
      <c r="AA584" s="135"/>
      <c r="AB584" s="135">
        <v>5.37</v>
      </c>
      <c r="AC584" s="135">
        <v>0.77610000000000001</v>
      </c>
      <c r="AD584" s="135">
        <v>5.47</v>
      </c>
      <c r="AE584" s="135">
        <v>5.66</v>
      </c>
      <c r="AF584" s="135">
        <f t="shared" si="198"/>
        <v>5.47</v>
      </c>
      <c r="AG584" s="136">
        <v>4.93</v>
      </c>
      <c r="AH584" s="185">
        <v>4.5000000000000001E-6</v>
      </c>
      <c r="AI584" s="185"/>
      <c r="AJ584" s="136">
        <f t="shared" si="199"/>
        <v>-3.735353812537308</v>
      </c>
      <c r="AK584" s="136"/>
      <c r="AL584" s="136">
        <f t="shared" si="200"/>
        <v>-3.735353812537308</v>
      </c>
      <c r="AM584" s="136">
        <v>-7.368409999999999</v>
      </c>
      <c r="AN584" s="186">
        <v>-3.75</v>
      </c>
      <c r="AO584" s="481">
        <v>10.15</v>
      </c>
      <c r="AP584" s="481"/>
      <c r="AQ584" s="135" t="s">
        <v>6311</v>
      </c>
      <c r="AR584" s="135" t="s">
        <v>6311</v>
      </c>
      <c r="AS584" s="190"/>
      <c r="AT584" s="137" t="s">
        <v>266</v>
      </c>
      <c r="AU584" s="135">
        <v>6</v>
      </c>
      <c r="AV584" s="135">
        <v>120</v>
      </c>
      <c r="AW584" s="135">
        <v>114</v>
      </c>
      <c r="AX584" s="135">
        <v>28</v>
      </c>
      <c r="AY584" s="135" t="s">
        <v>8728</v>
      </c>
      <c r="AZ584" s="135" t="s">
        <v>1563</v>
      </c>
      <c r="BA584" s="135">
        <v>32</v>
      </c>
      <c r="BB584" s="138" t="s">
        <v>2485</v>
      </c>
      <c r="BC584" s="138" t="s">
        <v>8726</v>
      </c>
      <c r="BD584" s="138" t="s">
        <v>8374</v>
      </c>
      <c r="BE584" s="135" t="s">
        <v>2449</v>
      </c>
      <c r="BF584" s="135" t="s">
        <v>272</v>
      </c>
      <c r="BG584" s="135" t="s">
        <v>272</v>
      </c>
      <c r="BH584" s="135" t="s">
        <v>2486</v>
      </c>
      <c r="BI584" s="185">
        <v>6.3999999999999997E-6</v>
      </c>
      <c r="BJ584" s="185">
        <v>6.4000000000000001E-2</v>
      </c>
      <c r="BK584" s="135"/>
      <c r="BL584" s="185">
        <f t="shared" si="201"/>
        <v>5.9054092502994085E-4</v>
      </c>
      <c r="BM584" s="138" t="s">
        <v>2487</v>
      </c>
      <c r="BN584" s="135"/>
      <c r="BO584" s="135"/>
      <c r="BP584" s="135"/>
      <c r="BQ584" s="135"/>
      <c r="BR584" s="138" t="s">
        <v>2496</v>
      </c>
      <c r="BS584" s="135"/>
      <c r="BT584" s="135"/>
      <c r="BU584" s="135"/>
      <c r="BV584" s="135"/>
      <c r="BW584" s="135"/>
      <c r="BX584" s="135"/>
      <c r="BY584" s="135"/>
      <c r="BZ584" s="135"/>
      <c r="CA584" s="135"/>
      <c r="CB584" s="135"/>
      <c r="CC584" s="135"/>
      <c r="CD584" s="135"/>
      <c r="CE584" s="135"/>
      <c r="CF584" s="135"/>
      <c r="CG584" s="135"/>
      <c r="CH584" s="135"/>
      <c r="CI584" s="185"/>
      <c r="CJ584" s="187"/>
      <c r="CK584" s="136">
        <f t="shared" si="205"/>
        <v>9.2272019535928253E-3</v>
      </c>
      <c r="CL584" s="188"/>
      <c r="CM584" s="188"/>
      <c r="CN584" s="188"/>
      <c r="CO584" s="138" t="s">
        <v>2488</v>
      </c>
      <c r="CP584" s="138" t="s">
        <v>2489</v>
      </c>
      <c r="CQ584" s="191" t="s">
        <v>272</v>
      </c>
      <c r="CR584" s="191"/>
      <c r="CS584" s="135" t="s">
        <v>539</v>
      </c>
      <c r="CT584" s="135"/>
      <c r="CU584" s="135"/>
      <c r="CV584" s="332">
        <f t="shared" si="202"/>
        <v>2.3649394506815731</v>
      </c>
      <c r="CW584" s="329">
        <f t="shared" si="203"/>
        <v>1</v>
      </c>
      <c r="CX584" s="329"/>
      <c r="CY584" s="189" t="s">
        <v>5921</v>
      </c>
    </row>
    <row r="585" spans="1:103" ht="11.25" customHeight="1" x14ac:dyDescent="0.2">
      <c r="A585" s="72">
        <v>583</v>
      </c>
      <c r="B585" s="183">
        <v>1219</v>
      </c>
      <c r="C585" s="133" t="s">
        <v>6858</v>
      </c>
      <c r="D585" s="133"/>
      <c r="E585" s="134"/>
      <c r="F585" s="134" t="s">
        <v>3366</v>
      </c>
      <c r="G585" s="184">
        <v>1843056</v>
      </c>
      <c r="H585" s="138" t="s">
        <v>3367</v>
      </c>
      <c r="I585" s="138" t="s">
        <v>3367</v>
      </c>
      <c r="J585" s="138" t="s">
        <v>3368</v>
      </c>
      <c r="K585" s="138" t="s">
        <v>349</v>
      </c>
      <c r="L585" s="138"/>
      <c r="M585" s="138"/>
      <c r="N585" s="138"/>
      <c r="O585" s="138"/>
      <c r="P585" s="138"/>
      <c r="Q585" s="138" t="s">
        <v>6173</v>
      </c>
      <c r="R585" s="138" t="s">
        <v>6185</v>
      </c>
      <c r="S585" s="138" t="s">
        <v>6182</v>
      </c>
      <c r="T585" s="135">
        <v>326.43</v>
      </c>
      <c r="U585" s="185"/>
      <c r="V585" s="185">
        <v>1.1313298410072603E-4</v>
      </c>
      <c r="W585" s="185">
        <v>1.9054607179632462E-3</v>
      </c>
      <c r="X585" s="185">
        <f t="shared" si="204"/>
        <v>1.9054607179632462E-3</v>
      </c>
      <c r="Y585" s="204">
        <v>6.64</v>
      </c>
      <c r="Z585" s="135">
        <v>6.96</v>
      </c>
      <c r="AA585" s="135"/>
      <c r="AB585" s="135">
        <v>6.84</v>
      </c>
      <c r="AC585" s="135">
        <v>0.59089999999999998</v>
      </c>
      <c r="AD585" s="135">
        <v>7.08</v>
      </c>
      <c r="AE585" s="135">
        <v>7.36</v>
      </c>
      <c r="AF585" s="135">
        <f t="shared" si="198"/>
        <v>7.08</v>
      </c>
      <c r="AG585" s="136">
        <v>5.84</v>
      </c>
      <c r="AH585" s="185">
        <v>1.09E-7</v>
      </c>
      <c r="AI585" s="185"/>
      <c r="AJ585" s="136">
        <f t="shared" si="199"/>
        <v>-5.3511398283720286</v>
      </c>
      <c r="AK585" s="136"/>
      <c r="AL585" s="136">
        <f t="shared" si="200"/>
        <v>-5.3511398283720286</v>
      </c>
      <c r="AM585" s="136">
        <v>-10.954439999999998</v>
      </c>
      <c r="AN585" s="186">
        <v>-4.8</v>
      </c>
      <c r="AO585" s="481">
        <v>7.59</v>
      </c>
      <c r="AP585" s="481"/>
      <c r="AQ585" s="135" t="s">
        <v>6311</v>
      </c>
      <c r="AR585" s="135" t="s">
        <v>6311</v>
      </c>
      <c r="AS585" s="190"/>
      <c r="AT585" s="137" t="s">
        <v>266</v>
      </c>
      <c r="AU585" s="135">
        <v>6</v>
      </c>
      <c r="AV585" s="135">
        <v>120</v>
      </c>
      <c r="AW585" s="135">
        <v>114</v>
      </c>
      <c r="AX585" s="135">
        <v>28</v>
      </c>
      <c r="AY585" s="135" t="s">
        <v>8728</v>
      </c>
      <c r="AZ585" s="135" t="s">
        <v>1563</v>
      </c>
      <c r="BA585" s="135">
        <v>32</v>
      </c>
      <c r="BB585" s="138" t="s">
        <v>2485</v>
      </c>
      <c r="BC585" s="138" t="s">
        <v>8726</v>
      </c>
      <c r="BD585" s="138" t="s">
        <v>8374</v>
      </c>
      <c r="BE585" s="135" t="s">
        <v>2449</v>
      </c>
      <c r="BF585" s="135" t="s">
        <v>272</v>
      </c>
      <c r="BG585" s="135" t="s">
        <v>272</v>
      </c>
      <c r="BH585" s="135" t="s">
        <v>2486</v>
      </c>
      <c r="BI585" s="185">
        <v>6.3999999999999997E-6</v>
      </c>
      <c r="BJ585" s="185">
        <v>6.4000000000000001E-2</v>
      </c>
      <c r="BK585" s="135"/>
      <c r="BL585" s="185">
        <f t="shared" si="201"/>
        <v>2.8841908850011682E-5</v>
      </c>
      <c r="BM585" s="138" t="s">
        <v>2487</v>
      </c>
      <c r="BN585" s="135"/>
      <c r="BO585" s="135"/>
      <c r="BP585" s="135"/>
      <c r="BQ585" s="135"/>
      <c r="BR585" s="138" t="s">
        <v>2496</v>
      </c>
      <c r="BS585" s="135"/>
      <c r="BT585" s="135"/>
      <c r="BU585" s="135">
        <v>6.4000000000000005E-4</v>
      </c>
      <c r="BV585" s="135"/>
      <c r="BW585" s="135"/>
      <c r="BX585" s="135"/>
      <c r="BY585" s="135"/>
      <c r="BZ585" s="135"/>
      <c r="CA585" s="135"/>
      <c r="CB585" s="135"/>
      <c r="CC585" s="135"/>
      <c r="CD585" s="135"/>
      <c r="CE585" s="135"/>
      <c r="CF585" s="135"/>
      <c r="CG585" s="135"/>
      <c r="CH585" s="135"/>
      <c r="CI585" s="185"/>
      <c r="CJ585" s="187"/>
      <c r="CK585" s="136">
        <f t="shared" si="205"/>
        <v>4.5065482578143253E-4</v>
      </c>
      <c r="CL585" s="188"/>
      <c r="CM585" s="188"/>
      <c r="CN585" s="188"/>
      <c r="CO585" s="138" t="s">
        <v>2488</v>
      </c>
      <c r="CP585" s="138" t="s">
        <v>2489</v>
      </c>
      <c r="CQ585" s="191" t="s">
        <v>272</v>
      </c>
      <c r="CR585" s="191"/>
      <c r="CS585" s="135" t="s">
        <v>539</v>
      </c>
      <c r="CT585" s="135"/>
      <c r="CU585" s="135"/>
      <c r="CV585" s="332">
        <f t="shared" si="202"/>
        <v>2.9772823718175721E-2</v>
      </c>
      <c r="CW585" s="329">
        <f t="shared" si="203"/>
        <v>0</v>
      </c>
      <c r="CX585" s="329"/>
      <c r="CY585" s="189" t="s">
        <v>6351</v>
      </c>
    </row>
    <row r="586" spans="1:103" ht="11.25" customHeight="1" x14ac:dyDescent="0.2">
      <c r="A586" s="72">
        <v>584</v>
      </c>
      <c r="B586" s="183">
        <v>1384</v>
      </c>
      <c r="C586" s="133" t="s">
        <v>6859</v>
      </c>
      <c r="D586" s="133"/>
      <c r="E586" s="134"/>
      <c r="F586" s="134" t="s">
        <v>4266</v>
      </c>
      <c r="G586" s="184">
        <v>2043574</v>
      </c>
      <c r="H586" s="138" t="s">
        <v>4267</v>
      </c>
      <c r="I586" s="138" t="s">
        <v>4267</v>
      </c>
      <c r="J586" s="138" t="s">
        <v>4268</v>
      </c>
      <c r="K586" s="138" t="s">
        <v>426</v>
      </c>
      <c r="L586" s="138"/>
      <c r="M586" s="138"/>
      <c r="N586" s="138"/>
      <c r="O586" s="138"/>
      <c r="P586" s="138"/>
      <c r="Q586" s="138"/>
      <c r="R586" s="138"/>
      <c r="S586" s="138"/>
      <c r="T586" s="135">
        <v>474</v>
      </c>
      <c r="U586" s="185"/>
      <c r="V586" s="185">
        <v>8.7130801687763719E-7</v>
      </c>
      <c r="W586" s="185">
        <v>2.6915348039269062E-6</v>
      </c>
      <c r="X586" s="185">
        <f t="shared" si="204"/>
        <v>2.6915348039269062E-6</v>
      </c>
      <c r="Y586" s="204">
        <v>7</v>
      </c>
      <c r="Z586" s="135">
        <v>6.63</v>
      </c>
      <c r="AA586" s="135"/>
      <c r="AB586" s="135">
        <v>5.52</v>
      </c>
      <c r="AC586" s="135">
        <v>0.46560000000000001</v>
      </c>
      <c r="AD586" s="135">
        <v>5.99</v>
      </c>
      <c r="AE586" s="135">
        <v>6.51</v>
      </c>
      <c r="AF586" s="135">
        <f t="shared" si="198"/>
        <v>5.99</v>
      </c>
      <c r="AG586" s="136">
        <v>4.63</v>
      </c>
      <c r="AH586" s="185">
        <v>306</v>
      </c>
      <c r="AI586" s="185"/>
      <c r="AJ586" s="136">
        <f t="shared" si="199"/>
        <v>4.0971551001689281</v>
      </c>
      <c r="AK586" s="136"/>
      <c r="AL586" s="136">
        <f t="shared" si="200"/>
        <v>4.0971551001689281</v>
      </c>
      <c r="AM586" s="136">
        <v>1.7233699999999996</v>
      </c>
      <c r="AN586" s="186">
        <v>-3.09</v>
      </c>
      <c r="AO586" s="481"/>
      <c r="AP586" s="481"/>
      <c r="AQ586" s="135" t="s">
        <v>6311</v>
      </c>
      <c r="AR586" s="135" t="s">
        <v>6312</v>
      </c>
      <c r="AS586" s="190"/>
      <c r="AT586" s="137" t="s">
        <v>266</v>
      </c>
      <c r="AU586" s="135">
        <v>6</v>
      </c>
      <c r="AV586" s="135">
        <v>120</v>
      </c>
      <c r="AW586" s="135">
        <v>114</v>
      </c>
      <c r="AX586" s="135">
        <v>28</v>
      </c>
      <c r="AY586" s="135" t="s">
        <v>8728</v>
      </c>
      <c r="AZ586" s="135" t="s">
        <v>1563</v>
      </c>
      <c r="BA586" s="135">
        <v>32</v>
      </c>
      <c r="BB586" s="138" t="s">
        <v>2485</v>
      </c>
      <c r="BC586" s="138" t="s">
        <v>8726</v>
      </c>
      <c r="BD586" s="138" t="s">
        <v>8374</v>
      </c>
      <c r="BE586" s="135" t="s">
        <v>2449</v>
      </c>
      <c r="BF586" s="135" t="s">
        <v>272</v>
      </c>
      <c r="BG586" s="135" t="s">
        <v>272</v>
      </c>
      <c r="BH586" s="135" t="s">
        <v>2486</v>
      </c>
      <c r="BI586" s="185">
        <v>6.3999999999999997E-6</v>
      </c>
      <c r="BJ586" s="185">
        <v>6.4000000000000001E-2</v>
      </c>
      <c r="BK586" s="135"/>
      <c r="BL586" s="185">
        <f t="shared" si="201"/>
        <v>5.7068571272194436E-5</v>
      </c>
      <c r="BM586" s="138" t="s">
        <v>2487</v>
      </c>
      <c r="BN586" s="135"/>
      <c r="BO586" s="135"/>
      <c r="BP586" s="135"/>
      <c r="BQ586" s="135"/>
      <c r="BR586" s="138" t="s">
        <v>2496</v>
      </c>
      <c r="BS586" s="135"/>
      <c r="BT586" s="135"/>
      <c r="BU586" s="135"/>
      <c r="BV586" s="135"/>
      <c r="BW586" s="135"/>
      <c r="BX586" s="135"/>
      <c r="BY586" s="135"/>
      <c r="BZ586" s="135"/>
      <c r="CA586" s="135"/>
      <c r="CB586" s="135"/>
      <c r="CC586" s="135"/>
      <c r="CD586" s="135"/>
      <c r="CE586" s="135"/>
      <c r="CF586" s="135"/>
      <c r="CG586" s="135"/>
      <c r="CH586" s="135"/>
      <c r="CI586" s="185"/>
      <c r="CJ586" s="187"/>
      <c r="CK586" s="136">
        <f t="shared" si="205"/>
        <v>8.91696426128038E-4</v>
      </c>
      <c r="CL586" s="188"/>
      <c r="CM586" s="188"/>
      <c r="CN586" s="188"/>
      <c r="CO586" s="138" t="s">
        <v>2488</v>
      </c>
      <c r="CP586" s="138" t="s">
        <v>2489</v>
      </c>
      <c r="CQ586" s="191" t="s">
        <v>272</v>
      </c>
      <c r="CR586" s="191"/>
      <c r="CS586" s="135" t="s">
        <v>539</v>
      </c>
      <c r="CT586" s="135"/>
      <c r="CU586" s="135"/>
      <c r="CV586" s="332">
        <f t="shared" si="202"/>
        <v>4.2055231311357909E-5</v>
      </c>
      <c r="CW586" s="329">
        <f t="shared" si="203"/>
        <v>0</v>
      </c>
      <c r="CX586" s="329"/>
      <c r="CY586" s="189" t="s">
        <v>6351</v>
      </c>
    </row>
    <row r="587" spans="1:103" ht="11.25" customHeight="1" x14ac:dyDescent="0.2">
      <c r="A587" s="72">
        <v>585</v>
      </c>
      <c r="B587" s="183">
        <v>1236</v>
      </c>
      <c r="C587" s="133" t="s">
        <v>6860</v>
      </c>
      <c r="D587" s="133"/>
      <c r="E587" s="134"/>
      <c r="F587" s="134" t="s">
        <v>3404</v>
      </c>
      <c r="G587" s="184">
        <v>2058948</v>
      </c>
      <c r="H587" s="138" t="s">
        <v>3405</v>
      </c>
      <c r="I587" s="138" t="s">
        <v>7935</v>
      </c>
      <c r="J587" s="138" t="s">
        <v>3406</v>
      </c>
      <c r="K587" s="138" t="s">
        <v>426</v>
      </c>
      <c r="L587" s="138"/>
      <c r="M587" s="138"/>
      <c r="N587" s="138"/>
      <c r="O587" s="138"/>
      <c r="P587" s="138"/>
      <c r="Q587" s="138"/>
      <c r="R587" s="138"/>
      <c r="S587" s="138"/>
      <c r="T587" s="135">
        <v>564.09</v>
      </c>
      <c r="U587" s="185"/>
      <c r="V587" s="185">
        <v>1.8153131592476377E-6</v>
      </c>
      <c r="W587" s="185">
        <v>7.585775750291826E-2</v>
      </c>
      <c r="X587" s="185">
        <f t="shared" si="204"/>
        <v>7.585775750291826E-2</v>
      </c>
      <c r="Y587" s="204">
        <v>4.12</v>
      </c>
      <c r="Z587" s="135">
        <v>6.82</v>
      </c>
      <c r="AA587" s="135"/>
      <c r="AB587" s="135">
        <v>5.93</v>
      </c>
      <c r="AC587" s="135">
        <v>0.47570000000000001</v>
      </c>
      <c r="AD587" s="135">
        <v>7.98</v>
      </c>
      <c r="AE587" s="135">
        <v>10.42</v>
      </c>
      <c r="AF587" s="135">
        <f t="shared" si="198"/>
        <v>7.98</v>
      </c>
      <c r="AG587" s="136">
        <v>5.19</v>
      </c>
      <c r="AH587" s="185">
        <v>13.2</v>
      </c>
      <c r="AI587" s="185"/>
      <c r="AJ587" s="136">
        <f t="shared" si="199"/>
        <v>2.732007604893198</v>
      </c>
      <c r="AK587" s="136"/>
      <c r="AL587" s="136">
        <f t="shared" si="200"/>
        <v>2.732007604893198</v>
      </c>
      <c r="AM587" s="136">
        <v>-0.78357999999999972</v>
      </c>
      <c r="AN587" s="186">
        <v>-6.71</v>
      </c>
      <c r="AO587" s="481">
        <v>0.52</v>
      </c>
      <c r="AP587" s="481"/>
      <c r="AQ587" s="135" t="s">
        <v>6311</v>
      </c>
      <c r="AR587" s="135" t="s">
        <v>6311</v>
      </c>
      <c r="AS587" s="190"/>
      <c r="AT587" s="137" t="s">
        <v>266</v>
      </c>
      <c r="AU587" s="135">
        <v>6</v>
      </c>
      <c r="AV587" s="135">
        <v>120</v>
      </c>
      <c r="AW587" s="135">
        <v>114</v>
      </c>
      <c r="AX587" s="135">
        <v>28</v>
      </c>
      <c r="AY587" s="135" t="s">
        <v>8728</v>
      </c>
      <c r="AZ587" s="135" t="s">
        <v>1563</v>
      </c>
      <c r="BA587" s="135">
        <v>32</v>
      </c>
      <c r="BB587" s="138" t="s">
        <v>2485</v>
      </c>
      <c r="BC587" s="138" t="s">
        <v>8726</v>
      </c>
      <c r="BD587" s="138" t="s">
        <v>8374</v>
      </c>
      <c r="BE587" s="135" t="s">
        <v>2449</v>
      </c>
      <c r="BF587" s="135" t="s">
        <v>272</v>
      </c>
      <c r="BG587" s="135" t="s">
        <v>272</v>
      </c>
      <c r="BH587" s="135" t="s">
        <v>2486</v>
      </c>
      <c r="BI587" s="185">
        <v>6.3999999999999997E-6</v>
      </c>
      <c r="BJ587" s="185">
        <v>6.4000000000000001E-2</v>
      </c>
      <c r="BK587" s="135"/>
      <c r="BL587" s="185">
        <f t="shared" si="201"/>
        <v>3.8526361909399323E-5</v>
      </c>
      <c r="BM587" s="138" t="s">
        <v>2487</v>
      </c>
      <c r="BN587" s="135"/>
      <c r="BO587" s="135"/>
      <c r="BP587" s="135"/>
      <c r="BQ587" s="135"/>
      <c r="BR587" s="138" t="s">
        <v>2496</v>
      </c>
      <c r="BS587" s="135"/>
      <c r="BT587" s="135"/>
      <c r="BU587" s="135">
        <v>6.1E-6</v>
      </c>
      <c r="BV587" s="135"/>
      <c r="BW587" s="135"/>
      <c r="BX587" s="135"/>
      <c r="BY587" s="135"/>
      <c r="BZ587" s="135"/>
      <c r="CA587" s="135"/>
      <c r="CB587" s="135"/>
      <c r="CC587" s="135"/>
      <c r="CD587" s="135"/>
      <c r="CE587" s="135"/>
      <c r="CF587" s="135"/>
      <c r="CG587" s="135"/>
      <c r="CH587" s="135"/>
      <c r="CI587" s="185"/>
      <c r="CJ587" s="187"/>
      <c r="CK587" s="136">
        <f t="shared" si="205"/>
        <v>6.019744048343644E-4</v>
      </c>
      <c r="CL587" s="188"/>
      <c r="CM587" s="188"/>
      <c r="CN587" s="188"/>
      <c r="CO587" s="138" t="s">
        <v>2488</v>
      </c>
      <c r="CP587" s="138" t="s">
        <v>2489</v>
      </c>
      <c r="CQ587" s="191" t="s">
        <v>272</v>
      </c>
      <c r="CR587" s="191"/>
      <c r="CS587" s="135" t="s">
        <v>539</v>
      </c>
      <c r="CT587" s="135"/>
      <c r="CU587" s="135"/>
      <c r="CV587" s="332">
        <f t="shared" si="202"/>
        <v>1.1852774609830978</v>
      </c>
      <c r="CW587" s="329">
        <f t="shared" si="203"/>
        <v>1</v>
      </c>
      <c r="CX587" s="329"/>
      <c r="CY587" s="189" t="s">
        <v>5921</v>
      </c>
    </row>
    <row r="588" spans="1:103" ht="11.25" customHeight="1" x14ac:dyDescent="0.2">
      <c r="A588" s="72">
        <v>586</v>
      </c>
      <c r="B588" s="183">
        <v>969</v>
      </c>
      <c r="C588" s="133" t="s">
        <v>6861</v>
      </c>
      <c r="D588" s="133"/>
      <c r="E588" s="134"/>
      <c r="F588" s="134" t="s">
        <v>2763</v>
      </c>
      <c r="G588" s="184">
        <v>2144538</v>
      </c>
      <c r="H588" s="138" t="s">
        <v>2764</v>
      </c>
      <c r="I588" s="138" t="s">
        <v>2764</v>
      </c>
      <c r="J588" s="138" t="s">
        <v>2765</v>
      </c>
      <c r="K588" s="138" t="s">
        <v>2766</v>
      </c>
      <c r="L588" s="138"/>
      <c r="M588" s="138"/>
      <c r="N588" s="138"/>
      <c r="O588" s="138"/>
      <c r="P588" s="138"/>
      <c r="Q588" s="138"/>
      <c r="R588" s="138"/>
      <c r="S588" s="138"/>
      <c r="T588" s="135">
        <v>432.18</v>
      </c>
      <c r="U588" s="185"/>
      <c r="V588" s="185">
        <v>1.8041093988615853E-5</v>
      </c>
      <c r="W588" s="185">
        <v>4.5708818961487478E-3</v>
      </c>
      <c r="X588" s="185">
        <f t="shared" si="204"/>
        <v>4.5708818961487478E-3</v>
      </c>
      <c r="Y588" s="204">
        <v>7</v>
      </c>
      <c r="Z588" s="135">
        <v>6.32</v>
      </c>
      <c r="AA588" s="135"/>
      <c r="AB588" s="135">
        <v>5.63</v>
      </c>
      <c r="AC588" s="135">
        <v>0.48420000000000002</v>
      </c>
      <c r="AD588" s="135">
        <v>6.13</v>
      </c>
      <c r="AE588" s="135">
        <v>6.71</v>
      </c>
      <c r="AF588" s="135">
        <f t="shared" si="198"/>
        <v>6.13</v>
      </c>
      <c r="AG588" s="136">
        <v>4.8</v>
      </c>
      <c r="AH588" s="185">
        <v>8.06</v>
      </c>
      <c r="AI588" s="185"/>
      <c r="AJ588" s="136">
        <f t="shared" si="199"/>
        <v>2.5177687154924389</v>
      </c>
      <c r="AK588" s="136"/>
      <c r="AL588" s="136">
        <f t="shared" si="200"/>
        <v>2.5177687154924389</v>
      </c>
      <c r="AM588" s="136">
        <v>-0.19088000000000049</v>
      </c>
      <c r="AN588" s="186">
        <v>-2.5</v>
      </c>
      <c r="AO588" s="481"/>
      <c r="AP588" s="481"/>
      <c r="AQ588" s="135" t="s">
        <v>6311</v>
      </c>
      <c r="AR588" s="135" t="s">
        <v>6312</v>
      </c>
      <c r="AS588" s="190"/>
      <c r="AT588" s="137" t="s">
        <v>266</v>
      </c>
      <c r="AU588" s="135">
        <v>6</v>
      </c>
      <c r="AV588" s="135">
        <v>120</v>
      </c>
      <c r="AW588" s="135">
        <v>114</v>
      </c>
      <c r="AX588" s="135">
        <v>28</v>
      </c>
      <c r="AY588" s="135" t="s">
        <v>8728</v>
      </c>
      <c r="AZ588" s="135" t="s">
        <v>1563</v>
      </c>
      <c r="BA588" s="135">
        <v>32</v>
      </c>
      <c r="BB588" s="138" t="s">
        <v>2485</v>
      </c>
      <c r="BC588" s="138" t="s">
        <v>8726</v>
      </c>
      <c r="BD588" s="138" t="s">
        <v>8374</v>
      </c>
      <c r="BE588" s="135" t="s">
        <v>2449</v>
      </c>
      <c r="BF588" s="135" t="s">
        <v>272</v>
      </c>
      <c r="BG588" s="135" t="s">
        <v>272</v>
      </c>
      <c r="BH588" s="135" t="s">
        <v>2486</v>
      </c>
      <c r="BI588" s="185">
        <v>6.3999999999999997E-6</v>
      </c>
      <c r="BJ588" s="185">
        <v>6.4000000000000001E-2</v>
      </c>
      <c r="BK588" s="135"/>
      <c r="BL588" s="185">
        <f t="shared" si="201"/>
        <v>1.0834478198127122E-4</v>
      </c>
      <c r="BM588" s="138" t="s">
        <v>2487</v>
      </c>
      <c r="BN588" s="135"/>
      <c r="BO588" s="135"/>
      <c r="BP588" s="135"/>
      <c r="BQ588" s="135"/>
      <c r="BR588" s="138" t="s">
        <v>2496</v>
      </c>
      <c r="BS588" s="135"/>
      <c r="BT588" s="135"/>
      <c r="BU588" s="135">
        <v>6.3999999999999997E-6</v>
      </c>
      <c r="BV588" s="135"/>
      <c r="BW588" s="135"/>
      <c r="BX588" s="135"/>
      <c r="BY588" s="135"/>
      <c r="BZ588" s="135"/>
      <c r="CA588" s="135"/>
      <c r="CB588" s="135"/>
      <c r="CC588" s="135"/>
      <c r="CD588" s="135"/>
      <c r="CE588" s="135"/>
      <c r="CF588" s="135"/>
      <c r="CG588" s="135"/>
      <c r="CH588" s="135"/>
      <c r="CI588" s="185"/>
      <c r="CJ588" s="187"/>
      <c r="CK588" s="136">
        <f t="shared" si="205"/>
        <v>1.6928872184573628E-3</v>
      </c>
      <c r="CL588" s="188"/>
      <c r="CM588" s="188"/>
      <c r="CN588" s="188"/>
      <c r="CO588" s="138" t="s">
        <v>2488</v>
      </c>
      <c r="CP588" s="138" t="s">
        <v>2489</v>
      </c>
      <c r="CQ588" s="191" t="s">
        <v>272</v>
      </c>
      <c r="CR588" s="191"/>
      <c r="CS588" s="135" t="s">
        <v>539</v>
      </c>
      <c r="CT588" s="135"/>
      <c r="CU588" s="135"/>
      <c r="CV588" s="332">
        <f t="shared" si="202"/>
        <v>7.1420029627324189E-2</v>
      </c>
      <c r="CW588" s="329">
        <f t="shared" si="203"/>
        <v>0</v>
      </c>
      <c r="CX588" s="329"/>
      <c r="CY588" s="189" t="s">
        <v>6351</v>
      </c>
    </row>
    <row r="589" spans="1:103" ht="11.25" customHeight="1" x14ac:dyDescent="0.2">
      <c r="A589" s="72">
        <v>587</v>
      </c>
      <c r="B589" s="183">
        <v>1813</v>
      </c>
      <c r="C589" s="133" t="s">
        <v>1359</v>
      </c>
      <c r="D589" s="133" t="s">
        <v>6523</v>
      </c>
      <c r="E589" s="134"/>
      <c r="F589" s="134" t="s">
        <v>1360</v>
      </c>
      <c r="G589" s="184">
        <v>52645531</v>
      </c>
      <c r="H589" s="138" t="s">
        <v>1361</v>
      </c>
      <c r="I589" s="138" t="s">
        <v>7889</v>
      </c>
      <c r="J589" s="138" t="s">
        <v>1362</v>
      </c>
      <c r="K589" s="138" t="s">
        <v>1363</v>
      </c>
      <c r="L589" s="138" t="s">
        <v>279</v>
      </c>
      <c r="M589" s="138" t="s">
        <v>5207</v>
      </c>
      <c r="N589" s="138" t="s">
        <v>6376</v>
      </c>
      <c r="O589" s="138" t="s">
        <v>281</v>
      </c>
      <c r="P589" s="138" t="s">
        <v>6178</v>
      </c>
      <c r="Q589" s="138" t="s">
        <v>6173</v>
      </c>
      <c r="R589" s="138" t="s">
        <v>6181</v>
      </c>
      <c r="S589" s="138" t="s">
        <v>6176</v>
      </c>
      <c r="T589" s="135">
        <v>391.29</v>
      </c>
      <c r="U589" s="185">
        <v>1.5333895576171125E-5</v>
      </c>
      <c r="V589" s="185">
        <v>2.4909913363489995E-5</v>
      </c>
      <c r="W589" s="185">
        <v>1.3182567385564047E-4</v>
      </c>
      <c r="X589" s="185">
        <v>1.5333895576171125E-5</v>
      </c>
      <c r="Y589" s="204">
        <v>7</v>
      </c>
      <c r="Z589" s="135">
        <v>7.43</v>
      </c>
      <c r="AA589" s="135">
        <v>6.5</v>
      </c>
      <c r="AB589" s="135">
        <v>6.33</v>
      </c>
      <c r="AC589" s="135">
        <v>0.93520000000000003</v>
      </c>
      <c r="AD589" s="135">
        <v>6.47</v>
      </c>
      <c r="AE589" s="135">
        <v>7.15</v>
      </c>
      <c r="AF589" s="135">
        <f t="shared" si="198"/>
        <v>6.5</v>
      </c>
      <c r="AG589" s="136">
        <v>5.3</v>
      </c>
      <c r="AH589" s="185">
        <v>2.8799999999999998E-7</v>
      </c>
      <c r="AI589" s="185">
        <v>1.8700000000000001E-6</v>
      </c>
      <c r="AJ589" s="136">
        <f t="shared" si="199"/>
        <v>-4.9291738385534209</v>
      </c>
      <c r="AK589" s="136">
        <f>LOG10(AI589*1000/(0.08206*298.15))</f>
        <v>-4.116724719776153</v>
      </c>
      <c r="AL589" s="136">
        <f t="shared" si="200"/>
        <v>-4.116724719776153</v>
      </c>
      <c r="AM589" s="136">
        <v>-12.603410000000002</v>
      </c>
      <c r="AN589" s="186">
        <v>-4.92</v>
      </c>
      <c r="AO589" s="481"/>
      <c r="AP589" s="481"/>
      <c r="AQ589" s="186" t="s">
        <v>6311</v>
      </c>
      <c r="AR589" s="186" t="s">
        <v>6312</v>
      </c>
      <c r="AS589" s="183"/>
      <c r="AT589" s="137" t="s">
        <v>266</v>
      </c>
      <c r="AU589" s="135">
        <v>6</v>
      </c>
      <c r="AV589" s="135">
        <v>120</v>
      </c>
      <c r="AW589" s="135">
        <v>114</v>
      </c>
      <c r="AX589" s="135">
        <v>28</v>
      </c>
      <c r="AY589" s="135" t="s">
        <v>8728</v>
      </c>
      <c r="AZ589" s="135" t="s">
        <v>1563</v>
      </c>
      <c r="BA589" s="135">
        <v>32</v>
      </c>
      <c r="BB589" s="138" t="s">
        <v>2485</v>
      </c>
      <c r="BC589" s="138" t="s">
        <v>8726</v>
      </c>
      <c r="BD589" s="138" t="s">
        <v>8374</v>
      </c>
      <c r="BE589" s="135" t="s">
        <v>2449</v>
      </c>
      <c r="BF589" s="135" t="s">
        <v>272</v>
      </c>
      <c r="BG589" s="135" t="s">
        <v>272</v>
      </c>
      <c r="BH589" s="135" t="s">
        <v>2486</v>
      </c>
      <c r="BI589" s="185">
        <v>6.3999999999999997E-6</v>
      </c>
      <c r="BJ589" s="185">
        <v>6.4000000000000001E-2</v>
      </c>
      <c r="BK589" s="135"/>
      <c r="BL589" s="185">
        <f t="shared" si="201"/>
        <v>1.0912317662371588E-5</v>
      </c>
      <c r="BM589" s="138" t="s">
        <v>2487</v>
      </c>
      <c r="BN589" s="135"/>
      <c r="BO589" s="135"/>
      <c r="BP589" s="135"/>
      <c r="BQ589" s="135"/>
      <c r="BR589" s="138" t="s">
        <v>2496</v>
      </c>
      <c r="BS589" s="135"/>
      <c r="BT589" s="135"/>
      <c r="BU589" s="135"/>
      <c r="BV589" s="135"/>
      <c r="BW589" s="135"/>
      <c r="BX589" s="135"/>
      <c r="BY589" s="135"/>
      <c r="BZ589" s="135"/>
      <c r="CA589" s="135"/>
      <c r="CB589" s="135"/>
      <c r="CC589" s="135"/>
      <c r="CD589" s="135"/>
      <c r="CE589" s="135"/>
      <c r="CF589" s="135"/>
      <c r="CG589" s="135"/>
      <c r="CH589" s="135"/>
      <c r="CI589" s="185"/>
      <c r="CJ589" s="187"/>
      <c r="CK589" s="136">
        <f t="shared" si="205"/>
        <v>1.7050496347455606E-4</v>
      </c>
      <c r="CL589" s="188"/>
      <c r="CM589" s="188">
        <v>-5.1945587403267419</v>
      </c>
      <c r="CN589" s="188">
        <f>BJ589/(10^CM589)</f>
        <v>10017.024000000007</v>
      </c>
      <c r="CO589" s="138" t="s">
        <v>2488</v>
      </c>
      <c r="CP589" s="138" t="s">
        <v>2489</v>
      </c>
      <c r="CQ589" s="183">
        <v>-4.6793572938459178</v>
      </c>
      <c r="CR589" s="191">
        <f>10^(CJ589-CQ589)</f>
        <v>47792.229839290718</v>
      </c>
      <c r="CS589" s="135" t="s">
        <v>539</v>
      </c>
      <c r="CT589" s="135"/>
      <c r="CU589" s="135"/>
      <c r="CV589" s="332">
        <f t="shared" si="202"/>
        <v>2.3959211837767383E-4</v>
      </c>
      <c r="CW589" s="329">
        <f t="shared" si="203"/>
        <v>0</v>
      </c>
      <c r="CX589" s="329"/>
      <c r="CY589" s="189" t="s">
        <v>5921</v>
      </c>
    </row>
    <row r="590" spans="1:103" ht="11.25" customHeight="1" x14ac:dyDescent="0.2">
      <c r="A590" s="72">
        <v>588</v>
      </c>
      <c r="B590" s="183">
        <v>1500</v>
      </c>
      <c r="C590" s="133" t="s">
        <v>931</v>
      </c>
      <c r="D590" s="133" t="s">
        <v>6516</v>
      </c>
      <c r="E590" s="134"/>
      <c r="F590" s="134" t="s">
        <v>932</v>
      </c>
      <c r="G590" s="184">
        <v>33089611</v>
      </c>
      <c r="H590" s="138" t="s">
        <v>933</v>
      </c>
      <c r="I590" s="138" t="s">
        <v>933</v>
      </c>
      <c r="J590" s="138" t="s">
        <v>934</v>
      </c>
      <c r="K590" s="138" t="s">
        <v>300</v>
      </c>
      <c r="L590" s="138" t="s">
        <v>617</v>
      </c>
      <c r="M590" s="138" t="s">
        <v>6151</v>
      </c>
      <c r="N590" s="138" t="s">
        <v>6383</v>
      </c>
      <c r="O590" s="138" t="s">
        <v>918</v>
      </c>
      <c r="P590" s="138"/>
      <c r="Q590" s="138"/>
      <c r="R590" s="138"/>
      <c r="S590" s="138"/>
      <c r="T590" s="135">
        <v>293.41000000000003</v>
      </c>
      <c r="U590" s="185">
        <v>3.4082001295116047E-3</v>
      </c>
      <c r="V590" s="185">
        <v>9.3521011553798442E-3</v>
      </c>
      <c r="W590" s="185">
        <v>6.9183097091893497E-3</v>
      </c>
      <c r="X590" s="185">
        <v>3.4082001295116047E-3</v>
      </c>
      <c r="Y590" s="204">
        <v>7.1</v>
      </c>
      <c r="Z590" s="135">
        <v>5.55</v>
      </c>
      <c r="AA590" s="135">
        <v>5.5</v>
      </c>
      <c r="AB590" s="135">
        <v>5.14</v>
      </c>
      <c r="AC590" s="135">
        <v>0.8306</v>
      </c>
      <c r="AD590" s="135">
        <v>5.26</v>
      </c>
      <c r="AE590" s="135">
        <v>5.64</v>
      </c>
      <c r="AF590" s="135">
        <f t="shared" si="198"/>
        <v>5.5</v>
      </c>
      <c r="AG590" s="136">
        <v>5.18</v>
      </c>
      <c r="AH590" s="185">
        <v>1.48E-8</v>
      </c>
      <c r="AI590" s="185">
        <v>9.8700000000000004E-6</v>
      </c>
      <c r="AJ590" s="136">
        <f t="shared" si="199"/>
        <v>-6.218304610917694</v>
      </c>
      <c r="AK590" s="136">
        <f>LOG10(AI590*1000/(0.08206*298.15))</f>
        <v>-3.3942491736430149</v>
      </c>
      <c r="AL590" s="136">
        <f t="shared" si="200"/>
        <v>-3.3942491736430149</v>
      </c>
      <c r="AM590" s="136">
        <v>-9.5969200000000008</v>
      </c>
      <c r="AN590" s="186">
        <v>-3.62</v>
      </c>
      <c r="AO590" s="481"/>
      <c r="AP590" s="481">
        <v>4.9400000000000004</v>
      </c>
      <c r="AQ590" s="135" t="s">
        <v>6311</v>
      </c>
      <c r="AR590" s="135" t="s">
        <v>6311</v>
      </c>
      <c r="AS590" s="190"/>
      <c r="AT590" s="137" t="s">
        <v>266</v>
      </c>
      <c r="AU590" s="135">
        <v>6</v>
      </c>
      <c r="AV590" s="135">
        <v>120</v>
      </c>
      <c r="AW590" s="135">
        <v>114</v>
      </c>
      <c r="AX590" s="135">
        <v>28</v>
      </c>
      <c r="AY590" s="135" t="s">
        <v>8728</v>
      </c>
      <c r="AZ590" s="135" t="s">
        <v>1563</v>
      </c>
      <c r="BA590" s="135">
        <v>32</v>
      </c>
      <c r="BB590" s="138" t="s">
        <v>2485</v>
      </c>
      <c r="BC590" s="138" t="s">
        <v>8726</v>
      </c>
      <c r="BD590" s="138" t="s">
        <v>8374</v>
      </c>
      <c r="BE590" s="135" t="s">
        <v>2449</v>
      </c>
      <c r="BF590" s="135" t="s">
        <v>272</v>
      </c>
      <c r="BG590" s="135" t="s">
        <v>272</v>
      </c>
      <c r="BH590" s="135" t="s">
        <v>2486</v>
      </c>
      <c r="BI590" s="185">
        <v>6.3999999999999997E-6</v>
      </c>
      <c r="BJ590" s="185">
        <v>6.4000000000000001E-2</v>
      </c>
      <c r="BK590" s="135"/>
      <c r="BL590" s="185">
        <f t="shared" si="201"/>
        <v>5.3253112967520876E-4</v>
      </c>
      <c r="BM590" s="138" t="s">
        <v>2487</v>
      </c>
      <c r="BN590" s="135"/>
      <c r="BO590" s="135"/>
      <c r="BP590" s="135"/>
      <c r="BQ590" s="135"/>
      <c r="BR590" s="138" t="s">
        <v>2496</v>
      </c>
      <c r="BS590" s="135"/>
      <c r="BT590" s="135"/>
      <c r="BU590" s="135"/>
      <c r="BV590" s="135"/>
      <c r="BW590" s="135"/>
      <c r="BX590" s="135"/>
      <c r="BY590" s="135"/>
      <c r="BZ590" s="135"/>
      <c r="CA590" s="135"/>
      <c r="CB590" s="135"/>
      <c r="CC590" s="135"/>
      <c r="CD590" s="135"/>
      <c r="CE590" s="135"/>
      <c r="CF590" s="135"/>
      <c r="CG590" s="135"/>
      <c r="CH590" s="135"/>
      <c r="CI590" s="185"/>
      <c r="CJ590" s="187"/>
      <c r="CK590" s="136">
        <f t="shared" si="205"/>
        <v>8.320798901175137E-3</v>
      </c>
      <c r="CL590" s="188"/>
      <c r="CM590" s="188">
        <v>-2.4156371235578393</v>
      </c>
      <c r="CN590" s="188">
        <f>BJ590/(10^CM590)</f>
        <v>16.665452017676564</v>
      </c>
      <c r="CO590" s="138" t="s">
        <v>2488</v>
      </c>
      <c r="CP590" s="138" t="s">
        <v>2489</v>
      </c>
      <c r="CQ590" s="183">
        <v>-2.394041358577907</v>
      </c>
      <c r="CR590" s="191">
        <f>10^(CJ590-CQ590)</f>
        <v>247.76579978453952</v>
      </c>
      <c r="CS590" s="135" t="s">
        <v>539</v>
      </c>
      <c r="CT590" s="135"/>
      <c r="CU590" s="135"/>
      <c r="CV590" s="332">
        <f t="shared" si="202"/>
        <v>5.325312702361882E-2</v>
      </c>
      <c r="CW590" s="329">
        <f t="shared" si="203"/>
        <v>0</v>
      </c>
      <c r="CX590" s="329"/>
      <c r="CY590" s="189" t="s">
        <v>5921</v>
      </c>
    </row>
    <row r="591" spans="1:103" ht="11.25" customHeight="1" x14ac:dyDescent="0.2">
      <c r="A591" s="72">
        <v>589</v>
      </c>
      <c r="B591" s="183">
        <v>1224</v>
      </c>
      <c r="C591" s="133" t="s">
        <v>1337</v>
      </c>
      <c r="D591" s="133" t="s">
        <v>6664</v>
      </c>
      <c r="E591" s="134"/>
      <c r="F591" s="134" t="s">
        <v>1338</v>
      </c>
      <c r="G591" s="184">
        <v>19666309</v>
      </c>
      <c r="H591" s="138" t="s">
        <v>1339</v>
      </c>
      <c r="I591" s="138" t="s">
        <v>7936</v>
      </c>
      <c r="J591" s="138" t="s">
        <v>1340</v>
      </c>
      <c r="K591" s="138" t="s">
        <v>976</v>
      </c>
      <c r="L591" s="138" t="s">
        <v>6004</v>
      </c>
      <c r="M591" s="138" t="s">
        <v>6082</v>
      </c>
      <c r="N591" s="138" t="s">
        <v>6082</v>
      </c>
      <c r="O591" s="138" t="s">
        <v>6083</v>
      </c>
      <c r="P591" s="138"/>
      <c r="Q591" s="138"/>
      <c r="R591" s="138"/>
      <c r="S591" s="138"/>
      <c r="T591" s="135">
        <v>345.22</v>
      </c>
      <c r="U591" s="185">
        <v>2.0276924859509876E-3</v>
      </c>
      <c r="V591" s="185">
        <v>1.5259834308556863E-3</v>
      </c>
      <c r="W591" s="185">
        <v>2.0892961308540377E-3</v>
      </c>
      <c r="X591" s="185">
        <v>2.0276924859509876E-3</v>
      </c>
      <c r="Y591" s="204">
        <v>7</v>
      </c>
      <c r="Z591" s="135">
        <v>4.8099999999999996</v>
      </c>
      <c r="AA591" s="135">
        <v>4.8</v>
      </c>
      <c r="AB591" s="135">
        <v>4.5</v>
      </c>
      <c r="AC591" s="135">
        <v>0.83169999999999999</v>
      </c>
      <c r="AD591" s="135">
        <v>4.51</v>
      </c>
      <c r="AE591" s="135">
        <v>4.54</v>
      </c>
      <c r="AF591" s="135">
        <f t="shared" si="198"/>
        <v>4.8</v>
      </c>
      <c r="AG591" s="136">
        <v>5.36</v>
      </c>
      <c r="AH591" s="185">
        <v>3.2199999999999997E-8</v>
      </c>
      <c r="AI591" s="185">
        <v>7.2699999999999996E-8</v>
      </c>
      <c r="AJ591" s="136">
        <f t="shared" si="199"/>
        <v>-5.8807104546168212</v>
      </c>
      <c r="AK591" s="136">
        <f>LOG10(AI591*1000/(0.08206*298.15))</f>
        <v>-5.5270319154536143</v>
      </c>
      <c r="AL591" s="136">
        <f t="shared" si="200"/>
        <v>-5.5270319154536143</v>
      </c>
      <c r="AM591" s="136">
        <v>-10.731549999999999</v>
      </c>
      <c r="AN591" s="186">
        <v>-0.77500000000000002</v>
      </c>
      <c r="AO591" s="481"/>
      <c r="AP591" s="481">
        <v>-2.73</v>
      </c>
      <c r="AQ591" s="135" t="s">
        <v>6311</v>
      </c>
      <c r="AR591" s="135" t="s">
        <v>6311</v>
      </c>
      <c r="AS591" s="190"/>
      <c r="AT591" s="137" t="s">
        <v>266</v>
      </c>
      <c r="AU591" s="135">
        <v>6</v>
      </c>
      <c r="AV591" s="135">
        <v>120</v>
      </c>
      <c r="AW591" s="135">
        <v>114</v>
      </c>
      <c r="AX591" s="135">
        <v>28</v>
      </c>
      <c r="AY591" s="135" t="s">
        <v>8728</v>
      </c>
      <c r="AZ591" s="135" t="s">
        <v>1563</v>
      </c>
      <c r="BA591" s="135">
        <v>32</v>
      </c>
      <c r="BB591" s="138" t="s">
        <v>2485</v>
      </c>
      <c r="BC591" s="138" t="s">
        <v>8726</v>
      </c>
      <c r="BD591" s="138" t="s">
        <v>8374</v>
      </c>
      <c r="BE591" s="135" t="s">
        <v>2449</v>
      </c>
      <c r="BF591" s="135" t="s">
        <v>272</v>
      </c>
      <c r="BG591" s="135" t="s">
        <v>272</v>
      </c>
      <c r="BH591" s="135" t="s">
        <v>2486</v>
      </c>
      <c r="BI591" s="185">
        <v>6.3999999999999997E-6</v>
      </c>
      <c r="BJ591" s="185">
        <v>6.4000000000000001E-2</v>
      </c>
      <c r="BK591" s="135"/>
      <c r="BL591" s="185">
        <f t="shared" si="201"/>
        <v>2.4600220508641203E-3</v>
      </c>
      <c r="BM591" s="138" t="s">
        <v>2487</v>
      </c>
      <c r="BN591" s="135"/>
      <c r="BO591" s="135"/>
      <c r="BP591" s="135"/>
      <c r="BQ591" s="135"/>
      <c r="BR591" s="138" t="s">
        <v>2496</v>
      </c>
      <c r="BS591" s="135"/>
      <c r="BT591" s="135"/>
      <c r="BU591" s="135">
        <v>6.3999999999999997E-6</v>
      </c>
      <c r="BV591" s="135"/>
      <c r="BW591" s="135"/>
      <c r="BX591" s="135"/>
      <c r="BY591" s="135"/>
      <c r="BZ591" s="135"/>
      <c r="CA591" s="135"/>
      <c r="CB591" s="135"/>
      <c r="CC591" s="135"/>
      <c r="CD591" s="135"/>
      <c r="CE591" s="135"/>
      <c r="CF591" s="135"/>
      <c r="CG591" s="135"/>
      <c r="CH591" s="135"/>
      <c r="CI591" s="185"/>
      <c r="CJ591" s="187"/>
      <c r="CK591" s="136">
        <f t="shared" si="205"/>
        <v>3.8437844544751881E-2</v>
      </c>
      <c r="CL591" s="188"/>
      <c r="CM591" s="188">
        <v>-2.2256033580255483</v>
      </c>
      <c r="CN591" s="188">
        <f>BJ591/(10^CM591)</f>
        <v>10.759283028608964</v>
      </c>
      <c r="CO591" s="138" t="s">
        <v>2488</v>
      </c>
      <c r="CP591" s="138" t="s">
        <v>2489</v>
      </c>
      <c r="CQ591" s="183">
        <v>-2.0626637892282793</v>
      </c>
      <c r="CR591" s="191">
        <f>10^(CJ591-CQ591)</f>
        <v>115.52175797260783</v>
      </c>
      <c r="CS591" s="135" t="s">
        <v>539</v>
      </c>
      <c r="CT591" s="135"/>
      <c r="CU591" s="135"/>
      <c r="CV591" s="332">
        <f t="shared" si="202"/>
        <v>3.168269509298418E-2</v>
      </c>
      <c r="CW591" s="329">
        <f t="shared" si="203"/>
        <v>0</v>
      </c>
      <c r="CX591" s="329"/>
      <c r="CY591" s="189" t="s">
        <v>5921</v>
      </c>
    </row>
    <row r="592" spans="1:103" ht="11.25" customHeight="1" x14ac:dyDescent="0.2">
      <c r="A592" s="72">
        <v>590</v>
      </c>
      <c r="B592" s="183">
        <v>1666</v>
      </c>
      <c r="C592" s="133" t="s">
        <v>1193</v>
      </c>
      <c r="D592" s="133" t="s">
        <v>6653</v>
      </c>
      <c r="E592" s="134"/>
      <c r="F592" s="134" t="s">
        <v>1194</v>
      </c>
      <c r="G592" s="184">
        <v>69806504</v>
      </c>
      <c r="H592" s="138" t="s">
        <v>1195</v>
      </c>
      <c r="I592" s="138" t="s">
        <v>1195</v>
      </c>
      <c r="J592" s="138" t="s">
        <v>1196</v>
      </c>
      <c r="K592" s="138" t="s">
        <v>357</v>
      </c>
      <c r="L592" s="138" t="s">
        <v>5982</v>
      </c>
      <c r="M592" s="138" t="s">
        <v>2342</v>
      </c>
      <c r="N592" s="138" t="s">
        <v>2342</v>
      </c>
      <c r="O592" s="138"/>
      <c r="P592" s="138"/>
      <c r="Q592" s="138"/>
      <c r="R592" s="138"/>
      <c r="S592" s="138"/>
      <c r="T592" s="135">
        <v>383.36</v>
      </c>
      <c r="U592" s="185">
        <v>5.2170283806343906E-3</v>
      </c>
      <c r="V592" s="185">
        <v>1.4524207011686141E-3</v>
      </c>
      <c r="W592" s="185">
        <v>3.8904514499428049E-2</v>
      </c>
      <c r="X592" s="185">
        <v>5.2170283806343906E-3</v>
      </c>
      <c r="Y592" s="204">
        <v>7</v>
      </c>
      <c r="Z592" s="135">
        <v>5.34</v>
      </c>
      <c r="AA592" s="135">
        <v>4.5</v>
      </c>
      <c r="AB592" s="135">
        <v>4.26</v>
      </c>
      <c r="AC592" s="135">
        <v>0.8861</v>
      </c>
      <c r="AD592" s="135">
        <v>4.1399999999999997</v>
      </c>
      <c r="AE592" s="135">
        <v>3.64</v>
      </c>
      <c r="AF592" s="135">
        <f t="shared" si="198"/>
        <v>4.5</v>
      </c>
      <c r="AG592" s="136">
        <v>4.46</v>
      </c>
      <c r="AH592" s="185">
        <v>3.7900000000000002E-8</v>
      </c>
      <c r="AI592" s="185">
        <v>2.0800000000000001E-7</v>
      </c>
      <c r="AJ592" s="136">
        <f t="shared" si="199"/>
        <v>-5.8099271163445794</v>
      </c>
      <c r="AK592" s="136">
        <f>LOG10(AI592*1000/(0.08206*298.15))</f>
        <v>-5.0705029913498905</v>
      </c>
      <c r="AL592" s="136">
        <f t="shared" si="200"/>
        <v>-5.0705029913498905</v>
      </c>
      <c r="AM592" s="136">
        <v>-12.061889999999998</v>
      </c>
      <c r="AN592" s="186">
        <v>-5.76</v>
      </c>
      <c r="AO592" s="481"/>
      <c r="AP592" s="481">
        <v>0.78</v>
      </c>
      <c r="AQ592" s="186" t="s">
        <v>6311</v>
      </c>
      <c r="AR592" s="186" t="s">
        <v>6312</v>
      </c>
      <c r="AS592" s="183"/>
      <c r="AT592" s="137" t="s">
        <v>266</v>
      </c>
      <c r="AU592" s="135">
        <v>6</v>
      </c>
      <c r="AV592" s="135">
        <v>120</v>
      </c>
      <c r="AW592" s="135">
        <v>114</v>
      </c>
      <c r="AX592" s="135">
        <v>28</v>
      </c>
      <c r="AY592" s="135" t="s">
        <v>8728</v>
      </c>
      <c r="AZ592" s="135" t="s">
        <v>1563</v>
      </c>
      <c r="BA592" s="135">
        <v>32</v>
      </c>
      <c r="BB592" s="138" t="s">
        <v>2485</v>
      </c>
      <c r="BC592" s="138" t="s">
        <v>8726</v>
      </c>
      <c r="BD592" s="138" t="s">
        <v>8374</v>
      </c>
      <c r="BE592" s="135" t="s">
        <v>2449</v>
      </c>
      <c r="BF592" s="135" t="s">
        <v>272</v>
      </c>
      <c r="BG592" s="135" t="s">
        <v>272</v>
      </c>
      <c r="BH592" s="135" t="s">
        <v>2486</v>
      </c>
      <c r="BI592" s="185">
        <v>6.3999999999999997E-6</v>
      </c>
      <c r="BJ592" s="185">
        <v>6.4000000000000001E-2</v>
      </c>
      <c r="BK592" s="135"/>
      <c r="BL592" s="185">
        <f t="shared" si="201"/>
        <v>8.2214041898477554E-4</v>
      </c>
      <c r="BM592" s="138" t="s">
        <v>2487</v>
      </c>
      <c r="BN592" s="135"/>
      <c r="BO592" s="135"/>
      <c r="BP592" s="135"/>
      <c r="BQ592" s="135"/>
      <c r="BR592" s="138" t="s">
        <v>2496</v>
      </c>
      <c r="BS592" s="135"/>
      <c r="BT592" s="135"/>
      <c r="BU592" s="135"/>
      <c r="BV592" s="135"/>
      <c r="BW592" s="135"/>
      <c r="BX592" s="135"/>
      <c r="BY592" s="135"/>
      <c r="BZ592" s="135"/>
      <c r="CA592" s="135"/>
      <c r="CB592" s="135"/>
      <c r="CC592" s="135"/>
      <c r="CD592" s="135"/>
      <c r="CE592" s="135"/>
      <c r="CF592" s="135"/>
      <c r="CG592" s="135"/>
      <c r="CH592" s="135"/>
      <c r="CI592" s="185"/>
      <c r="CJ592" s="187"/>
      <c r="CK592" s="136">
        <f t="shared" si="205"/>
        <v>1.2845944046637118E-2</v>
      </c>
      <c r="CL592" s="188"/>
      <c r="CM592" s="188">
        <v>-3.0154050723062036</v>
      </c>
      <c r="CN592" s="188">
        <f>BJ592/(10^CM592)</f>
        <v>66.310918918918972</v>
      </c>
      <c r="CO592" s="138" t="s">
        <v>2488</v>
      </c>
      <c r="CP592" s="138" t="s">
        <v>2489</v>
      </c>
      <c r="CQ592" s="183">
        <v>-2.145841811462796</v>
      </c>
      <c r="CR592" s="191">
        <f>10^(CJ592-CQ592)</f>
        <v>139.9077626124803</v>
      </c>
      <c r="CS592" s="135" t="s">
        <v>539</v>
      </c>
      <c r="CT592" s="135"/>
      <c r="CU592" s="135"/>
      <c r="CV592" s="332">
        <f t="shared" si="202"/>
        <v>8.1516068447412354E-2</v>
      </c>
      <c r="CW592" s="329">
        <f t="shared" si="203"/>
        <v>0</v>
      </c>
      <c r="CX592" s="329"/>
      <c r="CY592" s="189" t="s">
        <v>5921</v>
      </c>
    </row>
    <row r="593" spans="1:103" ht="11.25" customHeight="1" x14ac:dyDescent="0.2">
      <c r="A593" s="72">
        <v>591</v>
      </c>
      <c r="B593" s="183">
        <v>1111</v>
      </c>
      <c r="C593" s="133" t="s">
        <v>6862</v>
      </c>
      <c r="D593" s="133"/>
      <c r="E593" s="134"/>
      <c r="F593" s="134" t="s">
        <v>3107</v>
      </c>
      <c r="G593" s="184">
        <v>2432873</v>
      </c>
      <c r="H593" s="138" t="s">
        <v>3108</v>
      </c>
      <c r="I593" s="138" t="s">
        <v>3108</v>
      </c>
      <c r="J593" s="138" t="s">
        <v>3109</v>
      </c>
      <c r="K593" s="138" t="s">
        <v>357</v>
      </c>
      <c r="L593" s="138"/>
      <c r="M593" s="138"/>
      <c r="N593" s="138"/>
      <c r="O593" s="138"/>
      <c r="P593" s="138"/>
      <c r="Q593" s="138"/>
      <c r="R593" s="138"/>
      <c r="S593" s="138"/>
      <c r="T593" s="135">
        <v>426.67</v>
      </c>
      <c r="U593" s="185"/>
      <c r="V593" s="185">
        <v>9.037429395082851E-9</v>
      </c>
      <c r="W593" s="185">
        <v>1.0964781961431838E-4</v>
      </c>
      <c r="X593" s="185">
        <f>IF(W593=0,V593,W593)</f>
        <v>1.0964781961431838E-4</v>
      </c>
      <c r="Y593" s="204">
        <v>7</v>
      </c>
      <c r="Z593" s="135">
        <v>10.23</v>
      </c>
      <c r="AA593" s="135"/>
      <c r="AB593" s="135">
        <v>9.31</v>
      </c>
      <c r="AC593" s="135">
        <v>0.50770000000000004</v>
      </c>
      <c r="AD593" s="135">
        <v>9.82</v>
      </c>
      <c r="AE593" s="135">
        <v>10.23</v>
      </c>
      <c r="AF593" s="135">
        <f t="shared" si="198"/>
        <v>9.82</v>
      </c>
      <c r="AG593" s="136">
        <v>9.82</v>
      </c>
      <c r="AH593" s="185">
        <v>1.6000000000000001E-4</v>
      </c>
      <c r="AI593" s="185"/>
      <c r="AJ593" s="136">
        <f t="shared" si="199"/>
        <v>-2.184446343656727</v>
      </c>
      <c r="AK593" s="136"/>
      <c r="AL593" s="136">
        <f t="shared" si="200"/>
        <v>-2.184446343656727</v>
      </c>
      <c r="AM593" s="136">
        <v>-8.3466799999999992</v>
      </c>
      <c r="AN593" s="186"/>
      <c r="AO593" s="481"/>
      <c r="AP593" s="481"/>
      <c r="AQ593" s="135" t="s">
        <v>6311</v>
      </c>
      <c r="AR593" s="135" t="s">
        <v>6312</v>
      </c>
      <c r="AS593" s="190"/>
      <c r="AT593" s="137" t="s">
        <v>266</v>
      </c>
      <c r="AU593" s="135">
        <v>6</v>
      </c>
      <c r="AV593" s="135">
        <v>120</v>
      </c>
      <c r="AW593" s="135">
        <v>114</v>
      </c>
      <c r="AX593" s="135">
        <v>28</v>
      </c>
      <c r="AY593" s="135" t="s">
        <v>8728</v>
      </c>
      <c r="AZ593" s="135" t="s">
        <v>1563</v>
      </c>
      <c r="BA593" s="135">
        <v>32</v>
      </c>
      <c r="BB593" s="138" t="s">
        <v>2485</v>
      </c>
      <c r="BC593" s="138" t="s">
        <v>8726</v>
      </c>
      <c r="BD593" s="138" t="s">
        <v>8374</v>
      </c>
      <c r="BE593" s="135" t="s">
        <v>2449</v>
      </c>
      <c r="BF593" s="135" t="s">
        <v>272</v>
      </c>
      <c r="BG593" s="135" t="s">
        <v>272</v>
      </c>
      <c r="BH593" s="135" t="s">
        <v>2486</v>
      </c>
      <c r="BI593" s="185">
        <v>6.3999999999999997E-6</v>
      </c>
      <c r="BJ593" s="185">
        <v>6.4000000000000001E-2</v>
      </c>
      <c r="BK593" s="135"/>
      <c r="BL593" s="185">
        <f t="shared" si="201"/>
        <v>3.3360841743681543E-8</v>
      </c>
      <c r="BM593" s="138" t="s">
        <v>2487</v>
      </c>
      <c r="BN593" s="135"/>
      <c r="BO593" s="135"/>
      <c r="BP593" s="135"/>
      <c r="BQ593" s="135"/>
      <c r="BR593" s="138" t="s">
        <v>2496</v>
      </c>
      <c r="BS593" s="135"/>
      <c r="BT593" s="135"/>
      <c r="BU593" s="135">
        <v>6.4000000000000001E-2</v>
      </c>
      <c r="BV593" s="135"/>
      <c r="BW593" s="135"/>
      <c r="BX593" s="135"/>
      <c r="BY593" s="135"/>
      <c r="BZ593" s="135"/>
      <c r="CA593" s="135"/>
      <c r="CB593" s="135"/>
      <c r="CC593" s="135"/>
      <c r="CD593" s="135"/>
      <c r="CE593" s="135"/>
      <c r="CF593" s="135"/>
      <c r="CG593" s="135"/>
      <c r="CH593" s="135"/>
      <c r="CI593" s="185"/>
      <c r="CJ593" s="187"/>
      <c r="CK593" s="136">
        <f t="shared" si="205"/>
        <v>5.2126315224502413E-7</v>
      </c>
      <c r="CL593" s="188"/>
      <c r="CM593" s="188"/>
      <c r="CN593" s="188"/>
      <c r="CO593" s="138" t="s">
        <v>2488</v>
      </c>
      <c r="CP593" s="138" t="s">
        <v>2489</v>
      </c>
      <c r="CQ593" s="191" t="s">
        <v>272</v>
      </c>
      <c r="CR593" s="191"/>
      <c r="CS593" s="135" t="s">
        <v>539</v>
      </c>
      <c r="CT593" s="135"/>
      <c r="CU593" s="135"/>
      <c r="CV593" s="332">
        <f t="shared" si="202"/>
        <v>1.7132471814737247E-3</v>
      </c>
      <c r="CW593" s="329">
        <f t="shared" si="203"/>
        <v>0</v>
      </c>
      <c r="CX593" s="329"/>
      <c r="CY593" s="189" t="s">
        <v>5921</v>
      </c>
    </row>
    <row r="594" spans="1:103" ht="11.25" customHeight="1" x14ac:dyDescent="0.2">
      <c r="A594" s="72">
        <v>592</v>
      </c>
      <c r="B594" s="183">
        <v>1663</v>
      </c>
      <c r="C594" s="133" t="s">
        <v>1172</v>
      </c>
      <c r="D594" s="133" t="s">
        <v>6697</v>
      </c>
      <c r="E594" s="134"/>
      <c r="F594" s="134" t="s">
        <v>1173</v>
      </c>
      <c r="G594" s="184">
        <v>66441234</v>
      </c>
      <c r="H594" s="138" t="s">
        <v>1174</v>
      </c>
      <c r="I594" s="138" t="s">
        <v>7937</v>
      </c>
      <c r="J594" s="138" t="s">
        <v>1175</v>
      </c>
      <c r="K594" s="138" t="s">
        <v>357</v>
      </c>
      <c r="L594" s="138" t="s">
        <v>5980</v>
      </c>
      <c r="M594" s="138" t="s">
        <v>6082</v>
      </c>
      <c r="N594" s="138" t="s">
        <v>6082</v>
      </c>
      <c r="O594" s="138" t="s">
        <v>6083</v>
      </c>
      <c r="P594" s="138"/>
      <c r="Q594" s="138"/>
      <c r="R594" s="138"/>
      <c r="S594" s="138"/>
      <c r="T594" s="135">
        <v>361.78</v>
      </c>
      <c r="U594" s="185">
        <v>2.4876997070042571E-3</v>
      </c>
      <c r="V594" s="185">
        <v>1.7820222234507161E-3</v>
      </c>
      <c r="W594" s="185">
        <v>2.8183829312644531E-3</v>
      </c>
      <c r="X594" s="185">
        <v>2.4876997070042571E-3</v>
      </c>
      <c r="Y594" s="204">
        <v>7</v>
      </c>
      <c r="Z594" s="135">
        <v>4.95</v>
      </c>
      <c r="AA594" s="135">
        <v>4.58</v>
      </c>
      <c r="AB594" s="135">
        <v>4.07</v>
      </c>
      <c r="AC594" s="135">
        <v>0.86009999999999998</v>
      </c>
      <c r="AD594" s="135">
        <v>4.22</v>
      </c>
      <c r="AE594" s="135">
        <v>4.78</v>
      </c>
      <c r="AF594" s="135">
        <f t="shared" ref="AF594:AF618" si="206">IF(AA594=0,AD594,AA594)</f>
        <v>4.58</v>
      </c>
      <c r="AG594" s="136">
        <v>4.42</v>
      </c>
      <c r="AH594" s="185">
        <v>1.9599999999999999E-11</v>
      </c>
      <c r="AI594" s="185">
        <v>1.59E-8</v>
      </c>
      <c r="AJ594" s="136">
        <f t="shared" si="199"/>
        <v>-9.0963102549561761</v>
      </c>
      <c r="AK594" s="136">
        <f>LOG10(AI594*1000/(0.08206*298.15))</f>
        <v>-6.1871692019922007</v>
      </c>
      <c r="AL594" s="136">
        <f t="shared" si="200"/>
        <v>-6.1871692019922007</v>
      </c>
      <c r="AM594" s="136">
        <v>-15.666689999999999</v>
      </c>
      <c r="AN594" s="186">
        <v>-7.36</v>
      </c>
      <c r="AO594" s="481"/>
      <c r="AP594" s="481">
        <v>-0.08</v>
      </c>
      <c r="AQ594" s="186" t="s">
        <v>6311</v>
      </c>
      <c r="AR594" s="186" t="s">
        <v>6312</v>
      </c>
      <c r="AS594" s="183"/>
      <c r="AT594" s="137" t="s">
        <v>266</v>
      </c>
      <c r="AU594" s="135">
        <v>6</v>
      </c>
      <c r="AV594" s="135">
        <v>120</v>
      </c>
      <c r="AW594" s="135">
        <v>114</v>
      </c>
      <c r="AX594" s="135">
        <v>28</v>
      </c>
      <c r="AY594" s="135" t="s">
        <v>8728</v>
      </c>
      <c r="AZ594" s="135" t="s">
        <v>1563</v>
      </c>
      <c r="BA594" s="135">
        <v>32</v>
      </c>
      <c r="BB594" s="138" t="s">
        <v>2485</v>
      </c>
      <c r="BC594" s="138" t="s">
        <v>8726</v>
      </c>
      <c r="BD594" s="138" t="s">
        <v>8374</v>
      </c>
      <c r="BE594" s="135" t="s">
        <v>2449</v>
      </c>
      <c r="BF594" s="135" t="s">
        <v>272</v>
      </c>
      <c r="BG594" s="135" t="s">
        <v>272</v>
      </c>
      <c r="BH594" s="135" t="s">
        <v>2486</v>
      </c>
      <c r="BI594" s="185">
        <v>6.3999999999999997E-6</v>
      </c>
      <c r="BJ594" s="185">
        <v>6.4000000000000001E-2</v>
      </c>
      <c r="BK594" s="135"/>
      <c r="BL594" s="185">
        <f t="shared" si="201"/>
        <v>1.8416411060794048E-3</v>
      </c>
      <c r="BM594" s="138" t="s">
        <v>2487</v>
      </c>
      <c r="BN594" s="135"/>
      <c r="BO594" s="135"/>
      <c r="BP594" s="135"/>
      <c r="BQ594" s="135"/>
      <c r="BR594" s="138" t="s">
        <v>2496</v>
      </c>
      <c r="BS594" s="135"/>
      <c r="BT594" s="135"/>
      <c r="BU594" s="135"/>
      <c r="BV594" s="135"/>
      <c r="BW594" s="135"/>
      <c r="BX594" s="135"/>
      <c r="BY594" s="135"/>
      <c r="BZ594" s="135"/>
      <c r="CA594" s="135"/>
      <c r="CB594" s="135"/>
      <c r="CC594" s="135"/>
      <c r="CD594" s="135"/>
      <c r="CE594" s="135"/>
      <c r="CF594" s="135"/>
      <c r="CG594" s="135"/>
      <c r="CH594" s="135"/>
      <c r="CI594" s="185"/>
      <c r="CJ594" s="187"/>
      <c r="CK594" s="136">
        <f t="shared" si="205"/>
        <v>2.8775642282490698E-2</v>
      </c>
      <c r="CL594" s="188"/>
      <c r="CM594" s="188">
        <v>-2.3518360261264908</v>
      </c>
      <c r="CN594" s="188">
        <f>BJ594/(10^CM594)</f>
        <v>14.388515868965088</v>
      </c>
      <c r="CO594" s="138" t="s">
        <v>2488</v>
      </c>
      <c r="CP594" s="138" t="s">
        <v>2489</v>
      </c>
      <c r="CQ594" s="183">
        <v>-2.1004145568546404</v>
      </c>
      <c r="CR594" s="191">
        <f>10^(CJ594-CQ594)</f>
        <v>126.0127695840125</v>
      </c>
      <c r="CS594" s="135" t="s">
        <v>539</v>
      </c>
      <c r="CT594" s="135"/>
      <c r="CU594" s="135"/>
      <c r="CV594" s="332">
        <f t="shared" si="202"/>
        <v>3.8870307921941516E-2</v>
      </c>
      <c r="CW594" s="329">
        <f t="shared" si="203"/>
        <v>0</v>
      </c>
      <c r="CX594" s="329"/>
      <c r="CY594" s="189" t="s">
        <v>5921</v>
      </c>
    </row>
    <row r="595" spans="1:103" ht="11.25" customHeight="1" x14ac:dyDescent="0.2">
      <c r="A595" s="72">
        <v>593</v>
      </c>
      <c r="B595" s="183">
        <v>931</v>
      </c>
      <c r="C595" s="133" t="s">
        <v>6863</v>
      </c>
      <c r="D595" s="133"/>
      <c r="E595" s="134"/>
      <c r="F595" s="134" t="s">
        <v>895</v>
      </c>
      <c r="G595" s="184">
        <v>2971360</v>
      </c>
      <c r="H595" s="138" t="s">
        <v>896</v>
      </c>
      <c r="I595" s="138" t="s">
        <v>7938</v>
      </c>
      <c r="J595" s="138" t="s">
        <v>2658</v>
      </c>
      <c r="K595" s="138" t="s">
        <v>376</v>
      </c>
      <c r="L595" s="138"/>
      <c r="M595" s="138"/>
      <c r="N595" s="138"/>
      <c r="O595" s="138"/>
      <c r="P595" s="138"/>
      <c r="Q595" s="138"/>
      <c r="R595" s="138"/>
      <c r="S595" s="138"/>
      <c r="T595" s="135">
        <v>317.58999999999997</v>
      </c>
      <c r="U595" s="185"/>
      <c r="V595" s="185">
        <v>1.521773355584244E-2</v>
      </c>
      <c r="W595" s="185">
        <v>0.20417379446695288</v>
      </c>
      <c r="X595" s="185">
        <f>IF(W595=0,V595,W595)</f>
        <v>0.20417379446695288</v>
      </c>
      <c r="Y595" s="204">
        <v>6.52</v>
      </c>
      <c r="Z595" s="135">
        <v>4.55</v>
      </c>
      <c r="AA595" s="135"/>
      <c r="AB595" s="135">
        <v>4.3899999999999997</v>
      </c>
      <c r="AC595" s="135">
        <v>0.59640000000000004</v>
      </c>
      <c r="AD595" s="135">
        <v>3.87</v>
      </c>
      <c r="AE595" s="135">
        <v>3.26</v>
      </c>
      <c r="AF595" s="135">
        <f t="shared" si="206"/>
        <v>3.87</v>
      </c>
      <c r="AG595" s="136">
        <v>4.5</v>
      </c>
      <c r="AH595" s="185">
        <v>3.0199999999999998E-13</v>
      </c>
      <c r="AI595" s="185"/>
      <c r="AJ595" s="136">
        <f t="shared" si="199"/>
        <v>-10.908559383355501</v>
      </c>
      <c r="AK595" s="136"/>
      <c r="AL595" s="136">
        <f t="shared" si="200"/>
        <v>-10.908559383355501</v>
      </c>
      <c r="AM595" s="136">
        <v>-14.95851</v>
      </c>
      <c r="AN595" s="186">
        <v>-12.2</v>
      </c>
      <c r="AO595" s="481">
        <v>9.4</v>
      </c>
      <c r="AP595" s="481"/>
      <c r="AQ595" s="135" t="s">
        <v>6311</v>
      </c>
      <c r="AR595" s="135" t="s">
        <v>6311</v>
      </c>
      <c r="AS595" s="190"/>
      <c r="AT595" s="137" t="s">
        <v>266</v>
      </c>
      <c r="AU595" s="135">
        <v>6</v>
      </c>
      <c r="AV595" s="135">
        <v>120</v>
      </c>
      <c r="AW595" s="135">
        <v>114</v>
      </c>
      <c r="AX595" s="135">
        <v>28</v>
      </c>
      <c r="AY595" s="135" t="s">
        <v>8728</v>
      </c>
      <c r="AZ595" s="135" t="s">
        <v>1563</v>
      </c>
      <c r="BA595" s="135">
        <v>32</v>
      </c>
      <c r="BB595" s="138" t="s">
        <v>2485</v>
      </c>
      <c r="BC595" s="138" t="s">
        <v>8726</v>
      </c>
      <c r="BD595" s="138" t="s">
        <v>8374</v>
      </c>
      <c r="BE595" s="135" t="s">
        <v>2449</v>
      </c>
      <c r="BF595" s="135" t="s">
        <v>272</v>
      </c>
      <c r="BG595" s="135" t="s">
        <v>272</v>
      </c>
      <c r="BH595" s="135" t="s">
        <v>2486</v>
      </c>
      <c r="BI595" s="185">
        <v>6.3999999999999997E-6</v>
      </c>
      <c r="BJ595" s="185">
        <v>6.4000000000000001E-2</v>
      </c>
      <c r="BK595" s="135"/>
      <c r="BL595" s="185">
        <f t="shared" si="201"/>
        <v>4.2115794701602432E-3</v>
      </c>
      <c r="BM595" s="138" t="s">
        <v>2487</v>
      </c>
      <c r="BN595" s="135"/>
      <c r="BO595" s="135"/>
      <c r="BP595" s="135"/>
      <c r="BQ595" s="135"/>
      <c r="BR595" s="138" t="s">
        <v>2496</v>
      </c>
      <c r="BS595" s="135"/>
      <c r="BT595" s="135"/>
      <c r="BU595" s="135">
        <v>6.4000000000000005E-4</v>
      </c>
      <c r="BV595" s="135"/>
      <c r="BW595" s="135"/>
      <c r="BX595" s="135"/>
      <c r="BY595" s="135"/>
      <c r="BZ595" s="135"/>
      <c r="CA595" s="135"/>
      <c r="CB595" s="135"/>
      <c r="CC595" s="135"/>
      <c r="CD595" s="135"/>
      <c r="CE595" s="135"/>
      <c r="CF595" s="135"/>
      <c r="CG595" s="135"/>
      <c r="CH595" s="135"/>
      <c r="CI595" s="185"/>
      <c r="CJ595" s="187"/>
      <c r="CK595" s="136">
        <f t="shared" si="205"/>
        <v>6.5805929221253792E-2</v>
      </c>
      <c r="CL595" s="188"/>
      <c r="CM595" s="188"/>
      <c r="CN595" s="188"/>
      <c r="CO595" s="138" t="s">
        <v>2488</v>
      </c>
      <c r="CP595" s="138" t="s">
        <v>2489</v>
      </c>
      <c r="CQ595" s="191" t="s">
        <v>272</v>
      </c>
      <c r="CR595" s="191"/>
      <c r="CS595" s="135" t="s">
        <v>539</v>
      </c>
      <c r="CT595" s="135"/>
      <c r="CU595" s="135"/>
      <c r="CV595" s="332">
        <f t="shared" si="202"/>
        <v>3.1902155385461386</v>
      </c>
      <c r="CW595" s="329">
        <f t="shared" si="203"/>
        <v>1</v>
      </c>
      <c r="CX595" s="329"/>
      <c r="CY595" s="189" t="s">
        <v>5921</v>
      </c>
    </row>
    <row r="596" spans="1:103" ht="11.25" customHeight="1" x14ac:dyDescent="0.2">
      <c r="A596" s="72">
        <v>594</v>
      </c>
      <c r="B596" s="183">
        <v>1927</v>
      </c>
      <c r="C596" s="133" t="s">
        <v>6864</v>
      </c>
      <c r="D596" s="133"/>
      <c r="E596" s="134"/>
      <c r="F596" s="134" t="s">
        <v>5414</v>
      </c>
      <c r="G596" s="184">
        <v>3319311</v>
      </c>
      <c r="H596" s="138" t="s">
        <v>5415</v>
      </c>
      <c r="I596" s="138" t="s">
        <v>5415</v>
      </c>
      <c r="J596" s="138" t="s">
        <v>5416</v>
      </c>
      <c r="K596" s="138" t="s">
        <v>357</v>
      </c>
      <c r="L596" s="138"/>
      <c r="M596" s="138"/>
      <c r="N596" s="138"/>
      <c r="O596" s="138"/>
      <c r="P596" s="138"/>
      <c r="Q596" s="138"/>
      <c r="R596" s="138"/>
      <c r="S596" s="138"/>
      <c r="T596" s="135">
        <v>546.78</v>
      </c>
      <c r="U596" s="185">
        <v>0.18288891327407733</v>
      </c>
      <c r="V596" s="185">
        <v>8.2501188777936276E-11</v>
      </c>
      <c r="W596" s="185">
        <v>1.6595869074375584E-6</v>
      </c>
      <c r="X596" s="185">
        <v>0.18288891327407733</v>
      </c>
      <c r="Y596" s="204">
        <v>7</v>
      </c>
      <c r="Z596" s="135">
        <v>11.59</v>
      </c>
      <c r="AA596" s="135"/>
      <c r="AB596" s="135">
        <v>9.1999999999999993</v>
      </c>
      <c r="AC596" s="135">
        <v>0.5887</v>
      </c>
      <c r="AD596" s="135">
        <v>10.87</v>
      </c>
      <c r="AE596" s="135">
        <v>12.8</v>
      </c>
      <c r="AF596" s="135">
        <f t="shared" si="206"/>
        <v>10.87</v>
      </c>
      <c r="AG596" s="136">
        <v>9.77</v>
      </c>
      <c r="AH596" s="185">
        <v>5.5300000000000004E-7</v>
      </c>
      <c r="AI596" s="185"/>
      <c r="AJ596" s="136">
        <f t="shared" ref="AJ596:AJ618" si="207">LOG10(AH596*1000/(0.08206*298.15))</f>
        <v>-4.6458411950079537</v>
      </c>
      <c r="AK596" s="136"/>
      <c r="AL596" s="136">
        <f t="shared" ref="AL596:AL618" si="208">IF(AK596=0,AJ596,AK596)</f>
        <v>-4.6458411950079537</v>
      </c>
      <c r="AM596" s="136">
        <v>-14.06676</v>
      </c>
      <c r="AN596" s="186">
        <v>-5.13</v>
      </c>
      <c r="AO596" s="481"/>
      <c r="AP596" s="481"/>
      <c r="AQ596" s="186" t="s">
        <v>6311</v>
      </c>
      <c r="AR596" s="186" t="s">
        <v>6312</v>
      </c>
      <c r="AS596" s="183"/>
      <c r="AT596" s="137" t="s">
        <v>266</v>
      </c>
      <c r="AU596" s="135">
        <v>6</v>
      </c>
      <c r="AV596" s="135">
        <v>120</v>
      </c>
      <c r="AW596" s="135">
        <v>114</v>
      </c>
      <c r="AX596" s="135">
        <v>28</v>
      </c>
      <c r="AY596" s="135" t="s">
        <v>8728</v>
      </c>
      <c r="AZ596" s="135" t="s">
        <v>1563</v>
      </c>
      <c r="BA596" s="135">
        <v>32</v>
      </c>
      <c r="BB596" s="138" t="s">
        <v>2485</v>
      </c>
      <c r="BC596" s="138" t="s">
        <v>8726</v>
      </c>
      <c r="BD596" s="138" t="s">
        <v>8374</v>
      </c>
      <c r="BE596" s="135" t="s">
        <v>2449</v>
      </c>
      <c r="BF596" s="135" t="s">
        <v>272</v>
      </c>
      <c r="BG596" s="135" t="s">
        <v>272</v>
      </c>
      <c r="BH596" s="135" t="s">
        <v>2486</v>
      </c>
      <c r="BI596" s="185">
        <v>6.3999999999999997E-6</v>
      </c>
      <c r="BJ596" s="185">
        <v>6.4000000000000001E-2</v>
      </c>
      <c r="BK596" s="135"/>
      <c r="BL596" s="185">
        <f t="shared" si="201"/>
        <v>2.0036460289334314E-9</v>
      </c>
      <c r="BM596" s="138" t="s">
        <v>2487</v>
      </c>
      <c r="BN596" s="135"/>
      <c r="BO596" s="135"/>
      <c r="BP596" s="135"/>
      <c r="BQ596" s="135"/>
      <c r="BR596" s="138" t="s">
        <v>2496</v>
      </c>
      <c r="BS596" s="135"/>
      <c r="BT596" s="135"/>
      <c r="BU596" s="135"/>
      <c r="BV596" s="135"/>
      <c r="BW596" s="135"/>
      <c r="BX596" s="135"/>
      <c r="BY596" s="135"/>
      <c r="BZ596" s="135"/>
      <c r="CA596" s="135"/>
      <c r="CB596" s="135"/>
      <c r="CC596" s="135"/>
      <c r="CD596" s="135"/>
      <c r="CE596" s="135"/>
      <c r="CF596" s="135"/>
      <c r="CG596" s="135"/>
      <c r="CH596" s="135"/>
      <c r="CI596" s="185"/>
      <c r="CJ596" s="187"/>
      <c r="CK596" s="136">
        <f t="shared" si="205"/>
        <v>3.1306969202084866E-8</v>
      </c>
      <c r="CL596" s="188"/>
      <c r="CM596" s="188"/>
      <c r="CN596" s="188"/>
      <c r="CO596" s="138" t="s">
        <v>2488</v>
      </c>
      <c r="CP596" s="138" t="s">
        <v>2489</v>
      </c>
      <c r="CQ596" s="191" t="s">
        <v>272</v>
      </c>
      <c r="CR596" s="191"/>
      <c r="CS596" s="135" t="s">
        <v>539</v>
      </c>
      <c r="CT596" s="135"/>
      <c r="CU596" s="135"/>
      <c r="CV596" s="332">
        <f t="shared" si="202"/>
        <v>2.8576392699074584</v>
      </c>
      <c r="CW596" s="329">
        <f t="shared" si="203"/>
        <v>1</v>
      </c>
      <c r="CX596" s="329"/>
      <c r="CY596" s="189" t="s">
        <v>6351</v>
      </c>
    </row>
    <row r="597" spans="1:103" ht="11.25" customHeight="1" x14ac:dyDescent="0.2">
      <c r="A597" s="72">
        <v>595</v>
      </c>
      <c r="B597" s="191">
        <v>1756</v>
      </c>
      <c r="C597" s="128" t="s">
        <v>6865</v>
      </c>
      <c r="D597" s="128"/>
      <c r="E597" s="129"/>
      <c r="F597" s="129" t="s">
        <v>5060</v>
      </c>
      <c r="G597" s="192">
        <v>3855321</v>
      </c>
      <c r="H597" s="139" t="s">
        <v>5061</v>
      </c>
      <c r="I597" s="139" t="s">
        <v>5061</v>
      </c>
      <c r="J597" s="139" t="s">
        <v>5062</v>
      </c>
      <c r="K597" s="139" t="s">
        <v>300</v>
      </c>
      <c r="L597" s="139"/>
      <c r="M597" s="139"/>
      <c r="N597" s="138"/>
      <c r="O597" s="139"/>
      <c r="P597" s="138"/>
      <c r="Q597" s="138"/>
      <c r="R597" s="138"/>
      <c r="S597" s="138"/>
      <c r="T597" s="130">
        <v>201.35</v>
      </c>
      <c r="U597" s="187"/>
      <c r="V597" s="185">
        <v>962.99975167618572</v>
      </c>
      <c r="W597" s="185">
        <v>1819.7008586099837</v>
      </c>
      <c r="X597" s="185">
        <f>IF(W597=0,V597,W597)</f>
        <v>1819.7008586099837</v>
      </c>
      <c r="Y597" s="194">
        <v>12.13</v>
      </c>
      <c r="Z597" s="130">
        <v>0.42</v>
      </c>
      <c r="AA597" s="130"/>
      <c r="AB597" s="130">
        <v>0.86</v>
      </c>
      <c r="AC597" s="130">
        <v>0.81279999999999997</v>
      </c>
      <c r="AD597" s="130">
        <v>0.85</v>
      </c>
      <c r="AE597" s="130">
        <v>0.8</v>
      </c>
      <c r="AF597" s="130">
        <f t="shared" si="206"/>
        <v>0.85</v>
      </c>
      <c r="AG597" s="131">
        <v>7.39</v>
      </c>
      <c r="AH597" s="187">
        <v>2.7899999999999999E-11</v>
      </c>
      <c r="AI597" s="187"/>
      <c r="AJ597" s="136">
        <f t="shared" si="207"/>
        <v>-8.9429621230390541</v>
      </c>
      <c r="AK597" s="136"/>
      <c r="AL597" s="136">
        <f t="shared" si="208"/>
        <v>-8.9429621230390541</v>
      </c>
      <c r="AM597" s="136">
        <v>-9.9258699999999997</v>
      </c>
      <c r="AN597" s="193">
        <v>-21.3</v>
      </c>
      <c r="AO597" s="481"/>
      <c r="AP597" s="481">
        <v>9.8800000000000008</v>
      </c>
      <c r="AQ597" s="193" t="s">
        <v>6311</v>
      </c>
      <c r="AR597" s="193" t="s">
        <v>6311</v>
      </c>
      <c r="AS597" s="191"/>
      <c r="AT597" s="132" t="s">
        <v>266</v>
      </c>
      <c r="AU597" s="130">
        <v>6</v>
      </c>
      <c r="AV597" s="130">
        <v>120</v>
      </c>
      <c r="AW597" s="130">
        <v>114</v>
      </c>
      <c r="AX597" s="130">
        <v>28</v>
      </c>
      <c r="AY597" s="130" t="s">
        <v>8728</v>
      </c>
      <c r="AZ597" s="130" t="s">
        <v>1563</v>
      </c>
      <c r="BA597" s="130">
        <v>32</v>
      </c>
      <c r="BB597" s="139" t="s">
        <v>2485</v>
      </c>
      <c r="BC597" s="139" t="s">
        <v>8726</v>
      </c>
      <c r="BD597" s="139" t="s">
        <v>8374</v>
      </c>
      <c r="BE597" s="130" t="s">
        <v>2449</v>
      </c>
      <c r="BF597" s="130" t="s">
        <v>272</v>
      </c>
      <c r="BG597" s="130" t="s">
        <v>272</v>
      </c>
      <c r="BH597" s="130" t="s">
        <v>2486</v>
      </c>
      <c r="BI597" s="187">
        <v>6.3999999999999997E-6</v>
      </c>
      <c r="BJ597" s="187">
        <v>6.4000000000000001E-2</v>
      </c>
      <c r="BK597" s="130"/>
      <c r="BL597" s="187">
        <f t="shared" si="201"/>
        <v>21.557480404291663</v>
      </c>
      <c r="BM597" s="139" t="s">
        <v>2487</v>
      </c>
      <c r="BN597" s="130"/>
      <c r="BO597" s="130"/>
      <c r="BP597" s="130"/>
      <c r="BQ597" s="130"/>
      <c r="BR597" s="139" t="s">
        <v>2496</v>
      </c>
      <c r="BS597" s="130"/>
      <c r="BT597" s="130"/>
      <c r="BU597" s="195"/>
      <c r="BV597" s="130"/>
      <c r="BW597" s="130"/>
      <c r="BX597" s="130"/>
      <c r="BY597" s="130"/>
      <c r="BZ597" s="130"/>
      <c r="CA597" s="130"/>
      <c r="CB597" s="130"/>
      <c r="CC597" s="130"/>
      <c r="CD597" s="130"/>
      <c r="CE597" s="130"/>
      <c r="CF597" s="130"/>
      <c r="CG597" s="130"/>
      <c r="CH597" s="130"/>
      <c r="CI597" s="187"/>
      <c r="CJ597" s="187"/>
      <c r="CK597" s="131">
        <f t="shared" si="205"/>
        <v>336.83563131705722</v>
      </c>
      <c r="CL597" s="188"/>
      <c r="CM597" s="188"/>
      <c r="CN597" s="188"/>
      <c r="CO597" s="139" t="s">
        <v>2488</v>
      </c>
      <c r="CP597" s="139" t="s">
        <v>2489</v>
      </c>
      <c r="CQ597" s="191" t="s">
        <v>272</v>
      </c>
      <c r="CR597" s="191"/>
      <c r="CS597" s="135" t="s">
        <v>539</v>
      </c>
      <c r="CT597" s="135"/>
      <c r="CU597" s="135"/>
      <c r="CV597" s="332">
        <f t="shared" si="202"/>
        <v>28432.825915780995</v>
      </c>
      <c r="CW597" s="329">
        <f t="shared" si="203"/>
        <v>1</v>
      </c>
      <c r="CX597" s="329"/>
      <c r="CY597" s="189" t="s">
        <v>6351</v>
      </c>
    </row>
    <row r="598" spans="1:103" ht="11.25" customHeight="1" x14ac:dyDescent="0.2">
      <c r="A598" s="72">
        <v>596</v>
      </c>
      <c r="B598" s="183">
        <v>1195</v>
      </c>
      <c r="C598" s="133" t="s">
        <v>6866</v>
      </c>
      <c r="D598" s="133"/>
      <c r="E598" s="134"/>
      <c r="F598" s="134" t="s">
        <v>1372</v>
      </c>
      <c r="G598" s="184">
        <v>4376209</v>
      </c>
      <c r="H598" s="138" t="s">
        <v>1373</v>
      </c>
      <c r="I598" s="138" t="s">
        <v>7939</v>
      </c>
      <c r="J598" s="138" t="s">
        <v>3296</v>
      </c>
      <c r="K598" s="138" t="s">
        <v>357</v>
      </c>
      <c r="L598" s="138"/>
      <c r="M598" s="138"/>
      <c r="N598" s="138"/>
      <c r="O598" s="138"/>
      <c r="P598" s="138"/>
      <c r="Q598" s="138"/>
      <c r="R598" s="138"/>
      <c r="S598" s="138"/>
      <c r="T598" s="135">
        <v>278.33999999999997</v>
      </c>
      <c r="U598" s="185"/>
      <c r="V598" s="185">
        <v>5.3603506502838258E-3</v>
      </c>
      <c r="W598" s="185">
        <v>0.26302679918953781</v>
      </c>
      <c r="X598" s="185">
        <f>IF(W598=0,V598,W598)</f>
        <v>0.26302679918953781</v>
      </c>
      <c r="Y598" s="204">
        <v>3.74</v>
      </c>
      <c r="Z598" s="135">
        <v>4.7300000000000004</v>
      </c>
      <c r="AA598" s="135"/>
      <c r="AB598" s="135">
        <v>5.09</v>
      </c>
      <c r="AC598" s="135">
        <v>0.60360000000000003</v>
      </c>
      <c r="AD598" s="135">
        <v>4.8899999999999997</v>
      </c>
      <c r="AE598" s="135">
        <v>4.67</v>
      </c>
      <c r="AF598" s="135">
        <f t="shared" si="206"/>
        <v>4.8899999999999997</v>
      </c>
      <c r="AG598" s="136">
        <v>4.3600000000000003</v>
      </c>
      <c r="AH598" s="185">
        <v>5.0799999999999998E-9</v>
      </c>
      <c r="AI598" s="185"/>
      <c r="AJ598" s="136">
        <f t="shared" si="207"/>
        <v>-6.6827026140287327</v>
      </c>
      <c r="AK598" s="136"/>
      <c r="AL598" s="136">
        <f t="shared" si="208"/>
        <v>-6.6827026140287327</v>
      </c>
      <c r="AM598" s="136">
        <v>-11.521489999999998</v>
      </c>
      <c r="AN598" s="186">
        <v>-5.93</v>
      </c>
      <c r="AO598" s="481">
        <v>3.37</v>
      </c>
      <c r="AP598" s="481"/>
      <c r="AQ598" s="135" t="s">
        <v>6311</v>
      </c>
      <c r="AR598" s="135" t="s">
        <v>6312</v>
      </c>
      <c r="AS598" s="190"/>
      <c r="AT598" s="137" t="s">
        <v>266</v>
      </c>
      <c r="AU598" s="135">
        <v>6</v>
      </c>
      <c r="AV598" s="135">
        <v>120</v>
      </c>
      <c r="AW598" s="135">
        <v>114</v>
      </c>
      <c r="AX598" s="135">
        <v>28</v>
      </c>
      <c r="AY598" s="135" t="s">
        <v>8728</v>
      </c>
      <c r="AZ598" s="135" t="s">
        <v>1563</v>
      </c>
      <c r="BA598" s="135">
        <v>32</v>
      </c>
      <c r="BB598" s="138" t="s">
        <v>2485</v>
      </c>
      <c r="BC598" s="138" t="s">
        <v>8726</v>
      </c>
      <c r="BD598" s="138" t="s">
        <v>8374</v>
      </c>
      <c r="BE598" s="135" t="s">
        <v>2449</v>
      </c>
      <c r="BF598" s="135" t="s">
        <v>272</v>
      </c>
      <c r="BG598" s="135" t="s">
        <v>272</v>
      </c>
      <c r="BH598" s="135" t="s">
        <v>2486</v>
      </c>
      <c r="BI598" s="185">
        <v>6.3999999999999997E-6</v>
      </c>
      <c r="BJ598" s="185">
        <v>6.4000000000000001E-2</v>
      </c>
      <c r="BK598" s="135"/>
      <c r="BL598" s="185">
        <f t="shared" si="201"/>
        <v>2.9025987239514567E-3</v>
      </c>
      <c r="BM598" s="138" t="s">
        <v>2487</v>
      </c>
      <c r="BN598" s="135"/>
      <c r="BO598" s="135"/>
      <c r="BP598" s="135"/>
      <c r="BQ598" s="135"/>
      <c r="BR598" s="138" t="s">
        <v>2496</v>
      </c>
      <c r="BS598" s="135"/>
      <c r="BT598" s="135"/>
      <c r="BU598" s="135">
        <v>6.4960000000000004E-2</v>
      </c>
      <c r="BV598" s="135"/>
      <c r="BW598" s="135"/>
      <c r="BX598" s="135"/>
      <c r="BY598" s="135"/>
      <c r="BZ598" s="135"/>
      <c r="CA598" s="135"/>
      <c r="CB598" s="135"/>
      <c r="CC598" s="135"/>
      <c r="CD598" s="135"/>
      <c r="CE598" s="135"/>
      <c r="CF598" s="135"/>
      <c r="CG598" s="135"/>
      <c r="CH598" s="135"/>
      <c r="CI598" s="185"/>
      <c r="CJ598" s="187"/>
      <c r="CK598" s="136">
        <f t="shared" si="205"/>
        <v>4.5353105061741512E-2</v>
      </c>
      <c r="CL598" s="188"/>
      <c r="CM598" s="188"/>
      <c r="CN598" s="188"/>
      <c r="CO598" s="138" t="s">
        <v>2488</v>
      </c>
      <c r="CP598" s="138" t="s">
        <v>2489</v>
      </c>
      <c r="CQ598" s="191" t="s">
        <v>272</v>
      </c>
      <c r="CR598" s="191"/>
      <c r="CS598" s="135" t="s">
        <v>539</v>
      </c>
      <c r="CT598" s="135"/>
      <c r="CU598" s="135"/>
      <c r="CV598" s="332">
        <f t="shared" si="202"/>
        <v>4.1097937373365285</v>
      </c>
      <c r="CW598" s="329">
        <f t="shared" si="203"/>
        <v>1</v>
      </c>
      <c r="CX598" s="329"/>
      <c r="CY598" s="189" t="s">
        <v>5921</v>
      </c>
    </row>
    <row r="599" spans="1:103" ht="11.25" customHeight="1" x14ac:dyDescent="0.2">
      <c r="A599" s="72">
        <v>597</v>
      </c>
      <c r="B599" s="183">
        <v>1209</v>
      </c>
      <c r="C599" s="133" t="s">
        <v>6867</v>
      </c>
      <c r="D599" s="133"/>
      <c r="E599" s="134"/>
      <c r="F599" s="134" t="s">
        <v>3334</v>
      </c>
      <c r="G599" s="184">
        <v>4455269</v>
      </c>
      <c r="H599" s="138" t="s">
        <v>3335</v>
      </c>
      <c r="I599" s="138" t="s">
        <v>3335</v>
      </c>
      <c r="J599" s="138" t="s">
        <v>3336</v>
      </c>
      <c r="K599" s="138" t="s">
        <v>300</v>
      </c>
      <c r="L599" s="138"/>
      <c r="M599" s="138"/>
      <c r="N599" s="138"/>
      <c r="O599" s="138"/>
      <c r="P599" s="138"/>
      <c r="Q599" s="138"/>
      <c r="R599" s="138"/>
      <c r="S599" s="138"/>
      <c r="T599" s="135">
        <v>255.48</v>
      </c>
      <c r="U599" s="185"/>
      <c r="V599" s="185">
        <v>1.0951933615155785E-3</v>
      </c>
      <c r="W599" s="185">
        <v>8.5113803820237491E-2</v>
      </c>
      <c r="X599" s="185">
        <f>IF(W599=0,V599,W599)</f>
        <v>8.5113803820237491E-2</v>
      </c>
      <c r="Y599" s="204">
        <v>9.7100000000000009</v>
      </c>
      <c r="Z599" s="135">
        <v>6.91</v>
      </c>
      <c r="AA599" s="135"/>
      <c r="AB599" s="135">
        <v>7.01</v>
      </c>
      <c r="AC599" s="135">
        <v>0.74739999999999995</v>
      </c>
      <c r="AD599" s="135">
        <v>7.19</v>
      </c>
      <c r="AE599" s="135">
        <v>7.5</v>
      </c>
      <c r="AF599" s="135">
        <f t="shared" si="206"/>
        <v>7.19</v>
      </c>
      <c r="AG599" s="136">
        <v>6.25</v>
      </c>
      <c r="AH599" s="185">
        <v>1.9300000000000001E-3</v>
      </c>
      <c r="AI599" s="185"/>
      <c r="AJ599" s="136">
        <f t="shared" si="207"/>
        <v>-1.1030090173048781</v>
      </c>
      <c r="AK599" s="136"/>
      <c r="AL599" s="136">
        <f t="shared" si="208"/>
        <v>-1.1030090173048781</v>
      </c>
      <c r="AM599" s="136">
        <v>-4.5737499999999995</v>
      </c>
      <c r="AN599" s="186">
        <v>-0.45100000000000001</v>
      </c>
      <c r="AO599" s="481"/>
      <c r="AP599" s="481">
        <v>9.9700000000000006</v>
      </c>
      <c r="AQ599" s="135" t="s">
        <v>6311</v>
      </c>
      <c r="AR599" s="135" t="s">
        <v>6311</v>
      </c>
      <c r="AS599" s="190"/>
      <c r="AT599" s="137" t="s">
        <v>266</v>
      </c>
      <c r="AU599" s="135">
        <v>6</v>
      </c>
      <c r="AV599" s="135">
        <v>120</v>
      </c>
      <c r="AW599" s="135">
        <v>114</v>
      </c>
      <c r="AX599" s="135">
        <v>28</v>
      </c>
      <c r="AY599" s="135" t="s">
        <v>8728</v>
      </c>
      <c r="AZ599" s="135" t="s">
        <v>1563</v>
      </c>
      <c r="BA599" s="135">
        <v>32</v>
      </c>
      <c r="BB599" s="138" t="s">
        <v>2485</v>
      </c>
      <c r="BC599" s="138" t="s">
        <v>8726</v>
      </c>
      <c r="BD599" s="138" t="s">
        <v>8374</v>
      </c>
      <c r="BE599" s="135" t="s">
        <v>2449</v>
      </c>
      <c r="BF599" s="135" t="s">
        <v>272</v>
      </c>
      <c r="BG599" s="135" t="s">
        <v>272</v>
      </c>
      <c r="BH599" s="135" t="s">
        <v>2486</v>
      </c>
      <c r="BI599" s="185">
        <v>6.3999999999999997E-6</v>
      </c>
      <c r="BJ599" s="185">
        <v>6.4000000000000001E-2</v>
      </c>
      <c r="BK599" s="135"/>
      <c r="BL599" s="185">
        <f t="shared" si="201"/>
        <v>3.1983721857355427E-5</v>
      </c>
      <c r="BM599" s="138" t="s">
        <v>2487</v>
      </c>
      <c r="BN599" s="135"/>
      <c r="BO599" s="135"/>
      <c r="BP599" s="135"/>
      <c r="BQ599" s="135"/>
      <c r="BR599" s="138" t="s">
        <v>2496</v>
      </c>
      <c r="BS599" s="135"/>
      <c r="BT599" s="135"/>
      <c r="BU599" s="135">
        <v>6.4640000000000003E-2</v>
      </c>
      <c r="BV599" s="135"/>
      <c r="BW599" s="135"/>
      <c r="BX599" s="135"/>
      <c r="BY599" s="135"/>
      <c r="BZ599" s="135"/>
      <c r="CA599" s="135"/>
      <c r="CB599" s="135"/>
      <c r="CC599" s="135"/>
      <c r="CD599" s="135"/>
      <c r="CE599" s="135"/>
      <c r="CF599" s="135"/>
      <c r="CG599" s="135"/>
      <c r="CH599" s="135"/>
      <c r="CI599" s="185"/>
      <c r="CJ599" s="187"/>
      <c r="CK599" s="136">
        <f t="shared" si="205"/>
        <v>4.9974565402117858E-4</v>
      </c>
      <c r="CL599" s="188"/>
      <c r="CM599" s="188"/>
      <c r="CN599" s="188"/>
      <c r="CO599" s="138" t="s">
        <v>2488</v>
      </c>
      <c r="CP599" s="138" t="s">
        <v>2489</v>
      </c>
      <c r="CQ599" s="191" t="s">
        <v>272</v>
      </c>
      <c r="CR599" s="191"/>
      <c r="CS599" s="135" t="s">
        <v>539</v>
      </c>
      <c r="CT599" s="135"/>
      <c r="CU599" s="135"/>
      <c r="CV599" s="332">
        <f t="shared" si="202"/>
        <v>1.3299031846912108</v>
      </c>
      <c r="CW599" s="329">
        <f t="shared" si="203"/>
        <v>1</v>
      </c>
      <c r="CX599" s="329"/>
      <c r="CY599" s="189" t="s">
        <v>5921</v>
      </c>
    </row>
    <row r="600" spans="1:103" ht="11.25" customHeight="1" x14ac:dyDescent="0.2">
      <c r="A600" s="72">
        <v>598</v>
      </c>
      <c r="B600" s="191">
        <v>270</v>
      </c>
      <c r="C600" s="128" t="s">
        <v>2092</v>
      </c>
      <c r="D600" s="128" t="s">
        <v>6594</v>
      </c>
      <c r="E600" s="129"/>
      <c r="F600" s="129" t="s">
        <v>2093</v>
      </c>
      <c r="G600" s="192">
        <v>52315078</v>
      </c>
      <c r="H600" s="139" t="s">
        <v>2094</v>
      </c>
      <c r="I600" s="139" t="s">
        <v>7906</v>
      </c>
      <c r="J600" s="139" t="s">
        <v>2095</v>
      </c>
      <c r="K600" s="139" t="s">
        <v>2086</v>
      </c>
      <c r="L600" s="139" t="s">
        <v>617</v>
      </c>
      <c r="M600" s="139" t="s">
        <v>1086</v>
      </c>
      <c r="N600" s="138" t="s">
        <v>6376</v>
      </c>
      <c r="O600" s="139" t="s">
        <v>918</v>
      </c>
      <c r="P600" s="138"/>
      <c r="Q600" s="138"/>
      <c r="R600" s="138"/>
      <c r="S600" s="138"/>
      <c r="T600" s="130">
        <v>416.3</v>
      </c>
      <c r="U600" s="187">
        <v>2.7624309392265195E-4</v>
      </c>
      <c r="V600" s="187">
        <v>3.7448955080470816E-6</v>
      </c>
      <c r="W600" s="187">
        <v>1.1220184543019621E-4</v>
      </c>
      <c r="X600" s="187">
        <v>2.7624309392265195E-4</v>
      </c>
      <c r="Y600" s="194">
        <v>7</v>
      </c>
      <c r="Z600" s="130">
        <v>6.38</v>
      </c>
      <c r="AA600" s="130">
        <v>6.94</v>
      </c>
      <c r="AB600" s="130">
        <v>6.02</v>
      </c>
      <c r="AC600" s="130">
        <v>0.95830000000000004</v>
      </c>
      <c r="AD600" s="130">
        <v>6.05</v>
      </c>
      <c r="AE600" s="130">
        <v>6.27</v>
      </c>
      <c r="AF600" s="130">
        <f t="shared" si="206"/>
        <v>6.94</v>
      </c>
      <c r="AG600" s="131">
        <v>5.09</v>
      </c>
      <c r="AH600" s="187">
        <v>7.8899999999999998E-7</v>
      </c>
      <c r="AI600" s="187">
        <v>4.2E-7</v>
      </c>
      <c r="AJ600" s="136">
        <f t="shared" si="207"/>
        <v>-4.4914893231032318</v>
      </c>
      <c r="AK600" s="136">
        <f>LOG10(AI600*1000/(0.08206*298.15))</f>
        <v>-4.7653170359147516</v>
      </c>
      <c r="AL600" s="136">
        <f t="shared" si="208"/>
        <v>-4.7653170359147516</v>
      </c>
      <c r="AM600" s="136">
        <v>-15.410480000000002</v>
      </c>
      <c r="AN600" s="193">
        <v>-4.5599999999999996</v>
      </c>
      <c r="AO600" s="481"/>
      <c r="AP600" s="481"/>
      <c r="AQ600" s="193" t="s">
        <v>6311</v>
      </c>
      <c r="AR600" s="193" t="s">
        <v>6312</v>
      </c>
      <c r="AS600" s="191" t="s">
        <v>6</v>
      </c>
      <c r="AT600" s="132" t="s">
        <v>266</v>
      </c>
      <c r="AU600" s="130">
        <v>8</v>
      </c>
      <c r="AV600" s="130">
        <v>144</v>
      </c>
      <c r="AW600" s="130">
        <v>120</v>
      </c>
      <c r="AX600" s="130">
        <v>26</v>
      </c>
      <c r="AY600" s="130" t="s">
        <v>267</v>
      </c>
      <c r="AZ600" s="130" t="s">
        <v>2253</v>
      </c>
      <c r="BA600" s="130">
        <v>2</v>
      </c>
      <c r="BB600" s="139" t="s">
        <v>2254</v>
      </c>
      <c r="BC600" s="139" t="s">
        <v>270</v>
      </c>
      <c r="BD600" s="139" t="s">
        <v>8374</v>
      </c>
      <c r="BE600" s="130" t="s">
        <v>1712</v>
      </c>
      <c r="BF600" s="130" t="s">
        <v>272</v>
      </c>
      <c r="BG600" s="130" t="s">
        <v>272</v>
      </c>
      <c r="BH600" s="130" t="s">
        <v>2255</v>
      </c>
      <c r="BI600" s="187">
        <v>9.9999999999999995E-7</v>
      </c>
      <c r="BJ600" s="187">
        <v>0.08</v>
      </c>
      <c r="BK600" s="130"/>
      <c r="BL600" s="187">
        <f t="shared" si="201"/>
        <v>9.570221731095291E-5</v>
      </c>
      <c r="BM600" s="130" t="s">
        <v>891</v>
      </c>
      <c r="BN600" s="194"/>
      <c r="BO600" s="194"/>
      <c r="BP600" s="194"/>
      <c r="BQ600" s="194"/>
      <c r="BR600" s="194"/>
      <c r="BS600" s="130"/>
      <c r="BT600" s="194"/>
      <c r="BU600" s="195"/>
      <c r="BV600" s="194"/>
      <c r="BW600" s="194"/>
      <c r="BX600" s="194"/>
      <c r="BY600" s="194"/>
      <c r="BZ600" s="194"/>
      <c r="CA600" s="194"/>
      <c r="CB600" s="194"/>
      <c r="CC600" s="130"/>
      <c r="CD600" s="203"/>
      <c r="CE600" s="203"/>
      <c r="CF600" s="203"/>
      <c r="CG600" s="194"/>
      <c r="CH600" s="130"/>
      <c r="CI600" s="187"/>
      <c r="CJ600" s="187"/>
      <c r="CK600" s="131">
        <f t="shared" si="205"/>
        <v>1.1962777163869113E-3</v>
      </c>
      <c r="CL600" s="188"/>
      <c r="CM600" s="188">
        <v>-5.3911759078850627</v>
      </c>
      <c r="CN600" s="188">
        <f>BJ600/(10^CM600)</f>
        <v>19690.914882909634</v>
      </c>
      <c r="CO600" s="139" t="s">
        <v>892</v>
      </c>
      <c r="CP600" s="139" t="s">
        <v>893</v>
      </c>
      <c r="CQ600" s="191">
        <v>-5.3240904654321648</v>
      </c>
      <c r="CR600" s="191">
        <f>10^(CJ600-CQ600)</f>
        <v>210906.74321117316</v>
      </c>
      <c r="CS600" s="135" t="s">
        <v>539</v>
      </c>
      <c r="CT600" s="135"/>
      <c r="CU600" s="135"/>
      <c r="CV600" s="332">
        <f t="shared" si="202"/>
        <v>3.4530386740331495E-3</v>
      </c>
      <c r="CW600" s="329">
        <f t="shared" si="203"/>
        <v>0</v>
      </c>
      <c r="CX600" s="329" t="s">
        <v>539</v>
      </c>
      <c r="CY600" s="189" t="s">
        <v>5921</v>
      </c>
    </row>
    <row r="601" spans="1:103" ht="11.25" customHeight="1" x14ac:dyDescent="0.2">
      <c r="A601" s="72">
        <v>599</v>
      </c>
      <c r="B601" s="191">
        <v>1457</v>
      </c>
      <c r="C601" s="128" t="s">
        <v>6868</v>
      </c>
      <c r="D601" s="128"/>
      <c r="E601" s="129"/>
      <c r="F601" s="129" t="s">
        <v>4479</v>
      </c>
      <c r="G601" s="192">
        <v>5877429</v>
      </c>
      <c r="H601" s="139" t="s">
        <v>4480</v>
      </c>
      <c r="I601" s="139" t="s">
        <v>7940</v>
      </c>
      <c r="J601" s="139" t="s">
        <v>4481</v>
      </c>
      <c r="K601" s="139" t="s">
        <v>4482</v>
      </c>
      <c r="L601" s="139"/>
      <c r="M601" s="139"/>
      <c r="N601" s="138"/>
      <c r="O601" s="139"/>
      <c r="P601" s="138"/>
      <c r="Q601" s="138"/>
      <c r="R601" s="138"/>
      <c r="S601" s="138"/>
      <c r="T601" s="130">
        <v>154.25</v>
      </c>
      <c r="U601" s="187"/>
      <c r="V601" s="185">
        <v>5.4061588330632091</v>
      </c>
      <c r="W601" s="185">
        <v>3.8018939632056123</v>
      </c>
      <c r="X601" s="185">
        <f>IF(W601=0,V601,W601)</f>
        <v>3.8018939632056123</v>
      </c>
      <c r="Y601" s="194">
        <v>6.99</v>
      </c>
      <c r="Z601" s="130">
        <v>2.87</v>
      </c>
      <c r="AA601" s="130"/>
      <c r="AB601" s="130">
        <v>2.62</v>
      </c>
      <c r="AC601" s="130">
        <v>0.85450000000000004</v>
      </c>
      <c r="AD601" s="130">
        <v>2.71</v>
      </c>
      <c r="AE601" s="130">
        <v>2.97</v>
      </c>
      <c r="AF601" s="130">
        <f t="shared" si="206"/>
        <v>2.71</v>
      </c>
      <c r="AG601" s="131">
        <v>7.6</v>
      </c>
      <c r="AH601" s="187">
        <v>4.2699999999999998E-6</v>
      </c>
      <c r="AI601" s="187"/>
      <c r="AJ601" s="136">
        <f t="shared" si="207"/>
        <v>-3.7581384512876279</v>
      </c>
      <c r="AK601" s="136"/>
      <c r="AL601" s="136">
        <f t="shared" si="208"/>
        <v>-3.7581384512876279</v>
      </c>
      <c r="AM601" s="136">
        <v>-5.5991000000000009</v>
      </c>
      <c r="AN601" s="193">
        <v>-23.6</v>
      </c>
      <c r="AO601" s="481">
        <v>13.09</v>
      </c>
      <c r="AP601" s="481"/>
      <c r="AQ601" s="130" t="s">
        <v>6311</v>
      </c>
      <c r="AR601" s="130" t="s">
        <v>6311</v>
      </c>
      <c r="AS601" s="198"/>
      <c r="AT601" s="132" t="s">
        <v>266</v>
      </c>
      <c r="AU601" s="130">
        <v>6</v>
      </c>
      <c r="AV601" s="130">
        <v>120</v>
      </c>
      <c r="AW601" s="130">
        <v>114</v>
      </c>
      <c r="AX601" s="130">
        <v>28</v>
      </c>
      <c r="AY601" s="130" t="s">
        <v>8728</v>
      </c>
      <c r="AZ601" s="130" t="s">
        <v>1563</v>
      </c>
      <c r="BA601" s="130">
        <v>32</v>
      </c>
      <c r="BB601" s="139" t="s">
        <v>2485</v>
      </c>
      <c r="BC601" s="139" t="s">
        <v>8726</v>
      </c>
      <c r="BD601" s="139" t="s">
        <v>8374</v>
      </c>
      <c r="BE601" s="130" t="s">
        <v>2449</v>
      </c>
      <c r="BF601" s="130" t="s">
        <v>272</v>
      </c>
      <c r="BG601" s="130" t="s">
        <v>272</v>
      </c>
      <c r="BH601" s="130" t="s">
        <v>2486</v>
      </c>
      <c r="BI601" s="187">
        <v>6.3999999999999997E-6</v>
      </c>
      <c r="BJ601" s="187">
        <v>6.4000000000000001E-2</v>
      </c>
      <c r="BK601" s="130"/>
      <c r="BL601" s="187">
        <f t="shared" si="201"/>
        <v>0.13591049680871009</v>
      </c>
      <c r="BM601" s="139" t="s">
        <v>2487</v>
      </c>
      <c r="BN601" s="130"/>
      <c r="BO601" s="130"/>
      <c r="BP601" s="130"/>
      <c r="BQ601" s="130"/>
      <c r="BR601" s="139" t="s">
        <v>2496</v>
      </c>
      <c r="BS601" s="130"/>
      <c r="BT601" s="130"/>
      <c r="BU601" s="195"/>
      <c r="BV601" s="130"/>
      <c r="BW601" s="130"/>
      <c r="BX601" s="130"/>
      <c r="BY601" s="130"/>
      <c r="BZ601" s="130"/>
      <c r="CA601" s="130"/>
      <c r="CB601" s="130"/>
      <c r="CC601" s="130"/>
      <c r="CD601" s="130"/>
      <c r="CE601" s="130"/>
      <c r="CF601" s="130"/>
      <c r="CG601" s="130"/>
      <c r="CH601" s="130"/>
      <c r="CI601" s="187"/>
      <c r="CJ601" s="187"/>
      <c r="CK601" s="131">
        <f t="shared" si="205"/>
        <v>2.1236015126360952</v>
      </c>
      <c r="CL601" s="188"/>
      <c r="CM601" s="188"/>
      <c r="CN601" s="188"/>
      <c r="CO601" s="139" t="s">
        <v>2488</v>
      </c>
      <c r="CP601" s="139" t="s">
        <v>2489</v>
      </c>
      <c r="CQ601" s="191" t="s">
        <v>272</v>
      </c>
      <c r="CR601" s="191"/>
      <c r="CS601" s="135" t="s">
        <v>539</v>
      </c>
      <c r="CT601" s="135"/>
      <c r="CU601" s="135"/>
      <c r="CV601" s="332">
        <f t="shared" si="202"/>
        <v>59.40459317508769</v>
      </c>
      <c r="CW601" s="329">
        <f t="shared" si="203"/>
        <v>1</v>
      </c>
      <c r="CX601" s="329"/>
      <c r="CY601" s="189" t="s">
        <v>5921</v>
      </c>
    </row>
    <row r="602" spans="1:103" ht="11.25" customHeight="1" x14ac:dyDescent="0.2">
      <c r="A602" s="72">
        <v>600</v>
      </c>
      <c r="B602" s="183">
        <v>1529</v>
      </c>
      <c r="C602" s="133" t="s">
        <v>6869</v>
      </c>
      <c r="D602" s="133"/>
      <c r="E602" s="134"/>
      <c r="F602" s="134" t="s">
        <v>4639</v>
      </c>
      <c r="G602" s="184">
        <v>6422862</v>
      </c>
      <c r="H602" s="138" t="s">
        <v>4640</v>
      </c>
      <c r="I602" s="138" t="s">
        <v>4640</v>
      </c>
      <c r="J602" s="138" t="s">
        <v>4641</v>
      </c>
      <c r="K602" s="138" t="s">
        <v>357</v>
      </c>
      <c r="L602" s="140"/>
      <c r="M602" s="138"/>
      <c r="N602" s="138"/>
      <c r="O602" s="138"/>
      <c r="P602" s="138"/>
      <c r="Q602" s="138"/>
      <c r="R602" s="138"/>
      <c r="S602" s="138"/>
      <c r="T602" s="135">
        <v>390.56</v>
      </c>
      <c r="U602" s="185">
        <v>1.0241704219582138E-2</v>
      </c>
      <c r="V602" s="185">
        <v>6.1117369930356407E-7</v>
      </c>
      <c r="W602" s="185">
        <v>1.3182567385564047E-4</v>
      </c>
      <c r="X602" s="185">
        <v>1.0241704219582138E-2</v>
      </c>
      <c r="Y602" s="204">
        <v>7</v>
      </c>
      <c r="Z602" s="135">
        <v>8.39</v>
      </c>
      <c r="AA602" s="135"/>
      <c r="AB602" s="135">
        <v>7.44</v>
      </c>
      <c r="AC602" s="135">
        <v>0.71960000000000002</v>
      </c>
      <c r="AD602" s="135">
        <v>8.2100000000000009</v>
      </c>
      <c r="AE602" s="135">
        <v>9.5399999999999991</v>
      </c>
      <c r="AF602" s="135">
        <f t="shared" si="206"/>
        <v>8.2100000000000009</v>
      </c>
      <c r="AG602" s="136">
        <v>7.12</v>
      </c>
      <c r="AH602" s="185">
        <v>1.1800000000000001E-5</v>
      </c>
      <c r="AI602" s="185"/>
      <c r="AJ602" s="136">
        <f t="shared" si="207"/>
        <v>-3.3166843190065265</v>
      </c>
      <c r="AK602" s="136"/>
      <c r="AL602" s="136">
        <f t="shared" si="208"/>
        <v>-3.3166843190065265</v>
      </c>
      <c r="AM602" s="136">
        <v>-10.153320000000001</v>
      </c>
      <c r="AN602" s="186">
        <v>-3.61</v>
      </c>
      <c r="AO602" s="481"/>
      <c r="AP602" s="481"/>
      <c r="AQ602" s="135" t="s">
        <v>6311</v>
      </c>
      <c r="AR602" s="135" t="s">
        <v>6312</v>
      </c>
      <c r="AS602" s="190"/>
      <c r="AT602" s="137" t="s">
        <v>266</v>
      </c>
      <c r="AU602" s="135">
        <v>6</v>
      </c>
      <c r="AV602" s="135">
        <v>120</v>
      </c>
      <c r="AW602" s="135">
        <v>114</v>
      </c>
      <c r="AX602" s="135">
        <v>28</v>
      </c>
      <c r="AY602" s="135" t="s">
        <v>8728</v>
      </c>
      <c r="AZ602" s="135" t="s">
        <v>1563</v>
      </c>
      <c r="BA602" s="135">
        <v>32</v>
      </c>
      <c r="BB602" s="138" t="s">
        <v>2485</v>
      </c>
      <c r="BC602" s="138" t="s">
        <v>8726</v>
      </c>
      <c r="BD602" s="138" t="s">
        <v>8374</v>
      </c>
      <c r="BE602" s="135" t="s">
        <v>2449</v>
      </c>
      <c r="BF602" s="135" t="s">
        <v>272</v>
      </c>
      <c r="BG602" s="135" t="s">
        <v>272</v>
      </c>
      <c r="BH602" s="135" t="s">
        <v>2486</v>
      </c>
      <c r="BI602" s="185">
        <v>6.3999999999999997E-6</v>
      </c>
      <c r="BJ602" s="185">
        <v>6.4000000000000001E-2</v>
      </c>
      <c r="BK602" s="135"/>
      <c r="BL602" s="185">
        <f t="shared" si="201"/>
        <v>1.4987907357816669E-6</v>
      </c>
      <c r="BM602" s="138" t="s">
        <v>2487</v>
      </c>
      <c r="BN602" s="135"/>
      <c r="BO602" s="135"/>
      <c r="BP602" s="135"/>
      <c r="BQ602" s="135"/>
      <c r="BR602" s="138" t="s">
        <v>2496</v>
      </c>
      <c r="BS602" s="135"/>
      <c r="BT602" s="135"/>
      <c r="BU602" s="135"/>
      <c r="BV602" s="135"/>
      <c r="BW602" s="135"/>
      <c r="BX602" s="135"/>
      <c r="BY602" s="135"/>
      <c r="BZ602" s="135"/>
      <c r="CA602" s="135"/>
      <c r="CB602" s="135"/>
      <c r="CC602" s="135"/>
      <c r="CD602" s="135"/>
      <c r="CE602" s="135"/>
      <c r="CF602" s="135"/>
      <c r="CG602" s="135"/>
      <c r="CH602" s="135"/>
      <c r="CI602" s="185"/>
      <c r="CJ602" s="187"/>
      <c r="CK602" s="136">
        <f t="shared" si="205"/>
        <v>2.3418605246588543E-5</v>
      </c>
      <c r="CL602" s="188"/>
      <c r="CM602" s="188"/>
      <c r="CN602" s="188"/>
      <c r="CO602" s="138" t="s">
        <v>2488</v>
      </c>
      <c r="CP602" s="138" t="s">
        <v>2489</v>
      </c>
      <c r="CQ602" s="191" t="s">
        <v>272</v>
      </c>
      <c r="CR602" s="191"/>
      <c r="CS602" s="135" t="s">
        <v>539</v>
      </c>
      <c r="CT602" s="135"/>
      <c r="CU602" s="135"/>
      <c r="CV602" s="332">
        <f t="shared" si="202"/>
        <v>0.1600266284309709</v>
      </c>
      <c r="CW602" s="329">
        <f t="shared" si="203"/>
        <v>0</v>
      </c>
      <c r="CX602" s="329"/>
      <c r="CY602" s="189" t="s">
        <v>6351</v>
      </c>
    </row>
    <row r="603" spans="1:103" ht="11.25" customHeight="1" x14ac:dyDescent="0.2">
      <c r="A603" s="72">
        <v>601</v>
      </c>
      <c r="B603" s="183">
        <v>1808</v>
      </c>
      <c r="C603" s="133" t="s">
        <v>6870</v>
      </c>
      <c r="D603" s="133"/>
      <c r="E603" s="134"/>
      <c r="F603" s="134" t="s">
        <v>5195</v>
      </c>
      <c r="G603" s="184">
        <v>6624733</v>
      </c>
      <c r="H603" s="138" t="s">
        <v>5196</v>
      </c>
      <c r="I603" s="138" t="s">
        <v>7835</v>
      </c>
      <c r="J603" s="138" t="s">
        <v>5197</v>
      </c>
      <c r="K603" s="138" t="s">
        <v>2690</v>
      </c>
      <c r="L603" s="138"/>
      <c r="M603" s="138"/>
      <c r="N603" s="138"/>
      <c r="O603" s="138"/>
      <c r="P603" s="138"/>
      <c r="Q603" s="138"/>
      <c r="R603" s="138"/>
      <c r="S603" s="138"/>
      <c r="T603" s="135">
        <v>574.77</v>
      </c>
      <c r="U603" s="185"/>
      <c r="V603" s="185"/>
      <c r="W603" s="185">
        <v>5.1286138399136436E-3</v>
      </c>
      <c r="X603" s="185">
        <f>IF(W603=0,V603,W603)</f>
        <v>5.1286138399136436E-3</v>
      </c>
      <c r="Y603" s="204">
        <v>8.5</v>
      </c>
      <c r="Z603" s="135"/>
      <c r="AA603" s="135"/>
      <c r="AB603" s="135">
        <v>5.52</v>
      </c>
      <c r="AC603" s="135">
        <v>0.59250000000000003</v>
      </c>
      <c r="AD603" s="135">
        <v>5.84</v>
      </c>
      <c r="AE603" s="135">
        <v>6.27</v>
      </c>
      <c r="AF603" s="135">
        <f t="shared" si="206"/>
        <v>5.84</v>
      </c>
      <c r="AG603" s="136">
        <v>6.65</v>
      </c>
      <c r="AH603" s="185">
        <v>1.55E-16</v>
      </c>
      <c r="AI603" s="185"/>
      <c r="AJ603" s="136">
        <f t="shared" si="207"/>
        <v>-14.198234628142361</v>
      </c>
      <c r="AK603" s="136"/>
      <c r="AL603" s="136">
        <f t="shared" si="208"/>
        <v>-14.198234628142361</v>
      </c>
      <c r="AM603" s="136">
        <v>-24.725239999999996</v>
      </c>
      <c r="AN603" s="186">
        <v>-17</v>
      </c>
      <c r="AO603" s="481">
        <v>2.35</v>
      </c>
      <c r="AP603" s="481">
        <v>10.46</v>
      </c>
      <c r="AQ603" s="186" t="s">
        <v>6311</v>
      </c>
      <c r="AR603" s="186" t="s">
        <v>6311</v>
      </c>
      <c r="AS603" s="183"/>
      <c r="AT603" s="137" t="s">
        <v>266</v>
      </c>
      <c r="AU603" s="135">
        <v>6</v>
      </c>
      <c r="AV603" s="135">
        <v>120</v>
      </c>
      <c r="AW603" s="135">
        <v>114</v>
      </c>
      <c r="AX603" s="135">
        <v>28</v>
      </c>
      <c r="AY603" s="135" t="s">
        <v>8728</v>
      </c>
      <c r="AZ603" s="135" t="s">
        <v>1563</v>
      </c>
      <c r="BA603" s="135">
        <v>32</v>
      </c>
      <c r="BB603" s="138" t="s">
        <v>2485</v>
      </c>
      <c r="BC603" s="138" t="s">
        <v>8726</v>
      </c>
      <c r="BD603" s="138" t="s">
        <v>8374</v>
      </c>
      <c r="BE603" s="135" t="s">
        <v>2449</v>
      </c>
      <c r="BF603" s="135" t="s">
        <v>272</v>
      </c>
      <c r="BG603" s="135" t="s">
        <v>272</v>
      </c>
      <c r="BH603" s="135" t="s">
        <v>2486</v>
      </c>
      <c r="BI603" s="185">
        <v>6.3999999999999997E-6</v>
      </c>
      <c r="BJ603" s="185">
        <v>6.4000000000000001E-2</v>
      </c>
      <c r="BK603" s="135"/>
      <c r="BL603" s="185"/>
      <c r="BM603" s="138" t="s">
        <v>2487</v>
      </c>
      <c r="BN603" s="135"/>
      <c r="BO603" s="135"/>
      <c r="BP603" s="135"/>
      <c r="BQ603" s="135"/>
      <c r="BR603" s="138" t="s">
        <v>2496</v>
      </c>
      <c r="BS603" s="135"/>
      <c r="BT603" s="135"/>
      <c r="BU603" s="135"/>
      <c r="BV603" s="135"/>
      <c r="BW603" s="135"/>
      <c r="BX603" s="135"/>
      <c r="BY603" s="135"/>
      <c r="BZ603" s="135"/>
      <c r="CA603" s="135"/>
      <c r="CB603" s="135"/>
      <c r="CC603" s="135"/>
      <c r="CD603" s="135"/>
      <c r="CE603" s="135"/>
      <c r="CF603" s="135"/>
      <c r="CG603" s="135"/>
      <c r="CH603" s="135"/>
      <c r="CI603" s="185"/>
      <c r="CJ603" s="187"/>
      <c r="CK603" s="136">
        <f t="shared" si="205"/>
        <v>0</v>
      </c>
      <c r="CL603" s="188"/>
      <c r="CM603" s="188"/>
      <c r="CN603" s="188"/>
      <c r="CO603" s="138" t="s">
        <v>2488</v>
      </c>
      <c r="CP603" s="138" t="s">
        <v>2489</v>
      </c>
      <c r="CQ603" s="191" t="s">
        <v>272</v>
      </c>
      <c r="CR603" s="191"/>
      <c r="CS603" s="135" t="s">
        <v>539</v>
      </c>
      <c r="CT603" s="135"/>
      <c r="CU603" s="135"/>
      <c r="CV603" s="332">
        <f t="shared" si="202"/>
        <v>8.0134591248650675E-2</v>
      </c>
      <c r="CW603" s="329">
        <f t="shared" si="203"/>
        <v>0</v>
      </c>
      <c r="CX603" s="329"/>
      <c r="CY603" s="189" t="s">
        <v>5921</v>
      </c>
    </row>
    <row r="604" spans="1:103" ht="11.25" customHeight="1" x14ac:dyDescent="0.2">
      <c r="A604" s="72">
        <v>602</v>
      </c>
      <c r="B604" s="183">
        <v>1084</v>
      </c>
      <c r="C604" s="133" t="s">
        <v>2092</v>
      </c>
      <c r="D604" s="133" t="s">
        <v>6594</v>
      </c>
      <c r="E604" s="134"/>
      <c r="F604" s="134" t="s">
        <v>2093</v>
      </c>
      <c r="G604" s="184">
        <v>52315078</v>
      </c>
      <c r="H604" s="138" t="s">
        <v>2094</v>
      </c>
      <c r="I604" s="138" t="s">
        <v>7906</v>
      </c>
      <c r="J604" s="138" t="s">
        <v>2095</v>
      </c>
      <c r="K604" s="138" t="s">
        <v>2086</v>
      </c>
      <c r="L604" s="138" t="s">
        <v>617</v>
      </c>
      <c r="M604" s="138" t="s">
        <v>1086</v>
      </c>
      <c r="N604" s="138" t="s">
        <v>6376</v>
      </c>
      <c r="O604" s="138" t="s">
        <v>918</v>
      </c>
      <c r="P604" s="138"/>
      <c r="Q604" s="138"/>
      <c r="R604" s="138"/>
      <c r="S604" s="138"/>
      <c r="T604" s="135">
        <v>416.3</v>
      </c>
      <c r="U604" s="185">
        <v>2.7624309392265195E-4</v>
      </c>
      <c r="V604" s="185">
        <v>3.7448955080470816E-6</v>
      </c>
      <c r="W604" s="185">
        <v>1.1220184543019621E-4</v>
      </c>
      <c r="X604" s="185">
        <v>2.7624309392265195E-4</v>
      </c>
      <c r="Y604" s="204">
        <v>7</v>
      </c>
      <c r="Z604" s="135">
        <v>6.38</v>
      </c>
      <c r="AA604" s="135">
        <v>6.94</v>
      </c>
      <c r="AB604" s="135">
        <v>6.02</v>
      </c>
      <c r="AC604" s="135">
        <v>0.95830000000000004</v>
      </c>
      <c r="AD604" s="135">
        <v>6.05</v>
      </c>
      <c r="AE604" s="135">
        <v>6.27</v>
      </c>
      <c r="AF604" s="135">
        <f t="shared" si="206"/>
        <v>6.94</v>
      </c>
      <c r="AG604" s="136">
        <v>5.09</v>
      </c>
      <c r="AH604" s="185">
        <v>7.8899999999999998E-7</v>
      </c>
      <c r="AI604" s="185">
        <v>4.2E-7</v>
      </c>
      <c r="AJ604" s="136">
        <f t="shared" si="207"/>
        <v>-4.4914893231032318</v>
      </c>
      <c r="AK604" s="136">
        <f>LOG10(AI604*1000/(0.08206*298.15))</f>
        <v>-4.7653170359147516</v>
      </c>
      <c r="AL604" s="136">
        <f t="shared" si="208"/>
        <v>-4.7653170359147516</v>
      </c>
      <c r="AM604" s="136">
        <v>-15.410480000000002</v>
      </c>
      <c r="AN604" s="186">
        <v>-4.5599999999999996</v>
      </c>
      <c r="AO604" s="481"/>
      <c r="AP604" s="481"/>
      <c r="AQ604" s="135" t="s">
        <v>6311</v>
      </c>
      <c r="AR604" s="135" t="s">
        <v>6312</v>
      </c>
      <c r="AS604" s="190"/>
      <c r="AT604" s="137" t="s">
        <v>266</v>
      </c>
      <c r="AU604" s="135">
        <v>6</v>
      </c>
      <c r="AV604" s="135">
        <v>120</v>
      </c>
      <c r="AW604" s="135">
        <v>114</v>
      </c>
      <c r="AX604" s="135">
        <v>28</v>
      </c>
      <c r="AY604" s="135" t="s">
        <v>8728</v>
      </c>
      <c r="AZ604" s="135" t="s">
        <v>1563</v>
      </c>
      <c r="BA604" s="135">
        <v>32</v>
      </c>
      <c r="BB604" s="138" t="s">
        <v>2485</v>
      </c>
      <c r="BC604" s="138" t="s">
        <v>8726</v>
      </c>
      <c r="BD604" s="138" t="s">
        <v>8374</v>
      </c>
      <c r="BE604" s="135" t="s">
        <v>2449</v>
      </c>
      <c r="BF604" s="135" t="s">
        <v>272</v>
      </c>
      <c r="BG604" s="135" t="s">
        <v>272</v>
      </c>
      <c r="BH604" s="135" t="s">
        <v>2486</v>
      </c>
      <c r="BI604" s="185">
        <v>6.3999999999999997E-6</v>
      </c>
      <c r="BJ604" s="185">
        <v>6.4000000000000001E-2</v>
      </c>
      <c r="BK604" s="135"/>
      <c r="BL604" s="185">
        <f t="shared" ref="BL604:BL635" si="209">10^((-0.8981*Z604)+1.7108)</f>
        <v>9.570221731095291E-5</v>
      </c>
      <c r="BM604" s="138" t="s">
        <v>2487</v>
      </c>
      <c r="BN604" s="135"/>
      <c r="BO604" s="135"/>
      <c r="BP604" s="135"/>
      <c r="BQ604" s="135"/>
      <c r="BR604" s="138" t="s">
        <v>2496</v>
      </c>
      <c r="BS604" s="135"/>
      <c r="BT604" s="135"/>
      <c r="BU604" s="135">
        <v>6.3999999999999997E-6</v>
      </c>
      <c r="BV604" s="135"/>
      <c r="BW604" s="135"/>
      <c r="BX604" s="135"/>
      <c r="BY604" s="135"/>
      <c r="BZ604" s="135"/>
      <c r="CA604" s="135"/>
      <c r="CB604" s="135"/>
      <c r="CC604" s="135"/>
      <c r="CD604" s="135"/>
      <c r="CE604" s="135"/>
      <c r="CF604" s="135"/>
      <c r="CG604" s="135"/>
      <c r="CH604" s="135"/>
      <c r="CI604" s="185"/>
      <c r="CJ604" s="187"/>
      <c r="CK604" s="136">
        <f t="shared" si="205"/>
        <v>1.4953471454836392E-3</v>
      </c>
      <c r="CL604" s="188"/>
      <c r="CM604" s="188">
        <v>-5.3911759078850627</v>
      </c>
      <c r="CN604" s="188">
        <f>BJ604/(10^CM604)</f>
        <v>15752.731906327706</v>
      </c>
      <c r="CO604" s="138" t="s">
        <v>2488</v>
      </c>
      <c r="CP604" s="138" t="s">
        <v>2489</v>
      </c>
      <c r="CQ604" s="183">
        <v>-5.3240904654321648</v>
      </c>
      <c r="CR604" s="191">
        <f>10^(CJ604-CQ604)</f>
        <v>210906.74321117316</v>
      </c>
      <c r="CS604" s="135" t="s">
        <v>539</v>
      </c>
      <c r="CT604" s="135"/>
      <c r="CU604" s="135"/>
      <c r="CV604" s="332">
        <f t="shared" si="202"/>
        <v>4.3162983425414367E-3</v>
      </c>
      <c r="CW604" s="329">
        <f t="shared" si="203"/>
        <v>0</v>
      </c>
      <c r="CX604" s="329"/>
      <c r="CY604" s="189" t="s">
        <v>5921</v>
      </c>
    </row>
    <row r="605" spans="1:103" ht="11.25" customHeight="1" x14ac:dyDescent="0.2">
      <c r="A605" s="72">
        <v>603</v>
      </c>
      <c r="B605" s="183">
        <v>1252</v>
      </c>
      <c r="C605" s="133" t="s">
        <v>1392</v>
      </c>
      <c r="D605" s="133" t="s">
        <v>6529</v>
      </c>
      <c r="E605" s="134"/>
      <c r="F605" s="134" t="s">
        <v>1393</v>
      </c>
      <c r="G605" s="184">
        <v>67747095</v>
      </c>
      <c r="H605" s="138" t="s">
        <v>1394</v>
      </c>
      <c r="I605" s="138" t="s">
        <v>7941</v>
      </c>
      <c r="J605" s="138" t="s">
        <v>1399</v>
      </c>
      <c r="K605" s="138" t="s">
        <v>1064</v>
      </c>
      <c r="L605" s="138" t="s">
        <v>6007</v>
      </c>
      <c r="M605" s="138" t="s">
        <v>6008</v>
      </c>
      <c r="N605" s="138" t="s">
        <v>6386</v>
      </c>
      <c r="O605" s="138" t="s">
        <v>6009</v>
      </c>
      <c r="P605" s="138"/>
      <c r="Q605" s="138"/>
      <c r="R605" s="138"/>
      <c r="S605" s="138"/>
      <c r="T605" s="135">
        <v>376.66</v>
      </c>
      <c r="U605" s="185">
        <v>9.0264687923115719E-2</v>
      </c>
      <c r="V605" s="185">
        <v>3.5681100167255157E-3</v>
      </c>
      <c r="W605" s="185">
        <v>6.6069344800759544E-2</v>
      </c>
      <c r="X605" s="185">
        <v>9.0264687923115719E-2</v>
      </c>
      <c r="Y605" s="204">
        <v>7.37</v>
      </c>
      <c r="Z605" s="135">
        <v>4.13</v>
      </c>
      <c r="AA605" s="135">
        <v>4.0999999999999996</v>
      </c>
      <c r="AB605" s="135">
        <v>4.1100000000000003</v>
      </c>
      <c r="AC605" s="135">
        <v>0.85909999999999997</v>
      </c>
      <c r="AD605" s="135">
        <v>4.08</v>
      </c>
      <c r="AE605" s="135">
        <v>3.98</v>
      </c>
      <c r="AF605" s="135">
        <f t="shared" si="206"/>
        <v>4.0999999999999996</v>
      </c>
      <c r="AG605" s="136">
        <v>4.7300000000000004</v>
      </c>
      <c r="AH605" s="185">
        <v>7.5799999999999996E-12</v>
      </c>
      <c r="AI605" s="185">
        <v>1.6400000000000001E-8</v>
      </c>
      <c r="AJ605" s="136">
        <f t="shared" si="207"/>
        <v>-9.508897120680599</v>
      </c>
      <c r="AK605" s="136">
        <f>LOG10(AI605*1000/(0.08206*298.15))</f>
        <v>-6.1737224782649536</v>
      </c>
      <c r="AL605" s="136">
        <f t="shared" si="208"/>
        <v>-6.1737224782649536</v>
      </c>
      <c r="AM605" s="136">
        <v>-16.703500000000002</v>
      </c>
      <c r="AN605" s="186">
        <v>-4.54</v>
      </c>
      <c r="AO605" s="481"/>
      <c r="AP605" s="481">
        <v>4.84</v>
      </c>
      <c r="AQ605" s="135" t="s">
        <v>6311</v>
      </c>
      <c r="AR605" s="135" t="s">
        <v>6311</v>
      </c>
      <c r="AS605" s="190"/>
      <c r="AT605" s="137" t="s">
        <v>266</v>
      </c>
      <c r="AU605" s="135">
        <v>6</v>
      </c>
      <c r="AV605" s="135">
        <v>120</v>
      </c>
      <c r="AW605" s="135">
        <v>114</v>
      </c>
      <c r="AX605" s="135">
        <v>28</v>
      </c>
      <c r="AY605" s="135" t="s">
        <v>8728</v>
      </c>
      <c r="AZ605" s="135" t="s">
        <v>1563</v>
      </c>
      <c r="BA605" s="135">
        <v>32</v>
      </c>
      <c r="BB605" s="138" t="s">
        <v>2485</v>
      </c>
      <c r="BC605" s="138" t="s">
        <v>8726</v>
      </c>
      <c r="BD605" s="138" t="s">
        <v>8374</v>
      </c>
      <c r="BE605" s="135" t="s">
        <v>2449</v>
      </c>
      <c r="BF605" s="135" t="s">
        <v>272</v>
      </c>
      <c r="BG605" s="135" t="s">
        <v>272</v>
      </c>
      <c r="BH605" s="135" t="s">
        <v>2486</v>
      </c>
      <c r="BI605" s="185">
        <v>6.3999999999999997E-6</v>
      </c>
      <c r="BJ605" s="185">
        <v>6.4000000000000001E-2</v>
      </c>
      <c r="BK605" s="135"/>
      <c r="BL605" s="185">
        <f t="shared" si="209"/>
        <v>1.0037995577353173E-2</v>
      </c>
      <c r="BM605" s="138" t="s">
        <v>2487</v>
      </c>
      <c r="BN605" s="135"/>
      <c r="BO605" s="135"/>
      <c r="BP605" s="135"/>
      <c r="BQ605" s="135"/>
      <c r="BR605" s="138" t="s">
        <v>2496</v>
      </c>
      <c r="BS605" s="135"/>
      <c r="BT605" s="135"/>
      <c r="BU605" s="135">
        <v>6.4000000000000001E-2</v>
      </c>
      <c r="BV605" s="135"/>
      <c r="BW605" s="135"/>
      <c r="BX605" s="135"/>
      <c r="BY605" s="135"/>
      <c r="BZ605" s="135"/>
      <c r="CA605" s="135"/>
      <c r="CB605" s="135"/>
      <c r="CC605" s="135"/>
      <c r="CD605" s="135"/>
      <c r="CE605" s="135"/>
      <c r="CF605" s="135"/>
      <c r="CG605" s="135"/>
      <c r="CH605" s="135"/>
      <c r="CI605" s="185"/>
      <c r="CJ605" s="187"/>
      <c r="CK605" s="136">
        <f t="shared" si="205"/>
        <v>0.15684368089614334</v>
      </c>
      <c r="CL605" s="188"/>
      <c r="CM605" s="188">
        <v>-2.8102336781339785</v>
      </c>
      <c r="CN605" s="188">
        <f>BJ605/(10^CM605)</f>
        <v>41.344110443140593</v>
      </c>
      <c r="CO605" s="138" t="s">
        <v>2488</v>
      </c>
      <c r="CP605" s="138" t="s">
        <v>2489</v>
      </c>
      <c r="CQ605" s="183">
        <v>-2.8102336781339785</v>
      </c>
      <c r="CR605" s="191">
        <f>10^(CJ605-CQ605)</f>
        <v>646.00172567407174</v>
      </c>
      <c r="CS605" s="135" t="s">
        <v>539</v>
      </c>
      <c r="CT605" s="135"/>
      <c r="CU605" s="135"/>
      <c r="CV605" s="332">
        <f t="shared" si="202"/>
        <v>1.4103857487986831</v>
      </c>
      <c r="CW605" s="329">
        <f t="shared" si="203"/>
        <v>1</v>
      </c>
      <c r="CX605" s="329"/>
      <c r="CY605" s="189" t="s">
        <v>5921</v>
      </c>
    </row>
    <row r="606" spans="1:103" ht="11.25" customHeight="1" x14ac:dyDescent="0.2">
      <c r="A606" s="72">
        <v>604</v>
      </c>
      <c r="B606" s="183">
        <v>1287</v>
      </c>
      <c r="C606" s="133" t="s">
        <v>603</v>
      </c>
      <c r="D606" s="133"/>
      <c r="E606" s="134"/>
      <c r="F606" s="134" t="s">
        <v>3538</v>
      </c>
      <c r="G606" s="184">
        <v>10540291</v>
      </c>
      <c r="H606" s="138" t="s">
        <v>604</v>
      </c>
      <c r="I606" s="138" t="s">
        <v>7942</v>
      </c>
      <c r="J606" s="138" t="s">
        <v>605</v>
      </c>
      <c r="K606" s="138" t="s">
        <v>300</v>
      </c>
      <c r="L606" s="138" t="s">
        <v>279</v>
      </c>
      <c r="M606" s="138" t="s">
        <v>3539</v>
      </c>
      <c r="N606" s="138"/>
      <c r="O606" s="138" t="s">
        <v>281</v>
      </c>
      <c r="P606" s="138"/>
      <c r="Q606" s="138"/>
      <c r="R606" s="138"/>
      <c r="S606" s="138"/>
      <c r="T606" s="135">
        <v>371.51</v>
      </c>
      <c r="U606" s="185"/>
      <c r="V606" s="185">
        <v>5.2111652445425429E-4</v>
      </c>
      <c r="W606" s="185">
        <v>7.7624711662868957E-3</v>
      </c>
      <c r="X606" s="185">
        <f>IF(W606=0,V606,W606)</f>
        <v>7.7624711662868957E-3</v>
      </c>
      <c r="Y606" s="204">
        <v>8.6199999999999992</v>
      </c>
      <c r="Z606" s="135">
        <v>6.3</v>
      </c>
      <c r="AA606" s="135"/>
      <c r="AB606" s="135">
        <v>6.31</v>
      </c>
      <c r="AC606" s="135">
        <v>0.68869999999999998</v>
      </c>
      <c r="AD606" s="135">
        <v>6.82</v>
      </c>
      <c r="AE606" s="135">
        <v>7.88</v>
      </c>
      <c r="AF606" s="135">
        <f t="shared" si="206"/>
        <v>6.82</v>
      </c>
      <c r="AG606" s="136">
        <v>6.16</v>
      </c>
      <c r="AH606" s="185">
        <v>4.49E-10</v>
      </c>
      <c r="AI606" s="185"/>
      <c r="AJ606" s="136">
        <f t="shared" si="207"/>
        <v>-7.7363199853093283</v>
      </c>
      <c r="AK606" s="136"/>
      <c r="AL606" s="136">
        <f t="shared" si="208"/>
        <v>-7.7363199853093283</v>
      </c>
      <c r="AM606" s="136">
        <v>-13.760640000000002</v>
      </c>
      <c r="AN606" s="186">
        <v>-8.94</v>
      </c>
      <c r="AO606" s="481"/>
      <c r="AP606" s="481">
        <v>8.69</v>
      </c>
      <c r="AQ606" s="135" t="s">
        <v>6311</v>
      </c>
      <c r="AR606" s="135" t="s">
        <v>6311</v>
      </c>
      <c r="AS606" s="190"/>
      <c r="AT606" s="137" t="s">
        <v>266</v>
      </c>
      <c r="AU606" s="135">
        <v>6</v>
      </c>
      <c r="AV606" s="135">
        <v>120</v>
      </c>
      <c r="AW606" s="135">
        <v>114</v>
      </c>
      <c r="AX606" s="135">
        <v>28</v>
      </c>
      <c r="AY606" s="135" t="s">
        <v>8728</v>
      </c>
      <c r="AZ606" s="135" t="s">
        <v>1563</v>
      </c>
      <c r="BA606" s="135">
        <v>32</v>
      </c>
      <c r="BB606" s="138" t="s">
        <v>2485</v>
      </c>
      <c r="BC606" s="138" t="s">
        <v>8726</v>
      </c>
      <c r="BD606" s="138" t="s">
        <v>8374</v>
      </c>
      <c r="BE606" s="135" t="s">
        <v>2449</v>
      </c>
      <c r="BF606" s="135" t="s">
        <v>272</v>
      </c>
      <c r="BG606" s="135" t="s">
        <v>272</v>
      </c>
      <c r="BH606" s="135" t="s">
        <v>2486</v>
      </c>
      <c r="BI606" s="185">
        <v>6.3999999999999997E-6</v>
      </c>
      <c r="BJ606" s="185">
        <v>6.4000000000000001E-2</v>
      </c>
      <c r="BK606" s="135"/>
      <c r="BL606" s="185">
        <f t="shared" si="209"/>
        <v>1.1291977392988041E-4</v>
      </c>
      <c r="BM606" s="138" t="s">
        <v>2487</v>
      </c>
      <c r="BN606" s="135"/>
      <c r="BO606" s="135"/>
      <c r="BP606" s="135"/>
      <c r="BQ606" s="135"/>
      <c r="BR606" s="138" t="s">
        <v>2496</v>
      </c>
      <c r="BS606" s="135"/>
      <c r="BT606" s="135"/>
      <c r="BU606" s="135">
        <v>6.3999999999999997E-5</v>
      </c>
      <c r="BV606" s="135"/>
      <c r="BW606" s="135"/>
      <c r="BX606" s="135"/>
      <c r="BY606" s="135"/>
      <c r="BZ606" s="135"/>
      <c r="CA606" s="135"/>
      <c r="CB606" s="135"/>
      <c r="CC606" s="135"/>
      <c r="CD606" s="135"/>
      <c r="CE606" s="135"/>
      <c r="CF606" s="135"/>
      <c r="CG606" s="135"/>
      <c r="CH606" s="135"/>
      <c r="CI606" s="185"/>
      <c r="CJ606" s="187"/>
      <c r="CK606" s="136">
        <f t="shared" si="205"/>
        <v>1.7643714676543814E-3</v>
      </c>
      <c r="CL606" s="188"/>
      <c r="CM606" s="188"/>
      <c r="CN606" s="188"/>
      <c r="CO606" s="138" t="s">
        <v>2488</v>
      </c>
      <c r="CP606" s="138" t="s">
        <v>2489</v>
      </c>
      <c r="CQ606" s="191" t="s">
        <v>272</v>
      </c>
      <c r="CR606" s="191"/>
      <c r="CS606" s="135" t="s">
        <v>539</v>
      </c>
      <c r="CT606" s="135"/>
      <c r="CU606" s="135"/>
      <c r="CV606" s="332">
        <f t="shared" si="202"/>
        <v>0.12128861197323275</v>
      </c>
      <c r="CW606" s="329">
        <f t="shared" si="203"/>
        <v>0</v>
      </c>
      <c r="CX606" s="329"/>
      <c r="CY606" s="189" t="s">
        <v>6351</v>
      </c>
    </row>
    <row r="607" spans="1:103" ht="11.25" customHeight="1" x14ac:dyDescent="0.2">
      <c r="A607" s="72">
        <v>605</v>
      </c>
      <c r="B607" s="191">
        <v>359</v>
      </c>
      <c r="C607" s="128" t="s">
        <v>3216</v>
      </c>
      <c r="D607" s="128" t="s">
        <v>6871</v>
      </c>
      <c r="E607" s="129"/>
      <c r="F607" s="129" t="s">
        <v>3217</v>
      </c>
      <c r="G607" s="192">
        <v>173584446</v>
      </c>
      <c r="H607" s="139" t="s">
        <v>3218</v>
      </c>
      <c r="I607" s="139" t="s">
        <v>7943</v>
      </c>
      <c r="J607" s="139" t="s">
        <v>3902</v>
      </c>
      <c r="K607" s="139" t="s">
        <v>3220</v>
      </c>
      <c r="L607" s="139" t="s">
        <v>617</v>
      </c>
      <c r="M607" s="139" t="s">
        <v>3221</v>
      </c>
      <c r="N607" s="138" t="s">
        <v>6376</v>
      </c>
      <c r="O607" s="139" t="s">
        <v>918</v>
      </c>
      <c r="P607" s="138"/>
      <c r="Q607" s="138" t="s">
        <v>6173</v>
      </c>
      <c r="R607" s="138" t="s">
        <v>6177</v>
      </c>
      <c r="S607" s="138" t="s">
        <v>6176</v>
      </c>
      <c r="T607" s="130">
        <v>527.83000000000004</v>
      </c>
      <c r="U607" s="187"/>
      <c r="V607" s="187">
        <v>9.5977871663224882E-5</v>
      </c>
      <c r="W607" s="187">
        <v>1.8197008586099798E-3</v>
      </c>
      <c r="X607" s="187">
        <f>IF(W607=0,V607,W607)</f>
        <v>1.8197008586099798E-3</v>
      </c>
      <c r="Y607" s="194">
        <v>7</v>
      </c>
      <c r="Z607" s="130">
        <v>5.21</v>
      </c>
      <c r="AA607" s="130">
        <v>4.6500000000000004</v>
      </c>
      <c r="AB607" s="130">
        <v>4.46</v>
      </c>
      <c r="AC607" s="130">
        <v>0.50080000000000002</v>
      </c>
      <c r="AD607" s="130">
        <v>3.7</v>
      </c>
      <c r="AE607" s="130">
        <v>2.77</v>
      </c>
      <c r="AF607" s="130">
        <f t="shared" si="206"/>
        <v>4.6500000000000004</v>
      </c>
      <c r="AG607" s="131">
        <v>4.74</v>
      </c>
      <c r="AH607" s="187">
        <v>2.72E-13</v>
      </c>
      <c r="AI607" s="187"/>
      <c r="AJ607" s="136">
        <f t="shared" si="207"/>
        <v>-10.953997422278453</v>
      </c>
      <c r="AK607" s="136"/>
      <c r="AL607" s="136">
        <f t="shared" si="208"/>
        <v>-10.953997422278453</v>
      </c>
      <c r="AM607" s="136">
        <v>-19.639890000000001</v>
      </c>
      <c r="AN607" s="193">
        <v>-6.89</v>
      </c>
      <c r="AO607" s="481"/>
      <c r="AP607" s="481">
        <v>-1.75</v>
      </c>
      <c r="AQ607" s="193" t="s">
        <v>6311</v>
      </c>
      <c r="AR607" s="193" t="s">
        <v>6312</v>
      </c>
      <c r="AS607" s="191" t="s">
        <v>3903</v>
      </c>
      <c r="AT607" s="132" t="s">
        <v>266</v>
      </c>
      <c r="AU607" s="130">
        <v>8</v>
      </c>
      <c r="AV607" s="130">
        <v>144</v>
      </c>
      <c r="AW607" s="130">
        <v>120</v>
      </c>
      <c r="AX607" s="130">
        <v>26</v>
      </c>
      <c r="AY607" s="130" t="s">
        <v>267</v>
      </c>
      <c r="AZ607" s="130" t="s">
        <v>2253</v>
      </c>
      <c r="BA607" s="130">
        <v>2</v>
      </c>
      <c r="BB607" s="139" t="s">
        <v>2254</v>
      </c>
      <c r="BC607" s="139" t="s">
        <v>270</v>
      </c>
      <c r="BD607" s="139" t="s">
        <v>8374</v>
      </c>
      <c r="BE607" s="130" t="s">
        <v>1712</v>
      </c>
      <c r="BF607" s="130" t="s">
        <v>272</v>
      </c>
      <c r="BG607" s="130" t="s">
        <v>272</v>
      </c>
      <c r="BH607" s="130" t="s">
        <v>2255</v>
      </c>
      <c r="BI607" s="187">
        <v>9.9999999999999995E-7</v>
      </c>
      <c r="BJ607" s="187">
        <v>0.08</v>
      </c>
      <c r="BK607" s="130"/>
      <c r="BL607" s="187">
        <f t="shared" si="209"/>
        <v>1.0757193976350967E-3</v>
      </c>
      <c r="BM607" s="130" t="s">
        <v>891</v>
      </c>
      <c r="BN607" s="194"/>
      <c r="BO607" s="194"/>
      <c r="BP607" s="194"/>
      <c r="BQ607" s="194"/>
      <c r="BR607" s="194"/>
      <c r="BS607" s="130"/>
      <c r="BT607" s="194"/>
      <c r="BU607" s="195"/>
      <c r="BV607" s="194"/>
      <c r="BW607" s="194"/>
      <c r="BX607" s="194"/>
      <c r="BY607" s="194"/>
      <c r="BZ607" s="194"/>
      <c r="CA607" s="194"/>
      <c r="CB607" s="194"/>
      <c r="CC607" s="130"/>
      <c r="CD607" s="130"/>
      <c r="CE607" s="130"/>
      <c r="CF607" s="130"/>
      <c r="CG607" s="194"/>
      <c r="CH607" s="130"/>
      <c r="CI607" s="187"/>
      <c r="CJ607" s="187"/>
      <c r="CK607" s="131">
        <f t="shared" si="205"/>
        <v>1.3446492470438708E-2</v>
      </c>
      <c r="CL607" s="188"/>
      <c r="CM607" s="188"/>
      <c r="CN607" s="188"/>
      <c r="CO607" s="139" t="s">
        <v>892</v>
      </c>
      <c r="CP607" s="139" t="s">
        <v>893</v>
      </c>
      <c r="CQ607" s="191">
        <v>-2.9158883459970237</v>
      </c>
      <c r="CR607" s="191">
        <f>10^(CJ607-CQ607)</f>
        <v>823.92626223621562</v>
      </c>
      <c r="CS607" s="135" t="s">
        <v>539</v>
      </c>
      <c r="CT607" s="135"/>
      <c r="CU607" s="135"/>
      <c r="CV607" s="332">
        <f t="shared" ref="CV607:CV638" si="210">X607/BJ607</f>
        <v>2.2746260732624746E-2</v>
      </c>
      <c r="CW607" s="329">
        <f t="shared" si="203"/>
        <v>0</v>
      </c>
      <c r="CX607" s="329" t="s">
        <v>539</v>
      </c>
      <c r="CY607" s="189" t="s">
        <v>5921</v>
      </c>
    </row>
    <row r="608" spans="1:103" ht="11.25" customHeight="1" x14ac:dyDescent="0.2">
      <c r="A608" s="72">
        <v>606</v>
      </c>
      <c r="B608" s="183">
        <v>1888</v>
      </c>
      <c r="C608" s="133" t="s">
        <v>5345</v>
      </c>
      <c r="D608" s="133" t="s">
        <v>6872</v>
      </c>
      <c r="E608" s="134"/>
      <c r="F608" s="134" t="s">
        <v>5346</v>
      </c>
      <c r="G608" s="184">
        <v>13071799</v>
      </c>
      <c r="H608" s="138" t="s">
        <v>5347</v>
      </c>
      <c r="I608" s="138" t="s">
        <v>5347</v>
      </c>
      <c r="J608" s="138" t="s">
        <v>5348</v>
      </c>
      <c r="K608" s="138" t="s">
        <v>1872</v>
      </c>
      <c r="L608" s="138"/>
      <c r="M608" s="138" t="s">
        <v>618</v>
      </c>
      <c r="N608" s="138" t="s">
        <v>6376</v>
      </c>
      <c r="O608" s="138" t="s">
        <v>5349</v>
      </c>
      <c r="P608" s="138" t="s">
        <v>6178</v>
      </c>
      <c r="Q608" s="138" t="s">
        <v>6173</v>
      </c>
      <c r="R608" s="138" t="s">
        <v>6177</v>
      </c>
      <c r="S608" s="138" t="s">
        <v>6176</v>
      </c>
      <c r="T608" s="135">
        <v>288.43</v>
      </c>
      <c r="U608" s="185">
        <v>1.7577921852789238E-2</v>
      </c>
      <c r="V608" s="185">
        <v>7.4194778629130117E-3</v>
      </c>
      <c r="W608" s="185">
        <v>0.13182567385564067</v>
      </c>
      <c r="X608" s="185">
        <v>1.7577921852789238E-2</v>
      </c>
      <c r="Y608" s="204">
        <v>7</v>
      </c>
      <c r="Z608" s="135">
        <v>4.49</v>
      </c>
      <c r="AA608" s="135">
        <v>4.4800000000000004</v>
      </c>
      <c r="AB608" s="135">
        <v>4.33</v>
      </c>
      <c r="AC608" s="135">
        <v>0.85850000000000004</v>
      </c>
      <c r="AD608" s="135">
        <v>4.34</v>
      </c>
      <c r="AE608" s="135">
        <v>4.37</v>
      </c>
      <c r="AF608" s="135">
        <f t="shared" si="206"/>
        <v>4.4800000000000004</v>
      </c>
      <c r="AG608" s="136">
        <v>4.4400000000000004</v>
      </c>
      <c r="AH608" s="185">
        <v>2.7800000000000001E-6</v>
      </c>
      <c r="AI608" s="185">
        <v>2.4000000000000001E-5</v>
      </c>
      <c r="AJ608" s="136">
        <f t="shared" si="207"/>
        <v>-3.9445215303945753</v>
      </c>
      <c r="AK608" s="136">
        <f>LOG10(AI608*1000/(0.08206*298.15))</f>
        <v>-3.0083550846010456</v>
      </c>
      <c r="AL608" s="136">
        <f t="shared" si="208"/>
        <v>-3.0083550846010456</v>
      </c>
      <c r="AM608" s="136">
        <v>-8.0559799999999981</v>
      </c>
      <c r="AN608" s="186">
        <v>-4.17</v>
      </c>
      <c r="AO608" s="481"/>
      <c r="AP608" s="481"/>
      <c r="AQ608" s="186" t="s">
        <v>6314</v>
      </c>
      <c r="AR608" s="186" t="s">
        <v>6314</v>
      </c>
      <c r="AS608" s="183"/>
      <c r="AT608" s="137" t="s">
        <v>266</v>
      </c>
      <c r="AU608" s="135">
        <v>6</v>
      </c>
      <c r="AV608" s="135">
        <v>120</v>
      </c>
      <c r="AW608" s="135">
        <v>114</v>
      </c>
      <c r="AX608" s="135">
        <v>28</v>
      </c>
      <c r="AY608" s="135" t="s">
        <v>8728</v>
      </c>
      <c r="AZ608" s="135" t="s">
        <v>1563</v>
      </c>
      <c r="BA608" s="135">
        <v>32</v>
      </c>
      <c r="BB608" s="138" t="s">
        <v>2485</v>
      </c>
      <c r="BC608" s="138" t="s">
        <v>8726</v>
      </c>
      <c r="BD608" s="138" t="s">
        <v>8374</v>
      </c>
      <c r="BE608" s="135" t="s">
        <v>2449</v>
      </c>
      <c r="BF608" s="135" t="s">
        <v>272</v>
      </c>
      <c r="BG608" s="135" t="s">
        <v>272</v>
      </c>
      <c r="BH608" s="135" t="s">
        <v>2486</v>
      </c>
      <c r="BI608" s="185">
        <v>6.3999999999999997E-6</v>
      </c>
      <c r="BJ608" s="185">
        <v>6.4000000000000001E-2</v>
      </c>
      <c r="BK608" s="135"/>
      <c r="BL608" s="185">
        <f t="shared" si="209"/>
        <v>4.7679423979143983E-3</v>
      </c>
      <c r="BM608" s="138" t="s">
        <v>2487</v>
      </c>
      <c r="BN608" s="135"/>
      <c r="BO608" s="135"/>
      <c r="BP608" s="135"/>
      <c r="BQ608" s="135"/>
      <c r="BR608" s="138" t="s">
        <v>2496</v>
      </c>
      <c r="BS608" s="135"/>
      <c r="BT608" s="135"/>
      <c r="BU608" s="135"/>
      <c r="BV608" s="135"/>
      <c r="BW608" s="135"/>
      <c r="BX608" s="135"/>
      <c r="BY608" s="135"/>
      <c r="BZ608" s="135"/>
      <c r="CA608" s="135"/>
      <c r="CB608" s="135"/>
      <c r="CC608" s="135"/>
      <c r="CD608" s="135"/>
      <c r="CE608" s="135"/>
      <c r="CF608" s="135"/>
      <c r="CG608" s="135"/>
      <c r="CH608" s="135"/>
      <c r="CI608" s="185"/>
      <c r="CJ608" s="187"/>
      <c r="CK608" s="136">
        <f t="shared" si="205"/>
        <v>7.4499099967412469E-2</v>
      </c>
      <c r="CL608" s="188"/>
      <c r="CM608" s="188"/>
      <c r="CN608" s="188"/>
      <c r="CO608" s="138" t="s">
        <v>2488</v>
      </c>
      <c r="CP608" s="138" t="s">
        <v>2489</v>
      </c>
      <c r="CQ608" s="183">
        <v>-4.5304496156815732</v>
      </c>
      <c r="CR608" s="191">
        <f>10^(CJ608-CQ608)</f>
        <v>33919.513581297128</v>
      </c>
      <c r="CS608" s="135" t="s">
        <v>539</v>
      </c>
      <c r="CT608" s="135"/>
      <c r="CU608" s="135"/>
      <c r="CV608" s="332">
        <f t="shared" si="210"/>
        <v>0.27465502894983185</v>
      </c>
      <c r="CW608" s="329">
        <f t="shared" si="203"/>
        <v>0</v>
      </c>
      <c r="CX608" s="329"/>
      <c r="CY608" s="189" t="s">
        <v>5921</v>
      </c>
    </row>
    <row r="609" spans="1:103" ht="11.25" customHeight="1" x14ac:dyDescent="0.2">
      <c r="A609" s="72">
        <v>607</v>
      </c>
      <c r="B609" s="183">
        <v>1818</v>
      </c>
      <c r="C609" s="133" t="s">
        <v>1366</v>
      </c>
      <c r="D609" s="133" t="s">
        <v>6497</v>
      </c>
      <c r="E609" s="134"/>
      <c r="F609" s="134" t="s">
        <v>1367</v>
      </c>
      <c r="G609" s="184">
        <v>2310170</v>
      </c>
      <c r="H609" s="138" t="s">
        <v>1368</v>
      </c>
      <c r="I609" s="138" t="s">
        <v>7944</v>
      </c>
      <c r="J609" s="138" t="s">
        <v>1369</v>
      </c>
      <c r="K609" s="138" t="s">
        <v>1370</v>
      </c>
      <c r="L609" s="138" t="s">
        <v>617</v>
      </c>
      <c r="M609" s="138" t="s">
        <v>946</v>
      </c>
      <c r="N609" s="138" t="s">
        <v>6376</v>
      </c>
      <c r="O609" s="138" t="s">
        <v>918</v>
      </c>
      <c r="P609" s="138"/>
      <c r="Q609" s="138"/>
      <c r="R609" s="138"/>
      <c r="S609" s="138"/>
      <c r="T609" s="135">
        <v>367.81</v>
      </c>
      <c r="U609" s="185">
        <v>8.2923248416301894E-3</v>
      </c>
      <c r="V609" s="185">
        <v>2.3871020363774773E-3</v>
      </c>
      <c r="W609" s="185">
        <v>1.5135612484362064E-3</v>
      </c>
      <c r="X609" s="185">
        <v>8.2923248416301894E-3</v>
      </c>
      <c r="Y609" s="204">
        <v>7</v>
      </c>
      <c r="Z609" s="135">
        <v>4.29</v>
      </c>
      <c r="AA609" s="135">
        <v>4.38</v>
      </c>
      <c r="AB609" s="135">
        <v>4.49</v>
      </c>
      <c r="AC609" s="135">
        <v>0.79679999999999995</v>
      </c>
      <c r="AD609" s="135">
        <v>4.43</v>
      </c>
      <c r="AE609" s="135">
        <v>4.28</v>
      </c>
      <c r="AF609" s="135">
        <f t="shared" si="206"/>
        <v>4.38</v>
      </c>
      <c r="AG609" s="136">
        <v>4.92</v>
      </c>
      <c r="AH609" s="185">
        <v>3.9400000000000001E-7</v>
      </c>
      <c r="AI609" s="185"/>
      <c r="AJ609" s="136">
        <f t="shared" si="207"/>
        <v>-4.7930701044870778</v>
      </c>
      <c r="AK609" s="136"/>
      <c r="AL609" s="136">
        <f t="shared" si="208"/>
        <v>-4.7930701044870778</v>
      </c>
      <c r="AM609" s="136">
        <v>-14.334989999999999</v>
      </c>
      <c r="AN609" s="186">
        <v>-5.78</v>
      </c>
      <c r="AO609" s="481"/>
      <c r="AP609" s="481">
        <v>-1.75</v>
      </c>
      <c r="AQ609" s="186" t="s">
        <v>6314</v>
      </c>
      <c r="AR609" s="186" t="s">
        <v>6312</v>
      </c>
      <c r="AS609" s="183"/>
      <c r="AT609" s="137" t="s">
        <v>266</v>
      </c>
      <c r="AU609" s="135">
        <v>6</v>
      </c>
      <c r="AV609" s="135">
        <v>120</v>
      </c>
      <c r="AW609" s="135">
        <v>114</v>
      </c>
      <c r="AX609" s="135">
        <v>28</v>
      </c>
      <c r="AY609" s="135" t="s">
        <v>8728</v>
      </c>
      <c r="AZ609" s="135" t="s">
        <v>1563</v>
      </c>
      <c r="BA609" s="135">
        <v>32</v>
      </c>
      <c r="BB609" s="138" t="s">
        <v>2485</v>
      </c>
      <c r="BC609" s="138" t="s">
        <v>8726</v>
      </c>
      <c r="BD609" s="138" t="s">
        <v>8374</v>
      </c>
      <c r="BE609" s="135" t="s">
        <v>2449</v>
      </c>
      <c r="BF609" s="135" t="s">
        <v>272</v>
      </c>
      <c r="BG609" s="135" t="s">
        <v>272</v>
      </c>
      <c r="BH609" s="135" t="s">
        <v>2486</v>
      </c>
      <c r="BI609" s="185">
        <v>6.3999999999999997E-6</v>
      </c>
      <c r="BJ609" s="185">
        <v>6.4000000000000001E-2</v>
      </c>
      <c r="BK609" s="135"/>
      <c r="BL609" s="185">
        <f t="shared" si="209"/>
        <v>7.2102612361725589E-3</v>
      </c>
      <c r="BM609" s="138" t="s">
        <v>2487</v>
      </c>
      <c r="BN609" s="135"/>
      <c r="BO609" s="135"/>
      <c r="BP609" s="135"/>
      <c r="BQ609" s="135"/>
      <c r="BR609" s="138" t="s">
        <v>2496</v>
      </c>
      <c r="BS609" s="135"/>
      <c r="BT609" s="135"/>
      <c r="BU609" s="135"/>
      <c r="BV609" s="135"/>
      <c r="BW609" s="135"/>
      <c r="BX609" s="135"/>
      <c r="BY609" s="135"/>
      <c r="BZ609" s="135"/>
      <c r="CA609" s="135"/>
      <c r="CB609" s="135"/>
      <c r="CC609" s="135"/>
      <c r="CD609" s="135"/>
      <c r="CE609" s="135"/>
      <c r="CF609" s="135"/>
      <c r="CG609" s="135"/>
      <c r="CH609" s="135"/>
      <c r="CI609" s="185"/>
      <c r="CJ609" s="187"/>
      <c r="CK609" s="136">
        <f t="shared" si="205"/>
        <v>0.11266033181519623</v>
      </c>
      <c r="CL609" s="188"/>
      <c r="CM609" s="188">
        <v>-3.6659668645273569</v>
      </c>
      <c r="CN609" s="188">
        <f>BJ609/(10^CM609)</f>
        <v>296.58339927157374</v>
      </c>
      <c r="CO609" s="138" t="s">
        <v>2488</v>
      </c>
      <c r="CP609" s="138" t="s">
        <v>2489</v>
      </c>
      <c r="CQ609" s="183">
        <v>-3.3441617153359351</v>
      </c>
      <c r="CR609" s="191">
        <f>10^(CJ609-CQ609)</f>
        <v>2208.8270660897465</v>
      </c>
      <c r="CS609" s="135" t="s">
        <v>539</v>
      </c>
      <c r="CT609" s="135"/>
      <c r="CU609" s="135"/>
      <c r="CV609" s="332">
        <f t="shared" si="210"/>
        <v>0.12956757565047169</v>
      </c>
      <c r="CW609" s="329">
        <f t="shared" si="203"/>
        <v>0</v>
      </c>
      <c r="CX609" s="329"/>
      <c r="CY609" s="189" t="s">
        <v>5921</v>
      </c>
    </row>
    <row r="610" spans="1:103" ht="11.25" customHeight="1" x14ac:dyDescent="0.2">
      <c r="A610" s="72">
        <v>608</v>
      </c>
      <c r="B610" s="183">
        <v>1563</v>
      </c>
      <c r="C610" s="133" t="s">
        <v>6873</v>
      </c>
      <c r="D610" s="133"/>
      <c r="E610" s="134"/>
      <c r="F610" s="134" t="s">
        <v>4702</v>
      </c>
      <c r="G610" s="184">
        <v>23593751</v>
      </c>
      <c r="H610" s="138" t="s">
        <v>4703</v>
      </c>
      <c r="I610" s="138" t="s">
        <v>7945</v>
      </c>
      <c r="J610" s="138" t="s">
        <v>4704</v>
      </c>
      <c r="K610" s="138" t="s">
        <v>1064</v>
      </c>
      <c r="L610" s="138" t="s">
        <v>279</v>
      </c>
      <c r="M610" s="138" t="s">
        <v>4705</v>
      </c>
      <c r="N610" s="138"/>
      <c r="O610" s="138" t="s">
        <v>281</v>
      </c>
      <c r="P610" s="138"/>
      <c r="Q610" s="138"/>
      <c r="R610" s="138"/>
      <c r="S610" s="138"/>
      <c r="T610" s="135">
        <v>344.84</v>
      </c>
      <c r="U610" s="185"/>
      <c r="V610" s="185">
        <v>8.6532884816146625E-5</v>
      </c>
      <c r="W610" s="185">
        <v>1.3489628825916516E-2</v>
      </c>
      <c r="X610" s="185">
        <f>IF(W610=0,V610,W610)</f>
        <v>1.3489628825916516E-2</v>
      </c>
      <c r="Y610" s="204">
        <v>7.63</v>
      </c>
      <c r="Z610" s="135">
        <v>6.26</v>
      </c>
      <c r="AA610" s="135"/>
      <c r="AB610" s="135">
        <v>5.18</v>
      </c>
      <c r="AC610" s="135">
        <v>0.85550000000000004</v>
      </c>
      <c r="AD610" s="135">
        <v>5.25</v>
      </c>
      <c r="AE610" s="135">
        <v>5.44</v>
      </c>
      <c r="AF610" s="135">
        <f t="shared" si="206"/>
        <v>5.25</v>
      </c>
      <c r="AG610" s="136">
        <v>5.48</v>
      </c>
      <c r="AH610" s="185">
        <v>3.1200000000000001E-8</v>
      </c>
      <c r="AI610" s="185"/>
      <c r="AJ610" s="136">
        <f t="shared" si="207"/>
        <v>-5.8944117322942091</v>
      </c>
      <c r="AK610" s="136"/>
      <c r="AL610" s="136">
        <f t="shared" si="208"/>
        <v>-5.8944117322942091</v>
      </c>
      <c r="AM610" s="136">
        <v>-13.798780000000001</v>
      </c>
      <c r="AN610" s="186">
        <v>-8.74</v>
      </c>
      <c r="AO610" s="481"/>
      <c r="AP610" s="481">
        <v>6.12</v>
      </c>
      <c r="AQ610" s="135" t="s">
        <v>6311</v>
      </c>
      <c r="AR610" s="135" t="s">
        <v>6311</v>
      </c>
      <c r="AS610" s="190"/>
      <c r="AT610" s="137" t="s">
        <v>266</v>
      </c>
      <c r="AU610" s="135">
        <v>6</v>
      </c>
      <c r="AV610" s="135">
        <v>120</v>
      </c>
      <c r="AW610" s="135">
        <v>114</v>
      </c>
      <c r="AX610" s="135">
        <v>28</v>
      </c>
      <c r="AY610" s="135" t="s">
        <v>8728</v>
      </c>
      <c r="AZ610" s="135" t="s">
        <v>1563</v>
      </c>
      <c r="BA610" s="135">
        <v>32</v>
      </c>
      <c r="BB610" s="138" t="s">
        <v>2485</v>
      </c>
      <c r="BC610" s="138" t="s">
        <v>8726</v>
      </c>
      <c r="BD610" s="138" t="s">
        <v>8374</v>
      </c>
      <c r="BE610" s="135" t="s">
        <v>2449</v>
      </c>
      <c r="BF610" s="135" t="s">
        <v>272</v>
      </c>
      <c r="BG610" s="135" t="s">
        <v>272</v>
      </c>
      <c r="BH610" s="135" t="s">
        <v>2486</v>
      </c>
      <c r="BI610" s="185">
        <v>6.3999999999999997E-6</v>
      </c>
      <c r="BJ610" s="185">
        <v>6.4000000000000001E-2</v>
      </c>
      <c r="BK610" s="135"/>
      <c r="BL610" s="185">
        <f t="shared" si="209"/>
        <v>1.2265746930845389E-4</v>
      </c>
      <c r="BM610" s="138" t="s">
        <v>2487</v>
      </c>
      <c r="BN610" s="135"/>
      <c r="BO610" s="135"/>
      <c r="BP610" s="135"/>
      <c r="BQ610" s="135"/>
      <c r="BR610" s="138" t="s">
        <v>2496</v>
      </c>
      <c r="BS610" s="135"/>
      <c r="BT610" s="135"/>
      <c r="BU610" s="135"/>
      <c r="BV610" s="135"/>
      <c r="BW610" s="135"/>
      <c r="BX610" s="135"/>
      <c r="BY610" s="135"/>
      <c r="BZ610" s="135"/>
      <c r="CA610" s="135"/>
      <c r="CB610" s="135"/>
      <c r="CC610" s="135"/>
      <c r="CD610" s="135"/>
      <c r="CE610" s="135"/>
      <c r="CF610" s="135"/>
      <c r="CG610" s="135"/>
      <c r="CH610" s="135"/>
      <c r="CI610" s="185"/>
      <c r="CJ610" s="187"/>
      <c r="CK610" s="136">
        <f t="shared" si="205"/>
        <v>1.9165229579445921E-3</v>
      </c>
      <c r="CL610" s="188"/>
      <c r="CM610" s="188"/>
      <c r="CN610" s="188"/>
      <c r="CO610" s="138" t="s">
        <v>2488</v>
      </c>
      <c r="CP610" s="138" t="s">
        <v>2489</v>
      </c>
      <c r="CQ610" s="191" t="s">
        <v>272</v>
      </c>
      <c r="CR610" s="191"/>
      <c r="CS610" s="135" t="s">
        <v>539</v>
      </c>
      <c r="CT610" s="135"/>
      <c r="CU610" s="135"/>
      <c r="CV610" s="332">
        <f t="shared" si="210"/>
        <v>0.21077545040494555</v>
      </c>
      <c r="CW610" s="329">
        <f t="shared" si="203"/>
        <v>0</v>
      </c>
      <c r="CX610" s="329"/>
      <c r="CY610" s="189" t="s">
        <v>5921</v>
      </c>
    </row>
    <row r="611" spans="1:103" ht="11.25" customHeight="1" x14ac:dyDescent="0.2">
      <c r="A611" s="72">
        <v>609</v>
      </c>
      <c r="B611" s="183">
        <v>1913</v>
      </c>
      <c r="C611" s="133" t="s">
        <v>6874</v>
      </c>
      <c r="D611" s="133"/>
      <c r="E611" s="134"/>
      <c r="F611" s="134" t="s">
        <v>5379</v>
      </c>
      <c r="G611" s="184">
        <v>24602866</v>
      </c>
      <c r="H611" s="138" t="s">
        <v>5380</v>
      </c>
      <c r="I611" s="138" t="s">
        <v>5380</v>
      </c>
      <c r="J611" s="138" t="s">
        <v>5381</v>
      </c>
      <c r="K611" s="138" t="s">
        <v>300</v>
      </c>
      <c r="L611" s="138"/>
      <c r="M611" s="138"/>
      <c r="N611" s="138"/>
      <c r="O611" s="138"/>
      <c r="P611" s="138"/>
      <c r="Q611" s="138"/>
      <c r="R611" s="138"/>
      <c r="S611" s="138"/>
      <c r="T611" s="135">
        <v>297.52</v>
      </c>
      <c r="U611" s="185"/>
      <c r="V611" s="185">
        <v>1.5464506587792419E-3</v>
      </c>
      <c r="W611" s="185">
        <v>6.6069344800759544E-2</v>
      </c>
      <c r="X611" s="185">
        <f>IF(W611=0,V611,W611)</f>
        <v>6.6069344800759544E-2</v>
      </c>
      <c r="Y611" s="204">
        <v>8.7100000000000009</v>
      </c>
      <c r="Z611" s="135">
        <v>6.38</v>
      </c>
      <c r="AA611" s="135"/>
      <c r="AB611" s="135">
        <v>6.7</v>
      </c>
      <c r="AC611" s="135">
        <v>0.65839999999999999</v>
      </c>
      <c r="AD611" s="135">
        <v>6.84</v>
      </c>
      <c r="AE611" s="135">
        <v>7.03</v>
      </c>
      <c r="AF611" s="135">
        <f t="shared" si="206"/>
        <v>6.84</v>
      </c>
      <c r="AG611" s="136">
        <v>6.02</v>
      </c>
      <c r="AH611" s="185">
        <v>1.3200000000000001E-5</v>
      </c>
      <c r="AI611" s="185"/>
      <c r="AJ611" s="136">
        <f t="shared" si="207"/>
        <v>-3.267992395106802</v>
      </c>
      <c r="AK611" s="136"/>
      <c r="AL611" s="136">
        <f t="shared" si="208"/>
        <v>-3.267992395106802</v>
      </c>
      <c r="AM611" s="136">
        <v>-6.8968899999999991</v>
      </c>
      <c r="AN611" s="186">
        <v>-1.99</v>
      </c>
      <c r="AO611" s="481"/>
      <c r="AP611" s="481">
        <v>7.63</v>
      </c>
      <c r="AQ611" s="186" t="s">
        <v>6311</v>
      </c>
      <c r="AR611" s="186" t="s">
        <v>6311</v>
      </c>
      <c r="AS611" s="183"/>
      <c r="AT611" s="137" t="s">
        <v>266</v>
      </c>
      <c r="AU611" s="135">
        <v>6</v>
      </c>
      <c r="AV611" s="135">
        <v>120</v>
      </c>
      <c r="AW611" s="135">
        <v>114</v>
      </c>
      <c r="AX611" s="135">
        <v>28</v>
      </c>
      <c r="AY611" s="135" t="s">
        <v>8728</v>
      </c>
      <c r="AZ611" s="135" t="s">
        <v>1563</v>
      </c>
      <c r="BA611" s="135">
        <v>32</v>
      </c>
      <c r="BB611" s="138" t="s">
        <v>2485</v>
      </c>
      <c r="BC611" s="138" t="s">
        <v>8726</v>
      </c>
      <c r="BD611" s="138" t="s">
        <v>8374</v>
      </c>
      <c r="BE611" s="135" t="s">
        <v>2449</v>
      </c>
      <c r="BF611" s="135" t="s">
        <v>272</v>
      </c>
      <c r="BG611" s="135" t="s">
        <v>272</v>
      </c>
      <c r="BH611" s="135" t="s">
        <v>2486</v>
      </c>
      <c r="BI611" s="185">
        <v>6.3999999999999997E-6</v>
      </c>
      <c r="BJ611" s="185">
        <v>6.4000000000000001E-2</v>
      </c>
      <c r="BK611" s="135"/>
      <c r="BL611" s="185">
        <f t="shared" si="209"/>
        <v>9.570221731095291E-5</v>
      </c>
      <c r="BM611" s="138" t="s">
        <v>2487</v>
      </c>
      <c r="BN611" s="135"/>
      <c r="BO611" s="135"/>
      <c r="BP611" s="135"/>
      <c r="BQ611" s="135"/>
      <c r="BR611" s="138" t="s">
        <v>2496</v>
      </c>
      <c r="BS611" s="135"/>
      <c r="BT611" s="135"/>
      <c r="BU611" s="135"/>
      <c r="BV611" s="135"/>
      <c r="BW611" s="135"/>
      <c r="BX611" s="135"/>
      <c r="BY611" s="135"/>
      <c r="BZ611" s="135"/>
      <c r="CA611" s="135"/>
      <c r="CB611" s="135"/>
      <c r="CC611" s="135"/>
      <c r="CD611" s="135"/>
      <c r="CE611" s="135"/>
      <c r="CF611" s="135"/>
      <c r="CG611" s="135"/>
      <c r="CH611" s="135"/>
      <c r="CI611" s="185"/>
      <c r="CJ611" s="187"/>
      <c r="CK611" s="136">
        <f t="shared" si="205"/>
        <v>1.4953471454836392E-3</v>
      </c>
      <c r="CL611" s="188"/>
      <c r="CM611" s="188"/>
      <c r="CN611" s="188"/>
      <c r="CO611" s="138" t="s">
        <v>2488</v>
      </c>
      <c r="CP611" s="138" t="s">
        <v>2489</v>
      </c>
      <c r="CQ611" s="191" t="s">
        <v>272</v>
      </c>
      <c r="CR611" s="191"/>
      <c r="CS611" s="135" t="s">
        <v>539</v>
      </c>
      <c r="CT611" s="135"/>
      <c r="CU611" s="135"/>
      <c r="CV611" s="332">
        <f t="shared" si="210"/>
        <v>1.0323335125118678</v>
      </c>
      <c r="CW611" s="329">
        <f t="shared" si="203"/>
        <v>1</v>
      </c>
      <c r="CX611" s="329"/>
      <c r="CY611" s="189" t="s">
        <v>5921</v>
      </c>
    </row>
    <row r="612" spans="1:103" ht="11.25" customHeight="1" x14ac:dyDescent="0.2">
      <c r="A612" s="72">
        <v>610</v>
      </c>
      <c r="B612" s="183">
        <v>1867</v>
      </c>
      <c r="C612" s="133" t="s">
        <v>6875</v>
      </c>
      <c r="D612" s="133"/>
      <c r="E612" s="134"/>
      <c r="F612" s="134" t="s">
        <v>5307</v>
      </c>
      <c r="G612" s="184">
        <v>25155300</v>
      </c>
      <c r="H612" s="138" t="s">
        <v>5308</v>
      </c>
      <c r="I612" s="138" t="s">
        <v>5308</v>
      </c>
      <c r="J612" s="138" t="s">
        <v>2204</v>
      </c>
      <c r="K612" s="138" t="s">
        <v>426</v>
      </c>
      <c r="L612" s="138"/>
      <c r="M612" s="138"/>
      <c r="N612" s="138"/>
      <c r="O612" s="138"/>
      <c r="P612" s="138"/>
      <c r="Q612" s="138"/>
      <c r="R612" s="138"/>
      <c r="S612" s="138"/>
      <c r="T612" s="135">
        <v>326.5</v>
      </c>
      <c r="U612" s="185"/>
      <c r="V612" s="185">
        <v>2.1537519142419605E-3</v>
      </c>
      <c r="W612" s="185">
        <v>17.782794100389225</v>
      </c>
      <c r="X612" s="185">
        <f>IF(W612=0,V612,W612)</f>
        <v>17.782794100389225</v>
      </c>
      <c r="Y612" s="204">
        <v>1.76</v>
      </c>
      <c r="Z612" s="135">
        <v>4.78</v>
      </c>
      <c r="AA612" s="135"/>
      <c r="AB612" s="135">
        <v>4.1500000000000004</v>
      </c>
      <c r="AC612" s="135">
        <v>0.40200000000000002</v>
      </c>
      <c r="AD612" s="135">
        <v>5.84</v>
      </c>
      <c r="AE612" s="135">
        <v>6.77</v>
      </c>
      <c r="AF612" s="135">
        <f t="shared" si="206"/>
        <v>5.84</v>
      </c>
      <c r="AG612" s="136">
        <v>5.84</v>
      </c>
      <c r="AH612" s="185">
        <v>6.2699999999999999E-8</v>
      </c>
      <c r="AI612" s="185"/>
      <c r="AJ612" s="136">
        <f t="shared" si="207"/>
        <v>-5.5912987854819356</v>
      </c>
      <c r="AK612" s="136"/>
      <c r="AL612" s="136">
        <f t="shared" si="208"/>
        <v>-5.5912987854819356</v>
      </c>
      <c r="AM612" s="136">
        <v>-12.315449999999998</v>
      </c>
      <c r="AN612" s="186"/>
      <c r="AO612" s="481">
        <v>-0.45</v>
      </c>
      <c r="AP612" s="481"/>
      <c r="AQ612" s="186" t="s">
        <v>6311</v>
      </c>
      <c r="AR612" s="186" t="s">
        <v>6311</v>
      </c>
      <c r="AS612" s="183"/>
      <c r="AT612" s="137" t="s">
        <v>266</v>
      </c>
      <c r="AU612" s="135">
        <v>6</v>
      </c>
      <c r="AV612" s="135">
        <v>120</v>
      </c>
      <c r="AW612" s="135">
        <v>114</v>
      </c>
      <c r="AX612" s="135">
        <v>28</v>
      </c>
      <c r="AY612" s="135" t="s">
        <v>8728</v>
      </c>
      <c r="AZ612" s="135" t="s">
        <v>1563</v>
      </c>
      <c r="BA612" s="135">
        <v>32</v>
      </c>
      <c r="BB612" s="138" t="s">
        <v>2485</v>
      </c>
      <c r="BC612" s="138" t="s">
        <v>8726</v>
      </c>
      <c r="BD612" s="138" t="s">
        <v>8374</v>
      </c>
      <c r="BE612" s="135" t="s">
        <v>2449</v>
      </c>
      <c r="BF612" s="135" t="s">
        <v>272</v>
      </c>
      <c r="BG612" s="135" t="s">
        <v>272</v>
      </c>
      <c r="BH612" s="135" t="s">
        <v>2486</v>
      </c>
      <c r="BI612" s="185">
        <v>6.3999999999999997E-6</v>
      </c>
      <c r="BJ612" s="185">
        <v>6.4000000000000001E-2</v>
      </c>
      <c r="BK612" s="135"/>
      <c r="BL612" s="185">
        <f t="shared" si="209"/>
        <v>2.6174717313305926E-3</v>
      </c>
      <c r="BM612" s="138" t="s">
        <v>2487</v>
      </c>
      <c r="BN612" s="135"/>
      <c r="BO612" s="135"/>
      <c r="BP612" s="135"/>
      <c r="BQ612" s="135"/>
      <c r="BR612" s="138" t="s">
        <v>2496</v>
      </c>
      <c r="BS612" s="135"/>
      <c r="BT612" s="135"/>
      <c r="BU612" s="135"/>
      <c r="BV612" s="135"/>
      <c r="BW612" s="135"/>
      <c r="BX612" s="135"/>
      <c r="BY612" s="135"/>
      <c r="BZ612" s="135"/>
      <c r="CA612" s="135"/>
      <c r="CB612" s="135"/>
      <c r="CC612" s="135"/>
      <c r="CD612" s="135"/>
      <c r="CE612" s="135"/>
      <c r="CF612" s="135"/>
      <c r="CG612" s="135"/>
      <c r="CH612" s="135"/>
      <c r="CI612" s="185"/>
      <c r="CJ612" s="187"/>
      <c r="CK612" s="136">
        <f t="shared" si="205"/>
        <v>4.089799580204051E-2</v>
      </c>
      <c r="CL612" s="188"/>
      <c r="CM612" s="188"/>
      <c r="CN612" s="188"/>
      <c r="CO612" s="138" t="s">
        <v>2488</v>
      </c>
      <c r="CP612" s="138" t="s">
        <v>2489</v>
      </c>
      <c r="CQ612" s="191" t="s">
        <v>272</v>
      </c>
      <c r="CR612" s="191"/>
      <c r="CS612" s="135" t="s">
        <v>539</v>
      </c>
      <c r="CT612" s="135"/>
      <c r="CU612" s="135"/>
      <c r="CV612" s="332">
        <f t="shared" si="210"/>
        <v>277.85615781858161</v>
      </c>
      <c r="CW612" s="329">
        <f t="shared" si="203"/>
        <v>1</v>
      </c>
      <c r="CX612" s="329"/>
      <c r="CY612" s="189" t="s">
        <v>5921</v>
      </c>
    </row>
    <row r="613" spans="1:103" ht="11.25" customHeight="1" x14ac:dyDescent="0.2">
      <c r="A613" s="72">
        <v>611</v>
      </c>
      <c r="B613" s="191">
        <v>1630</v>
      </c>
      <c r="C613" s="128" t="s">
        <v>6876</v>
      </c>
      <c r="D613" s="128"/>
      <c r="E613" s="129"/>
      <c r="F613" s="129" t="s">
        <v>4828</v>
      </c>
      <c r="G613" s="192">
        <v>25265718</v>
      </c>
      <c r="H613" s="139" t="s">
        <v>4829</v>
      </c>
      <c r="I613" s="139" t="s">
        <v>4829</v>
      </c>
      <c r="J613" s="139" t="s">
        <v>4830</v>
      </c>
      <c r="K613" s="139" t="s">
        <v>426</v>
      </c>
      <c r="L613" s="139"/>
      <c r="M613" s="139"/>
      <c r="N613" s="138"/>
      <c r="O613" s="139"/>
      <c r="P613" s="138"/>
      <c r="Q613" s="138"/>
      <c r="R613" s="138"/>
      <c r="S613" s="138"/>
      <c r="T613" s="130">
        <v>134.16999999999999</v>
      </c>
      <c r="U613" s="187">
        <v>7453.2309756279355</v>
      </c>
      <c r="V613" s="185">
        <v>2315.7188641275993</v>
      </c>
      <c r="W613" s="185">
        <v>2344.228815319922</v>
      </c>
      <c r="X613" s="187">
        <v>7453.2309756279355</v>
      </c>
      <c r="Y613" s="194">
        <v>6.8</v>
      </c>
      <c r="Z613" s="130">
        <v>-0.64</v>
      </c>
      <c r="AA613" s="130"/>
      <c r="AB613" s="130">
        <v>-0.56999999999999995</v>
      </c>
      <c r="AC613" s="130">
        <v>0.93169999999999997</v>
      </c>
      <c r="AD613" s="130">
        <v>-0.62</v>
      </c>
      <c r="AE613" s="130">
        <v>-0.82</v>
      </c>
      <c r="AF613" s="130">
        <f t="shared" si="206"/>
        <v>-0.62</v>
      </c>
      <c r="AG613" s="131">
        <v>4.9800000000000004</v>
      </c>
      <c r="AH613" s="187">
        <v>3.58E-9</v>
      </c>
      <c r="AI613" s="187"/>
      <c r="AJ613" s="136">
        <f t="shared" si="207"/>
        <v>-6.8346832996687779</v>
      </c>
      <c r="AK613" s="136"/>
      <c r="AL613" s="136">
        <f t="shared" si="208"/>
        <v>-6.8346832996687779</v>
      </c>
      <c r="AM613" s="136">
        <v>-9.0596099999999993</v>
      </c>
      <c r="AN613" s="193">
        <v>-17.399999999999999</v>
      </c>
      <c r="AO613" s="481">
        <v>14.19</v>
      </c>
      <c r="AP613" s="481"/>
      <c r="AQ613" s="193" t="s">
        <v>6311</v>
      </c>
      <c r="AR613" s="193" t="s">
        <v>6311</v>
      </c>
      <c r="AS613" s="191"/>
      <c r="AT613" s="132" t="s">
        <v>266</v>
      </c>
      <c r="AU613" s="130">
        <v>6</v>
      </c>
      <c r="AV613" s="130">
        <v>120</v>
      </c>
      <c r="AW613" s="130">
        <v>114</v>
      </c>
      <c r="AX613" s="130">
        <v>28</v>
      </c>
      <c r="AY613" s="130" t="s">
        <v>8728</v>
      </c>
      <c r="AZ613" s="130" t="s">
        <v>1563</v>
      </c>
      <c r="BA613" s="130">
        <v>32</v>
      </c>
      <c r="BB613" s="139" t="s">
        <v>2485</v>
      </c>
      <c r="BC613" s="139" t="s">
        <v>8726</v>
      </c>
      <c r="BD613" s="139" t="s">
        <v>8374</v>
      </c>
      <c r="BE613" s="130" t="s">
        <v>2449</v>
      </c>
      <c r="BF613" s="130" t="s">
        <v>272</v>
      </c>
      <c r="BG613" s="130" t="s">
        <v>272</v>
      </c>
      <c r="BH613" s="130" t="s">
        <v>2486</v>
      </c>
      <c r="BI613" s="187">
        <v>6.3999999999999997E-6</v>
      </c>
      <c r="BJ613" s="187">
        <v>6.4000000000000001E-2</v>
      </c>
      <c r="BK613" s="130"/>
      <c r="BL613" s="187">
        <f t="shared" si="209"/>
        <v>193.0118618126975</v>
      </c>
      <c r="BM613" s="139" t="s">
        <v>2487</v>
      </c>
      <c r="BN613" s="130"/>
      <c r="BO613" s="130"/>
      <c r="BP613" s="130"/>
      <c r="BQ613" s="130"/>
      <c r="BR613" s="139" t="s">
        <v>2496</v>
      </c>
      <c r="BS613" s="130"/>
      <c r="BT613" s="130"/>
      <c r="BU613" s="195"/>
      <c r="BV613" s="130"/>
      <c r="BW613" s="130"/>
      <c r="BX613" s="130"/>
      <c r="BY613" s="130"/>
      <c r="BZ613" s="130"/>
      <c r="CA613" s="130"/>
      <c r="CB613" s="130"/>
      <c r="CC613" s="130"/>
      <c r="CD613" s="130"/>
      <c r="CE613" s="130"/>
      <c r="CF613" s="130"/>
      <c r="CG613" s="130"/>
      <c r="CH613" s="130"/>
      <c r="CI613" s="187"/>
      <c r="CJ613" s="187"/>
      <c r="CK613" s="131">
        <f t="shared" si="205"/>
        <v>3015.8103408233983</v>
      </c>
      <c r="CL613" s="188"/>
      <c r="CM613" s="188"/>
      <c r="CN613" s="188"/>
      <c r="CO613" s="139" t="s">
        <v>2488</v>
      </c>
      <c r="CP613" s="139" t="s">
        <v>2489</v>
      </c>
      <c r="CQ613" s="191" t="s">
        <v>272</v>
      </c>
      <c r="CR613" s="191"/>
      <c r="CS613" s="135" t="s">
        <v>539</v>
      </c>
      <c r="CT613" s="135"/>
      <c r="CU613" s="135"/>
      <c r="CV613" s="332">
        <f t="shared" si="210"/>
        <v>116456.73399418649</v>
      </c>
      <c r="CW613" s="329">
        <f t="shared" si="203"/>
        <v>1</v>
      </c>
      <c r="CX613" s="329"/>
      <c r="CY613" s="189" t="s">
        <v>6351</v>
      </c>
    </row>
    <row r="614" spans="1:103" ht="11.25" customHeight="1" x14ac:dyDescent="0.2">
      <c r="A614" s="72">
        <v>612</v>
      </c>
      <c r="B614" s="191">
        <v>269</v>
      </c>
      <c r="C614" s="128" t="s">
        <v>3783</v>
      </c>
      <c r="D614" s="128" t="s">
        <v>6877</v>
      </c>
      <c r="E614" s="129"/>
      <c r="F614" s="129" t="s">
        <v>3784</v>
      </c>
      <c r="G614" s="192">
        <v>68359375</v>
      </c>
      <c r="H614" s="139" t="s">
        <v>3785</v>
      </c>
      <c r="I614" s="139" t="s">
        <v>7946</v>
      </c>
      <c r="J614" s="139" t="s">
        <v>3786</v>
      </c>
      <c r="K614" s="139" t="s">
        <v>2086</v>
      </c>
      <c r="L614" s="139" t="s">
        <v>617</v>
      </c>
      <c r="M614" s="139" t="s">
        <v>1086</v>
      </c>
      <c r="N614" s="138" t="s">
        <v>6376</v>
      </c>
      <c r="O614" s="139" t="s">
        <v>918</v>
      </c>
      <c r="P614" s="138"/>
      <c r="Q614" s="138"/>
      <c r="R614" s="138"/>
      <c r="S614" s="138"/>
      <c r="T614" s="130">
        <v>434.29</v>
      </c>
      <c r="U614" s="187">
        <v>6.9078265675009781E-6</v>
      </c>
      <c r="V614" s="187">
        <v>1.9408690045821916E-5</v>
      </c>
      <c r="W614" s="187">
        <v>3.801893963205611E-5</v>
      </c>
      <c r="X614" s="187">
        <v>6.9078265675009781E-6</v>
      </c>
      <c r="Y614" s="194">
        <v>7</v>
      </c>
      <c r="Z614" s="130">
        <v>5.74</v>
      </c>
      <c r="AA614" s="130">
        <v>5.95</v>
      </c>
      <c r="AB614" s="130">
        <v>6.11</v>
      </c>
      <c r="AC614" s="130">
        <v>0.95440000000000003</v>
      </c>
      <c r="AD614" s="130">
        <v>6.13</v>
      </c>
      <c r="AE614" s="130">
        <v>6.29</v>
      </c>
      <c r="AF614" s="130">
        <f t="shared" si="206"/>
        <v>5.95</v>
      </c>
      <c r="AG614" s="131">
        <v>5.28</v>
      </c>
      <c r="AH614" s="187">
        <v>9.2099999999999995E-7</v>
      </c>
      <c r="AI614" s="187">
        <v>2.9000000000000002E-8</v>
      </c>
      <c r="AJ614" s="136">
        <f t="shared" si="207"/>
        <v>-4.4243066961158029</v>
      </c>
      <c r="AK614" s="136">
        <f>LOG10(AI614*1000/(0.08206*298.15))</f>
        <v>-5.9261683284136959</v>
      </c>
      <c r="AL614" s="136">
        <f t="shared" si="208"/>
        <v>-5.9261683284136959</v>
      </c>
      <c r="AM614" s="136">
        <v>-15.256640000000001</v>
      </c>
      <c r="AN614" s="193">
        <v>-4.42</v>
      </c>
      <c r="AO614" s="481"/>
      <c r="AP614" s="481"/>
      <c r="AQ614" s="193" t="s">
        <v>6311</v>
      </c>
      <c r="AR614" s="193" t="s">
        <v>6312</v>
      </c>
      <c r="AS614" s="191" t="s">
        <v>6</v>
      </c>
      <c r="AT614" s="132" t="s">
        <v>266</v>
      </c>
      <c r="AU614" s="130">
        <v>8</v>
      </c>
      <c r="AV614" s="130">
        <v>144</v>
      </c>
      <c r="AW614" s="130">
        <v>120</v>
      </c>
      <c r="AX614" s="130">
        <v>26</v>
      </c>
      <c r="AY614" s="130" t="s">
        <v>267</v>
      </c>
      <c r="AZ614" s="130" t="s">
        <v>2253</v>
      </c>
      <c r="BA614" s="130">
        <v>2</v>
      </c>
      <c r="BB614" s="139" t="s">
        <v>2254</v>
      </c>
      <c r="BC614" s="139" t="s">
        <v>270</v>
      </c>
      <c r="BD614" s="139" t="s">
        <v>8374</v>
      </c>
      <c r="BE614" s="130" t="s">
        <v>1712</v>
      </c>
      <c r="BF614" s="130" t="s">
        <v>272</v>
      </c>
      <c r="BG614" s="130" t="s">
        <v>272</v>
      </c>
      <c r="BH614" s="130" t="s">
        <v>2255</v>
      </c>
      <c r="BI614" s="187">
        <v>9.9999999999999995E-7</v>
      </c>
      <c r="BJ614" s="187">
        <v>0.08</v>
      </c>
      <c r="BK614" s="130"/>
      <c r="BL614" s="187">
        <f t="shared" si="209"/>
        <v>3.5950588165301766E-4</v>
      </c>
      <c r="BM614" s="130" t="s">
        <v>891</v>
      </c>
      <c r="BN614" s="194"/>
      <c r="BO614" s="194"/>
      <c r="BP614" s="194"/>
      <c r="BQ614" s="194"/>
      <c r="BR614" s="194"/>
      <c r="BS614" s="130"/>
      <c r="BT614" s="194"/>
      <c r="BU614" s="195"/>
      <c r="BV614" s="194"/>
      <c r="BW614" s="194"/>
      <c r="BX614" s="194"/>
      <c r="BY614" s="194"/>
      <c r="BZ614" s="194"/>
      <c r="CA614" s="194"/>
      <c r="CB614" s="194"/>
      <c r="CC614" s="130"/>
      <c r="CD614" s="130"/>
      <c r="CE614" s="130"/>
      <c r="CF614" s="130"/>
      <c r="CG614" s="194"/>
      <c r="CH614" s="130"/>
      <c r="CI614" s="187"/>
      <c r="CJ614" s="187"/>
      <c r="CK614" s="131">
        <f t="shared" si="205"/>
        <v>4.4938235206627205E-3</v>
      </c>
      <c r="CL614" s="188"/>
      <c r="CM614" s="188"/>
      <c r="CN614" s="188"/>
      <c r="CO614" s="139" t="s">
        <v>892</v>
      </c>
      <c r="CP614" s="139" t="s">
        <v>893</v>
      </c>
      <c r="CQ614" s="191">
        <v>-6.1190756218364957</v>
      </c>
      <c r="CR614" s="191">
        <f>10^(CJ614-CQ614)</f>
        <v>1315453.8665942631</v>
      </c>
      <c r="CS614" s="135" t="s">
        <v>539</v>
      </c>
      <c r="CT614" s="135"/>
      <c r="CU614" s="135"/>
      <c r="CV614" s="332">
        <f t="shared" si="210"/>
        <v>8.6347832093762225E-5</v>
      </c>
      <c r="CW614" s="329">
        <f t="shared" si="203"/>
        <v>0</v>
      </c>
      <c r="CX614" s="329" t="s">
        <v>539</v>
      </c>
      <c r="CY614" s="189" t="s">
        <v>5921</v>
      </c>
    </row>
    <row r="615" spans="1:103" ht="11.25" customHeight="1" x14ac:dyDescent="0.2">
      <c r="A615" s="72">
        <v>613</v>
      </c>
      <c r="B615" s="183">
        <v>1610</v>
      </c>
      <c r="C615" s="133" t="s">
        <v>6878</v>
      </c>
      <c r="D615" s="133"/>
      <c r="E615" s="134"/>
      <c r="F615" s="134" t="s">
        <v>4777</v>
      </c>
      <c r="G615" s="184">
        <v>27178161</v>
      </c>
      <c r="H615" s="138" t="s">
        <v>4778</v>
      </c>
      <c r="I615" s="138" t="s">
        <v>4778</v>
      </c>
      <c r="J615" s="138" t="s">
        <v>4779</v>
      </c>
      <c r="K615" s="138" t="s">
        <v>357</v>
      </c>
      <c r="L615" s="138"/>
      <c r="M615" s="138"/>
      <c r="N615" s="138"/>
      <c r="O615" s="138"/>
      <c r="P615" s="138"/>
      <c r="Q615" s="138"/>
      <c r="R615" s="138"/>
      <c r="S615" s="138"/>
      <c r="T615" s="135">
        <v>426.67</v>
      </c>
      <c r="U615" s="185">
        <v>1.0312419434223169E-7</v>
      </c>
      <c r="V615" s="185">
        <v>1.2067874469730706E-8</v>
      </c>
      <c r="W615" s="185">
        <v>9.9999999999999991E-5</v>
      </c>
      <c r="X615" s="185">
        <v>1.0312419434223169E-7</v>
      </c>
      <c r="Y615" s="204">
        <v>7</v>
      </c>
      <c r="Z615" s="135">
        <v>10.08</v>
      </c>
      <c r="AA615" s="135"/>
      <c r="AB615" s="135">
        <v>7.36</v>
      </c>
      <c r="AC615" s="135">
        <v>0.48509999999999998</v>
      </c>
      <c r="AD615" s="135">
        <v>8.8800000000000008</v>
      </c>
      <c r="AE615" s="135">
        <v>10.23</v>
      </c>
      <c r="AF615" s="135">
        <f t="shared" si="206"/>
        <v>8.8800000000000008</v>
      </c>
      <c r="AG615" s="136">
        <v>8.8800000000000008</v>
      </c>
      <c r="AH615" s="185">
        <v>1.6000000000000001E-4</v>
      </c>
      <c r="AI615" s="185"/>
      <c r="AJ615" s="136">
        <f t="shared" si="207"/>
        <v>-2.184446343656727</v>
      </c>
      <c r="AK615" s="136"/>
      <c r="AL615" s="136">
        <f t="shared" si="208"/>
        <v>-2.184446343656727</v>
      </c>
      <c r="AM615" s="136">
        <v>-8.4725400000000004</v>
      </c>
      <c r="AN615" s="186"/>
      <c r="AO615" s="481"/>
      <c r="AP615" s="481"/>
      <c r="AQ615" s="135" t="s">
        <v>6311</v>
      </c>
      <c r="AR615" s="135" t="s">
        <v>6312</v>
      </c>
      <c r="AS615" s="190"/>
      <c r="AT615" s="137" t="s">
        <v>266</v>
      </c>
      <c r="AU615" s="135">
        <v>6</v>
      </c>
      <c r="AV615" s="135">
        <v>120</v>
      </c>
      <c r="AW615" s="135">
        <v>114</v>
      </c>
      <c r="AX615" s="135">
        <v>28</v>
      </c>
      <c r="AY615" s="135" t="s">
        <v>8728</v>
      </c>
      <c r="AZ615" s="135" t="s">
        <v>1563</v>
      </c>
      <c r="BA615" s="135">
        <v>32</v>
      </c>
      <c r="BB615" s="138" t="s">
        <v>2485</v>
      </c>
      <c r="BC615" s="138" t="s">
        <v>8726</v>
      </c>
      <c r="BD615" s="138" t="s">
        <v>8374</v>
      </c>
      <c r="BE615" s="135" t="s">
        <v>2449</v>
      </c>
      <c r="BF615" s="135" t="s">
        <v>272</v>
      </c>
      <c r="BG615" s="135" t="s">
        <v>272</v>
      </c>
      <c r="BH615" s="135" t="s">
        <v>2486</v>
      </c>
      <c r="BI615" s="185">
        <v>6.3999999999999997E-6</v>
      </c>
      <c r="BJ615" s="185">
        <v>6.4000000000000001E-2</v>
      </c>
      <c r="BK615" s="135"/>
      <c r="BL615" s="185">
        <f t="shared" si="209"/>
        <v>4.5493777579012408E-8</v>
      </c>
      <c r="BM615" s="138" t="s">
        <v>2487</v>
      </c>
      <c r="BN615" s="135"/>
      <c r="BO615" s="135"/>
      <c r="BP615" s="135"/>
      <c r="BQ615" s="135"/>
      <c r="BR615" s="138" t="s">
        <v>2496</v>
      </c>
      <c r="BS615" s="135"/>
      <c r="BT615" s="135"/>
      <c r="BU615" s="135"/>
      <c r="BV615" s="135"/>
      <c r="BW615" s="135"/>
      <c r="BX615" s="135"/>
      <c r="BY615" s="135"/>
      <c r="BZ615" s="135"/>
      <c r="CA615" s="135"/>
      <c r="CB615" s="135"/>
      <c r="CC615" s="135"/>
      <c r="CD615" s="135"/>
      <c r="CE615" s="135"/>
      <c r="CF615" s="135"/>
      <c r="CG615" s="135"/>
      <c r="CH615" s="135"/>
      <c r="CI615" s="185"/>
      <c r="CJ615" s="187"/>
      <c r="CK615" s="136">
        <f t="shared" si="205"/>
        <v>7.1084027467206889E-7</v>
      </c>
      <c r="CL615" s="188"/>
      <c r="CM615" s="188"/>
      <c r="CN615" s="188"/>
      <c r="CO615" s="138" t="s">
        <v>2488</v>
      </c>
      <c r="CP615" s="138" t="s">
        <v>2489</v>
      </c>
      <c r="CQ615" s="191" t="s">
        <v>272</v>
      </c>
      <c r="CR615" s="191"/>
      <c r="CS615" s="135" t="s">
        <v>539</v>
      </c>
      <c r="CT615" s="135"/>
      <c r="CU615" s="135"/>
      <c r="CV615" s="332">
        <f t="shared" si="210"/>
        <v>1.6113155365973702E-6</v>
      </c>
      <c r="CW615" s="329">
        <f t="shared" si="203"/>
        <v>0</v>
      </c>
      <c r="CX615" s="329"/>
      <c r="CY615" s="189" t="s">
        <v>6351</v>
      </c>
    </row>
    <row r="616" spans="1:103" ht="11.25" customHeight="1" x14ac:dyDescent="0.2">
      <c r="A616" s="72">
        <v>614</v>
      </c>
      <c r="B616" s="191">
        <v>1825</v>
      </c>
      <c r="C616" s="128" t="s">
        <v>6879</v>
      </c>
      <c r="D616" s="128"/>
      <c r="E616" s="129"/>
      <c r="F616" s="129" t="s">
        <v>5235</v>
      </c>
      <c r="G616" s="192">
        <v>29420493</v>
      </c>
      <c r="H616" s="139" t="s">
        <v>5236</v>
      </c>
      <c r="I616" s="139" t="s">
        <v>5236</v>
      </c>
      <c r="J616" s="139" t="s">
        <v>5237</v>
      </c>
      <c r="K616" s="139" t="s">
        <v>426</v>
      </c>
      <c r="L616" s="139"/>
      <c r="M616" s="139"/>
      <c r="N616" s="138"/>
      <c r="O616" s="139"/>
      <c r="P616" s="138"/>
      <c r="Q616" s="138"/>
      <c r="R616" s="138"/>
      <c r="S616" s="138"/>
      <c r="T616" s="130">
        <v>300.10000000000002</v>
      </c>
      <c r="U616" s="187"/>
      <c r="V616" s="185">
        <v>1.1462845718093968</v>
      </c>
      <c r="W616" s="185">
        <v>3311.3112148259115</v>
      </c>
      <c r="X616" s="185">
        <f>IF(W616=0,V616,W616)</f>
        <v>3311.3112148259115</v>
      </c>
      <c r="Y616" s="194">
        <v>-0.52</v>
      </c>
      <c r="Z616" s="130">
        <v>1.82</v>
      </c>
      <c r="AA616" s="130"/>
      <c r="AB616" s="130">
        <v>0.19</v>
      </c>
      <c r="AC616" s="130">
        <v>0.44590000000000002</v>
      </c>
      <c r="AD616" s="130">
        <v>1.94</v>
      </c>
      <c r="AE616" s="130">
        <v>3.68</v>
      </c>
      <c r="AF616" s="130">
        <f t="shared" si="206"/>
        <v>1.94</v>
      </c>
      <c r="AG616" s="131">
        <v>5.34</v>
      </c>
      <c r="AH616" s="187">
        <v>1.4399999999999999E-5</v>
      </c>
      <c r="AI616" s="187"/>
      <c r="AJ616" s="136">
        <f t="shared" si="207"/>
        <v>-3.2302038342174022</v>
      </c>
      <c r="AK616" s="136"/>
      <c r="AL616" s="136">
        <f t="shared" si="208"/>
        <v>-3.2302038342174022</v>
      </c>
      <c r="AM616" s="136">
        <v>-5.9927100000000006</v>
      </c>
      <c r="AN616" s="193">
        <v>-12.8</v>
      </c>
      <c r="AO616" s="481">
        <v>-3.57</v>
      </c>
      <c r="AP616" s="481"/>
      <c r="AQ616" s="193" t="s">
        <v>6311</v>
      </c>
      <c r="AR616" s="193" t="s">
        <v>6311</v>
      </c>
      <c r="AS616" s="191"/>
      <c r="AT616" s="132" t="s">
        <v>266</v>
      </c>
      <c r="AU616" s="130">
        <v>6</v>
      </c>
      <c r="AV616" s="130">
        <v>120</v>
      </c>
      <c r="AW616" s="130">
        <v>114</v>
      </c>
      <c r="AX616" s="130">
        <v>28</v>
      </c>
      <c r="AY616" s="130" t="s">
        <v>8728</v>
      </c>
      <c r="AZ616" s="130" t="s">
        <v>1563</v>
      </c>
      <c r="BA616" s="130">
        <v>32</v>
      </c>
      <c r="BB616" s="139" t="s">
        <v>2485</v>
      </c>
      <c r="BC616" s="139" t="s">
        <v>8726</v>
      </c>
      <c r="BD616" s="139" t="s">
        <v>8374</v>
      </c>
      <c r="BE616" s="130" t="s">
        <v>2449</v>
      </c>
      <c r="BF616" s="130" t="s">
        <v>272</v>
      </c>
      <c r="BG616" s="130" t="s">
        <v>272</v>
      </c>
      <c r="BH616" s="130" t="s">
        <v>2486</v>
      </c>
      <c r="BI616" s="187">
        <v>6.3999999999999997E-6</v>
      </c>
      <c r="BJ616" s="187">
        <v>6.4000000000000001E-2</v>
      </c>
      <c r="BK616" s="130"/>
      <c r="BL616" s="187">
        <f t="shared" si="209"/>
        <v>1.1919498957840944</v>
      </c>
      <c r="BM616" s="139" t="s">
        <v>2487</v>
      </c>
      <c r="BN616" s="130"/>
      <c r="BO616" s="130"/>
      <c r="BP616" s="130"/>
      <c r="BQ616" s="130"/>
      <c r="BR616" s="139" t="s">
        <v>2496</v>
      </c>
      <c r="BS616" s="130"/>
      <c r="BT616" s="130"/>
      <c r="BU616" s="195"/>
      <c r="BV616" s="130"/>
      <c r="BW616" s="130"/>
      <c r="BX616" s="130"/>
      <c r="BY616" s="130"/>
      <c r="BZ616" s="130"/>
      <c r="CA616" s="130"/>
      <c r="CB616" s="130"/>
      <c r="CC616" s="130"/>
      <c r="CD616" s="130"/>
      <c r="CE616" s="130"/>
      <c r="CF616" s="130"/>
      <c r="CG616" s="130"/>
      <c r="CH616" s="130"/>
      <c r="CI616" s="187"/>
      <c r="CJ616" s="187"/>
      <c r="CK616" s="131">
        <f t="shared" si="205"/>
        <v>18.624217121626476</v>
      </c>
      <c r="CL616" s="188"/>
      <c r="CM616" s="188"/>
      <c r="CN616" s="188"/>
      <c r="CO616" s="139" t="s">
        <v>2488</v>
      </c>
      <c r="CP616" s="139" t="s">
        <v>2489</v>
      </c>
      <c r="CQ616" s="191" t="s">
        <v>272</v>
      </c>
      <c r="CR616" s="191"/>
      <c r="CS616" s="135" t="s">
        <v>539</v>
      </c>
      <c r="CT616" s="135"/>
      <c r="CU616" s="135"/>
      <c r="CV616" s="332">
        <f t="shared" si="210"/>
        <v>51739.237731654866</v>
      </c>
      <c r="CW616" s="329">
        <f t="shared" si="203"/>
        <v>1</v>
      </c>
      <c r="CX616" s="329"/>
      <c r="CY616" s="189" t="s">
        <v>5921</v>
      </c>
    </row>
    <row r="617" spans="1:103" ht="11.25" customHeight="1" x14ac:dyDescent="0.2">
      <c r="A617" s="72">
        <v>615</v>
      </c>
      <c r="B617" s="183">
        <v>1573</v>
      </c>
      <c r="C617" s="133" t="s">
        <v>3783</v>
      </c>
      <c r="D617" s="133" t="s">
        <v>6877</v>
      </c>
      <c r="E617" s="134"/>
      <c r="F617" s="134" t="s">
        <v>3784</v>
      </c>
      <c r="G617" s="184">
        <v>68359375</v>
      </c>
      <c r="H617" s="138" t="s">
        <v>3785</v>
      </c>
      <c r="I617" s="138" t="s">
        <v>7946</v>
      </c>
      <c r="J617" s="138" t="s">
        <v>3786</v>
      </c>
      <c r="K617" s="138" t="s">
        <v>2086</v>
      </c>
      <c r="L617" s="138" t="s">
        <v>617</v>
      </c>
      <c r="M617" s="138" t="s">
        <v>1086</v>
      </c>
      <c r="N617" s="138" t="s">
        <v>6376</v>
      </c>
      <c r="O617" s="138" t="s">
        <v>918</v>
      </c>
      <c r="P617" s="138"/>
      <c r="Q617" s="138"/>
      <c r="R617" s="138"/>
      <c r="S617" s="138"/>
      <c r="T617" s="135">
        <v>434.29</v>
      </c>
      <c r="U617" s="185">
        <v>6.9078265675009781E-6</v>
      </c>
      <c r="V617" s="185">
        <v>1.9408690045821916E-5</v>
      </c>
      <c r="W617" s="185">
        <v>3.801893963205611E-5</v>
      </c>
      <c r="X617" s="185">
        <v>6.9078265675009781E-6</v>
      </c>
      <c r="Y617" s="204">
        <v>7</v>
      </c>
      <c r="Z617" s="135">
        <v>5.74</v>
      </c>
      <c r="AA617" s="135">
        <v>5.95</v>
      </c>
      <c r="AB617" s="135">
        <v>6.11</v>
      </c>
      <c r="AC617" s="135">
        <v>0.95440000000000003</v>
      </c>
      <c r="AD617" s="135">
        <v>6.13</v>
      </c>
      <c r="AE617" s="135">
        <v>6.29</v>
      </c>
      <c r="AF617" s="135">
        <f t="shared" si="206"/>
        <v>5.95</v>
      </c>
      <c r="AG617" s="136">
        <v>5.28</v>
      </c>
      <c r="AH617" s="185">
        <v>9.2099999999999995E-7</v>
      </c>
      <c r="AI617" s="185">
        <v>2.9000000000000002E-8</v>
      </c>
      <c r="AJ617" s="136">
        <f t="shared" si="207"/>
        <v>-4.4243066961158029</v>
      </c>
      <c r="AK617" s="136">
        <f>LOG10(AI617*1000/(0.08206*298.15))</f>
        <v>-5.9261683284136959</v>
      </c>
      <c r="AL617" s="136">
        <f t="shared" si="208"/>
        <v>-5.9261683284136959</v>
      </c>
      <c r="AM617" s="136">
        <v>-15.256640000000001</v>
      </c>
      <c r="AN617" s="186">
        <v>-4.42</v>
      </c>
      <c r="AO617" s="481"/>
      <c r="AP617" s="481"/>
      <c r="AQ617" s="135" t="s">
        <v>6311</v>
      </c>
      <c r="AR617" s="135" t="s">
        <v>6312</v>
      </c>
      <c r="AS617" s="190"/>
      <c r="AT617" s="137" t="s">
        <v>266</v>
      </c>
      <c r="AU617" s="135">
        <v>6</v>
      </c>
      <c r="AV617" s="135">
        <v>120</v>
      </c>
      <c r="AW617" s="135">
        <v>114</v>
      </c>
      <c r="AX617" s="135">
        <v>28</v>
      </c>
      <c r="AY617" s="135" t="s">
        <v>8728</v>
      </c>
      <c r="AZ617" s="135" t="s">
        <v>1563</v>
      </c>
      <c r="BA617" s="135">
        <v>32</v>
      </c>
      <c r="BB617" s="138" t="s">
        <v>2485</v>
      </c>
      <c r="BC617" s="138" t="s">
        <v>8726</v>
      </c>
      <c r="BD617" s="138" t="s">
        <v>8374</v>
      </c>
      <c r="BE617" s="135" t="s">
        <v>2449</v>
      </c>
      <c r="BF617" s="135" t="s">
        <v>272</v>
      </c>
      <c r="BG617" s="135" t="s">
        <v>272</v>
      </c>
      <c r="BH617" s="135" t="s">
        <v>2486</v>
      </c>
      <c r="BI617" s="185">
        <v>6.3999999999999997E-6</v>
      </c>
      <c r="BJ617" s="185">
        <v>6.4000000000000001E-2</v>
      </c>
      <c r="BK617" s="135"/>
      <c r="BL617" s="185">
        <f t="shared" si="209"/>
        <v>3.5950588165301766E-4</v>
      </c>
      <c r="BM617" s="138" t="s">
        <v>2487</v>
      </c>
      <c r="BN617" s="135"/>
      <c r="BO617" s="135"/>
      <c r="BP617" s="135"/>
      <c r="BQ617" s="135"/>
      <c r="BR617" s="138" t="s">
        <v>2496</v>
      </c>
      <c r="BS617" s="135"/>
      <c r="BT617" s="135"/>
      <c r="BU617" s="135"/>
      <c r="BV617" s="135"/>
      <c r="BW617" s="135"/>
      <c r="BX617" s="135"/>
      <c r="BY617" s="135"/>
      <c r="BZ617" s="135"/>
      <c r="CA617" s="135"/>
      <c r="CB617" s="135"/>
      <c r="CC617" s="135"/>
      <c r="CD617" s="135"/>
      <c r="CE617" s="135"/>
      <c r="CF617" s="135"/>
      <c r="CG617" s="135"/>
      <c r="CH617" s="135"/>
      <c r="CI617" s="185"/>
      <c r="CJ617" s="187"/>
      <c r="CK617" s="136">
        <f t="shared" si="205"/>
        <v>5.617279400828401E-3</v>
      </c>
      <c r="CL617" s="188"/>
      <c r="CM617" s="188"/>
      <c r="CN617" s="188"/>
      <c r="CO617" s="138" t="s">
        <v>2488</v>
      </c>
      <c r="CP617" s="138" t="s">
        <v>2489</v>
      </c>
      <c r="CQ617" s="183">
        <v>-6.1190756218364957</v>
      </c>
      <c r="CR617" s="191">
        <f>10^(CJ617-CQ617)</f>
        <v>1315453.8665942631</v>
      </c>
      <c r="CS617" s="135" t="s">
        <v>539</v>
      </c>
      <c r="CT617" s="135"/>
      <c r="CU617" s="135"/>
      <c r="CV617" s="332">
        <f t="shared" si="210"/>
        <v>1.0793479011720278E-4</v>
      </c>
      <c r="CW617" s="329">
        <f t="shared" si="203"/>
        <v>0</v>
      </c>
      <c r="CX617" s="329"/>
      <c r="CY617" s="189" t="s">
        <v>5921</v>
      </c>
    </row>
    <row r="618" spans="1:103" ht="11.25" customHeight="1" x14ac:dyDescent="0.2">
      <c r="A618" s="72">
        <v>616</v>
      </c>
      <c r="B618" s="183">
        <v>915</v>
      </c>
      <c r="C618" s="133" t="s">
        <v>6880</v>
      </c>
      <c r="D618" s="133"/>
      <c r="E618" s="134"/>
      <c r="F618" s="134" t="s">
        <v>2612</v>
      </c>
      <c r="G618" s="184">
        <v>36653824</v>
      </c>
      <c r="H618" s="138" t="s">
        <v>2613</v>
      </c>
      <c r="I618" s="138" t="s">
        <v>2613</v>
      </c>
      <c r="J618" s="138" t="s">
        <v>2614</v>
      </c>
      <c r="K618" s="138" t="s">
        <v>426</v>
      </c>
      <c r="L618" s="138"/>
      <c r="M618" s="138"/>
      <c r="N618" s="138"/>
      <c r="O618" s="138"/>
      <c r="P618" s="138"/>
      <c r="Q618" s="138" t="s">
        <v>6173</v>
      </c>
      <c r="R618" s="138" t="s">
        <v>6185</v>
      </c>
      <c r="S618" s="138" t="s">
        <v>6182</v>
      </c>
      <c r="T618" s="135">
        <v>242.44</v>
      </c>
      <c r="U618" s="185">
        <v>1.699389539679921E-4</v>
      </c>
      <c r="V618" s="185">
        <v>6.1664741791783533E-4</v>
      </c>
      <c r="W618" s="185">
        <v>8.5113803820237351E-5</v>
      </c>
      <c r="X618" s="185">
        <v>1.699389539679921E-4</v>
      </c>
      <c r="Y618" s="204">
        <v>7</v>
      </c>
      <c r="Z618" s="135">
        <v>6.73</v>
      </c>
      <c r="AA618" s="135"/>
      <c r="AB618" s="135">
        <v>6.75</v>
      </c>
      <c r="AC618" s="135">
        <v>0.86329999999999996</v>
      </c>
      <c r="AD618" s="135">
        <v>6.89</v>
      </c>
      <c r="AE618" s="135">
        <v>7.25</v>
      </c>
      <c r="AF618" s="135">
        <f t="shared" si="206"/>
        <v>6.89</v>
      </c>
      <c r="AG618" s="136">
        <v>6.17</v>
      </c>
      <c r="AH618" s="185">
        <v>2.99E-4</v>
      </c>
      <c r="AI618" s="185">
        <v>4.6499999999999999E-5</v>
      </c>
      <c r="AJ618" s="136">
        <f t="shared" si="207"/>
        <v>-1.9128951379882222</v>
      </c>
      <c r="AK618" s="136">
        <f>LOG10(AI618*1000/(0.08206*298.15))</f>
        <v>-2.721113373422698</v>
      </c>
      <c r="AL618" s="136">
        <f t="shared" si="208"/>
        <v>-2.721113373422698</v>
      </c>
      <c r="AM618" s="136">
        <v>-4.9857899999999997</v>
      </c>
      <c r="AN618" s="186">
        <v>-1.72</v>
      </c>
      <c r="AO618" s="481">
        <v>15.2</v>
      </c>
      <c r="AP618" s="481"/>
      <c r="AQ618" s="135" t="s">
        <v>6311</v>
      </c>
      <c r="AR618" s="135" t="s">
        <v>6311</v>
      </c>
      <c r="AS618" s="190"/>
      <c r="AT618" s="137" t="s">
        <v>266</v>
      </c>
      <c r="AU618" s="135">
        <v>6</v>
      </c>
      <c r="AV618" s="135">
        <v>120</v>
      </c>
      <c r="AW618" s="135">
        <v>114</v>
      </c>
      <c r="AX618" s="135">
        <v>28</v>
      </c>
      <c r="AY618" s="135" t="s">
        <v>8728</v>
      </c>
      <c r="AZ618" s="135" t="s">
        <v>1563</v>
      </c>
      <c r="BA618" s="135">
        <v>32</v>
      </c>
      <c r="BB618" s="138" t="s">
        <v>2485</v>
      </c>
      <c r="BC618" s="138" t="s">
        <v>8726</v>
      </c>
      <c r="BD618" s="138" t="s">
        <v>8374</v>
      </c>
      <c r="BE618" s="135" t="s">
        <v>2449</v>
      </c>
      <c r="BF618" s="135" t="s">
        <v>272</v>
      </c>
      <c r="BG618" s="135" t="s">
        <v>272</v>
      </c>
      <c r="BH618" s="135" t="s">
        <v>2486</v>
      </c>
      <c r="BI618" s="185">
        <v>6.3999999999999997E-6</v>
      </c>
      <c r="BJ618" s="185">
        <v>6.4000000000000001E-2</v>
      </c>
      <c r="BK618" s="135"/>
      <c r="BL618" s="185">
        <f t="shared" si="209"/>
        <v>4.6407374619932546E-5</v>
      </c>
      <c r="BM618" s="138" t="s">
        <v>2487</v>
      </c>
      <c r="BN618" s="135"/>
      <c r="BO618" s="135"/>
      <c r="BP618" s="135"/>
      <c r="BQ618" s="135"/>
      <c r="BR618" s="138" t="s">
        <v>2496</v>
      </c>
      <c r="BS618" s="135"/>
      <c r="BT618" s="135"/>
      <c r="BU618" s="135">
        <v>6.3999999999999997E-6</v>
      </c>
      <c r="BV618" s="135"/>
      <c r="BW618" s="135"/>
      <c r="BX618" s="135"/>
      <c r="BY618" s="135"/>
      <c r="BZ618" s="135"/>
      <c r="CA618" s="135"/>
      <c r="CB618" s="135"/>
      <c r="CC618" s="135"/>
      <c r="CD618" s="135"/>
      <c r="CE618" s="135"/>
      <c r="CF618" s="135"/>
      <c r="CG618" s="135"/>
      <c r="CH618" s="135"/>
      <c r="CI618" s="185"/>
      <c r="CJ618" s="187"/>
      <c r="CK618" s="136">
        <f t="shared" si="205"/>
        <v>7.25115228436446E-4</v>
      </c>
      <c r="CL618" s="188"/>
      <c r="CM618" s="188"/>
      <c r="CN618" s="188"/>
      <c r="CO618" s="138" t="s">
        <v>2488</v>
      </c>
      <c r="CP618" s="138" t="s">
        <v>2489</v>
      </c>
      <c r="CQ618" s="191" t="s">
        <v>272</v>
      </c>
      <c r="CR618" s="191"/>
      <c r="CS618" s="135" t="s">
        <v>539</v>
      </c>
      <c r="CT618" s="135"/>
      <c r="CU618" s="135"/>
      <c r="CV618" s="332">
        <f t="shared" si="210"/>
        <v>2.6552961557498767E-3</v>
      </c>
      <c r="CW618" s="329">
        <f t="shared" si="203"/>
        <v>0</v>
      </c>
      <c r="CX618" s="329"/>
      <c r="CY618" s="189" t="s">
        <v>6351</v>
      </c>
    </row>
    <row r="619" spans="1:103" ht="11.25" customHeight="1" x14ac:dyDescent="0.2">
      <c r="A619" s="72">
        <v>617</v>
      </c>
      <c r="B619" s="183">
        <v>1300</v>
      </c>
      <c r="C619" s="133" t="s">
        <v>6881</v>
      </c>
      <c r="D619" s="133"/>
      <c r="E619" s="134"/>
      <c r="F619" s="134" t="s">
        <v>3567</v>
      </c>
      <c r="G619" s="184">
        <v>36673162</v>
      </c>
      <c r="H619" s="138" t="s">
        <v>3568</v>
      </c>
      <c r="I619" s="138" t="s">
        <v>3568</v>
      </c>
      <c r="J619" s="138" t="s">
        <v>3569</v>
      </c>
      <c r="K619" s="138" t="s">
        <v>403</v>
      </c>
      <c r="L619" s="138"/>
      <c r="M619" s="138"/>
      <c r="N619" s="138"/>
      <c r="O619" s="138"/>
      <c r="P619" s="138"/>
      <c r="Q619" s="138"/>
      <c r="R619" s="138"/>
      <c r="S619" s="138"/>
      <c r="T619" s="135">
        <v>462.41</v>
      </c>
      <c r="U619" s="185"/>
      <c r="V619" s="185">
        <v>2162.5829891222074</v>
      </c>
      <c r="W619" s="185"/>
      <c r="X619" s="185">
        <f>IF(W619=0,V619,W619)</f>
        <v>2162.5829891222074</v>
      </c>
      <c r="Y619" s="204"/>
      <c r="Z619" s="135">
        <v>-4.88</v>
      </c>
      <c r="AA619" s="135"/>
      <c r="AB619" s="135"/>
      <c r="AC619" s="135"/>
      <c r="AD619" s="135"/>
      <c r="AE619" s="135"/>
      <c r="AF619" s="135"/>
      <c r="AG619" s="136">
        <v>5.21</v>
      </c>
      <c r="AH619" s="185"/>
      <c r="AI619" s="185"/>
      <c r="AJ619" s="136"/>
      <c r="AK619" s="136"/>
      <c r="AL619" s="136"/>
      <c r="AM619" s="136"/>
      <c r="AN619" s="186">
        <v>-11.6</v>
      </c>
      <c r="AO619" s="481"/>
      <c r="AP619" s="481"/>
      <c r="AQ619" s="135" t="s">
        <v>6311</v>
      </c>
      <c r="AR619" s="135" t="s">
        <v>6311</v>
      </c>
      <c r="AS619" s="190"/>
      <c r="AT619" s="137" t="s">
        <v>266</v>
      </c>
      <c r="AU619" s="135">
        <v>6</v>
      </c>
      <c r="AV619" s="135">
        <v>120</v>
      </c>
      <c r="AW619" s="135">
        <v>114</v>
      </c>
      <c r="AX619" s="135">
        <v>28</v>
      </c>
      <c r="AY619" s="135" t="s">
        <v>8728</v>
      </c>
      <c r="AZ619" s="135" t="s">
        <v>1563</v>
      </c>
      <c r="BA619" s="135">
        <v>32</v>
      </c>
      <c r="BB619" s="138" t="s">
        <v>2485</v>
      </c>
      <c r="BC619" s="138" t="s">
        <v>8726</v>
      </c>
      <c r="BD619" s="138" t="s">
        <v>8374</v>
      </c>
      <c r="BE619" s="135" t="s">
        <v>2449</v>
      </c>
      <c r="BF619" s="135" t="s">
        <v>272</v>
      </c>
      <c r="BG619" s="135" t="s">
        <v>272</v>
      </c>
      <c r="BH619" s="135" t="s">
        <v>2486</v>
      </c>
      <c r="BI619" s="185">
        <v>6.3999999999999997E-6</v>
      </c>
      <c r="BJ619" s="185">
        <v>6.4000000000000001E-2</v>
      </c>
      <c r="BK619" s="135"/>
      <c r="BL619" s="185">
        <f t="shared" si="209"/>
        <v>1240303.587868629</v>
      </c>
      <c r="BM619" s="138" t="s">
        <v>2487</v>
      </c>
      <c r="BN619" s="135"/>
      <c r="BO619" s="135"/>
      <c r="BP619" s="135"/>
      <c r="BQ619" s="135"/>
      <c r="BR619" s="138" t="s">
        <v>2496</v>
      </c>
      <c r="BS619" s="135"/>
      <c r="BT619" s="135"/>
      <c r="BU619" s="135">
        <v>6.4000000000000003E-3</v>
      </c>
      <c r="BV619" s="135"/>
      <c r="BW619" s="135"/>
      <c r="BX619" s="135"/>
      <c r="BY619" s="135"/>
      <c r="BZ619" s="135"/>
      <c r="CA619" s="135"/>
      <c r="CB619" s="135"/>
      <c r="CC619" s="135"/>
      <c r="CD619" s="135"/>
      <c r="CE619" s="135"/>
      <c r="CF619" s="135"/>
      <c r="CG619" s="135"/>
      <c r="CH619" s="135"/>
      <c r="CI619" s="185"/>
      <c r="CJ619" s="187"/>
      <c r="CK619" s="136">
        <f t="shared" si="205"/>
        <v>19379743.560447328</v>
      </c>
      <c r="CL619" s="188"/>
      <c r="CM619" s="188"/>
      <c r="CN619" s="188"/>
      <c r="CO619" s="138" t="s">
        <v>2488</v>
      </c>
      <c r="CP619" s="138" t="s">
        <v>2489</v>
      </c>
      <c r="CQ619" s="191" t="s">
        <v>272</v>
      </c>
      <c r="CR619" s="191"/>
      <c r="CS619" s="135" t="s">
        <v>539</v>
      </c>
      <c r="CT619" s="135"/>
      <c r="CU619" s="135"/>
      <c r="CV619" s="332">
        <f t="shared" si="210"/>
        <v>33790.359205034489</v>
      </c>
      <c r="CW619" s="329">
        <f t="shared" si="203"/>
        <v>1</v>
      </c>
      <c r="CX619" s="329"/>
      <c r="CY619" s="189" t="s">
        <v>5921</v>
      </c>
    </row>
    <row r="620" spans="1:103" ht="11.25" customHeight="1" x14ac:dyDescent="0.2">
      <c r="A620" s="72">
        <v>618</v>
      </c>
      <c r="B620" s="183">
        <v>1253</v>
      </c>
      <c r="C620" s="133" t="s">
        <v>1396</v>
      </c>
      <c r="D620" s="133" t="s">
        <v>6519</v>
      </c>
      <c r="E620" s="134"/>
      <c r="F620" s="134" t="s">
        <v>1397</v>
      </c>
      <c r="G620" s="184">
        <v>41198087</v>
      </c>
      <c r="H620" s="138" t="s">
        <v>1398</v>
      </c>
      <c r="I620" s="138" t="s">
        <v>7947</v>
      </c>
      <c r="J620" s="138" t="s">
        <v>1399</v>
      </c>
      <c r="K620" s="138" t="s">
        <v>637</v>
      </c>
      <c r="L620" s="138" t="s">
        <v>617</v>
      </c>
      <c r="M620" s="138" t="s">
        <v>946</v>
      </c>
      <c r="N620" s="138" t="s">
        <v>6376</v>
      </c>
      <c r="O620" s="138" t="s">
        <v>918</v>
      </c>
      <c r="P620" s="138"/>
      <c r="Q620" s="138"/>
      <c r="R620" s="138"/>
      <c r="S620" s="138"/>
      <c r="T620" s="135">
        <v>373.63</v>
      </c>
      <c r="U620" s="185">
        <v>7.4940449107405729E-2</v>
      </c>
      <c r="V620" s="185">
        <v>1.2001177635628832E-3</v>
      </c>
      <c r="W620" s="185">
        <v>4.265795188015923E-2</v>
      </c>
      <c r="X620" s="185">
        <v>7.4940449107405729E-2</v>
      </c>
      <c r="Y620" s="204">
        <v>7</v>
      </c>
      <c r="Z620" s="135">
        <v>4.82</v>
      </c>
      <c r="AA620" s="135">
        <v>4.68</v>
      </c>
      <c r="AB620" s="135">
        <v>4.34</v>
      </c>
      <c r="AC620" s="135">
        <v>0.82909999999999995</v>
      </c>
      <c r="AD620" s="135">
        <v>4.4000000000000004</v>
      </c>
      <c r="AE620" s="135">
        <v>4.5999999999999996</v>
      </c>
      <c r="AF620" s="135">
        <f t="shared" ref="AF620:AF651" si="211">IF(AA620=0,AD620,AA620)</f>
        <v>4.68</v>
      </c>
      <c r="AG620" s="136">
        <v>4.7300000000000004</v>
      </c>
      <c r="AH620" s="185">
        <v>3.4900000000000001E-8</v>
      </c>
      <c r="AI620" s="185">
        <v>2.2099999999999999E-8</v>
      </c>
      <c r="AJ620" s="136">
        <f>LOG10(AH620*1000/(0.08206*298.15))</f>
        <v>-5.8457408993534719</v>
      </c>
      <c r="AK620" s="136">
        <f>LOG10(AI620*1000/(0.08206*298.15))</f>
        <v>-6.0441740526275414</v>
      </c>
      <c r="AL620" s="136">
        <f t="shared" ref="AL620:AL651" si="212">IF(AK620=0,AJ620,AK620)</f>
        <v>-6.0441740526275414</v>
      </c>
      <c r="AM620" s="136">
        <v>-11.780619999999999</v>
      </c>
      <c r="AN620" s="186">
        <v>-4.54</v>
      </c>
      <c r="AO620" s="481"/>
      <c r="AP620" s="481"/>
      <c r="AQ620" s="135" t="s">
        <v>6315</v>
      </c>
      <c r="AR620" s="135" t="s">
        <v>6315</v>
      </c>
      <c r="AS620" s="190"/>
      <c r="AT620" s="137" t="s">
        <v>266</v>
      </c>
      <c r="AU620" s="135">
        <v>6</v>
      </c>
      <c r="AV620" s="135">
        <v>120</v>
      </c>
      <c r="AW620" s="135">
        <v>114</v>
      </c>
      <c r="AX620" s="135">
        <v>28</v>
      </c>
      <c r="AY620" s="135" t="s">
        <v>8728</v>
      </c>
      <c r="AZ620" s="135" t="s">
        <v>1563</v>
      </c>
      <c r="BA620" s="135">
        <v>32</v>
      </c>
      <c r="BB620" s="138" t="s">
        <v>2485</v>
      </c>
      <c r="BC620" s="138" t="s">
        <v>8726</v>
      </c>
      <c r="BD620" s="138" t="s">
        <v>8374</v>
      </c>
      <c r="BE620" s="135" t="s">
        <v>2449</v>
      </c>
      <c r="BF620" s="135" t="s">
        <v>272</v>
      </c>
      <c r="BG620" s="135" t="s">
        <v>272</v>
      </c>
      <c r="BH620" s="135" t="s">
        <v>2486</v>
      </c>
      <c r="BI620" s="185">
        <v>6.3999999999999997E-6</v>
      </c>
      <c r="BJ620" s="185">
        <v>6.4000000000000001E-2</v>
      </c>
      <c r="BK620" s="135"/>
      <c r="BL620" s="185">
        <f t="shared" si="209"/>
        <v>2.4096723814383521E-3</v>
      </c>
      <c r="BM620" s="138" t="s">
        <v>2487</v>
      </c>
      <c r="BN620" s="135"/>
      <c r="BO620" s="135"/>
      <c r="BP620" s="135"/>
      <c r="BQ620" s="135"/>
      <c r="BR620" s="138" t="s">
        <v>2496</v>
      </c>
      <c r="BS620" s="135"/>
      <c r="BT620" s="135"/>
      <c r="BU620" s="135">
        <v>3.1999999999999999E-5</v>
      </c>
      <c r="BV620" s="135"/>
      <c r="BW620" s="135"/>
      <c r="BX620" s="135"/>
      <c r="BY620" s="135"/>
      <c r="BZ620" s="135"/>
      <c r="CA620" s="135"/>
      <c r="CB620" s="135"/>
      <c r="CC620" s="135"/>
      <c r="CD620" s="135"/>
      <c r="CE620" s="135"/>
      <c r="CF620" s="135"/>
      <c r="CG620" s="135"/>
      <c r="CH620" s="135"/>
      <c r="CI620" s="185"/>
      <c r="CJ620" s="187"/>
      <c r="CK620" s="136">
        <f t="shared" si="205"/>
        <v>3.7651130959974251E-2</v>
      </c>
      <c r="CL620" s="188"/>
      <c r="CM620" s="188">
        <v>-4.1412678345975333</v>
      </c>
      <c r="CN620" s="188">
        <f>BJ620/(10^CM620)</f>
        <v>886.02873859592182</v>
      </c>
      <c r="CO620" s="138" t="s">
        <v>2488</v>
      </c>
      <c r="CP620" s="138" t="s">
        <v>2489</v>
      </c>
      <c r="CQ620" s="183">
        <v>-3.9645846603552095</v>
      </c>
      <c r="CR620" s="191">
        <f>10^(CJ620-CQ620)</f>
        <v>9216.8954323742255</v>
      </c>
      <c r="CS620" s="135" t="s">
        <v>539</v>
      </c>
      <c r="CT620" s="135"/>
      <c r="CU620" s="135"/>
      <c r="CV620" s="332">
        <f t="shared" si="210"/>
        <v>1.1709445173032145</v>
      </c>
      <c r="CW620" s="329">
        <f t="shared" si="203"/>
        <v>1</v>
      </c>
      <c r="CX620" s="329"/>
      <c r="CY620" s="189" t="s">
        <v>6351</v>
      </c>
    </row>
    <row r="621" spans="1:103" ht="11.25" customHeight="1" x14ac:dyDescent="0.2">
      <c r="A621" s="72">
        <v>619</v>
      </c>
      <c r="B621" s="183">
        <v>1804</v>
      </c>
      <c r="C621" s="133" t="s">
        <v>5182</v>
      </c>
      <c r="D621" s="133" t="s">
        <v>6882</v>
      </c>
      <c r="E621" s="134"/>
      <c r="F621" s="134" t="s">
        <v>5183</v>
      </c>
      <c r="G621" s="184">
        <v>2176627</v>
      </c>
      <c r="H621" s="138" t="s">
        <v>5184</v>
      </c>
      <c r="I621" s="138" t="s">
        <v>7948</v>
      </c>
      <c r="J621" s="138" t="s">
        <v>5185</v>
      </c>
      <c r="K621" s="138" t="s">
        <v>1958</v>
      </c>
      <c r="L621" s="138" t="s">
        <v>6025</v>
      </c>
      <c r="M621" s="197" t="s">
        <v>6076</v>
      </c>
      <c r="N621" s="138" t="s">
        <v>6381</v>
      </c>
      <c r="O621" s="138" t="s">
        <v>6083</v>
      </c>
      <c r="P621" s="138"/>
      <c r="Q621" s="138" t="s">
        <v>6173</v>
      </c>
      <c r="R621" s="138" t="s">
        <v>6180</v>
      </c>
      <c r="S621" s="138" t="s">
        <v>6176</v>
      </c>
      <c r="T621" s="135">
        <v>251.32</v>
      </c>
      <c r="U621" s="185"/>
      <c r="V621" s="185">
        <v>8.9487505968486383E-2</v>
      </c>
      <c r="W621" s="185">
        <v>9.7723722095581E-2</v>
      </c>
      <c r="X621" s="185">
        <f>IF(W621=0,V621,W621)</f>
        <v>9.7723722095581E-2</v>
      </c>
      <c r="Y621" s="204">
        <v>7</v>
      </c>
      <c r="Z621" s="135">
        <v>4.03</v>
      </c>
      <c r="AA621" s="135">
        <v>3.53</v>
      </c>
      <c r="AB621" s="135">
        <v>3.97</v>
      </c>
      <c r="AC621" s="135">
        <v>0.82330000000000003</v>
      </c>
      <c r="AD621" s="135">
        <v>3.87</v>
      </c>
      <c r="AE621" s="135">
        <v>3.61</v>
      </c>
      <c r="AF621" s="135">
        <f t="shared" si="211"/>
        <v>3.53</v>
      </c>
      <c r="AG621" s="136">
        <v>4.47</v>
      </c>
      <c r="AH621" s="185">
        <v>6.2700000000000004E-3</v>
      </c>
      <c r="AI621" s="185"/>
      <c r="AJ621" s="136">
        <f t="shared" ref="AJ621:AJ652" si="213">LOG10(AH621*1000/(0.08206*298.15))</f>
        <v>-0.59129878548193526</v>
      </c>
      <c r="AK621" s="136"/>
      <c r="AL621" s="136">
        <f t="shared" si="212"/>
        <v>-0.59129878548193526</v>
      </c>
      <c r="AM621" s="136">
        <v>-5.4686900000000005</v>
      </c>
      <c r="AN621" s="186">
        <v>-2.39</v>
      </c>
      <c r="AO621" s="481"/>
      <c r="AP621" s="481">
        <v>-6.23</v>
      </c>
      <c r="AQ621" s="186" t="s">
        <v>6311</v>
      </c>
      <c r="AR621" s="186" t="s">
        <v>6311</v>
      </c>
      <c r="AS621" s="183"/>
      <c r="AT621" s="137" t="s">
        <v>266</v>
      </c>
      <c r="AU621" s="135">
        <v>6</v>
      </c>
      <c r="AV621" s="135">
        <v>120</v>
      </c>
      <c r="AW621" s="135">
        <v>114</v>
      </c>
      <c r="AX621" s="135">
        <v>28</v>
      </c>
      <c r="AY621" s="135" t="s">
        <v>8728</v>
      </c>
      <c r="AZ621" s="135" t="s">
        <v>1563</v>
      </c>
      <c r="BA621" s="135">
        <v>32</v>
      </c>
      <c r="BB621" s="138" t="s">
        <v>2485</v>
      </c>
      <c r="BC621" s="138" t="s">
        <v>8726</v>
      </c>
      <c r="BD621" s="138" t="s">
        <v>8374</v>
      </c>
      <c r="BE621" s="135" t="s">
        <v>2449</v>
      </c>
      <c r="BF621" s="135" t="s">
        <v>272</v>
      </c>
      <c r="BG621" s="135" t="s">
        <v>272</v>
      </c>
      <c r="BH621" s="135" t="s">
        <v>2486</v>
      </c>
      <c r="BI621" s="185">
        <v>6.3999999999999997E-6</v>
      </c>
      <c r="BJ621" s="185">
        <v>6.4000000000000001E-2</v>
      </c>
      <c r="BK621" s="135"/>
      <c r="BL621" s="185">
        <f t="shared" si="209"/>
        <v>1.2344030894393758E-2</v>
      </c>
      <c r="BM621" s="138" t="s">
        <v>2487</v>
      </c>
      <c r="BN621" s="135"/>
      <c r="BO621" s="135"/>
      <c r="BP621" s="135"/>
      <c r="BQ621" s="135"/>
      <c r="BR621" s="138" t="s">
        <v>2496</v>
      </c>
      <c r="BS621" s="135"/>
      <c r="BT621" s="135"/>
      <c r="BU621" s="135"/>
      <c r="BV621" s="135"/>
      <c r="BW621" s="135"/>
      <c r="BX621" s="135"/>
      <c r="BY621" s="135"/>
      <c r="BZ621" s="135"/>
      <c r="CA621" s="135"/>
      <c r="CB621" s="135"/>
      <c r="CC621" s="135"/>
      <c r="CD621" s="135"/>
      <c r="CE621" s="135"/>
      <c r="CF621" s="135"/>
      <c r="CG621" s="135"/>
      <c r="CH621" s="135"/>
      <c r="CI621" s="185"/>
      <c r="CJ621" s="187"/>
      <c r="CK621" s="136">
        <f t="shared" si="205"/>
        <v>0.19287548272490246</v>
      </c>
      <c r="CL621" s="188"/>
      <c r="CM621" s="188"/>
      <c r="CN621" s="188"/>
      <c r="CO621" s="138" t="s">
        <v>2488</v>
      </c>
      <c r="CP621" s="138" t="s">
        <v>2489</v>
      </c>
      <c r="CQ621" s="183">
        <v>-2.7299811979697775</v>
      </c>
      <c r="CR621" s="191">
        <f>10^(CJ621-CQ621)</f>
        <v>537.00854700854711</v>
      </c>
      <c r="CS621" s="135" t="s">
        <v>539</v>
      </c>
      <c r="CT621" s="135"/>
      <c r="CU621" s="135"/>
      <c r="CV621" s="332">
        <f t="shared" si="210"/>
        <v>1.5269331577434531</v>
      </c>
      <c r="CW621" s="329">
        <f t="shared" si="203"/>
        <v>1</v>
      </c>
      <c r="CX621" s="329"/>
      <c r="CY621" s="189" t="s">
        <v>5921</v>
      </c>
    </row>
    <row r="622" spans="1:103" ht="11.25" customHeight="1" x14ac:dyDescent="0.2">
      <c r="A622" s="72">
        <v>620</v>
      </c>
      <c r="B622" s="183">
        <v>1535</v>
      </c>
      <c r="C622" s="133" t="s">
        <v>998</v>
      </c>
      <c r="D622" s="133" t="s">
        <v>6675</v>
      </c>
      <c r="E622" s="134"/>
      <c r="F622" s="134" t="s">
        <v>999</v>
      </c>
      <c r="G622" s="184">
        <v>23184669</v>
      </c>
      <c r="H622" s="138" t="s">
        <v>1000</v>
      </c>
      <c r="I622" s="138" t="s">
        <v>7949</v>
      </c>
      <c r="J622" s="138" t="s">
        <v>1001</v>
      </c>
      <c r="K622" s="138" t="s">
        <v>924</v>
      </c>
      <c r="L622" s="138" t="s">
        <v>5954</v>
      </c>
      <c r="M622" s="138" t="s">
        <v>6082</v>
      </c>
      <c r="N622" s="138" t="s">
        <v>6082</v>
      </c>
      <c r="O622" s="138" t="s">
        <v>6083</v>
      </c>
      <c r="P622" s="138"/>
      <c r="Q622" s="138"/>
      <c r="R622" s="138"/>
      <c r="S622" s="138"/>
      <c r="T622" s="135">
        <v>311.85000000000002</v>
      </c>
      <c r="U622" s="185">
        <v>6.4133397466730802E-2</v>
      </c>
      <c r="V622" s="185">
        <v>4.8164181497514823E-3</v>
      </c>
      <c r="W622" s="185">
        <v>0.26915348039269166</v>
      </c>
      <c r="X622" s="185">
        <v>6.4133397466730802E-2</v>
      </c>
      <c r="Y622" s="204">
        <v>7</v>
      </c>
      <c r="Z622" s="135">
        <v>4.84</v>
      </c>
      <c r="AA622" s="135">
        <v>4.5</v>
      </c>
      <c r="AB622" s="135">
        <v>3.97</v>
      </c>
      <c r="AC622" s="135">
        <v>0.87309999999999999</v>
      </c>
      <c r="AD622" s="135">
        <v>4.0999999999999996</v>
      </c>
      <c r="AE622" s="135">
        <v>4.51</v>
      </c>
      <c r="AF622" s="135">
        <f t="shared" si="211"/>
        <v>4.5</v>
      </c>
      <c r="AG622" s="136">
        <v>4.5</v>
      </c>
      <c r="AH622" s="185">
        <v>5.2199999999999998E-8</v>
      </c>
      <c r="AI622" s="185">
        <v>5.1E-8</v>
      </c>
      <c r="AJ622" s="136">
        <f t="shared" si="213"/>
        <v>-5.6708958233103894</v>
      </c>
      <c r="AK622" s="136">
        <f>LOG10(AI622*1000/(0.08206*298.15))</f>
        <v>-5.6809961502147157</v>
      </c>
      <c r="AL622" s="136">
        <f t="shared" si="212"/>
        <v>-5.6809961502147157</v>
      </c>
      <c r="AM622" s="136">
        <v>-11.024289999999999</v>
      </c>
      <c r="AN622" s="186">
        <v>-4.9400000000000004</v>
      </c>
      <c r="AO622" s="481"/>
      <c r="AP622" s="481">
        <v>1.2</v>
      </c>
      <c r="AQ622" s="135" t="s">
        <v>6311</v>
      </c>
      <c r="AR622" s="135" t="s">
        <v>6311</v>
      </c>
      <c r="AS622" s="190"/>
      <c r="AT622" s="137" t="s">
        <v>266</v>
      </c>
      <c r="AU622" s="135">
        <v>6</v>
      </c>
      <c r="AV622" s="135">
        <v>120</v>
      </c>
      <c r="AW622" s="135">
        <v>114</v>
      </c>
      <c r="AX622" s="135">
        <v>28</v>
      </c>
      <c r="AY622" s="135" t="s">
        <v>8728</v>
      </c>
      <c r="AZ622" s="135" t="s">
        <v>1563</v>
      </c>
      <c r="BA622" s="135">
        <v>32</v>
      </c>
      <c r="BB622" s="138" t="s">
        <v>2485</v>
      </c>
      <c r="BC622" s="138" t="s">
        <v>8726</v>
      </c>
      <c r="BD622" s="138" t="s">
        <v>8374</v>
      </c>
      <c r="BE622" s="135" t="s">
        <v>2449</v>
      </c>
      <c r="BF622" s="135" t="s">
        <v>272</v>
      </c>
      <c r="BG622" s="135" t="s">
        <v>272</v>
      </c>
      <c r="BH622" s="135" t="s">
        <v>2486</v>
      </c>
      <c r="BI622" s="185">
        <v>6.3999999999999997E-6</v>
      </c>
      <c r="BJ622" s="185">
        <v>6.4000000000000001E-2</v>
      </c>
      <c r="BK622" s="135"/>
      <c r="BL622" s="185">
        <f t="shared" si="209"/>
        <v>2.3120434953699822E-3</v>
      </c>
      <c r="BM622" s="138" t="s">
        <v>2487</v>
      </c>
      <c r="BN622" s="135"/>
      <c r="BO622" s="135"/>
      <c r="BP622" s="135"/>
      <c r="BQ622" s="135"/>
      <c r="BR622" s="138" t="s">
        <v>2496</v>
      </c>
      <c r="BS622" s="135"/>
      <c r="BT622" s="135"/>
      <c r="BU622" s="135"/>
      <c r="BV622" s="135"/>
      <c r="BW622" s="135"/>
      <c r="BX622" s="135"/>
      <c r="BY622" s="135"/>
      <c r="BZ622" s="135"/>
      <c r="CA622" s="135"/>
      <c r="CB622" s="135"/>
      <c r="CC622" s="135"/>
      <c r="CD622" s="135"/>
      <c r="CE622" s="135"/>
      <c r="CF622" s="135"/>
      <c r="CG622" s="135"/>
      <c r="CH622" s="135"/>
      <c r="CI622" s="185"/>
      <c r="CJ622" s="187"/>
      <c r="CK622" s="136">
        <f t="shared" si="205"/>
        <v>3.6125679615155969E-2</v>
      </c>
      <c r="CL622" s="188"/>
      <c r="CM622" s="188">
        <v>-2.8458726839612218</v>
      </c>
      <c r="CN622" s="188">
        <f>BJ622/(10^CM622)</f>
        <v>44.879980334089112</v>
      </c>
      <c r="CO622" s="138" t="s">
        <v>2488</v>
      </c>
      <c r="CP622" s="138" t="s">
        <v>2489</v>
      </c>
      <c r="CQ622" s="183">
        <v>-2.8458726839612218</v>
      </c>
      <c r="CR622" s="191">
        <f>10^(CJ622-CQ622)</f>
        <v>701.24969272014243</v>
      </c>
      <c r="CS622" s="135" t="s">
        <v>539</v>
      </c>
      <c r="CT622" s="135"/>
      <c r="CU622" s="135"/>
      <c r="CV622" s="332">
        <f t="shared" si="210"/>
        <v>1.0020843354176687</v>
      </c>
      <c r="CW622" s="329">
        <f t="shared" si="203"/>
        <v>1</v>
      </c>
      <c r="CX622" s="329"/>
      <c r="CY622" s="189" t="s">
        <v>5921</v>
      </c>
    </row>
    <row r="623" spans="1:103" ht="11.25" customHeight="1" x14ac:dyDescent="0.2">
      <c r="A623" s="72">
        <v>621</v>
      </c>
      <c r="B623" s="183">
        <v>1905</v>
      </c>
      <c r="C623" s="133" t="s">
        <v>1517</v>
      </c>
      <c r="D623" s="133" t="s">
        <v>6570</v>
      </c>
      <c r="E623" s="134"/>
      <c r="F623" s="134" t="s">
        <v>1518</v>
      </c>
      <c r="G623" s="184">
        <v>87820880</v>
      </c>
      <c r="H623" s="138" t="s">
        <v>1519</v>
      </c>
      <c r="I623" s="138" t="s">
        <v>1519</v>
      </c>
      <c r="J623" s="138" t="s">
        <v>1520</v>
      </c>
      <c r="K623" s="138" t="s">
        <v>1521</v>
      </c>
      <c r="L623" s="138" t="s">
        <v>6014</v>
      </c>
      <c r="M623" s="138" t="s">
        <v>2342</v>
      </c>
      <c r="N623" s="138" t="s">
        <v>2342</v>
      </c>
      <c r="O623" s="138"/>
      <c r="P623" s="138"/>
      <c r="Q623" s="138"/>
      <c r="R623" s="138"/>
      <c r="S623" s="138"/>
      <c r="T623" s="135">
        <v>329.43</v>
      </c>
      <c r="U623" s="185">
        <v>1.5177731232735331E-2</v>
      </c>
      <c r="V623" s="185">
        <v>3.8794281030871507E-3</v>
      </c>
      <c r="W623" s="185">
        <v>0.10715193052376051</v>
      </c>
      <c r="X623" s="185">
        <v>1.5177731232735331E-2</v>
      </c>
      <c r="Y623" s="204">
        <v>4.1100000000000003</v>
      </c>
      <c r="Z623" s="135">
        <v>4.87</v>
      </c>
      <c r="AA623" s="135">
        <v>4.46</v>
      </c>
      <c r="AB623" s="135">
        <v>4.7</v>
      </c>
      <c r="AC623" s="135">
        <v>0.82740000000000002</v>
      </c>
      <c r="AD623" s="135">
        <v>4.7699999999999996</v>
      </c>
      <c r="AE623" s="135">
        <v>5.0199999999999996</v>
      </c>
      <c r="AF623" s="135">
        <f t="shared" si="211"/>
        <v>4.46</v>
      </c>
      <c r="AG623" s="136">
        <v>4.4400000000000004</v>
      </c>
      <c r="AH623" s="185">
        <v>5.3200000000000001E-11</v>
      </c>
      <c r="AI623" s="185">
        <v>2.4099999999999999E-10</v>
      </c>
      <c r="AJ623" s="136">
        <f t="shared" si="213"/>
        <v>-8.6626546940176041</v>
      </c>
      <c r="AK623" s="136">
        <f>LOG10(AI623*1000/(0.08206*298.15))</f>
        <v>-8.0065492837377832</v>
      </c>
      <c r="AL623" s="136">
        <f t="shared" si="212"/>
        <v>-8.0065492837377832</v>
      </c>
      <c r="AM623" s="136">
        <v>-13.150559999999999</v>
      </c>
      <c r="AN623" s="186">
        <v>-8.9499999999999993</v>
      </c>
      <c r="AO623" s="481">
        <v>3.66</v>
      </c>
      <c r="AP623" s="481"/>
      <c r="AQ623" s="186" t="s">
        <v>6311</v>
      </c>
      <c r="AR623" s="186" t="s">
        <v>6311</v>
      </c>
      <c r="AS623" s="183"/>
      <c r="AT623" s="137" t="s">
        <v>266</v>
      </c>
      <c r="AU623" s="135">
        <v>6</v>
      </c>
      <c r="AV623" s="135">
        <v>120</v>
      </c>
      <c r="AW623" s="135">
        <v>114</v>
      </c>
      <c r="AX623" s="135">
        <v>28</v>
      </c>
      <c r="AY623" s="135" t="s">
        <v>8728</v>
      </c>
      <c r="AZ623" s="135" t="s">
        <v>1563</v>
      </c>
      <c r="BA623" s="135">
        <v>32</v>
      </c>
      <c r="BB623" s="138" t="s">
        <v>2485</v>
      </c>
      <c r="BC623" s="138" t="s">
        <v>8726</v>
      </c>
      <c r="BD623" s="138" t="s">
        <v>8374</v>
      </c>
      <c r="BE623" s="135" t="s">
        <v>2449</v>
      </c>
      <c r="BF623" s="135" t="s">
        <v>272</v>
      </c>
      <c r="BG623" s="135" t="s">
        <v>272</v>
      </c>
      <c r="BH623" s="135" t="s">
        <v>2486</v>
      </c>
      <c r="BI623" s="185">
        <v>6.3999999999999997E-6</v>
      </c>
      <c r="BJ623" s="185">
        <v>6.4000000000000001E-2</v>
      </c>
      <c r="BK623" s="135"/>
      <c r="BL623" s="185">
        <f t="shared" si="209"/>
        <v>2.1729663449987923E-3</v>
      </c>
      <c r="BM623" s="138" t="s">
        <v>2487</v>
      </c>
      <c r="BN623" s="135"/>
      <c r="BO623" s="135"/>
      <c r="BP623" s="135"/>
      <c r="BQ623" s="135"/>
      <c r="BR623" s="138" t="s">
        <v>2496</v>
      </c>
      <c r="BS623" s="135"/>
      <c r="BT623" s="135"/>
      <c r="BU623" s="135"/>
      <c r="BV623" s="135"/>
      <c r="BW623" s="135"/>
      <c r="BX623" s="135"/>
      <c r="BY623" s="135"/>
      <c r="BZ623" s="135"/>
      <c r="CA623" s="135"/>
      <c r="CB623" s="135"/>
      <c r="CC623" s="135"/>
      <c r="CD623" s="135"/>
      <c r="CE623" s="135"/>
      <c r="CF623" s="135"/>
      <c r="CG623" s="135"/>
      <c r="CH623" s="135"/>
      <c r="CI623" s="185"/>
      <c r="CJ623" s="187"/>
      <c r="CK623" s="136">
        <f t="shared" si="205"/>
        <v>3.3952599140606131E-2</v>
      </c>
      <c r="CL623" s="188"/>
      <c r="CM623" s="188">
        <v>-0.87431046977801152</v>
      </c>
      <c r="CN623" s="188">
        <f>BJ623/(10^CM623)</f>
        <v>0.4791709090909092</v>
      </c>
      <c r="CO623" s="138" t="s">
        <v>2488</v>
      </c>
      <c r="CP623" s="138" t="s">
        <v>2489</v>
      </c>
      <c r="CQ623" s="183">
        <v>-0.87431046977801152</v>
      </c>
      <c r="CR623" s="191">
        <f>10^(CJ623-CQ623)</f>
        <v>7.4870454545454557</v>
      </c>
      <c r="CS623" s="135" t="s">
        <v>539</v>
      </c>
      <c r="CT623" s="135"/>
      <c r="CU623" s="135"/>
      <c r="CV623" s="332">
        <f t="shared" si="210"/>
        <v>0.23715205051148955</v>
      </c>
      <c r="CW623" s="329">
        <f t="shared" si="203"/>
        <v>0</v>
      </c>
      <c r="CX623" s="329"/>
      <c r="CY623" s="189" t="s">
        <v>5921</v>
      </c>
    </row>
    <row r="624" spans="1:103" ht="11.25" customHeight="1" x14ac:dyDescent="0.2">
      <c r="A624" s="72">
        <v>622</v>
      </c>
      <c r="B624" s="183">
        <v>1134</v>
      </c>
      <c r="C624" s="133" t="s">
        <v>6883</v>
      </c>
      <c r="D624" s="133"/>
      <c r="E624" s="134"/>
      <c r="F624" s="134" t="s">
        <v>3166</v>
      </c>
      <c r="G624" s="184">
        <v>49562289</v>
      </c>
      <c r="H624" s="138" t="s">
        <v>3167</v>
      </c>
      <c r="I624" s="138" t="s">
        <v>7950</v>
      </c>
      <c r="J624" s="138" t="s">
        <v>3168</v>
      </c>
      <c r="K624" s="138" t="s">
        <v>357</v>
      </c>
      <c r="L624" s="138" t="s">
        <v>279</v>
      </c>
      <c r="M624" s="138" t="s">
        <v>3169</v>
      </c>
      <c r="N624" s="138" t="s">
        <v>6383</v>
      </c>
      <c r="O624" s="138" t="s">
        <v>281</v>
      </c>
      <c r="P624" s="138"/>
      <c r="Q624" s="138"/>
      <c r="R624" s="138"/>
      <c r="S624" s="138"/>
      <c r="T624" s="135">
        <v>360.83</v>
      </c>
      <c r="U624" s="185"/>
      <c r="V624" s="185">
        <v>5.4236066845883113E-4</v>
      </c>
      <c r="W624" s="185">
        <v>6.3095734448019216E-3</v>
      </c>
      <c r="X624" s="185">
        <f>IF(W624=0,V624,W624)</f>
        <v>6.3095734448019216E-3</v>
      </c>
      <c r="Y624" s="204">
        <v>7</v>
      </c>
      <c r="Z624" s="135">
        <v>5.19</v>
      </c>
      <c r="AA624" s="135"/>
      <c r="AB624" s="135">
        <v>5.0999999999999996</v>
      </c>
      <c r="AC624" s="135">
        <v>0.7853</v>
      </c>
      <c r="AD624" s="135">
        <v>5.01</v>
      </c>
      <c r="AE624" s="135">
        <v>4.8</v>
      </c>
      <c r="AF624" s="135">
        <f t="shared" si="211"/>
        <v>5.01</v>
      </c>
      <c r="AG624" s="136">
        <v>5.01</v>
      </c>
      <c r="AH624" s="185">
        <v>4.4599999999999999E-9</v>
      </c>
      <c r="AI624" s="185"/>
      <c r="AJ624" s="136">
        <f t="shared" si="213"/>
        <v>-6.7392314676005096</v>
      </c>
      <c r="AK624" s="136"/>
      <c r="AL624" s="136">
        <f t="shared" si="212"/>
        <v>-6.7392314676005096</v>
      </c>
      <c r="AM624" s="136">
        <v>-13.82502</v>
      </c>
      <c r="AN624" s="186">
        <v>-6.28</v>
      </c>
      <c r="AO624" s="481"/>
      <c r="AP624" s="481"/>
      <c r="AQ624" s="135" t="s">
        <v>6311</v>
      </c>
      <c r="AR624" s="135" t="s">
        <v>6312</v>
      </c>
      <c r="AS624" s="190"/>
      <c r="AT624" s="137" t="s">
        <v>266</v>
      </c>
      <c r="AU624" s="135">
        <v>6</v>
      </c>
      <c r="AV624" s="135">
        <v>120</v>
      </c>
      <c r="AW624" s="135">
        <v>114</v>
      </c>
      <c r="AX624" s="135">
        <v>28</v>
      </c>
      <c r="AY624" s="135" t="s">
        <v>8728</v>
      </c>
      <c r="AZ624" s="135" t="s">
        <v>1563</v>
      </c>
      <c r="BA624" s="135">
        <v>32</v>
      </c>
      <c r="BB624" s="138" t="s">
        <v>2485</v>
      </c>
      <c r="BC624" s="138" t="s">
        <v>8726</v>
      </c>
      <c r="BD624" s="138" t="s">
        <v>8374</v>
      </c>
      <c r="BE624" s="135" t="s">
        <v>2449</v>
      </c>
      <c r="BF624" s="135" t="s">
        <v>272</v>
      </c>
      <c r="BG624" s="135" t="s">
        <v>272</v>
      </c>
      <c r="BH624" s="135" t="s">
        <v>2486</v>
      </c>
      <c r="BI624" s="185">
        <v>6.3999999999999997E-6</v>
      </c>
      <c r="BJ624" s="185">
        <v>6.4000000000000001E-2</v>
      </c>
      <c r="BK624" s="135"/>
      <c r="BL624" s="185">
        <f t="shared" si="209"/>
        <v>1.1211429749698502E-3</v>
      </c>
      <c r="BM624" s="138" t="s">
        <v>2487</v>
      </c>
      <c r="BN624" s="135"/>
      <c r="BO624" s="135"/>
      <c r="BP624" s="135"/>
      <c r="BQ624" s="135"/>
      <c r="BR624" s="138" t="s">
        <v>2496</v>
      </c>
      <c r="BS624" s="135"/>
      <c r="BT624" s="135"/>
      <c r="BU624" s="135">
        <v>6.3999999999999997E-5</v>
      </c>
      <c r="BV624" s="135"/>
      <c r="BW624" s="135"/>
      <c r="BX624" s="135"/>
      <c r="BY624" s="135"/>
      <c r="BZ624" s="135"/>
      <c r="CA624" s="135"/>
      <c r="CB624" s="135"/>
      <c r="CC624" s="135"/>
      <c r="CD624" s="135"/>
      <c r="CE624" s="135"/>
      <c r="CF624" s="135"/>
      <c r="CG624" s="135"/>
      <c r="CH624" s="135"/>
      <c r="CI624" s="185"/>
      <c r="CJ624" s="187"/>
      <c r="CK624" s="136">
        <f t="shared" si="205"/>
        <v>1.7517858983903907E-2</v>
      </c>
      <c r="CL624" s="188"/>
      <c r="CM624" s="188"/>
      <c r="CN624" s="188"/>
      <c r="CO624" s="138" t="s">
        <v>2488</v>
      </c>
      <c r="CP624" s="138" t="s">
        <v>2489</v>
      </c>
      <c r="CQ624" s="191" t="s">
        <v>272</v>
      </c>
      <c r="CR624" s="191"/>
      <c r="CS624" s="135" t="s">
        <v>539</v>
      </c>
      <c r="CT624" s="135"/>
      <c r="CU624" s="135"/>
      <c r="CV624" s="332">
        <f t="shared" si="210"/>
        <v>9.8587085075030029E-2</v>
      </c>
      <c r="CW624" s="329">
        <f t="shared" si="203"/>
        <v>0</v>
      </c>
      <c r="CX624" s="329"/>
      <c r="CY624" s="189" t="s">
        <v>6351</v>
      </c>
    </row>
    <row r="625" spans="1:103" ht="11.25" customHeight="1" x14ac:dyDescent="0.2">
      <c r="A625" s="72">
        <v>623</v>
      </c>
      <c r="B625" s="183">
        <v>1226</v>
      </c>
      <c r="C625" s="133" t="s">
        <v>1341</v>
      </c>
      <c r="D625" s="133" t="s">
        <v>6520</v>
      </c>
      <c r="E625" s="134"/>
      <c r="F625" s="134" t="s">
        <v>1342</v>
      </c>
      <c r="G625" s="184">
        <v>42874033</v>
      </c>
      <c r="H625" s="138" t="s">
        <v>1343</v>
      </c>
      <c r="I625" s="138" t="s">
        <v>7951</v>
      </c>
      <c r="J625" s="138" t="s">
        <v>1344</v>
      </c>
      <c r="K625" s="138" t="s">
        <v>426</v>
      </c>
      <c r="L625" s="138" t="s">
        <v>5248</v>
      </c>
      <c r="M625" s="138" t="s">
        <v>6082</v>
      </c>
      <c r="N625" s="138" t="s">
        <v>6082</v>
      </c>
      <c r="O625" s="138" t="s">
        <v>6083</v>
      </c>
      <c r="P625" s="138"/>
      <c r="Q625" s="138"/>
      <c r="R625" s="138"/>
      <c r="S625" s="138"/>
      <c r="T625" s="135">
        <v>361.7</v>
      </c>
      <c r="U625" s="185">
        <v>3.2070776886922869E-4</v>
      </c>
      <c r="V625" s="185">
        <v>5.4133259607409454E-4</v>
      </c>
      <c r="W625" s="185">
        <v>2.630267991895377E-3</v>
      </c>
      <c r="X625" s="185">
        <v>3.2070776886922869E-4</v>
      </c>
      <c r="Y625" s="204">
        <v>7</v>
      </c>
      <c r="Z625" s="135">
        <v>5.21</v>
      </c>
      <c r="AA625" s="135">
        <v>4.7300000000000004</v>
      </c>
      <c r="AB625" s="135">
        <v>4.5199999999999996</v>
      </c>
      <c r="AC625" s="135">
        <v>0.88080000000000003</v>
      </c>
      <c r="AD625" s="135">
        <v>4.4800000000000004</v>
      </c>
      <c r="AE625" s="135">
        <v>4.33</v>
      </c>
      <c r="AF625" s="135">
        <f t="shared" si="211"/>
        <v>4.7300000000000004</v>
      </c>
      <c r="AG625" s="136">
        <v>4.54</v>
      </c>
      <c r="AH625" s="185">
        <v>2.35E-7</v>
      </c>
      <c r="AI625" s="185">
        <v>8.1999999999999998E-7</v>
      </c>
      <c r="AJ625" s="136">
        <f t="shared" si="213"/>
        <v>-5.0174984640409157</v>
      </c>
      <c r="AK625" s="136">
        <f>LOG10(AI625*1000/(0.08206*298.15))</f>
        <v>-4.4747524739289348</v>
      </c>
      <c r="AL625" s="136">
        <f t="shared" si="212"/>
        <v>-4.4747524739289348</v>
      </c>
      <c r="AM625" s="136">
        <v>-9.2997600000000009</v>
      </c>
      <c r="AN625" s="186">
        <v>-4.5599999999999996</v>
      </c>
      <c r="AO625" s="481"/>
      <c r="AP625" s="481"/>
      <c r="AQ625" s="135" t="s">
        <v>6311</v>
      </c>
      <c r="AR625" s="135" t="s">
        <v>6311</v>
      </c>
      <c r="AS625" s="190"/>
      <c r="AT625" s="137" t="s">
        <v>266</v>
      </c>
      <c r="AU625" s="135">
        <v>6</v>
      </c>
      <c r="AV625" s="135">
        <v>120</v>
      </c>
      <c r="AW625" s="135">
        <v>114</v>
      </c>
      <c r="AX625" s="135">
        <v>28</v>
      </c>
      <c r="AY625" s="135" t="s">
        <v>8728</v>
      </c>
      <c r="AZ625" s="135" t="s">
        <v>1563</v>
      </c>
      <c r="BA625" s="135">
        <v>32</v>
      </c>
      <c r="BB625" s="138" t="s">
        <v>2485</v>
      </c>
      <c r="BC625" s="138" t="s">
        <v>8726</v>
      </c>
      <c r="BD625" s="138" t="s">
        <v>8374</v>
      </c>
      <c r="BE625" s="135" t="s">
        <v>2449</v>
      </c>
      <c r="BF625" s="135" t="s">
        <v>272</v>
      </c>
      <c r="BG625" s="135" t="s">
        <v>272</v>
      </c>
      <c r="BH625" s="135" t="s">
        <v>2486</v>
      </c>
      <c r="BI625" s="185">
        <v>6.3999999999999997E-6</v>
      </c>
      <c r="BJ625" s="185">
        <v>6.4000000000000001E-2</v>
      </c>
      <c r="BK625" s="135"/>
      <c r="BL625" s="185">
        <f t="shared" si="209"/>
        <v>1.0757193976350967E-3</v>
      </c>
      <c r="BM625" s="138" t="s">
        <v>2487</v>
      </c>
      <c r="BN625" s="135"/>
      <c r="BO625" s="135"/>
      <c r="BP625" s="135"/>
      <c r="BQ625" s="135"/>
      <c r="BR625" s="138" t="s">
        <v>2496</v>
      </c>
      <c r="BS625" s="135"/>
      <c r="BT625" s="135"/>
      <c r="BU625" s="135">
        <v>6.4000000000000003E-3</v>
      </c>
      <c r="BV625" s="135"/>
      <c r="BW625" s="135"/>
      <c r="BX625" s="135"/>
      <c r="BY625" s="135"/>
      <c r="BZ625" s="135"/>
      <c r="CA625" s="135"/>
      <c r="CB625" s="135"/>
      <c r="CC625" s="135"/>
      <c r="CD625" s="135"/>
      <c r="CE625" s="135"/>
      <c r="CF625" s="135"/>
      <c r="CG625" s="135"/>
      <c r="CH625" s="135"/>
      <c r="CI625" s="185"/>
      <c r="CJ625" s="187"/>
      <c r="CK625" s="136">
        <f t="shared" si="205"/>
        <v>1.6808115588048386E-2</v>
      </c>
      <c r="CL625" s="188"/>
      <c r="CM625" s="188"/>
      <c r="CN625" s="188"/>
      <c r="CO625" s="138" t="s">
        <v>2488</v>
      </c>
      <c r="CP625" s="138" t="s">
        <v>2489</v>
      </c>
      <c r="CQ625" s="183">
        <v>-3.1498552198142011</v>
      </c>
      <c r="CR625" s="191">
        <f>10^(CJ625-CQ625)</f>
        <v>1412.0667273034587</v>
      </c>
      <c r="CS625" s="135" t="s">
        <v>539</v>
      </c>
      <c r="CT625" s="135"/>
      <c r="CU625" s="135"/>
      <c r="CV625" s="332">
        <f t="shared" si="210"/>
        <v>5.0110588885816983E-3</v>
      </c>
      <c r="CW625" s="329">
        <f t="shared" si="203"/>
        <v>0</v>
      </c>
      <c r="CX625" s="329"/>
      <c r="CY625" s="189" t="s">
        <v>5921</v>
      </c>
    </row>
    <row r="626" spans="1:103" ht="11.25" customHeight="1" x14ac:dyDescent="0.2">
      <c r="A626" s="72">
        <v>624</v>
      </c>
      <c r="B626" s="183">
        <v>1834</v>
      </c>
      <c r="C626" s="133" t="s">
        <v>1406</v>
      </c>
      <c r="D626" s="133" t="s">
        <v>6772</v>
      </c>
      <c r="E626" s="134"/>
      <c r="F626" s="134" t="s">
        <v>1407</v>
      </c>
      <c r="G626" s="184">
        <v>2312358</v>
      </c>
      <c r="H626" s="138" t="s">
        <v>1408</v>
      </c>
      <c r="I626" s="138" t="s">
        <v>7902</v>
      </c>
      <c r="J626" s="138" t="s">
        <v>1409</v>
      </c>
      <c r="K626" s="138" t="s">
        <v>426</v>
      </c>
      <c r="L626" s="138" t="s">
        <v>617</v>
      </c>
      <c r="M626" s="138" t="s">
        <v>1410</v>
      </c>
      <c r="N626" s="138" t="s">
        <v>6381</v>
      </c>
      <c r="O626" s="138" t="s">
        <v>918</v>
      </c>
      <c r="P626" s="138"/>
      <c r="Q626" s="138"/>
      <c r="R626" s="138"/>
      <c r="S626" s="138"/>
      <c r="T626" s="135">
        <v>350.47</v>
      </c>
      <c r="U626" s="185">
        <v>6.1346192256113213E-4</v>
      </c>
      <c r="V626" s="185">
        <v>9.4301937398350781E-4</v>
      </c>
      <c r="W626" s="185">
        <v>5.3703179637025304E-3</v>
      </c>
      <c r="X626" s="185">
        <v>6.1346192256113213E-4</v>
      </c>
      <c r="Y626" s="204">
        <v>7</v>
      </c>
      <c r="Z626" s="135">
        <v>5.57</v>
      </c>
      <c r="AA626" s="135">
        <v>5</v>
      </c>
      <c r="AB626" s="135">
        <v>4.05</v>
      </c>
      <c r="AC626" s="135">
        <v>0.67020000000000002</v>
      </c>
      <c r="AD626" s="135">
        <v>4.33</v>
      </c>
      <c r="AE626" s="135">
        <v>4.8099999999999996</v>
      </c>
      <c r="AF626" s="135">
        <f t="shared" si="211"/>
        <v>5</v>
      </c>
      <c r="AG626" s="136">
        <v>4.45</v>
      </c>
      <c r="AH626" s="185">
        <v>9.1699999999999994E-8</v>
      </c>
      <c r="AI626" s="185">
        <v>6.4000000000000001E-7</v>
      </c>
      <c r="AJ626" s="136">
        <f t="shared" si="213"/>
        <v>-5.4261969906426311</v>
      </c>
      <c r="AK626" s="136">
        <f>LOG10(AI626*1000/(0.08206*298.15))</f>
        <v>-4.5823863523287649</v>
      </c>
      <c r="AL626" s="136">
        <f t="shared" si="212"/>
        <v>-4.5823863523287649</v>
      </c>
      <c r="AM626" s="136">
        <v>-17.54712</v>
      </c>
      <c r="AN626" s="186">
        <v>-0.06</v>
      </c>
      <c r="AO626" s="481"/>
      <c r="AP626" s="481"/>
      <c r="AQ626" s="186" t="s">
        <v>6311</v>
      </c>
      <c r="AR626" s="186" t="s">
        <v>6311</v>
      </c>
      <c r="AS626" s="183"/>
      <c r="AT626" s="137" t="s">
        <v>266</v>
      </c>
      <c r="AU626" s="135">
        <v>6</v>
      </c>
      <c r="AV626" s="135">
        <v>120</v>
      </c>
      <c r="AW626" s="135">
        <v>114</v>
      </c>
      <c r="AX626" s="135">
        <v>28</v>
      </c>
      <c r="AY626" s="135" t="s">
        <v>8728</v>
      </c>
      <c r="AZ626" s="135" t="s">
        <v>1563</v>
      </c>
      <c r="BA626" s="135">
        <v>32</v>
      </c>
      <c r="BB626" s="138" t="s">
        <v>2485</v>
      </c>
      <c r="BC626" s="138" t="s">
        <v>8726</v>
      </c>
      <c r="BD626" s="138" t="s">
        <v>8374</v>
      </c>
      <c r="BE626" s="135" t="s">
        <v>2449</v>
      </c>
      <c r="BF626" s="135" t="s">
        <v>272</v>
      </c>
      <c r="BG626" s="135" t="s">
        <v>272</v>
      </c>
      <c r="BH626" s="135" t="s">
        <v>2486</v>
      </c>
      <c r="BI626" s="185">
        <v>6.3999999999999997E-6</v>
      </c>
      <c r="BJ626" s="185">
        <v>6.4000000000000001E-2</v>
      </c>
      <c r="BK626" s="135"/>
      <c r="BL626" s="185">
        <f t="shared" si="209"/>
        <v>5.1095540785202418E-4</v>
      </c>
      <c r="BM626" s="138" t="s">
        <v>2487</v>
      </c>
      <c r="BN626" s="135"/>
      <c r="BO626" s="135"/>
      <c r="BP626" s="135"/>
      <c r="BQ626" s="135"/>
      <c r="BR626" s="138" t="s">
        <v>2496</v>
      </c>
      <c r="BS626" s="135"/>
      <c r="BT626" s="135"/>
      <c r="BU626" s="135"/>
      <c r="BV626" s="135"/>
      <c r="BW626" s="135"/>
      <c r="BX626" s="135"/>
      <c r="BY626" s="135"/>
      <c r="BZ626" s="135"/>
      <c r="CA626" s="135"/>
      <c r="CB626" s="135"/>
      <c r="CC626" s="135"/>
      <c r="CD626" s="135"/>
      <c r="CE626" s="135"/>
      <c r="CF626" s="135"/>
      <c r="CG626" s="135"/>
      <c r="CH626" s="135"/>
      <c r="CI626" s="185"/>
      <c r="CJ626" s="187"/>
      <c r="CK626" s="136">
        <f t="shared" si="205"/>
        <v>7.9836782476878781E-3</v>
      </c>
      <c r="CL626" s="188"/>
      <c r="CM626" s="188">
        <v>-3.6876117660825884</v>
      </c>
      <c r="CN626" s="188">
        <f>BJ626/(10^CM626)</f>
        <v>311.73943221219622</v>
      </c>
      <c r="CO626" s="138" t="s">
        <v>2488</v>
      </c>
      <c r="CP626" s="138" t="s">
        <v>2489</v>
      </c>
      <c r="CQ626" s="183">
        <v>-3.4247893272914851</v>
      </c>
      <c r="CR626" s="191">
        <f>10^(CJ626-CQ626)</f>
        <v>2659.4346767912389</v>
      </c>
      <c r="CS626" s="135" t="s">
        <v>539</v>
      </c>
      <c r="CT626" s="135"/>
      <c r="CU626" s="135"/>
      <c r="CV626" s="332">
        <f t="shared" si="210"/>
        <v>9.5853425400176887E-3</v>
      </c>
      <c r="CW626" s="329">
        <f t="shared" si="203"/>
        <v>0</v>
      </c>
      <c r="CX626" s="329"/>
      <c r="CY626" s="189" t="s">
        <v>6351</v>
      </c>
    </row>
    <row r="627" spans="1:103" ht="11.25" customHeight="1" x14ac:dyDescent="0.2">
      <c r="A627" s="72">
        <v>625</v>
      </c>
      <c r="B627" s="183">
        <v>995</v>
      </c>
      <c r="C627" s="133" t="s">
        <v>2840</v>
      </c>
      <c r="D627" s="133" t="s">
        <v>6884</v>
      </c>
      <c r="E627" s="134"/>
      <c r="F627" s="134" t="s">
        <v>2841</v>
      </c>
      <c r="G627" s="184">
        <v>104405</v>
      </c>
      <c r="H627" s="138" t="s">
        <v>2842</v>
      </c>
      <c r="I627" s="138" t="s">
        <v>2842</v>
      </c>
      <c r="J627" s="138" t="s">
        <v>2843</v>
      </c>
      <c r="K627" s="138" t="s">
        <v>349</v>
      </c>
      <c r="L627" s="138"/>
      <c r="M627" s="138" t="s">
        <v>6082</v>
      </c>
      <c r="N627" s="138" t="s">
        <v>6082</v>
      </c>
      <c r="O627" s="138"/>
      <c r="P627" s="138" t="s">
        <v>6184</v>
      </c>
      <c r="Q627" s="138" t="s">
        <v>6179</v>
      </c>
      <c r="R627" s="138" t="s">
        <v>6185</v>
      </c>
      <c r="S627" s="138" t="s">
        <v>6176</v>
      </c>
      <c r="T627" s="135">
        <v>220.35</v>
      </c>
      <c r="U627" s="185">
        <v>2.881778987973678E-2</v>
      </c>
      <c r="V627" s="185">
        <v>7.1250283639664172E-3</v>
      </c>
      <c r="W627" s="185">
        <v>8.7096358995608025E-2</v>
      </c>
      <c r="X627" s="185">
        <v>2.881778987973678E-2</v>
      </c>
      <c r="Y627" s="204">
        <v>6.89</v>
      </c>
      <c r="Z627" s="135">
        <v>5.99</v>
      </c>
      <c r="AA627" s="135">
        <v>5.76</v>
      </c>
      <c r="AB627" s="135">
        <v>6.1</v>
      </c>
      <c r="AC627" s="135">
        <v>0.8236</v>
      </c>
      <c r="AD627" s="135">
        <v>6.13</v>
      </c>
      <c r="AE627" s="135">
        <v>6.19</v>
      </c>
      <c r="AF627" s="135">
        <f t="shared" si="211"/>
        <v>5.76</v>
      </c>
      <c r="AG627" s="136">
        <v>5.37</v>
      </c>
      <c r="AH627" s="185">
        <v>5.9699999999999996E-6</v>
      </c>
      <c r="AI627" s="185">
        <v>3.4E-5</v>
      </c>
      <c r="AJ627" s="136">
        <f t="shared" si="213"/>
        <v>-3.6125919951832826</v>
      </c>
      <c r="AK627" s="136">
        <f>LOG10(AI627*1000/(0.08206*298.15))</f>
        <v>-2.8570874092703966</v>
      </c>
      <c r="AL627" s="136">
        <f t="shared" si="212"/>
        <v>-2.8570874092703966</v>
      </c>
      <c r="AM627" s="136">
        <v>-7.4645599999999996</v>
      </c>
      <c r="AN627" s="186">
        <v>-3.62</v>
      </c>
      <c r="AO627" s="481">
        <v>10.15</v>
      </c>
      <c r="AP627" s="481"/>
      <c r="AQ627" s="135" t="s">
        <v>6311</v>
      </c>
      <c r="AR627" s="135" t="s">
        <v>6311</v>
      </c>
      <c r="AS627" s="190"/>
      <c r="AT627" s="137" t="s">
        <v>266</v>
      </c>
      <c r="AU627" s="135">
        <v>6</v>
      </c>
      <c r="AV627" s="135">
        <v>120</v>
      </c>
      <c r="AW627" s="135">
        <v>114</v>
      </c>
      <c r="AX627" s="135">
        <v>28</v>
      </c>
      <c r="AY627" s="135" t="s">
        <v>8728</v>
      </c>
      <c r="AZ627" s="135" t="s">
        <v>1563</v>
      </c>
      <c r="BA627" s="135">
        <v>32</v>
      </c>
      <c r="BB627" s="138" t="s">
        <v>2485</v>
      </c>
      <c r="BC627" s="138" t="s">
        <v>8726</v>
      </c>
      <c r="BD627" s="138" t="s">
        <v>8374</v>
      </c>
      <c r="BE627" s="135" t="s">
        <v>2449</v>
      </c>
      <c r="BF627" s="135" t="s">
        <v>272</v>
      </c>
      <c r="BG627" s="135" t="s">
        <v>272</v>
      </c>
      <c r="BH627" s="135" t="s">
        <v>2486</v>
      </c>
      <c r="BI627" s="185">
        <v>6.3999999999999997E-6</v>
      </c>
      <c r="BJ627" s="185">
        <v>6.4000000000000001E-2</v>
      </c>
      <c r="BK627" s="135"/>
      <c r="BL627" s="185">
        <f t="shared" si="209"/>
        <v>2.1437838752708072E-4</v>
      </c>
      <c r="BM627" s="138" t="s">
        <v>2487</v>
      </c>
      <c r="BN627" s="135"/>
      <c r="BO627" s="135"/>
      <c r="BP627" s="135"/>
      <c r="BQ627" s="135"/>
      <c r="BR627" s="138" t="s">
        <v>2496</v>
      </c>
      <c r="BS627" s="135"/>
      <c r="BT627" s="135"/>
      <c r="BU627" s="135">
        <v>6.4000000000000005E-4</v>
      </c>
      <c r="BV627" s="135"/>
      <c r="BW627" s="135"/>
      <c r="BX627" s="135"/>
      <c r="BY627" s="135"/>
      <c r="BZ627" s="135"/>
      <c r="CA627" s="135"/>
      <c r="CB627" s="135"/>
      <c r="CC627" s="135"/>
      <c r="CD627" s="135"/>
      <c r="CE627" s="135"/>
      <c r="CF627" s="135"/>
      <c r="CG627" s="135"/>
      <c r="CH627" s="135"/>
      <c r="CI627" s="185"/>
      <c r="CJ627" s="187"/>
      <c r="CK627" s="136">
        <f t="shared" si="205"/>
        <v>3.3496623051106362E-3</v>
      </c>
      <c r="CL627" s="188"/>
      <c r="CM627" s="188"/>
      <c r="CN627" s="188"/>
      <c r="CO627" s="138" t="s">
        <v>2488</v>
      </c>
      <c r="CP627" s="138" t="s">
        <v>2489</v>
      </c>
      <c r="CQ627" s="183">
        <v>-2.946387287819245</v>
      </c>
      <c r="CR627" s="191">
        <f>10^(CJ627-CQ627)</f>
        <v>883.86774977577272</v>
      </c>
      <c r="CS627" s="135" t="s">
        <v>539</v>
      </c>
      <c r="CT627" s="135"/>
      <c r="CU627" s="135"/>
      <c r="CV627" s="332">
        <f t="shared" si="210"/>
        <v>0.45027796687088717</v>
      </c>
      <c r="CW627" s="329">
        <f t="shared" si="203"/>
        <v>0</v>
      </c>
      <c r="CX627" s="329"/>
      <c r="CY627" s="189" t="s">
        <v>5921</v>
      </c>
    </row>
    <row r="628" spans="1:103" ht="11.25" customHeight="1" x14ac:dyDescent="0.2">
      <c r="A628" s="72">
        <v>626</v>
      </c>
      <c r="B628" s="191">
        <v>263</v>
      </c>
      <c r="C628" s="128" t="s">
        <v>3774</v>
      </c>
      <c r="D628" s="128" t="s">
        <v>6885</v>
      </c>
      <c r="E628" s="129"/>
      <c r="F628" s="129" t="s">
        <v>3775</v>
      </c>
      <c r="G628" s="192">
        <v>56724</v>
      </c>
      <c r="H628" s="139" t="s">
        <v>3776</v>
      </c>
      <c r="I628" s="139" t="s">
        <v>7952</v>
      </c>
      <c r="J628" s="139" t="s">
        <v>3777</v>
      </c>
      <c r="K628" s="139" t="s">
        <v>3778</v>
      </c>
      <c r="L628" s="139" t="s">
        <v>617</v>
      </c>
      <c r="M628" s="139" t="s">
        <v>946</v>
      </c>
      <c r="N628" s="138" t="s">
        <v>6376</v>
      </c>
      <c r="O628" s="139" t="s">
        <v>918</v>
      </c>
      <c r="P628" s="138"/>
      <c r="Q628" s="138"/>
      <c r="R628" s="138"/>
      <c r="S628" s="138"/>
      <c r="T628" s="130">
        <v>362.77</v>
      </c>
      <c r="U628" s="187">
        <v>4.1348512831821818E-3</v>
      </c>
      <c r="V628" s="187">
        <v>4.2478705515891614E-3</v>
      </c>
      <c r="W628" s="187">
        <v>1.1481536214968798E-2</v>
      </c>
      <c r="X628" s="187">
        <v>4.1348512831821818E-3</v>
      </c>
      <c r="Y628" s="194">
        <v>7</v>
      </c>
      <c r="Z628" s="130">
        <v>4.47</v>
      </c>
      <c r="AA628" s="130">
        <v>4.13</v>
      </c>
      <c r="AB628" s="130">
        <v>4.45</v>
      </c>
      <c r="AC628" s="130">
        <v>0.83789999999999998</v>
      </c>
      <c r="AD628" s="130">
        <v>4.3</v>
      </c>
      <c r="AE628" s="130">
        <v>3.86</v>
      </c>
      <c r="AF628" s="130">
        <f t="shared" si="211"/>
        <v>4.13</v>
      </c>
      <c r="AG628" s="131">
        <v>4.7300000000000004</v>
      </c>
      <c r="AH628" s="187">
        <v>1.09E-7</v>
      </c>
      <c r="AI628" s="187">
        <v>3.0899999999999999E-8</v>
      </c>
      <c r="AJ628" s="136">
        <f t="shared" si="213"/>
        <v>-5.3511398283720286</v>
      </c>
      <c r="AK628" s="136">
        <f>LOG10(AI628*1000/(0.08206*298.15))</f>
        <v>-5.8986078468878169</v>
      </c>
      <c r="AL628" s="136">
        <f t="shared" si="212"/>
        <v>-5.8986078468878169</v>
      </c>
      <c r="AM628" s="136">
        <v>-12.9079</v>
      </c>
      <c r="AN628" s="193">
        <v>-6.51</v>
      </c>
      <c r="AO628" s="481"/>
      <c r="AP628" s="481"/>
      <c r="AQ628" s="193" t="s">
        <v>6312</v>
      </c>
      <c r="AR628" s="193" t="s">
        <v>6312</v>
      </c>
      <c r="AS628" s="191" t="s">
        <v>6</v>
      </c>
      <c r="AT628" s="132" t="s">
        <v>266</v>
      </c>
      <c r="AU628" s="130">
        <v>8</v>
      </c>
      <c r="AV628" s="130">
        <v>144</v>
      </c>
      <c r="AW628" s="130">
        <v>120</v>
      </c>
      <c r="AX628" s="130">
        <v>26</v>
      </c>
      <c r="AY628" s="130" t="s">
        <v>267</v>
      </c>
      <c r="AZ628" s="130" t="s">
        <v>2253</v>
      </c>
      <c r="BA628" s="130">
        <v>2</v>
      </c>
      <c r="BB628" s="139" t="s">
        <v>2254</v>
      </c>
      <c r="BC628" s="139" t="s">
        <v>270</v>
      </c>
      <c r="BD628" s="139" t="s">
        <v>8374</v>
      </c>
      <c r="BE628" s="130" t="s">
        <v>1712</v>
      </c>
      <c r="BF628" s="130" t="s">
        <v>272</v>
      </c>
      <c r="BG628" s="130" t="s">
        <v>272</v>
      </c>
      <c r="BH628" s="130" t="s">
        <v>2255</v>
      </c>
      <c r="BI628" s="187">
        <v>9.9999999999999995E-7</v>
      </c>
      <c r="BJ628" s="187">
        <v>0.08</v>
      </c>
      <c r="BK628" s="130"/>
      <c r="BL628" s="187">
        <f t="shared" si="209"/>
        <v>4.9692746419135745E-3</v>
      </c>
      <c r="BM628" s="130" t="s">
        <v>891</v>
      </c>
      <c r="BN628" s="194"/>
      <c r="BO628" s="194"/>
      <c r="BP628" s="194"/>
      <c r="BQ628" s="194"/>
      <c r="BR628" s="194"/>
      <c r="BS628" s="130"/>
      <c r="BT628" s="194"/>
      <c r="BU628" s="195"/>
      <c r="BV628" s="194"/>
      <c r="BW628" s="194"/>
      <c r="BX628" s="194"/>
      <c r="BY628" s="194"/>
      <c r="BZ628" s="194"/>
      <c r="CA628" s="194"/>
      <c r="CB628" s="194"/>
      <c r="CC628" s="130"/>
      <c r="CD628" s="130"/>
      <c r="CE628" s="130"/>
      <c r="CF628" s="130"/>
      <c r="CG628" s="194"/>
      <c r="CH628" s="130"/>
      <c r="CI628" s="187"/>
      <c r="CJ628" s="187"/>
      <c r="CK628" s="131">
        <f t="shared" si="205"/>
        <v>6.2115933023919677E-2</v>
      </c>
      <c r="CL628" s="188"/>
      <c r="CM628" s="188"/>
      <c r="CN628" s="188"/>
      <c r="CO628" s="139" t="s">
        <v>892</v>
      </c>
      <c r="CP628" s="139" t="s">
        <v>893</v>
      </c>
      <c r="CQ628" s="191">
        <v>-2.6191382467046909</v>
      </c>
      <c r="CR628" s="191">
        <f>10^(CJ628-CQ628)</f>
        <v>416.04302623098658</v>
      </c>
      <c r="CS628" s="135" t="s">
        <v>539</v>
      </c>
      <c r="CT628" s="135"/>
      <c r="CU628" s="135"/>
      <c r="CV628" s="332">
        <f t="shared" si="210"/>
        <v>5.1685641039777269E-2</v>
      </c>
      <c r="CW628" s="329">
        <f t="shared" si="203"/>
        <v>0</v>
      </c>
      <c r="CX628" s="329" t="s">
        <v>539</v>
      </c>
      <c r="CY628" s="189" t="s">
        <v>5921</v>
      </c>
    </row>
    <row r="629" spans="1:103" ht="11.25" customHeight="1" x14ac:dyDescent="0.2">
      <c r="A629" s="72">
        <v>627</v>
      </c>
      <c r="B629" s="183">
        <v>1922</v>
      </c>
      <c r="C629" s="133" t="s">
        <v>6886</v>
      </c>
      <c r="D629" s="133"/>
      <c r="E629" s="134"/>
      <c r="F629" s="134" t="s">
        <v>5399</v>
      </c>
      <c r="G629" s="184">
        <v>53894238</v>
      </c>
      <c r="H629" s="138" t="s">
        <v>5400</v>
      </c>
      <c r="I629" s="138" t="s">
        <v>5400</v>
      </c>
      <c r="J629" s="138" t="s">
        <v>5401</v>
      </c>
      <c r="K629" s="138" t="s">
        <v>357</v>
      </c>
      <c r="L629" s="138"/>
      <c r="M629" s="138"/>
      <c r="N629" s="138"/>
      <c r="O629" s="138"/>
      <c r="P629" s="138"/>
      <c r="Q629" s="138"/>
      <c r="R629" s="138"/>
      <c r="S629" s="138"/>
      <c r="T629" s="135">
        <v>588.86</v>
      </c>
      <c r="U629" s="185"/>
      <c r="V629" s="185">
        <v>2.2484121862581937E-12</v>
      </c>
      <c r="W629" s="185">
        <v>3.0902954325135861E-7</v>
      </c>
      <c r="X629" s="185">
        <f>IF(W629=0,V629,W629)</f>
        <v>3.0902954325135861E-7</v>
      </c>
      <c r="Y629" s="204">
        <v>7</v>
      </c>
      <c r="Z629" s="135">
        <v>13.06</v>
      </c>
      <c r="AA629" s="135"/>
      <c r="AB629" s="135">
        <v>10.029999999999999</v>
      </c>
      <c r="AC629" s="135">
        <v>0.5615</v>
      </c>
      <c r="AD629" s="135">
        <v>12.15</v>
      </c>
      <c r="AE629" s="135">
        <v>14.39</v>
      </c>
      <c r="AF629" s="135">
        <f t="shared" si="211"/>
        <v>12.15</v>
      </c>
      <c r="AG629" s="136">
        <v>7.47</v>
      </c>
      <c r="AH629" s="185">
        <v>1.2899999999999999E-6</v>
      </c>
      <c r="AI629" s="185"/>
      <c r="AJ629" s="136">
        <f t="shared" si="213"/>
        <v>-4.2779766160134027</v>
      </c>
      <c r="AK629" s="136"/>
      <c r="AL629" s="136">
        <f t="shared" si="212"/>
        <v>-4.2779766160134027</v>
      </c>
      <c r="AM629" s="136">
        <v>-14.47678</v>
      </c>
      <c r="AN629" s="186">
        <v>-19.899999999999999</v>
      </c>
      <c r="AO629" s="481"/>
      <c r="AP629" s="481"/>
      <c r="AQ629" s="186" t="s">
        <v>6311</v>
      </c>
      <c r="AR629" s="186" t="s">
        <v>6312</v>
      </c>
      <c r="AS629" s="183"/>
      <c r="AT629" s="137" t="s">
        <v>266</v>
      </c>
      <c r="AU629" s="135">
        <v>6</v>
      </c>
      <c r="AV629" s="135">
        <v>120</v>
      </c>
      <c r="AW629" s="135">
        <v>114</v>
      </c>
      <c r="AX629" s="135">
        <v>28</v>
      </c>
      <c r="AY629" s="135" t="s">
        <v>8728</v>
      </c>
      <c r="AZ629" s="135" t="s">
        <v>1563</v>
      </c>
      <c r="BA629" s="135">
        <v>32</v>
      </c>
      <c r="BB629" s="138" t="s">
        <v>2485</v>
      </c>
      <c r="BC629" s="138" t="s">
        <v>8726</v>
      </c>
      <c r="BD629" s="138" t="s">
        <v>8374</v>
      </c>
      <c r="BE629" s="135" t="s">
        <v>2449</v>
      </c>
      <c r="BF629" s="135" t="s">
        <v>272</v>
      </c>
      <c r="BG629" s="135" t="s">
        <v>272</v>
      </c>
      <c r="BH629" s="135" t="s">
        <v>2486</v>
      </c>
      <c r="BI629" s="185">
        <v>6.3999999999999997E-6</v>
      </c>
      <c r="BJ629" s="185">
        <v>6.4000000000000001E-2</v>
      </c>
      <c r="BK629" s="135"/>
      <c r="BL629" s="185">
        <f t="shared" si="209"/>
        <v>9.5854829713387921E-11</v>
      </c>
      <c r="BM629" s="138" t="s">
        <v>2487</v>
      </c>
      <c r="BN629" s="135"/>
      <c r="BO629" s="135"/>
      <c r="BP629" s="135"/>
      <c r="BQ629" s="135"/>
      <c r="BR629" s="138" t="s">
        <v>2496</v>
      </c>
      <c r="BS629" s="135"/>
      <c r="BT629" s="135"/>
      <c r="BU629" s="135"/>
      <c r="BV629" s="135"/>
      <c r="BW629" s="135"/>
      <c r="BX629" s="135"/>
      <c r="BY629" s="135"/>
      <c r="BZ629" s="135"/>
      <c r="CA629" s="135"/>
      <c r="CB629" s="135"/>
      <c r="CC629" s="135"/>
      <c r="CD629" s="135"/>
      <c r="CE629" s="135"/>
      <c r="CF629" s="135"/>
      <c r="CG629" s="135"/>
      <c r="CH629" s="135"/>
      <c r="CI629" s="185"/>
      <c r="CJ629" s="187"/>
      <c r="CK629" s="136">
        <f t="shared" si="205"/>
        <v>1.4977317142716863E-9</v>
      </c>
      <c r="CL629" s="188"/>
      <c r="CM629" s="188"/>
      <c r="CN629" s="188"/>
      <c r="CO629" s="138" t="s">
        <v>2488</v>
      </c>
      <c r="CP629" s="138" t="s">
        <v>2489</v>
      </c>
      <c r="CQ629" s="191" t="s">
        <v>272</v>
      </c>
      <c r="CR629" s="191"/>
      <c r="CS629" s="135" t="s">
        <v>539</v>
      </c>
      <c r="CT629" s="135"/>
      <c r="CU629" s="135"/>
      <c r="CV629" s="332">
        <f t="shared" si="210"/>
        <v>4.8285866133024783E-6</v>
      </c>
      <c r="CW629" s="329">
        <f t="shared" si="203"/>
        <v>0</v>
      </c>
      <c r="CX629" s="329"/>
      <c r="CY629" s="189" t="s">
        <v>5921</v>
      </c>
    </row>
    <row r="630" spans="1:103" ht="11.25" customHeight="1" x14ac:dyDescent="0.2">
      <c r="A630" s="72">
        <v>628</v>
      </c>
      <c r="B630" s="183">
        <v>1053</v>
      </c>
      <c r="C630" s="133" t="s">
        <v>6887</v>
      </c>
      <c r="D630" s="133"/>
      <c r="E630" s="134"/>
      <c r="F630" s="134" t="s">
        <v>2974</v>
      </c>
      <c r="G630" s="184">
        <v>55285148</v>
      </c>
      <c r="H630" s="138" t="s">
        <v>2975</v>
      </c>
      <c r="I630" s="138" t="s">
        <v>2975</v>
      </c>
      <c r="J630" s="138" t="s">
        <v>2976</v>
      </c>
      <c r="K630" s="138" t="s">
        <v>2977</v>
      </c>
      <c r="L630" s="138" t="s">
        <v>617</v>
      </c>
      <c r="M630" s="138" t="s">
        <v>946</v>
      </c>
      <c r="N630" s="138" t="s">
        <v>6376</v>
      </c>
      <c r="O630" s="138" t="s">
        <v>918</v>
      </c>
      <c r="P630" s="138"/>
      <c r="Q630" s="138"/>
      <c r="R630" s="138"/>
      <c r="S630" s="138"/>
      <c r="T630" s="135">
        <v>380.55</v>
      </c>
      <c r="U630" s="185">
        <v>7.8833267638943631E-4</v>
      </c>
      <c r="V630" s="185">
        <v>1.850216791486007E-4</v>
      </c>
      <c r="W630" s="185">
        <v>1.8197008586099798E-3</v>
      </c>
      <c r="X630" s="185">
        <v>7.8833267638943631E-4</v>
      </c>
      <c r="Y630" s="204">
        <v>7</v>
      </c>
      <c r="Z630" s="135">
        <v>5.57</v>
      </c>
      <c r="AA630" s="135"/>
      <c r="AB630" s="135">
        <v>4.87</v>
      </c>
      <c r="AC630" s="135">
        <v>0.7742</v>
      </c>
      <c r="AD630" s="135">
        <v>5.2</v>
      </c>
      <c r="AE630" s="135">
        <v>6.05</v>
      </c>
      <c r="AF630" s="135">
        <f t="shared" si="211"/>
        <v>5.2</v>
      </c>
      <c r="AG630" s="136">
        <v>4.6900000000000004</v>
      </c>
      <c r="AH630" s="185">
        <v>2.2400000000000001E-9</v>
      </c>
      <c r="AI630" s="185">
        <v>5.1200000000000003E-7</v>
      </c>
      <c r="AJ630" s="136">
        <f t="shared" si="213"/>
        <v>-7.0383183079784892</v>
      </c>
      <c r="AK630" s="136">
        <f>LOG10(AI630*1000/(0.08206*298.15))</f>
        <v>-4.6792963653368211</v>
      </c>
      <c r="AL630" s="136">
        <f t="shared" si="212"/>
        <v>-4.6792963653368211</v>
      </c>
      <c r="AM630" s="136">
        <v>-15.30752</v>
      </c>
      <c r="AN630" s="186">
        <v>-4.25</v>
      </c>
      <c r="AO630" s="481"/>
      <c r="AP630" s="481">
        <v>3.15</v>
      </c>
      <c r="AQ630" s="135" t="s">
        <v>6311</v>
      </c>
      <c r="AR630" s="135" t="s">
        <v>6311</v>
      </c>
      <c r="AS630" s="190"/>
      <c r="AT630" s="137" t="s">
        <v>266</v>
      </c>
      <c r="AU630" s="135">
        <v>6</v>
      </c>
      <c r="AV630" s="135">
        <v>120</v>
      </c>
      <c r="AW630" s="135">
        <v>114</v>
      </c>
      <c r="AX630" s="135">
        <v>28</v>
      </c>
      <c r="AY630" s="135" t="s">
        <v>8728</v>
      </c>
      <c r="AZ630" s="135" t="s">
        <v>1563</v>
      </c>
      <c r="BA630" s="135">
        <v>32</v>
      </c>
      <c r="BB630" s="138" t="s">
        <v>2485</v>
      </c>
      <c r="BC630" s="138" t="s">
        <v>8726</v>
      </c>
      <c r="BD630" s="138" t="s">
        <v>8374</v>
      </c>
      <c r="BE630" s="135" t="s">
        <v>2449</v>
      </c>
      <c r="BF630" s="135" t="s">
        <v>272</v>
      </c>
      <c r="BG630" s="135" t="s">
        <v>272</v>
      </c>
      <c r="BH630" s="135" t="s">
        <v>2486</v>
      </c>
      <c r="BI630" s="185">
        <v>6.3999999999999997E-6</v>
      </c>
      <c r="BJ630" s="185">
        <v>6.4000000000000001E-2</v>
      </c>
      <c r="BK630" s="135"/>
      <c r="BL630" s="185">
        <f t="shared" si="209"/>
        <v>5.1095540785202418E-4</v>
      </c>
      <c r="BM630" s="138" t="s">
        <v>2487</v>
      </c>
      <c r="BN630" s="135"/>
      <c r="BO630" s="135"/>
      <c r="BP630" s="135"/>
      <c r="BQ630" s="135"/>
      <c r="BR630" s="138" t="s">
        <v>2496</v>
      </c>
      <c r="BS630" s="135"/>
      <c r="BT630" s="135"/>
      <c r="BU630" s="135">
        <v>6.3999999999999997E-6</v>
      </c>
      <c r="BV630" s="135"/>
      <c r="BW630" s="135"/>
      <c r="BX630" s="135"/>
      <c r="BY630" s="135"/>
      <c r="BZ630" s="135"/>
      <c r="CA630" s="135"/>
      <c r="CB630" s="135"/>
      <c r="CC630" s="135"/>
      <c r="CD630" s="135"/>
      <c r="CE630" s="135"/>
      <c r="CF630" s="135"/>
      <c r="CG630" s="135"/>
      <c r="CH630" s="135"/>
      <c r="CI630" s="185"/>
      <c r="CJ630" s="187"/>
      <c r="CK630" s="136">
        <f t="shared" si="205"/>
        <v>7.9836782476878781E-3</v>
      </c>
      <c r="CL630" s="188"/>
      <c r="CM630" s="188"/>
      <c r="CN630" s="188"/>
      <c r="CO630" s="138" t="s">
        <v>2488</v>
      </c>
      <c r="CP630" s="138" t="s">
        <v>2489</v>
      </c>
      <c r="CQ630" s="191" t="s">
        <v>272</v>
      </c>
      <c r="CR630" s="191"/>
      <c r="CS630" s="135" t="s">
        <v>539</v>
      </c>
      <c r="CT630" s="135"/>
      <c r="CU630" s="135"/>
      <c r="CV630" s="332">
        <f t="shared" si="210"/>
        <v>1.2317698068584942E-2</v>
      </c>
      <c r="CW630" s="329">
        <f t="shared" si="203"/>
        <v>0</v>
      </c>
      <c r="CX630" s="329"/>
      <c r="CY630" s="189" t="s">
        <v>5921</v>
      </c>
    </row>
    <row r="631" spans="1:103" ht="11.25" customHeight="1" x14ac:dyDescent="0.2">
      <c r="A631" s="72">
        <v>629</v>
      </c>
      <c r="B631" s="183">
        <v>1032</v>
      </c>
      <c r="C631" s="133" t="s">
        <v>6888</v>
      </c>
      <c r="D631" s="133"/>
      <c r="E631" s="134"/>
      <c r="F631" s="134" t="s">
        <v>2940</v>
      </c>
      <c r="G631" s="184">
        <v>58394642</v>
      </c>
      <c r="H631" s="138" t="s">
        <v>2941</v>
      </c>
      <c r="I631" s="138" t="s">
        <v>2941</v>
      </c>
      <c r="J631" s="138" t="s">
        <v>2942</v>
      </c>
      <c r="K631" s="138" t="s">
        <v>357</v>
      </c>
      <c r="L631" s="138"/>
      <c r="M631" s="138"/>
      <c r="N631" s="138"/>
      <c r="O631" s="138"/>
      <c r="P631" s="138"/>
      <c r="Q631" s="138"/>
      <c r="R631" s="138"/>
      <c r="S631" s="138"/>
      <c r="T631" s="135">
        <v>348.48</v>
      </c>
      <c r="U631" s="185"/>
      <c r="V631" s="185">
        <v>5.5325987144168954E-5</v>
      </c>
      <c r="W631" s="185">
        <v>7.2443596007498957E-3</v>
      </c>
      <c r="X631" s="185">
        <f>IF(W631=0,V631,W631)</f>
        <v>7.2443596007498957E-3</v>
      </c>
      <c r="Y631" s="204">
        <v>7</v>
      </c>
      <c r="Z631" s="135">
        <v>6.46</v>
      </c>
      <c r="AA631" s="135"/>
      <c r="AB631" s="135">
        <v>5.92</v>
      </c>
      <c r="AC631" s="135">
        <v>0.54600000000000004</v>
      </c>
      <c r="AD631" s="135">
        <v>6.11</v>
      </c>
      <c r="AE631" s="135">
        <v>6.32</v>
      </c>
      <c r="AF631" s="135">
        <f t="shared" si="211"/>
        <v>6.11</v>
      </c>
      <c r="AG631" s="136">
        <v>7.49</v>
      </c>
      <c r="AH631" s="185">
        <v>5.7299999999999996E-7</v>
      </c>
      <c r="AI631" s="185"/>
      <c r="AJ631" s="136">
        <f t="shared" si="213"/>
        <v>-4.6304117043452617</v>
      </c>
      <c r="AK631" s="136"/>
      <c r="AL631" s="136">
        <f t="shared" si="212"/>
        <v>-4.6304117043452617</v>
      </c>
      <c r="AM631" s="136">
        <v>-9.8152599999999985</v>
      </c>
      <c r="AN631" s="186">
        <v>-3.52</v>
      </c>
      <c r="AO631" s="481"/>
      <c r="AP631" s="481"/>
      <c r="AQ631" s="135" t="s">
        <v>6311</v>
      </c>
      <c r="AR631" s="135" t="s">
        <v>6312</v>
      </c>
      <c r="AS631" s="190"/>
      <c r="AT631" s="137" t="s">
        <v>266</v>
      </c>
      <c r="AU631" s="135">
        <v>6</v>
      </c>
      <c r="AV631" s="135">
        <v>120</v>
      </c>
      <c r="AW631" s="135">
        <v>114</v>
      </c>
      <c r="AX631" s="135">
        <v>28</v>
      </c>
      <c r="AY631" s="135" t="s">
        <v>8728</v>
      </c>
      <c r="AZ631" s="135" t="s">
        <v>1563</v>
      </c>
      <c r="BA631" s="135">
        <v>32</v>
      </c>
      <c r="BB631" s="138" t="s">
        <v>2485</v>
      </c>
      <c r="BC631" s="138" t="s">
        <v>8726</v>
      </c>
      <c r="BD631" s="138" t="s">
        <v>8374</v>
      </c>
      <c r="BE631" s="135" t="s">
        <v>2449</v>
      </c>
      <c r="BF631" s="135" t="s">
        <v>272</v>
      </c>
      <c r="BG631" s="135" t="s">
        <v>272</v>
      </c>
      <c r="BH631" s="135" t="s">
        <v>2486</v>
      </c>
      <c r="BI631" s="185">
        <v>6.3999999999999997E-6</v>
      </c>
      <c r="BJ631" s="185">
        <v>6.4000000000000001E-2</v>
      </c>
      <c r="BK631" s="135"/>
      <c r="BL631" s="185">
        <f t="shared" si="209"/>
        <v>8.1109925033327063E-5</v>
      </c>
      <c r="BM631" s="138" t="s">
        <v>2487</v>
      </c>
      <c r="BN631" s="135"/>
      <c r="BO631" s="135"/>
      <c r="BP631" s="135"/>
      <c r="BQ631" s="135"/>
      <c r="BR631" s="138" t="s">
        <v>2496</v>
      </c>
      <c r="BS631" s="135"/>
      <c r="BT631" s="135"/>
      <c r="BU631" s="135">
        <v>6.4000000000000005E-4</v>
      </c>
      <c r="BV631" s="135"/>
      <c r="BW631" s="135"/>
      <c r="BX631" s="135"/>
      <c r="BY631" s="135"/>
      <c r="BZ631" s="135"/>
      <c r="CA631" s="135"/>
      <c r="CB631" s="135"/>
      <c r="CC631" s="135"/>
      <c r="CD631" s="135"/>
      <c r="CE631" s="135"/>
      <c r="CF631" s="135"/>
      <c r="CG631" s="135"/>
      <c r="CH631" s="135"/>
      <c r="CI631" s="185"/>
      <c r="CJ631" s="187"/>
      <c r="CK631" s="136">
        <f t="shared" si="205"/>
        <v>1.2673425786457354E-3</v>
      </c>
      <c r="CL631" s="188"/>
      <c r="CM631" s="188"/>
      <c r="CN631" s="188"/>
      <c r="CO631" s="138" t="s">
        <v>2488</v>
      </c>
      <c r="CP631" s="138" t="s">
        <v>2489</v>
      </c>
      <c r="CQ631" s="191" t="s">
        <v>272</v>
      </c>
      <c r="CR631" s="191"/>
      <c r="CS631" s="135" t="s">
        <v>539</v>
      </c>
      <c r="CT631" s="135"/>
      <c r="CU631" s="135"/>
      <c r="CV631" s="332">
        <f t="shared" si="210"/>
        <v>0.11319311876171712</v>
      </c>
      <c r="CW631" s="329">
        <f t="shared" si="203"/>
        <v>0</v>
      </c>
      <c r="CX631" s="329"/>
      <c r="CY631" s="189" t="s">
        <v>5921</v>
      </c>
    </row>
    <row r="632" spans="1:103" ht="11.25" customHeight="1" x14ac:dyDescent="0.2">
      <c r="A632" s="72">
        <v>630</v>
      </c>
      <c r="B632" s="183">
        <v>1565</v>
      </c>
      <c r="C632" s="133" t="s">
        <v>3774</v>
      </c>
      <c r="D632" s="133" t="s">
        <v>6885</v>
      </c>
      <c r="E632" s="134"/>
      <c r="F632" s="134" t="s">
        <v>3775</v>
      </c>
      <c r="G632" s="184">
        <v>56724</v>
      </c>
      <c r="H632" s="138" t="s">
        <v>3776</v>
      </c>
      <c r="I632" s="138" t="s">
        <v>7952</v>
      </c>
      <c r="J632" s="138" t="s">
        <v>3777</v>
      </c>
      <c r="K632" s="138" t="s">
        <v>3778</v>
      </c>
      <c r="L632" s="138" t="s">
        <v>617</v>
      </c>
      <c r="M632" s="138" t="s">
        <v>946</v>
      </c>
      <c r="N632" s="138" t="s">
        <v>6376</v>
      </c>
      <c r="O632" s="138" t="s">
        <v>918</v>
      </c>
      <c r="P632" s="138"/>
      <c r="Q632" s="138"/>
      <c r="R632" s="138"/>
      <c r="S632" s="138"/>
      <c r="T632" s="135">
        <v>362.77</v>
      </c>
      <c r="U632" s="185">
        <v>4.1348512831821818E-3</v>
      </c>
      <c r="V632" s="185">
        <v>4.2478705515891614E-3</v>
      </c>
      <c r="W632" s="185">
        <v>1.1481536214968798E-2</v>
      </c>
      <c r="X632" s="185">
        <v>4.1348512831821818E-3</v>
      </c>
      <c r="Y632" s="204">
        <v>7</v>
      </c>
      <c r="Z632" s="135">
        <v>4.47</v>
      </c>
      <c r="AA632" s="135">
        <v>4.13</v>
      </c>
      <c r="AB632" s="135">
        <v>4.45</v>
      </c>
      <c r="AC632" s="135">
        <v>0.83789999999999998</v>
      </c>
      <c r="AD632" s="135">
        <v>4.3</v>
      </c>
      <c r="AE632" s="135">
        <v>3.86</v>
      </c>
      <c r="AF632" s="135">
        <f t="shared" si="211"/>
        <v>4.13</v>
      </c>
      <c r="AG632" s="136">
        <v>4.7300000000000004</v>
      </c>
      <c r="AH632" s="185">
        <v>1.09E-7</v>
      </c>
      <c r="AI632" s="185">
        <v>3.0899999999999999E-8</v>
      </c>
      <c r="AJ632" s="136">
        <f t="shared" si="213"/>
        <v>-5.3511398283720286</v>
      </c>
      <c r="AK632" s="136">
        <f>LOG10(AI632*1000/(0.08206*298.15))</f>
        <v>-5.8986078468878169</v>
      </c>
      <c r="AL632" s="136">
        <f t="shared" si="212"/>
        <v>-5.8986078468878169</v>
      </c>
      <c r="AM632" s="136">
        <v>-12.9079</v>
      </c>
      <c r="AN632" s="186">
        <v>-6.51</v>
      </c>
      <c r="AO632" s="481"/>
      <c r="AP632" s="481"/>
      <c r="AQ632" s="135" t="s">
        <v>6312</v>
      </c>
      <c r="AR632" s="135" t="s">
        <v>6312</v>
      </c>
      <c r="AS632" s="190"/>
      <c r="AT632" s="137" t="s">
        <v>266</v>
      </c>
      <c r="AU632" s="135">
        <v>6</v>
      </c>
      <c r="AV632" s="135">
        <v>120</v>
      </c>
      <c r="AW632" s="135">
        <v>114</v>
      </c>
      <c r="AX632" s="135">
        <v>28</v>
      </c>
      <c r="AY632" s="135" t="s">
        <v>8728</v>
      </c>
      <c r="AZ632" s="135" t="s">
        <v>1563</v>
      </c>
      <c r="BA632" s="135">
        <v>32</v>
      </c>
      <c r="BB632" s="138" t="s">
        <v>2485</v>
      </c>
      <c r="BC632" s="138" t="s">
        <v>8726</v>
      </c>
      <c r="BD632" s="138" t="s">
        <v>8374</v>
      </c>
      <c r="BE632" s="135" t="s">
        <v>2449</v>
      </c>
      <c r="BF632" s="135" t="s">
        <v>272</v>
      </c>
      <c r="BG632" s="135" t="s">
        <v>272</v>
      </c>
      <c r="BH632" s="135" t="s">
        <v>2486</v>
      </c>
      <c r="BI632" s="185">
        <v>6.3999999999999997E-6</v>
      </c>
      <c r="BJ632" s="185">
        <v>6.4000000000000001E-2</v>
      </c>
      <c r="BK632" s="135"/>
      <c r="BL632" s="185">
        <f t="shared" si="209"/>
        <v>4.9692746419135745E-3</v>
      </c>
      <c r="BM632" s="138" t="s">
        <v>2487</v>
      </c>
      <c r="BN632" s="135"/>
      <c r="BO632" s="135"/>
      <c r="BP632" s="135"/>
      <c r="BQ632" s="135"/>
      <c r="BR632" s="138" t="s">
        <v>2496</v>
      </c>
      <c r="BS632" s="135"/>
      <c r="BT632" s="135"/>
      <c r="BU632" s="135"/>
      <c r="BV632" s="135"/>
      <c r="BW632" s="135"/>
      <c r="BX632" s="135"/>
      <c r="BY632" s="135"/>
      <c r="BZ632" s="135"/>
      <c r="CA632" s="135"/>
      <c r="CB632" s="135"/>
      <c r="CC632" s="135"/>
      <c r="CD632" s="135"/>
      <c r="CE632" s="135"/>
      <c r="CF632" s="135"/>
      <c r="CG632" s="135"/>
      <c r="CH632" s="135"/>
      <c r="CI632" s="185"/>
      <c r="CJ632" s="187"/>
      <c r="CK632" s="136">
        <f t="shared" si="205"/>
        <v>7.7644916279899598E-2</v>
      </c>
      <c r="CL632" s="188"/>
      <c r="CM632" s="188"/>
      <c r="CN632" s="188"/>
      <c r="CO632" s="138" t="s">
        <v>2488</v>
      </c>
      <c r="CP632" s="138" t="s">
        <v>2489</v>
      </c>
      <c r="CQ632" s="183">
        <v>-2.6191382467046909</v>
      </c>
      <c r="CR632" s="191">
        <f t="shared" ref="CR632:CR640" si="214">10^(CJ632-CQ632)</f>
        <v>416.04302623098658</v>
      </c>
      <c r="CS632" s="135" t="s">
        <v>539</v>
      </c>
      <c r="CT632" s="135"/>
      <c r="CU632" s="135"/>
      <c r="CV632" s="332">
        <f t="shared" si="210"/>
        <v>6.4607051299721593E-2</v>
      </c>
      <c r="CW632" s="329">
        <f t="shared" si="203"/>
        <v>0</v>
      </c>
      <c r="CX632" s="329"/>
      <c r="CY632" s="189" t="s">
        <v>5921</v>
      </c>
    </row>
    <row r="633" spans="1:103" ht="11.25" customHeight="1" x14ac:dyDescent="0.2">
      <c r="A633" s="72">
        <v>631</v>
      </c>
      <c r="B633" s="183">
        <v>1295</v>
      </c>
      <c r="C633" s="133" t="s">
        <v>1478</v>
      </c>
      <c r="D633" s="133" t="s">
        <v>6576</v>
      </c>
      <c r="E633" s="134"/>
      <c r="F633" s="134" t="s">
        <v>1479</v>
      </c>
      <c r="G633" s="184">
        <v>112281773</v>
      </c>
      <c r="H633" s="138" t="s">
        <v>1480</v>
      </c>
      <c r="I633" s="138" t="s">
        <v>7953</v>
      </c>
      <c r="J633" s="138" t="s">
        <v>1481</v>
      </c>
      <c r="K633" s="138" t="s">
        <v>1112</v>
      </c>
      <c r="L633" s="138" t="s">
        <v>6007</v>
      </c>
      <c r="M633" s="138" t="s">
        <v>2342</v>
      </c>
      <c r="N633" s="138" t="s">
        <v>2342</v>
      </c>
      <c r="O633" s="138"/>
      <c r="P633" s="138"/>
      <c r="Q633" s="138"/>
      <c r="R633" s="138"/>
      <c r="S633" s="138"/>
      <c r="T633" s="135">
        <v>372.15</v>
      </c>
      <c r="U633" s="185">
        <v>0.41918581217251111</v>
      </c>
      <c r="V633" s="185">
        <v>1.1129920730888084E-2</v>
      </c>
      <c r="W633" s="185">
        <v>2.6302679918953804E-2</v>
      </c>
      <c r="X633" s="185">
        <v>0.41918581217251111</v>
      </c>
      <c r="Y633" s="204">
        <v>7</v>
      </c>
      <c r="Z633" s="135">
        <v>4.25</v>
      </c>
      <c r="AA633" s="135">
        <v>3.56</v>
      </c>
      <c r="AB633" s="135">
        <v>3.88</v>
      </c>
      <c r="AC633" s="135">
        <v>0.7671</v>
      </c>
      <c r="AD633" s="135">
        <v>3.71</v>
      </c>
      <c r="AE633" s="135">
        <v>3.19</v>
      </c>
      <c r="AF633" s="135">
        <f t="shared" si="211"/>
        <v>3.56</v>
      </c>
      <c r="AG633" s="136">
        <v>4.63</v>
      </c>
      <c r="AH633" s="185">
        <v>6.1999999999999999E-7</v>
      </c>
      <c r="AI633" s="185">
        <v>4.2400000000000002E-9</v>
      </c>
      <c r="AJ633" s="136">
        <f t="shared" si="213"/>
        <v>-4.5961746368143981</v>
      </c>
      <c r="AK633" s="136">
        <f>LOG10(AI633*1000/(0.08206*298.15))</f>
        <v>-6.7612004697199195</v>
      </c>
      <c r="AL633" s="136">
        <f t="shared" si="212"/>
        <v>-6.7612004697199195</v>
      </c>
      <c r="AM633" s="136">
        <v>-10.096799999999998</v>
      </c>
      <c r="AN633" s="186">
        <v>-7.44</v>
      </c>
      <c r="AO633" s="481"/>
      <c r="AP633" s="481">
        <v>2.68</v>
      </c>
      <c r="AQ633" s="135" t="s">
        <v>6311</v>
      </c>
      <c r="AR633" s="135" t="s">
        <v>6311</v>
      </c>
      <c r="AS633" s="190"/>
      <c r="AT633" s="137" t="s">
        <v>266</v>
      </c>
      <c r="AU633" s="135">
        <v>6</v>
      </c>
      <c r="AV633" s="135">
        <v>120</v>
      </c>
      <c r="AW633" s="135">
        <v>114</v>
      </c>
      <c r="AX633" s="135">
        <v>28</v>
      </c>
      <c r="AY633" s="135" t="s">
        <v>8728</v>
      </c>
      <c r="AZ633" s="135" t="s">
        <v>1563</v>
      </c>
      <c r="BA633" s="135">
        <v>32</v>
      </c>
      <c r="BB633" s="138" t="s">
        <v>2485</v>
      </c>
      <c r="BC633" s="138" t="s">
        <v>8726</v>
      </c>
      <c r="BD633" s="138" t="s">
        <v>8374</v>
      </c>
      <c r="BE633" s="135" t="s">
        <v>2449</v>
      </c>
      <c r="BF633" s="135" t="s">
        <v>272</v>
      </c>
      <c r="BG633" s="135" t="s">
        <v>272</v>
      </c>
      <c r="BH633" s="135" t="s">
        <v>2486</v>
      </c>
      <c r="BI633" s="185">
        <v>6.3999999999999997E-6</v>
      </c>
      <c r="BJ633" s="185">
        <v>6.4000000000000001E-2</v>
      </c>
      <c r="BK633" s="135"/>
      <c r="BL633" s="185">
        <f t="shared" si="209"/>
        <v>7.8320418603649456E-3</v>
      </c>
      <c r="BM633" s="138" t="s">
        <v>2487</v>
      </c>
      <c r="BN633" s="135"/>
      <c r="BO633" s="135"/>
      <c r="BP633" s="135"/>
      <c r="BQ633" s="135"/>
      <c r="BR633" s="138" t="s">
        <v>2496</v>
      </c>
      <c r="BS633" s="135"/>
      <c r="BT633" s="135"/>
      <c r="BU633" s="135">
        <v>6.3999999999999997E-6</v>
      </c>
      <c r="BV633" s="135"/>
      <c r="BW633" s="135"/>
      <c r="BX633" s="135"/>
      <c r="BY633" s="135"/>
      <c r="BZ633" s="135"/>
      <c r="CA633" s="135"/>
      <c r="CB633" s="135"/>
      <c r="CC633" s="135"/>
      <c r="CD633" s="135"/>
      <c r="CE633" s="135"/>
      <c r="CF633" s="135"/>
      <c r="CG633" s="135"/>
      <c r="CH633" s="135"/>
      <c r="CI633" s="185"/>
      <c r="CJ633" s="187"/>
      <c r="CK633" s="136">
        <f t="shared" si="205"/>
        <v>0.12237565406820228</v>
      </c>
      <c r="CL633" s="188"/>
      <c r="CM633" s="188">
        <v>-1.9852572938193898</v>
      </c>
      <c r="CN633" s="188">
        <f>BJ633/(10^CM633)</f>
        <v>6.1863896103896119</v>
      </c>
      <c r="CO633" s="138" t="s">
        <v>2488</v>
      </c>
      <c r="CP633" s="138" t="s">
        <v>2489</v>
      </c>
      <c r="CQ633" s="183">
        <v>-1.9818992798757067</v>
      </c>
      <c r="CR633" s="191">
        <f t="shared" si="214"/>
        <v>95.917815632782464</v>
      </c>
      <c r="CS633" s="135" t="s">
        <v>539</v>
      </c>
      <c r="CT633" s="135"/>
      <c r="CU633" s="135"/>
      <c r="CV633" s="332">
        <f t="shared" si="210"/>
        <v>6.5497783151954856</v>
      </c>
      <c r="CW633" s="329">
        <f t="shared" si="203"/>
        <v>1</v>
      </c>
      <c r="CX633" s="329"/>
      <c r="CY633" s="189" t="s">
        <v>5921</v>
      </c>
    </row>
    <row r="634" spans="1:103" ht="11.25" customHeight="1" x14ac:dyDescent="0.2">
      <c r="A634" s="72">
        <v>632</v>
      </c>
      <c r="B634" s="183">
        <v>1606</v>
      </c>
      <c r="C634" s="133" t="s">
        <v>1108</v>
      </c>
      <c r="D634" s="133" t="s">
        <v>6672</v>
      </c>
      <c r="E634" s="134"/>
      <c r="F634" s="134" t="s">
        <v>1109</v>
      </c>
      <c r="G634" s="184">
        <v>119446683</v>
      </c>
      <c r="H634" s="138" t="s">
        <v>1110</v>
      </c>
      <c r="I634" s="138" t="s">
        <v>7954</v>
      </c>
      <c r="J634" s="138" t="s">
        <v>1111</v>
      </c>
      <c r="K634" s="138" t="s">
        <v>1112</v>
      </c>
      <c r="L634" s="140" t="s">
        <v>5929</v>
      </c>
      <c r="M634" s="138" t="s">
        <v>6082</v>
      </c>
      <c r="N634" s="138" t="s">
        <v>6082</v>
      </c>
      <c r="O634" s="138" t="s">
        <v>6083</v>
      </c>
      <c r="P634" s="138"/>
      <c r="Q634" s="138"/>
      <c r="R634" s="138"/>
      <c r="S634" s="138"/>
      <c r="T634" s="135">
        <v>406.26</v>
      </c>
      <c r="U634" s="185">
        <v>3.6922168069709056E-2</v>
      </c>
      <c r="V634" s="185">
        <v>1.4660562201545809E-3</v>
      </c>
      <c r="W634" s="185">
        <v>1.2882495516931332E-3</v>
      </c>
      <c r="X634" s="185">
        <v>3.6922168069709056E-2</v>
      </c>
      <c r="Y634" s="204">
        <v>7</v>
      </c>
      <c r="Z634" s="135">
        <v>5.2</v>
      </c>
      <c r="AA634" s="135">
        <v>4.3</v>
      </c>
      <c r="AB634" s="135">
        <v>3.84</v>
      </c>
      <c r="AC634" s="135">
        <v>0.90800000000000003</v>
      </c>
      <c r="AD634" s="135">
        <v>4</v>
      </c>
      <c r="AE634" s="135">
        <v>4.92</v>
      </c>
      <c r="AF634" s="135">
        <f t="shared" si="211"/>
        <v>4.3</v>
      </c>
      <c r="AG634" s="136">
        <v>4.37</v>
      </c>
      <c r="AH634" s="185">
        <v>1.6900000000000001E-11</v>
      </c>
      <c r="AI634" s="185">
        <v>8.9099999999999998E-12</v>
      </c>
      <c r="AJ634" s="136">
        <f t="shared" si="213"/>
        <v>-9.1606796216989785</v>
      </c>
      <c r="AK634" s="136">
        <f>LOG10(AI634*1000/(0.08206*298.15))</f>
        <v>-9.4386886222757767</v>
      </c>
      <c r="AL634" s="136">
        <f t="shared" si="212"/>
        <v>-9.4386886222757767</v>
      </c>
      <c r="AM634" s="136">
        <v>-16.91262</v>
      </c>
      <c r="AN634" s="186">
        <v>-10.1</v>
      </c>
      <c r="AO634" s="481"/>
      <c r="AP634" s="481">
        <v>2.94</v>
      </c>
      <c r="AQ634" s="135" t="s">
        <v>6311</v>
      </c>
      <c r="AR634" s="135" t="s">
        <v>6311</v>
      </c>
      <c r="AS634" s="190"/>
      <c r="AT634" s="137" t="s">
        <v>266</v>
      </c>
      <c r="AU634" s="135">
        <v>6</v>
      </c>
      <c r="AV634" s="135">
        <v>120</v>
      </c>
      <c r="AW634" s="135">
        <v>114</v>
      </c>
      <c r="AX634" s="135">
        <v>28</v>
      </c>
      <c r="AY634" s="135" t="s">
        <v>8728</v>
      </c>
      <c r="AZ634" s="135" t="s">
        <v>1563</v>
      </c>
      <c r="BA634" s="135">
        <v>32</v>
      </c>
      <c r="BB634" s="138" t="s">
        <v>2485</v>
      </c>
      <c r="BC634" s="138" t="s">
        <v>8726</v>
      </c>
      <c r="BD634" s="138" t="s">
        <v>8374</v>
      </c>
      <c r="BE634" s="135" t="s">
        <v>2449</v>
      </c>
      <c r="BF634" s="135" t="s">
        <v>272</v>
      </c>
      <c r="BG634" s="135" t="s">
        <v>272</v>
      </c>
      <c r="BH634" s="135" t="s">
        <v>2486</v>
      </c>
      <c r="BI634" s="185">
        <v>6.3999999999999997E-6</v>
      </c>
      <c r="BJ634" s="185">
        <v>6.4000000000000001E-2</v>
      </c>
      <c r="BK634" s="135"/>
      <c r="BL634" s="185">
        <f t="shared" si="209"/>
        <v>1.0981963602641333E-3</v>
      </c>
      <c r="BM634" s="138" t="s">
        <v>2487</v>
      </c>
      <c r="BN634" s="135"/>
      <c r="BO634" s="135"/>
      <c r="BP634" s="135"/>
      <c r="BQ634" s="135"/>
      <c r="BR634" s="138" t="s">
        <v>2496</v>
      </c>
      <c r="BS634" s="135"/>
      <c r="BT634" s="135"/>
      <c r="BU634" s="135"/>
      <c r="BV634" s="135"/>
      <c r="BW634" s="135"/>
      <c r="BX634" s="135"/>
      <c r="BY634" s="135"/>
      <c r="BZ634" s="135"/>
      <c r="CA634" s="135"/>
      <c r="CB634" s="135"/>
      <c r="CC634" s="135"/>
      <c r="CD634" s="135"/>
      <c r="CE634" s="135"/>
      <c r="CF634" s="135"/>
      <c r="CG634" s="135"/>
      <c r="CH634" s="135"/>
      <c r="CI634" s="185"/>
      <c r="CJ634" s="187"/>
      <c r="CK634" s="136">
        <f t="shared" si="205"/>
        <v>1.715931812912708E-2</v>
      </c>
      <c r="CL634" s="188"/>
      <c r="CM634" s="188">
        <v>-3.1782303885975653</v>
      </c>
      <c r="CN634" s="188">
        <f>BJ634/(10^CM634)</f>
        <v>96.474017102201472</v>
      </c>
      <c r="CO634" s="138" t="s">
        <v>2488</v>
      </c>
      <c r="CP634" s="138" t="s">
        <v>2489</v>
      </c>
      <c r="CQ634" s="183">
        <v>-2.8599866469775228</v>
      </c>
      <c r="CR634" s="191">
        <f t="shared" si="214"/>
        <v>724.41368656853081</v>
      </c>
      <c r="CS634" s="135" t="s">
        <v>539</v>
      </c>
      <c r="CT634" s="135"/>
      <c r="CU634" s="135"/>
      <c r="CV634" s="332">
        <f t="shared" si="210"/>
        <v>0.57690887608920394</v>
      </c>
      <c r="CW634" s="329">
        <f t="shared" si="203"/>
        <v>0</v>
      </c>
      <c r="CX634" s="329"/>
      <c r="CY634" s="189" t="s">
        <v>5921</v>
      </c>
    </row>
    <row r="635" spans="1:103" ht="11.25" customHeight="1" x14ac:dyDescent="0.2">
      <c r="A635" s="72">
        <v>633</v>
      </c>
      <c r="B635" s="183">
        <v>1574</v>
      </c>
      <c r="C635" s="133" t="s">
        <v>1068</v>
      </c>
      <c r="D635" s="133" t="s">
        <v>6699</v>
      </c>
      <c r="E635" s="134"/>
      <c r="F635" s="134" t="s">
        <v>1069</v>
      </c>
      <c r="G635" s="184">
        <v>122008859</v>
      </c>
      <c r="H635" s="138" t="s">
        <v>1070</v>
      </c>
      <c r="I635" s="138" t="s">
        <v>7955</v>
      </c>
      <c r="J635" s="138" t="s">
        <v>1071</v>
      </c>
      <c r="K635" s="138" t="s">
        <v>357</v>
      </c>
      <c r="L635" s="138" t="s">
        <v>5968</v>
      </c>
      <c r="M635" s="138" t="s">
        <v>2342</v>
      </c>
      <c r="N635" s="138" t="s">
        <v>2342</v>
      </c>
      <c r="O635" s="138"/>
      <c r="P635" s="138"/>
      <c r="Q635" s="138"/>
      <c r="R635" s="138"/>
      <c r="S635" s="138"/>
      <c r="T635" s="135">
        <v>357.38</v>
      </c>
      <c r="U635" s="185">
        <v>1.9586994235827409E-3</v>
      </c>
      <c r="V635" s="185">
        <v>1.2661592702445577E-2</v>
      </c>
      <c r="W635" s="185">
        <v>1.2022644346174126E-3</v>
      </c>
      <c r="X635" s="185">
        <v>1.9586994235827409E-3</v>
      </c>
      <c r="Y635" s="204">
        <v>7</v>
      </c>
      <c r="Z635" s="135">
        <v>4.47</v>
      </c>
      <c r="AA635" s="135">
        <v>3.31</v>
      </c>
      <c r="AB635" s="135">
        <v>4.05</v>
      </c>
      <c r="AC635" s="135">
        <v>0.70509999999999995</v>
      </c>
      <c r="AD635" s="135">
        <v>4.17</v>
      </c>
      <c r="AE635" s="135">
        <v>4.4000000000000004</v>
      </c>
      <c r="AF635" s="135">
        <f t="shared" si="211"/>
        <v>3.31</v>
      </c>
      <c r="AG635" s="136">
        <v>4.3499999999999996</v>
      </c>
      <c r="AH635" s="185">
        <v>4.1100000000000001E-9</v>
      </c>
      <c r="AI635" s="185">
        <v>6.0500000000000004E-9</v>
      </c>
      <c r="AJ635" s="136">
        <f t="shared" si="213"/>
        <v>-6.7747245044365823</v>
      </c>
      <c r="AK635" s="136">
        <f>LOG10(AI635*1000/(0.08206*298.15))</f>
        <v>-6.606810951660183</v>
      </c>
      <c r="AL635" s="136">
        <f t="shared" si="212"/>
        <v>-6.606810951660183</v>
      </c>
      <c r="AM635" s="136">
        <v>-14.01172</v>
      </c>
      <c r="AN635" s="186">
        <v>-6.94</v>
      </c>
      <c r="AO635" s="481"/>
      <c r="AP635" s="481"/>
      <c r="AQ635" s="135" t="s">
        <v>6311</v>
      </c>
      <c r="AR635" s="135" t="s">
        <v>6312</v>
      </c>
      <c r="AS635" s="190"/>
      <c r="AT635" s="137" t="s">
        <v>266</v>
      </c>
      <c r="AU635" s="135">
        <v>6</v>
      </c>
      <c r="AV635" s="135">
        <v>120</v>
      </c>
      <c r="AW635" s="135">
        <v>114</v>
      </c>
      <c r="AX635" s="135">
        <v>28</v>
      </c>
      <c r="AY635" s="135" t="s">
        <v>8728</v>
      </c>
      <c r="AZ635" s="135" t="s">
        <v>1563</v>
      </c>
      <c r="BA635" s="135">
        <v>32</v>
      </c>
      <c r="BB635" s="138" t="s">
        <v>2485</v>
      </c>
      <c r="BC635" s="138" t="s">
        <v>8726</v>
      </c>
      <c r="BD635" s="138" t="s">
        <v>8374</v>
      </c>
      <c r="BE635" s="135" t="s">
        <v>2449</v>
      </c>
      <c r="BF635" s="135" t="s">
        <v>272</v>
      </c>
      <c r="BG635" s="135" t="s">
        <v>272</v>
      </c>
      <c r="BH635" s="135" t="s">
        <v>2486</v>
      </c>
      <c r="BI635" s="185">
        <v>6.3999999999999997E-6</v>
      </c>
      <c r="BJ635" s="185">
        <v>6.4000000000000001E-2</v>
      </c>
      <c r="BK635" s="135"/>
      <c r="BL635" s="185">
        <f t="shared" si="209"/>
        <v>4.9692746419135745E-3</v>
      </c>
      <c r="BM635" s="138" t="s">
        <v>2487</v>
      </c>
      <c r="BN635" s="135"/>
      <c r="BO635" s="135"/>
      <c r="BP635" s="135"/>
      <c r="BQ635" s="135"/>
      <c r="BR635" s="138" t="s">
        <v>2496</v>
      </c>
      <c r="BS635" s="135"/>
      <c r="BT635" s="135"/>
      <c r="BU635" s="135"/>
      <c r="BV635" s="135"/>
      <c r="BW635" s="135"/>
      <c r="BX635" s="135"/>
      <c r="BY635" s="135"/>
      <c r="BZ635" s="135"/>
      <c r="CA635" s="135"/>
      <c r="CB635" s="135"/>
      <c r="CC635" s="135"/>
      <c r="CD635" s="135"/>
      <c r="CE635" s="135"/>
      <c r="CF635" s="135"/>
      <c r="CG635" s="135"/>
      <c r="CH635" s="135"/>
      <c r="CI635" s="185"/>
      <c r="CJ635" s="187"/>
      <c r="CK635" s="136">
        <f t="shared" si="205"/>
        <v>7.7644916279899598E-2</v>
      </c>
      <c r="CL635" s="188"/>
      <c r="CM635" s="188">
        <v>-2.6284819740794108</v>
      </c>
      <c r="CN635" s="188">
        <f>BJ635/(10^CM635)</f>
        <v>27.20582800108599</v>
      </c>
      <c r="CO635" s="138" t="s">
        <v>2488</v>
      </c>
      <c r="CP635" s="138" t="s">
        <v>2489</v>
      </c>
      <c r="CQ635" s="183">
        <v>-2.6284819740794108</v>
      </c>
      <c r="CR635" s="191">
        <f t="shared" si="214"/>
        <v>425.09106251696858</v>
      </c>
      <c r="CS635" s="135" t="s">
        <v>539</v>
      </c>
      <c r="CT635" s="135"/>
      <c r="CU635" s="135"/>
      <c r="CV635" s="332">
        <f t="shared" si="210"/>
        <v>3.0604678493480326E-2</v>
      </c>
      <c r="CW635" s="329">
        <f t="shared" si="203"/>
        <v>0</v>
      </c>
      <c r="CX635" s="329"/>
      <c r="CY635" s="189" t="s">
        <v>5921</v>
      </c>
    </row>
    <row r="636" spans="1:103" ht="11.25" customHeight="1" x14ac:dyDescent="0.2">
      <c r="A636" s="72">
        <v>634</v>
      </c>
      <c r="B636" s="183">
        <v>1144</v>
      </c>
      <c r="C636" s="133" t="s">
        <v>1231</v>
      </c>
      <c r="D636" s="133" t="s">
        <v>6566</v>
      </c>
      <c r="E636" s="134"/>
      <c r="F636" s="134" t="s">
        <v>1232</v>
      </c>
      <c r="G636" s="184">
        <v>81406373</v>
      </c>
      <c r="H636" s="138" t="s">
        <v>1233</v>
      </c>
      <c r="I636" s="138" t="s">
        <v>7956</v>
      </c>
      <c r="J636" s="138" t="s">
        <v>1234</v>
      </c>
      <c r="K636" s="138" t="s">
        <v>1235</v>
      </c>
      <c r="L636" s="138" t="s">
        <v>6033</v>
      </c>
      <c r="M636" s="138" t="s">
        <v>6082</v>
      </c>
      <c r="N636" s="138" t="s">
        <v>6082</v>
      </c>
      <c r="O636" s="138" t="s">
        <v>6083</v>
      </c>
      <c r="P636" s="138"/>
      <c r="Q636" s="138"/>
      <c r="R636" s="138"/>
      <c r="S636" s="138"/>
      <c r="T636" s="135">
        <v>367.24</v>
      </c>
      <c r="U636" s="185">
        <v>2.4507134299095955E-4</v>
      </c>
      <c r="V636" s="185">
        <v>1.7939222306938244E-3</v>
      </c>
      <c r="W636" s="185">
        <v>1.3182567385564064E-3</v>
      </c>
      <c r="X636" s="185">
        <v>2.4507134299095955E-4</v>
      </c>
      <c r="Y636" s="204">
        <v>7</v>
      </c>
      <c r="Z636" s="135">
        <v>4.82</v>
      </c>
      <c r="AA636" s="135">
        <v>4.53</v>
      </c>
      <c r="AB636" s="135">
        <v>4.76</v>
      </c>
      <c r="AC636" s="135">
        <v>0.80210000000000004</v>
      </c>
      <c r="AD636" s="135">
        <v>5.23</v>
      </c>
      <c r="AE636" s="135">
        <v>6.77</v>
      </c>
      <c r="AF636" s="135">
        <f t="shared" si="211"/>
        <v>4.53</v>
      </c>
      <c r="AG636" s="136">
        <v>4.8899999999999997</v>
      </c>
      <c r="AH636" s="185">
        <v>1.06E-10</v>
      </c>
      <c r="AI636" s="185">
        <v>5.4200000000000002E-8</v>
      </c>
      <c r="AJ636" s="136">
        <f t="shared" si="213"/>
        <v>-8.3632604610478811</v>
      </c>
      <c r="AK636" s="136">
        <f>LOG10(AI636*1000/(0.08206*298.15))</f>
        <v>-5.6545670397742649</v>
      </c>
      <c r="AL636" s="136">
        <f t="shared" si="212"/>
        <v>-5.6545670397742649</v>
      </c>
      <c r="AM636" s="136">
        <v>-13.434470000000001</v>
      </c>
      <c r="AN636" s="186">
        <v>-2.96</v>
      </c>
      <c r="AO636" s="481"/>
      <c r="AP636" s="481">
        <v>-1.55</v>
      </c>
      <c r="AQ636" s="135" t="s">
        <v>6311</v>
      </c>
      <c r="AR636" s="135" t="s">
        <v>6314</v>
      </c>
      <c r="AS636" s="190"/>
      <c r="AT636" s="137" t="s">
        <v>266</v>
      </c>
      <c r="AU636" s="135">
        <v>6</v>
      </c>
      <c r="AV636" s="135">
        <v>120</v>
      </c>
      <c r="AW636" s="135">
        <v>114</v>
      </c>
      <c r="AX636" s="135">
        <v>28</v>
      </c>
      <c r="AY636" s="135" t="s">
        <v>8728</v>
      </c>
      <c r="AZ636" s="135" t="s">
        <v>1563</v>
      </c>
      <c r="BA636" s="135">
        <v>32</v>
      </c>
      <c r="BB636" s="138" t="s">
        <v>2485</v>
      </c>
      <c r="BC636" s="138" t="s">
        <v>8726</v>
      </c>
      <c r="BD636" s="138" t="s">
        <v>8374</v>
      </c>
      <c r="BE636" s="135" t="s">
        <v>2449</v>
      </c>
      <c r="BF636" s="135" t="s">
        <v>272</v>
      </c>
      <c r="BG636" s="135" t="s">
        <v>272</v>
      </c>
      <c r="BH636" s="135" t="s">
        <v>2486</v>
      </c>
      <c r="BI636" s="185">
        <v>6.3999999999999997E-6</v>
      </c>
      <c r="BJ636" s="185">
        <v>6.4000000000000001E-2</v>
      </c>
      <c r="BK636" s="135"/>
      <c r="BL636" s="185">
        <f t="shared" ref="BL636:BL667" si="215">10^((-0.8981*Z636)+1.7108)</f>
        <v>2.4096723814383521E-3</v>
      </c>
      <c r="BM636" s="138" t="s">
        <v>2487</v>
      </c>
      <c r="BN636" s="135"/>
      <c r="BO636" s="135"/>
      <c r="BP636" s="135"/>
      <c r="BQ636" s="135"/>
      <c r="BR636" s="138" t="s">
        <v>2496</v>
      </c>
      <c r="BS636" s="135"/>
      <c r="BT636" s="135"/>
      <c r="BU636" s="135">
        <v>6.4000000000000005E-4</v>
      </c>
      <c r="BV636" s="135"/>
      <c r="BW636" s="135"/>
      <c r="BX636" s="135"/>
      <c r="BY636" s="135"/>
      <c r="BZ636" s="135"/>
      <c r="CA636" s="135"/>
      <c r="CB636" s="135"/>
      <c r="CC636" s="135"/>
      <c r="CD636" s="135"/>
      <c r="CE636" s="135"/>
      <c r="CF636" s="135"/>
      <c r="CG636" s="135"/>
      <c r="CH636" s="135"/>
      <c r="CI636" s="185"/>
      <c r="CJ636" s="187"/>
      <c r="CK636" s="136">
        <f t="shared" si="205"/>
        <v>3.7651130959974251E-2</v>
      </c>
      <c r="CL636" s="188"/>
      <c r="CM636" s="188"/>
      <c r="CN636" s="188"/>
      <c r="CO636" s="138" t="s">
        <v>2488</v>
      </c>
      <c r="CP636" s="138" t="s">
        <v>2489</v>
      </c>
      <c r="CQ636" s="183">
        <v>-1.4101348950068042</v>
      </c>
      <c r="CR636" s="191">
        <f t="shared" si="214"/>
        <v>25.711942902922331</v>
      </c>
      <c r="CS636" s="135" t="s">
        <v>539</v>
      </c>
      <c r="CT636" s="135"/>
      <c r="CU636" s="135"/>
      <c r="CV636" s="332">
        <f t="shared" si="210"/>
        <v>3.8292397342337432E-3</v>
      </c>
      <c r="CW636" s="329">
        <f t="shared" si="203"/>
        <v>0</v>
      </c>
      <c r="CX636" s="329"/>
      <c r="CY636" s="189" t="s">
        <v>5921</v>
      </c>
    </row>
    <row r="637" spans="1:103" ht="11.25" customHeight="1" x14ac:dyDescent="0.2">
      <c r="A637" s="72">
        <v>635</v>
      </c>
      <c r="B637" s="183">
        <v>1322</v>
      </c>
      <c r="C637" s="133" t="s">
        <v>1539</v>
      </c>
      <c r="D637" s="133" t="s">
        <v>6587</v>
      </c>
      <c r="E637" s="134"/>
      <c r="F637" s="134" t="s">
        <v>1540</v>
      </c>
      <c r="G637" s="184">
        <v>141517217</v>
      </c>
      <c r="H637" s="201" t="s">
        <v>1541</v>
      </c>
      <c r="I637" s="201" t="s">
        <v>1541</v>
      </c>
      <c r="J637" s="201" t="s">
        <v>1542</v>
      </c>
      <c r="K637" s="201" t="s">
        <v>300</v>
      </c>
      <c r="L637" s="138"/>
      <c r="M637" s="138" t="s">
        <v>6082</v>
      </c>
      <c r="N637" s="138" t="s">
        <v>6082</v>
      </c>
      <c r="O637" s="141"/>
      <c r="P637" s="138"/>
      <c r="Q637" s="138"/>
      <c r="R637" s="138"/>
      <c r="S637" s="138"/>
      <c r="T637" s="186">
        <v>408.38</v>
      </c>
      <c r="U637" s="185"/>
      <c r="V637" s="185">
        <v>9.5501628425202637E-4</v>
      </c>
      <c r="W637" s="185">
        <v>1.0232929922807527E-3</v>
      </c>
      <c r="X637" s="185">
        <f>IF(W637=0,V637,W637)</f>
        <v>1.0232929922807527E-3</v>
      </c>
      <c r="Y637" s="204">
        <v>7</v>
      </c>
      <c r="Z637" s="135">
        <v>6.62</v>
      </c>
      <c r="AA637" s="135">
        <v>4.5</v>
      </c>
      <c r="AB637" s="135">
        <v>4.7300000000000004</v>
      </c>
      <c r="AC637" s="135">
        <v>0.70989999999999998</v>
      </c>
      <c r="AD637" s="135">
        <v>4.8499999999999996</v>
      </c>
      <c r="AE637" s="135">
        <v>5.1100000000000003</v>
      </c>
      <c r="AF637" s="135">
        <f t="shared" si="211"/>
        <v>4.5</v>
      </c>
      <c r="AG637" s="135">
        <v>5.04</v>
      </c>
      <c r="AH637" s="185">
        <v>1.0700000000000001E-7</v>
      </c>
      <c r="AI637" s="185"/>
      <c r="AJ637" s="136">
        <f t="shared" si="213"/>
        <v>-5.3591825486274418</v>
      </c>
      <c r="AK637" s="136"/>
      <c r="AL637" s="136">
        <f t="shared" si="212"/>
        <v>-5.3591825486274418</v>
      </c>
      <c r="AM637" s="136">
        <v>-11.2052</v>
      </c>
      <c r="AN637" s="135">
        <v>-5.94</v>
      </c>
      <c r="AO637" s="481"/>
      <c r="AP637" s="481"/>
      <c r="AQ637" s="135" t="s">
        <v>6311</v>
      </c>
      <c r="AR637" s="135" t="s">
        <v>6312</v>
      </c>
      <c r="AS637" s="190"/>
      <c r="AT637" s="137" t="s">
        <v>266</v>
      </c>
      <c r="AU637" s="135">
        <v>6</v>
      </c>
      <c r="AV637" s="135">
        <v>120</v>
      </c>
      <c r="AW637" s="135">
        <v>114</v>
      </c>
      <c r="AX637" s="135">
        <v>28</v>
      </c>
      <c r="AY637" s="135" t="s">
        <v>8728</v>
      </c>
      <c r="AZ637" s="135" t="s">
        <v>1563</v>
      </c>
      <c r="BA637" s="135">
        <v>32</v>
      </c>
      <c r="BB637" s="138" t="s">
        <v>2485</v>
      </c>
      <c r="BC637" s="138" t="s">
        <v>8726</v>
      </c>
      <c r="BD637" s="138" t="s">
        <v>8374</v>
      </c>
      <c r="BE637" s="135" t="s">
        <v>2449</v>
      </c>
      <c r="BF637" s="135" t="s">
        <v>272</v>
      </c>
      <c r="BG637" s="135" t="s">
        <v>272</v>
      </c>
      <c r="BH637" s="135" t="s">
        <v>2486</v>
      </c>
      <c r="BI637" s="185">
        <v>6.3999999999999997E-6</v>
      </c>
      <c r="BJ637" s="185">
        <v>6.4000000000000001E-2</v>
      </c>
      <c r="BK637" s="135"/>
      <c r="BL637" s="185">
        <f t="shared" si="215"/>
        <v>5.8261008767137519E-5</v>
      </c>
      <c r="BM637" s="138" t="s">
        <v>2487</v>
      </c>
      <c r="BN637" s="135"/>
      <c r="BO637" s="135"/>
      <c r="BP637" s="135"/>
      <c r="BQ637" s="135"/>
      <c r="BR637" s="138" t="s">
        <v>2496</v>
      </c>
      <c r="BS637" s="135"/>
      <c r="BT637" s="135"/>
      <c r="BU637" s="135">
        <v>6.4000000000000001E-2</v>
      </c>
      <c r="BV637" s="135"/>
      <c r="BW637" s="135"/>
      <c r="BX637" s="135"/>
      <c r="BY637" s="135"/>
      <c r="BZ637" s="135"/>
      <c r="CA637" s="135"/>
      <c r="CB637" s="135"/>
      <c r="CC637" s="135"/>
      <c r="CD637" s="135"/>
      <c r="CE637" s="135"/>
      <c r="CF637" s="135"/>
      <c r="CG637" s="135"/>
      <c r="CH637" s="135"/>
      <c r="CI637" s="185"/>
      <c r="CJ637" s="187"/>
      <c r="CK637" s="136">
        <f t="shared" si="205"/>
        <v>9.1032826198652369E-4</v>
      </c>
      <c r="CL637" s="188"/>
      <c r="CM637" s="188">
        <v>-4.4649257944236753</v>
      </c>
      <c r="CN637" s="188">
        <f>BJ637/(10^CM637)</f>
        <v>1866.8342857142868</v>
      </c>
      <c r="CO637" s="138" t="s">
        <v>2488</v>
      </c>
      <c r="CP637" s="138" t="s">
        <v>2489</v>
      </c>
      <c r="CQ637" s="183">
        <v>-4.1717929323513099</v>
      </c>
      <c r="CR637" s="191">
        <f t="shared" si="214"/>
        <v>14852.273305945391</v>
      </c>
      <c r="CS637" s="135" t="s">
        <v>539</v>
      </c>
      <c r="CT637" s="135"/>
      <c r="CU637" s="135"/>
      <c r="CV637" s="332">
        <f t="shared" si="210"/>
        <v>1.5988953004386759E-2</v>
      </c>
      <c r="CW637" s="329">
        <f t="shared" si="203"/>
        <v>0</v>
      </c>
      <c r="CX637" s="329"/>
      <c r="CY637" s="189" t="s">
        <v>5921</v>
      </c>
    </row>
    <row r="638" spans="1:103" ht="11.25" customHeight="1" x14ac:dyDescent="0.2">
      <c r="A638" s="72">
        <v>636</v>
      </c>
      <c r="B638" s="183">
        <v>1634</v>
      </c>
      <c r="C638" s="133" t="s">
        <v>1127</v>
      </c>
      <c r="D638" s="133" t="s">
        <v>6575</v>
      </c>
      <c r="E638" s="134"/>
      <c r="F638" s="134" t="s">
        <v>1128</v>
      </c>
      <c r="G638" s="184">
        <v>97886458</v>
      </c>
      <c r="H638" s="138" t="s">
        <v>1129</v>
      </c>
      <c r="I638" s="138" t="s">
        <v>1129</v>
      </c>
      <c r="J638" s="138" t="s">
        <v>1130</v>
      </c>
      <c r="K638" s="138" t="s">
        <v>357</v>
      </c>
      <c r="L638" s="138" t="s">
        <v>5975</v>
      </c>
      <c r="M638" s="138" t="s">
        <v>6082</v>
      </c>
      <c r="N638" s="138" t="s">
        <v>6082</v>
      </c>
      <c r="O638" s="138" t="s">
        <v>6083</v>
      </c>
      <c r="P638" s="138"/>
      <c r="Q638" s="138"/>
      <c r="R638" s="138"/>
      <c r="S638" s="138"/>
      <c r="T638" s="135">
        <v>401.42</v>
      </c>
      <c r="U638" s="185">
        <v>3.4876189527178513E-3</v>
      </c>
      <c r="V638" s="185">
        <v>6.5641971002939562E-4</v>
      </c>
      <c r="W638" s="185">
        <v>8.3176377110266903E-4</v>
      </c>
      <c r="X638" s="185">
        <v>3.4876189527178513E-3</v>
      </c>
      <c r="Y638" s="204">
        <v>7</v>
      </c>
      <c r="Z638" s="135">
        <v>4.46</v>
      </c>
      <c r="AA638" s="135">
        <v>4.75</v>
      </c>
      <c r="AB638" s="135">
        <v>3.79</v>
      </c>
      <c r="AC638" s="135">
        <v>0.67700000000000005</v>
      </c>
      <c r="AD638" s="135">
        <v>4.51</v>
      </c>
      <c r="AE638" s="135">
        <v>5.88</v>
      </c>
      <c r="AF638" s="135">
        <f t="shared" si="211"/>
        <v>4.75</v>
      </c>
      <c r="AG638" s="136">
        <v>4.6900000000000004</v>
      </c>
      <c r="AH638" s="185">
        <v>3.6300000000000001E-9</v>
      </c>
      <c r="AI638" s="185"/>
      <c r="AJ638" s="136">
        <f t="shared" si="213"/>
        <v>-6.8286597012765391</v>
      </c>
      <c r="AK638" s="136"/>
      <c r="AL638" s="136">
        <f t="shared" si="212"/>
        <v>-6.8286597012765391</v>
      </c>
      <c r="AM638" s="136">
        <v>-12.00319</v>
      </c>
      <c r="AN638" s="186">
        <v>-5.0999999999999996</v>
      </c>
      <c r="AO638" s="481"/>
      <c r="AP638" s="481">
        <v>-7.1</v>
      </c>
      <c r="AQ638" s="186" t="s">
        <v>6311</v>
      </c>
      <c r="AR638" s="186" t="s">
        <v>6311</v>
      </c>
      <c r="AS638" s="183"/>
      <c r="AT638" s="137" t="s">
        <v>266</v>
      </c>
      <c r="AU638" s="135">
        <v>6</v>
      </c>
      <c r="AV638" s="135">
        <v>120</v>
      </c>
      <c r="AW638" s="135">
        <v>114</v>
      </c>
      <c r="AX638" s="135">
        <v>28</v>
      </c>
      <c r="AY638" s="135" t="s">
        <v>8728</v>
      </c>
      <c r="AZ638" s="135" t="s">
        <v>1563</v>
      </c>
      <c r="BA638" s="135">
        <v>32</v>
      </c>
      <c r="BB638" s="138" t="s">
        <v>2485</v>
      </c>
      <c r="BC638" s="138" t="s">
        <v>8726</v>
      </c>
      <c r="BD638" s="138" t="s">
        <v>8374</v>
      </c>
      <c r="BE638" s="135" t="s">
        <v>2449</v>
      </c>
      <c r="BF638" s="135" t="s">
        <v>272</v>
      </c>
      <c r="BG638" s="135" t="s">
        <v>272</v>
      </c>
      <c r="BH638" s="135" t="s">
        <v>2486</v>
      </c>
      <c r="BI638" s="185">
        <v>6.3999999999999997E-6</v>
      </c>
      <c r="BJ638" s="185">
        <v>6.4000000000000001E-2</v>
      </c>
      <c r="BK638" s="135"/>
      <c r="BL638" s="185">
        <f t="shared" si="215"/>
        <v>5.0731067385228461E-3</v>
      </c>
      <c r="BM638" s="138" t="s">
        <v>2487</v>
      </c>
      <c r="BN638" s="135"/>
      <c r="BO638" s="135"/>
      <c r="BP638" s="135"/>
      <c r="BQ638" s="135"/>
      <c r="BR638" s="138" t="s">
        <v>2496</v>
      </c>
      <c r="BS638" s="135"/>
      <c r="BT638" s="135"/>
      <c r="BU638" s="135"/>
      <c r="BV638" s="135"/>
      <c r="BW638" s="135"/>
      <c r="BX638" s="135"/>
      <c r="BY638" s="135"/>
      <c r="BZ638" s="135"/>
      <c r="CA638" s="135"/>
      <c r="CB638" s="135"/>
      <c r="CC638" s="135"/>
      <c r="CD638" s="135"/>
      <c r="CE638" s="135"/>
      <c r="CF638" s="135"/>
      <c r="CG638" s="135"/>
      <c r="CH638" s="135"/>
      <c r="CI638" s="185"/>
      <c r="CJ638" s="187"/>
      <c r="CK638" s="136">
        <f t="shared" si="205"/>
        <v>7.9267292789419463E-2</v>
      </c>
      <c r="CL638" s="188"/>
      <c r="CM638" s="188">
        <v>-2.9408411749184613</v>
      </c>
      <c r="CN638" s="188">
        <f>BJ638/(10^CM638)</f>
        <v>55.849739130434862</v>
      </c>
      <c r="CO638" s="138" t="s">
        <v>2488</v>
      </c>
      <c r="CP638" s="138" t="s">
        <v>2489</v>
      </c>
      <c r="CQ638" s="183">
        <v>-2.9361711617913895</v>
      </c>
      <c r="CR638" s="191">
        <f t="shared" si="214"/>
        <v>863.3187272333787</v>
      </c>
      <c r="CS638" s="135" t="s">
        <v>539</v>
      </c>
      <c r="CT638" s="135"/>
      <c r="CU638" s="135"/>
      <c r="CV638" s="332">
        <f t="shared" si="210"/>
        <v>5.4494046136216424E-2</v>
      </c>
      <c r="CW638" s="329">
        <f t="shared" si="203"/>
        <v>0</v>
      </c>
      <c r="CX638" s="329"/>
      <c r="CY638" s="189" t="s">
        <v>5921</v>
      </c>
    </row>
    <row r="639" spans="1:103" ht="11.25" customHeight="1" x14ac:dyDescent="0.2">
      <c r="A639" s="72">
        <v>637</v>
      </c>
      <c r="B639" s="191">
        <v>467</v>
      </c>
      <c r="C639" s="128" t="s">
        <v>4014</v>
      </c>
      <c r="D639" s="128" t="s">
        <v>6889</v>
      </c>
      <c r="E639" s="129"/>
      <c r="F639" s="129" t="s">
        <v>4015</v>
      </c>
      <c r="G639" s="192">
        <v>10453868</v>
      </c>
      <c r="H639" s="139" t="s">
        <v>4016</v>
      </c>
      <c r="I639" s="139" t="s">
        <v>4016</v>
      </c>
      <c r="J639" s="139" t="s">
        <v>4017</v>
      </c>
      <c r="K639" s="139" t="s">
        <v>4018</v>
      </c>
      <c r="L639" s="139" t="s">
        <v>617</v>
      </c>
      <c r="M639" s="139" t="s">
        <v>1086</v>
      </c>
      <c r="N639" s="138" t="s">
        <v>6376</v>
      </c>
      <c r="O639" s="139" t="s">
        <v>918</v>
      </c>
      <c r="P639" s="138"/>
      <c r="Q639" s="138"/>
      <c r="R639" s="138"/>
      <c r="S639" s="138"/>
      <c r="T639" s="130">
        <v>338.44</v>
      </c>
      <c r="U639" s="187">
        <v>8.864200449119489E-4</v>
      </c>
      <c r="V639" s="187">
        <v>1.2262143954615295E-4</v>
      </c>
      <c r="W639" s="187">
        <v>2.4547089156850268E-3</v>
      </c>
      <c r="X639" s="187">
        <v>8.864200449119489E-4</v>
      </c>
      <c r="Y639" s="194">
        <v>7</v>
      </c>
      <c r="Z639" s="130">
        <v>7.11</v>
      </c>
      <c r="AA639" s="130">
        <v>6.14</v>
      </c>
      <c r="AB639" s="130">
        <v>6.42</v>
      </c>
      <c r="AC639" s="130">
        <v>0.85070000000000001</v>
      </c>
      <c r="AD639" s="130">
        <v>6.47</v>
      </c>
      <c r="AE639" s="130">
        <v>6.63</v>
      </c>
      <c r="AF639" s="130">
        <f t="shared" si="211"/>
        <v>6.14</v>
      </c>
      <c r="AG639" s="131">
        <v>5.17</v>
      </c>
      <c r="AH639" s="187">
        <v>5.5600000000000001E-6</v>
      </c>
      <c r="AI639" s="187">
        <v>1.3300000000000001E-7</v>
      </c>
      <c r="AJ639" s="136">
        <f t="shared" si="213"/>
        <v>-3.6434915347305945</v>
      </c>
      <c r="AK639" s="136">
        <f>LOG10(AI639*1000/(0.08206*298.15))</f>
        <v>-5.2647146853455657</v>
      </c>
      <c r="AL639" s="136">
        <f t="shared" si="212"/>
        <v>-5.2647146853455657</v>
      </c>
      <c r="AM639" s="136">
        <v>-9.6268199999999986</v>
      </c>
      <c r="AN639" s="193">
        <v>-4.79</v>
      </c>
      <c r="AO639" s="481"/>
      <c r="AP639" s="481"/>
      <c r="AQ639" s="193" t="s">
        <v>6311</v>
      </c>
      <c r="AR639" s="193" t="s">
        <v>6312</v>
      </c>
      <c r="AS639" s="191" t="s">
        <v>6</v>
      </c>
      <c r="AT639" s="132" t="s">
        <v>266</v>
      </c>
      <c r="AU639" s="130">
        <v>8</v>
      </c>
      <c r="AV639" s="130">
        <v>144</v>
      </c>
      <c r="AW639" s="130">
        <v>120</v>
      </c>
      <c r="AX639" s="130">
        <v>26</v>
      </c>
      <c r="AY639" s="130" t="s">
        <v>267</v>
      </c>
      <c r="AZ639" s="130" t="s">
        <v>2253</v>
      </c>
      <c r="BA639" s="130">
        <v>2</v>
      </c>
      <c r="BB639" s="139" t="s">
        <v>2254</v>
      </c>
      <c r="BC639" s="139" t="s">
        <v>270</v>
      </c>
      <c r="BD639" s="139" t="s">
        <v>8374</v>
      </c>
      <c r="BE639" s="130" t="s">
        <v>1712</v>
      </c>
      <c r="BF639" s="130" t="s">
        <v>272</v>
      </c>
      <c r="BG639" s="130" t="s">
        <v>272</v>
      </c>
      <c r="BH639" s="130" t="s">
        <v>2255</v>
      </c>
      <c r="BI639" s="187">
        <v>9.9999999999999995E-7</v>
      </c>
      <c r="BJ639" s="187">
        <v>0.08</v>
      </c>
      <c r="BK639" s="130"/>
      <c r="BL639" s="187">
        <f t="shared" si="215"/>
        <v>2.1149933198222998E-5</v>
      </c>
      <c r="BM639" s="130" t="s">
        <v>891</v>
      </c>
      <c r="BN639" s="194"/>
      <c r="BO639" s="194"/>
      <c r="BP639" s="194"/>
      <c r="BQ639" s="194"/>
      <c r="BR639" s="194"/>
      <c r="BS639" s="130"/>
      <c r="BT639" s="194"/>
      <c r="BU639" s="195"/>
      <c r="BV639" s="194"/>
      <c r="BW639" s="194"/>
      <c r="BX639" s="194"/>
      <c r="BY639" s="194"/>
      <c r="BZ639" s="194"/>
      <c r="CA639" s="194"/>
      <c r="CB639" s="194"/>
      <c r="CC639" s="130"/>
      <c r="CD639" s="130"/>
      <c r="CE639" s="130"/>
      <c r="CF639" s="130"/>
      <c r="CG639" s="194"/>
      <c r="CH639" s="130"/>
      <c r="CI639" s="187"/>
      <c r="CJ639" s="187"/>
      <c r="CK639" s="131">
        <f t="shared" si="205"/>
        <v>2.6437416497778745E-4</v>
      </c>
      <c r="CL639" s="188"/>
      <c r="CM639" s="188"/>
      <c r="CN639" s="188"/>
      <c r="CO639" s="139" t="s">
        <v>892</v>
      </c>
      <c r="CP639" s="139" t="s">
        <v>893</v>
      </c>
      <c r="CQ639" s="191">
        <v>-5.1580896558449911</v>
      </c>
      <c r="CR639" s="191">
        <f t="shared" si="214"/>
        <v>143909.5634800774</v>
      </c>
      <c r="CS639" s="135" t="s">
        <v>539</v>
      </c>
      <c r="CT639" s="135"/>
      <c r="CU639" s="135"/>
      <c r="CV639" s="332">
        <f t="shared" ref="CV639:CV670" si="216">X639/BJ639</f>
        <v>1.1080250561399361E-2</v>
      </c>
      <c r="CW639" s="329">
        <f t="shared" ref="CW639:CW702" si="217">IF(CV639&lt;1,0,1)</f>
        <v>0</v>
      </c>
      <c r="CX639" s="329" t="s">
        <v>539</v>
      </c>
      <c r="CY639" s="189" t="s">
        <v>5921</v>
      </c>
    </row>
    <row r="640" spans="1:103" ht="11.25" customHeight="1" x14ac:dyDescent="0.2">
      <c r="A640" s="72">
        <v>638</v>
      </c>
      <c r="B640" s="183">
        <v>1852</v>
      </c>
      <c r="C640" s="133" t="s">
        <v>4014</v>
      </c>
      <c r="D640" s="133" t="s">
        <v>6889</v>
      </c>
      <c r="E640" s="134"/>
      <c r="F640" s="134" t="s">
        <v>4015</v>
      </c>
      <c r="G640" s="184">
        <v>10453868</v>
      </c>
      <c r="H640" s="138" t="s">
        <v>4016</v>
      </c>
      <c r="I640" s="138" t="s">
        <v>4016</v>
      </c>
      <c r="J640" s="138" t="s">
        <v>4017</v>
      </c>
      <c r="K640" s="138" t="s">
        <v>4018</v>
      </c>
      <c r="L640" s="138" t="s">
        <v>617</v>
      </c>
      <c r="M640" s="138" t="s">
        <v>1086</v>
      </c>
      <c r="N640" s="138" t="s">
        <v>6376</v>
      </c>
      <c r="O640" s="138" t="s">
        <v>918</v>
      </c>
      <c r="P640" s="138" t="s">
        <v>6178</v>
      </c>
      <c r="Q640" s="138" t="s">
        <v>6173</v>
      </c>
      <c r="R640" s="138" t="s">
        <v>6181</v>
      </c>
      <c r="S640" s="138" t="s">
        <v>6176</v>
      </c>
      <c r="T640" s="135">
        <v>338.44</v>
      </c>
      <c r="U640" s="185">
        <v>8.864200449119489E-4</v>
      </c>
      <c r="V640" s="185">
        <v>1.2262143954615295E-4</v>
      </c>
      <c r="W640" s="185">
        <v>2.4547089156850268E-3</v>
      </c>
      <c r="X640" s="185">
        <v>8.864200449119489E-4</v>
      </c>
      <c r="Y640" s="204">
        <v>7</v>
      </c>
      <c r="Z640" s="135">
        <v>7.11</v>
      </c>
      <c r="AA640" s="135">
        <v>6.14</v>
      </c>
      <c r="AB640" s="135">
        <v>6.42</v>
      </c>
      <c r="AC640" s="135">
        <v>0.85070000000000001</v>
      </c>
      <c r="AD640" s="135">
        <v>6.47</v>
      </c>
      <c r="AE640" s="135">
        <v>6.63</v>
      </c>
      <c r="AF640" s="135">
        <f t="shared" si="211"/>
        <v>6.14</v>
      </c>
      <c r="AG640" s="136">
        <v>5.17</v>
      </c>
      <c r="AH640" s="185">
        <v>5.5600000000000001E-6</v>
      </c>
      <c r="AI640" s="185">
        <v>1.3300000000000001E-7</v>
      </c>
      <c r="AJ640" s="136">
        <f t="shared" si="213"/>
        <v>-3.6434915347305945</v>
      </c>
      <c r="AK640" s="136">
        <f>LOG10(AI640*1000/(0.08206*298.15))</f>
        <v>-5.2647146853455657</v>
      </c>
      <c r="AL640" s="136">
        <f t="shared" si="212"/>
        <v>-5.2647146853455657</v>
      </c>
      <c r="AM640" s="136">
        <v>-9.6268199999999986</v>
      </c>
      <c r="AN640" s="186">
        <v>-4.79</v>
      </c>
      <c r="AO640" s="481"/>
      <c r="AP640" s="481"/>
      <c r="AQ640" s="186" t="s">
        <v>6311</v>
      </c>
      <c r="AR640" s="186" t="s">
        <v>6312</v>
      </c>
      <c r="AS640" s="183"/>
      <c r="AT640" s="137" t="s">
        <v>266</v>
      </c>
      <c r="AU640" s="135">
        <v>6</v>
      </c>
      <c r="AV640" s="135">
        <v>120</v>
      </c>
      <c r="AW640" s="135">
        <v>114</v>
      </c>
      <c r="AX640" s="135">
        <v>28</v>
      </c>
      <c r="AY640" s="135" t="s">
        <v>8728</v>
      </c>
      <c r="AZ640" s="135" t="s">
        <v>1563</v>
      </c>
      <c r="BA640" s="135">
        <v>32</v>
      </c>
      <c r="BB640" s="138" t="s">
        <v>2485</v>
      </c>
      <c r="BC640" s="138" t="s">
        <v>8726</v>
      </c>
      <c r="BD640" s="138" t="s">
        <v>8374</v>
      </c>
      <c r="BE640" s="135" t="s">
        <v>2449</v>
      </c>
      <c r="BF640" s="135" t="s">
        <v>272</v>
      </c>
      <c r="BG640" s="135" t="s">
        <v>272</v>
      </c>
      <c r="BH640" s="135" t="s">
        <v>2486</v>
      </c>
      <c r="BI640" s="185">
        <v>6.3999999999999997E-6</v>
      </c>
      <c r="BJ640" s="185">
        <v>6.4000000000000001E-2</v>
      </c>
      <c r="BK640" s="135"/>
      <c r="BL640" s="185">
        <f t="shared" si="215"/>
        <v>2.1149933198222998E-5</v>
      </c>
      <c r="BM640" s="138" t="s">
        <v>2487</v>
      </c>
      <c r="BN640" s="135"/>
      <c r="BO640" s="135"/>
      <c r="BP640" s="135"/>
      <c r="BQ640" s="135"/>
      <c r="BR640" s="138" t="s">
        <v>2496</v>
      </c>
      <c r="BS640" s="135"/>
      <c r="BT640" s="135"/>
      <c r="BU640" s="135"/>
      <c r="BV640" s="135"/>
      <c r="BW640" s="135"/>
      <c r="BX640" s="135"/>
      <c r="BY640" s="135"/>
      <c r="BZ640" s="135"/>
      <c r="CA640" s="135"/>
      <c r="CB640" s="135"/>
      <c r="CC640" s="135"/>
      <c r="CD640" s="135"/>
      <c r="CE640" s="135"/>
      <c r="CF640" s="135"/>
      <c r="CG640" s="135"/>
      <c r="CH640" s="135"/>
      <c r="CI640" s="185"/>
      <c r="CJ640" s="187"/>
      <c r="CK640" s="136">
        <f t="shared" si="205"/>
        <v>3.3046770622223432E-4</v>
      </c>
      <c r="CL640" s="188"/>
      <c r="CM640" s="188"/>
      <c r="CN640" s="188"/>
      <c r="CO640" s="138" t="s">
        <v>2488</v>
      </c>
      <c r="CP640" s="138" t="s">
        <v>2489</v>
      </c>
      <c r="CQ640" s="183">
        <v>-5.1580896558449911</v>
      </c>
      <c r="CR640" s="191">
        <f t="shared" si="214"/>
        <v>143909.5634800774</v>
      </c>
      <c r="CS640" s="135" t="s">
        <v>539</v>
      </c>
      <c r="CT640" s="135"/>
      <c r="CU640" s="135"/>
      <c r="CV640" s="332">
        <f t="shared" si="216"/>
        <v>1.3850313201749202E-2</v>
      </c>
      <c r="CW640" s="329">
        <f t="shared" si="217"/>
        <v>0</v>
      </c>
      <c r="CX640" s="329"/>
      <c r="CY640" s="189" t="s">
        <v>5921</v>
      </c>
    </row>
    <row r="641" spans="1:103" ht="11.25" customHeight="1" x14ac:dyDescent="0.2">
      <c r="A641" s="72">
        <v>639</v>
      </c>
      <c r="B641" s="183">
        <v>1460</v>
      </c>
      <c r="C641" s="133" t="s">
        <v>6890</v>
      </c>
      <c r="D641" s="133"/>
      <c r="E641" s="134"/>
      <c r="F641" s="134" t="s">
        <v>4490</v>
      </c>
      <c r="G641" s="184">
        <v>68392358</v>
      </c>
      <c r="H641" s="138" t="s">
        <v>4491</v>
      </c>
      <c r="I641" s="138" t="s">
        <v>7840</v>
      </c>
      <c r="J641" s="138" t="s">
        <v>4492</v>
      </c>
      <c r="K641" s="138" t="s">
        <v>2775</v>
      </c>
      <c r="L641" s="138"/>
      <c r="M641" s="138"/>
      <c r="N641" s="138"/>
      <c r="O641" s="138"/>
      <c r="P641" s="138"/>
      <c r="Q641" s="138"/>
      <c r="R641" s="138"/>
      <c r="S641" s="138"/>
      <c r="T641" s="135">
        <v>387.51</v>
      </c>
      <c r="U641" s="185"/>
      <c r="V641" s="185">
        <v>3.8966736342287943E-3</v>
      </c>
      <c r="W641" s="185">
        <v>1.4791083881682047E-2</v>
      </c>
      <c r="X641" s="185">
        <f>IF(W641=0,V641,W641)</f>
        <v>1.4791083881682047E-2</v>
      </c>
      <c r="Y641" s="204">
        <v>8.7899999999999991</v>
      </c>
      <c r="Z641" s="135">
        <v>5.82</v>
      </c>
      <c r="AA641" s="135"/>
      <c r="AB641" s="135">
        <v>5.26</v>
      </c>
      <c r="AC641" s="135">
        <v>0.39319999999999999</v>
      </c>
      <c r="AD641" s="135">
        <v>6.44</v>
      </c>
      <c r="AE641" s="135">
        <v>7.35</v>
      </c>
      <c r="AF641" s="135">
        <f t="shared" si="211"/>
        <v>6.44</v>
      </c>
      <c r="AG641" s="136">
        <v>5.81</v>
      </c>
      <c r="AH641" s="185">
        <v>4.6699999999999999E-14</v>
      </c>
      <c r="AI641" s="185"/>
      <c r="AJ641" s="136">
        <f t="shared" si="213"/>
        <v>-11.71924944574654</v>
      </c>
      <c r="AK641" s="136"/>
      <c r="AL641" s="136">
        <f t="shared" si="212"/>
        <v>-11.71924944574654</v>
      </c>
      <c r="AM641" s="136">
        <v>-18.000309999999999</v>
      </c>
      <c r="AN641" s="186">
        <v>-13</v>
      </c>
      <c r="AO641" s="481">
        <v>10.35</v>
      </c>
      <c r="AP641" s="481">
        <v>8.6999999999999993</v>
      </c>
      <c r="AQ641" s="135" t="s">
        <v>6311</v>
      </c>
      <c r="AR641" s="135" t="s">
        <v>6311</v>
      </c>
      <c r="AS641" s="190"/>
      <c r="AT641" s="137" t="s">
        <v>266</v>
      </c>
      <c r="AU641" s="135">
        <v>6</v>
      </c>
      <c r="AV641" s="135">
        <v>120</v>
      </c>
      <c r="AW641" s="135">
        <v>114</v>
      </c>
      <c r="AX641" s="135">
        <v>28</v>
      </c>
      <c r="AY641" s="135" t="s">
        <v>8728</v>
      </c>
      <c r="AZ641" s="135" t="s">
        <v>1563</v>
      </c>
      <c r="BA641" s="135">
        <v>32</v>
      </c>
      <c r="BB641" s="138" t="s">
        <v>2485</v>
      </c>
      <c r="BC641" s="138" t="s">
        <v>8726</v>
      </c>
      <c r="BD641" s="138" t="s">
        <v>8374</v>
      </c>
      <c r="BE641" s="135" t="s">
        <v>2449</v>
      </c>
      <c r="BF641" s="135" t="s">
        <v>272</v>
      </c>
      <c r="BG641" s="135" t="s">
        <v>272</v>
      </c>
      <c r="BH641" s="135" t="s">
        <v>2486</v>
      </c>
      <c r="BI641" s="185">
        <v>6.3999999999999997E-6</v>
      </c>
      <c r="BJ641" s="185">
        <v>6.4000000000000001E-2</v>
      </c>
      <c r="BK641" s="135"/>
      <c r="BL641" s="185">
        <f t="shared" si="215"/>
        <v>3.0468985911969251E-4</v>
      </c>
      <c r="BM641" s="138" t="s">
        <v>2487</v>
      </c>
      <c r="BN641" s="135"/>
      <c r="BO641" s="135"/>
      <c r="BP641" s="135"/>
      <c r="BQ641" s="135"/>
      <c r="BR641" s="138" t="s">
        <v>2496</v>
      </c>
      <c r="BS641" s="135"/>
      <c r="BT641" s="135"/>
      <c r="BU641" s="135"/>
      <c r="BV641" s="135"/>
      <c r="BW641" s="135"/>
      <c r="BX641" s="135"/>
      <c r="BY641" s="135"/>
      <c r="BZ641" s="135"/>
      <c r="CA641" s="135"/>
      <c r="CB641" s="135"/>
      <c r="CC641" s="135"/>
      <c r="CD641" s="135"/>
      <c r="CE641" s="135"/>
      <c r="CF641" s="135"/>
      <c r="CG641" s="135"/>
      <c r="CH641" s="135"/>
      <c r="CI641" s="185"/>
      <c r="CJ641" s="187"/>
      <c r="CK641" s="136">
        <f t="shared" si="205"/>
        <v>4.7607790487451951E-3</v>
      </c>
      <c r="CL641" s="188"/>
      <c r="CM641" s="188"/>
      <c r="CN641" s="188"/>
      <c r="CO641" s="138" t="s">
        <v>2488</v>
      </c>
      <c r="CP641" s="138" t="s">
        <v>2489</v>
      </c>
      <c r="CQ641" s="191" t="s">
        <v>272</v>
      </c>
      <c r="CR641" s="191"/>
      <c r="CS641" s="135" t="s">
        <v>539</v>
      </c>
      <c r="CT641" s="135"/>
      <c r="CU641" s="135"/>
      <c r="CV641" s="332">
        <f t="shared" si="216"/>
        <v>0.23111068565128198</v>
      </c>
      <c r="CW641" s="329">
        <f t="shared" si="217"/>
        <v>0</v>
      </c>
      <c r="CX641" s="329"/>
      <c r="CY641" s="189" t="s">
        <v>5921</v>
      </c>
    </row>
    <row r="642" spans="1:103" ht="11.25" customHeight="1" x14ac:dyDescent="0.2">
      <c r="A642" s="72">
        <v>640</v>
      </c>
      <c r="B642" s="183">
        <v>1359</v>
      </c>
      <c r="C642" s="133" t="s">
        <v>6891</v>
      </c>
      <c r="D642" s="133"/>
      <c r="E642" s="134"/>
      <c r="F642" s="134" t="s">
        <v>4201</v>
      </c>
      <c r="G642" s="184">
        <v>68515491</v>
      </c>
      <c r="H642" s="138" t="s">
        <v>4202</v>
      </c>
      <c r="I642" s="138" t="s">
        <v>4202</v>
      </c>
      <c r="J642" s="138"/>
      <c r="K642" s="138" t="s">
        <v>357</v>
      </c>
      <c r="L642" s="138"/>
      <c r="M642" s="138"/>
      <c r="N642" s="138"/>
      <c r="O642" s="138"/>
      <c r="P642" s="138"/>
      <c r="Q642" s="138"/>
      <c r="R642" s="138"/>
      <c r="S642" s="138"/>
      <c r="T642" s="135">
        <v>446.68</v>
      </c>
      <c r="U642" s="185"/>
      <c r="V642" s="185">
        <v>5.8095280737888423E-9</v>
      </c>
      <c r="W642" s="185">
        <v>3.0199517204020189E-5</v>
      </c>
      <c r="X642" s="185">
        <f>IF(W642=0,V642,W642)</f>
        <v>3.0199517204020189E-5</v>
      </c>
      <c r="Y642" s="204">
        <v>7</v>
      </c>
      <c r="Z642" s="135">
        <v>10.28</v>
      </c>
      <c r="AA642" s="135"/>
      <c r="AB642" s="135">
        <v>8.6</v>
      </c>
      <c r="AC642" s="135">
        <v>0.60709999999999997</v>
      </c>
      <c r="AD642" s="135">
        <v>9.4700000000000006</v>
      </c>
      <c r="AE642" s="135">
        <v>10.47</v>
      </c>
      <c r="AF642" s="135">
        <f t="shared" si="211"/>
        <v>9.4700000000000006</v>
      </c>
      <c r="AG642" s="136">
        <v>9.4700000000000006</v>
      </c>
      <c r="AH642" s="185">
        <v>3.6699999999999998E-5</v>
      </c>
      <c r="AI642" s="185"/>
      <c r="AJ642" s="136">
        <f t="shared" si="213"/>
        <v>-2.8239002620605627</v>
      </c>
      <c r="AK642" s="136"/>
      <c r="AL642" s="136">
        <f t="shared" si="212"/>
        <v>-2.8239002620605627</v>
      </c>
      <c r="AM642" s="136">
        <v>-10.28965</v>
      </c>
      <c r="AN642" s="186"/>
      <c r="AO642" s="481"/>
      <c r="AP642" s="481"/>
      <c r="AQ642" s="135" t="s">
        <v>6311</v>
      </c>
      <c r="AR642" s="135" t="s">
        <v>6312</v>
      </c>
      <c r="AS642" s="190"/>
      <c r="AT642" s="137" t="s">
        <v>266</v>
      </c>
      <c r="AU642" s="135">
        <v>6</v>
      </c>
      <c r="AV642" s="135">
        <v>120</v>
      </c>
      <c r="AW642" s="135">
        <v>114</v>
      </c>
      <c r="AX642" s="135">
        <v>28</v>
      </c>
      <c r="AY642" s="135" t="s">
        <v>8728</v>
      </c>
      <c r="AZ642" s="135" t="s">
        <v>1563</v>
      </c>
      <c r="BA642" s="135">
        <v>32</v>
      </c>
      <c r="BB642" s="138" t="s">
        <v>2485</v>
      </c>
      <c r="BC642" s="138" t="s">
        <v>8726</v>
      </c>
      <c r="BD642" s="138" t="s">
        <v>8374</v>
      </c>
      <c r="BE642" s="135" t="s">
        <v>2449</v>
      </c>
      <c r="BF642" s="135" t="s">
        <v>272</v>
      </c>
      <c r="BG642" s="135" t="s">
        <v>272</v>
      </c>
      <c r="BH642" s="135" t="s">
        <v>2486</v>
      </c>
      <c r="BI642" s="185">
        <v>6.3999999999999997E-6</v>
      </c>
      <c r="BJ642" s="185">
        <v>6.4000000000000001E-2</v>
      </c>
      <c r="BK642" s="135"/>
      <c r="BL642" s="185">
        <f t="shared" si="215"/>
        <v>3.0083752010545091E-8</v>
      </c>
      <c r="BM642" s="138" t="s">
        <v>2487</v>
      </c>
      <c r="BN642" s="135"/>
      <c r="BO642" s="135"/>
      <c r="BP642" s="135"/>
      <c r="BQ642" s="135"/>
      <c r="BR642" s="138" t="s">
        <v>2496</v>
      </c>
      <c r="BS642" s="135"/>
      <c r="BT642" s="135"/>
      <c r="BU642" s="135"/>
      <c r="BV642" s="135"/>
      <c r="BW642" s="135"/>
      <c r="BX642" s="135"/>
      <c r="BY642" s="135"/>
      <c r="BZ642" s="135"/>
      <c r="CA642" s="135"/>
      <c r="CB642" s="135"/>
      <c r="CC642" s="135"/>
      <c r="CD642" s="135"/>
      <c r="CE642" s="135"/>
      <c r="CF642" s="135"/>
      <c r="CG642" s="135"/>
      <c r="CH642" s="135"/>
      <c r="CI642" s="185"/>
      <c r="CJ642" s="187"/>
      <c r="CK642" s="136">
        <f t="shared" si="205"/>
        <v>4.7005862516476702E-7</v>
      </c>
      <c r="CL642" s="188"/>
      <c r="CM642" s="188"/>
      <c r="CN642" s="188"/>
      <c r="CO642" s="138" t="s">
        <v>2488</v>
      </c>
      <c r="CP642" s="138" t="s">
        <v>2489</v>
      </c>
      <c r="CQ642" s="191" t="s">
        <v>272</v>
      </c>
      <c r="CR642" s="191"/>
      <c r="CS642" s="135" t="s">
        <v>539</v>
      </c>
      <c r="CT642" s="135"/>
      <c r="CU642" s="135"/>
      <c r="CV642" s="332">
        <f t="shared" si="216"/>
        <v>4.7186745631281544E-4</v>
      </c>
      <c r="CW642" s="329">
        <f t="shared" si="217"/>
        <v>0</v>
      </c>
      <c r="CX642" s="329"/>
      <c r="CY642" s="189" t="s">
        <v>6351</v>
      </c>
    </row>
    <row r="643" spans="1:103" ht="11.25" customHeight="1" x14ac:dyDescent="0.2">
      <c r="A643" s="72">
        <v>641</v>
      </c>
      <c r="B643" s="191">
        <v>466</v>
      </c>
      <c r="C643" s="128" t="s">
        <v>3469</v>
      </c>
      <c r="D643" s="128" t="s">
        <v>6892</v>
      </c>
      <c r="E643" s="129"/>
      <c r="F643" s="129" t="s">
        <v>3470</v>
      </c>
      <c r="G643" s="192">
        <v>124495187</v>
      </c>
      <c r="H643" s="139" t="s">
        <v>3471</v>
      </c>
      <c r="I643" s="139" t="s">
        <v>7957</v>
      </c>
      <c r="J643" s="139" t="s">
        <v>3472</v>
      </c>
      <c r="K643" s="139" t="s">
        <v>426</v>
      </c>
      <c r="L643" s="139" t="s">
        <v>6098</v>
      </c>
      <c r="M643" s="139" t="s">
        <v>2342</v>
      </c>
      <c r="N643" s="138" t="s">
        <v>2342</v>
      </c>
      <c r="O643" s="139"/>
      <c r="P643" s="138"/>
      <c r="Q643" s="138"/>
      <c r="R643" s="138"/>
      <c r="S643" s="138"/>
      <c r="T643" s="130">
        <v>308.13</v>
      </c>
      <c r="U643" s="187">
        <v>3.7646447927822677E-4</v>
      </c>
      <c r="V643" s="187">
        <v>3.7419271086878915E-3</v>
      </c>
      <c r="W643" s="187">
        <v>2.2908676527677715E-4</v>
      </c>
      <c r="X643" s="187">
        <v>3.7646447927822677E-4</v>
      </c>
      <c r="Y643" s="194">
        <v>7</v>
      </c>
      <c r="Z643" s="130">
        <v>5.69</v>
      </c>
      <c r="AA643" s="130">
        <v>4.66</v>
      </c>
      <c r="AB643" s="130">
        <v>5.38</v>
      </c>
      <c r="AC643" s="130">
        <v>0.81930000000000003</v>
      </c>
      <c r="AD643" s="130">
        <v>5.62</v>
      </c>
      <c r="AE643" s="130">
        <v>6.29</v>
      </c>
      <c r="AF643" s="130">
        <f t="shared" si="211"/>
        <v>4.66</v>
      </c>
      <c r="AG643" s="131">
        <v>5.01</v>
      </c>
      <c r="AH643" s="187">
        <v>9.6500000000000004E-9</v>
      </c>
      <c r="AI643" s="187"/>
      <c r="AJ643" s="136">
        <f t="shared" si="213"/>
        <v>-6.4040390129688589</v>
      </c>
      <c r="AK643" s="136"/>
      <c r="AL643" s="136">
        <f t="shared" si="212"/>
        <v>-6.4040390129688589</v>
      </c>
      <c r="AM643" s="136">
        <v>-10.664239999999999</v>
      </c>
      <c r="AN643" s="193">
        <v>-5.88</v>
      </c>
      <c r="AO643" s="481"/>
      <c r="AP643" s="481">
        <v>2.87</v>
      </c>
      <c r="AQ643" s="193" t="s">
        <v>6311</v>
      </c>
      <c r="AR643" s="193" t="s">
        <v>6311</v>
      </c>
      <c r="AS643" s="191" t="s">
        <v>6</v>
      </c>
      <c r="AT643" s="132" t="s">
        <v>266</v>
      </c>
      <c r="AU643" s="130">
        <v>8</v>
      </c>
      <c r="AV643" s="130">
        <v>144</v>
      </c>
      <c r="AW643" s="130">
        <v>120</v>
      </c>
      <c r="AX643" s="130">
        <v>26</v>
      </c>
      <c r="AY643" s="130" t="s">
        <v>267</v>
      </c>
      <c r="AZ643" s="130" t="s">
        <v>2253</v>
      </c>
      <c r="BA643" s="130">
        <v>2</v>
      </c>
      <c r="BB643" s="139" t="s">
        <v>2254</v>
      </c>
      <c r="BC643" s="139" t="s">
        <v>270</v>
      </c>
      <c r="BD643" s="139" t="s">
        <v>8374</v>
      </c>
      <c r="BE643" s="130" t="s">
        <v>1712</v>
      </c>
      <c r="BF643" s="130" t="s">
        <v>272</v>
      </c>
      <c r="BG643" s="130" t="s">
        <v>272</v>
      </c>
      <c r="BH643" s="130" t="s">
        <v>2255</v>
      </c>
      <c r="BI643" s="187">
        <v>9.9999999999999995E-7</v>
      </c>
      <c r="BJ643" s="187">
        <v>0.08</v>
      </c>
      <c r="BK643" s="130"/>
      <c r="BL643" s="187">
        <f t="shared" si="215"/>
        <v>3.9866765354085735E-4</v>
      </c>
      <c r="BM643" s="130" t="s">
        <v>891</v>
      </c>
      <c r="BN643" s="194"/>
      <c r="BO643" s="194"/>
      <c r="BP643" s="194"/>
      <c r="BQ643" s="194"/>
      <c r="BR643" s="194"/>
      <c r="BS643" s="130"/>
      <c r="BT643" s="194"/>
      <c r="BU643" s="195"/>
      <c r="BV643" s="194"/>
      <c r="BW643" s="194"/>
      <c r="BX643" s="194"/>
      <c r="BY643" s="194"/>
      <c r="BZ643" s="194"/>
      <c r="CA643" s="194"/>
      <c r="CB643" s="194"/>
      <c r="CC643" s="130"/>
      <c r="CD643" s="130"/>
      <c r="CE643" s="130"/>
      <c r="CF643" s="130"/>
      <c r="CG643" s="194"/>
      <c r="CH643" s="130"/>
      <c r="CI643" s="187"/>
      <c r="CJ643" s="187"/>
      <c r="CK643" s="131">
        <f t="shared" si="205"/>
        <v>4.9833456692607164E-3</v>
      </c>
      <c r="CL643" s="188"/>
      <c r="CM643" s="188"/>
      <c r="CN643" s="188"/>
      <c r="CO643" s="139" t="s">
        <v>892</v>
      </c>
      <c r="CP643" s="139" t="s">
        <v>893</v>
      </c>
      <c r="CQ643" s="191">
        <v>-3.0573702197800987</v>
      </c>
      <c r="CR643" s="191">
        <f>10^(CJ643-CQ643)</f>
        <v>1141.2222222222224</v>
      </c>
      <c r="CS643" s="135" t="s">
        <v>539</v>
      </c>
      <c r="CT643" s="135"/>
      <c r="CU643" s="135"/>
      <c r="CV643" s="332">
        <f t="shared" si="216"/>
        <v>4.7058059909778349E-3</v>
      </c>
      <c r="CW643" s="329">
        <f t="shared" si="217"/>
        <v>0</v>
      </c>
      <c r="CX643" s="329" t="s">
        <v>539</v>
      </c>
      <c r="CY643" s="189" t="s">
        <v>5921</v>
      </c>
    </row>
    <row r="644" spans="1:103" ht="11.25" customHeight="1" x14ac:dyDescent="0.2">
      <c r="A644" s="72">
        <v>642</v>
      </c>
      <c r="B644" s="183">
        <v>1667</v>
      </c>
      <c r="C644" s="133" t="s">
        <v>1197</v>
      </c>
      <c r="D644" s="133"/>
      <c r="E644" s="134"/>
      <c r="F644" s="134" t="s">
        <v>1198</v>
      </c>
      <c r="G644" s="184">
        <v>79241466</v>
      </c>
      <c r="H644" s="138" t="s">
        <v>1195</v>
      </c>
      <c r="I644" s="138" t="s">
        <v>1195</v>
      </c>
      <c r="J644" s="138" t="s">
        <v>1196</v>
      </c>
      <c r="K644" s="138" t="s">
        <v>357</v>
      </c>
      <c r="L644" s="138" t="s">
        <v>5982</v>
      </c>
      <c r="M644" s="138" t="s">
        <v>5960</v>
      </c>
      <c r="N644" s="138"/>
      <c r="O644" s="138"/>
      <c r="P644" s="138"/>
      <c r="Q644" s="138"/>
      <c r="R644" s="138"/>
      <c r="S644" s="138"/>
      <c r="T644" s="135">
        <v>383.36</v>
      </c>
      <c r="U644" s="185">
        <v>5.2170283806343906E-3</v>
      </c>
      <c r="V644" s="185">
        <v>1.4524207011686141E-3</v>
      </c>
      <c r="W644" s="185">
        <v>3.8904514499428049E-2</v>
      </c>
      <c r="X644" s="185">
        <v>5.2170283806343906E-3</v>
      </c>
      <c r="Y644" s="204">
        <v>7</v>
      </c>
      <c r="Z644" s="135">
        <v>5.34</v>
      </c>
      <c r="AA644" s="135">
        <v>4.5</v>
      </c>
      <c r="AB644" s="135">
        <v>4.26</v>
      </c>
      <c r="AC644" s="135">
        <v>0.8861</v>
      </c>
      <c r="AD644" s="135">
        <v>4.1399999999999997</v>
      </c>
      <c r="AE644" s="135">
        <v>3.64</v>
      </c>
      <c r="AF644" s="135">
        <f t="shared" si="211"/>
        <v>4.5</v>
      </c>
      <c r="AG644" s="136">
        <v>4.46</v>
      </c>
      <c r="AH644" s="185">
        <v>3.7900000000000002E-8</v>
      </c>
      <c r="AI644" s="185">
        <v>2.0800000000000001E-7</v>
      </c>
      <c r="AJ644" s="136">
        <f t="shared" si="213"/>
        <v>-5.8099271163445794</v>
      </c>
      <c r="AK644" s="136">
        <f>LOG10(AI644*1000/(0.08206*298.15))</f>
        <v>-5.0705029913498905</v>
      </c>
      <c r="AL644" s="136">
        <f t="shared" si="212"/>
        <v>-5.0705029913498905</v>
      </c>
      <c r="AM644" s="136">
        <v>-12.061889999999998</v>
      </c>
      <c r="AN644" s="186">
        <v>-5.76</v>
      </c>
      <c r="AO644" s="481"/>
      <c r="AP644" s="481">
        <v>0.78</v>
      </c>
      <c r="AQ644" s="186" t="s">
        <v>6311</v>
      </c>
      <c r="AR644" s="186" t="s">
        <v>6312</v>
      </c>
      <c r="AS644" s="183"/>
      <c r="AT644" s="137" t="s">
        <v>266</v>
      </c>
      <c r="AU644" s="135">
        <v>6</v>
      </c>
      <c r="AV644" s="135">
        <v>120</v>
      </c>
      <c r="AW644" s="135">
        <v>114</v>
      </c>
      <c r="AX644" s="135">
        <v>28</v>
      </c>
      <c r="AY644" s="135" t="s">
        <v>8728</v>
      </c>
      <c r="AZ644" s="135" t="s">
        <v>1563</v>
      </c>
      <c r="BA644" s="135">
        <v>32</v>
      </c>
      <c r="BB644" s="138" t="s">
        <v>2485</v>
      </c>
      <c r="BC644" s="138" t="s">
        <v>8726</v>
      </c>
      <c r="BD644" s="138" t="s">
        <v>8374</v>
      </c>
      <c r="BE644" s="135" t="s">
        <v>2449</v>
      </c>
      <c r="BF644" s="135" t="s">
        <v>272</v>
      </c>
      <c r="BG644" s="135" t="s">
        <v>272</v>
      </c>
      <c r="BH644" s="135" t="s">
        <v>2486</v>
      </c>
      <c r="BI644" s="185">
        <v>6.3999999999999997E-6</v>
      </c>
      <c r="BJ644" s="185">
        <v>6.4000000000000001E-2</v>
      </c>
      <c r="BK644" s="135"/>
      <c r="BL644" s="185">
        <f t="shared" si="215"/>
        <v>8.2214041898477554E-4</v>
      </c>
      <c r="BM644" s="138" t="s">
        <v>2487</v>
      </c>
      <c r="BN644" s="135"/>
      <c r="BO644" s="135"/>
      <c r="BP644" s="135"/>
      <c r="BQ644" s="135"/>
      <c r="BR644" s="138" t="s">
        <v>2496</v>
      </c>
      <c r="BS644" s="135"/>
      <c r="BT644" s="135"/>
      <c r="BU644" s="135"/>
      <c r="BV644" s="135"/>
      <c r="BW644" s="135"/>
      <c r="BX644" s="135"/>
      <c r="BY644" s="135"/>
      <c r="BZ644" s="135"/>
      <c r="CA644" s="135"/>
      <c r="CB644" s="135"/>
      <c r="CC644" s="135"/>
      <c r="CD644" s="135"/>
      <c r="CE644" s="135"/>
      <c r="CF644" s="135"/>
      <c r="CG644" s="135"/>
      <c r="CH644" s="135"/>
      <c r="CI644" s="185"/>
      <c r="CJ644" s="187"/>
      <c r="CK644" s="136">
        <f t="shared" si="205"/>
        <v>1.2845944046637118E-2</v>
      </c>
      <c r="CL644" s="188"/>
      <c r="CM644" s="188"/>
      <c r="CN644" s="188"/>
      <c r="CO644" s="138" t="s">
        <v>2488</v>
      </c>
      <c r="CP644" s="138" t="s">
        <v>2489</v>
      </c>
      <c r="CQ644" s="191" t="s">
        <v>272</v>
      </c>
      <c r="CR644" s="191"/>
      <c r="CS644" s="135" t="s">
        <v>539</v>
      </c>
      <c r="CT644" s="135"/>
      <c r="CU644" s="135"/>
      <c r="CV644" s="332">
        <f t="shared" si="216"/>
        <v>8.1516068447412354E-2</v>
      </c>
      <c r="CW644" s="329">
        <f t="shared" si="217"/>
        <v>0</v>
      </c>
      <c r="CX644" s="329"/>
      <c r="CY644" s="189" t="s">
        <v>5921</v>
      </c>
    </row>
    <row r="645" spans="1:103" ht="11.25" customHeight="1" x14ac:dyDescent="0.2">
      <c r="A645" s="72">
        <v>643</v>
      </c>
      <c r="B645" s="183">
        <v>1264</v>
      </c>
      <c r="C645" s="133" t="s">
        <v>3469</v>
      </c>
      <c r="D645" s="133" t="s">
        <v>6892</v>
      </c>
      <c r="E645" s="134"/>
      <c r="F645" s="134" t="s">
        <v>3470</v>
      </c>
      <c r="G645" s="184">
        <v>124495187</v>
      </c>
      <c r="H645" s="138" t="s">
        <v>3471</v>
      </c>
      <c r="I645" s="138" t="s">
        <v>7957</v>
      </c>
      <c r="J645" s="138" t="s">
        <v>3472</v>
      </c>
      <c r="K645" s="138" t="s">
        <v>426</v>
      </c>
      <c r="L645" s="138"/>
      <c r="M645" s="138" t="s">
        <v>2342</v>
      </c>
      <c r="N645" s="138" t="s">
        <v>2342</v>
      </c>
      <c r="O645" s="138"/>
      <c r="P645" s="138"/>
      <c r="Q645" s="138"/>
      <c r="R645" s="138"/>
      <c r="S645" s="138"/>
      <c r="T645" s="135">
        <v>308.13</v>
      </c>
      <c r="U645" s="185">
        <v>3.7646447927822677E-4</v>
      </c>
      <c r="V645" s="185">
        <v>3.7419271086878915E-3</v>
      </c>
      <c r="W645" s="185">
        <v>2.2908676527677715E-4</v>
      </c>
      <c r="X645" s="185">
        <v>3.7646447927822677E-4</v>
      </c>
      <c r="Y645" s="204">
        <v>7</v>
      </c>
      <c r="Z645" s="135">
        <v>5.69</v>
      </c>
      <c r="AA645" s="135">
        <v>4.66</v>
      </c>
      <c r="AB645" s="135">
        <v>5.38</v>
      </c>
      <c r="AC645" s="135">
        <v>0.81930000000000003</v>
      </c>
      <c r="AD645" s="135">
        <v>5.62</v>
      </c>
      <c r="AE645" s="135">
        <v>6.29</v>
      </c>
      <c r="AF645" s="135">
        <f t="shared" si="211"/>
        <v>4.66</v>
      </c>
      <c r="AG645" s="136">
        <v>5.01</v>
      </c>
      <c r="AH645" s="185">
        <v>9.6500000000000004E-9</v>
      </c>
      <c r="AI645" s="185"/>
      <c r="AJ645" s="136">
        <f t="shared" si="213"/>
        <v>-6.4040390129688589</v>
      </c>
      <c r="AK645" s="136"/>
      <c r="AL645" s="136">
        <f t="shared" si="212"/>
        <v>-6.4040390129688589</v>
      </c>
      <c r="AM645" s="136">
        <v>-10.664239999999999</v>
      </c>
      <c r="AN645" s="186">
        <v>-5.88</v>
      </c>
      <c r="AO645" s="481"/>
      <c r="AP645" s="481">
        <v>2.87</v>
      </c>
      <c r="AQ645" s="135" t="s">
        <v>6311</v>
      </c>
      <c r="AR645" s="135" t="s">
        <v>6311</v>
      </c>
      <c r="AS645" s="190"/>
      <c r="AT645" s="137" t="s">
        <v>266</v>
      </c>
      <c r="AU645" s="135">
        <v>6</v>
      </c>
      <c r="AV645" s="135">
        <v>120</v>
      </c>
      <c r="AW645" s="135">
        <v>114</v>
      </c>
      <c r="AX645" s="135">
        <v>28</v>
      </c>
      <c r="AY645" s="135" t="s">
        <v>8728</v>
      </c>
      <c r="AZ645" s="135" t="s">
        <v>1563</v>
      </c>
      <c r="BA645" s="135">
        <v>32</v>
      </c>
      <c r="BB645" s="138" t="s">
        <v>2485</v>
      </c>
      <c r="BC645" s="138" t="s">
        <v>8726</v>
      </c>
      <c r="BD645" s="138" t="s">
        <v>8374</v>
      </c>
      <c r="BE645" s="135" t="s">
        <v>2449</v>
      </c>
      <c r="BF645" s="135" t="s">
        <v>272</v>
      </c>
      <c r="BG645" s="135" t="s">
        <v>272</v>
      </c>
      <c r="BH645" s="135" t="s">
        <v>2486</v>
      </c>
      <c r="BI645" s="185">
        <v>6.3999999999999997E-6</v>
      </c>
      <c r="BJ645" s="185">
        <v>6.4000000000000001E-2</v>
      </c>
      <c r="BK645" s="135"/>
      <c r="BL645" s="185">
        <f t="shared" si="215"/>
        <v>3.9866765354085735E-4</v>
      </c>
      <c r="BM645" s="138" t="s">
        <v>2487</v>
      </c>
      <c r="BN645" s="135"/>
      <c r="BO645" s="135"/>
      <c r="BP645" s="135"/>
      <c r="BQ645" s="135"/>
      <c r="BR645" s="138" t="s">
        <v>2496</v>
      </c>
      <c r="BS645" s="135"/>
      <c r="BT645" s="135"/>
      <c r="BU645" s="135">
        <v>6.4000000000000001E-2</v>
      </c>
      <c r="BV645" s="135"/>
      <c r="BW645" s="135"/>
      <c r="BX645" s="135"/>
      <c r="BY645" s="135"/>
      <c r="BZ645" s="135"/>
      <c r="CA645" s="135"/>
      <c r="CB645" s="135"/>
      <c r="CC645" s="135"/>
      <c r="CD645" s="135"/>
      <c r="CE645" s="135"/>
      <c r="CF645" s="135"/>
      <c r="CG645" s="135"/>
      <c r="CH645" s="135"/>
      <c r="CI645" s="185"/>
      <c r="CJ645" s="187"/>
      <c r="CK645" s="136">
        <f t="shared" si="205"/>
        <v>6.2291820865758955E-3</v>
      </c>
      <c r="CL645" s="188"/>
      <c r="CM645" s="188"/>
      <c r="CN645" s="188"/>
      <c r="CO645" s="138" t="s">
        <v>2488</v>
      </c>
      <c r="CP645" s="138" t="s">
        <v>2489</v>
      </c>
      <c r="CQ645" s="183">
        <v>-3.0573702197800987</v>
      </c>
      <c r="CR645" s="191">
        <f>10^(CJ645-CQ645)</f>
        <v>1141.2222222222224</v>
      </c>
      <c r="CS645" s="135" t="s">
        <v>539</v>
      </c>
      <c r="CT645" s="135"/>
      <c r="CU645" s="135"/>
      <c r="CV645" s="332">
        <f t="shared" si="216"/>
        <v>5.8822574887222928E-3</v>
      </c>
      <c r="CW645" s="329">
        <f t="shared" si="217"/>
        <v>0</v>
      </c>
      <c r="CX645" s="329"/>
      <c r="CY645" s="189" t="s">
        <v>5921</v>
      </c>
    </row>
    <row r="646" spans="1:103" ht="11.25" customHeight="1" x14ac:dyDescent="0.2">
      <c r="A646" s="72">
        <v>644</v>
      </c>
      <c r="B646" s="191">
        <v>324</v>
      </c>
      <c r="C646" s="128" t="s">
        <v>2461</v>
      </c>
      <c r="D646" s="128" t="s">
        <v>6563</v>
      </c>
      <c r="E646" s="129"/>
      <c r="F646" s="129" t="s">
        <v>3131</v>
      </c>
      <c r="G646" s="192">
        <v>66230044</v>
      </c>
      <c r="H646" s="139" t="s">
        <v>2462</v>
      </c>
      <c r="I646" s="139" t="s">
        <v>7958</v>
      </c>
      <c r="J646" s="139" t="s">
        <v>2463</v>
      </c>
      <c r="K646" s="139" t="s">
        <v>1711</v>
      </c>
      <c r="L646" s="139" t="s">
        <v>617</v>
      </c>
      <c r="M646" s="139" t="s">
        <v>3846</v>
      </c>
      <c r="N646" s="138" t="s">
        <v>6376</v>
      </c>
      <c r="O646" s="139" t="s">
        <v>918</v>
      </c>
      <c r="P646" s="138"/>
      <c r="Q646" s="138"/>
      <c r="R646" s="138"/>
      <c r="S646" s="138"/>
      <c r="T646" s="130">
        <v>419.9</v>
      </c>
      <c r="U646" s="187">
        <v>4.7630388187663733E-6</v>
      </c>
      <c r="V646" s="187">
        <v>1.4527268397237439E-5</v>
      </c>
      <c r="W646" s="187">
        <v>6.1659500186148089E-5</v>
      </c>
      <c r="X646" s="187">
        <v>4.7630388187663733E-6</v>
      </c>
      <c r="Y646" s="194">
        <v>7</v>
      </c>
      <c r="Z646" s="130">
        <v>6.76</v>
      </c>
      <c r="AA646" s="130">
        <v>6.22</v>
      </c>
      <c r="AB646" s="130">
        <v>5.98</v>
      </c>
      <c r="AC646" s="130">
        <v>0.58919999999999995</v>
      </c>
      <c r="AD646" s="130">
        <v>6.28</v>
      </c>
      <c r="AE646" s="130">
        <v>6.67</v>
      </c>
      <c r="AF646" s="130">
        <f t="shared" si="211"/>
        <v>6.22</v>
      </c>
      <c r="AG646" s="131">
        <v>6.03</v>
      </c>
      <c r="AH646" s="187">
        <v>1.1899999999999999E-7</v>
      </c>
      <c r="AI646" s="187">
        <v>3.4499999999999998E-8</v>
      </c>
      <c r="AJ646" s="136">
        <f t="shared" si="213"/>
        <v>-5.3130193649201214</v>
      </c>
      <c r="AK646" s="136">
        <f>LOG10(AI646*1000/(0.08206*298.15))</f>
        <v>-5.850747231239378</v>
      </c>
      <c r="AL646" s="136">
        <f t="shared" si="212"/>
        <v>-5.850747231239378</v>
      </c>
      <c r="AM646" s="136">
        <v>-16.262410000000003</v>
      </c>
      <c r="AN646" s="193">
        <v>-6.07</v>
      </c>
      <c r="AO646" s="481"/>
      <c r="AP646" s="481"/>
      <c r="AQ646" s="193" t="s">
        <v>6311</v>
      </c>
      <c r="AR646" s="193" t="s">
        <v>6312</v>
      </c>
      <c r="AS646" s="191" t="s">
        <v>6</v>
      </c>
      <c r="AT646" s="132" t="s">
        <v>266</v>
      </c>
      <c r="AU646" s="130">
        <v>8</v>
      </c>
      <c r="AV646" s="130">
        <v>144</v>
      </c>
      <c r="AW646" s="130">
        <v>120</v>
      </c>
      <c r="AX646" s="130">
        <v>26</v>
      </c>
      <c r="AY646" s="130" t="s">
        <v>267</v>
      </c>
      <c r="AZ646" s="130" t="s">
        <v>2253</v>
      </c>
      <c r="BA646" s="130">
        <v>2</v>
      </c>
      <c r="BB646" s="139" t="s">
        <v>2254</v>
      </c>
      <c r="BC646" s="139" t="s">
        <v>270</v>
      </c>
      <c r="BD646" s="139" t="s">
        <v>8374</v>
      </c>
      <c r="BE646" s="130" t="s">
        <v>1712</v>
      </c>
      <c r="BF646" s="130" t="s">
        <v>272</v>
      </c>
      <c r="BG646" s="130" t="s">
        <v>272</v>
      </c>
      <c r="BH646" s="130" t="s">
        <v>2255</v>
      </c>
      <c r="BI646" s="187">
        <v>9.9999999999999995E-7</v>
      </c>
      <c r="BJ646" s="187">
        <v>0.08</v>
      </c>
      <c r="BK646" s="130"/>
      <c r="BL646" s="187">
        <f t="shared" si="215"/>
        <v>4.3615815797067237E-5</v>
      </c>
      <c r="BM646" s="130" t="s">
        <v>891</v>
      </c>
      <c r="BN646" s="194"/>
      <c r="BO646" s="194"/>
      <c r="BP646" s="194"/>
      <c r="BQ646" s="194"/>
      <c r="BR646" s="194"/>
      <c r="BS646" s="130"/>
      <c r="BT646" s="194"/>
      <c r="BU646" s="195"/>
      <c r="BV646" s="194"/>
      <c r="BW646" s="194"/>
      <c r="BX646" s="194"/>
      <c r="BY646" s="194"/>
      <c r="BZ646" s="194"/>
      <c r="CA646" s="194"/>
      <c r="CB646" s="194"/>
      <c r="CC646" s="130"/>
      <c r="CD646" s="130"/>
      <c r="CE646" s="130"/>
      <c r="CF646" s="130"/>
      <c r="CG646" s="194"/>
      <c r="CH646" s="130"/>
      <c r="CI646" s="187"/>
      <c r="CJ646" s="187"/>
      <c r="CK646" s="131">
        <f t="shared" ref="CK646:CK709" si="218">BL646/BJ646</f>
        <v>5.4519769746334042E-4</v>
      </c>
      <c r="CL646" s="188"/>
      <c r="CM646" s="188"/>
      <c r="CN646" s="188"/>
      <c r="CO646" s="139" t="s">
        <v>892</v>
      </c>
      <c r="CP646" s="139" t="s">
        <v>893</v>
      </c>
      <c r="CQ646" s="191">
        <v>-6.2086421552494002</v>
      </c>
      <c r="CR646" s="191">
        <f>10^(CJ646-CQ646)</f>
        <v>1616747.3406147261</v>
      </c>
      <c r="CS646" s="135" t="s">
        <v>539</v>
      </c>
      <c r="CT646" s="135"/>
      <c r="CU646" s="135"/>
      <c r="CV646" s="332">
        <f t="shared" si="216"/>
        <v>5.9537985234579666E-5</v>
      </c>
      <c r="CW646" s="329">
        <f t="shared" si="217"/>
        <v>0</v>
      </c>
      <c r="CX646" s="329" t="s">
        <v>539</v>
      </c>
      <c r="CY646" s="189" t="s">
        <v>5921</v>
      </c>
    </row>
    <row r="647" spans="1:103" ht="11.25" customHeight="1" x14ac:dyDescent="0.2">
      <c r="A647" s="72">
        <v>645</v>
      </c>
      <c r="B647" s="183">
        <v>1121</v>
      </c>
      <c r="C647" s="133" t="s">
        <v>2461</v>
      </c>
      <c r="D647" s="133" t="s">
        <v>6563</v>
      </c>
      <c r="E647" s="134"/>
      <c r="F647" s="134" t="s">
        <v>3131</v>
      </c>
      <c r="G647" s="184">
        <v>66230044</v>
      </c>
      <c r="H647" s="138" t="s">
        <v>2462</v>
      </c>
      <c r="I647" s="138" t="s">
        <v>7958</v>
      </c>
      <c r="J647" s="138" t="s">
        <v>2463</v>
      </c>
      <c r="K647" s="138" t="s">
        <v>1711</v>
      </c>
      <c r="L647" s="138" t="s">
        <v>617</v>
      </c>
      <c r="M647" s="138" t="s">
        <v>1086</v>
      </c>
      <c r="N647" s="138" t="s">
        <v>6376</v>
      </c>
      <c r="O647" s="138" t="s">
        <v>918</v>
      </c>
      <c r="P647" s="138"/>
      <c r="Q647" s="138" t="s">
        <v>6173</v>
      </c>
      <c r="R647" s="138" t="s">
        <v>6174</v>
      </c>
      <c r="S647" s="138" t="s">
        <v>6176</v>
      </c>
      <c r="T647" s="135">
        <v>419.9</v>
      </c>
      <c r="U647" s="185">
        <v>4.7630388187663733E-6</v>
      </c>
      <c r="V647" s="185">
        <v>1.4527268397237439E-5</v>
      </c>
      <c r="W647" s="185">
        <v>6.1659500186148089E-5</v>
      </c>
      <c r="X647" s="185">
        <v>4.7630388187663733E-6</v>
      </c>
      <c r="Y647" s="204">
        <v>7</v>
      </c>
      <c r="Z647" s="135">
        <v>6.76</v>
      </c>
      <c r="AA647" s="135">
        <v>6.22</v>
      </c>
      <c r="AB647" s="135">
        <v>5.98</v>
      </c>
      <c r="AC647" s="135">
        <v>0.58919999999999995</v>
      </c>
      <c r="AD647" s="135">
        <v>6.28</v>
      </c>
      <c r="AE647" s="135">
        <v>6.67</v>
      </c>
      <c r="AF647" s="135">
        <f t="shared" si="211"/>
        <v>6.22</v>
      </c>
      <c r="AG647" s="136">
        <v>6.03</v>
      </c>
      <c r="AH647" s="185">
        <v>1.1899999999999999E-7</v>
      </c>
      <c r="AI647" s="185">
        <v>3.4499999999999998E-8</v>
      </c>
      <c r="AJ647" s="136">
        <f t="shared" si="213"/>
        <v>-5.3130193649201214</v>
      </c>
      <c r="AK647" s="136">
        <f>LOG10(AI647*1000/(0.08206*298.15))</f>
        <v>-5.850747231239378</v>
      </c>
      <c r="AL647" s="136">
        <f t="shared" si="212"/>
        <v>-5.850747231239378</v>
      </c>
      <c r="AM647" s="136">
        <v>-16.262410000000003</v>
      </c>
      <c r="AN647" s="186">
        <v>-6.07</v>
      </c>
      <c r="AO647" s="481"/>
      <c r="AP647" s="481"/>
      <c r="AQ647" s="135" t="s">
        <v>6311</v>
      </c>
      <c r="AR647" s="135" t="s">
        <v>6312</v>
      </c>
      <c r="AS647" s="190"/>
      <c r="AT647" s="137" t="s">
        <v>266</v>
      </c>
      <c r="AU647" s="135">
        <v>6</v>
      </c>
      <c r="AV647" s="135">
        <v>120</v>
      </c>
      <c r="AW647" s="135">
        <v>114</v>
      </c>
      <c r="AX647" s="135">
        <v>28</v>
      </c>
      <c r="AY647" s="135" t="s">
        <v>8728</v>
      </c>
      <c r="AZ647" s="135" t="s">
        <v>1563</v>
      </c>
      <c r="BA647" s="135">
        <v>32</v>
      </c>
      <c r="BB647" s="138" t="s">
        <v>2485</v>
      </c>
      <c r="BC647" s="138" t="s">
        <v>8726</v>
      </c>
      <c r="BD647" s="138" t="s">
        <v>8374</v>
      </c>
      <c r="BE647" s="135" t="s">
        <v>2449</v>
      </c>
      <c r="BF647" s="135" t="s">
        <v>272</v>
      </c>
      <c r="BG647" s="135" t="s">
        <v>272</v>
      </c>
      <c r="BH647" s="135" t="s">
        <v>2486</v>
      </c>
      <c r="BI647" s="185">
        <v>6.3999999999999997E-6</v>
      </c>
      <c r="BJ647" s="185">
        <v>6.4000000000000001E-2</v>
      </c>
      <c r="BK647" s="135"/>
      <c r="BL647" s="185">
        <f t="shared" si="215"/>
        <v>4.3615815797067237E-5</v>
      </c>
      <c r="BM647" s="138" t="s">
        <v>2487</v>
      </c>
      <c r="BN647" s="135"/>
      <c r="BO647" s="135"/>
      <c r="BP647" s="135"/>
      <c r="BQ647" s="135"/>
      <c r="BR647" s="138" t="s">
        <v>2496</v>
      </c>
      <c r="BS647" s="135"/>
      <c r="BT647" s="135"/>
      <c r="BU647" s="135">
        <v>6.4000000000000003E-3</v>
      </c>
      <c r="BV647" s="135"/>
      <c r="BW647" s="135"/>
      <c r="BX647" s="135"/>
      <c r="BY647" s="135"/>
      <c r="BZ647" s="135"/>
      <c r="CA647" s="135"/>
      <c r="CB647" s="135"/>
      <c r="CC647" s="135"/>
      <c r="CD647" s="135"/>
      <c r="CE647" s="135"/>
      <c r="CF647" s="135"/>
      <c r="CG647" s="135"/>
      <c r="CH647" s="135"/>
      <c r="CI647" s="185"/>
      <c r="CJ647" s="187"/>
      <c r="CK647" s="136">
        <f t="shared" si="218"/>
        <v>6.8149712182917553E-4</v>
      </c>
      <c r="CL647" s="188"/>
      <c r="CM647" s="188"/>
      <c r="CN647" s="188"/>
      <c r="CO647" s="138" t="s">
        <v>2488</v>
      </c>
      <c r="CP647" s="138" t="s">
        <v>2489</v>
      </c>
      <c r="CQ647" s="183">
        <v>-6.2086421552494002</v>
      </c>
      <c r="CR647" s="191">
        <f>10^(CJ647-CQ647)</f>
        <v>1616747.3406147261</v>
      </c>
      <c r="CS647" s="135" t="s">
        <v>539</v>
      </c>
      <c r="CT647" s="135"/>
      <c r="CU647" s="135"/>
      <c r="CV647" s="332">
        <f t="shared" si="216"/>
        <v>7.442248154322458E-5</v>
      </c>
      <c r="CW647" s="329">
        <f t="shared" si="217"/>
        <v>0</v>
      </c>
      <c r="CX647" s="329"/>
      <c r="CY647" s="189" t="s">
        <v>5921</v>
      </c>
    </row>
    <row r="648" spans="1:103" ht="11.25" customHeight="1" x14ac:dyDescent="0.2">
      <c r="A648" s="72">
        <v>646</v>
      </c>
      <c r="B648" s="183">
        <v>1121</v>
      </c>
      <c r="C648" s="133" t="s">
        <v>2461</v>
      </c>
      <c r="D648" s="133" t="s">
        <v>6563</v>
      </c>
      <c r="E648" s="134"/>
      <c r="F648" s="134" t="s">
        <v>3131</v>
      </c>
      <c r="G648" s="184">
        <v>66230044</v>
      </c>
      <c r="H648" s="138" t="s">
        <v>2462</v>
      </c>
      <c r="I648" s="138" t="s">
        <v>7958</v>
      </c>
      <c r="J648" s="138" t="s">
        <v>2463</v>
      </c>
      <c r="K648" s="138" t="s">
        <v>1711</v>
      </c>
      <c r="L648" s="138" t="s">
        <v>617</v>
      </c>
      <c r="M648" s="138" t="s">
        <v>1086</v>
      </c>
      <c r="N648" s="138" t="s">
        <v>6376</v>
      </c>
      <c r="O648" s="138" t="s">
        <v>918</v>
      </c>
      <c r="P648" s="138"/>
      <c r="Q648" s="138" t="s">
        <v>6173</v>
      </c>
      <c r="R648" s="138" t="s">
        <v>6174</v>
      </c>
      <c r="S648" s="138" t="s">
        <v>6176</v>
      </c>
      <c r="T648" s="135">
        <v>419.9</v>
      </c>
      <c r="U648" s="185">
        <v>4.7630388187663733E-6</v>
      </c>
      <c r="V648" s="185">
        <v>1.4527268397237439E-5</v>
      </c>
      <c r="W648" s="185">
        <v>6.1659500186148089E-5</v>
      </c>
      <c r="X648" s="185">
        <v>4.7630388187663733E-6</v>
      </c>
      <c r="Y648" s="204">
        <v>7</v>
      </c>
      <c r="Z648" s="135">
        <v>6.76</v>
      </c>
      <c r="AA648" s="135">
        <v>6.22</v>
      </c>
      <c r="AB648" s="135">
        <v>5.98</v>
      </c>
      <c r="AC648" s="135">
        <v>0.58919999999999995</v>
      </c>
      <c r="AD648" s="135">
        <v>6.28</v>
      </c>
      <c r="AE648" s="135">
        <v>6.67</v>
      </c>
      <c r="AF648" s="135">
        <f t="shared" si="211"/>
        <v>6.22</v>
      </c>
      <c r="AG648" s="136">
        <v>6.03</v>
      </c>
      <c r="AH648" s="185">
        <v>1.1899999999999999E-7</v>
      </c>
      <c r="AI648" s="185">
        <v>3.4499999999999998E-8</v>
      </c>
      <c r="AJ648" s="136">
        <f t="shared" si="213"/>
        <v>-5.3130193649201214</v>
      </c>
      <c r="AK648" s="136">
        <f>LOG10(AI648*1000/(0.08206*298.15))</f>
        <v>-5.850747231239378</v>
      </c>
      <c r="AL648" s="136">
        <f t="shared" si="212"/>
        <v>-5.850747231239378</v>
      </c>
      <c r="AM648" s="136">
        <v>-16.262410000000003</v>
      </c>
      <c r="AN648" s="186">
        <v>-6.07</v>
      </c>
      <c r="AO648" s="481"/>
      <c r="AP648" s="481"/>
      <c r="AQ648" s="135" t="s">
        <v>6311</v>
      </c>
      <c r="AR648" s="135" t="s">
        <v>6312</v>
      </c>
      <c r="AS648" s="190"/>
      <c r="AT648" s="137" t="s">
        <v>266</v>
      </c>
      <c r="AU648" s="135">
        <v>6</v>
      </c>
      <c r="AV648" s="135">
        <v>120</v>
      </c>
      <c r="AW648" s="135">
        <v>114</v>
      </c>
      <c r="AX648" s="135">
        <v>28</v>
      </c>
      <c r="AY648" s="135" t="s">
        <v>8722</v>
      </c>
      <c r="AZ648" s="135" t="s">
        <v>1563</v>
      </c>
      <c r="BA648" s="135">
        <v>32</v>
      </c>
      <c r="BB648" s="138" t="s">
        <v>2485</v>
      </c>
      <c r="BC648" s="138" t="s">
        <v>8726</v>
      </c>
      <c r="BD648" s="138" t="s">
        <v>8374</v>
      </c>
      <c r="BE648" s="135" t="s">
        <v>2449</v>
      </c>
      <c r="BF648" s="135" t="s">
        <v>272</v>
      </c>
      <c r="BG648" s="135" t="s">
        <v>272</v>
      </c>
      <c r="BH648" s="135" t="s">
        <v>2486</v>
      </c>
      <c r="BI648" s="185">
        <f>5/419.9/1000</f>
        <v>1.1907597046915933E-5</v>
      </c>
      <c r="BJ648" s="185">
        <f>0.25/419.9/1000</f>
        <v>5.9537985234579667E-7</v>
      </c>
      <c r="BK648" s="138" t="s">
        <v>6607</v>
      </c>
      <c r="BL648" s="185">
        <f t="shared" si="215"/>
        <v>4.3615815797067237E-5</v>
      </c>
      <c r="BM648" s="130" t="s">
        <v>541</v>
      </c>
      <c r="BN648" s="135"/>
      <c r="BO648" s="135"/>
      <c r="BP648" s="135"/>
      <c r="BQ648" s="135"/>
      <c r="BR648" s="138" t="s">
        <v>2496</v>
      </c>
      <c r="BS648" s="135"/>
      <c r="BT648" s="135"/>
      <c r="BU648" s="135">
        <v>6.4000000000000003E-3</v>
      </c>
      <c r="BV648" s="135"/>
      <c r="BW648" s="135"/>
      <c r="BX648" s="135"/>
      <c r="BY648" s="135"/>
      <c r="BZ648" s="135"/>
      <c r="CA648" s="135"/>
      <c r="CB648" s="135"/>
      <c r="CC648" s="135"/>
      <c r="CD648" s="135"/>
      <c r="CE648" s="135"/>
      <c r="CF648" s="135"/>
      <c r="CG648" s="135"/>
      <c r="CH648" s="135"/>
      <c r="CI648" s="185"/>
      <c r="CJ648" s="187"/>
      <c r="CK648" s="136">
        <f t="shared" si="218"/>
        <v>73.257124212754121</v>
      </c>
      <c r="CL648" s="188"/>
      <c r="CM648" s="188"/>
      <c r="CN648" s="188"/>
      <c r="CO648" s="138" t="s">
        <v>2488</v>
      </c>
      <c r="CP648" s="138" t="s">
        <v>2450</v>
      </c>
      <c r="CQ648" s="183">
        <v>-6.2086421552494002</v>
      </c>
      <c r="CR648" s="191">
        <f>10^(CJ648-CQ648)</f>
        <v>1616747.3406147261</v>
      </c>
      <c r="CS648" s="135" t="s">
        <v>539</v>
      </c>
      <c r="CT648" s="135"/>
      <c r="CU648" s="135"/>
      <c r="CV648" s="332">
        <f t="shared" si="216"/>
        <v>8</v>
      </c>
      <c r="CW648" s="329">
        <f t="shared" si="217"/>
        <v>1</v>
      </c>
      <c r="CX648" s="329"/>
      <c r="CY648" s="189" t="s">
        <v>5921</v>
      </c>
    </row>
    <row r="649" spans="1:103" ht="11.25" customHeight="1" x14ac:dyDescent="0.2">
      <c r="A649" s="72">
        <v>647</v>
      </c>
      <c r="B649" s="183">
        <v>1055</v>
      </c>
      <c r="C649" s="133" t="s">
        <v>1026</v>
      </c>
      <c r="D649" s="133" t="s">
        <v>6758</v>
      </c>
      <c r="E649" s="134"/>
      <c r="F649" s="134" t="s">
        <v>1027</v>
      </c>
      <c r="G649" s="184">
        <v>128639021</v>
      </c>
      <c r="H649" s="138" t="s">
        <v>1028</v>
      </c>
      <c r="I649" s="138" t="s">
        <v>7891</v>
      </c>
      <c r="J649" s="138" t="s">
        <v>1029</v>
      </c>
      <c r="K649" s="138" t="s">
        <v>1030</v>
      </c>
      <c r="L649" s="138" t="s">
        <v>5929</v>
      </c>
      <c r="M649" s="138" t="s">
        <v>5966</v>
      </c>
      <c r="N649" s="138" t="s">
        <v>6385</v>
      </c>
      <c r="O649" s="138" t="s">
        <v>5965</v>
      </c>
      <c r="P649" s="138"/>
      <c r="Q649" s="138"/>
      <c r="R649" s="138"/>
      <c r="S649" s="138"/>
      <c r="T649" s="135">
        <v>412.19</v>
      </c>
      <c r="U649" s="185">
        <v>5.3373444285402361E-2</v>
      </c>
      <c r="V649" s="185">
        <v>8.4281520657949003E-3</v>
      </c>
      <c r="W649" s="185">
        <v>8.3176377110266958E-2</v>
      </c>
      <c r="X649" s="185">
        <v>5.3373444285402361E-2</v>
      </c>
      <c r="Y649" s="204">
        <v>7</v>
      </c>
      <c r="Z649" s="135">
        <v>4.26</v>
      </c>
      <c r="AA649" s="135">
        <v>3.36</v>
      </c>
      <c r="AB649" s="135">
        <v>2.99</v>
      </c>
      <c r="AC649" s="135">
        <v>0.73440000000000005</v>
      </c>
      <c r="AD649" s="135">
        <v>3.05</v>
      </c>
      <c r="AE649" s="135">
        <v>3.21</v>
      </c>
      <c r="AF649" s="135">
        <f t="shared" si="211"/>
        <v>3.36</v>
      </c>
      <c r="AG649" s="136">
        <v>4.43</v>
      </c>
      <c r="AH649" s="185">
        <v>5.9600000000000006E-11</v>
      </c>
      <c r="AI649" s="185">
        <v>2.9600000000000001E-9</v>
      </c>
      <c r="AJ649" s="136">
        <f t="shared" si="213"/>
        <v>-8.613320066572415</v>
      </c>
      <c r="AK649" s="136">
        <f>LOG10(AI649*1000/(0.08206*298.15))</f>
        <v>-6.9172746152537128</v>
      </c>
      <c r="AL649" s="136">
        <f t="shared" si="212"/>
        <v>-6.9172746152537128</v>
      </c>
      <c r="AM649" s="136">
        <v>-13.92361</v>
      </c>
      <c r="AN649" s="186">
        <v>-9.6</v>
      </c>
      <c r="AO649" s="481"/>
      <c r="AP649" s="481">
        <v>-2.2599999999999998</v>
      </c>
      <c r="AQ649" s="135" t="s">
        <v>6311</v>
      </c>
      <c r="AR649" s="135" t="s">
        <v>6314</v>
      </c>
      <c r="AS649" s="190"/>
      <c r="AT649" s="137" t="s">
        <v>266</v>
      </c>
      <c r="AU649" s="135">
        <v>6</v>
      </c>
      <c r="AV649" s="135">
        <v>120</v>
      </c>
      <c r="AW649" s="135">
        <v>114</v>
      </c>
      <c r="AX649" s="135">
        <v>28</v>
      </c>
      <c r="AY649" s="135" t="s">
        <v>8728</v>
      </c>
      <c r="AZ649" s="135" t="s">
        <v>1563</v>
      </c>
      <c r="BA649" s="135">
        <v>32</v>
      </c>
      <c r="BB649" s="138" t="s">
        <v>2485</v>
      </c>
      <c r="BC649" s="138" t="s">
        <v>8726</v>
      </c>
      <c r="BD649" s="138" t="s">
        <v>8374</v>
      </c>
      <c r="BE649" s="135" t="s">
        <v>2449</v>
      </c>
      <c r="BF649" s="135" t="s">
        <v>272</v>
      </c>
      <c r="BG649" s="135" t="s">
        <v>272</v>
      </c>
      <c r="BH649" s="135" t="s">
        <v>2486</v>
      </c>
      <c r="BI649" s="185">
        <v>6.3999999999999997E-6</v>
      </c>
      <c r="BJ649" s="185">
        <v>6.4000000000000001E-2</v>
      </c>
      <c r="BK649" s="135"/>
      <c r="BL649" s="185">
        <f t="shared" si="215"/>
        <v>7.6717421921324528E-3</v>
      </c>
      <c r="BM649" s="138" t="s">
        <v>2487</v>
      </c>
      <c r="BN649" s="135"/>
      <c r="BO649" s="135"/>
      <c r="BP649" s="135"/>
      <c r="BQ649" s="135"/>
      <c r="BR649" s="138" t="s">
        <v>2496</v>
      </c>
      <c r="BS649" s="135"/>
      <c r="BT649" s="135"/>
      <c r="BU649" s="135">
        <v>6.3999999999999997E-6</v>
      </c>
      <c r="BV649" s="135"/>
      <c r="BW649" s="135"/>
      <c r="BX649" s="135"/>
      <c r="BY649" s="135"/>
      <c r="BZ649" s="135"/>
      <c r="CA649" s="135"/>
      <c r="CB649" s="135"/>
      <c r="CC649" s="135"/>
      <c r="CD649" s="135"/>
      <c r="CE649" s="135"/>
      <c r="CF649" s="135"/>
      <c r="CG649" s="135"/>
      <c r="CH649" s="135"/>
      <c r="CI649" s="185"/>
      <c r="CJ649" s="187"/>
      <c r="CK649" s="136">
        <f t="shared" si="218"/>
        <v>0.11987097175206957</v>
      </c>
      <c r="CL649" s="188"/>
      <c r="CM649" s="188">
        <v>-2.4109774686458332</v>
      </c>
      <c r="CN649" s="188">
        <f>BJ649/(10^CM649)</f>
        <v>16.487600000000004</v>
      </c>
      <c r="CO649" s="138" t="s">
        <v>2488</v>
      </c>
      <c r="CP649" s="138" t="s">
        <v>2489</v>
      </c>
      <c r="CQ649" s="183">
        <v>-2.3625224621418051</v>
      </c>
      <c r="CR649" s="191">
        <f>10^(CJ649-CQ649)</f>
        <v>230.42121491140972</v>
      </c>
      <c r="CS649" s="135" t="s">
        <v>539</v>
      </c>
      <c r="CT649" s="135"/>
      <c r="CU649" s="135"/>
      <c r="CV649" s="332">
        <f t="shared" si="216"/>
        <v>0.83396006695941183</v>
      </c>
      <c r="CW649" s="329">
        <f t="shared" si="217"/>
        <v>0</v>
      </c>
      <c r="CX649" s="329"/>
      <c r="CY649" s="189" t="s">
        <v>5921</v>
      </c>
    </row>
    <row r="650" spans="1:103" ht="11.25" customHeight="1" x14ac:dyDescent="0.2">
      <c r="A650" s="72">
        <v>648</v>
      </c>
      <c r="B650" s="183">
        <v>1541</v>
      </c>
      <c r="C650" s="133" t="s">
        <v>6893</v>
      </c>
      <c r="D650" s="133"/>
      <c r="E650" s="134"/>
      <c r="F650" s="134" t="s">
        <v>4658</v>
      </c>
      <c r="G650" s="184">
        <v>82469792</v>
      </c>
      <c r="H650" s="138" t="s">
        <v>4659</v>
      </c>
      <c r="I650" s="138" t="s">
        <v>4659</v>
      </c>
      <c r="J650" s="138"/>
      <c r="K650" s="138" t="s">
        <v>357</v>
      </c>
      <c r="L650" s="138"/>
      <c r="M650" s="138"/>
      <c r="N650" s="138"/>
      <c r="O650" s="138"/>
      <c r="P650" s="138"/>
      <c r="Q650" s="138"/>
      <c r="R650" s="138"/>
      <c r="S650" s="138"/>
      <c r="T650" s="135">
        <v>514.71</v>
      </c>
      <c r="U650" s="185"/>
      <c r="V650" s="185">
        <v>1.0804142138291464E-7</v>
      </c>
      <c r="W650" s="185">
        <v>7.7624711662868936E-5</v>
      </c>
      <c r="X650" s="185">
        <f>IF(W650=0,V650,W650)</f>
        <v>7.7624711662868936E-5</v>
      </c>
      <c r="Y650" s="204">
        <v>7</v>
      </c>
      <c r="Z650" s="135">
        <v>8.2100000000000009</v>
      </c>
      <c r="AA650" s="135"/>
      <c r="AB650" s="135">
        <v>7.93</v>
      </c>
      <c r="AC650" s="135">
        <v>0.4289</v>
      </c>
      <c r="AD650" s="135">
        <v>9.73</v>
      </c>
      <c r="AE650" s="135">
        <v>11.17</v>
      </c>
      <c r="AF650" s="135">
        <f t="shared" si="211"/>
        <v>9.73</v>
      </c>
      <c r="AG650" s="136">
        <v>9.73</v>
      </c>
      <c r="AH650" s="185">
        <v>3.65E-9</v>
      </c>
      <c r="AI650" s="185"/>
      <c r="AJ650" s="136">
        <f t="shared" si="213"/>
        <v>-6.8262734618561769</v>
      </c>
      <c r="AK650" s="136"/>
      <c r="AL650" s="136">
        <f t="shared" si="212"/>
        <v>-6.8262734618561769</v>
      </c>
      <c r="AM650" s="136">
        <v>-14.16159</v>
      </c>
      <c r="AN650" s="186"/>
      <c r="AO650" s="481"/>
      <c r="AP650" s="481"/>
      <c r="AQ650" s="135" t="s">
        <v>6311</v>
      </c>
      <c r="AR650" s="135" t="s">
        <v>6312</v>
      </c>
      <c r="AS650" s="190"/>
      <c r="AT650" s="137" t="s">
        <v>266</v>
      </c>
      <c r="AU650" s="135">
        <v>6</v>
      </c>
      <c r="AV650" s="135">
        <v>120</v>
      </c>
      <c r="AW650" s="135">
        <v>114</v>
      </c>
      <c r="AX650" s="135">
        <v>28</v>
      </c>
      <c r="AY650" s="135" t="s">
        <v>8728</v>
      </c>
      <c r="AZ650" s="135" t="s">
        <v>1563</v>
      </c>
      <c r="BA650" s="135">
        <v>32</v>
      </c>
      <c r="BB650" s="138" t="s">
        <v>2485</v>
      </c>
      <c r="BC650" s="138" t="s">
        <v>8726</v>
      </c>
      <c r="BD650" s="138" t="s">
        <v>8374</v>
      </c>
      <c r="BE650" s="135" t="s">
        <v>2449</v>
      </c>
      <c r="BF650" s="135" t="s">
        <v>272</v>
      </c>
      <c r="BG650" s="135" t="s">
        <v>272</v>
      </c>
      <c r="BH650" s="135" t="s">
        <v>2486</v>
      </c>
      <c r="BI650" s="185">
        <v>6.3999999999999997E-6</v>
      </c>
      <c r="BJ650" s="185">
        <v>6.4000000000000001E-2</v>
      </c>
      <c r="BK650" s="135"/>
      <c r="BL650" s="185">
        <f t="shared" si="215"/>
        <v>2.1746982250068622E-6</v>
      </c>
      <c r="BM650" s="138" t="s">
        <v>2487</v>
      </c>
      <c r="BN650" s="135"/>
      <c r="BO650" s="135"/>
      <c r="BP650" s="135"/>
      <c r="BQ650" s="135"/>
      <c r="BR650" s="138" t="s">
        <v>2496</v>
      </c>
      <c r="BS650" s="135"/>
      <c r="BT650" s="135"/>
      <c r="BU650" s="135"/>
      <c r="BV650" s="135"/>
      <c r="BW650" s="135"/>
      <c r="BX650" s="135"/>
      <c r="BY650" s="135"/>
      <c r="BZ650" s="135"/>
      <c r="CA650" s="135"/>
      <c r="CB650" s="135"/>
      <c r="CC650" s="135"/>
      <c r="CD650" s="135"/>
      <c r="CE650" s="135"/>
      <c r="CF650" s="135"/>
      <c r="CG650" s="135"/>
      <c r="CH650" s="135"/>
      <c r="CI650" s="185"/>
      <c r="CJ650" s="187"/>
      <c r="CK650" s="136">
        <f t="shared" si="218"/>
        <v>3.3979659765732222E-5</v>
      </c>
      <c r="CL650" s="188"/>
      <c r="CM650" s="188"/>
      <c r="CN650" s="188"/>
      <c r="CO650" s="138" t="s">
        <v>2488</v>
      </c>
      <c r="CP650" s="138" t="s">
        <v>2489</v>
      </c>
      <c r="CQ650" s="191" t="s">
        <v>272</v>
      </c>
      <c r="CR650" s="191"/>
      <c r="CS650" s="135" t="s">
        <v>539</v>
      </c>
      <c r="CT650" s="135"/>
      <c r="CU650" s="135"/>
      <c r="CV650" s="332">
        <f t="shared" si="216"/>
        <v>1.2128861197323272E-3</v>
      </c>
      <c r="CW650" s="329">
        <f t="shared" si="217"/>
        <v>0</v>
      </c>
      <c r="CX650" s="329"/>
      <c r="CY650" s="189" t="s">
        <v>5921</v>
      </c>
    </row>
    <row r="651" spans="1:103" ht="11.25" customHeight="1" x14ac:dyDescent="0.2">
      <c r="A651" s="72">
        <v>649</v>
      </c>
      <c r="B651" s="183">
        <v>1650</v>
      </c>
      <c r="C651" s="133" t="s">
        <v>4861</v>
      </c>
      <c r="D651" s="133" t="s">
        <v>6894</v>
      </c>
      <c r="E651" s="134"/>
      <c r="F651" s="134" t="s">
        <v>4862</v>
      </c>
      <c r="G651" s="184">
        <v>80844071</v>
      </c>
      <c r="H651" s="138" t="s">
        <v>4863</v>
      </c>
      <c r="I651" s="138" t="s">
        <v>4863</v>
      </c>
      <c r="J651" s="138" t="s">
        <v>4864</v>
      </c>
      <c r="K651" s="138" t="s">
        <v>426</v>
      </c>
      <c r="L651" s="138" t="s">
        <v>617</v>
      </c>
      <c r="M651" s="138" t="s">
        <v>1086</v>
      </c>
      <c r="N651" s="138" t="s">
        <v>6376</v>
      </c>
      <c r="O651" s="138" t="s">
        <v>918</v>
      </c>
      <c r="P651" s="138"/>
      <c r="Q651" s="138"/>
      <c r="R651" s="138"/>
      <c r="S651" s="138"/>
      <c r="T651" s="135">
        <v>376.49</v>
      </c>
      <c r="U651" s="185">
        <v>2.6561130441711601E-6</v>
      </c>
      <c r="V651" s="185">
        <v>1.0823660654997476E-5</v>
      </c>
      <c r="W651" s="185">
        <v>4.0738027780411228E-4</v>
      </c>
      <c r="X651" s="185">
        <v>2.6561130441711601E-6</v>
      </c>
      <c r="Y651" s="204">
        <v>7</v>
      </c>
      <c r="Z651" s="135">
        <v>7.47</v>
      </c>
      <c r="AA651" s="135">
        <v>7.05</v>
      </c>
      <c r="AB651" s="135">
        <v>6.24</v>
      </c>
      <c r="AC651" s="135">
        <v>0.73419999999999996</v>
      </c>
      <c r="AD651" s="135">
        <v>6.6</v>
      </c>
      <c r="AE651" s="135">
        <v>7.35</v>
      </c>
      <c r="AF651" s="135">
        <f t="shared" si="211"/>
        <v>7.05</v>
      </c>
      <c r="AG651" s="136">
        <v>6.02</v>
      </c>
      <c r="AH651" s="185">
        <v>2.2600000000000001E-8</v>
      </c>
      <c r="AI651" s="185"/>
      <c r="AJ651" s="136">
        <f t="shared" si="213"/>
        <v>-6.0344578871652512</v>
      </c>
      <c r="AK651" s="136"/>
      <c r="AL651" s="136">
        <f t="shared" si="212"/>
        <v>-6.0344578871652512</v>
      </c>
      <c r="AM651" s="136">
        <v>-12.957080000000001</v>
      </c>
      <c r="AN651" s="186">
        <v>-6.6</v>
      </c>
      <c r="AO651" s="481"/>
      <c r="AP651" s="481"/>
      <c r="AQ651" s="186" t="s">
        <v>6311</v>
      </c>
      <c r="AR651" s="186" t="s">
        <v>6311</v>
      </c>
      <c r="AS651" s="183"/>
      <c r="AT651" s="137" t="s">
        <v>266</v>
      </c>
      <c r="AU651" s="135">
        <v>6</v>
      </c>
      <c r="AV651" s="135">
        <v>120</v>
      </c>
      <c r="AW651" s="135">
        <v>114</v>
      </c>
      <c r="AX651" s="135">
        <v>28</v>
      </c>
      <c r="AY651" s="135" t="s">
        <v>8728</v>
      </c>
      <c r="AZ651" s="135" t="s">
        <v>1563</v>
      </c>
      <c r="BA651" s="135">
        <v>32</v>
      </c>
      <c r="BB651" s="138" t="s">
        <v>2485</v>
      </c>
      <c r="BC651" s="138" t="s">
        <v>8726</v>
      </c>
      <c r="BD651" s="138" t="s">
        <v>8374</v>
      </c>
      <c r="BE651" s="135" t="s">
        <v>2449</v>
      </c>
      <c r="BF651" s="135" t="s">
        <v>272</v>
      </c>
      <c r="BG651" s="135" t="s">
        <v>272</v>
      </c>
      <c r="BH651" s="135" t="s">
        <v>2486</v>
      </c>
      <c r="BI651" s="185">
        <v>6.3999999999999997E-6</v>
      </c>
      <c r="BJ651" s="185">
        <v>6.4000000000000001E-2</v>
      </c>
      <c r="BK651" s="135"/>
      <c r="BL651" s="185">
        <f t="shared" si="215"/>
        <v>1.0045995979154879E-5</v>
      </c>
      <c r="BM651" s="138" t="s">
        <v>2487</v>
      </c>
      <c r="BN651" s="135"/>
      <c r="BO651" s="135"/>
      <c r="BP651" s="135"/>
      <c r="BQ651" s="135"/>
      <c r="BR651" s="138" t="s">
        <v>2496</v>
      </c>
      <c r="BS651" s="135"/>
      <c r="BT651" s="135"/>
      <c r="BU651" s="135"/>
      <c r="BV651" s="135"/>
      <c r="BW651" s="135"/>
      <c r="BX651" s="135"/>
      <c r="BY651" s="135"/>
      <c r="BZ651" s="135"/>
      <c r="CA651" s="135"/>
      <c r="CB651" s="135"/>
      <c r="CC651" s="135"/>
      <c r="CD651" s="135"/>
      <c r="CE651" s="135"/>
      <c r="CF651" s="135"/>
      <c r="CG651" s="135"/>
      <c r="CH651" s="135"/>
      <c r="CI651" s="185"/>
      <c r="CJ651" s="187"/>
      <c r="CK651" s="136">
        <f t="shared" si="218"/>
        <v>1.5696868717429498E-4</v>
      </c>
      <c r="CL651" s="188"/>
      <c r="CM651" s="188"/>
      <c r="CN651" s="188"/>
      <c r="CO651" s="138" t="s">
        <v>2488</v>
      </c>
      <c r="CP651" s="138" t="s">
        <v>2489</v>
      </c>
      <c r="CQ651" s="183">
        <v>-4.7087715367752301</v>
      </c>
      <c r="CR651" s="191">
        <f>10^(CJ651-CQ651)</f>
        <v>51141.273302032801</v>
      </c>
      <c r="CS651" s="135" t="s">
        <v>539</v>
      </c>
      <c r="CT651" s="135"/>
      <c r="CU651" s="135"/>
      <c r="CV651" s="332">
        <f t="shared" si="216"/>
        <v>4.1501766315174376E-5</v>
      </c>
      <c r="CW651" s="329">
        <f t="shared" si="217"/>
        <v>0</v>
      </c>
      <c r="CX651" s="329"/>
      <c r="CY651" s="189" t="s">
        <v>5921</v>
      </c>
    </row>
    <row r="652" spans="1:103" ht="11.25" customHeight="1" x14ac:dyDescent="0.2">
      <c r="A652" s="72">
        <v>650</v>
      </c>
      <c r="B652" s="183">
        <v>979</v>
      </c>
      <c r="C652" s="133" t="s">
        <v>2795</v>
      </c>
      <c r="D652" s="133" t="s">
        <v>6895</v>
      </c>
      <c r="E652" s="134"/>
      <c r="F652" s="134" t="s">
        <v>2796</v>
      </c>
      <c r="G652" s="184">
        <v>140669</v>
      </c>
      <c r="H652" s="138" t="s">
        <v>2797</v>
      </c>
      <c r="I652" s="138" t="s">
        <v>2797</v>
      </c>
      <c r="J652" s="138" t="s">
        <v>2798</v>
      </c>
      <c r="K652" s="138" t="s">
        <v>349</v>
      </c>
      <c r="L652" s="138" t="s">
        <v>6025</v>
      </c>
      <c r="M652" s="138" t="s">
        <v>6082</v>
      </c>
      <c r="N652" s="138" t="s">
        <v>6082</v>
      </c>
      <c r="O652" s="138" t="s">
        <v>6083</v>
      </c>
      <c r="P652" s="138"/>
      <c r="Q652" s="138"/>
      <c r="R652" s="138"/>
      <c r="S652" s="138"/>
      <c r="T652" s="135">
        <v>206.32</v>
      </c>
      <c r="U652" s="185"/>
      <c r="V652" s="185">
        <v>2.3366614967041489E-2</v>
      </c>
      <c r="W652" s="185">
        <v>0.39810717055349709</v>
      </c>
      <c r="X652" s="185">
        <f>IF(W652=0,V652,W652)</f>
        <v>0.39810717055349709</v>
      </c>
      <c r="Y652" s="204">
        <v>6.71</v>
      </c>
      <c r="Z652" s="135">
        <v>5.28</v>
      </c>
      <c r="AA652" s="135"/>
      <c r="AB652" s="135">
        <v>4.5599999999999996</v>
      </c>
      <c r="AC652" s="135">
        <v>0.77039999999999997</v>
      </c>
      <c r="AD652" s="135">
        <v>4.68</v>
      </c>
      <c r="AE652" s="135">
        <v>4.93</v>
      </c>
      <c r="AF652" s="135">
        <f t="shared" ref="AF652:AF683" si="219">IF(AA652=0,AD652,AA652)</f>
        <v>4.68</v>
      </c>
      <c r="AG652" s="136">
        <v>4.72</v>
      </c>
      <c r="AH652" s="185">
        <v>4.5000000000000001E-6</v>
      </c>
      <c r="AI652" s="185"/>
      <c r="AJ652" s="136">
        <f t="shared" si="213"/>
        <v>-3.735353812537308</v>
      </c>
      <c r="AK652" s="136"/>
      <c r="AL652" s="136">
        <f t="shared" ref="AL652:AL683" si="220">IF(AK652=0,AJ652,AK652)</f>
        <v>-3.735353812537308</v>
      </c>
      <c r="AM652" s="136">
        <v>-7.1457800000000002</v>
      </c>
      <c r="AN652" s="186">
        <v>-3.75</v>
      </c>
      <c r="AO652" s="481">
        <v>10.15</v>
      </c>
      <c r="AP652" s="481"/>
      <c r="AQ652" s="135" t="s">
        <v>6311</v>
      </c>
      <c r="AR652" s="135" t="s">
        <v>6311</v>
      </c>
      <c r="AS652" s="190"/>
      <c r="AT652" s="137" t="s">
        <v>266</v>
      </c>
      <c r="AU652" s="135">
        <v>6</v>
      </c>
      <c r="AV652" s="135">
        <v>120</v>
      </c>
      <c r="AW652" s="135">
        <v>114</v>
      </c>
      <c r="AX652" s="135">
        <v>28</v>
      </c>
      <c r="AY652" s="135" t="s">
        <v>8728</v>
      </c>
      <c r="AZ652" s="135" t="s">
        <v>1563</v>
      </c>
      <c r="BA652" s="135">
        <v>32</v>
      </c>
      <c r="BB652" s="138" t="s">
        <v>2485</v>
      </c>
      <c r="BC652" s="138" t="s">
        <v>8726</v>
      </c>
      <c r="BD652" s="138" t="s">
        <v>8374</v>
      </c>
      <c r="BE652" s="135" t="s">
        <v>2449</v>
      </c>
      <c r="BF652" s="135" t="s">
        <v>272</v>
      </c>
      <c r="BG652" s="135" t="s">
        <v>272</v>
      </c>
      <c r="BH652" s="135" t="s">
        <v>2486</v>
      </c>
      <c r="BI652" s="185">
        <v>6.3999999999999997E-6</v>
      </c>
      <c r="BJ652" s="185">
        <v>6.4000000000000001E-2</v>
      </c>
      <c r="BK652" s="135"/>
      <c r="BL652" s="185">
        <f t="shared" si="215"/>
        <v>9.307477606655426E-4</v>
      </c>
      <c r="BM652" s="138" t="s">
        <v>2487</v>
      </c>
      <c r="BN652" s="135"/>
      <c r="BO652" s="135"/>
      <c r="BP652" s="135"/>
      <c r="BQ652" s="135"/>
      <c r="BR652" s="138" t="s">
        <v>2496</v>
      </c>
      <c r="BS652" s="135"/>
      <c r="BT652" s="135"/>
      <c r="BU652" s="135">
        <v>6.3999999999999997E-6</v>
      </c>
      <c r="BV652" s="135"/>
      <c r="BW652" s="135"/>
      <c r="BX652" s="135"/>
      <c r="BY652" s="135"/>
      <c r="BZ652" s="135"/>
      <c r="CA652" s="135"/>
      <c r="CB652" s="135"/>
      <c r="CC652" s="135"/>
      <c r="CD652" s="135"/>
      <c r="CE652" s="135"/>
      <c r="CF652" s="135"/>
      <c r="CG652" s="135"/>
      <c r="CH652" s="135"/>
      <c r="CI652" s="185"/>
      <c r="CJ652" s="187"/>
      <c r="CK652" s="136">
        <f t="shared" si="218"/>
        <v>1.4542933760399102E-2</v>
      </c>
      <c r="CL652" s="188"/>
      <c r="CM652" s="188"/>
      <c r="CN652" s="188"/>
      <c r="CO652" s="138" t="s">
        <v>2488</v>
      </c>
      <c r="CP652" s="138" t="s">
        <v>2489</v>
      </c>
      <c r="CQ652" s="183">
        <v>-2.7463396050628859</v>
      </c>
      <c r="CR652" s="191">
        <f>10^(CJ652-CQ652)</f>
        <v>557.6216216216219</v>
      </c>
      <c r="CS652" s="135" t="s">
        <v>539</v>
      </c>
      <c r="CT652" s="135"/>
      <c r="CU652" s="135"/>
      <c r="CV652" s="332">
        <f t="shared" si="216"/>
        <v>6.2204245398983922</v>
      </c>
      <c r="CW652" s="329">
        <f t="shared" si="217"/>
        <v>1</v>
      </c>
      <c r="CX652" s="329"/>
      <c r="CY652" s="189" t="s">
        <v>6351</v>
      </c>
    </row>
    <row r="653" spans="1:103" ht="11.25" customHeight="1" x14ac:dyDescent="0.2">
      <c r="A653" s="72">
        <v>651</v>
      </c>
      <c r="B653" s="183">
        <v>1847</v>
      </c>
      <c r="C653" s="133" t="s">
        <v>1437</v>
      </c>
      <c r="D653" s="133" t="s">
        <v>6572</v>
      </c>
      <c r="E653" s="134"/>
      <c r="F653" s="134" t="s">
        <v>1438</v>
      </c>
      <c r="G653" s="184">
        <v>95737681</v>
      </c>
      <c r="H653" s="138" t="s">
        <v>1439</v>
      </c>
      <c r="I653" s="138" t="s">
        <v>1439</v>
      </c>
      <c r="J653" s="138" t="s">
        <v>1440</v>
      </c>
      <c r="K653" s="138" t="s">
        <v>426</v>
      </c>
      <c r="L653" s="138" t="s">
        <v>617</v>
      </c>
      <c r="M653" s="138" t="s">
        <v>6087</v>
      </c>
      <c r="N653" s="138" t="s">
        <v>6082</v>
      </c>
      <c r="O653" s="138" t="s">
        <v>918</v>
      </c>
      <c r="P653" s="138"/>
      <c r="Q653" s="138"/>
      <c r="R653" s="138"/>
      <c r="S653" s="138"/>
      <c r="T653" s="135">
        <v>321.37</v>
      </c>
      <c r="U653" s="185"/>
      <c r="V653" s="185">
        <v>5.2431776457043285E-4</v>
      </c>
      <c r="W653" s="185">
        <v>1.3489628825916516E-2</v>
      </c>
      <c r="X653" s="185">
        <f>IF(W653=0,V653,W653)</f>
        <v>1.3489628825916516E-2</v>
      </c>
      <c r="Y653" s="204">
        <v>7.01</v>
      </c>
      <c r="Z653" s="135">
        <v>5.55</v>
      </c>
      <c r="AA653" s="135"/>
      <c r="AB653" s="135">
        <v>4.2699999999999996</v>
      </c>
      <c r="AC653" s="135">
        <v>0.65580000000000005</v>
      </c>
      <c r="AD653" s="135">
        <v>4.4800000000000004</v>
      </c>
      <c r="AE653" s="135">
        <v>4.84</v>
      </c>
      <c r="AF653" s="135">
        <f t="shared" si="219"/>
        <v>4.4800000000000004</v>
      </c>
      <c r="AG653" s="136">
        <v>4.43</v>
      </c>
      <c r="AH653" s="185">
        <v>6.3399999999999998E-10</v>
      </c>
      <c r="AI653" s="185"/>
      <c r="AJ653" s="136">
        <f t="shared" ref="AJ653:AJ684" si="221">LOG10(AH653*1000/(0.08206*298.15))</f>
        <v>-7.5864770684309191</v>
      </c>
      <c r="AK653" s="136"/>
      <c r="AL653" s="136">
        <f t="shared" si="220"/>
        <v>-7.5864770684309191</v>
      </c>
      <c r="AM653" s="136">
        <v>-14.59877</v>
      </c>
      <c r="AN653" s="186">
        <v>-6.13</v>
      </c>
      <c r="AO653" s="481"/>
      <c r="AP653" s="481">
        <v>3.62</v>
      </c>
      <c r="AQ653" s="186" t="s">
        <v>6311</v>
      </c>
      <c r="AR653" s="186" t="s">
        <v>6311</v>
      </c>
      <c r="AS653" s="183"/>
      <c r="AT653" s="137" t="s">
        <v>266</v>
      </c>
      <c r="AU653" s="135">
        <v>6</v>
      </c>
      <c r="AV653" s="135">
        <v>120</v>
      </c>
      <c r="AW653" s="135">
        <v>114</v>
      </c>
      <c r="AX653" s="135">
        <v>28</v>
      </c>
      <c r="AY653" s="135" t="s">
        <v>8728</v>
      </c>
      <c r="AZ653" s="135" t="s">
        <v>1563</v>
      </c>
      <c r="BA653" s="135">
        <v>32</v>
      </c>
      <c r="BB653" s="138" t="s">
        <v>2485</v>
      </c>
      <c r="BC653" s="138" t="s">
        <v>8726</v>
      </c>
      <c r="BD653" s="138" t="s">
        <v>8374</v>
      </c>
      <c r="BE653" s="135" t="s">
        <v>2449</v>
      </c>
      <c r="BF653" s="135" t="s">
        <v>272</v>
      </c>
      <c r="BG653" s="135" t="s">
        <v>272</v>
      </c>
      <c r="BH653" s="135" t="s">
        <v>2486</v>
      </c>
      <c r="BI653" s="185">
        <v>6.3999999999999997E-6</v>
      </c>
      <c r="BJ653" s="185">
        <v>6.4000000000000001E-2</v>
      </c>
      <c r="BK653" s="135"/>
      <c r="BL653" s="185">
        <f t="shared" si="215"/>
        <v>5.3253112967520876E-4</v>
      </c>
      <c r="BM653" s="138" t="s">
        <v>2487</v>
      </c>
      <c r="BN653" s="135"/>
      <c r="BO653" s="135"/>
      <c r="BP653" s="135"/>
      <c r="BQ653" s="135"/>
      <c r="BR653" s="138" t="s">
        <v>2496</v>
      </c>
      <c r="BS653" s="135"/>
      <c r="BT653" s="135"/>
      <c r="BU653" s="135"/>
      <c r="BV653" s="135"/>
      <c r="BW653" s="135"/>
      <c r="BX653" s="135"/>
      <c r="BY653" s="135"/>
      <c r="BZ653" s="135"/>
      <c r="CA653" s="135"/>
      <c r="CB653" s="135"/>
      <c r="CC653" s="135"/>
      <c r="CD653" s="135"/>
      <c r="CE653" s="135"/>
      <c r="CF653" s="135"/>
      <c r="CG653" s="135"/>
      <c r="CH653" s="135"/>
      <c r="CI653" s="185"/>
      <c r="CJ653" s="187"/>
      <c r="CK653" s="136">
        <f t="shared" si="218"/>
        <v>8.320798901175137E-3</v>
      </c>
      <c r="CL653" s="188"/>
      <c r="CM653" s="188">
        <v>-2.853792819004934</v>
      </c>
      <c r="CN653" s="188">
        <f>BJ653/(10^CM653)</f>
        <v>45.705955555555597</v>
      </c>
      <c r="CO653" s="138" t="s">
        <v>2488</v>
      </c>
      <c r="CP653" s="138" t="s">
        <v>2489</v>
      </c>
      <c r="CQ653" s="183">
        <v>-2.2949730700715336</v>
      </c>
      <c r="CR653" s="191">
        <f>10^(CJ653-CQ653)</f>
        <v>197.23004330265621</v>
      </c>
      <c r="CS653" s="135" t="s">
        <v>539</v>
      </c>
      <c r="CT653" s="135"/>
      <c r="CU653" s="135"/>
      <c r="CV653" s="332">
        <f t="shared" si="216"/>
        <v>0.21077545040494555</v>
      </c>
      <c r="CW653" s="329">
        <f t="shared" si="217"/>
        <v>0</v>
      </c>
      <c r="CX653" s="329"/>
      <c r="CY653" s="189" t="s">
        <v>5921</v>
      </c>
    </row>
    <row r="654" spans="1:103" ht="11.25" customHeight="1" x14ac:dyDescent="0.2">
      <c r="A654" s="72">
        <v>652</v>
      </c>
      <c r="B654" s="183">
        <v>1692</v>
      </c>
      <c r="C654" s="133" t="s">
        <v>6896</v>
      </c>
      <c r="D654" s="133"/>
      <c r="E654" s="134"/>
      <c r="F654" s="134" t="s">
        <v>4936</v>
      </c>
      <c r="G654" s="184">
        <v>86479063</v>
      </c>
      <c r="H654" s="138" t="s">
        <v>4937</v>
      </c>
      <c r="I654" s="138" t="s">
        <v>7959</v>
      </c>
      <c r="J654" s="138" t="s">
        <v>4938</v>
      </c>
      <c r="K654" s="138" t="s">
        <v>2039</v>
      </c>
      <c r="L654" s="138" t="s">
        <v>8499</v>
      </c>
      <c r="M654" s="138" t="s">
        <v>8487</v>
      </c>
      <c r="N654" s="138"/>
      <c r="O654" s="138" t="s">
        <v>918</v>
      </c>
      <c r="P654" s="138"/>
      <c r="Q654" s="138"/>
      <c r="R654" s="138"/>
      <c r="S654" s="138"/>
      <c r="T654" s="135">
        <v>461.14</v>
      </c>
      <c r="U654" s="185">
        <v>5.855054864032615E-5</v>
      </c>
      <c r="V654" s="185">
        <v>3.8730103656156484E-5</v>
      </c>
      <c r="W654" s="185">
        <v>2.8183829312644467E-5</v>
      </c>
      <c r="X654" s="185">
        <v>5.855054864032615E-5</v>
      </c>
      <c r="Y654" s="204">
        <v>6.99</v>
      </c>
      <c r="Z654" s="135">
        <v>5.64</v>
      </c>
      <c r="AA654" s="135">
        <v>5.68</v>
      </c>
      <c r="AB654" s="135">
        <v>5.4</v>
      </c>
      <c r="AC654" s="135">
        <v>0.79430000000000001</v>
      </c>
      <c r="AD654" s="135">
        <v>5.51</v>
      </c>
      <c r="AE654" s="135">
        <v>5.87</v>
      </c>
      <c r="AF654" s="135">
        <f t="shared" si="219"/>
        <v>5.68</v>
      </c>
      <c r="AG654" s="136">
        <v>5.57</v>
      </c>
      <c r="AH654" s="185">
        <v>1.0799999999999999E-11</v>
      </c>
      <c r="AI654" s="185">
        <v>9.9599999999999995E-6</v>
      </c>
      <c r="AJ654" s="136">
        <f t="shared" si="221"/>
        <v>-9.3551425708257021</v>
      </c>
      <c r="AK654" s="136">
        <f>LOG10(AI654*1000/(0.08206*298.15))</f>
        <v>-3.3903069878889531</v>
      </c>
      <c r="AL654" s="136">
        <f t="shared" si="220"/>
        <v>-3.3903069878889531</v>
      </c>
      <c r="AM654" s="136">
        <v>-16.02169</v>
      </c>
      <c r="AN654" s="186">
        <v>-7.24</v>
      </c>
      <c r="AO654" s="481">
        <v>8.5399999999999991</v>
      </c>
      <c r="AP654" s="481">
        <v>-2.15</v>
      </c>
      <c r="AQ654" s="186" t="s">
        <v>6311</v>
      </c>
      <c r="AR654" s="186" t="s">
        <v>6311</v>
      </c>
      <c r="AS654" s="183"/>
      <c r="AT654" s="137" t="s">
        <v>266</v>
      </c>
      <c r="AU654" s="135">
        <v>6</v>
      </c>
      <c r="AV654" s="135">
        <v>120</v>
      </c>
      <c r="AW654" s="135">
        <v>114</v>
      </c>
      <c r="AX654" s="135">
        <v>28</v>
      </c>
      <c r="AY654" s="135" t="s">
        <v>8728</v>
      </c>
      <c r="AZ654" s="135" t="s">
        <v>1563</v>
      </c>
      <c r="BA654" s="135">
        <v>32</v>
      </c>
      <c r="BB654" s="138" t="s">
        <v>2485</v>
      </c>
      <c r="BC654" s="138" t="s">
        <v>8726</v>
      </c>
      <c r="BD654" s="138" t="s">
        <v>8374</v>
      </c>
      <c r="BE654" s="135" t="s">
        <v>2449</v>
      </c>
      <c r="BF654" s="135" t="s">
        <v>272</v>
      </c>
      <c r="BG654" s="135" t="s">
        <v>272</v>
      </c>
      <c r="BH654" s="135" t="s">
        <v>2486</v>
      </c>
      <c r="BI654" s="185">
        <v>6.3999999999999997E-6</v>
      </c>
      <c r="BJ654" s="185">
        <v>6.4000000000000001E-2</v>
      </c>
      <c r="BK654" s="135"/>
      <c r="BL654" s="185">
        <f t="shared" si="215"/>
        <v>4.4209540397220079E-4</v>
      </c>
      <c r="BM654" s="138" t="s">
        <v>2487</v>
      </c>
      <c r="BN654" s="135"/>
      <c r="BO654" s="135"/>
      <c r="BP654" s="135"/>
      <c r="BQ654" s="135"/>
      <c r="BR654" s="138" t="s">
        <v>2496</v>
      </c>
      <c r="BS654" s="135"/>
      <c r="BT654" s="135"/>
      <c r="BU654" s="135"/>
      <c r="BV654" s="135"/>
      <c r="BW654" s="135"/>
      <c r="BX654" s="135"/>
      <c r="BY654" s="135"/>
      <c r="BZ654" s="135"/>
      <c r="CA654" s="135"/>
      <c r="CB654" s="135"/>
      <c r="CC654" s="135"/>
      <c r="CD654" s="135"/>
      <c r="CE654" s="135"/>
      <c r="CF654" s="135"/>
      <c r="CG654" s="135"/>
      <c r="CH654" s="135"/>
      <c r="CI654" s="185"/>
      <c r="CJ654" s="187"/>
      <c r="CK654" s="136">
        <f t="shared" si="218"/>
        <v>6.9077406870656369E-3</v>
      </c>
      <c r="CL654" s="188"/>
      <c r="CM654" s="188"/>
      <c r="CN654" s="188"/>
      <c r="CO654" s="138" t="s">
        <v>2488</v>
      </c>
      <c r="CP654" s="138" t="s">
        <v>2489</v>
      </c>
      <c r="CQ654" s="191" t="s">
        <v>272</v>
      </c>
      <c r="CR654" s="191"/>
      <c r="CS654" s="135" t="s">
        <v>539</v>
      </c>
      <c r="CT654" s="135"/>
      <c r="CU654" s="135"/>
      <c r="CV654" s="332">
        <f t="shared" si="216"/>
        <v>9.1485232250509605E-4</v>
      </c>
      <c r="CW654" s="329">
        <f t="shared" si="217"/>
        <v>0</v>
      </c>
      <c r="CX654" s="329"/>
      <c r="CY654" s="189" t="s">
        <v>5921</v>
      </c>
    </row>
    <row r="655" spans="1:103" ht="11.25" customHeight="1" x14ac:dyDescent="0.2">
      <c r="A655" s="72">
        <v>653</v>
      </c>
      <c r="B655" s="191">
        <v>1660</v>
      </c>
      <c r="C655" s="128" t="s">
        <v>1159</v>
      </c>
      <c r="D655" s="128" t="s">
        <v>6577</v>
      </c>
      <c r="E655" s="129"/>
      <c r="F655" s="129" t="s">
        <v>1160</v>
      </c>
      <c r="G655" s="192">
        <v>114369436</v>
      </c>
      <c r="H655" s="139" t="s">
        <v>1161</v>
      </c>
      <c r="I655" s="139" t="s">
        <v>7960</v>
      </c>
      <c r="J655" s="139" t="s">
        <v>1162</v>
      </c>
      <c r="K655" s="139" t="s">
        <v>1163</v>
      </c>
      <c r="L655" s="139" t="s">
        <v>5929</v>
      </c>
      <c r="M655" s="139" t="s">
        <v>6082</v>
      </c>
      <c r="N655" s="138" t="s">
        <v>6082</v>
      </c>
      <c r="O655" s="139" t="s">
        <v>6083</v>
      </c>
      <c r="P655" s="138"/>
      <c r="Q655" s="138"/>
      <c r="R655" s="138"/>
      <c r="S655" s="138"/>
      <c r="T655" s="130">
        <v>336.82</v>
      </c>
      <c r="U655" s="187">
        <v>5.9378896740098575E-4</v>
      </c>
      <c r="V655" s="187">
        <v>2.0916216376699721E-2</v>
      </c>
      <c r="W655" s="187">
        <v>1.0471285480508971E-2</v>
      </c>
      <c r="X655" s="187">
        <v>5.9378896740098575E-4</v>
      </c>
      <c r="Y655" s="194">
        <v>7</v>
      </c>
      <c r="Z655" s="130">
        <v>4.2300000000000004</v>
      </c>
      <c r="AA655" s="130">
        <v>3.23</v>
      </c>
      <c r="AB655" s="130">
        <v>3.86</v>
      </c>
      <c r="AC655" s="130">
        <v>0.62219999999999998</v>
      </c>
      <c r="AD655" s="130">
        <v>3.67</v>
      </c>
      <c r="AE655" s="130">
        <v>3.35</v>
      </c>
      <c r="AF655" s="130">
        <f t="shared" si="219"/>
        <v>3.23</v>
      </c>
      <c r="AG655" s="131">
        <v>4.45</v>
      </c>
      <c r="AH655" s="187">
        <v>1.5299999999999999E-10</v>
      </c>
      <c r="AI655" s="187">
        <v>8.3099999999999996E-8</v>
      </c>
      <c r="AJ655" s="136">
        <f t="shared" si="221"/>
        <v>-8.2038748954950531</v>
      </c>
      <c r="AK655" s="136">
        <f>LOG10(AI655*1000/(0.08206*298.15))</f>
        <v>-5.4689653025285407</v>
      </c>
      <c r="AL655" s="136">
        <f t="shared" si="220"/>
        <v>-5.4689653025285407</v>
      </c>
      <c r="AM655" s="136">
        <v>-14.436909999999999</v>
      </c>
      <c r="AN655" s="193">
        <v>-9.89</v>
      </c>
      <c r="AO655" s="481"/>
      <c r="AP655" s="481">
        <v>2.34</v>
      </c>
      <c r="AQ655" s="193" t="s">
        <v>6311</v>
      </c>
      <c r="AR655" s="193" t="s">
        <v>6311</v>
      </c>
      <c r="AS655" s="191"/>
      <c r="AT655" s="132" t="s">
        <v>266</v>
      </c>
      <c r="AU655" s="130">
        <v>6</v>
      </c>
      <c r="AV655" s="130">
        <v>120</v>
      </c>
      <c r="AW655" s="130">
        <v>114</v>
      </c>
      <c r="AX655" s="130">
        <v>28</v>
      </c>
      <c r="AY655" s="130" t="s">
        <v>8728</v>
      </c>
      <c r="AZ655" s="130" t="s">
        <v>1563</v>
      </c>
      <c r="BA655" s="130">
        <v>32</v>
      </c>
      <c r="BB655" s="139" t="s">
        <v>2485</v>
      </c>
      <c r="BC655" s="139" t="s">
        <v>8726</v>
      </c>
      <c r="BD655" s="139" t="s">
        <v>8374</v>
      </c>
      <c r="BE655" s="130" t="s">
        <v>2449</v>
      </c>
      <c r="BF655" s="130" t="s">
        <v>272</v>
      </c>
      <c r="BG655" s="130" t="s">
        <v>272</v>
      </c>
      <c r="BH655" s="130" t="s">
        <v>2486</v>
      </c>
      <c r="BI655" s="187">
        <v>6.3999999999999997E-6</v>
      </c>
      <c r="BJ655" s="187">
        <v>6.4000000000000001E-2</v>
      </c>
      <c r="BK655" s="130"/>
      <c r="BL655" s="187">
        <f t="shared" si="215"/>
        <v>8.1627594805133066E-3</v>
      </c>
      <c r="BM655" s="139" t="s">
        <v>2487</v>
      </c>
      <c r="BN655" s="130"/>
      <c r="BO655" s="130"/>
      <c r="BP655" s="130"/>
      <c r="BQ655" s="130"/>
      <c r="BR655" s="139" t="s">
        <v>2496</v>
      </c>
      <c r="BS655" s="130"/>
      <c r="BT655" s="130"/>
      <c r="BU655" s="195"/>
      <c r="BV655" s="130"/>
      <c r="BW655" s="130"/>
      <c r="BX655" s="130"/>
      <c r="BY655" s="130"/>
      <c r="BZ655" s="130"/>
      <c r="CA655" s="130"/>
      <c r="CB655" s="130"/>
      <c r="CC655" s="130"/>
      <c r="CD655" s="130"/>
      <c r="CE655" s="130"/>
      <c r="CF655" s="130"/>
      <c r="CG655" s="130"/>
      <c r="CH655" s="130"/>
      <c r="CI655" s="187"/>
      <c r="CJ655" s="187"/>
      <c r="CK655" s="131">
        <f t="shared" si="218"/>
        <v>0.12754311688302042</v>
      </c>
      <c r="CL655" s="188"/>
      <c r="CM655" s="188"/>
      <c r="CN655" s="188"/>
      <c r="CO655" s="139" t="s">
        <v>2488</v>
      </c>
      <c r="CP655" s="139" t="s">
        <v>2489</v>
      </c>
      <c r="CQ655" s="191">
        <v>-2.5230977856395085</v>
      </c>
      <c r="CR655" s="191">
        <f>10^(CJ655-CQ655)</f>
        <v>333.50149542540373</v>
      </c>
      <c r="CS655" s="135" t="s">
        <v>539</v>
      </c>
      <c r="CT655" s="135"/>
      <c r="CU655" s="135"/>
      <c r="CV655" s="332">
        <f t="shared" si="216"/>
        <v>9.2779526156404023E-3</v>
      </c>
      <c r="CW655" s="329">
        <f t="shared" si="217"/>
        <v>0</v>
      </c>
      <c r="CX655" s="329"/>
      <c r="CY655" s="189" t="s">
        <v>5921</v>
      </c>
    </row>
    <row r="656" spans="1:103" ht="11.25" customHeight="1" x14ac:dyDescent="0.2">
      <c r="A656" s="72">
        <v>654</v>
      </c>
      <c r="B656" s="191">
        <v>1896</v>
      </c>
      <c r="C656" s="128" t="s">
        <v>1491</v>
      </c>
      <c r="D656" s="128" t="s">
        <v>6579</v>
      </c>
      <c r="E656" s="129"/>
      <c r="F656" s="129" t="s">
        <v>1492</v>
      </c>
      <c r="G656" s="192">
        <v>117718602</v>
      </c>
      <c r="H656" s="139" t="s">
        <v>1493</v>
      </c>
      <c r="I656" s="139" t="s">
        <v>1493</v>
      </c>
      <c r="J656" s="139" t="s">
        <v>1494</v>
      </c>
      <c r="K656" s="139" t="s">
        <v>357</v>
      </c>
      <c r="L656" s="139" t="s">
        <v>5248</v>
      </c>
      <c r="M656" s="139" t="s">
        <v>6082</v>
      </c>
      <c r="N656" s="138" t="s">
        <v>6082</v>
      </c>
      <c r="O656" s="139" t="s">
        <v>6083</v>
      </c>
      <c r="P656" s="138"/>
      <c r="Q656" s="138"/>
      <c r="R656" s="138"/>
      <c r="S656" s="138"/>
      <c r="T656" s="130">
        <v>396.38</v>
      </c>
      <c r="U656" s="187">
        <v>6.3070790655431657E-3</v>
      </c>
      <c r="V656" s="187">
        <v>3.8750693778697213E-3</v>
      </c>
      <c r="W656" s="187">
        <v>5.4954087385762386E-3</v>
      </c>
      <c r="X656" s="187">
        <v>6.3070790655431657E-3</v>
      </c>
      <c r="Y656" s="194">
        <v>7</v>
      </c>
      <c r="Z656" s="130">
        <v>5.76</v>
      </c>
      <c r="AA656" s="130">
        <v>3.89</v>
      </c>
      <c r="AB656" s="130">
        <v>4.1900000000000004</v>
      </c>
      <c r="AC656" s="130">
        <v>0.74739999999999995</v>
      </c>
      <c r="AD656" s="130">
        <v>4.07</v>
      </c>
      <c r="AE656" s="130">
        <v>3.52</v>
      </c>
      <c r="AF656" s="130">
        <f t="shared" si="219"/>
        <v>3.89</v>
      </c>
      <c r="AG656" s="131">
        <v>4.3899999999999997</v>
      </c>
      <c r="AH656" s="187">
        <v>1.5199999999999999E-9</v>
      </c>
      <c r="AI656" s="187">
        <v>4.6899999999999998E-7</v>
      </c>
      <c r="AJ656" s="136">
        <f t="shared" si="221"/>
        <v>-7.2067227383678789</v>
      </c>
      <c r="AK656" s="136">
        <f>LOG10(AI656*1000/(0.08206*298.15))</f>
        <v>-4.7173934835975686</v>
      </c>
      <c r="AL656" s="136">
        <f t="shared" si="220"/>
        <v>-4.7173934835975686</v>
      </c>
      <c r="AM656" s="136">
        <v>-8.0473999999999997</v>
      </c>
      <c r="AN656" s="193">
        <v>-5.55</v>
      </c>
      <c r="AO656" s="481"/>
      <c r="AP656" s="481">
        <v>0.78</v>
      </c>
      <c r="AQ656" s="193" t="s">
        <v>6311</v>
      </c>
      <c r="AR656" s="193" t="s">
        <v>6312</v>
      </c>
      <c r="AS656" s="191"/>
      <c r="AT656" s="132" t="s">
        <v>266</v>
      </c>
      <c r="AU656" s="130">
        <v>6</v>
      </c>
      <c r="AV656" s="130">
        <v>120</v>
      </c>
      <c r="AW656" s="130">
        <v>114</v>
      </c>
      <c r="AX656" s="130">
        <v>28</v>
      </c>
      <c r="AY656" s="130" t="s">
        <v>8728</v>
      </c>
      <c r="AZ656" s="130" t="s">
        <v>1563</v>
      </c>
      <c r="BA656" s="130">
        <v>32</v>
      </c>
      <c r="BB656" s="139" t="s">
        <v>2485</v>
      </c>
      <c r="BC656" s="139" t="s">
        <v>8726</v>
      </c>
      <c r="BD656" s="139" t="s">
        <v>8374</v>
      </c>
      <c r="BE656" s="130" t="s">
        <v>2449</v>
      </c>
      <c r="BF656" s="130" t="s">
        <v>272</v>
      </c>
      <c r="BG656" s="130" t="s">
        <v>272</v>
      </c>
      <c r="BH656" s="130" t="s">
        <v>2486</v>
      </c>
      <c r="BI656" s="187">
        <v>6.3999999999999997E-6</v>
      </c>
      <c r="BJ656" s="187">
        <v>6.4000000000000001E-2</v>
      </c>
      <c r="BK656" s="130"/>
      <c r="BL656" s="187">
        <f t="shared" si="215"/>
        <v>3.4494035024253567E-4</v>
      </c>
      <c r="BM656" s="139" t="s">
        <v>2487</v>
      </c>
      <c r="BN656" s="130"/>
      <c r="BO656" s="130"/>
      <c r="BP656" s="130"/>
      <c r="BQ656" s="130"/>
      <c r="BR656" s="139" t="s">
        <v>2496</v>
      </c>
      <c r="BS656" s="130"/>
      <c r="BT656" s="130"/>
      <c r="BU656" s="195"/>
      <c r="BV656" s="130"/>
      <c r="BW656" s="130"/>
      <c r="BX656" s="130"/>
      <c r="BY656" s="130"/>
      <c r="BZ656" s="130"/>
      <c r="CA656" s="130"/>
      <c r="CB656" s="130"/>
      <c r="CC656" s="130"/>
      <c r="CD656" s="130"/>
      <c r="CE656" s="130"/>
      <c r="CF656" s="130"/>
      <c r="CG656" s="130"/>
      <c r="CH656" s="130"/>
      <c r="CI656" s="187"/>
      <c r="CJ656" s="187"/>
      <c r="CK656" s="131">
        <f t="shared" si="218"/>
        <v>5.3896929725396198E-3</v>
      </c>
      <c r="CL656" s="188"/>
      <c r="CM656" s="188"/>
      <c r="CN656" s="188"/>
      <c r="CO656" s="139" t="s">
        <v>2488</v>
      </c>
      <c r="CP656" s="139" t="s">
        <v>2489</v>
      </c>
      <c r="CQ656" s="191">
        <v>-2.0603382526327021</v>
      </c>
      <c r="CR656" s="191">
        <f>10^(CJ656-CQ656)</f>
        <v>114.90482155595883</v>
      </c>
      <c r="CS656" s="135" t="s">
        <v>539</v>
      </c>
      <c r="CT656" s="135"/>
      <c r="CU656" s="135"/>
      <c r="CV656" s="332">
        <f t="shared" si="216"/>
        <v>9.854811039911196E-2</v>
      </c>
      <c r="CW656" s="329">
        <f t="shared" si="217"/>
        <v>0</v>
      </c>
      <c r="CX656" s="329"/>
      <c r="CY656" s="189" t="s">
        <v>5921</v>
      </c>
    </row>
    <row r="657" spans="1:103" ht="11.25" customHeight="1" x14ac:dyDescent="0.2">
      <c r="A657" s="72">
        <v>655</v>
      </c>
      <c r="B657" s="183">
        <v>1929</v>
      </c>
      <c r="C657" s="133" t="s">
        <v>6897</v>
      </c>
      <c r="D657" s="133"/>
      <c r="E657" s="134"/>
      <c r="F657" s="134" t="s">
        <v>5417</v>
      </c>
      <c r="G657" s="184">
        <v>97322877</v>
      </c>
      <c r="H657" s="138" t="s">
        <v>5418</v>
      </c>
      <c r="I657" s="138" t="s">
        <v>7858</v>
      </c>
      <c r="J657" s="138" t="s">
        <v>5419</v>
      </c>
      <c r="K657" s="138" t="s">
        <v>5420</v>
      </c>
      <c r="L657" s="138"/>
      <c r="M657" s="138"/>
      <c r="N657" s="138"/>
      <c r="O657" s="138"/>
      <c r="P657" s="138"/>
      <c r="Q657" s="138"/>
      <c r="R657" s="138"/>
      <c r="S657" s="138"/>
      <c r="T657" s="135">
        <v>441.54</v>
      </c>
      <c r="U657" s="185"/>
      <c r="V657" s="185">
        <v>8.7489242197762363E-5</v>
      </c>
      <c r="W657" s="185">
        <v>2.8183829312644531E-3</v>
      </c>
      <c r="X657" s="185">
        <f>IF(W657=0,V657,W657)</f>
        <v>2.8183829312644531E-3</v>
      </c>
      <c r="Y657" s="204">
        <v>6.03</v>
      </c>
      <c r="Z657" s="135">
        <v>6.11</v>
      </c>
      <c r="AA657" s="135"/>
      <c r="AB657" s="135">
        <v>4.04</v>
      </c>
      <c r="AC657" s="135">
        <v>0.74480000000000002</v>
      </c>
      <c r="AD657" s="135">
        <v>4.3</v>
      </c>
      <c r="AE657" s="135">
        <v>4.9800000000000004</v>
      </c>
      <c r="AF657" s="135">
        <f t="shared" si="219"/>
        <v>4.3</v>
      </c>
      <c r="AG657" s="136">
        <v>5.16</v>
      </c>
      <c r="AH657" s="185">
        <v>5.7700000000000003E-15</v>
      </c>
      <c r="AI657" s="185"/>
      <c r="AJ657" s="136">
        <f t="shared" si="221"/>
        <v>-12.62739051315692</v>
      </c>
      <c r="AK657" s="136"/>
      <c r="AL657" s="136">
        <f t="shared" si="220"/>
        <v>-12.62739051315692</v>
      </c>
      <c r="AM657" s="136">
        <v>-23.04355</v>
      </c>
      <c r="AN657" s="186">
        <v>-12.7</v>
      </c>
      <c r="AO657" s="481">
        <v>6.34</v>
      </c>
      <c r="AP657" s="481">
        <v>-5.53</v>
      </c>
      <c r="AQ657" s="186" t="s">
        <v>6311</v>
      </c>
      <c r="AR657" s="186" t="s">
        <v>6311</v>
      </c>
      <c r="AS657" s="183"/>
      <c r="AT657" s="137" t="s">
        <v>266</v>
      </c>
      <c r="AU657" s="135">
        <v>6</v>
      </c>
      <c r="AV657" s="135">
        <v>120</v>
      </c>
      <c r="AW657" s="135">
        <v>114</v>
      </c>
      <c r="AX657" s="135">
        <v>28</v>
      </c>
      <c r="AY657" s="135" t="s">
        <v>8728</v>
      </c>
      <c r="AZ657" s="135" t="s">
        <v>1563</v>
      </c>
      <c r="BA657" s="135">
        <v>32</v>
      </c>
      <c r="BB657" s="138" t="s">
        <v>2485</v>
      </c>
      <c r="BC657" s="138" t="s">
        <v>8726</v>
      </c>
      <c r="BD657" s="138" t="s">
        <v>8374</v>
      </c>
      <c r="BE657" s="135" t="s">
        <v>2449</v>
      </c>
      <c r="BF657" s="135" t="s">
        <v>272</v>
      </c>
      <c r="BG657" s="135" t="s">
        <v>272</v>
      </c>
      <c r="BH657" s="135" t="s">
        <v>2486</v>
      </c>
      <c r="BI657" s="185">
        <v>6.3999999999999997E-6</v>
      </c>
      <c r="BJ657" s="185">
        <v>6.4000000000000001E-2</v>
      </c>
      <c r="BK657" s="135"/>
      <c r="BL657" s="185">
        <f t="shared" si="215"/>
        <v>1.6726651173842785E-4</v>
      </c>
      <c r="BM657" s="138" t="s">
        <v>2487</v>
      </c>
      <c r="BN657" s="135"/>
      <c r="BO657" s="135"/>
      <c r="BP657" s="135"/>
      <c r="BQ657" s="135"/>
      <c r="BR657" s="138" t="s">
        <v>2496</v>
      </c>
      <c r="BS657" s="135"/>
      <c r="BT657" s="135"/>
      <c r="BU657" s="135"/>
      <c r="BV657" s="135"/>
      <c r="BW657" s="135"/>
      <c r="BX657" s="135"/>
      <c r="BY657" s="135"/>
      <c r="BZ657" s="135"/>
      <c r="CA657" s="135"/>
      <c r="CB657" s="135"/>
      <c r="CC657" s="135"/>
      <c r="CD657" s="135"/>
      <c r="CE657" s="135"/>
      <c r="CF657" s="135"/>
      <c r="CG657" s="135"/>
      <c r="CH657" s="135"/>
      <c r="CI657" s="185"/>
      <c r="CJ657" s="187"/>
      <c r="CK657" s="136">
        <f t="shared" si="218"/>
        <v>2.6135392459129352E-3</v>
      </c>
      <c r="CL657" s="188"/>
      <c r="CM657" s="188"/>
      <c r="CN657" s="188"/>
      <c r="CO657" s="138" t="s">
        <v>2488</v>
      </c>
      <c r="CP657" s="138" t="s">
        <v>2489</v>
      </c>
      <c r="CQ657" s="191" t="s">
        <v>272</v>
      </c>
      <c r="CR657" s="191"/>
      <c r="CS657" s="135" t="s">
        <v>539</v>
      </c>
      <c r="CT657" s="135"/>
      <c r="CU657" s="135"/>
      <c r="CV657" s="332">
        <f t="shared" si="216"/>
        <v>4.4037233301007075E-2</v>
      </c>
      <c r="CW657" s="329">
        <f t="shared" si="217"/>
        <v>0</v>
      </c>
      <c r="CX657" s="329"/>
      <c r="CY657" s="189" t="s">
        <v>5921</v>
      </c>
    </row>
    <row r="658" spans="1:103" ht="11.25" customHeight="1" x14ac:dyDescent="0.2">
      <c r="A658" s="72">
        <v>656</v>
      </c>
      <c r="B658" s="183">
        <v>610</v>
      </c>
      <c r="C658" s="133" t="s">
        <v>4031</v>
      </c>
      <c r="D658" s="133" t="s">
        <v>6898</v>
      </c>
      <c r="E658" s="134"/>
      <c r="F658" s="134" t="s">
        <v>4032</v>
      </c>
      <c r="G658" s="184">
        <v>79538322</v>
      </c>
      <c r="H658" s="138" t="s">
        <v>4033</v>
      </c>
      <c r="I658" s="138" t="s">
        <v>7961</v>
      </c>
      <c r="J658" s="138" t="s">
        <v>4034</v>
      </c>
      <c r="K658" s="138" t="s">
        <v>1363</v>
      </c>
      <c r="L658" s="138" t="s">
        <v>617</v>
      </c>
      <c r="M658" s="138" t="s">
        <v>1086</v>
      </c>
      <c r="N658" s="138" t="s">
        <v>6376</v>
      </c>
      <c r="O658" s="138" t="s">
        <v>918</v>
      </c>
      <c r="P658" s="138" t="s">
        <v>6184</v>
      </c>
      <c r="Q658" s="138" t="s">
        <v>6179</v>
      </c>
      <c r="R658" s="138" t="s">
        <v>6185</v>
      </c>
      <c r="S658" s="138" t="s">
        <v>6176</v>
      </c>
      <c r="T658" s="135">
        <v>418.73</v>
      </c>
      <c r="U658" s="185">
        <v>4.7763475270460679E-5</v>
      </c>
      <c r="V658" s="185">
        <v>1.5723736059035654E-5</v>
      </c>
      <c r="W658" s="185">
        <v>9.9999999999999991E-5</v>
      </c>
      <c r="X658" s="185">
        <v>4.7763475270460679E-5</v>
      </c>
      <c r="Y658" s="204">
        <v>7</v>
      </c>
      <c r="Z658" s="135">
        <v>7.19</v>
      </c>
      <c r="AA658" s="135">
        <v>6.5</v>
      </c>
      <c r="AB658" s="135">
        <v>5.92</v>
      </c>
      <c r="AC658" s="135">
        <v>0.75429999999999997</v>
      </c>
      <c r="AD658" s="135">
        <v>5.88</v>
      </c>
      <c r="AE658" s="135">
        <v>5.78</v>
      </c>
      <c r="AF658" s="135">
        <f t="shared" si="219"/>
        <v>6.5</v>
      </c>
      <c r="AG658" s="136">
        <v>5.66</v>
      </c>
      <c r="AH658" s="185">
        <v>4.6299999999999998E-4</v>
      </c>
      <c r="AI658" s="185">
        <v>1.65E-3</v>
      </c>
      <c r="AJ658" s="136">
        <f t="shared" si="221"/>
        <v>-1.7229853352946987</v>
      </c>
      <c r="AK658" s="136">
        <f>LOG10(AI658*1000/(0.08206*298.15))</f>
        <v>-1.1710823820987455</v>
      </c>
      <c r="AL658" s="136">
        <f t="shared" si="220"/>
        <v>-1.1710823820987455</v>
      </c>
      <c r="AM658" s="136">
        <v>-5.0427700000000009</v>
      </c>
      <c r="AN658" s="186">
        <v>-2.78</v>
      </c>
      <c r="AO658" s="481"/>
      <c r="AP658" s="481"/>
      <c r="AQ658" s="186" t="s">
        <v>6311</v>
      </c>
      <c r="AR658" s="186" t="s">
        <v>6312</v>
      </c>
      <c r="AS658" s="183" t="s">
        <v>6</v>
      </c>
      <c r="AT658" s="137" t="s">
        <v>266</v>
      </c>
      <c r="AU658" s="135">
        <v>8</v>
      </c>
      <c r="AV658" s="135">
        <v>144</v>
      </c>
      <c r="AW658" s="135">
        <v>120</v>
      </c>
      <c r="AX658" s="135">
        <v>26</v>
      </c>
      <c r="AY658" s="135" t="s">
        <v>267</v>
      </c>
      <c r="AZ658" s="135" t="s">
        <v>2253</v>
      </c>
      <c r="BA658" s="135">
        <v>2</v>
      </c>
      <c r="BB658" s="138" t="s">
        <v>2254</v>
      </c>
      <c r="BC658" s="138" t="s">
        <v>270</v>
      </c>
      <c r="BD658" s="138" t="s">
        <v>8374</v>
      </c>
      <c r="BE658" s="135" t="s">
        <v>1712</v>
      </c>
      <c r="BF658" s="135" t="s">
        <v>272</v>
      </c>
      <c r="BG658" s="135" t="s">
        <v>272</v>
      </c>
      <c r="BH658" s="135" t="s">
        <v>2255</v>
      </c>
      <c r="BI658" s="185">
        <v>9.9999999999999995E-7</v>
      </c>
      <c r="BJ658" s="185">
        <v>0.08</v>
      </c>
      <c r="BK658" s="135"/>
      <c r="BL658" s="185">
        <f t="shared" si="215"/>
        <v>1.7925075764899869E-5</v>
      </c>
      <c r="BM658" s="135" t="s">
        <v>891</v>
      </c>
      <c r="BN658" s="204"/>
      <c r="BO658" s="204"/>
      <c r="BP658" s="204"/>
      <c r="BQ658" s="204"/>
      <c r="BR658" s="204"/>
      <c r="BS658" s="135"/>
      <c r="BT658" s="204"/>
      <c r="BU658" s="135"/>
      <c r="BV658" s="204"/>
      <c r="BW658" s="204"/>
      <c r="BX658" s="204"/>
      <c r="BY658" s="204"/>
      <c r="BZ658" s="204"/>
      <c r="CA658" s="204"/>
      <c r="CB658" s="204"/>
      <c r="CC658" s="135"/>
      <c r="CD658" s="135"/>
      <c r="CE658" s="135"/>
      <c r="CF658" s="135"/>
      <c r="CG658" s="204"/>
      <c r="CH658" s="135"/>
      <c r="CI658" s="185"/>
      <c r="CJ658" s="187"/>
      <c r="CK658" s="136">
        <f t="shared" si="218"/>
        <v>2.2406344706124836E-4</v>
      </c>
      <c r="CL658" s="188"/>
      <c r="CM658" s="188"/>
      <c r="CN658" s="188"/>
      <c r="CO658" s="138" t="s">
        <v>892</v>
      </c>
      <c r="CP658" s="138" t="s">
        <v>893</v>
      </c>
      <c r="CQ658" s="183">
        <v>-5.6907831982773489</v>
      </c>
      <c r="CR658" s="191">
        <f>10^(CJ658-CQ658)</f>
        <v>490662.87393179449</v>
      </c>
      <c r="CS658" s="135" t="s">
        <v>539</v>
      </c>
      <c r="CT658" s="135"/>
      <c r="CU658" s="135"/>
      <c r="CV658" s="332">
        <f t="shared" si="216"/>
        <v>5.9704344088075845E-4</v>
      </c>
      <c r="CW658" s="329">
        <f t="shared" si="217"/>
        <v>0</v>
      </c>
      <c r="CX658" s="329" t="s">
        <v>539</v>
      </c>
      <c r="CY658" s="189" t="s">
        <v>5921</v>
      </c>
    </row>
    <row r="659" spans="1:103" ht="11.25" customHeight="1" x14ac:dyDescent="0.2">
      <c r="A659" s="72">
        <v>657</v>
      </c>
      <c r="B659" s="191">
        <v>1703</v>
      </c>
      <c r="C659" s="128" t="s">
        <v>6899</v>
      </c>
      <c r="D659" s="128"/>
      <c r="E659" s="129"/>
      <c r="F659" s="129" t="s">
        <v>3893</v>
      </c>
      <c r="G659" s="192">
        <v>104098488</v>
      </c>
      <c r="H659" s="139" t="s">
        <v>3894</v>
      </c>
      <c r="I659" s="139" t="s">
        <v>3894</v>
      </c>
      <c r="J659" s="139" t="s">
        <v>4962</v>
      </c>
      <c r="K659" s="139" t="s">
        <v>471</v>
      </c>
      <c r="L659" s="139"/>
      <c r="M659" s="139"/>
      <c r="N659" s="138"/>
      <c r="O659" s="139"/>
      <c r="P659" s="138"/>
      <c r="Q659" s="138"/>
      <c r="R659" s="138"/>
      <c r="S659" s="138"/>
      <c r="T659" s="130">
        <v>275.3</v>
      </c>
      <c r="U659" s="187">
        <v>8.1002542680711951</v>
      </c>
      <c r="V659" s="185">
        <v>0.48129313476207769</v>
      </c>
      <c r="W659" s="185">
        <v>6.3095734448019254</v>
      </c>
      <c r="X659" s="187">
        <v>8.1002542680711951</v>
      </c>
      <c r="Y659" s="194">
        <v>2.95</v>
      </c>
      <c r="Z659" s="130">
        <v>2.11</v>
      </c>
      <c r="AA659" s="130">
        <v>2.4700000000000002</v>
      </c>
      <c r="AB659" s="130">
        <v>0.79</v>
      </c>
      <c r="AC659" s="130">
        <v>0.84009999999999996</v>
      </c>
      <c r="AD659" s="130">
        <v>0.81</v>
      </c>
      <c r="AE659" s="130">
        <v>0.97</v>
      </c>
      <c r="AF659" s="130">
        <f t="shared" si="219"/>
        <v>2.4700000000000002</v>
      </c>
      <c r="AG659" s="131">
        <v>5.46</v>
      </c>
      <c r="AH659" s="187">
        <v>7.8100000000000002E-17</v>
      </c>
      <c r="AI659" s="187"/>
      <c r="AJ659" s="136">
        <f t="shared" si="221"/>
        <v>-14.495915292435351</v>
      </c>
      <c r="AK659" s="136"/>
      <c r="AL659" s="136">
        <f t="shared" si="220"/>
        <v>-14.495915292435351</v>
      </c>
      <c r="AM659" s="136">
        <v>-17.94426</v>
      </c>
      <c r="AN659" s="193">
        <v>-15</v>
      </c>
      <c r="AO659" s="481">
        <v>10.72</v>
      </c>
      <c r="AP659" s="481">
        <v>3.33</v>
      </c>
      <c r="AQ659" s="193" t="s">
        <v>6311</v>
      </c>
      <c r="AR659" s="193" t="s">
        <v>6311</v>
      </c>
      <c r="AS659" s="191"/>
      <c r="AT659" s="132" t="s">
        <v>266</v>
      </c>
      <c r="AU659" s="130">
        <v>6</v>
      </c>
      <c r="AV659" s="130">
        <v>120</v>
      </c>
      <c r="AW659" s="130">
        <v>114</v>
      </c>
      <c r="AX659" s="130">
        <v>28</v>
      </c>
      <c r="AY659" s="130" t="s">
        <v>8728</v>
      </c>
      <c r="AZ659" s="130" t="s">
        <v>1563</v>
      </c>
      <c r="BA659" s="130">
        <v>32</v>
      </c>
      <c r="BB659" s="139" t="s">
        <v>2485</v>
      </c>
      <c r="BC659" s="139" t="s">
        <v>8726</v>
      </c>
      <c r="BD659" s="139" t="s">
        <v>8374</v>
      </c>
      <c r="BE659" s="130" t="s">
        <v>2449</v>
      </c>
      <c r="BF659" s="130" t="s">
        <v>272</v>
      </c>
      <c r="BG659" s="130" t="s">
        <v>272</v>
      </c>
      <c r="BH659" s="130" t="s">
        <v>2486</v>
      </c>
      <c r="BI659" s="187">
        <v>6.3999999999999997E-6</v>
      </c>
      <c r="BJ659" s="187">
        <v>6.4000000000000001E-2</v>
      </c>
      <c r="BK659" s="130"/>
      <c r="BL659" s="187">
        <f t="shared" si="215"/>
        <v>0.65434833246769675</v>
      </c>
      <c r="BM659" s="139" t="s">
        <v>2487</v>
      </c>
      <c r="BN659" s="130"/>
      <c r="BO659" s="130"/>
      <c r="BP659" s="130"/>
      <c r="BQ659" s="130"/>
      <c r="BR659" s="139" t="s">
        <v>2496</v>
      </c>
      <c r="BS659" s="130"/>
      <c r="BT659" s="130"/>
      <c r="BU659" s="195"/>
      <c r="BV659" s="130"/>
      <c r="BW659" s="130"/>
      <c r="BX659" s="130"/>
      <c r="BY659" s="130"/>
      <c r="BZ659" s="130"/>
      <c r="CA659" s="130"/>
      <c r="CB659" s="130"/>
      <c r="CC659" s="130"/>
      <c r="CD659" s="130"/>
      <c r="CE659" s="130"/>
      <c r="CF659" s="130"/>
      <c r="CG659" s="130"/>
      <c r="CH659" s="130"/>
      <c r="CI659" s="187"/>
      <c r="CJ659" s="187"/>
      <c r="CK659" s="131">
        <f t="shared" si="218"/>
        <v>10.224192694807762</v>
      </c>
      <c r="CL659" s="188"/>
      <c r="CM659" s="188"/>
      <c r="CN659" s="188"/>
      <c r="CO659" s="139" t="s">
        <v>2488</v>
      </c>
      <c r="CP659" s="139" t="s">
        <v>2489</v>
      </c>
      <c r="CQ659" s="191" t="s">
        <v>272</v>
      </c>
      <c r="CR659" s="191"/>
      <c r="CS659" s="135" t="s">
        <v>539</v>
      </c>
      <c r="CT659" s="135"/>
      <c r="CU659" s="135"/>
      <c r="CV659" s="332">
        <f t="shared" si="216"/>
        <v>126.56647293861242</v>
      </c>
      <c r="CW659" s="329">
        <f t="shared" si="217"/>
        <v>1</v>
      </c>
      <c r="CX659" s="329"/>
      <c r="CY659" s="189" t="s">
        <v>5921</v>
      </c>
    </row>
    <row r="660" spans="1:103" ht="11.25" customHeight="1" x14ac:dyDescent="0.2">
      <c r="A660" s="72">
        <v>658</v>
      </c>
      <c r="B660" s="183">
        <v>1886</v>
      </c>
      <c r="C660" s="133" t="s">
        <v>4031</v>
      </c>
      <c r="D660" s="133" t="s">
        <v>6898</v>
      </c>
      <c r="E660" s="134"/>
      <c r="F660" s="134" t="s">
        <v>4032</v>
      </c>
      <c r="G660" s="184">
        <v>79538322</v>
      </c>
      <c r="H660" s="138" t="s">
        <v>4033</v>
      </c>
      <c r="I660" s="138" t="s">
        <v>7961</v>
      </c>
      <c r="J660" s="138" t="s">
        <v>4034</v>
      </c>
      <c r="K660" s="138" t="s">
        <v>1363</v>
      </c>
      <c r="L660" s="138" t="s">
        <v>617</v>
      </c>
      <c r="M660" s="138" t="s">
        <v>1086</v>
      </c>
      <c r="N660" s="138" t="s">
        <v>6376</v>
      </c>
      <c r="O660" s="138" t="s">
        <v>918</v>
      </c>
      <c r="P660" s="138"/>
      <c r="Q660" s="138"/>
      <c r="R660" s="138"/>
      <c r="S660" s="138"/>
      <c r="T660" s="135">
        <v>418.73</v>
      </c>
      <c r="U660" s="185">
        <v>4.7763475270460679E-5</v>
      </c>
      <c r="V660" s="185">
        <v>1.5723736059035654E-5</v>
      </c>
      <c r="W660" s="185">
        <v>9.9999999999999991E-5</v>
      </c>
      <c r="X660" s="185">
        <v>4.7763475270460679E-5</v>
      </c>
      <c r="Y660" s="204">
        <v>7</v>
      </c>
      <c r="Z660" s="135">
        <v>7.19</v>
      </c>
      <c r="AA660" s="135">
        <v>6.5</v>
      </c>
      <c r="AB660" s="135">
        <v>5.92</v>
      </c>
      <c r="AC660" s="135">
        <v>0.75429999999999997</v>
      </c>
      <c r="AD660" s="135">
        <v>5.88</v>
      </c>
      <c r="AE660" s="135">
        <v>5.78</v>
      </c>
      <c r="AF660" s="135">
        <f t="shared" si="219"/>
        <v>6.5</v>
      </c>
      <c r="AG660" s="136">
        <v>5.66</v>
      </c>
      <c r="AH660" s="185">
        <v>4.6299999999999998E-4</v>
      </c>
      <c r="AI660" s="185">
        <v>1.65E-3</v>
      </c>
      <c r="AJ660" s="136">
        <f t="shared" si="221"/>
        <v>-1.7229853352946987</v>
      </c>
      <c r="AK660" s="136">
        <f>LOG10(AI660*1000/(0.08206*298.15))</f>
        <v>-1.1710823820987455</v>
      </c>
      <c r="AL660" s="136">
        <f t="shared" si="220"/>
        <v>-1.1710823820987455</v>
      </c>
      <c r="AM660" s="136">
        <v>-5.0427700000000009</v>
      </c>
      <c r="AN660" s="186">
        <v>-2.78</v>
      </c>
      <c r="AO660" s="481"/>
      <c r="AP660" s="481"/>
      <c r="AQ660" s="186" t="s">
        <v>6311</v>
      </c>
      <c r="AR660" s="186" t="s">
        <v>6312</v>
      </c>
      <c r="AS660" s="183"/>
      <c r="AT660" s="137" t="s">
        <v>266</v>
      </c>
      <c r="AU660" s="135">
        <v>6</v>
      </c>
      <c r="AV660" s="135">
        <v>120</v>
      </c>
      <c r="AW660" s="135">
        <v>114</v>
      </c>
      <c r="AX660" s="135">
        <v>28</v>
      </c>
      <c r="AY660" s="135" t="s">
        <v>8728</v>
      </c>
      <c r="AZ660" s="135" t="s">
        <v>1563</v>
      </c>
      <c r="BA660" s="135">
        <v>32</v>
      </c>
      <c r="BB660" s="138" t="s">
        <v>2485</v>
      </c>
      <c r="BC660" s="138" t="s">
        <v>8726</v>
      </c>
      <c r="BD660" s="138" t="s">
        <v>8374</v>
      </c>
      <c r="BE660" s="135" t="s">
        <v>2449</v>
      </c>
      <c r="BF660" s="135" t="s">
        <v>272</v>
      </c>
      <c r="BG660" s="135" t="s">
        <v>272</v>
      </c>
      <c r="BH660" s="135" t="s">
        <v>2486</v>
      </c>
      <c r="BI660" s="185">
        <v>6.3999999999999997E-6</v>
      </c>
      <c r="BJ660" s="185">
        <v>6.4000000000000001E-2</v>
      </c>
      <c r="BK660" s="135"/>
      <c r="BL660" s="185">
        <f t="shared" si="215"/>
        <v>1.7925075764899869E-5</v>
      </c>
      <c r="BM660" s="138" t="s">
        <v>2487</v>
      </c>
      <c r="BN660" s="135"/>
      <c r="BO660" s="135"/>
      <c r="BP660" s="135"/>
      <c r="BQ660" s="135"/>
      <c r="BR660" s="138" t="s">
        <v>2496</v>
      </c>
      <c r="BS660" s="135"/>
      <c r="BT660" s="135"/>
      <c r="BU660" s="135"/>
      <c r="BV660" s="135"/>
      <c r="BW660" s="135"/>
      <c r="BX660" s="135"/>
      <c r="BY660" s="135"/>
      <c r="BZ660" s="135"/>
      <c r="CA660" s="135"/>
      <c r="CB660" s="135"/>
      <c r="CC660" s="135"/>
      <c r="CD660" s="135"/>
      <c r="CE660" s="135"/>
      <c r="CF660" s="135"/>
      <c r="CG660" s="135"/>
      <c r="CH660" s="135"/>
      <c r="CI660" s="185"/>
      <c r="CJ660" s="187"/>
      <c r="CK660" s="136">
        <f t="shared" si="218"/>
        <v>2.8007930882656043E-4</v>
      </c>
      <c r="CL660" s="188"/>
      <c r="CM660" s="188"/>
      <c r="CN660" s="188"/>
      <c r="CO660" s="138" t="s">
        <v>2488</v>
      </c>
      <c r="CP660" s="138" t="s">
        <v>2489</v>
      </c>
      <c r="CQ660" s="183">
        <v>-5.6907831982773489</v>
      </c>
      <c r="CR660" s="191">
        <f>10^(CJ660-CQ660)</f>
        <v>490662.87393179449</v>
      </c>
      <c r="CS660" s="135" t="s">
        <v>539</v>
      </c>
      <c r="CT660" s="135"/>
      <c r="CU660" s="135"/>
      <c r="CV660" s="332">
        <f t="shared" si="216"/>
        <v>7.4630430110094804E-4</v>
      </c>
      <c r="CW660" s="329">
        <f t="shared" si="217"/>
        <v>0</v>
      </c>
      <c r="CX660" s="329"/>
      <c r="CY660" s="189" t="s">
        <v>5921</v>
      </c>
    </row>
    <row r="661" spans="1:103" ht="11.25" customHeight="1" x14ac:dyDescent="0.2">
      <c r="A661" s="72">
        <v>659</v>
      </c>
      <c r="B661" s="191">
        <v>477</v>
      </c>
      <c r="C661" s="128" t="s">
        <v>6900</v>
      </c>
      <c r="D661" s="128"/>
      <c r="E661" s="129"/>
      <c r="F661" s="129" t="s">
        <v>4025</v>
      </c>
      <c r="G661" s="192">
        <v>112410238</v>
      </c>
      <c r="H661" s="139" t="s">
        <v>4026</v>
      </c>
      <c r="I661" s="139" t="s">
        <v>4026</v>
      </c>
      <c r="J661" s="139" t="s">
        <v>4027</v>
      </c>
      <c r="K661" s="139" t="s">
        <v>483</v>
      </c>
      <c r="L661" s="139" t="s">
        <v>617</v>
      </c>
      <c r="M661" s="139" t="s">
        <v>3940</v>
      </c>
      <c r="N661" s="138"/>
      <c r="O661" s="139" t="s">
        <v>918</v>
      </c>
      <c r="P661" s="138"/>
      <c r="Q661" s="138"/>
      <c r="R661" s="138"/>
      <c r="S661" s="138"/>
      <c r="T661" s="130">
        <v>352.47</v>
      </c>
      <c r="U661" s="187">
        <v>2.354810338468522E-3</v>
      </c>
      <c r="V661" s="187">
        <v>3.9861548500581606E-3</v>
      </c>
      <c r="W661" s="187">
        <v>3.9810717055349656E-3</v>
      </c>
      <c r="X661" s="187">
        <v>2.354810338468522E-3</v>
      </c>
      <c r="Y661" s="194">
        <v>7</v>
      </c>
      <c r="Z661" s="130">
        <v>4.62</v>
      </c>
      <c r="AA661" s="130">
        <v>4.25</v>
      </c>
      <c r="AB661" s="130">
        <v>3.76</v>
      </c>
      <c r="AC661" s="130">
        <v>0.89090000000000003</v>
      </c>
      <c r="AD661" s="130">
        <v>3.88</v>
      </c>
      <c r="AE661" s="130">
        <v>4.24</v>
      </c>
      <c r="AF661" s="130">
        <f t="shared" si="219"/>
        <v>4.25</v>
      </c>
      <c r="AG661" s="131">
        <v>4.99</v>
      </c>
      <c r="AH661" s="187">
        <v>8.6199999999999997E-11</v>
      </c>
      <c r="AI661" s="187">
        <v>1.26E-8</v>
      </c>
      <c r="AJ661" s="136">
        <f t="shared" si="221"/>
        <v>-8.4530590604879396</v>
      </c>
      <c r="AK661" s="136">
        <f>LOG10(AI661*1000/(0.08206*298.15))</f>
        <v>-6.288195781195089</v>
      </c>
      <c r="AL661" s="136">
        <f t="shared" si="220"/>
        <v>-6.288195781195089</v>
      </c>
      <c r="AM661" s="136">
        <v>-18.325980000000001</v>
      </c>
      <c r="AN661" s="193">
        <v>-9.6199999999999992</v>
      </c>
      <c r="AO661" s="481">
        <v>10.89</v>
      </c>
      <c r="AP661" s="481">
        <v>-2.2000000000000002</v>
      </c>
      <c r="AQ661" s="193" t="s">
        <v>6311</v>
      </c>
      <c r="AR661" s="193" t="s">
        <v>6311</v>
      </c>
      <c r="AS661" s="191" t="s">
        <v>6</v>
      </c>
      <c r="AT661" s="132" t="s">
        <v>266</v>
      </c>
      <c r="AU661" s="130">
        <v>8</v>
      </c>
      <c r="AV661" s="130">
        <v>144</v>
      </c>
      <c r="AW661" s="130">
        <v>120</v>
      </c>
      <c r="AX661" s="130">
        <v>26</v>
      </c>
      <c r="AY661" s="130" t="s">
        <v>267</v>
      </c>
      <c r="AZ661" s="130" t="s">
        <v>2253</v>
      </c>
      <c r="BA661" s="130">
        <v>2</v>
      </c>
      <c r="BB661" s="139" t="s">
        <v>2254</v>
      </c>
      <c r="BC661" s="139" t="s">
        <v>270</v>
      </c>
      <c r="BD661" s="139" t="s">
        <v>8374</v>
      </c>
      <c r="BE661" s="130" t="s">
        <v>1712</v>
      </c>
      <c r="BF661" s="130" t="s">
        <v>272</v>
      </c>
      <c r="BG661" s="130" t="s">
        <v>272</v>
      </c>
      <c r="BH661" s="130" t="s">
        <v>2255</v>
      </c>
      <c r="BI661" s="187">
        <v>9.9999999999999995E-7</v>
      </c>
      <c r="BJ661" s="187">
        <v>0.08</v>
      </c>
      <c r="BK661" s="130"/>
      <c r="BL661" s="187">
        <f t="shared" si="215"/>
        <v>3.6439969097278716E-3</v>
      </c>
      <c r="BM661" s="130" t="s">
        <v>891</v>
      </c>
      <c r="BN661" s="194"/>
      <c r="BO661" s="194"/>
      <c r="BP661" s="194"/>
      <c r="BQ661" s="194"/>
      <c r="BR661" s="194"/>
      <c r="BS661" s="130"/>
      <c r="BT661" s="194"/>
      <c r="BU661" s="195"/>
      <c r="BV661" s="194"/>
      <c r="BW661" s="194"/>
      <c r="BX661" s="194"/>
      <c r="BY661" s="194"/>
      <c r="BZ661" s="194"/>
      <c r="CA661" s="194"/>
      <c r="CB661" s="194"/>
      <c r="CC661" s="130"/>
      <c r="CD661" s="130"/>
      <c r="CE661" s="130"/>
      <c r="CF661" s="130"/>
      <c r="CG661" s="194"/>
      <c r="CH661" s="130"/>
      <c r="CI661" s="187"/>
      <c r="CJ661" s="187"/>
      <c r="CK661" s="131">
        <f t="shared" si="218"/>
        <v>4.5549961371598398E-2</v>
      </c>
      <c r="CL661" s="188"/>
      <c r="CM661" s="188"/>
      <c r="CN661" s="188"/>
      <c r="CO661" s="139" t="s">
        <v>892</v>
      </c>
      <c r="CP661" s="139" t="s">
        <v>893</v>
      </c>
      <c r="CQ661" s="191" t="s">
        <v>272</v>
      </c>
      <c r="CR661" s="191"/>
      <c r="CS661" s="135" t="s">
        <v>539</v>
      </c>
      <c r="CT661" s="135"/>
      <c r="CU661" s="135"/>
      <c r="CV661" s="332">
        <f t="shared" si="216"/>
        <v>2.9435129230856526E-2</v>
      </c>
      <c r="CW661" s="329">
        <f t="shared" si="217"/>
        <v>0</v>
      </c>
      <c r="CX661" s="329" t="s">
        <v>539</v>
      </c>
      <c r="CY661" s="189" t="s">
        <v>5921</v>
      </c>
    </row>
    <row r="662" spans="1:103" ht="11.25" customHeight="1" x14ac:dyDescent="0.2">
      <c r="A662" s="72">
        <v>660</v>
      </c>
      <c r="B662" s="183">
        <v>1883</v>
      </c>
      <c r="C662" s="133" t="s">
        <v>6900</v>
      </c>
      <c r="D662" s="133"/>
      <c r="E662" s="134"/>
      <c r="F662" s="134" t="s">
        <v>4025</v>
      </c>
      <c r="G662" s="184">
        <v>112410238</v>
      </c>
      <c r="H662" s="138" t="s">
        <v>4026</v>
      </c>
      <c r="I662" s="138" t="s">
        <v>4026</v>
      </c>
      <c r="J662" s="138" t="s">
        <v>4027</v>
      </c>
      <c r="K662" s="138" t="s">
        <v>483</v>
      </c>
      <c r="L662" s="138" t="s">
        <v>617</v>
      </c>
      <c r="M662" s="138" t="s">
        <v>3940</v>
      </c>
      <c r="N662" s="138"/>
      <c r="O662" s="138" t="s">
        <v>918</v>
      </c>
      <c r="P662" s="138"/>
      <c r="Q662" s="138"/>
      <c r="R662" s="138"/>
      <c r="S662" s="138"/>
      <c r="T662" s="135">
        <v>352.47</v>
      </c>
      <c r="U662" s="185">
        <v>2.354810338468522E-3</v>
      </c>
      <c r="V662" s="185">
        <v>3.9861548500581606E-3</v>
      </c>
      <c r="W662" s="185">
        <v>3.9810717055349656E-3</v>
      </c>
      <c r="X662" s="185">
        <v>2.354810338468522E-3</v>
      </c>
      <c r="Y662" s="204">
        <v>7</v>
      </c>
      <c r="Z662" s="135">
        <v>4.62</v>
      </c>
      <c r="AA662" s="135">
        <v>4.25</v>
      </c>
      <c r="AB662" s="135">
        <v>3.76</v>
      </c>
      <c r="AC662" s="135">
        <v>0.89090000000000003</v>
      </c>
      <c r="AD662" s="135">
        <v>3.88</v>
      </c>
      <c r="AE662" s="135">
        <v>4.24</v>
      </c>
      <c r="AF662" s="135">
        <f t="shared" si="219"/>
        <v>4.25</v>
      </c>
      <c r="AG662" s="136">
        <v>4.99</v>
      </c>
      <c r="AH662" s="185">
        <v>8.6199999999999997E-11</v>
      </c>
      <c r="AI662" s="185">
        <v>1.26E-8</v>
      </c>
      <c r="AJ662" s="136">
        <f t="shared" si="221"/>
        <v>-8.4530590604879396</v>
      </c>
      <c r="AK662" s="136">
        <f>LOG10(AI662*1000/(0.08206*298.15))</f>
        <v>-6.288195781195089</v>
      </c>
      <c r="AL662" s="136">
        <f t="shared" si="220"/>
        <v>-6.288195781195089</v>
      </c>
      <c r="AM662" s="136">
        <v>-18.325980000000001</v>
      </c>
      <c r="AN662" s="186">
        <v>-9.6199999999999992</v>
      </c>
      <c r="AO662" s="481">
        <v>10.89</v>
      </c>
      <c r="AP662" s="481">
        <v>-2.2000000000000002</v>
      </c>
      <c r="AQ662" s="186" t="s">
        <v>6311</v>
      </c>
      <c r="AR662" s="186" t="s">
        <v>6311</v>
      </c>
      <c r="AS662" s="183"/>
      <c r="AT662" s="137" t="s">
        <v>266</v>
      </c>
      <c r="AU662" s="135">
        <v>6</v>
      </c>
      <c r="AV662" s="135">
        <v>120</v>
      </c>
      <c r="AW662" s="135">
        <v>114</v>
      </c>
      <c r="AX662" s="135">
        <v>28</v>
      </c>
      <c r="AY662" s="135" t="s">
        <v>8728</v>
      </c>
      <c r="AZ662" s="135" t="s">
        <v>1563</v>
      </c>
      <c r="BA662" s="135">
        <v>32</v>
      </c>
      <c r="BB662" s="138" t="s">
        <v>2485</v>
      </c>
      <c r="BC662" s="138" t="s">
        <v>8726</v>
      </c>
      <c r="BD662" s="138" t="s">
        <v>8374</v>
      </c>
      <c r="BE662" s="135" t="s">
        <v>2449</v>
      </c>
      <c r="BF662" s="135" t="s">
        <v>272</v>
      </c>
      <c r="BG662" s="135" t="s">
        <v>272</v>
      </c>
      <c r="BH662" s="135" t="s">
        <v>2486</v>
      </c>
      <c r="BI662" s="185">
        <v>6.3999999999999997E-6</v>
      </c>
      <c r="BJ662" s="185">
        <v>6.4000000000000001E-2</v>
      </c>
      <c r="BK662" s="135"/>
      <c r="BL662" s="185">
        <f t="shared" si="215"/>
        <v>3.6439969097278716E-3</v>
      </c>
      <c r="BM662" s="138" t="s">
        <v>2487</v>
      </c>
      <c r="BN662" s="135"/>
      <c r="BO662" s="135"/>
      <c r="BP662" s="135"/>
      <c r="BQ662" s="135"/>
      <c r="BR662" s="138" t="s">
        <v>2496</v>
      </c>
      <c r="BS662" s="135"/>
      <c r="BT662" s="135"/>
      <c r="BU662" s="135"/>
      <c r="BV662" s="135"/>
      <c r="BW662" s="135"/>
      <c r="BX662" s="135"/>
      <c r="BY662" s="135"/>
      <c r="BZ662" s="135"/>
      <c r="CA662" s="135"/>
      <c r="CB662" s="135"/>
      <c r="CC662" s="135"/>
      <c r="CD662" s="135"/>
      <c r="CE662" s="135"/>
      <c r="CF662" s="135"/>
      <c r="CG662" s="135"/>
      <c r="CH662" s="135"/>
      <c r="CI662" s="185"/>
      <c r="CJ662" s="187"/>
      <c r="CK662" s="136">
        <f t="shared" si="218"/>
        <v>5.6937451714497996E-2</v>
      </c>
      <c r="CL662" s="188"/>
      <c r="CM662" s="188"/>
      <c r="CN662" s="188"/>
      <c r="CO662" s="138" t="s">
        <v>2488</v>
      </c>
      <c r="CP662" s="138" t="s">
        <v>2489</v>
      </c>
      <c r="CQ662" s="191" t="s">
        <v>272</v>
      </c>
      <c r="CR662" s="191"/>
      <c r="CS662" s="135" t="s">
        <v>539</v>
      </c>
      <c r="CT662" s="135"/>
      <c r="CU662" s="135"/>
      <c r="CV662" s="332">
        <f t="shared" si="216"/>
        <v>3.6793911538570659E-2</v>
      </c>
      <c r="CW662" s="329">
        <f t="shared" si="217"/>
        <v>0</v>
      </c>
      <c r="CX662" s="329"/>
      <c r="CY662" s="189" t="s">
        <v>5921</v>
      </c>
    </row>
    <row r="663" spans="1:103" ht="11.25" customHeight="1" x14ac:dyDescent="0.2">
      <c r="A663" s="72">
        <v>661</v>
      </c>
      <c r="B663" s="183">
        <v>1418</v>
      </c>
      <c r="C663" s="133" t="s">
        <v>4361</v>
      </c>
      <c r="D663" s="133" t="s">
        <v>6901</v>
      </c>
      <c r="E663" s="134"/>
      <c r="F663" s="134" t="s">
        <v>4362</v>
      </c>
      <c r="G663" s="184">
        <v>732263</v>
      </c>
      <c r="H663" s="138" t="s">
        <v>4363</v>
      </c>
      <c r="I663" s="138" t="s">
        <v>4363</v>
      </c>
      <c r="J663" s="138" t="s">
        <v>4364</v>
      </c>
      <c r="K663" s="138" t="s">
        <v>349</v>
      </c>
      <c r="L663" s="138" t="s">
        <v>6149</v>
      </c>
      <c r="M663" s="138" t="s">
        <v>2342</v>
      </c>
      <c r="N663" s="138" t="s">
        <v>2342</v>
      </c>
      <c r="O663" s="138"/>
      <c r="P663" s="138"/>
      <c r="Q663" s="138"/>
      <c r="R663" s="138"/>
      <c r="S663" s="138"/>
      <c r="T663" s="135">
        <v>262.43</v>
      </c>
      <c r="U663" s="185">
        <v>0.13336889837289945</v>
      </c>
      <c r="V663" s="185">
        <v>1.9509964561978432E-3</v>
      </c>
      <c r="W663" s="185">
        <v>0.18197008586099805</v>
      </c>
      <c r="X663" s="185">
        <v>0.13336889837289945</v>
      </c>
      <c r="Y663" s="204">
        <v>7</v>
      </c>
      <c r="Z663" s="135">
        <v>6.39</v>
      </c>
      <c r="AA663" s="135">
        <v>6.06</v>
      </c>
      <c r="AB663" s="135">
        <v>5.86</v>
      </c>
      <c r="AC663" s="135">
        <v>0.85199999999999998</v>
      </c>
      <c r="AD663" s="135">
        <v>6.05</v>
      </c>
      <c r="AE663" s="135">
        <v>6.55</v>
      </c>
      <c r="AF663" s="135">
        <f t="shared" si="219"/>
        <v>6.06</v>
      </c>
      <c r="AG663" s="136">
        <v>6.4</v>
      </c>
      <c r="AH663" s="185">
        <v>9.6500000000000008E-6</v>
      </c>
      <c r="AI663" s="185"/>
      <c r="AJ663" s="136">
        <f t="shared" si="221"/>
        <v>-3.4040390129688594</v>
      </c>
      <c r="AK663" s="136"/>
      <c r="AL663" s="136">
        <f t="shared" si="220"/>
        <v>-3.4040390129688594</v>
      </c>
      <c r="AM663" s="136">
        <v>-6.49573</v>
      </c>
      <c r="AN663" s="186">
        <v>-2.4700000000000002</v>
      </c>
      <c r="AO663" s="481">
        <v>12.61</v>
      </c>
      <c r="AP663" s="481"/>
      <c r="AQ663" s="135" t="s">
        <v>6311</v>
      </c>
      <c r="AR663" s="135" t="s">
        <v>6311</v>
      </c>
      <c r="AS663" s="190"/>
      <c r="AT663" s="137" t="s">
        <v>266</v>
      </c>
      <c r="AU663" s="135">
        <v>6</v>
      </c>
      <c r="AV663" s="135">
        <v>120</v>
      </c>
      <c r="AW663" s="135">
        <v>114</v>
      </c>
      <c r="AX663" s="135">
        <v>28</v>
      </c>
      <c r="AY663" s="135" t="s">
        <v>8728</v>
      </c>
      <c r="AZ663" s="135" t="s">
        <v>1563</v>
      </c>
      <c r="BA663" s="135">
        <v>32</v>
      </c>
      <c r="BB663" s="138" t="s">
        <v>2485</v>
      </c>
      <c r="BC663" s="138" t="s">
        <v>8726</v>
      </c>
      <c r="BD663" s="138" t="s">
        <v>8374</v>
      </c>
      <c r="BE663" s="135" t="s">
        <v>2449</v>
      </c>
      <c r="BF663" s="135" t="s">
        <v>272</v>
      </c>
      <c r="BG663" s="135" t="s">
        <v>272</v>
      </c>
      <c r="BH663" s="135" t="s">
        <v>2486</v>
      </c>
      <c r="BI663" s="185">
        <v>6.3999999999999997E-6</v>
      </c>
      <c r="BJ663" s="185">
        <v>6.4000000000000001E-2</v>
      </c>
      <c r="BK663" s="135"/>
      <c r="BL663" s="185">
        <f t="shared" si="215"/>
        <v>9.3743464541551304E-5</v>
      </c>
      <c r="BM663" s="138" t="s">
        <v>2487</v>
      </c>
      <c r="BN663" s="135"/>
      <c r="BO663" s="135"/>
      <c r="BP663" s="135"/>
      <c r="BQ663" s="135"/>
      <c r="BR663" s="138" t="s">
        <v>2496</v>
      </c>
      <c r="BS663" s="135"/>
      <c r="BT663" s="135"/>
      <c r="BU663" s="135"/>
      <c r="BV663" s="135"/>
      <c r="BW663" s="135"/>
      <c r="BX663" s="135"/>
      <c r="BY663" s="135"/>
      <c r="BZ663" s="135"/>
      <c r="CA663" s="135"/>
      <c r="CB663" s="135"/>
      <c r="CC663" s="135"/>
      <c r="CD663" s="135"/>
      <c r="CE663" s="135"/>
      <c r="CF663" s="135"/>
      <c r="CG663" s="135"/>
      <c r="CH663" s="135"/>
      <c r="CI663" s="185"/>
      <c r="CJ663" s="187"/>
      <c r="CK663" s="136">
        <f t="shared" si="218"/>
        <v>1.4647416334617391E-3</v>
      </c>
      <c r="CL663" s="188"/>
      <c r="CM663" s="188"/>
      <c r="CN663" s="188"/>
      <c r="CO663" s="138" t="s">
        <v>2488</v>
      </c>
      <c r="CP663" s="138" t="s">
        <v>2489</v>
      </c>
      <c r="CQ663" s="183">
        <v>-3.6301383646603909</v>
      </c>
      <c r="CR663" s="191">
        <f t="shared" ref="CR663:CR670" si="222">10^(CJ663-CQ663)</f>
        <v>4267.1544715447226</v>
      </c>
      <c r="CS663" s="135" t="s">
        <v>539</v>
      </c>
      <c r="CT663" s="135"/>
      <c r="CU663" s="135"/>
      <c r="CV663" s="332">
        <f t="shared" si="216"/>
        <v>2.0838890370765539</v>
      </c>
      <c r="CW663" s="329">
        <f t="shared" si="217"/>
        <v>1</v>
      </c>
      <c r="CX663" s="329"/>
      <c r="CY663" s="189" t="s">
        <v>6351</v>
      </c>
    </row>
    <row r="664" spans="1:103" ht="11.25" customHeight="1" x14ac:dyDescent="0.2">
      <c r="A664" s="72">
        <v>662</v>
      </c>
      <c r="B664" s="183">
        <v>1843</v>
      </c>
      <c r="C664" s="133" t="s">
        <v>1428</v>
      </c>
      <c r="D664" s="133" t="s">
        <v>6774</v>
      </c>
      <c r="E664" s="134"/>
      <c r="F664" s="134" t="s">
        <v>1429</v>
      </c>
      <c r="G664" s="184">
        <v>129630199</v>
      </c>
      <c r="H664" s="138" t="s">
        <v>1430</v>
      </c>
      <c r="I664" s="138" t="s">
        <v>7903</v>
      </c>
      <c r="J664" s="138" t="s">
        <v>1431</v>
      </c>
      <c r="K664" s="138" t="s">
        <v>341</v>
      </c>
      <c r="L664" s="138" t="s">
        <v>6010</v>
      </c>
      <c r="M664" s="138" t="s">
        <v>2342</v>
      </c>
      <c r="N664" s="138" t="s">
        <v>2342</v>
      </c>
      <c r="O664" s="138"/>
      <c r="P664" s="138"/>
      <c r="Q664" s="138"/>
      <c r="R664" s="138"/>
      <c r="S664" s="138"/>
      <c r="T664" s="135">
        <v>413.18</v>
      </c>
      <c r="U664" s="185">
        <v>2.4202526743792052E-3</v>
      </c>
      <c r="V664" s="185">
        <v>6.4209303451280312E-3</v>
      </c>
      <c r="W664" s="185">
        <v>5.6234132519034832E-3</v>
      </c>
      <c r="X664" s="185">
        <v>2.4202526743792052E-3</v>
      </c>
      <c r="Y664" s="204">
        <v>7</v>
      </c>
      <c r="Z664" s="135">
        <v>4.87</v>
      </c>
      <c r="AA664" s="135">
        <v>3.49</v>
      </c>
      <c r="AB664" s="135">
        <v>3.89</v>
      </c>
      <c r="AC664" s="135">
        <v>0.6179</v>
      </c>
      <c r="AD664" s="135">
        <v>3.68</v>
      </c>
      <c r="AE664" s="135">
        <v>3.33</v>
      </c>
      <c r="AF664" s="135">
        <f t="shared" si="219"/>
        <v>3.49</v>
      </c>
      <c r="AG664" s="136">
        <v>4.82</v>
      </c>
      <c r="AH664" s="185">
        <v>1.2E-9</v>
      </c>
      <c r="AI664" s="185"/>
      <c r="AJ664" s="136">
        <f t="shared" si="221"/>
        <v>-7.3093850802650273</v>
      </c>
      <c r="AK664" s="136"/>
      <c r="AL664" s="136">
        <f t="shared" si="220"/>
        <v>-7.3093850802650273</v>
      </c>
      <c r="AM664" s="136">
        <v>-13.619489999999999</v>
      </c>
      <c r="AN664" s="186">
        <v>-2.14</v>
      </c>
      <c r="AO664" s="481"/>
      <c r="AP664" s="481">
        <v>-2.79</v>
      </c>
      <c r="AQ664" s="186" t="s">
        <v>6311</v>
      </c>
      <c r="AR664" s="186" t="s">
        <v>6314</v>
      </c>
      <c r="AS664" s="183"/>
      <c r="AT664" s="137" t="s">
        <v>266</v>
      </c>
      <c r="AU664" s="135">
        <v>6</v>
      </c>
      <c r="AV664" s="135">
        <v>120</v>
      </c>
      <c r="AW664" s="135">
        <v>114</v>
      </c>
      <c r="AX664" s="135">
        <v>28</v>
      </c>
      <c r="AY664" s="135" t="s">
        <v>8728</v>
      </c>
      <c r="AZ664" s="135" t="s">
        <v>1563</v>
      </c>
      <c r="BA664" s="135">
        <v>32</v>
      </c>
      <c r="BB664" s="138" t="s">
        <v>2485</v>
      </c>
      <c r="BC664" s="138" t="s">
        <v>8726</v>
      </c>
      <c r="BD664" s="138" t="s">
        <v>8374</v>
      </c>
      <c r="BE664" s="135" t="s">
        <v>2449</v>
      </c>
      <c r="BF664" s="135" t="s">
        <v>272</v>
      </c>
      <c r="BG664" s="135" t="s">
        <v>272</v>
      </c>
      <c r="BH664" s="135" t="s">
        <v>2486</v>
      </c>
      <c r="BI664" s="185">
        <v>6.3999999999999997E-6</v>
      </c>
      <c r="BJ664" s="185">
        <v>6.4000000000000001E-2</v>
      </c>
      <c r="BK664" s="135"/>
      <c r="BL664" s="185">
        <f t="shared" si="215"/>
        <v>2.1729663449987923E-3</v>
      </c>
      <c r="BM664" s="138" t="s">
        <v>2487</v>
      </c>
      <c r="BN664" s="135"/>
      <c r="BO664" s="135"/>
      <c r="BP664" s="135"/>
      <c r="BQ664" s="135"/>
      <c r="BR664" s="138" t="s">
        <v>2496</v>
      </c>
      <c r="BS664" s="135"/>
      <c r="BT664" s="135"/>
      <c r="BU664" s="135"/>
      <c r="BV664" s="135"/>
      <c r="BW664" s="135"/>
      <c r="BX664" s="135"/>
      <c r="BY664" s="135"/>
      <c r="BZ664" s="135"/>
      <c r="CA664" s="135"/>
      <c r="CB664" s="135"/>
      <c r="CC664" s="135"/>
      <c r="CD664" s="135"/>
      <c r="CE664" s="135"/>
      <c r="CF664" s="135"/>
      <c r="CG664" s="135"/>
      <c r="CH664" s="135"/>
      <c r="CI664" s="185"/>
      <c r="CJ664" s="187"/>
      <c r="CK664" s="136">
        <f t="shared" si="218"/>
        <v>3.3952599140606131E-2</v>
      </c>
      <c r="CL664" s="188"/>
      <c r="CM664" s="188">
        <v>-2.4120193086528023</v>
      </c>
      <c r="CN664" s="188">
        <f>BJ664/(10^CM664)</f>
        <v>16.527200000000004</v>
      </c>
      <c r="CO664" s="138" t="s">
        <v>2488</v>
      </c>
      <c r="CP664" s="138" t="s">
        <v>2489</v>
      </c>
      <c r="CQ664" s="183">
        <v>-2.2548223300418213</v>
      </c>
      <c r="CR664" s="191">
        <f t="shared" si="222"/>
        <v>179.81351471943822</v>
      </c>
      <c r="CS664" s="135" t="s">
        <v>539</v>
      </c>
      <c r="CT664" s="135"/>
      <c r="CU664" s="135"/>
      <c r="CV664" s="332">
        <f t="shared" si="216"/>
        <v>3.7816448037175078E-2</v>
      </c>
      <c r="CW664" s="329">
        <f t="shared" si="217"/>
        <v>0</v>
      </c>
      <c r="CX664" s="329"/>
      <c r="CY664" s="189" t="s">
        <v>5921</v>
      </c>
    </row>
    <row r="665" spans="1:103" ht="11.25" customHeight="1" x14ac:dyDescent="0.2">
      <c r="A665" s="72">
        <v>663</v>
      </c>
      <c r="B665" s="183">
        <v>1636</v>
      </c>
      <c r="C665" s="133" t="s">
        <v>4837</v>
      </c>
      <c r="D665" s="133" t="s">
        <v>6902</v>
      </c>
      <c r="E665" s="134"/>
      <c r="F665" s="134" t="s">
        <v>2311</v>
      </c>
      <c r="G665" s="184">
        <v>577117</v>
      </c>
      <c r="H665" s="138" t="s">
        <v>2312</v>
      </c>
      <c r="I665" s="138" t="s">
        <v>2312</v>
      </c>
      <c r="J665" s="138" t="s">
        <v>2313</v>
      </c>
      <c r="K665" s="138" t="s">
        <v>357</v>
      </c>
      <c r="L665" s="138" t="s">
        <v>6156</v>
      </c>
      <c r="M665" s="138" t="s">
        <v>2342</v>
      </c>
      <c r="N665" s="138" t="s">
        <v>2342</v>
      </c>
      <c r="O665" s="138"/>
      <c r="P665" s="138"/>
      <c r="Q665" s="138"/>
      <c r="R665" s="138"/>
      <c r="S665" s="138"/>
      <c r="T665" s="135">
        <v>422.58</v>
      </c>
      <c r="U665" s="185"/>
      <c r="V665" s="185">
        <v>2.9035922192247622E-6</v>
      </c>
      <c r="W665" s="185">
        <v>2.6915348039269147</v>
      </c>
      <c r="X665" s="185">
        <f>IF(W665=0,V665,W665)</f>
        <v>2.6915348039269147</v>
      </c>
      <c r="Y665" s="204">
        <v>2.57</v>
      </c>
      <c r="Z665" s="135">
        <v>6.1</v>
      </c>
      <c r="AA665" s="135"/>
      <c r="AB665" s="135">
        <v>1.96</v>
      </c>
      <c r="AC665" s="135">
        <v>0.34920000000000001</v>
      </c>
      <c r="AD665" s="135">
        <v>4.51</v>
      </c>
      <c r="AE665" s="135">
        <v>5.96</v>
      </c>
      <c r="AF665" s="135">
        <f t="shared" si="219"/>
        <v>4.51</v>
      </c>
      <c r="AG665" s="136">
        <v>4.51</v>
      </c>
      <c r="AH665" s="185">
        <v>4.9999999999999997E-12</v>
      </c>
      <c r="AI665" s="185"/>
      <c r="AJ665" s="136">
        <f t="shared" si="221"/>
        <v>-9.6895963219766337</v>
      </c>
      <c r="AK665" s="136"/>
      <c r="AL665" s="136">
        <f t="shared" si="220"/>
        <v>-9.6895963219766337</v>
      </c>
      <c r="AM665" s="136">
        <v>-16.545809999999999</v>
      </c>
      <c r="AN665" s="186"/>
      <c r="AO665" s="481">
        <v>0.08</v>
      </c>
      <c r="AP665" s="481"/>
      <c r="AQ665" s="186" t="s">
        <v>6311</v>
      </c>
      <c r="AR665" s="186" t="s">
        <v>6312</v>
      </c>
      <c r="AS665" s="183"/>
      <c r="AT665" s="137" t="s">
        <v>266</v>
      </c>
      <c r="AU665" s="135">
        <v>6</v>
      </c>
      <c r="AV665" s="135">
        <v>120</v>
      </c>
      <c r="AW665" s="135">
        <v>114</v>
      </c>
      <c r="AX665" s="135">
        <v>28</v>
      </c>
      <c r="AY665" s="135" t="s">
        <v>8728</v>
      </c>
      <c r="AZ665" s="135" t="s">
        <v>1563</v>
      </c>
      <c r="BA665" s="135">
        <v>32</v>
      </c>
      <c r="BB665" s="138" t="s">
        <v>2485</v>
      </c>
      <c r="BC665" s="138" t="s">
        <v>8726</v>
      </c>
      <c r="BD665" s="138" t="s">
        <v>8374</v>
      </c>
      <c r="BE665" s="135" t="s">
        <v>2449</v>
      </c>
      <c r="BF665" s="135" t="s">
        <v>272</v>
      </c>
      <c r="BG665" s="135" t="s">
        <v>272</v>
      </c>
      <c r="BH665" s="135" t="s">
        <v>2486</v>
      </c>
      <c r="BI665" s="185">
        <v>6.3999999999999997E-6</v>
      </c>
      <c r="BJ665" s="185">
        <v>6.4000000000000001E-2</v>
      </c>
      <c r="BK665" s="135"/>
      <c r="BL665" s="185">
        <f t="shared" si="215"/>
        <v>1.7076151530692331E-4</v>
      </c>
      <c r="BM665" s="138" t="s">
        <v>2487</v>
      </c>
      <c r="BN665" s="135"/>
      <c r="BO665" s="135"/>
      <c r="BP665" s="135"/>
      <c r="BQ665" s="135"/>
      <c r="BR665" s="138" t="s">
        <v>2496</v>
      </c>
      <c r="BS665" s="135"/>
      <c r="BT665" s="135"/>
      <c r="BU665" s="135"/>
      <c r="BV665" s="135"/>
      <c r="BW665" s="135"/>
      <c r="BX665" s="135"/>
      <c r="BY665" s="135"/>
      <c r="BZ665" s="135"/>
      <c r="CA665" s="135"/>
      <c r="CB665" s="135"/>
      <c r="CC665" s="135"/>
      <c r="CD665" s="135"/>
      <c r="CE665" s="135"/>
      <c r="CF665" s="135"/>
      <c r="CG665" s="135"/>
      <c r="CH665" s="135"/>
      <c r="CI665" s="185"/>
      <c r="CJ665" s="187"/>
      <c r="CK665" s="136">
        <f t="shared" si="218"/>
        <v>2.6681486766706769E-3</v>
      </c>
      <c r="CL665" s="188"/>
      <c r="CM665" s="188"/>
      <c r="CN665" s="188"/>
      <c r="CO665" s="138" t="s">
        <v>2488</v>
      </c>
      <c r="CP665" s="138" t="s">
        <v>2489</v>
      </c>
      <c r="CQ665" s="183">
        <v>-1.1787509074337557</v>
      </c>
      <c r="CR665" s="191">
        <f t="shared" si="222"/>
        <v>15.092142857142862</v>
      </c>
      <c r="CS665" s="135" t="s">
        <v>539</v>
      </c>
      <c r="CT665" s="135"/>
      <c r="CU665" s="135"/>
      <c r="CV665" s="332">
        <f t="shared" si="216"/>
        <v>42.055231311358042</v>
      </c>
      <c r="CW665" s="329">
        <f t="shared" si="217"/>
        <v>1</v>
      </c>
      <c r="CX665" s="329"/>
      <c r="CY665" s="189" t="s">
        <v>6351</v>
      </c>
    </row>
    <row r="666" spans="1:103" ht="11.25" customHeight="1" x14ac:dyDescent="0.2">
      <c r="A666" s="72">
        <v>664</v>
      </c>
      <c r="B666" s="183">
        <v>338</v>
      </c>
      <c r="C666" s="133" t="s">
        <v>3174</v>
      </c>
      <c r="D666" s="133" t="s">
        <v>6903</v>
      </c>
      <c r="E666" s="134"/>
      <c r="F666" s="134" t="s">
        <v>3175</v>
      </c>
      <c r="G666" s="184">
        <v>62924703</v>
      </c>
      <c r="H666" s="138" t="s">
        <v>3176</v>
      </c>
      <c r="I666" s="138" t="s">
        <v>7962</v>
      </c>
      <c r="J666" s="138" t="s">
        <v>3177</v>
      </c>
      <c r="K666" s="138" t="s">
        <v>1011</v>
      </c>
      <c r="L666" s="138" t="s">
        <v>6040</v>
      </c>
      <c r="M666" s="138" t="s">
        <v>6082</v>
      </c>
      <c r="N666" s="138" t="s">
        <v>6082</v>
      </c>
      <c r="O666" s="138" t="s">
        <v>6083</v>
      </c>
      <c r="P666" s="138"/>
      <c r="Q666" s="138"/>
      <c r="R666" s="138"/>
      <c r="S666" s="138"/>
      <c r="T666" s="135">
        <v>421.73</v>
      </c>
      <c r="U666" s="185">
        <v>1.659829748891471E-4</v>
      </c>
      <c r="V666" s="185">
        <v>1.1789533587840561E-4</v>
      </c>
      <c r="W666" s="185">
        <v>5.6234132519034805E-5</v>
      </c>
      <c r="X666" s="185">
        <v>1.659829748891471E-4</v>
      </c>
      <c r="Y666" s="204">
        <v>7</v>
      </c>
      <c r="Z666" s="135">
        <v>6.09</v>
      </c>
      <c r="AA666" s="135">
        <v>5.45</v>
      </c>
      <c r="AB666" s="135">
        <v>5.26</v>
      </c>
      <c r="AC666" s="135">
        <v>0.81359999999999999</v>
      </c>
      <c r="AD666" s="135">
        <v>5.42</v>
      </c>
      <c r="AE666" s="135">
        <v>5.91</v>
      </c>
      <c r="AF666" s="135">
        <f t="shared" si="219"/>
        <v>5.45</v>
      </c>
      <c r="AG666" s="136">
        <v>4.76</v>
      </c>
      <c r="AH666" s="185">
        <v>6.3199999999999996E-6</v>
      </c>
      <c r="AI666" s="185">
        <v>1.9E-6</v>
      </c>
      <c r="AJ666" s="136">
        <f t="shared" si="221"/>
        <v>-3.5878492480302668</v>
      </c>
      <c r="AK666" s="136">
        <f>LOG10(AI666*1000/(0.08206*298.15))</f>
        <v>-4.1098127253598227</v>
      </c>
      <c r="AL666" s="136">
        <f t="shared" si="220"/>
        <v>-4.1098127253598227</v>
      </c>
      <c r="AM666" s="136">
        <v>-11.695880000000001</v>
      </c>
      <c r="AN666" s="186">
        <v>-2.85</v>
      </c>
      <c r="AO666" s="481"/>
      <c r="AP666" s="481">
        <v>-2.63</v>
      </c>
      <c r="AQ666" s="186" t="s">
        <v>6311</v>
      </c>
      <c r="AR666" s="186" t="s">
        <v>6311</v>
      </c>
      <c r="AS666" s="183" t="s">
        <v>6</v>
      </c>
      <c r="AT666" s="137" t="s">
        <v>266</v>
      </c>
      <c r="AU666" s="135">
        <v>8</v>
      </c>
      <c r="AV666" s="135">
        <v>144</v>
      </c>
      <c r="AW666" s="135">
        <v>120</v>
      </c>
      <c r="AX666" s="135">
        <v>26</v>
      </c>
      <c r="AY666" s="135" t="s">
        <v>267</v>
      </c>
      <c r="AZ666" s="135" t="s">
        <v>2253</v>
      </c>
      <c r="BA666" s="135">
        <v>3</v>
      </c>
      <c r="BB666" s="138" t="s">
        <v>2254</v>
      </c>
      <c r="BC666" s="138" t="s">
        <v>270</v>
      </c>
      <c r="BD666" s="138" t="s">
        <v>8374</v>
      </c>
      <c r="BE666" s="135" t="s">
        <v>1712</v>
      </c>
      <c r="BF666" s="135" t="s">
        <v>272</v>
      </c>
      <c r="BG666" s="135" t="s">
        <v>272</v>
      </c>
      <c r="BH666" s="135" t="s">
        <v>2255</v>
      </c>
      <c r="BI666" s="185">
        <v>9.9999999999999995E-7</v>
      </c>
      <c r="BJ666" s="185">
        <v>0.08</v>
      </c>
      <c r="BK666" s="135"/>
      <c r="BL666" s="185">
        <f t="shared" si="215"/>
        <v>1.7432954634407751E-4</v>
      </c>
      <c r="BM666" s="135" t="s">
        <v>891</v>
      </c>
      <c r="BN666" s="204"/>
      <c r="BO666" s="204"/>
      <c r="BP666" s="204"/>
      <c r="BQ666" s="204"/>
      <c r="BR666" s="204"/>
      <c r="BS666" s="205"/>
      <c r="BT666" s="204"/>
      <c r="BU666" s="205"/>
      <c r="BV666" s="204"/>
      <c r="BW666" s="204"/>
      <c r="BX666" s="204"/>
      <c r="BY666" s="204"/>
      <c r="BZ666" s="204"/>
      <c r="CA666" s="204"/>
      <c r="CB666" s="204"/>
      <c r="CC666" s="205"/>
      <c r="CD666" s="135"/>
      <c r="CE666" s="135"/>
      <c r="CF666" s="135"/>
      <c r="CG666" s="204"/>
      <c r="CH666" s="135"/>
      <c r="CI666" s="185"/>
      <c r="CJ666" s="187"/>
      <c r="CK666" s="136">
        <f t="shared" si="218"/>
        <v>2.1791193293009691E-3</v>
      </c>
      <c r="CL666" s="188"/>
      <c r="CM666" s="188"/>
      <c r="CN666" s="188"/>
      <c r="CO666" s="138" t="s">
        <v>892</v>
      </c>
      <c r="CP666" s="138" t="s">
        <v>893</v>
      </c>
      <c r="CQ666" s="183">
        <v>-4.2934371263255056</v>
      </c>
      <c r="CR666" s="191">
        <f t="shared" si="222"/>
        <v>19653.374341809107</v>
      </c>
      <c r="CS666" s="135" t="s">
        <v>539</v>
      </c>
      <c r="CT666" s="135"/>
      <c r="CU666" s="135"/>
      <c r="CV666" s="332">
        <f t="shared" si="216"/>
        <v>2.0747871861143386E-3</v>
      </c>
      <c r="CW666" s="329">
        <f t="shared" si="217"/>
        <v>0</v>
      </c>
      <c r="CX666" s="329" t="s">
        <v>539</v>
      </c>
      <c r="CY666" s="189" t="s">
        <v>5921</v>
      </c>
    </row>
    <row r="667" spans="1:103" ht="11.25" customHeight="1" x14ac:dyDescent="0.2">
      <c r="A667" s="72">
        <v>665</v>
      </c>
      <c r="B667" s="183">
        <v>1141</v>
      </c>
      <c r="C667" s="133" t="s">
        <v>3174</v>
      </c>
      <c r="D667" s="133" t="s">
        <v>6903</v>
      </c>
      <c r="E667" s="134"/>
      <c r="F667" s="134" t="s">
        <v>3175</v>
      </c>
      <c r="G667" s="184">
        <v>62924703</v>
      </c>
      <c r="H667" s="138" t="s">
        <v>3176</v>
      </c>
      <c r="I667" s="138" t="s">
        <v>7962</v>
      </c>
      <c r="J667" s="138" t="s">
        <v>3177</v>
      </c>
      <c r="K667" s="138" t="s">
        <v>1011</v>
      </c>
      <c r="L667" s="138" t="s">
        <v>6040</v>
      </c>
      <c r="M667" s="138" t="s">
        <v>6082</v>
      </c>
      <c r="N667" s="138" t="s">
        <v>6082</v>
      </c>
      <c r="O667" s="138"/>
      <c r="P667" s="138"/>
      <c r="Q667" s="138"/>
      <c r="R667" s="138"/>
      <c r="S667" s="138"/>
      <c r="T667" s="135">
        <v>421.73</v>
      </c>
      <c r="U667" s="185">
        <v>1.659829748891471E-4</v>
      </c>
      <c r="V667" s="185">
        <v>1.1789533587840561E-4</v>
      </c>
      <c r="W667" s="185">
        <v>5.6234132519034805E-5</v>
      </c>
      <c r="X667" s="185">
        <v>1.659829748891471E-4</v>
      </c>
      <c r="Y667" s="204">
        <v>7</v>
      </c>
      <c r="Z667" s="135">
        <v>6.09</v>
      </c>
      <c r="AA667" s="135">
        <v>5.45</v>
      </c>
      <c r="AB667" s="135">
        <v>5.26</v>
      </c>
      <c r="AC667" s="135">
        <v>0.81359999999999999</v>
      </c>
      <c r="AD667" s="135">
        <v>5.42</v>
      </c>
      <c r="AE667" s="135">
        <v>5.91</v>
      </c>
      <c r="AF667" s="135">
        <f t="shared" si="219"/>
        <v>5.45</v>
      </c>
      <c r="AG667" s="136">
        <v>4.76</v>
      </c>
      <c r="AH667" s="185">
        <v>6.3199999999999996E-6</v>
      </c>
      <c r="AI667" s="185">
        <v>1.9E-6</v>
      </c>
      <c r="AJ667" s="136">
        <f t="shared" si="221"/>
        <v>-3.5878492480302668</v>
      </c>
      <c r="AK667" s="136">
        <f>LOG10(AI667*1000/(0.08206*298.15))</f>
        <v>-4.1098127253598227</v>
      </c>
      <c r="AL667" s="136">
        <f t="shared" si="220"/>
        <v>-4.1098127253598227</v>
      </c>
      <c r="AM667" s="136">
        <v>-11.695880000000001</v>
      </c>
      <c r="AN667" s="186">
        <v>-2.85</v>
      </c>
      <c r="AO667" s="481"/>
      <c r="AP667" s="481">
        <v>-2.63</v>
      </c>
      <c r="AQ667" s="135" t="s">
        <v>6311</v>
      </c>
      <c r="AR667" s="135" t="s">
        <v>6311</v>
      </c>
      <c r="AS667" s="190"/>
      <c r="AT667" s="137" t="s">
        <v>266</v>
      </c>
      <c r="AU667" s="135">
        <v>6</v>
      </c>
      <c r="AV667" s="135">
        <v>120</v>
      </c>
      <c r="AW667" s="135">
        <v>114</v>
      </c>
      <c r="AX667" s="135">
        <v>28</v>
      </c>
      <c r="AY667" s="135" t="s">
        <v>8728</v>
      </c>
      <c r="AZ667" s="135" t="s">
        <v>1563</v>
      </c>
      <c r="BA667" s="135">
        <v>32</v>
      </c>
      <c r="BB667" s="138" t="s">
        <v>2485</v>
      </c>
      <c r="BC667" s="138" t="s">
        <v>8726</v>
      </c>
      <c r="BD667" s="138" t="s">
        <v>8374</v>
      </c>
      <c r="BE667" s="135" t="s">
        <v>2449</v>
      </c>
      <c r="BF667" s="135" t="s">
        <v>272</v>
      </c>
      <c r="BG667" s="135" t="s">
        <v>272</v>
      </c>
      <c r="BH667" s="135" t="s">
        <v>2486</v>
      </c>
      <c r="BI667" s="185">
        <v>6.3999999999999997E-6</v>
      </c>
      <c r="BJ667" s="185">
        <v>6.4000000000000001E-2</v>
      </c>
      <c r="BK667" s="135"/>
      <c r="BL667" s="185">
        <f t="shared" si="215"/>
        <v>1.7432954634407751E-4</v>
      </c>
      <c r="BM667" s="138" t="s">
        <v>2487</v>
      </c>
      <c r="BN667" s="135"/>
      <c r="BO667" s="135"/>
      <c r="BP667" s="135"/>
      <c r="BQ667" s="135"/>
      <c r="BR667" s="138" t="s">
        <v>2496</v>
      </c>
      <c r="BS667" s="135"/>
      <c r="BT667" s="135"/>
      <c r="BU667" s="135">
        <v>6.4000000000000003E-3</v>
      </c>
      <c r="BV667" s="135"/>
      <c r="BW667" s="135"/>
      <c r="BX667" s="135"/>
      <c r="BY667" s="135"/>
      <c r="BZ667" s="135"/>
      <c r="CA667" s="135"/>
      <c r="CB667" s="135"/>
      <c r="CC667" s="135"/>
      <c r="CD667" s="135"/>
      <c r="CE667" s="135"/>
      <c r="CF667" s="135"/>
      <c r="CG667" s="135"/>
      <c r="CH667" s="135"/>
      <c r="CI667" s="185"/>
      <c r="CJ667" s="187"/>
      <c r="CK667" s="136">
        <f t="shared" si="218"/>
        <v>2.7238991616262112E-3</v>
      </c>
      <c r="CL667" s="188"/>
      <c r="CM667" s="188"/>
      <c r="CN667" s="188"/>
      <c r="CO667" s="138" t="s">
        <v>2488</v>
      </c>
      <c r="CP667" s="138" t="s">
        <v>2489</v>
      </c>
      <c r="CQ667" s="183">
        <v>-4.2934371263255056</v>
      </c>
      <c r="CR667" s="191">
        <f t="shared" si="222"/>
        <v>19653.374341809107</v>
      </c>
      <c r="CS667" s="135" t="s">
        <v>539</v>
      </c>
      <c r="CT667" s="135"/>
      <c r="CU667" s="135"/>
      <c r="CV667" s="332">
        <f t="shared" si="216"/>
        <v>2.5934839826429234E-3</v>
      </c>
      <c r="CW667" s="329">
        <f t="shared" si="217"/>
        <v>0</v>
      </c>
      <c r="CX667" s="329"/>
      <c r="CY667" s="189" t="s">
        <v>5921</v>
      </c>
    </row>
    <row r="668" spans="1:103" ht="11.25" customHeight="1" x14ac:dyDescent="0.2">
      <c r="A668" s="72">
        <v>666</v>
      </c>
      <c r="B668" s="183">
        <v>1266</v>
      </c>
      <c r="C668" s="133" t="s">
        <v>3477</v>
      </c>
      <c r="D668" s="133" t="s">
        <v>6904</v>
      </c>
      <c r="E668" s="134"/>
      <c r="F668" s="134" t="s">
        <v>656</v>
      </c>
      <c r="G668" s="184">
        <v>68268</v>
      </c>
      <c r="H668" s="138" t="s">
        <v>657</v>
      </c>
      <c r="I668" s="138" t="s">
        <v>657</v>
      </c>
      <c r="J668" s="138" t="s">
        <v>658</v>
      </c>
      <c r="K668" s="138" t="s">
        <v>659</v>
      </c>
      <c r="L668" s="138" t="s">
        <v>279</v>
      </c>
      <c r="M668" s="138" t="s">
        <v>660</v>
      </c>
      <c r="N668" s="138" t="s">
        <v>6383</v>
      </c>
      <c r="O668" s="138" t="s">
        <v>281</v>
      </c>
      <c r="P668" s="138"/>
      <c r="Q668" s="138"/>
      <c r="R668" s="138"/>
      <c r="S668" s="138"/>
      <c r="T668" s="135">
        <v>286.45</v>
      </c>
      <c r="U668" s="185"/>
      <c r="V668" s="185">
        <v>2.3435154477221155E-3</v>
      </c>
      <c r="W668" s="185">
        <v>1.3803842646028822E-4</v>
      </c>
      <c r="X668" s="185">
        <f>IF(W668=0,V668,W668)</f>
        <v>1.3803842646028822E-4</v>
      </c>
      <c r="Y668" s="204">
        <v>7</v>
      </c>
      <c r="Z668" s="135">
        <v>7.62</v>
      </c>
      <c r="AA668" s="135">
        <v>5.68</v>
      </c>
      <c r="AB668" s="135">
        <v>5.66</v>
      </c>
      <c r="AC668" s="135">
        <v>0.80779999999999996</v>
      </c>
      <c r="AD668" s="135">
        <v>6.01</v>
      </c>
      <c r="AE668" s="135">
        <v>6.84</v>
      </c>
      <c r="AF668" s="135">
        <f t="shared" si="219"/>
        <v>5.68</v>
      </c>
      <c r="AG668" s="136">
        <v>5.97</v>
      </c>
      <c r="AH668" s="185">
        <v>1.16E-4</v>
      </c>
      <c r="AI668" s="185"/>
      <c r="AJ668" s="136">
        <f t="shared" si="221"/>
        <v>-2.3241083370857334</v>
      </c>
      <c r="AK668" s="136"/>
      <c r="AL668" s="136">
        <f t="shared" si="220"/>
        <v>-2.3241083370857334</v>
      </c>
      <c r="AM668" s="136">
        <v>-8.7534200000000002</v>
      </c>
      <c r="AN668" s="186">
        <v>-6.03</v>
      </c>
      <c r="AO668" s="481">
        <v>14.09</v>
      </c>
      <c r="AP668" s="481"/>
      <c r="AQ668" s="135" t="s">
        <v>6311</v>
      </c>
      <c r="AR668" s="135" t="s">
        <v>6311</v>
      </c>
      <c r="AS668" s="190"/>
      <c r="AT668" s="137" t="s">
        <v>266</v>
      </c>
      <c r="AU668" s="135">
        <v>6</v>
      </c>
      <c r="AV668" s="135">
        <v>120</v>
      </c>
      <c r="AW668" s="135">
        <v>114</v>
      </c>
      <c r="AX668" s="135">
        <v>28</v>
      </c>
      <c r="AY668" s="135" t="s">
        <v>8728</v>
      </c>
      <c r="AZ668" s="135" t="s">
        <v>1563</v>
      </c>
      <c r="BA668" s="135">
        <v>32</v>
      </c>
      <c r="BB668" s="138" t="s">
        <v>2485</v>
      </c>
      <c r="BC668" s="138" t="s">
        <v>8726</v>
      </c>
      <c r="BD668" s="138" t="s">
        <v>8374</v>
      </c>
      <c r="BE668" s="135" t="s">
        <v>2449</v>
      </c>
      <c r="BF668" s="135" t="s">
        <v>272</v>
      </c>
      <c r="BG668" s="135" t="s">
        <v>272</v>
      </c>
      <c r="BH668" s="135" t="s">
        <v>2486</v>
      </c>
      <c r="BI668" s="185">
        <v>6.3999999999999997E-6</v>
      </c>
      <c r="BJ668" s="185">
        <v>6.4000000000000001E-2</v>
      </c>
      <c r="BK668" s="135"/>
      <c r="BL668" s="185">
        <f t="shared" ref="BL668:BL683" si="223">10^((-0.8981*Z668)+1.7108)</f>
        <v>7.3667850825572683E-6</v>
      </c>
      <c r="BM668" s="138" t="s">
        <v>2487</v>
      </c>
      <c r="BN668" s="135"/>
      <c r="BO668" s="135"/>
      <c r="BP668" s="135"/>
      <c r="BQ668" s="135"/>
      <c r="BR668" s="138" t="s">
        <v>2496</v>
      </c>
      <c r="BS668" s="135"/>
      <c r="BT668" s="135"/>
      <c r="BU668" s="135">
        <v>6.69E-5</v>
      </c>
      <c r="BV668" s="135"/>
      <c r="BW668" s="135"/>
      <c r="BX668" s="135"/>
      <c r="BY668" s="135"/>
      <c r="BZ668" s="135"/>
      <c r="CA668" s="135"/>
      <c r="CB668" s="135"/>
      <c r="CC668" s="135"/>
      <c r="CD668" s="135"/>
      <c r="CE668" s="135"/>
      <c r="CF668" s="135"/>
      <c r="CG668" s="135"/>
      <c r="CH668" s="135"/>
      <c r="CI668" s="185"/>
      <c r="CJ668" s="187"/>
      <c r="CK668" s="136">
        <f t="shared" si="218"/>
        <v>1.1510601691495731E-4</v>
      </c>
      <c r="CL668" s="188"/>
      <c r="CM668" s="188"/>
      <c r="CN668" s="188"/>
      <c r="CO668" s="138" t="s">
        <v>2488</v>
      </c>
      <c r="CP668" s="138" t="s">
        <v>2489</v>
      </c>
      <c r="CQ668" s="183">
        <v>-1.2501403663679265</v>
      </c>
      <c r="CR668" s="191">
        <f t="shared" si="222"/>
        <v>17.788542526272092</v>
      </c>
      <c r="CS668" s="135" t="s">
        <v>539</v>
      </c>
      <c r="CT668" s="135"/>
      <c r="CU668" s="135"/>
      <c r="CV668" s="332">
        <f t="shared" si="216"/>
        <v>2.1568504134420034E-3</v>
      </c>
      <c r="CW668" s="329">
        <f t="shared" si="217"/>
        <v>0</v>
      </c>
      <c r="CX668" s="329"/>
      <c r="CY668" s="189" t="s">
        <v>6351</v>
      </c>
    </row>
    <row r="669" spans="1:103" ht="11.25" customHeight="1" x14ac:dyDescent="0.2">
      <c r="A669" s="72">
        <v>667</v>
      </c>
      <c r="B669" s="183">
        <v>1309</v>
      </c>
      <c r="C669" s="133" t="s">
        <v>1788</v>
      </c>
      <c r="D669" s="133" t="s">
        <v>6781</v>
      </c>
      <c r="E669" s="134"/>
      <c r="F669" s="134" t="s">
        <v>1789</v>
      </c>
      <c r="G669" s="184">
        <v>101202</v>
      </c>
      <c r="H669" s="138" t="s">
        <v>1790</v>
      </c>
      <c r="I669" s="138" t="s">
        <v>7908</v>
      </c>
      <c r="J669" s="138" t="s">
        <v>1791</v>
      </c>
      <c r="K669" s="138" t="s">
        <v>1292</v>
      </c>
      <c r="L669" s="138" t="s">
        <v>6064</v>
      </c>
      <c r="M669" s="138" t="s">
        <v>6065</v>
      </c>
      <c r="N669" s="138" t="s">
        <v>6082</v>
      </c>
      <c r="O669" s="138" t="s">
        <v>6086</v>
      </c>
      <c r="P669" s="138"/>
      <c r="Q669" s="138"/>
      <c r="R669" s="138"/>
      <c r="S669" s="138"/>
      <c r="T669" s="135">
        <v>315.58</v>
      </c>
      <c r="U669" s="185"/>
      <c r="V669" s="185">
        <v>2.0530451866404716E-3</v>
      </c>
      <c r="W669" s="185">
        <v>4.4668359215096327E-4</v>
      </c>
      <c r="X669" s="185">
        <f>IF(W669=0,V669,W669)</f>
        <v>4.4668359215096327E-4</v>
      </c>
      <c r="Y669" s="204">
        <v>7</v>
      </c>
      <c r="Z669" s="135">
        <v>4.9000000000000004</v>
      </c>
      <c r="AA669" s="135"/>
      <c r="AB669" s="135">
        <v>5.05</v>
      </c>
      <c r="AC669" s="135">
        <v>0.84040000000000004</v>
      </c>
      <c r="AD669" s="135">
        <v>5.23</v>
      </c>
      <c r="AE669" s="135">
        <v>5.75</v>
      </c>
      <c r="AF669" s="135">
        <f t="shared" si="219"/>
        <v>5.23</v>
      </c>
      <c r="AG669" s="136">
        <v>4.74</v>
      </c>
      <c r="AH669" s="185">
        <v>4.5200000000000003E-11</v>
      </c>
      <c r="AI669" s="185"/>
      <c r="AJ669" s="136">
        <f t="shared" si="221"/>
        <v>-8.73342789150127</v>
      </c>
      <c r="AK669" s="136"/>
      <c r="AL669" s="136">
        <f t="shared" si="220"/>
        <v>-8.73342789150127</v>
      </c>
      <c r="AM669" s="136">
        <v>-15.384709999999998</v>
      </c>
      <c r="AN669" s="186">
        <v>-9.3699999999999992</v>
      </c>
      <c r="AO669" s="481">
        <v>12.77</v>
      </c>
      <c r="AP669" s="481">
        <v>-0.34</v>
      </c>
      <c r="AQ669" s="135" t="s">
        <v>6311</v>
      </c>
      <c r="AR669" s="135" t="s">
        <v>6311</v>
      </c>
      <c r="AS669" s="190"/>
      <c r="AT669" s="137" t="s">
        <v>266</v>
      </c>
      <c r="AU669" s="135">
        <v>6</v>
      </c>
      <c r="AV669" s="135">
        <v>120</v>
      </c>
      <c r="AW669" s="135">
        <v>114</v>
      </c>
      <c r="AX669" s="135">
        <v>28</v>
      </c>
      <c r="AY669" s="135" t="s">
        <v>8728</v>
      </c>
      <c r="AZ669" s="135" t="s">
        <v>1563</v>
      </c>
      <c r="BA669" s="135">
        <v>32</v>
      </c>
      <c r="BB669" s="138" t="s">
        <v>2485</v>
      </c>
      <c r="BC669" s="138" t="s">
        <v>8726</v>
      </c>
      <c r="BD669" s="138" t="s">
        <v>8374</v>
      </c>
      <c r="BE669" s="135" t="s">
        <v>2449</v>
      </c>
      <c r="BF669" s="135" t="s">
        <v>272</v>
      </c>
      <c r="BG669" s="135" t="s">
        <v>272</v>
      </c>
      <c r="BH669" s="135" t="s">
        <v>2486</v>
      </c>
      <c r="BI669" s="185">
        <v>6.3999999999999997E-6</v>
      </c>
      <c r="BJ669" s="185">
        <v>6.4000000000000001E-2</v>
      </c>
      <c r="BK669" s="135"/>
      <c r="BL669" s="185">
        <f t="shared" si="223"/>
        <v>2.0422551504559023E-3</v>
      </c>
      <c r="BM669" s="138" t="s">
        <v>2487</v>
      </c>
      <c r="BN669" s="135"/>
      <c r="BO669" s="135"/>
      <c r="BP669" s="135"/>
      <c r="BQ669" s="135"/>
      <c r="BR669" s="138" t="s">
        <v>2496</v>
      </c>
      <c r="BS669" s="135"/>
      <c r="BT669" s="135"/>
      <c r="BU669" s="135">
        <v>6.4000000000000005E-4</v>
      </c>
      <c r="BV669" s="135"/>
      <c r="BW669" s="135"/>
      <c r="BX669" s="135"/>
      <c r="BY669" s="135"/>
      <c r="BZ669" s="135"/>
      <c r="CA669" s="135"/>
      <c r="CB669" s="135"/>
      <c r="CC669" s="135"/>
      <c r="CD669" s="135"/>
      <c r="CE669" s="135"/>
      <c r="CF669" s="135"/>
      <c r="CG669" s="135"/>
      <c r="CH669" s="135"/>
      <c r="CI669" s="185"/>
      <c r="CJ669" s="187"/>
      <c r="CK669" s="136">
        <f t="shared" si="218"/>
        <v>3.1910236725873474E-2</v>
      </c>
      <c r="CL669" s="188"/>
      <c r="CM669" s="188">
        <v>-3.865641016255426</v>
      </c>
      <c r="CN669" s="188">
        <f>BJ669/(10^CM669)</f>
        <v>469.7004651162793</v>
      </c>
      <c r="CO669" s="138" t="s">
        <v>2488</v>
      </c>
      <c r="CP669" s="138" t="s">
        <v>2489</v>
      </c>
      <c r="CQ669" s="183">
        <v>-3.5503720405830479</v>
      </c>
      <c r="CR669" s="191">
        <f t="shared" si="222"/>
        <v>3551.1747216169351</v>
      </c>
      <c r="CS669" s="135" t="s">
        <v>539</v>
      </c>
      <c r="CT669" s="135"/>
      <c r="CU669" s="135"/>
      <c r="CV669" s="332">
        <f t="shared" si="216"/>
        <v>6.9794311273588009E-3</v>
      </c>
      <c r="CW669" s="329">
        <f t="shared" si="217"/>
        <v>0</v>
      </c>
      <c r="CX669" s="329"/>
      <c r="CY669" s="189" t="s">
        <v>6351</v>
      </c>
    </row>
    <row r="670" spans="1:103" ht="11.25" customHeight="1" x14ac:dyDescent="0.2">
      <c r="A670" s="72">
        <v>668</v>
      </c>
      <c r="B670" s="183">
        <v>1038</v>
      </c>
      <c r="C670" s="133" t="s">
        <v>982</v>
      </c>
      <c r="D670" s="133" t="s">
        <v>6591</v>
      </c>
      <c r="E670" s="134"/>
      <c r="F670" s="134" t="s">
        <v>983</v>
      </c>
      <c r="G670" s="184">
        <v>188425856</v>
      </c>
      <c r="H670" s="138" t="s">
        <v>984</v>
      </c>
      <c r="I670" s="138" t="s">
        <v>7963</v>
      </c>
      <c r="J670" s="138" t="s">
        <v>985</v>
      </c>
      <c r="K670" s="138" t="s">
        <v>986</v>
      </c>
      <c r="L670" s="138" t="s">
        <v>5929</v>
      </c>
      <c r="M670" s="138" t="s">
        <v>5952</v>
      </c>
      <c r="N670" s="138" t="s">
        <v>6381</v>
      </c>
      <c r="O670" s="138" t="s">
        <v>5953</v>
      </c>
      <c r="P670" s="138"/>
      <c r="Q670" s="138"/>
      <c r="R670" s="138"/>
      <c r="S670" s="138"/>
      <c r="T670" s="135">
        <v>343.21</v>
      </c>
      <c r="U670" s="185"/>
      <c r="V670" s="185">
        <v>5.8826957256490203E-2</v>
      </c>
      <c r="W670" s="185">
        <v>2.13796208950223E-3</v>
      </c>
      <c r="X670" s="185">
        <f>IF(W670=0,V670,W670)</f>
        <v>2.13796208950223E-3</v>
      </c>
      <c r="Y670" s="204">
        <v>7</v>
      </c>
      <c r="Z670" s="135">
        <v>4</v>
      </c>
      <c r="AA670" s="135">
        <v>2.96</v>
      </c>
      <c r="AB670" s="135">
        <v>4.82</v>
      </c>
      <c r="AC670" s="135">
        <v>0.84850000000000003</v>
      </c>
      <c r="AD670" s="135">
        <v>4.6900000000000004</v>
      </c>
      <c r="AE670" s="135">
        <v>4.3099999999999996</v>
      </c>
      <c r="AF670" s="135">
        <f t="shared" si="219"/>
        <v>2.96</v>
      </c>
      <c r="AG670" s="136">
        <v>4.6900000000000004</v>
      </c>
      <c r="AH670" s="185">
        <v>4.2499999999999999E-12</v>
      </c>
      <c r="AI670" s="185"/>
      <c r="AJ670" s="136">
        <f t="shared" si="221"/>
        <v>-9.7601773962623408</v>
      </c>
      <c r="AK670" s="136"/>
      <c r="AL670" s="136">
        <f t="shared" si="220"/>
        <v>-9.7601773962623408</v>
      </c>
      <c r="AM670" s="136">
        <v>-17.975920000000002</v>
      </c>
      <c r="AN670" s="186">
        <v>-11.6</v>
      </c>
      <c r="AO670" s="481">
        <v>10.75</v>
      </c>
      <c r="AP670" s="481">
        <v>-0.3</v>
      </c>
      <c r="AQ670" s="135" t="s">
        <v>6311</v>
      </c>
      <c r="AR670" s="135" t="s">
        <v>6311</v>
      </c>
      <c r="AS670" s="190"/>
      <c r="AT670" s="137" t="s">
        <v>266</v>
      </c>
      <c r="AU670" s="135">
        <v>6</v>
      </c>
      <c r="AV670" s="135">
        <v>120</v>
      </c>
      <c r="AW670" s="135">
        <v>114</v>
      </c>
      <c r="AX670" s="135">
        <v>28</v>
      </c>
      <c r="AY670" s="135" t="s">
        <v>8728</v>
      </c>
      <c r="AZ670" s="135" t="s">
        <v>1563</v>
      </c>
      <c r="BA670" s="135">
        <v>32</v>
      </c>
      <c r="BB670" s="138" t="s">
        <v>2485</v>
      </c>
      <c r="BC670" s="138" t="s">
        <v>8726</v>
      </c>
      <c r="BD670" s="138" t="s">
        <v>8374</v>
      </c>
      <c r="BE670" s="135" t="s">
        <v>2449</v>
      </c>
      <c r="BF670" s="135" t="s">
        <v>272</v>
      </c>
      <c r="BG670" s="135" t="s">
        <v>272</v>
      </c>
      <c r="BH670" s="135" t="s">
        <v>2486</v>
      </c>
      <c r="BI670" s="185">
        <v>6.3999999999999997E-6</v>
      </c>
      <c r="BJ670" s="185">
        <v>6.4000000000000001E-2</v>
      </c>
      <c r="BK670" s="135"/>
      <c r="BL670" s="185">
        <f t="shared" si="223"/>
        <v>1.3134090365327335E-2</v>
      </c>
      <c r="BM670" s="138" t="s">
        <v>2487</v>
      </c>
      <c r="BN670" s="135"/>
      <c r="BO670" s="135"/>
      <c r="BP670" s="135"/>
      <c r="BQ670" s="135"/>
      <c r="BR670" s="138" t="s">
        <v>2496</v>
      </c>
      <c r="BS670" s="135"/>
      <c r="BT670" s="135"/>
      <c r="BU670" s="135">
        <v>6.4000000000000003E-3</v>
      </c>
      <c r="BV670" s="135"/>
      <c r="BW670" s="135"/>
      <c r="BX670" s="135"/>
      <c r="BY670" s="135"/>
      <c r="BZ670" s="135"/>
      <c r="CA670" s="135"/>
      <c r="CB670" s="135"/>
      <c r="CC670" s="135"/>
      <c r="CD670" s="135"/>
      <c r="CE670" s="135"/>
      <c r="CF670" s="135"/>
      <c r="CG670" s="135"/>
      <c r="CH670" s="135"/>
      <c r="CI670" s="185"/>
      <c r="CJ670" s="187"/>
      <c r="CK670" s="136">
        <f t="shared" si="218"/>
        <v>0.20522016195823961</v>
      </c>
      <c r="CL670" s="188"/>
      <c r="CM670" s="188">
        <v>-2.1041961691014479</v>
      </c>
      <c r="CN670" s="188">
        <f>BJ670/(10^CM670)</f>
        <v>8.135348148148152</v>
      </c>
      <c r="CO670" s="138" t="s">
        <v>2488</v>
      </c>
      <c r="CP670" s="138" t="s">
        <v>2489</v>
      </c>
      <c r="CQ670" s="183">
        <v>-2.1041961691014479</v>
      </c>
      <c r="CR670" s="191">
        <f t="shared" si="222"/>
        <v>127.11481481481486</v>
      </c>
      <c r="CS670" s="135" t="s">
        <v>539</v>
      </c>
      <c r="CT670" s="135"/>
      <c r="CU670" s="135"/>
      <c r="CV670" s="332">
        <f t="shared" si="216"/>
        <v>3.3405657648472344E-2</v>
      </c>
      <c r="CW670" s="329">
        <f t="shared" si="217"/>
        <v>0</v>
      </c>
      <c r="CX670" s="329"/>
      <c r="CY670" s="189" t="s">
        <v>5921</v>
      </c>
    </row>
    <row r="671" spans="1:103" ht="11.25" customHeight="1" x14ac:dyDescent="0.2">
      <c r="A671" s="72">
        <v>669</v>
      </c>
      <c r="B671" s="183">
        <v>1934</v>
      </c>
      <c r="C671" s="133" t="s">
        <v>6905</v>
      </c>
      <c r="D671" s="133"/>
      <c r="E671" s="134"/>
      <c r="F671" s="134" t="s">
        <v>5427</v>
      </c>
      <c r="G671" s="184">
        <v>127308821</v>
      </c>
      <c r="H671" s="138" t="s">
        <v>5428</v>
      </c>
      <c r="I671" s="138" t="s">
        <v>7759</v>
      </c>
      <c r="J671" s="138" t="s">
        <v>5429</v>
      </c>
      <c r="K671" s="138" t="s">
        <v>349</v>
      </c>
      <c r="L671" s="138"/>
      <c r="M671" s="138"/>
      <c r="N671" s="138"/>
      <c r="O671" s="138"/>
      <c r="P671" s="138"/>
      <c r="Q671" s="138"/>
      <c r="R671" s="138"/>
      <c r="S671" s="138"/>
      <c r="T671" s="135">
        <v>234.38</v>
      </c>
      <c r="U671" s="185"/>
      <c r="V671" s="185">
        <v>1.8947862445601162E-3</v>
      </c>
      <c r="W671" s="185">
        <v>0.16982436524617422</v>
      </c>
      <c r="X671" s="185">
        <f>IF(W671=0,V671,W671)</f>
        <v>0.16982436524617422</v>
      </c>
      <c r="Y671" s="204">
        <v>6.97</v>
      </c>
      <c r="Z671" s="135">
        <v>6.31</v>
      </c>
      <c r="AA671" s="135"/>
      <c r="AB671" s="135">
        <v>5.24</v>
      </c>
      <c r="AC671" s="135">
        <v>0.78490000000000004</v>
      </c>
      <c r="AD671" s="135">
        <v>5.46</v>
      </c>
      <c r="AE671" s="135">
        <v>5.92</v>
      </c>
      <c r="AF671" s="135">
        <f t="shared" si="219"/>
        <v>5.46</v>
      </c>
      <c r="AG671" s="136">
        <v>5.6</v>
      </c>
      <c r="AH671" s="185">
        <v>6.5899999999999996E-6</v>
      </c>
      <c r="AI671" s="185"/>
      <c r="AJ671" s="136">
        <f t="shared" si="221"/>
        <v>-3.5696809117186419</v>
      </c>
      <c r="AK671" s="136"/>
      <c r="AL671" s="136">
        <f t="shared" si="220"/>
        <v>-3.5696809117186419</v>
      </c>
      <c r="AM671" s="136">
        <v>-7.2398999999999996</v>
      </c>
      <c r="AN671" s="186">
        <v>-3.11</v>
      </c>
      <c r="AO671" s="481">
        <v>11</v>
      </c>
      <c r="AP671" s="481"/>
      <c r="AQ671" s="186" t="s">
        <v>6311</v>
      </c>
      <c r="AR671" s="186" t="s">
        <v>6311</v>
      </c>
      <c r="AS671" s="183"/>
      <c r="AT671" s="137" t="s">
        <v>266</v>
      </c>
      <c r="AU671" s="135">
        <v>6</v>
      </c>
      <c r="AV671" s="135">
        <v>120</v>
      </c>
      <c r="AW671" s="135">
        <v>114</v>
      </c>
      <c r="AX671" s="135">
        <v>28</v>
      </c>
      <c r="AY671" s="135" t="s">
        <v>8728</v>
      </c>
      <c r="AZ671" s="135" t="s">
        <v>1563</v>
      </c>
      <c r="BA671" s="135">
        <v>32</v>
      </c>
      <c r="BB671" s="138" t="s">
        <v>2485</v>
      </c>
      <c r="BC671" s="138" t="s">
        <v>8726</v>
      </c>
      <c r="BD671" s="138" t="s">
        <v>8374</v>
      </c>
      <c r="BE671" s="135" t="s">
        <v>2449</v>
      </c>
      <c r="BF671" s="135" t="s">
        <v>272</v>
      </c>
      <c r="BG671" s="135" t="s">
        <v>272</v>
      </c>
      <c r="BH671" s="135" t="s">
        <v>2486</v>
      </c>
      <c r="BI671" s="185">
        <v>6.3999999999999997E-6</v>
      </c>
      <c r="BJ671" s="185">
        <v>6.4000000000000001E-2</v>
      </c>
      <c r="BK671" s="135"/>
      <c r="BL671" s="185">
        <f t="shared" si="223"/>
        <v>1.1060862664280471E-4</v>
      </c>
      <c r="BM671" s="138" t="s">
        <v>2487</v>
      </c>
      <c r="BN671" s="135"/>
      <c r="BO671" s="135"/>
      <c r="BP671" s="135"/>
      <c r="BQ671" s="135"/>
      <c r="BR671" s="138" t="s">
        <v>2496</v>
      </c>
      <c r="BS671" s="135"/>
      <c r="BT671" s="135"/>
      <c r="BU671" s="135"/>
      <c r="BV671" s="135"/>
      <c r="BW671" s="135"/>
      <c r="BX671" s="135"/>
      <c r="BY671" s="135"/>
      <c r="BZ671" s="135"/>
      <c r="CA671" s="135"/>
      <c r="CB671" s="135"/>
      <c r="CC671" s="135"/>
      <c r="CD671" s="135"/>
      <c r="CE671" s="135"/>
      <c r="CF671" s="135"/>
      <c r="CG671" s="135"/>
      <c r="CH671" s="135"/>
      <c r="CI671" s="185"/>
      <c r="CJ671" s="187"/>
      <c r="CK671" s="136">
        <f t="shared" si="218"/>
        <v>1.7282597912938237E-3</v>
      </c>
      <c r="CL671" s="188"/>
      <c r="CM671" s="188"/>
      <c r="CN671" s="188"/>
      <c r="CO671" s="138" t="s">
        <v>2488</v>
      </c>
      <c r="CP671" s="138" t="s">
        <v>2489</v>
      </c>
      <c r="CQ671" s="191" t="s">
        <v>272</v>
      </c>
      <c r="CR671" s="191"/>
      <c r="CS671" s="135" t="s">
        <v>539</v>
      </c>
      <c r="CT671" s="135"/>
      <c r="CU671" s="135"/>
      <c r="CV671" s="332">
        <f t="shared" ref="CV671:CV702" si="224">X671/BJ671</f>
        <v>2.653505706971472</v>
      </c>
      <c r="CW671" s="329">
        <f t="shared" si="217"/>
        <v>1</v>
      </c>
      <c r="CX671" s="329"/>
      <c r="CY671" s="189" t="s">
        <v>5921</v>
      </c>
    </row>
    <row r="672" spans="1:103" ht="11.25" customHeight="1" x14ac:dyDescent="0.2">
      <c r="A672" s="72">
        <v>670</v>
      </c>
      <c r="B672" s="191">
        <v>337</v>
      </c>
      <c r="C672" s="128" t="s">
        <v>3865</v>
      </c>
      <c r="D672" s="128" t="s">
        <v>6906</v>
      </c>
      <c r="E672" s="129"/>
      <c r="F672" s="129" t="s">
        <v>3866</v>
      </c>
      <c r="G672" s="192">
        <v>39515418</v>
      </c>
      <c r="H672" s="139" t="s">
        <v>3867</v>
      </c>
      <c r="I672" s="139" t="s">
        <v>7964</v>
      </c>
      <c r="J672" s="139" t="s">
        <v>3868</v>
      </c>
      <c r="K672" s="139" t="s">
        <v>1711</v>
      </c>
      <c r="L672" s="139" t="s">
        <v>617</v>
      </c>
      <c r="M672" s="139" t="s">
        <v>1086</v>
      </c>
      <c r="N672" s="138" t="s">
        <v>6376</v>
      </c>
      <c r="O672" s="139" t="s">
        <v>918</v>
      </c>
      <c r="P672" s="138"/>
      <c r="Q672" s="138"/>
      <c r="R672" s="138"/>
      <c r="S672" s="138"/>
      <c r="T672" s="130">
        <v>349.42</v>
      </c>
      <c r="U672" s="187">
        <v>4.0352584282525326E-5</v>
      </c>
      <c r="V672" s="187">
        <v>7.2978077957758567E-5</v>
      </c>
      <c r="W672" s="187">
        <v>2.13796208950223E-3</v>
      </c>
      <c r="X672" s="187">
        <v>4.0352584282525326E-5</v>
      </c>
      <c r="Y672" s="194">
        <v>7</v>
      </c>
      <c r="Z672" s="130">
        <v>5.62</v>
      </c>
      <c r="AA672" s="130">
        <v>6</v>
      </c>
      <c r="AB672" s="130">
        <v>5.92</v>
      </c>
      <c r="AC672" s="130">
        <v>0.86950000000000005</v>
      </c>
      <c r="AD672" s="130">
        <v>5.82</v>
      </c>
      <c r="AE672" s="130">
        <v>5.48</v>
      </c>
      <c r="AF672" s="130">
        <f t="shared" si="219"/>
        <v>6</v>
      </c>
      <c r="AG672" s="131">
        <v>4.42</v>
      </c>
      <c r="AH672" s="187">
        <v>2.0499999999999999E-6</v>
      </c>
      <c r="AI672" s="187">
        <v>7.6399999999999997E-6</v>
      </c>
      <c r="AJ672" s="136">
        <f t="shared" si="221"/>
        <v>-4.0768124652568973</v>
      </c>
      <c r="AK672" s="136">
        <f>LOG10(AI672*1000/(0.08206*298.15))</f>
        <v>-3.5054729677369618</v>
      </c>
      <c r="AL672" s="136">
        <f t="shared" si="220"/>
        <v>-3.5054729677369618</v>
      </c>
      <c r="AM672" s="136">
        <v>-13.435850000000002</v>
      </c>
      <c r="AN672" s="193">
        <v>-3.91</v>
      </c>
      <c r="AO672" s="481"/>
      <c r="AP672" s="481"/>
      <c r="AQ672" s="193" t="s">
        <v>6311</v>
      </c>
      <c r="AR672" s="193" t="s">
        <v>6312</v>
      </c>
      <c r="AS672" s="191" t="s">
        <v>6</v>
      </c>
      <c r="AT672" s="132" t="s">
        <v>266</v>
      </c>
      <c r="AU672" s="130">
        <v>8</v>
      </c>
      <c r="AV672" s="130">
        <v>144</v>
      </c>
      <c r="AW672" s="130">
        <v>120</v>
      </c>
      <c r="AX672" s="130">
        <v>26</v>
      </c>
      <c r="AY672" s="130" t="s">
        <v>267</v>
      </c>
      <c r="AZ672" s="130" t="s">
        <v>2253</v>
      </c>
      <c r="BA672" s="130">
        <v>2</v>
      </c>
      <c r="BB672" s="139" t="s">
        <v>2254</v>
      </c>
      <c r="BC672" s="139" t="s">
        <v>270</v>
      </c>
      <c r="BD672" s="139" t="s">
        <v>8374</v>
      </c>
      <c r="BE672" s="130" t="s">
        <v>1712</v>
      </c>
      <c r="BF672" s="130" t="s">
        <v>272</v>
      </c>
      <c r="BG672" s="130" t="s">
        <v>272</v>
      </c>
      <c r="BH672" s="130" t="s">
        <v>2255</v>
      </c>
      <c r="BI672" s="187">
        <v>9.9999999999999995E-7</v>
      </c>
      <c r="BJ672" s="187">
        <v>0.08</v>
      </c>
      <c r="BK672" s="130"/>
      <c r="BL672" s="187">
        <f t="shared" si="223"/>
        <v>4.6076342726509569E-4</v>
      </c>
      <c r="BM672" s="130" t="s">
        <v>891</v>
      </c>
      <c r="BN672" s="194"/>
      <c r="BO672" s="194"/>
      <c r="BP672" s="194"/>
      <c r="BQ672" s="194"/>
      <c r="BR672" s="194"/>
      <c r="BS672" s="130"/>
      <c r="BT672" s="194"/>
      <c r="BU672" s="195"/>
      <c r="BV672" s="194"/>
      <c r="BW672" s="194"/>
      <c r="BX672" s="194"/>
      <c r="BY672" s="194"/>
      <c r="BZ672" s="194"/>
      <c r="CA672" s="194"/>
      <c r="CB672" s="194"/>
      <c r="CC672" s="130"/>
      <c r="CD672" s="130"/>
      <c r="CE672" s="130"/>
      <c r="CF672" s="130"/>
      <c r="CG672" s="194"/>
      <c r="CH672" s="130"/>
      <c r="CI672" s="187"/>
      <c r="CJ672" s="187"/>
      <c r="CK672" s="131">
        <f t="shared" si="218"/>
        <v>5.7595428408136959E-3</v>
      </c>
      <c r="CL672" s="188"/>
      <c r="CM672" s="188"/>
      <c r="CN672" s="188"/>
      <c r="CO672" s="139" t="s">
        <v>892</v>
      </c>
      <c r="CP672" s="139" t="s">
        <v>893</v>
      </c>
      <c r="CQ672" s="191">
        <v>-5.1685994133690727</v>
      </c>
      <c r="CR672" s="191">
        <f>10^(CJ672-CQ672)</f>
        <v>147434.59915611849</v>
      </c>
      <c r="CS672" s="135" t="s">
        <v>539</v>
      </c>
      <c r="CT672" s="135"/>
      <c r="CU672" s="135"/>
      <c r="CV672" s="332">
        <f t="shared" si="224"/>
        <v>5.0440730353156654E-4</v>
      </c>
      <c r="CW672" s="329">
        <f t="shared" si="217"/>
        <v>0</v>
      </c>
      <c r="CX672" s="329" t="s">
        <v>539</v>
      </c>
      <c r="CY672" s="189" t="s">
        <v>5921</v>
      </c>
    </row>
    <row r="673" spans="1:103" ht="11.25" customHeight="1" x14ac:dyDescent="0.2">
      <c r="A673" s="72">
        <v>671</v>
      </c>
      <c r="B673" s="183">
        <v>1150</v>
      </c>
      <c r="C673" s="133" t="s">
        <v>6907</v>
      </c>
      <c r="D673" s="133"/>
      <c r="E673" s="134"/>
      <c r="F673" s="134" t="s">
        <v>3183</v>
      </c>
      <c r="G673" s="184">
        <v>129453618</v>
      </c>
      <c r="H673" s="138" t="s">
        <v>3184</v>
      </c>
      <c r="I673" s="138" t="s">
        <v>7965</v>
      </c>
      <c r="J673" s="138" t="s">
        <v>3185</v>
      </c>
      <c r="K673" s="138" t="s">
        <v>349</v>
      </c>
      <c r="L673" s="138" t="s">
        <v>279</v>
      </c>
      <c r="M673" s="138" t="s">
        <v>3186</v>
      </c>
      <c r="N673" s="138" t="s">
        <v>6386</v>
      </c>
      <c r="O673" s="138" t="s">
        <v>281</v>
      </c>
      <c r="P673" s="138"/>
      <c r="Q673" s="138"/>
      <c r="R673" s="138"/>
      <c r="S673" s="138"/>
      <c r="T673" s="135">
        <v>606.77</v>
      </c>
      <c r="U673" s="185"/>
      <c r="V673" s="185">
        <v>1.5707764062165239E-8</v>
      </c>
      <c r="W673" s="185">
        <v>1.5488166189124805E-4</v>
      </c>
      <c r="X673" s="185">
        <f>IF(W673=0,V673,W673)</f>
        <v>1.5488166189124805E-4</v>
      </c>
      <c r="Y673" s="204">
        <v>7</v>
      </c>
      <c r="Z673" s="135">
        <v>9.09</v>
      </c>
      <c r="AA673" s="135"/>
      <c r="AB673" s="135">
        <v>7.18</v>
      </c>
      <c r="AC673" s="135">
        <v>0.45960000000000001</v>
      </c>
      <c r="AD673" s="135">
        <v>7.56</v>
      </c>
      <c r="AE673" s="135">
        <v>7.92</v>
      </c>
      <c r="AF673" s="135">
        <f t="shared" si="219"/>
        <v>7.56</v>
      </c>
      <c r="AG673" s="136">
        <v>8.32</v>
      </c>
      <c r="AH673" s="185">
        <v>3.0400000000000002E-14</v>
      </c>
      <c r="AI673" s="185"/>
      <c r="AJ673" s="136">
        <f t="shared" si="221"/>
        <v>-11.905692742703899</v>
      </c>
      <c r="AK673" s="136"/>
      <c r="AL673" s="136">
        <f t="shared" si="220"/>
        <v>-11.905692742703899</v>
      </c>
      <c r="AM673" s="136">
        <v>-24.151900000000001</v>
      </c>
      <c r="AN673" s="186">
        <v>-7.03</v>
      </c>
      <c r="AO673" s="481">
        <v>10.27</v>
      </c>
      <c r="AP673" s="481"/>
      <c r="AQ673" s="135" t="s">
        <v>6311</v>
      </c>
      <c r="AR673" s="135" t="s">
        <v>6311</v>
      </c>
      <c r="AS673" s="190"/>
      <c r="AT673" s="137" t="s">
        <v>266</v>
      </c>
      <c r="AU673" s="135">
        <v>6</v>
      </c>
      <c r="AV673" s="135">
        <v>120</v>
      </c>
      <c r="AW673" s="135">
        <v>114</v>
      </c>
      <c r="AX673" s="135">
        <v>28</v>
      </c>
      <c r="AY673" s="135" t="s">
        <v>8728</v>
      </c>
      <c r="AZ673" s="135" t="s">
        <v>1563</v>
      </c>
      <c r="BA673" s="135">
        <v>32</v>
      </c>
      <c r="BB673" s="138" t="s">
        <v>2485</v>
      </c>
      <c r="BC673" s="138" t="s">
        <v>8726</v>
      </c>
      <c r="BD673" s="138" t="s">
        <v>8374</v>
      </c>
      <c r="BE673" s="135" t="s">
        <v>2449</v>
      </c>
      <c r="BF673" s="135" t="s">
        <v>272</v>
      </c>
      <c r="BG673" s="135" t="s">
        <v>272</v>
      </c>
      <c r="BH673" s="135" t="s">
        <v>2486</v>
      </c>
      <c r="BI673" s="185">
        <v>6.3999999999999997E-6</v>
      </c>
      <c r="BJ673" s="185">
        <v>6.4000000000000001E-2</v>
      </c>
      <c r="BK673" s="135"/>
      <c r="BL673" s="185">
        <f t="shared" si="223"/>
        <v>3.5242848258958383E-7</v>
      </c>
      <c r="BM673" s="138" t="s">
        <v>2487</v>
      </c>
      <c r="BN673" s="135"/>
      <c r="BO673" s="135"/>
      <c r="BP673" s="135"/>
      <c r="BQ673" s="135"/>
      <c r="BR673" s="138" t="s">
        <v>2496</v>
      </c>
      <c r="BS673" s="135"/>
      <c r="BT673" s="135"/>
      <c r="BU673" s="135">
        <v>6.3999999999999997E-5</v>
      </c>
      <c r="BV673" s="135"/>
      <c r="BW673" s="135"/>
      <c r="BX673" s="135"/>
      <c r="BY673" s="135"/>
      <c r="BZ673" s="135"/>
      <c r="CA673" s="135"/>
      <c r="CB673" s="135"/>
      <c r="CC673" s="135"/>
      <c r="CD673" s="135"/>
      <c r="CE673" s="135"/>
      <c r="CF673" s="135"/>
      <c r="CG673" s="135"/>
      <c r="CH673" s="135"/>
      <c r="CI673" s="185"/>
      <c r="CJ673" s="187"/>
      <c r="CK673" s="136">
        <f t="shared" si="218"/>
        <v>5.506695040462247E-6</v>
      </c>
      <c r="CL673" s="188"/>
      <c r="CM673" s="188"/>
      <c r="CN673" s="188"/>
      <c r="CO673" s="138" t="s">
        <v>2488</v>
      </c>
      <c r="CP673" s="138" t="s">
        <v>2489</v>
      </c>
      <c r="CQ673" s="191" t="s">
        <v>272</v>
      </c>
      <c r="CR673" s="191"/>
      <c r="CS673" s="135" t="s">
        <v>539</v>
      </c>
      <c r="CT673" s="135"/>
      <c r="CU673" s="135"/>
      <c r="CV673" s="332">
        <f t="shared" si="224"/>
        <v>2.4200259670507508E-3</v>
      </c>
      <c r="CW673" s="329">
        <f t="shared" si="217"/>
        <v>0</v>
      </c>
      <c r="CX673" s="329"/>
      <c r="CY673" s="189" t="s">
        <v>5921</v>
      </c>
    </row>
    <row r="674" spans="1:103" ht="11.25" customHeight="1" x14ac:dyDescent="0.2">
      <c r="A674" s="72">
        <v>672</v>
      </c>
      <c r="B674" s="183">
        <v>1664</v>
      </c>
      <c r="C674" s="133" t="s">
        <v>3865</v>
      </c>
      <c r="D674" s="133" t="s">
        <v>6906</v>
      </c>
      <c r="E674" s="134"/>
      <c r="F674" s="134" t="s">
        <v>3866</v>
      </c>
      <c r="G674" s="184">
        <v>39515418</v>
      </c>
      <c r="H674" s="138" t="s">
        <v>3867</v>
      </c>
      <c r="I674" s="138" t="s">
        <v>7964</v>
      </c>
      <c r="J674" s="138" t="s">
        <v>3868</v>
      </c>
      <c r="K674" s="138" t="s">
        <v>1711</v>
      </c>
      <c r="L674" s="138" t="s">
        <v>617</v>
      </c>
      <c r="M674" s="138" t="s">
        <v>1086</v>
      </c>
      <c r="N674" s="138" t="s">
        <v>6376</v>
      </c>
      <c r="O674" s="138" t="s">
        <v>918</v>
      </c>
      <c r="P674" s="138"/>
      <c r="Q674" s="138"/>
      <c r="R674" s="138"/>
      <c r="S674" s="138"/>
      <c r="T674" s="135">
        <v>349.42</v>
      </c>
      <c r="U674" s="185">
        <v>4.0352584282525326E-5</v>
      </c>
      <c r="V674" s="185">
        <v>7.2978077957758567E-5</v>
      </c>
      <c r="W674" s="185">
        <v>2.13796208950223E-3</v>
      </c>
      <c r="X674" s="185">
        <v>4.0352584282525326E-5</v>
      </c>
      <c r="Y674" s="204">
        <v>7</v>
      </c>
      <c r="Z674" s="135">
        <v>5.62</v>
      </c>
      <c r="AA674" s="135">
        <v>6</v>
      </c>
      <c r="AB674" s="135">
        <v>5.92</v>
      </c>
      <c r="AC674" s="135">
        <v>0.86950000000000005</v>
      </c>
      <c r="AD674" s="135">
        <v>5.82</v>
      </c>
      <c r="AE674" s="135">
        <v>5.48</v>
      </c>
      <c r="AF674" s="135">
        <f t="shared" si="219"/>
        <v>6</v>
      </c>
      <c r="AG674" s="136">
        <v>4.42</v>
      </c>
      <c r="AH674" s="185">
        <v>2.0499999999999999E-6</v>
      </c>
      <c r="AI674" s="185">
        <v>7.6399999999999997E-6</v>
      </c>
      <c r="AJ674" s="136">
        <f t="shared" si="221"/>
        <v>-4.0768124652568973</v>
      </c>
      <c r="AK674" s="136">
        <f>LOG10(AI674*1000/(0.08206*298.15))</f>
        <v>-3.5054729677369618</v>
      </c>
      <c r="AL674" s="136">
        <f t="shared" si="220"/>
        <v>-3.5054729677369618</v>
      </c>
      <c r="AM674" s="136">
        <v>-13.435850000000002</v>
      </c>
      <c r="AN674" s="186">
        <v>-3.91</v>
      </c>
      <c r="AO674" s="481"/>
      <c r="AP674" s="481"/>
      <c r="AQ674" s="186" t="s">
        <v>6311</v>
      </c>
      <c r="AR674" s="186" t="s">
        <v>6312</v>
      </c>
      <c r="AS674" s="183"/>
      <c r="AT674" s="137" t="s">
        <v>266</v>
      </c>
      <c r="AU674" s="135">
        <v>6</v>
      </c>
      <c r="AV674" s="135">
        <v>120</v>
      </c>
      <c r="AW674" s="135">
        <v>114</v>
      </c>
      <c r="AX674" s="135">
        <v>28</v>
      </c>
      <c r="AY674" s="135" t="s">
        <v>8728</v>
      </c>
      <c r="AZ674" s="135" t="s">
        <v>1563</v>
      </c>
      <c r="BA674" s="135">
        <v>32</v>
      </c>
      <c r="BB674" s="138" t="s">
        <v>2485</v>
      </c>
      <c r="BC674" s="138" t="s">
        <v>8726</v>
      </c>
      <c r="BD674" s="138" t="s">
        <v>8374</v>
      </c>
      <c r="BE674" s="135" t="s">
        <v>2449</v>
      </c>
      <c r="BF674" s="135" t="s">
        <v>272</v>
      </c>
      <c r="BG674" s="135" t="s">
        <v>272</v>
      </c>
      <c r="BH674" s="135" t="s">
        <v>2486</v>
      </c>
      <c r="BI674" s="185">
        <v>6.3999999999999997E-6</v>
      </c>
      <c r="BJ674" s="185">
        <v>6.4000000000000001E-2</v>
      </c>
      <c r="BK674" s="135"/>
      <c r="BL674" s="185">
        <f t="shared" si="223"/>
        <v>4.6076342726509569E-4</v>
      </c>
      <c r="BM674" s="138" t="s">
        <v>2487</v>
      </c>
      <c r="BN674" s="135"/>
      <c r="BO674" s="135"/>
      <c r="BP674" s="135"/>
      <c r="BQ674" s="135"/>
      <c r="BR674" s="138" t="s">
        <v>2496</v>
      </c>
      <c r="BS674" s="135"/>
      <c r="BT674" s="135"/>
      <c r="BU674" s="135"/>
      <c r="BV674" s="135"/>
      <c r="BW674" s="135"/>
      <c r="BX674" s="135"/>
      <c r="BY674" s="135"/>
      <c r="BZ674" s="135"/>
      <c r="CA674" s="135"/>
      <c r="CB674" s="135"/>
      <c r="CC674" s="135"/>
      <c r="CD674" s="135"/>
      <c r="CE674" s="135"/>
      <c r="CF674" s="135"/>
      <c r="CG674" s="135"/>
      <c r="CH674" s="135"/>
      <c r="CI674" s="185"/>
      <c r="CJ674" s="187"/>
      <c r="CK674" s="136">
        <f t="shared" si="218"/>
        <v>7.1994285510171199E-3</v>
      </c>
      <c r="CL674" s="188"/>
      <c r="CM674" s="188"/>
      <c r="CN674" s="188"/>
      <c r="CO674" s="138" t="s">
        <v>2488</v>
      </c>
      <c r="CP674" s="138" t="s">
        <v>2489</v>
      </c>
      <c r="CQ674" s="183">
        <v>-5.1685994133690727</v>
      </c>
      <c r="CR674" s="191">
        <f>10^(CJ674-CQ674)</f>
        <v>147434.59915611849</v>
      </c>
      <c r="CS674" s="135" t="s">
        <v>539</v>
      </c>
      <c r="CT674" s="135"/>
      <c r="CU674" s="135"/>
      <c r="CV674" s="332">
        <f t="shared" si="224"/>
        <v>6.3050912941445823E-4</v>
      </c>
      <c r="CW674" s="329">
        <f t="shared" si="217"/>
        <v>0</v>
      </c>
      <c r="CX674" s="329"/>
      <c r="CY674" s="189" t="s">
        <v>5921</v>
      </c>
    </row>
    <row r="675" spans="1:103" ht="11.25" customHeight="1" x14ac:dyDescent="0.2">
      <c r="A675" s="72">
        <v>673</v>
      </c>
      <c r="B675" s="183">
        <v>1343</v>
      </c>
      <c r="C675" s="133" t="s">
        <v>6908</v>
      </c>
      <c r="D675" s="133"/>
      <c r="E675" s="134"/>
      <c r="F675" s="134" t="s">
        <v>4157</v>
      </c>
      <c r="G675" s="184">
        <v>139149556</v>
      </c>
      <c r="H675" s="138" t="s">
        <v>4158</v>
      </c>
      <c r="I675" s="138" t="s">
        <v>7821</v>
      </c>
      <c r="J675" s="138" t="s">
        <v>4159</v>
      </c>
      <c r="K675" s="138" t="s">
        <v>455</v>
      </c>
      <c r="L675" s="138"/>
      <c r="M675" s="138"/>
      <c r="N675" s="138"/>
      <c r="O675" s="138"/>
      <c r="P675" s="138"/>
      <c r="Q675" s="138"/>
      <c r="R675" s="138"/>
      <c r="S675" s="138"/>
      <c r="T675" s="135">
        <v>584.51</v>
      </c>
      <c r="U675" s="185"/>
      <c r="V675" s="185">
        <v>1.1645651913568629E-5</v>
      </c>
      <c r="W675" s="185">
        <v>9.1201083935590899E-4</v>
      </c>
      <c r="X675" s="185">
        <f>IF(W675=0,V675,W675)</f>
        <v>9.1201083935590899E-4</v>
      </c>
      <c r="Y675" s="204">
        <v>7.59</v>
      </c>
      <c r="Z675" s="135">
        <v>5.24</v>
      </c>
      <c r="AA675" s="135"/>
      <c r="AB675" s="135">
        <v>5.29</v>
      </c>
      <c r="AC675" s="135">
        <v>0.68200000000000005</v>
      </c>
      <c r="AD675" s="135">
        <v>5.48</v>
      </c>
      <c r="AE675" s="135">
        <v>5.89</v>
      </c>
      <c r="AF675" s="135">
        <f t="shared" si="219"/>
        <v>5.48</v>
      </c>
      <c r="AG675" s="136">
        <v>4.84</v>
      </c>
      <c r="AH675" s="185">
        <v>9.1899999999999996E-18</v>
      </c>
      <c r="AI675" s="185"/>
      <c r="AJ675" s="136">
        <f t="shared" si="221"/>
        <v>-15.425250814926541</v>
      </c>
      <c r="AK675" s="136"/>
      <c r="AL675" s="136">
        <f t="shared" si="220"/>
        <v>-15.425250814926541</v>
      </c>
      <c r="AM675" s="136">
        <v>-27.993769999999998</v>
      </c>
      <c r="AN675" s="186">
        <v>-31</v>
      </c>
      <c r="AO675" s="481">
        <v>15.53</v>
      </c>
      <c r="AP675" s="481">
        <v>7.55</v>
      </c>
      <c r="AQ675" s="135" t="s">
        <v>6311</v>
      </c>
      <c r="AR675" s="135" t="s">
        <v>6311</v>
      </c>
      <c r="AS675" s="190"/>
      <c r="AT675" s="137" t="s">
        <v>266</v>
      </c>
      <c r="AU675" s="135">
        <v>6</v>
      </c>
      <c r="AV675" s="135">
        <v>120</v>
      </c>
      <c r="AW675" s="135">
        <v>114</v>
      </c>
      <c r="AX675" s="135">
        <v>28</v>
      </c>
      <c r="AY675" s="135" t="s">
        <v>8728</v>
      </c>
      <c r="AZ675" s="135" t="s">
        <v>1563</v>
      </c>
      <c r="BA675" s="135">
        <v>32</v>
      </c>
      <c r="BB675" s="138" t="s">
        <v>2485</v>
      </c>
      <c r="BC675" s="138" t="s">
        <v>8726</v>
      </c>
      <c r="BD675" s="138" t="s">
        <v>8374</v>
      </c>
      <c r="BE675" s="135" t="s">
        <v>2449</v>
      </c>
      <c r="BF675" s="135" t="s">
        <v>272</v>
      </c>
      <c r="BG675" s="135" t="s">
        <v>272</v>
      </c>
      <c r="BH675" s="135" t="s">
        <v>2486</v>
      </c>
      <c r="BI675" s="185">
        <v>6.3999999999999997E-6</v>
      </c>
      <c r="BJ675" s="185">
        <v>6.4000000000000001E-2</v>
      </c>
      <c r="BK675" s="135"/>
      <c r="BL675" s="185">
        <f t="shared" si="223"/>
        <v>1.0110112774281447E-3</v>
      </c>
      <c r="BM675" s="138" t="s">
        <v>2487</v>
      </c>
      <c r="BN675" s="135"/>
      <c r="BO675" s="135"/>
      <c r="BP675" s="135"/>
      <c r="BQ675" s="135"/>
      <c r="BR675" s="138" t="s">
        <v>2496</v>
      </c>
      <c r="BS675" s="135"/>
      <c r="BT675" s="135"/>
      <c r="BU675" s="135"/>
      <c r="BV675" s="135"/>
      <c r="BW675" s="135"/>
      <c r="BX675" s="135"/>
      <c r="BY675" s="135"/>
      <c r="BZ675" s="135"/>
      <c r="CA675" s="135"/>
      <c r="CB675" s="135"/>
      <c r="CC675" s="135"/>
      <c r="CD675" s="135"/>
      <c r="CE675" s="135"/>
      <c r="CF675" s="135"/>
      <c r="CG675" s="135"/>
      <c r="CH675" s="135"/>
      <c r="CI675" s="185"/>
      <c r="CJ675" s="187"/>
      <c r="CK675" s="136">
        <f t="shared" si="218"/>
        <v>1.5797051209814762E-2</v>
      </c>
      <c r="CL675" s="188"/>
      <c r="CM675" s="188"/>
      <c r="CN675" s="188"/>
      <c r="CO675" s="138" t="s">
        <v>2488</v>
      </c>
      <c r="CP675" s="138" t="s">
        <v>2489</v>
      </c>
      <c r="CQ675" s="191" t="s">
        <v>272</v>
      </c>
      <c r="CR675" s="191"/>
      <c r="CS675" s="135" t="s">
        <v>539</v>
      </c>
      <c r="CT675" s="135"/>
      <c r="CU675" s="135"/>
      <c r="CV675" s="332">
        <f t="shared" si="224"/>
        <v>1.4250169364936078E-2</v>
      </c>
      <c r="CW675" s="329">
        <f t="shared" si="217"/>
        <v>0</v>
      </c>
      <c r="CX675" s="329"/>
      <c r="CY675" s="189" t="s">
        <v>5921</v>
      </c>
    </row>
    <row r="676" spans="1:103" ht="11.25" customHeight="1" x14ac:dyDescent="0.2">
      <c r="A676" s="72">
        <v>674</v>
      </c>
      <c r="B676" s="191">
        <v>1588</v>
      </c>
      <c r="C676" s="128" t="s">
        <v>4742</v>
      </c>
      <c r="D676" s="128" t="s">
        <v>6909</v>
      </c>
      <c r="E676" s="129"/>
      <c r="F676" s="129" t="s">
        <v>4743</v>
      </c>
      <c r="G676" s="192">
        <v>27138314</v>
      </c>
      <c r="H676" s="139" t="s">
        <v>4744</v>
      </c>
      <c r="I676" s="139" t="s">
        <v>4744</v>
      </c>
      <c r="J676" s="139" t="s">
        <v>4745</v>
      </c>
      <c r="K676" s="139" t="s">
        <v>357</v>
      </c>
      <c r="L676" s="139" t="s">
        <v>6025</v>
      </c>
      <c r="M676" s="138" t="s">
        <v>2342</v>
      </c>
      <c r="N676" s="138" t="s">
        <v>2342</v>
      </c>
      <c r="O676" s="139"/>
      <c r="P676" s="138"/>
      <c r="Q676" s="138"/>
      <c r="R676" s="138"/>
      <c r="S676" s="138"/>
      <c r="T676" s="130">
        <v>342.39</v>
      </c>
      <c r="U676" s="187">
        <v>4.3809690703583634E-2</v>
      </c>
      <c r="V676" s="185">
        <v>9.8513391162125073E-3</v>
      </c>
      <c r="W676" s="185">
        <v>5.6234132519034884E-2</v>
      </c>
      <c r="X676" s="187">
        <v>4.3809690703583634E-2</v>
      </c>
      <c r="Y676" s="194">
        <v>7</v>
      </c>
      <c r="Z676" s="130">
        <v>3.88</v>
      </c>
      <c r="AA676" s="130"/>
      <c r="AB676" s="130">
        <v>4.47</v>
      </c>
      <c r="AC676" s="130">
        <v>0.80959999999999999</v>
      </c>
      <c r="AD676" s="130">
        <v>4.4400000000000004</v>
      </c>
      <c r="AE676" s="130">
        <v>4.34</v>
      </c>
      <c r="AF676" s="130">
        <f t="shared" si="219"/>
        <v>4.4400000000000004</v>
      </c>
      <c r="AG676" s="131">
        <v>4.66</v>
      </c>
      <c r="AH676" s="187">
        <v>5.9500000000000001E-10</v>
      </c>
      <c r="AI676" s="187">
        <v>1.3799999999999999E-8</v>
      </c>
      <c r="AJ676" s="136">
        <f t="shared" si="221"/>
        <v>-7.6140493605841026</v>
      </c>
      <c r="AK676" s="136">
        <f>LOG10(AI676*1000/(0.08206*298.15))</f>
        <v>-6.2486872399114155</v>
      </c>
      <c r="AL676" s="136">
        <f t="shared" si="220"/>
        <v>-6.2486872399114155</v>
      </c>
      <c r="AM676" s="136">
        <v>-13.390799999999999</v>
      </c>
      <c r="AN676" s="193">
        <v>-11</v>
      </c>
      <c r="AO676" s="481"/>
      <c r="AP676" s="481"/>
      <c r="AQ676" s="130" t="s">
        <v>6311</v>
      </c>
      <c r="AR676" s="130" t="s">
        <v>6312</v>
      </c>
      <c r="AS676" s="198"/>
      <c r="AT676" s="132" t="s">
        <v>266</v>
      </c>
      <c r="AU676" s="130">
        <v>6</v>
      </c>
      <c r="AV676" s="130">
        <v>120</v>
      </c>
      <c r="AW676" s="130">
        <v>114</v>
      </c>
      <c r="AX676" s="130">
        <v>28</v>
      </c>
      <c r="AY676" s="130" t="s">
        <v>8728</v>
      </c>
      <c r="AZ676" s="130" t="s">
        <v>1563</v>
      </c>
      <c r="BA676" s="130">
        <v>32</v>
      </c>
      <c r="BB676" s="139" t="s">
        <v>2485</v>
      </c>
      <c r="BC676" s="139" t="s">
        <v>8726</v>
      </c>
      <c r="BD676" s="139" t="s">
        <v>8374</v>
      </c>
      <c r="BE676" s="130" t="s">
        <v>2449</v>
      </c>
      <c r="BF676" s="130" t="s">
        <v>272</v>
      </c>
      <c r="BG676" s="130" t="s">
        <v>272</v>
      </c>
      <c r="BH676" s="130" t="s">
        <v>2486</v>
      </c>
      <c r="BI676" s="187">
        <v>6.3999999999999997E-6</v>
      </c>
      <c r="BJ676" s="187">
        <v>6.4000000000000001E-2</v>
      </c>
      <c r="BK676" s="130"/>
      <c r="BL676" s="187">
        <f t="shared" si="223"/>
        <v>1.6833406070887583E-2</v>
      </c>
      <c r="BM676" s="139" t="s">
        <v>2487</v>
      </c>
      <c r="BN676" s="130"/>
      <c r="BO676" s="130"/>
      <c r="BP676" s="130"/>
      <c r="BQ676" s="130"/>
      <c r="BR676" s="139" t="s">
        <v>2496</v>
      </c>
      <c r="BS676" s="130"/>
      <c r="BT676" s="130"/>
      <c r="BU676" s="195"/>
      <c r="BV676" s="130"/>
      <c r="BW676" s="130"/>
      <c r="BX676" s="130"/>
      <c r="BY676" s="130"/>
      <c r="BZ676" s="130"/>
      <c r="CA676" s="130"/>
      <c r="CB676" s="130"/>
      <c r="CC676" s="130"/>
      <c r="CD676" s="130"/>
      <c r="CE676" s="130"/>
      <c r="CF676" s="130"/>
      <c r="CG676" s="130"/>
      <c r="CH676" s="130"/>
      <c r="CI676" s="187"/>
      <c r="CJ676" s="187"/>
      <c r="CK676" s="131">
        <f t="shared" si="218"/>
        <v>0.2630219698576185</v>
      </c>
      <c r="CL676" s="188"/>
      <c r="CM676" s="188"/>
      <c r="CN676" s="188"/>
      <c r="CO676" s="139" t="s">
        <v>2488</v>
      </c>
      <c r="CP676" s="139" t="s">
        <v>2489</v>
      </c>
      <c r="CQ676" s="191">
        <v>-1.9663193479187298</v>
      </c>
      <c r="CR676" s="191">
        <f>10^(CJ676-CQ676)</f>
        <v>92.537837837837856</v>
      </c>
      <c r="CS676" s="135" t="s">
        <v>539</v>
      </c>
      <c r="CT676" s="135"/>
      <c r="CU676" s="135"/>
      <c r="CV676" s="332">
        <f t="shared" si="224"/>
        <v>0.68452641724349428</v>
      </c>
      <c r="CW676" s="329">
        <f t="shared" si="217"/>
        <v>0</v>
      </c>
      <c r="CX676" s="329"/>
      <c r="CY676" s="189" t="s">
        <v>6351</v>
      </c>
    </row>
    <row r="677" spans="1:103" ht="11.25" customHeight="1" x14ac:dyDescent="0.2">
      <c r="A677" s="72">
        <v>675</v>
      </c>
      <c r="B677" s="183">
        <v>1282</v>
      </c>
      <c r="C677" s="133" t="s">
        <v>6694</v>
      </c>
      <c r="D677" s="133"/>
      <c r="E677" s="134"/>
      <c r="F677" s="134" t="s">
        <v>1453</v>
      </c>
      <c r="G677" s="184">
        <v>148477718</v>
      </c>
      <c r="H677" s="138" t="s">
        <v>1454</v>
      </c>
      <c r="I677" s="138" t="s">
        <v>7966</v>
      </c>
      <c r="J677" s="138" t="s">
        <v>1455</v>
      </c>
      <c r="K677" s="138" t="s">
        <v>361</v>
      </c>
      <c r="L677" s="138" t="s">
        <v>617</v>
      </c>
      <c r="M677" s="138" t="s">
        <v>1456</v>
      </c>
      <c r="N677" s="138" t="s">
        <v>6383</v>
      </c>
      <c r="O677" s="138" t="s">
        <v>918</v>
      </c>
      <c r="P677" s="138"/>
      <c r="Q677" s="138"/>
      <c r="R677" s="138"/>
      <c r="S677" s="138"/>
      <c r="T677" s="135">
        <v>411.32</v>
      </c>
      <c r="U677" s="185"/>
      <c r="V677" s="185">
        <v>3.1240883010794515E-5</v>
      </c>
      <c r="W677" s="185">
        <v>2.9512092266663814E-4</v>
      </c>
      <c r="X677" s="185">
        <f>IF(W677=0,V677,W677)</f>
        <v>2.9512092266663814E-4</v>
      </c>
      <c r="Y677" s="204">
        <v>7</v>
      </c>
      <c r="Z677" s="135">
        <v>6.21</v>
      </c>
      <c r="AA677" s="135"/>
      <c r="AB677" s="135">
        <v>5.44</v>
      </c>
      <c r="AC677" s="135">
        <v>0.57879999999999998</v>
      </c>
      <c r="AD677" s="135">
        <v>5.83</v>
      </c>
      <c r="AE677" s="135">
        <v>6.36</v>
      </c>
      <c r="AF677" s="135">
        <f t="shared" si="219"/>
        <v>5.83</v>
      </c>
      <c r="AG677" s="136">
        <v>5.76</v>
      </c>
      <c r="AH677" s="185">
        <v>1.2599999999999999E-7</v>
      </c>
      <c r="AI677" s="185"/>
      <c r="AJ677" s="136">
        <f t="shared" si="221"/>
        <v>-5.288195781195089</v>
      </c>
      <c r="AK677" s="136"/>
      <c r="AL677" s="136">
        <f t="shared" si="220"/>
        <v>-5.288195781195089</v>
      </c>
      <c r="AM677" s="136">
        <v>-11.30762</v>
      </c>
      <c r="AN677" s="186">
        <v>-6.99</v>
      </c>
      <c r="AO677" s="481"/>
      <c r="AP677" s="481"/>
      <c r="AQ677" s="135" t="s">
        <v>6311</v>
      </c>
      <c r="AR677" s="135" t="s">
        <v>6312</v>
      </c>
      <c r="AS677" s="190"/>
      <c r="AT677" s="137" t="s">
        <v>266</v>
      </c>
      <c r="AU677" s="135">
        <v>6</v>
      </c>
      <c r="AV677" s="135">
        <v>120</v>
      </c>
      <c r="AW677" s="135">
        <v>114</v>
      </c>
      <c r="AX677" s="135">
        <v>28</v>
      </c>
      <c r="AY677" s="135" t="s">
        <v>8728</v>
      </c>
      <c r="AZ677" s="135" t="s">
        <v>1563</v>
      </c>
      <c r="BA677" s="135">
        <v>32</v>
      </c>
      <c r="BB677" s="138" t="s">
        <v>2485</v>
      </c>
      <c r="BC677" s="138" t="s">
        <v>8726</v>
      </c>
      <c r="BD677" s="138" t="s">
        <v>8374</v>
      </c>
      <c r="BE677" s="135" t="s">
        <v>2449</v>
      </c>
      <c r="BF677" s="135" t="s">
        <v>272</v>
      </c>
      <c r="BG677" s="135" t="s">
        <v>272</v>
      </c>
      <c r="BH677" s="135" t="s">
        <v>2486</v>
      </c>
      <c r="BI677" s="185">
        <v>6.3999999999999997E-6</v>
      </c>
      <c r="BJ677" s="185">
        <v>6.4000000000000001E-2</v>
      </c>
      <c r="BK677" s="135"/>
      <c r="BL677" s="185">
        <f t="shared" si="223"/>
        <v>1.3601881909030129E-4</v>
      </c>
      <c r="BM677" s="138" t="s">
        <v>2487</v>
      </c>
      <c r="BN677" s="135"/>
      <c r="BO677" s="135"/>
      <c r="BP677" s="135"/>
      <c r="BQ677" s="135"/>
      <c r="BR677" s="138" t="s">
        <v>2496</v>
      </c>
      <c r="BS677" s="135"/>
      <c r="BT677" s="135"/>
      <c r="BU677" s="135">
        <v>6.4000000000000005E-4</v>
      </c>
      <c r="BV677" s="135"/>
      <c r="BW677" s="135"/>
      <c r="BX677" s="135"/>
      <c r="BY677" s="135"/>
      <c r="BZ677" s="135"/>
      <c r="CA677" s="135"/>
      <c r="CB677" s="135"/>
      <c r="CC677" s="135"/>
      <c r="CD677" s="135"/>
      <c r="CE677" s="135"/>
      <c r="CF677" s="135"/>
      <c r="CG677" s="135"/>
      <c r="CH677" s="135"/>
      <c r="CI677" s="185"/>
      <c r="CJ677" s="187"/>
      <c r="CK677" s="136">
        <f t="shared" si="218"/>
        <v>2.1252940482859575E-3</v>
      </c>
      <c r="CL677" s="188"/>
      <c r="CM677" s="188"/>
      <c r="CN677" s="188"/>
      <c r="CO677" s="138" t="s">
        <v>2488</v>
      </c>
      <c r="CP677" s="138" t="s">
        <v>2489</v>
      </c>
      <c r="CQ677" s="191" t="s">
        <v>272</v>
      </c>
      <c r="CR677" s="191"/>
      <c r="CS677" s="135" t="s">
        <v>539</v>
      </c>
      <c r="CT677" s="135"/>
      <c r="CU677" s="135"/>
      <c r="CV677" s="332">
        <f t="shared" si="224"/>
        <v>4.611264416666221E-3</v>
      </c>
      <c r="CW677" s="329">
        <f t="shared" si="217"/>
        <v>0</v>
      </c>
      <c r="CX677" s="329"/>
      <c r="CY677" s="189" t="s">
        <v>5921</v>
      </c>
    </row>
    <row r="678" spans="1:103" ht="11.25" customHeight="1" x14ac:dyDescent="0.2">
      <c r="A678" s="72">
        <v>676</v>
      </c>
      <c r="B678" s="183">
        <v>1373</v>
      </c>
      <c r="C678" s="133" t="s">
        <v>6910</v>
      </c>
      <c r="D678" s="133"/>
      <c r="E678" s="134"/>
      <c r="F678" s="134" t="s">
        <v>4238</v>
      </c>
      <c r="G678" s="184">
        <v>149062759</v>
      </c>
      <c r="H678" s="138" t="s">
        <v>4239</v>
      </c>
      <c r="I678" s="138" t="s">
        <v>7852</v>
      </c>
      <c r="J678" s="138" t="s">
        <v>4240</v>
      </c>
      <c r="K678" s="138" t="s">
        <v>4241</v>
      </c>
      <c r="L678" s="138"/>
      <c r="M678" s="138"/>
      <c r="N678" s="138"/>
      <c r="O678" s="138"/>
      <c r="P678" s="138"/>
      <c r="Q678" s="138"/>
      <c r="R678" s="138"/>
      <c r="S678" s="138"/>
      <c r="T678" s="135">
        <v>502.62</v>
      </c>
      <c r="U678" s="185"/>
      <c r="V678" s="185">
        <v>8.4318172774660767E-6</v>
      </c>
      <c r="W678" s="185">
        <v>2.3988329190194873E-3</v>
      </c>
      <c r="X678" s="185">
        <f>IF(W678=0,V678,W678)</f>
        <v>2.3988329190194873E-3</v>
      </c>
      <c r="Y678" s="204">
        <v>8.14</v>
      </c>
      <c r="Z678" s="135">
        <v>6.1</v>
      </c>
      <c r="AA678" s="135"/>
      <c r="AB678" s="135">
        <v>5.0999999999999996</v>
      </c>
      <c r="AC678" s="135">
        <v>0.72609999999999997</v>
      </c>
      <c r="AD678" s="135">
        <v>5.37</v>
      </c>
      <c r="AE678" s="135">
        <v>5.98</v>
      </c>
      <c r="AF678" s="135">
        <f t="shared" si="219"/>
        <v>5.37</v>
      </c>
      <c r="AG678" s="136">
        <v>6.65</v>
      </c>
      <c r="AH678" s="185">
        <v>2.0699999999999999E-17</v>
      </c>
      <c r="AI678" s="185"/>
      <c r="AJ678" s="136">
        <f t="shared" si="221"/>
        <v>-15.072595980855734</v>
      </c>
      <c r="AK678" s="136"/>
      <c r="AL678" s="136">
        <f t="shared" si="220"/>
        <v>-15.072595980855734</v>
      </c>
      <c r="AM678" s="136">
        <v>-22.861709999999999</v>
      </c>
      <c r="AN678" s="186">
        <v>-21.1</v>
      </c>
      <c r="AO678" s="481">
        <v>14.17</v>
      </c>
      <c r="AP678" s="481">
        <v>8.7200000000000006</v>
      </c>
      <c r="AQ678" s="135" t="s">
        <v>6311</v>
      </c>
      <c r="AR678" s="135" t="s">
        <v>6311</v>
      </c>
      <c r="AS678" s="190"/>
      <c r="AT678" s="137" t="s">
        <v>266</v>
      </c>
      <c r="AU678" s="135">
        <v>6</v>
      </c>
      <c r="AV678" s="135">
        <v>120</v>
      </c>
      <c r="AW678" s="135">
        <v>114</v>
      </c>
      <c r="AX678" s="135">
        <v>28</v>
      </c>
      <c r="AY678" s="135" t="s">
        <v>8728</v>
      </c>
      <c r="AZ678" s="135" t="s">
        <v>1563</v>
      </c>
      <c r="BA678" s="135">
        <v>32</v>
      </c>
      <c r="BB678" s="138" t="s">
        <v>2485</v>
      </c>
      <c r="BC678" s="138" t="s">
        <v>8726</v>
      </c>
      <c r="BD678" s="138" t="s">
        <v>8374</v>
      </c>
      <c r="BE678" s="135" t="s">
        <v>2449</v>
      </c>
      <c r="BF678" s="135" t="s">
        <v>272</v>
      </c>
      <c r="BG678" s="135" t="s">
        <v>272</v>
      </c>
      <c r="BH678" s="135" t="s">
        <v>2486</v>
      </c>
      <c r="BI678" s="185">
        <v>6.3999999999999997E-6</v>
      </c>
      <c r="BJ678" s="185">
        <v>6.4000000000000001E-2</v>
      </c>
      <c r="BK678" s="135"/>
      <c r="BL678" s="185">
        <f t="shared" si="223"/>
        <v>1.7076151530692331E-4</v>
      </c>
      <c r="BM678" s="138" t="s">
        <v>2487</v>
      </c>
      <c r="BN678" s="135"/>
      <c r="BO678" s="135"/>
      <c r="BP678" s="135"/>
      <c r="BQ678" s="135"/>
      <c r="BR678" s="138" t="s">
        <v>2496</v>
      </c>
      <c r="BS678" s="135"/>
      <c r="BT678" s="135"/>
      <c r="BU678" s="135"/>
      <c r="BV678" s="135"/>
      <c r="BW678" s="135"/>
      <c r="BX678" s="135"/>
      <c r="BY678" s="135"/>
      <c r="BZ678" s="135"/>
      <c r="CA678" s="135"/>
      <c r="CB678" s="135"/>
      <c r="CC678" s="135"/>
      <c r="CD678" s="135"/>
      <c r="CE678" s="135"/>
      <c r="CF678" s="135"/>
      <c r="CG678" s="135"/>
      <c r="CH678" s="135"/>
      <c r="CI678" s="185"/>
      <c r="CJ678" s="187"/>
      <c r="CK678" s="136">
        <f t="shared" si="218"/>
        <v>2.6681486766706769E-3</v>
      </c>
      <c r="CL678" s="188"/>
      <c r="CM678" s="188"/>
      <c r="CN678" s="188"/>
      <c r="CO678" s="138" t="s">
        <v>2488</v>
      </c>
      <c r="CP678" s="138" t="s">
        <v>2489</v>
      </c>
      <c r="CQ678" s="191" t="s">
        <v>272</v>
      </c>
      <c r="CR678" s="191"/>
      <c r="CS678" s="135" t="s">
        <v>539</v>
      </c>
      <c r="CT678" s="135"/>
      <c r="CU678" s="135"/>
      <c r="CV678" s="332">
        <f t="shared" si="224"/>
        <v>3.7481764359679488E-2</v>
      </c>
      <c r="CW678" s="329">
        <f t="shared" si="217"/>
        <v>0</v>
      </c>
      <c r="CX678" s="329"/>
      <c r="CY678" s="189" t="s">
        <v>5921</v>
      </c>
    </row>
    <row r="679" spans="1:103" ht="11.25" customHeight="1" x14ac:dyDescent="0.2">
      <c r="A679" s="72">
        <v>677</v>
      </c>
      <c r="B679" s="183">
        <v>1428</v>
      </c>
      <c r="C679" s="133" t="s">
        <v>6911</v>
      </c>
      <c r="D679" s="133"/>
      <c r="E679" s="134"/>
      <c r="F679" s="134" t="s">
        <v>4393</v>
      </c>
      <c r="G679" s="184">
        <v>151506444</v>
      </c>
      <c r="H679" s="138" t="s">
        <v>4394</v>
      </c>
      <c r="I679" s="138" t="s">
        <v>7856</v>
      </c>
      <c r="J679" s="138" t="s">
        <v>4395</v>
      </c>
      <c r="K679" s="138" t="s">
        <v>306</v>
      </c>
      <c r="L679" s="138"/>
      <c r="M679" s="138"/>
      <c r="N679" s="138"/>
      <c r="O679" s="138"/>
      <c r="P679" s="138"/>
      <c r="Q679" s="138"/>
      <c r="R679" s="138"/>
      <c r="S679" s="138"/>
      <c r="T679" s="135">
        <v>465.49</v>
      </c>
      <c r="U679" s="185"/>
      <c r="V679" s="185">
        <v>1.2769339835442221E-4</v>
      </c>
      <c r="W679" s="185">
        <v>8.1283051616409824E-3</v>
      </c>
      <c r="X679" s="185">
        <f>IF(W679=0,V679,W679)</f>
        <v>8.1283051616409824E-3</v>
      </c>
      <c r="Y679" s="204">
        <v>5.15</v>
      </c>
      <c r="Z679" s="135">
        <v>5.63</v>
      </c>
      <c r="AA679" s="135"/>
      <c r="AB679" s="135">
        <v>4.72</v>
      </c>
      <c r="AC679" s="135">
        <v>0.52839999999999998</v>
      </c>
      <c r="AD679" s="135">
        <v>4.8</v>
      </c>
      <c r="AE679" s="135">
        <v>4.88</v>
      </c>
      <c r="AF679" s="135">
        <f t="shared" si="219"/>
        <v>4.8</v>
      </c>
      <c r="AG679" s="136">
        <v>5.03</v>
      </c>
      <c r="AH679" s="185">
        <v>6.2800000000000002E-21</v>
      </c>
      <c r="AI679" s="185"/>
      <c r="AJ679" s="136">
        <f t="shared" si="221"/>
        <v>-18.590606682575455</v>
      </c>
      <c r="AK679" s="136"/>
      <c r="AL679" s="136">
        <f t="shared" si="220"/>
        <v>-18.590606682575455</v>
      </c>
      <c r="AM679" s="136">
        <v>-24.77713</v>
      </c>
      <c r="AN679" s="186">
        <v>-20</v>
      </c>
      <c r="AO679" s="481">
        <v>4.25</v>
      </c>
      <c r="AP679" s="481">
        <v>0.68</v>
      </c>
      <c r="AQ679" s="135" t="s">
        <v>6311</v>
      </c>
      <c r="AR679" s="135" t="s">
        <v>6311</v>
      </c>
      <c r="AS679" s="190"/>
      <c r="AT679" s="137" t="s">
        <v>266</v>
      </c>
      <c r="AU679" s="135">
        <v>6</v>
      </c>
      <c r="AV679" s="135">
        <v>120</v>
      </c>
      <c r="AW679" s="135">
        <v>114</v>
      </c>
      <c r="AX679" s="135">
        <v>28</v>
      </c>
      <c r="AY679" s="135" t="s">
        <v>8728</v>
      </c>
      <c r="AZ679" s="135" t="s">
        <v>1563</v>
      </c>
      <c r="BA679" s="135">
        <v>32</v>
      </c>
      <c r="BB679" s="138" t="s">
        <v>2485</v>
      </c>
      <c r="BC679" s="138" t="s">
        <v>8726</v>
      </c>
      <c r="BD679" s="138" t="s">
        <v>8374</v>
      </c>
      <c r="BE679" s="135" t="s">
        <v>2449</v>
      </c>
      <c r="BF679" s="135" t="s">
        <v>272</v>
      </c>
      <c r="BG679" s="135" t="s">
        <v>272</v>
      </c>
      <c r="BH679" s="135" t="s">
        <v>2486</v>
      </c>
      <c r="BI679" s="185">
        <v>6.3999999999999997E-6</v>
      </c>
      <c r="BJ679" s="185">
        <v>6.4000000000000001E-2</v>
      </c>
      <c r="BK679" s="135"/>
      <c r="BL679" s="185">
        <f t="shared" si="223"/>
        <v>4.5133290763291217E-4</v>
      </c>
      <c r="BM679" s="138" t="s">
        <v>2487</v>
      </c>
      <c r="BN679" s="135"/>
      <c r="BO679" s="135"/>
      <c r="BP679" s="135"/>
      <c r="BQ679" s="135"/>
      <c r="BR679" s="138" t="s">
        <v>2496</v>
      </c>
      <c r="BS679" s="135"/>
      <c r="BT679" s="135"/>
      <c r="BU679" s="135"/>
      <c r="BV679" s="135"/>
      <c r="BW679" s="135"/>
      <c r="BX679" s="135"/>
      <c r="BY679" s="135"/>
      <c r="BZ679" s="135"/>
      <c r="CA679" s="135"/>
      <c r="CB679" s="135"/>
      <c r="CC679" s="135"/>
      <c r="CD679" s="135"/>
      <c r="CE679" s="135"/>
      <c r="CF679" s="135"/>
      <c r="CG679" s="135"/>
      <c r="CH679" s="135"/>
      <c r="CI679" s="185"/>
      <c r="CJ679" s="187"/>
      <c r="CK679" s="136">
        <f t="shared" si="218"/>
        <v>7.0520766817642527E-3</v>
      </c>
      <c r="CL679" s="188"/>
      <c r="CM679" s="188"/>
      <c r="CN679" s="188"/>
      <c r="CO679" s="138" t="s">
        <v>2488</v>
      </c>
      <c r="CP679" s="138" t="s">
        <v>2489</v>
      </c>
      <c r="CQ679" s="191" t="s">
        <v>272</v>
      </c>
      <c r="CR679" s="191"/>
      <c r="CS679" s="135" t="s">
        <v>539</v>
      </c>
      <c r="CT679" s="135"/>
      <c r="CU679" s="135"/>
      <c r="CV679" s="332">
        <f t="shared" si="224"/>
        <v>0.12700476815064035</v>
      </c>
      <c r="CW679" s="329">
        <f t="shared" si="217"/>
        <v>0</v>
      </c>
      <c r="CX679" s="329"/>
      <c r="CY679" s="189" t="s">
        <v>5921</v>
      </c>
    </row>
    <row r="680" spans="1:103" ht="11.25" customHeight="1" x14ac:dyDescent="0.2">
      <c r="A680" s="72">
        <v>678</v>
      </c>
      <c r="B680" s="183">
        <v>1651</v>
      </c>
      <c r="C680" s="133" t="s">
        <v>6696</v>
      </c>
      <c r="D680" s="133"/>
      <c r="E680" s="134"/>
      <c r="F680" s="134" t="s">
        <v>1141</v>
      </c>
      <c r="G680" s="184">
        <v>153233911</v>
      </c>
      <c r="H680" s="138" t="s">
        <v>1142</v>
      </c>
      <c r="I680" s="138" t="s">
        <v>1142</v>
      </c>
      <c r="J680" s="138" t="s">
        <v>1143</v>
      </c>
      <c r="K680" s="138" t="s">
        <v>426</v>
      </c>
      <c r="L680" s="138" t="s">
        <v>617</v>
      </c>
      <c r="M680" s="138" t="s">
        <v>1144</v>
      </c>
      <c r="N680" s="138"/>
      <c r="O680" s="138" t="s">
        <v>918</v>
      </c>
      <c r="P680" s="138"/>
      <c r="Q680" s="138"/>
      <c r="R680" s="138"/>
      <c r="S680" s="138"/>
      <c r="T680" s="135">
        <v>359.41</v>
      </c>
      <c r="U680" s="185">
        <v>2.0978826409949637E-4</v>
      </c>
      <c r="V680" s="185">
        <v>1.0595142038340614E-5</v>
      </c>
      <c r="W680" s="185">
        <v>2.0417379446695245E-3</v>
      </c>
      <c r="X680" s="185">
        <v>2.0978826409949637E-4</v>
      </c>
      <c r="Y680" s="204">
        <v>7</v>
      </c>
      <c r="Z680" s="135">
        <v>7.21</v>
      </c>
      <c r="AA680" s="135"/>
      <c r="AB680" s="135">
        <v>5.2</v>
      </c>
      <c r="AC680" s="135">
        <v>0.68340000000000001</v>
      </c>
      <c r="AD680" s="135">
        <v>5.44</v>
      </c>
      <c r="AE680" s="135">
        <v>5.85</v>
      </c>
      <c r="AF680" s="135">
        <f t="shared" si="219"/>
        <v>5.44</v>
      </c>
      <c r="AG680" s="136">
        <v>5.6</v>
      </c>
      <c r="AH680" s="185">
        <v>4.51E-8</v>
      </c>
      <c r="AI680" s="185">
        <v>1.03E-7</v>
      </c>
      <c r="AJ680" s="136">
        <f t="shared" si="221"/>
        <v>-5.7343897844346916</v>
      </c>
      <c r="AK680" s="136">
        <f>LOG10(AI680*1000/(0.08206*298.15))</f>
        <v>-5.3757291016074795</v>
      </c>
      <c r="AL680" s="136">
        <f t="shared" si="220"/>
        <v>-5.3757291016074795</v>
      </c>
      <c r="AM680" s="136">
        <v>-9.1111300000000011</v>
      </c>
      <c r="AN680" s="186">
        <v>-3</v>
      </c>
      <c r="AO680" s="481"/>
      <c r="AP680" s="481">
        <v>2.04</v>
      </c>
      <c r="AQ680" s="186" t="s">
        <v>6311</v>
      </c>
      <c r="AR680" s="186" t="s">
        <v>6311</v>
      </c>
      <c r="AS680" s="183"/>
      <c r="AT680" s="137" t="s">
        <v>266</v>
      </c>
      <c r="AU680" s="135">
        <v>6</v>
      </c>
      <c r="AV680" s="135">
        <v>120</v>
      </c>
      <c r="AW680" s="135">
        <v>114</v>
      </c>
      <c r="AX680" s="135">
        <v>28</v>
      </c>
      <c r="AY680" s="135" t="s">
        <v>8728</v>
      </c>
      <c r="AZ680" s="135" t="s">
        <v>1563</v>
      </c>
      <c r="BA680" s="135">
        <v>32</v>
      </c>
      <c r="BB680" s="138" t="s">
        <v>2485</v>
      </c>
      <c r="BC680" s="138" t="s">
        <v>8726</v>
      </c>
      <c r="BD680" s="138" t="s">
        <v>8374</v>
      </c>
      <c r="BE680" s="135" t="s">
        <v>2449</v>
      </c>
      <c r="BF680" s="135" t="s">
        <v>272</v>
      </c>
      <c r="BG680" s="135" t="s">
        <v>272</v>
      </c>
      <c r="BH680" s="135" t="s">
        <v>2486</v>
      </c>
      <c r="BI680" s="185">
        <v>6.3999999999999997E-6</v>
      </c>
      <c r="BJ680" s="185">
        <v>6.4000000000000001E-2</v>
      </c>
      <c r="BK680" s="135"/>
      <c r="BL680" s="185">
        <f t="shared" si="223"/>
        <v>1.7198833810558457E-5</v>
      </c>
      <c r="BM680" s="138" t="s">
        <v>2487</v>
      </c>
      <c r="BN680" s="135"/>
      <c r="BO680" s="135"/>
      <c r="BP680" s="135"/>
      <c r="BQ680" s="135"/>
      <c r="BR680" s="138" t="s">
        <v>2496</v>
      </c>
      <c r="BS680" s="135"/>
      <c r="BT680" s="135"/>
      <c r="BU680" s="135"/>
      <c r="BV680" s="135"/>
      <c r="BW680" s="135"/>
      <c r="BX680" s="135"/>
      <c r="BY680" s="135"/>
      <c r="BZ680" s="135"/>
      <c r="CA680" s="135"/>
      <c r="CB680" s="135"/>
      <c r="CC680" s="135"/>
      <c r="CD680" s="135"/>
      <c r="CE680" s="135"/>
      <c r="CF680" s="135"/>
      <c r="CG680" s="135"/>
      <c r="CH680" s="135"/>
      <c r="CI680" s="185"/>
      <c r="CJ680" s="187"/>
      <c r="CK680" s="136">
        <f t="shared" si="218"/>
        <v>2.687317782899759E-4</v>
      </c>
      <c r="CL680" s="188"/>
      <c r="CM680" s="188"/>
      <c r="CN680" s="188"/>
      <c r="CO680" s="138" t="s">
        <v>2488</v>
      </c>
      <c r="CP680" s="138" t="s">
        <v>2489</v>
      </c>
      <c r="CQ680" s="191" t="s">
        <v>272</v>
      </c>
      <c r="CR680" s="191"/>
      <c r="CS680" s="135" t="s">
        <v>539</v>
      </c>
      <c r="CT680" s="135"/>
      <c r="CU680" s="135"/>
      <c r="CV680" s="332">
        <f t="shared" si="224"/>
        <v>3.2779416265546306E-3</v>
      </c>
      <c r="CW680" s="329">
        <f t="shared" si="217"/>
        <v>0</v>
      </c>
      <c r="CX680" s="329"/>
      <c r="CY680" s="189" t="s">
        <v>5921</v>
      </c>
    </row>
    <row r="681" spans="1:103" ht="11.25" customHeight="1" x14ac:dyDescent="0.2">
      <c r="A681" s="72">
        <v>679</v>
      </c>
      <c r="B681" s="183">
        <v>1751</v>
      </c>
      <c r="C681" s="133" t="s">
        <v>6912</v>
      </c>
      <c r="D681" s="133"/>
      <c r="E681" s="134"/>
      <c r="F681" s="134" t="s">
        <v>5045</v>
      </c>
      <c r="G681" s="184">
        <v>155990208</v>
      </c>
      <c r="H681" s="138" t="s">
        <v>5046</v>
      </c>
      <c r="I681" s="138" t="s">
        <v>7841</v>
      </c>
      <c r="J681" s="138" t="s">
        <v>5047</v>
      </c>
      <c r="K681" s="138" t="s">
        <v>471</v>
      </c>
      <c r="L681" s="140"/>
      <c r="M681" s="138"/>
      <c r="N681" s="138"/>
      <c r="O681" s="138"/>
      <c r="P681" s="138"/>
      <c r="Q681" s="138"/>
      <c r="R681" s="138"/>
      <c r="S681" s="138"/>
      <c r="T681" s="135">
        <v>408.45</v>
      </c>
      <c r="U681" s="185"/>
      <c r="V681" s="185">
        <v>1.2226710735708166E-3</v>
      </c>
      <c r="W681" s="185">
        <v>4.3651583224016566E-5</v>
      </c>
      <c r="X681" s="185">
        <f>IF(W681=0,V681,W681)</f>
        <v>4.3651583224016566E-5</v>
      </c>
      <c r="Y681" s="204">
        <v>7</v>
      </c>
      <c r="Z681" s="135">
        <v>4.0599999999999996</v>
      </c>
      <c r="AA681" s="135"/>
      <c r="AB681" s="135">
        <v>4.63</v>
      </c>
      <c r="AC681" s="135">
        <v>0.71450000000000002</v>
      </c>
      <c r="AD681" s="135">
        <v>4.8499999999999996</v>
      </c>
      <c r="AE681" s="135">
        <v>5.35</v>
      </c>
      <c r="AF681" s="135">
        <f t="shared" si="219"/>
        <v>4.8499999999999996</v>
      </c>
      <c r="AG681" s="136">
        <v>4.4000000000000004</v>
      </c>
      <c r="AH681" s="185">
        <v>5.5900000000000002E-21</v>
      </c>
      <c r="AI681" s="185"/>
      <c r="AJ681" s="136">
        <f t="shared" si="221"/>
        <v>-18.64115451842623</v>
      </c>
      <c r="AK681" s="136"/>
      <c r="AL681" s="136">
        <f t="shared" si="220"/>
        <v>-18.64115451842623</v>
      </c>
      <c r="AM681" s="136">
        <v>-24.970479999999998</v>
      </c>
      <c r="AN681" s="186">
        <v>-19</v>
      </c>
      <c r="AO681" s="481">
        <v>10.029999999999999</v>
      </c>
      <c r="AP681" s="481">
        <v>2.78</v>
      </c>
      <c r="AQ681" s="186" t="s">
        <v>6311</v>
      </c>
      <c r="AR681" s="186" t="s">
        <v>6311</v>
      </c>
      <c r="AS681" s="183"/>
      <c r="AT681" s="137" t="s">
        <v>266</v>
      </c>
      <c r="AU681" s="135">
        <v>6</v>
      </c>
      <c r="AV681" s="135">
        <v>120</v>
      </c>
      <c r="AW681" s="135">
        <v>114</v>
      </c>
      <c r="AX681" s="135">
        <v>28</v>
      </c>
      <c r="AY681" s="135" t="s">
        <v>8728</v>
      </c>
      <c r="AZ681" s="135" t="s">
        <v>1563</v>
      </c>
      <c r="BA681" s="135">
        <v>32</v>
      </c>
      <c r="BB681" s="138" t="s">
        <v>2485</v>
      </c>
      <c r="BC681" s="138" t="s">
        <v>8726</v>
      </c>
      <c r="BD681" s="138" t="s">
        <v>8374</v>
      </c>
      <c r="BE681" s="135" t="s">
        <v>2449</v>
      </c>
      <c r="BF681" s="135" t="s">
        <v>272</v>
      </c>
      <c r="BG681" s="135" t="s">
        <v>272</v>
      </c>
      <c r="BH681" s="135" t="s">
        <v>2486</v>
      </c>
      <c r="BI681" s="185">
        <v>6.3999999999999997E-6</v>
      </c>
      <c r="BJ681" s="185">
        <v>6.4000000000000001E-2</v>
      </c>
      <c r="BK681" s="135"/>
      <c r="BL681" s="185">
        <f t="shared" si="223"/>
        <v>1.1601496143501713E-2</v>
      </c>
      <c r="BM681" s="138" t="s">
        <v>2487</v>
      </c>
      <c r="BN681" s="135"/>
      <c r="BO681" s="135"/>
      <c r="BP681" s="135"/>
      <c r="BQ681" s="135"/>
      <c r="BR681" s="138" t="s">
        <v>2496</v>
      </c>
      <c r="BS681" s="135"/>
      <c r="BT681" s="135"/>
      <c r="BU681" s="135"/>
      <c r="BV681" s="135"/>
      <c r="BW681" s="135"/>
      <c r="BX681" s="135"/>
      <c r="BY681" s="135"/>
      <c r="BZ681" s="135"/>
      <c r="CA681" s="135"/>
      <c r="CB681" s="135"/>
      <c r="CC681" s="135"/>
      <c r="CD681" s="135"/>
      <c r="CE681" s="135"/>
      <c r="CF681" s="135"/>
      <c r="CG681" s="135"/>
      <c r="CH681" s="135"/>
      <c r="CI681" s="185"/>
      <c r="CJ681" s="187"/>
      <c r="CK681" s="136">
        <f t="shared" si="218"/>
        <v>0.18127337724221426</v>
      </c>
      <c r="CL681" s="188"/>
      <c r="CM681" s="188"/>
      <c r="CN681" s="188"/>
      <c r="CO681" s="138" t="s">
        <v>2488</v>
      </c>
      <c r="CP681" s="138" t="s">
        <v>2489</v>
      </c>
      <c r="CQ681" s="191" t="s">
        <v>272</v>
      </c>
      <c r="CR681" s="191"/>
      <c r="CS681" s="135" t="s">
        <v>539</v>
      </c>
      <c r="CT681" s="135"/>
      <c r="CU681" s="135"/>
      <c r="CV681" s="332">
        <f t="shared" si="224"/>
        <v>6.820559878752588E-4</v>
      </c>
      <c r="CW681" s="329">
        <f t="shared" si="217"/>
        <v>0</v>
      </c>
      <c r="CX681" s="329"/>
      <c r="CY681" s="189" t="s">
        <v>5921</v>
      </c>
    </row>
    <row r="682" spans="1:103" ht="11.25" customHeight="1" x14ac:dyDescent="0.2">
      <c r="A682" s="72">
        <v>680</v>
      </c>
      <c r="B682" s="191">
        <v>388</v>
      </c>
      <c r="C682" s="128" t="s">
        <v>6913</v>
      </c>
      <c r="D682" s="128"/>
      <c r="E682" s="129"/>
      <c r="F682" s="129" t="s">
        <v>3937</v>
      </c>
      <c r="G682" s="192">
        <v>161050584</v>
      </c>
      <c r="H682" s="139" t="s">
        <v>3938</v>
      </c>
      <c r="I682" s="139" t="s">
        <v>3938</v>
      </c>
      <c r="J682" s="139" t="s">
        <v>3939</v>
      </c>
      <c r="K682" s="139" t="s">
        <v>483</v>
      </c>
      <c r="L682" s="139" t="s">
        <v>8500</v>
      </c>
      <c r="M682" s="139" t="s">
        <v>8487</v>
      </c>
      <c r="N682" s="138"/>
      <c r="O682" s="139" t="s">
        <v>918</v>
      </c>
      <c r="P682" s="138"/>
      <c r="Q682" s="138"/>
      <c r="R682" s="138"/>
      <c r="S682" s="138"/>
      <c r="T682" s="130">
        <v>368.47</v>
      </c>
      <c r="U682" s="187">
        <v>2.7139251499443645E-3</v>
      </c>
      <c r="V682" s="187">
        <v>8.9885200966157344E-3</v>
      </c>
      <c r="W682" s="187">
        <v>7.0794578438413622E-3</v>
      </c>
      <c r="X682" s="187">
        <v>2.7139251499443645E-3</v>
      </c>
      <c r="Y682" s="194">
        <v>6.99</v>
      </c>
      <c r="Z682" s="130">
        <v>3.48</v>
      </c>
      <c r="AA682" s="130">
        <v>3.7</v>
      </c>
      <c r="AB682" s="130">
        <v>3.59</v>
      </c>
      <c r="AC682" s="130">
        <v>0.87209999999999999</v>
      </c>
      <c r="AD682" s="130">
        <v>3.62</v>
      </c>
      <c r="AE682" s="130">
        <v>3.72</v>
      </c>
      <c r="AF682" s="130">
        <f t="shared" si="219"/>
        <v>3.7</v>
      </c>
      <c r="AG682" s="131">
        <v>4.51</v>
      </c>
      <c r="AH682" s="187">
        <v>3.8399999999999998E-12</v>
      </c>
      <c r="AI682" s="187"/>
      <c r="AJ682" s="136">
        <f t="shared" si="221"/>
        <v>-9.804235101945121</v>
      </c>
      <c r="AK682" s="136"/>
      <c r="AL682" s="136">
        <f t="shared" si="220"/>
        <v>-9.804235101945121</v>
      </c>
      <c r="AM682" s="136">
        <v>-19.715879999999999</v>
      </c>
      <c r="AN682" s="193">
        <v>-11.1</v>
      </c>
      <c r="AO682" s="481">
        <v>10.43</v>
      </c>
      <c r="AP682" s="481">
        <v>-2.2599999999999998</v>
      </c>
      <c r="AQ682" s="193" t="s">
        <v>6311</v>
      </c>
      <c r="AR682" s="193" t="s">
        <v>6311</v>
      </c>
      <c r="AS682" s="191" t="s">
        <v>6</v>
      </c>
      <c r="AT682" s="132" t="s">
        <v>266</v>
      </c>
      <c r="AU682" s="130">
        <v>8</v>
      </c>
      <c r="AV682" s="130">
        <v>144</v>
      </c>
      <c r="AW682" s="130">
        <v>120</v>
      </c>
      <c r="AX682" s="130">
        <v>26</v>
      </c>
      <c r="AY682" s="130" t="s">
        <v>267</v>
      </c>
      <c r="AZ682" s="130" t="s">
        <v>2253</v>
      </c>
      <c r="BA682" s="130">
        <v>2</v>
      </c>
      <c r="BB682" s="139" t="s">
        <v>2254</v>
      </c>
      <c r="BC682" s="139" t="s">
        <v>270</v>
      </c>
      <c r="BD682" s="139" t="s">
        <v>8374</v>
      </c>
      <c r="BE682" s="130" t="s">
        <v>1712</v>
      </c>
      <c r="BF682" s="130" t="s">
        <v>272</v>
      </c>
      <c r="BG682" s="130" t="s">
        <v>272</v>
      </c>
      <c r="BH682" s="130" t="s">
        <v>2255</v>
      </c>
      <c r="BI682" s="187">
        <v>9.9999999999999995E-7</v>
      </c>
      <c r="BJ682" s="187">
        <v>0.08</v>
      </c>
      <c r="BK682" s="130"/>
      <c r="BL682" s="187">
        <f t="shared" si="223"/>
        <v>3.8495680394507972E-2</v>
      </c>
      <c r="BM682" s="130" t="s">
        <v>891</v>
      </c>
      <c r="BN682" s="194"/>
      <c r="BO682" s="194"/>
      <c r="BP682" s="194"/>
      <c r="BQ682" s="194"/>
      <c r="BR682" s="194"/>
      <c r="BS682" s="130"/>
      <c r="BT682" s="194"/>
      <c r="BU682" s="195"/>
      <c r="BV682" s="194"/>
      <c r="BW682" s="194"/>
      <c r="BX682" s="194"/>
      <c r="BY682" s="194"/>
      <c r="BZ682" s="194"/>
      <c r="CA682" s="194"/>
      <c r="CB682" s="194"/>
      <c r="CC682" s="130"/>
      <c r="CD682" s="130"/>
      <c r="CE682" s="130"/>
      <c r="CF682" s="130"/>
      <c r="CG682" s="194"/>
      <c r="CH682" s="130"/>
      <c r="CI682" s="187"/>
      <c r="CJ682" s="187"/>
      <c r="CK682" s="131">
        <f t="shared" si="218"/>
        <v>0.48119600493134962</v>
      </c>
      <c r="CL682" s="188"/>
      <c r="CM682" s="188"/>
      <c r="CN682" s="188"/>
      <c r="CO682" s="139" t="s">
        <v>892</v>
      </c>
      <c r="CP682" s="139" t="s">
        <v>893</v>
      </c>
      <c r="CQ682" s="191" t="s">
        <v>272</v>
      </c>
      <c r="CR682" s="191"/>
      <c r="CS682" s="135" t="s">
        <v>539</v>
      </c>
      <c r="CT682" s="135"/>
      <c r="CU682" s="135"/>
      <c r="CV682" s="332">
        <f t="shared" si="224"/>
        <v>3.3924064374304556E-2</v>
      </c>
      <c r="CW682" s="329">
        <f t="shared" si="217"/>
        <v>0</v>
      </c>
      <c r="CX682" s="329" t="s">
        <v>539</v>
      </c>
      <c r="CY682" s="189" t="s">
        <v>5921</v>
      </c>
    </row>
    <row r="683" spans="1:103" ht="11.25" customHeight="1" x14ac:dyDescent="0.2">
      <c r="A683" s="72">
        <v>681</v>
      </c>
      <c r="B683" s="191">
        <v>1733</v>
      </c>
      <c r="C683" s="128" t="s">
        <v>6913</v>
      </c>
      <c r="D683" s="128"/>
      <c r="E683" s="129"/>
      <c r="F683" s="129" t="s">
        <v>3937</v>
      </c>
      <c r="G683" s="192">
        <v>161050584</v>
      </c>
      <c r="H683" s="139" t="s">
        <v>3938</v>
      </c>
      <c r="I683" s="139" t="s">
        <v>3938</v>
      </c>
      <c r="J683" s="139" t="s">
        <v>3939</v>
      </c>
      <c r="K683" s="139" t="s">
        <v>483</v>
      </c>
      <c r="L683" s="139" t="s">
        <v>8500</v>
      </c>
      <c r="M683" s="139" t="s">
        <v>8487</v>
      </c>
      <c r="N683" s="138"/>
      <c r="O683" s="139" t="s">
        <v>918</v>
      </c>
      <c r="P683" s="138"/>
      <c r="Q683" s="138"/>
      <c r="R683" s="138"/>
      <c r="S683" s="138"/>
      <c r="T683" s="130">
        <v>368.47</v>
      </c>
      <c r="U683" s="187">
        <v>2.7139251499443645E-3</v>
      </c>
      <c r="V683" s="185">
        <v>8.9885200966157344E-3</v>
      </c>
      <c r="W683" s="185">
        <v>7.0794578438413622E-3</v>
      </c>
      <c r="X683" s="187">
        <v>2.7139251499443645E-3</v>
      </c>
      <c r="Y683" s="194">
        <v>6.99</v>
      </c>
      <c r="Z683" s="130">
        <v>3.48</v>
      </c>
      <c r="AA683" s="130">
        <v>3.7</v>
      </c>
      <c r="AB683" s="130">
        <v>3.59</v>
      </c>
      <c r="AC683" s="130">
        <v>0.87209999999999999</v>
      </c>
      <c r="AD683" s="130">
        <v>3.62</v>
      </c>
      <c r="AE683" s="130">
        <v>3.72</v>
      </c>
      <c r="AF683" s="130">
        <f t="shared" si="219"/>
        <v>3.7</v>
      </c>
      <c r="AG683" s="131">
        <v>4.51</v>
      </c>
      <c r="AH683" s="187">
        <v>3.8399999999999998E-12</v>
      </c>
      <c r="AI683" s="187"/>
      <c r="AJ683" s="136">
        <f t="shared" si="221"/>
        <v>-9.804235101945121</v>
      </c>
      <c r="AK683" s="136"/>
      <c r="AL683" s="136">
        <f t="shared" si="220"/>
        <v>-9.804235101945121</v>
      </c>
      <c r="AM683" s="136">
        <v>-19.715879999999999</v>
      </c>
      <c r="AN683" s="193">
        <v>-11.1</v>
      </c>
      <c r="AO683" s="481">
        <v>10.43</v>
      </c>
      <c r="AP683" s="481">
        <v>-2.2599999999999998</v>
      </c>
      <c r="AQ683" s="193" t="s">
        <v>6311</v>
      </c>
      <c r="AR683" s="193" t="s">
        <v>6311</v>
      </c>
      <c r="AS683" s="191"/>
      <c r="AT683" s="132" t="s">
        <v>266</v>
      </c>
      <c r="AU683" s="130">
        <v>6</v>
      </c>
      <c r="AV683" s="130">
        <v>120</v>
      </c>
      <c r="AW683" s="130">
        <v>114</v>
      </c>
      <c r="AX683" s="130">
        <v>28</v>
      </c>
      <c r="AY683" s="130" t="s">
        <v>8728</v>
      </c>
      <c r="AZ683" s="130" t="s">
        <v>1563</v>
      </c>
      <c r="BA683" s="130">
        <v>32</v>
      </c>
      <c r="BB683" s="139" t="s">
        <v>2485</v>
      </c>
      <c r="BC683" s="139" t="s">
        <v>8726</v>
      </c>
      <c r="BD683" s="139" t="s">
        <v>8374</v>
      </c>
      <c r="BE683" s="130" t="s">
        <v>2449</v>
      </c>
      <c r="BF683" s="130" t="s">
        <v>272</v>
      </c>
      <c r="BG683" s="130" t="s">
        <v>272</v>
      </c>
      <c r="BH683" s="130" t="s">
        <v>2486</v>
      </c>
      <c r="BI683" s="187">
        <v>6.3999999999999997E-6</v>
      </c>
      <c r="BJ683" s="187">
        <v>6.4000000000000001E-2</v>
      </c>
      <c r="BK683" s="130"/>
      <c r="BL683" s="187">
        <f t="shared" si="223"/>
        <v>3.8495680394507972E-2</v>
      </c>
      <c r="BM683" s="139" t="s">
        <v>2487</v>
      </c>
      <c r="BN683" s="130"/>
      <c r="BO683" s="130"/>
      <c r="BP683" s="130"/>
      <c r="BQ683" s="130"/>
      <c r="BR683" s="139" t="s">
        <v>2496</v>
      </c>
      <c r="BS683" s="130"/>
      <c r="BT683" s="130"/>
      <c r="BU683" s="195"/>
      <c r="BV683" s="130"/>
      <c r="BW683" s="130"/>
      <c r="BX683" s="130"/>
      <c r="BY683" s="130"/>
      <c r="BZ683" s="130"/>
      <c r="CA683" s="130"/>
      <c r="CB683" s="130"/>
      <c r="CC683" s="130"/>
      <c r="CD683" s="130"/>
      <c r="CE683" s="130"/>
      <c r="CF683" s="130"/>
      <c r="CG683" s="130"/>
      <c r="CH683" s="130"/>
      <c r="CI683" s="187"/>
      <c r="CJ683" s="187"/>
      <c r="CK683" s="131">
        <f t="shared" si="218"/>
        <v>0.60149500616418705</v>
      </c>
      <c r="CL683" s="188"/>
      <c r="CM683" s="188"/>
      <c r="CN683" s="188"/>
      <c r="CO683" s="139" t="s">
        <v>2488</v>
      </c>
      <c r="CP683" s="139" t="s">
        <v>2489</v>
      </c>
      <c r="CQ683" s="191" t="s">
        <v>272</v>
      </c>
      <c r="CR683" s="191"/>
      <c r="CS683" s="135" t="s">
        <v>539</v>
      </c>
      <c r="CT683" s="135"/>
      <c r="CU683" s="135"/>
      <c r="CV683" s="332">
        <f t="shared" si="224"/>
        <v>4.2405080467880697E-2</v>
      </c>
      <c r="CW683" s="329">
        <f t="shared" si="217"/>
        <v>0</v>
      </c>
      <c r="CX683" s="329"/>
      <c r="CY683" s="189" t="s">
        <v>5921</v>
      </c>
    </row>
    <row r="684" spans="1:103" ht="11.25" customHeight="1" x14ac:dyDescent="0.2">
      <c r="A684" s="72">
        <v>682</v>
      </c>
      <c r="B684" s="183">
        <v>1611</v>
      </c>
      <c r="C684" s="133" t="s">
        <v>6914</v>
      </c>
      <c r="D684" s="133"/>
      <c r="E684" s="134"/>
      <c r="F684" s="134" t="s">
        <v>4780</v>
      </c>
      <c r="G684" s="184">
        <v>166412788</v>
      </c>
      <c r="H684" s="138" t="s">
        <v>4781</v>
      </c>
      <c r="I684" s="138" t="s">
        <v>7844</v>
      </c>
      <c r="J684" s="138" t="s">
        <v>4782</v>
      </c>
      <c r="K684" s="138" t="s">
        <v>357</v>
      </c>
      <c r="L684" s="138"/>
      <c r="M684" s="138"/>
      <c r="N684" s="138"/>
      <c r="O684" s="138"/>
      <c r="P684" s="138"/>
      <c r="Q684" s="138"/>
      <c r="R684" s="138"/>
      <c r="S684" s="138"/>
      <c r="T684" s="135">
        <v>424.66</v>
      </c>
      <c r="U684" s="185"/>
      <c r="V684" s="185"/>
      <c r="W684" s="185">
        <v>1.3489628825916512E-4</v>
      </c>
      <c r="X684" s="185">
        <f>IF(W684=0,V684,W684)</f>
        <v>1.3489628825916512E-4</v>
      </c>
      <c r="Y684" s="204">
        <v>7</v>
      </c>
      <c r="Z684" s="135"/>
      <c r="AA684" s="135"/>
      <c r="AB684" s="135">
        <v>8.01</v>
      </c>
      <c r="AC684" s="135">
        <v>0.70909999999999995</v>
      </c>
      <c r="AD684" s="135">
        <v>8.66</v>
      </c>
      <c r="AE684" s="135">
        <v>9.6999999999999993</v>
      </c>
      <c r="AF684" s="135">
        <f t="shared" ref="AF684:AF702" si="225">IF(AA684=0,AD684,AA684)</f>
        <v>8.66</v>
      </c>
      <c r="AG684" s="136">
        <v>7.61</v>
      </c>
      <c r="AH684" s="185">
        <v>7.0599999999999995E-5</v>
      </c>
      <c r="AI684" s="185"/>
      <c r="AJ684" s="136">
        <f t="shared" si="221"/>
        <v>-2.5397616252608479</v>
      </c>
      <c r="AK684" s="136"/>
      <c r="AL684" s="136">
        <f t="shared" ref="AL684:AL695" si="226">IF(AK684=0,AJ684,AK684)</f>
        <v>-2.5397616252608479</v>
      </c>
      <c r="AM684" s="136">
        <v>-9.0040899999999997</v>
      </c>
      <c r="AN684" s="186">
        <v>-2.61</v>
      </c>
      <c r="AO684" s="481"/>
      <c r="AP684" s="481"/>
      <c r="AQ684" s="135" t="s">
        <v>6311</v>
      </c>
      <c r="AR684" s="135" t="s">
        <v>6312</v>
      </c>
      <c r="AS684" s="190"/>
      <c r="AT684" s="137" t="s">
        <v>266</v>
      </c>
      <c r="AU684" s="135">
        <v>6</v>
      </c>
      <c r="AV684" s="135">
        <v>120</v>
      </c>
      <c r="AW684" s="135">
        <v>114</v>
      </c>
      <c r="AX684" s="135">
        <v>28</v>
      </c>
      <c r="AY684" s="135" t="s">
        <v>8728</v>
      </c>
      <c r="AZ684" s="135" t="s">
        <v>1563</v>
      </c>
      <c r="BA684" s="135">
        <v>32</v>
      </c>
      <c r="BB684" s="138" t="s">
        <v>2485</v>
      </c>
      <c r="BC684" s="138" t="s">
        <v>8726</v>
      </c>
      <c r="BD684" s="138" t="s">
        <v>8374</v>
      </c>
      <c r="BE684" s="135" t="s">
        <v>2449</v>
      </c>
      <c r="BF684" s="135" t="s">
        <v>272</v>
      </c>
      <c r="BG684" s="135" t="s">
        <v>272</v>
      </c>
      <c r="BH684" s="135" t="s">
        <v>2486</v>
      </c>
      <c r="BI684" s="185">
        <v>6.3999999999999997E-6</v>
      </c>
      <c r="BJ684" s="185">
        <v>6.4000000000000001E-2</v>
      </c>
      <c r="BK684" s="135"/>
      <c r="BL684" s="185"/>
      <c r="BM684" s="138" t="s">
        <v>2487</v>
      </c>
      <c r="BN684" s="135"/>
      <c r="BO684" s="135"/>
      <c r="BP684" s="135"/>
      <c r="BQ684" s="135"/>
      <c r="BR684" s="138" t="s">
        <v>2496</v>
      </c>
      <c r="BS684" s="135"/>
      <c r="BT684" s="135"/>
      <c r="BU684" s="135"/>
      <c r="BV684" s="135"/>
      <c r="BW684" s="135"/>
      <c r="BX684" s="135"/>
      <c r="BY684" s="135"/>
      <c r="BZ684" s="135"/>
      <c r="CA684" s="135"/>
      <c r="CB684" s="135"/>
      <c r="CC684" s="135"/>
      <c r="CD684" s="135"/>
      <c r="CE684" s="135"/>
      <c r="CF684" s="135"/>
      <c r="CG684" s="135"/>
      <c r="CH684" s="135"/>
      <c r="CI684" s="185"/>
      <c r="CJ684" s="187"/>
      <c r="CK684" s="136">
        <f t="shared" si="218"/>
        <v>0</v>
      </c>
      <c r="CL684" s="188"/>
      <c r="CM684" s="188"/>
      <c r="CN684" s="188"/>
      <c r="CO684" s="138" t="s">
        <v>2488</v>
      </c>
      <c r="CP684" s="138" t="s">
        <v>2489</v>
      </c>
      <c r="CQ684" s="191" t="s">
        <v>272</v>
      </c>
      <c r="CR684" s="191"/>
      <c r="CS684" s="135" t="s">
        <v>539</v>
      </c>
      <c r="CT684" s="135"/>
      <c r="CU684" s="135"/>
      <c r="CV684" s="332">
        <f t="shared" si="224"/>
        <v>2.1077545040494548E-3</v>
      </c>
      <c r="CW684" s="329">
        <f t="shared" si="217"/>
        <v>0</v>
      </c>
      <c r="CX684" s="329"/>
      <c r="CY684" s="189" t="s">
        <v>6351</v>
      </c>
    </row>
    <row r="685" spans="1:103" ht="11.25" customHeight="1" x14ac:dyDescent="0.2">
      <c r="A685" s="72">
        <v>683</v>
      </c>
      <c r="B685" s="183">
        <v>996</v>
      </c>
      <c r="C685" s="133" t="s">
        <v>6915</v>
      </c>
      <c r="D685" s="133" t="s">
        <v>6568</v>
      </c>
      <c r="E685" s="134"/>
      <c r="F685" s="134" t="s">
        <v>2079</v>
      </c>
      <c r="G685" s="184">
        <v>84852153</v>
      </c>
      <c r="H685" s="138" t="s">
        <v>2080</v>
      </c>
      <c r="I685" s="138" t="s">
        <v>2080</v>
      </c>
      <c r="J685" s="138"/>
      <c r="K685" s="138" t="s">
        <v>349</v>
      </c>
      <c r="L685" s="138" t="s">
        <v>5527</v>
      </c>
      <c r="M685" s="138" t="s">
        <v>602</v>
      </c>
      <c r="N685" s="138" t="s">
        <v>6386</v>
      </c>
      <c r="O685" s="138" t="s">
        <v>2081</v>
      </c>
      <c r="P685" s="138"/>
      <c r="Q685" s="138"/>
      <c r="R685" s="138"/>
      <c r="S685" s="138"/>
      <c r="T685" s="135">
        <v>220.36</v>
      </c>
      <c r="U685" s="185">
        <v>22.690143401706298</v>
      </c>
      <c r="V685" s="185">
        <v>7.0067162824469049E-3</v>
      </c>
      <c r="W685" s="185">
        <v>0.16595869074375585</v>
      </c>
      <c r="X685" s="185">
        <v>22.690143401706298</v>
      </c>
      <c r="Y685" s="204">
        <v>6.83</v>
      </c>
      <c r="Z685" s="135">
        <v>5.77</v>
      </c>
      <c r="AA685" s="135"/>
      <c r="AB685" s="135">
        <v>5.2</v>
      </c>
      <c r="AC685" s="135">
        <v>0.65349999999999997</v>
      </c>
      <c r="AD685" s="135">
        <v>5.39</v>
      </c>
      <c r="AE685" s="135">
        <v>5.64</v>
      </c>
      <c r="AF685" s="135">
        <f t="shared" si="225"/>
        <v>5.39</v>
      </c>
      <c r="AG685" s="136">
        <v>5.39</v>
      </c>
      <c r="AH685" s="185">
        <v>5.9699999999999996E-6</v>
      </c>
      <c r="AI685" s="185">
        <v>4.3000000000000003E-6</v>
      </c>
      <c r="AJ685" s="136">
        <f t="shared" ref="AJ685:AJ695" si="227">LOG10(AH685*1000/(0.08206*298.15))</f>
        <v>-3.6125919951832826</v>
      </c>
      <c r="AK685" s="136">
        <f>LOG10(AI685*1000/(0.08206*298.15))</f>
        <v>-3.7550978707330653</v>
      </c>
      <c r="AL685" s="136">
        <f t="shared" si="226"/>
        <v>-3.7550978707330653</v>
      </c>
      <c r="AM685" s="136">
        <v>-7.7129099999999999</v>
      </c>
      <c r="AN685" s="186"/>
      <c r="AO685" s="481">
        <v>10.15</v>
      </c>
      <c r="AP685" s="481"/>
      <c r="AQ685" s="135" t="s">
        <v>6311</v>
      </c>
      <c r="AR685" s="135" t="s">
        <v>6311</v>
      </c>
      <c r="AS685" s="190"/>
      <c r="AT685" s="137" t="s">
        <v>266</v>
      </c>
      <c r="AU685" s="135">
        <v>6</v>
      </c>
      <c r="AV685" s="135">
        <v>120</v>
      </c>
      <c r="AW685" s="135">
        <v>114</v>
      </c>
      <c r="AX685" s="135">
        <v>28</v>
      </c>
      <c r="AY685" s="135" t="s">
        <v>8728</v>
      </c>
      <c r="AZ685" s="135" t="s">
        <v>1563</v>
      </c>
      <c r="BA685" s="135">
        <v>32</v>
      </c>
      <c r="BB685" s="138" t="s">
        <v>2485</v>
      </c>
      <c r="BC685" s="138" t="s">
        <v>8726</v>
      </c>
      <c r="BD685" s="138" t="s">
        <v>8374</v>
      </c>
      <c r="BE685" s="135" t="s">
        <v>2449</v>
      </c>
      <c r="BF685" s="135" t="s">
        <v>272</v>
      </c>
      <c r="BG685" s="135" t="s">
        <v>272</v>
      </c>
      <c r="BH685" s="135" t="s">
        <v>2486</v>
      </c>
      <c r="BI685" s="185">
        <v>6.3999999999999997E-6</v>
      </c>
      <c r="BJ685" s="185">
        <v>6.4000000000000001E-2</v>
      </c>
      <c r="BK685" s="135"/>
      <c r="BL685" s="185">
        <f>10^((-0.8981*Z685)+1.7108)</f>
        <v>3.3788040027167332E-4</v>
      </c>
      <c r="BM685" s="138" t="s">
        <v>2487</v>
      </c>
      <c r="BN685" s="135"/>
      <c r="BO685" s="135"/>
      <c r="BP685" s="135"/>
      <c r="BQ685" s="135"/>
      <c r="BR685" s="138" t="s">
        <v>2496</v>
      </c>
      <c r="BS685" s="135"/>
      <c r="BT685" s="135"/>
      <c r="BU685" s="135">
        <v>6.3999999999999997E-5</v>
      </c>
      <c r="BV685" s="135"/>
      <c r="BW685" s="135"/>
      <c r="BX685" s="135"/>
      <c r="BY685" s="135"/>
      <c r="BZ685" s="135"/>
      <c r="CA685" s="135"/>
      <c r="CB685" s="135"/>
      <c r="CC685" s="135"/>
      <c r="CD685" s="135"/>
      <c r="CE685" s="135"/>
      <c r="CF685" s="135"/>
      <c r="CG685" s="135"/>
      <c r="CH685" s="135"/>
      <c r="CI685" s="185"/>
      <c r="CJ685" s="187"/>
      <c r="CK685" s="136">
        <f t="shared" si="218"/>
        <v>5.2793812542448956E-3</v>
      </c>
      <c r="CL685" s="188"/>
      <c r="CM685" s="188"/>
      <c r="CN685" s="188"/>
      <c r="CO685" s="138" t="s">
        <v>2488</v>
      </c>
      <c r="CP685" s="138" t="s">
        <v>2489</v>
      </c>
      <c r="CQ685" s="183">
        <v>-3.02298647759023</v>
      </c>
      <c r="CR685" s="191">
        <f>10^(CJ685-CQ685)</f>
        <v>1054.3540669856475</v>
      </c>
      <c r="CS685" s="135" t="s">
        <v>539</v>
      </c>
      <c r="CT685" s="135"/>
      <c r="CU685" s="135"/>
      <c r="CV685" s="332">
        <f t="shared" si="224"/>
        <v>354.53349065166088</v>
      </c>
      <c r="CW685" s="329">
        <f t="shared" si="217"/>
        <v>1</v>
      </c>
      <c r="CX685" s="329"/>
      <c r="CY685" s="189" t="s">
        <v>6351</v>
      </c>
    </row>
    <row r="686" spans="1:103" ht="11.25" customHeight="1" x14ac:dyDescent="0.2">
      <c r="A686" s="72">
        <v>684</v>
      </c>
      <c r="B686" s="191">
        <v>71</v>
      </c>
      <c r="C686" s="128" t="s">
        <v>6916</v>
      </c>
      <c r="D686" s="128"/>
      <c r="E686" s="129"/>
      <c r="F686" s="129" t="s">
        <v>3640</v>
      </c>
      <c r="G686" s="192">
        <v>177785476</v>
      </c>
      <c r="H686" s="139" t="s">
        <v>3641</v>
      </c>
      <c r="I686" s="139" t="s">
        <v>7967</v>
      </c>
      <c r="J686" s="206" t="s">
        <v>3642</v>
      </c>
      <c r="K686" s="206" t="s">
        <v>731</v>
      </c>
      <c r="L686" s="139"/>
      <c r="M686" s="139"/>
      <c r="N686" s="138"/>
      <c r="O686" s="207"/>
      <c r="P686" s="138"/>
      <c r="Q686" s="138"/>
      <c r="R686" s="138"/>
      <c r="S686" s="138"/>
      <c r="T686" s="193">
        <v>411.63</v>
      </c>
      <c r="U686" s="187"/>
      <c r="V686" s="187">
        <v>1.0820396958433545</v>
      </c>
      <c r="W686" s="187">
        <v>0.64565422903465508</v>
      </c>
      <c r="X686" s="187">
        <f>IF(W686=0,V686,W686)</f>
        <v>0.64565422903465508</v>
      </c>
      <c r="Y686" s="194">
        <v>3.55</v>
      </c>
      <c r="Z686" s="130">
        <v>1.92</v>
      </c>
      <c r="AA686" s="130"/>
      <c r="AB686" s="130">
        <v>1.93</v>
      </c>
      <c r="AC686" s="130">
        <v>0.78</v>
      </c>
      <c r="AD686" s="130">
        <v>2.1800000000000002</v>
      </c>
      <c r="AE686" s="130">
        <v>2.93</v>
      </c>
      <c r="AF686" s="130">
        <f t="shared" si="225"/>
        <v>2.1800000000000002</v>
      </c>
      <c r="AG686" s="130">
        <v>4.3600000000000003</v>
      </c>
      <c r="AH686" s="187">
        <v>7.0000000000000001E-12</v>
      </c>
      <c r="AI686" s="187"/>
      <c r="AJ686" s="136">
        <f t="shared" si="227"/>
        <v>-9.5434682862983955</v>
      </c>
      <c r="AK686" s="136"/>
      <c r="AL686" s="136">
        <f t="shared" si="226"/>
        <v>-9.5434682862983955</v>
      </c>
      <c r="AM686" s="136">
        <v>-16.244520000000001</v>
      </c>
      <c r="AN686" s="130">
        <v>-12.89</v>
      </c>
      <c r="AO686" s="481">
        <v>3.66</v>
      </c>
      <c r="AP686" s="481">
        <v>-2.46</v>
      </c>
      <c r="AQ686" s="130" t="s">
        <v>6311</v>
      </c>
      <c r="AR686" s="130" t="s">
        <v>6311</v>
      </c>
      <c r="AS686" s="198"/>
      <c r="AT686" s="132" t="s">
        <v>266</v>
      </c>
      <c r="AU686" s="130">
        <v>6</v>
      </c>
      <c r="AV686" s="130">
        <v>120</v>
      </c>
      <c r="AW686" s="130">
        <v>114</v>
      </c>
      <c r="AX686" s="130">
        <v>28</v>
      </c>
      <c r="AY686" s="130" t="s">
        <v>8728</v>
      </c>
      <c r="AZ686" s="130" t="s">
        <v>1563</v>
      </c>
      <c r="BA686" s="130">
        <v>32</v>
      </c>
      <c r="BB686" s="139" t="s">
        <v>2485</v>
      </c>
      <c r="BC686" s="139" t="s">
        <v>8726</v>
      </c>
      <c r="BD686" s="139" t="s">
        <v>8374</v>
      </c>
      <c r="BE686" s="130" t="s">
        <v>2449</v>
      </c>
      <c r="BF686" s="130" t="s">
        <v>272</v>
      </c>
      <c r="BG686" s="130" t="s">
        <v>272</v>
      </c>
      <c r="BH686" s="130" t="s">
        <v>2486</v>
      </c>
      <c r="BI686" s="187">
        <v>6.3999999999999997E-6</v>
      </c>
      <c r="BJ686" s="187">
        <v>6.4000000000000001E-2</v>
      </c>
      <c r="BK686" s="130"/>
      <c r="BL686" s="187">
        <f>10^((-0.8981*Z686)+1.7108)</f>
        <v>0.96927720650321159</v>
      </c>
      <c r="BM686" s="139" t="s">
        <v>2487</v>
      </c>
      <c r="BN686" s="130"/>
      <c r="BO686" s="130"/>
      <c r="BP686" s="130"/>
      <c r="BQ686" s="130"/>
      <c r="BR686" s="139" t="s">
        <v>2496</v>
      </c>
      <c r="BS686" s="130"/>
      <c r="BT686" s="130"/>
      <c r="BU686" s="195"/>
      <c r="BV686" s="130"/>
      <c r="BW686" s="130"/>
      <c r="BX686" s="130"/>
      <c r="BY686" s="130"/>
      <c r="BZ686" s="130"/>
      <c r="CA686" s="130"/>
      <c r="CB686" s="130"/>
      <c r="CC686" s="130"/>
      <c r="CD686" s="130"/>
      <c r="CE686" s="130"/>
      <c r="CF686" s="130"/>
      <c r="CG686" s="130"/>
      <c r="CH686" s="130"/>
      <c r="CI686" s="187"/>
      <c r="CJ686" s="187"/>
      <c r="CK686" s="131">
        <f t="shared" si="218"/>
        <v>15.144956351612681</v>
      </c>
      <c r="CL686" s="188"/>
      <c r="CM686" s="188"/>
      <c r="CN686" s="188"/>
      <c r="CO686" s="139" t="s">
        <v>2488</v>
      </c>
      <c r="CP686" s="139" t="s">
        <v>2489</v>
      </c>
      <c r="CQ686" s="191" t="s">
        <v>272</v>
      </c>
      <c r="CR686" s="191"/>
      <c r="CS686" s="135" t="s">
        <v>539</v>
      </c>
      <c r="CT686" s="135"/>
      <c r="CU686" s="135"/>
      <c r="CV686" s="332">
        <f t="shared" si="224"/>
        <v>10.088347328666485</v>
      </c>
      <c r="CW686" s="329">
        <f t="shared" si="217"/>
        <v>1</v>
      </c>
      <c r="CX686" s="329"/>
      <c r="CY686" s="189" t="s">
        <v>5921</v>
      </c>
    </row>
    <row r="687" spans="1:103" ht="11.25" customHeight="1" x14ac:dyDescent="0.2">
      <c r="A687" s="72">
        <v>685</v>
      </c>
      <c r="B687" s="183">
        <v>1687</v>
      </c>
      <c r="C687" s="133" t="s">
        <v>4919</v>
      </c>
      <c r="D687" s="133" t="s">
        <v>6680</v>
      </c>
      <c r="E687" s="134"/>
      <c r="F687" s="134" t="s">
        <v>4920</v>
      </c>
      <c r="G687" s="184">
        <v>76448</v>
      </c>
      <c r="H687" s="138" t="s">
        <v>4921</v>
      </c>
      <c r="I687" s="138" t="s">
        <v>5514</v>
      </c>
      <c r="J687" s="138" t="s">
        <v>4922</v>
      </c>
      <c r="K687" s="138" t="s">
        <v>1139</v>
      </c>
      <c r="L687" s="138" t="s">
        <v>617</v>
      </c>
      <c r="M687" s="197" t="s">
        <v>6080</v>
      </c>
      <c r="N687" s="138" t="s">
        <v>6376</v>
      </c>
      <c r="O687" s="138" t="s">
        <v>6083</v>
      </c>
      <c r="P687" s="138"/>
      <c r="Q687" s="138"/>
      <c r="R687" s="138"/>
      <c r="S687" s="138"/>
      <c r="T687" s="135">
        <v>373.32</v>
      </c>
      <c r="U687" s="185">
        <v>4.8216007714561236E-4</v>
      </c>
      <c r="V687" s="185">
        <v>2.5516982749383904E-4</v>
      </c>
      <c r="W687" s="185">
        <v>3.8018939632056091E-4</v>
      </c>
      <c r="X687" s="185">
        <v>4.8216007714561236E-4</v>
      </c>
      <c r="Y687" s="204">
        <v>7</v>
      </c>
      <c r="Z687" s="135">
        <v>5.86</v>
      </c>
      <c r="AA687" s="135">
        <v>5.47</v>
      </c>
      <c r="AB687" s="135">
        <v>5.56</v>
      </c>
      <c r="AC687" s="135">
        <v>0.88070000000000004</v>
      </c>
      <c r="AD687" s="135">
        <v>5.54</v>
      </c>
      <c r="AE687" s="135">
        <v>5.46</v>
      </c>
      <c r="AF687" s="135">
        <f t="shared" si="225"/>
        <v>5.47</v>
      </c>
      <c r="AG687" s="136">
        <v>4.68</v>
      </c>
      <c r="AH687" s="185">
        <v>1.76E-4</v>
      </c>
      <c r="AI687" s="185">
        <v>2.9399999999999999E-4</v>
      </c>
      <c r="AJ687" s="136">
        <f t="shared" si="227"/>
        <v>-2.143053658498502</v>
      </c>
      <c r="AK687" s="136">
        <f>LOG10(AI687*1000/(0.08206*298.15))</f>
        <v>-1.9202189959004945</v>
      </c>
      <c r="AL687" s="136">
        <f t="shared" si="226"/>
        <v>-1.9202189959004945</v>
      </c>
      <c r="AM687" s="136">
        <v>-7.7129900000000005</v>
      </c>
      <c r="AN687" s="186">
        <v>-2.35</v>
      </c>
      <c r="AO687" s="481"/>
      <c r="AP687" s="481"/>
      <c r="AQ687" s="186" t="s">
        <v>6311</v>
      </c>
      <c r="AR687" s="186" t="s">
        <v>6311</v>
      </c>
      <c r="AS687" s="183"/>
      <c r="AT687" s="137" t="s">
        <v>266</v>
      </c>
      <c r="AU687" s="135">
        <v>6</v>
      </c>
      <c r="AV687" s="135">
        <v>120</v>
      </c>
      <c r="AW687" s="135">
        <v>114</v>
      </c>
      <c r="AX687" s="135">
        <v>28</v>
      </c>
      <c r="AY687" s="135" t="s">
        <v>8728</v>
      </c>
      <c r="AZ687" s="135" t="s">
        <v>1563</v>
      </c>
      <c r="BA687" s="135">
        <v>32</v>
      </c>
      <c r="BB687" s="138" t="s">
        <v>2485</v>
      </c>
      <c r="BC687" s="138" t="s">
        <v>8726</v>
      </c>
      <c r="BD687" s="138" t="s">
        <v>8374</v>
      </c>
      <c r="BE687" s="135" t="s">
        <v>2449</v>
      </c>
      <c r="BF687" s="135" t="s">
        <v>272</v>
      </c>
      <c r="BG687" s="135" t="s">
        <v>272</v>
      </c>
      <c r="BH687" s="135" t="s">
        <v>2486</v>
      </c>
      <c r="BI687" s="185">
        <v>6.3999999999999997E-6</v>
      </c>
      <c r="BJ687" s="185">
        <v>6.4000000000000001E-2</v>
      </c>
      <c r="BK687" s="135"/>
      <c r="BL687" s="185">
        <f>10^((-0.8981*Z687)+1.7108)</f>
        <v>2.8050073268674124E-4</v>
      </c>
      <c r="BM687" s="138" t="s">
        <v>2487</v>
      </c>
      <c r="BN687" s="135"/>
      <c r="BO687" s="135"/>
      <c r="BP687" s="135"/>
      <c r="BQ687" s="135"/>
      <c r="BR687" s="138" t="s">
        <v>2496</v>
      </c>
      <c r="BS687" s="135"/>
      <c r="BT687" s="135"/>
      <c r="BU687" s="135"/>
      <c r="BV687" s="135"/>
      <c r="BW687" s="135"/>
      <c r="BX687" s="135"/>
      <c r="BY687" s="135"/>
      <c r="BZ687" s="135"/>
      <c r="CA687" s="135"/>
      <c r="CB687" s="135"/>
      <c r="CC687" s="135"/>
      <c r="CD687" s="135"/>
      <c r="CE687" s="135"/>
      <c r="CF687" s="135"/>
      <c r="CG687" s="135"/>
      <c r="CH687" s="135"/>
      <c r="CI687" s="185"/>
      <c r="CJ687" s="187"/>
      <c r="CK687" s="136">
        <f t="shared" si="218"/>
        <v>4.382823948230332E-3</v>
      </c>
      <c r="CL687" s="188"/>
      <c r="CM687" s="188">
        <v>-4.4253497746264783</v>
      </c>
      <c r="CN687" s="188">
        <f>BJ687/(10^CM687)</f>
        <v>1704.2360532831012</v>
      </c>
      <c r="CO687" s="138" t="s">
        <v>2488</v>
      </c>
      <c r="CP687" s="138" t="s">
        <v>2489</v>
      </c>
      <c r="CQ687" s="183">
        <v>-4.2922227173172196</v>
      </c>
      <c r="CR687" s="191">
        <f>10^(CJ687-CQ687)</f>
        <v>19598.494767735847</v>
      </c>
      <c r="CS687" s="135" t="s">
        <v>539</v>
      </c>
      <c r="CT687" s="135"/>
      <c r="CU687" s="135"/>
      <c r="CV687" s="332">
        <f t="shared" si="224"/>
        <v>7.5337512054001934E-3</v>
      </c>
      <c r="CW687" s="329">
        <f t="shared" si="217"/>
        <v>0</v>
      </c>
      <c r="CX687" s="329"/>
      <c r="CY687" s="189" t="s">
        <v>5921</v>
      </c>
    </row>
    <row r="688" spans="1:103" ht="11.25" customHeight="1" x14ac:dyDescent="0.2">
      <c r="A688" s="72">
        <v>686</v>
      </c>
      <c r="B688" s="183">
        <v>1749</v>
      </c>
      <c r="C688" s="133" t="s">
        <v>6917</v>
      </c>
      <c r="D688" s="133"/>
      <c r="E688" s="134"/>
      <c r="F688" s="134" t="s">
        <v>5039</v>
      </c>
      <c r="G688" s="184">
        <v>210826407</v>
      </c>
      <c r="H688" s="138" t="s">
        <v>5040</v>
      </c>
      <c r="I688" s="138" t="s">
        <v>7760</v>
      </c>
      <c r="J688" s="138" t="s">
        <v>5041</v>
      </c>
      <c r="K688" s="138" t="s">
        <v>349</v>
      </c>
      <c r="L688" s="138"/>
      <c r="M688" s="138"/>
      <c r="N688" s="138"/>
      <c r="O688" s="138"/>
      <c r="P688" s="138"/>
      <c r="Q688" s="138"/>
      <c r="R688" s="138"/>
      <c r="S688" s="138"/>
      <c r="T688" s="135">
        <v>330.46</v>
      </c>
      <c r="U688" s="185"/>
      <c r="V688" s="185">
        <v>1.6582944985777404E-4</v>
      </c>
      <c r="W688" s="185">
        <v>1.4791083881682055E-3</v>
      </c>
      <c r="X688" s="185">
        <f t="shared" ref="X688:X702" si="228">IF(W688=0,V688,W688)</f>
        <v>1.4791083881682055E-3</v>
      </c>
      <c r="Y688" s="204">
        <v>7</v>
      </c>
      <c r="Z688" s="135">
        <v>6.73</v>
      </c>
      <c r="AA688" s="135"/>
      <c r="AB688" s="135">
        <v>6.34</v>
      </c>
      <c r="AC688" s="135">
        <v>0.6321</v>
      </c>
      <c r="AD688" s="135">
        <v>6.57</v>
      </c>
      <c r="AE688" s="135">
        <v>6.85</v>
      </c>
      <c r="AF688" s="135">
        <f t="shared" si="225"/>
        <v>6.57</v>
      </c>
      <c r="AG688" s="136">
        <v>6.61</v>
      </c>
      <c r="AH688" s="185">
        <v>1.3799999999999999E-8</v>
      </c>
      <c r="AI688" s="185"/>
      <c r="AJ688" s="136">
        <f t="shared" si="227"/>
        <v>-6.2486872399114155</v>
      </c>
      <c r="AK688" s="136"/>
      <c r="AL688" s="136">
        <f t="shared" si="226"/>
        <v>-6.2486872399114155</v>
      </c>
      <c r="AM688" s="136">
        <v>-12.430519999999998</v>
      </c>
      <c r="AN688" s="186">
        <v>-7.04</v>
      </c>
      <c r="AO688" s="481">
        <v>10.71</v>
      </c>
      <c r="AP688" s="481"/>
      <c r="AQ688" s="186" t="s">
        <v>6311</v>
      </c>
      <c r="AR688" s="186" t="s">
        <v>6311</v>
      </c>
      <c r="AS688" s="183"/>
      <c r="AT688" s="137" t="s">
        <v>266</v>
      </c>
      <c r="AU688" s="135">
        <v>6</v>
      </c>
      <c r="AV688" s="135">
        <v>120</v>
      </c>
      <c r="AW688" s="135">
        <v>114</v>
      </c>
      <c r="AX688" s="135">
        <v>28</v>
      </c>
      <c r="AY688" s="135" t="s">
        <v>8728</v>
      </c>
      <c r="AZ688" s="135" t="s">
        <v>1563</v>
      </c>
      <c r="BA688" s="135">
        <v>32</v>
      </c>
      <c r="BB688" s="138" t="s">
        <v>2485</v>
      </c>
      <c r="BC688" s="138" t="s">
        <v>8726</v>
      </c>
      <c r="BD688" s="138" t="s">
        <v>8374</v>
      </c>
      <c r="BE688" s="135" t="s">
        <v>2449</v>
      </c>
      <c r="BF688" s="135" t="s">
        <v>272</v>
      </c>
      <c r="BG688" s="135" t="s">
        <v>272</v>
      </c>
      <c r="BH688" s="135" t="s">
        <v>2486</v>
      </c>
      <c r="BI688" s="185">
        <v>6.3999999999999997E-6</v>
      </c>
      <c r="BJ688" s="185">
        <v>6.4000000000000001E-2</v>
      </c>
      <c r="BK688" s="135"/>
      <c r="BL688" s="185">
        <f>10^((-0.8981*Z688)+1.7108)</f>
        <v>4.6407374619932546E-5</v>
      </c>
      <c r="BM688" s="138" t="s">
        <v>2487</v>
      </c>
      <c r="BN688" s="135"/>
      <c r="BO688" s="135"/>
      <c r="BP688" s="135"/>
      <c r="BQ688" s="135"/>
      <c r="BR688" s="138" t="s">
        <v>2496</v>
      </c>
      <c r="BS688" s="135"/>
      <c r="BT688" s="135"/>
      <c r="BU688" s="135"/>
      <c r="BV688" s="135"/>
      <c r="BW688" s="135"/>
      <c r="BX688" s="135"/>
      <c r="BY688" s="135"/>
      <c r="BZ688" s="135"/>
      <c r="CA688" s="135"/>
      <c r="CB688" s="135"/>
      <c r="CC688" s="135"/>
      <c r="CD688" s="135"/>
      <c r="CE688" s="135"/>
      <c r="CF688" s="135"/>
      <c r="CG688" s="135"/>
      <c r="CH688" s="135"/>
      <c r="CI688" s="185"/>
      <c r="CJ688" s="187"/>
      <c r="CK688" s="136">
        <f t="shared" si="218"/>
        <v>7.25115228436446E-4</v>
      </c>
      <c r="CL688" s="188"/>
      <c r="CM688" s="188"/>
      <c r="CN688" s="188"/>
      <c r="CO688" s="138" t="s">
        <v>2488</v>
      </c>
      <c r="CP688" s="138" t="s">
        <v>2489</v>
      </c>
      <c r="CQ688" s="191" t="s">
        <v>272</v>
      </c>
      <c r="CR688" s="191"/>
      <c r="CS688" s="135" t="s">
        <v>539</v>
      </c>
      <c r="CT688" s="135"/>
      <c r="CU688" s="135"/>
      <c r="CV688" s="332">
        <f t="shared" si="224"/>
        <v>2.311106856512821E-2</v>
      </c>
      <c r="CW688" s="329">
        <f t="shared" si="217"/>
        <v>0</v>
      </c>
      <c r="CX688" s="329"/>
      <c r="CY688" s="189" t="s">
        <v>5921</v>
      </c>
    </row>
    <row r="689" spans="1:103" ht="11.25" customHeight="1" x14ac:dyDescent="0.2">
      <c r="A689" s="72">
        <v>687</v>
      </c>
      <c r="B689" s="183">
        <v>1654</v>
      </c>
      <c r="C689" s="133" t="s">
        <v>6918</v>
      </c>
      <c r="D689" s="133"/>
      <c r="E689" s="134"/>
      <c r="F689" s="134" t="s">
        <v>4868</v>
      </c>
      <c r="G689" s="184">
        <v>221246124</v>
      </c>
      <c r="H689" s="208" t="s">
        <v>4869</v>
      </c>
      <c r="I689" s="208" t="s">
        <v>7829</v>
      </c>
      <c r="J689" s="208" t="s">
        <v>4870</v>
      </c>
      <c r="K689" s="138" t="s">
        <v>4871</v>
      </c>
      <c r="L689" s="138"/>
      <c r="M689" s="138"/>
      <c r="N689" s="138"/>
      <c r="O689" s="138"/>
      <c r="P689" s="138"/>
      <c r="Q689" s="138"/>
      <c r="R689" s="138"/>
      <c r="S689" s="138"/>
      <c r="T689" s="135">
        <v>576.67999999999995</v>
      </c>
      <c r="U689" s="185"/>
      <c r="V689" s="185">
        <v>9.4749254352500525E-5</v>
      </c>
      <c r="W689" s="185">
        <v>1.3803842646028826E-2</v>
      </c>
      <c r="X689" s="185">
        <f t="shared" si="228"/>
        <v>1.3803842646028826E-2</v>
      </c>
      <c r="Y689" s="204">
        <v>8.69</v>
      </c>
      <c r="Z689" s="135">
        <v>4.24</v>
      </c>
      <c r="AA689" s="135"/>
      <c r="AB689" s="135">
        <v>4.2300000000000004</v>
      </c>
      <c r="AC689" s="135">
        <v>0.54820000000000002</v>
      </c>
      <c r="AD689" s="135">
        <v>4.1500000000000004</v>
      </c>
      <c r="AE689" s="135">
        <v>4.05</v>
      </c>
      <c r="AF689" s="135">
        <f t="shared" si="225"/>
        <v>4.1500000000000004</v>
      </c>
      <c r="AG689" s="136">
        <v>5.81</v>
      </c>
      <c r="AH689" s="185">
        <v>3.0699999999999998E-23</v>
      </c>
      <c r="AI689" s="185"/>
      <c r="AJ689" s="136">
        <f t="shared" si="227"/>
        <v>-20.901427950835465</v>
      </c>
      <c r="AK689" s="136"/>
      <c r="AL689" s="136">
        <f t="shared" si="226"/>
        <v>-20.901427950835465</v>
      </c>
      <c r="AM689" s="136">
        <v>-28.123570000000001</v>
      </c>
      <c r="AN689" s="186">
        <v>-19.2</v>
      </c>
      <c r="AO689" s="481">
        <v>13.63</v>
      </c>
      <c r="AP689" s="481">
        <v>9.0500000000000007</v>
      </c>
      <c r="AQ689" s="186" t="s">
        <v>6311</v>
      </c>
      <c r="AR689" s="186" t="s">
        <v>6311</v>
      </c>
      <c r="AS689" s="183"/>
      <c r="AT689" s="137" t="s">
        <v>266</v>
      </c>
      <c r="AU689" s="135">
        <v>6</v>
      </c>
      <c r="AV689" s="135">
        <v>120</v>
      </c>
      <c r="AW689" s="135">
        <v>114</v>
      </c>
      <c r="AX689" s="135">
        <v>28</v>
      </c>
      <c r="AY689" s="135" t="s">
        <v>8728</v>
      </c>
      <c r="AZ689" s="135" t="s">
        <v>1563</v>
      </c>
      <c r="BA689" s="135">
        <v>32</v>
      </c>
      <c r="BB689" s="138" t="s">
        <v>2485</v>
      </c>
      <c r="BC689" s="138" t="s">
        <v>8726</v>
      </c>
      <c r="BD689" s="138" t="s">
        <v>8374</v>
      </c>
      <c r="BE689" s="135" t="s">
        <v>2449</v>
      </c>
      <c r="BF689" s="135" t="s">
        <v>272</v>
      </c>
      <c r="BG689" s="135" t="s">
        <v>272</v>
      </c>
      <c r="BH689" s="135" t="s">
        <v>2486</v>
      </c>
      <c r="BI689" s="185">
        <v>6.3999999999999997E-6</v>
      </c>
      <c r="BJ689" s="185">
        <v>6.4000000000000001E-2</v>
      </c>
      <c r="BK689" s="135"/>
      <c r="BL689" s="185">
        <f>10^((-0.8981*Z689)+1.7108)</f>
        <v>7.9956909612284976E-3</v>
      </c>
      <c r="BM689" s="138" t="s">
        <v>2487</v>
      </c>
      <c r="BN689" s="135"/>
      <c r="BO689" s="135"/>
      <c r="BP689" s="135"/>
      <c r="BQ689" s="135"/>
      <c r="BR689" s="138" t="s">
        <v>2496</v>
      </c>
      <c r="BS689" s="135"/>
      <c r="BT689" s="135"/>
      <c r="BU689" s="135"/>
      <c r="BV689" s="135"/>
      <c r="BW689" s="135"/>
      <c r="BX689" s="135"/>
      <c r="BY689" s="135"/>
      <c r="BZ689" s="135"/>
      <c r="CA689" s="135"/>
      <c r="CB689" s="135"/>
      <c r="CC689" s="135"/>
      <c r="CD689" s="135"/>
      <c r="CE689" s="135"/>
      <c r="CF689" s="135"/>
      <c r="CG689" s="135"/>
      <c r="CH689" s="135"/>
      <c r="CI689" s="185"/>
      <c r="CJ689" s="187"/>
      <c r="CK689" s="136">
        <f t="shared" si="218"/>
        <v>0.12493267126919527</v>
      </c>
      <c r="CL689" s="188"/>
      <c r="CM689" s="188"/>
      <c r="CN689" s="188"/>
      <c r="CO689" s="138" t="s">
        <v>2488</v>
      </c>
      <c r="CP689" s="138" t="s">
        <v>2489</v>
      </c>
      <c r="CQ689" s="191" t="s">
        <v>272</v>
      </c>
      <c r="CR689" s="191"/>
      <c r="CS689" s="135" t="s">
        <v>539</v>
      </c>
      <c r="CT689" s="135"/>
      <c r="CU689" s="135"/>
      <c r="CV689" s="332">
        <f t="shared" si="224"/>
        <v>0.21568504134420041</v>
      </c>
      <c r="CW689" s="329">
        <f t="shared" si="217"/>
        <v>0</v>
      </c>
      <c r="CX689" s="329"/>
      <c r="CY689" s="189" t="s">
        <v>5921</v>
      </c>
    </row>
    <row r="690" spans="1:103" ht="11.25" customHeight="1" x14ac:dyDescent="0.2">
      <c r="A690" s="72">
        <v>688</v>
      </c>
      <c r="B690" s="183">
        <v>1328</v>
      </c>
      <c r="C690" s="133" t="s">
        <v>6919</v>
      </c>
      <c r="D690" s="133"/>
      <c r="E690" s="134"/>
      <c r="F690" s="134" t="s">
        <v>3616</v>
      </c>
      <c r="G690" s="184">
        <v>221671621</v>
      </c>
      <c r="H690" s="201" t="s">
        <v>3617</v>
      </c>
      <c r="I690" s="201"/>
      <c r="J690" s="201" t="s">
        <v>3618</v>
      </c>
      <c r="K690" s="201"/>
      <c r="L690" s="138"/>
      <c r="M690" s="138"/>
      <c r="N690" s="138"/>
      <c r="O690" s="141"/>
      <c r="P690" s="138"/>
      <c r="Q690" s="138"/>
      <c r="R690" s="138"/>
      <c r="S690" s="138"/>
      <c r="T690" s="209">
        <v>610.16999999999996</v>
      </c>
      <c r="U690" s="408"/>
      <c r="V690" s="185">
        <f>0.000004854/610.17</f>
        <v>7.9551600373666356E-9</v>
      </c>
      <c r="W690" s="185">
        <v>9.3325430079699008E-4</v>
      </c>
      <c r="X690" s="185">
        <f t="shared" si="228"/>
        <v>9.3325430079699008E-4</v>
      </c>
      <c r="Y690" s="204">
        <v>6.03</v>
      </c>
      <c r="Z690" s="135">
        <v>8.73</v>
      </c>
      <c r="AA690" s="135"/>
      <c r="AB690" s="135">
        <v>6.82</v>
      </c>
      <c r="AC690" s="135">
        <v>0.50219999999999998</v>
      </c>
      <c r="AD690" s="135">
        <v>7.56</v>
      </c>
      <c r="AE690" s="135">
        <v>8.3800000000000008</v>
      </c>
      <c r="AF690" s="135">
        <f t="shared" si="225"/>
        <v>7.56</v>
      </c>
      <c r="AG690" s="135">
        <v>5.71</v>
      </c>
      <c r="AH690" s="185">
        <v>1.84E-20</v>
      </c>
      <c r="AI690" s="185"/>
      <c r="AJ690" s="136">
        <f t="shared" si="227"/>
        <v>-18.123748503303116</v>
      </c>
      <c r="AK690" s="136"/>
      <c r="AL690" s="136">
        <f t="shared" si="226"/>
        <v>-18.123748503303116</v>
      </c>
      <c r="AM690" s="136">
        <v>-28.812149999999999</v>
      </c>
      <c r="AN690" s="135">
        <v>-19.600000000000001</v>
      </c>
      <c r="AO690" s="481">
        <v>4.01</v>
      </c>
      <c r="AP690" s="481">
        <v>1.71</v>
      </c>
      <c r="AQ690" s="135" t="s">
        <v>6311</v>
      </c>
      <c r="AR690" s="135" t="s">
        <v>6311</v>
      </c>
      <c r="AS690" s="190"/>
      <c r="AT690" s="137" t="s">
        <v>266</v>
      </c>
      <c r="AU690" s="135">
        <v>6</v>
      </c>
      <c r="AV690" s="135">
        <v>120</v>
      </c>
      <c r="AW690" s="135">
        <v>114</v>
      </c>
      <c r="AX690" s="135">
        <v>28</v>
      </c>
      <c r="AY690" s="135" t="s">
        <v>8728</v>
      </c>
      <c r="AZ690" s="135" t="s">
        <v>1563</v>
      </c>
      <c r="BA690" s="135">
        <v>32</v>
      </c>
      <c r="BB690" s="138" t="s">
        <v>2485</v>
      </c>
      <c r="BC690" s="138" t="s">
        <v>8726</v>
      </c>
      <c r="BD690" s="138" t="s">
        <v>8374</v>
      </c>
      <c r="BE690" s="135" t="s">
        <v>2449</v>
      </c>
      <c r="BF690" s="135" t="s">
        <v>272</v>
      </c>
      <c r="BG690" s="135" t="s">
        <v>272</v>
      </c>
      <c r="BH690" s="135" t="s">
        <v>2486</v>
      </c>
      <c r="BI690" s="185">
        <v>6.3999999999999997E-6</v>
      </c>
      <c r="BJ690" s="185">
        <v>6.4000000000000001E-2</v>
      </c>
      <c r="BK690" s="135"/>
      <c r="BL690" s="185"/>
      <c r="BM690" s="138" t="s">
        <v>2487</v>
      </c>
      <c r="BN690" s="135"/>
      <c r="BO690" s="135"/>
      <c r="BP690" s="135"/>
      <c r="BQ690" s="135"/>
      <c r="BR690" s="138" t="s">
        <v>2496</v>
      </c>
      <c r="BS690" s="135"/>
      <c r="BT690" s="135"/>
      <c r="BU690" s="135"/>
      <c r="BV690" s="135"/>
      <c r="BW690" s="135"/>
      <c r="BX690" s="135"/>
      <c r="BY690" s="135"/>
      <c r="BZ690" s="135"/>
      <c r="CA690" s="135"/>
      <c r="CB690" s="135"/>
      <c r="CC690" s="135"/>
      <c r="CD690" s="135"/>
      <c r="CE690" s="135"/>
      <c r="CF690" s="135"/>
      <c r="CG690" s="135"/>
      <c r="CH690" s="135"/>
      <c r="CI690" s="185"/>
      <c r="CJ690" s="187"/>
      <c r="CK690" s="136">
        <f t="shared" si="218"/>
        <v>0</v>
      </c>
      <c r="CL690" s="188"/>
      <c r="CM690" s="188"/>
      <c r="CN690" s="188"/>
      <c r="CO690" s="138" t="s">
        <v>2488</v>
      </c>
      <c r="CP690" s="138" t="s">
        <v>2489</v>
      </c>
      <c r="CQ690" s="191" t="s">
        <v>272</v>
      </c>
      <c r="CR690" s="191"/>
      <c r="CS690" s="135" t="s">
        <v>539</v>
      </c>
      <c r="CT690" s="135"/>
      <c r="CU690" s="135"/>
      <c r="CV690" s="332">
        <f t="shared" si="224"/>
        <v>1.4582098449952969E-2</v>
      </c>
      <c r="CW690" s="329">
        <f t="shared" si="217"/>
        <v>0</v>
      </c>
      <c r="CX690" s="329"/>
      <c r="CY690" s="189" t="s">
        <v>5921</v>
      </c>
    </row>
    <row r="691" spans="1:103" ht="11.25" customHeight="1" x14ac:dyDescent="0.2">
      <c r="A691" s="72">
        <v>689</v>
      </c>
      <c r="B691" s="183">
        <v>1446</v>
      </c>
      <c r="C691" s="133" t="s">
        <v>6920</v>
      </c>
      <c r="D691" s="133"/>
      <c r="E691" s="134"/>
      <c r="F691" s="134" t="s">
        <v>4447</v>
      </c>
      <c r="G691" s="184">
        <v>249296433</v>
      </c>
      <c r="H691" s="138" t="s">
        <v>4448</v>
      </c>
      <c r="I691" s="138" t="s">
        <v>7836</v>
      </c>
      <c r="J691" s="138" t="s">
        <v>4449</v>
      </c>
      <c r="K691" s="138" t="s">
        <v>455</v>
      </c>
      <c r="L691" s="138"/>
      <c r="M691" s="138"/>
      <c r="N691" s="138"/>
      <c r="O691" s="138"/>
      <c r="P691" s="138"/>
      <c r="Q691" s="138"/>
      <c r="R691" s="138"/>
      <c r="S691" s="138"/>
      <c r="T691" s="135">
        <v>604.85</v>
      </c>
      <c r="U691" s="185"/>
      <c r="V691" s="185"/>
      <c r="W691" s="185">
        <v>3.5481338923357482E-2</v>
      </c>
      <c r="X691" s="185">
        <f t="shared" si="228"/>
        <v>3.5481338923357482E-2</v>
      </c>
      <c r="Y691" s="204">
        <v>9.19</v>
      </c>
      <c r="Z691" s="135"/>
      <c r="AA691" s="135"/>
      <c r="AB691" s="135">
        <v>5.49</v>
      </c>
      <c r="AC691" s="135">
        <v>0.77700000000000002</v>
      </c>
      <c r="AD691" s="135">
        <v>5.32</v>
      </c>
      <c r="AE691" s="135">
        <v>4.4800000000000004</v>
      </c>
      <c r="AF691" s="135">
        <f t="shared" si="225"/>
        <v>5.32</v>
      </c>
      <c r="AG691" s="136">
        <v>6.56</v>
      </c>
      <c r="AH691" s="185">
        <v>6.4700000000000002E-21</v>
      </c>
      <c r="AI691" s="185"/>
      <c r="AJ691" s="136">
        <f t="shared" si="227"/>
        <v>-18.577662045643951</v>
      </c>
      <c r="AK691" s="136"/>
      <c r="AL691" s="136">
        <f t="shared" si="226"/>
        <v>-18.577662045643951</v>
      </c>
      <c r="AM691" s="136">
        <v>-29.493640000000003</v>
      </c>
      <c r="AN691" s="186">
        <v>-35.9</v>
      </c>
      <c r="AO691" s="481"/>
      <c r="AP691" s="481">
        <v>9.0299999999999994</v>
      </c>
      <c r="AQ691" s="135" t="s">
        <v>6311</v>
      </c>
      <c r="AR691" s="135" t="s">
        <v>6311</v>
      </c>
      <c r="AS691" s="190"/>
      <c r="AT691" s="137" t="s">
        <v>266</v>
      </c>
      <c r="AU691" s="135">
        <v>6</v>
      </c>
      <c r="AV691" s="135">
        <v>120</v>
      </c>
      <c r="AW691" s="135">
        <v>114</v>
      </c>
      <c r="AX691" s="135">
        <v>28</v>
      </c>
      <c r="AY691" s="135" t="s">
        <v>8728</v>
      </c>
      <c r="AZ691" s="135" t="s">
        <v>1563</v>
      </c>
      <c r="BA691" s="135">
        <v>32</v>
      </c>
      <c r="BB691" s="138" t="s">
        <v>2485</v>
      </c>
      <c r="BC691" s="138" t="s">
        <v>8726</v>
      </c>
      <c r="BD691" s="138" t="s">
        <v>8374</v>
      </c>
      <c r="BE691" s="135" t="s">
        <v>2449</v>
      </c>
      <c r="BF691" s="135" t="s">
        <v>272</v>
      </c>
      <c r="BG691" s="135" t="s">
        <v>272</v>
      </c>
      <c r="BH691" s="135" t="s">
        <v>2486</v>
      </c>
      <c r="BI691" s="185">
        <v>6.3999999999999997E-6</v>
      </c>
      <c r="BJ691" s="185">
        <v>6.4000000000000001E-2</v>
      </c>
      <c r="BK691" s="135"/>
      <c r="BL691" s="185"/>
      <c r="BM691" s="138" t="s">
        <v>2487</v>
      </c>
      <c r="BN691" s="135"/>
      <c r="BO691" s="135"/>
      <c r="BP691" s="135"/>
      <c r="BQ691" s="135"/>
      <c r="BR691" s="138" t="s">
        <v>2496</v>
      </c>
      <c r="BS691" s="135"/>
      <c r="BT691" s="135"/>
      <c r="BU691" s="135"/>
      <c r="BV691" s="135"/>
      <c r="BW691" s="135"/>
      <c r="BX691" s="135"/>
      <c r="BY691" s="135"/>
      <c r="BZ691" s="135"/>
      <c r="CA691" s="135"/>
      <c r="CB691" s="135"/>
      <c r="CC691" s="135"/>
      <c r="CD691" s="135"/>
      <c r="CE691" s="135"/>
      <c r="CF691" s="135"/>
      <c r="CG691" s="135"/>
      <c r="CH691" s="135"/>
      <c r="CI691" s="185"/>
      <c r="CJ691" s="187"/>
      <c r="CK691" s="136">
        <f t="shared" si="218"/>
        <v>0</v>
      </c>
      <c r="CL691" s="188"/>
      <c r="CM691" s="188"/>
      <c r="CN691" s="188"/>
      <c r="CO691" s="138" t="s">
        <v>2488</v>
      </c>
      <c r="CP691" s="138" t="s">
        <v>2489</v>
      </c>
      <c r="CQ691" s="191" t="s">
        <v>272</v>
      </c>
      <c r="CR691" s="191"/>
      <c r="CS691" s="135" t="s">
        <v>539</v>
      </c>
      <c r="CT691" s="135"/>
      <c r="CU691" s="135"/>
      <c r="CV691" s="332">
        <f t="shared" si="224"/>
        <v>0.55439592067746069</v>
      </c>
      <c r="CW691" s="329">
        <f t="shared" si="217"/>
        <v>0</v>
      </c>
      <c r="CX691" s="329"/>
      <c r="CY691" s="189" t="s">
        <v>5921</v>
      </c>
    </row>
    <row r="692" spans="1:103" ht="11.25" customHeight="1" x14ac:dyDescent="0.2">
      <c r="A692" s="72">
        <v>690</v>
      </c>
      <c r="B692" s="183">
        <v>1762</v>
      </c>
      <c r="C692" s="133" t="s">
        <v>6921</v>
      </c>
      <c r="D692" s="133"/>
      <c r="E692" s="134"/>
      <c r="F692" s="134" t="s">
        <v>5077</v>
      </c>
      <c r="G692" s="184">
        <v>263553339</v>
      </c>
      <c r="H692" s="138" t="s">
        <v>5078</v>
      </c>
      <c r="I692" s="138" t="s">
        <v>7837</v>
      </c>
      <c r="J692" s="138" t="s">
        <v>5079</v>
      </c>
      <c r="K692" s="138" t="s">
        <v>940</v>
      </c>
      <c r="L692" s="138"/>
      <c r="M692" s="138"/>
      <c r="N692" s="138"/>
      <c r="O692" s="138"/>
      <c r="P692" s="138"/>
      <c r="Q692" s="138"/>
      <c r="R692" s="138"/>
      <c r="S692" s="138"/>
      <c r="T692" s="135">
        <v>425.38</v>
      </c>
      <c r="U692" s="185"/>
      <c r="V692" s="185">
        <v>1.3968686821195167E-5</v>
      </c>
      <c r="W692" s="185">
        <v>5.8884365535558803E-3</v>
      </c>
      <c r="X692" s="185">
        <f t="shared" si="228"/>
        <v>5.8884365535558803E-3</v>
      </c>
      <c r="Y692" s="204">
        <v>5.9</v>
      </c>
      <c r="Z692" s="135">
        <v>6.5</v>
      </c>
      <c r="AA692" s="135"/>
      <c r="AB692" s="135">
        <v>3.84</v>
      </c>
      <c r="AC692" s="135">
        <v>0.70809999999999995</v>
      </c>
      <c r="AD692" s="135">
        <v>3.61</v>
      </c>
      <c r="AE692" s="135">
        <v>2.9</v>
      </c>
      <c r="AF692" s="135">
        <f t="shared" si="225"/>
        <v>3.61</v>
      </c>
      <c r="AG692" s="136">
        <v>4.63</v>
      </c>
      <c r="AH692" s="185">
        <v>5.4700000000000001E-16</v>
      </c>
      <c r="AI692" s="185"/>
      <c r="AJ692" s="136">
        <f t="shared" si="227"/>
        <v>-13.650578999979221</v>
      </c>
      <c r="AK692" s="136"/>
      <c r="AL692" s="136">
        <f t="shared" si="226"/>
        <v>-13.650578999979221</v>
      </c>
      <c r="AM692" s="136">
        <v>-18.39526</v>
      </c>
      <c r="AN692" s="186">
        <v>-2.6</v>
      </c>
      <c r="AO692" s="481">
        <v>6.47</v>
      </c>
      <c r="AP692" s="481">
        <v>-0.91</v>
      </c>
      <c r="AQ692" s="186" t="s">
        <v>6311</v>
      </c>
      <c r="AR692" s="186" t="s">
        <v>6311</v>
      </c>
      <c r="AS692" s="183"/>
      <c r="AT692" s="137" t="s">
        <v>266</v>
      </c>
      <c r="AU692" s="135">
        <v>6</v>
      </c>
      <c r="AV692" s="135">
        <v>120</v>
      </c>
      <c r="AW692" s="135">
        <v>114</v>
      </c>
      <c r="AX692" s="135">
        <v>28</v>
      </c>
      <c r="AY692" s="135" t="s">
        <v>8728</v>
      </c>
      <c r="AZ692" s="135" t="s">
        <v>1563</v>
      </c>
      <c r="BA692" s="135">
        <v>32</v>
      </c>
      <c r="BB692" s="138" t="s">
        <v>2485</v>
      </c>
      <c r="BC692" s="138" t="s">
        <v>8726</v>
      </c>
      <c r="BD692" s="138" t="s">
        <v>8374</v>
      </c>
      <c r="BE692" s="135" t="s">
        <v>2449</v>
      </c>
      <c r="BF692" s="135" t="s">
        <v>272</v>
      </c>
      <c r="BG692" s="135" t="s">
        <v>272</v>
      </c>
      <c r="BH692" s="135" t="s">
        <v>2486</v>
      </c>
      <c r="BI692" s="185">
        <v>6.3999999999999997E-6</v>
      </c>
      <c r="BJ692" s="185">
        <v>6.4000000000000001E-2</v>
      </c>
      <c r="BK692" s="135"/>
      <c r="BL692" s="185">
        <f>10^((-0.8981*Z692)+1.7108)</f>
        <v>7.4670661720570809E-5</v>
      </c>
      <c r="BM692" s="138" t="s">
        <v>2487</v>
      </c>
      <c r="BN692" s="135"/>
      <c r="BO692" s="135"/>
      <c r="BP692" s="135"/>
      <c r="BQ692" s="135"/>
      <c r="BR692" s="138" t="s">
        <v>2496</v>
      </c>
      <c r="BS692" s="135"/>
      <c r="BT692" s="135"/>
      <c r="BU692" s="135"/>
      <c r="BV692" s="135"/>
      <c r="BW692" s="135"/>
      <c r="BX692" s="135"/>
      <c r="BY692" s="135"/>
      <c r="BZ692" s="135"/>
      <c r="CA692" s="135"/>
      <c r="CB692" s="135"/>
      <c r="CC692" s="135"/>
      <c r="CD692" s="135"/>
      <c r="CE692" s="135"/>
      <c r="CF692" s="135"/>
      <c r="CG692" s="135"/>
      <c r="CH692" s="135"/>
      <c r="CI692" s="185"/>
      <c r="CJ692" s="187"/>
      <c r="CK692" s="136">
        <f t="shared" si="218"/>
        <v>1.1667290893839189E-3</v>
      </c>
      <c r="CL692" s="188"/>
      <c r="CM692" s="188"/>
      <c r="CN692" s="188"/>
      <c r="CO692" s="138" t="s">
        <v>2488</v>
      </c>
      <c r="CP692" s="138" t="s">
        <v>2489</v>
      </c>
      <c r="CQ692" s="191" t="s">
        <v>272</v>
      </c>
      <c r="CR692" s="191"/>
      <c r="CS692" s="135" t="s">
        <v>539</v>
      </c>
      <c r="CT692" s="135"/>
      <c r="CU692" s="135"/>
      <c r="CV692" s="332">
        <f t="shared" si="224"/>
        <v>9.2006821149310622E-2</v>
      </c>
      <c r="CW692" s="329">
        <f t="shared" si="217"/>
        <v>0</v>
      </c>
      <c r="CX692" s="329"/>
      <c r="CY692" s="189" t="s">
        <v>5921</v>
      </c>
    </row>
    <row r="693" spans="1:103" ht="11.25" customHeight="1" x14ac:dyDescent="0.2">
      <c r="A693" s="72">
        <v>691</v>
      </c>
      <c r="B693" s="183">
        <v>988</v>
      </c>
      <c r="C693" s="133" t="s">
        <v>6922</v>
      </c>
      <c r="D693" s="133"/>
      <c r="E693" s="134"/>
      <c r="F693" s="134" t="s">
        <v>2818</v>
      </c>
      <c r="G693" s="184">
        <v>298198524</v>
      </c>
      <c r="H693" s="138" t="s">
        <v>2819</v>
      </c>
      <c r="I693" s="138" t="s">
        <v>7857</v>
      </c>
      <c r="J693" s="138" t="s">
        <v>2820</v>
      </c>
      <c r="K693" s="138" t="s">
        <v>2821</v>
      </c>
      <c r="L693" s="138"/>
      <c r="M693" s="138"/>
      <c r="N693" s="138"/>
      <c r="O693" s="138"/>
      <c r="P693" s="138"/>
      <c r="Q693" s="138"/>
      <c r="R693" s="138"/>
      <c r="S693" s="138"/>
      <c r="T693" s="135">
        <v>483.66</v>
      </c>
      <c r="U693" s="185"/>
      <c r="V693" s="185">
        <v>1.6908572137451929E-5</v>
      </c>
      <c r="W693" s="185">
        <v>7.585775750291826E-2</v>
      </c>
      <c r="X693" s="185">
        <f t="shared" si="228"/>
        <v>7.585775750291826E-2</v>
      </c>
      <c r="Y693" s="204">
        <v>4.83</v>
      </c>
      <c r="Z693" s="135">
        <v>5.91</v>
      </c>
      <c r="AA693" s="135"/>
      <c r="AB693" s="135">
        <v>5.03</v>
      </c>
      <c r="AC693" s="135">
        <v>0.60880000000000001</v>
      </c>
      <c r="AD693" s="135">
        <v>4.7699999999999996</v>
      </c>
      <c r="AE693" s="135">
        <v>4.4000000000000004</v>
      </c>
      <c r="AF693" s="135">
        <f t="shared" si="225"/>
        <v>4.7699999999999996</v>
      </c>
      <c r="AG693" s="136">
        <v>5.82</v>
      </c>
      <c r="AH693" s="185">
        <v>1.7899999999999999E-15</v>
      </c>
      <c r="AI693" s="185"/>
      <c r="AJ693" s="136">
        <f t="shared" si="227"/>
        <v>-13.135713295332758</v>
      </c>
      <c r="AK693" s="136"/>
      <c r="AL693" s="136">
        <f t="shared" si="226"/>
        <v>-13.135713295332758</v>
      </c>
      <c r="AM693" s="136">
        <v>-23.36656</v>
      </c>
      <c r="AN693" s="186">
        <v>-18.5</v>
      </c>
      <c r="AO693" s="481">
        <v>4.5</v>
      </c>
      <c r="AP693" s="481">
        <v>4.82</v>
      </c>
      <c r="AQ693" s="135" t="s">
        <v>6311</v>
      </c>
      <c r="AR693" s="135" t="s">
        <v>6311</v>
      </c>
      <c r="AS693" s="190"/>
      <c r="AT693" s="137" t="s">
        <v>266</v>
      </c>
      <c r="AU693" s="135">
        <v>6</v>
      </c>
      <c r="AV693" s="135">
        <v>120</v>
      </c>
      <c r="AW693" s="135">
        <v>114</v>
      </c>
      <c r="AX693" s="135">
        <v>28</v>
      </c>
      <c r="AY693" s="135" t="s">
        <v>8728</v>
      </c>
      <c r="AZ693" s="135" t="s">
        <v>1563</v>
      </c>
      <c r="BA693" s="135">
        <v>32</v>
      </c>
      <c r="BB693" s="138" t="s">
        <v>2485</v>
      </c>
      <c r="BC693" s="138" t="s">
        <v>8726</v>
      </c>
      <c r="BD693" s="138" t="s">
        <v>8374</v>
      </c>
      <c r="BE693" s="135" t="s">
        <v>2449</v>
      </c>
      <c r="BF693" s="135" t="s">
        <v>272</v>
      </c>
      <c r="BG693" s="135" t="s">
        <v>272</v>
      </c>
      <c r="BH693" s="135" t="s">
        <v>2486</v>
      </c>
      <c r="BI693" s="185">
        <v>6.3999999999999997E-6</v>
      </c>
      <c r="BJ693" s="185">
        <v>6.4000000000000001E-2</v>
      </c>
      <c r="BK693" s="135"/>
      <c r="BL693" s="185">
        <f>10^((-0.8981*Z693)+1.7108)</f>
        <v>2.5294668958772166E-4</v>
      </c>
      <c r="BM693" s="138" t="s">
        <v>2487</v>
      </c>
      <c r="BN693" s="135"/>
      <c r="BO693" s="135"/>
      <c r="BP693" s="135"/>
      <c r="BQ693" s="135"/>
      <c r="BR693" s="138" t="s">
        <v>2496</v>
      </c>
      <c r="BS693" s="135"/>
      <c r="BT693" s="135"/>
      <c r="BU693" s="135">
        <v>6.4000000000000003E-3</v>
      </c>
      <c r="BV693" s="135"/>
      <c r="BW693" s="135"/>
      <c r="BX693" s="135"/>
      <c r="BY693" s="135"/>
      <c r="BZ693" s="135"/>
      <c r="CA693" s="135"/>
      <c r="CB693" s="135"/>
      <c r="CC693" s="135"/>
      <c r="CD693" s="135"/>
      <c r="CE693" s="135"/>
      <c r="CF693" s="135"/>
      <c r="CG693" s="135"/>
      <c r="CH693" s="135"/>
      <c r="CI693" s="185"/>
      <c r="CJ693" s="187"/>
      <c r="CK693" s="136">
        <f t="shared" si="218"/>
        <v>3.9522920248081508E-3</v>
      </c>
      <c r="CL693" s="188"/>
      <c r="CM693" s="188"/>
      <c r="CN693" s="188"/>
      <c r="CO693" s="138" t="s">
        <v>2488</v>
      </c>
      <c r="CP693" s="138" t="s">
        <v>2489</v>
      </c>
      <c r="CQ693" s="191" t="s">
        <v>272</v>
      </c>
      <c r="CR693" s="191"/>
      <c r="CS693" s="135" t="s">
        <v>539</v>
      </c>
      <c r="CT693" s="135"/>
      <c r="CU693" s="135"/>
      <c r="CV693" s="332">
        <f t="shared" si="224"/>
        <v>1.1852774609830978</v>
      </c>
      <c r="CW693" s="329">
        <f t="shared" si="217"/>
        <v>1</v>
      </c>
      <c r="CX693" s="329"/>
      <c r="CY693" s="189" t="s">
        <v>5921</v>
      </c>
    </row>
    <row r="694" spans="1:103" ht="11.25" customHeight="1" x14ac:dyDescent="0.2">
      <c r="A694" s="72">
        <v>692</v>
      </c>
      <c r="B694" s="191">
        <v>1320</v>
      </c>
      <c r="C694" s="128" t="s">
        <v>6923</v>
      </c>
      <c r="D694" s="128"/>
      <c r="E694" s="129"/>
      <c r="F694" s="129" t="s">
        <v>3605</v>
      </c>
      <c r="G694" s="192">
        <v>368832422</v>
      </c>
      <c r="H694" s="206" t="s">
        <v>3606</v>
      </c>
      <c r="I694" s="206" t="s">
        <v>7968</v>
      </c>
      <c r="J694" s="206" t="s">
        <v>3607</v>
      </c>
      <c r="K694" s="206" t="s">
        <v>3608</v>
      </c>
      <c r="L694" s="139"/>
      <c r="M694" s="139"/>
      <c r="N694" s="138"/>
      <c r="O694" s="207"/>
      <c r="P694" s="138"/>
      <c r="Q694" s="138"/>
      <c r="R694" s="138"/>
      <c r="S694" s="138"/>
      <c r="T694" s="193">
        <v>402.57</v>
      </c>
      <c r="U694" s="187"/>
      <c r="V694" s="187">
        <v>9.6008147651340144E-3</v>
      </c>
      <c r="W694" s="187">
        <v>0.16595869074375585</v>
      </c>
      <c r="X694" s="187">
        <f t="shared" si="228"/>
        <v>0.16595869074375585</v>
      </c>
      <c r="Y694" s="194">
        <v>9.82</v>
      </c>
      <c r="Z694" s="130">
        <v>3.25</v>
      </c>
      <c r="AA694" s="130"/>
      <c r="AB694" s="130">
        <v>3.86</v>
      </c>
      <c r="AC694" s="130">
        <v>0.56599999999999995</v>
      </c>
      <c r="AD694" s="130">
        <v>3.76</v>
      </c>
      <c r="AE694" s="130">
        <v>3.63</v>
      </c>
      <c r="AF694" s="130">
        <f t="shared" si="225"/>
        <v>3.76</v>
      </c>
      <c r="AG694" s="130">
        <v>4.9800000000000004</v>
      </c>
      <c r="AH694" s="187">
        <v>3.3200000000000002E-17</v>
      </c>
      <c r="AI694" s="187"/>
      <c r="AJ694" s="136">
        <f t="shared" si="227"/>
        <v>-14.867428242608616</v>
      </c>
      <c r="AK694" s="136"/>
      <c r="AL694" s="136">
        <f t="shared" si="226"/>
        <v>-14.867428242608616</v>
      </c>
      <c r="AM694" s="136">
        <v>-22.329050000000002</v>
      </c>
      <c r="AN694" s="130">
        <v>-5.61</v>
      </c>
      <c r="AO694" s="481"/>
      <c r="AP694" s="481">
        <v>9.31</v>
      </c>
      <c r="AQ694" s="130" t="s">
        <v>6311</v>
      </c>
      <c r="AR694" s="130" t="s">
        <v>6311</v>
      </c>
      <c r="AS694" s="198"/>
      <c r="AT694" s="132" t="s">
        <v>266</v>
      </c>
      <c r="AU694" s="130">
        <v>6</v>
      </c>
      <c r="AV694" s="130">
        <v>120</v>
      </c>
      <c r="AW694" s="130">
        <v>114</v>
      </c>
      <c r="AX694" s="130">
        <v>28</v>
      </c>
      <c r="AY694" s="130" t="s">
        <v>8728</v>
      </c>
      <c r="AZ694" s="130" t="s">
        <v>1563</v>
      </c>
      <c r="BA694" s="130">
        <v>32</v>
      </c>
      <c r="BB694" s="139" t="s">
        <v>2485</v>
      </c>
      <c r="BC694" s="139" t="s">
        <v>8726</v>
      </c>
      <c r="BD694" s="139" t="s">
        <v>8374</v>
      </c>
      <c r="BE694" s="130" t="s">
        <v>2449</v>
      </c>
      <c r="BF694" s="130" t="s">
        <v>272</v>
      </c>
      <c r="BG694" s="130" t="s">
        <v>272</v>
      </c>
      <c r="BH694" s="130" t="s">
        <v>2486</v>
      </c>
      <c r="BI694" s="187">
        <v>6.3999999999999997E-6</v>
      </c>
      <c r="BJ694" s="187">
        <v>6.4000000000000001E-2</v>
      </c>
      <c r="BK694" s="130"/>
      <c r="BL694" s="187">
        <f>10^((-0.8981*Z694)+1.7108)</f>
        <v>6.1940541820844193E-2</v>
      </c>
      <c r="BM694" s="139" t="s">
        <v>2487</v>
      </c>
      <c r="BN694" s="130"/>
      <c r="BO694" s="130"/>
      <c r="BP694" s="130"/>
      <c r="BQ694" s="130"/>
      <c r="BR694" s="139" t="s">
        <v>2496</v>
      </c>
      <c r="BS694" s="130"/>
      <c r="BT694" s="130"/>
      <c r="BU694" s="195"/>
      <c r="BV694" s="130"/>
      <c r="BW694" s="130"/>
      <c r="BX694" s="130"/>
      <c r="BY694" s="130"/>
      <c r="BZ694" s="130"/>
      <c r="CA694" s="130"/>
      <c r="CB694" s="130"/>
      <c r="CC694" s="130"/>
      <c r="CD694" s="130"/>
      <c r="CE694" s="130"/>
      <c r="CF694" s="130"/>
      <c r="CG694" s="130"/>
      <c r="CH694" s="130"/>
      <c r="CI694" s="187"/>
      <c r="CJ694" s="187"/>
      <c r="CK694" s="131">
        <f t="shared" si="218"/>
        <v>0.96782096595069045</v>
      </c>
      <c r="CL694" s="188"/>
      <c r="CM694" s="188"/>
      <c r="CN694" s="188"/>
      <c r="CO694" s="139" t="s">
        <v>2488</v>
      </c>
      <c r="CP694" s="139" t="s">
        <v>2489</v>
      </c>
      <c r="CQ694" s="191" t="s">
        <v>272</v>
      </c>
      <c r="CR694" s="191"/>
      <c r="CS694" s="135" t="s">
        <v>539</v>
      </c>
      <c r="CT694" s="135"/>
      <c r="CU694" s="135"/>
      <c r="CV694" s="332">
        <f t="shared" si="224"/>
        <v>2.5931045428711852</v>
      </c>
      <c r="CW694" s="329">
        <f t="shared" si="217"/>
        <v>1</v>
      </c>
      <c r="CX694" s="329"/>
      <c r="CY694" s="189" t="s">
        <v>5921</v>
      </c>
    </row>
    <row r="695" spans="1:103" ht="11.25" customHeight="1" x14ac:dyDescent="0.2">
      <c r="A695" s="72">
        <v>693</v>
      </c>
      <c r="B695" s="183">
        <v>1774</v>
      </c>
      <c r="C695" s="133" t="s">
        <v>6924</v>
      </c>
      <c r="D695" s="133"/>
      <c r="E695" s="134"/>
      <c r="F695" s="134" t="s">
        <v>5107</v>
      </c>
      <c r="G695" s="184">
        <v>439687691</v>
      </c>
      <c r="H695" s="138" t="s">
        <v>5108</v>
      </c>
      <c r="I695" s="138" t="s">
        <v>7740</v>
      </c>
      <c r="J695" s="138" t="s">
        <v>5109</v>
      </c>
      <c r="K695" s="138" t="s">
        <v>455</v>
      </c>
      <c r="L695" s="138"/>
      <c r="M695" s="138"/>
      <c r="N695" s="138"/>
      <c r="O695" s="138"/>
      <c r="P695" s="138"/>
      <c r="Q695" s="138"/>
      <c r="R695" s="138"/>
      <c r="S695" s="138"/>
      <c r="T695" s="135">
        <v>396.83</v>
      </c>
      <c r="U695" s="185"/>
      <c r="V695" s="185">
        <v>2.8173273190030998E-4</v>
      </c>
      <c r="W695" s="185">
        <v>5.2480746024977175E-2</v>
      </c>
      <c r="X695" s="185">
        <f t="shared" si="228"/>
        <v>5.2480746024977175E-2</v>
      </c>
      <c r="Y695" s="204">
        <v>9.4499999999999993</v>
      </c>
      <c r="Z695" s="135">
        <v>5.22</v>
      </c>
      <c r="AA695" s="135"/>
      <c r="AB695" s="135">
        <v>4.88</v>
      </c>
      <c r="AC695" s="135">
        <v>0.81710000000000005</v>
      </c>
      <c r="AD695" s="135">
        <v>4.88</v>
      </c>
      <c r="AE695" s="135">
        <v>4.8899999999999997</v>
      </c>
      <c r="AF695" s="135">
        <f t="shared" si="225"/>
        <v>4.88</v>
      </c>
      <c r="AG695" s="136">
        <v>4.7300000000000004</v>
      </c>
      <c r="AH695" s="185">
        <v>7.82E-13</v>
      </c>
      <c r="AI695" s="185"/>
      <c r="AJ695" s="136">
        <f t="shared" si="227"/>
        <v>-10.495359573252804</v>
      </c>
      <c r="AK695" s="136"/>
      <c r="AL695" s="136">
        <f t="shared" si="226"/>
        <v>-10.495359573252804</v>
      </c>
      <c r="AM695" s="136">
        <v>-15.511379999999999</v>
      </c>
      <c r="AN695" s="186">
        <v>-12.3</v>
      </c>
      <c r="AO695" s="481">
        <v>12.83</v>
      </c>
      <c r="AP695" s="481">
        <v>9.4499999999999993</v>
      </c>
      <c r="AQ695" s="186" t="s">
        <v>6311</v>
      </c>
      <c r="AR695" s="186" t="s">
        <v>6311</v>
      </c>
      <c r="AS695" s="183"/>
      <c r="AT695" s="137" t="s">
        <v>266</v>
      </c>
      <c r="AU695" s="135">
        <v>6</v>
      </c>
      <c r="AV695" s="135">
        <v>120</v>
      </c>
      <c r="AW695" s="135">
        <v>114</v>
      </c>
      <c r="AX695" s="135">
        <v>28</v>
      </c>
      <c r="AY695" s="135" t="s">
        <v>8728</v>
      </c>
      <c r="AZ695" s="135" t="s">
        <v>1563</v>
      </c>
      <c r="BA695" s="135">
        <v>32</v>
      </c>
      <c r="BB695" s="138" t="s">
        <v>2485</v>
      </c>
      <c r="BC695" s="138" t="s">
        <v>8726</v>
      </c>
      <c r="BD695" s="138" t="s">
        <v>8374</v>
      </c>
      <c r="BE695" s="135" t="s">
        <v>2449</v>
      </c>
      <c r="BF695" s="135" t="s">
        <v>272</v>
      </c>
      <c r="BG695" s="135" t="s">
        <v>272</v>
      </c>
      <c r="BH695" s="135" t="s">
        <v>2486</v>
      </c>
      <c r="BI695" s="185">
        <v>6.3999999999999997E-6</v>
      </c>
      <c r="BJ695" s="185">
        <v>6.4000000000000001E-2</v>
      </c>
      <c r="BK695" s="135"/>
      <c r="BL695" s="185">
        <f>10^((-0.8981*Z695)+1.7108)</f>
        <v>1.0537024746376854E-3</v>
      </c>
      <c r="BM695" s="138" t="s">
        <v>2487</v>
      </c>
      <c r="BN695" s="135"/>
      <c r="BO695" s="135"/>
      <c r="BP695" s="135"/>
      <c r="BQ695" s="135"/>
      <c r="BR695" s="138" t="s">
        <v>2496</v>
      </c>
      <c r="BS695" s="135"/>
      <c r="BT695" s="135"/>
      <c r="BU695" s="135"/>
      <c r="BV695" s="135"/>
      <c r="BW695" s="135"/>
      <c r="BX695" s="135"/>
      <c r="BY695" s="135"/>
      <c r="BZ695" s="135"/>
      <c r="CA695" s="135"/>
      <c r="CB695" s="135"/>
      <c r="CC695" s="135"/>
      <c r="CD695" s="135"/>
      <c r="CE695" s="135"/>
      <c r="CF695" s="135"/>
      <c r="CG695" s="135"/>
      <c r="CH695" s="135"/>
      <c r="CI695" s="185"/>
      <c r="CJ695" s="187"/>
      <c r="CK695" s="136">
        <f t="shared" si="218"/>
        <v>1.6464101166213833E-2</v>
      </c>
      <c r="CL695" s="188"/>
      <c r="CM695" s="188"/>
      <c r="CN695" s="188"/>
      <c r="CO695" s="138" t="s">
        <v>2488</v>
      </c>
      <c r="CP695" s="138" t="s">
        <v>2489</v>
      </c>
      <c r="CQ695" s="191" t="s">
        <v>272</v>
      </c>
      <c r="CR695" s="191"/>
      <c r="CS695" s="135" t="s">
        <v>539</v>
      </c>
      <c r="CT695" s="135"/>
      <c r="CU695" s="135"/>
      <c r="CV695" s="332">
        <f t="shared" si="224"/>
        <v>0.82001165664026832</v>
      </c>
      <c r="CW695" s="329">
        <f t="shared" si="217"/>
        <v>0</v>
      </c>
      <c r="CX695" s="329"/>
      <c r="CY695" s="189" t="s">
        <v>5921</v>
      </c>
    </row>
    <row r="696" spans="1:103" ht="11.25" customHeight="1" x14ac:dyDescent="0.2">
      <c r="A696" s="72">
        <v>694</v>
      </c>
      <c r="B696" s="183">
        <v>878</v>
      </c>
      <c r="C696" s="133" t="s">
        <v>6925</v>
      </c>
      <c r="D696" s="133"/>
      <c r="E696" s="134"/>
      <c r="F696" s="134" t="s">
        <v>2493</v>
      </c>
      <c r="G696" s="184">
        <v>444610917</v>
      </c>
      <c r="H696" s="138" t="s">
        <v>2494</v>
      </c>
      <c r="I696" s="138" t="s">
        <v>7833</v>
      </c>
      <c r="J696" s="138" t="s">
        <v>2495</v>
      </c>
      <c r="K696" s="138" t="s">
        <v>426</v>
      </c>
      <c r="L696" s="138"/>
      <c r="M696" s="138"/>
      <c r="N696" s="138"/>
      <c r="O696" s="138"/>
      <c r="P696" s="138"/>
      <c r="Q696" s="138"/>
      <c r="R696" s="138"/>
      <c r="S696" s="138"/>
      <c r="T696" s="135">
        <v>276.49</v>
      </c>
      <c r="U696" s="185"/>
      <c r="V696" s="185">
        <v>9.960577236066403E-9</v>
      </c>
      <c r="W696" s="185"/>
      <c r="X696" s="185">
        <f t="shared" si="228"/>
        <v>9.960577236066403E-9</v>
      </c>
      <c r="Y696" s="204"/>
      <c r="Z696" s="135">
        <v>11.46</v>
      </c>
      <c r="AA696" s="135"/>
      <c r="AB696" s="135">
        <v>4.4800000000000004</v>
      </c>
      <c r="AC696" s="135">
        <v>0.70789999999999997</v>
      </c>
      <c r="AD696" s="135">
        <v>4.4800000000000004</v>
      </c>
      <c r="AE696" s="135"/>
      <c r="AF696" s="135">
        <f t="shared" si="225"/>
        <v>4.4800000000000004</v>
      </c>
      <c r="AG696" s="136">
        <v>4.4800000000000004</v>
      </c>
      <c r="AH696" s="185"/>
      <c r="AI696" s="185"/>
      <c r="AJ696" s="136"/>
      <c r="AK696" s="136"/>
      <c r="AL696" s="136"/>
      <c r="AM696" s="136">
        <v>-5.8602699999999999</v>
      </c>
      <c r="AN696" s="186">
        <v>-4.3499999999999996</v>
      </c>
      <c r="AO696" s="481"/>
      <c r="AP696" s="481"/>
      <c r="AQ696" s="135" t="s">
        <v>6311</v>
      </c>
      <c r="AR696" s="135" t="s">
        <v>6311</v>
      </c>
      <c r="AS696" s="190"/>
      <c r="AT696" s="137" t="s">
        <v>266</v>
      </c>
      <c r="AU696" s="135">
        <v>6</v>
      </c>
      <c r="AV696" s="135">
        <v>120</v>
      </c>
      <c r="AW696" s="135">
        <v>114</v>
      </c>
      <c r="AX696" s="135">
        <v>28</v>
      </c>
      <c r="AY696" s="135" t="s">
        <v>8728</v>
      </c>
      <c r="AZ696" s="135" t="s">
        <v>1563</v>
      </c>
      <c r="BA696" s="135">
        <v>32</v>
      </c>
      <c r="BB696" s="138" t="s">
        <v>2485</v>
      </c>
      <c r="BC696" s="138" t="s">
        <v>8726</v>
      </c>
      <c r="BD696" s="138" t="s">
        <v>8374</v>
      </c>
      <c r="BE696" s="135" t="s">
        <v>2449</v>
      </c>
      <c r="BF696" s="135" t="s">
        <v>272</v>
      </c>
      <c r="BG696" s="135" t="s">
        <v>272</v>
      </c>
      <c r="BH696" s="135" t="s">
        <v>2486</v>
      </c>
      <c r="BI696" s="185">
        <v>6.3999999999999997E-6</v>
      </c>
      <c r="BJ696" s="185">
        <v>6.4000000000000001E-2</v>
      </c>
      <c r="BK696" s="135"/>
      <c r="BL696" s="185">
        <f>10^((-0.8981*Z696)+1.7108)</f>
        <v>2.6216457061918611E-9</v>
      </c>
      <c r="BM696" s="138" t="s">
        <v>2487</v>
      </c>
      <c r="BN696" s="135"/>
      <c r="BO696" s="135"/>
      <c r="BP696" s="135"/>
      <c r="BQ696" s="135"/>
      <c r="BR696" s="138" t="s">
        <v>2496</v>
      </c>
      <c r="BS696" s="135"/>
      <c r="BT696" s="135"/>
      <c r="BU696" s="135">
        <v>6.4000000000000001E-2</v>
      </c>
      <c r="BV696" s="135"/>
      <c r="BW696" s="135"/>
      <c r="BX696" s="135"/>
      <c r="BY696" s="135"/>
      <c r="BZ696" s="135"/>
      <c r="CA696" s="135"/>
      <c r="CB696" s="135"/>
      <c r="CC696" s="135"/>
      <c r="CD696" s="135"/>
      <c r="CE696" s="135"/>
      <c r="CF696" s="135"/>
      <c r="CG696" s="135"/>
      <c r="CH696" s="135"/>
      <c r="CI696" s="185"/>
      <c r="CJ696" s="187"/>
      <c r="CK696" s="136">
        <f t="shared" si="218"/>
        <v>4.0963214159247828E-8</v>
      </c>
      <c r="CL696" s="188"/>
      <c r="CM696" s="188"/>
      <c r="CN696" s="188"/>
      <c r="CO696" s="138" t="s">
        <v>2488</v>
      </c>
      <c r="CP696" s="138" t="s">
        <v>2489</v>
      </c>
      <c r="CQ696" s="191" t="s">
        <v>272</v>
      </c>
      <c r="CR696" s="191"/>
      <c r="CS696" s="135" t="s">
        <v>539</v>
      </c>
      <c r="CT696" s="135"/>
      <c r="CU696" s="135"/>
      <c r="CV696" s="332">
        <f t="shared" si="224"/>
        <v>1.5563401931353755E-7</v>
      </c>
      <c r="CW696" s="329">
        <f t="shared" si="217"/>
        <v>0</v>
      </c>
      <c r="CX696" s="329"/>
      <c r="CY696" s="189" t="s">
        <v>5921</v>
      </c>
    </row>
    <row r="697" spans="1:103" ht="11.25" customHeight="1" x14ac:dyDescent="0.2">
      <c r="A697" s="72">
        <v>695</v>
      </c>
      <c r="B697" s="183">
        <v>1344</v>
      </c>
      <c r="C697" s="133" t="s">
        <v>6926</v>
      </c>
      <c r="D697" s="133"/>
      <c r="E697" s="134"/>
      <c r="F697" s="134" t="s">
        <v>4160</v>
      </c>
      <c r="G697" s="184">
        <v>648917139</v>
      </c>
      <c r="H697" s="138" t="s">
        <v>4161</v>
      </c>
      <c r="I697" s="138" t="s">
        <v>7822</v>
      </c>
      <c r="J697" s="138" t="s">
        <v>4162</v>
      </c>
      <c r="K697" s="138" t="s">
        <v>2507</v>
      </c>
      <c r="L697" s="140"/>
      <c r="M697" s="138"/>
      <c r="N697" s="138"/>
      <c r="O697" s="138"/>
      <c r="P697" s="138"/>
      <c r="Q697" s="138"/>
      <c r="R697" s="138"/>
      <c r="S697" s="138"/>
      <c r="T697" s="135">
        <v>696.25</v>
      </c>
      <c r="U697" s="185"/>
      <c r="V697" s="185"/>
      <c r="W697" s="185">
        <v>9.5499258602143589E-3</v>
      </c>
      <c r="X697" s="185">
        <f t="shared" si="228"/>
        <v>9.5499258602143589E-3</v>
      </c>
      <c r="Y697" s="204">
        <v>7.96</v>
      </c>
      <c r="Z697" s="135"/>
      <c r="AA697" s="135"/>
      <c r="AB697" s="135">
        <v>4.9400000000000004</v>
      </c>
      <c r="AC697" s="135">
        <v>0.33689999999999998</v>
      </c>
      <c r="AD697" s="135">
        <v>5.61</v>
      </c>
      <c r="AE697" s="135">
        <v>6.06</v>
      </c>
      <c r="AF697" s="135">
        <f t="shared" si="225"/>
        <v>5.61</v>
      </c>
      <c r="AG697" s="136">
        <v>6.34</v>
      </c>
      <c r="AH697" s="185">
        <v>1.27E-20</v>
      </c>
      <c r="AI697" s="185"/>
      <c r="AJ697" s="136">
        <f t="shared" ref="AJ697:AJ702" si="229">LOG10(AH697*1000/(0.08206*298.15))</f>
        <v>-18.284762605356693</v>
      </c>
      <c r="AK697" s="136"/>
      <c r="AL697" s="136">
        <f t="shared" ref="AL697:AL702" si="230">IF(AK697=0,AJ697,AK697)</f>
        <v>-18.284762605356693</v>
      </c>
      <c r="AM697" s="136">
        <v>-33.133949999999999</v>
      </c>
      <c r="AN697" s="186">
        <v>-29.1</v>
      </c>
      <c r="AO697" s="481">
        <v>10.53</v>
      </c>
      <c r="AP697" s="481">
        <v>10.62</v>
      </c>
      <c r="AQ697" s="135" t="s">
        <v>6311</v>
      </c>
      <c r="AR697" s="135" t="s">
        <v>6311</v>
      </c>
      <c r="AS697" s="190"/>
      <c r="AT697" s="137" t="s">
        <v>266</v>
      </c>
      <c r="AU697" s="135">
        <v>6</v>
      </c>
      <c r="AV697" s="135">
        <v>120</v>
      </c>
      <c r="AW697" s="135">
        <v>114</v>
      </c>
      <c r="AX697" s="135">
        <v>28</v>
      </c>
      <c r="AY697" s="135" t="s">
        <v>8728</v>
      </c>
      <c r="AZ697" s="135" t="s">
        <v>1563</v>
      </c>
      <c r="BA697" s="135">
        <v>32</v>
      </c>
      <c r="BB697" s="138" t="s">
        <v>2485</v>
      </c>
      <c r="BC697" s="138" t="s">
        <v>8726</v>
      </c>
      <c r="BD697" s="138" t="s">
        <v>8374</v>
      </c>
      <c r="BE697" s="135" t="s">
        <v>2449</v>
      </c>
      <c r="BF697" s="135" t="s">
        <v>272</v>
      </c>
      <c r="BG697" s="135" t="s">
        <v>272</v>
      </c>
      <c r="BH697" s="135" t="s">
        <v>2486</v>
      </c>
      <c r="BI697" s="185">
        <v>6.3999999999999997E-6</v>
      </c>
      <c r="BJ697" s="185">
        <v>6.4000000000000001E-2</v>
      </c>
      <c r="BK697" s="135"/>
      <c r="BL697" s="185"/>
      <c r="BM697" s="138" t="s">
        <v>2487</v>
      </c>
      <c r="BN697" s="135"/>
      <c r="BO697" s="135"/>
      <c r="BP697" s="135"/>
      <c r="BQ697" s="135"/>
      <c r="BR697" s="138" t="s">
        <v>2496</v>
      </c>
      <c r="BS697" s="135"/>
      <c r="BT697" s="135"/>
      <c r="BU697" s="135"/>
      <c r="BV697" s="135"/>
      <c r="BW697" s="135"/>
      <c r="BX697" s="135"/>
      <c r="BY697" s="135"/>
      <c r="BZ697" s="135"/>
      <c r="CA697" s="135"/>
      <c r="CB697" s="135"/>
      <c r="CC697" s="135"/>
      <c r="CD697" s="135"/>
      <c r="CE697" s="135"/>
      <c r="CF697" s="135"/>
      <c r="CG697" s="135"/>
      <c r="CH697" s="135"/>
      <c r="CI697" s="185"/>
      <c r="CJ697" s="187"/>
      <c r="CK697" s="136">
        <f t="shared" si="218"/>
        <v>0</v>
      </c>
      <c r="CL697" s="188"/>
      <c r="CM697" s="188"/>
      <c r="CN697" s="188"/>
      <c r="CO697" s="138" t="s">
        <v>2488</v>
      </c>
      <c r="CP697" s="138" t="s">
        <v>2489</v>
      </c>
      <c r="CQ697" s="191" t="s">
        <v>272</v>
      </c>
      <c r="CR697" s="191"/>
      <c r="CS697" s="135" t="s">
        <v>539</v>
      </c>
      <c r="CT697" s="135"/>
      <c r="CU697" s="135"/>
      <c r="CV697" s="332">
        <f t="shared" si="224"/>
        <v>0.14921759156584935</v>
      </c>
      <c r="CW697" s="329">
        <f t="shared" si="217"/>
        <v>0</v>
      </c>
      <c r="CX697" s="329"/>
      <c r="CY697" s="189" t="s">
        <v>5921</v>
      </c>
    </row>
    <row r="698" spans="1:103" ht="11.25" customHeight="1" x14ac:dyDescent="0.2">
      <c r="A698" s="72">
        <v>696</v>
      </c>
      <c r="B698" s="183">
        <v>928</v>
      </c>
      <c r="C698" s="133" t="s">
        <v>6927</v>
      </c>
      <c r="D698" s="133"/>
      <c r="E698" s="134"/>
      <c r="F698" s="134" t="s">
        <v>2648</v>
      </c>
      <c r="G698" s="184">
        <v>825643570</v>
      </c>
      <c r="H698" s="138" t="s">
        <v>2649</v>
      </c>
      <c r="I698" s="138" t="s">
        <v>7855</v>
      </c>
      <c r="J698" s="138" t="s">
        <v>2650</v>
      </c>
      <c r="K698" s="138" t="s">
        <v>1473</v>
      </c>
      <c r="L698" s="138"/>
      <c r="M698" s="138"/>
      <c r="N698" s="138"/>
      <c r="O698" s="138"/>
      <c r="P698" s="138"/>
      <c r="Q698" s="138"/>
      <c r="R698" s="138"/>
      <c r="S698" s="138"/>
      <c r="T698" s="135">
        <v>401.41</v>
      </c>
      <c r="U698" s="185"/>
      <c r="V698" s="185">
        <v>3.4304078124610745E-6</v>
      </c>
      <c r="W698" s="185">
        <v>7.2443596007499062E-5</v>
      </c>
      <c r="X698" s="185">
        <f t="shared" si="228"/>
        <v>7.2443596007499062E-5</v>
      </c>
      <c r="Y698" s="204">
        <v>7</v>
      </c>
      <c r="Z698" s="135">
        <v>6.12</v>
      </c>
      <c r="AA698" s="135"/>
      <c r="AB698" s="135">
        <v>4.88</v>
      </c>
      <c r="AC698" s="135">
        <v>0.74260000000000004</v>
      </c>
      <c r="AD698" s="135">
        <v>4.75</v>
      </c>
      <c r="AE698" s="135">
        <v>4.3899999999999997</v>
      </c>
      <c r="AF698" s="135">
        <f t="shared" si="225"/>
        <v>4.75</v>
      </c>
      <c r="AG698" s="136">
        <v>5.4</v>
      </c>
      <c r="AH698" s="185">
        <v>7.7500000000000002E-17</v>
      </c>
      <c r="AI698" s="185"/>
      <c r="AJ698" s="136">
        <f t="shared" si="229"/>
        <v>-14.499264623806342</v>
      </c>
      <c r="AK698" s="136"/>
      <c r="AL698" s="136">
        <f t="shared" si="230"/>
        <v>-14.499264623806342</v>
      </c>
      <c r="AM698" s="136">
        <v>-22.015399999999996</v>
      </c>
      <c r="AN698" s="186">
        <v>-17.100000000000001</v>
      </c>
      <c r="AO698" s="481">
        <v>13.57</v>
      </c>
      <c r="AP698" s="481">
        <v>-1.56</v>
      </c>
      <c r="AQ698" s="135" t="s">
        <v>6311</v>
      </c>
      <c r="AR698" s="135" t="s">
        <v>6311</v>
      </c>
      <c r="AS698" s="190"/>
      <c r="AT698" s="137" t="s">
        <v>266</v>
      </c>
      <c r="AU698" s="135">
        <v>6</v>
      </c>
      <c r="AV698" s="135">
        <v>120</v>
      </c>
      <c r="AW698" s="135">
        <v>114</v>
      </c>
      <c r="AX698" s="135">
        <v>28</v>
      </c>
      <c r="AY698" s="135" t="s">
        <v>8728</v>
      </c>
      <c r="AZ698" s="135" t="s">
        <v>1563</v>
      </c>
      <c r="BA698" s="135">
        <v>32</v>
      </c>
      <c r="BB698" s="138" t="s">
        <v>2485</v>
      </c>
      <c r="BC698" s="138" t="s">
        <v>8726</v>
      </c>
      <c r="BD698" s="138" t="s">
        <v>8374</v>
      </c>
      <c r="BE698" s="135" t="s">
        <v>2449</v>
      </c>
      <c r="BF698" s="135" t="s">
        <v>272</v>
      </c>
      <c r="BG698" s="135" t="s">
        <v>272</v>
      </c>
      <c r="BH698" s="135" t="s">
        <v>2486</v>
      </c>
      <c r="BI698" s="185">
        <v>6.3999999999999997E-6</v>
      </c>
      <c r="BJ698" s="185">
        <v>6.4000000000000001E-2</v>
      </c>
      <c r="BK698" s="135"/>
      <c r="BL698" s="185">
        <f>10^((-0.8981*Z698)+1.7108)</f>
        <v>1.6384304097357346E-4</v>
      </c>
      <c r="BM698" s="138" t="s">
        <v>2487</v>
      </c>
      <c r="BN698" s="135"/>
      <c r="BO698" s="135"/>
      <c r="BP698" s="135"/>
      <c r="BQ698" s="135"/>
      <c r="BR698" s="138" t="s">
        <v>2496</v>
      </c>
      <c r="BS698" s="135"/>
      <c r="BT698" s="135"/>
      <c r="BU698" s="135">
        <v>5.2000000000000002E-6</v>
      </c>
      <c r="BV698" s="135"/>
      <c r="BW698" s="135"/>
      <c r="BX698" s="135"/>
      <c r="BY698" s="135"/>
      <c r="BZ698" s="135"/>
      <c r="CA698" s="135"/>
      <c r="CB698" s="135"/>
      <c r="CC698" s="135"/>
      <c r="CD698" s="135"/>
      <c r="CE698" s="135"/>
      <c r="CF698" s="135"/>
      <c r="CG698" s="135"/>
      <c r="CH698" s="135"/>
      <c r="CI698" s="185"/>
      <c r="CJ698" s="187"/>
      <c r="CK698" s="136">
        <f t="shared" si="218"/>
        <v>2.5600475152120854E-3</v>
      </c>
      <c r="CL698" s="188"/>
      <c r="CM698" s="188"/>
      <c r="CN698" s="188"/>
      <c r="CO698" s="138" t="s">
        <v>2488</v>
      </c>
      <c r="CP698" s="138" t="s">
        <v>2489</v>
      </c>
      <c r="CQ698" s="191" t="s">
        <v>272</v>
      </c>
      <c r="CR698" s="191"/>
      <c r="CS698" s="135" t="s">
        <v>539</v>
      </c>
      <c r="CT698" s="135"/>
      <c r="CU698" s="135"/>
      <c r="CV698" s="332">
        <f t="shared" si="224"/>
        <v>1.1319311876171727E-3</v>
      </c>
      <c r="CW698" s="329">
        <f t="shared" si="217"/>
        <v>0</v>
      </c>
      <c r="CX698" s="329"/>
      <c r="CY698" s="189" t="s">
        <v>5921</v>
      </c>
    </row>
    <row r="699" spans="1:103" ht="11.25" customHeight="1" x14ac:dyDescent="0.2">
      <c r="A699" s="72">
        <v>697</v>
      </c>
      <c r="B699" s="183">
        <v>1342</v>
      </c>
      <c r="C699" s="133" t="s">
        <v>6928</v>
      </c>
      <c r="D699" s="133"/>
      <c r="E699" s="134"/>
      <c r="F699" s="134" t="s">
        <v>4154</v>
      </c>
      <c r="G699" s="184">
        <v>862243296</v>
      </c>
      <c r="H699" s="138" t="s">
        <v>4155</v>
      </c>
      <c r="I699" s="138" t="s">
        <v>7831</v>
      </c>
      <c r="J699" s="138" t="s">
        <v>4156</v>
      </c>
      <c r="K699" s="138" t="s">
        <v>371</v>
      </c>
      <c r="L699" s="138"/>
      <c r="M699" s="138"/>
      <c r="N699" s="138"/>
      <c r="O699" s="138"/>
      <c r="P699" s="138"/>
      <c r="Q699" s="138"/>
      <c r="R699" s="138"/>
      <c r="S699" s="138"/>
      <c r="T699" s="135">
        <v>505.25</v>
      </c>
      <c r="U699" s="185"/>
      <c r="V699" s="185">
        <v>6.1791192478970815E-6</v>
      </c>
      <c r="W699" s="185">
        <v>1.5848931924611131E-2</v>
      </c>
      <c r="X699" s="185">
        <f t="shared" si="228"/>
        <v>1.5848931924611131E-2</v>
      </c>
      <c r="Y699" s="204">
        <v>4.8</v>
      </c>
      <c r="Z699" s="135">
        <v>6.7</v>
      </c>
      <c r="AA699" s="135"/>
      <c r="AB699" s="135">
        <v>4.8499999999999996</v>
      </c>
      <c r="AC699" s="135">
        <v>0.62639999999999996</v>
      </c>
      <c r="AD699" s="135">
        <v>4.9800000000000004</v>
      </c>
      <c r="AE699" s="135">
        <v>5.33</v>
      </c>
      <c r="AF699" s="135">
        <f t="shared" si="225"/>
        <v>4.9800000000000004</v>
      </c>
      <c r="AG699" s="136">
        <v>5.31</v>
      </c>
      <c r="AH699" s="185">
        <v>1.9700000000000001E-22</v>
      </c>
      <c r="AI699" s="185"/>
      <c r="AJ699" s="136">
        <f t="shared" si="229"/>
        <v>-20.09410010015106</v>
      </c>
      <c r="AK699" s="136"/>
      <c r="AL699" s="136">
        <f t="shared" si="230"/>
        <v>-20.09410010015106</v>
      </c>
      <c r="AM699" s="136">
        <v>-28.152249999999999</v>
      </c>
      <c r="AN699" s="186">
        <v>-12.4</v>
      </c>
      <c r="AO699" s="481">
        <v>3.33</v>
      </c>
      <c r="AP699" s="481">
        <v>-5</v>
      </c>
      <c r="AQ699" s="135" t="s">
        <v>6311</v>
      </c>
      <c r="AR699" s="135" t="s">
        <v>6311</v>
      </c>
      <c r="AS699" s="190"/>
      <c r="AT699" s="137" t="s">
        <v>266</v>
      </c>
      <c r="AU699" s="135">
        <v>6</v>
      </c>
      <c r="AV699" s="135">
        <v>120</v>
      </c>
      <c r="AW699" s="135">
        <v>114</v>
      </c>
      <c r="AX699" s="135">
        <v>28</v>
      </c>
      <c r="AY699" s="135" t="s">
        <v>8728</v>
      </c>
      <c r="AZ699" s="135" t="s">
        <v>1563</v>
      </c>
      <c r="BA699" s="135">
        <v>32</v>
      </c>
      <c r="BB699" s="138" t="s">
        <v>2485</v>
      </c>
      <c r="BC699" s="138" t="s">
        <v>8726</v>
      </c>
      <c r="BD699" s="138" t="s">
        <v>8374</v>
      </c>
      <c r="BE699" s="135" t="s">
        <v>2449</v>
      </c>
      <c r="BF699" s="135" t="s">
        <v>272</v>
      </c>
      <c r="BG699" s="135" t="s">
        <v>272</v>
      </c>
      <c r="BH699" s="135" t="s">
        <v>2486</v>
      </c>
      <c r="BI699" s="185">
        <v>6.3999999999999997E-6</v>
      </c>
      <c r="BJ699" s="185">
        <v>6.4000000000000001E-2</v>
      </c>
      <c r="BK699" s="135"/>
      <c r="BL699" s="185">
        <f>10^((-0.8981*Z699)+1.7108)</f>
        <v>4.9377602591112654E-5</v>
      </c>
      <c r="BM699" s="138" t="s">
        <v>2487</v>
      </c>
      <c r="BN699" s="135"/>
      <c r="BO699" s="135"/>
      <c r="BP699" s="135"/>
      <c r="BQ699" s="135"/>
      <c r="BR699" s="138" t="s">
        <v>2496</v>
      </c>
      <c r="BS699" s="135"/>
      <c r="BT699" s="135"/>
      <c r="BU699" s="135"/>
      <c r="BV699" s="135"/>
      <c r="BW699" s="135"/>
      <c r="BX699" s="135"/>
      <c r="BY699" s="135"/>
      <c r="BZ699" s="135"/>
      <c r="CA699" s="135"/>
      <c r="CB699" s="135"/>
      <c r="CC699" s="135"/>
      <c r="CD699" s="135"/>
      <c r="CE699" s="135"/>
      <c r="CF699" s="135"/>
      <c r="CG699" s="135"/>
      <c r="CH699" s="135"/>
      <c r="CI699" s="185"/>
      <c r="CJ699" s="187"/>
      <c r="CK699" s="136">
        <f t="shared" si="218"/>
        <v>7.7152504048613518E-4</v>
      </c>
      <c r="CL699" s="188"/>
      <c r="CM699" s="188"/>
      <c r="CN699" s="188"/>
      <c r="CO699" s="138" t="s">
        <v>2488</v>
      </c>
      <c r="CP699" s="138" t="s">
        <v>2489</v>
      </c>
      <c r="CQ699" s="191" t="s">
        <v>272</v>
      </c>
      <c r="CR699" s="191"/>
      <c r="CS699" s="135" t="s">
        <v>539</v>
      </c>
      <c r="CT699" s="135"/>
      <c r="CU699" s="135"/>
      <c r="CV699" s="332">
        <f t="shared" si="224"/>
        <v>0.24763956132204892</v>
      </c>
      <c r="CW699" s="329">
        <f t="shared" si="217"/>
        <v>0</v>
      </c>
      <c r="CX699" s="329"/>
      <c r="CY699" s="189" t="s">
        <v>5921</v>
      </c>
    </row>
    <row r="700" spans="1:103" ht="11.25" customHeight="1" x14ac:dyDescent="0.2">
      <c r="A700" s="72">
        <v>698</v>
      </c>
      <c r="B700" s="183">
        <v>1770</v>
      </c>
      <c r="C700" s="133" t="s">
        <v>6929</v>
      </c>
      <c r="D700" s="133"/>
      <c r="E700" s="134"/>
      <c r="F700" s="134" t="s">
        <v>5101</v>
      </c>
      <c r="G700" s="184">
        <v>864283487</v>
      </c>
      <c r="H700" s="138" t="s">
        <v>5102</v>
      </c>
      <c r="I700" s="138" t="s">
        <v>7751</v>
      </c>
      <c r="J700" s="138" t="s">
        <v>5103</v>
      </c>
      <c r="K700" s="138" t="s">
        <v>357</v>
      </c>
      <c r="L700" s="140"/>
      <c r="M700" s="138"/>
      <c r="N700" s="138"/>
      <c r="O700" s="138"/>
      <c r="P700" s="138"/>
      <c r="Q700" s="138" t="s">
        <v>6173</v>
      </c>
      <c r="R700" s="138" t="s">
        <v>6175</v>
      </c>
      <c r="S700" s="138" t="s">
        <v>6176</v>
      </c>
      <c r="T700" s="135">
        <v>342.51</v>
      </c>
      <c r="U700" s="185"/>
      <c r="V700" s="185">
        <v>1.2166068143995795E-5</v>
      </c>
      <c r="W700" s="185">
        <v>4.1686938347033544E-3</v>
      </c>
      <c r="X700" s="185">
        <f t="shared" si="228"/>
        <v>4.1686938347033544E-3</v>
      </c>
      <c r="Y700" s="204">
        <v>7</v>
      </c>
      <c r="Z700" s="135">
        <v>7.28</v>
      </c>
      <c r="AA700" s="135"/>
      <c r="AB700" s="135">
        <v>7.24</v>
      </c>
      <c r="AC700" s="135">
        <v>0.73570000000000002</v>
      </c>
      <c r="AD700" s="135">
        <v>7.38</v>
      </c>
      <c r="AE700" s="135">
        <v>7.64</v>
      </c>
      <c r="AF700" s="135">
        <f t="shared" si="225"/>
        <v>7.38</v>
      </c>
      <c r="AG700" s="136">
        <v>6</v>
      </c>
      <c r="AH700" s="185">
        <v>2.9300000000000001E-5</v>
      </c>
      <c r="AI700" s="185"/>
      <c r="AJ700" s="136">
        <f t="shared" si="229"/>
        <v>-2.9216987059585424</v>
      </c>
      <c r="AK700" s="136"/>
      <c r="AL700" s="136">
        <f t="shared" si="230"/>
        <v>-2.9216987059585424</v>
      </c>
      <c r="AM700" s="136">
        <v>-7.5437200000000004</v>
      </c>
      <c r="AN700" s="186">
        <v>-3.3</v>
      </c>
      <c r="AO700" s="481"/>
      <c r="AP700" s="481"/>
      <c r="AQ700" s="186" t="s">
        <v>6311</v>
      </c>
      <c r="AR700" s="186" t="s">
        <v>6312</v>
      </c>
      <c r="AS700" s="183"/>
      <c r="AT700" s="137" t="s">
        <v>266</v>
      </c>
      <c r="AU700" s="135">
        <v>6</v>
      </c>
      <c r="AV700" s="135">
        <v>120</v>
      </c>
      <c r="AW700" s="135">
        <v>114</v>
      </c>
      <c r="AX700" s="135">
        <v>28</v>
      </c>
      <c r="AY700" s="135" t="s">
        <v>8728</v>
      </c>
      <c r="AZ700" s="135" t="s">
        <v>1563</v>
      </c>
      <c r="BA700" s="135">
        <v>32</v>
      </c>
      <c r="BB700" s="138" t="s">
        <v>2485</v>
      </c>
      <c r="BC700" s="138" t="s">
        <v>8726</v>
      </c>
      <c r="BD700" s="138" t="s">
        <v>8374</v>
      </c>
      <c r="BE700" s="135" t="s">
        <v>2449</v>
      </c>
      <c r="BF700" s="135" t="s">
        <v>272</v>
      </c>
      <c r="BG700" s="135" t="s">
        <v>272</v>
      </c>
      <c r="BH700" s="135" t="s">
        <v>2486</v>
      </c>
      <c r="BI700" s="185">
        <v>6.3999999999999997E-6</v>
      </c>
      <c r="BJ700" s="185">
        <v>6.4000000000000001E-2</v>
      </c>
      <c r="BK700" s="135"/>
      <c r="BL700" s="185">
        <f>10^((-0.8981*Z700)+1.7108)</f>
        <v>1.488099600177165E-5</v>
      </c>
      <c r="BM700" s="138" t="s">
        <v>2487</v>
      </c>
      <c r="BN700" s="135"/>
      <c r="BO700" s="135"/>
      <c r="BP700" s="135"/>
      <c r="BQ700" s="135"/>
      <c r="BR700" s="138" t="s">
        <v>2496</v>
      </c>
      <c r="BS700" s="135"/>
      <c r="BT700" s="135"/>
      <c r="BU700" s="135"/>
      <c r="BV700" s="135"/>
      <c r="BW700" s="135"/>
      <c r="BX700" s="135"/>
      <c r="BY700" s="135"/>
      <c r="BZ700" s="135"/>
      <c r="CA700" s="135"/>
      <c r="CB700" s="135"/>
      <c r="CC700" s="135"/>
      <c r="CD700" s="135"/>
      <c r="CE700" s="135"/>
      <c r="CF700" s="135"/>
      <c r="CG700" s="135"/>
      <c r="CH700" s="135"/>
      <c r="CI700" s="185"/>
      <c r="CJ700" s="187"/>
      <c r="CK700" s="136">
        <f t="shared" si="218"/>
        <v>2.3251556252768202E-4</v>
      </c>
      <c r="CL700" s="188"/>
      <c r="CM700" s="188"/>
      <c r="CN700" s="188"/>
      <c r="CO700" s="138" t="s">
        <v>2488</v>
      </c>
      <c r="CP700" s="138" t="s">
        <v>2489</v>
      </c>
      <c r="CQ700" s="191" t="s">
        <v>272</v>
      </c>
      <c r="CR700" s="191"/>
      <c r="CS700" s="135" t="s">
        <v>539</v>
      </c>
      <c r="CT700" s="135"/>
      <c r="CU700" s="135"/>
      <c r="CV700" s="332">
        <f t="shared" si="224"/>
        <v>6.5135841167239916E-2</v>
      </c>
      <c r="CW700" s="329">
        <f t="shared" si="217"/>
        <v>0</v>
      </c>
      <c r="CX700" s="329"/>
      <c r="CY700" s="189" t="s">
        <v>5921</v>
      </c>
    </row>
    <row r="701" spans="1:103" ht="11.25" customHeight="1" x14ac:dyDescent="0.2">
      <c r="A701" s="72">
        <v>699</v>
      </c>
      <c r="B701" s="183">
        <v>1275</v>
      </c>
      <c r="C701" s="133" t="s">
        <v>6930</v>
      </c>
      <c r="D701" s="133"/>
      <c r="E701" s="134"/>
      <c r="F701" s="134" t="s">
        <v>3506</v>
      </c>
      <c r="G701" s="184">
        <v>1061517621</v>
      </c>
      <c r="H701" s="138" t="s">
        <v>3507</v>
      </c>
      <c r="I701" s="138" t="s">
        <v>7830</v>
      </c>
      <c r="J701" s="138" t="s">
        <v>3508</v>
      </c>
      <c r="K701" s="138" t="s">
        <v>357</v>
      </c>
      <c r="L701" s="138"/>
      <c r="M701" s="138"/>
      <c r="N701" s="138"/>
      <c r="O701" s="138"/>
      <c r="P701" s="138"/>
      <c r="Q701" s="138"/>
      <c r="R701" s="138"/>
      <c r="S701" s="138"/>
      <c r="T701" s="135">
        <v>588.86</v>
      </c>
      <c r="U701" s="185"/>
      <c r="V701" s="185"/>
      <c r="W701" s="185">
        <v>3.0902954325135861E-7</v>
      </c>
      <c r="X701" s="185">
        <f t="shared" si="228"/>
        <v>3.0902954325135861E-7</v>
      </c>
      <c r="Y701" s="204">
        <v>7</v>
      </c>
      <c r="Z701" s="135"/>
      <c r="AA701" s="135"/>
      <c r="AB701" s="135">
        <v>10.029999999999999</v>
      </c>
      <c r="AC701" s="135">
        <v>0.5615</v>
      </c>
      <c r="AD701" s="135">
        <v>12.15</v>
      </c>
      <c r="AE701" s="135">
        <v>14.39</v>
      </c>
      <c r="AF701" s="135">
        <f t="shared" si="225"/>
        <v>12.15</v>
      </c>
      <c r="AG701" s="136">
        <v>11.35</v>
      </c>
      <c r="AH701" s="185">
        <v>1.2899999999999999E-6</v>
      </c>
      <c r="AI701" s="185"/>
      <c r="AJ701" s="136">
        <f t="shared" si="229"/>
        <v>-4.2779766160134027</v>
      </c>
      <c r="AK701" s="136"/>
      <c r="AL701" s="136">
        <f t="shared" si="230"/>
        <v>-4.2779766160134027</v>
      </c>
      <c r="AM701" s="136">
        <v>-14.47678</v>
      </c>
      <c r="AN701" s="186">
        <v>-4.7300000000000004</v>
      </c>
      <c r="AO701" s="481"/>
      <c r="AP701" s="481"/>
      <c r="AQ701" s="135" t="s">
        <v>6311</v>
      </c>
      <c r="AR701" s="135" t="s">
        <v>6312</v>
      </c>
      <c r="AS701" s="190"/>
      <c r="AT701" s="137" t="s">
        <v>266</v>
      </c>
      <c r="AU701" s="135">
        <v>6</v>
      </c>
      <c r="AV701" s="135">
        <v>120</v>
      </c>
      <c r="AW701" s="135">
        <v>114</v>
      </c>
      <c r="AX701" s="135">
        <v>28</v>
      </c>
      <c r="AY701" s="135" t="s">
        <v>8728</v>
      </c>
      <c r="AZ701" s="135" t="s">
        <v>1563</v>
      </c>
      <c r="BA701" s="135">
        <v>32</v>
      </c>
      <c r="BB701" s="138" t="s">
        <v>2485</v>
      </c>
      <c r="BC701" s="138" t="s">
        <v>8726</v>
      </c>
      <c r="BD701" s="138" t="s">
        <v>8374</v>
      </c>
      <c r="BE701" s="135" t="s">
        <v>2449</v>
      </c>
      <c r="BF701" s="135" t="s">
        <v>272</v>
      </c>
      <c r="BG701" s="135" t="s">
        <v>272</v>
      </c>
      <c r="BH701" s="135" t="s">
        <v>2486</v>
      </c>
      <c r="BI701" s="185">
        <v>6.3999999999999997E-6</v>
      </c>
      <c r="BJ701" s="185">
        <v>6.4000000000000001E-2</v>
      </c>
      <c r="BK701" s="135"/>
      <c r="BL701" s="185"/>
      <c r="BM701" s="138" t="s">
        <v>2487</v>
      </c>
      <c r="BN701" s="135"/>
      <c r="BO701" s="135"/>
      <c r="BP701" s="135"/>
      <c r="BQ701" s="135"/>
      <c r="BR701" s="138" t="s">
        <v>2496</v>
      </c>
      <c r="BS701" s="135"/>
      <c r="BT701" s="135"/>
      <c r="BU701" s="135">
        <v>6.4000000000000005E-4</v>
      </c>
      <c r="BV701" s="135"/>
      <c r="BW701" s="135"/>
      <c r="BX701" s="135"/>
      <c r="BY701" s="135"/>
      <c r="BZ701" s="135"/>
      <c r="CA701" s="135"/>
      <c r="CB701" s="135"/>
      <c r="CC701" s="135"/>
      <c r="CD701" s="135"/>
      <c r="CE701" s="135"/>
      <c r="CF701" s="135"/>
      <c r="CG701" s="135"/>
      <c r="CH701" s="135"/>
      <c r="CI701" s="185"/>
      <c r="CJ701" s="187"/>
      <c r="CK701" s="136">
        <f t="shared" si="218"/>
        <v>0</v>
      </c>
      <c r="CL701" s="188"/>
      <c r="CM701" s="188"/>
      <c r="CN701" s="188"/>
      <c r="CO701" s="138" t="s">
        <v>2488</v>
      </c>
      <c r="CP701" s="138" t="s">
        <v>2489</v>
      </c>
      <c r="CQ701" s="191" t="s">
        <v>272</v>
      </c>
      <c r="CR701" s="191"/>
      <c r="CS701" s="135" t="s">
        <v>539</v>
      </c>
      <c r="CT701" s="135"/>
      <c r="CU701" s="135"/>
      <c r="CV701" s="332">
        <f t="shared" si="224"/>
        <v>4.8285866133024783E-6</v>
      </c>
      <c r="CW701" s="329">
        <f t="shared" si="217"/>
        <v>0</v>
      </c>
      <c r="CX701" s="329"/>
      <c r="CY701" s="189" t="s">
        <v>5921</v>
      </c>
    </row>
    <row r="702" spans="1:103" ht="11.25" customHeight="1" x14ac:dyDescent="0.2">
      <c r="A702" s="72">
        <v>700</v>
      </c>
      <c r="B702" s="183">
        <v>1473</v>
      </c>
      <c r="C702" s="133" t="s">
        <v>6931</v>
      </c>
      <c r="D702" s="133"/>
      <c r="E702" s="134"/>
      <c r="F702" s="183" t="s">
        <v>6391</v>
      </c>
      <c r="G702" s="183" t="s">
        <v>6391</v>
      </c>
      <c r="H702" s="138" t="s">
        <v>4524</v>
      </c>
      <c r="I702" s="138" t="s">
        <v>7763</v>
      </c>
      <c r="J702" s="138" t="s">
        <v>4525</v>
      </c>
      <c r="K702" s="138" t="s">
        <v>376</v>
      </c>
      <c r="L702" s="138"/>
      <c r="M702" s="138"/>
      <c r="N702" s="138"/>
      <c r="O702" s="138"/>
      <c r="P702" s="138"/>
      <c r="Q702" s="138"/>
      <c r="R702" s="138"/>
      <c r="S702" s="138"/>
      <c r="T702" s="135">
        <v>306.36</v>
      </c>
      <c r="U702" s="185"/>
      <c r="V702" s="185">
        <v>2.5443922183052615E-2</v>
      </c>
      <c r="W702" s="185">
        <v>0.14791083881682063</v>
      </c>
      <c r="X702" s="185">
        <f t="shared" si="228"/>
        <v>0.14791083881682063</v>
      </c>
      <c r="Y702" s="204">
        <v>6.81</v>
      </c>
      <c r="Z702" s="135">
        <v>4.38</v>
      </c>
      <c r="AA702" s="135"/>
      <c r="AB702" s="135">
        <v>3.98</v>
      </c>
      <c r="AC702" s="135">
        <v>0.65090000000000003</v>
      </c>
      <c r="AD702" s="135">
        <v>3.92</v>
      </c>
      <c r="AE702" s="135">
        <v>3.83</v>
      </c>
      <c r="AF702" s="135">
        <f t="shared" si="225"/>
        <v>3.92</v>
      </c>
      <c r="AG702" s="136">
        <v>4.5599999999999996</v>
      </c>
      <c r="AH702" s="185">
        <v>5.8000000000000006E-17</v>
      </c>
      <c r="AI702" s="185"/>
      <c r="AJ702" s="136">
        <f t="shared" si="229"/>
        <v>-14.625138332749714</v>
      </c>
      <c r="AK702" s="136"/>
      <c r="AL702" s="136">
        <f t="shared" si="230"/>
        <v>-14.625138332749714</v>
      </c>
      <c r="AM702" s="136">
        <v>-20.567339999999998</v>
      </c>
      <c r="AN702" s="186">
        <v>-16.2</v>
      </c>
      <c r="AO702" s="481">
        <v>10.02</v>
      </c>
      <c r="AP702" s="481"/>
      <c r="AQ702" s="135" t="s">
        <v>5921</v>
      </c>
      <c r="AR702" s="135" t="s">
        <v>5921</v>
      </c>
      <c r="AS702" s="190"/>
      <c r="AT702" s="137" t="s">
        <v>266</v>
      </c>
      <c r="AU702" s="135">
        <v>6</v>
      </c>
      <c r="AV702" s="135">
        <v>120</v>
      </c>
      <c r="AW702" s="135">
        <v>114</v>
      </c>
      <c r="AX702" s="135">
        <v>28</v>
      </c>
      <c r="AY702" s="135" t="s">
        <v>8728</v>
      </c>
      <c r="AZ702" s="135" t="s">
        <v>1563</v>
      </c>
      <c r="BA702" s="135">
        <v>32</v>
      </c>
      <c r="BB702" s="138" t="s">
        <v>2485</v>
      </c>
      <c r="BC702" s="138" t="s">
        <v>8726</v>
      </c>
      <c r="BD702" s="138" t="s">
        <v>8374</v>
      </c>
      <c r="BE702" s="135" t="s">
        <v>2449</v>
      </c>
      <c r="BF702" s="135" t="s">
        <v>272</v>
      </c>
      <c r="BG702" s="135" t="s">
        <v>272</v>
      </c>
      <c r="BH702" s="135" t="s">
        <v>2486</v>
      </c>
      <c r="BI702" s="185">
        <v>6.3999999999999997E-6</v>
      </c>
      <c r="BJ702" s="185">
        <v>6.4000000000000001E-2</v>
      </c>
      <c r="BK702" s="135"/>
      <c r="BL702" s="185">
        <f>10^((-0.8981*Z702)+1.7108)</f>
        <v>5.9857972169532082E-3</v>
      </c>
      <c r="BM702" s="138" t="s">
        <v>2487</v>
      </c>
      <c r="BN702" s="135"/>
      <c r="BO702" s="135"/>
      <c r="BP702" s="135"/>
      <c r="BQ702" s="135"/>
      <c r="BR702" s="138" t="s">
        <v>2496</v>
      </c>
      <c r="BS702" s="135"/>
      <c r="BT702" s="135"/>
      <c r="BU702" s="135"/>
      <c r="BV702" s="135"/>
      <c r="BW702" s="135"/>
      <c r="BX702" s="135"/>
      <c r="BY702" s="135"/>
      <c r="BZ702" s="135"/>
      <c r="CA702" s="135"/>
      <c r="CB702" s="135"/>
      <c r="CC702" s="135"/>
      <c r="CD702" s="135"/>
      <c r="CE702" s="135"/>
      <c r="CF702" s="135"/>
      <c r="CG702" s="135"/>
      <c r="CH702" s="135"/>
      <c r="CI702" s="185"/>
      <c r="CJ702" s="187"/>
      <c r="CK702" s="136">
        <f t="shared" si="218"/>
        <v>9.3528081514893877E-2</v>
      </c>
      <c r="CL702" s="188"/>
      <c r="CM702" s="188"/>
      <c r="CN702" s="188"/>
      <c r="CO702" s="138" t="s">
        <v>2488</v>
      </c>
      <c r="CP702" s="138" t="s">
        <v>2489</v>
      </c>
      <c r="CQ702" s="191" t="s">
        <v>272</v>
      </c>
      <c r="CR702" s="191"/>
      <c r="CS702" s="135" t="s">
        <v>539</v>
      </c>
      <c r="CT702" s="135"/>
      <c r="CU702" s="135"/>
      <c r="CV702" s="332">
        <f t="shared" si="224"/>
        <v>2.3111068565128221</v>
      </c>
      <c r="CW702" s="329">
        <f t="shared" si="217"/>
        <v>1</v>
      </c>
      <c r="CX702" s="329"/>
      <c r="CY702" s="189" t="s">
        <v>5921</v>
      </c>
    </row>
    <row r="703" spans="1:103" ht="11.25" customHeight="1" x14ac:dyDescent="0.2">
      <c r="A703" s="72">
        <v>701</v>
      </c>
      <c r="B703" s="183">
        <v>2069</v>
      </c>
      <c r="C703" s="133" t="s">
        <v>6932</v>
      </c>
      <c r="D703" s="133"/>
      <c r="E703" s="134"/>
      <c r="F703" s="183" t="s">
        <v>6392</v>
      </c>
      <c r="G703" s="183" t="s">
        <v>6392</v>
      </c>
      <c r="H703" s="138" t="s">
        <v>5531</v>
      </c>
      <c r="I703" s="138"/>
      <c r="J703" s="138"/>
      <c r="K703" s="138"/>
      <c r="L703" s="138"/>
      <c r="M703" s="138"/>
      <c r="N703" s="138"/>
      <c r="O703" s="138"/>
      <c r="P703" s="138"/>
      <c r="Q703" s="138"/>
      <c r="R703" s="138"/>
      <c r="S703" s="138"/>
      <c r="T703" s="135">
        <v>6054.36</v>
      </c>
      <c r="U703" s="185"/>
      <c r="V703" s="185"/>
      <c r="W703" s="185"/>
      <c r="X703" s="185"/>
      <c r="Y703" s="204"/>
      <c r="Z703" s="135"/>
      <c r="AA703" s="135"/>
      <c r="AB703" s="135"/>
      <c r="AC703" s="135"/>
      <c r="AD703" s="135"/>
      <c r="AE703" s="135"/>
      <c r="AF703" s="135"/>
      <c r="AG703" s="136" t="s">
        <v>404</v>
      </c>
      <c r="AH703" s="185"/>
      <c r="AI703" s="185"/>
      <c r="AJ703" s="136"/>
      <c r="AK703" s="136"/>
      <c r="AL703" s="136"/>
      <c r="AM703" s="136"/>
      <c r="AN703" s="186"/>
      <c r="AO703" s="481"/>
      <c r="AP703" s="481"/>
      <c r="AQ703" s="186" t="s">
        <v>6311</v>
      </c>
      <c r="AR703" s="186" t="s">
        <v>6311</v>
      </c>
      <c r="AS703" s="183" t="s">
        <v>5466</v>
      </c>
      <c r="AT703" s="137" t="s">
        <v>266</v>
      </c>
      <c r="AU703" s="135">
        <v>2</v>
      </c>
      <c r="AV703" s="135">
        <v>96</v>
      </c>
      <c r="AW703" s="135">
        <v>94</v>
      </c>
      <c r="AX703" s="135">
        <v>28.5</v>
      </c>
      <c r="AY703" s="135"/>
      <c r="AZ703" s="135" t="s">
        <v>5695</v>
      </c>
      <c r="BA703" s="135">
        <v>20</v>
      </c>
      <c r="BB703" s="138" t="s">
        <v>5696</v>
      </c>
      <c r="BC703" s="138" t="s">
        <v>5697</v>
      </c>
      <c r="BD703" s="138"/>
      <c r="BE703" s="135"/>
      <c r="BF703" s="135"/>
      <c r="BG703" s="135">
        <v>7</v>
      </c>
      <c r="BH703" s="135" t="s">
        <v>5658</v>
      </c>
      <c r="BI703" s="185">
        <v>6.2500000000000001E-4</v>
      </c>
      <c r="BJ703" s="185">
        <v>0.02</v>
      </c>
      <c r="BK703" s="201"/>
      <c r="BL703" s="185"/>
      <c r="BM703" s="135"/>
      <c r="BN703" s="135"/>
      <c r="BO703" s="135"/>
      <c r="BP703" s="135"/>
      <c r="BQ703" s="135" t="s">
        <v>5698</v>
      </c>
      <c r="BR703" s="135"/>
      <c r="BS703" s="135"/>
      <c r="BT703" s="135"/>
      <c r="BU703" s="135"/>
      <c r="BV703" s="135"/>
      <c r="BW703" s="135"/>
      <c r="BX703" s="135"/>
      <c r="BY703" s="135"/>
      <c r="BZ703" s="135"/>
      <c r="CA703" s="135"/>
      <c r="CB703" s="135"/>
      <c r="CC703" s="135"/>
      <c r="CD703" s="135"/>
      <c r="CE703" s="135"/>
      <c r="CF703" s="135"/>
      <c r="CG703" s="135"/>
      <c r="CH703" s="135"/>
      <c r="CI703" s="185"/>
      <c r="CJ703" s="187"/>
      <c r="CK703" s="136">
        <f t="shared" si="218"/>
        <v>0</v>
      </c>
      <c r="CL703" s="188"/>
      <c r="CM703" s="188"/>
      <c r="CN703" s="188"/>
      <c r="CO703" s="138"/>
      <c r="CP703" s="138" t="s">
        <v>5699</v>
      </c>
      <c r="CQ703" s="191" t="s">
        <v>272</v>
      </c>
      <c r="CR703" s="191"/>
      <c r="CS703" s="135" t="s">
        <v>539</v>
      </c>
      <c r="CT703" s="135"/>
      <c r="CU703" s="135"/>
      <c r="CV703" s="332" t="s">
        <v>6310</v>
      </c>
      <c r="CW703" s="329">
        <f t="shared" ref="CW703:CW766" si="231">IF(CV703&lt;1,0,1)</f>
        <v>1</v>
      </c>
      <c r="CX703" s="329"/>
      <c r="CY703" s="189" t="s">
        <v>5921</v>
      </c>
    </row>
    <row r="704" spans="1:103" ht="11.25" customHeight="1" x14ac:dyDescent="0.2">
      <c r="A704" s="72">
        <v>702</v>
      </c>
      <c r="B704" s="183">
        <v>1451</v>
      </c>
      <c r="C704" s="133" t="s">
        <v>6933</v>
      </c>
      <c r="D704" s="133"/>
      <c r="E704" s="134"/>
      <c r="F704" s="134" t="s">
        <v>4462</v>
      </c>
      <c r="G704" s="184" t="s">
        <v>4462</v>
      </c>
      <c r="H704" s="138" t="s">
        <v>4463</v>
      </c>
      <c r="I704" s="138" t="s">
        <v>7850</v>
      </c>
      <c r="J704" s="138" t="s">
        <v>2204</v>
      </c>
      <c r="K704" s="138" t="s">
        <v>2507</v>
      </c>
      <c r="L704" s="138"/>
      <c r="M704" s="138"/>
      <c r="N704" s="138"/>
      <c r="O704" s="138"/>
      <c r="P704" s="138"/>
      <c r="Q704" s="138"/>
      <c r="R704" s="138"/>
      <c r="S704" s="138"/>
      <c r="T704" s="135">
        <v>696.25</v>
      </c>
      <c r="U704" s="185"/>
      <c r="V704" s="185">
        <v>6.4718132854578092E-8</v>
      </c>
      <c r="W704" s="185">
        <v>9.5499258602143589E-3</v>
      </c>
      <c r="X704" s="185">
        <f t="shared" ref="X704:X709" si="232">IF(W704=0,V704,W704)</f>
        <v>9.5499258602143589E-3</v>
      </c>
      <c r="Y704" s="204">
        <v>7.96</v>
      </c>
      <c r="Z704" s="135">
        <v>6.93</v>
      </c>
      <c r="AA704" s="135"/>
      <c r="AB704" s="135">
        <v>4.9400000000000004</v>
      </c>
      <c r="AC704" s="135">
        <v>0.33689999999999998</v>
      </c>
      <c r="AD704" s="135">
        <v>5.61</v>
      </c>
      <c r="AE704" s="135">
        <v>6.06</v>
      </c>
      <c r="AF704" s="135">
        <f t="shared" ref="AF704:AF714" si="233">IF(AA704=0,AD704,AA704)</f>
        <v>5.61</v>
      </c>
      <c r="AG704" s="136">
        <v>5.61</v>
      </c>
      <c r="AH704" s="185">
        <v>1.27E-20</v>
      </c>
      <c r="AI704" s="185"/>
      <c r="AJ704" s="136">
        <f t="shared" ref="AJ704:AJ716" si="234">LOG10(AH704*1000/(0.08206*298.15))</f>
        <v>-18.284762605356693</v>
      </c>
      <c r="AK704" s="136"/>
      <c r="AL704" s="136">
        <f t="shared" ref="AL704:AL716" si="235">IF(AK704=0,AJ704,AK704)</f>
        <v>-18.284762605356693</v>
      </c>
      <c r="AM704" s="136">
        <v>-33.133949999999999</v>
      </c>
      <c r="AN704" s="186"/>
      <c r="AO704" s="481">
        <v>10.53</v>
      </c>
      <c r="AP704" s="481">
        <v>10.62</v>
      </c>
      <c r="AQ704" s="135" t="s">
        <v>5921</v>
      </c>
      <c r="AR704" s="135" t="s">
        <v>5921</v>
      </c>
      <c r="AS704" s="190"/>
      <c r="AT704" s="137" t="s">
        <v>266</v>
      </c>
      <c r="AU704" s="135">
        <v>6</v>
      </c>
      <c r="AV704" s="135">
        <v>120</v>
      </c>
      <c r="AW704" s="135">
        <v>114</v>
      </c>
      <c r="AX704" s="135">
        <v>28</v>
      </c>
      <c r="AY704" s="135" t="s">
        <v>8728</v>
      </c>
      <c r="AZ704" s="135" t="s">
        <v>1563</v>
      </c>
      <c r="BA704" s="135">
        <v>32</v>
      </c>
      <c r="BB704" s="138" t="s">
        <v>2485</v>
      </c>
      <c r="BC704" s="138" t="s">
        <v>8726</v>
      </c>
      <c r="BD704" s="138" t="s">
        <v>8374</v>
      </c>
      <c r="BE704" s="135" t="s">
        <v>2449</v>
      </c>
      <c r="BF704" s="135" t="s">
        <v>272</v>
      </c>
      <c r="BG704" s="135" t="s">
        <v>272</v>
      </c>
      <c r="BH704" s="135" t="s">
        <v>2486</v>
      </c>
      <c r="BI704" s="185">
        <v>6.3999999999999997E-6</v>
      </c>
      <c r="BJ704" s="185">
        <v>6.4000000000000001E-2</v>
      </c>
      <c r="BK704" s="135"/>
      <c r="BL704" s="185">
        <f>10^((-0.8981*Z704)+1.7108)</f>
        <v>3.0687887966695791E-5</v>
      </c>
      <c r="BM704" s="138" t="s">
        <v>2487</v>
      </c>
      <c r="BN704" s="135"/>
      <c r="BO704" s="135"/>
      <c r="BP704" s="135"/>
      <c r="BQ704" s="135"/>
      <c r="BR704" s="138" t="s">
        <v>2496</v>
      </c>
      <c r="BS704" s="135"/>
      <c r="BT704" s="135"/>
      <c r="BU704" s="135"/>
      <c r="BV704" s="135"/>
      <c r="BW704" s="135"/>
      <c r="BX704" s="135"/>
      <c r="BY704" s="135"/>
      <c r="BZ704" s="135"/>
      <c r="CA704" s="135"/>
      <c r="CB704" s="135"/>
      <c r="CC704" s="135"/>
      <c r="CD704" s="135"/>
      <c r="CE704" s="135"/>
      <c r="CF704" s="135"/>
      <c r="CG704" s="135"/>
      <c r="CH704" s="135"/>
      <c r="CI704" s="185"/>
      <c r="CJ704" s="187"/>
      <c r="CK704" s="136">
        <f t="shared" si="218"/>
        <v>4.7949824947962172E-4</v>
      </c>
      <c r="CL704" s="188"/>
      <c r="CM704" s="188"/>
      <c r="CN704" s="188"/>
      <c r="CO704" s="138" t="s">
        <v>2488</v>
      </c>
      <c r="CP704" s="138" t="s">
        <v>2489</v>
      </c>
      <c r="CQ704" s="191" t="s">
        <v>272</v>
      </c>
      <c r="CR704" s="191"/>
      <c r="CS704" s="135" t="s">
        <v>539</v>
      </c>
      <c r="CT704" s="135"/>
      <c r="CU704" s="135"/>
      <c r="CV704" s="332">
        <f t="shared" ref="CV704:CV716" si="236">X704/BJ704</f>
        <v>0.14921759156584935</v>
      </c>
      <c r="CW704" s="329">
        <f t="shared" si="231"/>
        <v>0</v>
      </c>
      <c r="CX704" s="329"/>
      <c r="CY704" s="189" t="s">
        <v>5921</v>
      </c>
    </row>
    <row r="705" spans="1:103" ht="11.25" customHeight="1" x14ac:dyDescent="0.2">
      <c r="A705" s="72">
        <v>703</v>
      </c>
      <c r="B705" s="183">
        <v>887</v>
      </c>
      <c r="C705" s="133" t="s">
        <v>6934</v>
      </c>
      <c r="D705" s="133"/>
      <c r="E705" s="134"/>
      <c r="F705" s="134" t="s">
        <v>2524</v>
      </c>
      <c r="G705" s="184" t="s">
        <v>2524</v>
      </c>
      <c r="H705" s="138" t="s">
        <v>2525</v>
      </c>
      <c r="I705" s="138" t="s">
        <v>7969</v>
      </c>
      <c r="J705" s="138" t="s">
        <v>2526</v>
      </c>
      <c r="K705" s="138"/>
      <c r="L705" s="138"/>
      <c r="M705" s="138"/>
      <c r="N705" s="138"/>
      <c r="O705" s="138"/>
      <c r="P705" s="138"/>
      <c r="Q705" s="138"/>
      <c r="R705" s="138"/>
      <c r="S705" s="138"/>
      <c r="T705" s="135">
        <v>469.41</v>
      </c>
      <c r="U705" s="185"/>
      <c r="V705" s="185">
        <f>0.02307/469.42</f>
        <v>4.9145754335136975E-5</v>
      </c>
      <c r="W705" s="185">
        <v>7.9432823472428069E-3</v>
      </c>
      <c r="X705" s="185">
        <f t="shared" si="232"/>
        <v>7.9432823472428069E-3</v>
      </c>
      <c r="Y705" s="204">
        <v>8.69</v>
      </c>
      <c r="Z705" s="135">
        <v>5.32</v>
      </c>
      <c r="AA705" s="135"/>
      <c r="AB705" s="135">
        <v>3.87</v>
      </c>
      <c r="AC705" s="135">
        <v>0.67279999999999995</v>
      </c>
      <c r="AD705" s="135">
        <v>4.38</v>
      </c>
      <c r="AE705" s="135">
        <v>5.35</v>
      </c>
      <c r="AF705" s="135">
        <f t="shared" si="233"/>
        <v>4.38</v>
      </c>
      <c r="AG705" s="136">
        <v>6.73</v>
      </c>
      <c r="AH705" s="185">
        <v>2.9299999999999999E-14</v>
      </c>
      <c r="AI705" s="185"/>
      <c r="AJ705" s="136">
        <f t="shared" si="234"/>
        <v>-11.921698705958542</v>
      </c>
      <c r="AK705" s="136"/>
      <c r="AL705" s="136">
        <f t="shared" si="235"/>
        <v>-11.921698705958542</v>
      </c>
      <c r="AM705" s="136">
        <v>-18.677509999999998</v>
      </c>
      <c r="AN705" s="186">
        <v>-32.6</v>
      </c>
      <c r="AO705" s="481"/>
      <c r="AP705" s="481">
        <v>9.0299999999999994</v>
      </c>
      <c r="AQ705" s="135" t="s">
        <v>5921</v>
      </c>
      <c r="AR705" s="135" t="s">
        <v>5921</v>
      </c>
      <c r="AS705" s="190"/>
      <c r="AT705" s="137" t="s">
        <v>266</v>
      </c>
      <c r="AU705" s="135">
        <v>6</v>
      </c>
      <c r="AV705" s="135">
        <v>120</v>
      </c>
      <c r="AW705" s="135">
        <v>114</v>
      </c>
      <c r="AX705" s="135">
        <v>28</v>
      </c>
      <c r="AY705" s="135" t="s">
        <v>8728</v>
      </c>
      <c r="AZ705" s="135" t="s">
        <v>1563</v>
      </c>
      <c r="BA705" s="135">
        <v>32</v>
      </c>
      <c r="BB705" s="138" t="s">
        <v>2485</v>
      </c>
      <c r="BC705" s="138" t="s">
        <v>8726</v>
      </c>
      <c r="BD705" s="138" t="s">
        <v>8374</v>
      </c>
      <c r="BE705" s="135" t="s">
        <v>2449</v>
      </c>
      <c r="BF705" s="135" t="s">
        <v>272</v>
      </c>
      <c r="BG705" s="135" t="s">
        <v>272</v>
      </c>
      <c r="BH705" s="135" t="s">
        <v>2486</v>
      </c>
      <c r="BI705" s="185">
        <v>6.3999999999999997E-6</v>
      </c>
      <c r="BJ705" s="185">
        <v>6.4000000000000001E-2</v>
      </c>
      <c r="BK705" s="135"/>
      <c r="BL705" s="185"/>
      <c r="BM705" s="138" t="s">
        <v>2487</v>
      </c>
      <c r="BN705" s="135"/>
      <c r="BO705" s="135"/>
      <c r="BP705" s="135"/>
      <c r="BQ705" s="135"/>
      <c r="BR705" s="138" t="s">
        <v>2496</v>
      </c>
      <c r="BS705" s="135"/>
      <c r="BT705" s="135"/>
      <c r="BU705" s="135">
        <v>5.9999999999999997E-7</v>
      </c>
      <c r="BV705" s="135"/>
      <c r="BW705" s="135"/>
      <c r="BX705" s="135"/>
      <c r="BY705" s="135"/>
      <c r="BZ705" s="135"/>
      <c r="CA705" s="135"/>
      <c r="CB705" s="135"/>
      <c r="CC705" s="135"/>
      <c r="CD705" s="135"/>
      <c r="CE705" s="135"/>
      <c r="CF705" s="135"/>
      <c r="CG705" s="135"/>
      <c r="CH705" s="135"/>
      <c r="CI705" s="185"/>
      <c r="CJ705" s="187"/>
      <c r="CK705" s="136">
        <f t="shared" si="218"/>
        <v>0</v>
      </c>
      <c r="CL705" s="188"/>
      <c r="CM705" s="188"/>
      <c r="CN705" s="188"/>
      <c r="CO705" s="138" t="s">
        <v>2488</v>
      </c>
      <c r="CP705" s="138" t="s">
        <v>2489</v>
      </c>
      <c r="CQ705" s="191" t="s">
        <v>272</v>
      </c>
      <c r="CR705" s="191"/>
      <c r="CS705" s="135" t="s">
        <v>539</v>
      </c>
      <c r="CT705" s="135"/>
      <c r="CU705" s="135"/>
      <c r="CV705" s="332">
        <f t="shared" si="236"/>
        <v>0.12411378667566886</v>
      </c>
      <c r="CW705" s="329">
        <f t="shared" si="231"/>
        <v>0</v>
      </c>
      <c r="CX705" s="329"/>
      <c r="CY705" s="189" t="s">
        <v>5921</v>
      </c>
    </row>
    <row r="706" spans="1:103" ht="11.25" customHeight="1" x14ac:dyDescent="0.2">
      <c r="A706" s="72">
        <v>704</v>
      </c>
      <c r="B706" s="183">
        <v>1126</v>
      </c>
      <c r="C706" s="133" t="s">
        <v>6935</v>
      </c>
      <c r="D706" s="133"/>
      <c r="E706" s="134"/>
      <c r="F706" s="134" t="s">
        <v>3145</v>
      </c>
      <c r="G706" s="184" t="s">
        <v>3145</v>
      </c>
      <c r="H706" s="138" t="s">
        <v>3146</v>
      </c>
      <c r="I706" s="138" t="s">
        <v>7970</v>
      </c>
      <c r="J706" s="138" t="s">
        <v>2658</v>
      </c>
      <c r="K706" s="138"/>
      <c r="L706" s="138"/>
      <c r="M706" s="138"/>
      <c r="N706" s="138"/>
      <c r="O706" s="138"/>
      <c r="P706" s="138"/>
      <c r="Q706" s="138"/>
      <c r="R706" s="138"/>
      <c r="S706" s="138"/>
      <c r="T706" s="135">
        <v>506.61</v>
      </c>
      <c r="U706" s="185"/>
      <c r="V706" s="185">
        <f>28.02/506.62</f>
        <v>5.5307725711578694E-2</v>
      </c>
      <c r="W706" s="185">
        <v>4.8977881936844584E-3</v>
      </c>
      <c r="X706" s="185">
        <f t="shared" si="232"/>
        <v>4.8977881936844584E-3</v>
      </c>
      <c r="Y706" s="204">
        <v>8.23</v>
      </c>
      <c r="Z706" s="186">
        <v>3.46</v>
      </c>
      <c r="AA706" s="135"/>
      <c r="AB706" s="135">
        <v>3.31</v>
      </c>
      <c r="AC706" s="135">
        <v>0.50319999999999998</v>
      </c>
      <c r="AD706" s="135">
        <v>3.49</v>
      </c>
      <c r="AE706" s="135">
        <v>3.64</v>
      </c>
      <c r="AF706" s="135">
        <f t="shared" si="233"/>
        <v>3.49</v>
      </c>
      <c r="AG706" s="136">
        <v>4.5</v>
      </c>
      <c r="AH706" s="185">
        <v>1.3099999999999999E-22</v>
      </c>
      <c r="AI706" s="185"/>
      <c r="AJ706" s="136">
        <f t="shared" si="234"/>
        <v>-20.271295030656887</v>
      </c>
      <c r="AK706" s="136"/>
      <c r="AL706" s="136">
        <f t="shared" si="235"/>
        <v>-20.271295030656887</v>
      </c>
      <c r="AM706" s="136">
        <v>-28.507390000000001</v>
      </c>
      <c r="AN706" s="186">
        <v>-12.2</v>
      </c>
      <c r="AO706" s="481">
        <v>8.48</v>
      </c>
      <c r="AP706" s="481">
        <v>9.5</v>
      </c>
      <c r="AQ706" s="135" t="s">
        <v>5921</v>
      </c>
      <c r="AR706" s="135" t="s">
        <v>5921</v>
      </c>
      <c r="AS706" s="190"/>
      <c r="AT706" s="137" t="s">
        <v>266</v>
      </c>
      <c r="AU706" s="135">
        <v>6</v>
      </c>
      <c r="AV706" s="135">
        <v>120</v>
      </c>
      <c r="AW706" s="135">
        <v>114</v>
      </c>
      <c r="AX706" s="135">
        <v>28</v>
      </c>
      <c r="AY706" s="135" t="s">
        <v>8728</v>
      </c>
      <c r="AZ706" s="135" t="s">
        <v>1563</v>
      </c>
      <c r="BA706" s="135">
        <v>32</v>
      </c>
      <c r="BB706" s="138" t="s">
        <v>2485</v>
      </c>
      <c r="BC706" s="138" t="s">
        <v>8726</v>
      </c>
      <c r="BD706" s="138" t="s">
        <v>8374</v>
      </c>
      <c r="BE706" s="135" t="s">
        <v>2449</v>
      </c>
      <c r="BF706" s="135" t="s">
        <v>272</v>
      </c>
      <c r="BG706" s="135" t="s">
        <v>272</v>
      </c>
      <c r="BH706" s="135" t="s">
        <v>2486</v>
      </c>
      <c r="BI706" s="185">
        <v>6.3999999999999997E-6</v>
      </c>
      <c r="BJ706" s="185">
        <v>6.4000000000000001E-2</v>
      </c>
      <c r="BK706" s="135"/>
      <c r="BL706" s="185"/>
      <c r="BM706" s="138" t="s">
        <v>2487</v>
      </c>
      <c r="BN706" s="135"/>
      <c r="BO706" s="135"/>
      <c r="BP706" s="135"/>
      <c r="BQ706" s="135"/>
      <c r="BR706" s="138" t="s">
        <v>2496</v>
      </c>
      <c r="BS706" s="135"/>
      <c r="BT706" s="135"/>
      <c r="BU706" s="135">
        <v>5.9799999999999997E-5</v>
      </c>
      <c r="BV706" s="135"/>
      <c r="BW706" s="135"/>
      <c r="BX706" s="135"/>
      <c r="BY706" s="135"/>
      <c r="BZ706" s="135"/>
      <c r="CA706" s="135"/>
      <c r="CB706" s="135"/>
      <c r="CC706" s="135"/>
      <c r="CD706" s="135"/>
      <c r="CE706" s="135"/>
      <c r="CF706" s="135"/>
      <c r="CG706" s="135"/>
      <c r="CH706" s="135"/>
      <c r="CI706" s="185"/>
      <c r="CJ706" s="187"/>
      <c r="CK706" s="136">
        <f t="shared" si="218"/>
        <v>0</v>
      </c>
      <c r="CL706" s="188"/>
      <c r="CM706" s="188"/>
      <c r="CN706" s="188"/>
      <c r="CO706" s="138" t="s">
        <v>2488</v>
      </c>
      <c r="CP706" s="138" t="s">
        <v>2489</v>
      </c>
      <c r="CQ706" s="191" t="s">
        <v>272</v>
      </c>
      <c r="CR706" s="191"/>
      <c r="CS706" s="135" t="s">
        <v>539</v>
      </c>
      <c r="CT706" s="135"/>
      <c r="CU706" s="135"/>
      <c r="CV706" s="332">
        <f t="shared" si="236"/>
        <v>7.6527940526319657E-2</v>
      </c>
      <c r="CW706" s="329">
        <f t="shared" si="231"/>
        <v>0</v>
      </c>
      <c r="CX706" s="329"/>
      <c r="CY706" s="189" t="s">
        <v>5921</v>
      </c>
    </row>
    <row r="707" spans="1:103" ht="11.25" customHeight="1" x14ac:dyDescent="0.2">
      <c r="A707" s="72">
        <v>705</v>
      </c>
      <c r="B707" s="183">
        <v>1474</v>
      </c>
      <c r="C707" s="133" t="s">
        <v>6936</v>
      </c>
      <c r="D707" s="133"/>
      <c r="E707" s="134"/>
      <c r="F707" s="134" t="s">
        <v>4526</v>
      </c>
      <c r="G707" s="184" t="s">
        <v>4526</v>
      </c>
      <c r="H707" s="138" t="s">
        <v>4527</v>
      </c>
      <c r="I707" s="138" t="s">
        <v>7971</v>
      </c>
      <c r="J707" s="138" t="s">
        <v>4528</v>
      </c>
      <c r="K707" s="138"/>
      <c r="L707" s="138"/>
      <c r="M707" s="138"/>
      <c r="N707" s="138"/>
      <c r="O707" s="138"/>
      <c r="P707" s="138"/>
      <c r="Q707" s="138"/>
      <c r="R707" s="138"/>
      <c r="S707" s="138"/>
      <c r="T707" s="135">
        <v>376.36</v>
      </c>
      <c r="U707" s="185"/>
      <c r="V707" s="185">
        <f>33.92/376.36</f>
        <v>9.0126474651929009E-2</v>
      </c>
      <c r="W707" s="185">
        <v>6.7608297539198101E-2</v>
      </c>
      <c r="X707" s="185">
        <f t="shared" si="232"/>
        <v>6.7608297539198101E-2</v>
      </c>
      <c r="Y707" s="204">
        <v>7.1</v>
      </c>
      <c r="Z707" s="135">
        <v>2.46</v>
      </c>
      <c r="AA707" s="135"/>
      <c r="AB707" s="135">
        <v>2.37</v>
      </c>
      <c r="AC707" s="135">
        <v>0.64039999999999997</v>
      </c>
      <c r="AD707" s="135">
        <v>2.41</v>
      </c>
      <c r="AE707" s="135">
        <v>2.4900000000000002</v>
      </c>
      <c r="AF707" s="135">
        <f t="shared" si="233"/>
        <v>2.41</v>
      </c>
      <c r="AG707" s="136">
        <v>5.56</v>
      </c>
      <c r="AH707" s="185">
        <v>8.0900000000000006E-17</v>
      </c>
      <c r="AI707" s="185"/>
      <c r="AJ707" s="136">
        <f t="shared" si="234"/>
        <v>-14.48061780470038</v>
      </c>
      <c r="AK707" s="136"/>
      <c r="AL707" s="136">
        <f t="shared" si="235"/>
        <v>-14.48061780470038</v>
      </c>
      <c r="AM707" s="136">
        <v>-20.639800000000001</v>
      </c>
      <c r="AN707" s="186">
        <v>-15.6</v>
      </c>
      <c r="AO707" s="481">
        <v>14.66</v>
      </c>
      <c r="AP707" s="481">
        <v>3.96</v>
      </c>
      <c r="AQ707" s="135" t="s">
        <v>5921</v>
      </c>
      <c r="AR707" s="135" t="s">
        <v>5921</v>
      </c>
      <c r="AS707" s="190"/>
      <c r="AT707" s="137" t="s">
        <v>266</v>
      </c>
      <c r="AU707" s="135">
        <v>6</v>
      </c>
      <c r="AV707" s="135">
        <v>120</v>
      </c>
      <c r="AW707" s="135">
        <v>114</v>
      </c>
      <c r="AX707" s="135">
        <v>28</v>
      </c>
      <c r="AY707" s="135" t="s">
        <v>8728</v>
      </c>
      <c r="AZ707" s="135" t="s">
        <v>1563</v>
      </c>
      <c r="BA707" s="135">
        <v>32</v>
      </c>
      <c r="BB707" s="138" t="s">
        <v>2485</v>
      </c>
      <c r="BC707" s="138" t="s">
        <v>8726</v>
      </c>
      <c r="BD707" s="138" t="s">
        <v>8374</v>
      </c>
      <c r="BE707" s="135" t="s">
        <v>2449</v>
      </c>
      <c r="BF707" s="135" t="s">
        <v>272</v>
      </c>
      <c r="BG707" s="135" t="s">
        <v>272</v>
      </c>
      <c r="BH707" s="135" t="s">
        <v>2486</v>
      </c>
      <c r="BI707" s="185">
        <v>6.3999999999999997E-6</v>
      </c>
      <c r="BJ707" s="185">
        <v>6.4000000000000001E-2</v>
      </c>
      <c r="BK707" s="135"/>
      <c r="BL707" s="185"/>
      <c r="BM707" s="138" t="s">
        <v>2487</v>
      </c>
      <c r="BN707" s="135"/>
      <c r="BO707" s="135"/>
      <c r="BP707" s="135"/>
      <c r="BQ707" s="135"/>
      <c r="BR707" s="138" t="s">
        <v>2496</v>
      </c>
      <c r="BS707" s="135"/>
      <c r="BT707" s="135"/>
      <c r="BU707" s="135"/>
      <c r="BV707" s="135"/>
      <c r="BW707" s="135"/>
      <c r="BX707" s="135"/>
      <c r="BY707" s="135"/>
      <c r="BZ707" s="135"/>
      <c r="CA707" s="135"/>
      <c r="CB707" s="135"/>
      <c r="CC707" s="135"/>
      <c r="CD707" s="135"/>
      <c r="CE707" s="135"/>
      <c r="CF707" s="135"/>
      <c r="CG707" s="135"/>
      <c r="CH707" s="135"/>
      <c r="CI707" s="185"/>
      <c r="CJ707" s="187"/>
      <c r="CK707" s="136">
        <f t="shared" si="218"/>
        <v>0</v>
      </c>
      <c r="CL707" s="188"/>
      <c r="CM707" s="188"/>
      <c r="CN707" s="188"/>
      <c r="CO707" s="138" t="s">
        <v>2488</v>
      </c>
      <c r="CP707" s="138" t="s">
        <v>2489</v>
      </c>
      <c r="CQ707" s="191" t="s">
        <v>272</v>
      </c>
      <c r="CR707" s="191"/>
      <c r="CS707" s="135" t="s">
        <v>539</v>
      </c>
      <c r="CT707" s="135"/>
      <c r="CU707" s="135"/>
      <c r="CV707" s="332">
        <f t="shared" si="236"/>
        <v>1.0563796490499704</v>
      </c>
      <c r="CW707" s="329">
        <f t="shared" si="231"/>
        <v>1</v>
      </c>
      <c r="CX707" s="329"/>
      <c r="CY707" s="189" t="s">
        <v>5921</v>
      </c>
    </row>
    <row r="708" spans="1:103" ht="11.25" customHeight="1" x14ac:dyDescent="0.2">
      <c r="A708" s="72">
        <v>706</v>
      </c>
      <c r="B708" s="183">
        <v>1271</v>
      </c>
      <c r="C708" s="133" t="s">
        <v>6937</v>
      </c>
      <c r="D708" s="133"/>
      <c r="E708" s="134"/>
      <c r="F708" s="134" t="s">
        <v>3491</v>
      </c>
      <c r="G708" s="184" t="s">
        <v>3491</v>
      </c>
      <c r="H708" s="138" t="s">
        <v>3492</v>
      </c>
      <c r="I708" s="138" t="s">
        <v>7972</v>
      </c>
      <c r="J708" s="138" t="s">
        <v>3493</v>
      </c>
      <c r="K708" s="138" t="s">
        <v>471</v>
      </c>
      <c r="L708" s="138"/>
      <c r="M708" s="138"/>
      <c r="N708" s="138"/>
      <c r="O708" s="138"/>
      <c r="P708" s="138"/>
      <c r="Q708" s="138"/>
      <c r="R708" s="138"/>
      <c r="S708" s="138"/>
      <c r="T708" s="135">
        <v>365.83</v>
      </c>
      <c r="U708" s="185"/>
      <c r="V708" s="185">
        <v>5.0269250744881505E-2</v>
      </c>
      <c r="W708" s="185">
        <v>0.35481338923357514</v>
      </c>
      <c r="X708" s="185">
        <f t="shared" si="232"/>
        <v>0.35481338923357514</v>
      </c>
      <c r="Y708" s="204">
        <v>3.48</v>
      </c>
      <c r="Z708" s="135">
        <v>2.69</v>
      </c>
      <c r="AA708" s="135"/>
      <c r="AB708" s="135">
        <v>3.76</v>
      </c>
      <c r="AC708" s="135">
        <v>0.6038</v>
      </c>
      <c r="AD708" s="135">
        <v>3.75</v>
      </c>
      <c r="AE708" s="135">
        <v>3.73</v>
      </c>
      <c r="AF708" s="135">
        <f t="shared" si="233"/>
        <v>3.75</v>
      </c>
      <c r="AG708" s="136">
        <v>4.6399999999999997</v>
      </c>
      <c r="AH708" s="185">
        <v>7.9300000000000003E-12</v>
      </c>
      <c r="AI708" s="185"/>
      <c r="AJ708" s="136">
        <f t="shared" si="234"/>
        <v>-9.4892931389950483</v>
      </c>
      <c r="AK708" s="136"/>
      <c r="AL708" s="136">
        <f t="shared" si="235"/>
        <v>-9.4892931389950483</v>
      </c>
      <c r="AM708" s="136">
        <v>-19.844100000000001</v>
      </c>
      <c r="AN708" s="186">
        <v>-11.4</v>
      </c>
      <c r="AO708" s="481">
        <v>2.0499999999999998</v>
      </c>
      <c r="AP708" s="481">
        <v>-3.42</v>
      </c>
      <c r="AQ708" s="135" t="s">
        <v>5921</v>
      </c>
      <c r="AR708" s="135" t="s">
        <v>5921</v>
      </c>
      <c r="AS708" s="190"/>
      <c r="AT708" s="137" t="s">
        <v>266</v>
      </c>
      <c r="AU708" s="135">
        <v>6</v>
      </c>
      <c r="AV708" s="135">
        <v>120</v>
      </c>
      <c r="AW708" s="135">
        <v>114</v>
      </c>
      <c r="AX708" s="135">
        <v>28</v>
      </c>
      <c r="AY708" s="135" t="s">
        <v>8728</v>
      </c>
      <c r="AZ708" s="135" t="s">
        <v>1563</v>
      </c>
      <c r="BA708" s="135">
        <v>32</v>
      </c>
      <c r="BB708" s="138" t="s">
        <v>2485</v>
      </c>
      <c r="BC708" s="138" t="s">
        <v>8726</v>
      </c>
      <c r="BD708" s="138" t="s">
        <v>8374</v>
      </c>
      <c r="BE708" s="135" t="s">
        <v>2449</v>
      </c>
      <c r="BF708" s="135" t="s">
        <v>272</v>
      </c>
      <c r="BG708" s="135" t="s">
        <v>272</v>
      </c>
      <c r="BH708" s="135" t="s">
        <v>2486</v>
      </c>
      <c r="BI708" s="185">
        <v>6.3999999999999997E-6</v>
      </c>
      <c r="BJ708" s="185">
        <v>6.4000000000000001E-2</v>
      </c>
      <c r="BK708" s="135"/>
      <c r="BL708" s="185">
        <f>10^((-0.8981*Z708)+1.7108)</f>
        <v>0.19720185687934438</v>
      </c>
      <c r="BM708" s="138" t="s">
        <v>2487</v>
      </c>
      <c r="BN708" s="135"/>
      <c r="BO708" s="135"/>
      <c r="BP708" s="135"/>
      <c r="BQ708" s="135"/>
      <c r="BR708" s="138" t="s">
        <v>2496</v>
      </c>
      <c r="BS708" s="135"/>
      <c r="BT708" s="135"/>
      <c r="BU708" s="135">
        <v>6.4000000000000001E-2</v>
      </c>
      <c r="BV708" s="135"/>
      <c r="BW708" s="135"/>
      <c r="BX708" s="135"/>
      <c r="BY708" s="135"/>
      <c r="BZ708" s="135"/>
      <c r="CA708" s="135"/>
      <c r="CB708" s="135"/>
      <c r="CC708" s="135"/>
      <c r="CD708" s="135"/>
      <c r="CE708" s="135"/>
      <c r="CF708" s="135"/>
      <c r="CG708" s="135"/>
      <c r="CH708" s="135"/>
      <c r="CI708" s="185"/>
      <c r="CJ708" s="187"/>
      <c r="CK708" s="136">
        <f t="shared" si="218"/>
        <v>3.0812790137397559</v>
      </c>
      <c r="CL708" s="188"/>
      <c r="CM708" s="188"/>
      <c r="CN708" s="188"/>
      <c r="CO708" s="138" t="s">
        <v>2488</v>
      </c>
      <c r="CP708" s="138" t="s">
        <v>2489</v>
      </c>
      <c r="CQ708" s="191" t="s">
        <v>272</v>
      </c>
      <c r="CR708" s="191"/>
      <c r="CS708" s="135" t="s">
        <v>539</v>
      </c>
      <c r="CT708" s="135"/>
      <c r="CU708" s="135"/>
      <c r="CV708" s="332">
        <f t="shared" si="236"/>
        <v>5.5439592067746117</v>
      </c>
      <c r="CW708" s="329">
        <f t="shared" si="231"/>
        <v>1</v>
      </c>
      <c r="CX708" s="329"/>
      <c r="CY708" s="189" t="s">
        <v>5921</v>
      </c>
    </row>
    <row r="709" spans="1:103" ht="11.25" customHeight="1" x14ac:dyDescent="0.2">
      <c r="A709" s="72">
        <v>707</v>
      </c>
      <c r="B709" s="183">
        <v>1104</v>
      </c>
      <c r="C709" s="133" t="s">
        <v>6938</v>
      </c>
      <c r="D709" s="133"/>
      <c r="E709" s="134"/>
      <c r="F709" s="134" t="s">
        <v>3085</v>
      </c>
      <c r="G709" s="184">
        <v>120558</v>
      </c>
      <c r="H709" s="138" t="s">
        <v>3086</v>
      </c>
      <c r="I709" s="138" t="s">
        <v>3086</v>
      </c>
      <c r="J709" s="138" t="s">
        <v>3087</v>
      </c>
      <c r="K709" s="138" t="s">
        <v>357</v>
      </c>
      <c r="L709" s="138"/>
      <c r="M709" s="138"/>
      <c r="N709" s="138"/>
      <c r="O709" s="138"/>
      <c r="P709" s="138"/>
      <c r="Q709" s="138"/>
      <c r="R709" s="138"/>
      <c r="S709" s="138"/>
      <c r="T709" s="135">
        <v>314.33</v>
      </c>
      <c r="U709" s="185"/>
      <c r="V709" s="185">
        <v>8.1474883084656252E-2</v>
      </c>
      <c r="W709" s="185">
        <v>0.22387211385683381</v>
      </c>
      <c r="X709" s="185">
        <f t="shared" si="232"/>
        <v>0.22387211385683381</v>
      </c>
      <c r="Y709" s="204">
        <v>7</v>
      </c>
      <c r="Z709" s="135">
        <v>3.04</v>
      </c>
      <c r="AA709" s="135"/>
      <c r="AB709" s="135">
        <v>3.87</v>
      </c>
      <c r="AC709" s="135">
        <v>0.7994</v>
      </c>
      <c r="AD709" s="135">
        <v>3.81</v>
      </c>
      <c r="AE709" s="135">
        <v>3.64</v>
      </c>
      <c r="AF709" s="135">
        <f t="shared" si="233"/>
        <v>3.81</v>
      </c>
      <c r="AG709" s="136">
        <v>7.81</v>
      </c>
      <c r="AH709" s="185">
        <v>3.3800000000000002E-10</v>
      </c>
      <c r="AI709" s="185"/>
      <c r="AJ709" s="136">
        <f t="shared" si="234"/>
        <v>-7.8596496260349973</v>
      </c>
      <c r="AK709" s="136"/>
      <c r="AL709" s="136">
        <f t="shared" si="235"/>
        <v>-7.8596496260349973</v>
      </c>
      <c r="AM709" s="136">
        <v>-13.005929999999999</v>
      </c>
      <c r="AN709" s="186">
        <v>-11.8</v>
      </c>
      <c r="AO709" s="481"/>
      <c r="AP709" s="481"/>
      <c r="AQ709" s="135" t="s">
        <v>6311</v>
      </c>
      <c r="AR709" s="135" t="s">
        <v>6312</v>
      </c>
      <c r="AS709" s="190"/>
      <c r="AT709" s="137" t="s">
        <v>266</v>
      </c>
      <c r="AU709" s="135">
        <v>6</v>
      </c>
      <c r="AV709" s="135">
        <v>120</v>
      </c>
      <c r="AW709" s="135">
        <v>114</v>
      </c>
      <c r="AX709" s="135">
        <v>28</v>
      </c>
      <c r="AY709" s="135" t="s">
        <v>8728</v>
      </c>
      <c r="AZ709" s="135" t="s">
        <v>1563</v>
      </c>
      <c r="BA709" s="135">
        <v>32</v>
      </c>
      <c r="BB709" s="138" t="s">
        <v>2485</v>
      </c>
      <c r="BC709" s="138" t="s">
        <v>8726</v>
      </c>
      <c r="BD709" s="138" t="s">
        <v>8374</v>
      </c>
      <c r="BE709" s="135" t="s">
        <v>2449</v>
      </c>
      <c r="BF709" s="135" t="s">
        <v>272</v>
      </c>
      <c r="BG709" s="135" t="s">
        <v>272</v>
      </c>
      <c r="BH709" s="135" t="s">
        <v>2486</v>
      </c>
      <c r="BI709" s="185">
        <v>6.3999999999999997E-6</v>
      </c>
      <c r="BJ709" s="185">
        <v>6.4000000000000001E-2</v>
      </c>
      <c r="BK709" s="135"/>
      <c r="BL709" s="185">
        <f>10^((-0.8981*Z709)+1.7108)</f>
        <v>9.5626002250406281E-2</v>
      </c>
      <c r="BM709" s="138" t="s">
        <v>2487</v>
      </c>
      <c r="BN709" s="135"/>
      <c r="BO709" s="135"/>
      <c r="BP709" s="135"/>
      <c r="BQ709" s="135"/>
      <c r="BR709" s="138" t="s">
        <v>2496</v>
      </c>
      <c r="BS709" s="135"/>
      <c r="BT709" s="135"/>
      <c r="BU709" s="135">
        <v>6.3999999999999997E-5</v>
      </c>
      <c r="BV709" s="135"/>
      <c r="BW709" s="135"/>
      <c r="BX709" s="135"/>
      <c r="BY709" s="135"/>
      <c r="BZ709" s="135"/>
      <c r="CA709" s="135"/>
      <c r="CB709" s="135"/>
      <c r="CC709" s="135"/>
      <c r="CD709" s="135"/>
      <c r="CE709" s="135"/>
      <c r="CF709" s="135"/>
      <c r="CG709" s="135"/>
      <c r="CH709" s="135"/>
      <c r="CI709" s="141" t="s">
        <v>6346</v>
      </c>
      <c r="CJ709" s="185"/>
      <c r="CK709" s="136">
        <f t="shared" si="218"/>
        <v>1.494156285162598</v>
      </c>
      <c r="CL709" s="188"/>
      <c r="CM709" s="188"/>
      <c r="CN709" s="188"/>
      <c r="CO709" s="138" t="s">
        <v>2488</v>
      </c>
      <c r="CP709" s="138" t="s">
        <v>2489</v>
      </c>
      <c r="CQ709" s="191" t="s">
        <v>272</v>
      </c>
      <c r="CR709" s="191"/>
      <c r="CS709" s="135" t="s">
        <v>539</v>
      </c>
      <c r="CT709" s="135"/>
      <c r="CU709" s="135"/>
      <c r="CV709" s="332">
        <f t="shared" si="236"/>
        <v>3.4980017790130282</v>
      </c>
      <c r="CW709" s="329">
        <f t="shared" si="231"/>
        <v>1</v>
      </c>
      <c r="CX709" s="329"/>
      <c r="CY709" s="189" t="s">
        <v>6351</v>
      </c>
    </row>
    <row r="710" spans="1:103" s="456" customFormat="1" ht="11.25" customHeight="1" x14ac:dyDescent="0.2">
      <c r="A710" s="72">
        <v>708</v>
      </c>
      <c r="B710" s="327">
        <v>259</v>
      </c>
      <c r="C710" s="432" t="s">
        <v>7458</v>
      </c>
      <c r="D710" s="432" t="s">
        <v>8395</v>
      </c>
      <c r="E710" s="433"/>
      <c r="F710" s="433" t="s">
        <v>3767</v>
      </c>
      <c r="G710" s="457">
        <v>57754855</v>
      </c>
      <c r="H710" s="458" t="s">
        <v>6188</v>
      </c>
      <c r="I710" s="458" t="s">
        <v>8135</v>
      </c>
      <c r="J710" s="458" t="s">
        <v>3768</v>
      </c>
      <c r="K710" s="458"/>
      <c r="L710" s="458" t="s">
        <v>6032</v>
      </c>
      <c r="M710" s="458" t="s">
        <v>2342</v>
      </c>
      <c r="N710" s="458" t="s">
        <v>2342</v>
      </c>
      <c r="O710" s="458"/>
      <c r="P710" s="435"/>
      <c r="Q710" s="435" t="s">
        <v>6173</v>
      </c>
      <c r="R710" s="435" t="s">
        <v>6082</v>
      </c>
      <c r="S710" s="435" t="s">
        <v>6173</v>
      </c>
      <c r="T710" s="459">
        <v>192</v>
      </c>
      <c r="U710" s="439">
        <f>7850/192</f>
        <v>40.885416666666664</v>
      </c>
      <c r="V710" s="439">
        <f>5974/192</f>
        <v>31.114583333333332</v>
      </c>
      <c r="W710" s="439">
        <v>26.302679918953803</v>
      </c>
      <c r="X710" s="439">
        <f>7850/192</f>
        <v>40.885416666666664</v>
      </c>
      <c r="Y710" s="460">
        <v>1.93</v>
      </c>
      <c r="Z710" s="459">
        <v>1.63</v>
      </c>
      <c r="AA710" s="459">
        <v>1.06</v>
      </c>
      <c r="AB710" s="459">
        <v>1.97</v>
      </c>
      <c r="AC710" s="459">
        <v>0.83960000000000001</v>
      </c>
      <c r="AD710" s="459">
        <v>1.8</v>
      </c>
      <c r="AE710" s="459">
        <v>1.31</v>
      </c>
      <c r="AF710" s="459">
        <f t="shared" si="233"/>
        <v>1.06</v>
      </c>
      <c r="AG710" s="450">
        <v>0.87</v>
      </c>
      <c r="AH710" s="439">
        <v>4.9200000000000004E-9</v>
      </c>
      <c r="AI710" s="439"/>
      <c r="AJ710" s="441">
        <f t="shared" si="234"/>
        <v>-6.6966012235452919</v>
      </c>
      <c r="AK710" s="441"/>
      <c r="AL710" s="441">
        <f t="shared" si="235"/>
        <v>-6.6966012235452919</v>
      </c>
      <c r="AM710" s="441">
        <v>-10.62134</v>
      </c>
      <c r="AN710" s="461">
        <v>-16.5</v>
      </c>
      <c r="AO710" s="481">
        <v>2.02</v>
      </c>
      <c r="AP710" s="481">
        <v>-3.21</v>
      </c>
      <c r="AQ710" s="461" t="s">
        <v>6311</v>
      </c>
      <c r="AR710" s="461" t="s">
        <v>6311</v>
      </c>
      <c r="AS710" s="327" t="s">
        <v>3769</v>
      </c>
      <c r="AT710" s="462" t="s">
        <v>266</v>
      </c>
      <c r="AU710" s="459">
        <v>8</v>
      </c>
      <c r="AV710" s="459">
        <v>144</v>
      </c>
      <c r="AW710" s="459">
        <v>120</v>
      </c>
      <c r="AX710" s="459">
        <v>26</v>
      </c>
      <c r="AY710" s="459" t="s">
        <v>267</v>
      </c>
      <c r="AZ710" s="459" t="s">
        <v>2253</v>
      </c>
      <c r="BA710" s="459">
        <v>2</v>
      </c>
      <c r="BB710" s="458" t="s">
        <v>2254</v>
      </c>
      <c r="BC710" s="458" t="s">
        <v>270</v>
      </c>
      <c r="BD710" s="458" t="s">
        <v>8374</v>
      </c>
      <c r="BE710" s="459" t="s">
        <v>1712</v>
      </c>
      <c r="BF710" s="459" t="s">
        <v>272</v>
      </c>
      <c r="BG710" s="459" t="s">
        <v>272</v>
      </c>
      <c r="BH710" s="459" t="s">
        <v>2255</v>
      </c>
      <c r="BI710" s="439">
        <v>9.9999999999999995E-7</v>
      </c>
      <c r="BJ710" s="439">
        <v>0.08</v>
      </c>
      <c r="BK710" s="459"/>
      <c r="BL710" s="439"/>
      <c r="BM710" s="459" t="s">
        <v>891</v>
      </c>
      <c r="BN710" s="460"/>
      <c r="BO710" s="460"/>
      <c r="BP710" s="460"/>
      <c r="BQ710" s="460"/>
      <c r="BR710" s="460"/>
      <c r="BS710" s="459"/>
      <c r="BT710" s="460"/>
      <c r="BU710" s="449"/>
      <c r="BV710" s="460"/>
      <c r="BW710" s="460"/>
      <c r="BX710" s="460"/>
      <c r="BY710" s="460"/>
      <c r="BZ710" s="460"/>
      <c r="CA710" s="460"/>
      <c r="CB710" s="460"/>
      <c r="CC710" s="459"/>
      <c r="CD710" s="459"/>
      <c r="CE710" s="459"/>
      <c r="CF710" s="459"/>
      <c r="CG710" s="460"/>
      <c r="CH710" s="459"/>
      <c r="CI710" s="439"/>
      <c r="CJ710" s="439"/>
      <c r="CK710" s="450">
        <f t="shared" ref="CK710:CK773" si="237">BL710/BJ710</f>
        <v>0</v>
      </c>
      <c r="CL710" s="451"/>
      <c r="CM710" s="451"/>
      <c r="CN710" s="451"/>
      <c r="CO710" s="458" t="s">
        <v>892</v>
      </c>
      <c r="CP710" s="458" t="s">
        <v>893</v>
      </c>
      <c r="CQ710" s="327">
        <v>0.36663091541757264</v>
      </c>
      <c r="CR710" s="327">
        <f>10^(CJ710-CQ710)</f>
        <v>0.42990162287927647</v>
      </c>
      <c r="CS710" s="437" t="s">
        <v>539</v>
      </c>
      <c r="CT710" s="437"/>
      <c r="CU710" s="437"/>
      <c r="CV710" s="453">
        <f t="shared" si="236"/>
        <v>511.06770833333331</v>
      </c>
      <c r="CW710" s="437">
        <f t="shared" si="231"/>
        <v>1</v>
      </c>
      <c r="CX710" s="454" t="s">
        <v>539</v>
      </c>
      <c r="CY710" s="437" t="s">
        <v>5921</v>
      </c>
    </row>
    <row r="711" spans="1:103" s="456" customFormat="1" ht="11.25" customHeight="1" x14ac:dyDescent="0.2">
      <c r="A711" s="72">
        <v>709</v>
      </c>
      <c r="B711" s="327">
        <v>1561</v>
      </c>
      <c r="C711" s="432" t="s">
        <v>7458</v>
      </c>
      <c r="D711" s="432" t="s">
        <v>8395</v>
      </c>
      <c r="E711" s="433"/>
      <c r="F711" s="433" t="s">
        <v>3767</v>
      </c>
      <c r="G711" s="457">
        <v>57754855</v>
      </c>
      <c r="H711" s="458" t="s">
        <v>4701</v>
      </c>
      <c r="I711" s="458" t="s">
        <v>7810</v>
      </c>
      <c r="J711" s="458" t="s">
        <v>3768</v>
      </c>
      <c r="K711" s="458" t="s">
        <v>3015</v>
      </c>
      <c r="L711" s="458" t="s">
        <v>6032</v>
      </c>
      <c r="M711" s="458" t="s">
        <v>2342</v>
      </c>
      <c r="N711" s="458" t="s">
        <v>2342</v>
      </c>
      <c r="O711" s="458"/>
      <c r="P711" s="435"/>
      <c r="Q711" s="435" t="s">
        <v>6173</v>
      </c>
      <c r="R711" s="435" t="s">
        <v>6082</v>
      </c>
      <c r="S711" s="435" t="s">
        <v>6173</v>
      </c>
      <c r="T711" s="459">
        <v>253.084</v>
      </c>
      <c r="U711" s="439">
        <v>40.885416666666664</v>
      </c>
      <c r="V711" s="439">
        <v>31.114583333333332</v>
      </c>
      <c r="W711" s="439">
        <v>26.302679918953803</v>
      </c>
      <c r="X711" s="439">
        <v>40.885416666666664</v>
      </c>
      <c r="Y711" s="460">
        <v>1.93</v>
      </c>
      <c r="Z711" s="459">
        <v>1.63</v>
      </c>
      <c r="AA711" s="459">
        <v>1.06</v>
      </c>
      <c r="AB711" s="459">
        <v>1.97</v>
      </c>
      <c r="AC711" s="459">
        <v>0.83960000000000001</v>
      </c>
      <c r="AD711" s="459">
        <v>1.8</v>
      </c>
      <c r="AE711" s="459">
        <v>1.31</v>
      </c>
      <c r="AF711" s="459">
        <f t="shared" si="233"/>
        <v>1.06</v>
      </c>
      <c r="AG711" s="450">
        <v>0.87</v>
      </c>
      <c r="AH711" s="439">
        <v>4.9200000000000004E-9</v>
      </c>
      <c r="AI711" s="439">
        <v>3.0300000000000001E-9</v>
      </c>
      <c r="AJ711" s="441">
        <f t="shared" si="234"/>
        <v>-6.6966012235452919</v>
      </c>
      <c r="AK711" s="441">
        <f>LOG10(AI711*1000/(0.08206*298.15))</f>
        <v>-6.9071236978103467</v>
      </c>
      <c r="AL711" s="441">
        <f t="shared" si="235"/>
        <v>-6.9071236978103467</v>
      </c>
      <c r="AM711" s="441">
        <v>-10.62134</v>
      </c>
      <c r="AN711" s="461">
        <v>-16.5</v>
      </c>
      <c r="AO711" s="481">
        <v>2.02</v>
      </c>
      <c r="AP711" s="481">
        <v>-3.21</v>
      </c>
      <c r="AQ711" s="459" t="s">
        <v>6311</v>
      </c>
      <c r="AR711" s="459" t="s">
        <v>6311</v>
      </c>
      <c r="AS711" s="463"/>
      <c r="AT711" s="462" t="s">
        <v>266</v>
      </c>
      <c r="AU711" s="459">
        <v>6</v>
      </c>
      <c r="AV711" s="459">
        <v>120</v>
      </c>
      <c r="AW711" s="459">
        <v>114</v>
      </c>
      <c r="AX711" s="459">
        <v>28</v>
      </c>
      <c r="AY711" s="459" t="s">
        <v>8728</v>
      </c>
      <c r="AZ711" s="459" t="s">
        <v>1563</v>
      </c>
      <c r="BA711" s="459">
        <v>32</v>
      </c>
      <c r="BB711" s="458" t="s">
        <v>2485</v>
      </c>
      <c r="BC711" s="458" t="s">
        <v>8726</v>
      </c>
      <c r="BD711" s="458" t="s">
        <v>8374</v>
      </c>
      <c r="BE711" s="459" t="s">
        <v>2449</v>
      </c>
      <c r="BF711" s="459" t="s">
        <v>272</v>
      </c>
      <c r="BG711" s="459" t="s">
        <v>272</v>
      </c>
      <c r="BH711" s="459" t="s">
        <v>2486</v>
      </c>
      <c r="BI711" s="439">
        <v>6.3999999999999997E-6</v>
      </c>
      <c r="BJ711" s="439">
        <v>6.4000000000000001E-2</v>
      </c>
      <c r="BK711" s="459"/>
      <c r="BL711" s="439">
        <f t="shared" ref="BL711:BL716" si="238">10^((-0.8981*Z711)+1.7108)</f>
        <v>1.7656190257571063</v>
      </c>
      <c r="BM711" s="458" t="s">
        <v>2487</v>
      </c>
      <c r="BN711" s="459"/>
      <c r="BO711" s="459"/>
      <c r="BP711" s="459"/>
      <c r="BQ711" s="459"/>
      <c r="BR711" s="458" t="s">
        <v>2496</v>
      </c>
      <c r="BS711" s="459"/>
      <c r="BT711" s="459"/>
      <c r="BU711" s="449"/>
      <c r="BV711" s="459"/>
      <c r="BW711" s="459"/>
      <c r="BX711" s="459"/>
      <c r="BY711" s="459"/>
      <c r="BZ711" s="459"/>
      <c r="CA711" s="459"/>
      <c r="CB711" s="459"/>
      <c r="CC711" s="459"/>
      <c r="CD711" s="459"/>
      <c r="CE711" s="459"/>
      <c r="CF711" s="459"/>
      <c r="CG711" s="459"/>
      <c r="CH711" s="459"/>
      <c r="CI711" s="439"/>
      <c r="CJ711" s="439"/>
      <c r="CK711" s="450">
        <f t="shared" si="237"/>
        <v>27.587797277454786</v>
      </c>
      <c r="CL711" s="451"/>
      <c r="CM711" s="451"/>
      <c r="CN711" s="451"/>
      <c r="CO711" s="458" t="s">
        <v>2488</v>
      </c>
      <c r="CP711" s="458" t="s">
        <v>2489</v>
      </c>
      <c r="CQ711" s="327">
        <v>0.36663091541757264</v>
      </c>
      <c r="CR711" s="327">
        <f>10^(CJ711-CQ711)</f>
        <v>0.42990162287927647</v>
      </c>
      <c r="CS711" s="437" t="s">
        <v>539</v>
      </c>
      <c r="CT711" s="437"/>
      <c r="CU711" s="437"/>
      <c r="CV711" s="453">
        <f t="shared" si="236"/>
        <v>638.83463541666663</v>
      </c>
      <c r="CW711" s="437">
        <f t="shared" si="231"/>
        <v>1</v>
      </c>
      <c r="CX711" s="454"/>
      <c r="CY711" s="437" t="s">
        <v>5921</v>
      </c>
    </row>
    <row r="712" spans="1:103" ht="11.25" customHeight="1" x14ac:dyDescent="0.2">
      <c r="A712" s="72">
        <v>710</v>
      </c>
      <c r="B712" s="210">
        <v>1296</v>
      </c>
      <c r="C712" s="99" t="s">
        <v>6939</v>
      </c>
      <c r="D712" s="99"/>
      <c r="E712" s="112"/>
      <c r="F712" s="112" t="s">
        <v>3560</v>
      </c>
      <c r="G712" s="211">
        <v>50351</v>
      </c>
      <c r="H712" s="212" t="s">
        <v>3561</v>
      </c>
      <c r="I712" s="212" t="s">
        <v>3561</v>
      </c>
      <c r="J712" s="212" t="s">
        <v>3562</v>
      </c>
      <c r="K712" s="212" t="s">
        <v>1314</v>
      </c>
      <c r="L712" s="212" t="s">
        <v>279</v>
      </c>
      <c r="M712" s="212" t="s">
        <v>3563</v>
      </c>
      <c r="N712" s="212" t="s">
        <v>8487</v>
      </c>
      <c r="O712" s="212" t="s">
        <v>281</v>
      </c>
      <c r="P712" s="110"/>
      <c r="Q712" s="110"/>
      <c r="R712" s="110"/>
      <c r="S712" s="110"/>
      <c r="T712" s="100">
        <v>258.23</v>
      </c>
      <c r="U712" s="104">
        <v>2.1105216280060408</v>
      </c>
      <c r="V712" s="104">
        <v>2.1097471246563138</v>
      </c>
      <c r="W712" s="104">
        <v>6.9183097091893604</v>
      </c>
      <c r="X712" s="104">
        <v>2.1105216280060408</v>
      </c>
      <c r="Y712" s="412">
        <v>6.41</v>
      </c>
      <c r="Z712" s="100">
        <v>-0.24</v>
      </c>
      <c r="AA712" s="100">
        <v>0.33</v>
      </c>
      <c r="AB712" s="100">
        <v>0.45</v>
      </c>
      <c r="AC712" s="100">
        <v>0.73229999999999995</v>
      </c>
      <c r="AD712" s="100">
        <v>0.48</v>
      </c>
      <c r="AE712" s="100">
        <v>0.54</v>
      </c>
      <c r="AF712" s="100">
        <f t="shared" si="233"/>
        <v>0.33</v>
      </c>
      <c r="AG712" s="101">
        <v>-0.12</v>
      </c>
      <c r="AH712" s="104">
        <v>1.29E-16</v>
      </c>
      <c r="AI712" s="104"/>
      <c r="AJ712" s="107">
        <f t="shared" si="234"/>
        <v>-14.277976616013403</v>
      </c>
      <c r="AK712" s="107"/>
      <c r="AL712" s="107">
        <f t="shared" si="235"/>
        <v>-14.277976616013403</v>
      </c>
      <c r="AM712" s="107">
        <v>-19.407769999999999</v>
      </c>
      <c r="AN712" s="213">
        <v>-10.1</v>
      </c>
      <c r="AO712" s="482">
        <v>10.7</v>
      </c>
      <c r="AP712" s="482">
        <v>-2.5499999999999998</v>
      </c>
      <c r="AQ712" s="100" t="s">
        <v>6311</v>
      </c>
      <c r="AR712" s="100" t="s">
        <v>6311</v>
      </c>
      <c r="AS712" s="214"/>
      <c r="AT712" s="102" t="s">
        <v>266</v>
      </c>
      <c r="AU712" s="100">
        <v>6</v>
      </c>
      <c r="AV712" s="100">
        <v>120</v>
      </c>
      <c r="AW712" s="100">
        <v>114</v>
      </c>
      <c r="AX712" s="100">
        <v>28</v>
      </c>
      <c r="AY712" s="100" t="s">
        <v>8728</v>
      </c>
      <c r="AZ712" s="100" t="s">
        <v>1563</v>
      </c>
      <c r="BA712" s="100">
        <v>32</v>
      </c>
      <c r="BB712" s="212" t="s">
        <v>2485</v>
      </c>
      <c r="BC712" s="212" t="s">
        <v>8726</v>
      </c>
      <c r="BD712" s="212" t="s">
        <v>8374</v>
      </c>
      <c r="BE712" s="100" t="s">
        <v>2449</v>
      </c>
      <c r="BF712" s="100" t="s">
        <v>272</v>
      </c>
      <c r="BG712" s="100" t="s">
        <v>272</v>
      </c>
      <c r="BH712" s="100" t="s">
        <v>2486</v>
      </c>
      <c r="BI712" s="104">
        <v>6.3999999999999997E-6</v>
      </c>
      <c r="BJ712" s="104">
        <v>6.4000000000000001E-2</v>
      </c>
      <c r="BK712" s="100"/>
      <c r="BL712" s="104">
        <f t="shared" si="238"/>
        <v>84.400301880485841</v>
      </c>
      <c r="BM712" s="100" t="s">
        <v>2487</v>
      </c>
      <c r="BN712" s="100"/>
      <c r="BO712" s="100"/>
      <c r="BP712" s="100"/>
      <c r="BQ712" s="100"/>
      <c r="BR712" s="212"/>
      <c r="BS712" s="100"/>
      <c r="BT712" s="100"/>
      <c r="BU712" s="215"/>
      <c r="BV712" s="100"/>
      <c r="BW712" s="100"/>
      <c r="BX712" s="100"/>
      <c r="BY712" s="100"/>
      <c r="BZ712" s="100"/>
      <c r="CA712" s="100"/>
      <c r="CB712" s="100"/>
      <c r="CC712" s="100"/>
      <c r="CD712" s="100"/>
      <c r="CE712" s="100"/>
      <c r="CF712" s="100"/>
      <c r="CG712" s="100"/>
      <c r="CH712" s="100"/>
      <c r="CI712" s="104" t="s">
        <v>6346</v>
      </c>
      <c r="CJ712" s="104"/>
      <c r="CK712" s="101">
        <f t="shared" si="237"/>
        <v>1318.7547168825913</v>
      </c>
      <c r="CL712" s="216"/>
      <c r="CM712" s="216"/>
      <c r="CN712" s="216"/>
      <c r="CO712" s="212" t="s">
        <v>2488</v>
      </c>
      <c r="CP712" s="212" t="s">
        <v>2489</v>
      </c>
      <c r="CQ712" s="210" t="s">
        <v>272</v>
      </c>
      <c r="CR712" s="210"/>
      <c r="CS712" s="106" t="s">
        <v>539</v>
      </c>
      <c r="CT712" s="106"/>
      <c r="CU712" s="106"/>
      <c r="CV712" s="333">
        <f t="shared" si="236"/>
        <v>32.976900437594388</v>
      </c>
      <c r="CW712" s="106">
        <f t="shared" si="231"/>
        <v>1</v>
      </c>
      <c r="CX712" s="334"/>
      <c r="CY712" s="217" t="s">
        <v>5921</v>
      </c>
    </row>
    <row r="713" spans="1:103" ht="11.25" customHeight="1" x14ac:dyDescent="0.2">
      <c r="A713" s="72">
        <v>711</v>
      </c>
      <c r="B713" s="218">
        <v>1542</v>
      </c>
      <c r="C713" s="105" t="s">
        <v>6940</v>
      </c>
      <c r="D713" s="105"/>
      <c r="E713" s="113"/>
      <c r="F713" s="113" t="s">
        <v>4660</v>
      </c>
      <c r="G713" s="219">
        <v>842079</v>
      </c>
      <c r="H713" s="110" t="s">
        <v>4661</v>
      </c>
      <c r="I713" s="110" t="s">
        <v>4661</v>
      </c>
      <c r="J713" s="110" t="s">
        <v>4662</v>
      </c>
      <c r="K713" s="110" t="s">
        <v>349</v>
      </c>
      <c r="L713" s="110"/>
      <c r="M713" s="110"/>
      <c r="N713" s="212"/>
      <c r="O713" s="110"/>
      <c r="P713" s="110"/>
      <c r="Q713" s="110"/>
      <c r="R713" s="110"/>
      <c r="S713" s="110"/>
      <c r="T713" s="106">
        <v>248.28</v>
      </c>
      <c r="U713" s="220"/>
      <c r="V713" s="104">
        <v>2.7138714354760754E-3</v>
      </c>
      <c r="W713" s="104">
        <v>7.9432823472428069E-3</v>
      </c>
      <c r="X713" s="104">
        <f>IF(W713=0,V713,W713)</f>
        <v>7.9432823472428069E-3</v>
      </c>
      <c r="Y713" s="413">
        <v>7</v>
      </c>
      <c r="Z713" s="106">
        <v>5.51</v>
      </c>
      <c r="AA713" s="106"/>
      <c r="AB713" s="106">
        <v>4.55</v>
      </c>
      <c r="AC713" s="106">
        <v>0.8206</v>
      </c>
      <c r="AD713" s="106">
        <v>4.46</v>
      </c>
      <c r="AE713" s="106">
        <v>4.24</v>
      </c>
      <c r="AF713" s="106">
        <f t="shared" si="233"/>
        <v>4.46</v>
      </c>
      <c r="AG713" s="107">
        <v>4.3499999999999996</v>
      </c>
      <c r="AH713" s="220">
        <v>1.49E-10</v>
      </c>
      <c r="AI713" s="220"/>
      <c r="AJ713" s="107">
        <f t="shared" si="234"/>
        <v>-8.2153800579003775</v>
      </c>
      <c r="AK713" s="107"/>
      <c r="AL713" s="107">
        <f t="shared" si="235"/>
        <v>-8.2153800579003775</v>
      </c>
      <c r="AM713" s="107">
        <v>-11.958</v>
      </c>
      <c r="AN713" s="221">
        <v>-4.66</v>
      </c>
      <c r="AO713" s="482">
        <v>13.5</v>
      </c>
      <c r="AP713" s="482"/>
      <c r="AQ713" s="106" t="s">
        <v>6311</v>
      </c>
      <c r="AR713" s="106" t="s">
        <v>6311</v>
      </c>
      <c r="AS713" s="222"/>
      <c r="AT713" s="108" t="s">
        <v>266</v>
      </c>
      <c r="AU713" s="106">
        <v>6</v>
      </c>
      <c r="AV713" s="106">
        <v>120</v>
      </c>
      <c r="AW713" s="106">
        <v>114</v>
      </c>
      <c r="AX713" s="106">
        <v>28</v>
      </c>
      <c r="AY713" s="106" t="s">
        <v>8728</v>
      </c>
      <c r="AZ713" s="106" t="s">
        <v>1563</v>
      </c>
      <c r="BA713" s="106">
        <v>32</v>
      </c>
      <c r="BB713" s="110" t="s">
        <v>2485</v>
      </c>
      <c r="BC713" s="110" t="s">
        <v>8726</v>
      </c>
      <c r="BD713" s="110" t="s">
        <v>8374</v>
      </c>
      <c r="BE713" s="106" t="s">
        <v>2449</v>
      </c>
      <c r="BF713" s="106" t="s">
        <v>272</v>
      </c>
      <c r="BG713" s="106" t="s">
        <v>272</v>
      </c>
      <c r="BH713" s="106" t="s">
        <v>2486</v>
      </c>
      <c r="BI713" s="220">
        <v>6.3999999999999997E-6</v>
      </c>
      <c r="BJ713" s="220">
        <v>6.4000000000000001E-2</v>
      </c>
      <c r="BK713" s="106"/>
      <c r="BL713" s="220">
        <f t="shared" si="238"/>
        <v>5.7845422834882807E-4</v>
      </c>
      <c r="BM713" s="110" t="s">
        <v>2487</v>
      </c>
      <c r="BN713" s="106"/>
      <c r="BO713" s="106"/>
      <c r="BP713" s="106"/>
      <c r="BQ713" s="106"/>
      <c r="BR713" s="110" t="s">
        <v>2496</v>
      </c>
      <c r="BS713" s="106"/>
      <c r="BT713" s="106"/>
      <c r="BU713" s="106"/>
      <c r="BV713" s="106"/>
      <c r="BW713" s="106"/>
      <c r="BX713" s="106"/>
      <c r="BY713" s="106"/>
      <c r="BZ713" s="106"/>
      <c r="CA713" s="106"/>
      <c r="CB713" s="106"/>
      <c r="CC713" s="106"/>
      <c r="CD713" s="106"/>
      <c r="CE713" s="106"/>
      <c r="CF713" s="106"/>
      <c r="CG713" s="106"/>
      <c r="CH713" s="106"/>
      <c r="CI713" s="109" t="s">
        <v>6347</v>
      </c>
      <c r="CJ713" s="104"/>
      <c r="CK713" s="107">
        <f t="shared" si="237"/>
        <v>9.0383473179504389E-3</v>
      </c>
      <c r="CL713" s="216"/>
      <c r="CM713" s="216"/>
      <c r="CN713" s="216"/>
      <c r="CO713" s="110" t="s">
        <v>2488</v>
      </c>
      <c r="CP713" s="110" t="s">
        <v>2489</v>
      </c>
      <c r="CQ713" s="210" t="s">
        <v>272</v>
      </c>
      <c r="CR713" s="210"/>
      <c r="CS713" s="106" t="s">
        <v>539</v>
      </c>
      <c r="CT713" s="106"/>
      <c r="CU713" s="106"/>
      <c r="CV713" s="333">
        <f t="shared" si="236"/>
        <v>0.12411378667566886</v>
      </c>
      <c r="CW713" s="106">
        <f t="shared" si="231"/>
        <v>0</v>
      </c>
      <c r="CX713" s="334"/>
      <c r="CY713" s="217" t="s">
        <v>5921</v>
      </c>
    </row>
    <row r="714" spans="1:103" ht="11.25" customHeight="1" x14ac:dyDescent="0.2">
      <c r="A714" s="72">
        <v>712</v>
      </c>
      <c r="B714" s="218">
        <v>1458</v>
      </c>
      <c r="C714" s="105" t="s">
        <v>6941</v>
      </c>
      <c r="D714" s="105"/>
      <c r="E714" s="113"/>
      <c r="F714" s="113" t="s">
        <v>4483</v>
      </c>
      <c r="G714" s="219">
        <v>1987504</v>
      </c>
      <c r="H714" s="110" t="s">
        <v>4484</v>
      </c>
      <c r="I714" s="110" t="s">
        <v>4484</v>
      </c>
      <c r="J714" s="110" t="s">
        <v>4485</v>
      </c>
      <c r="K714" s="110" t="s">
        <v>349</v>
      </c>
      <c r="L714" s="110"/>
      <c r="M714" s="110"/>
      <c r="N714" s="212"/>
      <c r="O714" s="110"/>
      <c r="P714" s="110" t="s">
        <v>6184</v>
      </c>
      <c r="Q714" s="110" t="s">
        <v>6179</v>
      </c>
      <c r="R714" s="110" t="s">
        <v>6185</v>
      </c>
      <c r="S714" s="110" t="s">
        <v>6176</v>
      </c>
      <c r="T714" s="106">
        <v>192.3</v>
      </c>
      <c r="U714" s="220"/>
      <c r="V714" s="104">
        <v>5.0156006240249608E-2</v>
      </c>
      <c r="W714" s="104">
        <v>0.29512092266663859</v>
      </c>
      <c r="X714" s="104">
        <f>IF(W714=0,V714,W714)</f>
        <v>0.29512092266663859</v>
      </c>
      <c r="Y714" s="413">
        <v>6.76</v>
      </c>
      <c r="Z714" s="106">
        <v>5.01</v>
      </c>
      <c r="AA714" s="106"/>
      <c r="AB714" s="106">
        <v>4.7699999999999996</v>
      </c>
      <c r="AC714" s="106">
        <v>0.72319999999999995</v>
      </c>
      <c r="AD714" s="106">
        <v>4.91</v>
      </c>
      <c r="AE714" s="106">
        <v>5.13</v>
      </c>
      <c r="AF714" s="106">
        <f t="shared" si="233"/>
        <v>4.91</v>
      </c>
      <c r="AG714" s="107">
        <v>4.49</v>
      </c>
      <c r="AH714" s="220">
        <v>3.3900000000000002E-6</v>
      </c>
      <c r="AI714" s="220"/>
      <c r="AJ714" s="107">
        <f t="shared" si="234"/>
        <v>-3.8583666281095694</v>
      </c>
      <c r="AK714" s="107"/>
      <c r="AL714" s="107">
        <f t="shared" si="235"/>
        <v>-3.8583666281095694</v>
      </c>
      <c r="AM714" s="107">
        <v>-7.2366099999999998</v>
      </c>
      <c r="AN714" s="221">
        <v>-3.88</v>
      </c>
      <c r="AO714" s="482">
        <v>10.16</v>
      </c>
      <c r="AP714" s="482"/>
      <c r="AQ714" s="106" t="s">
        <v>6311</v>
      </c>
      <c r="AR714" s="106" t="s">
        <v>6311</v>
      </c>
      <c r="AS714" s="222"/>
      <c r="AT714" s="108" t="s">
        <v>266</v>
      </c>
      <c r="AU714" s="106">
        <v>6</v>
      </c>
      <c r="AV714" s="106">
        <v>120</v>
      </c>
      <c r="AW714" s="106">
        <v>114</v>
      </c>
      <c r="AX714" s="106">
        <v>28</v>
      </c>
      <c r="AY714" s="106" t="s">
        <v>8728</v>
      </c>
      <c r="AZ714" s="106" t="s">
        <v>1563</v>
      </c>
      <c r="BA714" s="106">
        <v>32</v>
      </c>
      <c r="BB714" s="110" t="s">
        <v>2485</v>
      </c>
      <c r="BC714" s="110" t="s">
        <v>8726</v>
      </c>
      <c r="BD714" s="110" t="s">
        <v>8374</v>
      </c>
      <c r="BE714" s="106" t="s">
        <v>2449</v>
      </c>
      <c r="BF714" s="106" t="s">
        <v>272</v>
      </c>
      <c r="BG714" s="106" t="s">
        <v>272</v>
      </c>
      <c r="BH714" s="106" t="s">
        <v>2486</v>
      </c>
      <c r="BI714" s="220">
        <v>6.3999999999999997E-6</v>
      </c>
      <c r="BJ714" s="220">
        <v>6.4000000000000001E-2</v>
      </c>
      <c r="BK714" s="106"/>
      <c r="BL714" s="220">
        <f t="shared" si="238"/>
        <v>1.6267431999933491E-3</v>
      </c>
      <c r="BM714" s="110" t="s">
        <v>2487</v>
      </c>
      <c r="BN714" s="106"/>
      <c r="BO714" s="106"/>
      <c r="BP714" s="106"/>
      <c r="BQ714" s="106"/>
      <c r="BR714" s="110" t="s">
        <v>2496</v>
      </c>
      <c r="BS714" s="106"/>
      <c r="BT714" s="106"/>
      <c r="BU714" s="106"/>
      <c r="BV714" s="106"/>
      <c r="BW714" s="106"/>
      <c r="BX714" s="106"/>
      <c r="BY714" s="106"/>
      <c r="BZ714" s="106"/>
      <c r="CA714" s="106"/>
      <c r="CB714" s="106"/>
      <c r="CC714" s="106"/>
      <c r="CD714" s="106"/>
      <c r="CE714" s="106"/>
      <c r="CF714" s="106"/>
      <c r="CG714" s="106"/>
      <c r="CH714" s="106"/>
      <c r="CI714" s="109" t="s">
        <v>6347</v>
      </c>
      <c r="CJ714" s="104"/>
      <c r="CK714" s="107">
        <f t="shared" si="237"/>
        <v>2.5417862499896079E-2</v>
      </c>
      <c r="CL714" s="216"/>
      <c r="CM714" s="216"/>
      <c r="CN714" s="216"/>
      <c r="CO714" s="110" t="s">
        <v>2488</v>
      </c>
      <c r="CP714" s="110" t="s">
        <v>2489</v>
      </c>
      <c r="CQ714" s="210" t="s">
        <v>272</v>
      </c>
      <c r="CR714" s="210"/>
      <c r="CS714" s="106" t="s">
        <v>539</v>
      </c>
      <c r="CT714" s="106"/>
      <c r="CU714" s="106"/>
      <c r="CV714" s="333">
        <f t="shared" si="236"/>
        <v>4.611264416666228</v>
      </c>
      <c r="CW714" s="106">
        <f t="shared" si="231"/>
        <v>1</v>
      </c>
      <c r="CX714" s="334"/>
      <c r="CY714" s="217" t="s">
        <v>5921</v>
      </c>
    </row>
    <row r="715" spans="1:103" ht="11.25" customHeight="1" x14ac:dyDescent="0.2">
      <c r="A715" s="72">
        <v>713</v>
      </c>
      <c r="B715" s="210">
        <v>970</v>
      </c>
      <c r="C715" s="99" t="s">
        <v>6942</v>
      </c>
      <c r="D715" s="99"/>
      <c r="E715" s="112"/>
      <c r="F715" s="112" t="s">
        <v>2767</v>
      </c>
      <c r="G715" s="211">
        <v>20325400</v>
      </c>
      <c r="H715" s="212" t="s">
        <v>2768</v>
      </c>
      <c r="I715" s="212" t="s">
        <v>7973</v>
      </c>
      <c r="J715" s="212" t="s">
        <v>2769</v>
      </c>
      <c r="K715" s="212" t="s">
        <v>426</v>
      </c>
      <c r="L715" s="212"/>
      <c r="M715" s="212"/>
      <c r="N715" s="212"/>
      <c r="O715" s="212"/>
      <c r="P715" s="110"/>
      <c r="Q715" s="110"/>
      <c r="R715" s="110"/>
      <c r="S715" s="110"/>
      <c r="T715" s="100">
        <v>317.22000000000003</v>
      </c>
      <c r="U715" s="104"/>
      <c r="V715" s="104">
        <v>10.018283840867536</v>
      </c>
      <c r="W715" s="104">
        <v>2.1877616239495488E-2</v>
      </c>
      <c r="X715" s="104">
        <f>IF(W715=0,V715,W715)</f>
        <v>2.1877616239495488E-2</v>
      </c>
      <c r="Y715" s="412">
        <v>7</v>
      </c>
      <c r="Z715" s="100">
        <v>0.56999999999999995</v>
      </c>
      <c r="AA715" s="100"/>
      <c r="AB715" s="100"/>
      <c r="AC715" s="100"/>
      <c r="AD715" s="100"/>
      <c r="AE715" s="100"/>
      <c r="AF715" s="100"/>
      <c r="AG715" s="101">
        <v>5.44</v>
      </c>
      <c r="AH715" s="104">
        <v>1.5499999999999999E-21</v>
      </c>
      <c r="AI715" s="104"/>
      <c r="AJ715" s="107">
        <f t="shared" si="234"/>
        <v>-19.198234628142359</v>
      </c>
      <c r="AK715" s="107"/>
      <c r="AL715" s="107">
        <f t="shared" si="235"/>
        <v>-19.198234628142359</v>
      </c>
      <c r="AM715" s="107"/>
      <c r="AN715" s="213">
        <v>-22.1</v>
      </c>
      <c r="AO715" s="482"/>
      <c r="AP715" s="482">
        <v>-1.1000000000000001</v>
      </c>
      <c r="AQ715" s="100" t="s">
        <v>6311</v>
      </c>
      <c r="AR715" s="100" t="s">
        <v>6311</v>
      </c>
      <c r="AS715" s="214"/>
      <c r="AT715" s="102" t="s">
        <v>266</v>
      </c>
      <c r="AU715" s="100">
        <v>6</v>
      </c>
      <c r="AV715" s="100">
        <v>120</v>
      </c>
      <c r="AW715" s="100">
        <v>114</v>
      </c>
      <c r="AX715" s="100">
        <v>28</v>
      </c>
      <c r="AY715" s="100" t="s">
        <v>8728</v>
      </c>
      <c r="AZ715" s="100" t="s">
        <v>1563</v>
      </c>
      <c r="BA715" s="100">
        <v>32</v>
      </c>
      <c r="BB715" s="212" t="s">
        <v>2485</v>
      </c>
      <c r="BC715" s="212" t="s">
        <v>8726</v>
      </c>
      <c r="BD715" s="212" t="s">
        <v>8374</v>
      </c>
      <c r="BE715" s="100" t="s">
        <v>2449</v>
      </c>
      <c r="BF715" s="100" t="s">
        <v>272</v>
      </c>
      <c r="BG715" s="100" t="s">
        <v>272</v>
      </c>
      <c r="BH715" s="100" t="s">
        <v>2486</v>
      </c>
      <c r="BI715" s="104">
        <v>6.3999999999999997E-6</v>
      </c>
      <c r="BJ715" s="104">
        <v>6.4000000000000001E-2</v>
      </c>
      <c r="BK715" s="100"/>
      <c r="BL715" s="104">
        <f t="shared" si="238"/>
        <v>15.808221045417557</v>
      </c>
      <c r="BM715" s="212" t="s">
        <v>2487</v>
      </c>
      <c r="BN715" s="100"/>
      <c r="BO715" s="100"/>
      <c r="BP715" s="100"/>
      <c r="BQ715" s="100"/>
      <c r="BR715" s="212" t="s">
        <v>2496</v>
      </c>
      <c r="BS715" s="100"/>
      <c r="BT715" s="100"/>
      <c r="BU715" s="215">
        <v>6.4000000000000001E-2</v>
      </c>
      <c r="BV715" s="100"/>
      <c r="BW715" s="100"/>
      <c r="BX715" s="100"/>
      <c r="BY715" s="100"/>
      <c r="BZ715" s="100"/>
      <c r="CA715" s="100"/>
      <c r="CB715" s="100"/>
      <c r="CC715" s="100"/>
      <c r="CD715" s="100"/>
      <c r="CE715" s="100"/>
      <c r="CF715" s="100"/>
      <c r="CG715" s="100"/>
      <c r="CH715" s="100"/>
      <c r="CI715" s="109" t="s">
        <v>6347</v>
      </c>
      <c r="CJ715" s="104"/>
      <c r="CK715" s="101">
        <f t="shared" si="237"/>
        <v>247.00345383464932</v>
      </c>
      <c r="CL715" s="216"/>
      <c r="CM715" s="216"/>
      <c r="CN715" s="216"/>
      <c r="CO715" s="212" t="s">
        <v>2488</v>
      </c>
      <c r="CP715" s="212" t="s">
        <v>2489</v>
      </c>
      <c r="CQ715" s="210" t="s">
        <v>272</v>
      </c>
      <c r="CR715" s="210"/>
      <c r="CS715" s="106" t="s">
        <v>539</v>
      </c>
      <c r="CT715" s="106"/>
      <c r="CU715" s="106"/>
      <c r="CV715" s="333">
        <f t="shared" si="236"/>
        <v>0.341837753742117</v>
      </c>
      <c r="CW715" s="106">
        <f t="shared" si="231"/>
        <v>0</v>
      </c>
      <c r="CX715" s="334"/>
      <c r="CY715" s="217" t="s">
        <v>6351</v>
      </c>
    </row>
    <row r="716" spans="1:103" ht="11.25" customHeight="1" x14ac:dyDescent="0.2">
      <c r="A716" s="72">
        <v>714</v>
      </c>
      <c r="B716" s="218">
        <v>1719</v>
      </c>
      <c r="C716" s="105" t="s">
        <v>1278</v>
      </c>
      <c r="D716" s="105" t="s">
        <v>6766</v>
      </c>
      <c r="E716" s="113"/>
      <c r="F716" s="113" t="s">
        <v>1279</v>
      </c>
      <c r="G716" s="219">
        <v>77501634</v>
      </c>
      <c r="H716" s="110" t="s">
        <v>1280</v>
      </c>
      <c r="I716" s="110" t="s">
        <v>7898</v>
      </c>
      <c r="J716" s="110" t="s">
        <v>1281</v>
      </c>
      <c r="K716" s="110" t="s">
        <v>357</v>
      </c>
      <c r="L716" s="110" t="s">
        <v>5996</v>
      </c>
      <c r="M716" s="110" t="s">
        <v>2342</v>
      </c>
      <c r="N716" s="212" t="s">
        <v>2342</v>
      </c>
      <c r="O716" s="110"/>
      <c r="P716" s="110"/>
      <c r="Q716" s="110"/>
      <c r="R716" s="110"/>
      <c r="S716" s="110"/>
      <c r="T716" s="106">
        <v>461.77</v>
      </c>
      <c r="U716" s="220">
        <v>2.1655802672326051E-4</v>
      </c>
      <c r="V716" s="220">
        <v>8.6406652662580934E-5</v>
      </c>
      <c r="W716" s="220">
        <v>6.165950018614814E-4</v>
      </c>
      <c r="X716" s="220">
        <v>2.1655802672326051E-4</v>
      </c>
      <c r="Y716" s="413">
        <v>7</v>
      </c>
      <c r="Z716" s="106">
        <v>4.92</v>
      </c>
      <c r="AA716" s="106">
        <v>4.8099999999999996</v>
      </c>
      <c r="AB716" s="106">
        <v>4.49</v>
      </c>
      <c r="AC716" s="106">
        <v>0.83730000000000004</v>
      </c>
      <c r="AD716" s="106">
        <v>4.5599999999999996</v>
      </c>
      <c r="AE716" s="106">
        <v>4.84</v>
      </c>
      <c r="AF716" s="106">
        <f>IF(AA716=0,AD716,AA716)</f>
        <v>4.8099999999999996</v>
      </c>
      <c r="AG716" s="107">
        <v>4.46</v>
      </c>
      <c r="AH716" s="220">
        <v>5.7299999999999999E-10</v>
      </c>
      <c r="AI716" s="220">
        <v>4.7199999999999999E-7</v>
      </c>
      <c r="AJ716" s="107">
        <f t="shared" si="234"/>
        <v>-7.6304117043452617</v>
      </c>
      <c r="AK716" s="107">
        <f>LOG10(AI716*1000/(0.08206*298.15))</f>
        <v>-4.714624327678564</v>
      </c>
      <c r="AL716" s="107">
        <f t="shared" si="235"/>
        <v>-4.714624327678564</v>
      </c>
      <c r="AM716" s="107">
        <v>-14.377310000000001</v>
      </c>
      <c r="AN716" s="221">
        <v>-7.74</v>
      </c>
      <c r="AO716" s="482"/>
      <c r="AP716" s="482"/>
      <c r="AQ716" s="221" t="s">
        <v>6311</v>
      </c>
      <c r="AR716" s="221" t="s">
        <v>6312</v>
      </c>
      <c r="AS716" s="218"/>
      <c r="AT716" s="108" t="s">
        <v>266</v>
      </c>
      <c r="AU716" s="106">
        <v>6</v>
      </c>
      <c r="AV716" s="106">
        <v>120</v>
      </c>
      <c r="AW716" s="106">
        <v>114</v>
      </c>
      <c r="AX716" s="106">
        <v>28</v>
      </c>
      <c r="AY716" s="106" t="s">
        <v>8728</v>
      </c>
      <c r="AZ716" s="106" t="s">
        <v>1563</v>
      </c>
      <c r="BA716" s="106">
        <v>32</v>
      </c>
      <c r="BB716" s="110" t="s">
        <v>2485</v>
      </c>
      <c r="BC716" s="110" t="s">
        <v>8726</v>
      </c>
      <c r="BD716" s="110" t="s">
        <v>8374</v>
      </c>
      <c r="BE716" s="106" t="s">
        <v>2449</v>
      </c>
      <c r="BF716" s="106" t="s">
        <v>272</v>
      </c>
      <c r="BG716" s="106" t="s">
        <v>272</v>
      </c>
      <c r="BH716" s="106" t="s">
        <v>2486</v>
      </c>
      <c r="BI716" s="220">
        <v>6.3999999999999997E-6</v>
      </c>
      <c r="BJ716" s="220">
        <v>6.4000000000000001E-2</v>
      </c>
      <c r="BK716" s="106"/>
      <c r="BL716" s="220">
        <f t="shared" si="238"/>
        <v>1.9595123274305615E-3</v>
      </c>
      <c r="BM716" s="110" t="s">
        <v>2487</v>
      </c>
      <c r="BN716" s="106"/>
      <c r="BO716" s="106"/>
      <c r="BP716" s="106"/>
      <c r="BQ716" s="106"/>
      <c r="BR716" s="110" t="s">
        <v>2496</v>
      </c>
      <c r="BS716" s="106"/>
      <c r="BT716" s="106"/>
      <c r="BU716" s="106"/>
      <c r="BV716" s="106"/>
      <c r="BW716" s="106"/>
      <c r="BX716" s="106"/>
      <c r="BY716" s="106"/>
      <c r="BZ716" s="106"/>
      <c r="CA716" s="106"/>
      <c r="CB716" s="106"/>
      <c r="CC716" s="106"/>
      <c r="CD716" s="106"/>
      <c r="CE716" s="106"/>
      <c r="CF716" s="106"/>
      <c r="CG716" s="106"/>
      <c r="CH716" s="106"/>
      <c r="CI716" s="109" t="s">
        <v>6347</v>
      </c>
      <c r="CJ716" s="104"/>
      <c r="CK716" s="107">
        <f t="shared" si="237"/>
        <v>3.0617380116102523E-2</v>
      </c>
      <c r="CL716" s="216"/>
      <c r="CM716" s="216">
        <v>-2.3422064197769203</v>
      </c>
      <c r="CN716" s="216">
        <f>BJ716/(10^CM716)</f>
        <v>14.072990476190476</v>
      </c>
      <c r="CO716" s="110" t="s">
        <v>2488</v>
      </c>
      <c r="CP716" s="110" t="s">
        <v>2489</v>
      </c>
      <c r="CQ716" s="218">
        <v>-2.2192152051103826</v>
      </c>
      <c r="CR716" s="210">
        <f>10^(CJ716-CQ716)</f>
        <v>165.65906472981106</v>
      </c>
      <c r="CS716" s="106" t="s">
        <v>539</v>
      </c>
      <c r="CT716" s="106"/>
      <c r="CU716" s="106"/>
      <c r="CV716" s="333">
        <f t="shared" si="236"/>
        <v>3.3837191675509452E-3</v>
      </c>
      <c r="CW716" s="106">
        <f t="shared" si="231"/>
        <v>0</v>
      </c>
      <c r="CX716" s="334"/>
      <c r="CY716" s="217" t="s">
        <v>6351</v>
      </c>
    </row>
    <row r="717" spans="1:103" ht="11.25" customHeight="1" x14ac:dyDescent="0.2">
      <c r="A717" s="72">
        <v>715</v>
      </c>
      <c r="B717" s="218">
        <v>1495</v>
      </c>
      <c r="C717" s="105" t="s">
        <v>6943</v>
      </c>
      <c r="D717" s="105"/>
      <c r="E717" s="113"/>
      <c r="F717" s="113" t="s">
        <v>4584</v>
      </c>
      <c r="G717" s="219">
        <v>66456539</v>
      </c>
      <c r="H717" s="110" t="s">
        <v>6337</v>
      </c>
      <c r="I717" s="110"/>
      <c r="J717" s="110" t="s">
        <v>6337</v>
      </c>
      <c r="K717" s="110"/>
      <c r="L717" s="110"/>
      <c r="M717" s="110"/>
      <c r="N717" s="212"/>
      <c r="O717" s="110"/>
      <c r="P717" s="110"/>
      <c r="Q717" s="110"/>
      <c r="R717" s="110"/>
      <c r="S717" s="110"/>
      <c r="T717" s="106" t="s">
        <v>404</v>
      </c>
      <c r="U717" s="220"/>
      <c r="V717" s="104"/>
      <c r="W717" s="104"/>
      <c r="X717" s="104"/>
      <c r="Y717" s="413"/>
      <c r="Z717" s="106"/>
      <c r="AA717" s="106"/>
      <c r="AB717" s="106"/>
      <c r="AC717" s="106"/>
      <c r="AD717" s="106"/>
      <c r="AE717" s="106"/>
      <c r="AF717" s="106"/>
      <c r="AG717" s="106" t="s">
        <v>6332</v>
      </c>
      <c r="AH717" s="220"/>
      <c r="AI717" s="220"/>
      <c r="AJ717" s="107"/>
      <c r="AK717" s="107"/>
      <c r="AL717" s="107"/>
      <c r="AM717" s="107"/>
      <c r="AN717" s="221"/>
      <c r="AO717" s="482"/>
      <c r="AP717" s="482"/>
      <c r="AQ717" s="106" t="s">
        <v>6317</v>
      </c>
      <c r="AR717" s="106" t="s">
        <v>6317</v>
      </c>
      <c r="AS717" s="222"/>
      <c r="AT717" s="108" t="s">
        <v>266</v>
      </c>
      <c r="AU717" s="106">
        <v>6</v>
      </c>
      <c r="AV717" s="106">
        <v>120</v>
      </c>
      <c r="AW717" s="106">
        <v>114</v>
      </c>
      <c r="AX717" s="106">
        <v>28</v>
      </c>
      <c r="AY717" s="106" t="s">
        <v>8728</v>
      </c>
      <c r="AZ717" s="106" t="s">
        <v>1563</v>
      </c>
      <c r="BA717" s="106">
        <v>32</v>
      </c>
      <c r="BB717" s="110" t="s">
        <v>2485</v>
      </c>
      <c r="BC717" s="110" t="s">
        <v>8726</v>
      </c>
      <c r="BD717" s="110" t="s">
        <v>8374</v>
      </c>
      <c r="BE717" s="106" t="s">
        <v>2449</v>
      </c>
      <c r="BF717" s="106" t="s">
        <v>272</v>
      </c>
      <c r="BG717" s="106" t="s">
        <v>272</v>
      </c>
      <c r="BH717" s="106" t="s">
        <v>2486</v>
      </c>
      <c r="BI717" s="220">
        <v>6.3999999999999997E-6</v>
      </c>
      <c r="BJ717" s="220">
        <v>6.4000000000000001E-2</v>
      </c>
      <c r="BK717" s="106"/>
      <c r="BL717" s="220"/>
      <c r="BM717" s="110" t="s">
        <v>2487</v>
      </c>
      <c r="BN717" s="106"/>
      <c r="BO717" s="106"/>
      <c r="BP717" s="106"/>
      <c r="BQ717" s="106"/>
      <c r="BR717" s="110" t="s">
        <v>2496</v>
      </c>
      <c r="BS717" s="106"/>
      <c r="BT717" s="106"/>
      <c r="BU717" s="106"/>
      <c r="BV717" s="106"/>
      <c r="BW717" s="106"/>
      <c r="BX717" s="106"/>
      <c r="BY717" s="106"/>
      <c r="BZ717" s="106"/>
      <c r="CA717" s="106"/>
      <c r="CB717" s="106"/>
      <c r="CC717" s="106"/>
      <c r="CD717" s="106"/>
      <c r="CE717" s="106"/>
      <c r="CF717" s="106"/>
      <c r="CG717" s="106"/>
      <c r="CH717" s="106"/>
      <c r="CI717" s="109" t="s">
        <v>6347</v>
      </c>
      <c r="CJ717" s="104"/>
      <c r="CK717" s="107">
        <f t="shared" si="237"/>
        <v>0</v>
      </c>
      <c r="CL717" s="216"/>
      <c r="CM717" s="216"/>
      <c r="CN717" s="216"/>
      <c r="CO717" s="110" t="s">
        <v>2488</v>
      </c>
      <c r="CP717" s="110" t="s">
        <v>2489</v>
      </c>
      <c r="CQ717" s="210" t="s">
        <v>272</v>
      </c>
      <c r="CR717" s="210"/>
      <c r="CS717" s="106" t="s">
        <v>539</v>
      </c>
      <c r="CT717" s="106"/>
      <c r="CU717" s="106"/>
      <c r="CV717" s="333" t="s">
        <v>6310</v>
      </c>
      <c r="CW717" s="106">
        <f t="shared" si="231"/>
        <v>1</v>
      </c>
      <c r="CX717" s="334"/>
      <c r="CY717" s="217" t="s">
        <v>5921</v>
      </c>
    </row>
    <row r="718" spans="1:103" ht="11.25" customHeight="1" x14ac:dyDescent="0.2">
      <c r="A718" s="72">
        <v>716</v>
      </c>
      <c r="B718" s="218">
        <v>1045</v>
      </c>
      <c r="C718" s="105" t="s">
        <v>6944</v>
      </c>
      <c r="D718" s="105"/>
      <c r="E718" s="113"/>
      <c r="F718" s="113" t="s">
        <v>2963</v>
      </c>
      <c r="G718" s="219">
        <v>91082176</v>
      </c>
      <c r="H718" s="217" t="s">
        <v>6330</v>
      </c>
      <c r="I718" s="217" t="s">
        <v>7789</v>
      </c>
      <c r="J718" s="217" t="s">
        <v>6331</v>
      </c>
      <c r="K718" s="110"/>
      <c r="L718" s="223"/>
      <c r="M718" s="110"/>
      <c r="N718" s="212"/>
      <c r="O718" s="110"/>
      <c r="P718" s="110"/>
      <c r="Q718" s="110"/>
      <c r="R718" s="110"/>
      <c r="S718" s="110"/>
      <c r="T718" s="106" t="s">
        <v>404</v>
      </c>
      <c r="U718" s="220"/>
      <c r="V718" s="104">
        <v>1.2279559390091703E-6</v>
      </c>
      <c r="W718" s="104"/>
      <c r="X718" s="104">
        <f>IF(W718=0,V718,W718)</f>
        <v>1.2279559390091703E-6</v>
      </c>
      <c r="Y718" s="413"/>
      <c r="Z718" s="106">
        <v>8.2200000000000006</v>
      </c>
      <c r="AA718" s="106"/>
      <c r="AB718" s="106">
        <v>8.73</v>
      </c>
      <c r="AC718" s="106">
        <v>0.63380000000000003</v>
      </c>
      <c r="AD718" s="106">
        <v>8.7100000000000009</v>
      </c>
      <c r="AE718" s="106">
        <v>8.69</v>
      </c>
      <c r="AF718" s="106">
        <f>IF(AA718=0,AD718,AA718)</f>
        <v>8.7100000000000009</v>
      </c>
      <c r="AG718" s="106" t="s">
        <v>6332</v>
      </c>
      <c r="AH718" s="220">
        <v>7.8700000000000002E-5</v>
      </c>
      <c r="AI718" s="220"/>
      <c r="AJ718" s="107">
        <f>LOG10(AH718*1000/(0.08206*298.15))</f>
        <v>-2.4925915939535872</v>
      </c>
      <c r="AK718" s="107"/>
      <c r="AL718" s="107">
        <f>IF(AK718=0,AJ718,AK718)</f>
        <v>-2.4925915939535872</v>
      </c>
      <c r="AM718" s="107">
        <v>-10.792699999999998</v>
      </c>
      <c r="AN718" s="221"/>
      <c r="AO718" s="482"/>
      <c r="AP718" s="482"/>
      <c r="AQ718" s="106" t="s">
        <v>6311</v>
      </c>
      <c r="AR718" s="106" t="s">
        <v>6311</v>
      </c>
      <c r="AS718" s="222"/>
      <c r="AT718" s="108" t="s">
        <v>266</v>
      </c>
      <c r="AU718" s="106">
        <v>6</v>
      </c>
      <c r="AV718" s="106">
        <v>120</v>
      </c>
      <c r="AW718" s="106">
        <v>114</v>
      </c>
      <c r="AX718" s="106">
        <v>28</v>
      </c>
      <c r="AY718" s="106" t="s">
        <v>8728</v>
      </c>
      <c r="AZ718" s="106" t="s">
        <v>1563</v>
      </c>
      <c r="BA718" s="106">
        <v>32</v>
      </c>
      <c r="BB718" s="110" t="s">
        <v>2485</v>
      </c>
      <c r="BC718" s="110" t="s">
        <v>8726</v>
      </c>
      <c r="BD718" s="110" t="s">
        <v>8374</v>
      </c>
      <c r="BE718" s="106" t="s">
        <v>2449</v>
      </c>
      <c r="BF718" s="106" t="s">
        <v>272</v>
      </c>
      <c r="BG718" s="106" t="s">
        <v>272</v>
      </c>
      <c r="BH718" s="106" t="s">
        <v>2486</v>
      </c>
      <c r="BI718" s="220">
        <v>6.3999999999999997E-6</v>
      </c>
      <c r="BJ718" s="220">
        <v>6.4000000000000001E-2</v>
      </c>
      <c r="BK718" s="106"/>
      <c r="BL718" s="220">
        <f>10^((-0.8981*Z718)+1.7108)</f>
        <v>2.1301883244994991E-6</v>
      </c>
      <c r="BM718" s="110" t="s">
        <v>2487</v>
      </c>
      <c r="BN718" s="106"/>
      <c r="BO718" s="106"/>
      <c r="BP718" s="106"/>
      <c r="BQ718" s="106"/>
      <c r="BR718" s="110" t="s">
        <v>2496</v>
      </c>
      <c r="BS718" s="106"/>
      <c r="BT718" s="106"/>
      <c r="BU718" s="106">
        <v>3.2000000000000002E-3</v>
      </c>
      <c r="BV718" s="106"/>
      <c r="BW718" s="106"/>
      <c r="BX718" s="106"/>
      <c r="BY718" s="106"/>
      <c r="BZ718" s="106"/>
      <c r="CA718" s="106"/>
      <c r="CB718" s="106"/>
      <c r="CC718" s="106"/>
      <c r="CD718" s="106"/>
      <c r="CE718" s="106"/>
      <c r="CF718" s="106"/>
      <c r="CG718" s="106"/>
      <c r="CH718" s="106"/>
      <c r="CI718" s="109" t="s">
        <v>6347</v>
      </c>
      <c r="CJ718" s="104"/>
      <c r="CK718" s="107">
        <f t="shared" si="237"/>
        <v>3.3284192570304675E-5</v>
      </c>
      <c r="CL718" s="216"/>
      <c r="CM718" s="216"/>
      <c r="CN718" s="216"/>
      <c r="CO718" s="110" t="s">
        <v>2488</v>
      </c>
      <c r="CP718" s="110" t="s">
        <v>2489</v>
      </c>
      <c r="CQ718" s="210" t="s">
        <v>272</v>
      </c>
      <c r="CR718" s="210"/>
      <c r="CS718" s="106" t="s">
        <v>539</v>
      </c>
      <c r="CT718" s="106"/>
      <c r="CU718" s="106"/>
      <c r="CV718" s="333">
        <f>X718/BJ718</f>
        <v>1.9186811547018286E-5</v>
      </c>
      <c r="CW718" s="106">
        <f t="shared" si="231"/>
        <v>0</v>
      </c>
      <c r="CX718" s="334"/>
      <c r="CY718" s="217" t="s">
        <v>6351</v>
      </c>
    </row>
    <row r="719" spans="1:103" ht="11.25" customHeight="1" x14ac:dyDescent="0.2">
      <c r="A719" s="72">
        <v>717</v>
      </c>
      <c r="B719" s="218">
        <v>1427</v>
      </c>
      <c r="C719" s="105" t="s">
        <v>6945</v>
      </c>
      <c r="D719" s="105"/>
      <c r="E719" s="113"/>
      <c r="F719" s="113" t="s">
        <v>4390</v>
      </c>
      <c r="G719" s="219">
        <v>181640095</v>
      </c>
      <c r="H719" s="110" t="s">
        <v>4391</v>
      </c>
      <c r="I719" s="110" t="s">
        <v>7838</v>
      </c>
      <c r="J719" s="110" t="s">
        <v>4392</v>
      </c>
      <c r="K719" s="110" t="s">
        <v>1292</v>
      </c>
      <c r="L719" s="110"/>
      <c r="M719" s="110"/>
      <c r="N719" s="212"/>
      <c r="O719" s="110"/>
      <c r="P719" s="110"/>
      <c r="Q719" s="110"/>
      <c r="R719" s="110"/>
      <c r="S719" s="110"/>
      <c r="T719" s="106">
        <v>428.41</v>
      </c>
      <c r="U719" s="220"/>
      <c r="V719" s="104">
        <v>1.4199014962302465E-3</v>
      </c>
      <c r="W719" s="104">
        <v>4.8977881936844584E-3</v>
      </c>
      <c r="X719" s="104">
        <f>IF(W719=0,V719,W719)</f>
        <v>4.8977881936844584E-3</v>
      </c>
      <c r="Y719" s="413">
        <v>7.2</v>
      </c>
      <c r="Z719" s="106">
        <v>4.13</v>
      </c>
      <c r="AA719" s="106"/>
      <c r="AB719" s="106">
        <v>3.6</v>
      </c>
      <c r="AC719" s="106">
        <v>0.72989999999999999</v>
      </c>
      <c r="AD719" s="106">
        <v>3.63</v>
      </c>
      <c r="AE719" s="106">
        <v>3.74</v>
      </c>
      <c r="AF719" s="106">
        <f>IF(AA719=0,AD719,AA719)</f>
        <v>3.63</v>
      </c>
      <c r="AG719" s="107">
        <v>4.5199999999999996</v>
      </c>
      <c r="AH719" s="220">
        <v>4.0100000000000001E-15</v>
      </c>
      <c r="AI719" s="220"/>
      <c r="AJ719" s="107">
        <f>LOG10(AH719*1000/(0.08206*298.15))</f>
        <v>-12.78542195369247</v>
      </c>
      <c r="AK719" s="107"/>
      <c r="AL719" s="107">
        <f>IF(AK719=0,AJ719,AK719)</f>
        <v>-12.78542195369247</v>
      </c>
      <c r="AM719" s="107">
        <v>-19.463719999999999</v>
      </c>
      <c r="AN719" s="221">
        <v>-15.5</v>
      </c>
      <c r="AO719" s="482">
        <v>12.54</v>
      </c>
      <c r="AP719" s="482">
        <v>5.3</v>
      </c>
      <c r="AQ719" s="106" t="s">
        <v>6311</v>
      </c>
      <c r="AR719" s="106" t="s">
        <v>6311</v>
      </c>
      <c r="AS719" s="222"/>
      <c r="AT719" s="108" t="s">
        <v>266</v>
      </c>
      <c r="AU719" s="106">
        <v>6</v>
      </c>
      <c r="AV719" s="106">
        <v>120</v>
      </c>
      <c r="AW719" s="106">
        <v>114</v>
      </c>
      <c r="AX719" s="106">
        <v>28</v>
      </c>
      <c r="AY719" s="106" t="s">
        <v>8728</v>
      </c>
      <c r="AZ719" s="106" t="s">
        <v>1563</v>
      </c>
      <c r="BA719" s="106">
        <v>32</v>
      </c>
      <c r="BB719" s="110" t="s">
        <v>2485</v>
      </c>
      <c r="BC719" s="110" t="s">
        <v>8726</v>
      </c>
      <c r="BD719" s="110" t="s">
        <v>8374</v>
      </c>
      <c r="BE719" s="106" t="s">
        <v>2449</v>
      </c>
      <c r="BF719" s="106" t="s">
        <v>272</v>
      </c>
      <c r="BG719" s="106" t="s">
        <v>272</v>
      </c>
      <c r="BH719" s="106" t="s">
        <v>2486</v>
      </c>
      <c r="BI719" s="220">
        <v>6.3999999999999997E-6</v>
      </c>
      <c r="BJ719" s="220">
        <v>6.4000000000000001E-2</v>
      </c>
      <c r="BK719" s="106"/>
      <c r="BL719" s="220">
        <f>10^((-0.8981*Z719)+1.7108)</f>
        <v>1.0037995577353173E-2</v>
      </c>
      <c r="BM719" s="110" t="s">
        <v>2487</v>
      </c>
      <c r="BN719" s="106"/>
      <c r="BO719" s="106"/>
      <c r="BP719" s="106"/>
      <c r="BQ719" s="106"/>
      <c r="BR719" s="110" t="s">
        <v>2496</v>
      </c>
      <c r="BS719" s="106"/>
      <c r="BT719" s="106"/>
      <c r="BU719" s="106"/>
      <c r="BV719" s="106"/>
      <c r="BW719" s="106"/>
      <c r="BX719" s="106"/>
      <c r="BY719" s="106"/>
      <c r="BZ719" s="106"/>
      <c r="CA719" s="106"/>
      <c r="CB719" s="106"/>
      <c r="CC719" s="106"/>
      <c r="CD719" s="106"/>
      <c r="CE719" s="106"/>
      <c r="CF719" s="106"/>
      <c r="CG719" s="106"/>
      <c r="CH719" s="106"/>
      <c r="CI719" s="109" t="s">
        <v>6347</v>
      </c>
      <c r="CJ719" s="104"/>
      <c r="CK719" s="107">
        <f t="shared" si="237"/>
        <v>0.15684368089614334</v>
      </c>
      <c r="CL719" s="216"/>
      <c r="CM719" s="216"/>
      <c r="CN719" s="216"/>
      <c r="CO719" s="110" t="s">
        <v>2488</v>
      </c>
      <c r="CP719" s="110" t="s">
        <v>2489</v>
      </c>
      <c r="CQ719" s="210" t="s">
        <v>272</v>
      </c>
      <c r="CR719" s="210"/>
      <c r="CS719" s="106" t="s">
        <v>539</v>
      </c>
      <c r="CT719" s="106"/>
      <c r="CU719" s="106"/>
      <c r="CV719" s="333">
        <f>X719/BJ719</f>
        <v>7.6527940526319657E-2</v>
      </c>
      <c r="CW719" s="106">
        <f t="shared" si="231"/>
        <v>0</v>
      </c>
      <c r="CX719" s="334"/>
      <c r="CY719" s="217" t="s">
        <v>5921</v>
      </c>
    </row>
    <row r="720" spans="1:103" ht="11.25" customHeight="1" x14ac:dyDescent="0.2">
      <c r="A720" s="72">
        <v>718</v>
      </c>
      <c r="B720" s="218">
        <v>1149</v>
      </c>
      <c r="C720" s="105" t="s">
        <v>6946</v>
      </c>
      <c r="D720" s="105"/>
      <c r="E720" s="113"/>
      <c r="F720" s="113" t="s">
        <v>3182</v>
      </c>
      <c r="G720" s="219">
        <v>330198919</v>
      </c>
      <c r="H720" s="110"/>
      <c r="I720" s="110"/>
      <c r="J720" s="110"/>
      <c r="K720" s="110"/>
      <c r="L720" s="110"/>
      <c r="M720" s="110"/>
      <c r="N720" s="212"/>
      <c r="O720" s="110"/>
      <c r="P720" s="110"/>
      <c r="Q720" s="110"/>
      <c r="R720" s="110"/>
      <c r="S720" s="110"/>
      <c r="T720" s="106">
        <v>500.66500000000002</v>
      </c>
      <c r="U720" s="220"/>
      <c r="V720" s="104"/>
      <c r="W720" s="104"/>
      <c r="X720" s="104"/>
      <c r="Y720" s="413"/>
      <c r="Z720" s="106"/>
      <c r="AA720" s="106"/>
      <c r="AB720" s="106"/>
      <c r="AC720" s="106"/>
      <c r="AD720" s="106"/>
      <c r="AE720" s="106"/>
      <c r="AF720" s="106"/>
      <c r="AG720" s="106" t="s">
        <v>6332</v>
      </c>
      <c r="AH720" s="220"/>
      <c r="AI720" s="220"/>
      <c r="AJ720" s="107"/>
      <c r="AK720" s="107"/>
      <c r="AL720" s="107"/>
      <c r="AM720" s="107"/>
      <c r="AN720" s="221"/>
      <c r="AO720" s="482"/>
      <c r="AP720" s="482"/>
      <c r="AQ720" s="106" t="s">
        <v>6317</v>
      </c>
      <c r="AR720" s="106" t="s">
        <v>6317</v>
      </c>
      <c r="AS720" s="222"/>
      <c r="AT720" s="108" t="s">
        <v>266</v>
      </c>
      <c r="AU720" s="106">
        <v>6</v>
      </c>
      <c r="AV720" s="106">
        <v>120</v>
      </c>
      <c r="AW720" s="106">
        <v>114</v>
      </c>
      <c r="AX720" s="106">
        <v>28</v>
      </c>
      <c r="AY720" s="106" t="s">
        <v>8728</v>
      </c>
      <c r="AZ720" s="106" t="s">
        <v>1563</v>
      </c>
      <c r="BA720" s="106">
        <v>32</v>
      </c>
      <c r="BB720" s="110" t="s">
        <v>2485</v>
      </c>
      <c r="BC720" s="110" t="s">
        <v>8726</v>
      </c>
      <c r="BD720" s="110" t="s">
        <v>8374</v>
      </c>
      <c r="BE720" s="106" t="s">
        <v>2449</v>
      </c>
      <c r="BF720" s="106" t="s">
        <v>272</v>
      </c>
      <c r="BG720" s="106" t="s">
        <v>272</v>
      </c>
      <c r="BH720" s="106" t="s">
        <v>2486</v>
      </c>
      <c r="BI720" s="220">
        <v>6.3999999999999997E-6</v>
      </c>
      <c r="BJ720" s="220">
        <v>6.4000000000000001E-2</v>
      </c>
      <c r="BK720" s="106"/>
      <c r="BL720" s="220"/>
      <c r="BM720" s="110" t="s">
        <v>2487</v>
      </c>
      <c r="BN720" s="106"/>
      <c r="BO720" s="106"/>
      <c r="BP720" s="106"/>
      <c r="BQ720" s="106"/>
      <c r="BR720" s="110" t="s">
        <v>2496</v>
      </c>
      <c r="BS720" s="106"/>
      <c r="BT720" s="106"/>
      <c r="BU720" s="106">
        <v>3.1999999999999999E-5</v>
      </c>
      <c r="BV720" s="106"/>
      <c r="BW720" s="106"/>
      <c r="BX720" s="106"/>
      <c r="BY720" s="106"/>
      <c r="BZ720" s="106"/>
      <c r="CA720" s="106"/>
      <c r="CB720" s="106"/>
      <c r="CC720" s="106"/>
      <c r="CD720" s="106"/>
      <c r="CE720" s="106"/>
      <c r="CF720" s="106"/>
      <c r="CG720" s="106"/>
      <c r="CH720" s="106"/>
      <c r="CI720" s="109" t="s">
        <v>6347</v>
      </c>
      <c r="CJ720" s="104"/>
      <c r="CK720" s="107">
        <f t="shared" si="237"/>
        <v>0</v>
      </c>
      <c r="CL720" s="216"/>
      <c r="CM720" s="216"/>
      <c r="CN720" s="216"/>
      <c r="CO720" s="110" t="s">
        <v>2488</v>
      </c>
      <c r="CP720" s="110" t="s">
        <v>2489</v>
      </c>
      <c r="CQ720" s="210" t="s">
        <v>272</v>
      </c>
      <c r="CR720" s="210"/>
      <c r="CS720" s="106" t="s">
        <v>539</v>
      </c>
      <c r="CT720" s="106"/>
      <c r="CU720" s="106"/>
      <c r="CV720" s="333" t="s">
        <v>6310</v>
      </c>
      <c r="CW720" s="106">
        <f t="shared" si="231"/>
        <v>1</v>
      </c>
      <c r="CX720" s="334"/>
      <c r="CY720" s="217" t="s">
        <v>5921</v>
      </c>
    </row>
    <row r="721" spans="1:103" ht="11.25" customHeight="1" x14ac:dyDescent="0.2">
      <c r="A721" s="72">
        <v>719</v>
      </c>
      <c r="B721" s="218">
        <v>1771</v>
      </c>
      <c r="C721" s="105" t="s">
        <v>6947</v>
      </c>
      <c r="D721" s="105"/>
      <c r="E721" s="113"/>
      <c r="F721" s="113" t="s">
        <v>5104</v>
      </c>
      <c r="G721" s="219" t="s">
        <v>5104</v>
      </c>
      <c r="H721" s="110" t="s">
        <v>5105</v>
      </c>
      <c r="I721" s="110"/>
      <c r="J721" s="110" t="s">
        <v>5106</v>
      </c>
      <c r="K721" s="110"/>
      <c r="L721" s="110"/>
      <c r="M721" s="110"/>
      <c r="N721" s="212"/>
      <c r="O721" s="110"/>
      <c r="P721" s="110"/>
      <c r="Q721" s="110"/>
      <c r="R721" s="110"/>
      <c r="S721" s="110"/>
      <c r="T721" s="106">
        <v>756.95</v>
      </c>
      <c r="U721" s="220"/>
      <c r="V721" s="104">
        <f>0.00001218/756.95</f>
        <v>1.60908910760288E-8</v>
      </c>
      <c r="W721" s="104">
        <v>2.0417379446695245E-3</v>
      </c>
      <c r="X721" s="104">
        <f>IF(W721=0,V721,W721)</f>
        <v>2.0417379446695245E-3</v>
      </c>
      <c r="Y721" s="413">
        <v>7.45</v>
      </c>
      <c r="Z721" s="106">
        <v>7.12</v>
      </c>
      <c r="AA721" s="106"/>
      <c r="AB721" s="106">
        <v>5.61</v>
      </c>
      <c r="AC721" s="106">
        <v>0.64080000000000004</v>
      </c>
      <c r="AD721" s="106">
        <v>6.07</v>
      </c>
      <c r="AE721" s="106">
        <v>7.07</v>
      </c>
      <c r="AF721" s="106">
        <f t="shared" ref="AF721:AF752" si="239">IF(AA721=0,AD721,AA721)</f>
        <v>6.07</v>
      </c>
      <c r="AG721" s="107">
        <v>4.8899999999999997</v>
      </c>
      <c r="AH721" s="220">
        <v>9.6700000000000002E-25</v>
      </c>
      <c r="AI721" s="220"/>
      <c r="AJ721" s="107">
        <f t="shared" ref="AJ721:AJ752" si="240">LOG10(AH721*1000/(0.08206*298.15))</f>
        <v>-22.40313985222965</v>
      </c>
      <c r="AK721" s="107"/>
      <c r="AL721" s="107">
        <f t="shared" ref="AL721:AL752" si="241">IF(AK721=0,AJ721,AK721)</f>
        <v>-22.40313985222965</v>
      </c>
      <c r="AM721" s="107">
        <v>-41.97075000000001</v>
      </c>
      <c r="AN721" s="221">
        <v>-9.99</v>
      </c>
      <c r="AO721" s="482">
        <v>9.7899999999999991</v>
      </c>
      <c r="AP721" s="482">
        <v>10.01</v>
      </c>
      <c r="AQ721" s="221" t="s">
        <v>5921</v>
      </c>
      <c r="AR721" s="221" t="s">
        <v>5921</v>
      </c>
      <c r="AS721" s="218"/>
      <c r="AT721" s="108" t="s">
        <v>266</v>
      </c>
      <c r="AU721" s="106">
        <v>6</v>
      </c>
      <c r="AV721" s="106">
        <v>120</v>
      </c>
      <c r="AW721" s="106">
        <v>114</v>
      </c>
      <c r="AX721" s="106">
        <v>28</v>
      </c>
      <c r="AY721" s="106" t="s">
        <v>8728</v>
      </c>
      <c r="AZ721" s="106" t="s">
        <v>1563</v>
      </c>
      <c r="BA721" s="106">
        <v>32</v>
      </c>
      <c r="BB721" s="110" t="s">
        <v>2485</v>
      </c>
      <c r="BC721" s="110" t="s">
        <v>8726</v>
      </c>
      <c r="BD721" s="110" t="s">
        <v>8374</v>
      </c>
      <c r="BE721" s="106" t="s">
        <v>2449</v>
      </c>
      <c r="BF721" s="106" t="s">
        <v>272</v>
      </c>
      <c r="BG721" s="106" t="s">
        <v>272</v>
      </c>
      <c r="BH721" s="106" t="s">
        <v>2486</v>
      </c>
      <c r="BI721" s="220">
        <v>6.3999999999999997E-6</v>
      </c>
      <c r="BJ721" s="220">
        <v>6.4000000000000001E-2</v>
      </c>
      <c r="BK721" s="106"/>
      <c r="BL721" s="220"/>
      <c r="BM721" s="110" t="s">
        <v>2487</v>
      </c>
      <c r="BN721" s="106"/>
      <c r="BO721" s="106"/>
      <c r="BP721" s="106"/>
      <c r="BQ721" s="106"/>
      <c r="BR721" s="110" t="s">
        <v>2496</v>
      </c>
      <c r="BS721" s="106"/>
      <c r="BT721" s="106"/>
      <c r="BU721" s="106"/>
      <c r="BV721" s="106"/>
      <c r="BW721" s="106"/>
      <c r="BX721" s="106"/>
      <c r="BY721" s="106"/>
      <c r="BZ721" s="106"/>
      <c r="CA721" s="106"/>
      <c r="CB721" s="106"/>
      <c r="CC721" s="106"/>
      <c r="CD721" s="106"/>
      <c r="CE721" s="106"/>
      <c r="CF721" s="106"/>
      <c r="CG721" s="106"/>
      <c r="CH721" s="106"/>
      <c r="CI721" s="109" t="s">
        <v>6347</v>
      </c>
      <c r="CJ721" s="104"/>
      <c r="CK721" s="107">
        <f t="shared" si="237"/>
        <v>0</v>
      </c>
      <c r="CL721" s="216"/>
      <c r="CM721" s="216"/>
      <c r="CN721" s="216"/>
      <c r="CO721" s="110" t="s">
        <v>2488</v>
      </c>
      <c r="CP721" s="110" t="s">
        <v>2489</v>
      </c>
      <c r="CQ721" s="210" t="s">
        <v>272</v>
      </c>
      <c r="CR721" s="210"/>
      <c r="CS721" s="106" t="s">
        <v>539</v>
      </c>
      <c r="CT721" s="106"/>
      <c r="CU721" s="106"/>
      <c r="CV721" s="333">
        <f t="shared" ref="CV721:CV784" si="242">X721/BJ721</f>
        <v>3.1902155385461317E-2</v>
      </c>
      <c r="CW721" s="106">
        <f t="shared" si="231"/>
        <v>0</v>
      </c>
      <c r="CX721" s="334"/>
      <c r="CY721" s="217" t="s">
        <v>5921</v>
      </c>
    </row>
    <row r="722" spans="1:103" ht="11.25" customHeight="1" x14ac:dyDescent="0.2">
      <c r="A722" s="72">
        <v>720</v>
      </c>
      <c r="B722" s="224">
        <v>1564</v>
      </c>
      <c r="C722" s="46" t="s">
        <v>6948</v>
      </c>
      <c r="D722" s="46"/>
      <c r="E722" s="114"/>
      <c r="F722" s="114" t="s">
        <v>4706</v>
      </c>
      <c r="G722" s="225">
        <v>50226</v>
      </c>
      <c r="H722" s="47" t="s">
        <v>4707</v>
      </c>
      <c r="I722" s="47" t="s">
        <v>4707</v>
      </c>
      <c r="J722" s="47" t="s">
        <v>4708</v>
      </c>
      <c r="K722" s="47" t="s">
        <v>3444</v>
      </c>
      <c r="L722" s="47"/>
      <c r="M722" s="47"/>
      <c r="N722" s="47"/>
      <c r="O722" s="47"/>
      <c r="P722" s="53"/>
      <c r="Q722" s="53"/>
      <c r="R722" s="53"/>
      <c r="S722" s="53"/>
      <c r="T722" s="48">
        <v>346.46</v>
      </c>
      <c r="U722" s="98">
        <v>0.57438088090977313</v>
      </c>
      <c r="V722" s="98">
        <v>0.41390059458523354</v>
      </c>
      <c r="W722" s="98">
        <v>0.37153522909717218</v>
      </c>
      <c r="X722" s="98">
        <v>0.57438088090977313</v>
      </c>
      <c r="Y722" s="233">
        <v>7</v>
      </c>
      <c r="Z722" s="48">
        <v>1.99</v>
      </c>
      <c r="AA722" s="48">
        <v>1.94</v>
      </c>
      <c r="AB722" s="48">
        <v>2.2000000000000002</v>
      </c>
      <c r="AC722" s="48">
        <v>0.88149999999999995</v>
      </c>
      <c r="AD722" s="48">
        <v>2.1</v>
      </c>
      <c r="AE722" s="48">
        <v>1.76</v>
      </c>
      <c r="AF722" s="48">
        <f t="shared" si="239"/>
        <v>1.94</v>
      </c>
      <c r="AG722" s="49">
        <v>1.95</v>
      </c>
      <c r="AH722" s="98">
        <v>3.7000000000000001E-10</v>
      </c>
      <c r="AI722" s="98"/>
      <c r="AJ722" s="483">
        <f t="shared" si="240"/>
        <v>-7.8203646022456565</v>
      </c>
      <c r="AK722" s="483"/>
      <c r="AL722" s="483">
        <f t="shared" si="241"/>
        <v>-7.8203646022456565</v>
      </c>
      <c r="AM722" s="483">
        <v>-20.406409999999997</v>
      </c>
      <c r="AN722" s="226">
        <v>-11.7</v>
      </c>
      <c r="AO722" s="484">
        <v>12.98</v>
      </c>
      <c r="AP722" s="484"/>
      <c r="AQ722" s="48" t="s">
        <v>6311</v>
      </c>
      <c r="AR722" s="48" t="s">
        <v>6311</v>
      </c>
      <c r="AS722" s="227"/>
      <c r="AT722" s="50" t="s">
        <v>266</v>
      </c>
      <c r="AU722" s="48">
        <v>6</v>
      </c>
      <c r="AV722" s="48">
        <v>120</v>
      </c>
      <c r="AW722" s="48">
        <v>114</v>
      </c>
      <c r="AX722" s="48">
        <v>28</v>
      </c>
      <c r="AY722" s="48" t="s">
        <v>8728</v>
      </c>
      <c r="AZ722" s="48" t="s">
        <v>1563</v>
      </c>
      <c r="BA722" s="48">
        <v>32</v>
      </c>
      <c r="BB722" s="47" t="s">
        <v>2485</v>
      </c>
      <c r="BC722" s="47" t="s">
        <v>8726</v>
      </c>
      <c r="BD722" s="47" t="s">
        <v>8374</v>
      </c>
      <c r="BE722" s="48" t="s">
        <v>2449</v>
      </c>
      <c r="BF722" s="48" t="s">
        <v>272</v>
      </c>
      <c r="BG722" s="48" t="s">
        <v>272</v>
      </c>
      <c r="BH722" s="48" t="s">
        <v>2486</v>
      </c>
      <c r="BI722" s="98">
        <v>6.3999999999999997E-6</v>
      </c>
      <c r="BJ722" s="98">
        <v>6.4000000000000001E-2</v>
      </c>
      <c r="BK722" s="48"/>
      <c r="BL722" s="98">
        <f t="shared" ref="BL722:BL785" si="243">10^((-0.8981*Z722)+1.7108)</f>
        <v>0.83865048022778399</v>
      </c>
      <c r="BM722" s="47" t="s">
        <v>2487</v>
      </c>
      <c r="BN722" s="48"/>
      <c r="BO722" s="48"/>
      <c r="BP722" s="48"/>
      <c r="BQ722" s="48"/>
      <c r="BR722" s="47" t="s">
        <v>2496</v>
      </c>
      <c r="BS722" s="48"/>
      <c r="BT722" s="48"/>
      <c r="BU722" s="228"/>
      <c r="BV722" s="48"/>
      <c r="BW722" s="48"/>
      <c r="BX722" s="48"/>
      <c r="BY722" s="48"/>
      <c r="BZ722" s="48"/>
      <c r="CA722" s="48"/>
      <c r="CB722" s="48"/>
      <c r="CC722" s="48"/>
      <c r="CD722" s="48"/>
      <c r="CE722" s="48"/>
      <c r="CF722" s="48"/>
      <c r="CG722" s="48"/>
      <c r="CH722" s="48"/>
      <c r="CI722" s="98"/>
      <c r="CJ722" s="98"/>
      <c r="CK722" s="49">
        <f t="shared" si="237"/>
        <v>13.103913753559125</v>
      </c>
      <c r="CL722" s="229"/>
      <c r="CM722" s="229"/>
      <c r="CN722" s="229"/>
      <c r="CO722" s="47" t="s">
        <v>2488</v>
      </c>
      <c r="CP722" s="47" t="s">
        <v>2489</v>
      </c>
      <c r="CQ722" s="224" t="s">
        <v>272</v>
      </c>
      <c r="CR722" s="224"/>
      <c r="CS722" s="230" t="s">
        <v>539</v>
      </c>
      <c r="CT722" s="230"/>
      <c r="CU722" s="328"/>
      <c r="CV722" s="335">
        <f t="shared" si="242"/>
        <v>8.9747012642152058</v>
      </c>
      <c r="CW722" s="230">
        <f t="shared" si="231"/>
        <v>1</v>
      </c>
      <c r="CX722" s="336"/>
      <c r="CY722" s="230" t="s">
        <v>5921</v>
      </c>
    </row>
    <row r="723" spans="1:103" ht="11.25" customHeight="1" x14ac:dyDescent="0.2">
      <c r="A723" s="72">
        <v>721</v>
      </c>
      <c r="B723" s="224">
        <v>909</v>
      </c>
      <c r="C723" s="46" t="s">
        <v>6949</v>
      </c>
      <c r="D723" s="46"/>
      <c r="E723" s="114"/>
      <c r="F723" s="114" t="s">
        <v>2592</v>
      </c>
      <c r="G723" s="225">
        <v>50282</v>
      </c>
      <c r="H723" s="232" t="s">
        <v>2593</v>
      </c>
      <c r="I723" s="232" t="s">
        <v>2593</v>
      </c>
      <c r="J723" s="232" t="s">
        <v>2594</v>
      </c>
      <c r="K723" s="47" t="s">
        <v>349</v>
      </c>
      <c r="L723" s="47" t="s">
        <v>279</v>
      </c>
      <c r="M723" s="47" t="s">
        <v>2595</v>
      </c>
      <c r="N723" s="47" t="s">
        <v>6386</v>
      </c>
      <c r="O723" s="47" t="s">
        <v>281</v>
      </c>
      <c r="P723" s="53"/>
      <c r="Q723" s="53"/>
      <c r="R723" s="53"/>
      <c r="S723" s="53"/>
      <c r="T723" s="48">
        <v>272.38</v>
      </c>
      <c r="U723" s="98">
        <v>1.4318231881929657E-2</v>
      </c>
      <c r="V723" s="98">
        <v>0.30093986342609591</v>
      </c>
      <c r="W723" s="98">
        <v>1.1220184543019627E-2</v>
      </c>
      <c r="X723" s="98">
        <v>1.4318231881929657E-2</v>
      </c>
      <c r="Y723" s="233">
        <v>6.99</v>
      </c>
      <c r="Z723" s="48">
        <v>3.94</v>
      </c>
      <c r="AA723" s="405">
        <v>4.01</v>
      </c>
      <c r="AB723" s="405">
        <v>3.37</v>
      </c>
      <c r="AC723" s="405">
        <v>0.78210000000000002</v>
      </c>
      <c r="AD723" s="405">
        <v>3.62</v>
      </c>
      <c r="AE723" s="405">
        <v>4.13</v>
      </c>
      <c r="AF723" s="405">
        <f t="shared" si="239"/>
        <v>4.01</v>
      </c>
      <c r="AG723" s="97">
        <v>3.6</v>
      </c>
      <c r="AH723" s="98">
        <v>3.6399999999999998E-11</v>
      </c>
      <c r="AI723" s="98"/>
      <c r="AJ723" s="483">
        <f t="shared" si="240"/>
        <v>-8.827464942663596</v>
      </c>
      <c r="AK723" s="483"/>
      <c r="AL723" s="483">
        <f t="shared" si="241"/>
        <v>-8.827464942663596</v>
      </c>
      <c r="AM723" s="483">
        <v>-16.673349999999999</v>
      </c>
      <c r="AN723" s="226">
        <v>-9.5500000000000007</v>
      </c>
      <c r="AO723" s="484">
        <v>10.27</v>
      </c>
      <c r="AP723" s="484"/>
      <c r="AQ723" s="48" t="s">
        <v>6311</v>
      </c>
      <c r="AR723" s="48" t="s">
        <v>6311</v>
      </c>
      <c r="AS723" s="227"/>
      <c r="AT723" s="50" t="s">
        <v>266</v>
      </c>
      <c r="AU723" s="48">
        <v>6</v>
      </c>
      <c r="AV723" s="48">
        <v>120</v>
      </c>
      <c r="AW723" s="48">
        <v>114</v>
      </c>
      <c r="AX723" s="48">
        <v>28</v>
      </c>
      <c r="AY723" s="48" t="s">
        <v>8728</v>
      </c>
      <c r="AZ723" s="48" t="s">
        <v>1563</v>
      </c>
      <c r="BA723" s="48">
        <v>32</v>
      </c>
      <c r="BB723" s="47" t="s">
        <v>2485</v>
      </c>
      <c r="BC723" s="47" t="s">
        <v>8726</v>
      </c>
      <c r="BD723" s="47" t="s">
        <v>8374</v>
      </c>
      <c r="BE723" s="48" t="s">
        <v>2449</v>
      </c>
      <c r="BF723" s="48" t="s">
        <v>272</v>
      </c>
      <c r="BG723" s="48" t="s">
        <v>272</v>
      </c>
      <c r="BH723" s="48" t="s">
        <v>2486</v>
      </c>
      <c r="BI723" s="98">
        <v>6.3999999999999997E-6</v>
      </c>
      <c r="BJ723" s="98">
        <v>6.4000000000000001E-2</v>
      </c>
      <c r="BK723" s="48"/>
      <c r="BL723" s="98">
        <f t="shared" si="243"/>
        <v>1.4869145116357126E-2</v>
      </c>
      <c r="BM723" s="47" t="s">
        <v>2487</v>
      </c>
      <c r="BN723" s="48"/>
      <c r="BO723" s="48"/>
      <c r="BP723" s="48"/>
      <c r="BQ723" s="48"/>
      <c r="BR723" s="47" t="s">
        <v>2496</v>
      </c>
      <c r="BS723" s="48"/>
      <c r="BT723" s="48"/>
      <c r="BU723" s="228">
        <v>6.4000000000000001E-2</v>
      </c>
      <c r="BV723" s="48"/>
      <c r="BW723" s="48"/>
      <c r="BX723" s="48"/>
      <c r="BY723" s="48"/>
      <c r="BZ723" s="48"/>
      <c r="CA723" s="48"/>
      <c r="CB723" s="48"/>
      <c r="CC723" s="48"/>
      <c r="CD723" s="48"/>
      <c r="CE723" s="48"/>
      <c r="CF723" s="48"/>
      <c r="CG723" s="48"/>
      <c r="CH723" s="48"/>
      <c r="CI723" s="98"/>
      <c r="CJ723" s="98"/>
      <c r="CK723" s="49">
        <f t="shared" si="237"/>
        <v>0.23233039244308007</v>
      </c>
      <c r="CL723" s="229"/>
      <c r="CM723" s="229"/>
      <c r="CN723" s="229"/>
      <c r="CO723" s="47" t="s">
        <v>2488</v>
      </c>
      <c r="CP723" s="47" t="s">
        <v>2489</v>
      </c>
      <c r="CQ723" s="224" t="s">
        <v>272</v>
      </c>
      <c r="CR723" s="224"/>
      <c r="CS723" s="230" t="s">
        <v>539</v>
      </c>
      <c r="CT723" s="230"/>
      <c r="CU723" s="230"/>
      <c r="CV723" s="335">
        <f t="shared" si="242"/>
        <v>0.22372237315515089</v>
      </c>
      <c r="CW723" s="230">
        <f t="shared" si="231"/>
        <v>0</v>
      </c>
      <c r="CX723" s="336"/>
      <c r="CY723" s="230" t="s">
        <v>6351</v>
      </c>
    </row>
    <row r="724" spans="1:103" ht="11.25" customHeight="1" x14ac:dyDescent="0.2">
      <c r="A724" s="72">
        <v>722</v>
      </c>
      <c r="B724" s="224">
        <v>1851</v>
      </c>
      <c r="C724" s="46" t="s">
        <v>6950</v>
      </c>
      <c r="D724" s="46"/>
      <c r="E724" s="114"/>
      <c r="F724" s="114" t="s">
        <v>5267</v>
      </c>
      <c r="G724" s="225">
        <v>50555</v>
      </c>
      <c r="H724" s="232" t="s">
        <v>5268</v>
      </c>
      <c r="I724" s="232" t="s">
        <v>7974</v>
      </c>
      <c r="J724" s="47" t="s">
        <v>5269</v>
      </c>
      <c r="K724" s="47" t="s">
        <v>5270</v>
      </c>
      <c r="L724" s="47" t="s">
        <v>279</v>
      </c>
      <c r="M724" s="47" t="s">
        <v>5271</v>
      </c>
      <c r="N724" s="47" t="s">
        <v>6376</v>
      </c>
      <c r="O724" s="47" t="s">
        <v>281</v>
      </c>
      <c r="P724" s="53"/>
      <c r="Q724" s="53"/>
      <c r="R724" s="53"/>
      <c r="S724" s="53"/>
      <c r="T724" s="48">
        <v>608.67999999999995</v>
      </c>
      <c r="U724" s="98">
        <v>0.1199316553854242</v>
      </c>
      <c r="V724" s="98">
        <v>3.4238023263455349E-3</v>
      </c>
      <c r="W724" s="98">
        <v>1.0964781961431844E-2</v>
      </c>
      <c r="X724" s="98">
        <v>0.1199316553854242</v>
      </c>
      <c r="Y724" s="233">
        <v>8.1199999999999992</v>
      </c>
      <c r="Z724" s="48">
        <v>3.32</v>
      </c>
      <c r="AA724" s="48"/>
      <c r="AB724" s="48">
        <v>4.22</v>
      </c>
      <c r="AC724" s="48">
        <v>0.68579999999999997</v>
      </c>
      <c r="AD724" s="48">
        <v>4.16</v>
      </c>
      <c r="AE724" s="48">
        <v>4.05</v>
      </c>
      <c r="AF724" s="48">
        <f t="shared" si="239"/>
        <v>4.16</v>
      </c>
      <c r="AG724" s="49">
        <v>4.16</v>
      </c>
      <c r="AH724" s="98">
        <v>5.3599999999999995E-23</v>
      </c>
      <c r="AI724" s="98"/>
      <c r="AJ724" s="483">
        <f t="shared" si="240"/>
        <v>-20.659401536619882</v>
      </c>
      <c r="AK724" s="483"/>
      <c r="AL724" s="483">
        <f t="shared" si="241"/>
        <v>-20.659401536619882</v>
      </c>
      <c r="AM724" s="483">
        <v>-30.879480000000001</v>
      </c>
      <c r="AN724" s="226">
        <v>-22.2</v>
      </c>
      <c r="AO724" s="484">
        <v>18.11</v>
      </c>
      <c r="AP724" s="484">
        <v>7.25</v>
      </c>
      <c r="AQ724" s="226" t="s">
        <v>6311</v>
      </c>
      <c r="AR724" s="226" t="s">
        <v>6312</v>
      </c>
      <c r="AS724" s="224"/>
      <c r="AT724" s="50" t="s">
        <v>266</v>
      </c>
      <c r="AU724" s="48">
        <v>6</v>
      </c>
      <c r="AV724" s="48">
        <v>120</v>
      </c>
      <c r="AW724" s="48">
        <v>114</v>
      </c>
      <c r="AX724" s="48">
        <v>28</v>
      </c>
      <c r="AY724" s="48" t="s">
        <v>8728</v>
      </c>
      <c r="AZ724" s="48" t="s">
        <v>1563</v>
      </c>
      <c r="BA724" s="48">
        <v>32</v>
      </c>
      <c r="BB724" s="47" t="s">
        <v>2485</v>
      </c>
      <c r="BC724" s="47" t="s">
        <v>8726</v>
      </c>
      <c r="BD724" s="47" t="s">
        <v>8374</v>
      </c>
      <c r="BE724" s="48" t="s">
        <v>2449</v>
      </c>
      <c r="BF724" s="48" t="s">
        <v>272</v>
      </c>
      <c r="BG724" s="48" t="s">
        <v>272</v>
      </c>
      <c r="BH724" s="48" t="s">
        <v>2486</v>
      </c>
      <c r="BI724" s="98">
        <v>6.3999999999999997E-6</v>
      </c>
      <c r="BJ724" s="98">
        <v>6.4000000000000001E-2</v>
      </c>
      <c r="BK724" s="48"/>
      <c r="BL724" s="98">
        <f t="shared" si="243"/>
        <v>5.3592991556072507E-2</v>
      </c>
      <c r="BM724" s="47" t="s">
        <v>2487</v>
      </c>
      <c r="BN724" s="48"/>
      <c r="BO724" s="48"/>
      <c r="BP724" s="48"/>
      <c r="BQ724" s="48"/>
      <c r="BR724" s="47" t="s">
        <v>2496</v>
      </c>
      <c r="BS724" s="48"/>
      <c r="BT724" s="48"/>
      <c r="BU724" s="228"/>
      <c r="BV724" s="48"/>
      <c r="BW724" s="48"/>
      <c r="BX724" s="48"/>
      <c r="BY724" s="48"/>
      <c r="BZ724" s="48"/>
      <c r="CA724" s="48"/>
      <c r="CB724" s="48"/>
      <c r="CC724" s="48"/>
      <c r="CD724" s="48"/>
      <c r="CE724" s="48"/>
      <c r="CF724" s="48"/>
      <c r="CG724" s="48"/>
      <c r="CH724" s="48"/>
      <c r="CI724" s="98"/>
      <c r="CJ724" s="98"/>
      <c r="CK724" s="49">
        <f t="shared" si="237"/>
        <v>0.83739049306363289</v>
      </c>
      <c r="CL724" s="229"/>
      <c r="CM724" s="229"/>
      <c r="CN724" s="229"/>
      <c r="CO724" s="47" t="s">
        <v>2488</v>
      </c>
      <c r="CP724" s="47" t="s">
        <v>2489</v>
      </c>
      <c r="CQ724" s="224" t="s">
        <v>272</v>
      </c>
      <c r="CR724" s="224"/>
      <c r="CS724" s="230" t="s">
        <v>539</v>
      </c>
      <c r="CT724" s="230"/>
      <c r="CU724" s="230"/>
      <c r="CV724" s="335">
        <f t="shared" si="242"/>
        <v>1.8739321153972532</v>
      </c>
      <c r="CW724" s="230">
        <f t="shared" si="231"/>
        <v>1</v>
      </c>
      <c r="CX724" s="336"/>
      <c r="CY724" s="230" t="s">
        <v>5921</v>
      </c>
    </row>
    <row r="725" spans="1:103" ht="11.25" customHeight="1" x14ac:dyDescent="0.2">
      <c r="A725" s="72">
        <v>723</v>
      </c>
      <c r="B725" s="224">
        <v>1205</v>
      </c>
      <c r="C725" s="46" t="s">
        <v>1327</v>
      </c>
      <c r="D725" s="46"/>
      <c r="E725" s="114"/>
      <c r="F725" s="114" t="s">
        <v>1328</v>
      </c>
      <c r="G725" s="225">
        <v>50657</v>
      </c>
      <c r="H725" s="47" t="s">
        <v>1329</v>
      </c>
      <c r="I725" s="47" t="s">
        <v>7886</v>
      </c>
      <c r="J725" s="47" t="s">
        <v>1330</v>
      </c>
      <c r="K725" s="47" t="s">
        <v>464</v>
      </c>
      <c r="L725" s="47" t="s">
        <v>279</v>
      </c>
      <c r="M725" s="47" t="s">
        <v>1331</v>
      </c>
      <c r="N725" s="47" t="s">
        <v>6381</v>
      </c>
      <c r="O725" s="47" t="s">
        <v>281</v>
      </c>
      <c r="P725" s="53"/>
      <c r="Q725" s="53"/>
      <c r="R725" s="53"/>
      <c r="S725" s="53"/>
      <c r="T725" s="48">
        <v>327.12</v>
      </c>
      <c r="U725" s="98">
        <v>4.8911714355588162E-3</v>
      </c>
      <c r="V725" s="98">
        <v>5.1510149180728788E-3</v>
      </c>
      <c r="W725" s="98">
        <v>1.0715193052376047E-3</v>
      </c>
      <c r="X725" s="98">
        <v>4.8911714355588162E-3</v>
      </c>
      <c r="Y725" s="233">
        <v>6.72</v>
      </c>
      <c r="Z725" s="48">
        <v>4.5599999999999996</v>
      </c>
      <c r="AA725" s="48"/>
      <c r="AB725" s="48">
        <v>4.43</v>
      </c>
      <c r="AC725" s="48">
        <v>0.72719999999999996</v>
      </c>
      <c r="AD725" s="48">
        <v>4.72</v>
      </c>
      <c r="AE725" s="48">
        <v>5.4</v>
      </c>
      <c r="AF725" s="48">
        <f t="shared" si="239"/>
        <v>4.72</v>
      </c>
      <c r="AG725" s="49">
        <v>3.4</v>
      </c>
      <c r="AH725" s="98">
        <v>3.4699999999999999E-13</v>
      </c>
      <c r="AI725" s="98">
        <v>3.9999999999999999E-12</v>
      </c>
      <c r="AJ725" s="483">
        <f t="shared" si="240"/>
        <v>-10.848236851521778</v>
      </c>
      <c r="AK725" s="483">
        <f>LOG10(AI725*1000/(0.08206*298.15))</f>
        <v>-9.7865063349846899</v>
      </c>
      <c r="AL725" s="483">
        <f t="shared" si="241"/>
        <v>-9.7865063349846899</v>
      </c>
      <c r="AM725" s="483">
        <v>-17.142900000000001</v>
      </c>
      <c r="AN725" s="226">
        <v>-8.14</v>
      </c>
      <c r="AO725" s="484">
        <v>7.45</v>
      </c>
      <c r="AP725" s="484">
        <v>-2.36</v>
      </c>
      <c r="AQ725" s="48" t="s">
        <v>6311</v>
      </c>
      <c r="AR725" s="48" t="s">
        <v>6311</v>
      </c>
      <c r="AS725" s="227"/>
      <c r="AT725" s="50" t="s">
        <v>266</v>
      </c>
      <c r="AU725" s="48">
        <v>6</v>
      </c>
      <c r="AV725" s="48">
        <v>120</v>
      </c>
      <c r="AW725" s="48">
        <v>114</v>
      </c>
      <c r="AX725" s="48">
        <v>28</v>
      </c>
      <c r="AY725" s="48" t="s">
        <v>8728</v>
      </c>
      <c r="AZ725" s="48" t="s">
        <v>1563</v>
      </c>
      <c r="BA725" s="48">
        <v>32</v>
      </c>
      <c r="BB725" s="47" t="s">
        <v>2485</v>
      </c>
      <c r="BC725" s="47" t="s">
        <v>8726</v>
      </c>
      <c r="BD725" s="47" t="s">
        <v>8374</v>
      </c>
      <c r="BE725" s="48" t="s">
        <v>2449</v>
      </c>
      <c r="BF725" s="48" t="s">
        <v>272</v>
      </c>
      <c r="BG725" s="48" t="s">
        <v>272</v>
      </c>
      <c r="BH725" s="48" t="s">
        <v>2486</v>
      </c>
      <c r="BI725" s="98">
        <v>6.3999999999999997E-6</v>
      </c>
      <c r="BJ725" s="98">
        <v>6.4000000000000001E-2</v>
      </c>
      <c r="BK725" s="48"/>
      <c r="BL725" s="98">
        <f t="shared" si="243"/>
        <v>4.1253803915753968E-3</v>
      </c>
      <c r="BM725" s="47" t="s">
        <v>2487</v>
      </c>
      <c r="BN725" s="48"/>
      <c r="BO725" s="48"/>
      <c r="BP725" s="48"/>
      <c r="BQ725" s="48"/>
      <c r="BR725" s="47" t="s">
        <v>2496</v>
      </c>
      <c r="BS725" s="48"/>
      <c r="BT725" s="48"/>
      <c r="BU725" s="228">
        <v>3.1999999999999999E-6</v>
      </c>
      <c r="BV725" s="48"/>
      <c r="BW725" s="48"/>
      <c r="BX725" s="48"/>
      <c r="BY725" s="48"/>
      <c r="BZ725" s="48"/>
      <c r="CA725" s="48"/>
      <c r="CB725" s="48"/>
      <c r="CC725" s="48"/>
      <c r="CD725" s="48"/>
      <c r="CE725" s="48"/>
      <c r="CF725" s="48"/>
      <c r="CG725" s="48"/>
      <c r="CH725" s="48"/>
      <c r="CI725" s="98"/>
      <c r="CJ725" s="98"/>
      <c r="CK725" s="49">
        <f t="shared" si="237"/>
        <v>6.4459068618365575E-2</v>
      </c>
      <c r="CL725" s="229"/>
      <c r="CM725" s="229">
        <v>-3.4733144123880546</v>
      </c>
      <c r="CN725" s="229">
        <f>BJ725/(10^CM725)</f>
        <v>190.32436363636381</v>
      </c>
      <c r="CO725" s="47" t="s">
        <v>2488</v>
      </c>
      <c r="CP725" s="47" t="s">
        <v>2489</v>
      </c>
      <c r="CQ725" s="224">
        <v>-3.4733144123880546</v>
      </c>
      <c r="CR725" s="224">
        <f>10^(CJ725-CQ725)</f>
        <v>2973.8181818181843</v>
      </c>
      <c r="CS725" s="230" t="s">
        <v>539</v>
      </c>
      <c r="CT725" s="230"/>
      <c r="CU725" s="230"/>
      <c r="CV725" s="335">
        <f t="shared" si="242"/>
        <v>7.6424553680606494E-2</v>
      </c>
      <c r="CW725" s="230">
        <f t="shared" si="231"/>
        <v>0</v>
      </c>
      <c r="CX725" s="336"/>
      <c r="CY725" s="230" t="s">
        <v>5921</v>
      </c>
    </row>
    <row r="726" spans="1:103" ht="11.25" customHeight="1" x14ac:dyDescent="0.2">
      <c r="A726" s="72">
        <v>724</v>
      </c>
      <c r="B726" s="224">
        <v>1506</v>
      </c>
      <c r="C726" s="46" t="s">
        <v>6951</v>
      </c>
      <c r="D726" s="46"/>
      <c r="E726" s="114"/>
      <c r="F726" s="114" t="s">
        <v>531</v>
      </c>
      <c r="G726" s="225">
        <v>50782</v>
      </c>
      <c r="H726" s="47" t="s">
        <v>532</v>
      </c>
      <c r="I726" s="47" t="s">
        <v>532</v>
      </c>
      <c r="J726" s="47" t="s">
        <v>533</v>
      </c>
      <c r="K726" s="47" t="s">
        <v>357</v>
      </c>
      <c r="L726" s="47" t="s">
        <v>279</v>
      </c>
      <c r="M726" s="47" t="s">
        <v>534</v>
      </c>
      <c r="N726" s="47" t="s">
        <v>6384</v>
      </c>
      <c r="O726" s="47" t="s">
        <v>281</v>
      </c>
      <c r="P726" s="53"/>
      <c r="Q726" s="53"/>
      <c r="R726" s="53"/>
      <c r="S726" s="53"/>
      <c r="T726" s="48">
        <v>180.16</v>
      </c>
      <c r="U726" s="98">
        <v>25.532859680284194</v>
      </c>
      <c r="V726" s="98">
        <v>29.390541740674955</v>
      </c>
      <c r="W726" s="98">
        <v>13.182567385564075</v>
      </c>
      <c r="X726" s="98">
        <v>25.532859680284194</v>
      </c>
      <c r="Y726" s="233">
        <v>2.72</v>
      </c>
      <c r="Z726" s="48">
        <v>1.1299999999999999</v>
      </c>
      <c r="AA726" s="48">
        <v>1.19</v>
      </c>
      <c r="AB726" s="48">
        <v>1.44</v>
      </c>
      <c r="AC726" s="48">
        <v>0.93910000000000005</v>
      </c>
      <c r="AD726" s="48">
        <v>1.39</v>
      </c>
      <c r="AE726" s="48">
        <v>1.19</v>
      </c>
      <c r="AF726" s="48">
        <f t="shared" si="239"/>
        <v>1.19</v>
      </c>
      <c r="AG726" s="49">
        <v>1.24</v>
      </c>
      <c r="AH726" s="98">
        <v>1.3000000000000001E-9</v>
      </c>
      <c r="AI726" s="98">
        <v>1.3000000000000001E-9</v>
      </c>
      <c r="AJ726" s="483">
        <f t="shared" si="240"/>
        <v>-7.2746229740058146</v>
      </c>
      <c r="AK726" s="483">
        <f>LOG10(AI726*1000/(0.08206*298.15))</f>
        <v>-7.2746229740058146</v>
      </c>
      <c r="AL726" s="483">
        <f t="shared" si="241"/>
        <v>-7.2746229740058146</v>
      </c>
      <c r="AM726" s="483">
        <v>-10.548029999999999</v>
      </c>
      <c r="AN726" s="226">
        <v>-7.7</v>
      </c>
      <c r="AO726" s="484">
        <v>3.48</v>
      </c>
      <c r="AP726" s="484"/>
      <c r="AQ726" s="48" t="s">
        <v>6311</v>
      </c>
      <c r="AR726" s="48" t="s">
        <v>6314</v>
      </c>
      <c r="AS726" s="227"/>
      <c r="AT726" s="50" t="s">
        <v>266</v>
      </c>
      <c r="AU726" s="48">
        <v>6</v>
      </c>
      <c r="AV726" s="48">
        <v>120</v>
      </c>
      <c r="AW726" s="48">
        <v>114</v>
      </c>
      <c r="AX726" s="48">
        <v>28</v>
      </c>
      <c r="AY726" s="48" t="s">
        <v>8728</v>
      </c>
      <c r="AZ726" s="48" t="s">
        <v>1563</v>
      </c>
      <c r="BA726" s="48">
        <v>32</v>
      </c>
      <c r="BB726" s="47" t="s">
        <v>2485</v>
      </c>
      <c r="BC726" s="47" t="s">
        <v>8726</v>
      </c>
      <c r="BD726" s="47" t="s">
        <v>8374</v>
      </c>
      <c r="BE726" s="48" t="s">
        <v>2449</v>
      </c>
      <c r="BF726" s="48" t="s">
        <v>272</v>
      </c>
      <c r="BG726" s="48" t="s">
        <v>272</v>
      </c>
      <c r="BH726" s="48" t="s">
        <v>2486</v>
      </c>
      <c r="BI726" s="98">
        <v>6.3999999999999997E-6</v>
      </c>
      <c r="BJ726" s="98">
        <v>6.4000000000000001E-2</v>
      </c>
      <c r="BK726" s="48"/>
      <c r="BL726" s="98">
        <f t="shared" si="243"/>
        <v>4.9653172250600512</v>
      </c>
      <c r="BM726" s="47" t="s">
        <v>2487</v>
      </c>
      <c r="BN726" s="48"/>
      <c r="BO726" s="48"/>
      <c r="BP726" s="48"/>
      <c r="BQ726" s="48"/>
      <c r="BR726" s="47" t="s">
        <v>2496</v>
      </c>
      <c r="BS726" s="48"/>
      <c r="BT726" s="48"/>
      <c r="BU726" s="228"/>
      <c r="BV726" s="48"/>
      <c r="BW726" s="48"/>
      <c r="BX726" s="48"/>
      <c r="BY726" s="48"/>
      <c r="BZ726" s="48"/>
      <c r="CA726" s="48"/>
      <c r="CB726" s="48"/>
      <c r="CC726" s="48"/>
      <c r="CD726" s="48"/>
      <c r="CE726" s="48"/>
      <c r="CF726" s="48"/>
      <c r="CG726" s="48"/>
      <c r="CH726" s="48"/>
      <c r="CI726" s="98"/>
      <c r="CJ726" s="98"/>
      <c r="CK726" s="49">
        <f t="shared" si="237"/>
        <v>77.583081641563297</v>
      </c>
      <c r="CL726" s="229"/>
      <c r="CM726" s="229"/>
      <c r="CN726" s="229"/>
      <c r="CO726" s="47" t="s">
        <v>2488</v>
      </c>
      <c r="CP726" s="47" t="s">
        <v>2489</v>
      </c>
      <c r="CQ726" s="224" t="s">
        <v>272</v>
      </c>
      <c r="CR726" s="224"/>
      <c r="CS726" s="230" t="s">
        <v>539</v>
      </c>
      <c r="CT726" s="230"/>
      <c r="CU726" s="230"/>
      <c r="CV726" s="335">
        <f t="shared" si="242"/>
        <v>398.95093250444052</v>
      </c>
      <c r="CW726" s="230">
        <f t="shared" si="231"/>
        <v>1</v>
      </c>
      <c r="CX726" s="336"/>
      <c r="CY726" s="230" t="s">
        <v>6351</v>
      </c>
    </row>
    <row r="727" spans="1:103" ht="11.25" customHeight="1" x14ac:dyDescent="0.2">
      <c r="A727" s="72">
        <v>725</v>
      </c>
      <c r="B727" s="224">
        <v>1475</v>
      </c>
      <c r="C727" s="46" t="s">
        <v>6952</v>
      </c>
      <c r="D727" s="46"/>
      <c r="E727" s="114"/>
      <c r="F727" s="114" t="s">
        <v>4529</v>
      </c>
      <c r="G727" s="225">
        <v>51218</v>
      </c>
      <c r="H727" s="47" t="s">
        <v>4530</v>
      </c>
      <c r="I727" s="47" t="s">
        <v>4530</v>
      </c>
      <c r="J727" s="47" t="s">
        <v>4531</v>
      </c>
      <c r="K727" s="47" t="s">
        <v>2039</v>
      </c>
      <c r="L727" s="47" t="s">
        <v>279</v>
      </c>
      <c r="M727" s="47" t="s">
        <v>4532</v>
      </c>
      <c r="N727" s="47" t="s">
        <v>6383</v>
      </c>
      <c r="O727" s="47" t="s">
        <v>281</v>
      </c>
      <c r="P727" s="53"/>
      <c r="Q727" s="53"/>
      <c r="R727" s="53"/>
      <c r="S727" s="53"/>
      <c r="T727" s="48">
        <v>130.08000000000001</v>
      </c>
      <c r="U727" s="98">
        <v>85.332103321033202</v>
      </c>
      <c r="V727" s="98">
        <v>199.10824108241081</v>
      </c>
      <c r="W727" s="98">
        <v>128.82495516931337</v>
      </c>
      <c r="X727" s="98">
        <v>85.332103321033202</v>
      </c>
      <c r="Y727" s="233">
        <v>3.65</v>
      </c>
      <c r="Z727" s="48">
        <v>-0.81</v>
      </c>
      <c r="AA727" s="48">
        <v>-0.89</v>
      </c>
      <c r="AB727" s="48">
        <v>-0.48</v>
      </c>
      <c r="AC727" s="48">
        <v>0.80269999999999997</v>
      </c>
      <c r="AD727" s="48">
        <v>-0.56999999999999995</v>
      </c>
      <c r="AE727" s="48">
        <v>-0.78</v>
      </c>
      <c r="AF727" s="48">
        <f t="shared" si="239"/>
        <v>-0.89</v>
      </c>
      <c r="AG727" s="49">
        <v>-0.13</v>
      </c>
      <c r="AH727" s="98">
        <v>1.66E-10</v>
      </c>
      <c r="AI727" s="98"/>
      <c r="AJ727" s="483">
        <f t="shared" si="240"/>
        <v>-8.1684582382725974</v>
      </c>
      <c r="AK727" s="483"/>
      <c r="AL727" s="483">
        <f t="shared" si="241"/>
        <v>-8.1684582382725974</v>
      </c>
      <c r="AM727" s="483">
        <v>-10.14142</v>
      </c>
      <c r="AN727" s="226">
        <v>-8.4499999999999993</v>
      </c>
      <c r="AO727" s="484">
        <v>6.73</v>
      </c>
      <c r="AP727" s="484"/>
      <c r="AQ727" s="48" t="s">
        <v>6311</v>
      </c>
      <c r="AR727" s="48" t="s">
        <v>6311</v>
      </c>
      <c r="AS727" s="227"/>
      <c r="AT727" s="50" t="s">
        <v>266</v>
      </c>
      <c r="AU727" s="48">
        <v>6</v>
      </c>
      <c r="AV727" s="48">
        <v>120</v>
      </c>
      <c r="AW727" s="48">
        <v>114</v>
      </c>
      <c r="AX727" s="48">
        <v>28</v>
      </c>
      <c r="AY727" s="48" t="s">
        <v>8728</v>
      </c>
      <c r="AZ727" s="48" t="s">
        <v>1563</v>
      </c>
      <c r="BA727" s="48">
        <v>32</v>
      </c>
      <c r="BB727" s="47" t="s">
        <v>2485</v>
      </c>
      <c r="BC727" s="47" t="s">
        <v>8726</v>
      </c>
      <c r="BD727" s="47" t="s">
        <v>8374</v>
      </c>
      <c r="BE727" s="48" t="s">
        <v>2449</v>
      </c>
      <c r="BF727" s="48" t="s">
        <v>272</v>
      </c>
      <c r="BG727" s="48" t="s">
        <v>272</v>
      </c>
      <c r="BH727" s="48" t="s">
        <v>2486</v>
      </c>
      <c r="BI727" s="98">
        <v>6.3999999999999997E-6</v>
      </c>
      <c r="BJ727" s="98">
        <v>6.4000000000000001E-2</v>
      </c>
      <c r="BK727" s="48"/>
      <c r="BL727" s="98">
        <f t="shared" si="243"/>
        <v>274.32222838559966</v>
      </c>
      <c r="BM727" s="47" t="s">
        <v>2487</v>
      </c>
      <c r="BN727" s="48"/>
      <c r="BO727" s="48"/>
      <c r="BP727" s="48"/>
      <c r="BQ727" s="48"/>
      <c r="BR727" s="47" t="s">
        <v>2496</v>
      </c>
      <c r="BS727" s="48"/>
      <c r="BT727" s="48"/>
      <c r="BU727" s="228"/>
      <c r="BV727" s="48"/>
      <c r="BW727" s="48"/>
      <c r="BX727" s="48"/>
      <c r="BY727" s="48"/>
      <c r="BZ727" s="48"/>
      <c r="CA727" s="48"/>
      <c r="CB727" s="48"/>
      <c r="CC727" s="48"/>
      <c r="CD727" s="48"/>
      <c r="CE727" s="48"/>
      <c r="CF727" s="48"/>
      <c r="CG727" s="48"/>
      <c r="CH727" s="48"/>
      <c r="CI727" s="98"/>
      <c r="CJ727" s="98"/>
      <c r="CK727" s="49">
        <f t="shared" si="237"/>
        <v>4286.284818524995</v>
      </c>
      <c r="CL727" s="229"/>
      <c r="CM727" s="229"/>
      <c r="CN727" s="229"/>
      <c r="CO727" s="47" t="s">
        <v>2488</v>
      </c>
      <c r="CP727" s="47" t="s">
        <v>2489</v>
      </c>
      <c r="CQ727" s="224" t="s">
        <v>272</v>
      </c>
      <c r="CR727" s="224"/>
      <c r="CS727" s="230" t="s">
        <v>539</v>
      </c>
      <c r="CT727" s="230"/>
      <c r="CU727" s="230"/>
      <c r="CV727" s="335">
        <f t="shared" si="242"/>
        <v>1333.3141143911437</v>
      </c>
      <c r="CW727" s="230">
        <f t="shared" si="231"/>
        <v>1</v>
      </c>
      <c r="CX727" s="336"/>
      <c r="CY727" s="230" t="s">
        <v>6351</v>
      </c>
    </row>
    <row r="728" spans="1:103" ht="11.25" customHeight="1" x14ac:dyDescent="0.2">
      <c r="A728" s="72">
        <v>726</v>
      </c>
      <c r="B728" s="224">
        <v>1715</v>
      </c>
      <c r="C728" s="46" t="s">
        <v>6953</v>
      </c>
      <c r="D728" s="46"/>
      <c r="E728" s="114"/>
      <c r="F728" s="114" t="s">
        <v>4984</v>
      </c>
      <c r="G728" s="225">
        <v>51309</v>
      </c>
      <c r="H728" s="47" t="s">
        <v>4985</v>
      </c>
      <c r="I728" s="47" t="s">
        <v>7975</v>
      </c>
      <c r="J728" s="47" t="s">
        <v>4986</v>
      </c>
      <c r="K728" s="47" t="s">
        <v>4987</v>
      </c>
      <c r="L728" s="47"/>
      <c r="M728" s="47"/>
      <c r="N728" s="47"/>
      <c r="O728" s="47"/>
      <c r="P728" s="53"/>
      <c r="Q728" s="53"/>
      <c r="R728" s="53"/>
      <c r="S728" s="53"/>
      <c r="T728" s="48">
        <v>247.72</v>
      </c>
      <c r="U728" s="98"/>
      <c r="V728" s="98">
        <v>4036.8157597287259</v>
      </c>
      <c r="W728" s="98">
        <v>16.218100973589287</v>
      </c>
      <c r="X728" s="98">
        <f>IF(W728=0,V728,W728)</f>
        <v>16.218100973589287</v>
      </c>
      <c r="Y728" s="233">
        <v>5.6</v>
      </c>
      <c r="Z728" s="48">
        <v>-2.67</v>
      </c>
      <c r="AA728" s="48">
        <v>-2.69</v>
      </c>
      <c r="AB728" s="48"/>
      <c r="AC728" s="48"/>
      <c r="AD728" s="48"/>
      <c r="AE728" s="48"/>
      <c r="AF728" s="48">
        <f t="shared" si="239"/>
        <v>-2.69</v>
      </c>
      <c r="AG728" s="49">
        <v>0.77</v>
      </c>
      <c r="AH728" s="98">
        <v>9.5099999999999995E-26</v>
      </c>
      <c r="AI728" s="98"/>
      <c r="AJ728" s="483">
        <f t="shared" si="240"/>
        <v>-23.410385809375239</v>
      </c>
      <c r="AK728" s="483"/>
      <c r="AL728" s="483">
        <f t="shared" si="241"/>
        <v>-23.410385809375239</v>
      </c>
      <c r="AM728" s="483"/>
      <c r="AN728" s="226">
        <v>-36.299999999999997</v>
      </c>
      <c r="AO728" s="484">
        <v>9.57</v>
      </c>
      <c r="AP728" s="484">
        <v>-2.2599999999999998</v>
      </c>
      <c r="AQ728" s="226" t="s">
        <v>6311</v>
      </c>
      <c r="AR728" s="226" t="s">
        <v>6311</v>
      </c>
      <c r="AS728" s="224"/>
      <c r="AT728" s="50" t="s">
        <v>266</v>
      </c>
      <c r="AU728" s="48">
        <v>6</v>
      </c>
      <c r="AV728" s="48">
        <v>120</v>
      </c>
      <c r="AW728" s="48">
        <v>114</v>
      </c>
      <c r="AX728" s="48">
        <v>28</v>
      </c>
      <c r="AY728" s="48" t="s">
        <v>8728</v>
      </c>
      <c r="AZ728" s="48" t="s">
        <v>1563</v>
      </c>
      <c r="BA728" s="48">
        <v>32</v>
      </c>
      <c r="BB728" s="47" t="s">
        <v>2485</v>
      </c>
      <c r="BC728" s="47" t="s">
        <v>8726</v>
      </c>
      <c r="BD728" s="47" t="s">
        <v>8374</v>
      </c>
      <c r="BE728" s="48" t="s">
        <v>2449</v>
      </c>
      <c r="BF728" s="48" t="s">
        <v>272</v>
      </c>
      <c r="BG728" s="48" t="s">
        <v>272</v>
      </c>
      <c r="BH728" s="48" t="s">
        <v>2486</v>
      </c>
      <c r="BI728" s="98">
        <v>6.3999999999999997E-6</v>
      </c>
      <c r="BJ728" s="98">
        <v>6.4000000000000001E-2</v>
      </c>
      <c r="BK728" s="48"/>
      <c r="BL728" s="98">
        <f t="shared" si="243"/>
        <v>12844.789752681892</v>
      </c>
      <c r="BM728" s="47" t="s">
        <v>2487</v>
      </c>
      <c r="BN728" s="48"/>
      <c r="BO728" s="48"/>
      <c r="BP728" s="48"/>
      <c r="BQ728" s="48"/>
      <c r="BR728" s="47" t="s">
        <v>2496</v>
      </c>
      <c r="BS728" s="48"/>
      <c r="BT728" s="48"/>
      <c r="BU728" s="228"/>
      <c r="BV728" s="48"/>
      <c r="BW728" s="48"/>
      <c r="BX728" s="48"/>
      <c r="BY728" s="48"/>
      <c r="BZ728" s="48"/>
      <c r="CA728" s="48"/>
      <c r="CB728" s="48"/>
      <c r="CC728" s="48"/>
      <c r="CD728" s="48"/>
      <c r="CE728" s="48"/>
      <c r="CF728" s="48"/>
      <c r="CG728" s="48"/>
      <c r="CH728" s="48"/>
      <c r="CI728" s="98"/>
      <c r="CJ728" s="98"/>
      <c r="CK728" s="49">
        <f t="shared" si="237"/>
        <v>200699.83988565457</v>
      </c>
      <c r="CL728" s="229"/>
      <c r="CM728" s="229"/>
      <c r="CN728" s="229"/>
      <c r="CO728" s="47" t="s">
        <v>2488</v>
      </c>
      <c r="CP728" s="47" t="s">
        <v>2489</v>
      </c>
      <c r="CQ728" s="224" t="s">
        <v>272</v>
      </c>
      <c r="CR728" s="224"/>
      <c r="CS728" s="230" t="s">
        <v>539</v>
      </c>
      <c r="CT728" s="230"/>
      <c r="CU728" s="230"/>
      <c r="CV728" s="335">
        <f t="shared" si="242"/>
        <v>253.40782771233262</v>
      </c>
      <c r="CW728" s="230">
        <f t="shared" si="231"/>
        <v>1</v>
      </c>
      <c r="CX728" s="336"/>
      <c r="CY728" s="230" t="s">
        <v>5921</v>
      </c>
    </row>
    <row r="729" spans="1:103" ht="11.25" customHeight="1" x14ac:dyDescent="0.2">
      <c r="A729" s="72">
        <v>727</v>
      </c>
      <c r="B729" s="224">
        <v>1480</v>
      </c>
      <c r="C729" s="46" t="s">
        <v>6954</v>
      </c>
      <c r="D729" s="46"/>
      <c r="E729" s="114"/>
      <c r="F729" s="114" t="s">
        <v>4546</v>
      </c>
      <c r="G729" s="225">
        <v>51525</v>
      </c>
      <c r="H729" s="47" t="s">
        <v>4547</v>
      </c>
      <c r="I729" s="47" t="s">
        <v>4547</v>
      </c>
      <c r="J729" s="47" t="s">
        <v>4548</v>
      </c>
      <c r="K729" s="47" t="s">
        <v>4549</v>
      </c>
      <c r="L729" s="47" t="s">
        <v>279</v>
      </c>
      <c r="M729" s="47" t="s">
        <v>4550</v>
      </c>
      <c r="N729" s="47" t="s">
        <v>6386</v>
      </c>
      <c r="O729" s="47" t="s">
        <v>281</v>
      </c>
      <c r="P729" s="53"/>
      <c r="Q729" s="53"/>
      <c r="R729" s="53"/>
      <c r="S729" s="53"/>
      <c r="T729" s="48">
        <v>170.23</v>
      </c>
      <c r="U729" s="98">
        <v>7.0492862597661992</v>
      </c>
      <c r="V729" s="98">
        <v>52.951888621277099</v>
      </c>
      <c r="W729" s="98">
        <v>1.949844599758044</v>
      </c>
      <c r="X729" s="98">
        <v>7.0492862597661992</v>
      </c>
      <c r="Y729" s="233">
        <v>5.3</v>
      </c>
      <c r="Z729" s="48">
        <v>0.98</v>
      </c>
      <c r="AA729" s="48"/>
      <c r="AB729" s="48">
        <v>-0.17</v>
      </c>
      <c r="AC729" s="48">
        <v>0.65790000000000004</v>
      </c>
      <c r="AD729" s="48">
        <v>0.46</v>
      </c>
      <c r="AE729" s="48">
        <v>1.37</v>
      </c>
      <c r="AF729" s="48">
        <f t="shared" si="239"/>
        <v>0.46</v>
      </c>
      <c r="AG729" s="49">
        <v>2.11</v>
      </c>
      <c r="AH729" s="98">
        <v>1.14E-9</v>
      </c>
      <c r="AI729" s="98"/>
      <c r="AJ729" s="483">
        <f t="shared" si="240"/>
        <v>-7.3316614749761788</v>
      </c>
      <c r="AK729" s="483"/>
      <c r="AL729" s="483">
        <f t="shared" si="241"/>
        <v>-7.3316614749761788</v>
      </c>
      <c r="AM729" s="483">
        <v>-12.55368</v>
      </c>
      <c r="AN729" s="226">
        <v>-14.3</v>
      </c>
      <c r="AO729" s="484">
        <v>7.63</v>
      </c>
      <c r="AP729" s="484">
        <v>-1.94</v>
      </c>
      <c r="AQ729" s="48" t="s">
        <v>6311</v>
      </c>
      <c r="AR729" s="48" t="s">
        <v>6311</v>
      </c>
      <c r="AS729" s="227"/>
      <c r="AT729" s="50" t="s">
        <v>266</v>
      </c>
      <c r="AU729" s="48">
        <v>6</v>
      </c>
      <c r="AV729" s="48">
        <v>120</v>
      </c>
      <c r="AW729" s="48">
        <v>114</v>
      </c>
      <c r="AX729" s="48">
        <v>28</v>
      </c>
      <c r="AY729" s="48" t="s">
        <v>8728</v>
      </c>
      <c r="AZ729" s="48" t="s">
        <v>1563</v>
      </c>
      <c r="BA729" s="48">
        <v>32</v>
      </c>
      <c r="BB729" s="47" t="s">
        <v>2485</v>
      </c>
      <c r="BC729" s="47" t="s">
        <v>8726</v>
      </c>
      <c r="BD729" s="47" t="s">
        <v>8374</v>
      </c>
      <c r="BE729" s="48" t="s">
        <v>2449</v>
      </c>
      <c r="BF729" s="48" t="s">
        <v>272</v>
      </c>
      <c r="BG729" s="48" t="s">
        <v>272</v>
      </c>
      <c r="BH729" s="48" t="s">
        <v>2486</v>
      </c>
      <c r="BI729" s="98">
        <v>6.3999999999999997E-6</v>
      </c>
      <c r="BJ729" s="98">
        <v>6.4000000000000001E-2</v>
      </c>
      <c r="BK729" s="48"/>
      <c r="BL729" s="98">
        <f t="shared" si="243"/>
        <v>6.7711432217954908</v>
      </c>
      <c r="BM729" s="47" t="s">
        <v>2487</v>
      </c>
      <c r="BN729" s="48"/>
      <c r="BO729" s="48"/>
      <c r="BP729" s="48"/>
      <c r="BQ729" s="48"/>
      <c r="BR729" s="47" t="s">
        <v>2496</v>
      </c>
      <c r="BS729" s="48"/>
      <c r="BT729" s="48"/>
      <c r="BU729" s="228"/>
      <c r="BV729" s="48"/>
      <c r="BW729" s="48"/>
      <c r="BX729" s="48"/>
      <c r="BY729" s="48"/>
      <c r="BZ729" s="48"/>
      <c r="CA729" s="48"/>
      <c r="CB729" s="48"/>
      <c r="CC729" s="48"/>
      <c r="CD729" s="48"/>
      <c r="CE729" s="48"/>
      <c r="CF729" s="48"/>
      <c r="CG729" s="48"/>
      <c r="CH729" s="48"/>
      <c r="CI729" s="98"/>
      <c r="CJ729" s="98"/>
      <c r="CK729" s="49">
        <f t="shared" si="237"/>
        <v>105.79911284055454</v>
      </c>
      <c r="CL729" s="229"/>
      <c r="CM729" s="229"/>
      <c r="CN729" s="229"/>
      <c r="CO729" s="47" t="s">
        <v>2488</v>
      </c>
      <c r="CP729" s="47" t="s">
        <v>2489</v>
      </c>
      <c r="CQ729" s="224" t="s">
        <v>272</v>
      </c>
      <c r="CR729" s="224"/>
      <c r="CS729" s="230" t="s">
        <v>539</v>
      </c>
      <c r="CT729" s="230"/>
      <c r="CU729" s="230"/>
      <c r="CV729" s="335">
        <f t="shared" si="242"/>
        <v>110.14509780884686</v>
      </c>
      <c r="CW729" s="230">
        <f t="shared" si="231"/>
        <v>1</v>
      </c>
      <c r="CX729" s="336"/>
      <c r="CY729" s="230" t="s">
        <v>5921</v>
      </c>
    </row>
    <row r="730" spans="1:103" ht="11.25" customHeight="1" x14ac:dyDescent="0.2">
      <c r="A730" s="72">
        <v>728</v>
      </c>
      <c r="B730" s="224">
        <v>1931</v>
      </c>
      <c r="C730" s="46" t="s">
        <v>6955</v>
      </c>
      <c r="D730" s="46"/>
      <c r="E730" s="114"/>
      <c r="F730" s="114" t="s">
        <v>5423</v>
      </c>
      <c r="G730" s="225">
        <v>51796</v>
      </c>
      <c r="H730" s="47" t="s">
        <v>5424</v>
      </c>
      <c r="I730" s="47" t="s">
        <v>5424</v>
      </c>
      <c r="J730" s="47" t="s">
        <v>5425</v>
      </c>
      <c r="K730" s="47" t="s">
        <v>357</v>
      </c>
      <c r="L730" s="47"/>
      <c r="M730" s="47"/>
      <c r="N730" s="47"/>
      <c r="O730" s="47"/>
      <c r="P730" s="53" t="s">
        <v>6178</v>
      </c>
      <c r="Q730" s="53" t="s">
        <v>6173</v>
      </c>
      <c r="R730" s="53" t="s">
        <v>6185</v>
      </c>
      <c r="S730" s="53" t="s">
        <v>6176</v>
      </c>
      <c r="T730" s="48">
        <v>89.09</v>
      </c>
      <c r="U730" s="98">
        <v>5387.8100796946901</v>
      </c>
      <c r="V730" s="98">
        <v>1885.7335278931416</v>
      </c>
      <c r="W730" s="98">
        <v>1148.1536214968828</v>
      </c>
      <c r="X730" s="98">
        <v>5387.8100796946901</v>
      </c>
      <c r="Y730" s="233">
        <v>6.71</v>
      </c>
      <c r="Z730" s="48">
        <v>-0.02</v>
      </c>
      <c r="AA730" s="48">
        <v>-0.15</v>
      </c>
      <c r="AB730" s="48">
        <v>0.01</v>
      </c>
      <c r="AC730" s="48">
        <v>0.86950000000000005</v>
      </c>
      <c r="AD730" s="48">
        <v>-0.03</v>
      </c>
      <c r="AE730" s="48">
        <v>-0.15</v>
      </c>
      <c r="AF730" s="48">
        <f t="shared" si="239"/>
        <v>-0.15</v>
      </c>
      <c r="AG730" s="49">
        <v>-0.23</v>
      </c>
      <c r="AH730" s="98">
        <v>5.25E-8</v>
      </c>
      <c r="AI730" s="98">
        <v>6.43E-8</v>
      </c>
      <c r="AJ730" s="483">
        <f t="shared" si="240"/>
        <v>-5.6684070229066945</v>
      </c>
      <c r="AK730" s="483">
        <f>LOG10(AI730*1000/(0.08206*298.15))</f>
        <v>-5.5803553533884296</v>
      </c>
      <c r="AL730" s="483">
        <f t="shared" si="241"/>
        <v>-5.5803553533884296</v>
      </c>
      <c r="AM730" s="483">
        <v>-6.6229300000000002</v>
      </c>
      <c r="AN730" s="226">
        <v>-5.27</v>
      </c>
      <c r="AO730" s="484">
        <v>13.58</v>
      </c>
      <c r="AP730" s="484">
        <v>-1.34</v>
      </c>
      <c r="AQ730" s="226" t="s">
        <v>6311</v>
      </c>
      <c r="AR730" s="226" t="s">
        <v>6312</v>
      </c>
      <c r="AS730" s="224"/>
      <c r="AT730" s="50" t="s">
        <v>266</v>
      </c>
      <c r="AU730" s="48">
        <v>6</v>
      </c>
      <c r="AV730" s="48">
        <v>120</v>
      </c>
      <c r="AW730" s="48">
        <v>114</v>
      </c>
      <c r="AX730" s="48">
        <v>28</v>
      </c>
      <c r="AY730" s="48" t="s">
        <v>8728</v>
      </c>
      <c r="AZ730" s="48" t="s">
        <v>1563</v>
      </c>
      <c r="BA730" s="48">
        <v>32</v>
      </c>
      <c r="BB730" s="47" t="s">
        <v>2485</v>
      </c>
      <c r="BC730" s="47" t="s">
        <v>8726</v>
      </c>
      <c r="BD730" s="47" t="s">
        <v>8374</v>
      </c>
      <c r="BE730" s="48" t="s">
        <v>2449</v>
      </c>
      <c r="BF730" s="48" t="s">
        <v>272</v>
      </c>
      <c r="BG730" s="48" t="s">
        <v>272</v>
      </c>
      <c r="BH730" s="48" t="s">
        <v>2486</v>
      </c>
      <c r="BI730" s="98">
        <v>6.3999999999999997E-6</v>
      </c>
      <c r="BJ730" s="98">
        <v>6.4000000000000001E-2</v>
      </c>
      <c r="BK730" s="48"/>
      <c r="BL730" s="98">
        <f t="shared" si="243"/>
        <v>53.5503113213706</v>
      </c>
      <c r="BM730" s="47" t="s">
        <v>2487</v>
      </c>
      <c r="BN730" s="48"/>
      <c r="BO730" s="48"/>
      <c r="BP730" s="48"/>
      <c r="BQ730" s="48"/>
      <c r="BR730" s="47" t="s">
        <v>2496</v>
      </c>
      <c r="BS730" s="48"/>
      <c r="BT730" s="48"/>
      <c r="BU730" s="228"/>
      <c r="BV730" s="48"/>
      <c r="BW730" s="48"/>
      <c r="BX730" s="48"/>
      <c r="BY730" s="48"/>
      <c r="BZ730" s="48"/>
      <c r="CA730" s="48"/>
      <c r="CB730" s="48"/>
      <c r="CC730" s="48"/>
      <c r="CD730" s="48"/>
      <c r="CE730" s="48"/>
      <c r="CF730" s="48"/>
      <c r="CG730" s="48"/>
      <c r="CH730" s="48"/>
      <c r="CI730" s="98"/>
      <c r="CJ730" s="98"/>
      <c r="CK730" s="49">
        <f t="shared" si="237"/>
        <v>836.72361439641566</v>
      </c>
      <c r="CL730" s="229"/>
      <c r="CM730" s="229"/>
      <c r="CN730" s="229"/>
      <c r="CO730" s="47" t="s">
        <v>2488</v>
      </c>
      <c r="CP730" s="47" t="s">
        <v>2489</v>
      </c>
      <c r="CQ730" s="224">
        <v>1.7703303444706433</v>
      </c>
      <c r="CR730" s="224">
        <f>10^(CJ730-CQ730)</f>
        <v>1.6969523809523806E-2</v>
      </c>
      <c r="CS730" s="230" t="s">
        <v>539</v>
      </c>
      <c r="CT730" s="230"/>
      <c r="CU730" s="230"/>
      <c r="CV730" s="335">
        <f t="shared" si="242"/>
        <v>84184.532495229534</v>
      </c>
      <c r="CW730" s="230">
        <f t="shared" si="231"/>
        <v>1</v>
      </c>
      <c r="CX730" s="336"/>
      <c r="CY730" s="230" t="s">
        <v>5921</v>
      </c>
    </row>
    <row r="731" spans="1:103" ht="11.25" customHeight="1" x14ac:dyDescent="0.2">
      <c r="A731" s="72">
        <v>729</v>
      </c>
      <c r="B731" s="224">
        <v>1283</v>
      </c>
      <c r="C731" s="46" t="s">
        <v>6956</v>
      </c>
      <c r="D731" s="46"/>
      <c r="E731" s="114"/>
      <c r="F731" s="114" t="s">
        <v>3521</v>
      </c>
      <c r="G731" s="225">
        <v>52017</v>
      </c>
      <c r="H731" s="47" t="s">
        <v>3522</v>
      </c>
      <c r="I731" s="47" t="s">
        <v>3522</v>
      </c>
      <c r="J731" s="47" t="s">
        <v>3523</v>
      </c>
      <c r="K731" s="47" t="s">
        <v>3524</v>
      </c>
      <c r="L731" s="47" t="s">
        <v>279</v>
      </c>
      <c r="M731" s="47" t="s">
        <v>3525</v>
      </c>
      <c r="N731" s="47" t="s">
        <v>6386</v>
      </c>
      <c r="O731" s="47" t="s">
        <v>281</v>
      </c>
      <c r="P731" s="53"/>
      <c r="Q731" s="53"/>
      <c r="R731" s="53"/>
      <c r="S731" s="53"/>
      <c r="T731" s="48">
        <v>416.57</v>
      </c>
      <c r="U731" s="98">
        <v>5.2812252442566675E-2</v>
      </c>
      <c r="V731" s="98">
        <v>6.8127805650911005E-2</v>
      </c>
      <c r="W731" s="98">
        <v>4.5708818961487478E-3</v>
      </c>
      <c r="X731" s="98">
        <v>5.2812252442566675E-2</v>
      </c>
      <c r="Y731" s="233">
        <v>7</v>
      </c>
      <c r="Z731" s="48">
        <v>2.88</v>
      </c>
      <c r="AA731" s="48">
        <v>2.2599999999999998</v>
      </c>
      <c r="AB731" s="48">
        <v>2.68</v>
      </c>
      <c r="AC731" s="48">
        <v>0.85429999999999995</v>
      </c>
      <c r="AD731" s="48">
        <v>2.78</v>
      </c>
      <c r="AE731" s="48">
        <v>3.12</v>
      </c>
      <c r="AF731" s="48">
        <f t="shared" si="239"/>
        <v>2.2599999999999998</v>
      </c>
      <c r="AG731" s="49">
        <v>3.56</v>
      </c>
      <c r="AH731" s="98">
        <v>1.1399999999999999E-10</v>
      </c>
      <c r="AI731" s="98"/>
      <c r="AJ731" s="483">
        <f t="shared" si="240"/>
        <v>-8.3316614749761797</v>
      </c>
      <c r="AK731" s="483"/>
      <c r="AL731" s="483">
        <f t="shared" si="241"/>
        <v>-8.3316614749761797</v>
      </c>
      <c r="AM731" s="483">
        <v>-22.280190000000001</v>
      </c>
      <c r="AN731" s="226">
        <v>-12.1</v>
      </c>
      <c r="AO731" s="484"/>
      <c r="AP731" s="484"/>
      <c r="AQ731" s="48" t="s">
        <v>6311</v>
      </c>
      <c r="AR731" s="48" t="s">
        <v>6311</v>
      </c>
      <c r="AS731" s="227"/>
      <c r="AT731" s="50" t="s">
        <v>266</v>
      </c>
      <c r="AU731" s="48">
        <v>6</v>
      </c>
      <c r="AV731" s="48">
        <v>120</v>
      </c>
      <c r="AW731" s="48">
        <v>114</v>
      </c>
      <c r="AX731" s="48">
        <v>28</v>
      </c>
      <c r="AY731" s="48" t="s">
        <v>8728</v>
      </c>
      <c r="AZ731" s="48" t="s">
        <v>1563</v>
      </c>
      <c r="BA731" s="48">
        <v>32</v>
      </c>
      <c r="BB731" s="47" t="s">
        <v>2485</v>
      </c>
      <c r="BC731" s="47" t="s">
        <v>8726</v>
      </c>
      <c r="BD731" s="47" t="s">
        <v>8374</v>
      </c>
      <c r="BE731" s="48" t="s">
        <v>2449</v>
      </c>
      <c r="BF731" s="48" t="s">
        <v>272</v>
      </c>
      <c r="BG731" s="48" t="s">
        <v>272</v>
      </c>
      <c r="BH731" s="48" t="s">
        <v>2486</v>
      </c>
      <c r="BI731" s="98">
        <v>6.3999999999999997E-6</v>
      </c>
      <c r="BJ731" s="98">
        <v>6.4000000000000001E-2</v>
      </c>
      <c r="BK731" s="48"/>
      <c r="BL731" s="98">
        <f t="shared" si="243"/>
        <v>0.13312879467583441</v>
      </c>
      <c r="BM731" s="47" t="s">
        <v>2487</v>
      </c>
      <c r="BN731" s="48"/>
      <c r="BO731" s="48"/>
      <c r="BP731" s="48"/>
      <c r="BQ731" s="48"/>
      <c r="BR731" s="47" t="s">
        <v>2496</v>
      </c>
      <c r="BS731" s="48"/>
      <c r="BT731" s="48"/>
      <c r="BU731" s="228">
        <v>6.3999999999999997E-6</v>
      </c>
      <c r="BV731" s="48"/>
      <c r="BW731" s="48"/>
      <c r="BX731" s="48"/>
      <c r="BY731" s="48"/>
      <c r="BZ731" s="48"/>
      <c r="CA731" s="48"/>
      <c r="CB731" s="48"/>
      <c r="CC731" s="48"/>
      <c r="CD731" s="48"/>
      <c r="CE731" s="48"/>
      <c r="CF731" s="48"/>
      <c r="CG731" s="48"/>
      <c r="CH731" s="48"/>
      <c r="CI731" s="98"/>
      <c r="CJ731" s="98"/>
      <c r="CK731" s="49">
        <f t="shared" si="237"/>
        <v>2.0801374168099125</v>
      </c>
      <c r="CL731" s="229"/>
      <c r="CM731" s="229"/>
      <c r="CN731" s="229"/>
      <c r="CO731" s="47" t="s">
        <v>2488</v>
      </c>
      <c r="CP731" s="47" t="s">
        <v>2489</v>
      </c>
      <c r="CQ731" s="224" t="s">
        <v>272</v>
      </c>
      <c r="CR731" s="224"/>
      <c r="CS731" s="230" t="s">
        <v>539</v>
      </c>
      <c r="CT731" s="230"/>
      <c r="CU731" s="230"/>
      <c r="CV731" s="335">
        <f t="shared" si="242"/>
        <v>0.82519144441510428</v>
      </c>
      <c r="CW731" s="230">
        <f t="shared" si="231"/>
        <v>0</v>
      </c>
      <c r="CX731" s="336"/>
      <c r="CY731" s="230" t="s">
        <v>5921</v>
      </c>
    </row>
    <row r="732" spans="1:103" ht="11.25" customHeight="1" x14ac:dyDescent="0.2">
      <c r="A732" s="72">
        <v>730</v>
      </c>
      <c r="B732" s="224">
        <v>1533</v>
      </c>
      <c r="C732" s="46" t="s">
        <v>6957</v>
      </c>
      <c r="D732" s="46"/>
      <c r="E732" s="114"/>
      <c r="F732" s="114" t="s">
        <v>4642</v>
      </c>
      <c r="G732" s="225">
        <v>52517</v>
      </c>
      <c r="H732" s="47" t="s">
        <v>4643</v>
      </c>
      <c r="I732" s="47" t="s">
        <v>4643</v>
      </c>
      <c r="J732" s="47" t="s">
        <v>4644</v>
      </c>
      <c r="K732" s="47" t="s">
        <v>4645</v>
      </c>
      <c r="L732" s="47" t="s">
        <v>8493</v>
      </c>
      <c r="M732" s="47" t="s">
        <v>6088</v>
      </c>
      <c r="N732" s="47" t="s">
        <v>6088</v>
      </c>
      <c r="O732" s="47" t="s">
        <v>8494</v>
      </c>
      <c r="P732" s="53"/>
      <c r="Q732" s="53"/>
      <c r="R732" s="53"/>
      <c r="S732" s="53"/>
      <c r="T732" s="48">
        <v>199.99</v>
      </c>
      <c r="U732" s="98">
        <v>1250.0625031251561</v>
      </c>
      <c r="V732" s="98">
        <v>314.26571328566428</v>
      </c>
      <c r="W732" s="98">
        <v>549.54087385762455</v>
      </c>
      <c r="X732" s="98">
        <v>1250.0625031251561</v>
      </c>
      <c r="Y732" s="233">
        <v>6.13</v>
      </c>
      <c r="Z732" s="48">
        <v>-0.64</v>
      </c>
      <c r="AA732" s="48"/>
      <c r="AB732" s="48">
        <v>-0.47</v>
      </c>
      <c r="AC732" s="48">
        <v>0.58299999999999996</v>
      </c>
      <c r="AD732" s="48">
        <v>0.47</v>
      </c>
      <c r="AE732" s="48">
        <v>1.72</v>
      </c>
      <c r="AF732" s="48">
        <f t="shared" si="239"/>
        <v>0.47</v>
      </c>
      <c r="AG732" s="49">
        <v>-1.1399999999999999</v>
      </c>
      <c r="AH732" s="98">
        <v>1.1400000000000001E-11</v>
      </c>
      <c r="AI732" s="98">
        <v>1.33E-11</v>
      </c>
      <c r="AJ732" s="483">
        <f t="shared" si="240"/>
        <v>-9.3316614749761797</v>
      </c>
      <c r="AK732" s="483">
        <f>LOG10(AI732*1000/(0.08206*298.15))</f>
        <v>-9.2647146853455666</v>
      </c>
      <c r="AL732" s="483">
        <f t="shared" si="241"/>
        <v>-9.2647146853455666</v>
      </c>
      <c r="AM732" s="483">
        <v>-11.331100000000001</v>
      </c>
      <c r="AN732" s="226">
        <v>-7.7</v>
      </c>
      <c r="AO732" s="484">
        <v>12.02</v>
      </c>
      <c r="AP732" s="484"/>
      <c r="AQ732" s="48" t="s">
        <v>6311</v>
      </c>
      <c r="AR732" s="48" t="s">
        <v>6311</v>
      </c>
      <c r="AS732" s="227"/>
      <c r="AT732" s="50" t="s">
        <v>266</v>
      </c>
      <c r="AU732" s="48">
        <v>6</v>
      </c>
      <c r="AV732" s="48">
        <v>120</v>
      </c>
      <c r="AW732" s="48">
        <v>114</v>
      </c>
      <c r="AX732" s="48">
        <v>28</v>
      </c>
      <c r="AY732" s="48" t="s">
        <v>8728</v>
      </c>
      <c r="AZ732" s="48" t="s">
        <v>1563</v>
      </c>
      <c r="BA732" s="48">
        <v>32</v>
      </c>
      <c r="BB732" s="47" t="s">
        <v>2485</v>
      </c>
      <c r="BC732" s="47" t="s">
        <v>8726</v>
      </c>
      <c r="BD732" s="47" t="s">
        <v>8374</v>
      </c>
      <c r="BE732" s="48" t="s">
        <v>2449</v>
      </c>
      <c r="BF732" s="48" t="s">
        <v>272</v>
      </c>
      <c r="BG732" s="48" t="s">
        <v>272</v>
      </c>
      <c r="BH732" s="48" t="s">
        <v>2486</v>
      </c>
      <c r="BI732" s="98">
        <v>6.3999999999999997E-6</v>
      </c>
      <c r="BJ732" s="98">
        <v>6.4000000000000001E-2</v>
      </c>
      <c r="BK732" s="48"/>
      <c r="BL732" s="98">
        <f t="shared" si="243"/>
        <v>193.0118618126975</v>
      </c>
      <c r="BM732" s="47" t="s">
        <v>2487</v>
      </c>
      <c r="BN732" s="48"/>
      <c r="BO732" s="48"/>
      <c r="BP732" s="48"/>
      <c r="BQ732" s="48"/>
      <c r="BR732" s="47" t="s">
        <v>2496</v>
      </c>
      <c r="BS732" s="48"/>
      <c r="BT732" s="48"/>
      <c r="BU732" s="228"/>
      <c r="BV732" s="48"/>
      <c r="BW732" s="48"/>
      <c r="BX732" s="48"/>
      <c r="BY732" s="48"/>
      <c r="BZ732" s="48"/>
      <c r="CA732" s="48"/>
      <c r="CB732" s="48"/>
      <c r="CC732" s="48"/>
      <c r="CD732" s="48"/>
      <c r="CE732" s="48"/>
      <c r="CF732" s="48"/>
      <c r="CG732" s="48"/>
      <c r="CH732" s="48"/>
      <c r="CI732" s="98"/>
      <c r="CJ732" s="98"/>
      <c r="CK732" s="49">
        <f t="shared" si="237"/>
        <v>3015.8103408233983</v>
      </c>
      <c r="CL732" s="229"/>
      <c r="CM732" s="229"/>
      <c r="CN732" s="229"/>
      <c r="CO732" s="47" t="s">
        <v>2488</v>
      </c>
      <c r="CP732" s="47" t="s">
        <v>2489</v>
      </c>
      <c r="CQ732" s="224">
        <v>-0.91176777186032498</v>
      </c>
      <c r="CR732" s="224">
        <f>10^(CJ732-CQ732)</f>
        <v>8.1614584102937719</v>
      </c>
      <c r="CS732" s="230" t="s">
        <v>539</v>
      </c>
      <c r="CT732" s="230"/>
      <c r="CU732" s="230"/>
      <c r="CV732" s="335">
        <f t="shared" si="242"/>
        <v>19532.226611330563</v>
      </c>
      <c r="CW732" s="230">
        <f t="shared" si="231"/>
        <v>1</v>
      </c>
      <c r="CX732" s="336"/>
      <c r="CY732" s="230" t="s">
        <v>6351</v>
      </c>
    </row>
    <row r="733" spans="1:103" ht="11.25" customHeight="1" x14ac:dyDescent="0.2">
      <c r="A733" s="72">
        <v>731</v>
      </c>
      <c r="B733" s="224">
        <v>652</v>
      </c>
      <c r="C733" s="46" t="s">
        <v>2053</v>
      </c>
      <c r="D733" s="46"/>
      <c r="E733" s="114"/>
      <c r="F733" s="114" t="s">
        <v>2054</v>
      </c>
      <c r="G733" s="225">
        <v>52686</v>
      </c>
      <c r="H733" s="47" t="s">
        <v>2055</v>
      </c>
      <c r="I733" s="47" t="s">
        <v>7976</v>
      </c>
      <c r="J733" s="47" t="s">
        <v>2056</v>
      </c>
      <c r="K733" s="47" t="s">
        <v>2057</v>
      </c>
      <c r="L733" s="47" t="s">
        <v>617</v>
      </c>
      <c r="M733" s="47" t="s">
        <v>946</v>
      </c>
      <c r="N733" s="47" t="s">
        <v>6376</v>
      </c>
      <c r="O733" s="47" t="s">
        <v>918</v>
      </c>
      <c r="P733" s="53"/>
      <c r="Q733" s="53"/>
      <c r="R733" s="53"/>
      <c r="S733" s="53"/>
      <c r="T733" s="48">
        <v>257.44</v>
      </c>
      <c r="U733" s="98">
        <v>466.12802983219393</v>
      </c>
      <c r="V733" s="98">
        <v>99.168738346799259</v>
      </c>
      <c r="W733" s="98">
        <v>398.10717055349721</v>
      </c>
      <c r="X733" s="98">
        <v>466.12802983219393</v>
      </c>
      <c r="Y733" s="233">
        <v>5.35</v>
      </c>
      <c r="Z733" s="48">
        <v>0.42</v>
      </c>
      <c r="AA733" s="48">
        <v>0.51</v>
      </c>
      <c r="AB733" s="48">
        <v>0.84</v>
      </c>
      <c r="AC733" s="48">
        <v>0.75449999999999995</v>
      </c>
      <c r="AD733" s="48">
        <v>0.73</v>
      </c>
      <c r="AE733" s="48">
        <v>0.48</v>
      </c>
      <c r="AF733" s="48">
        <f t="shared" si="239"/>
        <v>0.51</v>
      </c>
      <c r="AG733" s="49">
        <v>0.9</v>
      </c>
      <c r="AH733" s="98">
        <v>2.6499999999999998E-12</v>
      </c>
      <c r="AI733" s="98">
        <v>1.6999999999999999E-11</v>
      </c>
      <c r="AJ733" s="483">
        <f t="shared" si="240"/>
        <v>-9.9653204523758436</v>
      </c>
      <c r="AK733" s="483">
        <f>LOG10(AI733*1000/(0.08206*298.15))</f>
        <v>-9.1581174049343783</v>
      </c>
      <c r="AL733" s="483">
        <f t="shared" si="241"/>
        <v>-9.1581174049343783</v>
      </c>
      <c r="AM733" s="483">
        <v>-11.525370000000001</v>
      </c>
      <c r="AN733" s="226">
        <v>-8.69</v>
      </c>
      <c r="AO733" s="484">
        <v>10.3</v>
      </c>
      <c r="AP733" s="484"/>
      <c r="AQ733" s="226" t="s">
        <v>6312</v>
      </c>
      <c r="AR733" s="226" t="s">
        <v>6312</v>
      </c>
      <c r="AS733" s="224" t="s">
        <v>6</v>
      </c>
      <c r="AT733" s="50" t="s">
        <v>266</v>
      </c>
      <c r="AU733" s="48">
        <v>8</v>
      </c>
      <c r="AV733" s="48">
        <v>144</v>
      </c>
      <c r="AW733" s="48">
        <v>120</v>
      </c>
      <c r="AX733" s="48">
        <v>26</v>
      </c>
      <c r="AY733" s="48" t="s">
        <v>267</v>
      </c>
      <c r="AZ733" s="48" t="s">
        <v>2253</v>
      </c>
      <c r="BA733" s="48">
        <v>2</v>
      </c>
      <c r="BB733" s="47" t="s">
        <v>2254</v>
      </c>
      <c r="BC733" s="47" t="s">
        <v>270</v>
      </c>
      <c r="BD733" s="47" t="s">
        <v>8374</v>
      </c>
      <c r="BE733" s="48" t="s">
        <v>1712</v>
      </c>
      <c r="BF733" s="48" t="s">
        <v>272</v>
      </c>
      <c r="BG733" s="48" t="s">
        <v>272</v>
      </c>
      <c r="BH733" s="48" t="s">
        <v>2255</v>
      </c>
      <c r="BI733" s="98">
        <v>9.9999999999999995E-7</v>
      </c>
      <c r="BJ733" s="98">
        <v>0.08</v>
      </c>
      <c r="BK733" s="48"/>
      <c r="BL733" s="98">
        <f t="shared" si="243"/>
        <v>21.557480404291663</v>
      </c>
      <c r="BM733" s="48" t="s">
        <v>891</v>
      </c>
      <c r="BN733" s="233"/>
      <c r="BO733" s="233"/>
      <c r="BP733" s="233"/>
      <c r="BQ733" s="233"/>
      <c r="BR733" s="233"/>
      <c r="BS733" s="48"/>
      <c r="BT733" s="233"/>
      <c r="BU733" s="228"/>
      <c r="BV733" s="233"/>
      <c r="BW733" s="233"/>
      <c r="BX733" s="233"/>
      <c r="BY733" s="233"/>
      <c r="BZ733" s="233"/>
      <c r="CA733" s="233"/>
      <c r="CB733" s="233"/>
      <c r="CC733" s="48"/>
      <c r="CD733" s="48"/>
      <c r="CE733" s="48"/>
      <c r="CF733" s="48"/>
      <c r="CG733" s="233"/>
      <c r="CH733" s="48"/>
      <c r="CI733" s="98"/>
      <c r="CJ733" s="98"/>
      <c r="CK733" s="49">
        <f t="shared" si="237"/>
        <v>269.4685050536458</v>
      </c>
      <c r="CL733" s="229"/>
      <c r="CM733" s="229"/>
      <c r="CN733" s="229"/>
      <c r="CO733" s="47" t="s">
        <v>892</v>
      </c>
      <c r="CP733" s="47" t="s">
        <v>893</v>
      </c>
      <c r="CQ733" s="224">
        <v>-2.0730727817324177</v>
      </c>
      <c r="CR733" s="224">
        <f>10^(CJ733-CQ733)</f>
        <v>118.32398336974666</v>
      </c>
      <c r="CS733" s="230" t="s">
        <v>539</v>
      </c>
      <c r="CT733" s="230"/>
      <c r="CU733" s="230"/>
      <c r="CV733" s="335">
        <f t="shared" si="242"/>
        <v>5826.6003729024242</v>
      </c>
      <c r="CW733" s="230">
        <f t="shared" si="231"/>
        <v>1</v>
      </c>
      <c r="CX733" s="336" t="s">
        <v>539</v>
      </c>
      <c r="CY733" s="230" t="s">
        <v>5921</v>
      </c>
    </row>
    <row r="734" spans="1:103" ht="11.25" customHeight="1" x14ac:dyDescent="0.2">
      <c r="A734" s="72">
        <v>732</v>
      </c>
      <c r="B734" s="224">
        <v>1308</v>
      </c>
      <c r="C734" s="46" t="s">
        <v>2053</v>
      </c>
      <c r="D734" s="46"/>
      <c r="E734" s="114"/>
      <c r="F734" s="114" t="s">
        <v>2054</v>
      </c>
      <c r="G734" s="225">
        <v>52686</v>
      </c>
      <c r="H734" s="47" t="s">
        <v>2055</v>
      </c>
      <c r="I734" s="47" t="s">
        <v>7976</v>
      </c>
      <c r="J734" s="47" t="s">
        <v>2056</v>
      </c>
      <c r="K734" s="47" t="s">
        <v>2057</v>
      </c>
      <c r="L734" s="47" t="s">
        <v>617</v>
      </c>
      <c r="M734" s="47" t="s">
        <v>946</v>
      </c>
      <c r="N734" s="47" t="s">
        <v>6376</v>
      </c>
      <c r="O734" s="47" t="s">
        <v>918</v>
      </c>
      <c r="P734" s="53"/>
      <c r="Q734" s="53"/>
      <c r="R734" s="53"/>
      <c r="S734" s="53"/>
      <c r="T734" s="48">
        <v>257.44</v>
      </c>
      <c r="U734" s="98">
        <v>466.12802983219393</v>
      </c>
      <c r="V734" s="98">
        <v>99.168738346799259</v>
      </c>
      <c r="W734" s="98">
        <v>398.10717055349721</v>
      </c>
      <c r="X734" s="98">
        <v>466.12802983219393</v>
      </c>
      <c r="Y734" s="233">
        <v>5.35</v>
      </c>
      <c r="Z734" s="48">
        <v>0.42</v>
      </c>
      <c r="AA734" s="48">
        <v>0.51</v>
      </c>
      <c r="AB734" s="48">
        <v>0.84</v>
      </c>
      <c r="AC734" s="48">
        <v>0.75449999999999995</v>
      </c>
      <c r="AD734" s="48">
        <v>0.73</v>
      </c>
      <c r="AE734" s="48">
        <v>0.48</v>
      </c>
      <c r="AF734" s="48">
        <f t="shared" si="239"/>
        <v>0.51</v>
      </c>
      <c r="AG734" s="49">
        <v>0.9</v>
      </c>
      <c r="AH734" s="98">
        <v>2.6499999999999998E-12</v>
      </c>
      <c r="AI734" s="98">
        <v>1.6999999999999999E-11</v>
      </c>
      <c r="AJ734" s="483">
        <f t="shared" si="240"/>
        <v>-9.9653204523758436</v>
      </c>
      <c r="AK734" s="483">
        <f>LOG10(AI734*1000/(0.08206*298.15))</f>
        <v>-9.1581174049343783</v>
      </c>
      <c r="AL734" s="483">
        <f t="shared" si="241"/>
        <v>-9.1581174049343783</v>
      </c>
      <c r="AM734" s="483">
        <v>-11.525370000000001</v>
      </c>
      <c r="AN734" s="226">
        <v>-8.69</v>
      </c>
      <c r="AO734" s="484">
        <v>10.3</v>
      </c>
      <c r="AP734" s="484"/>
      <c r="AQ734" s="48" t="s">
        <v>6312</v>
      </c>
      <c r="AR734" s="48" t="s">
        <v>6312</v>
      </c>
      <c r="AS734" s="227"/>
      <c r="AT734" s="50" t="s">
        <v>266</v>
      </c>
      <c r="AU734" s="48">
        <v>6</v>
      </c>
      <c r="AV734" s="48">
        <v>120</v>
      </c>
      <c r="AW734" s="48">
        <v>114</v>
      </c>
      <c r="AX734" s="48">
        <v>28</v>
      </c>
      <c r="AY734" s="48" t="s">
        <v>8728</v>
      </c>
      <c r="AZ734" s="48" t="s">
        <v>1563</v>
      </c>
      <c r="BA734" s="48">
        <v>32</v>
      </c>
      <c r="BB734" s="47" t="s">
        <v>2485</v>
      </c>
      <c r="BC734" s="47" t="s">
        <v>8726</v>
      </c>
      <c r="BD734" s="47" t="s">
        <v>8374</v>
      </c>
      <c r="BE734" s="48" t="s">
        <v>2449</v>
      </c>
      <c r="BF734" s="48" t="s">
        <v>272</v>
      </c>
      <c r="BG734" s="48" t="s">
        <v>272</v>
      </c>
      <c r="BH734" s="48" t="s">
        <v>2486</v>
      </c>
      <c r="BI734" s="98">
        <v>6.3999999999999997E-6</v>
      </c>
      <c r="BJ734" s="98">
        <v>6.4000000000000001E-2</v>
      </c>
      <c r="BK734" s="48"/>
      <c r="BL734" s="98">
        <f t="shared" si="243"/>
        <v>21.557480404291663</v>
      </c>
      <c r="BM734" s="47" t="s">
        <v>2487</v>
      </c>
      <c r="BN734" s="48"/>
      <c r="BO734" s="48"/>
      <c r="BP734" s="48"/>
      <c r="BQ734" s="48"/>
      <c r="BR734" s="47" t="s">
        <v>2496</v>
      </c>
      <c r="BS734" s="48"/>
      <c r="BT734" s="48"/>
      <c r="BU734" s="228">
        <v>6.3999999999999997E-5</v>
      </c>
      <c r="BV734" s="48"/>
      <c r="BW734" s="48"/>
      <c r="BX734" s="48"/>
      <c r="BY734" s="48"/>
      <c r="BZ734" s="48"/>
      <c r="CA734" s="48"/>
      <c r="CB734" s="48"/>
      <c r="CC734" s="48"/>
      <c r="CD734" s="48"/>
      <c r="CE734" s="48"/>
      <c r="CF734" s="48"/>
      <c r="CG734" s="48"/>
      <c r="CH734" s="48"/>
      <c r="CI734" s="98"/>
      <c r="CJ734" s="98"/>
      <c r="CK734" s="49">
        <f t="shared" si="237"/>
        <v>336.83563131705722</v>
      </c>
      <c r="CL734" s="229"/>
      <c r="CM734" s="229"/>
      <c r="CN734" s="229"/>
      <c r="CO734" s="47" t="s">
        <v>2488</v>
      </c>
      <c r="CP734" s="47" t="s">
        <v>2489</v>
      </c>
      <c r="CQ734" s="224">
        <v>-2.0730727817324177</v>
      </c>
      <c r="CR734" s="224">
        <f>10^(CJ734-CQ734)</f>
        <v>118.32398336974666</v>
      </c>
      <c r="CS734" s="230" t="s">
        <v>539</v>
      </c>
      <c r="CT734" s="230"/>
      <c r="CU734" s="230"/>
      <c r="CV734" s="335">
        <f t="shared" si="242"/>
        <v>7283.25046612803</v>
      </c>
      <c r="CW734" s="230">
        <f t="shared" si="231"/>
        <v>1</v>
      </c>
      <c r="CX734" s="336"/>
      <c r="CY734" s="230" t="s">
        <v>5921</v>
      </c>
    </row>
    <row r="735" spans="1:103" ht="11.25" customHeight="1" x14ac:dyDescent="0.2">
      <c r="A735" s="72">
        <v>733</v>
      </c>
      <c r="B735" s="224">
        <v>1686</v>
      </c>
      <c r="C735" s="46" t="s">
        <v>6958</v>
      </c>
      <c r="D735" s="46"/>
      <c r="E735" s="114"/>
      <c r="F735" s="114" t="s">
        <v>4914</v>
      </c>
      <c r="G735" s="225">
        <v>52868</v>
      </c>
      <c r="H735" s="47" t="s">
        <v>4915</v>
      </c>
      <c r="I735" s="47" t="s">
        <v>7977</v>
      </c>
      <c r="J735" s="47" t="s">
        <v>4916</v>
      </c>
      <c r="K735" s="47" t="s">
        <v>4917</v>
      </c>
      <c r="L735" s="47" t="s">
        <v>279</v>
      </c>
      <c r="M735" s="47" t="s">
        <v>4918</v>
      </c>
      <c r="N735" s="47" t="s">
        <v>6376</v>
      </c>
      <c r="O735" s="47" t="s">
        <v>281</v>
      </c>
      <c r="P735" s="53"/>
      <c r="Q735" s="53"/>
      <c r="R735" s="53"/>
      <c r="S735" s="53"/>
      <c r="T735" s="48">
        <v>375.86</v>
      </c>
      <c r="U735" s="98">
        <v>3.7247911456393334E-2</v>
      </c>
      <c r="V735" s="98">
        <v>2.4857659766934496E-2</v>
      </c>
      <c r="W735" s="98">
        <v>0.13182567385564067</v>
      </c>
      <c r="X735" s="98">
        <v>3.7247911456393334E-2</v>
      </c>
      <c r="Y735" s="233">
        <v>9.11</v>
      </c>
      <c r="Z735" s="48">
        <v>4.2</v>
      </c>
      <c r="AA735" s="48">
        <v>4.3</v>
      </c>
      <c r="AB735" s="48">
        <v>3.61</v>
      </c>
      <c r="AC735" s="48">
        <v>0.87649999999999995</v>
      </c>
      <c r="AD735" s="48">
        <v>3.48</v>
      </c>
      <c r="AE735" s="48">
        <v>3.01</v>
      </c>
      <c r="AF735" s="48">
        <f t="shared" si="239"/>
        <v>4.3</v>
      </c>
      <c r="AG735" s="49">
        <v>4.17</v>
      </c>
      <c r="AH735" s="98">
        <v>2.26E-14</v>
      </c>
      <c r="AI735" s="98"/>
      <c r="AJ735" s="483">
        <f t="shared" si="240"/>
        <v>-12.034457887165251</v>
      </c>
      <c r="AK735" s="483"/>
      <c r="AL735" s="483">
        <f t="shared" si="241"/>
        <v>-12.034457887165251</v>
      </c>
      <c r="AM735" s="483">
        <v>-17.044370000000001</v>
      </c>
      <c r="AN735" s="226">
        <v>-12.9</v>
      </c>
      <c r="AO735" s="484">
        <v>13.86</v>
      </c>
      <c r="AP735" s="484">
        <v>8.0399999999999991</v>
      </c>
      <c r="AQ735" s="226" t="s">
        <v>6311</v>
      </c>
      <c r="AR735" s="226" t="s">
        <v>6311</v>
      </c>
      <c r="AS735" s="224"/>
      <c r="AT735" s="50" t="s">
        <v>266</v>
      </c>
      <c r="AU735" s="48">
        <v>6</v>
      </c>
      <c r="AV735" s="48">
        <v>120</v>
      </c>
      <c r="AW735" s="48">
        <v>114</v>
      </c>
      <c r="AX735" s="48">
        <v>28</v>
      </c>
      <c r="AY735" s="48" t="s">
        <v>8728</v>
      </c>
      <c r="AZ735" s="48" t="s">
        <v>1563</v>
      </c>
      <c r="BA735" s="48">
        <v>32</v>
      </c>
      <c r="BB735" s="47" t="s">
        <v>2485</v>
      </c>
      <c r="BC735" s="47" t="s">
        <v>8726</v>
      </c>
      <c r="BD735" s="47" t="s">
        <v>8374</v>
      </c>
      <c r="BE735" s="48" t="s">
        <v>2449</v>
      </c>
      <c r="BF735" s="48" t="s">
        <v>272</v>
      </c>
      <c r="BG735" s="48" t="s">
        <v>272</v>
      </c>
      <c r="BH735" s="48" t="s">
        <v>2486</v>
      </c>
      <c r="BI735" s="98">
        <v>6.3999999999999997E-6</v>
      </c>
      <c r="BJ735" s="98">
        <v>6.4000000000000001E-2</v>
      </c>
      <c r="BK735" s="48"/>
      <c r="BL735" s="98">
        <f t="shared" si="243"/>
        <v>8.6852035258746345E-3</v>
      </c>
      <c r="BM735" s="47" t="s">
        <v>2487</v>
      </c>
      <c r="BN735" s="48"/>
      <c r="BO735" s="48"/>
      <c r="BP735" s="48"/>
      <c r="BQ735" s="48"/>
      <c r="BR735" s="47" t="s">
        <v>2496</v>
      </c>
      <c r="BS735" s="48"/>
      <c r="BT735" s="48"/>
      <c r="BU735" s="228"/>
      <c r="BV735" s="48"/>
      <c r="BW735" s="48"/>
      <c r="BX735" s="48"/>
      <c r="BY735" s="48"/>
      <c r="BZ735" s="48"/>
      <c r="CA735" s="48"/>
      <c r="CB735" s="48"/>
      <c r="CC735" s="48"/>
      <c r="CD735" s="48"/>
      <c r="CE735" s="48"/>
      <c r="CF735" s="48"/>
      <c r="CG735" s="48"/>
      <c r="CH735" s="48"/>
      <c r="CI735" s="98"/>
      <c r="CJ735" s="98"/>
      <c r="CK735" s="49">
        <f t="shared" si="237"/>
        <v>0.13570630509179116</v>
      </c>
      <c r="CL735" s="229"/>
      <c r="CM735" s="229"/>
      <c r="CN735" s="229"/>
      <c r="CO735" s="47" t="s">
        <v>2488</v>
      </c>
      <c r="CP735" s="47" t="s">
        <v>2489</v>
      </c>
      <c r="CQ735" s="224" t="s">
        <v>272</v>
      </c>
      <c r="CR735" s="224"/>
      <c r="CS735" s="230" t="s">
        <v>539</v>
      </c>
      <c r="CT735" s="230"/>
      <c r="CU735" s="230"/>
      <c r="CV735" s="335">
        <f t="shared" si="242"/>
        <v>0.58199861650614582</v>
      </c>
      <c r="CW735" s="230">
        <f t="shared" si="231"/>
        <v>0</v>
      </c>
      <c r="CX735" s="336"/>
      <c r="CY735" s="230" t="s">
        <v>5921</v>
      </c>
    </row>
    <row r="736" spans="1:103" ht="11.25" customHeight="1" x14ac:dyDescent="0.2">
      <c r="A736" s="72">
        <v>734</v>
      </c>
      <c r="B736" s="224">
        <v>1251</v>
      </c>
      <c r="C736" s="46" t="s">
        <v>6959</v>
      </c>
      <c r="D736" s="46"/>
      <c r="E736" s="114"/>
      <c r="F736" s="114" t="s">
        <v>3441</v>
      </c>
      <c r="G736" s="225">
        <v>53032</v>
      </c>
      <c r="H736" s="232" t="s">
        <v>3442</v>
      </c>
      <c r="I736" s="232" t="s">
        <v>7978</v>
      </c>
      <c r="J736" s="47" t="s">
        <v>3443</v>
      </c>
      <c r="K736" s="47" t="s">
        <v>3444</v>
      </c>
      <c r="L736" s="51" t="s">
        <v>279</v>
      </c>
      <c r="M736" s="47" t="s">
        <v>3445</v>
      </c>
      <c r="N736" s="47" t="s">
        <v>6386</v>
      </c>
      <c r="O736" s="47" t="s">
        <v>281</v>
      </c>
      <c r="P736" s="53"/>
      <c r="Q736" s="53"/>
      <c r="R736" s="53"/>
      <c r="S736" s="53"/>
      <c r="T736" s="48">
        <v>358.43</v>
      </c>
      <c r="U736" s="98"/>
      <c r="V736" s="98">
        <v>0.87046285188181793</v>
      </c>
      <c r="W736" s="98">
        <v>0.27542287033381624</v>
      </c>
      <c r="X736" s="98">
        <f>IF(W736=0,V736,W736)</f>
        <v>0.27542287033381624</v>
      </c>
      <c r="Y736" s="233">
        <v>7</v>
      </c>
      <c r="Z736" s="48">
        <v>1.59</v>
      </c>
      <c r="AA736" s="48">
        <v>1.46</v>
      </c>
      <c r="AB736" s="48">
        <v>1.67</v>
      </c>
      <c r="AC736" s="48">
        <v>0.78979999999999995</v>
      </c>
      <c r="AD736" s="48">
        <v>1.64</v>
      </c>
      <c r="AE736" s="48">
        <v>1.57</v>
      </c>
      <c r="AF736" s="48">
        <f t="shared" si="239"/>
        <v>1.46</v>
      </c>
      <c r="AG736" s="49">
        <v>1.1599999999999999</v>
      </c>
      <c r="AH736" s="98">
        <v>2.8300000000000001E-10</v>
      </c>
      <c r="AI736" s="98"/>
      <c r="AJ736" s="483">
        <f t="shared" si="240"/>
        <v>-7.9367798907883618</v>
      </c>
      <c r="AK736" s="483"/>
      <c r="AL736" s="483">
        <f t="shared" si="241"/>
        <v>-7.9367798907883618</v>
      </c>
      <c r="AM736" s="483">
        <v>-23.3504</v>
      </c>
      <c r="AN736" s="226">
        <v>-17.899999999999999</v>
      </c>
      <c r="AO736" s="484">
        <v>12.36</v>
      </c>
      <c r="AP736" s="484"/>
      <c r="AQ736" s="48" t="s">
        <v>6311</v>
      </c>
      <c r="AR736" s="48" t="s">
        <v>6311</v>
      </c>
      <c r="AS736" s="227"/>
      <c r="AT736" s="50" t="s">
        <v>266</v>
      </c>
      <c r="AU736" s="48">
        <v>6</v>
      </c>
      <c r="AV736" s="48">
        <v>120</v>
      </c>
      <c r="AW736" s="48">
        <v>114</v>
      </c>
      <c r="AX736" s="48">
        <v>28</v>
      </c>
      <c r="AY736" s="48" t="s">
        <v>8728</v>
      </c>
      <c r="AZ736" s="48" t="s">
        <v>1563</v>
      </c>
      <c r="BA736" s="48">
        <v>32</v>
      </c>
      <c r="BB736" s="47" t="s">
        <v>2485</v>
      </c>
      <c r="BC736" s="47" t="s">
        <v>8726</v>
      </c>
      <c r="BD736" s="47" t="s">
        <v>8374</v>
      </c>
      <c r="BE736" s="48" t="s">
        <v>2449</v>
      </c>
      <c r="BF736" s="48" t="s">
        <v>272</v>
      </c>
      <c r="BG736" s="48" t="s">
        <v>272</v>
      </c>
      <c r="BH736" s="48" t="s">
        <v>2486</v>
      </c>
      <c r="BI736" s="98">
        <v>6.3999999999999997E-6</v>
      </c>
      <c r="BJ736" s="98">
        <v>6.4000000000000001E-2</v>
      </c>
      <c r="BK736" s="48"/>
      <c r="BL736" s="98">
        <f t="shared" si="243"/>
        <v>1.9178780998685401</v>
      </c>
      <c r="BM736" s="47" t="s">
        <v>2487</v>
      </c>
      <c r="BN736" s="48"/>
      <c r="BO736" s="48"/>
      <c r="BP736" s="48"/>
      <c r="BQ736" s="48"/>
      <c r="BR736" s="47" t="s">
        <v>2496</v>
      </c>
      <c r="BS736" s="48"/>
      <c r="BT736" s="48"/>
      <c r="BU736" s="228">
        <v>6.3999999999999997E-6</v>
      </c>
      <c r="BV736" s="48"/>
      <c r="BW736" s="48"/>
      <c r="BX736" s="48"/>
      <c r="BY736" s="48"/>
      <c r="BZ736" s="48"/>
      <c r="CA736" s="48"/>
      <c r="CB736" s="48"/>
      <c r="CC736" s="48"/>
      <c r="CD736" s="48"/>
      <c r="CE736" s="48"/>
      <c r="CF736" s="48"/>
      <c r="CG736" s="48"/>
      <c r="CH736" s="48"/>
      <c r="CI736" s="98"/>
      <c r="CJ736" s="98"/>
      <c r="CK736" s="49">
        <f t="shared" si="237"/>
        <v>29.966845310445937</v>
      </c>
      <c r="CL736" s="229"/>
      <c r="CM736" s="229"/>
      <c r="CN736" s="229"/>
      <c r="CO736" s="47" t="s">
        <v>2488</v>
      </c>
      <c r="CP736" s="47" t="s">
        <v>2489</v>
      </c>
      <c r="CQ736" s="224" t="s">
        <v>272</v>
      </c>
      <c r="CR736" s="224"/>
      <c r="CS736" s="230" t="s">
        <v>539</v>
      </c>
      <c r="CT736" s="230"/>
      <c r="CU736" s="230"/>
      <c r="CV736" s="335">
        <f t="shared" si="242"/>
        <v>4.3034823489658782</v>
      </c>
      <c r="CW736" s="230">
        <f t="shared" si="231"/>
        <v>1</v>
      </c>
      <c r="CX736" s="336"/>
      <c r="CY736" s="230" t="s">
        <v>5921</v>
      </c>
    </row>
    <row r="737" spans="1:103" ht="11.25" customHeight="1" x14ac:dyDescent="0.2">
      <c r="A737" s="72">
        <v>735</v>
      </c>
      <c r="B737" s="224">
        <v>1122</v>
      </c>
      <c r="C737" s="46" t="s">
        <v>6960</v>
      </c>
      <c r="D737" s="46"/>
      <c r="E737" s="114"/>
      <c r="F737" s="114" t="s">
        <v>3132</v>
      </c>
      <c r="G737" s="225">
        <v>53167</v>
      </c>
      <c r="H737" s="232" t="s">
        <v>3133</v>
      </c>
      <c r="I737" s="232" t="s">
        <v>3133</v>
      </c>
      <c r="J737" s="232" t="s">
        <v>3134</v>
      </c>
      <c r="K737" s="47" t="s">
        <v>349</v>
      </c>
      <c r="L737" s="47" t="s">
        <v>279</v>
      </c>
      <c r="M737" s="47" t="s">
        <v>3135</v>
      </c>
      <c r="N737" s="47" t="s">
        <v>6386</v>
      </c>
      <c r="O737" s="47" t="s">
        <v>281</v>
      </c>
      <c r="P737" s="53"/>
      <c r="Q737" s="53"/>
      <c r="R737" s="53"/>
      <c r="S737" s="53"/>
      <c r="T737" s="48">
        <v>270.37</v>
      </c>
      <c r="U737" s="98">
        <v>0.11095905610829604</v>
      </c>
      <c r="V737" s="98">
        <v>0.54295964788992868</v>
      </c>
      <c r="W737" s="98">
        <v>1.9054607179632452E-2</v>
      </c>
      <c r="X737" s="98">
        <v>0.11095905610829604</v>
      </c>
      <c r="Y737" s="233">
        <v>6.98</v>
      </c>
      <c r="Z737" s="48">
        <v>3.43</v>
      </c>
      <c r="AA737" s="48">
        <v>3.13</v>
      </c>
      <c r="AB737" s="48">
        <v>3.23</v>
      </c>
      <c r="AC737" s="48">
        <v>0.78990000000000005</v>
      </c>
      <c r="AD737" s="48">
        <v>3.38</v>
      </c>
      <c r="AE737" s="48">
        <v>3.69</v>
      </c>
      <c r="AF737" s="48">
        <f t="shared" si="239"/>
        <v>3.13</v>
      </c>
      <c r="AG737" s="49">
        <v>3.63</v>
      </c>
      <c r="AH737" s="98">
        <v>3.7999999999999998E-10</v>
      </c>
      <c r="AI737" s="98"/>
      <c r="AJ737" s="483">
        <f t="shared" si="240"/>
        <v>-7.8087827296958414</v>
      </c>
      <c r="AK737" s="483"/>
      <c r="AL737" s="483">
        <f t="shared" si="241"/>
        <v>-7.8087827296958414</v>
      </c>
      <c r="AM737" s="483">
        <v>-16.089739999999999</v>
      </c>
      <c r="AN737" s="226">
        <v>-9.34</v>
      </c>
      <c r="AO737" s="484">
        <v>10.25</v>
      </c>
      <c r="AP737" s="484"/>
      <c r="AQ737" s="48" t="s">
        <v>6311</v>
      </c>
      <c r="AR737" s="48" t="s">
        <v>6311</v>
      </c>
      <c r="AS737" s="227"/>
      <c r="AT737" s="50" t="s">
        <v>266</v>
      </c>
      <c r="AU737" s="48">
        <v>6</v>
      </c>
      <c r="AV737" s="48">
        <v>120</v>
      </c>
      <c r="AW737" s="48">
        <v>114</v>
      </c>
      <c r="AX737" s="48">
        <v>28</v>
      </c>
      <c r="AY737" s="48" t="s">
        <v>8728</v>
      </c>
      <c r="AZ737" s="48" t="s">
        <v>1563</v>
      </c>
      <c r="BA737" s="48">
        <v>32</v>
      </c>
      <c r="BB737" s="47" t="s">
        <v>2485</v>
      </c>
      <c r="BC737" s="47" t="s">
        <v>8726</v>
      </c>
      <c r="BD737" s="47" t="s">
        <v>8374</v>
      </c>
      <c r="BE737" s="48" t="s">
        <v>2449</v>
      </c>
      <c r="BF737" s="48" t="s">
        <v>272</v>
      </c>
      <c r="BG737" s="48" t="s">
        <v>272</v>
      </c>
      <c r="BH737" s="48" t="s">
        <v>2486</v>
      </c>
      <c r="BI737" s="98">
        <v>6.3999999999999997E-6</v>
      </c>
      <c r="BJ737" s="98">
        <v>6.4000000000000001E-2</v>
      </c>
      <c r="BK737" s="48"/>
      <c r="BL737" s="98">
        <f t="shared" si="243"/>
        <v>4.2689100116447165E-2</v>
      </c>
      <c r="BM737" s="47" t="s">
        <v>2487</v>
      </c>
      <c r="BN737" s="48"/>
      <c r="BO737" s="48"/>
      <c r="BP737" s="48"/>
      <c r="BQ737" s="48"/>
      <c r="BR737" s="47" t="s">
        <v>2496</v>
      </c>
      <c r="BS737" s="48"/>
      <c r="BT737" s="48"/>
      <c r="BU737" s="228">
        <v>6.4000000000000005E-4</v>
      </c>
      <c r="BV737" s="48"/>
      <c r="BW737" s="48"/>
      <c r="BX737" s="48"/>
      <c r="BY737" s="48"/>
      <c r="BZ737" s="48"/>
      <c r="CA737" s="48"/>
      <c r="CB737" s="48"/>
      <c r="CC737" s="48"/>
      <c r="CD737" s="48"/>
      <c r="CE737" s="48"/>
      <c r="CF737" s="48"/>
      <c r="CG737" s="48"/>
      <c r="CH737" s="48"/>
      <c r="CI737" s="98"/>
      <c r="CJ737" s="98"/>
      <c r="CK737" s="49">
        <f t="shared" si="237"/>
        <v>0.66701718931948695</v>
      </c>
      <c r="CL737" s="229"/>
      <c r="CM737" s="229"/>
      <c r="CN737" s="229"/>
      <c r="CO737" s="47" t="s">
        <v>2488</v>
      </c>
      <c r="CP737" s="47" t="s">
        <v>2489</v>
      </c>
      <c r="CQ737" s="224" t="s">
        <v>272</v>
      </c>
      <c r="CR737" s="224"/>
      <c r="CS737" s="230" t="s">
        <v>539</v>
      </c>
      <c r="CT737" s="230"/>
      <c r="CU737" s="230"/>
      <c r="CV737" s="335">
        <f t="shared" si="242"/>
        <v>1.7337352516921256</v>
      </c>
      <c r="CW737" s="230">
        <f t="shared" si="231"/>
        <v>1</v>
      </c>
      <c r="CX737" s="336"/>
      <c r="CY737" s="230" t="s">
        <v>6351</v>
      </c>
    </row>
    <row r="738" spans="1:103" ht="11.25" customHeight="1" x14ac:dyDescent="0.2">
      <c r="A738" s="72">
        <v>736</v>
      </c>
      <c r="B738" s="224">
        <v>1706</v>
      </c>
      <c r="C738" s="46" t="s">
        <v>6961</v>
      </c>
      <c r="D738" s="46"/>
      <c r="E738" s="114"/>
      <c r="F738" s="114" t="s">
        <v>4963</v>
      </c>
      <c r="G738" s="225">
        <v>53861</v>
      </c>
      <c r="H738" s="47" t="s">
        <v>4964</v>
      </c>
      <c r="I738" s="47" t="s">
        <v>7979</v>
      </c>
      <c r="J738" s="47" t="s">
        <v>4965</v>
      </c>
      <c r="K738" s="47" t="s">
        <v>1594</v>
      </c>
      <c r="L738" s="47" t="s">
        <v>279</v>
      </c>
      <c r="M738" s="47" t="s">
        <v>4966</v>
      </c>
      <c r="N738" s="47" t="s">
        <v>6384</v>
      </c>
      <c r="O738" s="47" t="s">
        <v>281</v>
      </c>
      <c r="P738" s="53"/>
      <c r="Q738" s="53"/>
      <c r="R738" s="53"/>
      <c r="S738" s="53"/>
      <c r="T738" s="48">
        <v>357.79</v>
      </c>
      <c r="U738" s="98">
        <v>2.6188546354006539E-3</v>
      </c>
      <c r="V738" s="98">
        <v>8.7034293859526522E-3</v>
      </c>
      <c r="W738" s="98">
        <v>0.1737800828749376</v>
      </c>
      <c r="X738" s="98">
        <v>2.6188546354006539E-3</v>
      </c>
      <c r="Y738" s="233">
        <v>4.04</v>
      </c>
      <c r="Z738" s="48">
        <v>4.2300000000000004</v>
      </c>
      <c r="AA738" s="48">
        <v>4.2699999999999996</v>
      </c>
      <c r="AB738" s="48">
        <v>4.4800000000000004</v>
      </c>
      <c r="AC738" s="48">
        <v>0.74509999999999998</v>
      </c>
      <c r="AD738" s="48">
        <v>4.0199999999999996</v>
      </c>
      <c r="AE738" s="48">
        <v>3.1</v>
      </c>
      <c r="AF738" s="48">
        <f t="shared" si="239"/>
        <v>4.2699999999999996</v>
      </c>
      <c r="AG738" s="49">
        <v>4.1900000000000004</v>
      </c>
      <c r="AH738" s="98">
        <v>3.1300000000000003E-14</v>
      </c>
      <c r="AI738" s="98"/>
      <c r="AJ738" s="483">
        <f t="shared" si="240"/>
        <v>-11.893021988766204</v>
      </c>
      <c r="AK738" s="483"/>
      <c r="AL738" s="483">
        <f t="shared" si="241"/>
        <v>-11.893021988766204</v>
      </c>
      <c r="AM738" s="483">
        <v>-18.59442</v>
      </c>
      <c r="AN738" s="226">
        <v>-13.3</v>
      </c>
      <c r="AO738" s="484">
        <v>3.96</v>
      </c>
      <c r="AP738" s="484"/>
      <c r="AQ738" s="226" t="s">
        <v>6311</v>
      </c>
      <c r="AR738" s="226" t="s">
        <v>6311</v>
      </c>
      <c r="AS738" s="224"/>
      <c r="AT738" s="50" t="s">
        <v>266</v>
      </c>
      <c r="AU738" s="48">
        <v>6</v>
      </c>
      <c r="AV738" s="48">
        <v>120</v>
      </c>
      <c r="AW738" s="48">
        <v>114</v>
      </c>
      <c r="AX738" s="48">
        <v>28</v>
      </c>
      <c r="AY738" s="48" t="s">
        <v>8728</v>
      </c>
      <c r="AZ738" s="48" t="s">
        <v>1563</v>
      </c>
      <c r="BA738" s="48">
        <v>32</v>
      </c>
      <c r="BB738" s="47" t="s">
        <v>2485</v>
      </c>
      <c r="BC738" s="47" t="s">
        <v>8726</v>
      </c>
      <c r="BD738" s="47" t="s">
        <v>8374</v>
      </c>
      <c r="BE738" s="48" t="s">
        <v>2449</v>
      </c>
      <c r="BF738" s="48" t="s">
        <v>272</v>
      </c>
      <c r="BG738" s="48" t="s">
        <v>272</v>
      </c>
      <c r="BH738" s="48" t="s">
        <v>2486</v>
      </c>
      <c r="BI738" s="98">
        <v>6.3999999999999997E-6</v>
      </c>
      <c r="BJ738" s="98">
        <v>6.4000000000000001E-2</v>
      </c>
      <c r="BK738" s="48"/>
      <c r="BL738" s="98">
        <f t="shared" si="243"/>
        <v>8.1627594805133066E-3</v>
      </c>
      <c r="BM738" s="47" t="s">
        <v>2487</v>
      </c>
      <c r="BN738" s="48"/>
      <c r="BO738" s="48"/>
      <c r="BP738" s="48"/>
      <c r="BQ738" s="48"/>
      <c r="BR738" s="47" t="s">
        <v>2496</v>
      </c>
      <c r="BS738" s="48"/>
      <c r="BT738" s="48"/>
      <c r="BU738" s="228"/>
      <c r="BV738" s="48"/>
      <c r="BW738" s="48"/>
      <c r="BX738" s="48"/>
      <c r="BY738" s="48"/>
      <c r="BZ738" s="48"/>
      <c r="CA738" s="48"/>
      <c r="CB738" s="48"/>
      <c r="CC738" s="48"/>
      <c r="CD738" s="48"/>
      <c r="CE738" s="48"/>
      <c r="CF738" s="48"/>
      <c r="CG738" s="48"/>
      <c r="CH738" s="48"/>
      <c r="CI738" s="98"/>
      <c r="CJ738" s="98"/>
      <c r="CK738" s="49">
        <f t="shared" si="237"/>
        <v>0.12754311688302042</v>
      </c>
      <c r="CL738" s="229"/>
      <c r="CM738" s="229"/>
      <c r="CN738" s="229"/>
      <c r="CO738" s="47" t="s">
        <v>2488</v>
      </c>
      <c r="CP738" s="47" t="s">
        <v>2489</v>
      </c>
      <c r="CQ738" s="224" t="s">
        <v>272</v>
      </c>
      <c r="CR738" s="224"/>
      <c r="CS738" s="230" t="s">
        <v>539</v>
      </c>
      <c r="CT738" s="230"/>
      <c r="CU738" s="230"/>
      <c r="CV738" s="335">
        <f t="shared" si="242"/>
        <v>4.0919603678135213E-2</v>
      </c>
      <c r="CW738" s="230">
        <f t="shared" si="231"/>
        <v>0</v>
      </c>
      <c r="CX738" s="336"/>
      <c r="CY738" s="230" t="s">
        <v>6351</v>
      </c>
    </row>
    <row r="739" spans="1:103" ht="11.25" customHeight="1" x14ac:dyDescent="0.2">
      <c r="A739" s="72">
        <v>737</v>
      </c>
      <c r="B739" s="224">
        <v>1775</v>
      </c>
      <c r="C739" s="46" t="s">
        <v>312</v>
      </c>
      <c r="D739" s="46"/>
      <c r="E739" s="114"/>
      <c r="F739" s="114" t="s">
        <v>5110</v>
      </c>
      <c r="G739" s="225">
        <v>54115</v>
      </c>
      <c r="H739" s="47" t="s">
        <v>313</v>
      </c>
      <c r="I739" s="47" t="s">
        <v>313</v>
      </c>
      <c r="J739" s="47" t="s">
        <v>314</v>
      </c>
      <c r="K739" s="47" t="s">
        <v>315</v>
      </c>
      <c r="L739" s="47" t="s">
        <v>617</v>
      </c>
      <c r="M739" s="47" t="s">
        <v>2433</v>
      </c>
      <c r="N739" s="47" t="s">
        <v>6376</v>
      </c>
      <c r="O739" s="47" t="s">
        <v>918</v>
      </c>
      <c r="P739" s="53"/>
      <c r="Q739" s="53" t="s">
        <v>6173</v>
      </c>
      <c r="R739" s="53" t="s">
        <v>6185</v>
      </c>
      <c r="S739" s="53" t="s">
        <v>6176</v>
      </c>
      <c r="T739" s="48">
        <v>162.22999999999999</v>
      </c>
      <c r="U739" s="98">
        <v>6164.0880231769715</v>
      </c>
      <c r="V739" s="98">
        <v>6164.0880231769715</v>
      </c>
      <c r="W739" s="98">
        <v>275.4228703338166</v>
      </c>
      <c r="X739" s="98">
        <v>6164.0880231769715</v>
      </c>
      <c r="Y739" s="233">
        <v>11</v>
      </c>
      <c r="Z739" s="48">
        <v>1</v>
      </c>
      <c r="AA739" s="48">
        <v>1.17</v>
      </c>
      <c r="AB739" s="48">
        <v>0.86</v>
      </c>
      <c r="AC739" s="48">
        <v>0.84609999999999996</v>
      </c>
      <c r="AD739" s="48">
        <v>0.82</v>
      </c>
      <c r="AE739" s="48">
        <v>0.72</v>
      </c>
      <c r="AF739" s="48">
        <f t="shared" si="239"/>
        <v>1.17</v>
      </c>
      <c r="AG739" s="49">
        <v>1.37</v>
      </c>
      <c r="AH739" s="98">
        <v>3E-9</v>
      </c>
      <c r="AI739" s="98"/>
      <c r="AJ739" s="483">
        <f t="shared" si="240"/>
        <v>-6.9114450715929898</v>
      </c>
      <c r="AK739" s="483"/>
      <c r="AL739" s="483">
        <f t="shared" si="241"/>
        <v>-6.9114450715929898</v>
      </c>
      <c r="AM739" s="483">
        <v>-8.0645500000000006</v>
      </c>
      <c r="AN739" s="226">
        <v>-6.79</v>
      </c>
      <c r="AO739" s="484"/>
      <c r="AP739" s="484">
        <v>8</v>
      </c>
      <c r="AQ739" s="226" t="s">
        <v>6311</v>
      </c>
      <c r="AR739" s="226" t="s">
        <v>6311</v>
      </c>
      <c r="AS739" s="224"/>
      <c r="AT739" s="50" t="s">
        <v>266</v>
      </c>
      <c r="AU739" s="48">
        <v>6</v>
      </c>
      <c r="AV739" s="48">
        <v>120</v>
      </c>
      <c r="AW739" s="48">
        <v>114</v>
      </c>
      <c r="AX739" s="48">
        <v>28</v>
      </c>
      <c r="AY739" s="48" t="s">
        <v>8728</v>
      </c>
      <c r="AZ739" s="48" t="s">
        <v>1563</v>
      </c>
      <c r="BA739" s="48">
        <v>32</v>
      </c>
      <c r="BB739" s="47" t="s">
        <v>2485</v>
      </c>
      <c r="BC739" s="47" t="s">
        <v>8726</v>
      </c>
      <c r="BD739" s="47" t="s">
        <v>8374</v>
      </c>
      <c r="BE739" s="48" t="s">
        <v>2449</v>
      </c>
      <c r="BF739" s="48" t="s">
        <v>272</v>
      </c>
      <c r="BG739" s="48" t="s">
        <v>272</v>
      </c>
      <c r="BH739" s="48" t="s">
        <v>2486</v>
      </c>
      <c r="BI739" s="98">
        <v>6.3999999999999997E-6</v>
      </c>
      <c r="BJ739" s="98">
        <v>6.4000000000000001E-2</v>
      </c>
      <c r="BK739" s="48"/>
      <c r="BL739" s="98">
        <f t="shared" si="243"/>
        <v>6.4968075173879427</v>
      </c>
      <c r="BM739" s="47" t="s">
        <v>2487</v>
      </c>
      <c r="BN739" s="48"/>
      <c r="BO739" s="48"/>
      <c r="BP739" s="48"/>
      <c r="BQ739" s="48"/>
      <c r="BR739" s="47" t="s">
        <v>2496</v>
      </c>
      <c r="BS739" s="48"/>
      <c r="BT739" s="48"/>
      <c r="BU739" s="228"/>
      <c r="BV739" s="48"/>
      <c r="BW739" s="48"/>
      <c r="BX739" s="48"/>
      <c r="BY739" s="48"/>
      <c r="BZ739" s="48"/>
      <c r="CA739" s="48"/>
      <c r="CB739" s="48"/>
      <c r="CC739" s="48"/>
      <c r="CD739" s="48"/>
      <c r="CE739" s="48"/>
      <c r="CF739" s="48"/>
      <c r="CG739" s="48"/>
      <c r="CH739" s="48"/>
      <c r="CI739" s="98"/>
      <c r="CJ739" s="98"/>
      <c r="CK739" s="49">
        <f t="shared" si="237"/>
        <v>101.5126174591866</v>
      </c>
      <c r="CL739" s="229"/>
      <c r="CM739" s="229">
        <v>-1.6080711768561735</v>
      </c>
      <c r="CN739" s="229">
        <f>BJ739/(10^CM739)</f>
        <v>2.5956800000000002</v>
      </c>
      <c r="CO739" s="47" t="s">
        <v>2488</v>
      </c>
      <c r="CP739" s="47" t="s">
        <v>2489</v>
      </c>
      <c r="CQ739" s="224">
        <v>-1.5409029213818335</v>
      </c>
      <c r="CR739" s="224">
        <f>10^(CJ739-CQ739)</f>
        <v>34.745848474868652</v>
      </c>
      <c r="CS739" s="230" t="s">
        <v>539</v>
      </c>
      <c r="CT739" s="230"/>
      <c r="CU739" s="230"/>
      <c r="CV739" s="335">
        <f t="shared" si="242"/>
        <v>96313.875362140185</v>
      </c>
      <c r="CW739" s="230">
        <f t="shared" si="231"/>
        <v>1</v>
      </c>
      <c r="CX739" s="336"/>
      <c r="CY739" s="230" t="s">
        <v>6351</v>
      </c>
    </row>
    <row r="740" spans="1:103" ht="11.25" customHeight="1" x14ac:dyDescent="0.2">
      <c r="A740" s="72">
        <v>738</v>
      </c>
      <c r="B740" s="224">
        <v>986</v>
      </c>
      <c r="C740" s="46" t="s">
        <v>6962</v>
      </c>
      <c r="D740" s="46"/>
      <c r="E740" s="114"/>
      <c r="F740" s="114" t="s">
        <v>2812</v>
      </c>
      <c r="G740" s="225">
        <v>54626</v>
      </c>
      <c r="H740" s="47" t="s">
        <v>2813</v>
      </c>
      <c r="I740" s="47" t="s">
        <v>2813</v>
      </c>
      <c r="J740" s="47" t="s">
        <v>2814</v>
      </c>
      <c r="K740" s="47" t="s">
        <v>2815</v>
      </c>
      <c r="L740" s="47"/>
      <c r="M740" s="47"/>
      <c r="N740" s="47"/>
      <c r="O740" s="47"/>
      <c r="P740" s="53"/>
      <c r="Q740" s="53"/>
      <c r="R740" s="53"/>
      <c r="S740" s="53"/>
      <c r="T740" s="48">
        <v>440.41</v>
      </c>
      <c r="U740" s="98"/>
      <c r="V740" s="98">
        <v>6.889035217183987</v>
      </c>
      <c r="W740" s="98">
        <v>5.6234132519034884E-2</v>
      </c>
      <c r="X740" s="98">
        <f>IF(W740=0,V740,W740)</f>
        <v>5.6234132519034884E-2</v>
      </c>
      <c r="Y740" s="233">
        <v>4.6100000000000003</v>
      </c>
      <c r="Z740" s="48">
        <v>-1.82</v>
      </c>
      <c r="AA740" s="48"/>
      <c r="AB740" s="48">
        <v>-0.8</v>
      </c>
      <c r="AC740" s="48">
        <v>0.71</v>
      </c>
      <c r="AD740" s="48">
        <v>-0.93</v>
      </c>
      <c r="AE740" s="48">
        <v>-1.21</v>
      </c>
      <c r="AF740" s="48">
        <f t="shared" si="239"/>
        <v>-0.93</v>
      </c>
      <c r="AG740" s="49">
        <v>-0.87</v>
      </c>
      <c r="AH740" s="98">
        <v>7.52E-33</v>
      </c>
      <c r="AI740" s="98"/>
      <c r="AJ740" s="483">
        <f t="shared" si="240"/>
        <v>-30.512348485721009</v>
      </c>
      <c r="AK740" s="483"/>
      <c r="AL740" s="483">
        <f t="shared" si="241"/>
        <v>-30.512348485721009</v>
      </c>
      <c r="AM740" s="483">
        <v>-38.256950000000003</v>
      </c>
      <c r="AN740" s="226">
        <v>-30.1</v>
      </c>
      <c r="AO740" s="484">
        <v>3.47</v>
      </c>
      <c r="AP740" s="484">
        <v>5.46</v>
      </c>
      <c r="AQ740" s="48" t="s">
        <v>6311</v>
      </c>
      <c r="AR740" s="48" t="s">
        <v>6311</v>
      </c>
      <c r="AS740" s="227"/>
      <c r="AT740" s="50" t="s">
        <v>266</v>
      </c>
      <c r="AU740" s="48">
        <v>6</v>
      </c>
      <c r="AV740" s="48">
        <v>120</v>
      </c>
      <c r="AW740" s="48">
        <v>114</v>
      </c>
      <c r="AX740" s="48">
        <v>28</v>
      </c>
      <c r="AY740" s="48" t="s">
        <v>8728</v>
      </c>
      <c r="AZ740" s="48" t="s">
        <v>1563</v>
      </c>
      <c r="BA740" s="48">
        <v>32</v>
      </c>
      <c r="BB740" s="47" t="s">
        <v>2485</v>
      </c>
      <c r="BC740" s="47" t="s">
        <v>8726</v>
      </c>
      <c r="BD740" s="47" t="s">
        <v>8374</v>
      </c>
      <c r="BE740" s="48" t="s">
        <v>2449</v>
      </c>
      <c r="BF740" s="48" t="s">
        <v>272</v>
      </c>
      <c r="BG740" s="48" t="s">
        <v>272</v>
      </c>
      <c r="BH740" s="48" t="s">
        <v>2486</v>
      </c>
      <c r="BI740" s="98">
        <v>6.3999999999999997E-6</v>
      </c>
      <c r="BJ740" s="98">
        <v>6.4000000000000001E-2</v>
      </c>
      <c r="BK740" s="48"/>
      <c r="BL740" s="98">
        <f t="shared" si="243"/>
        <v>2214.8381728899535</v>
      </c>
      <c r="BM740" s="47" t="s">
        <v>2487</v>
      </c>
      <c r="BN740" s="48"/>
      <c r="BO740" s="48"/>
      <c r="BP740" s="48"/>
      <c r="BQ740" s="48"/>
      <c r="BR740" s="47" t="s">
        <v>2496</v>
      </c>
      <c r="BS740" s="48"/>
      <c r="BT740" s="48"/>
      <c r="BU740" s="228">
        <v>6.0159999999999998E-2</v>
      </c>
      <c r="BV740" s="48"/>
      <c r="BW740" s="48"/>
      <c r="BX740" s="48"/>
      <c r="BY740" s="48"/>
      <c r="BZ740" s="48"/>
      <c r="CA740" s="48"/>
      <c r="CB740" s="48"/>
      <c r="CC740" s="48"/>
      <c r="CD740" s="48"/>
      <c r="CE740" s="48"/>
      <c r="CF740" s="48"/>
      <c r="CG740" s="48"/>
      <c r="CH740" s="48"/>
      <c r="CI740" s="98"/>
      <c r="CJ740" s="98"/>
      <c r="CK740" s="49">
        <f t="shared" si="237"/>
        <v>34606.846451405523</v>
      </c>
      <c r="CL740" s="229"/>
      <c r="CM740" s="229"/>
      <c r="CN740" s="229"/>
      <c r="CO740" s="47" t="s">
        <v>2488</v>
      </c>
      <c r="CP740" s="47" t="s">
        <v>2489</v>
      </c>
      <c r="CQ740" s="224" t="s">
        <v>272</v>
      </c>
      <c r="CR740" s="224"/>
      <c r="CS740" s="230" t="s">
        <v>539</v>
      </c>
      <c r="CT740" s="230"/>
      <c r="CU740" s="230"/>
      <c r="CV740" s="335">
        <f t="shared" si="242"/>
        <v>0.87865832060992</v>
      </c>
      <c r="CW740" s="230">
        <f t="shared" si="231"/>
        <v>0</v>
      </c>
      <c r="CX740" s="336"/>
      <c r="CY740" s="230" t="s">
        <v>5921</v>
      </c>
    </row>
    <row r="741" spans="1:103" ht="11.25" customHeight="1" x14ac:dyDescent="0.2">
      <c r="A741" s="72">
        <v>739</v>
      </c>
      <c r="B741" s="224">
        <v>1168</v>
      </c>
      <c r="C741" s="46" t="s">
        <v>479</v>
      </c>
      <c r="D741" s="46" t="s">
        <v>8352</v>
      </c>
      <c r="E741" s="114"/>
      <c r="F741" s="114" t="s">
        <v>480</v>
      </c>
      <c r="G741" s="225">
        <v>54853</v>
      </c>
      <c r="H741" s="47" t="s">
        <v>481</v>
      </c>
      <c r="I741" s="47" t="s">
        <v>481</v>
      </c>
      <c r="J741" s="47" t="s">
        <v>482</v>
      </c>
      <c r="K741" s="47" t="s">
        <v>483</v>
      </c>
      <c r="L741" s="47" t="s">
        <v>8501</v>
      </c>
      <c r="M741" s="47" t="s">
        <v>8487</v>
      </c>
      <c r="N741" s="47"/>
      <c r="O741" s="47" t="s">
        <v>281</v>
      </c>
      <c r="P741" s="53"/>
      <c r="Q741" s="53"/>
      <c r="R741" s="53"/>
      <c r="S741" s="53"/>
      <c r="T741" s="48">
        <v>137.13999999999999</v>
      </c>
      <c r="U741" s="98">
        <v>1020.8546011375238</v>
      </c>
      <c r="V741" s="98">
        <v>121.70045209275195</v>
      </c>
      <c r="W741" s="98"/>
      <c r="X741" s="98">
        <v>1020.8546011375238</v>
      </c>
      <c r="Y741" s="233">
        <v>7.32</v>
      </c>
      <c r="Z741" s="48">
        <v>-0.81</v>
      </c>
      <c r="AA741" s="48">
        <v>-0.7</v>
      </c>
      <c r="AB741" s="48">
        <v>-0.52</v>
      </c>
      <c r="AC741" s="48">
        <v>0.80269999999999997</v>
      </c>
      <c r="AD741" s="48">
        <v>-0.63</v>
      </c>
      <c r="AE741" s="48">
        <v>-0.89</v>
      </c>
      <c r="AF741" s="48">
        <f t="shared" si="239"/>
        <v>-0.7</v>
      </c>
      <c r="AG741" s="49">
        <v>-0.67</v>
      </c>
      <c r="AH741" s="98">
        <v>1.21E-14</v>
      </c>
      <c r="AI741" s="98"/>
      <c r="AJ741" s="483">
        <f t="shared" si="240"/>
        <v>-12.305780955996202</v>
      </c>
      <c r="AK741" s="483"/>
      <c r="AL741" s="483">
        <f t="shared" si="241"/>
        <v>-12.305780955996202</v>
      </c>
      <c r="AM741" s="483">
        <v>-14.64358</v>
      </c>
      <c r="AN741" s="226">
        <v>-11.7</v>
      </c>
      <c r="AO741" s="484">
        <v>11.4</v>
      </c>
      <c r="AP741" s="484">
        <v>3.79</v>
      </c>
      <c r="AQ741" s="48" t="s">
        <v>6311</v>
      </c>
      <c r="AR741" s="48" t="s">
        <v>6311</v>
      </c>
      <c r="AS741" s="227"/>
      <c r="AT741" s="50" t="s">
        <v>266</v>
      </c>
      <c r="AU741" s="48">
        <v>6</v>
      </c>
      <c r="AV741" s="48">
        <v>120</v>
      </c>
      <c r="AW741" s="48">
        <v>114</v>
      </c>
      <c r="AX741" s="48">
        <v>28</v>
      </c>
      <c r="AY741" s="48" t="s">
        <v>8728</v>
      </c>
      <c r="AZ741" s="48" t="s">
        <v>1563</v>
      </c>
      <c r="BA741" s="48">
        <v>32</v>
      </c>
      <c r="BB741" s="47" t="s">
        <v>2485</v>
      </c>
      <c r="BC741" s="47" t="s">
        <v>8726</v>
      </c>
      <c r="BD741" s="47" t="s">
        <v>8374</v>
      </c>
      <c r="BE741" s="48" t="s">
        <v>2449</v>
      </c>
      <c r="BF741" s="48" t="s">
        <v>272</v>
      </c>
      <c r="BG741" s="48" t="s">
        <v>272</v>
      </c>
      <c r="BH741" s="48" t="s">
        <v>2486</v>
      </c>
      <c r="BI741" s="98">
        <v>6.3999999999999997E-6</v>
      </c>
      <c r="BJ741" s="98">
        <v>6.4000000000000001E-2</v>
      </c>
      <c r="BK741" s="48"/>
      <c r="BL741" s="98">
        <f t="shared" si="243"/>
        <v>274.32222838559966</v>
      </c>
      <c r="BM741" s="47" t="s">
        <v>2487</v>
      </c>
      <c r="BN741" s="48"/>
      <c r="BO741" s="48"/>
      <c r="BP741" s="48"/>
      <c r="BQ741" s="48"/>
      <c r="BR741" s="47" t="s">
        <v>2496</v>
      </c>
      <c r="BS741" s="48"/>
      <c r="BT741" s="48"/>
      <c r="BU741" s="228">
        <v>2.7999999999999999E-6</v>
      </c>
      <c r="BV741" s="48"/>
      <c r="BW741" s="48"/>
      <c r="BX741" s="48"/>
      <c r="BY741" s="48"/>
      <c r="BZ741" s="48"/>
      <c r="CA741" s="48"/>
      <c r="CB741" s="48"/>
      <c r="CC741" s="48"/>
      <c r="CD741" s="48"/>
      <c r="CE741" s="48"/>
      <c r="CF741" s="48"/>
      <c r="CG741" s="48"/>
      <c r="CH741" s="48"/>
      <c r="CI741" s="98"/>
      <c r="CJ741" s="98"/>
      <c r="CK741" s="49">
        <f t="shared" si="237"/>
        <v>4286.284818524995</v>
      </c>
      <c r="CL741" s="229"/>
      <c r="CM741" s="229"/>
      <c r="CN741" s="229"/>
      <c r="CO741" s="47" t="s">
        <v>2488</v>
      </c>
      <c r="CP741" s="47" t="s">
        <v>2489</v>
      </c>
      <c r="CQ741" s="224" t="s">
        <v>272</v>
      </c>
      <c r="CR741" s="224"/>
      <c r="CS741" s="230" t="s">
        <v>539</v>
      </c>
      <c r="CT741" s="230"/>
      <c r="CU741" s="230"/>
      <c r="CV741" s="335">
        <f t="shared" si="242"/>
        <v>15950.853142773809</v>
      </c>
      <c r="CW741" s="230">
        <f t="shared" si="231"/>
        <v>1</v>
      </c>
      <c r="CX741" s="336"/>
      <c r="CY741" s="230" t="s">
        <v>5921</v>
      </c>
    </row>
    <row r="742" spans="1:103" ht="11.25" customHeight="1" x14ac:dyDescent="0.2">
      <c r="A742" s="72">
        <v>740</v>
      </c>
      <c r="B742" s="224">
        <v>1211</v>
      </c>
      <c r="C742" s="46" t="s">
        <v>6963</v>
      </c>
      <c r="D742" s="46"/>
      <c r="E742" s="114"/>
      <c r="F742" s="114" t="s">
        <v>3337</v>
      </c>
      <c r="G742" s="225">
        <v>55185</v>
      </c>
      <c r="H742" s="47" t="s">
        <v>3338</v>
      </c>
      <c r="I742" s="47" t="s">
        <v>3338</v>
      </c>
      <c r="J742" s="47" t="s">
        <v>3339</v>
      </c>
      <c r="K742" s="47" t="s">
        <v>300</v>
      </c>
      <c r="L742" s="47" t="s">
        <v>6133</v>
      </c>
      <c r="M742" s="47" t="s">
        <v>5960</v>
      </c>
      <c r="N742" s="47"/>
      <c r="O742" s="47"/>
      <c r="P742" s="53"/>
      <c r="Q742" s="53"/>
      <c r="R742" s="53"/>
      <c r="S742" s="53"/>
      <c r="T742" s="48">
        <v>102.14</v>
      </c>
      <c r="U742" s="98">
        <v>1037.7912668885842</v>
      </c>
      <c r="V742" s="98">
        <v>439.00528686117093</v>
      </c>
      <c r="W742" s="98">
        <v>616.59500186148216</v>
      </c>
      <c r="X742" s="98">
        <v>1037.7912668885842</v>
      </c>
      <c r="Y742" s="233">
        <v>7</v>
      </c>
      <c r="Z742" s="48">
        <v>0.34</v>
      </c>
      <c r="AA742" s="48">
        <v>0.48</v>
      </c>
      <c r="AB742" s="48">
        <v>0.51</v>
      </c>
      <c r="AC742" s="48">
        <v>0.92259999999999998</v>
      </c>
      <c r="AD742" s="48">
        <v>0.49</v>
      </c>
      <c r="AE742" s="48">
        <v>0.42</v>
      </c>
      <c r="AF742" s="48">
        <f t="shared" si="239"/>
        <v>0.48</v>
      </c>
      <c r="AG742" s="49">
        <v>0.77</v>
      </c>
      <c r="AH742" s="98">
        <v>3.63E-6</v>
      </c>
      <c r="AI742" s="98">
        <v>3.63E-6</v>
      </c>
      <c r="AJ742" s="483">
        <f t="shared" si="240"/>
        <v>-3.8286597012765395</v>
      </c>
      <c r="AK742" s="483">
        <f>LOG10(AI742*1000/(0.08206*298.15))</f>
        <v>-3.8286597012765395</v>
      </c>
      <c r="AL742" s="483">
        <f t="shared" si="241"/>
        <v>-3.8286597012765395</v>
      </c>
      <c r="AM742" s="483">
        <v>-5.1099500000000004</v>
      </c>
      <c r="AN742" s="226">
        <v>-4.41</v>
      </c>
      <c r="AO742" s="484"/>
      <c r="AP742" s="484">
        <v>-3.14</v>
      </c>
      <c r="AQ742" s="48" t="s">
        <v>6311</v>
      </c>
      <c r="AR742" s="48" t="s">
        <v>6311</v>
      </c>
      <c r="AS742" s="227"/>
      <c r="AT742" s="50" t="s">
        <v>266</v>
      </c>
      <c r="AU742" s="48">
        <v>6</v>
      </c>
      <c r="AV742" s="48">
        <v>120</v>
      </c>
      <c r="AW742" s="48">
        <v>114</v>
      </c>
      <c r="AX742" s="48">
        <v>28</v>
      </c>
      <c r="AY742" s="48" t="s">
        <v>8728</v>
      </c>
      <c r="AZ742" s="48" t="s">
        <v>1563</v>
      </c>
      <c r="BA742" s="48">
        <v>32</v>
      </c>
      <c r="BB742" s="47" t="s">
        <v>2485</v>
      </c>
      <c r="BC742" s="47" t="s">
        <v>8726</v>
      </c>
      <c r="BD742" s="47" t="s">
        <v>8374</v>
      </c>
      <c r="BE742" s="48" t="s">
        <v>2449</v>
      </c>
      <c r="BF742" s="48" t="s">
        <v>272</v>
      </c>
      <c r="BG742" s="48" t="s">
        <v>272</v>
      </c>
      <c r="BH742" s="48" t="s">
        <v>2486</v>
      </c>
      <c r="BI742" s="98">
        <v>6.3999999999999997E-6</v>
      </c>
      <c r="BJ742" s="98">
        <v>6.4000000000000001E-2</v>
      </c>
      <c r="BK742" s="48"/>
      <c r="BL742" s="98">
        <f t="shared" si="243"/>
        <v>25.435835053237014</v>
      </c>
      <c r="BM742" s="47" t="s">
        <v>2487</v>
      </c>
      <c r="BN742" s="48"/>
      <c r="BO742" s="48"/>
      <c r="BP742" s="48"/>
      <c r="BQ742" s="48"/>
      <c r="BR742" s="47" t="s">
        <v>2496</v>
      </c>
      <c r="BS742" s="48"/>
      <c r="BT742" s="48"/>
      <c r="BU742" s="228">
        <v>6.4000000000000005E-4</v>
      </c>
      <c r="BV742" s="48"/>
      <c r="BW742" s="48"/>
      <c r="BX742" s="48"/>
      <c r="BY742" s="48"/>
      <c r="BZ742" s="48"/>
      <c r="CA742" s="48"/>
      <c r="CB742" s="48"/>
      <c r="CC742" s="48"/>
      <c r="CD742" s="48"/>
      <c r="CE742" s="48"/>
      <c r="CF742" s="48"/>
      <c r="CG742" s="48"/>
      <c r="CH742" s="48"/>
      <c r="CI742" s="98"/>
      <c r="CJ742" s="98"/>
      <c r="CK742" s="49">
        <f t="shared" si="237"/>
        <v>397.43492270682833</v>
      </c>
      <c r="CL742" s="229"/>
      <c r="CM742" s="229"/>
      <c r="CN742" s="229"/>
      <c r="CO742" s="47" t="s">
        <v>2488</v>
      </c>
      <c r="CP742" s="47" t="s">
        <v>2489</v>
      </c>
      <c r="CQ742" s="224">
        <v>0.88010584898678901</v>
      </c>
      <c r="CR742" s="224">
        <f>10^(CJ742-CQ742)</f>
        <v>0.13179354838709675</v>
      </c>
      <c r="CS742" s="230" t="s">
        <v>539</v>
      </c>
      <c r="CT742" s="230"/>
      <c r="CU742" s="230"/>
      <c r="CV742" s="335">
        <f t="shared" si="242"/>
        <v>16215.488545134129</v>
      </c>
      <c r="CW742" s="230">
        <f t="shared" si="231"/>
        <v>1</v>
      </c>
      <c r="CX742" s="336"/>
      <c r="CY742" s="230" t="s">
        <v>5921</v>
      </c>
    </row>
    <row r="743" spans="1:103" ht="11.25" customHeight="1" x14ac:dyDescent="0.2">
      <c r="A743" s="72">
        <v>741</v>
      </c>
      <c r="B743" s="224">
        <v>1137</v>
      </c>
      <c r="C743" s="46" t="s">
        <v>1181</v>
      </c>
      <c r="D743" s="46"/>
      <c r="E743" s="114"/>
      <c r="F743" s="114" t="s">
        <v>1182</v>
      </c>
      <c r="G743" s="225">
        <v>55389</v>
      </c>
      <c r="H743" s="47" t="s">
        <v>1183</v>
      </c>
      <c r="I743" s="47" t="s">
        <v>1183</v>
      </c>
      <c r="J743" s="47" t="s">
        <v>1184</v>
      </c>
      <c r="K743" s="47" t="s">
        <v>628</v>
      </c>
      <c r="L743" s="47" t="s">
        <v>617</v>
      </c>
      <c r="M743" s="47" t="s">
        <v>946</v>
      </c>
      <c r="N743" s="47" t="s">
        <v>6376</v>
      </c>
      <c r="O743" s="47" t="s">
        <v>918</v>
      </c>
      <c r="P743" s="53" t="s">
        <v>6178</v>
      </c>
      <c r="Q743" s="53" t="s">
        <v>6176</v>
      </c>
      <c r="R743" s="53" t="s">
        <v>6177</v>
      </c>
      <c r="S743" s="53" t="s">
        <v>6173</v>
      </c>
      <c r="T743" s="48">
        <v>278.33</v>
      </c>
      <c r="U743" s="98">
        <v>2.694643049617361E-2</v>
      </c>
      <c r="V743" s="98">
        <v>1.8919987065713365E-2</v>
      </c>
      <c r="W743" s="98">
        <v>7.4131024130091636E-2</v>
      </c>
      <c r="X743" s="98">
        <v>2.694643049617361E-2</v>
      </c>
      <c r="Y743" s="233">
        <v>7</v>
      </c>
      <c r="Z743" s="48">
        <v>4.08</v>
      </c>
      <c r="AA743" s="48">
        <v>4.09</v>
      </c>
      <c r="AB743" s="48">
        <v>3.95</v>
      </c>
      <c r="AC743" s="48">
        <v>0.90920000000000001</v>
      </c>
      <c r="AD743" s="48">
        <v>3.8</v>
      </c>
      <c r="AE743" s="48">
        <v>3.21</v>
      </c>
      <c r="AF743" s="48">
        <f t="shared" si="239"/>
        <v>4.09</v>
      </c>
      <c r="AG743" s="49">
        <v>3.76</v>
      </c>
      <c r="AH743" s="98">
        <v>1.37E-6</v>
      </c>
      <c r="AI743" s="98">
        <v>1.46E-6</v>
      </c>
      <c r="AJ743" s="483">
        <f t="shared" si="240"/>
        <v>-4.2518457591562449</v>
      </c>
      <c r="AK743" s="483">
        <f>LOG10(AI743*1000/(0.08206*298.15))</f>
        <v>-4.2242134705282144</v>
      </c>
      <c r="AL743" s="483">
        <f t="shared" si="241"/>
        <v>-4.2242134705282144</v>
      </c>
      <c r="AM743" s="483">
        <v>-10.03593</v>
      </c>
      <c r="AN743" s="226">
        <v>-4.05</v>
      </c>
      <c r="AO743" s="484"/>
      <c r="AP743" s="484"/>
      <c r="AQ743" s="48" t="s">
        <v>6312</v>
      </c>
      <c r="AR743" s="48" t="s">
        <v>6312</v>
      </c>
      <c r="AS743" s="227"/>
      <c r="AT743" s="50" t="s">
        <v>266</v>
      </c>
      <c r="AU743" s="48">
        <v>6</v>
      </c>
      <c r="AV743" s="48">
        <v>120</v>
      </c>
      <c r="AW743" s="48">
        <v>114</v>
      </c>
      <c r="AX743" s="48">
        <v>28</v>
      </c>
      <c r="AY743" s="48" t="s">
        <v>8728</v>
      </c>
      <c r="AZ743" s="48" t="s">
        <v>1563</v>
      </c>
      <c r="BA743" s="48">
        <v>32</v>
      </c>
      <c r="BB743" s="47" t="s">
        <v>2485</v>
      </c>
      <c r="BC743" s="47" t="s">
        <v>8726</v>
      </c>
      <c r="BD743" s="47" t="s">
        <v>8374</v>
      </c>
      <c r="BE743" s="48" t="s">
        <v>2449</v>
      </c>
      <c r="BF743" s="48" t="s">
        <v>272</v>
      </c>
      <c r="BG743" s="48" t="s">
        <v>272</v>
      </c>
      <c r="BH743" s="48" t="s">
        <v>2486</v>
      </c>
      <c r="BI743" s="98">
        <v>6.3999999999999997E-6</v>
      </c>
      <c r="BJ743" s="98">
        <v>6.4000000000000001E-2</v>
      </c>
      <c r="BK743" s="48"/>
      <c r="BL743" s="98">
        <f t="shared" si="243"/>
        <v>1.1131456666790537E-2</v>
      </c>
      <c r="BM743" s="47" t="s">
        <v>2487</v>
      </c>
      <c r="BN743" s="48"/>
      <c r="BO743" s="48"/>
      <c r="BP743" s="48"/>
      <c r="BQ743" s="48"/>
      <c r="BR743" s="47" t="s">
        <v>2496</v>
      </c>
      <c r="BS743" s="48"/>
      <c r="BT743" s="48"/>
      <c r="BU743" s="228">
        <v>6.3999999999999997E-5</v>
      </c>
      <c r="BV743" s="48"/>
      <c r="BW743" s="48"/>
      <c r="BX743" s="48"/>
      <c r="BY743" s="48"/>
      <c r="BZ743" s="48"/>
      <c r="CA743" s="48"/>
      <c r="CB743" s="48"/>
      <c r="CC743" s="48"/>
      <c r="CD743" s="48"/>
      <c r="CE743" s="48"/>
      <c r="CF743" s="48"/>
      <c r="CG743" s="48"/>
      <c r="CH743" s="48"/>
      <c r="CI743" s="98"/>
      <c r="CJ743" s="98"/>
      <c r="CK743" s="49">
        <f t="shared" si="237"/>
        <v>0.17392901041860215</v>
      </c>
      <c r="CL743" s="229"/>
      <c r="CM743" s="229">
        <v>-2.55795669784789</v>
      </c>
      <c r="CN743" s="229">
        <f>BJ743/(10^CM743)</f>
        <v>23.127925080488108</v>
      </c>
      <c r="CO743" s="47" t="s">
        <v>2488</v>
      </c>
      <c r="CP743" s="47" t="s">
        <v>2489</v>
      </c>
      <c r="CQ743" s="224">
        <v>-2.2135934732833005</v>
      </c>
      <c r="CR743" s="224">
        <f>10^(CJ743-CQ743)</f>
        <v>163.52850759715596</v>
      </c>
      <c r="CS743" s="230" t="s">
        <v>539</v>
      </c>
      <c r="CT743" s="230"/>
      <c r="CU743" s="230"/>
      <c r="CV743" s="335">
        <f t="shared" si="242"/>
        <v>0.42103797650271263</v>
      </c>
      <c r="CW743" s="230">
        <f t="shared" si="231"/>
        <v>0</v>
      </c>
      <c r="CX743" s="336"/>
      <c r="CY743" s="230" t="s">
        <v>5921</v>
      </c>
    </row>
    <row r="744" spans="1:103" ht="11.25" customHeight="1" x14ac:dyDescent="0.2">
      <c r="A744" s="72">
        <v>742</v>
      </c>
      <c r="B744" s="224">
        <v>1040</v>
      </c>
      <c r="C744" s="46" t="s">
        <v>6964</v>
      </c>
      <c r="D744" s="46"/>
      <c r="E744" s="114"/>
      <c r="F744" s="114" t="s">
        <v>2951</v>
      </c>
      <c r="G744" s="225">
        <v>55981</v>
      </c>
      <c r="H744" s="47" t="s">
        <v>2952</v>
      </c>
      <c r="I744" s="47" t="s">
        <v>2952</v>
      </c>
      <c r="J744" s="47" t="s">
        <v>2953</v>
      </c>
      <c r="K744" s="47" t="s">
        <v>357</v>
      </c>
      <c r="L744" s="47" t="s">
        <v>279</v>
      </c>
      <c r="M744" s="47" t="s">
        <v>2954</v>
      </c>
      <c r="N744" s="47" t="s">
        <v>6088</v>
      </c>
      <c r="O744" s="47" t="s">
        <v>281</v>
      </c>
      <c r="P744" s="53"/>
      <c r="Q744" s="53"/>
      <c r="R744" s="53"/>
      <c r="S744" s="53"/>
      <c r="T744" s="48">
        <v>246.3</v>
      </c>
      <c r="U744" s="98"/>
      <c r="V744" s="98">
        <v>279.94315874949245</v>
      </c>
      <c r="W744" s="98">
        <v>28.183829312644534</v>
      </c>
      <c r="X744" s="98">
        <f>IF(W744=0,V744,W744)</f>
        <v>28.183829312644534</v>
      </c>
      <c r="Y744" s="233">
        <v>7</v>
      </c>
      <c r="Z744" s="48">
        <v>-0.68</v>
      </c>
      <c r="AA744" s="48">
        <v>-0.52</v>
      </c>
      <c r="AB744" s="48">
        <v>-0.37</v>
      </c>
      <c r="AC744" s="48">
        <v>0.73</v>
      </c>
      <c r="AD744" s="48">
        <v>-0.42</v>
      </c>
      <c r="AE744" s="48">
        <v>-0.52</v>
      </c>
      <c r="AF744" s="48">
        <f t="shared" si="239"/>
        <v>-0.52</v>
      </c>
      <c r="AG744" s="49">
        <v>0.25</v>
      </c>
      <c r="AH744" s="98">
        <v>5.1599999999999998E-10</v>
      </c>
      <c r="AI744" s="98"/>
      <c r="AJ744" s="483">
        <f t="shared" si="240"/>
        <v>-7.6759166246854402</v>
      </c>
      <c r="AK744" s="483"/>
      <c r="AL744" s="483">
        <f t="shared" si="241"/>
        <v>-7.6759166246854402</v>
      </c>
      <c r="AM744" s="483">
        <v>-13.49606</v>
      </c>
      <c r="AN744" s="226">
        <v>-8.57</v>
      </c>
      <c r="AO744" s="484"/>
      <c r="AP744" s="484"/>
      <c r="AQ744" s="48" t="s">
        <v>6311</v>
      </c>
      <c r="AR744" s="48" t="s">
        <v>6311</v>
      </c>
      <c r="AS744" s="227"/>
      <c r="AT744" s="50" t="s">
        <v>266</v>
      </c>
      <c r="AU744" s="48">
        <v>6</v>
      </c>
      <c r="AV744" s="48">
        <v>120</v>
      </c>
      <c r="AW744" s="48">
        <v>114</v>
      </c>
      <c r="AX744" s="48">
        <v>28</v>
      </c>
      <c r="AY744" s="48" t="s">
        <v>8728</v>
      </c>
      <c r="AZ744" s="48" t="s">
        <v>1563</v>
      </c>
      <c r="BA744" s="48">
        <v>32</v>
      </c>
      <c r="BB744" s="47" t="s">
        <v>2485</v>
      </c>
      <c r="BC744" s="47" t="s">
        <v>8726</v>
      </c>
      <c r="BD744" s="47" t="s">
        <v>8374</v>
      </c>
      <c r="BE744" s="48" t="s">
        <v>2449</v>
      </c>
      <c r="BF744" s="48" t="s">
        <v>272</v>
      </c>
      <c r="BG744" s="48" t="s">
        <v>272</v>
      </c>
      <c r="BH744" s="48" t="s">
        <v>2486</v>
      </c>
      <c r="BI744" s="98">
        <v>6.3999999999999997E-6</v>
      </c>
      <c r="BJ744" s="98">
        <v>6.4000000000000001E-2</v>
      </c>
      <c r="BK744" s="48"/>
      <c r="BL744" s="98">
        <f t="shared" si="243"/>
        <v>209.65634000613093</v>
      </c>
      <c r="BM744" s="47" t="s">
        <v>2487</v>
      </c>
      <c r="BN744" s="48"/>
      <c r="BO744" s="48"/>
      <c r="BP744" s="48"/>
      <c r="BQ744" s="48"/>
      <c r="BR744" s="47" t="s">
        <v>2496</v>
      </c>
      <c r="BS744" s="48"/>
      <c r="BT744" s="48"/>
      <c r="BU744" s="228">
        <v>6.3999999999999997E-5</v>
      </c>
      <c r="BV744" s="48"/>
      <c r="BW744" s="48"/>
      <c r="BX744" s="48"/>
      <c r="BY744" s="48"/>
      <c r="BZ744" s="48"/>
      <c r="CA744" s="48"/>
      <c r="CB744" s="48"/>
      <c r="CC744" s="48"/>
      <c r="CD744" s="48"/>
      <c r="CE744" s="48"/>
      <c r="CF744" s="48"/>
      <c r="CG744" s="48"/>
      <c r="CH744" s="48"/>
      <c r="CI744" s="98"/>
      <c r="CJ744" s="98"/>
      <c r="CK744" s="49">
        <f t="shared" si="237"/>
        <v>3275.8803125957957</v>
      </c>
      <c r="CL744" s="229"/>
      <c r="CM744" s="229"/>
      <c r="CN744" s="229"/>
      <c r="CO744" s="47" t="s">
        <v>2488</v>
      </c>
      <c r="CP744" s="47" t="s">
        <v>2489</v>
      </c>
      <c r="CQ744" s="224" t="s">
        <v>272</v>
      </c>
      <c r="CR744" s="224"/>
      <c r="CS744" s="230" t="s">
        <v>539</v>
      </c>
      <c r="CT744" s="230"/>
      <c r="CU744" s="230"/>
      <c r="CV744" s="335">
        <f t="shared" si="242"/>
        <v>440.3723330100708</v>
      </c>
      <c r="CW744" s="230">
        <f t="shared" si="231"/>
        <v>1</v>
      </c>
      <c r="CX744" s="336"/>
      <c r="CY744" s="230" t="s">
        <v>5921</v>
      </c>
    </row>
    <row r="745" spans="1:103" ht="11.25" customHeight="1" x14ac:dyDescent="0.2">
      <c r="A745" s="72">
        <v>743</v>
      </c>
      <c r="B745" s="224">
        <v>1479</v>
      </c>
      <c r="C745" s="46" t="s">
        <v>6965</v>
      </c>
      <c r="D745" s="46"/>
      <c r="E745" s="114"/>
      <c r="F745" s="114" t="s">
        <v>4543</v>
      </c>
      <c r="G745" s="225">
        <v>56042</v>
      </c>
      <c r="H745" s="47" t="s">
        <v>4544</v>
      </c>
      <c r="I745" s="47" t="s">
        <v>4544</v>
      </c>
      <c r="J745" s="47" t="s">
        <v>4545</v>
      </c>
      <c r="K745" s="47" t="s">
        <v>349</v>
      </c>
      <c r="L745" s="47"/>
      <c r="M745" s="47"/>
      <c r="N745" s="47"/>
      <c r="O745" s="47"/>
      <c r="P745" s="53"/>
      <c r="Q745" s="53"/>
      <c r="R745" s="53"/>
      <c r="S745" s="53"/>
      <c r="T745" s="48">
        <v>142.18</v>
      </c>
      <c r="U745" s="98">
        <v>3.7487691658461104</v>
      </c>
      <c r="V745" s="98">
        <v>33.330988887325923</v>
      </c>
      <c r="W745" s="98">
        <v>4.3651583224016566</v>
      </c>
      <c r="X745" s="98">
        <v>3.7487691658461104</v>
      </c>
      <c r="Y745" s="233">
        <v>3.37</v>
      </c>
      <c r="Z745" s="48">
        <v>1.45</v>
      </c>
      <c r="AA745" s="48"/>
      <c r="AB745" s="48">
        <v>0.96</v>
      </c>
      <c r="AC745" s="48">
        <v>0.68640000000000001</v>
      </c>
      <c r="AD745" s="48">
        <v>0.17</v>
      </c>
      <c r="AE745" s="48">
        <v>-1.39</v>
      </c>
      <c r="AF745" s="48">
        <f t="shared" si="239"/>
        <v>0.17</v>
      </c>
      <c r="AG745" s="49">
        <v>1.22</v>
      </c>
      <c r="AH745" s="98">
        <v>1.26E-9</v>
      </c>
      <c r="AI745" s="98"/>
      <c r="AJ745" s="483">
        <f t="shared" si="240"/>
        <v>-7.288195781195089</v>
      </c>
      <c r="AK745" s="483"/>
      <c r="AL745" s="483">
        <f t="shared" si="241"/>
        <v>-7.288195781195089</v>
      </c>
      <c r="AM745" s="483">
        <v>-10.210979999999999</v>
      </c>
      <c r="AN745" s="226">
        <v>-14.6</v>
      </c>
      <c r="AO745" s="484">
        <v>4.8</v>
      </c>
      <c r="AP745" s="484">
        <v>12.04</v>
      </c>
      <c r="AQ745" s="48" t="s">
        <v>6311</v>
      </c>
      <c r="AR745" s="48" t="s">
        <v>6311</v>
      </c>
      <c r="AS745" s="227"/>
      <c r="AT745" s="50" t="s">
        <v>266</v>
      </c>
      <c r="AU745" s="48">
        <v>6</v>
      </c>
      <c r="AV745" s="48">
        <v>120</v>
      </c>
      <c r="AW745" s="48">
        <v>114</v>
      </c>
      <c r="AX745" s="48">
        <v>28</v>
      </c>
      <c r="AY745" s="48" t="s">
        <v>8728</v>
      </c>
      <c r="AZ745" s="48" t="s">
        <v>1563</v>
      </c>
      <c r="BA745" s="48">
        <v>32</v>
      </c>
      <c r="BB745" s="47" t="s">
        <v>2485</v>
      </c>
      <c r="BC745" s="47" t="s">
        <v>8726</v>
      </c>
      <c r="BD745" s="47" t="s">
        <v>8374</v>
      </c>
      <c r="BE745" s="48" t="s">
        <v>2449</v>
      </c>
      <c r="BF745" s="48" t="s">
        <v>272</v>
      </c>
      <c r="BG745" s="48" t="s">
        <v>272</v>
      </c>
      <c r="BH745" s="48" t="s">
        <v>2486</v>
      </c>
      <c r="BI745" s="98">
        <v>6.3999999999999997E-6</v>
      </c>
      <c r="BJ745" s="98">
        <v>6.4000000000000001E-2</v>
      </c>
      <c r="BK745" s="48"/>
      <c r="BL745" s="98">
        <f t="shared" si="243"/>
        <v>2.5618576827870614</v>
      </c>
      <c r="BM745" s="47" t="s">
        <v>2487</v>
      </c>
      <c r="BN745" s="48"/>
      <c r="BO745" s="48"/>
      <c r="BP745" s="48"/>
      <c r="BQ745" s="48"/>
      <c r="BR745" s="47" t="s">
        <v>2496</v>
      </c>
      <c r="BS745" s="48"/>
      <c r="BT745" s="48"/>
      <c r="BU745" s="228"/>
      <c r="BV745" s="48"/>
      <c r="BW745" s="48"/>
      <c r="BX745" s="48"/>
      <c r="BY745" s="48"/>
      <c r="BZ745" s="48"/>
      <c r="CA745" s="48"/>
      <c r="CB745" s="48"/>
      <c r="CC745" s="48"/>
      <c r="CD745" s="48"/>
      <c r="CE745" s="48"/>
      <c r="CF745" s="48"/>
      <c r="CG745" s="48"/>
      <c r="CH745" s="48"/>
      <c r="CI745" s="98"/>
      <c r="CJ745" s="98"/>
      <c r="CK745" s="49">
        <f t="shared" si="237"/>
        <v>40.029026293547837</v>
      </c>
      <c r="CL745" s="229"/>
      <c r="CM745" s="229"/>
      <c r="CN745" s="229"/>
      <c r="CO745" s="47" t="s">
        <v>2488</v>
      </c>
      <c r="CP745" s="47" t="s">
        <v>2489</v>
      </c>
      <c r="CQ745" s="224" t="s">
        <v>272</v>
      </c>
      <c r="CR745" s="224"/>
      <c r="CS745" s="230" t="s">
        <v>539</v>
      </c>
      <c r="CT745" s="230"/>
      <c r="CU745" s="230"/>
      <c r="CV745" s="335">
        <f t="shared" si="242"/>
        <v>58.574518216345474</v>
      </c>
      <c r="CW745" s="230">
        <f t="shared" si="231"/>
        <v>1</v>
      </c>
      <c r="CX745" s="336"/>
      <c r="CY745" s="230" t="s">
        <v>5921</v>
      </c>
    </row>
    <row r="746" spans="1:103" ht="11.25" customHeight="1" x14ac:dyDescent="0.2">
      <c r="A746" s="72">
        <v>744</v>
      </c>
      <c r="B746" s="224">
        <v>1227</v>
      </c>
      <c r="C746" s="46" t="s">
        <v>6966</v>
      </c>
      <c r="D746" s="46"/>
      <c r="E746" s="114"/>
      <c r="F746" s="114" t="s">
        <v>1350</v>
      </c>
      <c r="G746" s="225">
        <v>56382</v>
      </c>
      <c r="H746" s="47" t="s">
        <v>1351</v>
      </c>
      <c r="I746" s="47" t="s">
        <v>7980</v>
      </c>
      <c r="J746" s="47" t="s">
        <v>1352</v>
      </c>
      <c r="K746" s="47" t="s">
        <v>628</v>
      </c>
      <c r="L746" s="47" t="s">
        <v>617</v>
      </c>
      <c r="M746" s="47" t="s">
        <v>618</v>
      </c>
      <c r="N746" s="47" t="s">
        <v>6376</v>
      </c>
      <c r="O746" s="47" t="s">
        <v>1353</v>
      </c>
      <c r="P746" s="53" t="s">
        <v>6178</v>
      </c>
      <c r="Q746" s="53" t="s">
        <v>6173</v>
      </c>
      <c r="R746" s="53" t="s">
        <v>6177</v>
      </c>
      <c r="S746" s="53" t="s">
        <v>6176</v>
      </c>
      <c r="T746" s="48">
        <v>291.26</v>
      </c>
      <c r="U746" s="98">
        <v>3.7766943624253244E-2</v>
      </c>
      <c r="V746" s="98">
        <v>1.0348142553045388E-2</v>
      </c>
      <c r="W746" s="98">
        <v>2.3442288153199219E-2</v>
      </c>
      <c r="X746" s="98">
        <v>3.7766943624253244E-2</v>
      </c>
      <c r="Y746" s="233">
        <v>7</v>
      </c>
      <c r="Z746" s="48">
        <v>3.73</v>
      </c>
      <c r="AA746" s="48">
        <v>3.83</v>
      </c>
      <c r="AB746" s="48">
        <v>3.48</v>
      </c>
      <c r="AC746" s="48">
        <v>0.87450000000000006</v>
      </c>
      <c r="AD746" s="48">
        <v>3.57</v>
      </c>
      <c r="AE746" s="48">
        <v>3.84</v>
      </c>
      <c r="AF746" s="48">
        <f t="shared" si="239"/>
        <v>3.83</v>
      </c>
      <c r="AG746" s="49">
        <v>3</v>
      </c>
      <c r="AH746" s="98">
        <v>2.96E-7</v>
      </c>
      <c r="AI746" s="98">
        <v>2.9799999999999999E-7</v>
      </c>
      <c r="AJ746" s="483">
        <f t="shared" si="240"/>
        <v>-4.9172746152537128</v>
      </c>
      <c r="AK746" s="483">
        <f>LOG10(AI746*1000/(0.08206*298.15))</f>
        <v>-4.9143500622363963</v>
      </c>
      <c r="AL746" s="483">
        <f t="shared" si="241"/>
        <v>-4.9143500622363963</v>
      </c>
      <c r="AM746" s="483">
        <v>-11.31479</v>
      </c>
      <c r="AN746" s="226">
        <v>-4.29</v>
      </c>
      <c r="AO746" s="484"/>
      <c r="AP746" s="484"/>
      <c r="AQ746" s="48" t="s">
        <v>6314</v>
      </c>
      <c r="AR746" s="48" t="s">
        <v>6314</v>
      </c>
      <c r="AS746" s="227"/>
      <c r="AT746" s="50" t="s">
        <v>266</v>
      </c>
      <c r="AU746" s="48">
        <v>6</v>
      </c>
      <c r="AV746" s="48">
        <v>120</v>
      </c>
      <c r="AW746" s="48">
        <v>114</v>
      </c>
      <c r="AX746" s="48">
        <v>28</v>
      </c>
      <c r="AY746" s="48" t="s">
        <v>8728</v>
      </c>
      <c r="AZ746" s="48" t="s">
        <v>1563</v>
      </c>
      <c r="BA746" s="48">
        <v>32</v>
      </c>
      <c r="BB746" s="47" t="s">
        <v>2485</v>
      </c>
      <c r="BC746" s="47" t="s">
        <v>8726</v>
      </c>
      <c r="BD746" s="47" t="s">
        <v>8374</v>
      </c>
      <c r="BE746" s="48" t="s">
        <v>2449</v>
      </c>
      <c r="BF746" s="48" t="s">
        <v>272</v>
      </c>
      <c r="BG746" s="48" t="s">
        <v>272</v>
      </c>
      <c r="BH746" s="48" t="s">
        <v>2486</v>
      </c>
      <c r="BI746" s="98">
        <v>6.3999999999999997E-6</v>
      </c>
      <c r="BJ746" s="98">
        <v>6.4000000000000001E-2</v>
      </c>
      <c r="BK746" s="48"/>
      <c r="BL746" s="98">
        <f t="shared" si="243"/>
        <v>2.2955512860559066E-2</v>
      </c>
      <c r="BM746" s="47" t="s">
        <v>2487</v>
      </c>
      <c r="BN746" s="48"/>
      <c r="BO746" s="48"/>
      <c r="BP746" s="48"/>
      <c r="BQ746" s="48"/>
      <c r="BR746" s="47" t="s">
        <v>2496</v>
      </c>
      <c r="BS746" s="48"/>
      <c r="BT746" s="48"/>
      <c r="BU746" s="228">
        <v>3.2000000000000003E-4</v>
      </c>
      <c r="BV746" s="48"/>
      <c r="BW746" s="48"/>
      <c r="BX746" s="48"/>
      <c r="BY746" s="48"/>
      <c r="BZ746" s="48"/>
      <c r="CA746" s="48"/>
      <c r="CB746" s="48"/>
      <c r="CC746" s="48"/>
      <c r="CD746" s="48"/>
      <c r="CE746" s="48"/>
      <c r="CF746" s="48"/>
      <c r="CG746" s="48"/>
      <c r="CH746" s="48"/>
      <c r="CI746" s="98"/>
      <c r="CJ746" s="98"/>
      <c r="CK746" s="49">
        <f t="shared" si="237"/>
        <v>0.35867988844623538</v>
      </c>
      <c r="CL746" s="229"/>
      <c r="CM746" s="229">
        <v>-3.28330914160333</v>
      </c>
      <c r="CN746" s="229">
        <f>BJ746/(10^CM746)</f>
        <v>122.88223890936605</v>
      </c>
      <c r="CO746" s="47" t="s">
        <v>2488</v>
      </c>
      <c r="CP746" s="47" t="s">
        <v>2489</v>
      </c>
      <c r="CQ746" s="224">
        <v>-2.6971744164506752</v>
      </c>
      <c r="CR746" s="224">
        <f>10^(CJ746-CQ746)</f>
        <v>497.93702067745448</v>
      </c>
      <c r="CS746" s="230" t="s">
        <v>539</v>
      </c>
      <c r="CT746" s="230"/>
      <c r="CU746" s="230"/>
      <c r="CV746" s="335">
        <f t="shared" si="242"/>
        <v>0.59010849412895694</v>
      </c>
      <c r="CW746" s="230">
        <f t="shared" si="231"/>
        <v>0</v>
      </c>
      <c r="CX746" s="336"/>
      <c r="CY746" s="230" t="s">
        <v>5921</v>
      </c>
    </row>
    <row r="747" spans="1:103" ht="11.25" customHeight="1" x14ac:dyDescent="0.2">
      <c r="A747" s="72">
        <v>745</v>
      </c>
      <c r="B747" s="224">
        <v>1156</v>
      </c>
      <c r="C747" s="46" t="s">
        <v>428</v>
      </c>
      <c r="D747" s="46"/>
      <c r="E747" s="114"/>
      <c r="F747" s="114" t="s">
        <v>3200</v>
      </c>
      <c r="G747" s="225">
        <v>56815</v>
      </c>
      <c r="H747" s="47" t="s">
        <v>429</v>
      </c>
      <c r="I747" s="47" t="s">
        <v>429</v>
      </c>
      <c r="J747" s="47" t="s">
        <v>430</v>
      </c>
      <c r="K747" s="47" t="s">
        <v>426</v>
      </c>
      <c r="L747" s="47" t="s">
        <v>6147</v>
      </c>
      <c r="M747" s="47" t="s">
        <v>5960</v>
      </c>
      <c r="N747" s="47"/>
      <c r="O747" s="47"/>
      <c r="P747" s="53"/>
      <c r="Q747" s="53"/>
      <c r="R747" s="53"/>
      <c r="S747" s="53"/>
      <c r="T747" s="48">
        <v>92.09</v>
      </c>
      <c r="U747" s="98">
        <v>10858.942339016179</v>
      </c>
      <c r="V747" s="98">
        <v>10858.942339016179</v>
      </c>
      <c r="W747" s="98">
        <v>10964.781961431854</v>
      </c>
      <c r="X747" s="98">
        <v>10858.942339016179</v>
      </c>
      <c r="Y747" s="233">
        <v>6.27</v>
      </c>
      <c r="Z747" s="48">
        <v>-1.65</v>
      </c>
      <c r="AA747" s="48">
        <v>-1.76</v>
      </c>
      <c r="AB747" s="48">
        <v>-1.57</v>
      </c>
      <c r="AC747" s="48">
        <v>0.88339999999999996</v>
      </c>
      <c r="AD747" s="48">
        <v>-1.73</v>
      </c>
      <c r="AE747" s="48">
        <v>-2.3199999999999998</v>
      </c>
      <c r="AF747" s="48">
        <f t="shared" si="239"/>
        <v>-1.76</v>
      </c>
      <c r="AG747" s="49">
        <v>-1.41</v>
      </c>
      <c r="AH747" s="98">
        <v>6.3499999999999998E-9</v>
      </c>
      <c r="AI747" s="98">
        <v>1.7299999999999999E-8</v>
      </c>
      <c r="AJ747" s="483">
        <f t="shared" si="240"/>
        <v>-6.5857926010206764</v>
      </c>
      <c r="AK747" s="483">
        <f>LOG10(AI747*1000/(0.08206*298.15))</f>
        <v>-6.1505202231838565</v>
      </c>
      <c r="AL747" s="483">
        <f t="shared" si="241"/>
        <v>-6.1505202231838565</v>
      </c>
      <c r="AM747" s="483">
        <v>-10.09398</v>
      </c>
      <c r="AN747" s="226">
        <v>-7.48</v>
      </c>
      <c r="AO747" s="484">
        <v>13.68</v>
      </c>
      <c r="AP747" s="484"/>
      <c r="AQ747" s="48" t="s">
        <v>6311</v>
      </c>
      <c r="AR747" s="48" t="s">
        <v>6311</v>
      </c>
      <c r="AS747" s="227"/>
      <c r="AT747" s="50" t="s">
        <v>266</v>
      </c>
      <c r="AU747" s="48">
        <v>6</v>
      </c>
      <c r="AV747" s="48">
        <v>120</v>
      </c>
      <c r="AW747" s="48">
        <v>114</v>
      </c>
      <c r="AX747" s="48">
        <v>28</v>
      </c>
      <c r="AY747" s="48" t="s">
        <v>8728</v>
      </c>
      <c r="AZ747" s="48" t="s">
        <v>1563</v>
      </c>
      <c r="BA747" s="48">
        <v>32</v>
      </c>
      <c r="BB747" s="47" t="s">
        <v>2485</v>
      </c>
      <c r="BC747" s="47" t="s">
        <v>8726</v>
      </c>
      <c r="BD747" s="47" t="s">
        <v>8374</v>
      </c>
      <c r="BE747" s="48" t="s">
        <v>2449</v>
      </c>
      <c r="BF747" s="48" t="s">
        <v>272</v>
      </c>
      <c r="BG747" s="48" t="s">
        <v>272</v>
      </c>
      <c r="BH747" s="48" t="s">
        <v>2486</v>
      </c>
      <c r="BI747" s="98">
        <v>6.3999999999999997E-6</v>
      </c>
      <c r="BJ747" s="98">
        <v>6.4000000000000001E-2</v>
      </c>
      <c r="BK747" s="48"/>
      <c r="BL747" s="98">
        <f t="shared" si="243"/>
        <v>1558.3499808933586</v>
      </c>
      <c r="BM747" s="47" t="s">
        <v>2487</v>
      </c>
      <c r="BN747" s="48"/>
      <c r="BO747" s="48"/>
      <c r="BP747" s="48"/>
      <c r="BQ747" s="48"/>
      <c r="BR747" s="47" t="s">
        <v>2496</v>
      </c>
      <c r="BS747" s="48"/>
      <c r="BT747" s="48"/>
      <c r="BU747" s="228">
        <v>6.4000000000000003E-3</v>
      </c>
      <c r="BV747" s="48"/>
      <c r="BW747" s="48"/>
      <c r="BX747" s="48"/>
      <c r="BY747" s="48"/>
      <c r="BZ747" s="48"/>
      <c r="CA747" s="48"/>
      <c r="CB747" s="48"/>
      <c r="CC747" s="48"/>
      <c r="CD747" s="48"/>
      <c r="CE747" s="48"/>
      <c r="CF747" s="48"/>
      <c r="CG747" s="48"/>
      <c r="CH747" s="48"/>
      <c r="CI747" s="98"/>
      <c r="CJ747" s="98"/>
      <c r="CK747" s="49">
        <f t="shared" si="237"/>
        <v>24349.218451458728</v>
      </c>
      <c r="CL747" s="229"/>
      <c r="CM747" s="229"/>
      <c r="CN747" s="229"/>
      <c r="CO747" s="47" t="s">
        <v>2488</v>
      </c>
      <c r="CP747" s="47" t="s">
        <v>2489</v>
      </c>
      <c r="CQ747" s="224">
        <v>2.7681812868531495</v>
      </c>
      <c r="CR747" s="224">
        <f>10^(CJ747-CQ747)</f>
        <v>1.7053703703703679E-3</v>
      </c>
      <c r="CS747" s="230" t="s">
        <v>539</v>
      </c>
      <c r="CT747" s="230"/>
      <c r="CU747" s="230"/>
      <c r="CV747" s="335">
        <f t="shared" si="242"/>
        <v>169670.97404712779</v>
      </c>
      <c r="CW747" s="230">
        <f t="shared" si="231"/>
        <v>1</v>
      </c>
      <c r="CX747" s="336"/>
      <c r="CY747" s="230" t="s">
        <v>6351</v>
      </c>
    </row>
    <row r="748" spans="1:103" ht="11.25" customHeight="1" x14ac:dyDescent="0.2">
      <c r="A748" s="72">
        <v>746</v>
      </c>
      <c r="B748" s="224">
        <v>1815</v>
      </c>
      <c r="C748" s="46" t="s">
        <v>6967</v>
      </c>
      <c r="D748" s="46"/>
      <c r="E748" s="114"/>
      <c r="F748" s="114" t="s">
        <v>5212</v>
      </c>
      <c r="G748" s="225">
        <v>57307</v>
      </c>
      <c r="H748" s="47" t="s">
        <v>5213</v>
      </c>
      <c r="I748" s="47" t="s">
        <v>7981</v>
      </c>
      <c r="J748" s="47" t="s">
        <v>5214</v>
      </c>
      <c r="K748" s="47" t="s">
        <v>471</v>
      </c>
      <c r="L748" s="47"/>
      <c r="M748" s="47"/>
      <c r="N748" s="47"/>
      <c r="O748" s="47"/>
      <c r="P748" s="53"/>
      <c r="Q748" s="53"/>
      <c r="R748" s="53"/>
      <c r="S748" s="53"/>
      <c r="T748" s="48">
        <v>232.24</v>
      </c>
      <c r="U748" s="98"/>
      <c r="V748" s="98">
        <v>3.7521529452290729</v>
      </c>
      <c r="W748" s="98">
        <v>3.5481338923357528</v>
      </c>
      <c r="X748" s="98">
        <f>IF(W748=0,V748,W748)</f>
        <v>3.5481338923357528</v>
      </c>
      <c r="Y748" s="233">
        <v>4.75</v>
      </c>
      <c r="Z748" s="48">
        <v>0.26</v>
      </c>
      <c r="AA748" s="48"/>
      <c r="AB748" s="48">
        <v>0.54</v>
      </c>
      <c r="AC748" s="48">
        <v>0.49070000000000003</v>
      </c>
      <c r="AD748" s="48">
        <v>0.83</v>
      </c>
      <c r="AE748" s="48">
        <v>1.1299999999999999</v>
      </c>
      <c r="AF748" s="48">
        <f t="shared" si="239"/>
        <v>0.83</v>
      </c>
      <c r="AG748" s="49">
        <v>0.83</v>
      </c>
      <c r="AH748" s="98">
        <v>6.5399999999999998E-15</v>
      </c>
      <c r="AI748" s="98"/>
      <c r="AJ748" s="483">
        <f t="shared" si="240"/>
        <v>-12.572988577988385</v>
      </c>
      <c r="AK748" s="483"/>
      <c r="AL748" s="483">
        <f t="shared" si="241"/>
        <v>-12.572988577988385</v>
      </c>
      <c r="AM748" s="483">
        <v>-17.40164</v>
      </c>
      <c r="AN748" s="226"/>
      <c r="AO748" s="484">
        <v>7.24</v>
      </c>
      <c r="AP748" s="484">
        <v>-2.36</v>
      </c>
      <c r="AQ748" s="226" t="s">
        <v>6311</v>
      </c>
      <c r="AR748" s="226" t="s">
        <v>6311</v>
      </c>
      <c r="AS748" s="224"/>
      <c r="AT748" s="50" t="s">
        <v>266</v>
      </c>
      <c r="AU748" s="48">
        <v>6</v>
      </c>
      <c r="AV748" s="48">
        <v>120</v>
      </c>
      <c r="AW748" s="48">
        <v>114</v>
      </c>
      <c r="AX748" s="48">
        <v>28</v>
      </c>
      <c r="AY748" s="48" t="s">
        <v>8728</v>
      </c>
      <c r="AZ748" s="48" t="s">
        <v>1563</v>
      </c>
      <c r="BA748" s="48">
        <v>32</v>
      </c>
      <c r="BB748" s="47" t="s">
        <v>2485</v>
      </c>
      <c r="BC748" s="47" t="s">
        <v>8726</v>
      </c>
      <c r="BD748" s="47" t="s">
        <v>8374</v>
      </c>
      <c r="BE748" s="48" t="s">
        <v>2449</v>
      </c>
      <c r="BF748" s="48" t="s">
        <v>272</v>
      </c>
      <c r="BG748" s="48" t="s">
        <v>272</v>
      </c>
      <c r="BH748" s="48" t="s">
        <v>2486</v>
      </c>
      <c r="BI748" s="98">
        <v>6.3999999999999997E-6</v>
      </c>
      <c r="BJ748" s="98">
        <v>6.4000000000000001E-2</v>
      </c>
      <c r="BK748" s="48"/>
      <c r="BL748" s="98">
        <f t="shared" si="243"/>
        <v>30.011935194740119</v>
      </c>
      <c r="BM748" s="47" t="s">
        <v>2487</v>
      </c>
      <c r="BN748" s="48"/>
      <c r="BO748" s="48"/>
      <c r="BP748" s="48"/>
      <c r="BQ748" s="48"/>
      <c r="BR748" s="47" t="s">
        <v>2496</v>
      </c>
      <c r="BS748" s="48"/>
      <c r="BT748" s="48"/>
      <c r="BU748" s="228"/>
      <c r="BV748" s="48"/>
      <c r="BW748" s="48"/>
      <c r="BX748" s="48"/>
      <c r="BY748" s="48"/>
      <c r="BZ748" s="48"/>
      <c r="CA748" s="48"/>
      <c r="CB748" s="48"/>
      <c r="CC748" s="48"/>
      <c r="CD748" s="48"/>
      <c r="CE748" s="48"/>
      <c r="CF748" s="48"/>
      <c r="CG748" s="48"/>
      <c r="CH748" s="48"/>
      <c r="CI748" s="98"/>
      <c r="CJ748" s="98"/>
      <c r="CK748" s="49">
        <f t="shared" si="237"/>
        <v>468.93648741781436</v>
      </c>
      <c r="CL748" s="229"/>
      <c r="CM748" s="229"/>
      <c r="CN748" s="229"/>
      <c r="CO748" s="47" t="s">
        <v>2488</v>
      </c>
      <c r="CP748" s="47" t="s">
        <v>2489</v>
      </c>
      <c r="CQ748" s="224" t="s">
        <v>272</v>
      </c>
      <c r="CR748" s="224"/>
      <c r="CS748" s="230" t="s">
        <v>539</v>
      </c>
      <c r="CT748" s="230"/>
      <c r="CU748" s="230"/>
      <c r="CV748" s="335">
        <f t="shared" si="242"/>
        <v>55.439592067746133</v>
      </c>
      <c r="CW748" s="230">
        <f t="shared" si="231"/>
        <v>1</v>
      </c>
      <c r="CX748" s="336"/>
      <c r="CY748" s="230" t="s">
        <v>5921</v>
      </c>
    </row>
    <row r="749" spans="1:103" ht="11.25" customHeight="1" x14ac:dyDescent="0.2">
      <c r="A749" s="72">
        <v>747</v>
      </c>
      <c r="B749" s="224">
        <v>1001</v>
      </c>
      <c r="C749" s="46" t="s">
        <v>6968</v>
      </c>
      <c r="D749" s="46"/>
      <c r="E749" s="114"/>
      <c r="F749" s="114" t="s">
        <v>2855</v>
      </c>
      <c r="G749" s="225">
        <v>57410</v>
      </c>
      <c r="H749" s="47" t="s">
        <v>2856</v>
      </c>
      <c r="I749" s="47" t="s">
        <v>2856</v>
      </c>
      <c r="J749" s="47" t="s">
        <v>2857</v>
      </c>
      <c r="K749" s="47" t="s">
        <v>2039</v>
      </c>
      <c r="L749" s="47" t="s">
        <v>279</v>
      </c>
      <c r="M749" s="47" t="s">
        <v>2858</v>
      </c>
      <c r="N749" s="47" t="s">
        <v>6376</v>
      </c>
      <c r="O749" s="47" t="s">
        <v>281</v>
      </c>
      <c r="P749" s="53"/>
      <c r="Q749" s="53"/>
      <c r="R749" s="53"/>
      <c r="S749" s="53"/>
      <c r="T749" s="48">
        <v>252.27</v>
      </c>
      <c r="U749" s="98">
        <v>0.12684821817893527</v>
      </c>
      <c r="V749" s="98">
        <v>0.70797161771118244</v>
      </c>
      <c r="W749" s="98">
        <v>0.26915348039269166</v>
      </c>
      <c r="X749" s="98">
        <v>0.12684821817893527</v>
      </c>
      <c r="Y749" s="233">
        <v>6.01</v>
      </c>
      <c r="Z749" s="48">
        <v>2.16</v>
      </c>
      <c r="AA749" s="48">
        <v>2.4700000000000002</v>
      </c>
      <c r="AB749" s="48">
        <v>2.38</v>
      </c>
      <c r="AC749" s="48">
        <v>0.82340000000000002</v>
      </c>
      <c r="AD749" s="48">
        <v>2.42</v>
      </c>
      <c r="AE749" s="48">
        <v>2.52</v>
      </c>
      <c r="AF749" s="48">
        <f t="shared" si="239"/>
        <v>2.4700000000000002</v>
      </c>
      <c r="AG749" s="49">
        <v>2.2200000000000002</v>
      </c>
      <c r="AH749" s="98">
        <v>1.0199999999999999E-11</v>
      </c>
      <c r="AI749" s="98"/>
      <c r="AJ749" s="483">
        <f t="shared" si="240"/>
        <v>-9.3799661545507345</v>
      </c>
      <c r="AK749" s="483"/>
      <c r="AL749" s="483">
        <f t="shared" si="241"/>
        <v>-9.3799661545507345</v>
      </c>
      <c r="AM749" s="483">
        <v>-15.56823</v>
      </c>
      <c r="AN749" s="226">
        <v>-10.1</v>
      </c>
      <c r="AO749" s="484">
        <v>8.2799999999999994</v>
      </c>
      <c r="AP749" s="484">
        <v>-2.81</v>
      </c>
      <c r="AQ749" s="48" t="s">
        <v>6311</v>
      </c>
      <c r="AR749" s="48" t="s">
        <v>6311</v>
      </c>
      <c r="AS749" s="227"/>
      <c r="AT749" s="50" t="s">
        <v>266</v>
      </c>
      <c r="AU749" s="48">
        <v>6</v>
      </c>
      <c r="AV749" s="48">
        <v>120</v>
      </c>
      <c r="AW749" s="48">
        <v>114</v>
      </c>
      <c r="AX749" s="48">
        <v>28</v>
      </c>
      <c r="AY749" s="48" t="s">
        <v>8728</v>
      </c>
      <c r="AZ749" s="48" t="s">
        <v>1563</v>
      </c>
      <c r="BA749" s="48">
        <v>32</v>
      </c>
      <c r="BB749" s="47" t="s">
        <v>2485</v>
      </c>
      <c r="BC749" s="47" t="s">
        <v>8726</v>
      </c>
      <c r="BD749" s="47" t="s">
        <v>8374</v>
      </c>
      <c r="BE749" s="48" t="s">
        <v>2449</v>
      </c>
      <c r="BF749" s="48" t="s">
        <v>272</v>
      </c>
      <c r="BG749" s="48" t="s">
        <v>272</v>
      </c>
      <c r="BH749" s="48" t="s">
        <v>2486</v>
      </c>
      <c r="BI749" s="98">
        <v>6.3999999999999997E-6</v>
      </c>
      <c r="BJ749" s="98">
        <v>6.4000000000000001E-2</v>
      </c>
      <c r="BK749" s="48"/>
      <c r="BL749" s="98">
        <f t="shared" si="243"/>
        <v>0.59007063172200003</v>
      </c>
      <c r="BM749" s="47" t="s">
        <v>2487</v>
      </c>
      <c r="BN749" s="48"/>
      <c r="BO749" s="48"/>
      <c r="BP749" s="48"/>
      <c r="BQ749" s="48"/>
      <c r="BR749" s="47" t="s">
        <v>2496</v>
      </c>
      <c r="BS749" s="48"/>
      <c r="BT749" s="48"/>
      <c r="BU749" s="228">
        <v>6.3999999999999997E-6</v>
      </c>
      <c r="BV749" s="48"/>
      <c r="BW749" s="48"/>
      <c r="BX749" s="48"/>
      <c r="BY749" s="48"/>
      <c r="BZ749" s="48"/>
      <c r="CA749" s="48"/>
      <c r="CB749" s="48"/>
      <c r="CC749" s="48"/>
      <c r="CD749" s="48"/>
      <c r="CE749" s="48"/>
      <c r="CF749" s="48"/>
      <c r="CG749" s="48"/>
      <c r="CH749" s="48"/>
      <c r="CI749" s="98"/>
      <c r="CJ749" s="98"/>
      <c r="CK749" s="49">
        <f t="shared" si="237"/>
        <v>9.2198536206562505</v>
      </c>
      <c r="CL749" s="229"/>
      <c r="CM749" s="229"/>
      <c r="CN749" s="229"/>
      <c r="CO749" s="47" t="s">
        <v>2488</v>
      </c>
      <c r="CP749" s="47" t="s">
        <v>2489</v>
      </c>
      <c r="CQ749" s="224" t="s">
        <v>272</v>
      </c>
      <c r="CR749" s="224"/>
      <c r="CS749" s="230" t="s">
        <v>539</v>
      </c>
      <c r="CT749" s="230"/>
      <c r="CU749" s="230"/>
      <c r="CV749" s="335">
        <f t="shared" si="242"/>
        <v>1.9820034090458636</v>
      </c>
      <c r="CW749" s="230">
        <f t="shared" si="231"/>
        <v>1</v>
      </c>
      <c r="CX749" s="336"/>
      <c r="CY749" s="230" t="s">
        <v>5921</v>
      </c>
    </row>
    <row r="750" spans="1:103" ht="11.25" customHeight="1" x14ac:dyDescent="0.2">
      <c r="A750" s="72">
        <v>748</v>
      </c>
      <c r="B750" s="224">
        <v>1878</v>
      </c>
      <c r="C750" s="46" t="s">
        <v>6969</v>
      </c>
      <c r="D750" s="46"/>
      <c r="E750" s="114"/>
      <c r="F750" s="114" t="s">
        <v>5332</v>
      </c>
      <c r="G750" s="225">
        <v>57501</v>
      </c>
      <c r="H750" s="47" t="s">
        <v>5333</v>
      </c>
      <c r="I750" s="47" t="s">
        <v>5333</v>
      </c>
      <c r="J750" s="47" t="s">
        <v>5334</v>
      </c>
      <c r="K750" s="47" t="s">
        <v>426</v>
      </c>
      <c r="L750" s="47"/>
      <c r="M750" s="47"/>
      <c r="N750" s="47"/>
      <c r="O750" s="47"/>
      <c r="P750" s="53"/>
      <c r="Q750" s="53"/>
      <c r="R750" s="53"/>
      <c r="S750" s="53"/>
      <c r="T750" s="48">
        <v>342.3</v>
      </c>
      <c r="U750" s="98">
        <v>6134.9693251533736</v>
      </c>
      <c r="V750" s="98">
        <v>2921.4139643587496</v>
      </c>
      <c r="W750" s="98">
        <v>1318.2567385564073</v>
      </c>
      <c r="X750" s="98">
        <v>6134.9693251533736</v>
      </c>
      <c r="Y750" s="233">
        <v>6.1</v>
      </c>
      <c r="Z750" s="48">
        <v>-4.2699999999999996</v>
      </c>
      <c r="AA750" s="48">
        <v>-3.7</v>
      </c>
      <c r="AB750" s="48">
        <v>-3.66</v>
      </c>
      <c r="AC750" s="48">
        <v>0.48420000000000002</v>
      </c>
      <c r="AD750" s="48">
        <v>-3.57</v>
      </c>
      <c r="AE750" s="48">
        <v>-3.48</v>
      </c>
      <c r="AF750" s="48">
        <f t="shared" si="239"/>
        <v>-3.7</v>
      </c>
      <c r="AG750" s="49">
        <v>-4.7699999999999996</v>
      </c>
      <c r="AH750" s="98">
        <v>4.4699999999999998E-22</v>
      </c>
      <c r="AI750" s="98"/>
      <c r="AJ750" s="483">
        <f t="shared" si="240"/>
        <v>-19.738258803180717</v>
      </c>
      <c r="AK750" s="483"/>
      <c r="AL750" s="483">
        <f t="shared" si="241"/>
        <v>-19.738258803180717</v>
      </c>
      <c r="AM750" s="483">
        <v>-34.980319999999999</v>
      </c>
      <c r="AN750" s="226">
        <v>-26</v>
      </c>
      <c r="AO750" s="484">
        <v>12.81</v>
      </c>
      <c r="AP750" s="484"/>
      <c r="AQ750" s="226" t="s">
        <v>6311</v>
      </c>
      <c r="AR750" s="226" t="s">
        <v>6311</v>
      </c>
      <c r="AS750" s="224"/>
      <c r="AT750" s="50" t="s">
        <v>266</v>
      </c>
      <c r="AU750" s="48">
        <v>6</v>
      </c>
      <c r="AV750" s="48">
        <v>120</v>
      </c>
      <c r="AW750" s="48">
        <v>114</v>
      </c>
      <c r="AX750" s="48">
        <v>28</v>
      </c>
      <c r="AY750" s="48" t="s">
        <v>8728</v>
      </c>
      <c r="AZ750" s="48" t="s">
        <v>1563</v>
      </c>
      <c r="BA750" s="48">
        <v>32</v>
      </c>
      <c r="BB750" s="47" t="s">
        <v>2485</v>
      </c>
      <c r="BC750" s="47" t="s">
        <v>8726</v>
      </c>
      <c r="BD750" s="47" t="s">
        <v>8374</v>
      </c>
      <c r="BE750" s="48" t="s">
        <v>2449</v>
      </c>
      <c r="BF750" s="48" t="s">
        <v>272</v>
      </c>
      <c r="BG750" s="48" t="s">
        <v>272</v>
      </c>
      <c r="BH750" s="48" t="s">
        <v>2486</v>
      </c>
      <c r="BI750" s="98">
        <v>6.3999999999999997E-6</v>
      </c>
      <c r="BJ750" s="98">
        <v>6.4000000000000001E-2</v>
      </c>
      <c r="BK750" s="48"/>
      <c r="BL750" s="98">
        <f t="shared" si="243"/>
        <v>351307.15898974147</v>
      </c>
      <c r="BM750" s="47" t="s">
        <v>2487</v>
      </c>
      <c r="BN750" s="48"/>
      <c r="BO750" s="48"/>
      <c r="BP750" s="48"/>
      <c r="BQ750" s="48"/>
      <c r="BR750" s="47" t="s">
        <v>2496</v>
      </c>
      <c r="BS750" s="48"/>
      <c r="BT750" s="48"/>
      <c r="BU750" s="228"/>
      <c r="BV750" s="48"/>
      <c r="BW750" s="48"/>
      <c r="BX750" s="48"/>
      <c r="BY750" s="48"/>
      <c r="BZ750" s="48"/>
      <c r="CA750" s="48"/>
      <c r="CB750" s="48"/>
      <c r="CC750" s="48"/>
      <c r="CD750" s="48"/>
      <c r="CE750" s="48"/>
      <c r="CF750" s="48"/>
      <c r="CG750" s="48"/>
      <c r="CH750" s="48"/>
      <c r="CI750" s="98"/>
      <c r="CJ750" s="98"/>
      <c r="CK750" s="49">
        <f t="shared" si="237"/>
        <v>5489174.3592147101</v>
      </c>
      <c r="CL750" s="229"/>
      <c r="CM750" s="229"/>
      <c r="CN750" s="229"/>
      <c r="CO750" s="47" t="s">
        <v>2488</v>
      </c>
      <c r="CP750" s="47" t="s">
        <v>2489</v>
      </c>
      <c r="CQ750" s="224" t="s">
        <v>272</v>
      </c>
      <c r="CR750" s="224"/>
      <c r="CS750" s="230" t="s">
        <v>539</v>
      </c>
      <c r="CT750" s="230"/>
      <c r="CU750" s="230"/>
      <c r="CV750" s="335">
        <f t="shared" si="242"/>
        <v>95858.895705521456</v>
      </c>
      <c r="CW750" s="230">
        <f t="shared" si="231"/>
        <v>1</v>
      </c>
      <c r="CX750" s="336"/>
      <c r="CY750" s="230" t="s">
        <v>5921</v>
      </c>
    </row>
    <row r="751" spans="1:103" ht="11.25" customHeight="1" x14ac:dyDescent="0.2">
      <c r="A751" s="72">
        <v>749</v>
      </c>
      <c r="B751" s="224">
        <v>900</v>
      </c>
      <c r="C751" s="46" t="s">
        <v>6970</v>
      </c>
      <c r="D751" s="46"/>
      <c r="E751" s="114"/>
      <c r="F751" s="114" t="s">
        <v>2567</v>
      </c>
      <c r="G751" s="225">
        <v>57556</v>
      </c>
      <c r="H751" s="47" t="s">
        <v>2568</v>
      </c>
      <c r="I751" s="47" t="s">
        <v>2568</v>
      </c>
      <c r="J751" s="47" t="s">
        <v>2569</v>
      </c>
      <c r="K751" s="47" t="s">
        <v>426</v>
      </c>
      <c r="L751" s="47" t="s">
        <v>5527</v>
      </c>
      <c r="M751" s="47" t="s">
        <v>5960</v>
      </c>
      <c r="N751" s="47"/>
      <c r="O751" s="47"/>
      <c r="P751" s="53"/>
      <c r="Q751" s="53"/>
      <c r="R751" s="53"/>
      <c r="S751" s="53"/>
      <c r="T751" s="48">
        <v>76.09</v>
      </c>
      <c r="U751" s="98">
        <v>13142.331449599158</v>
      </c>
      <c r="V751" s="98">
        <v>10659.745038769877</v>
      </c>
      <c r="W751" s="98">
        <v>6760.8297539198184</v>
      </c>
      <c r="X751" s="98">
        <v>13142.331449599158</v>
      </c>
      <c r="Y751" s="233">
        <v>6.72</v>
      </c>
      <c r="Z751" s="48">
        <v>-0.78</v>
      </c>
      <c r="AA751" s="48">
        <v>-0.92</v>
      </c>
      <c r="AB751" s="48">
        <v>-0.91</v>
      </c>
      <c r="AC751" s="48">
        <v>0.88649999999999995</v>
      </c>
      <c r="AD751" s="48">
        <v>-1.02</v>
      </c>
      <c r="AE751" s="48">
        <v>-1.34</v>
      </c>
      <c r="AF751" s="48">
        <f t="shared" si="239"/>
        <v>-0.92</v>
      </c>
      <c r="AG751" s="49">
        <v>-0.47</v>
      </c>
      <c r="AH751" s="98">
        <v>1.74E-7</v>
      </c>
      <c r="AI751" s="98">
        <v>1.29E-8</v>
      </c>
      <c r="AJ751" s="483">
        <f t="shared" si="240"/>
        <v>-5.148017078030052</v>
      </c>
      <c r="AK751" s="483">
        <f>LOG10(AI751*1000/(0.08206*298.15))</f>
        <v>-6.2779766160134027</v>
      </c>
      <c r="AL751" s="483">
        <f t="shared" si="241"/>
        <v>-6.2779766160134027</v>
      </c>
      <c r="AM751" s="483">
        <v>-6.6144400000000001</v>
      </c>
      <c r="AN751" s="226">
        <v>-6.17</v>
      </c>
      <c r="AO751" s="484">
        <v>14.49</v>
      </c>
      <c r="AP751" s="484"/>
      <c r="AQ751" s="48" t="s">
        <v>6311</v>
      </c>
      <c r="AR751" s="48" t="s">
        <v>6311</v>
      </c>
      <c r="AS751" s="227"/>
      <c r="AT751" s="50" t="s">
        <v>266</v>
      </c>
      <c r="AU751" s="48">
        <v>6</v>
      </c>
      <c r="AV751" s="48">
        <v>120</v>
      </c>
      <c r="AW751" s="48">
        <v>114</v>
      </c>
      <c r="AX751" s="48">
        <v>28</v>
      </c>
      <c r="AY751" s="48" t="s">
        <v>8728</v>
      </c>
      <c r="AZ751" s="48" t="s">
        <v>1563</v>
      </c>
      <c r="BA751" s="48">
        <v>32</v>
      </c>
      <c r="BB751" s="47" t="s">
        <v>2485</v>
      </c>
      <c r="BC751" s="47" t="s">
        <v>8726</v>
      </c>
      <c r="BD751" s="47" t="s">
        <v>8374</v>
      </c>
      <c r="BE751" s="48" t="s">
        <v>2449</v>
      </c>
      <c r="BF751" s="48" t="s">
        <v>272</v>
      </c>
      <c r="BG751" s="48" t="s">
        <v>272</v>
      </c>
      <c r="BH751" s="48" t="s">
        <v>2486</v>
      </c>
      <c r="BI751" s="98">
        <v>6.3999999999999997E-6</v>
      </c>
      <c r="BJ751" s="98">
        <v>6.4000000000000001E-2</v>
      </c>
      <c r="BK751" s="48"/>
      <c r="BL751" s="98">
        <f t="shared" si="243"/>
        <v>257.8208287001068</v>
      </c>
      <c r="BM751" s="47" t="s">
        <v>2487</v>
      </c>
      <c r="BN751" s="48"/>
      <c r="BO751" s="48"/>
      <c r="BP751" s="48"/>
      <c r="BQ751" s="48"/>
      <c r="BR751" s="47" t="s">
        <v>2496</v>
      </c>
      <c r="BS751" s="48"/>
      <c r="BT751" s="48"/>
      <c r="BU751" s="228">
        <v>6.3999999999999997E-6</v>
      </c>
      <c r="BV751" s="48"/>
      <c r="BW751" s="48"/>
      <c r="BX751" s="48"/>
      <c r="BY751" s="48"/>
      <c r="BZ751" s="48"/>
      <c r="CA751" s="48"/>
      <c r="CB751" s="48"/>
      <c r="CC751" s="48"/>
      <c r="CD751" s="48"/>
      <c r="CE751" s="48"/>
      <c r="CF751" s="48"/>
      <c r="CG751" s="48"/>
      <c r="CH751" s="48"/>
      <c r="CI751" s="98"/>
      <c r="CJ751" s="98"/>
      <c r="CK751" s="49">
        <f t="shared" si="237"/>
        <v>4028.4504484391687</v>
      </c>
      <c r="CL751" s="229"/>
      <c r="CM751" s="229"/>
      <c r="CN751" s="229"/>
      <c r="CO751" s="47" t="s">
        <v>2488</v>
      </c>
      <c r="CP751" s="47" t="s">
        <v>2489</v>
      </c>
      <c r="CQ751" s="224">
        <v>2.5233731352408459</v>
      </c>
      <c r="CR751" s="224">
        <f>10^(CJ751-CQ751)</f>
        <v>2.9965868182493223E-3</v>
      </c>
      <c r="CS751" s="230" t="s">
        <v>539</v>
      </c>
      <c r="CT751" s="230"/>
      <c r="CU751" s="230"/>
      <c r="CV751" s="335">
        <f t="shared" si="242"/>
        <v>205348.92889998684</v>
      </c>
      <c r="CW751" s="230">
        <f t="shared" si="231"/>
        <v>1</v>
      </c>
      <c r="CX751" s="336"/>
      <c r="CY751" s="230" t="s">
        <v>6351</v>
      </c>
    </row>
    <row r="752" spans="1:103" ht="11.25" customHeight="1" x14ac:dyDescent="0.2">
      <c r="A752" s="72">
        <v>750</v>
      </c>
      <c r="B752" s="224">
        <v>908</v>
      </c>
      <c r="C752" s="46" t="s">
        <v>6971</v>
      </c>
      <c r="D752" s="46"/>
      <c r="E752" s="114"/>
      <c r="F752" s="114" t="s">
        <v>598</v>
      </c>
      <c r="G752" s="225">
        <v>57636</v>
      </c>
      <c r="H752" s="47" t="s">
        <v>599</v>
      </c>
      <c r="I752" s="47" t="s">
        <v>7940</v>
      </c>
      <c r="J752" s="47"/>
      <c r="K752" s="47" t="s">
        <v>601</v>
      </c>
      <c r="L752" s="47" t="s">
        <v>279</v>
      </c>
      <c r="M752" s="47" t="s">
        <v>6108</v>
      </c>
      <c r="N752" s="47" t="s">
        <v>6386</v>
      </c>
      <c r="O752" s="47" t="s">
        <v>2591</v>
      </c>
      <c r="P752" s="53"/>
      <c r="Q752" s="53"/>
      <c r="R752" s="53"/>
      <c r="S752" s="53"/>
      <c r="T752" s="48">
        <v>296.39999999999998</v>
      </c>
      <c r="U752" s="98">
        <v>3.8124156545209183E-2</v>
      </c>
      <c r="V752" s="98">
        <v>0.39271255060728749</v>
      </c>
      <c r="W752" s="98">
        <v>6.6069344800759591E-3</v>
      </c>
      <c r="X752" s="98">
        <v>3.8124156545209183E-2</v>
      </c>
      <c r="Y752" s="233">
        <v>6.99</v>
      </c>
      <c r="Z752" s="48">
        <v>4.12</v>
      </c>
      <c r="AA752" s="48">
        <v>3.67</v>
      </c>
      <c r="AB752" s="48">
        <v>3.64</v>
      </c>
      <c r="AC752" s="48">
        <v>0.84489999999999998</v>
      </c>
      <c r="AD752" s="48">
        <v>3.87</v>
      </c>
      <c r="AE752" s="48">
        <v>4.5199999999999996</v>
      </c>
      <c r="AF752" s="48">
        <f t="shared" si="239"/>
        <v>3.67</v>
      </c>
      <c r="AG752" s="49">
        <v>3.86</v>
      </c>
      <c r="AH752" s="98">
        <v>7.9400000000000005E-12</v>
      </c>
      <c r="AI752" s="98"/>
      <c r="AJ752" s="483">
        <f t="shared" si="240"/>
        <v>-9.4887458238855551</v>
      </c>
      <c r="AK752" s="483"/>
      <c r="AL752" s="483">
        <f t="shared" si="241"/>
        <v>-9.4887458238855551</v>
      </c>
      <c r="AM752" s="483">
        <v>-18.03331</v>
      </c>
      <c r="AN752" s="226"/>
      <c r="AO752" s="484">
        <v>10.24</v>
      </c>
      <c r="AP752" s="484"/>
      <c r="AQ752" s="48" t="s">
        <v>6311</v>
      </c>
      <c r="AR752" s="48" t="s">
        <v>6311</v>
      </c>
      <c r="AS752" s="227"/>
      <c r="AT752" s="50" t="s">
        <v>266</v>
      </c>
      <c r="AU752" s="48">
        <v>6</v>
      </c>
      <c r="AV752" s="48">
        <v>120</v>
      </c>
      <c r="AW752" s="48">
        <v>114</v>
      </c>
      <c r="AX752" s="48">
        <v>28</v>
      </c>
      <c r="AY752" s="48" t="s">
        <v>8728</v>
      </c>
      <c r="AZ752" s="48" t="s">
        <v>1563</v>
      </c>
      <c r="BA752" s="48">
        <v>32</v>
      </c>
      <c r="BB752" s="47" t="s">
        <v>2485</v>
      </c>
      <c r="BC752" s="47" t="s">
        <v>8726</v>
      </c>
      <c r="BD752" s="47" t="s">
        <v>8374</v>
      </c>
      <c r="BE752" s="48" t="s">
        <v>2449</v>
      </c>
      <c r="BF752" s="48" t="s">
        <v>272</v>
      </c>
      <c r="BG752" s="48" t="s">
        <v>272</v>
      </c>
      <c r="BH752" s="48" t="s">
        <v>2486</v>
      </c>
      <c r="BI752" s="98">
        <v>6.3999999999999997E-6</v>
      </c>
      <c r="BJ752" s="98">
        <v>6.4000000000000001E-2</v>
      </c>
      <c r="BK752" s="48"/>
      <c r="BL752" s="98">
        <f t="shared" si="243"/>
        <v>1.0247737682923289E-2</v>
      </c>
      <c r="BM752" s="47" t="s">
        <v>2487</v>
      </c>
      <c r="BN752" s="48"/>
      <c r="BO752" s="48"/>
      <c r="BP752" s="48"/>
      <c r="BQ752" s="48"/>
      <c r="BR752" s="47" t="s">
        <v>2496</v>
      </c>
      <c r="BS752" s="48"/>
      <c r="BT752" s="48"/>
      <c r="BU752" s="228">
        <v>6.3999999999999997E-5</v>
      </c>
      <c r="BV752" s="48"/>
      <c r="BW752" s="48"/>
      <c r="BX752" s="48"/>
      <c r="BY752" s="48"/>
      <c r="BZ752" s="48"/>
      <c r="CA752" s="48"/>
      <c r="CB752" s="48"/>
      <c r="CC752" s="48"/>
      <c r="CD752" s="48"/>
      <c r="CE752" s="48"/>
      <c r="CF752" s="48"/>
      <c r="CG752" s="48"/>
      <c r="CH752" s="48"/>
      <c r="CI752" s="98"/>
      <c r="CJ752" s="98"/>
      <c r="CK752" s="49">
        <f t="shared" si="237"/>
        <v>0.16012090129567638</v>
      </c>
      <c r="CL752" s="229"/>
      <c r="CM752" s="229"/>
      <c r="CN752" s="229"/>
      <c r="CO752" s="47" t="s">
        <v>2488</v>
      </c>
      <c r="CP752" s="47" t="s">
        <v>2489</v>
      </c>
      <c r="CQ752" s="224">
        <v>-2.2414292779290168</v>
      </c>
      <c r="CR752" s="224">
        <f>10^(CJ752-CQ752)</f>
        <v>174.35294117647069</v>
      </c>
      <c r="CS752" s="230" t="s">
        <v>539</v>
      </c>
      <c r="CT752" s="230"/>
      <c r="CU752" s="230"/>
      <c r="CV752" s="335">
        <f t="shared" si="242"/>
        <v>0.59568994601889347</v>
      </c>
      <c r="CW752" s="230">
        <f t="shared" si="231"/>
        <v>0</v>
      </c>
      <c r="CX752" s="336"/>
      <c r="CY752" s="230" t="s">
        <v>5921</v>
      </c>
    </row>
    <row r="753" spans="1:103" ht="11.25" customHeight="1" x14ac:dyDescent="0.2">
      <c r="A753" s="72">
        <v>751</v>
      </c>
      <c r="B753" s="224">
        <v>1254</v>
      </c>
      <c r="C753" s="46" t="s">
        <v>6972</v>
      </c>
      <c r="D753" s="46"/>
      <c r="E753" s="114"/>
      <c r="F753" s="114" t="s">
        <v>3446</v>
      </c>
      <c r="G753" s="225">
        <v>57830</v>
      </c>
      <c r="H753" s="47" t="s">
        <v>3447</v>
      </c>
      <c r="I753" s="47" t="s">
        <v>3447</v>
      </c>
      <c r="J753" s="47" t="s">
        <v>3448</v>
      </c>
      <c r="K753" s="47" t="s">
        <v>371</v>
      </c>
      <c r="L753" s="47" t="s">
        <v>279</v>
      </c>
      <c r="M753" s="47" t="s">
        <v>3449</v>
      </c>
      <c r="N753" s="47" t="s">
        <v>6386</v>
      </c>
      <c r="O753" s="47" t="s">
        <v>281</v>
      </c>
      <c r="P753" s="53"/>
      <c r="Q753" s="53"/>
      <c r="R753" s="53"/>
      <c r="S753" s="53"/>
      <c r="T753" s="48">
        <v>314.45999999999998</v>
      </c>
      <c r="U753" s="98">
        <v>2.801628188004834E-2</v>
      </c>
      <c r="V753" s="98">
        <v>1.5909813648794759E-2</v>
      </c>
      <c r="W753" s="98">
        <v>2.1379620895022287E-2</v>
      </c>
      <c r="X753" s="98">
        <v>2.801628188004834E-2</v>
      </c>
      <c r="Y753" s="233">
        <v>7</v>
      </c>
      <c r="Z753" s="48">
        <v>3.67</v>
      </c>
      <c r="AA753" s="48">
        <v>3.87</v>
      </c>
      <c r="AB753" s="48">
        <v>3.58</v>
      </c>
      <c r="AC753" s="48">
        <v>0.78669999999999995</v>
      </c>
      <c r="AD753" s="48">
        <v>3.72</v>
      </c>
      <c r="AE753" s="48">
        <v>4.04</v>
      </c>
      <c r="AF753" s="48">
        <f t="shared" ref="AF753:AF784" si="244">IF(AA753=0,AD753,AA753)</f>
        <v>3.87</v>
      </c>
      <c r="AG753" s="49">
        <v>3.72</v>
      </c>
      <c r="AH753" s="98">
        <v>6.4900000000000005E-8</v>
      </c>
      <c r="AI753" s="98"/>
      <c r="AJ753" s="483">
        <f t="shared" ref="AJ753:AJ784" si="245">LOG10(AH753*1000/(0.08206*298.15))</f>
        <v>-5.5763216295122824</v>
      </c>
      <c r="AK753" s="483"/>
      <c r="AL753" s="483">
        <f t="shared" ref="AL753:AL784" si="246">IF(AK753=0,AJ753,AK753)</f>
        <v>-5.5763216295122824</v>
      </c>
      <c r="AM753" s="483">
        <v>-14.412470000000001</v>
      </c>
      <c r="AN753" s="226">
        <v>-7.7</v>
      </c>
      <c r="AO753" s="484"/>
      <c r="AP753" s="484"/>
      <c r="AQ753" s="48" t="s">
        <v>6311</v>
      </c>
      <c r="AR753" s="48" t="s">
        <v>6311</v>
      </c>
      <c r="AS753" s="227"/>
      <c r="AT753" s="50" t="s">
        <v>266</v>
      </c>
      <c r="AU753" s="48">
        <v>6</v>
      </c>
      <c r="AV753" s="48">
        <v>120</v>
      </c>
      <c r="AW753" s="48">
        <v>114</v>
      </c>
      <c r="AX753" s="48">
        <v>28</v>
      </c>
      <c r="AY753" s="48" t="s">
        <v>8728</v>
      </c>
      <c r="AZ753" s="48" t="s">
        <v>1563</v>
      </c>
      <c r="BA753" s="48">
        <v>32</v>
      </c>
      <c r="BB753" s="47" t="s">
        <v>2485</v>
      </c>
      <c r="BC753" s="47" t="s">
        <v>8726</v>
      </c>
      <c r="BD753" s="47" t="s">
        <v>8374</v>
      </c>
      <c r="BE753" s="48" t="s">
        <v>2449</v>
      </c>
      <c r="BF753" s="48" t="s">
        <v>272</v>
      </c>
      <c r="BG753" s="48" t="s">
        <v>272</v>
      </c>
      <c r="BH753" s="48" t="s">
        <v>2486</v>
      </c>
      <c r="BI753" s="98">
        <v>6.3999999999999997E-6</v>
      </c>
      <c r="BJ753" s="98">
        <v>6.4000000000000001E-2</v>
      </c>
      <c r="BK753" s="48"/>
      <c r="BL753" s="98">
        <f t="shared" si="243"/>
        <v>2.5988008491637047E-2</v>
      </c>
      <c r="BM753" s="47" t="s">
        <v>2487</v>
      </c>
      <c r="BN753" s="48"/>
      <c r="BO753" s="48"/>
      <c r="BP753" s="48"/>
      <c r="BQ753" s="48"/>
      <c r="BR753" s="47" t="s">
        <v>2496</v>
      </c>
      <c r="BS753" s="48"/>
      <c r="BT753" s="48"/>
      <c r="BU753" s="228">
        <v>6.4000000000000003E-3</v>
      </c>
      <c r="BV753" s="48"/>
      <c r="BW753" s="48"/>
      <c r="BX753" s="48"/>
      <c r="BY753" s="48"/>
      <c r="BZ753" s="48"/>
      <c r="CA753" s="48"/>
      <c r="CB753" s="48"/>
      <c r="CC753" s="48"/>
      <c r="CD753" s="48"/>
      <c r="CE753" s="48"/>
      <c r="CF753" s="48"/>
      <c r="CG753" s="48"/>
      <c r="CH753" s="48"/>
      <c r="CI753" s="98"/>
      <c r="CJ753" s="98"/>
      <c r="CK753" s="49">
        <f t="shared" si="237"/>
        <v>0.40606263268182885</v>
      </c>
      <c r="CL753" s="229"/>
      <c r="CM753" s="229"/>
      <c r="CN753" s="229"/>
      <c r="CO753" s="47" t="s">
        <v>2488</v>
      </c>
      <c r="CP753" s="47" t="s">
        <v>2489</v>
      </c>
      <c r="CQ753" s="224" t="s">
        <v>272</v>
      </c>
      <c r="CR753" s="224"/>
      <c r="CS753" s="230" t="s">
        <v>539</v>
      </c>
      <c r="CT753" s="230"/>
      <c r="CU753" s="230"/>
      <c r="CV753" s="335">
        <f t="shared" si="242"/>
        <v>0.4377544043757553</v>
      </c>
      <c r="CW753" s="230">
        <f t="shared" si="231"/>
        <v>0</v>
      </c>
      <c r="CX753" s="336"/>
      <c r="CY753" s="230" t="s">
        <v>6351</v>
      </c>
    </row>
    <row r="754" spans="1:103" ht="11.25" customHeight="1" x14ac:dyDescent="0.2">
      <c r="A754" s="72">
        <v>752</v>
      </c>
      <c r="B754" s="224">
        <v>1890</v>
      </c>
      <c r="C754" s="46" t="s">
        <v>6973</v>
      </c>
      <c r="D754" s="46"/>
      <c r="E754" s="114"/>
      <c r="F754" s="114" t="s">
        <v>5354</v>
      </c>
      <c r="G754" s="225">
        <v>57852</v>
      </c>
      <c r="H754" s="47" t="s">
        <v>5355</v>
      </c>
      <c r="I754" s="47" t="s">
        <v>5355</v>
      </c>
      <c r="J754" s="47" t="s">
        <v>5356</v>
      </c>
      <c r="K754" s="47" t="s">
        <v>3524</v>
      </c>
      <c r="L754" s="47" t="s">
        <v>279</v>
      </c>
      <c r="M754" s="47" t="s">
        <v>5357</v>
      </c>
      <c r="N754" s="47" t="s">
        <v>6386</v>
      </c>
      <c r="O754" s="47" t="s">
        <v>281</v>
      </c>
      <c r="P754" s="53"/>
      <c r="Q754" s="53"/>
      <c r="R754" s="53"/>
      <c r="S754" s="53"/>
      <c r="T754" s="48">
        <v>344.49</v>
      </c>
      <c r="U754" s="98">
        <v>4.2962059856599608E-3</v>
      </c>
      <c r="V754" s="98">
        <v>1.6525878835379837E-3</v>
      </c>
      <c r="W754" s="98">
        <v>4.3651583224016506E-3</v>
      </c>
      <c r="X754" s="98">
        <v>4.2962059856599608E-3</v>
      </c>
      <c r="Y754" s="233">
        <v>7</v>
      </c>
      <c r="Z754" s="48">
        <v>4.7699999999999996</v>
      </c>
      <c r="AA754" s="48"/>
      <c r="AB754" s="48">
        <v>3.98</v>
      </c>
      <c r="AC754" s="48">
        <v>0.74850000000000005</v>
      </c>
      <c r="AD754" s="48">
        <v>4.3</v>
      </c>
      <c r="AE754" s="48">
        <v>4.9000000000000004</v>
      </c>
      <c r="AF754" s="48">
        <f t="shared" si="244"/>
        <v>4.3</v>
      </c>
      <c r="AG754" s="49">
        <v>4.0599999999999996</v>
      </c>
      <c r="AH754" s="98">
        <v>3.0499999999999999E-7</v>
      </c>
      <c r="AI754" s="98"/>
      <c r="AJ754" s="483">
        <f t="shared" si="245"/>
        <v>-4.9042664869658656</v>
      </c>
      <c r="AK754" s="483"/>
      <c r="AL754" s="483">
        <f t="shared" si="246"/>
        <v>-4.9042664869658656</v>
      </c>
      <c r="AM754" s="483">
        <v>-14.27192</v>
      </c>
      <c r="AN754" s="226">
        <v>-6.94</v>
      </c>
      <c r="AO754" s="484"/>
      <c r="AP754" s="484"/>
      <c r="AQ754" s="226" t="s">
        <v>6311</v>
      </c>
      <c r="AR754" s="226" t="s">
        <v>6312</v>
      </c>
      <c r="AS754" s="224"/>
      <c r="AT754" s="50" t="s">
        <v>266</v>
      </c>
      <c r="AU754" s="48">
        <v>6</v>
      </c>
      <c r="AV754" s="48">
        <v>120</v>
      </c>
      <c r="AW754" s="48">
        <v>114</v>
      </c>
      <c r="AX754" s="48">
        <v>28</v>
      </c>
      <c r="AY754" s="48" t="s">
        <v>8728</v>
      </c>
      <c r="AZ754" s="48" t="s">
        <v>1563</v>
      </c>
      <c r="BA754" s="48">
        <v>32</v>
      </c>
      <c r="BB754" s="47" t="s">
        <v>2485</v>
      </c>
      <c r="BC754" s="47" t="s">
        <v>8726</v>
      </c>
      <c r="BD754" s="47" t="s">
        <v>8374</v>
      </c>
      <c r="BE754" s="48" t="s">
        <v>2449</v>
      </c>
      <c r="BF754" s="48" t="s">
        <v>272</v>
      </c>
      <c r="BG754" s="48" t="s">
        <v>272</v>
      </c>
      <c r="BH754" s="48" t="s">
        <v>2486</v>
      </c>
      <c r="BI754" s="98">
        <v>6.3999999999999997E-6</v>
      </c>
      <c r="BJ754" s="98">
        <v>6.4000000000000001E-2</v>
      </c>
      <c r="BK754" s="48"/>
      <c r="BL754" s="98">
        <f t="shared" si="243"/>
        <v>2.6721633306612523E-3</v>
      </c>
      <c r="BM754" s="47" t="s">
        <v>2487</v>
      </c>
      <c r="BN754" s="48"/>
      <c r="BO754" s="48"/>
      <c r="BP754" s="48"/>
      <c r="BQ754" s="48"/>
      <c r="BR754" s="47" t="s">
        <v>2496</v>
      </c>
      <c r="BS754" s="48"/>
      <c r="BT754" s="48"/>
      <c r="BU754" s="228"/>
      <c r="BV754" s="48"/>
      <c r="BW754" s="48"/>
      <c r="BX754" s="48"/>
      <c r="BY754" s="48"/>
      <c r="BZ754" s="48"/>
      <c r="CA754" s="48"/>
      <c r="CB754" s="48"/>
      <c r="CC754" s="48"/>
      <c r="CD754" s="48"/>
      <c r="CE754" s="48"/>
      <c r="CF754" s="48"/>
      <c r="CG754" s="48"/>
      <c r="CH754" s="48"/>
      <c r="CI754" s="98"/>
      <c r="CJ754" s="98"/>
      <c r="CK754" s="49">
        <f t="shared" si="237"/>
        <v>4.1752552041582063E-2</v>
      </c>
      <c r="CL754" s="229"/>
      <c r="CM754" s="229"/>
      <c r="CN754" s="229"/>
      <c r="CO754" s="47" t="s">
        <v>2488</v>
      </c>
      <c r="CP754" s="47" t="s">
        <v>2489</v>
      </c>
      <c r="CQ754" s="224" t="s">
        <v>272</v>
      </c>
      <c r="CR754" s="224"/>
      <c r="CS754" s="230" t="s">
        <v>539</v>
      </c>
      <c r="CT754" s="230"/>
      <c r="CU754" s="230"/>
      <c r="CV754" s="335">
        <f t="shared" si="242"/>
        <v>6.7128218525936881E-2</v>
      </c>
      <c r="CW754" s="230">
        <f t="shared" si="231"/>
        <v>0</v>
      </c>
      <c r="CX754" s="336"/>
      <c r="CY754" s="230" t="s">
        <v>5921</v>
      </c>
    </row>
    <row r="755" spans="1:103" ht="11.25" customHeight="1" x14ac:dyDescent="0.2">
      <c r="A755" s="72">
        <v>753</v>
      </c>
      <c r="B755" s="224">
        <v>907</v>
      </c>
      <c r="C755" s="46" t="s">
        <v>6974</v>
      </c>
      <c r="D755" s="46"/>
      <c r="E755" s="114"/>
      <c r="F755" s="114" t="s">
        <v>2589</v>
      </c>
      <c r="G755" s="225">
        <v>57910</v>
      </c>
      <c r="H755" s="47" t="s">
        <v>2590</v>
      </c>
      <c r="I755" s="47" t="s">
        <v>2590</v>
      </c>
      <c r="J755" s="47" t="s">
        <v>600</v>
      </c>
      <c r="K755" s="47" t="s">
        <v>349</v>
      </c>
      <c r="L755" s="51"/>
      <c r="M755" s="47"/>
      <c r="N755" s="47"/>
      <c r="O755" s="47"/>
      <c r="P755" s="53"/>
      <c r="Q755" s="53"/>
      <c r="R755" s="53"/>
      <c r="S755" s="53"/>
      <c r="T755" s="48">
        <v>272.38</v>
      </c>
      <c r="U755" s="98">
        <v>1.4318231881929657E-2</v>
      </c>
      <c r="V755" s="98">
        <v>0.30093986342609591</v>
      </c>
      <c r="W755" s="98">
        <v>1.1220184543019627E-2</v>
      </c>
      <c r="X755" s="98">
        <v>1.4318231881929657E-2</v>
      </c>
      <c r="Y755" s="233">
        <v>6.99</v>
      </c>
      <c r="Z755" s="48">
        <v>3.94</v>
      </c>
      <c r="AA755" s="48">
        <v>4.01</v>
      </c>
      <c r="AB755" s="48">
        <v>3.37</v>
      </c>
      <c r="AC755" s="48">
        <v>0.78210000000000002</v>
      </c>
      <c r="AD755" s="48">
        <v>3.62</v>
      </c>
      <c r="AE755" s="48">
        <v>4.13</v>
      </c>
      <c r="AF755" s="48">
        <f t="shared" si="244"/>
        <v>4.01</v>
      </c>
      <c r="AG755" s="49">
        <v>3.86</v>
      </c>
      <c r="AH755" s="98">
        <v>3.6399999999999998E-11</v>
      </c>
      <c r="AI755" s="98"/>
      <c r="AJ755" s="483">
        <f t="shared" si="245"/>
        <v>-8.827464942663596</v>
      </c>
      <c r="AK755" s="483"/>
      <c r="AL755" s="483">
        <f t="shared" si="246"/>
        <v>-8.827464942663596</v>
      </c>
      <c r="AM755" s="483">
        <v>-16.673349999999999</v>
      </c>
      <c r="AN755" s="226">
        <v>-9.83</v>
      </c>
      <c r="AO755" s="484">
        <v>10.27</v>
      </c>
      <c r="AP755" s="484"/>
      <c r="AQ755" s="48" t="s">
        <v>6311</v>
      </c>
      <c r="AR755" s="48" t="s">
        <v>6311</v>
      </c>
      <c r="AS755" s="227"/>
      <c r="AT755" s="50" t="s">
        <v>266</v>
      </c>
      <c r="AU755" s="48">
        <v>6</v>
      </c>
      <c r="AV755" s="48">
        <v>120</v>
      </c>
      <c r="AW755" s="48">
        <v>114</v>
      </c>
      <c r="AX755" s="48">
        <v>28</v>
      </c>
      <c r="AY755" s="48" t="s">
        <v>8728</v>
      </c>
      <c r="AZ755" s="48" t="s">
        <v>1563</v>
      </c>
      <c r="BA755" s="48">
        <v>32</v>
      </c>
      <c r="BB755" s="47" t="s">
        <v>2485</v>
      </c>
      <c r="BC755" s="47" t="s">
        <v>8726</v>
      </c>
      <c r="BD755" s="47" t="s">
        <v>8374</v>
      </c>
      <c r="BE755" s="48" t="s">
        <v>2449</v>
      </c>
      <c r="BF755" s="48" t="s">
        <v>272</v>
      </c>
      <c r="BG755" s="48" t="s">
        <v>272</v>
      </c>
      <c r="BH755" s="48" t="s">
        <v>2486</v>
      </c>
      <c r="BI755" s="98">
        <v>6.3999999999999997E-6</v>
      </c>
      <c r="BJ755" s="98">
        <v>6.4000000000000001E-2</v>
      </c>
      <c r="BK755" s="48"/>
      <c r="BL755" s="98">
        <f t="shared" si="243"/>
        <v>1.4869145116357126E-2</v>
      </c>
      <c r="BM755" s="47" t="s">
        <v>2487</v>
      </c>
      <c r="BN755" s="48"/>
      <c r="BO755" s="48"/>
      <c r="BP755" s="48"/>
      <c r="BQ755" s="48"/>
      <c r="BR755" s="47" t="s">
        <v>2496</v>
      </c>
      <c r="BS755" s="48"/>
      <c r="BT755" s="48"/>
      <c r="BU755" s="228">
        <v>6.3999999999999997E-5</v>
      </c>
      <c r="BV755" s="48"/>
      <c r="BW755" s="48"/>
      <c r="BX755" s="48"/>
      <c r="BY755" s="48"/>
      <c r="BZ755" s="48"/>
      <c r="CA755" s="48"/>
      <c r="CB755" s="48"/>
      <c r="CC755" s="48"/>
      <c r="CD755" s="48"/>
      <c r="CE755" s="48"/>
      <c r="CF755" s="48"/>
      <c r="CG755" s="48"/>
      <c r="CH755" s="48"/>
      <c r="CI755" s="98"/>
      <c r="CJ755" s="98"/>
      <c r="CK755" s="49">
        <f t="shared" si="237"/>
        <v>0.23233039244308007</v>
      </c>
      <c r="CL755" s="229"/>
      <c r="CM755" s="229"/>
      <c r="CN755" s="229"/>
      <c r="CO755" s="47" t="s">
        <v>2488</v>
      </c>
      <c r="CP755" s="47" t="s">
        <v>2489</v>
      </c>
      <c r="CQ755" s="224" t="s">
        <v>272</v>
      </c>
      <c r="CR755" s="224"/>
      <c r="CS755" s="230" t="s">
        <v>539</v>
      </c>
      <c r="CT755" s="230"/>
      <c r="CU755" s="230"/>
      <c r="CV755" s="335">
        <f t="shared" si="242"/>
        <v>0.22372237315515089</v>
      </c>
      <c r="CW755" s="230">
        <f t="shared" si="231"/>
        <v>0</v>
      </c>
      <c r="CX755" s="336"/>
      <c r="CY755" s="230" t="s">
        <v>5921</v>
      </c>
    </row>
    <row r="756" spans="1:103" ht="11.25" customHeight="1" x14ac:dyDescent="0.2">
      <c r="A756" s="72">
        <v>754</v>
      </c>
      <c r="B756" s="224">
        <v>1046</v>
      </c>
      <c r="C756" s="46" t="s">
        <v>629</v>
      </c>
      <c r="D756" s="46"/>
      <c r="E756" s="114"/>
      <c r="F756" s="114" t="s">
        <v>630</v>
      </c>
      <c r="G756" s="225">
        <v>58082</v>
      </c>
      <c r="H756" s="47" t="s">
        <v>631</v>
      </c>
      <c r="I756" s="47" t="s">
        <v>631</v>
      </c>
      <c r="J756" s="47" t="s">
        <v>632</v>
      </c>
      <c r="K756" s="47" t="s">
        <v>333</v>
      </c>
      <c r="L756" s="47" t="s">
        <v>279</v>
      </c>
      <c r="M756" s="47" t="s">
        <v>633</v>
      </c>
      <c r="N756" s="47" t="s">
        <v>6376</v>
      </c>
      <c r="O756" s="47" t="s">
        <v>281</v>
      </c>
      <c r="P756" s="53"/>
      <c r="Q756" s="53" t="s">
        <v>6173</v>
      </c>
      <c r="R756" s="53" t="s">
        <v>6185</v>
      </c>
      <c r="S756" s="53" t="s">
        <v>6176</v>
      </c>
      <c r="T756" s="48">
        <v>194.19</v>
      </c>
      <c r="U756" s="98">
        <v>111.23126834543488</v>
      </c>
      <c r="V756" s="98">
        <v>13.55373603172151</v>
      </c>
      <c r="W756" s="98">
        <v>275.4228703338166</v>
      </c>
      <c r="X756" s="98">
        <v>111.23126834543488</v>
      </c>
      <c r="Y756" s="233">
        <v>7.14</v>
      </c>
      <c r="Z756" s="48">
        <v>0.16</v>
      </c>
      <c r="AA756" s="48">
        <v>-7.0000000000000007E-2</v>
      </c>
      <c r="AB756" s="48">
        <v>0.42</v>
      </c>
      <c r="AC756" s="48">
        <v>0.85360000000000003</v>
      </c>
      <c r="AD756" s="48">
        <v>0.28000000000000003</v>
      </c>
      <c r="AE756" s="48">
        <v>-0.13</v>
      </c>
      <c r="AF756" s="48">
        <f t="shared" si="244"/>
        <v>-7.0000000000000007E-2</v>
      </c>
      <c r="AG756" s="49">
        <v>-0.09</v>
      </c>
      <c r="AH756" s="98">
        <v>3.5800000000000002E-11</v>
      </c>
      <c r="AI756" s="98"/>
      <c r="AJ756" s="483">
        <f t="shared" si="245"/>
        <v>-8.834683299668777</v>
      </c>
      <c r="AK756" s="483"/>
      <c r="AL756" s="483">
        <f t="shared" si="246"/>
        <v>-8.834683299668777</v>
      </c>
      <c r="AM756" s="483">
        <v>-12.930309999999999</v>
      </c>
      <c r="AN756" s="226">
        <v>-6.54</v>
      </c>
      <c r="AO756" s="484"/>
      <c r="AP756" s="484">
        <v>0.52</v>
      </c>
      <c r="AQ756" s="48" t="s">
        <v>6311</v>
      </c>
      <c r="AR756" s="48" t="s">
        <v>6311</v>
      </c>
      <c r="AS756" s="227"/>
      <c r="AT756" s="50" t="s">
        <v>266</v>
      </c>
      <c r="AU756" s="48">
        <v>6</v>
      </c>
      <c r="AV756" s="48">
        <v>120</v>
      </c>
      <c r="AW756" s="48">
        <v>114</v>
      </c>
      <c r="AX756" s="48">
        <v>28</v>
      </c>
      <c r="AY756" s="48" t="s">
        <v>8728</v>
      </c>
      <c r="AZ756" s="48" t="s">
        <v>1563</v>
      </c>
      <c r="BA756" s="48">
        <v>32</v>
      </c>
      <c r="BB756" s="47" t="s">
        <v>2485</v>
      </c>
      <c r="BC756" s="47" t="s">
        <v>8726</v>
      </c>
      <c r="BD756" s="47" t="s">
        <v>8374</v>
      </c>
      <c r="BE756" s="48" t="s">
        <v>2449</v>
      </c>
      <c r="BF756" s="48" t="s">
        <v>272</v>
      </c>
      <c r="BG756" s="48" t="s">
        <v>272</v>
      </c>
      <c r="BH756" s="48" t="s">
        <v>2486</v>
      </c>
      <c r="BI756" s="98">
        <v>6.3999999999999997E-6</v>
      </c>
      <c r="BJ756" s="98">
        <v>6.4000000000000001E-2</v>
      </c>
      <c r="BK756" s="48"/>
      <c r="BL756" s="98">
        <f t="shared" si="243"/>
        <v>36.906596779165021</v>
      </c>
      <c r="BM756" s="47" t="s">
        <v>2487</v>
      </c>
      <c r="BN756" s="48"/>
      <c r="BO756" s="48"/>
      <c r="BP756" s="48"/>
      <c r="BQ756" s="48"/>
      <c r="BR756" s="47" t="s">
        <v>2496</v>
      </c>
      <c r="BS756" s="48"/>
      <c r="BT756" s="48"/>
      <c r="BU756" s="228">
        <v>6.3999999999999997E-5</v>
      </c>
      <c r="BV756" s="48"/>
      <c r="BW756" s="48"/>
      <c r="BX756" s="48"/>
      <c r="BY756" s="48"/>
      <c r="BZ756" s="48"/>
      <c r="CA756" s="48"/>
      <c r="CB756" s="48"/>
      <c r="CC756" s="48"/>
      <c r="CD756" s="48"/>
      <c r="CE756" s="48"/>
      <c r="CF756" s="48"/>
      <c r="CG756" s="48"/>
      <c r="CH756" s="48"/>
      <c r="CI756" s="98"/>
      <c r="CJ756" s="98"/>
      <c r="CK756" s="49">
        <f t="shared" si="237"/>
        <v>576.66557467445341</v>
      </c>
      <c r="CL756" s="229"/>
      <c r="CM756" s="229"/>
      <c r="CN756" s="229"/>
      <c r="CO756" s="47" t="s">
        <v>2488</v>
      </c>
      <c r="CP756" s="47" t="s">
        <v>2489</v>
      </c>
      <c r="CQ756" s="224">
        <v>-0.10924991444442339</v>
      </c>
      <c r="CR756" s="224">
        <f>10^(CJ756-CQ756)</f>
        <v>1.2860264900662253</v>
      </c>
      <c r="CS756" s="230" t="s">
        <v>539</v>
      </c>
      <c r="CT756" s="230"/>
      <c r="CU756" s="230"/>
      <c r="CV756" s="335">
        <f t="shared" si="242"/>
        <v>1737.9885678974201</v>
      </c>
      <c r="CW756" s="230">
        <f t="shared" si="231"/>
        <v>1</v>
      </c>
      <c r="CX756" s="336"/>
      <c r="CY756" s="230" t="s">
        <v>6351</v>
      </c>
    </row>
    <row r="757" spans="1:103" ht="11.25" customHeight="1" x14ac:dyDescent="0.2">
      <c r="A757" s="72">
        <v>755</v>
      </c>
      <c r="B757" s="224">
        <v>1846</v>
      </c>
      <c r="C757" s="46" t="s">
        <v>6975</v>
      </c>
      <c r="D757" s="46"/>
      <c r="E757" s="114"/>
      <c r="F757" s="114" t="s">
        <v>5263</v>
      </c>
      <c r="G757" s="225">
        <v>58140</v>
      </c>
      <c r="H757" s="47" t="s">
        <v>5264</v>
      </c>
      <c r="I757" s="47" t="s">
        <v>7982</v>
      </c>
      <c r="J757" s="47" t="s">
        <v>5265</v>
      </c>
      <c r="K757" s="47" t="s">
        <v>3700</v>
      </c>
      <c r="L757" s="47" t="s">
        <v>279</v>
      </c>
      <c r="M757" s="47" t="s">
        <v>5266</v>
      </c>
      <c r="N757" s="47" t="s">
        <v>6383</v>
      </c>
      <c r="O757" s="47" t="s">
        <v>281</v>
      </c>
      <c r="P757" s="53"/>
      <c r="Q757" s="53"/>
      <c r="R757" s="53"/>
      <c r="S757" s="53"/>
      <c r="T757" s="48">
        <v>248.71</v>
      </c>
      <c r="U757" s="98"/>
      <c r="V757" s="98">
        <v>0.48771661774757746</v>
      </c>
      <c r="W757" s="98">
        <v>0.23988329190194879</v>
      </c>
      <c r="X757" s="98">
        <f>IF(W757=0,V757,W757)</f>
        <v>0.23988329190194879</v>
      </c>
      <c r="Y757" s="233">
        <v>8.7799999999999994</v>
      </c>
      <c r="Z757" s="48">
        <v>2.41</v>
      </c>
      <c r="AA757" s="48">
        <v>2.69</v>
      </c>
      <c r="AB757" s="48">
        <v>2.5299999999999998</v>
      </c>
      <c r="AC757" s="48">
        <v>0.93810000000000004</v>
      </c>
      <c r="AD757" s="48">
        <v>2.57</v>
      </c>
      <c r="AE757" s="48">
        <v>2.75</v>
      </c>
      <c r="AF757" s="48">
        <f t="shared" si="244"/>
        <v>2.69</v>
      </c>
      <c r="AG757" s="49">
        <v>2.94</v>
      </c>
      <c r="AH757" s="98">
        <v>1.08E-10</v>
      </c>
      <c r="AI757" s="98"/>
      <c r="AJ757" s="483">
        <f t="shared" si="245"/>
        <v>-8.3551425708257021</v>
      </c>
      <c r="AK757" s="483"/>
      <c r="AL757" s="483">
        <f t="shared" si="246"/>
        <v>-8.3551425708257021</v>
      </c>
      <c r="AM757" s="483">
        <v>-14.7592</v>
      </c>
      <c r="AN757" s="226">
        <v>-10.3</v>
      </c>
      <c r="AO757" s="484"/>
      <c r="AP757" s="484">
        <v>7.18</v>
      </c>
      <c r="AQ757" s="226" t="s">
        <v>6311</v>
      </c>
      <c r="AR757" s="226" t="s">
        <v>6311</v>
      </c>
      <c r="AS757" s="224"/>
      <c r="AT757" s="50" t="s">
        <v>266</v>
      </c>
      <c r="AU757" s="48">
        <v>6</v>
      </c>
      <c r="AV757" s="48">
        <v>120</v>
      </c>
      <c r="AW757" s="48">
        <v>114</v>
      </c>
      <c r="AX757" s="48">
        <v>28</v>
      </c>
      <c r="AY757" s="48" t="s">
        <v>8728</v>
      </c>
      <c r="AZ757" s="48" t="s">
        <v>1563</v>
      </c>
      <c r="BA757" s="48">
        <v>32</v>
      </c>
      <c r="BB757" s="47" t="s">
        <v>2485</v>
      </c>
      <c r="BC757" s="47" t="s">
        <v>8726</v>
      </c>
      <c r="BD757" s="47" t="s">
        <v>8374</v>
      </c>
      <c r="BE757" s="48" t="s">
        <v>2449</v>
      </c>
      <c r="BF757" s="48" t="s">
        <v>272</v>
      </c>
      <c r="BG757" s="48" t="s">
        <v>272</v>
      </c>
      <c r="BH757" s="48" t="s">
        <v>2486</v>
      </c>
      <c r="BI757" s="98">
        <v>6.3999999999999997E-6</v>
      </c>
      <c r="BJ757" s="98">
        <v>6.4000000000000001E-2</v>
      </c>
      <c r="BK757" s="48"/>
      <c r="BL757" s="98">
        <f t="shared" si="243"/>
        <v>0.35186737411361746</v>
      </c>
      <c r="BM757" s="47" t="s">
        <v>2487</v>
      </c>
      <c r="BN757" s="48"/>
      <c r="BO757" s="48"/>
      <c r="BP757" s="48"/>
      <c r="BQ757" s="48"/>
      <c r="BR757" s="47" t="s">
        <v>2496</v>
      </c>
      <c r="BS757" s="48"/>
      <c r="BT757" s="48"/>
      <c r="BU757" s="228"/>
      <c r="BV757" s="48"/>
      <c r="BW757" s="48"/>
      <c r="BX757" s="48"/>
      <c r="BY757" s="48"/>
      <c r="BZ757" s="48"/>
      <c r="CA757" s="48"/>
      <c r="CB757" s="48"/>
      <c r="CC757" s="48"/>
      <c r="CD757" s="48"/>
      <c r="CE757" s="48"/>
      <c r="CF757" s="48"/>
      <c r="CG757" s="48"/>
      <c r="CH757" s="48"/>
      <c r="CI757" s="98"/>
      <c r="CJ757" s="98"/>
      <c r="CK757" s="49">
        <f t="shared" si="237"/>
        <v>5.497927720525273</v>
      </c>
      <c r="CL757" s="229"/>
      <c r="CM757" s="229"/>
      <c r="CN757" s="229"/>
      <c r="CO757" s="47" t="s">
        <v>2488</v>
      </c>
      <c r="CP757" s="47" t="s">
        <v>2489</v>
      </c>
      <c r="CQ757" s="224" t="s">
        <v>272</v>
      </c>
      <c r="CR757" s="224"/>
      <c r="CS757" s="230" t="s">
        <v>539</v>
      </c>
      <c r="CT757" s="230"/>
      <c r="CU757" s="230"/>
      <c r="CV757" s="335">
        <f t="shared" si="242"/>
        <v>3.7481764359679497</v>
      </c>
      <c r="CW757" s="230">
        <f t="shared" si="231"/>
        <v>1</v>
      </c>
      <c r="CX757" s="336"/>
      <c r="CY757" s="230" t="s">
        <v>5921</v>
      </c>
    </row>
    <row r="758" spans="1:103" ht="11.25" customHeight="1" x14ac:dyDescent="0.2">
      <c r="A758" s="72">
        <v>756</v>
      </c>
      <c r="B758" s="224">
        <v>911</v>
      </c>
      <c r="C758" s="46" t="s">
        <v>6976</v>
      </c>
      <c r="D758" s="46"/>
      <c r="E758" s="114"/>
      <c r="F758" s="114" t="s">
        <v>2599</v>
      </c>
      <c r="G758" s="225">
        <v>58184</v>
      </c>
      <c r="H758" s="47" t="s">
        <v>2600</v>
      </c>
      <c r="I758" s="47" t="s">
        <v>2600</v>
      </c>
      <c r="J758" s="47" t="s">
        <v>2601</v>
      </c>
      <c r="K758" s="47" t="s">
        <v>371</v>
      </c>
      <c r="L758" s="47"/>
      <c r="M758" s="47" t="s">
        <v>2602</v>
      </c>
      <c r="N758" s="47" t="s">
        <v>6386</v>
      </c>
      <c r="O758" s="47" t="s">
        <v>2603</v>
      </c>
      <c r="P758" s="53"/>
      <c r="Q758" s="53"/>
      <c r="R758" s="53"/>
      <c r="S758" s="53"/>
      <c r="T758" s="48">
        <v>302.45</v>
      </c>
      <c r="U758" s="98">
        <v>0.11208464208960159</v>
      </c>
      <c r="V758" s="98">
        <v>0.17166473797321874</v>
      </c>
      <c r="W758" s="98">
        <v>2.1877616239495488E-2</v>
      </c>
      <c r="X758" s="98">
        <v>0.11208464208960159</v>
      </c>
      <c r="Y758" s="233">
        <v>7</v>
      </c>
      <c r="Z758" s="48">
        <v>3.72</v>
      </c>
      <c r="AA758" s="48">
        <v>3.36</v>
      </c>
      <c r="AB758" s="48">
        <v>3.37</v>
      </c>
      <c r="AC758" s="48">
        <v>0.87990000000000002</v>
      </c>
      <c r="AD758" s="48">
        <v>3.53</v>
      </c>
      <c r="AE758" s="48">
        <v>4.0199999999999996</v>
      </c>
      <c r="AF758" s="48">
        <f t="shared" si="244"/>
        <v>3.36</v>
      </c>
      <c r="AG758" s="49">
        <v>3.56</v>
      </c>
      <c r="AH758" s="98">
        <v>4.6800000000000004E-9</v>
      </c>
      <c r="AI758" s="98"/>
      <c r="AJ758" s="483">
        <f t="shared" si="245"/>
        <v>-6.7183204732385278</v>
      </c>
      <c r="AK758" s="483"/>
      <c r="AL758" s="483">
        <f t="shared" si="246"/>
        <v>-6.7183204732385278</v>
      </c>
      <c r="AM758" s="483">
        <v>-14.637619999999998</v>
      </c>
      <c r="AN758" s="226">
        <v>-8.0399999999999991</v>
      </c>
      <c r="AO758" s="484">
        <v>15.13</v>
      </c>
      <c r="AP758" s="484"/>
      <c r="AQ758" s="48" t="s">
        <v>6311</v>
      </c>
      <c r="AR758" s="48" t="s">
        <v>6311</v>
      </c>
      <c r="AS758" s="227"/>
      <c r="AT758" s="50" t="s">
        <v>266</v>
      </c>
      <c r="AU758" s="48">
        <v>6</v>
      </c>
      <c r="AV758" s="48">
        <v>120</v>
      </c>
      <c r="AW758" s="48">
        <v>114</v>
      </c>
      <c r="AX758" s="48">
        <v>28</v>
      </c>
      <c r="AY758" s="48" t="s">
        <v>8728</v>
      </c>
      <c r="AZ758" s="48" t="s">
        <v>1563</v>
      </c>
      <c r="BA758" s="48">
        <v>32</v>
      </c>
      <c r="BB758" s="47" t="s">
        <v>2485</v>
      </c>
      <c r="BC758" s="47" t="s">
        <v>8726</v>
      </c>
      <c r="BD758" s="47" t="s">
        <v>8374</v>
      </c>
      <c r="BE758" s="48" t="s">
        <v>2449</v>
      </c>
      <c r="BF758" s="48" t="s">
        <v>272</v>
      </c>
      <c r="BG758" s="48" t="s">
        <v>272</v>
      </c>
      <c r="BH758" s="48" t="s">
        <v>2486</v>
      </c>
      <c r="BI758" s="98">
        <v>6.3999999999999997E-6</v>
      </c>
      <c r="BJ758" s="98">
        <v>6.4000000000000001E-2</v>
      </c>
      <c r="BK758" s="48"/>
      <c r="BL758" s="98">
        <f t="shared" si="243"/>
        <v>2.3435164157943375E-2</v>
      </c>
      <c r="BM758" s="47" t="s">
        <v>2487</v>
      </c>
      <c r="BN758" s="48"/>
      <c r="BO758" s="48"/>
      <c r="BP758" s="48"/>
      <c r="BQ758" s="48"/>
      <c r="BR758" s="47" t="s">
        <v>2496</v>
      </c>
      <c r="BS758" s="48"/>
      <c r="BT758" s="48"/>
      <c r="BU758" s="228">
        <v>5.8560000000000001E-2</v>
      </c>
      <c r="BV758" s="48"/>
      <c r="BW758" s="48"/>
      <c r="BX758" s="48"/>
      <c r="BY758" s="48"/>
      <c r="BZ758" s="48"/>
      <c r="CA758" s="48"/>
      <c r="CB758" s="48"/>
      <c r="CC758" s="48"/>
      <c r="CD758" s="48"/>
      <c r="CE758" s="48"/>
      <c r="CF758" s="48"/>
      <c r="CG758" s="48"/>
      <c r="CH758" s="48"/>
      <c r="CI758" s="98"/>
      <c r="CJ758" s="98"/>
      <c r="CK758" s="49">
        <f t="shared" si="237"/>
        <v>0.36617443996786525</v>
      </c>
      <c r="CL758" s="229"/>
      <c r="CM758" s="229"/>
      <c r="CN758" s="229"/>
      <c r="CO758" s="47" t="s">
        <v>2488</v>
      </c>
      <c r="CP758" s="47" t="s">
        <v>2489</v>
      </c>
      <c r="CQ758" s="224" t="s">
        <v>272</v>
      </c>
      <c r="CR758" s="224"/>
      <c r="CS758" s="230" t="s">
        <v>539</v>
      </c>
      <c r="CT758" s="230"/>
      <c r="CU758" s="230"/>
      <c r="CV758" s="335">
        <f t="shared" si="242"/>
        <v>1.7513225326500248</v>
      </c>
      <c r="CW758" s="230">
        <f t="shared" si="231"/>
        <v>1</v>
      </c>
      <c r="CX758" s="336"/>
      <c r="CY758" s="230" t="s">
        <v>5921</v>
      </c>
    </row>
    <row r="759" spans="1:103" ht="11.25" customHeight="1" x14ac:dyDescent="0.2">
      <c r="A759" s="72">
        <v>757</v>
      </c>
      <c r="B759" s="224">
        <v>1894</v>
      </c>
      <c r="C759" s="46" t="s">
        <v>2238</v>
      </c>
      <c r="D759" s="46" t="s">
        <v>8354</v>
      </c>
      <c r="E759" s="114"/>
      <c r="F759" s="114" t="s">
        <v>2239</v>
      </c>
      <c r="G759" s="225">
        <v>58559</v>
      </c>
      <c r="H759" s="47" t="s">
        <v>2240</v>
      </c>
      <c r="I759" s="47" t="s">
        <v>2240</v>
      </c>
      <c r="J759" s="47" t="s">
        <v>2241</v>
      </c>
      <c r="K759" s="47" t="s">
        <v>333</v>
      </c>
      <c r="L759" s="47" t="s">
        <v>279</v>
      </c>
      <c r="M759" s="47" t="s">
        <v>2242</v>
      </c>
      <c r="N759" s="47" t="s">
        <v>6376</v>
      </c>
      <c r="O759" s="47" t="s">
        <v>281</v>
      </c>
      <c r="P759" s="53"/>
      <c r="Q759" s="53"/>
      <c r="R759" s="53"/>
      <c r="S759" s="53"/>
      <c r="T759" s="48">
        <v>180.16</v>
      </c>
      <c r="U759" s="98">
        <v>40.852575488454711</v>
      </c>
      <c r="V759" s="98">
        <v>16.163410301953821</v>
      </c>
      <c r="W759" s="98">
        <v>52.480746024977243</v>
      </c>
      <c r="X759" s="98">
        <v>40.852575488454711</v>
      </c>
      <c r="Y759" s="233">
        <v>5.28</v>
      </c>
      <c r="Z759" s="48">
        <v>-0.39</v>
      </c>
      <c r="AA759" s="48">
        <v>-0.04</v>
      </c>
      <c r="AB759" s="48">
        <v>0.1</v>
      </c>
      <c r="AC759" s="48">
        <v>0.69630000000000003</v>
      </c>
      <c r="AD759" s="48">
        <v>0</v>
      </c>
      <c r="AE759" s="48">
        <v>-0.17</v>
      </c>
      <c r="AF759" s="48">
        <f t="shared" si="244"/>
        <v>-0.04</v>
      </c>
      <c r="AG759" s="49">
        <v>-0.21</v>
      </c>
      <c r="AH759" s="98">
        <v>1.6799999999999999E-12</v>
      </c>
      <c r="AI759" s="98"/>
      <c r="AJ759" s="483">
        <f t="shared" si="245"/>
        <v>-10.163257044586789</v>
      </c>
      <c r="AK759" s="483"/>
      <c r="AL759" s="483">
        <f t="shared" si="246"/>
        <v>-10.163257044586789</v>
      </c>
      <c r="AM759" s="483">
        <v>-15.289169999999999</v>
      </c>
      <c r="AN759" s="226">
        <v>-9.16</v>
      </c>
      <c r="AO759" s="484">
        <v>8.6</v>
      </c>
      <c r="AP759" s="484">
        <v>1.64</v>
      </c>
      <c r="AQ759" s="226" t="s">
        <v>6311</v>
      </c>
      <c r="AR759" s="226" t="s">
        <v>6311</v>
      </c>
      <c r="AS759" s="224"/>
      <c r="AT759" s="50" t="s">
        <v>266</v>
      </c>
      <c r="AU759" s="48">
        <v>6</v>
      </c>
      <c r="AV759" s="48">
        <v>120</v>
      </c>
      <c r="AW759" s="48">
        <v>114</v>
      </c>
      <c r="AX759" s="48">
        <v>28</v>
      </c>
      <c r="AY759" s="48" t="s">
        <v>8728</v>
      </c>
      <c r="AZ759" s="48" t="s">
        <v>1563</v>
      </c>
      <c r="BA759" s="48">
        <v>32</v>
      </c>
      <c r="BB759" s="47" t="s">
        <v>2485</v>
      </c>
      <c r="BC759" s="47" t="s">
        <v>8726</v>
      </c>
      <c r="BD759" s="47" t="s">
        <v>8374</v>
      </c>
      <c r="BE759" s="48" t="s">
        <v>2449</v>
      </c>
      <c r="BF759" s="48" t="s">
        <v>272</v>
      </c>
      <c r="BG759" s="48" t="s">
        <v>272</v>
      </c>
      <c r="BH759" s="48" t="s">
        <v>2486</v>
      </c>
      <c r="BI759" s="98">
        <v>6.3999999999999997E-6</v>
      </c>
      <c r="BJ759" s="98">
        <v>6.4000000000000001E-2</v>
      </c>
      <c r="BK759" s="48"/>
      <c r="BL759" s="98">
        <f t="shared" si="243"/>
        <v>115.09567386978659</v>
      </c>
      <c r="BM759" s="47" t="s">
        <v>2487</v>
      </c>
      <c r="BN759" s="48"/>
      <c r="BO759" s="48"/>
      <c r="BP759" s="48"/>
      <c r="BQ759" s="48"/>
      <c r="BR759" s="47" t="s">
        <v>2496</v>
      </c>
      <c r="BS759" s="48"/>
      <c r="BT759" s="48"/>
      <c r="BU759" s="228"/>
      <c r="BV759" s="48"/>
      <c r="BW759" s="48"/>
      <c r="BX759" s="48"/>
      <c r="BY759" s="48"/>
      <c r="BZ759" s="48"/>
      <c r="CA759" s="48"/>
      <c r="CB759" s="48"/>
      <c r="CC759" s="48"/>
      <c r="CD759" s="48"/>
      <c r="CE759" s="48"/>
      <c r="CF759" s="48"/>
      <c r="CG759" s="48"/>
      <c r="CH759" s="48"/>
      <c r="CI759" s="98"/>
      <c r="CJ759" s="98"/>
      <c r="CK759" s="49">
        <f t="shared" si="237"/>
        <v>1798.3699042154155</v>
      </c>
      <c r="CL759" s="229"/>
      <c r="CM759" s="229"/>
      <c r="CN759" s="229"/>
      <c r="CO759" s="47" t="s">
        <v>2488</v>
      </c>
      <c r="CP759" s="47" t="s">
        <v>2489</v>
      </c>
      <c r="CQ759" s="224" t="s">
        <v>272</v>
      </c>
      <c r="CR759" s="224"/>
      <c r="CS759" s="230" t="s">
        <v>539</v>
      </c>
      <c r="CT759" s="230"/>
      <c r="CU759" s="230"/>
      <c r="CV759" s="335">
        <f t="shared" si="242"/>
        <v>638.32149200710489</v>
      </c>
      <c r="CW759" s="230">
        <f t="shared" si="231"/>
        <v>1</v>
      </c>
      <c r="CX759" s="336"/>
      <c r="CY759" s="230" t="s">
        <v>6351</v>
      </c>
    </row>
    <row r="760" spans="1:103" ht="11.25" customHeight="1" x14ac:dyDescent="0.2">
      <c r="A760" s="72">
        <v>758</v>
      </c>
      <c r="B760" s="224">
        <v>1720</v>
      </c>
      <c r="C760" s="46" t="s">
        <v>1282</v>
      </c>
      <c r="D760" s="46"/>
      <c r="E760" s="114"/>
      <c r="F760" s="114" t="s">
        <v>1283</v>
      </c>
      <c r="G760" s="225">
        <v>58899</v>
      </c>
      <c r="H760" s="47" t="s">
        <v>1284</v>
      </c>
      <c r="I760" s="47" t="s">
        <v>7983</v>
      </c>
      <c r="J760" s="47" t="s">
        <v>1285</v>
      </c>
      <c r="K760" s="47" t="s">
        <v>426</v>
      </c>
      <c r="L760" s="47" t="s">
        <v>617</v>
      </c>
      <c r="M760" s="47" t="s">
        <v>3081</v>
      </c>
      <c r="N760" s="47" t="s">
        <v>6376</v>
      </c>
      <c r="O760" s="47" t="s">
        <v>1287</v>
      </c>
      <c r="P760" s="53" t="s">
        <v>6183</v>
      </c>
      <c r="Q760" s="53" t="s">
        <v>6176</v>
      </c>
      <c r="R760" s="53" t="s">
        <v>6181</v>
      </c>
      <c r="S760" s="53" t="s">
        <v>6173</v>
      </c>
      <c r="T760" s="48">
        <v>290.83</v>
      </c>
      <c r="U760" s="98">
        <v>2.7507478595743221E-2</v>
      </c>
      <c r="V760" s="98">
        <v>1.3905030430148195E-2</v>
      </c>
      <c r="W760" s="98">
        <v>2.1379620895022287E-2</v>
      </c>
      <c r="X760" s="98">
        <v>2.7507478595743221E-2</v>
      </c>
      <c r="Y760" s="233">
        <v>7</v>
      </c>
      <c r="Z760" s="48">
        <v>4.26</v>
      </c>
      <c r="AA760" s="48">
        <v>4.1399999999999997</v>
      </c>
      <c r="AB760" s="48">
        <v>3.79</v>
      </c>
      <c r="AC760" s="48">
        <v>0.93030000000000002</v>
      </c>
      <c r="AD760" s="48">
        <v>3.82</v>
      </c>
      <c r="AE760" s="48">
        <v>3.99</v>
      </c>
      <c r="AF760" s="48">
        <f t="shared" si="244"/>
        <v>4.1399999999999997</v>
      </c>
      <c r="AG760" s="49">
        <v>3.92</v>
      </c>
      <c r="AH760" s="98">
        <v>2.5599999999999999E-4</v>
      </c>
      <c r="AI760" s="98">
        <v>5.1399999999999999E-6</v>
      </c>
      <c r="AJ760" s="483">
        <f t="shared" si="245"/>
        <v>-1.9803263610008022</v>
      </c>
      <c r="AK760" s="483">
        <f>LOG10(AI760*1000/(0.08206*298.15))</f>
        <v>-3.6776032073173761</v>
      </c>
      <c r="AL760" s="483">
        <f t="shared" si="246"/>
        <v>-3.6776032073173761</v>
      </c>
      <c r="AM760" s="483">
        <v>-6.2972599999999996</v>
      </c>
      <c r="AN760" s="226">
        <v>-3.77</v>
      </c>
      <c r="AO760" s="484"/>
      <c r="AP760" s="484"/>
      <c r="AQ760" s="226" t="s">
        <v>6311</v>
      </c>
      <c r="AR760" s="226" t="s">
        <v>6312</v>
      </c>
      <c r="AS760" s="224"/>
      <c r="AT760" s="50" t="s">
        <v>266</v>
      </c>
      <c r="AU760" s="48">
        <v>6</v>
      </c>
      <c r="AV760" s="48">
        <v>120</v>
      </c>
      <c r="AW760" s="48">
        <v>114</v>
      </c>
      <c r="AX760" s="48">
        <v>28</v>
      </c>
      <c r="AY760" s="48" t="s">
        <v>8728</v>
      </c>
      <c r="AZ760" s="48" t="s">
        <v>1563</v>
      </c>
      <c r="BA760" s="48">
        <v>32</v>
      </c>
      <c r="BB760" s="47" t="s">
        <v>2485</v>
      </c>
      <c r="BC760" s="47" t="s">
        <v>8726</v>
      </c>
      <c r="BD760" s="47" t="s">
        <v>8374</v>
      </c>
      <c r="BE760" s="48" t="s">
        <v>2449</v>
      </c>
      <c r="BF760" s="48" t="s">
        <v>272</v>
      </c>
      <c r="BG760" s="48" t="s">
        <v>272</v>
      </c>
      <c r="BH760" s="48" t="s">
        <v>2486</v>
      </c>
      <c r="BI760" s="98">
        <v>6.3999999999999997E-6</v>
      </c>
      <c r="BJ760" s="98">
        <v>6.4000000000000001E-2</v>
      </c>
      <c r="BK760" s="48"/>
      <c r="BL760" s="98">
        <f t="shared" si="243"/>
        <v>7.6717421921324528E-3</v>
      </c>
      <c r="BM760" s="47" t="s">
        <v>2487</v>
      </c>
      <c r="BN760" s="48"/>
      <c r="BO760" s="48"/>
      <c r="BP760" s="48"/>
      <c r="BQ760" s="48"/>
      <c r="BR760" s="47" t="s">
        <v>2496</v>
      </c>
      <c r="BS760" s="48"/>
      <c r="BT760" s="48"/>
      <c r="BU760" s="228"/>
      <c r="BV760" s="48"/>
      <c r="BW760" s="48"/>
      <c r="BX760" s="48"/>
      <c r="BY760" s="48"/>
      <c r="BZ760" s="48"/>
      <c r="CA760" s="48"/>
      <c r="CB760" s="48"/>
      <c r="CC760" s="48"/>
      <c r="CD760" s="48"/>
      <c r="CE760" s="48"/>
      <c r="CF760" s="48"/>
      <c r="CG760" s="48"/>
      <c r="CH760" s="48"/>
      <c r="CI760" s="98"/>
      <c r="CJ760" s="98"/>
      <c r="CK760" s="49">
        <f t="shared" si="237"/>
        <v>0.11987097175206957</v>
      </c>
      <c r="CL760" s="229"/>
      <c r="CM760" s="229">
        <v>-3.8779488905766821</v>
      </c>
      <c r="CN760" s="229">
        <f>BJ760/(10^CM760)</f>
        <v>483.2021572954755</v>
      </c>
      <c r="CO760" s="47" t="s">
        <v>2488</v>
      </c>
      <c r="CP760" s="47" t="s">
        <v>2489</v>
      </c>
      <c r="CQ760" s="224">
        <v>-3.5684782349238242</v>
      </c>
      <c r="CR760" s="224">
        <f>10^(CJ760-CQ760)</f>
        <v>3702.3565022757025</v>
      </c>
      <c r="CS760" s="230" t="s">
        <v>539</v>
      </c>
      <c r="CT760" s="230"/>
      <c r="CU760" s="230"/>
      <c r="CV760" s="335">
        <f t="shared" si="242"/>
        <v>0.4298043530584878</v>
      </c>
      <c r="CW760" s="230">
        <f t="shared" si="231"/>
        <v>0</v>
      </c>
      <c r="CX760" s="336"/>
      <c r="CY760" s="230" t="s">
        <v>5921</v>
      </c>
    </row>
    <row r="761" spans="1:103" ht="11.25" customHeight="1" x14ac:dyDescent="0.2">
      <c r="A761" s="72">
        <v>759</v>
      </c>
      <c r="B761" s="224">
        <v>1699</v>
      </c>
      <c r="C761" s="46" t="s">
        <v>6977</v>
      </c>
      <c r="D761" s="46"/>
      <c r="E761" s="114"/>
      <c r="F761" s="114" t="s">
        <v>4955</v>
      </c>
      <c r="G761" s="225">
        <v>58935</v>
      </c>
      <c r="H761" s="47" t="s">
        <v>4956</v>
      </c>
      <c r="I761" s="47" t="s">
        <v>7984</v>
      </c>
      <c r="J761" s="47" t="s">
        <v>4957</v>
      </c>
      <c r="K761" s="47" t="s">
        <v>471</v>
      </c>
      <c r="L761" s="47" t="s">
        <v>279</v>
      </c>
      <c r="M761" s="47" t="s">
        <v>4958</v>
      </c>
      <c r="N761" s="47" t="s">
        <v>6383</v>
      </c>
      <c r="O761" s="47" t="s">
        <v>281</v>
      </c>
      <c r="P761" s="53"/>
      <c r="Q761" s="53"/>
      <c r="R761" s="53"/>
      <c r="S761" s="53"/>
      <c r="T761" s="48">
        <v>297.74</v>
      </c>
      <c r="U761" s="98">
        <v>2.4249345066165109</v>
      </c>
      <c r="V761" s="98">
        <v>4.3393564855242825</v>
      </c>
      <c r="W761" s="98">
        <v>5.8884365535558896</v>
      </c>
      <c r="X761" s="98">
        <v>2.4249345066165109</v>
      </c>
      <c r="Y761" s="233">
        <v>5.54</v>
      </c>
      <c r="Z761" s="48">
        <v>-0.1</v>
      </c>
      <c r="AA761" s="48">
        <v>-7.0000000000000007E-2</v>
      </c>
      <c r="AB761" s="48">
        <v>0.03</v>
      </c>
      <c r="AC761" s="48">
        <v>0.91700000000000004</v>
      </c>
      <c r="AD761" s="48">
        <v>0.01</v>
      </c>
      <c r="AE761" s="48">
        <v>-7.0000000000000007E-2</v>
      </c>
      <c r="AF761" s="48">
        <f t="shared" si="244"/>
        <v>-7.0000000000000007E-2</v>
      </c>
      <c r="AG761" s="49">
        <v>-0.3</v>
      </c>
      <c r="AH761" s="98">
        <v>4.3899999999999997E-12</v>
      </c>
      <c r="AI761" s="98"/>
      <c r="AJ761" s="483">
        <f t="shared" si="245"/>
        <v>-9.7461018060705307</v>
      </c>
      <c r="AK761" s="483"/>
      <c r="AL761" s="483">
        <f t="shared" si="246"/>
        <v>-9.7461018060705307</v>
      </c>
      <c r="AM761" s="483">
        <v>-22.838179999999998</v>
      </c>
      <c r="AN761" s="226">
        <v>-21.7</v>
      </c>
      <c r="AO761" s="484">
        <v>8.9499999999999993</v>
      </c>
      <c r="AP761" s="484">
        <v>-4.08</v>
      </c>
      <c r="AQ761" s="226" t="s">
        <v>6311</v>
      </c>
      <c r="AR761" s="226" t="s">
        <v>6311</v>
      </c>
      <c r="AS761" s="224"/>
      <c r="AT761" s="50" t="s">
        <v>266</v>
      </c>
      <c r="AU761" s="48">
        <v>6</v>
      </c>
      <c r="AV761" s="48">
        <v>120</v>
      </c>
      <c r="AW761" s="48">
        <v>114</v>
      </c>
      <c r="AX761" s="48">
        <v>28</v>
      </c>
      <c r="AY761" s="48" t="s">
        <v>8728</v>
      </c>
      <c r="AZ761" s="48" t="s">
        <v>1563</v>
      </c>
      <c r="BA761" s="48">
        <v>32</v>
      </c>
      <c r="BB761" s="47" t="s">
        <v>2485</v>
      </c>
      <c r="BC761" s="47" t="s">
        <v>8726</v>
      </c>
      <c r="BD761" s="47" t="s">
        <v>8374</v>
      </c>
      <c r="BE761" s="48" t="s">
        <v>2449</v>
      </c>
      <c r="BF761" s="48" t="s">
        <v>272</v>
      </c>
      <c r="BG761" s="48" t="s">
        <v>272</v>
      </c>
      <c r="BH761" s="48" t="s">
        <v>2486</v>
      </c>
      <c r="BI761" s="98">
        <v>6.3999999999999997E-6</v>
      </c>
      <c r="BJ761" s="98">
        <v>6.4000000000000001E-2</v>
      </c>
      <c r="BK761" s="48"/>
      <c r="BL761" s="98">
        <f t="shared" si="243"/>
        <v>63.184419527465145</v>
      </c>
      <c r="BM761" s="47" t="s">
        <v>2487</v>
      </c>
      <c r="BN761" s="48"/>
      <c r="BO761" s="48"/>
      <c r="BP761" s="48"/>
      <c r="BQ761" s="48"/>
      <c r="BR761" s="47" t="s">
        <v>2496</v>
      </c>
      <c r="BS761" s="48"/>
      <c r="BT761" s="48"/>
      <c r="BU761" s="228"/>
      <c r="BV761" s="48"/>
      <c r="BW761" s="48"/>
      <c r="BX761" s="48"/>
      <c r="BY761" s="48"/>
      <c r="BZ761" s="48"/>
      <c r="CA761" s="48"/>
      <c r="CB761" s="48"/>
      <c r="CC761" s="48"/>
      <c r="CD761" s="48"/>
      <c r="CE761" s="48"/>
      <c r="CF761" s="48"/>
      <c r="CG761" s="48"/>
      <c r="CH761" s="48"/>
      <c r="CI761" s="98"/>
      <c r="CJ761" s="98"/>
      <c r="CK761" s="49">
        <f t="shared" si="237"/>
        <v>987.25655511664286</v>
      </c>
      <c r="CL761" s="229"/>
      <c r="CM761" s="229"/>
      <c r="CN761" s="229"/>
      <c r="CO761" s="47" t="s">
        <v>2488</v>
      </c>
      <c r="CP761" s="47" t="s">
        <v>2489</v>
      </c>
      <c r="CQ761" s="224" t="s">
        <v>272</v>
      </c>
      <c r="CR761" s="224"/>
      <c r="CS761" s="230" t="s">
        <v>539</v>
      </c>
      <c r="CT761" s="230"/>
      <c r="CU761" s="230"/>
      <c r="CV761" s="335">
        <f t="shared" si="242"/>
        <v>37.889601665882985</v>
      </c>
      <c r="CW761" s="230">
        <f t="shared" si="231"/>
        <v>1</v>
      </c>
      <c r="CX761" s="336"/>
      <c r="CY761" s="230" t="s">
        <v>5921</v>
      </c>
    </row>
    <row r="762" spans="1:103" ht="11.25" customHeight="1" x14ac:dyDescent="0.2">
      <c r="A762" s="72">
        <v>760</v>
      </c>
      <c r="B762" s="224">
        <v>1732</v>
      </c>
      <c r="C762" s="46" t="s">
        <v>6978</v>
      </c>
      <c r="D762" s="46"/>
      <c r="E762" s="114"/>
      <c r="F762" s="114" t="s">
        <v>5010</v>
      </c>
      <c r="G762" s="225">
        <v>59052</v>
      </c>
      <c r="H762" s="47" t="s">
        <v>5011</v>
      </c>
      <c r="I762" s="47" t="s">
        <v>5011</v>
      </c>
      <c r="J762" s="47" t="s">
        <v>5012</v>
      </c>
      <c r="K762" s="47" t="s">
        <v>2815</v>
      </c>
      <c r="L762" s="47" t="s">
        <v>279</v>
      </c>
      <c r="M762" s="47" t="s">
        <v>5013</v>
      </c>
      <c r="N762" s="47"/>
      <c r="O762" s="47" t="s">
        <v>281</v>
      </c>
      <c r="P762" s="53"/>
      <c r="Q762" s="53"/>
      <c r="R762" s="53"/>
      <c r="S762" s="53"/>
      <c r="T762" s="48">
        <v>454.44</v>
      </c>
      <c r="U762" s="98"/>
      <c r="V762" s="98">
        <v>5.7213273479447233</v>
      </c>
      <c r="W762" s="98">
        <v>3.7153522909717271E-3</v>
      </c>
      <c r="X762" s="98">
        <f>IF(W762=0,V762,W762)</f>
        <v>3.7153522909717271E-3</v>
      </c>
      <c r="Y762" s="233">
        <v>5.37</v>
      </c>
      <c r="Z762" s="48">
        <v>-1.28</v>
      </c>
      <c r="AA762" s="48">
        <v>-1.85</v>
      </c>
      <c r="AB762" s="48">
        <v>-0.67</v>
      </c>
      <c r="AC762" s="48">
        <v>0.79859999999999998</v>
      </c>
      <c r="AD762" s="48">
        <v>-0.56000000000000005</v>
      </c>
      <c r="AE762" s="48">
        <v>-0.24</v>
      </c>
      <c r="AF762" s="48">
        <f t="shared" si="244"/>
        <v>-1.85</v>
      </c>
      <c r="AG762" s="49">
        <v>-0.28000000000000003</v>
      </c>
      <c r="AH762" s="98">
        <v>1.5399999999999999E-31</v>
      </c>
      <c r="AI762" s="98"/>
      <c r="AJ762" s="483">
        <f t="shared" si="245"/>
        <v>-29.201045605476189</v>
      </c>
      <c r="AK762" s="483"/>
      <c r="AL762" s="483">
        <f t="shared" si="246"/>
        <v>-29.201045605476189</v>
      </c>
      <c r="AM762" s="483">
        <v>-38.055599999999998</v>
      </c>
      <c r="AN762" s="226">
        <v>-29.3</v>
      </c>
      <c r="AO762" s="484">
        <v>3.47</v>
      </c>
      <c r="AP762" s="484">
        <v>5.55</v>
      </c>
      <c r="AQ762" s="226" t="s">
        <v>6311</v>
      </c>
      <c r="AR762" s="226" t="s">
        <v>6311</v>
      </c>
      <c r="AS762" s="224"/>
      <c r="AT762" s="50" t="s">
        <v>266</v>
      </c>
      <c r="AU762" s="48">
        <v>6</v>
      </c>
      <c r="AV762" s="48">
        <v>120</v>
      </c>
      <c r="AW762" s="48">
        <v>114</v>
      </c>
      <c r="AX762" s="48">
        <v>28</v>
      </c>
      <c r="AY762" s="48" t="s">
        <v>8728</v>
      </c>
      <c r="AZ762" s="48" t="s">
        <v>1563</v>
      </c>
      <c r="BA762" s="48">
        <v>32</v>
      </c>
      <c r="BB762" s="47" t="s">
        <v>2485</v>
      </c>
      <c r="BC762" s="47" t="s">
        <v>8726</v>
      </c>
      <c r="BD762" s="47" t="s">
        <v>8374</v>
      </c>
      <c r="BE762" s="48" t="s">
        <v>2449</v>
      </c>
      <c r="BF762" s="48" t="s">
        <v>272</v>
      </c>
      <c r="BG762" s="48" t="s">
        <v>272</v>
      </c>
      <c r="BH762" s="48" t="s">
        <v>2486</v>
      </c>
      <c r="BI762" s="98">
        <v>6.3999999999999997E-6</v>
      </c>
      <c r="BJ762" s="98">
        <v>6.4000000000000001E-2</v>
      </c>
      <c r="BK762" s="48"/>
      <c r="BL762" s="98">
        <f t="shared" si="243"/>
        <v>725.05007198535236</v>
      </c>
      <c r="BM762" s="47" t="s">
        <v>2487</v>
      </c>
      <c r="BN762" s="48"/>
      <c r="BO762" s="48"/>
      <c r="BP762" s="48"/>
      <c r="BQ762" s="48"/>
      <c r="BR762" s="47" t="s">
        <v>2496</v>
      </c>
      <c r="BS762" s="48"/>
      <c r="BT762" s="48"/>
      <c r="BU762" s="228"/>
      <c r="BV762" s="48"/>
      <c r="BW762" s="48"/>
      <c r="BX762" s="48"/>
      <c r="BY762" s="48"/>
      <c r="BZ762" s="48"/>
      <c r="CA762" s="48"/>
      <c r="CB762" s="48"/>
      <c r="CC762" s="48"/>
      <c r="CD762" s="48"/>
      <c r="CE762" s="48"/>
      <c r="CF762" s="48"/>
      <c r="CG762" s="48"/>
      <c r="CH762" s="48"/>
      <c r="CI762" s="98"/>
      <c r="CJ762" s="98"/>
      <c r="CK762" s="49">
        <f t="shared" si="237"/>
        <v>11328.90737477113</v>
      </c>
      <c r="CL762" s="229"/>
      <c r="CM762" s="229"/>
      <c r="CN762" s="229"/>
      <c r="CO762" s="47" t="s">
        <v>2488</v>
      </c>
      <c r="CP762" s="47" t="s">
        <v>2489</v>
      </c>
      <c r="CQ762" s="224" t="s">
        <v>272</v>
      </c>
      <c r="CR762" s="224"/>
      <c r="CS762" s="230" t="s">
        <v>539</v>
      </c>
      <c r="CT762" s="230"/>
      <c r="CU762" s="230"/>
      <c r="CV762" s="335">
        <f t="shared" si="242"/>
        <v>5.8052379546433233E-2</v>
      </c>
      <c r="CW762" s="230">
        <f t="shared" si="231"/>
        <v>0</v>
      </c>
      <c r="CX762" s="336"/>
      <c r="CY762" s="230" t="s">
        <v>5921</v>
      </c>
    </row>
    <row r="763" spans="1:103" ht="11.25" customHeight="1" x14ac:dyDescent="0.2">
      <c r="A763" s="72">
        <v>761</v>
      </c>
      <c r="B763" s="224">
        <v>1679</v>
      </c>
      <c r="C763" s="46" t="s">
        <v>6979</v>
      </c>
      <c r="D763" s="46"/>
      <c r="E763" s="114"/>
      <c r="F763" s="114" t="s">
        <v>4901</v>
      </c>
      <c r="G763" s="225">
        <v>59303</v>
      </c>
      <c r="H763" s="47" t="s">
        <v>4902</v>
      </c>
      <c r="I763" s="47" t="s">
        <v>4902</v>
      </c>
      <c r="J763" s="47" t="s">
        <v>4903</v>
      </c>
      <c r="K763" s="47" t="s">
        <v>455</v>
      </c>
      <c r="L763" s="47" t="s">
        <v>279</v>
      </c>
      <c r="M763" s="47" t="s">
        <v>4904</v>
      </c>
      <c r="N763" s="47"/>
      <c r="O763" s="47" t="s">
        <v>281</v>
      </c>
      <c r="P763" s="53"/>
      <c r="Q763" s="53"/>
      <c r="R763" s="53"/>
      <c r="S763" s="53"/>
      <c r="T763" s="48">
        <v>441.4</v>
      </c>
      <c r="U763" s="98">
        <v>3.6248300860897151E-3</v>
      </c>
      <c r="V763" s="98">
        <v>46.760308110557318</v>
      </c>
      <c r="W763" s="98">
        <v>11.220184543019634</v>
      </c>
      <c r="X763" s="98">
        <v>3.6248300860897151E-3</v>
      </c>
      <c r="Y763" s="233">
        <v>2.74</v>
      </c>
      <c r="Z763" s="48">
        <v>-2.81</v>
      </c>
      <c r="AA763" s="48"/>
      <c r="AB763" s="48">
        <v>0.02</v>
      </c>
      <c r="AC763" s="48">
        <v>0.3165</v>
      </c>
      <c r="AD763" s="48">
        <v>-1.63</v>
      </c>
      <c r="AE763" s="48">
        <v>-2.73</v>
      </c>
      <c r="AF763" s="48">
        <f t="shared" si="244"/>
        <v>-1.63</v>
      </c>
      <c r="AG763" s="49">
        <v>-0.96</v>
      </c>
      <c r="AH763" s="98">
        <v>3.5499999999999998E-33</v>
      </c>
      <c r="AI763" s="98"/>
      <c r="AJ763" s="483">
        <f t="shared" si="245"/>
        <v>-30.838337973257559</v>
      </c>
      <c r="AK763" s="483"/>
      <c r="AL763" s="483">
        <f t="shared" si="246"/>
        <v>-30.838337973257559</v>
      </c>
      <c r="AM763" s="483">
        <v>-38.279890000000002</v>
      </c>
      <c r="AN763" s="226">
        <v>-37.6</v>
      </c>
      <c r="AO763" s="484">
        <v>3.48</v>
      </c>
      <c r="AP763" s="484">
        <v>-0.17</v>
      </c>
      <c r="AQ763" s="226" t="s">
        <v>6311</v>
      </c>
      <c r="AR763" s="226" t="s">
        <v>6311</v>
      </c>
      <c r="AS763" s="224"/>
      <c r="AT763" s="50" t="s">
        <v>266</v>
      </c>
      <c r="AU763" s="48">
        <v>6</v>
      </c>
      <c r="AV763" s="48">
        <v>120</v>
      </c>
      <c r="AW763" s="48">
        <v>114</v>
      </c>
      <c r="AX763" s="48">
        <v>28</v>
      </c>
      <c r="AY763" s="48" t="s">
        <v>8728</v>
      </c>
      <c r="AZ763" s="48" t="s">
        <v>1563</v>
      </c>
      <c r="BA763" s="48">
        <v>32</v>
      </c>
      <c r="BB763" s="47" t="s">
        <v>2485</v>
      </c>
      <c r="BC763" s="47" t="s">
        <v>8726</v>
      </c>
      <c r="BD763" s="47" t="s">
        <v>8374</v>
      </c>
      <c r="BE763" s="48" t="s">
        <v>2449</v>
      </c>
      <c r="BF763" s="48" t="s">
        <v>272</v>
      </c>
      <c r="BG763" s="48" t="s">
        <v>272</v>
      </c>
      <c r="BH763" s="48" t="s">
        <v>2486</v>
      </c>
      <c r="BI763" s="98">
        <v>6.3999999999999997E-6</v>
      </c>
      <c r="BJ763" s="98">
        <v>6.4000000000000001E-2</v>
      </c>
      <c r="BK763" s="48"/>
      <c r="BL763" s="98">
        <f t="shared" si="243"/>
        <v>17157.776249673116</v>
      </c>
      <c r="BM763" s="47" t="s">
        <v>2487</v>
      </c>
      <c r="BN763" s="48"/>
      <c r="BO763" s="48"/>
      <c r="BP763" s="48"/>
      <c r="BQ763" s="48"/>
      <c r="BR763" s="47" t="s">
        <v>2496</v>
      </c>
      <c r="BS763" s="48"/>
      <c r="BT763" s="48"/>
      <c r="BU763" s="228"/>
      <c r="BV763" s="48"/>
      <c r="BW763" s="48"/>
      <c r="BX763" s="48"/>
      <c r="BY763" s="48"/>
      <c r="BZ763" s="48"/>
      <c r="CA763" s="48"/>
      <c r="CB763" s="48"/>
      <c r="CC763" s="48"/>
      <c r="CD763" s="48"/>
      <c r="CE763" s="48"/>
      <c r="CF763" s="48"/>
      <c r="CG763" s="48"/>
      <c r="CH763" s="48"/>
      <c r="CI763" s="98"/>
      <c r="CJ763" s="98"/>
      <c r="CK763" s="49">
        <f t="shared" si="237"/>
        <v>268090.25390114245</v>
      </c>
      <c r="CL763" s="229"/>
      <c r="CM763" s="229"/>
      <c r="CN763" s="229"/>
      <c r="CO763" s="47" t="s">
        <v>2488</v>
      </c>
      <c r="CP763" s="47" t="s">
        <v>2489</v>
      </c>
      <c r="CQ763" s="224" t="s">
        <v>272</v>
      </c>
      <c r="CR763" s="224"/>
      <c r="CS763" s="230" t="s">
        <v>539</v>
      </c>
      <c r="CT763" s="230"/>
      <c r="CU763" s="230"/>
      <c r="CV763" s="335">
        <f t="shared" si="242"/>
        <v>5.6637970095151799E-2</v>
      </c>
      <c r="CW763" s="230">
        <f t="shared" si="231"/>
        <v>0</v>
      </c>
      <c r="CX763" s="336"/>
      <c r="CY763" s="230" t="s">
        <v>5921</v>
      </c>
    </row>
    <row r="764" spans="1:103" ht="11.25" customHeight="1" x14ac:dyDescent="0.2">
      <c r="A764" s="72">
        <v>762</v>
      </c>
      <c r="B764" s="224">
        <v>1452</v>
      </c>
      <c r="C764" s="46" t="s">
        <v>6980</v>
      </c>
      <c r="D764" s="46"/>
      <c r="E764" s="114"/>
      <c r="F764" s="114" t="s">
        <v>4464</v>
      </c>
      <c r="G764" s="225">
        <v>59507</v>
      </c>
      <c r="H764" s="47" t="s">
        <v>4465</v>
      </c>
      <c r="I764" s="47" t="s">
        <v>7985</v>
      </c>
      <c r="J764" s="47" t="s">
        <v>4466</v>
      </c>
      <c r="K764" s="47" t="s">
        <v>349</v>
      </c>
      <c r="L764" s="47" t="s">
        <v>6150</v>
      </c>
      <c r="M764" s="47" t="s">
        <v>6082</v>
      </c>
      <c r="N764" s="47" t="s">
        <v>6082</v>
      </c>
      <c r="O764" s="47" t="s">
        <v>6083</v>
      </c>
      <c r="P764" s="53" t="s">
        <v>6184</v>
      </c>
      <c r="Q764" s="53" t="s">
        <v>6179</v>
      </c>
      <c r="R764" s="53" t="s">
        <v>6185</v>
      </c>
      <c r="S764" s="53" t="s">
        <v>6176</v>
      </c>
      <c r="T764" s="48">
        <v>142.58000000000001</v>
      </c>
      <c r="U764" s="98">
        <v>26.862112498246596</v>
      </c>
      <c r="V764" s="98">
        <v>4.9046149530088368</v>
      </c>
      <c r="W764" s="98">
        <v>7.4131024130091738</v>
      </c>
      <c r="X764" s="98">
        <v>26.862112498246596</v>
      </c>
      <c r="Y764" s="233">
        <v>5.88</v>
      </c>
      <c r="Z764" s="48">
        <v>2.7</v>
      </c>
      <c r="AA764" s="48">
        <v>3.1</v>
      </c>
      <c r="AB764" s="48">
        <v>2.82</v>
      </c>
      <c r="AC764" s="48">
        <v>0.87980000000000003</v>
      </c>
      <c r="AD764" s="48">
        <v>2.83</v>
      </c>
      <c r="AE764" s="48">
        <v>2.89</v>
      </c>
      <c r="AF764" s="48">
        <f t="shared" si="244"/>
        <v>3.1</v>
      </c>
      <c r="AG764" s="49">
        <v>2.6</v>
      </c>
      <c r="AH764" s="98">
        <v>4.58E-7</v>
      </c>
      <c r="AI764" s="98">
        <v>2.4499999999999998E-6</v>
      </c>
      <c r="AJ764" s="483">
        <f t="shared" si="245"/>
        <v>-4.7277008483087828</v>
      </c>
      <c r="AK764" s="483">
        <f>LOG10(AI764*1000/(0.08206*298.15))</f>
        <v>-3.9994002419481194</v>
      </c>
      <c r="AL764" s="483">
        <f t="shared" si="246"/>
        <v>-3.9994002419481194</v>
      </c>
      <c r="AM764" s="483">
        <v>-7.6166700000000001</v>
      </c>
      <c r="AN764" s="226">
        <v>-4.8600000000000003</v>
      </c>
      <c r="AO764" s="484">
        <v>9.6300000000000008</v>
      </c>
      <c r="AP764" s="484"/>
      <c r="AQ764" s="48" t="s">
        <v>6311</v>
      </c>
      <c r="AR764" s="48" t="s">
        <v>6311</v>
      </c>
      <c r="AS764" s="227"/>
      <c r="AT764" s="50" t="s">
        <v>266</v>
      </c>
      <c r="AU764" s="48">
        <v>6</v>
      </c>
      <c r="AV764" s="48">
        <v>120</v>
      </c>
      <c r="AW764" s="48">
        <v>114</v>
      </c>
      <c r="AX764" s="48">
        <v>28</v>
      </c>
      <c r="AY764" s="48" t="s">
        <v>8728</v>
      </c>
      <c r="AZ764" s="48" t="s">
        <v>1563</v>
      </c>
      <c r="BA764" s="48">
        <v>32</v>
      </c>
      <c r="BB764" s="47" t="s">
        <v>2485</v>
      </c>
      <c r="BC764" s="47" t="s">
        <v>8726</v>
      </c>
      <c r="BD764" s="47" t="s">
        <v>8374</v>
      </c>
      <c r="BE764" s="48" t="s">
        <v>2449</v>
      </c>
      <c r="BF764" s="48" t="s">
        <v>272</v>
      </c>
      <c r="BG764" s="48" t="s">
        <v>272</v>
      </c>
      <c r="BH764" s="48" t="s">
        <v>2486</v>
      </c>
      <c r="BI764" s="98">
        <v>6.3999999999999997E-6</v>
      </c>
      <c r="BJ764" s="98">
        <v>6.4000000000000001E-2</v>
      </c>
      <c r="BK764" s="48"/>
      <c r="BL764" s="98">
        <f t="shared" si="243"/>
        <v>0.19316569456098842</v>
      </c>
      <c r="BM764" s="47" t="s">
        <v>2487</v>
      </c>
      <c r="BN764" s="48"/>
      <c r="BO764" s="48"/>
      <c r="BP764" s="48"/>
      <c r="BQ764" s="48"/>
      <c r="BR764" s="47" t="s">
        <v>2496</v>
      </c>
      <c r="BS764" s="48"/>
      <c r="BT764" s="48"/>
      <c r="BU764" s="228"/>
      <c r="BV764" s="48"/>
      <c r="BW764" s="48"/>
      <c r="BX764" s="48"/>
      <c r="BY764" s="48"/>
      <c r="BZ764" s="48"/>
      <c r="CA764" s="48"/>
      <c r="CB764" s="48"/>
      <c r="CC764" s="48"/>
      <c r="CD764" s="48"/>
      <c r="CE764" s="48"/>
      <c r="CF764" s="48"/>
      <c r="CG764" s="48"/>
      <c r="CH764" s="48"/>
      <c r="CI764" s="98"/>
      <c r="CJ764" s="98"/>
      <c r="CK764" s="49">
        <f t="shared" si="237"/>
        <v>3.018213977515444</v>
      </c>
      <c r="CL764" s="229"/>
      <c r="CM764" s="229"/>
      <c r="CN764" s="229"/>
      <c r="CO764" s="47" t="s">
        <v>2488</v>
      </c>
      <c r="CP764" s="47" t="s">
        <v>2489</v>
      </c>
      <c r="CQ764" s="224">
        <v>-1.7956997746864509</v>
      </c>
      <c r="CR764" s="224">
        <f>10^(CJ764-CQ764)</f>
        <v>62.474066378375205</v>
      </c>
      <c r="CS764" s="230" t="s">
        <v>539</v>
      </c>
      <c r="CT764" s="230"/>
      <c r="CU764" s="230"/>
      <c r="CV764" s="335">
        <f t="shared" si="242"/>
        <v>419.72050778510305</v>
      </c>
      <c r="CW764" s="230">
        <f t="shared" si="231"/>
        <v>1</v>
      </c>
      <c r="CX764" s="336"/>
      <c r="CY764" s="230" t="s">
        <v>6351</v>
      </c>
    </row>
    <row r="765" spans="1:103" ht="11.25" customHeight="1" x14ac:dyDescent="0.2">
      <c r="A765" s="72">
        <v>763</v>
      </c>
      <c r="B765" s="224">
        <v>1206</v>
      </c>
      <c r="C765" s="46" t="s">
        <v>6981</v>
      </c>
      <c r="D765" s="46"/>
      <c r="E765" s="114"/>
      <c r="F765" s="114" t="s">
        <v>3323</v>
      </c>
      <c r="G765" s="225">
        <v>59676</v>
      </c>
      <c r="H765" s="47" t="s">
        <v>3324</v>
      </c>
      <c r="I765" s="47" t="s">
        <v>3324</v>
      </c>
      <c r="J765" s="47" t="s">
        <v>3325</v>
      </c>
      <c r="K765" s="47" t="s">
        <v>426</v>
      </c>
      <c r="L765" s="47" t="s">
        <v>279</v>
      </c>
      <c r="M765" s="47" t="s">
        <v>3326</v>
      </c>
      <c r="N765" s="47"/>
      <c r="O765" s="47" t="s">
        <v>281</v>
      </c>
      <c r="P765" s="53"/>
      <c r="Q765" s="53"/>
      <c r="R765" s="53"/>
      <c r="S765" s="53"/>
      <c r="T765" s="48">
        <v>123.11</v>
      </c>
      <c r="U765" s="98">
        <v>146.21070587279669</v>
      </c>
      <c r="V765" s="98">
        <v>391.11363820973116</v>
      </c>
      <c r="W765" s="98">
        <v>151.35612484362079</v>
      </c>
      <c r="X765" s="98">
        <v>146.21070587279669</v>
      </c>
      <c r="Y765" s="233">
        <v>3.47</v>
      </c>
      <c r="Z765" s="48">
        <v>0.69</v>
      </c>
      <c r="AA765" s="48">
        <v>0.36</v>
      </c>
      <c r="AB765" s="48">
        <v>0.56999999999999995</v>
      </c>
      <c r="AC765" s="48">
        <v>0.88500000000000001</v>
      </c>
      <c r="AD765" s="48">
        <v>0.47</v>
      </c>
      <c r="AE765" s="48">
        <v>0.15</v>
      </c>
      <c r="AF765" s="48">
        <f t="shared" si="244"/>
        <v>0.36</v>
      </c>
      <c r="AG765" s="49">
        <v>0.44</v>
      </c>
      <c r="AH765" s="98">
        <v>1.42E-10</v>
      </c>
      <c r="AI765" s="98"/>
      <c r="AJ765" s="483">
        <f t="shared" si="245"/>
        <v>-8.2362779819295948</v>
      </c>
      <c r="AK765" s="483"/>
      <c r="AL765" s="483">
        <f t="shared" si="246"/>
        <v>-8.2362779819295948</v>
      </c>
      <c r="AM765" s="483">
        <v>-9.4273600000000002</v>
      </c>
      <c r="AN765" s="226">
        <v>-8.4499999999999993</v>
      </c>
      <c r="AO765" s="484">
        <v>2.2000000000000002</v>
      </c>
      <c r="AP765" s="484">
        <v>4.8</v>
      </c>
      <c r="AQ765" s="48" t="s">
        <v>6311</v>
      </c>
      <c r="AR765" s="48" t="s">
        <v>6311</v>
      </c>
      <c r="AS765" s="227"/>
      <c r="AT765" s="50" t="s">
        <v>266</v>
      </c>
      <c r="AU765" s="48">
        <v>6</v>
      </c>
      <c r="AV765" s="48">
        <v>120</v>
      </c>
      <c r="AW765" s="48">
        <v>114</v>
      </c>
      <c r="AX765" s="48">
        <v>28</v>
      </c>
      <c r="AY765" s="48" t="s">
        <v>8728</v>
      </c>
      <c r="AZ765" s="48" t="s">
        <v>1563</v>
      </c>
      <c r="BA765" s="48">
        <v>32</v>
      </c>
      <c r="BB765" s="47" t="s">
        <v>2485</v>
      </c>
      <c r="BC765" s="47" t="s">
        <v>8726</v>
      </c>
      <c r="BD765" s="47" t="s">
        <v>8374</v>
      </c>
      <c r="BE765" s="48" t="s">
        <v>2449</v>
      </c>
      <c r="BF765" s="48" t="s">
        <v>272</v>
      </c>
      <c r="BG765" s="48" t="s">
        <v>272</v>
      </c>
      <c r="BH765" s="48" t="s">
        <v>2486</v>
      </c>
      <c r="BI765" s="98">
        <v>6.3999999999999997E-6</v>
      </c>
      <c r="BJ765" s="98">
        <v>6.4000000000000001E-2</v>
      </c>
      <c r="BK765" s="48"/>
      <c r="BL765" s="98">
        <f t="shared" si="243"/>
        <v>12.334200390060218</v>
      </c>
      <c r="BM765" s="47" t="s">
        <v>2487</v>
      </c>
      <c r="BN765" s="48"/>
      <c r="BO765" s="48"/>
      <c r="BP765" s="48"/>
      <c r="BQ765" s="48"/>
      <c r="BR765" s="47" t="s">
        <v>2496</v>
      </c>
      <c r="BS765" s="48"/>
      <c r="BT765" s="48"/>
      <c r="BU765" s="228">
        <v>6.4000000000000003E-3</v>
      </c>
      <c r="BV765" s="48"/>
      <c r="BW765" s="48"/>
      <c r="BX765" s="48"/>
      <c r="BY765" s="48"/>
      <c r="BZ765" s="48"/>
      <c r="CA765" s="48"/>
      <c r="CB765" s="48"/>
      <c r="CC765" s="48"/>
      <c r="CD765" s="48"/>
      <c r="CE765" s="48"/>
      <c r="CF765" s="48"/>
      <c r="CG765" s="48"/>
      <c r="CH765" s="48"/>
      <c r="CI765" s="98"/>
      <c r="CJ765" s="98"/>
      <c r="CK765" s="49">
        <f t="shared" si="237"/>
        <v>192.7218810946909</v>
      </c>
      <c r="CL765" s="229"/>
      <c r="CM765" s="229"/>
      <c r="CN765" s="229"/>
      <c r="CO765" s="47" t="s">
        <v>2488</v>
      </c>
      <c r="CP765" s="47" t="s">
        <v>2489</v>
      </c>
      <c r="CQ765" s="224" t="s">
        <v>272</v>
      </c>
      <c r="CR765" s="224"/>
      <c r="CS765" s="230" t="s">
        <v>539</v>
      </c>
      <c r="CT765" s="230"/>
      <c r="CU765" s="230"/>
      <c r="CV765" s="335">
        <f t="shared" si="242"/>
        <v>2284.5422792624481</v>
      </c>
      <c r="CW765" s="230">
        <f t="shared" si="231"/>
        <v>1</v>
      </c>
      <c r="CX765" s="336"/>
      <c r="CY765" s="230" t="s">
        <v>6351</v>
      </c>
    </row>
    <row r="766" spans="1:103" ht="11.25" customHeight="1" x14ac:dyDescent="0.2">
      <c r="A766" s="72">
        <v>764</v>
      </c>
      <c r="B766" s="224">
        <v>1780</v>
      </c>
      <c r="C766" s="46" t="s">
        <v>6982</v>
      </c>
      <c r="D766" s="46"/>
      <c r="E766" s="114"/>
      <c r="F766" s="114" t="s">
        <v>5122</v>
      </c>
      <c r="G766" s="225">
        <v>59870</v>
      </c>
      <c r="H766" s="47" t="s">
        <v>5123</v>
      </c>
      <c r="I766" s="47" t="s">
        <v>7986</v>
      </c>
      <c r="J766" s="47" t="s">
        <v>5124</v>
      </c>
      <c r="K766" s="47" t="s">
        <v>2281</v>
      </c>
      <c r="L766" s="47" t="s">
        <v>279</v>
      </c>
      <c r="M766" s="47" t="s">
        <v>5125</v>
      </c>
      <c r="N766" s="47"/>
      <c r="O766" s="47" t="s">
        <v>281</v>
      </c>
      <c r="P766" s="53"/>
      <c r="Q766" s="53"/>
      <c r="R766" s="53"/>
      <c r="S766" s="53"/>
      <c r="T766" s="48">
        <v>198.14</v>
      </c>
      <c r="U766" s="98">
        <v>1.0598566670031291</v>
      </c>
      <c r="V766" s="98">
        <v>2.865145856465126</v>
      </c>
      <c r="W766" s="98">
        <v>3.3884415613920211</v>
      </c>
      <c r="X766" s="98">
        <v>1.0598566670031291</v>
      </c>
      <c r="Y766" s="233">
        <v>6.47</v>
      </c>
      <c r="Z766" s="48">
        <v>0.23</v>
      </c>
      <c r="AA766" s="48">
        <v>0.23</v>
      </c>
      <c r="AB766" s="48">
        <v>0.42</v>
      </c>
      <c r="AC766" s="48">
        <v>0.77129999999999999</v>
      </c>
      <c r="AD766" s="48">
        <v>0.18</v>
      </c>
      <c r="AE766" s="48">
        <v>-0.36</v>
      </c>
      <c r="AF766" s="48">
        <f t="shared" si="244"/>
        <v>0.23</v>
      </c>
      <c r="AG766" s="49">
        <v>0.4</v>
      </c>
      <c r="AH766" s="98">
        <v>3.0999999999999999E-13</v>
      </c>
      <c r="AI766" s="98"/>
      <c r="AJ766" s="483">
        <f t="shared" si="245"/>
        <v>-10.897204632478379</v>
      </c>
      <c r="AK766" s="483"/>
      <c r="AL766" s="483">
        <f t="shared" si="246"/>
        <v>-10.897204632478379</v>
      </c>
      <c r="AM766" s="483">
        <v>-14.329220000000001</v>
      </c>
      <c r="AN766" s="226">
        <v>-11.5</v>
      </c>
      <c r="AO766" s="484">
        <v>10.98</v>
      </c>
      <c r="AP766" s="484">
        <v>-0.45</v>
      </c>
      <c r="AQ766" s="226" t="s">
        <v>6311</v>
      </c>
      <c r="AR766" s="226" t="s">
        <v>6311</v>
      </c>
      <c r="AS766" s="224"/>
      <c r="AT766" s="50" t="s">
        <v>266</v>
      </c>
      <c r="AU766" s="48">
        <v>6</v>
      </c>
      <c r="AV766" s="48">
        <v>120</v>
      </c>
      <c r="AW766" s="48">
        <v>114</v>
      </c>
      <c r="AX766" s="48">
        <v>28</v>
      </c>
      <c r="AY766" s="48" t="s">
        <v>8728</v>
      </c>
      <c r="AZ766" s="48" t="s">
        <v>1563</v>
      </c>
      <c r="BA766" s="48">
        <v>32</v>
      </c>
      <c r="BB766" s="47" t="s">
        <v>2485</v>
      </c>
      <c r="BC766" s="47" t="s">
        <v>8726</v>
      </c>
      <c r="BD766" s="47" t="s">
        <v>8374</v>
      </c>
      <c r="BE766" s="48" t="s">
        <v>2449</v>
      </c>
      <c r="BF766" s="48" t="s">
        <v>272</v>
      </c>
      <c r="BG766" s="48" t="s">
        <v>272</v>
      </c>
      <c r="BH766" s="48" t="s">
        <v>2486</v>
      </c>
      <c r="BI766" s="98">
        <v>6.3999999999999997E-6</v>
      </c>
      <c r="BJ766" s="98">
        <v>6.4000000000000001E-2</v>
      </c>
      <c r="BK766" s="48"/>
      <c r="BL766" s="98">
        <f t="shared" si="243"/>
        <v>31.932799930457652</v>
      </c>
      <c r="BM766" s="47" t="s">
        <v>2487</v>
      </c>
      <c r="BN766" s="48"/>
      <c r="BO766" s="48"/>
      <c r="BP766" s="48"/>
      <c r="BQ766" s="48"/>
      <c r="BR766" s="47" t="s">
        <v>2496</v>
      </c>
      <c r="BS766" s="48"/>
      <c r="BT766" s="48"/>
      <c r="BU766" s="228"/>
      <c r="BV766" s="48"/>
      <c r="BW766" s="48"/>
      <c r="BX766" s="48"/>
      <c r="BY766" s="48"/>
      <c r="BZ766" s="48"/>
      <c r="CA766" s="48"/>
      <c r="CB766" s="48"/>
      <c r="CC766" s="48"/>
      <c r="CD766" s="48"/>
      <c r="CE766" s="48"/>
      <c r="CF766" s="48"/>
      <c r="CG766" s="48"/>
      <c r="CH766" s="48"/>
      <c r="CI766" s="98"/>
      <c r="CJ766" s="98"/>
      <c r="CK766" s="49">
        <f t="shared" si="237"/>
        <v>498.9499989134008</v>
      </c>
      <c r="CL766" s="229"/>
      <c r="CM766" s="229"/>
      <c r="CN766" s="229"/>
      <c r="CO766" s="47" t="s">
        <v>2488</v>
      </c>
      <c r="CP766" s="47" t="s">
        <v>2489</v>
      </c>
      <c r="CQ766" s="224" t="s">
        <v>272</v>
      </c>
      <c r="CR766" s="224"/>
      <c r="CS766" s="230" t="s">
        <v>539</v>
      </c>
      <c r="CT766" s="230"/>
      <c r="CU766" s="230"/>
      <c r="CV766" s="335">
        <f t="shared" si="242"/>
        <v>16.560260421923893</v>
      </c>
      <c r="CW766" s="230">
        <f t="shared" si="231"/>
        <v>1</v>
      </c>
      <c r="CX766" s="336"/>
      <c r="CY766" s="230" t="s">
        <v>5921</v>
      </c>
    </row>
    <row r="767" spans="1:103" ht="11.25" customHeight="1" x14ac:dyDescent="0.2">
      <c r="A767" s="72">
        <v>765</v>
      </c>
      <c r="B767" s="224">
        <v>1448</v>
      </c>
      <c r="C767" s="46" t="s">
        <v>6983</v>
      </c>
      <c r="D767" s="46"/>
      <c r="E767" s="114"/>
      <c r="F767" s="114" t="s">
        <v>4453</v>
      </c>
      <c r="G767" s="225">
        <v>60093</v>
      </c>
      <c r="H767" s="47" t="s">
        <v>4454</v>
      </c>
      <c r="I767" s="47" t="s">
        <v>4454</v>
      </c>
      <c r="J767" s="47" t="s">
        <v>4455</v>
      </c>
      <c r="K767" s="47" t="s">
        <v>1573</v>
      </c>
      <c r="L767" s="47"/>
      <c r="M767" s="47"/>
      <c r="N767" s="47"/>
      <c r="O767" s="47"/>
      <c r="P767" s="53" t="s">
        <v>6172</v>
      </c>
      <c r="Q767" s="53" t="s">
        <v>6173</v>
      </c>
      <c r="R767" s="53" t="s">
        <v>6185</v>
      </c>
      <c r="S767" s="53" t="s">
        <v>6176</v>
      </c>
      <c r="T767" s="48">
        <v>197.24</v>
      </c>
      <c r="U767" s="98">
        <v>0.16223889677550191</v>
      </c>
      <c r="V767" s="98">
        <v>0.10373149462583654</v>
      </c>
      <c r="W767" s="98">
        <v>7.7624711662869064E-2</v>
      </c>
      <c r="X767" s="98">
        <v>0.16223889677550191</v>
      </c>
      <c r="Y767" s="233">
        <v>7.02</v>
      </c>
      <c r="Z767" s="48">
        <v>3.19</v>
      </c>
      <c r="AA767" s="48">
        <v>3.41</v>
      </c>
      <c r="AB767" s="48">
        <v>3.29</v>
      </c>
      <c r="AC767" s="48">
        <v>0.85019999999999996</v>
      </c>
      <c r="AD767" s="48">
        <v>3.32</v>
      </c>
      <c r="AE767" s="48">
        <v>3.41</v>
      </c>
      <c r="AF767" s="48">
        <f t="shared" si="244"/>
        <v>3.41</v>
      </c>
      <c r="AG767" s="49">
        <v>2.77</v>
      </c>
      <c r="AH767" s="98">
        <v>5.2000000000000002E-9</v>
      </c>
      <c r="AI767" s="98"/>
      <c r="AJ767" s="483">
        <f t="shared" si="245"/>
        <v>-6.672562982677853</v>
      </c>
      <c r="AK767" s="483"/>
      <c r="AL767" s="483">
        <f t="shared" si="246"/>
        <v>-6.672562982677853</v>
      </c>
      <c r="AM767" s="483">
        <v>-9.5694200000000009</v>
      </c>
      <c r="AN767" s="226">
        <v>-6.18</v>
      </c>
      <c r="AO767" s="484"/>
      <c r="AP767" s="484">
        <v>3.12</v>
      </c>
      <c r="AQ767" s="48" t="s">
        <v>6311</v>
      </c>
      <c r="AR767" s="48" t="s">
        <v>6311</v>
      </c>
      <c r="AS767" s="227"/>
      <c r="AT767" s="50" t="s">
        <v>266</v>
      </c>
      <c r="AU767" s="48">
        <v>6</v>
      </c>
      <c r="AV767" s="48">
        <v>120</v>
      </c>
      <c r="AW767" s="48">
        <v>114</v>
      </c>
      <c r="AX767" s="48">
        <v>28</v>
      </c>
      <c r="AY767" s="48" t="s">
        <v>8728</v>
      </c>
      <c r="AZ767" s="48" t="s">
        <v>1563</v>
      </c>
      <c r="BA767" s="48">
        <v>32</v>
      </c>
      <c r="BB767" s="47" t="s">
        <v>2485</v>
      </c>
      <c r="BC767" s="47" t="s">
        <v>8726</v>
      </c>
      <c r="BD767" s="47" t="s">
        <v>8374</v>
      </c>
      <c r="BE767" s="48" t="s">
        <v>2449</v>
      </c>
      <c r="BF767" s="48" t="s">
        <v>272</v>
      </c>
      <c r="BG767" s="48" t="s">
        <v>272</v>
      </c>
      <c r="BH767" s="48" t="s">
        <v>2486</v>
      </c>
      <c r="BI767" s="98">
        <v>6.3999999999999997E-6</v>
      </c>
      <c r="BJ767" s="98">
        <v>6.4000000000000001E-2</v>
      </c>
      <c r="BK767" s="48"/>
      <c r="BL767" s="98">
        <f t="shared" si="243"/>
        <v>7.0123082703258524E-2</v>
      </c>
      <c r="BM767" s="47" t="s">
        <v>2487</v>
      </c>
      <c r="BN767" s="48"/>
      <c r="BO767" s="48"/>
      <c r="BP767" s="48"/>
      <c r="BQ767" s="48"/>
      <c r="BR767" s="47" t="s">
        <v>2496</v>
      </c>
      <c r="BS767" s="48"/>
      <c r="BT767" s="48"/>
      <c r="BU767" s="228"/>
      <c r="BV767" s="48"/>
      <c r="BW767" s="48"/>
      <c r="BX767" s="48"/>
      <c r="BY767" s="48"/>
      <c r="BZ767" s="48"/>
      <c r="CA767" s="48"/>
      <c r="CB767" s="48"/>
      <c r="CC767" s="48"/>
      <c r="CD767" s="48"/>
      <c r="CE767" s="48"/>
      <c r="CF767" s="48"/>
      <c r="CG767" s="48"/>
      <c r="CH767" s="48"/>
      <c r="CI767" s="52" t="s">
        <v>6347</v>
      </c>
      <c r="CJ767" s="98"/>
      <c r="CK767" s="49">
        <f t="shared" si="237"/>
        <v>1.0956731672384143</v>
      </c>
      <c r="CL767" s="229"/>
      <c r="CM767" s="229"/>
      <c r="CN767" s="229"/>
      <c r="CO767" s="47" t="s">
        <v>2488</v>
      </c>
      <c r="CP767" s="47" t="s">
        <v>2489</v>
      </c>
      <c r="CQ767" s="224" t="s">
        <v>272</v>
      </c>
      <c r="CR767" s="224"/>
      <c r="CS767" s="230" t="s">
        <v>539</v>
      </c>
      <c r="CT767" s="230"/>
      <c r="CU767" s="230"/>
      <c r="CV767" s="335">
        <f t="shared" si="242"/>
        <v>2.5349827621172172</v>
      </c>
      <c r="CW767" s="230">
        <f t="shared" ref="CW767:CW830" si="247">IF(CV767&lt;1,0,1)</f>
        <v>1</v>
      </c>
      <c r="CX767" s="336"/>
      <c r="CY767" s="230" t="s">
        <v>6351</v>
      </c>
    </row>
    <row r="768" spans="1:103" ht="10.9" customHeight="1" x14ac:dyDescent="0.2">
      <c r="A768" s="72">
        <v>766</v>
      </c>
      <c r="B768" s="224">
        <v>1486</v>
      </c>
      <c r="C768" s="46" t="s">
        <v>6984</v>
      </c>
      <c r="D768" s="46"/>
      <c r="E768" s="114"/>
      <c r="F768" s="114" t="s">
        <v>4567</v>
      </c>
      <c r="G768" s="225">
        <v>60355</v>
      </c>
      <c r="H768" s="47" t="s">
        <v>4568</v>
      </c>
      <c r="I768" s="47" t="s">
        <v>4568</v>
      </c>
      <c r="J768" s="47" t="s">
        <v>4569</v>
      </c>
      <c r="K768" s="47" t="s">
        <v>471</v>
      </c>
      <c r="L768" s="47"/>
      <c r="M768" s="47"/>
      <c r="N768" s="47"/>
      <c r="O768" s="47"/>
      <c r="P768" s="53"/>
      <c r="Q768" s="53"/>
      <c r="R768" s="53"/>
      <c r="S768" s="53"/>
      <c r="T768" s="48">
        <v>59.07</v>
      </c>
      <c r="U768" s="98">
        <v>38090.401218892839</v>
      </c>
      <c r="V768" s="98">
        <v>16929.067208396817</v>
      </c>
      <c r="W768" s="98">
        <v>2187.7616239495524</v>
      </c>
      <c r="X768" s="98">
        <v>38090.401218892839</v>
      </c>
      <c r="Y768" s="233">
        <v>7.12</v>
      </c>
      <c r="Z768" s="48">
        <v>-1.1599999999999999</v>
      </c>
      <c r="AA768" s="48">
        <v>-1.26</v>
      </c>
      <c r="AB768" s="48">
        <v>-0.93</v>
      </c>
      <c r="AC768" s="48">
        <v>0.84370000000000001</v>
      </c>
      <c r="AD768" s="48">
        <v>-1.01</v>
      </c>
      <c r="AE768" s="48">
        <v>-1.23</v>
      </c>
      <c r="AF768" s="48">
        <f t="shared" si="244"/>
        <v>-1.26</v>
      </c>
      <c r="AG768" s="49">
        <v>-0.72</v>
      </c>
      <c r="AH768" s="98">
        <v>1.1199999999999999E-8</v>
      </c>
      <c r="AI768" s="98"/>
      <c r="AJ768" s="483">
        <f t="shared" si="245"/>
        <v>-6.3393483036424705</v>
      </c>
      <c r="AK768" s="483"/>
      <c r="AL768" s="483">
        <f t="shared" si="246"/>
        <v>-6.3393483036424705</v>
      </c>
      <c r="AM768" s="483">
        <v>-7.3004100000000003</v>
      </c>
      <c r="AN768" s="226">
        <v>-7.58</v>
      </c>
      <c r="AO768" s="484">
        <v>16.600000000000001</v>
      </c>
      <c r="AP768" s="484">
        <v>-0.47</v>
      </c>
      <c r="AQ768" s="48" t="s">
        <v>6311</v>
      </c>
      <c r="AR768" s="48" t="s">
        <v>6311</v>
      </c>
      <c r="AS768" s="227"/>
      <c r="AT768" s="50" t="s">
        <v>266</v>
      </c>
      <c r="AU768" s="48">
        <v>6</v>
      </c>
      <c r="AV768" s="48">
        <v>120</v>
      </c>
      <c r="AW768" s="48">
        <v>114</v>
      </c>
      <c r="AX768" s="48">
        <v>28</v>
      </c>
      <c r="AY768" s="48" t="s">
        <v>8728</v>
      </c>
      <c r="AZ768" s="48" t="s">
        <v>1563</v>
      </c>
      <c r="BA768" s="48">
        <v>32</v>
      </c>
      <c r="BB768" s="47" t="s">
        <v>2485</v>
      </c>
      <c r="BC768" s="47" t="s">
        <v>8726</v>
      </c>
      <c r="BD768" s="47" t="s">
        <v>8374</v>
      </c>
      <c r="BE768" s="48" t="s">
        <v>2449</v>
      </c>
      <c r="BF768" s="48" t="s">
        <v>272</v>
      </c>
      <c r="BG768" s="48" t="s">
        <v>272</v>
      </c>
      <c r="BH768" s="48" t="s">
        <v>2486</v>
      </c>
      <c r="BI768" s="98">
        <v>6.3999999999999997E-6</v>
      </c>
      <c r="BJ768" s="98">
        <v>6.4000000000000001E-2</v>
      </c>
      <c r="BK768" s="48"/>
      <c r="BL768" s="98">
        <f t="shared" si="243"/>
        <v>565.71279304620248</v>
      </c>
      <c r="BM768" s="47" t="s">
        <v>2487</v>
      </c>
      <c r="BN768" s="48"/>
      <c r="BO768" s="48"/>
      <c r="BP768" s="48"/>
      <c r="BQ768" s="48"/>
      <c r="BR768" s="47" t="s">
        <v>2496</v>
      </c>
      <c r="BS768" s="48"/>
      <c r="BT768" s="48"/>
      <c r="BU768" s="228"/>
      <c r="BV768" s="48"/>
      <c r="BW768" s="48"/>
      <c r="BX768" s="48"/>
      <c r="BY768" s="48"/>
      <c r="BZ768" s="48"/>
      <c r="CA768" s="48"/>
      <c r="CB768" s="48"/>
      <c r="CC768" s="48"/>
      <c r="CD768" s="48"/>
      <c r="CE768" s="48"/>
      <c r="CF768" s="48"/>
      <c r="CG768" s="48"/>
      <c r="CH768" s="48"/>
      <c r="CI768" s="98"/>
      <c r="CJ768" s="98"/>
      <c r="CK768" s="49">
        <f t="shared" si="237"/>
        <v>8839.2623913469142</v>
      </c>
      <c r="CL768" s="229"/>
      <c r="CM768" s="229"/>
      <c r="CN768" s="229"/>
      <c r="CO768" s="47" t="s">
        <v>2488</v>
      </c>
      <c r="CP768" s="47" t="s">
        <v>2489</v>
      </c>
      <c r="CQ768" s="224" t="s">
        <v>272</v>
      </c>
      <c r="CR768" s="224"/>
      <c r="CS768" s="230" t="s">
        <v>539</v>
      </c>
      <c r="CT768" s="230"/>
      <c r="CU768" s="230"/>
      <c r="CV768" s="335">
        <f t="shared" si="242"/>
        <v>595162.51904520055</v>
      </c>
      <c r="CW768" s="230">
        <f t="shared" si="247"/>
        <v>1</v>
      </c>
      <c r="CX768" s="336"/>
      <c r="CY768" s="230" t="s">
        <v>5921</v>
      </c>
    </row>
    <row r="769" spans="1:103" ht="11.25" customHeight="1" x14ac:dyDescent="0.2">
      <c r="A769" s="72">
        <v>767</v>
      </c>
      <c r="B769" s="224">
        <v>299</v>
      </c>
      <c r="C769" s="46" t="s">
        <v>6985</v>
      </c>
      <c r="D769" s="46"/>
      <c r="E769" s="114"/>
      <c r="F769" s="114" t="s">
        <v>3826</v>
      </c>
      <c r="G769" s="225">
        <v>60515</v>
      </c>
      <c r="H769" s="47" t="s">
        <v>3827</v>
      </c>
      <c r="I769" s="47" t="s">
        <v>3827</v>
      </c>
      <c r="J769" s="47" t="s">
        <v>3828</v>
      </c>
      <c r="K769" s="47" t="s">
        <v>951</v>
      </c>
      <c r="L769" s="47" t="s">
        <v>617</v>
      </c>
      <c r="M769" s="47" t="s">
        <v>618</v>
      </c>
      <c r="N769" s="47" t="s">
        <v>6376</v>
      </c>
      <c r="O769" s="47" t="s">
        <v>1353</v>
      </c>
      <c r="P769" s="53"/>
      <c r="Q769" s="53"/>
      <c r="R769" s="53"/>
      <c r="S769" s="53"/>
      <c r="T769" s="48">
        <v>229.26</v>
      </c>
      <c r="U769" s="98">
        <v>101.63133560150048</v>
      </c>
      <c r="V769" s="98">
        <v>28.901683677920268</v>
      </c>
      <c r="W769" s="98">
        <v>29.512092266663846</v>
      </c>
      <c r="X769" s="98">
        <v>101.63133560150048</v>
      </c>
      <c r="Y769" s="233">
        <v>7</v>
      </c>
      <c r="Z769" s="48">
        <v>0.72</v>
      </c>
      <c r="AA769" s="48">
        <v>0.78</v>
      </c>
      <c r="AB769" s="48">
        <v>1.31</v>
      </c>
      <c r="AC769" s="48">
        <v>0.73839999999999995</v>
      </c>
      <c r="AD769" s="48">
        <v>1.03</v>
      </c>
      <c r="AE769" s="48">
        <v>0.48</v>
      </c>
      <c r="AF769" s="48">
        <f t="shared" si="244"/>
        <v>0.78</v>
      </c>
      <c r="AG769" s="49">
        <v>1.17</v>
      </c>
      <c r="AH769" s="98">
        <v>2.11E-11</v>
      </c>
      <c r="AI769" s="98">
        <v>2.4299999999999999E-10</v>
      </c>
      <c r="AJ769" s="483">
        <f t="shared" si="245"/>
        <v>-9.0642838710149594</v>
      </c>
      <c r="AK769" s="483">
        <f>LOG10(AI769*1000/(0.08206*298.15))</f>
        <v>-8.0029600527143394</v>
      </c>
      <c r="AL769" s="483">
        <f t="shared" si="246"/>
        <v>-8.0029600527143394</v>
      </c>
      <c r="AM769" s="483">
        <v>-12.755280000000001</v>
      </c>
      <c r="AN769" s="226">
        <v>-8.14</v>
      </c>
      <c r="AO769" s="484">
        <v>14.4</v>
      </c>
      <c r="AP769" s="484">
        <v>-0.98</v>
      </c>
      <c r="AQ769" s="226" t="s">
        <v>6311</v>
      </c>
      <c r="AR769" s="226" t="s">
        <v>6311</v>
      </c>
      <c r="AS769" s="224" t="s">
        <v>6</v>
      </c>
      <c r="AT769" s="50" t="s">
        <v>266</v>
      </c>
      <c r="AU769" s="48">
        <v>8</v>
      </c>
      <c r="AV769" s="48">
        <v>144</v>
      </c>
      <c r="AW769" s="48">
        <v>120</v>
      </c>
      <c r="AX769" s="48">
        <v>26</v>
      </c>
      <c r="AY769" s="48" t="s">
        <v>267</v>
      </c>
      <c r="AZ769" s="48" t="s">
        <v>2253</v>
      </c>
      <c r="BA769" s="48">
        <v>2</v>
      </c>
      <c r="BB769" s="47" t="s">
        <v>2254</v>
      </c>
      <c r="BC769" s="47" t="s">
        <v>270</v>
      </c>
      <c r="BD769" s="47" t="s">
        <v>8374</v>
      </c>
      <c r="BE769" s="48" t="s">
        <v>1712</v>
      </c>
      <c r="BF769" s="48" t="s">
        <v>272</v>
      </c>
      <c r="BG769" s="48" t="s">
        <v>272</v>
      </c>
      <c r="BH769" s="48" t="s">
        <v>2255</v>
      </c>
      <c r="BI769" s="98">
        <v>9.9999999999999995E-7</v>
      </c>
      <c r="BJ769" s="98">
        <v>0.08</v>
      </c>
      <c r="BK769" s="48"/>
      <c r="BL769" s="98">
        <f t="shared" si="243"/>
        <v>11.592256976888283</v>
      </c>
      <c r="BM769" s="48" t="s">
        <v>891</v>
      </c>
      <c r="BN769" s="233"/>
      <c r="BO769" s="233"/>
      <c r="BP769" s="233"/>
      <c r="BQ769" s="233"/>
      <c r="BR769" s="233"/>
      <c r="BS769" s="48"/>
      <c r="BT769" s="233"/>
      <c r="BU769" s="228"/>
      <c r="BV769" s="233"/>
      <c r="BW769" s="233"/>
      <c r="BX769" s="233"/>
      <c r="BY769" s="233"/>
      <c r="BZ769" s="233"/>
      <c r="CA769" s="233"/>
      <c r="CB769" s="233"/>
      <c r="CC769" s="48"/>
      <c r="CD769" s="48"/>
      <c r="CE769" s="48"/>
      <c r="CF769" s="48"/>
      <c r="CG769" s="233"/>
      <c r="CH769" s="48"/>
      <c r="CI769" s="98"/>
      <c r="CJ769" s="98"/>
      <c r="CK769" s="49">
        <f t="shared" si="237"/>
        <v>144.90321221110352</v>
      </c>
      <c r="CL769" s="229"/>
      <c r="CM769" s="229"/>
      <c r="CN769" s="229"/>
      <c r="CO769" s="47" t="s">
        <v>892</v>
      </c>
      <c r="CP769" s="47" t="s">
        <v>893</v>
      </c>
      <c r="CQ769" s="224">
        <v>-2.1685783012068014</v>
      </c>
      <c r="CR769" s="224">
        <f>10^(CJ769-CQ769)</f>
        <v>147.42743215848083</v>
      </c>
      <c r="CS769" s="230" t="s">
        <v>539</v>
      </c>
      <c r="CT769" s="230"/>
      <c r="CU769" s="230"/>
      <c r="CV769" s="335">
        <f t="shared" si="242"/>
        <v>1270.3916950187561</v>
      </c>
      <c r="CW769" s="230">
        <f t="shared" si="247"/>
        <v>1</v>
      </c>
      <c r="CX769" s="336" t="s">
        <v>539</v>
      </c>
      <c r="CY769" s="230" t="s">
        <v>5921</v>
      </c>
    </row>
    <row r="770" spans="1:103" ht="11.25" customHeight="1" x14ac:dyDescent="0.2">
      <c r="A770" s="72">
        <v>768</v>
      </c>
      <c r="B770" s="224">
        <v>1614</v>
      </c>
      <c r="C770" s="46" t="s">
        <v>6985</v>
      </c>
      <c r="D770" s="46"/>
      <c r="E770" s="114"/>
      <c r="F770" s="114" t="s">
        <v>3826</v>
      </c>
      <c r="G770" s="225">
        <v>60515</v>
      </c>
      <c r="H770" s="47" t="s">
        <v>3827</v>
      </c>
      <c r="I770" s="47" t="s">
        <v>3827</v>
      </c>
      <c r="J770" s="47" t="s">
        <v>3828</v>
      </c>
      <c r="K770" s="47" t="s">
        <v>951</v>
      </c>
      <c r="L770" s="47" t="s">
        <v>617</v>
      </c>
      <c r="M770" s="47" t="s">
        <v>618</v>
      </c>
      <c r="N770" s="47" t="s">
        <v>6376</v>
      </c>
      <c r="O770" s="47" t="s">
        <v>1353</v>
      </c>
      <c r="P770" s="53"/>
      <c r="Q770" s="53"/>
      <c r="R770" s="53"/>
      <c r="S770" s="53"/>
      <c r="T770" s="48">
        <v>229.26</v>
      </c>
      <c r="U770" s="98">
        <v>101.63133560150048</v>
      </c>
      <c r="V770" s="98">
        <v>28.901683677920268</v>
      </c>
      <c r="W770" s="98">
        <v>29.512092266663846</v>
      </c>
      <c r="X770" s="98">
        <v>101.63133560150048</v>
      </c>
      <c r="Y770" s="233">
        <v>7</v>
      </c>
      <c r="Z770" s="48">
        <v>0.72</v>
      </c>
      <c r="AA770" s="48">
        <v>0.78</v>
      </c>
      <c r="AB770" s="48">
        <v>1.31</v>
      </c>
      <c r="AC770" s="48">
        <v>0.73839999999999995</v>
      </c>
      <c r="AD770" s="48">
        <v>1.03</v>
      </c>
      <c r="AE770" s="48">
        <v>0.48</v>
      </c>
      <c r="AF770" s="48">
        <f t="shared" si="244"/>
        <v>0.78</v>
      </c>
      <c r="AG770" s="49">
        <v>1.17</v>
      </c>
      <c r="AH770" s="98">
        <v>2.11E-11</v>
      </c>
      <c r="AI770" s="98">
        <v>2.4299999999999999E-10</v>
      </c>
      <c r="AJ770" s="483">
        <f t="shared" si="245"/>
        <v>-9.0642838710149594</v>
      </c>
      <c r="AK770" s="483">
        <f>LOG10(AI770*1000/(0.08206*298.15))</f>
        <v>-8.0029600527143394</v>
      </c>
      <c r="AL770" s="483">
        <f t="shared" si="246"/>
        <v>-8.0029600527143394</v>
      </c>
      <c r="AM770" s="483">
        <v>-12.755280000000001</v>
      </c>
      <c r="AN770" s="226">
        <v>-8.14</v>
      </c>
      <c r="AO770" s="484">
        <v>14.4</v>
      </c>
      <c r="AP770" s="484">
        <v>-0.98</v>
      </c>
      <c r="AQ770" s="48" t="s">
        <v>6311</v>
      </c>
      <c r="AR770" s="48" t="s">
        <v>6311</v>
      </c>
      <c r="AS770" s="227"/>
      <c r="AT770" s="50" t="s">
        <v>266</v>
      </c>
      <c r="AU770" s="48">
        <v>6</v>
      </c>
      <c r="AV770" s="48">
        <v>120</v>
      </c>
      <c r="AW770" s="48">
        <v>114</v>
      </c>
      <c r="AX770" s="48">
        <v>28</v>
      </c>
      <c r="AY770" s="48" t="s">
        <v>8728</v>
      </c>
      <c r="AZ770" s="48" t="s">
        <v>1563</v>
      </c>
      <c r="BA770" s="48">
        <v>32</v>
      </c>
      <c r="BB770" s="47" t="s">
        <v>2485</v>
      </c>
      <c r="BC770" s="47" t="s">
        <v>8726</v>
      </c>
      <c r="BD770" s="47" t="s">
        <v>8374</v>
      </c>
      <c r="BE770" s="48" t="s">
        <v>2449</v>
      </c>
      <c r="BF770" s="48" t="s">
        <v>272</v>
      </c>
      <c r="BG770" s="48" t="s">
        <v>272</v>
      </c>
      <c r="BH770" s="48" t="s">
        <v>2486</v>
      </c>
      <c r="BI770" s="98">
        <v>6.3999999999999997E-6</v>
      </c>
      <c r="BJ770" s="98">
        <v>6.4000000000000001E-2</v>
      </c>
      <c r="BK770" s="48"/>
      <c r="BL770" s="98">
        <f t="shared" si="243"/>
        <v>11.592256976888283</v>
      </c>
      <c r="BM770" s="47" t="s">
        <v>2487</v>
      </c>
      <c r="BN770" s="48"/>
      <c r="BO770" s="48"/>
      <c r="BP770" s="48"/>
      <c r="BQ770" s="48"/>
      <c r="BR770" s="47" t="s">
        <v>2496</v>
      </c>
      <c r="BS770" s="48"/>
      <c r="BT770" s="48"/>
      <c r="BU770" s="228"/>
      <c r="BV770" s="48"/>
      <c r="BW770" s="48"/>
      <c r="BX770" s="48"/>
      <c r="BY770" s="48"/>
      <c r="BZ770" s="48"/>
      <c r="CA770" s="48"/>
      <c r="CB770" s="48"/>
      <c r="CC770" s="48"/>
      <c r="CD770" s="48"/>
      <c r="CE770" s="48"/>
      <c r="CF770" s="48"/>
      <c r="CG770" s="48"/>
      <c r="CH770" s="48"/>
      <c r="CI770" s="98"/>
      <c r="CJ770" s="98"/>
      <c r="CK770" s="49">
        <f t="shared" si="237"/>
        <v>181.12901526387941</v>
      </c>
      <c r="CL770" s="229"/>
      <c r="CM770" s="229"/>
      <c r="CN770" s="229"/>
      <c r="CO770" s="47" t="s">
        <v>2488</v>
      </c>
      <c r="CP770" s="47" t="s">
        <v>2489</v>
      </c>
      <c r="CQ770" s="224">
        <v>-2.1685783012068014</v>
      </c>
      <c r="CR770" s="224">
        <f>10^(CJ770-CQ770)</f>
        <v>147.42743215848083</v>
      </c>
      <c r="CS770" s="230" t="s">
        <v>539</v>
      </c>
      <c r="CT770" s="230"/>
      <c r="CU770" s="230"/>
      <c r="CV770" s="335">
        <f t="shared" si="242"/>
        <v>1587.989618773445</v>
      </c>
      <c r="CW770" s="230">
        <f t="shared" si="247"/>
        <v>1</v>
      </c>
      <c r="CX770" s="336"/>
      <c r="CY770" s="230" t="s">
        <v>5921</v>
      </c>
    </row>
    <row r="771" spans="1:103" ht="11.25" customHeight="1" x14ac:dyDescent="0.2">
      <c r="A771" s="72">
        <v>769</v>
      </c>
      <c r="B771" s="224">
        <v>1891</v>
      </c>
      <c r="C771" s="46" t="s">
        <v>6986</v>
      </c>
      <c r="D771" s="46"/>
      <c r="E771" s="114"/>
      <c r="F771" s="114" t="s">
        <v>5358</v>
      </c>
      <c r="G771" s="225">
        <v>60548</v>
      </c>
      <c r="H771" s="47" t="s">
        <v>5359</v>
      </c>
      <c r="I771" s="47" t="s">
        <v>7987</v>
      </c>
      <c r="J771" s="47" t="s">
        <v>5360</v>
      </c>
      <c r="K771" s="47" t="s">
        <v>561</v>
      </c>
      <c r="L771" s="47" t="s">
        <v>279</v>
      </c>
      <c r="M771" s="47" t="s">
        <v>5361</v>
      </c>
      <c r="N771" s="47"/>
      <c r="O771" s="47" t="s">
        <v>281</v>
      </c>
      <c r="P771" s="53"/>
      <c r="Q771" s="53"/>
      <c r="R771" s="53"/>
      <c r="S771" s="53"/>
      <c r="T771" s="48">
        <v>444.43</v>
      </c>
      <c r="U771" s="98">
        <v>0.51976689242400376</v>
      </c>
      <c r="V771" s="98">
        <v>8.7235335148392323</v>
      </c>
      <c r="W771" s="98">
        <v>6.6069344800759566</v>
      </c>
      <c r="X771" s="98">
        <v>0.51976689242400376</v>
      </c>
      <c r="Y771" s="233">
        <v>5.53</v>
      </c>
      <c r="Z771" s="48">
        <v>-1.33</v>
      </c>
      <c r="AA771" s="48">
        <v>-1.3</v>
      </c>
      <c r="AB771" s="48">
        <v>-0.59</v>
      </c>
      <c r="AC771" s="48">
        <v>0.84519999999999995</v>
      </c>
      <c r="AD771" s="48">
        <v>-0.76</v>
      </c>
      <c r="AE771" s="48">
        <v>-1.47</v>
      </c>
      <c r="AF771" s="48">
        <f t="shared" si="244"/>
        <v>-1.3</v>
      </c>
      <c r="AG771" s="49">
        <v>-1.29</v>
      </c>
      <c r="AH771" s="98">
        <v>4.66E-24</v>
      </c>
      <c r="AI771" s="98"/>
      <c r="AJ771" s="483">
        <f t="shared" si="245"/>
        <v>-21.720180409622653</v>
      </c>
      <c r="AK771" s="483"/>
      <c r="AL771" s="483">
        <f t="shared" si="246"/>
        <v>-21.720180409622653</v>
      </c>
      <c r="AM771" s="483">
        <v>-37.533799999999999</v>
      </c>
      <c r="AN771" s="226">
        <v>-27.6</v>
      </c>
      <c r="AO771" s="484">
        <v>4.5</v>
      </c>
      <c r="AP771" s="484">
        <v>11.02</v>
      </c>
      <c r="AQ771" s="226" t="s">
        <v>6311</v>
      </c>
      <c r="AR771" s="226" t="s">
        <v>6311</v>
      </c>
      <c r="AS771" s="224"/>
      <c r="AT771" s="50" t="s">
        <v>266</v>
      </c>
      <c r="AU771" s="48">
        <v>6</v>
      </c>
      <c r="AV771" s="48">
        <v>120</v>
      </c>
      <c r="AW771" s="48">
        <v>114</v>
      </c>
      <c r="AX771" s="48">
        <v>28</v>
      </c>
      <c r="AY771" s="48" t="s">
        <v>8728</v>
      </c>
      <c r="AZ771" s="48" t="s">
        <v>1563</v>
      </c>
      <c r="BA771" s="48">
        <v>32</v>
      </c>
      <c r="BB771" s="47" t="s">
        <v>2485</v>
      </c>
      <c r="BC771" s="47" t="s">
        <v>8726</v>
      </c>
      <c r="BD771" s="47" t="s">
        <v>8374</v>
      </c>
      <c r="BE771" s="48" t="s">
        <v>2449</v>
      </c>
      <c r="BF771" s="48" t="s">
        <v>272</v>
      </c>
      <c r="BG771" s="48" t="s">
        <v>272</v>
      </c>
      <c r="BH771" s="48" t="s">
        <v>2486</v>
      </c>
      <c r="BI771" s="98">
        <v>6.3999999999999997E-6</v>
      </c>
      <c r="BJ771" s="98">
        <v>6.4000000000000001E-2</v>
      </c>
      <c r="BK771" s="48"/>
      <c r="BL771" s="98">
        <f t="shared" si="243"/>
        <v>804.03138209854046</v>
      </c>
      <c r="BM771" s="47" t="s">
        <v>2487</v>
      </c>
      <c r="BN771" s="48"/>
      <c r="BO771" s="48"/>
      <c r="BP771" s="48"/>
      <c r="BQ771" s="48"/>
      <c r="BR771" s="47" t="s">
        <v>2496</v>
      </c>
      <c r="BS771" s="48"/>
      <c r="BT771" s="48"/>
      <c r="BU771" s="228"/>
      <c r="BV771" s="48"/>
      <c r="BW771" s="48"/>
      <c r="BX771" s="48"/>
      <c r="BY771" s="48"/>
      <c r="BZ771" s="48"/>
      <c r="CA771" s="48"/>
      <c r="CB771" s="48"/>
      <c r="CC771" s="48"/>
      <c r="CD771" s="48"/>
      <c r="CE771" s="48"/>
      <c r="CF771" s="48"/>
      <c r="CG771" s="48"/>
      <c r="CH771" s="48"/>
      <c r="CI771" s="98"/>
      <c r="CJ771" s="98"/>
      <c r="CK771" s="49">
        <f t="shared" si="237"/>
        <v>12562.990345289694</v>
      </c>
      <c r="CL771" s="229"/>
      <c r="CM771" s="229"/>
      <c r="CN771" s="229"/>
      <c r="CO771" s="47" t="s">
        <v>2488</v>
      </c>
      <c r="CP771" s="47" t="s">
        <v>2489</v>
      </c>
      <c r="CQ771" s="224" t="s">
        <v>272</v>
      </c>
      <c r="CR771" s="224"/>
      <c r="CS771" s="230" t="s">
        <v>539</v>
      </c>
      <c r="CT771" s="230"/>
      <c r="CU771" s="230"/>
      <c r="CV771" s="335">
        <f t="shared" si="242"/>
        <v>8.1213576941250594</v>
      </c>
      <c r="CW771" s="230">
        <f t="shared" si="247"/>
        <v>1</v>
      </c>
      <c r="CX771" s="336"/>
      <c r="CY771" s="230" t="s">
        <v>5921</v>
      </c>
    </row>
    <row r="772" spans="1:103" ht="11.25" customHeight="1" x14ac:dyDescent="0.2">
      <c r="A772" s="72">
        <v>770</v>
      </c>
      <c r="B772" s="224">
        <v>1731</v>
      </c>
      <c r="C772" s="46" t="s">
        <v>6987</v>
      </c>
      <c r="D772" s="46"/>
      <c r="E772" s="114"/>
      <c r="F772" s="114" t="s">
        <v>5006</v>
      </c>
      <c r="G772" s="225">
        <v>60560</v>
      </c>
      <c r="H772" s="47" t="s">
        <v>5007</v>
      </c>
      <c r="I772" s="47" t="s">
        <v>5007</v>
      </c>
      <c r="J772" s="47" t="s">
        <v>5008</v>
      </c>
      <c r="K772" s="47" t="s">
        <v>3153</v>
      </c>
      <c r="L772" s="51" t="s">
        <v>279</v>
      </c>
      <c r="M772" s="47" t="s">
        <v>5009</v>
      </c>
      <c r="N772" s="47"/>
      <c r="O772" s="47" t="s">
        <v>281</v>
      </c>
      <c r="P772" s="53"/>
      <c r="Q772" s="53"/>
      <c r="R772" s="53"/>
      <c r="S772" s="53"/>
      <c r="T772" s="48">
        <v>114.17</v>
      </c>
      <c r="U772" s="98"/>
      <c r="V772" s="98">
        <v>897.78400630638521</v>
      </c>
      <c r="W772" s="98">
        <v>436.51583224016593</v>
      </c>
      <c r="X772" s="98">
        <f>IF(W772=0,V772,W772)</f>
        <v>436.51583224016593</v>
      </c>
      <c r="Y772" s="233">
        <v>6.36</v>
      </c>
      <c r="Z772" s="48">
        <v>-0.49</v>
      </c>
      <c r="AA772" s="48">
        <v>-0.34</v>
      </c>
      <c r="AB772" s="48">
        <v>-0.04</v>
      </c>
      <c r="AC772" s="48">
        <v>0.86770000000000003</v>
      </c>
      <c r="AD772" s="48">
        <v>-0.11</v>
      </c>
      <c r="AE772" s="48">
        <v>-0.34</v>
      </c>
      <c r="AF772" s="48">
        <f t="shared" si="244"/>
        <v>-0.34</v>
      </c>
      <c r="AG772" s="49">
        <v>0.91</v>
      </c>
      <c r="AH772" s="98">
        <v>2.03E-6</v>
      </c>
      <c r="AI772" s="98"/>
      <c r="AJ772" s="483">
        <f t="shared" si="245"/>
        <v>-4.081070288399439</v>
      </c>
      <c r="AK772" s="483"/>
      <c r="AL772" s="483">
        <f t="shared" si="246"/>
        <v>-4.081070288399439</v>
      </c>
      <c r="AM772" s="483">
        <v>-8.6419999999999995</v>
      </c>
      <c r="AN772" s="226">
        <v>-9.86</v>
      </c>
      <c r="AO772" s="484">
        <v>12.37</v>
      </c>
      <c r="AP772" s="484">
        <v>-1.63</v>
      </c>
      <c r="AQ772" s="226" t="s">
        <v>6311</v>
      </c>
      <c r="AR772" s="226" t="s">
        <v>6311</v>
      </c>
      <c r="AS772" s="224"/>
      <c r="AT772" s="50" t="s">
        <v>266</v>
      </c>
      <c r="AU772" s="48">
        <v>6</v>
      </c>
      <c r="AV772" s="48">
        <v>120</v>
      </c>
      <c r="AW772" s="48">
        <v>114</v>
      </c>
      <c r="AX772" s="48">
        <v>28</v>
      </c>
      <c r="AY772" s="48" t="s">
        <v>8728</v>
      </c>
      <c r="AZ772" s="48" t="s">
        <v>1563</v>
      </c>
      <c r="BA772" s="48">
        <v>32</v>
      </c>
      <c r="BB772" s="47" t="s">
        <v>2485</v>
      </c>
      <c r="BC772" s="47" t="s">
        <v>8726</v>
      </c>
      <c r="BD772" s="47" t="s">
        <v>8374</v>
      </c>
      <c r="BE772" s="48" t="s">
        <v>2449</v>
      </c>
      <c r="BF772" s="48" t="s">
        <v>272</v>
      </c>
      <c r="BG772" s="48" t="s">
        <v>272</v>
      </c>
      <c r="BH772" s="48" t="s">
        <v>2486</v>
      </c>
      <c r="BI772" s="98">
        <v>6.3999999999999997E-6</v>
      </c>
      <c r="BJ772" s="98">
        <v>6.4000000000000001E-2</v>
      </c>
      <c r="BK772" s="48"/>
      <c r="BL772" s="98">
        <f t="shared" si="243"/>
        <v>141.53667862387493</v>
      </c>
      <c r="BM772" s="47" t="s">
        <v>2487</v>
      </c>
      <c r="BN772" s="48"/>
      <c r="BO772" s="48"/>
      <c r="BP772" s="48"/>
      <c r="BQ772" s="48"/>
      <c r="BR772" s="47" t="s">
        <v>2496</v>
      </c>
      <c r="BS772" s="48"/>
      <c r="BT772" s="48"/>
      <c r="BU772" s="228"/>
      <c r="BV772" s="48"/>
      <c r="BW772" s="48"/>
      <c r="BX772" s="48"/>
      <c r="BY772" s="48"/>
      <c r="BZ772" s="48"/>
      <c r="CA772" s="48"/>
      <c r="CB772" s="48"/>
      <c r="CC772" s="48"/>
      <c r="CD772" s="48"/>
      <c r="CE772" s="48"/>
      <c r="CF772" s="48"/>
      <c r="CG772" s="48"/>
      <c r="CH772" s="48"/>
      <c r="CI772" s="98"/>
      <c r="CJ772" s="98"/>
      <c r="CK772" s="49">
        <f t="shared" si="237"/>
        <v>2211.5106034980458</v>
      </c>
      <c r="CL772" s="229"/>
      <c r="CM772" s="229"/>
      <c r="CN772" s="229"/>
      <c r="CO772" s="47" t="s">
        <v>2488</v>
      </c>
      <c r="CP772" s="47" t="s">
        <v>2489</v>
      </c>
      <c r="CQ772" s="224" t="s">
        <v>272</v>
      </c>
      <c r="CR772" s="224"/>
      <c r="CS772" s="230" t="s">
        <v>539</v>
      </c>
      <c r="CT772" s="230"/>
      <c r="CU772" s="230"/>
      <c r="CV772" s="335">
        <f t="shared" si="242"/>
        <v>6820.5598787525923</v>
      </c>
      <c r="CW772" s="230">
        <f t="shared" si="247"/>
        <v>1</v>
      </c>
      <c r="CX772" s="336"/>
      <c r="CY772" s="230" t="s">
        <v>5921</v>
      </c>
    </row>
    <row r="773" spans="1:103" ht="11.25" customHeight="1" x14ac:dyDescent="0.2">
      <c r="A773" s="72">
        <v>771</v>
      </c>
      <c r="B773" s="224">
        <v>1100</v>
      </c>
      <c r="C773" s="46" t="s">
        <v>2221</v>
      </c>
      <c r="D773" s="46" t="s">
        <v>6434</v>
      </c>
      <c r="E773" s="114"/>
      <c r="F773" s="114" t="s">
        <v>2222</v>
      </c>
      <c r="G773" s="225">
        <v>60571</v>
      </c>
      <c r="H773" s="47" t="s">
        <v>1703</v>
      </c>
      <c r="I773" s="47" t="s">
        <v>7988</v>
      </c>
      <c r="J773" s="47" t="s">
        <v>2223</v>
      </c>
      <c r="K773" s="47" t="s">
        <v>1705</v>
      </c>
      <c r="L773" s="47" t="s">
        <v>6118</v>
      </c>
      <c r="M773" s="47" t="s">
        <v>3081</v>
      </c>
      <c r="N773" s="47" t="s">
        <v>6376</v>
      </c>
      <c r="O773" s="47" t="s">
        <v>2224</v>
      </c>
      <c r="P773" s="53" t="s">
        <v>6172</v>
      </c>
      <c r="Q773" s="53" t="s">
        <v>6176</v>
      </c>
      <c r="R773" s="53" t="s">
        <v>6181</v>
      </c>
      <c r="S773" s="53" t="s">
        <v>6173</v>
      </c>
      <c r="T773" s="48">
        <v>380.91</v>
      </c>
      <c r="U773" s="98">
        <v>6.5632301593552276E-4</v>
      </c>
      <c r="V773" s="98">
        <v>3.8197999527447423E-4</v>
      </c>
      <c r="W773" s="98">
        <v>4.2657951880159214E-4</v>
      </c>
      <c r="X773" s="98">
        <v>6.5632301593552276E-4</v>
      </c>
      <c r="Y773" s="233">
        <v>7</v>
      </c>
      <c r="Z773" s="48">
        <v>5.45</v>
      </c>
      <c r="AA773" s="48">
        <v>5.2</v>
      </c>
      <c r="AB773" s="48">
        <v>4.97</v>
      </c>
      <c r="AC773" s="48">
        <v>0.6804</v>
      </c>
      <c r="AD773" s="48">
        <v>4.9400000000000004</v>
      </c>
      <c r="AE773" s="48">
        <v>4.88</v>
      </c>
      <c r="AF773" s="48">
        <f t="shared" si="244"/>
        <v>5.2</v>
      </c>
      <c r="AG773" s="49">
        <v>4.05</v>
      </c>
      <c r="AH773" s="98">
        <v>5.4099999999999999E-7</v>
      </c>
      <c r="AI773" s="98">
        <v>1.0000000000000001E-5</v>
      </c>
      <c r="AJ773" s="483">
        <f t="shared" si="245"/>
        <v>-4.6553690612060823</v>
      </c>
      <c r="AK773" s="483">
        <f>LOG10(AI773*1000/(0.08206*298.15))</f>
        <v>-3.388566326312652</v>
      </c>
      <c r="AL773" s="483">
        <f t="shared" si="246"/>
        <v>-3.388566326312652</v>
      </c>
      <c r="AM773" s="483">
        <v>-9.114469999999999</v>
      </c>
      <c r="AN773" s="226">
        <v>-4.32</v>
      </c>
      <c r="AO773" s="484"/>
      <c r="AP773" s="484"/>
      <c r="AQ773" s="48" t="s">
        <v>6312</v>
      </c>
      <c r="AR773" s="48" t="s">
        <v>6311</v>
      </c>
      <c r="AS773" s="227"/>
      <c r="AT773" s="50" t="s">
        <v>266</v>
      </c>
      <c r="AU773" s="48">
        <v>6</v>
      </c>
      <c r="AV773" s="48">
        <v>120</v>
      </c>
      <c r="AW773" s="48">
        <v>114</v>
      </c>
      <c r="AX773" s="48">
        <v>28</v>
      </c>
      <c r="AY773" s="48" t="s">
        <v>8728</v>
      </c>
      <c r="AZ773" s="48" t="s">
        <v>1563</v>
      </c>
      <c r="BA773" s="48">
        <v>32</v>
      </c>
      <c r="BB773" s="47" t="s">
        <v>2485</v>
      </c>
      <c r="BC773" s="47" t="s">
        <v>8726</v>
      </c>
      <c r="BD773" s="47" t="s">
        <v>8374</v>
      </c>
      <c r="BE773" s="48" t="s">
        <v>2449</v>
      </c>
      <c r="BF773" s="48" t="s">
        <v>272</v>
      </c>
      <c r="BG773" s="48" t="s">
        <v>272</v>
      </c>
      <c r="BH773" s="48" t="s">
        <v>2486</v>
      </c>
      <c r="BI773" s="98">
        <v>6.3999999999999997E-6</v>
      </c>
      <c r="BJ773" s="98">
        <v>6.4000000000000001E-2</v>
      </c>
      <c r="BK773" s="48"/>
      <c r="BL773" s="98">
        <f t="shared" si="243"/>
        <v>6.5486985586723091E-4</v>
      </c>
      <c r="BM773" s="47" t="s">
        <v>2487</v>
      </c>
      <c r="BN773" s="48"/>
      <c r="BO773" s="48"/>
      <c r="BP773" s="48"/>
      <c r="BQ773" s="48"/>
      <c r="BR773" s="47" t="s">
        <v>2496</v>
      </c>
      <c r="BS773" s="48"/>
      <c r="BT773" s="48"/>
      <c r="BU773" s="228">
        <v>6.3999999999999997E-5</v>
      </c>
      <c r="BV773" s="48"/>
      <c r="BW773" s="48"/>
      <c r="BX773" s="48"/>
      <c r="BY773" s="48"/>
      <c r="BZ773" s="48"/>
      <c r="CA773" s="48"/>
      <c r="CB773" s="48"/>
      <c r="CC773" s="48"/>
      <c r="CD773" s="48"/>
      <c r="CE773" s="48"/>
      <c r="CF773" s="48"/>
      <c r="CG773" s="48"/>
      <c r="CH773" s="48"/>
      <c r="CI773" s="98"/>
      <c r="CJ773" s="98"/>
      <c r="CK773" s="49">
        <f t="shared" si="237"/>
        <v>1.0232341497925483E-2</v>
      </c>
      <c r="CL773" s="229"/>
      <c r="CM773" s="229">
        <v>-4.7442025151171459</v>
      </c>
      <c r="CN773" s="229">
        <f>BJ773/(10^CM773)</f>
        <v>3551.2601589430737</v>
      </c>
      <c r="CO773" s="47" t="s">
        <v>2488</v>
      </c>
      <c r="CP773" s="47" t="s">
        <v>2489</v>
      </c>
      <c r="CQ773" s="224">
        <v>-4.6601848598528131</v>
      </c>
      <c r="CR773" s="224">
        <f>10^(CJ773-CQ773)</f>
        <v>45728.279314978266</v>
      </c>
      <c r="CS773" s="230" t="s">
        <v>539</v>
      </c>
      <c r="CT773" s="230"/>
      <c r="CU773" s="230"/>
      <c r="CV773" s="335">
        <f t="shared" si="242"/>
        <v>1.0255047123992543E-2</v>
      </c>
      <c r="CW773" s="230">
        <f t="shared" si="247"/>
        <v>0</v>
      </c>
      <c r="CX773" s="336"/>
      <c r="CY773" s="230" t="s">
        <v>5921</v>
      </c>
    </row>
    <row r="774" spans="1:103" ht="11.25" customHeight="1" x14ac:dyDescent="0.2">
      <c r="A774" s="72">
        <v>772</v>
      </c>
      <c r="B774" s="224">
        <v>867</v>
      </c>
      <c r="C774" s="46" t="s">
        <v>2221</v>
      </c>
      <c r="D774" s="46" t="s">
        <v>6434</v>
      </c>
      <c r="E774" s="114"/>
      <c r="F774" s="114" t="s">
        <v>2222</v>
      </c>
      <c r="G774" s="225">
        <v>60571</v>
      </c>
      <c r="H774" s="47" t="s">
        <v>1703</v>
      </c>
      <c r="I774" s="47" t="s">
        <v>7988</v>
      </c>
      <c r="J774" s="47" t="s">
        <v>2223</v>
      </c>
      <c r="K774" s="47" t="s">
        <v>1705</v>
      </c>
      <c r="L774" s="47" t="s">
        <v>617</v>
      </c>
      <c r="M774" s="47" t="s">
        <v>1286</v>
      </c>
      <c r="N774" s="47" t="s">
        <v>6376</v>
      </c>
      <c r="O774" s="47" t="s">
        <v>2224</v>
      </c>
      <c r="P774" s="53" t="s">
        <v>6172</v>
      </c>
      <c r="Q774" s="53" t="s">
        <v>6176</v>
      </c>
      <c r="R774" s="53" t="s">
        <v>6181</v>
      </c>
      <c r="S774" s="53" t="s">
        <v>6173</v>
      </c>
      <c r="T774" s="226">
        <v>380.91</v>
      </c>
      <c r="U774" s="98">
        <v>6.5632301593552276E-4</v>
      </c>
      <c r="V774" s="98">
        <v>3.8197999527447423E-4</v>
      </c>
      <c r="W774" s="98">
        <v>4.2657951880159214E-4</v>
      </c>
      <c r="X774" s="98">
        <v>6.5632301593552276E-4</v>
      </c>
      <c r="Y774" s="233">
        <v>7</v>
      </c>
      <c r="Z774" s="48">
        <v>5.45</v>
      </c>
      <c r="AA774" s="48">
        <v>5.2</v>
      </c>
      <c r="AB774" s="48">
        <v>4.97</v>
      </c>
      <c r="AC774" s="48">
        <v>0.6804</v>
      </c>
      <c r="AD774" s="48">
        <v>4.9400000000000004</v>
      </c>
      <c r="AE774" s="48">
        <v>4.88</v>
      </c>
      <c r="AF774" s="48">
        <f t="shared" si="244"/>
        <v>5.2</v>
      </c>
      <c r="AG774" s="49">
        <v>4.05</v>
      </c>
      <c r="AH774" s="98">
        <v>5.4099999999999999E-7</v>
      </c>
      <c r="AI774" s="98">
        <v>1.0000000000000001E-5</v>
      </c>
      <c r="AJ774" s="483">
        <f t="shared" si="245"/>
        <v>-4.6553690612060823</v>
      </c>
      <c r="AK774" s="483">
        <f>LOG10(AI774*1000/(0.08206*298.15))</f>
        <v>-3.388566326312652</v>
      </c>
      <c r="AL774" s="483">
        <f t="shared" si="246"/>
        <v>-3.388566326312652</v>
      </c>
      <c r="AM774" s="483">
        <v>-9.114469999999999</v>
      </c>
      <c r="AN774" s="226">
        <v>-4.32</v>
      </c>
      <c r="AO774" s="484"/>
      <c r="AP774" s="484"/>
      <c r="AQ774" s="226" t="s">
        <v>6312</v>
      </c>
      <c r="AR774" s="226" t="s">
        <v>6311</v>
      </c>
      <c r="AS774" s="224" t="s">
        <v>6</v>
      </c>
      <c r="AT774" s="50" t="s">
        <v>266</v>
      </c>
      <c r="AU774" s="48">
        <v>2</v>
      </c>
      <c r="AV774" s="48">
        <v>98</v>
      </c>
      <c r="AW774" s="48">
        <v>96</v>
      </c>
      <c r="AX774" s="48">
        <v>26</v>
      </c>
      <c r="AY774" s="48" t="s">
        <v>267</v>
      </c>
      <c r="AZ774" s="48" t="s">
        <v>536</v>
      </c>
      <c r="BA774" s="48">
        <v>10</v>
      </c>
      <c r="BB774" s="47" t="s">
        <v>2458</v>
      </c>
      <c r="BC774" s="47" t="s">
        <v>2448</v>
      </c>
      <c r="BD774" s="47"/>
      <c r="BE774" s="48" t="s">
        <v>1712</v>
      </c>
      <c r="BF774" s="48"/>
      <c r="BG774" s="48" t="s">
        <v>540</v>
      </c>
      <c r="BH774" s="48" t="s">
        <v>2459</v>
      </c>
      <c r="BI774" s="98"/>
      <c r="BJ774" s="98">
        <f>0.2/380.91</f>
        <v>5.2505841274841825E-4</v>
      </c>
      <c r="BK774" s="48"/>
      <c r="BL774" s="98">
        <f t="shared" si="243"/>
        <v>6.5486985586723091E-4</v>
      </c>
      <c r="BM774" s="48" t="s">
        <v>541</v>
      </c>
      <c r="BN774" s="233"/>
      <c r="BO774" s="48"/>
      <c r="BP774" s="48"/>
      <c r="BQ774" s="48" t="s">
        <v>2460</v>
      </c>
      <c r="BR774" s="48"/>
      <c r="BS774" s="48"/>
      <c r="BT774" s="48"/>
      <c r="BU774" s="228"/>
      <c r="BV774" s="48"/>
      <c r="BW774" s="48"/>
      <c r="BX774" s="48"/>
      <c r="BY774" s="48"/>
      <c r="BZ774" s="48"/>
      <c r="CA774" s="48"/>
      <c r="CB774" s="48"/>
      <c r="CC774" s="48"/>
      <c r="CD774" s="48"/>
      <c r="CE774" s="48"/>
      <c r="CF774" s="48"/>
      <c r="CG774" s="48"/>
      <c r="CH774" s="48"/>
      <c r="CI774" s="98"/>
      <c r="CJ774" s="98"/>
      <c r="CK774" s="49">
        <f t="shared" ref="CK774:CK837" si="248">BL774/BJ774</f>
        <v>1.2472323839919346</v>
      </c>
      <c r="CL774" s="229"/>
      <c r="CM774" s="229">
        <v>-4.7442025151171459</v>
      </c>
      <c r="CN774" s="229"/>
      <c r="CO774" s="47"/>
      <c r="CP774" s="47" t="s">
        <v>2450</v>
      </c>
      <c r="CQ774" s="224">
        <v>-4.6601848598528131</v>
      </c>
      <c r="CR774" s="224">
        <f>10^(CJ774-CQ774)</f>
        <v>45728.279314978266</v>
      </c>
      <c r="CS774" s="230" t="s">
        <v>539</v>
      </c>
      <c r="CT774" s="230"/>
      <c r="CU774" s="230"/>
      <c r="CV774" s="335">
        <f t="shared" si="242"/>
        <v>1.25</v>
      </c>
      <c r="CW774" s="230">
        <f t="shared" si="247"/>
        <v>1</v>
      </c>
      <c r="CX774" s="336" t="s">
        <v>539</v>
      </c>
      <c r="CY774" s="230" t="s">
        <v>5921</v>
      </c>
    </row>
    <row r="775" spans="1:103" ht="11.25" customHeight="1" x14ac:dyDescent="0.2">
      <c r="A775" s="72">
        <v>773</v>
      </c>
      <c r="B775" s="224">
        <v>1463</v>
      </c>
      <c r="C775" s="46" t="s">
        <v>6988</v>
      </c>
      <c r="D775" s="46"/>
      <c r="E775" s="114"/>
      <c r="F775" s="114" t="s">
        <v>1748</v>
      </c>
      <c r="G775" s="225">
        <v>62237</v>
      </c>
      <c r="H775" s="47" t="s">
        <v>1749</v>
      </c>
      <c r="I775" s="47" t="s">
        <v>1749</v>
      </c>
      <c r="J775" s="47" t="s">
        <v>1750</v>
      </c>
      <c r="K775" s="47" t="s">
        <v>426</v>
      </c>
      <c r="L775" s="47"/>
      <c r="M775" s="47"/>
      <c r="N775" s="47"/>
      <c r="O775" s="47"/>
      <c r="P775" s="53"/>
      <c r="Q775" s="53"/>
      <c r="R775" s="53"/>
      <c r="S775" s="53"/>
      <c r="T775" s="48">
        <v>167.12</v>
      </c>
      <c r="U775" s="98">
        <v>1.1967448539971277</v>
      </c>
      <c r="V775" s="98">
        <v>3.7607707036859739</v>
      </c>
      <c r="W775" s="98">
        <v>9.7723722095581049</v>
      </c>
      <c r="X775" s="98">
        <v>1.1967448539971277</v>
      </c>
      <c r="Y775" s="233">
        <v>2.76</v>
      </c>
      <c r="Z775" s="48">
        <v>1.69</v>
      </c>
      <c r="AA775" s="48">
        <v>1.89</v>
      </c>
      <c r="AB775" s="48">
        <v>1.96</v>
      </c>
      <c r="AC775" s="48">
        <v>0.90569999999999995</v>
      </c>
      <c r="AD775" s="48">
        <v>1.94</v>
      </c>
      <c r="AE775" s="48">
        <v>1.89</v>
      </c>
      <c r="AF775" s="48">
        <f t="shared" si="244"/>
        <v>1.89</v>
      </c>
      <c r="AG775" s="49">
        <v>1.06</v>
      </c>
      <c r="AH775" s="98">
        <v>4.2800000000000002E-10</v>
      </c>
      <c r="AI775" s="98"/>
      <c r="AJ775" s="483">
        <f t="shared" si="245"/>
        <v>-7.7571225572994793</v>
      </c>
      <c r="AK775" s="483"/>
      <c r="AL775" s="483">
        <f t="shared" si="246"/>
        <v>-7.7571225572994793</v>
      </c>
      <c r="AM775" s="483">
        <v>-10.549720000000001</v>
      </c>
      <c r="AN775" s="226">
        <v>-7.79</v>
      </c>
      <c r="AO775" s="484">
        <v>3.42</v>
      </c>
      <c r="AP775" s="484"/>
      <c r="AQ775" s="48" t="s">
        <v>6311</v>
      </c>
      <c r="AR775" s="48" t="s">
        <v>6311</v>
      </c>
      <c r="AS775" s="227"/>
      <c r="AT775" s="50" t="s">
        <v>266</v>
      </c>
      <c r="AU775" s="48">
        <v>6</v>
      </c>
      <c r="AV775" s="48">
        <v>120</v>
      </c>
      <c r="AW775" s="48">
        <v>114</v>
      </c>
      <c r="AX775" s="48">
        <v>28</v>
      </c>
      <c r="AY775" s="48" t="s">
        <v>8728</v>
      </c>
      <c r="AZ775" s="48" t="s">
        <v>1563</v>
      </c>
      <c r="BA775" s="48">
        <v>32</v>
      </c>
      <c r="BB775" s="47" t="s">
        <v>2485</v>
      </c>
      <c r="BC775" s="47" t="s">
        <v>8726</v>
      </c>
      <c r="BD775" s="47" t="s">
        <v>8374</v>
      </c>
      <c r="BE775" s="48" t="s">
        <v>2449</v>
      </c>
      <c r="BF775" s="48" t="s">
        <v>272</v>
      </c>
      <c r="BG775" s="48" t="s">
        <v>272</v>
      </c>
      <c r="BH775" s="48" t="s">
        <v>2486</v>
      </c>
      <c r="BI775" s="98">
        <v>6.3999999999999997E-6</v>
      </c>
      <c r="BJ775" s="98">
        <v>6.4000000000000001E-2</v>
      </c>
      <c r="BK775" s="48"/>
      <c r="BL775" s="98">
        <f t="shared" si="243"/>
        <v>1.5595920043529998</v>
      </c>
      <c r="BM775" s="47" t="s">
        <v>2487</v>
      </c>
      <c r="BN775" s="48"/>
      <c r="BO775" s="48"/>
      <c r="BP775" s="48"/>
      <c r="BQ775" s="48"/>
      <c r="BR775" s="47" t="s">
        <v>2496</v>
      </c>
      <c r="BS775" s="48"/>
      <c r="BT775" s="48"/>
      <c r="BU775" s="228"/>
      <c r="BV775" s="48"/>
      <c r="BW775" s="48"/>
      <c r="BX775" s="48"/>
      <c r="BY775" s="48"/>
      <c r="BZ775" s="48"/>
      <c r="CA775" s="48"/>
      <c r="CB775" s="48"/>
      <c r="CC775" s="48"/>
      <c r="CD775" s="48"/>
      <c r="CE775" s="48"/>
      <c r="CF775" s="48"/>
      <c r="CG775" s="48"/>
      <c r="CH775" s="48"/>
      <c r="CI775" s="98"/>
      <c r="CJ775" s="98"/>
      <c r="CK775" s="49">
        <f t="shared" si="248"/>
        <v>24.368625068015621</v>
      </c>
      <c r="CL775" s="229"/>
      <c r="CM775" s="229"/>
      <c r="CN775" s="229"/>
      <c r="CO775" s="47" t="s">
        <v>2488</v>
      </c>
      <c r="CP775" s="47" t="s">
        <v>2489</v>
      </c>
      <c r="CQ775" s="224" t="s">
        <v>272</v>
      </c>
      <c r="CR775" s="224"/>
      <c r="CS775" s="230" t="s">
        <v>539</v>
      </c>
      <c r="CT775" s="230"/>
      <c r="CU775" s="230"/>
      <c r="CV775" s="335">
        <f t="shared" si="242"/>
        <v>18.699138343705119</v>
      </c>
      <c r="CW775" s="230">
        <f t="shared" si="247"/>
        <v>1</v>
      </c>
      <c r="CX775" s="336"/>
      <c r="CY775" s="230" t="s">
        <v>6351</v>
      </c>
    </row>
    <row r="776" spans="1:103" ht="11.25" customHeight="1" x14ac:dyDescent="0.2">
      <c r="A776" s="72">
        <v>774</v>
      </c>
      <c r="B776" s="224">
        <v>284</v>
      </c>
      <c r="C776" s="46" t="s">
        <v>6989</v>
      </c>
      <c r="D776" s="46"/>
      <c r="E776" s="114"/>
      <c r="F776" s="114" t="s">
        <v>2105</v>
      </c>
      <c r="G776" s="225">
        <v>62737</v>
      </c>
      <c r="H776" s="47" t="s">
        <v>2106</v>
      </c>
      <c r="I776" s="47" t="s">
        <v>7989</v>
      </c>
      <c r="J776" s="47" t="s">
        <v>2107</v>
      </c>
      <c r="K776" s="47" t="s">
        <v>2108</v>
      </c>
      <c r="L776" s="47" t="s">
        <v>617</v>
      </c>
      <c r="M776" s="47" t="s">
        <v>946</v>
      </c>
      <c r="N776" s="47" t="s">
        <v>6376</v>
      </c>
      <c r="O776" s="47" t="s">
        <v>918</v>
      </c>
      <c r="P776" s="53"/>
      <c r="Q776" s="53"/>
      <c r="R776" s="53"/>
      <c r="S776" s="53"/>
      <c r="T776" s="48">
        <v>220.98</v>
      </c>
      <c r="U776" s="98">
        <v>36.202371255317225</v>
      </c>
      <c r="V776" s="98">
        <v>9.2497058557335503</v>
      </c>
      <c r="W776" s="98">
        <v>251.188643150958</v>
      </c>
      <c r="X776" s="98">
        <v>36.202371255317225</v>
      </c>
      <c r="Y776" s="233">
        <v>7</v>
      </c>
      <c r="Z776" s="48">
        <v>0.6</v>
      </c>
      <c r="AA776" s="48">
        <v>1.43</v>
      </c>
      <c r="AB776" s="48">
        <v>1.56</v>
      </c>
      <c r="AC776" s="48">
        <v>0.76459999999999995</v>
      </c>
      <c r="AD776" s="48">
        <v>1.28</v>
      </c>
      <c r="AE776" s="48">
        <v>0.71</v>
      </c>
      <c r="AF776" s="48">
        <f t="shared" si="244"/>
        <v>1.43</v>
      </c>
      <c r="AG776" s="49">
        <v>1.06</v>
      </c>
      <c r="AH776" s="98">
        <v>8.5799999999999998E-7</v>
      </c>
      <c r="AI776" s="98">
        <v>5.7400000000000003E-7</v>
      </c>
      <c r="AJ776" s="483">
        <f t="shared" si="245"/>
        <v>-4.4550790384639463</v>
      </c>
      <c r="AK776" s="483">
        <f>LOG10(AI776*1000/(0.08206*298.15))</f>
        <v>-4.6296544339146779</v>
      </c>
      <c r="AL776" s="483">
        <f t="shared" si="246"/>
        <v>-4.6296544339146779</v>
      </c>
      <c r="AM776" s="483">
        <v>-9.5230700000000006</v>
      </c>
      <c r="AN776" s="226">
        <v>-4.45</v>
      </c>
      <c r="AO776" s="484"/>
      <c r="AP776" s="484"/>
      <c r="AQ776" s="226" t="s">
        <v>6315</v>
      </c>
      <c r="AR776" s="226" t="s">
        <v>6315</v>
      </c>
      <c r="AS776" s="224" t="s">
        <v>6</v>
      </c>
      <c r="AT776" s="50" t="s">
        <v>266</v>
      </c>
      <c r="AU776" s="48">
        <v>8</v>
      </c>
      <c r="AV776" s="48">
        <v>144</v>
      </c>
      <c r="AW776" s="48">
        <v>120</v>
      </c>
      <c r="AX776" s="48">
        <v>26</v>
      </c>
      <c r="AY776" s="48" t="s">
        <v>267</v>
      </c>
      <c r="AZ776" s="48" t="s">
        <v>2253</v>
      </c>
      <c r="BA776" s="48">
        <v>3</v>
      </c>
      <c r="BB776" s="47" t="s">
        <v>2254</v>
      </c>
      <c r="BC776" s="47" t="s">
        <v>270</v>
      </c>
      <c r="BD776" s="47" t="s">
        <v>8374</v>
      </c>
      <c r="BE776" s="48" t="s">
        <v>1712</v>
      </c>
      <c r="BF776" s="48" t="s">
        <v>272</v>
      </c>
      <c r="BG776" s="48" t="s">
        <v>272</v>
      </c>
      <c r="BH776" s="48" t="s">
        <v>2255</v>
      </c>
      <c r="BI776" s="98">
        <v>9.9999999999999995E-7</v>
      </c>
      <c r="BJ776" s="98">
        <v>0.08</v>
      </c>
      <c r="BK776" s="48"/>
      <c r="BL776" s="98">
        <f t="shared" si="243"/>
        <v>14.857303668717133</v>
      </c>
      <c r="BM776" s="48" t="s">
        <v>891</v>
      </c>
      <c r="BN776" s="233"/>
      <c r="BO776" s="233"/>
      <c r="BP776" s="233"/>
      <c r="BQ776" s="233"/>
      <c r="BR776" s="233"/>
      <c r="BS776" s="48"/>
      <c r="BT776" s="233"/>
      <c r="BU776" s="228"/>
      <c r="BV776" s="233"/>
      <c r="BW776" s="233"/>
      <c r="BX776" s="233"/>
      <c r="BY776" s="233"/>
      <c r="BZ776" s="233"/>
      <c r="CA776" s="233"/>
      <c r="CB776" s="233"/>
      <c r="CC776" s="48"/>
      <c r="CD776" s="48"/>
      <c r="CE776" s="48"/>
      <c r="CF776" s="48"/>
      <c r="CG776" s="233"/>
      <c r="CH776" s="48"/>
      <c r="CI776" s="98"/>
      <c r="CJ776" s="98"/>
      <c r="CK776" s="49">
        <f t="shared" si="248"/>
        <v>185.71629585896417</v>
      </c>
      <c r="CL776" s="229"/>
      <c r="CM776" s="229"/>
      <c r="CN776" s="229"/>
      <c r="CO776" s="47" t="s">
        <v>892</v>
      </c>
      <c r="CP776" s="47" t="s">
        <v>893</v>
      </c>
      <c r="CQ776" s="224">
        <v>-2.2068241200088741</v>
      </c>
      <c r="CR776" s="224">
        <f>10^(CJ776-CQ776)</f>
        <v>160.99934901515152</v>
      </c>
      <c r="CS776" s="230" t="s">
        <v>539</v>
      </c>
      <c r="CT776" s="230"/>
      <c r="CU776" s="230"/>
      <c r="CV776" s="335">
        <f t="shared" si="242"/>
        <v>452.52964069146532</v>
      </c>
      <c r="CW776" s="230">
        <f t="shared" si="247"/>
        <v>1</v>
      </c>
      <c r="CX776" s="336" t="s">
        <v>539</v>
      </c>
      <c r="CY776" s="230" t="s">
        <v>5921</v>
      </c>
    </row>
    <row r="777" spans="1:103" ht="11.25" customHeight="1" x14ac:dyDescent="0.2">
      <c r="A777" s="72">
        <v>775</v>
      </c>
      <c r="B777" s="224">
        <v>1596</v>
      </c>
      <c r="C777" s="46" t="s">
        <v>6989</v>
      </c>
      <c r="D777" s="46"/>
      <c r="E777" s="114"/>
      <c r="F777" s="114" t="s">
        <v>2105</v>
      </c>
      <c r="G777" s="225">
        <v>62737</v>
      </c>
      <c r="H777" s="47" t="s">
        <v>2106</v>
      </c>
      <c r="I777" s="47" t="s">
        <v>7989</v>
      </c>
      <c r="J777" s="47" t="s">
        <v>2107</v>
      </c>
      <c r="K777" s="47" t="s">
        <v>2108</v>
      </c>
      <c r="L777" s="47" t="s">
        <v>617</v>
      </c>
      <c r="M777" s="47" t="s">
        <v>946</v>
      </c>
      <c r="N777" s="47" t="s">
        <v>6376</v>
      </c>
      <c r="O777" s="47" t="s">
        <v>918</v>
      </c>
      <c r="P777" s="53"/>
      <c r="Q777" s="53"/>
      <c r="R777" s="53"/>
      <c r="S777" s="53"/>
      <c r="T777" s="48">
        <v>220.98</v>
      </c>
      <c r="U777" s="98">
        <v>36.202371255317225</v>
      </c>
      <c r="V777" s="98">
        <v>9.2497058557335503</v>
      </c>
      <c r="W777" s="98">
        <v>251.188643150958</v>
      </c>
      <c r="X777" s="98">
        <v>36.202371255317225</v>
      </c>
      <c r="Y777" s="233">
        <v>7</v>
      </c>
      <c r="Z777" s="48">
        <v>0.6</v>
      </c>
      <c r="AA777" s="48">
        <v>1.43</v>
      </c>
      <c r="AB777" s="48">
        <v>1.56</v>
      </c>
      <c r="AC777" s="48">
        <v>0.76459999999999995</v>
      </c>
      <c r="AD777" s="48">
        <v>1.28</v>
      </c>
      <c r="AE777" s="48">
        <v>0.71</v>
      </c>
      <c r="AF777" s="48">
        <f t="shared" si="244"/>
        <v>1.43</v>
      </c>
      <c r="AG777" s="49">
        <v>1.06</v>
      </c>
      <c r="AH777" s="98">
        <v>8.5799999999999998E-7</v>
      </c>
      <c r="AI777" s="98">
        <v>5.7400000000000003E-7</v>
      </c>
      <c r="AJ777" s="483">
        <f t="shared" si="245"/>
        <v>-4.4550790384639463</v>
      </c>
      <c r="AK777" s="483">
        <f>LOG10(AI777*1000/(0.08206*298.15))</f>
        <v>-4.6296544339146779</v>
      </c>
      <c r="AL777" s="483">
        <f t="shared" si="246"/>
        <v>-4.6296544339146779</v>
      </c>
      <c r="AM777" s="483">
        <v>-9.5230700000000006</v>
      </c>
      <c r="AN777" s="226">
        <v>-4.45</v>
      </c>
      <c r="AO777" s="484"/>
      <c r="AP777" s="484"/>
      <c r="AQ777" s="48" t="s">
        <v>6315</v>
      </c>
      <c r="AR777" s="48" t="s">
        <v>6315</v>
      </c>
      <c r="AS777" s="227"/>
      <c r="AT777" s="50" t="s">
        <v>266</v>
      </c>
      <c r="AU777" s="48">
        <v>6</v>
      </c>
      <c r="AV777" s="48">
        <v>120</v>
      </c>
      <c r="AW777" s="48">
        <v>114</v>
      </c>
      <c r="AX777" s="48">
        <v>28</v>
      </c>
      <c r="AY777" s="48" t="s">
        <v>8728</v>
      </c>
      <c r="AZ777" s="48" t="s">
        <v>1563</v>
      </c>
      <c r="BA777" s="48">
        <v>32</v>
      </c>
      <c r="BB777" s="47" t="s">
        <v>2485</v>
      </c>
      <c r="BC777" s="47" t="s">
        <v>8726</v>
      </c>
      <c r="BD777" s="47" t="s">
        <v>8374</v>
      </c>
      <c r="BE777" s="48" t="s">
        <v>2449</v>
      </c>
      <c r="BF777" s="48" t="s">
        <v>272</v>
      </c>
      <c r="BG777" s="48" t="s">
        <v>272</v>
      </c>
      <c r="BH777" s="48" t="s">
        <v>2486</v>
      </c>
      <c r="BI777" s="98">
        <v>6.3999999999999997E-6</v>
      </c>
      <c r="BJ777" s="98">
        <v>6.4000000000000001E-2</v>
      </c>
      <c r="BK777" s="48"/>
      <c r="BL777" s="98">
        <f t="shared" si="243"/>
        <v>14.857303668717133</v>
      </c>
      <c r="BM777" s="47" t="s">
        <v>2487</v>
      </c>
      <c r="BN777" s="48"/>
      <c r="BO777" s="48"/>
      <c r="BP777" s="48"/>
      <c r="BQ777" s="48"/>
      <c r="BR777" s="47" t="s">
        <v>2496</v>
      </c>
      <c r="BS777" s="48"/>
      <c r="BT777" s="48"/>
      <c r="BU777" s="228"/>
      <c r="BV777" s="48"/>
      <c r="BW777" s="48"/>
      <c r="BX777" s="48"/>
      <c r="BY777" s="48"/>
      <c r="BZ777" s="48"/>
      <c r="CA777" s="48"/>
      <c r="CB777" s="48"/>
      <c r="CC777" s="48"/>
      <c r="CD777" s="48"/>
      <c r="CE777" s="48"/>
      <c r="CF777" s="48"/>
      <c r="CG777" s="48"/>
      <c r="CH777" s="48"/>
      <c r="CI777" s="98"/>
      <c r="CJ777" s="98"/>
      <c r="CK777" s="49">
        <f t="shared" si="248"/>
        <v>232.14536982370521</v>
      </c>
      <c r="CL777" s="229"/>
      <c r="CM777" s="229"/>
      <c r="CN777" s="229"/>
      <c r="CO777" s="47" t="s">
        <v>2488</v>
      </c>
      <c r="CP777" s="47" t="s">
        <v>2489</v>
      </c>
      <c r="CQ777" s="224">
        <v>-2.2068241200088741</v>
      </c>
      <c r="CR777" s="224">
        <f>10^(CJ777-CQ777)</f>
        <v>160.99934901515152</v>
      </c>
      <c r="CS777" s="230" t="s">
        <v>539</v>
      </c>
      <c r="CT777" s="230"/>
      <c r="CU777" s="230"/>
      <c r="CV777" s="335">
        <f t="shared" si="242"/>
        <v>565.6620508643316</v>
      </c>
      <c r="CW777" s="230">
        <f t="shared" si="247"/>
        <v>1</v>
      </c>
      <c r="CX777" s="336"/>
      <c r="CY777" s="230" t="s">
        <v>5921</v>
      </c>
    </row>
    <row r="778" spans="1:103" ht="11.25" customHeight="1" x14ac:dyDescent="0.2">
      <c r="A778" s="72">
        <v>776</v>
      </c>
      <c r="B778" s="224">
        <v>1768</v>
      </c>
      <c r="C778" s="46" t="s">
        <v>6990</v>
      </c>
      <c r="D778" s="46"/>
      <c r="E778" s="114"/>
      <c r="F778" s="114" t="s">
        <v>5095</v>
      </c>
      <c r="G778" s="225">
        <v>62759</v>
      </c>
      <c r="H778" s="47" t="s">
        <v>5096</v>
      </c>
      <c r="I778" s="47" t="s">
        <v>5096</v>
      </c>
      <c r="J778" s="47" t="s">
        <v>5097</v>
      </c>
      <c r="K778" s="47" t="s">
        <v>300</v>
      </c>
      <c r="L778" s="47"/>
      <c r="M778" s="47"/>
      <c r="N778" s="47"/>
      <c r="O778" s="47"/>
      <c r="P778" s="53"/>
      <c r="Q778" s="53"/>
      <c r="R778" s="53"/>
      <c r="S778" s="53"/>
      <c r="T778" s="48">
        <v>74.08</v>
      </c>
      <c r="U778" s="98">
        <v>13498.920086393089</v>
      </c>
      <c r="V778" s="98">
        <v>5539.9568034557233</v>
      </c>
      <c r="W778" s="98">
        <v>4073.802778041128</v>
      </c>
      <c r="X778" s="98">
        <v>13498.920086393089</v>
      </c>
      <c r="Y778" s="233">
        <v>7</v>
      </c>
      <c r="Z778" s="48">
        <v>-0.64</v>
      </c>
      <c r="AA778" s="48">
        <v>-0.56999999999999995</v>
      </c>
      <c r="AB778" s="48">
        <v>-0.09</v>
      </c>
      <c r="AC778" s="48">
        <v>0.8982</v>
      </c>
      <c r="AD778" s="48">
        <v>-0.22</v>
      </c>
      <c r="AE778" s="48">
        <v>-0.64</v>
      </c>
      <c r="AF778" s="48">
        <f t="shared" si="244"/>
        <v>-0.56999999999999995</v>
      </c>
      <c r="AG778" s="49">
        <v>0.01</v>
      </c>
      <c r="AH778" s="98">
        <v>2.0600000000000002E-6</v>
      </c>
      <c r="AI778" s="98">
        <v>1.8199999999999999E-6</v>
      </c>
      <c r="AJ778" s="483">
        <f t="shared" si="245"/>
        <v>-4.0746991059434983</v>
      </c>
      <c r="AK778" s="483">
        <f>LOG10(AI778*1000/(0.08206*298.15))</f>
        <v>-4.1284949383275773</v>
      </c>
      <c r="AL778" s="483">
        <f t="shared" si="246"/>
        <v>-4.1284949383275773</v>
      </c>
      <c r="AM778" s="483">
        <v>-4.8235100000000006</v>
      </c>
      <c r="AN778" s="226">
        <v>-4.68</v>
      </c>
      <c r="AO778" s="484"/>
      <c r="AP778" s="484">
        <v>-3.63</v>
      </c>
      <c r="AQ778" s="226" t="s">
        <v>6311</v>
      </c>
      <c r="AR778" s="226" t="s">
        <v>6311</v>
      </c>
      <c r="AS778" s="224"/>
      <c r="AT778" s="50" t="s">
        <v>266</v>
      </c>
      <c r="AU778" s="48">
        <v>6</v>
      </c>
      <c r="AV778" s="48">
        <v>120</v>
      </c>
      <c r="AW778" s="48">
        <v>114</v>
      </c>
      <c r="AX778" s="48">
        <v>28</v>
      </c>
      <c r="AY778" s="48" t="s">
        <v>8728</v>
      </c>
      <c r="AZ778" s="48" t="s">
        <v>1563</v>
      </c>
      <c r="BA778" s="48">
        <v>32</v>
      </c>
      <c r="BB778" s="47" t="s">
        <v>2485</v>
      </c>
      <c r="BC778" s="47" t="s">
        <v>8726</v>
      </c>
      <c r="BD778" s="47" t="s">
        <v>8374</v>
      </c>
      <c r="BE778" s="48" t="s">
        <v>2449</v>
      </c>
      <c r="BF778" s="48" t="s">
        <v>272</v>
      </c>
      <c r="BG778" s="48" t="s">
        <v>272</v>
      </c>
      <c r="BH778" s="48" t="s">
        <v>2486</v>
      </c>
      <c r="BI778" s="98">
        <v>6.3999999999999997E-6</v>
      </c>
      <c r="BJ778" s="98">
        <v>6.4000000000000001E-2</v>
      </c>
      <c r="BK778" s="48"/>
      <c r="BL778" s="98">
        <f t="shared" si="243"/>
        <v>193.0118618126975</v>
      </c>
      <c r="BM778" s="47" t="s">
        <v>2487</v>
      </c>
      <c r="BN778" s="48"/>
      <c r="BO778" s="48"/>
      <c r="BP778" s="48"/>
      <c r="BQ778" s="48"/>
      <c r="BR778" s="47" t="s">
        <v>2496</v>
      </c>
      <c r="BS778" s="48"/>
      <c r="BT778" s="48"/>
      <c r="BU778" s="228"/>
      <c r="BV778" s="48"/>
      <c r="BW778" s="48"/>
      <c r="BX778" s="48"/>
      <c r="BY778" s="48"/>
      <c r="BZ778" s="48"/>
      <c r="CA778" s="48"/>
      <c r="CB778" s="48"/>
      <c r="CC778" s="48"/>
      <c r="CD778" s="48"/>
      <c r="CE778" s="48"/>
      <c r="CF778" s="48"/>
      <c r="CG778" s="48"/>
      <c r="CH778" s="48"/>
      <c r="CI778" s="52" t="s">
        <v>6347</v>
      </c>
      <c r="CJ778" s="98"/>
      <c r="CK778" s="49">
        <f t="shared" si="248"/>
        <v>3015.8103408233983</v>
      </c>
      <c r="CL778" s="229"/>
      <c r="CM778" s="229"/>
      <c r="CN778" s="229"/>
      <c r="CO778" s="47" t="s">
        <v>2488</v>
      </c>
      <c r="CP778" s="47" t="s">
        <v>2489</v>
      </c>
      <c r="CQ778" s="224">
        <v>1.1034268799258207</v>
      </c>
      <c r="CR778" s="224">
        <f>10^(CJ778-CQ778)</f>
        <v>7.8808510638297857E-2</v>
      </c>
      <c r="CS778" s="230" t="s">
        <v>539</v>
      </c>
      <c r="CT778" s="230"/>
      <c r="CU778" s="230"/>
      <c r="CV778" s="335">
        <f t="shared" si="242"/>
        <v>210920.626349892</v>
      </c>
      <c r="CW778" s="230">
        <f t="shared" si="247"/>
        <v>1</v>
      </c>
      <c r="CX778" s="336"/>
      <c r="CY778" s="230" t="s">
        <v>5921</v>
      </c>
    </row>
    <row r="779" spans="1:103" ht="11.25" customHeight="1" x14ac:dyDescent="0.2">
      <c r="A779" s="72">
        <v>777</v>
      </c>
      <c r="B779" s="224">
        <v>987</v>
      </c>
      <c r="C779" s="46" t="s">
        <v>6991</v>
      </c>
      <c r="D779" s="46"/>
      <c r="E779" s="114"/>
      <c r="F779" s="114" t="s">
        <v>2816</v>
      </c>
      <c r="G779" s="225">
        <v>63058</v>
      </c>
      <c r="H779" s="47" t="s">
        <v>2817</v>
      </c>
      <c r="I779" s="47" t="s">
        <v>2817</v>
      </c>
      <c r="J779" s="47"/>
      <c r="K779" s="47" t="s">
        <v>371</v>
      </c>
      <c r="L779" s="47"/>
      <c r="M779" s="47"/>
      <c r="N779" s="47"/>
      <c r="O779" s="47"/>
      <c r="P779" s="53"/>
      <c r="Q779" s="53"/>
      <c r="R779" s="53"/>
      <c r="S779" s="53"/>
      <c r="T779" s="48">
        <v>286.42</v>
      </c>
      <c r="U779" s="98">
        <v>0.20180155017107743</v>
      </c>
      <c r="V779" s="98">
        <v>0.23032609454647021</v>
      </c>
      <c r="W779" s="98">
        <v>9.332543007969904E-2</v>
      </c>
      <c r="X779" s="98">
        <v>0.20180155017107743</v>
      </c>
      <c r="Y779" s="233">
        <v>7</v>
      </c>
      <c r="Z779" s="48">
        <v>2.76</v>
      </c>
      <c r="AA779" s="48">
        <v>2.75</v>
      </c>
      <c r="AB779" s="48">
        <v>2.91</v>
      </c>
      <c r="AC779" s="48">
        <v>0.85040000000000004</v>
      </c>
      <c r="AD779" s="48">
        <v>2.9</v>
      </c>
      <c r="AE779" s="48">
        <v>2.9</v>
      </c>
      <c r="AF779" s="48">
        <f t="shared" si="244"/>
        <v>2.75</v>
      </c>
      <c r="AG779" s="49">
        <v>2.9</v>
      </c>
      <c r="AH779" s="98">
        <v>3.6799999999999999E-8</v>
      </c>
      <c r="AI779" s="98"/>
      <c r="AJ779" s="483">
        <f t="shared" si="245"/>
        <v>-5.8227185076391343</v>
      </c>
      <c r="AK779" s="483"/>
      <c r="AL779" s="483">
        <f t="shared" si="246"/>
        <v>-5.8227185076391343</v>
      </c>
      <c r="AM779" s="483">
        <v>-14.108039999999999</v>
      </c>
      <c r="AN779" s="226"/>
      <c r="AO779" s="484"/>
      <c r="AP779" s="484"/>
      <c r="AQ779" s="48" t="s">
        <v>6311</v>
      </c>
      <c r="AR779" s="48" t="s">
        <v>6311</v>
      </c>
      <c r="AS779" s="227"/>
      <c r="AT779" s="50" t="s">
        <v>266</v>
      </c>
      <c r="AU779" s="48">
        <v>6</v>
      </c>
      <c r="AV779" s="48">
        <v>120</v>
      </c>
      <c r="AW779" s="48">
        <v>114</v>
      </c>
      <c r="AX779" s="48">
        <v>28</v>
      </c>
      <c r="AY779" s="48" t="s">
        <v>8728</v>
      </c>
      <c r="AZ779" s="48" t="s">
        <v>1563</v>
      </c>
      <c r="BA779" s="48">
        <v>32</v>
      </c>
      <c r="BB779" s="47" t="s">
        <v>2485</v>
      </c>
      <c r="BC779" s="47" t="s">
        <v>8726</v>
      </c>
      <c r="BD779" s="47" t="s">
        <v>8374</v>
      </c>
      <c r="BE779" s="48" t="s">
        <v>2449</v>
      </c>
      <c r="BF779" s="48" t="s">
        <v>272</v>
      </c>
      <c r="BG779" s="48" t="s">
        <v>272</v>
      </c>
      <c r="BH779" s="48" t="s">
        <v>2486</v>
      </c>
      <c r="BI779" s="98">
        <v>6.3999999999999997E-6</v>
      </c>
      <c r="BJ779" s="98">
        <v>6.4000000000000001E-2</v>
      </c>
      <c r="BK779" s="48"/>
      <c r="BL779" s="98">
        <f t="shared" si="243"/>
        <v>0.17062552473539994</v>
      </c>
      <c r="BM779" s="47" t="s">
        <v>2487</v>
      </c>
      <c r="BN779" s="48"/>
      <c r="BO779" s="48"/>
      <c r="BP779" s="48"/>
      <c r="BQ779" s="48"/>
      <c r="BR779" s="47" t="s">
        <v>2496</v>
      </c>
      <c r="BS779" s="48"/>
      <c r="BT779" s="48"/>
      <c r="BU779" s="228">
        <v>6.4000000000000005E-4</v>
      </c>
      <c r="BV779" s="48"/>
      <c r="BW779" s="48"/>
      <c r="BX779" s="48"/>
      <c r="BY779" s="48"/>
      <c r="BZ779" s="48"/>
      <c r="CA779" s="48"/>
      <c r="CB779" s="48"/>
      <c r="CC779" s="48"/>
      <c r="CD779" s="48"/>
      <c r="CE779" s="48"/>
      <c r="CF779" s="48"/>
      <c r="CG779" s="48"/>
      <c r="CH779" s="48"/>
      <c r="CI779" s="98"/>
      <c r="CJ779" s="98"/>
      <c r="CK779" s="49">
        <f t="shared" si="248"/>
        <v>2.6660238239906238</v>
      </c>
      <c r="CL779" s="229"/>
      <c r="CM779" s="229"/>
      <c r="CN779" s="229"/>
      <c r="CO779" s="47" t="s">
        <v>2488</v>
      </c>
      <c r="CP779" s="47" t="s">
        <v>2489</v>
      </c>
      <c r="CQ779" s="224" t="s">
        <v>272</v>
      </c>
      <c r="CR779" s="224"/>
      <c r="CS779" s="230" t="s">
        <v>539</v>
      </c>
      <c r="CT779" s="230"/>
      <c r="CU779" s="230"/>
      <c r="CV779" s="335">
        <f t="shared" si="242"/>
        <v>3.1531492214230847</v>
      </c>
      <c r="CW779" s="230">
        <f t="shared" si="247"/>
        <v>1</v>
      </c>
      <c r="CX779" s="336"/>
      <c r="CY779" s="230" t="s">
        <v>6351</v>
      </c>
    </row>
    <row r="780" spans="1:103" ht="11.25" customHeight="1" x14ac:dyDescent="0.2">
      <c r="A780" s="72">
        <v>778</v>
      </c>
      <c r="B780" s="224">
        <v>241</v>
      </c>
      <c r="C780" s="46" t="s">
        <v>612</v>
      </c>
      <c r="D780" s="46"/>
      <c r="E780" s="114"/>
      <c r="F780" s="114" t="s">
        <v>613</v>
      </c>
      <c r="G780" s="225">
        <v>63252</v>
      </c>
      <c r="H780" s="47" t="s">
        <v>614</v>
      </c>
      <c r="I780" s="47" t="s">
        <v>614</v>
      </c>
      <c r="J780" s="47" t="s">
        <v>615</v>
      </c>
      <c r="K780" s="47" t="s">
        <v>616</v>
      </c>
      <c r="L780" s="47" t="s">
        <v>617</v>
      </c>
      <c r="M780" s="47" t="s">
        <v>618</v>
      </c>
      <c r="N780" s="47" t="s">
        <v>6376</v>
      </c>
      <c r="O780" s="47" t="s">
        <v>619</v>
      </c>
      <c r="P780" s="53"/>
      <c r="Q780" s="53"/>
      <c r="R780" s="53"/>
      <c r="S780" s="53"/>
      <c r="T780" s="48">
        <v>201.22</v>
      </c>
      <c r="U780" s="98">
        <v>0.54666534141735412</v>
      </c>
      <c r="V780" s="98">
        <v>2.0683828645263889</v>
      </c>
      <c r="W780" s="98">
        <v>0.47863009232263826</v>
      </c>
      <c r="X780" s="98">
        <v>0.54666534141735412</v>
      </c>
      <c r="Y780" s="233">
        <v>6.99</v>
      </c>
      <c r="Z780" s="48">
        <v>2.35</v>
      </c>
      <c r="AA780" s="48">
        <v>2.36</v>
      </c>
      <c r="AB780" s="48">
        <v>2.4500000000000002</v>
      </c>
      <c r="AC780" s="48">
        <v>0.83340000000000003</v>
      </c>
      <c r="AD780" s="48">
        <v>2.44</v>
      </c>
      <c r="AE780" s="48">
        <v>2.4</v>
      </c>
      <c r="AF780" s="48">
        <f t="shared" si="244"/>
        <v>2.36</v>
      </c>
      <c r="AG780" s="49">
        <v>2.38</v>
      </c>
      <c r="AH780" s="98">
        <v>3.1399999999999999E-9</v>
      </c>
      <c r="AI780" s="98">
        <v>3.2700000000000001E-9</v>
      </c>
      <c r="AJ780" s="483">
        <f t="shared" si="245"/>
        <v>-6.8916366782394372</v>
      </c>
      <c r="AK780" s="483">
        <f>LOG10(AI780*1000/(0.08206*298.15))</f>
        <v>-6.874018573652366</v>
      </c>
      <c r="AL780" s="483">
        <f t="shared" si="246"/>
        <v>-6.874018573652366</v>
      </c>
      <c r="AM780" s="483">
        <v>-10.500939999999998</v>
      </c>
      <c r="AN780" s="226">
        <v>-6.44</v>
      </c>
      <c r="AO780" s="484">
        <v>12.02</v>
      </c>
      <c r="AP780" s="484">
        <v>-1.55</v>
      </c>
      <c r="AQ780" s="226" t="s">
        <v>6311</v>
      </c>
      <c r="AR780" s="226" t="s">
        <v>6314</v>
      </c>
      <c r="AS780" s="224" t="s">
        <v>6</v>
      </c>
      <c r="AT780" s="50" t="s">
        <v>266</v>
      </c>
      <c r="AU780" s="48">
        <v>8</v>
      </c>
      <c r="AV780" s="48">
        <v>144</v>
      </c>
      <c r="AW780" s="48">
        <v>120</v>
      </c>
      <c r="AX780" s="48">
        <v>26</v>
      </c>
      <c r="AY780" s="48" t="s">
        <v>267</v>
      </c>
      <c r="AZ780" s="48" t="s">
        <v>2253</v>
      </c>
      <c r="BA780" s="48">
        <v>2</v>
      </c>
      <c r="BB780" s="47" t="s">
        <v>2254</v>
      </c>
      <c r="BC780" s="47" t="s">
        <v>270</v>
      </c>
      <c r="BD780" s="47" t="s">
        <v>8374</v>
      </c>
      <c r="BE780" s="48" t="s">
        <v>1712</v>
      </c>
      <c r="BF780" s="48" t="s">
        <v>272</v>
      </c>
      <c r="BG780" s="48" t="s">
        <v>272</v>
      </c>
      <c r="BH780" s="48" t="s">
        <v>2255</v>
      </c>
      <c r="BI780" s="98">
        <v>9.9999999999999995E-7</v>
      </c>
      <c r="BJ780" s="98">
        <v>0.08</v>
      </c>
      <c r="BK780" s="48"/>
      <c r="BL780" s="98">
        <f t="shared" si="243"/>
        <v>0.39835016372498561</v>
      </c>
      <c r="BM780" s="48" t="s">
        <v>891</v>
      </c>
      <c r="BN780" s="233"/>
      <c r="BO780" s="233"/>
      <c r="BP780" s="233"/>
      <c r="BQ780" s="233"/>
      <c r="BR780" s="233"/>
      <c r="BS780" s="234"/>
      <c r="BT780" s="233"/>
      <c r="BU780" s="235"/>
      <c r="BV780" s="233"/>
      <c r="BW780" s="233"/>
      <c r="BX780" s="233"/>
      <c r="BY780" s="233"/>
      <c r="BZ780" s="233"/>
      <c r="CA780" s="233"/>
      <c r="CB780" s="233"/>
      <c r="CC780" s="234"/>
      <c r="CD780" s="48"/>
      <c r="CE780" s="48"/>
      <c r="CF780" s="48"/>
      <c r="CG780" s="233"/>
      <c r="CH780" s="48"/>
      <c r="CI780" s="52" t="s">
        <v>6347</v>
      </c>
      <c r="CJ780" s="98"/>
      <c r="CK780" s="49">
        <f t="shared" si="248"/>
        <v>4.9793770465623197</v>
      </c>
      <c r="CL780" s="229"/>
      <c r="CM780" s="229">
        <v>-2.0278648718219947</v>
      </c>
      <c r="CN780" s="229">
        <f>BJ780/(10^CM780)</f>
        <v>8.5301144618675071</v>
      </c>
      <c r="CO780" s="47" t="s">
        <v>892</v>
      </c>
      <c r="CP780" s="47" t="s">
        <v>893</v>
      </c>
      <c r="CQ780" s="224">
        <v>-1.6875776788611627</v>
      </c>
      <c r="CR780" s="224">
        <f>10^(CJ780-CQ780)</f>
        <v>48.705463303269923</v>
      </c>
      <c r="CS780" s="230" t="s">
        <v>539</v>
      </c>
      <c r="CT780" s="230"/>
      <c r="CU780" s="230"/>
      <c r="CV780" s="335">
        <f t="shared" si="242"/>
        <v>6.8333167677169264</v>
      </c>
      <c r="CW780" s="230">
        <f t="shared" si="247"/>
        <v>1</v>
      </c>
      <c r="CX780" s="336" t="s">
        <v>539</v>
      </c>
      <c r="CY780" s="230" t="s">
        <v>5921</v>
      </c>
    </row>
    <row r="781" spans="1:103" ht="11.25" customHeight="1" x14ac:dyDescent="0.2">
      <c r="A781" s="72">
        <v>779</v>
      </c>
      <c r="B781" s="224">
        <v>1489</v>
      </c>
      <c r="C781" s="46" t="s">
        <v>435</v>
      </c>
      <c r="D781" s="46"/>
      <c r="E781" s="114"/>
      <c r="F781" s="114" t="s">
        <v>436</v>
      </c>
      <c r="G781" s="225">
        <v>64197</v>
      </c>
      <c r="H781" s="47" t="s">
        <v>437</v>
      </c>
      <c r="I781" s="47" t="s">
        <v>437</v>
      </c>
      <c r="J781" s="47" t="s">
        <v>438</v>
      </c>
      <c r="K781" s="47" t="s">
        <v>426</v>
      </c>
      <c r="L781" s="47"/>
      <c r="M781" s="47"/>
      <c r="N781" s="47" t="s">
        <v>6082</v>
      </c>
      <c r="O781" s="47"/>
      <c r="P781" s="53"/>
      <c r="Q781" s="53"/>
      <c r="R781" s="53"/>
      <c r="S781" s="53"/>
      <c r="T781" s="48">
        <v>60.05</v>
      </c>
      <c r="U781" s="98">
        <v>16652.789342214823</v>
      </c>
      <c r="V781" s="98">
        <v>7925.0624479600338</v>
      </c>
      <c r="W781" s="98">
        <v>3311.3112148259115</v>
      </c>
      <c r="X781" s="98">
        <v>16652.789342214823</v>
      </c>
      <c r="Y781" s="233">
        <v>2.14</v>
      </c>
      <c r="Z781" s="48">
        <v>0.09</v>
      </c>
      <c r="AA781" s="48">
        <v>-0.17</v>
      </c>
      <c r="AB781" s="48">
        <v>0.02</v>
      </c>
      <c r="AC781" s="48">
        <v>0.81850000000000001</v>
      </c>
      <c r="AD781" s="48">
        <v>-7.0000000000000007E-2</v>
      </c>
      <c r="AE781" s="48">
        <v>-0.28999999999999998</v>
      </c>
      <c r="AF781" s="48">
        <f t="shared" si="244"/>
        <v>-0.17</v>
      </c>
      <c r="AG781" s="49">
        <v>-0.15</v>
      </c>
      <c r="AH781" s="98">
        <v>5.4799999999999998E-7</v>
      </c>
      <c r="AI781" s="98">
        <v>9.9999999999999995E-8</v>
      </c>
      <c r="AJ781" s="483">
        <f t="shared" si="245"/>
        <v>-4.6497857678282823</v>
      </c>
      <c r="AK781" s="483">
        <f>LOG10(AI781*1000/(0.08206*298.15))</f>
        <v>-5.3885663263126515</v>
      </c>
      <c r="AL781" s="483">
        <f t="shared" si="246"/>
        <v>-5.3885663263126515</v>
      </c>
      <c r="AM781" s="483">
        <v>-4.8964699999999999</v>
      </c>
      <c r="AN781" s="226">
        <v>-5.0199999999999996</v>
      </c>
      <c r="AO781" s="484">
        <v>4.79</v>
      </c>
      <c r="AP781" s="484"/>
      <c r="AQ781" s="48" t="s">
        <v>6311</v>
      </c>
      <c r="AR781" s="48" t="s">
        <v>6311</v>
      </c>
      <c r="AS781" s="227"/>
      <c r="AT781" s="50" t="s">
        <v>266</v>
      </c>
      <c r="AU781" s="48">
        <v>6</v>
      </c>
      <c r="AV781" s="48">
        <v>120</v>
      </c>
      <c r="AW781" s="48">
        <v>114</v>
      </c>
      <c r="AX781" s="48">
        <v>28</v>
      </c>
      <c r="AY781" s="48" t="s">
        <v>8728</v>
      </c>
      <c r="AZ781" s="48" t="s">
        <v>1563</v>
      </c>
      <c r="BA781" s="48">
        <v>32</v>
      </c>
      <c r="BB781" s="47" t="s">
        <v>2485</v>
      </c>
      <c r="BC781" s="47" t="s">
        <v>8726</v>
      </c>
      <c r="BD781" s="47" t="s">
        <v>8374</v>
      </c>
      <c r="BE781" s="48" t="s">
        <v>2449</v>
      </c>
      <c r="BF781" s="48" t="s">
        <v>272</v>
      </c>
      <c r="BG781" s="48" t="s">
        <v>272</v>
      </c>
      <c r="BH781" s="48" t="s">
        <v>2486</v>
      </c>
      <c r="BI781" s="98">
        <v>6.3999999999999997E-6</v>
      </c>
      <c r="BJ781" s="98">
        <v>6.4000000000000001E-2</v>
      </c>
      <c r="BK781" s="48"/>
      <c r="BL781" s="98">
        <f t="shared" si="243"/>
        <v>42.655103491902061</v>
      </c>
      <c r="BM781" s="47" t="s">
        <v>2487</v>
      </c>
      <c r="BN781" s="48"/>
      <c r="BO781" s="48"/>
      <c r="BP781" s="48"/>
      <c r="BQ781" s="48"/>
      <c r="BR781" s="47" t="s">
        <v>2496</v>
      </c>
      <c r="BS781" s="48"/>
      <c r="BT781" s="48"/>
      <c r="BU781" s="228"/>
      <c r="BV781" s="48"/>
      <c r="BW781" s="48"/>
      <c r="BX781" s="48"/>
      <c r="BY781" s="48"/>
      <c r="BZ781" s="48"/>
      <c r="CA781" s="48"/>
      <c r="CB781" s="48"/>
      <c r="CC781" s="48"/>
      <c r="CD781" s="48"/>
      <c r="CE781" s="48"/>
      <c r="CF781" s="48"/>
      <c r="CG781" s="48"/>
      <c r="CH781" s="48"/>
      <c r="CI781" s="98"/>
      <c r="CJ781" s="98"/>
      <c r="CK781" s="49">
        <f t="shared" si="248"/>
        <v>666.48599206096969</v>
      </c>
      <c r="CL781" s="229"/>
      <c r="CM781" s="229">
        <v>9.6548251652775224E-2</v>
      </c>
      <c r="CN781" s="229">
        <f>BJ781/(10^CM781)</f>
        <v>5.1242666666666666E-2</v>
      </c>
      <c r="CO781" s="47" t="s">
        <v>2488</v>
      </c>
      <c r="CP781" s="47" t="s">
        <v>2489</v>
      </c>
      <c r="CQ781" s="224">
        <v>0.10838021075167194</v>
      </c>
      <c r="CR781" s="224">
        <f>10^(CJ781-CQ781)</f>
        <v>0.77914769328165756</v>
      </c>
      <c r="CS781" s="230" t="s">
        <v>539</v>
      </c>
      <c r="CT781" s="230"/>
      <c r="CU781" s="230"/>
      <c r="CV781" s="335">
        <f t="shared" si="242"/>
        <v>260199.83347210661</v>
      </c>
      <c r="CW781" s="230">
        <f t="shared" si="247"/>
        <v>1</v>
      </c>
      <c r="CX781" s="336"/>
      <c r="CY781" s="230" t="s">
        <v>6351</v>
      </c>
    </row>
    <row r="782" spans="1:103" ht="11.25" customHeight="1" x14ac:dyDescent="0.2">
      <c r="A782" s="72">
        <v>780</v>
      </c>
      <c r="B782" s="224">
        <v>1102</v>
      </c>
      <c r="C782" s="46" t="s">
        <v>6992</v>
      </c>
      <c r="D782" s="46"/>
      <c r="E782" s="114"/>
      <c r="F782" s="114" t="s">
        <v>3082</v>
      </c>
      <c r="G782" s="225">
        <v>64675</v>
      </c>
      <c r="H782" s="47" t="s">
        <v>3083</v>
      </c>
      <c r="I782" s="47" t="s">
        <v>3083</v>
      </c>
      <c r="J782" s="47" t="s">
        <v>3084</v>
      </c>
      <c r="K782" s="47" t="s">
        <v>357</v>
      </c>
      <c r="L782" s="47"/>
      <c r="M782" s="47"/>
      <c r="N782" s="47"/>
      <c r="O782" s="47"/>
      <c r="P782" s="53"/>
      <c r="Q782" s="53"/>
      <c r="R782" s="53"/>
      <c r="S782" s="53"/>
      <c r="T782" s="48">
        <v>154.19</v>
      </c>
      <c r="U782" s="98">
        <v>45.398534275893375</v>
      </c>
      <c r="V782" s="98">
        <v>50.113496335689732</v>
      </c>
      <c r="W782" s="98">
        <v>39.810717055349727</v>
      </c>
      <c r="X782" s="98">
        <v>45.398534275893375</v>
      </c>
      <c r="Y782" s="233">
        <v>7</v>
      </c>
      <c r="Z782" s="48">
        <v>1.1399999999999999</v>
      </c>
      <c r="AA782" s="48">
        <v>1.1399999999999999</v>
      </c>
      <c r="AB782" s="48">
        <v>0.95</v>
      </c>
      <c r="AC782" s="48">
        <v>0.58819999999999995</v>
      </c>
      <c r="AD782" s="48">
        <v>1.04</v>
      </c>
      <c r="AE782" s="48">
        <v>1.1399999999999999</v>
      </c>
      <c r="AF782" s="48">
        <f t="shared" si="244"/>
        <v>1.1399999999999999</v>
      </c>
      <c r="AG782" s="49">
        <v>0.64</v>
      </c>
      <c r="AH782" s="98">
        <v>4.5900000000000001E-6</v>
      </c>
      <c r="AI782" s="98">
        <v>6.1399999999999997E-6</v>
      </c>
      <c r="AJ782" s="483">
        <f t="shared" si="245"/>
        <v>-3.7267536407753905</v>
      </c>
      <c r="AK782" s="483">
        <f>LOG10(AI782*1000/(0.08206*298.15))</f>
        <v>-3.6003979551714842</v>
      </c>
      <c r="AL782" s="483">
        <f t="shared" si="246"/>
        <v>-3.6003979551714842</v>
      </c>
      <c r="AM782" s="483">
        <v>-8.0120399999999989</v>
      </c>
      <c r="AN782" s="226">
        <v>-3.93</v>
      </c>
      <c r="AO782" s="484"/>
      <c r="AP782" s="484"/>
      <c r="AQ782" s="48" t="s">
        <v>6311</v>
      </c>
      <c r="AR782" s="48" t="s">
        <v>6311</v>
      </c>
      <c r="AS782" s="227"/>
      <c r="AT782" s="50" t="s">
        <v>266</v>
      </c>
      <c r="AU782" s="48">
        <v>6</v>
      </c>
      <c r="AV782" s="48">
        <v>120</v>
      </c>
      <c r="AW782" s="48">
        <v>114</v>
      </c>
      <c r="AX782" s="48">
        <v>28</v>
      </c>
      <c r="AY782" s="48" t="s">
        <v>8728</v>
      </c>
      <c r="AZ782" s="48" t="s">
        <v>1563</v>
      </c>
      <c r="BA782" s="48">
        <v>32</v>
      </c>
      <c r="BB782" s="47" t="s">
        <v>2485</v>
      </c>
      <c r="BC782" s="47" t="s">
        <v>8726</v>
      </c>
      <c r="BD782" s="47" t="s">
        <v>8374</v>
      </c>
      <c r="BE782" s="48" t="s">
        <v>2449</v>
      </c>
      <c r="BF782" s="48" t="s">
        <v>272</v>
      </c>
      <c r="BG782" s="48" t="s">
        <v>272</v>
      </c>
      <c r="BH782" s="48" t="s">
        <v>2486</v>
      </c>
      <c r="BI782" s="98">
        <v>6.3999999999999997E-6</v>
      </c>
      <c r="BJ782" s="98">
        <v>6.4000000000000001E-2</v>
      </c>
      <c r="BK782" s="48"/>
      <c r="BL782" s="98">
        <f t="shared" si="243"/>
        <v>4.8636912738666416</v>
      </c>
      <c r="BM782" s="47" t="s">
        <v>2487</v>
      </c>
      <c r="BN782" s="48"/>
      <c r="BO782" s="48"/>
      <c r="BP782" s="48"/>
      <c r="BQ782" s="48"/>
      <c r="BR782" s="47" t="s">
        <v>2496</v>
      </c>
      <c r="BS782" s="48"/>
      <c r="BT782" s="48"/>
      <c r="BU782" s="228">
        <v>6.3999999999999997E-6</v>
      </c>
      <c r="BV782" s="48"/>
      <c r="BW782" s="48"/>
      <c r="BX782" s="48"/>
      <c r="BY782" s="48"/>
      <c r="BZ782" s="48"/>
      <c r="CA782" s="48"/>
      <c r="CB782" s="48"/>
      <c r="CC782" s="48"/>
      <c r="CD782" s="48"/>
      <c r="CE782" s="48"/>
      <c r="CF782" s="48"/>
      <c r="CG782" s="48"/>
      <c r="CH782" s="48"/>
      <c r="CI782" s="98"/>
      <c r="CJ782" s="98"/>
      <c r="CK782" s="49">
        <f t="shared" si="248"/>
        <v>75.995176154166273</v>
      </c>
      <c r="CL782" s="229"/>
      <c r="CM782" s="229"/>
      <c r="CN782" s="229"/>
      <c r="CO782" s="47" t="s">
        <v>2488</v>
      </c>
      <c r="CP782" s="47" t="s">
        <v>2489</v>
      </c>
      <c r="CQ782" s="224" t="s">
        <v>272</v>
      </c>
      <c r="CR782" s="224"/>
      <c r="CS782" s="230" t="s">
        <v>539</v>
      </c>
      <c r="CT782" s="230"/>
      <c r="CU782" s="230"/>
      <c r="CV782" s="335">
        <f t="shared" si="242"/>
        <v>709.35209806083401</v>
      </c>
      <c r="CW782" s="230">
        <f t="shared" si="247"/>
        <v>1</v>
      </c>
      <c r="CX782" s="336"/>
      <c r="CY782" s="230" t="s">
        <v>6351</v>
      </c>
    </row>
    <row r="783" spans="1:103" ht="11.25" customHeight="1" x14ac:dyDescent="0.2">
      <c r="A783" s="72">
        <v>781</v>
      </c>
      <c r="B783" s="224">
        <v>1073</v>
      </c>
      <c r="C783" s="46" t="s">
        <v>290</v>
      </c>
      <c r="D783" s="46" t="s">
        <v>8356</v>
      </c>
      <c r="E783" s="114"/>
      <c r="F783" s="114" t="s">
        <v>291</v>
      </c>
      <c r="G783" s="225">
        <v>64868</v>
      </c>
      <c r="H783" s="47" t="s">
        <v>292</v>
      </c>
      <c r="I783" s="47" t="s">
        <v>7990</v>
      </c>
      <c r="J783" s="47" t="s">
        <v>293</v>
      </c>
      <c r="K783" s="47" t="s">
        <v>294</v>
      </c>
      <c r="L783" s="51" t="s">
        <v>279</v>
      </c>
      <c r="M783" s="47" t="s">
        <v>3018</v>
      </c>
      <c r="N783" s="47"/>
      <c r="O783" s="47" t="s">
        <v>281</v>
      </c>
      <c r="P783" s="53"/>
      <c r="Q783" s="53"/>
      <c r="R783" s="53"/>
      <c r="S783" s="53"/>
      <c r="T783" s="48">
        <v>399.44</v>
      </c>
      <c r="U783" s="98">
        <v>112.65772080913278</v>
      </c>
      <c r="V783" s="98">
        <v>0.59958942519527336</v>
      </c>
      <c r="W783" s="98">
        <v>0.53703179637025245</v>
      </c>
      <c r="X783" s="98">
        <v>112.65772080913278</v>
      </c>
      <c r="Y783" s="233">
        <v>7</v>
      </c>
      <c r="Z783" s="48">
        <v>1.86</v>
      </c>
      <c r="AA783" s="48">
        <v>1.3</v>
      </c>
      <c r="AB783" s="48">
        <v>1.1399999999999999</v>
      </c>
      <c r="AC783" s="48">
        <v>0.92149999999999999</v>
      </c>
      <c r="AD783" s="48">
        <v>1.1000000000000001</v>
      </c>
      <c r="AE783" s="48">
        <v>0.92</v>
      </c>
      <c r="AF783" s="48">
        <f t="shared" si="244"/>
        <v>1.3</v>
      </c>
      <c r="AG783" s="49">
        <v>2.73</v>
      </c>
      <c r="AH783" s="98">
        <v>1.7899999999999999E-17</v>
      </c>
      <c r="AI783" s="98"/>
      <c r="AJ783" s="483">
        <f t="shared" si="245"/>
        <v>-15.135713295332758</v>
      </c>
      <c r="AK783" s="483"/>
      <c r="AL783" s="483">
        <f t="shared" si="246"/>
        <v>-15.135713295332758</v>
      </c>
      <c r="AM783" s="483">
        <v>-23.910819999999998</v>
      </c>
      <c r="AN783" s="226">
        <v>-19.5</v>
      </c>
      <c r="AO783" s="484">
        <v>14.75</v>
      </c>
      <c r="AP783" s="484">
        <v>-0.91</v>
      </c>
      <c r="AQ783" s="48" t="s">
        <v>6311</v>
      </c>
      <c r="AR783" s="48" t="s">
        <v>6311</v>
      </c>
      <c r="AS783" s="227"/>
      <c r="AT783" s="50" t="s">
        <v>266</v>
      </c>
      <c r="AU783" s="48">
        <v>6</v>
      </c>
      <c r="AV783" s="48">
        <v>120</v>
      </c>
      <c r="AW783" s="48">
        <v>114</v>
      </c>
      <c r="AX783" s="48">
        <v>28</v>
      </c>
      <c r="AY783" s="48" t="s">
        <v>8728</v>
      </c>
      <c r="AZ783" s="48" t="s">
        <v>1563</v>
      </c>
      <c r="BA783" s="48">
        <v>32</v>
      </c>
      <c r="BB783" s="47" t="s">
        <v>2485</v>
      </c>
      <c r="BC783" s="47" t="s">
        <v>8726</v>
      </c>
      <c r="BD783" s="47" t="s">
        <v>8374</v>
      </c>
      <c r="BE783" s="48" t="s">
        <v>2449</v>
      </c>
      <c r="BF783" s="48" t="s">
        <v>272</v>
      </c>
      <c r="BG783" s="48" t="s">
        <v>272</v>
      </c>
      <c r="BH783" s="48" t="s">
        <v>2486</v>
      </c>
      <c r="BI783" s="98">
        <v>6.3999999999999997E-6</v>
      </c>
      <c r="BJ783" s="98">
        <v>6.4000000000000001E-2</v>
      </c>
      <c r="BK783" s="48"/>
      <c r="BL783" s="98">
        <f t="shared" si="243"/>
        <v>1.0973217817596701</v>
      </c>
      <c r="BM783" s="47" t="s">
        <v>2487</v>
      </c>
      <c r="BN783" s="48"/>
      <c r="BO783" s="48"/>
      <c r="BP783" s="48"/>
      <c r="BQ783" s="48"/>
      <c r="BR783" s="47" t="s">
        <v>2496</v>
      </c>
      <c r="BS783" s="48"/>
      <c r="BT783" s="48"/>
      <c r="BU783" s="228">
        <v>6.4000000000000001E-2</v>
      </c>
      <c r="BV783" s="48"/>
      <c r="BW783" s="48"/>
      <c r="BX783" s="48"/>
      <c r="BY783" s="48"/>
      <c r="BZ783" s="48"/>
      <c r="CA783" s="48"/>
      <c r="CB783" s="48"/>
      <c r="CC783" s="48"/>
      <c r="CD783" s="48"/>
      <c r="CE783" s="48"/>
      <c r="CF783" s="48"/>
      <c r="CG783" s="48"/>
      <c r="CH783" s="48"/>
      <c r="CI783" s="98"/>
      <c r="CJ783" s="98"/>
      <c r="CK783" s="49">
        <f t="shared" si="248"/>
        <v>17.145652839994845</v>
      </c>
      <c r="CL783" s="229"/>
      <c r="CM783" s="229"/>
      <c r="CN783" s="229"/>
      <c r="CO783" s="47" t="s">
        <v>2488</v>
      </c>
      <c r="CP783" s="47" t="s">
        <v>2489</v>
      </c>
      <c r="CQ783" s="224" t="s">
        <v>272</v>
      </c>
      <c r="CR783" s="224"/>
      <c r="CS783" s="230" t="s">
        <v>539</v>
      </c>
      <c r="CT783" s="230"/>
      <c r="CU783" s="230"/>
      <c r="CV783" s="335">
        <f t="shared" si="242"/>
        <v>1760.2768876426996</v>
      </c>
      <c r="CW783" s="230">
        <f t="shared" si="247"/>
        <v>1</v>
      </c>
      <c r="CX783" s="336"/>
      <c r="CY783" s="230" t="s">
        <v>6351</v>
      </c>
    </row>
    <row r="784" spans="1:103" ht="11.25" customHeight="1" x14ac:dyDescent="0.2">
      <c r="A784" s="72">
        <v>782</v>
      </c>
      <c r="B784" s="224">
        <v>1845</v>
      </c>
      <c r="C784" s="46" t="s">
        <v>6993</v>
      </c>
      <c r="D784" s="46"/>
      <c r="E784" s="114"/>
      <c r="F784" s="114" t="s">
        <v>5258</v>
      </c>
      <c r="G784" s="225">
        <v>65236</v>
      </c>
      <c r="H784" s="47" t="s">
        <v>5259</v>
      </c>
      <c r="I784" s="47" t="s">
        <v>5259</v>
      </c>
      <c r="J784" s="47" t="s">
        <v>5260</v>
      </c>
      <c r="K784" s="47" t="s">
        <v>5261</v>
      </c>
      <c r="L784" s="47" t="s">
        <v>279</v>
      </c>
      <c r="M784" s="47" t="s">
        <v>5262</v>
      </c>
      <c r="N784" s="47"/>
      <c r="O784" s="47" t="s">
        <v>281</v>
      </c>
      <c r="P784" s="53"/>
      <c r="Q784" s="53"/>
      <c r="R784" s="53"/>
      <c r="S784" s="53"/>
      <c r="T784" s="48">
        <v>169.18</v>
      </c>
      <c r="U784" s="98"/>
      <c r="V784" s="98">
        <v>1666.8636954722779</v>
      </c>
      <c r="W784" s="98">
        <v>223.87211385683392</v>
      </c>
      <c r="X784" s="98">
        <f>IF(W784=0,V784,W784)</f>
        <v>223.87211385683392</v>
      </c>
      <c r="Y784" s="233">
        <v>7.06</v>
      </c>
      <c r="Z784" s="48">
        <v>-0.56000000000000005</v>
      </c>
      <c r="AA784" s="48">
        <v>-0.77</v>
      </c>
      <c r="AB784" s="48">
        <v>-0.39</v>
      </c>
      <c r="AC784" s="48">
        <v>0.79039999999999999</v>
      </c>
      <c r="AD784" s="48">
        <v>-0.62</v>
      </c>
      <c r="AE784" s="48">
        <v>-1.1000000000000001</v>
      </c>
      <c r="AF784" s="48">
        <f t="shared" si="244"/>
        <v>-0.77</v>
      </c>
      <c r="AG784" s="49">
        <v>-0.27</v>
      </c>
      <c r="AH784" s="98">
        <v>1.32E-15</v>
      </c>
      <c r="AI784" s="98"/>
      <c r="AJ784" s="483">
        <f t="shared" si="245"/>
        <v>-13.267992395106802</v>
      </c>
      <c r="AK784" s="483"/>
      <c r="AL784" s="483">
        <f t="shared" si="246"/>
        <v>-13.267992395106802</v>
      </c>
      <c r="AM784" s="483">
        <v>-15.706199999999999</v>
      </c>
      <c r="AN784" s="226">
        <v>-11.4</v>
      </c>
      <c r="AO784" s="484">
        <v>9.6300000000000008</v>
      </c>
      <c r="AP784" s="484">
        <v>5.01</v>
      </c>
      <c r="AQ784" s="226" t="s">
        <v>6311</v>
      </c>
      <c r="AR784" s="226" t="s">
        <v>6311</v>
      </c>
      <c r="AS784" s="224"/>
      <c r="AT784" s="50" t="s">
        <v>266</v>
      </c>
      <c r="AU784" s="48">
        <v>6</v>
      </c>
      <c r="AV784" s="48">
        <v>120</v>
      </c>
      <c r="AW784" s="48">
        <v>114</v>
      </c>
      <c r="AX784" s="48">
        <v>28</v>
      </c>
      <c r="AY784" s="48" t="s">
        <v>8728</v>
      </c>
      <c r="AZ784" s="48" t="s">
        <v>1563</v>
      </c>
      <c r="BA784" s="48">
        <v>32</v>
      </c>
      <c r="BB784" s="47" t="s">
        <v>2485</v>
      </c>
      <c r="BC784" s="47" t="s">
        <v>8726</v>
      </c>
      <c r="BD784" s="47" t="s">
        <v>8374</v>
      </c>
      <c r="BE784" s="48" t="s">
        <v>2449</v>
      </c>
      <c r="BF784" s="48" t="s">
        <v>272</v>
      </c>
      <c r="BG784" s="48" t="s">
        <v>272</v>
      </c>
      <c r="BH784" s="48" t="s">
        <v>2486</v>
      </c>
      <c r="BI784" s="98">
        <v>6.3999999999999997E-6</v>
      </c>
      <c r="BJ784" s="98">
        <v>6.4000000000000001E-2</v>
      </c>
      <c r="BK784" s="48"/>
      <c r="BL784" s="98">
        <f t="shared" si="243"/>
        <v>163.58218317245903</v>
      </c>
      <c r="BM784" s="47" t="s">
        <v>2487</v>
      </c>
      <c r="BN784" s="48"/>
      <c r="BO784" s="48"/>
      <c r="BP784" s="48"/>
      <c r="BQ784" s="48"/>
      <c r="BR784" s="47" t="s">
        <v>2496</v>
      </c>
      <c r="BS784" s="48"/>
      <c r="BT784" s="48"/>
      <c r="BU784" s="228"/>
      <c r="BV784" s="48"/>
      <c r="BW784" s="48"/>
      <c r="BX784" s="48"/>
      <c r="BY784" s="48"/>
      <c r="BZ784" s="48"/>
      <c r="CA784" s="48"/>
      <c r="CB784" s="48"/>
      <c r="CC784" s="48"/>
      <c r="CD784" s="48"/>
      <c r="CE784" s="48"/>
      <c r="CF784" s="48"/>
      <c r="CG784" s="48"/>
      <c r="CH784" s="48"/>
      <c r="CI784" s="98"/>
      <c r="CJ784" s="98"/>
      <c r="CK784" s="49">
        <f t="shared" si="248"/>
        <v>2555.9716120696721</v>
      </c>
      <c r="CL784" s="229"/>
      <c r="CM784" s="229"/>
      <c r="CN784" s="229"/>
      <c r="CO784" s="47" t="s">
        <v>2488</v>
      </c>
      <c r="CP784" s="47" t="s">
        <v>2489</v>
      </c>
      <c r="CQ784" s="224" t="s">
        <v>272</v>
      </c>
      <c r="CR784" s="224"/>
      <c r="CS784" s="230" t="s">
        <v>539</v>
      </c>
      <c r="CT784" s="230"/>
      <c r="CU784" s="230"/>
      <c r="CV784" s="335">
        <f t="shared" si="242"/>
        <v>3498.00177901303</v>
      </c>
      <c r="CW784" s="230">
        <f t="shared" si="247"/>
        <v>1</v>
      </c>
      <c r="CX784" s="336"/>
      <c r="CY784" s="230" t="s">
        <v>5921</v>
      </c>
    </row>
    <row r="785" spans="1:103" ht="11.25" customHeight="1" x14ac:dyDescent="0.2">
      <c r="A785" s="72">
        <v>783</v>
      </c>
      <c r="B785" s="224">
        <v>1030</v>
      </c>
      <c r="C785" s="46" t="s">
        <v>6994</v>
      </c>
      <c r="D785" s="46"/>
      <c r="E785" s="114"/>
      <c r="F785" s="114" t="s">
        <v>680</v>
      </c>
      <c r="G785" s="225">
        <v>65850</v>
      </c>
      <c r="H785" s="47" t="s">
        <v>681</v>
      </c>
      <c r="I785" s="47" t="s">
        <v>681</v>
      </c>
      <c r="J785" s="47" t="s">
        <v>682</v>
      </c>
      <c r="K785" s="47" t="s">
        <v>426</v>
      </c>
      <c r="L785" s="47" t="s">
        <v>6115</v>
      </c>
      <c r="M785" s="47" t="s">
        <v>5960</v>
      </c>
      <c r="N785" s="47"/>
      <c r="O785" s="47"/>
      <c r="P785" s="53"/>
      <c r="Q785" s="53"/>
      <c r="R785" s="53"/>
      <c r="S785" s="53"/>
      <c r="T785" s="48">
        <v>122.12</v>
      </c>
      <c r="U785" s="98">
        <v>27.841467409105796</v>
      </c>
      <c r="V785" s="98">
        <v>20.414346544382575</v>
      </c>
      <c r="W785" s="98">
        <v>34.673685045253158</v>
      </c>
      <c r="X785" s="98">
        <v>27.841467409105796</v>
      </c>
      <c r="Y785" s="233">
        <v>2.84</v>
      </c>
      <c r="Z785" s="48">
        <v>1.87</v>
      </c>
      <c r="AA785" s="48">
        <v>1.87</v>
      </c>
      <c r="AB785" s="48">
        <v>1.87</v>
      </c>
      <c r="AC785" s="48">
        <v>0.87239999999999995</v>
      </c>
      <c r="AD785" s="48">
        <v>1.87</v>
      </c>
      <c r="AE785" s="48">
        <v>1.89</v>
      </c>
      <c r="AF785" s="48">
        <f t="shared" ref="AF785:AF791" si="249">IF(AA785=0,AD785,AA785)</f>
        <v>1.87</v>
      </c>
      <c r="AG785" s="49">
        <v>1.44</v>
      </c>
      <c r="AH785" s="98">
        <v>1.08E-7</v>
      </c>
      <c r="AI785" s="98">
        <v>3.8099999999999997E-8</v>
      </c>
      <c r="AJ785" s="483">
        <f t="shared" ref="AJ785:AJ796" si="250">LOG10(AH785*1000/(0.08206*298.15))</f>
        <v>-5.3551425708257021</v>
      </c>
      <c r="AK785" s="483">
        <f>LOG10(AI785*1000/(0.08206*298.15))</f>
        <v>-5.8076413506370326</v>
      </c>
      <c r="AL785" s="483">
        <f t="shared" ref="AL785:AL796" si="251">IF(AK785=0,AJ785,AK785)</f>
        <v>-5.8076413506370326</v>
      </c>
      <c r="AM785" s="483">
        <v>-7.6162700000000001</v>
      </c>
      <c r="AN785" s="226">
        <v>-5.58</v>
      </c>
      <c r="AO785" s="484">
        <v>4.2</v>
      </c>
      <c r="AP785" s="484"/>
      <c r="AQ785" s="48" t="s">
        <v>6311</v>
      </c>
      <c r="AR785" s="48" t="s">
        <v>6311</v>
      </c>
      <c r="AS785" s="227"/>
      <c r="AT785" s="50" t="s">
        <v>266</v>
      </c>
      <c r="AU785" s="48">
        <v>6</v>
      </c>
      <c r="AV785" s="48">
        <v>120</v>
      </c>
      <c r="AW785" s="48">
        <v>114</v>
      </c>
      <c r="AX785" s="48">
        <v>28</v>
      </c>
      <c r="AY785" s="48" t="s">
        <v>8728</v>
      </c>
      <c r="AZ785" s="48" t="s">
        <v>1563</v>
      </c>
      <c r="BA785" s="48">
        <v>32</v>
      </c>
      <c r="BB785" s="47" t="s">
        <v>2485</v>
      </c>
      <c r="BC785" s="47" t="s">
        <v>8726</v>
      </c>
      <c r="BD785" s="47" t="s">
        <v>8374</v>
      </c>
      <c r="BE785" s="48" t="s">
        <v>2449</v>
      </c>
      <c r="BF785" s="48" t="s">
        <v>272</v>
      </c>
      <c r="BG785" s="48" t="s">
        <v>272</v>
      </c>
      <c r="BH785" s="48" t="s">
        <v>2486</v>
      </c>
      <c r="BI785" s="98">
        <v>6.3999999999999997E-6</v>
      </c>
      <c r="BJ785" s="98">
        <v>6.4000000000000001E-2</v>
      </c>
      <c r="BK785" s="48"/>
      <c r="BL785" s="98">
        <f t="shared" si="243"/>
        <v>1.0748627192704194</v>
      </c>
      <c r="BM785" s="47" t="s">
        <v>2487</v>
      </c>
      <c r="BN785" s="48"/>
      <c r="BO785" s="48"/>
      <c r="BP785" s="48"/>
      <c r="BQ785" s="48"/>
      <c r="BR785" s="47" t="s">
        <v>2496</v>
      </c>
      <c r="BS785" s="48"/>
      <c r="BT785" s="48"/>
      <c r="BU785" s="228">
        <v>6.6000000000000003E-6</v>
      </c>
      <c r="BV785" s="48"/>
      <c r="BW785" s="48"/>
      <c r="BX785" s="48"/>
      <c r="BY785" s="48"/>
      <c r="BZ785" s="48"/>
      <c r="CA785" s="48"/>
      <c r="CB785" s="48"/>
      <c r="CC785" s="48"/>
      <c r="CD785" s="48"/>
      <c r="CE785" s="48"/>
      <c r="CF785" s="48"/>
      <c r="CG785" s="48"/>
      <c r="CH785" s="48"/>
      <c r="CI785" s="98"/>
      <c r="CJ785" s="98"/>
      <c r="CK785" s="49">
        <f t="shared" si="248"/>
        <v>16.794729988600302</v>
      </c>
      <c r="CL785" s="229"/>
      <c r="CM785" s="229"/>
      <c r="CN785" s="229"/>
      <c r="CO785" s="47" t="s">
        <v>2488</v>
      </c>
      <c r="CP785" s="47" t="s">
        <v>2489</v>
      </c>
      <c r="CQ785" s="224">
        <v>0.16848570947668184</v>
      </c>
      <c r="CR785" s="224">
        <f>10^(CJ785-CQ785)</f>
        <v>0.67844444444444452</v>
      </c>
      <c r="CS785" s="230" t="s">
        <v>539</v>
      </c>
      <c r="CT785" s="230"/>
      <c r="CU785" s="230"/>
      <c r="CV785" s="335">
        <f t="shared" ref="CV785:CV848" si="252">X785/BJ785</f>
        <v>435.02292826727808</v>
      </c>
      <c r="CW785" s="230">
        <f t="shared" si="247"/>
        <v>1</v>
      </c>
      <c r="CX785" s="336"/>
      <c r="CY785" s="230" t="s">
        <v>6351</v>
      </c>
    </row>
    <row r="786" spans="1:103" ht="11.25" customHeight="1" x14ac:dyDescent="0.2">
      <c r="A786" s="72">
        <v>784</v>
      </c>
      <c r="B786" s="224">
        <v>1736</v>
      </c>
      <c r="C786" s="46" t="s">
        <v>6995</v>
      </c>
      <c r="D786" s="46"/>
      <c r="E786" s="114"/>
      <c r="F786" s="114" t="s">
        <v>5017</v>
      </c>
      <c r="G786" s="225">
        <v>66273</v>
      </c>
      <c r="H786" s="47" t="s">
        <v>5018</v>
      </c>
      <c r="I786" s="47" t="s">
        <v>5018</v>
      </c>
      <c r="J786" s="47" t="s">
        <v>5019</v>
      </c>
      <c r="K786" s="47" t="s">
        <v>357</v>
      </c>
      <c r="L786" s="47"/>
      <c r="M786" s="47"/>
      <c r="N786" s="47"/>
      <c r="O786" s="47"/>
      <c r="P786" s="53"/>
      <c r="Q786" s="53"/>
      <c r="R786" s="53"/>
      <c r="S786" s="53"/>
      <c r="T786" s="48">
        <v>110.13</v>
      </c>
      <c r="U786" s="98"/>
      <c r="V786" s="98">
        <v>3599.3825478979388</v>
      </c>
      <c r="W786" s="98">
        <v>1445.4397707459275</v>
      </c>
      <c r="X786" s="98">
        <f>IF(W786=0,V786,W786)</f>
        <v>1445.4397707459275</v>
      </c>
      <c r="Y786" s="233">
        <v>7</v>
      </c>
      <c r="Z786" s="48">
        <v>-0.66</v>
      </c>
      <c r="AA786" s="48"/>
      <c r="AB786" s="48">
        <v>-0.73</v>
      </c>
      <c r="AC786" s="48">
        <v>0.71</v>
      </c>
      <c r="AD786" s="48">
        <v>-0.67</v>
      </c>
      <c r="AE786" s="48">
        <v>-0.56999999999999995</v>
      </c>
      <c r="AF786" s="48">
        <f t="shared" si="249"/>
        <v>-0.67</v>
      </c>
      <c r="AG786" s="49">
        <v>-0.11</v>
      </c>
      <c r="AH786" s="98">
        <v>4.0300000000000004E-6</v>
      </c>
      <c r="AI786" s="98"/>
      <c r="AJ786" s="483">
        <f t="shared" si="250"/>
        <v>-3.7832612801715424</v>
      </c>
      <c r="AK786" s="483"/>
      <c r="AL786" s="483">
        <f t="shared" si="251"/>
        <v>-3.7832612801715424</v>
      </c>
      <c r="AM786" s="483">
        <v>-6.2436199999999999</v>
      </c>
      <c r="AN786" s="226">
        <v>-3.91</v>
      </c>
      <c r="AO786" s="484"/>
      <c r="AP786" s="484"/>
      <c r="AQ786" s="226" t="s">
        <v>6311</v>
      </c>
      <c r="AR786" s="226" t="s">
        <v>6311</v>
      </c>
      <c r="AS786" s="224"/>
      <c r="AT786" s="50" t="s">
        <v>266</v>
      </c>
      <c r="AU786" s="48">
        <v>6</v>
      </c>
      <c r="AV786" s="48">
        <v>120</v>
      </c>
      <c r="AW786" s="48">
        <v>114</v>
      </c>
      <c r="AX786" s="48">
        <v>28</v>
      </c>
      <c r="AY786" s="48" t="s">
        <v>8728</v>
      </c>
      <c r="AZ786" s="48" t="s">
        <v>1563</v>
      </c>
      <c r="BA786" s="48">
        <v>32</v>
      </c>
      <c r="BB786" s="47" t="s">
        <v>2485</v>
      </c>
      <c r="BC786" s="47" t="s">
        <v>8726</v>
      </c>
      <c r="BD786" s="47" t="s">
        <v>8374</v>
      </c>
      <c r="BE786" s="48" t="s">
        <v>2449</v>
      </c>
      <c r="BF786" s="48" t="s">
        <v>272</v>
      </c>
      <c r="BG786" s="48" t="s">
        <v>272</v>
      </c>
      <c r="BH786" s="48" t="s">
        <v>2486</v>
      </c>
      <c r="BI786" s="98">
        <v>6.3999999999999997E-6</v>
      </c>
      <c r="BJ786" s="98">
        <v>6.4000000000000001E-2</v>
      </c>
      <c r="BK786" s="48"/>
      <c r="BL786" s="98">
        <f t="shared" ref="BL786:BL849" si="253">10^((-0.8981*Z786)+1.7108)</f>
        <v>201.16202555507141</v>
      </c>
      <c r="BM786" s="47" t="s">
        <v>2487</v>
      </c>
      <c r="BN786" s="48"/>
      <c r="BO786" s="48"/>
      <c r="BP786" s="48"/>
      <c r="BQ786" s="48"/>
      <c r="BR786" s="47" t="s">
        <v>2496</v>
      </c>
      <c r="BS786" s="48"/>
      <c r="BT786" s="48"/>
      <c r="BU786" s="228"/>
      <c r="BV786" s="48"/>
      <c r="BW786" s="48"/>
      <c r="BX786" s="48"/>
      <c r="BY786" s="48"/>
      <c r="BZ786" s="48"/>
      <c r="CA786" s="48"/>
      <c r="CB786" s="48"/>
      <c r="CC786" s="48"/>
      <c r="CD786" s="48"/>
      <c r="CE786" s="48"/>
      <c r="CF786" s="48"/>
      <c r="CG786" s="48"/>
      <c r="CH786" s="48"/>
      <c r="CI786" s="98"/>
      <c r="CJ786" s="98"/>
      <c r="CK786" s="49">
        <f t="shared" si="248"/>
        <v>3143.1566492979905</v>
      </c>
      <c r="CL786" s="229"/>
      <c r="CM786" s="229"/>
      <c r="CN786" s="229"/>
      <c r="CO786" s="47" t="s">
        <v>2488</v>
      </c>
      <c r="CP786" s="47" t="s">
        <v>2489</v>
      </c>
      <c r="CQ786" s="224" t="s">
        <v>272</v>
      </c>
      <c r="CR786" s="224"/>
      <c r="CS786" s="230" t="s">
        <v>539</v>
      </c>
      <c r="CT786" s="230"/>
      <c r="CU786" s="230"/>
      <c r="CV786" s="335">
        <f t="shared" si="252"/>
        <v>22584.996417905117</v>
      </c>
      <c r="CW786" s="230">
        <f t="shared" si="247"/>
        <v>1</v>
      </c>
      <c r="CX786" s="336"/>
      <c r="CY786" s="230" t="s">
        <v>5921</v>
      </c>
    </row>
    <row r="787" spans="1:103" ht="11.25" customHeight="1" x14ac:dyDescent="0.2">
      <c r="A787" s="72">
        <v>785</v>
      </c>
      <c r="B787" s="224">
        <v>1779</v>
      </c>
      <c r="C787" s="46" t="s">
        <v>6996</v>
      </c>
      <c r="D787" s="46"/>
      <c r="E787" s="114"/>
      <c r="F787" s="114" t="s">
        <v>5117</v>
      </c>
      <c r="G787" s="225">
        <v>67209</v>
      </c>
      <c r="H787" s="47" t="s">
        <v>5118</v>
      </c>
      <c r="I787" s="47" t="s">
        <v>7991</v>
      </c>
      <c r="J787" s="47" t="s">
        <v>5119</v>
      </c>
      <c r="K787" s="47" t="s">
        <v>5120</v>
      </c>
      <c r="L787" s="47" t="s">
        <v>279</v>
      </c>
      <c r="M787" s="47" t="s">
        <v>5121</v>
      </c>
      <c r="N787" s="47"/>
      <c r="O787" s="47" t="s">
        <v>281</v>
      </c>
      <c r="P787" s="53"/>
      <c r="Q787" s="53"/>
      <c r="R787" s="53"/>
      <c r="S787" s="53"/>
      <c r="T787" s="48">
        <v>238.16</v>
      </c>
      <c r="U787" s="98">
        <v>0.33380920389654012</v>
      </c>
      <c r="V787" s="98">
        <v>5.8028216325159558</v>
      </c>
      <c r="W787" s="98">
        <v>0.1737800828749376</v>
      </c>
      <c r="X787" s="98">
        <v>0.33380920389654012</v>
      </c>
      <c r="Y787" s="233">
        <v>5.66</v>
      </c>
      <c r="Z787" s="48">
        <v>-0.17</v>
      </c>
      <c r="AA787" s="48">
        <v>-0.47</v>
      </c>
      <c r="AB787" s="48">
        <v>0.08</v>
      </c>
      <c r="AC787" s="48">
        <v>0.86109999999999998</v>
      </c>
      <c r="AD787" s="48">
        <v>-0.03</v>
      </c>
      <c r="AE787" s="48">
        <v>-0.4</v>
      </c>
      <c r="AF787" s="48">
        <f t="shared" si="249"/>
        <v>-0.47</v>
      </c>
      <c r="AG787" s="49">
        <v>-7.0000000000000007E-2</v>
      </c>
      <c r="AH787" s="98">
        <v>1.33E-12</v>
      </c>
      <c r="AI787" s="98"/>
      <c r="AJ787" s="483">
        <f t="shared" si="250"/>
        <v>-10.264714685345567</v>
      </c>
      <c r="AK787" s="483"/>
      <c r="AL787" s="483">
        <f t="shared" si="251"/>
        <v>-10.264714685345567</v>
      </c>
      <c r="AM787" s="483">
        <v>-15.049899999999999</v>
      </c>
      <c r="AN787" s="226">
        <v>-10.5</v>
      </c>
      <c r="AO787" s="484">
        <v>7.55</v>
      </c>
      <c r="AP787" s="484">
        <v>-2.36</v>
      </c>
      <c r="AQ787" s="226" t="s">
        <v>6311</v>
      </c>
      <c r="AR787" s="226" t="s">
        <v>6311</v>
      </c>
      <c r="AS787" s="224"/>
      <c r="AT787" s="50" t="s">
        <v>266</v>
      </c>
      <c r="AU787" s="48">
        <v>6</v>
      </c>
      <c r="AV787" s="48">
        <v>120</v>
      </c>
      <c r="AW787" s="48">
        <v>114</v>
      </c>
      <c r="AX787" s="48">
        <v>28</v>
      </c>
      <c r="AY787" s="48" t="s">
        <v>8728</v>
      </c>
      <c r="AZ787" s="48" t="s">
        <v>1563</v>
      </c>
      <c r="BA787" s="48">
        <v>32</v>
      </c>
      <c r="BB787" s="47" t="s">
        <v>2485</v>
      </c>
      <c r="BC787" s="47" t="s">
        <v>8726</v>
      </c>
      <c r="BD787" s="47" t="s">
        <v>8374</v>
      </c>
      <c r="BE787" s="48" t="s">
        <v>2449</v>
      </c>
      <c r="BF787" s="48" t="s">
        <v>272</v>
      </c>
      <c r="BG787" s="48" t="s">
        <v>272</v>
      </c>
      <c r="BH787" s="48" t="s">
        <v>2486</v>
      </c>
      <c r="BI787" s="98">
        <v>6.3999999999999997E-6</v>
      </c>
      <c r="BJ787" s="98">
        <v>6.4000000000000001E-2</v>
      </c>
      <c r="BK787" s="48"/>
      <c r="BL787" s="98">
        <f t="shared" si="253"/>
        <v>73.025913772176295</v>
      </c>
      <c r="BM787" s="47" t="s">
        <v>2487</v>
      </c>
      <c r="BN787" s="48"/>
      <c r="BO787" s="48"/>
      <c r="BP787" s="48"/>
      <c r="BQ787" s="48"/>
      <c r="BR787" s="47" t="s">
        <v>2496</v>
      </c>
      <c r="BS787" s="48"/>
      <c r="BT787" s="48"/>
      <c r="BU787" s="228"/>
      <c r="BV787" s="48"/>
      <c r="BW787" s="48"/>
      <c r="BX787" s="48"/>
      <c r="BY787" s="48"/>
      <c r="BZ787" s="48"/>
      <c r="CA787" s="48"/>
      <c r="CB787" s="48"/>
      <c r="CC787" s="48"/>
      <c r="CD787" s="48"/>
      <c r="CE787" s="48"/>
      <c r="CF787" s="48"/>
      <c r="CG787" s="48"/>
      <c r="CH787" s="48"/>
      <c r="CI787" s="52" t="s">
        <v>6347</v>
      </c>
      <c r="CJ787" s="98"/>
      <c r="CK787" s="49">
        <f t="shared" si="248"/>
        <v>1141.0299026902546</v>
      </c>
      <c r="CL787" s="229"/>
      <c r="CM787" s="229"/>
      <c r="CN787" s="229"/>
      <c r="CO787" s="47" t="s">
        <v>2488</v>
      </c>
      <c r="CP787" s="47" t="s">
        <v>2489</v>
      </c>
      <c r="CQ787" s="224" t="s">
        <v>272</v>
      </c>
      <c r="CR787" s="224"/>
      <c r="CS787" s="230" t="s">
        <v>539</v>
      </c>
      <c r="CT787" s="230"/>
      <c r="CU787" s="230"/>
      <c r="CV787" s="335">
        <f t="shared" si="252"/>
        <v>5.2157688108834392</v>
      </c>
      <c r="CW787" s="230">
        <f t="shared" si="247"/>
        <v>1</v>
      </c>
      <c r="CX787" s="336"/>
      <c r="CY787" s="230" t="s">
        <v>5921</v>
      </c>
    </row>
    <row r="788" spans="1:103" ht="11.25" customHeight="1" x14ac:dyDescent="0.2">
      <c r="A788" s="72">
        <v>786</v>
      </c>
      <c r="B788" s="224">
        <v>1785</v>
      </c>
      <c r="C788" s="46" t="s">
        <v>6997</v>
      </c>
      <c r="D788" s="46"/>
      <c r="E788" s="114"/>
      <c r="F788" s="114" t="s">
        <v>733</v>
      </c>
      <c r="G788" s="225">
        <v>68122</v>
      </c>
      <c r="H788" s="47" t="s">
        <v>734</v>
      </c>
      <c r="I788" s="47" t="s">
        <v>734</v>
      </c>
      <c r="J788" s="47" t="s">
        <v>735</v>
      </c>
      <c r="K788" s="47" t="s">
        <v>471</v>
      </c>
      <c r="L788" s="47" t="s">
        <v>5527</v>
      </c>
      <c r="M788" s="47"/>
      <c r="N788" s="47"/>
      <c r="O788" s="47"/>
      <c r="P788" s="53"/>
      <c r="Q788" s="53"/>
      <c r="R788" s="53"/>
      <c r="S788" s="53"/>
      <c r="T788" s="48">
        <v>73.09</v>
      </c>
      <c r="U788" s="98">
        <v>13681.762210972773</v>
      </c>
      <c r="V788" s="98">
        <v>13379.395266110274</v>
      </c>
      <c r="W788" s="98">
        <v>13803.842646028852</v>
      </c>
      <c r="X788" s="98">
        <v>13681.762210972773</v>
      </c>
      <c r="Y788" s="233">
        <v>7.39</v>
      </c>
      <c r="Z788" s="48">
        <v>-0.93</v>
      </c>
      <c r="AA788" s="48">
        <v>-1.01</v>
      </c>
      <c r="AB788" s="48">
        <v>-0.7</v>
      </c>
      <c r="AC788" s="48">
        <v>0.86360000000000003</v>
      </c>
      <c r="AD788" s="48">
        <v>-0.78</v>
      </c>
      <c r="AE788" s="48">
        <v>-1.01</v>
      </c>
      <c r="AF788" s="48">
        <f t="shared" si="249"/>
        <v>-1.01</v>
      </c>
      <c r="AG788" s="49">
        <v>-0.09</v>
      </c>
      <c r="AH788" s="98">
        <v>7.3799999999999999E-8</v>
      </c>
      <c r="AI788" s="98">
        <v>7.3900000000000007E-8</v>
      </c>
      <c r="AJ788" s="483">
        <f t="shared" si="250"/>
        <v>-5.5205099644896105</v>
      </c>
      <c r="AK788" s="483">
        <f>LOG10(AI788*1000/(0.08206*298.15))</f>
        <v>-5.5199218879178265</v>
      </c>
      <c r="AL788" s="483">
        <f t="shared" si="251"/>
        <v>-5.5199218879178265</v>
      </c>
      <c r="AM788" s="483">
        <v>-5.7034300000000009</v>
      </c>
      <c r="AN788" s="226">
        <v>-5.99</v>
      </c>
      <c r="AO788" s="484"/>
      <c r="AP788" s="484">
        <v>-0.44</v>
      </c>
      <c r="AQ788" s="226" t="s">
        <v>6311</v>
      </c>
      <c r="AR788" s="226" t="s">
        <v>6311</v>
      </c>
      <c r="AS788" s="224"/>
      <c r="AT788" s="50" t="s">
        <v>266</v>
      </c>
      <c r="AU788" s="48">
        <v>6</v>
      </c>
      <c r="AV788" s="48">
        <v>120</v>
      </c>
      <c r="AW788" s="48">
        <v>114</v>
      </c>
      <c r="AX788" s="48">
        <v>28</v>
      </c>
      <c r="AY788" s="48" t="s">
        <v>8728</v>
      </c>
      <c r="AZ788" s="48" t="s">
        <v>1563</v>
      </c>
      <c r="BA788" s="48">
        <v>32</v>
      </c>
      <c r="BB788" s="47" t="s">
        <v>2485</v>
      </c>
      <c r="BC788" s="47" t="s">
        <v>8726</v>
      </c>
      <c r="BD788" s="47" t="s">
        <v>8374</v>
      </c>
      <c r="BE788" s="48" t="s">
        <v>2449</v>
      </c>
      <c r="BF788" s="48" t="s">
        <v>272</v>
      </c>
      <c r="BG788" s="48" t="s">
        <v>272</v>
      </c>
      <c r="BH788" s="48" t="s">
        <v>2486</v>
      </c>
      <c r="BI788" s="98">
        <v>6.3999999999999997E-6</v>
      </c>
      <c r="BJ788" s="98">
        <v>6.4000000000000001E-2</v>
      </c>
      <c r="BK788" s="48"/>
      <c r="BL788" s="98">
        <f t="shared" si="253"/>
        <v>351.58715497161631</v>
      </c>
      <c r="BM788" s="47" t="s">
        <v>2487</v>
      </c>
      <c r="BN788" s="48"/>
      <c r="BO788" s="48"/>
      <c r="BP788" s="48"/>
      <c r="BQ788" s="48"/>
      <c r="BR788" s="47" t="s">
        <v>2496</v>
      </c>
      <c r="BS788" s="48"/>
      <c r="BT788" s="48"/>
      <c r="BU788" s="228"/>
      <c r="BV788" s="48"/>
      <c r="BW788" s="48"/>
      <c r="BX788" s="48"/>
      <c r="BY788" s="48"/>
      <c r="BZ788" s="48"/>
      <c r="CA788" s="48"/>
      <c r="CB788" s="48"/>
      <c r="CC788" s="48"/>
      <c r="CD788" s="48"/>
      <c r="CE788" s="48"/>
      <c r="CF788" s="48"/>
      <c r="CG788" s="48"/>
      <c r="CH788" s="48"/>
      <c r="CI788" s="98"/>
      <c r="CJ788" s="98"/>
      <c r="CK788" s="49">
        <f t="shared" si="248"/>
        <v>5493.5492964315044</v>
      </c>
      <c r="CL788" s="229"/>
      <c r="CM788" s="229"/>
      <c r="CN788" s="229"/>
      <c r="CO788" s="47" t="s">
        <v>2488</v>
      </c>
      <c r="CP788" s="47" t="s">
        <v>2489</v>
      </c>
      <c r="CQ788" s="224">
        <v>2.1371748040844403</v>
      </c>
      <c r="CR788" s="224">
        <f>10^(CJ788-CQ788)</f>
        <v>7.2916396175448173E-3</v>
      </c>
      <c r="CS788" s="230" t="s">
        <v>539</v>
      </c>
      <c r="CT788" s="230"/>
      <c r="CU788" s="230"/>
      <c r="CV788" s="335">
        <f t="shared" si="252"/>
        <v>213777.53454644958</v>
      </c>
      <c r="CW788" s="230">
        <f t="shared" si="247"/>
        <v>1</v>
      </c>
      <c r="CX788" s="336"/>
      <c r="CY788" s="230" t="s">
        <v>6351</v>
      </c>
    </row>
    <row r="789" spans="1:103" ht="11.25" customHeight="1" x14ac:dyDescent="0.2">
      <c r="A789" s="72">
        <v>787</v>
      </c>
      <c r="B789" s="224">
        <v>1790</v>
      </c>
      <c r="C789" s="46" t="s">
        <v>6998</v>
      </c>
      <c r="D789" s="46"/>
      <c r="E789" s="114"/>
      <c r="F789" s="114" t="s">
        <v>5147</v>
      </c>
      <c r="G789" s="225">
        <v>68224</v>
      </c>
      <c r="H789" s="47" t="s">
        <v>5148</v>
      </c>
      <c r="I789" s="47" t="s">
        <v>7992</v>
      </c>
      <c r="J789" s="47" t="s">
        <v>5149</v>
      </c>
      <c r="K789" s="47" t="s">
        <v>3289</v>
      </c>
      <c r="L789" s="47"/>
      <c r="M789" s="47" t="s">
        <v>5150</v>
      </c>
      <c r="N789" s="47"/>
      <c r="O789" s="47" t="s">
        <v>5151</v>
      </c>
      <c r="P789" s="53"/>
      <c r="Q789" s="53"/>
      <c r="R789" s="53"/>
      <c r="S789" s="53"/>
      <c r="T789" s="48">
        <v>298.42</v>
      </c>
      <c r="U789" s="98">
        <v>2.3590912137256215E-2</v>
      </c>
      <c r="V789" s="98">
        <v>0.39541585684605585</v>
      </c>
      <c r="W789" s="98">
        <v>4.4668359215096341E-2</v>
      </c>
      <c r="X789" s="98">
        <v>2.3590912137256215E-2</v>
      </c>
      <c r="Y789" s="233">
        <v>7</v>
      </c>
      <c r="Z789" s="48">
        <v>2.99</v>
      </c>
      <c r="AA789" s="48">
        <v>2.97</v>
      </c>
      <c r="AB789" s="48">
        <v>2.89</v>
      </c>
      <c r="AC789" s="48">
        <v>0.93410000000000004</v>
      </c>
      <c r="AD789" s="48">
        <v>2.98</v>
      </c>
      <c r="AE789" s="48">
        <v>3.38</v>
      </c>
      <c r="AF789" s="48">
        <f t="shared" si="249"/>
        <v>2.97</v>
      </c>
      <c r="AG789" s="49">
        <v>3.15</v>
      </c>
      <c r="AH789" s="98">
        <v>5.7999999999999996E-10</v>
      </c>
      <c r="AI789" s="98"/>
      <c r="AJ789" s="483">
        <f t="shared" si="250"/>
        <v>-7.6251383327497146</v>
      </c>
      <c r="AK789" s="483"/>
      <c r="AL789" s="483">
        <f t="shared" si="251"/>
        <v>-7.6251383327497146</v>
      </c>
      <c r="AM789" s="483">
        <v>-16.08034</v>
      </c>
      <c r="AN789" s="226">
        <v>-8.58</v>
      </c>
      <c r="AO789" s="484">
        <v>13.09</v>
      </c>
      <c r="AP789" s="484"/>
      <c r="AQ789" s="226" t="s">
        <v>6311</v>
      </c>
      <c r="AR789" s="226" t="s">
        <v>6311</v>
      </c>
      <c r="AS789" s="224"/>
      <c r="AT789" s="50" t="s">
        <v>266</v>
      </c>
      <c r="AU789" s="48">
        <v>6</v>
      </c>
      <c r="AV789" s="48">
        <v>120</v>
      </c>
      <c r="AW789" s="48">
        <v>114</v>
      </c>
      <c r="AX789" s="48">
        <v>28</v>
      </c>
      <c r="AY789" s="48" t="s">
        <v>8728</v>
      </c>
      <c r="AZ789" s="48" t="s">
        <v>1563</v>
      </c>
      <c r="BA789" s="48">
        <v>32</v>
      </c>
      <c r="BB789" s="47" t="s">
        <v>2485</v>
      </c>
      <c r="BC789" s="47" t="s">
        <v>8726</v>
      </c>
      <c r="BD789" s="47" t="s">
        <v>8374</v>
      </c>
      <c r="BE789" s="48" t="s">
        <v>2449</v>
      </c>
      <c r="BF789" s="48" t="s">
        <v>272</v>
      </c>
      <c r="BG789" s="48" t="s">
        <v>272</v>
      </c>
      <c r="BH789" s="48" t="s">
        <v>2486</v>
      </c>
      <c r="BI789" s="98">
        <v>6.3999999999999997E-6</v>
      </c>
      <c r="BJ789" s="98">
        <v>6.4000000000000001E-2</v>
      </c>
      <c r="BK789" s="48"/>
      <c r="BL789" s="98">
        <f t="shared" si="253"/>
        <v>0.10604275445890249</v>
      </c>
      <c r="BM789" s="47" t="s">
        <v>2487</v>
      </c>
      <c r="BN789" s="48"/>
      <c r="BO789" s="48"/>
      <c r="BP789" s="48"/>
      <c r="BQ789" s="48"/>
      <c r="BR789" s="47" t="s">
        <v>2496</v>
      </c>
      <c r="BS789" s="48"/>
      <c r="BT789" s="48"/>
      <c r="BU789" s="228"/>
      <c r="BV789" s="48"/>
      <c r="BW789" s="48"/>
      <c r="BX789" s="48"/>
      <c r="BY789" s="48"/>
      <c r="BZ789" s="48"/>
      <c r="CA789" s="48"/>
      <c r="CB789" s="48"/>
      <c r="CC789" s="48"/>
      <c r="CD789" s="48"/>
      <c r="CE789" s="48"/>
      <c r="CF789" s="48"/>
      <c r="CG789" s="48"/>
      <c r="CH789" s="48"/>
      <c r="CI789" s="98"/>
      <c r="CJ789" s="98"/>
      <c r="CK789" s="49">
        <f t="shared" si="248"/>
        <v>1.6569180384203515</v>
      </c>
      <c r="CL789" s="229"/>
      <c r="CM789" s="229"/>
      <c r="CN789" s="229"/>
      <c r="CO789" s="47" t="s">
        <v>2488</v>
      </c>
      <c r="CP789" s="47" t="s">
        <v>2489</v>
      </c>
      <c r="CQ789" s="224" t="s">
        <v>272</v>
      </c>
      <c r="CR789" s="224"/>
      <c r="CS789" s="230" t="s">
        <v>539</v>
      </c>
      <c r="CT789" s="230"/>
      <c r="CU789" s="230"/>
      <c r="CV789" s="335">
        <f t="shared" si="252"/>
        <v>0.36860800214462836</v>
      </c>
      <c r="CW789" s="230">
        <f t="shared" si="247"/>
        <v>0</v>
      </c>
      <c r="CX789" s="336"/>
      <c r="CY789" s="230" t="s">
        <v>6351</v>
      </c>
    </row>
    <row r="790" spans="1:103" ht="11.25" customHeight="1" x14ac:dyDescent="0.2">
      <c r="A790" s="72">
        <v>788</v>
      </c>
      <c r="B790" s="224">
        <v>1382</v>
      </c>
      <c r="C790" s="46" t="s">
        <v>6999</v>
      </c>
      <c r="D790" s="46"/>
      <c r="E790" s="114"/>
      <c r="F790" s="114" t="s">
        <v>4261</v>
      </c>
      <c r="G790" s="225">
        <v>68962</v>
      </c>
      <c r="H790" s="47" t="s">
        <v>4262</v>
      </c>
      <c r="I790" s="47" t="s">
        <v>4262</v>
      </c>
      <c r="J790" s="47"/>
      <c r="K790" s="47" t="s">
        <v>3444</v>
      </c>
      <c r="L790" s="47"/>
      <c r="M790" s="47"/>
      <c r="N790" s="47"/>
      <c r="O790" s="47"/>
      <c r="P790" s="53"/>
      <c r="Q790" s="53"/>
      <c r="R790" s="53"/>
      <c r="S790" s="53"/>
      <c r="T790" s="48">
        <v>330.47</v>
      </c>
      <c r="U790" s="98">
        <v>1.9608436469271039E-2</v>
      </c>
      <c r="V790" s="98">
        <v>0.15595969376947982</v>
      </c>
      <c r="W790" s="98">
        <v>9.1201083935590926E-2</v>
      </c>
      <c r="X790" s="98">
        <v>1.9608436469271039E-2</v>
      </c>
      <c r="Y790" s="233">
        <v>7</v>
      </c>
      <c r="Z790" s="48">
        <v>3.08</v>
      </c>
      <c r="AA790" s="48">
        <v>3.17</v>
      </c>
      <c r="AB790" s="48">
        <v>3.24</v>
      </c>
      <c r="AC790" s="48">
        <v>0.86319999999999997</v>
      </c>
      <c r="AD790" s="48">
        <v>3.16</v>
      </c>
      <c r="AE790" s="48">
        <v>2.89</v>
      </c>
      <c r="AF790" s="48">
        <f t="shared" si="249"/>
        <v>3.17</v>
      </c>
      <c r="AG790" s="49">
        <v>3.16</v>
      </c>
      <c r="AH790" s="98">
        <v>1.0099999999999999E-8</v>
      </c>
      <c r="AI790" s="98"/>
      <c r="AJ790" s="483">
        <f t="shared" si="250"/>
        <v>-6.3842449525300093</v>
      </c>
      <c r="AK790" s="483"/>
      <c r="AL790" s="483">
        <f t="shared" si="251"/>
        <v>-6.3842449525300093</v>
      </c>
      <c r="AM790" s="483">
        <v>-16.531570000000002</v>
      </c>
      <c r="AN790" s="226"/>
      <c r="AO790" s="484">
        <v>13.03</v>
      </c>
      <c r="AP790" s="484"/>
      <c r="AQ790" s="48" t="s">
        <v>6311</v>
      </c>
      <c r="AR790" s="48" t="s">
        <v>6311</v>
      </c>
      <c r="AS790" s="227"/>
      <c r="AT790" s="50" t="s">
        <v>266</v>
      </c>
      <c r="AU790" s="48">
        <v>6</v>
      </c>
      <c r="AV790" s="48">
        <v>120</v>
      </c>
      <c r="AW790" s="48">
        <v>114</v>
      </c>
      <c r="AX790" s="48">
        <v>28</v>
      </c>
      <c r="AY790" s="48" t="s">
        <v>8728</v>
      </c>
      <c r="AZ790" s="48" t="s">
        <v>1563</v>
      </c>
      <c r="BA790" s="48">
        <v>32</v>
      </c>
      <c r="BB790" s="47" t="s">
        <v>2485</v>
      </c>
      <c r="BC790" s="47" t="s">
        <v>8726</v>
      </c>
      <c r="BD790" s="47" t="s">
        <v>8374</v>
      </c>
      <c r="BE790" s="48" t="s">
        <v>2449</v>
      </c>
      <c r="BF790" s="48" t="s">
        <v>272</v>
      </c>
      <c r="BG790" s="48" t="s">
        <v>272</v>
      </c>
      <c r="BH790" s="48" t="s">
        <v>2486</v>
      </c>
      <c r="BI790" s="98">
        <v>6.3999999999999997E-6</v>
      </c>
      <c r="BJ790" s="98">
        <v>6.4000000000000001E-2</v>
      </c>
      <c r="BK790" s="48"/>
      <c r="BL790" s="98">
        <f t="shared" si="253"/>
        <v>8.8034317166446649E-2</v>
      </c>
      <c r="BM790" s="47" t="s">
        <v>2487</v>
      </c>
      <c r="BN790" s="48"/>
      <c r="BO790" s="48"/>
      <c r="BP790" s="48"/>
      <c r="BQ790" s="48"/>
      <c r="BR790" s="47" t="s">
        <v>2496</v>
      </c>
      <c r="BS790" s="48"/>
      <c r="BT790" s="48"/>
      <c r="BU790" s="228"/>
      <c r="BV790" s="48"/>
      <c r="BW790" s="48"/>
      <c r="BX790" s="48"/>
      <c r="BY790" s="48"/>
      <c r="BZ790" s="48"/>
      <c r="CA790" s="48"/>
      <c r="CB790" s="48"/>
      <c r="CC790" s="48"/>
      <c r="CD790" s="48"/>
      <c r="CE790" s="48"/>
      <c r="CF790" s="48"/>
      <c r="CG790" s="48"/>
      <c r="CH790" s="48"/>
      <c r="CI790" s="98"/>
      <c r="CJ790" s="98"/>
      <c r="CK790" s="49">
        <f t="shared" si="248"/>
        <v>1.3755362057257288</v>
      </c>
      <c r="CL790" s="229"/>
      <c r="CM790" s="229"/>
      <c r="CN790" s="229"/>
      <c r="CO790" s="47" t="s">
        <v>2488</v>
      </c>
      <c r="CP790" s="47" t="s">
        <v>2489</v>
      </c>
      <c r="CQ790" s="224" t="s">
        <v>272</v>
      </c>
      <c r="CR790" s="224"/>
      <c r="CS790" s="230" t="s">
        <v>539</v>
      </c>
      <c r="CT790" s="230"/>
      <c r="CU790" s="230"/>
      <c r="CV790" s="335">
        <f t="shared" si="252"/>
        <v>0.30638181983235996</v>
      </c>
      <c r="CW790" s="230">
        <f t="shared" si="247"/>
        <v>0</v>
      </c>
      <c r="CX790" s="336"/>
      <c r="CY790" s="230" t="s">
        <v>5921</v>
      </c>
    </row>
    <row r="791" spans="1:103" ht="11.25" customHeight="1" x14ac:dyDescent="0.2">
      <c r="A791" s="72">
        <v>789</v>
      </c>
      <c r="B791" s="224">
        <v>1578</v>
      </c>
      <c r="C791" s="46" t="s">
        <v>7000</v>
      </c>
      <c r="D791" s="46"/>
      <c r="E791" s="114"/>
      <c r="F791" s="114" t="s">
        <v>759</v>
      </c>
      <c r="G791" s="225">
        <v>69658</v>
      </c>
      <c r="H791" s="47" t="s">
        <v>760</v>
      </c>
      <c r="I791" s="47" t="s">
        <v>760</v>
      </c>
      <c r="J791" s="47" t="s">
        <v>761</v>
      </c>
      <c r="K791" s="47" t="s">
        <v>426</v>
      </c>
      <c r="L791" s="47" t="s">
        <v>279</v>
      </c>
      <c r="M791" s="47" t="s">
        <v>762</v>
      </c>
      <c r="N791" s="47"/>
      <c r="O791" s="47" t="s">
        <v>281</v>
      </c>
      <c r="P791" s="53"/>
      <c r="Q791" s="53"/>
      <c r="R791" s="53"/>
      <c r="S791" s="53"/>
      <c r="T791" s="48">
        <v>182.17</v>
      </c>
      <c r="U791" s="98">
        <v>170.17071965746283</v>
      </c>
      <c r="V791" s="98">
        <v>5489.378053466543</v>
      </c>
      <c r="W791" s="98">
        <v>5495.4087385762459</v>
      </c>
      <c r="X791" s="98">
        <v>170.17071965746283</v>
      </c>
      <c r="Y791" s="233">
        <v>6.07</v>
      </c>
      <c r="Z791" s="48">
        <v>-3.01</v>
      </c>
      <c r="AA791" s="48">
        <v>-3.1</v>
      </c>
      <c r="AB791" s="48">
        <v>-2.97</v>
      </c>
      <c r="AC791" s="48">
        <v>0.83179999999999998</v>
      </c>
      <c r="AD791" s="48">
        <v>-3.29</v>
      </c>
      <c r="AE791" s="48">
        <v>-4.67</v>
      </c>
      <c r="AF791" s="48">
        <f t="shared" si="249"/>
        <v>-3.1</v>
      </c>
      <c r="AG791" s="49">
        <v>-3.1</v>
      </c>
      <c r="AH791" s="98">
        <v>7.2600000000000004E-13</v>
      </c>
      <c r="AI791" s="98"/>
      <c r="AJ791" s="483">
        <f t="shared" si="250"/>
        <v>-10.527629705612558</v>
      </c>
      <c r="AK791" s="483"/>
      <c r="AL791" s="483">
        <f t="shared" si="251"/>
        <v>-10.527629705612558</v>
      </c>
      <c r="AM791" s="483">
        <v>-21.092560000000002</v>
      </c>
      <c r="AN791" s="226">
        <v>-16</v>
      </c>
      <c r="AO791" s="484">
        <v>13.14</v>
      </c>
      <c r="AP791" s="484"/>
      <c r="AQ791" s="48" t="s">
        <v>6311</v>
      </c>
      <c r="AR791" s="48" t="s">
        <v>6311</v>
      </c>
      <c r="AS791" s="227"/>
      <c r="AT791" s="50" t="s">
        <v>266</v>
      </c>
      <c r="AU791" s="48">
        <v>6</v>
      </c>
      <c r="AV791" s="48">
        <v>120</v>
      </c>
      <c r="AW791" s="48">
        <v>114</v>
      </c>
      <c r="AX791" s="48">
        <v>28</v>
      </c>
      <c r="AY791" s="48" t="s">
        <v>8728</v>
      </c>
      <c r="AZ791" s="48" t="s">
        <v>1563</v>
      </c>
      <c r="BA791" s="48">
        <v>32</v>
      </c>
      <c r="BB791" s="47" t="s">
        <v>2485</v>
      </c>
      <c r="BC791" s="47" t="s">
        <v>8726</v>
      </c>
      <c r="BD791" s="47" t="s">
        <v>8374</v>
      </c>
      <c r="BE791" s="48" t="s">
        <v>2449</v>
      </c>
      <c r="BF791" s="48" t="s">
        <v>272</v>
      </c>
      <c r="BG791" s="48" t="s">
        <v>272</v>
      </c>
      <c r="BH791" s="48" t="s">
        <v>2486</v>
      </c>
      <c r="BI791" s="98">
        <v>6.3999999999999997E-6</v>
      </c>
      <c r="BJ791" s="98">
        <v>6.4000000000000001E-2</v>
      </c>
      <c r="BK791" s="48"/>
      <c r="BL791" s="98">
        <f t="shared" si="253"/>
        <v>25946.632460588153</v>
      </c>
      <c r="BM791" s="47" t="s">
        <v>2487</v>
      </c>
      <c r="BN791" s="48"/>
      <c r="BO791" s="48"/>
      <c r="BP791" s="48"/>
      <c r="BQ791" s="48"/>
      <c r="BR791" s="47" t="s">
        <v>2496</v>
      </c>
      <c r="BS791" s="48"/>
      <c r="BT791" s="48"/>
      <c r="BU791" s="228"/>
      <c r="BV791" s="48"/>
      <c r="BW791" s="48"/>
      <c r="BX791" s="48"/>
      <c r="BY791" s="48"/>
      <c r="BZ791" s="48"/>
      <c r="CA791" s="48"/>
      <c r="CB791" s="48"/>
      <c r="CC791" s="48"/>
      <c r="CD791" s="48"/>
      <c r="CE791" s="48"/>
      <c r="CF791" s="48"/>
      <c r="CG791" s="48"/>
      <c r="CH791" s="48"/>
      <c r="CI791" s="98"/>
      <c r="CJ791" s="98"/>
      <c r="CK791" s="49">
        <f t="shared" si="248"/>
        <v>405416.1321966899</v>
      </c>
      <c r="CL791" s="229"/>
      <c r="CM791" s="229"/>
      <c r="CN791" s="229"/>
      <c r="CO791" s="47" t="s">
        <v>2488</v>
      </c>
      <c r="CP791" s="47" t="s">
        <v>2489</v>
      </c>
      <c r="CQ791" s="224" t="s">
        <v>272</v>
      </c>
      <c r="CR791" s="224"/>
      <c r="CS791" s="230" t="s">
        <v>539</v>
      </c>
      <c r="CT791" s="230"/>
      <c r="CU791" s="230"/>
      <c r="CV791" s="335">
        <f t="shared" si="252"/>
        <v>2658.9174946478565</v>
      </c>
      <c r="CW791" s="230">
        <f t="shared" si="247"/>
        <v>1</v>
      </c>
      <c r="CX791" s="336"/>
      <c r="CY791" s="230" t="s">
        <v>5921</v>
      </c>
    </row>
    <row r="792" spans="1:103" ht="11.25" customHeight="1" x14ac:dyDescent="0.2">
      <c r="A792" s="72">
        <v>790</v>
      </c>
      <c r="B792" s="224">
        <v>1577</v>
      </c>
      <c r="C792" s="46" t="s">
        <v>7001</v>
      </c>
      <c r="D792" s="46"/>
      <c r="E792" s="114"/>
      <c r="F792" s="114" t="s">
        <v>4719</v>
      </c>
      <c r="G792" s="225">
        <v>69749</v>
      </c>
      <c r="H792" s="47" t="s">
        <v>4720</v>
      </c>
      <c r="I792" s="47" t="s">
        <v>7993</v>
      </c>
      <c r="J792" s="47" t="s">
        <v>4721</v>
      </c>
      <c r="K792" s="47" t="s">
        <v>426</v>
      </c>
      <c r="L792" s="47"/>
      <c r="M792" s="47"/>
      <c r="N792" s="47"/>
      <c r="O792" s="47"/>
      <c r="P792" s="53"/>
      <c r="Q792" s="53"/>
      <c r="R792" s="53"/>
      <c r="S792" s="53"/>
      <c r="T792" s="48">
        <v>279.68</v>
      </c>
      <c r="U792" s="98"/>
      <c r="V792" s="98">
        <v>3575.5148741418761</v>
      </c>
      <c r="W792" s="98">
        <v>11.748975549395293</v>
      </c>
      <c r="X792" s="98">
        <f>IF(W792=0,V792,W792)</f>
        <v>11.748975549395293</v>
      </c>
      <c r="Y792" s="233">
        <v>7.53</v>
      </c>
      <c r="Z792" s="48">
        <v>-4.3899999999999997</v>
      </c>
      <c r="AA792" s="48"/>
      <c r="AB792" s="48"/>
      <c r="AC792" s="48"/>
      <c r="AD792" s="48"/>
      <c r="AE792" s="48"/>
      <c r="AF792" s="48"/>
      <c r="AG792" s="49">
        <v>-2.5099999999999998</v>
      </c>
      <c r="AH792" s="98">
        <v>1.4499999999999999E-26</v>
      </c>
      <c r="AI792" s="98"/>
      <c r="AJ792" s="483">
        <f t="shared" si="250"/>
        <v>-24.227198324077676</v>
      </c>
      <c r="AK792" s="483"/>
      <c r="AL792" s="483">
        <f t="shared" si="251"/>
        <v>-24.227198324077676</v>
      </c>
      <c r="AM792" s="483"/>
      <c r="AN792" s="226">
        <v>-22.2</v>
      </c>
      <c r="AO792" s="484">
        <v>13.48</v>
      </c>
      <c r="AP792" s="484">
        <v>3.17</v>
      </c>
      <c r="AQ792" s="48" t="s">
        <v>6311</v>
      </c>
      <c r="AR792" s="48" t="s">
        <v>6316</v>
      </c>
      <c r="AS792" s="227"/>
      <c r="AT792" s="50" t="s">
        <v>266</v>
      </c>
      <c r="AU792" s="48">
        <v>6</v>
      </c>
      <c r="AV792" s="48">
        <v>120</v>
      </c>
      <c r="AW792" s="48">
        <v>114</v>
      </c>
      <c r="AX792" s="48">
        <v>28</v>
      </c>
      <c r="AY792" s="48" t="s">
        <v>8728</v>
      </c>
      <c r="AZ792" s="48" t="s">
        <v>1563</v>
      </c>
      <c r="BA792" s="48">
        <v>32</v>
      </c>
      <c r="BB792" s="47" t="s">
        <v>2485</v>
      </c>
      <c r="BC792" s="47" t="s">
        <v>8726</v>
      </c>
      <c r="BD792" s="47" t="s">
        <v>8374</v>
      </c>
      <c r="BE792" s="48" t="s">
        <v>2449</v>
      </c>
      <c r="BF792" s="48" t="s">
        <v>272</v>
      </c>
      <c r="BG792" s="48" t="s">
        <v>272</v>
      </c>
      <c r="BH792" s="48" t="s">
        <v>2486</v>
      </c>
      <c r="BI792" s="98">
        <v>6.3999999999999997E-6</v>
      </c>
      <c r="BJ792" s="98">
        <v>6.4000000000000001E-2</v>
      </c>
      <c r="BK792" s="48"/>
      <c r="BL792" s="98">
        <f t="shared" si="253"/>
        <v>450255.47246848099</v>
      </c>
      <c r="BM792" s="47" t="s">
        <v>2487</v>
      </c>
      <c r="BN792" s="48"/>
      <c r="BO792" s="48"/>
      <c r="BP792" s="48"/>
      <c r="BQ792" s="48"/>
      <c r="BR792" s="47" t="s">
        <v>2496</v>
      </c>
      <c r="BS792" s="48"/>
      <c r="BT792" s="48"/>
      <c r="BU792" s="228"/>
      <c r="BV792" s="48"/>
      <c r="BW792" s="48"/>
      <c r="BX792" s="48"/>
      <c r="BY792" s="48"/>
      <c r="BZ792" s="48"/>
      <c r="CA792" s="48"/>
      <c r="CB792" s="48"/>
      <c r="CC792" s="48"/>
      <c r="CD792" s="48"/>
      <c r="CE792" s="48"/>
      <c r="CF792" s="48"/>
      <c r="CG792" s="48"/>
      <c r="CH792" s="48"/>
      <c r="CI792" s="98"/>
      <c r="CJ792" s="98"/>
      <c r="CK792" s="49">
        <f t="shared" si="248"/>
        <v>7035241.7573200157</v>
      </c>
      <c r="CL792" s="229"/>
      <c r="CM792" s="229"/>
      <c r="CN792" s="229"/>
      <c r="CO792" s="47" t="s">
        <v>2488</v>
      </c>
      <c r="CP792" s="47" t="s">
        <v>2489</v>
      </c>
      <c r="CQ792" s="224" t="s">
        <v>272</v>
      </c>
      <c r="CR792" s="224"/>
      <c r="CS792" s="230" t="s">
        <v>539</v>
      </c>
      <c r="CT792" s="230"/>
      <c r="CU792" s="230"/>
      <c r="CV792" s="335">
        <f t="shared" si="252"/>
        <v>183.57774295930145</v>
      </c>
      <c r="CW792" s="230">
        <f t="shared" si="247"/>
        <v>1</v>
      </c>
      <c r="CX792" s="336"/>
      <c r="CY792" s="230" t="s">
        <v>5921</v>
      </c>
    </row>
    <row r="793" spans="1:103" ht="11.25" customHeight="1" x14ac:dyDescent="0.2">
      <c r="A793" s="72">
        <v>791</v>
      </c>
      <c r="B793" s="224">
        <v>1120</v>
      </c>
      <c r="C793" s="46" t="s">
        <v>1701</v>
      </c>
      <c r="D793" s="46"/>
      <c r="E793" s="114"/>
      <c r="F793" s="114" t="s">
        <v>1702</v>
      </c>
      <c r="G793" s="225">
        <v>72208</v>
      </c>
      <c r="H793" s="47" t="s">
        <v>1703</v>
      </c>
      <c r="I793" s="47" t="s">
        <v>7988</v>
      </c>
      <c r="J793" s="47" t="s">
        <v>1704</v>
      </c>
      <c r="K793" s="47" t="s">
        <v>1705</v>
      </c>
      <c r="L793" s="47" t="s">
        <v>617</v>
      </c>
      <c r="M793" s="47" t="s">
        <v>3081</v>
      </c>
      <c r="N793" s="47" t="s">
        <v>6376</v>
      </c>
      <c r="O793" s="47" t="s">
        <v>1706</v>
      </c>
      <c r="P793" s="53" t="s">
        <v>6172</v>
      </c>
      <c r="Q793" s="53" t="s">
        <v>6176</v>
      </c>
      <c r="R793" s="53" t="s">
        <v>6181</v>
      </c>
      <c r="S793" s="53" t="s">
        <v>6173</v>
      </c>
      <c r="T793" s="48">
        <v>380.91</v>
      </c>
      <c r="U793" s="98">
        <v>6.5632301593552276E-4</v>
      </c>
      <c r="V793" s="98">
        <v>3.8197999527447423E-4</v>
      </c>
      <c r="W793" s="98">
        <v>4.2657951880159214E-4</v>
      </c>
      <c r="X793" s="98">
        <v>6.5632301593552276E-4</v>
      </c>
      <c r="Y793" s="233">
        <v>7</v>
      </c>
      <c r="Z793" s="48">
        <v>5.45</v>
      </c>
      <c r="AA793" s="48">
        <v>5.2</v>
      </c>
      <c r="AB793" s="48">
        <v>4.97</v>
      </c>
      <c r="AC793" s="48">
        <v>0.6804</v>
      </c>
      <c r="AD793" s="48">
        <v>4.9400000000000004</v>
      </c>
      <c r="AE793" s="48">
        <v>4.88</v>
      </c>
      <c r="AF793" s="48">
        <f t="shared" ref="AF793:AF828" si="254">IF(AA793=0,AD793,AA793)</f>
        <v>5.2</v>
      </c>
      <c r="AG793" s="49">
        <v>4.05</v>
      </c>
      <c r="AH793" s="98">
        <v>5.4099999999999999E-7</v>
      </c>
      <c r="AI793" s="98">
        <v>1.0000000000000001E-5</v>
      </c>
      <c r="AJ793" s="483">
        <f t="shared" si="250"/>
        <v>-4.6553690612060823</v>
      </c>
      <c r="AK793" s="483">
        <f>LOG10(AI793*1000/(0.08206*298.15))</f>
        <v>-3.388566326312652</v>
      </c>
      <c r="AL793" s="483">
        <f t="shared" si="251"/>
        <v>-3.388566326312652</v>
      </c>
      <c r="AM793" s="483">
        <v>-9.114469999999999</v>
      </c>
      <c r="AN793" s="226">
        <v>-4.32</v>
      </c>
      <c r="AO793" s="484"/>
      <c r="AP793" s="484"/>
      <c r="AQ793" s="48" t="s">
        <v>6312</v>
      </c>
      <c r="AR793" s="48" t="s">
        <v>6311</v>
      </c>
      <c r="AS793" s="227"/>
      <c r="AT793" s="50" t="s">
        <v>266</v>
      </c>
      <c r="AU793" s="48">
        <v>6</v>
      </c>
      <c r="AV793" s="48">
        <v>120</v>
      </c>
      <c r="AW793" s="48">
        <v>114</v>
      </c>
      <c r="AX793" s="48">
        <v>28</v>
      </c>
      <c r="AY793" s="48" t="s">
        <v>8728</v>
      </c>
      <c r="AZ793" s="48" t="s">
        <v>1563</v>
      </c>
      <c r="BA793" s="48">
        <v>32</v>
      </c>
      <c r="BB793" s="47" t="s">
        <v>2485</v>
      </c>
      <c r="BC793" s="47" t="s">
        <v>8726</v>
      </c>
      <c r="BD793" s="47" t="s">
        <v>8374</v>
      </c>
      <c r="BE793" s="48" t="s">
        <v>2449</v>
      </c>
      <c r="BF793" s="48" t="s">
        <v>272</v>
      </c>
      <c r="BG793" s="48" t="s">
        <v>272</v>
      </c>
      <c r="BH793" s="48" t="s">
        <v>2486</v>
      </c>
      <c r="BI793" s="98">
        <v>6.3999999999999997E-6</v>
      </c>
      <c r="BJ793" s="98">
        <v>6.4000000000000001E-2</v>
      </c>
      <c r="BK793" s="48"/>
      <c r="BL793" s="98">
        <f t="shared" si="253"/>
        <v>6.5486985586723091E-4</v>
      </c>
      <c r="BM793" s="47" t="s">
        <v>2487</v>
      </c>
      <c r="BN793" s="48"/>
      <c r="BO793" s="48"/>
      <c r="BP793" s="48"/>
      <c r="BQ793" s="48"/>
      <c r="BR793" s="47" t="s">
        <v>2496</v>
      </c>
      <c r="BS793" s="48"/>
      <c r="BT793" s="48"/>
      <c r="BU793" s="228">
        <v>6.3999999999999997E-6</v>
      </c>
      <c r="BV793" s="48"/>
      <c r="BW793" s="48"/>
      <c r="BX793" s="48"/>
      <c r="BY793" s="48"/>
      <c r="BZ793" s="48"/>
      <c r="CA793" s="48"/>
      <c r="CB793" s="48"/>
      <c r="CC793" s="48"/>
      <c r="CD793" s="48"/>
      <c r="CE793" s="48"/>
      <c r="CF793" s="48"/>
      <c r="CG793" s="48"/>
      <c r="CH793" s="48"/>
      <c r="CI793" s="98"/>
      <c r="CJ793" s="98"/>
      <c r="CK793" s="49">
        <f t="shared" si="248"/>
        <v>1.0232341497925483E-2</v>
      </c>
      <c r="CL793" s="229"/>
      <c r="CM793" s="229"/>
      <c r="CN793" s="229"/>
      <c r="CO793" s="47" t="s">
        <v>2488</v>
      </c>
      <c r="CP793" s="47" t="s">
        <v>2489</v>
      </c>
      <c r="CQ793" s="224">
        <v>-5.7104772397264822</v>
      </c>
      <c r="CR793" s="224">
        <f>10^(CJ793-CQ793)</f>
        <v>513425.26948026486</v>
      </c>
      <c r="CS793" s="230" t="s">
        <v>539</v>
      </c>
      <c r="CT793" s="230"/>
      <c r="CU793" s="230"/>
      <c r="CV793" s="335">
        <f t="shared" si="252"/>
        <v>1.0255047123992543E-2</v>
      </c>
      <c r="CW793" s="230">
        <f t="shared" si="247"/>
        <v>0</v>
      </c>
      <c r="CX793" s="336"/>
      <c r="CY793" s="230" t="s">
        <v>5921</v>
      </c>
    </row>
    <row r="794" spans="1:103" ht="11.25" customHeight="1" x14ac:dyDescent="0.2">
      <c r="A794" s="72">
        <v>792</v>
      </c>
      <c r="B794" s="224">
        <v>871</v>
      </c>
      <c r="C794" s="46" t="s">
        <v>1701</v>
      </c>
      <c r="D794" s="46"/>
      <c r="E794" s="114"/>
      <c r="F794" s="114" t="s">
        <v>1702</v>
      </c>
      <c r="G794" s="225">
        <v>72208</v>
      </c>
      <c r="H794" s="47" t="s">
        <v>1703</v>
      </c>
      <c r="I794" s="47" t="s">
        <v>7988</v>
      </c>
      <c r="J794" s="47" t="s">
        <v>1704</v>
      </c>
      <c r="K794" s="47" t="s">
        <v>1705</v>
      </c>
      <c r="L794" s="47" t="s">
        <v>617</v>
      </c>
      <c r="M794" s="47" t="s">
        <v>1286</v>
      </c>
      <c r="N794" s="47" t="s">
        <v>6376</v>
      </c>
      <c r="O794" s="47" t="s">
        <v>1706</v>
      </c>
      <c r="P794" s="53" t="s">
        <v>6172</v>
      </c>
      <c r="Q794" s="53" t="s">
        <v>6176</v>
      </c>
      <c r="R794" s="53" t="s">
        <v>6181</v>
      </c>
      <c r="S794" s="53" t="s">
        <v>6173</v>
      </c>
      <c r="T794" s="48">
        <v>380.91</v>
      </c>
      <c r="U794" s="98">
        <v>6.5632301593552276E-4</v>
      </c>
      <c r="V794" s="98">
        <v>3.8197999527447423E-4</v>
      </c>
      <c r="W794" s="98">
        <v>4.2657951880159214E-4</v>
      </c>
      <c r="X794" s="98">
        <v>6.5632301593552276E-4</v>
      </c>
      <c r="Y794" s="233">
        <v>7</v>
      </c>
      <c r="Z794" s="48">
        <v>5.45</v>
      </c>
      <c r="AA794" s="48">
        <v>5.2</v>
      </c>
      <c r="AB794" s="48">
        <v>4.97</v>
      </c>
      <c r="AC794" s="48">
        <v>0.6804</v>
      </c>
      <c r="AD794" s="48">
        <v>4.9400000000000004</v>
      </c>
      <c r="AE794" s="48">
        <v>4.88</v>
      </c>
      <c r="AF794" s="48">
        <f t="shared" si="254"/>
        <v>5.2</v>
      </c>
      <c r="AG794" s="49">
        <v>4.05</v>
      </c>
      <c r="AH794" s="98">
        <v>5.4099999999999999E-7</v>
      </c>
      <c r="AI794" s="98">
        <v>1.0000000000000001E-5</v>
      </c>
      <c r="AJ794" s="483">
        <f t="shared" si="250"/>
        <v>-4.6553690612060823</v>
      </c>
      <c r="AK794" s="483">
        <f>LOG10(AI794*1000/(0.08206*298.15))</f>
        <v>-3.388566326312652</v>
      </c>
      <c r="AL794" s="483">
        <f t="shared" si="251"/>
        <v>-3.388566326312652</v>
      </c>
      <c r="AM794" s="483">
        <v>-9.114469999999999</v>
      </c>
      <c r="AN794" s="226">
        <v>-4.32</v>
      </c>
      <c r="AO794" s="484"/>
      <c r="AP794" s="484"/>
      <c r="AQ794" s="226" t="s">
        <v>6312</v>
      </c>
      <c r="AR794" s="226" t="s">
        <v>6311</v>
      </c>
      <c r="AS794" s="224" t="s">
        <v>6</v>
      </c>
      <c r="AT794" s="50" t="s">
        <v>266</v>
      </c>
      <c r="AU794" s="48">
        <v>2</v>
      </c>
      <c r="AV794" s="48">
        <v>98</v>
      </c>
      <c r="AW794" s="48">
        <v>96</v>
      </c>
      <c r="AX794" s="48">
        <v>26</v>
      </c>
      <c r="AY794" s="48" t="s">
        <v>267</v>
      </c>
      <c r="AZ794" s="48" t="s">
        <v>536</v>
      </c>
      <c r="BA794" s="48">
        <v>10</v>
      </c>
      <c r="BB794" s="47" t="s">
        <v>1764</v>
      </c>
      <c r="BC794" s="47" t="s">
        <v>2448</v>
      </c>
      <c r="BD794" s="47"/>
      <c r="BE794" s="48" t="s">
        <v>1712</v>
      </c>
      <c r="BF794" s="48"/>
      <c r="BG794" s="48"/>
      <c r="BH794" s="48"/>
      <c r="BI794" s="98"/>
      <c r="BJ794" s="98">
        <v>6.5600000000000001E-4</v>
      </c>
      <c r="BK794" s="48"/>
      <c r="BL794" s="98">
        <f t="shared" si="253"/>
        <v>6.5486985586723091E-4</v>
      </c>
      <c r="BM794" s="48" t="s">
        <v>541</v>
      </c>
      <c r="BN794" s="233"/>
      <c r="BO794" s="48"/>
      <c r="BP794" s="48"/>
      <c r="BQ794" s="48" t="s">
        <v>2460</v>
      </c>
      <c r="BR794" s="48"/>
      <c r="BS794" s="48"/>
      <c r="BT794" s="48"/>
      <c r="BU794" s="228"/>
      <c r="BV794" s="48"/>
      <c r="BW794" s="48"/>
      <c r="BX794" s="48"/>
      <c r="BY794" s="48"/>
      <c r="BZ794" s="48"/>
      <c r="CA794" s="48"/>
      <c r="CB794" s="48"/>
      <c r="CC794" s="48"/>
      <c r="CD794" s="48"/>
      <c r="CE794" s="48"/>
      <c r="CF794" s="48"/>
      <c r="CG794" s="48"/>
      <c r="CH794" s="48"/>
      <c r="CI794" s="98"/>
      <c r="CJ794" s="98"/>
      <c r="CK794" s="49">
        <f t="shared" si="248"/>
        <v>0.99827721930980318</v>
      </c>
      <c r="CL794" s="229"/>
      <c r="CM794" s="229"/>
      <c r="CN794" s="229"/>
      <c r="CO794" s="47"/>
      <c r="CP794" s="47" t="s">
        <v>2470</v>
      </c>
      <c r="CQ794" s="224">
        <v>-5.7104772397264822</v>
      </c>
      <c r="CR794" s="224">
        <f>10^(CJ794-CQ794)</f>
        <v>513425.26948026486</v>
      </c>
      <c r="CS794" s="230" t="s">
        <v>539</v>
      </c>
      <c r="CT794" s="230"/>
      <c r="CU794" s="230"/>
      <c r="CV794" s="335">
        <f t="shared" si="252"/>
        <v>1.000492402340736</v>
      </c>
      <c r="CW794" s="230">
        <f t="shared" si="247"/>
        <v>1</v>
      </c>
      <c r="CX794" s="336" t="s">
        <v>539</v>
      </c>
      <c r="CY794" s="230" t="s">
        <v>5921</v>
      </c>
    </row>
    <row r="795" spans="1:103" ht="11.25" customHeight="1" x14ac:dyDescent="0.2">
      <c r="A795" s="72">
        <v>793</v>
      </c>
      <c r="B795" s="224">
        <v>1718</v>
      </c>
      <c r="C795" s="46" t="s">
        <v>7002</v>
      </c>
      <c r="D795" s="46"/>
      <c r="E795" s="114"/>
      <c r="F795" s="114" t="s">
        <v>4991</v>
      </c>
      <c r="G795" s="225">
        <v>73223</v>
      </c>
      <c r="H795" s="47" t="s">
        <v>4992</v>
      </c>
      <c r="I795" s="47" t="s">
        <v>7994</v>
      </c>
      <c r="J795" s="47" t="s">
        <v>4993</v>
      </c>
      <c r="K795" s="47" t="s">
        <v>4994</v>
      </c>
      <c r="L795" s="47" t="s">
        <v>279</v>
      </c>
      <c r="M795" s="47" t="s">
        <v>4995</v>
      </c>
      <c r="N795" s="47"/>
      <c r="O795" s="47" t="s">
        <v>281</v>
      </c>
      <c r="P795" s="53"/>
      <c r="Q795" s="53"/>
      <c r="R795" s="53"/>
      <c r="S795" s="53"/>
      <c r="T795" s="48">
        <v>204.23</v>
      </c>
      <c r="U795" s="98">
        <v>65.61229985800324</v>
      </c>
      <c r="V795" s="98">
        <v>13.945061939969642</v>
      </c>
      <c r="W795" s="98">
        <v>85.113803820237621</v>
      </c>
      <c r="X795" s="98">
        <v>65.61229985800324</v>
      </c>
      <c r="Y795" s="233">
        <v>5.95</v>
      </c>
      <c r="Z795" s="48">
        <v>-1.22</v>
      </c>
      <c r="AA795" s="48">
        <v>-1.06</v>
      </c>
      <c r="AB795" s="48">
        <v>1.54</v>
      </c>
      <c r="AC795" s="48">
        <v>0.92100000000000004</v>
      </c>
      <c r="AD795" s="48">
        <v>1.44</v>
      </c>
      <c r="AE795" s="48">
        <v>1.04</v>
      </c>
      <c r="AF795" s="48">
        <f t="shared" si="254"/>
        <v>-1.06</v>
      </c>
      <c r="AG795" s="49">
        <v>-0.01</v>
      </c>
      <c r="AH795" s="98">
        <v>1.9800000000000001E-14</v>
      </c>
      <c r="AI795" s="98"/>
      <c r="AJ795" s="483">
        <f t="shared" si="250"/>
        <v>-12.091901136051121</v>
      </c>
      <c r="AK795" s="483"/>
      <c r="AL795" s="483">
        <f t="shared" si="251"/>
        <v>-12.091901136051121</v>
      </c>
      <c r="AM795" s="483">
        <v>-17.059670000000001</v>
      </c>
      <c r="AN795" s="226">
        <v>-13.5</v>
      </c>
      <c r="AO795" s="484">
        <v>2.2999999999999998</v>
      </c>
      <c r="AP795" s="484">
        <v>9.7100000000000009</v>
      </c>
      <c r="AQ795" s="226" t="s">
        <v>6311</v>
      </c>
      <c r="AR795" s="226" t="s">
        <v>6311</v>
      </c>
      <c r="AS795" s="224"/>
      <c r="AT795" s="50" t="s">
        <v>266</v>
      </c>
      <c r="AU795" s="48">
        <v>6</v>
      </c>
      <c r="AV795" s="48">
        <v>120</v>
      </c>
      <c r="AW795" s="48">
        <v>114</v>
      </c>
      <c r="AX795" s="48">
        <v>28</v>
      </c>
      <c r="AY795" s="48" t="s">
        <v>8728</v>
      </c>
      <c r="AZ795" s="48" t="s">
        <v>1563</v>
      </c>
      <c r="BA795" s="48">
        <v>32</v>
      </c>
      <c r="BB795" s="47" t="s">
        <v>2485</v>
      </c>
      <c r="BC795" s="47" t="s">
        <v>8726</v>
      </c>
      <c r="BD795" s="47" t="s">
        <v>8374</v>
      </c>
      <c r="BE795" s="48" t="s">
        <v>2449</v>
      </c>
      <c r="BF795" s="48" t="s">
        <v>272</v>
      </c>
      <c r="BG795" s="48" t="s">
        <v>272</v>
      </c>
      <c r="BH795" s="48" t="s">
        <v>2486</v>
      </c>
      <c r="BI795" s="98">
        <v>6.3999999999999997E-6</v>
      </c>
      <c r="BJ795" s="98">
        <v>6.4000000000000001E-2</v>
      </c>
      <c r="BK795" s="48"/>
      <c r="BL795" s="98">
        <f t="shared" si="253"/>
        <v>640.44523678545966</v>
      </c>
      <c r="BM795" s="47" t="s">
        <v>2487</v>
      </c>
      <c r="BN795" s="48"/>
      <c r="BO795" s="48"/>
      <c r="BP795" s="48"/>
      <c r="BQ795" s="48"/>
      <c r="BR795" s="47" t="s">
        <v>2496</v>
      </c>
      <c r="BS795" s="48"/>
      <c r="BT795" s="48"/>
      <c r="BU795" s="228"/>
      <c r="BV795" s="48"/>
      <c r="BW795" s="48"/>
      <c r="BX795" s="48"/>
      <c r="BY795" s="48"/>
      <c r="BZ795" s="48"/>
      <c r="CA795" s="48"/>
      <c r="CB795" s="48"/>
      <c r="CC795" s="48"/>
      <c r="CD795" s="48"/>
      <c r="CE795" s="48"/>
      <c r="CF795" s="48"/>
      <c r="CG795" s="48"/>
      <c r="CH795" s="48"/>
      <c r="CI795" s="98"/>
      <c r="CJ795" s="98"/>
      <c r="CK795" s="49">
        <f t="shared" si="248"/>
        <v>10006.956824772808</v>
      </c>
      <c r="CL795" s="229"/>
      <c r="CM795" s="229"/>
      <c r="CN795" s="229"/>
      <c r="CO795" s="47" t="s">
        <v>2488</v>
      </c>
      <c r="CP795" s="47" t="s">
        <v>2489</v>
      </c>
      <c r="CQ795" s="224" t="s">
        <v>272</v>
      </c>
      <c r="CR795" s="224"/>
      <c r="CS795" s="230" t="s">
        <v>539</v>
      </c>
      <c r="CT795" s="230"/>
      <c r="CU795" s="230"/>
      <c r="CV795" s="335">
        <f t="shared" si="252"/>
        <v>1025.1921852813007</v>
      </c>
      <c r="CW795" s="230">
        <f t="shared" si="247"/>
        <v>1</v>
      </c>
      <c r="CX795" s="336"/>
      <c r="CY795" s="230" t="s">
        <v>6351</v>
      </c>
    </row>
    <row r="796" spans="1:103" ht="11.25" customHeight="1" x14ac:dyDescent="0.2">
      <c r="A796" s="72">
        <v>794</v>
      </c>
      <c r="B796" s="224">
        <v>1682</v>
      </c>
      <c r="C796" s="46" t="s">
        <v>1713</v>
      </c>
      <c r="D796" s="46" t="s">
        <v>8359</v>
      </c>
      <c r="E796" s="114"/>
      <c r="F796" s="114" t="s">
        <v>1714</v>
      </c>
      <c r="G796" s="225">
        <v>75127</v>
      </c>
      <c r="H796" s="47" t="s">
        <v>1715</v>
      </c>
      <c r="I796" s="47" t="s">
        <v>1715</v>
      </c>
      <c r="J796" s="47" t="s">
        <v>1716</v>
      </c>
      <c r="K796" s="47" t="s">
        <v>471</v>
      </c>
      <c r="L796" s="47"/>
      <c r="M796" s="47"/>
      <c r="N796" s="47"/>
      <c r="O796" s="47"/>
      <c r="P796" s="53"/>
      <c r="Q796" s="53"/>
      <c r="R796" s="53"/>
      <c r="S796" s="53"/>
      <c r="T796" s="48">
        <v>45.04</v>
      </c>
      <c r="U796" s="98">
        <v>22202.486678507994</v>
      </c>
      <c r="V796" s="98">
        <v>22202.486678507994</v>
      </c>
      <c r="W796" s="98">
        <v>19952.623149688803</v>
      </c>
      <c r="X796" s="98">
        <v>22202.486678507994</v>
      </c>
      <c r="Y796" s="233">
        <v>7.42</v>
      </c>
      <c r="Z796" s="48">
        <v>-1.61</v>
      </c>
      <c r="AA796" s="48">
        <v>-1.51</v>
      </c>
      <c r="AB796" s="48">
        <v>-1.27</v>
      </c>
      <c r="AC796" s="48">
        <v>0.85529999999999995</v>
      </c>
      <c r="AD796" s="48">
        <v>-1.34</v>
      </c>
      <c r="AE796" s="48">
        <v>-1.51</v>
      </c>
      <c r="AF796" s="48">
        <f t="shared" si="254"/>
        <v>-1.51</v>
      </c>
      <c r="AG796" s="49">
        <v>-0.89</v>
      </c>
      <c r="AH796" s="98">
        <v>1.5300000000000001E-8</v>
      </c>
      <c r="AI796" s="98">
        <v>1.39E-9</v>
      </c>
      <c r="AJ796" s="483">
        <f t="shared" si="250"/>
        <v>-6.2038748954950531</v>
      </c>
      <c r="AK796" s="483">
        <f>LOG10(AI796*1000/(0.08206*298.15))</f>
        <v>-7.2455515260585566</v>
      </c>
      <c r="AL796" s="483">
        <f t="shared" si="251"/>
        <v>-7.2455515260585566</v>
      </c>
      <c r="AM796" s="483">
        <v>-7.3395299999999999</v>
      </c>
      <c r="AN796" s="226">
        <v>-7.27</v>
      </c>
      <c r="AO796" s="484">
        <v>16.5</v>
      </c>
      <c r="AP796" s="484">
        <v>-0.5</v>
      </c>
      <c r="AQ796" s="226" t="s">
        <v>6311</v>
      </c>
      <c r="AR796" s="226" t="s">
        <v>6311</v>
      </c>
      <c r="AS796" s="224"/>
      <c r="AT796" s="50" t="s">
        <v>266</v>
      </c>
      <c r="AU796" s="48">
        <v>6</v>
      </c>
      <c r="AV796" s="48">
        <v>120</v>
      </c>
      <c r="AW796" s="48">
        <v>114</v>
      </c>
      <c r="AX796" s="48">
        <v>28</v>
      </c>
      <c r="AY796" s="48" t="s">
        <v>8728</v>
      </c>
      <c r="AZ796" s="48" t="s">
        <v>1563</v>
      </c>
      <c r="BA796" s="48">
        <v>32</v>
      </c>
      <c r="BB796" s="47" t="s">
        <v>2485</v>
      </c>
      <c r="BC796" s="47" t="s">
        <v>8726</v>
      </c>
      <c r="BD796" s="47" t="s">
        <v>8374</v>
      </c>
      <c r="BE796" s="48" t="s">
        <v>2449</v>
      </c>
      <c r="BF796" s="48" t="s">
        <v>272</v>
      </c>
      <c r="BG796" s="48" t="s">
        <v>272</v>
      </c>
      <c r="BH796" s="48" t="s">
        <v>2486</v>
      </c>
      <c r="BI796" s="98">
        <v>6.3999999999999997E-6</v>
      </c>
      <c r="BJ796" s="98">
        <v>6.4000000000000001E-2</v>
      </c>
      <c r="BK796" s="48"/>
      <c r="BL796" s="98">
        <f t="shared" si="253"/>
        <v>1434.6336064018544</v>
      </c>
      <c r="BM796" s="47" t="s">
        <v>2487</v>
      </c>
      <c r="BN796" s="48"/>
      <c r="BO796" s="48"/>
      <c r="BP796" s="48"/>
      <c r="BQ796" s="48"/>
      <c r="BR796" s="47" t="s">
        <v>2496</v>
      </c>
      <c r="BS796" s="48"/>
      <c r="BT796" s="48"/>
      <c r="BU796" s="228"/>
      <c r="BV796" s="48"/>
      <c r="BW796" s="48"/>
      <c r="BX796" s="48"/>
      <c r="BY796" s="48"/>
      <c r="BZ796" s="48"/>
      <c r="CA796" s="48"/>
      <c r="CB796" s="48"/>
      <c r="CC796" s="48"/>
      <c r="CD796" s="48"/>
      <c r="CE796" s="48"/>
      <c r="CF796" s="48"/>
      <c r="CG796" s="48"/>
      <c r="CH796" s="48"/>
      <c r="CI796" s="98"/>
      <c r="CJ796" s="98"/>
      <c r="CK796" s="49">
        <f t="shared" si="248"/>
        <v>22416.150100028975</v>
      </c>
      <c r="CL796" s="229"/>
      <c r="CM796" s="229"/>
      <c r="CN796" s="229"/>
      <c r="CO796" s="47" t="s">
        <v>2488</v>
      </c>
      <c r="CP796" s="47" t="s">
        <v>2489</v>
      </c>
      <c r="CQ796" s="224" t="s">
        <v>272</v>
      </c>
      <c r="CR796" s="224"/>
      <c r="CS796" s="230" t="s">
        <v>539</v>
      </c>
      <c r="CT796" s="230"/>
      <c r="CU796" s="230"/>
      <c r="CV796" s="335">
        <f t="shared" si="252"/>
        <v>346913.85435168742</v>
      </c>
      <c r="CW796" s="230">
        <f t="shared" si="247"/>
        <v>1</v>
      </c>
      <c r="CX796" s="336"/>
      <c r="CY796" s="230" t="s">
        <v>6351</v>
      </c>
    </row>
    <row r="797" spans="1:103" ht="11.25" customHeight="1" x14ac:dyDescent="0.2">
      <c r="A797" s="72">
        <v>795</v>
      </c>
      <c r="B797" s="224">
        <v>238</v>
      </c>
      <c r="C797" s="46" t="s">
        <v>7003</v>
      </c>
      <c r="D797" s="46"/>
      <c r="E797" s="114"/>
      <c r="F797" s="114" t="s">
        <v>3099</v>
      </c>
      <c r="G797" s="225">
        <v>75605</v>
      </c>
      <c r="H797" s="47" t="s">
        <v>3100</v>
      </c>
      <c r="I797" s="47" t="s">
        <v>3100</v>
      </c>
      <c r="J797" s="47" t="s">
        <v>3101</v>
      </c>
      <c r="K797" s="47" t="s">
        <v>426</v>
      </c>
      <c r="L797" s="47"/>
      <c r="M797" s="47"/>
      <c r="N797" s="47"/>
      <c r="O797" s="47"/>
      <c r="P797" s="53"/>
      <c r="Q797" s="53"/>
      <c r="R797" s="53"/>
      <c r="S797" s="53"/>
      <c r="T797" s="48">
        <v>138</v>
      </c>
      <c r="U797" s="98">
        <v>14492.753623188406</v>
      </c>
      <c r="V797" s="98">
        <v>976.8115942028985</v>
      </c>
      <c r="W797" s="98">
        <v>1096.4781961431852</v>
      </c>
      <c r="X797" s="98">
        <v>14492.753623188406</v>
      </c>
      <c r="Y797" s="233">
        <v>3.13</v>
      </c>
      <c r="Z797" s="48">
        <v>0.36</v>
      </c>
      <c r="AA797" s="48"/>
      <c r="AB797" s="48">
        <v>-0.12</v>
      </c>
      <c r="AC797" s="48">
        <v>0.32100000000000001</v>
      </c>
      <c r="AD797" s="48">
        <v>-1.06</v>
      </c>
      <c r="AE797" s="48">
        <v>-1.62</v>
      </c>
      <c r="AF797" s="48">
        <f t="shared" si="254"/>
        <v>-1.06</v>
      </c>
      <c r="AG797" s="49">
        <v>-1.06</v>
      </c>
      <c r="AH797" s="98"/>
      <c r="AI797" s="98"/>
      <c r="AJ797" s="483"/>
      <c r="AK797" s="483"/>
      <c r="AL797" s="483"/>
      <c r="AM797" s="483">
        <v>-5.7197300000000002</v>
      </c>
      <c r="AN797" s="226"/>
      <c r="AO797" s="484">
        <v>6.3</v>
      </c>
      <c r="AP797" s="484"/>
      <c r="AQ797" s="226" t="s">
        <v>6311</v>
      </c>
      <c r="AR797" s="226" t="s">
        <v>6311</v>
      </c>
      <c r="AS797" s="224" t="s">
        <v>6</v>
      </c>
      <c r="AT797" s="50" t="s">
        <v>266</v>
      </c>
      <c r="AU797" s="48">
        <v>8</v>
      </c>
      <c r="AV797" s="48">
        <v>144</v>
      </c>
      <c r="AW797" s="48">
        <v>120</v>
      </c>
      <c r="AX797" s="48">
        <v>26</v>
      </c>
      <c r="AY797" s="48" t="s">
        <v>267</v>
      </c>
      <c r="AZ797" s="48" t="s">
        <v>2253</v>
      </c>
      <c r="BA797" s="48">
        <v>3</v>
      </c>
      <c r="BB797" s="47" t="s">
        <v>2254</v>
      </c>
      <c r="BC797" s="47" t="s">
        <v>270</v>
      </c>
      <c r="BD797" s="47" t="s">
        <v>8374</v>
      </c>
      <c r="BE797" s="48" t="s">
        <v>1712</v>
      </c>
      <c r="BF797" s="48" t="s">
        <v>272</v>
      </c>
      <c r="BG797" s="48" t="s">
        <v>272</v>
      </c>
      <c r="BH797" s="48" t="s">
        <v>2255</v>
      </c>
      <c r="BI797" s="98">
        <v>9.9999999999999995E-7</v>
      </c>
      <c r="BJ797" s="98">
        <v>0.08</v>
      </c>
      <c r="BK797" s="48"/>
      <c r="BL797" s="98">
        <f t="shared" si="253"/>
        <v>24.405291539689305</v>
      </c>
      <c r="BM797" s="48" t="s">
        <v>891</v>
      </c>
      <c r="BN797" s="233"/>
      <c r="BO797" s="233"/>
      <c r="BP797" s="233"/>
      <c r="BQ797" s="233"/>
      <c r="BR797" s="233"/>
      <c r="BS797" s="48"/>
      <c r="BT797" s="233"/>
      <c r="BU797" s="228"/>
      <c r="BV797" s="233"/>
      <c r="BW797" s="233"/>
      <c r="BX797" s="233"/>
      <c r="BY797" s="233"/>
      <c r="BZ797" s="233"/>
      <c r="CA797" s="233"/>
      <c r="CB797" s="233"/>
      <c r="CC797" s="48"/>
      <c r="CD797" s="48"/>
      <c r="CE797" s="48"/>
      <c r="CF797" s="48"/>
      <c r="CG797" s="233"/>
      <c r="CH797" s="48"/>
      <c r="CI797" s="98"/>
      <c r="CJ797" s="98"/>
      <c r="CK797" s="49">
        <f t="shared" si="248"/>
        <v>305.06614424611632</v>
      </c>
      <c r="CL797" s="229"/>
      <c r="CM797" s="229"/>
      <c r="CN797" s="229"/>
      <c r="CO797" s="47" t="s">
        <v>892</v>
      </c>
      <c r="CP797" s="47" t="s">
        <v>893</v>
      </c>
      <c r="CQ797" s="224" t="s">
        <v>272</v>
      </c>
      <c r="CR797" s="224"/>
      <c r="CS797" s="230" t="s">
        <v>539</v>
      </c>
      <c r="CT797" s="230"/>
      <c r="CU797" s="230"/>
      <c r="CV797" s="335">
        <f t="shared" si="252"/>
        <v>181159.42028985507</v>
      </c>
      <c r="CW797" s="230">
        <f t="shared" si="247"/>
        <v>1</v>
      </c>
      <c r="CX797" s="336" t="s">
        <v>539</v>
      </c>
      <c r="CY797" s="230" t="s">
        <v>5921</v>
      </c>
    </row>
    <row r="798" spans="1:103" ht="11.25" customHeight="1" x14ac:dyDescent="0.2">
      <c r="A798" s="72">
        <v>796</v>
      </c>
      <c r="B798" s="224">
        <v>1109</v>
      </c>
      <c r="C798" s="46" t="s">
        <v>7004</v>
      </c>
      <c r="D798" s="46"/>
      <c r="E798" s="114"/>
      <c r="F798" s="114" t="s">
        <v>3099</v>
      </c>
      <c r="G798" s="225">
        <v>75605</v>
      </c>
      <c r="H798" s="47" t="s">
        <v>3100</v>
      </c>
      <c r="I798" s="47" t="s">
        <v>3100</v>
      </c>
      <c r="J798" s="47" t="s">
        <v>3101</v>
      </c>
      <c r="K798" s="47" t="s">
        <v>426</v>
      </c>
      <c r="L798" s="47"/>
      <c r="M798" s="47"/>
      <c r="N798" s="47"/>
      <c r="O798" s="47"/>
      <c r="P798" s="53"/>
      <c r="Q798" s="53"/>
      <c r="R798" s="53"/>
      <c r="S798" s="53"/>
      <c r="T798" s="48">
        <v>138</v>
      </c>
      <c r="U798" s="98">
        <v>14492.753623188406</v>
      </c>
      <c r="V798" s="98">
        <v>976.8115942028985</v>
      </c>
      <c r="W798" s="98">
        <v>1096.4781961431852</v>
      </c>
      <c r="X798" s="98">
        <v>14492.753623188406</v>
      </c>
      <c r="Y798" s="233">
        <v>3.13</v>
      </c>
      <c r="Z798" s="48">
        <v>0.36</v>
      </c>
      <c r="AA798" s="48"/>
      <c r="AB798" s="48">
        <v>-0.12</v>
      </c>
      <c r="AC798" s="48">
        <v>0.32100000000000001</v>
      </c>
      <c r="AD798" s="48">
        <v>-1.06</v>
      </c>
      <c r="AE798" s="48">
        <v>-1.62</v>
      </c>
      <c r="AF798" s="48">
        <f t="shared" si="254"/>
        <v>-1.06</v>
      </c>
      <c r="AG798" s="49">
        <v>-1.06</v>
      </c>
      <c r="AH798" s="98"/>
      <c r="AI798" s="98"/>
      <c r="AJ798" s="483"/>
      <c r="AK798" s="483"/>
      <c r="AL798" s="483"/>
      <c r="AM798" s="483">
        <v>-5.7197300000000002</v>
      </c>
      <c r="AN798" s="226"/>
      <c r="AO798" s="484">
        <v>6.3</v>
      </c>
      <c r="AP798" s="484"/>
      <c r="AQ798" s="48" t="s">
        <v>6311</v>
      </c>
      <c r="AR798" s="48" t="s">
        <v>6311</v>
      </c>
      <c r="AS798" s="227"/>
      <c r="AT798" s="50" t="s">
        <v>266</v>
      </c>
      <c r="AU798" s="48">
        <v>6</v>
      </c>
      <c r="AV798" s="48">
        <v>120</v>
      </c>
      <c r="AW798" s="48">
        <v>114</v>
      </c>
      <c r="AX798" s="48">
        <v>28</v>
      </c>
      <c r="AY798" s="48" t="s">
        <v>8728</v>
      </c>
      <c r="AZ798" s="48" t="s">
        <v>1563</v>
      </c>
      <c r="BA798" s="48">
        <v>32</v>
      </c>
      <c r="BB798" s="47" t="s">
        <v>2485</v>
      </c>
      <c r="BC798" s="47" t="s">
        <v>8726</v>
      </c>
      <c r="BD798" s="47" t="s">
        <v>8374</v>
      </c>
      <c r="BE798" s="48" t="s">
        <v>2449</v>
      </c>
      <c r="BF798" s="48" t="s">
        <v>272</v>
      </c>
      <c r="BG798" s="48" t="s">
        <v>272</v>
      </c>
      <c r="BH798" s="48" t="s">
        <v>2486</v>
      </c>
      <c r="BI798" s="98">
        <v>6.3999999999999997E-6</v>
      </c>
      <c r="BJ798" s="98">
        <v>6.4000000000000001E-2</v>
      </c>
      <c r="BK798" s="48"/>
      <c r="BL798" s="98">
        <f t="shared" si="253"/>
        <v>24.405291539689305</v>
      </c>
      <c r="BM798" s="47" t="s">
        <v>2487</v>
      </c>
      <c r="BN798" s="48"/>
      <c r="BO798" s="48"/>
      <c r="BP798" s="48"/>
      <c r="BQ798" s="48"/>
      <c r="BR798" s="47" t="s">
        <v>2496</v>
      </c>
      <c r="BS798" s="48"/>
      <c r="BT798" s="48"/>
      <c r="BU798" s="228">
        <v>6.3999999999999997E-6</v>
      </c>
      <c r="BV798" s="48"/>
      <c r="BW798" s="48"/>
      <c r="BX798" s="48"/>
      <c r="BY798" s="48"/>
      <c r="BZ798" s="48"/>
      <c r="CA798" s="48"/>
      <c r="CB798" s="48"/>
      <c r="CC798" s="48"/>
      <c r="CD798" s="48"/>
      <c r="CE798" s="48"/>
      <c r="CF798" s="48"/>
      <c r="CG798" s="48"/>
      <c r="CH798" s="48"/>
      <c r="CI798" s="98"/>
      <c r="CJ798" s="98"/>
      <c r="CK798" s="49">
        <f t="shared" si="248"/>
        <v>381.33268030764538</v>
      </c>
      <c r="CL798" s="229"/>
      <c r="CM798" s="229"/>
      <c r="CN798" s="229"/>
      <c r="CO798" s="47" t="s">
        <v>2488</v>
      </c>
      <c r="CP798" s="47" t="s">
        <v>2489</v>
      </c>
      <c r="CQ798" s="224" t="s">
        <v>272</v>
      </c>
      <c r="CR798" s="224"/>
      <c r="CS798" s="230" t="s">
        <v>539</v>
      </c>
      <c r="CT798" s="230"/>
      <c r="CU798" s="230"/>
      <c r="CV798" s="335">
        <f t="shared" si="252"/>
        <v>226449.27536231885</v>
      </c>
      <c r="CW798" s="230">
        <f t="shared" si="247"/>
        <v>1</v>
      </c>
      <c r="CX798" s="336"/>
      <c r="CY798" s="230" t="s">
        <v>5921</v>
      </c>
    </row>
    <row r="799" spans="1:103" ht="11.25" customHeight="1" x14ac:dyDescent="0.2">
      <c r="A799" s="72">
        <v>797</v>
      </c>
      <c r="B799" s="224">
        <v>1088</v>
      </c>
      <c r="C799" s="46" t="s">
        <v>7005</v>
      </c>
      <c r="D799" s="46"/>
      <c r="E799" s="114"/>
      <c r="F799" s="114" t="s">
        <v>3045</v>
      </c>
      <c r="G799" s="225">
        <v>75990</v>
      </c>
      <c r="H799" s="47" t="s">
        <v>3046</v>
      </c>
      <c r="I799" s="47" t="s">
        <v>7995</v>
      </c>
      <c r="J799" s="47" t="s">
        <v>3047</v>
      </c>
      <c r="K799" s="47" t="s">
        <v>450</v>
      </c>
      <c r="L799" s="47" t="s">
        <v>5248</v>
      </c>
      <c r="M799" s="47" t="s">
        <v>5960</v>
      </c>
      <c r="N799" s="47"/>
      <c r="O799" s="47"/>
      <c r="P799" s="53"/>
      <c r="Q799" s="53"/>
      <c r="R799" s="53"/>
      <c r="S799" s="53"/>
      <c r="T799" s="48">
        <v>142.97</v>
      </c>
      <c r="U799" s="98">
        <v>3511.2261313562285</v>
      </c>
      <c r="V799" s="98">
        <v>304.81919283765825</v>
      </c>
      <c r="W799" s="98">
        <v>251.188643150958</v>
      </c>
      <c r="X799" s="98">
        <v>3511.2261313562285</v>
      </c>
      <c r="Y799" s="233">
        <v>1.2</v>
      </c>
      <c r="Z799" s="48">
        <v>1.68</v>
      </c>
      <c r="AA799" s="48">
        <v>0.78</v>
      </c>
      <c r="AB799" s="48">
        <v>1.27</v>
      </c>
      <c r="AC799" s="48">
        <v>0.77239999999999998</v>
      </c>
      <c r="AD799" s="48">
        <v>1.1499999999999999</v>
      </c>
      <c r="AE799" s="48">
        <v>0.89</v>
      </c>
      <c r="AF799" s="48">
        <f t="shared" si="254"/>
        <v>0.78</v>
      </c>
      <c r="AG799" s="49">
        <v>1.1200000000000001</v>
      </c>
      <c r="AH799" s="98">
        <v>9.02E-8</v>
      </c>
      <c r="AI799" s="98">
        <v>5.6599999999999997E-8</v>
      </c>
      <c r="AJ799" s="483">
        <f>LOG10(AH799*1000/(0.08206*298.15))</f>
        <v>-5.4333597887707104</v>
      </c>
      <c r="AK799" s="483">
        <f>LOG10(AI799*1000/(0.08206*298.15))</f>
        <v>-5.6357498951243805</v>
      </c>
      <c r="AL799" s="483">
        <f t="shared" ref="AL799:AL862" si="255">IF(AK799=0,AJ799,AK799)</f>
        <v>-5.6357498951243805</v>
      </c>
      <c r="AM799" s="483">
        <v>-6.8416399999999999</v>
      </c>
      <c r="AN799" s="226">
        <v>-6.96</v>
      </c>
      <c r="AO799" s="484">
        <v>1.68</v>
      </c>
      <c r="AP799" s="484"/>
      <c r="AQ799" s="48" t="s">
        <v>6311</v>
      </c>
      <c r="AR799" s="48" t="s">
        <v>6311</v>
      </c>
      <c r="AS799" s="227"/>
      <c r="AT799" s="50" t="s">
        <v>266</v>
      </c>
      <c r="AU799" s="48">
        <v>6</v>
      </c>
      <c r="AV799" s="48">
        <v>120</v>
      </c>
      <c r="AW799" s="48">
        <v>114</v>
      </c>
      <c r="AX799" s="48">
        <v>28</v>
      </c>
      <c r="AY799" s="48" t="s">
        <v>8728</v>
      </c>
      <c r="AZ799" s="48" t="s">
        <v>1563</v>
      </c>
      <c r="BA799" s="48">
        <v>32</v>
      </c>
      <c r="BB799" s="47" t="s">
        <v>2485</v>
      </c>
      <c r="BC799" s="47" t="s">
        <v>8726</v>
      </c>
      <c r="BD799" s="47" t="s">
        <v>8374</v>
      </c>
      <c r="BE799" s="48" t="s">
        <v>2449</v>
      </c>
      <c r="BF799" s="48" t="s">
        <v>272</v>
      </c>
      <c r="BG799" s="48" t="s">
        <v>272</v>
      </c>
      <c r="BH799" s="48" t="s">
        <v>2486</v>
      </c>
      <c r="BI799" s="98">
        <v>6.3999999999999997E-6</v>
      </c>
      <c r="BJ799" s="98">
        <v>6.4000000000000001E-2</v>
      </c>
      <c r="BK799" s="48"/>
      <c r="BL799" s="98">
        <f t="shared" si="253"/>
        <v>1.5921793977526657</v>
      </c>
      <c r="BM799" s="47" t="s">
        <v>2487</v>
      </c>
      <c r="BN799" s="48"/>
      <c r="BO799" s="48"/>
      <c r="BP799" s="48"/>
      <c r="BQ799" s="48"/>
      <c r="BR799" s="47" t="s">
        <v>2496</v>
      </c>
      <c r="BS799" s="48"/>
      <c r="BT799" s="48"/>
      <c r="BU799" s="228">
        <v>6.3999999999999997E-5</v>
      </c>
      <c r="BV799" s="48"/>
      <c r="BW799" s="48"/>
      <c r="BX799" s="48"/>
      <c r="BY799" s="48"/>
      <c r="BZ799" s="48"/>
      <c r="CA799" s="48"/>
      <c r="CB799" s="48"/>
      <c r="CC799" s="48"/>
      <c r="CD799" s="48"/>
      <c r="CE799" s="48"/>
      <c r="CF799" s="48"/>
      <c r="CG799" s="48"/>
      <c r="CH799" s="48"/>
      <c r="CI799" s="98"/>
      <c r="CJ799" s="98"/>
      <c r="CK799" s="49">
        <f t="shared" si="248"/>
        <v>24.877803089885401</v>
      </c>
      <c r="CL799" s="229"/>
      <c r="CM799" s="229"/>
      <c r="CN799" s="229"/>
      <c r="CO799" s="47" t="s">
        <v>2488</v>
      </c>
      <c r="CP799" s="47" t="s">
        <v>2489</v>
      </c>
      <c r="CQ799" s="224">
        <v>8.6548731308261018E-2</v>
      </c>
      <c r="CR799" s="224">
        <f>10^(CJ799-CQ799)</f>
        <v>0.81931568426107304</v>
      </c>
      <c r="CS799" s="230" t="s">
        <v>539</v>
      </c>
      <c r="CT799" s="230"/>
      <c r="CU799" s="230"/>
      <c r="CV799" s="335">
        <f t="shared" si="252"/>
        <v>54862.908302441072</v>
      </c>
      <c r="CW799" s="230">
        <f t="shared" si="247"/>
        <v>1</v>
      </c>
      <c r="CX799" s="336"/>
      <c r="CY799" s="230" t="s">
        <v>5921</v>
      </c>
    </row>
    <row r="800" spans="1:103" ht="11.25" customHeight="1" x14ac:dyDescent="0.2">
      <c r="A800" s="72">
        <v>798</v>
      </c>
      <c r="B800" s="224">
        <v>1911</v>
      </c>
      <c r="C800" s="46" t="s">
        <v>447</v>
      </c>
      <c r="D800" s="46"/>
      <c r="E800" s="114"/>
      <c r="F800" s="114" t="s">
        <v>5378</v>
      </c>
      <c r="G800" s="225">
        <v>76039</v>
      </c>
      <c r="H800" s="47" t="s">
        <v>448</v>
      </c>
      <c r="I800" s="47" t="s">
        <v>7996</v>
      </c>
      <c r="J800" s="47" t="s">
        <v>449</v>
      </c>
      <c r="K800" s="47" t="s">
        <v>450</v>
      </c>
      <c r="L800" s="47"/>
      <c r="M800" s="47"/>
      <c r="N800" s="47" t="s">
        <v>2342</v>
      </c>
      <c r="O800" s="47"/>
      <c r="P800" s="53"/>
      <c r="Q800" s="53"/>
      <c r="R800" s="53"/>
      <c r="S800" s="53"/>
      <c r="T800" s="48">
        <v>163.38999999999999</v>
      </c>
      <c r="U800" s="98">
        <v>334.16977783218073</v>
      </c>
      <c r="V800" s="98">
        <v>73.382703959850673</v>
      </c>
      <c r="W800" s="98">
        <v>331.13112148259103</v>
      </c>
      <c r="X800" s="98">
        <v>334.16977783218073</v>
      </c>
      <c r="Y800" s="233">
        <v>0.6</v>
      </c>
      <c r="Z800" s="48">
        <v>1.44</v>
      </c>
      <c r="AA800" s="48">
        <v>1.33</v>
      </c>
      <c r="AB800" s="48">
        <v>1.45</v>
      </c>
      <c r="AC800" s="48">
        <v>0.74429999999999996</v>
      </c>
      <c r="AD800" s="48">
        <v>1.52</v>
      </c>
      <c r="AE800" s="48">
        <v>1.67</v>
      </c>
      <c r="AF800" s="48">
        <f t="shared" si="254"/>
        <v>1.33</v>
      </c>
      <c r="AG800" s="49">
        <v>1.41</v>
      </c>
      <c r="AH800" s="98">
        <v>2.3899999999999999E-8</v>
      </c>
      <c r="AI800" s="98">
        <v>1.35E-8</v>
      </c>
      <c r="AJ800" s="483">
        <f>LOG10(AH800*1000/(0.08206*298.15))</f>
        <v>-6.0101684253645145</v>
      </c>
      <c r="AK800" s="483">
        <f>LOG10(AI800*1000/(0.08206*298.15))</f>
        <v>-6.2582325578176459</v>
      </c>
      <c r="AL800" s="483">
        <f t="shared" si="255"/>
        <v>-6.2582325578176459</v>
      </c>
      <c r="AM800" s="483">
        <v>-7.3551800000000007</v>
      </c>
      <c r="AN800" s="226">
        <v>-6.88</v>
      </c>
      <c r="AO800" s="484">
        <v>0.09</v>
      </c>
      <c r="AP800" s="484"/>
      <c r="AQ800" s="226" t="s">
        <v>6311</v>
      </c>
      <c r="AR800" s="226" t="s">
        <v>6311</v>
      </c>
      <c r="AS800" s="224"/>
      <c r="AT800" s="50" t="s">
        <v>266</v>
      </c>
      <c r="AU800" s="48">
        <v>6</v>
      </c>
      <c r="AV800" s="48">
        <v>120</v>
      </c>
      <c r="AW800" s="48">
        <v>114</v>
      </c>
      <c r="AX800" s="48">
        <v>28</v>
      </c>
      <c r="AY800" s="48" t="s">
        <v>8728</v>
      </c>
      <c r="AZ800" s="48" t="s">
        <v>1563</v>
      </c>
      <c r="BA800" s="48">
        <v>32</v>
      </c>
      <c r="BB800" s="47" t="s">
        <v>2485</v>
      </c>
      <c r="BC800" s="47" t="s">
        <v>8726</v>
      </c>
      <c r="BD800" s="47" t="s">
        <v>8374</v>
      </c>
      <c r="BE800" s="48" t="s">
        <v>2449</v>
      </c>
      <c r="BF800" s="48" t="s">
        <v>272</v>
      </c>
      <c r="BG800" s="48" t="s">
        <v>272</v>
      </c>
      <c r="BH800" s="48" t="s">
        <v>2486</v>
      </c>
      <c r="BI800" s="98">
        <v>6.3999999999999997E-6</v>
      </c>
      <c r="BJ800" s="98">
        <v>6.4000000000000001E-2</v>
      </c>
      <c r="BK800" s="48"/>
      <c r="BL800" s="98">
        <f t="shared" si="253"/>
        <v>2.6153872366126274</v>
      </c>
      <c r="BM800" s="47" t="s">
        <v>2487</v>
      </c>
      <c r="BN800" s="48"/>
      <c r="BO800" s="48"/>
      <c r="BP800" s="48"/>
      <c r="BQ800" s="48"/>
      <c r="BR800" s="47" t="s">
        <v>2496</v>
      </c>
      <c r="BS800" s="48"/>
      <c r="BT800" s="48"/>
      <c r="BU800" s="228"/>
      <c r="BV800" s="48"/>
      <c r="BW800" s="48"/>
      <c r="BX800" s="48"/>
      <c r="BY800" s="48"/>
      <c r="BZ800" s="48"/>
      <c r="CA800" s="48"/>
      <c r="CB800" s="48"/>
      <c r="CC800" s="48"/>
      <c r="CD800" s="48"/>
      <c r="CE800" s="48"/>
      <c r="CF800" s="48"/>
      <c r="CG800" s="48"/>
      <c r="CH800" s="48"/>
      <c r="CI800" s="98"/>
      <c r="CJ800" s="98"/>
      <c r="CK800" s="49">
        <f t="shared" si="248"/>
        <v>40.865425572072304</v>
      </c>
      <c r="CL800" s="229"/>
      <c r="CM800" s="229">
        <v>1.0888875537688341</v>
      </c>
      <c r="CN800" s="229">
        <f>BJ800/(10^CM800)</f>
        <v>5.2154576136520352E-3</v>
      </c>
      <c r="CO800" s="47" t="s">
        <v>2488</v>
      </c>
      <c r="CP800" s="47" t="s">
        <v>2489</v>
      </c>
      <c r="CQ800" s="224">
        <v>1.0888875537688341</v>
      </c>
      <c r="CR800" s="224">
        <f>10^(CJ800-CQ800)</f>
        <v>8.1491525213313057E-2</v>
      </c>
      <c r="CS800" s="230" t="s">
        <v>539</v>
      </c>
      <c r="CT800" s="230"/>
      <c r="CU800" s="230"/>
      <c r="CV800" s="335">
        <f t="shared" si="252"/>
        <v>5221.4027786278239</v>
      </c>
      <c r="CW800" s="230">
        <f t="shared" si="247"/>
        <v>1</v>
      </c>
      <c r="CX800" s="336"/>
      <c r="CY800" s="230" t="s">
        <v>6351</v>
      </c>
    </row>
    <row r="801" spans="1:103" ht="11.25" customHeight="1" x14ac:dyDescent="0.2">
      <c r="A801" s="72">
        <v>799</v>
      </c>
      <c r="B801" s="224">
        <v>1816</v>
      </c>
      <c r="C801" s="46" t="s">
        <v>7006</v>
      </c>
      <c r="D801" s="46"/>
      <c r="E801" s="114"/>
      <c r="F801" s="114" t="s">
        <v>5215</v>
      </c>
      <c r="G801" s="225">
        <v>77098</v>
      </c>
      <c r="H801" s="47" t="s">
        <v>5216</v>
      </c>
      <c r="I801" s="47" t="s">
        <v>5216</v>
      </c>
      <c r="J801" s="47" t="s">
        <v>5217</v>
      </c>
      <c r="K801" s="47" t="s">
        <v>3383</v>
      </c>
      <c r="L801" s="47"/>
      <c r="M801" s="47"/>
      <c r="N801" s="47"/>
      <c r="O801" s="47"/>
      <c r="P801" s="53"/>
      <c r="Q801" s="53"/>
      <c r="R801" s="53"/>
      <c r="S801" s="53"/>
      <c r="T801" s="48">
        <v>318.32</v>
      </c>
      <c r="U801" s="98">
        <v>1.2565971349585323</v>
      </c>
      <c r="V801" s="98">
        <v>1.000879617994471</v>
      </c>
      <c r="W801" s="98">
        <v>0.1737800828749376</v>
      </c>
      <c r="X801" s="98">
        <v>1.2565971349585323</v>
      </c>
      <c r="Y801" s="233">
        <v>6.47</v>
      </c>
      <c r="Z801" s="48">
        <v>3.06</v>
      </c>
      <c r="AA801" s="48">
        <v>2.41</v>
      </c>
      <c r="AB801" s="48">
        <v>3.39</v>
      </c>
      <c r="AC801" s="48">
        <v>0.66259999999999997</v>
      </c>
      <c r="AD801" s="48">
        <v>3.1</v>
      </c>
      <c r="AE801" s="48">
        <v>2.63</v>
      </c>
      <c r="AF801" s="48">
        <f t="shared" si="254"/>
        <v>2.41</v>
      </c>
      <c r="AG801" s="49">
        <v>3.71</v>
      </c>
      <c r="AH801" s="98">
        <v>8.98E-16</v>
      </c>
      <c r="AI801" s="98"/>
      <c r="AJ801" s="483">
        <f t="shared" ref="AJ801:AJ864" si="256">LOG10(AH801*1000/(0.08206*298.15))</f>
        <v>-13.435289989645348</v>
      </c>
      <c r="AK801" s="483"/>
      <c r="AL801" s="483">
        <f t="shared" si="255"/>
        <v>-13.435289989645348</v>
      </c>
      <c r="AM801" s="483">
        <v>-19.41433</v>
      </c>
      <c r="AN801" s="226">
        <v>-14.6</v>
      </c>
      <c r="AO801" s="484">
        <v>9.23</v>
      </c>
      <c r="AP801" s="484"/>
      <c r="AQ801" s="226" t="s">
        <v>6311</v>
      </c>
      <c r="AR801" s="226" t="s">
        <v>6311</v>
      </c>
      <c r="AS801" s="224"/>
      <c r="AT801" s="50" t="s">
        <v>266</v>
      </c>
      <c r="AU801" s="48">
        <v>6</v>
      </c>
      <c r="AV801" s="48">
        <v>120</v>
      </c>
      <c r="AW801" s="48">
        <v>114</v>
      </c>
      <c r="AX801" s="48">
        <v>28</v>
      </c>
      <c r="AY801" s="48" t="s">
        <v>8728</v>
      </c>
      <c r="AZ801" s="48" t="s">
        <v>1563</v>
      </c>
      <c r="BA801" s="48">
        <v>32</v>
      </c>
      <c r="BB801" s="47" t="s">
        <v>2485</v>
      </c>
      <c r="BC801" s="47" t="s">
        <v>8726</v>
      </c>
      <c r="BD801" s="47" t="s">
        <v>8374</v>
      </c>
      <c r="BE801" s="48" t="s">
        <v>2449</v>
      </c>
      <c r="BF801" s="48" t="s">
        <v>272</v>
      </c>
      <c r="BG801" s="48" t="s">
        <v>272</v>
      </c>
      <c r="BH801" s="48" t="s">
        <v>2486</v>
      </c>
      <c r="BI801" s="98">
        <v>6.3999999999999997E-6</v>
      </c>
      <c r="BJ801" s="98">
        <v>6.4000000000000001E-2</v>
      </c>
      <c r="BK801" s="48"/>
      <c r="BL801" s="98">
        <f t="shared" si="253"/>
        <v>9.1751674706632022E-2</v>
      </c>
      <c r="BM801" s="47" t="s">
        <v>2487</v>
      </c>
      <c r="BN801" s="48"/>
      <c r="BO801" s="48"/>
      <c r="BP801" s="48"/>
      <c r="BQ801" s="48"/>
      <c r="BR801" s="47" t="s">
        <v>2496</v>
      </c>
      <c r="BS801" s="48"/>
      <c r="BT801" s="48"/>
      <c r="BU801" s="228"/>
      <c r="BV801" s="48"/>
      <c r="BW801" s="48"/>
      <c r="BX801" s="48"/>
      <c r="BY801" s="48"/>
      <c r="BZ801" s="48"/>
      <c r="CA801" s="48"/>
      <c r="CB801" s="48"/>
      <c r="CC801" s="48"/>
      <c r="CD801" s="48"/>
      <c r="CE801" s="48"/>
      <c r="CF801" s="48"/>
      <c r="CG801" s="48"/>
      <c r="CH801" s="48"/>
      <c r="CI801" s="98"/>
      <c r="CJ801" s="98"/>
      <c r="CK801" s="49">
        <f t="shared" si="248"/>
        <v>1.4336199172911253</v>
      </c>
      <c r="CL801" s="229"/>
      <c r="CM801" s="229"/>
      <c r="CN801" s="229"/>
      <c r="CO801" s="47" t="s">
        <v>2488</v>
      </c>
      <c r="CP801" s="47" t="s">
        <v>2489</v>
      </c>
      <c r="CQ801" s="224" t="s">
        <v>272</v>
      </c>
      <c r="CR801" s="224"/>
      <c r="CS801" s="230" t="s">
        <v>539</v>
      </c>
      <c r="CT801" s="230"/>
      <c r="CU801" s="230"/>
      <c r="CV801" s="335">
        <f t="shared" si="252"/>
        <v>19.634330233727066</v>
      </c>
      <c r="CW801" s="230">
        <f t="shared" si="247"/>
        <v>1</v>
      </c>
      <c r="CX801" s="336"/>
      <c r="CY801" s="230" t="s">
        <v>6351</v>
      </c>
    </row>
    <row r="802" spans="1:103" ht="11.25" customHeight="1" x14ac:dyDescent="0.2">
      <c r="A802" s="72">
        <v>800</v>
      </c>
      <c r="B802" s="224">
        <v>1690</v>
      </c>
      <c r="C802" s="46" t="s">
        <v>7007</v>
      </c>
      <c r="D802" s="46"/>
      <c r="E802" s="114"/>
      <c r="F802" s="114" t="s">
        <v>4930</v>
      </c>
      <c r="G802" s="225">
        <v>77474</v>
      </c>
      <c r="H802" s="47" t="s">
        <v>4931</v>
      </c>
      <c r="I802" s="47" t="s">
        <v>7997</v>
      </c>
      <c r="J802" s="47" t="s">
        <v>4932</v>
      </c>
      <c r="K802" s="47" t="s">
        <v>1139</v>
      </c>
      <c r="L802" s="47" t="s">
        <v>5527</v>
      </c>
      <c r="M802" s="47" t="s">
        <v>6088</v>
      </c>
      <c r="N802" s="47"/>
      <c r="O802" s="47" t="s">
        <v>6083</v>
      </c>
      <c r="P802" s="53"/>
      <c r="Q802" s="53"/>
      <c r="R802" s="53"/>
      <c r="S802" s="53"/>
      <c r="T802" s="48">
        <v>272.77</v>
      </c>
      <c r="U802" s="98">
        <v>6.5989661619679585E-3</v>
      </c>
      <c r="V802" s="98">
        <v>3.2067309454852076E-3</v>
      </c>
      <c r="W802" s="98">
        <v>5.8884365535558803E-3</v>
      </c>
      <c r="X802" s="98">
        <v>6.5989661619679585E-3</v>
      </c>
      <c r="Y802" s="233">
        <v>7</v>
      </c>
      <c r="Z802" s="48">
        <v>4.63</v>
      </c>
      <c r="AA802" s="48">
        <v>5.04</v>
      </c>
      <c r="AB802" s="48">
        <v>4.7300000000000004</v>
      </c>
      <c r="AC802" s="48">
        <v>0.64990000000000003</v>
      </c>
      <c r="AD802" s="48">
        <v>4.8600000000000003</v>
      </c>
      <c r="AE802" s="48">
        <v>5.04</v>
      </c>
      <c r="AF802" s="48">
        <f t="shared" si="254"/>
        <v>5.04</v>
      </c>
      <c r="AG802" s="49">
        <v>3.74</v>
      </c>
      <c r="AH802" s="98">
        <v>2.1099999999999999E-3</v>
      </c>
      <c r="AI802" s="98">
        <v>2.7E-2</v>
      </c>
      <c r="AJ802" s="483">
        <f t="shared" si="256"/>
        <v>-1.0642838710149591</v>
      </c>
      <c r="AK802" s="483">
        <f>LOG10(AI802*1000/(0.08206*298.15))</f>
        <v>4.2797437846335551E-2</v>
      </c>
      <c r="AL802" s="483">
        <f t="shared" si="255"/>
        <v>4.2797437846335551E-2</v>
      </c>
      <c r="AM802" s="483">
        <v>-4.43</v>
      </c>
      <c r="AN802" s="226">
        <v>-0.61</v>
      </c>
      <c r="AO802" s="484"/>
      <c r="AP802" s="484"/>
      <c r="AQ802" s="226" t="s">
        <v>6311</v>
      </c>
      <c r="AR802" s="226" t="s">
        <v>6311</v>
      </c>
      <c r="AS802" s="224"/>
      <c r="AT802" s="50" t="s">
        <v>266</v>
      </c>
      <c r="AU802" s="48">
        <v>6</v>
      </c>
      <c r="AV802" s="48">
        <v>120</v>
      </c>
      <c r="AW802" s="48">
        <v>114</v>
      </c>
      <c r="AX802" s="48">
        <v>28</v>
      </c>
      <c r="AY802" s="48" t="s">
        <v>8728</v>
      </c>
      <c r="AZ802" s="48" t="s">
        <v>1563</v>
      </c>
      <c r="BA802" s="48">
        <v>32</v>
      </c>
      <c r="BB802" s="47" t="s">
        <v>2485</v>
      </c>
      <c r="BC802" s="47" t="s">
        <v>8726</v>
      </c>
      <c r="BD802" s="47" t="s">
        <v>8374</v>
      </c>
      <c r="BE802" s="48" t="s">
        <v>2449</v>
      </c>
      <c r="BF802" s="48" t="s">
        <v>272</v>
      </c>
      <c r="BG802" s="48" t="s">
        <v>272</v>
      </c>
      <c r="BH802" s="48" t="s">
        <v>2486</v>
      </c>
      <c r="BI802" s="98">
        <v>6.3999999999999997E-6</v>
      </c>
      <c r="BJ802" s="98">
        <v>6.4000000000000001E-2</v>
      </c>
      <c r="BK802" s="48"/>
      <c r="BL802" s="98">
        <f t="shared" si="253"/>
        <v>3.569414635260509E-3</v>
      </c>
      <c r="BM802" s="47" t="s">
        <v>2487</v>
      </c>
      <c r="BN802" s="48"/>
      <c r="BO802" s="48"/>
      <c r="BP802" s="48"/>
      <c r="BQ802" s="48"/>
      <c r="BR802" s="47" t="s">
        <v>2496</v>
      </c>
      <c r="BS802" s="48"/>
      <c r="BT802" s="48"/>
      <c r="BU802" s="228"/>
      <c r="BV802" s="48"/>
      <c r="BW802" s="48"/>
      <c r="BX802" s="48"/>
      <c r="BY802" s="48"/>
      <c r="BZ802" s="48"/>
      <c r="CA802" s="48"/>
      <c r="CB802" s="48"/>
      <c r="CC802" s="48"/>
      <c r="CD802" s="48"/>
      <c r="CE802" s="48"/>
      <c r="CF802" s="48"/>
      <c r="CG802" s="48"/>
      <c r="CH802" s="48"/>
      <c r="CI802" s="98"/>
      <c r="CJ802" s="98"/>
      <c r="CK802" s="49">
        <f t="shared" si="248"/>
        <v>5.5772103675945456E-2</v>
      </c>
      <c r="CL802" s="229"/>
      <c r="CM802" s="229"/>
      <c r="CN802" s="229"/>
      <c r="CO802" s="47" t="s">
        <v>2488</v>
      </c>
      <c r="CP802" s="47" t="s">
        <v>2489</v>
      </c>
      <c r="CQ802" s="224">
        <v>-3.1596741399589008</v>
      </c>
      <c r="CR802" s="224">
        <f>10^(CJ802-CQ802)</f>
        <v>1444.3556344690799</v>
      </c>
      <c r="CS802" s="230" t="s">
        <v>539</v>
      </c>
      <c r="CT802" s="230"/>
      <c r="CU802" s="230"/>
      <c r="CV802" s="335">
        <f t="shared" si="252"/>
        <v>0.10310884628074934</v>
      </c>
      <c r="CW802" s="230">
        <f t="shared" si="247"/>
        <v>0</v>
      </c>
      <c r="CX802" s="336"/>
      <c r="CY802" s="230" t="s">
        <v>5921</v>
      </c>
    </row>
    <row r="803" spans="1:103" ht="11.25" customHeight="1" x14ac:dyDescent="0.2">
      <c r="A803" s="72">
        <v>801</v>
      </c>
      <c r="B803" s="224">
        <v>903</v>
      </c>
      <c r="C803" s="46" t="s">
        <v>7008</v>
      </c>
      <c r="D803" s="46"/>
      <c r="E803" s="114"/>
      <c r="F803" s="114" t="s">
        <v>2577</v>
      </c>
      <c r="G803" s="225">
        <v>77485</v>
      </c>
      <c r="H803" s="47" t="s">
        <v>2578</v>
      </c>
      <c r="I803" s="47" t="s">
        <v>2578</v>
      </c>
      <c r="J803" s="47" t="s">
        <v>2579</v>
      </c>
      <c r="K803" s="47" t="s">
        <v>2580</v>
      </c>
      <c r="L803" s="47" t="s">
        <v>8495</v>
      </c>
      <c r="M803" s="47" t="s">
        <v>8487</v>
      </c>
      <c r="N803" s="47"/>
      <c r="O803" s="47"/>
      <c r="P803" s="53"/>
      <c r="Q803" s="53"/>
      <c r="R803" s="53"/>
      <c r="S803" s="53"/>
      <c r="T803" s="48">
        <v>285.92</v>
      </c>
      <c r="U803" s="98"/>
      <c r="V803" s="98">
        <v>16.245803021824287</v>
      </c>
      <c r="W803" s="98">
        <v>15.488166189124804</v>
      </c>
      <c r="X803" s="98">
        <f>IF(W803=0,V803,W803)</f>
        <v>15.488166189124804</v>
      </c>
      <c r="Y803" s="233">
        <v>7</v>
      </c>
      <c r="Z803" s="48">
        <v>-0.94</v>
      </c>
      <c r="AA803" s="48"/>
      <c r="AB803" s="48">
        <v>1.48</v>
      </c>
      <c r="AC803" s="48">
        <v>0.30480000000000002</v>
      </c>
      <c r="AD803" s="48">
        <v>1.61</v>
      </c>
      <c r="AE803" s="48">
        <v>1.69</v>
      </c>
      <c r="AF803" s="48">
        <f t="shared" si="254"/>
        <v>1.61</v>
      </c>
      <c r="AG803" s="49">
        <v>0.25</v>
      </c>
      <c r="AH803" s="98">
        <v>6.44E-7</v>
      </c>
      <c r="AI803" s="98"/>
      <c r="AJ803" s="483">
        <f t="shared" si="256"/>
        <v>-4.5796804589528399</v>
      </c>
      <c r="AK803" s="483"/>
      <c r="AL803" s="483">
        <f t="shared" si="255"/>
        <v>-4.5796804589528399</v>
      </c>
      <c r="AM803" s="483">
        <v>-11.06326</v>
      </c>
      <c r="AN803" s="226">
        <v>-9.93</v>
      </c>
      <c r="AO803" s="484"/>
      <c r="AP803" s="484">
        <v>-3.44</v>
      </c>
      <c r="AQ803" s="48" t="s">
        <v>6311</v>
      </c>
      <c r="AR803" s="48" t="s">
        <v>6311</v>
      </c>
      <c r="AS803" s="227"/>
      <c r="AT803" s="50" t="s">
        <v>266</v>
      </c>
      <c r="AU803" s="48">
        <v>6</v>
      </c>
      <c r="AV803" s="48">
        <v>120</v>
      </c>
      <c r="AW803" s="48">
        <v>114</v>
      </c>
      <c r="AX803" s="48">
        <v>28</v>
      </c>
      <c r="AY803" s="48" t="s">
        <v>8728</v>
      </c>
      <c r="AZ803" s="48" t="s">
        <v>1563</v>
      </c>
      <c r="BA803" s="48">
        <v>32</v>
      </c>
      <c r="BB803" s="47" t="s">
        <v>2485</v>
      </c>
      <c r="BC803" s="47" t="s">
        <v>8726</v>
      </c>
      <c r="BD803" s="47" t="s">
        <v>8374</v>
      </c>
      <c r="BE803" s="48" t="s">
        <v>2449</v>
      </c>
      <c r="BF803" s="48" t="s">
        <v>272</v>
      </c>
      <c r="BG803" s="48" t="s">
        <v>272</v>
      </c>
      <c r="BH803" s="48" t="s">
        <v>2486</v>
      </c>
      <c r="BI803" s="98">
        <v>6.3999999999999997E-6</v>
      </c>
      <c r="BJ803" s="98">
        <v>6.4000000000000001E-2</v>
      </c>
      <c r="BK803" s="48"/>
      <c r="BL803" s="98">
        <f t="shared" si="253"/>
        <v>358.93350510764594</v>
      </c>
      <c r="BM803" s="47" t="s">
        <v>2487</v>
      </c>
      <c r="BN803" s="48"/>
      <c r="BO803" s="48"/>
      <c r="BP803" s="48"/>
      <c r="BQ803" s="48"/>
      <c r="BR803" s="47" t="s">
        <v>2496</v>
      </c>
      <c r="BS803" s="48"/>
      <c r="BT803" s="48"/>
      <c r="BU803" s="228">
        <v>6.4000000000000003E-3</v>
      </c>
      <c r="BV803" s="48"/>
      <c r="BW803" s="48"/>
      <c r="BX803" s="48"/>
      <c r="BY803" s="48"/>
      <c r="BZ803" s="48"/>
      <c r="CA803" s="48"/>
      <c r="CB803" s="48"/>
      <c r="CC803" s="48"/>
      <c r="CD803" s="48"/>
      <c r="CE803" s="48"/>
      <c r="CF803" s="48"/>
      <c r="CG803" s="48"/>
      <c r="CH803" s="48"/>
      <c r="CI803" s="98"/>
      <c r="CJ803" s="98"/>
      <c r="CK803" s="49">
        <f t="shared" si="248"/>
        <v>5608.3360173069677</v>
      </c>
      <c r="CL803" s="229"/>
      <c r="CM803" s="229"/>
      <c r="CN803" s="229"/>
      <c r="CO803" s="47" t="s">
        <v>2488</v>
      </c>
      <c r="CP803" s="47" t="s">
        <v>2489</v>
      </c>
      <c r="CQ803" s="224">
        <v>-2.8877512842191817</v>
      </c>
      <c r="CR803" s="224">
        <f>10^(CJ803-CQ803)</f>
        <v>772.23820591646313</v>
      </c>
      <c r="CS803" s="230" t="s">
        <v>539</v>
      </c>
      <c r="CT803" s="230"/>
      <c r="CU803" s="230"/>
      <c r="CV803" s="335">
        <f t="shared" si="252"/>
        <v>242.00259670507506</v>
      </c>
      <c r="CW803" s="230">
        <f t="shared" si="247"/>
        <v>1</v>
      </c>
      <c r="CX803" s="336"/>
      <c r="CY803" s="230" t="s">
        <v>6351</v>
      </c>
    </row>
    <row r="804" spans="1:103" ht="11.25" customHeight="1" x14ac:dyDescent="0.2">
      <c r="A804" s="72">
        <v>802</v>
      </c>
      <c r="B804" s="224">
        <v>1477</v>
      </c>
      <c r="C804" s="46" t="s">
        <v>7009</v>
      </c>
      <c r="D804" s="46"/>
      <c r="E804" s="114"/>
      <c r="F804" s="114" t="s">
        <v>4537</v>
      </c>
      <c r="G804" s="225">
        <v>77714</v>
      </c>
      <c r="H804" s="47" t="s">
        <v>4538</v>
      </c>
      <c r="I804" s="47" t="s">
        <v>7998</v>
      </c>
      <c r="J804" s="47" t="s">
        <v>4539</v>
      </c>
      <c r="K804" s="47" t="s">
        <v>2039</v>
      </c>
      <c r="L804" s="47"/>
      <c r="M804" s="47"/>
      <c r="N804" s="47"/>
      <c r="O804" s="47"/>
      <c r="P804" s="53"/>
      <c r="Q804" s="53"/>
      <c r="R804" s="53"/>
      <c r="S804" s="53"/>
      <c r="T804" s="48">
        <v>128.13</v>
      </c>
      <c r="U804" s="98">
        <v>780.45734800593152</v>
      </c>
      <c r="V804" s="98">
        <v>91.859829860298134</v>
      </c>
      <c r="W804" s="98">
        <v>234.42288153199218</v>
      </c>
      <c r="X804" s="98">
        <v>780.45734800593152</v>
      </c>
      <c r="Y804" s="233">
        <v>4.97</v>
      </c>
      <c r="Z804" s="48">
        <v>-0.27</v>
      </c>
      <c r="AA804" s="48">
        <v>-0.48</v>
      </c>
      <c r="AB804" s="48">
        <v>-0.69</v>
      </c>
      <c r="AC804" s="48">
        <v>0.84489999999999998</v>
      </c>
      <c r="AD804" s="48">
        <v>-0.68</v>
      </c>
      <c r="AE804" s="48">
        <v>-0.66</v>
      </c>
      <c r="AF804" s="48">
        <f t="shared" si="254"/>
        <v>-0.48</v>
      </c>
      <c r="AG804" s="49">
        <v>-0.3</v>
      </c>
      <c r="AH804" s="98">
        <v>2.7700000000000002E-9</v>
      </c>
      <c r="AI804" s="98"/>
      <c r="AJ804" s="483">
        <f t="shared" si="256"/>
        <v>-6.9460865572482033</v>
      </c>
      <c r="AK804" s="483"/>
      <c r="AL804" s="483">
        <f t="shared" si="255"/>
        <v>-6.9460865572482033</v>
      </c>
      <c r="AM804" s="483">
        <v>-10.13931</v>
      </c>
      <c r="AN804" s="226">
        <v>-7.88</v>
      </c>
      <c r="AO804" s="484">
        <v>8.93</v>
      </c>
      <c r="AP804" s="484">
        <v>-1.1299999999999999</v>
      </c>
      <c r="AQ804" s="48" t="s">
        <v>6311</v>
      </c>
      <c r="AR804" s="48" t="s">
        <v>6311</v>
      </c>
      <c r="AS804" s="227"/>
      <c r="AT804" s="50" t="s">
        <v>266</v>
      </c>
      <c r="AU804" s="48">
        <v>6</v>
      </c>
      <c r="AV804" s="48">
        <v>120</v>
      </c>
      <c r="AW804" s="48">
        <v>114</v>
      </c>
      <c r="AX804" s="48">
        <v>28</v>
      </c>
      <c r="AY804" s="48" t="s">
        <v>8728</v>
      </c>
      <c r="AZ804" s="48" t="s">
        <v>1563</v>
      </c>
      <c r="BA804" s="48">
        <v>32</v>
      </c>
      <c r="BB804" s="47" t="s">
        <v>2485</v>
      </c>
      <c r="BC804" s="47" t="s">
        <v>8726</v>
      </c>
      <c r="BD804" s="47" t="s">
        <v>8374</v>
      </c>
      <c r="BE804" s="48" t="s">
        <v>2449</v>
      </c>
      <c r="BF804" s="48" t="s">
        <v>272</v>
      </c>
      <c r="BG804" s="48" t="s">
        <v>272</v>
      </c>
      <c r="BH804" s="48" t="s">
        <v>2486</v>
      </c>
      <c r="BI804" s="98">
        <v>6.3999999999999997E-6</v>
      </c>
      <c r="BJ804" s="98">
        <v>6.4000000000000001E-2</v>
      </c>
      <c r="BK804" s="48"/>
      <c r="BL804" s="98">
        <f t="shared" si="253"/>
        <v>89.802204907204157</v>
      </c>
      <c r="BM804" s="47" t="s">
        <v>2487</v>
      </c>
      <c r="BN804" s="48"/>
      <c r="BO804" s="48"/>
      <c r="BP804" s="48"/>
      <c r="BQ804" s="48"/>
      <c r="BR804" s="47" t="s">
        <v>2496</v>
      </c>
      <c r="BS804" s="48"/>
      <c r="BT804" s="48"/>
      <c r="BU804" s="228"/>
      <c r="BV804" s="48"/>
      <c r="BW804" s="48"/>
      <c r="BX804" s="48"/>
      <c r="BY804" s="48"/>
      <c r="BZ804" s="48"/>
      <c r="CA804" s="48"/>
      <c r="CB804" s="48"/>
      <c r="CC804" s="48"/>
      <c r="CD804" s="48"/>
      <c r="CE804" s="48"/>
      <c r="CF804" s="48"/>
      <c r="CG804" s="48"/>
      <c r="CH804" s="48"/>
      <c r="CI804" s="98"/>
      <c r="CJ804" s="98"/>
      <c r="CK804" s="49">
        <f t="shared" si="248"/>
        <v>1403.1594516750649</v>
      </c>
      <c r="CL804" s="229"/>
      <c r="CM804" s="229"/>
      <c r="CN804" s="229"/>
      <c r="CO804" s="47" t="s">
        <v>2488</v>
      </c>
      <c r="CP804" s="47" t="s">
        <v>2489</v>
      </c>
      <c r="CQ804" s="224">
        <v>2.1098331180674199</v>
      </c>
      <c r="CR804" s="224">
        <f>10^(CJ804-CQ804)</f>
        <v>7.7654545454545363E-3</v>
      </c>
      <c r="CS804" s="230" t="s">
        <v>539</v>
      </c>
      <c r="CT804" s="230"/>
      <c r="CU804" s="230"/>
      <c r="CV804" s="335">
        <f t="shared" si="252"/>
        <v>12194.646062592679</v>
      </c>
      <c r="CW804" s="230">
        <f t="shared" si="247"/>
        <v>1</v>
      </c>
      <c r="CX804" s="336"/>
      <c r="CY804" s="230" t="s">
        <v>6351</v>
      </c>
    </row>
    <row r="805" spans="1:103" ht="11.25" customHeight="1" x14ac:dyDescent="0.2">
      <c r="A805" s="72">
        <v>803</v>
      </c>
      <c r="B805" s="224">
        <v>1621</v>
      </c>
      <c r="C805" s="46" t="s">
        <v>7010</v>
      </c>
      <c r="D805" s="46"/>
      <c r="E805" s="114"/>
      <c r="F805" s="114" t="s">
        <v>4802</v>
      </c>
      <c r="G805" s="225">
        <v>77781</v>
      </c>
      <c r="H805" s="47" t="s">
        <v>4803</v>
      </c>
      <c r="I805" s="47" t="s">
        <v>4803</v>
      </c>
      <c r="J805" s="47" t="s">
        <v>4804</v>
      </c>
      <c r="K805" s="47" t="s">
        <v>357</v>
      </c>
      <c r="L805" s="47"/>
      <c r="M805" s="47"/>
      <c r="N805" s="47"/>
      <c r="O805" s="47"/>
      <c r="P805" s="53"/>
      <c r="Q805" s="53"/>
      <c r="R805" s="53"/>
      <c r="S805" s="53"/>
      <c r="T805" s="48">
        <v>126.13</v>
      </c>
      <c r="U805" s="98">
        <v>221.99318163799256</v>
      </c>
      <c r="V805" s="98">
        <v>550.54309046222158</v>
      </c>
      <c r="W805" s="98">
        <v>251.188643150958</v>
      </c>
      <c r="X805" s="98">
        <v>221.99318163799256</v>
      </c>
      <c r="Y805" s="233">
        <v>7</v>
      </c>
      <c r="Z805" s="48">
        <v>0.16</v>
      </c>
      <c r="AA805" s="48"/>
      <c r="AB805" s="48">
        <v>0.48</v>
      </c>
      <c r="AC805" s="48">
        <v>0.56830000000000003</v>
      </c>
      <c r="AD805" s="48">
        <v>0.27</v>
      </c>
      <c r="AE805" s="48">
        <v>0.08</v>
      </c>
      <c r="AF805" s="48">
        <f t="shared" si="254"/>
        <v>0.27</v>
      </c>
      <c r="AG805" s="49">
        <v>-0.13</v>
      </c>
      <c r="AH805" s="98">
        <v>2.6000000000000001E-6</v>
      </c>
      <c r="AI805" s="98">
        <v>3.9999999999999998E-6</v>
      </c>
      <c r="AJ805" s="483">
        <f t="shared" si="256"/>
        <v>-3.9735929783418338</v>
      </c>
      <c r="AK805" s="483">
        <f>LOG10(AI805*1000/(0.08206*298.15))</f>
        <v>-3.7865063349846895</v>
      </c>
      <c r="AL805" s="483">
        <f t="shared" si="255"/>
        <v>-3.7865063349846895</v>
      </c>
      <c r="AM805" s="483">
        <v>-7.7277300000000002</v>
      </c>
      <c r="AN805" s="226">
        <v>-4.2</v>
      </c>
      <c r="AO805" s="484"/>
      <c r="AP805" s="484"/>
      <c r="AQ805" s="226" t="s">
        <v>6311</v>
      </c>
      <c r="AR805" s="226" t="s">
        <v>6311</v>
      </c>
      <c r="AS805" s="224"/>
      <c r="AT805" s="50" t="s">
        <v>266</v>
      </c>
      <c r="AU805" s="48">
        <v>6</v>
      </c>
      <c r="AV805" s="48">
        <v>120</v>
      </c>
      <c r="AW805" s="48">
        <v>114</v>
      </c>
      <c r="AX805" s="48">
        <v>28</v>
      </c>
      <c r="AY805" s="48" t="s">
        <v>8728</v>
      </c>
      <c r="AZ805" s="48" t="s">
        <v>1563</v>
      </c>
      <c r="BA805" s="48">
        <v>32</v>
      </c>
      <c r="BB805" s="47" t="s">
        <v>2485</v>
      </c>
      <c r="BC805" s="47" t="s">
        <v>8726</v>
      </c>
      <c r="BD805" s="47" t="s">
        <v>8374</v>
      </c>
      <c r="BE805" s="48" t="s">
        <v>2449</v>
      </c>
      <c r="BF805" s="48" t="s">
        <v>272</v>
      </c>
      <c r="BG805" s="48" t="s">
        <v>272</v>
      </c>
      <c r="BH805" s="48" t="s">
        <v>2486</v>
      </c>
      <c r="BI805" s="98">
        <v>6.3999999999999997E-6</v>
      </c>
      <c r="BJ805" s="98">
        <v>6.4000000000000001E-2</v>
      </c>
      <c r="BK805" s="48"/>
      <c r="BL805" s="98">
        <f t="shared" si="253"/>
        <v>36.906596779165021</v>
      </c>
      <c r="BM805" s="47" t="s">
        <v>2487</v>
      </c>
      <c r="BN805" s="48"/>
      <c r="BO805" s="48"/>
      <c r="BP805" s="48"/>
      <c r="BQ805" s="48"/>
      <c r="BR805" s="47" t="s">
        <v>2496</v>
      </c>
      <c r="BS805" s="48"/>
      <c r="BT805" s="48"/>
      <c r="BU805" s="228"/>
      <c r="BV805" s="48"/>
      <c r="BW805" s="48"/>
      <c r="BX805" s="48"/>
      <c r="BY805" s="48"/>
      <c r="BZ805" s="48"/>
      <c r="CA805" s="48"/>
      <c r="CB805" s="48"/>
      <c r="CC805" s="48"/>
      <c r="CD805" s="48"/>
      <c r="CE805" s="48"/>
      <c r="CF805" s="48"/>
      <c r="CG805" s="48"/>
      <c r="CH805" s="48"/>
      <c r="CI805" s="52" t="s">
        <v>6347</v>
      </c>
      <c r="CJ805" s="98"/>
      <c r="CK805" s="49">
        <f t="shared" si="248"/>
        <v>576.66557467445341</v>
      </c>
      <c r="CL805" s="229"/>
      <c r="CM805" s="229"/>
      <c r="CN805" s="229"/>
      <c r="CO805" s="47" t="s">
        <v>2488</v>
      </c>
      <c r="CP805" s="47" t="s">
        <v>2489</v>
      </c>
      <c r="CQ805" s="224">
        <v>-1.2257571323398364</v>
      </c>
      <c r="CR805" s="224">
        <f>10^(CJ805-CQ805)</f>
        <v>16.817333333333334</v>
      </c>
      <c r="CS805" s="230" t="s">
        <v>539</v>
      </c>
      <c r="CT805" s="230"/>
      <c r="CU805" s="230"/>
      <c r="CV805" s="335">
        <f t="shared" si="252"/>
        <v>3468.6434630936337</v>
      </c>
      <c r="CW805" s="230">
        <f t="shared" si="247"/>
        <v>1</v>
      </c>
      <c r="CX805" s="336"/>
      <c r="CY805" s="230" t="s">
        <v>6351</v>
      </c>
    </row>
    <row r="806" spans="1:103" ht="11.25" customHeight="1" x14ac:dyDescent="0.2">
      <c r="A806" s="72">
        <v>804</v>
      </c>
      <c r="B806" s="224">
        <v>1492</v>
      </c>
      <c r="C806" s="46" t="s">
        <v>7011</v>
      </c>
      <c r="D806" s="46"/>
      <c r="E806" s="114"/>
      <c r="F806" s="114" t="s">
        <v>4577</v>
      </c>
      <c r="G806" s="225">
        <v>77894</v>
      </c>
      <c r="H806" s="47" t="s">
        <v>4578</v>
      </c>
      <c r="I806" s="47" t="s">
        <v>4578</v>
      </c>
      <c r="J806" s="47" t="s">
        <v>4579</v>
      </c>
      <c r="K806" s="47" t="s">
        <v>357</v>
      </c>
      <c r="L806" s="47"/>
      <c r="M806" s="47"/>
      <c r="N806" s="47"/>
      <c r="O806" s="47"/>
      <c r="P806" s="53"/>
      <c r="Q806" s="53"/>
      <c r="R806" s="53"/>
      <c r="S806" s="53"/>
      <c r="T806" s="48">
        <v>318.32</v>
      </c>
      <c r="U806" s="98"/>
      <c r="V806" s="98">
        <v>2.1619753706961551</v>
      </c>
      <c r="W806" s="98">
        <v>1.5488166189124803</v>
      </c>
      <c r="X806" s="98">
        <f>IF(W806=0,V806,W806)</f>
        <v>1.5488166189124803</v>
      </c>
      <c r="Y806" s="233">
        <v>7</v>
      </c>
      <c r="Z806" s="48">
        <v>1.34</v>
      </c>
      <c r="AA806" s="48"/>
      <c r="AB806" s="48">
        <v>1.51</v>
      </c>
      <c r="AC806" s="48">
        <v>0.75149999999999995</v>
      </c>
      <c r="AD806" s="48">
        <v>2.16</v>
      </c>
      <c r="AE806" s="48">
        <v>3.73</v>
      </c>
      <c r="AF806" s="48">
        <f t="shared" si="254"/>
        <v>2.16</v>
      </c>
      <c r="AG806" s="49">
        <v>2.76</v>
      </c>
      <c r="AH806" s="98">
        <v>6.9099999999999999E-11</v>
      </c>
      <c r="AI806" s="98"/>
      <c r="AJ806" s="483">
        <f t="shared" si="256"/>
        <v>-8.5490882789384539</v>
      </c>
      <c r="AK806" s="483"/>
      <c r="AL806" s="483">
        <f t="shared" si="255"/>
        <v>-8.5490882789384539</v>
      </c>
      <c r="AM806" s="483">
        <v>-12.35515</v>
      </c>
      <c r="AN806" s="226">
        <v>-36.200000000000003</v>
      </c>
      <c r="AO806" s="484"/>
      <c r="AP806" s="484"/>
      <c r="AQ806" s="48" t="s">
        <v>6311</v>
      </c>
      <c r="AR806" s="48" t="s">
        <v>6312</v>
      </c>
      <c r="AS806" s="227"/>
      <c r="AT806" s="50" t="s">
        <v>266</v>
      </c>
      <c r="AU806" s="48">
        <v>6</v>
      </c>
      <c r="AV806" s="48">
        <v>120</v>
      </c>
      <c r="AW806" s="48">
        <v>114</v>
      </c>
      <c r="AX806" s="48">
        <v>28</v>
      </c>
      <c r="AY806" s="48" t="s">
        <v>8728</v>
      </c>
      <c r="AZ806" s="48" t="s">
        <v>1563</v>
      </c>
      <c r="BA806" s="48">
        <v>32</v>
      </c>
      <c r="BB806" s="47" t="s">
        <v>2485</v>
      </c>
      <c r="BC806" s="47" t="s">
        <v>8726</v>
      </c>
      <c r="BD806" s="47" t="s">
        <v>8374</v>
      </c>
      <c r="BE806" s="48" t="s">
        <v>2449</v>
      </c>
      <c r="BF806" s="48" t="s">
        <v>272</v>
      </c>
      <c r="BG806" s="48" t="s">
        <v>272</v>
      </c>
      <c r="BH806" s="48" t="s">
        <v>2486</v>
      </c>
      <c r="BI806" s="98">
        <v>6.3999999999999997E-6</v>
      </c>
      <c r="BJ806" s="98">
        <v>6.4000000000000001E-2</v>
      </c>
      <c r="BK806" s="48"/>
      <c r="BL806" s="98">
        <f t="shared" si="253"/>
        <v>3.2162218642919709</v>
      </c>
      <c r="BM806" s="47" t="s">
        <v>2487</v>
      </c>
      <c r="BN806" s="48"/>
      <c r="BO806" s="48"/>
      <c r="BP806" s="48"/>
      <c r="BQ806" s="48"/>
      <c r="BR806" s="47" t="s">
        <v>2496</v>
      </c>
      <c r="BS806" s="48"/>
      <c r="BT806" s="48"/>
      <c r="BU806" s="228"/>
      <c r="BV806" s="48"/>
      <c r="BW806" s="48"/>
      <c r="BX806" s="48"/>
      <c r="BY806" s="48"/>
      <c r="BZ806" s="48"/>
      <c r="CA806" s="48"/>
      <c r="CB806" s="48"/>
      <c r="CC806" s="48"/>
      <c r="CD806" s="48"/>
      <c r="CE806" s="48"/>
      <c r="CF806" s="48"/>
      <c r="CG806" s="48"/>
      <c r="CH806" s="48"/>
      <c r="CI806" s="98"/>
      <c r="CJ806" s="98"/>
      <c r="CK806" s="49">
        <f t="shared" si="248"/>
        <v>50.253466629562041</v>
      </c>
      <c r="CL806" s="229"/>
      <c r="CM806" s="229"/>
      <c r="CN806" s="229"/>
      <c r="CO806" s="47" t="s">
        <v>2488</v>
      </c>
      <c r="CP806" s="47" t="s">
        <v>2489</v>
      </c>
      <c r="CQ806" s="224" t="s">
        <v>272</v>
      </c>
      <c r="CR806" s="224"/>
      <c r="CS806" s="230" t="s">
        <v>539</v>
      </c>
      <c r="CT806" s="230"/>
      <c r="CU806" s="230"/>
      <c r="CV806" s="335">
        <f t="shared" si="252"/>
        <v>24.200259670507506</v>
      </c>
      <c r="CW806" s="230">
        <f t="shared" si="247"/>
        <v>1</v>
      </c>
      <c r="CX806" s="336"/>
      <c r="CY806" s="230" t="s">
        <v>5921</v>
      </c>
    </row>
    <row r="807" spans="1:103" ht="11.25" customHeight="1" x14ac:dyDescent="0.2">
      <c r="A807" s="72">
        <v>805</v>
      </c>
      <c r="B807" s="224">
        <v>1491</v>
      </c>
      <c r="C807" s="46" t="s">
        <v>7012</v>
      </c>
      <c r="D807" s="46"/>
      <c r="E807" s="114"/>
      <c r="F807" s="114" t="s">
        <v>4574</v>
      </c>
      <c r="G807" s="225">
        <v>77907</v>
      </c>
      <c r="H807" s="47" t="s">
        <v>4575</v>
      </c>
      <c r="I807" s="47" t="s">
        <v>4575</v>
      </c>
      <c r="J807" s="47" t="s">
        <v>4576</v>
      </c>
      <c r="K807" s="47" t="s">
        <v>357</v>
      </c>
      <c r="L807" s="47"/>
      <c r="M807" s="47"/>
      <c r="N807" s="47"/>
      <c r="O807" s="47"/>
      <c r="P807" s="53"/>
      <c r="Q807" s="53"/>
      <c r="R807" s="53"/>
      <c r="S807" s="53"/>
      <c r="T807" s="48">
        <v>402.48</v>
      </c>
      <c r="U807" s="98">
        <v>1.2422977539256608E-2</v>
      </c>
      <c r="V807" s="98">
        <v>1.6060425362750942E-3</v>
      </c>
      <c r="W807" s="98">
        <v>1.6218100973589292E-2</v>
      </c>
      <c r="X807" s="98">
        <v>1.2422977539256608E-2</v>
      </c>
      <c r="Y807" s="233">
        <v>7</v>
      </c>
      <c r="Z807" s="48">
        <v>4.29</v>
      </c>
      <c r="AA807" s="48"/>
      <c r="AB807" s="48">
        <v>3.5</v>
      </c>
      <c r="AC807" s="48">
        <v>0.68149999999999999</v>
      </c>
      <c r="AD807" s="48">
        <v>4.7</v>
      </c>
      <c r="AE807" s="48">
        <v>6.92</v>
      </c>
      <c r="AF807" s="48">
        <f t="shared" si="254"/>
        <v>4.7</v>
      </c>
      <c r="AG807" s="49">
        <v>3.37</v>
      </c>
      <c r="AH807" s="98">
        <v>3.7799999999999999E-10</v>
      </c>
      <c r="AI807" s="98"/>
      <c r="AJ807" s="483">
        <f t="shared" si="256"/>
        <v>-7.8110745264754264</v>
      </c>
      <c r="AK807" s="483"/>
      <c r="AL807" s="483">
        <f t="shared" si="255"/>
        <v>-7.8110745264754264</v>
      </c>
      <c r="AM807" s="483">
        <v>-13.155979999999998</v>
      </c>
      <c r="AN807" s="226">
        <v>-9.23</v>
      </c>
      <c r="AO807" s="484"/>
      <c r="AP807" s="484"/>
      <c r="AQ807" s="48" t="s">
        <v>6311</v>
      </c>
      <c r="AR807" s="48" t="s">
        <v>6312</v>
      </c>
      <c r="AS807" s="227"/>
      <c r="AT807" s="50" t="s">
        <v>266</v>
      </c>
      <c r="AU807" s="48">
        <v>6</v>
      </c>
      <c r="AV807" s="48">
        <v>120</v>
      </c>
      <c r="AW807" s="48">
        <v>114</v>
      </c>
      <c r="AX807" s="48">
        <v>28</v>
      </c>
      <c r="AY807" s="48" t="s">
        <v>8728</v>
      </c>
      <c r="AZ807" s="48" t="s">
        <v>1563</v>
      </c>
      <c r="BA807" s="48">
        <v>32</v>
      </c>
      <c r="BB807" s="47" t="s">
        <v>2485</v>
      </c>
      <c r="BC807" s="47" t="s">
        <v>8726</v>
      </c>
      <c r="BD807" s="47" t="s">
        <v>8374</v>
      </c>
      <c r="BE807" s="48" t="s">
        <v>2449</v>
      </c>
      <c r="BF807" s="48" t="s">
        <v>272</v>
      </c>
      <c r="BG807" s="48" t="s">
        <v>272</v>
      </c>
      <c r="BH807" s="48" t="s">
        <v>2486</v>
      </c>
      <c r="BI807" s="98">
        <v>6.3999999999999997E-6</v>
      </c>
      <c r="BJ807" s="98">
        <v>6.4000000000000001E-2</v>
      </c>
      <c r="BK807" s="48"/>
      <c r="BL807" s="98">
        <f t="shared" si="253"/>
        <v>7.2102612361725589E-3</v>
      </c>
      <c r="BM807" s="47" t="s">
        <v>2487</v>
      </c>
      <c r="BN807" s="48"/>
      <c r="BO807" s="48"/>
      <c r="BP807" s="48"/>
      <c r="BQ807" s="48"/>
      <c r="BR807" s="47" t="s">
        <v>2496</v>
      </c>
      <c r="BS807" s="48"/>
      <c r="BT807" s="48"/>
      <c r="BU807" s="228"/>
      <c r="BV807" s="48"/>
      <c r="BW807" s="48"/>
      <c r="BX807" s="48"/>
      <c r="BY807" s="48"/>
      <c r="BZ807" s="48"/>
      <c r="CA807" s="48"/>
      <c r="CB807" s="48"/>
      <c r="CC807" s="48"/>
      <c r="CD807" s="48"/>
      <c r="CE807" s="48"/>
      <c r="CF807" s="48"/>
      <c r="CG807" s="48"/>
      <c r="CH807" s="48"/>
      <c r="CI807" s="98"/>
      <c r="CJ807" s="98"/>
      <c r="CK807" s="49">
        <f t="shared" si="248"/>
        <v>0.11266033181519623</v>
      </c>
      <c r="CL807" s="229"/>
      <c r="CM807" s="229"/>
      <c r="CN807" s="229"/>
      <c r="CO807" s="47" t="s">
        <v>2488</v>
      </c>
      <c r="CP807" s="47" t="s">
        <v>2489</v>
      </c>
      <c r="CQ807" s="224" t="s">
        <v>272</v>
      </c>
      <c r="CR807" s="224"/>
      <c r="CS807" s="230" t="s">
        <v>539</v>
      </c>
      <c r="CT807" s="230"/>
      <c r="CU807" s="230"/>
      <c r="CV807" s="335">
        <f t="shared" si="252"/>
        <v>0.19410902405088451</v>
      </c>
      <c r="CW807" s="230">
        <f t="shared" si="247"/>
        <v>0</v>
      </c>
      <c r="CX807" s="336"/>
      <c r="CY807" s="230" t="s">
        <v>6351</v>
      </c>
    </row>
    <row r="808" spans="1:103" ht="11.25" customHeight="1" x14ac:dyDescent="0.2">
      <c r="A808" s="72">
        <v>806</v>
      </c>
      <c r="B808" s="224">
        <v>1555</v>
      </c>
      <c r="C808" s="46" t="s">
        <v>7013</v>
      </c>
      <c r="D808" s="46"/>
      <c r="E808" s="114"/>
      <c r="F808" s="114" t="s">
        <v>4690</v>
      </c>
      <c r="G808" s="225">
        <v>77929</v>
      </c>
      <c r="H808" s="47" t="s">
        <v>4691</v>
      </c>
      <c r="I808" s="47" t="s">
        <v>4691</v>
      </c>
      <c r="J808" s="47" t="s">
        <v>4692</v>
      </c>
      <c r="K808" s="47" t="s">
        <v>426</v>
      </c>
      <c r="L808" s="51"/>
      <c r="M808" s="47"/>
      <c r="N808" s="47"/>
      <c r="O808" s="47"/>
      <c r="P808" s="53"/>
      <c r="Q808" s="53"/>
      <c r="R808" s="53"/>
      <c r="S808" s="53"/>
      <c r="T808" s="48">
        <v>192.12</v>
      </c>
      <c r="U808" s="98">
        <v>5205.0801582344366</v>
      </c>
      <c r="V808" s="98">
        <v>5205.0801582344366</v>
      </c>
      <c r="W808" s="98">
        <v>5248.0746024977261</v>
      </c>
      <c r="X808" s="98">
        <v>5205.0801582344366</v>
      </c>
      <c r="Y808" s="233">
        <v>0.85</v>
      </c>
      <c r="Z808" s="48">
        <v>-1.67</v>
      </c>
      <c r="AA808" s="48">
        <v>-1.64</v>
      </c>
      <c r="AB808" s="48">
        <v>-1.34</v>
      </c>
      <c r="AC808" s="48">
        <v>0.89319999999999999</v>
      </c>
      <c r="AD808" s="48">
        <v>-1.42</v>
      </c>
      <c r="AE808" s="48">
        <v>-1.72</v>
      </c>
      <c r="AF808" s="48">
        <f t="shared" si="254"/>
        <v>-1.64</v>
      </c>
      <c r="AG808" s="49">
        <v>-1.76</v>
      </c>
      <c r="AH808" s="98">
        <v>8.3299999999999996E-18</v>
      </c>
      <c r="AI808" s="98">
        <v>4.3300000000000002E-14</v>
      </c>
      <c r="AJ808" s="483">
        <f t="shared" si="256"/>
        <v>-15.467921324905864</v>
      </c>
      <c r="AK808" s="483">
        <f>LOG10(AI808*1000/(0.08206*298.15))</f>
        <v>-11.752078429959287</v>
      </c>
      <c r="AL808" s="483">
        <f t="shared" si="255"/>
        <v>-11.752078429959287</v>
      </c>
      <c r="AM808" s="483">
        <v>-17.369890000000002</v>
      </c>
      <c r="AN808" s="226">
        <v>-17.3</v>
      </c>
      <c r="AO808" s="484">
        <v>2.93</v>
      </c>
      <c r="AP808" s="484"/>
      <c r="AQ808" s="48" t="s">
        <v>6311</v>
      </c>
      <c r="AR808" s="48" t="s">
        <v>6311</v>
      </c>
      <c r="AS808" s="227"/>
      <c r="AT808" s="50" t="s">
        <v>266</v>
      </c>
      <c r="AU808" s="48">
        <v>6</v>
      </c>
      <c r="AV808" s="48">
        <v>120</v>
      </c>
      <c r="AW808" s="48">
        <v>114</v>
      </c>
      <c r="AX808" s="48">
        <v>28</v>
      </c>
      <c r="AY808" s="48" t="s">
        <v>8728</v>
      </c>
      <c r="AZ808" s="48" t="s">
        <v>1563</v>
      </c>
      <c r="BA808" s="48">
        <v>32</v>
      </c>
      <c r="BB808" s="47" t="s">
        <v>2485</v>
      </c>
      <c r="BC808" s="47" t="s">
        <v>8726</v>
      </c>
      <c r="BD808" s="47" t="s">
        <v>8374</v>
      </c>
      <c r="BE808" s="48" t="s">
        <v>2449</v>
      </c>
      <c r="BF808" s="48" t="s">
        <v>272</v>
      </c>
      <c r="BG808" s="48" t="s">
        <v>272</v>
      </c>
      <c r="BH808" s="48" t="s">
        <v>2486</v>
      </c>
      <c r="BI808" s="98">
        <v>6.3999999999999997E-6</v>
      </c>
      <c r="BJ808" s="98">
        <v>6.4000000000000001E-2</v>
      </c>
      <c r="BK808" s="48"/>
      <c r="BL808" s="98">
        <f t="shared" si="253"/>
        <v>1624.1532294239166</v>
      </c>
      <c r="BM808" s="47" t="s">
        <v>2487</v>
      </c>
      <c r="BN808" s="48"/>
      <c r="BO808" s="48"/>
      <c r="BP808" s="48"/>
      <c r="BQ808" s="48"/>
      <c r="BR808" s="47" t="s">
        <v>2496</v>
      </c>
      <c r="BS808" s="48"/>
      <c r="BT808" s="48"/>
      <c r="BU808" s="228"/>
      <c r="BV808" s="48"/>
      <c r="BW808" s="48"/>
      <c r="BX808" s="48"/>
      <c r="BY808" s="48"/>
      <c r="BZ808" s="48"/>
      <c r="CA808" s="48"/>
      <c r="CB808" s="48"/>
      <c r="CC808" s="48"/>
      <c r="CD808" s="48"/>
      <c r="CE808" s="48"/>
      <c r="CF808" s="48"/>
      <c r="CG808" s="48"/>
      <c r="CH808" s="48"/>
      <c r="CI808" s="52" t="s">
        <v>6346</v>
      </c>
      <c r="CJ808" s="98"/>
      <c r="CK808" s="49">
        <f t="shared" si="248"/>
        <v>25377.394209748698</v>
      </c>
      <c r="CL808" s="229"/>
      <c r="CM808" s="229"/>
      <c r="CN808" s="229"/>
      <c r="CO808" s="47" t="s">
        <v>2488</v>
      </c>
      <c r="CP808" s="47" t="s">
        <v>2489</v>
      </c>
      <c r="CQ808" s="224" t="s">
        <v>272</v>
      </c>
      <c r="CR808" s="224"/>
      <c r="CS808" s="230" t="s">
        <v>539</v>
      </c>
      <c r="CT808" s="230"/>
      <c r="CU808" s="230"/>
      <c r="CV808" s="335">
        <f t="shared" si="252"/>
        <v>81329.377472413064</v>
      </c>
      <c r="CW808" s="230">
        <f t="shared" si="247"/>
        <v>1</v>
      </c>
      <c r="CX808" s="336"/>
      <c r="CY808" s="230" t="s">
        <v>6351</v>
      </c>
    </row>
    <row r="809" spans="1:103" ht="11.25" customHeight="1" x14ac:dyDescent="0.2">
      <c r="A809" s="72">
        <v>807</v>
      </c>
      <c r="B809" s="224">
        <v>1314</v>
      </c>
      <c r="C809" s="46" t="s">
        <v>7014</v>
      </c>
      <c r="D809" s="46"/>
      <c r="E809" s="114"/>
      <c r="F809" s="114" t="s">
        <v>3596</v>
      </c>
      <c r="G809" s="225">
        <v>77930</v>
      </c>
      <c r="H809" s="47" t="s">
        <v>3597</v>
      </c>
      <c r="I809" s="47" t="s">
        <v>3597</v>
      </c>
      <c r="J809" s="236" t="s">
        <v>3598</v>
      </c>
      <c r="K809" s="236" t="s">
        <v>357</v>
      </c>
      <c r="L809" s="47"/>
      <c r="M809" s="47"/>
      <c r="N809" s="47"/>
      <c r="O809" s="52"/>
      <c r="P809" s="53"/>
      <c r="Q809" s="53"/>
      <c r="R809" s="53"/>
      <c r="S809" s="53"/>
      <c r="T809" s="226">
        <v>276.29000000000002</v>
      </c>
      <c r="U809" s="98">
        <v>235.26005284302724</v>
      </c>
      <c r="V809" s="98">
        <v>102.21144449672445</v>
      </c>
      <c r="W809" s="98">
        <v>42.657951880159239</v>
      </c>
      <c r="X809" s="98">
        <v>235.26005284302724</v>
      </c>
      <c r="Y809" s="233">
        <v>6.45</v>
      </c>
      <c r="Z809" s="48">
        <v>0.33</v>
      </c>
      <c r="AA809" s="48"/>
      <c r="AB809" s="48">
        <v>0.91</v>
      </c>
      <c r="AC809" s="48">
        <v>0.74709999999999999</v>
      </c>
      <c r="AD809" s="48">
        <v>1.0900000000000001</v>
      </c>
      <c r="AE809" s="48">
        <v>1.49</v>
      </c>
      <c r="AF809" s="48">
        <f t="shared" si="254"/>
        <v>1.0900000000000001</v>
      </c>
      <c r="AG809" s="48">
        <v>0.61</v>
      </c>
      <c r="AH809" s="98">
        <v>6.3899999999999996E-10</v>
      </c>
      <c r="AI809" s="98">
        <v>3.84E-9</v>
      </c>
      <c r="AJ809" s="483">
        <f t="shared" si="256"/>
        <v>-7.5830654681542518</v>
      </c>
      <c r="AK809" s="483">
        <f>LOG10(AI809*1000/(0.08206*298.15))</f>
        <v>-6.804235101945121</v>
      </c>
      <c r="AL809" s="483">
        <f t="shared" si="255"/>
        <v>-6.804235101945121</v>
      </c>
      <c r="AM809" s="483">
        <v>-11.52106</v>
      </c>
      <c r="AN809" s="48">
        <v>-9.16</v>
      </c>
      <c r="AO809" s="484">
        <v>11.57</v>
      </c>
      <c r="AP809" s="484"/>
      <c r="AQ809" s="48" t="s">
        <v>6311</v>
      </c>
      <c r="AR809" s="48" t="s">
        <v>6312</v>
      </c>
      <c r="AS809" s="227"/>
      <c r="AT809" s="50" t="s">
        <v>266</v>
      </c>
      <c r="AU809" s="48">
        <v>6</v>
      </c>
      <c r="AV809" s="48">
        <v>120</v>
      </c>
      <c r="AW809" s="48">
        <v>114</v>
      </c>
      <c r="AX809" s="48">
        <v>28</v>
      </c>
      <c r="AY809" s="48" t="s">
        <v>8728</v>
      </c>
      <c r="AZ809" s="48" t="s">
        <v>1563</v>
      </c>
      <c r="BA809" s="48">
        <v>32</v>
      </c>
      <c r="BB809" s="47" t="s">
        <v>2485</v>
      </c>
      <c r="BC809" s="47" t="s">
        <v>8726</v>
      </c>
      <c r="BD809" s="47" t="s">
        <v>8374</v>
      </c>
      <c r="BE809" s="48" t="s">
        <v>2449</v>
      </c>
      <c r="BF809" s="48" t="s">
        <v>272</v>
      </c>
      <c r="BG809" s="48" t="s">
        <v>272</v>
      </c>
      <c r="BH809" s="48" t="s">
        <v>2486</v>
      </c>
      <c r="BI809" s="98">
        <v>6.3999999999999997E-6</v>
      </c>
      <c r="BJ809" s="98">
        <v>6.4000000000000001E-2</v>
      </c>
      <c r="BK809" s="48"/>
      <c r="BL809" s="98">
        <f t="shared" si="253"/>
        <v>25.967312235099531</v>
      </c>
      <c r="BM809" s="47" t="s">
        <v>2487</v>
      </c>
      <c r="BN809" s="48"/>
      <c r="BO809" s="48"/>
      <c r="BP809" s="48"/>
      <c r="BQ809" s="48"/>
      <c r="BR809" s="47" t="s">
        <v>2496</v>
      </c>
      <c r="BS809" s="48"/>
      <c r="BT809" s="48"/>
      <c r="BU809" s="228">
        <v>6.4000000000000003E-3</v>
      </c>
      <c r="BV809" s="48"/>
      <c r="BW809" s="48"/>
      <c r="BX809" s="48"/>
      <c r="BY809" s="48"/>
      <c r="BZ809" s="48"/>
      <c r="CA809" s="48"/>
      <c r="CB809" s="48"/>
      <c r="CC809" s="48"/>
      <c r="CD809" s="48"/>
      <c r="CE809" s="48"/>
      <c r="CF809" s="48"/>
      <c r="CG809" s="48"/>
      <c r="CH809" s="48"/>
      <c r="CI809" s="98"/>
      <c r="CJ809" s="98"/>
      <c r="CK809" s="49">
        <f t="shared" si="248"/>
        <v>405.73925367343014</v>
      </c>
      <c r="CL809" s="229"/>
      <c r="CM809" s="229"/>
      <c r="CN809" s="229"/>
      <c r="CO809" s="47" t="s">
        <v>2488</v>
      </c>
      <c r="CP809" s="47" t="s">
        <v>2489</v>
      </c>
      <c r="CQ809" s="224" t="s">
        <v>272</v>
      </c>
      <c r="CR809" s="224"/>
      <c r="CS809" s="230" t="s">
        <v>539</v>
      </c>
      <c r="CT809" s="230"/>
      <c r="CU809" s="230"/>
      <c r="CV809" s="335">
        <f t="shared" si="252"/>
        <v>3675.9383256723004</v>
      </c>
      <c r="CW809" s="230">
        <f t="shared" si="247"/>
        <v>1</v>
      </c>
      <c r="CX809" s="336"/>
      <c r="CY809" s="230" t="s">
        <v>6351</v>
      </c>
    </row>
    <row r="810" spans="1:103" ht="11.25" customHeight="1" x14ac:dyDescent="0.2">
      <c r="A810" s="72">
        <v>808</v>
      </c>
      <c r="B810" s="224">
        <v>1713</v>
      </c>
      <c r="C810" s="46" t="s">
        <v>7015</v>
      </c>
      <c r="D810" s="46"/>
      <c r="E810" s="114"/>
      <c r="F810" s="114" t="s">
        <v>4978</v>
      </c>
      <c r="G810" s="225">
        <v>78591</v>
      </c>
      <c r="H810" s="47" t="s">
        <v>4979</v>
      </c>
      <c r="I810" s="47" t="s">
        <v>4979</v>
      </c>
      <c r="J810" s="47" t="s">
        <v>4980</v>
      </c>
      <c r="K810" s="47" t="s">
        <v>371</v>
      </c>
      <c r="L810" s="47"/>
      <c r="M810" s="47" t="s">
        <v>2342</v>
      </c>
      <c r="N810" s="47"/>
      <c r="O810" s="47">
        <v>0</v>
      </c>
      <c r="P810" s="53"/>
      <c r="Q810" s="53"/>
      <c r="R810" s="53"/>
      <c r="S810" s="53"/>
      <c r="T810" s="48">
        <v>138.21</v>
      </c>
      <c r="U810" s="98">
        <v>86.824397655741265</v>
      </c>
      <c r="V810" s="98">
        <v>21.778453078648432</v>
      </c>
      <c r="W810" s="98">
        <v>14.791083881682072</v>
      </c>
      <c r="X810" s="98">
        <v>86.824397655741265</v>
      </c>
      <c r="Y810" s="233">
        <v>7</v>
      </c>
      <c r="Z810" s="48">
        <v>2.62</v>
      </c>
      <c r="AA810" s="48">
        <v>1.7</v>
      </c>
      <c r="AB810" s="48">
        <v>1.95</v>
      </c>
      <c r="AC810" s="48">
        <v>0.77210000000000001</v>
      </c>
      <c r="AD810" s="48">
        <v>1.99</v>
      </c>
      <c r="AE810" s="48">
        <v>2.0699999999999998</v>
      </c>
      <c r="AF810" s="48">
        <f t="shared" si="254"/>
        <v>1.7</v>
      </c>
      <c r="AG810" s="49">
        <v>1.83</v>
      </c>
      <c r="AH810" s="98">
        <v>6.6199999999999996E-5</v>
      </c>
      <c r="AI810" s="98">
        <v>6.64E-6</v>
      </c>
      <c r="AJ810" s="483">
        <f t="shared" si="256"/>
        <v>-2.5677083368729519</v>
      </c>
      <c r="AK810" s="483">
        <f>LOG10(AI810*1000/(0.08206*298.15))</f>
        <v>-3.5663982469446345</v>
      </c>
      <c r="AL810" s="483">
        <f t="shared" si="255"/>
        <v>-3.5663982469446345</v>
      </c>
      <c r="AM810" s="483">
        <v>-4.4313500000000001</v>
      </c>
      <c r="AN810" s="226">
        <v>-3.29</v>
      </c>
      <c r="AO810" s="484"/>
      <c r="AP810" s="484"/>
      <c r="AQ810" s="226" t="s">
        <v>6311</v>
      </c>
      <c r="AR810" s="226" t="s">
        <v>6311</v>
      </c>
      <c r="AS810" s="224"/>
      <c r="AT810" s="50" t="s">
        <v>266</v>
      </c>
      <c r="AU810" s="48">
        <v>6</v>
      </c>
      <c r="AV810" s="48">
        <v>120</v>
      </c>
      <c r="AW810" s="48">
        <v>114</v>
      </c>
      <c r="AX810" s="48">
        <v>28</v>
      </c>
      <c r="AY810" s="48" t="s">
        <v>8728</v>
      </c>
      <c r="AZ810" s="48" t="s">
        <v>1563</v>
      </c>
      <c r="BA810" s="48">
        <v>32</v>
      </c>
      <c r="BB810" s="47" t="s">
        <v>2485</v>
      </c>
      <c r="BC810" s="47" t="s">
        <v>8726</v>
      </c>
      <c r="BD810" s="47" t="s">
        <v>8374</v>
      </c>
      <c r="BE810" s="48" t="s">
        <v>2449</v>
      </c>
      <c r="BF810" s="48" t="s">
        <v>272</v>
      </c>
      <c r="BG810" s="48" t="s">
        <v>272</v>
      </c>
      <c r="BH810" s="48" t="s">
        <v>2486</v>
      </c>
      <c r="BI810" s="98">
        <v>6.3999999999999997E-6</v>
      </c>
      <c r="BJ810" s="98">
        <v>6.4000000000000001E-2</v>
      </c>
      <c r="BK810" s="48"/>
      <c r="BL810" s="98">
        <f t="shared" si="253"/>
        <v>0.22791767185459777</v>
      </c>
      <c r="BM810" s="47" t="s">
        <v>2487</v>
      </c>
      <c r="BN810" s="48"/>
      <c r="BO810" s="48"/>
      <c r="BP810" s="48"/>
      <c r="BQ810" s="48"/>
      <c r="BR810" s="47" t="s">
        <v>2496</v>
      </c>
      <c r="BS810" s="48"/>
      <c r="BT810" s="48"/>
      <c r="BU810" s="228"/>
      <c r="BV810" s="48"/>
      <c r="BW810" s="48"/>
      <c r="BX810" s="48"/>
      <c r="BY810" s="48"/>
      <c r="BZ810" s="48"/>
      <c r="CA810" s="48"/>
      <c r="CB810" s="48"/>
      <c r="CC810" s="48"/>
      <c r="CD810" s="48"/>
      <c r="CE810" s="48"/>
      <c r="CF810" s="48"/>
      <c r="CG810" s="48"/>
      <c r="CH810" s="48"/>
      <c r="CI810" s="98"/>
      <c r="CJ810" s="98"/>
      <c r="CK810" s="49">
        <f t="shared" si="248"/>
        <v>3.5612136227280899</v>
      </c>
      <c r="CL810" s="229"/>
      <c r="CM810" s="229"/>
      <c r="CN810" s="229"/>
      <c r="CO810" s="47" t="s">
        <v>2488</v>
      </c>
      <c r="CP810" s="47" t="s">
        <v>2489</v>
      </c>
      <c r="CQ810" s="224">
        <v>0.1856577770362301</v>
      </c>
      <c r="CR810" s="224">
        <f>10^(CJ810-CQ810)</f>
        <v>0.65214207796717527</v>
      </c>
      <c r="CS810" s="230" t="s">
        <v>539</v>
      </c>
      <c r="CT810" s="230"/>
      <c r="CU810" s="230"/>
      <c r="CV810" s="335">
        <f t="shared" si="252"/>
        <v>1356.6312133709573</v>
      </c>
      <c r="CW810" s="230">
        <f t="shared" si="247"/>
        <v>1</v>
      </c>
      <c r="CX810" s="336"/>
      <c r="CY810" s="230" t="s">
        <v>6351</v>
      </c>
    </row>
    <row r="811" spans="1:103" ht="11.25" customHeight="1" x14ac:dyDescent="0.2">
      <c r="A811" s="72">
        <v>809</v>
      </c>
      <c r="B811" s="224">
        <v>1494</v>
      </c>
      <c r="C811" s="46" t="s">
        <v>4580</v>
      </c>
      <c r="D811" s="46"/>
      <c r="E811" s="114"/>
      <c r="F811" s="114" t="s">
        <v>4581</v>
      </c>
      <c r="G811" s="225">
        <v>79061</v>
      </c>
      <c r="H811" s="47" t="s">
        <v>4582</v>
      </c>
      <c r="I811" s="47" t="s">
        <v>4582</v>
      </c>
      <c r="J811" s="47" t="s">
        <v>4583</v>
      </c>
      <c r="K811" s="47" t="s">
        <v>3832</v>
      </c>
      <c r="L811" s="47"/>
      <c r="M811" s="47" t="s">
        <v>4294</v>
      </c>
      <c r="N811" s="47" t="s">
        <v>6088</v>
      </c>
      <c r="O811" s="47" t="s">
        <v>498</v>
      </c>
      <c r="P811" s="53"/>
      <c r="Q811" s="53" t="s">
        <v>6176</v>
      </c>
      <c r="R811" s="53" t="s">
        <v>6175</v>
      </c>
      <c r="S811" s="53" t="s">
        <v>6173</v>
      </c>
      <c r="T811" s="48">
        <v>71.08</v>
      </c>
      <c r="U811" s="98">
        <v>5486.7754642656164</v>
      </c>
      <c r="V811" s="98">
        <v>7090.6021384355654</v>
      </c>
      <c r="W811" s="98">
        <v>512.86138399136485</v>
      </c>
      <c r="X811" s="98">
        <v>5486.7754642656164</v>
      </c>
      <c r="Y811" s="233">
        <v>7.01</v>
      </c>
      <c r="Z811" s="48">
        <v>-0.81</v>
      </c>
      <c r="AA811" s="48">
        <v>-0.67</v>
      </c>
      <c r="AB811" s="48">
        <v>-0.64</v>
      </c>
      <c r="AC811" s="48">
        <v>0.87749999999999995</v>
      </c>
      <c r="AD811" s="48">
        <v>-0.67</v>
      </c>
      <c r="AE811" s="48">
        <v>-0.78</v>
      </c>
      <c r="AF811" s="48">
        <f t="shared" si="254"/>
        <v>-0.67</v>
      </c>
      <c r="AG811" s="49">
        <v>-0.25</v>
      </c>
      <c r="AH811" s="98">
        <v>5.8999999999999999E-9</v>
      </c>
      <c r="AI811" s="98">
        <v>1.6999999999999999E-9</v>
      </c>
      <c r="AJ811" s="483">
        <f t="shared" si="256"/>
        <v>-6.6177143146705077</v>
      </c>
      <c r="AK811" s="483">
        <f>LOG10(AI811*1000/(0.08206*298.15))</f>
        <v>-7.1581174049343783</v>
      </c>
      <c r="AL811" s="483">
        <f t="shared" si="255"/>
        <v>-7.1581174049343783</v>
      </c>
      <c r="AM811" s="483">
        <v>-7.9461899999999996</v>
      </c>
      <c r="AN811" s="226">
        <v>-7.82</v>
      </c>
      <c r="AO811" s="484">
        <v>15.35</v>
      </c>
      <c r="AP811" s="484">
        <v>-0.83</v>
      </c>
      <c r="AQ811" s="48" t="s">
        <v>6311</v>
      </c>
      <c r="AR811" s="48" t="s">
        <v>6311</v>
      </c>
      <c r="AS811" s="227"/>
      <c r="AT811" s="50" t="s">
        <v>266</v>
      </c>
      <c r="AU811" s="48">
        <v>6</v>
      </c>
      <c r="AV811" s="48">
        <v>120</v>
      </c>
      <c r="AW811" s="48">
        <v>114</v>
      </c>
      <c r="AX811" s="48">
        <v>28</v>
      </c>
      <c r="AY811" s="48" t="s">
        <v>8728</v>
      </c>
      <c r="AZ811" s="48" t="s">
        <v>1563</v>
      </c>
      <c r="BA811" s="48">
        <v>32</v>
      </c>
      <c r="BB811" s="47" t="s">
        <v>2485</v>
      </c>
      <c r="BC811" s="47" t="s">
        <v>8726</v>
      </c>
      <c r="BD811" s="47" t="s">
        <v>8374</v>
      </c>
      <c r="BE811" s="48" t="s">
        <v>2449</v>
      </c>
      <c r="BF811" s="48" t="s">
        <v>272</v>
      </c>
      <c r="BG811" s="48" t="s">
        <v>272</v>
      </c>
      <c r="BH811" s="48" t="s">
        <v>2486</v>
      </c>
      <c r="BI811" s="98">
        <v>6.3999999999999997E-6</v>
      </c>
      <c r="BJ811" s="98">
        <v>6.4000000000000001E-2</v>
      </c>
      <c r="BK811" s="48"/>
      <c r="BL811" s="98">
        <f t="shared" si="253"/>
        <v>274.32222838559966</v>
      </c>
      <c r="BM811" s="47" t="s">
        <v>2487</v>
      </c>
      <c r="BN811" s="48"/>
      <c r="BO811" s="48"/>
      <c r="BP811" s="48"/>
      <c r="BQ811" s="48"/>
      <c r="BR811" s="47" t="s">
        <v>2496</v>
      </c>
      <c r="BS811" s="48"/>
      <c r="BT811" s="48"/>
      <c r="BU811" s="228"/>
      <c r="BV811" s="48"/>
      <c r="BW811" s="48"/>
      <c r="BX811" s="48"/>
      <c r="BY811" s="48"/>
      <c r="BZ811" s="48"/>
      <c r="CA811" s="48"/>
      <c r="CB811" s="48"/>
      <c r="CC811" s="48"/>
      <c r="CD811" s="48"/>
      <c r="CE811" s="48"/>
      <c r="CF811" s="48"/>
      <c r="CG811" s="48"/>
      <c r="CH811" s="48"/>
      <c r="CI811" s="98"/>
      <c r="CJ811" s="98"/>
      <c r="CK811" s="49">
        <f t="shared" si="248"/>
        <v>4286.284818524995</v>
      </c>
      <c r="CL811" s="229"/>
      <c r="CM811" s="229">
        <v>0.14825258086673609</v>
      </c>
      <c r="CN811" s="229">
        <f>BJ811/(10^CM811)</f>
        <v>4.5491200000000002E-2</v>
      </c>
      <c r="CO811" s="47" t="s">
        <v>2488</v>
      </c>
      <c r="CP811" s="47" t="s">
        <v>2489</v>
      </c>
      <c r="CQ811" s="224">
        <v>0.23341592602957781</v>
      </c>
      <c r="CR811" s="224">
        <f>10^(CJ811-CQ811)</f>
        <v>0.5842302958116472</v>
      </c>
      <c r="CS811" s="230" t="s">
        <v>539</v>
      </c>
      <c r="CT811" s="230"/>
      <c r="CU811" s="230"/>
      <c r="CV811" s="335">
        <f t="shared" si="252"/>
        <v>85730.86662915026</v>
      </c>
      <c r="CW811" s="230">
        <f t="shared" si="247"/>
        <v>1</v>
      </c>
      <c r="CX811" s="336"/>
      <c r="CY811" s="230" t="s">
        <v>6351</v>
      </c>
    </row>
    <row r="812" spans="1:103" ht="11.25" customHeight="1" x14ac:dyDescent="0.2">
      <c r="A812" s="72">
        <v>810</v>
      </c>
      <c r="B812" s="224">
        <v>1766</v>
      </c>
      <c r="C812" s="46" t="s">
        <v>7016</v>
      </c>
      <c r="D812" s="46"/>
      <c r="E812" s="114"/>
      <c r="F812" s="114" t="s">
        <v>5089</v>
      </c>
      <c r="G812" s="225">
        <v>79163</v>
      </c>
      <c r="H812" s="47" t="s">
        <v>5090</v>
      </c>
      <c r="I812" s="47" t="s">
        <v>5090</v>
      </c>
      <c r="J812" s="47" t="s">
        <v>5091</v>
      </c>
      <c r="K812" s="47" t="s">
        <v>471</v>
      </c>
      <c r="L812" s="47"/>
      <c r="M812" s="47"/>
      <c r="N812" s="47"/>
      <c r="O812" s="47"/>
      <c r="P812" s="53"/>
      <c r="Q812" s="53"/>
      <c r="R812" s="53"/>
      <c r="S812" s="53"/>
      <c r="T812" s="48">
        <v>73.09</v>
      </c>
      <c r="U812" s="98">
        <v>13681.762210972773</v>
      </c>
      <c r="V812" s="98">
        <v>13681.762210972773</v>
      </c>
      <c r="W812" s="98">
        <v>3890.4514499428064</v>
      </c>
      <c r="X812" s="98">
        <v>13681.762210972773</v>
      </c>
      <c r="Y812" s="233">
        <v>7.19</v>
      </c>
      <c r="Z812" s="48">
        <v>-0.7</v>
      </c>
      <c r="AA812" s="48">
        <v>-1.05</v>
      </c>
      <c r="AB812" s="48">
        <v>-0.74</v>
      </c>
      <c r="AC812" s="48">
        <v>0.84960000000000002</v>
      </c>
      <c r="AD812" s="48">
        <v>-0.82</v>
      </c>
      <c r="AE812" s="48">
        <v>-1.05</v>
      </c>
      <c r="AF812" s="48">
        <f t="shared" si="254"/>
        <v>-1.05</v>
      </c>
      <c r="AG812" s="49">
        <v>-0.14000000000000001</v>
      </c>
      <c r="AH812" s="98">
        <v>2.4599999999999999E-8</v>
      </c>
      <c r="AI812" s="98">
        <v>4.2300000000000002E-8</v>
      </c>
      <c r="AJ812" s="483">
        <f t="shared" si="256"/>
        <v>-5.9976312192092731</v>
      </c>
      <c r="AK812" s="483">
        <f>LOG10(AI812*1000/(0.08206*298.15))</f>
        <v>-5.7622259589376092</v>
      </c>
      <c r="AL812" s="483">
        <f t="shared" si="255"/>
        <v>-5.7622259589376092</v>
      </c>
      <c r="AM812" s="483">
        <v>-6.3813999999999993</v>
      </c>
      <c r="AN812" s="226">
        <v>-7.09</v>
      </c>
      <c r="AO812" s="484">
        <v>16.61</v>
      </c>
      <c r="AP812" s="484">
        <v>-0.44</v>
      </c>
      <c r="AQ812" s="226" t="s">
        <v>6311</v>
      </c>
      <c r="AR812" s="226" t="s">
        <v>6311</v>
      </c>
      <c r="AS812" s="224"/>
      <c r="AT812" s="50" t="s">
        <v>266</v>
      </c>
      <c r="AU812" s="48">
        <v>6</v>
      </c>
      <c r="AV812" s="48">
        <v>120</v>
      </c>
      <c r="AW812" s="48">
        <v>114</v>
      </c>
      <c r="AX812" s="48">
        <v>28</v>
      </c>
      <c r="AY812" s="48" t="s">
        <v>8728</v>
      </c>
      <c r="AZ812" s="48" t="s">
        <v>1563</v>
      </c>
      <c r="BA812" s="48">
        <v>32</v>
      </c>
      <c r="BB812" s="47" t="s">
        <v>2485</v>
      </c>
      <c r="BC812" s="47" t="s">
        <v>8726</v>
      </c>
      <c r="BD812" s="47" t="s">
        <v>8374</v>
      </c>
      <c r="BE812" s="48" t="s">
        <v>2449</v>
      </c>
      <c r="BF812" s="48" t="s">
        <v>272</v>
      </c>
      <c r="BG812" s="48" t="s">
        <v>272</v>
      </c>
      <c r="BH812" s="48" t="s">
        <v>2486</v>
      </c>
      <c r="BI812" s="98">
        <v>6.3999999999999997E-6</v>
      </c>
      <c r="BJ812" s="98">
        <v>6.4000000000000001E-2</v>
      </c>
      <c r="BK812" s="48"/>
      <c r="BL812" s="98">
        <f t="shared" si="253"/>
        <v>218.50933735369813</v>
      </c>
      <c r="BM812" s="47" t="s">
        <v>2487</v>
      </c>
      <c r="BN812" s="48"/>
      <c r="BO812" s="48"/>
      <c r="BP812" s="48"/>
      <c r="BQ812" s="48"/>
      <c r="BR812" s="47" t="s">
        <v>2496</v>
      </c>
      <c r="BS812" s="48"/>
      <c r="BT812" s="48"/>
      <c r="BU812" s="228"/>
      <c r="BV812" s="48"/>
      <c r="BW812" s="48"/>
      <c r="BX812" s="48"/>
      <c r="BY812" s="48"/>
      <c r="BZ812" s="48"/>
      <c r="CA812" s="48"/>
      <c r="CB812" s="48"/>
      <c r="CC812" s="48"/>
      <c r="CD812" s="48"/>
      <c r="CE812" s="48"/>
      <c r="CF812" s="48"/>
      <c r="CG812" s="48"/>
      <c r="CH812" s="48"/>
      <c r="CI812" s="98"/>
      <c r="CJ812" s="98"/>
      <c r="CK812" s="49">
        <f t="shared" si="248"/>
        <v>3414.2083961515332</v>
      </c>
      <c r="CL812" s="229"/>
      <c r="CM812" s="229"/>
      <c r="CN812" s="229"/>
      <c r="CO812" s="47" t="s">
        <v>2488</v>
      </c>
      <c r="CP812" s="47" t="s">
        <v>2489</v>
      </c>
      <c r="CQ812" s="224" t="s">
        <v>272</v>
      </c>
      <c r="CR812" s="224"/>
      <c r="CS812" s="230" t="s">
        <v>539</v>
      </c>
      <c r="CT812" s="230"/>
      <c r="CU812" s="230"/>
      <c r="CV812" s="335">
        <f t="shared" si="252"/>
        <v>213777.53454644958</v>
      </c>
      <c r="CW812" s="230">
        <f t="shared" si="247"/>
        <v>1</v>
      </c>
      <c r="CX812" s="336"/>
      <c r="CY812" s="230" t="s">
        <v>6351</v>
      </c>
    </row>
    <row r="813" spans="1:103" ht="11.25" customHeight="1" x14ac:dyDescent="0.2">
      <c r="A813" s="72">
        <v>811</v>
      </c>
      <c r="B813" s="224">
        <v>1728</v>
      </c>
      <c r="C813" s="46" t="s">
        <v>7017</v>
      </c>
      <c r="D813" s="46"/>
      <c r="E813" s="114"/>
      <c r="F813" s="114" t="s">
        <v>5003</v>
      </c>
      <c r="G813" s="225">
        <v>79390</v>
      </c>
      <c r="H813" s="47" t="s">
        <v>5004</v>
      </c>
      <c r="I813" s="47" t="s">
        <v>5004</v>
      </c>
      <c r="J813" s="47" t="s">
        <v>5005</v>
      </c>
      <c r="K813" s="47" t="s">
        <v>3832</v>
      </c>
      <c r="L813" s="47"/>
      <c r="M813" s="47"/>
      <c r="N813" s="47"/>
      <c r="O813" s="47"/>
      <c r="P813" s="53"/>
      <c r="Q813" s="53"/>
      <c r="R813" s="53"/>
      <c r="S813" s="53"/>
      <c r="T813" s="48">
        <v>85.1</v>
      </c>
      <c r="U813" s="98"/>
      <c r="V813" s="98">
        <v>11750.881316098708</v>
      </c>
      <c r="W813" s="98">
        <v>316.22776601683796</v>
      </c>
      <c r="X813" s="98">
        <f>IF(W813=0,V813,W813)</f>
        <v>316.22776601683796</v>
      </c>
      <c r="Y813" s="233">
        <v>7.01</v>
      </c>
      <c r="Z813" s="48">
        <v>-0.26</v>
      </c>
      <c r="AA813" s="48">
        <v>-1.1100000000000001</v>
      </c>
      <c r="AB813" s="48">
        <v>-0.06</v>
      </c>
      <c r="AC813" s="48">
        <v>0.75749999999999995</v>
      </c>
      <c r="AD813" s="48">
        <v>-0.12</v>
      </c>
      <c r="AE813" s="48">
        <v>-0.23</v>
      </c>
      <c r="AF813" s="48">
        <f t="shared" si="254"/>
        <v>-1.1100000000000001</v>
      </c>
      <c r="AG813" s="49">
        <v>0.03</v>
      </c>
      <c r="AH813" s="98">
        <v>9.2400000000000004E-9</v>
      </c>
      <c r="AI813" s="98"/>
      <c r="AJ813" s="483">
        <f t="shared" si="256"/>
        <v>-6.422894355092545</v>
      </c>
      <c r="AK813" s="483"/>
      <c r="AL813" s="483">
        <f t="shared" si="255"/>
        <v>-6.422894355092545</v>
      </c>
      <c r="AM813" s="483">
        <v>-7.9655600000000009</v>
      </c>
      <c r="AN813" s="226">
        <v>-7.82</v>
      </c>
      <c r="AO813" s="484">
        <v>15.46</v>
      </c>
      <c r="AP813" s="484">
        <v>-0.8</v>
      </c>
      <c r="AQ813" s="226" t="s">
        <v>6311</v>
      </c>
      <c r="AR813" s="226" t="s">
        <v>6311</v>
      </c>
      <c r="AS813" s="224"/>
      <c r="AT813" s="50" t="s">
        <v>266</v>
      </c>
      <c r="AU813" s="48">
        <v>6</v>
      </c>
      <c r="AV813" s="48">
        <v>120</v>
      </c>
      <c r="AW813" s="48">
        <v>114</v>
      </c>
      <c r="AX813" s="48">
        <v>28</v>
      </c>
      <c r="AY813" s="48" t="s">
        <v>8728</v>
      </c>
      <c r="AZ813" s="48" t="s">
        <v>1563</v>
      </c>
      <c r="BA813" s="48">
        <v>32</v>
      </c>
      <c r="BB813" s="47" t="s">
        <v>2485</v>
      </c>
      <c r="BC813" s="47" t="s">
        <v>8726</v>
      </c>
      <c r="BD813" s="47" t="s">
        <v>8374</v>
      </c>
      <c r="BE813" s="48" t="s">
        <v>2449</v>
      </c>
      <c r="BF813" s="48" t="s">
        <v>272</v>
      </c>
      <c r="BG813" s="48" t="s">
        <v>272</v>
      </c>
      <c r="BH813" s="48" t="s">
        <v>2486</v>
      </c>
      <c r="BI813" s="98">
        <v>6.3999999999999997E-6</v>
      </c>
      <c r="BJ813" s="98">
        <v>6.4000000000000001E-2</v>
      </c>
      <c r="BK813" s="48"/>
      <c r="BL813" s="98">
        <f t="shared" si="253"/>
        <v>87.964208646481865</v>
      </c>
      <c r="BM813" s="47" t="s">
        <v>2487</v>
      </c>
      <c r="BN813" s="48"/>
      <c r="BO813" s="48"/>
      <c r="BP813" s="48"/>
      <c r="BQ813" s="48"/>
      <c r="BR813" s="47" t="s">
        <v>2496</v>
      </c>
      <c r="BS813" s="48"/>
      <c r="BT813" s="48"/>
      <c r="BU813" s="228"/>
      <c r="BV813" s="48"/>
      <c r="BW813" s="48"/>
      <c r="BX813" s="48"/>
      <c r="BY813" s="48"/>
      <c r="BZ813" s="48"/>
      <c r="CA813" s="48"/>
      <c r="CB813" s="48"/>
      <c r="CC813" s="48"/>
      <c r="CD813" s="48"/>
      <c r="CE813" s="48"/>
      <c r="CF813" s="48"/>
      <c r="CG813" s="48"/>
      <c r="CH813" s="48"/>
      <c r="CI813" s="98"/>
      <c r="CJ813" s="98"/>
      <c r="CK813" s="49">
        <f t="shared" si="248"/>
        <v>1374.440760101279</v>
      </c>
      <c r="CL813" s="229"/>
      <c r="CM813" s="229"/>
      <c r="CN813" s="229"/>
      <c r="CO813" s="47" t="s">
        <v>2488</v>
      </c>
      <c r="CP813" s="47" t="s">
        <v>2489</v>
      </c>
      <c r="CQ813" s="224" t="s">
        <v>272</v>
      </c>
      <c r="CR813" s="224"/>
      <c r="CS813" s="230" t="s">
        <v>539</v>
      </c>
      <c r="CT813" s="230"/>
      <c r="CU813" s="230"/>
      <c r="CV813" s="335">
        <f t="shared" si="252"/>
        <v>4941.0588440130932</v>
      </c>
      <c r="CW813" s="230">
        <f t="shared" si="247"/>
        <v>1</v>
      </c>
      <c r="CX813" s="336"/>
      <c r="CY813" s="230" t="s">
        <v>6351</v>
      </c>
    </row>
    <row r="814" spans="1:103" ht="11.25" customHeight="1" x14ac:dyDescent="0.2">
      <c r="A814" s="72">
        <v>812</v>
      </c>
      <c r="B814" s="224">
        <v>1595</v>
      </c>
      <c r="C814" s="46" t="s">
        <v>7018</v>
      </c>
      <c r="D814" s="46"/>
      <c r="E814" s="114"/>
      <c r="F814" s="114" t="s">
        <v>4756</v>
      </c>
      <c r="G814" s="225">
        <v>79436</v>
      </c>
      <c r="H814" s="47" t="s">
        <v>4757</v>
      </c>
      <c r="I814" s="47" t="s">
        <v>7999</v>
      </c>
      <c r="J814" s="47" t="s">
        <v>4758</v>
      </c>
      <c r="K814" s="47" t="s">
        <v>450</v>
      </c>
      <c r="L814" s="47"/>
      <c r="M814" s="47"/>
      <c r="N814" s="47"/>
      <c r="O814" s="47"/>
      <c r="P814" s="53"/>
      <c r="Q814" s="53"/>
      <c r="R814" s="53"/>
      <c r="S814" s="53"/>
      <c r="T814" s="48">
        <v>128.94</v>
      </c>
      <c r="U814" s="98">
        <v>7755.5452148286022</v>
      </c>
      <c r="V814" s="98">
        <v>292.84938731192801</v>
      </c>
      <c r="W814" s="98">
        <v>489.77881936844614</v>
      </c>
      <c r="X814" s="98">
        <v>7755.5452148286022</v>
      </c>
      <c r="Y814" s="233">
        <v>0.91</v>
      </c>
      <c r="Z814" s="48">
        <v>0.52</v>
      </c>
      <c r="AA814" s="48">
        <v>0.92</v>
      </c>
      <c r="AB814" s="48">
        <v>1.02</v>
      </c>
      <c r="AC814" s="48">
        <v>0.83409999999999995</v>
      </c>
      <c r="AD814" s="48">
        <v>0.89</v>
      </c>
      <c r="AE814" s="48">
        <v>0.54</v>
      </c>
      <c r="AF814" s="48">
        <f t="shared" si="254"/>
        <v>0.92</v>
      </c>
      <c r="AG814" s="49">
        <v>0.76</v>
      </c>
      <c r="AH814" s="98">
        <v>6.8E-8</v>
      </c>
      <c r="AI814" s="98">
        <v>8.3799999999999996E-9</v>
      </c>
      <c r="AJ814" s="483">
        <f t="shared" si="256"/>
        <v>-5.5560574136064158</v>
      </c>
      <c r="AK814" s="483">
        <f>LOG10(AI814*1000/(0.08206*298.15))</f>
        <v>-6.4653223076823751</v>
      </c>
      <c r="AL814" s="483">
        <f t="shared" si="255"/>
        <v>-6.4653223076823751</v>
      </c>
      <c r="AM814" s="483">
        <v>-7.1997700000000009</v>
      </c>
      <c r="AN814" s="226">
        <v>-7.1</v>
      </c>
      <c r="AO814" s="484">
        <v>1.37</v>
      </c>
      <c r="AP814" s="484"/>
      <c r="AQ814" s="48" t="s">
        <v>6311</v>
      </c>
      <c r="AR814" s="48" t="s">
        <v>6311</v>
      </c>
      <c r="AS814" s="227"/>
      <c r="AT814" s="50" t="s">
        <v>266</v>
      </c>
      <c r="AU814" s="48">
        <v>6</v>
      </c>
      <c r="AV814" s="48">
        <v>120</v>
      </c>
      <c r="AW814" s="48">
        <v>114</v>
      </c>
      <c r="AX814" s="48">
        <v>28</v>
      </c>
      <c r="AY814" s="48" t="s">
        <v>8728</v>
      </c>
      <c r="AZ814" s="48" t="s">
        <v>1563</v>
      </c>
      <c r="BA814" s="48">
        <v>32</v>
      </c>
      <c r="BB814" s="47" t="s">
        <v>2485</v>
      </c>
      <c r="BC814" s="47" t="s">
        <v>8726</v>
      </c>
      <c r="BD814" s="47" t="s">
        <v>8374</v>
      </c>
      <c r="BE814" s="48" t="s">
        <v>2449</v>
      </c>
      <c r="BF814" s="48" t="s">
        <v>272</v>
      </c>
      <c r="BG814" s="48" t="s">
        <v>272</v>
      </c>
      <c r="BH814" s="48" t="s">
        <v>2486</v>
      </c>
      <c r="BI814" s="98">
        <v>6.3999999999999997E-6</v>
      </c>
      <c r="BJ814" s="98">
        <v>6.4000000000000001E-2</v>
      </c>
      <c r="BK814" s="48"/>
      <c r="BL814" s="98">
        <f t="shared" si="253"/>
        <v>17.530245574436808</v>
      </c>
      <c r="BM814" s="47" t="s">
        <v>2487</v>
      </c>
      <c r="BN814" s="48"/>
      <c r="BO814" s="48"/>
      <c r="BP814" s="48"/>
      <c r="BQ814" s="48"/>
      <c r="BR814" s="47" t="s">
        <v>2496</v>
      </c>
      <c r="BS814" s="48"/>
      <c r="BT814" s="48"/>
      <c r="BU814" s="228"/>
      <c r="BV814" s="48"/>
      <c r="BW814" s="48"/>
      <c r="BX814" s="48"/>
      <c r="BY814" s="48"/>
      <c r="BZ814" s="48"/>
      <c r="CA814" s="48"/>
      <c r="CB814" s="48"/>
      <c r="CC814" s="48"/>
      <c r="CD814" s="48"/>
      <c r="CE814" s="48"/>
      <c r="CF814" s="48"/>
      <c r="CG814" s="48"/>
      <c r="CH814" s="48"/>
      <c r="CI814" s="98"/>
      <c r="CJ814" s="98"/>
      <c r="CK814" s="49">
        <f t="shared" si="248"/>
        <v>273.91008710057514</v>
      </c>
      <c r="CL814" s="229"/>
      <c r="CM814" s="229"/>
      <c r="CN814" s="229"/>
      <c r="CO814" s="47" t="s">
        <v>2488</v>
      </c>
      <c r="CP814" s="47" t="s">
        <v>2489</v>
      </c>
      <c r="CQ814" s="224" t="s">
        <v>272</v>
      </c>
      <c r="CR814" s="224"/>
      <c r="CS814" s="230" t="s">
        <v>539</v>
      </c>
      <c r="CT814" s="230"/>
      <c r="CU814" s="230"/>
      <c r="CV814" s="335">
        <f t="shared" si="252"/>
        <v>121180.39398169691</v>
      </c>
      <c r="CW814" s="230">
        <f t="shared" si="247"/>
        <v>1</v>
      </c>
      <c r="CX814" s="336"/>
      <c r="CY814" s="230" t="s">
        <v>5921</v>
      </c>
    </row>
    <row r="815" spans="1:103" ht="11.25" customHeight="1" x14ac:dyDescent="0.2">
      <c r="A815" s="72">
        <v>813</v>
      </c>
      <c r="B815" s="224">
        <v>1624</v>
      </c>
      <c r="C815" s="46" t="s">
        <v>7019</v>
      </c>
      <c r="D815" s="46"/>
      <c r="E815" s="114"/>
      <c r="F815" s="114" t="s">
        <v>4812</v>
      </c>
      <c r="G815" s="225">
        <v>79447</v>
      </c>
      <c r="H815" s="47" t="s">
        <v>4813</v>
      </c>
      <c r="I815" s="47" t="s">
        <v>8000</v>
      </c>
      <c r="J815" s="47" t="s">
        <v>4814</v>
      </c>
      <c r="K815" s="47" t="s">
        <v>4815</v>
      </c>
      <c r="L815" s="47"/>
      <c r="M815" s="47"/>
      <c r="N815" s="47"/>
      <c r="O815" s="47"/>
      <c r="P815" s="53"/>
      <c r="Q815" s="53"/>
      <c r="R815" s="53"/>
      <c r="S815" s="53"/>
      <c r="T815" s="48">
        <v>107.54</v>
      </c>
      <c r="U815" s="98"/>
      <c r="V815" s="98">
        <v>4263.5298493583778</v>
      </c>
      <c r="W815" s="98">
        <v>616.59500186148216</v>
      </c>
      <c r="X815" s="98">
        <f>IF(W815=0,V815,W815)</f>
        <v>616.59500186148216</v>
      </c>
      <c r="Y815" s="233">
        <v>7</v>
      </c>
      <c r="Z815" s="48">
        <v>-0.72</v>
      </c>
      <c r="AA815" s="48"/>
      <c r="AB815" s="48">
        <v>0.86</v>
      </c>
      <c r="AC815" s="48">
        <v>0.15310000000000001</v>
      </c>
      <c r="AD815" s="48">
        <v>0.37</v>
      </c>
      <c r="AE815" s="48">
        <v>0.24</v>
      </c>
      <c r="AF815" s="48">
        <f t="shared" si="254"/>
        <v>0.37</v>
      </c>
      <c r="AG815" s="49">
        <v>0.43</v>
      </c>
      <c r="AH815" s="98">
        <v>7.23E-7</v>
      </c>
      <c r="AI815" s="98"/>
      <c r="AJ815" s="483">
        <f t="shared" si="256"/>
        <v>-4.5294280290181206</v>
      </c>
      <c r="AK815" s="483"/>
      <c r="AL815" s="483">
        <f t="shared" si="255"/>
        <v>-4.5294280290181206</v>
      </c>
      <c r="AM815" s="483">
        <v>-6.1892700000000005</v>
      </c>
      <c r="AN815" s="226">
        <v>-5.36</v>
      </c>
      <c r="AO815" s="484"/>
      <c r="AP815" s="484">
        <v>-1.85</v>
      </c>
      <c r="AQ815" s="226" t="s">
        <v>6311</v>
      </c>
      <c r="AR815" s="226" t="s">
        <v>6311</v>
      </c>
      <c r="AS815" s="224"/>
      <c r="AT815" s="50" t="s">
        <v>266</v>
      </c>
      <c r="AU815" s="48">
        <v>6</v>
      </c>
      <c r="AV815" s="48">
        <v>120</v>
      </c>
      <c r="AW815" s="48">
        <v>114</v>
      </c>
      <c r="AX815" s="48">
        <v>28</v>
      </c>
      <c r="AY815" s="48" t="s">
        <v>8728</v>
      </c>
      <c r="AZ815" s="48" t="s">
        <v>1563</v>
      </c>
      <c r="BA815" s="48">
        <v>32</v>
      </c>
      <c r="BB815" s="47" t="s">
        <v>2485</v>
      </c>
      <c r="BC815" s="47" t="s">
        <v>8726</v>
      </c>
      <c r="BD815" s="47" t="s">
        <v>8374</v>
      </c>
      <c r="BE815" s="48" t="s">
        <v>2449</v>
      </c>
      <c r="BF815" s="48" t="s">
        <v>272</v>
      </c>
      <c r="BG815" s="48" t="s">
        <v>272</v>
      </c>
      <c r="BH815" s="48" t="s">
        <v>2486</v>
      </c>
      <c r="BI815" s="98">
        <v>6.3999999999999997E-6</v>
      </c>
      <c r="BJ815" s="98">
        <v>6.4000000000000001E-2</v>
      </c>
      <c r="BK815" s="48"/>
      <c r="BL815" s="98">
        <f t="shared" si="253"/>
        <v>227.73616342513691</v>
      </c>
      <c r="BM815" s="47" t="s">
        <v>2487</v>
      </c>
      <c r="BN815" s="48"/>
      <c r="BO815" s="48"/>
      <c r="BP815" s="48"/>
      <c r="BQ815" s="48"/>
      <c r="BR815" s="47" t="s">
        <v>2496</v>
      </c>
      <c r="BS815" s="48"/>
      <c r="BT815" s="48"/>
      <c r="BU815" s="228"/>
      <c r="BV815" s="48"/>
      <c r="BW815" s="48"/>
      <c r="BX815" s="48"/>
      <c r="BY815" s="48"/>
      <c r="BZ815" s="48"/>
      <c r="CA815" s="48"/>
      <c r="CB815" s="48"/>
      <c r="CC815" s="48"/>
      <c r="CD815" s="48"/>
      <c r="CE815" s="48"/>
      <c r="CF815" s="48"/>
      <c r="CG815" s="48"/>
      <c r="CH815" s="48"/>
      <c r="CI815" s="98"/>
      <c r="CJ815" s="98"/>
      <c r="CK815" s="49">
        <f t="shared" si="248"/>
        <v>3558.3775535177642</v>
      </c>
      <c r="CL815" s="229"/>
      <c r="CM815" s="229"/>
      <c r="CN815" s="229"/>
      <c r="CO815" s="47" t="s">
        <v>2488</v>
      </c>
      <c r="CP815" s="47" t="s">
        <v>2489</v>
      </c>
      <c r="CQ815" s="224" t="s">
        <v>272</v>
      </c>
      <c r="CR815" s="224"/>
      <c r="CS815" s="230" t="s">
        <v>539</v>
      </c>
      <c r="CT815" s="230"/>
      <c r="CU815" s="230"/>
      <c r="CV815" s="335">
        <f t="shared" si="252"/>
        <v>9634.2969040856588</v>
      </c>
      <c r="CW815" s="230">
        <f t="shared" si="247"/>
        <v>1</v>
      </c>
      <c r="CX815" s="336"/>
      <c r="CY815" s="230" t="s">
        <v>6351</v>
      </c>
    </row>
    <row r="816" spans="1:103" ht="11.25" customHeight="1" x14ac:dyDescent="0.2">
      <c r="A816" s="72">
        <v>814</v>
      </c>
      <c r="B816" s="224">
        <v>420</v>
      </c>
      <c r="C816" s="46" t="s">
        <v>7020</v>
      </c>
      <c r="D816" s="46"/>
      <c r="E816" s="114"/>
      <c r="F816" s="114" t="s">
        <v>558</v>
      </c>
      <c r="G816" s="225">
        <v>79572</v>
      </c>
      <c r="H816" s="47" t="s">
        <v>559</v>
      </c>
      <c r="I816" s="47" t="s">
        <v>8001</v>
      </c>
      <c r="J816" s="47" t="s">
        <v>560</v>
      </c>
      <c r="K816" s="47" t="s">
        <v>561</v>
      </c>
      <c r="L816" s="51" t="s">
        <v>279</v>
      </c>
      <c r="M816" s="47" t="s">
        <v>562</v>
      </c>
      <c r="N816" s="47"/>
      <c r="O816" s="47" t="s">
        <v>281</v>
      </c>
      <c r="P816" s="53"/>
      <c r="Q816" s="53"/>
      <c r="R816" s="53"/>
      <c r="S816" s="53"/>
      <c r="T816" s="48">
        <v>460.43</v>
      </c>
      <c r="U816" s="98">
        <v>0.67979931802879912</v>
      </c>
      <c r="V816" s="98">
        <v>3.0384640444801598</v>
      </c>
      <c r="W816" s="98">
        <v>7.2443596007498936</v>
      </c>
      <c r="X816" s="98">
        <v>0.67979931802879912</v>
      </c>
      <c r="Y816" s="233">
        <v>5.66</v>
      </c>
      <c r="Z816" s="48">
        <v>-2.87</v>
      </c>
      <c r="AA816" s="48">
        <v>-0.9</v>
      </c>
      <c r="AB816" s="48">
        <v>-1.27</v>
      </c>
      <c r="AC816" s="48">
        <v>0.77769999999999995</v>
      </c>
      <c r="AD816" s="48">
        <v>-1.32</v>
      </c>
      <c r="AE816" s="48">
        <v>-1.5</v>
      </c>
      <c r="AF816" s="48">
        <f t="shared" si="254"/>
        <v>-0.9</v>
      </c>
      <c r="AG816" s="49">
        <v>-2.12</v>
      </c>
      <c r="AH816" s="98">
        <v>1.7E-25</v>
      </c>
      <c r="AI816" s="98"/>
      <c r="AJ816" s="483">
        <f t="shared" si="256"/>
        <v>-23.158117404934377</v>
      </c>
      <c r="AK816" s="483"/>
      <c r="AL816" s="483">
        <f t="shared" si="255"/>
        <v>-23.158117404934377</v>
      </c>
      <c r="AM816" s="483">
        <v>-41.229529999999997</v>
      </c>
      <c r="AN816" s="226">
        <v>-32.4</v>
      </c>
      <c r="AO816" s="484">
        <v>4.5</v>
      </c>
      <c r="AP816" s="484">
        <v>10.8</v>
      </c>
      <c r="AQ816" s="226" t="s">
        <v>6311</v>
      </c>
      <c r="AR816" s="226" t="s">
        <v>6311</v>
      </c>
      <c r="AS816" s="224" t="s">
        <v>120</v>
      </c>
      <c r="AT816" s="50" t="s">
        <v>266</v>
      </c>
      <c r="AU816" s="48">
        <v>8</v>
      </c>
      <c r="AV816" s="48">
        <v>144</v>
      </c>
      <c r="AW816" s="48">
        <v>120</v>
      </c>
      <c r="AX816" s="48">
        <v>26</v>
      </c>
      <c r="AY816" s="48" t="s">
        <v>267</v>
      </c>
      <c r="AZ816" s="48" t="s">
        <v>2253</v>
      </c>
      <c r="BA816" s="48">
        <v>2</v>
      </c>
      <c r="BB816" s="47" t="s">
        <v>2254</v>
      </c>
      <c r="BC816" s="47" t="s">
        <v>270</v>
      </c>
      <c r="BD816" s="47" t="s">
        <v>8374</v>
      </c>
      <c r="BE816" s="48" t="s">
        <v>1712</v>
      </c>
      <c r="BF816" s="48" t="s">
        <v>272</v>
      </c>
      <c r="BG816" s="48" t="s">
        <v>272</v>
      </c>
      <c r="BH816" s="48" t="s">
        <v>2255</v>
      </c>
      <c r="BI816" s="98">
        <v>9.9999999999999995E-7</v>
      </c>
      <c r="BJ816" s="98">
        <v>0.08</v>
      </c>
      <c r="BK816" s="48"/>
      <c r="BL816" s="98">
        <f t="shared" si="253"/>
        <v>19424.3725933141</v>
      </c>
      <c r="BM816" s="48" t="s">
        <v>891</v>
      </c>
      <c r="BN816" s="233"/>
      <c r="BO816" s="233"/>
      <c r="BP816" s="233"/>
      <c r="BQ816" s="233"/>
      <c r="BR816" s="233"/>
      <c r="BS816" s="48"/>
      <c r="BT816" s="233"/>
      <c r="BU816" s="228"/>
      <c r="BV816" s="233"/>
      <c r="BW816" s="233"/>
      <c r="BX816" s="233"/>
      <c r="BY816" s="233"/>
      <c r="BZ816" s="233"/>
      <c r="CA816" s="233"/>
      <c r="CB816" s="233"/>
      <c r="CC816" s="48"/>
      <c r="CD816" s="48"/>
      <c r="CE816" s="48"/>
      <c r="CF816" s="48"/>
      <c r="CG816" s="233"/>
      <c r="CH816" s="48"/>
      <c r="CI816" s="98"/>
      <c r="CJ816" s="98"/>
      <c r="CK816" s="49">
        <f t="shared" si="248"/>
        <v>242804.65741642623</v>
      </c>
      <c r="CL816" s="229"/>
      <c r="CM816" s="229"/>
      <c r="CN816" s="229"/>
      <c r="CO816" s="47" t="s">
        <v>892</v>
      </c>
      <c r="CP816" s="47" t="s">
        <v>893</v>
      </c>
      <c r="CQ816" s="224" t="s">
        <v>272</v>
      </c>
      <c r="CR816" s="224"/>
      <c r="CS816" s="230" t="s">
        <v>539</v>
      </c>
      <c r="CT816" s="230"/>
      <c r="CU816" s="230"/>
      <c r="CV816" s="335">
        <f t="shared" si="252"/>
        <v>8.4974914753599879</v>
      </c>
      <c r="CW816" s="230">
        <f t="shared" si="247"/>
        <v>1</v>
      </c>
      <c r="CX816" s="336" t="s">
        <v>539</v>
      </c>
      <c r="CY816" s="230" t="s">
        <v>5921</v>
      </c>
    </row>
    <row r="817" spans="1:103" ht="11.25" customHeight="1" x14ac:dyDescent="0.2">
      <c r="A817" s="72">
        <v>815</v>
      </c>
      <c r="B817" s="224">
        <v>1329</v>
      </c>
      <c r="C817" s="46" t="s">
        <v>7020</v>
      </c>
      <c r="D817" s="46"/>
      <c r="E817" s="114"/>
      <c r="F817" s="114" t="s">
        <v>558</v>
      </c>
      <c r="G817" s="225">
        <v>79572</v>
      </c>
      <c r="H817" s="47" t="s">
        <v>559</v>
      </c>
      <c r="I817" s="47" t="s">
        <v>8001</v>
      </c>
      <c r="J817" s="47" t="s">
        <v>560</v>
      </c>
      <c r="K817" s="47" t="s">
        <v>561</v>
      </c>
      <c r="L817" s="51" t="s">
        <v>279</v>
      </c>
      <c r="M817" s="47" t="s">
        <v>562</v>
      </c>
      <c r="N817" s="47"/>
      <c r="O817" s="47" t="s">
        <v>281</v>
      </c>
      <c r="P817" s="53"/>
      <c r="Q817" s="53"/>
      <c r="R817" s="53"/>
      <c r="S817" s="53"/>
      <c r="T817" s="48">
        <v>460.43</v>
      </c>
      <c r="U817" s="98">
        <v>0.67979931802879912</v>
      </c>
      <c r="V817" s="98">
        <v>3.0384640444801598</v>
      </c>
      <c r="W817" s="98">
        <v>7.2443596007498936</v>
      </c>
      <c r="X817" s="98">
        <v>0.67979931802879912</v>
      </c>
      <c r="Y817" s="233">
        <v>5.66</v>
      </c>
      <c r="Z817" s="48">
        <v>-2.87</v>
      </c>
      <c r="AA817" s="48">
        <v>-0.9</v>
      </c>
      <c r="AB817" s="48">
        <v>-1.27</v>
      </c>
      <c r="AC817" s="48">
        <v>0.77769999999999995</v>
      </c>
      <c r="AD817" s="48">
        <v>-1.32</v>
      </c>
      <c r="AE817" s="48">
        <v>-1.5</v>
      </c>
      <c r="AF817" s="48">
        <f t="shared" si="254"/>
        <v>-0.9</v>
      </c>
      <c r="AG817" s="49">
        <v>-2.12</v>
      </c>
      <c r="AH817" s="98">
        <v>1.7E-25</v>
      </c>
      <c r="AI817" s="98"/>
      <c r="AJ817" s="483">
        <f t="shared" si="256"/>
        <v>-23.158117404934377</v>
      </c>
      <c r="AK817" s="483"/>
      <c r="AL817" s="483">
        <f t="shared" si="255"/>
        <v>-23.158117404934377</v>
      </c>
      <c r="AM817" s="483">
        <v>-41.229529999999997</v>
      </c>
      <c r="AN817" s="226">
        <v>-32.4</v>
      </c>
      <c r="AO817" s="484">
        <v>4.5</v>
      </c>
      <c r="AP817" s="484">
        <v>10.8</v>
      </c>
      <c r="AQ817" s="48" t="s">
        <v>6311</v>
      </c>
      <c r="AR817" s="48" t="s">
        <v>6311</v>
      </c>
      <c r="AS817" s="224" t="s">
        <v>6</v>
      </c>
      <c r="AT817" s="50" t="s">
        <v>266</v>
      </c>
      <c r="AU817" s="48">
        <v>0</v>
      </c>
      <c r="AV817" s="48">
        <v>144</v>
      </c>
      <c r="AW817" s="48">
        <v>144</v>
      </c>
      <c r="AX817" s="48">
        <v>25</v>
      </c>
      <c r="AY817" s="48" t="s">
        <v>8722</v>
      </c>
      <c r="AZ817" s="48" t="s">
        <v>2175</v>
      </c>
      <c r="BA817" s="48" t="s">
        <v>8722</v>
      </c>
      <c r="BB817" s="47" t="s">
        <v>2176</v>
      </c>
      <c r="BC817" s="47" t="s">
        <v>538</v>
      </c>
      <c r="BD817" s="47"/>
      <c r="BE817" s="48" t="s">
        <v>271</v>
      </c>
      <c r="BF817" s="48" t="s">
        <v>1974</v>
      </c>
      <c r="BG817" s="48" t="s">
        <v>1974</v>
      </c>
      <c r="BH817" s="48" t="s">
        <v>2177</v>
      </c>
      <c r="BI817" s="98" t="s">
        <v>4137</v>
      </c>
      <c r="BJ817" s="98">
        <f>10/T817</f>
        <v>2.171882805203831E-2</v>
      </c>
      <c r="BK817" s="48" t="s">
        <v>2178</v>
      </c>
      <c r="BL817" s="98">
        <f t="shared" si="253"/>
        <v>19424.3725933141</v>
      </c>
      <c r="BM817" s="48" t="s">
        <v>541</v>
      </c>
      <c r="BN817" s="48"/>
      <c r="BO817" s="48"/>
      <c r="BP817" s="48"/>
      <c r="BQ817" s="48"/>
      <c r="BR817" s="48"/>
      <c r="BS817" s="48"/>
      <c r="BT817" s="48"/>
      <c r="BU817" s="228"/>
      <c r="BV817" s="48"/>
      <c r="BW817" s="48"/>
      <c r="BX817" s="48"/>
      <c r="BY817" s="48"/>
      <c r="BZ817" s="48"/>
      <c r="CA817" s="48"/>
      <c r="CB817" s="48"/>
      <c r="CC817" s="48"/>
      <c r="CD817" s="48"/>
      <c r="CE817" s="48"/>
      <c r="CF817" s="48"/>
      <c r="CG817" s="48"/>
      <c r="CH817" s="48"/>
      <c r="CI817" s="98"/>
      <c r="CJ817" s="98"/>
      <c r="CK817" s="49">
        <f t="shared" si="248"/>
        <v>894356.38731396117</v>
      </c>
      <c r="CL817" s="229"/>
      <c r="CM817" s="229"/>
      <c r="CN817" s="229"/>
      <c r="CO817" s="47"/>
      <c r="CP817" s="47" t="s">
        <v>2180</v>
      </c>
      <c r="CQ817" s="224" t="s">
        <v>272</v>
      </c>
      <c r="CR817" s="224"/>
      <c r="CS817" s="230" t="s">
        <v>539</v>
      </c>
      <c r="CT817" s="230" t="s">
        <v>6310</v>
      </c>
      <c r="CU817" s="230"/>
      <c r="CV817" s="335">
        <f t="shared" si="252"/>
        <v>31.3</v>
      </c>
      <c r="CW817" s="230">
        <f t="shared" si="247"/>
        <v>1</v>
      </c>
      <c r="CX817" s="336" t="s">
        <v>539</v>
      </c>
      <c r="CY817" s="230" t="s">
        <v>5921</v>
      </c>
    </row>
    <row r="818" spans="1:103" ht="11.25" customHeight="1" x14ac:dyDescent="0.2">
      <c r="A818" s="72">
        <v>816</v>
      </c>
      <c r="B818" s="224">
        <v>1580</v>
      </c>
      <c r="C818" s="46" t="s">
        <v>7021</v>
      </c>
      <c r="D818" s="46"/>
      <c r="E818" s="114"/>
      <c r="F818" s="114" t="s">
        <v>4722</v>
      </c>
      <c r="G818" s="225">
        <v>80080</v>
      </c>
      <c r="H818" s="47" t="s">
        <v>4723</v>
      </c>
      <c r="I818" s="47" t="s">
        <v>4723</v>
      </c>
      <c r="J818" s="47" t="s">
        <v>4724</v>
      </c>
      <c r="K818" s="47" t="s">
        <v>1573</v>
      </c>
      <c r="L818" s="47" t="s">
        <v>279</v>
      </c>
      <c r="M818" s="47" t="s">
        <v>4725</v>
      </c>
      <c r="N818" s="47"/>
      <c r="O818" s="47" t="s">
        <v>281</v>
      </c>
      <c r="P818" s="53"/>
      <c r="Q818" s="53"/>
      <c r="R818" s="53"/>
      <c r="S818" s="53"/>
      <c r="T818" s="48">
        <v>248.3</v>
      </c>
      <c r="U818" s="98">
        <v>1.5304067660088603</v>
      </c>
      <c r="V818" s="98">
        <v>14.454289166331051</v>
      </c>
      <c r="W818" s="98">
        <v>0.74131024130091727</v>
      </c>
      <c r="X818" s="98">
        <v>1.5304067660088603</v>
      </c>
      <c r="Y818" s="233">
        <v>7</v>
      </c>
      <c r="Z818" s="48">
        <v>0.77</v>
      </c>
      <c r="AA818" s="48">
        <v>0.97</v>
      </c>
      <c r="AB818" s="48">
        <v>1.1200000000000001</v>
      </c>
      <c r="AC818" s="48">
        <v>0.89380000000000004</v>
      </c>
      <c r="AD818" s="48">
        <v>1.08</v>
      </c>
      <c r="AE818" s="48">
        <v>0.94</v>
      </c>
      <c r="AF818" s="48">
        <f t="shared" si="254"/>
        <v>0.97</v>
      </c>
      <c r="AG818" s="49">
        <v>1.24</v>
      </c>
      <c r="AH818" s="98">
        <v>3.1100000000000001E-14</v>
      </c>
      <c r="AI818" s="98"/>
      <c r="AJ818" s="483">
        <f t="shared" si="256"/>
        <v>-11.895805937285814</v>
      </c>
      <c r="AK818" s="483"/>
      <c r="AL818" s="483">
        <f t="shared" si="255"/>
        <v>-11.895805937285814</v>
      </c>
      <c r="AM818" s="483">
        <v>-18.380189999999999</v>
      </c>
      <c r="AN818" s="226">
        <v>-28.3</v>
      </c>
      <c r="AO818" s="484"/>
      <c r="AP818" s="484">
        <v>1.24</v>
      </c>
      <c r="AQ818" s="48" t="s">
        <v>6311</v>
      </c>
      <c r="AR818" s="48" t="s">
        <v>6311</v>
      </c>
      <c r="AS818" s="227"/>
      <c r="AT818" s="50" t="s">
        <v>266</v>
      </c>
      <c r="AU818" s="48">
        <v>6</v>
      </c>
      <c r="AV818" s="48">
        <v>120</v>
      </c>
      <c r="AW818" s="48">
        <v>114</v>
      </c>
      <c r="AX818" s="48">
        <v>28</v>
      </c>
      <c r="AY818" s="48" t="s">
        <v>8728</v>
      </c>
      <c r="AZ818" s="48" t="s">
        <v>1563</v>
      </c>
      <c r="BA818" s="48">
        <v>32</v>
      </c>
      <c r="BB818" s="47" t="s">
        <v>2485</v>
      </c>
      <c r="BC818" s="47" t="s">
        <v>8726</v>
      </c>
      <c r="BD818" s="47" t="s">
        <v>8374</v>
      </c>
      <c r="BE818" s="48" t="s">
        <v>2449</v>
      </c>
      <c r="BF818" s="48" t="s">
        <v>272</v>
      </c>
      <c r="BG818" s="48" t="s">
        <v>272</v>
      </c>
      <c r="BH818" s="48" t="s">
        <v>2486</v>
      </c>
      <c r="BI818" s="98">
        <v>6.3999999999999997E-6</v>
      </c>
      <c r="BJ818" s="98">
        <v>6.4000000000000001E-2</v>
      </c>
      <c r="BK818" s="48"/>
      <c r="BL818" s="98">
        <f t="shared" si="253"/>
        <v>10.453530723674486</v>
      </c>
      <c r="BM818" s="47" t="s">
        <v>2487</v>
      </c>
      <c r="BN818" s="48"/>
      <c r="BO818" s="48"/>
      <c r="BP818" s="48"/>
      <c r="BQ818" s="48"/>
      <c r="BR818" s="47" t="s">
        <v>2496</v>
      </c>
      <c r="BS818" s="48"/>
      <c r="BT818" s="48"/>
      <c r="BU818" s="228"/>
      <c r="BV818" s="48"/>
      <c r="BW818" s="48"/>
      <c r="BX818" s="48"/>
      <c r="BY818" s="48"/>
      <c r="BZ818" s="48"/>
      <c r="CA818" s="48"/>
      <c r="CB818" s="48"/>
      <c r="CC818" s="48"/>
      <c r="CD818" s="48"/>
      <c r="CE818" s="48"/>
      <c r="CF818" s="48"/>
      <c r="CG818" s="48"/>
      <c r="CH818" s="48"/>
      <c r="CI818" s="98"/>
      <c r="CJ818" s="98"/>
      <c r="CK818" s="49">
        <f t="shared" si="248"/>
        <v>163.33641755741385</v>
      </c>
      <c r="CL818" s="229"/>
      <c r="CM818" s="229"/>
      <c r="CN818" s="229"/>
      <c r="CO818" s="47" t="s">
        <v>2488</v>
      </c>
      <c r="CP818" s="47" t="s">
        <v>2489</v>
      </c>
      <c r="CQ818" s="224" t="s">
        <v>272</v>
      </c>
      <c r="CR818" s="224"/>
      <c r="CS818" s="230" t="s">
        <v>539</v>
      </c>
      <c r="CT818" s="230"/>
      <c r="CU818" s="230"/>
      <c r="CV818" s="335">
        <f t="shared" si="252"/>
        <v>23.91260571888844</v>
      </c>
      <c r="CW818" s="230">
        <f t="shared" si="247"/>
        <v>1</v>
      </c>
      <c r="CX818" s="336"/>
      <c r="CY818" s="230" t="s">
        <v>6351</v>
      </c>
    </row>
    <row r="819" spans="1:103" ht="11.25" customHeight="1" x14ac:dyDescent="0.2">
      <c r="A819" s="72">
        <v>817</v>
      </c>
      <c r="B819" s="224">
        <v>1076</v>
      </c>
      <c r="C819" s="46" t="s">
        <v>7022</v>
      </c>
      <c r="D819" s="46"/>
      <c r="E819" s="114"/>
      <c r="F819" s="114" t="s">
        <v>3023</v>
      </c>
      <c r="G819" s="225">
        <v>80159</v>
      </c>
      <c r="H819" s="47" t="s">
        <v>3024</v>
      </c>
      <c r="I819" s="47" t="s">
        <v>3024</v>
      </c>
      <c r="J819" s="47" t="s">
        <v>3025</v>
      </c>
      <c r="K819" s="47" t="s">
        <v>3026</v>
      </c>
      <c r="L819" s="47" t="s">
        <v>5527</v>
      </c>
      <c r="M819" s="47" t="s">
        <v>5960</v>
      </c>
      <c r="N819" s="47"/>
      <c r="O819" s="47"/>
      <c r="P819" s="53"/>
      <c r="Q819" s="53"/>
      <c r="R819" s="53"/>
      <c r="S819" s="53"/>
      <c r="T819" s="48">
        <v>152.19</v>
      </c>
      <c r="U819" s="98">
        <v>91.333201918654311</v>
      </c>
      <c r="V819" s="98">
        <v>7.0372560615020703</v>
      </c>
      <c r="W819" s="98">
        <v>33.113112148259106</v>
      </c>
      <c r="X819" s="98">
        <v>91.333201918654311</v>
      </c>
      <c r="Y819" s="233">
        <v>6.74</v>
      </c>
      <c r="Z819" s="48">
        <v>2.16</v>
      </c>
      <c r="AA819" s="48"/>
      <c r="AB819" s="48">
        <v>2.42</v>
      </c>
      <c r="AC819" s="48">
        <v>0.25719999999999998</v>
      </c>
      <c r="AD819" s="48">
        <v>2.57</v>
      </c>
      <c r="AE819" s="48">
        <v>2.63</v>
      </c>
      <c r="AF819" s="48">
        <f t="shared" si="254"/>
        <v>2.57</v>
      </c>
      <c r="AG819" s="49">
        <v>1.72</v>
      </c>
      <c r="AH819" s="98">
        <v>9.7000000000000003E-7</v>
      </c>
      <c r="AI819" s="98">
        <v>4.7099999999999998E-8</v>
      </c>
      <c r="AJ819" s="483">
        <f t="shared" si="256"/>
        <v>-4.4017945920464072</v>
      </c>
      <c r="AK819" s="483">
        <f>LOG10(AI819*1000/(0.08206*298.15))</f>
        <v>-5.7155454191837558</v>
      </c>
      <c r="AL819" s="483">
        <f t="shared" si="255"/>
        <v>-5.7155454191837558</v>
      </c>
      <c r="AM819" s="483">
        <v>-7.5978399999999997</v>
      </c>
      <c r="AN819" s="226">
        <v>-4.6399999999999997</v>
      </c>
      <c r="AO819" s="484">
        <v>12.17</v>
      </c>
      <c r="AP819" s="484"/>
      <c r="AQ819" s="48" t="s">
        <v>6311</v>
      </c>
      <c r="AR819" s="48" t="s">
        <v>6311</v>
      </c>
      <c r="AS819" s="227"/>
      <c r="AT819" s="50" t="s">
        <v>266</v>
      </c>
      <c r="AU819" s="48">
        <v>6</v>
      </c>
      <c r="AV819" s="48">
        <v>120</v>
      </c>
      <c r="AW819" s="48">
        <v>114</v>
      </c>
      <c r="AX819" s="48">
        <v>28</v>
      </c>
      <c r="AY819" s="48" t="s">
        <v>8728</v>
      </c>
      <c r="AZ819" s="48" t="s">
        <v>1563</v>
      </c>
      <c r="BA819" s="48">
        <v>32</v>
      </c>
      <c r="BB819" s="47" t="s">
        <v>2485</v>
      </c>
      <c r="BC819" s="47" t="s">
        <v>8726</v>
      </c>
      <c r="BD819" s="47" t="s">
        <v>8374</v>
      </c>
      <c r="BE819" s="48" t="s">
        <v>2449</v>
      </c>
      <c r="BF819" s="48" t="s">
        <v>272</v>
      </c>
      <c r="BG819" s="48" t="s">
        <v>272</v>
      </c>
      <c r="BH819" s="48" t="s">
        <v>2486</v>
      </c>
      <c r="BI819" s="98">
        <v>6.3999999999999997E-6</v>
      </c>
      <c r="BJ819" s="98">
        <v>6.4000000000000001E-2</v>
      </c>
      <c r="BK819" s="48"/>
      <c r="BL819" s="98">
        <f t="shared" si="253"/>
        <v>0.59007063172200003</v>
      </c>
      <c r="BM819" s="47" t="s">
        <v>2487</v>
      </c>
      <c r="BN819" s="48"/>
      <c r="BO819" s="48"/>
      <c r="BP819" s="48"/>
      <c r="BQ819" s="48"/>
      <c r="BR819" s="47" t="s">
        <v>2496</v>
      </c>
      <c r="BS819" s="48"/>
      <c r="BT819" s="48"/>
      <c r="BU819" s="228">
        <v>6.3999999999999997E-5</v>
      </c>
      <c r="BV819" s="48"/>
      <c r="BW819" s="48"/>
      <c r="BX819" s="48"/>
      <c r="BY819" s="48"/>
      <c r="BZ819" s="48"/>
      <c r="CA819" s="48"/>
      <c r="CB819" s="48"/>
      <c r="CC819" s="48"/>
      <c r="CD819" s="48"/>
      <c r="CE819" s="48"/>
      <c r="CF819" s="48"/>
      <c r="CG819" s="48"/>
      <c r="CH819" s="48"/>
      <c r="CI819" s="98"/>
      <c r="CJ819" s="98"/>
      <c r="CK819" s="49">
        <f t="shared" si="248"/>
        <v>9.2198536206562505</v>
      </c>
      <c r="CL819" s="229"/>
      <c r="CM819" s="229"/>
      <c r="CN819" s="229"/>
      <c r="CO819" s="47" t="s">
        <v>2488</v>
      </c>
      <c r="CP819" s="47" t="s">
        <v>2489</v>
      </c>
      <c r="CQ819" s="224">
        <v>-1.5913215100105675</v>
      </c>
      <c r="CR819" s="224">
        <f>10^(CJ819-CQ819)</f>
        <v>39.023076923076943</v>
      </c>
      <c r="CS819" s="230" t="s">
        <v>539</v>
      </c>
      <c r="CT819" s="230"/>
      <c r="CU819" s="230"/>
      <c r="CV819" s="335">
        <f t="shared" si="252"/>
        <v>1427.0812799789735</v>
      </c>
      <c r="CW819" s="230">
        <f t="shared" si="247"/>
        <v>1</v>
      </c>
      <c r="CX819" s="336"/>
      <c r="CY819" s="230" t="s">
        <v>6351</v>
      </c>
    </row>
    <row r="820" spans="1:103" ht="11.25" customHeight="1" x14ac:dyDescent="0.2">
      <c r="A820" s="72">
        <v>818</v>
      </c>
      <c r="B820" s="224">
        <v>87</v>
      </c>
      <c r="C820" s="46" t="s">
        <v>7023</v>
      </c>
      <c r="D820" s="46"/>
      <c r="E820" s="114"/>
      <c r="F820" s="114" t="s">
        <v>3653</v>
      </c>
      <c r="G820" s="225">
        <v>81812</v>
      </c>
      <c r="H820" s="47" t="s">
        <v>3654</v>
      </c>
      <c r="I820" s="47" t="s">
        <v>3654</v>
      </c>
      <c r="J820" s="48" t="s">
        <v>3655</v>
      </c>
      <c r="K820" s="47" t="s">
        <v>3440</v>
      </c>
      <c r="L820" s="47" t="s">
        <v>279</v>
      </c>
      <c r="M820" s="47" t="s">
        <v>3656</v>
      </c>
      <c r="N820" s="47"/>
      <c r="O820" s="52" t="s">
        <v>281</v>
      </c>
      <c r="P820" s="53"/>
      <c r="Q820" s="53"/>
      <c r="R820" s="53"/>
      <c r="S820" s="53"/>
      <c r="T820" s="226">
        <v>308.33</v>
      </c>
      <c r="U820" s="98">
        <v>5.5135731197094029E-2</v>
      </c>
      <c r="V820" s="98">
        <v>0.17601271365095841</v>
      </c>
      <c r="W820" s="98">
        <v>0.13803842646028844</v>
      </c>
      <c r="X820" s="98">
        <v>5.5135731197094029E-2</v>
      </c>
      <c r="Y820" s="233">
        <v>4.28</v>
      </c>
      <c r="Z820" s="48">
        <v>2.23</v>
      </c>
      <c r="AA820" s="48">
        <v>2.7</v>
      </c>
      <c r="AB820" s="48">
        <v>2.99</v>
      </c>
      <c r="AC820" s="48">
        <v>0.81420000000000003</v>
      </c>
      <c r="AD820" s="48">
        <v>3.1</v>
      </c>
      <c r="AE820" s="48">
        <v>3.42</v>
      </c>
      <c r="AF820" s="48">
        <f t="shared" si="254"/>
        <v>2.7</v>
      </c>
      <c r="AG820" s="48">
        <v>2.85</v>
      </c>
      <c r="AH820" s="98">
        <v>2.2799999999999999E-13</v>
      </c>
      <c r="AI820" s="98">
        <v>2.7700000000000002E-9</v>
      </c>
      <c r="AJ820" s="483">
        <f t="shared" si="256"/>
        <v>-11.030631479312198</v>
      </c>
      <c r="AK820" s="483">
        <f>LOG10(AI820*1000/(0.08206*298.15))</f>
        <v>-6.9460865572482033</v>
      </c>
      <c r="AL820" s="483">
        <f t="shared" si="255"/>
        <v>-6.9460865572482033</v>
      </c>
      <c r="AM820" s="483">
        <v>-16.212859999999999</v>
      </c>
      <c r="AN820" s="48">
        <v>-11.15</v>
      </c>
      <c r="AO820" s="484">
        <v>4.5</v>
      </c>
      <c r="AP820" s="484"/>
      <c r="AQ820" s="48" t="s">
        <v>6311</v>
      </c>
      <c r="AR820" s="48" t="s">
        <v>6311</v>
      </c>
      <c r="AS820" s="227"/>
      <c r="AT820" s="50" t="s">
        <v>266</v>
      </c>
      <c r="AU820" s="48">
        <v>6</v>
      </c>
      <c r="AV820" s="48">
        <v>120</v>
      </c>
      <c r="AW820" s="48">
        <v>114</v>
      </c>
      <c r="AX820" s="48">
        <v>28</v>
      </c>
      <c r="AY820" s="48" t="s">
        <v>8728</v>
      </c>
      <c r="AZ820" s="48" t="s">
        <v>1563</v>
      </c>
      <c r="BA820" s="48">
        <v>32</v>
      </c>
      <c r="BB820" s="47" t="s">
        <v>2485</v>
      </c>
      <c r="BC820" s="47" t="s">
        <v>8726</v>
      </c>
      <c r="BD820" s="47" t="s">
        <v>8374</v>
      </c>
      <c r="BE820" s="48" t="s">
        <v>2449</v>
      </c>
      <c r="BF820" s="48" t="s">
        <v>272</v>
      </c>
      <c r="BG820" s="48" t="s">
        <v>272</v>
      </c>
      <c r="BH820" s="48" t="s">
        <v>2486</v>
      </c>
      <c r="BI820" s="98">
        <v>6.3999999999999997E-6</v>
      </c>
      <c r="BJ820" s="98">
        <v>6.4000000000000001E-2</v>
      </c>
      <c r="BK820" s="48"/>
      <c r="BL820" s="98">
        <f t="shared" si="253"/>
        <v>0.51054849463266316</v>
      </c>
      <c r="BM820" s="47" t="s">
        <v>2487</v>
      </c>
      <c r="BN820" s="48"/>
      <c r="BO820" s="48"/>
      <c r="BP820" s="48"/>
      <c r="BQ820" s="48"/>
      <c r="BR820" s="47" t="s">
        <v>2496</v>
      </c>
      <c r="BS820" s="48"/>
      <c r="BT820" s="48"/>
      <c r="BU820" s="228">
        <v>6.4000000000000005E-4</v>
      </c>
      <c r="BV820" s="48"/>
      <c r="BW820" s="48"/>
      <c r="BX820" s="48"/>
      <c r="BY820" s="48"/>
      <c r="BZ820" s="48"/>
      <c r="CA820" s="48"/>
      <c r="CB820" s="48"/>
      <c r="CC820" s="48"/>
      <c r="CD820" s="48"/>
      <c r="CE820" s="48"/>
      <c r="CF820" s="48"/>
      <c r="CG820" s="48"/>
      <c r="CH820" s="48"/>
      <c r="CI820" s="98"/>
      <c r="CJ820" s="98"/>
      <c r="CK820" s="49">
        <f t="shared" si="248"/>
        <v>7.9773202286353619</v>
      </c>
      <c r="CL820" s="229"/>
      <c r="CM820" s="229"/>
      <c r="CN820" s="229"/>
      <c r="CO820" s="47" t="s">
        <v>2488</v>
      </c>
      <c r="CP820" s="47" t="s">
        <v>2489</v>
      </c>
      <c r="CQ820" s="224">
        <v>-7.9243815147576863E-2</v>
      </c>
      <c r="CR820" s="224">
        <f>10^(CJ820-CQ820)</f>
        <v>1.2001728972666119</v>
      </c>
      <c r="CS820" s="230" t="s">
        <v>539</v>
      </c>
      <c r="CT820" s="230"/>
      <c r="CU820" s="230"/>
      <c r="CV820" s="335">
        <f t="shared" si="252"/>
        <v>0.86149579995459413</v>
      </c>
      <c r="CW820" s="230">
        <f t="shared" si="247"/>
        <v>0</v>
      </c>
      <c r="CX820" s="336"/>
      <c r="CY820" s="230" t="s">
        <v>6351</v>
      </c>
    </row>
    <row r="821" spans="1:103" ht="11.25" customHeight="1" x14ac:dyDescent="0.2">
      <c r="A821" s="72">
        <v>819</v>
      </c>
      <c r="B821" s="224">
        <v>1238</v>
      </c>
      <c r="C821" s="46" t="s">
        <v>7024</v>
      </c>
      <c r="D821" s="46"/>
      <c r="E821" s="114"/>
      <c r="F821" s="114" t="s">
        <v>3407</v>
      </c>
      <c r="G821" s="225">
        <v>81903</v>
      </c>
      <c r="H821" s="47" t="s">
        <v>3408</v>
      </c>
      <c r="I821" s="47" t="s">
        <v>3408</v>
      </c>
      <c r="J821" s="47" t="s">
        <v>3409</v>
      </c>
      <c r="K821" s="47" t="s">
        <v>376</v>
      </c>
      <c r="L821" s="47"/>
      <c r="M821" s="47"/>
      <c r="N821" s="47"/>
      <c r="O821" s="47"/>
      <c r="P821" s="53"/>
      <c r="Q821" s="53"/>
      <c r="R821" s="53"/>
      <c r="S821" s="53"/>
      <c r="T821" s="48">
        <v>320.33999999999997</v>
      </c>
      <c r="U821" s="98">
        <v>0.54629456202784543</v>
      </c>
      <c r="V821" s="98">
        <v>0.65305612786414435</v>
      </c>
      <c r="W821" s="98">
        <v>0.1737800828749376</v>
      </c>
      <c r="X821" s="98">
        <v>0.54629456202784543</v>
      </c>
      <c r="Y821" s="233">
        <v>4.01</v>
      </c>
      <c r="Z821" s="48">
        <v>3.95</v>
      </c>
      <c r="AA821" s="48">
        <v>2.61</v>
      </c>
      <c r="AB821" s="48">
        <v>3.94</v>
      </c>
      <c r="AC821" s="48">
        <v>0.67220000000000002</v>
      </c>
      <c r="AD821" s="48">
        <v>3.92</v>
      </c>
      <c r="AE821" s="48">
        <v>3.89</v>
      </c>
      <c r="AF821" s="48">
        <f t="shared" si="254"/>
        <v>2.61</v>
      </c>
      <c r="AG821" s="49">
        <v>4.08</v>
      </c>
      <c r="AH821" s="98">
        <v>8.4399999999999998E-18</v>
      </c>
      <c r="AI821" s="98"/>
      <c r="AJ821" s="483">
        <f t="shared" si="256"/>
        <v>-15.462223879686997</v>
      </c>
      <c r="AK821" s="483"/>
      <c r="AL821" s="483">
        <f t="shared" si="255"/>
        <v>-15.462223879686997</v>
      </c>
      <c r="AM821" s="483">
        <v>-21.778799999999997</v>
      </c>
      <c r="AN821" s="226">
        <v>-17.2</v>
      </c>
      <c r="AO821" s="484">
        <v>3.96</v>
      </c>
      <c r="AP821" s="484"/>
      <c r="AQ821" s="48" t="s">
        <v>6311</v>
      </c>
      <c r="AR821" s="48" t="s">
        <v>6311</v>
      </c>
      <c r="AS821" s="227"/>
      <c r="AT821" s="50" t="s">
        <v>266</v>
      </c>
      <c r="AU821" s="48">
        <v>6</v>
      </c>
      <c r="AV821" s="48">
        <v>120</v>
      </c>
      <c r="AW821" s="48">
        <v>114</v>
      </c>
      <c r="AX821" s="48">
        <v>28</v>
      </c>
      <c r="AY821" s="48" t="s">
        <v>8728</v>
      </c>
      <c r="AZ821" s="48" t="s">
        <v>1563</v>
      </c>
      <c r="BA821" s="48">
        <v>32</v>
      </c>
      <c r="BB821" s="47" t="s">
        <v>2485</v>
      </c>
      <c r="BC821" s="47" t="s">
        <v>8726</v>
      </c>
      <c r="BD821" s="47" t="s">
        <v>8374</v>
      </c>
      <c r="BE821" s="48" t="s">
        <v>2449</v>
      </c>
      <c r="BF821" s="48" t="s">
        <v>272</v>
      </c>
      <c r="BG821" s="48" t="s">
        <v>272</v>
      </c>
      <c r="BH821" s="48" t="s">
        <v>2486</v>
      </c>
      <c r="BI821" s="98">
        <v>6.3999999999999997E-6</v>
      </c>
      <c r="BJ821" s="98">
        <v>6.4000000000000001E-2</v>
      </c>
      <c r="BK821" s="48"/>
      <c r="BL821" s="98">
        <f t="shared" si="253"/>
        <v>1.4564815916954495E-2</v>
      </c>
      <c r="BM821" s="47" t="s">
        <v>2487</v>
      </c>
      <c r="BN821" s="48"/>
      <c r="BO821" s="48"/>
      <c r="BP821" s="48"/>
      <c r="BQ821" s="48"/>
      <c r="BR821" s="47" t="s">
        <v>2496</v>
      </c>
      <c r="BS821" s="48"/>
      <c r="BT821" s="48"/>
      <c r="BU821" s="228">
        <v>6.4000000000000001E-2</v>
      </c>
      <c r="BV821" s="48"/>
      <c r="BW821" s="48"/>
      <c r="BX821" s="48"/>
      <c r="BY821" s="48"/>
      <c r="BZ821" s="48"/>
      <c r="CA821" s="48"/>
      <c r="CB821" s="48"/>
      <c r="CC821" s="48"/>
      <c r="CD821" s="48"/>
      <c r="CE821" s="48"/>
      <c r="CF821" s="48"/>
      <c r="CG821" s="48"/>
      <c r="CH821" s="48"/>
      <c r="CI821" s="98"/>
      <c r="CJ821" s="98"/>
      <c r="CK821" s="49">
        <f t="shared" si="248"/>
        <v>0.22757524870241397</v>
      </c>
      <c r="CL821" s="229"/>
      <c r="CM821" s="229"/>
      <c r="CN821" s="229"/>
      <c r="CO821" s="47" t="s">
        <v>2488</v>
      </c>
      <c r="CP821" s="47" t="s">
        <v>2489</v>
      </c>
      <c r="CQ821" s="224" t="s">
        <v>272</v>
      </c>
      <c r="CR821" s="224"/>
      <c r="CS821" s="230" t="s">
        <v>539</v>
      </c>
      <c r="CT821" s="230"/>
      <c r="CU821" s="230"/>
      <c r="CV821" s="335">
        <f t="shared" si="252"/>
        <v>8.5358525316850855</v>
      </c>
      <c r="CW821" s="230">
        <f t="shared" si="247"/>
        <v>1</v>
      </c>
      <c r="CX821" s="336"/>
      <c r="CY821" s="230" t="s">
        <v>5921</v>
      </c>
    </row>
    <row r="822" spans="1:103" ht="11.25" customHeight="1" x14ac:dyDescent="0.2">
      <c r="A822" s="72">
        <v>820</v>
      </c>
      <c r="B822" s="224">
        <v>1484</v>
      </c>
      <c r="C822" s="46" t="s">
        <v>7025</v>
      </c>
      <c r="D822" s="46"/>
      <c r="E822" s="114"/>
      <c r="F822" s="114" t="s">
        <v>4561</v>
      </c>
      <c r="G822" s="225">
        <v>83329</v>
      </c>
      <c r="H822" s="47" t="s">
        <v>4562</v>
      </c>
      <c r="I822" s="47" t="s">
        <v>4562</v>
      </c>
      <c r="J822" s="47" t="s">
        <v>4563</v>
      </c>
      <c r="K822" s="47" t="s">
        <v>426</v>
      </c>
      <c r="L822" s="47" t="s">
        <v>6124</v>
      </c>
      <c r="M822" s="47" t="s">
        <v>866</v>
      </c>
      <c r="N822" s="47"/>
      <c r="O822" s="47" t="s">
        <v>6086</v>
      </c>
      <c r="P822" s="53" t="s">
        <v>6183</v>
      </c>
      <c r="Q822" s="53" t="s">
        <v>6173</v>
      </c>
      <c r="R822" s="53" t="s">
        <v>6185</v>
      </c>
      <c r="S822" s="53" t="s">
        <v>6176</v>
      </c>
      <c r="T822" s="48">
        <v>154.21</v>
      </c>
      <c r="U822" s="98">
        <v>2.5290188703715709E-2</v>
      </c>
      <c r="V822" s="98">
        <v>1.6432137993645027E-2</v>
      </c>
      <c r="W822" s="98">
        <v>2.2387211385683357E-2</v>
      </c>
      <c r="X822" s="98">
        <v>2.5290188703715709E-2</v>
      </c>
      <c r="Y822" s="233">
        <v>7</v>
      </c>
      <c r="Z822" s="48">
        <v>4.1500000000000004</v>
      </c>
      <c r="AA822" s="48">
        <v>3.92</v>
      </c>
      <c r="AB822" s="48">
        <v>3.94</v>
      </c>
      <c r="AC822" s="48">
        <v>0.93359999999999999</v>
      </c>
      <c r="AD822" s="48">
        <v>3.99</v>
      </c>
      <c r="AE822" s="48">
        <v>4.1900000000000004</v>
      </c>
      <c r="AF822" s="48">
        <f t="shared" si="254"/>
        <v>3.92</v>
      </c>
      <c r="AG822" s="49">
        <v>3.49</v>
      </c>
      <c r="AH822" s="98">
        <v>2.8200000000000002E-4</v>
      </c>
      <c r="AI822" s="98">
        <v>1.84E-4</v>
      </c>
      <c r="AJ822" s="483">
        <f t="shared" si="256"/>
        <v>-1.9383172179932906</v>
      </c>
      <c r="AK822" s="483">
        <f>LOG10(AI822*1000/(0.08206*298.15))</f>
        <v>-2.1237485033031152</v>
      </c>
      <c r="AL822" s="483">
        <f t="shared" si="255"/>
        <v>-2.1237485033031152</v>
      </c>
      <c r="AM822" s="483">
        <v>-4.8216099999999997</v>
      </c>
      <c r="AN822" s="226">
        <v>-2.4700000000000002</v>
      </c>
      <c r="AO822" s="484"/>
      <c r="AP822" s="484"/>
      <c r="AQ822" s="48" t="s">
        <v>6311</v>
      </c>
      <c r="AR822" s="48" t="s">
        <v>6311</v>
      </c>
      <c r="AS822" s="227"/>
      <c r="AT822" s="50" t="s">
        <v>266</v>
      </c>
      <c r="AU822" s="48">
        <v>6</v>
      </c>
      <c r="AV822" s="48">
        <v>120</v>
      </c>
      <c r="AW822" s="48">
        <v>114</v>
      </c>
      <c r="AX822" s="48">
        <v>28</v>
      </c>
      <c r="AY822" s="48" t="s">
        <v>8728</v>
      </c>
      <c r="AZ822" s="48" t="s">
        <v>1563</v>
      </c>
      <c r="BA822" s="48">
        <v>32</v>
      </c>
      <c r="BB822" s="47" t="s">
        <v>2485</v>
      </c>
      <c r="BC822" s="47" t="s">
        <v>8726</v>
      </c>
      <c r="BD822" s="47" t="s">
        <v>8374</v>
      </c>
      <c r="BE822" s="48" t="s">
        <v>2449</v>
      </c>
      <c r="BF822" s="48" t="s">
        <v>272</v>
      </c>
      <c r="BG822" s="48" t="s">
        <v>272</v>
      </c>
      <c r="BH822" s="48" t="s">
        <v>2486</v>
      </c>
      <c r="BI822" s="98">
        <v>6.3999999999999997E-6</v>
      </c>
      <c r="BJ822" s="98">
        <v>6.4000000000000001E-2</v>
      </c>
      <c r="BK822" s="48"/>
      <c r="BL822" s="98">
        <f t="shared" si="253"/>
        <v>9.6313019811094854E-3</v>
      </c>
      <c r="BM822" s="47" t="s">
        <v>2487</v>
      </c>
      <c r="BN822" s="48"/>
      <c r="BO822" s="48"/>
      <c r="BP822" s="48"/>
      <c r="BQ822" s="48"/>
      <c r="BR822" s="47" t="s">
        <v>2496</v>
      </c>
      <c r="BS822" s="48"/>
      <c r="BT822" s="48"/>
      <c r="BU822" s="228"/>
      <c r="BV822" s="48"/>
      <c r="BW822" s="48"/>
      <c r="BX822" s="48"/>
      <c r="BY822" s="48"/>
      <c r="BZ822" s="48"/>
      <c r="CA822" s="48"/>
      <c r="CB822" s="48"/>
      <c r="CC822" s="48"/>
      <c r="CD822" s="48"/>
      <c r="CE822" s="48"/>
      <c r="CF822" s="48"/>
      <c r="CG822" s="48"/>
      <c r="CH822" s="48"/>
      <c r="CI822" s="98"/>
      <c r="CJ822" s="98"/>
      <c r="CK822" s="49">
        <f t="shared" si="248"/>
        <v>0.15048909345483572</v>
      </c>
      <c r="CL822" s="229"/>
      <c r="CM822" s="229"/>
      <c r="CN822" s="229"/>
      <c r="CO822" s="47" t="s">
        <v>2488</v>
      </c>
      <c r="CP822" s="47" t="s">
        <v>2489</v>
      </c>
      <c r="CQ822" s="224">
        <v>-2.0380192379911701</v>
      </c>
      <c r="CR822" s="224">
        <f>10^(CJ822-CQ822)</f>
        <v>109.14886851740872</v>
      </c>
      <c r="CS822" s="230" t="s">
        <v>539</v>
      </c>
      <c r="CT822" s="230"/>
      <c r="CU822" s="230"/>
      <c r="CV822" s="335">
        <f t="shared" si="252"/>
        <v>0.39515919849555792</v>
      </c>
      <c r="CW822" s="230">
        <f t="shared" si="247"/>
        <v>0</v>
      </c>
      <c r="CX822" s="336"/>
      <c r="CY822" s="230" t="s">
        <v>6351</v>
      </c>
    </row>
    <row r="823" spans="1:103" ht="11.25" customHeight="1" x14ac:dyDescent="0.2">
      <c r="A823" s="72">
        <v>821</v>
      </c>
      <c r="B823" s="224">
        <v>1362</v>
      </c>
      <c r="C823" s="46" t="s">
        <v>7026</v>
      </c>
      <c r="D823" s="46"/>
      <c r="E823" s="114"/>
      <c r="F823" s="114" t="s">
        <v>4206</v>
      </c>
      <c r="G823" s="225">
        <v>83410</v>
      </c>
      <c r="H823" s="47" t="s">
        <v>4207</v>
      </c>
      <c r="I823" s="47" t="s">
        <v>8002</v>
      </c>
      <c r="J823" s="47" t="s">
        <v>4208</v>
      </c>
      <c r="K823" s="47" t="s">
        <v>426</v>
      </c>
      <c r="L823" s="47"/>
      <c r="M823" s="47"/>
      <c r="N823" s="47"/>
      <c r="O823" s="47"/>
      <c r="P823" s="53" t="s">
        <v>6184</v>
      </c>
      <c r="Q823" s="53" t="s">
        <v>6176</v>
      </c>
      <c r="R823" s="53" t="s">
        <v>6185</v>
      </c>
      <c r="S823" s="53" t="s">
        <v>6179</v>
      </c>
      <c r="T823" s="48">
        <v>151.16</v>
      </c>
      <c r="U823" s="98"/>
      <c r="V823" s="98">
        <v>0.77401428949457529</v>
      </c>
      <c r="W823" s="98">
        <v>0.67608297539198126</v>
      </c>
      <c r="X823" s="98">
        <f>IF(W823=0,V823,W823)</f>
        <v>0.67608297539198126</v>
      </c>
      <c r="Y823" s="233">
        <v>7</v>
      </c>
      <c r="Z823" s="48">
        <v>2.91</v>
      </c>
      <c r="AA823" s="48">
        <v>2.83</v>
      </c>
      <c r="AB823" s="48">
        <v>2.99</v>
      </c>
      <c r="AC823" s="48">
        <v>0.95569999999999999</v>
      </c>
      <c r="AD823" s="48">
        <v>2.96</v>
      </c>
      <c r="AE823" s="48">
        <v>2.87</v>
      </c>
      <c r="AF823" s="48">
        <f t="shared" si="254"/>
        <v>2.83</v>
      </c>
      <c r="AG823" s="49">
        <v>2.35</v>
      </c>
      <c r="AH823" s="98">
        <v>2.5899999999999999E-5</v>
      </c>
      <c r="AI823" s="98"/>
      <c r="AJ823" s="483">
        <f t="shared" si="256"/>
        <v>-2.9752665622314001</v>
      </c>
      <c r="AK823" s="483"/>
      <c r="AL823" s="483">
        <f t="shared" si="255"/>
        <v>-2.9752665622314001</v>
      </c>
      <c r="AM823" s="483">
        <v>-4.755469999999999</v>
      </c>
      <c r="AN823" s="226">
        <v>-2.93</v>
      </c>
      <c r="AO823" s="484"/>
      <c r="AP823" s="484"/>
      <c r="AQ823" s="48" t="s">
        <v>6311</v>
      </c>
      <c r="AR823" s="48" t="s">
        <v>6311</v>
      </c>
      <c r="AS823" s="227"/>
      <c r="AT823" s="50" t="s">
        <v>266</v>
      </c>
      <c r="AU823" s="48">
        <v>6</v>
      </c>
      <c r="AV823" s="48">
        <v>120</v>
      </c>
      <c r="AW823" s="48">
        <v>114</v>
      </c>
      <c r="AX823" s="48">
        <v>28</v>
      </c>
      <c r="AY823" s="48" t="s">
        <v>8728</v>
      </c>
      <c r="AZ823" s="48" t="s">
        <v>1563</v>
      </c>
      <c r="BA823" s="48">
        <v>32</v>
      </c>
      <c r="BB823" s="47" t="s">
        <v>2485</v>
      </c>
      <c r="BC823" s="47" t="s">
        <v>8726</v>
      </c>
      <c r="BD823" s="47" t="s">
        <v>8374</v>
      </c>
      <c r="BE823" s="48" t="s">
        <v>2449</v>
      </c>
      <c r="BF823" s="48" t="s">
        <v>272</v>
      </c>
      <c r="BG823" s="48" t="s">
        <v>272</v>
      </c>
      <c r="BH823" s="48" t="s">
        <v>2486</v>
      </c>
      <c r="BI823" s="98">
        <v>6.3999999999999997E-6</v>
      </c>
      <c r="BJ823" s="98">
        <v>6.4000000000000001E-2</v>
      </c>
      <c r="BK823" s="48"/>
      <c r="BL823" s="98">
        <f t="shared" si="253"/>
        <v>0.12512065234073388</v>
      </c>
      <c r="BM823" s="47" t="s">
        <v>2487</v>
      </c>
      <c r="BN823" s="48"/>
      <c r="BO823" s="48"/>
      <c r="BP823" s="48"/>
      <c r="BQ823" s="48"/>
      <c r="BR823" s="47" t="s">
        <v>2496</v>
      </c>
      <c r="BS823" s="48"/>
      <c r="BT823" s="48"/>
      <c r="BU823" s="228"/>
      <c r="BV823" s="48"/>
      <c r="BW823" s="48"/>
      <c r="BX823" s="48"/>
      <c r="BY823" s="48"/>
      <c r="BZ823" s="48"/>
      <c r="CA823" s="48"/>
      <c r="CB823" s="48"/>
      <c r="CC823" s="48"/>
      <c r="CD823" s="48"/>
      <c r="CE823" s="48"/>
      <c r="CF823" s="48"/>
      <c r="CG823" s="48"/>
      <c r="CH823" s="48"/>
      <c r="CI823" s="98"/>
      <c r="CJ823" s="98"/>
      <c r="CK823" s="49">
        <f t="shared" si="248"/>
        <v>1.9550101928239669</v>
      </c>
      <c r="CL823" s="229"/>
      <c r="CM823" s="229"/>
      <c r="CN823" s="229"/>
      <c r="CO823" s="47" t="s">
        <v>2488</v>
      </c>
      <c r="CP823" s="47" t="s">
        <v>2489</v>
      </c>
      <c r="CQ823" s="224" t="s">
        <v>272</v>
      </c>
      <c r="CR823" s="224"/>
      <c r="CS823" s="230" t="s">
        <v>539</v>
      </c>
      <c r="CT823" s="230"/>
      <c r="CU823" s="230"/>
      <c r="CV823" s="335">
        <f t="shared" si="252"/>
        <v>10.563796490499707</v>
      </c>
      <c r="CW823" s="230">
        <f t="shared" si="247"/>
        <v>1</v>
      </c>
      <c r="CX823" s="336"/>
      <c r="CY823" s="230" t="s">
        <v>5921</v>
      </c>
    </row>
    <row r="824" spans="1:103" ht="11.25" customHeight="1" x14ac:dyDescent="0.2">
      <c r="A824" s="72">
        <v>822</v>
      </c>
      <c r="B824" s="224">
        <v>1893</v>
      </c>
      <c r="C824" s="46" t="s">
        <v>330</v>
      </c>
      <c r="D824" s="46" t="s">
        <v>8360</v>
      </c>
      <c r="E824" s="114"/>
      <c r="F824" s="114" t="s">
        <v>5362</v>
      </c>
      <c r="G824" s="225">
        <v>83670</v>
      </c>
      <c r="H824" s="47" t="s">
        <v>331</v>
      </c>
      <c r="I824" s="47" t="s">
        <v>331</v>
      </c>
      <c r="J824" s="47" t="s">
        <v>332</v>
      </c>
      <c r="K824" s="47" t="s">
        <v>333</v>
      </c>
      <c r="L824" s="47" t="s">
        <v>279</v>
      </c>
      <c r="M824" s="47" t="s">
        <v>334</v>
      </c>
      <c r="N824" s="47"/>
      <c r="O824" s="47" t="s">
        <v>281</v>
      </c>
      <c r="P824" s="53"/>
      <c r="Q824" s="53"/>
      <c r="R824" s="53"/>
      <c r="S824" s="53"/>
      <c r="T824" s="48">
        <v>180.16</v>
      </c>
      <c r="U824" s="98">
        <v>1.8317051509769096</v>
      </c>
      <c r="V824" s="98">
        <v>69.271758436944936</v>
      </c>
      <c r="W824" s="98">
        <v>40.738027780411272</v>
      </c>
      <c r="X824" s="98">
        <v>1.8317051509769096</v>
      </c>
      <c r="Y824" s="233">
        <v>5.67</v>
      </c>
      <c r="Z824" s="48">
        <v>-0.05</v>
      </c>
      <c r="AA824" s="48">
        <v>-0.78</v>
      </c>
      <c r="AB824" s="48">
        <v>-0.23</v>
      </c>
      <c r="AC824" s="48">
        <v>0.84499999999999997</v>
      </c>
      <c r="AD824" s="48">
        <v>-0.34</v>
      </c>
      <c r="AE824" s="48">
        <v>-0.72</v>
      </c>
      <c r="AF824" s="48">
        <f t="shared" si="254"/>
        <v>-0.78</v>
      </c>
      <c r="AG824" s="49">
        <v>-0.25</v>
      </c>
      <c r="AH824" s="98">
        <v>1.6300000000000001E-11</v>
      </c>
      <c r="AI824" s="98"/>
      <c r="AJ824" s="483">
        <f t="shared" si="256"/>
        <v>-9.1763787219086943</v>
      </c>
      <c r="AK824" s="483"/>
      <c r="AL824" s="483">
        <f t="shared" si="255"/>
        <v>-9.1763787219086943</v>
      </c>
      <c r="AM824" s="483">
        <v>-13.55288</v>
      </c>
      <c r="AN824" s="226">
        <v>-7.34</v>
      </c>
      <c r="AO824" s="484">
        <v>9.9</v>
      </c>
      <c r="AP824" s="484">
        <v>0.41</v>
      </c>
      <c r="AQ824" s="226" t="s">
        <v>6311</v>
      </c>
      <c r="AR824" s="226" t="s">
        <v>6311</v>
      </c>
      <c r="AS824" s="224"/>
      <c r="AT824" s="50" t="s">
        <v>266</v>
      </c>
      <c r="AU824" s="48">
        <v>6</v>
      </c>
      <c r="AV824" s="48">
        <v>120</v>
      </c>
      <c r="AW824" s="48">
        <v>114</v>
      </c>
      <c r="AX824" s="48">
        <v>28</v>
      </c>
      <c r="AY824" s="48" t="s">
        <v>8728</v>
      </c>
      <c r="AZ824" s="48" t="s">
        <v>1563</v>
      </c>
      <c r="BA824" s="48">
        <v>32</v>
      </c>
      <c r="BB824" s="47" t="s">
        <v>2485</v>
      </c>
      <c r="BC824" s="47" t="s">
        <v>8726</v>
      </c>
      <c r="BD824" s="47" t="s">
        <v>8374</v>
      </c>
      <c r="BE824" s="48" t="s">
        <v>2449</v>
      </c>
      <c r="BF824" s="48" t="s">
        <v>272</v>
      </c>
      <c r="BG824" s="48" t="s">
        <v>272</v>
      </c>
      <c r="BH824" s="48" t="s">
        <v>2486</v>
      </c>
      <c r="BI824" s="98">
        <v>6.3999999999999997E-6</v>
      </c>
      <c r="BJ824" s="98">
        <v>6.4000000000000001E-2</v>
      </c>
      <c r="BK824" s="48"/>
      <c r="BL824" s="98">
        <f t="shared" si="253"/>
        <v>56.977711251980331</v>
      </c>
      <c r="BM824" s="47" t="s">
        <v>2487</v>
      </c>
      <c r="BN824" s="48"/>
      <c r="BO824" s="48"/>
      <c r="BP824" s="48"/>
      <c r="BQ824" s="48"/>
      <c r="BR824" s="47" t="s">
        <v>2496</v>
      </c>
      <c r="BS824" s="48"/>
      <c r="BT824" s="48"/>
      <c r="BU824" s="228"/>
      <c r="BV824" s="48"/>
      <c r="BW824" s="48"/>
      <c r="BX824" s="48"/>
      <c r="BY824" s="48"/>
      <c r="BZ824" s="48"/>
      <c r="CA824" s="48"/>
      <c r="CB824" s="48"/>
      <c r="CC824" s="48"/>
      <c r="CD824" s="48"/>
      <c r="CE824" s="48"/>
      <c r="CF824" s="48"/>
      <c r="CG824" s="48"/>
      <c r="CH824" s="48"/>
      <c r="CI824" s="98"/>
      <c r="CJ824" s="98"/>
      <c r="CK824" s="49">
        <f t="shared" si="248"/>
        <v>890.27673831219261</v>
      </c>
      <c r="CL824" s="229"/>
      <c r="CM824" s="229"/>
      <c r="CN824" s="229"/>
      <c r="CO824" s="47" t="s">
        <v>2488</v>
      </c>
      <c r="CP824" s="47" t="s">
        <v>2489</v>
      </c>
      <c r="CQ824" s="224" t="s">
        <v>272</v>
      </c>
      <c r="CR824" s="224"/>
      <c r="CS824" s="230" t="s">
        <v>539</v>
      </c>
      <c r="CT824" s="230"/>
      <c r="CU824" s="230"/>
      <c r="CV824" s="335">
        <f t="shared" si="252"/>
        <v>28.62039298401421</v>
      </c>
      <c r="CW824" s="230">
        <f t="shared" si="247"/>
        <v>1</v>
      </c>
      <c r="CX824" s="336"/>
      <c r="CY824" s="230" t="s">
        <v>5921</v>
      </c>
    </row>
    <row r="825" spans="1:103" ht="11.25" customHeight="1" x14ac:dyDescent="0.2">
      <c r="A825" s="72">
        <v>823</v>
      </c>
      <c r="B825" s="224">
        <v>470</v>
      </c>
      <c r="C825" s="46" t="s">
        <v>1874</v>
      </c>
      <c r="D825" s="46"/>
      <c r="E825" s="114"/>
      <c r="F825" s="114" t="s">
        <v>1875</v>
      </c>
      <c r="G825" s="225">
        <v>83794</v>
      </c>
      <c r="H825" s="47" t="s">
        <v>1876</v>
      </c>
      <c r="I825" s="47" t="s">
        <v>1876</v>
      </c>
      <c r="J825" s="47" t="s">
        <v>1877</v>
      </c>
      <c r="K825" s="47" t="s">
        <v>1878</v>
      </c>
      <c r="L825" s="47" t="s">
        <v>617</v>
      </c>
      <c r="M825" s="47" t="s">
        <v>6099</v>
      </c>
      <c r="N825" s="47" t="s">
        <v>6381</v>
      </c>
      <c r="O825" s="47" t="s">
        <v>6100</v>
      </c>
      <c r="P825" s="53"/>
      <c r="Q825" s="53"/>
      <c r="R825" s="53"/>
      <c r="S825" s="53"/>
      <c r="T825" s="48">
        <v>394.42</v>
      </c>
      <c r="U825" s="98">
        <v>5.0707367780538509E-4</v>
      </c>
      <c r="V825" s="98">
        <v>2.6494599665331368E-3</v>
      </c>
      <c r="W825" s="98">
        <v>6.9183097091893536E-4</v>
      </c>
      <c r="X825" s="98">
        <v>5.0707367780538509E-4</v>
      </c>
      <c r="Y825" s="233">
        <v>7</v>
      </c>
      <c r="Z825" s="48">
        <v>4.3099999999999996</v>
      </c>
      <c r="AA825" s="48">
        <v>4.0999999999999996</v>
      </c>
      <c r="AB825" s="48">
        <v>3.96</v>
      </c>
      <c r="AC825" s="48">
        <v>0.64770000000000005</v>
      </c>
      <c r="AD825" s="48">
        <v>4.24</v>
      </c>
      <c r="AE825" s="48">
        <v>4.6500000000000004</v>
      </c>
      <c r="AF825" s="48">
        <f t="shared" si="254"/>
        <v>4.0999999999999996</v>
      </c>
      <c r="AG825" s="49">
        <v>3.51</v>
      </c>
      <c r="AH825" s="98">
        <v>1.12E-13</v>
      </c>
      <c r="AI825" s="98"/>
      <c r="AJ825" s="483">
        <f t="shared" si="256"/>
        <v>-11.33934830364247</v>
      </c>
      <c r="AK825" s="483"/>
      <c r="AL825" s="483">
        <f t="shared" si="255"/>
        <v>-11.33934830364247</v>
      </c>
      <c r="AM825" s="483">
        <v>-18.712900000000001</v>
      </c>
      <c r="AN825" s="226">
        <v>-13</v>
      </c>
      <c r="AO825" s="484"/>
      <c r="AP825" s="484"/>
      <c r="AQ825" s="226" t="s">
        <v>6311</v>
      </c>
      <c r="AR825" s="226" t="s">
        <v>6311</v>
      </c>
      <c r="AS825" s="224" t="s">
        <v>6</v>
      </c>
      <c r="AT825" s="50" t="s">
        <v>266</v>
      </c>
      <c r="AU825" s="48">
        <v>8</v>
      </c>
      <c r="AV825" s="48">
        <v>144</v>
      </c>
      <c r="AW825" s="48">
        <v>120</v>
      </c>
      <c r="AX825" s="48">
        <v>26</v>
      </c>
      <c r="AY825" s="48" t="s">
        <v>267</v>
      </c>
      <c r="AZ825" s="48" t="s">
        <v>2253</v>
      </c>
      <c r="BA825" s="48">
        <v>3</v>
      </c>
      <c r="BB825" s="47" t="s">
        <v>2254</v>
      </c>
      <c r="BC825" s="47" t="s">
        <v>270</v>
      </c>
      <c r="BD825" s="47" t="s">
        <v>8374</v>
      </c>
      <c r="BE825" s="48" t="s">
        <v>1712</v>
      </c>
      <c r="BF825" s="48" t="s">
        <v>272</v>
      </c>
      <c r="BG825" s="48" t="s">
        <v>272</v>
      </c>
      <c r="BH825" s="48" t="s">
        <v>2255</v>
      </c>
      <c r="BI825" s="98">
        <v>9.9999999999999995E-7</v>
      </c>
      <c r="BJ825" s="98">
        <v>0.08</v>
      </c>
      <c r="BK825" s="48"/>
      <c r="BL825" s="98">
        <f t="shared" si="253"/>
        <v>6.9181344814436396E-3</v>
      </c>
      <c r="BM825" s="48" t="s">
        <v>891</v>
      </c>
      <c r="BN825" s="233"/>
      <c r="BO825" s="233"/>
      <c r="BP825" s="233"/>
      <c r="BQ825" s="233"/>
      <c r="BR825" s="233"/>
      <c r="BS825" s="48"/>
      <c r="BT825" s="233"/>
      <c r="BU825" s="228"/>
      <c r="BV825" s="233"/>
      <c r="BW825" s="233"/>
      <c r="BX825" s="233"/>
      <c r="BY825" s="233"/>
      <c r="BZ825" s="233"/>
      <c r="CA825" s="233"/>
      <c r="CB825" s="233"/>
      <c r="CC825" s="48"/>
      <c r="CD825" s="48"/>
      <c r="CE825" s="48"/>
      <c r="CF825" s="48"/>
      <c r="CG825" s="233"/>
      <c r="CH825" s="48"/>
      <c r="CI825" s="98"/>
      <c r="CJ825" s="98"/>
      <c r="CK825" s="49">
        <f t="shared" si="248"/>
        <v>8.6476681018045495E-2</v>
      </c>
      <c r="CL825" s="229"/>
      <c r="CM825" s="229">
        <v>-4.6043685997444435</v>
      </c>
      <c r="CN825" s="229">
        <f>BJ825/(10^CM825)</f>
        <v>3217.0557474711341</v>
      </c>
      <c r="CO825" s="47" t="s">
        <v>892</v>
      </c>
      <c r="CP825" s="47" t="s">
        <v>893</v>
      </c>
      <c r="CQ825" s="224">
        <v>-4.2059349606899765</v>
      </c>
      <c r="CR825" s="224">
        <f t="shared" ref="CR825:CR835" si="257">10^(CJ825-CQ825)</f>
        <v>16067.006178468084</v>
      </c>
      <c r="CS825" s="230" t="s">
        <v>539</v>
      </c>
      <c r="CT825" s="230"/>
      <c r="CU825" s="230"/>
      <c r="CV825" s="335">
        <f t="shared" si="252"/>
        <v>6.3384209725673131E-3</v>
      </c>
      <c r="CW825" s="230">
        <f t="shared" si="247"/>
        <v>0</v>
      </c>
      <c r="CX825" s="336" t="s">
        <v>539</v>
      </c>
      <c r="CY825" s="230" t="s">
        <v>5921</v>
      </c>
    </row>
    <row r="826" spans="1:103" ht="11.25" customHeight="1" x14ac:dyDescent="0.2">
      <c r="A826" s="72">
        <v>824</v>
      </c>
      <c r="B826" s="224">
        <v>1101</v>
      </c>
      <c r="C826" s="46" t="s">
        <v>1812</v>
      </c>
      <c r="D826" s="46"/>
      <c r="E826" s="114"/>
      <c r="F826" s="114" t="s">
        <v>1813</v>
      </c>
      <c r="G826" s="225">
        <v>84662</v>
      </c>
      <c r="H826" s="47" t="s">
        <v>1814</v>
      </c>
      <c r="I826" s="47" t="s">
        <v>1814</v>
      </c>
      <c r="J826" s="47" t="s">
        <v>1815</v>
      </c>
      <c r="K826" s="47" t="s">
        <v>357</v>
      </c>
      <c r="L826" s="47" t="s">
        <v>5527</v>
      </c>
      <c r="M826" s="47" t="s">
        <v>6082</v>
      </c>
      <c r="N826" s="47"/>
      <c r="O826" s="47" t="s">
        <v>6083</v>
      </c>
      <c r="P826" s="53"/>
      <c r="Q826" s="53" t="s">
        <v>6173</v>
      </c>
      <c r="R826" s="53" t="s">
        <v>6174</v>
      </c>
      <c r="S826" s="53" t="s">
        <v>6176</v>
      </c>
      <c r="T826" s="48">
        <v>222.24</v>
      </c>
      <c r="U826" s="98">
        <v>4.8596112311015114</v>
      </c>
      <c r="V826" s="98">
        <v>1.2922966162706981</v>
      </c>
      <c r="W826" s="98">
        <v>2.4547089156850301</v>
      </c>
      <c r="X826" s="98">
        <v>4.8596112311015114</v>
      </c>
      <c r="Y826" s="233">
        <v>7</v>
      </c>
      <c r="Z826" s="48">
        <v>2.65</v>
      </c>
      <c r="AA826" s="48">
        <v>2.42</v>
      </c>
      <c r="AB826" s="48">
        <v>2.72</v>
      </c>
      <c r="AC826" s="48">
        <v>0.77739999999999998</v>
      </c>
      <c r="AD826" s="48">
        <v>2.72</v>
      </c>
      <c r="AE826" s="48">
        <v>2.7</v>
      </c>
      <c r="AF826" s="48">
        <f t="shared" si="254"/>
        <v>2.42</v>
      </c>
      <c r="AG826" s="49">
        <v>2.38</v>
      </c>
      <c r="AH826" s="98">
        <v>3.9400000000000001E-7</v>
      </c>
      <c r="AI826" s="98">
        <v>6.0999999999999998E-7</v>
      </c>
      <c r="AJ826" s="483">
        <f t="shared" si="256"/>
        <v>-4.7930701044870778</v>
      </c>
      <c r="AK826" s="483">
        <f>LOG10(AI826*1000/(0.08206*298.15))</f>
        <v>-4.6032364913018844</v>
      </c>
      <c r="AL826" s="483">
        <f t="shared" si="255"/>
        <v>-4.6032364913018844</v>
      </c>
      <c r="AM826" s="483">
        <v>-8.4111799999999999</v>
      </c>
      <c r="AN826" s="226">
        <v>-5.19</v>
      </c>
      <c r="AO826" s="484"/>
      <c r="AP826" s="484"/>
      <c r="AQ826" s="48" t="s">
        <v>6311</v>
      </c>
      <c r="AR826" s="48" t="s">
        <v>6312</v>
      </c>
      <c r="AS826" s="227"/>
      <c r="AT826" s="50" t="s">
        <v>266</v>
      </c>
      <c r="AU826" s="48">
        <v>6</v>
      </c>
      <c r="AV826" s="48">
        <v>120</v>
      </c>
      <c r="AW826" s="48">
        <v>114</v>
      </c>
      <c r="AX826" s="48">
        <v>28</v>
      </c>
      <c r="AY826" s="48" t="s">
        <v>8728</v>
      </c>
      <c r="AZ826" s="48" t="s">
        <v>1563</v>
      </c>
      <c r="BA826" s="48">
        <v>32</v>
      </c>
      <c r="BB826" s="47" t="s">
        <v>2485</v>
      </c>
      <c r="BC826" s="47" t="s">
        <v>8726</v>
      </c>
      <c r="BD826" s="47" t="s">
        <v>8374</v>
      </c>
      <c r="BE826" s="48" t="s">
        <v>2449</v>
      </c>
      <c r="BF826" s="48" t="s">
        <v>272</v>
      </c>
      <c r="BG826" s="48" t="s">
        <v>272</v>
      </c>
      <c r="BH826" s="48" t="s">
        <v>2486</v>
      </c>
      <c r="BI826" s="98">
        <v>6.3999999999999997E-6</v>
      </c>
      <c r="BJ826" s="98">
        <v>6.4000000000000001E-2</v>
      </c>
      <c r="BK826" s="48"/>
      <c r="BL826" s="98">
        <f t="shared" si="253"/>
        <v>0.21420766147449449</v>
      </c>
      <c r="BM826" s="47" t="s">
        <v>2487</v>
      </c>
      <c r="BN826" s="48"/>
      <c r="BO826" s="48"/>
      <c r="BP826" s="48"/>
      <c r="BQ826" s="48"/>
      <c r="BR826" s="47" t="s">
        <v>2496</v>
      </c>
      <c r="BS826" s="48"/>
      <c r="BT826" s="48"/>
      <c r="BU826" s="228">
        <v>6.4000000000000001E-2</v>
      </c>
      <c r="BV826" s="48"/>
      <c r="BW826" s="48"/>
      <c r="BX826" s="48"/>
      <c r="BY826" s="48"/>
      <c r="BZ826" s="48"/>
      <c r="CA826" s="48"/>
      <c r="CB826" s="48"/>
      <c r="CC826" s="48"/>
      <c r="CD826" s="48"/>
      <c r="CE826" s="48"/>
      <c r="CF826" s="48"/>
      <c r="CG826" s="48"/>
      <c r="CH826" s="48"/>
      <c r="CI826" s="98"/>
      <c r="CJ826" s="98"/>
      <c r="CK826" s="49">
        <f t="shared" si="248"/>
        <v>3.3469947105389766</v>
      </c>
      <c r="CL826" s="229"/>
      <c r="CM826" s="229"/>
      <c r="CN826" s="229"/>
      <c r="CO826" s="47" t="s">
        <v>2488</v>
      </c>
      <c r="CP826" s="47" t="s">
        <v>2489</v>
      </c>
      <c r="CQ826" s="224">
        <v>-0.86614632142010306</v>
      </c>
      <c r="CR826" s="224">
        <f t="shared" si="257"/>
        <v>7.347613804417767</v>
      </c>
      <c r="CS826" s="230" t="s">
        <v>539</v>
      </c>
      <c r="CT826" s="230"/>
      <c r="CU826" s="230"/>
      <c r="CV826" s="335">
        <f t="shared" si="252"/>
        <v>75.931425485961114</v>
      </c>
      <c r="CW826" s="230">
        <f t="shared" si="247"/>
        <v>1</v>
      </c>
      <c r="CX826" s="336"/>
      <c r="CY826" s="230" t="s">
        <v>6351</v>
      </c>
    </row>
    <row r="827" spans="1:103" ht="11.25" customHeight="1" x14ac:dyDescent="0.2">
      <c r="A827" s="72">
        <v>825</v>
      </c>
      <c r="B827" s="224">
        <v>1106</v>
      </c>
      <c r="C827" s="46" t="s">
        <v>7027</v>
      </c>
      <c r="D827" s="46" t="s">
        <v>8371</v>
      </c>
      <c r="E827" s="114"/>
      <c r="F827" s="114" t="s">
        <v>3093</v>
      </c>
      <c r="G827" s="225">
        <v>84695</v>
      </c>
      <c r="H827" s="47" t="s">
        <v>3094</v>
      </c>
      <c r="I827" s="47" t="s">
        <v>3094</v>
      </c>
      <c r="J827" s="47" t="s">
        <v>3095</v>
      </c>
      <c r="K827" s="47" t="s">
        <v>357</v>
      </c>
      <c r="L827" s="47" t="s">
        <v>5527</v>
      </c>
      <c r="M827" s="47" t="s">
        <v>2342</v>
      </c>
      <c r="N827" s="47" t="s">
        <v>2342</v>
      </c>
      <c r="O827" s="47"/>
      <c r="P827" s="53"/>
      <c r="Q827" s="53" t="s">
        <v>6173</v>
      </c>
      <c r="R827" s="53" t="s">
        <v>6082</v>
      </c>
      <c r="S827" s="53" t="s">
        <v>6173</v>
      </c>
      <c r="T827" s="48">
        <v>278.33999999999997</v>
      </c>
      <c r="U827" s="98">
        <v>2.2274915570884533E-2</v>
      </c>
      <c r="V827" s="98">
        <v>1.818279801681397E-2</v>
      </c>
      <c r="W827" s="98">
        <v>0.10715193052376051</v>
      </c>
      <c r="X827" s="98">
        <v>2.2274915570884533E-2</v>
      </c>
      <c r="Y827" s="233">
        <v>7</v>
      </c>
      <c r="Z827" s="48">
        <v>4.46</v>
      </c>
      <c r="AA827" s="48">
        <v>4.1100000000000003</v>
      </c>
      <c r="AB827" s="48">
        <v>4.25</v>
      </c>
      <c r="AC827" s="48">
        <v>0.72309999999999997</v>
      </c>
      <c r="AD827" s="48">
        <v>4.33</v>
      </c>
      <c r="AE827" s="48">
        <v>4.46</v>
      </c>
      <c r="AF827" s="48">
        <f t="shared" si="254"/>
        <v>4.1100000000000003</v>
      </c>
      <c r="AG827" s="49">
        <v>3.8</v>
      </c>
      <c r="AH827" s="98">
        <v>1.22E-6</v>
      </c>
      <c r="AI827" s="98"/>
      <c r="AJ827" s="483">
        <f t="shared" si="256"/>
        <v>-4.302206495637904</v>
      </c>
      <c r="AK827" s="483"/>
      <c r="AL827" s="483">
        <f t="shared" si="255"/>
        <v>-4.302206495637904</v>
      </c>
      <c r="AM827" s="483">
        <v>-9.0742700000000003</v>
      </c>
      <c r="AN827" s="226">
        <v>-4.67</v>
      </c>
      <c r="AO827" s="484"/>
      <c r="AP827" s="484"/>
      <c r="AQ827" s="48" t="s">
        <v>6311</v>
      </c>
      <c r="AR827" s="48" t="s">
        <v>6312</v>
      </c>
      <c r="AS827" s="227"/>
      <c r="AT827" s="50" t="s">
        <v>266</v>
      </c>
      <c r="AU827" s="48">
        <v>6</v>
      </c>
      <c r="AV827" s="48">
        <v>120</v>
      </c>
      <c r="AW827" s="48">
        <v>114</v>
      </c>
      <c r="AX827" s="48">
        <v>28</v>
      </c>
      <c r="AY827" s="48" t="s">
        <v>8728</v>
      </c>
      <c r="AZ827" s="48" t="s">
        <v>1563</v>
      </c>
      <c r="BA827" s="48">
        <v>32</v>
      </c>
      <c r="BB827" s="47" t="s">
        <v>2485</v>
      </c>
      <c r="BC827" s="47" t="s">
        <v>8726</v>
      </c>
      <c r="BD827" s="47" t="s">
        <v>8374</v>
      </c>
      <c r="BE827" s="48" t="s">
        <v>2449</v>
      </c>
      <c r="BF827" s="48" t="s">
        <v>272</v>
      </c>
      <c r="BG827" s="48" t="s">
        <v>272</v>
      </c>
      <c r="BH827" s="48" t="s">
        <v>2486</v>
      </c>
      <c r="BI827" s="98">
        <v>6.3999999999999997E-6</v>
      </c>
      <c r="BJ827" s="98">
        <v>6.4000000000000001E-2</v>
      </c>
      <c r="BK827" s="48"/>
      <c r="BL827" s="98">
        <f t="shared" si="253"/>
        <v>5.0731067385228461E-3</v>
      </c>
      <c r="BM827" s="47" t="s">
        <v>2487</v>
      </c>
      <c r="BN827" s="48"/>
      <c r="BO827" s="48"/>
      <c r="BP827" s="48"/>
      <c r="BQ827" s="48"/>
      <c r="BR827" s="47" t="s">
        <v>2496</v>
      </c>
      <c r="BS827" s="48"/>
      <c r="BT827" s="48"/>
      <c r="BU827" s="228">
        <v>6.4000000000000001E-2</v>
      </c>
      <c r="BV827" s="48"/>
      <c r="BW827" s="48"/>
      <c r="BX827" s="48"/>
      <c r="BY827" s="48"/>
      <c r="BZ827" s="48"/>
      <c r="CA827" s="48"/>
      <c r="CB827" s="48"/>
      <c r="CC827" s="48"/>
      <c r="CD827" s="48"/>
      <c r="CE827" s="48"/>
      <c r="CF827" s="48"/>
      <c r="CG827" s="48"/>
      <c r="CH827" s="48"/>
      <c r="CI827" s="98"/>
      <c r="CJ827" s="98"/>
      <c r="CK827" s="49">
        <f t="shared" si="248"/>
        <v>7.9267292789419463E-2</v>
      </c>
      <c r="CL827" s="229"/>
      <c r="CM827" s="229"/>
      <c r="CN827" s="229"/>
      <c r="CO827" s="47" t="s">
        <v>2488</v>
      </c>
      <c r="CP827" s="47" t="s">
        <v>2489</v>
      </c>
      <c r="CQ827" s="224">
        <v>-2.4903331134630782</v>
      </c>
      <c r="CR827" s="224">
        <f t="shared" si="257"/>
        <v>309.26666666666671</v>
      </c>
      <c r="CS827" s="230" t="s">
        <v>539</v>
      </c>
      <c r="CT827" s="230"/>
      <c r="CU827" s="230"/>
      <c r="CV827" s="335">
        <f t="shared" si="252"/>
        <v>0.34804555579507085</v>
      </c>
      <c r="CW827" s="230">
        <f t="shared" si="247"/>
        <v>0</v>
      </c>
      <c r="CX827" s="336"/>
      <c r="CY827" s="230" t="s">
        <v>6351</v>
      </c>
    </row>
    <row r="828" spans="1:103" ht="11.25" customHeight="1" x14ac:dyDescent="0.2">
      <c r="A828" s="72">
        <v>826</v>
      </c>
      <c r="B828" s="224">
        <v>1593</v>
      </c>
      <c r="C828" s="46" t="s">
        <v>7028</v>
      </c>
      <c r="D828" s="46" t="s">
        <v>6673</v>
      </c>
      <c r="E828" s="114"/>
      <c r="F828" s="114" t="s">
        <v>1096</v>
      </c>
      <c r="G828" s="225">
        <v>84742</v>
      </c>
      <c r="H828" s="47" t="s">
        <v>1097</v>
      </c>
      <c r="I828" s="47" t="s">
        <v>1097</v>
      </c>
      <c r="J828" s="47" t="s">
        <v>1098</v>
      </c>
      <c r="K828" s="47" t="s">
        <v>357</v>
      </c>
      <c r="L828" s="47" t="s">
        <v>5492</v>
      </c>
      <c r="M828" s="47" t="s">
        <v>866</v>
      </c>
      <c r="N828" s="47" t="s">
        <v>6082</v>
      </c>
      <c r="O828" s="47" t="s">
        <v>6086</v>
      </c>
      <c r="P828" s="53"/>
      <c r="Q828" s="53" t="s">
        <v>6173</v>
      </c>
      <c r="R828" s="53" t="s">
        <v>6174</v>
      </c>
      <c r="S828" s="53" t="s">
        <v>6176</v>
      </c>
      <c r="T828" s="48">
        <v>278.33999999999997</v>
      </c>
      <c r="U828" s="98">
        <v>4.0238557160307539E-2</v>
      </c>
      <c r="V828" s="98">
        <v>8.4465042753466991E-3</v>
      </c>
      <c r="W828" s="98">
        <v>8.9125093813374523E-2</v>
      </c>
      <c r="X828" s="98">
        <v>4.0238557160307539E-2</v>
      </c>
      <c r="Y828" s="233">
        <v>7</v>
      </c>
      <c r="Z828" s="48">
        <v>4.6100000000000003</v>
      </c>
      <c r="AA828" s="48">
        <v>4.5</v>
      </c>
      <c r="AB828" s="48">
        <v>4.62</v>
      </c>
      <c r="AC828" s="48">
        <v>0.79549999999999998</v>
      </c>
      <c r="AD828" s="48">
        <v>4.68</v>
      </c>
      <c r="AE828" s="48">
        <v>4.83</v>
      </c>
      <c r="AF828" s="48">
        <f t="shared" si="254"/>
        <v>4.5</v>
      </c>
      <c r="AG828" s="49">
        <v>3.98</v>
      </c>
      <c r="AH828" s="98">
        <v>1.22E-6</v>
      </c>
      <c r="AI828" s="98">
        <v>1.81E-6</v>
      </c>
      <c r="AJ828" s="483">
        <f t="shared" si="256"/>
        <v>-4.302206495637904</v>
      </c>
      <c r="AK828" s="483">
        <f>LOG10(AI828*1000/(0.08206*298.15))</f>
        <v>-4.130887751443467</v>
      </c>
      <c r="AL828" s="483">
        <f t="shared" si="255"/>
        <v>-4.130887751443467</v>
      </c>
      <c r="AM828" s="483">
        <v>-8.9484100000000009</v>
      </c>
      <c r="AN828" s="226">
        <v>-4.67</v>
      </c>
      <c r="AO828" s="484"/>
      <c r="AP828" s="484"/>
      <c r="AQ828" s="48" t="s">
        <v>6311</v>
      </c>
      <c r="AR828" s="48" t="s">
        <v>6312</v>
      </c>
      <c r="AS828" s="227"/>
      <c r="AT828" s="50" t="s">
        <v>266</v>
      </c>
      <c r="AU828" s="48">
        <v>6</v>
      </c>
      <c r="AV828" s="48">
        <v>120</v>
      </c>
      <c r="AW828" s="48">
        <v>114</v>
      </c>
      <c r="AX828" s="48">
        <v>28</v>
      </c>
      <c r="AY828" s="48" t="s">
        <v>8728</v>
      </c>
      <c r="AZ828" s="48" t="s">
        <v>1563</v>
      </c>
      <c r="BA828" s="48">
        <v>32</v>
      </c>
      <c r="BB828" s="47" t="s">
        <v>2485</v>
      </c>
      <c r="BC828" s="47" t="s">
        <v>8726</v>
      </c>
      <c r="BD828" s="47" t="s">
        <v>8374</v>
      </c>
      <c r="BE828" s="48" t="s">
        <v>2449</v>
      </c>
      <c r="BF828" s="48" t="s">
        <v>272</v>
      </c>
      <c r="BG828" s="48" t="s">
        <v>272</v>
      </c>
      <c r="BH828" s="48" t="s">
        <v>2486</v>
      </c>
      <c r="BI828" s="98">
        <v>6.3999999999999997E-6</v>
      </c>
      <c r="BJ828" s="98">
        <v>6.4000000000000001E-2</v>
      </c>
      <c r="BK828" s="48"/>
      <c r="BL828" s="98">
        <f t="shared" si="253"/>
        <v>3.7201375673569328E-3</v>
      </c>
      <c r="BM828" s="47" t="s">
        <v>2487</v>
      </c>
      <c r="BN828" s="48"/>
      <c r="BO828" s="48"/>
      <c r="BP828" s="48"/>
      <c r="BQ828" s="48"/>
      <c r="BR828" s="47" t="s">
        <v>2496</v>
      </c>
      <c r="BS828" s="48"/>
      <c r="BT828" s="48"/>
      <c r="BU828" s="228"/>
      <c r="BV828" s="48"/>
      <c r="BW828" s="48"/>
      <c r="BX828" s="48"/>
      <c r="BY828" s="48"/>
      <c r="BZ828" s="48"/>
      <c r="CA828" s="48"/>
      <c r="CB828" s="48"/>
      <c r="CC828" s="48"/>
      <c r="CD828" s="48"/>
      <c r="CE828" s="48"/>
      <c r="CF828" s="48"/>
      <c r="CG828" s="48"/>
      <c r="CH828" s="48"/>
      <c r="CI828" s="98"/>
      <c r="CJ828" s="98"/>
      <c r="CK828" s="49">
        <f t="shared" si="248"/>
        <v>5.8127149489952075E-2</v>
      </c>
      <c r="CL828" s="229"/>
      <c r="CM828" s="229">
        <v>-2.3583644594795694</v>
      </c>
      <c r="CN828" s="229">
        <f>BJ828/(10^CM828)</f>
        <v>14.606441829772873</v>
      </c>
      <c r="CO828" s="47" t="s">
        <v>2488</v>
      </c>
      <c r="CP828" s="47" t="s">
        <v>2489</v>
      </c>
      <c r="CQ828" s="224">
        <v>-2.294003281648453</v>
      </c>
      <c r="CR828" s="224">
        <f t="shared" si="257"/>
        <v>196.79011596526234</v>
      </c>
      <c r="CS828" s="230" t="s">
        <v>539</v>
      </c>
      <c r="CT828" s="230"/>
      <c r="CU828" s="230"/>
      <c r="CV828" s="335">
        <f t="shared" si="252"/>
        <v>0.62872745562980525</v>
      </c>
      <c r="CW828" s="230">
        <f t="shared" si="247"/>
        <v>0</v>
      </c>
      <c r="CX828" s="336"/>
      <c r="CY828" s="230" t="s">
        <v>6351</v>
      </c>
    </row>
    <row r="829" spans="1:103" ht="11.25" customHeight="1" x14ac:dyDescent="0.2">
      <c r="A829" s="72">
        <v>827</v>
      </c>
      <c r="B829" s="224">
        <v>313</v>
      </c>
      <c r="C829" s="46" t="s">
        <v>7029</v>
      </c>
      <c r="D829" s="46"/>
      <c r="E829" s="114"/>
      <c r="F829" s="114" t="s">
        <v>3836</v>
      </c>
      <c r="G829" s="225">
        <v>85007</v>
      </c>
      <c r="H829" s="47" t="s">
        <v>2456</v>
      </c>
      <c r="I829" s="47" t="s">
        <v>2456</v>
      </c>
      <c r="J829" s="47" t="s">
        <v>2457</v>
      </c>
      <c r="K829" s="47" t="s">
        <v>426</v>
      </c>
      <c r="L829" s="47"/>
      <c r="M829" s="47"/>
      <c r="N829" s="47" t="s">
        <v>2342</v>
      </c>
      <c r="O829" s="47"/>
      <c r="P829" s="53"/>
      <c r="Q829" s="53" t="s">
        <v>6173</v>
      </c>
      <c r="R829" s="53" t="s">
        <v>6185</v>
      </c>
      <c r="S829" s="53" t="s">
        <v>6182</v>
      </c>
      <c r="T829" s="48">
        <v>344.05</v>
      </c>
      <c r="U829" s="98">
        <v>2057.8404301700334</v>
      </c>
      <c r="V829" s="98">
        <v>390.93155064670833</v>
      </c>
      <c r="W829" s="98"/>
      <c r="X829" s="98">
        <v>2057.8404301700334</v>
      </c>
      <c r="Y829" s="233"/>
      <c r="Z829" s="48">
        <v>-2.82</v>
      </c>
      <c r="AA829" s="48"/>
      <c r="AB829" s="48"/>
      <c r="AC829" s="48"/>
      <c r="AD829" s="48"/>
      <c r="AE829" s="48"/>
      <c r="AF829" s="48"/>
      <c r="AG829" s="49">
        <v>3.61</v>
      </c>
      <c r="AH829" s="98">
        <v>1.42E-13</v>
      </c>
      <c r="AI829" s="98"/>
      <c r="AJ829" s="483">
        <f t="shared" si="256"/>
        <v>-11.236277981929595</v>
      </c>
      <c r="AK829" s="483"/>
      <c r="AL829" s="483">
        <f t="shared" si="255"/>
        <v>-11.236277981929595</v>
      </c>
      <c r="AM829" s="483"/>
      <c r="AN829" s="226">
        <v>-10.4</v>
      </c>
      <c r="AO829" s="484"/>
      <c r="AP829" s="484"/>
      <c r="AQ829" s="226" t="s">
        <v>6311</v>
      </c>
      <c r="AR829" s="226" t="s">
        <v>6311</v>
      </c>
      <c r="AS829" s="224" t="s">
        <v>6</v>
      </c>
      <c r="AT829" s="50" t="s">
        <v>266</v>
      </c>
      <c r="AU829" s="48">
        <v>8</v>
      </c>
      <c r="AV829" s="48">
        <v>144</v>
      </c>
      <c r="AW829" s="48">
        <v>120</v>
      </c>
      <c r="AX829" s="48">
        <v>26</v>
      </c>
      <c r="AY829" s="48" t="s">
        <v>267</v>
      </c>
      <c r="AZ829" s="48" t="s">
        <v>2253</v>
      </c>
      <c r="BA829" s="48">
        <v>2</v>
      </c>
      <c r="BB829" s="47" t="s">
        <v>2254</v>
      </c>
      <c r="BC829" s="47" t="s">
        <v>270</v>
      </c>
      <c r="BD829" s="47" t="s">
        <v>8374</v>
      </c>
      <c r="BE829" s="48" t="s">
        <v>1712</v>
      </c>
      <c r="BF829" s="48" t="s">
        <v>272</v>
      </c>
      <c r="BG829" s="48" t="s">
        <v>272</v>
      </c>
      <c r="BH829" s="48" t="s">
        <v>2255</v>
      </c>
      <c r="BI829" s="98">
        <v>9.9999999999999995E-7</v>
      </c>
      <c r="BJ829" s="98">
        <v>0.08</v>
      </c>
      <c r="BK829" s="48"/>
      <c r="BL829" s="98">
        <f t="shared" si="253"/>
        <v>17516.284887157108</v>
      </c>
      <c r="BM829" s="48" t="s">
        <v>891</v>
      </c>
      <c r="BN829" s="233"/>
      <c r="BO829" s="233"/>
      <c r="BP829" s="233"/>
      <c r="BQ829" s="233"/>
      <c r="BR829" s="233"/>
      <c r="BS829" s="48"/>
      <c r="BT829" s="233"/>
      <c r="BU829" s="228"/>
      <c r="BV829" s="233"/>
      <c r="BW829" s="233"/>
      <c r="BX829" s="233"/>
      <c r="BY829" s="233"/>
      <c r="BZ829" s="233"/>
      <c r="CA829" s="233"/>
      <c r="CB829" s="233"/>
      <c r="CC829" s="48"/>
      <c r="CD829" s="48"/>
      <c r="CE829" s="48"/>
      <c r="CF829" s="48"/>
      <c r="CG829" s="233"/>
      <c r="CH829" s="48"/>
      <c r="CI829" s="98"/>
      <c r="CJ829" s="98"/>
      <c r="CK829" s="49">
        <f t="shared" si="248"/>
        <v>218953.56108946385</v>
      </c>
      <c r="CL829" s="229"/>
      <c r="CM829" s="229">
        <v>-1.3904935265041733</v>
      </c>
      <c r="CN829" s="229">
        <f>BJ829/(10^CM829)</f>
        <v>1.9660000000000009</v>
      </c>
      <c r="CO829" s="47" t="s">
        <v>892</v>
      </c>
      <c r="CP829" s="47" t="s">
        <v>893</v>
      </c>
      <c r="CQ829" s="224">
        <v>-0.60327780573567635</v>
      </c>
      <c r="CR829" s="224">
        <f t="shared" si="257"/>
        <v>4.0112322261071816</v>
      </c>
      <c r="CS829" s="230" t="s">
        <v>539</v>
      </c>
      <c r="CT829" s="230"/>
      <c r="CU829" s="230"/>
      <c r="CV829" s="335">
        <f t="shared" si="252"/>
        <v>25723.005377125417</v>
      </c>
      <c r="CW829" s="230">
        <f t="shared" si="247"/>
        <v>1</v>
      </c>
      <c r="CX829" s="336" t="s">
        <v>539</v>
      </c>
      <c r="CY829" s="230" t="s">
        <v>5921</v>
      </c>
    </row>
    <row r="830" spans="1:103" ht="11.25" customHeight="1" x14ac:dyDescent="0.2">
      <c r="A830" s="72">
        <v>828</v>
      </c>
      <c r="B830" s="224">
        <v>1814</v>
      </c>
      <c r="C830" s="46" t="s">
        <v>5208</v>
      </c>
      <c r="D830" s="46"/>
      <c r="E830" s="114"/>
      <c r="F830" s="114" t="s">
        <v>5209</v>
      </c>
      <c r="G830" s="225">
        <v>85018</v>
      </c>
      <c r="H830" s="47" t="s">
        <v>5210</v>
      </c>
      <c r="I830" s="47" t="s">
        <v>5210</v>
      </c>
      <c r="J830" s="47" t="s">
        <v>5211</v>
      </c>
      <c r="K830" s="47" t="s">
        <v>426</v>
      </c>
      <c r="L830" s="53" t="s">
        <v>5492</v>
      </c>
      <c r="M830" s="53" t="s">
        <v>866</v>
      </c>
      <c r="N830" s="47" t="s">
        <v>6082</v>
      </c>
      <c r="O830" s="53" t="s">
        <v>6086</v>
      </c>
      <c r="P830" s="53"/>
      <c r="Q830" s="53"/>
      <c r="R830" s="53"/>
      <c r="S830" s="53"/>
      <c r="T830" s="48">
        <v>178.23</v>
      </c>
      <c r="U830" s="98">
        <v>6.4523368680917915E-3</v>
      </c>
      <c r="V830" s="98">
        <v>3.798462660607081E-3</v>
      </c>
      <c r="W830" s="98">
        <v>2.5703957827688598E-3</v>
      </c>
      <c r="X830" s="98">
        <v>6.4523368680917915E-3</v>
      </c>
      <c r="Y830" s="233">
        <v>7</v>
      </c>
      <c r="Z830" s="48">
        <v>4.3499999999999996</v>
      </c>
      <c r="AA830" s="48">
        <v>4.46</v>
      </c>
      <c r="AB830" s="48">
        <v>4.72</v>
      </c>
      <c r="AC830" s="48">
        <v>0.88919999999999999</v>
      </c>
      <c r="AD830" s="48">
        <v>4.71</v>
      </c>
      <c r="AE830" s="48">
        <v>4.68</v>
      </c>
      <c r="AF830" s="48">
        <f t="shared" ref="AF830:AF893" si="258">IF(AA830=0,AD830,AA830)</f>
        <v>4.46</v>
      </c>
      <c r="AG830" s="49">
        <v>4.09</v>
      </c>
      <c r="AH830" s="98">
        <v>5.13E-5</v>
      </c>
      <c r="AI830" s="98">
        <v>4.2299999999999998E-5</v>
      </c>
      <c r="AJ830" s="483">
        <f t="shared" si="256"/>
        <v>-2.6784489612008358</v>
      </c>
      <c r="AK830" s="483">
        <f>LOG10(AI830*1000/(0.08206*298.15))</f>
        <v>-2.7622259589376097</v>
      </c>
      <c r="AL830" s="483">
        <f t="shared" si="255"/>
        <v>-2.7622259589376097</v>
      </c>
      <c r="AM830" s="483">
        <v>-6.7898499999999995</v>
      </c>
      <c r="AN830" s="226">
        <v>-2.78</v>
      </c>
      <c r="AO830" s="484"/>
      <c r="AP830" s="484"/>
      <c r="AQ830" s="226" t="s">
        <v>6311</v>
      </c>
      <c r="AR830" s="226" t="s">
        <v>6311</v>
      </c>
      <c r="AS830" s="224"/>
      <c r="AT830" s="50" t="s">
        <v>266</v>
      </c>
      <c r="AU830" s="48">
        <v>6</v>
      </c>
      <c r="AV830" s="48">
        <v>120</v>
      </c>
      <c r="AW830" s="48">
        <v>114</v>
      </c>
      <c r="AX830" s="48">
        <v>28</v>
      </c>
      <c r="AY830" s="48" t="s">
        <v>8728</v>
      </c>
      <c r="AZ830" s="48" t="s">
        <v>1563</v>
      </c>
      <c r="BA830" s="48">
        <v>32</v>
      </c>
      <c r="BB830" s="47" t="s">
        <v>2485</v>
      </c>
      <c r="BC830" s="47" t="s">
        <v>8726</v>
      </c>
      <c r="BD830" s="47" t="s">
        <v>8374</v>
      </c>
      <c r="BE830" s="48" t="s">
        <v>2449</v>
      </c>
      <c r="BF830" s="48" t="s">
        <v>272</v>
      </c>
      <c r="BG830" s="48" t="s">
        <v>272</v>
      </c>
      <c r="BH830" s="48" t="s">
        <v>2486</v>
      </c>
      <c r="BI830" s="98">
        <v>6.3999999999999997E-6</v>
      </c>
      <c r="BJ830" s="98">
        <v>6.4000000000000001E-2</v>
      </c>
      <c r="BK830" s="48"/>
      <c r="BL830" s="98">
        <f t="shared" si="253"/>
        <v>6.3689083597233938E-3</v>
      </c>
      <c r="BM830" s="47" t="s">
        <v>2487</v>
      </c>
      <c r="BN830" s="48"/>
      <c r="BO830" s="48"/>
      <c r="BP830" s="48"/>
      <c r="BQ830" s="48"/>
      <c r="BR830" s="47" t="s">
        <v>2496</v>
      </c>
      <c r="BS830" s="48"/>
      <c r="BT830" s="48"/>
      <c r="BU830" s="228"/>
      <c r="BV830" s="48"/>
      <c r="BW830" s="48"/>
      <c r="BX830" s="48"/>
      <c r="BY830" s="48"/>
      <c r="BZ830" s="48"/>
      <c r="CA830" s="48"/>
      <c r="CB830" s="48"/>
      <c r="CC830" s="48"/>
      <c r="CD830" s="48"/>
      <c r="CE830" s="48"/>
      <c r="CF830" s="48"/>
      <c r="CG830" s="48"/>
      <c r="CH830" s="48"/>
      <c r="CI830" s="98"/>
      <c r="CJ830" s="98"/>
      <c r="CK830" s="49">
        <f t="shared" si="248"/>
        <v>9.9514193120678024E-2</v>
      </c>
      <c r="CL830" s="229"/>
      <c r="CM830" s="229">
        <v>-2.8817649496862066</v>
      </c>
      <c r="CN830" s="229">
        <f>BJ830/(10^CM830)</f>
        <v>48.746666666666677</v>
      </c>
      <c r="CO830" s="47" t="s">
        <v>2488</v>
      </c>
      <c r="CP830" s="47" t="s">
        <v>2489</v>
      </c>
      <c r="CQ830" s="224">
        <v>-2.4348484392770935</v>
      </c>
      <c r="CR830" s="224">
        <f t="shared" si="257"/>
        <v>272.17513015738501</v>
      </c>
      <c r="CS830" s="230" t="s">
        <v>539</v>
      </c>
      <c r="CT830" s="230"/>
      <c r="CU830" s="230"/>
      <c r="CV830" s="335">
        <f t="shared" si="252"/>
        <v>0.10081776356393424</v>
      </c>
      <c r="CW830" s="230">
        <f t="shared" si="247"/>
        <v>0</v>
      </c>
      <c r="CX830" s="336"/>
      <c r="CY830" s="230" t="s">
        <v>5921</v>
      </c>
    </row>
    <row r="831" spans="1:103" ht="11.25" customHeight="1" x14ac:dyDescent="0.2">
      <c r="A831" s="72">
        <v>829</v>
      </c>
      <c r="B831" s="224">
        <v>1043</v>
      </c>
      <c r="C831" s="46" t="s">
        <v>7030</v>
      </c>
      <c r="D831" s="46"/>
      <c r="E831" s="114"/>
      <c r="F831" s="114" t="s">
        <v>2955</v>
      </c>
      <c r="G831" s="225">
        <v>85687</v>
      </c>
      <c r="H831" s="47" t="s">
        <v>2956</v>
      </c>
      <c r="I831" s="47" t="s">
        <v>2956</v>
      </c>
      <c r="J831" s="47" t="s">
        <v>2957</v>
      </c>
      <c r="K831" s="47" t="s">
        <v>357</v>
      </c>
      <c r="L831" s="47" t="s">
        <v>5527</v>
      </c>
      <c r="M831" s="47" t="s">
        <v>866</v>
      </c>
      <c r="N831" s="47"/>
      <c r="O831" s="47" t="s">
        <v>6086</v>
      </c>
      <c r="P831" s="53"/>
      <c r="Q831" s="53" t="s">
        <v>6173</v>
      </c>
      <c r="R831" s="53" t="s">
        <v>6174</v>
      </c>
      <c r="S831" s="53" t="s">
        <v>6182</v>
      </c>
      <c r="T831" s="48">
        <v>312.36</v>
      </c>
      <c r="U831" s="98">
        <v>8.6118581124343709E-3</v>
      </c>
      <c r="V831" s="98">
        <v>3.0378409527468302E-3</v>
      </c>
      <c r="W831" s="98">
        <v>2.5118864315095791E-2</v>
      </c>
      <c r="X831" s="98">
        <v>8.6118581124343709E-3</v>
      </c>
      <c r="Y831" s="233">
        <v>7</v>
      </c>
      <c r="Z831" s="48">
        <v>4.84</v>
      </c>
      <c r="AA831" s="48">
        <v>4.7300000000000004</v>
      </c>
      <c r="AB831" s="48">
        <v>4.51</v>
      </c>
      <c r="AC831" s="48">
        <v>0.77100000000000002</v>
      </c>
      <c r="AD831" s="48">
        <v>4.67</v>
      </c>
      <c r="AE831" s="48">
        <v>5</v>
      </c>
      <c r="AF831" s="48">
        <f t="shared" si="258"/>
        <v>4.7300000000000004</v>
      </c>
      <c r="AG831" s="49">
        <v>4.25</v>
      </c>
      <c r="AH831" s="98">
        <v>4.2200000000000001E-8</v>
      </c>
      <c r="AI831" s="98">
        <v>1.26E-6</v>
      </c>
      <c r="AJ831" s="483">
        <f t="shared" si="256"/>
        <v>-5.7632538753509781</v>
      </c>
      <c r="AK831" s="483">
        <f>LOG10(AI831*1000/(0.08206*298.15))</f>
        <v>-4.288195781195089</v>
      </c>
      <c r="AL831" s="483">
        <f t="shared" si="255"/>
        <v>-4.288195781195089</v>
      </c>
      <c r="AM831" s="483">
        <v>-11.402480000000001</v>
      </c>
      <c r="AN831" s="226">
        <v>-6.02</v>
      </c>
      <c r="AO831" s="484"/>
      <c r="AP831" s="484"/>
      <c r="AQ831" s="48" t="s">
        <v>6311</v>
      </c>
      <c r="AR831" s="48" t="s">
        <v>6312</v>
      </c>
      <c r="AS831" s="227"/>
      <c r="AT831" s="50" t="s">
        <v>266</v>
      </c>
      <c r="AU831" s="48">
        <v>6</v>
      </c>
      <c r="AV831" s="48">
        <v>120</v>
      </c>
      <c r="AW831" s="48">
        <v>114</v>
      </c>
      <c r="AX831" s="48">
        <v>28</v>
      </c>
      <c r="AY831" s="48" t="s">
        <v>8728</v>
      </c>
      <c r="AZ831" s="48" t="s">
        <v>1563</v>
      </c>
      <c r="BA831" s="48">
        <v>32</v>
      </c>
      <c r="BB831" s="47" t="s">
        <v>2485</v>
      </c>
      <c r="BC831" s="47" t="s">
        <v>8726</v>
      </c>
      <c r="BD831" s="47" t="s">
        <v>8374</v>
      </c>
      <c r="BE831" s="48" t="s">
        <v>2449</v>
      </c>
      <c r="BF831" s="48" t="s">
        <v>272</v>
      </c>
      <c r="BG831" s="48" t="s">
        <v>272</v>
      </c>
      <c r="BH831" s="48" t="s">
        <v>2486</v>
      </c>
      <c r="BI831" s="98">
        <v>6.3999999999999997E-6</v>
      </c>
      <c r="BJ831" s="98">
        <v>6.4000000000000001E-2</v>
      </c>
      <c r="BK831" s="48"/>
      <c r="BL831" s="98">
        <f t="shared" si="253"/>
        <v>2.3120434953699822E-3</v>
      </c>
      <c r="BM831" s="47" t="s">
        <v>2487</v>
      </c>
      <c r="BN831" s="48"/>
      <c r="BO831" s="48"/>
      <c r="BP831" s="48"/>
      <c r="BQ831" s="48"/>
      <c r="BR831" s="47" t="s">
        <v>2496</v>
      </c>
      <c r="BS831" s="48"/>
      <c r="BT831" s="48"/>
      <c r="BU831" s="228">
        <v>6.3999999999999997E-6</v>
      </c>
      <c r="BV831" s="48"/>
      <c r="BW831" s="48"/>
      <c r="BX831" s="48"/>
      <c r="BY831" s="48"/>
      <c r="BZ831" s="48"/>
      <c r="CA831" s="48"/>
      <c r="CB831" s="48"/>
      <c r="CC831" s="48"/>
      <c r="CD831" s="48"/>
      <c r="CE831" s="48"/>
      <c r="CF831" s="48"/>
      <c r="CG831" s="48"/>
      <c r="CH831" s="48"/>
      <c r="CI831" s="98" t="s">
        <v>6345</v>
      </c>
      <c r="CJ831" s="98"/>
      <c r="CK831" s="49">
        <f t="shared" si="248"/>
        <v>3.6125679615155969E-2</v>
      </c>
      <c r="CL831" s="229"/>
      <c r="CM831" s="229"/>
      <c r="CN831" s="229"/>
      <c r="CO831" s="47" t="s">
        <v>2488</v>
      </c>
      <c r="CP831" s="47" t="s">
        <v>2489</v>
      </c>
      <c r="CQ831" s="224">
        <v>-1.7499876497427374</v>
      </c>
      <c r="CR831" s="224">
        <f t="shared" si="257"/>
        <v>56.232533382602007</v>
      </c>
      <c r="CS831" s="230" t="s">
        <v>539</v>
      </c>
      <c r="CT831" s="230"/>
      <c r="CU831" s="230"/>
      <c r="CV831" s="335">
        <f t="shared" si="252"/>
        <v>0.13456028300678705</v>
      </c>
      <c r="CW831" s="230">
        <f t="shared" ref="CW831:CW894" si="259">IF(CV831&lt;1,0,1)</f>
        <v>0</v>
      </c>
      <c r="CX831" s="336"/>
      <c r="CY831" s="230" t="s">
        <v>6351</v>
      </c>
    </row>
    <row r="832" spans="1:103" ht="11.25" customHeight="1" x14ac:dyDescent="0.2">
      <c r="A832" s="72">
        <v>830</v>
      </c>
      <c r="B832" s="224">
        <v>1212</v>
      </c>
      <c r="C832" s="46" t="s">
        <v>7031</v>
      </c>
      <c r="D832" s="46"/>
      <c r="E832" s="114"/>
      <c r="F832" s="114" t="s">
        <v>3340</v>
      </c>
      <c r="G832" s="225">
        <v>86306</v>
      </c>
      <c r="H832" s="47" t="s">
        <v>3341</v>
      </c>
      <c r="I832" s="47" t="s">
        <v>3341</v>
      </c>
      <c r="J832" s="47" t="s">
        <v>3342</v>
      </c>
      <c r="K832" s="47" t="s">
        <v>300</v>
      </c>
      <c r="L832" s="47" t="s">
        <v>5527</v>
      </c>
      <c r="M832" s="47" t="s">
        <v>5960</v>
      </c>
      <c r="N832" s="47"/>
      <c r="O832" s="47"/>
      <c r="P832" s="53"/>
      <c r="Q832" s="53"/>
      <c r="R832" s="53"/>
      <c r="S832" s="53"/>
      <c r="T832" s="48">
        <v>198.22</v>
      </c>
      <c r="U832" s="98">
        <v>0.17657148622742408</v>
      </c>
      <c r="V832" s="98">
        <v>0.47850872767631919</v>
      </c>
      <c r="W832" s="98">
        <v>0.56234132519034852</v>
      </c>
      <c r="X832" s="98">
        <v>0.17657148622742408</v>
      </c>
      <c r="Y832" s="233">
        <v>7</v>
      </c>
      <c r="Z832" s="48">
        <v>3.16</v>
      </c>
      <c r="AA832" s="48">
        <v>3.13</v>
      </c>
      <c r="AB832" s="48">
        <v>3</v>
      </c>
      <c r="AC832" s="48">
        <v>0.86890000000000001</v>
      </c>
      <c r="AD832" s="48">
        <v>3.03</v>
      </c>
      <c r="AE832" s="48">
        <v>3.13</v>
      </c>
      <c r="AF832" s="48">
        <f t="shared" si="258"/>
        <v>3.13</v>
      </c>
      <c r="AG832" s="49">
        <v>2.84</v>
      </c>
      <c r="AH832" s="98">
        <v>1.2100000000000001E-6</v>
      </c>
      <c r="AI832" s="98"/>
      <c r="AJ832" s="483">
        <f t="shared" si="256"/>
        <v>-4.3057809559962017</v>
      </c>
      <c r="AK832" s="483"/>
      <c r="AL832" s="483">
        <f t="shared" si="255"/>
        <v>-4.3057809559962017</v>
      </c>
      <c r="AM832" s="483">
        <v>-9.7603200000000001</v>
      </c>
      <c r="AN832" s="226">
        <v>-5.43</v>
      </c>
      <c r="AO832" s="484"/>
      <c r="AP832" s="484">
        <v>-5.83</v>
      </c>
      <c r="AQ832" s="48" t="s">
        <v>6311</v>
      </c>
      <c r="AR832" s="48" t="s">
        <v>6311</v>
      </c>
      <c r="AS832" s="227"/>
      <c r="AT832" s="50" t="s">
        <v>266</v>
      </c>
      <c r="AU832" s="48">
        <v>6</v>
      </c>
      <c r="AV832" s="48">
        <v>120</v>
      </c>
      <c r="AW832" s="48">
        <v>114</v>
      </c>
      <c r="AX832" s="48">
        <v>28</v>
      </c>
      <c r="AY832" s="48" t="s">
        <v>8728</v>
      </c>
      <c r="AZ832" s="48" t="s">
        <v>1563</v>
      </c>
      <c r="BA832" s="48">
        <v>32</v>
      </c>
      <c r="BB832" s="47" t="s">
        <v>2485</v>
      </c>
      <c r="BC832" s="47" t="s">
        <v>8726</v>
      </c>
      <c r="BD832" s="47" t="s">
        <v>8374</v>
      </c>
      <c r="BE832" s="48" t="s">
        <v>2449</v>
      </c>
      <c r="BF832" s="48" t="s">
        <v>272</v>
      </c>
      <c r="BG832" s="48" t="s">
        <v>272</v>
      </c>
      <c r="BH832" s="48" t="s">
        <v>2486</v>
      </c>
      <c r="BI832" s="98">
        <v>6.3999999999999997E-6</v>
      </c>
      <c r="BJ832" s="98">
        <v>6.4000000000000001E-2</v>
      </c>
      <c r="BK832" s="48"/>
      <c r="BL832" s="98">
        <f t="shared" si="253"/>
        <v>7.4611195710649725E-2</v>
      </c>
      <c r="BM832" s="47" t="s">
        <v>2487</v>
      </c>
      <c r="BN832" s="48"/>
      <c r="BO832" s="48"/>
      <c r="BP832" s="48"/>
      <c r="BQ832" s="48"/>
      <c r="BR832" s="47" t="s">
        <v>2496</v>
      </c>
      <c r="BS832" s="48"/>
      <c r="BT832" s="48"/>
      <c r="BU832" s="228">
        <v>6.4000000000000005E-4</v>
      </c>
      <c r="BV832" s="48"/>
      <c r="BW832" s="48"/>
      <c r="BX832" s="48"/>
      <c r="BY832" s="48"/>
      <c r="BZ832" s="48"/>
      <c r="CA832" s="48"/>
      <c r="CB832" s="48"/>
      <c r="CC832" s="48"/>
      <c r="CD832" s="48"/>
      <c r="CE832" s="48"/>
      <c r="CF832" s="48"/>
      <c r="CG832" s="48"/>
      <c r="CH832" s="48"/>
      <c r="CI832" s="98"/>
      <c r="CJ832" s="98"/>
      <c r="CK832" s="49">
        <f t="shared" si="248"/>
        <v>1.1657999329789019</v>
      </c>
      <c r="CL832" s="229"/>
      <c r="CM832" s="229"/>
      <c r="CN832" s="229"/>
      <c r="CO832" s="47" t="s">
        <v>2488</v>
      </c>
      <c r="CP832" s="47" t="s">
        <v>2489</v>
      </c>
      <c r="CQ832" s="224">
        <v>-1.5337194782383319</v>
      </c>
      <c r="CR832" s="224">
        <f t="shared" si="257"/>
        <v>34.175862068965515</v>
      </c>
      <c r="CS832" s="230" t="s">
        <v>539</v>
      </c>
      <c r="CT832" s="230"/>
      <c r="CU832" s="230"/>
      <c r="CV832" s="335">
        <f t="shared" si="252"/>
        <v>2.7589294723035014</v>
      </c>
      <c r="CW832" s="230">
        <f t="shared" si="259"/>
        <v>1</v>
      </c>
      <c r="CX832" s="336"/>
      <c r="CY832" s="230" t="s">
        <v>5921</v>
      </c>
    </row>
    <row r="833" spans="1:103" ht="11.25" customHeight="1" x14ac:dyDescent="0.2">
      <c r="A833" s="72">
        <v>831</v>
      </c>
      <c r="B833" s="224">
        <v>1510</v>
      </c>
      <c r="C833" s="46" t="s">
        <v>947</v>
      </c>
      <c r="D833" s="46"/>
      <c r="E833" s="114"/>
      <c r="F833" s="114" t="s">
        <v>948</v>
      </c>
      <c r="G833" s="225">
        <v>86500</v>
      </c>
      <c r="H833" s="47" t="s">
        <v>949</v>
      </c>
      <c r="I833" s="47" t="s">
        <v>949</v>
      </c>
      <c r="J833" s="47" t="s">
        <v>950</v>
      </c>
      <c r="K833" s="47" t="s">
        <v>951</v>
      </c>
      <c r="L833" s="47" t="s">
        <v>617</v>
      </c>
      <c r="M833" s="47" t="s">
        <v>618</v>
      </c>
      <c r="N833" s="47" t="s">
        <v>6376</v>
      </c>
      <c r="O833" s="47" t="s">
        <v>952</v>
      </c>
      <c r="P833" s="53" t="s">
        <v>6178</v>
      </c>
      <c r="Q833" s="53" t="s">
        <v>6176</v>
      </c>
      <c r="R833" s="53" t="s">
        <v>6177</v>
      </c>
      <c r="S833" s="53" t="s">
        <v>6176</v>
      </c>
      <c r="T833" s="48">
        <v>317.33</v>
      </c>
      <c r="U833" s="98">
        <v>6.5862036365928217E-2</v>
      </c>
      <c r="V833" s="98">
        <v>0.13720732360634041</v>
      </c>
      <c r="W833" s="98">
        <v>0.16595869074375585</v>
      </c>
      <c r="X833" s="98">
        <v>6.5862036365928217E-2</v>
      </c>
      <c r="Y833" s="233">
        <v>7</v>
      </c>
      <c r="Z833" s="48">
        <v>2.5299999999999998</v>
      </c>
      <c r="AA833" s="48">
        <v>2.75</v>
      </c>
      <c r="AB833" s="48">
        <v>3.17</v>
      </c>
      <c r="AC833" s="48">
        <v>0.83950000000000002</v>
      </c>
      <c r="AD833" s="48">
        <v>3.01</v>
      </c>
      <c r="AE833" s="48">
        <v>2.54</v>
      </c>
      <c r="AF833" s="48">
        <f t="shared" si="258"/>
        <v>2.75</v>
      </c>
      <c r="AG833" s="49">
        <v>3.27</v>
      </c>
      <c r="AH833" s="98">
        <v>2.8599999999999999E-10</v>
      </c>
      <c r="AI833" s="98">
        <v>2.3899999999999999E-8</v>
      </c>
      <c r="AJ833" s="483">
        <f t="shared" si="256"/>
        <v>-7.9322002931836089</v>
      </c>
      <c r="AK833" s="483">
        <f>LOG10(AI833*1000/(0.08206*298.15))</f>
        <v>-6.0101684253645145</v>
      </c>
      <c r="AL833" s="483">
        <f t="shared" si="255"/>
        <v>-6.0101684253645145</v>
      </c>
      <c r="AM833" s="483">
        <v>-15.46162</v>
      </c>
      <c r="AN833" s="226">
        <v>-6.71</v>
      </c>
      <c r="AO833" s="484"/>
      <c r="AP833" s="484">
        <v>-2.6</v>
      </c>
      <c r="AQ833" s="48" t="s">
        <v>6314</v>
      </c>
      <c r="AR833" s="48" t="s">
        <v>6314</v>
      </c>
      <c r="AS833" s="227"/>
      <c r="AT833" s="50" t="s">
        <v>266</v>
      </c>
      <c r="AU833" s="48">
        <v>6</v>
      </c>
      <c r="AV833" s="48">
        <v>120</v>
      </c>
      <c r="AW833" s="48">
        <v>114</v>
      </c>
      <c r="AX833" s="48">
        <v>28</v>
      </c>
      <c r="AY833" s="48" t="s">
        <v>8728</v>
      </c>
      <c r="AZ833" s="48" t="s">
        <v>1563</v>
      </c>
      <c r="BA833" s="48">
        <v>32</v>
      </c>
      <c r="BB833" s="47" t="s">
        <v>2485</v>
      </c>
      <c r="BC833" s="47" t="s">
        <v>8726</v>
      </c>
      <c r="BD833" s="47" t="s">
        <v>8374</v>
      </c>
      <c r="BE833" s="48" t="s">
        <v>2449</v>
      </c>
      <c r="BF833" s="48" t="s">
        <v>272</v>
      </c>
      <c r="BG833" s="48" t="s">
        <v>272</v>
      </c>
      <c r="BH833" s="48" t="s">
        <v>2486</v>
      </c>
      <c r="BI833" s="98">
        <v>6.3999999999999997E-6</v>
      </c>
      <c r="BJ833" s="98">
        <v>6.4000000000000001E-2</v>
      </c>
      <c r="BK833" s="48"/>
      <c r="BL833" s="98">
        <f t="shared" si="253"/>
        <v>0.27454086646262549</v>
      </c>
      <c r="BM833" s="47" t="s">
        <v>2487</v>
      </c>
      <c r="BN833" s="48"/>
      <c r="BO833" s="48"/>
      <c r="BP833" s="48"/>
      <c r="BQ833" s="48"/>
      <c r="BR833" s="47" t="s">
        <v>2496</v>
      </c>
      <c r="BS833" s="48"/>
      <c r="BT833" s="48"/>
      <c r="BU833" s="228"/>
      <c r="BV833" s="48"/>
      <c r="BW833" s="48"/>
      <c r="BX833" s="48"/>
      <c r="BY833" s="48"/>
      <c r="BZ833" s="48"/>
      <c r="CA833" s="48"/>
      <c r="CB833" s="48"/>
      <c r="CC833" s="48"/>
      <c r="CD833" s="48"/>
      <c r="CE833" s="48"/>
      <c r="CF833" s="48"/>
      <c r="CG833" s="48"/>
      <c r="CH833" s="48"/>
      <c r="CI833" s="98"/>
      <c r="CJ833" s="98"/>
      <c r="CK833" s="49">
        <f t="shared" si="248"/>
        <v>4.2897010384785235</v>
      </c>
      <c r="CL833" s="229"/>
      <c r="CM833" s="229">
        <v>-4.650879177629478</v>
      </c>
      <c r="CN833" s="229">
        <f>BJ833/(10^CM833)</f>
        <v>2864.5681021628261</v>
      </c>
      <c r="CO833" s="47" t="s">
        <v>2488</v>
      </c>
      <c r="CP833" s="47" t="s">
        <v>2489</v>
      </c>
      <c r="CQ833" s="224">
        <v>-3.5696380357924622</v>
      </c>
      <c r="CR833" s="224">
        <f t="shared" si="257"/>
        <v>3712.257008081624</v>
      </c>
      <c r="CS833" s="230" t="s">
        <v>539</v>
      </c>
      <c r="CT833" s="230"/>
      <c r="CU833" s="230"/>
      <c r="CV833" s="335">
        <f t="shared" si="252"/>
        <v>1.0290943182176284</v>
      </c>
      <c r="CW833" s="230">
        <f t="shared" si="259"/>
        <v>1</v>
      </c>
      <c r="CX833" s="336"/>
      <c r="CY833" s="230" t="s">
        <v>5921</v>
      </c>
    </row>
    <row r="834" spans="1:103" ht="11.25" customHeight="1" x14ac:dyDescent="0.2">
      <c r="A834" s="72">
        <v>832</v>
      </c>
      <c r="B834" s="224">
        <v>1674</v>
      </c>
      <c r="C834" s="46" t="s">
        <v>7032</v>
      </c>
      <c r="D834" s="46"/>
      <c r="E834" s="114"/>
      <c r="F834" s="114" t="s">
        <v>4890</v>
      </c>
      <c r="G834" s="225">
        <v>86737</v>
      </c>
      <c r="H834" s="47" t="s">
        <v>4891</v>
      </c>
      <c r="I834" s="47" t="s">
        <v>4891</v>
      </c>
      <c r="J834" s="47" t="s">
        <v>4892</v>
      </c>
      <c r="K834" s="47" t="s">
        <v>426</v>
      </c>
      <c r="L834" s="47" t="s">
        <v>6124</v>
      </c>
      <c r="M834" s="47" t="s">
        <v>6082</v>
      </c>
      <c r="N834" s="47" t="s">
        <v>6082</v>
      </c>
      <c r="O834" s="47" t="s">
        <v>6083</v>
      </c>
      <c r="P834" s="53"/>
      <c r="Q834" s="53"/>
      <c r="R834" s="53"/>
      <c r="S834" s="53"/>
      <c r="T834" s="48">
        <v>166.22</v>
      </c>
      <c r="U834" s="98">
        <v>1.0167248225243652E-2</v>
      </c>
      <c r="V834" s="98">
        <v>8.0555889784622789E-3</v>
      </c>
      <c r="W834" s="98">
        <v>1.2882495516931347E-2</v>
      </c>
      <c r="X834" s="98">
        <v>1.0167248225243652E-2</v>
      </c>
      <c r="Y834" s="233">
        <v>7</v>
      </c>
      <c r="Z834" s="48">
        <v>4.0199999999999996</v>
      </c>
      <c r="AA834" s="48">
        <v>4.18</v>
      </c>
      <c r="AB834" s="48">
        <v>4.01</v>
      </c>
      <c r="AC834" s="48">
        <v>0.80079999999999996</v>
      </c>
      <c r="AD834" s="48">
        <v>4.0599999999999996</v>
      </c>
      <c r="AE834" s="48">
        <v>4.16</v>
      </c>
      <c r="AF834" s="48">
        <f t="shared" si="258"/>
        <v>4.18</v>
      </c>
      <c r="AG834" s="49">
        <v>3.67</v>
      </c>
      <c r="AH834" s="98">
        <v>1.6699999999999999E-4</v>
      </c>
      <c r="AI834" s="98">
        <v>9.6199999999999994E-5</v>
      </c>
      <c r="AJ834" s="483">
        <f t="shared" si="256"/>
        <v>-2.1658498551650687</v>
      </c>
      <c r="AK834" s="483">
        <f>LOG10(AI834*1000/(0.08206*298.15))</f>
        <v>-2.4053912542748388</v>
      </c>
      <c r="AL834" s="483">
        <f t="shared" si="255"/>
        <v>-2.4053912542748388</v>
      </c>
      <c r="AM834" s="483">
        <v>-5.5990699999999993</v>
      </c>
      <c r="AN834" s="226">
        <v>-2.54</v>
      </c>
      <c r="AO834" s="484"/>
      <c r="AP834" s="484"/>
      <c r="AQ834" s="226" t="s">
        <v>6311</v>
      </c>
      <c r="AR834" s="226" t="s">
        <v>6311</v>
      </c>
      <c r="AS834" s="224"/>
      <c r="AT834" s="50" t="s">
        <v>266</v>
      </c>
      <c r="AU834" s="48">
        <v>6</v>
      </c>
      <c r="AV834" s="48">
        <v>120</v>
      </c>
      <c r="AW834" s="48">
        <v>114</v>
      </c>
      <c r="AX834" s="48">
        <v>28</v>
      </c>
      <c r="AY834" s="48" t="s">
        <v>8728</v>
      </c>
      <c r="AZ834" s="48" t="s">
        <v>1563</v>
      </c>
      <c r="BA834" s="48">
        <v>32</v>
      </c>
      <c r="BB834" s="47" t="s">
        <v>2485</v>
      </c>
      <c r="BC834" s="47" t="s">
        <v>8726</v>
      </c>
      <c r="BD834" s="47" t="s">
        <v>8374</v>
      </c>
      <c r="BE834" s="48" t="s">
        <v>2449</v>
      </c>
      <c r="BF834" s="48" t="s">
        <v>272</v>
      </c>
      <c r="BG834" s="48" t="s">
        <v>272</v>
      </c>
      <c r="BH834" s="48" t="s">
        <v>2486</v>
      </c>
      <c r="BI834" s="98">
        <v>6.3999999999999997E-6</v>
      </c>
      <c r="BJ834" s="98">
        <v>6.4000000000000001E-2</v>
      </c>
      <c r="BK834" s="48"/>
      <c r="BL834" s="98">
        <f t="shared" si="253"/>
        <v>1.2601957191637207E-2</v>
      </c>
      <c r="BM834" s="47" t="s">
        <v>2487</v>
      </c>
      <c r="BN834" s="48"/>
      <c r="BO834" s="48"/>
      <c r="BP834" s="48"/>
      <c r="BQ834" s="48"/>
      <c r="BR834" s="47" t="s">
        <v>2496</v>
      </c>
      <c r="BS834" s="48"/>
      <c r="BT834" s="48"/>
      <c r="BU834" s="228"/>
      <c r="BV834" s="48"/>
      <c r="BW834" s="48"/>
      <c r="BX834" s="48"/>
      <c r="BY834" s="48"/>
      <c r="BZ834" s="48"/>
      <c r="CA834" s="48"/>
      <c r="CB834" s="48"/>
      <c r="CC834" s="48"/>
      <c r="CD834" s="48"/>
      <c r="CE834" s="48"/>
      <c r="CF834" s="48"/>
      <c r="CG834" s="48"/>
      <c r="CH834" s="48"/>
      <c r="CI834" s="98"/>
      <c r="CJ834" s="98"/>
      <c r="CK834" s="49">
        <f t="shared" si="248"/>
        <v>0.19690558111933135</v>
      </c>
      <c r="CL834" s="229"/>
      <c r="CM834" s="229"/>
      <c r="CN834" s="229"/>
      <c r="CO834" s="47" t="s">
        <v>2488</v>
      </c>
      <c r="CP834" s="47" t="s">
        <v>2489</v>
      </c>
      <c r="CQ834" s="224">
        <v>-2.3027936656458117</v>
      </c>
      <c r="CR834" s="224">
        <f t="shared" si="257"/>
        <v>200.8138514487926</v>
      </c>
      <c r="CS834" s="230" t="s">
        <v>539</v>
      </c>
      <c r="CT834" s="230"/>
      <c r="CU834" s="230"/>
      <c r="CV834" s="335">
        <f t="shared" si="252"/>
        <v>0.15886325351943206</v>
      </c>
      <c r="CW834" s="230">
        <f t="shared" si="259"/>
        <v>0</v>
      </c>
      <c r="CX834" s="336"/>
      <c r="CY834" s="230" t="s">
        <v>6351</v>
      </c>
    </row>
    <row r="835" spans="1:103" ht="11.25" customHeight="1" x14ac:dyDescent="0.2">
      <c r="A835" s="72">
        <v>833</v>
      </c>
      <c r="B835" s="224">
        <v>896</v>
      </c>
      <c r="C835" s="46" t="s">
        <v>7033</v>
      </c>
      <c r="D835" s="46"/>
      <c r="E835" s="114"/>
      <c r="F835" s="114" t="s">
        <v>2552</v>
      </c>
      <c r="G835" s="225">
        <v>87616</v>
      </c>
      <c r="H835" s="47" t="s">
        <v>2553</v>
      </c>
      <c r="I835" s="47" t="s">
        <v>8003</v>
      </c>
      <c r="J835" s="47" t="s">
        <v>2554</v>
      </c>
      <c r="K835" s="47" t="s">
        <v>426</v>
      </c>
      <c r="L835" s="47" t="s">
        <v>5527</v>
      </c>
      <c r="M835" s="47" t="s">
        <v>866</v>
      </c>
      <c r="N835" s="47"/>
      <c r="O835" s="47" t="s">
        <v>6086</v>
      </c>
      <c r="P835" s="53" t="s">
        <v>6183</v>
      </c>
      <c r="Q835" s="53" t="s">
        <v>6176</v>
      </c>
      <c r="R835" s="53" t="s">
        <v>6185</v>
      </c>
      <c r="S835" s="53" t="s">
        <v>6182</v>
      </c>
      <c r="T835" s="48">
        <v>181.45</v>
      </c>
      <c r="U835" s="98">
        <v>9.9200881785615883E-2</v>
      </c>
      <c r="V835" s="98">
        <v>0.10383025626894461</v>
      </c>
      <c r="W835" s="98">
        <v>3.0199517204020178E-2</v>
      </c>
      <c r="X835" s="98">
        <v>9.9200881785615883E-2</v>
      </c>
      <c r="Y835" s="233">
        <v>7</v>
      </c>
      <c r="Z835" s="48">
        <v>3.93</v>
      </c>
      <c r="AA835" s="48">
        <v>4.05</v>
      </c>
      <c r="AB835" s="48">
        <v>3.99</v>
      </c>
      <c r="AC835" s="48">
        <v>0.91300000000000003</v>
      </c>
      <c r="AD835" s="48">
        <v>3.94</v>
      </c>
      <c r="AE835" s="48">
        <v>3.77</v>
      </c>
      <c r="AF835" s="48">
        <f t="shared" si="258"/>
        <v>4.05</v>
      </c>
      <c r="AG835" s="49">
        <v>3.84</v>
      </c>
      <c r="AH835" s="98">
        <v>2.1900000000000001E-3</v>
      </c>
      <c r="AI835" s="98">
        <v>1.25E-3</v>
      </c>
      <c r="AJ835" s="483">
        <f t="shared" si="256"/>
        <v>-1.0481222114725335</v>
      </c>
      <c r="AK835" s="483">
        <f>LOG10(AI835*1000/(0.08206*298.15))</f>
        <v>-1.2916563133045953</v>
      </c>
      <c r="AL835" s="483">
        <f t="shared" si="255"/>
        <v>-1.2916563133045953</v>
      </c>
      <c r="AM835" s="483">
        <v>-3.2761099999999996</v>
      </c>
      <c r="AN835" s="226">
        <v>-1.22</v>
      </c>
      <c r="AO835" s="484"/>
      <c r="AP835" s="484"/>
      <c r="AQ835" s="48" t="s">
        <v>6311</v>
      </c>
      <c r="AR835" s="48" t="s">
        <v>6311</v>
      </c>
      <c r="AS835" s="227"/>
      <c r="AT835" s="50" t="s">
        <v>266</v>
      </c>
      <c r="AU835" s="48">
        <v>6</v>
      </c>
      <c r="AV835" s="48">
        <v>120</v>
      </c>
      <c r="AW835" s="48">
        <v>114</v>
      </c>
      <c r="AX835" s="48">
        <v>28</v>
      </c>
      <c r="AY835" s="48" t="s">
        <v>8728</v>
      </c>
      <c r="AZ835" s="48" t="s">
        <v>1563</v>
      </c>
      <c r="BA835" s="48">
        <v>32</v>
      </c>
      <c r="BB835" s="47" t="s">
        <v>2485</v>
      </c>
      <c r="BC835" s="47" t="s">
        <v>8726</v>
      </c>
      <c r="BD835" s="47" t="s">
        <v>8374</v>
      </c>
      <c r="BE835" s="48" t="s">
        <v>2449</v>
      </c>
      <c r="BF835" s="48" t="s">
        <v>272</v>
      </c>
      <c r="BG835" s="48" t="s">
        <v>272</v>
      </c>
      <c r="BH835" s="48" t="s">
        <v>2486</v>
      </c>
      <c r="BI835" s="98">
        <v>6.3999999999999997E-6</v>
      </c>
      <c r="BJ835" s="98">
        <v>6.4000000000000001E-2</v>
      </c>
      <c r="BK835" s="48"/>
      <c r="BL835" s="98">
        <f t="shared" si="253"/>
        <v>1.5179833219444985E-2</v>
      </c>
      <c r="BM835" s="47" t="s">
        <v>2487</v>
      </c>
      <c r="BN835" s="48"/>
      <c r="BO835" s="48"/>
      <c r="BP835" s="48"/>
      <c r="BQ835" s="48"/>
      <c r="BR835" s="47" t="s">
        <v>2496</v>
      </c>
      <c r="BS835" s="48"/>
      <c r="BT835" s="48"/>
      <c r="BU835" s="228">
        <v>6.3999999999999997E-5</v>
      </c>
      <c r="BV835" s="48"/>
      <c r="BW835" s="48"/>
      <c r="BX835" s="48"/>
      <c r="BY835" s="48"/>
      <c r="BZ835" s="48"/>
      <c r="CA835" s="48"/>
      <c r="CB835" s="48"/>
      <c r="CC835" s="48"/>
      <c r="CD835" s="48"/>
      <c r="CE835" s="48"/>
      <c r="CF835" s="48"/>
      <c r="CG835" s="48"/>
      <c r="CH835" s="48"/>
      <c r="CI835" s="98" t="s">
        <v>6345</v>
      </c>
      <c r="CJ835" s="98"/>
      <c r="CK835" s="49">
        <f t="shared" si="248"/>
        <v>0.23718489405382789</v>
      </c>
      <c r="CL835" s="229"/>
      <c r="CM835" s="229"/>
      <c r="CN835" s="229"/>
      <c r="CO835" s="47" t="s">
        <v>2488</v>
      </c>
      <c r="CP835" s="47" t="s">
        <v>2489</v>
      </c>
      <c r="CQ835" s="224">
        <v>-1.8895411151264325</v>
      </c>
      <c r="CR835" s="224">
        <f t="shared" si="257"/>
        <v>77.542735042735089</v>
      </c>
      <c r="CS835" s="230" t="s">
        <v>539</v>
      </c>
      <c r="CT835" s="230"/>
      <c r="CU835" s="230"/>
      <c r="CV835" s="335">
        <f t="shared" si="252"/>
        <v>1.5500137779002481</v>
      </c>
      <c r="CW835" s="230">
        <f t="shared" si="259"/>
        <v>1</v>
      </c>
      <c r="CX835" s="336"/>
      <c r="CY835" s="230" t="s">
        <v>6351</v>
      </c>
    </row>
    <row r="836" spans="1:103" ht="11.25" customHeight="1" x14ac:dyDescent="0.2">
      <c r="A836" s="72">
        <v>834</v>
      </c>
      <c r="B836" s="224">
        <v>1424</v>
      </c>
      <c r="C836" s="46" t="s">
        <v>7034</v>
      </c>
      <c r="D836" s="46"/>
      <c r="E836" s="114"/>
      <c r="F836" s="114" t="s">
        <v>4381</v>
      </c>
      <c r="G836" s="225">
        <v>87627</v>
      </c>
      <c r="H836" s="47" t="s">
        <v>4382</v>
      </c>
      <c r="I836" s="47" t="s">
        <v>4382</v>
      </c>
      <c r="J836" s="47" t="s">
        <v>4383</v>
      </c>
      <c r="K836" s="47" t="s">
        <v>2695</v>
      </c>
      <c r="L836" s="47"/>
      <c r="M836" s="47"/>
      <c r="N836" s="47"/>
      <c r="O836" s="47"/>
      <c r="P836" s="53"/>
      <c r="Q836" s="53"/>
      <c r="R836" s="53"/>
      <c r="S836" s="53"/>
      <c r="T836" s="48">
        <v>121.18</v>
      </c>
      <c r="U836" s="98">
        <v>67.998019475160916</v>
      </c>
      <c r="V836" s="98">
        <v>22.000330087473181</v>
      </c>
      <c r="W836" s="98">
        <v>41.686938347033532</v>
      </c>
      <c r="X836" s="98">
        <v>67.998019475160916</v>
      </c>
      <c r="Y836" s="233">
        <v>8.4600000000000009</v>
      </c>
      <c r="Z836" s="48">
        <v>2.17</v>
      </c>
      <c r="AA836" s="48">
        <v>1.84</v>
      </c>
      <c r="AB836" s="48">
        <v>1.53</v>
      </c>
      <c r="AC836" s="48">
        <v>0.79149999999999998</v>
      </c>
      <c r="AD836" s="48">
        <v>1.64</v>
      </c>
      <c r="AE836" s="48">
        <v>1.86</v>
      </c>
      <c r="AF836" s="48">
        <f t="shared" si="258"/>
        <v>1.84</v>
      </c>
      <c r="AG836" s="49">
        <v>2.04</v>
      </c>
      <c r="AH836" s="98">
        <v>2.3199999999999998E-6</v>
      </c>
      <c r="AI836" s="98">
        <v>2.52E-6</v>
      </c>
      <c r="AJ836" s="483">
        <f t="shared" si="256"/>
        <v>-4.0230783414217521</v>
      </c>
      <c r="AK836" s="483">
        <f>LOG10(AI836*1000/(0.08206*298.15))</f>
        <v>-3.9871657855311078</v>
      </c>
      <c r="AL836" s="483">
        <f t="shared" si="255"/>
        <v>-3.9871657855311078</v>
      </c>
      <c r="AM836" s="483">
        <v>-5.6021100000000006</v>
      </c>
      <c r="AN836" s="226">
        <v>-3.94</v>
      </c>
      <c r="AO836" s="484"/>
      <c r="AP836" s="484">
        <v>4.3099999999999996</v>
      </c>
      <c r="AQ836" s="48" t="s">
        <v>6311</v>
      </c>
      <c r="AR836" s="48" t="s">
        <v>6311</v>
      </c>
      <c r="AS836" s="227"/>
      <c r="AT836" s="50" t="s">
        <v>266</v>
      </c>
      <c r="AU836" s="48">
        <v>6</v>
      </c>
      <c r="AV836" s="48">
        <v>120</v>
      </c>
      <c r="AW836" s="48">
        <v>114</v>
      </c>
      <c r="AX836" s="48">
        <v>28</v>
      </c>
      <c r="AY836" s="48" t="s">
        <v>8728</v>
      </c>
      <c r="AZ836" s="48" t="s">
        <v>1563</v>
      </c>
      <c r="BA836" s="48">
        <v>32</v>
      </c>
      <c r="BB836" s="47" t="s">
        <v>2485</v>
      </c>
      <c r="BC836" s="47" t="s">
        <v>8726</v>
      </c>
      <c r="BD836" s="47" t="s">
        <v>8374</v>
      </c>
      <c r="BE836" s="48" t="s">
        <v>2449</v>
      </c>
      <c r="BF836" s="48" t="s">
        <v>272</v>
      </c>
      <c r="BG836" s="48" t="s">
        <v>272</v>
      </c>
      <c r="BH836" s="48" t="s">
        <v>2486</v>
      </c>
      <c r="BI836" s="98">
        <v>6.3999999999999997E-6</v>
      </c>
      <c r="BJ836" s="98">
        <v>6.4000000000000001E-2</v>
      </c>
      <c r="BK836" s="48"/>
      <c r="BL836" s="98">
        <f t="shared" si="253"/>
        <v>0.57799356061012974</v>
      </c>
      <c r="BM836" s="47" t="s">
        <v>2487</v>
      </c>
      <c r="BN836" s="48"/>
      <c r="BO836" s="48"/>
      <c r="BP836" s="48"/>
      <c r="BQ836" s="48"/>
      <c r="BR836" s="47" t="s">
        <v>2496</v>
      </c>
      <c r="BS836" s="48"/>
      <c r="BT836" s="48"/>
      <c r="BU836" s="228"/>
      <c r="BV836" s="48"/>
      <c r="BW836" s="48"/>
      <c r="BX836" s="48"/>
      <c r="BY836" s="48"/>
      <c r="BZ836" s="48"/>
      <c r="CA836" s="48"/>
      <c r="CB836" s="48"/>
      <c r="CC836" s="48"/>
      <c r="CD836" s="48"/>
      <c r="CE836" s="48"/>
      <c r="CF836" s="48"/>
      <c r="CG836" s="48"/>
      <c r="CH836" s="48"/>
      <c r="CI836" s="98" t="s">
        <v>6345</v>
      </c>
      <c r="CJ836" s="98"/>
      <c r="CK836" s="49">
        <f t="shared" si="248"/>
        <v>9.0311493845332773</v>
      </c>
      <c r="CL836" s="229"/>
      <c r="CM836" s="229"/>
      <c r="CN836" s="229"/>
      <c r="CO836" s="47" t="s">
        <v>2488</v>
      </c>
      <c r="CP836" s="47" t="s">
        <v>2489</v>
      </c>
      <c r="CQ836" s="224" t="s">
        <v>272</v>
      </c>
      <c r="CR836" s="224"/>
      <c r="CS836" s="230" t="s">
        <v>539</v>
      </c>
      <c r="CT836" s="230"/>
      <c r="CU836" s="230"/>
      <c r="CV836" s="335">
        <f t="shared" si="252"/>
        <v>1062.4690542993892</v>
      </c>
      <c r="CW836" s="230">
        <f t="shared" si="259"/>
        <v>1</v>
      </c>
      <c r="CX836" s="336"/>
      <c r="CY836" s="230" t="s">
        <v>6351</v>
      </c>
    </row>
    <row r="837" spans="1:103" ht="11.25" customHeight="1" x14ac:dyDescent="0.2">
      <c r="A837" s="72">
        <v>835</v>
      </c>
      <c r="B837" s="224">
        <v>1717</v>
      </c>
      <c r="C837" s="46" t="s">
        <v>7035</v>
      </c>
      <c r="D837" s="46"/>
      <c r="E837" s="114"/>
      <c r="F837" s="114" t="s">
        <v>4988</v>
      </c>
      <c r="G837" s="225">
        <v>87694</v>
      </c>
      <c r="H837" s="47" t="s">
        <v>4989</v>
      </c>
      <c r="I837" s="47" t="s">
        <v>4989</v>
      </c>
      <c r="J837" s="47" t="s">
        <v>4990</v>
      </c>
      <c r="K837" s="47" t="s">
        <v>426</v>
      </c>
      <c r="L837" s="47"/>
      <c r="M837" s="47"/>
      <c r="N837" s="47"/>
      <c r="O837" s="47"/>
      <c r="P837" s="53"/>
      <c r="Q837" s="53"/>
      <c r="R837" s="53"/>
      <c r="S837" s="53"/>
      <c r="T837" s="48">
        <v>150.09</v>
      </c>
      <c r="U837" s="98">
        <v>1639.0165900459724</v>
      </c>
      <c r="V837" s="98">
        <v>6662.6690652275302</v>
      </c>
      <c r="W837" s="98">
        <v>6606.9344800759609</v>
      </c>
      <c r="X837" s="98">
        <v>1639.0165900459724</v>
      </c>
      <c r="Y837" s="233">
        <v>0.83</v>
      </c>
      <c r="Z837" s="48">
        <v>-1</v>
      </c>
      <c r="AA837" s="48"/>
      <c r="AB837" s="48">
        <v>-1.42</v>
      </c>
      <c r="AC837" s="48">
        <v>0.27810000000000001</v>
      </c>
      <c r="AD837" s="48">
        <v>-1.42</v>
      </c>
      <c r="AE837" s="48">
        <v>-1.43</v>
      </c>
      <c r="AF837" s="48">
        <f t="shared" si="258"/>
        <v>-1.42</v>
      </c>
      <c r="AG837" s="49">
        <v>-1.94</v>
      </c>
      <c r="AH837" s="98">
        <v>1.3200000000000001E-10</v>
      </c>
      <c r="AI837" s="98"/>
      <c r="AJ837" s="483">
        <f t="shared" si="256"/>
        <v>-8.267992395106802</v>
      </c>
      <c r="AK837" s="483"/>
      <c r="AL837" s="483">
        <f t="shared" si="255"/>
        <v>-8.267992395106802</v>
      </c>
      <c r="AM837" s="483">
        <v>-14.254909999999999</v>
      </c>
      <c r="AN837" s="226">
        <v>-12.9</v>
      </c>
      <c r="AO837" s="484">
        <v>3.07</v>
      </c>
      <c r="AP837" s="484"/>
      <c r="AQ837" s="226" t="s">
        <v>6311</v>
      </c>
      <c r="AR837" s="226" t="s">
        <v>6311</v>
      </c>
      <c r="AS837" s="224"/>
      <c r="AT837" s="50" t="s">
        <v>266</v>
      </c>
      <c r="AU837" s="48">
        <v>6</v>
      </c>
      <c r="AV837" s="48">
        <v>120</v>
      </c>
      <c r="AW837" s="48">
        <v>114</v>
      </c>
      <c r="AX837" s="48">
        <v>28</v>
      </c>
      <c r="AY837" s="48" t="s">
        <v>8728</v>
      </c>
      <c r="AZ837" s="48" t="s">
        <v>1563</v>
      </c>
      <c r="BA837" s="48">
        <v>32</v>
      </c>
      <c r="BB837" s="47" t="s">
        <v>2485</v>
      </c>
      <c r="BC837" s="47" t="s">
        <v>8726</v>
      </c>
      <c r="BD837" s="47" t="s">
        <v>8374</v>
      </c>
      <c r="BE837" s="48" t="s">
        <v>2449</v>
      </c>
      <c r="BF837" s="48" t="s">
        <v>272</v>
      </c>
      <c r="BG837" s="48" t="s">
        <v>272</v>
      </c>
      <c r="BH837" s="48" t="s">
        <v>2486</v>
      </c>
      <c r="BI837" s="98">
        <v>6.3999999999999997E-6</v>
      </c>
      <c r="BJ837" s="98">
        <v>6.4000000000000001E-2</v>
      </c>
      <c r="BK837" s="48"/>
      <c r="BL837" s="98">
        <f t="shared" si="253"/>
        <v>406.34975290390355</v>
      </c>
      <c r="BM837" s="47" t="s">
        <v>2487</v>
      </c>
      <c r="BN837" s="48"/>
      <c r="BO837" s="48"/>
      <c r="BP837" s="48"/>
      <c r="BQ837" s="48"/>
      <c r="BR837" s="47" t="s">
        <v>2496</v>
      </c>
      <c r="BS837" s="48"/>
      <c r="BT837" s="48"/>
      <c r="BU837" s="228"/>
      <c r="BV837" s="48"/>
      <c r="BW837" s="48"/>
      <c r="BX837" s="48"/>
      <c r="BY837" s="48"/>
      <c r="BZ837" s="48"/>
      <c r="CA837" s="48"/>
      <c r="CB837" s="48"/>
      <c r="CC837" s="48"/>
      <c r="CD837" s="48"/>
      <c r="CE837" s="48"/>
      <c r="CF837" s="48"/>
      <c r="CG837" s="48"/>
      <c r="CH837" s="48"/>
      <c r="CI837" s="98"/>
      <c r="CJ837" s="98"/>
      <c r="CK837" s="49">
        <f t="shared" si="248"/>
        <v>6349.2148891234929</v>
      </c>
      <c r="CL837" s="229"/>
      <c r="CM837" s="229"/>
      <c r="CN837" s="229"/>
      <c r="CO837" s="47" t="s">
        <v>2488</v>
      </c>
      <c r="CP837" s="47" t="s">
        <v>2489</v>
      </c>
      <c r="CQ837" s="224" t="s">
        <v>272</v>
      </c>
      <c r="CR837" s="224"/>
      <c r="CS837" s="230" t="s">
        <v>539</v>
      </c>
      <c r="CT837" s="230"/>
      <c r="CU837" s="230"/>
      <c r="CV837" s="335">
        <f t="shared" si="252"/>
        <v>25609.634219468317</v>
      </c>
      <c r="CW837" s="230">
        <f t="shared" si="259"/>
        <v>1</v>
      </c>
      <c r="CX837" s="336"/>
      <c r="CY837" s="230" t="s">
        <v>6351</v>
      </c>
    </row>
    <row r="838" spans="1:103" ht="11.25" customHeight="1" x14ac:dyDescent="0.2">
      <c r="A838" s="72">
        <v>836</v>
      </c>
      <c r="B838" s="224">
        <v>476</v>
      </c>
      <c r="C838" s="46" t="s">
        <v>7036</v>
      </c>
      <c r="D838" s="46"/>
      <c r="E838" s="114"/>
      <c r="F838" s="114" t="s">
        <v>3535</v>
      </c>
      <c r="G838" s="225">
        <v>87901</v>
      </c>
      <c r="H838" s="47" t="s">
        <v>3536</v>
      </c>
      <c r="I838" s="47" t="s">
        <v>8004</v>
      </c>
      <c r="J838" s="47" t="s">
        <v>3537</v>
      </c>
      <c r="K838" s="47" t="s">
        <v>2580</v>
      </c>
      <c r="L838" s="47" t="s">
        <v>6140</v>
      </c>
      <c r="M838" s="47" t="s">
        <v>6082</v>
      </c>
      <c r="N838" s="47" t="s">
        <v>6082</v>
      </c>
      <c r="O838" s="47" t="s">
        <v>6083</v>
      </c>
      <c r="P838" s="53"/>
      <c r="Q838" s="53"/>
      <c r="R838" s="53"/>
      <c r="S838" s="53"/>
      <c r="T838" s="48">
        <v>232.41</v>
      </c>
      <c r="U838" s="98">
        <v>51.632890151026203</v>
      </c>
      <c r="V838" s="98">
        <v>19.835635299685901</v>
      </c>
      <c r="W838" s="98">
        <v>35.481338923357534</v>
      </c>
      <c r="X838" s="98">
        <v>51.632890151026203</v>
      </c>
      <c r="Y838" s="233">
        <v>7</v>
      </c>
      <c r="Z838" s="48">
        <v>0.94</v>
      </c>
      <c r="AA838" s="48"/>
      <c r="AB838" s="48">
        <v>1.1000000000000001</v>
      </c>
      <c r="AC838" s="48">
        <v>0.2382</v>
      </c>
      <c r="AD838" s="48">
        <v>0.42</v>
      </c>
      <c r="AE838" s="48">
        <v>0.11</v>
      </c>
      <c r="AF838" s="48">
        <f t="shared" si="258"/>
        <v>0.42</v>
      </c>
      <c r="AG838" s="49">
        <v>0.34</v>
      </c>
      <c r="AH838" s="98">
        <v>6.1900000000000001E-11</v>
      </c>
      <c r="AI838" s="98"/>
      <c r="AJ838" s="483">
        <f t="shared" si="256"/>
        <v>-8.5968756772925339</v>
      </c>
      <c r="AK838" s="483"/>
      <c r="AL838" s="483">
        <f t="shared" si="255"/>
        <v>-8.5968756772925339</v>
      </c>
      <c r="AM838" s="483">
        <v>-12.730219999999999</v>
      </c>
      <c r="AN838" s="226">
        <v>-2.99</v>
      </c>
      <c r="AO838" s="484"/>
      <c r="AP838" s="484">
        <v>-4.49</v>
      </c>
      <c r="AQ838" s="226" t="s">
        <v>6311</v>
      </c>
      <c r="AR838" s="226" t="s">
        <v>6311</v>
      </c>
      <c r="AS838" s="224" t="s">
        <v>6</v>
      </c>
      <c r="AT838" s="50" t="s">
        <v>266</v>
      </c>
      <c r="AU838" s="48">
        <v>8</v>
      </c>
      <c r="AV838" s="48">
        <v>144</v>
      </c>
      <c r="AW838" s="48">
        <v>120</v>
      </c>
      <c r="AX838" s="48">
        <v>26</v>
      </c>
      <c r="AY838" s="48" t="s">
        <v>267</v>
      </c>
      <c r="AZ838" s="48" t="s">
        <v>2253</v>
      </c>
      <c r="BA838" s="48">
        <v>2</v>
      </c>
      <c r="BB838" s="47" t="s">
        <v>2254</v>
      </c>
      <c r="BC838" s="47" t="s">
        <v>270</v>
      </c>
      <c r="BD838" s="47" t="s">
        <v>8374</v>
      </c>
      <c r="BE838" s="48" t="s">
        <v>1712</v>
      </c>
      <c r="BF838" s="48" t="s">
        <v>272</v>
      </c>
      <c r="BG838" s="48" t="s">
        <v>272</v>
      </c>
      <c r="BH838" s="48" t="s">
        <v>2255</v>
      </c>
      <c r="BI838" s="98">
        <v>9.9999999999999995E-7</v>
      </c>
      <c r="BJ838" s="98">
        <v>0.08</v>
      </c>
      <c r="BK838" s="48"/>
      <c r="BL838" s="98">
        <f t="shared" si="253"/>
        <v>7.3550562758499556</v>
      </c>
      <c r="BM838" s="48" t="s">
        <v>891</v>
      </c>
      <c r="BN838" s="233"/>
      <c r="BO838" s="233"/>
      <c r="BP838" s="233"/>
      <c r="BQ838" s="233"/>
      <c r="BR838" s="233"/>
      <c r="BS838" s="48"/>
      <c r="BT838" s="233"/>
      <c r="BU838" s="228"/>
      <c r="BV838" s="233"/>
      <c r="BW838" s="233"/>
      <c r="BX838" s="233"/>
      <c r="BY838" s="233"/>
      <c r="BZ838" s="233"/>
      <c r="CA838" s="233"/>
      <c r="CB838" s="233"/>
      <c r="CC838" s="48"/>
      <c r="CD838" s="48"/>
      <c r="CE838" s="48"/>
      <c r="CF838" s="48"/>
      <c r="CG838" s="233"/>
      <c r="CH838" s="48"/>
      <c r="CI838" s="98"/>
      <c r="CJ838" s="98"/>
      <c r="CK838" s="49">
        <f t="shared" ref="CK838:CK901" si="260">BL838/BJ838</f>
        <v>91.93820344812444</v>
      </c>
      <c r="CL838" s="229"/>
      <c r="CM838" s="229"/>
      <c r="CN838" s="229"/>
      <c r="CO838" s="47" t="s">
        <v>892</v>
      </c>
      <c r="CP838" s="47" t="s">
        <v>893</v>
      </c>
      <c r="CQ838" s="224">
        <v>-2.949609343466574</v>
      </c>
      <c r="CR838" s="224">
        <f>10^(CJ838-CQ838)</f>
        <v>890.44960063332962</v>
      </c>
      <c r="CS838" s="230" t="s">
        <v>539</v>
      </c>
      <c r="CT838" s="230"/>
      <c r="CU838" s="230"/>
      <c r="CV838" s="335">
        <f t="shared" si="252"/>
        <v>645.41112688782755</v>
      </c>
      <c r="CW838" s="230">
        <f t="shared" si="259"/>
        <v>1</v>
      </c>
      <c r="CX838" s="336" t="s">
        <v>539</v>
      </c>
      <c r="CY838" s="230" t="s">
        <v>5921</v>
      </c>
    </row>
    <row r="839" spans="1:103" ht="11.25" customHeight="1" x14ac:dyDescent="0.2">
      <c r="A839" s="72">
        <v>837</v>
      </c>
      <c r="B839" s="224">
        <v>1286</v>
      </c>
      <c r="C839" s="46" t="s">
        <v>7036</v>
      </c>
      <c r="D839" s="46"/>
      <c r="E839" s="114"/>
      <c r="F839" s="114" t="s">
        <v>3535</v>
      </c>
      <c r="G839" s="225">
        <v>87901</v>
      </c>
      <c r="H839" s="47" t="s">
        <v>3536</v>
      </c>
      <c r="I839" s="47" t="s">
        <v>8004</v>
      </c>
      <c r="J839" s="47" t="s">
        <v>3537</v>
      </c>
      <c r="K839" s="47" t="s">
        <v>2580</v>
      </c>
      <c r="L839" s="47" t="s">
        <v>6140</v>
      </c>
      <c r="M839" s="47" t="s">
        <v>6082</v>
      </c>
      <c r="N839" s="47" t="s">
        <v>6082</v>
      </c>
      <c r="O839" s="47" t="s">
        <v>6083</v>
      </c>
      <c r="P839" s="53"/>
      <c r="Q839" s="53"/>
      <c r="R839" s="53"/>
      <c r="S839" s="53"/>
      <c r="T839" s="48">
        <v>232.41</v>
      </c>
      <c r="U839" s="98">
        <v>51.632890151026203</v>
      </c>
      <c r="V839" s="98">
        <v>19.835635299685901</v>
      </c>
      <c r="W839" s="98">
        <v>35.481338923357534</v>
      </c>
      <c r="X839" s="98">
        <v>51.632890151026203</v>
      </c>
      <c r="Y839" s="233">
        <v>7</v>
      </c>
      <c r="Z839" s="48">
        <v>0.94</v>
      </c>
      <c r="AA839" s="48"/>
      <c r="AB839" s="48">
        <v>1.1000000000000001</v>
      </c>
      <c r="AC839" s="48">
        <v>0.2382</v>
      </c>
      <c r="AD839" s="48">
        <v>0.42</v>
      </c>
      <c r="AE839" s="48">
        <v>0.11</v>
      </c>
      <c r="AF839" s="48">
        <f t="shared" si="258"/>
        <v>0.42</v>
      </c>
      <c r="AG839" s="49">
        <v>0.34</v>
      </c>
      <c r="AH839" s="98">
        <v>6.1900000000000001E-11</v>
      </c>
      <c r="AI839" s="98"/>
      <c r="AJ839" s="483">
        <f t="shared" si="256"/>
        <v>-8.5968756772925339</v>
      </c>
      <c r="AK839" s="483"/>
      <c r="AL839" s="483">
        <f t="shared" si="255"/>
        <v>-8.5968756772925339</v>
      </c>
      <c r="AM839" s="483">
        <v>-12.730219999999999</v>
      </c>
      <c r="AN839" s="226">
        <v>-2.99</v>
      </c>
      <c r="AO839" s="484"/>
      <c r="AP839" s="484">
        <v>-4.49</v>
      </c>
      <c r="AQ839" s="48" t="s">
        <v>6311</v>
      </c>
      <c r="AR839" s="48" t="s">
        <v>6311</v>
      </c>
      <c r="AS839" s="227"/>
      <c r="AT839" s="50" t="s">
        <v>266</v>
      </c>
      <c r="AU839" s="48">
        <v>6</v>
      </c>
      <c r="AV839" s="48">
        <v>120</v>
      </c>
      <c r="AW839" s="48">
        <v>114</v>
      </c>
      <c r="AX839" s="48">
        <v>28</v>
      </c>
      <c r="AY839" s="48" t="s">
        <v>8728</v>
      </c>
      <c r="AZ839" s="48" t="s">
        <v>1563</v>
      </c>
      <c r="BA839" s="48">
        <v>32</v>
      </c>
      <c r="BB839" s="47" t="s">
        <v>2485</v>
      </c>
      <c r="BC839" s="47" t="s">
        <v>8726</v>
      </c>
      <c r="BD839" s="47" t="s">
        <v>8374</v>
      </c>
      <c r="BE839" s="48" t="s">
        <v>2449</v>
      </c>
      <c r="BF839" s="48" t="s">
        <v>272</v>
      </c>
      <c r="BG839" s="48" t="s">
        <v>272</v>
      </c>
      <c r="BH839" s="48" t="s">
        <v>2486</v>
      </c>
      <c r="BI839" s="98">
        <v>6.3999999999999997E-6</v>
      </c>
      <c r="BJ839" s="98">
        <v>6.4000000000000001E-2</v>
      </c>
      <c r="BK839" s="48"/>
      <c r="BL839" s="98">
        <f t="shared" si="253"/>
        <v>7.3550562758499556</v>
      </c>
      <c r="BM839" s="47" t="s">
        <v>2487</v>
      </c>
      <c r="BN839" s="48"/>
      <c r="BO839" s="48"/>
      <c r="BP839" s="48"/>
      <c r="BQ839" s="48"/>
      <c r="BR839" s="47" t="s">
        <v>2496</v>
      </c>
      <c r="BS839" s="48"/>
      <c r="BT839" s="48"/>
      <c r="BU839" s="228">
        <v>6.4000000000000003E-3</v>
      </c>
      <c r="BV839" s="48"/>
      <c r="BW839" s="48"/>
      <c r="BX839" s="48"/>
      <c r="BY839" s="48"/>
      <c r="BZ839" s="48"/>
      <c r="CA839" s="48"/>
      <c r="CB839" s="48"/>
      <c r="CC839" s="48"/>
      <c r="CD839" s="48"/>
      <c r="CE839" s="48"/>
      <c r="CF839" s="48"/>
      <c r="CG839" s="48"/>
      <c r="CH839" s="48"/>
      <c r="CI839" s="98"/>
      <c r="CJ839" s="98"/>
      <c r="CK839" s="49">
        <f t="shared" si="260"/>
        <v>114.92275431015555</v>
      </c>
      <c r="CL839" s="229"/>
      <c r="CM839" s="229"/>
      <c r="CN839" s="229"/>
      <c r="CO839" s="47" t="s">
        <v>2488</v>
      </c>
      <c r="CP839" s="47" t="s">
        <v>2489</v>
      </c>
      <c r="CQ839" s="224">
        <v>-2.949609343466574</v>
      </c>
      <c r="CR839" s="224">
        <f>10^(CJ839-CQ839)</f>
        <v>890.44960063332962</v>
      </c>
      <c r="CS839" s="230" t="s">
        <v>539</v>
      </c>
      <c r="CT839" s="230"/>
      <c r="CU839" s="230"/>
      <c r="CV839" s="335">
        <f t="shared" si="252"/>
        <v>806.76390860978438</v>
      </c>
      <c r="CW839" s="230">
        <f t="shared" si="259"/>
        <v>1</v>
      </c>
      <c r="CX839" s="336"/>
      <c r="CY839" s="230" t="s">
        <v>5921</v>
      </c>
    </row>
    <row r="840" spans="1:103" ht="11.25" customHeight="1" x14ac:dyDescent="0.2">
      <c r="A840" s="72">
        <v>838</v>
      </c>
      <c r="B840" s="224">
        <v>1218</v>
      </c>
      <c r="C840" s="46" t="s">
        <v>7037</v>
      </c>
      <c r="D840" s="46"/>
      <c r="E840" s="114"/>
      <c r="F840" s="114" t="s">
        <v>3363</v>
      </c>
      <c r="G840" s="225">
        <v>88120</v>
      </c>
      <c r="H840" s="47" t="s">
        <v>3364</v>
      </c>
      <c r="I840" s="47" t="s">
        <v>3364</v>
      </c>
      <c r="J840" s="47" t="s">
        <v>3365</v>
      </c>
      <c r="K840" s="47" t="s">
        <v>471</v>
      </c>
      <c r="L840" s="47"/>
      <c r="M840" s="47"/>
      <c r="N840" s="47"/>
      <c r="O840" s="47"/>
      <c r="P840" s="53"/>
      <c r="Q840" s="53"/>
      <c r="R840" s="53"/>
      <c r="S840" s="53"/>
      <c r="T840" s="48">
        <v>111.14</v>
      </c>
      <c r="U840" s="98"/>
      <c r="V840" s="98">
        <v>468.68814108331833</v>
      </c>
      <c r="W840" s="98">
        <v>131.8256738556407</v>
      </c>
      <c r="X840" s="98">
        <f>IF(W840=0,V840,W840)</f>
        <v>131.8256738556407</v>
      </c>
      <c r="Y840" s="233">
        <v>7.01</v>
      </c>
      <c r="Z840" s="48">
        <v>0.25</v>
      </c>
      <c r="AA840" s="48">
        <v>0.37</v>
      </c>
      <c r="AB840" s="48">
        <v>0.39</v>
      </c>
      <c r="AC840" s="48">
        <v>0.75680000000000003</v>
      </c>
      <c r="AD840" s="48">
        <v>0.38</v>
      </c>
      <c r="AE840" s="48">
        <v>0.37</v>
      </c>
      <c r="AF840" s="48">
        <f t="shared" si="258"/>
        <v>0.37</v>
      </c>
      <c r="AG840" s="49">
        <v>0.37</v>
      </c>
      <c r="AH840" s="98">
        <v>5.5299999999999999E-8</v>
      </c>
      <c r="AI840" s="98"/>
      <c r="AJ840" s="483">
        <f t="shared" si="256"/>
        <v>-5.6458411950079537</v>
      </c>
      <c r="AK840" s="483"/>
      <c r="AL840" s="483">
        <f t="shared" si="255"/>
        <v>-5.6458411950079537</v>
      </c>
      <c r="AM840" s="483">
        <v>-7.0418400000000005</v>
      </c>
      <c r="AN840" s="226">
        <v>-7.35</v>
      </c>
      <c r="AO840" s="484"/>
      <c r="AP840" s="484">
        <v>-0.34</v>
      </c>
      <c r="AQ840" s="48" t="s">
        <v>6311</v>
      </c>
      <c r="AR840" s="48" t="s">
        <v>6311</v>
      </c>
      <c r="AS840" s="227"/>
      <c r="AT840" s="50" t="s">
        <v>266</v>
      </c>
      <c r="AU840" s="48">
        <v>6</v>
      </c>
      <c r="AV840" s="48">
        <v>120</v>
      </c>
      <c r="AW840" s="48">
        <v>114</v>
      </c>
      <c r="AX840" s="48">
        <v>28</v>
      </c>
      <c r="AY840" s="48" t="s">
        <v>8728</v>
      </c>
      <c r="AZ840" s="48" t="s">
        <v>1563</v>
      </c>
      <c r="BA840" s="48">
        <v>32</v>
      </c>
      <c r="BB840" s="47" t="s">
        <v>2485</v>
      </c>
      <c r="BC840" s="47" t="s">
        <v>8726</v>
      </c>
      <c r="BD840" s="47" t="s">
        <v>8374</v>
      </c>
      <c r="BE840" s="48" t="s">
        <v>2449</v>
      </c>
      <c r="BF840" s="48" t="s">
        <v>272</v>
      </c>
      <c r="BG840" s="48" t="s">
        <v>272</v>
      </c>
      <c r="BH840" s="48" t="s">
        <v>2486</v>
      </c>
      <c r="BI840" s="98">
        <v>6.3999999999999997E-6</v>
      </c>
      <c r="BJ840" s="98">
        <v>6.4000000000000001E-2</v>
      </c>
      <c r="BK840" s="48"/>
      <c r="BL840" s="98">
        <f t="shared" si="253"/>
        <v>30.639029163000096</v>
      </c>
      <c r="BM840" s="47" t="s">
        <v>2487</v>
      </c>
      <c r="BN840" s="48"/>
      <c r="BO840" s="48"/>
      <c r="BP840" s="48"/>
      <c r="BQ840" s="48"/>
      <c r="BR840" s="47" t="s">
        <v>2496</v>
      </c>
      <c r="BS840" s="48"/>
      <c r="BT840" s="48"/>
      <c r="BU840" s="228">
        <v>6.3999999999999997E-6</v>
      </c>
      <c r="BV840" s="48"/>
      <c r="BW840" s="48"/>
      <c r="BX840" s="48"/>
      <c r="BY840" s="48"/>
      <c r="BZ840" s="48"/>
      <c r="CA840" s="48"/>
      <c r="CB840" s="48"/>
      <c r="CC840" s="48"/>
      <c r="CD840" s="48"/>
      <c r="CE840" s="48"/>
      <c r="CF840" s="48"/>
      <c r="CG840" s="48"/>
      <c r="CH840" s="48"/>
      <c r="CI840" s="98"/>
      <c r="CJ840" s="98"/>
      <c r="CK840" s="49">
        <f t="shared" si="260"/>
        <v>478.73483067187647</v>
      </c>
      <c r="CL840" s="229"/>
      <c r="CM840" s="229"/>
      <c r="CN840" s="229"/>
      <c r="CO840" s="47" t="s">
        <v>2488</v>
      </c>
      <c r="CP840" s="47" t="s">
        <v>2489</v>
      </c>
      <c r="CQ840" s="224" t="s">
        <v>272</v>
      </c>
      <c r="CR840" s="224"/>
      <c r="CS840" s="230" t="s">
        <v>539</v>
      </c>
      <c r="CT840" s="230"/>
      <c r="CU840" s="230"/>
      <c r="CV840" s="335">
        <f t="shared" si="252"/>
        <v>2059.7761539943858</v>
      </c>
      <c r="CW840" s="230">
        <f t="shared" si="259"/>
        <v>1</v>
      </c>
      <c r="CX840" s="336"/>
      <c r="CY840" s="230" t="s">
        <v>6351</v>
      </c>
    </row>
    <row r="841" spans="1:103" ht="11.25" customHeight="1" x14ac:dyDescent="0.2">
      <c r="A841" s="72">
        <v>839</v>
      </c>
      <c r="B841" s="224">
        <v>1406</v>
      </c>
      <c r="C841" s="46" t="s">
        <v>7038</v>
      </c>
      <c r="D841" s="46"/>
      <c r="E841" s="114"/>
      <c r="F841" s="114" t="s">
        <v>4328</v>
      </c>
      <c r="G841" s="225">
        <v>88186</v>
      </c>
      <c r="H841" s="47" t="s">
        <v>4329</v>
      </c>
      <c r="I841" s="47" t="s">
        <v>4329</v>
      </c>
      <c r="J841" s="47" t="s">
        <v>4330</v>
      </c>
      <c r="K841" s="47" t="s">
        <v>349</v>
      </c>
      <c r="L841" s="47"/>
      <c r="M841" s="47"/>
      <c r="N841" s="47"/>
      <c r="O841" s="47"/>
      <c r="P841" s="53"/>
      <c r="Q841" s="53"/>
      <c r="R841" s="53"/>
      <c r="S841" s="53"/>
      <c r="T841" s="48">
        <v>150.22</v>
      </c>
      <c r="U841" s="98">
        <v>4.6598322460391426</v>
      </c>
      <c r="V841" s="98">
        <v>2.8551457861802687</v>
      </c>
      <c r="W841" s="98">
        <v>7.9432823472428122</v>
      </c>
      <c r="X841" s="98">
        <v>4.6598322460391426</v>
      </c>
      <c r="Y841" s="233">
        <v>6.67</v>
      </c>
      <c r="Z841" s="48">
        <v>3.42</v>
      </c>
      <c r="AA841" s="48">
        <v>3.31</v>
      </c>
      <c r="AB841" s="48">
        <v>3.4</v>
      </c>
      <c r="AC841" s="48">
        <v>0.93430000000000002</v>
      </c>
      <c r="AD841" s="48">
        <v>3.36</v>
      </c>
      <c r="AE841" s="48">
        <v>3.17</v>
      </c>
      <c r="AF841" s="48">
        <f t="shared" si="258"/>
        <v>3.31</v>
      </c>
      <c r="AG841" s="49">
        <v>3.11</v>
      </c>
      <c r="AH841" s="98">
        <v>1.4500000000000001E-6</v>
      </c>
      <c r="AI841" s="98">
        <v>2.5400000000000001E-5</v>
      </c>
      <c r="AJ841" s="483">
        <f t="shared" si="256"/>
        <v>-4.2271983240776771</v>
      </c>
      <c r="AK841" s="483">
        <f>LOG10(AI841*1000/(0.08206*298.15))</f>
        <v>-2.9837326096927139</v>
      </c>
      <c r="AL841" s="483">
        <f t="shared" si="255"/>
        <v>-2.9837326096927139</v>
      </c>
      <c r="AM841" s="483">
        <v>-6.7175700000000003</v>
      </c>
      <c r="AN841" s="226">
        <v>-3.78</v>
      </c>
      <c r="AO841" s="484">
        <v>11.34</v>
      </c>
      <c r="AP841" s="484"/>
      <c r="AQ841" s="48" t="s">
        <v>6311</v>
      </c>
      <c r="AR841" s="48" t="s">
        <v>6311</v>
      </c>
      <c r="AS841" s="227"/>
      <c r="AT841" s="50" t="s">
        <v>266</v>
      </c>
      <c r="AU841" s="48">
        <v>6</v>
      </c>
      <c r="AV841" s="48">
        <v>120</v>
      </c>
      <c r="AW841" s="48">
        <v>114</v>
      </c>
      <c r="AX841" s="48">
        <v>28</v>
      </c>
      <c r="AY841" s="48" t="s">
        <v>8728</v>
      </c>
      <c r="AZ841" s="48" t="s">
        <v>1563</v>
      </c>
      <c r="BA841" s="48">
        <v>32</v>
      </c>
      <c r="BB841" s="47" t="s">
        <v>2485</v>
      </c>
      <c r="BC841" s="47" t="s">
        <v>8726</v>
      </c>
      <c r="BD841" s="47" t="s">
        <v>8374</v>
      </c>
      <c r="BE841" s="48" t="s">
        <v>2449</v>
      </c>
      <c r="BF841" s="48" t="s">
        <v>272</v>
      </c>
      <c r="BG841" s="48" t="s">
        <v>272</v>
      </c>
      <c r="BH841" s="48" t="s">
        <v>2486</v>
      </c>
      <c r="BI841" s="98">
        <v>6.3999999999999997E-6</v>
      </c>
      <c r="BJ841" s="98">
        <v>6.4000000000000001E-2</v>
      </c>
      <c r="BK841" s="48"/>
      <c r="BL841" s="98">
        <f t="shared" si="253"/>
        <v>4.3581081157315266E-2</v>
      </c>
      <c r="BM841" s="47" t="s">
        <v>2487</v>
      </c>
      <c r="BN841" s="48"/>
      <c r="BO841" s="48"/>
      <c r="BP841" s="48"/>
      <c r="BQ841" s="48"/>
      <c r="BR841" s="47" t="s">
        <v>2496</v>
      </c>
      <c r="BS841" s="48"/>
      <c r="BT841" s="48"/>
      <c r="BU841" s="228"/>
      <c r="BV841" s="48"/>
      <c r="BW841" s="48"/>
      <c r="BX841" s="48"/>
      <c r="BY841" s="48"/>
      <c r="BZ841" s="48"/>
      <c r="CA841" s="48"/>
      <c r="CB841" s="48"/>
      <c r="CC841" s="48"/>
      <c r="CD841" s="48"/>
      <c r="CE841" s="48"/>
      <c r="CF841" s="48"/>
      <c r="CG841" s="48"/>
      <c r="CH841" s="48"/>
      <c r="CI841" s="98"/>
      <c r="CJ841" s="98"/>
      <c r="CK841" s="49">
        <f t="shared" si="260"/>
        <v>0.68095439308305106</v>
      </c>
      <c r="CL841" s="229"/>
      <c r="CM841" s="229"/>
      <c r="CN841" s="229"/>
      <c r="CO841" s="47" t="s">
        <v>2488</v>
      </c>
      <c r="CP841" s="47" t="s">
        <v>2489</v>
      </c>
      <c r="CQ841" s="224" t="s">
        <v>272</v>
      </c>
      <c r="CR841" s="224"/>
      <c r="CS841" s="230" t="s">
        <v>539</v>
      </c>
      <c r="CT841" s="230"/>
      <c r="CU841" s="230"/>
      <c r="CV841" s="335">
        <f t="shared" si="252"/>
        <v>72.809878844361606</v>
      </c>
      <c r="CW841" s="230">
        <f t="shared" si="259"/>
        <v>1</v>
      </c>
      <c r="CX841" s="336"/>
      <c r="CY841" s="230" t="s">
        <v>6351</v>
      </c>
    </row>
    <row r="842" spans="1:103" ht="11.25" customHeight="1" x14ac:dyDescent="0.2">
      <c r="A842" s="72">
        <v>840</v>
      </c>
      <c r="B842" s="224">
        <v>960</v>
      </c>
      <c r="C842" s="46" t="s">
        <v>7039</v>
      </c>
      <c r="D842" s="46"/>
      <c r="E842" s="114"/>
      <c r="F842" s="114" t="s">
        <v>2737</v>
      </c>
      <c r="G842" s="225">
        <v>88608</v>
      </c>
      <c r="H842" s="47" t="s">
        <v>2738</v>
      </c>
      <c r="I842" s="47" t="s">
        <v>2738</v>
      </c>
      <c r="J842" s="47" t="s">
        <v>2739</v>
      </c>
      <c r="K842" s="47" t="s">
        <v>349</v>
      </c>
      <c r="L842" s="47"/>
      <c r="M842" s="47"/>
      <c r="N842" s="47"/>
      <c r="O842" s="47"/>
      <c r="P842" s="53"/>
      <c r="Q842" s="53"/>
      <c r="R842" s="53"/>
      <c r="S842" s="53"/>
      <c r="T842" s="48">
        <v>164.24</v>
      </c>
      <c r="U842" s="98"/>
      <c r="V842" s="98">
        <v>0.61678032148075979</v>
      </c>
      <c r="W842" s="98">
        <v>2.8183829312644524</v>
      </c>
      <c r="X842" s="98">
        <f>IF(W842=0,V842,W842)</f>
        <v>2.8183829312644524</v>
      </c>
      <c r="Y842" s="233">
        <v>6.85</v>
      </c>
      <c r="Z842" s="48">
        <v>3.97</v>
      </c>
      <c r="AA842" s="48"/>
      <c r="AB842" s="48">
        <v>3.69</v>
      </c>
      <c r="AC842" s="48">
        <v>0.83940000000000003</v>
      </c>
      <c r="AD842" s="48">
        <v>3.67</v>
      </c>
      <c r="AE842" s="48">
        <v>3.63</v>
      </c>
      <c r="AF842" s="48">
        <f t="shared" si="258"/>
        <v>3.67</v>
      </c>
      <c r="AG842" s="49">
        <v>3.58</v>
      </c>
      <c r="AH842" s="98">
        <v>1.5999999999999999E-6</v>
      </c>
      <c r="AI842" s="98"/>
      <c r="AJ842" s="483">
        <f t="shared" si="256"/>
        <v>-4.1844463436567274</v>
      </c>
      <c r="AK842" s="483"/>
      <c r="AL842" s="483">
        <f t="shared" si="255"/>
        <v>-4.1844463436567274</v>
      </c>
      <c r="AM842" s="483">
        <v>-6.6695399999999996</v>
      </c>
      <c r="AN842" s="226">
        <v>-3.77</v>
      </c>
      <c r="AO842" s="484">
        <v>11.45</v>
      </c>
      <c r="AP842" s="484"/>
      <c r="AQ842" s="48" t="s">
        <v>6311</v>
      </c>
      <c r="AR842" s="48" t="s">
        <v>6311</v>
      </c>
      <c r="AS842" s="227"/>
      <c r="AT842" s="50" t="s">
        <v>266</v>
      </c>
      <c r="AU842" s="48">
        <v>6</v>
      </c>
      <c r="AV842" s="48">
        <v>120</v>
      </c>
      <c r="AW842" s="48">
        <v>114</v>
      </c>
      <c r="AX842" s="48">
        <v>28</v>
      </c>
      <c r="AY842" s="48" t="s">
        <v>8728</v>
      </c>
      <c r="AZ842" s="48" t="s">
        <v>1563</v>
      </c>
      <c r="BA842" s="48">
        <v>32</v>
      </c>
      <c r="BB842" s="47" t="s">
        <v>2485</v>
      </c>
      <c r="BC842" s="47" t="s">
        <v>8726</v>
      </c>
      <c r="BD842" s="47" t="s">
        <v>8374</v>
      </c>
      <c r="BE842" s="48" t="s">
        <v>2449</v>
      </c>
      <c r="BF842" s="48" t="s">
        <v>272</v>
      </c>
      <c r="BG842" s="48" t="s">
        <v>272</v>
      </c>
      <c r="BH842" s="48" t="s">
        <v>2486</v>
      </c>
      <c r="BI842" s="98">
        <v>6.3999999999999997E-6</v>
      </c>
      <c r="BJ842" s="98">
        <v>6.4000000000000001E-2</v>
      </c>
      <c r="BK842" s="48"/>
      <c r="BL842" s="98">
        <f t="shared" si="253"/>
        <v>1.3974716298136427E-2</v>
      </c>
      <c r="BM842" s="47" t="s">
        <v>2487</v>
      </c>
      <c r="BN842" s="48"/>
      <c r="BO842" s="48"/>
      <c r="BP842" s="48"/>
      <c r="BQ842" s="48"/>
      <c r="BR842" s="47" t="s">
        <v>2496</v>
      </c>
      <c r="BS842" s="48"/>
      <c r="BT842" s="48"/>
      <c r="BU842" s="228">
        <v>6.3999999999999997E-5</v>
      </c>
      <c r="BV842" s="48"/>
      <c r="BW842" s="48"/>
      <c r="BX842" s="48"/>
      <c r="BY842" s="48"/>
      <c r="BZ842" s="48"/>
      <c r="CA842" s="48"/>
      <c r="CB842" s="48"/>
      <c r="CC842" s="48"/>
      <c r="CD842" s="48"/>
      <c r="CE842" s="48"/>
      <c r="CF842" s="48"/>
      <c r="CG842" s="48"/>
      <c r="CH842" s="48"/>
      <c r="CI842" s="98"/>
      <c r="CJ842" s="98"/>
      <c r="CK842" s="49">
        <f t="shared" si="260"/>
        <v>0.21835494215838167</v>
      </c>
      <c r="CL842" s="229"/>
      <c r="CM842" s="229"/>
      <c r="CN842" s="229"/>
      <c r="CO842" s="47" t="s">
        <v>2488</v>
      </c>
      <c r="CP842" s="47" t="s">
        <v>2489</v>
      </c>
      <c r="CQ842" s="224" t="s">
        <v>272</v>
      </c>
      <c r="CR842" s="224"/>
      <c r="CS842" s="230" t="s">
        <v>539</v>
      </c>
      <c r="CT842" s="230"/>
      <c r="CU842" s="230"/>
      <c r="CV842" s="335">
        <f t="shared" si="252"/>
        <v>44.03723330100707</v>
      </c>
      <c r="CW842" s="230">
        <f t="shared" si="259"/>
        <v>1</v>
      </c>
      <c r="CX842" s="336"/>
      <c r="CY842" s="230" t="s">
        <v>6351</v>
      </c>
    </row>
    <row r="843" spans="1:103" ht="11.25" customHeight="1" x14ac:dyDescent="0.2">
      <c r="A843" s="72">
        <v>841</v>
      </c>
      <c r="B843" s="224">
        <v>1402</v>
      </c>
      <c r="C843" s="46" t="s">
        <v>7040</v>
      </c>
      <c r="D843" s="46"/>
      <c r="E843" s="114"/>
      <c r="F843" s="114" t="s">
        <v>4319</v>
      </c>
      <c r="G843" s="225">
        <v>88722</v>
      </c>
      <c r="H843" s="47" t="s">
        <v>4320</v>
      </c>
      <c r="I843" s="47" t="s">
        <v>4320</v>
      </c>
      <c r="J843" s="47" t="s">
        <v>4321</v>
      </c>
      <c r="K843" s="47" t="s">
        <v>426</v>
      </c>
      <c r="L843" s="47"/>
      <c r="M843" s="47"/>
      <c r="N843" s="47"/>
      <c r="O843" s="47"/>
      <c r="P843" s="53" t="s">
        <v>6184</v>
      </c>
      <c r="Q843" s="53" t="s">
        <v>6176</v>
      </c>
      <c r="R843" s="53" t="s">
        <v>6185</v>
      </c>
      <c r="S843" s="53" t="s">
        <v>6182</v>
      </c>
      <c r="T843" s="48">
        <v>137.13999999999999</v>
      </c>
      <c r="U843" s="98">
        <v>4.7396820767099319</v>
      </c>
      <c r="V843" s="98">
        <v>2.7759953332361094</v>
      </c>
      <c r="W843" s="98">
        <v>3.1622776601683764</v>
      </c>
      <c r="X843" s="98">
        <v>4.7396820767099319</v>
      </c>
      <c r="Y843" s="233">
        <v>7</v>
      </c>
      <c r="Z843" s="48">
        <v>2.36</v>
      </c>
      <c r="AA843" s="48">
        <v>2.2999999999999998</v>
      </c>
      <c r="AB843" s="48">
        <v>2.46</v>
      </c>
      <c r="AC843" s="48">
        <v>0.92769999999999997</v>
      </c>
      <c r="AD843" s="48">
        <v>2.4500000000000002</v>
      </c>
      <c r="AE843" s="48">
        <v>2.41</v>
      </c>
      <c r="AF843" s="48">
        <f t="shared" si="258"/>
        <v>2.2999999999999998</v>
      </c>
      <c r="AG843" s="49">
        <v>1.89</v>
      </c>
      <c r="AH843" s="98">
        <v>2.3499999999999999E-5</v>
      </c>
      <c r="AI843" s="98">
        <v>1.2500000000000001E-5</v>
      </c>
      <c r="AJ843" s="483">
        <f t="shared" si="256"/>
        <v>-3.0174984640409157</v>
      </c>
      <c r="AK843" s="483">
        <f>LOG10(AI843*1000/(0.08206*298.15))</f>
        <v>-3.2916563133045953</v>
      </c>
      <c r="AL843" s="483">
        <f t="shared" si="255"/>
        <v>-3.2916563133045953</v>
      </c>
      <c r="AM843" s="483">
        <v>-4.7760700000000007</v>
      </c>
      <c r="AN843" s="226">
        <v>-2.78</v>
      </c>
      <c r="AO843" s="484"/>
      <c r="AP843" s="484"/>
      <c r="AQ843" s="48" t="s">
        <v>6311</v>
      </c>
      <c r="AR843" s="48" t="s">
        <v>6311</v>
      </c>
      <c r="AS843" s="227"/>
      <c r="AT843" s="50" t="s">
        <v>266</v>
      </c>
      <c r="AU843" s="48">
        <v>6</v>
      </c>
      <c r="AV843" s="48">
        <v>120</v>
      </c>
      <c r="AW843" s="48">
        <v>114</v>
      </c>
      <c r="AX843" s="48">
        <v>28</v>
      </c>
      <c r="AY843" s="48" t="s">
        <v>8728</v>
      </c>
      <c r="AZ843" s="48" t="s">
        <v>1563</v>
      </c>
      <c r="BA843" s="48">
        <v>32</v>
      </c>
      <c r="BB843" s="47" t="s">
        <v>2485</v>
      </c>
      <c r="BC843" s="47" t="s">
        <v>8726</v>
      </c>
      <c r="BD843" s="47" t="s">
        <v>8374</v>
      </c>
      <c r="BE843" s="48" t="s">
        <v>2449</v>
      </c>
      <c r="BF843" s="48" t="s">
        <v>272</v>
      </c>
      <c r="BG843" s="48" t="s">
        <v>272</v>
      </c>
      <c r="BH843" s="48" t="s">
        <v>2486</v>
      </c>
      <c r="BI843" s="98">
        <v>6.3999999999999997E-6</v>
      </c>
      <c r="BJ843" s="98">
        <v>6.4000000000000001E-2</v>
      </c>
      <c r="BK843" s="48"/>
      <c r="BL843" s="98">
        <f t="shared" si="253"/>
        <v>0.39019706645815139</v>
      </c>
      <c r="BM843" s="47" t="s">
        <v>2487</v>
      </c>
      <c r="BN843" s="48"/>
      <c r="BO843" s="48"/>
      <c r="BP843" s="48"/>
      <c r="BQ843" s="48"/>
      <c r="BR843" s="47" t="s">
        <v>2496</v>
      </c>
      <c r="BS843" s="48"/>
      <c r="BT843" s="48"/>
      <c r="BU843" s="228"/>
      <c r="BV843" s="48"/>
      <c r="BW843" s="48"/>
      <c r="BX843" s="48"/>
      <c r="BY843" s="48"/>
      <c r="BZ843" s="48"/>
      <c r="CA843" s="48"/>
      <c r="CB843" s="48"/>
      <c r="CC843" s="48"/>
      <c r="CD843" s="48"/>
      <c r="CE843" s="48"/>
      <c r="CF843" s="48"/>
      <c r="CG843" s="48"/>
      <c r="CH843" s="48"/>
      <c r="CI843" s="98"/>
      <c r="CJ843" s="98"/>
      <c r="CK843" s="49">
        <f t="shared" si="260"/>
        <v>6.0968291634086151</v>
      </c>
      <c r="CL843" s="229"/>
      <c r="CM843" s="229"/>
      <c r="CN843" s="229"/>
      <c r="CO843" s="47" t="s">
        <v>2488</v>
      </c>
      <c r="CP843" s="47" t="s">
        <v>2489</v>
      </c>
      <c r="CQ843" s="224">
        <v>-0.57013777897029561</v>
      </c>
      <c r="CR843" s="224">
        <f>10^(CJ843-CQ843)</f>
        <v>3.7165311653116535</v>
      </c>
      <c r="CS843" s="230" t="s">
        <v>539</v>
      </c>
      <c r="CT843" s="230"/>
      <c r="CU843" s="230"/>
      <c r="CV843" s="335">
        <f t="shared" si="252"/>
        <v>74.057532448592681</v>
      </c>
      <c r="CW843" s="230">
        <f t="shared" si="259"/>
        <v>1</v>
      </c>
      <c r="CX843" s="336"/>
      <c r="CY843" s="230" t="s">
        <v>6351</v>
      </c>
    </row>
    <row r="844" spans="1:103" ht="11.25" customHeight="1" x14ac:dyDescent="0.2">
      <c r="A844" s="72">
        <v>842</v>
      </c>
      <c r="B844" s="224">
        <v>925</v>
      </c>
      <c r="C844" s="46" t="s">
        <v>7041</v>
      </c>
      <c r="D844" s="46"/>
      <c r="E844" s="114"/>
      <c r="F844" s="114" t="s">
        <v>2641</v>
      </c>
      <c r="G844" s="225">
        <v>89725</v>
      </c>
      <c r="H844" s="47" t="s">
        <v>2642</v>
      </c>
      <c r="I844" s="47" t="s">
        <v>2642</v>
      </c>
      <c r="J844" s="47" t="s">
        <v>2643</v>
      </c>
      <c r="K844" s="47" t="s">
        <v>349</v>
      </c>
      <c r="L844" s="47"/>
      <c r="M844" s="47"/>
      <c r="N844" s="47"/>
      <c r="O844" s="47"/>
      <c r="P844" s="53"/>
      <c r="Q844" s="53"/>
      <c r="R844" s="53"/>
      <c r="S844" s="53"/>
      <c r="T844" s="48">
        <v>150.22</v>
      </c>
      <c r="U844" s="98"/>
      <c r="V844" s="98">
        <v>3.0888030888030888</v>
      </c>
      <c r="W844" s="98">
        <v>5.6234132519034867</v>
      </c>
      <c r="X844" s="98">
        <f>IF(W844=0,V844,W844)</f>
        <v>5.6234132519034867</v>
      </c>
      <c r="Y844" s="233">
        <v>6.29</v>
      </c>
      <c r="Z844" s="48">
        <v>3.46</v>
      </c>
      <c r="AA844" s="48">
        <v>3.27</v>
      </c>
      <c r="AB844" s="48">
        <v>3.29</v>
      </c>
      <c r="AC844" s="48">
        <v>0.9214</v>
      </c>
      <c r="AD844" s="48">
        <v>3.3</v>
      </c>
      <c r="AE844" s="48">
        <v>3.35</v>
      </c>
      <c r="AF844" s="48">
        <f t="shared" si="258"/>
        <v>3.27</v>
      </c>
      <c r="AG844" s="49">
        <v>3.12</v>
      </c>
      <c r="AH844" s="98">
        <v>1.4500000000000001E-6</v>
      </c>
      <c r="AI844" s="98"/>
      <c r="AJ844" s="483">
        <f t="shared" si="256"/>
        <v>-4.2271983240776771</v>
      </c>
      <c r="AK844" s="483"/>
      <c r="AL844" s="483">
        <f t="shared" si="255"/>
        <v>-4.2271983240776771</v>
      </c>
      <c r="AM844" s="483">
        <v>-6.9180200000000003</v>
      </c>
      <c r="AN844" s="226">
        <v>-3.78</v>
      </c>
      <c r="AO844" s="484">
        <v>10.36</v>
      </c>
      <c r="AP844" s="484"/>
      <c r="AQ844" s="48" t="s">
        <v>6311</v>
      </c>
      <c r="AR844" s="48" t="s">
        <v>6311</v>
      </c>
      <c r="AS844" s="227"/>
      <c r="AT844" s="50" t="s">
        <v>266</v>
      </c>
      <c r="AU844" s="48">
        <v>6</v>
      </c>
      <c r="AV844" s="48">
        <v>120</v>
      </c>
      <c r="AW844" s="48">
        <v>114</v>
      </c>
      <c r="AX844" s="48">
        <v>28</v>
      </c>
      <c r="AY844" s="48" t="s">
        <v>8728</v>
      </c>
      <c r="AZ844" s="48" t="s">
        <v>1563</v>
      </c>
      <c r="BA844" s="48">
        <v>32</v>
      </c>
      <c r="BB844" s="47" t="s">
        <v>2485</v>
      </c>
      <c r="BC844" s="47" t="s">
        <v>8726</v>
      </c>
      <c r="BD844" s="47" t="s">
        <v>8374</v>
      </c>
      <c r="BE844" s="48" t="s">
        <v>2449</v>
      </c>
      <c r="BF844" s="48" t="s">
        <v>272</v>
      </c>
      <c r="BG844" s="48" t="s">
        <v>272</v>
      </c>
      <c r="BH844" s="48" t="s">
        <v>2486</v>
      </c>
      <c r="BI844" s="98">
        <v>6.3999999999999997E-6</v>
      </c>
      <c r="BJ844" s="98">
        <v>6.4000000000000001E-2</v>
      </c>
      <c r="BK844" s="48"/>
      <c r="BL844" s="98">
        <f t="shared" si="253"/>
        <v>4.0121207943140245E-2</v>
      </c>
      <c r="BM844" s="47" t="s">
        <v>2487</v>
      </c>
      <c r="BN844" s="48"/>
      <c r="BO844" s="48"/>
      <c r="BP844" s="48"/>
      <c r="BQ844" s="48"/>
      <c r="BR844" s="47" t="s">
        <v>2496</v>
      </c>
      <c r="BS844" s="48"/>
      <c r="BT844" s="48"/>
      <c r="BU844" s="228">
        <v>6.3999999999999997E-6</v>
      </c>
      <c r="BV844" s="48"/>
      <c r="BW844" s="48"/>
      <c r="BX844" s="48"/>
      <c r="BY844" s="48"/>
      <c r="BZ844" s="48"/>
      <c r="CA844" s="48"/>
      <c r="CB844" s="48"/>
      <c r="CC844" s="48"/>
      <c r="CD844" s="48"/>
      <c r="CE844" s="48"/>
      <c r="CF844" s="48"/>
      <c r="CG844" s="48"/>
      <c r="CH844" s="48"/>
      <c r="CI844" s="98"/>
      <c r="CJ844" s="98"/>
      <c r="CK844" s="49">
        <f t="shared" si="260"/>
        <v>0.62689387411156627</v>
      </c>
      <c r="CL844" s="229"/>
      <c r="CM844" s="229"/>
      <c r="CN844" s="229"/>
      <c r="CO844" s="47" t="s">
        <v>2488</v>
      </c>
      <c r="CP844" s="47" t="s">
        <v>2489</v>
      </c>
      <c r="CQ844" s="224" t="s">
        <v>272</v>
      </c>
      <c r="CR844" s="224"/>
      <c r="CS844" s="230" t="s">
        <v>539</v>
      </c>
      <c r="CT844" s="230"/>
      <c r="CU844" s="230"/>
      <c r="CV844" s="335">
        <f t="shared" si="252"/>
        <v>87.865832060991977</v>
      </c>
      <c r="CW844" s="230">
        <f t="shared" si="259"/>
        <v>1</v>
      </c>
      <c r="CX844" s="336"/>
      <c r="CY844" s="230" t="s">
        <v>6351</v>
      </c>
    </row>
    <row r="845" spans="1:103" ht="11.25" customHeight="1" x14ac:dyDescent="0.2">
      <c r="A845" s="72">
        <v>843</v>
      </c>
      <c r="B845" s="224">
        <v>1901</v>
      </c>
      <c r="C845" s="46" t="s">
        <v>7042</v>
      </c>
      <c r="D845" s="46"/>
      <c r="E845" s="114"/>
      <c r="F845" s="114" t="s">
        <v>5363</v>
      </c>
      <c r="G845" s="225">
        <v>89838</v>
      </c>
      <c r="H845" s="47" t="s">
        <v>5364</v>
      </c>
      <c r="I845" s="47" t="s">
        <v>5364</v>
      </c>
      <c r="J845" s="47" t="s">
        <v>5365</v>
      </c>
      <c r="K845" s="47" t="s">
        <v>349</v>
      </c>
      <c r="L845" s="47"/>
      <c r="M845" s="47"/>
      <c r="N845" s="47"/>
      <c r="O845" s="47"/>
      <c r="P845" s="53"/>
      <c r="Q845" s="53"/>
      <c r="R845" s="53"/>
      <c r="S845" s="53"/>
      <c r="T845" s="48">
        <v>150.22</v>
      </c>
      <c r="U845" s="98">
        <v>5.991212887764612</v>
      </c>
      <c r="V845" s="98">
        <v>2.9117294634536011</v>
      </c>
      <c r="W845" s="98">
        <v>5.6234132519034867</v>
      </c>
      <c r="X845" s="98">
        <v>5.991212887764612</v>
      </c>
      <c r="Y845" s="233">
        <v>6.41</v>
      </c>
      <c r="Z845" s="48">
        <v>3.52</v>
      </c>
      <c r="AA845" s="48">
        <v>3.3</v>
      </c>
      <c r="AB845" s="48">
        <v>3.01</v>
      </c>
      <c r="AC845" s="48">
        <v>0.86939999999999995</v>
      </c>
      <c r="AD845" s="48">
        <v>3.08</v>
      </c>
      <c r="AE845" s="48">
        <v>3.28</v>
      </c>
      <c r="AF845" s="48">
        <f t="shared" si="258"/>
        <v>3.3</v>
      </c>
      <c r="AG845" s="49">
        <v>3.18</v>
      </c>
      <c r="AH845" s="98">
        <v>1.1999999999999999E-6</v>
      </c>
      <c r="AI845" s="98">
        <v>4.8299999999999997E-7</v>
      </c>
      <c r="AJ845" s="483">
        <f t="shared" si="256"/>
        <v>-4.3093850802650273</v>
      </c>
      <c r="AK845" s="483">
        <f t="shared" ref="AK845:AK850" si="261">LOG10(AI845*1000/(0.08206*298.15))</f>
        <v>-4.7046191955611398</v>
      </c>
      <c r="AL845" s="483">
        <f t="shared" si="255"/>
        <v>-4.7046191955611398</v>
      </c>
      <c r="AM845" s="483">
        <v>-6.7235699999999996</v>
      </c>
      <c r="AN845" s="226">
        <v>-3.9</v>
      </c>
      <c r="AO845" s="484">
        <v>10.59</v>
      </c>
      <c r="AP845" s="484"/>
      <c r="AQ845" s="226" t="s">
        <v>6311</v>
      </c>
      <c r="AR845" s="226" t="s">
        <v>6311</v>
      </c>
      <c r="AS845" s="224"/>
      <c r="AT845" s="50" t="s">
        <v>266</v>
      </c>
      <c r="AU845" s="48">
        <v>6</v>
      </c>
      <c r="AV845" s="48">
        <v>120</v>
      </c>
      <c r="AW845" s="48">
        <v>114</v>
      </c>
      <c r="AX845" s="48">
        <v>28</v>
      </c>
      <c r="AY845" s="48" t="s">
        <v>8728</v>
      </c>
      <c r="AZ845" s="48" t="s">
        <v>1563</v>
      </c>
      <c r="BA845" s="48">
        <v>32</v>
      </c>
      <c r="BB845" s="47" t="s">
        <v>2485</v>
      </c>
      <c r="BC845" s="47" t="s">
        <v>8726</v>
      </c>
      <c r="BD845" s="47" t="s">
        <v>8374</v>
      </c>
      <c r="BE845" s="48" t="s">
        <v>2449</v>
      </c>
      <c r="BF845" s="48" t="s">
        <v>272</v>
      </c>
      <c r="BG845" s="48" t="s">
        <v>272</v>
      </c>
      <c r="BH845" s="48" t="s">
        <v>2486</v>
      </c>
      <c r="BI845" s="98">
        <v>6.3999999999999997E-6</v>
      </c>
      <c r="BJ845" s="98">
        <v>6.4000000000000001E-2</v>
      </c>
      <c r="BK845" s="48"/>
      <c r="BL845" s="98">
        <f t="shared" si="253"/>
        <v>3.5439533784064246E-2</v>
      </c>
      <c r="BM845" s="47" t="s">
        <v>2487</v>
      </c>
      <c r="BN845" s="48"/>
      <c r="BO845" s="48"/>
      <c r="BP845" s="48"/>
      <c r="BQ845" s="48"/>
      <c r="BR845" s="47" t="s">
        <v>2496</v>
      </c>
      <c r="BS845" s="48"/>
      <c r="BT845" s="48"/>
      <c r="BU845" s="228"/>
      <c r="BV845" s="48"/>
      <c r="BW845" s="48"/>
      <c r="BX845" s="48"/>
      <c r="BY845" s="48"/>
      <c r="BZ845" s="48"/>
      <c r="CA845" s="48"/>
      <c r="CB845" s="48"/>
      <c r="CC845" s="48"/>
      <c r="CD845" s="48"/>
      <c r="CE845" s="48"/>
      <c r="CF845" s="48"/>
      <c r="CG845" s="48"/>
      <c r="CH845" s="48"/>
      <c r="CI845" s="98"/>
      <c r="CJ845" s="98"/>
      <c r="CK845" s="49">
        <f t="shared" si="260"/>
        <v>0.55374271537600384</v>
      </c>
      <c r="CL845" s="229"/>
      <c r="CM845" s="229"/>
      <c r="CN845" s="229"/>
      <c r="CO845" s="47" t="s">
        <v>2488</v>
      </c>
      <c r="CP845" s="47" t="s">
        <v>2489</v>
      </c>
      <c r="CQ845" s="224" t="s">
        <v>272</v>
      </c>
      <c r="CR845" s="224"/>
      <c r="CS845" s="230" t="s">
        <v>539</v>
      </c>
      <c r="CT845" s="230"/>
      <c r="CU845" s="230"/>
      <c r="CV845" s="335">
        <f t="shared" si="252"/>
        <v>93.612701371322061</v>
      </c>
      <c r="CW845" s="230">
        <f t="shared" si="259"/>
        <v>1</v>
      </c>
      <c r="CX845" s="336"/>
      <c r="CY845" s="230" t="s">
        <v>6351</v>
      </c>
    </row>
    <row r="846" spans="1:103" ht="11.25" customHeight="1" x14ac:dyDescent="0.2">
      <c r="A846" s="72">
        <v>844</v>
      </c>
      <c r="B846" s="224">
        <v>1389</v>
      </c>
      <c r="C846" s="46" t="s">
        <v>7043</v>
      </c>
      <c r="D846" s="46"/>
      <c r="E846" s="114"/>
      <c r="F846" s="114" t="s">
        <v>4282</v>
      </c>
      <c r="G846" s="225">
        <v>90040</v>
      </c>
      <c r="H846" s="47" t="s">
        <v>4283</v>
      </c>
      <c r="I846" s="47" t="s">
        <v>4283</v>
      </c>
      <c r="J846" s="47" t="s">
        <v>4284</v>
      </c>
      <c r="K846" s="47" t="s">
        <v>1573</v>
      </c>
      <c r="L846" s="47"/>
      <c r="M846" s="47"/>
      <c r="N846" s="47"/>
      <c r="O846" s="47"/>
      <c r="P846" s="53"/>
      <c r="Q846" s="53"/>
      <c r="R846" s="53"/>
      <c r="S846" s="53"/>
      <c r="T846" s="48">
        <v>123.15</v>
      </c>
      <c r="U846" s="98">
        <v>102.3142509135201</v>
      </c>
      <c r="V846" s="98">
        <v>77.937474624441734</v>
      </c>
      <c r="W846" s="98">
        <v>44.668359215096295</v>
      </c>
      <c r="X846" s="98">
        <v>102.3142509135201</v>
      </c>
      <c r="Y846" s="233">
        <v>8.59</v>
      </c>
      <c r="Z846" s="48">
        <v>1.1599999999999999</v>
      </c>
      <c r="AA846" s="48">
        <v>1.18</v>
      </c>
      <c r="AB846" s="48">
        <v>1.46</v>
      </c>
      <c r="AC846" s="48">
        <v>0.87819999999999998</v>
      </c>
      <c r="AD846" s="48">
        <v>1.37</v>
      </c>
      <c r="AE846" s="48">
        <v>1.0900000000000001</v>
      </c>
      <c r="AF846" s="48">
        <f t="shared" si="258"/>
        <v>1.18</v>
      </c>
      <c r="AG846" s="49">
        <v>1.0900000000000001</v>
      </c>
      <c r="AH846" s="98">
        <v>1.1300000000000001E-7</v>
      </c>
      <c r="AI846" s="98">
        <v>9.2600000000000001E-7</v>
      </c>
      <c r="AJ846" s="483">
        <f t="shared" si="256"/>
        <v>-5.3354878828292325</v>
      </c>
      <c r="AK846" s="483">
        <f t="shared" si="261"/>
        <v>-4.4219553396307179</v>
      </c>
      <c r="AL846" s="483">
        <f t="shared" si="255"/>
        <v>-4.4219553396307179</v>
      </c>
      <c r="AM846" s="483">
        <v>-7.5309499999999989</v>
      </c>
      <c r="AN846" s="226">
        <v>-3.52</v>
      </c>
      <c r="AO846" s="484"/>
      <c r="AP846" s="484">
        <v>4.54</v>
      </c>
      <c r="AQ846" s="48" t="s">
        <v>6311</v>
      </c>
      <c r="AR846" s="48" t="s">
        <v>6311</v>
      </c>
      <c r="AS846" s="227"/>
      <c r="AT846" s="50" t="s">
        <v>266</v>
      </c>
      <c r="AU846" s="48">
        <v>6</v>
      </c>
      <c r="AV846" s="48">
        <v>120</v>
      </c>
      <c r="AW846" s="48">
        <v>114</v>
      </c>
      <c r="AX846" s="48">
        <v>28</v>
      </c>
      <c r="AY846" s="48" t="s">
        <v>8728</v>
      </c>
      <c r="AZ846" s="48" t="s">
        <v>1563</v>
      </c>
      <c r="BA846" s="48">
        <v>32</v>
      </c>
      <c r="BB846" s="47" t="s">
        <v>2485</v>
      </c>
      <c r="BC846" s="47" t="s">
        <v>8726</v>
      </c>
      <c r="BD846" s="47" t="s">
        <v>8374</v>
      </c>
      <c r="BE846" s="48" t="s">
        <v>2449</v>
      </c>
      <c r="BF846" s="48" t="s">
        <v>272</v>
      </c>
      <c r="BG846" s="48" t="s">
        <v>272</v>
      </c>
      <c r="BH846" s="48" t="s">
        <v>2486</v>
      </c>
      <c r="BI846" s="98">
        <v>6.3999999999999997E-6</v>
      </c>
      <c r="BJ846" s="98">
        <v>6.4000000000000001E-2</v>
      </c>
      <c r="BK846" s="48"/>
      <c r="BL846" s="98">
        <f t="shared" si="253"/>
        <v>4.6666367842581282</v>
      </c>
      <c r="BM846" s="47" t="s">
        <v>2487</v>
      </c>
      <c r="BN846" s="48"/>
      <c r="BO846" s="48"/>
      <c r="BP846" s="48"/>
      <c r="BQ846" s="48"/>
      <c r="BR846" s="47" t="s">
        <v>2496</v>
      </c>
      <c r="BS846" s="48"/>
      <c r="BT846" s="48"/>
      <c r="BU846" s="228"/>
      <c r="BV846" s="48"/>
      <c r="BW846" s="48"/>
      <c r="BX846" s="48"/>
      <c r="BY846" s="48"/>
      <c r="BZ846" s="48"/>
      <c r="CA846" s="48"/>
      <c r="CB846" s="48"/>
      <c r="CC846" s="48"/>
      <c r="CD846" s="48"/>
      <c r="CE846" s="48"/>
      <c r="CF846" s="48"/>
      <c r="CG846" s="48"/>
      <c r="CH846" s="48"/>
      <c r="CI846" s="98"/>
      <c r="CJ846" s="98"/>
      <c r="CK846" s="49">
        <f t="shared" si="260"/>
        <v>72.916199754033258</v>
      </c>
      <c r="CL846" s="229"/>
      <c r="CM846" s="229"/>
      <c r="CN846" s="229"/>
      <c r="CO846" s="47" t="s">
        <v>2488</v>
      </c>
      <c r="CP846" s="47" t="s">
        <v>2489</v>
      </c>
      <c r="CQ846" s="224" t="s">
        <v>272</v>
      </c>
      <c r="CR846" s="224"/>
      <c r="CS846" s="230" t="s">
        <v>539</v>
      </c>
      <c r="CT846" s="230"/>
      <c r="CU846" s="230"/>
      <c r="CV846" s="335">
        <f t="shared" si="252"/>
        <v>1598.6601705237515</v>
      </c>
      <c r="CW846" s="230">
        <f t="shared" si="259"/>
        <v>1</v>
      </c>
      <c r="CX846" s="336"/>
      <c r="CY846" s="230" t="s">
        <v>6351</v>
      </c>
    </row>
    <row r="847" spans="1:103" ht="11.25" customHeight="1" x14ac:dyDescent="0.2">
      <c r="A847" s="72">
        <v>845</v>
      </c>
      <c r="B847" s="224">
        <v>1354</v>
      </c>
      <c r="C847" s="46" t="s">
        <v>7044</v>
      </c>
      <c r="D847" s="46"/>
      <c r="E847" s="114"/>
      <c r="F847" s="114" t="s">
        <v>4189</v>
      </c>
      <c r="G847" s="225">
        <v>90120</v>
      </c>
      <c r="H847" s="47" t="s">
        <v>4190</v>
      </c>
      <c r="I847" s="47" t="s">
        <v>4190</v>
      </c>
      <c r="J847" s="47" t="s">
        <v>4191</v>
      </c>
      <c r="K847" s="47" t="s">
        <v>426</v>
      </c>
      <c r="L847" s="47" t="s">
        <v>5527</v>
      </c>
      <c r="M847" s="47" t="s">
        <v>5960</v>
      </c>
      <c r="N847" s="47"/>
      <c r="O847" s="47"/>
      <c r="P847" s="53"/>
      <c r="Q847" s="53"/>
      <c r="R847" s="53"/>
      <c r="S847" s="53"/>
      <c r="T847" s="48">
        <v>142.19999999999999</v>
      </c>
      <c r="U847" s="98">
        <v>0.17580872011251761</v>
      </c>
      <c r="V847" s="98">
        <v>0.28565400843881855</v>
      </c>
      <c r="W847" s="98">
        <v>0.25118864315095774</v>
      </c>
      <c r="X847" s="98">
        <v>0.17580872011251761</v>
      </c>
      <c r="Y847" s="233">
        <v>7</v>
      </c>
      <c r="Z847" s="48">
        <v>3.72</v>
      </c>
      <c r="AA847" s="48">
        <v>3.87</v>
      </c>
      <c r="AB847" s="48">
        <v>3.94</v>
      </c>
      <c r="AC847" s="48">
        <v>0.89700000000000002</v>
      </c>
      <c r="AD847" s="48">
        <v>3.93</v>
      </c>
      <c r="AE847" s="48">
        <v>3.91</v>
      </c>
      <c r="AF847" s="48">
        <f t="shared" si="258"/>
        <v>3.87</v>
      </c>
      <c r="AG847" s="49">
        <v>3.41</v>
      </c>
      <c r="AH847" s="98">
        <v>5.8E-4</v>
      </c>
      <c r="AI847" s="98">
        <v>5.1400000000000003E-4</v>
      </c>
      <c r="AJ847" s="483">
        <f t="shared" si="256"/>
        <v>-1.6251383327497146</v>
      </c>
      <c r="AK847" s="483">
        <f t="shared" si="261"/>
        <v>-1.6776032073173761</v>
      </c>
      <c r="AL847" s="483">
        <f t="shared" si="255"/>
        <v>-1.6776032073173761</v>
      </c>
      <c r="AM847" s="483">
        <v>-4.4846599999999999</v>
      </c>
      <c r="AN847" s="226">
        <v>-1.85</v>
      </c>
      <c r="AO847" s="484"/>
      <c r="AP847" s="484"/>
      <c r="AQ847" s="48" t="s">
        <v>6311</v>
      </c>
      <c r="AR847" s="48" t="s">
        <v>6311</v>
      </c>
      <c r="AS847" s="227"/>
      <c r="AT847" s="50" t="s">
        <v>266</v>
      </c>
      <c r="AU847" s="48">
        <v>6</v>
      </c>
      <c r="AV847" s="48">
        <v>120</v>
      </c>
      <c r="AW847" s="48">
        <v>114</v>
      </c>
      <c r="AX847" s="48">
        <v>28</v>
      </c>
      <c r="AY847" s="48" t="s">
        <v>8728</v>
      </c>
      <c r="AZ847" s="48" t="s">
        <v>1563</v>
      </c>
      <c r="BA847" s="48">
        <v>32</v>
      </c>
      <c r="BB847" s="47" t="s">
        <v>2485</v>
      </c>
      <c r="BC847" s="47" t="s">
        <v>8726</v>
      </c>
      <c r="BD847" s="47" t="s">
        <v>8374</v>
      </c>
      <c r="BE847" s="48" t="s">
        <v>2449</v>
      </c>
      <c r="BF847" s="48" t="s">
        <v>272</v>
      </c>
      <c r="BG847" s="48" t="s">
        <v>272</v>
      </c>
      <c r="BH847" s="48" t="s">
        <v>2486</v>
      </c>
      <c r="BI847" s="98">
        <v>6.3999999999999997E-6</v>
      </c>
      <c r="BJ847" s="98">
        <v>6.4000000000000001E-2</v>
      </c>
      <c r="BK847" s="48"/>
      <c r="BL847" s="98">
        <f t="shared" si="253"/>
        <v>2.3435164157943375E-2</v>
      </c>
      <c r="BM847" s="47" t="s">
        <v>2487</v>
      </c>
      <c r="BN847" s="48"/>
      <c r="BO847" s="48"/>
      <c r="BP847" s="48"/>
      <c r="BQ847" s="48"/>
      <c r="BR847" s="47" t="s">
        <v>2496</v>
      </c>
      <c r="BS847" s="48"/>
      <c r="BT847" s="48"/>
      <c r="BU847" s="228"/>
      <c r="BV847" s="48"/>
      <c r="BW847" s="48"/>
      <c r="BX847" s="48"/>
      <c r="BY847" s="48"/>
      <c r="BZ847" s="48"/>
      <c r="CA847" s="48"/>
      <c r="CB847" s="48"/>
      <c r="CC847" s="48"/>
      <c r="CD847" s="48"/>
      <c r="CE847" s="48"/>
      <c r="CF847" s="48"/>
      <c r="CG847" s="48"/>
      <c r="CH847" s="48"/>
      <c r="CI847" s="98"/>
      <c r="CJ847" s="98"/>
      <c r="CK847" s="49">
        <f t="shared" si="260"/>
        <v>0.36617443996786525</v>
      </c>
      <c r="CL847" s="229"/>
      <c r="CM847" s="229"/>
      <c r="CN847" s="229"/>
      <c r="CO847" s="47" t="s">
        <v>2488</v>
      </c>
      <c r="CP847" s="47" t="s">
        <v>2489</v>
      </c>
      <c r="CQ847" s="224">
        <v>-1.2001071533496552</v>
      </c>
      <c r="CR847" s="224">
        <f>10^(CJ847-CQ847)</f>
        <v>15.852842809364544</v>
      </c>
      <c r="CS847" s="230" t="s">
        <v>539</v>
      </c>
      <c r="CT847" s="230"/>
      <c r="CU847" s="230"/>
      <c r="CV847" s="335">
        <f t="shared" si="252"/>
        <v>2.7470112517580874</v>
      </c>
      <c r="CW847" s="230">
        <f t="shared" si="259"/>
        <v>1</v>
      </c>
      <c r="CX847" s="336"/>
      <c r="CY847" s="230" t="s">
        <v>6351</v>
      </c>
    </row>
    <row r="848" spans="1:103" ht="11.25" customHeight="1" x14ac:dyDescent="0.2">
      <c r="A848" s="72">
        <v>846</v>
      </c>
      <c r="B848" s="224">
        <v>959</v>
      </c>
      <c r="C848" s="46" t="s">
        <v>905</v>
      </c>
      <c r="D848" s="46"/>
      <c r="E848" s="114"/>
      <c r="F848" s="114" t="s">
        <v>906</v>
      </c>
      <c r="G848" s="225">
        <v>90437</v>
      </c>
      <c r="H848" s="47" t="s">
        <v>907</v>
      </c>
      <c r="I848" s="47" t="s">
        <v>907</v>
      </c>
      <c r="J848" s="47" t="s">
        <v>908</v>
      </c>
      <c r="K848" s="47" t="s">
        <v>349</v>
      </c>
      <c r="L848" s="47" t="s">
        <v>6111</v>
      </c>
      <c r="M848" s="47" t="s">
        <v>6082</v>
      </c>
      <c r="N848" s="47" t="s">
        <v>6082</v>
      </c>
      <c r="O848" s="47" t="s">
        <v>6083</v>
      </c>
      <c r="P848" s="53"/>
      <c r="Q848" s="53" t="s">
        <v>6173</v>
      </c>
      <c r="R848" s="53" t="s">
        <v>6185</v>
      </c>
      <c r="S848" s="53" t="s">
        <v>6176</v>
      </c>
      <c r="T848" s="48">
        <v>170.21</v>
      </c>
      <c r="U848" s="98">
        <v>4.1125668292109747</v>
      </c>
      <c r="V848" s="98">
        <v>3.1478761529874855</v>
      </c>
      <c r="W848" s="98">
        <v>1.4791083881682066</v>
      </c>
      <c r="X848" s="98">
        <v>4.1125668292109747</v>
      </c>
      <c r="Y848" s="233">
        <v>6.4</v>
      </c>
      <c r="Z848" s="48">
        <v>3.28</v>
      </c>
      <c r="AA848" s="48">
        <v>3.09</v>
      </c>
      <c r="AB848" s="48">
        <v>3.12</v>
      </c>
      <c r="AC848" s="48">
        <v>0.95399999999999996</v>
      </c>
      <c r="AD848" s="48">
        <v>3.08</v>
      </c>
      <c r="AE848" s="48">
        <v>2.94</v>
      </c>
      <c r="AF848" s="48">
        <f t="shared" si="258"/>
        <v>3.09</v>
      </c>
      <c r="AG848" s="49">
        <v>3.16</v>
      </c>
      <c r="AH848" s="98">
        <v>4.3000000000000001E-8</v>
      </c>
      <c r="AI848" s="98">
        <v>1.0499999999999999E-6</v>
      </c>
      <c r="AJ848" s="483">
        <f t="shared" si="256"/>
        <v>-5.7550978707330653</v>
      </c>
      <c r="AK848" s="483">
        <f t="shared" si="261"/>
        <v>-4.3673770272427141</v>
      </c>
      <c r="AL848" s="483">
        <f t="shared" si="255"/>
        <v>-4.3673770272427141</v>
      </c>
      <c r="AM848" s="483">
        <v>-9.6377500000000005</v>
      </c>
      <c r="AN848" s="226">
        <v>-5.99</v>
      </c>
      <c r="AO848" s="484">
        <v>10</v>
      </c>
      <c r="AP848" s="484"/>
      <c r="AQ848" s="48" t="s">
        <v>6311</v>
      </c>
      <c r="AR848" s="48" t="s">
        <v>6311</v>
      </c>
      <c r="AS848" s="227"/>
      <c r="AT848" s="50" t="s">
        <v>266</v>
      </c>
      <c r="AU848" s="48">
        <v>6</v>
      </c>
      <c r="AV848" s="48">
        <v>120</v>
      </c>
      <c r="AW848" s="48">
        <v>114</v>
      </c>
      <c r="AX848" s="48">
        <v>28</v>
      </c>
      <c r="AY848" s="48" t="s">
        <v>8728</v>
      </c>
      <c r="AZ848" s="48" t="s">
        <v>1563</v>
      </c>
      <c r="BA848" s="48">
        <v>32</v>
      </c>
      <c r="BB848" s="47" t="s">
        <v>2485</v>
      </c>
      <c r="BC848" s="47" t="s">
        <v>8726</v>
      </c>
      <c r="BD848" s="47" t="s">
        <v>8374</v>
      </c>
      <c r="BE848" s="48" t="s">
        <v>2449</v>
      </c>
      <c r="BF848" s="48" t="s">
        <v>272</v>
      </c>
      <c r="BG848" s="48" t="s">
        <v>272</v>
      </c>
      <c r="BH848" s="48" t="s">
        <v>2486</v>
      </c>
      <c r="BI848" s="98">
        <v>6.3999999999999997E-6</v>
      </c>
      <c r="BJ848" s="98">
        <v>6.4000000000000001E-2</v>
      </c>
      <c r="BK848" s="48"/>
      <c r="BL848" s="98">
        <f t="shared" si="253"/>
        <v>5.8214611030121002E-2</v>
      </c>
      <c r="BM848" s="47" t="s">
        <v>2487</v>
      </c>
      <c r="BN848" s="48"/>
      <c r="BO848" s="48"/>
      <c r="BP848" s="48"/>
      <c r="BQ848" s="48"/>
      <c r="BR848" s="47" t="s">
        <v>2496</v>
      </c>
      <c r="BS848" s="48"/>
      <c r="BT848" s="48"/>
      <c r="BU848" s="228">
        <v>6.4000000000000001E-2</v>
      </c>
      <c r="BV848" s="48"/>
      <c r="BW848" s="48"/>
      <c r="BX848" s="48"/>
      <c r="BY848" s="48"/>
      <c r="BZ848" s="48"/>
      <c r="CA848" s="48"/>
      <c r="CB848" s="48"/>
      <c r="CC848" s="48"/>
      <c r="CD848" s="48"/>
      <c r="CE848" s="48"/>
      <c r="CF848" s="48"/>
      <c r="CG848" s="48"/>
      <c r="CH848" s="48"/>
      <c r="CI848" s="98"/>
      <c r="CJ848" s="98"/>
      <c r="CK848" s="49">
        <f t="shared" si="260"/>
        <v>0.9096032973456406</v>
      </c>
      <c r="CL848" s="229"/>
      <c r="CM848" s="229">
        <v>-1.7092056982561878</v>
      </c>
      <c r="CN848" s="229">
        <f>BJ848/(10^CM848)</f>
        <v>3.2763151665292649</v>
      </c>
      <c r="CO848" s="47" t="s">
        <v>2488</v>
      </c>
      <c r="CP848" s="47" t="s">
        <v>2489</v>
      </c>
      <c r="CQ848" s="224">
        <v>-1.5830584100719567</v>
      </c>
      <c r="CR848" s="224">
        <f>10^(CJ848-CQ848)</f>
        <v>38.287623447202527</v>
      </c>
      <c r="CS848" s="230" t="s">
        <v>539</v>
      </c>
      <c r="CT848" s="230"/>
      <c r="CU848" s="230"/>
      <c r="CV848" s="335">
        <f t="shared" si="252"/>
        <v>64.258856706421483</v>
      </c>
      <c r="CW848" s="230">
        <f t="shared" si="259"/>
        <v>1</v>
      </c>
      <c r="CX848" s="336"/>
      <c r="CY848" s="230" t="s">
        <v>6351</v>
      </c>
    </row>
    <row r="849" spans="1:103" ht="11.25" customHeight="1" x14ac:dyDescent="0.2">
      <c r="A849" s="72">
        <v>847</v>
      </c>
      <c r="B849" s="224">
        <v>1772</v>
      </c>
      <c r="C849" s="46" t="s">
        <v>1816</v>
      </c>
      <c r="D849" s="46"/>
      <c r="E849" s="114"/>
      <c r="F849" s="114" t="s">
        <v>1817</v>
      </c>
      <c r="G849" s="225">
        <v>91203</v>
      </c>
      <c r="H849" s="47" t="s">
        <v>1818</v>
      </c>
      <c r="I849" s="47" t="s">
        <v>1818</v>
      </c>
      <c r="J849" s="47" t="s">
        <v>1819</v>
      </c>
      <c r="K849" s="47" t="s">
        <v>426</v>
      </c>
      <c r="L849" s="47" t="s">
        <v>6161</v>
      </c>
      <c r="M849" s="47" t="s">
        <v>866</v>
      </c>
      <c r="N849" s="47"/>
      <c r="O849" s="47" t="s">
        <v>6086</v>
      </c>
      <c r="P849" s="53" t="s">
        <v>6183</v>
      </c>
      <c r="Q849" s="53" t="s">
        <v>6173</v>
      </c>
      <c r="R849" s="53" t="s">
        <v>6185</v>
      </c>
      <c r="S849" s="53" t="s">
        <v>6176</v>
      </c>
      <c r="T849" s="48">
        <v>128.16999999999999</v>
      </c>
      <c r="U849" s="98">
        <v>0.2418662713583522</v>
      </c>
      <c r="V849" s="98">
        <v>1.1086837793555435</v>
      </c>
      <c r="W849" s="98">
        <v>0.93325430079699057</v>
      </c>
      <c r="X849" s="98">
        <v>0.2418662713583522</v>
      </c>
      <c r="Y849" s="233">
        <v>7</v>
      </c>
      <c r="Z849" s="48">
        <v>3.17</v>
      </c>
      <c r="AA849" s="48">
        <v>3.3</v>
      </c>
      <c r="AB849" s="48">
        <v>3.34</v>
      </c>
      <c r="AC849" s="48">
        <v>0.91310000000000002</v>
      </c>
      <c r="AD849" s="48">
        <v>3.37</v>
      </c>
      <c r="AE849" s="48">
        <v>3.45</v>
      </c>
      <c r="AF849" s="48">
        <f t="shared" si="258"/>
        <v>3.3</v>
      </c>
      <c r="AG849" s="49">
        <v>2.95</v>
      </c>
      <c r="AH849" s="98">
        <v>5.2599999999999999E-4</v>
      </c>
      <c r="AI849" s="98">
        <v>4.4000000000000002E-4</v>
      </c>
      <c r="AJ849" s="483">
        <f t="shared" si="256"/>
        <v>-1.6675805821589127</v>
      </c>
      <c r="AK849" s="483">
        <f t="shared" si="261"/>
        <v>-1.7451136498264643</v>
      </c>
      <c r="AL849" s="483">
        <f t="shared" si="255"/>
        <v>-1.7451136498264643</v>
      </c>
      <c r="AM849" s="483">
        <v>-4.5244700000000009</v>
      </c>
      <c r="AN849" s="226">
        <v>-1.86</v>
      </c>
      <c r="AO849" s="484"/>
      <c r="AP849" s="484"/>
      <c r="AQ849" s="226" t="s">
        <v>6311</v>
      </c>
      <c r="AR849" s="226" t="s">
        <v>6311</v>
      </c>
      <c r="AS849" s="224"/>
      <c r="AT849" s="50" t="s">
        <v>266</v>
      </c>
      <c r="AU849" s="48">
        <v>6</v>
      </c>
      <c r="AV849" s="48">
        <v>120</v>
      </c>
      <c r="AW849" s="48">
        <v>114</v>
      </c>
      <c r="AX849" s="48">
        <v>28</v>
      </c>
      <c r="AY849" s="48" t="s">
        <v>8728</v>
      </c>
      <c r="AZ849" s="48" t="s">
        <v>1563</v>
      </c>
      <c r="BA849" s="48">
        <v>32</v>
      </c>
      <c r="BB849" s="47" t="s">
        <v>2485</v>
      </c>
      <c r="BC849" s="47" t="s">
        <v>8726</v>
      </c>
      <c r="BD849" s="47" t="s">
        <v>8374</v>
      </c>
      <c r="BE849" s="48" t="s">
        <v>2449</v>
      </c>
      <c r="BF849" s="48" t="s">
        <v>272</v>
      </c>
      <c r="BG849" s="48" t="s">
        <v>272</v>
      </c>
      <c r="BH849" s="48" t="s">
        <v>2486</v>
      </c>
      <c r="BI849" s="98">
        <v>6.3999999999999997E-6</v>
      </c>
      <c r="BJ849" s="98">
        <v>6.4000000000000001E-2</v>
      </c>
      <c r="BK849" s="48"/>
      <c r="BL849" s="98">
        <f t="shared" si="253"/>
        <v>7.3084116293547483E-2</v>
      </c>
      <c r="BM849" s="47" t="s">
        <v>2487</v>
      </c>
      <c r="BN849" s="48"/>
      <c r="BO849" s="48"/>
      <c r="BP849" s="48"/>
      <c r="BQ849" s="48"/>
      <c r="BR849" s="47" t="s">
        <v>2496</v>
      </c>
      <c r="BS849" s="48"/>
      <c r="BT849" s="48"/>
      <c r="BU849" s="228"/>
      <c r="BV849" s="48"/>
      <c r="BW849" s="48"/>
      <c r="BX849" s="48"/>
      <c r="BY849" s="48"/>
      <c r="BZ849" s="48"/>
      <c r="CA849" s="48"/>
      <c r="CB849" s="48"/>
      <c r="CC849" s="48"/>
      <c r="CD849" s="48"/>
      <c r="CE849" s="48"/>
      <c r="CF849" s="48"/>
      <c r="CG849" s="48"/>
      <c r="CH849" s="48"/>
      <c r="CI849" s="98"/>
      <c r="CJ849" s="98"/>
      <c r="CK849" s="49">
        <f t="shared" si="260"/>
        <v>1.1419393170866794</v>
      </c>
      <c r="CL849" s="229"/>
      <c r="CM849" s="229"/>
      <c r="CN849" s="229"/>
      <c r="CO849" s="47" t="s">
        <v>2488</v>
      </c>
      <c r="CP849" s="47" t="s">
        <v>2489</v>
      </c>
      <c r="CQ849" s="224">
        <v>-1.2973565759344645</v>
      </c>
      <c r="CR849" s="224">
        <f>10^(CJ849-CQ849)</f>
        <v>19.831546195715934</v>
      </c>
      <c r="CS849" s="230" t="s">
        <v>539</v>
      </c>
      <c r="CT849" s="230"/>
      <c r="CU849" s="230"/>
      <c r="CV849" s="335">
        <f t="shared" ref="CV849:CV912" si="262">X849/BJ849</f>
        <v>3.7791604899742532</v>
      </c>
      <c r="CW849" s="230">
        <f t="shared" si="259"/>
        <v>1</v>
      </c>
      <c r="CX849" s="336"/>
      <c r="CY849" s="230" t="s">
        <v>6351</v>
      </c>
    </row>
    <row r="850" spans="1:103" ht="11.25" customHeight="1" x14ac:dyDescent="0.2">
      <c r="A850" s="72">
        <v>848</v>
      </c>
      <c r="B850" s="224">
        <v>1849</v>
      </c>
      <c r="C850" s="46" t="s">
        <v>2273</v>
      </c>
      <c r="D850" s="46"/>
      <c r="E850" s="114"/>
      <c r="F850" s="114" t="s">
        <v>2274</v>
      </c>
      <c r="G850" s="225">
        <v>91225</v>
      </c>
      <c r="H850" s="47" t="s">
        <v>2275</v>
      </c>
      <c r="I850" s="47" t="s">
        <v>2275</v>
      </c>
      <c r="J850" s="47" t="s">
        <v>2276</v>
      </c>
      <c r="K850" s="47" t="s">
        <v>426</v>
      </c>
      <c r="L850" s="47" t="s">
        <v>5527</v>
      </c>
      <c r="M850" s="47"/>
      <c r="N850" s="47"/>
      <c r="O850" s="47"/>
      <c r="P850" s="53"/>
      <c r="Q850" s="53"/>
      <c r="R850" s="53"/>
      <c r="S850" s="53"/>
      <c r="T850" s="48">
        <v>129.16</v>
      </c>
      <c r="U850" s="98">
        <v>47.305667389284608</v>
      </c>
      <c r="V850" s="98">
        <v>13.247135336017344</v>
      </c>
      <c r="W850" s="98">
        <v>74.13102413009176</v>
      </c>
      <c r="X850" s="98">
        <v>47.305667389284608</v>
      </c>
      <c r="Y850" s="233">
        <v>8.92</v>
      </c>
      <c r="Z850" s="48">
        <v>2.14</v>
      </c>
      <c r="AA850" s="48">
        <v>2.0299999999999998</v>
      </c>
      <c r="AB850" s="48">
        <v>1.95</v>
      </c>
      <c r="AC850" s="48">
        <v>0.92710000000000004</v>
      </c>
      <c r="AD850" s="48">
        <v>1.98</v>
      </c>
      <c r="AE850" s="48">
        <v>2.08</v>
      </c>
      <c r="AF850" s="48">
        <f t="shared" si="258"/>
        <v>2.0299999999999998</v>
      </c>
      <c r="AG850" s="49">
        <v>2.11</v>
      </c>
      <c r="AH850" s="98">
        <v>6.8800000000000002E-7</v>
      </c>
      <c r="AI850" s="98">
        <v>1.6700000000000001E-6</v>
      </c>
      <c r="AJ850" s="483">
        <f t="shared" si="256"/>
        <v>-4.5509778880771403</v>
      </c>
      <c r="AK850" s="483">
        <f t="shared" si="261"/>
        <v>-4.1658498551650682</v>
      </c>
      <c r="AL850" s="483">
        <f t="shared" si="255"/>
        <v>-4.1658498551650682</v>
      </c>
      <c r="AM850" s="483">
        <v>-6.3437800000000006</v>
      </c>
      <c r="AN850" s="226">
        <v>-4.24</v>
      </c>
      <c r="AO850" s="484"/>
      <c r="AP850" s="484">
        <v>4.97</v>
      </c>
      <c r="AQ850" s="226" t="s">
        <v>6311</v>
      </c>
      <c r="AR850" s="226" t="s">
        <v>6311</v>
      </c>
      <c r="AS850" s="224"/>
      <c r="AT850" s="50" t="s">
        <v>266</v>
      </c>
      <c r="AU850" s="48">
        <v>6</v>
      </c>
      <c r="AV850" s="48">
        <v>120</v>
      </c>
      <c r="AW850" s="48">
        <v>114</v>
      </c>
      <c r="AX850" s="48">
        <v>28</v>
      </c>
      <c r="AY850" s="48" t="s">
        <v>8728</v>
      </c>
      <c r="AZ850" s="48" t="s">
        <v>1563</v>
      </c>
      <c r="BA850" s="48">
        <v>32</v>
      </c>
      <c r="BB850" s="47" t="s">
        <v>2485</v>
      </c>
      <c r="BC850" s="47" t="s">
        <v>8726</v>
      </c>
      <c r="BD850" s="47" t="s">
        <v>8374</v>
      </c>
      <c r="BE850" s="48" t="s">
        <v>2449</v>
      </c>
      <c r="BF850" s="48" t="s">
        <v>272</v>
      </c>
      <c r="BG850" s="48" t="s">
        <v>272</v>
      </c>
      <c r="BH850" s="48" t="s">
        <v>2486</v>
      </c>
      <c r="BI850" s="98">
        <v>6.3999999999999997E-6</v>
      </c>
      <c r="BJ850" s="98">
        <v>6.4000000000000001E-2</v>
      </c>
      <c r="BK850" s="48"/>
      <c r="BL850" s="98">
        <f t="shared" ref="BL850:BL913" si="263">10^((-0.8981*Z850)+1.7108)</f>
        <v>0.61498709137859531</v>
      </c>
      <c r="BM850" s="47" t="s">
        <v>2487</v>
      </c>
      <c r="BN850" s="48"/>
      <c r="BO850" s="48"/>
      <c r="BP850" s="48"/>
      <c r="BQ850" s="48"/>
      <c r="BR850" s="47" t="s">
        <v>2496</v>
      </c>
      <c r="BS850" s="48"/>
      <c r="BT850" s="48"/>
      <c r="BU850" s="228"/>
      <c r="BV850" s="48"/>
      <c r="BW850" s="48"/>
      <c r="BX850" s="48"/>
      <c r="BY850" s="48"/>
      <c r="BZ850" s="48"/>
      <c r="CA850" s="48"/>
      <c r="CB850" s="48"/>
      <c r="CC850" s="48"/>
      <c r="CD850" s="48"/>
      <c r="CE850" s="48"/>
      <c r="CF850" s="48"/>
      <c r="CG850" s="48"/>
      <c r="CH850" s="48"/>
      <c r="CI850" s="98"/>
      <c r="CJ850" s="98"/>
      <c r="CK850" s="49">
        <f t="shared" si="260"/>
        <v>9.6091733027905519</v>
      </c>
      <c r="CL850" s="229"/>
      <c r="CM850" s="229"/>
      <c r="CN850" s="229"/>
      <c r="CO850" s="47" t="s">
        <v>2488</v>
      </c>
      <c r="CP850" s="47" t="s">
        <v>2489</v>
      </c>
      <c r="CQ850" s="224">
        <v>-1.0453980012926405</v>
      </c>
      <c r="CR850" s="224">
        <f>10^(CJ850-CQ850)</f>
        <v>11.10191764294099</v>
      </c>
      <c r="CS850" s="230" t="s">
        <v>539</v>
      </c>
      <c r="CT850" s="230"/>
      <c r="CU850" s="230"/>
      <c r="CV850" s="335">
        <f t="shared" si="262"/>
        <v>739.15105295757201</v>
      </c>
      <c r="CW850" s="230">
        <f t="shared" si="259"/>
        <v>1</v>
      </c>
      <c r="CX850" s="336"/>
      <c r="CY850" s="230" t="s">
        <v>6351</v>
      </c>
    </row>
    <row r="851" spans="1:103" ht="11.25" customHeight="1" x14ac:dyDescent="0.2">
      <c r="A851" s="72">
        <v>849</v>
      </c>
      <c r="B851" s="224">
        <v>1124</v>
      </c>
      <c r="C851" s="46" t="s">
        <v>7045</v>
      </c>
      <c r="D851" s="46"/>
      <c r="E851" s="114"/>
      <c r="F851" s="114" t="s">
        <v>3139</v>
      </c>
      <c r="G851" s="225">
        <v>91532</v>
      </c>
      <c r="H851" s="47" t="s">
        <v>3140</v>
      </c>
      <c r="I851" s="47" t="s">
        <v>3140</v>
      </c>
      <c r="J851" s="47" t="s">
        <v>3141</v>
      </c>
      <c r="K851" s="47" t="s">
        <v>426</v>
      </c>
      <c r="L851" s="47" t="s">
        <v>6120</v>
      </c>
      <c r="M851" s="47" t="s">
        <v>5960</v>
      </c>
      <c r="N851" s="47"/>
      <c r="O851" s="47"/>
      <c r="P851" s="53"/>
      <c r="Q851" s="53"/>
      <c r="R851" s="53"/>
      <c r="S851" s="53"/>
      <c r="T851" s="48">
        <v>217.31</v>
      </c>
      <c r="U851" s="98"/>
      <c r="V851" s="98">
        <v>8.0346049422484009E-2</v>
      </c>
      <c r="W851" s="98">
        <v>1.2022644346174123</v>
      </c>
      <c r="X851" s="98">
        <f>IF(W851=0,V851,W851)</f>
        <v>1.2022644346174123</v>
      </c>
      <c r="Y851" s="233">
        <v>8.0500000000000007</v>
      </c>
      <c r="Z851" s="48">
        <v>3.87</v>
      </c>
      <c r="AA851" s="48"/>
      <c r="AB851" s="48">
        <v>3.24</v>
      </c>
      <c r="AC851" s="48">
        <v>0.71589999999999998</v>
      </c>
      <c r="AD851" s="48">
        <v>3.5</v>
      </c>
      <c r="AE851" s="48">
        <v>3.93</v>
      </c>
      <c r="AF851" s="48">
        <f t="shared" si="258"/>
        <v>3.5</v>
      </c>
      <c r="AG851" s="49">
        <v>3.28</v>
      </c>
      <c r="AH851" s="98">
        <v>2.4200000000000002E-7</v>
      </c>
      <c r="AI851" s="98"/>
      <c r="AJ851" s="483">
        <f t="shared" si="256"/>
        <v>-5.0047509603322204</v>
      </c>
      <c r="AK851" s="483"/>
      <c r="AL851" s="483">
        <f t="shared" si="255"/>
        <v>-5.0047509603322204</v>
      </c>
      <c r="AM851" s="483">
        <v>-8.2463499999999996</v>
      </c>
      <c r="AN851" s="226">
        <v>-5.51</v>
      </c>
      <c r="AO851" s="484"/>
      <c r="AP851" s="484">
        <v>5.0199999999999996</v>
      </c>
      <c r="AQ851" s="48" t="s">
        <v>6311</v>
      </c>
      <c r="AR851" s="48" t="s">
        <v>6311</v>
      </c>
      <c r="AS851" s="227"/>
      <c r="AT851" s="50" t="s">
        <v>266</v>
      </c>
      <c r="AU851" s="48">
        <v>6</v>
      </c>
      <c r="AV851" s="48">
        <v>120</v>
      </c>
      <c r="AW851" s="48">
        <v>114</v>
      </c>
      <c r="AX851" s="48">
        <v>28</v>
      </c>
      <c r="AY851" s="48" t="s">
        <v>8728</v>
      </c>
      <c r="AZ851" s="48" t="s">
        <v>1563</v>
      </c>
      <c r="BA851" s="48">
        <v>32</v>
      </c>
      <c r="BB851" s="47" t="s">
        <v>2485</v>
      </c>
      <c r="BC851" s="47" t="s">
        <v>8726</v>
      </c>
      <c r="BD851" s="47" t="s">
        <v>8374</v>
      </c>
      <c r="BE851" s="48" t="s">
        <v>2449</v>
      </c>
      <c r="BF851" s="48" t="s">
        <v>272</v>
      </c>
      <c r="BG851" s="48" t="s">
        <v>272</v>
      </c>
      <c r="BH851" s="48" t="s">
        <v>2486</v>
      </c>
      <c r="BI851" s="98">
        <v>6.3999999999999997E-6</v>
      </c>
      <c r="BJ851" s="98">
        <v>6.4000000000000001E-2</v>
      </c>
      <c r="BK851" s="48"/>
      <c r="BL851" s="98">
        <f t="shared" si="263"/>
        <v>1.7185137052039851E-2</v>
      </c>
      <c r="BM851" s="47" t="s">
        <v>2487</v>
      </c>
      <c r="BN851" s="48"/>
      <c r="BO851" s="48"/>
      <c r="BP851" s="48"/>
      <c r="BQ851" s="48"/>
      <c r="BR851" s="47" t="s">
        <v>2496</v>
      </c>
      <c r="BS851" s="48"/>
      <c r="BT851" s="48"/>
      <c r="BU851" s="228">
        <v>6.4000000000000001E-2</v>
      </c>
      <c r="BV851" s="48"/>
      <c r="BW851" s="48"/>
      <c r="BX851" s="48"/>
      <c r="BY851" s="48"/>
      <c r="BZ851" s="48"/>
      <c r="CA851" s="48"/>
      <c r="CB851" s="48"/>
      <c r="CC851" s="48"/>
      <c r="CD851" s="48"/>
      <c r="CE851" s="48"/>
      <c r="CF851" s="48"/>
      <c r="CG851" s="48"/>
      <c r="CH851" s="48"/>
      <c r="CI851" s="98"/>
      <c r="CJ851" s="98"/>
      <c r="CK851" s="49">
        <f t="shared" si="260"/>
        <v>0.2685177664381227</v>
      </c>
      <c r="CL851" s="229"/>
      <c r="CM851" s="229"/>
      <c r="CN851" s="229"/>
      <c r="CO851" s="47" t="s">
        <v>2488</v>
      </c>
      <c r="CP851" s="47" t="s">
        <v>2489</v>
      </c>
      <c r="CQ851" s="224">
        <v>-1.0818072066976252</v>
      </c>
      <c r="CR851" s="224">
        <f>10^(CJ851-CQ851)</f>
        <v>12.07277777777778</v>
      </c>
      <c r="CS851" s="230" t="s">
        <v>539</v>
      </c>
      <c r="CT851" s="230"/>
      <c r="CU851" s="230"/>
      <c r="CV851" s="335">
        <f t="shared" si="262"/>
        <v>18.785381790897066</v>
      </c>
      <c r="CW851" s="230">
        <f t="shared" si="259"/>
        <v>1</v>
      </c>
      <c r="CX851" s="336"/>
      <c r="CY851" s="230" t="s">
        <v>5921</v>
      </c>
    </row>
    <row r="852" spans="1:103" ht="11.25" customHeight="1" x14ac:dyDescent="0.2">
      <c r="A852" s="72">
        <v>850</v>
      </c>
      <c r="B852" s="224">
        <v>958</v>
      </c>
      <c r="C852" s="46" t="s">
        <v>7046</v>
      </c>
      <c r="D852" s="46"/>
      <c r="E852" s="114"/>
      <c r="F852" s="114" t="s">
        <v>2734</v>
      </c>
      <c r="G852" s="225">
        <v>91598</v>
      </c>
      <c r="H852" s="47" t="s">
        <v>2735</v>
      </c>
      <c r="I852" s="47" t="s">
        <v>2735</v>
      </c>
      <c r="J852" s="47" t="s">
        <v>2736</v>
      </c>
      <c r="K852" s="47" t="s">
        <v>1573</v>
      </c>
      <c r="L852" s="47"/>
      <c r="M852" s="47"/>
      <c r="N852" s="47"/>
      <c r="O852" s="47"/>
      <c r="P852" s="53"/>
      <c r="Q852" s="53"/>
      <c r="R852" s="53"/>
      <c r="S852" s="53"/>
      <c r="T852" s="48">
        <v>143.19</v>
      </c>
      <c r="U852" s="98">
        <v>1.3199245757385292</v>
      </c>
      <c r="V852" s="98">
        <v>6.4040784971017528</v>
      </c>
      <c r="W852" s="98">
        <v>4.1686938347033529</v>
      </c>
      <c r="X852" s="98">
        <v>1.3199245757385292</v>
      </c>
      <c r="Y852" s="233">
        <v>7.97</v>
      </c>
      <c r="Z852" s="48">
        <v>2.25</v>
      </c>
      <c r="AA852" s="48">
        <v>2.2799999999999998</v>
      </c>
      <c r="AB852" s="48">
        <v>2.34</v>
      </c>
      <c r="AC852" s="48">
        <v>0.88859999999999995</v>
      </c>
      <c r="AD852" s="48">
        <v>2.2999999999999998</v>
      </c>
      <c r="AE852" s="48">
        <v>2.17</v>
      </c>
      <c r="AF852" s="48">
        <f t="shared" si="258"/>
        <v>2.2799999999999998</v>
      </c>
      <c r="AG852" s="49">
        <v>2.2599999999999998</v>
      </c>
      <c r="AH852" s="98">
        <v>1.86E-7</v>
      </c>
      <c r="AI852" s="98">
        <v>8.0999999999999997E-8</v>
      </c>
      <c r="AJ852" s="483">
        <f t="shared" si="256"/>
        <v>-5.1190533820947355</v>
      </c>
      <c r="AK852" s="483">
        <f>LOG10(AI852*1000/(0.08206*298.15))</f>
        <v>-5.480081307434002</v>
      </c>
      <c r="AL852" s="483">
        <f t="shared" si="255"/>
        <v>-5.480081307434002</v>
      </c>
      <c r="AM852" s="483">
        <v>-8.5388000000000002</v>
      </c>
      <c r="AN852" s="226">
        <v>-5.24</v>
      </c>
      <c r="AO852" s="484"/>
      <c r="AP852" s="484">
        <v>4.32</v>
      </c>
      <c r="AQ852" s="48" t="s">
        <v>6311</v>
      </c>
      <c r="AR852" s="48" t="s">
        <v>6311</v>
      </c>
      <c r="AS852" s="227"/>
      <c r="AT852" s="50" t="s">
        <v>266</v>
      </c>
      <c r="AU852" s="48">
        <v>6</v>
      </c>
      <c r="AV852" s="48">
        <v>120</v>
      </c>
      <c r="AW852" s="48">
        <v>114</v>
      </c>
      <c r="AX852" s="48">
        <v>28</v>
      </c>
      <c r="AY852" s="48" t="s">
        <v>8728</v>
      </c>
      <c r="AZ852" s="48" t="s">
        <v>1563</v>
      </c>
      <c r="BA852" s="48">
        <v>32</v>
      </c>
      <c r="BB852" s="47" t="s">
        <v>2485</v>
      </c>
      <c r="BC852" s="47" t="s">
        <v>8726</v>
      </c>
      <c r="BD852" s="47" t="s">
        <v>8374</v>
      </c>
      <c r="BE852" s="48" t="s">
        <v>2449</v>
      </c>
      <c r="BF852" s="48" t="s">
        <v>272</v>
      </c>
      <c r="BG852" s="48" t="s">
        <v>272</v>
      </c>
      <c r="BH852" s="48" t="s">
        <v>2486</v>
      </c>
      <c r="BI852" s="98">
        <v>6.3999999999999997E-6</v>
      </c>
      <c r="BJ852" s="98">
        <v>6.4000000000000001E-2</v>
      </c>
      <c r="BK852" s="48"/>
      <c r="BL852" s="98">
        <f t="shared" si="263"/>
        <v>0.48986340847787241</v>
      </c>
      <c r="BM852" s="47" t="s">
        <v>2487</v>
      </c>
      <c r="BN852" s="48"/>
      <c r="BO852" s="48"/>
      <c r="BP852" s="48"/>
      <c r="BQ852" s="48"/>
      <c r="BR852" s="47" t="s">
        <v>2496</v>
      </c>
      <c r="BS852" s="48"/>
      <c r="BT852" s="48"/>
      <c r="BU852" s="228">
        <v>6.3999999999999997E-6</v>
      </c>
      <c r="BV852" s="48"/>
      <c r="BW852" s="48"/>
      <c r="BX852" s="48"/>
      <c r="BY852" s="48"/>
      <c r="BZ852" s="48"/>
      <c r="CA852" s="48"/>
      <c r="CB852" s="48"/>
      <c r="CC852" s="48"/>
      <c r="CD852" s="48"/>
      <c r="CE852" s="48"/>
      <c r="CF852" s="48"/>
      <c r="CG852" s="48"/>
      <c r="CH852" s="48"/>
      <c r="CI852" s="98"/>
      <c r="CJ852" s="98"/>
      <c r="CK852" s="49">
        <f t="shared" si="260"/>
        <v>7.654115757466756</v>
      </c>
      <c r="CL852" s="229"/>
      <c r="CM852" s="229"/>
      <c r="CN852" s="229"/>
      <c r="CO852" s="47" t="s">
        <v>2488</v>
      </c>
      <c r="CP852" s="47" t="s">
        <v>2489</v>
      </c>
      <c r="CQ852" s="224" t="s">
        <v>272</v>
      </c>
      <c r="CR852" s="224"/>
      <c r="CS852" s="230" t="s">
        <v>539</v>
      </c>
      <c r="CT852" s="230"/>
      <c r="CU852" s="230"/>
      <c r="CV852" s="335">
        <f t="shared" si="262"/>
        <v>20.62382149591452</v>
      </c>
      <c r="CW852" s="230">
        <f t="shared" si="259"/>
        <v>1</v>
      </c>
      <c r="CX852" s="336"/>
      <c r="CY852" s="230" t="s">
        <v>5921</v>
      </c>
    </row>
    <row r="853" spans="1:103" ht="11.25" customHeight="1" x14ac:dyDescent="0.2">
      <c r="A853" s="72">
        <v>851</v>
      </c>
      <c r="B853" s="224">
        <v>1013</v>
      </c>
      <c r="C853" s="46" t="s">
        <v>7047</v>
      </c>
      <c r="D853" s="46"/>
      <c r="E853" s="114"/>
      <c r="F853" s="114" t="s">
        <v>2897</v>
      </c>
      <c r="G853" s="225">
        <v>91623</v>
      </c>
      <c r="H853" s="47" t="s">
        <v>2898</v>
      </c>
      <c r="I853" s="47" t="s">
        <v>2898</v>
      </c>
      <c r="J853" s="47" t="s">
        <v>2899</v>
      </c>
      <c r="K853" s="47" t="s">
        <v>426</v>
      </c>
      <c r="L853" s="47"/>
      <c r="M853" s="47"/>
      <c r="N853" s="47"/>
      <c r="O853" s="47"/>
      <c r="P853" s="53"/>
      <c r="Q853" s="53"/>
      <c r="R853" s="53"/>
      <c r="S853" s="53"/>
      <c r="T853" s="48">
        <v>143.19</v>
      </c>
      <c r="U853" s="98"/>
      <c r="V853" s="98">
        <v>4.4074306865004544</v>
      </c>
      <c r="W853" s="98">
        <v>25.70395782768863</v>
      </c>
      <c r="X853" s="98">
        <f>IF(W853=0,V853,W853)</f>
        <v>25.70395782768863</v>
      </c>
      <c r="Y853" s="233">
        <v>8.81</v>
      </c>
      <c r="Z853" s="48">
        <v>2.69</v>
      </c>
      <c r="AA853" s="48">
        <v>2.4700000000000002</v>
      </c>
      <c r="AB853" s="48">
        <v>2.57</v>
      </c>
      <c r="AC853" s="48">
        <v>0.97260000000000002</v>
      </c>
      <c r="AD853" s="48">
        <v>2.57</v>
      </c>
      <c r="AE853" s="48">
        <v>2.54</v>
      </c>
      <c r="AF853" s="48">
        <f t="shared" si="258"/>
        <v>2.4700000000000002</v>
      </c>
      <c r="AG853" s="49">
        <v>2.57</v>
      </c>
      <c r="AH853" s="98">
        <v>7.6000000000000003E-7</v>
      </c>
      <c r="AI853" s="98"/>
      <c r="AJ853" s="483">
        <f t="shared" si="256"/>
        <v>-4.5077527340318602</v>
      </c>
      <c r="AK853" s="483"/>
      <c r="AL853" s="483">
        <f t="shared" si="255"/>
        <v>-4.5077527340318602</v>
      </c>
      <c r="AM853" s="483">
        <v>-6.2957500000000008</v>
      </c>
      <c r="AN853" s="226">
        <v>-4.24</v>
      </c>
      <c r="AO853" s="484"/>
      <c r="AP853" s="484">
        <v>5.21</v>
      </c>
      <c r="AQ853" s="48" t="s">
        <v>6311</v>
      </c>
      <c r="AR853" s="48" t="s">
        <v>6311</v>
      </c>
      <c r="AS853" s="227"/>
      <c r="AT853" s="50" t="s">
        <v>266</v>
      </c>
      <c r="AU853" s="48">
        <v>6</v>
      </c>
      <c r="AV853" s="48">
        <v>120</v>
      </c>
      <c r="AW853" s="48">
        <v>114</v>
      </c>
      <c r="AX853" s="48">
        <v>28</v>
      </c>
      <c r="AY853" s="48" t="s">
        <v>8728</v>
      </c>
      <c r="AZ853" s="48" t="s">
        <v>1563</v>
      </c>
      <c r="BA853" s="48">
        <v>32</v>
      </c>
      <c r="BB853" s="47" t="s">
        <v>2485</v>
      </c>
      <c r="BC853" s="47" t="s">
        <v>8726</v>
      </c>
      <c r="BD853" s="47" t="s">
        <v>8374</v>
      </c>
      <c r="BE853" s="48" t="s">
        <v>2449</v>
      </c>
      <c r="BF853" s="48" t="s">
        <v>272</v>
      </c>
      <c r="BG853" s="48" t="s">
        <v>272</v>
      </c>
      <c r="BH853" s="48" t="s">
        <v>2486</v>
      </c>
      <c r="BI853" s="98">
        <v>6.3999999999999997E-6</v>
      </c>
      <c r="BJ853" s="98">
        <v>6.4000000000000001E-2</v>
      </c>
      <c r="BK853" s="48"/>
      <c r="BL853" s="98">
        <f t="shared" si="263"/>
        <v>0.19720185687934438</v>
      </c>
      <c r="BM853" s="47" t="s">
        <v>2487</v>
      </c>
      <c r="BN853" s="48"/>
      <c r="BO853" s="48"/>
      <c r="BP853" s="48"/>
      <c r="BQ853" s="48"/>
      <c r="BR853" s="47" t="s">
        <v>2496</v>
      </c>
      <c r="BS853" s="48"/>
      <c r="BT853" s="48"/>
      <c r="BU853" s="228">
        <v>6.3999999999999997E-5</v>
      </c>
      <c r="BV853" s="48"/>
      <c r="BW853" s="48"/>
      <c r="BX853" s="48"/>
      <c r="BY853" s="48"/>
      <c r="BZ853" s="48"/>
      <c r="CA853" s="48"/>
      <c r="CB853" s="48"/>
      <c r="CC853" s="48"/>
      <c r="CD853" s="48"/>
      <c r="CE853" s="48"/>
      <c r="CF853" s="48"/>
      <c r="CG853" s="48"/>
      <c r="CH853" s="48"/>
      <c r="CI853" s="98"/>
      <c r="CJ853" s="98"/>
      <c r="CK853" s="49">
        <f t="shared" si="260"/>
        <v>3.0812790137397559</v>
      </c>
      <c r="CL853" s="229"/>
      <c r="CM853" s="229"/>
      <c r="CN853" s="229"/>
      <c r="CO853" s="47" t="s">
        <v>2488</v>
      </c>
      <c r="CP853" s="47" t="s">
        <v>2489</v>
      </c>
      <c r="CQ853" s="224" t="s">
        <v>272</v>
      </c>
      <c r="CR853" s="224"/>
      <c r="CS853" s="230" t="s">
        <v>539</v>
      </c>
      <c r="CT853" s="230"/>
      <c r="CU853" s="230"/>
      <c r="CV853" s="335">
        <f t="shared" si="262"/>
        <v>401.62434105763481</v>
      </c>
      <c r="CW853" s="230">
        <f t="shared" si="259"/>
        <v>1</v>
      </c>
      <c r="CX853" s="336"/>
      <c r="CY853" s="230" t="s">
        <v>5921</v>
      </c>
    </row>
    <row r="854" spans="1:103" ht="11.25" customHeight="1" x14ac:dyDescent="0.2">
      <c r="A854" s="72">
        <v>852</v>
      </c>
      <c r="B854" s="224">
        <v>1075</v>
      </c>
      <c r="C854" s="46" t="s">
        <v>354</v>
      </c>
      <c r="D854" s="46" t="s">
        <v>8361</v>
      </c>
      <c r="E854" s="114"/>
      <c r="F854" s="114" t="s">
        <v>3022</v>
      </c>
      <c r="G854" s="225">
        <v>91645</v>
      </c>
      <c r="H854" s="47" t="s">
        <v>355</v>
      </c>
      <c r="I854" s="47" t="s">
        <v>355</v>
      </c>
      <c r="J854" s="47" t="s">
        <v>356</v>
      </c>
      <c r="K854" s="47" t="s">
        <v>357</v>
      </c>
      <c r="L854" s="47"/>
      <c r="M854" s="47"/>
      <c r="N854" s="47"/>
      <c r="O854" s="47"/>
      <c r="P854" s="53"/>
      <c r="Q854" s="53"/>
      <c r="R854" s="53"/>
      <c r="S854" s="53"/>
      <c r="T854" s="48">
        <v>146.13999999999999</v>
      </c>
      <c r="U854" s="98">
        <v>13.001231695634324</v>
      </c>
      <c r="V854" s="98">
        <v>35.075954564116607</v>
      </c>
      <c r="W854" s="98">
        <v>32.359365692962811</v>
      </c>
      <c r="X854" s="98">
        <v>13.001231695634324</v>
      </c>
      <c r="Y854" s="233">
        <v>7</v>
      </c>
      <c r="Z854" s="48">
        <v>1.51</v>
      </c>
      <c r="AA854" s="48">
        <v>1.39</v>
      </c>
      <c r="AB854" s="48">
        <v>2.06</v>
      </c>
      <c r="AC854" s="48">
        <v>0.79700000000000004</v>
      </c>
      <c r="AD854" s="48">
        <v>1.85</v>
      </c>
      <c r="AE854" s="48">
        <v>1.39</v>
      </c>
      <c r="AF854" s="48">
        <f t="shared" si="258"/>
        <v>1.39</v>
      </c>
      <c r="AG854" s="49">
        <v>2.06</v>
      </c>
      <c r="AH854" s="98">
        <v>6.9500000000000004E-6</v>
      </c>
      <c r="AI854" s="98">
        <v>9.9200000000000002E-8</v>
      </c>
      <c r="AJ854" s="483">
        <f t="shared" si="256"/>
        <v>-3.5465815217225378</v>
      </c>
      <c r="AK854" s="483">
        <f>LOG10(AI854*1000/(0.08206*298.15))</f>
        <v>-5.3920546541584731</v>
      </c>
      <c r="AL854" s="483">
        <f t="shared" si="255"/>
        <v>-5.3920546541584731</v>
      </c>
      <c r="AM854" s="483">
        <v>-6.2431699999999992</v>
      </c>
      <c r="AN854" s="226">
        <v>-4.9400000000000004</v>
      </c>
      <c r="AO854" s="484"/>
      <c r="AP854" s="484"/>
      <c r="AQ854" s="48" t="s">
        <v>6311</v>
      </c>
      <c r="AR854" s="48" t="s">
        <v>6311</v>
      </c>
      <c r="AS854" s="227"/>
      <c r="AT854" s="50" t="s">
        <v>266</v>
      </c>
      <c r="AU854" s="48">
        <v>6</v>
      </c>
      <c r="AV854" s="48">
        <v>120</v>
      </c>
      <c r="AW854" s="48">
        <v>114</v>
      </c>
      <c r="AX854" s="48">
        <v>28</v>
      </c>
      <c r="AY854" s="48" t="s">
        <v>8728</v>
      </c>
      <c r="AZ854" s="48" t="s">
        <v>1563</v>
      </c>
      <c r="BA854" s="48">
        <v>32</v>
      </c>
      <c r="BB854" s="47" t="s">
        <v>2485</v>
      </c>
      <c r="BC854" s="47" t="s">
        <v>8726</v>
      </c>
      <c r="BD854" s="47" t="s">
        <v>8374</v>
      </c>
      <c r="BE854" s="48" t="s">
        <v>2449</v>
      </c>
      <c r="BF854" s="48" t="s">
        <v>272</v>
      </c>
      <c r="BG854" s="48" t="s">
        <v>272</v>
      </c>
      <c r="BH854" s="48" t="s">
        <v>2486</v>
      </c>
      <c r="BI854" s="98">
        <v>6.3999999999999997E-6</v>
      </c>
      <c r="BJ854" s="98">
        <v>6.4000000000000001E-2</v>
      </c>
      <c r="BK854" s="48"/>
      <c r="BL854" s="98">
        <f t="shared" si="263"/>
        <v>2.2629189536806984</v>
      </c>
      <c r="BM854" s="47" t="s">
        <v>2487</v>
      </c>
      <c r="BN854" s="48"/>
      <c r="BO854" s="48"/>
      <c r="BP854" s="48"/>
      <c r="BQ854" s="48"/>
      <c r="BR854" s="47" t="s">
        <v>2496</v>
      </c>
      <c r="BS854" s="48"/>
      <c r="BT854" s="48"/>
      <c r="BU854" s="228">
        <v>6.4000000000000003E-3</v>
      </c>
      <c r="BV854" s="48"/>
      <c r="BW854" s="48"/>
      <c r="BX854" s="48"/>
      <c r="BY854" s="48"/>
      <c r="BZ854" s="48"/>
      <c r="CA854" s="48"/>
      <c r="CB854" s="48"/>
      <c r="CC854" s="48"/>
      <c r="CD854" s="48"/>
      <c r="CE854" s="48"/>
      <c r="CF854" s="48"/>
      <c r="CG854" s="48"/>
      <c r="CH854" s="48"/>
      <c r="CI854" s="98"/>
      <c r="CJ854" s="98"/>
      <c r="CK854" s="49">
        <f t="shared" si="260"/>
        <v>35.358108651260913</v>
      </c>
      <c r="CL854" s="229"/>
      <c r="CM854" s="229"/>
      <c r="CN854" s="229"/>
      <c r="CO854" s="47" t="s">
        <v>2488</v>
      </c>
      <c r="CP854" s="47" t="s">
        <v>2489</v>
      </c>
      <c r="CQ854" s="224" t="s">
        <v>272</v>
      </c>
      <c r="CR854" s="224"/>
      <c r="CS854" s="230" t="s">
        <v>539</v>
      </c>
      <c r="CT854" s="230"/>
      <c r="CU854" s="230"/>
      <c r="CV854" s="335">
        <f t="shared" si="262"/>
        <v>203.14424524428631</v>
      </c>
      <c r="CW854" s="230">
        <f t="shared" si="259"/>
        <v>1</v>
      </c>
      <c r="CX854" s="336"/>
      <c r="CY854" s="230" t="s">
        <v>6351</v>
      </c>
    </row>
    <row r="855" spans="1:103" ht="11.25" customHeight="1" x14ac:dyDescent="0.2">
      <c r="A855" s="72">
        <v>853</v>
      </c>
      <c r="B855" s="224">
        <v>1782</v>
      </c>
      <c r="C855" s="46" t="s">
        <v>7048</v>
      </c>
      <c r="D855" s="46"/>
      <c r="E855" s="114"/>
      <c r="F855" s="114" t="s">
        <v>5126</v>
      </c>
      <c r="G855" s="225">
        <v>91667</v>
      </c>
      <c r="H855" s="47" t="s">
        <v>5127</v>
      </c>
      <c r="I855" s="47" t="s">
        <v>5127</v>
      </c>
      <c r="J855" s="47" t="s">
        <v>5128</v>
      </c>
      <c r="K855" s="47" t="s">
        <v>426</v>
      </c>
      <c r="L855" s="47" t="s">
        <v>5527</v>
      </c>
      <c r="M855" s="47" t="s">
        <v>6082</v>
      </c>
      <c r="N855" s="47" t="s">
        <v>6082</v>
      </c>
      <c r="O855" s="47" t="s">
        <v>6083</v>
      </c>
      <c r="P855" s="53"/>
      <c r="Q855" s="53" t="s">
        <v>6179</v>
      </c>
      <c r="R855" s="53" t="s">
        <v>6185</v>
      </c>
      <c r="S855" s="53" t="s">
        <v>6176</v>
      </c>
      <c r="T855" s="48">
        <v>149.22999999999999</v>
      </c>
      <c r="U855" s="98">
        <v>0.93814916571734908</v>
      </c>
      <c r="V855" s="98">
        <v>0.76325135696575763</v>
      </c>
      <c r="W855" s="98">
        <v>1.4125375446227526</v>
      </c>
      <c r="X855" s="98">
        <v>0.93814916571734908</v>
      </c>
      <c r="Y855" s="233">
        <v>8.92</v>
      </c>
      <c r="Z855" s="48">
        <v>3.15</v>
      </c>
      <c r="AA855" s="48">
        <v>3.31</v>
      </c>
      <c r="AB855" s="48">
        <v>2.83</v>
      </c>
      <c r="AC855" s="48">
        <v>0.82250000000000001</v>
      </c>
      <c r="AD855" s="48">
        <v>3</v>
      </c>
      <c r="AE855" s="48">
        <v>3.39</v>
      </c>
      <c r="AF855" s="48">
        <f t="shared" si="258"/>
        <v>3.31</v>
      </c>
      <c r="AG855" s="49">
        <v>2.92</v>
      </c>
      <c r="AH855" s="98">
        <v>1.5100000000000001E-4</v>
      </c>
      <c r="AI855" s="98">
        <v>1.92E-4</v>
      </c>
      <c r="AJ855" s="483">
        <f t="shared" si="256"/>
        <v>-2.2095893790194823</v>
      </c>
      <c r="AK855" s="483">
        <f>LOG10(AI855*1000/(0.08206*298.15))</f>
        <v>-2.1052650976091023</v>
      </c>
      <c r="AL855" s="483">
        <f t="shared" si="255"/>
        <v>-2.1052650976091023</v>
      </c>
      <c r="AM855" s="483">
        <v>-5.36158</v>
      </c>
      <c r="AN855" s="226">
        <v>-2.41</v>
      </c>
      <c r="AO855" s="484"/>
      <c r="AP855" s="484">
        <v>6.69</v>
      </c>
      <c r="AQ855" s="226" t="s">
        <v>6311</v>
      </c>
      <c r="AR855" s="226" t="s">
        <v>6311</v>
      </c>
      <c r="AS855" s="224"/>
      <c r="AT855" s="50" t="s">
        <v>266</v>
      </c>
      <c r="AU855" s="48">
        <v>6</v>
      </c>
      <c r="AV855" s="48">
        <v>120</v>
      </c>
      <c r="AW855" s="48">
        <v>114</v>
      </c>
      <c r="AX855" s="48">
        <v>28</v>
      </c>
      <c r="AY855" s="48" t="s">
        <v>8728</v>
      </c>
      <c r="AZ855" s="48" t="s">
        <v>1563</v>
      </c>
      <c r="BA855" s="48">
        <v>32</v>
      </c>
      <c r="BB855" s="47" t="s">
        <v>2485</v>
      </c>
      <c r="BC855" s="47" t="s">
        <v>8726</v>
      </c>
      <c r="BD855" s="47" t="s">
        <v>8374</v>
      </c>
      <c r="BE855" s="48" t="s">
        <v>2449</v>
      </c>
      <c r="BF855" s="48" t="s">
        <v>272</v>
      </c>
      <c r="BG855" s="48" t="s">
        <v>272</v>
      </c>
      <c r="BH855" s="48" t="s">
        <v>2486</v>
      </c>
      <c r="BI855" s="98">
        <v>6.3999999999999997E-6</v>
      </c>
      <c r="BJ855" s="98">
        <v>6.4000000000000001E-2</v>
      </c>
      <c r="BK855" s="48"/>
      <c r="BL855" s="98">
        <f t="shared" si="263"/>
        <v>7.6170183176510087E-2</v>
      </c>
      <c r="BM855" s="47" t="s">
        <v>2487</v>
      </c>
      <c r="BN855" s="48"/>
      <c r="BO855" s="48"/>
      <c r="BP855" s="48"/>
      <c r="BQ855" s="48"/>
      <c r="BR855" s="47" t="s">
        <v>2496</v>
      </c>
      <c r="BS855" s="48"/>
      <c r="BT855" s="48"/>
      <c r="BU855" s="228"/>
      <c r="BV855" s="48"/>
      <c r="BW855" s="48"/>
      <c r="BX855" s="48"/>
      <c r="BY855" s="48"/>
      <c r="BZ855" s="48"/>
      <c r="CA855" s="48"/>
      <c r="CB855" s="48"/>
      <c r="CC855" s="48"/>
      <c r="CD855" s="48"/>
      <c r="CE855" s="48"/>
      <c r="CF855" s="48"/>
      <c r="CG855" s="48"/>
      <c r="CH855" s="48"/>
      <c r="CI855" s="98"/>
      <c r="CJ855" s="98"/>
      <c r="CK855" s="49">
        <f t="shared" si="260"/>
        <v>1.19015911213297</v>
      </c>
      <c r="CL855" s="229"/>
      <c r="CM855" s="229"/>
      <c r="CN855" s="229"/>
      <c r="CO855" s="47" t="s">
        <v>2488</v>
      </c>
      <c r="CP855" s="47" t="s">
        <v>2489</v>
      </c>
      <c r="CQ855" s="224">
        <v>-0.95901229093857177</v>
      </c>
      <c r="CR855" s="224">
        <f>10^(CJ855-CQ855)</f>
        <v>9.099390243902441</v>
      </c>
      <c r="CS855" s="230" t="s">
        <v>539</v>
      </c>
      <c r="CT855" s="230"/>
      <c r="CU855" s="230"/>
      <c r="CV855" s="335">
        <f t="shared" si="262"/>
        <v>14.65858071433358</v>
      </c>
      <c r="CW855" s="230">
        <f t="shared" si="259"/>
        <v>1</v>
      </c>
      <c r="CX855" s="336"/>
      <c r="CY855" s="230" t="s">
        <v>6351</v>
      </c>
    </row>
    <row r="856" spans="1:103" ht="11.25" customHeight="1" x14ac:dyDescent="0.2">
      <c r="A856" s="72">
        <v>854</v>
      </c>
      <c r="B856" s="224">
        <v>1525</v>
      </c>
      <c r="C856" s="46" t="s">
        <v>7049</v>
      </c>
      <c r="D856" s="46"/>
      <c r="E856" s="114"/>
      <c r="F856" s="114" t="s">
        <v>4626</v>
      </c>
      <c r="G856" s="225">
        <v>92524</v>
      </c>
      <c r="H856" s="47" t="s">
        <v>4627</v>
      </c>
      <c r="I856" s="47" t="s">
        <v>4627</v>
      </c>
      <c r="J856" s="47" t="s">
        <v>4628</v>
      </c>
      <c r="K856" s="47" t="s">
        <v>426</v>
      </c>
      <c r="L856" s="47" t="s">
        <v>5527</v>
      </c>
      <c r="M856" s="47" t="s">
        <v>6082</v>
      </c>
      <c r="N856" s="47" t="s">
        <v>6082</v>
      </c>
      <c r="O856" s="47" t="s">
        <v>6083</v>
      </c>
      <c r="P856" s="53" t="s">
        <v>6183</v>
      </c>
      <c r="Q856" s="53" t="s">
        <v>6173</v>
      </c>
      <c r="R856" s="53" t="s">
        <v>6185</v>
      </c>
      <c r="S856" s="53" t="s">
        <v>6176</v>
      </c>
      <c r="T856" s="48">
        <v>154.21</v>
      </c>
      <c r="U856" s="98">
        <v>4.5003566565073601E-2</v>
      </c>
      <c r="V856" s="98">
        <v>0.17735555411451917</v>
      </c>
      <c r="W856" s="98">
        <v>0.17782794100389201</v>
      </c>
      <c r="X856" s="98">
        <v>4.5003566565073601E-2</v>
      </c>
      <c r="Y856" s="233">
        <v>7</v>
      </c>
      <c r="Z856" s="48">
        <v>3.76</v>
      </c>
      <c r="AA856" s="48">
        <v>4.01</v>
      </c>
      <c r="AB856" s="48">
        <v>3.78</v>
      </c>
      <c r="AC856" s="48">
        <v>0.92759999999999998</v>
      </c>
      <c r="AD856" s="48">
        <v>3.82</v>
      </c>
      <c r="AE856" s="48">
        <v>3.98</v>
      </c>
      <c r="AF856" s="48">
        <f t="shared" si="258"/>
        <v>4.01</v>
      </c>
      <c r="AG856" s="49">
        <v>3.48</v>
      </c>
      <c r="AH856" s="98">
        <v>4.1399999999999998E-4</v>
      </c>
      <c r="AI856" s="98">
        <v>3.0800000000000001E-4</v>
      </c>
      <c r="AJ856" s="483">
        <f t="shared" si="256"/>
        <v>-1.7715659851917529</v>
      </c>
      <c r="AK856" s="483">
        <f>LOG10(AI856*1000/(0.08206*298.15))</f>
        <v>-1.9000156098122076</v>
      </c>
      <c r="AL856" s="483">
        <f t="shared" si="255"/>
        <v>-1.9000156098122076</v>
      </c>
      <c r="AM856" s="483">
        <v>-5.406299999999999</v>
      </c>
      <c r="AN856" s="226">
        <v>-1.88</v>
      </c>
      <c r="AO856" s="484"/>
      <c r="AP856" s="484"/>
      <c r="AQ856" s="48" t="s">
        <v>6311</v>
      </c>
      <c r="AR856" s="48" t="s">
        <v>6311</v>
      </c>
      <c r="AS856" s="227"/>
      <c r="AT856" s="50" t="s">
        <v>266</v>
      </c>
      <c r="AU856" s="48">
        <v>6</v>
      </c>
      <c r="AV856" s="48">
        <v>120</v>
      </c>
      <c r="AW856" s="48">
        <v>114</v>
      </c>
      <c r="AX856" s="48">
        <v>28</v>
      </c>
      <c r="AY856" s="48" t="s">
        <v>8728</v>
      </c>
      <c r="AZ856" s="48" t="s">
        <v>1563</v>
      </c>
      <c r="BA856" s="48">
        <v>32</v>
      </c>
      <c r="BB856" s="47" t="s">
        <v>2485</v>
      </c>
      <c r="BC856" s="47" t="s">
        <v>8726</v>
      </c>
      <c r="BD856" s="47" t="s">
        <v>8374</v>
      </c>
      <c r="BE856" s="48" t="s">
        <v>2449</v>
      </c>
      <c r="BF856" s="48" t="s">
        <v>272</v>
      </c>
      <c r="BG856" s="48" t="s">
        <v>272</v>
      </c>
      <c r="BH856" s="48" t="s">
        <v>2486</v>
      </c>
      <c r="BI856" s="98">
        <v>6.3999999999999997E-6</v>
      </c>
      <c r="BJ856" s="98">
        <v>6.4000000000000001E-2</v>
      </c>
      <c r="BK856" s="48"/>
      <c r="BL856" s="98">
        <f t="shared" si="263"/>
        <v>2.1574661972438215E-2</v>
      </c>
      <c r="BM856" s="47" t="s">
        <v>2487</v>
      </c>
      <c r="BN856" s="48"/>
      <c r="BO856" s="48"/>
      <c r="BP856" s="48"/>
      <c r="BQ856" s="48"/>
      <c r="BR856" s="47" t="s">
        <v>2496</v>
      </c>
      <c r="BS856" s="48"/>
      <c r="BT856" s="48"/>
      <c r="BU856" s="228"/>
      <c r="BV856" s="48"/>
      <c r="BW856" s="48"/>
      <c r="BX856" s="48"/>
      <c r="BY856" s="48"/>
      <c r="BZ856" s="48"/>
      <c r="CA856" s="48"/>
      <c r="CB856" s="48"/>
      <c r="CC856" s="48"/>
      <c r="CD856" s="48"/>
      <c r="CE856" s="48"/>
      <c r="CF856" s="48"/>
      <c r="CG856" s="48"/>
      <c r="CH856" s="48"/>
      <c r="CI856" s="52" t="s">
        <v>6347</v>
      </c>
      <c r="CJ856" s="98"/>
      <c r="CK856" s="49">
        <f t="shared" si="260"/>
        <v>0.3371040933193471</v>
      </c>
      <c r="CL856" s="229"/>
      <c r="CM856" s="229"/>
      <c r="CN856" s="229"/>
      <c r="CO856" s="47" t="s">
        <v>2488</v>
      </c>
      <c r="CP856" s="47" t="s">
        <v>2489</v>
      </c>
      <c r="CQ856" s="224">
        <v>-1.6875024237055625</v>
      </c>
      <c r="CR856" s="224">
        <f>10^(CJ856-CQ856)</f>
        <v>48.697024283611263</v>
      </c>
      <c r="CS856" s="230" t="s">
        <v>539</v>
      </c>
      <c r="CT856" s="230"/>
      <c r="CU856" s="230"/>
      <c r="CV856" s="335">
        <f t="shared" si="262"/>
        <v>0.70318072757927497</v>
      </c>
      <c r="CW856" s="230">
        <f t="shared" si="259"/>
        <v>0</v>
      </c>
      <c r="CX856" s="336"/>
      <c r="CY856" s="230" t="s">
        <v>6351</v>
      </c>
    </row>
    <row r="857" spans="1:103" ht="11.25" customHeight="1" x14ac:dyDescent="0.2">
      <c r="A857" s="72">
        <v>855</v>
      </c>
      <c r="B857" s="224">
        <v>1239</v>
      </c>
      <c r="C857" s="46" t="s">
        <v>7050</v>
      </c>
      <c r="D857" s="46"/>
      <c r="E857" s="114"/>
      <c r="F857" s="114" t="s">
        <v>3410</v>
      </c>
      <c r="G857" s="225">
        <v>92842</v>
      </c>
      <c r="H857" s="47" t="s">
        <v>3411</v>
      </c>
      <c r="I857" s="47" t="s">
        <v>3411</v>
      </c>
      <c r="J857" s="47" t="s">
        <v>3412</v>
      </c>
      <c r="K857" s="47" t="s">
        <v>426</v>
      </c>
      <c r="L857" s="47"/>
      <c r="M857" s="47"/>
      <c r="N857" s="47"/>
      <c r="O857" s="47"/>
      <c r="P857" s="53"/>
      <c r="Q857" s="53"/>
      <c r="R857" s="53"/>
      <c r="S857" s="53"/>
      <c r="T857" s="48">
        <v>199.27</v>
      </c>
      <c r="U857" s="98">
        <v>7.9791238018768508E-3</v>
      </c>
      <c r="V857" s="98">
        <v>4.9114267074823106E-3</v>
      </c>
      <c r="W857" s="98">
        <v>2.3988329190194856E-2</v>
      </c>
      <c r="X857" s="98">
        <v>7.9791238018768508E-3</v>
      </c>
      <c r="Y857" s="233">
        <v>7</v>
      </c>
      <c r="Z857" s="48">
        <v>3.82</v>
      </c>
      <c r="AA857" s="48">
        <v>4.1500000000000004</v>
      </c>
      <c r="AB857" s="48">
        <v>4.28</v>
      </c>
      <c r="AC857" s="48">
        <v>0.86760000000000004</v>
      </c>
      <c r="AD857" s="48">
        <v>4.25</v>
      </c>
      <c r="AE857" s="48">
        <v>4.1500000000000004</v>
      </c>
      <c r="AF857" s="48">
        <f t="shared" si="258"/>
        <v>4.1500000000000004</v>
      </c>
      <c r="AG857" s="49">
        <v>3.29</v>
      </c>
      <c r="AH857" s="98">
        <v>2.7800000000000001E-8</v>
      </c>
      <c r="AI857" s="98"/>
      <c r="AJ857" s="483">
        <f t="shared" si="256"/>
        <v>-5.9445215303945753</v>
      </c>
      <c r="AK857" s="483"/>
      <c r="AL857" s="483">
        <f t="shared" si="255"/>
        <v>-5.9445215303945753</v>
      </c>
      <c r="AM857" s="483">
        <v>-9.3538200000000007</v>
      </c>
      <c r="AN857" s="226">
        <v>-5.63</v>
      </c>
      <c r="AO857" s="484"/>
      <c r="AP857" s="484">
        <v>-1.87</v>
      </c>
      <c r="AQ857" s="48" t="s">
        <v>6311</v>
      </c>
      <c r="AR857" s="48" t="s">
        <v>6311</v>
      </c>
      <c r="AS857" s="227"/>
      <c r="AT857" s="50" t="s">
        <v>266</v>
      </c>
      <c r="AU857" s="48">
        <v>6</v>
      </c>
      <c r="AV857" s="48">
        <v>120</v>
      </c>
      <c r="AW857" s="48">
        <v>114</v>
      </c>
      <c r="AX857" s="48">
        <v>28</v>
      </c>
      <c r="AY857" s="48" t="s">
        <v>8728</v>
      </c>
      <c r="AZ857" s="48" t="s">
        <v>1563</v>
      </c>
      <c r="BA857" s="48">
        <v>32</v>
      </c>
      <c r="BB857" s="47" t="s">
        <v>2485</v>
      </c>
      <c r="BC857" s="47" t="s">
        <v>8726</v>
      </c>
      <c r="BD857" s="47" t="s">
        <v>8374</v>
      </c>
      <c r="BE857" s="48" t="s">
        <v>2449</v>
      </c>
      <c r="BF857" s="48" t="s">
        <v>272</v>
      </c>
      <c r="BG857" s="48" t="s">
        <v>272</v>
      </c>
      <c r="BH857" s="48" t="s">
        <v>2486</v>
      </c>
      <c r="BI857" s="98">
        <v>6.3999999999999997E-6</v>
      </c>
      <c r="BJ857" s="98">
        <v>6.4000000000000001E-2</v>
      </c>
      <c r="BK857" s="48"/>
      <c r="BL857" s="98">
        <f t="shared" si="263"/>
        <v>1.905715209112286E-2</v>
      </c>
      <c r="BM857" s="47" t="s">
        <v>2487</v>
      </c>
      <c r="BN857" s="48"/>
      <c r="BO857" s="48"/>
      <c r="BP857" s="48"/>
      <c r="BQ857" s="48"/>
      <c r="BR857" s="47" t="s">
        <v>2496</v>
      </c>
      <c r="BS857" s="48"/>
      <c r="BT857" s="48"/>
      <c r="BU857" s="228">
        <v>6.3999999999999997E-5</v>
      </c>
      <c r="BV857" s="48"/>
      <c r="BW857" s="48"/>
      <c r="BX857" s="48"/>
      <c r="BY857" s="48"/>
      <c r="BZ857" s="48"/>
      <c r="CA857" s="48"/>
      <c r="CB857" s="48"/>
      <c r="CC857" s="48"/>
      <c r="CD857" s="48"/>
      <c r="CE857" s="48"/>
      <c r="CF857" s="48"/>
      <c r="CG857" s="48"/>
      <c r="CH857" s="48"/>
      <c r="CI857" s="98"/>
      <c r="CJ857" s="98"/>
      <c r="CK857" s="49">
        <f t="shared" si="260"/>
        <v>0.29776800142379467</v>
      </c>
      <c r="CL857" s="229"/>
      <c r="CM857" s="229"/>
      <c r="CN857" s="229"/>
      <c r="CO857" s="47" t="s">
        <v>2488</v>
      </c>
      <c r="CP857" s="47" t="s">
        <v>2489</v>
      </c>
      <c r="CQ857" s="224" t="s">
        <v>272</v>
      </c>
      <c r="CR857" s="224"/>
      <c r="CS857" s="230" t="s">
        <v>539</v>
      </c>
      <c r="CT857" s="230"/>
      <c r="CU857" s="230"/>
      <c r="CV857" s="335">
        <f t="shared" si="262"/>
        <v>0.12467380940432579</v>
      </c>
      <c r="CW857" s="230">
        <f t="shared" si="259"/>
        <v>0</v>
      </c>
      <c r="CX857" s="336"/>
      <c r="CY857" s="230" t="s">
        <v>6351</v>
      </c>
    </row>
    <row r="858" spans="1:103" ht="11.25" customHeight="1" x14ac:dyDescent="0.2">
      <c r="A858" s="72">
        <v>856</v>
      </c>
      <c r="B858" s="224">
        <v>1518</v>
      </c>
      <c r="C858" s="46" t="s">
        <v>7051</v>
      </c>
      <c r="D858" s="46"/>
      <c r="E858" s="114"/>
      <c r="F858" s="114" t="s">
        <v>4608</v>
      </c>
      <c r="G858" s="225">
        <v>92875</v>
      </c>
      <c r="H858" s="47" t="s">
        <v>4609</v>
      </c>
      <c r="I858" s="47" t="s">
        <v>4609</v>
      </c>
      <c r="J858" s="47" t="s">
        <v>4610</v>
      </c>
      <c r="K858" s="47" t="s">
        <v>1573</v>
      </c>
      <c r="L858" s="47"/>
      <c r="M858" s="47"/>
      <c r="N858" s="47"/>
      <c r="O858" s="47"/>
      <c r="P858" s="53"/>
      <c r="Q858" s="53"/>
      <c r="R858" s="53"/>
      <c r="S858" s="53"/>
      <c r="T858" s="48">
        <v>184.24</v>
      </c>
      <c r="U858" s="98">
        <v>1.7477203647416413</v>
      </c>
      <c r="V858" s="98">
        <v>20.435301780286583</v>
      </c>
      <c r="W858" s="98">
        <v>4.5708818961487507</v>
      </c>
      <c r="X858" s="98">
        <v>1.7477203647416413</v>
      </c>
      <c r="Y858" s="233">
        <v>8.18</v>
      </c>
      <c r="Z858" s="48">
        <v>1.92</v>
      </c>
      <c r="AA858" s="48">
        <v>1.34</v>
      </c>
      <c r="AB858" s="48">
        <v>1.44</v>
      </c>
      <c r="AC858" s="48">
        <v>0.88549999999999995</v>
      </c>
      <c r="AD858" s="48">
        <v>1.47</v>
      </c>
      <c r="AE858" s="48">
        <v>1.56</v>
      </c>
      <c r="AF858" s="48">
        <f t="shared" si="258"/>
        <v>1.34</v>
      </c>
      <c r="AG858" s="49">
        <v>2.1</v>
      </c>
      <c r="AH858" s="98">
        <v>5.17E-11</v>
      </c>
      <c r="AI858" s="98"/>
      <c r="AJ858" s="483">
        <f t="shared" si="256"/>
        <v>-8.6750757832187091</v>
      </c>
      <c r="AK858" s="483"/>
      <c r="AL858" s="483">
        <f t="shared" si="255"/>
        <v>-8.6750757832187091</v>
      </c>
      <c r="AM858" s="483">
        <v>-13.331340000000001</v>
      </c>
      <c r="AN858" s="226">
        <v>-8.64</v>
      </c>
      <c r="AO858" s="484"/>
      <c r="AP858" s="484">
        <v>4.7</v>
      </c>
      <c r="AQ858" s="48" t="s">
        <v>6311</v>
      </c>
      <c r="AR858" s="48" t="s">
        <v>6311</v>
      </c>
      <c r="AS858" s="227"/>
      <c r="AT858" s="50" t="s">
        <v>266</v>
      </c>
      <c r="AU858" s="48">
        <v>6</v>
      </c>
      <c r="AV858" s="48">
        <v>120</v>
      </c>
      <c r="AW858" s="48">
        <v>114</v>
      </c>
      <c r="AX858" s="48">
        <v>28</v>
      </c>
      <c r="AY858" s="48" t="s">
        <v>8728</v>
      </c>
      <c r="AZ858" s="48" t="s">
        <v>1563</v>
      </c>
      <c r="BA858" s="48">
        <v>32</v>
      </c>
      <c r="BB858" s="47" t="s">
        <v>2485</v>
      </c>
      <c r="BC858" s="47" t="s">
        <v>8726</v>
      </c>
      <c r="BD858" s="47" t="s">
        <v>8374</v>
      </c>
      <c r="BE858" s="48" t="s">
        <v>2449</v>
      </c>
      <c r="BF858" s="48" t="s">
        <v>272</v>
      </c>
      <c r="BG858" s="48" t="s">
        <v>272</v>
      </c>
      <c r="BH858" s="48" t="s">
        <v>2486</v>
      </c>
      <c r="BI858" s="98">
        <v>6.3999999999999997E-6</v>
      </c>
      <c r="BJ858" s="98">
        <v>6.4000000000000001E-2</v>
      </c>
      <c r="BK858" s="48"/>
      <c r="BL858" s="98">
        <f t="shared" si="263"/>
        <v>0.96927720650321159</v>
      </c>
      <c r="BM858" s="47" t="s">
        <v>2487</v>
      </c>
      <c r="BN858" s="48"/>
      <c r="BO858" s="48"/>
      <c r="BP858" s="48"/>
      <c r="BQ858" s="48"/>
      <c r="BR858" s="47" t="s">
        <v>2496</v>
      </c>
      <c r="BS858" s="48"/>
      <c r="BT858" s="48"/>
      <c r="BU858" s="228"/>
      <c r="BV858" s="48"/>
      <c r="BW858" s="48"/>
      <c r="BX858" s="48"/>
      <c r="BY858" s="48"/>
      <c r="BZ858" s="48"/>
      <c r="CA858" s="48"/>
      <c r="CB858" s="48"/>
      <c r="CC858" s="48"/>
      <c r="CD858" s="48"/>
      <c r="CE858" s="48"/>
      <c r="CF858" s="48"/>
      <c r="CG858" s="48"/>
      <c r="CH858" s="48"/>
      <c r="CI858" s="98"/>
      <c r="CJ858" s="98"/>
      <c r="CK858" s="49">
        <f t="shared" si="260"/>
        <v>15.144956351612681</v>
      </c>
      <c r="CL858" s="229"/>
      <c r="CM858" s="229"/>
      <c r="CN858" s="229"/>
      <c r="CO858" s="47" t="s">
        <v>2488</v>
      </c>
      <c r="CP858" s="47" t="s">
        <v>2489</v>
      </c>
      <c r="CQ858" s="224">
        <v>-1.3961522052251985</v>
      </c>
      <c r="CR858" s="224">
        <f>10^(CJ858-CQ858)</f>
        <v>24.897297297297303</v>
      </c>
      <c r="CS858" s="230" t="s">
        <v>539</v>
      </c>
      <c r="CT858" s="230"/>
      <c r="CU858" s="230"/>
      <c r="CV858" s="335">
        <f t="shared" si="262"/>
        <v>27.308130699088146</v>
      </c>
      <c r="CW858" s="230">
        <f t="shared" si="259"/>
        <v>1</v>
      </c>
      <c r="CX858" s="336"/>
      <c r="CY858" s="230" t="s">
        <v>5921</v>
      </c>
    </row>
    <row r="859" spans="1:103" ht="11.25" customHeight="1" x14ac:dyDescent="0.2">
      <c r="A859" s="72">
        <v>857</v>
      </c>
      <c r="B859" s="224">
        <v>1188</v>
      </c>
      <c r="C859" s="46" t="s">
        <v>7052</v>
      </c>
      <c r="D859" s="46"/>
      <c r="E859" s="114"/>
      <c r="F859" s="114" t="s">
        <v>3277</v>
      </c>
      <c r="G859" s="225">
        <v>93152</v>
      </c>
      <c r="H859" s="47" t="s">
        <v>3278</v>
      </c>
      <c r="I859" s="47" t="s">
        <v>3278</v>
      </c>
      <c r="J859" s="47" t="s">
        <v>3279</v>
      </c>
      <c r="K859" s="47" t="s">
        <v>426</v>
      </c>
      <c r="L859" s="51" t="s">
        <v>6126</v>
      </c>
      <c r="M859" s="47" t="s">
        <v>6082</v>
      </c>
      <c r="N859" s="47" t="s">
        <v>6082</v>
      </c>
      <c r="O859" s="47" t="s">
        <v>6083</v>
      </c>
      <c r="P859" s="53"/>
      <c r="Q859" s="53"/>
      <c r="R859" s="53"/>
      <c r="S859" s="53"/>
      <c r="T859" s="48">
        <v>178.23</v>
      </c>
      <c r="U859" s="98">
        <v>2.8053638556920832</v>
      </c>
      <c r="V859" s="98">
        <v>0.81243337260842741</v>
      </c>
      <c r="W859" s="98">
        <v>3.7153522909717225</v>
      </c>
      <c r="X859" s="98">
        <v>2.8053638556920832</v>
      </c>
      <c r="Y859" s="233">
        <v>7</v>
      </c>
      <c r="Z859" s="48">
        <v>3.03</v>
      </c>
      <c r="AA859" s="48"/>
      <c r="AB859" s="48">
        <v>2.62</v>
      </c>
      <c r="AC859" s="48">
        <v>0.79</v>
      </c>
      <c r="AD859" s="48">
        <v>2.73</v>
      </c>
      <c r="AE859" s="48">
        <v>2.97</v>
      </c>
      <c r="AF859" s="48">
        <f t="shared" si="258"/>
        <v>2.73</v>
      </c>
      <c r="AG859" s="49">
        <v>2.94</v>
      </c>
      <c r="AH859" s="98">
        <v>2.73E-5</v>
      </c>
      <c r="AI859" s="98">
        <v>5.5999999999999997E-6</v>
      </c>
      <c r="AJ859" s="483">
        <f t="shared" si="256"/>
        <v>-2.952403679271896</v>
      </c>
      <c r="AK859" s="483">
        <f>LOG10(AI859*1000/(0.08206*298.15))</f>
        <v>-3.6403782993064513</v>
      </c>
      <c r="AL859" s="483">
        <f t="shared" si="255"/>
        <v>-3.6403782993064513</v>
      </c>
      <c r="AM859" s="483">
        <v>-7.4194800000000001</v>
      </c>
      <c r="AN859" s="226">
        <v>-3.49</v>
      </c>
      <c r="AO859" s="484"/>
      <c r="AP859" s="484"/>
      <c r="AQ859" s="48" t="s">
        <v>6311</v>
      </c>
      <c r="AR859" s="48" t="s">
        <v>6311</v>
      </c>
      <c r="AS859" s="227"/>
      <c r="AT859" s="50" t="s">
        <v>266</v>
      </c>
      <c r="AU859" s="48">
        <v>6</v>
      </c>
      <c r="AV859" s="48">
        <v>120</v>
      </c>
      <c r="AW859" s="48">
        <v>114</v>
      </c>
      <c r="AX859" s="48">
        <v>28</v>
      </c>
      <c r="AY859" s="48" t="s">
        <v>8728</v>
      </c>
      <c r="AZ859" s="48" t="s">
        <v>1563</v>
      </c>
      <c r="BA859" s="48">
        <v>32</v>
      </c>
      <c r="BB859" s="47" t="s">
        <v>2485</v>
      </c>
      <c r="BC859" s="47" t="s">
        <v>8726</v>
      </c>
      <c r="BD859" s="47" t="s">
        <v>8374</v>
      </c>
      <c r="BE859" s="48" t="s">
        <v>2449</v>
      </c>
      <c r="BF859" s="48" t="s">
        <v>272</v>
      </c>
      <c r="BG859" s="48" t="s">
        <v>272</v>
      </c>
      <c r="BH859" s="48" t="s">
        <v>2486</v>
      </c>
      <c r="BI859" s="98">
        <v>6.3999999999999997E-6</v>
      </c>
      <c r="BJ859" s="98">
        <v>6.4000000000000001E-2</v>
      </c>
      <c r="BK859" s="48"/>
      <c r="BL859" s="98">
        <f t="shared" si="263"/>
        <v>9.7624090305406405E-2</v>
      </c>
      <c r="BM859" s="47" t="s">
        <v>2487</v>
      </c>
      <c r="BN859" s="48"/>
      <c r="BO859" s="48"/>
      <c r="BP859" s="48"/>
      <c r="BQ859" s="48"/>
      <c r="BR859" s="47" t="s">
        <v>2496</v>
      </c>
      <c r="BS859" s="48"/>
      <c r="BT859" s="48"/>
      <c r="BU859" s="228">
        <v>6.4000000000000001E-2</v>
      </c>
      <c r="BV859" s="48"/>
      <c r="BW859" s="48"/>
      <c r="BX859" s="48"/>
      <c r="BY859" s="48"/>
      <c r="BZ859" s="48"/>
      <c r="CA859" s="48"/>
      <c r="CB859" s="48"/>
      <c r="CC859" s="48"/>
      <c r="CD859" s="48"/>
      <c r="CE859" s="48"/>
      <c r="CF859" s="48"/>
      <c r="CG859" s="48"/>
      <c r="CH859" s="48"/>
      <c r="CI859" s="98"/>
      <c r="CJ859" s="98"/>
      <c r="CK859" s="49">
        <f t="shared" si="260"/>
        <v>1.525376411021975</v>
      </c>
      <c r="CL859" s="229"/>
      <c r="CM859" s="229"/>
      <c r="CN859" s="229"/>
      <c r="CO859" s="47" t="s">
        <v>2488</v>
      </c>
      <c r="CP859" s="47" t="s">
        <v>2489</v>
      </c>
      <c r="CQ859" s="224">
        <v>-1.4076626724652028</v>
      </c>
      <c r="CR859" s="224">
        <f>10^(CJ859-CQ859)</f>
        <v>25.565993399798081</v>
      </c>
      <c r="CS859" s="230" t="s">
        <v>539</v>
      </c>
      <c r="CT859" s="230"/>
      <c r="CU859" s="230"/>
      <c r="CV859" s="335">
        <f t="shared" si="262"/>
        <v>43.833810245188801</v>
      </c>
      <c r="CW859" s="230">
        <f t="shared" si="259"/>
        <v>1</v>
      </c>
      <c r="CX859" s="336"/>
      <c r="CY859" s="230" t="s">
        <v>5921</v>
      </c>
    </row>
    <row r="860" spans="1:103" ht="11.25" customHeight="1" x14ac:dyDescent="0.2">
      <c r="A860" s="72">
        <v>858</v>
      </c>
      <c r="B860" s="224">
        <v>1917</v>
      </c>
      <c r="C860" s="46" t="s">
        <v>7053</v>
      </c>
      <c r="D860" s="46"/>
      <c r="E860" s="114"/>
      <c r="F860" s="114" t="s">
        <v>5389</v>
      </c>
      <c r="G860" s="225">
        <v>94280</v>
      </c>
      <c r="H860" s="47" t="s">
        <v>5390</v>
      </c>
      <c r="I860" s="47" t="s">
        <v>5390</v>
      </c>
      <c r="J860" s="47" t="s">
        <v>5391</v>
      </c>
      <c r="K860" s="47" t="s">
        <v>357</v>
      </c>
      <c r="L860" s="47"/>
      <c r="M860" s="47"/>
      <c r="N860" s="47"/>
      <c r="O860" s="47"/>
      <c r="P860" s="53"/>
      <c r="Q860" s="53"/>
      <c r="R860" s="53"/>
      <c r="S860" s="53"/>
      <c r="T860" s="48">
        <v>402.57</v>
      </c>
      <c r="U860" s="98"/>
      <c r="V860" s="98">
        <v>1.2050078247261345E-4</v>
      </c>
      <c r="W860" s="98">
        <v>6.1659500186148186E-2</v>
      </c>
      <c r="X860" s="98">
        <f>IF(W860=0,V860,W860)</f>
        <v>6.1659500186148186E-2</v>
      </c>
      <c r="Y860" s="233">
        <v>7</v>
      </c>
      <c r="Z860" s="48">
        <v>5.6</v>
      </c>
      <c r="AA860" s="48"/>
      <c r="AB860" s="48">
        <v>6.06</v>
      </c>
      <c r="AC860" s="48">
        <v>0.52810000000000001</v>
      </c>
      <c r="AD860" s="48">
        <v>5.82</v>
      </c>
      <c r="AE860" s="48">
        <v>5.57</v>
      </c>
      <c r="AF860" s="48">
        <f t="shared" si="258"/>
        <v>5.82</v>
      </c>
      <c r="AG860" s="49">
        <v>3.27</v>
      </c>
      <c r="AH860" s="98">
        <v>4.01E-9</v>
      </c>
      <c r="AI860" s="98"/>
      <c r="AJ860" s="483">
        <f t="shared" si="256"/>
        <v>-6.7854219536924694</v>
      </c>
      <c r="AK860" s="483"/>
      <c r="AL860" s="483">
        <f t="shared" si="255"/>
        <v>-6.7854219536924694</v>
      </c>
      <c r="AM860" s="483">
        <v>-11.101880000000001</v>
      </c>
      <c r="AN860" s="226">
        <v>-26.4</v>
      </c>
      <c r="AO860" s="484"/>
      <c r="AP860" s="484"/>
      <c r="AQ860" s="226" t="s">
        <v>6311</v>
      </c>
      <c r="AR860" s="226" t="s">
        <v>6312</v>
      </c>
      <c r="AS860" s="224"/>
      <c r="AT860" s="50" t="s">
        <v>266</v>
      </c>
      <c r="AU860" s="48">
        <v>6</v>
      </c>
      <c r="AV860" s="48">
        <v>120</v>
      </c>
      <c r="AW860" s="48">
        <v>114</v>
      </c>
      <c r="AX860" s="48">
        <v>28</v>
      </c>
      <c r="AY860" s="48" t="s">
        <v>8728</v>
      </c>
      <c r="AZ860" s="48" t="s">
        <v>1563</v>
      </c>
      <c r="BA860" s="48">
        <v>32</v>
      </c>
      <c r="BB860" s="47" t="s">
        <v>2485</v>
      </c>
      <c r="BC860" s="47" t="s">
        <v>8726</v>
      </c>
      <c r="BD860" s="47" t="s">
        <v>8374</v>
      </c>
      <c r="BE860" s="48" t="s">
        <v>2449</v>
      </c>
      <c r="BF860" s="48" t="s">
        <v>272</v>
      </c>
      <c r="BG860" s="48" t="s">
        <v>272</v>
      </c>
      <c r="BH860" s="48" t="s">
        <v>2486</v>
      </c>
      <c r="BI860" s="98">
        <v>6.3999999999999997E-6</v>
      </c>
      <c r="BJ860" s="98">
        <v>6.4000000000000001E-2</v>
      </c>
      <c r="BK860" s="48"/>
      <c r="BL860" s="98">
        <f t="shared" si="263"/>
        <v>4.8021973084892602E-4</v>
      </c>
      <c r="BM860" s="47" t="s">
        <v>2487</v>
      </c>
      <c r="BN860" s="48"/>
      <c r="BO860" s="48"/>
      <c r="BP860" s="48"/>
      <c r="BQ860" s="48"/>
      <c r="BR860" s="47" t="s">
        <v>2496</v>
      </c>
      <c r="BS860" s="48"/>
      <c r="BT860" s="48"/>
      <c r="BU860" s="228"/>
      <c r="BV860" s="48"/>
      <c r="BW860" s="48"/>
      <c r="BX860" s="48"/>
      <c r="BY860" s="48"/>
      <c r="BZ860" s="48"/>
      <c r="CA860" s="48"/>
      <c r="CB860" s="48"/>
      <c r="CC860" s="48"/>
      <c r="CD860" s="48"/>
      <c r="CE860" s="48"/>
      <c r="CF860" s="48"/>
      <c r="CG860" s="48"/>
      <c r="CH860" s="48"/>
      <c r="CI860" s="98"/>
      <c r="CJ860" s="98"/>
      <c r="CK860" s="49">
        <f t="shared" si="260"/>
        <v>7.5034332945144687E-3</v>
      </c>
      <c r="CL860" s="229"/>
      <c r="CM860" s="229"/>
      <c r="CN860" s="229"/>
      <c r="CO860" s="47" t="s">
        <v>2488</v>
      </c>
      <c r="CP860" s="47" t="s">
        <v>2489</v>
      </c>
      <c r="CQ860" s="224" t="s">
        <v>272</v>
      </c>
      <c r="CR860" s="224"/>
      <c r="CS860" s="230" t="s">
        <v>539</v>
      </c>
      <c r="CT860" s="230"/>
      <c r="CU860" s="230"/>
      <c r="CV860" s="335">
        <f t="shared" si="262"/>
        <v>0.96342969040856541</v>
      </c>
      <c r="CW860" s="230">
        <f t="shared" si="259"/>
        <v>0</v>
      </c>
      <c r="CX860" s="336"/>
      <c r="CY860" s="230" t="s">
        <v>6351</v>
      </c>
    </row>
    <row r="861" spans="1:103" ht="11.25" customHeight="1" x14ac:dyDescent="0.2">
      <c r="A861" s="72">
        <v>859</v>
      </c>
      <c r="B861" s="224">
        <v>1856</v>
      </c>
      <c r="C861" s="46" t="s">
        <v>7054</v>
      </c>
      <c r="D861" s="46"/>
      <c r="E861" s="114"/>
      <c r="F861" s="114" t="s">
        <v>5277</v>
      </c>
      <c r="G861" s="225">
        <v>94597</v>
      </c>
      <c r="H861" s="47" t="s">
        <v>5278</v>
      </c>
      <c r="I861" s="47" t="s">
        <v>5278</v>
      </c>
      <c r="J861" s="47" t="s">
        <v>5279</v>
      </c>
      <c r="K861" s="47" t="s">
        <v>287</v>
      </c>
      <c r="L861" s="47"/>
      <c r="M861" s="47"/>
      <c r="N861" s="47"/>
      <c r="O861" s="47"/>
      <c r="P861" s="53"/>
      <c r="Q861" s="53"/>
      <c r="R861" s="53"/>
      <c r="S861" s="53"/>
      <c r="T861" s="48">
        <v>162.19</v>
      </c>
      <c r="U861" s="98"/>
      <c r="V861" s="98">
        <v>0.46846291386645295</v>
      </c>
      <c r="W861" s="98">
        <v>1.0964781961431849</v>
      </c>
      <c r="X861" s="98">
        <f>IF(W861=0,V861,W861)</f>
        <v>1.0964781961431849</v>
      </c>
      <c r="Y861" s="233">
        <v>7</v>
      </c>
      <c r="Z861" s="48">
        <v>3.45</v>
      </c>
      <c r="AA861" s="48"/>
      <c r="AB861" s="48">
        <v>2.4300000000000002</v>
      </c>
      <c r="AC861" s="48">
        <v>0.65590000000000004</v>
      </c>
      <c r="AD861" s="48">
        <v>2.71</v>
      </c>
      <c r="AE861" s="48">
        <v>3.1</v>
      </c>
      <c r="AF861" s="48">
        <f t="shared" si="258"/>
        <v>2.71</v>
      </c>
      <c r="AG861" s="49">
        <v>2.54</v>
      </c>
      <c r="AH861" s="98">
        <v>9.0699999999999996E-6</v>
      </c>
      <c r="AI861" s="98"/>
      <c r="AJ861" s="483">
        <f t="shared" si="256"/>
        <v>-3.4309590392525564</v>
      </c>
      <c r="AK861" s="483"/>
      <c r="AL861" s="483">
        <f t="shared" si="255"/>
        <v>-3.4309590392525564</v>
      </c>
      <c r="AM861" s="483">
        <v>-6.2209000000000003</v>
      </c>
      <c r="AN861" s="226">
        <v>-1.82</v>
      </c>
      <c r="AO861" s="484"/>
      <c r="AP861" s="484"/>
      <c r="AQ861" s="226" t="s">
        <v>6311</v>
      </c>
      <c r="AR861" s="226" t="s">
        <v>6311</v>
      </c>
      <c r="AS861" s="224"/>
      <c r="AT861" s="50" t="s">
        <v>266</v>
      </c>
      <c r="AU861" s="48">
        <v>6</v>
      </c>
      <c r="AV861" s="48">
        <v>120</v>
      </c>
      <c r="AW861" s="48">
        <v>114</v>
      </c>
      <c r="AX861" s="48">
        <v>28</v>
      </c>
      <c r="AY861" s="48" t="s">
        <v>8728</v>
      </c>
      <c r="AZ861" s="48" t="s">
        <v>1563</v>
      </c>
      <c r="BA861" s="48">
        <v>32</v>
      </c>
      <c r="BB861" s="47" t="s">
        <v>2485</v>
      </c>
      <c r="BC861" s="47" t="s">
        <v>8726</v>
      </c>
      <c r="BD861" s="47" t="s">
        <v>8374</v>
      </c>
      <c r="BE861" s="48" t="s">
        <v>2449</v>
      </c>
      <c r="BF861" s="48" t="s">
        <v>272</v>
      </c>
      <c r="BG861" s="48" t="s">
        <v>272</v>
      </c>
      <c r="BH861" s="48" t="s">
        <v>2486</v>
      </c>
      <c r="BI861" s="98">
        <v>6.3999999999999997E-6</v>
      </c>
      <c r="BJ861" s="98">
        <v>6.4000000000000001E-2</v>
      </c>
      <c r="BK861" s="48"/>
      <c r="BL861" s="98">
        <f t="shared" si="263"/>
        <v>4.0959533340592637E-2</v>
      </c>
      <c r="BM861" s="47" t="s">
        <v>2487</v>
      </c>
      <c r="BN861" s="48"/>
      <c r="BO861" s="48"/>
      <c r="BP861" s="48"/>
      <c r="BQ861" s="48"/>
      <c r="BR861" s="47" t="s">
        <v>2496</v>
      </c>
      <c r="BS861" s="48"/>
      <c r="BT861" s="48"/>
      <c r="BU861" s="228"/>
      <c r="BV861" s="48"/>
      <c r="BW861" s="48"/>
      <c r="BX861" s="48"/>
      <c r="BY861" s="48"/>
      <c r="BZ861" s="48"/>
      <c r="CA861" s="48"/>
      <c r="CB861" s="48"/>
      <c r="CC861" s="48"/>
      <c r="CD861" s="48"/>
      <c r="CE861" s="48"/>
      <c r="CF861" s="48"/>
      <c r="CG861" s="48"/>
      <c r="CH861" s="48"/>
      <c r="CI861" s="98"/>
      <c r="CJ861" s="98"/>
      <c r="CK861" s="49">
        <f t="shared" si="260"/>
        <v>0.63999270844675993</v>
      </c>
      <c r="CL861" s="229"/>
      <c r="CM861" s="229"/>
      <c r="CN861" s="229"/>
      <c r="CO861" s="47" t="s">
        <v>2488</v>
      </c>
      <c r="CP861" s="47" t="s">
        <v>2489</v>
      </c>
      <c r="CQ861" s="224" t="s">
        <v>272</v>
      </c>
      <c r="CR861" s="224"/>
      <c r="CS861" s="230" t="s">
        <v>539</v>
      </c>
      <c r="CT861" s="230"/>
      <c r="CU861" s="230"/>
      <c r="CV861" s="335">
        <f t="shared" si="262"/>
        <v>17.132471814737265</v>
      </c>
      <c r="CW861" s="230">
        <f t="shared" si="259"/>
        <v>1</v>
      </c>
      <c r="CX861" s="336"/>
      <c r="CY861" s="230" t="s">
        <v>5921</v>
      </c>
    </row>
    <row r="862" spans="1:103" ht="11.25" customHeight="1" x14ac:dyDescent="0.2">
      <c r="A862" s="72">
        <v>860</v>
      </c>
      <c r="B862" s="224">
        <v>374</v>
      </c>
      <c r="C862" s="46" t="s">
        <v>7055</v>
      </c>
      <c r="D862" s="46"/>
      <c r="E862" s="114"/>
      <c r="F862" s="114" t="s">
        <v>3918</v>
      </c>
      <c r="G862" s="225">
        <v>94746</v>
      </c>
      <c r="H862" s="47" t="s">
        <v>3919</v>
      </c>
      <c r="I862" s="47" t="s">
        <v>8005</v>
      </c>
      <c r="J862" s="47" t="s">
        <v>3920</v>
      </c>
      <c r="K862" s="47" t="s">
        <v>426</v>
      </c>
      <c r="L862" s="47" t="s">
        <v>6033</v>
      </c>
      <c r="M862" s="47" t="s">
        <v>6082</v>
      </c>
      <c r="N862" s="47" t="s">
        <v>6082</v>
      </c>
      <c r="O862" s="47" t="s">
        <v>6083</v>
      </c>
      <c r="P862" s="53"/>
      <c r="Q862" s="53"/>
      <c r="R862" s="53"/>
      <c r="S862" s="53"/>
      <c r="T862" s="48">
        <v>200.62</v>
      </c>
      <c r="U862" s="98">
        <v>3.1402651779483599</v>
      </c>
      <c r="V862" s="98">
        <v>0.90170471538231478</v>
      </c>
      <c r="W862" s="98">
        <v>6.3095734448019254</v>
      </c>
      <c r="X862" s="98">
        <v>3.1402651779483599</v>
      </c>
      <c r="Y862" s="233">
        <v>2.74</v>
      </c>
      <c r="Z862" s="48">
        <v>2.52</v>
      </c>
      <c r="AA862" s="48">
        <v>3.25</v>
      </c>
      <c r="AB862" s="48">
        <v>2.57</v>
      </c>
      <c r="AC862" s="48">
        <v>0.86439999999999995</v>
      </c>
      <c r="AD862" s="48">
        <v>2.5499999999999998</v>
      </c>
      <c r="AE862" s="48">
        <v>2.4900000000000002</v>
      </c>
      <c r="AF862" s="48">
        <f t="shared" si="258"/>
        <v>3.25</v>
      </c>
      <c r="AG862" s="49">
        <v>2.29</v>
      </c>
      <c r="AH862" s="98">
        <v>1.37E-8</v>
      </c>
      <c r="AI862" s="98">
        <v>1.33E-9</v>
      </c>
      <c r="AJ862" s="483">
        <f t="shared" si="256"/>
        <v>-6.2518457591562449</v>
      </c>
      <c r="AK862" s="483">
        <f>LOG10(AI862*1000/(0.08206*298.15))</f>
        <v>-7.2647146853455657</v>
      </c>
      <c r="AL862" s="483">
        <f t="shared" si="255"/>
        <v>-7.2647146853455657</v>
      </c>
      <c r="AM862" s="483">
        <v>-9.7762999999999991</v>
      </c>
      <c r="AN862" s="226">
        <v>-8.1999999999999993</v>
      </c>
      <c r="AO862" s="484">
        <v>3.14</v>
      </c>
      <c r="AP862" s="484"/>
      <c r="AQ862" s="226" t="s">
        <v>6311</v>
      </c>
      <c r="AR862" s="226" t="s">
        <v>6311</v>
      </c>
      <c r="AS862" s="224" t="s">
        <v>6</v>
      </c>
      <c r="AT862" s="50" t="s">
        <v>266</v>
      </c>
      <c r="AU862" s="48">
        <v>8</v>
      </c>
      <c r="AV862" s="48">
        <v>144</v>
      </c>
      <c r="AW862" s="48">
        <v>120</v>
      </c>
      <c r="AX862" s="48">
        <v>26</v>
      </c>
      <c r="AY862" s="48" t="s">
        <v>267</v>
      </c>
      <c r="AZ862" s="48" t="s">
        <v>2253</v>
      </c>
      <c r="BA862" s="48">
        <v>2</v>
      </c>
      <c r="BB862" s="47" t="s">
        <v>2254</v>
      </c>
      <c r="BC862" s="47" t="s">
        <v>270</v>
      </c>
      <c r="BD862" s="47" t="s">
        <v>8374</v>
      </c>
      <c r="BE862" s="48" t="s">
        <v>1712</v>
      </c>
      <c r="BF862" s="48" t="s">
        <v>272</v>
      </c>
      <c r="BG862" s="48" t="s">
        <v>272</v>
      </c>
      <c r="BH862" s="48" t="s">
        <v>2255</v>
      </c>
      <c r="BI862" s="98">
        <v>9.9999999999999995E-7</v>
      </c>
      <c r="BJ862" s="98">
        <v>0.08</v>
      </c>
      <c r="BK862" s="48"/>
      <c r="BL862" s="98">
        <f t="shared" si="263"/>
        <v>0.28027734830834611</v>
      </c>
      <c r="BM862" s="48" t="s">
        <v>891</v>
      </c>
      <c r="BN862" s="233"/>
      <c r="BO862" s="233"/>
      <c r="BP862" s="233"/>
      <c r="BQ862" s="233"/>
      <c r="BR862" s="233"/>
      <c r="BS862" s="48"/>
      <c r="BT862" s="233"/>
      <c r="BU862" s="228"/>
      <c r="BV862" s="233"/>
      <c r="BW862" s="233"/>
      <c r="BX862" s="233"/>
      <c r="BY862" s="233"/>
      <c r="BZ862" s="233"/>
      <c r="CA862" s="233"/>
      <c r="CB862" s="233"/>
      <c r="CC862" s="48"/>
      <c r="CD862" s="48"/>
      <c r="CE862" s="48"/>
      <c r="CF862" s="48"/>
      <c r="CG862" s="233"/>
      <c r="CH862" s="48"/>
      <c r="CI862" s="98"/>
      <c r="CJ862" s="98"/>
      <c r="CK862" s="49">
        <f t="shared" si="260"/>
        <v>3.5034668538543263</v>
      </c>
      <c r="CL862" s="229"/>
      <c r="CM862" s="229"/>
      <c r="CN862" s="229"/>
      <c r="CO862" s="47" t="s">
        <v>892</v>
      </c>
      <c r="CP862" s="47" t="s">
        <v>893</v>
      </c>
      <c r="CQ862" s="224">
        <v>-0.33730651499816561</v>
      </c>
      <c r="CR862" s="224">
        <f>10^(CJ862-CQ862)</f>
        <v>2.1742351623529048</v>
      </c>
      <c r="CS862" s="230" t="s">
        <v>539</v>
      </c>
      <c r="CT862" s="230"/>
      <c r="CU862" s="230"/>
      <c r="CV862" s="335">
        <f t="shared" si="262"/>
        <v>39.253314724354496</v>
      </c>
      <c r="CW862" s="230">
        <f t="shared" si="259"/>
        <v>1</v>
      </c>
      <c r="CX862" s="336" t="s">
        <v>539</v>
      </c>
      <c r="CY862" s="230" t="s">
        <v>5921</v>
      </c>
    </row>
    <row r="863" spans="1:103" ht="11.25" customHeight="1" x14ac:dyDescent="0.2">
      <c r="A863" s="72">
        <v>861</v>
      </c>
      <c r="B863" s="224">
        <v>1399</v>
      </c>
      <c r="C863" s="46" t="s">
        <v>7056</v>
      </c>
      <c r="D863" s="46"/>
      <c r="E863" s="114"/>
      <c r="F863" s="114" t="s">
        <v>3918</v>
      </c>
      <c r="G863" s="225">
        <v>94746</v>
      </c>
      <c r="H863" s="47" t="s">
        <v>3919</v>
      </c>
      <c r="I863" s="47" t="s">
        <v>8005</v>
      </c>
      <c r="J863" s="47" t="s">
        <v>3920</v>
      </c>
      <c r="K863" s="47" t="s">
        <v>426</v>
      </c>
      <c r="L863" s="47" t="s">
        <v>6033</v>
      </c>
      <c r="M863" s="47" t="s">
        <v>6082</v>
      </c>
      <c r="N863" s="47" t="s">
        <v>6082</v>
      </c>
      <c r="O863" s="47" t="s">
        <v>6083</v>
      </c>
      <c r="P863" s="53"/>
      <c r="Q863" s="53"/>
      <c r="R863" s="53"/>
      <c r="S863" s="53"/>
      <c r="T863" s="48">
        <v>200.62</v>
      </c>
      <c r="U863" s="98">
        <v>3.1402651779483599</v>
      </c>
      <c r="V863" s="98">
        <v>0.90170471538231478</v>
      </c>
      <c r="W863" s="98">
        <v>6.3095734448019254</v>
      </c>
      <c r="X863" s="98">
        <v>3.1402651779483599</v>
      </c>
      <c r="Y863" s="233">
        <v>2.74</v>
      </c>
      <c r="Z863" s="48">
        <v>2.52</v>
      </c>
      <c r="AA863" s="48">
        <v>3.25</v>
      </c>
      <c r="AB863" s="48">
        <v>2.57</v>
      </c>
      <c r="AC863" s="48">
        <v>0.86439999999999995</v>
      </c>
      <c r="AD863" s="48">
        <v>2.5499999999999998</v>
      </c>
      <c r="AE863" s="48">
        <v>2.4900000000000002</v>
      </c>
      <c r="AF863" s="48">
        <f t="shared" si="258"/>
        <v>3.25</v>
      </c>
      <c r="AG863" s="49">
        <v>2.29</v>
      </c>
      <c r="AH863" s="98">
        <v>1.37E-8</v>
      </c>
      <c r="AI863" s="98">
        <v>1.33E-9</v>
      </c>
      <c r="AJ863" s="483">
        <f t="shared" si="256"/>
        <v>-6.2518457591562449</v>
      </c>
      <c r="AK863" s="483">
        <f>LOG10(AI863*1000/(0.08206*298.15))</f>
        <v>-7.2647146853455657</v>
      </c>
      <c r="AL863" s="483">
        <f t="shared" ref="AL863:AL926" si="264">IF(AK863=0,AJ863,AK863)</f>
        <v>-7.2647146853455657</v>
      </c>
      <c r="AM863" s="483">
        <v>-9.7762999999999991</v>
      </c>
      <c r="AN863" s="226">
        <v>-8.1999999999999993</v>
      </c>
      <c r="AO863" s="484">
        <v>3.14</v>
      </c>
      <c r="AP863" s="484"/>
      <c r="AQ863" s="48" t="s">
        <v>6311</v>
      </c>
      <c r="AR863" s="48" t="s">
        <v>6311</v>
      </c>
      <c r="AS863" s="227"/>
      <c r="AT863" s="50" t="s">
        <v>266</v>
      </c>
      <c r="AU863" s="48">
        <v>6</v>
      </c>
      <c r="AV863" s="48">
        <v>120</v>
      </c>
      <c r="AW863" s="48">
        <v>114</v>
      </c>
      <c r="AX863" s="48">
        <v>28</v>
      </c>
      <c r="AY863" s="48" t="s">
        <v>8728</v>
      </c>
      <c r="AZ863" s="48" t="s">
        <v>1563</v>
      </c>
      <c r="BA863" s="48">
        <v>32</v>
      </c>
      <c r="BB863" s="47" t="s">
        <v>2485</v>
      </c>
      <c r="BC863" s="47" t="s">
        <v>8726</v>
      </c>
      <c r="BD863" s="47" t="s">
        <v>8374</v>
      </c>
      <c r="BE863" s="48" t="s">
        <v>2449</v>
      </c>
      <c r="BF863" s="48" t="s">
        <v>272</v>
      </c>
      <c r="BG863" s="48" t="s">
        <v>272</v>
      </c>
      <c r="BH863" s="48" t="s">
        <v>2486</v>
      </c>
      <c r="BI863" s="98">
        <v>6.3999999999999997E-6</v>
      </c>
      <c r="BJ863" s="98">
        <v>6.4000000000000001E-2</v>
      </c>
      <c r="BK863" s="48"/>
      <c r="BL863" s="98">
        <f t="shared" si="263"/>
        <v>0.28027734830834611</v>
      </c>
      <c r="BM863" s="47" t="s">
        <v>2487</v>
      </c>
      <c r="BN863" s="48"/>
      <c r="BO863" s="48"/>
      <c r="BP863" s="48"/>
      <c r="BQ863" s="48"/>
      <c r="BR863" s="47" t="s">
        <v>2496</v>
      </c>
      <c r="BS863" s="48"/>
      <c r="BT863" s="48"/>
      <c r="BU863" s="228"/>
      <c r="BV863" s="48"/>
      <c r="BW863" s="48"/>
      <c r="BX863" s="48"/>
      <c r="BY863" s="48"/>
      <c r="BZ863" s="48"/>
      <c r="CA863" s="48"/>
      <c r="CB863" s="48"/>
      <c r="CC863" s="48"/>
      <c r="CD863" s="48"/>
      <c r="CE863" s="48"/>
      <c r="CF863" s="48"/>
      <c r="CG863" s="48"/>
      <c r="CH863" s="48"/>
      <c r="CI863" s="98"/>
      <c r="CJ863" s="98"/>
      <c r="CK863" s="49">
        <f t="shared" si="260"/>
        <v>4.3793335673179081</v>
      </c>
      <c r="CL863" s="229"/>
      <c r="CM863" s="229"/>
      <c r="CN863" s="229"/>
      <c r="CO863" s="47" t="s">
        <v>2488</v>
      </c>
      <c r="CP863" s="47" t="s">
        <v>2489</v>
      </c>
      <c r="CQ863" s="224">
        <v>-0.33730651499816561</v>
      </c>
      <c r="CR863" s="224">
        <f>10^(CJ863-CQ863)</f>
        <v>2.1742351623529048</v>
      </c>
      <c r="CS863" s="230" t="s">
        <v>539</v>
      </c>
      <c r="CT863" s="230"/>
      <c r="CU863" s="230"/>
      <c r="CV863" s="335">
        <f t="shared" si="262"/>
        <v>49.066643405443124</v>
      </c>
      <c r="CW863" s="230">
        <f t="shared" si="259"/>
        <v>1</v>
      </c>
      <c r="CX863" s="336"/>
      <c r="CY863" s="230" t="s">
        <v>5921</v>
      </c>
    </row>
    <row r="864" spans="1:103" ht="11.25" customHeight="1" x14ac:dyDescent="0.2">
      <c r="A864" s="72">
        <v>862</v>
      </c>
      <c r="B864" s="224">
        <v>212</v>
      </c>
      <c r="C864" s="46" t="s">
        <v>2209</v>
      </c>
      <c r="D864" s="46"/>
      <c r="E864" s="114"/>
      <c r="F864" s="114" t="s">
        <v>2210</v>
      </c>
      <c r="G864" s="225">
        <v>94757</v>
      </c>
      <c r="H864" s="47" t="s">
        <v>2211</v>
      </c>
      <c r="I864" s="47" t="s">
        <v>8006</v>
      </c>
      <c r="J864" s="47" t="s">
        <v>2212</v>
      </c>
      <c r="K864" s="47" t="s">
        <v>426</v>
      </c>
      <c r="L864" s="47" t="s">
        <v>6032</v>
      </c>
      <c r="M864" s="47" t="s">
        <v>6082</v>
      </c>
      <c r="N864" s="47" t="s">
        <v>6082</v>
      </c>
      <c r="O864" s="47" t="s">
        <v>6083</v>
      </c>
      <c r="P864" s="53"/>
      <c r="Q864" s="53"/>
      <c r="R864" s="53"/>
      <c r="S864" s="53"/>
      <c r="T864" s="48">
        <v>221.04</v>
      </c>
      <c r="U864" s="98">
        <v>3.0627940644227292</v>
      </c>
      <c r="V864" s="98">
        <v>1.5209916757148028</v>
      </c>
      <c r="W864" s="98">
        <v>3.2359365692962796</v>
      </c>
      <c r="X864" s="98">
        <v>3.0627940644227292</v>
      </c>
      <c r="Y864" s="233">
        <v>2.86</v>
      </c>
      <c r="Z864" s="48">
        <v>2.62</v>
      </c>
      <c r="AA864" s="48">
        <v>2.81</v>
      </c>
      <c r="AB864" s="48">
        <v>2.91</v>
      </c>
      <c r="AC864" s="48">
        <v>0.88449999999999995</v>
      </c>
      <c r="AD864" s="48">
        <v>2.84</v>
      </c>
      <c r="AE864" s="48">
        <v>2.58</v>
      </c>
      <c r="AF864" s="48">
        <f t="shared" si="258"/>
        <v>2.81</v>
      </c>
      <c r="AG864" s="49">
        <v>2.5099999999999998</v>
      </c>
      <c r="AH864" s="98">
        <v>9.2099999999999994E-9</v>
      </c>
      <c r="AI864" s="98">
        <v>3.5399999999999999E-8</v>
      </c>
      <c r="AJ864" s="483">
        <f t="shared" si="256"/>
        <v>-6.4243066961158029</v>
      </c>
      <c r="AK864" s="483">
        <f>LOG10(AI864*1000/(0.08206*298.15))</f>
        <v>-5.8395630642868639</v>
      </c>
      <c r="AL864" s="483">
        <f t="shared" si="264"/>
        <v>-5.8395630642868639</v>
      </c>
      <c r="AM864" s="483">
        <v>-9.8747099999999985</v>
      </c>
      <c r="AN864" s="226">
        <v>-7.63</v>
      </c>
      <c r="AO864" s="484">
        <v>2.98</v>
      </c>
      <c r="AP864" s="484"/>
      <c r="AQ864" s="226" t="s">
        <v>6311</v>
      </c>
      <c r="AR864" s="226" t="s">
        <v>6311</v>
      </c>
      <c r="AS864" s="224" t="s">
        <v>6</v>
      </c>
      <c r="AT864" s="50" t="s">
        <v>266</v>
      </c>
      <c r="AU864" s="48">
        <v>8</v>
      </c>
      <c r="AV864" s="48">
        <v>144</v>
      </c>
      <c r="AW864" s="48">
        <v>120</v>
      </c>
      <c r="AX864" s="48">
        <v>26</v>
      </c>
      <c r="AY864" s="48" t="s">
        <v>267</v>
      </c>
      <c r="AZ864" s="48" t="s">
        <v>2253</v>
      </c>
      <c r="BA864" s="48">
        <v>2</v>
      </c>
      <c r="BB864" s="47" t="s">
        <v>2254</v>
      </c>
      <c r="BC864" s="47" t="s">
        <v>270</v>
      </c>
      <c r="BD864" s="47" t="s">
        <v>8374</v>
      </c>
      <c r="BE864" s="48" t="s">
        <v>1712</v>
      </c>
      <c r="BF864" s="48" t="s">
        <v>272</v>
      </c>
      <c r="BG864" s="48" t="s">
        <v>272</v>
      </c>
      <c r="BH864" s="48" t="s">
        <v>2255</v>
      </c>
      <c r="BI864" s="98">
        <v>9.9999999999999995E-7</v>
      </c>
      <c r="BJ864" s="98">
        <v>0.08</v>
      </c>
      <c r="BK864" s="48"/>
      <c r="BL864" s="98">
        <f t="shared" si="263"/>
        <v>0.22791767185459777</v>
      </c>
      <c r="BM864" s="48" t="s">
        <v>891</v>
      </c>
      <c r="BN864" s="233"/>
      <c r="BO864" s="233"/>
      <c r="BP864" s="233"/>
      <c r="BQ864" s="233"/>
      <c r="BR864" s="233"/>
      <c r="BS864" s="48"/>
      <c r="BT864" s="233"/>
      <c r="BU864" s="228"/>
      <c r="BV864" s="233"/>
      <c r="BW864" s="233"/>
      <c r="BX864" s="233"/>
      <c r="BY864" s="233"/>
      <c r="BZ864" s="233"/>
      <c r="CA864" s="233"/>
      <c r="CB864" s="233"/>
      <c r="CC864" s="48"/>
      <c r="CD864" s="48"/>
      <c r="CE864" s="48"/>
      <c r="CF864" s="48"/>
      <c r="CG864" s="233"/>
      <c r="CH864" s="48"/>
      <c r="CI864" s="98"/>
      <c r="CJ864" s="98"/>
      <c r="CK864" s="49">
        <f t="shared" si="260"/>
        <v>2.848970898182472</v>
      </c>
      <c r="CL864" s="229"/>
      <c r="CM864" s="229">
        <v>-0.14035088925253017</v>
      </c>
      <c r="CN864" s="229">
        <f>BJ864/(10^CM864)</f>
        <v>0.11052000000000002</v>
      </c>
      <c r="CO864" s="47" t="s">
        <v>892</v>
      </c>
      <c r="CP864" s="47" t="s">
        <v>893</v>
      </c>
      <c r="CQ864" s="224">
        <v>0.13999412806422276</v>
      </c>
      <c r="CR864" s="224">
        <f>10^(CJ864-CQ864)</f>
        <v>0.72444575497307639</v>
      </c>
      <c r="CS864" s="230" t="s">
        <v>539</v>
      </c>
      <c r="CT864" s="230"/>
      <c r="CU864" s="230"/>
      <c r="CV864" s="335">
        <f t="shared" si="262"/>
        <v>38.284925805284111</v>
      </c>
      <c r="CW864" s="230">
        <f t="shared" si="259"/>
        <v>1</v>
      </c>
      <c r="CX864" s="336" t="s">
        <v>539</v>
      </c>
      <c r="CY864" s="230" t="s">
        <v>5921</v>
      </c>
    </row>
    <row r="865" spans="1:103" ht="11.25" customHeight="1" x14ac:dyDescent="0.2">
      <c r="A865" s="72">
        <v>863</v>
      </c>
      <c r="B865" s="224">
        <v>939</v>
      </c>
      <c r="C865" s="46" t="s">
        <v>7057</v>
      </c>
      <c r="D865" s="46"/>
      <c r="E865" s="114"/>
      <c r="F865" s="114" t="s">
        <v>2210</v>
      </c>
      <c r="G865" s="225">
        <v>94757</v>
      </c>
      <c r="H865" s="47" t="s">
        <v>2211</v>
      </c>
      <c r="I865" s="47" t="s">
        <v>8006</v>
      </c>
      <c r="J865" s="47" t="s">
        <v>2212</v>
      </c>
      <c r="K865" s="47" t="s">
        <v>426</v>
      </c>
      <c r="L865" s="47" t="s">
        <v>6032</v>
      </c>
      <c r="M865" s="47" t="s">
        <v>6082</v>
      </c>
      <c r="N865" s="47" t="s">
        <v>6082</v>
      </c>
      <c r="O865" s="47" t="s">
        <v>6083</v>
      </c>
      <c r="P865" s="53"/>
      <c r="Q865" s="53"/>
      <c r="R865" s="53"/>
      <c r="S865" s="53"/>
      <c r="T865" s="48">
        <v>221.04</v>
      </c>
      <c r="U865" s="98">
        <v>3.0627940644227292</v>
      </c>
      <c r="V865" s="98">
        <v>1.5209916757148028</v>
      </c>
      <c r="W865" s="98">
        <v>3.2359365692962796</v>
      </c>
      <c r="X865" s="98">
        <v>3.0627940644227292</v>
      </c>
      <c r="Y865" s="233">
        <v>2.86</v>
      </c>
      <c r="Z865" s="48">
        <v>2.62</v>
      </c>
      <c r="AA865" s="48">
        <v>2.81</v>
      </c>
      <c r="AB865" s="48">
        <v>2.91</v>
      </c>
      <c r="AC865" s="48">
        <v>0.88449999999999995</v>
      </c>
      <c r="AD865" s="48">
        <v>2.84</v>
      </c>
      <c r="AE865" s="48">
        <v>2.58</v>
      </c>
      <c r="AF865" s="48">
        <f t="shared" si="258"/>
        <v>2.81</v>
      </c>
      <c r="AG865" s="49">
        <v>2.5099999999999998</v>
      </c>
      <c r="AH865" s="98">
        <v>9.2099999999999994E-9</v>
      </c>
      <c r="AI865" s="98">
        <v>3.5399999999999999E-8</v>
      </c>
      <c r="AJ865" s="483">
        <f t="shared" ref="AJ865:AJ928" si="265">LOG10(AH865*1000/(0.08206*298.15))</f>
        <v>-6.4243066961158029</v>
      </c>
      <c r="AK865" s="483">
        <f>LOG10(AI865*1000/(0.08206*298.15))</f>
        <v>-5.8395630642868639</v>
      </c>
      <c r="AL865" s="483">
        <f t="shared" si="264"/>
        <v>-5.8395630642868639</v>
      </c>
      <c r="AM865" s="483">
        <v>-9.8747099999999985</v>
      </c>
      <c r="AN865" s="226">
        <v>-7.63</v>
      </c>
      <c r="AO865" s="484">
        <v>2.98</v>
      </c>
      <c r="AP865" s="484"/>
      <c r="AQ865" s="48" t="s">
        <v>6311</v>
      </c>
      <c r="AR865" s="48" t="s">
        <v>6311</v>
      </c>
      <c r="AS865" s="227"/>
      <c r="AT865" s="50" t="s">
        <v>266</v>
      </c>
      <c r="AU865" s="48">
        <v>6</v>
      </c>
      <c r="AV865" s="48">
        <v>120</v>
      </c>
      <c r="AW865" s="48">
        <v>114</v>
      </c>
      <c r="AX865" s="48">
        <v>28</v>
      </c>
      <c r="AY865" s="48" t="s">
        <v>8728</v>
      </c>
      <c r="AZ865" s="48" t="s">
        <v>1563</v>
      </c>
      <c r="BA865" s="48">
        <v>32</v>
      </c>
      <c r="BB865" s="47" t="s">
        <v>2485</v>
      </c>
      <c r="BC865" s="47" t="s">
        <v>8726</v>
      </c>
      <c r="BD865" s="47" t="s">
        <v>8374</v>
      </c>
      <c r="BE865" s="48" t="s">
        <v>2449</v>
      </c>
      <c r="BF865" s="48" t="s">
        <v>272</v>
      </c>
      <c r="BG865" s="48" t="s">
        <v>272</v>
      </c>
      <c r="BH865" s="48" t="s">
        <v>2486</v>
      </c>
      <c r="BI865" s="98">
        <v>6.3999999999999997E-6</v>
      </c>
      <c r="BJ865" s="98">
        <v>6.4000000000000001E-2</v>
      </c>
      <c r="BK865" s="48"/>
      <c r="BL865" s="98">
        <f t="shared" si="263"/>
        <v>0.22791767185459777</v>
      </c>
      <c r="BM865" s="47" t="s">
        <v>2487</v>
      </c>
      <c r="BN865" s="48"/>
      <c r="BO865" s="48"/>
      <c r="BP865" s="48"/>
      <c r="BQ865" s="48"/>
      <c r="BR865" s="47" t="s">
        <v>2496</v>
      </c>
      <c r="BS865" s="48"/>
      <c r="BT865" s="48"/>
      <c r="BU865" s="228">
        <v>6.3999999999999997E-6</v>
      </c>
      <c r="BV865" s="48"/>
      <c r="BW865" s="48"/>
      <c r="BX865" s="48"/>
      <c r="BY865" s="48"/>
      <c r="BZ865" s="48"/>
      <c r="CA865" s="48"/>
      <c r="CB865" s="48"/>
      <c r="CC865" s="48"/>
      <c r="CD865" s="48"/>
      <c r="CE865" s="48"/>
      <c r="CF865" s="48"/>
      <c r="CG865" s="48"/>
      <c r="CH865" s="48"/>
      <c r="CI865" s="98"/>
      <c r="CJ865" s="98"/>
      <c r="CK865" s="49">
        <f t="shared" si="260"/>
        <v>3.5612136227280899</v>
      </c>
      <c r="CL865" s="229"/>
      <c r="CM865" s="229">
        <v>-0.14035088925253017</v>
      </c>
      <c r="CN865" s="229">
        <f>BJ865/(10^CM865)</f>
        <v>8.8416000000000022E-2</v>
      </c>
      <c r="CO865" s="47" t="s">
        <v>2488</v>
      </c>
      <c r="CP865" s="47" t="s">
        <v>2489</v>
      </c>
      <c r="CQ865" s="224">
        <v>0.13999412806422276</v>
      </c>
      <c r="CR865" s="224">
        <f>10^(CJ865-CQ865)</f>
        <v>0.72444575497307639</v>
      </c>
      <c r="CS865" s="230" t="s">
        <v>539</v>
      </c>
      <c r="CT865" s="230"/>
      <c r="CU865" s="230"/>
      <c r="CV865" s="335">
        <f t="shared" si="262"/>
        <v>47.856157256605144</v>
      </c>
      <c r="CW865" s="230">
        <f t="shared" si="259"/>
        <v>1</v>
      </c>
      <c r="CX865" s="336"/>
      <c r="CY865" s="230" t="s">
        <v>5921</v>
      </c>
    </row>
    <row r="866" spans="1:103" ht="11.25" customHeight="1" x14ac:dyDescent="0.2">
      <c r="A866" s="72">
        <v>864</v>
      </c>
      <c r="B866" s="224">
        <v>980</v>
      </c>
      <c r="C866" s="46" t="s">
        <v>7058</v>
      </c>
      <c r="D866" s="46"/>
      <c r="E866" s="114"/>
      <c r="F866" s="114" t="s">
        <v>898</v>
      </c>
      <c r="G866" s="225">
        <v>94826</v>
      </c>
      <c r="H866" s="47" t="s">
        <v>899</v>
      </c>
      <c r="I866" s="47" t="s">
        <v>8007</v>
      </c>
      <c r="J866" s="47" t="s">
        <v>900</v>
      </c>
      <c r="K866" s="47" t="s">
        <v>426</v>
      </c>
      <c r="L866" s="47" t="s">
        <v>6032</v>
      </c>
      <c r="M866" s="47" t="s">
        <v>6082</v>
      </c>
      <c r="N866" s="47" t="s">
        <v>6082</v>
      </c>
      <c r="O866" s="47" t="s">
        <v>6083</v>
      </c>
      <c r="P866" s="53"/>
      <c r="Q866" s="53"/>
      <c r="R866" s="53"/>
      <c r="S866" s="53"/>
      <c r="T866" s="48">
        <v>249.09</v>
      </c>
      <c r="U866" s="98">
        <v>0.18467220683287164</v>
      </c>
      <c r="V866" s="98">
        <v>0.2306796740134088</v>
      </c>
      <c r="W866" s="98">
        <v>0.44668359215096265</v>
      </c>
      <c r="X866" s="98">
        <v>0.18467220683287164</v>
      </c>
      <c r="Y866" s="233">
        <v>4.01</v>
      </c>
      <c r="Z866" s="48">
        <v>3.6</v>
      </c>
      <c r="AA866" s="48">
        <v>3.53</v>
      </c>
      <c r="AB866" s="48">
        <v>3.33</v>
      </c>
      <c r="AC866" s="48">
        <v>0.87439999999999996</v>
      </c>
      <c r="AD866" s="48">
        <v>3.37</v>
      </c>
      <c r="AE866" s="48">
        <v>3.51</v>
      </c>
      <c r="AF866" s="48">
        <f t="shared" si="258"/>
        <v>3.53</v>
      </c>
      <c r="AG866" s="49">
        <v>3.1</v>
      </c>
      <c r="AH866" s="98">
        <v>2.2900000000000002E-9</v>
      </c>
      <c r="AI866" s="98"/>
      <c r="AJ866" s="483">
        <f t="shared" si="265"/>
        <v>-7.028730843972764</v>
      </c>
      <c r="AK866" s="483"/>
      <c r="AL866" s="483">
        <f t="shared" si="264"/>
        <v>-7.028730843972764</v>
      </c>
      <c r="AM866" s="483">
        <v>-10.113009999999999</v>
      </c>
      <c r="AN866" s="226">
        <v>-7.36</v>
      </c>
      <c r="AO866" s="484">
        <v>4.5599999999999996</v>
      </c>
      <c r="AP866" s="484"/>
      <c r="AQ866" s="48" t="s">
        <v>6311</v>
      </c>
      <c r="AR866" s="48" t="s">
        <v>6311</v>
      </c>
      <c r="AS866" s="227"/>
      <c r="AT866" s="50" t="s">
        <v>266</v>
      </c>
      <c r="AU866" s="48">
        <v>6</v>
      </c>
      <c r="AV866" s="48">
        <v>120</v>
      </c>
      <c r="AW866" s="48">
        <v>114</v>
      </c>
      <c r="AX866" s="48">
        <v>28</v>
      </c>
      <c r="AY866" s="48" t="s">
        <v>8728</v>
      </c>
      <c r="AZ866" s="48" t="s">
        <v>1563</v>
      </c>
      <c r="BA866" s="48">
        <v>32</v>
      </c>
      <c r="BB866" s="47" t="s">
        <v>2485</v>
      </c>
      <c r="BC866" s="47" t="s">
        <v>8726</v>
      </c>
      <c r="BD866" s="47" t="s">
        <v>8374</v>
      </c>
      <c r="BE866" s="48" t="s">
        <v>2449</v>
      </c>
      <c r="BF866" s="48" t="s">
        <v>272</v>
      </c>
      <c r="BG866" s="48" t="s">
        <v>272</v>
      </c>
      <c r="BH866" s="48" t="s">
        <v>2486</v>
      </c>
      <c r="BI866" s="98">
        <v>6.3999999999999997E-6</v>
      </c>
      <c r="BJ866" s="98">
        <v>6.4000000000000001E-2</v>
      </c>
      <c r="BK866" s="48"/>
      <c r="BL866" s="98">
        <f t="shared" si="263"/>
        <v>3.0035855063856854E-2</v>
      </c>
      <c r="BM866" s="47" t="s">
        <v>2487</v>
      </c>
      <c r="BN866" s="48"/>
      <c r="BO866" s="48"/>
      <c r="BP866" s="48"/>
      <c r="BQ866" s="48"/>
      <c r="BR866" s="47" t="s">
        <v>2496</v>
      </c>
      <c r="BS866" s="48"/>
      <c r="BT866" s="48"/>
      <c r="BU866" s="228">
        <v>6.496E-3</v>
      </c>
      <c r="BV866" s="48"/>
      <c r="BW866" s="48"/>
      <c r="BX866" s="48"/>
      <c r="BY866" s="48"/>
      <c r="BZ866" s="48"/>
      <c r="CA866" s="48"/>
      <c r="CB866" s="48"/>
      <c r="CC866" s="48"/>
      <c r="CD866" s="48"/>
      <c r="CE866" s="48"/>
      <c r="CF866" s="48"/>
      <c r="CG866" s="48"/>
      <c r="CH866" s="48"/>
      <c r="CI866" s="98"/>
      <c r="CJ866" s="98"/>
      <c r="CK866" s="49">
        <f t="shared" si="260"/>
        <v>0.46931023537276334</v>
      </c>
      <c r="CL866" s="229"/>
      <c r="CM866" s="229">
        <v>-1.6527093644059438</v>
      </c>
      <c r="CN866" s="229">
        <f>BJ866/(10^CM866)</f>
        <v>2.8766653246533598</v>
      </c>
      <c r="CO866" s="47" t="s">
        <v>2488</v>
      </c>
      <c r="CP866" s="47" t="s">
        <v>2489</v>
      </c>
      <c r="CQ866" s="224">
        <v>-1.4884100990322788</v>
      </c>
      <c r="CR866" s="224">
        <f>10^(CJ866-CQ866)</f>
        <v>30.790029076769073</v>
      </c>
      <c r="CS866" s="230" t="s">
        <v>539</v>
      </c>
      <c r="CT866" s="230"/>
      <c r="CU866" s="230"/>
      <c r="CV866" s="335">
        <f t="shared" si="262"/>
        <v>2.8855032317636193</v>
      </c>
      <c r="CW866" s="230">
        <f t="shared" si="259"/>
        <v>1</v>
      </c>
      <c r="CX866" s="336"/>
      <c r="CY866" s="230" t="s">
        <v>5921</v>
      </c>
    </row>
    <row r="867" spans="1:103" ht="11.25" customHeight="1" x14ac:dyDescent="0.2">
      <c r="A867" s="72">
        <v>865</v>
      </c>
      <c r="B867" s="224">
        <v>1366</v>
      </c>
      <c r="C867" s="46" t="s">
        <v>7059</v>
      </c>
      <c r="D867" s="46"/>
      <c r="E867" s="114"/>
      <c r="F867" s="114" t="s">
        <v>4218</v>
      </c>
      <c r="G867" s="225">
        <v>95147</v>
      </c>
      <c r="H867" s="47" t="s">
        <v>4219</v>
      </c>
      <c r="I867" s="47" t="s">
        <v>4219</v>
      </c>
      <c r="J867" s="47" t="s">
        <v>4220</v>
      </c>
      <c r="K867" s="47" t="s">
        <v>4221</v>
      </c>
      <c r="L867" s="47"/>
      <c r="M867" s="47"/>
      <c r="N867" s="47"/>
      <c r="O867" s="47"/>
      <c r="P867" s="53"/>
      <c r="Q867" s="53"/>
      <c r="R867" s="53"/>
      <c r="S867" s="53"/>
      <c r="T867" s="48">
        <v>119.12</v>
      </c>
      <c r="U867" s="98">
        <v>166.21893888515783</v>
      </c>
      <c r="V867" s="98">
        <v>50.008394895903287</v>
      </c>
      <c r="W867" s="98">
        <v>154.88166189124809</v>
      </c>
      <c r="X867" s="98">
        <v>166.21893888515783</v>
      </c>
      <c r="Y867" s="233">
        <v>4.97</v>
      </c>
      <c r="Z867" s="48">
        <v>1.17</v>
      </c>
      <c r="AA867" s="48">
        <v>1.44</v>
      </c>
      <c r="AB867" s="48">
        <v>1.61</v>
      </c>
      <c r="AC867" s="48">
        <v>0.86890000000000001</v>
      </c>
      <c r="AD867" s="48">
        <v>1.54</v>
      </c>
      <c r="AE867" s="48">
        <v>1.34</v>
      </c>
      <c r="AF867" s="48">
        <f t="shared" si="258"/>
        <v>1.44</v>
      </c>
      <c r="AG867" s="49">
        <v>1.31</v>
      </c>
      <c r="AH867" s="98">
        <v>1.4700000000000001E-7</v>
      </c>
      <c r="AI867" s="98"/>
      <c r="AJ867" s="483">
        <f t="shared" si="265"/>
        <v>-5.221248991564476</v>
      </c>
      <c r="AK867" s="483"/>
      <c r="AL867" s="483">
        <f t="shared" si="264"/>
        <v>-5.221248991564476</v>
      </c>
      <c r="AM867" s="483">
        <v>-9.7054899999999993</v>
      </c>
      <c r="AN867" s="226">
        <v>-4.1500000000000004</v>
      </c>
      <c r="AO867" s="484">
        <v>8.3800000000000008</v>
      </c>
      <c r="AP867" s="484">
        <v>1.17</v>
      </c>
      <c r="AQ867" s="48" t="s">
        <v>6311</v>
      </c>
      <c r="AR867" s="48" t="s">
        <v>6311</v>
      </c>
      <c r="AS867" s="227"/>
      <c r="AT867" s="50" t="s">
        <v>266</v>
      </c>
      <c r="AU867" s="48">
        <v>6</v>
      </c>
      <c r="AV867" s="48">
        <v>120</v>
      </c>
      <c r="AW867" s="48">
        <v>114</v>
      </c>
      <c r="AX867" s="48">
        <v>28</v>
      </c>
      <c r="AY867" s="48" t="s">
        <v>8728</v>
      </c>
      <c r="AZ867" s="48" t="s">
        <v>1563</v>
      </c>
      <c r="BA867" s="48">
        <v>32</v>
      </c>
      <c r="BB867" s="47" t="s">
        <v>2485</v>
      </c>
      <c r="BC867" s="47" t="s">
        <v>8726</v>
      </c>
      <c r="BD867" s="47" t="s">
        <v>8374</v>
      </c>
      <c r="BE867" s="48" t="s">
        <v>2449</v>
      </c>
      <c r="BF867" s="48" t="s">
        <v>272</v>
      </c>
      <c r="BG867" s="48" t="s">
        <v>272</v>
      </c>
      <c r="BH867" s="48" t="s">
        <v>2486</v>
      </c>
      <c r="BI867" s="98">
        <v>6.3999999999999997E-6</v>
      </c>
      <c r="BJ867" s="98">
        <v>6.4000000000000001E-2</v>
      </c>
      <c r="BK867" s="48"/>
      <c r="BL867" s="98">
        <f t="shared" si="263"/>
        <v>4.5711239739827185</v>
      </c>
      <c r="BM867" s="47" t="s">
        <v>2487</v>
      </c>
      <c r="BN867" s="48"/>
      <c r="BO867" s="48"/>
      <c r="BP867" s="48"/>
      <c r="BQ867" s="48"/>
      <c r="BR867" s="47" t="s">
        <v>2496</v>
      </c>
      <c r="BS867" s="48"/>
      <c r="BT867" s="48"/>
      <c r="BU867" s="228"/>
      <c r="BV867" s="48"/>
      <c r="BW867" s="48"/>
      <c r="BX867" s="48"/>
      <c r="BY867" s="48"/>
      <c r="BZ867" s="48"/>
      <c r="CA867" s="48"/>
      <c r="CB867" s="48"/>
      <c r="CC867" s="48"/>
      <c r="CD867" s="48"/>
      <c r="CE867" s="48"/>
      <c r="CF867" s="48"/>
      <c r="CG867" s="48"/>
      <c r="CH867" s="48"/>
      <c r="CI867" s="98"/>
      <c r="CJ867" s="98"/>
      <c r="CK867" s="49">
        <f t="shared" si="260"/>
        <v>71.423812093479981</v>
      </c>
      <c r="CL867" s="229"/>
      <c r="CM867" s="229"/>
      <c r="CN867" s="229"/>
      <c r="CO867" s="47" t="s">
        <v>2488</v>
      </c>
      <c r="CP867" s="47" t="s">
        <v>2489</v>
      </c>
      <c r="CQ867" s="224" t="s">
        <v>272</v>
      </c>
      <c r="CR867" s="224"/>
      <c r="CS867" s="230" t="s">
        <v>539</v>
      </c>
      <c r="CT867" s="230"/>
      <c r="CU867" s="230"/>
      <c r="CV867" s="335">
        <f t="shared" si="262"/>
        <v>2597.1709200805908</v>
      </c>
      <c r="CW867" s="230">
        <f t="shared" si="259"/>
        <v>1</v>
      </c>
      <c r="CX867" s="336"/>
      <c r="CY867" s="230" t="s">
        <v>6351</v>
      </c>
    </row>
    <row r="868" spans="1:103" ht="11.25" customHeight="1" x14ac:dyDescent="0.2">
      <c r="A868" s="72">
        <v>866</v>
      </c>
      <c r="B868" s="224">
        <v>1401</v>
      </c>
      <c r="C868" s="46" t="s">
        <v>7060</v>
      </c>
      <c r="D868" s="46"/>
      <c r="E868" s="114"/>
      <c r="F868" s="114" t="s">
        <v>4316</v>
      </c>
      <c r="G868" s="225">
        <v>95487</v>
      </c>
      <c r="H868" s="47" t="s">
        <v>4317</v>
      </c>
      <c r="I868" s="47" t="s">
        <v>4317</v>
      </c>
      <c r="J868" s="47" t="s">
        <v>4318</v>
      </c>
      <c r="K868" s="47" t="s">
        <v>349</v>
      </c>
      <c r="L868" s="47" t="s">
        <v>5527</v>
      </c>
      <c r="M868" s="47" t="s">
        <v>8492</v>
      </c>
      <c r="N868" s="47"/>
      <c r="O868" s="47"/>
      <c r="P868" s="53" t="s">
        <v>6184</v>
      </c>
      <c r="Q868" s="53" t="s">
        <v>6179</v>
      </c>
      <c r="R868" s="53" t="s">
        <v>6185</v>
      </c>
      <c r="S868" s="53" t="s">
        <v>6176</v>
      </c>
      <c r="T868" s="48">
        <v>108.14</v>
      </c>
      <c r="U868" s="98">
        <v>239.50434621786573</v>
      </c>
      <c r="V868" s="98">
        <v>83.835768448307746</v>
      </c>
      <c r="W868" s="98">
        <v>234.42288153199218</v>
      </c>
      <c r="X868" s="98">
        <v>239.50434621786573</v>
      </c>
      <c r="Y868" s="233">
        <v>5.47</v>
      </c>
      <c r="Z868" s="48">
        <v>2.06</v>
      </c>
      <c r="AA868" s="48">
        <v>1.95</v>
      </c>
      <c r="AB868" s="48">
        <v>2.13</v>
      </c>
      <c r="AC868" s="48">
        <v>0.92190000000000005</v>
      </c>
      <c r="AD868" s="48">
        <v>2.09</v>
      </c>
      <c r="AE868" s="48">
        <v>1.94</v>
      </c>
      <c r="AF868" s="48">
        <f t="shared" si="258"/>
        <v>1.95</v>
      </c>
      <c r="AG868" s="49">
        <v>1.93</v>
      </c>
      <c r="AH868" s="98">
        <v>6.1900000000000002E-7</v>
      </c>
      <c r="AI868" s="98">
        <v>1.1999999999999999E-6</v>
      </c>
      <c r="AJ868" s="483">
        <f t="shared" si="265"/>
        <v>-4.5968756772925339</v>
      </c>
      <c r="AK868" s="483">
        <f t="shared" ref="AK868:AK875" si="266">LOG10(AI868*1000/(0.08206*298.15))</f>
        <v>-4.3093850802650273</v>
      </c>
      <c r="AL868" s="483">
        <f t="shared" si="264"/>
        <v>-4.3093850802650273</v>
      </c>
      <c r="AM868" s="483">
        <v>-6.4610799999999999</v>
      </c>
      <c r="AN868" s="226">
        <v>-4.17</v>
      </c>
      <c r="AO868" s="484">
        <v>10.32</v>
      </c>
      <c r="AP868" s="484"/>
      <c r="AQ868" s="48" t="s">
        <v>6311</v>
      </c>
      <c r="AR868" s="48" t="s">
        <v>6311</v>
      </c>
      <c r="AS868" s="227"/>
      <c r="AT868" s="50" t="s">
        <v>266</v>
      </c>
      <c r="AU868" s="48">
        <v>6</v>
      </c>
      <c r="AV868" s="48">
        <v>120</v>
      </c>
      <c r="AW868" s="48">
        <v>114</v>
      </c>
      <c r="AX868" s="48">
        <v>28</v>
      </c>
      <c r="AY868" s="48" t="s">
        <v>8728</v>
      </c>
      <c r="AZ868" s="48" t="s">
        <v>1563</v>
      </c>
      <c r="BA868" s="48">
        <v>32</v>
      </c>
      <c r="BB868" s="47" t="s">
        <v>2485</v>
      </c>
      <c r="BC868" s="47" t="s">
        <v>8726</v>
      </c>
      <c r="BD868" s="47" t="s">
        <v>8374</v>
      </c>
      <c r="BE868" s="48" t="s">
        <v>2449</v>
      </c>
      <c r="BF868" s="48" t="s">
        <v>272</v>
      </c>
      <c r="BG868" s="48" t="s">
        <v>272</v>
      </c>
      <c r="BH868" s="48" t="s">
        <v>2486</v>
      </c>
      <c r="BI868" s="98">
        <v>6.3999999999999997E-6</v>
      </c>
      <c r="BJ868" s="98">
        <v>6.4000000000000001E-2</v>
      </c>
      <c r="BK868" s="48"/>
      <c r="BL868" s="98">
        <f t="shared" si="263"/>
        <v>0.72562794551174925</v>
      </c>
      <c r="BM868" s="47" t="s">
        <v>2487</v>
      </c>
      <c r="BN868" s="48"/>
      <c r="BO868" s="48"/>
      <c r="BP868" s="48"/>
      <c r="BQ868" s="48"/>
      <c r="BR868" s="47" t="s">
        <v>2496</v>
      </c>
      <c r="BS868" s="48"/>
      <c r="BT868" s="48"/>
      <c r="BU868" s="228"/>
      <c r="BV868" s="48"/>
      <c r="BW868" s="48"/>
      <c r="BX868" s="48"/>
      <c r="BY868" s="48"/>
      <c r="BZ868" s="48"/>
      <c r="CA868" s="48"/>
      <c r="CB868" s="48"/>
      <c r="CC868" s="48"/>
      <c r="CD868" s="48"/>
      <c r="CE868" s="48"/>
      <c r="CF868" s="48"/>
      <c r="CG868" s="48"/>
      <c r="CH868" s="48"/>
      <c r="CI868" s="98"/>
      <c r="CJ868" s="98"/>
      <c r="CK868" s="49">
        <f t="shared" si="260"/>
        <v>11.337936648621081</v>
      </c>
      <c r="CL868" s="229"/>
      <c r="CM868" s="229"/>
      <c r="CN868" s="229"/>
      <c r="CO868" s="47" t="s">
        <v>2488</v>
      </c>
      <c r="CP868" s="47" t="s">
        <v>2489</v>
      </c>
      <c r="CQ868" s="224">
        <v>-0.75234694093238208</v>
      </c>
      <c r="CR868" s="224">
        <f>10^(CJ868-CQ868)</f>
        <v>5.653884612531499</v>
      </c>
      <c r="CS868" s="230" t="s">
        <v>539</v>
      </c>
      <c r="CT868" s="230"/>
      <c r="CU868" s="230"/>
      <c r="CV868" s="335">
        <f t="shared" si="262"/>
        <v>3742.2554096541521</v>
      </c>
      <c r="CW868" s="230">
        <f t="shared" si="259"/>
        <v>1</v>
      </c>
      <c r="CX868" s="336"/>
      <c r="CY868" s="230" t="s">
        <v>6351</v>
      </c>
    </row>
    <row r="869" spans="1:103" ht="11.25" customHeight="1" x14ac:dyDescent="0.2">
      <c r="A869" s="72">
        <v>867</v>
      </c>
      <c r="B869" s="224">
        <v>1394</v>
      </c>
      <c r="C869" s="46" t="s">
        <v>7061</v>
      </c>
      <c r="D869" s="46"/>
      <c r="E869" s="114"/>
      <c r="F869" s="114" t="s">
        <v>4298</v>
      </c>
      <c r="G869" s="225">
        <v>95498</v>
      </c>
      <c r="H869" s="47" t="s">
        <v>4299</v>
      </c>
      <c r="I869" s="47" t="s">
        <v>8008</v>
      </c>
      <c r="J869" s="47" t="s">
        <v>4300</v>
      </c>
      <c r="K869" s="47" t="s">
        <v>426</v>
      </c>
      <c r="L869" s="47" t="s">
        <v>5527</v>
      </c>
      <c r="M869" s="47" t="s">
        <v>5960</v>
      </c>
      <c r="N869" s="47"/>
      <c r="O869" s="47"/>
      <c r="P869" s="53" t="s">
        <v>6183</v>
      </c>
      <c r="Q869" s="53" t="s">
        <v>6182</v>
      </c>
      <c r="R869" s="53" t="s">
        <v>6185</v>
      </c>
      <c r="S869" s="53" t="s">
        <v>6182</v>
      </c>
      <c r="T869" s="48">
        <v>126.58</v>
      </c>
      <c r="U869" s="98">
        <v>2.9546531837573076</v>
      </c>
      <c r="V869" s="98">
        <v>0.89903618265128771</v>
      </c>
      <c r="W869" s="98">
        <v>0.3019951720402016</v>
      </c>
      <c r="X869" s="98">
        <v>2.9546531837573076</v>
      </c>
      <c r="Y869" s="233">
        <v>7</v>
      </c>
      <c r="Z869" s="48">
        <v>3.18</v>
      </c>
      <c r="AA869" s="48">
        <v>3.42</v>
      </c>
      <c r="AB869" s="48">
        <v>3.26</v>
      </c>
      <c r="AC869" s="48">
        <v>0.95009999999999994</v>
      </c>
      <c r="AD869" s="48">
        <v>3.27</v>
      </c>
      <c r="AE869" s="48">
        <v>3.27</v>
      </c>
      <c r="AF869" s="48">
        <f t="shared" si="258"/>
        <v>3.42</v>
      </c>
      <c r="AG869" s="49">
        <v>2.95</v>
      </c>
      <c r="AH869" s="98">
        <v>4.4099999999999999E-3</v>
      </c>
      <c r="AI869" s="98">
        <v>3.5699999999999998E-3</v>
      </c>
      <c r="AJ869" s="483">
        <f t="shared" si="265"/>
        <v>-0.74412773684481326</v>
      </c>
      <c r="AK869" s="483">
        <f t="shared" si="266"/>
        <v>-0.83589811020045857</v>
      </c>
      <c r="AL869" s="483">
        <f t="shared" si="264"/>
        <v>-0.83589811020045857</v>
      </c>
      <c r="AM869" s="483">
        <v>-2.6709099999999992</v>
      </c>
      <c r="AN869" s="226">
        <v>-0.745</v>
      </c>
      <c r="AO869" s="484"/>
      <c r="AP869" s="484"/>
      <c r="AQ869" s="48" t="s">
        <v>6311</v>
      </c>
      <c r="AR869" s="48" t="s">
        <v>6311</v>
      </c>
      <c r="AS869" s="227"/>
      <c r="AT869" s="50" t="s">
        <v>266</v>
      </c>
      <c r="AU869" s="48">
        <v>6</v>
      </c>
      <c r="AV869" s="48">
        <v>120</v>
      </c>
      <c r="AW869" s="48">
        <v>114</v>
      </c>
      <c r="AX869" s="48">
        <v>28</v>
      </c>
      <c r="AY869" s="48" t="s">
        <v>8728</v>
      </c>
      <c r="AZ869" s="48" t="s">
        <v>1563</v>
      </c>
      <c r="BA869" s="48">
        <v>32</v>
      </c>
      <c r="BB869" s="47" t="s">
        <v>2485</v>
      </c>
      <c r="BC869" s="47" t="s">
        <v>8726</v>
      </c>
      <c r="BD869" s="47" t="s">
        <v>8374</v>
      </c>
      <c r="BE869" s="48" t="s">
        <v>2449</v>
      </c>
      <c r="BF869" s="48" t="s">
        <v>272</v>
      </c>
      <c r="BG869" s="48" t="s">
        <v>272</v>
      </c>
      <c r="BH869" s="48" t="s">
        <v>2486</v>
      </c>
      <c r="BI869" s="98">
        <v>6.3999999999999997E-6</v>
      </c>
      <c r="BJ869" s="98">
        <v>6.4000000000000001E-2</v>
      </c>
      <c r="BK869" s="48"/>
      <c r="BL869" s="98">
        <f t="shared" si="263"/>
        <v>7.1588291858005582E-2</v>
      </c>
      <c r="BM869" s="47" t="s">
        <v>2487</v>
      </c>
      <c r="BN869" s="48"/>
      <c r="BO869" s="48"/>
      <c r="BP869" s="48"/>
      <c r="BQ869" s="48"/>
      <c r="BR869" s="47" t="s">
        <v>2496</v>
      </c>
      <c r="BS869" s="48"/>
      <c r="BT869" s="48"/>
      <c r="BU869" s="228"/>
      <c r="BV869" s="48"/>
      <c r="BW869" s="48"/>
      <c r="BX869" s="48"/>
      <c r="BY869" s="48"/>
      <c r="BZ869" s="48"/>
      <c r="CA869" s="48"/>
      <c r="CB869" s="48"/>
      <c r="CC869" s="48"/>
      <c r="CD869" s="48"/>
      <c r="CE869" s="48"/>
      <c r="CF869" s="48"/>
      <c r="CG869" s="48"/>
      <c r="CH869" s="48"/>
      <c r="CI869" s="98"/>
      <c r="CJ869" s="98"/>
      <c r="CK869" s="49">
        <f t="shared" si="260"/>
        <v>1.1185670602813371</v>
      </c>
      <c r="CL869" s="229"/>
      <c r="CM869" s="229"/>
      <c r="CN869" s="229"/>
      <c r="CO869" s="47" t="s">
        <v>2488</v>
      </c>
      <c r="CP869" s="47" t="s">
        <v>2489</v>
      </c>
      <c r="CQ869" s="224">
        <v>-1.2302088185902349</v>
      </c>
      <c r="CR869" s="224">
        <f>10^(CJ869-CQ869)</f>
        <v>16.990604026845645</v>
      </c>
      <c r="CS869" s="230" t="s">
        <v>539</v>
      </c>
      <c r="CT869" s="230"/>
      <c r="CU869" s="230"/>
      <c r="CV869" s="335">
        <f t="shared" si="262"/>
        <v>46.16645599620793</v>
      </c>
      <c r="CW869" s="230">
        <f t="shared" si="259"/>
        <v>1</v>
      </c>
      <c r="CX869" s="336"/>
      <c r="CY869" s="230" t="s">
        <v>6351</v>
      </c>
    </row>
    <row r="870" spans="1:103" ht="11.25" customHeight="1" x14ac:dyDescent="0.2">
      <c r="A870" s="72">
        <v>868</v>
      </c>
      <c r="B870" s="224">
        <v>1361</v>
      </c>
      <c r="C870" s="46" t="s">
        <v>7062</v>
      </c>
      <c r="D870" s="46"/>
      <c r="E870" s="114"/>
      <c r="F870" s="114" t="s">
        <v>1823</v>
      </c>
      <c r="G870" s="225">
        <v>95501</v>
      </c>
      <c r="H870" s="47" t="s">
        <v>1824</v>
      </c>
      <c r="I870" s="47" t="s">
        <v>8009</v>
      </c>
      <c r="J870" s="47" t="s">
        <v>1825</v>
      </c>
      <c r="K870" s="47" t="s">
        <v>426</v>
      </c>
      <c r="L870" s="47" t="s">
        <v>5527</v>
      </c>
      <c r="M870" s="47" t="s">
        <v>6082</v>
      </c>
      <c r="N870" s="47"/>
      <c r="O870" s="47" t="s">
        <v>6083</v>
      </c>
      <c r="P870" s="53" t="s">
        <v>6183</v>
      </c>
      <c r="Q870" s="53" t="s">
        <v>6176</v>
      </c>
      <c r="R870" s="53" t="s">
        <v>6185</v>
      </c>
      <c r="S870" s="53" t="s">
        <v>6182</v>
      </c>
      <c r="T870" s="48">
        <v>147</v>
      </c>
      <c r="U870" s="98">
        <v>0.54421768707482998</v>
      </c>
      <c r="V870" s="98">
        <v>0.62605442176870751</v>
      </c>
      <c r="W870" s="98">
        <v>0.14791083881682063</v>
      </c>
      <c r="X870" s="98">
        <v>0.54421768707482998</v>
      </c>
      <c r="Y870" s="233">
        <v>7</v>
      </c>
      <c r="Z870" s="48">
        <v>3.28</v>
      </c>
      <c r="AA870" s="48">
        <v>3.43</v>
      </c>
      <c r="AB870" s="48">
        <v>3.25</v>
      </c>
      <c r="AC870" s="48">
        <v>0.92110000000000003</v>
      </c>
      <c r="AD870" s="48">
        <v>3.26</v>
      </c>
      <c r="AE870" s="48">
        <v>3.28</v>
      </c>
      <c r="AF870" s="48">
        <f t="shared" si="258"/>
        <v>3.43</v>
      </c>
      <c r="AG870" s="49">
        <v>3.16</v>
      </c>
      <c r="AH870" s="98">
        <v>2.96E-3</v>
      </c>
      <c r="AI870" s="98">
        <v>1.92E-3</v>
      </c>
      <c r="AJ870" s="483">
        <f t="shared" si="265"/>
        <v>-0.91727461525371323</v>
      </c>
      <c r="AK870" s="483">
        <f t="shared" si="266"/>
        <v>-1.1052650976091021</v>
      </c>
      <c r="AL870" s="483">
        <f t="shared" si="264"/>
        <v>-1.1052650976091021</v>
      </c>
      <c r="AM870" s="483">
        <v>-3.1465000000000001</v>
      </c>
      <c r="AN870" s="226">
        <v>-0.98599999999999999</v>
      </c>
      <c r="AO870" s="484"/>
      <c r="AP870" s="484"/>
      <c r="AQ870" s="48" t="s">
        <v>6311</v>
      </c>
      <c r="AR870" s="48" t="s">
        <v>6311</v>
      </c>
      <c r="AS870" s="227"/>
      <c r="AT870" s="50" t="s">
        <v>266</v>
      </c>
      <c r="AU870" s="48">
        <v>6</v>
      </c>
      <c r="AV870" s="48">
        <v>120</v>
      </c>
      <c r="AW870" s="48">
        <v>114</v>
      </c>
      <c r="AX870" s="48">
        <v>28</v>
      </c>
      <c r="AY870" s="48" t="s">
        <v>8728</v>
      </c>
      <c r="AZ870" s="48" t="s">
        <v>1563</v>
      </c>
      <c r="BA870" s="48">
        <v>32</v>
      </c>
      <c r="BB870" s="47" t="s">
        <v>2485</v>
      </c>
      <c r="BC870" s="47" t="s">
        <v>8726</v>
      </c>
      <c r="BD870" s="47" t="s">
        <v>8374</v>
      </c>
      <c r="BE870" s="48" t="s">
        <v>2449</v>
      </c>
      <c r="BF870" s="48" t="s">
        <v>272</v>
      </c>
      <c r="BG870" s="48" t="s">
        <v>272</v>
      </c>
      <c r="BH870" s="48" t="s">
        <v>2486</v>
      </c>
      <c r="BI870" s="98">
        <v>6.3999999999999997E-6</v>
      </c>
      <c r="BJ870" s="98">
        <v>6.4000000000000001E-2</v>
      </c>
      <c r="BK870" s="48"/>
      <c r="BL870" s="98">
        <f t="shared" si="263"/>
        <v>5.8214611030121002E-2</v>
      </c>
      <c r="BM870" s="47" t="s">
        <v>2487</v>
      </c>
      <c r="BN870" s="48"/>
      <c r="BO870" s="48"/>
      <c r="BP870" s="48"/>
      <c r="BQ870" s="48"/>
      <c r="BR870" s="47" t="s">
        <v>2496</v>
      </c>
      <c r="BS870" s="48"/>
      <c r="BT870" s="48"/>
      <c r="BU870" s="228"/>
      <c r="BV870" s="48"/>
      <c r="BW870" s="48"/>
      <c r="BX870" s="48"/>
      <c r="BY870" s="48"/>
      <c r="BZ870" s="48"/>
      <c r="CA870" s="48"/>
      <c r="CB870" s="48"/>
      <c r="CC870" s="48"/>
      <c r="CD870" s="48"/>
      <c r="CE870" s="48"/>
      <c r="CF870" s="48"/>
      <c r="CG870" s="48"/>
      <c r="CH870" s="48"/>
      <c r="CI870" s="98"/>
      <c r="CJ870" s="98"/>
      <c r="CK870" s="49">
        <f t="shared" si="260"/>
        <v>0.9096032973456406</v>
      </c>
      <c r="CL870" s="229"/>
      <c r="CM870" s="229"/>
      <c r="CN870" s="229"/>
      <c r="CO870" s="47" t="s">
        <v>2488</v>
      </c>
      <c r="CP870" s="47" t="s">
        <v>2489</v>
      </c>
      <c r="CQ870" s="224">
        <v>-1.3363530039015805</v>
      </c>
      <c r="CR870" s="224">
        <f>10^(CJ870-CQ870)</f>
        <v>21.694667776405964</v>
      </c>
      <c r="CS870" s="230" t="s">
        <v>539</v>
      </c>
      <c r="CT870" s="230"/>
      <c r="CU870" s="230"/>
      <c r="CV870" s="335">
        <f t="shared" si="262"/>
        <v>8.5034013605442187</v>
      </c>
      <c r="CW870" s="230">
        <f t="shared" si="259"/>
        <v>1</v>
      </c>
      <c r="CX870" s="336"/>
      <c r="CY870" s="230" t="s">
        <v>6351</v>
      </c>
    </row>
    <row r="871" spans="1:103" ht="11.25" customHeight="1" x14ac:dyDescent="0.2">
      <c r="A871" s="72">
        <v>869</v>
      </c>
      <c r="B871" s="224">
        <v>956</v>
      </c>
      <c r="C871" s="46" t="s">
        <v>7063</v>
      </c>
      <c r="D871" s="46"/>
      <c r="E871" s="114"/>
      <c r="F871" s="114" t="s">
        <v>2727</v>
      </c>
      <c r="G871" s="225">
        <v>95534</v>
      </c>
      <c r="H871" s="47" t="s">
        <v>2728</v>
      </c>
      <c r="I871" s="47" t="s">
        <v>2728</v>
      </c>
      <c r="J871" s="47" t="s">
        <v>2729</v>
      </c>
      <c r="K871" s="47" t="s">
        <v>2695</v>
      </c>
      <c r="L871" s="47"/>
      <c r="M871" s="47"/>
      <c r="N871" s="47"/>
      <c r="O871" s="47"/>
      <c r="P871" s="53" t="s">
        <v>6184</v>
      </c>
      <c r="Q871" s="53" t="s">
        <v>6176</v>
      </c>
      <c r="R871" s="53" t="s">
        <v>6185</v>
      </c>
      <c r="S871" s="53" t="s">
        <v>6179</v>
      </c>
      <c r="T871" s="48">
        <v>107.15</v>
      </c>
      <c r="U871" s="98">
        <v>154.92300513299114</v>
      </c>
      <c r="V871" s="98">
        <v>77.38684087727485</v>
      </c>
      <c r="W871" s="98">
        <v>120.22644346174128</v>
      </c>
      <c r="X871" s="98">
        <v>154.92300513299114</v>
      </c>
      <c r="Y871" s="233">
        <v>8.77</v>
      </c>
      <c r="Z871" s="48">
        <v>1.62</v>
      </c>
      <c r="AA871" s="48">
        <v>1.32</v>
      </c>
      <c r="AB871" s="48">
        <v>1.49</v>
      </c>
      <c r="AC871" s="48">
        <v>0.94979999999999998</v>
      </c>
      <c r="AD871" s="48">
        <v>1.47</v>
      </c>
      <c r="AE871" s="48">
        <v>1.4</v>
      </c>
      <c r="AF871" s="48">
        <f t="shared" si="258"/>
        <v>1.32</v>
      </c>
      <c r="AG871" s="49">
        <v>1.58</v>
      </c>
      <c r="AH871" s="98">
        <v>2.0999999999999998E-6</v>
      </c>
      <c r="AI871" s="98">
        <v>1.9800000000000001E-6</v>
      </c>
      <c r="AJ871" s="483">
        <f t="shared" si="265"/>
        <v>-4.0663470315787329</v>
      </c>
      <c r="AK871" s="483">
        <f t="shared" si="266"/>
        <v>-4.0919011360511206</v>
      </c>
      <c r="AL871" s="483">
        <f t="shared" si="264"/>
        <v>-4.0919011360511206</v>
      </c>
      <c r="AM871" s="483">
        <v>-6.2000900000000003</v>
      </c>
      <c r="AN871" s="226">
        <v>-3.95</v>
      </c>
      <c r="AO871" s="484"/>
      <c r="AP871" s="484">
        <v>4.45</v>
      </c>
      <c r="AQ871" s="48" t="s">
        <v>6311</v>
      </c>
      <c r="AR871" s="48" t="s">
        <v>6311</v>
      </c>
      <c r="AS871" s="227"/>
      <c r="AT871" s="50" t="s">
        <v>266</v>
      </c>
      <c r="AU871" s="48">
        <v>6</v>
      </c>
      <c r="AV871" s="48">
        <v>120</v>
      </c>
      <c r="AW871" s="48">
        <v>114</v>
      </c>
      <c r="AX871" s="48">
        <v>28</v>
      </c>
      <c r="AY871" s="48" t="s">
        <v>8728</v>
      </c>
      <c r="AZ871" s="48" t="s">
        <v>1563</v>
      </c>
      <c r="BA871" s="48">
        <v>32</v>
      </c>
      <c r="BB871" s="47" t="s">
        <v>2485</v>
      </c>
      <c r="BC871" s="47" t="s">
        <v>8726</v>
      </c>
      <c r="BD871" s="47" t="s">
        <v>8374</v>
      </c>
      <c r="BE871" s="48" t="s">
        <v>2449</v>
      </c>
      <c r="BF871" s="48" t="s">
        <v>272</v>
      </c>
      <c r="BG871" s="48" t="s">
        <v>272</v>
      </c>
      <c r="BH871" s="48" t="s">
        <v>2486</v>
      </c>
      <c r="BI871" s="98">
        <v>6.3999999999999997E-6</v>
      </c>
      <c r="BJ871" s="98">
        <v>6.4000000000000001E-2</v>
      </c>
      <c r="BK871" s="48"/>
      <c r="BL871" s="98">
        <f t="shared" si="263"/>
        <v>1.8025113165778388</v>
      </c>
      <c r="BM871" s="47" t="s">
        <v>2487</v>
      </c>
      <c r="BN871" s="48"/>
      <c r="BO871" s="48"/>
      <c r="BP871" s="48"/>
      <c r="BQ871" s="48"/>
      <c r="BR871" s="47" t="s">
        <v>2496</v>
      </c>
      <c r="BS871" s="48"/>
      <c r="BT871" s="48"/>
      <c r="BU871" s="228">
        <v>6.4000000000000005E-4</v>
      </c>
      <c r="BV871" s="48"/>
      <c r="BW871" s="48"/>
      <c r="BX871" s="48"/>
      <c r="BY871" s="48"/>
      <c r="BZ871" s="48"/>
      <c r="CA871" s="48"/>
      <c r="CB871" s="48"/>
      <c r="CC871" s="48"/>
      <c r="CD871" s="48"/>
      <c r="CE871" s="48"/>
      <c r="CF871" s="48"/>
      <c r="CG871" s="48"/>
      <c r="CH871" s="48"/>
      <c r="CI871" s="98"/>
      <c r="CJ871" s="98"/>
      <c r="CK871" s="49">
        <f t="shared" si="260"/>
        <v>28.164239321528729</v>
      </c>
      <c r="CL871" s="229"/>
      <c r="CM871" s="229"/>
      <c r="CN871" s="229"/>
      <c r="CO871" s="47" t="s">
        <v>2488</v>
      </c>
      <c r="CP871" s="47" t="s">
        <v>2489</v>
      </c>
      <c r="CQ871" s="224">
        <v>-0.11990162978377937</v>
      </c>
      <c r="CR871" s="224">
        <f>10^(CJ871-CQ871)</f>
        <v>1.3179581795817961</v>
      </c>
      <c r="CS871" s="230" t="s">
        <v>539</v>
      </c>
      <c r="CT871" s="230"/>
      <c r="CU871" s="230"/>
      <c r="CV871" s="335">
        <f t="shared" si="262"/>
        <v>2420.6719552029863</v>
      </c>
      <c r="CW871" s="230">
        <f t="shared" si="259"/>
        <v>1</v>
      </c>
      <c r="CX871" s="336"/>
      <c r="CY871" s="230" t="s">
        <v>6351</v>
      </c>
    </row>
    <row r="872" spans="1:103" ht="11.25" customHeight="1" x14ac:dyDescent="0.2">
      <c r="A872" s="72">
        <v>870</v>
      </c>
      <c r="B872" s="224">
        <v>1365</v>
      </c>
      <c r="C872" s="46" t="s">
        <v>7064</v>
      </c>
      <c r="D872" s="46"/>
      <c r="E872" s="114"/>
      <c r="F872" s="114" t="s">
        <v>4215</v>
      </c>
      <c r="G872" s="225">
        <v>95545</v>
      </c>
      <c r="H872" s="47" t="s">
        <v>4216</v>
      </c>
      <c r="I872" s="47" t="s">
        <v>4216</v>
      </c>
      <c r="J872" s="47" t="s">
        <v>4217</v>
      </c>
      <c r="K872" s="47" t="s">
        <v>2667</v>
      </c>
      <c r="L872" s="47"/>
      <c r="M872" s="47"/>
      <c r="N872" s="47"/>
      <c r="O872" s="47"/>
      <c r="P872" s="53"/>
      <c r="Q872" s="53"/>
      <c r="R872" s="53"/>
      <c r="S872" s="53"/>
      <c r="T872" s="48">
        <v>108.14</v>
      </c>
      <c r="U872" s="98">
        <v>373.58979101165158</v>
      </c>
      <c r="V872" s="98">
        <v>759.66339929720732</v>
      </c>
      <c r="W872" s="98">
        <v>478.63009232263829</v>
      </c>
      <c r="X872" s="98">
        <v>373.58979101165158</v>
      </c>
      <c r="Y872" s="233">
        <v>9.07</v>
      </c>
      <c r="Z872" s="48">
        <v>0.16</v>
      </c>
      <c r="AA872" s="48">
        <v>0.15</v>
      </c>
      <c r="AB872" s="48">
        <v>0.49</v>
      </c>
      <c r="AC872" s="48">
        <v>0.80269999999999997</v>
      </c>
      <c r="AD872" s="48">
        <v>0.35</v>
      </c>
      <c r="AE872" s="48">
        <v>0.05</v>
      </c>
      <c r="AF872" s="48">
        <f t="shared" si="258"/>
        <v>0.15</v>
      </c>
      <c r="AG872" s="49">
        <v>0.42</v>
      </c>
      <c r="AH872" s="98">
        <v>6.7299999999999995E-10</v>
      </c>
      <c r="AI872" s="98">
        <v>7.2E-9</v>
      </c>
      <c r="AJ872" s="483">
        <f t="shared" si="265"/>
        <v>-7.5605512620886746</v>
      </c>
      <c r="AK872" s="483">
        <f t="shared" si="266"/>
        <v>-6.5312338298813835</v>
      </c>
      <c r="AL872" s="483">
        <f t="shared" si="264"/>
        <v>-6.5312338298813835</v>
      </c>
      <c r="AM872" s="483">
        <v>-9.9733099999999979</v>
      </c>
      <c r="AN872" s="226">
        <v>-5.6</v>
      </c>
      <c r="AO872" s="484"/>
      <c r="AP872" s="484">
        <v>4.46</v>
      </c>
      <c r="AQ872" s="48" t="s">
        <v>6311</v>
      </c>
      <c r="AR872" s="48" t="s">
        <v>6311</v>
      </c>
      <c r="AS872" s="227"/>
      <c r="AT872" s="50" t="s">
        <v>266</v>
      </c>
      <c r="AU872" s="48">
        <v>6</v>
      </c>
      <c r="AV872" s="48">
        <v>120</v>
      </c>
      <c r="AW872" s="48">
        <v>114</v>
      </c>
      <c r="AX872" s="48">
        <v>28</v>
      </c>
      <c r="AY872" s="48" t="s">
        <v>8728</v>
      </c>
      <c r="AZ872" s="48" t="s">
        <v>1563</v>
      </c>
      <c r="BA872" s="48">
        <v>32</v>
      </c>
      <c r="BB872" s="47" t="s">
        <v>2485</v>
      </c>
      <c r="BC872" s="47" t="s">
        <v>8726</v>
      </c>
      <c r="BD872" s="47" t="s">
        <v>8374</v>
      </c>
      <c r="BE872" s="48" t="s">
        <v>2449</v>
      </c>
      <c r="BF872" s="48" t="s">
        <v>272</v>
      </c>
      <c r="BG872" s="48" t="s">
        <v>272</v>
      </c>
      <c r="BH872" s="48" t="s">
        <v>2486</v>
      </c>
      <c r="BI872" s="98">
        <v>6.3999999999999997E-6</v>
      </c>
      <c r="BJ872" s="98">
        <v>6.4000000000000001E-2</v>
      </c>
      <c r="BK872" s="48"/>
      <c r="BL872" s="98">
        <f t="shared" si="263"/>
        <v>36.906596779165021</v>
      </c>
      <c r="BM872" s="47" t="s">
        <v>2487</v>
      </c>
      <c r="BN872" s="48"/>
      <c r="BO872" s="48"/>
      <c r="BP872" s="48"/>
      <c r="BQ872" s="48"/>
      <c r="BR872" s="47" t="s">
        <v>2496</v>
      </c>
      <c r="BS872" s="48"/>
      <c r="BT872" s="48"/>
      <c r="BU872" s="228"/>
      <c r="BV872" s="48"/>
      <c r="BW872" s="48"/>
      <c r="BX872" s="48"/>
      <c r="BY872" s="48"/>
      <c r="BZ872" s="48"/>
      <c r="CA872" s="48"/>
      <c r="CB872" s="48"/>
      <c r="CC872" s="48"/>
      <c r="CD872" s="48"/>
      <c r="CE872" s="48"/>
      <c r="CF872" s="48"/>
      <c r="CG872" s="48"/>
      <c r="CH872" s="48"/>
      <c r="CI872" s="98"/>
      <c r="CJ872" s="98"/>
      <c r="CK872" s="49">
        <f t="shared" si="260"/>
        <v>576.66557467445341</v>
      </c>
      <c r="CL872" s="229"/>
      <c r="CM872" s="229"/>
      <c r="CN872" s="229"/>
      <c r="CO872" s="47" t="s">
        <v>2488</v>
      </c>
      <c r="CP872" s="47" t="s">
        <v>2489</v>
      </c>
      <c r="CQ872" s="224" t="s">
        <v>272</v>
      </c>
      <c r="CR872" s="224"/>
      <c r="CS872" s="230" t="s">
        <v>539</v>
      </c>
      <c r="CT872" s="230"/>
      <c r="CU872" s="230"/>
      <c r="CV872" s="335">
        <f t="shared" si="262"/>
        <v>5837.3404845570558</v>
      </c>
      <c r="CW872" s="230">
        <f t="shared" si="259"/>
        <v>1</v>
      </c>
      <c r="CX872" s="336"/>
      <c r="CY872" s="230" t="s">
        <v>6351</v>
      </c>
    </row>
    <row r="873" spans="1:103" ht="11.25" customHeight="1" x14ac:dyDescent="0.2">
      <c r="A873" s="72">
        <v>871</v>
      </c>
      <c r="B873" s="224">
        <v>1393</v>
      </c>
      <c r="C873" s="46" t="s">
        <v>7065</v>
      </c>
      <c r="D873" s="46"/>
      <c r="E873" s="114"/>
      <c r="F873" s="114" t="s">
        <v>4295</v>
      </c>
      <c r="G873" s="225">
        <v>95578</v>
      </c>
      <c r="H873" s="47" t="s">
        <v>4296</v>
      </c>
      <c r="I873" s="47" t="s">
        <v>8010</v>
      </c>
      <c r="J873" s="47" t="s">
        <v>4297</v>
      </c>
      <c r="K873" s="47" t="s">
        <v>349</v>
      </c>
      <c r="L873" s="47" t="s">
        <v>5527</v>
      </c>
      <c r="M873" s="47" t="s">
        <v>6082</v>
      </c>
      <c r="N873" s="47"/>
      <c r="O873" s="47" t="s">
        <v>6083</v>
      </c>
      <c r="P873" s="53" t="s">
        <v>6184</v>
      </c>
      <c r="Q873" s="53" t="s">
        <v>6176</v>
      </c>
      <c r="R873" s="53" t="s">
        <v>6185</v>
      </c>
      <c r="S873" s="53" t="s">
        <v>6176</v>
      </c>
      <c r="T873" s="48">
        <v>128.56</v>
      </c>
      <c r="U873" s="98">
        <v>221.6863721219664</v>
      </c>
      <c r="V873" s="98">
        <v>40.175793403858123</v>
      </c>
      <c r="W873" s="98">
        <v>22.38721138568339</v>
      </c>
      <c r="X873" s="98">
        <v>221.6863721219664</v>
      </c>
      <c r="Y873" s="233">
        <v>5.07</v>
      </c>
      <c r="Z873" s="48">
        <v>2.16</v>
      </c>
      <c r="AA873" s="48">
        <v>2.15</v>
      </c>
      <c r="AB873" s="48">
        <v>2.3199999999999998</v>
      </c>
      <c r="AC873" s="48">
        <v>0.85680000000000001</v>
      </c>
      <c r="AD873" s="48">
        <v>2.2400000000000002</v>
      </c>
      <c r="AE873" s="48">
        <v>2.04</v>
      </c>
      <c r="AF873" s="48">
        <f t="shared" si="258"/>
        <v>2.15</v>
      </c>
      <c r="AG873" s="49">
        <v>2.14</v>
      </c>
      <c r="AH873" s="98">
        <v>4.15E-7</v>
      </c>
      <c r="AI873" s="98">
        <v>1.1199999999999999E-5</v>
      </c>
      <c r="AJ873" s="483">
        <f t="shared" si="265"/>
        <v>-4.770518229600559</v>
      </c>
      <c r="AK873" s="483">
        <f t="shared" si="266"/>
        <v>-3.33934830364247</v>
      </c>
      <c r="AL873" s="483">
        <f t="shared" si="264"/>
        <v>-3.33934830364247</v>
      </c>
      <c r="AM873" s="483">
        <v>-5.4185800000000004</v>
      </c>
      <c r="AN873" s="226">
        <v>-3.03</v>
      </c>
      <c r="AO873" s="484">
        <v>8.5</v>
      </c>
      <c r="AP873" s="484"/>
      <c r="AQ873" s="48" t="s">
        <v>6311</v>
      </c>
      <c r="AR873" s="48" t="s">
        <v>6311</v>
      </c>
      <c r="AS873" s="227"/>
      <c r="AT873" s="50" t="s">
        <v>266</v>
      </c>
      <c r="AU873" s="48">
        <v>6</v>
      </c>
      <c r="AV873" s="48">
        <v>120</v>
      </c>
      <c r="AW873" s="48">
        <v>114</v>
      </c>
      <c r="AX873" s="48">
        <v>28</v>
      </c>
      <c r="AY873" s="48" t="s">
        <v>8728</v>
      </c>
      <c r="AZ873" s="48" t="s">
        <v>1563</v>
      </c>
      <c r="BA873" s="48">
        <v>32</v>
      </c>
      <c r="BB873" s="47" t="s">
        <v>2485</v>
      </c>
      <c r="BC873" s="47" t="s">
        <v>8726</v>
      </c>
      <c r="BD873" s="47" t="s">
        <v>8374</v>
      </c>
      <c r="BE873" s="48" t="s">
        <v>2449</v>
      </c>
      <c r="BF873" s="48" t="s">
        <v>272</v>
      </c>
      <c r="BG873" s="48" t="s">
        <v>272</v>
      </c>
      <c r="BH873" s="48" t="s">
        <v>2486</v>
      </c>
      <c r="BI873" s="98">
        <v>6.3999999999999997E-6</v>
      </c>
      <c r="BJ873" s="98">
        <v>6.4000000000000001E-2</v>
      </c>
      <c r="BK873" s="48"/>
      <c r="BL873" s="98">
        <f t="shared" si="263"/>
        <v>0.59007063172200003</v>
      </c>
      <c r="BM873" s="47" t="s">
        <v>2487</v>
      </c>
      <c r="BN873" s="48"/>
      <c r="BO873" s="48"/>
      <c r="BP873" s="48"/>
      <c r="BQ873" s="48"/>
      <c r="BR873" s="47" t="s">
        <v>2496</v>
      </c>
      <c r="BS873" s="48"/>
      <c r="BT873" s="48"/>
      <c r="BU873" s="228"/>
      <c r="BV873" s="48"/>
      <c r="BW873" s="48"/>
      <c r="BX873" s="48"/>
      <c r="BY873" s="48"/>
      <c r="BZ873" s="48"/>
      <c r="CA873" s="48"/>
      <c r="CB873" s="48"/>
      <c r="CC873" s="48"/>
      <c r="CD873" s="48"/>
      <c r="CE873" s="48"/>
      <c r="CF873" s="48"/>
      <c r="CG873" s="48"/>
      <c r="CH873" s="48"/>
      <c r="CI873" s="98"/>
      <c r="CJ873" s="98"/>
      <c r="CK873" s="49">
        <f t="shared" si="260"/>
        <v>9.2198536206562505</v>
      </c>
      <c r="CL873" s="229"/>
      <c r="CM873" s="229"/>
      <c r="CN873" s="229"/>
      <c r="CO873" s="47" t="s">
        <v>2488</v>
      </c>
      <c r="CP873" s="47" t="s">
        <v>2489</v>
      </c>
      <c r="CQ873" s="224">
        <v>-1.0861093628952905</v>
      </c>
      <c r="CR873" s="224">
        <f>10^(CJ873-CQ873)</f>
        <v>12.192966003352003</v>
      </c>
      <c r="CS873" s="230" t="s">
        <v>539</v>
      </c>
      <c r="CT873" s="230"/>
      <c r="CU873" s="230"/>
      <c r="CV873" s="335">
        <f t="shared" si="262"/>
        <v>3463.8495644057248</v>
      </c>
      <c r="CW873" s="230">
        <f t="shared" si="259"/>
        <v>1</v>
      </c>
      <c r="CX873" s="336"/>
      <c r="CY873" s="230" t="s">
        <v>6351</v>
      </c>
    </row>
    <row r="874" spans="1:103" ht="11.25" customHeight="1" x14ac:dyDescent="0.2">
      <c r="A874" s="72">
        <v>872</v>
      </c>
      <c r="B874" s="224">
        <v>897</v>
      </c>
      <c r="C874" s="46" t="s">
        <v>7066</v>
      </c>
      <c r="D874" s="46"/>
      <c r="E874" s="114"/>
      <c r="F874" s="114" t="s">
        <v>2555</v>
      </c>
      <c r="G874" s="225">
        <v>95636</v>
      </c>
      <c r="H874" s="47" t="s">
        <v>2556</v>
      </c>
      <c r="I874" s="47" t="s">
        <v>2556</v>
      </c>
      <c r="J874" s="47" t="s">
        <v>2557</v>
      </c>
      <c r="K874" s="47" t="s">
        <v>426</v>
      </c>
      <c r="L874" s="47" t="s">
        <v>5492</v>
      </c>
      <c r="M874" s="47" t="s">
        <v>5960</v>
      </c>
      <c r="N874" s="47"/>
      <c r="O874" s="47"/>
      <c r="P874" s="53" t="s">
        <v>6183</v>
      </c>
      <c r="Q874" s="53" t="s">
        <v>6182</v>
      </c>
      <c r="R874" s="53" t="s">
        <v>6185</v>
      </c>
      <c r="S874" s="53" t="s">
        <v>6176</v>
      </c>
      <c r="T874" s="48">
        <v>120.19</v>
      </c>
      <c r="U874" s="98">
        <v>0.47424910558282718</v>
      </c>
      <c r="V874" s="98">
        <v>0.66220151426907403</v>
      </c>
      <c r="W874" s="98">
        <v>0.35481338923357514</v>
      </c>
      <c r="X874" s="98">
        <v>0.47424910558282718</v>
      </c>
      <c r="Y874" s="233">
        <v>7</v>
      </c>
      <c r="Z874" s="48">
        <v>3.63</v>
      </c>
      <c r="AA874" s="48">
        <v>3.63</v>
      </c>
      <c r="AB874" s="48">
        <v>3.9</v>
      </c>
      <c r="AC874" s="48">
        <v>0.88629999999999998</v>
      </c>
      <c r="AD874" s="48">
        <v>3.83</v>
      </c>
      <c r="AE874" s="48">
        <v>3.6</v>
      </c>
      <c r="AF874" s="48">
        <f t="shared" si="258"/>
        <v>3.63</v>
      </c>
      <c r="AG874" s="49">
        <v>3.19</v>
      </c>
      <c r="AH874" s="98">
        <v>7.2399999999999999E-3</v>
      </c>
      <c r="AI874" s="98">
        <v>6.1599999999999997E-3</v>
      </c>
      <c r="AJ874" s="483">
        <f t="shared" si="265"/>
        <v>-0.52882776011550481</v>
      </c>
      <c r="AK874" s="483">
        <f t="shared" si="266"/>
        <v>-0.59898561414822638</v>
      </c>
      <c r="AL874" s="483">
        <f t="shared" si="264"/>
        <v>-0.59898561414822638</v>
      </c>
      <c r="AM874" s="483">
        <v>-2.1817100000000003</v>
      </c>
      <c r="AN874" s="226">
        <v>-0.71599999999999997</v>
      </c>
      <c r="AO874" s="484"/>
      <c r="AP874" s="484"/>
      <c r="AQ874" s="48" t="s">
        <v>6311</v>
      </c>
      <c r="AR874" s="48" t="s">
        <v>6311</v>
      </c>
      <c r="AS874" s="227"/>
      <c r="AT874" s="50" t="s">
        <v>266</v>
      </c>
      <c r="AU874" s="48">
        <v>6</v>
      </c>
      <c r="AV874" s="48">
        <v>120</v>
      </c>
      <c r="AW874" s="48">
        <v>114</v>
      </c>
      <c r="AX874" s="48">
        <v>28</v>
      </c>
      <c r="AY874" s="48" t="s">
        <v>8728</v>
      </c>
      <c r="AZ874" s="48" t="s">
        <v>1563</v>
      </c>
      <c r="BA874" s="48">
        <v>32</v>
      </c>
      <c r="BB874" s="47" t="s">
        <v>2485</v>
      </c>
      <c r="BC874" s="47" t="s">
        <v>8726</v>
      </c>
      <c r="BD874" s="47" t="s">
        <v>8374</v>
      </c>
      <c r="BE874" s="48" t="s">
        <v>2449</v>
      </c>
      <c r="BF874" s="48" t="s">
        <v>272</v>
      </c>
      <c r="BG874" s="48" t="s">
        <v>272</v>
      </c>
      <c r="BH874" s="48" t="s">
        <v>2486</v>
      </c>
      <c r="BI874" s="98">
        <v>6.3999999999999997E-6</v>
      </c>
      <c r="BJ874" s="98">
        <v>6.4000000000000001E-2</v>
      </c>
      <c r="BK874" s="48"/>
      <c r="BL874" s="98">
        <f t="shared" si="263"/>
        <v>2.8229097907424248E-2</v>
      </c>
      <c r="BM874" s="47" t="s">
        <v>2487</v>
      </c>
      <c r="BN874" s="48"/>
      <c r="BO874" s="48"/>
      <c r="BP874" s="48"/>
      <c r="BQ874" s="48"/>
      <c r="BR874" s="47" t="s">
        <v>2496</v>
      </c>
      <c r="BS874" s="48"/>
      <c r="BT874" s="48"/>
      <c r="BU874" s="228">
        <v>6.6600000000000006E-5</v>
      </c>
      <c r="BV874" s="48"/>
      <c r="BW874" s="48"/>
      <c r="BX874" s="48"/>
      <c r="BY874" s="48"/>
      <c r="BZ874" s="48"/>
      <c r="CA874" s="48"/>
      <c r="CB874" s="48"/>
      <c r="CC874" s="48"/>
      <c r="CD874" s="48"/>
      <c r="CE874" s="48"/>
      <c r="CF874" s="48"/>
      <c r="CG874" s="48"/>
      <c r="CH874" s="48"/>
      <c r="CI874" s="98"/>
      <c r="CJ874" s="98"/>
      <c r="CK874" s="49">
        <f t="shared" si="260"/>
        <v>0.44107965480350386</v>
      </c>
      <c r="CL874" s="229"/>
      <c r="CM874" s="229"/>
      <c r="CN874" s="229"/>
      <c r="CO874" s="47" t="s">
        <v>2488</v>
      </c>
      <c r="CP874" s="47" t="s">
        <v>2489</v>
      </c>
      <c r="CQ874" s="224">
        <v>-1.191128824378211</v>
      </c>
      <c r="CR874" s="224">
        <f>10^(CJ874-CQ874)</f>
        <v>15.528475614117527</v>
      </c>
      <c r="CS874" s="230" t="s">
        <v>539</v>
      </c>
      <c r="CT874" s="230"/>
      <c r="CU874" s="230"/>
      <c r="CV874" s="335">
        <f t="shared" si="262"/>
        <v>7.4101422747316743</v>
      </c>
      <c r="CW874" s="230">
        <f t="shared" si="259"/>
        <v>1</v>
      </c>
      <c r="CX874" s="336"/>
      <c r="CY874" s="230" t="s">
        <v>6351</v>
      </c>
    </row>
    <row r="875" spans="1:103" ht="11.25" customHeight="1" x14ac:dyDescent="0.2">
      <c r="A875" s="72">
        <v>873</v>
      </c>
      <c r="B875" s="224">
        <v>1442</v>
      </c>
      <c r="C875" s="46" t="s">
        <v>7067</v>
      </c>
      <c r="D875" s="46"/>
      <c r="E875" s="114"/>
      <c r="F875" s="114" t="s">
        <v>4435</v>
      </c>
      <c r="G875" s="225">
        <v>95658</v>
      </c>
      <c r="H875" s="47" t="s">
        <v>4436</v>
      </c>
      <c r="I875" s="47" t="s">
        <v>4436</v>
      </c>
      <c r="J875" s="47" t="s">
        <v>4437</v>
      </c>
      <c r="K875" s="47" t="s">
        <v>349</v>
      </c>
      <c r="L875" s="47" t="s">
        <v>5527</v>
      </c>
      <c r="M875" s="47" t="s">
        <v>5960</v>
      </c>
      <c r="N875" s="47"/>
      <c r="O875" s="47"/>
      <c r="P875" s="53" t="s">
        <v>6184</v>
      </c>
      <c r="Q875" s="53" t="s">
        <v>6182</v>
      </c>
      <c r="R875" s="53" t="s">
        <v>6185</v>
      </c>
      <c r="S875" s="53" t="s">
        <v>6176</v>
      </c>
      <c r="T875" s="48">
        <v>122.16</v>
      </c>
      <c r="U875" s="98">
        <v>38.965291421087102</v>
      </c>
      <c r="V875" s="98">
        <v>38.212180746561884</v>
      </c>
      <c r="W875" s="98">
        <v>56.234132519034887</v>
      </c>
      <c r="X875" s="98">
        <v>38.965291421087102</v>
      </c>
      <c r="Y875" s="233">
        <v>5.81</v>
      </c>
      <c r="Z875" s="48">
        <v>2.61</v>
      </c>
      <c r="AA875" s="48">
        <v>2.23</v>
      </c>
      <c r="AB875" s="48">
        <v>2.35</v>
      </c>
      <c r="AC875" s="48">
        <v>0.97360000000000002</v>
      </c>
      <c r="AD875" s="48">
        <v>2.36</v>
      </c>
      <c r="AE875" s="48">
        <v>2.4</v>
      </c>
      <c r="AF875" s="48">
        <f t="shared" si="258"/>
        <v>2.23</v>
      </c>
      <c r="AG875" s="49">
        <v>2.39</v>
      </c>
      <c r="AH875" s="98">
        <v>6.8299999999999996E-7</v>
      </c>
      <c r="AI875" s="98">
        <v>4.15E-7</v>
      </c>
      <c r="AJ875" s="483">
        <f t="shared" si="265"/>
        <v>-4.5541456226311192</v>
      </c>
      <c r="AK875" s="483">
        <f t="shared" si="266"/>
        <v>-4.770518229600559</v>
      </c>
      <c r="AL875" s="483">
        <f t="shared" si="264"/>
        <v>-4.770518229600559</v>
      </c>
      <c r="AM875" s="483">
        <v>-6.4130500000000001</v>
      </c>
      <c r="AN875" s="226">
        <v>-4.83</v>
      </c>
      <c r="AO875" s="484">
        <v>10.38</v>
      </c>
      <c r="AP875" s="484"/>
      <c r="AQ875" s="48" t="s">
        <v>6311</v>
      </c>
      <c r="AR875" s="48" t="s">
        <v>6311</v>
      </c>
      <c r="AS875" s="227"/>
      <c r="AT875" s="50" t="s">
        <v>266</v>
      </c>
      <c r="AU875" s="48">
        <v>6</v>
      </c>
      <c r="AV875" s="48">
        <v>120</v>
      </c>
      <c r="AW875" s="48">
        <v>114</v>
      </c>
      <c r="AX875" s="48">
        <v>28</v>
      </c>
      <c r="AY875" s="48" t="s">
        <v>8728</v>
      </c>
      <c r="AZ875" s="48" t="s">
        <v>1563</v>
      </c>
      <c r="BA875" s="48">
        <v>32</v>
      </c>
      <c r="BB875" s="47" t="s">
        <v>2485</v>
      </c>
      <c r="BC875" s="47" t="s">
        <v>8726</v>
      </c>
      <c r="BD875" s="47" t="s">
        <v>8374</v>
      </c>
      <c r="BE875" s="48" t="s">
        <v>2449</v>
      </c>
      <c r="BF875" s="48" t="s">
        <v>272</v>
      </c>
      <c r="BG875" s="48" t="s">
        <v>272</v>
      </c>
      <c r="BH875" s="48" t="s">
        <v>2486</v>
      </c>
      <c r="BI875" s="98">
        <v>6.3999999999999997E-6</v>
      </c>
      <c r="BJ875" s="98">
        <v>6.4000000000000001E-2</v>
      </c>
      <c r="BK875" s="48"/>
      <c r="BL875" s="98">
        <f t="shared" si="263"/>
        <v>0.23267997046521618</v>
      </c>
      <c r="BM875" s="47" t="s">
        <v>2487</v>
      </c>
      <c r="BN875" s="48"/>
      <c r="BO875" s="48"/>
      <c r="BP875" s="48"/>
      <c r="BQ875" s="48"/>
      <c r="BR875" s="47" t="s">
        <v>2496</v>
      </c>
      <c r="BS875" s="48"/>
      <c r="BT875" s="48"/>
      <c r="BU875" s="228"/>
      <c r="BV875" s="48"/>
      <c r="BW875" s="48"/>
      <c r="BX875" s="48"/>
      <c r="BY875" s="48"/>
      <c r="BZ875" s="48"/>
      <c r="CA875" s="48"/>
      <c r="CB875" s="48"/>
      <c r="CC875" s="48"/>
      <c r="CD875" s="48"/>
      <c r="CE875" s="48"/>
      <c r="CF875" s="48"/>
      <c r="CG875" s="48"/>
      <c r="CH875" s="48"/>
      <c r="CI875" s="98"/>
      <c r="CJ875" s="98"/>
      <c r="CK875" s="49">
        <f t="shared" si="260"/>
        <v>3.6356245385190027</v>
      </c>
      <c r="CL875" s="229"/>
      <c r="CM875" s="229"/>
      <c r="CN875" s="229"/>
      <c r="CO875" s="47" t="s">
        <v>2488</v>
      </c>
      <c r="CP875" s="47" t="s">
        <v>2489</v>
      </c>
      <c r="CQ875" s="224">
        <v>-0.91994032696073902</v>
      </c>
      <c r="CR875" s="224">
        <f>10^(CJ875-CQ875)</f>
        <v>8.3164949273973949</v>
      </c>
      <c r="CS875" s="230" t="s">
        <v>539</v>
      </c>
      <c r="CT875" s="230"/>
      <c r="CU875" s="230"/>
      <c r="CV875" s="335">
        <f t="shared" si="262"/>
        <v>608.83267845448597</v>
      </c>
      <c r="CW875" s="230">
        <f t="shared" si="259"/>
        <v>1</v>
      </c>
      <c r="CX875" s="336"/>
      <c r="CY875" s="230" t="s">
        <v>5921</v>
      </c>
    </row>
    <row r="876" spans="1:103" ht="11.25" customHeight="1" x14ac:dyDescent="0.2">
      <c r="A876" s="72">
        <v>874</v>
      </c>
      <c r="B876" s="224">
        <v>1414</v>
      </c>
      <c r="C876" s="46" t="s">
        <v>7068</v>
      </c>
      <c r="D876" s="46"/>
      <c r="E876" s="114"/>
      <c r="F876" s="114" t="s">
        <v>4351</v>
      </c>
      <c r="G876" s="225">
        <v>95807</v>
      </c>
      <c r="H876" s="47" t="s">
        <v>4352</v>
      </c>
      <c r="I876" s="47" t="s">
        <v>4352</v>
      </c>
      <c r="J876" s="47" t="s">
        <v>4353</v>
      </c>
      <c r="K876" s="47" t="s">
        <v>3700</v>
      </c>
      <c r="L876" s="47"/>
      <c r="M876" s="47"/>
      <c r="N876" s="47"/>
      <c r="O876" s="47"/>
      <c r="P876" s="53"/>
      <c r="Q876" s="53"/>
      <c r="R876" s="53"/>
      <c r="S876" s="53"/>
      <c r="T876" s="48">
        <v>122.17</v>
      </c>
      <c r="U876" s="98"/>
      <c r="V876" s="98">
        <v>612.42530899566179</v>
      </c>
      <c r="W876" s="98">
        <v>338.84415613920254</v>
      </c>
      <c r="X876" s="98">
        <f>IF(W876=0,V876,W876)</f>
        <v>338.84415613920254</v>
      </c>
      <c r="Y876" s="233">
        <v>9.33</v>
      </c>
      <c r="Z876" s="48">
        <v>0.16</v>
      </c>
      <c r="AA876" s="48">
        <v>0.14000000000000001</v>
      </c>
      <c r="AB876" s="48">
        <v>0.37</v>
      </c>
      <c r="AC876" s="48">
        <v>0.85460000000000003</v>
      </c>
      <c r="AD876" s="48">
        <v>0.31</v>
      </c>
      <c r="AE876" s="48">
        <v>0.15</v>
      </c>
      <c r="AF876" s="48">
        <f t="shared" si="258"/>
        <v>0.14000000000000001</v>
      </c>
      <c r="AG876" s="49">
        <v>0.88</v>
      </c>
      <c r="AH876" s="98">
        <v>7.4300000000000002E-10</v>
      </c>
      <c r="AI876" s="98"/>
      <c r="AJ876" s="483">
        <f t="shared" si="265"/>
        <v>-7.5175775125520765</v>
      </c>
      <c r="AK876" s="483"/>
      <c r="AL876" s="483">
        <f t="shared" si="264"/>
        <v>-7.5175775125520765</v>
      </c>
      <c r="AM876" s="483">
        <v>-9.8213699999999982</v>
      </c>
      <c r="AN876" s="226">
        <v>-7.33</v>
      </c>
      <c r="AO876" s="484"/>
      <c r="AP876" s="484">
        <v>5.0199999999999996</v>
      </c>
      <c r="AQ876" s="48" t="s">
        <v>6311</v>
      </c>
      <c r="AR876" s="48" t="s">
        <v>6311</v>
      </c>
      <c r="AS876" s="227"/>
      <c r="AT876" s="50" t="s">
        <v>266</v>
      </c>
      <c r="AU876" s="48">
        <v>6</v>
      </c>
      <c r="AV876" s="48">
        <v>120</v>
      </c>
      <c r="AW876" s="48">
        <v>114</v>
      </c>
      <c r="AX876" s="48">
        <v>28</v>
      </c>
      <c r="AY876" s="48" t="s">
        <v>8728</v>
      </c>
      <c r="AZ876" s="48" t="s">
        <v>1563</v>
      </c>
      <c r="BA876" s="48">
        <v>32</v>
      </c>
      <c r="BB876" s="47" t="s">
        <v>2485</v>
      </c>
      <c r="BC876" s="47" t="s">
        <v>8726</v>
      </c>
      <c r="BD876" s="47" t="s">
        <v>8374</v>
      </c>
      <c r="BE876" s="48" t="s">
        <v>2449</v>
      </c>
      <c r="BF876" s="48" t="s">
        <v>272</v>
      </c>
      <c r="BG876" s="48" t="s">
        <v>272</v>
      </c>
      <c r="BH876" s="48" t="s">
        <v>2486</v>
      </c>
      <c r="BI876" s="98">
        <v>6.3999999999999997E-6</v>
      </c>
      <c r="BJ876" s="98">
        <v>6.4000000000000001E-2</v>
      </c>
      <c r="BK876" s="48"/>
      <c r="BL876" s="98">
        <f t="shared" si="263"/>
        <v>36.906596779165021</v>
      </c>
      <c r="BM876" s="47" t="s">
        <v>2487</v>
      </c>
      <c r="BN876" s="48"/>
      <c r="BO876" s="48"/>
      <c r="BP876" s="48"/>
      <c r="BQ876" s="48"/>
      <c r="BR876" s="47" t="s">
        <v>2496</v>
      </c>
      <c r="BS876" s="48"/>
      <c r="BT876" s="48"/>
      <c r="BU876" s="228"/>
      <c r="BV876" s="48"/>
      <c r="BW876" s="48"/>
      <c r="BX876" s="48"/>
      <c r="BY876" s="48"/>
      <c r="BZ876" s="48"/>
      <c r="CA876" s="48"/>
      <c r="CB876" s="48"/>
      <c r="CC876" s="48"/>
      <c r="CD876" s="48"/>
      <c r="CE876" s="48"/>
      <c r="CF876" s="48"/>
      <c r="CG876" s="48"/>
      <c r="CH876" s="48"/>
      <c r="CI876" s="98"/>
      <c r="CJ876" s="98"/>
      <c r="CK876" s="49">
        <f t="shared" si="260"/>
        <v>576.66557467445341</v>
      </c>
      <c r="CL876" s="229"/>
      <c r="CM876" s="229"/>
      <c r="CN876" s="229"/>
      <c r="CO876" s="47" t="s">
        <v>2488</v>
      </c>
      <c r="CP876" s="47" t="s">
        <v>2489</v>
      </c>
      <c r="CQ876" s="224">
        <v>1.0713979182181985</v>
      </c>
      <c r="CR876" s="224">
        <f>10^(CJ876-CQ876)</f>
        <v>8.4840277777777792E-2</v>
      </c>
      <c r="CS876" s="230" t="s">
        <v>539</v>
      </c>
      <c r="CT876" s="230"/>
      <c r="CU876" s="230"/>
      <c r="CV876" s="335">
        <f t="shared" si="262"/>
        <v>5294.4399396750396</v>
      </c>
      <c r="CW876" s="230">
        <f t="shared" si="259"/>
        <v>1</v>
      </c>
      <c r="CX876" s="336"/>
      <c r="CY876" s="230" t="s">
        <v>6351</v>
      </c>
    </row>
    <row r="877" spans="1:103" ht="11.25" customHeight="1" x14ac:dyDescent="0.2">
      <c r="A877" s="72">
        <v>875</v>
      </c>
      <c r="B877" s="224">
        <v>1421</v>
      </c>
      <c r="C877" s="46" t="s">
        <v>7069</v>
      </c>
      <c r="D877" s="46"/>
      <c r="E877" s="114"/>
      <c r="F877" s="114" t="s">
        <v>4372</v>
      </c>
      <c r="G877" s="225">
        <v>95874</v>
      </c>
      <c r="H877" s="47" t="s">
        <v>4373</v>
      </c>
      <c r="I877" s="47" t="s">
        <v>4373</v>
      </c>
      <c r="J877" s="47" t="s">
        <v>4374</v>
      </c>
      <c r="K877" s="47" t="s">
        <v>349</v>
      </c>
      <c r="L877" s="47"/>
      <c r="M877" s="47"/>
      <c r="N877" s="47"/>
      <c r="O877" s="47"/>
      <c r="P877" s="53"/>
      <c r="Q877" s="53"/>
      <c r="R877" s="53"/>
      <c r="S877" s="53"/>
      <c r="T877" s="48">
        <v>122.16</v>
      </c>
      <c r="U877" s="98">
        <v>28.978388998035363</v>
      </c>
      <c r="V877" s="98">
        <v>31.393254747871644</v>
      </c>
      <c r="W877" s="98">
        <v>56.234132519034887</v>
      </c>
      <c r="X877" s="98">
        <v>28.978388998035363</v>
      </c>
      <c r="Y877" s="233">
        <v>5.84</v>
      </c>
      <c r="Z877" s="48">
        <v>2.61</v>
      </c>
      <c r="AA877" s="48">
        <v>2.33</v>
      </c>
      <c r="AB877" s="48">
        <v>2.35</v>
      </c>
      <c r="AC877" s="48">
        <v>0.97360000000000002</v>
      </c>
      <c r="AD877" s="48">
        <v>2.36</v>
      </c>
      <c r="AE877" s="48">
        <v>2.4</v>
      </c>
      <c r="AF877" s="48">
        <f t="shared" si="258"/>
        <v>2.33</v>
      </c>
      <c r="AG877" s="49">
        <v>2.39</v>
      </c>
      <c r="AH877" s="98">
        <v>6.8299999999999996E-7</v>
      </c>
      <c r="AI877" s="98">
        <v>1.1200000000000001E-6</v>
      </c>
      <c r="AJ877" s="483">
        <f t="shared" si="265"/>
        <v>-4.5541456226311192</v>
      </c>
      <c r="AK877" s="483">
        <f>LOG10(AI877*1000/(0.08206*298.15))</f>
        <v>-4.3393483036424705</v>
      </c>
      <c r="AL877" s="483">
        <f t="shared" si="264"/>
        <v>-4.3393483036424705</v>
      </c>
      <c r="AM877" s="483">
        <v>-6.4130500000000001</v>
      </c>
      <c r="AN877" s="226">
        <v>-4.17</v>
      </c>
      <c r="AO877" s="484">
        <v>10.42</v>
      </c>
      <c r="AP877" s="484"/>
      <c r="AQ877" s="48" t="s">
        <v>6311</v>
      </c>
      <c r="AR877" s="48" t="s">
        <v>6311</v>
      </c>
      <c r="AS877" s="227"/>
      <c r="AT877" s="50" t="s">
        <v>266</v>
      </c>
      <c r="AU877" s="48">
        <v>6</v>
      </c>
      <c r="AV877" s="48">
        <v>120</v>
      </c>
      <c r="AW877" s="48">
        <v>114</v>
      </c>
      <c r="AX877" s="48">
        <v>28</v>
      </c>
      <c r="AY877" s="48" t="s">
        <v>8728</v>
      </c>
      <c r="AZ877" s="48" t="s">
        <v>1563</v>
      </c>
      <c r="BA877" s="48">
        <v>32</v>
      </c>
      <c r="BB877" s="47" t="s">
        <v>2485</v>
      </c>
      <c r="BC877" s="47" t="s">
        <v>8726</v>
      </c>
      <c r="BD877" s="47" t="s">
        <v>8374</v>
      </c>
      <c r="BE877" s="48" t="s">
        <v>2449</v>
      </c>
      <c r="BF877" s="48" t="s">
        <v>272</v>
      </c>
      <c r="BG877" s="48" t="s">
        <v>272</v>
      </c>
      <c r="BH877" s="48" t="s">
        <v>2486</v>
      </c>
      <c r="BI877" s="98">
        <v>6.3999999999999997E-6</v>
      </c>
      <c r="BJ877" s="98">
        <v>6.4000000000000001E-2</v>
      </c>
      <c r="BK877" s="48"/>
      <c r="BL877" s="98">
        <f t="shared" si="263"/>
        <v>0.23267997046521618</v>
      </c>
      <c r="BM877" s="47" t="s">
        <v>2487</v>
      </c>
      <c r="BN877" s="48"/>
      <c r="BO877" s="48"/>
      <c r="BP877" s="48"/>
      <c r="BQ877" s="48"/>
      <c r="BR877" s="47" t="s">
        <v>2496</v>
      </c>
      <c r="BS877" s="48"/>
      <c r="BT877" s="48"/>
      <c r="BU877" s="228"/>
      <c r="BV877" s="48"/>
      <c r="BW877" s="48"/>
      <c r="BX877" s="48"/>
      <c r="BY877" s="48"/>
      <c r="BZ877" s="48"/>
      <c r="CA877" s="48"/>
      <c r="CB877" s="48"/>
      <c r="CC877" s="48"/>
      <c r="CD877" s="48"/>
      <c r="CE877" s="48"/>
      <c r="CF877" s="48"/>
      <c r="CG877" s="48"/>
      <c r="CH877" s="48"/>
      <c r="CI877" s="98"/>
      <c r="CJ877" s="98"/>
      <c r="CK877" s="49">
        <f t="shared" si="260"/>
        <v>3.6356245385190027</v>
      </c>
      <c r="CL877" s="229"/>
      <c r="CM877" s="229"/>
      <c r="CN877" s="229"/>
      <c r="CO877" s="47" t="s">
        <v>2488</v>
      </c>
      <c r="CP877" s="47" t="s">
        <v>2489</v>
      </c>
      <c r="CQ877" s="224" t="s">
        <v>272</v>
      </c>
      <c r="CR877" s="224"/>
      <c r="CS877" s="230" t="s">
        <v>539</v>
      </c>
      <c r="CT877" s="230"/>
      <c r="CU877" s="230"/>
      <c r="CV877" s="335">
        <f t="shared" si="262"/>
        <v>452.78732809430255</v>
      </c>
      <c r="CW877" s="230">
        <f t="shared" si="259"/>
        <v>1</v>
      </c>
      <c r="CX877" s="336"/>
      <c r="CY877" s="230" t="s">
        <v>6351</v>
      </c>
    </row>
    <row r="878" spans="1:103" ht="11.25" customHeight="1" x14ac:dyDescent="0.2">
      <c r="A878" s="72">
        <v>876</v>
      </c>
      <c r="B878" s="224">
        <v>1877</v>
      </c>
      <c r="C878" s="46" t="s">
        <v>7070</v>
      </c>
      <c r="D878" s="46"/>
      <c r="E878" s="114"/>
      <c r="F878" s="114" t="s">
        <v>5329</v>
      </c>
      <c r="G878" s="225">
        <v>96093</v>
      </c>
      <c r="H878" s="47" t="s">
        <v>5330</v>
      </c>
      <c r="I878" s="47" t="s">
        <v>5330</v>
      </c>
      <c r="J878" s="47" t="s">
        <v>5331</v>
      </c>
      <c r="K878" s="47" t="s">
        <v>3346</v>
      </c>
      <c r="L878" s="47"/>
      <c r="M878" s="47"/>
      <c r="N878" s="47"/>
      <c r="O878" s="47"/>
      <c r="P878" s="53" t="s">
        <v>6172</v>
      </c>
      <c r="Q878" s="53" t="s">
        <v>6176</v>
      </c>
      <c r="R878" s="53" t="s">
        <v>6175</v>
      </c>
      <c r="S878" s="53" t="s">
        <v>6173</v>
      </c>
      <c r="T878" s="48">
        <v>120.15</v>
      </c>
      <c r="U878" s="98">
        <v>24.968789013732835</v>
      </c>
      <c r="V878" s="98">
        <v>35.189346650020809</v>
      </c>
      <c r="W878" s="98">
        <v>20.417379446695289</v>
      </c>
      <c r="X878" s="98">
        <v>24.968789013732835</v>
      </c>
      <c r="Y878" s="233">
        <v>7</v>
      </c>
      <c r="Z878" s="48">
        <v>1.59</v>
      </c>
      <c r="AA878" s="48">
        <v>1.61</v>
      </c>
      <c r="AB878" s="48">
        <v>1.7</v>
      </c>
      <c r="AC878" s="48">
        <v>0.74609999999999999</v>
      </c>
      <c r="AD878" s="48">
        <v>1.67</v>
      </c>
      <c r="AE878" s="48">
        <v>1.61</v>
      </c>
      <c r="AF878" s="48">
        <f t="shared" si="258"/>
        <v>1.61</v>
      </c>
      <c r="AG878" s="49">
        <v>1.64</v>
      </c>
      <c r="AH878" s="98">
        <v>9.7000000000000003E-6</v>
      </c>
      <c r="AI878" s="98">
        <v>1.5800000000000001E-5</v>
      </c>
      <c r="AJ878" s="483">
        <f t="shared" si="265"/>
        <v>-3.4017945920464068</v>
      </c>
      <c r="AK878" s="483">
        <f>LOG10(AI878*1000/(0.08206*298.15))</f>
        <v>-3.1899092393582289</v>
      </c>
      <c r="AL878" s="483">
        <f t="shared" si="264"/>
        <v>-3.1899092393582289</v>
      </c>
      <c r="AM878" s="483">
        <v>-4.3673299999999999</v>
      </c>
      <c r="AN878" s="226">
        <v>-3.29</v>
      </c>
      <c r="AO878" s="484"/>
      <c r="AP878" s="484"/>
      <c r="AQ878" s="226" t="s">
        <v>6315</v>
      </c>
      <c r="AR878" s="226" t="s">
        <v>6311</v>
      </c>
      <c r="AS878" s="224"/>
      <c r="AT878" s="50" t="s">
        <v>266</v>
      </c>
      <c r="AU878" s="48">
        <v>6</v>
      </c>
      <c r="AV878" s="48">
        <v>120</v>
      </c>
      <c r="AW878" s="48">
        <v>114</v>
      </c>
      <c r="AX878" s="48">
        <v>28</v>
      </c>
      <c r="AY878" s="48" t="s">
        <v>8728</v>
      </c>
      <c r="AZ878" s="48" t="s">
        <v>1563</v>
      </c>
      <c r="BA878" s="48">
        <v>32</v>
      </c>
      <c r="BB878" s="47" t="s">
        <v>2485</v>
      </c>
      <c r="BC878" s="47" t="s">
        <v>8726</v>
      </c>
      <c r="BD878" s="47" t="s">
        <v>8374</v>
      </c>
      <c r="BE878" s="48" t="s">
        <v>2449</v>
      </c>
      <c r="BF878" s="48" t="s">
        <v>272</v>
      </c>
      <c r="BG878" s="48" t="s">
        <v>272</v>
      </c>
      <c r="BH878" s="48" t="s">
        <v>2486</v>
      </c>
      <c r="BI878" s="98">
        <v>6.3999999999999997E-6</v>
      </c>
      <c r="BJ878" s="98">
        <v>6.4000000000000001E-2</v>
      </c>
      <c r="BK878" s="48"/>
      <c r="BL878" s="98">
        <f t="shared" si="263"/>
        <v>1.9178780998685401</v>
      </c>
      <c r="BM878" s="47" t="s">
        <v>2487</v>
      </c>
      <c r="BN878" s="48"/>
      <c r="BO878" s="48"/>
      <c r="BP878" s="48"/>
      <c r="BQ878" s="48"/>
      <c r="BR878" s="47" t="s">
        <v>2496</v>
      </c>
      <c r="BS878" s="48"/>
      <c r="BT878" s="48"/>
      <c r="BU878" s="228"/>
      <c r="BV878" s="48"/>
      <c r="BW878" s="48"/>
      <c r="BX878" s="48"/>
      <c r="BY878" s="48"/>
      <c r="BZ878" s="48"/>
      <c r="CA878" s="48"/>
      <c r="CB878" s="48"/>
      <c r="CC878" s="48"/>
      <c r="CD878" s="48"/>
      <c r="CE878" s="48"/>
      <c r="CF878" s="48"/>
      <c r="CG878" s="48"/>
      <c r="CH878" s="48"/>
      <c r="CI878" s="98"/>
      <c r="CJ878" s="98"/>
      <c r="CK878" s="49">
        <f t="shared" si="260"/>
        <v>29.966845310445937</v>
      </c>
      <c r="CL878" s="229"/>
      <c r="CM878" s="229"/>
      <c r="CN878" s="229"/>
      <c r="CO878" s="47" t="s">
        <v>2488</v>
      </c>
      <c r="CP878" s="47" t="s">
        <v>2489</v>
      </c>
      <c r="CQ878" s="224">
        <v>-1.430388916427777</v>
      </c>
      <c r="CR878" s="224">
        <f>10^(CJ878-CQ878)</f>
        <v>26.939461883408079</v>
      </c>
      <c r="CS878" s="230" t="s">
        <v>539</v>
      </c>
      <c r="CT878" s="230"/>
      <c r="CU878" s="230"/>
      <c r="CV878" s="335">
        <f t="shared" si="262"/>
        <v>390.1373283395755</v>
      </c>
      <c r="CW878" s="230">
        <f t="shared" si="259"/>
        <v>1</v>
      </c>
      <c r="CX878" s="336"/>
      <c r="CY878" s="230" t="s">
        <v>6351</v>
      </c>
    </row>
    <row r="879" spans="1:103" ht="11.25" customHeight="1" x14ac:dyDescent="0.2">
      <c r="A879" s="72">
        <v>877</v>
      </c>
      <c r="B879" s="224">
        <v>1367</v>
      </c>
      <c r="C879" s="46" t="s">
        <v>7071</v>
      </c>
      <c r="D879" s="46"/>
      <c r="E879" s="114"/>
      <c r="F879" s="114" t="s">
        <v>4222</v>
      </c>
      <c r="G879" s="225">
        <v>96184</v>
      </c>
      <c r="H879" s="47" t="s">
        <v>4223</v>
      </c>
      <c r="I879" s="47" t="s">
        <v>8011</v>
      </c>
      <c r="J879" s="47" t="s">
        <v>4224</v>
      </c>
      <c r="K879" s="47" t="s">
        <v>426</v>
      </c>
      <c r="L879" s="47" t="s">
        <v>6148</v>
      </c>
      <c r="M879" s="47" t="s">
        <v>6082</v>
      </c>
      <c r="N879" s="47"/>
      <c r="O879" s="47" t="s">
        <v>6083</v>
      </c>
      <c r="P879" s="53" t="s">
        <v>6183</v>
      </c>
      <c r="Q879" s="53" t="s">
        <v>6176</v>
      </c>
      <c r="R879" s="53" t="s">
        <v>6185</v>
      </c>
      <c r="S879" s="53" t="s">
        <v>6176</v>
      </c>
      <c r="T879" s="48">
        <v>147.43</v>
      </c>
      <c r="U879" s="98">
        <v>11.870040018992064</v>
      </c>
      <c r="V879" s="98">
        <v>6.0828867937326185</v>
      </c>
      <c r="W879" s="98">
        <v>4.0738027780411228</v>
      </c>
      <c r="X879" s="98">
        <v>11.870040018992064</v>
      </c>
      <c r="Y879" s="233">
        <v>7</v>
      </c>
      <c r="Z879" s="48">
        <v>2.5</v>
      </c>
      <c r="AA879" s="48">
        <v>2.27</v>
      </c>
      <c r="AB879" s="48">
        <v>2.2000000000000002</v>
      </c>
      <c r="AC879" s="48">
        <v>0.84199999999999997</v>
      </c>
      <c r="AD879" s="48">
        <v>2.14</v>
      </c>
      <c r="AE879" s="48">
        <v>1.96</v>
      </c>
      <c r="AF879" s="48">
        <f t="shared" si="258"/>
        <v>2.27</v>
      </c>
      <c r="AG879" s="49">
        <v>2.17</v>
      </c>
      <c r="AH879" s="98">
        <v>5.6699999999999997E-3</v>
      </c>
      <c r="AI879" s="98">
        <v>3.4299999999999999E-4</v>
      </c>
      <c r="AJ879" s="483">
        <f t="shared" si="265"/>
        <v>-0.6349832674197452</v>
      </c>
      <c r="AK879" s="483">
        <f>LOG10(AI879*1000/(0.08206*298.15))</f>
        <v>-1.8532722062698814</v>
      </c>
      <c r="AL879" s="483">
        <f t="shared" si="264"/>
        <v>-1.8532722062698814</v>
      </c>
      <c r="AM879" s="483">
        <v>-2.4556900000000002</v>
      </c>
      <c r="AN879" s="226">
        <v>-2.76</v>
      </c>
      <c r="AO879" s="484"/>
      <c r="AP879" s="484"/>
      <c r="AQ879" s="48" t="s">
        <v>6311</v>
      </c>
      <c r="AR879" s="48" t="s">
        <v>6312</v>
      </c>
      <c r="AS879" s="227"/>
      <c r="AT879" s="50" t="s">
        <v>266</v>
      </c>
      <c r="AU879" s="48">
        <v>6</v>
      </c>
      <c r="AV879" s="48">
        <v>120</v>
      </c>
      <c r="AW879" s="48">
        <v>114</v>
      </c>
      <c r="AX879" s="48">
        <v>28</v>
      </c>
      <c r="AY879" s="48" t="s">
        <v>8728</v>
      </c>
      <c r="AZ879" s="48" t="s">
        <v>1563</v>
      </c>
      <c r="BA879" s="48">
        <v>32</v>
      </c>
      <c r="BB879" s="47" t="s">
        <v>2485</v>
      </c>
      <c r="BC879" s="47" t="s">
        <v>8726</v>
      </c>
      <c r="BD879" s="47" t="s">
        <v>8374</v>
      </c>
      <c r="BE879" s="48" t="s">
        <v>2449</v>
      </c>
      <c r="BF879" s="48" t="s">
        <v>272</v>
      </c>
      <c r="BG879" s="48" t="s">
        <v>272</v>
      </c>
      <c r="BH879" s="48" t="s">
        <v>2486</v>
      </c>
      <c r="BI879" s="98">
        <v>6.3999999999999997E-6</v>
      </c>
      <c r="BJ879" s="98">
        <v>6.4000000000000001E-2</v>
      </c>
      <c r="BK879" s="48"/>
      <c r="BL879" s="98">
        <f t="shared" si="263"/>
        <v>0.29211240476828637</v>
      </c>
      <c r="BM879" s="47" t="s">
        <v>2487</v>
      </c>
      <c r="BN879" s="48"/>
      <c r="BO879" s="48"/>
      <c r="BP879" s="48"/>
      <c r="BQ879" s="48"/>
      <c r="BR879" s="47" t="s">
        <v>2496</v>
      </c>
      <c r="BS879" s="48"/>
      <c r="BT879" s="48"/>
      <c r="BU879" s="228"/>
      <c r="BV879" s="48"/>
      <c r="BW879" s="48"/>
      <c r="BX879" s="48"/>
      <c r="BY879" s="48"/>
      <c r="BZ879" s="48"/>
      <c r="CA879" s="48"/>
      <c r="CB879" s="48"/>
      <c r="CC879" s="48"/>
      <c r="CD879" s="48"/>
      <c r="CE879" s="48"/>
      <c r="CF879" s="48"/>
      <c r="CG879" s="48"/>
      <c r="CH879" s="48"/>
      <c r="CI879" s="98"/>
      <c r="CJ879" s="98"/>
      <c r="CK879" s="49">
        <f t="shared" si="260"/>
        <v>4.5642563245044743</v>
      </c>
      <c r="CL879" s="229"/>
      <c r="CM879" s="229"/>
      <c r="CN879" s="229"/>
      <c r="CO879" s="47" t="s">
        <v>2488</v>
      </c>
      <c r="CP879" s="47" t="s">
        <v>2489</v>
      </c>
      <c r="CQ879" s="224">
        <v>-0.3999477642887958</v>
      </c>
      <c r="CR879" s="224">
        <f>10^(CJ879-CQ879)</f>
        <v>2.5115843270868825</v>
      </c>
      <c r="CS879" s="230" t="s">
        <v>539</v>
      </c>
      <c r="CT879" s="230"/>
      <c r="CU879" s="230"/>
      <c r="CV879" s="335">
        <f t="shared" si="262"/>
        <v>185.469375296751</v>
      </c>
      <c r="CW879" s="230">
        <f t="shared" si="259"/>
        <v>1</v>
      </c>
      <c r="CX879" s="336"/>
      <c r="CY879" s="230" t="s">
        <v>6351</v>
      </c>
    </row>
    <row r="880" spans="1:103" ht="11.25" customHeight="1" x14ac:dyDescent="0.2">
      <c r="A880" s="72">
        <v>878</v>
      </c>
      <c r="B880" s="224">
        <v>904</v>
      </c>
      <c r="C880" s="46" t="s">
        <v>7072</v>
      </c>
      <c r="D880" s="46"/>
      <c r="E880" s="114"/>
      <c r="F880" s="114" t="s">
        <v>2581</v>
      </c>
      <c r="G880" s="225">
        <v>96231</v>
      </c>
      <c r="H880" s="47" t="s">
        <v>2582</v>
      </c>
      <c r="I880" s="47" t="s">
        <v>8012</v>
      </c>
      <c r="J880" s="47" t="s">
        <v>2583</v>
      </c>
      <c r="K880" s="47" t="s">
        <v>1808</v>
      </c>
      <c r="L880" s="47"/>
      <c r="M880" s="47"/>
      <c r="N880" s="47"/>
      <c r="O880" s="47"/>
      <c r="P880" s="53"/>
      <c r="Q880" s="53" t="s">
        <v>6179</v>
      </c>
      <c r="R880" s="53" t="s">
        <v>6175</v>
      </c>
      <c r="S880" s="53" t="s">
        <v>6173</v>
      </c>
      <c r="T880" s="48">
        <v>128.97999999999999</v>
      </c>
      <c r="U880" s="98">
        <v>767.56086214917048</v>
      </c>
      <c r="V880" s="98">
        <v>497.90665219413864</v>
      </c>
      <c r="W880" s="98">
        <v>371.53522909717253</v>
      </c>
      <c r="X880" s="98">
        <v>767.56086214917048</v>
      </c>
      <c r="Y880" s="233">
        <v>6.61</v>
      </c>
      <c r="Z880" s="48">
        <v>0.78</v>
      </c>
      <c r="AA880" s="48"/>
      <c r="AB880" s="48">
        <v>0.66</v>
      </c>
      <c r="AC880" s="48">
        <v>0.78659999999999997</v>
      </c>
      <c r="AD880" s="48">
        <v>0.66</v>
      </c>
      <c r="AE880" s="48">
        <v>0.66</v>
      </c>
      <c r="AF880" s="48">
        <f t="shared" si="258"/>
        <v>0.66</v>
      </c>
      <c r="AG880" s="49">
        <v>0.91</v>
      </c>
      <c r="AH880" s="98">
        <v>5.8899999999999999E-7</v>
      </c>
      <c r="AI880" s="98">
        <v>1.2899999999999999E-6</v>
      </c>
      <c r="AJ880" s="483">
        <f t="shared" si="265"/>
        <v>-4.6184510315255505</v>
      </c>
      <c r="AK880" s="483">
        <f>LOG10(AI880*1000/(0.08206*298.15))</f>
        <v>-4.2779766160134027</v>
      </c>
      <c r="AL880" s="483">
        <f t="shared" si="264"/>
        <v>-4.2779766160134027</v>
      </c>
      <c r="AM880" s="483">
        <v>-5.0571600000000005</v>
      </c>
      <c r="AN880" s="226">
        <v>-4.8</v>
      </c>
      <c r="AO880" s="484">
        <v>12.87</v>
      </c>
      <c r="AP880" s="484"/>
      <c r="AQ880" s="48" t="s">
        <v>6311</v>
      </c>
      <c r="AR880" s="48" t="s">
        <v>6311</v>
      </c>
      <c r="AS880" s="227"/>
      <c r="AT880" s="50" t="s">
        <v>266</v>
      </c>
      <c r="AU880" s="48">
        <v>6</v>
      </c>
      <c r="AV880" s="48">
        <v>120</v>
      </c>
      <c r="AW880" s="48">
        <v>114</v>
      </c>
      <c r="AX880" s="48">
        <v>28</v>
      </c>
      <c r="AY880" s="48" t="s">
        <v>8728</v>
      </c>
      <c r="AZ880" s="48" t="s">
        <v>1563</v>
      </c>
      <c r="BA880" s="48">
        <v>32</v>
      </c>
      <c r="BB880" s="47" t="s">
        <v>2485</v>
      </c>
      <c r="BC880" s="47" t="s">
        <v>8726</v>
      </c>
      <c r="BD880" s="47" t="s">
        <v>8374</v>
      </c>
      <c r="BE880" s="48" t="s">
        <v>2449</v>
      </c>
      <c r="BF880" s="48" t="s">
        <v>272</v>
      </c>
      <c r="BG880" s="48" t="s">
        <v>272</v>
      </c>
      <c r="BH880" s="48" t="s">
        <v>2486</v>
      </c>
      <c r="BI880" s="98">
        <v>6.3999999999999997E-6</v>
      </c>
      <c r="BJ880" s="98">
        <v>6.4000000000000001E-2</v>
      </c>
      <c r="BK880" s="48"/>
      <c r="BL880" s="98">
        <f t="shared" si="263"/>
        <v>10.239576618635384</v>
      </c>
      <c r="BM880" s="47" t="s">
        <v>2487</v>
      </c>
      <c r="BN880" s="48"/>
      <c r="BO880" s="48"/>
      <c r="BP880" s="48"/>
      <c r="BQ880" s="48"/>
      <c r="BR880" s="47" t="s">
        <v>2496</v>
      </c>
      <c r="BS880" s="48"/>
      <c r="BT880" s="48"/>
      <c r="BU880" s="228">
        <v>6.3999999999999997E-5</v>
      </c>
      <c r="BV880" s="48"/>
      <c r="BW880" s="48"/>
      <c r="BX880" s="48"/>
      <c r="BY880" s="48"/>
      <c r="BZ880" s="48"/>
      <c r="CA880" s="48"/>
      <c r="CB880" s="48"/>
      <c r="CC880" s="48"/>
      <c r="CD880" s="48"/>
      <c r="CE880" s="48"/>
      <c r="CF880" s="48"/>
      <c r="CG880" s="48"/>
      <c r="CH880" s="48"/>
      <c r="CI880" s="98"/>
      <c r="CJ880" s="98"/>
      <c r="CK880" s="49">
        <f t="shared" si="260"/>
        <v>159.99338466617789</v>
      </c>
      <c r="CL880" s="229"/>
      <c r="CM880" s="229"/>
      <c r="CN880" s="229"/>
      <c r="CO880" s="47" t="s">
        <v>2488</v>
      </c>
      <c r="CP880" s="47" t="s">
        <v>2489</v>
      </c>
      <c r="CQ880" s="224" t="s">
        <v>272</v>
      </c>
      <c r="CR880" s="224"/>
      <c r="CS880" s="230" t="s">
        <v>539</v>
      </c>
      <c r="CT880" s="230"/>
      <c r="CU880" s="230"/>
      <c r="CV880" s="335">
        <f t="shared" si="262"/>
        <v>11993.138471080789</v>
      </c>
      <c r="CW880" s="230">
        <f t="shared" si="259"/>
        <v>1</v>
      </c>
      <c r="CX880" s="336"/>
      <c r="CY880" s="230" t="s">
        <v>6351</v>
      </c>
    </row>
    <row r="881" spans="1:103" ht="11.25" customHeight="1" x14ac:dyDescent="0.2">
      <c r="A881" s="72">
        <v>879</v>
      </c>
      <c r="B881" s="224">
        <v>1391</v>
      </c>
      <c r="C881" s="46" t="s">
        <v>7073</v>
      </c>
      <c r="D881" s="46"/>
      <c r="E881" s="114"/>
      <c r="F881" s="114" t="s">
        <v>4288</v>
      </c>
      <c r="G881" s="225">
        <v>96297</v>
      </c>
      <c r="H881" s="47" t="s">
        <v>4289</v>
      </c>
      <c r="I881" s="47" t="s">
        <v>4289</v>
      </c>
      <c r="J881" s="47" t="s">
        <v>4290</v>
      </c>
      <c r="K881" s="47" t="s">
        <v>300</v>
      </c>
      <c r="L881" s="47"/>
      <c r="M881" s="47"/>
      <c r="N881" s="47"/>
      <c r="O881" s="47"/>
      <c r="P881" s="53"/>
      <c r="Q881" s="53"/>
      <c r="R881" s="53"/>
      <c r="S881" s="53"/>
      <c r="T881" s="48">
        <v>87.12</v>
      </c>
      <c r="U881" s="98">
        <v>1147.842056932966</v>
      </c>
      <c r="V881" s="98">
        <v>420.45454545454544</v>
      </c>
      <c r="W881" s="98">
        <v>1548.8166189124815</v>
      </c>
      <c r="X881" s="98">
        <v>1147.842056932966</v>
      </c>
      <c r="Y881" s="233">
        <v>6.1</v>
      </c>
      <c r="Z881" s="48">
        <v>1.69</v>
      </c>
      <c r="AA881" s="48">
        <v>0.63</v>
      </c>
      <c r="AB881" s="48">
        <v>0.6</v>
      </c>
      <c r="AC881" s="48">
        <v>0.8518</v>
      </c>
      <c r="AD881" s="48">
        <v>0.62</v>
      </c>
      <c r="AE881" s="48">
        <v>0.65</v>
      </c>
      <c r="AF881" s="48">
        <f t="shared" si="258"/>
        <v>0.63</v>
      </c>
      <c r="AG881" s="49">
        <v>0.89</v>
      </c>
      <c r="AH881" s="98">
        <v>1.04E-5</v>
      </c>
      <c r="AI881" s="98"/>
      <c r="AJ881" s="483">
        <f t="shared" si="265"/>
        <v>-3.3715329870138713</v>
      </c>
      <c r="AK881" s="483"/>
      <c r="AL881" s="483">
        <f t="shared" si="264"/>
        <v>-3.3715329870138713</v>
      </c>
      <c r="AM881" s="483">
        <v>-3.91438</v>
      </c>
      <c r="AN881" s="226">
        <v>-2.21</v>
      </c>
      <c r="AO881" s="484">
        <v>12.4</v>
      </c>
      <c r="AP881" s="484"/>
      <c r="AQ881" s="48" t="s">
        <v>6311</v>
      </c>
      <c r="AR881" s="48" t="s">
        <v>6311</v>
      </c>
      <c r="AS881" s="227"/>
      <c r="AT881" s="50" t="s">
        <v>266</v>
      </c>
      <c r="AU881" s="48">
        <v>6</v>
      </c>
      <c r="AV881" s="48">
        <v>120</v>
      </c>
      <c r="AW881" s="48">
        <v>114</v>
      </c>
      <c r="AX881" s="48">
        <v>28</v>
      </c>
      <c r="AY881" s="48" t="s">
        <v>8728</v>
      </c>
      <c r="AZ881" s="48" t="s">
        <v>1563</v>
      </c>
      <c r="BA881" s="48">
        <v>32</v>
      </c>
      <c r="BB881" s="47" t="s">
        <v>2485</v>
      </c>
      <c r="BC881" s="47" t="s">
        <v>8726</v>
      </c>
      <c r="BD881" s="47" t="s">
        <v>8374</v>
      </c>
      <c r="BE881" s="48" t="s">
        <v>2449</v>
      </c>
      <c r="BF881" s="48" t="s">
        <v>272</v>
      </c>
      <c r="BG881" s="48" t="s">
        <v>272</v>
      </c>
      <c r="BH881" s="48" t="s">
        <v>2486</v>
      </c>
      <c r="BI881" s="98">
        <v>6.3999999999999997E-6</v>
      </c>
      <c r="BJ881" s="98">
        <v>6.4000000000000001E-2</v>
      </c>
      <c r="BK881" s="48"/>
      <c r="BL881" s="98">
        <f t="shared" si="263"/>
        <v>1.5595920043529998</v>
      </c>
      <c r="BM881" s="47" t="s">
        <v>2487</v>
      </c>
      <c r="BN881" s="48"/>
      <c r="BO881" s="48"/>
      <c r="BP881" s="48"/>
      <c r="BQ881" s="48"/>
      <c r="BR881" s="47" t="s">
        <v>2496</v>
      </c>
      <c r="BS881" s="48"/>
      <c r="BT881" s="48"/>
      <c r="BU881" s="228"/>
      <c r="BV881" s="48"/>
      <c r="BW881" s="48"/>
      <c r="BX881" s="48"/>
      <c r="BY881" s="48"/>
      <c r="BZ881" s="48"/>
      <c r="CA881" s="48"/>
      <c r="CB881" s="48"/>
      <c r="CC881" s="48"/>
      <c r="CD881" s="48"/>
      <c r="CE881" s="48"/>
      <c r="CF881" s="48"/>
      <c r="CG881" s="48"/>
      <c r="CH881" s="48"/>
      <c r="CI881" s="52" t="s">
        <v>6347</v>
      </c>
      <c r="CJ881" s="98"/>
      <c r="CK881" s="49">
        <f t="shared" si="260"/>
        <v>24.368625068015621</v>
      </c>
      <c r="CL881" s="229"/>
      <c r="CM881" s="229"/>
      <c r="CN881" s="229"/>
      <c r="CO881" s="47" t="s">
        <v>2488</v>
      </c>
      <c r="CP881" s="47" t="s">
        <v>2489</v>
      </c>
      <c r="CQ881" s="224">
        <v>0.98981169333686936</v>
      </c>
      <c r="CR881" s="224">
        <f>10^(CJ881-CQ881)</f>
        <v>0.10237367802585194</v>
      </c>
      <c r="CS881" s="230" t="s">
        <v>539</v>
      </c>
      <c r="CT881" s="230"/>
      <c r="CU881" s="230"/>
      <c r="CV881" s="335">
        <f t="shared" si="262"/>
        <v>17935.032139577594</v>
      </c>
      <c r="CW881" s="230">
        <f t="shared" si="259"/>
        <v>1</v>
      </c>
      <c r="CX881" s="336"/>
      <c r="CY881" s="230" t="s">
        <v>6351</v>
      </c>
    </row>
    <row r="882" spans="1:103" ht="11.25" customHeight="1" x14ac:dyDescent="0.2">
      <c r="A882" s="72">
        <v>880</v>
      </c>
      <c r="B882" s="224">
        <v>334</v>
      </c>
      <c r="C882" s="46" t="s">
        <v>7074</v>
      </c>
      <c r="D882" s="46"/>
      <c r="E882" s="114"/>
      <c r="F882" s="114" t="s">
        <v>3150</v>
      </c>
      <c r="G882" s="225">
        <v>96457</v>
      </c>
      <c r="H882" s="47" t="s">
        <v>3151</v>
      </c>
      <c r="I882" s="47" t="s">
        <v>3151</v>
      </c>
      <c r="J882" s="47" t="s">
        <v>3152</v>
      </c>
      <c r="K882" s="47" t="s">
        <v>3153</v>
      </c>
      <c r="L882" s="47"/>
      <c r="M882" s="47" t="s">
        <v>3861</v>
      </c>
      <c r="N882" s="47"/>
      <c r="O882" s="47" t="s">
        <v>1516</v>
      </c>
      <c r="P882" s="53"/>
      <c r="Q882" s="53"/>
      <c r="R882" s="53"/>
      <c r="S882" s="53"/>
      <c r="T882" s="48">
        <v>102.16</v>
      </c>
      <c r="U882" s="98">
        <v>195.77133907595928</v>
      </c>
      <c r="V882" s="98">
        <v>2060.4933437744717</v>
      </c>
      <c r="W882" s="98">
        <v>1122.0184543019636</v>
      </c>
      <c r="X882" s="98">
        <v>195.77133907595928</v>
      </c>
      <c r="Y882" s="233">
        <v>8.0500000000000007</v>
      </c>
      <c r="Z882" s="48">
        <v>-0.49</v>
      </c>
      <c r="AA882" s="48">
        <v>-0.66</v>
      </c>
      <c r="AB882" s="48">
        <v>-0.49</v>
      </c>
      <c r="AC882" s="48">
        <v>0.89780000000000004</v>
      </c>
      <c r="AD882" s="48">
        <v>-0.52</v>
      </c>
      <c r="AE882" s="48">
        <v>-0.66</v>
      </c>
      <c r="AF882" s="48">
        <f t="shared" si="258"/>
        <v>-0.66</v>
      </c>
      <c r="AG882" s="49">
        <v>0.19</v>
      </c>
      <c r="AH882" s="98">
        <v>3.3599999999999999E-7</v>
      </c>
      <c r="AI882" s="98"/>
      <c r="AJ882" s="483">
        <f t="shared" si="265"/>
        <v>-4.8622270489228079</v>
      </c>
      <c r="AK882" s="483"/>
      <c r="AL882" s="483">
        <f t="shared" si="264"/>
        <v>-4.8622270489228079</v>
      </c>
      <c r="AM882" s="483">
        <v>-8.2308299999999992</v>
      </c>
      <c r="AN882" s="226">
        <v>-10.1</v>
      </c>
      <c r="AO882" s="484">
        <v>15.01</v>
      </c>
      <c r="AP882" s="484">
        <v>2.09</v>
      </c>
      <c r="AQ882" s="226" t="s">
        <v>6311</v>
      </c>
      <c r="AR882" s="226" t="s">
        <v>6311</v>
      </c>
      <c r="AS882" s="224" t="s">
        <v>6</v>
      </c>
      <c r="AT882" s="50" t="s">
        <v>266</v>
      </c>
      <c r="AU882" s="48">
        <v>8</v>
      </c>
      <c r="AV882" s="48">
        <v>144</v>
      </c>
      <c r="AW882" s="48">
        <v>120</v>
      </c>
      <c r="AX882" s="48">
        <v>26</v>
      </c>
      <c r="AY882" s="48" t="s">
        <v>267</v>
      </c>
      <c r="AZ882" s="48" t="s">
        <v>2253</v>
      </c>
      <c r="BA882" s="48">
        <v>2</v>
      </c>
      <c r="BB882" s="47" t="s">
        <v>2254</v>
      </c>
      <c r="BC882" s="47" t="s">
        <v>270</v>
      </c>
      <c r="BD882" s="47" t="s">
        <v>8374</v>
      </c>
      <c r="BE882" s="48" t="s">
        <v>1712</v>
      </c>
      <c r="BF882" s="48" t="s">
        <v>272</v>
      </c>
      <c r="BG882" s="48" t="s">
        <v>272</v>
      </c>
      <c r="BH882" s="48" t="s">
        <v>2255</v>
      </c>
      <c r="BI882" s="98">
        <v>9.9999999999999995E-7</v>
      </c>
      <c r="BJ882" s="98">
        <v>0.08</v>
      </c>
      <c r="BK882" s="48"/>
      <c r="BL882" s="98">
        <f t="shared" si="263"/>
        <v>141.53667862387493</v>
      </c>
      <c r="BM882" s="48" t="s">
        <v>891</v>
      </c>
      <c r="BN882" s="233"/>
      <c r="BO882" s="233"/>
      <c r="BP882" s="233"/>
      <c r="BQ882" s="233"/>
      <c r="BR882" s="233"/>
      <c r="BS882" s="48"/>
      <c r="BT882" s="233"/>
      <c r="BU882" s="228"/>
      <c r="BV882" s="233"/>
      <c r="BW882" s="233"/>
      <c r="BX882" s="233"/>
      <c r="BY882" s="233"/>
      <c r="BZ882" s="233"/>
      <c r="CA882" s="233"/>
      <c r="CB882" s="233"/>
      <c r="CC882" s="48"/>
      <c r="CD882" s="48"/>
      <c r="CE882" s="48"/>
      <c r="CF882" s="48"/>
      <c r="CG882" s="233"/>
      <c r="CH882" s="48"/>
      <c r="CI882" s="98"/>
      <c r="CJ882" s="98"/>
      <c r="CK882" s="49">
        <f t="shared" si="260"/>
        <v>1769.2084827984365</v>
      </c>
      <c r="CL882" s="229"/>
      <c r="CM882" s="229"/>
      <c r="CN882" s="229"/>
      <c r="CO882" s="47" t="s">
        <v>892</v>
      </c>
      <c r="CP882" s="47" t="s">
        <v>893</v>
      </c>
      <c r="CQ882" s="224" t="s">
        <v>272</v>
      </c>
      <c r="CR882" s="224"/>
      <c r="CS882" s="230" t="s">
        <v>539</v>
      </c>
      <c r="CT882" s="230"/>
      <c r="CU882" s="230"/>
      <c r="CV882" s="335">
        <f t="shared" si="262"/>
        <v>2447.1417384494907</v>
      </c>
      <c r="CW882" s="230">
        <f t="shared" si="259"/>
        <v>1</v>
      </c>
      <c r="CX882" s="336" t="s">
        <v>539</v>
      </c>
      <c r="CY882" s="230" t="s">
        <v>6351</v>
      </c>
    </row>
    <row r="883" spans="1:103" ht="11.25" customHeight="1" x14ac:dyDescent="0.2">
      <c r="A883" s="72">
        <v>881</v>
      </c>
      <c r="B883" s="224">
        <v>1128</v>
      </c>
      <c r="C883" s="46" t="s">
        <v>7075</v>
      </c>
      <c r="D883" s="46"/>
      <c r="E883" s="114"/>
      <c r="F883" s="114" t="s">
        <v>3150</v>
      </c>
      <c r="G883" s="225">
        <v>96457</v>
      </c>
      <c r="H883" s="47" t="s">
        <v>3151</v>
      </c>
      <c r="I883" s="47" t="s">
        <v>3151</v>
      </c>
      <c r="J883" s="47" t="s">
        <v>3152</v>
      </c>
      <c r="K883" s="47" t="s">
        <v>3153</v>
      </c>
      <c r="L883" s="47"/>
      <c r="M883" s="47" t="s">
        <v>3154</v>
      </c>
      <c r="N883" s="47"/>
      <c r="O883" s="47" t="s">
        <v>1516</v>
      </c>
      <c r="P883" s="53"/>
      <c r="Q883" s="53"/>
      <c r="R883" s="53"/>
      <c r="S883" s="53"/>
      <c r="T883" s="48">
        <v>102.16</v>
      </c>
      <c r="U883" s="98">
        <v>195.77133907595928</v>
      </c>
      <c r="V883" s="98">
        <v>2060.4933437744717</v>
      </c>
      <c r="W883" s="98">
        <v>1122.0184543019636</v>
      </c>
      <c r="X883" s="98">
        <v>195.77133907595928</v>
      </c>
      <c r="Y883" s="233">
        <v>8.0500000000000007</v>
      </c>
      <c r="Z883" s="48">
        <v>-0.49</v>
      </c>
      <c r="AA883" s="48">
        <v>-0.66</v>
      </c>
      <c r="AB883" s="48">
        <v>-0.49</v>
      </c>
      <c r="AC883" s="48">
        <v>0.89780000000000004</v>
      </c>
      <c r="AD883" s="48">
        <v>-0.52</v>
      </c>
      <c r="AE883" s="48">
        <v>-0.66</v>
      </c>
      <c r="AF883" s="48">
        <f t="shared" si="258"/>
        <v>-0.66</v>
      </c>
      <c r="AG883" s="49">
        <v>0.19</v>
      </c>
      <c r="AH883" s="98">
        <v>3.3599999999999999E-7</v>
      </c>
      <c r="AI883" s="98"/>
      <c r="AJ883" s="483">
        <f t="shared" si="265"/>
        <v>-4.8622270489228079</v>
      </c>
      <c r="AK883" s="483"/>
      <c r="AL883" s="483">
        <f t="shared" si="264"/>
        <v>-4.8622270489228079</v>
      </c>
      <c r="AM883" s="483">
        <v>-8.2308299999999992</v>
      </c>
      <c r="AN883" s="226">
        <v>-10.1</v>
      </c>
      <c r="AO883" s="484">
        <v>15.01</v>
      </c>
      <c r="AP883" s="484">
        <v>2.09</v>
      </c>
      <c r="AQ883" s="48" t="s">
        <v>6311</v>
      </c>
      <c r="AR883" s="48" t="s">
        <v>6311</v>
      </c>
      <c r="AS883" s="227"/>
      <c r="AT883" s="50" t="s">
        <v>266</v>
      </c>
      <c r="AU883" s="48">
        <v>6</v>
      </c>
      <c r="AV883" s="48">
        <v>120</v>
      </c>
      <c r="AW883" s="48">
        <v>114</v>
      </c>
      <c r="AX883" s="48">
        <v>28</v>
      </c>
      <c r="AY883" s="48" t="s">
        <v>8728</v>
      </c>
      <c r="AZ883" s="48" t="s">
        <v>1563</v>
      </c>
      <c r="BA883" s="48">
        <v>32</v>
      </c>
      <c r="BB883" s="47" t="s">
        <v>2485</v>
      </c>
      <c r="BC883" s="47" t="s">
        <v>8726</v>
      </c>
      <c r="BD883" s="47" t="s">
        <v>8374</v>
      </c>
      <c r="BE883" s="48" t="s">
        <v>2449</v>
      </c>
      <c r="BF883" s="48" t="s">
        <v>272</v>
      </c>
      <c r="BG883" s="48" t="s">
        <v>272</v>
      </c>
      <c r="BH883" s="48" t="s">
        <v>2486</v>
      </c>
      <c r="BI883" s="98">
        <v>6.3999999999999997E-6</v>
      </c>
      <c r="BJ883" s="98">
        <v>6.4000000000000001E-2</v>
      </c>
      <c r="BK883" s="48"/>
      <c r="BL883" s="98">
        <f t="shared" si="263"/>
        <v>141.53667862387493</v>
      </c>
      <c r="BM883" s="47" t="s">
        <v>2487</v>
      </c>
      <c r="BN883" s="48"/>
      <c r="BO883" s="48"/>
      <c r="BP883" s="48"/>
      <c r="BQ883" s="48"/>
      <c r="BR883" s="47" t="s">
        <v>2496</v>
      </c>
      <c r="BS883" s="48"/>
      <c r="BT883" s="48"/>
      <c r="BU883" s="228">
        <v>6.3999999999999997E-5</v>
      </c>
      <c r="BV883" s="48"/>
      <c r="BW883" s="48"/>
      <c r="BX883" s="48"/>
      <c r="BY883" s="48"/>
      <c r="BZ883" s="48"/>
      <c r="CA883" s="48"/>
      <c r="CB883" s="48"/>
      <c r="CC883" s="48"/>
      <c r="CD883" s="48"/>
      <c r="CE883" s="48"/>
      <c r="CF883" s="48"/>
      <c r="CG883" s="48"/>
      <c r="CH883" s="48"/>
      <c r="CI883" s="98"/>
      <c r="CJ883" s="98"/>
      <c r="CK883" s="49">
        <f t="shared" si="260"/>
        <v>2211.5106034980458</v>
      </c>
      <c r="CL883" s="229"/>
      <c r="CM883" s="229"/>
      <c r="CN883" s="229"/>
      <c r="CO883" s="47" t="s">
        <v>2488</v>
      </c>
      <c r="CP883" s="47" t="s">
        <v>2489</v>
      </c>
      <c r="CQ883" s="224" t="s">
        <v>272</v>
      </c>
      <c r="CR883" s="224"/>
      <c r="CS883" s="230" t="s">
        <v>539</v>
      </c>
      <c r="CT883" s="230"/>
      <c r="CU883" s="230"/>
      <c r="CV883" s="335">
        <f t="shared" si="262"/>
        <v>3058.9271730618634</v>
      </c>
      <c r="CW883" s="230">
        <f t="shared" si="259"/>
        <v>1</v>
      </c>
      <c r="CX883" s="336"/>
      <c r="CY883" s="230" t="s">
        <v>6351</v>
      </c>
    </row>
    <row r="884" spans="1:103" ht="11.25" customHeight="1" x14ac:dyDescent="0.2">
      <c r="A884" s="72">
        <v>882</v>
      </c>
      <c r="B884" s="224">
        <v>1450</v>
      </c>
      <c r="C884" s="46" t="s">
        <v>7076</v>
      </c>
      <c r="D884" s="46"/>
      <c r="E884" s="114"/>
      <c r="F884" s="114" t="s">
        <v>4459</v>
      </c>
      <c r="G884" s="225">
        <v>96480</v>
      </c>
      <c r="H884" s="47" t="s">
        <v>4460</v>
      </c>
      <c r="I884" s="47" t="s">
        <v>4460</v>
      </c>
      <c r="J884" s="47" t="s">
        <v>4461</v>
      </c>
      <c r="K884" s="47" t="s">
        <v>357</v>
      </c>
      <c r="L884" s="47"/>
      <c r="M884" s="47"/>
      <c r="N884" s="47"/>
      <c r="O884" s="47"/>
      <c r="P884" s="53"/>
      <c r="Q884" s="53"/>
      <c r="R884" s="53"/>
      <c r="S884" s="53"/>
      <c r="T884" s="48">
        <v>86.09</v>
      </c>
      <c r="U884" s="98">
        <v>11615.750958299453</v>
      </c>
      <c r="V884" s="98">
        <v>5198.0485538390058</v>
      </c>
      <c r="W884" s="98">
        <v>660.69344800759598</v>
      </c>
      <c r="X884" s="98">
        <v>11615.750958299453</v>
      </c>
      <c r="Y884" s="233">
        <v>7</v>
      </c>
      <c r="Z884" s="48">
        <v>-0.31</v>
      </c>
      <c r="AA884" s="48">
        <v>-0.64</v>
      </c>
      <c r="AB884" s="48">
        <v>-0.23</v>
      </c>
      <c r="AC884" s="48">
        <v>0.79459999999999997</v>
      </c>
      <c r="AD884" s="48">
        <v>-0.39</v>
      </c>
      <c r="AE884" s="48">
        <v>-0.76</v>
      </c>
      <c r="AF884" s="48">
        <f t="shared" si="258"/>
        <v>-0.64</v>
      </c>
      <c r="AG884" s="49">
        <v>0.31</v>
      </c>
      <c r="AH884" s="98">
        <v>1.03E-4</v>
      </c>
      <c r="AI884" s="98">
        <v>5.2700000000000002E-8</v>
      </c>
      <c r="AJ884" s="483">
        <f t="shared" si="265"/>
        <v>-2.3757291016074795</v>
      </c>
      <c r="AK884" s="483">
        <f>LOG10(AI884*1000/(0.08206*298.15))</f>
        <v>-5.6667557111001052</v>
      </c>
      <c r="AL884" s="483">
        <f t="shared" si="264"/>
        <v>-5.6667557111001052</v>
      </c>
      <c r="AM884" s="483">
        <v>-5.7931099999999986</v>
      </c>
      <c r="AN884" s="226">
        <v>-4.5999999999999996</v>
      </c>
      <c r="AO884" s="484"/>
      <c r="AP884" s="484"/>
      <c r="AQ884" s="48" t="s">
        <v>6311</v>
      </c>
      <c r="AR884" s="48" t="s">
        <v>6311</v>
      </c>
      <c r="AS884" s="227"/>
      <c r="AT884" s="50" t="s">
        <v>266</v>
      </c>
      <c r="AU884" s="48">
        <v>6</v>
      </c>
      <c r="AV884" s="48">
        <v>120</v>
      </c>
      <c r="AW884" s="48">
        <v>114</v>
      </c>
      <c r="AX884" s="48">
        <v>28</v>
      </c>
      <c r="AY884" s="48" t="s">
        <v>8728</v>
      </c>
      <c r="AZ884" s="48" t="s">
        <v>1563</v>
      </c>
      <c r="BA884" s="48">
        <v>32</v>
      </c>
      <c r="BB884" s="47" t="s">
        <v>2485</v>
      </c>
      <c r="BC884" s="47" t="s">
        <v>8726</v>
      </c>
      <c r="BD884" s="47" t="s">
        <v>8374</v>
      </c>
      <c r="BE884" s="48" t="s">
        <v>2449</v>
      </c>
      <c r="BF884" s="48" t="s">
        <v>272</v>
      </c>
      <c r="BG884" s="48" t="s">
        <v>272</v>
      </c>
      <c r="BH884" s="48" t="s">
        <v>2486</v>
      </c>
      <c r="BI884" s="98">
        <v>6.3999999999999997E-6</v>
      </c>
      <c r="BJ884" s="98">
        <v>6.4000000000000001E-2</v>
      </c>
      <c r="BK884" s="48"/>
      <c r="BL884" s="98">
        <f t="shared" si="263"/>
        <v>97.546344709092068</v>
      </c>
      <c r="BM884" s="47" t="s">
        <v>2487</v>
      </c>
      <c r="BN884" s="48"/>
      <c r="BO884" s="48"/>
      <c r="BP884" s="48"/>
      <c r="BQ884" s="48"/>
      <c r="BR884" s="47" t="s">
        <v>2496</v>
      </c>
      <c r="BS884" s="48"/>
      <c r="BT884" s="48"/>
      <c r="BU884" s="228"/>
      <c r="BV884" s="48"/>
      <c r="BW884" s="48"/>
      <c r="BX884" s="48"/>
      <c r="BY884" s="48"/>
      <c r="BZ884" s="48"/>
      <c r="CA884" s="48"/>
      <c r="CB884" s="48"/>
      <c r="CC884" s="48"/>
      <c r="CD884" s="48"/>
      <c r="CE884" s="48"/>
      <c r="CF884" s="48"/>
      <c r="CG884" s="48"/>
      <c r="CH884" s="48"/>
      <c r="CI884" s="98"/>
      <c r="CJ884" s="98"/>
      <c r="CK884" s="49">
        <f t="shared" si="260"/>
        <v>1524.1616360795636</v>
      </c>
      <c r="CL884" s="229"/>
      <c r="CM884" s="229"/>
      <c r="CN884" s="229"/>
      <c r="CO884" s="47" t="s">
        <v>2488</v>
      </c>
      <c r="CP884" s="47" t="s">
        <v>2489</v>
      </c>
      <c r="CQ884" s="224" t="s">
        <v>272</v>
      </c>
      <c r="CR884" s="224"/>
      <c r="CS884" s="230" t="s">
        <v>539</v>
      </c>
      <c r="CT884" s="230"/>
      <c r="CU884" s="230"/>
      <c r="CV884" s="335">
        <f t="shared" si="262"/>
        <v>181496.10872342894</v>
      </c>
      <c r="CW884" s="230">
        <f t="shared" si="259"/>
        <v>1</v>
      </c>
      <c r="CX884" s="336"/>
      <c r="CY884" s="230" t="s">
        <v>6351</v>
      </c>
    </row>
    <row r="885" spans="1:103" ht="11.25" customHeight="1" x14ac:dyDescent="0.2">
      <c r="A885" s="72">
        <v>883</v>
      </c>
      <c r="B885" s="224">
        <v>1404</v>
      </c>
      <c r="C885" s="46" t="s">
        <v>7077</v>
      </c>
      <c r="D885" s="46"/>
      <c r="E885" s="114"/>
      <c r="F885" s="114" t="s">
        <v>4322</v>
      </c>
      <c r="G885" s="225">
        <v>96708</v>
      </c>
      <c r="H885" s="47" t="s">
        <v>4323</v>
      </c>
      <c r="I885" s="47" t="s">
        <v>4323</v>
      </c>
      <c r="J885" s="47" t="s">
        <v>4324</v>
      </c>
      <c r="K885" s="47" t="s">
        <v>349</v>
      </c>
      <c r="L885" s="47"/>
      <c r="M885" s="47"/>
      <c r="N885" s="47"/>
      <c r="O885" s="47"/>
      <c r="P885" s="53"/>
      <c r="Q885" s="53"/>
      <c r="R885" s="53"/>
      <c r="S885" s="53"/>
      <c r="T885" s="48">
        <v>178.27</v>
      </c>
      <c r="U885" s="98"/>
      <c r="V885" s="98">
        <v>0.1856734167274359</v>
      </c>
      <c r="W885" s="98">
        <v>1.0964781961431849</v>
      </c>
      <c r="X885" s="98">
        <f>IF(W885=0,V885,W885)</f>
        <v>1.0964781961431849</v>
      </c>
      <c r="Y885" s="233">
        <v>6.96</v>
      </c>
      <c r="Z885" s="48">
        <v>4.46</v>
      </c>
      <c r="AA885" s="48"/>
      <c r="AB885" s="48">
        <v>3.93</v>
      </c>
      <c r="AC885" s="48">
        <v>0.82169999999999999</v>
      </c>
      <c r="AD885" s="48">
        <v>4</v>
      </c>
      <c r="AE885" s="48">
        <v>4.16</v>
      </c>
      <c r="AF885" s="48">
        <f t="shared" si="258"/>
        <v>4</v>
      </c>
      <c r="AG885" s="49">
        <v>0.08</v>
      </c>
      <c r="AH885" s="98">
        <v>2.12E-6</v>
      </c>
      <c r="AI885" s="98"/>
      <c r="AJ885" s="483">
        <f t="shared" si="265"/>
        <v>-4.0622304653839008</v>
      </c>
      <c r="AK885" s="483"/>
      <c r="AL885" s="483">
        <f t="shared" si="264"/>
        <v>-4.0622304653839008</v>
      </c>
      <c r="AM885" s="483">
        <v>-6.8494799999999998</v>
      </c>
      <c r="AN885" s="226">
        <v>-12.7</v>
      </c>
      <c r="AO885" s="484">
        <v>11.68</v>
      </c>
      <c r="AP885" s="484"/>
      <c r="AQ885" s="48" t="s">
        <v>6311</v>
      </c>
      <c r="AR885" s="48" t="s">
        <v>6311</v>
      </c>
      <c r="AS885" s="227"/>
      <c r="AT885" s="50" t="s">
        <v>266</v>
      </c>
      <c r="AU885" s="48">
        <v>6</v>
      </c>
      <c r="AV885" s="48">
        <v>120</v>
      </c>
      <c r="AW885" s="48">
        <v>114</v>
      </c>
      <c r="AX885" s="48">
        <v>28</v>
      </c>
      <c r="AY885" s="48" t="s">
        <v>8728</v>
      </c>
      <c r="AZ885" s="48" t="s">
        <v>1563</v>
      </c>
      <c r="BA885" s="48">
        <v>32</v>
      </c>
      <c r="BB885" s="47" t="s">
        <v>2485</v>
      </c>
      <c r="BC885" s="47" t="s">
        <v>8726</v>
      </c>
      <c r="BD885" s="47" t="s">
        <v>8374</v>
      </c>
      <c r="BE885" s="48" t="s">
        <v>2449</v>
      </c>
      <c r="BF885" s="48" t="s">
        <v>272</v>
      </c>
      <c r="BG885" s="48" t="s">
        <v>272</v>
      </c>
      <c r="BH885" s="48" t="s">
        <v>2486</v>
      </c>
      <c r="BI885" s="98">
        <v>6.3999999999999997E-6</v>
      </c>
      <c r="BJ885" s="98">
        <v>6.4000000000000001E-2</v>
      </c>
      <c r="BK885" s="48"/>
      <c r="BL885" s="98">
        <f t="shared" si="263"/>
        <v>5.0731067385228461E-3</v>
      </c>
      <c r="BM885" s="47" t="s">
        <v>2487</v>
      </c>
      <c r="BN885" s="48"/>
      <c r="BO885" s="48"/>
      <c r="BP885" s="48"/>
      <c r="BQ885" s="48"/>
      <c r="BR885" s="47" t="s">
        <v>2496</v>
      </c>
      <c r="BS885" s="48"/>
      <c r="BT885" s="48"/>
      <c r="BU885" s="228"/>
      <c r="BV885" s="48"/>
      <c r="BW885" s="48"/>
      <c r="BX885" s="48"/>
      <c r="BY885" s="48"/>
      <c r="BZ885" s="48"/>
      <c r="CA885" s="48"/>
      <c r="CB885" s="48"/>
      <c r="CC885" s="48"/>
      <c r="CD885" s="48"/>
      <c r="CE885" s="48"/>
      <c r="CF885" s="48"/>
      <c r="CG885" s="48"/>
      <c r="CH885" s="48"/>
      <c r="CI885" s="52" t="s">
        <v>6347</v>
      </c>
      <c r="CJ885" s="98"/>
      <c r="CK885" s="49">
        <f t="shared" si="260"/>
        <v>7.9267292789419463E-2</v>
      </c>
      <c r="CL885" s="229"/>
      <c r="CM885" s="229"/>
      <c r="CN885" s="229"/>
      <c r="CO885" s="47" t="s">
        <v>2488</v>
      </c>
      <c r="CP885" s="47" t="s">
        <v>2489</v>
      </c>
      <c r="CQ885" s="224" t="s">
        <v>272</v>
      </c>
      <c r="CR885" s="224"/>
      <c r="CS885" s="230" t="s">
        <v>539</v>
      </c>
      <c r="CT885" s="230"/>
      <c r="CU885" s="230"/>
      <c r="CV885" s="335">
        <f t="shared" si="262"/>
        <v>17.132471814737265</v>
      </c>
      <c r="CW885" s="230">
        <f t="shared" si="259"/>
        <v>1</v>
      </c>
      <c r="CX885" s="336"/>
      <c r="CY885" s="230" t="s">
        <v>5921</v>
      </c>
    </row>
    <row r="886" spans="1:103" ht="11.25" customHeight="1" x14ac:dyDescent="0.2">
      <c r="A886" s="72">
        <v>884</v>
      </c>
      <c r="B886" s="224">
        <v>1653</v>
      </c>
      <c r="C886" s="46" t="s">
        <v>7078</v>
      </c>
      <c r="D886" s="46"/>
      <c r="E886" s="114"/>
      <c r="F886" s="114" t="s">
        <v>4865</v>
      </c>
      <c r="G886" s="225">
        <v>97530</v>
      </c>
      <c r="H886" s="47" t="s">
        <v>4866</v>
      </c>
      <c r="I886" s="47" t="s">
        <v>4866</v>
      </c>
      <c r="J886" s="47" t="s">
        <v>4867</v>
      </c>
      <c r="K886" s="47" t="s">
        <v>349</v>
      </c>
      <c r="L886" s="47"/>
      <c r="M886" s="47"/>
      <c r="N886" s="47"/>
      <c r="O886" s="47"/>
      <c r="P886" s="53"/>
      <c r="Q886" s="53"/>
      <c r="R886" s="53"/>
      <c r="S886" s="53"/>
      <c r="T886" s="48">
        <v>164.2</v>
      </c>
      <c r="U886" s="98">
        <v>14.981729598051158</v>
      </c>
      <c r="V886" s="98">
        <v>4.5919610231425096</v>
      </c>
      <c r="W886" s="98">
        <v>15.488166189124804</v>
      </c>
      <c r="X886" s="98">
        <v>14.981729598051158</v>
      </c>
      <c r="Y886" s="233">
        <v>6.05</v>
      </c>
      <c r="Z886" s="48">
        <v>2.73</v>
      </c>
      <c r="AA886" s="48">
        <v>2.27</v>
      </c>
      <c r="AB886" s="48">
        <v>2.58</v>
      </c>
      <c r="AC886" s="48">
        <v>0.85029999999999994</v>
      </c>
      <c r="AD886" s="48">
        <v>2.48</v>
      </c>
      <c r="AE886" s="48">
        <v>2.2000000000000002</v>
      </c>
      <c r="AF886" s="48">
        <f t="shared" si="258"/>
        <v>2.27</v>
      </c>
      <c r="AG886" s="49">
        <v>2.4900000000000002</v>
      </c>
      <c r="AH886" s="98">
        <v>4.8100000000000001E-8</v>
      </c>
      <c r="AI886" s="98">
        <v>1.99E-6</v>
      </c>
      <c r="AJ886" s="483">
        <f t="shared" si="265"/>
        <v>-5.7064212499388196</v>
      </c>
      <c r="AK886" s="483">
        <f>LOG10(AI886*1000/(0.08206*298.15))</f>
        <v>-4.0897132499029452</v>
      </c>
      <c r="AL886" s="483">
        <f t="shared" si="264"/>
        <v>-4.0897132499029452</v>
      </c>
      <c r="AM886" s="483">
        <v>-7.0105800000000009</v>
      </c>
      <c r="AN886" s="226">
        <v>-4</v>
      </c>
      <c r="AO886" s="484">
        <v>10.29</v>
      </c>
      <c r="AP886" s="484"/>
      <c r="AQ886" s="226" t="s">
        <v>6311</v>
      </c>
      <c r="AR886" s="226" t="s">
        <v>6311</v>
      </c>
      <c r="AS886" s="224"/>
      <c r="AT886" s="50" t="s">
        <v>266</v>
      </c>
      <c r="AU886" s="48">
        <v>6</v>
      </c>
      <c r="AV886" s="48">
        <v>120</v>
      </c>
      <c r="AW886" s="48">
        <v>114</v>
      </c>
      <c r="AX886" s="48">
        <v>28</v>
      </c>
      <c r="AY886" s="48" t="s">
        <v>8728</v>
      </c>
      <c r="AZ886" s="48" t="s">
        <v>1563</v>
      </c>
      <c r="BA886" s="48">
        <v>32</v>
      </c>
      <c r="BB886" s="47" t="s">
        <v>2485</v>
      </c>
      <c r="BC886" s="47" t="s">
        <v>8726</v>
      </c>
      <c r="BD886" s="47" t="s">
        <v>8374</v>
      </c>
      <c r="BE886" s="48" t="s">
        <v>2449</v>
      </c>
      <c r="BF886" s="48" t="s">
        <v>272</v>
      </c>
      <c r="BG886" s="48" t="s">
        <v>272</v>
      </c>
      <c r="BH886" s="48" t="s">
        <v>2486</v>
      </c>
      <c r="BI886" s="98">
        <v>6.3999999999999997E-6</v>
      </c>
      <c r="BJ886" s="98">
        <v>6.4000000000000001E-2</v>
      </c>
      <c r="BK886" s="48"/>
      <c r="BL886" s="98">
        <f t="shared" si="263"/>
        <v>0.18154613186555818</v>
      </c>
      <c r="BM886" s="47" t="s">
        <v>2487</v>
      </c>
      <c r="BN886" s="48"/>
      <c r="BO886" s="48"/>
      <c r="BP886" s="48"/>
      <c r="BQ886" s="48"/>
      <c r="BR886" s="47" t="s">
        <v>2496</v>
      </c>
      <c r="BS886" s="48"/>
      <c r="BT886" s="48"/>
      <c r="BU886" s="228"/>
      <c r="BV886" s="48"/>
      <c r="BW886" s="48"/>
      <c r="BX886" s="48"/>
      <c r="BY886" s="48"/>
      <c r="BZ886" s="48"/>
      <c r="CA886" s="48"/>
      <c r="CB886" s="48"/>
      <c r="CC886" s="48"/>
      <c r="CD886" s="48"/>
      <c r="CE886" s="48"/>
      <c r="CF886" s="48"/>
      <c r="CG886" s="48"/>
      <c r="CH886" s="48"/>
      <c r="CI886" s="98"/>
      <c r="CJ886" s="98"/>
      <c r="CK886" s="49">
        <f t="shared" si="260"/>
        <v>2.8366583103993466</v>
      </c>
      <c r="CL886" s="229"/>
      <c r="CM886" s="229"/>
      <c r="CN886" s="229"/>
      <c r="CO886" s="47" t="s">
        <v>2488</v>
      </c>
      <c r="CP886" s="47" t="s">
        <v>2489</v>
      </c>
      <c r="CQ886" s="224" t="s">
        <v>272</v>
      </c>
      <c r="CR886" s="224"/>
      <c r="CS886" s="230" t="s">
        <v>539</v>
      </c>
      <c r="CT886" s="230"/>
      <c r="CU886" s="230"/>
      <c r="CV886" s="335">
        <f t="shared" si="262"/>
        <v>234.08952496954936</v>
      </c>
      <c r="CW886" s="230">
        <f t="shared" si="259"/>
        <v>1</v>
      </c>
      <c r="CX886" s="336"/>
      <c r="CY886" s="230" t="s">
        <v>6351</v>
      </c>
    </row>
    <row r="887" spans="1:103" ht="11.25" customHeight="1" x14ac:dyDescent="0.2">
      <c r="A887" s="72">
        <v>885</v>
      </c>
      <c r="B887" s="224">
        <v>1710</v>
      </c>
      <c r="C887" s="46" t="s">
        <v>7079</v>
      </c>
      <c r="D887" s="46"/>
      <c r="E887" s="114"/>
      <c r="F887" s="114" t="s">
        <v>4971</v>
      </c>
      <c r="G887" s="225">
        <v>97541</v>
      </c>
      <c r="H887" s="47" t="s">
        <v>4972</v>
      </c>
      <c r="I887" s="47" t="s">
        <v>4972</v>
      </c>
      <c r="J887" s="47" t="s">
        <v>4973</v>
      </c>
      <c r="K887" s="47" t="s">
        <v>349</v>
      </c>
      <c r="L887" s="47"/>
      <c r="M887" s="47"/>
      <c r="N887" s="47"/>
      <c r="O887" s="47"/>
      <c r="P887" s="53"/>
      <c r="Q887" s="53"/>
      <c r="R887" s="53"/>
      <c r="S887" s="53"/>
      <c r="T887" s="48">
        <v>164.2</v>
      </c>
      <c r="U887" s="98"/>
      <c r="V887" s="98">
        <v>1.010353227771011</v>
      </c>
      <c r="W887" s="98">
        <v>12.882495516931332</v>
      </c>
      <c r="X887" s="98">
        <f>IF(W887=0,V887,W887)</f>
        <v>12.882495516931332</v>
      </c>
      <c r="Y887" s="233">
        <v>6</v>
      </c>
      <c r="Z887" s="48">
        <v>2.65</v>
      </c>
      <c r="AA887" s="48">
        <v>3.04</v>
      </c>
      <c r="AB887" s="48">
        <v>2.59</v>
      </c>
      <c r="AC887" s="48">
        <v>0.8609</v>
      </c>
      <c r="AD887" s="48">
        <v>2.5499999999999998</v>
      </c>
      <c r="AE887" s="48">
        <v>2.4500000000000002</v>
      </c>
      <c r="AF887" s="48">
        <f t="shared" si="258"/>
        <v>3.04</v>
      </c>
      <c r="AG887" s="49">
        <v>2.61</v>
      </c>
      <c r="AH887" s="98">
        <v>2.6700000000000001E-8</v>
      </c>
      <c r="AI887" s="98"/>
      <c r="AJ887" s="483">
        <f t="shared" si="265"/>
        <v>-5.9620550649480766</v>
      </c>
      <c r="AK887" s="483"/>
      <c r="AL887" s="483">
        <f t="shared" si="264"/>
        <v>-5.9620550649480766</v>
      </c>
      <c r="AM887" s="483">
        <v>-7.2037499999999994</v>
      </c>
      <c r="AN887" s="226">
        <v>-4.13</v>
      </c>
      <c r="AO887" s="484">
        <v>10.1</v>
      </c>
      <c r="AP887" s="484"/>
      <c r="AQ887" s="226" t="s">
        <v>6311</v>
      </c>
      <c r="AR887" s="226" t="s">
        <v>6311</v>
      </c>
      <c r="AS887" s="224"/>
      <c r="AT887" s="50" t="s">
        <v>266</v>
      </c>
      <c r="AU887" s="48">
        <v>6</v>
      </c>
      <c r="AV887" s="48">
        <v>120</v>
      </c>
      <c r="AW887" s="48">
        <v>114</v>
      </c>
      <c r="AX887" s="48">
        <v>28</v>
      </c>
      <c r="AY887" s="48" t="s">
        <v>8728</v>
      </c>
      <c r="AZ887" s="48" t="s">
        <v>1563</v>
      </c>
      <c r="BA887" s="48">
        <v>32</v>
      </c>
      <c r="BB887" s="47" t="s">
        <v>2485</v>
      </c>
      <c r="BC887" s="47" t="s">
        <v>8726</v>
      </c>
      <c r="BD887" s="47" t="s">
        <v>8374</v>
      </c>
      <c r="BE887" s="48" t="s">
        <v>2449</v>
      </c>
      <c r="BF887" s="48" t="s">
        <v>272</v>
      </c>
      <c r="BG887" s="48" t="s">
        <v>272</v>
      </c>
      <c r="BH887" s="48" t="s">
        <v>2486</v>
      </c>
      <c r="BI887" s="98">
        <v>6.3999999999999997E-6</v>
      </c>
      <c r="BJ887" s="98">
        <v>6.4000000000000001E-2</v>
      </c>
      <c r="BK887" s="48"/>
      <c r="BL887" s="98">
        <f t="shared" si="263"/>
        <v>0.21420766147449449</v>
      </c>
      <c r="BM887" s="47" t="s">
        <v>2487</v>
      </c>
      <c r="BN887" s="48"/>
      <c r="BO887" s="48"/>
      <c r="BP887" s="48"/>
      <c r="BQ887" s="48"/>
      <c r="BR887" s="47" t="s">
        <v>2496</v>
      </c>
      <c r="BS887" s="48"/>
      <c r="BT887" s="48"/>
      <c r="BU887" s="228"/>
      <c r="BV887" s="48"/>
      <c r="BW887" s="48"/>
      <c r="BX887" s="48"/>
      <c r="BY887" s="48"/>
      <c r="BZ887" s="48"/>
      <c r="CA887" s="48"/>
      <c r="CB887" s="48"/>
      <c r="CC887" s="48"/>
      <c r="CD887" s="48"/>
      <c r="CE887" s="48"/>
      <c r="CF887" s="48"/>
      <c r="CG887" s="48"/>
      <c r="CH887" s="48"/>
      <c r="CI887" s="98"/>
      <c r="CJ887" s="98"/>
      <c r="CK887" s="49">
        <f t="shared" si="260"/>
        <v>3.3469947105389766</v>
      </c>
      <c r="CL887" s="229"/>
      <c r="CM887" s="229"/>
      <c r="CN887" s="229"/>
      <c r="CO887" s="47" t="s">
        <v>2488</v>
      </c>
      <c r="CP887" s="47" t="s">
        <v>2489</v>
      </c>
      <c r="CQ887" s="224" t="s">
        <v>272</v>
      </c>
      <c r="CR887" s="224"/>
      <c r="CS887" s="230" t="s">
        <v>539</v>
      </c>
      <c r="CT887" s="230"/>
      <c r="CU887" s="230"/>
      <c r="CV887" s="335">
        <f t="shared" si="262"/>
        <v>201.28899245205207</v>
      </c>
      <c r="CW887" s="230">
        <f t="shared" si="259"/>
        <v>1</v>
      </c>
      <c r="CX887" s="336"/>
      <c r="CY887" s="230" t="s">
        <v>5921</v>
      </c>
    </row>
    <row r="888" spans="1:103" ht="11.25" customHeight="1" x14ac:dyDescent="0.2">
      <c r="A888" s="72">
        <v>886</v>
      </c>
      <c r="B888" s="224">
        <v>1151</v>
      </c>
      <c r="C888" s="46" t="s">
        <v>7080</v>
      </c>
      <c r="D888" s="46"/>
      <c r="E888" s="114"/>
      <c r="F888" s="114" t="s">
        <v>3187</v>
      </c>
      <c r="G888" s="225">
        <v>98011</v>
      </c>
      <c r="H888" s="47" t="s">
        <v>3188</v>
      </c>
      <c r="I888" s="47" t="s">
        <v>8013</v>
      </c>
      <c r="J888" s="47" t="s">
        <v>3189</v>
      </c>
      <c r="K888" s="47" t="s">
        <v>511</v>
      </c>
      <c r="L888" s="47" t="s">
        <v>6124</v>
      </c>
      <c r="M888" s="47" t="s">
        <v>6125</v>
      </c>
      <c r="N888" s="47"/>
      <c r="O888" s="47" t="s">
        <v>6083</v>
      </c>
      <c r="P888" s="53" t="s">
        <v>6172</v>
      </c>
      <c r="Q888" s="53" t="s">
        <v>6176</v>
      </c>
      <c r="R888" s="53" t="s">
        <v>6185</v>
      </c>
      <c r="S888" s="53" t="s">
        <v>6173</v>
      </c>
      <c r="T888" s="48">
        <v>96.08</v>
      </c>
      <c r="U888" s="98">
        <v>771.23230641132386</v>
      </c>
      <c r="V888" s="98">
        <v>557.66028309741887</v>
      </c>
      <c r="W888" s="98">
        <v>51.286138399136455</v>
      </c>
      <c r="X888" s="98">
        <v>771.23230641132386</v>
      </c>
      <c r="Y888" s="233">
        <v>7</v>
      </c>
      <c r="Z888" s="48">
        <v>0.83</v>
      </c>
      <c r="AA888" s="48">
        <v>0.41</v>
      </c>
      <c r="AB888" s="48">
        <v>0.68</v>
      </c>
      <c r="AC888" s="48">
        <v>0.87160000000000004</v>
      </c>
      <c r="AD888" s="48">
        <v>0.69</v>
      </c>
      <c r="AE888" s="48">
        <v>0.73</v>
      </c>
      <c r="AF888" s="48">
        <f t="shared" si="258"/>
        <v>0.41</v>
      </c>
      <c r="AG888" s="49">
        <v>0.97</v>
      </c>
      <c r="AH888" s="98">
        <v>1.34E-5</v>
      </c>
      <c r="AI888" s="98">
        <v>3.7699999999999999E-6</v>
      </c>
      <c r="AJ888" s="483">
        <f t="shared" si="265"/>
        <v>-3.2614615279478443</v>
      </c>
      <c r="AK888" s="483">
        <f>LOG10(AI888*1000/(0.08206*298.15))</f>
        <v>-3.812224976106859</v>
      </c>
      <c r="AL888" s="483">
        <f t="shared" si="264"/>
        <v>-3.812224976106859</v>
      </c>
      <c r="AM888" s="483">
        <v>-4.9614899999999995</v>
      </c>
      <c r="AN888" s="226">
        <v>-2.98</v>
      </c>
      <c r="AO888" s="484"/>
      <c r="AP888" s="484"/>
      <c r="AQ888" s="48" t="s">
        <v>6311</v>
      </c>
      <c r="AR888" s="48" t="s">
        <v>6311</v>
      </c>
      <c r="AS888" s="227"/>
      <c r="AT888" s="50" t="s">
        <v>266</v>
      </c>
      <c r="AU888" s="48">
        <v>6</v>
      </c>
      <c r="AV888" s="48">
        <v>120</v>
      </c>
      <c r="AW888" s="48">
        <v>114</v>
      </c>
      <c r="AX888" s="48">
        <v>28</v>
      </c>
      <c r="AY888" s="48" t="s">
        <v>8728</v>
      </c>
      <c r="AZ888" s="48" t="s">
        <v>1563</v>
      </c>
      <c r="BA888" s="48">
        <v>32</v>
      </c>
      <c r="BB888" s="47" t="s">
        <v>2485</v>
      </c>
      <c r="BC888" s="47" t="s">
        <v>8726</v>
      </c>
      <c r="BD888" s="47" t="s">
        <v>8374</v>
      </c>
      <c r="BE888" s="48" t="s">
        <v>2449</v>
      </c>
      <c r="BF888" s="48" t="s">
        <v>272</v>
      </c>
      <c r="BG888" s="48" t="s">
        <v>272</v>
      </c>
      <c r="BH888" s="48" t="s">
        <v>2486</v>
      </c>
      <c r="BI888" s="98">
        <v>6.3999999999999997E-6</v>
      </c>
      <c r="BJ888" s="98">
        <v>6.4000000000000001E-2</v>
      </c>
      <c r="BK888" s="48"/>
      <c r="BL888" s="98">
        <f t="shared" si="263"/>
        <v>9.2337263566302212</v>
      </c>
      <c r="BM888" s="47" t="s">
        <v>2487</v>
      </c>
      <c r="BN888" s="48"/>
      <c r="BO888" s="48"/>
      <c r="BP888" s="48"/>
      <c r="BQ888" s="48"/>
      <c r="BR888" s="47" t="s">
        <v>2496</v>
      </c>
      <c r="BS888" s="48"/>
      <c r="BT888" s="48"/>
      <c r="BU888" s="228">
        <v>6.4000000000000003E-3</v>
      </c>
      <c r="BV888" s="48"/>
      <c r="BW888" s="48"/>
      <c r="BX888" s="48"/>
      <c r="BY888" s="48"/>
      <c r="BZ888" s="48"/>
      <c r="CA888" s="48"/>
      <c r="CB888" s="48"/>
      <c r="CC888" s="48"/>
      <c r="CD888" s="48"/>
      <c r="CE888" s="48"/>
      <c r="CF888" s="48"/>
      <c r="CG888" s="48"/>
      <c r="CH888" s="48"/>
      <c r="CI888" s="98"/>
      <c r="CJ888" s="98"/>
      <c r="CK888" s="49">
        <f t="shared" si="260"/>
        <v>144.2769743223472</v>
      </c>
      <c r="CL888" s="229"/>
      <c r="CM888" s="229"/>
      <c r="CN888" s="229"/>
      <c r="CO888" s="47" t="s">
        <v>2488</v>
      </c>
      <c r="CP888" s="47" t="s">
        <v>2489</v>
      </c>
      <c r="CQ888" s="224">
        <v>-0.96456062062998071</v>
      </c>
      <c r="CR888" s="224">
        <f>10^(CJ888-CQ888)</f>
        <v>9.2163852589536077</v>
      </c>
      <c r="CS888" s="230" t="s">
        <v>539</v>
      </c>
      <c r="CT888" s="230"/>
      <c r="CU888" s="230"/>
      <c r="CV888" s="335">
        <f t="shared" si="262"/>
        <v>12050.504787676935</v>
      </c>
      <c r="CW888" s="230">
        <f t="shared" si="259"/>
        <v>1</v>
      </c>
      <c r="CX888" s="336"/>
      <c r="CY888" s="230" t="s">
        <v>6351</v>
      </c>
    </row>
    <row r="889" spans="1:103" ht="11.25" customHeight="1" x14ac:dyDescent="0.2">
      <c r="A889" s="72">
        <v>887</v>
      </c>
      <c r="B889" s="224">
        <v>1521</v>
      </c>
      <c r="C889" s="46" t="s">
        <v>7081</v>
      </c>
      <c r="D889" s="46"/>
      <c r="E889" s="114"/>
      <c r="F889" s="114" t="s">
        <v>4614</v>
      </c>
      <c r="G889" s="225">
        <v>98077</v>
      </c>
      <c r="H889" s="47" t="s">
        <v>4615</v>
      </c>
      <c r="I889" s="47" t="s">
        <v>8014</v>
      </c>
      <c r="J889" s="47" t="s">
        <v>4616</v>
      </c>
      <c r="K889" s="47" t="s">
        <v>2938</v>
      </c>
      <c r="L889" s="47"/>
      <c r="M889" s="47"/>
      <c r="N889" s="47"/>
      <c r="O889" s="47"/>
      <c r="P889" s="53"/>
      <c r="Q889" s="53"/>
      <c r="R889" s="53"/>
      <c r="S889" s="53"/>
      <c r="T889" s="48">
        <v>195.47</v>
      </c>
      <c r="U889" s="98">
        <v>0.27114135161405845</v>
      </c>
      <c r="V889" s="98">
        <v>0.11111679541617639</v>
      </c>
      <c r="W889" s="98">
        <v>0.13182567385564067</v>
      </c>
      <c r="X889" s="98">
        <v>0.27114135161405845</v>
      </c>
      <c r="Y889" s="233">
        <v>7</v>
      </c>
      <c r="Z889" s="48">
        <v>3.9</v>
      </c>
      <c r="AA889" s="48"/>
      <c r="AB889" s="48">
        <v>4.0199999999999996</v>
      </c>
      <c r="AC889" s="48">
        <v>0.72019999999999995</v>
      </c>
      <c r="AD889" s="48">
        <v>3.78</v>
      </c>
      <c r="AE889" s="48">
        <v>3.34</v>
      </c>
      <c r="AF889" s="48">
        <f t="shared" si="258"/>
        <v>3.78</v>
      </c>
      <c r="AG889" s="49">
        <v>3.38</v>
      </c>
      <c r="AH889" s="98">
        <v>2.5999999999999998E-4</v>
      </c>
      <c r="AI889" s="98"/>
      <c r="AJ889" s="483">
        <f t="shared" si="265"/>
        <v>-1.973592978341834</v>
      </c>
      <c r="AK889" s="483"/>
      <c r="AL889" s="483">
        <f t="shared" si="264"/>
        <v>-1.973592978341834</v>
      </c>
      <c r="AM889" s="483">
        <v>-3.4823700000000004</v>
      </c>
      <c r="AN889" s="226">
        <v>-1.69</v>
      </c>
      <c r="AO889" s="484"/>
      <c r="AP889" s="484"/>
      <c r="AQ889" s="48" t="s">
        <v>6311</v>
      </c>
      <c r="AR889" s="48" t="s">
        <v>6311</v>
      </c>
      <c r="AS889" s="227"/>
      <c r="AT889" s="50" t="s">
        <v>266</v>
      </c>
      <c r="AU889" s="48">
        <v>6</v>
      </c>
      <c r="AV889" s="48">
        <v>120</v>
      </c>
      <c r="AW889" s="48">
        <v>114</v>
      </c>
      <c r="AX889" s="48">
        <v>28</v>
      </c>
      <c r="AY889" s="48" t="s">
        <v>8728</v>
      </c>
      <c r="AZ889" s="48" t="s">
        <v>1563</v>
      </c>
      <c r="BA889" s="48">
        <v>32</v>
      </c>
      <c r="BB889" s="47" t="s">
        <v>2485</v>
      </c>
      <c r="BC889" s="47" t="s">
        <v>8726</v>
      </c>
      <c r="BD889" s="47" t="s">
        <v>8374</v>
      </c>
      <c r="BE889" s="48" t="s">
        <v>2449</v>
      </c>
      <c r="BF889" s="48" t="s">
        <v>272</v>
      </c>
      <c r="BG889" s="48" t="s">
        <v>272</v>
      </c>
      <c r="BH889" s="48" t="s">
        <v>2486</v>
      </c>
      <c r="BI889" s="98">
        <v>6.3999999999999997E-6</v>
      </c>
      <c r="BJ889" s="98">
        <v>6.4000000000000001E-2</v>
      </c>
      <c r="BK889" s="48"/>
      <c r="BL889" s="98">
        <f t="shared" si="263"/>
        <v>1.6151393571555046E-2</v>
      </c>
      <c r="BM889" s="47" t="s">
        <v>2487</v>
      </c>
      <c r="BN889" s="48"/>
      <c r="BO889" s="48"/>
      <c r="BP889" s="48"/>
      <c r="BQ889" s="48"/>
      <c r="BR889" s="47" t="s">
        <v>2496</v>
      </c>
      <c r="BS889" s="48"/>
      <c r="BT889" s="48"/>
      <c r="BU889" s="228"/>
      <c r="BV889" s="48"/>
      <c r="BW889" s="48"/>
      <c r="BX889" s="48"/>
      <c r="BY889" s="48"/>
      <c r="BZ889" s="48"/>
      <c r="CA889" s="48"/>
      <c r="CB889" s="48"/>
      <c r="CC889" s="48"/>
      <c r="CD889" s="48"/>
      <c r="CE889" s="48"/>
      <c r="CF889" s="48"/>
      <c r="CG889" s="48"/>
      <c r="CH889" s="48"/>
      <c r="CI889" s="98"/>
      <c r="CJ889" s="98"/>
      <c r="CK889" s="49">
        <f t="shared" si="260"/>
        <v>0.25236552455554762</v>
      </c>
      <c r="CL889" s="229"/>
      <c r="CM889" s="229"/>
      <c r="CN889" s="229"/>
      <c r="CO889" s="47" t="s">
        <v>2488</v>
      </c>
      <c r="CP889" s="47" t="s">
        <v>2489</v>
      </c>
      <c r="CQ889" s="224" t="s">
        <v>272</v>
      </c>
      <c r="CR889" s="224"/>
      <c r="CS889" s="230" t="s">
        <v>539</v>
      </c>
      <c r="CT889" s="230"/>
      <c r="CU889" s="230"/>
      <c r="CV889" s="335">
        <f t="shared" si="262"/>
        <v>4.2365836189696635</v>
      </c>
      <c r="CW889" s="230">
        <f t="shared" si="259"/>
        <v>1</v>
      </c>
      <c r="CX889" s="336"/>
      <c r="CY889" s="230" t="s">
        <v>6351</v>
      </c>
    </row>
    <row r="890" spans="1:103" ht="11.25" customHeight="1" x14ac:dyDescent="0.2">
      <c r="A890" s="72">
        <v>888</v>
      </c>
      <c r="B890" s="224">
        <v>1490</v>
      </c>
      <c r="C890" s="46" t="s">
        <v>7082</v>
      </c>
      <c r="D890" s="46"/>
      <c r="E890" s="114"/>
      <c r="F890" s="114" t="s">
        <v>4571</v>
      </c>
      <c r="G890" s="225">
        <v>98862</v>
      </c>
      <c r="H890" s="47" t="s">
        <v>4572</v>
      </c>
      <c r="I890" s="47" t="s">
        <v>4572</v>
      </c>
      <c r="J890" s="47" t="s">
        <v>4573</v>
      </c>
      <c r="K890" s="47" t="s">
        <v>426</v>
      </c>
      <c r="L890" s="47"/>
      <c r="M890" s="47"/>
      <c r="N890" s="47"/>
      <c r="O890" s="47"/>
      <c r="P890" s="53"/>
      <c r="Q890" s="53" t="s">
        <v>6173</v>
      </c>
      <c r="R890" s="53" t="s">
        <v>6185</v>
      </c>
      <c r="S890" s="53" t="s">
        <v>6176</v>
      </c>
      <c r="T890" s="48">
        <v>120.15</v>
      </c>
      <c r="U890" s="98">
        <v>51.019558884727424</v>
      </c>
      <c r="V890" s="98">
        <v>37.32001664585934</v>
      </c>
      <c r="W890" s="98">
        <v>18.62087136662867</v>
      </c>
      <c r="X890" s="98">
        <v>51.019558884727424</v>
      </c>
      <c r="Y890" s="233">
        <v>7</v>
      </c>
      <c r="Z890" s="48">
        <v>1.67</v>
      </c>
      <c r="AA890" s="48">
        <v>1.58</v>
      </c>
      <c r="AB890" s="48">
        <v>1.63</v>
      </c>
      <c r="AC890" s="48">
        <v>0.9153</v>
      </c>
      <c r="AD890" s="48">
        <v>1.63</v>
      </c>
      <c r="AE890" s="48">
        <v>1.66</v>
      </c>
      <c r="AF890" s="48">
        <f t="shared" si="258"/>
        <v>1.58</v>
      </c>
      <c r="AG890" s="49">
        <v>1.61</v>
      </c>
      <c r="AH890" s="98">
        <v>9.8099999999999992E-6</v>
      </c>
      <c r="AI890" s="98">
        <v>1.04E-5</v>
      </c>
      <c r="AJ890" s="483">
        <f t="shared" si="265"/>
        <v>-3.3968973189327034</v>
      </c>
      <c r="AK890" s="483">
        <f t="shared" ref="AK890:AK895" si="267">LOG10(AI890*1000/(0.08206*298.15))</f>
        <v>-3.3715329870138713</v>
      </c>
      <c r="AL890" s="483">
        <f t="shared" si="264"/>
        <v>-3.3715329870138713</v>
      </c>
      <c r="AM890" s="483">
        <v>-5.4860399999999991</v>
      </c>
      <c r="AN890" s="226">
        <v>-3.29</v>
      </c>
      <c r="AO890" s="484"/>
      <c r="AP890" s="484"/>
      <c r="AQ890" s="48" t="s">
        <v>6311</v>
      </c>
      <c r="AR890" s="48" t="s">
        <v>6311</v>
      </c>
      <c r="AS890" s="227"/>
      <c r="AT890" s="50" t="s">
        <v>266</v>
      </c>
      <c r="AU890" s="48">
        <v>6</v>
      </c>
      <c r="AV890" s="48">
        <v>120</v>
      </c>
      <c r="AW890" s="48">
        <v>114</v>
      </c>
      <c r="AX890" s="48">
        <v>28</v>
      </c>
      <c r="AY890" s="48" t="s">
        <v>8728</v>
      </c>
      <c r="AZ890" s="48" t="s">
        <v>1563</v>
      </c>
      <c r="BA890" s="48">
        <v>32</v>
      </c>
      <c r="BB890" s="47" t="s">
        <v>2485</v>
      </c>
      <c r="BC890" s="47" t="s">
        <v>8726</v>
      </c>
      <c r="BD890" s="47" t="s">
        <v>8374</v>
      </c>
      <c r="BE890" s="48" t="s">
        <v>2449</v>
      </c>
      <c r="BF890" s="48" t="s">
        <v>272</v>
      </c>
      <c r="BG890" s="48" t="s">
        <v>272</v>
      </c>
      <c r="BH890" s="48" t="s">
        <v>2486</v>
      </c>
      <c r="BI890" s="98">
        <v>6.3999999999999997E-6</v>
      </c>
      <c r="BJ890" s="98">
        <v>6.4000000000000001E-2</v>
      </c>
      <c r="BK890" s="48"/>
      <c r="BL890" s="98">
        <f t="shared" si="263"/>
        <v>1.6254476988548712</v>
      </c>
      <c r="BM890" s="47" t="s">
        <v>2487</v>
      </c>
      <c r="BN890" s="48"/>
      <c r="BO890" s="48"/>
      <c r="BP890" s="48"/>
      <c r="BQ890" s="48"/>
      <c r="BR890" s="47" t="s">
        <v>2496</v>
      </c>
      <c r="BS890" s="48"/>
      <c r="BT890" s="48"/>
      <c r="BU890" s="228"/>
      <c r="BV890" s="48"/>
      <c r="BW890" s="48"/>
      <c r="BX890" s="48"/>
      <c r="BY890" s="48"/>
      <c r="BZ890" s="48"/>
      <c r="CA890" s="48"/>
      <c r="CB890" s="48"/>
      <c r="CC890" s="48"/>
      <c r="CD890" s="48"/>
      <c r="CE890" s="48"/>
      <c r="CF890" s="48"/>
      <c r="CG890" s="48"/>
      <c r="CH890" s="48"/>
      <c r="CI890" s="98"/>
      <c r="CJ890" s="98"/>
      <c r="CK890" s="49">
        <f t="shared" si="260"/>
        <v>25.397620294607361</v>
      </c>
      <c r="CL890" s="229"/>
      <c r="CM890" s="229"/>
      <c r="CN890" s="229"/>
      <c r="CO890" s="47" t="s">
        <v>2488</v>
      </c>
      <c r="CP890" s="47" t="s">
        <v>2489</v>
      </c>
      <c r="CQ890" s="224">
        <v>0.12979123940271203</v>
      </c>
      <c r="CR890" s="224">
        <f>10^(CJ890-CQ890)</f>
        <v>0.7416666666666667</v>
      </c>
      <c r="CS890" s="230" t="s">
        <v>539</v>
      </c>
      <c r="CT890" s="230"/>
      <c r="CU890" s="230"/>
      <c r="CV890" s="335">
        <f t="shared" si="262"/>
        <v>797.18060757386593</v>
      </c>
      <c r="CW890" s="230">
        <f t="shared" si="259"/>
        <v>1</v>
      </c>
      <c r="CX890" s="336"/>
      <c r="CY890" s="230" t="s">
        <v>6351</v>
      </c>
    </row>
    <row r="891" spans="1:103" ht="11.25" customHeight="1" x14ac:dyDescent="0.2">
      <c r="A891" s="72">
        <v>889</v>
      </c>
      <c r="B891" s="224">
        <v>1029</v>
      </c>
      <c r="C891" s="46" t="s">
        <v>7083</v>
      </c>
      <c r="D891" s="46"/>
      <c r="E891" s="114"/>
      <c r="F891" s="114" t="s">
        <v>2935</v>
      </c>
      <c r="G891" s="225">
        <v>98873</v>
      </c>
      <c r="H891" s="47" t="s">
        <v>2936</v>
      </c>
      <c r="I891" s="47" t="s">
        <v>8015</v>
      </c>
      <c r="J891" s="47" t="s">
        <v>2937</v>
      </c>
      <c r="K891" s="47" t="s">
        <v>2938</v>
      </c>
      <c r="L891" s="47"/>
      <c r="M891" s="47"/>
      <c r="N891" s="47"/>
      <c r="O891" s="47"/>
      <c r="P891" s="53"/>
      <c r="Q891" s="53"/>
      <c r="R891" s="53"/>
      <c r="S891" s="53"/>
      <c r="T891" s="48">
        <v>161.03</v>
      </c>
      <c r="U891" s="98">
        <v>1.5525057442712538</v>
      </c>
      <c r="V891" s="98">
        <v>1.2109544805315779</v>
      </c>
      <c r="W891" s="98">
        <v>0.45708818961487496</v>
      </c>
      <c r="X891" s="98">
        <v>1.5525057442712538</v>
      </c>
      <c r="Y891" s="233">
        <v>7</v>
      </c>
      <c r="Z891" s="48">
        <v>2.97</v>
      </c>
      <c r="AA891" s="48"/>
      <c r="AB891" s="48">
        <v>3.19</v>
      </c>
      <c r="AC891" s="48">
        <v>0.7369</v>
      </c>
      <c r="AD891" s="48">
        <v>2.99</v>
      </c>
      <c r="AE891" s="48">
        <v>2.65</v>
      </c>
      <c r="AF891" s="48">
        <f t="shared" si="258"/>
        <v>2.99</v>
      </c>
      <c r="AG891" s="49">
        <v>2.93</v>
      </c>
      <c r="AH891" s="98">
        <v>7.3800000000000005E-4</v>
      </c>
      <c r="AI891" s="98">
        <v>3.9800000000000002E-4</v>
      </c>
      <c r="AJ891" s="483">
        <f t="shared" si="265"/>
        <v>-1.5205099644896103</v>
      </c>
      <c r="AK891" s="483">
        <f t="shared" si="267"/>
        <v>-1.7886832542389639</v>
      </c>
      <c r="AL891" s="483">
        <f t="shared" si="264"/>
        <v>-1.7886832542389639</v>
      </c>
      <c r="AM891" s="483">
        <v>-3.5325099999999998</v>
      </c>
      <c r="AN891" s="226">
        <v>-1.91</v>
      </c>
      <c r="AO891" s="484"/>
      <c r="AP891" s="484"/>
      <c r="AQ891" s="48" t="s">
        <v>6311</v>
      </c>
      <c r="AR891" s="48" t="s">
        <v>6311</v>
      </c>
      <c r="AS891" s="227"/>
      <c r="AT891" s="50" t="s">
        <v>266</v>
      </c>
      <c r="AU891" s="48">
        <v>6</v>
      </c>
      <c r="AV891" s="48">
        <v>120</v>
      </c>
      <c r="AW891" s="48">
        <v>114</v>
      </c>
      <c r="AX891" s="48">
        <v>28</v>
      </c>
      <c r="AY891" s="48" t="s">
        <v>8728</v>
      </c>
      <c r="AZ891" s="48" t="s">
        <v>1563</v>
      </c>
      <c r="BA891" s="48">
        <v>32</v>
      </c>
      <c r="BB891" s="47" t="s">
        <v>2485</v>
      </c>
      <c r="BC891" s="47" t="s">
        <v>8726</v>
      </c>
      <c r="BD891" s="47" t="s">
        <v>8374</v>
      </c>
      <c r="BE891" s="48" t="s">
        <v>2449</v>
      </c>
      <c r="BF891" s="48" t="s">
        <v>272</v>
      </c>
      <c r="BG891" s="48" t="s">
        <v>272</v>
      </c>
      <c r="BH891" s="48" t="s">
        <v>2486</v>
      </c>
      <c r="BI891" s="98">
        <v>6.3999999999999997E-6</v>
      </c>
      <c r="BJ891" s="98">
        <v>6.4000000000000001E-2</v>
      </c>
      <c r="BK891" s="48"/>
      <c r="BL891" s="98">
        <f t="shared" si="263"/>
        <v>0.11052054045824757</v>
      </c>
      <c r="BM891" s="47" t="s">
        <v>2487</v>
      </c>
      <c r="BN891" s="48"/>
      <c r="BO891" s="48"/>
      <c r="BP891" s="48"/>
      <c r="BQ891" s="48"/>
      <c r="BR891" s="47" t="s">
        <v>2496</v>
      </c>
      <c r="BS891" s="48"/>
      <c r="BT891" s="48"/>
      <c r="BU891" s="228">
        <v>6.3999999999999997E-5</v>
      </c>
      <c r="BV891" s="48"/>
      <c r="BW891" s="48"/>
      <c r="BX891" s="48"/>
      <c r="BY891" s="48"/>
      <c r="BZ891" s="48"/>
      <c r="CA891" s="48"/>
      <c r="CB891" s="48"/>
      <c r="CC891" s="48"/>
      <c r="CD891" s="48"/>
      <c r="CE891" s="48"/>
      <c r="CF891" s="48"/>
      <c r="CG891" s="48"/>
      <c r="CH891" s="48"/>
      <c r="CI891" s="98"/>
      <c r="CJ891" s="98"/>
      <c r="CK891" s="49">
        <f t="shared" si="260"/>
        <v>1.7268834446601182</v>
      </c>
      <c r="CL891" s="229"/>
      <c r="CM891" s="229"/>
      <c r="CN891" s="229"/>
      <c r="CO891" s="47" t="s">
        <v>2488</v>
      </c>
      <c r="CP891" s="47" t="s">
        <v>2489</v>
      </c>
      <c r="CQ891" s="224" t="s">
        <v>272</v>
      </c>
      <c r="CR891" s="224"/>
      <c r="CS891" s="230" t="s">
        <v>539</v>
      </c>
      <c r="CT891" s="230"/>
      <c r="CU891" s="230"/>
      <c r="CV891" s="335">
        <f t="shared" si="262"/>
        <v>24.257902254238338</v>
      </c>
      <c r="CW891" s="230">
        <f t="shared" si="259"/>
        <v>1</v>
      </c>
      <c r="CX891" s="336"/>
      <c r="CY891" s="230" t="s">
        <v>6351</v>
      </c>
    </row>
    <row r="892" spans="1:103" ht="11.25" customHeight="1" x14ac:dyDescent="0.2">
      <c r="A892" s="72">
        <v>890</v>
      </c>
      <c r="B892" s="224">
        <v>1777</v>
      </c>
      <c r="C892" s="46" t="s">
        <v>7084</v>
      </c>
      <c r="D892" s="46"/>
      <c r="E892" s="114"/>
      <c r="F892" s="114" t="s">
        <v>5111</v>
      </c>
      <c r="G892" s="225">
        <v>98953</v>
      </c>
      <c r="H892" s="47" t="s">
        <v>5112</v>
      </c>
      <c r="I892" s="47" t="s">
        <v>5112</v>
      </c>
      <c r="J892" s="47" t="s">
        <v>5113</v>
      </c>
      <c r="K892" s="47" t="s">
        <v>426</v>
      </c>
      <c r="L892" s="47" t="s">
        <v>5527</v>
      </c>
      <c r="M892" s="47" t="s">
        <v>8492</v>
      </c>
      <c r="N892" s="47"/>
      <c r="O892" s="47"/>
      <c r="P892" s="53" t="s">
        <v>6184</v>
      </c>
      <c r="Q892" s="53" t="s">
        <v>6176</v>
      </c>
      <c r="R892" s="53" t="s">
        <v>6185</v>
      </c>
      <c r="S892" s="53" t="s">
        <v>6176</v>
      </c>
      <c r="T892" s="48">
        <v>123.11</v>
      </c>
      <c r="U892" s="98">
        <v>16.976687515230282</v>
      </c>
      <c r="V892" s="98">
        <v>8.5045893916010069</v>
      </c>
      <c r="W892" s="98">
        <v>14.791083881682072</v>
      </c>
      <c r="X892" s="98">
        <v>16.976687515230282</v>
      </c>
      <c r="Y892" s="233">
        <v>7</v>
      </c>
      <c r="Z892" s="48">
        <v>1.81</v>
      </c>
      <c r="AA892" s="48">
        <v>1.85</v>
      </c>
      <c r="AB892" s="48">
        <v>1.76</v>
      </c>
      <c r="AC892" s="48">
        <v>0.90720000000000001</v>
      </c>
      <c r="AD892" s="48">
        <v>1.81</v>
      </c>
      <c r="AE892" s="48">
        <v>1.95</v>
      </c>
      <c r="AF892" s="48">
        <f t="shared" si="258"/>
        <v>1.85</v>
      </c>
      <c r="AG892" s="49">
        <v>1.42</v>
      </c>
      <c r="AH892" s="98">
        <v>2.1299999999999999E-5</v>
      </c>
      <c r="AI892" s="98">
        <v>2.4000000000000001E-5</v>
      </c>
      <c r="AJ892" s="483">
        <f t="shared" si="265"/>
        <v>-3.0601867228739139</v>
      </c>
      <c r="AK892" s="483">
        <f t="shared" si="267"/>
        <v>-3.0083550846010456</v>
      </c>
      <c r="AL892" s="483">
        <f t="shared" si="264"/>
        <v>-3.0083550846010456</v>
      </c>
      <c r="AM892" s="483">
        <v>-4.8240999999999996</v>
      </c>
      <c r="AN892" s="226">
        <v>-2.78</v>
      </c>
      <c r="AO892" s="484"/>
      <c r="AP892" s="484"/>
      <c r="AQ892" s="226" t="s">
        <v>6311</v>
      </c>
      <c r="AR892" s="226" t="s">
        <v>6311</v>
      </c>
      <c r="AS892" s="224"/>
      <c r="AT892" s="50" t="s">
        <v>266</v>
      </c>
      <c r="AU892" s="48">
        <v>6</v>
      </c>
      <c r="AV892" s="48">
        <v>120</v>
      </c>
      <c r="AW892" s="48">
        <v>114</v>
      </c>
      <c r="AX892" s="48">
        <v>28</v>
      </c>
      <c r="AY892" s="48" t="s">
        <v>8728</v>
      </c>
      <c r="AZ892" s="48" t="s">
        <v>1563</v>
      </c>
      <c r="BA892" s="48">
        <v>32</v>
      </c>
      <c r="BB892" s="47" t="s">
        <v>2485</v>
      </c>
      <c r="BC892" s="47" t="s">
        <v>8726</v>
      </c>
      <c r="BD892" s="47" t="s">
        <v>8374</v>
      </c>
      <c r="BE892" s="48" t="s">
        <v>2449</v>
      </c>
      <c r="BF892" s="48" t="s">
        <v>272</v>
      </c>
      <c r="BG892" s="48" t="s">
        <v>272</v>
      </c>
      <c r="BH892" s="48" t="s">
        <v>2486</v>
      </c>
      <c r="BI892" s="98">
        <v>6.3999999999999997E-6</v>
      </c>
      <c r="BJ892" s="98">
        <v>6.4000000000000001E-2</v>
      </c>
      <c r="BK892" s="48"/>
      <c r="BL892" s="98">
        <f t="shared" si="263"/>
        <v>1.2168554736904911</v>
      </c>
      <c r="BM892" s="47" t="s">
        <v>2487</v>
      </c>
      <c r="BN892" s="48"/>
      <c r="BO892" s="48"/>
      <c r="BP892" s="48"/>
      <c r="BQ892" s="48"/>
      <c r="BR892" s="47" t="s">
        <v>2496</v>
      </c>
      <c r="BS892" s="48"/>
      <c r="BT892" s="48"/>
      <c r="BU892" s="228"/>
      <c r="BV892" s="48"/>
      <c r="BW892" s="48"/>
      <c r="BX892" s="48"/>
      <c r="BY892" s="48"/>
      <c r="BZ892" s="48"/>
      <c r="CA892" s="48"/>
      <c r="CB892" s="48"/>
      <c r="CC892" s="48"/>
      <c r="CD892" s="48"/>
      <c r="CE892" s="48"/>
      <c r="CF892" s="48"/>
      <c r="CG892" s="48"/>
      <c r="CH892" s="48"/>
      <c r="CI892" s="52" t="s">
        <v>6347</v>
      </c>
      <c r="CJ892" s="98"/>
      <c r="CK892" s="49">
        <f t="shared" si="260"/>
        <v>19.013366776413921</v>
      </c>
      <c r="CL892" s="229"/>
      <c r="CM892" s="229"/>
      <c r="CN892" s="229"/>
      <c r="CO892" s="47" t="s">
        <v>2488</v>
      </c>
      <c r="CP892" s="47" t="s">
        <v>2489</v>
      </c>
      <c r="CQ892" s="224">
        <v>-0.23285664713681534</v>
      </c>
      <c r="CR892" s="224">
        <f>10^(CJ892-CQ892)</f>
        <v>1.7094509626779768</v>
      </c>
      <c r="CS892" s="230" t="s">
        <v>539</v>
      </c>
      <c r="CT892" s="230"/>
      <c r="CU892" s="230"/>
      <c r="CV892" s="335">
        <f t="shared" si="262"/>
        <v>265.26074242547315</v>
      </c>
      <c r="CW892" s="230">
        <f t="shared" si="259"/>
        <v>1</v>
      </c>
      <c r="CX892" s="336"/>
      <c r="CY892" s="230" t="s">
        <v>6351</v>
      </c>
    </row>
    <row r="893" spans="1:103" ht="11.25" customHeight="1" x14ac:dyDescent="0.2">
      <c r="A893" s="72">
        <v>891</v>
      </c>
      <c r="B893" s="224">
        <v>977</v>
      </c>
      <c r="C893" s="46" t="s">
        <v>7085</v>
      </c>
      <c r="D893" s="46"/>
      <c r="E893" s="114"/>
      <c r="F893" s="114" t="s">
        <v>2791</v>
      </c>
      <c r="G893" s="225">
        <v>99081</v>
      </c>
      <c r="H893" s="47" t="s">
        <v>2792</v>
      </c>
      <c r="I893" s="47" t="s">
        <v>2792</v>
      </c>
      <c r="J893" s="47" t="s">
        <v>2793</v>
      </c>
      <c r="K893" s="47" t="s">
        <v>426</v>
      </c>
      <c r="L893" s="47" t="s">
        <v>5527</v>
      </c>
      <c r="M893" s="47" t="s">
        <v>6082</v>
      </c>
      <c r="N893" s="47"/>
      <c r="O893" s="47" t="s">
        <v>6083</v>
      </c>
      <c r="P893" s="53" t="s">
        <v>6184</v>
      </c>
      <c r="Q893" s="53" t="s">
        <v>6176</v>
      </c>
      <c r="R893" s="53" t="s">
        <v>6185</v>
      </c>
      <c r="S893" s="53" t="s">
        <v>6176</v>
      </c>
      <c r="T893" s="48">
        <v>137.13999999999999</v>
      </c>
      <c r="U893" s="98">
        <v>3.6459092897768706</v>
      </c>
      <c r="V893" s="98">
        <v>2.0672305673034859</v>
      </c>
      <c r="W893" s="98">
        <v>3.1622776601683764</v>
      </c>
      <c r="X893" s="98">
        <v>3.6459092897768706</v>
      </c>
      <c r="Y893" s="233">
        <v>7</v>
      </c>
      <c r="Z893" s="48">
        <v>2.36</v>
      </c>
      <c r="AA893" s="48">
        <v>2.4500000000000002</v>
      </c>
      <c r="AB893" s="48">
        <v>2.46</v>
      </c>
      <c r="AC893" s="48">
        <v>0.92769999999999997</v>
      </c>
      <c r="AD893" s="48">
        <v>2.4500000000000002</v>
      </c>
      <c r="AE893" s="48">
        <v>2.41</v>
      </c>
      <c r="AF893" s="48">
        <f t="shared" si="258"/>
        <v>2.4500000000000002</v>
      </c>
      <c r="AG893" s="49">
        <v>1.9</v>
      </c>
      <c r="AH893" s="98">
        <v>2.3499999999999999E-5</v>
      </c>
      <c r="AI893" s="98">
        <v>9.3000000000000007E-6</v>
      </c>
      <c r="AJ893" s="483">
        <f t="shared" si="265"/>
        <v>-3.0174984640409157</v>
      </c>
      <c r="AK893" s="483">
        <f t="shared" si="267"/>
        <v>-3.4200833777587167</v>
      </c>
      <c r="AL893" s="483">
        <f t="shared" si="264"/>
        <v>-3.4200833777587167</v>
      </c>
      <c r="AM893" s="483">
        <v>-4.7760700000000007</v>
      </c>
      <c r="AN893" s="226">
        <v>-2.78</v>
      </c>
      <c r="AO893" s="484"/>
      <c r="AP893" s="484"/>
      <c r="AQ893" s="48" t="s">
        <v>6311</v>
      </c>
      <c r="AR893" s="48" t="s">
        <v>6311</v>
      </c>
      <c r="AS893" s="227"/>
      <c r="AT893" s="50" t="s">
        <v>266</v>
      </c>
      <c r="AU893" s="48">
        <v>6</v>
      </c>
      <c r="AV893" s="48">
        <v>120</v>
      </c>
      <c r="AW893" s="48">
        <v>114</v>
      </c>
      <c r="AX893" s="48">
        <v>28</v>
      </c>
      <c r="AY893" s="48" t="s">
        <v>8728</v>
      </c>
      <c r="AZ893" s="48" t="s">
        <v>1563</v>
      </c>
      <c r="BA893" s="48">
        <v>32</v>
      </c>
      <c r="BB893" s="47" t="s">
        <v>2485</v>
      </c>
      <c r="BC893" s="47" t="s">
        <v>8726</v>
      </c>
      <c r="BD893" s="47" t="s">
        <v>8374</v>
      </c>
      <c r="BE893" s="48" t="s">
        <v>2449</v>
      </c>
      <c r="BF893" s="48" t="s">
        <v>272</v>
      </c>
      <c r="BG893" s="48" t="s">
        <v>272</v>
      </c>
      <c r="BH893" s="48" t="s">
        <v>2486</v>
      </c>
      <c r="BI893" s="98">
        <v>6.3999999999999997E-6</v>
      </c>
      <c r="BJ893" s="98">
        <v>6.4000000000000001E-2</v>
      </c>
      <c r="BK893" s="48"/>
      <c r="BL893" s="98">
        <f t="shared" si="263"/>
        <v>0.39019706645815139</v>
      </c>
      <c r="BM893" s="47" t="s">
        <v>2487</v>
      </c>
      <c r="BN893" s="48"/>
      <c r="BO893" s="48"/>
      <c r="BP893" s="48"/>
      <c r="BQ893" s="48"/>
      <c r="BR893" s="47" t="s">
        <v>2496</v>
      </c>
      <c r="BS893" s="48"/>
      <c r="BT893" s="48"/>
      <c r="BU893" s="228">
        <v>6.4000000000000003E-3</v>
      </c>
      <c r="BV893" s="48"/>
      <c r="BW893" s="48"/>
      <c r="BX893" s="48"/>
      <c r="BY893" s="48"/>
      <c r="BZ893" s="48"/>
      <c r="CA893" s="48"/>
      <c r="CB893" s="48"/>
      <c r="CC893" s="48"/>
      <c r="CD893" s="48"/>
      <c r="CE893" s="48"/>
      <c r="CF893" s="48"/>
      <c r="CG893" s="48"/>
      <c r="CH893" s="48"/>
      <c r="CI893" s="98"/>
      <c r="CJ893" s="98"/>
      <c r="CK893" s="49">
        <f t="shared" si="260"/>
        <v>6.0968291634086151</v>
      </c>
      <c r="CL893" s="229"/>
      <c r="CM893" s="229"/>
      <c r="CN893" s="229"/>
      <c r="CO893" s="47" t="s">
        <v>2488</v>
      </c>
      <c r="CP893" s="47" t="s">
        <v>2489</v>
      </c>
      <c r="CQ893" s="224">
        <v>-0.67554127000425646</v>
      </c>
      <c r="CR893" s="224">
        <f>10^(CJ893-CQ893)</f>
        <v>4.7374132458255014</v>
      </c>
      <c r="CS893" s="230" t="s">
        <v>539</v>
      </c>
      <c r="CT893" s="230"/>
      <c r="CU893" s="230"/>
      <c r="CV893" s="335">
        <f t="shared" si="262"/>
        <v>56.967332652763602</v>
      </c>
      <c r="CW893" s="230">
        <f t="shared" si="259"/>
        <v>1</v>
      </c>
      <c r="CX893" s="336"/>
      <c r="CY893" s="230" t="s">
        <v>6351</v>
      </c>
    </row>
    <row r="894" spans="1:103" ht="11.25" customHeight="1" x14ac:dyDescent="0.2">
      <c r="A894" s="72">
        <v>892</v>
      </c>
      <c r="B894" s="224">
        <v>282</v>
      </c>
      <c r="C894" s="46" t="s">
        <v>7086</v>
      </c>
      <c r="D894" s="46"/>
      <c r="E894" s="114"/>
      <c r="F894" s="114" t="s">
        <v>3805</v>
      </c>
      <c r="G894" s="225">
        <v>99309</v>
      </c>
      <c r="H894" s="47" t="s">
        <v>3806</v>
      </c>
      <c r="I894" s="47" t="s">
        <v>8016</v>
      </c>
      <c r="J894" s="47" t="s">
        <v>3807</v>
      </c>
      <c r="K894" s="47" t="s">
        <v>1573</v>
      </c>
      <c r="L894" s="47" t="s">
        <v>5929</v>
      </c>
      <c r="M894" s="47" t="s">
        <v>6082</v>
      </c>
      <c r="N894" s="47"/>
      <c r="O894" s="47" t="s">
        <v>6083</v>
      </c>
      <c r="P894" s="53"/>
      <c r="Q894" s="53"/>
      <c r="R894" s="53"/>
      <c r="S894" s="53"/>
      <c r="T894" s="48">
        <v>207.01</v>
      </c>
      <c r="U894" s="98">
        <v>3.381479155596348E-2</v>
      </c>
      <c r="V894" s="98">
        <v>0.79029998550794645</v>
      </c>
      <c r="W894" s="98">
        <v>0.18620871366628675</v>
      </c>
      <c r="X894" s="98">
        <v>3.381479155596348E-2</v>
      </c>
      <c r="Y894" s="233">
        <v>7</v>
      </c>
      <c r="Z894" s="48">
        <v>2.76</v>
      </c>
      <c r="AA894" s="48">
        <v>2.8</v>
      </c>
      <c r="AB894" s="48">
        <v>2.72</v>
      </c>
      <c r="AC894" s="48">
        <v>0.93020000000000003</v>
      </c>
      <c r="AD894" s="48">
        <v>2.88</v>
      </c>
      <c r="AE894" s="48">
        <v>3.54</v>
      </c>
      <c r="AF894" s="48">
        <f t="shared" ref="AF894:AF957" si="268">IF(AA894=0,AD894,AA894)</f>
        <v>2.8</v>
      </c>
      <c r="AG894" s="49">
        <v>2.08</v>
      </c>
      <c r="AH894" s="98">
        <v>4.1199999999999998E-9</v>
      </c>
      <c r="AI894" s="98">
        <v>4.6700000000000001E-8</v>
      </c>
      <c r="AJ894" s="483">
        <f t="shared" si="265"/>
        <v>-6.773669110279517</v>
      </c>
      <c r="AK894" s="483">
        <f t="shared" si="267"/>
        <v>-5.7192494457465397</v>
      </c>
      <c r="AL894" s="483">
        <f t="shared" si="264"/>
        <v>-5.7192494457465397</v>
      </c>
      <c r="AM894" s="483">
        <v>-9.5344400000000018</v>
      </c>
      <c r="AN894" s="226">
        <v>-0.64400000000000002</v>
      </c>
      <c r="AO894" s="484"/>
      <c r="AP894" s="484">
        <v>-3.18</v>
      </c>
      <c r="AQ894" s="226" t="s">
        <v>6311</v>
      </c>
      <c r="AR894" s="226" t="s">
        <v>6311</v>
      </c>
      <c r="AS894" s="224" t="s">
        <v>6</v>
      </c>
      <c r="AT894" s="50" t="s">
        <v>266</v>
      </c>
      <c r="AU894" s="48">
        <v>8</v>
      </c>
      <c r="AV894" s="48">
        <v>144</v>
      </c>
      <c r="AW894" s="48">
        <v>120</v>
      </c>
      <c r="AX894" s="48">
        <v>26</v>
      </c>
      <c r="AY894" s="48" t="s">
        <v>267</v>
      </c>
      <c r="AZ894" s="48" t="s">
        <v>2253</v>
      </c>
      <c r="BA894" s="48">
        <v>2</v>
      </c>
      <c r="BB894" s="47" t="s">
        <v>2254</v>
      </c>
      <c r="BC894" s="47" t="s">
        <v>270</v>
      </c>
      <c r="BD894" s="47" t="s">
        <v>8374</v>
      </c>
      <c r="BE894" s="48" t="s">
        <v>1712</v>
      </c>
      <c r="BF894" s="48" t="s">
        <v>272</v>
      </c>
      <c r="BG894" s="48" t="s">
        <v>272</v>
      </c>
      <c r="BH894" s="48" t="s">
        <v>2255</v>
      </c>
      <c r="BI894" s="98">
        <v>9.9999999999999995E-7</v>
      </c>
      <c r="BJ894" s="98">
        <v>0.08</v>
      </c>
      <c r="BK894" s="48"/>
      <c r="BL894" s="98">
        <f t="shared" si="263"/>
        <v>0.17062552473539994</v>
      </c>
      <c r="BM894" s="48" t="s">
        <v>891</v>
      </c>
      <c r="BN894" s="233"/>
      <c r="BO894" s="233"/>
      <c r="BP894" s="233"/>
      <c r="BQ894" s="233"/>
      <c r="BR894" s="233"/>
      <c r="BS894" s="48"/>
      <c r="BT894" s="233"/>
      <c r="BU894" s="228"/>
      <c r="BV894" s="233"/>
      <c r="BW894" s="233"/>
      <c r="BX894" s="233"/>
      <c r="BY894" s="233"/>
      <c r="BZ894" s="233"/>
      <c r="CA894" s="233"/>
      <c r="CB894" s="233"/>
      <c r="CC894" s="48"/>
      <c r="CD894" s="48"/>
      <c r="CE894" s="48"/>
      <c r="CF894" s="48"/>
      <c r="CG894" s="233"/>
      <c r="CH894" s="48"/>
      <c r="CI894" s="98"/>
      <c r="CJ894" s="98"/>
      <c r="CK894" s="49">
        <f t="shared" si="260"/>
        <v>2.1328190591924994</v>
      </c>
      <c r="CL894" s="229"/>
      <c r="CM894" s="229"/>
      <c r="CN894" s="229"/>
      <c r="CO894" s="47" t="s">
        <v>892</v>
      </c>
      <c r="CP894" s="47" t="s">
        <v>893</v>
      </c>
      <c r="CQ894" s="224">
        <v>-1.8140220943682377</v>
      </c>
      <c r="CR894" s="224">
        <f>10^(CJ894-CQ894)</f>
        <v>65.166154595322098</v>
      </c>
      <c r="CS894" s="230" t="s">
        <v>539</v>
      </c>
      <c r="CT894" s="230"/>
      <c r="CU894" s="230"/>
      <c r="CV894" s="335">
        <f t="shared" si="262"/>
        <v>0.42268489444954349</v>
      </c>
      <c r="CW894" s="230">
        <f t="shared" si="259"/>
        <v>0</v>
      </c>
      <c r="CX894" s="336" t="s">
        <v>539</v>
      </c>
      <c r="CY894" s="230" t="s">
        <v>5921</v>
      </c>
    </row>
    <row r="895" spans="1:103" ht="11.25" customHeight="1" x14ac:dyDescent="0.2">
      <c r="A895" s="72">
        <v>893</v>
      </c>
      <c r="B895" s="224">
        <v>1598</v>
      </c>
      <c r="C895" s="46" t="s">
        <v>7087</v>
      </c>
      <c r="D895" s="46"/>
      <c r="E895" s="114"/>
      <c r="F895" s="114" t="s">
        <v>3805</v>
      </c>
      <c r="G895" s="225">
        <v>99309</v>
      </c>
      <c r="H895" s="47" t="s">
        <v>3806</v>
      </c>
      <c r="I895" s="47" t="s">
        <v>8016</v>
      </c>
      <c r="J895" s="47" t="s">
        <v>3807</v>
      </c>
      <c r="K895" s="47" t="s">
        <v>1573</v>
      </c>
      <c r="L895" s="47"/>
      <c r="M895" s="47"/>
      <c r="N895" s="47"/>
      <c r="O895" s="47"/>
      <c r="P895" s="53"/>
      <c r="Q895" s="53"/>
      <c r="R895" s="53"/>
      <c r="S895" s="53"/>
      <c r="T895" s="48">
        <v>207.01</v>
      </c>
      <c r="U895" s="98">
        <v>3.381479155596348E-2</v>
      </c>
      <c r="V895" s="98">
        <v>0.79029998550794645</v>
      </c>
      <c r="W895" s="98">
        <v>0.18620871366628675</v>
      </c>
      <c r="X895" s="98">
        <v>3.381479155596348E-2</v>
      </c>
      <c r="Y895" s="233">
        <v>7</v>
      </c>
      <c r="Z895" s="48">
        <v>2.76</v>
      </c>
      <c r="AA895" s="48">
        <v>2.8</v>
      </c>
      <c r="AB895" s="48">
        <v>2.72</v>
      </c>
      <c r="AC895" s="48">
        <v>0.93020000000000003</v>
      </c>
      <c r="AD895" s="48">
        <v>2.88</v>
      </c>
      <c r="AE895" s="48">
        <v>3.54</v>
      </c>
      <c r="AF895" s="48">
        <f t="shared" si="268"/>
        <v>2.8</v>
      </c>
      <c r="AG895" s="49">
        <v>2.08</v>
      </c>
      <c r="AH895" s="98">
        <v>4.1199999999999998E-9</v>
      </c>
      <c r="AI895" s="98">
        <v>4.6700000000000001E-8</v>
      </c>
      <c r="AJ895" s="483">
        <f t="shared" si="265"/>
        <v>-6.773669110279517</v>
      </c>
      <c r="AK895" s="483">
        <f t="shared" si="267"/>
        <v>-5.7192494457465397</v>
      </c>
      <c r="AL895" s="483">
        <f t="shared" si="264"/>
        <v>-5.7192494457465397</v>
      </c>
      <c r="AM895" s="483">
        <v>-9.5344400000000018</v>
      </c>
      <c r="AN895" s="226">
        <v>-0.64</v>
      </c>
      <c r="AO895" s="484"/>
      <c r="AP895" s="484">
        <v>-3.18</v>
      </c>
      <c r="AQ895" s="48" t="s">
        <v>6311</v>
      </c>
      <c r="AR895" s="48" t="s">
        <v>6311</v>
      </c>
      <c r="AS895" s="227"/>
      <c r="AT895" s="50" t="s">
        <v>266</v>
      </c>
      <c r="AU895" s="48">
        <v>6</v>
      </c>
      <c r="AV895" s="48">
        <v>120</v>
      </c>
      <c r="AW895" s="48">
        <v>114</v>
      </c>
      <c r="AX895" s="48">
        <v>28</v>
      </c>
      <c r="AY895" s="48" t="s">
        <v>8728</v>
      </c>
      <c r="AZ895" s="48" t="s">
        <v>1563</v>
      </c>
      <c r="BA895" s="48">
        <v>32</v>
      </c>
      <c r="BB895" s="47" t="s">
        <v>2485</v>
      </c>
      <c r="BC895" s="47" t="s">
        <v>8726</v>
      </c>
      <c r="BD895" s="47" t="s">
        <v>8374</v>
      </c>
      <c r="BE895" s="48" t="s">
        <v>2449</v>
      </c>
      <c r="BF895" s="48" t="s">
        <v>272</v>
      </c>
      <c r="BG895" s="48" t="s">
        <v>272</v>
      </c>
      <c r="BH895" s="48" t="s">
        <v>2486</v>
      </c>
      <c r="BI895" s="98">
        <v>6.3999999999999997E-6</v>
      </c>
      <c r="BJ895" s="98">
        <v>6.4000000000000001E-2</v>
      </c>
      <c r="BK895" s="48"/>
      <c r="BL895" s="98">
        <f t="shared" si="263"/>
        <v>0.17062552473539994</v>
      </c>
      <c r="BM895" s="47" t="s">
        <v>2487</v>
      </c>
      <c r="BN895" s="48"/>
      <c r="BO895" s="48"/>
      <c r="BP895" s="48"/>
      <c r="BQ895" s="48"/>
      <c r="BR895" s="47" t="s">
        <v>2496</v>
      </c>
      <c r="BS895" s="48"/>
      <c r="BT895" s="48"/>
      <c r="BU895" s="228"/>
      <c r="BV895" s="48"/>
      <c r="BW895" s="48"/>
      <c r="BX895" s="48"/>
      <c r="BY895" s="48"/>
      <c r="BZ895" s="48"/>
      <c r="CA895" s="48"/>
      <c r="CB895" s="48"/>
      <c r="CC895" s="48"/>
      <c r="CD895" s="48"/>
      <c r="CE895" s="48"/>
      <c r="CF895" s="48"/>
      <c r="CG895" s="48"/>
      <c r="CH895" s="48"/>
      <c r="CI895" s="98"/>
      <c r="CJ895" s="98"/>
      <c r="CK895" s="49">
        <f t="shared" si="260"/>
        <v>2.6660238239906238</v>
      </c>
      <c r="CL895" s="229"/>
      <c r="CM895" s="229"/>
      <c r="CN895" s="229"/>
      <c r="CO895" s="47" t="s">
        <v>2488</v>
      </c>
      <c r="CP895" s="47" t="s">
        <v>2489</v>
      </c>
      <c r="CQ895" s="224">
        <v>-1.8140220943682377</v>
      </c>
      <c r="CR895" s="224">
        <f>10^(CJ895-CQ895)</f>
        <v>65.166154595322098</v>
      </c>
      <c r="CS895" s="230" t="s">
        <v>539</v>
      </c>
      <c r="CT895" s="230"/>
      <c r="CU895" s="230"/>
      <c r="CV895" s="335">
        <f t="shared" si="262"/>
        <v>0.52835611806192939</v>
      </c>
      <c r="CW895" s="230">
        <f t="shared" ref="CW895:CW958" si="269">IF(CV895&lt;1,0,1)</f>
        <v>0</v>
      </c>
      <c r="CX895" s="336"/>
      <c r="CY895" s="230" t="s">
        <v>5921</v>
      </c>
    </row>
    <row r="896" spans="1:103" ht="11.25" customHeight="1" x14ac:dyDescent="0.2">
      <c r="A896" s="72">
        <v>894</v>
      </c>
      <c r="B896" s="224">
        <v>1363</v>
      </c>
      <c r="C896" s="46" t="s">
        <v>7088</v>
      </c>
      <c r="D896" s="46"/>
      <c r="E896" s="114"/>
      <c r="F896" s="114" t="s">
        <v>4209</v>
      </c>
      <c r="G896" s="225">
        <v>99514</v>
      </c>
      <c r="H896" s="47" t="s">
        <v>4210</v>
      </c>
      <c r="I896" s="47" t="s">
        <v>8017</v>
      </c>
      <c r="J896" s="47" t="s">
        <v>4211</v>
      </c>
      <c r="K896" s="47" t="s">
        <v>426</v>
      </c>
      <c r="L896" s="47"/>
      <c r="M896" s="47"/>
      <c r="N896" s="47"/>
      <c r="O896" s="47"/>
      <c r="P896" s="53" t="s">
        <v>6184</v>
      </c>
      <c r="Q896" s="53" t="s">
        <v>6176</v>
      </c>
      <c r="R896" s="53" t="s">
        <v>6185</v>
      </c>
      <c r="S896" s="53" t="s">
        <v>6176</v>
      </c>
      <c r="T896" s="48">
        <v>151.16</v>
      </c>
      <c r="U896" s="98"/>
      <c r="V896" s="98">
        <v>0.66128605451177558</v>
      </c>
      <c r="W896" s="98">
        <v>0.67608297539198126</v>
      </c>
      <c r="X896" s="98">
        <f>IF(W896=0,V896,W896)</f>
        <v>0.67608297539198126</v>
      </c>
      <c r="Y896" s="233">
        <v>7</v>
      </c>
      <c r="Z896" s="48">
        <v>2.91</v>
      </c>
      <c r="AA896" s="48">
        <v>2.91</v>
      </c>
      <c r="AB896" s="48">
        <v>2.99</v>
      </c>
      <c r="AC896" s="48">
        <v>0.95569999999999999</v>
      </c>
      <c r="AD896" s="48">
        <v>2.96</v>
      </c>
      <c r="AE896" s="48">
        <v>2.87</v>
      </c>
      <c r="AF896" s="48">
        <f t="shared" si="268"/>
        <v>2.91</v>
      </c>
      <c r="AG896" s="49">
        <v>2.35</v>
      </c>
      <c r="AH896" s="98">
        <v>2.5899999999999999E-5</v>
      </c>
      <c r="AI896" s="98"/>
      <c r="AJ896" s="483">
        <f t="shared" si="265"/>
        <v>-2.9752665622314001</v>
      </c>
      <c r="AK896" s="483"/>
      <c r="AL896" s="483">
        <f t="shared" si="264"/>
        <v>-2.9752665622314001</v>
      </c>
      <c r="AM896" s="483">
        <v>-4.755469999999999</v>
      </c>
      <c r="AN896" s="226">
        <v>-2.93</v>
      </c>
      <c r="AO896" s="484"/>
      <c r="AP896" s="484"/>
      <c r="AQ896" s="48" t="s">
        <v>6311</v>
      </c>
      <c r="AR896" s="48" t="s">
        <v>6311</v>
      </c>
      <c r="AS896" s="227"/>
      <c r="AT896" s="50" t="s">
        <v>266</v>
      </c>
      <c r="AU896" s="48">
        <v>6</v>
      </c>
      <c r="AV896" s="48">
        <v>120</v>
      </c>
      <c r="AW896" s="48">
        <v>114</v>
      </c>
      <c r="AX896" s="48">
        <v>28</v>
      </c>
      <c r="AY896" s="48" t="s">
        <v>8728</v>
      </c>
      <c r="AZ896" s="48" t="s">
        <v>1563</v>
      </c>
      <c r="BA896" s="48">
        <v>32</v>
      </c>
      <c r="BB896" s="47" t="s">
        <v>2485</v>
      </c>
      <c r="BC896" s="47" t="s">
        <v>8726</v>
      </c>
      <c r="BD896" s="47" t="s">
        <v>8374</v>
      </c>
      <c r="BE896" s="48" t="s">
        <v>2449</v>
      </c>
      <c r="BF896" s="48" t="s">
        <v>272</v>
      </c>
      <c r="BG896" s="48" t="s">
        <v>272</v>
      </c>
      <c r="BH896" s="48" t="s">
        <v>2486</v>
      </c>
      <c r="BI896" s="98">
        <v>6.3999999999999997E-6</v>
      </c>
      <c r="BJ896" s="98">
        <v>6.4000000000000001E-2</v>
      </c>
      <c r="BK896" s="48"/>
      <c r="BL896" s="98">
        <f t="shared" si="263"/>
        <v>0.12512065234073388</v>
      </c>
      <c r="BM896" s="47" t="s">
        <v>2487</v>
      </c>
      <c r="BN896" s="48"/>
      <c r="BO896" s="48"/>
      <c r="BP896" s="48"/>
      <c r="BQ896" s="48"/>
      <c r="BR896" s="47" t="s">
        <v>2496</v>
      </c>
      <c r="BS896" s="48"/>
      <c r="BT896" s="48"/>
      <c r="BU896" s="228"/>
      <c r="BV896" s="48"/>
      <c r="BW896" s="48"/>
      <c r="BX896" s="48"/>
      <c r="BY896" s="48"/>
      <c r="BZ896" s="48"/>
      <c r="CA896" s="48"/>
      <c r="CB896" s="48"/>
      <c r="CC896" s="48"/>
      <c r="CD896" s="48"/>
      <c r="CE896" s="48"/>
      <c r="CF896" s="48"/>
      <c r="CG896" s="48"/>
      <c r="CH896" s="48"/>
      <c r="CI896" s="98"/>
      <c r="CJ896" s="98"/>
      <c r="CK896" s="49">
        <f t="shared" si="260"/>
        <v>1.9550101928239669</v>
      </c>
      <c r="CL896" s="229"/>
      <c r="CM896" s="229"/>
      <c r="CN896" s="229"/>
      <c r="CO896" s="47" t="s">
        <v>2488</v>
      </c>
      <c r="CP896" s="47" t="s">
        <v>2489</v>
      </c>
      <c r="CQ896" s="224" t="s">
        <v>272</v>
      </c>
      <c r="CR896" s="224"/>
      <c r="CS896" s="230" t="s">
        <v>539</v>
      </c>
      <c r="CT896" s="230"/>
      <c r="CU896" s="230"/>
      <c r="CV896" s="335">
        <f t="shared" si="262"/>
        <v>10.563796490499707</v>
      </c>
      <c r="CW896" s="230">
        <f t="shared" si="269"/>
        <v>1</v>
      </c>
      <c r="CX896" s="336"/>
      <c r="CY896" s="230" t="s">
        <v>6351</v>
      </c>
    </row>
    <row r="897" spans="1:103" ht="11.25" customHeight="1" x14ac:dyDescent="0.2">
      <c r="A897" s="72">
        <v>895</v>
      </c>
      <c r="B897" s="224">
        <v>1441</v>
      </c>
      <c r="C897" s="46" t="s">
        <v>7089</v>
      </c>
      <c r="D897" s="46"/>
      <c r="E897" s="114"/>
      <c r="F897" s="114" t="s">
        <v>4432</v>
      </c>
      <c r="G897" s="225">
        <v>99547</v>
      </c>
      <c r="H897" s="47" t="s">
        <v>4433</v>
      </c>
      <c r="I897" s="47" t="s">
        <v>8018</v>
      </c>
      <c r="J897" s="47" t="s">
        <v>4434</v>
      </c>
      <c r="K897" s="47" t="s">
        <v>426</v>
      </c>
      <c r="L897" s="47"/>
      <c r="M897" s="47"/>
      <c r="N897" s="47"/>
      <c r="O897" s="47"/>
      <c r="P897" s="53" t="s">
        <v>6184</v>
      </c>
      <c r="Q897" s="53" t="s">
        <v>6176</v>
      </c>
      <c r="R897" s="53" t="s">
        <v>6185</v>
      </c>
      <c r="S897" s="53" t="s">
        <v>6176</v>
      </c>
      <c r="T897" s="48">
        <v>192</v>
      </c>
      <c r="U897" s="98">
        <v>0.63020833333333337</v>
      </c>
      <c r="V897" s="98">
        <v>0.22067708333333333</v>
      </c>
      <c r="W897" s="98">
        <v>0.40738027780411218</v>
      </c>
      <c r="X897" s="98">
        <v>0.63020833333333337</v>
      </c>
      <c r="Y897" s="233">
        <v>7</v>
      </c>
      <c r="Z897" s="48">
        <v>3.1</v>
      </c>
      <c r="AA897" s="48">
        <v>3.12</v>
      </c>
      <c r="AB897" s="48">
        <v>3.11</v>
      </c>
      <c r="AC897" s="48">
        <v>0.94130000000000003</v>
      </c>
      <c r="AD897" s="48">
        <v>3.12</v>
      </c>
      <c r="AE897" s="48">
        <v>3.16</v>
      </c>
      <c r="AF897" s="48">
        <f t="shared" si="268"/>
        <v>3.12</v>
      </c>
      <c r="AG897" s="49">
        <v>2.78</v>
      </c>
      <c r="AH897" s="98">
        <v>1.17E-5</v>
      </c>
      <c r="AI897" s="98">
        <v>8.0700000000000007E-6</v>
      </c>
      <c r="AJ897" s="483">
        <f t="shared" si="265"/>
        <v>-3.3203804645664903</v>
      </c>
      <c r="AK897" s="483">
        <f>LOG10(AI897*1000/(0.08206*298.15))</f>
        <v>-3.4816927915905813</v>
      </c>
      <c r="AL897" s="483">
        <f t="shared" si="264"/>
        <v>-3.4816927915905813</v>
      </c>
      <c r="AM897" s="483">
        <v>-5.7307199999999989</v>
      </c>
      <c r="AN897" s="226">
        <v>-3.2</v>
      </c>
      <c r="AO897" s="484"/>
      <c r="AP897" s="484"/>
      <c r="AQ897" s="48" t="s">
        <v>6311</v>
      </c>
      <c r="AR897" s="48" t="s">
        <v>6311</v>
      </c>
      <c r="AS897" s="227"/>
      <c r="AT897" s="50" t="s">
        <v>266</v>
      </c>
      <c r="AU897" s="48">
        <v>6</v>
      </c>
      <c r="AV897" s="48">
        <v>120</v>
      </c>
      <c r="AW897" s="48">
        <v>114</v>
      </c>
      <c r="AX897" s="48">
        <v>28</v>
      </c>
      <c r="AY897" s="48" t="s">
        <v>8728</v>
      </c>
      <c r="AZ897" s="48" t="s">
        <v>1563</v>
      </c>
      <c r="BA897" s="48">
        <v>32</v>
      </c>
      <c r="BB897" s="47" t="s">
        <v>2485</v>
      </c>
      <c r="BC897" s="47" t="s">
        <v>8726</v>
      </c>
      <c r="BD897" s="47" t="s">
        <v>8374</v>
      </c>
      <c r="BE897" s="48" t="s">
        <v>2449</v>
      </c>
      <c r="BF897" s="48" t="s">
        <v>272</v>
      </c>
      <c r="BG897" s="48" t="s">
        <v>272</v>
      </c>
      <c r="BH897" s="48" t="s">
        <v>2486</v>
      </c>
      <c r="BI897" s="98">
        <v>6.3999999999999997E-6</v>
      </c>
      <c r="BJ897" s="98">
        <v>6.4000000000000001E-2</v>
      </c>
      <c r="BK897" s="48"/>
      <c r="BL897" s="98">
        <f t="shared" si="263"/>
        <v>8.4467569924392277E-2</v>
      </c>
      <c r="BM897" s="47" t="s">
        <v>2487</v>
      </c>
      <c r="BN897" s="48"/>
      <c r="BO897" s="48"/>
      <c r="BP897" s="48"/>
      <c r="BQ897" s="48"/>
      <c r="BR897" s="47" t="s">
        <v>2496</v>
      </c>
      <c r="BS897" s="48"/>
      <c r="BT897" s="48"/>
      <c r="BU897" s="228"/>
      <c r="BV897" s="48"/>
      <c r="BW897" s="48"/>
      <c r="BX897" s="48"/>
      <c r="BY897" s="48"/>
      <c r="BZ897" s="48"/>
      <c r="CA897" s="48"/>
      <c r="CB897" s="48"/>
      <c r="CC897" s="48"/>
      <c r="CD897" s="48"/>
      <c r="CE897" s="48"/>
      <c r="CF897" s="48"/>
      <c r="CG897" s="48"/>
      <c r="CH897" s="48"/>
      <c r="CI897" s="98"/>
      <c r="CJ897" s="98"/>
      <c r="CK897" s="49">
        <f t="shared" si="260"/>
        <v>1.3198057800686294</v>
      </c>
      <c r="CL897" s="229"/>
      <c r="CM897" s="229"/>
      <c r="CN897" s="229"/>
      <c r="CO897" s="47" t="s">
        <v>2488</v>
      </c>
      <c r="CP897" s="47" t="s">
        <v>2489</v>
      </c>
      <c r="CQ897" s="224" t="s">
        <v>272</v>
      </c>
      <c r="CR897" s="224"/>
      <c r="CS897" s="230" t="s">
        <v>539</v>
      </c>
      <c r="CT897" s="230"/>
      <c r="CU897" s="230"/>
      <c r="CV897" s="335">
        <f t="shared" si="262"/>
        <v>9.8470052083333339</v>
      </c>
      <c r="CW897" s="230">
        <f t="shared" si="269"/>
        <v>1</v>
      </c>
      <c r="CX897" s="336"/>
      <c r="CY897" s="230" t="s">
        <v>6351</v>
      </c>
    </row>
    <row r="898" spans="1:103" ht="11.25" customHeight="1" x14ac:dyDescent="0.2">
      <c r="A898" s="72">
        <v>896</v>
      </c>
      <c r="B898" s="224">
        <v>1400</v>
      </c>
      <c r="C898" s="46" t="s">
        <v>7090</v>
      </c>
      <c r="D898" s="46"/>
      <c r="E898" s="114"/>
      <c r="F898" s="114" t="s">
        <v>4313</v>
      </c>
      <c r="G898" s="225">
        <v>99558</v>
      </c>
      <c r="H898" s="47" t="s">
        <v>4314</v>
      </c>
      <c r="I898" s="47" t="s">
        <v>8019</v>
      </c>
      <c r="J898" s="47" t="s">
        <v>4315</v>
      </c>
      <c r="K898" s="47" t="s">
        <v>2695</v>
      </c>
      <c r="L898" s="47"/>
      <c r="M898" s="47"/>
      <c r="N898" s="47"/>
      <c r="O898" s="47"/>
      <c r="P898" s="53"/>
      <c r="Q898" s="53"/>
      <c r="R898" s="53"/>
      <c r="S898" s="53"/>
      <c r="T898" s="48">
        <v>152.15</v>
      </c>
      <c r="U898" s="98"/>
      <c r="V898" s="98">
        <v>12.343082484390404</v>
      </c>
      <c r="W898" s="98">
        <v>5.8884365535558896</v>
      </c>
      <c r="X898" s="98">
        <f>IF(W898=0,V898,W898)</f>
        <v>5.8884365535558896</v>
      </c>
      <c r="Y898" s="233">
        <v>7.18</v>
      </c>
      <c r="Z898" s="48">
        <v>2.02</v>
      </c>
      <c r="AA898" s="48">
        <v>1.87</v>
      </c>
      <c r="AB898" s="48">
        <v>1.52</v>
      </c>
      <c r="AC898" s="48">
        <v>0.89549999999999996</v>
      </c>
      <c r="AD898" s="48">
        <v>1.59</v>
      </c>
      <c r="AE898" s="48">
        <v>1.83</v>
      </c>
      <c r="AF898" s="48">
        <f t="shared" si="268"/>
        <v>1.87</v>
      </c>
      <c r="AG898" s="49">
        <v>1.19</v>
      </c>
      <c r="AH898" s="98">
        <v>8.2900000000000001E-9</v>
      </c>
      <c r="AI898" s="98"/>
      <c r="AJ898" s="483">
        <f t="shared" si="265"/>
        <v>-6.4700117957623782</v>
      </c>
      <c r="AK898" s="483"/>
      <c r="AL898" s="483">
        <f t="shared" si="264"/>
        <v>-6.4700117957623782</v>
      </c>
      <c r="AM898" s="483">
        <v>-9.0554600000000001</v>
      </c>
      <c r="AN898" s="226">
        <v>-6.16</v>
      </c>
      <c r="AO898" s="484"/>
      <c r="AP898" s="484">
        <v>2.34</v>
      </c>
      <c r="AQ898" s="48" t="s">
        <v>6311</v>
      </c>
      <c r="AR898" s="48" t="s">
        <v>6311</v>
      </c>
      <c r="AS898" s="227"/>
      <c r="AT898" s="50" t="s">
        <v>266</v>
      </c>
      <c r="AU898" s="48">
        <v>6</v>
      </c>
      <c r="AV898" s="48">
        <v>120</v>
      </c>
      <c r="AW898" s="48">
        <v>114</v>
      </c>
      <c r="AX898" s="48">
        <v>28</v>
      </c>
      <c r="AY898" s="48" t="s">
        <v>8728</v>
      </c>
      <c r="AZ898" s="48" t="s">
        <v>1563</v>
      </c>
      <c r="BA898" s="48">
        <v>32</v>
      </c>
      <c r="BB898" s="47" t="s">
        <v>2485</v>
      </c>
      <c r="BC898" s="47" t="s">
        <v>8726</v>
      </c>
      <c r="BD898" s="47" t="s">
        <v>8374</v>
      </c>
      <c r="BE898" s="48" t="s">
        <v>2449</v>
      </c>
      <c r="BF898" s="48" t="s">
        <v>272</v>
      </c>
      <c r="BG898" s="48" t="s">
        <v>272</v>
      </c>
      <c r="BH898" s="48" t="s">
        <v>2486</v>
      </c>
      <c r="BI898" s="98">
        <v>6.3999999999999997E-6</v>
      </c>
      <c r="BJ898" s="98">
        <v>6.4000000000000001E-2</v>
      </c>
      <c r="BK898" s="48"/>
      <c r="BL898" s="98">
        <f t="shared" si="263"/>
        <v>0.78820284843319122</v>
      </c>
      <c r="BM898" s="47" t="s">
        <v>2487</v>
      </c>
      <c r="BN898" s="48"/>
      <c r="BO898" s="48"/>
      <c r="BP898" s="48"/>
      <c r="BQ898" s="48"/>
      <c r="BR898" s="47" t="s">
        <v>2496</v>
      </c>
      <c r="BS898" s="48"/>
      <c r="BT898" s="48"/>
      <c r="BU898" s="228"/>
      <c r="BV898" s="48"/>
      <c r="BW898" s="48"/>
      <c r="BX898" s="48"/>
      <c r="BY898" s="48"/>
      <c r="BZ898" s="48"/>
      <c r="CA898" s="48"/>
      <c r="CB898" s="48"/>
      <c r="CC898" s="48"/>
      <c r="CD898" s="48"/>
      <c r="CE898" s="48"/>
      <c r="CF898" s="48"/>
      <c r="CG898" s="48"/>
      <c r="CH898" s="48"/>
      <c r="CI898" s="98"/>
      <c r="CJ898" s="98"/>
      <c r="CK898" s="49">
        <f t="shared" si="260"/>
        <v>12.315669506768613</v>
      </c>
      <c r="CL898" s="229"/>
      <c r="CM898" s="229"/>
      <c r="CN898" s="229"/>
      <c r="CO898" s="47" t="s">
        <v>2488</v>
      </c>
      <c r="CP898" s="47" t="s">
        <v>2489</v>
      </c>
      <c r="CQ898" s="224">
        <v>-0.34976304398794961</v>
      </c>
      <c r="CR898" s="224">
        <f>10^(CJ898-CQ898)</f>
        <v>2.2375000000000003</v>
      </c>
      <c r="CS898" s="230" t="s">
        <v>539</v>
      </c>
      <c r="CT898" s="230"/>
      <c r="CU898" s="230"/>
      <c r="CV898" s="335">
        <f t="shared" si="262"/>
        <v>92.006821149310767</v>
      </c>
      <c r="CW898" s="230">
        <f t="shared" si="269"/>
        <v>1</v>
      </c>
      <c r="CX898" s="336"/>
      <c r="CY898" s="230" t="s">
        <v>6351</v>
      </c>
    </row>
    <row r="899" spans="1:103" ht="11.25" customHeight="1" x14ac:dyDescent="0.2">
      <c r="A899" s="72">
        <v>897</v>
      </c>
      <c r="B899" s="224">
        <v>952</v>
      </c>
      <c r="C899" s="46" t="s">
        <v>7091</v>
      </c>
      <c r="D899" s="46"/>
      <c r="E899" s="114"/>
      <c r="F899" s="114" t="s">
        <v>2721</v>
      </c>
      <c r="G899" s="225">
        <v>99592</v>
      </c>
      <c r="H899" s="47" t="s">
        <v>2722</v>
      </c>
      <c r="I899" s="47" t="s">
        <v>8020</v>
      </c>
      <c r="J899" s="47" t="s">
        <v>2723</v>
      </c>
      <c r="K899" s="47" t="s">
        <v>1573</v>
      </c>
      <c r="L899" s="47"/>
      <c r="M899" s="47"/>
      <c r="N899" s="47"/>
      <c r="O899" s="47"/>
      <c r="P899" s="53"/>
      <c r="Q899" s="53"/>
      <c r="R899" s="53"/>
      <c r="S899" s="53"/>
      <c r="T899" s="48">
        <v>168.15</v>
      </c>
      <c r="U899" s="98">
        <v>0.68391317276241448</v>
      </c>
      <c r="V899" s="98">
        <v>20.725542670234908</v>
      </c>
      <c r="W899" s="98">
        <v>6.4565422903465528</v>
      </c>
      <c r="X899" s="98">
        <v>0.68391317276241448</v>
      </c>
      <c r="Y899" s="233">
        <v>7.22</v>
      </c>
      <c r="Z899" s="48">
        <v>1.55</v>
      </c>
      <c r="AA899" s="48">
        <v>1.47</v>
      </c>
      <c r="AB899" s="48">
        <v>1.48</v>
      </c>
      <c r="AC899" s="48">
        <v>0.90159999999999996</v>
      </c>
      <c r="AD899" s="48">
        <v>1.53</v>
      </c>
      <c r="AE899" s="48">
        <v>1.69</v>
      </c>
      <c r="AF899" s="48">
        <f t="shared" si="268"/>
        <v>1.47</v>
      </c>
      <c r="AG899" s="49">
        <v>0.71</v>
      </c>
      <c r="AH899" s="98">
        <v>4.4400000000000002E-10</v>
      </c>
      <c r="AI899" s="98"/>
      <c r="AJ899" s="483">
        <f t="shared" si="265"/>
        <v>-7.7411833561980323</v>
      </c>
      <c r="AK899" s="483"/>
      <c r="AL899" s="483">
        <f t="shared" si="264"/>
        <v>-7.7411833561980323</v>
      </c>
      <c r="AM899" s="483">
        <v>-10.338179999999998</v>
      </c>
      <c r="AN899" s="226">
        <v>-5.73</v>
      </c>
      <c r="AO899" s="484"/>
      <c r="AP899" s="484">
        <v>2.42</v>
      </c>
      <c r="AQ899" s="48" t="s">
        <v>6311</v>
      </c>
      <c r="AR899" s="48" t="s">
        <v>6311</v>
      </c>
      <c r="AS899" s="227"/>
      <c r="AT899" s="50" t="s">
        <v>266</v>
      </c>
      <c r="AU899" s="48">
        <v>6</v>
      </c>
      <c r="AV899" s="48">
        <v>120</v>
      </c>
      <c r="AW899" s="48">
        <v>114</v>
      </c>
      <c r="AX899" s="48">
        <v>28</v>
      </c>
      <c r="AY899" s="48" t="s">
        <v>8728</v>
      </c>
      <c r="AZ899" s="48" t="s">
        <v>1563</v>
      </c>
      <c r="BA899" s="48">
        <v>32</v>
      </c>
      <c r="BB899" s="47" t="s">
        <v>2485</v>
      </c>
      <c r="BC899" s="47" t="s">
        <v>8726</v>
      </c>
      <c r="BD899" s="47" t="s">
        <v>8374</v>
      </c>
      <c r="BE899" s="48" t="s">
        <v>2449</v>
      </c>
      <c r="BF899" s="48" t="s">
        <v>272</v>
      </c>
      <c r="BG899" s="48" t="s">
        <v>272</v>
      </c>
      <c r="BH899" s="48" t="s">
        <v>2486</v>
      </c>
      <c r="BI899" s="98">
        <v>6.3999999999999997E-6</v>
      </c>
      <c r="BJ899" s="98">
        <v>6.4000000000000001E-2</v>
      </c>
      <c r="BK899" s="48"/>
      <c r="BL899" s="98">
        <f t="shared" si="263"/>
        <v>2.0832673143506195</v>
      </c>
      <c r="BM899" s="47" t="s">
        <v>2487</v>
      </c>
      <c r="BN899" s="48"/>
      <c r="BO899" s="48"/>
      <c r="BP899" s="48"/>
      <c r="BQ899" s="48"/>
      <c r="BR899" s="47" t="s">
        <v>2496</v>
      </c>
      <c r="BS899" s="48"/>
      <c r="BT899" s="48"/>
      <c r="BU899" s="228">
        <v>6.4000000000000001E-2</v>
      </c>
      <c r="BV899" s="48"/>
      <c r="BW899" s="48"/>
      <c r="BX899" s="48"/>
      <c r="BY899" s="48"/>
      <c r="BZ899" s="48"/>
      <c r="CA899" s="48"/>
      <c r="CB899" s="48"/>
      <c r="CC899" s="48"/>
      <c r="CD899" s="48"/>
      <c r="CE899" s="48"/>
      <c r="CF899" s="48"/>
      <c r="CG899" s="48"/>
      <c r="CH899" s="48"/>
      <c r="CI899" s="98"/>
      <c r="CJ899" s="98"/>
      <c r="CK899" s="49">
        <f t="shared" si="260"/>
        <v>32.551051786728429</v>
      </c>
      <c r="CL899" s="229"/>
      <c r="CM899" s="229"/>
      <c r="CN899" s="229"/>
      <c r="CO899" s="47" t="s">
        <v>2488</v>
      </c>
      <c r="CP899" s="47" t="s">
        <v>2489</v>
      </c>
      <c r="CQ899" s="224" t="s">
        <v>272</v>
      </c>
      <c r="CR899" s="224"/>
      <c r="CS899" s="230" t="s">
        <v>539</v>
      </c>
      <c r="CT899" s="230"/>
      <c r="CU899" s="230"/>
      <c r="CV899" s="335">
        <f t="shared" si="262"/>
        <v>10.686143324412726</v>
      </c>
      <c r="CW899" s="230">
        <f t="shared" si="269"/>
        <v>1</v>
      </c>
      <c r="CX899" s="336"/>
      <c r="CY899" s="230" t="s">
        <v>6351</v>
      </c>
    </row>
    <row r="900" spans="1:103" ht="11.25" customHeight="1" x14ac:dyDescent="0.2">
      <c r="A900" s="72">
        <v>898</v>
      </c>
      <c r="B900" s="224">
        <v>1375</v>
      </c>
      <c r="C900" s="46" t="s">
        <v>7092</v>
      </c>
      <c r="D900" s="46"/>
      <c r="E900" s="114"/>
      <c r="F900" s="114" t="s">
        <v>4245</v>
      </c>
      <c r="G900" s="225">
        <v>99627</v>
      </c>
      <c r="H900" s="47" t="s">
        <v>4246</v>
      </c>
      <c r="I900" s="47" t="s">
        <v>4246</v>
      </c>
      <c r="J900" s="47" t="s">
        <v>4247</v>
      </c>
      <c r="K900" s="47" t="s">
        <v>426</v>
      </c>
      <c r="L900" s="47"/>
      <c r="M900" s="47"/>
      <c r="N900" s="47"/>
      <c r="O900" s="47"/>
      <c r="P900" s="53"/>
      <c r="Q900" s="53"/>
      <c r="R900" s="53"/>
      <c r="S900" s="53"/>
      <c r="T900" s="48">
        <v>162.27000000000001</v>
      </c>
      <c r="U900" s="98"/>
      <c r="V900" s="98">
        <v>2.6653109015837801E-2</v>
      </c>
      <c r="W900" s="98">
        <v>5.1286138399136436E-3</v>
      </c>
      <c r="X900" s="98">
        <f>IF(W900=0,V900,W900)</f>
        <v>5.1286138399136436E-3</v>
      </c>
      <c r="Y900" s="233">
        <v>7</v>
      </c>
      <c r="Z900" s="48">
        <v>4.9000000000000004</v>
      </c>
      <c r="AA900" s="48"/>
      <c r="AB900" s="48">
        <v>4.18</v>
      </c>
      <c r="AC900" s="48">
        <v>0.61529999999999996</v>
      </c>
      <c r="AD900" s="48">
        <v>4.5199999999999996</v>
      </c>
      <c r="AE900" s="48">
        <v>4.9000000000000004</v>
      </c>
      <c r="AF900" s="48">
        <f t="shared" si="268"/>
        <v>4.5199999999999996</v>
      </c>
      <c r="AG900" s="49">
        <v>4.32</v>
      </c>
      <c r="AH900" s="98">
        <v>2.0400000000000001E-2</v>
      </c>
      <c r="AI900" s="98"/>
      <c r="AJ900" s="483">
        <f t="shared" si="265"/>
        <v>-7.8936158886753024E-2</v>
      </c>
      <c r="AK900" s="483"/>
      <c r="AL900" s="483">
        <f t="shared" si="264"/>
        <v>-7.8936158886753024E-2</v>
      </c>
      <c r="AM900" s="483">
        <v>-2.8446900000000004</v>
      </c>
      <c r="AN900" s="226">
        <v>-3.15E-2</v>
      </c>
      <c r="AO900" s="484"/>
      <c r="AP900" s="484"/>
      <c r="AQ900" s="48" t="s">
        <v>6311</v>
      </c>
      <c r="AR900" s="48" t="s">
        <v>6311</v>
      </c>
      <c r="AS900" s="227"/>
      <c r="AT900" s="50" t="s">
        <v>266</v>
      </c>
      <c r="AU900" s="48">
        <v>6</v>
      </c>
      <c r="AV900" s="48">
        <v>120</v>
      </c>
      <c r="AW900" s="48">
        <v>114</v>
      </c>
      <c r="AX900" s="48">
        <v>28</v>
      </c>
      <c r="AY900" s="48" t="s">
        <v>8728</v>
      </c>
      <c r="AZ900" s="48" t="s">
        <v>1563</v>
      </c>
      <c r="BA900" s="48">
        <v>32</v>
      </c>
      <c r="BB900" s="47" t="s">
        <v>2485</v>
      </c>
      <c r="BC900" s="47" t="s">
        <v>8726</v>
      </c>
      <c r="BD900" s="47" t="s">
        <v>8374</v>
      </c>
      <c r="BE900" s="48" t="s">
        <v>2449</v>
      </c>
      <c r="BF900" s="48" t="s">
        <v>272</v>
      </c>
      <c r="BG900" s="48" t="s">
        <v>272</v>
      </c>
      <c r="BH900" s="48" t="s">
        <v>2486</v>
      </c>
      <c r="BI900" s="98">
        <v>6.3999999999999997E-6</v>
      </c>
      <c r="BJ900" s="98">
        <v>6.4000000000000001E-2</v>
      </c>
      <c r="BK900" s="48"/>
      <c r="BL900" s="98">
        <f t="shared" si="263"/>
        <v>2.0422551504559023E-3</v>
      </c>
      <c r="BM900" s="47" t="s">
        <v>2487</v>
      </c>
      <c r="BN900" s="48"/>
      <c r="BO900" s="48"/>
      <c r="BP900" s="48"/>
      <c r="BQ900" s="48"/>
      <c r="BR900" s="47" t="s">
        <v>2496</v>
      </c>
      <c r="BS900" s="48"/>
      <c r="BT900" s="48"/>
      <c r="BU900" s="228"/>
      <c r="BV900" s="48"/>
      <c r="BW900" s="48"/>
      <c r="BX900" s="48"/>
      <c r="BY900" s="48"/>
      <c r="BZ900" s="48"/>
      <c r="CA900" s="48"/>
      <c r="CB900" s="48"/>
      <c r="CC900" s="48"/>
      <c r="CD900" s="48"/>
      <c r="CE900" s="48"/>
      <c r="CF900" s="48"/>
      <c r="CG900" s="48"/>
      <c r="CH900" s="48"/>
      <c r="CI900" s="98"/>
      <c r="CJ900" s="98"/>
      <c r="CK900" s="49">
        <f t="shared" si="260"/>
        <v>3.1910236725873474E-2</v>
      </c>
      <c r="CL900" s="229"/>
      <c r="CM900" s="229"/>
      <c r="CN900" s="229"/>
      <c r="CO900" s="47" t="s">
        <v>2488</v>
      </c>
      <c r="CP900" s="47" t="s">
        <v>2489</v>
      </c>
      <c r="CQ900" s="224" t="s">
        <v>272</v>
      </c>
      <c r="CR900" s="224"/>
      <c r="CS900" s="230" t="s">
        <v>539</v>
      </c>
      <c r="CT900" s="230"/>
      <c r="CU900" s="230"/>
      <c r="CV900" s="335">
        <f t="shared" si="262"/>
        <v>8.0134591248650675E-2</v>
      </c>
      <c r="CW900" s="230">
        <f t="shared" si="269"/>
        <v>0</v>
      </c>
      <c r="CX900" s="336"/>
      <c r="CY900" s="230" t="s">
        <v>6351</v>
      </c>
    </row>
    <row r="901" spans="1:103" ht="11.25" customHeight="1" x14ac:dyDescent="0.2">
      <c r="A901" s="72">
        <v>899</v>
      </c>
      <c r="B901" s="224">
        <v>1376</v>
      </c>
      <c r="C901" s="46" t="s">
        <v>7093</v>
      </c>
      <c r="D901" s="46"/>
      <c r="E901" s="114"/>
      <c r="F901" s="114" t="s">
        <v>4248</v>
      </c>
      <c r="G901" s="225">
        <v>99650</v>
      </c>
      <c r="H901" s="47" t="s">
        <v>4249</v>
      </c>
      <c r="I901" s="47" t="s">
        <v>4249</v>
      </c>
      <c r="J901" s="47" t="s">
        <v>4250</v>
      </c>
      <c r="K901" s="47" t="s">
        <v>1011</v>
      </c>
      <c r="L901" s="47"/>
      <c r="M901" s="47" t="s">
        <v>6088</v>
      </c>
      <c r="N901" s="47" t="s">
        <v>6088</v>
      </c>
      <c r="O901" s="47"/>
      <c r="P901" s="53"/>
      <c r="Q901" s="53" t="s">
        <v>6176</v>
      </c>
      <c r="R901" s="53" t="s">
        <v>6175</v>
      </c>
      <c r="S901" s="53" t="s">
        <v>6182</v>
      </c>
      <c r="T901" s="48">
        <v>168.11</v>
      </c>
      <c r="U901" s="98">
        <v>3.1705430967818686</v>
      </c>
      <c r="V901" s="98">
        <v>8.1256320266492175</v>
      </c>
      <c r="W901" s="98">
        <v>2.5118864315095779</v>
      </c>
      <c r="X901" s="98">
        <v>3.1705430967818686</v>
      </c>
      <c r="Y901" s="233">
        <v>7</v>
      </c>
      <c r="Z901" s="48">
        <v>1.63</v>
      </c>
      <c r="AA901" s="48">
        <v>1.49</v>
      </c>
      <c r="AB901" s="48">
        <v>1.54</v>
      </c>
      <c r="AC901" s="48">
        <v>0.92079999999999995</v>
      </c>
      <c r="AD901" s="48">
        <v>1.55</v>
      </c>
      <c r="AE901" s="48">
        <v>1.62</v>
      </c>
      <c r="AF901" s="48">
        <f t="shared" si="268"/>
        <v>1.49</v>
      </c>
      <c r="AG901" s="49">
        <v>1.05</v>
      </c>
      <c r="AH901" s="98">
        <v>8.3900000000000004E-8</v>
      </c>
      <c r="AI901" s="98">
        <v>4.9000000000000002E-8</v>
      </c>
      <c r="AJ901" s="483">
        <f t="shared" si="265"/>
        <v>-5.4648043654839515</v>
      </c>
      <c r="AK901" s="483">
        <f>LOG10(AI901*1000/(0.08206*298.15))</f>
        <v>-5.6983702462841377</v>
      </c>
      <c r="AL901" s="483">
        <f t="shared" si="264"/>
        <v>-5.6983702462841377</v>
      </c>
      <c r="AM901" s="483">
        <v>-7.4061899999999996</v>
      </c>
      <c r="AN901" s="226">
        <v>-5</v>
      </c>
      <c r="AO901" s="484"/>
      <c r="AP901" s="484"/>
      <c r="AQ901" s="48" t="s">
        <v>6311</v>
      </c>
      <c r="AR901" s="48" t="s">
        <v>6311</v>
      </c>
      <c r="AS901" s="227"/>
      <c r="AT901" s="50" t="s">
        <v>266</v>
      </c>
      <c r="AU901" s="48">
        <v>6</v>
      </c>
      <c r="AV901" s="48">
        <v>120</v>
      </c>
      <c r="AW901" s="48">
        <v>114</v>
      </c>
      <c r="AX901" s="48">
        <v>28</v>
      </c>
      <c r="AY901" s="48" t="s">
        <v>8728</v>
      </c>
      <c r="AZ901" s="48" t="s">
        <v>1563</v>
      </c>
      <c r="BA901" s="48">
        <v>32</v>
      </c>
      <c r="BB901" s="47" t="s">
        <v>2485</v>
      </c>
      <c r="BC901" s="47" t="s">
        <v>8726</v>
      </c>
      <c r="BD901" s="47" t="s">
        <v>8374</v>
      </c>
      <c r="BE901" s="48" t="s">
        <v>2449</v>
      </c>
      <c r="BF901" s="48" t="s">
        <v>272</v>
      </c>
      <c r="BG901" s="48" t="s">
        <v>272</v>
      </c>
      <c r="BH901" s="48" t="s">
        <v>2486</v>
      </c>
      <c r="BI901" s="98">
        <v>6.3999999999999997E-6</v>
      </c>
      <c r="BJ901" s="98">
        <v>6.4000000000000001E-2</v>
      </c>
      <c r="BK901" s="48"/>
      <c r="BL901" s="98">
        <f t="shared" si="263"/>
        <v>1.7656190257571063</v>
      </c>
      <c r="BM901" s="47" t="s">
        <v>2487</v>
      </c>
      <c r="BN901" s="48"/>
      <c r="BO901" s="48"/>
      <c r="BP901" s="48"/>
      <c r="BQ901" s="48"/>
      <c r="BR901" s="47" t="s">
        <v>2496</v>
      </c>
      <c r="BS901" s="48"/>
      <c r="BT901" s="48"/>
      <c r="BU901" s="228"/>
      <c r="BV901" s="48"/>
      <c r="BW901" s="48"/>
      <c r="BX901" s="48"/>
      <c r="BY901" s="48"/>
      <c r="BZ901" s="48"/>
      <c r="CA901" s="48"/>
      <c r="CB901" s="48"/>
      <c r="CC901" s="48"/>
      <c r="CD901" s="48"/>
      <c r="CE901" s="48"/>
      <c r="CF901" s="48"/>
      <c r="CG901" s="48"/>
      <c r="CH901" s="48"/>
      <c r="CI901" s="98"/>
      <c r="CJ901" s="98"/>
      <c r="CK901" s="49">
        <f t="shared" si="260"/>
        <v>27.587797277454786</v>
      </c>
      <c r="CL901" s="229"/>
      <c r="CM901" s="229"/>
      <c r="CN901" s="229"/>
      <c r="CO901" s="47" t="s">
        <v>2488</v>
      </c>
      <c r="CP901" s="47" t="s">
        <v>2489</v>
      </c>
      <c r="CQ901" s="224">
        <v>-1.4933463806575002</v>
      </c>
      <c r="CR901" s="224">
        <f>10^(CJ901-CQ901)</f>
        <v>31.14199141599973</v>
      </c>
      <c r="CS901" s="230" t="s">
        <v>539</v>
      </c>
      <c r="CT901" s="230"/>
      <c r="CU901" s="230"/>
      <c r="CV901" s="335">
        <f t="shared" si="262"/>
        <v>49.539735887216693</v>
      </c>
      <c r="CW901" s="230">
        <f t="shared" si="269"/>
        <v>1</v>
      </c>
      <c r="CX901" s="336"/>
      <c r="CY901" s="230" t="s">
        <v>5921</v>
      </c>
    </row>
    <row r="902" spans="1:103" ht="11.25" customHeight="1" x14ac:dyDescent="0.2">
      <c r="A902" s="72">
        <v>900</v>
      </c>
      <c r="B902" s="224">
        <v>1932</v>
      </c>
      <c r="C902" s="46" t="s">
        <v>7094</v>
      </c>
      <c r="D902" s="46"/>
      <c r="E902" s="114"/>
      <c r="F902" s="114" t="s">
        <v>569</v>
      </c>
      <c r="G902" s="225">
        <v>99661</v>
      </c>
      <c r="H902" s="47" t="s">
        <v>570</v>
      </c>
      <c r="I902" s="47" t="s">
        <v>8021</v>
      </c>
      <c r="J902" s="47" t="s">
        <v>571</v>
      </c>
      <c r="K902" s="47" t="s">
        <v>426</v>
      </c>
      <c r="L902" s="51" t="s">
        <v>279</v>
      </c>
      <c r="M902" s="47" t="s">
        <v>572</v>
      </c>
      <c r="N902" s="47"/>
      <c r="O902" s="47" t="s">
        <v>281</v>
      </c>
      <c r="P902" s="53"/>
      <c r="Q902" s="53"/>
      <c r="R902" s="53"/>
      <c r="S902" s="53"/>
      <c r="T902" s="48">
        <v>144.21</v>
      </c>
      <c r="U902" s="98">
        <v>13.868663754247278</v>
      </c>
      <c r="V902" s="98">
        <v>6.2034532972748071</v>
      </c>
      <c r="W902" s="98">
        <v>14.454397707459272</v>
      </c>
      <c r="X902" s="98">
        <v>13.868663754247278</v>
      </c>
      <c r="Y902" s="233">
        <v>3.33</v>
      </c>
      <c r="Z902" s="48">
        <v>2.96</v>
      </c>
      <c r="AA902" s="48">
        <v>2.75</v>
      </c>
      <c r="AB902" s="48">
        <v>2.64</v>
      </c>
      <c r="AC902" s="48">
        <v>0.93820000000000003</v>
      </c>
      <c r="AD902" s="48">
        <v>2.65</v>
      </c>
      <c r="AE902" s="48">
        <v>2.72</v>
      </c>
      <c r="AF902" s="48">
        <f t="shared" si="268"/>
        <v>2.75</v>
      </c>
      <c r="AG902" s="49">
        <v>2.3199999999999998</v>
      </c>
      <c r="AH902" s="98">
        <v>3.0000000000000001E-6</v>
      </c>
      <c r="AI902" s="98"/>
      <c r="AJ902" s="483">
        <f t="shared" si="265"/>
        <v>-3.9114450715929894</v>
      </c>
      <c r="AK902" s="483"/>
      <c r="AL902" s="483">
        <f t="shared" si="264"/>
        <v>-3.9114450715929894</v>
      </c>
      <c r="AM902" s="483">
        <v>-5.7235100000000001</v>
      </c>
      <c r="AN902" s="226">
        <v>-3.88</v>
      </c>
      <c r="AO902" s="484">
        <v>4.82</v>
      </c>
      <c r="AP902" s="484"/>
      <c r="AQ902" s="226" t="s">
        <v>6311</v>
      </c>
      <c r="AR902" s="226" t="s">
        <v>6311</v>
      </c>
      <c r="AS902" s="224"/>
      <c r="AT902" s="50" t="s">
        <v>266</v>
      </c>
      <c r="AU902" s="48">
        <v>6</v>
      </c>
      <c r="AV902" s="48">
        <v>120</v>
      </c>
      <c r="AW902" s="48">
        <v>114</v>
      </c>
      <c r="AX902" s="48">
        <v>28</v>
      </c>
      <c r="AY902" s="48" t="s">
        <v>8728</v>
      </c>
      <c r="AZ902" s="48" t="s">
        <v>1563</v>
      </c>
      <c r="BA902" s="48">
        <v>32</v>
      </c>
      <c r="BB902" s="47" t="s">
        <v>2485</v>
      </c>
      <c r="BC902" s="47" t="s">
        <v>8726</v>
      </c>
      <c r="BD902" s="47" t="s">
        <v>8374</v>
      </c>
      <c r="BE902" s="48" t="s">
        <v>2449</v>
      </c>
      <c r="BF902" s="48" t="s">
        <v>272</v>
      </c>
      <c r="BG902" s="48" t="s">
        <v>272</v>
      </c>
      <c r="BH902" s="48" t="s">
        <v>2486</v>
      </c>
      <c r="BI902" s="98">
        <v>6.3999999999999997E-6</v>
      </c>
      <c r="BJ902" s="98">
        <v>6.4000000000000001E-2</v>
      </c>
      <c r="BK902" s="48"/>
      <c r="BL902" s="98">
        <f t="shared" si="263"/>
        <v>0.11282984720039825</v>
      </c>
      <c r="BM902" s="47" t="s">
        <v>2487</v>
      </c>
      <c r="BN902" s="48"/>
      <c r="BO902" s="48"/>
      <c r="BP902" s="48"/>
      <c r="BQ902" s="48"/>
      <c r="BR902" s="47" t="s">
        <v>2496</v>
      </c>
      <c r="BS902" s="48"/>
      <c r="BT902" s="48"/>
      <c r="BU902" s="228"/>
      <c r="BV902" s="48"/>
      <c r="BW902" s="48"/>
      <c r="BX902" s="48"/>
      <c r="BY902" s="48"/>
      <c r="BZ902" s="48"/>
      <c r="CA902" s="48"/>
      <c r="CB902" s="48"/>
      <c r="CC902" s="48"/>
      <c r="CD902" s="48"/>
      <c r="CE902" s="48"/>
      <c r="CF902" s="48"/>
      <c r="CG902" s="48"/>
      <c r="CH902" s="48"/>
      <c r="CI902" s="98"/>
      <c r="CJ902" s="98"/>
      <c r="CK902" s="49">
        <f t="shared" ref="CK902:CK965" si="270">BL902/BJ902</f>
        <v>1.7629663625062226</v>
      </c>
      <c r="CL902" s="229"/>
      <c r="CM902" s="229"/>
      <c r="CN902" s="229"/>
      <c r="CO902" s="47" t="s">
        <v>2488</v>
      </c>
      <c r="CP902" s="47" t="s">
        <v>2489</v>
      </c>
      <c r="CQ902" s="224" t="s">
        <v>272</v>
      </c>
      <c r="CR902" s="224"/>
      <c r="CS902" s="230" t="s">
        <v>539</v>
      </c>
      <c r="CT902" s="230"/>
      <c r="CU902" s="230"/>
      <c r="CV902" s="335">
        <f t="shared" si="262"/>
        <v>216.69787116011372</v>
      </c>
      <c r="CW902" s="230">
        <f t="shared" si="269"/>
        <v>1</v>
      </c>
      <c r="CX902" s="336"/>
      <c r="CY902" s="230" t="s">
        <v>6351</v>
      </c>
    </row>
    <row r="903" spans="1:103" ht="11.25" customHeight="1" x14ac:dyDescent="0.2">
      <c r="A903" s="72">
        <v>901</v>
      </c>
      <c r="B903" s="224">
        <v>982</v>
      </c>
      <c r="C903" s="46" t="s">
        <v>7095</v>
      </c>
      <c r="D903" s="46"/>
      <c r="E903" s="114"/>
      <c r="F903" s="114" t="s">
        <v>2800</v>
      </c>
      <c r="G903" s="225">
        <v>99718</v>
      </c>
      <c r="H903" s="47" t="s">
        <v>2801</v>
      </c>
      <c r="I903" s="47" t="s">
        <v>2801</v>
      </c>
      <c r="J903" s="47" t="s">
        <v>2802</v>
      </c>
      <c r="K903" s="47" t="s">
        <v>349</v>
      </c>
      <c r="L903" s="47"/>
      <c r="M903" s="47"/>
      <c r="N903" s="47"/>
      <c r="O903" s="47"/>
      <c r="P903" s="53"/>
      <c r="Q903" s="53"/>
      <c r="R903" s="53"/>
      <c r="S903" s="53"/>
      <c r="T903" s="48">
        <v>150.22</v>
      </c>
      <c r="U903" s="98">
        <v>6.3906270802822531</v>
      </c>
      <c r="V903" s="98">
        <v>4.4880841432565575</v>
      </c>
      <c r="W903" s="98">
        <v>5.6234132519034867</v>
      </c>
      <c r="X903" s="98">
        <v>6.3906270802822531</v>
      </c>
      <c r="Y903" s="233">
        <v>6.18</v>
      </c>
      <c r="Z903" s="48">
        <v>3.46</v>
      </c>
      <c r="AA903" s="48">
        <v>3.08</v>
      </c>
      <c r="AB903" s="48">
        <v>3.29</v>
      </c>
      <c r="AC903" s="48">
        <v>0.9214</v>
      </c>
      <c r="AD903" s="48">
        <v>3.3</v>
      </c>
      <c r="AE903" s="48">
        <v>3.35</v>
      </c>
      <c r="AF903" s="48">
        <f t="shared" si="268"/>
        <v>3.08</v>
      </c>
      <c r="AG903" s="49">
        <v>3.12</v>
      </c>
      <c r="AH903" s="98">
        <v>1.4500000000000001E-6</v>
      </c>
      <c r="AI903" s="98"/>
      <c r="AJ903" s="483">
        <f t="shared" si="265"/>
        <v>-4.2271983240776771</v>
      </c>
      <c r="AK903" s="483"/>
      <c r="AL903" s="483">
        <f t="shared" si="264"/>
        <v>-4.2271983240776771</v>
      </c>
      <c r="AM903" s="483">
        <v>-6.9180200000000003</v>
      </c>
      <c r="AN903" s="226">
        <v>-4.28</v>
      </c>
      <c r="AO903" s="484">
        <v>10.11</v>
      </c>
      <c r="AP903" s="484"/>
      <c r="AQ903" s="48" t="s">
        <v>6311</v>
      </c>
      <c r="AR903" s="48" t="s">
        <v>6311</v>
      </c>
      <c r="AS903" s="227"/>
      <c r="AT903" s="50" t="s">
        <v>266</v>
      </c>
      <c r="AU903" s="48">
        <v>6</v>
      </c>
      <c r="AV903" s="48">
        <v>120</v>
      </c>
      <c r="AW903" s="48">
        <v>114</v>
      </c>
      <c r="AX903" s="48">
        <v>28</v>
      </c>
      <c r="AY903" s="48" t="s">
        <v>8728</v>
      </c>
      <c r="AZ903" s="48" t="s">
        <v>1563</v>
      </c>
      <c r="BA903" s="48">
        <v>32</v>
      </c>
      <c r="BB903" s="47" t="s">
        <v>2485</v>
      </c>
      <c r="BC903" s="47" t="s">
        <v>8726</v>
      </c>
      <c r="BD903" s="47" t="s">
        <v>8374</v>
      </c>
      <c r="BE903" s="48" t="s">
        <v>2449</v>
      </c>
      <c r="BF903" s="48" t="s">
        <v>272</v>
      </c>
      <c r="BG903" s="48" t="s">
        <v>272</v>
      </c>
      <c r="BH903" s="48" t="s">
        <v>2486</v>
      </c>
      <c r="BI903" s="98">
        <v>6.3999999999999997E-6</v>
      </c>
      <c r="BJ903" s="98">
        <v>6.4000000000000001E-2</v>
      </c>
      <c r="BK903" s="48"/>
      <c r="BL903" s="98">
        <f t="shared" si="263"/>
        <v>4.0121207943140245E-2</v>
      </c>
      <c r="BM903" s="47" t="s">
        <v>2487</v>
      </c>
      <c r="BN903" s="48"/>
      <c r="BO903" s="48"/>
      <c r="BP903" s="48"/>
      <c r="BQ903" s="48"/>
      <c r="BR903" s="47" t="s">
        <v>2496</v>
      </c>
      <c r="BS903" s="48"/>
      <c r="BT903" s="48"/>
      <c r="BU903" s="228">
        <v>6.3999999999999997E-5</v>
      </c>
      <c r="BV903" s="48"/>
      <c r="BW903" s="48"/>
      <c r="BX903" s="48"/>
      <c r="BY903" s="48"/>
      <c r="BZ903" s="48"/>
      <c r="CA903" s="48"/>
      <c r="CB903" s="48"/>
      <c r="CC903" s="48"/>
      <c r="CD903" s="48"/>
      <c r="CE903" s="48"/>
      <c r="CF903" s="48"/>
      <c r="CG903" s="48"/>
      <c r="CH903" s="48"/>
      <c r="CI903" s="98"/>
      <c r="CJ903" s="98"/>
      <c r="CK903" s="49">
        <f t="shared" si="270"/>
        <v>0.62689387411156627</v>
      </c>
      <c r="CL903" s="229"/>
      <c r="CM903" s="229"/>
      <c r="CN903" s="229"/>
      <c r="CO903" s="47" t="s">
        <v>2488</v>
      </c>
      <c r="CP903" s="47" t="s">
        <v>2489</v>
      </c>
      <c r="CQ903" s="224" t="s">
        <v>272</v>
      </c>
      <c r="CR903" s="224"/>
      <c r="CS903" s="230" t="s">
        <v>539</v>
      </c>
      <c r="CT903" s="230"/>
      <c r="CU903" s="230"/>
      <c r="CV903" s="335">
        <f t="shared" si="262"/>
        <v>99.8535481294102</v>
      </c>
      <c r="CW903" s="230">
        <f t="shared" si="269"/>
        <v>1</v>
      </c>
      <c r="CX903" s="336"/>
      <c r="CY903" s="230" t="s">
        <v>5921</v>
      </c>
    </row>
    <row r="904" spans="1:103" ht="11.25" customHeight="1" x14ac:dyDescent="0.2">
      <c r="A904" s="72">
        <v>902</v>
      </c>
      <c r="B904" s="224">
        <v>1741</v>
      </c>
      <c r="C904" s="46" t="s">
        <v>7096</v>
      </c>
      <c r="D904" s="46"/>
      <c r="E904" s="114"/>
      <c r="F904" s="114" t="s">
        <v>5027</v>
      </c>
      <c r="G904" s="225">
        <v>99763</v>
      </c>
      <c r="H904" s="47" t="s">
        <v>5028</v>
      </c>
      <c r="I904" s="47" t="s">
        <v>5028</v>
      </c>
      <c r="J904" s="47" t="s">
        <v>5029</v>
      </c>
      <c r="K904" s="47" t="s">
        <v>2962</v>
      </c>
      <c r="L904" s="47"/>
      <c r="M904" s="47"/>
      <c r="N904" s="47"/>
      <c r="O904" s="47"/>
      <c r="P904" s="53"/>
      <c r="Q904" s="53" t="s">
        <v>6173</v>
      </c>
      <c r="R904" s="53" t="s">
        <v>6174</v>
      </c>
      <c r="S904" s="53" t="s">
        <v>6176</v>
      </c>
      <c r="T904" s="48">
        <v>152.15</v>
      </c>
      <c r="U904" s="98">
        <v>16.431153466973381</v>
      </c>
      <c r="V904" s="98">
        <v>39.309891554387114</v>
      </c>
      <c r="W904" s="98">
        <v>38.01893963205611</v>
      </c>
      <c r="X904" s="98">
        <v>16.431153466973381</v>
      </c>
      <c r="Y904" s="233">
        <v>4.8600000000000003</v>
      </c>
      <c r="Z904" s="48">
        <v>2</v>
      </c>
      <c r="AA904" s="48">
        <v>1.96</v>
      </c>
      <c r="AB904" s="48">
        <v>2.2599999999999998</v>
      </c>
      <c r="AC904" s="48">
        <v>0.83209999999999995</v>
      </c>
      <c r="AD904" s="48">
        <v>2.14</v>
      </c>
      <c r="AE904" s="48">
        <v>1.86</v>
      </c>
      <c r="AF904" s="48">
        <f t="shared" si="268"/>
        <v>1.96</v>
      </c>
      <c r="AG904" s="49">
        <v>1.37</v>
      </c>
      <c r="AH904" s="98">
        <v>3.6100000000000001E-9</v>
      </c>
      <c r="AI904" s="98"/>
      <c r="AJ904" s="483">
        <f t="shared" si="265"/>
        <v>-6.8310591244069938</v>
      </c>
      <c r="AK904" s="483"/>
      <c r="AL904" s="483">
        <f t="shared" si="264"/>
        <v>-6.8310591244069938</v>
      </c>
      <c r="AM904" s="483">
        <v>-10.029859999999999</v>
      </c>
      <c r="AN904" s="226">
        <v>-7.12</v>
      </c>
      <c r="AO904" s="484">
        <v>8.31</v>
      </c>
      <c r="AP904" s="484"/>
      <c r="AQ904" s="226" t="s">
        <v>6311</v>
      </c>
      <c r="AR904" s="226" t="s">
        <v>6312</v>
      </c>
      <c r="AS904" s="224"/>
      <c r="AT904" s="50" t="s">
        <v>266</v>
      </c>
      <c r="AU904" s="48">
        <v>6</v>
      </c>
      <c r="AV904" s="48">
        <v>120</v>
      </c>
      <c r="AW904" s="48">
        <v>114</v>
      </c>
      <c r="AX904" s="48">
        <v>28</v>
      </c>
      <c r="AY904" s="48" t="s">
        <v>8728</v>
      </c>
      <c r="AZ904" s="48" t="s">
        <v>1563</v>
      </c>
      <c r="BA904" s="48">
        <v>32</v>
      </c>
      <c r="BB904" s="47" t="s">
        <v>2485</v>
      </c>
      <c r="BC904" s="47" t="s">
        <v>8726</v>
      </c>
      <c r="BD904" s="47" t="s">
        <v>8374</v>
      </c>
      <c r="BE904" s="48" t="s">
        <v>2449</v>
      </c>
      <c r="BF904" s="48" t="s">
        <v>272</v>
      </c>
      <c r="BG904" s="48" t="s">
        <v>272</v>
      </c>
      <c r="BH904" s="48" t="s">
        <v>2486</v>
      </c>
      <c r="BI904" s="98">
        <v>6.3999999999999997E-6</v>
      </c>
      <c r="BJ904" s="98">
        <v>6.4000000000000001E-2</v>
      </c>
      <c r="BK904" s="48"/>
      <c r="BL904" s="98">
        <f t="shared" si="263"/>
        <v>0.82148568512832731</v>
      </c>
      <c r="BM904" s="47" t="s">
        <v>2487</v>
      </c>
      <c r="BN904" s="48"/>
      <c r="BO904" s="48"/>
      <c r="BP904" s="48"/>
      <c r="BQ904" s="48"/>
      <c r="BR904" s="47" t="s">
        <v>2496</v>
      </c>
      <c r="BS904" s="48"/>
      <c r="BT904" s="48"/>
      <c r="BU904" s="228"/>
      <c r="BV904" s="48"/>
      <c r="BW904" s="48"/>
      <c r="BX904" s="48"/>
      <c r="BY904" s="48"/>
      <c r="BZ904" s="48"/>
      <c r="CA904" s="48"/>
      <c r="CB904" s="48"/>
      <c r="CC904" s="48"/>
      <c r="CD904" s="48"/>
      <c r="CE904" s="48"/>
      <c r="CF904" s="48"/>
      <c r="CG904" s="48"/>
      <c r="CH904" s="48"/>
      <c r="CI904" s="98"/>
      <c r="CJ904" s="98"/>
      <c r="CK904" s="49">
        <f t="shared" si="270"/>
        <v>12.835713830130114</v>
      </c>
      <c r="CL904" s="229"/>
      <c r="CM904" s="229"/>
      <c r="CN904" s="229"/>
      <c r="CO904" s="47" t="s">
        <v>2488</v>
      </c>
      <c r="CP904" s="47" t="s">
        <v>2489</v>
      </c>
      <c r="CQ904" s="224" t="s">
        <v>272</v>
      </c>
      <c r="CR904" s="224"/>
      <c r="CS904" s="230" t="s">
        <v>539</v>
      </c>
      <c r="CT904" s="230"/>
      <c r="CU904" s="230"/>
      <c r="CV904" s="335">
        <f t="shared" si="262"/>
        <v>256.73677292145908</v>
      </c>
      <c r="CW904" s="230">
        <f t="shared" si="269"/>
        <v>1</v>
      </c>
      <c r="CX904" s="336"/>
      <c r="CY904" s="230" t="s">
        <v>6351</v>
      </c>
    </row>
    <row r="905" spans="1:103" ht="11.25" customHeight="1" x14ac:dyDescent="0.2">
      <c r="A905" s="72">
        <v>903</v>
      </c>
      <c r="B905" s="224">
        <v>1800</v>
      </c>
      <c r="C905" s="46" t="s">
        <v>7097</v>
      </c>
      <c r="D905" s="46"/>
      <c r="E905" s="114"/>
      <c r="F905" s="114" t="s">
        <v>5179</v>
      </c>
      <c r="G905" s="225">
        <v>99876</v>
      </c>
      <c r="H905" s="47" t="s">
        <v>5180</v>
      </c>
      <c r="I905" s="47" t="s">
        <v>5180</v>
      </c>
      <c r="J905" s="47" t="s">
        <v>5181</v>
      </c>
      <c r="K905" s="47" t="s">
        <v>426</v>
      </c>
      <c r="L905" s="47" t="s">
        <v>6126</v>
      </c>
      <c r="M905" s="47" t="s">
        <v>6082</v>
      </c>
      <c r="N905" s="47"/>
      <c r="O905" s="47" t="s">
        <v>6083</v>
      </c>
      <c r="P905" s="53" t="s">
        <v>6183</v>
      </c>
      <c r="Q905" s="53" t="s">
        <v>6173</v>
      </c>
      <c r="R905" s="53" t="s">
        <v>6185</v>
      </c>
      <c r="S905" s="53" t="s">
        <v>6176</v>
      </c>
      <c r="T905" s="48">
        <v>134.22</v>
      </c>
      <c r="U905" s="98">
        <v>0.1743406347787215</v>
      </c>
      <c r="V905" s="98">
        <v>0.20771867083892118</v>
      </c>
      <c r="W905" s="98">
        <v>9.7723722095581E-2</v>
      </c>
      <c r="X905" s="98">
        <v>0.1743406347787215</v>
      </c>
      <c r="Y905" s="233">
        <v>7</v>
      </c>
      <c r="Z905" s="48">
        <v>4</v>
      </c>
      <c r="AA905" s="48">
        <v>4.0999999999999996</v>
      </c>
      <c r="AB905" s="48">
        <v>4.17</v>
      </c>
      <c r="AC905" s="48">
        <v>0.87439999999999996</v>
      </c>
      <c r="AD905" s="48">
        <v>4.13</v>
      </c>
      <c r="AE905" s="48">
        <v>4.0199999999999996</v>
      </c>
      <c r="AF905" s="48">
        <f t="shared" si="268"/>
        <v>4.0999999999999996</v>
      </c>
      <c r="AG905" s="49">
        <v>3.52</v>
      </c>
      <c r="AH905" s="98">
        <v>1.1599999999999999E-2</v>
      </c>
      <c r="AI905" s="98">
        <v>1.0999999999999999E-2</v>
      </c>
      <c r="AJ905" s="483">
        <f t="shared" si="265"/>
        <v>-0.32410833708573333</v>
      </c>
      <c r="AK905" s="483">
        <f t="shared" ref="AK905:AK910" si="271">LOG10(AI905*1000/(0.08206*298.15))</f>
        <v>-0.34717364115442678</v>
      </c>
      <c r="AL905" s="483">
        <f t="shared" si="264"/>
        <v>-0.34717364115442678</v>
      </c>
      <c r="AM905" s="483">
        <v>-2.5341699999999996</v>
      </c>
      <c r="AN905" s="226">
        <v>-0.3</v>
      </c>
      <c r="AO905" s="484"/>
      <c r="AP905" s="484"/>
      <c r="AQ905" s="226" t="s">
        <v>6311</v>
      </c>
      <c r="AR905" s="226" t="s">
        <v>6311</v>
      </c>
      <c r="AS905" s="224"/>
      <c r="AT905" s="50" t="s">
        <v>266</v>
      </c>
      <c r="AU905" s="48">
        <v>6</v>
      </c>
      <c r="AV905" s="48">
        <v>120</v>
      </c>
      <c r="AW905" s="48">
        <v>114</v>
      </c>
      <c r="AX905" s="48">
        <v>28</v>
      </c>
      <c r="AY905" s="48" t="s">
        <v>8728</v>
      </c>
      <c r="AZ905" s="48" t="s">
        <v>1563</v>
      </c>
      <c r="BA905" s="48">
        <v>32</v>
      </c>
      <c r="BB905" s="47" t="s">
        <v>2485</v>
      </c>
      <c r="BC905" s="47" t="s">
        <v>8726</v>
      </c>
      <c r="BD905" s="47" t="s">
        <v>8374</v>
      </c>
      <c r="BE905" s="48" t="s">
        <v>2449</v>
      </c>
      <c r="BF905" s="48" t="s">
        <v>272</v>
      </c>
      <c r="BG905" s="48" t="s">
        <v>272</v>
      </c>
      <c r="BH905" s="48" t="s">
        <v>2486</v>
      </c>
      <c r="BI905" s="98">
        <v>6.3999999999999997E-6</v>
      </c>
      <c r="BJ905" s="98">
        <v>6.4000000000000001E-2</v>
      </c>
      <c r="BK905" s="48"/>
      <c r="BL905" s="98">
        <f t="shared" si="263"/>
        <v>1.3134090365327335E-2</v>
      </c>
      <c r="BM905" s="47" t="s">
        <v>2487</v>
      </c>
      <c r="BN905" s="48"/>
      <c r="BO905" s="48"/>
      <c r="BP905" s="48"/>
      <c r="BQ905" s="48"/>
      <c r="BR905" s="47" t="s">
        <v>2496</v>
      </c>
      <c r="BS905" s="48"/>
      <c r="BT905" s="48"/>
      <c r="BU905" s="228"/>
      <c r="BV905" s="48"/>
      <c r="BW905" s="48"/>
      <c r="BX905" s="48"/>
      <c r="BY905" s="48"/>
      <c r="BZ905" s="48"/>
      <c r="CA905" s="48"/>
      <c r="CB905" s="48"/>
      <c r="CC905" s="48"/>
      <c r="CD905" s="48"/>
      <c r="CE905" s="48"/>
      <c r="CF905" s="48"/>
      <c r="CG905" s="48"/>
      <c r="CH905" s="48"/>
      <c r="CI905" s="98"/>
      <c r="CJ905" s="98"/>
      <c r="CK905" s="49">
        <f t="shared" si="270"/>
        <v>0.20522016195823961</v>
      </c>
      <c r="CL905" s="229"/>
      <c r="CM905" s="229"/>
      <c r="CN905" s="229"/>
      <c r="CO905" s="47" t="s">
        <v>2488</v>
      </c>
      <c r="CP905" s="47" t="s">
        <v>2489</v>
      </c>
      <c r="CQ905" s="224">
        <v>-0.48436455799408584</v>
      </c>
      <c r="CR905" s="224">
        <f t="shared" ref="CR905:CR912" si="272">10^(CJ905-CQ905)</f>
        <v>3.0504545454545458</v>
      </c>
      <c r="CS905" s="230" t="s">
        <v>539</v>
      </c>
      <c r="CT905" s="230"/>
      <c r="CU905" s="230"/>
      <c r="CV905" s="335">
        <f t="shared" si="262"/>
        <v>2.7240724184175233</v>
      </c>
      <c r="CW905" s="230">
        <f t="shared" si="269"/>
        <v>1</v>
      </c>
      <c r="CX905" s="336"/>
      <c r="CY905" s="230" t="s">
        <v>6351</v>
      </c>
    </row>
    <row r="906" spans="1:103" ht="11.25" customHeight="1" x14ac:dyDescent="0.2">
      <c r="A906" s="72">
        <v>904</v>
      </c>
      <c r="B906" s="224">
        <v>1788</v>
      </c>
      <c r="C906" s="46" t="s">
        <v>7098</v>
      </c>
      <c r="D906" s="46"/>
      <c r="E906" s="114"/>
      <c r="F906" s="114" t="s">
        <v>5141</v>
      </c>
      <c r="G906" s="225">
        <v>99978</v>
      </c>
      <c r="H906" s="47" t="s">
        <v>5142</v>
      </c>
      <c r="I906" s="47" t="s">
        <v>5142</v>
      </c>
      <c r="J906" s="47" t="s">
        <v>5143</v>
      </c>
      <c r="K906" s="47" t="s">
        <v>426</v>
      </c>
      <c r="L906" s="47" t="s">
        <v>6025</v>
      </c>
      <c r="M906" s="47" t="s">
        <v>6082</v>
      </c>
      <c r="N906" s="47"/>
      <c r="O906" s="47" t="s">
        <v>6083</v>
      </c>
      <c r="P906" s="53"/>
      <c r="Q906" s="53" t="s">
        <v>6173</v>
      </c>
      <c r="R906" s="53" t="s">
        <v>6185</v>
      </c>
      <c r="S906" s="53" t="s">
        <v>6176</v>
      </c>
      <c r="T906" s="48">
        <v>135.21</v>
      </c>
      <c r="U906" s="98">
        <v>4.807336735448561</v>
      </c>
      <c r="V906" s="98">
        <v>2.5819096220693738</v>
      </c>
      <c r="W906" s="98">
        <v>3.9810717055349718</v>
      </c>
      <c r="X906" s="98">
        <v>4.807336735448561</v>
      </c>
      <c r="Y906" s="233">
        <v>8.6199999999999992</v>
      </c>
      <c r="Z906" s="48">
        <v>2.72</v>
      </c>
      <c r="AA906" s="48">
        <v>2.81</v>
      </c>
      <c r="AB906" s="48">
        <v>2.79</v>
      </c>
      <c r="AC906" s="48">
        <v>0.92820000000000003</v>
      </c>
      <c r="AD906" s="48">
        <v>2.79</v>
      </c>
      <c r="AE906" s="48">
        <v>2.79</v>
      </c>
      <c r="AF906" s="48">
        <f t="shared" si="268"/>
        <v>2.81</v>
      </c>
      <c r="AG906" s="49">
        <v>2.6</v>
      </c>
      <c r="AH906" s="98">
        <v>9.4500000000000007E-5</v>
      </c>
      <c r="AI906" s="98">
        <v>4.8699999999999998E-5</v>
      </c>
      <c r="AJ906" s="483">
        <f t="shared" si="265"/>
        <v>-2.4131345178033889</v>
      </c>
      <c r="AK906" s="483">
        <f t="shared" si="271"/>
        <v>-2.7010373650980175</v>
      </c>
      <c r="AL906" s="483">
        <f t="shared" si="264"/>
        <v>-2.7010373650980175</v>
      </c>
      <c r="AM906" s="483">
        <v>-5.0648900000000001</v>
      </c>
      <c r="AN906" s="226">
        <v>-2.67</v>
      </c>
      <c r="AO906" s="484"/>
      <c r="AP906" s="484">
        <v>5.64</v>
      </c>
      <c r="AQ906" s="226" t="s">
        <v>6311</v>
      </c>
      <c r="AR906" s="226" t="s">
        <v>6311</v>
      </c>
      <c r="AS906" s="224"/>
      <c r="AT906" s="50" t="s">
        <v>266</v>
      </c>
      <c r="AU906" s="48">
        <v>6</v>
      </c>
      <c r="AV906" s="48">
        <v>120</v>
      </c>
      <c r="AW906" s="48">
        <v>114</v>
      </c>
      <c r="AX906" s="48">
        <v>28</v>
      </c>
      <c r="AY906" s="48" t="s">
        <v>8728</v>
      </c>
      <c r="AZ906" s="48" t="s">
        <v>1563</v>
      </c>
      <c r="BA906" s="48">
        <v>32</v>
      </c>
      <c r="BB906" s="47" t="s">
        <v>2485</v>
      </c>
      <c r="BC906" s="47" t="s">
        <v>8726</v>
      </c>
      <c r="BD906" s="47" t="s">
        <v>8374</v>
      </c>
      <c r="BE906" s="48" t="s">
        <v>2449</v>
      </c>
      <c r="BF906" s="48" t="s">
        <v>272</v>
      </c>
      <c r="BG906" s="48" t="s">
        <v>272</v>
      </c>
      <c r="BH906" s="48" t="s">
        <v>2486</v>
      </c>
      <c r="BI906" s="98">
        <v>6.3999999999999997E-6</v>
      </c>
      <c r="BJ906" s="98">
        <v>6.4000000000000001E-2</v>
      </c>
      <c r="BK906" s="48"/>
      <c r="BL906" s="98">
        <f t="shared" si="263"/>
        <v>0.18533950551890974</v>
      </c>
      <c r="BM906" s="47" t="s">
        <v>2487</v>
      </c>
      <c r="BN906" s="48"/>
      <c r="BO906" s="48"/>
      <c r="BP906" s="48"/>
      <c r="BQ906" s="48"/>
      <c r="BR906" s="47" t="s">
        <v>2496</v>
      </c>
      <c r="BS906" s="48"/>
      <c r="BT906" s="48"/>
      <c r="BU906" s="228"/>
      <c r="BV906" s="48"/>
      <c r="BW906" s="48"/>
      <c r="BX906" s="48"/>
      <c r="BY906" s="48"/>
      <c r="BZ906" s="48"/>
      <c r="CA906" s="48"/>
      <c r="CB906" s="48"/>
      <c r="CC906" s="48"/>
      <c r="CD906" s="48"/>
      <c r="CE906" s="48"/>
      <c r="CF906" s="48"/>
      <c r="CG906" s="48"/>
      <c r="CH906" s="48"/>
      <c r="CI906" s="98"/>
      <c r="CJ906" s="98"/>
      <c r="CK906" s="49">
        <f t="shared" si="270"/>
        <v>2.8959297737329646</v>
      </c>
      <c r="CL906" s="229"/>
      <c r="CM906" s="229"/>
      <c r="CN906" s="229"/>
      <c r="CO906" s="47" t="s">
        <v>2488</v>
      </c>
      <c r="CP906" s="47" t="s">
        <v>2489</v>
      </c>
      <c r="CQ906" s="224">
        <v>-0.43992732066767148</v>
      </c>
      <c r="CR906" s="224">
        <f t="shared" si="272"/>
        <v>2.7537678207739309</v>
      </c>
      <c r="CS906" s="230" t="s">
        <v>539</v>
      </c>
      <c r="CT906" s="230"/>
      <c r="CU906" s="230"/>
      <c r="CV906" s="335">
        <f t="shared" si="262"/>
        <v>75.114636491383763</v>
      </c>
      <c r="CW906" s="230">
        <f t="shared" si="269"/>
        <v>1</v>
      </c>
      <c r="CX906" s="336"/>
      <c r="CY906" s="230" t="s">
        <v>6351</v>
      </c>
    </row>
    <row r="907" spans="1:103" ht="11.25" customHeight="1" x14ac:dyDescent="0.2">
      <c r="A907" s="72">
        <v>905</v>
      </c>
      <c r="B907" s="224">
        <v>1465</v>
      </c>
      <c r="C907" s="46" t="s">
        <v>7099</v>
      </c>
      <c r="D907" s="46"/>
      <c r="E907" s="114"/>
      <c r="F907" s="114" t="s">
        <v>4499</v>
      </c>
      <c r="G907" s="225">
        <v>99990</v>
      </c>
      <c r="H907" s="47" t="s">
        <v>4500</v>
      </c>
      <c r="I907" s="47" t="s">
        <v>4500</v>
      </c>
      <c r="J907" s="47" t="s">
        <v>4501</v>
      </c>
      <c r="K907" s="47" t="s">
        <v>426</v>
      </c>
      <c r="L907" s="47"/>
      <c r="M907" s="47" t="s">
        <v>866</v>
      </c>
      <c r="N907" s="47"/>
      <c r="O907" s="47" t="s">
        <v>498</v>
      </c>
      <c r="P907" s="53" t="s">
        <v>6184</v>
      </c>
      <c r="Q907" s="53" t="s">
        <v>6176</v>
      </c>
      <c r="R907" s="53" t="s">
        <v>6185</v>
      </c>
      <c r="S907" s="53" t="s">
        <v>6176</v>
      </c>
      <c r="T907" s="48">
        <v>137.13999999999999</v>
      </c>
      <c r="U907" s="98">
        <v>3.2229838121627536</v>
      </c>
      <c r="V907" s="98">
        <v>2.4186962228379758</v>
      </c>
      <c r="W907" s="98">
        <v>3.1622776601683764</v>
      </c>
      <c r="X907" s="98">
        <v>3.2229838121627536</v>
      </c>
      <c r="Y907" s="233">
        <v>7</v>
      </c>
      <c r="Z907" s="48">
        <v>2.36</v>
      </c>
      <c r="AA907" s="48">
        <v>2.37</v>
      </c>
      <c r="AB907" s="48">
        <v>2.46</v>
      </c>
      <c r="AC907" s="48">
        <v>0.92769999999999997</v>
      </c>
      <c r="AD907" s="48">
        <v>2.4500000000000002</v>
      </c>
      <c r="AE907" s="48">
        <v>2.41</v>
      </c>
      <c r="AF907" s="48">
        <f t="shared" si="268"/>
        <v>2.37</v>
      </c>
      <c r="AG907" s="49">
        <v>1.89</v>
      </c>
      <c r="AH907" s="98">
        <v>2.3499999999999999E-5</v>
      </c>
      <c r="AI907" s="98">
        <v>5.6300000000000003E-6</v>
      </c>
      <c r="AJ907" s="483">
        <f t="shared" si="265"/>
        <v>-3.0174984640409157</v>
      </c>
      <c r="AK907" s="483">
        <f t="shared" si="271"/>
        <v>-3.6380579314613057</v>
      </c>
      <c r="AL907" s="483">
        <f t="shared" si="264"/>
        <v>-3.6380579314613057</v>
      </c>
      <c r="AM907" s="483">
        <v>-4.7760700000000007</v>
      </c>
      <c r="AN907" s="226">
        <v>-2.78</v>
      </c>
      <c r="AO907" s="484"/>
      <c r="AP907" s="484"/>
      <c r="AQ907" s="48" t="s">
        <v>6311</v>
      </c>
      <c r="AR907" s="48" t="s">
        <v>6311</v>
      </c>
      <c r="AS907" s="227"/>
      <c r="AT907" s="50" t="s">
        <v>266</v>
      </c>
      <c r="AU907" s="48">
        <v>6</v>
      </c>
      <c r="AV907" s="48">
        <v>120</v>
      </c>
      <c r="AW907" s="48">
        <v>114</v>
      </c>
      <c r="AX907" s="48">
        <v>28</v>
      </c>
      <c r="AY907" s="48" t="s">
        <v>8728</v>
      </c>
      <c r="AZ907" s="48" t="s">
        <v>1563</v>
      </c>
      <c r="BA907" s="48">
        <v>32</v>
      </c>
      <c r="BB907" s="47" t="s">
        <v>2485</v>
      </c>
      <c r="BC907" s="47" t="s">
        <v>8726</v>
      </c>
      <c r="BD907" s="47" t="s">
        <v>8374</v>
      </c>
      <c r="BE907" s="48" t="s">
        <v>2449</v>
      </c>
      <c r="BF907" s="48" t="s">
        <v>272</v>
      </c>
      <c r="BG907" s="48" t="s">
        <v>272</v>
      </c>
      <c r="BH907" s="48" t="s">
        <v>2486</v>
      </c>
      <c r="BI907" s="98">
        <v>6.3999999999999997E-6</v>
      </c>
      <c r="BJ907" s="98">
        <v>6.4000000000000001E-2</v>
      </c>
      <c r="BK907" s="48"/>
      <c r="BL907" s="98">
        <f t="shared" si="263"/>
        <v>0.39019706645815139</v>
      </c>
      <c r="BM907" s="47" t="s">
        <v>2487</v>
      </c>
      <c r="BN907" s="48"/>
      <c r="BO907" s="48"/>
      <c r="BP907" s="48"/>
      <c r="BQ907" s="48"/>
      <c r="BR907" s="47" t="s">
        <v>2496</v>
      </c>
      <c r="BS907" s="48"/>
      <c r="BT907" s="48"/>
      <c r="BU907" s="228"/>
      <c r="BV907" s="48"/>
      <c r="BW907" s="48"/>
      <c r="BX907" s="48"/>
      <c r="BY907" s="48"/>
      <c r="BZ907" s="48"/>
      <c r="CA907" s="48"/>
      <c r="CB907" s="48"/>
      <c r="CC907" s="48"/>
      <c r="CD907" s="48"/>
      <c r="CE907" s="48"/>
      <c r="CF907" s="48"/>
      <c r="CG907" s="48"/>
      <c r="CH907" s="48"/>
      <c r="CI907" s="98"/>
      <c r="CJ907" s="98"/>
      <c r="CK907" s="49">
        <f t="shared" si="270"/>
        <v>6.0968291634086151</v>
      </c>
      <c r="CL907" s="229"/>
      <c r="CM907" s="229"/>
      <c r="CN907" s="229"/>
      <c r="CO907" s="47" t="s">
        <v>2488</v>
      </c>
      <c r="CP907" s="47" t="s">
        <v>2489</v>
      </c>
      <c r="CQ907" s="224">
        <v>-0.76058718807284398</v>
      </c>
      <c r="CR907" s="224">
        <f t="shared" si="272"/>
        <v>5.7621848739495789</v>
      </c>
      <c r="CS907" s="230" t="s">
        <v>539</v>
      </c>
      <c r="CT907" s="230"/>
      <c r="CU907" s="230"/>
      <c r="CV907" s="335">
        <f t="shared" si="262"/>
        <v>50.359122065043024</v>
      </c>
      <c r="CW907" s="230">
        <f t="shared" si="269"/>
        <v>1</v>
      </c>
      <c r="CX907" s="336"/>
      <c r="CY907" s="230" t="s">
        <v>6351</v>
      </c>
    </row>
    <row r="908" spans="1:103" ht="11.25" customHeight="1" x14ac:dyDescent="0.2">
      <c r="A908" s="72">
        <v>906</v>
      </c>
      <c r="B908" s="224">
        <v>912</v>
      </c>
      <c r="C908" s="46" t="s">
        <v>7100</v>
      </c>
      <c r="D908" s="46"/>
      <c r="E908" s="114"/>
      <c r="F908" s="114" t="s">
        <v>2604</v>
      </c>
      <c r="G908" s="225">
        <v>100005</v>
      </c>
      <c r="H908" s="47" t="s">
        <v>2605</v>
      </c>
      <c r="I908" s="47" t="s">
        <v>8022</v>
      </c>
      <c r="J908" s="47" t="s">
        <v>2606</v>
      </c>
      <c r="K908" s="47" t="s">
        <v>426</v>
      </c>
      <c r="L908" s="47" t="s">
        <v>6025</v>
      </c>
      <c r="M908" s="47" t="s">
        <v>5960</v>
      </c>
      <c r="N908" s="47"/>
      <c r="O908" s="47"/>
      <c r="P908" s="53" t="s">
        <v>6184</v>
      </c>
      <c r="Q908" s="53" t="s">
        <v>6176</v>
      </c>
      <c r="R908" s="53" t="s">
        <v>6185</v>
      </c>
      <c r="S908" s="53" t="s">
        <v>6176</v>
      </c>
      <c r="T908" s="48">
        <v>157.55000000000001</v>
      </c>
      <c r="U908" s="98">
        <v>1.4281180577594415</v>
      </c>
      <c r="V908" s="98">
        <v>1.6515391939066961</v>
      </c>
      <c r="W908" s="98">
        <v>2.1877616239495499</v>
      </c>
      <c r="X908" s="98">
        <v>1.4281180577594415</v>
      </c>
      <c r="Y908" s="233">
        <v>7</v>
      </c>
      <c r="Z908" s="48">
        <v>2.46</v>
      </c>
      <c r="AA908" s="48">
        <v>2.39</v>
      </c>
      <c r="AB908" s="48">
        <v>2.46</v>
      </c>
      <c r="AC908" s="48">
        <v>0.93059999999999998</v>
      </c>
      <c r="AD908" s="48">
        <v>2.4900000000000002</v>
      </c>
      <c r="AE908" s="48">
        <v>2.6</v>
      </c>
      <c r="AF908" s="48">
        <f t="shared" si="268"/>
        <v>2.39</v>
      </c>
      <c r="AG908" s="49">
        <v>2.11</v>
      </c>
      <c r="AH908" s="98">
        <v>1.5800000000000001E-5</v>
      </c>
      <c r="AI908" s="98">
        <v>4.8899999999999998E-6</v>
      </c>
      <c r="AJ908" s="483">
        <f t="shared" si="265"/>
        <v>-3.1899092393582289</v>
      </c>
      <c r="AK908" s="483">
        <f t="shared" si="271"/>
        <v>-3.6992574671890317</v>
      </c>
      <c r="AL908" s="483">
        <f t="shared" si="264"/>
        <v>-3.6992574671890317</v>
      </c>
      <c r="AM908" s="483">
        <v>-5.2928099999999993</v>
      </c>
      <c r="AN908" s="226">
        <v>-2.96</v>
      </c>
      <c r="AO908" s="484"/>
      <c r="AP908" s="484"/>
      <c r="AQ908" s="48" t="s">
        <v>6311</v>
      </c>
      <c r="AR908" s="48" t="s">
        <v>6311</v>
      </c>
      <c r="AS908" s="227"/>
      <c r="AT908" s="50" t="s">
        <v>266</v>
      </c>
      <c r="AU908" s="48">
        <v>6</v>
      </c>
      <c r="AV908" s="48">
        <v>120</v>
      </c>
      <c r="AW908" s="48">
        <v>114</v>
      </c>
      <c r="AX908" s="48">
        <v>28</v>
      </c>
      <c r="AY908" s="48" t="s">
        <v>8728</v>
      </c>
      <c r="AZ908" s="48" t="s">
        <v>1563</v>
      </c>
      <c r="BA908" s="48">
        <v>32</v>
      </c>
      <c r="BB908" s="47" t="s">
        <v>2485</v>
      </c>
      <c r="BC908" s="47" t="s">
        <v>8726</v>
      </c>
      <c r="BD908" s="47" t="s">
        <v>8374</v>
      </c>
      <c r="BE908" s="48" t="s">
        <v>2449</v>
      </c>
      <c r="BF908" s="48" t="s">
        <v>272</v>
      </c>
      <c r="BG908" s="48" t="s">
        <v>272</v>
      </c>
      <c r="BH908" s="48" t="s">
        <v>2486</v>
      </c>
      <c r="BI908" s="98">
        <v>6.3999999999999997E-6</v>
      </c>
      <c r="BJ908" s="98">
        <v>6.4000000000000001E-2</v>
      </c>
      <c r="BK908" s="48"/>
      <c r="BL908" s="98">
        <f t="shared" si="263"/>
        <v>0.31730286977667749</v>
      </c>
      <c r="BM908" s="47" t="s">
        <v>2487</v>
      </c>
      <c r="BN908" s="48"/>
      <c r="BO908" s="48"/>
      <c r="BP908" s="48"/>
      <c r="BQ908" s="48"/>
      <c r="BR908" s="47" t="s">
        <v>2496</v>
      </c>
      <c r="BS908" s="48"/>
      <c r="BT908" s="48"/>
      <c r="BU908" s="228">
        <v>6.3999999999999997E-5</v>
      </c>
      <c r="BV908" s="48"/>
      <c r="BW908" s="48"/>
      <c r="BX908" s="48"/>
      <c r="BY908" s="48"/>
      <c r="BZ908" s="48"/>
      <c r="CA908" s="48"/>
      <c r="CB908" s="48"/>
      <c r="CC908" s="48"/>
      <c r="CD908" s="48"/>
      <c r="CE908" s="48"/>
      <c r="CF908" s="48"/>
      <c r="CG908" s="48"/>
      <c r="CH908" s="48"/>
      <c r="CI908" s="98"/>
      <c r="CJ908" s="98"/>
      <c r="CK908" s="49">
        <f t="shared" si="270"/>
        <v>4.9578573402605857</v>
      </c>
      <c r="CL908" s="229"/>
      <c r="CM908" s="229"/>
      <c r="CN908" s="229"/>
      <c r="CO908" s="47" t="s">
        <v>2488</v>
      </c>
      <c r="CP908" s="47" t="s">
        <v>2489</v>
      </c>
      <c r="CQ908" s="224">
        <v>-1.0213271484543371</v>
      </c>
      <c r="CR908" s="224">
        <f t="shared" si="272"/>
        <v>10.503333333333336</v>
      </c>
      <c r="CS908" s="230" t="s">
        <v>539</v>
      </c>
      <c r="CT908" s="230"/>
      <c r="CU908" s="230"/>
      <c r="CV908" s="335">
        <f t="shared" si="262"/>
        <v>22.314344652491272</v>
      </c>
      <c r="CW908" s="230">
        <f t="shared" si="269"/>
        <v>1</v>
      </c>
      <c r="CX908" s="336"/>
      <c r="CY908" s="230" t="s">
        <v>6351</v>
      </c>
    </row>
    <row r="909" spans="1:103" ht="11.25" customHeight="1" x14ac:dyDescent="0.2">
      <c r="A909" s="72">
        <v>907</v>
      </c>
      <c r="B909" s="224">
        <v>1462</v>
      </c>
      <c r="C909" s="46" t="s">
        <v>7101</v>
      </c>
      <c r="D909" s="46"/>
      <c r="E909" s="114"/>
      <c r="F909" s="114" t="s">
        <v>4496</v>
      </c>
      <c r="G909" s="225">
        <v>100016</v>
      </c>
      <c r="H909" s="47" t="s">
        <v>4497</v>
      </c>
      <c r="I909" s="47" t="s">
        <v>4497</v>
      </c>
      <c r="J909" s="47" t="s">
        <v>4498</v>
      </c>
      <c r="K909" s="47" t="s">
        <v>1573</v>
      </c>
      <c r="L909" s="47"/>
      <c r="M909" s="47"/>
      <c r="N909" s="47"/>
      <c r="O909" s="47"/>
      <c r="P909" s="53" t="s">
        <v>6184</v>
      </c>
      <c r="Q909" s="53" t="s">
        <v>6176</v>
      </c>
      <c r="R909" s="53" t="s">
        <v>6185</v>
      </c>
      <c r="S909" s="53" t="s">
        <v>6176</v>
      </c>
      <c r="T909" s="48">
        <v>138.12</v>
      </c>
      <c r="U909" s="98">
        <v>5.2707790327251667</v>
      </c>
      <c r="V909" s="98">
        <v>40.124529394729223</v>
      </c>
      <c r="W909" s="98">
        <v>12.589254117941664</v>
      </c>
      <c r="X909" s="98">
        <v>5.2707790327251667</v>
      </c>
      <c r="Y909" s="233">
        <v>7.03</v>
      </c>
      <c r="Z909" s="48">
        <v>1.47</v>
      </c>
      <c r="AA909" s="48">
        <v>1.39</v>
      </c>
      <c r="AB909" s="48">
        <v>1.28</v>
      </c>
      <c r="AC909" s="48">
        <v>0.85070000000000001</v>
      </c>
      <c r="AD909" s="48">
        <v>1.31</v>
      </c>
      <c r="AE909" s="48">
        <v>1.39</v>
      </c>
      <c r="AF909" s="48">
        <f t="shared" si="268"/>
        <v>1.39</v>
      </c>
      <c r="AG909" s="49">
        <v>0.74</v>
      </c>
      <c r="AH909" s="98">
        <v>7.5100000000000007E-9</v>
      </c>
      <c r="AI909" s="98">
        <v>1.26E-9</v>
      </c>
      <c r="AJ909" s="483">
        <f t="shared" si="265"/>
        <v>-6.5129263893084834</v>
      </c>
      <c r="AK909" s="483">
        <f t="shared" si="271"/>
        <v>-7.288195781195089</v>
      </c>
      <c r="AL909" s="483">
        <f t="shared" si="264"/>
        <v>-7.288195781195089</v>
      </c>
      <c r="AM909" s="483">
        <v>-9.0254100000000008</v>
      </c>
      <c r="AN909" s="226">
        <v>-2.97</v>
      </c>
      <c r="AO909" s="484"/>
      <c r="AP909" s="484">
        <v>1.01</v>
      </c>
      <c r="AQ909" s="48" t="s">
        <v>6311</v>
      </c>
      <c r="AR909" s="48" t="s">
        <v>6311</v>
      </c>
      <c r="AS909" s="227"/>
      <c r="AT909" s="50" t="s">
        <v>266</v>
      </c>
      <c r="AU909" s="48">
        <v>6</v>
      </c>
      <c r="AV909" s="48">
        <v>120</v>
      </c>
      <c r="AW909" s="48">
        <v>114</v>
      </c>
      <c r="AX909" s="48">
        <v>28</v>
      </c>
      <c r="AY909" s="48" t="s">
        <v>8728</v>
      </c>
      <c r="AZ909" s="48" t="s">
        <v>1563</v>
      </c>
      <c r="BA909" s="48">
        <v>32</v>
      </c>
      <c r="BB909" s="47" t="s">
        <v>2485</v>
      </c>
      <c r="BC909" s="47" t="s">
        <v>8726</v>
      </c>
      <c r="BD909" s="47" t="s">
        <v>8374</v>
      </c>
      <c r="BE909" s="48" t="s">
        <v>2449</v>
      </c>
      <c r="BF909" s="48" t="s">
        <v>272</v>
      </c>
      <c r="BG909" s="48" t="s">
        <v>272</v>
      </c>
      <c r="BH909" s="48" t="s">
        <v>2486</v>
      </c>
      <c r="BI909" s="98">
        <v>6.3999999999999997E-6</v>
      </c>
      <c r="BJ909" s="98">
        <v>6.4000000000000001E-2</v>
      </c>
      <c r="BK909" s="48"/>
      <c r="BL909" s="98">
        <f t="shared" si="263"/>
        <v>2.4580629454763776</v>
      </c>
      <c r="BM909" s="47" t="s">
        <v>2487</v>
      </c>
      <c r="BN909" s="48"/>
      <c r="BO909" s="48"/>
      <c r="BP909" s="48"/>
      <c r="BQ909" s="48"/>
      <c r="BR909" s="47" t="s">
        <v>2496</v>
      </c>
      <c r="BS909" s="48"/>
      <c r="BT909" s="48"/>
      <c r="BU909" s="228"/>
      <c r="BV909" s="48"/>
      <c r="BW909" s="48"/>
      <c r="BX909" s="48"/>
      <c r="BY909" s="48"/>
      <c r="BZ909" s="48"/>
      <c r="CA909" s="48"/>
      <c r="CB909" s="48"/>
      <c r="CC909" s="48"/>
      <c r="CD909" s="48"/>
      <c r="CE909" s="48"/>
      <c r="CF909" s="48"/>
      <c r="CG909" s="48"/>
      <c r="CH909" s="48"/>
      <c r="CI909" s="98"/>
      <c r="CJ909" s="98"/>
      <c r="CK909" s="49">
        <f t="shared" si="270"/>
        <v>38.407233523068399</v>
      </c>
      <c r="CL909" s="229"/>
      <c r="CM909" s="229"/>
      <c r="CN909" s="229"/>
      <c r="CO909" s="47" t="s">
        <v>2488</v>
      </c>
      <c r="CP909" s="47" t="s">
        <v>2489</v>
      </c>
      <c r="CQ909" s="224">
        <v>-0.10551842941333901</v>
      </c>
      <c r="CR909" s="224">
        <f t="shared" si="272"/>
        <v>1.2750242048207108</v>
      </c>
      <c r="CS909" s="230" t="s">
        <v>539</v>
      </c>
      <c r="CT909" s="230"/>
      <c r="CU909" s="230"/>
      <c r="CV909" s="335">
        <f t="shared" si="262"/>
        <v>82.355922386330732</v>
      </c>
      <c r="CW909" s="230">
        <f t="shared" si="269"/>
        <v>1</v>
      </c>
      <c r="CX909" s="336"/>
      <c r="CY909" s="230" t="s">
        <v>6351</v>
      </c>
    </row>
    <row r="910" spans="1:103" ht="11.25" customHeight="1" x14ac:dyDescent="0.2">
      <c r="A910" s="72">
        <v>908</v>
      </c>
      <c r="B910" s="224">
        <v>1464</v>
      </c>
      <c r="C910" s="46" t="s">
        <v>1751</v>
      </c>
      <c r="D910" s="46"/>
      <c r="E910" s="114"/>
      <c r="F910" s="114" t="s">
        <v>1752</v>
      </c>
      <c r="G910" s="225">
        <v>100027</v>
      </c>
      <c r="H910" s="47" t="s">
        <v>1753</v>
      </c>
      <c r="I910" s="47" t="s">
        <v>1753</v>
      </c>
      <c r="J910" s="47" t="s">
        <v>1754</v>
      </c>
      <c r="K910" s="47" t="s">
        <v>349</v>
      </c>
      <c r="L910" s="47"/>
      <c r="M910" s="47" t="s">
        <v>1694</v>
      </c>
      <c r="N910" s="47" t="s">
        <v>6381</v>
      </c>
      <c r="O910" s="47" t="s">
        <v>1755</v>
      </c>
      <c r="P910" s="53" t="s">
        <v>6184</v>
      </c>
      <c r="Q910" s="53" t="s">
        <v>6182</v>
      </c>
      <c r="R910" s="53" t="s">
        <v>6185</v>
      </c>
      <c r="S910" s="53" t="s">
        <v>6176</v>
      </c>
      <c r="T910" s="48">
        <v>139.11000000000001</v>
      </c>
      <c r="U910" s="98">
        <v>83.387247501976844</v>
      </c>
      <c r="V910" s="98">
        <v>53.964488534253462</v>
      </c>
      <c r="W910" s="98">
        <v>26.915348039269141</v>
      </c>
      <c r="X910" s="98">
        <v>83.387247501976844</v>
      </c>
      <c r="Y910" s="233">
        <v>4.4000000000000004</v>
      </c>
      <c r="Z910" s="48">
        <v>1.91</v>
      </c>
      <c r="AA910" s="48">
        <v>1.91</v>
      </c>
      <c r="AB910" s="48">
        <v>1.74</v>
      </c>
      <c r="AC910" s="48">
        <v>0.92979999999999996</v>
      </c>
      <c r="AD910" s="48">
        <v>1.71</v>
      </c>
      <c r="AE910" s="48">
        <v>1.57</v>
      </c>
      <c r="AF910" s="48">
        <f t="shared" si="268"/>
        <v>1.91</v>
      </c>
      <c r="AG910" s="49">
        <v>1.08</v>
      </c>
      <c r="AH910" s="98">
        <v>2.21E-9</v>
      </c>
      <c r="AI910" s="98">
        <v>4.1500000000000001E-10</v>
      </c>
      <c r="AJ910" s="483">
        <f t="shared" si="265"/>
        <v>-7.0441740526275414</v>
      </c>
      <c r="AK910" s="483">
        <f t="shared" si="271"/>
        <v>-7.770518229600559</v>
      </c>
      <c r="AL910" s="483">
        <f t="shared" si="264"/>
        <v>-7.770518229600559</v>
      </c>
      <c r="AM910" s="483">
        <v>-9.7192299999999996</v>
      </c>
      <c r="AN910" s="226">
        <v>-6.89</v>
      </c>
      <c r="AO910" s="484">
        <v>7.23</v>
      </c>
      <c r="AP910" s="484"/>
      <c r="AQ910" s="48" t="s">
        <v>6311</v>
      </c>
      <c r="AR910" s="48" t="s">
        <v>6311</v>
      </c>
      <c r="AS910" s="227"/>
      <c r="AT910" s="50" t="s">
        <v>266</v>
      </c>
      <c r="AU910" s="48">
        <v>6</v>
      </c>
      <c r="AV910" s="48">
        <v>120</v>
      </c>
      <c r="AW910" s="48">
        <v>114</v>
      </c>
      <c r="AX910" s="48">
        <v>28</v>
      </c>
      <c r="AY910" s="48" t="s">
        <v>8728</v>
      </c>
      <c r="AZ910" s="48" t="s">
        <v>1563</v>
      </c>
      <c r="BA910" s="48">
        <v>32</v>
      </c>
      <c r="BB910" s="47" t="s">
        <v>2485</v>
      </c>
      <c r="BC910" s="47" t="s">
        <v>8726</v>
      </c>
      <c r="BD910" s="47" t="s">
        <v>8374</v>
      </c>
      <c r="BE910" s="48" t="s">
        <v>2449</v>
      </c>
      <c r="BF910" s="48" t="s">
        <v>272</v>
      </c>
      <c r="BG910" s="48" t="s">
        <v>272</v>
      </c>
      <c r="BH910" s="48" t="s">
        <v>2486</v>
      </c>
      <c r="BI910" s="98">
        <v>6.3999999999999997E-6</v>
      </c>
      <c r="BJ910" s="98">
        <v>6.4000000000000001E-2</v>
      </c>
      <c r="BK910" s="48"/>
      <c r="BL910" s="98">
        <f t="shared" si="263"/>
        <v>0.98953007876306398</v>
      </c>
      <c r="BM910" s="47" t="s">
        <v>2487</v>
      </c>
      <c r="BN910" s="48"/>
      <c r="BO910" s="48"/>
      <c r="BP910" s="48"/>
      <c r="BQ910" s="48"/>
      <c r="BR910" s="47" t="s">
        <v>2496</v>
      </c>
      <c r="BS910" s="48"/>
      <c r="BT910" s="48"/>
      <c r="BU910" s="228"/>
      <c r="BV910" s="48"/>
      <c r="BW910" s="48"/>
      <c r="BX910" s="48"/>
      <c r="BY910" s="48"/>
      <c r="BZ910" s="48"/>
      <c r="CA910" s="48"/>
      <c r="CB910" s="48"/>
      <c r="CC910" s="48"/>
      <c r="CD910" s="48"/>
      <c r="CE910" s="48"/>
      <c r="CF910" s="48"/>
      <c r="CG910" s="48"/>
      <c r="CH910" s="48"/>
      <c r="CI910" s="98"/>
      <c r="CJ910" s="98"/>
      <c r="CK910" s="49">
        <f t="shared" si="270"/>
        <v>15.461407480672875</v>
      </c>
      <c r="CL910" s="229"/>
      <c r="CM910" s="229"/>
      <c r="CN910" s="229"/>
      <c r="CO910" s="47" t="s">
        <v>2488</v>
      </c>
      <c r="CP910" s="47" t="s">
        <v>2489</v>
      </c>
      <c r="CQ910" s="224">
        <v>-0.91109746337974884</v>
      </c>
      <c r="CR910" s="224">
        <f t="shared" si="272"/>
        <v>8.1488713862020923</v>
      </c>
      <c r="CS910" s="230" t="s">
        <v>539</v>
      </c>
      <c r="CT910" s="230"/>
      <c r="CU910" s="230"/>
      <c r="CV910" s="335">
        <f t="shared" si="262"/>
        <v>1302.9257422183882</v>
      </c>
      <c r="CW910" s="230">
        <f t="shared" si="269"/>
        <v>1</v>
      </c>
      <c r="CX910" s="336"/>
      <c r="CY910" s="230" t="s">
        <v>6351</v>
      </c>
    </row>
    <row r="911" spans="1:103" ht="11.25" customHeight="1" x14ac:dyDescent="0.2">
      <c r="A911" s="72">
        <v>909</v>
      </c>
      <c r="B911" s="224">
        <v>1783</v>
      </c>
      <c r="C911" s="46" t="s">
        <v>7102</v>
      </c>
      <c r="D911" s="46"/>
      <c r="E911" s="114"/>
      <c r="F911" s="114" t="s">
        <v>5129</v>
      </c>
      <c r="G911" s="225">
        <v>100378</v>
      </c>
      <c r="H911" s="47" t="s">
        <v>5130</v>
      </c>
      <c r="I911" s="47" t="s">
        <v>5130</v>
      </c>
      <c r="J911" s="47" t="s">
        <v>5131</v>
      </c>
      <c r="K911" s="47" t="s">
        <v>300</v>
      </c>
      <c r="L911" s="51"/>
      <c r="M911" s="47"/>
      <c r="N911" s="47"/>
      <c r="O911" s="47"/>
      <c r="P911" s="53"/>
      <c r="Q911" s="53" t="s">
        <v>6173</v>
      </c>
      <c r="R911" s="53" t="s">
        <v>6185</v>
      </c>
      <c r="S911" s="53" t="s">
        <v>6176</v>
      </c>
      <c r="T911" s="48">
        <v>117.19</v>
      </c>
      <c r="U911" s="98">
        <v>8533.1512927724216</v>
      </c>
      <c r="V911" s="98">
        <v>8139.7730181756124</v>
      </c>
      <c r="W911" s="98">
        <v>1778.2794100389231</v>
      </c>
      <c r="X911" s="98">
        <v>8533.1512927724216</v>
      </c>
      <c r="Y911" s="233">
        <v>11.96</v>
      </c>
      <c r="Z911" s="48">
        <v>0.05</v>
      </c>
      <c r="AA911" s="48"/>
      <c r="AB911" s="48">
        <v>0.52</v>
      </c>
      <c r="AC911" s="48">
        <v>0.87109999999999999</v>
      </c>
      <c r="AD911" s="48">
        <v>0.57999999999999996</v>
      </c>
      <c r="AE911" s="48">
        <v>0.74</v>
      </c>
      <c r="AF911" s="48">
        <f t="shared" si="268"/>
        <v>0.57999999999999996</v>
      </c>
      <c r="AG911" s="49">
        <v>0.5</v>
      </c>
      <c r="AH911" s="98">
        <v>3.12E-9</v>
      </c>
      <c r="AI911" s="98"/>
      <c r="AJ911" s="483">
        <f t="shared" si="265"/>
        <v>-6.8944117322942091</v>
      </c>
      <c r="AK911" s="483"/>
      <c r="AL911" s="483">
        <f t="shared" si="264"/>
        <v>-6.8944117322942091</v>
      </c>
      <c r="AM911" s="483">
        <v>-6.80253</v>
      </c>
      <c r="AN911" s="226">
        <v>-6.74</v>
      </c>
      <c r="AO911" s="484">
        <v>14.74</v>
      </c>
      <c r="AP911" s="484">
        <v>9.7899999999999991</v>
      </c>
      <c r="AQ911" s="226" t="s">
        <v>6311</v>
      </c>
      <c r="AR911" s="226" t="s">
        <v>6311</v>
      </c>
      <c r="AS911" s="224"/>
      <c r="AT911" s="50" t="s">
        <v>266</v>
      </c>
      <c r="AU911" s="48">
        <v>6</v>
      </c>
      <c r="AV911" s="48">
        <v>120</v>
      </c>
      <c r="AW911" s="48">
        <v>114</v>
      </c>
      <c r="AX911" s="48">
        <v>28</v>
      </c>
      <c r="AY911" s="48" t="s">
        <v>8728</v>
      </c>
      <c r="AZ911" s="48" t="s">
        <v>1563</v>
      </c>
      <c r="BA911" s="48">
        <v>32</v>
      </c>
      <c r="BB911" s="47" t="s">
        <v>2485</v>
      </c>
      <c r="BC911" s="47" t="s">
        <v>8726</v>
      </c>
      <c r="BD911" s="47" t="s">
        <v>8374</v>
      </c>
      <c r="BE911" s="48" t="s">
        <v>2449</v>
      </c>
      <c r="BF911" s="48" t="s">
        <v>272</v>
      </c>
      <c r="BG911" s="48" t="s">
        <v>272</v>
      </c>
      <c r="BH911" s="48" t="s">
        <v>2486</v>
      </c>
      <c r="BI911" s="98">
        <v>6.3999999999999997E-6</v>
      </c>
      <c r="BJ911" s="98">
        <v>6.4000000000000001E-2</v>
      </c>
      <c r="BK911" s="48"/>
      <c r="BL911" s="98">
        <f t="shared" si="263"/>
        <v>46.33348850535053</v>
      </c>
      <c r="BM911" s="47" t="s">
        <v>2487</v>
      </c>
      <c r="BN911" s="48"/>
      <c r="BO911" s="48"/>
      <c r="BP911" s="48"/>
      <c r="BQ911" s="48"/>
      <c r="BR911" s="47" t="s">
        <v>2496</v>
      </c>
      <c r="BS911" s="48"/>
      <c r="BT911" s="48"/>
      <c r="BU911" s="228"/>
      <c r="BV911" s="48"/>
      <c r="BW911" s="48"/>
      <c r="BX911" s="48"/>
      <c r="BY911" s="48"/>
      <c r="BZ911" s="48"/>
      <c r="CA911" s="48"/>
      <c r="CB911" s="48"/>
      <c r="CC911" s="48"/>
      <c r="CD911" s="48"/>
      <c r="CE911" s="48"/>
      <c r="CF911" s="48"/>
      <c r="CG911" s="48"/>
      <c r="CH911" s="48"/>
      <c r="CI911" s="98"/>
      <c r="CJ911" s="98"/>
      <c r="CK911" s="49">
        <f t="shared" si="270"/>
        <v>723.960757896102</v>
      </c>
      <c r="CL911" s="229"/>
      <c r="CM911" s="229"/>
      <c r="CN911" s="229"/>
      <c r="CO911" s="47" t="s">
        <v>2488</v>
      </c>
      <c r="CP911" s="47" t="s">
        <v>2489</v>
      </c>
      <c r="CQ911" s="224">
        <v>1.1790827121038712</v>
      </c>
      <c r="CR911" s="224">
        <f t="shared" si="272"/>
        <v>6.6209039548022583E-2</v>
      </c>
      <c r="CS911" s="230" t="s">
        <v>539</v>
      </c>
      <c r="CT911" s="230"/>
      <c r="CU911" s="230"/>
      <c r="CV911" s="335">
        <f t="shared" si="262"/>
        <v>133330.48894956909</v>
      </c>
      <c r="CW911" s="230">
        <f t="shared" si="269"/>
        <v>1</v>
      </c>
      <c r="CX911" s="336"/>
      <c r="CY911" s="230" t="s">
        <v>6351</v>
      </c>
    </row>
    <row r="912" spans="1:103" ht="11.25" customHeight="1" x14ac:dyDescent="0.2">
      <c r="A912" s="72">
        <v>910</v>
      </c>
      <c r="B912" s="224">
        <v>1522</v>
      </c>
      <c r="C912" s="46" t="s">
        <v>7103</v>
      </c>
      <c r="D912" s="46"/>
      <c r="E912" s="114"/>
      <c r="F912" s="114" t="s">
        <v>4617</v>
      </c>
      <c r="G912" s="225">
        <v>100516</v>
      </c>
      <c r="H912" s="47" t="s">
        <v>4618</v>
      </c>
      <c r="I912" s="47" t="s">
        <v>4618</v>
      </c>
      <c r="J912" s="47" t="s">
        <v>4619</v>
      </c>
      <c r="K912" s="47" t="s">
        <v>306</v>
      </c>
      <c r="L912" s="47"/>
      <c r="M912" s="47"/>
      <c r="N912" s="47"/>
      <c r="O912" s="47"/>
      <c r="P912" s="53"/>
      <c r="Q912" s="53"/>
      <c r="R912" s="53"/>
      <c r="S912" s="53"/>
      <c r="T912" s="48">
        <v>108.14</v>
      </c>
      <c r="U912" s="98">
        <v>396.70797114851121</v>
      </c>
      <c r="V912" s="98">
        <v>379.60051784723504</v>
      </c>
      <c r="W912" s="98">
        <v>436.51583224016593</v>
      </c>
      <c r="X912" s="98">
        <v>396.70797114851121</v>
      </c>
      <c r="Y912" s="233">
        <v>6.96</v>
      </c>
      <c r="Z912" s="48">
        <v>1.08</v>
      </c>
      <c r="AA912" s="48">
        <v>1.1000000000000001</v>
      </c>
      <c r="AB912" s="48">
        <v>1.25</v>
      </c>
      <c r="AC912" s="48">
        <v>0.93379999999999996</v>
      </c>
      <c r="AD912" s="48">
        <v>1.21</v>
      </c>
      <c r="AE912" s="48">
        <v>1.03</v>
      </c>
      <c r="AF912" s="48">
        <f t="shared" si="268"/>
        <v>1.1000000000000001</v>
      </c>
      <c r="AG912" s="49">
        <v>1.1599999999999999</v>
      </c>
      <c r="AH912" s="98">
        <v>2.17E-7</v>
      </c>
      <c r="AI912" s="98">
        <v>3.3700000000000001E-7</v>
      </c>
      <c r="AJ912" s="483">
        <f t="shared" si="265"/>
        <v>-5.0521065924641224</v>
      </c>
      <c r="AK912" s="483">
        <f>LOG10(AI912*1000/(0.08206*298.15))</f>
        <v>-4.860936425441313</v>
      </c>
      <c r="AL912" s="483">
        <f t="shared" si="264"/>
        <v>-4.860936425441313</v>
      </c>
      <c r="AM912" s="483">
        <v>-6.36402</v>
      </c>
      <c r="AN912" s="226">
        <v>-4.66</v>
      </c>
      <c r="AO912" s="484">
        <v>14.36</v>
      </c>
      <c r="AP912" s="484"/>
      <c r="AQ912" s="48" t="s">
        <v>6311</v>
      </c>
      <c r="AR912" s="48" t="s">
        <v>6311</v>
      </c>
      <c r="AS912" s="227"/>
      <c r="AT912" s="50" t="s">
        <v>266</v>
      </c>
      <c r="AU912" s="48">
        <v>6</v>
      </c>
      <c r="AV912" s="48">
        <v>120</v>
      </c>
      <c r="AW912" s="48">
        <v>114</v>
      </c>
      <c r="AX912" s="48">
        <v>28</v>
      </c>
      <c r="AY912" s="48" t="s">
        <v>8728</v>
      </c>
      <c r="AZ912" s="48" t="s">
        <v>1563</v>
      </c>
      <c r="BA912" s="48">
        <v>32</v>
      </c>
      <c r="BB912" s="47" t="s">
        <v>2485</v>
      </c>
      <c r="BC912" s="47" t="s">
        <v>8726</v>
      </c>
      <c r="BD912" s="47" t="s">
        <v>8374</v>
      </c>
      <c r="BE912" s="48" t="s">
        <v>2449</v>
      </c>
      <c r="BF912" s="48" t="s">
        <v>272</v>
      </c>
      <c r="BG912" s="48" t="s">
        <v>272</v>
      </c>
      <c r="BH912" s="48" t="s">
        <v>2486</v>
      </c>
      <c r="BI912" s="98">
        <v>6.3999999999999997E-6</v>
      </c>
      <c r="BJ912" s="98">
        <v>6.4000000000000001E-2</v>
      </c>
      <c r="BK912" s="48"/>
      <c r="BL912" s="98">
        <f t="shared" si="263"/>
        <v>5.5062002270973851</v>
      </c>
      <c r="BM912" s="47" t="s">
        <v>2487</v>
      </c>
      <c r="BN912" s="48"/>
      <c r="BO912" s="48"/>
      <c r="BP912" s="48"/>
      <c r="BQ912" s="48"/>
      <c r="BR912" s="47" t="s">
        <v>2496</v>
      </c>
      <c r="BS912" s="48"/>
      <c r="BT912" s="48"/>
      <c r="BU912" s="228"/>
      <c r="BV912" s="48"/>
      <c r="BW912" s="48"/>
      <c r="BX912" s="48"/>
      <c r="BY912" s="48"/>
      <c r="BZ912" s="48"/>
      <c r="CA912" s="48"/>
      <c r="CB912" s="48"/>
      <c r="CC912" s="48"/>
      <c r="CD912" s="48"/>
      <c r="CE912" s="48"/>
      <c r="CF912" s="48"/>
      <c r="CG912" s="48"/>
      <c r="CH912" s="48"/>
      <c r="CI912" s="52" t="s">
        <v>6347</v>
      </c>
      <c r="CJ912" s="98"/>
      <c r="CK912" s="49">
        <f t="shared" si="270"/>
        <v>86.034378548396646</v>
      </c>
      <c r="CL912" s="229"/>
      <c r="CM912" s="229"/>
      <c r="CN912" s="229"/>
      <c r="CO912" s="47" t="s">
        <v>2488</v>
      </c>
      <c r="CP912" s="47" t="s">
        <v>2489</v>
      </c>
      <c r="CQ912" s="224">
        <v>-0.20213590254478175</v>
      </c>
      <c r="CR912" s="224">
        <f t="shared" si="272"/>
        <v>1.5927070503934808</v>
      </c>
      <c r="CS912" s="230" t="s">
        <v>539</v>
      </c>
      <c r="CT912" s="230"/>
      <c r="CU912" s="230"/>
      <c r="CV912" s="335">
        <f t="shared" si="262"/>
        <v>6198.5620491954878</v>
      </c>
      <c r="CW912" s="230">
        <f t="shared" si="269"/>
        <v>1</v>
      </c>
      <c r="CX912" s="336"/>
      <c r="CY912" s="230" t="s">
        <v>6351</v>
      </c>
    </row>
    <row r="913" spans="1:103" ht="11.25" customHeight="1" x14ac:dyDescent="0.2">
      <c r="A913" s="72">
        <v>911</v>
      </c>
      <c r="B913" s="224">
        <v>1437</v>
      </c>
      <c r="C913" s="46" t="s">
        <v>7104</v>
      </c>
      <c r="D913" s="46"/>
      <c r="E913" s="114"/>
      <c r="F913" s="114" t="s">
        <v>4419</v>
      </c>
      <c r="G913" s="225">
        <v>100549</v>
      </c>
      <c r="H913" s="47" t="s">
        <v>4420</v>
      </c>
      <c r="I913" s="47"/>
      <c r="J913" s="47" t="s">
        <v>4421</v>
      </c>
      <c r="K913" s="47" t="s">
        <v>426</v>
      </c>
      <c r="L913" s="47"/>
      <c r="M913" s="47"/>
      <c r="N913" s="47"/>
      <c r="O913" s="47"/>
      <c r="P913" s="53"/>
      <c r="Q913" s="53"/>
      <c r="R913" s="53"/>
      <c r="S913" s="53"/>
      <c r="T913" s="48">
        <v>104.11</v>
      </c>
      <c r="U913" s="98">
        <v>1296.7054077418115</v>
      </c>
      <c r="V913" s="98">
        <v>292.19095187782153</v>
      </c>
      <c r="W913" s="98">
        <v>104.71285480508996</v>
      </c>
      <c r="X913" s="98">
        <v>1296.7054077418115</v>
      </c>
      <c r="Y913" s="233">
        <v>7.43</v>
      </c>
      <c r="Z913" s="48">
        <v>0.35</v>
      </c>
      <c r="AA913" s="48">
        <v>0.36</v>
      </c>
      <c r="AB913" s="48">
        <v>0.53</v>
      </c>
      <c r="AC913" s="48">
        <v>0.93389999999999995</v>
      </c>
      <c r="AD913" s="48">
        <v>0.53</v>
      </c>
      <c r="AE913" s="48">
        <v>0.5</v>
      </c>
      <c r="AF913" s="48">
        <f t="shared" si="268"/>
        <v>0.36</v>
      </c>
      <c r="AG913" s="49">
        <v>0.63</v>
      </c>
      <c r="AH913" s="98">
        <v>6.8099999999999994E-8</v>
      </c>
      <c r="AI913" s="98">
        <v>2.7399999999999999E-7</v>
      </c>
      <c r="AJ913" s="483">
        <f t="shared" si="265"/>
        <v>-5.5554192143998664</v>
      </c>
      <c r="AK913" s="483">
        <f>LOG10(AI913*1000/(0.08206*298.15))</f>
        <v>-4.9508157634922636</v>
      </c>
      <c r="AL913" s="483">
        <f t="shared" si="264"/>
        <v>-4.9508157634922636</v>
      </c>
      <c r="AM913" s="483">
        <v>-6.44543</v>
      </c>
      <c r="AN913" s="226">
        <v>-5.47</v>
      </c>
      <c r="AO913" s="484"/>
      <c r="AP913" s="484">
        <v>1.78</v>
      </c>
      <c r="AQ913" s="48" t="s">
        <v>6311</v>
      </c>
      <c r="AR913" s="48" t="s">
        <v>6311</v>
      </c>
      <c r="AS913" s="227"/>
      <c r="AT913" s="50" t="s">
        <v>266</v>
      </c>
      <c r="AU913" s="48">
        <v>6</v>
      </c>
      <c r="AV913" s="48">
        <v>120</v>
      </c>
      <c r="AW913" s="48">
        <v>114</v>
      </c>
      <c r="AX913" s="48">
        <v>28</v>
      </c>
      <c r="AY913" s="48" t="s">
        <v>8728</v>
      </c>
      <c r="AZ913" s="48" t="s">
        <v>1563</v>
      </c>
      <c r="BA913" s="48">
        <v>32</v>
      </c>
      <c r="BB913" s="47" t="s">
        <v>2485</v>
      </c>
      <c r="BC913" s="47" t="s">
        <v>8726</v>
      </c>
      <c r="BD913" s="47" t="s">
        <v>8374</v>
      </c>
      <c r="BE913" s="48" t="s">
        <v>2449</v>
      </c>
      <c r="BF913" s="48" t="s">
        <v>272</v>
      </c>
      <c r="BG913" s="48" t="s">
        <v>272</v>
      </c>
      <c r="BH913" s="48" t="s">
        <v>2486</v>
      </c>
      <c r="BI913" s="98">
        <v>6.3999999999999997E-6</v>
      </c>
      <c r="BJ913" s="98">
        <v>6.4000000000000001E-2</v>
      </c>
      <c r="BK913" s="48"/>
      <c r="BL913" s="98">
        <f t="shared" si="263"/>
        <v>24.915235700865811</v>
      </c>
      <c r="BM913" s="47" t="s">
        <v>2487</v>
      </c>
      <c r="BN913" s="48"/>
      <c r="BO913" s="48"/>
      <c r="BP913" s="48"/>
      <c r="BQ913" s="48"/>
      <c r="BR913" s="47" t="s">
        <v>2496</v>
      </c>
      <c r="BS913" s="48"/>
      <c r="BT913" s="48"/>
      <c r="BU913" s="228"/>
      <c r="BV913" s="48"/>
      <c r="BW913" s="48"/>
      <c r="BX913" s="48"/>
      <c r="BY913" s="48"/>
      <c r="BZ913" s="48"/>
      <c r="CA913" s="48"/>
      <c r="CB913" s="48"/>
      <c r="CC913" s="48"/>
      <c r="CD913" s="48"/>
      <c r="CE913" s="48"/>
      <c r="CF913" s="48"/>
      <c r="CG913" s="48"/>
      <c r="CH913" s="48"/>
      <c r="CI913" s="98"/>
      <c r="CJ913" s="98"/>
      <c r="CK913" s="49">
        <f t="shared" si="270"/>
        <v>389.3005578260283</v>
      </c>
      <c r="CL913" s="229"/>
      <c r="CM913" s="229"/>
      <c r="CN913" s="229"/>
      <c r="CO913" s="47" t="s">
        <v>2488</v>
      </c>
      <c r="CP913" s="47" t="s">
        <v>2489</v>
      </c>
      <c r="CQ913" s="224" t="s">
        <v>272</v>
      </c>
      <c r="CR913" s="224"/>
      <c r="CS913" s="230" t="s">
        <v>539</v>
      </c>
      <c r="CT913" s="230"/>
      <c r="CU913" s="230"/>
      <c r="CV913" s="335">
        <f t="shared" ref="CV913:CV976" si="273">X913/BJ913</f>
        <v>20261.021995965806</v>
      </c>
      <c r="CW913" s="230">
        <f t="shared" si="269"/>
        <v>1</v>
      </c>
      <c r="CX913" s="336"/>
      <c r="CY913" s="230" t="s">
        <v>6351</v>
      </c>
    </row>
    <row r="914" spans="1:103" ht="11.25" customHeight="1" x14ac:dyDescent="0.2">
      <c r="A914" s="72">
        <v>912</v>
      </c>
      <c r="B914" s="224">
        <v>1729</v>
      </c>
      <c r="C914" s="46" t="s">
        <v>7105</v>
      </c>
      <c r="D914" s="46"/>
      <c r="E914" s="114"/>
      <c r="F914" s="114" t="s">
        <v>1880</v>
      </c>
      <c r="G914" s="225">
        <v>100970</v>
      </c>
      <c r="H914" s="47" t="s">
        <v>1881</v>
      </c>
      <c r="I914" s="47" t="s">
        <v>1881</v>
      </c>
      <c r="J914" s="47" t="s">
        <v>1882</v>
      </c>
      <c r="K914" s="47" t="s">
        <v>1883</v>
      </c>
      <c r="L914" s="51"/>
      <c r="M914" s="47"/>
      <c r="N914" s="47"/>
      <c r="O914" s="47"/>
      <c r="P914" s="53"/>
      <c r="Q914" s="53"/>
      <c r="R914" s="53"/>
      <c r="S914" s="53"/>
      <c r="T914" s="48">
        <v>140.19</v>
      </c>
      <c r="U914" s="98">
        <v>3202.7962051501536</v>
      </c>
      <c r="V914" s="98">
        <v>7133.1764034524576</v>
      </c>
      <c r="W914" s="98">
        <v>7079.4578438413791</v>
      </c>
      <c r="X914" s="98">
        <v>3202.7962051501536</v>
      </c>
      <c r="Y914" s="233">
        <v>10.06</v>
      </c>
      <c r="Z914" s="48">
        <v>-4.1500000000000004</v>
      </c>
      <c r="AA914" s="48"/>
      <c r="AB914" s="48">
        <v>-0.49</v>
      </c>
      <c r="AC914" s="48">
        <v>0.40629999999999999</v>
      </c>
      <c r="AD914" s="48">
        <v>0.99</v>
      </c>
      <c r="AE914" s="48">
        <v>2.17</v>
      </c>
      <c r="AF914" s="48">
        <f t="shared" si="268"/>
        <v>0.99</v>
      </c>
      <c r="AG914" s="49">
        <v>-0.33</v>
      </c>
      <c r="AH914" s="98">
        <v>0.16300000000000001</v>
      </c>
      <c r="AI914" s="98">
        <v>1.6399999999999999E-9</v>
      </c>
      <c r="AJ914" s="483">
        <f t="shared" si="265"/>
        <v>0.82362127809130603</v>
      </c>
      <c r="AK914" s="483">
        <f>LOG10(AI914*1000/(0.08206*298.15))</f>
        <v>-7.1737224782649536</v>
      </c>
      <c r="AL914" s="483">
        <f t="shared" si="264"/>
        <v>-7.1737224782649536</v>
      </c>
      <c r="AM914" s="483">
        <v>-13.43446</v>
      </c>
      <c r="AN914" s="226">
        <v>-6.49</v>
      </c>
      <c r="AO914" s="484"/>
      <c r="AP914" s="484">
        <v>5.28</v>
      </c>
      <c r="AQ914" s="226" t="s">
        <v>6311</v>
      </c>
      <c r="AR914" s="226" t="s">
        <v>6311</v>
      </c>
      <c r="AS914" s="224"/>
      <c r="AT914" s="50" t="s">
        <v>266</v>
      </c>
      <c r="AU914" s="48">
        <v>6</v>
      </c>
      <c r="AV914" s="48">
        <v>120</v>
      </c>
      <c r="AW914" s="48">
        <v>114</v>
      </c>
      <c r="AX914" s="48">
        <v>28</v>
      </c>
      <c r="AY914" s="48" t="s">
        <v>8728</v>
      </c>
      <c r="AZ914" s="48" t="s">
        <v>1563</v>
      </c>
      <c r="BA914" s="48">
        <v>32</v>
      </c>
      <c r="BB914" s="47" t="s">
        <v>2485</v>
      </c>
      <c r="BC914" s="47" t="s">
        <v>8726</v>
      </c>
      <c r="BD914" s="47" t="s">
        <v>8374</v>
      </c>
      <c r="BE914" s="48" t="s">
        <v>2449</v>
      </c>
      <c r="BF914" s="48" t="s">
        <v>272</v>
      </c>
      <c r="BG914" s="48" t="s">
        <v>272</v>
      </c>
      <c r="BH914" s="48" t="s">
        <v>2486</v>
      </c>
      <c r="BI914" s="98">
        <v>6.3999999999999997E-6</v>
      </c>
      <c r="BJ914" s="98">
        <v>6.4000000000000001E-2</v>
      </c>
      <c r="BK914" s="48"/>
      <c r="BL914" s="98">
        <f t="shared" ref="BL914:BL977" si="274">10^((-0.8981*Z914)+1.7108)</f>
        <v>274103.76442694583</v>
      </c>
      <c r="BM914" s="47" t="s">
        <v>2487</v>
      </c>
      <c r="BN914" s="48"/>
      <c r="BO914" s="48"/>
      <c r="BP914" s="48"/>
      <c r="BQ914" s="48"/>
      <c r="BR914" s="47" t="s">
        <v>2496</v>
      </c>
      <c r="BS914" s="48"/>
      <c r="BT914" s="48"/>
      <c r="BU914" s="228"/>
      <c r="BV914" s="48"/>
      <c r="BW914" s="48"/>
      <c r="BX914" s="48"/>
      <c r="BY914" s="48"/>
      <c r="BZ914" s="48"/>
      <c r="CA914" s="48"/>
      <c r="CB914" s="48"/>
      <c r="CC914" s="48"/>
      <c r="CD914" s="48"/>
      <c r="CE914" s="48"/>
      <c r="CF914" s="48"/>
      <c r="CG914" s="48"/>
      <c r="CH914" s="48"/>
      <c r="CI914" s="98"/>
      <c r="CJ914" s="98"/>
      <c r="CK914" s="49">
        <f t="shared" si="270"/>
        <v>4282871.3191710282</v>
      </c>
      <c r="CL914" s="229"/>
      <c r="CM914" s="229"/>
      <c r="CN914" s="229"/>
      <c r="CO914" s="47" t="s">
        <v>2488</v>
      </c>
      <c r="CP914" s="47" t="s">
        <v>2489</v>
      </c>
      <c r="CQ914" s="224">
        <v>2.522072826993619</v>
      </c>
      <c r="CR914" s="224">
        <f>10^(CJ914-CQ914)</f>
        <v>3.0055722549044432E-3</v>
      </c>
      <c r="CS914" s="230" t="s">
        <v>539</v>
      </c>
      <c r="CT914" s="230"/>
      <c r="CU914" s="230"/>
      <c r="CV914" s="335">
        <f t="shared" si="273"/>
        <v>50043.690705471148</v>
      </c>
      <c r="CW914" s="230">
        <f t="shared" si="269"/>
        <v>1</v>
      </c>
      <c r="CX914" s="336"/>
      <c r="CY914" s="230" t="s">
        <v>6351</v>
      </c>
    </row>
    <row r="915" spans="1:103" ht="11.25" customHeight="1" x14ac:dyDescent="0.2">
      <c r="A915" s="72">
        <v>913</v>
      </c>
      <c r="B915" s="224">
        <v>1502</v>
      </c>
      <c r="C915" s="46" t="s">
        <v>936</v>
      </c>
      <c r="D915" s="46"/>
      <c r="E915" s="114"/>
      <c r="F915" s="114" t="s">
        <v>937</v>
      </c>
      <c r="G915" s="225">
        <v>101053</v>
      </c>
      <c r="H915" s="47" t="s">
        <v>938</v>
      </c>
      <c r="I915" s="47" t="s">
        <v>8023</v>
      </c>
      <c r="J915" s="47" t="s">
        <v>939</v>
      </c>
      <c r="K915" s="47" t="s">
        <v>940</v>
      </c>
      <c r="L915" s="47" t="s">
        <v>5929</v>
      </c>
      <c r="M915" s="47" t="s">
        <v>5942</v>
      </c>
      <c r="N915" s="47" t="s">
        <v>6382</v>
      </c>
      <c r="O915" s="51" t="s">
        <v>5943</v>
      </c>
      <c r="P915" s="53"/>
      <c r="Q915" s="53"/>
      <c r="R915" s="53"/>
      <c r="S915" s="53"/>
      <c r="T915" s="48">
        <v>275.52</v>
      </c>
      <c r="U915" s="98">
        <v>2.9036004645760744E-2</v>
      </c>
      <c r="V915" s="98">
        <v>2.9968786295005809E-2</v>
      </c>
      <c r="W915" s="98">
        <v>5.1286138399136399E-2</v>
      </c>
      <c r="X915" s="98">
        <v>2.9036004645760744E-2</v>
      </c>
      <c r="Y915" s="233">
        <v>7</v>
      </c>
      <c r="Z915" s="48">
        <v>3.64</v>
      </c>
      <c r="AA915" s="48">
        <v>3.88</v>
      </c>
      <c r="AB915" s="48">
        <v>3.71</v>
      </c>
      <c r="AC915" s="48">
        <v>0.80279999999999996</v>
      </c>
      <c r="AD915" s="48">
        <v>3.55</v>
      </c>
      <c r="AE915" s="48">
        <v>3.07</v>
      </c>
      <c r="AF915" s="48">
        <f t="shared" si="268"/>
        <v>3.88</v>
      </c>
      <c r="AG915" s="49">
        <v>3.91</v>
      </c>
      <c r="AH915" s="98">
        <v>3.3999999999999997E-7</v>
      </c>
      <c r="AI915" s="98">
        <v>2.8100000000000001E-10</v>
      </c>
      <c r="AJ915" s="483">
        <f t="shared" si="265"/>
        <v>-4.8570874092703971</v>
      </c>
      <c r="AK915" s="483">
        <f>LOG10(AI915*1000/(0.08206*298.15))</f>
        <v>-7.9398600064075717</v>
      </c>
      <c r="AL915" s="483">
        <f t="shared" si="264"/>
        <v>-7.9398600064075717</v>
      </c>
      <c r="AM915" s="483">
        <v>-11.064970000000001</v>
      </c>
      <c r="AN915" s="226">
        <v>-5.27</v>
      </c>
      <c r="AO915" s="484"/>
      <c r="AP915" s="484">
        <v>0.43</v>
      </c>
      <c r="AQ915" s="48" t="s">
        <v>6311</v>
      </c>
      <c r="AR915" s="48" t="s">
        <v>6311</v>
      </c>
      <c r="AS915" s="227"/>
      <c r="AT915" s="50" t="s">
        <v>266</v>
      </c>
      <c r="AU915" s="48">
        <v>6</v>
      </c>
      <c r="AV915" s="48">
        <v>120</v>
      </c>
      <c r="AW915" s="48">
        <v>114</v>
      </c>
      <c r="AX915" s="48">
        <v>28</v>
      </c>
      <c r="AY915" s="48" t="s">
        <v>8728</v>
      </c>
      <c r="AZ915" s="48" t="s">
        <v>1563</v>
      </c>
      <c r="BA915" s="48">
        <v>32</v>
      </c>
      <c r="BB915" s="47" t="s">
        <v>2485</v>
      </c>
      <c r="BC915" s="47" t="s">
        <v>8726</v>
      </c>
      <c r="BD915" s="47" t="s">
        <v>8374</v>
      </c>
      <c r="BE915" s="48" t="s">
        <v>2449</v>
      </c>
      <c r="BF915" s="48" t="s">
        <v>272</v>
      </c>
      <c r="BG915" s="48" t="s">
        <v>272</v>
      </c>
      <c r="BH915" s="48" t="s">
        <v>2486</v>
      </c>
      <c r="BI915" s="98">
        <v>6.3999999999999997E-6</v>
      </c>
      <c r="BJ915" s="98">
        <v>6.4000000000000001E-2</v>
      </c>
      <c r="BK915" s="48"/>
      <c r="BL915" s="98">
        <f t="shared" si="274"/>
        <v>2.7651328392176541E-2</v>
      </c>
      <c r="BM915" s="47" t="s">
        <v>2487</v>
      </c>
      <c r="BN915" s="48"/>
      <c r="BO915" s="48"/>
      <c r="BP915" s="48"/>
      <c r="BQ915" s="48"/>
      <c r="BR915" s="47" t="s">
        <v>2496</v>
      </c>
      <c r="BS915" s="48"/>
      <c r="BT915" s="48"/>
      <c r="BU915" s="228"/>
      <c r="BV915" s="48"/>
      <c r="BW915" s="48"/>
      <c r="BX915" s="48"/>
      <c r="BY915" s="48"/>
      <c r="BZ915" s="48"/>
      <c r="CA915" s="48"/>
      <c r="CB915" s="48"/>
      <c r="CC915" s="48"/>
      <c r="CD915" s="48"/>
      <c r="CE915" s="48"/>
      <c r="CF915" s="48"/>
      <c r="CG915" s="48"/>
      <c r="CH915" s="48"/>
      <c r="CI915" s="98"/>
      <c r="CJ915" s="98"/>
      <c r="CK915" s="49">
        <f t="shared" si="270"/>
        <v>0.43205200612775846</v>
      </c>
      <c r="CL915" s="229"/>
      <c r="CM915" s="229">
        <v>-3.21441342721113</v>
      </c>
      <c r="CN915" s="229">
        <f>BJ915/(10^CM915)</f>
        <v>104.85602771098453</v>
      </c>
      <c r="CO915" s="47" t="s">
        <v>2488</v>
      </c>
      <c r="CP915" s="47" t="s">
        <v>2489</v>
      </c>
      <c r="CQ915" s="224">
        <v>-3.1212766686253048</v>
      </c>
      <c r="CR915" s="224">
        <f>10^(CJ915-CQ915)</f>
        <v>1322.1376377753613</v>
      </c>
      <c r="CS915" s="230" t="s">
        <v>539</v>
      </c>
      <c r="CT915" s="230"/>
      <c r="CU915" s="230"/>
      <c r="CV915" s="335">
        <f t="shared" si="273"/>
        <v>0.45368757259001163</v>
      </c>
      <c r="CW915" s="230">
        <f t="shared" si="269"/>
        <v>0</v>
      </c>
      <c r="CX915" s="336"/>
      <c r="CY915" s="230" t="s">
        <v>5921</v>
      </c>
    </row>
    <row r="916" spans="1:103" ht="11.25" customHeight="1" x14ac:dyDescent="0.2">
      <c r="A916" s="72">
        <v>914</v>
      </c>
      <c r="B916" s="224">
        <v>257</v>
      </c>
      <c r="C916" s="46" t="s">
        <v>7106</v>
      </c>
      <c r="D916" s="46"/>
      <c r="E916" s="114"/>
      <c r="F916" s="114" t="s">
        <v>3764</v>
      </c>
      <c r="G916" s="225">
        <v>101100</v>
      </c>
      <c r="H916" s="47" t="s">
        <v>3765</v>
      </c>
      <c r="I916" s="47" t="s">
        <v>8024</v>
      </c>
      <c r="J916" s="47" t="s">
        <v>3766</v>
      </c>
      <c r="K916" s="47" t="s">
        <v>426</v>
      </c>
      <c r="L916" s="47"/>
      <c r="M916" s="47"/>
      <c r="N916" s="47"/>
      <c r="O916" s="47"/>
      <c r="P916" s="53"/>
      <c r="Q916" s="53"/>
      <c r="R916" s="53"/>
      <c r="S916" s="53"/>
      <c r="T916" s="48">
        <v>200.62</v>
      </c>
      <c r="U916" s="98">
        <v>5.9814574818063999</v>
      </c>
      <c r="V916" s="98">
        <v>4.8883461270062805</v>
      </c>
      <c r="W916" s="98">
        <v>5.4954087385762476</v>
      </c>
      <c r="X916" s="98">
        <v>5.9814574818063999</v>
      </c>
      <c r="Y916" s="233">
        <v>2.77</v>
      </c>
      <c r="Z916" s="48">
        <v>2.39</v>
      </c>
      <c r="AA916" s="48"/>
      <c r="AB916" s="48">
        <v>2.44</v>
      </c>
      <c r="AC916" s="48">
        <v>0.85780000000000001</v>
      </c>
      <c r="AD916" s="48">
        <v>2.46</v>
      </c>
      <c r="AE916" s="48">
        <v>2.52</v>
      </c>
      <c r="AF916" s="48">
        <f t="shared" si="268"/>
        <v>2.46</v>
      </c>
      <c r="AG916" s="49">
        <v>2.21</v>
      </c>
      <c r="AH916" s="98">
        <v>1.6499999999999999E-8</v>
      </c>
      <c r="AI916" s="98"/>
      <c r="AJ916" s="483">
        <f t="shared" si="265"/>
        <v>-6.1710823820987457</v>
      </c>
      <c r="AK916" s="483"/>
      <c r="AL916" s="483">
        <f t="shared" si="264"/>
        <v>-6.1710823820987457</v>
      </c>
      <c r="AM916" s="483">
        <v>-9.6279699999999995</v>
      </c>
      <c r="AN916" s="226">
        <v>-8.07</v>
      </c>
      <c r="AO916" s="484">
        <v>3.13</v>
      </c>
      <c r="AP916" s="484"/>
      <c r="AQ916" s="226" t="s">
        <v>6311</v>
      </c>
      <c r="AR916" s="226" t="s">
        <v>6311</v>
      </c>
      <c r="AS916" s="224" t="s">
        <v>6</v>
      </c>
      <c r="AT916" s="50" t="s">
        <v>266</v>
      </c>
      <c r="AU916" s="48">
        <v>8</v>
      </c>
      <c r="AV916" s="48">
        <v>144</v>
      </c>
      <c r="AW916" s="48">
        <v>120</v>
      </c>
      <c r="AX916" s="48">
        <v>26</v>
      </c>
      <c r="AY916" s="48" t="s">
        <v>267</v>
      </c>
      <c r="AZ916" s="48" t="s">
        <v>2253</v>
      </c>
      <c r="BA916" s="48">
        <v>2</v>
      </c>
      <c r="BB916" s="47" t="s">
        <v>2254</v>
      </c>
      <c r="BC916" s="47" t="s">
        <v>270</v>
      </c>
      <c r="BD916" s="47" t="s">
        <v>8374</v>
      </c>
      <c r="BE916" s="48" t="s">
        <v>1712</v>
      </c>
      <c r="BF916" s="48" t="s">
        <v>272</v>
      </c>
      <c r="BG916" s="48" t="s">
        <v>272</v>
      </c>
      <c r="BH916" s="48" t="s">
        <v>2255</v>
      </c>
      <c r="BI916" s="98">
        <v>9.9999999999999995E-7</v>
      </c>
      <c r="BJ916" s="98">
        <v>0.08</v>
      </c>
      <c r="BK916" s="48"/>
      <c r="BL916" s="98">
        <f t="shared" si="274"/>
        <v>0.36672540764426181</v>
      </c>
      <c r="BM916" s="48" t="s">
        <v>891</v>
      </c>
      <c r="BN916" s="233"/>
      <c r="BO916" s="233"/>
      <c r="BP916" s="233"/>
      <c r="BQ916" s="233"/>
      <c r="BR916" s="233"/>
      <c r="BS916" s="48"/>
      <c r="BT916" s="233"/>
      <c r="BU916" s="228"/>
      <c r="BV916" s="233"/>
      <c r="BW916" s="233"/>
      <c r="BX916" s="233"/>
      <c r="BY916" s="233"/>
      <c r="BZ916" s="233"/>
      <c r="CA916" s="233"/>
      <c r="CB916" s="233"/>
      <c r="CC916" s="48"/>
      <c r="CD916" s="48"/>
      <c r="CE916" s="48"/>
      <c r="CF916" s="48"/>
      <c r="CG916" s="233"/>
      <c r="CH916" s="48"/>
      <c r="CI916" s="98"/>
      <c r="CJ916" s="98"/>
      <c r="CK916" s="49">
        <f t="shared" si="270"/>
        <v>4.5840675955532726</v>
      </c>
      <c r="CL916" s="229"/>
      <c r="CM916" s="229"/>
      <c r="CN916" s="229"/>
      <c r="CO916" s="47" t="s">
        <v>892</v>
      </c>
      <c r="CP916" s="47" t="s">
        <v>893</v>
      </c>
      <c r="CQ916" s="224" t="s">
        <v>272</v>
      </c>
      <c r="CR916" s="224"/>
      <c r="CS916" s="230" t="s">
        <v>539</v>
      </c>
      <c r="CT916" s="230"/>
      <c r="CU916" s="230"/>
      <c r="CV916" s="335">
        <f t="shared" si="273"/>
        <v>74.76821852258</v>
      </c>
      <c r="CW916" s="230">
        <f t="shared" si="269"/>
        <v>1</v>
      </c>
      <c r="CX916" s="336" t="s">
        <v>539</v>
      </c>
      <c r="CY916" s="230" t="s">
        <v>5921</v>
      </c>
    </row>
    <row r="917" spans="1:103" ht="11.25" customHeight="1" x14ac:dyDescent="0.2">
      <c r="A917" s="72">
        <v>915</v>
      </c>
      <c r="B917" s="224">
        <v>1560</v>
      </c>
      <c r="C917" s="46" t="s">
        <v>7106</v>
      </c>
      <c r="D917" s="46"/>
      <c r="E917" s="114"/>
      <c r="F917" s="114" t="s">
        <v>3764</v>
      </c>
      <c r="G917" s="225">
        <v>101100</v>
      </c>
      <c r="H917" s="47" t="s">
        <v>3765</v>
      </c>
      <c r="I917" s="47" t="s">
        <v>8024</v>
      </c>
      <c r="J917" s="47" t="s">
        <v>3766</v>
      </c>
      <c r="K917" s="47" t="s">
        <v>426</v>
      </c>
      <c r="L917" s="47"/>
      <c r="M917" s="47"/>
      <c r="N917" s="47"/>
      <c r="O917" s="47"/>
      <c r="P917" s="53"/>
      <c r="Q917" s="53"/>
      <c r="R917" s="53"/>
      <c r="S917" s="53"/>
      <c r="T917" s="48">
        <v>200.62</v>
      </c>
      <c r="U917" s="98">
        <v>5.9814574818063999</v>
      </c>
      <c r="V917" s="98">
        <v>4.8883461270062805</v>
      </c>
      <c r="W917" s="98">
        <v>5.4954087385762476</v>
      </c>
      <c r="X917" s="98">
        <v>5.9814574818063999</v>
      </c>
      <c r="Y917" s="233">
        <v>2.77</v>
      </c>
      <c r="Z917" s="48">
        <v>2.39</v>
      </c>
      <c r="AA917" s="48"/>
      <c r="AB917" s="48">
        <v>2.44</v>
      </c>
      <c r="AC917" s="48">
        <v>0.85780000000000001</v>
      </c>
      <c r="AD917" s="48">
        <v>2.46</v>
      </c>
      <c r="AE917" s="48">
        <v>2.52</v>
      </c>
      <c r="AF917" s="48">
        <f t="shared" si="268"/>
        <v>2.46</v>
      </c>
      <c r="AG917" s="49">
        <v>2.21</v>
      </c>
      <c r="AH917" s="98">
        <v>1.6499999999999999E-8</v>
      </c>
      <c r="AI917" s="98"/>
      <c r="AJ917" s="483">
        <f t="shared" si="265"/>
        <v>-6.1710823820987457</v>
      </c>
      <c r="AK917" s="483"/>
      <c r="AL917" s="483">
        <f t="shared" si="264"/>
        <v>-6.1710823820987457</v>
      </c>
      <c r="AM917" s="483">
        <v>-9.6279699999999995</v>
      </c>
      <c r="AN917" s="226">
        <v>-8.07</v>
      </c>
      <c r="AO917" s="484">
        <v>3.13</v>
      </c>
      <c r="AP917" s="484"/>
      <c r="AQ917" s="48" t="s">
        <v>6311</v>
      </c>
      <c r="AR917" s="48" t="s">
        <v>6311</v>
      </c>
      <c r="AS917" s="227"/>
      <c r="AT917" s="50" t="s">
        <v>266</v>
      </c>
      <c r="AU917" s="48">
        <v>6</v>
      </c>
      <c r="AV917" s="48">
        <v>120</v>
      </c>
      <c r="AW917" s="48">
        <v>114</v>
      </c>
      <c r="AX917" s="48">
        <v>28</v>
      </c>
      <c r="AY917" s="48" t="s">
        <v>8728</v>
      </c>
      <c r="AZ917" s="48" t="s">
        <v>1563</v>
      </c>
      <c r="BA917" s="48">
        <v>32</v>
      </c>
      <c r="BB917" s="47" t="s">
        <v>2485</v>
      </c>
      <c r="BC917" s="47" t="s">
        <v>8726</v>
      </c>
      <c r="BD917" s="47" t="s">
        <v>8374</v>
      </c>
      <c r="BE917" s="48" t="s">
        <v>2449</v>
      </c>
      <c r="BF917" s="48" t="s">
        <v>272</v>
      </c>
      <c r="BG917" s="48" t="s">
        <v>272</v>
      </c>
      <c r="BH917" s="48" t="s">
        <v>2486</v>
      </c>
      <c r="BI917" s="98">
        <v>6.3999999999999997E-6</v>
      </c>
      <c r="BJ917" s="98">
        <v>6.4000000000000001E-2</v>
      </c>
      <c r="BK917" s="48"/>
      <c r="BL917" s="98">
        <f t="shared" si="274"/>
        <v>0.36672540764426181</v>
      </c>
      <c r="BM917" s="47" t="s">
        <v>2487</v>
      </c>
      <c r="BN917" s="48"/>
      <c r="BO917" s="48"/>
      <c r="BP917" s="48"/>
      <c r="BQ917" s="48"/>
      <c r="BR917" s="47" t="s">
        <v>2496</v>
      </c>
      <c r="BS917" s="48"/>
      <c r="BT917" s="48"/>
      <c r="BU917" s="228"/>
      <c r="BV917" s="48"/>
      <c r="BW917" s="48"/>
      <c r="BX917" s="48"/>
      <c r="BY917" s="48"/>
      <c r="BZ917" s="48"/>
      <c r="CA917" s="48"/>
      <c r="CB917" s="48"/>
      <c r="CC917" s="48"/>
      <c r="CD917" s="48"/>
      <c r="CE917" s="48"/>
      <c r="CF917" s="48"/>
      <c r="CG917" s="48"/>
      <c r="CH917" s="48"/>
      <c r="CI917" s="98"/>
      <c r="CJ917" s="98"/>
      <c r="CK917" s="49">
        <f t="shared" si="270"/>
        <v>5.7300844944415905</v>
      </c>
      <c r="CL917" s="229"/>
      <c r="CM917" s="229"/>
      <c r="CN917" s="229"/>
      <c r="CO917" s="47" t="s">
        <v>2488</v>
      </c>
      <c r="CP917" s="47" t="s">
        <v>2489</v>
      </c>
      <c r="CQ917" s="224" t="s">
        <v>272</v>
      </c>
      <c r="CR917" s="224"/>
      <c r="CS917" s="230" t="s">
        <v>539</v>
      </c>
      <c r="CT917" s="230"/>
      <c r="CU917" s="230"/>
      <c r="CV917" s="335">
        <f t="shared" si="273"/>
        <v>93.460273153225003</v>
      </c>
      <c r="CW917" s="230">
        <f t="shared" si="269"/>
        <v>1</v>
      </c>
      <c r="CX917" s="336"/>
      <c r="CY917" s="230" t="s">
        <v>5921</v>
      </c>
    </row>
    <row r="918" spans="1:103" ht="11.25" customHeight="1" x14ac:dyDescent="0.2">
      <c r="A918" s="72">
        <v>916</v>
      </c>
      <c r="B918" s="224">
        <v>248</v>
      </c>
      <c r="C918" s="46" t="s">
        <v>7107</v>
      </c>
      <c r="D918" s="46"/>
      <c r="E918" s="114"/>
      <c r="F918" s="114" t="s">
        <v>2993</v>
      </c>
      <c r="G918" s="225">
        <v>101213</v>
      </c>
      <c r="H918" s="47" t="s">
        <v>2994</v>
      </c>
      <c r="I918" s="47" t="s">
        <v>8025</v>
      </c>
      <c r="J918" s="47" t="s">
        <v>2995</v>
      </c>
      <c r="K918" s="47" t="s">
        <v>1180</v>
      </c>
      <c r="L918" s="47" t="s">
        <v>6030</v>
      </c>
      <c r="M918" s="47" t="s">
        <v>6082</v>
      </c>
      <c r="N918" s="47" t="s">
        <v>6082</v>
      </c>
      <c r="O918" s="47" t="s">
        <v>6083</v>
      </c>
      <c r="P918" s="53"/>
      <c r="Q918" s="53"/>
      <c r="R918" s="53"/>
      <c r="S918" s="53"/>
      <c r="T918" s="48">
        <v>213.66</v>
      </c>
      <c r="U918" s="98">
        <v>0.41654965833567353</v>
      </c>
      <c r="V918" s="98">
        <v>0.17499765983338014</v>
      </c>
      <c r="W918" s="98">
        <v>0.52480746024977232</v>
      </c>
      <c r="X918" s="98">
        <v>0.41654965833567353</v>
      </c>
      <c r="Y918" s="233">
        <v>7</v>
      </c>
      <c r="Z918" s="48">
        <v>3.3</v>
      </c>
      <c r="AA918" s="48">
        <v>3.51</v>
      </c>
      <c r="AB918" s="48">
        <v>3.28</v>
      </c>
      <c r="AC918" s="48">
        <v>0.89549999999999996</v>
      </c>
      <c r="AD918" s="48">
        <v>3.32</v>
      </c>
      <c r="AE918" s="48">
        <v>3.49</v>
      </c>
      <c r="AF918" s="48">
        <f t="shared" si="268"/>
        <v>3.51</v>
      </c>
      <c r="AG918" s="49">
        <v>2.82</v>
      </c>
      <c r="AH918" s="98">
        <v>2.85E-8</v>
      </c>
      <c r="AI918" s="98">
        <v>5.6899999999999997E-7</v>
      </c>
      <c r="AJ918" s="483">
        <f t="shared" si="265"/>
        <v>-5.9337214663041413</v>
      </c>
      <c r="AK918" s="483">
        <f>LOG10(AI918*1000/(0.08206*298.15))</f>
        <v>-4.6334540599175806</v>
      </c>
      <c r="AL918" s="483">
        <f t="shared" si="264"/>
        <v>-4.6334540599175806</v>
      </c>
      <c r="AM918" s="483">
        <v>-9.3203499999999995</v>
      </c>
      <c r="AN918" s="226">
        <v>-4.5999999999999996</v>
      </c>
      <c r="AO918" s="484">
        <v>13.06</v>
      </c>
      <c r="AP918" s="484">
        <v>-0.56999999999999995</v>
      </c>
      <c r="AQ918" s="226" t="s">
        <v>6311</v>
      </c>
      <c r="AR918" s="226" t="s">
        <v>6312</v>
      </c>
      <c r="AS918" s="224" t="s">
        <v>6</v>
      </c>
      <c r="AT918" s="50" t="s">
        <v>266</v>
      </c>
      <c r="AU918" s="48">
        <v>8</v>
      </c>
      <c r="AV918" s="48">
        <v>144</v>
      </c>
      <c r="AW918" s="48">
        <v>120</v>
      </c>
      <c r="AX918" s="48">
        <v>26</v>
      </c>
      <c r="AY918" s="48" t="s">
        <v>267</v>
      </c>
      <c r="AZ918" s="48" t="s">
        <v>2253</v>
      </c>
      <c r="BA918" s="48">
        <v>2</v>
      </c>
      <c r="BB918" s="47" t="s">
        <v>2254</v>
      </c>
      <c r="BC918" s="47" t="s">
        <v>270</v>
      </c>
      <c r="BD918" s="47" t="s">
        <v>8374</v>
      </c>
      <c r="BE918" s="48" t="s">
        <v>1712</v>
      </c>
      <c r="BF918" s="48" t="s">
        <v>272</v>
      </c>
      <c r="BG918" s="48" t="s">
        <v>272</v>
      </c>
      <c r="BH918" s="48" t="s">
        <v>2255</v>
      </c>
      <c r="BI918" s="98">
        <v>9.9999999999999995E-7</v>
      </c>
      <c r="BJ918" s="98">
        <v>0.08</v>
      </c>
      <c r="BK918" s="48"/>
      <c r="BL918" s="98">
        <f t="shared" si="274"/>
        <v>5.5856021675172299E-2</v>
      </c>
      <c r="BM918" s="48" t="s">
        <v>891</v>
      </c>
      <c r="BN918" s="233"/>
      <c r="BO918" s="233"/>
      <c r="BP918" s="233"/>
      <c r="BQ918" s="233"/>
      <c r="BR918" s="233"/>
      <c r="BS918" s="234"/>
      <c r="BT918" s="233"/>
      <c r="BU918" s="235"/>
      <c r="BV918" s="233"/>
      <c r="BW918" s="233"/>
      <c r="BX918" s="233"/>
      <c r="BY918" s="233"/>
      <c r="BZ918" s="233"/>
      <c r="CA918" s="233"/>
      <c r="CB918" s="233"/>
      <c r="CC918" s="234"/>
      <c r="CD918" s="48"/>
      <c r="CE918" s="48"/>
      <c r="CF918" s="48"/>
      <c r="CG918" s="233"/>
      <c r="CH918" s="48"/>
      <c r="CI918" s="98"/>
      <c r="CJ918" s="98"/>
      <c r="CK918" s="49">
        <f t="shared" si="270"/>
        <v>0.69820027093965376</v>
      </c>
      <c r="CL918" s="229"/>
      <c r="CM918" s="229"/>
      <c r="CN918" s="229"/>
      <c r="CO918" s="47" t="s">
        <v>892</v>
      </c>
      <c r="CP918" s="47" t="s">
        <v>893</v>
      </c>
      <c r="CQ918" s="224">
        <v>-1.6127904088605323</v>
      </c>
      <c r="CR918" s="224">
        <f>10^(CJ918-CQ918)</f>
        <v>41.000618565996874</v>
      </c>
      <c r="CS918" s="230" t="s">
        <v>539</v>
      </c>
      <c r="CT918" s="230"/>
      <c r="CU918" s="230"/>
      <c r="CV918" s="335">
        <f t="shared" si="273"/>
        <v>5.2068707291959191</v>
      </c>
      <c r="CW918" s="230">
        <f t="shared" si="269"/>
        <v>1</v>
      </c>
      <c r="CX918" s="336" t="s">
        <v>539</v>
      </c>
      <c r="CY918" s="230" t="s">
        <v>5921</v>
      </c>
    </row>
    <row r="919" spans="1:103" ht="11.25" customHeight="1" x14ac:dyDescent="0.2">
      <c r="A919" s="72">
        <v>917</v>
      </c>
      <c r="B919" s="224">
        <v>1062</v>
      </c>
      <c r="C919" s="46" t="s">
        <v>7107</v>
      </c>
      <c r="D919" s="46"/>
      <c r="E919" s="114"/>
      <c r="F919" s="114" t="s">
        <v>2993</v>
      </c>
      <c r="G919" s="225">
        <v>101213</v>
      </c>
      <c r="H919" s="47" t="s">
        <v>2994</v>
      </c>
      <c r="I919" s="47" t="s">
        <v>8025</v>
      </c>
      <c r="J919" s="47" t="s">
        <v>2995</v>
      </c>
      <c r="K919" s="47" t="s">
        <v>1180</v>
      </c>
      <c r="L919" s="47" t="s">
        <v>6030</v>
      </c>
      <c r="M919" s="47" t="s">
        <v>6082</v>
      </c>
      <c r="N919" s="47" t="s">
        <v>6082</v>
      </c>
      <c r="O919" s="47" t="s">
        <v>6083</v>
      </c>
      <c r="P919" s="53"/>
      <c r="Q919" s="53"/>
      <c r="R919" s="53"/>
      <c r="S919" s="53"/>
      <c r="T919" s="48">
        <v>213.66</v>
      </c>
      <c r="U919" s="98">
        <v>0.41654965833567353</v>
      </c>
      <c r="V919" s="98">
        <v>0.17499765983338014</v>
      </c>
      <c r="W919" s="98">
        <v>0.52480746024977232</v>
      </c>
      <c r="X919" s="98">
        <v>0.41654965833567353</v>
      </c>
      <c r="Y919" s="233">
        <v>7</v>
      </c>
      <c r="Z919" s="48">
        <v>3.3</v>
      </c>
      <c r="AA919" s="48">
        <v>3.51</v>
      </c>
      <c r="AB919" s="48">
        <v>3.28</v>
      </c>
      <c r="AC919" s="48">
        <v>0.89549999999999996</v>
      </c>
      <c r="AD919" s="48">
        <v>3.32</v>
      </c>
      <c r="AE919" s="48">
        <v>3.49</v>
      </c>
      <c r="AF919" s="48">
        <f t="shared" si="268"/>
        <v>3.51</v>
      </c>
      <c r="AG919" s="49">
        <v>2.82</v>
      </c>
      <c r="AH919" s="98">
        <v>2.85E-8</v>
      </c>
      <c r="AI919" s="98">
        <v>5.6899999999999997E-7</v>
      </c>
      <c r="AJ919" s="483">
        <f t="shared" si="265"/>
        <v>-5.9337214663041413</v>
      </c>
      <c r="AK919" s="483">
        <f>LOG10(AI919*1000/(0.08206*298.15))</f>
        <v>-4.6334540599175806</v>
      </c>
      <c r="AL919" s="483">
        <f t="shared" si="264"/>
        <v>-4.6334540599175806</v>
      </c>
      <c r="AM919" s="483">
        <v>-9.3203499999999995</v>
      </c>
      <c r="AN919" s="226">
        <v>-4.5999999999999996</v>
      </c>
      <c r="AO919" s="484">
        <v>13.06</v>
      </c>
      <c r="AP919" s="484">
        <v>-0.56999999999999995</v>
      </c>
      <c r="AQ919" s="48" t="s">
        <v>6311</v>
      </c>
      <c r="AR919" s="48" t="s">
        <v>6312</v>
      </c>
      <c r="AS919" s="227"/>
      <c r="AT919" s="50" t="s">
        <v>266</v>
      </c>
      <c r="AU919" s="48">
        <v>6</v>
      </c>
      <c r="AV919" s="48">
        <v>120</v>
      </c>
      <c r="AW919" s="48">
        <v>114</v>
      </c>
      <c r="AX919" s="48">
        <v>28</v>
      </c>
      <c r="AY919" s="48" t="s">
        <v>8728</v>
      </c>
      <c r="AZ919" s="48" t="s">
        <v>1563</v>
      </c>
      <c r="BA919" s="48">
        <v>32</v>
      </c>
      <c r="BB919" s="47" t="s">
        <v>2485</v>
      </c>
      <c r="BC919" s="47" t="s">
        <v>8726</v>
      </c>
      <c r="BD919" s="47" t="s">
        <v>8374</v>
      </c>
      <c r="BE919" s="48" t="s">
        <v>2449</v>
      </c>
      <c r="BF919" s="48" t="s">
        <v>272</v>
      </c>
      <c r="BG919" s="48" t="s">
        <v>272</v>
      </c>
      <c r="BH919" s="48" t="s">
        <v>2486</v>
      </c>
      <c r="BI919" s="98">
        <v>6.3999999999999997E-6</v>
      </c>
      <c r="BJ919" s="98">
        <v>6.4000000000000001E-2</v>
      </c>
      <c r="BK919" s="48"/>
      <c r="BL919" s="98">
        <f t="shared" si="274"/>
        <v>5.5856021675172299E-2</v>
      </c>
      <c r="BM919" s="47" t="s">
        <v>2487</v>
      </c>
      <c r="BN919" s="48"/>
      <c r="BO919" s="48"/>
      <c r="BP919" s="48"/>
      <c r="BQ919" s="48"/>
      <c r="BR919" s="47" t="s">
        <v>2496</v>
      </c>
      <c r="BS919" s="48"/>
      <c r="BT919" s="48"/>
      <c r="BU919" s="228">
        <v>6.3999999999999997E-5</v>
      </c>
      <c r="BV919" s="48"/>
      <c r="BW919" s="48"/>
      <c r="BX919" s="48"/>
      <c r="BY919" s="48"/>
      <c r="BZ919" s="48"/>
      <c r="CA919" s="48"/>
      <c r="CB919" s="48"/>
      <c r="CC919" s="48"/>
      <c r="CD919" s="48"/>
      <c r="CE919" s="48"/>
      <c r="CF919" s="48"/>
      <c r="CG919" s="48"/>
      <c r="CH919" s="48"/>
      <c r="CI919" s="98"/>
      <c r="CJ919" s="98"/>
      <c r="CK919" s="49">
        <f t="shared" si="270"/>
        <v>0.87275033867456719</v>
      </c>
      <c r="CL919" s="229"/>
      <c r="CM919" s="229"/>
      <c r="CN919" s="229"/>
      <c r="CO919" s="47" t="s">
        <v>2488</v>
      </c>
      <c r="CP919" s="47" t="s">
        <v>2489</v>
      </c>
      <c r="CQ919" s="224">
        <v>-1.6127904088605323</v>
      </c>
      <c r="CR919" s="224">
        <f>10^(CJ919-CQ919)</f>
        <v>41.000618565996874</v>
      </c>
      <c r="CS919" s="230" t="s">
        <v>539</v>
      </c>
      <c r="CT919" s="230"/>
      <c r="CU919" s="230"/>
      <c r="CV919" s="335">
        <f t="shared" si="273"/>
        <v>6.5085884114948991</v>
      </c>
      <c r="CW919" s="230">
        <f t="shared" si="269"/>
        <v>1</v>
      </c>
      <c r="CX919" s="336"/>
      <c r="CY919" s="230" t="s">
        <v>5921</v>
      </c>
    </row>
    <row r="920" spans="1:103" ht="11.25" customHeight="1" x14ac:dyDescent="0.2">
      <c r="A920" s="72">
        <v>918</v>
      </c>
      <c r="B920" s="224">
        <v>1228</v>
      </c>
      <c r="C920" s="46" t="s">
        <v>7108</v>
      </c>
      <c r="D920" s="46"/>
      <c r="E920" s="114"/>
      <c r="F920" s="114" t="s">
        <v>3388</v>
      </c>
      <c r="G920" s="225">
        <v>101553</v>
      </c>
      <c r="H920" s="47" t="s">
        <v>3389</v>
      </c>
      <c r="I920" s="47" t="s">
        <v>3389</v>
      </c>
      <c r="J920" s="47" t="s">
        <v>3390</v>
      </c>
      <c r="K920" s="47" t="s">
        <v>426</v>
      </c>
      <c r="L920" s="47" t="s">
        <v>6025</v>
      </c>
      <c r="M920" s="47" t="s">
        <v>5960</v>
      </c>
      <c r="N920" s="47"/>
      <c r="O920" s="47"/>
      <c r="P920" s="53"/>
      <c r="Q920" s="53" t="s">
        <v>6173</v>
      </c>
      <c r="R920" s="53" t="s">
        <v>6185</v>
      </c>
      <c r="S920" s="53" t="s">
        <v>6176</v>
      </c>
      <c r="T920" s="48">
        <v>249.1</v>
      </c>
      <c r="U920" s="98"/>
      <c r="V920" s="98">
        <v>5.8129265355279002E-3</v>
      </c>
      <c r="W920" s="98">
        <v>3.715352290971724E-2</v>
      </c>
      <c r="X920" s="98">
        <f>IF(W920=0,V920,W920)</f>
        <v>3.715352290971724E-2</v>
      </c>
      <c r="Y920" s="233">
        <v>7</v>
      </c>
      <c r="Z920" s="48">
        <v>4.9400000000000004</v>
      </c>
      <c r="AA920" s="48"/>
      <c r="AB920" s="48">
        <v>4.67</v>
      </c>
      <c r="AC920" s="48">
        <v>0.82879999999999998</v>
      </c>
      <c r="AD920" s="48">
        <v>4.78</v>
      </c>
      <c r="AE920" s="48">
        <v>5.1100000000000003</v>
      </c>
      <c r="AF920" s="48">
        <f t="shared" si="268"/>
        <v>4.78</v>
      </c>
      <c r="AG920" s="49">
        <v>3.97</v>
      </c>
      <c r="AH920" s="98">
        <v>4.6900000000000002E-5</v>
      </c>
      <c r="AI920" s="98"/>
      <c r="AJ920" s="483">
        <f t="shared" si="265"/>
        <v>-2.7173934835975686</v>
      </c>
      <c r="AK920" s="483"/>
      <c r="AL920" s="483">
        <f t="shared" si="264"/>
        <v>-2.7173934835975686</v>
      </c>
      <c r="AM920" s="483">
        <v>-7.4767200000000003</v>
      </c>
      <c r="AN920" s="226">
        <v>-2.4700000000000002</v>
      </c>
      <c r="AO920" s="484"/>
      <c r="AP920" s="484"/>
      <c r="AQ920" s="48" t="s">
        <v>6311</v>
      </c>
      <c r="AR920" s="48" t="s">
        <v>6311</v>
      </c>
      <c r="AS920" s="227"/>
      <c r="AT920" s="50" t="s">
        <v>266</v>
      </c>
      <c r="AU920" s="48">
        <v>6</v>
      </c>
      <c r="AV920" s="48">
        <v>120</v>
      </c>
      <c r="AW920" s="48">
        <v>114</v>
      </c>
      <c r="AX920" s="48">
        <v>28</v>
      </c>
      <c r="AY920" s="48" t="s">
        <v>8728</v>
      </c>
      <c r="AZ920" s="48" t="s">
        <v>1563</v>
      </c>
      <c r="BA920" s="48">
        <v>32</v>
      </c>
      <c r="BB920" s="47" t="s">
        <v>2485</v>
      </c>
      <c r="BC920" s="47" t="s">
        <v>8726</v>
      </c>
      <c r="BD920" s="47" t="s">
        <v>8374</v>
      </c>
      <c r="BE920" s="48" t="s">
        <v>2449</v>
      </c>
      <c r="BF920" s="48" t="s">
        <v>272</v>
      </c>
      <c r="BG920" s="48" t="s">
        <v>272</v>
      </c>
      <c r="BH920" s="48" t="s">
        <v>2486</v>
      </c>
      <c r="BI920" s="98">
        <v>6.3999999999999997E-6</v>
      </c>
      <c r="BJ920" s="98">
        <v>6.4000000000000001E-2</v>
      </c>
      <c r="BK920" s="48"/>
      <c r="BL920" s="98">
        <f t="shared" si="274"/>
        <v>1.8801218645452685E-3</v>
      </c>
      <c r="BM920" s="47" t="s">
        <v>2487</v>
      </c>
      <c r="BN920" s="48"/>
      <c r="BO920" s="48"/>
      <c r="BP920" s="48"/>
      <c r="BQ920" s="48"/>
      <c r="BR920" s="47" t="s">
        <v>2496</v>
      </c>
      <c r="BS920" s="48"/>
      <c r="BT920" s="48"/>
      <c r="BU920" s="228">
        <v>6.3999999999999997E-5</v>
      </c>
      <c r="BV920" s="48"/>
      <c r="BW920" s="48"/>
      <c r="BX920" s="48"/>
      <c r="BY920" s="48"/>
      <c r="BZ920" s="48"/>
      <c r="CA920" s="48"/>
      <c r="CB920" s="48"/>
      <c r="CC920" s="48"/>
      <c r="CD920" s="48"/>
      <c r="CE920" s="48"/>
      <c r="CF920" s="48"/>
      <c r="CG920" s="48"/>
      <c r="CH920" s="48"/>
      <c r="CI920" s="98"/>
      <c r="CJ920" s="98"/>
      <c r="CK920" s="49">
        <f t="shared" si="270"/>
        <v>2.9376904133519819E-2</v>
      </c>
      <c r="CL920" s="229"/>
      <c r="CM920" s="229"/>
      <c r="CN920" s="229"/>
      <c r="CO920" s="47" t="s">
        <v>2488</v>
      </c>
      <c r="CP920" s="47" t="s">
        <v>2489</v>
      </c>
      <c r="CQ920" s="224">
        <v>-2.1352285028287672</v>
      </c>
      <c r="CR920" s="224">
        <f>10^(CJ920-CQ920)</f>
        <v>136.53012971077777</v>
      </c>
      <c r="CS920" s="230" t="s">
        <v>539</v>
      </c>
      <c r="CT920" s="230"/>
      <c r="CU920" s="230"/>
      <c r="CV920" s="335">
        <f t="shared" si="273"/>
        <v>0.58052379546433186</v>
      </c>
      <c r="CW920" s="230">
        <f t="shared" si="269"/>
        <v>0</v>
      </c>
      <c r="CX920" s="336"/>
      <c r="CY920" s="230" t="s">
        <v>5921</v>
      </c>
    </row>
    <row r="921" spans="1:103" ht="11.25" customHeight="1" x14ac:dyDescent="0.2">
      <c r="A921" s="72">
        <v>919</v>
      </c>
      <c r="B921" s="224">
        <v>1470</v>
      </c>
      <c r="C921" s="46" t="s">
        <v>7109</v>
      </c>
      <c r="D921" s="46"/>
      <c r="E921" s="114"/>
      <c r="F921" s="114" t="s">
        <v>4515</v>
      </c>
      <c r="G921" s="225">
        <v>101611</v>
      </c>
      <c r="H921" s="47" t="s">
        <v>4516</v>
      </c>
      <c r="I921" s="47" t="s">
        <v>4516</v>
      </c>
      <c r="J921" s="47" t="s">
        <v>4517</v>
      </c>
      <c r="K921" s="47" t="s">
        <v>426</v>
      </c>
      <c r="L921" s="47"/>
      <c r="M921" s="47"/>
      <c r="N921" s="47"/>
      <c r="O921" s="47"/>
      <c r="P921" s="53"/>
      <c r="Q921" s="53" t="s">
        <v>6173</v>
      </c>
      <c r="R921" s="53" t="s">
        <v>6185</v>
      </c>
      <c r="S921" s="53" t="s">
        <v>6182</v>
      </c>
      <c r="T921" s="48">
        <v>254.37</v>
      </c>
      <c r="U921" s="98"/>
      <c r="V921" s="98">
        <v>1.627550418681448E-2</v>
      </c>
      <c r="W921" s="98">
        <v>2.4547089156850253E-2</v>
      </c>
      <c r="X921" s="98">
        <f>IF(W921=0,V921,W921)</f>
        <v>2.4547089156850253E-2</v>
      </c>
      <c r="Y921" s="233">
        <v>7.5</v>
      </c>
      <c r="Z921" s="48">
        <v>4.37</v>
      </c>
      <c r="AA921" s="48"/>
      <c r="AB921" s="48">
        <v>4.12</v>
      </c>
      <c r="AC921" s="48">
        <v>0.79949999999999999</v>
      </c>
      <c r="AD921" s="48">
        <v>4.21</v>
      </c>
      <c r="AE921" s="48">
        <v>4.43</v>
      </c>
      <c r="AF921" s="48">
        <f t="shared" si="268"/>
        <v>4.21</v>
      </c>
      <c r="AG921" s="49">
        <v>4.33</v>
      </c>
      <c r="AH921" s="98">
        <v>1.2100000000000001E-7</v>
      </c>
      <c r="AI921" s="98"/>
      <c r="AJ921" s="483">
        <f t="shared" si="265"/>
        <v>-5.3057809559962017</v>
      </c>
      <c r="AK921" s="483"/>
      <c r="AL921" s="483">
        <f t="shared" si="264"/>
        <v>-5.3057809559962017</v>
      </c>
      <c r="AM921" s="483">
        <v>-10.74503</v>
      </c>
      <c r="AN921" s="226">
        <v>-6.47</v>
      </c>
      <c r="AO921" s="484"/>
      <c r="AP921" s="484">
        <v>5.57</v>
      </c>
      <c r="AQ921" s="48" t="s">
        <v>6311</v>
      </c>
      <c r="AR921" s="48" t="s">
        <v>6311</v>
      </c>
      <c r="AS921" s="227"/>
      <c r="AT921" s="50" t="s">
        <v>266</v>
      </c>
      <c r="AU921" s="48">
        <v>6</v>
      </c>
      <c r="AV921" s="48">
        <v>120</v>
      </c>
      <c r="AW921" s="48">
        <v>114</v>
      </c>
      <c r="AX921" s="48">
        <v>28</v>
      </c>
      <c r="AY921" s="48" t="s">
        <v>8728</v>
      </c>
      <c r="AZ921" s="48" t="s">
        <v>1563</v>
      </c>
      <c r="BA921" s="48">
        <v>32</v>
      </c>
      <c r="BB921" s="47" t="s">
        <v>2485</v>
      </c>
      <c r="BC921" s="47" t="s">
        <v>8726</v>
      </c>
      <c r="BD921" s="47" t="s">
        <v>8374</v>
      </c>
      <c r="BE921" s="48" t="s">
        <v>2449</v>
      </c>
      <c r="BF921" s="48" t="s">
        <v>272</v>
      </c>
      <c r="BG921" s="48" t="s">
        <v>272</v>
      </c>
      <c r="BH921" s="48" t="s">
        <v>2486</v>
      </c>
      <c r="BI921" s="98">
        <v>6.3999999999999997E-6</v>
      </c>
      <c r="BJ921" s="98">
        <v>6.4000000000000001E-2</v>
      </c>
      <c r="BK921" s="48"/>
      <c r="BL921" s="98">
        <f t="shared" si="274"/>
        <v>6.1108693692693431E-3</v>
      </c>
      <c r="BM921" s="47" t="s">
        <v>2487</v>
      </c>
      <c r="BN921" s="48"/>
      <c r="BO921" s="48"/>
      <c r="BP921" s="48"/>
      <c r="BQ921" s="48"/>
      <c r="BR921" s="47" t="s">
        <v>2496</v>
      </c>
      <c r="BS921" s="48"/>
      <c r="BT921" s="48"/>
      <c r="BU921" s="228"/>
      <c r="BV921" s="48"/>
      <c r="BW921" s="48"/>
      <c r="BX921" s="48"/>
      <c r="BY921" s="48"/>
      <c r="BZ921" s="48"/>
      <c r="CA921" s="48"/>
      <c r="CB921" s="48"/>
      <c r="CC921" s="48"/>
      <c r="CD921" s="48"/>
      <c r="CE921" s="48"/>
      <c r="CF921" s="48"/>
      <c r="CG921" s="48"/>
      <c r="CH921" s="48"/>
      <c r="CI921" s="98"/>
      <c r="CJ921" s="98"/>
      <c r="CK921" s="49">
        <f t="shared" si="270"/>
        <v>9.5482333894833488E-2</v>
      </c>
      <c r="CL921" s="229"/>
      <c r="CM921" s="229"/>
      <c r="CN921" s="229"/>
      <c r="CO921" s="47" t="s">
        <v>2488</v>
      </c>
      <c r="CP921" s="47" t="s">
        <v>2489</v>
      </c>
      <c r="CQ921" s="224" t="s">
        <v>272</v>
      </c>
      <c r="CR921" s="224"/>
      <c r="CS921" s="230" t="s">
        <v>539</v>
      </c>
      <c r="CT921" s="230"/>
      <c r="CU921" s="230"/>
      <c r="CV921" s="335">
        <f t="shared" si="273"/>
        <v>0.38354826807578518</v>
      </c>
      <c r="CW921" s="230">
        <f t="shared" si="269"/>
        <v>0</v>
      </c>
      <c r="CX921" s="336"/>
      <c r="CY921" s="230" t="s">
        <v>5921</v>
      </c>
    </row>
    <row r="922" spans="1:103" ht="11.25" customHeight="1" x14ac:dyDescent="0.2">
      <c r="A922" s="72">
        <v>920</v>
      </c>
      <c r="B922" s="224">
        <v>985</v>
      </c>
      <c r="C922" s="46" t="s">
        <v>7110</v>
      </c>
      <c r="D922" s="46"/>
      <c r="E922" s="114"/>
      <c r="F922" s="114" t="s">
        <v>2809</v>
      </c>
      <c r="G922" s="225">
        <v>101779</v>
      </c>
      <c r="H922" s="47" t="s">
        <v>2810</v>
      </c>
      <c r="I922" s="47" t="s">
        <v>2810</v>
      </c>
      <c r="J922" s="47" t="s">
        <v>2811</v>
      </c>
      <c r="K922" s="47" t="s">
        <v>1573</v>
      </c>
      <c r="L922" s="47"/>
      <c r="M922" s="47"/>
      <c r="N922" s="47"/>
      <c r="O922" s="47"/>
      <c r="P922" s="53"/>
      <c r="Q922" s="53" t="s">
        <v>6173</v>
      </c>
      <c r="R922" s="53" t="s">
        <v>6185</v>
      </c>
      <c r="S922" s="53" t="s">
        <v>6182</v>
      </c>
      <c r="T922" s="48">
        <v>198.26</v>
      </c>
      <c r="U922" s="98">
        <v>5.0438817714112787</v>
      </c>
      <c r="V922" s="98">
        <v>9.8809643901946949</v>
      </c>
      <c r="W922" s="98">
        <v>2.8840315031266042</v>
      </c>
      <c r="X922" s="98">
        <v>5.0438817714112787</v>
      </c>
      <c r="Y922" s="233">
        <v>8.39</v>
      </c>
      <c r="Z922" s="48">
        <v>2.1800000000000002</v>
      </c>
      <c r="AA922" s="48">
        <v>1.59</v>
      </c>
      <c r="AB922" s="48">
        <v>1.69</v>
      </c>
      <c r="AC922" s="48">
        <v>0.88490000000000002</v>
      </c>
      <c r="AD922" s="48">
        <v>1.68</v>
      </c>
      <c r="AE922" s="48">
        <v>1.64</v>
      </c>
      <c r="AF922" s="48">
        <f t="shared" si="268"/>
        <v>1.59</v>
      </c>
      <c r="AG922" s="49">
        <v>2.29</v>
      </c>
      <c r="AH922" s="98">
        <v>5.9899999999999995E-11</v>
      </c>
      <c r="AI922" s="98"/>
      <c r="AJ922" s="483">
        <f t="shared" si="265"/>
        <v>-8.61113950392334</v>
      </c>
      <c r="AK922" s="483"/>
      <c r="AL922" s="483">
        <f t="shared" si="264"/>
        <v>-8.61113950392334</v>
      </c>
      <c r="AM922" s="483">
        <v>-13.041600000000001</v>
      </c>
      <c r="AN922" s="226">
        <v>-9.0299999999999994</v>
      </c>
      <c r="AO922" s="484"/>
      <c r="AP922" s="484">
        <v>5.32</v>
      </c>
      <c r="AQ922" s="48" t="s">
        <v>6311</v>
      </c>
      <c r="AR922" s="48" t="s">
        <v>6311</v>
      </c>
      <c r="AS922" s="227"/>
      <c r="AT922" s="50" t="s">
        <v>266</v>
      </c>
      <c r="AU922" s="48">
        <v>6</v>
      </c>
      <c r="AV922" s="48">
        <v>120</v>
      </c>
      <c r="AW922" s="48">
        <v>114</v>
      </c>
      <c r="AX922" s="48">
        <v>28</v>
      </c>
      <c r="AY922" s="48" t="s">
        <v>8728</v>
      </c>
      <c r="AZ922" s="48" t="s">
        <v>1563</v>
      </c>
      <c r="BA922" s="48">
        <v>32</v>
      </c>
      <c r="BB922" s="47" t="s">
        <v>2485</v>
      </c>
      <c r="BC922" s="47" t="s">
        <v>8726</v>
      </c>
      <c r="BD922" s="47" t="s">
        <v>8374</v>
      </c>
      <c r="BE922" s="48" t="s">
        <v>2449</v>
      </c>
      <c r="BF922" s="48" t="s">
        <v>272</v>
      </c>
      <c r="BG922" s="48" t="s">
        <v>272</v>
      </c>
      <c r="BH922" s="48" t="s">
        <v>2486</v>
      </c>
      <c r="BI922" s="98">
        <v>6.3999999999999997E-6</v>
      </c>
      <c r="BJ922" s="98">
        <v>6.4000000000000001E-2</v>
      </c>
      <c r="BK922" s="48"/>
      <c r="BL922" s="98">
        <f t="shared" si="274"/>
        <v>0.56616367286716462</v>
      </c>
      <c r="BM922" s="47" t="s">
        <v>2487</v>
      </c>
      <c r="BN922" s="48"/>
      <c r="BO922" s="48"/>
      <c r="BP922" s="48"/>
      <c r="BQ922" s="48"/>
      <c r="BR922" s="47" t="s">
        <v>2496</v>
      </c>
      <c r="BS922" s="48"/>
      <c r="BT922" s="48"/>
      <c r="BU922" s="228">
        <v>6.3999999999999997E-6</v>
      </c>
      <c r="BV922" s="48"/>
      <c r="BW922" s="48"/>
      <c r="BX922" s="48"/>
      <c r="BY922" s="48"/>
      <c r="BZ922" s="48"/>
      <c r="CA922" s="48"/>
      <c r="CB922" s="48"/>
      <c r="CC922" s="48"/>
      <c r="CD922" s="48"/>
      <c r="CE922" s="48"/>
      <c r="CF922" s="48"/>
      <c r="CG922" s="48"/>
      <c r="CH922" s="48"/>
      <c r="CI922" s="98"/>
      <c r="CJ922" s="98"/>
      <c r="CK922" s="49">
        <f t="shared" si="270"/>
        <v>8.8463073885494463</v>
      </c>
      <c r="CL922" s="229"/>
      <c r="CM922" s="229"/>
      <c r="CN922" s="229"/>
      <c r="CO922" s="47" t="s">
        <v>2488</v>
      </c>
      <c r="CP922" s="47" t="s">
        <v>2489</v>
      </c>
      <c r="CQ922" s="224" t="s">
        <v>272</v>
      </c>
      <c r="CR922" s="224"/>
      <c r="CS922" s="230" t="s">
        <v>539</v>
      </c>
      <c r="CT922" s="230"/>
      <c r="CU922" s="230"/>
      <c r="CV922" s="335">
        <f t="shared" si="273"/>
        <v>78.810652678301224</v>
      </c>
      <c r="CW922" s="230">
        <f t="shared" si="269"/>
        <v>1</v>
      </c>
      <c r="CX922" s="336"/>
      <c r="CY922" s="230" t="s">
        <v>6351</v>
      </c>
    </row>
    <row r="923" spans="1:103" ht="11.25" customHeight="1" x14ac:dyDescent="0.2">
      <c r="A923" s="72">
        <v>921</v>
      </c>
      <c r="B923" s="224">
        <v>1471</v>
      </c>
      <c r="C923" s="46" t="s">
        <v>7111</v>
      </c>
      <c r="D923" s="46"/>
      <c r="E923" s="114"/>
      <c r="F923" s="114" t="s">
        <v>4518</v>
      </c>
      <c r="G923" s="225">
        <v>101804</v>
      </c>
      <c r="H923" s="47" t="s">
        <v>4519</v>
      </c>
      <c r="I923" s="47" t="s">
        <v>4519</v>
      </c>
      <c r="J923" s="47" t="s">
        <v>4520</v>
      </c>
      <c r="K923" s="47" t="s">
        <v>1573</v>
      </c>
      <c r="L923" s="47"/>
      <c r="M923" s="47"/>
      <c r="N923" s="47"/>
      <c r="O923" s="47"/>
      <c r="P923" s="53"/>
      <c r="Q923" s="53" t="s">
        <v>6182</v>
      </c>
      <c r="R923" s="53" t="s">
        <v>6185</v>
      </c>
      <c r="S923" s="53" t="s">
        <v>6182</v>
      </c>
      <c r="T923" s="48">
        <v>200.24</v>
      </c>
      <c r="U923" s="98"/>
      <c r="V923" s="98">
        <v>15.026967638833399</v>
      </c>
      <c r="W923" s="98">
        <v>2.0417379446695292</v>
      </c>
      <c r="X923" s="98">
        <f>IF(W923=0,V923,W923)</f>
        <v>2.0417379446695292</v>
      </c>
      <c r="Y923" s="233">
        <v>8.4</v>
      </c>
      <c r="Z923" s="48">
        <v>2.2200000000000002</v>
      </c>
      <c r="AA923" s="48">
        <v>1.36</v>
      </c>
      <c r="AB923" s="48">
        <v>1.37</v>
      </c>
      <c r="AC923" s="48">
        <v>0.84699999999999998</v>
      </c>
      <c r="AD923" s="48">
        <v>1.1399999999999999</v>
      </c>
      <c r="AE923" s="48">
        <v>0.51</v>
      </c>
      <c r="AF923" s="48">
        <f t="shared" si="268"/>
        <v>1.36</v>
      </c>
      <c r="AG923" s="49">
        <v>1.78</v>
      </c>
      <c r="AH923" s="98">
        <v>1.4700000000000002E-11</v>
      </c>
      <c r="AI923" s="98"/>
      <c r="AJ923" s="483">
        <f t="shared" si="265"/>
        <v>-9.221248991564476</v>
      </c>
      <c r="AK923" s="483"/>
      <c r="AL923" s="483">
        <f t="shared" si="264"/>
        <v>-9.221248991564476</v>
      </c>
      <c r="AM923" s="483">
        <v>-14.486319999999999</v>
      </c>
      <c r="AN923" s="226">
        <v>-8.8800000000000008</v>
      </c>
      <c r="AO923" s="484"/>
      <c r="AP923" s="484">
        <v>5.49</v>
      </c>
      <c r="AQ923" s="48" t="s">
        <v>6311</v>
      </c>
      <c r="AR923" s="48" t="s">
        <v>6311</v>
      </c>
      <c r="AS923" s="227"/>
      <c r="AT923" s="50" t="s">
        <v>266</v>
      </c>
      <c r="AU923" s="48">
        <v>6</v>
      </c>
      <c r="AV923" s="48">
        <v>120</v>
      </c>
      <c r="AW923" s="48">
        <v>114</v>
      </c>
      <c r="AX923" s="48">
        <v>28</v>
      </c>
      <c r="AY923" s="48" t="s">
        <v>8728</v>
      </c>
      <c r="AZ923" s="48" t="s">
        <v>1563</v>
      </c>
      <c r="BA923" s="48">
        <v>32</v>
      </c>
      <c r="BB923" s="47" t="s">
        <v>2485</v>
      </c>
      <c r="BC923" s="47" t="s">
        <v>8726</v>
      </c>
      <c r="BD923" s="47" t="s">
        <v>8374</v>
      </c>
      <c r="BE923" s="48" t="s">
        <v>2449</v>
      </c>
      <c r="BF923" s="48" t="s">
        <v>272</v>
      </c>
      <c r="BG923" s="48" t="s">
        <v>272</v>
      </c>
      <c r="BH923" s="48" t="s">
        <v>2486</v>
      </c>
      <c r="BI923" s="98">
        <v>6.3999999999999997E-6</v>
      </c>
      <c r="BJ923" s="98">
        <v>6.4000000000000001E-2</v>
      </c>
      <c r="BK923" s="48"/>
      <c r="BL923" s="98">
        <f t="shared" si="274"/>
        <v>0.52121631326584672</v>
      </c>
      <c r="BM923" s="47" t="s">
        <v>2487</v>
      </c>
      <c r="BN923" s="48"/>
      <c r="BO923" s="48"/>
      <c r="BP923" s="48"/>
      <c r="BQ923" s="48"/>
      <c r="BR923" s="47" t="s">
        <v>2496</v>
      </c>
      <c r="BS923" s="48"/>
      <c r="BT923" s="48"/>
      <c r="BU923" s="228"/>
      <c r="BV923" s="48"/>
      <c r="BW923" s="48"/>
      <c r="BX923" s="48"/>
      <c r="BY923" s="48"/>
      <c r="BZ923" s="48"/>
      <c r="CA923" s="48"/>
      <c r="CB923" s="48"/>
      <c r="CC923" s="48"/>
      <c r="CD923" s="48"/>
      <c r="CE923" s="48"/>
      <c r="CF923" s="48"/>
      <c r="CG923" s="48"/>
      <c r="CH923" s="48"/>
      <c r="CI923" s="98"/>
      <c r="CJ923" s="98"/>
      <c r="CK923" s="49">
        <f t="shared" si="270"/>
        <v>8.1440048947788544</v>
      </c>
      <c r="CL923" s="229"/>
      <c r="CM923" s="229"/>
      <c r="CN923" s="229"/>
      <c r="CO923" s="47" t="s">
        <v>2488</v>
      </c>
      <c r="CP923" s="47" t="s">
        <v>2489</v>
      </c>
      <c r="CQ923" s="224" t="s">
        <v>272</v>
      </c>
      <c r="CR923" s="224"/>
      <c r="CS923" s="230" t="s">
        <v>539</v>
      </c>
      <c r="CT923" s="230"/>
      <c r="CU923" s="230"/>
      <c r="CV923" s="335">
        <f t="shared" si="273"/>
        <v>31.902155385461391</v>
      </c>
      <c r="CW923" s="230">
        <f t="shared" si="269"/>
        <v>1</v>
      </c>
      <c r="CX923" s="336"/>
      <c r="CY923" s="230" t="s">
        <v>6351</v>
      </c>
    </row>
    <row r="924" spans="1:103" ht="11.25" customHeight="1" x14ac:dyDescent="0.2">
      <c r="A924" s="72">
        <v>922</v>
      </c>
      <c r="B924" s="224">
        <v>1390</v>
      </c>
      <c r="C924" s="46" t="s">
        <v>7112</v>
      </c>
      <c r="D924" s="46"/>
      <c r="E924" s="114"/>
      <c r="F924" s="114" t="s">
        <v>4285</v>
      </c>
      <c r="G924" s="225">
        <v>101860</v>
      </c>
      <c r="H924" s="47" t="s">
        <v>4286</v>
      </c>
      <c r="I924" s="47" t="s">
        <v>4286</v>
      </c>
      <c r="J924" s="47" t="s">
        <v>4287</v>
      </c>
      <c r="K924" s="47" t="s">
        <v>1557</v>
      </c>
      <c r="L924" s="47"/>
      <c r="M924" s="47"/>
      <c r="N924" s="47"/>
      <c r="O924" s="47"/>
      <c r="P924" s="53"/>
      <c r="Q924" s="53"/>
      <c r="R924" s="53"/>
      <c r="S924" s="53"/>
      <c r="T924" s="48">
        <v>216.32</v>
      </c>
      <c r="U924" s="98"/>
      <c r="V924" s="98">
        <v>1.2712647928994084E-2</v>
      </c>
      <c r="W924" s="98">
        <v>0.13182567385564067</v>
      </c>
      <c r="X924" s="98">
        <f>IF(W924=0,V924,W924)</f>
        <v>0.13182567385564067</v>
      </c>
      <c r="Y924" s="233">
        <v>7</v>
      </c>
      <c r="Z924" s="48">
        <v>4.82</v>
      </c>
      <c r="AA924" s="48"/>
      <c r="AB924" s="48">
        <v>4.7</v>
      </c>
      <c r="AC924" s="48">
        <v>0.8034</v>
      </c>
      <c r="AD924" s="48">
        <v>4.88</v>
      </c>
      <c r="AE924" s="48">
        <v>5.33</v>
      </c>
      <c r="AF924" s="48">
        <f t="shared" si="268"/>
        <v>4.88</v>
      </c>
      <c r="AG924" s="49">
        <v>4.28</v>
      </c>
      <c r="AH924" s="98">
        <v>1.04E-5</v>
      </c>
      <c r="AI924" s="98"/>
      <c r="AJ924" s="483">
        <f t="shared" si="265"/>
        <v>-3.3715329870138713</v>
      </c>
      <c r="AK924" s="483"/>
      <c r="AL924" s="483">
        <f t="shared" si="264"/>
        <v>-3.3715329870138713</v>
      </c>
      <c r="AM924" s="483">
        <v>-7.1258200000000009</v>
      </c>
      <c r="AN924" s="226">
        <v>-2.92</v>
      </c>
      <c r="AO924" s="484"/>
      <c r="AP924" s="484"/>
      <c r="AQ924" s="48" t="s">
        <v>6311</v>
      </c>
      <c r="AR924" s="48" t="s">
        <v>6311</v>
      </c>
      <c r="AS924" s="227"/>
      <c r="AT924" s="50" t="s">
        <v>266</v>
      </c>
      <c r="AU924" s="48">
        <v>6</v>
      </c>
      <c r="AV924" s="48">
        <v>120</v>
      </c>
      <c r="AW924" s="48">
        <v>114</v>
      </c>
      <c r="AX924" s="48">
        <v>28</v>
      </c>
      <c r="AY924" s="48" t="s">
        <v>8728</v>
      </c>
      <c r="AZ924" s="48" t="s">
        <v>1563</v>
      </c>
      <c r="BA924" s="48">
        <v>32</v>
      </c>
      <c r="BB924" s="47" t="s">
        <v>2485</v>
      </c>
      <c r="BC924" s="47" t="s">
        <v>8726</v>
      </c>
      <c r="BD924" s="47" t="s">
        <v>8374</v>
      </c>
      <c r="BE924" s="48" t="s">
        <v>2449</v>
      </c>
      <c r="BF924" s="48" t="s">
        <v>272</v>
      </c>
      <c r="BG924" s="48" t="s">
        <v>272</v>
      </c>
      <c r="BH924" s="48" t="s">
        <v>2486</v>
      </c>
      <c r="BI924" s="98">
        <v>6.3999999999999997E-6</v>
      </c>
      <c r="BJ924" s="98">
        <v>6.4000000000000001E-2</v>
      </c>
      <c r="BK924" s="48"/>
      <c r="BL924" s="98">
        <f t="shared" si="274"/>
        <v>2.4096723814383521E-3</v>
      </c>
      <c r="BM924" s="47" t="s">
        <v>2487</v>
      </c>
      <c r="BN924" s="48"/>
      <c r="BO924" s="48"/>
      <c r="BP924" s="48"/>
      <c r="BQ924" s="48"/>
      <c r="BR924" s="47" t="s">
        <v>2496</v>
      </c>
      <c r="BS924" s="48"/>
      <c r="BT924" s="48"/>
      <c r="BU924" s="228"/>
      <c r="BV924" s="48"/>
      <c r="BW924" s="48"/>
      <c r="BX924" s="48"/>
      <c r="BY924" s="48"/>
      <c r="BZ924" s="48"/>
      <c r="CA924" s="48"/>
      <c r="CB924" s="48"/>
      <c r="CC924" s="48"/>
      <c r="CD924" s="48"/>
      <c r="CE924" s="48"/>
      <c r="CF924" s="48"/>
      <c r="CG924" s="48"/>
      <c r="CH924" s="48"/>
      <c r="CI924" s="98"/>
      <c r="CJ924" s="98"/>
      <c r="CK924" s="49">
        <f t="shared" si="270"/>
        <v>3.7651130959974251E-2</v>
      </c>
      <c r="CL924" s="229"/>
      <c r="CM924" s="229"/>
      <c r="CN924" s="229"/>
      <c r="CO924" s="47" t="s">
        <v>2488</v>
      </c>
      <c r="CP924" s="47" t="s">
        <v>2489</v>
      </c>
      <c r="CQ924" s="224" t="s">
        <v>272</v>
      </c>
      <c r="CR924" s="224"/>
      <c r="CS924" s="230" t="s">
        <v>539</v>
      </c>
      <c r="CT924" s="230"/>
      <c r="CU924" s="230"/>
      <c r="CV924" s="335">
        <f t="shared" si="273"/>
        <v>2.0597761539943855</v>
      </c>
      <c r="CW924" s="230">
        <f t="shared" si="269"/>
        <v>1</v>
      </c>
      <c r="CX924" s="336"/>
      <c r="CY924" s="230" t="s">
        <v>5921</v>
      </c>
    </row>
    <row r="925" spans="1:103" ht="11.25" customHeight="1" x14ac:dyDescent="0.2">
      <c r="A925" s="72">
        <v>923</v>
      </c>
      <c r="B925" s="224">
        <v>905</v>
      </c>
      <c r="C925" s="46" t="s">
        <v>7113</v>
      </c>
      <c r="D925" s="46"/>
      <c r="E925" s="114"/>
      <c r="F925" s="114" t="s">
        <v>2584</v>
      </c>
      <c r="G925" s="225">
        <v>102067</v>
      </c>
      <c r="H925" s="47" t="s">
        <v>2585</v>
      </c>
      <c r="I925" s="47" t="s">
        <v>2585</v>
      </c>
      <c r="J925" s="47" t="s">
        <v>2586</v>
      </c>
      <c r="K925" s="47" t="s">
        <v>300</v>
      </c>
      <c r="L925" s="47"/>
      <c r="M925" s="47"/>
      <c r="N925" s="47"/>
      <c r="O925" s="47"/>
      <c r="P925" s="53"/>
      <c r="Q925" s="53"/>
      <c r="R925" s="53"/>
      <c r="S925" s="53"/>
      <c r="T925" s="48">
        <v>211.26</v>
      </c>
      <c r="U925" s="98">
        <v>74.789359083593681</v>
      </c>
      <c r="V925" s="98">
        <v>0.61109533276531292</v>
      </c>
      <c r="W925" s="98">
        <v>7.2443596007498936</v>
      </c>
      <c r="X925" s="98">
        <v>74.789359083593681</v>
      </c>
      <c r="Y925" s="233">
        <v>9.36</v>
      </c>
      <c r="Z925" s="48">
        <v>2.89</v>
      </c>
      <c r="AA925" s="48"/>
      <c r="AB925" s="48">
        <v>2.72</v>
      </c>
      <c r="AC925" s="48">
        <v>0.59689999999999999</v>
      </c>
      <c r="AD925" s="48">
        <v>2.57</v>
      </c>
      <c r="AE925" s="48">
        <v>2.36</v>
      </c>
      <c r="AF925" s="48">
        <f t="shared" si="268"/>
        <v>2.57</v>
      </c>
      <c r="AG925" s="49">
        <v>3.44</v>
      </c>
      <c r="AH925" s="98">
        <v>7.1200000000000004E-12</v>
      </c>
      <c r="AI925" s="98"/>
      <c r="AJ925" s="483">
        <f t="shared" si="265"/>
        <v>-9.5360863326757954</v>
      </c>
      <c r="AK925" s="483"/>
      <c r="AL925" s="483">
        <f t="shared" si="264"/>
        <v>-9.5360863326757954</v>
      </c>
      <c r="AM925" s="483">
        <v>-12.31105</v>
      </c>
      <c r="AN925" s="226">
        <v>-8.86</v>
      </c>
      <c r="AO925" s="484"/>
      <c r="AP925" s="484">
        <v>10.119999999999999</v>
      </c>
      <c r="AQ925" s="48" t="s">
        <v>6311</v>
      </c>
      <c r="AR925" s="48" t="s">
        <v>6311</v>
      </c>
      <c r="AS925" s="227"/>
      <c r="AT925" s="50" t="s">
        <v>266</v>
      </c>
      <c r="AU925" s="48">
        <v>6</v>
      </c>
      <c r="AV925" s="48">
        <v>120</v>
      </c>
      <c r="AW925" s="48">
        <v>114</v>
      </c>
      <c r="AX925" s="48">
        <v>28</v>
      </c>
      <c r="AY925" s="48" t="s">
        <v>8728</v>
      </c>
      <c r="AZ925" s="48" t="s">
        <v>1563</v>
      </c>
      <c r="BA925" s="48">
        <v>32</v>
      </c>
      <c r="BB925" s="47" t="s">
        <v>2485</v>
      </c>
      <c r="BC925" s="47" t="s">
        <v>8726</v>
      </c>
      <c r="BD925" s="47" t="s">
        <v>8374</v>
      </c>
      <c r="BE925" s="48" t="s">
        <v>2449</v>
      </c>
      <c r="BF925" s="48" t="s">
        <v>272</v>
      </c>
      <c r="BG925" s="48" t="s">
        <v>272</v>
      </c>
      <c r="BH925" s="48" t="s">
        <v>2486</v>
      </c>
      <c r="BI925" s="98">
        <v>6.3999999999999997E-6</v>
      </c>
      <c r="BJ925" s="98">
        <v>6.4000000000000001E-2</v>
      </c>
      <c r="BK925" s="48"/>
      <c r="BL925" s="98">
        <f t="shared" si="274"/>
        <v>0.130404026090681</v>
      </c>
      <c r="BM925" s="47" t="s">
        <v>2487</v>
      </c>
      <c r="BN925" s="48"/>
      <c r="BO925" s="48"/>
      <c r="BP925" s="48"/>
      <c r="BQ925" s="48"/>
      <c r="BR925" s="47" t="s">
        <v>2496</v>
      </c>
      <c r="BS925" s="48"/>
      <c r="BT925" s="48"/>
      <c r="BU925" s="228">
        <v>6.3999999999999997E-5</v>
      </c>
      <c r="BV925" s="48"/>
      <c r="BW925" s="48"/>
      <c r="BX925" s="48"/>
      <c r="BY925" s="48"/>
      <c r="BZ925" s="48"/>
      <c r="CA925" s="48"/>
      <c r="CB925" s="48"/>
      <c r="CC925" s="48"/>
      <c r="CD925" s="48"/>
      <c r="CE925" s="48"/>
      <c r="CF925" s="48"/>
      <c r="CG925" s="48"/>
      <c r="CH925" s="48"/>
      <c r="CI925" s="98" t="s">
        <v>6345</v>
      </c>
      <c r="CJ925" s="98"/>
      <c r="CK925" s="49">
        <f t="shared" si="270"/>
        <v>2.0375629076668904</v>
      </c>
      <c r="CL925" s="229"/>
      <c r="CM925" s="229"/>
      <c r="CN925" s="229"/>
      <c r="CO925" s="47" t="s">
        <v>2488</v>
      </c>
      <c r="CP925" s="47" t="s">
        <v>2489</v>
      </c>
      <c r="CQ925" s="224" t="s">
        <v>272</v>
      </c>
      <c r="CR925" s="224"/>
      <c r="CS925" s="230" t="s">
        <v>539</v>
      </c>
      <c r="CT925" s="230"/>
      <c r="CU925" s="230"/>
      <c r="CV925" s="335">
        <f t="shared" si="273"/>
        <v>1168.5837356811512</v>
      </c>
      <c r="CW925" s="230">
        <f t="shared" si="269"/>
        <v>1</v>
      </c>
      <c r="CX925" s="336"/>
      <c r="CY925" s="230" t="s">
        <v>6351</v>
      </c>
    </row>
    <row r="926" spans="1:103" ht="11.25" customHeight="1" x14ac:dyDescent="0.2">
      <c r="A926" s="72">
        <v>924</v>
      </c>
      <c r="B926" s="224">
        <v>1763</v>
      </c>
      <c r="C926" s="46" t="s">
        <v>7114</v>
      </c>
      <c r="D926" s="46"/>
      <c r="E926" s="114"/>
      <c r="F926" s="114" t="s">
        <v>5080</v>
      </c>
      <c r="G926" s="225">
        <v>102272</v>
      </c>
      <c r="H926" s="47" t="s">
        <v>5081</v>
      </c>
      <c r="I926" s="47" t="s">
        <v>5081</v>
      </c>
      <c r="J926" s="47" t="s">
        <v>5082</v>
      </c>
      <c r="K926" s="47" t="s">
        <v>426</v>
      </c>
      <c r="L926" s="47" t="s">
        <v>6025</v>
      </c>
      <c r="M926" s="47" t="s">
        <v>6082</v>
      </c>
      <c r="N926" s="47"/>
      <c r="O926" s="47" t="s">
        <v>6083</v>
      </c>
      <c r="P926" s="53"/>
      <c r="Q926" s="53" t="s">
        <v>6173</v>
      </c>
      <c r="R926" s="53" t="s">
        <v>6185</v>
      </c>
      <c r="S926" s="53" t="s">
        <v>6176</v>
      </c>
      <c r="T926" s="48">
        <v>135.21</v>
      </c>
      <c r="U926" s="98"/>
      <c r="V926" s="98">
        <v>3.4561053176540195</v>
      </c>
      <c r="W926" s="98">
        <v>6.4565422903465528</v>
      </c>
      <c r="X926" s="98">
        <f>IF(W926=0,V926,W926)</f>
        <v>6.4565422903465528</v>
      </c>
      <c r="Y926" s="233">
        <v>8.5399999999999991</v>
      </c>
      <c r="Z926" s="48">
        <v>2.66</v>
      </c>
      <c r="AA926" s="48"/>
      <c r="AB926" s="48">
        <v>2.38</v>
      </c>
      <c r="AC926" s="48">
        <v>0.96040000000000003</v>
      </c>
      <c r="AD926" s="48">
        <v>2.42</v>
      </c>
      <c r="AE926" s="48">
        <v>2.59</v>
      </c>
      <c r="AF926" s="48">
        <f t="shared" si="268"/>
        <v>2.42</v>
      </c>
      <c r="AG926" s="49">
        <v>2.6</v>
      </c>
      <c r="AH926" s="98">
        <v>6.1199999999999999E-6</v>
      </c>
      <c r="AI926" s="98"/>
      <c r="AJ926" s="483">
        <f t="shared" si="265"/>
        <v>-3.6018149041670906</v>
      </c>
      <c r="AK926" s="483"/>
      <c r="AL926" s="483">
        <f t="shared" si="264"/>
        <v>-3.6018149041670906</v>
      </c>
      <c r="AM926" s="483">
        <v>-5.3623900000000004</v>
      </c>
      <c r="AN926" s="226">
        <v>-3.33</v>
      </c>
      <c r="AO926" s="484"/>
      <c r="AP926" s="484">
        <v>5.27</v>
      </c>
      <c r="AQ926" s="226" t="s">
        <v>6311</v>
      </c>
      <c r="AR926" s="226" t="s">
        <v>6311</v>
      </c>
      <c r="AS926" s="224"/>
      <c r="AT926" s="50" t="s">
        <v>266</v>
      </c>
      <c r="AU926" s="48">
        <v>6</v>
      </c>
      <c r="AV926" s="48">
        <v>120</v>
      </c>
      <c r="AW926" s="48">
        <v>114</v>
      </c>
      <c r="AX926" s="48">
        <v>28</v>
      </c>
      <c r="AY926" s="48" t="s">
        <v>8728</v>
      </c>
      <c r="AZ926" s="48" t="s">
        <v>1563</v>
      </c>
      <c r="BA926" s="48">
        <v>32</v>
      </c>
      <c r="BB926" s="47" t="s">
        <v>2485</v>
      </c>
      <c r="BC926" s="47" t="s">
        <v>8726</v>
      </c>
      <c r="BD926" s="47" t="s">
        <v>8374</v>
      </c>
      <c r="BE926" s="48" t="s">
        <v>2449</v>
      </c>
      <c r="BF926" s="48" t="s">
        <v>272</v>
      </c>
      <c r="BG926" s="48" t="s">
        <v>272</v>
      </c>
      <c r="BH926" s="48" t="s">
        <v>2486</v>
      </c>
      <c r="BI926" s="98">
        <v>6.3999999999999997E-6</v>
      </c>
      <c r="BJ926" s="98">
        <v>6.4000000000000001E-2</v>
      </c>
      <c r="BK926" s="48"/>
      <c r="BL926" s="98">
        <f t="shared" si="274"/>
        <v>0.20982343860140321</v>
      </c>
      <c r="BM926" s="47" t="s">
        <v>2487</v>
      </c>
      <c r="BN926" s="48"/>
      <c r="BO926" s="48"/>
      <c r="BP926" s="48"/>
      <c r="BQ926" s="48"/>
      <c r="BR926" s="47" t="s">
        <v>2496</v>
      </c>
      <c r="BS926" s="48"/>
      <c r="BT926" s="48"/>
      <c r="BU926" s="228"/>
      <c r="BV926" s="48"/>
      <c r="BW926" s="48"/>
      <c r="BX926" s="48"/>
      <c r="BY926" s="48"/>
      <c r="BZ926" s="48"/>
      <c r="CA926" s="48"/>
      <c r="CB926" s="48"/>
      <c r="CC926" s="48"/>
      <c r="CD926" s="48"/>
      <c r="CE926" s="48"/>
      <c r="CF926" s="48"/>
      <c r="CG926" s="48"/>
      <c r="CH926" s="48"/>
      <c r="CI926" s="98"/>
      <c r="CJ926" s="98"/>
      <c r="CK926" s="49">
        <f t="shared" si="270"/>
        <v>3.2784912281469252</v>
      </c>
      <c r="CL926" s="229"/>
      <c r="CM926" s="229"/>
      <c r="CN926" s="229"/>
      <c r="CO926" s="47" t="s">
        <v>2488</v>
      </c>
      <c r="CP926" s="47" t="s">
        <v>2489</v>
      </c>
      <c r="CQ926" s="224">
        <v>-0.43992732066767148</v>
      </c>
      <c r="CR926" s="224">
        <f>10^(CJ926-CQ926)</f>
        <v>2.7537678207739309</v>
      </c>
      <c r="CS926" s="230" t="s">
        <v>539</v>
      </c>
      <c r="CT926" s="230"/>
      <c r="CU926" s="230"/>
      <c r="CV926" s="335">
        <f t="shared" si="273"/>
        <v>100.88347328666488</v>
      </c>
      <c r="CW926" s="230">
        <f t="shared" si="269"/>
        <v>1</v>
      </c>
      <c r="CX926" s="336"/>
      <c r="CY926" s="230" t="s">
        <v>5921</v>
      </c>
    </row>
    <row r="927" spans="1:103" ht="11.25" customHeight="1" x14ac:dyDescent="0.2">
      <c r="A927" s="72">
        <v>925</v>
      </c>
      <c r="B927" s="224">
        <v>1789</v>
      </c>
      <c r="C927" s="46" t="s">
        <v>7115</v>
      </c>
      <c r="D927" s="46"/>
      <c r="E927" s="114"/>
      <c r="F927" s="114" t="s">
        <v>5144</v>
      </c>
      <c r="G927" s="225">
        <v>102603</v>
      </c>
      <c r="H927" s="47" t="s">
        <v>5145</v>
      </c>
      <c r="I927" s="47" t="s">
        <v>5145</v>
      </c>
      <c r="J927" s="47" t="s">
        <v>5146</v>
      </c>
      <c r="K927" s="47" t="s">
        <v>300</v>
      </c>
      <c r="L927" s="47"/>
      <c r="M927" s="47"/>
      <c r="N927" s="47"/>
      <c r="O927" s="47"/>
      <c r="P927" s="53"/>
      <c r="Q927" s="53"/>
      <c r="R927" s="53"/>
      <c r="S927" s="53"/>
      <c r="T927" s="48">
        <v>292.42</v>
      </c>
      <c r="U927" s="98">
        <v>3419.7387319608779</v>
      </c>
      <c r="V927" s="98">
        <v>3419.7387319608779</v>
      </c>
      <c r="W927" s="98">
        <v>257.03957827688635</v>
      </c>
      <c r="X927" s="98">
        <v>3419.7387319608779</v>
      </c>
      <c r="Y927" s="233">
        <v>10.63</v>
      </c>
      <c r="Z927" s="48">
        <v>-2.08</v>
      </c>
      <c r="AA927" s="48"/>
      <c r="AB927" s="48">
        <v>-0.87</v>
      </c>
      <c r="AC927" s="48">
        <v>0.73219999999999996</v>
      </c>
      <c r="AD927" s="48">
        <v>-0.52</v>
      </c>
      <c r="AE927" s="48">
        <v>0.13</v>
      </c>
      <c r="AF927" s="48">
        <f t="shared" si="268"/>
        <v>-0.52</v>
      </c>
      <c r="AG927" s="49">
        <v>-0.4</v>
      </c>
      <c r="AH927" s="98">
        <v>4.1499999999999999E-16</v>
      </c>
      <c r="AI927" s="98"/>
      <c r="AJ927" s="483">
        <f t="shared" si="265"/>
        <v>-13.77051822960056</v>
      </c>
      <c r="AK927" s="483"/>
      <c r="AL927" s="483">
        <f t="shared" ref="AL927:AL990" si="275">IF(AK927=0,AJ927,AK927)</f>
        <v>-13.77051822960056</v>
      </c>
      <c r="AM927" s="483">
        <v>-22.148489999999999</v>
      </c>
      <c r="AN927" s="226">
        <v>-17.7</v>
      </c>
      <c r="AO927" s="484">
        <v>14.23</v>
      </c>
      <c r="AP927" s="484">
        <v>8.6300000000000008</v>
      </c>
      <c r="AQ927" s="226" t="s">
        <v>6311</v>
      </c>
      <c r="AR927" s="226" t="s">
        <v>6311</v>
      </c>
      <c r="AS927" s="224"/>
      <c r="AT927" s="50" t="s">
        <v>266</v>
      </c>
      <c r="AU927" s="48">
        <v>6</v>
      </c>
      <c r="AV927" s="48">
        <v>120</v>
      </c>
      <c r="AW927" s="48">
        <v>114</v>
      </c>
      <c r="AX927" s="48">
        <v>28</v>
      </c>
      <c r="AY927" s="48" t="s">
        <v>8728</v>
      </c>
      <c r="AZ927" s="48" t="s">
        <v>1563</v>
      </c>
      <c r="BA927" s="48">
        <v>32</v>
      </c>
      <c r="BB927" s="47" t="s">
        <v>2485</v>
      </c>
      <c r="BC927" s="47" t="s">
        <v>8726</v>
      </c>
      <c r="BD927" s="47" t="s">
        <v>8374</v>
      </c>
      <c r="BE927" s="48" t="s">
        <v>2449</v>
      </c>
      <c r="BF927" s="48" t="s">
        <v>272</v>
      </c>
      <c r="BG927" s="48" t="s">
        <v>272</v>
      </c>
      <c r="BH927" s="48" t="s">
        <v>2486</v>
      </c>
      <c r="BI927" s="98">
        <v>6.3999999999999997E-6</v>
      </c>
      <c r="BJ927" s="98">
        <v>6.4000000000000001E-2</v>
      </c>
      <c r="BK927" s="48"/>
      <c r="BL927" s="98">
        <f t="shared" si="274"/>
        <v>3791.8225063852456</v>
      </c>
      <c r="BM927" s="47" t="s">
        <v>2487</v>
      </c>
      <c r="BN927" s="48"/>
      <c r="BO927" s="48"/>
      <c r="BP927" s="48"/>
      <c r="BQ927" s="48"/>
      <c r="BR927" s="47" t="s">
        <v>2496</v>
      </c>
      <c r="BS927" s="48"/>
      <c r="BT927" s="48"/>
      <c r="BU927" s="228"/>
      <c r="BV927" s="48"/>
      <c r="BW927" s="48"/>
      <c r="BX927" s="48"/>
      <c r="BY927" s="48"/>
      <c r="BZ927" s="48"/>
      <c r="CA927" s="48"/>
      <c r="CB927" s="48"/>
      <c r="CC927" s="48"/>
      <c r="CD927" s="48"/>
      <c r="CE927" s="48"/>
      <c r="CF927" s="48"/>
      <c r="CG927" s="48"/>
      <c r="CH927" s="48"/>
      <c r="CI927" s="98"/>
      <c r="CJ927" s="98"/>
      <c r="CK927" s="49">
        <f t="shared" si="270"/>
        <v>59247.226662269459</v>
      </c>
      <c r="CL927" s="229"/>
      <c r="CM927" s="229"/>
      <c r="CN927" s="229"/>
      <c r="CO927" s="47" t="s">
        <v>2488</v>
      </c>
      <c r="CP927" s="47" t="s">
        <v>2489</v>
      </c>
      <c r="CQ927" s="224" t="s">
        <v>272</v>
      </c>
      <c r="CR927" s="224"/>
      <c r="CS927" s="230" t="s">
        <v>539</v>
      </c>
      <c r="CT927" s="230"/>
      <c r="CU927" s="230"/>
      <c r="CV927" s="335">
        <f t="shared" si="273"/>
        <v>53433.417686888715</v>
      </c>
      <c r="CW927" s="230">
        <f t="shared" si="269"/>
        <v>1</v>
      </c>
      <c r="CX927" s="336"/>
      <c r="CY927" s="230" t="s">
        <v>6351</v>
      </c>
    </row>
    <row r="928" spans="1:103" ht="11.25" customHeight="1" x14ac:dyDescent="0.2">
      <c r="A928" s="72">
        <v>926</v>
      </c>
      <c r="B928" s="224">
        <v>1333</v>
      </c>
      <c r="C928" s="46" t="s">
        <v>7116</v>
      </c>
      <c r="D928" s="46"/>
      <c r="E928" s="114"/>
      <c r="F928" s="114" t="s">
        <v>4142</v>
      </c>
      <c r="G928" s="225">
        <v>102658</v>
      </c>
      <c r="H928" s="47" t="s">
        <v>4143</v>
      </c>
      <c r="I928" s="47" t="s">
        <v>8026</v>
      </c>
      <c r="J928" s="47" t="s">
        <v>4144</v>
      </c>
      <c r="K928" s="47" t="s">
        <v>3315</v>
      </c>
      <c r="L928" s="47"/>
      <c r="M928" s="47"/>
      <c r="N928" s="47"/>
      <c r="O928" s="47"/>
      <c r="P928" s="53"/>
      <c r="Q928" s="53"/>
      <c r="R928" s="53"/>
      <c r="S928" s="53"/>
      <c r="T928" s="48">
        <v>284.72000000000003</v>
      </c>
      <c r="U928" s="98"/>
      <c r="V928" s="98">
        <v>28.923152570946893</v>
      </c>
      <c r="W928" s="98">
        <v>1.4125375446227526</v>
      </c>
      <c r="X928" s="98">
        <f>IF(W928=0,V928,W928)</f>
        <v>1.4125375446227526</v>
      </c>
      <c r="Y928" s="233">
        <v>3.9</v>
      </c>
      <c r="Z928" s="48">
        <v>0.31</v>
      </c>
      <c r="AA928" s="48"/>
      <c r="AB928" s="48">
        <v>1.23</v>
      </c>
      <c r="AC928" s="48">
        <v>0.85089999999999999</v>
      </c>
      <c r="AD928" s="48">
        <v>1.25</v>
      </c>
      <c r="AE928" s="48">
        <v>1.33</v>
      </c>
      <c r="AF928" s="48">
        <f t="shared" si="268"/>
        <v>1.25</v>
      </c>
      <c r="AG928" s="49">
        <v>2.77</v>
      </c>
      <c r="AH928" s="98">
        <v>2.0900000000000002E-12</v>
      </c>
      <c r="AI928" s="98"/>
      <c r="AJ928" s="483">
        <f t="shared" si="265"/>
        <v>-10.068420040201598</v>
      </c>
      <c r="AK928" s="483"/>
      <c r="AL928" s="483">
        <f t="shared" si="275"/>
        <v>-10.068420040201598</v>
      </c>
      <c r="AM928" s="483">
        <v>-19.053699999999999</v>
      </c>
      <c r="AN928" s="226">
        <v>-9.35</v>
      </c>
      <c r="AO928" s="484">
        <v>4.83</v>
      </c>
      <c r="AP928" s="484">
        <v>1.1200000000000001</v>
      </c>
      <c r="AQ928" s="48" t="s">
        <v>6311</v>
      </c>
      <c r="AR928" s="48" t="s">
        <v>6311</v>
      </c>
      <c r="AS928" s="224" t="s">
        <v>1154</v>
      </c>
      <c r="AT928" s="50" t="s">
        <v>266</v>
      </c>
      <c r="AU928" s="48">
        <v>0</v>
      </c>
      <c r="AV928" s="48">
        <v>144</v>
      </c>
      <c r="AW928" s="48">
        <v>144</v>
      </c>
      <c r="AX928" s="48">
        <v>25</v>
      </c>
      <c r="AY928" s="48" t="s">
        <v>8722</v>
      </c>
      <c r="AZ928" s="48" t="s">
        <v>2175</v>
      </c>
      <c r="BA928" s="48" t="s">
        <v>8722</v>
      </c>
      <c r="BB928" s="47" t="s">
        <v>2176</v>
      </c>
      <c r="BC928" s="47" t="s">
        <v>538</v>
      </c>
      <c r="BD928" s="47"/>
      <c r="BE928" s="48" t="s">
        <v>271</v>
      </c>
      <c r="BF928" s="48" t="s">
        <v>1974</v>
      </c>
      <c r="BG928" s="48" t="s">
        <v>1974</v>
      </c>
      <c r="BH928" s="48" t="s">
        <v>2177</v>
      </c>
      <c r="BI928" s="98" t="s">
        <v>4137</v>
      </c>
      <c r="BJ928" s="98">
        <f>10/T928</f>
        <v>3.5122225344197802E-2</v>
      </c>
      <c r="BK928" s="48" t="s">
        <v>2178</v>
      </c>
      <c r="BL928" s="98">
        <f t="shared" si="274"/>
        <v>27.063813997622262</v>
      </c>
      <c r="BM928" s="48" t="s">
        <v>541</v>
      </c>
      <c r="BN928" s="48"/>
      <c r="BO928" s="48"/>
      <c r="BP928" s="48"/>
      <c r="BQ928" s="48"/>
      <c r="BR928" s="48"/>
      <c r="BS928" s="48"/>
      <c r="BT928" s="48"/>
      <c r="BU928" s="228"/>
      <c r="BV928" s="48"/>
      <c r="BW928" s="48"/>
      <c r="BX928" s="48"/>
      <c r="BY928" s="48"/>
      <c r="BZ928" s="48"/>
      <c r="CA928" s="48"/>
      <c r="CB928" s="48"/>
      <c r="CC928" s="48"/>
      <c r="CD928" s="48"/>
      <c r="CE928" s="48"/>
      <c r="CF928" s="48"/>
      <c r="CG928" s="48"/>
      <c r="CH928" s="48"/>
      <c r="CI928" s="98"/>
      <c r="CJ928" s="98"/>
      <c r="CK928" s="49">
        <f t="shared" si="270"/>
        <v>770.56091214030118</v>
      </c>
      <c r="CL928" s="229"/>
      <c r="CM928" s="229"/>
      <c r="CN928" s="229"/>
      <c r="CO928" s="47"/>
      <c r="CP928" s="47" t="s">
        <v>2180</v>
      </c>
      <c r="CQ928" s="224" t="s">
        <v>272</v>
      </c>
      <c r="CR928" s="224"/>
      <c r="CS928" s="230" t="s">
        <v>539</v>
      </c>
      <c r="CT928" s="230" t="s">
        <v>6310</v>
      </c>
      <c r="CU928" s="230"/>
      <c r="CV928" s="335">
        <f t="shared" si="273"/>
        <v>40.217768970499016</v>
      </c>
      <c r="CW928" s="230">
        <f t="shared" si="269"/>
        <v>1</v>
      </c>
      <c r="CX928" s="336" t="s">
        <v>539</v>
      </c>
      <c r="CY928" s="230" t="s">
        <v>5921</v>
      </c>
    </row>
    <row r="929" spans="1:103" ht="11.25" customHeight="1" x14ac:dyDescent="0.2">
      <c r="A929" s="72">
        <v>927</v>
      </c>
      <c r="B929" s="224">
        <v>1914</v>
      </c>
      <c r="C929" s="46" t="s">
        <v>7117</v>
      </c>
      <c r="D929" s="46"/>
      <c r="E929" s="114"/>
      <c r="F929" s="114" t="s">
        <v>5382</v>
      </c>
      <c r="G929" s="225">
        <v>102716</v>
      </c>
      <c r="H929" s="47" t="s">
        <v>5383</v>
      </c>
      <c r="I929" s="47" t="s">
        <v>5383</v>
      </c>
      <c r="J929" s="47" t="s">
        <v>5384</v>
      </c>
      <c r="K929" s="47" t="s">
        <v>300</v>
      </c>
      <c r="L929" s="47"/>
      <c r="M929" s="47"/>
      <c r="N929" s="47"/>
      <c r="O929" s="47"/>
      <c r="P929" s="53"/>
      <c r="Q929" s="53" t="s">
        <v>6173</v>
      </c>
      <c r="R929" s="53" t="s">
        <v>6185</v>
      </c>
      <c r="S929" s="53" t="s">
        <v>6182</v>
      </c>
      <c r="T929" s="48">
        <v>149.19</v>
      </c>
      <c r="U929" s="98">
        <v>6702.8621221261483</v>
      </c>
      <c r="V929" s="98">
        <v>6702.8621221261483</v>
      </c>
      <c r="W929" s="98">
        <v>6606.9344800759609</v>
      </c>
      <c r="X929" s="98">
        <v>6702.8621221261483</v>
      </c>
      <c r="Y929" s="233">
        <v>10.98</v>
      </c>
      <c r="Z929" s="48">
        <v>-2.48</v>
      </c>
      <c r="AA929" s="48">
        <v>-1</v>
      </c>
      <c r="AB929" s="48">
        <v>-1.05</v>
      </c>
      <c r="AC929" s="48">
        <v>0.75680000000000003</v>
      </c>
      <c r="AD929" s="48">
        <v>-1.07</v>
      </c>
      <c r="AE929" s="48">
        <v>-1.1100000000000001</v>
      </c>
      <c r="AF929" s="48">
        <f t="shared" si="268"/>
        <v>-1</v>
      </c>
      <c r="AG929" s="49">
        <v>-1.37</v>
      </c>
      <c r="AH929" s="98">
        <v>4.1800000000000004E-12</v>
      </c>
      <c r="AI929" s="98">
        <v>7.0500000000000003E-13</v>
      </c>
      <c r="AJ929" s="483">
        <f t="shared" ref="AJ929:AJ992" si="276">LOG10(AH929*1000/(0.08206*298.15))</f>
        <v>-9.7673900445376169</v>
      </c>
      <c r="AK929" s="483">
        <f t="shared" ref="AK929:AK934" si="277">LOG10(AI929*1000/(0.08206*298.15))</f>
        <v>-10.540377209321253</v>
      </c>
      <c r="AL929" s="483">
        <f t="shared" si="275"/>
        <v>-10.540377209321253</v>
      </c>
      <c r="AM929" s="483">
        <v>-14.10375</v>
      </c>
      <c r="AN929" s="226">
        <v>-16.399999999999999</v>
      </c>
      <c r="AO929" s="484">
        <v>14.17</v>
      </c>
      <c r="AP929" s="484">
        <v>7.77</v>
      </c>
      <c r="AQ929" s="226" t="s">
        <v>6311</v>
      </c>
      <c r="AR929" s="226" t="s">
        <v>6311</v>
      </c>
      <c r="AS929" s="224"/>
      <c r="AT929" s="50" t="s">
        <v>266</v>
      </c>
      <c r="AU929" s="48">
        <v>6</v>
      </c>
      <c r="AV929" s="48">
        <v>120</v>
      </c>
      <c r="AW929" s="48">
        <v>114</v>
      </c>
      <c r="AX929" s="48">
        <v>28</v>
      </c>
      <c r="AY929" s="48" t="s">
        <v>8728</v>
      </c>
      <c r="AZ929" s="48" t="s">
        <v>1563</v>
      </c>
      <c r="BA929" s="48">
        <v>32</v>
      </c>
      <c r="BB929" s="47" t="s">
        <v>2485</v>
      </c>
      <c r="BC929" s="47" t="s">
        <v>8726</v>
      </c>
      <c r="BD929" s="47" t="s">
        <v>8374</v>
      </c>
      <c r="BE929" s="48" t="s">
        <v>2449</v>
      </c>
      <c r="BF929" s="48" t="s">
        <v>272</v>
      </c>
      <c r="BG929" s="48" t="s">
        <v>272</v>
      </c>
      <c r="BH929" s="48" t="s">
        <v>2486</v>
      </c>
      <c r="BI929" s="98">
        <v>6.3999999999999997E-6</v>
      </c>
      <c r="BJ929" s="98">
        <v>6.4000000000000001E-2</v>
      </c>
      <c r="BK929" s="48"/>
      <c r="BL929" s="98">
        <f t="shared" si="274"/>
        <v>8671.3756386447294</v>
      </c>
      <c r="BM929" s="47" t="s">
        <v>2487</v>
      </c>
      <c r="BN929" s="48"/>
      <c r="BO929" s="48"/>
      <c r="BP929" s="48"/>
      <c r="BQ929" s="48"/>
      <c r="BR929" s="47" t="s">
        <v>2496</v>
      </c>
      <c r="BS929" s="48"/>
      <c r="BT929" s="48"/>
      <c r="BU929" s="228"/>
      <c r="BV929" s="48"/>
      <c r="BW929" s="48"/>
      <c r="BX929" s="48"/>
      <c r="BY929" s="48"/>
      <c r="BZ929" s="48"/>
      <c r="CA929" s="48"/>
      <c r="CB929" s="48"/>
      <c r="CC929" s="48"/>
      <c r="CD929" s="48"/>
      <c r="CE929" s="48"/>
      <c r="CF929" s="48"/>
      <c r="CG929" s="48"/>
      <c r="CH929" s="48"/>
      <c r="CI929" s="98"/>
      <c r="CJ929" s="98"/>
      <c r="CK929" s="49">
        <f t="shared" si="270"/>
        <v>135490.24435382389</v>
      </c>
      <c r="CL929" s="229"/>
      <c r="CM929" s="229"/>
      <c r="CN929" s="229"/>
      <c r="CO929" s="47" t="s">
        <v>2488</v>
      </c>
      <c r="CP929" s="47" t="s">
        <v>2489</v>
      </c>
      <c r="CQ929" s="224">
        <v>1.898142293354238</v>
      </c>
      <c r="CR929" s="224">
        <f>10^(CJ929-CQ929)</f>
        <v>1.2643220338983045E-2</v>
      </c>
      <c r="CS929" s="230" t="s">
        <v>539</v>
      </c>
      <c r="CT929" s="230"/>
      <c r="CU929" s="230"/>
      <c r="CV929" s="335">
        <f t="shared" si="273"/>
        <v>104732.22065822106</v>
      </c>
      <c r="CW929" s="230">
        <f t="shared" si="269"/>
        <v>1</v>
      </c>
      <c r="CX929" s="336"/>
      <c r="CY929" s="230" t="s">
        <v>6351</v>
      </c>
    </row>
    <row r="930" spans="1:103" ht="11.25" customHeight="1" x14ac:dyDescent="0.2">
      <c r="A930" s="72">
        <v>928</v>
      </c>
      <c r="B930" s="224">
        <v>1303</v>
      </c>
      <c r="C930" s="46" t="s">
        <v>7118</v>
      </c>
      <c r="D930" s="46"/>
      <c r="E930" s="114"/>
      <c r="F930" s="114" t="s">
        <v>3572</v>
      </c>
      <c r="G930" s="225">
        <v>102761</v>
      </c>
      <c r="H930" s="47" t="s">
        <v>3573</v>
      </c>
      <c r="I930" s="47" t="s">
        <v>3573</v>
      </c>
      <c r="J930" s="47" t="s">
        <v>3574</v>
      </c>
      <c r="K930" s="47" t="s">
        <v>357</v>
      </c>
      <c r="L930" s="47"/>
      <c r="M930" s="47"/>
      <c r="N930" s="47"/>
      <c r="O930" s="47"/>
      <c r="P930" s="53"/>
      <c r="Q930" s="53"/>
      <c r="R930" s="53"/>
      <c r="S930" s="53"/>
      <c r="T930" s="48">
        <v>218.2</v>
      </c>
      <c r="U930" s="98">
        <v>265.81118240146657</v>
      </c>
      <c r="V930" s="98">
        <v>98.625114573785524</v>
      </c>
      <c r="W930" s="98">
        <v>186.20871366628671</v>
      </c>
      <c r="X930" s="98">
        <v>265.81118240146657</v>
      </c>
      <c r="Y930" s="233">
        <v>7</v>
      </c>
      <c r="Z930" s="48">
        <v>0.36</v>
      </c>
      <c r="AA930" s="48">
        <v>0.25</v>
      </c>
      <c r="AB930" s="48">
        <v>0.54</v>
      </c>
      <c r="AC930" s="48">
        <v>0.87980000000000003</v>
      </c>
      <c r="AD930" s="48">
        <v>0.35</v>
      </c>
      <c r="AE930" s="48">
        <v>-0.24</v>
      </c>
      <c r="AF930" s="48">
        <f t="shared" si="268"/>
        <v>0.25</v>
      </c>
      <c r="AG930" s="49">
        <v>0.03</v>
      </c>
      <c r="AH930" s="98">
        <v>1.75E-9</v>
      </c>
      <c r="AI930" s="98">
        <v>1.2299999999999999E-8</v>
      </c>
      <c r="AJ930" s="483">
        <f t="shared" si="276"/>
        <v>-7.1455282776263571</v>
      </c>
      <c r="AK930" s="483">
        <f t="shared" si="277"/>
        <v>-6.2986612148732544</v>
      </c>
      <c r="AL930" s="483">
        <f t="shared" si="275"/>
        <v>-6.2986612148732544</v>
      </c>
      <c r="AM930" s="483">
        <v>-9.0467999999999993</v>
      </c>
      <c r="AN930" s="226">
        <v>-6.81</v>
      </c>
      <c r="AO930" s="484"/>
      <c r="AP930" s="484"/>
      <c r="AQ930" s="48" t="s">
        <v>6311</v>
      </c>
      <c r="AR930" s="48" t="s">
        <v>6312</v>
      </c>
      <c r="AS930" s="227"/>
      <c r="AT930" s="50" t="s">
        <v>266</v>
      </c>
      <c r="AU930" s="48">
        <v>6</v>
      </c>
      <c r="AV930" s="48">
        <v>120</v>
      </c>
      <c r="AW930" s="48">
        <v>114</v>
      </c>
      <c r="AX930" s="48">
        <v>28</v>
      </c>
      <c r="AY930" s="48" t="s">
        <v>8728</v>
      </c>
      <c r="AZ930" s="48" t="s">
        <v>1563</v>
      </c>
      <c r="BA930" s="48">
        <v>32</v>
      </c>
      <c r="BB930" s="47" t="s">
        <v>2485</v>
      </c>
      <c r="BC930" s="47" t="s">
        <v>8726</v>
      </c>
      <c r="BD930" s="47" t="s">
        <v>8374</v>
      </c>
      <c r="BE930" s="48" t="s">
        <v>2449</v>
      </c>
      <c r="BF930" s="48" t="s">
        <v>272</v>
      </c>
      <c r="BG930" s="48" t="s">
        <v>272</v>
      </c>
      <c r="BH930" s="48" t="s">
        <v>2486</v>
      </c>
      <c r="BI930" s="98">
        <v>6.3999999999999997E-6</v>
      </c>
      <c r="BJ930" s="98">
        <v>6.4000000000000001E-2</v>
      </c>
      <c r="BK930" s="48"/>
      <c r="BL930" s="98">
        <f t="shared" si="274"/>
        <v>24.405291539689305</v>
      </c>
      <c r="BM930" s="47" t="s">
        <v>2487</v>
      </c>
      <c r="BN930" s="48"/>
      <c r="BO930" s="48"/>
      <c r="BP930" s="48"/>
      <c r="BQ930" s="48"/>
      <c r="BR930" s="47" t="s">
        <v>2496</v>
      </c>
      <c r="BS930" s="48"/>
      <c r="BT930" s="48"/>
      <c r="BU930" s="228">
        <v>6.4000000000000001E-2</v>
      </c>
      <c r="BV930" s="48"/>
      <c r="BW930" s="48"/>
      <c r="BX930" s="48"/>
      <c r="BY930" s="48"/>
      <c r="BZ930" s="48"/>
      <c r="CA930" s="48"/>
      <c r="CB930" s="48"/>
      <c r="CC930" s="48"/>
      <c r="CD930" s="48"/>
      <c r="CE930" s="48"/>
      <c r="CF930" s="48"/>
      <c r="CG930" s="48"/>
      <c r="CH930" s="48"/>
      <c r="CI930" s="98"/>
      <c r="CJ930" s="98"/>
      <c r="CK930" s="49">
        <f t="shared" si="270"/>
        <v>381.33268030764538</v>
      </c>
      <c r="CL930" s="229"/>
      <c r="CM930" s="229"/>
      <c r="CN930" s="229"/>
      <c r="CO930" s="47" t="s">
        <v>2488</v>
      </c>
      <c r="CP930" s="47" t="s">
        <v>2489</v>
      </c>
      <c r="CQ930" s="224" t="s">
        <v>272</v>
      </c>
      <c r="CR930" s="224"/>
      <c r="CS930" s="230" t="s">
        <v>539</v>
      </c>
      <c r="CT930" s="230"/>
      <c r="CU930" s="230"/>
      <c r="CV930" s="335">
        <f t="shared" si="273"/>
        <v>4153.2997250229146</v>
      </c>
      <c r="CW930" s="230">
        <f t="shared" si="269"/>
        <v>1</v>
      </c>
      <c r="CX930" s="336"/>
      <c r="CY930" s="230" t="s">
        <v>6351</v>
      </c>
    </row>
    <row r="931" spans="1:103" ht="11.25" customHeight="1" x14ac:dyDescent="0.2">
      <c r="A931" s="72">
        <v>929</v>
      </c>
      <c r="B931" s="224">
        <v>1910</v>
      </c>
      <c r="C931" s="46" t="s">
        <v>7119</v>
      </c>
      <c r="D931" s="46"/>
      <c r="E931" s="114"/>
      <c r="F931" s="114" t="s">
        <v>880</v>
      </c>
      <c r="G931" s="225">
        <v>102829</v>
      </c>
      <c r="H931" s="47" t="s">
        <v>881</v>
      </c>
      <c r="I931" s="47" t="s">
        <v>881</v>
      </c>
      <c r="J931" s="47" t="s">
        <v>882</v>
      </c>
      <c r="K931" s="47" t="s">
        <v>300</v>
      </c>
      <c r="L931" s="47" t="s">
        <v>5527</v>
      </c>
      <c r="M931" s="47" t="s">
        <v>5960</v>
      </c>
      <c r="N931" s="47"/>
      <c r="O931" s="47"/>
      <c r="P931" s="53"/>
      <c r="Q931" s="53"/>
      <c r="R931" s="53"/>
      <c r="S931" s="53"/>
      <c r="T931" s="48">
        <v>185.35</v>
      </c>
      <c r="U931" s="98">
        <v>0.76611815484219048</v>
      </c>
      <c r="V931" s="98">
        <v>0.44364715403291072</v>
      </c>
      <c r="W931" s="98">
        <v>1.995262314968878</v>
      </c>
      <c r="X931" s="98">
        <v>0.76611815484219048</v>
      </c>
      <c r="Y931" s="233">
        <v>10.59</v>
      </c>
      <c r="Z931" s="48">
        <v>4.46</v>
      </c>
      <c r="AA931" s="48"/>
      <c r="AB931" s="48">
        <v>3.88</v>
      </c>
      <c r="AC931" s="48">
        <v>0.83279999999999998</v>
      </c>
      <c r="AD931" s="48">
        <v>4.16</v>
      </c>
      <c r="AE931" s="48">
        <v>4.84</v>
      </c>
      <c r="AF931" s="48">
        <f t="shared" si="268"/>
        <v>4.16</v>
      </c>
      <c r="AG931" s="49">
        <v>3.83</v>
      </c>
      <c r="AH931" s="98">
        <v>4.6799999999999999E-4</v>
      </c>
      <c r="AI931" s="98">
        <v>1.6000000000000001E-4</v>
      </c>
      <c r="AJ931" s="483">
        <f t="shared" si="276"/>
        <v>-1.7183204732385278</v>
      </c>
      <c r="AK931" s="483">
        <f t="shared" si="277"/>
        <v>-2.184446343656727</v>
      </c>
      <c r="AL931" s="483">
        <f t="shared" si="275"/>
        <v>-2.184446343656727</v>
      </c>
      <c r="AM931" s="483">
        <v>-3.9047200000000002</v>
      </c>
      <c r="AN931" s="226">
        <v>-1.1100000000000001</v>
      </c>
      <c r="AO931" s="484"/>
      <c r="AP931" s="484">
        <v>9.99</v>
      </c>
      <c r="AQ931" s="226" t="s">
        <v>6311</v>
      </c>
      <c r="AR931" s="226" t="s">
        <v>6311</v>
      </c>
      <c r="AS931" s="224"/>
      <c r="AT931" s="50" t="s">
        <v>266</v>
      </c>
      <c r="AU931" s="48">
        <v>6</v>
      </c>
      <c r="AV931" s="48">
        <v>120</v>
      </c>
      <c r="AW931" s="48">
        <v>114</v>
      </c>
      <c r="AX931" s="48">
        <v>28</v>
      </c>
      <c r="AY931" s="48" t="s">
        <v>8728</v>
      </c>
      <c r="AZ931" s="48" t="s">
        <v>1563</v>
      </c>
      <c r="BA931" s="48">
        <v>32</v>
      </c>
      <c r="BB931" s="47" t="s">
        <v>2485</v>
      </c>
      <c r="BC931" s="47" t="s">
        <v>8726</v>
      </c>
      <c r="BD931" s="47" t="s">
        <v>8374</v>
      </c>
      <c r="BE931" s="48" t="s">
        <v>2449</v>
      </c>
      <c r="BF931" s="48" t="s">
        <v>272</v>
      </c>
      <c r="BG931" s="48" t="s">
        <v>272</v>
      </c>
      <c r="BH931" s="48" t="s">
        <v>2486</v>
      </c>
      <c r="BI931" s="98">
        <v>6.3999999999999997E-6</v>
      </c>
      <c r="BJ931" s="98">
        <v>6.4000000000000001E-2</v>
      </c>
      <c r="BK931" s="48"/>
      <c r="BL931" s="98">
        <f t="shared" si="274"/>
        <v>5.0731067385228461E-3</v>
      </c>
      <c r="BM931" s="47" t="s">
        <v>2487</v>
      </c>
      <c r="BN931" s="48"/>
      <c r="BO931" s="48"/>
      <c r="BP931" s="48"/>
      <c r="BQ931" s="48"/>
      <c r="BR931" s="47" t="s">
        <v>2496</v>
      </c>
      <c r="BS931" s="48"/>
      <c r="BT931" s="48"/>
      <c r="BU931" s="228"/>
      <c r="BV931" s="48"/>
      <c r="BW931" s="48"/>
      <c r="BX931" s="48"/>
      <c r="BY931" s="48"/>
      <c r="BZ931" s="48"/>
      <c r="CA931" s="48"/>
      <c r="CB931" s="48"/>
      <c r="CC931" s="48"/>
      <c r="CD931" s="48"/>
      <c r="CE931" s="48"/>
      <c r="CF931" s="48"/>
      <c r="CG931" s="48"/>
      <c r="CH931" s="48"/>
      <c r="CI931" s="98"/>
      <c r="CJ931" s="98"/>
      <c r="CK931" s="49">
        <f t="shared" si="270"/>
        <v>7.9267292789419463E-2</v>
      </c>
      <c r="CL931" s="229"/>
      <c r="CM931" s="229"/>
      <c r="CN931" s="229"/>
      <c r="CO931" s="47" t="s">
        <v>2488</v>
      </c>
      <c r="CP931" s="47" t="s">
        <v>2489</v>
      </c>
      <c r="CQ931" s="224" t="s">
        <v>272</v>
      </c>
      <c r="CR931" s="224"/>
      <c r="CS931" s="230" t="s">
        <v>539</v>
      </c>
      <c r="CT931" s="230"/>
      <c r="CU931" s="230"/>
      <c r="CV931" s="335">
        <f t="shared" si="273"/>
        <v>11.970596169409227</v>
      </c>
      <c r="CW931" s="230">
        <f t="shared" si="269"/>
        <v>1</v>
      </c>
      <c r="CX931" s="336"/>
      <c r="CY931" s="230" t="s">
        <v>6351</v>
      </c>
    </row>
    <row r="932" spans="1:103" ht="11.25" customHeight="1" x14ac:dyDescent="0.2">
      <c r="A932" s="72">
        <v>930</v>
      </c>
      <c r="B932" s="224">
        <v>1511</v>
      </c>
      <c r="C932" s="46" t="s">
        <v>7120</v>
      </c>
      <c r="D932" s="46"/>
      <c r="E932" s="114"/>
      <c r="F932" s="114" t="s">
        <v>4602</v>
      </c>
      <c r="G932" s="225">
        <v>103333</v>
      </c>
      <c r="H932" s="47" t="s">
        <v>4603</v>
      </c>
      <c r="I932" s="47" t="s">
        <v>4603</v>
      </c>
      <c r="J932" s="47" t="s">
        <v>4604</v>
      </c>
      <c r="K932" s="47" t="s">
        <v>426</v>
      </c>
      <c r="L932" s="47"/>
      <c r="M932" s="47"/>
      <c r="N932" s="47"/>
      <c r="O932" s="47"/>
      <c r="P932" s="53" t="s">
        <v>6172</v>
      </c>
      <c r="Q932" s="53" t="s">
        <v>6173</v>
      </c>
      <c r="R932" s="53" t="s">
        <v>6185</v>
      </c>
      <c r="S932" s="53" t="s">
        <v>6182</v>
      </c>
      <c r="T932" s="48">
        <v>182.22</v>
      </c>
      <c r="U932" s="98">
        <v>3.5122379541213916E-2</v>
      </c>
      <c r="V932" s="98">
        <v>5.959828778399736E-2</v>
      </c>
      <c r="W932" s="98">
        <v>9.1201083935590926E-2</v>
      </c>
      <c r="X932" s="98">
        <v>3.5122379541213916E-2</v>
      </c>
      <c r="Y932" s="233">
        <v>7</v>
      </c>
      <c r="Z932" s="48">
        <v>4.1100000000000003</v>
      </c>
      <c r="AA932" s="48">
        <v>3.82</v>
      </c>
      <c r="AB932" s="48">
        <v>4.16</v>
      </c>
      <c r="AC932" s="48">
        <v>0.85780000000000001</v>
      </c>
      <c r="AD932" s="48">
        <v>4.07</v>
      </c>
      <c r="AE932" s="48">
        <v>3.82</v>
      </c>
      <c r="AF932" s="48">
        <f t="shared" si="268"/>
        <v>3.82</v>
      </c>
      <c r="AG932" s="49">
        <v>3.54</v>
      </c>
      <c r="AH932" s="98">
        <v>1.47E-5</v>
      </c>
      <c r="AI932" s="98">
        <v>1.3499999999999999E-5</v>
      </c>
      <c r="AJ932" s="483">
        <f t="shared" si="276"/>
        <v>-3.2212489915644755</v>
      </c>
      <c r="AK932" s="483">
        <f t="shared" si="277"/>
        <v>-3.2582325578176459</v>
      </c>
      <c r="AL932" s="483">
        <f t="shared" si="275"/>
        <v>-3.2582325578176459</v>
      </c>
      <c r="AM932" s="483">
        <v>-5.5401100000000003</v>
      </c>
      <c r="AN932" s="226">
        <v>-2.79</v>
      </c>
      <c r="AO932" s="484"/>
      <c r="AP932" s="484"/>
      <c r="AQ932" s="48" t="s">
        <v>6311</v>
      </c>
      <c r="AR932" s="48" t="s">
        <v>6311</v>
      </c>
      <c r="AS932" s="227"/>
      <c r="AT932" s="50" t="s">
        <v>266</v>
      </c>
      <c r="AU932" s="48">
        <v>6</v>
      </c>
      <c r="AV932" s="48">
        <v>120</v>
      </c>
      <c r="AW932" s="48">
        <v>114</v>
      </c>
      <c r="AX932" s="48">
        <v>28</v>
      </c>
      <c r="AY932" s="48" t="s">
        <v>8728</v>
      </c>
      <c r="AZ932" s="48" t="s">
        <v>1563</v>
      </c>
      <c r="BA932" s="48">
        <v>32</v>
      </c>
      <c r="BB932" s="47" t="s">
        <v>2485</v>
      </c>
      <c r="BC932" s="47" t="s">
        <v>8726</v>
      </c>
      <c r="BD932" s="47" t="s">
        <v>8374</v>
      </c>
      <c r="BE932" s="48" t="s">
        <v>2449</v>
      </c>
      <c r="BF932" s="48" t="s">
        <v>272</v>
      </c>
      <c r="BG932" s="48" t="s">
        <v>272</v>
      </c>
      <c r="BH932" s="48" t="s">
        <v>2486</v>
      </c>
      <c r="BI932" s="98">
        <v>6.3999999999999997E-6</v>
      </c>
      <c r="BJ932" s="98">
        <v>6.4000000000000001E-2</v>
      </c>
      <c r="BK932" s="48"/>
      <c r="BL932" s="98">
        <f t="shared" si="274"/>
        <v>1.0461862311927477E-2</v>
      </c>
      <c r="BM932" s="47" t="s">
        <v>2487</v>
      </c>
      <c r="BN932" s="48"/>
      <c r="BO932" s="48"/>
      <c r="BP932" s="48"/>
      <c r="BQ932" s="48"/>
      <c r="BR932" s="47" t="s">
        <v>2496</v>
      </c>
      <c r="BS932" s="48"/>
      <c r="BT932" s="48"/>
      <c r="BU932" s="228"/>
      <c r="BV932" s="48"/>
      <c r="BW932" s="48"/>
      <c r="BX932" s="48"/>
      <c r="BY932" s="48"/>
      <c r="BZ932" s="48"/>
      <c r="CA932" s="48"/>
      <c r="CB932" s="48"/>
      <c r="CC932" s="48"/>
      <c r="CD932" s="48"/>
      <c r="CE932" s="48"/>
      <c r="CF932" s="48"/>
      <c r="CG932" s="48"/>
      <c r="CH932" s="48"/>
      <c r="CI932" s="98"/>
      <c r="CJ932" s="98"/>
      <c r="CK932" s="49">
        <f t="shared" si="270"/>
        <v>0.16346659862386684</v>
      </c>
      <c r="CL932" s="229"/>
      <c r="CM932" s="229"/>
      <c r="CN932" s="229"/>
      <c r="CO932" s="47" t="s">
        <v>2488</v>
      </c>
      <c r="CP932" s="47" t="s">
        <v>2489</v>
      </c>
      <c r="CQ932" s="224" t="s">
        <v>272</v>
      </c>
      <c r="CR932" s="224"/>
      <c r="CS932" s="230" t="s">
        <v>539</v>
      </c>
      <c r="CT932" s="230"/>
      <c r="CU932" s="230"/>
      <c r="CV932" s="335">
        <f t="shared" si="273"/>
        <v>0.54878718033146745</v>
      </c>
      <c r="CW932" s="230">
        <f t="shared" si="269"/>
        <v>0</v>
      </c>
      <c r="CX932" s="336"/>
      <c r="CY932" s="230" t="s">
        <v>5921</v>
      </c>
    </row>
    <row r="933" spans="1:103" ht="11.25" customHeight="1" x14ac:dyDescent="0.2">
      <c r="A933" s="72">
        <v>931</v>
      </c>
      <c r="B933" s="224">
        <v>1840</v>
      </c>
      <c r="C933" s="46" t="s">
        <v>7121</v>
      </c>
      <c r="D933" s="46"/>
      <c r="E933" s="114"/>
      <c r="F933" s="114" t="s">
        <v>5252</v>
      </c>
      <c r="G933" s="225">
        <v>103651</v>
      </c>
      <c r="H933" s="47" t="s">
        <v>5253</v>
      </c>
      <c r="I933" s="47" t="s">
        <v>5253</v>
      </c>
      <c r="J933" s="47" t="s">
        <v>5254</v>
      </c>
      <c r="K933" s="47" t="s">
        <v>426</v>
      </c>
      <c r="L933" s="47" t="s">
        <v>5527</v>
      </c>
      <c r="M933" s="47" t="s">
        <v>5960</v>
      </c>
      <c r="N933" s="47"/>
      <c r="O933" s="47"/>
      <c r="P933" s="53"/>
      <c r="Q933" s="53"/>
      <c r="R933" s="53"/>
      <c r="S933" s="53"/>
      <c r="T933" s="48">
        <v>120.19</v>
      </c>
      <c r="U933" s="98">
        <v>0.43431233879690495</v>
      </c>
      <c r="V933" s="98">
        <v>0.58848489891005906</v>
      </c>
      <c r="W933" s="98">
        <v>0.25703957827688606</v>
      </c>
      <c r="X933" s="98">
        <v>0.43431233879690495</v>
      </c>
      <c r="Y933" s="233">
        <v>7</v>
      </c>
      <c r="Z933" s="48">
        <v>3.52</v>
      </c>
      <c r="AA933" s="48">
        <v>3.69</v>
      </c>
      <c r="AB933" s="48">
        <v>3.64</v>
      </c>
      <c r="AC933" s="48">
        <v>0.90459999999999996</v>
      </c>
      <c r="AD933" s="48">
        <v>3.67</v>
      </c>
      <c r="AE933" s="48">
        <v>3.74</v>
      </c>
      <c r="AF933" s="48">
        <f t="shared" si="268"/>
        <v>3.69</v>
      </c>
      <c r="AG933" s="49">
        <v>3.07</v>
      </c>
      <c r="AH933" s="98">
        <v>1.0500000000000001E-2</v>
      </c>
      <c r="AI933" s="98">
        <v>1.0500000000000001E-2</v>
      </c>
      <c r="AJ933" s="483">
        <f t="shared" si="276"/>
        <v>-0.36737702724271376</v>
      </c>
      <c r="AK933" s="483">
        <f t="shared" si="277"/>
        <v>-0.36737702724271376</v>
      </c>
      <c r="AL933" s="483">
        <f t="shared" si="275"/>
        <v>-0.36737702724271376</v>
      </c>
      <c r="AM933" s="483">
        <v>-2.4804199999999996</v>
      </c>
      <c r="AN933" s="226">
        <v>-0.3</v>
      </c>
      <c r="AO933" s="484"/>
      <c r="AP933" s="484"/>
      <c r="AQ933" s="226" t="s">
        <v>6311</v>
      </c>
      <c r="AR933" s="226" t="s">
        <v>6311</v>
      </c>
      <c r="AS933" s="224"/>
      <c r="AT933" s="50" t="s">
        <v>266</v>
      </c>
      <c r="AU933" s="48">
        <v>6</v>
      </c>
      <c r="AV933" s="48">
        <v>120</v>
      </c>
      <c r="AW933" s="48">
        <v>114</v>
      </c>
      <c r="AX933" s="48">
        <v>28</v>
      </c>
      <c r="AY933" s="48" t="s">
        <v>8728</v>
      </c>
      <c r="AZ933" s="48" t="s">
        <v>1563</v>
      </c>
      <c r="BA933" s="48">
        <v>32</v>
      </c>
      <c r="BB933" s="47" t="s">
        <v>2485</v>
      </c>
      <c r="BC933" s="47" t="s">
        <v>8726</v>
      </c>
      <c r="BD933" s="47" t="s">
        <v>8374</v>
      </c>
      <c r="BE933" s="48" t="s">
        <v>2449</v>
      </c>
      <c r="BF933" s="48" t="s">
        <v>272</v>
      </c>
      <c r="BG933" s="48" t="s">
        <v>272</v>
      </c>
      <c r="BH933" s="48" t="s">
        <v>2486</v>
      </c>
      <c r="BI933" s="98">
        <v>6.3999999999999997E-6</v>
      </c>
      <c r="BJ933" s="98">
        <v>6.4000000000000001E-2</v>
      </c>
      <c r="BK933" s="48"/>
      <c r="BL933" s="98">
        <f t="shared" si="274"/>
        <v>3.5439533784064246E-2</v>
      </c>
      <c r="BM933" s="47" t="s">
        <v>2487</v>
      </c>
      <c r="BN933" s="48"/>
      <c r="BO933" s="48"/>
      <c r="BP933" s="48"/>
      <c r="BQ933" s="48"/>
      <c r="BR933" s="47" t="s">
        <v>2496</v>
      </c>
      <c r="BS933" s="48"/>
      <c r="BT933" s="48"/>
      <c r="BU933" s="228"/>
      <c r="BV933" s="48"/>
      <c r="BW933" s="48"/>
      <c r="BX933" s="48"/>
      <c r="BY933" s="48"/>
      <c r="BZ933" s="48"/>
      <c r="CA933" s="48"/>
      <c r="CB933" s="48"/>
      <c r="CC933" s="48"/>
      <c r="CD933" s="48"/>
      <c r="CE933" s="48"/>
      <c r="CF933" s="48"/>
      <c r="CG933" s="48"/>
      <c r="CH933" s="48"/>
      <c r="CI933" s="98"/>
      <c r="CJ933" s="98"/>
      <c r="CK933" s="49">
        <f t="shared" si="270"/>
        <v>0.55374271537600384</v>
      </c>
      <c r="CL933" s="229"/>
      <c r="CM933" s="229"/>
      <c r="CN933" s="229"/>
      <c r="CO933" s="47" t="s">
        <v>2488</v>
      </c>
      <c r="CP933" s="47" t="s">
        <v>2489</v>
      </c>
      <c r="CQ933" s="224">
        <v>-1.8895366370048818</v>
      </c>
      <c r="CR933" s="224">
        <f>10^(CJ933-CQ933)</f>
        <v>77.541935483870986</v>
      </c>
      <c r="CS933" s="230" t="s">
        <v>539</v>
      </c>
      <c r="CT933" s="230"/>
      <c r="CU933" s="230"/>
      <c r="CV933" s="335">
        <f t="shared" si="273"/>
        <v>6.7861302937016399</v>
      </c>
      <c r="CW933" s="230">
        <f t="shared" si="269"/>
        <v>1</v>
      </c>
      <c r="CX933" s="336"/>
      <c r="CY933" s="230" t="s">
        <v>5921</v>
      </c>
    </row>
    <row r="934" spans="1:103" ht="11.25" customHeight="1" x14ac:dyDescent="0.2">
      <c r="A934" s="72">
        <v>932</v>
      </c>
      <c r="B934" s="224">
        <v>1764</v>
      </c>
      <c r="C934" s="46" t="s">
        <v>7122</v>
      </c>
      <c r="D934" s="46"/>
      <c r="E934" s="114"/>
      <c r="F934" s="114" t="s">
        <v>5083</v>
      </c>
      <c r="G934" s="225">
        <v>103695</v>
      </c>
      <c r="H934" s="47" t="s">
        <v>5084</v>
      </c>
      <c r="I934" s="47" t="s">
        <v>5084</v>
      </c>
      <c r="J934" s="47" t="s">
        <v>5085</v>
      </c>
      <c r="K934" s="47" t="s">
        <v>426</v>
      </c>
      <c r="L934" s="47"/>
      <c r="M934" s="47"/>
      <c r="N934" s="47"/>
      <c r="O934" s="47"/>
      <c r="P934" s="53"/>
      <c r="Q934" s="53" t="s">
        <v>6173</v>
      </c>
      <c r="R934" s="53" t="s">
        <v>6185</v>
      </c>
      <c r="S934" s="53" t="s">
        <v>6176</v>
      </c>
      <c r="T934" s="48">
        <v>121.18</v>
      </c>
      <c r="U934" s="98">
        <v>19.887770259118664</v>
      </c>
      <c r="V934" s="98">
        <v>11.726357484733454</v>
      </c>
      <c r="W934" s="98">
        <v>13.803842646028837</v>
      </c>
      <c r="X934" s="98">
        <v>19.887770259118664</v>
      </c>
      <c r="Y934" s="233">
        <v>8.6300000000000008</v>
      </c>
      <c r="Z934" s="48">
        <v>2.11</v>
      </c>
      <c r="AA934" s="48">
        <v>2.16</v>
      </c>
      <c r="AB934" s="48">
        <v>2.25</v>
      </c>
      <c r="AC934" s="48">
        <v>0.85440000000000005</v>
      </c>
      <c r="AD934" s="48">
        <v>2.2200000000000002</v>
      </c>
      <c r="AE934" s="48">
        <v>2.13</v>
      </c>
      <c r="AF934" s="48">
        <f t="shared" si="268"/>
        <v>2.16</v>
      </c>
      <c r="AG934" s="49">
        <v>2.13</v>
      </c>
      <c r="AH934" s="98">
        <v>5.5500000000000002E-6</v>
      </c>
      <c r="AI934" s="98">
        <v>9.7799999999999995E-6</v>
      </c>
      <c r="AJ934" s="483">
        <f t="shared" si="276"/>
        <v>-3.6442733431899756</v>
      </c>
      <c r="AK934" s="483">
        <f t="shared" si="277"/>
        <v>-3.3982274715250504</v>
      </c>
      <c r="AL934" s="483">
        <f t="shared" si="275"/>
        <v>-3.3982274715250504</v>
      </c>
      <c r="AM934" s="483">
        <v>-5.4104200000000002</v>
      </c>
      <c r="AN934" s="226">
        <v>-3.34</v>
      </c>
      <c r="AO934" s="484"/>
      <c r="AP934" s="484">
        <v>5.12</v>
      </c>
      <c r="AQ934" s="226" t="s">
        <v>6311</v>
      </c>
      <c r="AR934" s="226" t="s">
        <v>6311</v>
      </c>
      <c r="AS934" s="224"/>
      <c r="AT934" s="50" t="s">
        <v>266</v>
      </c>
      <c r="AU934" s="48">
        <v>6</v>
      </c>
      <c r="AV934" s="48">
        <v>120</v>
      </c>
      <c r="AW934" s="48">
        <v>114</v>
      </c>
      <c r="AX934" s="48">
        <v>28</v>
      </c>
      <c r="AY934" s="48" t="s">
        <v>8728</v>
      </c>
      <c r="AZ934" s="48" t="s">
        <v>1563</v>
      </c>
      <c r="BA934" s="48">
        <v>32</v>
      </c>
      <c r="BB934" s="47" t="s">
        <v>2485</v>
      </c>
      <c r="BC934" s="47" t="s">
        <v>8726</v>
      </c>
      <c r="BD934" s="47" t="s">
        <v>8374</v>
      </c>
      <c r="BE934" s="48" t="s">
        <v>2449</v>
      </c>
      <c r="BF934" s="48" t="s">
        <v>272</v>
      </c>
      <c r="BG934" s="48" t="s">
        <v>272</v>
      </c>
      <c r="BH934" s="48" t="s">
        <v>2486</v>
      </c>
      <c r="BI934" s="98">
        <v>6.3999999999999997E-6</v>
      </c>
      <c r="BJ934" s="98">
        <v>6.4000000000000001E-2</v>
      </c>
      <c r="BK934" s="48"/>
      <c r="BL934" s="98">
        <f t="shared" si="274"/>
        <v>0.65434833246769675</v>
      </c>
      <c r="BM934" s="47" t="s">
        <v>2487</v>
      </c>
      <c r="BN934" s="48"/>
      <c r="BO934" s="48"/>
      <c r="BP934" s="48"/>
      <c r="BQ934" s="48"/>
      <c r="BR934" s="47" t="s">
        <v>2496</v>
      </c>
      <c r="BS934" s="48"/>
      <c r="BT934" s="48"/>
      <c r="BU934" s="228"/>
      <c r="BV934" s="48"/>
      <c r="BW934" s="48"/>
      <c r="BX934" s="48"/>
      <c r="BY934" s="48"/>
      <c r="BZ934" s="48"/>
      <c r="CA934" s="48"/>
      <c r="CB934" s="48"/>
      <c r="CC934" s="48"/>
      <c r="CD934" s="48"/>
      <c r="CE934" s="48"/>
      <c r="CF934" s="48"/>
      <c r="CG934" s="48"/>
      <c r="CH934" s="48"/>
      <c r="CI934" s="98"/>
      <c r="CJ934" s="98"/>
      <c r="CK934" s="49">
        <f t="shared" si="270"/>
        <v>10.224192694807762</v>
      </c>
      <c r="CL934" s="229"/>
      <c r="CM934" s="229"/>
      <c r="CN934" s="229"/>
      <c r="CO934" s="47" t="s">
        <v>2488</v>
      </c>
      <c r="CP934" s="47" t="s">
        <v>2489</v>
      </c>
      <c r="CQ934" s="224" t="s">
        <v>272</v>
      </c>
      <c r="CR934" s="224"/>
      <c r="CS934" s="230" t="s">
        <v>539</v>
      </c>
      <c r="CT934" s="230"/>
      <c r="CU934" s="230"/>
      <c r="CV934" s="335">
        <f t="shared" si="273"/>
        <v>310.74641029872913</v>
      </c>
      <c r="CW934" s="230">
        <f t="shared" si="269"/>
        <v>1</v>
      </c>
      <c r="CX934" s="336"/>
      <c r="CY934" s="230" t="s">
        <v>6351</v>
      </c>
    </row>
    <row r="935" spans="1:103" ht="11.25" customHeight="1" x14ac:dyDescent="0.2">
      <c r="A935" s="72">
        <v>933</v>
      </c>
      <c r="B935" s="224">
        <v>1487</v>
      </c>
      <c r="C935" s="46" t="s">
        <v>7123</v>
      </c>
      <c r="D935" s="46"/>
      <c r="E935" s="114"/>
      <c r="F935" s="114" t="s">
        <v>556</v>
      </c>
      <c r="G935" s="225">
        <v>103902</v>
      </c>
      <c r="H935" s="47" t="s">
        <v>462</v>
      </c>
      <c r="I935" s="47" t="s">
        <v>462</v>
      </c>
      <c r="J935" s="47" t="s">
        <v>463</v>
      </c>
      <c r="K935" s="47" t="s">
        <v>464</v>
      </c>
      <c r="L935" s="51" t="s">
        <v>279</v>
      </c>
      <c r="M935" s="47" t="s">
        <v>4570</v>
      </c>
      <c r="N935" s="47" t="s">
        <v>6384</v>
      </c>
      <c r="O935" s="47" t="s">
        <v>281</v>
      </c>
      <c r="P935" s="53"/>
      <c r="Q935" s="53" t="s">
        <v>6173</v>
      </c>
      <c r="R935" s="53" t="s">
        <v>6175</v>
      </c>
      <c r="S935" s="53" t="s">
        <v>6182</v>
      </c>
      <c r="T935" s="48">
        <v>151.16</v>
      </c>
      <c r="U935" s="98">
        <v>92.617094469436367</v>
      </c>
      <c r="V935" s="98">
        <v>200.78062979624241</v>
      </c>
      <c r="W935" s="98">
        <v>117.48975549395291</v>
      </c>
      <c r="X935" s="98">
        <v>92.617094469436367</v>
      </c>
      <c r="Y935" s="233">
        <v>5.7</v>
      </c>
      <c r="Z935" s="48">
        <v>0.27</v>
      </c>
      <c r="AA935" s="48">
        <v>0.46</v>
      </c>
      <c r="AB935" s="48">
        <v>0.43</v>
      </c>
      <c r="AC935" s="48">
        <v>0.85150000000000003</v>
      </c>
      <c r="AD935" s="48">
        <v>0.4</v>
      </c>
      <c r="AE935" s="48">
        <v>0.34</v>
      </c>
      <c r="AF935" s="48">
        <f t="shared" si="268"/>
        <v>0.46</v>
      </c>
      <c r="AG935" s="49">
        <v>0.91</v>
      </c>
      <c r="AH935" s="98">
        <v>6.4199999999999999E-13</v>
      </c>
      <c r="AI935" s="98"/>
      <c r="AJ935" s="483">
        <f t="shared" si="276"/>
        <v>-10.581031298243799</v>
      </c>
      <c r="AK935" s="483"/>
      <c r="AL935" s="483">
        <f t="shared" si="275"/>
        <v>-10.581031298243799</v>
      </c>
      <c r="AM935" s="483">
        <v>-13.617180000000001</v>
      </c>
      <c r="AN935" s="226">
        <v>-11.6</v>
      </c>
      <c r="AO935" s="484">
        <v>9.86</v>
      </c>
      <c r="AP935" s="484">
        <v>1.72</v>
      </c>
      <c r="AQ935" s="48" t="s">
        <v>6311</v>
      </c>
      <c r="AR935" s="48" t="s">
        <v>6311</v>
      </c>
      <c r="AS935" s="227"/>
      <c r="AT935" s="50" t="s">
        <v>266</v>
      </c>
      <c r="AU935" s="48">
        <v>6</v>
      </c>
      <c r="AV935" s="48">
        <v>120</v>
      </c>
      <c r="AW935" s="48">
        <v>114</v>
      </c>
      <c r="AX935" s="48">
        <v>28</v>
      </c>
      <c r="AY935" s="48" t="s">
        <v>8728</v>
      </c>
      <c r="AZ935" s="48" t="s">
        <v>1563</v>
      </c>
      <c r="BA935" s="48">
        <v>32</v>
      </c>
      <c r="BB935" s="47" t="s">
        <v>2485</v>
      </c>
      <c r="BC935" s="47" t="s">
        <v>8726</v>
      </c>
      <c r="BD935" s="47" t="s">
        <v>8374</v>
      </c>
      <c r="BE935" s="48" t="s">
        <v>2449</v>
      </c>
      <c r="BF935" s="48" t="s">
        <v>272</v>
      </c>
      <c r="BG935" s="48" t="s">
        <v>272</v>
      </c>
      <c r="BH935" s="48" t="s">
        <v>2486</v>
      </c>
      <c r="BI935" s="98">
        <v>6.3999999999999997E-6</v>
      </c>
      <c r="BJ935" s="98">
        <v>6.4000000000000001E-2</v>
      </c>
      <c r="BK935" s="48"/>
      <c r="BL935" s="98">
        <f t="shared" si="274"/>
        <v>29.397676060212504</v>
      </c>
      <c r="BM935" s="47" t="s">
        <v>2487</v>
      </c>
      <c r="BN935" s="48"/>
      <c r="BO935" s="48"/>
      <c r="BP935" s="48"/>
      <c r="BQ935" s="48"/>
      <c r="BR935" s="47" t="s">
        <v>2496</v>
      </c>
      <c r="BS935" s="48"/>
      <c r="BT935" s="48"/>
      <c r="BU935" s="228"/>
      <c r="BV935" s="48"/>
      <c r="BW935" s="48"/>
      <c r="BX935" s="48"/>
      <c r="BY935" s="48"/>
      <c r="BZ935" s="48"/>
      <c r="CA935" s="48"/>
      <c r="CB935" s="48"/>
      <c r="CC935" s="48"/>
      <c r="CD935" s="48"/>
      <c r="CE935" s="48"/>
      <c r="CF935" s="48"/>
      <c r="CG935" s="48"/>
      <c r="CH935" s="48"/>
      <c r="CI935" s="98"/>
      <c r="CJ935" s="98"/>
      <c r="CK935" s="49">
        <f t="shared" si="270"/>
        <v>459.33868844082036</v>
      </c>
      <c r="CL935" s="229"/>
      <c r="CM935" s="229">
        <v>0.73065333382021147</v>
      </c>
      <c r="CN935" s="229">
        <f>BJ935/(10^CM935)</f>
        <v>1.1899443195859179E-2</v>
      </c>
      <c r="CO935" s="47" t="s">
        <v>2488</v>
      </c>
      <c r="CP935" s="47" t="s">
        <v>2489</v>
      </c>
      <c r="CQ935" s="224">
        <v>0.73065333382021147</v>
      </c>
      <c r="CR935" s="224">
        <f>10^(CJ935-CQ935)</f>
        <v>0.18592879993529965</v>
      </c>
      <c r="CS935" s="230" t="s">
        <v>539</v>
      </c>
      <c r="CT935" s="230"/>
      <c r="CU935" s="230"/>
      <c r="CV935" s="335">
        <f t="shared" si="273"/>
        <v>1447.1421010849433</v>
      </c>
      <c r="CW935" s="230">
        <f t="shared" si="269"/>
        <v>1</v>
      </c>
      <c r="CX935" s="336"/>
      <c r="CY935" s="230" t="s">
        <v>6351</v>
      </c>
    </row>
    <row r="936" spans="1:103" ht="11.25" customHeight="1" x14ac:dyDescent="0.2">
      <c r="A936" s="72">
        <v>934</v>
      </c>
      <c r="B936" s="224">
        <v>1540</v>
      </c>
      <c r="C936" s="46" t="s">
        <v>7124</v>
      </c>
      <c r="D936" s="46"/>
      <c r="E936" s="114"/>
      <c r="F936" s="114" t="s">
        <v>4655</v>
      </c>
      <c r="G936" s="225">
        <v>104518</v>
      </c>
      <c r="H936" s="47" t="s">
        <v>4656</v>
      </c>
      <c r="I936" s="47" t="s">
        <v>4656</v>
      </c>
      <c r="J936" s="47" t="s">
        <v>4657</v>
      </c>
      <c r="K936" s="47" t="s">
        <v>426</v>
      </c>
      <c r="L936" s="47" t="s">
        <v>6025</v>
      </c>
      <c r="M936" s="47" t="s">
        <v>5960</v>
      </c>
      <c r="N936" s="47"/>
      <c r="O936" s="47"/>
      <c r="P936" s="53" t="s">
        <v>6183</v>
      </c>
      <c r="Q936" s="53" t="s">
        <v>6179</v>
      </c>
      <c r="R936" s="53" t="s">
        <v>6185</v>
      </c>
      <c r="S936" s="53" t="s">
        <v>6176</v>
      </c>
      <c r="T936" s="48">
        <v>134.22</v>
      </c>
      <c r="U936" s="98">
        <v>8.7915362837133068E-2</v>
      </c>
      <c r="V936" s="98">
        <v>0.11980330800178809</v>
      </c>
      <c r="W936" s="98">
        <v>5.6234132519034884E-2</v>
      </c>
      <c r="X936" s="98">
        <v>8.7915362837133068E-2</v>
      </c>
      <c r="Y936" s="233">
        <v>7</v>
      </c>
      <c r="Z936" s="48">
        <v>4.01</v>
      </c>
      <c r="AA936" s="48">
        <v>4.38</v>
      </c>
      <c r="AB936" s="48">
        <v>4.0599999999999996</v>
      </c>
      <c r="AC936" s="48">
        <v>0.88329999999999997</v>
      </c>
      <c r="AD936" s="48">
        <v>4.12</v>
      </c>
      <c r="AE936" s="48">
        <v>4.2699999999999996</v>
      </c>
      <c r="AF936" s="48">
        <f t="shared" si="268"/>
        <v>4.38</v>
      </c>
      <c r="AG936" s="49">
        <v>3.51</v>
      </c>
      <c r="AH936" s="98">
        <v>1.3899999999999999E-2</v>
      </c>
      <c r="AI936" s="98">
        <v>1.5900000000000001E-2</v>
      </c>
      <c r="AJ936" s="483">
        <f t="shared" si="276"/>
        <v>-0.24555152605855673</v>
      </c>
      <c r="AK936" s="483">
        <f>LOG10(AI936*1000/(0.08206*298.15))</f>
        <v>-0.18716920199220033</v>
      </c>
      <c r="AL936" s="483">
        <f t="shared" si="275"/>
        <v>-0.18716920199220033</v>
      </c>
      <c r="AM936" s="483">
        <v>-2.6603600000000003</v>
      </c>
      <c r="AN936" s="226">
        <v>-0.16900000000000001</v>
      </c>
      <c r="AO936" s="484"/>
      <c r="AP936" s="484"/>
      <c r="AQ936" s="48" t="s">
        <v>6311</v>
      </c>
      <c r="AR936" s="48" t="s">
        <v>6311</v>
      </c>
      <c r="AS936" s="227"/>
      <c r="AT936" s="50" t="s">
        <v>266</v>
      </c>
      <c r="AU936" s="48">
        <v>6</v>
      </c>
      <c r="AV936" s="48">
        <v>120</v>
      </c>
      <c r="AW936" s="48">
        <v>114</v>
      </c>
      <c r="AX936" s="48">
        <v>28</v>
      </c>
      <c r="AY936" s="48" t="s">
        <v>8728</v>
      </c>
      <c r="AZ936" s="48" t="s">
        <v>1563</v>
      </c>
      <c r="BA936" s="48">
        <v>32</v>
      </c>
      <c r="BB936" s="47" t="s">
        <v>2485</v>
      </c>
      <c r="BC936" s="47" t="s">
        <v>8726</v>
      </c>
      <c r="BD936" s="47" t="s">
        <v>8374</v>
      </c>
      <c r="BE936" s="48" t="s">
        <v>2449</v>
      </c>
      <c r="BF936" s="48" t="s">
        <v>272</v>
      </c>
      <c r="BG936" s="48" t="s">
        <v>272</v>
      </c>
      <c r="BH936" s="48" t="s">
        <v>2486</v>
      </c>
      <c r="BI936" s="98">
        <v>6.3999999999999997E-6</v>
      </c>
      <c r="BJ936" s="98">
        <v>6.4000000000000001E-2</v>
      </c>
      <c r="BK936" s="48"/>
      <c r="BL936" s="98">
        <f t="shared" si="274"/>
        <v>1.2865272812301713E-2</v>
      </c>
      <c r="BM936" s="47" t="s">
        <v>2487</v>
      </c>
      <c r="BN936" s="48"/>
      <c r="BO936" s="48"/>
      <c r="BP936" s="48"/>
      <c r="BQ936" s="48"/>
      <c r="BR936" s="47" t="s">
        <v>2496</v>
      </c>
      <c r="BS936" s="48"/>
      <c r="BT936" s="48"/>
      <c r="BU936" s="228"/>
      <c r="BV936" s="48"/>
      <c r="BW936" s="48"/>
      <c r="BX936" s="48"/>
      <c r="BY936" s="48"/>
      <c r="BZ936" s="48"/>
      <c r="CA936" s="48"/>
      <c r="CB936" s="48"/>
      <c r="CC936" s="48"/>
      <c r="CD936" s="48"/>
      <c r="CE936" s="48"/>
      <c r="CF936" s="48"/>
      <c r="CG936" s="48"/>
      <c r="CH936" s="48"/>
      <c r="CI936" s="98"/>
      <c r="CJ936" s="98"/>
      <c r="CK936" s="49">
        <f t="shared" si="270"/>
        <v>0.20101988769221427</v>
      </c>
      <c r="CL936" s="229"/>
      <c r="CM936" s="229"/>
      <c r="CN936" s="229"/>
      <c r="CO936" s="47" t="s">
        <v>2488</v>
      </c>
      <c r="CP936" s="47" t="s">
        <v>2489</v>
      </c>
      <c r="CQ936" s="224">
        <v>-1.8289641580705667</v>
      </c>
      <c r="CR936" s="224">
        <f>10^(CJ936-CQ936)</f>
        <v>67.447236180904525</v>
      </c>
      <c r="CS936" s="230" t="s">
        <v>539</v>
      </c>
      <c r="CT936" s="230"/>
      <c r="CU936" s="230"/>
      <c r="CV936" s="335">
        <f t="shared" si="273"/>
        <v>1.3736775443302041</v>
      </c>
      <c r="CW936" s="230">
        <f t="shared" si="269"/>
        <v>1</v>
      </c>
      <c r="CX936" s="336"/>
      <c r="CY936" s="230" t="s">
        <v>5921</v>
      </c>
    </row>
    <row r="937" spans="1:103" ht="11.25" customHeight="1" x14ac:dyDescent="0.2">
      <c r="A937" s="72">
        <v>935</v>
      </c>
      <c r="B937" s="224">
        <v>1397</v>
      </c>
      <c r="C937" s="46" t="s">
        <v>7125</v>
      </c>
      <c r="D937" s="46"/>
      <c r="E937" s="114"/>
      <c r="F937" s="114" t="s">
        <v>4307</v>
      </c>
      <c r="G937" s="225">
        <v>104767</v>
      </c>
      <c r="H937" s="47" t="s">
        <v>4308</v>
      </c>
      <c r="I937" s="47" t="s">
        <v>4308</v>
      </c>
      <c r="J937" s="47" t="s">
        <v>4309</v>
      </c>
      <c r="K937" s="47" t="s">
        <v>426</v>
      </c>
      <c r="L937" s="47" t="s">
        <v>5527</v>
      </c>
      <c r="M937" s="47" t="s">
        <v>6082</v>
      </c>
      <c r="N937" s="47" t="s">
        <v>6082</v>
      </c>
      <c r="O937" s="47" t="s">
        <v>6083</v>
      </c>
      <c r="P937" s="53" t="s">
        <v>6183</v>
      </c>
      <c r="Q937" s="53" t="s">
        <v>6173</v>
      </c>
      <c r="R937" s="53" t="s">
        <v>6185</v>
      </c>
      <c r="S937" s="53" t="s">
        <v>6176</v>
      </c>
      <c r="T937" s="48">
        <v>130.22999999999999</v>
      </c>
      <c r="U937" s="98">
        <v>6.7572755893419343</v>
      </c>
      <c r="V937" s="98">
        <v>10.588957997389235</v>
      </c>
      <c r="W937" s="98">
        <v>11.748975549395293</v>
      </c>
      <c r="X937" s="98">
        <v>6.7572755893419343</v>
      </c>
      <c r="Y937" s="233">
        <v>7</v>
      </c>
      <c r="Z937" s="48">
        <v>2.73</v>
      </c>
      <c r="AA937" s="48"/>
      <c r="AB937" s="48">
        <v>2.44</v>
      </c>
      <c r="AC937" s="48">
        <v>0.93489999999999995</v>
      </c>
      <c r="AD937" s="48">
        <v>2.52</v>
      </c>
      <c r="AE937" s="48">
        <v>2.82</v>
      </c>
      <c r="AF937" s="48">
        <f t="shared" si="268"/>
        <v>2.52</v>
      </c>
      <c r="AG937" s="49">
        <v>2.46</v>
      </c>
      <c r="AH937" s="98">
        <v>3.1000000000000001E-5</v>
      </c>
      <c r="AI937" s="98">
        <v>2.65E-5</v>
      </c>
      <c r="AJ937" s="483">
        <f t="shared" si="276"/>
        <v>-2.8972046324783789</v>
      </c>
      <c r="AK937" s="483">
        <f>LOG10(AI937*1000/(0.08206*298.15))</f>
        <v>-2.9653204523758441</v>
      </c>
      <c r="AL937" s="483">
        <f t="shared" si="275"/>
        <v>-2.9653204523758441</v>
      </c>
      <c r="AM937" s="483">
        <v>-4.0063899999999997</v>
      </c>
      <c r="AN937" s="226">
        <v>-2.78</v>
      </c>
      <c r="AO937" s="484">
        <v>15.05</v>
      </c>
      <c r="AP937" s="484"/>
      <c r="AQ937" s="48" t="s">
        <v>6311</v>
      </c>
      <c r="AR937" s="48" t="s">
        <v>6311</v>
      </c>
      <c r="AS937" s="227"/>
      <c r="AT937" s="50" t="s">
        <v>266</v>
      </c>
      <c r="AU937" s="48">
        <v>6</v>
      </c>
      <c r="AV937" s="48">
        <v>120</v>
      </c>
      <c r="AW937" s="48">
        <v>114</v>
      </c>
      <c r="AX937" s="48">
        <v>28</v>
      </c>
      <c r="AY937" s="48" t="s">
        <v>8728</v>
      </c>
      <c r="AZ937" s="48" t="s">
        <v>1563</v>
      </c>
      <c r="BA937" s="48">
        <v>32</v>
      </c>
      <c r="BB937" s="47" t="s">
        <v>2485</v>
      </c>
      <c r="BC937" s="47" t="s">
        <v>8726</v>
      </c>
      <c r="BD937" s="47" t="s">
        <v>8374</v>
      </c>
      <c r="BE937" s="48" t="s">
        <v>2449</v>
      </c>
      <c r="BF937" s="48" t="s">
        <v>272</v>
      </c>
      <c r="BG937" s="48" t="s">
        <v>272</v>
      </c>
      <c r="BH937" s="48" t="s">
        <v>2486</v>
      </c>
      <c r="BI937" s="98">
        <v>6.3999999999999997E-6</v>
      </c>
      <c r="BJ937" s="98">
        <v>6.4000000000000001E-2</v>
      </c>
      <c r="BK937" s="48"/>
      <c r="BL937" s="98">
        <f t="shared" si="274"/>
        <v>0.18154613186555818</v>
      </c>
      <c r="BM937" s="47" t="s">
        <v>2487</v>
      </c>
      <c r="BN937" s="48"/>
      <c r="BO937" s="48"/>
      <c r="BP937" s="48"/>
      <c r="BQ937" s="48"/>
      <c r="BR937" s="47" t="s">
        <v>2496</v>
      </c>
      <c r="BS937" s="48"/>
      <c r="BT937" s="48"/>
      <c r="BU937" s="228"/>
      <c r="BV937" s="48"/>
      <c r="BW937" s="48"/>
      <c r="BX937" s="48"/>
      <c r="BY937" s="48"/>
      <c r="BZ937" s="48"/>
      <c r="CA937" s="48"/>
      <c r="CB937" s="48"/>
      <c r="CC937" s="48"/>
      <c r="CD937" s="48"/>
      <c r="CE937" s="48"/>
      <c r="CF937" s="48"/>
      <c r="CG937" s="48"/>
      <c r="CH937" s="48"/>
      <c r="CI937" s="98"/>
      <c r="CJ937" s="98"/>
      <c r="CK937" s="49">
        <f t="shared" si="270"/>
        <v>2.8366583103993466</v>
      </c>
      <c r="CL937" s="229"/>
      <c r="CM937" s="229"/>
      <c r="CN937" s="229"/>
      <c r="CO937" s="47" t="s">
        <v>2488</v>
      </c>
      <c r="CP937" s="47" t="s">
        <v>2489</v>
      </c>
      <c r="CQ937" s="224">
        <v>-0.88728861055410713</v>
      </c>
      <c r="CR937" s="224">
        <f>10^(CJ937-CQ937)</f>
        <v>7.7141594350566605</v>
      </c>
      <c r="CS937" s="230" t="s">
        <v>539</v>
      </c>
      <c r="CT937" s="230"/>
      <c r="CU937" s="230"/>
      <c r="CV937" s="335">
        <f t="shared" si="273"/>
        <v>105.58243108346772</v>
      </c>
      <c r="CW937" s="230">
        <f t="shared" si="269"/>
        <v>1</v>
      </c>
      <c r="CX937" s="336"/>
      <c r="CY937" s="230" t="s">
        <v>6351</v>
      </c>
    </row>
    <row r="938" spans="1:103" ht="11.25" customHeight="1" x14ac:dyDescent="0.2">
      <c r="A938" s="72">
        <v>936</v>
      </c>
      <c r="B938" s="224">
        <v>1647</v>
      </c>
      <c r="C938" s="46" t="s">
        <v>7126</v>
      </c>
      <c r="D938" s="46"/>
      <c r="E938" s="114"/>
      <c r="F938" s="114" t="s">
        <v>4851</v>
      </c>
      <c r="G938" s="225">
        <v>105544</v>
      </c>
      <c r="H938" s="47" t="s">
        <v>4852</v>
      </c>
      <c r="I938" s="47" t="s">
        <v>4852</v>
      </c>
      <c r="J938" s="47" t="s">
        <v>4853</v>
      </c>
      <c r="K938" s="47" t="s">
        <v>357</v>
      </c>
      <c r="L938" s="47"/>
      <c r="M938" s="47"/>
      <c r="N938" s="47"/>
      <c r="O938" s="47"/>
      <c r="P938" s="53"/>
      <c r="Q938" s="53"/>
      <c r="R938" s="53"/>
      <c r="S938" s="53"/>
      <c r="T938" s="48">
        <v>116.16</v>
      </c>
      <c r="U938" s="98">
        <v>42.183195592286502</v>
      </c>
      <c r="V938" s="98">
        <v>23.631198347107439</v>
      </c>
      <c r="W938" s="98">
        <v>72.443596007498982</v>
      </c>
      <c r="X938" s="98">
        <v>42.183195592286502</v>
      </c>
      <c r="Y938" s="233">
        <v>7</v>
      </c>
      <c r="Z938" s="48">
        <v>1.85</v>
      </c>
      <c r="AA938" s="48"/>
      <c r="AB938" s="48">
        <v>1.86</v>
      </c>
      <c r="AC938" s="48">
        <v>0.93179999999999996</v>
      </c>
      <c r="AD938" s="48">
        <v>1.84</v>
      </c>
      <c r="AE938" s="48">
        <v>1.77</v>
      </c>
      <c r="AF938" s="48">
        <f t="shared" si="268"/>
        <v>1.84</v>
      </c>
      <c r="AG938" s="49">
        <v>1.42</v>
      </c>
      <c r="AH938" s="98">
        <v>4.0999999999999999E-4</v>
      </c>
      <c r="AI938" s="98">
        <v>3.9899999999999999E-4</v>
      </c>
      <c r="AJ938" s="483">
        <f t="shared" si="276"/>
        <v>-1.7757824695929163</v>
      </c>
      <c r="AK938" s="483">
        <f>LOG10(AI938*1000/(0.08206*298.15))</f>
        <v>-1.7875934306259036</v>
      </c>
      <c r="AL938" s="483">
        <f t="shared" si="275"/>
        <v>-1.7875934306259036</v>
      </c>
      <c r="AM938" s="483">
        <v>-2.8892899999999999</v>
      </c>
      <c r="AN938" s="226">
        <v>-2.0499999999999998</v>
      </c>
      <c r="AO938" s="484"/>
      <c r="AP938" s="484"/>
      <c r="AQ938" s="226" t="s">
        <v>6311</v>
      </c>
      <c r="AR938" s="226" t="s">
        <v>6312</v>
      </c>
      <c r="AS938" s="224"/>
      <c r="AT938" s="50" t="s">
        <v>266</v>
      </c>
      <c r="AU938" s="48">
        <v>6</v>
      </c>
      <c r="AV938" s="48">
        <v>120</v>
      </c>
      <c r="AW938" s="48">
        <v>114</v>
      </c>
      <c r="AX938" s="48">
        <v>28</v>
      </c>
      <c r="AY938" s="48" t="s">
        <v>8728</v>
      </c>
      <c r="AZ938" s="48" t="s">
        <v>1563</v>
      </c>
      <c r="BA938" s="48">
        <v>32</v>
      </c>
      <c r="BB938" s="47" t="s">
        <v>2485</v>
      </c>
      <c r="BC938" s="47" t="s">
        <v>8726</v>
      </c>
      <c r="BD938" s="47" t="s">
        <v>8374</v>
      </c>
      <c r="BE938" s="48" t="s">
        <v>2449</v>
      </c>
      <c r="BF938" s="48" t="s">
        <v>272</v>
      </c>
      <c r="BG938" s="48" t="s">
        <v>272</v>
      </c>
      <c r="BH938" s="48" t="s">
        <v>2486</v>
      </c>
      <c r="BI938" s="98">
        <v>6.3999999999999997E-6</v>
      </c>
      <c r="BJ938" s="98">
        <v>6.4000000000000001E-2</v>
      </c>
      <c r="BK938" s="48"/>
      <c r="BL938" s="98">
        <f t="shared" si="274"/>
        <v>1.1202501223054133</v>
      </c>
      <c r="BM938" s="47" t="s">
        <v>2487</v>
      </c>
      <c r="BN938" s="48"/>
      <c r="BO938" s="48"/>
      <c r="BP938" s="48"/>
      <c r="BQ938" s="48"/>
      <c r="BR938" s="47" t="s">
        <v>2496</v>
      </c>
      <c r="BS938" s="48"/>
      <c r="BT938" s="48"/>
      <c r="BU938" s="228"/>
      <c r="BV938" s="48"/>
      <c r="BW938" s="48"/>
      <c r="BX938" s="48"/>
      <c r="BY938" s="48"/>
      <c r="BZ938" s="48"/>
      <c r="CA938" s="48"/>
      <c r="CB938" s="48"/>
      <c r="CC938" s="48"/>
      <c r="CD938" s="48"/>
      <c r="CE938" s="48"/>
      <c r="CF938" s="48"/>
      <c r="CG938" s="48"/>
      <c r="CH938" s="48"/>
      <c r="CI938" s="98"/>
      <c r="CJ938" s="98"/>
      <c r="CK938" s="49">
        <f t="shared" si="270"/>
        <v>17.503908161022082</v>
      </c>
      <c r="CL938" s="229"/>
      <c r="CM938" s="229"/>
      <c r="CN938" s="229"/>
      <c r="CO938" s="47" t="s">
        <v>2488</v>
      </c>
      <c r="CP938" s="47" t="s">
        <v>2489</v>
      </c>
      <c r="CQ938" s="224" t="s">
        <v>272</v>
      </c>
      <c r="CR938" s="224"/>
      <c r="CS938" s="230" t="s">
        <v>539</v>
      </c>
      <c r="CT938" s="230"/>
      <c r="CU938" s="230"/>
      <c r="CV938" s="335">
        <f t="shared" si="273"/>
        <v>659.11243112947659</v>
      </c>
      <c r="CW938" s="230">
        <f t="shared" si="269"/>
        <v>1</v>
      </c>
      <c r="CX938" s="336"/>
      <c r="CY938" s="230" t="s">
        <v>5921</v>
      </c>
    </row>
    <row r="939" spans="1:103" ht="11.25" customHeight="1" x14ac:dyDescent="0.2">
      <c r="A939" s="72">
        <v>937</v>
      </c>
      <c r="B939" s="224">
        <v>1544</v>
      </c>
      <c r="C939" s="46" t="s">
        <v>7127</v>
      </c>
      <c r="D939" s="46"/>
      <c r="E939" s="114"/>
      <c r="F939" s="114" t="s">
        <v>4666</v>
      </c>
      <c r="G939" s="225">
        <v>105602</v>
      </c>
      <c r="H939" s="47" t="s">
        <v>4667</v>
      </c>
      <c r="I939" s="47" t="s">
        <v>4667</v>
      </c>
      <c r="J939" s="47" t="s">
        <v>4668</v>
      </c>
      <c r="K939" s="47" t="s">
        <v>471</v>
      </c>
      <c r="L939" s="47"/>
      <c r="M939" s="47"/>
      <c r="N939" s="47"/>
      <c r="O939" s="47"/>
      <c r="P939" s="53"/>
      <c r="Q939" s="53"/>
      <c r="R939" s="53"/>
      <c r="S939" s="53"/>
      <c r="T939" s="48">
        <v>113.16</v>
      </c>
      <c r="U939" s="98">
        <v>6822.1986567691765</v>
      </c>
      <c r="V939" s="98">
        <v>253.79992930364088</v>
      </c>
      <c r="W939" s="98">
        <v>186.20871366628671</v>
      </c>
      <c r="X939" s="98">
        <v>6822.1986567691765</v>
      </c>
      <c r="Y939" s="233">
        <v>7.03</v>
      </c>
      <c r="Z939" s="48">
        <v>0.66</v>
      </c>
      <c r="AA939" s="48"/>
      <c r="AB939" s="48">
        <v>0.11</v>
      </c>
      <c r="AC939" s="48">
        <v>0.82720000000000005</v>
      </c>
      <c r="AD939" s="48">
        <v>-0.02</v>
      </c>
      <c r="AE939" s="48">
        <v>-0.32</v>
      </c>
      <c r="AF939" s="48">
        <f t="shared" si="268"/>
        <v>-0.02</v>
      </c>
      <c r="AG939" s="49">
        <v>0.53</v>
      </c>
      <c r="AH939" s="98">
        <v>2.5300000000000002E-8</v>
      </c>
      <c r="AI939" s="98"/>
      <c r="AJ939" s="483">
        <f t="shared" si="276"/>
        <v>-5.985445805136834</v>
      </c>
      <c r="AK939" s="483"/>
      <c r="AL939" s="483">
        <f t="shared" si="275"/>
        <v>-5.985445805136834</v>
      </c>
      <c r="AM939" s="483">
        <v>-7.3831499999999988</v>
      </c>
      <c r="AN939" s="226">
        <v>-7.79</v>
      </c>
      <c r="AO939" s="484">
        <v>16.61</v>
      </c>
      <c r="AP939" s="484">
        <v>-0.14000000000000001</v>
      </c>
      <c r="AQ939" s="48" t="s">
        <v>6311</v>
      </c>
      <c r="AR939" s="48" t="s">
        <v>6311</v>
      </c>
      <c r="AS939" s="227"/>
      <c r="AT939" s="50" t="s">
        <v>266</v>
      </c>
      <c r="AU939" s="48">
        <v>6</v>
      </c>
      <c r="AV939" s="48">
        <v>120</v>
      </c>
      <c r="AW939" s="48">
        <v>114</v>
      </c>
      <c r="AX939" s="48">
        <v>28</v>
      </c>
      <c r="AY939" s="48" t="s">
        <v>8728</v>
      </c>
      <c r="AZ939" s="48" t="s">
        <v>1563</v>
      </c>
      <c r="BA939" s="48">
        <v>32</v>
      </c>
      <c r="BB939" s="47" t="s">
        <v>2485</v>
      </c>
      <c r="BC939" s="47" t="s">
        <v>8726</v>
      </c>
      <c r="BD939" s="47" t="s">
        <v>8374</v>
      </c>
      <c r="BE939" s="48" t="s">
        <v>2449</v>
      </c>
      <c r="BF939" s="48" t="s">
        <v>272</v>
      </c>
      <c r="BG939" s="48" t="s">
        <v>272</v>
      </c>
      <c r="BH939" s="48" t="s">
        <v>2486</v>
      </c>
      <c r="BI939" s="98">
        <v>6.3999999999999997E-6</v>
      </c>
      <c r="BJ939" s="98">
        <v>6.4000000000000001E-2</v>
      </c>
      <c r="BK939" s="48"/>
      <c r="BL939" s="98">
        <f t="shared" si="274"/>
        <v>13.123630675671809</v>
      </c>
      <c r="BM939" s="47" t="s">
        <v>2487</v>
      </c>
      <c r="BN939" s="48"/>
      <c r="BO939" s="48"/>
      <c r="BP939" s="48"/>
      <c r="BQ939" s="48"/>
      <c r="BR939" s="47" t="s">
        <v>2496</v>
      </c>
      <c r="BS939" s="48"/>
      <c r="BT939" s="48"/>
      <c r="BU939" s="228"/>
      <c r="BV939" s="48"/>
      <c r="BW939" s="48"/>
      <c r="BX939" s="48"/>
      <c r="BY939" s="48"/>
      <c r="BZ939" s="48"/>
      <c r="CA939" s="48"/>
      <c r="CB939" s="48"/>
      <c r="CC939" s="48"/>
      <c r="CD939" s="48"/>
      <c r="CE939" s="48"/>
      <c r="CF939" s="48"/>
      <c r="CG939" s="48"/>
      <c r="CH939" s="48"/>
      <c r="CI939" s="98"/>
      <c r="CJ939" s="98"/>
      <c r="CK939" s="49">
        <f t="shared" si="270"/>
        <v>205.056729307372</v>
      </c>
      <c r="CL939" s="229"/>
      <c r="CM939" s="229"/>
      <c r="CN939" s="229"/>
      <c r="CO939" s="47" t="s">
        <v>2488</v>
      </c>
      <c r="CP939" s="47" t="s">
        <v>2489</v>
      </c>
      <c r="CQ939" s="224" t="s">
        <v>272</v>
      </c>
      <c r="CR939" s="224"/>
      <c r="CS939" s="230" t="s">
        <v>539</v>
      </c>
      <c r="CT939" s="230"/>
      <c r="CU939" s="230"/>
      <c r="CV939" s="335">
        <f t="shared" si="273"/>
        <v>106596.85401201838</v>
      </c>
      <c r="CW939" s="230">
        <f t="shared" si="269"/>
        <v>1</v>
      </c>
      <c r="CX939" s="336"/>
      <c r="CY939" s="230" t="s">
        <v>6351</v>
      </c>
    </row>
    <row r="940" spans="1:103" ht="11.25" customHeight="1" x14ac:dyDescent="0.2">
      <c r="A940" s="72">
        <v>938</v>
      </c>
      <c r="B940" s="224">
        <v>1415</v>
      </c>
      <c r="C940" s="46" t="s">
        <v>1993</v>
      </c>
      <c r="D940" s="46"/>
      <c r="E940" s="114"/>
      <c r="F940" s="114" t="s">
        <v>4354</v>
      </c>
      <c r="G940" s="225">
        <v>105679</v>
      </c>
      <c r="H940" s="47" t="s">
        <v>1995</v>
      </c>
      <c r="I940" s="47" t="s">
        <v>1995</v>
      </c>
      <c r="J940" s="47" t="s">
        <v>1996</v>
      </c>
      <c r="K940" s="47" t="s">
        <v>349</v>
      </c>
      <c r="L940" s="47" t="s">
        <v>5527</v>
      </c>
      <c r="M940" s="47" t="s">
        <v>866</v>
      </c>
      <c r="N940" s="47" t="s">
        <v>6082</v>
      </c>
      <c r="O940" s="47" t="s">
        <v>6086</v>
      </c>
      <c r="P940" s="53" t="s">
        <v>6184</v>
      </c>
      <c r="Q940" s="53" t="s">
        <v>6179</v>
      </c>
      <c r="R940" s="53" t="s">
        <v>6185</v>
      </c>
      <c r="S940" s="53" t="s">
        <v>6176</v>
      </c>
      <c r="T940" s="48">
        <v>122.16</v>
      </c>
      <c r="U940" s="98">
        <v>64.423706614276355</v>
      </c>
      <c r="V940" s="98">
        <v>33.300589390962671</v>
      </c>
      <c r="W940" s="98">
        <v>56.234132519034887</v>
      </c>
      <c r="X940" s="98">
        <v>64.423706614276355</v>
      </c>
      <c r="Y940" s="233">
        <v>5.93</v>
      </c>
      <c r="Z940" s="48">
        <v>2.61</v>
      </c>
      <c r="AA940" s="48">
        <v>2.2999999999999998</v>
      </c>
      <c r="AB940" s="48">
        <v>2.35</v>
      </c>
      <c r="AC940" s="48">
        <v>0.97360000000000002</v>
      </c>
      <c r="AD940" s="48">
        <v>2.36</v>
      </c>
      <c r="AE940" s="48">
        <v>2.4</v>
      </c>
      <c r="AF940" s="48">
        <f t="shared" si="268"/>
        <v>2.2999999999999998</v>
      </c>
      <c r="AG940" s="49">
        <v>2.39</v>
      </c>
      <c r="AH940" s="98">
        <v>6.8299999999999996E-7</v>
      </c>
      <c r="AI940" s="98">
        <v>9.5099999999999998E-7</v>
      </c>
      <c r="AJ940" s="483">
        <f t="shared" si="276"/>
        <v>-4.5541456226311192</v>
      </c>
      <c r="AK940" s="483">
        <f>LOG10(AI940*1000/(0.08206*298.15))</f>
        <v>-4.4103858093752377</v>
      </c>
      <c r="AL940" s="483">
        <f t="shared" si="275"/>
        <v>-4.4103858093752377</v>
      </c>
      <c r="AM940" s="483">
        <v>-6.4130500000000001</v>
      </c>
      <c r="AN940" s="226">
        <v>-4.17</v>
      </c>
      <c r="AO940" s="484">
        <v>10.61</v>
      </c>
      <c r="AP940" s="484"/>
      <c r="AQ940" s="48" t="s">
        <v>6311</v>
      </c>
      <c r="AR940" s="48" t="s">
        <v>6311</v>
      </c>
      <c r="AS940" s="227"/>
      <c r="AT940" s="50" t="s">
        <v>266</v>
      </c>
      <c r="AU940" s="48">
        <v>6</v>
      </c>
      <c r="AV940" s="48">
        <v>120</v>
      </c>
      <c r="AW940" s="48">
        <v>114</v>
      </c>
      <c r="AX940" s="48">
        <v>28</v>
      </c>
      <c r="AY940" s="48" t="s">
        <v>8728</v>
      </c>
      <c r="AZ940" s="48" t="s">
        <v>1563</v>
      </c>
      <c r="BA940" s="48">
        <v>32</v>
      </c>
      <c r="BB940" s="47" t="s">
        <v>2485</v>
      </c>
      <c r="BC940" s="47" t="s">
        <v>8726</v>
      </c>
      <c r="BD940" s="47" t="s">
        <v>8374</v>
      </c>
      <c r="BE940" s="48" t="s">
        <v>2449</v>
      </c>
      <c r="BF940" s="48" t="s">
        <v>272</v>
      </c>
      <c r="BG940" s="48" t="s">
        <v>272</v>
      </c>
      <c r="BH940" s="48" t="s">
        <v>2486</v>
      </c>
      <c r="BI940" s="98">
        <v>6.3999999999999997E-6</v>
      </c>
      <c r="BJ940" s="98">
        <v>6.4000000000000001E-2</v>
      </c>
      <c r="BK940" s="48"/>
      <c r="BL940" s="98">
        <f t="shared" si="274"/>
        <v>0.23267997046521618</v>
      </c>
      <c r="BM940" s="47" t="s">
        <v>2487</v>
      </c>
      <c r="BN940" s="48"/>
      <c r="BO940" s="48"/>
      <c r="BP940" s="48"/>
      <c r="BQ940" s="48"/>
      <c r="BR940" s="47" t="s">
        <v>2496</v>
      </c>
      <c r="BS940" s="48"/>
      <c r="BT940" s="48"/>
      <c r="BU940" s="228"/>
      <c r="BV940" s="48"/>
      <c r="BW940" s="48"/>
      <c r="BX940" s="48"/>
      <c r="BY940" s="48"/>
      <c r="BZ940" s="48"/>
      <c r="CA940" s="48"/>
      <c r="CB940" s="48"/>
      <c r="CC940" s="48"/>
      <c r="CD940" s="48"/>
      <c r="CE940" s="48"/>
      <c r="CF940" s="48"/>
      <c r="CG940" s="48"/>
      <c r="CH940" s="48"/>
      <c r="CI940" s="98"/>
      <c r="CJ940" s="98"/>
      <c r="CK940" s="49">
        <f t="shared" si="270"/>
        <v>3.6356245385190027</v>
      </c>
      <c r="CL940" s="229"/>
      <c r="CM940" s="229"/>
      <c r="CN940" s="229"/>
      <c r="CO940" s="47" t="s">
        <v>2488</v>
      </c>
      <c r="CP940" s="47" t="s">
        <v>2489</v>
      </c>
      <c r="CQ940" s="224">
        <v>-1.0324470931098879</v>
      </c>
      <c r="CR940" s="224">
        <f>10^(CJ940-CQ940)</f>
        <v>10.77573972817166</v>
      </c>
      <c r="CS940" s="230" t="s">
        <v>539</v>
      </c>
      <c r="CT940" s="230"/>
      <c r="CU940" s="230"/>
      <c r="CV940" s="335">
        <f t="shared" si="273"/>
        <v>1006.620415848068</v>
      </c>
      <c r="CW940" s="230">
        <f t="shared" si="269"/>
        <v>1</v>
      </c>
      <c r="CX940" s="336"/>
      <c r="CY940" s="230" t="s">
        <v>6351</v>
      </c>
    </row>
    <row r="941" spans="1:103" ht="11.25" customHeight="1" x14ac:dyDescent="0.2">
      <c r="A941" s="72">
        <v>939</v>
      </c>
      <c r="B941" s="224">
        <v>1684</v>
      </c>
      <c r="C941" s="46" t="s">
        <v>7128</v>
      </c>
      <c r="D941" s="46"/>
      <c r="E941" s="114"/>
      <c r="F941" s="114" t="s">
        <v>4908</v>
      </c>
      <c r="G941" s="225">
        <v>105873</v>
      </c>
      <c r="H941" s="47" t="s">
        <v>4909</v>
      </c>
      <c r="I941" s="47" t="s">
        <v>4909</v>
      </c>
      <c r="J941" s="47" t="s">
        <v>4910</v>
      </c>
      <c r="K941" s="47" t="s">
        <v>361</v>
      </c>
      <c r="L941" s="47"/>
      <c r="M941" s="47"/>
      <c r="N941" s="47"/>
      <c r="O941" s="47"/>
      <c r="P941" s="53"/>
      <c r="Q941" s="53"/>
      <c r="R941" s="53"/>
      <c r="S941" s="53"/>
      <c r="T941" s="48">
        <v>196.29</v>
      </c>
      <c r="U941" s="98"/>
      <c r="V941" s="98">
        <v>9.29237352896225E-2</v>
      </c>
      <c r="W941" s="98">
        <v>3.6307805477010109</v>
      </c>
      <c r="X941" s="98">
        <f>IF(W941=0,V941,W941)</f>
        <v>3.6307805477010109</v>
      </c>
      <c r="Y941" s="233">
        <v>7</v>
      </c>
      <c r="Z941" s="48">
        <v>4.4800000000000004</v>
      </c>
      <c r="AA941" s="48">
        <v>3.98</v>
      </c>
      <c r="AB941" s="48">
        <v>3.86</v>
      </c>
      <c r="AC941" s="48">
        <v>0.93689999999999996</v>
      </c>
      <c r="AD941" s="48">
        <v>3.9</v>
      </c>
      <c r="AE941" s="48">
        <v>4.0999999999999996</v>
      </c>
      <c r="AF941" s="48">
        <f t="shared" si="268"/>
        <v>3.98</v>
      </c>
      <c r="AG941" s="49">
        <v>3.16</v>
      </c>
      <c r="AH941" s="98">
        <v>2.4199999999999998E-3</v>
      </c>
      <c r="AI941" s="98"/>
      <c r="AJ941" s="483">
        <f t="shared" si="276"/>
        <v>-1.0047509603322204</v>
      </c>
      <c r="AK941" s="483"/>
      <c r="AL941" s="483">
        <f t="shared" si="275"/>
        <v>-1.0047509603322204</v>
      </c>
      <c r="AM941" s="483">
        <v>-4.8421000000000003</v>
      </c>
      <c r="AN941" s="226">
        <v>-2.5499999999999998</v>
      </c>
      <c r="AO941" s="484"/>
      <c r="AP941" s="484"/>
      <c r="AQ941" s="226" t="s">
        <v>6311</v>
      </c>
      <c r="AR941" s="226" t="s">
        <v>6312</v>
      </c>
      <c r="AS941" s="224"/>
      <c r="AT941" s="50" t="s">
        <v>266</v>
      </c>
      <c r="AU941" s="48">
        <v>6</v>
      </c>
      <c r="AV941" s="48">
        <v>120</v>
      </c>
      <c r="AW941" s="48">
        <v>114</v>
      </c>
      <c r="AX941" s="48">
        <v>28</v>
      </c>
      <c r="AY941" s="48" t="s">
        <v>8728</v>
      </c>
      <c r="AZ941" s="48" t="s">
        <v>1563</v>
      </c>
      <c r="BA941" s="48">
        <v>32</v>
      </c>
      <c r="BB941" s="47" t="s">
        <v>2485</v>
      </c>
      <c r="BC941" s="47" t="s">
        <v>8726</v>
      </c>
      <c r="BD941" s="47" t="s">
        <v>8374</v>
      </c>
      <c r="BE941" s="48" t="s">
        <v>2449</v>
      </c>
      <c r="BF941" s="48" t="s">
        <v>272</v>
      </c>
      <c r="BG941" s="48" t="s">
        <v>272</v>
      </c>
      <c r="BH941" s="48" t="s">
        <v>2486</v>
      </c>
      <c r="BI941" s="98">
        <v>6.3999999999999997E-6</v>
      </c>
      <c r="BJ941" s="98">
        <v>6.4000000000000001E-2</v>
      </c>
      <c r="BK941" s="48"/>
      <c r="BL941" s="98">
        <f t="shared" si="274"/>
        <v>4.8675676936289838E-3</v>
      </c>
      <c r="BM941" s="47" t="s">
        <v>2487</v>
      </c>
      <c r="BN941" s="48"/>
      <c r="BO941" s="48"/>
      <c r="BP941" s="48"/>
      <c r="BQ941" s="48"/>
      <c r="BR941" s="47" t="s">
        <v>2496</v>
      </c>
      <c r="BS941" s="48"/>
      <c r="BT941" s="48"/>
      <c r="BU941" s="228"/>
      <c r="BV941" s="48"/>
      <c r="BW941" s="48"/>
      <c r="BX941" s="48"/>
      <c r="BY941" s="48"/>
      <c r="BZ941" s="48"/>
      <c r="CA941" s="48"/>
      <c r="CB941" s="48"/>
      <c r="CC941" s="48"/>
      <c r="CD941" s="48"/>
      <c r="CE941" s="48"/>
      <c r="CF941" s="48"/>
      <c r="CG941" s="48"/>
      <c r="CH941" s="48"/>
      <c r="CI941" s="98"/>
      <c r="CJ941" s="98"/>
      <c r="CK941" s="49">
        <f t="shared" si="270"/>
        <v>7.6055745212952872E-2</v>
      </c>
      <c r="CL941" s="229"/>
      <c r="CM941" s="229"/>
      <c r="CN941" s="229"/>
      <c r="CO941" s="47" t="s">
        <v>2488</v>
      </c>
      <c r="CP941" s="47" t="s">
        <v>2489</v>
      </c>
      <c r="CQ941" s="224" t="s">
        <v>272</v>
      </c>
      <c r="CR941" s="224"/>
      <c r="CS941" s="230" t="s">
        <v>539</v>
      </c>
      <c r="CT941" s="230"/>
      <c r="CU941" s="230"/>
      <c r="CV941" s="335">
        <f t="shared" si="273"/>
        <v>56.730946057828291</v>
      </c>
      <c r="CW941" s="230">
        <f t="shared" si="269"/>
        <v>1</v>
      </c>
      <c r="CX941" s="336"/>
      <c r="CY941" s="230" t="s">
        <v>6351</v>
      </c>
    </row>
    <row r="942" spans="1:103" ht="11.25" customHeight="1" x14ac:dyDescent="0.2">
      <c r="A942" s="72">
        <v>940</v>
      </c>
      <c r="B942" s="224">
        <v>1592</v>
      </c>
      <c r="C942" s="46" t="s">
        <v>7129</v>
      </c>
      <c r="D942" s="46"/>
      <c r="E942" s="114"/>
      <c r="F942" s="114" t="s">
        <v>4753</v>
      </c>
      <c r="G942" s="225">
        <v>105997</v>
      </c>
      <c r="H942" s="47" t="s">
        <v>4754</v>
      </c>
      <c r="I942" s="47" t="s">
        <v>4754</v>
      </c>
      <c r="J942" s="47" t="s">
        <v>4755</v>
      </c>
      <c r="K942" s="47" t="s">
        <v>357</v>
      </c>
      <c r="L942" s="47" t="s">
        <v>6025</v>
      </c>
      <c r="M942" s="47" t="s">
        <v>5960</v>
      </c>
      <c r="N942" s="47"/>
      <c r="O942" s="47"/>
      <c r="P942" s="53"/>
      <c r="Q942" s="53" t="s">
        <v>6173</v>
      </c>
      <c r="R942" s="53" t="s">
        <v>6175</v>
      </c>
      <c r="S942" s="53" t="s">
        <v>6176</v>
      </c>
      <c r="T942" s="48">
        <v>258.35000000000002</v>
      </c>
      <c r="U942" s="98"/>
      <c r="V942" s="98">
        <v>1.6377007934971936E-2</v>
      </c>
      <c r="W942" s="98">
        <v>0.48977881936844564</v>
      </c>
      <c r="X942" s="98">
        <f>IF(W942=0,V942,W942)</f>
        <v>0.48977881936844564</v>
      </c>
      <c r="Y942" s="233">
        <v>7</v>
      </c>
      <c r="Z942" s="48">
        <v>4.33</v>
      </c>
      <c r="AA942" s="48"/>
      <c r="AB942" s="48">
        <v>3.43</v>
      </c>
      <c r="AC942" s="48">
        <v>0.76490000000000002</v>
      </c>
      <c r="AD942" s="48">
        <v>3.67</v>
      </c>
      <c r="AE942" s="48">
        <v>4.22</v>
      </c>
      <c r="AF942" s="48">
        <f t="shared" si="268"/>
        <v>3.67</v>
      </c>
      <c r="AG942" s="49">
        <v>3.3</v>
      </c>
      <c r="AH942" s="98">
        <v>5.3499999999999996E-6</v>
      </c>
      <c r="AI942" s="98"/>
      <c r="AJ942" s="483">
        <f t="shared" si="276"/>
        <v>-3.6602125442914235</v>
      </c>
      <c r="AK942" s="483"/>
      <c r="AL942" s="483">
        <f t="shared" si="275"/>
        <v>-3.6602125442914235</v>
      </c>
      <c r="AM942" s="483">
        <v>-6.7681899999999997</v>
      </c>
      <c r="AN942" s="226">
        <v>-4.84</v>
      </c>
      <c r="AO942" s="484"/>
      <c r="AP942" s="484"/>
      <c r="AQ942" s="48" t="s">
        <v>6311</v>
      </c>
      <c r="AR942" s="48" t="s">
        <v>6312</v>
      </c>
      <c r="AS942" s="227"/>
      <c r="AT942" s="50" t="s">
        <v>266</v>
      </c>
      <c r="AU942" s="48">
        <v>6</v>
      </c>
      <c r="AV942" s="48">
        <v>120</v>
      </c>
      <c r="AW942" s="48">
        <v>114</v>
      </c>
      <c r="AX942" s="48">
        <v>28</v>
      </c>
      <c r="AY942" s="48" t="s">
        <v>8728</v>
      </c>
      <c r="AZ942" s="48" t="s">
        <v>1563</v>
      </c>
      <c r="BA942" s="48">
        <v>32</v>
      </c>
      <c r="BB942" s="47" t="s">
        <v>2485</v>
      </c>
      <c r="BC942" s="47" t="s">
        <v>8726</v>
      </c>
      <c r="BD942" s="47" t="s">
        <v>8374</v>
      </c>
      <c r="BE942" s="48" t="s">
        <v>2449</v>
      </c>
      <c r="BF942" s="48" t="s">
        <v>272</v>
      </c>
      <c r="BG942" s="48" t="s">
        <v>272</v>
      </c>
      <c r="BH942" s="48" t="s">
        <v>2486</v>
      </c>
      <c r="BI942" s="98">
        <v>6.3999999999999997E-6</v>
      </c>
      <c r="BJ942" s="98">
        <v>6.4000000000000001E-2</v>
      </c>
      <c r="BK942" s="48"/>
      <c r="BL942" s="98">
        <f t="shared" si="274"/>
        <v>6.6378433645693288E-3</v>
      </c>
      <c r="BM942" s="47" t="s">
        <v>2487</v>
      </c>
      <c r="BN942" s="48"/>
      <c r="BO942" s="48"/>
      <c r="BP942" s="48"/>
      <c r="BQ942" s="48"/>
      <c r="BR942" s="47" t="s">
        <v>2496</v>
      </c>
      <c r="BS942" s="48"/>
      <c r="BT942" s="48"/>
      <c r="BU942" s="228"/>
      <c r="BV942" s="48"/>
      <c r="BW942" s="48"/>
      <c r="BX942" s="48"/>
      <c r="BY942" s="48"/>
      <c r="BZ942" s="48"/>
      <c r="CA942" s="48"/>
      <c r="CB942" s="48"/>
      <c r="CC942" s="48"/>
      <c r="CD942" s="48"/>
      <c r="CE942" s="48"/>
      <c r="CF942" s="48"/>
      <c r="CG942" s="48"/>
      <c r="CH942" s="48"/>
      <c r="CI942" s="98"/>
      <c r="CJ942" s="98"/>
      <c r="CK942" s="49">
        <f t="shared" si="270"/>
        <v>0.10371630257139576</v>
      </c>
      <c r="CL942" s="229"/>
      <c r="CM942" s="229"/>
      <c r="CN942" s="229"/>
      <c r="CO942" s="47" t="s">
        <v>2488</v>
      </c>
      <c r="CP942" s="47" t="s">
        <v>2489</v>
      </c>
      <c r="CQ942" s="224">
        <v>-1.8499156014252058</v>
      </c>
      <c r="CR942" s="224">
        <f>10^(CJ942-CQ942)</f>
        <v>70.780821917808254</v>
      </c>
      <c r="CS942" s="230" t="s">
        <v>539</v>
      </c>
      <c r="CT942" s="230"/>
      <c r="CU942" s="230"/>
      <c r="CV942" s="335">
        <f t="shared" si="273"/>
        <v>7.6527940526319629</v>
      </c>
      <c r="CW942" s="230">
        <f t="shared" si="269"/>
        <v>1</v>
      </c>
      <c r="CX942" s="336"/>
      <c r="CY942" s="230" t="s">
        <v>6351</v>
      </c>
    </row>
    <row r="943" spans="1:103" ht="11.25" customHeight="1" x14ac:dyDescent="0.2">
      <c r="A943" s="72">
        <v>941</v>
      </c>
      <c r="B943" s="224">
        <v>1556</v>
      </c>
      <c r="C943" s="46" t="s">
        <v>7130</v>
      </c>
      <c r="D943" s="46"/>
      <c r="E943" s="114"/>
      <c r="F943" s="114" t="s">
        <v>4693</v>
      </c>
      <c r="G943" s="225">
        <v>106229</v>
      </c>
      <c r="H943" s="47" t="s">
        <v>4694</v>
      </c>
      <c r="I943" s="47" t="s">
        <v>4694</v>
      </c>
      <c r="J943" s="47" t="s">
        <v>4695</v>
      </c>
      <c r="K943" s="47" t="s">
        <v>426</v>
      </c>
      <c r="L943" s="47"/>
      <c r="M943" s="47"/>
      <c r="N943" s="47"/>
      <c r="O943" s="47"/>
      <c r="P943" s="53"/>
      <c r="Q943" s="53"/>
      <c r="R943" s="53"/>
      <c r="S943" s="53"/>
      <c r="T943" s="48">
        <v>156.27000000000001</v>
      </c>
      <c r="U943" s="98"/>
      <c r="V943" s="98">
        <v>0.67511358546106093</v>
      </c>
      <c r="W943" s="98">
        <v>2.6915348039269147</v>
      </c>
      <c r="X943" s="98">
        <f>IF(W943=0,V943,W943)</f>
        <v>2.6915348039269147</v>
      </c>
      <c r="Y943" s="233">
        <v>7</v>
      </c>
      <c r="Z943" s="48">
        <v>3.56</v>
      </c>
      <c r="AA943" s="48">
        <v>3.91</v>
      </c>
      <c r="AB943" s="48">
        <v>3.62</v>
      </c>
      <c r="AC943" s="48">
        <v>0.89980000000000004</v>
      </c>
      <c r="AD943" s="48">
        <v>3.56</v>
      </c>
      <c r="AE943" s="48">
        <v>3.38</v>
      </c>
      <c r="AF943" s="48">
        <f t="shared" si="268"/>
        <v>3.91</v>
      </c>
      <c r="AG943" s="49">
        <v>3.03</v>
      </c>
      <c r="AH943" s="98">
        <v>5.6799999999999998E-5</v>
      </c>
      <c r="AI943" s="98"/>
      <c r="AJ943" s="483">
        <f t="shared" si="276"/>
        <v>-2.6342179906016328</v>
      </c>
      <c r="AK943" s="483"/>
      <c r="AL943" s="483">
        <f t="shared" si="275"/>
        <v>-2.6342179906016328</v>
      </c>
      <c r="AM943" s="483">
        <v>-4.8625799999999995</v>
      </c>
      <c r="AN943" s="226">
        <v>-3.16</v>
      </c>
      <c r="AO943" s="484">
        <v>15.13</v>
      </c>
      <c r="AP943" s="484"/>
      <c r="AQ943" s="48" t="s">
        <v>6311</v>
      </c>
      <c r="AR943" s="48" t="s">
        <v>6311</v>
      </c>
      <c r="AS943" s="227"/>
      <c r="AT943" s="50" t="s">
        <v>266</v>
      </c>
      <c r="AU943" s="48">
        <v>6</v>
      </c>
      <c r="AV943" s="48">
        <v>120</v>
      </c>
      <c r="AW943" s="48">
        <v>114</v>
      </c>
      <c r="AX943" s="48">
        <v>28</v>
      </c>
      <c r="AY943" s="48" t="s">
        <v>8728</v>
      </c>
      <c r="AZ943" s="48" t="s">
        <v>1563</v>
      </c>
      <c r="BA943" s="48">
        <v>32</v>
      </c>
      <c r="BB943" s="47" t="s">
        <v>2485</v>
      </c>
      <c r="BC943" s="47" t="s">
        <v>8726</v>
      </c>
      <c r="BD943" s="47" t="s">
        <v>8374</v>
      </c>
      <c r="BE943" s="48" t="s">
        <v>2449</v>
      </c>
      <c r="BF943" s="48" t="s">
        <v>272</v>
      </c>
      <c r="BG943" s="48" t="s">
        <v>272</v>
      </c>
      <c r="BH943" s="48" t="s">
        <v>2486</v>
      </c>
      <c r="BI943" s="98">
        <v>6.3999999999999997E-6</v>
      </c>
      <c r="BJ943" s="98">
        <v>6.4000000000000001E-2</v>
      </c>
      <c r="BK943" s="48"/>
      <c r="BL943" s="98">
        <f t="shared" si="274"/>
        <v>3.2626012632082591E-2</v>
      </c>
      <c r="BM943" s="47" t="s">
        <v>2487</v>
      </c>
      <c r="BN943" s="48"/>
      <c r="BO943" s="48"/>
      <c r="BP943" s="48"/>
      <c r="BQ943" s="48"/>
      <c r="BR943" s="47" t="s">
        <v>2496</v>
      </c>
      <c r="BS943" s="48"/>
      <c r="BT943" s="48"/>
      <c r="BU943" s="228"/>
      <c r="BV943" s="48"/>
      <c r="BW943" s="48"/>
      <c r="BX943" s="48"/>
      <c r="BY943" s="48"/>
      <c r="BZ943" s="48"/>
      <c r="CA943" s="48"/>
      <c r="CB943" s="48"/>
      <c r="CC943" s="48"/>
      <c r="CD943" s="48"/>
      <c r="CE943" s="48"/>
      <c r="CF943" s="48"/>
      <c r="CG943" s="48"/>
      <c r="CH943" s="48"/>
      <c r="CI943" s="98"/>
      <c r="CJ943" s="98"/>
      <c r="CK943" s="49">
        <f t="shared" si="270"/>
        <v>0.5097814473762905</v>
      </c>
      <c r="CL943" s="229"/>
      <c r="CM943" s="229"/>
      <c r="CN943" s="229"/>
      <c r="CO943" s="47" t="s">
        <v>2488</v>
      </c>
      <c r="CP943" s="47" t="s">
        <v>2489</v>
      </c>
      <c r="CQ943" s="224" t="s">
        <v>272</v>
      </c>
      <c r="CR943" s="224"/>
      <c r="CS943" s="230" t="s">
        <v>539</v>
      </c>
      <c r="CT943" s="230"/>
      <c r="CU943" s="230"/>
      <c r="CV943" s="335">
        <f t="shared" si="273"/>
        <v>42.055231311358042</v>
      </c>
      <c r="CW943" s="230">
        <f t="shared" si="269"/>
        <v>1</v>
      </c>
      <c r="CX943" s="336"/>
      <c r="CY943" s="230" t="s">
        <v>6351</v>
      </c>
    </row>
    <row r="944" spans="1:103" ht="11.25" customHeight="1" x14ac:dyDescent="0.2">
      <c r="A944" s="72">
        <v>942</v>
      </c>
      <c r="B944" s="224">
        <v>1154</v>
      </c>
      <c r="C944" s="46" t="s">
        <v>7131</v>
      </c>
      <c r="D944" s="46"/>
      <c r="E944" s="114"/>
      <c r="F944" s="114" t="s">
        <v>3194</v>
      </c>
      <c r="G944" s="225">
        <v>106241</v>
      </c>
      <c r="H944" s="47" t="s">
        <v>3195</v>
      </c>
      <c r="I944" s="47" t="s">
        <v>3195</v>
      </c>
      <c r="J944" s="47" t="s">
        <v>3196</v>
      </c>
      <c r="K944" s="47" t="s">
        <v>659</v>
      </c>
      <c r="L944" s="47" t="s">
        <v>6127</v>
      </c>
      <c r="M944" s="47" t="s">
        <v>5960</v>
      </c>
      <c r="N944" s="47"/>
      <c r="O944" s="47"/>
      <c r="P944" s="53"/>
      <c r="Q944" s="53"/>
      <c r="R944" s="53"/>
      <c r="S944" s="53"/>
      <c r="T944" s="48">
        <v>154.25</v>
      </c>
      <c r="U944" s="98">
        <v>3.4424635332252835</v>
      </c>
      <c r="V944" s="98">
        <v>1.6583468395461913</v>
      </c>
      <c r="W944" s="98">
        <v>4.3651583224016566</v>
      </c>
      <c r="X944" s="98">
        <v>3.4424635332252835</v>
      </c>
      <c r="Y944" s="233">
        <v>7</v>
      </c>
      <c r="Z944" s="48">
        <v>3.47</v>
      </c>
      <c r="AA944" s="48">
        <v>3.47</v>
      </c>
      <c r="AB944" s="48">
        <v>3.45</v>
      </c>
      <c r="AC944" s="48">
        <v>0.90790000000000004</v>
      </c>
      <c r="AD944" s="48">
        <v>3.41</v>
      </c>
      <c r="AE944" s="48">
        <v>3.28</v>
      </c>
      <c r="AF944" s="48">
        <f t="shared" si="268"/>
        <v>3.47</v>
      </c>
      <c r="AG944" s="49">
        <v>2.75</v>
      </c>
      <c r="AH944" s="98">
        <v>5.8900000000000002E-5</v>
      </c>
      <c r="AI944" s="98">
        <v>1.15E-5</v>
      </c>
      <c r="AJ944" s="483">
        <f t="shared" si="276"/>
        <v>-2.61845103152555</v>
      </c>
      <c r="AK944" s="483">
        <f>LOG10(AI944*1000/(0.08206*298.15))</f>
        <v>-3.3278684859590402</v>
      </c>
      <c r="AL944" s="483">
        <f t="shared" si="275"/>
        <v>-3.3278684859590402</v>
      </c>
      <c r="AM944" s="483">
        <v>-5.3601099999999997</v>
      </c>
      <c r="AN944" s="226">
        <v>-3.8</v>
      </c>
      <c r="AO944" s="484">
        <v>14.45</v>
      </c>
      <c r="AP944" s="484"/>
      <c r="AQ944" s="48" t="s">
        <v>6311</v>
      </c>
      <c r="AR944" s="48" t="s">
        <v>6311</v>
      </c>
      <c r="AS944" s="227"/>
      <c r="AT944" s="50" t="s">
        <v>266</v>
      </c>
      <c r="AU944" s="48">
        <v>6</v>
      </c>
      <c r="AV944" s="48">
        <v>120</v>
      </c>
      <c r="AW944" s="48">
        <v>114</v>
      </c>
      <c r="AX944" s="48">
        <v>28</v>
      </c>
      <c r="AY944" s="48" t="s">
        <v>8728</v>
      </c>
      <c r="AZ944" s="48" t="s">
        <v>1563</v>
      </c>
      <c r="BA944" s="48">
        <v>32</v>
      </c>
      <c r="BB944" s="47" t="s">
        <v>2485</v>
      </c>
      <c r="BC944" s="47" t="s">
        <v>8726</v>
      </c>
      <c r="BD944" s="47" t="s">
        <v>8374</v>
      </c>
      <c r="BE944" s="48" t="s">
        <v>2449</v>
      </c>
      <c r="BF944" s="48" t="s">
        <v>272</v>
      </c>
      <c r="BG944" s="48" t="s">
        <v>272</v>
      </c>
      <c r="BH944" s="48" t="s">
        <v>2486</v>
      </c>
      <c r="BI944" s="98">
        <v>6.3999999999999997E-6</v>
      </c>
      <c r="BJ944" s="98">
        <v>6.4000000000000001E-2</v>
      </c>
      <c r="BK944" s="48"/>
      <c r="BL944" s="98">
        <f t="shared" si="274"/>
        <v>3.9300040687265454E-2</v>
      </c>
      <c r="BM944" s="47" t="s">
        <v>2487</v>
      </c>
      <c r="BN944" s="48"/>
      <c r="BO944" s="48"/>
      <c r="BP944" s="48"/>
      <c r="BQ944" s="48"/>
      <c r="BR944" s="47" t="s">
        <v>2496</v>
      </c>
      <c r="BS944" s="48"/>
      <c r="BT944" s="48"/>
      <c r="BU944" s="228">
        <v>6.4000000000000001E-2</v>
      </c>
      <c r="BV944" s="48"/>
      <c r="BW944" s="48"/>
      <c r="BX944" s="48"/>
      <c r="BY944" s="48"/>
      <c r="BZ944" s="48"/>
      <c r="CA944" s="48"/>
      <c r="CB944" s="48"/>
      <c r="CC944" s="48"/>
      <c r="CD944" s="48"/>
      <c r="CE944" s="48"/>
      <c r="CF944" s="48"/>
      <c r="CG944" s="48"/>
      <c r="CH944" s="48"/>
      <c r="CI944" s="98"/>
      <c r="CJ944" s="98"/>
      <c r="CK944" s="49">
        <f t="shared" si="270"/>
        <v>0.61406313573852267</v>
      </c>
      <c r="CL944" s="229"/>
      <c r="CM944" s="229"/>
      <c r="CN944" s="229"/>
      <c r="CO944" s="47" t="s">
        <v>2488</v>
      </c>
      <c r="CP944" s="47" t="s">
        <v>2489</v>
      </c>
      <c r="CQ944" s="224">
        <v>-1.597451270464306</v>
      </c>
      <c r="CR944" s="224">
        <f>10^(CJ944-CQ944)</f>
        <v>39.577765454691189</v>
      </c>
      <c r="CS944" s="230" t="s">
        <v>539</v>
      </c>
      <c r="CT944" s="230"/>
      <c r="CU944" s="230"/>
      <c r="CV944" s="335">
        <f t="shared" si="273"/>
        <v>53.788492706645052</v>
      </c>
      <c r="CW944" s="230">
        <f t="shared" si="269"/>
        <v>1</v>
      </c>
      <c r="CX944" s="336"/>
      <c r="CY944" s="230" t="s">
        <v>6351</v>
      </c>
    </row>
    <row r="945" spans="1:103" ht="11.25" customHeight="1" x14ac:dyDescent="0.2">
      <c r="A945" s="72">
        <v>943</v>
      </c>
      <c r="B945" s="224">
        <v>75</v>
      </c>
      <c r="C945" s="46" t="s">
        <v>7132</v>
      </c>
      <c r="D945" s="46"/>
      <c r="E945" s="114"/>
      <c r="F945" s="114" t="s">
        <v>3646</v>
      </c>
      <c r="G945" s="225">
        <v>106252</v>
      </c>
      <c r="H945" s="47" t="s">
        <v>3195</v>
      </c>
      <c r="I945" s="47" t="s">
        <v>3195</v>
      </c>
      <c r="J945" s="236" t="s">
        <v>3196</v>
      </c>
      <c r="K945" s="236" t="s">
        <v>659</v>
      </c>
      <c r="L945" s="47"/>
      <c r="M945" s="47"/>
      <c r="N945" s="47"/>
      <c r="O945" s="52"/>
      <c r="P945" s="53"/>
      <c r="Q945" s="53"/>
      <c r="R945" s="53"/>
      <c r="S945" s="53"/>
      <c r="T945" s="226">
        <v>154.25</v>
      </c>
      <c r="U945" s="98">
        <v>3.4424635332252835</v>
      </c>
      <c r="V945" s="98">
        <v>1.6583468395461913</v>
      </c>
      <c r="W945" s="98">
        <v>4.3651583224016566</v>
      </c>
      <c r="X945" s="98">
        <v>3.4424635332252835</v>
      </c>
      <c r="Y945" s="233">
        <v>7</v>
      </c>
      <c r="Z945" s="48">
        <v>3.47</v>
      </c>
      <c r="AA945" s="48">
        <v>3.47</v>
      </c>
      <c r="AB945" s="48">
        <v>3.45</v>
      </c>
      <c r="AC945" s="48">
        <v>0.90790000000000004</v>
      </c>
      <c r="AD945" s="48">
        <v>3.41</v>
      </c>
      <c r="AE945" s="48">
        <v>3.28</v>
      </c>
      <c r="AF945" s="48">
        <f t="shared" si="268"/>
        <v>3.47</v>
      </c>
      <c r="AG945" s="48">
        <v>2.75</v>
      </c>
      <c r="AH945" s="98">
        <v>5.8900000000000002E-5</v>
      </c>
      <c r="AI945" s="98">
        <v>1.15E-5</v>
      </c>
      <c r="AJ945" s="483">
        <f t="shared" si="276"/>
        <v>-2.61845103152555</v>
      </c>
      <c r="AK945" s="483">
        <f>LOG10(AI945*1000/(0.08206*298.15))</f>
        <v>-3.3278684859590402</v>
      </c>
      <c r="AL945" s="483">
        <f t="shared" si="275"/>
        <v>-3.3278684859590402</v>
      </c>
      <c r="AM945" s="483">
        <v>-5.3601099999999997</v>
      </c>
      <c r="AN945" s="48">
        <v>-3.8</v>
      </c>
      <c r="AO945" s="484">
        <v>14.45</v>
      </c>
      <c r="AP945" s="484"/>
      <c r="AQ945" s="48" t="s">
        <v>6311</v>
      </c>
      <c r="AR945" s="48" t="s">
        <v>6311</v>
      </c>
      <c r="AS945" s="227"/>
      <c r="AT945" s="50" t="s">
        <v>266</v>
      </c>
      <c r="AU945" s="48">
        <v>6</v>
      </c>
      <c r="AV945" s="48">
        <v>120</v>
      </c>
      <c r="AW945" s="48">
        <v>114</v>
      </c>
      <c r="AX945" s="48">
        <v>28</v>
      </c>
      <c r="AY945" s="48" t="s">
        <v>8728</v>
      </c>
      <c r="AZ945" s="48" t="s">
        <v>1563</v>
      </c>
      <c r="BA945" s="48">
        <v>32</v>
      </c>
      <c r="BB945" s="47" t="s">
        <v>2485</v>
      </c>
      <c r="BC945" s="47" t="s">
        <v>8726</v>
      </c>
      <c r="BD945" s="47" t="s">
        <v>8374</v>
      </c>
      <c r="BE945" s="48" t="s">
        <v>2449</v>
      </c>
      <c r="BF945" s="48" t="s">
        <v>272</v>
      </c>
      <c r="BG945" s="48" t="s">
        <v>272</v>
      </c>
      <c r="BH945" s="48" t="s">
        <v>2486</v>
      </c>
      <c r="BI945" s="98">
        <v>6.3999999999999997E-6</v>
      </c>
      <c r="BJ945" s="98">
        <v>6.4000000000000001E-2</v>
      </c>
      <c r="BK945" s="48"/>
      <c r="BL945" s="98">
        <f t="shared" si="274"/>
        <v>3.9300040687265454E-2</v>
      </c>
      <c r="BM945" s="47" t="s">
        <v>2487</v>
      </c>
      <c r="BN945" s="48"/>
      <c r="BO945" s="48"/>
      <c r="BP945" s="48"/>
      <c r="BQ945" s="48"/>
      <c r="BR945" s="47" t="s">
        <v>2496</v>
      </c>
      <c r="BS945" s="48"/>
      <c r="BT945" s="48"/>
      <c r="BU945" s="228"/>
      <c r="BV945" s="48"/>
      <c r="BW945" s="48"/>
      <c r="BX945" s="48"/>
      <c r="BY945" s="48"/>
      <c r="BZ945" s="48"/>
      <c r="CA945" s="48"/>
      <c r="CB945" s="48"/>
      <c r="CC945" s="48"/>
      <c r="CD945" s="48"/>
      <c r="CE945" s="48"/>
      <c r="CF945" s="48"/>
      <c r="CG945" s="48"/>
      <c r="CH945" s="48"/>
      <c r="CI945" s="98"/>
      <c r="CJ945" s="98"/>
      <c r="CK945" s="49">
        <f t="shared" si="270"/>
        <v>0.61406313573852267</v>
      </c>
      <c r="CL945" s="229"/>
      <c r="CM945" s="229"/>
      <c r="CN945" s="229"/>
      <c r="CO945" s="47" t="s">
        <v>2488</v>
      </c>
      <c r="CP945" s="47" t="s">
        <v>2489</v>
      </c>
      <c r="CQ945" s="224" t="s">
        <v>272</v>
      </c>
      <c r="CR945" s="224"/>
      <c r="CS945" s="230" t="s">
        <v>539</v>
      </c>
      <c r="CT945" s="230"/>
      <c r="CU945" s="230"/>
      <c r="CV945" s="335">
        <f t="shared" si="273"/>
        <v>53.788492706645052</v>
      </c>
      <c r="CW945" s="230">
        <f t="shared" si="269"/>
        <v>1</v>
      </c>
      <c r="CX945" s="336"/>
      <c r="CY945" s="230" t="s">
        <v>6351</v>
      </c>
    </row>
    <row r="946" spans="1:103" ht="11.25" customHeight="1" x14ac:dyDescent="0.2">
      <c r="A946" s="72">
        <v>944</v>
      </c>
      <c r="B946" s="224">
        <v>1169</v>
      </c>
      <c r="C946" s="46" t="s">
        <v>7133</v>
      </c>
      <c r="D946" s="46"/>
      <c r="E946" s="114"/>
      <c r="F946" s="114" t="s">
        <v>3225</v>
      </c>
      <c r="G946" s="225">
        <v>106274</v>
      </c>
      <c r="H946" s="47" t="s">
        <v>3226</v>
      </c>
      <c r="I946" s="47" t="s">
        <v>3226</v>
      </c>
      <c r="J946" s="47" t="s">
        <v>3227</v>
      </c>
      <c r="K946" s="47" t="s">
        <v>357</v>
      </c>
      <c r="L946" s="47"/>
      <c r="M946" s="47"/>
      <c r="N946" s="47"/>
      <c r="O946" s="47"/>
      <c r="P946" s="53"/>
      <c r="Q946" s="53"/>
      <c r="R946" s="53"/>
      <c r="S946" s="53"/>
      <c r="T946" s="48">
        <v>158.24</v>
      </c>
      <c r="U946" s="98"/>
      <c r="V946" s="98">
        <v>0.74443882709807885</v>
      </c>
      <c r="W946" s="98">
        <v>5.6234132519034867</v>
      </c>
      <c r="X946" s="98">
        <f>IF(W946=0,V946,W946)</f>
        <v>5.6234132519034867</v>
      </c>
      <c r="Y946" s="233">
        <v>7</v>
      </c>
      <c r="Z946" s="48">
        <v>3.25</v>
      </c>
      <c r="AA946" s="48"/>
      <c r="AB946" s="48">
        <v>2.81</v>
      </c>
      <c r="AC946" s="48">
        <v>0.86019999999999996</v>
      </c>
      <c r="AD946" s="48">
        <v>2.91</v>
      </c>
      <c r="AE946" s="48">
        <v>3.18</v>
      </c>
      <c r="AF946" s="48">
        <f t="shared" si="268"/>
        <v>2.91</v>
      </c>
      <c r="AG946" s="49">
        <v>2.5</v>
      </c>
      <c r="AH946" s="98">
        <v>9.6000000000000002E-4</v>
      </c>
      <c r="AI946" s="98"/>
      <c r="AJ946" s="483">
        <f t="shared" si="276"/>
        <v>-1.4062950932730833</v>
      </c>
      <c r="AK946" s="483"/>
      <c r="AL946" s="483">
        <f t="shared" si="275"/>
        <v>-1.4062950932730833</v>
      </c>
      <c r="AM946" s="483">
        <v>-3.3544499999999999</v>
      </c>
      <c r="AN946" s="226">
        <v>-1.66</v>
      </c>
      <c r="AO946" s="484"/>
      <c r="AP946" s="484"/>
      <c r="AQ946" s="48" t="s">
        <v>6311</v>
      </c>
      <c r="AR946" s="48" t="s">
        <v>6312</v>
      </c>
      <c r="AS946" s="227"/>
      <c r="AT946" s="50" t="s">
        <v>266</v>
      </c>
      <c r="AU946" s="48">
        <v>6</v>
      </c>
      <c r="AV946" s="48">
        <v>120</v>
      </c>
      <c r="AW946" s="48">
        <v>114</v>
      </c>
      <c r="AX946" s="48">
        <v>28</v>
      </c>
      <c r="AY946" s="48" t="s">
        <v>8728</v>
      </c>
      <c r="AZ946" s="48" t="s">
        <v>1563</v>
      </c>
      <c r="BA946" s="48">
        <v>32</v>
      </c>
      <c r="BB946" s="47" t="s">
        <v>2485</v>
      </c>
      <c r="BC946" s="47" t="s">
        <v>8726</v>
      </c>
      <c r="BD946" s="47" t="s">
        <v>8374</v>
      </c>
      <c r="BE946" s="48" t="s">
        <v>2449</v>
      </c>
      <c r="BF946" s="48" t="s">
        <v>272</v>
      </c>
      <c r="BG946" s="48" t="s">
        <v>272</v>
      </c>
      <c r="BH946" s="48" t="s">
        <v>2486</v>
      </c>
      <c r="BI946" s="98">
        <v>6.3999999999999997E-6</v>
      </c>
      <c r="BJ946" s="98">
        <v>6.4000000000000001E-2</v>
      </c>
      <c r="BK946" s="48"/>
      <c r="BL946" s="98">
        <f t="shared" si="274"/>
        <v>6.1940541820844193E-2</v>
      </c>
      <c r="BM946" s="47" t="s">
        <v>2487</v>
      </c>
      <c r="BN946" s="48"/>
      <c r="BO946" s="48"/>
      <c r="BP946" s="48"/>
      <c r="BQ946" s="48"/>
      <c r="BR946" s="47" t="s">
        <v>2496</v>
      </c>
      <c r="BS946" s="48"/>
      <c r="BT946" s="48"/>
      <c r="BU946" s="228">
        <v>6.3999999999999997E-5</v>
      </c>
      <c r="BV946" s="48"/>
      <c r="BW946" s="48"/>
      <c r="BX946" s="48"/>
      <c r="BY946" s="48"/>
      <c r="BZ946" s="48"/>
      <c r="CA946" s="48"/>
      <c r="CB946" s="48"/>
      <c r="CC946" s="48"/>
      <c r="CD946" s="48"/>
      <c r="CE946" s="48"/>
      <c r="CF946" s="48"/>
      <c r="CG946" s="48"/>
      <c r="CH946" s="48"/>
      <c r="CI946" s="98"/>
      <c r="CJ946" s="98"/>
      <c r="CK946" s="49">
        <f t="shared" si="270"/>
        <v>0.96782096595069045</v>
      </c>
      <c r="CL946" s="229"/>
      <c r="CM946" s="229"/>
      <c r="CN946" s="229"/>
      <c r="CO946" s="47" t="s">
        <v>2488</v>
      </c>
      <c r="CP946" s="47" t="s">
        <v>2489</v>
      </c>
      <c r="CQ946" s="224" t="s">
        <v>272</v>
      </c>
      <c r="CR946" s="224"/>
      <c r="CS946" s="230" t="s">
        <v>539</v>
      </c>
      <c r="CT946" s="230"/>
      <c r="CU946" s="230"/>
      <c r="CV946" s="335">
        <f t="shared" si="273"/>
        <v>87.865832060991977</v>
      </c>
      <c r="CW946" s="230">
        <f t="shared" si="269"/>
        <v>1</v>
      </c>
      <c r="CX946" s="336"/>
      <c r="CY946" s="230" t="s">
        <v>5921</v>
      </c>
    </row>
    <row r="947" spans="1:103" ht="11.25" customHeight="1" x14ac:dyDescent="0.2">
      <c r="A947" s="72">
        <v>945</v>
      </c>
      <c r="B947" s="224">
        <v>1454</v>
      </c>
      <c r="C947" s="46" t="s">
        <v>7134</v>
      </c>
      <c r="D947" s="46"/>
      <c r="E947" s="114"/>
      <c r="F947" s="114" t="s">
        <v>4470</v>
      </c>
      <c r="G947" s="225">
        <v>106434</v>
      </c>
      <c r="H947" s="47" t="s">
        <v>4471</v>
      </c>
      <c r="I947" s="47" t="s">
        <v>8027</v>
      </c>
      <c r="J947" s="47" t="s">
        <v>4472</v>
      </c>
      <c r="K947" s="47" t="s">
        <v>426</v>
      </c>
      <c r="L947" s="47" t="s">
        <v>5527</v>
      </c>
      <c r="M947" s="47" t="s">
        <v>866</v>
      </c>
      <c r="N947" s="47" t="s">
        <v>6082</v>
      </c>
      <c r="O947" s="47" t="s">
        <v>498</v>
      </c>
      <c r="P947" s="53" t="s">
        <v>6183</v>
      </c>
      <c r="Q947" s="53" t="s">
        <v>6176</v>
      </c>
      <c r="R947" s="53" t="s">
        <v>6185</v>
      </c>
      <c r="S947" s="53" t="s">
        <v>6176</v>
      </c>
      <c r="T947" s="48">
        <v>126.58</v>
      </c>
      <c r="U947" s="98">
        <v>0.83741507347132249</v>
      </c>
      <c r="V947" s="98">
        <v>1.0728393111076</v>
      </c>
      <c r="W947" s="98">
        <v>0.3019951720402016</v>
      </c>
      <c r="X947" s="98">
        <v>0.83741507347132249</v>
      </c>
      <c r="Y947" s="233">
        <v>7</v>
      </c>
      <c r="Z947" s="48">
        <v>3.18</v>
      </c>
      <c r="AA947" s="48">
        <v>3.33</v>
      </c>
      <c r="AB947" s="48">
        <v>3.26</v>
      </c>
      <c r="AC947" s="48">
        <v>0.95009999999999994</v>
      </c>
      <c r="AD947" s="48">
        <v>3.27</v>
      </c>
      <c r="AE947" s="48">
        <v>3.27</v>
      </c>
      <c r="AF947" s="48">
        <f t="shared" si="268"/>
        <v>3.33</v>
      </c>
      <c r="AG947" s="49">
        <v>2.95</v>
      </c>
      <c r="AH947" s="98">
        <v>4.4099999999999999E-3</v>
      </c>
      <c r="AI947" s="98">
        <v>4.3800000000000002E-3</v>
      </c>
      <c r="AJ947" s="483">
        <f t="shared" si="276"/>
        <v>-0.74412773684481326</v>
      </c>
      <c r="AK947" s="483">
        <f>LOG10(AI947*1000/(0.08206*298.15))</f>
        <v>-0.74709221580855223</v>
      </c>
      <c r="AL947" s="483">
        <f t="shared" si="275"/>
        <v>-0.74709221580855223</v>
      </c>
      <c r="AM947" s="483">
        <v>-2.6709099999999992</v>
      </c>
      <c r="AN947" s="226">
        <v>-0.745</v>
      </c>
      <c r="AO947" s="484"/>
      <c r="AP947" s="484"/>
      <c r="AQ947" s="48" t="s">
        <v>6311</v>
      </c>
      <c r="AR947" s="48" t="s">
        <v>6311</v>
      </c>
      <c r="AS947" s="227"/>
      <c r="AT947" s="50" t="s">
        <v>266</v>
      </c>
      <c r="AU947" s="48">
        <v>6</v>
      </c>
      <c r="AV947" s="48">
        <v>120</v>
      </c>
      <c r="AW947" s="48">
        <v>114</v>
      </c>
      <c r="AX947" s="48">
        <v>28</v>
      </c>
      <c r="AY947" s="48" t="s">
        <v>8728</v>
      </c>
      <c r="AZ947" s="48" t="s">
        <v>1563</v>
      </c>
      <c r="BA947" s="48">
        <v>32</v>
      </c>
      <c r="BB947" s="47" t="s">
        <v>2485</v>
      </c>
      <c r="BC947" s="47" t="s">
        <v>8726</v>
      </c>
      <c r="BD947" s="47" t="s">
        <v>8374</v>
      </c>
      <c r="BE947" s="48" t="s">
        <v>2449</v>
      </c>
      <c r="BF947" s="48" t="s">
        <v>272</v>
      </c>
      <c r="BG947" s="48" t="s">
        <v>272</v>
      </c>
      <c r="BH947" s="48" t="s">
        <v>2486</v>
      </c>
      <c r="BI947" s="98">
        <v>6.3999999999999997E-6</v>
      </c>
      <c r="BJ947" s="98">
        <v>6.4000000000000001E-2</v>
      </c>
      <c r="BK947" s="48"/>
      <c r="BL947" s="98">
        <f t="shared" si="274"/>
        <v>7.1588291858005582E-2</v>
      </c>
      <c r="BM947" s="47" t="s">
        <v>2487</v>
      </c>
      <c r="BN947" s="48"/>
      <c r="BO947" s="48"/>
      <c r="BP947" s="48"/>
      <c r="BQ947" s="48"/>
      <c r="BR947" s="47" t="s">
        <v>2496</v>
      </c>
      <c r="BS947" s="48"/>
      <c r="BT947" s="48"/>
      <c r="BU947" s="228"/>
      <c r="BV947" s="48"/>
      <c r="BW947" s="48"/>
      <c r="BX947" s="48"/>
      <c r="BY947" s="48"/>
      <c r="BZ947" s="48"/>
      <c r="CA947" s="48"/>
      <c r="CB947" s="48"/>
      <c r="CC947" s="48"/>
      <c r="CD947" s="48"/>
      <c r="CE947" s="48"/>
      <c r="CF947" s="48"/>
      <c r="CG947" s="48"/>
      <c r="CH947" s="48"/>
      <c r="CI947" s="98"/>
      <c r="CJ947" s="98"/>
      <c r="CK947" s="49">
        <f t="shared" si="270"/>
        <v>1.1185670602813371</v>
      </c>
      <c r="CL947" s="229"/>
      <c r="CM947" s="229"/>
      <c r="CN947" s="229"/>
      <c r="CO947" s="47" t="s">
        <v>2488</v>
      </c>
      <c r="CP947" s="47" t="s">
        <v>2489</v>
      </c>
      <c r="CQ947" s="224">
        <v>-1.3300433846156079</v>
      </c>
      <c r="CR947" s="224">
        <f>10^(CJ947-CQ947)</f>
        <v>21.381756756756761</v>
      </c>
      <c r="CS947" s="230" t="s">
        <v>539</v>
      </c>
      <c r="CT947" s="230"/>
      <c r="CU947" s="230"/>
      <c r="CV947" s="335">
        <f t="shared" si="273"/>
        <v>13.084610522989413</v>
      </c>
      <c r="CW947" s="230">
        <f t="shared" si="269"/>
        <v>1</v>
      </c>
      <c r="CX947" s="336"/>
      <c r="CY947" s="230" t="s">
        <v>6351</v>
      </c>
    </row>
    <row r="948" spans="1:103" ht="11.25" customHeight="1" x14ac:dyDescent="0.2">
      <c r="A948" s="72">
        <v>946</v>
      </c>
      <c r="B948" s="224">
        <v>994</v>
      </c>
      <c r="C948" s="46" t="s">
        <v>7135</v>
      </c>
      <c r="D948" s="46"/>
      <c r="E948" s="114"/>
      <c r="F948" s="114" t="s">
        <v>2837</v>
      </c>
      <c r="G948" s="225">
        <v>106445</v>
      </c>
      <c r="H948" s="47" t="s">
        <v>2838</v>
      </c>
      <c r="I948" s="47" t="s">
        <v>2838</v>
      </c>
      <c r="J948" s="47" t="s">
        <v>2839</v>
      </c>
      <c r="K948" s="47" t="s">
        <v>349</v>
      </c>
      <c r="L948" s="47"/>
      <c r="M948" s="47"/>
      <c r="N948" s="47"/>
      <c r="O948" s="47"/>
      <c r="P948" s="53" t="s">
        <v>6184</v>
      </c>
      <c r="Q948" s="53" t="s">
        <v>6182</v>
      </c>
      <c r="R948" s="53" t="s">
        <v>6185</v>
      </c>
      <c r="S948" s="53" t="s">
        <v>6176</v>
      </c>
      <c r="T948" s="48">
        <v>108.14</v>
      </c>
      <c r="U948" s="98">
        <v>198.81634917699279</v>
      </c>
      <c r="V948" s="98">
        <v>85.500277418161645</v>
      </c>
      <c r="W948" s="98">
        <v>234.42288153199218</v>
      </c>
      <c r="X948" s="98">
        <v>198.81634917699279</v>
      </c>
      <c r="Y948" s="233">
        <v>5.42</v>
      </c>
      <c r="Z948" s="48">
        <v>2.06</v>
      </c>
      <c r="AA948" s="48">
        <v>1.94</v>
      </c>
      <c r="AB948" s="48">
        <v>2.13</v>
      </c>
      <c r="AC948" s="48">
        <v>0.92190000000000005</v>
      </c>
      <c r="AD948" s="48">
        <v>2.09</v>
      </c>
      <c r="AE948" s="48">
        <v>1.94</v>
      </c>
      <c r="AF948" s="48">
        <f t="shared" si="268"/>
        <v>1.94</v>
      </c>
      <c r="AG948" s="49">
        <v>1.93</v>
      </c>
      <c r="AH948" s="98">
        <v>6.1900000000000002E-7</v>
      </c>
      <c r="AI948" s="98">
        <v>9.9999999999999995E-7</v>
      </c>
      <c r="AJ948" s="483">
        <f t="shared" si="276"/>
        <v>-4.5968756772925339</v>
      </c>
      <c r="AK948" s="483">
        <f>LOG10(AI948*1000/(0.08206*298.15))</f>
        <v>-4.3885663263126515</v>
      </c>
      <c r="AL948" s="483">
        <f t="shared" si="275"/>
        <v>-4.3885663263126515</v>
      </c>
      <c r="AM948" s="483">
        <v>-6.4610799999999999</v>
      </c>
      <c r="AN948" s="226">
        <v>-4.68</v>
      </c>
      <c r="AO948" s="484">
        <v>10.210000000000001</v>
      </c>
      <c r="AP948" s="484"/>
      <c r="AQ948" s="48" t="s">
        <v>6311</v>
      </c>
      <c r="AR948" s="48" t="s">
        <v>6311</v>
      </c>
      <c r="AS948" s="227"/>
      <c r="AT948" s="50" t="s">
        <v>266</v>
      </c>
      <c r="AU948" s="48">
        <v>6</v>
      </c>
      <c r="AV948" s="48">
        <v>120</v>
      </c>
      <c r="AW948" s="48">
        <v>114</v>
      </c>
      <c r="AX948" s="48">
        <v>28</v>
      </c>
      <c r="AY948" s="48" t="s">
        <v>8728</v>
      </c>
      <c r="AZ948" s="48" t="s">
        <v>1563</v>
      </c>
      <c r="BA948" s="48">
        <v>32</v>
      </c>
      <c r="BB948" s="47" t="s">
        <v>2485</v>
      </c>
      <c r="BC948" s="47" t="s">
        <v>8726</v>
      </c>
      <c r="BD948" s="47" t="s">
        <v>8374</v>
      </c>
      <c r="BE948" s="48" t="s">
        <v>2449</v>
      </c>
      <c r="BF948" s="48" t="s">
        <v>272</v>
      </c>
      <c r="BG948" s="48" t="s">
        <v>272</v>
      </c>
      <c r="BH948" s="48" t="s">
        <v>2486</v>
      </c>
      <c r="BI948" s="98">
        <v>6.3999999999999997E-6</v>
      </c>
      <c r="BJ948" s="98">
        <v>6.4000000000000001E-2</v>
      </c>
      <c r="BK948" s="48"/>
      <c r="BL948" s="98">
        <f t="shared" si="274"/>
        <v>0.72562794551174925</v>
      </c>
      <c r="BM948" s="47" t="s">
        <v>2487</v>
      </c>
      <c r="BN948" s="48"/>
      <c r="BO948" s="48"/>
      <c r="BP948" s="48"/>
      <c r="BQ948" s="48"/>
      <c r="BR948" s="47" t="s">
        <v>2496</v>
      </c>
      <c r="BS948" s="48"/>
      <c r="BT948" s="48"/>
      <c r="BU948" s="228">
        <v>6.3999999999999997E-5</v>
      </c>
      <c r="BV948" s="48"/>
      <c r="BW948" s="48"/>
      <c r="BX948" s="48"/>
      <c r="BY948" s="48"/>
      <c r="BZ948" s="48"/>
      <c r="CA948" s="48"/>
      <c r="CB948" s="48"/>
      <c r="CC948" s="48"/>
      <c r="CD948" s="48"/>
      <c r="CE948" s="48"/>
      <c r="CF948" s="48"/>
      <c r="CG948" s="48"/>
      <c r="CH948" s="48"/>
      <c r="CI948" s="98"/>
      <c r="CJ948" s="98"/>
      <c r="CK948" s="49">
        <f t="shared" si="270"/>
        <v>11.337936648621081</v>
      </c>
      <c r="CL948" s="229"/>
      <c r="CM948" s="229"/>
      <c r="CN948" s="229"/>
      <c r="CO948" s="47" t="s">
        <v>2488</v>
      </c>
      <c r="CP948" s="47" t="s">
        <v>2489</v>
      </c>
      <c r="CQ948" s="224">
        <v>-0.93505999934005168</v>
      </c>
      <c r="CR948" s="224">
        <f>10^(CJ948-CQ948)</f>
        <v>8.6111270977600185</v>
      </c>
      <c r="CS948" s="230" t="s">
        <v>539</v>
      </c>
      <c r="CT948" s="230"/>
      <c r="CU948" s="230"/>
      <c r="CV948" s="335">
        <f t="shared" si="273"/>
        <v>3106.5054558905122</v>
      </c>
      <c r="CW948" s="230">
        <f t="shared" si="269"/>
        <v>1</v>
      </c>
      <c r="CX948" s="336"/>
      <c r="CY948" s="230" t="s">
        <v>6351</v>
      </c>
    </row>
    <row r="949" spans="1:103" ht="11.25" customHeight="1" x14ac:dyDescent="0.2">
      <c r="A949" s="72">
        <v>947</v>
      </c>
      <c r="B949" s="224">
        <v>1377</v>
      </c>
      <c r="C949" s="46" t="s">
        <v>7136</v>
      </c>
      <c r="D949" s="46"/>
      <c r="E949" s="114"/>
      <c r="F949" s="114" t="s">
        <v>4077</v>
      </c>
      <c r="G949" s="225">
        <v>106467</v>
      </c>
      <c r="H949" s="47" t="s">
        <v>4078</v>
      </c>
      <c r="I949" s="47" t="s">
        <v>8028</v>
      </c>
      <c r="J949" s="47" t="s">
        <v>4079</v>
      </c>
      <c r="K949" s="47" t="s">
        <v>426</v>
      </c>
      <c r="L949" s="51" t="s">
        <v>5527</v>
      </c>
      <c r="M949" s="47" t="s">
        <v>866</v>
      </c>
      <c r="N949" s="47" t="s">
        <v>6082</v>
      </c>
      <c r="O949" s="47" t="s">
        <v>6086</v>
      </c>
      <c r="P949" s="53" t="s">
        <v>6183</v>
      </c>
      <c r="Q949" s="53" t="s">
        <v>6176</v>
      </c>
      <c r="R949" s="53" t="s">
        <v>6185</v>
      </c>
      <c r="S949" s="53" t="s">
        <v>6176</v>
      </c>
      <c r="T949" s="48">
        <v>147</v>
      </c>
      <c r="U949" s="98">
        <v>0.55306122448979589</v>
      </c>
      <c r="V949" s="98">
        <v>0.61387755102040809</v>
      </c>
      <c r="W949" s="98">
        <v>0.14454397707459266</v>
      </c>
      <c r="X949" s="98">
        <v>0.55306122448979589</v>
      </c>
      <c r="Y949" s="233">
        <v>7</v>
      </c>
      <c r="Z949" s="48">
        <v>3.28</v>
      </c>
      <c r="AA949" s="48">
        <v>3.44</v>
      </c>
      <c r="AB949" s="48">
        <v>3.28</v>
      </c>
      <c r="AC949" s="48">
        <v>0.92520000000000002</v>
      </c>
      <c r="AD949" s="48">
        <v>3.29</v>
      </c>
      <c r="AE949" s="48">
        <v>3.34</v>
      </c>
      <c r="AF949" s="48">
        <f t="shared" si="268"/>
        <v>3.44</v>
      </c>
      <c r="AG949" s="49">
        <v>3.17</v>
      </c>
      <c r="AH949" s="98">
        <v>2.96E-3</v>
      </c>
      <c r="AI949" s="98">
        <v>2.4099999999999998E-3</v>
      </c>
      <c r="AJ949" s="483">
        <f t="shared" si="276"/>
        <v>-0.91727461525371323</v>
      </c>
      <c r="AK949" s="483">
        <f>LOG10(AI949*1000/(0.08206*298.15))</f>
        <v>-1.0065492837377834</v>
      </c>
      <c r="AL949" s="483">
        <f t="shared" si="275"/>
        <v>-1.0065492837377834</v>
      </c>
      <c r="AM949" s="483">
        <v>-3.2108500000000002</v>
      </c>
      <c r="AN949" s="226">
        <v>-0.93100000000000005</v>
      </c>
      <c r="AO949" s="484"/>
      <c r="AP949" s="484"/>
      <c r="AQ949" s="48" t="s">
        <v>6311</v>
      </c>
      <c r="AR949" s="48" t="s">
        <v>6311</v>
      </c>
      <c r="AS949" s="227"/>
      <c r="AT949" s="50" t="s">
        <v>266</v>
      </c>
      <c r="AU949" s="48">
        <v>6</v>
      </c>
      <c r="AV949" s="48">
        <v>120</v>
      </c>
      <c r="AW949" s="48">
        <v>114</v>
      </c>
      <c r="AX949" s="48">
        <v>28</v>
      </c>
      <c r="AY949" s="48" t="s">
        <v>8728</v>
      </c>
      <c r="AZ949" s="48" t="s">
        <v>1563</v>
      </c>
      <c r="BA949" s="48">
        <v>32</v>
      </c>
      <c r="BB949" s="47" t="s">
        <v>2485</v>
      </c>
      <c r="BC949" s="47" t="s">
        <v>8726</v>
      </c>
      <c r="BD949" s="47" t="s">
        <v>8374</v>
      </c>
      <c r="BE949" s="48" t="s">
        <v>2449</v>
      </c>
      <c r="BF949" s="48" t="s">
        <v>272</v>
      </c>
      <c r="BG949" s="48" t="s">
        <v>272</v>
      </c>
      <c r="BH949" s="48" t="s">
        <v>2486</v>
      </c>
      <c r="BI949" s="98">
        <v>6.3999999999999997E-6</v>
      </c>
      <c r="BJ949" s="98">
        <v>6.4000000000000001E-2</v>
      </c>
      <c r="BK949" s="48"/>
      <c r="BL949" s="98">
        <f t="shared" si="274"/>
        <v>5.8214611030121002E-2</v>
      </c>
      <c r="BM949" s="47" t="s">
        <v>2487</v>
      </c>
      <c r="BN949" s="48"/>
      <c r="BO949" s="48"/>
      <c r="BP949" s="48"/>
      <c r="BQ949" s="48"/>
      <c r="BR949" s="47" t="s">
        <v>2496</v>
      </c>
      <c r="BS949" s="48"/>
      <c r="BT949" s="48"/>
      <c r="BU949" s="228"/>
      <c r="BV949" s="48"/>
      <c r="BW949" s="48"/>
      <c r="BX949" s="48"/>
      <c r="BY949" s="48"/>
      <c r="BZ949" s="48"/>
      <c r="CA949" s="48"/>
      <c r="CB949" s="48"/>
      <c r="CC949" s="48"/>
      <c r="CD949" s="48"/>
      <c r="CE949" s="48"/>
      <c r="CF949" s="48"/>
      <c r="CG949" s="48"/>
      <c r="CH949" s="48"/>
      <c r="CI949" s="98"/>
      <c r="CJ949" s="98"/>
      <c r="CK949" s="49">
        <f t="shared" si="270"/>
        <v>0.9096032973456406</v>
      </c>
      <c r="CL949" s="229"/>
      <c r="CM949" s="229"/>
      <c r="CN949" s="229"/>
      <c r="CO949" s="47" t="s">
        <v>2488</v>
      </c>
      <c r="CP949" s="47" t="s">
        <v>2489</v>
      </c>
      <c r="CQ949" s="224">
        <v>-1.4523349428925374</v>
      </c>
      <c r="CR949" s="224">
        <f>10^(CJ949-CQ949)</f>
        <v>28.335765052980101</v>
      </c>
      <c r="CS949" s="230" t="s">
        <v>539</v>
      </c>
      <c r="CT949" s="230"/>
      <c r="CU949" s="230"/>
      <c r="CV949" s="335">
        <f t="shared" si="273"/>
        <v>8.641581632653061</v>
      </c>
      <c r="CW949" s="230">
        <f t="shared" si="269"/>
        <v>1</v>
      </c>
      <c r="CX949" s="336"/>
      <c r="CY949" s="230" t="s">
        <v>6351</v>
      </c>
    </row>
    <row r="950" spans="1:103" ht="11.25" customHeight="1" x14ac:dyDescent="0.2">
      <c r="A950" s="72">
        <v>948</v>
      </c>
      <c r="B950" s="224">
        <v>990</v>
      </c>
      <c r="C950" s="46" t="s">
        <v>1631</v>
      </c>
      <c r="D950" s="46"/>
      <c r="E950" s="114"/>
      <c r="F950" s="114" t="s">
        <v>1632</v>
      </c>
      <c r="G950" s="225">
        <v>106478</v>
      </c>
      <c r="H950" s="47" t="s">
        <v>1633</v>
      </c>
      <c r="I950" s="47" t="s">
        <v>8029</v>
      </c>
      <c r="J950" s="47" t="s">
        <v>1634</v>
      </c>
      <c r="K950" s="47" t="s">
        <v>1573</v>
      </c>
      <c r="L950" s="47" t="s">
        <v>5527</v>
      </c>
      <c r="M950" s="47" t="s">
        <v>866</v>
      </c>
      <c r="N950" s="47" t="s">
        <v>6082</v>
      </c>
      <c r="O950" s="47" t="s">
        <v>6086</v>
      </c>
      <c r="P950" s="53" t="s">
        <v>6184</v>
      </c>
      <c r="Q950" s="53" t="s">
        <v>6176</v>
      </c>
      <c r="R950" s="53" t="s">
        <v>6185</v>
      </c>
      <c r="S950" s="53" t="s">
        <v>6176</v>
      </c>
      <c r="T950" s="48">
        <v>127.57</v>
      </c>
      <c r="U950" s="98">
        <v>30.564263322884013</v>
      </c>
      <c r="V950" s="98">
        <v>20.156739811912228</v>
      </c>
      <c r="W950" s="98">
        <v>11.481536214968827</v>
      </c>
      <c r="X950" s="98">
        <v>30.564263322884013</v>
      </c>
      <c r="Y950" s="233">
        <v>8.02</v>
      </c>
      <c r="Z950" s="48">
        <v>1.72</v>
      </c>
      <c r="AA950" s="48">
        <v>1.83</v>
      </c>
      <c r="AB950" s="48">
        <v>1.8</v>
      </c>
      <c r="AC950" s="48">
        <v>0.91020000000000001</v>
      </c>
      <c r="AD950" s="48">
        <v>1.79</v>
      </c>
      <c r="AE950" s="48">
        <v>1.76</v>
      </c>
      <c r="AF950" s="48">
        <f t="shared" si="268"/>
        <v>1.83</v>
      </c>
      <c r="AG950" s="49">
        <v>1.8</v>
      </c>
      <c r="AH950" s="98">
        <v>1.4100000000000001E-6</v>
      </c>
      <c r="AI950" s="98">
        <v>1.1599999999999999E-6</v>
      </c>
      <c r="AJ950" s="483">
        <f t="shared" si="276"/>
        <v>-4.2393472136572719</v>
      </c>
      <c r="AK950" s="483">
        <f>LOG10(AI950*1000/(0.08206*298.15))</f>
        <v>-4.3241083370857334</v>
      </c>
      <c r="AL950" s="483">
        <f t="shared" si="275"/>
        <v>-4.3241083370857334</v>
      </c>
      <c r="AM950" s="483">
        <v>-6.9352299999999998</v>
      </c>
      <c r="AN950" s="226">
        <v>-4.13</v>
      </c>
      <c r="AO950" s="484"/>
      <c r="AP950" s="484">
        <v>3.97</v>
      </c>
      <c r="AQ950" s="48" t="s">
        <v>6311</v>
      </c>
      <c r="AR950" s="48" t="s">
        <v>6311</v>
      </c>
      <c r="AS950" s="227"/>
      <c r="AT950" s="50" t="s">
        <v>266</v>
      </c>
      <c r="AU950" s="48">
        <v>6</v>
      </c>
      <c r="AV950" s="48">
        <v>120</v>
      </c>
      <c r="AW950" s="48">
        <v>114</v>
      </c>
      <c r="AX950" s="48">
        <v>28</v>
      </c>
      <c r="AY950" s="48" t="s">
        <v>8728</v>
      </c>
      <c r="AZ950" s="48" t="s">
        <v>1563</v>
      </c>
      <c r="BA950" s="48">
        <v>32</v>
      </c>
      <c r="BB950" s="47" t="s">
        <v>2485</v>
      </c>
      <c r="BC950" s="47" t="s">
        <v>8726</v>
      </c>
      <c r="BD950" s="47" t="s">
        <v>8374</v>
      </c>
      <c r="BE950" s="48" t="s">
        <v>2449</v>
      </c>
      <c r="BF950" s="48" t="s">
        <v>272</v>
      </c>
      <c r="BG950" s="48" t="s">
        <v>272</v>
      </c>
      <c r="BH950" s="48" t="s">
        <v>2486</v>
      </c>
      <c r="BI950" s="98">
        <v>6.3999999999999997E-6</v>
      </c>
      <c r="BJ950" s="98">
        <v>6.4000000000000001E-2</v>
      </c>
      <c r="BK950" s="48"/>
      <c r="BL950" s="98">
        <f t="shared" si="274"/>
        <v>1.4657773282271105</v>
      </c>
      <c r="BM950" s="47" t="s">
        <v>2487</v>
      </c>
      <c r="BN950" s="48"/>
      <c r="BO950" s="48"/>
      <c r="BP950" s="48"/>
      <c r="BQ950" s="48"/>
      <c r="BR950" s="47" t="s">
        <v>2496</v>
      </c>
      <c r="BS950" s="48"/>
      <c r="BT950" s="48"/>
      <c r="BU950" s="228">
        <v>6.4959999999999996E-4</v>
      </c>
      <c r="BV950" s="48"/>
      <c r="BW950" s="48"/>
      <c r="BX950" s="48"/>
      <c r="BY950" s="48"/>
      <c r="BZ950" s="48"/>
      <c r="CA950" s="48"/>
      <c r="CB950" s="48"/>
      <c r="CC950" s="48"/>
      <c r="CD950" s="48"/>
      <c r="CE950" s="48"/>
      <c r="CF950" s="48"/>
      <c r="CG950" s="48"/>
      <c r="CH950" s="48"/>
      <c r="CI950" s="98"/>
      <c r="CJ950" s="98"/>
      <c r="CK950" s="49">
        <f t="shared" si="270"/>
        <v>22.902770753548602</v>
      </c>
      <c r="CL950" s="229"/>
      <c r="CM950" s="229">
        <v>-1.7255373138153871</v>
      </c>
      <c r="CN950" s="229">
        <f>BJ950/(10^CM950)</f>
        <v>3.4018666666666686</v>
      </c>
      <c r="CO950" s="47" t="s">
        <v>2488</v>
      </c>
      <c r="CP950" s="47" t="s">
        <v>2489</v>
      </c>
      <c r="CQ950" s="224">
        <v>-0.86695605670763687</v>
      </c>
      <c r="CR950" s="224">
        <f>10^(CJ950-CQ950)</f>
        <v>7.361326094954145</v>
      </c>
      <c r="CS950" s="230" t="s">
        <v>539</v>
      </c>
      <c r="CT950" s="230"/>
      <c r="CU950" s="230"/>
      <c r="CV950" s="335">
        <f t="shared" si="273"/>
        <v>477.56661442006271</v>
      </c>
      <c r="CW950" s="230">
        <f t="shared" si="269"/>
        <v>1</v>
      </c>
      <c r="CX950" s="336"/>
      <c r="CY950" s="230" t="s">
        <v>6351</v>
      </c>
    </row>
    <row r="951" spans="1:103" ht="11.25" customHeight="1" x14ac:dyDescent="0.2">
      <c r="A951" s="72">
        <v>949</v>
      </c>
      <c r="B951" s="224">
        <v>1461</v>
      </c>
      <c r="C951" s="46" t="s">
        <v>7137</v>
      </c>
      <c r="D951" s="46"/>
      <c r="E951" s="114"/>
      <c r="F951" s="114" t="s">
        <v>4493</v>
      </c>
      <c r="G951" s="225">
        <v>106490</v>
      </c>
      <c r="H951" s="47" t="s">
        <v>4494</v>
      </c>
      <c r="I951" s="47" t="s">
        <v>4494</v>
      </c>
      <c r="J951" s="47" t="s">
        <v>4495</v>
      </c>
      <c r="K951" s="47" t="s">
        <v>1573</v>
      </c>
      <c r="L951" s="47"/>
      <c r="M951" s="47"/>
      <c r="N951" s="47"/>
      <c r="O951" s="47"/>
      <c r="P951" s="53" t="s">
        <v>6184</v>
      </c>
      <c r="Q951" s="53" t="s">
        <v>6176</v>
      </c>
      <c r="R951" s="53" t="s">
        <v>6185</v>
      </c>
      <c r="S951" s="53" t="s">
        <v>6176</v>
      </c>
      <c r="T951" s="48">
        <v>107.15</v>
      </c>
      <c r="U951" s="98">
        <v>60.662622491833872</v>
      </c>
      <c r="V951" s="98">
        <v>67.428838077461492</v>
      </c>
      <c r="W951" s="98">
        <v>120.22644346174128</v>
      </c>
      <c r="X951" s="98">
        <v>60.662622491833872</v>
      </c>
      <c r="Y951" s="233">
        <v>9.06</v>
      </c>
      <c r="Z951" s="48">
        <v>1.62</v>
      </c>
      <c r="AA951" s="48">
        <v>1.39</v>
      </c>
      <c r="AB951" s="48">
        <v>1.49</v>
      </c>
      <c r="AC951" s="48">
        <v>0.94979999999999998</v>
      </c>
      <c r="AD951" s="48">
        <v>1.47</v>
      </c>
      <c r="AE951" s="48">
        <v>1.4</v>
      </c>
      <c r="AF951" s="48">
        <f t="shared" si="268"/>
        <v>1.39</v>
      </c>
      <c r="AG951" s="49">
        <v>1.58</v>
      </c>
      <c r="AH951" s="98">
        <v>2.0999999999999998E-6</v>
      </c>
      <c r="AI951" s="98">
        <v>2.0200000000000001E-6</v>
      </c>
      <c r="AJ951" s="483">
        <f t="shared" si="276"/>
        <v>-4.0663470315787329</v>
      </c>
      <c r="AK951" s="483">
        <f>LOG10(AI951*1000/(0.08206*298.15))</f>
        <v>-4.0832149568660281</v>
      </c>
      <c r="AL951" s="483">
        <f t="shared" si="275"/>
        <v>-4.0832149568660281</v>
      </c>
      <c r="AM951" s="483">
        <v>-6.2000900000000003</v>
      </c>
      <c r="AN951" s="226">
        <v>-3.95</v>
      </c>
      <c r="AO951" s="484"/>
      <c r="AP951" s="484">
        <v>5.04</v>
      </c>
      <c r="AQ951" s="48" t="s">
        <v>6311</v>
      </c>
      <c r="AR951" s="48" t="s">
        <v>6311</v>
      </c>
      <c r="AS951" s="227"/>
      <c r="AT951" s="50" t="s">
        <v>266</v>
      </c>
      <c r="AU951" s="48">
        <v>6</v>
      </c>
      <c r="AV951" s="48">
        <v>120</v>
      </c>
      <c r="AW951" s="48">
        <v>114</v>
      </c>
      <c r="AX951" s="48">
        <v>28</v>
      </c>
      <c r="AY951" s="48" t="s">
        <v>8728</v>
      </c>
      <c r="AZ951" s="48" t="s">
        <v>1563</v>
      </c>
      <c r="BA951" s="48">
        <v>32</v>
      </c>
      <c r="BB951" s="47" t="s">
        <v>2485</v>
      </c>
      <c r="BC951" s="47" t="s">
        <v>8726</v>
      </c>
      <c r="BD951" s="47" t="s">
        <v>8374</v>
      </c>
      <c r="BE951" s="48" t="s">
        <v>2449</v>
      </c>
      <c r="BF951" s="48" t="s">
        <v>272</v>
      </c>
      <c r="BG951" s="48" t="s">
        <v>272</v>
      </c>
      <c r="BH951" s="48" t="s">
        <v>2486</v>
      </c>
      <c r="BI951" s="98">
        <v>6.3999999999999997E-6</v>
      </c>
      <c r="BJ951" s="98">
        <v>6.4000000000000001E-2</v>
      </c>
      <c r="BK951" s="48"/>
      <c r="BL951" s="98">
        <f t="shared" si="274"/>
        <v>1.8025113165778388</v>
      </c>
      <c r="BM951" s="47" t="s">
        <v>2487</v>
      </c>
      <c r="BN951" s="48"/>
      <c r="BO951" s="48"/>
      <c r="BP951" s="48"/>
      <c r="BQ951" s="48"/>
      <c r="BR951" s="47" t="s">
        <v>2496</v>
      </c>
      <c r="BS951" s="48"/>
      <c r="BT951" s="48"/>
      <c r="BU951" s="228"/>
      <c r="BV951" s="48"/>
      <c r="BW951" s="48"/>
      <c r="BX951" s="48"/>
      <c r="BY951" s="48"/>
      <c r="BZ951" s="48"/>
      <c r="CA951" s="48"/>
      <c r="CB951" s="48"/>
      <c r="CC951" s="48"/>
      <c r="CD951" s="48"/>
      <c r="CE951" s="48"/>
      <c r="CF951" s="48"/>
      <c r="CG951" s="48"/>
      <c r="CH951" s="48"/>
      <c r="CI951" s="98"/>
      <c r="CJ951" s="98"/>
      <c r="CK951" s="49">
        <f t="shared" si="270"/>
        <v>28.164239321528729</v>
      </c>
      <c r="CL951" s="229"/>
      <c r="CM951" s="229"/>
      <c r="CN951" s="229"/>
      <c r="CO951" s="47" t="s">
        <v>2488</v>
      </c>
      <c r="CP951" s="47" t="s">
        <v>2489</v>
      </c>
      <c r="CQ951" s="224">
        <v>0.16866491157657515</v>
      </c>
      <c r="CR951" s="224">
        <f>10^(CJ951-CQ951)</f>
        <v>0.67816455696202527</v>
      </c>
      <c r="CS951" s="230" t="s">
        <v>539</v>
      </c>
      <c r="CT951" s="230"/>
      <c r="CU951" s="230"/>
      <c r="CV951" s="335">
        <f t="shared" si="273"/>
        <v>947.85347643490422</v>
      </c>
      <c r="CW951" s="230">
        <f t="shared" si="269"/>
        <v>1</v>
      </c>
      <c r="CX951" s="336"/>
      <c r="CY951" s="230" t="s">
        <v>6351</v>
      </c>
    </row>
    <row r="952" spans="1:103" ht="11.25" customHeight="1" x14ac:dyDescent="0.2">
      <c r="A952" s="72">
        <v>950</v>
      </c>
      <c r="B952" s="224">
        <v>1620</v>
      </c>
      <c r="C952" s="46" t="s">
        <v>7138</v>
      </c>
      <c r="D952" s="46"/>
      <c r="E952" s="114"/>
      <c r="F952" s="114" t="s">
        <v>4799</v>
      </c>
      <c r="G952" s="225">
        <v>106650</v>
      </c>
      <c r="H952" s="47" t="s">
        <v>4800</v>
      </c>
      <c r="I952" s="47" t="s">
        <v>4800</v>
      </c>
      <c r="J952" s="47" t="s">
        <v>4801</v>
      </c>
      <c r="K952" s="47" t="s">
        <v>357</v>
      </c>
      <c r="L952" s="47"/>
      <c r="M952" s="47"/>
      <c r="N952" s="47"/>
      <c r="O952" s="47"/>
      <c r="P952" s="53"/>
      <c r="Q952" s="53"/>
      <c r="R952" s="53"/>
      <c r="S952" s="53"/>
      <c r="T952" s="48">
        <v>146.13999999999999</v>
      </c>
      <c r="U952" s="98">
        <v>171.06883810045164</v>
      </c>
      <c r="V952" s="98">
        <v>271.10989462159574</v>
      </c>
      <c r="W952" s="98">
        <v>371.53522909717253</v>
      </c>
      <c r="X952" s="98">
        <v>171.06883810045164</v>
      </c>
      <c r="Y952" s="233">
        <v>7</v>
      </c>
      <c r="Z952" s="48">
        <v>0.4</v>
      </c>
      <c r="AA952" s="48">
        <v>0.35</v>
      </c>
      <c r="AB952" s="48">
        <v>0.5</v>
      </c>
      <c r="AC952" s="48">
        <v>0.90920000000000001</v>
      </c>
      <c r="AD952" s="48">
        <v>0.43</v>
      </c>
      <c r="AE952" s="48">
        <v>0.2</v>
      </c>
      <c r="AF952" s="48">
        <f t="shared" si="268"/>
        <v>0.35</v>
      </c>
      <c r="AG952" s="49">
        <v>0.11</v>
      </c>
      <c r="AH952" s="98">
        <v>5.5400000000000001E-7</v>
      </c>
      <c r="AI952" s="98"/>
      <c r="AJ952" s="483">
        <f t="shared" si="276"/>
        <v>-4.6450565615842221</v>
      </c>
      <c r="AK952" s="483"/>
      <c r="AL952" s="483">
        <f t="shared" si="275"/>
        <v>-4.6450565615842221</v>
      </c>
      <c r="AM952" s="483">
        <v>-5.7372800000000002</v>
      </c>
      <c r="AN952" s="226">
        <v>-5.15</v>
      </c>
      <c r="AO952" s="484"/>
      <c r="AP952" s="484"/>
      <c r="AQ952" s="226" t="s">
        <v>6311</v>
      </c>
      <c r="AR952" s="226" t="s">
        <v>6312</v>
      </c>
      <c r="AS952" s="224"/>
      <c r="AT952" s="50" t="s">
        <v>266</v>
      </c>
      <c r="AU952" s="48">
        <v>6</v>
      </c>
      <c r="AV952" s="48">
        <v>120</v>
      </c>
      <c r="AW952" s="48">
        <v>114</v>
      </c>
      <c r="AX952" s="48">
        <v>28</v>
      </c>
      <c r="AY952" s="48" t="s">
        <v>8728</v>
      </c>
      <c r="AZ952" s="48" t="s">
        <v>1563</v>
      </c>
      <c r="BA952" s="48">
        <v>32</v>
      </c>
      <c r="BB952" s="47" t="s">
        <v>2485</v>
      </c>
      <c r="BC952" s="47" t="s">
        <v>8726</v>
      </c>
      <c r="BD952" s="47" t="s">
        <v>8374</v>
      </c>
      <c r="BE952" s="48" t="s">
        <v>2449</v>
      </c>
      <c r="BF952" s="48" t="s">
        <v>272</v>
      </c>
      <c r="BG952" s="48" t="s">
        <v>272</v>
      </c>
      <c r="BH952" s="48" t="s">
        <v>2486</v>
      </c>
      <c r="BI952" s="98">
        <v>6.3999999999999997E-6</v>
      </c>
      <c r="BJ952" s="98">
        <v>6.4000000000000001E-2</v>
      </c>
      <c r="BK952" s="48"/>
      <c r="BL952" s="98">
        <f t="shared" si="274"/>
        <v>22.467771582864401</v>
      </c>
      <c r="BM952" s="47" t="s">
        <v>2487</v>
      </c>
      <c r="BN952" s="48"/>
      <c r="BO952" s="48"/>
      <c r="BP952" s="48"/>
      <c r="BQ952" s="48"/>
      <c r="BR952" s="47" t="s">
        <v>2496</v>
      </c>
      <c r="BS952" s="48"/>
      <c r="BT952" s="48"/>
      <c r="BU952" s="228"/>
      <c r="BV952" s="48"/>
      <c r="BW952" s="48"/>
      <c r="BX952" s="48"/>
      <c r="BY952" s="48"/>
      <c r="BZ952" s="48"/>
      <c r="CA952" s="48"/>
      <c r="CB952" s="48"/>
      <c r="CC952" s="48"/>
      <c r="CD952" s="48"/>
      <c r="CE952" s="48"/>
      <c r="CF952" s="48"/>
      <c r="CG952" s="48"/>
      <c r="CH952" s="48"/>
      <c r="CI952" s="98"/>
      <c r="CJ952" s="98"/>
      <c r="CK952" s="49">
        <f t="shared" si="270"/>
        <v>351.05893098225624</v>
      </c>
      <c r="CL952" s="229"/>
      <c r="CM952" s="229"/>
      <c r="CN952" s="229"/>
      <c r="CO952" s="47" t="s">
        <v>2488</v>
      </c>
      <c r="CP952" s="47" t="s">
        <v>2489</v>
      </c>
      <c r="CQ952" s="224" t="s">
        <v>272</v>
      </c>
      <c r="CR952" s="224"/>
      <c r="CS952" s="230" t="s">
        <v>539</v>
      </c>
      <c r="CT952" s="230"/>
      <c r="CU952" s="230"/>
      <c r="CV952" s="335">
        <f t="shared" si="273"/>
        <v>2672.9505953195567</v>
      </c>
      <c r="CW952" s="230">
        <f t="shared" si="269"/>
        <v>1</v>
      </c>
      <c r="CX952" s="336"/>
      <c r="CY952" s="230" t="s">
        <v>6351</v>
      </c>
    </row>
    <row r="953" spans="1:103" ht="11.25" customHeight="1" x14ac:dyDescent="0.2">
      <c r="A953" s="72">
        <v>951</v>
      </c>
      <c r="B953" s="224">
        <v>1468</v>
      </c>
      <c r="C953" s="46" t="s">
        <v>7139</v>
      </c>
      <c r="D953" s="46"/>
      <c r="E953" s="114"/>
      <c r="F953" s="114" t="s">
        <v>4508</v>
      </c>
      <c r="G953" s="225">
        <v>106876</v>
      </c>
      <c r="H953" s="47" t="s">
        <v>4509</v>
      </c>
      <c r="I953" s="47" t="s">
        <v>4509</v>
      </c>
      <c r="J953" s="47" t="s">
        <v>4510</v>
      </c>
      <c r="K953" s="47" t="s">
        <v>4511</v>
      </c>
      <c r="L953" s="47"/>
      <c r="M953" s="47"/>
      <c r="N953" s="47"/>
      <c r="O953" s="47"/>
      <c r="P953" s="53"/>
      <c r="Q953" s="53"/>
      <c r="R953" s="53"/>
      <c r="S953" s="53"/>
      <c r="T953" s="48">
        <v>140.18</v>
      </c>
      <c r="U953" s="98"/>
      <c r="V953" s="98">
        <v>251.0343843629619</v>
      </c>
      <c r="W953" s="98">
        <v>17.782794100389225</v>
      </c>
      <c r="X953" s="98">
        <f>IF(W953=0,V953,W953)</f>
        <v>17.782794100389225</v>
      </c>
      <c r="Y953" s="233">
        <v>7</v>
      </c>
      <c r="Z953" s="48">
        <v>1.1299999999999999</v>
      </c>
      <c r="AA953" s="48">
        <v>0.44</v>
      </c>
      <c r="AB953" s="48">
        <v>0.73</v>
      </c>
      <c r="AC953" s="48">
        <v>0.7379</v>
      </c>
      <c r="AD953" s="48">
        <v>0.76</v>
      </c>
      <c r="AE953" s="48">
        <v>0.81</v>
      </c>
      <c r="AF953" s="48">
        <f t="shared" si="268"/>
        <v>0.44</v>
      </c>
      <c r="AG953" s="49">
        <v>0.78</v>
      </c>
      <c r="AH953" s="98">
        <v>1.42E-7</v>
      </c>
      <c r="AI953" s="98"/>
      <c r="AJ953" s="483">
        <f t="shared" si="276"/>
        <v>-5.2362779819295957</v>
      </c>
      <c r="AK953" s="483"/>
      <c r="AL953" s="483">
        <f t="shared" si="275"/>
        <v>-5.2362779819295957</v>
      </c>
      <c r="AM953" s="483">
        <v>-4.7854799999999997</v>
      </c>
      <c r="AN953" s="226">
        <v>-5.75</v>
      </c>
      <c r="AO953" s="484"/>
      <c r="AP953" s="484"/>
      <c r="AQ953" s="48" t="s">
        <v>6314</v>
      </c>
      <c r="AR953" s="48" t="s">
        <v>6311</v>
      </c>
      <c r="AS953" s="227"/>
      <c r="AT953" s="50" t="s">
        <v>266</v>
      </c>
      <c r="AU953" s="48">
        <v>6</v>
      </c>
      <c r="AV953" s="48">
        <v>120</v>
      </c>
      <c r="AW953" s="48">
        <v>114</v>
      </c>
      <c r="AX953" s="48">
        <v>28</v>
      </c>
      <c r="AY953" s="48" t="s">
        <v>8728</v>
      </c>
      <c r="AZ953" s="48" t="s">
        <v>1563</v>
      </c>
      <c r="BA953" s="48">
        <v>32</v>
      </c>
      <c r="BB953" s="47" t="s">
        <v>2485</v>
      </c>
      <c r="BC953" s="47" t="s">
        <v>8726</v>
      </c>
      <c r="BD953" s="47" t="s">
        <v>8374</v>
      </c>
      <c r="BE953" s="48" t="s">
        <v>2449</v>
      </c>
      <c r="BF953" s="48" t="s">
        <v>272</v>
      </c>
      <c r="BG953" s="48" t="s">
        <v>272</v>
      </c>
      <c r="BH953" s="48" t="s">
        <v>2486</v>
      </c>
      <c r="BI953" s="98">
        <v>6.3999999999999997E-6</v>
      </c>
      <c r="BJ953" s="98">
        <v>6.4000000000000001E-2</v>
      </c>
      <c r="BK953" s="48"/>
      <c r="BL953" s="98">
        <f t="shared" si="274"/>
        <v>4.9653172250600512</v>
      </c>
      <c r="BM953" s="47" t="s">
        <v>2487</v>
      </c>
      <c r="BN953" s="48"/>
      <c r="BO953" s="48"/>
      <c r="BP953" s="48"/>
      <c r="BQ953" s="48"/>
      <c r="BR953" s="47" t="s">
        <v>2496</v>
      </c>
      <c r="BS953" s="48"/>
      <c r="BT953" s="48"/>
      <c r="BU953" s="228"/>
      <c r="BV953" s="48"/>
      <c r="BW953" s="48"/>
      <c r="BX953" s="48"/>
      <c r="BY953" s="48"/>
      <c r="BZ953" s="48"/>
      <c r="CA953" s="48"/>
      <c r="CB953" s="48"/>
      <c r="CC953" s="48"/>
      <c r="CD953" s="48"/>
      <c r="CE953" s="48"/>
      <c r="CF953" s="48"/>
      <c r="CG953" s="48"/>
      <c r="CH953" s="48"/>
      <c r="CI953" s="98"/>
      <c r="CJ953" s="98"/>
      <c r="CK953" s="49">
        <f t="shared" si="270"/>
        <v>77.583081641563297</v>
      </c>
      <c r="CL953" s="229"/>
      <c r="CM953" s="229"/>
      <c r="CN953" s="229"/>
      <c r="CO953" s="47" t="s">
        <v>2488</v>
      </c>
      <c r="CP953" s="47" t="s">
        <v>2489</v>
      </c>
      <c r="CQ953" s="224" t="s">
        <v>272</v>
      </c>
      <c r="CR953" s="224"/>
      <c r="CS953" s="230" t="s">
        <v>539</v>
      </c>
      <c r="CT953" s="230"/>
      <c r="CU953" s="230"/>
      <c r="CV953" s="335">
        <f t="shared" si="273"/>
        <v>277.85615781858161</v>
      </c>
      <c r="CW953" s="230">
        <f t="shared" si="269"/>
        <v>1</v>
      </c>
      <c r="CX953" s="336"/>
      <c r="CY953" s="230" t="s">
        <v>5921</v>
      </c>
    </row>
    <row r="954" spans="1:103" ht="11.25" customHeight="1" x14ac:dyDescent="0.2">
      <c r="A954" s="72">
        <v>952</v>
      </c>
      <c r="B954" s="224">
        <v>1392</v>
      </c>
      <c r="C954" s="46" t="s">
        <v>7140</v>
      </c>
      <c r="D954" s="46"/>
      <c r="E954" s="114"/>
      <c r="F954" s="114" t="s">
        <v>4291</v>
      </c>
      <c r="G954" s="225">
        <v>107073</v>
      </c>
      <c r="H954" s="47" t="s">
        <v>4292</v>
      </c>
      <c r="I954" s="47" t="s">
        <v>8030</v>
      </c>
      <c r="J954" s="47" t="s">
        <v>4293</v>
      </c>
      <c r="K954" s="47" t="s">
        <v>1808</v>
      </c>
      <c r="L954" s="47"/>
      <c r="M954" s="47" t="s">
        <v>4294</v>
      </c>
      <c r="N954" s="47" t="s">
        <v>6088</v>
      </c>
      <c r="O954" s="47" t="s">
        <v>498</v>
      </c>
      <c r="P954" s="53"/>
      <c r="Q954" s="53" t="s">
        <v>6179</v>
      </c>
      <c r="R954" s="53" t="s">
        <v>6175</v>
      </c>
      <c r="S954" s="53" t="s">
        <v>6176</v>
      </c>
      <c r="T954" s="48">
        <v>80.510000000000005</v>
      </c>
      <c r="U954" s="98">
        <v>12420.817289777666</v>
      </c>
      <c r="V954" s="98">
        <v>4945.9694447894672</v>
      </c>
      <c r="W954" s="98">
        <v>2454.7089156850307</v>
      </c>
      <c r="X954" s="98">
        <v>12420.817289777666</v>
      </c>
      <c r="Y954" s="233">
        <v>6.74</v>
      </c>
      <c r="Z954" s="48">
        <v>0.11</v>
      </c>
      <c r="AA954" s="48">
        <v>0.03</v>
      </c>
      <c r="AB954" s="48">
        <v>0.15</v>
      </c>
      <c r="AC954" s="48">
        <v>0.89480000000000004</v>
      </c>
      <c r="AD954" s="48">
        <v>0.09</v>
      </c>
      <c r="AE954" s="48">
        <v>-0.08</v>
      </c>
      <c r="AF954" s="48">
        <f t="shared" si="268"/>
        <v>0.03</v>
      </c>
      <c r="AG954" s="49">
        <v>0.31</v>
      </c>
      <c r="AH954" s="98">
        <v>1.26E-6</v>
      </c>
      <c r="AI954" s="98">
        <v>7.61E-7</v>
      </c>
      <c r="AJ954" s="483">
        <f t="shared" si="276"/>
        <v>-4.288195781195089</v>
      </c>
      <c r="AK954" s="483">
        <f>LOG10(AI954*1000/(0.08206*298.15))</f>
        <v>-4.5071816695420788</v>
      </c>
      <c r="AL954" s="483">
        <f t="shared" si="275"/>
        <v>-4.5071816695420788</v>
      </c>
      <c r="AM954" s="483">
        <v>-4.0716099999999997</v>
      </c>
      <c r="AN954" s="226">
        <v>-3.34</v>
      </c>
      <c r="AO954" s="484">
        <v>14.02</v>
      </c>
      <c r="AP954" s="484"/>
      <c r="AQ954" s="48" t="s">
        <v>6311</v>
      </c>
      <c r="AR954" s="48" t="s">
        <v>6311</v>
      </c>
      <c r="AS954" s="227"/>
      <c r="AT954" s="50" t="s">
        <v>266</v>
      </c>
      <c r="AU954" s="48">
        <v>6</v>
      </c>
      <c r="AV954" s="48">
        <v>120</v>
      </c>
      <c r="AW954" s="48">
        <v>114</v>
      </c>
      <c r="AX954" s="48">
        <v>28</v>
      </c>
      <c r="AY954" s="48" t="s">
        <v>8728</v>
      </c>
      <c r="AZ954" s="48" t="s">
        <v>1563</v>
      </c>
      <c r="BA954" s="48">
        <v>32</v>
      </c>
      <c r="BB954" s="47" t="s">
        <v>2485</v>
      </c>
      <c r="BC954" s="47" t="s">
        <v>8726</v>
      </c>
      <c r="BD954" s="47" t="s">
        <v>8374</v>
      </c>
      <c r="BE954" s="48" t="s">
        <v>2449</v>
      </c>
      <c r="BF954" s="48" t="s">
        <v>272</v>
      </c>
      <c r="BG954" s="48" t="s">
        <v>272</v>
      </c>
      <c r="BH954" s="48" t="s">
        <v>2486</v>
      </c>
      <c r="BI954" s="98">
        <v>6.3999999999999997E-6</v>
      </c>
      <c r="BJ954" s="98">
        <v>6.4000000000000001E-2</v>
      </c>
      <c r="BK954" s="48"/>
      <c r="BL954" s="98">
        <f t="shared" si="274"/>
        <v>40.92691410353391</v>
      </c>
      <c r="BM954" s="47" t="s">
        <v>2487</v>
      </c>
      <c r="BN954" s="48"/>
      <c r="BO954" s="48"/>
      <c r="BP954" s="48"/>
      <c r="BQ954" s="48"/>
      <c r="BR954" s="47" t="s">
        <v>2496</v>
      </c>
      <c r="BS954" s="48"/>
      <c r="BT954" s="48"/>
      <c r="BU954" s="228"/>
      <c r="BV954" s="48"/>
      <c r="BW954" s="48"/>
      <c r="BX954" s="48"/>
      <c r="BY954" s="48"/>
      <c r="BZ954" s="48"/>
      <c r="CA954" s="48"/>
      <c r="CB954" s="48"/>
      <c r="CC954" s="48"/>
      <c r="CD954" s="48"/>
      <c r="CE954" s="48"/>
      <c r="CF954" s="48"/>
      <c r="CG954" s="48"/>
      <c r="CH954" s="48"/>
      <c r="CI954" s="98"/>
      <c r="CJ954" s="98"/>
      <c r="CK954" s="49">
        <f t="shared" si="270"/>
        <v>639.48303286771738</v>
      </c>
      <c r="CL954" s="229"/>
      <c r="CM954" s="229"/>
      <c r="CN954" s="229"/>
      <c r="CO954" s="47" t="s">
        <v>2488</v>
      </c>
      <c r="CP954" s="47" t="s">
        <v>2489</v>
      </c>
      <c r="CQ954" s="224">
        <v>-0.26112843178577044</v>
      </c>
      <c r="CR954" s="224">
        <f>10^(CJ954-CQ954)</f>
        <v>1.8244351538474017</v>
      </c>
      <c r="CS954" s="230" t="s">
        <v>539</v>
      </c>
      <c r="CT954" s="230"/>
      <c r="CU954" s="230"/>
      <c r="CV954" s="335">
        <f t="shared" si="273"/>
        <v>194075.27015277604</v>
      </c>
      <c r="CW954" s="230">
        <f t="shared" si="269"/>
        <v>1</v>
      </c>
      <c r="CX954" s="336"/>
      <c r="CY954" s="230" t="s">
        <v>6351</v>
      </c>
    </row>
    <row r="955" spans="1:103" ht="11.25" customHeight="1" x14ac:dyDescent="0.2">
      <c r="A955" s="72">
        <v>953</v>
      </c>
      <c r="B955" s="224">
        <v>1127</v>
      </c>
      <c r="C955" s="46" t="s">
        <v>7141</v>
      </c>
      <c r="D955" s="46"/>
      <c r="E955" s="114"/>
      <c r="F955" s="114" t="s">
        <v>3147</v>
      </c>
      <c r="G955" s="225">
        <v>107211</v>
      </c>
      <c r="H955" s="47" t="s">
        <v>3148</v>
      </c>
      <c r="I955" s="47" t="s">
        <v>3148</v>
      </c>
      <c r="J955" s="47" t="s">
        <v>3149</v>
      </c>
      <c r="K955" s="47" t="s">
        <v>426</v>
      </c>
      <c r="L955" s="47" t="s">
        <v>5527</v>
      </c>
      <c r="M955" s="47" t="s">
        <v>6082</v>
      </c>
      <c r="N955" s="47" t="s">
        <v>6082</v>
      </c>
      <c r="O955" s="47" t="s">
        <v>6083</v>
      </c>
      <c r="P955" s="53"/>
      <c r="Q955" s="53" t="s">
        <v>6176</v>
      </c>
      <c r="R955" s="53" t="s">
        <v>6185</v>
      </c>
      <c r="S955" s="53" t="s">
        <v>6179</v>
      </c>
      <c r="T955" s="48">
        <v>62.07</v>
      </c>
      <c r="U955" s="98">
        <v>16110.842597067827</v>
      </c>
      <c r="V955" s="98">
        <v>16110.842597067827</v>
      </c>
      <c r="W955" s="98">
        <v>11748.9755493953</v>
      </c>
      <c r="X955" s="98">
        <v>16110.842597067827</v>
      </c>
      <c r="Y955" s="233">
        <v>6.5</v>
      </c>
      <c r="Z955" s="48">
        <v>-1.2</v>
      </c>
      <c r="AA955" s="48">
        <v>-1.36</v>
      </c>
      <c r="AB955" s="48">
        <v>-1.1000000000000001</v>
      </c>
      <c r="AC955" s="48">
        <v>0.87150000000000005</v>
      </c>
      <c r="AD955" s="48">
        <v>-1.25</v>
      </c>
      <c r="AE955" s="48">
        <v>-1.69</v>
      </c>
      <c r="AF955" s="48">
        <f t="shared" si="268"/>
        <v>-1.36</v>
      </c>
      <c r="AG955" s="49">
        <v>-0.85</v>
      </c>
      <c r="AH955" s="98">
        <v>1.31E-7</v>
      </c>
      <c r="AI955" s="98">
        <v>5.9999999999999995E-8</v>
      </c>
      <c r="AJ955" s="483">
        <f t="shared" si="276"/>
        <v>-5.271295030656888</v>
      </c>
      <c r="AK955" s="483">
        <f>LOG10(AI955*1000/(0.08206*298.15))</f>
        <v>-5.6104150759290086</v>
      </c>
      <c r="AL955" s="483">
        <f t="shared" si="275"/>
        <v>-5.6104150759290086</v>
      </c>
      <c r="AM955" s="483">
        <v>-6.4165099999999997</v>
      </c>
      <c r="AN955" s="226">
        <v>-6.72</v>
      </c>
      <c r="AO955" s="484">
        <v>14.13</v>
      </c>
      <c r="AP955" s="484"/>
      <c r="AQ955" s="48" t="s">
        <v>6311</v>
      </c>
      <c r="AR955" s="48" t="s">
        <v>6311</v>
      </c>
      <c r="AS955" s="227"/>
      <c r="AT955" s="50" t="s">
        <v>266</v>
      </c>
      <c r="AU955" s="48">
        <v>6</v>
      </c>
      <c r="AV955" s="48">
        <v>120</v>
      </c>
      <c r="AW955" s="48">
        <v>114</v>
      </c>
      <c r="AX955" s="48">
        <v>28</v>
      </c>
      <c r="AY955" s="48" t="s">
        <v>8728</v>
      </c>
      <c r="AZ955" s="48" t="s">
        <v>1563</v>
      </c>
      <c r="BA955" s="48">
        <v>32</v>
      </c>
      <c r="BB955" s="47" t="s">
        <v>2485</v>
      </c>
      <c r="BC955" s="47" t="s">
        <v>8726</v>
      </c>
      <c r="BD955" s="47" t="s">
        <v>8374</v>
      </c>
      <c r="BE955" s="48" t="s">
        <v>2449</v>
      </c>
      <c r="BF955" s="48" t="s">
        <v>272</v>
      </c>
      <c r="BG955" s="48" t="s">
        <v>272</v>
      </c>
      <c r="BH955" s="48" t="s">
        <v>2486</v>
      </c>
      <c r="BI955" s="98">
        <v>6.3999999999999997E-6</v>
      </c>
      <c r="BJ955" s="98">
        <v>6.4000000000000001E-2</v>
      </c>
      <c r="BK955" s="48"/>
      <c r="BL955" s="98">
        <f t="shared" si="274"/>
        <v>614.4973297019925</v>
      </c>
      <c r="BM955" s="47" t="s">
        <v>2487</v>
      </c>
      <c r="BN955" s="48"/>
      <c r="BO955" s="48"/>
      <c r="BP955" s="48"/>
      <c r="BQ955" s="48"/>
      <c r="BR955" s="47" t="s">
        <v>2496</v>
      </c>
      <c r="BS955" s="48"/>
      <c r="BT955" s="48"/>
      <c r="BU955" s="228">
        <v>6.4300000000000004E-5</v>
      </c>
      <c r="BV955" s="48"/>
      <c r="BW955" s="48"/>
      <c r="BX955" s="48"/>
      <c r="BY955" s="48"/>
      <c r="BZ955" s="48"/>
      <c r="CA955" s="48"/>
      <c r="CB955" s="48"/>
      <c r="CC955" s="48"/>
      <c r="CD955" s="48"/>
      <c r="CE955" s="48"/>
      <c r="CF955" s="48"/>
      <c r="CG955" s="48"/>
      <c r="CH955" s="48"/>
      <c r="CI955" s="98"/>
      <c r="CJ955" s="98"/>
      <c r="CK955" s="49">
        <f t="shared" si="270"/>
        <v>9601.520776593632</v>
      </c>
      <c r="CL955" s="229"/>
      <c r="CM955" s="229"/>
      <c r="CN955" s="229"/>
      <c r="CO955" s="47" t="s">
        <v>2488</v>
      </c>
      <c r="CP955" s="47" t="s">
        <v>2489</v>
      </c>
      <c r="CQ955" s="224">
        <v>2.8884817876755888</v>
      </c>
      <c r="CR955" s="224">
        <f>10^(CJ955-CQ955)</f>
        <v>1.292760912150537E-3</v>
      </c>
      <c r="CS955" s="230" t="s">
        <v>539</v>
      </c>
      <c r="CT955" s="230"/>
      <c r="CU955" s="230"/>
      <c r="CV955" s="335">
        <f t="shared" si="273"/>
        <v>251731.9155791848</v>
      </c>
      <c r="CW955" s="230">
        <f t="shared" si="269"/>
        <v>1</v>
      </c>
      <c r="CX955" s="336"/>
      <c r="CY955" s="230" t="s">
        <v>6351</v>
      </c>
    </row>
    <row r="956" spans="1:103" ht="11.25" customHeight="1" x14ac:dyDescent="0.2">
      <c r="A956" s="72">
        <v>954</v>
      </c>
      <c r="B956" s="224">
        <v>954</v>
      </c>
      <c r="C956" s="46" t="s">
        <v>7142</v>
      </c>
      <c r="D956" s="46"/>
      <c r="E956" s="114"/>
      <c r="F956" s="114" t="s">
        <v>2724</v>
      </c>
      <c r="G956" s="225">
        <v>107415</v>
      </c>
      <c r="H956" s="47" t="s">
        <v>2725</v>
      </c>
      <c r="I956" s="47" t="s">
        <v>2725</v>
      </c>
      <c r="J956" s="47" t="s">
        <v>2726</v>
      </c>
      <c r="K956" s="47" t="s">
        <v>426</v>
      </c>
      <c r="L956" s="47" t="s">
        <v>5527</v>
      </c>
      <c r="M956" s="47" t="s">
        <v>6082</v>
      </c>
      <c r="N956" s="47" t="s">
        <v>6082</v>
      </c>
      <c r="O956" s="47" t="s">
        <v>6083</v>
      </c>
      <c r="P956" s="53" t="s">
        <v>6183</v>
      </c>
      <c r="Q956" s="53" t="s">
        <v>6173</v>
      </c>
      <c r="R956" s="53" t="s">
        <v>6185</v>
      </c>
      <c r="S956" s="53" t="s">
        <v>6176</v>
      </c>
      <c r="T956" s="48">
        <v>118.17</v>
      </c>
      <c r="U956" s="98">
        <v>8462.3847000084625</v>
      </c>
      <c r="V956" s="98">
        <v>275.53524583227551</v>
      </c>
      <c r="W956" s="98">
        <v>575.43993733715695</v>
      </c>
      <c r="X956" s="98">
        <v>8462.3847000084625</v>
      </c>
      <c r="Y956" s="233">
        <v>6.99</v>
      </c>
      <c r="Z956" s="48">
        <v>0.57999999999999996</v>
      </c>
      <c r="AA956" s="48"/>
      <c r="AB956" s="48">
        <v>0.31</v>
      </c>
      <c r="AC956" s="48">
        <v>0.80989999999999995</v>
      </c>
      <c r="AD956" s="48">
        <v>0.23</v>
      </c>
      <c r="AE956" s="48">
        <v>0</v>
      </c>
      <c r="AF956" s="48">
        <f t="shared" si="268"/>
        <v>0.23</v>
      </c>
      <c r="AG956" s="49">
        <v>0.55000000000000004</v>
      </c>
      <c r="AH956" s="98">
        <v>4.0600000000000001E-7</v>
      </c>
      <c r="AI956" s="98"/>
      <c r="AJ956" s="483">
        <f t="shared" si="276"/>
        <v>-4.7800402927354577</v>
      </c>
      <c r="AK956" s="483"/>
      <c r="AL956" s="483">
        <f t="shared" si="275"/>
        <v>-4.7800402927354577</v>
      </c>
      <c r="AM956" s="483">
        <v>-7.3209900000000001</v>
      </c>
      <c r="AN956" s="226">
        <v>-4.34</v>
      </c>
      <c r="AO956" s="484">
        <v>15.1</v>
      </c>
      <c r="AP956" s="484"/>
      <c r="AQ956" s="48" t="s">
        <v>6311</v>
      </c>
      <c r="AR956" s="48" t="s">
        <v>6311</v>
      </c>
      <c r="AS956" s="227"/>
      <c r="AT956" s="50" t="s">
        <v>266</v>
      </c>
      <c r="AU956" s="48">
        <v>6</v>
      </c>
      <c r="AV956" s="48">
        <v>120</v>
      </c>
      <c r="AW956" s="48">
        <v>114</v>
      </c>
      <c r="AX956" s="48">
        <v>28</v>
      </c>
      <c r="AY956" s="48" t="s">
        <v>8728</v>
      </c>
      <c r="AZ956" s="48" t="s">
        <v>1563</v>
      </c>
      <c r="BA956" s="48">
        <v>32</v>
      </c>
      <c r="BB956" s="47" t="s">
        <v>2485</v>
      </c>
      <c r="BC956" s="47" t="s">
        <v>8726</v>
      </c>
      <c r="BD956" s="47" t="s">
        <v>8374</v>
      </c>
      <c r="BE956" s="48" t="s">
        <v>2449</v>
      </c>
      <c r="BF956" s="48" t="s">
        <v>272</v>
      </c>
      <c r="BG956" s="48" t="s">
        <v>272</v>
      </c>
      <c r="BH956" s="48" t="s">
        <v>2486</v>
      </c>
      <c r="BI956" s="98">
        <v>6.3999999999999997E-6</v>
      </c>
      <c r="BJ956" s="98">
        <v>6.4000000000000001E-2</v>
      </c>
      <c r="BK956" s="48"/>
      <c r="BL956" s="98">
        <f t="shared" si="274"/>
        <v>15.484671627002131</v>
      </c>
      <c r="BM956" s="47" t="s">
        <v>2487</v>
      </c>
      <c r="BN956" s="48"/>
      <c r="BO956" s="48"/>
      <c r="BP956" s="48"/>
      <c r="BQ956" s="48"/>
      <c r="BR956" s="47" t="s">
        <v>2496</v>
      </c>
      <c r="BS956" s="48"/>
      <c r="BT956" s="48"/>
      <c r="BU956" s="228">
        <v>6.7000000000000002E-6</v>
      </c>
      <c r="BV956" s="48"/>
      <c r="BW956" s="48"/>
      <c r="BX956" s="48"/>
      <c r="BY956" s="48"/>
      <c r="BZ956" s="48"/>
      <c r="CA956" s="48"/>
      <c r="CB956" s="48"/>
      <c r="CC956" s="48"/>
      <c r="CD956" s="48"/>
      <c r="CE956" s="48"/>
      <c r="CF956" s="48"/>
      <c r="CG956" s="48"/>
      <c r="CH956" s="48"/>
      <c r="CI956" s="98"/>
      <c r="CJ956" s="98"/>
      <c r="CK956" s="49">
        <f t="shared" si="270"/>
        <v>241.94799417190828</v>
      </c>
      <c r="CL956" s="229"/>
      <c r="CM956" s="229"/>
      <c r="CN956" s="229"/>
      <c r="CO956" s="47" t="s">
        <v>2488</v>
      </c>
      <c r="CP956" s="47" t="s">
        <v>2489</v>
      </c>
      <c r="CQ956" s="224">
        <v>1.9405278867123181</v>
      </c>
      <c r="CR956" s="224">
        <f>10^(CJ956-CQ956)</f>
        <v>1.1467588839180433E-2</v>
      </c>
      <c r="CS956" s="230" t="s">
        <v>539</v>
      </c>
      <c r="CT956" s="230"/>
      <c r="CU956" s="230"/>
      <c r="CV956" s="335">
        <f t="shared" si="273"/>
        <v>132224.76093763224</v>
      </c>
      <c r="CW956" s="230">
        <f t="shared" si="269"/>
        <v>1</v>
      </c>
      <c r="CX956" s="336"/>
      <c r="CY956" s="230" t="s">
        <v>6351</v>
      </c>
    </row>
    <row r="957" spans="1:103" ht="11.25" customHeight="1" x14ac:dyDescent="0.2">
      <c r="A957" s="72">
        <v>955</v>
      </c>
      <c r="B957" s="224">
        <v>1371</v>
      </c>
      <c r="C957" s="46" t="s">
        <v>7143</v>
      </c>
      <c r="D957" s="46"/>
      <c r="E957" s="114"/>
      <c r="F957" s="114" t="s">
        <v>4232</v>
      </c>
      <c r="G957" s="225">
        <v>107880</v>
      </c>
      <c r="H957" s="47" t="s">
        <v>4233</v>
      </c>
      <c r="I957" s="47" t="s">
        <v>4233</v>
      </c>
      <c r="J957" s="47" t="s">
        <v>4234</v>
      </c>
      <c r="K957" s="47" t="s">
        <v>426</v>
      </c>
      <c r="L957" s="47"/>
      <c r="M957" s="47"/>
      <c r="N957" s="47"/>
      <c r="O957" s="47"/>
      <c r="P957" s="53"/>
      <c r="Q957" s="53"/>
      <c r="R957" s="53"/>
      <c r="S957" s="53"/>
      <c r="T957" s="48">
        <v>90.12</v>
      </c>
      <c r="U957" s="98">
        <v>11096.316023080337</v>
      </c>
      <c r="V957" s="98">
        <v>2445.6280514869063</v>
      </c>
      <c r="W957" s="98">
        <v>2290.8676527677731</v>
      </c>
      <c r="X957" s="98">
        <v>11096.316023080337</v>
      </c>
      <c r="Y957" s="233">
        <v>6.9</v>
      </c>
      <c r="Z957" s="48">
        <v>-0.28999999999999998</v>
      </c>
      <c r="AA957" s="48"/>
      <c r="AB957" s="48">
        <v>-0.79</v>
      </c>
      <c r="AC957" s="48">
        <v>0.95799999999999996</v>
      </c>
      <c r="AD957" s="48">
        <v>-0.77</v>
      </c>
      <c r="AE957" s="48">
        <v>-0.69</v>
      </c>
      <c r="AF957" s="48">
        <f t="shared" si="268"/>
        <v>-0.77</v>
      </c>
      <c r="AG957" s="49">
        <v>-0.17</v>
      </c>
      <c r="AH957" s="98">
        <v>2.2999999999999999E-7</v>
      </c>
      <c r="AI957" s="98">
        <v>2.3800000000000001E-9</v>
      </c>
      <c r="AJ957" s="483">
        <f t="shared" si="276"/>
        <v>-5.0268384902950585</v>
      </c>
      <c r="AK957" s="483">
        <f t="shared" ref="AK957:AK963" si="278">LOG10(AI957*1000/(0.08206*298.15))</f>
        <v>-7.0119893692561401</v>
      </c>
      <c r="AL957" s="483">
        <f t="shared" si="275"/>
        <v>-7.0119893692561401</v>
      </c>
      <c r="AM957" s="483">
        <v>-7.1709999999999994</v>
      </c>
      <c r="AN957" s="226">
        <v>-4.6100000000000003</v>
      </c>
      <c r="AO957" s="484">
        <v>14.83</v>
      </c>
      <c r="AP957" s="484"/>
      <c r="AQ957" s="48" t="s">
        <v>6311</v>
      </c>
      <c r="AR957" s="48" t="s">
        <v>6311</v>
      </c>
      <c r="AS957" s="227"/>
      <c r="AT957" s="50" t="s">
        <v>266</v>
      </c>
      <c r="AU957" s="48">
        <v>6</v>
      </c>
      <c r="AV957" s="48">
        <v>120</v>
      </c>
      <c r="AW957" s="48">
        <v>114</v>
      </c>
      <c r="AX957" s="48">
        <v>28</v>
      </c>
      <c r="AY957" s="48" t="s">
        <v>8728</v>
      </c>
      <c r="AZ957" s="48" t="s">
        <v>1563</v>
      </c>
      <c r="BA957" s="48">
        <v>32</v>
      </c>
      <c r="BB957" s="47" t="s">
        <v>2485</v>
      </c>
      <c r="BC957" s="47" t="s">
        <v>8726</v>
      </c>
      <c r="BD957" s="47" t="s">
        <v>8374</v>
      </c>
      <c r="BE957" s="48" t="s">
        <v>2449</v>
      </c>
      <c r="BF957" s="48" t="s">
        <v>272</v>
      </c>
      <c r="BG957" s="48" t="s">
        <v>272</v>
      </c>
      <c r="BH957" s="48" t="s">
        <v>2486</v>
      </c>
      <c r="BI957" s="98">
        <v>6.3999999999999997E-6</v>
      </c>
      <c r="BJ957" s="98">
        <v>6.4000000000000001E-2</v>
      </c>
      <c r="BK957" s="48"/>
      <c r="BL957" s="98">
        <f t="shared" si="274"/>
        <v>93.594213686074937</v>
      </c>
      <c r="BM957" s="47" t="s">
        <v>2487</v>
      </c>
      <c r="BN957" s="48"/>
      <c r="BO957" s="48"/>
      <c r="BP957" s="48"/>
      <c r="BQ957" s="48"/>
      <c r="BR957" s="47" t="s">
        <v>2496</v>
      </c>
      <c r="BS957" s="48"/>
      <c r="BT957" s="48"/>
      <c r="BU957" s="228"/>
      <c r="BV957" s="48"/>
      <c r="BW957" s="48"/>
      <c r="BX957" s="48"/>
      <c r="BY957" s="48"/>
      <c r="BZ957" s="48"/>
      <c r="CA957" s="48"/>
      <c r="CB957" s="48"/>
      <c r="CC957" s="48"/>
      <c r="CD957" s="48"/>
      <c r="CE957" s="48"/>
      <c r="CF957" s="48"/>
      <c r="CG957" s="48"/>
      <c r="CH957" s="48"/>
      <c r="CI957" s="98"/>
      <c r="CJ957" s="98"/>
      <c r="CK957" s="49">
        <f t="shared" si="270"/>
        <v>1462.4095888449208</v>
      </c>
      <c r="CL957" s="229"/>
      <c r="CM957" s="229"/>
      <c r="CN957" s="229"/>
      <c r="CO957" s="47" t="s">
        <v>2488</v>
      </c>
      <c r="CP957" s="47" t="s">
        <v>2489</v>
      </c>
      <c r="CQ957" s="224" t="s">
        <v>272</v>
      </c>
      <c r="CR957" s="224"/>
      <c r="CS957" s="230" t="s">
        <v>539</v>
      </c>
      <c r="CT957" s="230"/>
      <c r="CU957" s="230"/>
      <c r="CV957" s="335">
        <f t="shared" si="273"/>
        <v>173379.93786063025</v>
      </c>
      <c r="CW957" s="230">
        <f t="shared" si="269"/>
        <v>1</v>
      </c>
      <c r="CX957" s="336"/>
      <c r="CY957" s="230" t="s">
        <v>6351</v>
      </c>
    </row>
    <row r="958" spans="1:103" ht="11.25" customHeight="1" x14ac:dyDescent="0.2">
      <c r="A958" s="72">
        <v>956</v>
      </c>
      <c r="B958" s="224">
        <v>1537</v>
      </c>
      <c r="C958" s="46" t="s">
        <v>7144</v>
      </c>
      <c r="D958" s="46"/>
      <c r="E958" s="114"/>
      <c r="F958" s="114" t="s">
        <v>4649</v>
      </c>
      <c r="G958" s="225">
        <v>107926</v>
      </c>
      <c r="H958" s="47" t="s">
        <v>4650</v>
      </c>
      <c r="I958" s="47" t="s">
        <v>4650</v>
      </c>
      <c r="J958" s="47" t="s">
        <v>4651</v>
      </c>
      <c r="K958" s="47" t="s">
        <v>426</v>
      </c>
      <c r="L958" s="47"/>
      <c r="M958" s="47"/>
      <c r="N958" s="47"/>
      <c r="O958" s="47"/>
      <c r="P958" s="53"/>
      <c r="Q958" s="53"/>
      <c r="R958" s="53"/>
      <c r="S958" s="53"/>
      <c r="T958" s="48">
        <v>88.11</v>
      </c>
      <c r="U958" s="98">
        <v>680.96697310180457</v>
      </c>
      <c r="V958" s="98">
        <v>749.74463738508678</v>
      </c>
      <c r="W958" s="98">
        <v>489.77881936844614</v>
      </c>
      <c r="X958" s="98">
        <v>680.96697310180457</v>
      </c>
      <c r="Y958" s="233">
        <v>2.5299999999999998</v>
      </c>
      <c r="Z958" s="48">
        <v>1.07</v>
      </c>
      <c r="AA958" s="48">
        <v>0.79</v>
      </c>
      <c r="AB958" s="48">
        <v>0.89</v>
      </c>
      <c r="AC958" s="48">
        <v>0.9073</v>
      </c>
      <c r="AD958" s="48">
        <v>0.86</v>
      </c>
      <c r="AE958" s="48">
        <v>0.78</v>
      </c>
      <c r="AF958" s="48">
        <f t="shared" ref="AF958:AF1021" si="279">IF(AA958=0,AD958,AA958)</f>
        <v>0.79</v>
      </c>
      <c r="AG958" s="49">
        <v>0.69</v>
      </c>
      <c r="AH958" s="98">
        <v>9.6500000000000008E-7</v>
      </c>
      <c r="AI958" s="98">
        <v>5.3499999999999996E-7</v>
      </c>
      <c r="AJ958" s="483">
        <f t="shared" si="276"/>
        <v>-4.4040390129688589</v>
      </c>
      <c r="AK958" s="483">
        <f t="shared" si="278"/>
        <v>-4.6602125442914231</v>
      </c>
      <c r="AL958" s="483">
        <f t="shared" si="275"/>
        <v>-4.6602125442914231</v>
      </c>
      <c r="AM958" s="483">
        <v>-5.1326399999999994</v>
      </c>
      <c r="AN958" s="226">
        <v>-4.75</v>
      </c>
      <c r="AO958" s="484">
        <v>4.76</v>
      </c>
      <c r="AP958" s="484"/>
      <c r="AQ958" s="48" t="s">
        <v>6311</v>
      </c>
      <c r="AR958" s="48" t="s">
        <v>6311</v>
      </c>
      <c r="AS958" s="227"/>
      <c r="AT958" s="50" t="s">
        <v>266</v>
      </c>
      <c r="AU958" s="48">
        <v>6</v>
      </c>
      <c r="AV958" s="48">
        <v>120</v>
      </c>
      <c r="AW958" s="48">
        <v>114</v>
      </c>
      <c r="AX958" s="48">
        <v>28</v>
      </c>
      <c r="AY958" s="48" t="s">
        <v>8728</v>
      </c>
      <c r="AZ958" s="48" t="s">
        <v>1563</v>
      </c>
      <c r="BA958" s="48">
        <v>32</v>
      </c>
      <c r="BB958" s="47" t="s">
        <v>2485</v>
      </c>
      <c r="BC958" s="47" t="s">
        <v>8726</v>
      </c>
      <c r="BD958" s="47" t="s">
        <v>8374</v>
      </c>
      <c r="BE958" s="48" t="s">
        <v>2449</v>
      </c>
      <c r="BF958" s="48" t="s">
        <v>272</v>
      </c>
      <c r="BG958" s="48" t="s">
        <v>272</v>
      </c>
      <c r="BH958" s="48" t="s">
        <v>2486</v>
      </c>
      <c r="BI958" s="98">
        <v>6.3999999999999997E-6</v>
      </c>
      <c r="BJ958" s="98">
        <v>6.4000000000000001E-2</v>
      </c>
      <c r="BK958" s="48"/>
      <c r="BL958" s="98">
        <f t="shared" si="274"/>
        <v>5.621251286885415</v>
      </c>
      <c r="BM958" s="47" t="s">
        <v>2487</v>
      </c>
      <c r="BN958" s="48"/>
      <c r="BO958" s="48"/>
      <c r="BP958" s="48"/>
      <c r="BQ958" s="48"/>
      <c r="BR958" s="47" t="s">
        <v>2496</v>
      </c>
      <c r="BS958" s="48"/>
      <c r="BT958" s="48"/>
      <c r="BU958" s="228"/>
      <c r="BV958" s="48"/>
      <c r="BW958" s="48"/>
      <c r="BX958" s="48"/>
      <c r="BY958" s="48"/>
      <c r="BZ958" s="48"/>
      <c r="CA958" s="48"/>
      <c r="CB958" s="48"/>
      <c r="CC958" s="48"/>
      <c r="CD958" s="48"/>
      <c r="CE958" s="48"/>
      <c r="CF958" s="48"/>
      <c r="CG958" s="48"/>
      <c r="CH958" s="48"/>
      <c r="CI958" s="98"/>
      <c r="CJ958" s="98"/>
      <c r="CK958" s="49">
        <f t="shared" si="270"/>
        <v>87.832051357584604</v>
      </c>
      <c r="CL958" s="229"/>
      <c r="CM958" s="229"/>
      <c r="CN958" s="229"/>
      <c r="CO958" s="47" t="s">
        <v>2488</v>
      </c>
      <c r="CP958" s="47" t="s">
        <v>2489</v>
      </c>
      <c r="CQ958" s="224" t="s">
        <v>272</v>
      </c>
      <c r="CR958" s="224"/>
      <c r="CS958" s="230" t="s">
        <v>539</v>
      </c>
      <c r="CT958" s="230"/>
      <c r="CU958" s="230"/>
      <c r="CV958" s="335">
        <f t="shared" si="273"/>
        <v>10640.108954715695</v>
      </c>
      <c r="CW958" s="230">
        <f t="shared" si="269"/>
        <v>1</v>
      </c>
      <c r="CX958" s="336"/>
      <c r="CY958" s="230" t="s">
        <v>6351</v>
      </c>
    </row>
    <row r="959" spans="1:103" ht="11.25" customHeight="1" x14ac:dyDescent="0.2">
      <c r="A959" s="72">
        <v>957</v>
      </c>
      <c r="B959" s="224">
        <v>1353</v>
      </c>
      <c r="C959" s="46" t="s">
        <v>740</v>
      </c>
      <c r="D959" s="46"/>
      <c r="E959" s="114"/>
      <c r="F959" s="114" t="s">
        <v>741</v>
      </c>
      <c r="G959" s="225">
        <v>107982</v>
      </c>
      <c r="H959" s="47" t="s">
        <v>742</v>
      </c>
      <c r="I959" s="47" t="s">
        <v>742</v>
      </c>
      <c r="J959" s="47" t="s">
        <v>743</v>
      </c>
      <c r="K959" s="47" t="s">
        <v>426</v>
      </c>
      <c r="L959" s="47" t="s">
        <v>5527</v>
      </c>
      <c r="M959" s="47" t="s">
        <v>5960</v>
      </c>
      <c r="N959" s="47"/>
      <c r="O959" s="47"/>
      <c r="P959" s="53"/>
      <c r="Q959" s="53"/>
      <c r="R959" s="53"/>
      <c r="S959" s="53"/>
      <c r="T959" s="48">
        <v>90.12</v>
      </c>
      <c r="U959" s="98">
        <v>11096.316023080337</v>
      </c>
      <c r="V959" s="98">
        <v>11096.316023080337</v>
      </c>
      <c r="W959" s="98">
        <v>4786.3009232263839</v>
      </c>
      <c r="X959" s="98">
        <v>11096.316023080337</v>
      </c>
      <c r="Y959" s="233">
        <v>6.8</v>
      </c>
      <c r="Z959" s="48">
        <v>-0.49</v>
      </c>
      <c r="AA959" s="48"/>
      <c r="AB959" s="48">
        <v>-0.14000000000000001</v>
      </c>
      <c r="AC959" s="48">
        <v>0.86470000000000002</v>
      </c>
      <c r="AD959" s="48">
        <v>-0.22</v>
      </c>
      <c r="AE959" s="48">
        <v>-0.45</v>
      </c>
      <c r="AF959" s="48">
        <f t="shared" si="279"/>
        <v>-0.22</v>
      </c>
      <c r="AG959" s="49">
        <v>0.14000000000000001</v>
      </c>
      <c r="AH959" s="98">
        <v>5.5600000000000002E-8</v>
      </c>
      <c r="AI959" s="98">
        <v>9.1999999999999998E-7</v>
      </c>
      <c r="AJ959" s="483">
        <f t="shared" si="276"/>
        <v>-5.6434915347305941</v>
      </c>
      <c r="AK959" s="483">
        <f t="shared" si="278"/>
        <v>-4.4247784989670969</v>
      </c>
      <c r="AL959" s="483">
        <f t="shared" si="275"/>
        <v>-4.4247784989670969</v>
      </c>
      <c r="AM959" s="483">
        <v>-5.0744100000000003</v>
      </c>
      <c r="AN959" s="226">
        <v>-4.1100000000000003</v>
      </c>
      <c r="AO959" s="484">
        <v>14.49</v>
      </c>
      <c r="AP959" s="484"/>
      <c r="AQ959" s="48" t="s">
        <v>6311</v>
      </c>
      <c r="AR959" s="48" t="s">
        <v>6311</v>
      </c>
      <c r="AS959" s="227"/>
      <c r="AT959" s="50" t="s">
        <v>266</v>
      </c>
      <c r="AU959" s="48">
        <v>6</v>
      </c>
      <c r="AV959" s="48">
        <v>120</v>
      </c>
      <c r="AW959" s="48">
        <v>114</v>
      </c>
      <c r="AX959" s="48">
        <v>28</v>
      </c>
      <c r="AY959" s="48" t="s">
        <v>8728</v>
      </c>
      <c r="AZ959" s="48" t="s">
        <v>1563</v>
      </c>
      <c r="BA959" s="48">
        <v>32</v>
      </c>
      <c r="BB959" s="47" t="s">
        <v>2485</v>
      </c>
      <c r="BC959" s="47" t="s">
        <v>8726</v>
      </c>
      <c r="BD959" s="47" t="s">
        <v>8374</v>
      </c>
      <c r="BE959" s="48" t="s">
        <v>2449</v>
      </c>
      <c r="BF959" s="48" t="s">
        <v>272</v>
      </c>
      <c r="BG959" s="48" t="s">
        <v>272</v>
      </c>
      <c r="BH959" s="48" t="s">
        <v>2486</v>
      </c>
      <c r="BI959" s="98">
        <v>6.3999999999999997E-6</v>
      </c>
      <c r="BJ959" s="98">
        <v>6.4000000000000001E-2</v>
      </c>
      <c r="BK959" s="48"/>
      <c r="BL959" s="98">
        <f t="shared" si="274"/>
        <v>141.53667862387493</v>
      </c>
      <c r="BM959" s="47" t="s">
        <v>2487</v>
      </c>
      <c r="BN959" s="48"/>
      <c r="BO959" s="48"/>
      <c r="BP959" s="48"/>
      <c r="BQ959" s="48"/>
      <c r="BR959" s="47" t="s">
        <v>2496</v>
      </c>
      <c r="BS959" s="48"/>
      <c r="BT959" s="48"/>
      <c r="BU959" s="228"/>
      <c r="BV959" s="48"/>
      <c r="BW959" s="48"/>
      <c r="BX959" s="48"/>
      <c r="BY959" s="48"/>
      <c r="BZ959" s="48"/>
      <c r="CA959" s="48"/>
      <c r="CB959" s="48"/>
      <c r="CC959" s="48"/>
      <c r="CD959" s="48"/>
      <c r="CE959" s="48"/>
      <c r="CF959" s="48"/>
      <c r="CG959" s="48"/>
      <c r="CH959" s="48"/>
      <c r="CI959" s="52" t="s">
        <v>6347</v>
      </c>
      <c r="CJ959" s="98"/>
      <c r="CK959" s="49">
        <f t="shared" si="270"/>
        <v>2211.5106034980458</v>
      </c>
      <c r="CL959" s="229"/>
      <c r="CM959" s="229"/>
      <c r="CN959" s="229"/>
      <c r="CO959" s="47" t="s">
        <v>2488</v>
      </c>
      <c r="CP959" s="47" t="s">
        <v>2489</v>
      </c>
      <c r="CQ959" s="224">
        <v>2.3632421519109683</v>
      </c>
      <c r="CR959" s="224">
        <f>10^(CJ959-CQ959)</f>
        <v>4.3326923076923048E-3</v>
      </c>
      <c r="CS959" s="230" t="s">
        <v>539</v>
      </c>
      <c r="CT959" s="230"/>
      <c r="CU959" s="230"/>
      <c r="CV959" s="335">
        <f t="shared" si="273"/>
        <v>173379.93786063025</v>
      </c>
      <c r="CW959" s="230">
        <f t="shared" ref="CW959:CW1022" si="280">IF(CV959&lt;1,0,1)</f>
        <v>1</v>
      </c>
      <c r="CX959" s="336"/>
      <c r="CY959" s="230" t="s">
        <v>6351</v>
      </c>
    </row>
    <row r="960" spans="1:103" ht="11.25" customHeight="1" x14ac:dyDescent="0.2">
      <c r="A960" s="72">
        <v>958</v>
      </c>
      <c r="B960" s="224">
        <v>993</v>
      </c>
      <c r="C960" s="46" t="s">
        <v>7145</v>
      </c>
      <c r="D960" s="46"/>
      <c r="E960" s="114"/>
      <c r="F960" s="114" t="s">
        <v>2834</v>
      </c>
      <c r="G960" s="225">
        <v>108112</v>
      </c>
      <c r="H960" s="47" t="s">
        <v>2835</v>
      </c>
      <c r="I960" s="47" t="s">
        <v>2835</v>
      </c>
      <c r="J960" s="47" t="s">
        <v>2836</v>
      </c>
      <c r="K960" s="47" t="s">
        <v>426</v>
      </c>
      <c r="L960" s="47"/>
      <c r="M960" s="47"/>
      <c r="N960" s="47"/>
      <c r="O960" s="47"/>
      <c r="P960" s="53"/>
      <c r="Q960" s="53"/>
      <c r="R960" s="53"/>
      <c r="S960" s="53"/>
      <c r="T960" s="48">
        <v>102.17</v>
      </c>
      <c r="U960" s="98">
        <v>160.51678574924145</v>
      </c>
      <c r="V960" s="98">
        <v>135.0690026426544</v>
      </c>
      <c r="W960" s="98">
        <v>165.95869074375599</v>
      </c>
      <c r="X960" s="98">
        <v>160.51678574924145</v>
      </c>
      <c r="Y960" s="233">
        <v>7</v>
      </c>
      <c r="Z960" s="48">
        <v>1.68</v>
      </c>
      <c r="AA960" s="48"/>
      <c r="AB960" s="48">
        <v>1.62</v>
      </c>
      <c r="AC960" s="48">
        <v>0.92549999999999999</v>
      </c>
      <c r="AD960" s="48">
        <v>1.61</v>
      </c>
      <c r="AE960" s="48">
        <v>1.57</v>
      </c>
      <c r="AF960" s="48">
        <f t="shared" si="279"/>
        <v>1.61</v>
      </c>
      <c r="AG960" s="49">
        <v>1.55</v>
      </c>
      <c r="AH960" s="98">
        <v>1.7600000000000001E-5</v>
      </c>
      <c r="AI960" s="98">
        <v>4.4499999999999997E-5</v>
      </c>
      <c r="AJ960" s="483">
        <f t="shared" si="276"/>
        <v>-3.143053658498502</v>
      </c>
      <c r="AK960" s="483">
        <f t="shared" si="278"/>
        <v>-2.7402063153317204</v>
      </c>
      <c r="AL960" s="483">
        <f t="shared" si="275"/>
        <v>-2.7402063153317204</v>
      </c>
      <c r="AM960" s="483">
        <v>-3.79217</v>
      </c>
      <c r="AN960" s="226">
        <v>-3.04</v>
      </c>
      <c r="AO960" s="484">
        <v>15.31</v>
      </c>
      <c r="AP960" s="484"/>
      <c r="AQ960" s="48" t="s">
        <v>6311</v>
      </c>
      <c r="AR960" s="48" t="s">
        <v>6311</v>
      </c>
      <c r="AS960" s="227"/>
      <c r="AT960" s="50" t="s">
        <v>266</v>
      </c>
      <c r="AU960" s="48">
        <v>6</v>
      </c>
      <c r="AV960" s="48">
        <v>120</v>
      </c>
      <c r="AW960" s="48">
        <v>114</v>
      </c>
      <c r="AX960" s="48">
        <v>28</v>
      </c>
      <c r="AY960" s="48" t="s">
        <v>8728</v>
      </c>
      <c r="AZ960" s="48" t="s">
        <v>1563</v>
      </c>
      <c r="BA960" s="48">
        <v>32</v>
      </c>
      <c r="BB960" s="47" t="s">
        <v>2485</v>
      </c>
      <c r="BC960" s="47" t="s">
        <v>8726</v>
      </c>
      <c r="BD960" s="47" t="s">
        <v>8374</v>
      </c>
      <c r="BE960" s="48" t="s">
        <v>2449</v>
      </c>
      <c r="BF960" s="48" t="s">
        <v>272</v>
      </c>
      <c r="BG960" s="48" t="s">
        <v>272</v>
      </c>
      <c r="BH960" s="48" t="s">
        <v>2486</v>
      </c>
      <c r="BI960" s="98">
        <v>6.3999999999999997E-6</v>
      </c>
      <c r="BJ960" s="98">
        <v>6.4000000000000001E-2</v>
      </c>
      <c r="BK960" s="48"/>
      <c r="BL960" s="98">
        <f t="shared" si="274"/>
        <v>1.5921793977526657</v>
      </c>
      <c r="BM960" s="47" t="s">
        <v>2487</v>
      </c>
      <c r="BN960" s="48"/>
      <c r="BO960" s="48"/>
      <c r="BP960" s="48"/>
      <c r="BQ960" s="48"/>
      <c r="BR960" s="47" t="s">
        <v>2496</v>
      </c>
      <c r="BS960" s="48"/>
      <c r="BT960" s="48"/>
      <c r="BU960" s="228">
        <v>6.3999999999999997E-6</v>
      </c>
      <c r="BV960" s="48"/>
      <c r="BW960" s="48"/>
      <c r="BX960" s="48"/>
      <c r="BY960" s="48"/>
      <c r="BZ960" s="48"/>
      <c r="CA960" s="48"/>
      <c r="CB960" s="48"/>
      <c r="CC960" s="48"/>
      <c r="CD960" s="48"/>
      <c r="CE960" s="48"/>
      <c r="CF960" s="48"/>
      <c r="CG960" s="48"/>
      <c r="CH960" s="48"/>
      <c r="CI960" s="98"/>
      <c r="CJ960" s="98"/>
      <c r="CK960" s="49">
        <f t="shared" si="270"/>
        <v>24.877803089885401</v>
      </c>
      <c r="CL960" s="229"/>
      <c r="CM960" s="229"/>
      <c r="CN960" s="229"/>
      <c r="CO960" s="47" t="s">
        <v>2488</v>
      </c>
      <c r="CP960" s="47" t="s">
        <v>2489</v>
      </c>
      <c r="CQ960" s="224" t="s">
        <v>272</v>
      </c>
      <c r="CR960" s="224"/>
      <c r="CS960" s="230" t="s">
        <v>539</v>
      </c>
      <c r="CT960" s="230"/>
      <c r="CU960" s="230"/>
      <c r="CV960" s="335">
        <f t="shared" si="273"/>
        <v>2508.0747773318976</v>
      </c>
      <c r="CW960" s="230">
        <f t="shared" si="280"/>
        <v>1</v>
      </c>
      <c r="CX960" s="336"/>
      <c r="CY960" s="230" t="s">
        <v>6351</v>
      </c>
    </row>
    <row r="961" spans="1:103" ht="11.25" customHeight="1" x14ac:dyDescent="0.2">
      <c r="A961" s="72">
        <v>959</v>
      </c>
      <c r="B961" s="224">
        <v>1434</v>
      </c>
      <c r="C961" s="46" t="s">
        <v>7146</v>
      </c>
      <c r="D961" s="46"/>
      <c r="E961" s="114"/>
      <c r="F961" s="114" t="s">
        <v>4410</v>
      </c>
      <c r="G961" s="225">
        <v>108441</v>
      </c>
      <c r="H961" s="47" t="s">
        <v>4411</v>
      </c>
      <c r="I961" s="47" t="s">
        <v>4411</v>
      </c>
      <c r="J961" s="47" t="s">
        <v>4412</v>
      </c>
      <c r="K961" s="47" t="s">
        <v>1573</v>
      </c>
      <c r="L961" s="47"/>
      <c r="M961" s="47"/>
      <c r="N961" s="47"/>
      <c r="O961" s="47"/>
      <c r="P961" s="53" t="s">
        <v>6184</v>
      </c>
      <c r="Q961" s="53" t="s">
        <v>6176</v>
      </c>
      <c r="R961" s="53" t="s">
        <v>6185</v>
      </c>
      <c r="S961" s="53" t="s">
        <v>6182</v>
      </c>
      <c r="T961" s="48">
        <v>107.15</v>
      </c>
      <c r="U961" s="98">
        <v>139.99066728884739</v>
      </c>
      <c r="V961" s="98">
        <v>66.122258516098924</v>
      </c>
      <c r="W961" s="98">
        <v>120.22644346174128</v>
      </c>
      <c r="X961" s="98">
        <v>139.99066728884739</v>
      </c>
      <c r="Y961" s="233">
        <v>8.9</v>
      </c>
      <c r="Z961" s="48">
        <v>1.62</v>
      </c>
      <c r="AA961" s="48">
        <v>1.4</v>
      </c>
      <c r="AB961" s="48">
        <v>1.49</v>
      </c>
      <c r="AC961" s="48">
        <v>0.94979999999999998</v>
      </c>
      <c r="AD961" s="48">
        <v>1.47</v>
      </c>
      <c r="AE961" s="48">
        <v>1.4</v>
      </c>
      <c r="AF961" s="48">
        <f t="shared" si="279"/>
        <v>1.4</v>
      </c>
      <c r="AG961" s="49">
        <v>1.59</v>
      </c>
      <c r="AH961" s="98">
        <v>2.0999999999999998E-6</v>
      </c>
      <c r="AI961" s="98">
        <v>1.66E-6</v>
      </c>
      <c r="AJ961" s="483">
        <f t="shared" si="276"/>
        <v>-4.0663470315787329</v>
      </c>
      <c r="AK961" s="483">
        <f t="shared" si="278"/>
        <v>-4.1684582382725965</v>
      </c>
      <c r="AL961" s="483">
        <f t="shared" si="275"/>
        <v>-4.1684582382725965</v>
      </c>
      <c r="AM961" s="483">
        <v>-6.2000900000000003</v>
      </c>
      <c r="AN961" s="226">
        <v>-3.95</v>
      </c>
      <c r="AO961" s="484"/>
      <c r="AP961" s="484">
        <v>4.72</v>
      </c>
      <c r="AQ961" s="48" t="s">
        <v>6311</v>
      </c>
      <c r="AR961" s="48" t="s">
        <v>6311</v>
      </c>
      <c r="AS961" s="227"/>
      <c r="AT961" s="50" t="s">
        <v>266</v>
      </c>
      <c r="AU961" s="48">
        <v>6</v>
      </c>
      <c r="AV961" s="48">
        <v>120</v>
      </c>
      <c r="AW961" s="48">
        <v>114</v>
      </c>
      <c r="AX961" s="48">
        <v>28</v>
      </c>
      <c r="AY961" s="48" t="s">
        <v>8728</v>
      </c>
      <c r="AZ961" s="48" t="s">
        <v>1563</v>
      </c>
      <c r="BA961" s="48">
        <v>32</v>
      </c>
      <c r="BB961" s="47" t="s">
        <v>2485</v>
      </c>
      <c r="BC961" s="47" t="s">
        <v>8726</v>
      </c>
      <c r="BD961" s="47" t="s">
        <v>8374</v>
      </c>
      <c r="BE961" s="48" t="s">
        <v>2449</v>
      </c>
      <c r="BF961" s="48" t="s">
        <v>272</v>
      </c>
      <c r="BG961" s="48" t="s">
        <v>272</v>
      </c>
      <c r="BH961" s="48" t="s">
        <v>2486</v>
      </c>
      <c r="BI961" s="98">
        <v>6.3999999999999997E-6</v>
      </c>
      <c r="BJ961" s="98">
        <v>6.4000000000000001E-2</v>
      </c>
      <c r="BK961" s="48"/>
      <c r="BL961" s="98">
        <f t="shared" si="274"/>
        <v>1.8025113165778388</v>
      </c>
      <c r="BM961" s="47" t="s">
        <v>2487</v>
      </c>
      <c r="BN961" s="48"/>
      <c r="BO961" s="48"/>
      <c r="BP961" s="48"/>
      <c r="BQ961" s="48"/>
      <c r="BR961" s="47" t="s">
        <v>2496</v>
      </c>
      <c r="BS961" s="48"/>
      <c r="BT961" s="48"/>
      <c r="BU961" s="228"/>
      <c r="BV961" s="48"/>
      <c r="BW961" s="48"/>
      <c r="BX961" s="48"/>
      <c r="BY961" s="48"/>
      <c r="BZ961" s="48"/>
      <c r="CA961" s="48"/>
      <c r="CB961" s="48"/>
      <c r="CC961" s="48"/>
      <c r="CD961" s="48"/>
      <c r="CE961" s="48"/>
      <c r="CF961" s="48"/>
      <c r="CG961" s="48"/>
      <c r="CH961" s="48"/>
      <c r="CI961" s="98"/>
      <c r="CJ961" s="98"/>
      <c r="CK961" s="49">
        <f t="shared" si="270"/>
        <v>28.164239321528729</v>
      </c>
      <c r="CL961" s="229"/>
      <c r="CM961" s="229"/>
      <c r="CN961" s="229"/>
      <c r="CO961" s="47" t="s">
        <v>2488</v>
      </c>
      <c r="CP961" s="47" t="s">
        <v>2489</v>
      </c>
      <c r="CQ961" s="224">
        <v>-0.47008555034173499</v>
      </c>
      <c r="CR961" s="224">
        <f>10^(CJ961-CQ961)</f>
        <v>2.951790633608816</v>
      </c>
      <c r="CS961" s="230" t="s">
        <v>539</v>
      </c>
      <c r="CT961" s="230"/>
      <c r="CU961" s="230"/>
      <c r="CV961" s="335">
        <f t="shared" si="273"/>
        <v>2187.3541763882404</v>
      </c>
      <c r="CW961" s="230">
        <f t="shared" si="280"/>
        <v>1</v>
      </c>
      <c r="CX961" s="336"/>
      <c r="CY961" s="230" t="s">
        <v>6351</v>
      </c>
    </row>
    <row r="962" spans="1:103" ht="11.25" customHeight="1" x14ac:dyDescent="0.2">
      <c r="A962" s="72">
        <v>960</v>
      </c>
      <c r="B962" s="224">
        <v>902</v>
      </c>
      <c r="C962" s="46" t="s">
        <v>7147</v>
      </c>
      <c r="D962" s="46"/>
      <c r="E962" s="114"/>
      <c r="F962" s="114" t="s">
        <v>2573</v>
      </c>
      <c r="G962" s="225">
        <v>108452</v>
      </c>
      <c r="H962" s="47" t="s">
        <v>2574</v>
      </c>
      <c r="I962" s="47" t="s">
        <v>2574</v>
      </c>
      <c r="J962" s="47" t="s">
        <v>2575</v>
      </c>
      <c r="K962" s="47" t="s">
        <v>2576</v>
      </c>
      <c r="L962" s="47"/>
      <c r="M962" s="47"/>
      <c r="N962" s="47"/>
      <c r="O962" s="47"/>
      <c r="P962" s="53"/>
      <c r="Q962" s="53" t="s">
        <v>6182</v>
      </c>
      <c r="R962" s="53" t="s">
        <v>6185</v>
      </c>
      <c r="S962" s="53" t="s">
        <v>6182</v>
      </c>
      <c r="T962" s="48">
        <v>108.14</v>
      </c>
      <c r="U962" s="98">
        <v>2200.8507490290363</v>
      </c>
      <c r="V962" s="98">
        <v>1952.0991307564268</v>
      </c>
      <c r="W962" s="98">
        <v>851.13803820237638</v>
      </c>
      <c r="X962" s="98">
        <v>2200.8507490290363</v>
      </c>
      <c r="Y962" s="233">
        <v>9.41</v>
      </c>
      <c r="Z962" s="48">
        <v>-0.39</v>
      </c>
      <c r="AA962" s="48">
        <v>-0.33</v>
      </c>
      <c r="AB962" s="48">
        <v>-0.02</v>
      </c>
      <c r="AC962" s="48">
        <v>0.88180000000000003</v>
      </c>
      <c r="AD962" s="48">
        <v>-0.09</v>
      </c>
      <c r="AE962" s="48">
        <v>-0.31</v>
      </c>
      <c r="AF962" s="48">
        <f t="shared" si="279"/>
        <v>-0.33</v>
      </c>
      <c r="AG962" s="49">
        <v>0.44</v>
      </c>
      <c r="AH962" s="98">
        <v>6.7299999999999995E-10</v>
      </c>
      <c r="AI962" s="98">
        <v>1.25E-9</v>
      </c>
      <c r="AJ962" s="483">
        <f t="shared" si="276"/>
        <v>-7.5605512620886746</v>
      </c>
      <c r="AK962" s="483">
        <f t="shared" si="278"/>
        <v>-7.2916563133045953</v>
      </c>
      <c r="AL962" s="483">
        <f t="shared" si="275"/>
        <v>-7.2916563133045953</v>
      </c>
      <c r="AM962" s="483">
        <v>-9.8611799999999992</v>
      </c>
      <c r="AN962" s="226">
        <v>-7.34</v>
      </c>
      <c r="AO962" s="484"/>
      <c r="AP962" s="484">
        <v>4.88</v>
      </c>
      <c r="AQ962" s="48" t="s">
        <v>6311</v>
      </c>
      <c r="AR962" s="48" t="s">
        <v>6311</v>
      </c>
      <c r="AS962" s="227"/>
      <c r="AT962" s="50" t="s">
        <v>266</v>
      </c>
      <c r="AU962" s="48">
        <v>6</v>
      </c>
      <c r="AV962" s="48">
        <v>120</v>
      </c>
      <c r="AW962" s="48">
        <v>114</v>
      </c>
      <c r="AX962" s="48">
        <v>28</v>
      </c>
      <c r="AY962" s="48" t="s">
        <v>8728</v>
      </c>
      <c r="AZ962" s="48" t="s">
        <v>1563</v>
      </c>
      <c r="BA962" s="48">
        <v>32</v>
      </c>
      <c r="BB962" s="47" t="s">
        <v>2485</v>
      </c>
      <c r="BC962" s="47" t="s">
        <v>8726</v>
      </c>
      <c r="BD962" s="47" t="s">
        <v>8374</v>
      </c>
      <c r="BE962" s="48" t="s">
        <v>2449</v>
      </c>
      <c r="BF962" s="48" t="s">
        <v>272</v>
      </c>
      <c r="BG962" s="48" t="s">
        <v>272</v>
      </c>
      <c r="BH962" s="48" t="s">
        <v>2486</v>
      </c>
      <c r="BI962" s="98">
        <v>6.3999999999999997E-6</v>
      </c>
      <c r="BJ962" s="98">
        <v>6.4000000000000001E-2</v>
      </c>
      <c r="BK962" s="48"/>
      <c r="BL962" s="98">
        <f t="shared" si="274"/>
        <v>115.09567386978659</v>
      </c>
      <c r="BM962" s="47" t="s">
        <v>2487</v>
      </c>
      <c r="BN962" s="48"/>
      <c r="BO962" s="48"/>
      <c r="BP962" s="48"/>
      <c r="BQ962" s="48"/>
      <c r="BR962" s="47" t="s">
        <v>2496</v>
      </c>
      <c r="BS962" s="48"/>
      <c r="BT962" s="48"/>
      <c r="BU962" s="228">
        <v>6.4000000000000001E-2</v>
      </c>
      <c r="BV962" s="48"/>
      <c r="BW962" s="48"/>
      <c r="BX962" s="48"/>
      <c r="BY962" s="48"/>
      <c r="BZ962" s="48"/>
      <c r="CA962" s="48"/>
      <c r="CB962" s="48"/>
      <c r="CC962" s="48"/>
      <c r="CD962" s="48"/>
      <c r="CE962" s="48"/>
      <c r="CF962" s="48"/>
      <c r="CG962" s="48"/>
      <c r="CH962" s="48"/>
      <c r="CI962" s="98"/>
      <c r="CJ962" s="98"/>
      <c r="CK962" s="49">
        <f t="shared" si="270"/>
        <v>1798.3699042154155</v>
      </c>
      <c r="CL962" s="229"/>
      <c r="CM962" s="229"/>
      <c r="CN962" s="229"/>
      <c r="CO962" s="47" t="s">
        <v>2488</v>
      </c>
      <c r="CP962" s="47" t="s">
        <v>2489</v>
      </c>
      <c r="CQ962" s="224" t="s">
        <v>272</v>
      </c>
      <c r="CR962" s="224"/>
      <c r="CS962" s="230" t="s">
        <v>539</v>
      </c>
      <c r="CT962" s="230"/>
      <c r="CU962" s="230"/>
      <c r="CV962" s="335">
        <f t="shared" si="273"/>
        <v>34388.29295357869</v>
      </c>
      <c r="CW962" s="230">
        <f t="shared" si="280"/>
        <v>1</v>
      </c>
      <c r="CX962" s="336"/>
      <c r="CY962" s="230" t="s">
        <v>6351</v>
      </c>
    </row>
    <row r="963" spans="1:103" ht="11.25" customHeight="1" x14ac:dyDescent="0.2">
      <c r="A963" s="72">
        <v>961</v>
      </c>
      <c r="B963" s="224">
        <v>1853</v>
      </c>
      <c r="C963" s="46" t="s">
        <v>7148</v>
      </c>
      <c r="D963" s="46"/>
      <c r="E963" s="114"/>
      <c r="F963" s="114" t="s">
        <v>5272</v>
      </c>
      <c r="G963" s="225">
        <v>108463</v>
      </c>
      <c r="H963" s="47" t="s">
        <v>5273</v>
      </c>
      <c r="I963" s="47" t="s">
        <v>5273</v>
      </c>
      <c r="J963" s="47" t="s">
        <v>5274</v>
      </c>
      <c r="K963" s="47" t="s">
        <v>376</v>
      </c>
      <c r="L963" s="47"/>
      <c r="M963" s="47" t="s">
        <v>5275</v>
      </c>
      <c r="N963" s="47" t="s">
        <v>6383</v>
      </c>
      <c r="O963" s="47" t="s">
        <v>5276</v>
      </c>
      <c r="P963" s="53"/>
      <c r="Q963" s="53" t="s">
        <v>6182</v>
      </c>
      <c r="R963" s="53" t="s">
        <v>6185</v>
      </c>
      <c r="S963" s="53" t="s">
        <v>6182</v>
      </c>
      <c r="T963" s="48">
        <v>110.11</v>
      </c>
      <c r="U963" s="98">
        <v>6511.6701480337842</v>
      </c>
      <c r="V963" s="98">
        <v>778.40341476705112</v>
      </c>
      <c r="W963" s="98">
        <v>1584.8931924611136</v>
      </c>
      <c r="X963" s="98">
        <v>6511.6701480337842</v>
      </c>
      <c r="Y963" s="233">
        <v>4.62</v>
      </c>
      <c r="Z963" s="48">
        <v>1.03</v>
      </c>
      <c r="AA963" s="48">
        <v>0.8</v>
      </c>
      <c r="AB963" s="48">
        <v>0.91</v>
      </c>
      <c r="AC963" s="48">
        <v>0.82740000000000002</v>
      </c>
      <c r="AD963" s="48">
        <v>0.87</v>
      </c>
      <c r="AE963" s="48">
        <v>0.76</v>
      </c>
      <c r="AF963" s="48">
        <f t="shared" si="279"/>
        <v>0.8</v>
      </c>
      <c r="AG963" s="49">
        <v>1.1299999999999999</v>
      </c>
      <c r="AH963" s="98">
        <v>5.8299999999999995E-11</v>
      </c>
      <c r="AI963" s="98">
        <v>9.8799999999999997E-11</v>
      </c>
      <c r="AJ963" s="483">
        <f t="shared" si="276"/>
        <v>-8.622897771553637</v>
      </c>
      <c r="AK963" s="483">
        <f t="shared" si="278"/>
        <v>-8.3938093817250241</v>
      </c>
      <c r="AL963" s="483">
        <f t="shared" si="275"/>
        <v>-8.3938093817250241</v>
      </c>
      <c r="AM963" s="483">
        <v>-10.359120000000001</v>
      </c>
      <c r="AN963" s="226">
        <v>-8.7899999999999991</v>
      </c>
      <c r="AO963" s="484">
        <v>9.4499999999999993</v>
      </c>
      <c r="AP963" s="484"/>
      <c r="AQ963" s="226" t="s">
        <v>6311</v>
      </c>
      <c r="AR963" s="226" t="s">
        <v>6311</v>
      </c>
      <c r="AS963" s="224"/>
      <c r="AT963" s="50" t="s">
        <v>266</v>
      </c>
      <c r="AU963" s="48">
        <v>6</v>
      </c>
      <c r="AV963" s="48">
        <v>120</v>
      </c>
      <c r="AW963" s="48">
        <v>114</v>
      </c>
      <c r="AX963" s="48">
        <v>28</v>
      </c>
      <c r="AY963" s="48" t="s">
        <v>8728</v>
      </c>
      <c r="AZ963" s="48" t="s">
        <v>1563</v>
      </c>
      <c r="BA963" s="48">
        <v>32</v>
      </c>
      <c r="BB963" s="47" t="s">
        <v>2485</v>
      </c>
      <c r="BC963" s="47" t="s">
        <v>8726</v>
      </c>
      <c r="BD963" s="47" t="s">
        <v>8374</v>
      </c>
      <c r="BE963" s="48" t="s">
        <v>2449</v>
      </c>
      <c r="BF963" s="48" t="s">
        <v>272</v>
      </c>
      <c r="BG963" s="48" t="s">
        <v>272</v>
      </c>
      <c r="BH963" s="48" t="s">
        <v>2486</v>
      </c>
      <c r="BI963" s="98">
        <v>6.3999999999999997E-6</v>
      </c>
      <c r="BJ963" s="98">
        <v>6.4000000000000001E-2</v>
      </c>
      <c r="BK963" s="48"/>
      <c r="BL963" s="98">
        <f t="shared" si="274"/>
        <v>6.1060028124427888</v>
      </c>
      <c r="BM963" s="47" t="s">
        <v>2487</v>
      </c>
      <c r="BN963" s="48"/>
      <c r="BO963" s="48"/>
      <c r="BP963" s="48"/>
      <c r="BQ963" s="48"/>
      <c r="BR963" s="47" t="s">
        <v>2496</v>
      </c>
      <c r="BS963" s="48"/>
      <c r="BT963" s="48"/>
      <c r="BU963" s="228"/>
      <c r="BV963" s="48"/>
      <c r="BW963" s="48"/>
      <c r="BX963" s="48"/>
      <c r="BY963" s="48"/>
      <c r="BZ963" s="48"/>
      <c r="CA963" s="48"/>
      <c r="CB963" s="48"/>
      <c r="CC963" s="48"/>
      <c r="CD963" s="48"/>
      <c r="CE963" s="48"/>
      <c r="CF963" s="48"/>
      <c r="CG963" s="48"/>
      <c r="CH963" s="48"/>
      <c r="CI963" s="98"/>
      <c r="CJ963" s="98"/>
      <c r="CK963" s="49">
        <f t="shared" si="270"/>
        <v>95.406293944418579</v>
      </c>
      <c r="CL963" s="229"/>
      <c r="CM963" s="229"/>
      <c r="CN963" s="229"/>
      <c r="CO963" s="47" t="s">
        <v>2488</v>
      </c>
      <c r="CP963" s="47" t="s">
        <v>2489</v>
      </c>
      <c r="CQ963" s="224">
        <v>-0.26617440610068799</v>
      </c>
      <c r="CR963" s="224">
        <f>10^(CJ963-CQ963)</f>
        <v>1.8457564982822769</v>
      </c>
      <c r="CS963" s="230" t="s">
        <v>539</v>
      </c>
      <c r="CT963" s="230"/>
      <c r="CU963" s="230"/>
      <c r="CV963" s="335">
        <f t="shared" si="273"/>
        <v>101744.84606302787</v>
      </c>
      <c r="CW963" s="230">
        <f t="shared" si="280"/>
        <v>1</v>
      </c>
      <c r="CX963" s="336"/>
      <c r="CY963" s="230" t="s">
        <v>6351</v>
      </c>
    </row>
    <row r="964" spans="1:103" ht="11.25" customHeight="1" x14ac:dyDescent="0.2">
      <c r="A964" s="72">
        <v>962</v>
      </c>
      <c r="B964" s="224">
        <v>1108</v>
      </c>
      <c r="C964" s="46" t="s">
        <v>7149</v>
      </c>
      <c r="D964" s="46"/>
      <c r="E964" s="114"/>
      <c r="F964" s="114" t="s">
        <v>3096</v>
      </c>
      <c r="G964" s="225">
        <v>108598</v>
      </c>
      <c r="H964" s="47" t="s">
        <v>3097</v>
      </c>
      <c r="I964" s="47" t="s">
        <v>3097</v>
      </c>
      <c r="J964" s="47" t="s">
        <v>3098</v>
      </c>
      <c r="K964" s="47" t="s">
        <v>357</v>
      </c>
      <c r="L964" s="47" t="s">
        <v>5527</v>
      </c>
      <c r="M964" s="47" t="s">
        <v>5960</v>
      </c>
      <c r="N964" s="47"/>
      <c r="O964" s="47"/>
      <c r="P964" s="53"/>
      <c r="Q964" s="53"/>
      <c r="R964" s="53"/>
      <c r="S964" s="53"/>
      <c r="T964" s="48">
        <v>132.11000000000001</v>
      </c>
      <c r="U964" s="98"/>
      <c r="V964" s="98">
        <v>753.23593974718028</v>
      </c>
      <c r="W964" s="98">
        <v>954.99258602143584</v>
      </c>
      <c r="X964" s="98">
        <f>IF(W964=0,V964,W964)</f>
        <v>954.99258602143584</v>
      </c>
      <c r="Y964" s="233">
        <v>5.91</v>
      </c>
      <c r="Z964" s="48">
        <v>-0.09</v>
      </c>
      <c r="AA964" s="48">
        <v>-0.05</v>
      </c>
      <c r="AB964" s="48">
        <v>0.34</v>
      </c>
      <c r="AC964" s="48">
        <v>0.83620000000000005</v>
      </c>
      <c r="AD964" s="48">
        <v>0.14000000000000001</v>
      </c>
      <c r="AE964" s="48">
        <v>-0.36</v>
      </c>
      <c r="AF964" s="48">
        <f t="shared" si="279"/>
        <v>-0.05</v>
      </c>
      <c r="AG964" s="49">
        <v>0.06</v>
      </c>
      <c r="AH964" s="98">
        <v>4.1699999999999999E-7</v>
      </c>
      <c r="AI964" s="98"/>
      <c r="AJ964" s="483">
        <f t="shared" si="276"/>
        <v>-4.768430271338894</v>
      </c>
      <c r="AK964" s="483"/>
      <c r="AL964" s="483">
        <f t="shared" si="275"/>
        <v>-4.768430271338894</v>
      </c>
      <c r="AM964" s="483">
        <v>-5.5826399999999996</v>
      </c>
      <c r="AN964" s="226">
        <v>-4.0599999999999996</v>
      </c>
      <c r="AO964" s="484">
        <v>11.8</v>
      </c>
      <c r="AP964" s="484"/>
      <c r="AQ964" s="48" t="s">
        <v>6311</v>
      </c>
      <c r="AR964" s="48" t="s">
        <v>6314</v>
      </c>
      <c r="AS964" s="227"/>
      <c r="AT964" s="50" t="s">
        <v>266</v>
      </c>
      <c r="AU964" s="48">
        <v>6</v>
      </c>
      <c r="AV964" s="48">
        <v>120</v>
      </c>
      <c r="AW964" s="48">
        <v>114</v>
      </c>
      <c r="AX964" s="48">
        <v>28</v>
      </c>
      <c r="AY964" s="48" t="s">
        <v>8728</v>
      </c>
      <c r="AZ964" s="48" t="s">
        <v>1563</v>
      </c>
      <c r="BA964" s="48">
        <v>32</v>
      </c>
      <c r="BB964" s="47" t="s">
        <v>2485</v>
      </c>
      <c r="BC964" s="47" t="s">
        <v>8726</v>
      </c>
      <c r="BD964" s="47" t="s">
        <v>8374</v>
      </c>
      <c r="BE964" s="48" t="s">
        <v>2449</v>
      </c>
      <c r="BF964" s="48" t="s">
        <v>272</v>
      </c>
      <c r="BG964" s="48" t="s">
        <v>272</v>
      </c>
      <c r="BH964" s="48" t="s">
        <v>2486</v>
      </c>
      <c r="BI964" s="98">
        <v>6.3999999999999997E-6</v>
      </c>
      <c r="BJ964" s="98">
        <v>6.4000000000000001E-2</v>
      </c>
      <c r="BK964" s="48"/>
      <c r="BL964" s="98">
        <f t="shared" si="274"/>
        <v>61.891213787724247</v>
      </c>
      <c r="BM964" s="47" t="s">
        <v>2487</v>
      </c>
      <c r="BN964" s="48"/>
      <c r="BO964" s="48"/>
      <c r="BP964" s="48"/>
      <c r="BQ964" s="48"/>
      <c r="BR964" s="47" t="s">
        <v>2496</v>
      </c>
      <c r="BS964" s="48"/>
      <c r="BT964" s="48"/>
      <c r="BU964" s="228">
        <v>6.3999999999999997E-5</v>
      </c>
      <c r="BV964" s="48"/>
      <c r="BW964" s="48"/>
      <c r="BX964" s="48"/>
      <c r="BY964" s="48"/>
      <c r="BZ964" s="48"/>
      <c r="CA964" s="48"/>
      <c r="CB964" s="48"/>
      <c r="CC964" s="48"/>
      <c r="CD964" s="48"/>
      <c r="CE964" s="48"/>
      <c r="CF964" s="48"/>
      <c r="CG964" s="48"/>
      <c r="CH964" s="48"/>
      <c r="CI964" s="98"/>
      <c r="CJ964" s="98"/>
      <c r="CK964" s="49">
        <f t="shared" si="270"/>
        <v>967.0502154331914</v>
      </c>
      <c r="CL964" s="229"/>
      <c r="CM964" s="229"/>
      <c r="CN964" s="229"/>
      <c r="CO964" s="47" t="s">
        <v>2488</v>
      </c>
      <c r="CP964" s="47" t="s">
        <v>2489</v>
      </c>
      <c r="CQ964" s="224">
        <v>-1.0310305811217333</v>
      </c>
      <c r="CR964" s="224">
        <f>10^(CJ964-CQ964)</f>
        <v>10.740650406504068</v>
      </c>
      <c r="CS964" s="230" t="s">
        <v>539</v>
      </c>
      <c r="CT964" s="230"/>
      <c r="CU964" s="230"/>
      <c r="CV964" s="335">
        <f t="shared" si="273"/>
        <v>14921.759156584934</v>
      </c>
      <c r="CW964" s="230">
        <f t="shared" si="280"/>
        <v>1</v>
      </c>
      <c r="CX964" s="336"/>
      <c r="CY964" s="230" t="s">
        <v>6351</v>
      </c>
    </row>
    <row r="965" spans="1:103" ht="11.25" customHeight="1" x14ac:dyDescent="0.2">
      <c r="A965" s="72">
        <v>963</v>
      </c>
      <c r="B965" s="224">
        <v>901</v>
      </c>
      <c r="C965" s="46" t="s">
        <v>7150</v>
      </c>
      <c r="D965" s="46"/>
      <c r="E965" s="114"/>
      <c r="F965" s="114" t="s">
        <v>2570</v>
      </c>
      <c r="G965" s="225">
        <v>108678</v>
      </c>
      <c r="H965" s="47" t="s">
        <v>2571</v>
      </c>
      <c r="I965" s="47" t="s">
        <v>2571</v>
      </c>
      <c r="J965" s="47" t="s">
        <v>2572</v>
      </c>
      <c r="K965" s="47" t="s">
        <v>426</v>
      </c>
      <c r="L965" s="47"/>
      <c r="M965" s="47"/>
      <c r="N965" s="47"/>
      <c r="O965" s="47"/>
      <c r="P965" s="53"/>
      <c r="Q965" s="53"/>
      <c r="R965" s="53"/>
      <c r="S965" s="53"/>
      <c r="T965" s="48">
        <v>120.19</v>
      </c>
      <c r="U965" s="98">
        <v>0.40103169980863634</v>
      </c>
      <c r="V965" s="98">
        <v>1.0009152175721774</v>
      </c>
      <c r="W965" s="98">
        <v>0.35481338923357514</v>
      </c>
      <c r="X965" s="98">
        <v>0.40103169980863634</v>
      </c>
      <c r="Y965" s="233">
        <v>7</v>
      </c>
      <c r="Z965" s="48">
        <v>3.63</v>
      </c>
      <c r="AA965" s="48">
        <v>3.42</v>
      </c>
      <c r="AB965" s="48">
        <v>3.9</v>
      </c>
      <c r="AC965" s="48">
        <v>0.88629999999999998</v>
      </c>
      <c r="AD965" s="48">
        <v>3.83</v>
      </c>
      <c r="AE965" s="48">
        <v>3.6</v>
      </c>
      <c r="AF965" s="48">
        <f t="shared" si="279"/>
        <v>3.42</v>
      </c>
      <c r="AG965" s="49">
        <v>3.23</v>
      </c>
      <c r="AH965" s="98">
        <v>7.2399999999999999E-3</v>
      </c>
      <c r="AI965" s="98">
        <v>8.77E-3</v>
      </c>
      <c r="AJ965" s="483">
        <f t="shared" si="276"/>
        <v>-0.52882776011550481</v>
      </c>
      <c r="AK965" s="483">
        <f>LOG10(AI965*1000/(0.08206*298.15))</f>
        <v>-0.44556673294661131</v>
      </c>
      <c r="AL965" s="483">
        <f t="shared" si="275"/>
        <v>-0.44556673294661131</v>
      </c>
      <c r="AM965" s="483">
        <v>-2.1817100000000003</v>
      </c>
      <c r="AN965" s="226">
        <v>-0.55400000000000005</v>
      </c>
      <c r="AO965" s="484"/>
      <c r="AP965" s="484"/>
      <c r="AQ965" s="48" t="s">
        <v>6311</v>
      </c>
      <c r="AR965" s="48" t="s">
        <v>6311</v>
      </c>
      <c r="AS965" s="227"/>
      <c r="AT965" s="50" t="s">
        <v>266</v>
      </c>
      <c r="AU965" s="48">
        <v>6</v>
      </c>
      <c r="AV965" s="48">
        <v>120</v>
      </c>
      <c r="AW965" s="48">
        <v>114</v>
      </c>
      <c r="AX965" s="48">
        <v>28</v>
      </c>
      <c r="AY965" s="48" t="s">
        <v>8728</v>
      </c>
      <c r="AZ965" s="48" t="s">
        <v>1563</v>
      </c>
      <c r="BA965" s="48">
        <v>32</v>
      </c>
      <c r="BB965" s="47" t="s">
        <v>2485</v>
      </c>
      <c r="BC965" s="47" t="s">
        <v>8726</v>
      </c>
      <c r="BD965" s="47" t="s">
        <v>8374</v>
      </c>
      <c r="BE965" s="48" t="s">
        <v>2449</v>
      </c>
      <c r="BF965" s="48" t="s">
        <v>272</v>
      </c>
      <c r="BG965" s="48" t="s">
        <v>272</v>
      </c>
      <c r="BH965" s="48" t="s">
        <v>2486</v>
      </c>
      <c r="BI965" s="98">
        <v>6.3999999999999997E-6</v>
      </c>
      <c r="BJ965" s="98">
        <v>6.4000000000000001E-2</v>
      </c>
      <c r="BK965" s="48"/>
      <c r="BL965" s="98">
        <f t="shared" si="274"/>
        <v>2.8229097907424248E-2</v>
      </c>
      <c r="BM965" s="47" t="s">
        <v>2487</v>
      </c>
      <c r="BN965" s="48"/>
      <c r="BO965" s="48"/>
      <c r="BP965" s="48"/>
      <c r="BQ965" s="48"/>
      <c r="BR965" s="47" t="s">
        <v>2496</v>
      </c>
      <c r="BS965" s="48"/>
      <c r="BT965" s="48"/>
      <c r="BU965" s="228">
        <v>6.3999999999999997E-6</v>
      </c>
      <c r="BV965" s="48"/>
      <c r="BW965" s="48"/>
      <c r="BX965" s="48"/>
      <c r="BY965" s="48"/>
      <c r="BZ965" s="48"/>
      <c r="CA965" s="48"/>
      <c r="CB965" s="48"/>
      <c r="CC965" s="48"/>
      <c r="CD965" s="48"/>
      <c r="CE965" s="48"/>
      <c r="CF965" s="48"/>
      <c r="CG965" s="48"/>
      <c r="CH965" s="48"/>
      <c r="CI965" s="98"/>
      <c r="CJ965" s="98"/>
      <c r="CK965" s="49">
        <f t="shared" si="270"/>
        <v>0.44107965480350386</v>
      </c>
      <c r="CL965" s="229"/>
      <c r="CM965" s="229"/>
      <c r="CN965" s="229"/>
      <c r="CO965" s="47" t="s">
        <v>2488</v>
      </c>
      <c r="CP965" s="47" t="s">
        <v>2489</v>
      </c>
      <c r="CQ965" s="224" t="s">
        <v>272</v>
      </c>
      <c r="CR965" s="224"/>
      <c r="CS965" s="230" t="s">
        <v>539</v>
      </c>
      <c r="CT965" s="230"/>
      <c r="CU965" s="230"/>
      <c r="CV965" s="335">
        <f t="shared" si="273"/>
        <v>6.2661203095099429</v>
      </c>
      <c r="CW965" s="230">
        <f t="shared" si="280"/>
        <v>1</v>
      </c>
      <c r="CX965" s="336"/>
      <c r="CY965" s="230" t="s">
        <v>6351</v>
      </c>
    </row>
    <row r="966" spans="1:103" ht="11.25" customHeight="1" x14ac:dyDescent="0.2">
      <c r="A966" s="72">
        <v>964</v>
      </c>
      <c r="B966" s="224">
        <v>1078</v>
      </c>
      <c r="C966" s="46" t="s">
        <v>7151</v>
      </c>
      <c r="D966" s="46"/>
      <c r="E966" s="114"/>
      <c r="F966" s="114" t="s">
        <v>3030</v>
      </c>
      <c r="G966" s="225">
        <v>108805</v>
      </c>
      <c r="H966" s="47" t="s">
        <v>3031</v>
      </c>
      <c r="I966" s="47" t="s">
        <v>8031</v>
      </c>
      <c r="J966" s="47" t="s">
        <v>3032</v>
      </c>
      <c r="K966" s="47" t="s">
        <v>940</v>
      </c>
      <c r="L966" s="47"/>
      <c r="M966" s="47"/>
      <c r="N966" s="47"/>
      <c r="O966" s="47"/>
      <c r="P966" s="53"/>
      <c r="Q966" s="53"/>
      <c r="R966" s="53"/>
      <c r="S966" s="53"/>
      <c r="T966" s="48">
        <v>129.07</v>
      </c>
      <c r="U966" s="98">
        <v>15.495467575734098</v>
      </c>
      <c r="V966" s="98">
        <v>15.448981173006896</v>
      </c>
      <c r="W966" s="98">
        <v>4466.8359215096316</v>
      </c>
      <c r="X966" s="98">
        <v>15.495467575734098</v>
      </c>
      <c r="Y966" s="233">
        <v>2.0499999999999998</v>
      </c>
      <c r="Z966" s="48">
        <v>1.95</v>
      </c>
      <c r="AA966" s="48"/>
      <c r="AB966" s="48">
        <v>-1.1499999999999999</v>
      </c>
      <c r="AC966" s="48">
        <v>0.66349999999999998</v>
      </c>
      <c r="AD966" s="48">
        <v>-1.53</v>
      </c>
      <c r="AE966" s="48">
        <v>-2.2000000000000002</v>
      </c>
      <c r="AF966" s="48">
        <f t="shared" si="279"/>
        <v>-1.53</v>
      </c>
      <c r="AG966" s="49">
        <v>-0.75</v>
      </c>
      <c r="AH966" s="98">
        <v>8.7399999999999992E-15</v>
      </c>
      <c r="AI966" s="98"/>
      <c r="AJ966" s="483">
        <f t="shared" si="276"/>
        <v>-12.447054893678249</v>
      </c>
      <c r="AK966" s="483"/>
      <c r="AL966" s="483">
        <f t="shared" si="275"/>
        <v>-12.447054893678249</v>
      </c>
      <c r="AM966" s="483">
        <v>-12.599690000000001</v>
      </c>
      <c r="AN966" s="226">
        <v>-0.17599999999999999</v>
      </c>
      <c r="AO966" s="484">
        <v>5.21</v>
      </c>
      <c r="AP966" s="484"/>
      <c r="AQ966" s="48" t="s">
        <v>6311</v>
      </c>
      <c r="AR966" s="48" t="s">
        <v>6311</v>
      </c>
      <c r="AS966" s="227"/>
      <c r="AT966" s="50" t="s">
        <v>266</v>
      </c>
      <c r="AU966" s="48">
        <v>6</v>
      </c>
      <c r="AV966" s="48">
        <v>120</v>
      </c>
      <c r="AW966" s="48">
        <v>114</v>
      </c>
      <c r="AX966" s="48">
        <v>28</v>
      </c>
      <c r="AY966" s="48" t="s">
        <v>8728</v>
      </c>
      <c r="AZ966" s="48" t="s">
        <v>1563</v>
      </c>
      <c r="BA966" s="48">
        <v>32</v>
      </c>
      <c r="BB966" s="47" t="s">
        <v>2485</v>
      </c>
      <c r="BC966" s="47" t="s">
        <v>8726</v>
      </c>
      <c r="BD966" s="47" t="s">
        <v>8374</v>
      </c>
      <c r="BE966" s="48" t="s">
        <v>2449</v>
      </c>
      <c r="BF966" s="48" t="s">
        <v>272</v>
      </c>
      <c r="BG966" s="48" t="s">
        <v>272</v>
      </c>
      <c r="BH966" s="48" t="s">
        <v>2486</v>
      </c>
      <c r="BI966" s="98">
        <v>6.3999999999999997E-6</v>
      </c>
      <c r="BJ966" s="98">
        <v>6.4000000000000001E-2</v>
      </c>
      <c r="BK966" s="48"/>
      <c r="BL966" s="98">
        <f t="shared" si="274"/>
        <v>0.9109719401575882</v>
      </c>
      <c r="BM966" s="47" t="s">
        <v>2487</v>
      </c>
      <c r="BN966" s="48"/>
      <c r="BO966" s="48"/>
      <c r="BP966" s="48"/>
      <c r="BQ966" s="48"/>
      <c r="BR966" s="47" t="s">
        <v>2496</v>
      </c>
      <c r="BS966" s="48"/>
      <c r="BT966" s="48"/>
      <c r="BU966" s="228">
        <v>6.3700000000000003E-5</v>
      </c>
      <c r="BV966" s="48"/>
      <c r="BW966" s="48"/>
      <c r="BX966" s="48"/>
      <c r="BY966" s="48"/>
      <c r="BZ966" s="48"/>
      <c r="CA966" s="48"/>
      <c r="CB966" s="48"/>
      <c r="CC966" s="48"/>
      <c r="CD966" s="48"/>
      <c r="CE966" s="48"/>
      <c r="CF966" s="48"/>
      <c r="CG966" s="48"/>
      <c r="CH966" s="48"/>
      <c r="CI966" s="98"/>
      <c r="CJ966" s="98"/>
      <c r="CK966" s="49">
        <f t="shared" ref="CK966:CK1029" si="281">BL966/BJ966</f>
        <v>14.233936564962315</v>
      </c>
      <c r="CL966" s="229"/>
      <c r="CM966" s="229"/>
      <c r="CN966" s="229"/>
      <c r="CO966" s="47" t="s">
        <v>2488</v>
      </c>
      <c r="CP966" s="47" t="s">
        <v>2489</v>
      </c>
      <c r="CQ966" s="224">
        <v>-2.3184336205567111</v>
      </c>
      <c r="CR966" s="224">
        <f t="shared" ref="CR966:CR972" si="282">10^(CJ966-CQ966)</f>
        <v>208.17741935483886</v>
      </c>
      <c r="CS966" s="230" t="s">
        <v>539</v>
      </c>
      <c r="CT966" s="230"/>
      <c r="CU966" s="230"/>
      <c r="CV966" s="335">
        <f t="shared" si="273"/>
        <v>242.11668087084527</v>
      </c>
      <c r="CW966" s="230">
        <f t="shared" si="280"/>
        <v>1</v>
      </c>
      <c r="CX966" s="336"/>
      <c r="CY966" s="230" t="s">
        <v>6351</v>
      </c>
    </row>
    <row r="967" spans="1:103" ht="11.25" customHeight="1" x14ac:dyDescent="0.2">
      <c r="A967" s="72">
        <v>965</v>
      </c>
      <c r="B967" s="224">
        <v>1570</v>
      </c>
      <c r="C967" s="46" t="s">
        <v>7152</v>
      </c>
      <c r="D967" s="46"/>
      <c r="E967" s="114"/>
      <c r="F967" s="114" t="s">
        <v>793</v>
      </c>
      <c r="G967" s="225">
        <v>108918</v>
      </c>
      <c r="H967" s="47" t="s">
        <v>794</v>
      </c>
      <c r="I967" s="47" t="s">
        <v>794</v>
      </c>
      <c r="J967" s="47" t="s">
        <v>795</v>
      </c>
      <c r="K967" s="47" t="s">
        <v>300</v>
      </c>
      <c r="L967" s="47"/>
      <c r="M967" s="47"/>
      <c r="N967" s="47"/>
      <c r="O967" s="47"/>
      <c r="P967" s="53"/>
      <c r="Q967" s="53"/>
      <c r="R967" s="53"/>
      <c r="S967" s="53"/>
      <c r="T967" s="48">
        <v>99.17</v>
      </c>
      <c r="U967" s="98">
        <v>386.55642650059059</v>
      </c>
      <c r="V967" s="98">
        <v>223.55846665950821</v>
      </c>
      <c r="W967" s="98">
        <v>199.52623149688796</v>
      </c>
      <c r="X967" s="98">
        <v>386.55642650059059</v>
      </c>
      <c r="Y967" s="233">
        <v>11.93</v>
      </c>
      <c r="Z967" s="48">
        <v>1.08</v>
      </c>
      <c r="AA967" s="48">
        <v>0.9</v>
      </c>
      <c r="AB967" s="48">
        <v>1.25</v>
      </c>
      <c r="AC967" s="48">
        <v>0.78800000000000003</v>
      </c>
      <c r="AD967" s="48">
        <v>1.3</v>
      </c>
      <c r="AE967" s="48">
        <v>1.4</v>
      </c>
      <c r="AF967" s="48">
        <f t="shared" si="279"/>
        <v>0.9</v>
      </c>
      <c r="AG967" s="49">
        <v>0.9</v>
      </c>
      <c r="AH967" s="98">
        <v>1.38E-5</v>
      </c>
      <c r="AI967" s="98">
        <v>4.16E-6</v>
      </c>
      <c r="AJ967" s="483">
        <f t="shared" si="276"/>
        <v>-3.2486872399114155</v>
      </c>
      <c r="AK967" s="483">
        <f t="shared" ref="AK967:AK973" si="283">LOG10(AI967*1000/(0.08206*298.15))</f>
        <v>-3.7694729956859092</v>
      </c>
      <c r="AL967" s="483">
        <f t="shared" si="275"/>
        <v>-3.7694729956859092</v>
      </c>
      <c r="AM967" s="483">
        <v>-5.1368099999999997</v>
      </c>
      <c r="AN967" s="226">
        <v>-3.79</v>
      </c>
      <c r="AO967" s="484"/>
      <c r="AP967" s="484">
        <v>10.57</v>
      </c>
      <c r="AQ967" s="48" t="s">
        <v>6311</v>
      </c>
      <c r="AR967" s="48" t="s">
        <v>6311</v>
      </c>
      <c r="AS967" s="227"/>
      <c r="AT967" s="50" t="s">
        <v>266</v>
      </c>
      <c r="AU967" s="48">
        <v>6</v>
      </c>
      <c r="AV967" s="48">
        <v>120</v>
      </c>
      <c r="AW967" s="48">
        <v>114</v>
      </c>
      <c r="AX967" s="48">
        <v>28</v>
      </c>
      <c r="AY967" s="48" t="s">
        <v>8728</v>
      </c>
      <c r="AZ967" s="48" t="s">
        <v>1563</v>
      </c>
      <c r="BA967" s="48">
        <v>32</v>
      </c>
      <c r="BB967" s="47" t="s">
        <v>2485</v>
      </c>
      <c r="BC967" s="47" t="s">
        <v>8726</v>
      </c>
      <c r="BD967" s="47" t="s">
        <v>8374</v>
      </c>
      <c r="BE967" s="48" t="s">
        <v>2449</v>
      </c>
      <c r="BF967" s="48" t="s">
        <v>272</v>
      </c>
      <c r="BG967" s="48" t="s">
        <v>272</v>
      </c>
      <c r="BH967" s="48" t="s">
        <v>2486</v>
      </c>
      <c r="BI967" s="98">
        <v>6.3999999999999997E-6</v>
      </c>
      <c r="BJ967" s="98">
        <v>6.4000000000000001E-2</v>
      </c>
      <c r="BK967" s="48"/>
      <c r="BL967" s="98">
        <f t="shared" si="274"/>
        <v>5.5062002270973851</v>
      </c>
      <c r="BM967" s="47" t="s">
        <v>2487</v>
      </c>
      <c r="BN967" s="48"/>
      <c r="BO967" s="48"/>
      <c r="BP967" s="48"/>
      <c r="BQ967" s="48"/>
      <c r="BR967" s="47" t="s">
        <v>2496</v>
      </c>
      <c r="BS967" s="48"/>
      <c r="BT967" s="48"/>
      <c r="BU967" s="228"/>
      <c r="BV967" s="48"/>
      <c r="BW967" s="48"/>
      <c r="BX967" s="48"/>
      <c r="BY967" s="48"/>
      <c r="BZ967" s="48"/>
      <c r="CA967" s="48"/>
      <c r="CB967" s="48"/>
      <c r="CC967" s="48"/>
      <c r="CD967" s="48"/>
      <c r="CE967" s="48"/>
      <c r="CF967" s="48"/>
      <c r="CG967" s="48"/>
      <c r="CH967" s="48"/>
      <c r="CI967" s="98"/>
      <c r="CJ967" s="98"/>
      <c r="CK967" s="49">
        <f t="shared" si="281"/>
        <v>86.034378548396646</v>
      </c>
      <c r="CL967" s="229"/>
      <c r="CM967" s="229"/>
      <c r="CN967" s="229"/>
      <c r="CO967" s="47" t="s">
        <v>2488</v>
      </c>
      <c r="CP967" s="47" t="s">
        <v>2489</v>
      </c>
      <c r="CQ967" s="224">
        <v>9.3550701386999641E-2</v>
      </c>
      <c r="CR967" s="224">
        <f t="shared" si="282"/>
        <v>0.80621207523006</v>
      </c>
      <c r="CS967" s="230" t="s">
        <v>539</v>
      </c>
      <c r="CT967" s="230"/>
      <c r="CU967" s="230"/>
      <c r="CV967" s="335">
        <f t="shared" si="273"/>
        <v>6039.9441640717278</v>
      </c>
      <c r="CW967" s="230">
        <f t="shared" si="280"/>
        <v>1</v>
      </c>
      <c r="CX967" s="336"/>
      <c r="CY967" s="230" t="s">
        <v>6351</v>
      </c>
    </row>
    <row r="968" spans="1:103" ht="11.25" customHeight="1" x14ac:dyDescent="0.2">
      <c r="A968" s="72">
        <v>966</v>
      </c>
      <c r="B968" s="224">
        <v>1568</v>
      </c>
      <c r="C968" s="46" t="s">
        <v>1651</v>
      </c>
      <c r="D968" s="46"/>
      <c r="E968" s="114"/>
      <c r="F968" s="114" t="s">
        <v>1652</v>
      </c>
      <c r="G968" s="225">
        <v>108930</v>
      </c>
      <c r="H968" s="47" t="s">
        <v>1653</v>
      </c>
      <c r="I968" s="47" t="s">
        <v>1653</v>
      </c>
      <c r="J968" s="47" t="s">
        <v>1654</v>
      </c>
      <c r="K968" s="47" t="s">
        <v>426</v>
      </c>
      <c r="L968" s="47" t="s">
        <v>5492</v>
      </c>
      <c r="M968" s="47" t="s">
        <v>5960</v>
      </c>
      <c r="N968" s="47" t="s">
        <v>6082</v>
      </c>
      <c r="O968" s="47"/>
      <c r="P968" s="53"/>
      <c r="Q968" s="53" t="s">
        <v>6173</v>
      </c>
      <c r="R968" s="53" t="s">
        <v>6185</v>
      </c>
      <c r="S968" s="53" t="s">
        <v>6176</v>
      </c>
      <c r="T968" s="48">
        <v>100.16</v>
      </c>
      <c r="U968" s="98">
        <v>419.32907348242816</v>
      </c>
      <c r="V968" s="98">
        <v>336.06230031948883</v>
      </c>
      <c r="W968" s="98">
        <v>416.86938347033538</v>
      </c>
      <c r="X968" s="98">
        <v>419.32907348242816</v>
      </c>
      <c r="Y968" s="233">
        <v>7</v>
      </c>
      <c r="Z968" s="48">
        <v>1.64</v>
      </c>
      <c r="AA968" s="48">
        <v>1.23</v>
      </c>
      <c r="AB968" s="48">
        <v>1.32</v>
      </c>
      <c r="AC968" s="48">
        <v>0.84599999999999997</v>
      </c>
      <c r="AD968" s="48">
        <v>1.33</v>
      </c>
      <c r="AE968" s="48">
        <v>1.34</v>
      </c>
      <c r="AF968" s="48">
        <f t="shared" si="279"/>
        <v>1.23</v>
      </c>
      <c r="AG968" s="49">
        <v>1.1000000000000001</v>
      </c>
      <c r="AH968" s="98">
        <v>4.8999999999999997E-6</v>
      </c>
      <c r="AI968" s="98">
        <v>4.4000000000000002E-6</v>
      </c>
      <c r="AJ968" s="483">
        <f t="shared" si="276"/>
        <v>-3.6983702462841381</v>
      </c>
      <c r="AK968" s="483">
        <f t="shared" si="283"/>
        <v>-3.7451136498264646</v>
      </c>
      <c r="AL968" s="483">
        <f t="shared" si="275"/>
        <v>-3.7451136498264646</v>
      </c>
      <c r="AM968" s="483">
        <v>-4.0753700000000004</v>
      </c>
      <c r="AN968" s="226">
        <v>-3.91</v>
      </c>
      <c r="AO968" s="484">
        <v>15.31</v>
      </c>
      <c r="AP968" s="484"/>
      <c r="AQ968" s="48" t="s">
        <v>6311</v>
      </c>
      <c r="AR968" s="48" t="s">
        <v>6311</v>
      </c>
      <c r="AS968" s="227"/>
      <c r="AT968" s="50" t="s">
        <v>266</v>
      </c>
      <c r="AU968" s="48">
        <v>6</v>
      </c>
      <c r="AV968" s="48">
        <v>120</v>
      </c>
      <c r="AW968" s="48">
        <v>114</v>
      </c>
      <c r="AX968" s="48">
        <v>28</v>
      </c>
      <c r="AY968" s="48" t="s">
        <v>8728</v>
      </c>
      <c r="AZ968" s="48" t="s">
        <v>1563</v>
      </c>
      <c r="BA968" s="48">
        <v>32</v>
      </c>
      <c r="BB968" s="47" t="s">
        <v>2485</v>
      </c>
      <c r="BC968" s="47" t="s">
        <v>8726</v>
      </c>
      <c r="BD968" s="47" t="s">
        <v>8374</v>
      </c>
      <c r="BE968" s="48" t="s">
        <v>2449</v>
      </c>
      <c r="BF968" s="48" t="s">
        <v>272</v>
      </c>
      <c r="BG968" s="48" t="s">
        <v>272</v>
      </c>
      <c r="BH968" s="48" t="s">
        <v>2486</v>
      </c>
      <c r="BI968" s="98">
        <v>6.3999999999999997E-6</v>
      </c>
      <c r="BJ968" s="98">
        <v>6.4000000000000001E-2</v>
      </c>
      <c r="BK968" s="48"/>
      <c r="BL968" s="98">
        <f t="shared" si="274"/>
        <v>1.7294818154229614</v>
      </c>
      <c r="BM968" s="47" t="s">
        <v>2487</v>
      </c>
      <c r="BN968" s="48"/>
      <c r="BO968" s="48"/>
      <c r="BP968" s="48"/>
      <c r="BQ968" s="48"/>
      <c r="BR968" s="47" t="s">
        <v>2496</v>
      </c>
      <c r="BS968" s="48"/>
      <c r="BT968" s="48"/>
      <c r="BU968" s="228"/>
      <c r="BV968" s="48"/>
      <c r="BW968" s="48"/>
      <c r="BX968" s="48"/>
      <c r="BY968" s="48"/>
      <c r="BZ968" s="48"/>
      <c r="CA968" s="48"/>
      <c r="CB968" s="48"/>
      <c r="CC968" s="48"/>
      <c r="CD968" s="48"/>
      <c r="CE968" s="48"/>
      <c r="CF968" s="48"/>
      <c r="CG968" s="48"/>
      <c r="CH968" s="48"/>
      <c r="CI968" s="98"/>
      <c r="CJ968" s="98"/>
      <c r="CK968" s="49">
        <f t="shared" si="281"/>
        <v>27.02315336598377</v>
      </c>
      <c r="CL968" s="229"/>
      <c r="CM968" s="229">
        <v>0.84841513129623491</v>
      </c>
      <c r="CN968" s="229">
        <f>BJ968/(10^CM968)</f>
        <v>9.0732910590584515E-3</v>
      </c>
      <c r="CO968" s="47" t="s">
        <v>2488</v>
      </c>
      <c r="CP968" s="47" t="s">
        <v>2489</v>
      </c>
      <c r="CQ968" s="224">
        <v>0.96935192957139427</v>
      </c>
      <c r="CR968" s="224">
        <f t="shared" si="282"/>
        <v>0.10731194599295839</v>
      </c>
      <c r="CS968" s="230" t="s">
        <v>539</v>
      </c>
      <c r="CT968" s="230"/>
      <c r="CU968" s="230"/>
      <c r="CV968" s="335">
        <f t="shared" si="273"/>
        <v>6552.0167731629399</v>
      </c>
      <c r="CW968" s="230">
        <f t="shared" si="280"/>
        <v>1</v>
      </c>
      <c r="CX968" s="336"/>
      <c r="CY968" s="230" t="s">
        <v>6351</v>
      </c>
    </row>
    <row r="969" spans="1:103" ht="11.25" customHeight="1" x14ac:dyDescent="0.2">
      <c r="A969" s="72">
        <v>967</v>
      </c>
      <c r="B969" s="224">
        <v>1569</v>
      </c>
      <c r="C969" s="46" t="s">
        <v>7153</v>
      </c>
      <c r="D969" s="46"/>
      <c r="E969" s="114"/>
      <c r="F969" s="114" t="s">
        <v>4709</v>
      </c>
      <c r="G969" s="225">
        <v>108941</v>
      </c>
      <c r="H969" s="47" t="s">
        <v>4710</v>
      </c>
      <c r="I969" s="47" t="s">
        <v>4710</v>
      </c>
      <c r="J969" s="47" t="s">
        <v>4711</v>
      </c>
      <c r="K969" s="47" t="s">
        <v>426</v>
      </c>
      <c r="L969" s="47"/>
      <c r="M969" s="47"/>
      <c r="N969" s="47"/>
      <c r="O969" s="47"/>
      <c r="P969" s="53" t="s">
        <v>6183</v>
      </c>
      <c r="Q969" s="53" t="s">
        <v>6173</v>
      </c>
      <c r="R969" s="53" t="s">
        <v>6185</v>
      </c>
      <c r="S969" s="53" t="s">
        <v>6176</v>
      </c>
      <c r="T969" s="48">
        <v>98.14</v>
      </c>
      <c r="U969" s="98">
        <v>254.73812920317914</v>
      </c>
      <c r="V969" s="98">
        <v>245.36376604850213</v>
      </c>
      <c r="W969" s="98">
        <v>128.82495516931337</v>
      </c>
      <c r="X969" s="98">
        <v>254.73812920317914</v>
      </c>
      <c r="Y969" s="233">
        <v>7</v>
      </c>
      <c r="Z969" s="48">
        <v>1.1299999999999999</v>
      </c>
      <c r="AA969" s="48">
        <v>0.81</v>
      </c>
      <c r="AB969" s="48">
        <v>0.95</v>
      </c>
      <c r="AC969" s="48">
        <v>0.86750000000000005</v>
      </c>
      <c r="AD969" s="48">
        <v>0.9</v>
      </c>
      <c r="AE969" s="48">
        <v>0.76</v>
      </c>
      <c r="AF969" s="48">
        <f t="shared" si="279"/>
        <v>0.81</v>
      </c>
      <c r="AG969" s="49">
        <v>1.04</v>
      </c>
      <c r="AH969" s="98">
        <v>5.1100000000000002E-5</v>
      </c>
      <c r="AI969" s="98">
        <v>9.0000000000000002E-6</v>
      </c>
      <c r="AJ969" s="483">
        <f t="shared" si="276"/>
        <v>-2.6801454261779392</v>
      </c>
      <c r="AK969" s="483">
        <f t="shared" si="283"/>
        <v>-3.4343238168733268</v>
      </c>
      <c r="AL969" s="483">
        <f t="shared" si="275"/>
        <v>-3.4343238168733268</v>
      </c>
      <c r="AM969" s="483">
        <v>-3.51919</v>
      </c>
      <c r="AN969" s="226">
        <v>-3.21</v>
      </c>
      <c r="AO969" s="484"/>
      <c r="AP969" s="484"/>
      <c r="AQ969" s="48" t="s">
        <v>6311</v>
      </c>
      <c r="AR969" s="48" t="s">
        <v>6311</v>
      </c>
      <c r="AS969" s="227"/>
      <c r="AT969" s="50" t="s">
        <v>266</v>
      </c>
      <c r="AU969" s="48">
        <v>6</v>
      </c>
      <c r="AV969" s="48">
        <v>120</v>
      </c>
      <c r="AW969" s="48">
        <v>114</v>
      </c>
      <c r="AX969" s="48">
        <v>28</v>
      </c>
      <c r="AY969" s="48" t="s">
        <v>8728</v>
      </c>
      <c r="AZ969" s="48" t="s">
        <v>1563</v>
      </c>
      <c r="BA969" s="48">
        <v>32</v>
      </c>
      <c r="BB969" s="47" t="s">
        <v>2485</v>
      </c>
      <c r="BC969" s="47" t="s">
        <v>8726</v>
      </c>
      <c r="BD969" s="47" t="s">
        <v>8374</v>
      </c>
      <c r="BE969" s="48" t="s">
        <v>2449</v>
      </c>
      <c r="BF969" s="48" t="s">
        <v>272</v>
      </c>
      <c r="BG969" s="48" t="s">
        <v>272</v>
      </c>
      <c r="BH969" s="48" t="s">
        <v>2486</v>
      </c>
      <c r="BI969" s="98">
        <v>6.3999999999999997E-6</v>
      </c>
      <c r="BJ969" s="98">
        <v>6.4000000000000001E-2</v>
      </c>
      <c r="BK969" s="48"/>
      <c r="BL969" s="98">
        <f t="shared" si="274"/>
        <v>4.9653172250600512</v>
      </c>
      <c r="BM969" s="47" t="s">
        <v>2487</v>
      </c>
      <c r="BN969" s="48"/>
      <c r="BO969" s="48"/>
      <c r="BP969" s="48"/>
      <c r="BQ969" s="48"/>
      <c r="BR969" s="47" t="s">
        <v>2496</v>
      </c>
      <c r="BS969" s="48"/>
      <c r="BT969" s="48"/>
      <c r="BU969" s="228"/>
      <c r="BV969" s="48"/>
      <c r="BW969" s="48"/>
      <c r="BX969" s="48"/>
      <c r="BY969" s="48"/>
      <c r="BZ969" s="48"/>
      <c r="CA969" s="48"/>
      <c r="CB969" s="48"/>
      <c r="CC969" s="48"/>
      <c r="CD969" s="48"/>
      <c r="CE969" s="48"/>
      <c r="CF969" s="48"/>
      <c r="CG969" s="48"/>
      <c r="CH969" s="48"/>
      <c r="CI969" s="98"/>
      <c r="CJ969" s="98"/>
      <c r="CK969" s="49">
        <f t="shared" si="281"/>
        <v>77.583081641563297</v>
      </c>
      <c r="CL969" s="229"/>
      <c r="CM969" s="229"/>
      <c r="CN969" s="229"/>
      <c r="CO969" s="47" t="s">
        <v>2488</v>
      </c>
      <c r="CP969" s="47" t="s">
        <v>2489</v>
      </c>
      <c r="CQ969" s="224">
        <v>0.80886885002276054</v>
      </c>
      <c r="CR969" s="224">
        <f t="shared" si="282"/>
        <v>0.15528558767613587</v>
      </c>
      <c r="CS969" s="230" t="s">
        <v>539</v>
      </c>
      <c r="CT969" s="230"/>
      <c r="CU969" s="230"/>
      <c r="CV969" s="335">
        <f t="shared" si="273"/>
        <v>3980.2832687996738</v>
      </c>
      <c r="CW969" s="230">
        <f t="shared" si="280"/>
        <v>1</v>
      </c>
      <c r="CX969" s="336"/>
      <c r="CY969" s="230" t="s">
        <v>6351</v>
      </c>
    </row>
    <row r="970" spans="1:103" ht="11.25" customHeight="1" x14ac:dyDescent="0.2">
      <c r="A970" s="72">
        <v>968</v>
      </c>
      <c r="B970" s="224">
        <v>1237</v>
      </c>
      <c r="C970" s="46" t="s">
        <v>494</v>
      </c>
      <c r="D970" s="46"/>
      <c r="E970" s="114"/>
      <c r="F970" s="114" t="s">
        <v>1767</v>
      </c>
      <c r="G970" s="225">
        <v>108952</v>
      </c>
      <c r="H970" s="47" t="s">
        <v>495</v>
      </c>
      <c r="I970" s="47" t="s">
        <v>495</v>
      </c>
      <c r="J970" s="47" t="s">
        <v>496</v>
      </c>
      <c r="K970" s="47" t="s">
        <v>349</v>
      </c>
      <c r="L970" s="51" t="s">
        <v>5527</v>
      </c>
      <c r="M970" s="47" t="s">
        <v>497</v>
      </c>
      <c r="N970" s="47" t="s">
        <v>6381</v>
      </c>
      <c r="O970" s="47" t="s">
        <v>6086</v>
      </c>
      <c r="P970" s="53" t="s">
        <v>6184</v>
      </c>
      <c r="Q970" s="53" t="s">
        <v>6176</v>
      </c>
      <c r="R970" s="53" t="s">
        <v>6185</v>
      </c>
      <c r="S970" s="53" t="s">
        <v>6176</v>
      </c>
      <c r="T970" s="48">
        <v>94.11</v>
      </c>
      <c r="U970" s="98">
        <v>419.32907348242816</v>
      </c>
      <c r="V970" s="98">
        <v>336.06230031948883</v>
      </c>
      <c r="W970" s="98">
        <v>1096.4781961431852</v>
      </c>
      <c r="X970" s="98">
        <v>419.32907348242816</v>
      </c>
      <c r="Y970" s="233">
        <v>4.91</v>
      </c>
      <c r="Z970" s="48">
        <v>1.64</v>
      </c>
      <c r="AA970" s="48">
        <v>1.23</v>
      </c>
      <c r="AB970" s="48">
        <v>1.67</v>
      </c>
      <c r="AC970" s="48">
        <v>0.93669999999999998</v>
      </c>
      <c r="AD970" s="48">
        <v>1.63</v>
      </c>
      <c r="AE970" s="48">
        <v>1.48</v>
      </c>
      <c r="AF970" s="48">
        <f t="shared" si="279"/>
        <v>1.23</v>
      </c>
      <c r="AG970" s="49">
        <v>1.46</v>
      </c>
      <c r="AH970" s="98">
        <v>5.6100000000000001E-7</v>
      </c>
      <c r="AI970" s="98">
        <v>3.3299999999999998E-7</v>
      </c>
      <c r="AJ970" s="483">
        <f t="shared" si="276"/>
        <v>-4.6396034650564904</v>
      </c>
      <c r="AK970" s="483">
        <f t="shared" si="283"/>
        <v>-4.8661220928063322</v>
      </c>
      <c r="AL970" s="483">
        <f t="shared" si="275"/>
        <v>-4.8661220928063322</v>
      </c>
      <c r="AM970" s="483">
        <v>-6.4734600000000002</v>
      </c>
      <c r="AN970" s="226">
        <v>-4.68</v>
      </c>
      <c r="AO970" s="484">
        <v>9.86</v>
      </c>
      <c r="AP970" s="484"/>
      <c r="AQ970" s="48" t="s">
        <v>6311</v>
      </c>
      <c r="AR970" s="48" t="s">
        <v>6311</v>
      </c>
      <c r="AS970" s="227"/>
      <c r="AT970" s="50" t="s">
        <v>266</v>
      </c>
      <c r="AU970" s="48">
        <v>6</v>
      </c>
      <c r="AV970" s="48">
        <v>120</v>
      </c>
      <c r="AW970" s="48">
        <v>114</v>
      </c>
      <c r="AX970" s="48">
        <v>28</v>
      </c>
      <c r="AY970" s="48" t="s">
        <v>8728</v>
      </c>
      <c r="AZ970" s="48" t="s">
        <v>1563</v>
      </c>
      <c r="BA970" s="48">
        <v>32</v>
      </c>
      <c r="BB970" s="47" t="s">
        <v>2485</v>
      </c>
      <c r="BC970" s="47" t="s">
        <v>8726</v>
      </c>
      <c r="BD970" s="47" t="s">
        <v>8374</v>
      </c>
      <c r="BE970" s="48" t="s">
        <v>2449</v>
      </c>
      <c r="BF970" s="48" t="s">
        <v>272</v>
      </c>
      <c r="BG970" s="48" t="s">
        <v>272</v>
      </c>
      <c r="BH970" s="48" t="s">
        <v>2486</v>
      </c>
      <c r="BI970" s="98">
        <v>6.3999999999999997E-6</v>
      </c>
      <c r="BJ970" s="98">
        <v>6.4000000000000001E-2</v>
      </c>
      <c r="BK970" s="48"/>
      <c r="BL970" s="98">
        <f t="shared" si="274"/>
        <v>1.7294818154229614</v>
      </c>
      <c r="BM970" s="47" t="s">
        <v>2487</v>
      </c>
      <c r="BN970" s="48"/>
      <c r="BO970" s="48"/>
      <c r="BP970" s="48"/>
      <c r="BQ970" s="48"/>
      <c r="BR970" s="47" t="s">
        <v>2496</v>
      </c>
      <c r="BS970" s="48"/>
      <c r="BT970" s="48"/>
      <c r="BU970" s="228">
        <v>6.4000000000000003E-3</v>
      </c>
      <c r="BV970" s="48"/>
      <c r="BW970" s="48"/>
      <c r="BX970" s="48"/>
      <c r="BY970" s="48"/>
      <c r="BZ970" s="48"/>
      <c r="CA970" s="48"/>
      <c r="CB970" s="48"/>
      <c r="CC970" s="48"/>
      <c r="CD970" s="48"/>
      <c r="CE970" s="48"/>
      <c r="CF970" s="48"/>
      <c r="CG970" s="48"/>
      <c r="CH970" s="48"/>
      <c r="CI970" s="98"/>
      <c r="CJ970" s="98"/>
      <c r="CK970" s="49">
        <f t="shared" si="281"/>
        <v>27.02315336598377</v>
      </c>
      <c r="CL970" s="229"/>
      <c r="CM970" s="229">
        <v>-1.0131937010876495</v>
      </c>
      <c r="CN970" s="229">
        <f>BJ970/(10^CM970)</f>
        <v>0.65974130482683835</v>
      </c>
      <c r="CO970" s="47" t="s">
        <v>2488</v>
      </c>
      <c r="CP970" s="47" t="s">
        <v>2489</v>
      </c>
      <c r="CQ970" s="224">
        <v>-0.67773917825679619</v>
      </c>
      <c r="CR970" s="224">
        <f t="shared" si="282"/>
        <v>4.7614494528517195</v>
      </c>
      <c r="CS970" s="230" t="s">
        <v>539</v>
      </c>
      <c r="CT970" s="230"/>
      <c r="CU970" s="230"/>
      <c r="CV970" s="335">
        <f t="shared" si="273"/>
        <v>6552.0167731629399</v>
      </c>
      <c r="CW970" s="230">
        <f t="shared" si="280"/>
        <v>1</v>
      </c>
      <c r="CX970" s="336"/>
      <c r="CY970" s="230" t="s">
        <v>6351</v>
      </c>
    </row>
    <row r="971" spans="1:103" ht="11.25" customHeight="1" x14ac:dyDescent="0.2">
      <c r="A971" s="72">
        <v>969</v>
      </c>
      <c r="B971" s="224">
        <v>391</v>
      </c>
      <c r="C971" s="46" t="s">
        <v>7154</v>
      </c>
      <c r="D971" s="46"/>
      <c r="E971" s="114"/>
      <c r="F971" s="114" t="s">
        <v>748</v>
      </c>
      <c r="G971" s="225">
        <v>109864</v>
      </c>
      <c r="H971" s="47" t="s">
        <v>749</v>
      </c>
      <c r="I971" s="47" t="s">
        <v>749</v>
      </c>
      <c r="J971" s="47" t="s">
        <v>750</v>
      </c>
      <c r="K971" s="47" t="s">
        <v>426</v>
      </c>
      <c r="L971" s="47" t="s">
        <v>5527</v>
      </c>
      <c r="M971" s="47" t="s">
        <v>5960</v>
      </c>
      <c r="N971" s="47"/>
      <c r="O971" s="47"/>
      <c r="P971" s="53" t="s">
        <v>6178</v>
      </c>
      <c r="Q971" s="53" t="s">
        <v>6176</v>
      </c>
      <c r="R971" s="53" t="s">
        <v>6177</v>
      </c>
      <c r="S971" s="53" t="s">
        <v>6179</v>
      </c>
      <c r="T971" s="48">
        <v>76.09</v>
      </c>
      <c r="U971" s="98">
        <v>13142.331449599158</v>
      </c>
      <c r="V971" s="98">
        <v>13142.331449599158</v>
      </c>
      <c r="W971" s="98">
        <v>11220.184543019635</v>
      </c>
      <c r="X971" s="98">
        <v>13142.331449599158</v>
      </c>
      <c r="Y971" s="233">
        <v>6.64</v>
      </c>
      <c r="Z971" s="48">
        <v>-0.91</v>
      </c>
      <c r="AA971" s="48">
        <v>-0.77</v>
      </c>
      <c r="AB971" s="48">
        <v>-0.59</v>
      </c>
      <c r="AC971" s="48">
        <v>0.89429999999999998</v>
      </c>
      <c r="AD971" s="48">
        <v>-0.64</v>
      </c>
      <c r="AE971" s="48">
        <v>-0.8</v>
      </c>
      <c r="AF971" s="48">
        <f t="shared" si="279"/>
        <v>-0.77</v>
      </c>
      <c r="AG971" s="49">
        <v>-0.34</v>
      </c>
      <c r="AH971" s="98">
        <v>4.1899999999999998E-8</v>
      </c>
      <c r="AI971" s="98">
        <v>3.3000000000000002E-7</v>
      </c>
      <c r="AJ971" s="483">
        <f t="shared" si="276"/>
        <v>-5.7663523033463564</v>
      </c>
      <c r="AK971" s="483">
        <f t="shared" si="283"/>
        <v>-4.8700523864347645</v>
      </c>
      <c r="AL971" s="483">
        <f t="shared" si="275"/>
        <v>-4.8700523864347645</v>
      </c>
      <c r="AM971" s="483">
        <v>-4.8682600000000003</v>
      </c>
      <c r="AN971" s="226">
        <v>-4.6500000000000004</v>
      </c>
      <c r="AO971" s="484">
        <v>14.43</v>
      </c>
      <c r="AP971" s="484"/>
      <c r="AQ971" s="226" t="s">
        <v>6311</v>
      </c>
      <c r="AR971" s="226" t="s">
        <v>6311</v>
      </c>
      <c r="AS971" s="224" t="s">
        <v>6</v>
      </c>
      <c r="AT971" s="50" t="s">
        <v>266</v>
      </c>
      <c r="AU971" s="48">
        <v>8</v>
      </c>
      <c r="AV971" s="48">
        <v>144</v>
      </c>
      <c r="AW971" s="48">
        <v>120</v>
      </c>
      <c r="AX971" s="48">
        <v>26</v>
      </c>
      <c r="AY971" s="48" t="s">
        <v>267</v>
      </c>
      <c r="AZ971" s="48" t="s">
        <v>2253</v>
      </c>
      <c r="BA971" s="48">
        <v>2</v>
      </c>
      <c r="BB971" s="47" t="s">
        <v>2254</v>
      </c>
      <c r="BC971" s="47" t="s">
        <v>270</v>
      </c>
      <c r="BD971" s="47" t="s">
        <v>8374</v>
      </c>
      <c r="BE971" s="48" t="s">
        <v>1712</v>
      </c>
      <c r="BF971" s="48" t="s">
        <v>272</v>
      </c>
      <c r="BG971" s="48" t="s">
        <v>272</v>
      </c>
      <c r="BH971" s="48" t="s">
        <v>2255</v>
      </c>
      <c r="BI971" s="98">
        <v>9.9999999999999995E-7</v>
      </c>
      <c r="BJ971" s="98">
        <v>0.08</v>
      </c>
      <c r="BK971" s="48"/>
      <c r="BL971" s="98">
        <f t="shared" si="274"/>
        <v>337.34245409018888</v>
      </c>
      <c r="BM971" s="48" t="s">
        <v>891</v>
      </c>
      <c r="BN971" s="233"/>
      <c r="BO971" s="233"/>
      <c r="BP971" s="233"/>
      <c r="BQ971" s="233"/>
      <c r="BR971" s="233"/>
      <c r="BS971" s="48"/>
      <c r="BT971" s="233"/>
      <c r="BU971" s="228"/>
      <c r="BV971" s="233"/>
      <c r="BW971" s="233"/>
      <c r="BX971" s="233"/>
      <c r="BY971" s="233"/>
      <c r="BZ971" s="233"/>
      <c r="CA971" s="233"/>
      <c r="CB971" s="233"/>
      <c r="CC971" s="48"/>
      <c r="CD971" s="48"/>
      <c r="CE971" s="48"/>
      <c r="CF971" s="48"/>
      <c r="CG971" s="233"/>
      <c r="CH971" s="48"/>
      <c r="CI971" s="98"/>
      <c r="CJ971" s="98"/>
      <c r="CK971" s="49">
        <f t="shared" si="281"/>
        <v>4216.7806761273605</v>
      </c>
      <c r="CL971" s="229"/>
      <c r="CM971" s="229"/>
      <c r="CN971" s="229"/>
      <c r="CO971" s="47" t="s">
        <v>892</v>
      </c>
      <c r="CP971" s="47" t="s">
        <v>893</v>
      </c>
      <c r="CQ971" s="224">
        <v>0.69731162586752093</v>
      </c>
      <c r="CR971" s="224">
        <f t="shared" si="282"/>
        <v>0.20076517150395778</v>
      </c>
      <c r="CS971" s="230" t="s">
        <v>539</v>
      </c>
      <c r="CT971" s="230"/>
      <c r="CU971" s="230"/>
      <c r="CV971" s="335">
        <f t="shared" si="273"/>
        <v>164279.14311998949</v>
      </c>
      <c r="CW971" s="230">
        <f t="shared" si="280"/>
        <v>1</v>
      </c>
      <c r="CX971" s="336" t="s">
        <v>539</v>
      </c>
      <c r="CY971" s="230" t="s">
        <v>6351</v>
      </c>
    </row>
    <row r="972" spans="1:103" ht="11.25" customHeight="1" x14ac:dyDescent="0.2">
      <c r="A972" s="72">
        <v>970</v>
      </c>
      <c r="B972" s="224">
        <v>953</v>
      </c>
      <c r="C972" s="46" t="s">
        <v>747</v>
      </c>
      <c r="D972" s="46"/>
      <c r="E972" s="114"/>
      <c r="F972" s="114" t="s">
        <v>748</v>
      </c>
      <c r="G972" s="225">
        <v>109864</v>
      </c>
      <c r="H972" s="47" t="s">
        <v>749</v>
      </c>
      <c r="I972" s="47" t="s">
        <v>749</v>
      </c>
      <c r="J972" s="47" t="s">
        <v>750</v>
      </c>
      <c r="K972" s="47" t="s">
        <v>426</v>
      </c>
      <c r="L972" s="47" t="s">
        <v>5527</v>
      </c>
      <c r="M972" s="47" t="s">
        <v>5960</v>
      </c>
      <c r="N972" s="47"/>
      <c r="O972" s="47"/>
      <c r="P972" s="53"/>
      <c r="Q972" s="53" t="s">
        <v>6176</v>
      </c>
      <c r="R972" s="53" t="s">
        <v>6185</v>
      </c>
      <c r="S972" s="53" t="s">
        <v>6179</v>
      </c>
      <c r="T972" s="48">
        <v>76.09</v>
      </c>
      <c r="U972" s="98">
        <v>13142.331449599158</v>
      </c>
      <c r="V972" s="98">
        <v>13142.331449599158</v>
      </c>
      <c r="W972" s="98">
        <v>11220.184543019635</v>
      </c>
      <c r="X972" s="98">
        <v>13142.331449599158</v>
      </c>
      <c r="Y972" s="233">
        <v>6.64</v>
      </c>
      <c r="Z972" s="48">
        <v>-0.91</v>
      </c>
      <c r="AA972" s="48">
        <v>-0.77</v>
      </c>
      <c r="AB972" s="48">
        <v>-0.59</v>
      </c>
      <c r="AC972" s="48">
        <v>0.89429999999999998</v>
      </c>
      <c r="AD972" s="48">
        <v>-0.64</v>
      </c>
      <c r="AE972" s="48">
        <v>-0.8</v>
      </c>
      <c r="AF972" s="48">
        <f t="shared" si="279"/>
        <v>-0.77</v>
      </c>
      <c r="AG972" s="49">
        <v>-0.34</v>
      </c>
      <c r="AH972" s="98">
        <v>4.1899999999999998E-8</v>
      </c>
      <c r="AI972" s="98">
        <v>3.3000000000000002E-7</v>
      </c>
      <c r="AJ972" s="483">
        <f t="shared" si="276"/>
        <v>-5.7663523033463564</v>
      </c>
      <c r="AK972" s="483">
        <f t="shared" si="283"/>
        <v>-4.8700523864347645</v>
      </c>
      <c r="AL972" s="483">
        <f t="shared" si="275"/>
        <v>-4.8700523864347645</v>
      </c>
      <c r="AM972" s="483">
        <v>-4.8682600000000003</v>
      </c>
      <c r="AN972" s="226">
        <v>-4.6500000000000004</v>
      </c>
      <c r="AO972" s="484">
        <v>14.43</v>
      </c>
      <c r="AP972" s="484"/>
      <c r="AQ972" s="48" t="s">
        <v>6311</v>
      </c>
      <c r="AR972" s="48" t="s">
        <v>6311</v>
      </c>
      <c r="AS972" s="227"/>
      <c r="AT972" s="50" t="s">
        <v>266</v>
      </c>
      <c r="AU972" s="48">
        <v>6</v>
      </c>
      <c r="AV972" s="48">
        <v>120</v>
      </c>
      <c r="AW972" s="48">
        <v>114</v>
      </c>
      <c r="AX972" s="48">
        <v>28</v>
      </c>
      <c r="AY972" s="48" t="s">
        <v>8728</v>
      </c>
      <c r="AZ972" s="48" t="s">
        <v>1563</v>
      </c>
      <c r="BA972" s="48">
        <v>32</v>
      </c>
      <c r="BB972" s="47" t="s">
        <v>2485</v>
      </c>
      <c r="BC972" s="47" t="s">
        <v>8726</v>
      </c>
      <c r="BD972" s="47" t="s">
        <v>8374</v>
      </c>
      <c r="BE972" s="48" t="s">
        <v>2449</v>
      </c>
      <c r="BF972" s="48" t="s">
        <v>272</v>
      </c>
      <c r="BG972" s="48" t="s">
        <v>272</v>
      </c>
      <c r="BH972" s="48" t="s">
        <v>2486</v>
      </c>
      <c r="BI972" s="98">
        <v>6.3999999999999997E-6</v>
      </c>
      <c r="BJ972" s="98">
        <v>6.4000000000000001E-2</v>
      </c>
      <c r="BK972" s="48"/>
      <c r="BL972" s="98">
        <f t="shared" si="274"/>
        <v>337.34245409018888</v>
      </c>
      <c r="BM972" s="47" t="s">
        <v>2487</v>
      </c>
      <c r="BN972" s="48"/>
      <c r="BO972" s="48"/>
      <c r="BP972" s="48"/>
      <c r="BQ972" s="48"/>
      <c r="BR972" s="47" t="s">
        <v>2496</v>
      </c>
      <c r="BS972" s="48"/>
      <c r="BT972" s="48"/>
      <c r="BU972" s="228">
        <v>6.3999999999999997E-5</v>
      </c>
      <c r="BV972" s="48"/>
      <c r="BW972" s="48"/>
      <c r="BX972" s="48"/>
      <c r="BY972" s="48"/>
      <c r="BZ972" s="48"/>
      <c r="CA972" s="48"/>
      <c r="CB972" s="48"/>
      <c r="CC972" s="48"/>
      <c r="CD972" s="48"/>
      <c r="CE972" s="48"/>
      <c r="CF972" s="48"/>
      <c r="CG972" s="48"/>
      <c r="CH972" s="48"/>
      <c r="CI972" s="98"/>
      <c r="CJ972" s="98"/>
      <c r="CK972" s="49">
        <f t="shared" si="281"/>
        <v>5270.9758451592015</v>
      </c>
      <c r="CL972" s="229"/>
      <c r="CM972" s="229"/>
      <c r="CN972" s="229"/>
      <c r="CO972" s="47" t="s">
        <v>2488</v>
      </c>
      <c r="CP972" s="47" t="s">
        <v>2489</v>
      </c>
      <c r="CQ972" s="224">
        <v>0.69731162586752093</v>
      </c>
      <c r="CR972" s="224">
        <f t="shared" si="282"/>
        <v>0.20076517150395778</v>
      </c>
      <c r="CS972" s="230" t="s">
        <v>539</v>
      </c>
      <c r="CT972" s="230"/>
      <c r="CU972" s="230"/>
      <c r="CV972" s="335">
        <f t="shared" si="273"/>
        <v>205348.92889998684</v>
      </c>
      <c r="CW972" s="230">
        <f t="shared" si="280"/>
        <v>1</v>
      </c>
      <c r="CX972" s="336"/>
      <c r="CY972" s="230" t="s">
        <v>6351</v>
      </c>
    </row>
    <row r="973" spans="1:103" ht="11.25" customHeight="1" x14ac:dyDescent="0.2">
      <c r="A973" s="72">
        <v>971</v>
      </c>
      <c r="B973" s="224">
        <v>1585</v>
      </c>
      <c r="C973" s="46" t="s">
        <v>7155</v>
      </c>
      <c r="D973" s="46"/>
      <c r="E973" s="114"/>
      <c r="F973" s="114" t="s">
        <v>4735</v>
      </c>
      <c r="G973" s="225">
        <v>110054</v>
      </c>
      <c r="H973" s="47" t="s">
        <v>4736</v>
      </c>
      <c r="I973" s="47" t="s">
        <v>4736</v>
      </c>
      <c r="J973" s="47" t="s">
        <v>4737</v>
      </c>
      <c r="K973" s="47" t="s">
        <v>3026</v>
      </c>
      <c r="L973" s="47"/>
      <c r="M973" s="47"/>
      <c r="N973" s="47"/>
      <c r="O973" s="47"/>
      <c r="P973" s="53"/>
      <c r="Q973" s="53"/>
      <c r="R973" s="53"/>
      <c r="S973" s="53"/>
      <c r="T973" s="48">
        <v>146.22999999999999</v>
      </c>
      <c r="U973" s="98">
        <v>0.68385420228407312</v>
      </c>
      <c r="V973" s="98">
        <v>0.6121178964644739</v>
      </c>
      <c r="W973" s="98">
        <v>0.66069344800759555</v>
      </c>
      <c r="X973" s="98">
        <v>0.68385420228407312</v>
      </c>
      <c r="Y973" s="233">
        <v>7</v>
      </c>
      <c r="Z973" s="48">
        <v>3.45</v>
      </c>
      <c r="AA973" s="48"/>
      <c r="AB973" s="48">
        <v>2.85</v>
      </c>
      <c r="AC973" s="48">
        <v>0.32740000000000002</v>
      </c>
      <c r="AD973" s="48">
        <v>3.08</v>
      </c>
      <c r="AE973" s="48">
        <v>3.19</v>
      </c>
      <c r="AF973" s="48">
        <f t="shared" si="279"/>
        <v>3.08</v>
      </c>
      <c r="AG973" s="49">
        <v>3.08</v>
      </c>
      <c r="AH973" s="98">
        <v>1.2E-2</v>
      </c>
      <c r="AI973" s="98">
        <v>4.8300000000000003E-2</v>
      </c>
      <c r="AJ973" s="483">
        <f t="shared" si="276"/>
        <v>-0.30938508026502698</v>
      </c>
      <c r="AK973" s="483">
        <f t="shared" si="283"/>
        <v>0.29538080443886039</v>
      </c>
      <c r="AL973" s="483">
        <f t="shared" si="275"/>
        <v>0.29538080443886039</v>
      </c>
      <c r="AM973" s="483">
        <v>-3.2131800000000004</v>
      </c>
      <c r="AN973" s="226">
        <v>-0.21</v>
      </c>
      <c r="AO973" s="484"/>
      <c r="AP973" s="484"/>
      <c r="AQ973" s="48" t="s">
        <v>6311</v>
      </c>
      <c r="AR973" s="48" t="s">
        <v>6311</v>
      </c>
      <c r="AS973" s="227"/>
      <c r="AT973" s="50" t="s">
        <v>266</v>
      </c>
      <c r="AU973" s="48">
        <v>6</v>
      </c>
      <c r="AV973" s="48">
        <v>120</v>
      </c>
      <c r="AW973" s="48">
        <v>114</v>
      </c>
      <c r="AX973" s="48">
        <v>28</v>
      </c>
      <c r="AY973" s="48" t="s">
        <v>8728</v>
      </c>
      <c r="AZ973" s="48" t="s">
        <v>1563</v>
      </c>
      <c r="BA973" s="48">
        <v>32</v>
      </c>
      <c r="BB973" s="47" t="s">
        <v>2485</v>
      </c>
      <c r="BC973" s="47" t="s">
        <v>8726</v>
      </c>
      <c r="BD973" s="47" t="s">
        <v>8374</v>
      </c>
      <c r="BE973" s="48" t="s">
        <v>2449</v>
      </c>
      <c r="BF973" s="48" t="s">
        <v>272</v>
      </c>
      <c r="BG973" s="48" t="s">
        <v>272</v>
      </c>
      <c r="BH973" s="48" t="s">
        <v>2486</v>
      </c>
      <c r="BI973" s="98">
        <v>6.3999999999999997E-6</v>
      </c>
      <c r="BJ973" s="98">
        <v>6.4000000000000001E-2</v>
      </c>
      <c r="BK973" s="48"/>
      <c r="BL973" s="98">
        <f t="shared" si="274"/>
        <v>4.0959533340592637E-2</v>
      </c>
      <c r="BM973" s="47" t="s">
        <v>2487</v>
      </c>
      <c r="BN973" s="48"/>
      <c r="BO973" s="48"/>
      <c r="BP973" s="48"/>
      <c r="BQ973" s="48"/>
      <c r="BR973" s="47" t="s">
        <v>2496</v>
      </c>
      <c r="BS973" s="48"/>
      <c r="BT973" s="48"/>
      <c r="BU973" s="228"/>
      <c r="BV973" s="48"/>
      <c r="BW973" s="48"/>
      <c r="BX973" s="48"/>
      <c r="BY973" s="48"/>
      <c r="BZ973" s="48"/>
      <c r="CA973" s="48"/>
      <c r="CB973" s="48"/>
      <c r="CC973" s="48"/>
      <c r="CD973" s="48"/>
      <c r="CE973" s="48"/>
      <c r="CF973" s="48"/>
      <c r="CG973" s="48"/>
      <c r="CH973" s="48"/>
      <c r="CI973" s="98"/>
      <c r="CJ973" s="98"/>
      <c r="CK973" s="49">
        <f t="shared" si="281"/>
        <v>0.63999270844675993</v>
      </c>
      <c r="CL973" s="229"/>
      <c r="CM973" s="229"/>
      <c r="CN973" s="229"/>
      <c r="CO973" s="47" t="s">
        <v>2488</v>
      </c>
      <c r="CP973" s="47" t="s">
        <v>2489</v>
      </c>
      <c r="CQ973" s="224" t="s">
        <v>272</v>
      </c>
      <c r="CR973" s="224"/>
      <c r="CS973" s="230" t="s">
        <v>539</v>
      </c>
      <c r="CT973" s="230"/>
      <c r="CU973" s="230"/>
      <c r="CV973" s="335">
        <f t="shared" si="273"/>
        <v>10.685221910688643</v>
      </c>
      <c r="CW973" s="230">
        <f t="shared" si="280"/>
        <v>1</v>
      </c>
      <c r="CX973" s="336"/>
      <c r="CY973" s="230" t="s">
        <v>6351</v>
      </c>
    </row>
    <row r="974" spans="1:103" ht="11.25" customHeight="1" x14ac:dyDescent="0.2">
      <c r="A974" s="72">
        <v>972</v>
      </c>
      <c r="B974" s="224">
        <v>1787</v>
      </c>
      <c r="C974" s="46" t="s">
        <v>7156</v>
      </c>
      <c r="D974" s="46"/>
      <c r="E974" s="114"/>
      <c r="F974" s="114" t="s">
        <v>5138</v>
      </c>
      <c r="G974" s="225">
        <v>110269</v>
      </c>
      <c r="H974" s="47" t="s">
        <v>5139</v>
      </c>
      <c r="I974" s="47" t="s">
        <v>5139</v>
      </c>
      <c r="J974" s="47" t="s">
        <v>5140</v>
      </c>
      <c r="K974" s="47" t="s">
        <v>3832</v>
      </c>
      <c r="L974" s="47"/>
      <c r="M974" s="47"/>
      <c r="N974" s="47"/>
      <c r="O974" s="47"/>
      <c r="P974" s="53"/>
      <c r="Q974" s="53"/>
      <c r="R974" s="53"/>
      <c r="S974" s="53"/>
      <c r="T974" s="48">
        <v>154.16999999999999</v>
      </c>
      <c r="U974" s="98"/>
      <c r="V974" s="98">
        <v>454.88746189271586</v>
      </c>
      <c r="W974" s="98">
        <v>120.22644346174128</v>
      </c>
      <c r="X974" s="98">
        <f>IF(W974=0,V974,W974)</f>
        <v>120.22644346174128</v>
      </c>
      <c r="Y974" s="233">
        <v>6.69</v>
      </c>
      <c r="Z974" s="48">
        <v>-1.52</v>
      </c>
      <c r="AA974" s="48"/>
      <c r="AB974" s="48">
        <v>-1.03</v>
      </c>
      <c r="AC974" s="48">
        <v>0.69450000000000001</v>
      </c>
      <c r="AD974" s="48">
        <v>-1.19</v>
      </c>
      <c r="AE974" s="48">
        <v>-1.44</v>
      </c>
      <c r="AF974" s="48">
        <f t="shared" si="279"/>
        <v>-1.19</v>
      </c>
      <c r="AG974" s="49">
        <v>0.11</v>
      </c>
      <c r="AH974" s="98">
        <v>1.14E-9</v>
      </c>
      <c r="AI974" s="98"/>
      <c r="AJ974" s="483">
        <f t="shared" si="276"/>
        <v>-7.3316614749761788</v>
      </c>
      <c r="AK974" s="483"/>
      <c r="AL974" s="483">
        <f t="shared" si="275"/>
        <v>-7.3316614749761788</v>
      </c>
      <c r="AM974" s="483">
        <v>-14.56385</v>
      </c>
      <c r="AN974" s="226">
        <v>-15.8</v>
      </c>
      <c r="AO974" s="484">
        <v>13.07</v>
      </c>
      <c r="AP974" s="484">
        <v>-0.86</v>
      </c>
      <c r="AQ974" s="226" t="s">
        <v>6311</v>
      </c>
      <c r="AR974" s="226" t="s">
        <v>6311</v>
      </c>
      <c r="AS974" s="224"/>
      <c r="AT974" s="50" t="s">
        <v>266</v>
      </c>
      <c r="AU974" s="48">
        <v>6</v>
      </c>
      <c r="AV974" s="48">
        <v>120</v>
      </c>
      <c r="AW974" s="48">
        <v>114</v>
      </c>
      <c r="AX974" s="48">
        <v>28</v>
      </c>
      <c r="AY974" s="48" t="s">
        <v>8728</v>
      </c>
      <c r="AZ974" s="48" t="s">
        <v>1563</v>
      </c>
      <c r="BA974" s="48">
        <v>32</v>
      </c>
      <c r="BB974" s="47" t="s">
        <v>2485</v>
      </c>
      <c r="BC974" s="47" t="s">
        <v>8726</v>
      </c>
      <c r="BD974" s="47" t="s">
        <v>8374</v>
      </c>
      <c r="BE974" s="48" t="s">
        <v>2449</v>
      </c>
      <c r="BF974" s="48" t="s">
        <v>272</v>
      </c>
      <c r="BG974" s="48" t="s">
        <v>272</v>
      </c>
      <c r="BH974" s="48" t="s">
        <v>2486</v>
      </c>
      <c r="BI974" s="98">
        <v>6.3999999999999997E-6</v>
      </c>
      <c r="BJ974" s="98">
        <v>6.4000000000000001E-2</v>
      </c>
      <c r="BK974" s="48"/>
      <c r="BL974" s="98">
        <f t="shared" si="274"/>
        <v>1191.0006541047662</v>
      </c>
      <c r="BM974" s="47" t="s">
        <v>2487</v>
      </c>
      <c r="BN974" s="48"/>
      <c r="BO974" s="48"/>
      <c r="BP974" s="48"/>
      <c r="BQ974" s="48"/>
      <c r="BR974" s="47" t="s">
        <v>2496</v>
      </c>
      <c r="BS974" s="48"/>
      <c r="BT974" s="48"/>
      <c r="BU974" s="228"/>
      <c r="BV974" s="48"/>
      <c r="BW974" s="48"/>
      <c r="BX974" s="48"/>
      <c r="BY974" s="48"/>
      <c r="BZ974" s="48"/>
      <c r="CA974" s="48"/>
      <c r="CB974" s="48"/>
      <c r="CC974" s="48"/>
      <c r="CD974" s="48"/>
      <c r="CE974" s="48"/>
      <c r="CF974" s="48"/>
      <c r="CG974" s="48"/>
      <c r="CH974" s="48"/>
      <c r="CI974" s="98"/>
      <c r="CJ974" s="98"/>
      <c r="CK974" s="49">
        <f t="shared" si="281"/>
        <v>18609.385220386972</v>
      </c>
      <c r="CL974" s="229"/>
      <c r="CM974" s="229"/>
      <c r="CN974" s="229"/>
      <c r="CO974" s="47" t="s">
        <v>2488</v>
      </c>
      <c r="CP974" s="47" t="s">
        <v>2489</v>
      </c>
      <c r="CQ974" s="224" t="s">
        <v>272</v>
      </c>
      <c r="CR974" s="224"/>
      <c r="CS974" s="230" t="s">
        <v>539</v>
      </c>
      <c r="CT974" s="230"/>
      <c r="CU974" s="230"/>
      <c r="CV974" s="335">
        <f t="shared" si="273"/>
        <v>1878.5381790897075</v>
      </c>
      <c r="CW974" s="230">
        <f t="shared" si="280"/>
        <v>1</v>
      </c>
      <c r="CX974" s="336"/>
      <c r="CY974" s="230" t="s">
        <v>5921</v>
      </c>
    </row>
    <row r="975" spans="1:103" ht="11.25" customHeight="1" x14ac:dyDescent="0.2">
      <c r="A975" s="72">
        <v>973</v>
      </c>
      <c r="B975" s="224">
        <v>1873</v>
      </c>
      <c r="C975" s="46" t="s">
        <v>7157</v>
      </c>
      <c r="D975" s="46"/>
      <c r="E975" s="114"/>
      <c r="F975" s="114" t="s">
        <v>5319</v>
      </c>
      <c r="G975" s="225">
        <v>110441</v>
      </c>
      <c r="H975" s="47" t="s">
        <v>5320</v>
      </c>
      <c r="I975" s="47" t="s">
        <v>5320</v>
      </c>
      <c r="J975" s="47" t="s">
        <v>5321</v>
      </c>
      <c r="K975" s="47" t="s">
        <v>426</v>
      </c>
      <c r="L975" s="47"/>
      <c r="M975" s="47"/>
      <c r="N975" s="47"/>
      <c r="O975" s="47"/>
      <c r="P975" s="53"/>
      <c r="Q975" s="53"/>
      <c r="R975" s="53"/>
      <c r="S975" s="53"/>
      <c r="T975" s="48">
        <v>112.13</v>
      </c>
      <c r="U975" s="98">
        <v>17.033800053509321</v>
      </c>
      <c r="V975" s="98">
        <v>173.37019530901634</v>
      </c>
      <c r="W975" s="98">
        <v>79.432823472428097</v>
      </c>
      <c r="X975" s="98">
        <v>17.033800053509321</v>
      </c>
      <c r="Y975" s="233">
        <v>2.85</v>
      </c>
      <c r="Z975" s="48">
        <v>1.62</v>
      </c>
      <c r="AA975" s="48">
        <v>1.33</v>
      </c>
      <c r="AB975" s="48">
        <v>1.39</v>
      </c>
      <c r="AC975" s="48">
        <v>0.85960000000000003</v>
      </c>
      <c r="AD975" s="48">
        <v>1.38</v>
      </c>
      <c r="AE975" s="48">
        <v>1.35</v>
      </c>
      <c r="AF975" s="48">
        <f t="shared" si="279"/>
        <v>1.33</v>
      </c>
      <c r="AG975" s="49">
        <v>1.52</v>
      </c>
      <c r="AH975" s="98">
        <v>5.7199999999999999E-7</v>
      </c>
      <c r="AI975" s="98"/>
      <c r="AJ975" s="483">
        <f t="shared" si="276"/>
        <v>-4.6311702975196276</v>
      </c>
      <c r="AK975" s="483"/>
      <c r="AL975" s="483">
        <f t="shared" si="275"/>
        <v>-4.6311702975196276</v>
      </c>
      <c r="AM975" s="483">
        <v>-6.8461899999999991</v>
      </c>
      <c r="AN975" s="226">
        <v>-5.41</v>
      </c>
      <c r="AO975" s="484">
        <v>4.5999999999999996</v>
      </c>
      <c r="AP975" s="484"/>
      <c r="AQ975" s="226" t="s">
        <v>6311</v>
      </c>
      <c r="AR975" s="226" t="s">
        <v>6311</v>
      </c>
      <c r="AS975" s="224"/>
      <c r="AT975" s="50" t="s">
        <v>266</v>
      </c>
      <c r="AU975" s="48">
        <v>6</v>
      </c>
      <c r="AV975" s="48">
        <v>120</v>
      </c>
      <c r="AW975" s="48">
        <v>114</v>
      </c>
      <c r="AX975" s="48">
        <v>28</v>
      </c>
      <c r="AY975" s="48" t="s">
        <v>8728</v>
      </c>
      <c r="AZ975" s="48" t="s">
        <v>1563</v>
      </c>
      <c r="BA975" s="48">
        <v>32</v>
      </c>
      <c r="BB975" s="47" t="s">
        <v>2485</v>
      </c>
      <c r="BC975" s="47" t="s">
        <v>8726</v>
      </c>
      <c r="BD975" s="47" t="s">
        <v>8374</v>
      </c>
      <c r="BE975" s="48" t="s">
        <v>2449</v>
      </c>
      <c r="BF975" s="48" t="s">
        <v>272</v>
      </c>
      <c r="BG975" s="48" t="s">
        <v>272</v>
      </c>
      <c r="BH975" s="48" t="s">
        <v>2486</v>
      </c>
      <c r="BI975" s="98">
        <v>6.3999999999999997E-6</v>
      </c>
      <c r="BJ975" s="98">
        <v>6.4000000000000001E-2</v>
      </c>
      <c r="BK975" s="48"/>
      <c r="BL975" s="98">
        <f t="shared" si="274"/>
        <v>1.8025113165778388</v>
      </c>
      <c r="BM975" s="47" t="s">
        <v>2487</v>
      </c>
      <c r="BN975" s="48"/>
      <c r="BO975" s="48"/>
      <c r="BP975" s="48"/>
      <c r="BQ975" s="48"/>
      <c r="BR975" s="47" t="s">
        <v>2496</v>
      </c>
      <c r="BS975" s="48"/>
      <c r="BT975" s="48"/>
      <c r="BU975" s="228"/>
      <c r="BV975" s="48"/>
      <c r="BW975" s="48"/>
      <c r="BX975" s="48"/>
      <c r="BY975" s="48"/>
      <c r="BZ975" s="48"/>
      <c r="CA975" s="48"/>
      <c r="CB975" s="48"/>
      <c r="CC975" s="48"/>
      <c r="CD975" s="48"/>
      <c r="CE975" s="48"/>
      <c r="CF975" s="48"/>
      <c r="CG975" s="48"/>
      <c r="CH975" s="48"/>
      <c r="CI975" s="98"/>
      <c r="CJ975" s="98"/>
      <c r="CK975" s="49">
        <f t="shared" si="281"/>
        <v>28.164239321528729</v>
      </c>
      <c r="CL975" s="229"/>
      <c r="CM975" s="229"/>
      <c r="CN975" s="229"/>
      <c r="CO975" s="47" t="s">
        <v>2488</v>
      </c>
      <c r="CP975" s="47" t="s">
        <v>2489</v>
      </c>
      <c r="CQ975" s="224" t="s">
        <v>272</v>
      </c>
      <c r="CR975" s="224"/>
      <c r="CS975" s="230" t="s">
        <v>539</v>
      </c>
      <c r="CT975" s="230"/>
      <c r="CU975" s="230"/>
      <c r="CV975" s="335">
        <f t="shared" si="273"/>
        <v>266.15312583608312</v>
      </c>
      <c r="CW975" s="230">
        <f t="shared" si="280"/>
        <v>1</v>
      </c>
      <c r="CX975" s="336"/>
      <c r="CY975" s="230" t="s">
        <v>6351</v>
      </c>
    </row>
    <row r="976" spans="1:103" ht="11.25" customHeight="1" x14ac:dyDescent="0.2">
      <c r="A976" s="72">
        <v>974</v>
      </c>
      <c r="B976" s="224">
        <v>1231</v>
      </c>
      <c r="C976" s="46" t="s">
        <v>7158</v>
      </c>
      <c r="D976" s="46"/>
      <c r="E976" s="114"/>
      <c r="F976" s="114" t="s">
        <v>3391</v>
      </c>
      <c r="G976" s="225">
        <v>110623</v>
      </c>
      <c r="H976" s="47" t="s">
        <v>3392</v>
      </c>
      <c r="I976" s="47" t="s">
        <v>3392</v>
      </c>
      <c r="J976" s="47" t="s">
        <v>3393</v>
      </c>
      <c r="K976" s="47" t="s">
        <v>511</v>
      </c>
      <c r="L976" s="47" t="s">
        <v>6135</v>
      </c>
      <c r="M976" s="47" t="s">
        <v>6088</v>
      </c>
      <c r="N976" s="47"/>
      <c r="O976" s="47" t="s">
        <v>6083</v>
      </c>
      <c r="P976" s="53" t="s">
        <v>6172</v>
      </c>
      <c r="Q976" s="53" t="s">
        <v>6176</v>
      </c>
      <c r="R976" s="53" t="s">
        <v>6175</v>
      </c>
      <c r="S976" s="53" t="s">
        <v>6176</v>
      </c>
      <c r="T976" s="48">
        <v>86.13</v>
      </c>
      <c r="U976" s="98">
        <v>135.84117032392896</v>
      </c>
      <c r="V976" s="98">
        <v>112.82944386392663</v>
      </c>
      <c r="W976" s="98">
        <v>95.499258602143556</v>
      </c>
      <c r="X976" s="98">
        <v>135.84117032392896</v>
      </c>
      <c r="Y976" s="233">
        <v>7</v>
      </c>
      <c r="Z976" s="48">
        <v>1.31</v>
      </c>
      <c r="AA976" s="48"/>
      <c r="AB976" s="48">
        <v>1.27</v>
      </c>
      <c r="AC976" s="48">
        <v>0.79630000000000001</v>
      </c>
      <c r="AD976" s="48">
        <v>1.32</v>
      </c>
      <c r="AE976" s="48">
        <v>1.44</v>
      </c>
      <c r="AF976" s="48">
        <f t="shared" si="279"/>
        <v>1.32</v>
      </c>
      <c r="AG976" s="49">
        <v>1.33</v>
      </c>
      <c r="AH976" s="98">
        <v>1.5899999999999999E-4</v>
      </c>
      <c r="AI976" s="98">
        <v>1.47E-4</v>
      </c>
      <c r="AJ976" s="483">
        <f t="shared" si="276"/>
        <v>-2.1871692019922002</v>
      </c>
      <c r="AK976" s="483">
        <f>LOG10(AI976*1000/(0.08206*298.15))</f>
        <v>-2.2212489915644755</v>
      </c>
      <c r="AL976" s="483">
        <f t="shared" si="275"/>
        <v>-2.2212489915644755</v>
      </c>
      <c r="AM976" s="483">
        <v>-3.1925400000000002</v>
      </c>
      <c r="AN976" s="226">
        <v>-2.0299999999999998</v>
      </c>
      <c r="AO976" s="484"/>
      <c r="AP976" s="484"/>
      <c r="AQ976" s="48" t="s">
        <v>6311</v>
      </c>
      <c r="AR976" s="48" t="s">
        <v>6311</v>
      </c>
      <c r="AS976" s="227"/>
      <c r="AT976" s="50" t="s">
        <v>266</v>
      </c>
      <c r="AU976" s="48">
        <v>6</v>
      </c>
      <c r="AV976" s="48">
        <v>120</v>
      </c>
      <c r="AW976" s="48">
        <v>114</v>
      </c>
      <c r="AX976" s="48">
        <v>28</v>
      </c>
      <c r="AY976" s="48" t="s">
        <v>8728</v>
      </c>
      <c r="AZ976" s="48" t="s">
        <v>1563</v>
      </c>
      <c r="BA976" s="48">
        <v>32</v>
      </c>
      <c r="BB976" s="47" t="s">
        <v>2485</v>
      </c>
      <c r="BC976" s="47" t="s">
        <v>8726</v>
      </c>
      <c r="BD976" s="47" t="s">
        <v>8374</v>
      </c>
      <c r="BE976" s="48" t="s">
        <v>2449</v>
      </c>
      <c r="BF976" s="48" t="s">
        <v>272</v>
      </c>
      <c r="BG976" s="48" t="s">
        <v>272</v>
      </c>
      <c r="BH976" s="48" t="s">
        <v>2486</v>
      </c>
      <c r="BI976" s="98">
        <v>6.3999999999999997E-6</v>
      </c>
      <c r="BJ976" s="98">
        <v>6.4000000000000001E-2</v>
      </c>
      <c r="BK976" s="48"/>
      <c r="BL976" s="98">
        <f t="shared" si="274"/>
        <v>3.4220708747364856</v>
      </c>
      <c r="BM976" s="47" t="s">
        <v>2487</v>
      </c>
      <c r="BN976" s="48"/>
      <c r="BO976" s="48"/>
      <c r="BP976" s="48"/>
      <c r="BQ976" s="48"/>
      <c r="BR976" s="47" t="s">
        <v>2496</v>
      </c>
      <c r="BS976" s="48"/>
      <c r="BT976" s="48"/>
      <c r="BU976" s="228">
        <v>6.4000000000000001E-2</v>
      </c>
      <c r="BV976" s="48"/>
      <c r="BW976" s="48"/>
      <c r="BX976" s="48"/>
      <c r="BY976" s="48"/>
      <c r="BZ976" s="48"/>
      <c r="CA976" s="48"/>
      <c r="CB976" s="48"/>
      <c r="CC976" s="48"/>
      <c r="CD976" s="48"/>
      <c r="CE976" s="48"/>
      <c r="CF976" s="48"/>
      <c r="CG976" s="48"/>
      <c r="CH976" s="48"/>
      <c r="CI976" s="98"/>
      <c r="CJ976" s="98"/>
      <c r="CK976" s="49">
        <f t="shared" si="281"/>
        <v>53.469857417757588</v>
      </c>
      <c r="CL976" s="229"/>
      <c r="CM976" s="229"/>
      <c r="CN976" s="229"/>
      <c r="CO976" s="47" t="s">
        <v>2488</v>
      </c>
      <c r="CP976" s="47" t="s">
        <v>2489</v>
      </c>
      <c r="CQ976" s="224">
        <v>-0.82366450193820862</v>
      </c>
      <c r="CR976" s="224">
        <f>10^(CJ976-CQ976)</f>
        <v>6.6629185134134064</v>
      </c>
      <c r="CS976" s="230" t="s">
        <v>539</v>
      </c>
      <c r="CT976" s="230"/>
      <c r="CU976" s="230"/>
      <c r="CV976" s="335">
        <f t="shared" si="273"/>
        <v>2122.5182863113901</v>
      </c>
      <c r="CW976" s="230">
        <f t="shared" si="280"/>
        <v>1</v>
      </c>
      <c r="CX976" s="336"/>
      <c r="CY976" s="230" t="s">
        <v>6351</v>
      </c>
    </row>
    <row r="977" spans="1:103" ht="11.25" customHeight="1" x14ac:dyDescent="0.2">
      <c r="A977" s="72">
        <v>975</v>
      </c>
      <c r="B977" s="224">
        <v>1395</v>
      </c>
      <c r="C977" s="46" t="s">
        <v>7159</v>
      </c>
      <c r="D977" s="46"/>
      <c r="E977" s="114"/>
      <c r="F977" s="114" t="s">
        <v>4301</v>
      </c>
      <c r="G977" s="225">
        <v>110805</v>
      </c>
      <c r="H977" s="47" t="s">
        <v>4302</v>
      </c>
      <c r="I977" s="47" t="s">
        <v>4302</v>
      </c>
      <c r="J977" s="47" t="s">
        <v>4303</v>
      </c>
      <c r="K977" s="47" t="s">
        <v>426</v>
      </c>
      <c r="L977" s="47"/>
      <c r="M977" s="47"/>
      <c r="N977" s="47"/>
      <c r="O977" s="47"/>
      <c r="P977" s="53" t="s">
        <v>6183</v>
      </c>
      <c r="Q977" s="53" t="s">
        <v>6176</v>
      </c>
      <c r="R977" s="53" t="s">
        <v>6185</v>
      </c>
      <c r="S977" s="53" t="s">
        <v>6176</v>
      </c>
      <c r="T977" s="48">
        <v>90.12</v>
      </c>
      <c r="U977" s="98">
        <v>11096.316023080337</v>
      </c>
      <c r="V977" s="98">
        <v>8378.8282290279622</v>
      </c>
      <c r="W977" s="98">
        <v>4365.1583224016604</v>
      </c>
      <c r="X977" s="98">
        <v>11096.316023080337</v>
      </c>
      <c r="Y977" s="233">
        <v>6.79</v>
      </c>
      <c r="Z977" s="48">
        <v>-0.42</v>
      </c>
      <c r="AA977" s="48">
        <v>-0.32</v>
      </c>
      <c r="AB977" s="48">
        <v>-0.24</v>
      </c>
      <c r="AC977" s="48">
        <v>0.87719999999999998</v>
      </c>
      <c r="AD977" s="48">
        <v>-0.25</v>
      </c>
      <c r="AE977" s="48">
        <v>-0.27</v>
      </c>
      <c r="AF977" s="48">
        <f t="shared" si="279"/>
        <v>-0.32</v>
      </c>
      <c r="AG977" s="49">
        <v>0.05</v>
      </c>
      <c r="AH977" s="98">
        <v>5.5600000000000002E-8</v>
      </c>
      <c r="AI977" s="98">
        <v>4.7E-7</v>
      </c>
      <c r="AJ977" s="483">
        <f t="shared" si="276"/>
        <v>-5.6434915347305941</v>
      </c>
      <c r="AK977" s="483">
        <f>LOG10(AI977*1000/(0.08206*298.15))</f>
        <v>-4.7164684683769345</v>
      </c>
      <c r="AL977" s="483">
        <f t="shared" si="275"/>
        <v>-4.7164684683769345</v>
      </c>
      <c r="AM977" s="483">
        <v>-5.0000600000000004</v>
      </c>
      <c r="AN977" s="226">
        <v>-4.5199999999999996</v>
      </c>
      <c r="AO977" s="484">
        <v>14.44</v>
      </c>
      <c r="AP977" s="484"/>
      <c r="AQ977" s="48" t="s">
        <v>6311</v>
      </c>
      <c r="AR977" s="48" t="s">
        <v>6311</v>
      </c>
      <c r="AS977" s="227"/>
      <c r="AT977" s="50" t="s">
        <v>266</v>
      </c>
      <c r="AU977" s="48">
        <v>6</v>
      </c>
      <c r="AV977" s="48">
        <v>120</v>
      </c>
      <c r="AW977" s="48">
        <v>114</v>
      </c>
      <c r="AX977" s="48">
        <v>28</v>
      </c>
      <c r="AY977" s="48" t="s">
        <v>8728</v>
      </c>
      <c r="AZ977" s="48" t="s">
        <v>1563</v>
      </c>
      <c r="BA977" s="48">
        <v>32</v>
      </c>
      <c r="BB977" s="47" t="s">
        <v>2485</v>
      </c>
      <c r="BC977" s="47" t="s">
        <v>8726</v>
      </c>
      <c r="BD977" s="47" t="s">
        <v>8374</v>
      </c>
      <c r="BE977" s="48" t="s">
        <v>2449</v>
      </c>
      <c r="BF977" s="48" t="s">
        <v>272</v>
      </c>
      <c r="BG977" s="48" t="s">
        <v>272</v>
      </c>
      <c r="BH977" s="48" t="s">
        <v>2486</v>
      </c>
      <c r="BI977" s="98">
        <v>6.3999999999999997E-6</v>
      </c>
      <c r="BJ977" s="98">
        <v>6.4000000000000001E-2</v>
      </c>
      <c r="BK977" s="48"/>
      <c r="BL977" s="98">
        <f t="shared" si="274"/>
        <v>122.46218388440451</v>
      </c>
      <c r="BM977" s="47" t="s">
        <v>2487</v>
      </c>
      <c r="BN977" s="48"/>
      <c r="BO977" s="48"/>
      <c r="BP977" s="48"/>
      <c r="BQ977" s="48"/>
      <c r="BR977" s="47" t="s">
        <v>2496</v>
      </c>
      <c r="BS977" s="48"/>
      <c r="BT977" s="48"/>
      <c r="BU977" s="228"/>
      <c r="BV977" s="48"/>
      <c r="BW977" s="48"/>
      <c r="BX977" s="48"/>
      <c r="BY977" s="48"/>
      <c r="BZ977" s="48"/>
      <c r="CA977" s="48"/>
      <c r="CB977" s="48"/>
      <c r="CC977" s="48"/>
      <c r="CD977" s="48"/>
      <c r="CE977" s="48"/>
      <c r="CF977" s="48"/>
      <c r="CG977" s="48"/>
      <c r="CH977" s="48"/>
      <c r="CI977" s="98"/>
      <c r="CJ977" s="98"/>
      <c r="CK977" s="49">
        <f t="shared" si="281"/>
        <v>1913.4716231938205</v>
      </c>
      <c r="CL977" s="229"/>
      <c r="CM977" s="229"/>
      <c r="CN977" s="229"/>
      <c r="CO977" s="47" t="s">
        <v>2488</v>
      </c>
      <c r="CP977" s="47" t="s">
        <v>2489</v>
      </c>
      <c r="CQ977" s="224" t="s">
        <v>272</v>
      </c>
      <c r="CR977" s="224"/>
      <c r="CS977" s="230" t="s">
        <v>539</v>
      </c>
      <c r="CT977" s="230"/>
      <c r="CU977" s="230"/>
      <c r="CV977" s="335">
        <f t="shared" ref="CV977:CV1040" si="284">X977/BJ977</f>
        <v>173379.93786063025</v>
      </c>
      <c r="CW977" s="230">
        <f t="shared" si="280"/>
        <v>1</v>
      </c>
      <c r="CX977" s="336"/>
      <c r="CY977" s="230" t="s">
        <v>6351</v>
      </c>
    </row>
    <row r="978" spans="1:103" ht="11.25" customHeight="1" x14ac:dyDescent="0.2">
      <c r="A978" s="72">
        <v>976</v>
      </c>
      <c r="B978" s="224">
        <v>1822</v>
      </c>
      <c r="C978" s="46" t="s">
        <v>7160</v>
      </c>
      <c r="D978" s="46"/>
      <c r="E978" s="114"/>
      <c r="F978" s="114" t="s">
        <v>5228</v>
      </c>
      <c r="G978" s="225">
        <v>110850</v>
      </c>
      <c r="H978" s="47" t="s">
        <v>5229</v>
      </c>
      <c r="I978" s="47" t="s">
        <v>5229</v>
      </c>
      <c r="J978" s="47" t="s">
        <v>5230</v>
      </c>
      <c r="K978" s="47" t="s">
        <v>300</v>
      </c>
      <c r="L978" s="47"/>
      <c r="M978" s="47" t="s">
        <v>5231</v>
      </c>
      <c r="N978" s="47"/>
      <c r="O978" s="47"/>
      <c r="P978" s="53"/>
      <c r="Q978" s="53"/>
      <c r="R978" s="53"/>
      <c r="S978" s="53"/>
      <c r="T978" s="48">
        <v>86.14</v>
      </c>
      <c r="U978" s="98">
        <v>11609.008590666357</v>
      </c>
      <c r="V978" s="98">
        <v>11609.008590666357</v>
      </c>
      <c r="W978" s="98">
        <v>11481.536214968834</v>
      </c>
      <c r="X978" s="98">
        <v>11609.008590666357</v>
      </c>
      <c r="Y978" s="233">
        <v>12.31</v>
      </c>
      <c r="Z978" s="48">
        <v>-0.8</v>
      </c>
      <c r="AA978" s="48">
        <v>-1.5</v>
      </c>
      <c r="AB978" s="48">
        <v>-0.85</v>
      </c>
      <c r="AC978" s="48">
        <v>0.84970000000000001</v>
      </c>
      <c r="AD978" s="48">
        <v>-0.93</v>
      </c>
      <c r="AE978" s="48">
        <v>-1.17</v>
      </c>
      <c r="AF978" s="48">
        <f t="shared" si="279"/>
        <v>-1.5</v>
      </c>
      <c r="AG978" s="49">
        <v>-0.5</v>
      </c>
      <c r="AH978" s="98">
        <v>2.1999999999999998E-9</v>
      </c>
      <c r="AI978" s="98"/>
      <c r="AJ978" s="483">
        <f t="shared" si="276"/>
        <v>-7.0461436454904458</v>
      </c>
      <c r="AK978" s="483"/>
      <c r="AL978" s="483">
        <f t="shared" si="275"/>
        <v>-7.0461436454904458</v>
      </c>
      <c r="AM978" s="483">
        <v>-6.9946000000000002</v>
      </c>
      <c r="AN978" s="226">
        <v>-6.24</v>
      </c>
      <c r="AO978" s="484"/>
      <c r="AP978" s="484">
        <v>9.5500000000000007</v>
      </c>
      <c r="AQ978" s="226" t="s">
        <v>6311</v>
      </c>
      <c r="AR978" s="226" t="s">
        <v>6311</v>
      </c>
      <c r="AS978" s="224"/>
      <c r="AT978" s="50" t="s">
        <v>266</v>
      </c>
      <c r="AU978" s="48">
        <v>6</v>
      </c>
      <c r="AV978" s="48">
        <v>120</v>
      </c>
      <c r="AW978" s="48">
        <v>114</v>
      </c>
      <c r="AX978" s="48">
        <v>28</v>
      </c>
      <c r="AY978" s="48" t="s">
        <v>8728</v>
      </c>
      <c r="AZ978" s="48" t="s">
        <v>1563</v>
      </c>
      <c r="BA978" s="48">
        <v>32</v>
      </c>
      <c r="BB978" s="47" t="s">
        <v>2485</v>
      </c>
      <c r="BC978" s="47" t="s">
        <v>8726</v>
      </c>
      <c r="BD978" s="47" t="s">
        <v>8374</v>
      </c>
      <c r="BE978" s="48" t="s">
        <v>2449</v>
      </c>
      <c r="BF978" s="48" t="s">
        <v>272</v>
      </c>
      <c r="BG978" s="48" t="s">
        <v>272</v>
      </c>
      <c r="BH978" s="48" t="s">
        <v>2486</v>
      </c>
      <c r="BI978" s="98">
        <v>6.3999999999999997E-6</v>
      </c>
      <c r="BJ978" s="98">
        <v>6.4000000000000001E-2</v>
      </c>
      <c r="BK978" s="48"/>
      <c r="BL978" s="98">
        <f t="shared" ref="BL978:BL1041" si="285">10^((-0.8981*Z978)+1.7108)</f>
        <v>268.70763094306744</v>
      </c>
      <c r="BM978" s="47" t="s">
        <v>2487</v>
      </c>
      <c r="BN978" s="48"/>
      <c r="BO978" s="48"/>
      <c r="BP978" s="48"/>
      <c r="BQ978" s="48"/>
      <c r="BR978" s="47" t="s">
        <v>2496</v>
      </c>
      <c r="BS978" s="48"/>
      <c r="BT978" s="48"/>
      <c r="BU978" s="228"/>
      <c r="BV978" s="48"/>
      <c r="BW978" s="48"/>
      <c r="BX978" s="48"/>
      <c r="BY978" s="48"/>
      <c r="BZ978" s="48"/>
      <c r="CA978" s="48"/>
      <c r="CB978" s="48"/>
      <c r="CC978" s="48"/>
      <c r="CD978" s="48"/>
      <c r="CE978" s="48"/>
      <c r="CF978" s="48"/>
      <c r="CG978" s="48"/>
      <c r="CH978" s="48"/>
      <c r="CI978" s="98"/>
      <c r="CJ978" s="98"/>
      <c r="CK978" s="49">
        <f t="shared" si="281"/>
        <v>4198.5567334854286</v>
      </c>
      <c r="CL978" s="229"/>
      <c r="CM978" s="229"/>
      <c r="CN978" s="229"/>
      <c r="CO978" s="47" t="s">
        <v>2488</v>
      </c>
      <c r="CP978" s="47" t="s">
        <v>2489</v>
      </c>
      <c r="CQ978" s="224" t="s">
        <v>272</v>
      </c>
      <c r="CR978" s="224"/>
      <c r="CS978" s="230" t="s">
        <v>539</v>
      </c>
      <c r="CT978" s="230"/>
      <c r="CU978" s="230"/>
      <c r="CV978" s="335">
        <f t="shared" si="284"/>
        <v>181390.75922916183</v>
      </c>
      <c r="CW978" s="230">
        <f t="shared" si="280"/>
        <v>1</v>
      </c>
      <c r="CX978" s="336"/>
      <c r="CY978" s="230" t="s">
        <v>6351</v>
      </c>
    </row>
    <row r="979" spans="1:103" ht="11.25" customHeight="1" x14ac:dyDescent="0.2">
      <c r="A979" s="72">
        <v>977</v>
      </c>
      <c r="B979" s="224">
        <v>1737</v>
      </c>
      <c r="C979" s="46" t="s">
        <v>7161</v>
      </c>
      <c r="D979" s="46"/>
      <c r="E979" s="114"/>
      <c r="F979" s="114" t="s">
        <v>5020</v>
      </c>
      <c r="G979" s="225">
        <v>111115</v>
      </c>
      <c r="H979" s="47" t="s">
        <v>5021</v>
      </c>
      <c r="I979" s="47" t="s">
        <v>5021</v>
      </c>
      <c r="J979" s="47" t="s">
        <v>5022</v>
      </c>
      <c r="K979" s="47" t="s">
        <v>357</v>
      </c>
      <c r="L979" s="47"/>
      <c r="M979" s="47"/>
      <c r="N979" s="47"/>
      <c r="O979" s="47"/>
      <c r="P979" s="53"/>
      <c r="Q979" s="53"/>
      <c r="R979" s="53"/>
      <c r="S979" s="53"/>
      <c r="T979" s="48">
        <v>158.24</v>
      </c>
      <c r="U979" s="98">
        <v>0.40697674418604651</v>
      </c>
      <c r="V979" s="98">
        <v>0.64395854398382202</v>
      </c>
      <c r="W979" s="98">
        <v>5.1286138399136467</v>
      </c>
      <c r="X979" s="98">
        <v>0.40697674418604651</v>
      </c>
      <c r="Y979" s="233">
        <v>7</v>
      </c>
      <c r="Z979" s="48">
        <v>3.32</v>
      </c>
      <c r="AA979" s="48"/>
      <c r="AB979" s="48">
        <v>3.55</v>
      </c>
      <c r="AC979" s="48">
        <v>0.8982</v>
      </c>
      <c r="AD979" s="48">
        <v>3.51</v>
      </c>
      <c r="AE979" s="48">
        <v>3.37</v>
      </c>
      <c r="AF979" s="48">
        <f t="shared" si="279"/>
        <v>3.51</v>
      </c>
      <c r="AG979" s="49">
        <v>2.79</v>
      </c>
      <c r="AH979" s="98">
        <v>9.6000000000000002E-4</v>
      </c>
      <c r="AI979" s="98">
        <v>7.8299999999999995E-4</v>
      </c>
      <c r="AJ979" s="483">
        <f t="shared" si="276"/>
        <v>-1.4062950932730833</v>
      </c>
      <c r="AK979" s="483">
        <f>LOG10(AI979*1000/(0.08206*298.15))</f>
        <v>-1.4948045642547085</v>
      </c>
      <c r="AL979" s="483">
        <f t="shared" si="275"/>
        <v>-1.4948045642547085</v>
      </c>
      <c r="AM979" s="483">
        <v>-3.2822300000000002</v>
      </c>
      <c r="AN979" s="226">
        <v>-1.66</v>
      </c>
      <c r="AO979" s="484"/>
      <c r="AP979" s="484"/>
      <c r="AQ979" s="226" t="s">
        <v>6311</v>
      </c>
      <c r="AR979" s="226" t="s">
        <v>6312</v>
      </c>
      <c r="AS979" s="224"/>
      <c r="AT979" s="50" t="s">
        <v>266</v>
      </c>
      <c r="AU979" s="48">
        <v>6</v>
      </c>
      <c r="AV979" s="48">
        <v>120</v>
      </c>
      <c r="AW979" s="48">
        <v>114</v>
      </c>
      <c r="AX979" s="48">
        <v>28</v>
      </c>
      <c r="AY979" s="48" t="s">
        <v>8728</v>
      </c>
      <c r="AZ979" s="48" t="s">
        <v>1563</v>
      </c>
      <c r="BA979" s="48">
        <v>32</v>
      </c>
      <c r="BB979" s="47" t="s">
        <v>2485</v>
      </c>
      <c r="BC979" s="47" t="s">
        <v>8726</v>
      </c>
      <c r="BD979" s="47" t="s">
        <v>8374</v>
      </c>
      <c r="BE979" s="48" t="s">
        <v>2449</v>
      </c>
      <c r="BF979" s="48" t="s">
        <v>272</v>
      </c>
      <c r="BG979" s="48" t="s">
        <v>272</v>
      </c>
      <c r="BH979" s="48" t="s">
        <v>2486</v>
      </c>
      <c r="BI979" s="98">
        <v>6.3999999999999997E-6</v>
      </c>
      <c r="BJ979" s="98">
        <v>6.4000000000000001E-2</v>
      </c>
      <c r="BK979" s="48"/>
      <c r="BL979" s="98">
        <f t="shared" si="285"/>
        <v>5.3592991556072507E-2</v>
      </c>
      <c r="BM979" s="47" t="s">
        <v>2487</v>
      </c>
      <c r="BN979" s="48"/>
      <c r="BO979" s="48"/>
      <c r="BP979" s="48"/>
      <c r="BQ979" s="48"/>
      <c r="BR979" s="47" t="s">
        <v>2496</v>
      </c>
      <c r="BS979" s="48"/>
      <c r="BT979" s="48"/>
      <c r="BU979" s="228"/>
      <c r="BV979" s="48"/>
      <c r="BW979" s="48"/>
      <c r="BX979" s="48"/>
      <c r="BY979" s="48"/>
      <c r="BZ979" s="48"/>
      <c r="CA979" s="48"/>
      <c r="CB979" s="48"/>
      <c r="CC979" s="48"/>
      <c r="CD979" s="48"/>
      <c r="CE979" s="48"/>
      <c r="CF979" s="48"/>
      <c r="CG979" s="48"/>
      <c r="CH979" s="48"/>
      <c r="CI979" s="98"/>
      <c r="CJ979" s="98"/>
      <c r="CK979" s="49">
        <f t="shared" si="281"/>
        <v>0.83739049306363289</v>
      </c>
      <c r="CL979" s="229"/>
      <c r="CM979" s="229"/>
      <c r="CN979" s="229"/>
      <c r="CO979" s="47" t="s">
        <v>2488</v>
      </c>
      <c r="CP979" s="47" t="s">
        <v>2489</v>
      </c>
      <c r="CQ979" s="224" t="s">
        <v>272</v>
      </c>
      <c r="CR979" s="224"/>
      <c r="CS979" s="230" t="s">
        <v>539</v>
      </c>
      <c r="CT979" s="230"/>
      <c r="CU979" s="230"/>
      <c r="CV979" s="335">
        <f t="shared" si="284"/>
        <v>6.3590116279069768</v>
      </c>
      <c r="CW979" s="230">
        <f t="shared" si="280"/>
        <v>1</v>
      </c>
      <c r="CX979" s="336"/>
      <c r="CY979" s="230" t="s">
        <v>6351</v>
      </c>
    </row>
    <row r="980" spans="1:103" ht="11.25" customHeight="1" x14ac:dyDescent="0.2">
      <c r="A980" s="72">
        <v>978</v>
      </c>
      <c r="B980" s="224">
        <v>1689</v>
      </c>
      <c r="C980" s="46" t="s">
        <v>7162</v>
      </c>
      <c r="D980" s="46"/>
      <c r="E980" s="114"/>
      <c r="F980" s="114" t="s">
        <v>4927</v>
      </c>
      <c r="G980" s="225">
        <v>111148</v>
      </c>
      <c r="H980" s="47" t="s">
        <v>4928</v>
      </c>
      <c r="I980" s="47" t="s">
        <v>4928</v>
      </c>
      <c r="J980" s="47" t="s">
        <v>4929</v>
      </c>
      <c r="K980" s="47" t="s">
        <v>426</v>
      </c>
      <c r="L980" s="47"/>
      <c r="M980" s="47"/>
      <c r="N980" s="47"/>
      <c r="O980" s="47"/>
      <c r="P980" s="53"/>
      <c r="Q980" s="53"/>
      <c r="R980" s="53"/>
      <c r="S980" s="53"/>
      <c r="T980" s="48">
        <v>130.18</v>
      </c>
      <c r="U980" s="98">
        <v>21.662313719465356</v>
      </c>
      <c r="V980" s="98">
        <v>15.017667844522967</v>
      </c>
      <c r="W980" s="98">
        <v>31.622776601683785</v>
      </c>
      <c r="X980" s="98">
        <v>21.662313719465356</v>
      </c>
      <c r="Y980" s="233">
        <v>3.15</v>
      </c>
      <c r="Z980" s="48">
        <v>2.54</v>
      </c>
      <c r="AA980" s="48">
        <v>2.42</v>
      </c>
      <c r="AB980" s="48">
        <v>2.41</v>
      </c>
      <c r="AC980" s="48">
        <v>0.83589999999999998</v>
      </c>
      <c r="AD980" s="48">
        <v>2.4</v>
      </c>
      <c r="AE980" s="48">
        <v>2.37</v>
      </c>
      <c r="AF980" s="48">
        <f t="shared" si="279"/>
        <v>2.42</v>
      </c>
      <c r="AG980" s="49">
        <v>2.0099999999999998</v>
      </c>
      <c r="AH980" s="98">
        <v>2.26E-6</v>
      </c>
      <c r="AI980" s="98">
        <v>6.5000000000000002E-7</v>
      </c>
      <c r="AJ980" s="483">
        <f t="shared" si="276"/>
        <v>-4.0344578871652512</v>
      </c>
      <c r="AK980" s="483">
        <f>LOG10(AI980*1000/(0.08206*298.15))</f>
        <v>-4.5756529696697958</v>
      </c>
      <c r="AL980" s="483">
        <f t="shared" si="275"/>
        <v>-4.5756529696697958</v>
      </c>
      <c r="AM980" s="483">
        <v>-5.5530100000000004</v>
      </c>
      <c r="AN980" s="226">
        <v>-4.3600000000000003</v>
      </c>
      <c r="AO980" s="484">
        <v>4.78</v>
      </c>
      <c r="AP980" s="484"/>
      <c r="AQ980" s="226" t="s">
        <v>6311</v>
      </c>
      <c r="AR980" s="226" t="s">
        <v>6311</v>
      </c>
      <c r="AS980" s="224"/>
      <c r="AT980" s="50" t="s">
        <v>266</v>
      </c>
      <c r="AU980" s="48">
        <v>6</v>
      </c>
      <c r="AV980" s="48">
        <v>120</v>
      </c>
      <c r="AW980" s="48">
        <v>114</v>
      </c>
      <c r="AX980" s="48">
        <v>28</v>
      </c>
      <c r="AY980" s="48" t="s">
        <v>8728</v>
      </c>
      <c r="AZ980" s="48" t="s">
        <v>1563</v>
      </c>
      <c r="BA980" s="48">
        <v>32</v>
      </c>
      <c r="BB980" s="47" t="s">
        <v>2485</v>
      </c>
      <c r="BC980" s="47" t="s">
        <v>8726</v>
      </c>
      <c r="BD980" s="47" t="s">
        <v>8374</v>
      </c>
      <c r="BE980" s="48" t="s">
        <v>2449</v>
      </c>
      <c r="BF980" s="48" t="s">
        <v>272</v>
      </c>
      <c r="BG980" s="48" t="s">
        <v>272</v>
      </c>
      <c r="BH980" s="48" t="s">
        <v>2486</v>
      </c>
      <c r="BI980" s="98">
        <v>6.3999999999999997E-6</v>
      </c>
      <c r="BJ980" s="98">
        <v>6.4000000000000001E-2</v>
      </c>
      <c r="BK980" s="48"/>
      <c r="BL980" s="98">
        <f t="shared" si="285"/>
        <v>0.26892179411918804</v>
      </c>
      <c r="BM980" s="47" t="s">
        <v>2487</v>
      </c>
      <c r="BN980" s="48"/>
      <c r="BO980" s="48"/>
      <c r="BP980" s="48"/>
      <c r="BQ980" s="48"/>
      <c r="BR980" s="47" t="s">
        <v>2496</v>
      </c>
      <c r="BS980" s="48"/>
      <c r="BT980" s="48"/>
      <c r="BU980" s="228"/>
      <c r="BV980" s="48"/>
      <c r="BW980" s="48"/>
      <c r="BX980" s="48"/>
      <c r="BY980" s="48"/>
      <c r="BZ980" s="48"/>
      <c r="CA980" s="48"/>
      <c r="CB980" s="48"/>
      <c r="CC980" s="48"/>
      <c r="CD980" s="48"/>
      <c r="CE980" s="48"/>
      <c r="CF980" s="48"/>
      <c r="CG980" s="48"/>
      <c r="CH980" s="48"/>
      <c r="CI980" s="98"/>
      <c r="CJ980" s="98"/>
      <c r="CK980" s="49">
        <f t="shared" si="281"/>
        <v>4.2019030331123126</v>
      </c>
      <c r="CL980" s="229"/>
      <c r="CM980" s="229"/>
      <c r="CN980" s="229"/>
      <c r="CO980" s="47" t="s">
        <v>2488</v>
      </c>
      <c r="CP980" s="47" t="s">
        <v>2489</v>
      </c>
      <c r="CQ980" s="224" t="s">
        <v>272</v>
      </c>
      <c r="CR980" s="224"/>
      <c r="CS980" s="230" t="s">
        <v>539</v>
      </c>
      <c r="CT980" s="230"/>
      <c r="CU980" s="230"/>
      <c r="CV980" s="335">
        <f t="shared" si="284"/>
        <v>338.47365186664615</v>
      </c>
      <c r="CW980" s="230">
        <f t="shared" si="280"/>
        <v>1</v>
      </c>
      <c r="CX980" s="336"/>
      <c r="CY980" s="230" t="s">
        <v>6351</v>
      </c>
    </row>
    <row r="981" spans="1:103" ht="11.25" customHeight="1" x14ac:dyDescent="0.2">
      <c r="A981" s="72">
        <v>979</v>
      </c>
      <c r="B981" s="224">
        <v>1396</v>
      </c>
      <c r="C981" s="46" t="s">
        <v>7163</v>
      </c>
      <c r="D981" s="46"/>
      <c r="E981" s="114"/>
      <c r="F981" s="114" t="s">
        <v>4304</v>
      </c>
      <c r="G981" s="225">
        <v>111159</v>
      </c>
      <c r="H981" s="47" t="s">
        <v>4305</v>
      </c>
      <c r="I981" s="47" t="s">
        <v>4305</v>
      </c>
      <c r="J981" s="47" t="s">
        <v>4306</v>
      </c>
      <c r="K981" s="47" t="s">
        <v>357</v>
      </c>
      <c r="L981" s="47"/>
      <c r="M981" s="47"/>
      <c r="N981" s="47"/>
      <c r="O981" s="47"/>
      <c r="P981" s="53"/>
      <c r="Q981" s="53" t="s">
        <v>6173</v>
      </c>
      <c r="R981" s="53" t="s">
        <v>6174</v>
      </c>
      <c r="S981" s="53" t="s">
        <v>6176</v>
      </c>
      <c r="T981" s="48">
        <v>132.16</v>
      </c>
      <c r="U981" s="98">
        <v>1868.9467312348668</v>
      </c>
      <c r="V981" s="98">
        <v>213.90738498789347</v>
      </c>
      <c r="W981" s="98">
        <v>457.08818961487503</v>
      </c>
      <c r="X981" s="98">
        <v>1868.9467312348668</v>
      </c>
      <c r="Y981" s="233">
        <v>7</v>
      </c>
      <c r="Z981" s="48">
        <v>0.59</v>
      </c>
      <c r="AA981" s="48"/>
      <c r="AB981" s="48">
        <v>1.04</v>
      </c>
      <c r="AC981" s="48">
        <v>0.83979999999999999</v>
      </c>
      <c r="AD981" s="48">
        <v>0.89</v>
      </c>
      <c r="AE981" s="48">
        <v>0.45</v>
      </c>
      <c r="AF981" s="48">
        <f t="shared" si="279"/>
        <v>0.89</v>
      </c>
      <c r="AG981" s="49">
        <v>0.63</v>
      </c>
      <c r="AH981" s="98">
        <v>3.6200000000000001E-6</v>
      </c>
      <c r="AI981" s="98">
        <v>3.1999999999999999E-6</v>
      </c>
      <c r="AJ981" s="483">
        <f t="shared" si="276"/>
        <v>-3.8298577557794862</v>
      </c>
      <c r="AK981" s="483">
        <f>LOG10(AI981*1000/(0.08206*298.15))</f>
        <v>-3.8834163479927457</v>
      </c>
      <c r="AL981" s="483">
        <f t="shared" si="275"/>
        <v>-3.8834163479927457</v>
      </c>
      <c r="AM981" s="483">
        <v>-4.4255000000000004</v>
      </c>
      <c r="AN981" s="226">
        <v>-3.86</v>
      </c>
      <c r="AO981" s="484"/>
      <c r="AP981" s="484"/>
      <c r="AQ981" s="48" t="s">
        <v>6311</v>
      </c>
      <c r="AR981" s="48" t="s">
        <v>6312</v>
      </c>
      <c r="AS981" s="227"/>
      <c r="AT981" s="50" t="s">
        <v>266</v>
      </c>
      <c r="AU981" s="48">
        <v>6</v>
      </c>
      <c r="AV981" s="48">
        <v>120</v>
      </c>
      <c r="AW981" s="48">
        <v>114</v>
      </c>
      <c r="AX981" s="48">
        <v>28</v>
      </c>
      <c r="AY981" s="48" t="s">
        <v>8728</v>
      </c>
      <c r="AZ981" s="48" t="s">
        <v>1563</v>
      </c>
      <c r="BA981" s="48">
        <v>32</v>
      </c>
      <c r="BB981" s="47" t="s">
        <v>2485</v>
      </c>
      <c r="BC981" s="47" t="s">
        <v>8726</v>
      </c>
      <c r="BD981" s="47" t="s">
        <v>8374</v>
      </c>
      <c r="BE981" s="48" t="s">
        <v>2449</v>
      </c>
      <c r="BF981" s="48" t="s">
        <v>272</v>
      </c>
      <c r="BG981" s="48" t="s">
        <v>272</v>
      </c>
      <c r="BH981" s="48" t="s">
        <v>2486</v>
      </c>
      <c r="BI981" s="98">
        <v>6.3999999999999997E-6</v>
      </c>
      <c r="BJ981" s="98">
        <v>6.4000000000000001E-2</v>
      </c>
      <c r="BK981" s="48"/>
      <c r="BL981" s="98">
        <f t="shared" si="285"/>
        <v>15.167744346894127</v>
      </c>
      <c r="BM981" s="47" t="s">
        <v>2487</v>
      </c>
      <c r="BN981" s="48"/>
      <c r="BO981" s="48"/>
      <c r="BP981" s="48"/>
      <c r="BQ981" s="48"/>
      <c r="BR981" s="47" t="s">
        <v>2496</v>
      </c>
      <c r="BS981" s="48"/>
      <c r="BT981" s="48"/>
      <c r="BU981" s="228"/>
      <c r="BV981" s="48"/>
      <c r="BW981" s="48"/>
      <c r="BX981" s="48"/>
      <c r="BY981" s="48"/>
      <c r="BZ981" s="48"/>
      <c r="CA981" s="48"/>
      <c r="CB981" s="48"/>
      <c r="CC981" s="48"/>
      <c r="CD981" s="48"/>
      <c r="CE981" s="48"/>
      <c r="CF981" s="48"/>
      <c r="CG981" s="48"/>
      <c r="CH981" s="48"/>
      <c r="CI981" s="98"/>
      <c r="CJ981" s="98"/>
      <c r="CK981" s="49">
        <f t="shared" si="281"/>
        <v>236.99600542022071</v>
      </c>
      <c r="CL981" s="229"/>
      <c r="CM981" s="229"/>
      <c r="CN981" s="229"/>
      <c r="CO981" s="47" t="s">
        <v>2488</v>
      </c>
      <c r="CP981" s="47" t="s">
        <v>2489</v>
      </c>
      <c r="CQ981" s="224">
        <v>-0.4839056322011176</v>
      </c>
      <c r="CR981" s="224">
        <f>10^(CJ981-CQ981)</f>
        <v>3.0472327848180147</v>
      </c>
      <c r="CS981" s="230" t="s">
        <v>539</v>
      </c>
      <c r="CT981" s="230"/>
      <c r="CU981" s="230"/>
      <c r="CV981" s="335">
        <f t="shared" si="284"/>
        <v>29202.292675544792</v>
      </c>
      <c r="CW981" s="230">
        <f t="shared" si="280"/>
        <v>1</v>
      </c>
      <c r="CX981" s="336"/>
      <c r="CY981" s="230" t="s">
        <v>5921</v>
      </c>
    </row>
    <row r="982" spans="1:103" ht="11.25" customHeight="1" x14ac:dyDescent="0.2">
      <c r="A982" s="72">
        <v>980</v>
      </c>
      <c r="B982" s="224">
        <v>1918</v>
      </c>
      <c r="C982" s="46" t="s">
        <v>7164</v>
      </c>
      <c r="D982" s="46"/>
      <c r="E982" s="114"/>
      <c r="F982" s="114" t="s">
        <v>5392</v>
      </c>
      <c r="G982" s="225">
        <v>111217</v>
      </c>
      <c r="H982" s="47" t="s">
        <v>5393</v>
      </c>
      <c r="I982" s="47" t="s">
        <v>5393</v>
      </c>
      <c r="J982" s="47" t="s">
        <v>5394</v>
      </c>
      <c r="K982" s="47" t="s">
        <v>357</v>
      </c>
      <c r="L982" s="47"/>
      <c r="M982" s="47"/>
      <c r="N982" s="47"/>
      <c r="O982" s="47"/>
      <c r="P982" s="53"/>
      <c r="Q982" s="53"/>
      <c r="R982" s="53"/>
      <c r="S982" s="53"/>
      <c r="T982" s="48">
        <v>234.25</v>
      </c>
      <c r="U982" s="98"/>
      <c r="V982" s="98">
        <v>163.54322305229456</v>
      </c>
      <c r="W982" s="98">
        <v>501.18723362727224</v>
      </c>
      <c r="X982" s="98">
        <f>IF(W982=0,V982,W982)</f>
        <v>501.18723362727224</v>
      </c>
      <c r="Y982" s="233">
        <v>7</v>
      </c>
      <c r="Z982" s="48">
        <v>-0.14000000000000001</v>
      </c>
      <c r="AA982" s="48"/>
      <c r="AB982" s="48">
        <v>0.88</v>
      </c>
      <c r="AC982" s="48">
        <v>0.77880000000000005</v>
      </c>
      <c r="AD982" s="48">
        <v>0.51</v>
      </c>
      <c r="AE982" s="48">
        <v>-0.44</v>
      </c>
      <c r="AF982" s="48">
        <f t="shared" si="279"/>
        <v>0.51</v>
      </c>
      <c r="AG982" s="49">
        <v>3.94</v>
      </c>
      <c r="AH982" s="98">
        <v>1.34E-10</v>
      </c>
      <c r="AI982" s="98"/>
      <c r="AJ982" s="483">
        <f t="shared" si="276"/>
        <v>-8.2614615279478443</v>
      </c>
      <c r="AK982" s="483"/>
      <c r="AL982" s="483">
        <f t="shared" si="275"/>
        <v>-8.2614615279478443</v>
      </c>
      <c r="AM982" s="483">
        <v>-9.3493899999999996</v>
      </c>
      <c r="AN982" s="226">
        <v>-3.64</v>
      </c>
      <c r="AO982" s="484"/>
      <c r="AP982" s="484"/>
      <c r="AQ982" s="226" t="s">
        <v>6311</v>
      </c>
      <c r="AR982" s="226" t="s">
        <v>6312</v>
      </c>
      <c r="AS982" s="224"/>
      <c r="AT982" s="50" t="s">
        <v>266</v>
      </c>
      <c r="AU982" s="48">
        <v>6</v>
      </c>
      <c r="AV982" s="48">
        <v>120</v>
      </c>
      <c r="AW982" s="48">
        <v>114</v>
      </c>
      <c r="AX982" s="48">
        <v>28</v>
      </c>
      <c r="AY982" s="48" t="s">
        <v>8728</v>
      </c>
      <c r="AZ982" s="48" t="s">
        <v>1563</v>
      </c>
      <c r="BA982" s="48">
        <v>32</v>
      </c>
      <c r="BB982" s="47" t="s">
        <v>2485</v>
      </c>
      <c r="BC982" s="47" t="s">
        <v>8726</v>
      </c>
      <c r="BD982" s="47" t="s">
        <v>8374</v>
      </c>
      <c r="BE982" s="48" t="s">
        <v>2449</v>
      </c>
      <c r="BF982" s="48" t="s">
        <v>272</v>
      </c>
      <c r="BG982" s="48" t="s">
        <v>272</v>
      </c>
      <c r="BH982" s="48" t="s">
        <v>2486</v>
      </c>
      <c r="BI982" s="98">
        <v>6.3999999999999997E-6</v>
      </c>
      <c r="BJ982" s="98">
        <v>6.4000000000000001E-2</v>
      </c>
      <c r="BK982" s="48"/>
      <c r="BL982" s="98">
        <f t="shared" si="285"/>
        <v>68.633160776384955</v>
      </c>
      <c r="BM982" s="47" t="s">
        <v>2487</v>
      </c>
      <c r="BN982" s="48"/>
      <c r="BO982" s="48"/>
      <c r="BP982" s="48"/>
      <c r="BQ982" s="48"/>
      <c r="BR982" s="47" t="s">
        <v>2496</v>
      </c>
      <c r="BS982" s="48"/>
      <c r="BT982" s="48"/>
      <c r="BU982" s="228"/>
      <c r="BV982" s="48"/>
      <c r="BW982" s="48"/>
      <c r="BX982" s="48"/>
      <c r="BY982" s="48"/>
      <c r="BZ982" s="48"/>
      <c r="CA982" s="48"/>
      <c r="CB982" s="48"/>
      <c r="CC982" s="48"/>
      <c r="CD982" s="48"/>
      <c r="CE982" s="48"/>
      <c r="CF982" s="48"/>
      <c r="CG982" s="48"/>
      <c r="CH982" s="48"/>
      <c r="CI982" s="98"/>
      <c r="CJ982" s="98"/>
      <c r="CK982" s="49">
        <f t="shared" si="281"/>
        <v>1072.3931371310148</v>
      </c>
      <c r="CL982" s="229"/>
      <c r="CM982" s="229"/>
      <c r="CN982" s="229"/>
      <c r="CO982" s="47" t="s">
        <v>2488</v>
      </c>
      <c r="CP982" s="47" t="s">
        <v>2489</v>
      </c>
      <c r="CQ982" s="224" t="s">
        <v>272</v>
      </c>
      <c r="CR982" s="224"/>
      <c r="CS982" s="230" t="s">
        <v>539</v>
      </c>
      <c r="CT982" s="230"/>
      <c r="CU982" s="230"/>
      <c r="CV982" s="335">
        <f t="shared" si="284"/>
        <v>7831.0505254261288</v>
      </c>
      <c r="CW982" s="230">
        <f t="shared" si="280"/>
        <v>1</v>
      </c>
      <c r="CX982" s="336"/>
      <c r="CY982" s="230" t="s">
        <v>6351</v>
      </c>
    </row>
    <row r="983" spans="1:103" ht="11.25" customHeight="1" x14ac:dyDescent="0.2">
      <c r="A983" s="72">
        <v>981</v>
      </c>
      <c r="B983" s="224">
        <v>1155</v>
      </c>
      <c r="C983" s="46" t="s">
        <v>7165</v>
      </c>
      <c r="D983" s="46"/>
      <c r="E983" s="114"/>
      <c r="F983" s="114" t="s">
        <v>3197</v>
      </c>
      <c r="G983" s="225">
        <v>111308</v>
      </c>
      <c r="H983" s="47" t="s">
        <v>3198</v>
      </c>
      <c r="I983" s="47" t="s">
        <v>3198</v>
      </c>
      <c r="J983" s="47" t="s">
        <v>3199</v>
      </c>
      <c r="K983" s="47" t="s">
        <v>2562</v>
      </c>
      <c r="L983" s="47" t="s">
        <v>6128</v>
      </c>
      <c r="M983" s="47"/>
      <c r="N983" s="47"/>
      <c r="O983" s="47"/>
      <c r="P983" s="53" t="s">
        <v>6172</v>
      </c>
      <c r="Q983" s="53" t="s">
        <v>6182</v>
      </c>
      <c r="R983" s="53" t="s">
        <v>6175</v>
      </c>
      <c r="S983" s="53" t="s">
        <v>6182</v>
      </c>
      <c r="T983" s="48">
        <v>100.12</v>
      </c>
      <c r="U983" s="98"/>
      <c r="V983" s="98">
        <v>1669.9960047942468</v>
      </c>
      <c r="W983" s="98">
        <v>354.81338923357544</v>
      </c>
      <c r="X983" s="98">
        <f>IF(W983=0,V983,W983)</f>
        <v>354.81338923357544</v>
      </c>
      <c r="Y983" s="233">
        <v>7</v>
      </c>
      <c r="Z983" s="48">
        <v>-0.18</v>
      </c>
      <c r="AA983" s="48"/>
      <c r="AB983" s="48">
        <v>0.39</v>
      </c>
      <c r="AC983" s="48">
        <v>0.82679999999999998</v>
      </c>
      <c r="AD983" s="48">
        <v>0.18</v>
      </c>
      <c r="AE983" s="48">
        <v>-0.33</v>
      </c>
      <c r="AF983" s="48">
        <f t="shared" si="279"/>
        <v>0.18</v>
      </c>
      <c r="AG983" s="49">
        <v>0.26</v>
      </c>
      <c r="AH983" s="98">
        <v>1.1000000000000001E-7</v>
      </c>
      <c r="AI983" s="98"/>
      <c r="AJ983" s="483">
        <f t="shared" si="276"/>
        <v>-5.3471736411544271</v>
      </c>
      <c r="AK983" s="483"/>
      <c r="AL983" s="483">
        <f t="shared" si="275"/>
        <v>-5.3471736411544271</v>
      </c>
      <c r="AM983" s="483">
        <v>-6.3978799999999998</v>
      </c>
      <c r="AN983" s="226">
        <v>-5.72</v>
      </c>
      <c r="AO983" s="484"/>
      <c r="AP983" s="484"/>
      <c r="AQ983" s="48" t="s">
        <v>6311</v>
      </c>
      <c r="AR983" s="48" t="s">
        <v>6311</v>
      </c>
      <c r="AS983" s="227"/>
      <c r="AT983" s="50" t="s">
        <v>266</v>
      </c>
      <c r="AU983" s="48">
        <v>6</v>
      </c>
      <c r="AV983" s="48">
        <v>120</v>
      </c>
      <c r="AW983" s="48">
        <v>114</v>
      </c>
      <c r="AX983" s="48">
        <v>28</v>
      </c>
      <c r="AY983" s="48" t="s">
        <v>8728</v>
      </c>
      <c r="AZ983" s="48" t="s">
        <v>1563</v>
      </c>
      <c r="BA983" s="48">
        <v>32</v>
      </c>
      <c r="BB983" s="47" t="s">
        <v>2485</v>
      </c>
      <c r="BC983" s="47" t="s">
        <v>8726</v>
      </c>
      <c r="BD983" s="47" t="s">
        <v>8374</v>
      </c>
      <c r="BE983" s="48" t="s">
        <v>2449</v>
      </c>
      <c r="BF983" s="48" t="s">
        <v>272</v>
      </c>
      <c r="BG983" s="48" t="s">
        <v>272</v>
      </c>
      <c r="BH983" s="48" t="s">
        <v>2486</v>
      </c>
      <c r="BI983" s="98">
        <v>6.3999999999999997E-6</v>
      </c>
      <c r="BJ983" s="98">
        <v>6.4000000000000001E-2</v>
      </c>
      <c r="BK983" s="48"/>
      <c r="BL983" s="98">
        <f t="shared" si="285"/>
        <v>74.55177705810101</v>
      </c>
      <c r="BM983" s="47" t="s">
        <v>2487</v>
      </c>
      <c r="BN983" s="48"/>
      <c r="BO983" s="48"/>
      <c r="BP983" s="48"/>
      <c r="BQ983" s="48"/>
      <c r="BR983" s="47" t="s">
        <v>2496</v>
      </c>
      <c r="BS983" s="48"/>
      <c r="BT983" s="48"/>
      <c r="BU983" s="228">
        <v>6.4000000000000003E-3</v>
      </c>
      <c r="BV983" s="48"/>
      <c r="BW983" s="48"/>
      <c r="BX983" s="48"/>
      <c r="BY983" s="48"/>
      <c r="BZ983" s="48"/>
      <c r="CA983" s="48"/>
      <c r="CB983" s="48"/>
      <c r="CC983" s="48"/>
      <c r="CD983" s="48"/>
      <c r="CE983" s="48"/>
      <c r="CF983" s="48"/>
      <c r="CG983" s="48"/>
      <c r="CH983" s="48"/>
      <c r="CI983" s="98"/>
      <c r="CJ983" s="98"/>
      <c r="CK983" s="49">
        <f t="shared" si="281"/>
        <v>1164.8715165328283</v>
      </c>
      <c r="CL983" s="229"/>
      <c r="CM983" s="229"/>
      <c r="CN983" s="229"/>
      <c r="CO983" s="47" t="s">
        <v>2488</v>
      </c>
      <c r="CP983" s="47" t="s">
        <v>2489</v>
      </c>
      <c r="CQ983" s="224">
        <v>-0.6821666014282648</v>
      </c>
      <c r="CR983" s="224">
        <f t="shared" ref="CR983:CR991" si="286">10^(CJ983-CQ983)</f>
        <v>4.8102384052341423</v>
      </c>
      <c r="CS983" s="230" t="s">
        <v>539</v>
      </c>
      <c r="CT983" s="230"/>
      <c r="CU983" s="230"/>
      <c r="CV983" s="335">
        <f t="shared" si="284"/>
        <v>5543.9592067746162</v>
      </c>
      <c r="CW983" s="230">
        <f t="shared" si="280"/>
        <v>1</v>
      </c>
      <c r="CX983" s="336"/>
      <c r="CY983" s="230" t="s">
        <v>6351</v>
      </c>
    </row>
    <row r="984" spans="1:103" ht="11.25" customHeight="1" x14ac:dyDescent="0.2">
      <c r="A984" s="72">
        <v>982</v>
      </c>
      <c r="B984" s="224">
        <v>1603</v>
      </c>
      <c r="C984" s="46" t="s">
        <v>7166</v>
      </c>
      <c r="D984" s="46"/>
      <c r="E984" s="114"/>
      <c r="F984" s="114" t="s">
        <v>4762</v>
      </c>
      <c r="G984" s="225">
        <v>111422</v>
      </c>
      <c r="H984" s="47" t="s">
        <v>4763</v>
      </c>
      <c r="I984" s="47" t="s">
        <v>4763</v>
      </c>
      <c r="J984" s="47" t="s">
        <v>4764</v>
      </c>
      <c r="K984" s="47" t="s">
        <v>300</v>
      </c>
      <c r="L984" s="47"/>
      <c r="M984" s="47"/>
      <c r="N984" s="47"/>
      <c r="O984" s="47"/>
      <c r="P984" s="53"/>
      <c r="Q984" s="53" t="s">
        <v>6173</v>
      </c>
      <c r="R984" s="53" t="s">
        <v>6185</v>
      </c>
      <c r="S984" s="53" t="s">
        <v>6176</v>
      </c>
      <c r="T984" s="48">
        <v>105.14</v>
      </c>
      <c r="U984" s="98">
        <v>9511.1280197831456</v>
      </c>
      <c r="V984" s="98">
        <v>9511.1280197831456</v>
      </c>
      <c r="W984" s="98">
        <v>9549.9258602143582</v>
      </c>
      <c r="X984" s="98">
        <v>9511.1280197831456</v>
      </c>
      <c r="Y984" s="233">
        <v>11.65</v>
      </c>
      <c r="Z984" s="48">
        <v>-1.71</v>
      </c>
      <c r="AA984" s="48">
        <v>-1.43</v>
      </c>
      <c r="AB984" s="48">
        <v>-1.08</v>
      </c>
      <c r="AC984" s="48">
        <v>0.8075</v>
      </c>
      <c r="AD984" s="48">
        <v>-1.21</v>
      </c>
      <c r="AE984" s="48">
        <v>-1.5</v>
      </c>
      <c r="AF984" s="48">
        <f t="shared" si="279"/>
        <v>-1.43</v>
      </c>
      <c r="AG984" s="49">
        <v>-1.27</v>
      </c>
      <c r="AH984" s="98">
        <v>3.9199999999999998E-11</v>
      </c>
      <c r="AI984" s="98">
        <v>3.8699999999999999E-11</v>
      </c>
      <c r="AJ984" s="483">
        <f t="shared" si="276"/>
        <v>-8.7952802592921948</v>
      </c>
      <c r="AK984" s="483">
        <f>LOG10(AI984*1000/(0.08206*298.15))</f>
        <v>-8.8008553612937401</v>
      </c>
      <c r="AL984" s="483">
        <f t="shared" si="275"/>
        <v>-8.8008553612937401</v>
      </c>
      <c r="AM984" s="483">
        <v>-10.57471</v>
      </c>
      <c r="AN984" s="226">
        <v>-12.5</v>
      </c>
      <c r="AO984" s="484">
        <v>14.44</v>
      </c>
      <c r="AP984" s="484">
        <v>8.7100000000000009</v>
      </c>
      <c r="AQ984" s="48" t="s">
        <v>6311</v>
      </c>
      <c r="AR984" s="48" t="s">
        <v>6311</v>
      </c>
      <c r="AS984" s="227"/>
      <c r="AT984" s="50" t="s">
        <v>266</v>
      </c>
      <c r="AU984" s="48">
        <v>6</v>
      </c>
      <c r="AV984" s="48">
        <v>120</v>
      </c>
      <c r="AW984" s="48">
        <v>114</v>
      </c>
      <c r="AX984" s="48">
        <v>28</v>
      </c>
      <c r="AY984" s="48" t="s">
        <v>8728</v>
      </c>
      <c r="AZ984" s="48" t="s">
        <v>1563</v>
      </c>
      <c r="BA984" s="48">
        <v>32</v>
      </c>
      <c r="BB984" s="47" t="s">
        <v>2485</v>
      </c>
      <c r="BC984" s="47" t="s">
        <v>8726</v>
      </c>
      <c r="BD984" s="47" t="s">
        <v>8374</v>
      </c>
      <c r="BE984" s="48" t="s">
        <v>2449</v>
      </c>
      <c r="BF984" s="48" t="s">
        <v>272</v>
      </c>
      <c r="BG984" s="48" t="s">
        <v>272</v>
      </c>
      <c r="BH984" s="48" t="s">
        <v>2486</v>
      </c>
      <c r="BI984" s="98">
        <v>6.3999999999999997E-6</v>
      </c>
      <c r="BJ984" s="98">
        <v>6.4000000000000001E-2</v>
      </c>
      <c r="BK984" s="48"/>
      <c r="BL984" s="98">
        <f t="shared" si="285"/>
        <v>1764.2129270821606</v>
      </c>
      <c r="BM984" s="47" t="s">
        <v>2487</v>
      </c>
      <c r="BN984" s="48"/>
      <c r="BO984" s="48"/>
      <c r="BP984" s="48"/>
      <c r="BQ984" s="48"/>
      <c r="BR984" s="47" t="s">
        <v>2496</v>
      </c>
      <c r="BS984" s="48"/>
      <c r="BT984" s="48"/>
      <c r="BU984" s="228"/>
      <c r="BV984" s="48"/>
      <c r="BW984" s="48"/>
      <c r="BX984" s="48"/>
      <c r="BY984" s="48"/>
      <c r="BZ984" s="48"/>
      <c r="CA984" s="48"/>
      <c r="CB984" s="48"/>
      <c r="CC984" s="48"/>
      <c r="CD984" s="48"/>
      <c r="CE984" s="48"/>
      <c r="CF984" s="48"/>
      <c r="CG984" s="48"/>
      <c r="CH984" s="48"/>
      <c r="CI984" s="98"/>
      <c r="CJ984" s="98"/>
      <c r="CK984" s="49">
        <f t="shared" si="281"/>
        <v>27565.826985658758</v>
      </c>
      <c r="CL984" s="229"/>
      <c r="CM984" s="229"/>
      <c r="CN984" s="229"/>
      <c r="CO984" s="47" t="s">
        <v>2488</v>
      </c>
      <c r="CP984" s="47" t="s">
        <v>2489</v>
      </c>
      <c r="CQ984" s="224">
        <v>1.5442720698504049</v>
      </c>
      <c r="CR984" s="224">
        <f t="shared" si="286"/>
        <v>2.8558009264486039E-2</v>
      </c>
      <c r="CS984" s="230" t="s">
        <v>539</v>
      </c>
      <c r="CT984" s="230"/>
      <c r="CU984" s="230"/>
      <c r="CV984" s="335">
        <f t="shared" si="284"/>
        <v>148611.37530911164</v>
      </c>
      <c r="CW984" s="230">
        <f t="shared" si="280"/>
        <v>1</v>
      </c>
      <c r="CX984" s="336"/>
      <c r="CY984" s="230" t="s">
        <v>6351</v>
      </c>
    </row>
    <row r="985" spans="1:103" ht="11.25" customHeight="1" x14ac:dyDescent="0.2">
      <c r="A985" s="72">
        <v>983</v>
      </c>
      <c r="B985" s="224">
        <v>1526</v>
      </c>
      <c r="C985" s="46" t="s">
        <v>7167</v>
      </c>
      <c r="D985" s="46"/>
      <c r="E985" s="114"/>
      <c r="F985" s="114" t="s">
        <v>4629</v>
      </c>
      <c r="G985" s="225">
        <v>111444</v>
      </c>
      <c r="H985" s="47" t="s">
        <v>4630</v>
      </c>
      <c r="I985" s="47" t="s">
        <v>8032</v>
      </c>
      <c r="J985" s="47" t="s">
        <v>4631</v>
      </c>
      <c r="K985" s="47" t="s">
        <v>4632</v>
      </c>
      <c r="L985" s="47"/>
      <c r="M985" s="47"/>
      <c r="N985" s="47"/>
      <c r="O985" s="47"/>
      <c r="P985" s="53" t="s">
        <v>6172</v>
      </c>
      <c r="Q985" s="53" t="s">
        <v>6176</v>
      </c>
      <c r="R985" s="53" t="s">
        <v>6175</v>
      </c>
      <c r="S985" s="53" t="s">
        <v>6179</v>
      </c>
      <c r="T985" s="48">
        <v>143.01</v>
      </c>
      <c r="U985" s="98">
        <v>120.27130969862249</v>
      </c>
      <c r="V985" s="98">
        <v>44.996853366897426</v>
      </c>
      <c r="W985" s="98">
        <v>112.20184543019631</v>
      </c>
      <c r="X985" s="98">
        <v>120.27130969862249</v>
      </c>
      <c r="Y985" s="233">
        <v>7</v>
      </c>
      <c r="Z985" s="48">
        <v>1.56</v>
      </c>
      <c r="AA985" s="48">
        <v>1.29</v>
      </c>
      <c r="AB985" s="48">
        <v>1.66</v>
      </c>
      <c r="AC985" s="48">
        <v>0.87439999999999996</v>
      </c>
      <c r="AD985" s="48">
        <v>1.54</v>
      </c>
      <c r="AE985" s="48">
        <v>1.19</v>
      </c>
      <c r="AF985" s="48">
        <f t="shared" si="279"/>
        <v>1.29</v>
      </c>
      <c r="AG985" s="49">
        <v>1.51</v>
      </c>
      <c r="AH985" s="98">
        <v>1.8900000000000001E-4</v>
      </c>
      <c r="AI985" s="98">
        <v>1.7E-5</v>
      </c>
      <c r="AJ985" s="483">
        <f t="shared" si="276"/>
        <v>-2.1121045221394077</v>
      </c>
      <c r="AK985" s="483">
        <f>LOG10(AI985*1000/(0.08206*298.15))</f>
        <v>-3.1581174049343779</v>
      </c>
      <c r="AL985" s="483">
        <f t="shared" si="275"/>
        <v>-3.1581174049343779</v>
      </c>
      <c r="AM985" s="483">
        <v>-2.59178</v>
      </c>
      <c r="AN985" s="226">
        <v>-3.26</v>
      </c>
      <c r="AO985" s="484"/>
      <c r="AP985" s="484"/>
      <c r="AQ985" s="48" t="s">
        <v>6311</v>
      </c>
      <c r="AR985" s="48" t="s">
        <v>6311</v>
      </c>
      <c r="AS985" s="227"/>
      <c r="AT985" s="50" t="s">
        <v>266</v>
      </c>
      <c r="AU985" s="48">
        <v>6</v>
      </c>
      <c r="AV985" s="48">
        <v>120</v>
      </c>
      <c r="AW985" s="48">
        <v>114</v>
      </c>
      <c r="AX985" s="48">
        <v>28</v>
      </c>
      <c r="AY985" s="48" t="s">
        <v>8728</v>
      </c>
      <c r="AZ985" s="48" t="s">
        <v>1563</v>
      </c>
      <c r="BA985" s="48">
        <v>32</v>
      </c>
      <c r="BB985" s="47" t="s">
        <v>2485</v>
      </c>
      <c r="BC985" s="47" t="s">
        <v>8726</v>
      </c>
      <c r="BD985" s="47" t="s">
        <v>8374</v>
      </c>
      <c r="BE985" s="48" t="s">
        <v>2449</v>
      </c>
      <c r="BF985" s="48" t="s">
        <v>272</v>
      </c>
      <c r="BG985" s="48" t="s">
        <v>272</v>
      </c>
      <c r="BH985" s="48" t="s">
        <v>2486</v>
      </c>
      <c r="BI985" s="98">
        <v>6.3999999999999997E-6</v>
      </c>
      <c r="BJ985" s="98">
        <v>6.4000000000000001E-2</v>
      </c>
      <c r="BK985" s="48"/>
      <c r="BL985" s="98">
        <f t="shared" si="285"/>
        <v>2.0406287450881155</v>
      </c>
      <c r="BM985" s="47" t="s">
        <v>2487</v>
      </c>
      <c r="BN985" s="48"/>
      <c r="BO985" s="48"/>
      <c r="BP985" s="48"/>
      <c r="BQ985" s="48"/>
      <c r="BR985" s="47" t="s">
        <v>2496</v>
      </c>
      <c r="BS985" s="48"/>
      <c r="BT985" s="48"/>
      <c r="BU985" s="228"/>
      <c r="BV985" s="48"/>
      <c r="BW985" s="48"/>
      <c r="BX985" s="48"/>
      <c r="BY985" s="48"/>
      <c r="BZ985" s="48"/>
      <c r="CA985" s="48"/>
      <c r="CB985" s="48"/>
      <c r="CC985" s="48"/>
      <c r="CD985" s="48"/>
      <c r="CE985" s="48"/>
      <c r="CF985" s="48"/>
      <c r="CG985" s="48"/>
      <c r="CH985" s="48"/>
      <c r="CI985" s="98"/>
      <c r="CJ985" s="98"/>
      <c r="CK985" s="49">
        <f t="shared" si="281"/>
        <v>31.884824142001804</v>
      </c>
      <c r="CL985" s="229"/>
      <c r="CM985" s="229"/>
      <c r="CN985" s="229"/>
      <c r="CO985" s="47" t="s">
        <v>2488</v>
      </c>
      <c r="CP985" s="47" t="s">
        <v>2489</v>
      </c>
      <c r="CQ985" s="224">
        <v>0.62133234841523566</v>
      </c>
      <c r="CR985" s="224">
        <f t="shared" si="286"/>
        <v>0.23914849469896005</v>
      </c>
      <c r="CS985" s="230" t="s">
        <v>539</v>
      </c>
      <c r="CT985" s="230"/>
      <c r="CU985" s="230"/>
      <c r="CV985" s="335">
        <f t="shared" si="284"/>
        <v>1879.2392140409763</v>
      </c>
      <c r="CW985" s="230">
        <f t="shared" si="280"/>
        <v>1</v>
      </c>
      <c r="CX985" s="336"/>
      <c r="CY985" s="230" t="s">
        <v>6351</v>
      </c>
    </row>
    <row r="986" spans="1:103" ht="11.25" customHeight="1" x14ac:dyDescent="0.2">
      <c r="A986" s="72">
        <v>984</v>
      </c>
      <c r="B986" s="224">
        <v>1103</v>
      </c>
      <c r="C986" s="46" t="s">
        <v>7168</v>
      </c>
      <c r="D986" s="46"/>
      <c r="E986" s="114"/>
      <c r="F986" s="114" t="s">
        <v>766</v>
      </c>
      <c r="G986" s="225">
        <v>111466</v>
      </c>
      <c r="H986" s="47" t="s">
        <v>767</v>
      </c>
      <c r="I986" s="47" t="s">
        <v>767</v>
      </c>
      <c r="J986" s="47" t="s">
        <v>768</v>
      </c>
      <c r="K986" s="47" t="s">
        <v>426</v>
      </c>
      <c r="L986" s="47" t="s">
        <v>5527</v>
      </c>
      <c r="M986" s="47" t="s">
        <v>6082</v>
      </c>
      <c r="N986" s="47" t="s">
        <v>6082</v>
      </c>
      <c r="O986" s="47" t="s">
        <v>6083</v>
      </c>
      <c r="P986" s="53"/>
      <c r="Q986" s="53" t="s">
        <v>6176</v>
      </c>
      <c r="R986" s="53" t="s">
        <v>6185</v>
      </c>
      <c r="S986" s="53" t="s">
        <v>6176</v>
      </c>
      <c r="T986" s="48">
        <v>106.12</v>
      </c>
      <c r="U986" s="98">
        <v>9423.2943837165476</v>
      </c>
      <c r="V986" s="98">
        <v>9423.2943837165476</v>
      </c>
      <c r="W986" s="98">
        <v>9332.5430079699108</v>
      </c>
      <c r="X986" s="98">
        <v>9423.2943837165476</v>
      </c>
      <c r="Y986" s="233">
        <v>6.51</v>
      </c>
      <c r="Z986" s="48">
        <v>-1.47</v>
      </c>
      <c r="AA986" s="48"/>
      <c r="AB986" s="48">
        <v>-0.94</v>
      </c>
      <c r="AC986" s="48">
        <v>0.85299999999999998</v>
      </c>
      <c r="AD986" s="48">
        <v>-1.0900000000000001</v>
      </c>
      <c r="AE986" s="48">
        <v>-1.51</v>
      </c>
      <c r="AF986" s="48">
        <f t="shared" si="279"/>
        <v>-1.0900000000000001</v>
      </c>
      <c r="AG986" s="49">
        <v>-0.89</v>
      </c>
      <c r="AH986" s="98">
        <v>2.0299999999999998E-9</v>
      </c>
      <c r="AI986" s="98"/>
      <c r="AJ986" s="483">
        <f t="shared" si="276"/>
        <v>-7.081070288399439</v>
      </c>
      <c r="AK986" s="483"/>
      <c r="AL986" s="483">
        <f t="shared" si="275"/>
        <v>-7.081070288399439</v>
      </c>
      <c r="AM986" s="483">
        <v>-8.6747399999999999</v>
      </c>
      <c r="AN986" s="226">
        <v>-7.67</v>
      </c>
      <c r="AO986" s="484">
        <v>14.03</v>
      </c>
      <c r="AP986" s="484"/>
      <c r="AQ986" s="48" t="s">
        <v>6311</v>
      </c>
      <c r="AR986" s="48" t="s">
        <v>6311</v>
      </c>
      <c r="AS986" s="227"/>
      <c r="AT986" s="50" t="s">
        <v>266</v>
      </c>
      <c r="AU986" s="48">
        <v>6</v>
      </c>
      <c r="AV986" s="48">
        <v>120</v>
      </c>
      <c r="AW986" s="48">
        <v>114</v>
      </c>
      <c r="AX986" s="48">
        <v>28</v>
      </c>
      <c r="AY986" s="48" t="s">
        <v>8728</v>
      </c>
      <c r="AZ986" s="48" t="s">
        <v>1563</v>
      </c>
      <c r="BA986" s="48">
        <v>32</v>
      </c>
      <c r="BB986" s="47" t="s">
        <v>2485</v>
      </c>
      <c r="BC986" s="47" t="s">
        <v>8726</v>
      </c>
      <c r="BD986" s="47" t="s">
        <v>8374</v>
      </c>
      <c r="BE986" s="48" t="s">
        <v>2449</v>
      </c>
      <c r="BF986" s="48" t="s">
        <v>272</v>
      </c>
      <c r="BG986" s="48" t="s">
        <v>272</v>
      </c>
      <c r="BH986" s="48" t="s">
        <v>2486</v>
      </c>
      <c r="BI986" s="98">
        <v>6.3999999999999997E-6</v>
      </c>
      <c r="BJ986" s="98">
        <v>6.4000000000000001E-2</v>
      </c>
      <c r="BK986" s="48"/>
      <c r="BL986" s="98">
        <f t="shared" si="285"/>
        <v>1074.0067231448295</v>
      </c>
      <c r="BM986" s="47" t="s">
        <v>2487</v>
      </c>
      <c r="BN986" s="48"/>
      <c r="BO986" s="48"/>
      <c r="BP986" s="48"/>
      <c r="BQ986" s="48"/>
      <c r="BR986" s="47" t="s">
        <v>2496</v>
      </c>
      <c r="BS986" s="48"/>
      <c r="BT986" s="48"/>
      <c r="BU986" s="228">
        <v>6.3999999999999997E-5</v>
      </c>
      <c r="BV986" s="48"/>
      <c r="BW986" s="48"/>
      <c r="BX986" s="48"/>
      <c r="BY986" s="48"/>
      <c r="BZ986" s="48"/>
      <c r="CA986" s="48"/>
      <c r="CB986" s="48"/>
      <c r="CC986" s="48"/>
      <c r="CD986" s="48"/>
      <c r="CE986" s="48"/>
      <c r="CF986" s="48"/>
      <c r="CG986" s="48"/>
      <c r="CH986" s="48"/>
      <c r="CI986" s="98"/>
      <c r="CJ986" s="98"/>
      <c r="CK986" s="49">
        <f t="shared" si="281"/>
        <v>16781.355049137961</v>
      </c>
      <c r="CL986" s="229"/>
      <c r="CM986" s="229"/>
      <c r="CN986" s="229"/>
      <c r="CO986" s="47" t="s">
        <v>2488</v>
      </c>
      <c r="CP986" s="47" t="s">
        <v>2489</v>
      </c>
      <c r="CQ986" s="224">
        <v>2.8501316474876139</v>
      </c>
      <c r="CR986" s="224">
        <f t="shared" si="286"/>
        <v>1.4121094276538021E-3</v>
      </c>
      <c r="CS986" s="230" t="s">
        <v>539</v>
      </c>
      <c r="CT986" s="230"/>
      <c r="CU986" s="230"/>
      <c r="CV986" s="335">
        <f t="shared" si="284"/>
        <v>147238.97474557106</v>
      </c>
      <c r="CW986" s="230">
        <f t="shared" si="280"/>
        <v>1</v>
      </c>
      <c r="CX986" s="336"/>
      <c r="CY986" s="230" t="s">
        <v>6351</v>
      </c>
    </row>
    <row r="987" spans="1:103" ht="11.25" customHeight="1" x14ac:dyDescent="0.2">
      <c r="A987" s="72">
        <v>985</v>
      </c>
      <c r="B987" s="224">
        <v>1694</v>
      </c>
      <c r="C987" s="46" t="s">
        <v>7169</v>
      </c>
      <c r="D987" s="46"/>
      <c r="E987" s="114"/>
      <c r="F987" s="114" t="s">
        <v>4942</v>
      </c>
      <c r="G987" s="225">
        <v>111693</v>
      </c>
      <c r="H987" s="47" t="s">
        <v>4943</v>
      </c>
      <c r="I987" s="47" t="s">
        <v>7750</v>
      </c>
      <c r="J987" s="47" t="s">
        <v>4944</v>
      </c>
      <c r="K987" s="47" t="s">
        <v>4945</v>
      </c>
      <c r="L987" s="47"/>
      <c r="M987" s="47"/>
      <c r="N987" s="47"/>
      <c r="O987" s="47"/>
      <c r="P987" s="53"/>
      <c r="Q987" s="53" t="s">
        <v>6173</v>
      </c>
      <c r="R987" s="53" t="s">
        <v>6185</v>
      </c>
      <c r="S987" s="53" t="s">
        <v>6176</v>
      </c>
      <c r="T987" s="48">
        <v>108.14</v>
      </c>
      <c r="U987" s="98">
        <v>739.78176437950799</v>
      </c>
      <c r="V987" s="98">
        <v>1040.3181061586831</v>
      </c>
      <c r="W987" s="98">
        <v>114.8153621496883</v>
      </c>
      <c r="X987" s="98">
        <v>739.78176437950799</v>
      </c>
      <c r="Y987" s="233">
        <v>7</v>
      </c>
      <c r="Z987" s="48">
        <v>0.35</v>
      </c>
      <c r="AA987" s="48">
        <v>-0.32</v>
      </c>
      <c r="AB987" s="48">
        <v>-0.1</v>
      </c>
      <c r="AC987" s="48">
        <v>0.87190000000000001</v>
      </c>
      <c r="AD987" s="48">
        <v>-0.14000000000000001</v>
      </c>
      <c r="AE987" s="48">
        <v>-0.32</v>
      </c>
      <c r="AF987" s="48">
        <f t="shared" si="279"/>
        <v>-0.32</v>
      </c>
      <c r="AG987" s="49">
        <v>0.87</v>
      </c>
      <c r="AH987" s="98">
        <v>2.9700000000000001E-8</v>
      </c>
      <c r="AI987" s="98">
        <v>1.21E-9</v>
      </c>
      <c r="AJ987" s="483">
        <f t="shared" si="276"/>
        <v>-5.9158098769954393</v>
      </c>
      <c r="AK987" s="483">
        <f>LOG10(AI987*1000/(0.08206*298.15))</f>
        <v>-7.3057809559962017</v>
      </c>
      <c r="AL987" s="483">
        <f t="shared" si="275"/>
        <v>-7.3057809559962017</v>
      </c>
      <c r="AM987" s="483">
        <v>-5.3290600000000001</v>
      </c>
      <c r="AN987" s="226">
        <v>-6.3</v>
      </c>
      <c r="AO987" s="484"/>
      <c r="AP987" s="484"/>
      <c r="AQ987" s="226" t="s">
        <v>6311</v>
      </c>
      <c r="AR987" s="226" t="s">
        <v>6311</v>
      </c>
      <c r="AS987" s="224"/>
      <c r="AT987" s="50" t="s">
        <v>266</v>
      </c>
      <c r="AU987" s="48">
        <v>6</v>
      </c>
      <c r="AV987" s="48">
        <v>120</v>
      </c>
      <c r="AW987" s="48">
        <v>114</v>
      </c>
      <c r="AX987" s="48">
        <v>28</v>
      </c>
      <c r="AY987" s="48" t="s">
        <v>8728</v>
      </c>
      <c r="AZ987" s="48" t="s">
        <v>1563</v>
      </c>
      <c r="BA987" s="48">
        <v>32</v>
      </c>
      <c r="BB987" s="47" t="s">
        <v>2485</v>
      </c>
      <c r="BC987" s="47" t="s">
        <v>8726</v>
      </c>
      <c r="BD987" s="47" t="s">
        <v>8374</v>
      </c>
      <c r="BE987" s="48" t="s">
        <v>2449</v>
      </c>
      <c r="BF987" s="48" t="s">
        <v>272</v>
      </c>
      <c r="BG987" s="48" t="s">
        <v>272</v>
      </c>
      <c r="BH987" s="48" t="s">
        <v>2486</v>
      </c>
      <c r="BI987" s="98">
        <v>6.3999999999999997E-6</v>
      </c>
      <c r="BJ987" s="98">
        <v>6.4000000000000001E-2</v>
      </c>
      <c r="BK987" s="48"/>
      <c r="BL987" s="98">
        <f t="shared" si="285"/>
        <v>24.915235700865811</v>
      </c>
      <c r="BM987" s="47" t="s">
        <v>2487</v>
      </c>
      <c r="BN987" s="48"/>
      <c r="BO987" s="48"/>
      <c r="BP987" s="48"/>
      <c r="BQ987" s="48"/>
      <c r="BR987" s="47" t="s">
        <v>2496</v>
      </c>
      <c r="BS987" s="48"/>
      <c r="BT987" s="48"/>
      <c r="BU987" s="228"/>
      <c r="BV987" s="48"/>
      <c r="BW987" s="48"/>
      <c r="BX987" s="48"/>
      <c r="BY987" s="48"/>
      <c r="BZ987" s="48"/>
      <c r="CA987" s="48"/>
      <c r="CB987" s="48"/>
      <c r="CC987" s="48"/>
      <c r="CD987" s="48"/>
      <c r="CE987" s="48"/>
      <c r="CF987" s="48"/>
      <c r="CG987" s="48"/>
      <c r="CH987" s="48"/>
      <c r="CI987" s="98"/>
      <c r="CJ987" s="98"/>
      <c r="CK987" s="49">
        <f t="shared" si="281"/>
        <v>389.3005578260283</v>
      </c>
      <c r="CL987" s="229"/>
      <c r="CM987" s="229"/>
      <c r="CN987" s="229"/>
      <c r="CO987" s="47" t="s">
        <v>2488</v>
      </c>
      <c r="CP987" s="47" t="s">
        <v>2489</v>
      </c>
      <c r="CQ987" s="224">
        <v>1.0038530323920418</v>
      </c>
      <c r="CR987" s="224">
        <f t="shared" si="286"/>
        <v>9.9116730453699689E-2</v>
      </c>
      <c r="CS987" s="230" t="s">
        <v>539</v>
      </c>
      <c r="CT987" s="230"/>
      <c r="CU987" s="230"/>
      <c r="CV987" s="335">
        <f t="shared" si="284"/>
        <v>11559.090068429812</v>
      </c>
      <c r="CW987" s="230">
        <f t="shared" si="280"/>
        <v>1</v>
      </c>
      <c r="CX987" s="336"/>
      <c r="CY987" s="230" t="s">
        <v>6351</v>
      </c>
    </row>
    <row r="988" spans="1:103" ht="11.25" customHeight="1" x14ac:dyDescent="0.2">
      <c r="A988" s="72">
        <v>986</v>
      </c>
      <c r="B988" s="224">
        <v>946</v>
      </c>
      <c r="C988" s="46" t="s">
        <v>7170</v>
      </c>
      <c r="D988" s="46"/>
      <c r="E988" s="114"/>
      <c r="F988" s="114" t="s">
        <v>2700</v>
      </c>
      <c r="G988" s="225">
        <v>111762</v>
      </c>
      <c r="H988" s="47" t="s">
        <v>2701</v>
      </c>
      <c r="I988" s="47" t="s">
        <v>2701</v>
      </c>
      <c r="J988" s="47" t="s">
        <v>2702</v>
      </c>
      <c r="K988" s="47" t="s">
        <v>426</v>
      </c>
      <c r="L988" s="47" t="s">
        <v>5527</v>
      </c>
      <c r="M988" s="47" t="s">
        <v>6082</v>
      </c>
      <c r="N988" s="47" t="s">
        <v>6082</v>
      </c>
      <c r="O988" s="47" t="s">
        <v>6083</v>
      </c>
      <c r="P988" s="53" t="s">
        <v>6183</v>
      </c>
      <c r="Q988" s="53" t="s">
        <v>6176</v>
      </c>
      <c r="R988" s="53" t="s">
        <v>6185</v>
      </c>
      <c r="S988" s="53" t="s">
        <v>6176</v>
      </c>
      <c r="T988" s="48">
        <v>118.17</v>
      </c>
      <c r="U988" s="98">
        <v>8462.3847000084625</v>
      </c>
      <c r="V988" s="98">
        <v>545.56994160954559</v>
      </c>
      <c r="W988" s="98">
        <v>691.83097091893649</v>
      </c>
      <c r="X988" s="98">
        <v>8462.3847000084625</v>
      </c>
      <c r="Y988" s="233">
        <v>6.95</v>
      </c>
      <c r="Z988" s="48">
        <v>0.56999999999999995</v>
      </c>
      <c r="AA988" s="48">
        <v>0.83</v>
      </c>
      <c r="AB988" s="48">
        <v>0.77</v>
      </c>
      <c r="AC988" s="48">
        <v>0.92879999999999996</v>
      </c>
      <c r="AD988" s="48">
        <v>0.77</v>
      </c>
      <c r="AE988" s="48">
        <v>0.8</v>
      </c>
      <c r="AF988" s="48">
        <f t="shared" si="279"/>
        <v>0.83</v>
      </c>
      <c r="AG988" s="49">
        <v>0.85</v>
      </c>
      <c r="AH988" s="98">
        <v>9.7899999999999997E-8</v>
      </c>
      <c r="AI988" s="98">
        <v>1.5999999999999999E-6</v>
      </c>
      <c r="AJ988" s="483">
        <f t="shared" si="276"/>
        <v>-5.3977836345095138</v>
      </c>
      <c r="AK988" s="483">
        <f>LOG10(AI988*1000/(0.08206*298.15))</f>
        <v>-4.1844463436567274</v>
      </c>
      <c r="AL988" s="483">
        <f t="shared" si="275"/>
        <v>-4.1844463436567274</v>
      </c>
      <c r="AM988" s="483">
        <v>-5.2865000000000002</v>
      </c>
      <c r="AN988" s="226">
        <v>-4.26</v>
      </c>
      <c r="AO988" s="484">
        <v>14.42</v>
      </c>
      <c r="AP988" s="484"/>
      <c r="AQ988" s="48" t="s">
        <v>6311</v>
      </c>
      <c r="AR988" s="48" t="s">
        <v>6311</v>
      </c>
      <c r="AS988" s="227"/>
      <c r="AT988" s="50" t="s">
        <v>266</v>
      </c>
      <c r="AU988" s="48">
        <v>6</v>
      </c>
      <c r="AV988" s="48">
        <v>120</v>
      </c>
      <c r="AW988" s="48">
        <v>114</v>
      </c>
      <c r="AX988" s="48">
        <v>28</v>
      </c>
      <c r="AY988" s="48" t="s">
        <v>8728</v>
      </c>
      <c r="AZ988" s="48" t="s">
        <v>1563</v>
      </c>
      <c r="BA988" s="48">
        <v>32</v>
      </c>
      <c r="BB988" s="47" t="s">
        <v>2485</v>
      </c>
      <c r="BC988" s="47" t="s">
        <v>8726</v>
      </c>
      <c r="BD988" s="47" t="s">
        <v>8374</v>
      </c>
      <c r="BE988" s="48" t="s">
        <v>2449</v>
      </c>
      <c r="BF988" s="48" t="s">
        <v>272</v>
      </c>
      <c r="BG988" s="48" t="s">
        <v>272</v>
      </c>
      <c r="BH988" s="48" t="s">
        <v>2486</v>
      </c>
      <c r="BI988" s="98">
        <v>6.3999999999999997E-6</v>
      </c>
      <c r="BJ988" s="98">
        <v>6.4000000000000001E-2</v>
      </c>
      <c r="BK988" s="48"/>
      <c r="BL988" s="98">
        <f t="shared" si="285"/>
        <v>15.808221045417557</v>
      </c>
      <c r="BM988" s="47" t="s">
        <v>2487</v>
      </c>
      <c r="BN988" s="48"/>
      <c r="BO988" s="48"/>
      <c r="BP988" s="48"/>
      <c r="BQ988" s="48"/>
      <c r="BR988" s="47" t="s">
        <v>2496</v>
      </c>
      <c r="BS988" s="48"/>
      <c r="BT988" s="48"/>
      <c r="BU988" s="228">
        <v>6.3999999999999997E-6</v>
      </c>
      <c r="BV988" s="48"/>
      <c r="BW988" s="48"/>
      <c r="BX988" s="48"/>
      <c r="BY988" s="48"/>
      <c r="BZ988" s="48"/>
      <c r="CA988" s="48"/>
      <c r="CB988" s="48"/>
      <c r="CC988" s="48"/>
      <c r="CD988" s="48"/>
      <c r="CE988" s="48"/>
      <c r="CF988" s="48"/>
      <c r="CG988" s="48"/>
      <c r="CH988" s="48"/>
      <c r="CI988" s="98"/>
      <c r="CJ988" s="98"/>
      <c r="CK988" s="49">
        <f t="shared" si="281"/>
        <v>247.00345383464932</v>
      </c>
      <c r="CL988" s="229"/>
      <c r="CM988" s="229"/>
      <c r="CN988" s="229"/>
      <c r="CO988" s="47" t="s">
        <v>2488</v>
      </c>
      <c r="CP988" s="47" t="s">
        <v>2489</v>
      </c>
      <c r="CQ988" s="224">
        <v>1.1006790328834699</v>
      </c>
      <c r="CR988" s="224">
        <f t="shared" si="286"/>
        <v>7.9308724832214739E-2</v>
      </c>
      <c r="CS988" s="230" t="s">
        <v>539</v>
      </c>
      <c r="CT988" s="230"/>
      <c r="CU988" s="230"/>
      <c r="CV988" s="335">
        <f t="shared" si="284"/>
        <v>132224.76093763224</v>
      </c>
      <c r="CW988" s="230">
        <f t="shared" si="280"/>
        <v>1</v>
      </c>
      <c r="CX988" s="336"/>
      <c r="CY988" s="230" t="s">
        <v>6351</v>
      </c>
    </row>
    <row r="989" spans="1:103" ht="11.25" customHeight="1" x14ac:dyDescent="0.2">
      <c r="A989" s="72">
        <v>987</v>
      </c>
      <c r="B989" s="224">
        <v>1605</v>
      </c>
      <c r="C989" s="46" t="s">
        <v>7171</v>
      </c>
      <c r="D989" s="46"/>
      <c r="E989" s="114"/>
      <c r="F989" s="114" t="s">
        <v>4768</v>
      </c>
      <c r="G989" s="225">
        <v>111773</v>
      </c>
      <c r="H989" s="47" t="s">
        <v>4769</v>
      </c>
      <c r="I989" s="47" t="s">
        <v>4769</v>
      </c>
      <c r="J989" s="47" t="s">
        <v>4770</v>
      </c>
      <c r="K989" s="47" t="s">
        <v>426</v>
      </c>
      <c r="L989" s="47"/>
      <c r="M989" s="47"/>
      <c r="N989" s="47"/>
      <c r="O989" s="47"/>
      <c r="P989" s="53"/>
      <c r="Q989" s="53" t="s">
        <v>6182</v>
      </c>
      <c r="R989" s="53" t="s">
        <v>6185</v>
      </c>
      <c r="S989" s="53" t="s">
        <v>6179</v>
      </c>
      <c r="T989" s="48">
        <v>120.15</v>
      </c>
      <c r="U989" s="98">
        <v>8322.9296712442774</v>
      </c>
      <c r="V989" s="98">
        <v>8322.9296712442774</v>
      </c>
      <c r="W989" s="98">
        <v>8317.6377110267113</v>
      </c>
      <c r="X989" s="98">
        <v>8322.9296712442774</v>
      </c>
      <c r="Y989" s="233">
        <v>6.67</v>
      </c>
      <c r="Z989" s="48">
        <v>-1.18</v>
      </c>
      <c r="AA989" s="48"/>
      <c r="AB989" s="48">
        <v>-0.46</v>
      </c>
      <c r="AC989" s="48">
        <v>0.81540000000000001</v>
      </c>
      <c r="AD989" s="48">
        <v>-0.66</v>
      </c>
      <c r="AE989" s="48">
        <v>-1.1599999999999999</v>
      </c>
      <c r="AF989" s="48">
        <f t="shared" si="279"/>
        <v>-0.66</v>
      </c>
      <c r="AG989" s="49">
        <v>-0.3</v>
      </c>
      <c r="AH989" s="98">
        <v>6.5000000000000003E-10</v>
      </c>
      <c r="AI989" s="98"/>
      <c r="AJ989" s="483">
        <f t="shared" si="276"/>
        <v>-7.5756529696697958</v>
      </c>
      <c r="AK989" s="483"/>
      <c r="AL989" s="483">
        <f t="shared" si="275"/>
        <v>-7.5756529696697958</v>
      </c>
      <c r="AM989" s="483">
        <v>-6.6680699999999993</v>
      </c>
      <c r="AN989" s="226">
        <v>-6.19</v>
      </c>
      <c r="AO989" s="484">
        <v>14.37</v>
      </c>
      <c r="AP989" s="484"/>
      <c r="AQ989" s="48" t="s">
        <v>6311</v>
      </c>
      <c r="AR989" s="48" t="s">
        <v>6311</v>
      </c>
      <c r="AS989" s="227"/>
      <c r="AT989" s="50" t="s">
        <v>266</v>
      </c>
      <c r="AU989" s="48">
        <v>6</v>
      </c>
      <c r="AV989" s="48">
        <v>120</v>
      </c>
      <c r="AW989" s="48">
        <v>114</v>
      </c>
      <c r="AX989" s="48">
        <v>28</v>
      </c>
      <c r="AY989" s="48" t="s">
        <v>8728</v>
      </c>
      <c r="AZ989" s="48" t="s">
        <v>1563</v>
      </c>
      <c r="BA989" s="48">
        <v>32</v>
      </c>
      <c r="BB989" s="47" t="s">
        <v>2485</v>
      </c>
      <c r="BC989" s="47" t="s">
        <v>8726</v>
      </c>
      <c r="BD989" s="47" t="s">
        <v>8374</v>
      </c>
      <c r="BE989" s="48" t="s">
        <v>2449</v>
      </c>
      <c r="BF989" s="48" t="s">
        <v>272</v>
      </c>
      <c r="BG989" s="48" t="s">
        <v>272</v>
      </c>
      <c r="BH989" s="48" t="s">
        <v>2486</v>
      </c>
      <c r="BI989" s="98">
        <v>6.3999999999999997E-6</v>
      </c>
      <c r="BJ989" s="98">
        <v>6.4000000000000001E-2</v>
      </c>
      <c r="BK989" s="48"/>
      <c r="BL989" s="98">
        <f t="shared" si="285"/>
        <v>589.60071294491104</v>
      </c>
      <c r="BM989" s="47" t="s">
        <v>2487</v>
      </c>
      <c r="BN989" s="48"/>
      <c r="BO989" s="48"/>
      <c r="BP989" s="48"/>
      <c r="BQ989" s="48"/>
      <c r="BR989" s="47" t="s">
        <v>2496</v>
      </c>
      <c r="BS989" s="48"/>
      <c r="BT989" s="48"/>
      <c r="BU989" s="228"/>
      <c r="BV989" s="48"/>
      <c r="BW989" s="48"/>
      <c r="BX989" s="48"/>
      <c r="BY989" s="48"/>
      <c r="BZ989" s="48"/>
      <c r="CA989" s="48"/>
      <c r="CB989" s="48"/>
      <c r="CC989" s="48"/>
      <c r="CD989" s="48"/>
      <c r="CE989" s="48"/>
      <c r="CF989" s="48"/>
      <c r="CG989" s="48"/>
      <c r="CH989" s="48"/>
      <c r="CI989" s="98"/>
      <c r="CJ989" s="98"/>
      <c r="CK989" s="49">
        <f t="shared" si="281"/>
        <v>9212.511139764234</v>
      </c>
      <c r="CL989" s="229"/>
      <c r="CM989" s="229"/>
      <c r="CN989" s="229"/>
      <c r="CO989" s="47" t="s">
        <v>2488</v>
      </c>
      <c r="CP989" s="47" t="s">
        <v>2489</v>
      </c>
      <c r="CQ989" s="224">
        <v>1.7953374882517812</v>
      </c>
      <c r="CR989" s="224">
        <f t="shared" si="286"/>
        <v>1.6019999999999993E-2</v>
      </c>
      <c r="CS989" s="230" t="s">
        <v>539</v>
      </c>
      <c r="CT989" s="230"/>
      <c r="CU989" s="230"/>
      <c r="CV989" s="335">
        <f t="shared" si="284"/>
        <v>130045.77611319184</v>
      </c>
      <c r="CW989" s="230">
        <f t="shared" si="280"/>
        <v>1</v>
      </c>
      <c r="CX989" s="336"/>
      <c r="CY989" s="230" t="s">
        <v>6351</v>
      </c>
    </row>
    <row r="990" spans="1:103" ht="11.25" customHeight="1" x14ac:dyDescent="0.2">
      <c r="A990" s="72">
        <v>988</v>
      </c>
      <c r="B990" s="224">
        <v>1355</v>
      </c>
      <c r="C990" s="46" t="s">
        <v>676</v>
      </c>
      <c r="D990" s="46"/>
      <c r="E990" s="114"/>
      <c r="F990" s="114" t="s">
        <v>677</v>
      </c>
      <c r="G990" s="225">
        <v>111875</v>
      </c>
      <c r="H990" s="47" t="s">
        <v>678</v>
      </c>
      <c r="I990" s="47" t="s">
        <v>678</v>
      </c>
      <c r="J990" s="47" t="s">
        <v>679</v>
      </c>
      <c r="K990" s="47" t="s">
        <v>426</v>
      </c>
      <c r="L990" s="47" t="s">
        <v>5527</v>
      </c>
      <c r="M990" s="47" t="s">
        <v>6082</v>
      </c>
      <c r="N990" s="47" t="s">
        <v>6082</v>
      </c>
      <c r="O990" s="47" t="s">
        <v>6083</v>
      </c>
      <c r="P990" s="53" t="s">
        <v>6183</v>
      </c>
      <c r="Q990" s="53" t="s">
        <v>6179</v>
      </c>
      <c r="R990" s="53" t="s">
        <v>6185</v>
      </c>
      <c r="S990" s="53" t="s">
        <v>6176</v>
      </c>
      <c r="T990" s="48">
        <v>130.22999999999999</v>
      </c>
      <c r="U990" s="98">
        <v>4.14651002073255</v>
      </c>
      <c r="V990" s="98">
        <v>6.2504799201412888</v>
      </c>
      <c r="W990" s="98">
        <v>8.1283051616409896</v>
      </c>
      <c r="X990" s="98">
        <v>4.14651002073255</v>
      </c>
      <c r="Y990" s="233">
        <v>7</v>
      </c>
      <c r="Z990" s="48">
        <v>2.81</v>
      </c>
      <c r="AA990" s="48">
        <v>3</v>
      </c>
      <c r="AB990" s="48">
        <v>2.99</v>
      </c>
      <c r="AC990" s="48">
        <v>0.92889999999999995</v>
      </c>
      <c r="AD990" s="48">
        <v>2.99</v>
      </c>
      <c r="AE990" s="48">
        <v>3</v>
      </c>
      <c r="AF990" s="48">
        <f t="shared" si="279"/>
        <v>3</v>
      </c>
      <c r="AG990" s="49">
        <v>2.65</v>
      </c>
      <c r="AH990" s="98">
        <v>3.1000000000000001E-5</v>
      </c>
      <c r="AI990" s="98">
        <v>2.4499999999999999E-5</v>
      </c>
      <c r="AJ990" s="483">
        <f t="shared" si="276"/>
        <v>-2.8972046324783789</v>
      </c>
      <c r="AK990" s="483">
        <f>LOG10(AI990*1000/(0.08206*298.15))</f>
        <v>-2.9994002419481194</v>
      </c>
      <c r="AL990" s="483">
        <f t="shared" si="275"/>
        <v>-2.9994002419481194</v>
      </c>
      <c r="AM990" s="483">
        <v>-3.9046099999999999</v>
      </c>
      <c r="AN990" s="226">
        <v>-2.78</v>
      </c>
      <c r="AO990" s="484">
        <v>15.27</v>
      </c>
      <c r="AP990" s="484"/>
      <c r="AQ990" s="48" t="s">
        <v>6311</v>
      </c>
      <c r="AR990" s="48" t="s">
        <v>6311</v>
      </c>
      <c r="AS990" s="227"/>
      <c r="AT990" s="50" t="s">
        <v>266</v>
      </c>
      <c r="AU990" s="48">
        <v>6</v>
      </c>
      <c r="AV990" s="48">
        <v>120</v>
      </c>
      <c r="AW990" s="48">
        <v>114</v>
      </c>
      <c r="AX990" s="48">
        <v>28</v>
      </c>
      <c r="AY990" s="48" t="s">
        <v>8728</v>
      </c>
      <c r="AZ990" s="48" t="s">
        <v>1563</v>
      </c>
      <c r="BA990" s="48">
        <v>32</v>
      </c>
      <c r="BB990" s="47" t="s">
        <v>2485</v>
      </c>
      <c r="BC990" s="47" t="s">
        <v>8726</v>
      </c>
      <c r="BD990" s="47" t="s">
        <v>8374</v>
      </c>
      <c r="BE990" s="48" t="s">
        <v>2449</v>
      </c>
      <c r="BF990" s="48" t="s">
        <v>272</v>
      </c>
      <c r="BG990" s="48" t="s">
        <v>272</v>
      </c>
      <c r="BH990" s="48" t="s">
        <v>2486</v>
      </c>
      <c r="BI990" s="98">
        <v>6.3999999999999997E-6</v>
      </c>
      <c r="BJ990" s="98">
        <v>6.4000000000000001E-2</v>
      </c>
      <c r="BK990" s="48"/>
      <c r="BL990" s="98">
        <f t="shared" si="285"/>
        <v>0.15386470198345839</v>
      </c>
      <c r="BM990" s="47" t="s">
        <v>2487</v>
      </c>
      <c r="BN990" s="48"/>
      <c r="BO990" s="48"/>
      <c r="BP990" s="48"/>
      <c r="BQ990" s="48"/>
      <c r="BR990" s="47" t="s">
        <v>2496</v>
      </c>
      <c r="BS990" s="48"/>
      <c r="BT990" s="48"/>
      <c r="BU990" s="228"/>
      <c r="BV990" s="48"/>
      <c r="BW990" s="48"/>
      <c r="BX990" s="48"/>
      <c r="BY990" s="48"/>
      <c r="BZ990" s="48"/>
      <c r="CA990" s="48"/>
      <c r="CB990" s="48"/>
      <c r="CC990" s="48"/>
      <c r="CD990" s="48"/>
      <c r="CE990" s="48"/>
      <c r="CF990" s="48"/>
      <c r="CG990" s="48"/>
      <c r="CH990" s="48"/>
      <c r="CI990" s="98"/>
      <c r="CJ990" s="98"/>
      <c r="CK990" s="49">
        <f t="shared" si="281"/>
        <v>2.4041359684915373</v>
      </c>
      <c r="CL990" s="229"/>
      <c r="CM990" s="229"/>
      <c r="CN990" s="229"/>
      <c r="CO990" s="47" t="s">
        <v>2488</v>
      </c>
      <c r="CP990" s="47" t="s">
        <v>2489</v>
      </c>
      <c r="CQ990" s="224">
        <v>-0.96912743923144595</v>
      </c>
      <c r="CR990" s="224">
        <f t="shared" si="286"/>
        <v>9.3138113955111717</v>
      </c>
      <c r="CS990" s="230" t="s">
        <v>539</v>
      </c>
      <c r="CT990" s="230"/>
      <c r="CU990" s="230"/>
      <c r="CV990" s="335">
        <f t="shared" si="284"/>
        <v>64.7892190739461</v>
      </c>
      <c r="CW990" s="230">
        <f t="shared" si="280"/>
        <v>1</v>
      </c>
      <c r="CX990" s="336"/>
      <c r="CY990" s="230" t="s">
        <v>6351</v>
      </c>
    </row>
    <row r="991" spans="1:103" ht="11.25" customHeight="1" x14ac:dyDescent="0.2">
      <c r="A991" s="72">
        <v>989</v>
      </c>
      <c r="B991" s="224">
        <v>923</v>
      </c>
      <c r="C991" s="46" t="s">
        <v>7172</v>
      </c>
      <c r="D991" s="46"/>
      <c r="E991" s="114"/>
      <c r="F991" s="114" t="s">
        <v>2635</v>
      </c>
      <c r="G991" s="225">
        <v>111900</v>
      </c>
      <c r="H991" s="47" t="s">
        <v>2636</v>
      </c>
      <c r="I991" s="47" t="s">
        <v>2636</v>
      </c>
      <c r="J991" s="47" t="s">
        <v>2637</v>
      </c>
      <c r="K991" s="47" t="s">
        <v>426</v>
      </c>
      <c r="L991" s="47" t="s">
        <v>5527</v>
      </c>
      <c r="M991" s="47" t="s">
        <v>6082</v>
      </c>
      <c r="N991" s="47" t="s">
        <v>6082</v>
      </c>
      <c r="O991" s="47" t="s">
        <v>6083</v>
      </c>
      <c r="P991" s="53" t="s">
        <v>6183</v>
      </c>
      <c r="Q991" s="53" t="s">
        <v>6176</v>
      </c>
      <c r="R991" s="53" t="s">
        <v>6185</v>
      </c>
      <c r="S991" s="53" t="s">
        <v>6176</v>
      </c>
      <c r="T991" s="48">
        <v>134.16999999999999</v>
      </c>
      <c r="U991" s="98">
        <v>7453.2309756279355</v>
      </c>
      <c r="V991" s="98">
        <v>6171.2752478199309</v>
      </c>
      <c r="W991" s="98">
        <v>4786.3009232263839</v>
      </c>
      <c r="X991" s="98">
        <v>7453.2309756279355</v>
      </c>
      <c r="Y991" s="233">
        <v>6.76</v>
      </c>
      <c r="Z991" s="48">
        <v>-0.69</v>
      </c>
      <c r="AA991" s="48">
        <v>-0.54</v>
      </c>
      <c r="AB991" s="48">
        <v>-0.17</v>
      </c>
      <c r="AC991" s="48">
        <v>0.86629999999999996</v>
      </c>
      <c r="AD991" s="48">
        <v>-0.28000000000000003</v>
      </c>
      <c r="AE991" s="48">
        <v>-0.62</v>
      </c>
      <c r="AF991" s="48">
        <f t="shared" si="279"/>
        <v>-0.54</v>
      </c>
      <c r="AG991" s="49">
        <v>0.09</v>
      </c>
      <c r="AH991" s="98">
        <v>8.6300000000000002E-10</v>
      </c>
      <c r="AI991" s="98">
        <v>2.2300000000000001E-8</v>
      </c>
      <c r="AJ991" s="483">
        <f t="shared" si="276"/>
        <v>-7.4525555305974418</v>
      </c>
      <c r="AK991" s="483">
        <f>LOG10(AI991*1000/(0.08206*298.15))</f>
        <v>-6.0402614632644909</v>
      </c>
      <c r="AL991" s="483">
        <f t="shared" ref="AL991:AL1054" si="287">IF(AK991=0,AJ991,AK991)</f>
        <v>-6.0402614632644909</v>
      </c>
      <c r="AM991" s="483">
        <v>-6.8205799999999996</v>
      </c>
      <c r="AN991" s="226">
        <v>-6.06</v>
      </c>
      <c r="AO991" s="484">
        <v>14.37</v>
      </c>
      <c r="AP991" s="484"/>
      <c r="AQ991" s="48" t="s">
        <v>6311</v>
      </c>
      <c r="AR991" s="48" t="s">
        <v>6311</v>
      </c>
      <c r="AS991" s="227"/>
      <c r="AT991" s="50" t="s">
        <v>266</v>
      </c>
      <c r="AU991" s="48">
        <v>6</v>
      </c>
      <c r="AV991" s="48">
        <v>120</v>
      </c>
      <c r="AW991" s="48">
        <v>114</v>
      </c>
      <c r="AX991" s="48">
        <v>28</v>
      </c>
      <c r="AY991" s="48" t="s">
        <v>8728</v>
      </c>
      <c r="AZ991" s="48" t="s">
        <v>1563</v>
      </c>
      <c r="BA991" s="48">
        <v>32</v>
      </c>
      <c r="BB991" s="47" t="s">
        <v>2485</v>
      </c>
      <c r="BC991" s="47" t="s">
        <v>8726</v>
      </c>
      <c r="BD991" s="47" t="s">
        <v>8374</v>
      </c>
      <c r="BE991" s="48" t="s">
        <v>2449</v>
      </c>
      <c r="BF991" s="48" t="s">
        <v>272</v>
      </c>
      <c r="BG991" s="48" t="s">
        <v>272</v>
      </c>
      <c r="BH991" s="48" t="s">
        <v>2486</v>
      </c>
      <c r="BI991" s="98">
        <v>6.3999999999999997E-6</v>
      </c>
      <c r="BJ991" s="98">
        <v>6.4000000000000001E-2</v>
      </c>
      <c r="BK991" s="48"/>
      <c r="BL991" s="98">
        <f t="shared" si="285"/>
        <v>214.03707138423789</v>
      </c>
      <c r="BM991" s="47" t="s">
        <v>2487</v>
      </c>
      <c r="BN991" s="48"/>
      <c r="BO991" s="48"/>
      <c r="BP991" s="48"/>
      <c r="BQ991" s="48"/>
      <c r="BR991" s="47" t="s">
        <v>2496</v>
      </c>
      <c r="BS991" s="48"/>
      <c r="BT991" s="48"/>
      <c r="BU991" s="228">
        <v>6.3999999999999997E-5</v>
      </c>
      <c r="BV991" s="48"/>
      <c r="BW991" s="48"/>
      <c r="BX991" s="48"/>
      <c r="BY991" s="48"/>
      <c r="BZ991" s="48"/>
      <c r="CA991" s="48"/>
      <c r="CB991" s="48"/>
      <c r="CC991" s="48"/>
      <c r="CD991" s="48"/>
      <c r="CE991" s="48"/>
      <c r="CF991" s="48"/>
      <c r="CG991" s="48"/>
      <c r="CH991" s="48"/>
      <c r="CI991" s="98"/>
      <c r="CJ991" s="98"/>
      <c r="CK991" s="49">
        <f t="shared" si="281"/>
        <v>3344.3292403787168</v>
      </c>
      <c r="CL991" s="229"/>
      <c r="CM991" s="229"/>
      <c r="CN991" s="229"/>
      <c r="CO991" s="47" t="s">
        <v>2488</v>
      </c>
      <c r="CP991" s="47" t="s">
        <v>2489</v>
      </c>
      <c r="CQ991" s="224">
        <v>2.087349600474083</v>
      </c>
      <c r="CR991" s="224">
        <f t="shared" si="286"/>
        <v>8.1780620149985543E-3</v>
      </c>
      <c r="CS991" s="230" t="s">
        <v>539</v>
      </c>
      <c r="CT991" s="230"/>
      <c r="CU991" s="230"/>
      <c r="CV991" s="335">
        <f t="shared" si="284"/>
        <v>116456.73399418649</v>
      </c>
      <c r="CW991" s="230">
        <f t="shared" si="280"/>
        <v>1</v>
      </c>
      <c r="CX991" s="336"/>
      <c r="CY991" s="230" t="s">
        <v>6351</v>
      </c>
    </row>
    <row r="992" spans="1:103" ht="11.25" customHeight="1" x14ac:dyDescent="0.2">
      <c r="A992" s="72">
        <v>990</v>
      </c>
      <c r="B992" s="224">
        <v>1530</v>
      </c>
      <c r="C992" s="46" t="s">
        <v>7173</v>
      </c>
      <c r="D992" s="46"/>
      <c r="E992" s="114"/>
      <c r="F992" s="114" t="s">
        <v>724</v>
      </c>
      <c r="G992" s="225">
        <v>111966</v>
      </c>
      <c r="H992" s="47" t="s">
        <v>725</v>
      </c>
      <c r="I992" s="47" t="s">
        <v>725</v>
      </c>
      <c r="J992" s="47" t="s">
        <v>726</v>
      </c>
      <c r="K992" s="47" t="s">
        <v>426</v>
      </c>
      <c r="L992" s="51"/>
      <c r="M992" s="47"/>
      <c r="N992" s="47"/>
      <c r="O992" s="47"/>
      <c r="P992" s="53"/>
      <c r="Q992" s="53"/>
      <c r="R992" s="53"/>
      <c r="S992" s="53"/>
      <c r="T992" s="48">
        <v>134.16999999999999</v>
      </c>
      <c r="U992" s="98">
        <v>7453.2309756279355</v>
      </c>
      <c r="V992" s="98">
        <v>1338.6002832227773</v>
      </c>
      <c r="W992" s="98">
        <v>3981.0717055349728</v>
      </c>
      <c r="X992" s="98">
        <v>7453.2309756279355</v>
      </c>
      <c r="Y992" s="233">
        <v>7</v>
      </c>
      <c r="Z992" s="48">
        <v>-0.48</v>
      </c>
      <c r="AA992" s="48">
        <v>-0.36</v>
      </c>
      <c r="AB992" s="48">
        <v>-0.04</v>
      </c>
      <c r="AC992" s="48">
        <v>0.92410000000000003</v>
      </c>
      <c r="AD992" s="48">
        <v>-0.18</v>
      </c>
      <c r="AE992" s="48">
        <v>-0.8</v>
      </c>
      <c r="AF992" s="48">
        <f t="shared" si="279"/>
        <v>-0.36</v>
      </c>
      <c r="AG992" s="49">
        <v>0.37</v>
      </c>
      <c r="AH992" s="98">
        <v>2.0800000000000001E-7</v>
      </c>
      <c r="AI992" s="98">
        <v>5.2300000000000001E-7</v>
      </c>
      <c r="AJ992" s="483">
        <f t="shared" si="276"/>
        <v>-5.0705029913498905</v>
      </c>
      <c r="AK992" s="483">
        <f>LOG10(AI992*1000/(0.08206*298.15))</f>
        <v>-4.6700646374453774</v>
      </c>
      <c r="AL992" s="483">
        <f t="shared" si="287"/>
        <v>-4.6700646374453774</v>
      </c>
      <c r="AM992" s="483">
        <v>-4.7041600000000008</v>
      </c>
      <c r="AN992" s="226">
        <v>-4.71</v>
      </c>
      <c r="AO992" s="484"/>
      <c r="AP992" s="484"/>
      <c r="AQ992" s="48" t="s">
        <v>6311</v>
      </c>
      <c r="AR992" s="48" t="s">
        <v>6311</v>
      </c>
      <c r="AS992" s="227"/>
      <c r="AT992" s="50" t="s">
        <v>266</v>
      </c>
      <c r="AU992" s="48">
        <v>6</v>
      </c>
      <c r="AV992" s="48">
        <v>120</v>
      </c>
      <c r="AW992" s="48">
        <v>114</v>
      </c>
      <c r="AX992" s="48">
        <v>28</v>
      </c>
      <c r="AY992" s="48" t="s">
        <v>8728</v>
      </c>
      <c r="AZ992" s="48" t="s">
        <v>1563</v>
      </c>
      <c r="BA992" s="48">
        <v>32</v>
      </c>
      <c r="BB992" s="47" t="s">
        <v>2485</v>
      </c>
      <c r="BC992" s="47" t="s">
        <v>8726</v>
      </c>
      <c r="BD992" s="47" t="s">
        <v>8374</v>
      </c>
      <c r="BE992" s="48" t="s">
        <v>2449</v>
      </c>
      <c r="BF992" s="48" t="s">
        <v>272</v>
      </c>
      <c r="BG992" s="48" t="s">
        <v>272</v>
      </c>
      <c r="BH992" s="48" t="s">
        <v>2486</v>
      </c>
      <c r="BI992" s="98">
        <v>6.3999999999999997E-6</v>
      </c>
      <c r="BJ992" s="98">
        <v>6.4000000000000001E-2</v>
      </c>
      <c r="BK992" s="48"/>
      <c r="BL992" s="98">
        <f t="shared" si="285"/>
        <v>138.63982451729089</v>
      </c>
      <c r="BM992" s="47" t="s">
        <v>2487</v>
      </c>
      <c r="BN992" s="48"/>
      <c r="BO992" s="48"/>
      <c r="BP992" s="48"/>
      <c r="BQ992" s="48"/>
      <c r="BR992" s="47" t="s">
        <v>2496</v>
      </c>
      <c r="BS992" s="48"/>
      <c r="BT992" s="48"/>
      <c r="BU992" s="228"/>
      <c r="BV992" s="48"/>
      <c r="BW992" s="48"/>
      <c r="BX992" s="48"/>
      <c r="BY992" s="48"/>
      <c r="BZ992" s="48"/>
      <c r="CA992" s="48"/>
      <c r="CB992" s="48"/>
      <c r="CC992" s="48"/>
      <c r="CD992" s="48"/>
      <c r="CE992" s="48"/>
      <c r="CF992" s="48"/>
      <c r="CG992" s="48"/>
      <c r="CH992" s="48"/>
      <c r="CI992" s="98"/>
      <c r="CJ992" s="98"/>
      <c r="CK992" s="49">
        <f t="shared" si="281"/>
        <v>2166.2472580826702</v>
      </c>
      <c r="CL992" s="229"/>
      <c r="CM992" s="229"/>
      <c r="CN992" s="229"/>
      <c r="CO992" s="47" t="s">
        <v>2488</v>
      </c>
      <c r="CP992" s="47" t="s">
        <v>2489</v>
      </c>
      <c r="CQ992" s="224" t="s">
        <v>272</v>
      </c>
      <c r="CR992" s="224"/>
      <c r="CS992" s="230" t="s">
        <v>539</v>
      </c>
      <c r="CT992" s="230"/>
      <c r="CU992" s="230"/>
      <c r="CV992" s="335">
        <f t="shared" si="284"/>
        <v>116456.73399418649</v>
      </c>
      <c r="CW992" s="230">
        <f t="shared" si="280"/>
        <v>1</v>
      </c>
      <c r="CX992" s="336"/>
      <c r="CY992" s="230" t="s">
        <v>6351</v>
      </c>
    </row>
    <row r="993" spans="1:103" ht="11.25" customHeight="1" x14ac:dyDescent="0.2">
      <c r="A993" s="72">
        <v>991</v>
      </c>
      <c r="B993" s="224">
        <v>1214</v>
      </c>
      <c r="C993" s="46" t="s">
        <v>7174</v>
      </c>
      <c r="D993" s="46"/>
      <c r="E993" s="114"/>
      <c r="F993" s="114" t="s">
        <v>3347</v>
      </c>
      <c r="G993" s="225">
        <v>112050</v>
      </c>
      <c r="H993" s="47" t="s">
        <v>3348</v>
      </c>
      <c r="I993" s="47" t="s">
        <v>3348</v>
      </c>
      <c r="J993" s="47" t="s">
        <v>3349</v>
      </c>
      <c r="K993" s="47" t="s">
        <v>426</v>
      </c>
      <c r="L993" s="47" t="s">
        <v>5527</v>
      </c>
      <c r="M993" s="47" t="s">
        <v>6082</v>
      </c>
      <c r="N993" s="47" t="s">
        <v>6082</v>
      </c>
      <c r="O993" s="47" t="s">
        <v>6083</v>
      </c>
      <c r="P993" s="53"/>
      <c r="Q993" s="53"/>
      <c r="R993" s="53"/>
      <c r="S993" s="53"/>
      <c r="T993" s="48">
        <v>158.24</v>
      </c>
      <c r="U993" s="98">
        <v>1.7947421638018199</v>
      </c>
      <c r="V993" s="98">
        <v>1.3131951466127401</v>
      </c>
      <c r="W993" s="98">
        <v>5.4954087385762476</v>
      </c>
      <c r="X993" s="98">
        <v>1.7947421638018199</v>
      </c>
      <c r="Y993" s="233">
        <v>3.53</v>
      </c>
      <c r="Z993" s="48">
        <v>3.52</v>
      </c>
      <c r="AA993" s="48">
        <v>3.42</v>
      </c>
      <c r="AB993" s="48">
        <v>3.37</v>
      </c>
      <c r="AC993" s="48">
        <v>0.90990000000000004</v>
      </c>
      <c r="AD993" s="48">
        <v>3.38</v>
      </c>
      <c r="AE993" s="48">
        <v>3.43</v>
      </c>
      <c r="AF993" s="48">
        <f t="shared" si="279"/>
        <v>3.42</v>
      </c>
      <c r="AG993" s="49">
        <v>2.89</v>
      </c>
      <c r="AH993" s="98">
        <v>3.98E-6</v>
      </c>
      <c r="AI993" s="98">
        <v>1.6199999999999999E-6</v>
      </c>
      <c r="AJ993" s="483">
        <f t="shared" ref="AJ993:AJ1056" si="288">LOG10(AH993*1000/(0.08206*298.15))</f>
        <v>-3.7886832542389639</v>
      </c>
      <c r="AK993" s="483">
        <f>LOG10(AI993*1000/(0.08206*298.15))</f>
        <v>-4.1790513117700208</v>
      </c>
      <c r="AL993" s="483">
        <f t="shared" si="287"/>
        <v>-4.1790513117700208</v>
      </c>
      <c r="AM993" s="483">
        <v>-5.8312299999999997</v>
      </c>
      <c r="AN993" s="226">
        <v>-4.09</v>
      </c>
      <c r="AO993" s="484">
        <v>4.78</v>
      </c>
      <c r="AP993" s="484"/>
      <c r="AQ993" s="48" t="s">
        <v>6311</v>
      </c>
      <c r="AR993" s="48" t="s">
        <v>6311</v>
      </c>
      <c r="AS993" s="227"/>
      <c r="AT993" s="50" t="s">
        <v>266</v>
      </c>
      <c r="AU993" s="48">
        <v>6</v>
      </c>
      <c r="AV993" s="48">
        <v>120</v>
      </c>
      <c r="AW993" s="48">
        <v>114</v>
      </c>
      <c r="AX993" s="48">
        <v>28</v>
      </c>
      <c r="AY993" s="48" t="s">
        <v>8728</v>
      </c>
      <c r="AZ993" s="48" t="s">
        <v>1563</v>
      </c>
      <c r="BA993" s="48">
        <v>32</v>
      </c>
      <c r="BB993" s="47" t="s">
        <v>2485</v>
      </c>
      <c r="BC993" s="47" t="s">
        <v>8726</v>
      </c>
      <c r="BD993" s="47" t="s">
        <v>8374</v>
      </c>
      <c r="BE993" s="48" t="s">
        <v>2449</v>
      </c>
      <c r="BF993" s="48" t="s">
        <v>272</v>
      </c>
      <c r="BG993" s="48" t="s">
        <v>272</v>
      </c>
      <c r="BH993" s="48" t="s">
        <v>2486</v>
      </c>
      <c r="BI993" s="98">
        <v>6.3999999999999997E-6</v>
      </c>
      <c r="BJ993" s="98">
        <v>6.4000000000000001E-2</v>
      </c>
      <c r="BK993" s="48"/>
      <c r="BL993" s="98">
        <f t="shared" si="285"/>
        <v>3.5439533784064246E-2</v>
      </c>
      <c r="BM993" s="47" t="s">
        <v>2487</v>
      </c>
      <c r="BN993" s="48"/>
      <c r="BO993" s="48"/>
      <c r="BP993" s="48"/>
      <c r="BQ993" s="48"/>
      <c r="BR993" s="47" t="s">
        <v>2496</v>
      </c>
      <c r="BS993" s="48"/>
      <c r="BT993" s="48"/>
      <c r="BU993" s="228">
        <v>6.4000000000000005E-4</v>
      </c>
      <c r="BV993" s="48"/>
      <c r="BW993" s="48"/>
      <c r="BX993" s="48"/>
      <c r="BY993" s="48"/>
      <c r="BZ993" s="48"/>
      <c r="CA993" s="48"/>
      <c r="CB993" s="48"/>
      <c r="CC993" s="48"/>
      <c r="CD993" s="48"/>
      <c r="CE993" s="48"/>
      <c r="CF993" s="48"/>
      <c r="CG993" s="48"/>
      <c r="CH993" s="48"/>
      <c r="CI993" s="98"/>
      <c r="CJ993" s="98"/>
      <c r="CK993" s="49">
        <f t="shared" si="281"/>
        <v>0.55374271537600384</v>
      </c>
      <c r="CL993" s="229"/>
      <c r="CM993" s="229"/>
      <c r="CN993" s="229"/>
      <c r="CO993" s="47" t="s">
        <v>2488</v>
      </c>
      <c r="CP993" s="47" t="s">
        <v>2489</v>
      </c>
      <c r="CQ993" s="224">
        <v>-0.20022826402316693</v>
      </c>
      <c r="CR993" s="224">
        <f>10^(CJ993-CQ993)</f>
        <v>1.5857264270562783</v>
      </c>
      <c r="CS993" s="230" t="s">
        <v>539</v>
      </c>
      <c r="CT993" s="230"/>
      <c r="CU993" s="230"/>
      <c r="CV993" s="335">
        <f t="shared" si="284"/>
        <v>28.042846309403437</v>
      </c>
      <c r="CW993" s="230">
        <f t="shared" si="280"/>
        <v>1</v>
      </c>
      <c r="CX993" s="336"/>
      <c r="CY993" s="230" t="s">
        <v>6351</v>
      </c>
    </row>
    <row r="994" spans="1:103" ht="11.25" customHeight="1" x14ac:dyDescent="0.2">
      <c r="A994" s="72">
        <v>992</v>
      </c>
      <c r="B994" s="224">
        <v>1385</v>
      </c>
      <c r="C994" s="46" t="s">
        <v>7175</v>
      </c>
      <c r="D994" s="46"/>
      <c r="E994" s="114"/>
      <c r="F994" s="114" t="s">
        <v>4269</v>
      </c>
      <c r="G994" s="225">
        <v>112254</v>
      </c>
      <c r="H994" s="47" t="s">
        <v>4270</v>
      </c>
      <c r="I994" s="47" t="s">
        <v>4270</v>
      </c>
      <c r="J994" s="47" t="s">
        <v>4271</v>
      </c>
      <c r="K994" s="47" t="s">
        <v>426</v>
      </c>
      <c r="L994" s="47"/>
      <c r="M994" s="47"/>
      <c r="N994" s="47"/>
      <c r="O994" s="47"/>
      <c r="P994" s="53" t="s">
        <v>6183</v>
      </c>
      <c r="Q994" s="53" t="s">
        <v>6182</v>
      </c>
      <c r="R994" s="53" t="s">
        <v>6185</v>
      </c>
      <c r="S994" s="53" t="s">
        <v>6176</v>
      </c>
      <c r="T994" s="48">
        <v>146.22999999999999</v>
      </c>
      <c r="U994" s="98">
        <v>67.701566026123231</v>
      </c>
      <c r="V994" s="98">
        <v>44.977090884223486</v>
      </c>
      <c r="W994" s="98">
        <v>117.48975549395291</v>
      </c>
      <c r="X994" s="98">
        <v>67.701566026123231</v>
      </c>
      <c r="Y994" s="233">
        <v>6.99</v>
      </c>
      <c r="Z994" s="48">
        <v>1.55</v>
      </c>
      <c r="AA994" s="48">
        <v>1.86</v>
      </c>
      <c r="AB994" s="48">
        <v>1.97</v>
      </c>
      <c r="AC994" s="48">
        <v>0.88109999999999999</v>
      </c>
      <c r="AD994" s="48">
        <v>1.94</v>
      </c>
      <c r="AE994" s="48">
        <v>1.86</v>
      </c>
      <c r="AF994" s="48">
        <f t="shared" si="279"/>
        <v>1.86</v>
      </c>
      <c r="AG994" s="49">
        <v>1.73</v>
      </c>
      <c r="AH994" s="98">
        <v>1.73E-7</v>
      </c>
      <c r="AI994" s="98">
        <v>3.1200000000000002E-6</v>
      </c>
      <c r="AJ994" s="483">
        <f t="shared" si="288"/>
        <v>-5.1505202231838565</v>
      </c>
      <c r="AK994" s="483">
        <f>LOG10(AI994*1000/(0.08206*298.15))</f>
        <v>-3.8944117322942091</v>
      </c>
      <c r="AL994" s="483">
        <f t="shared" si="287"/>
        <v>-3.8944117322942091</v>
      </c>
      <c r="AM994" s="483">
        <v>-5.5165800000000003</v>
      </c>
      <c r="AN994" s="226">
        <v>-3.99</v>
      </c>
      <c r="AO994" s="484">
        <v>14.44</v>
      </c>
      <c r="AP994" s="484"/>
      <c r="AQ994" s="48" t="s">
        <v>6311</v>
      </c>
      <c r="AR994" s="48" t="s">
        <v>6311</v>
      </c>
      <c r="AS994" s="227"/>
      <c r="AT994" s="50" t="s">
        <v>266</v>
      </c>
      <c r="AU994" s="48">
        <v>6</v>
      </c>
      <c r="AV994" s="48">
        <v>120</v>
      </c>
      <c r="AW994" s="48">
        <v>114</v>
      </c>
      <c r="AX994" s="48">
        <v>28</v>
      </c>
      <c r="AY994" s="48" t="s">
        <v>8728</v>
      </c>
      <c r="AZ994" s="48" t="s">
        <v>1563</v>
      </c>
      <c r="BA994" s="48">
        <v>32</v>
      </c>
      <c r="BB994" s="47" t="s">
        <v>2485</v>
      </c>
      <c r="BC994" s="47" t="s">
        <v>8726</v>
      </c>
      <c r="BD994" s="47" t="s">
        <v>8374</v>
      </c>
      <c r="BE994" s="48" t="s">
        <v>2449</v>
      </c>
      <c r="BF994" s="48" t="s">
        <v>272</v>
      </c>
      <c r="BG994" s="48" t="s">
        <v>272</v>
      </c>
      <c r="BH994" s="48" t="s">
        <v>2486</v>
      </c>
      <c r="BI994" s="98">
        <v>6.3999999999999997E-6</v>
      </c>
      <c r="BJ994" s="98">
        <v>6.4000000000000001E-2</v>
      </c>
      <c r="BK994" s="48"/>
      <c r="BL994" s="98">
        <f t="shared" si="285"/>
        <v>2.0832673143506195</v>
      </c>
      <c r="BM994" s="47" t="s">
        <v>2487</v>
      </c>
      <c r="BN994" s="48"/>
      <c r="BO994" s="48"/>
      <c r="BP994" s="48"/>
      <c r="BQ994" s="48"/>
      <c r="BR994" s="47" t="s">
        <v>2496</v>
      </c>
      <c r="BS994" s="48"/>
      <c r="BT994" s="48"/>
      <c r="BU994" s="228"/>
      <c r="BV994" s="48"/>
      <c r="BW994" s="48"/>
      <c r="BX994" s="48"/>
      <c r="BY994" s="48"/>
      <c r="BZ994" s="48"/>
      <c r="CA994" s="48"/>
      <c r="CB994" s="48"/>
      <c r="CC994" s="48"/>
      <c r="CD994" s="48"/>
      <c r="CE994" s="48"/>
      <c r="CF994" s="48"/>
      <c r="CG994" s="48"/>
      <c r="CH994" s="48"/>
      <c r="CI994" s="52" t="s">
        <v>6347</v>
      </c>
      <c r="CJ994" s="98"/>
      <c r="CK994" s="49">
        <f t="shared" si="281"/>
        <v>32.551051786728429</v>
      </c>
      <c r="CL994" s="229"/>
      <c r="CM994" s="229"/>
      <c r="CN994" s="229"/>
      <c r="CO994" s="47" t="s">
        <v>2488</v>
      </c>
      <c r="CP994" s="47" t="s">
        <v>2489</v>
      </c>
      <c r="CQ994" s="224" t="s">
        <v>272</v>
      </c>
      <c r="CR994" s="224"/>
      <c r="CS994" s="230" t="s">
        <v>539</v>
      </c>
      <c r="CT994" s="230"/>
      <c r="CU994" s="230"/>
      <c r="CV994" s="335">
        <f t="shared" si="284"/>
        <v>1057.8369691581754</v>
      </c>
      <c r="CW994" s="230">
        <f t="shared" si="280"/>
        <v>1</v>
      </c>
      <c r="CX994" s="336"/>
      <c r="CY994" s="230" t="s">
        <v>6351</v>
      </c>
    </row>
    <row r="995" spans="1:103" ht="11.25" customHeight="1" x14ac:dyDescent="0.2">
      <c r="A995" s="72">
        <v>993</v>
      </c>
      <c r="B995" s="224">
        <v>1916</v>
      </c>
      <c r="C995" s="46" t="s">
        <v>1795</v>
      </c>
      <c r="D995" s="46"/>
      <c r="E995" s="114"/>
      <c r="F995" s="114" t="s">
        <v>1796</v>
      </c>
      <c r="G995" s="225">
        <v>112276</v>
      </c>
      <c r="H995" s="47" t="s">
        <v>1797</v>
      </c>
      <c r="I995" s="47" t="s">
        <v>1797</v>
      </c>
      <c r="J995" s="47" t="s">
        <v>1798</v>
      </c>
      <c r="K995" s="47" t="s">
        <v>426</v>
      </c>
      <c r="L995" s="47"/>
      <c r="M995" s="47"/>
      <c r="N995" s="47"/>
      <c r="O995" s="47"/>
      <c r="P995" s="53"/>
      <c r="Q995" s="53" t="s">
        <v>6176</v>
      </c>
      <c r="R995" s="53" t="s">
        <v>6185</v>
      </c>
      <c r="S995" s="53" t="s">
        <v>6176</v>
      </c>
      <c r="T995" s="48">
        <v>150.16999999999999</v>
      </c>
      <c r="U995" s="98">
        <v>6659.1196643803696</v>
      </c>
      <c r="V995" s="98">
        <v>6659.1196643803696</v>
      </c>
      <c r="W995" s="98">
        <v>6606.9344800759609</v>
      </c>
      <c r="X995" s="98">
        <v>6659.1196643803696</v>
      </c>
      <c r="Y995" s="233">
        <v>6.58</v>
      </c>
      <c r="Z995" s="48">
        <v>-1.75</v>
      </c>
      <c r="AA995" s="48">
        <v>-1.75</v>
      </c>
      <c r="AB995" s="48">
        <v>-1.01</v>
      </c>
      <c r="AC995" s="48">
        <v>0.8387</v>
      </c>
      <c r="AD995" s="48">
        <v>-1.24</v>
      </c>
      <c r="AE995" s="48">
        <v>-1.87</v>
      </c>
      <c r="AF995" s="48">
        <f t="shared" si="279"/>
        <v>-1.75</v>
      </c>
      <c r="AG995" s="49">
        <v>-0.93</v>
      </c>
      <c r="AH995" s="98">
        <v>3.1599999999999999E-11</v>
      </c>
      <c r="AI995" s="98"/>
      <c r="AJ995" s="483">
        <f t="shared" si="288"/>
        <v>-8.8888792436942481</v>
      </c>
      <c r="AK995" s="483"/>
      <c r="AL995" s="483">
        <f t="shared" si="287"/>
        <v>-8.8888792436942481</v>
      </c>
      <c r="AM995" s="483">
        <v>-10.47321</v>
      </c>
      <c r="AN995" s="226">
        <v>-9.2100000000000009</v>
      </c>
      <c r="AO995" s="484">
        <v>14.06</v>
      </c>
      <c r="AP995" s="484"/>
      <c r="AQ995" s="226" t="s">
        <v>6311</v>
      </c>
      <c r="AR995" s="226" t="s">
        <v>6311</v>
      </c>
      <c r="AS995" s="224"/>
      <c r="AT995" s="50" t="s">
        <v>266</v>
      </c>
      <c r="AU995" s="48">
        <v>6</v>
      </c>
      <c r="AV995" s="48">
        <v>120</v>
      </c>
      <c r="AW995" s="48">
        <v>114</v>
      </c>
      <c r="AX995" s="48">
        <v>28</v>
      </c>
      <c r="AY995" s="48" t="s">
        <v>8728</v>
      </c>
      <c r="AZ995" s="48" t="s">
        <v>1563</v>
      </c>
      <c r="BA995" s="48">
        <v>32</v>
      </c>
      <c r="BB995" s="47" t="s">
        <v>2485</v>
      </c>
      <c r="BC995" s="47" t="s">
        <v>8726</v>
      </c>
      <c r="BD995" s="47" t="s">
        <v>8374</v>
      </c>
      <c r="BE995" s="48" t="s">
        <v>2449</v>
      </c>
      <c r="BF995" s="48" t="s">
        <v>272</v>
      </c>
      <c r="BG995" s="48" t="s">
        <v>272</v>
      </c>
      <c r="BH995" s="48" t="s">
        <v>2486</v>
      </c>
      <c r="BI995" s="98">
        <v>6.3999999999999997E-6</v>
      </c>
      <c r="BJ995" s="98">
        <v>6.4000000000000001E-2</v>
      </c>
      <c r="BK995" s="48"/>
      <c r="BL995" s="98">
        <f t="shared" si="285"/>
        <v>1916.3507455437423</v>
      </c>
      <c r="BM995" s="47" t="s">
        <v>2487</v>
      </c>
      <c r="BN995" s="48"/>
      <c r="BO995" s="48"/>
      <c r="BP995" s="48"/>
      <c r="BQ995" s="48"/>
      <c r="BR995" s="47" t="s">
        <v>2496</v>
      </c>
      <c r="BS995" s="48"/>
      <c r="BT995" s="48"/>
      <c r="BU995" s="228"/>
      <c r="BV995" s="48"/>
      <c r="BW995" s="48"/>
      <c r="BX995" s="48"/>
      <c r="BY995" s="48"/>
      <c r="BZ995" s="48"/>
      <c r="CA995" s="48"/>
      <c r="CB995" s="48"/>
      <c r="CC995" s="48"/>
      <c r="CD995" s="48"/>
      <c r="CE995" s="48"/>
      <c r="CF995" s="48"/>
      <c r="CG995" s="48"/>
      <c r="CH995" s="48"/>
      <c r="CI995" s="98"/>
      <c r="CJ995" s="98"/>
      <c r="CK995" s="49">
        <f t="shared" si="281"/>
        <v>29942.980399120974</v>
      </c>
      <c r="CL995" s="229"/>
      <c r="CM995" s="229"/>
      <c r="CN995" s="229"/>
      <c r="CO995" s="47" t="s">
        <v>2488</v>
      </c>
      <c r="CP995" s="47" t="s">
        <v>2489</v>
      </c>
      <c r="CQ995" s="224">
        <v>2.6864109679640658</v>
      </c>
      <c r="CR995" s="224">
        <f>10^(CJ995-CQ995)</f>
        <v>2.0586808847694788E-3</v>
      </c>
      <c r="CS995" s="230" t="s">
        <v>539</v>
      </c>
      <c r="CT995" s="230"/>
      <c r="CU995" s="230"/>
      <c r="CV995" s="335">
        <f t="shared" si="284"/>
        <v>104048.74475594328</v>
      </c>
      <c r="CW995" s="230">
        <f t="shared" si="280"/>
        <v>1</v>
      </c>
      <c r="CX995" s="336"/>
      <c r="CY995" s="230" t="s">
        <v>6351</v>
      </c>
    </row>
    <row r="996" spans="1:103" ht="11.25" customHeight="1" x14ac:dyDescent="0.2">
      <c r="A996" s="72">
        <v>994</v>
      </c>
      <c r="B996" s="224">
        <v>1351</v>
      </c>
      <c r="C996" s="46" t="s">
        <v>7176</v>
      </c>
      <c r="D996" s="46"/>
      <c r="E996" s="114"/>
      <c r="F996" s="114" t="s">
        <v>4182</v>
      </c>
      <c r="G996" s="225">
        <v>112301</v>
      </c>
      <c r="H996" s="47" t="s">
        <v>4183</v>
      </c>
      <c r="I996" s="47" t="s">
        <v>4183</v>
      </c>
      <c r="J996" s="47" t="s">
        <v>4184</v>
      </c>
      <c r="K996" s="47" t="s">
        <v>426</v>
      </c>
      <c r="L996" s="51" t="s">
        <v>5527</v>
      </c>
      <c r="M996" s="47" t="s">
        <v>6082</v>
      </c>
      <c r="N996" s="47" t="s">
        <v>6082</v>
      </c>
      <c r="O996" s="47" t="s">
        <v>6083</v>
      </c>
      <c r="P996" s="53" t="s">
        <v>6183</v>
      </c>
      <c r="Q996" s="53" t="s">
        <v>6179</v>
      </c>
      <c r="R996" s="53" t="s">
        <v>6185</v>
      </c>
      <c r="S996" s="53" t="s">
        <v>6176</v>
      </c>
      <c r="T996" s="48">
        <v>158.28</v>
      </c>
      <c r="U996" s="98">
        <v>0.23376295173110942</v>
      </c>
      <c r="V996" s="98">
        <v>0.17822845590093506</v>
      </c>
      <c r="W996" s="98">
        <v>0.64565422903465508</v>
      </c>
      <c r="X996" s="98">
        <v>0.23376295173110942</v>
      </c>
      <c r="Y996" s="233">
        <v>7</v>
      </c>
      <c r="Z996" s="48">
        <v>3.79</v>
      </c>
      <c r="AA996" s="48">
        <v>4.57</v>
      </c>
      <c r="AB996" s="48">
        <v>4.42</v>
      </c>
      <c r="AC996" s="48">
        <v>0.89490000000000003</v>
      </c>
      <c r="AD996" s="48">
        <v>4.33</v>
      </c>
      <c r="AE996" s="48">
        <v>4.0599999999999996</v>
      </c>
      <c r="AF996" s="48">
        <f t="shared" si="279"/>
        <v>4.57</v>
      </c>
      <c r="AG996" s="49">
        <v>3.53</v>
      </c>
      <c r="AH996" s="98">
        <v>5.4700000000000001E-5</v>
      </c>
      <c r="AI996" s="98">
        <v>3.1999999999999999E-5</v>
      </c>
      <c r="AJ996" s="483">
        <f t="shared" si="288"/>
        <v>-2.6505789999792211</v>
      </c>
      <c r="AK996" s="483">
        <f>LOG10(AI996*1000/(0.08206*298.15))</f>
        <v>-2.8834163479927457</v>
      </c>
      <c r="AL996" s="483">
        <f t="shared" si="287"/>
        <v>-2.8834163479927457</v>
      </c>
      <c r="AM996" s="483">
        <v>-4.18283</v>
      </c>
      <c r="AN996" s="226">
        <v>-2.5099999999999998</v>
      </c>
      <c r="AO996" s="484">
        <v>15.21</v>
      </c>
      <c r="AP996" s="484"/>
      <c r="AQ996" s="48" t="s">
        <v>6311</v>
      </c>
      <c r="AR996" s="48" t="s">
        <v>6311</v>
      </c>
      <c r="AS996" s="227"/>
      <c r="AT996" s="50" t="s">
        <v>266</v>
      </c>
      <c r="AU996" s="48">
        <v>6</v>
      </c>
      <c r="AV996" s="48">
        <v>120</v>
      </c>
      <c r="AW996" s="48">
        <v>114</v>
      </c>
      <c r="AX996" s="48">
        <v>28</v>
      </c>
      <c r="AY996" s="48" t="s">
        <v>8728</v>
      </c>
      <c r="AZ996" s="48" t="s">
        <v>1563</v>
      </c>
      <c r="BA996" s="48">
        <v>32</v>
      </c>
      <c r="BB996" s="47" t="s">
        <v>2485</v>
      </c>
      <c r="BC996" s="47" t="s">
        <v>8726</v>
      </c>
      <c r="BD996" s="47" t="s">
        <v>8374</v>
      </c>
      <c r="BE996" s="48" t="s">
        <v>2449</v>
      </c>
      <c r="BF996" s="48" t="s">
        <v>272</v>
      </c>
      <c r="BG996" s="48" t="s">
        <v>272</v>
      </c>
      <c r="BH996" s="48" t="s">
        <v>2486</v>
      </c>
      <c r="BI996" s="98">
        <v>6.3999999999999997E-6</v>
      </c>
      <c r="BJ996" s="98">
        <v>6.4000000000000001E-2</v>
      </c>
      <c r="BK996" s="48"/>
      <c r="BL996" s="98">
        <f t="shared" si="285"/>
        <v>2.0276873884386589E-2</v>
      </c>
      <c r="BM996" s="47" t="s">
        <v>2487</v>
      </c>
      <c r="BN996" s="48"/>
      <c r="BO996" s="48"/>
      <c r="BP996" s="48"/>
      <c r="BQ996" s="48"/>
      <c r="BR996" s="47" t="s">
        <v>2496</v>
      </c>
      <c r="BS996" s="48"/>
      <c r="BT996" s="48"/>
      <c r="BU996" s="228"/>
      <c r="BV996" s="48"/>
      <c r="BW996" s="48"/>
      <c r="BX996" s="48"/>
      <c r="BY996" s="48"/>
      <c r="BZ996" s="48"/>
      <c r="CA996" s="48"/>
      <c r="CB996" s="48"/>
      <c r="CC996" s="48"/>
      <c r="CD996" s="48"/>
      <c r="CE996" s="48"/>
      <c r="CF996" s="48"/>
      <c r="CG996" s="48"/>
      <c r="CH996" s="48"/>
      <c r="CI996" s="98"/>
      <c r="CJ996" s="98"/>
      <c r="CK996" s="49">
        <f t="shared" si="281"/>
        <v>0.31682615444354045</v>
      </c>
      <c r="CL996" s="229"/>
      <c r="CM996" s="229"/>
      <c r="CN996" s="229"/>
      <c r="CO996" s="47" t="s">
        <v>2488</v>
      </c>
      <c r="CP996" s="47" t="s">
        <v>2489</v>
      </c>
      <c r="CQ996" s="224">
        <v>-1.6576747316788565</v>
      </c>
      <c r="CR996" s="224">
        <f>10^(CJ996-CQ996)</f>
        <v>45.464742078639695</v>
      </c>
      <c r="CS996" s="230" t="s">
        <v>539</v>
      </c>
      <c r="CT996" s="230"/>
      <c r="CU996" s="230"/>
      <c r="CV996" s="335">
        <f t="shared" si="284"/>
        <v>3.6525461207985845</v>
      </c>
      <c r="CW996" s="230">
        <f t="shared" si="280"/>
        <v>1</v>
      </c>
      <c r="CX996" s="336"/>
      <c r="CY996" s="230" t="s">
        <v>6351</v>
      </c>
    </row>
    <row r="997" spans="1:103" ht="11.25" customHeight="1" x14ac:dyDescent="0.2">
      <c r="A997" s="72">
        <v>995</v>
      </c>
      <c r="B997" s="224">
        <v>922</v>
      </c>
      <c r="C997" s="46" t="s">
        <v>7177</v>
      </c>
      <c r="D997" s="46"/>
      <c r="E997" s="114"/>
      <c r="F997" s="114" t="s">
        <v>701</v>
      </c>
      <c r="G997" s="225">
        <v>112345</v>
      </c>
      <c r="H997" s="47" t="s">
        <v>702</v>
      </c>
      <c r="I997" s="47" t="s">
        <v>702</v>
      </c>
      <c r="J997" s="47" t="s">
        <v>703</v>
      </c>
      <c r="K997" s="47" t="s">
        <v>426</v>
      </c>
      <c r="L997" s="47" t="s">
        <v>5527</v>
      </c>
      <c r="M997" s="47" t="s">
        <v>6082</v>
      </c>
      <c r="N997" s="47" t="s">
        <v>6082</v>
      </c>
      <c r="O997" s="47" t="s">
        <v>6083</v>
      </c>
      <c r="P997" s="53" t="s">
        <v>6183</v>
      </c>
      <c r="Q997" s="53" t="s">
        <v>6176</v>
      </c>
      <c r="R997" s="53" t="s">
        <v>6185</v>
      </c>
      <c r="S997" s="53" t="s">
        <v>6176</v>
      </c>
      <c r="T997" s="48">
        <v>162.22999999999999</v>
      </c>
      <c r="U997" s="98">
        <v>6164.0880231769715</v>
      </c>
      <c r="V997" s="98">
        <v>443.32121062688776</v>
      </c>
      <c r="W997" s="98">
        <v>794.32823472428151</v>
      </c>
      <c r="X997" s="98">
        <v>6164.0880231769715</v>
      </c>
      <c r="Y997" s="233">
        <v>6.94</v>
      </c>
      <c r="Z997" s="48">
        <v>0.28999999999999998</v>
      </c>
      <c r="AA997" s="48">
        <v>0.56000000000000005</v>
      </c>
      <c r="AB997" s="48">
        <v>0.59</v>
      </c>
      <c r="AC997" s="48">
        <v>0.8196</v>
      </c>
      <c r="AD997" s="48">
        <v>0.55000000000000004</v>
      </c>
      <c r="AE997" s="48">
        <v>0.44</v>
      </c>
      <c r="AF997" s="48">
        <f t="shared" si="279"/>
        <v>0.56000000000000005</v>
      </c>
      <c r="AG997" s="49">
        <v>0.89</v>
      </c>
      <c r="AH997" s="98">
        <v>1.5199999999999999E-9</v>
      </c>
      <c r="AI997" s="98">
        <v>7.2E-9</v>
      </c>
      <c r="AJ997" s="483">
        <f t="shared" si="288"/>
        <v>-7.2067227383678789</v>
      </c>
      <c r="AK997" s="483">
        <f>LOG10(AI997*1000/(0.08206*298.15))</f>
        <v>-6.5312338298813835</v>
      </c>
      <c r="AL997" s="483">
        <f t="shared" si="287"/>
        <v>-6.5312338298813835</v>
      </c>
      <c r="AM997" s="483">
        <v>-7.0506599999999997</v>
      </c>
      <c r="AN997" s="226">
        <v>-5.8</v>
      </c>
      <c r="AO997" s="484">
        <v>14.37</v>
      </c>
      <c r="AP997" s="484"/>
      <c r="AQ997" s="48" t="s">
        <v>6311</v>
      </c>
      <c r="AR997" s="48" t="s">
        <v>6311</v>
      </c>
      <c r="AS997" s="227"/>
      <c r="AT997" s="50" t="s">
        <v>266</v>
      </c>
      <c r="AU997" s="48">
        <v>6</v>
      </c>
      <c r="AV997" s="48">
        <v>120</v>
      </c>
      <c r="AW997" s="48">
        <v>114</v>
      </c>
      <c r="AX997" s="48">
        <v>28</v>
      </c>
      <c r="AY997" s="48" t="s">
        <v>8728</v>
      </c>
      <c r="AZ997" s="48" t="s">
        <v>1563</v>
      </c>
      <c r="BA997" s="48">
        <v>32</v>
      </c>
      <c r="BB997" s="47" t="s">
        <v>2485</v>
      </c>
      <c r="BC997" s="47" t="s">
        <v>8726</v>
      </c>
      <c r="BD997" s="47" t="s">
        <v>8374</v>
      </c>
      <c r="BE997" s="48" t="s">
        <v>2449</v>
      </c>
      <c r="BF997" s="48" t="s">
        <v>272</v>
      </c>
      <c r="BG997" s="48" t="s">
        <v>272</v>
      </c>
      <c r="BH997" s="48" t="s">
        <v>2486</v>
      </c>
      <c r="BI997" s="98">
        <v>6.3999999999999997E-6</v>
      </c>
      <c r="BJ997" s="98">
        <v>6.4000000000000001E-2</v>
      </c>
      <c r="BK997" s="48"/>
      <c r="BL997" s="98">
        <f t="shared" si="285"/>
        <v>28.206616898450342</v>
      </c>
      <c r="BM997" s="47" t="s">
        <v>2487</v>
      </c>
      <c r="BN997" s="48"/>
      <c r="BO997" s="48"/>
      <c r="BP997" s="48"/>
      <c r="BQ997" s="48"/>
      <c r="BR997" s="47" t="s">
        <v>2496</v>
      </c>
      <c r="BS997" s="48"/>
      <c r="BT997" s="48"/>
      <c r="BU997" s="228">
        <v>6.3999999999999997E-5</v>
      </c>
      <c r="BV997" s="48"/>
      <c r="BW997" s="48"/>
      <c r="BX997" s="48"/>
      <c r="BY997" s="48"/>
      <c r="BZ997" s="48"/>
      <c r="CA997" s="48"/>
      <c r="CB997" s="48"/>
      <c r="CC997" s="48"/>
      <c r="CD997" s="48"/>
      <c r="CE997" s="48"/>
      <c r="CF997" s="48"/>
      <c r="CG997" s="48"/>
      <c r="CH997" s="48"/>
      <c r="CI997" s="98"/>
      <c r="CJ997" s="98"/>
      <c r="CK997" s="49">
        <f t="shared" si="281"/>
        <v>440.72838903828659</v>
      </c>
      <c r="CL997" s="229"/>
      <c r="CM997" s="229"/>
      <c r="CN997" s="229"/>
      <c r="CO997" s="47" t="s">
        <v>2488</v>
      </c>
      <c r="CP997" s="47" t="s">
        <v>2489</v>
      </c>
      <c r="CQ997" s="224">
        <v>0.90381218412270081</v>
      </c>
      <c r="CR997" s="224">
        <f>10^(CJ997-CQ997)</f>
        <v>0.12479230769230766</v>
      </c>
      <c r="CS997" s="230" t="s">
        <v>539</v>
      </c>
      <c r="CT997" s="230"/>
      <c r="CU997" s="230"/>
      <c r="CV997" s="335">
        <f t="shared" si="284"/>
        <v>96313.875362140185</v>
      </c>
      <c r="CW997" s="230">
        <f t="shared" si="280"/>
        <v>1</v>
      </c>
      <c r="CX997" s="336"/>
      <c r="CY997" s="230" t="s">
        <v>6351</v>
      </c>
    </row>
    <row r="998" spans="1:103" ht="11.25" customHeight="1" x14ac:dyDescent="0.2">
      <c r="A998" s="72">
        <v>996</v>
      </c>
      <c r="B998" s="224">
        <v>1358</v>
      </c>
      <c r="C998" s="46" t="s">
        <v>7178</v>
      </c>
      <c r="D998" s="46" t="s">
        <v>8394</v>
      </c>
      <c r="E998" s="114"/>
      <c r="F998" s="114" t="s">
        <v>4198</v>
      </c>
      <c r="G998" s="225">
        <v>112389</v>
      </c>
      <c r="H998" s="47" t="s">
        <v>4199</v>
      </c>
      <c r="I998" s="47" t="s">
        <v>4199</v>
      </c>
      <c r="J998" s="47" t="s">
        <v>4200</v>
      </c>
      <c r="K998" s="47" t="s">
        <v>426</v>
      </c>
      <c r="L998" s="51" t="s">
        <v>8398</v>
      </c>
      <c r="M998" s="47" t="s">
        <v>2342</v>
      </c>
      <c r="N998" s="47" t="s">
        <v>2342</v>
      </c>
      <c r="O998" s="47"/>
      <c r="P998" s="53"/>
      <c r="Q998" s="53" t="s">
        <v>6173</v>
      </c>
      <c r="R998" s="53" t="s">
        <v>6183</v>
      </c>
      <c r="S998" s="53" t="s">
        <v>6173</v>
      </c>
      <c r="T998" s="48">
        <v>184.28</v>
      </c>
      <c r="U998" s="98">
        <v>0.39993488170175823</v>
      </c>
      <c r="V998" s="98">
        <v>0.35728239635337533</v>
      </c>
      <c r="W998" s="98">
        <v>1.995262314968878</v>
      </c>
      <c r="X998" s="98">
        <v>0.39993488170175823</v>
      </c>
      <c r="Y998" s="233">
        <v>3.76</v>
      </c>
      <c r="Z998" s="48">
        <v>4.37</v>
      </c>
      <c r="AA998" s="48">
        <v>3.86</v>
      </c>
      <c r="AB998" s="48">
        <v>3.79</v>
      </c>
      <c r="AC998" s="48">
        <v>0.83860000000000001</v>
      </c>
      <c r="AD998" s="48">
        <v>3.84</v>
      </c>
      <c r="AE998" s="48">
        <v>3.99</v>
      </c>
      <c r="AF998" s="48">
        <f t="shared" si="279"/>
        <v>3.86</v>
      </c>
      <c r="AG998" s="49">
        <v>3.77</v>
      </c>
      <c r="AH998" s="98">
        <v>5.2299999999999999E-6</v>
      </c>
      <c r="AI998" s="98"/>
      <c r="AJ998" s="483">
        <f t="shared" si="288"/>
        <v>-3.6700646374453774</v>
      </c>
      <c r="AK998" s="483"/>
      <c r="AL998" s="483">
        <f t="shared" si="287"/>
        <v>-3.6700646374453774</v>
      </c>
      <c r="AM998" s="483">
        <v>-6.5813799999999993</v>
      </c>
      <c r="AN998" s="226">
        <v>-3.83</v>
      </c>
      <c r="AO998" s="484">
        <v>4.78</v>
      </c>
      <c r="AP998" s="484"/>
      <c r="AQ998" s="48" t="s">
        <v>6311</v>
      </c>
      <c r="AR998" s="48" t="s">
        <v>6311</v>
      </c>
      <c r="AS998" s="227"/>
      <c r="AT998" s="50" t="s">
        <v>266</v>
      </c>
      <c r="AU998" s="48">
        <v>6</v>
      </c>
      <c r="AV998" s="48">
        <v>120</v>
      </c>
      <c r="AW998" s="48">
        <v>114</v>
      </c>
      <c r="AX998" s="48">
        <v>28</v>
      </c>
      <c r="AY998" s="48" t="s">
        <v>8728</v>
      </c>
      <c r="AZ998" s="48" t="s">
        <v>1563</v>
      </c>
      <c r="BA998" s="48">
        <v>32</v>
      </c>
      <c r="BB998" s="47" t="s">
        <v>2485</v>
      </c>
      <c r="BC998" s="47" t="s">
        <v>8726</v>
      </c>
      <c r="BD998" s="47" t="s">
        <v>8374</v>
      </c>
      <c r="BE998" s="48" t="s">
        <v>2449</v>
      </c>
      <c r="BF998" s="48" t="s">
        <v>272</v>
      </c>
      <c r="BG998" s="48" t="s">
        <v>272</v>
      </c>
      <c r="BH998" s="48" t="s">
        <v>2486</v>
      </c>
      <c r="BI998" s="98">
        <v>6.3999999999999997E-6</v>
      </c>
      <c r="BJ998" s="98">
        <v>6.4000000000000001E-2</v>
      </c>
      <c r="BK998" s="48"/>
      <c r="BL998" s="98">
        <f t="shared" si="285"/>
        <v>6.1108693692693431E-3</v>
      </c>
      <c r="BM998" s="47" t="s">
        <v>2487</v>
      </c>
      <c r="BN998" s="48"/>
      <c r="BO998" s="48"/>
      <c r="BP998" s="48"/>
      <c r="BQ998" s="48"/>
      <c r="BR998" s="47" t="s">
        <v>2496</v>
      </c>
      <c r="BS998" s="48"/>
      <c r="BT998" s="48"/>
      <c r="BU998" s="228"/>
      <c r="BV998" s="48"/>
      <c r="BW998" s="48"/>
      <c r="BX998" s="48"/>
      <c r="BY998" s="48"/>
      <c r="BZ998" s="48"/>
      <c r="CA998" s="48"/>
      <c r="CB998" s="48"/>
      <c r="CC998" s="48"/>
      <c r="CD998" s="48"/>
      <c r="CE998" s="48"/>
      <c r="CF998" s="48"/>
      <c r="CG998" s="48"/>
      <c r="CH998" s="48"/>
      <c r="CI998" s="98"/>
      <c r="CJ998" s="98"/>
      <c r="CK998" s="49">
        <f t="shared" si="281"/>
        <v>9.5482333894833488E-2</v>
      </c>
      <c r="CL998" s="229"/>
      <c r="CM998" s="229"/>
      <c r="CN998" s="229"/>
      <c r="CO998" s="47" t="s">
        <v>2488</v>
      </c>
      <c r="CP998" s="47" t="s">
        <v>2489</v>
      </c>
      <c r="CQ998" s="224">
        <v>-0.66294997442070769</v>
      </c>
      <c r="CR998" s="224">
        <f>10^(CJ998-CQ998)</f>
        <v>4.6020356052996787</v>
      </c>
      <c r="CS998" s="230" t="s">
        <v>539</v>
      </c>
      <c r="CT998" s="230"/>
      <c r="CU998" s="230"/>
      <c r="CV998" s="335">
        <f t="shared" si="284"/>
        <v>6.2489825265899723</v>
      </c>
      <c r="CW998" s="230">
        <f t="shared" si="280"/>
        <v>1</v>
      </c>
      <c r="CX998" s="336"/>
      <c r="CY998" s="230" t="s">
        <v>6351</v>
      </c>
    </row>
    <row r="999" spans="1:103" ht="11.25" customHeight="1" x14ac:dyDescent="0.2">
      <c r="A999" s="72">
        <v>997</v>
      </c>
      <c r="B999" s="224">
        <v>919</v>
      </c>
      <c r="C999" s="46" t="s">
        <v>7179</v>
      </c>
      <c r="D999" s="46"/>
      <c r="E999" s="114"/>
      <c r="F999" s="114" t="s">
        <v>2625</v>
      </c>
      <c r="G999" s="225">
        <v>112425</v>
      </c>
      <c r="H999" s="47" t="s">
        <v>2626</v>
      </c>
      <c r="I999" s="47" t="s">
        <v>2626</v>
      </c>
      <c r="J999" s="47" t="s">
        <v>2627</v>
      </c>
      <c r="K999" s="47" t="s">
        <v>426</v>
      </c>
      <c r="L999" s="47" t="s">
        <v>6072</v>
      </c>
      <c r="M999" s="47" t="s">
        <v>5960</v>
      </c>
      <c r="N999" s="47"/>
      <c r="O999" s="47"/>
      <c r="P999" s="53" t="s">
        <v>6183</v>
      </c>
      <c r="Q999" s="53" t="s">
        <v>6173</v>
      </c>
      <c r="R999" s="53" t="s">
        <v>6185</v>
      </c>
      <c r="S999" s="53" t="s">
        <v>6176</v>
      </c>
      <c r="T999" s="48">
        <v>172.31</v>
      </c>
      <c r="U999" s="98"/>
      <c r="V999" s="98">
        <v>0.24978236898612965</v>
      </c>
      <c r="W999" s="98">
        <v>0.16982436524617422</v>
      </c>
      <c r="X999" s="98">
        <f>IF(W999=0,V999,W999)</f>
        <v>0.16982436524617422</v>
      </c>
      <c r="Y999" s="233">
        <v>7</v>
      </c>
      <c r="Z999" s="48">
        <v>4.28</v>
      </c>
      <c r="AA999" s="48"/>
      <c r="AB999" s="48">
        <v>4.72</v>
      </c>
      <c r="AC999" s="48">
        <v>0.92420000000000002</v>
      </c>
      <c r="AD999" s="48">
        <v>4.6900000000000004</v>
      </c>
      <c r="AE999" s="48">
        <v>4.59</v>
      </c>
      <c r="AF999" s="48">
        <f t="shared" si="279"/>
        <v>4.6900000000000004</v>
      </c>
      <c r="AG999" s="49">
        <v>3.97</v>
      </c>
      <c r="AH999" s="98">
        <v>7.2600000000000003E-5</v>
      </c>
      <c r="AI999" s="98"/>
      <c r="AJ999" s="483">
        <f t="shared" si="288"/>
        <v>-2.5276297056125583</v>
      </c>
      <c r="AK999" s="483"/>
      <c r="AL999" s="483">
        <f t="shared" si="287"/>
        <v>-2.5276297056125583</v>
      </c>
      <c r="AM999" s="483">
        <v>-4.3146299999999993</v>
      </c>
      <c r="AN999" s="226">
        <v>-2.38</v>
      </c>
      <c r="AO999" s="484">
        <v>15.2</v>
      </c>
      <c r="AP999" s="484"/>
      <c r="AQ999" s="48" t="s">
        <v>6311</v>
      </c>
      <c r="AR999" s="48" t="s">
        <v>6311</v>
      </c>
      <c r="AS999" s="227"/>
      <c r="AT999" s="50" t="s">
        <v>266</v>
      </c>
      <c r="AU999" s="48">
        <v>6</v>
      </c>
      <c r="AV999" s="48">
        <v>120</v>
      </c>
      <c r="AW999" s="48">
        <v>114</v>
      </c>
      <c r="AX999" s="48">
        <v>28</v>
      </c>
      <c r="AY999" s="48" t="s">
        <v>8728</v>
      </c>
      <c r="AZ999" s="48" t="s">
        <v>1563</v>
      </c>
      <c r="BA999" s="48">
        <v>32</v>
      </c>
      <c r="BB999" s="47" t="s">
        <v>2485</v>
      </c>
      <c r="BC999" s="47" t="s">
        <v>8726</v>
      </c>
      <c r="BD999" s="47" t="s">
        <v>8374</v>
      </c>
      <c r="BE999" s="48" t="s">
        <v>2449</v>
      </c>
      <c r="BF999" s="48" t="s">
        <v>272</v>
      </c>
      <c r="BG999" s="48" t="s">
        <v>272</v>
      </c>
      <c r="BH999" s="48" t="s">
        <v>2486</v>
      </c>
      <c r="BI999" s="98">
        <v>6.3999999999999997E-6</v>
      </c>
      <c r="BJ999" s="98">
        <v>6.4000000000000001E-2</v>
      </c>
      <c r="BK999" s="48"/>
      <c r="BL999" s="98">
        <f t="shared" si="285"/>
        <v>7.3609183431349598E-3</v>
      </c>
      <c r="BM999" s="47" t="s">
        <v>2487</v>
      </c>
      <c r="BN999" s="48"/>
      <c r="BO999" s="48"/>
      <c r="BP999" s="48"/>
      <c r="BQ999" s="48"/>
      <c r="BR999" s="47" t="s">
        <v>2496</v>
      </c>
      <c r="BS999" s="48"/>
      <c r="BT999" s="48"/>
      <c r="BU999" s="228">
        <v>6.3999999999999997E-5</v>
      </c>
      <c r="BV999" s="48"/>
      <c r="BW999" s="48"/>
      <c r="BX999" s="48"/>
      <c r="BY999" s="48"/>
      <c r="BZ999" s="48"/>
      <c r="CA999" s="48"/>
      <c r="CB999" s="48"/>
      <c r="CC999" s="48"/>
      <c r="CD999" s="48"/>
      <c r="CE999" s="48"/>
      <c r="CF999" s="48"/>
      <c r="CG999" s="48"/>
      <c r="CH999" s="48"/>
      <c r="CI999" s="98"/>
      <c r="CJ999" s="98"/>
      <c r="CK999" s="49">
        <f t="shared" si="281"/>
        <v>0.11501434911148374</v>
      </c>
      <c r="CL999" s="229"/>
      <c r="CM999" s="229"/>
      <c r="CN999" s="229"/>
      <c r="CO999" s="47" t="s">
        <v>2488</v>
      </c>
      <c r="CP999" s="47" t="s">
        <v>2489</v>
      </c>
      <c r="CQ999" s="224">
        <v>-2.2192771431335507</v>
      </c>
      <c r="CR999" s="224">
        <f>10^(CJ999-CQ999)</f>
        <v>165.68269230769235</v>
      </c>
      <c r="CS999" s="230" t="s">
        <v>539</v>
      </c>
      <c r="CT999" s="230"/>
      <c r="CU999" s="230"/>
      <c r="CV999" s="335">
        <f t="shared" si="284"/>
        <v>2.653505706971472</v>
      </c>
      <c r="CW999" s="230">
        <f t="shared" si="280"/>
        <v>1</v>
      </c>
      <c r="CX999" s="336"/>
      <c r="CY999" s="230" t="s">
        <v>6351</v>
      </c>
    </row>
    <row r="1000" spans="1:103" ht="11.25" customHeight="1" x14ac:dyDescent="0.2">
      <c r="A1000" s="72">
        <v>998</v>
      </c>
      <c r="B1000" s="224">
        <v>1318</v>
      </c>
      <c r="C1000" s="46" t="s">
        <v>7180</v>
      </c>
      <c r="D1000" s="46"/>
      <c r="E1000" s="114"/>
      <c r="F1000" s="114" t="s">
        <v>3602</v>
      </c>
      <c r="G1000" s="225">
        <v>112492</v>
      </c>
      <c r="H1000" s="47" t="s">
        <v>3603</v>
      </c>
      <c r="I1000" s="47" t="s">
        <v>3603</v>
      </c>
      <c r="J1000" s="236" t="s">
        <v>3604</v>
      </c>
      <c r="K1000" s="236" t="s">
        <v>426</v>
      </c>
      <c r="L1000" s="47"/>
      <c r="M1000" s="47"/>
      <c r="N1000" s="47"/>
      <c r="O1000" s="52"/>
      <c r="P1000" s="53"/>
      <c r="Q1000" s="53"/>
      <c r="R1000" s="53"/>
      <c r="S1000" s="53"/>
      <c r="T1000" s="226">
        <v>178.23</v>
      </c>
      <c r="U1000" s="98"/>
      <c r="V1000" s="98">
        <v>1394.2658362789655</v>
      </c>
      <c r="W1000" s="98">
        <v>4677.3514128719835</v>
      </c>
      <c r="X1000" s="98">
        <f>IF(W1000=0,V1000,W1000)</f>
        <v>4677.3514128719835</v>
      </c>
      <c r="Y1000" s="233">
        <v>7</v>
      </c>
      <c r="Z1000" s="48">
        <v>-0.76</v>
      </c>
      <c r="AA1000" s="48"/>
      <c r="AB1000" s="48">
        <v>-0.11</v>
      </c>
      <c r="AC1000" s="48">
        <v>0.82210000000000005</v>
      </c>
      <c r="AD1000" s="48">
        <v>-0.38</v>
      </c>
      <c r="AE1000" s="48">
        <v>-1.1599999999999999</v>
      </c>
      <c r="AF1000" s="48">
        <f t="shared" si="279"/>
        <v>-0.38</v>
      </c>
      <c r="AG1000" s="48">
        <v>0.42</v>
      </c>
      <c r="AH1000" s="98">
        <v>3.24E-9</v>
      </c>
      <c r="AI1000" s="98"/>
      <c r="AJ1000" s="483">
        <f t="shared" si="288"/>
        <v>-6.8780213161060395</v>
      </c>
      <c r="AK1000" s="483"/>
      <c r="AL1000" s="483">
        <f t="shared" si="287"/>
        <v>-6.8780213161060395</v>
      </c>
      <c r="AM1000" s="483">
        <v>-6.5438900000000002</v>
      </c>
      <c r="AN1000" s="48">
        <v>-6.25</v>
      </c>
      <c r="AO1000" s="484"/>
      <c r="AP1000" s="484"/>
      <c r="AQ1000" s="48" t="s">
        <v>6311</v>
      </c>
      <c r="AR1000" s="48" t="s">
        <v>6311</v>
      </c>
      <c r="AS1000" s="227"/>
      <c r="AT1000" s="50" t="s">
        <v>266</v>
      </c>
      <c r="AU1000" s="48">
        <v>6</v>
      </c>
      <c r="AV1000" s="48">
        <v>120</v>
      </c>
      <c r="AW1000" s="48">
        <v>114</v>
      </c>
      <c r="AX1000" s="48">
        <v>28</v>
      </c>
      <c r="AY1000" s="48" t="s">
        <v>8728</v>
      </c>
      <c r="AZ1000" s="48" t="s">
        <v>1563</v>
      </c>
      <c r="BA1000" s="48">
        <v>32</v>
      </c>
      <c r="BB1000" s="47" t="s">
        <v>2485</v>
      </c>
      <c r="BC1000" s="47" t="s">
        <v>8726</v>
      </c>
      <c r="BD1000" s="47" t="s">
        <v>8374</v>
      </c>
      <c r="BE1000" s="48" t="s">
        <v>2449</v>
      </c>
      <c r="BF1000" s="48" t="s">
        <v>272</v>
      </c>
      <c r="BG1000" s="48" t="s">
        <v>272</v>
      </c>
      <c r="BH1000" s="48" t="s">
        <v>2486</v>
      </c>
      <c r="BI1000" s="98">
        <v>6.3999999999999997E-6</v>
      </c>
      <c r="BJ1000" s="98">
        <v>6.4000000000000001E-2</v>
      </c>
      <c r="BK1000" s="48"/>
      <c r="BL1000" s="98">
        <f t="shared" si="285"/>
        <v>247.37510981105564</v>
      </c>
      <c r="BM1000" s="47" t="s">
        <v>2487</v>
      </c>
      <c r="BN1000" s="48"/>
      <c r="BO1000" s="48"/>
      <c r="BP1000" s="48"/>
      <c r="BQ1000" s="48"/>
      <c r="BR1000" s="47" t="s">
        <v>2496</v>
      </c>
      <c r="BS1000" s="48"/>
      <c r="BT1000" s="48"/>
      <c r="BU1000" s="228">
        <v>6.3999999999999997E-6</v>
      </c>
      <c r="BV1000" s="48"/>
      <c r="BW1000" s="48"/>
      <c r="BX1000" s="48"/>
      <c r="BY1000" s="48"/>
      <c r="BZ1000" s="48"/>
      <c r="CA1000" s="48"/>
      <c r="CB1000" s="48"/>
      <c r="CC1000" s="48"/>
      <c r="CD1000" s="48"/>
      <c r="CE1000" s="48"/>
      <c r="CF1000" s="48"/>
      <c r="CG1000" s="48"/>
      <c r="CH1000" s="48"/>
      <c r="CI1000" s="98"/>
      <c r="CJ1000" s="98"/>
      <c r="CK1000" s="49">
        <f t="shared" si="281"/>
        <v>3865.2360907977441</v>
      </c>
      <c r="CL1000" s="229"/>
      <c r="CM1000" s="229"/>
      <c r="CN1000" s="229"/>
      <c r="CO1000" s="47" t="s">
        <v>2488</v>
      </c>
      <c r="CP1000" s="47" t="s">
        <v>2489</v>
      </c>
      <c r="CQ1000" s="224" t="s">
        <v>272</v>
      </c>
      <c r="CR1000" s="224"/>
      <c r="CS1000" s="230" t="s">
        <v>539</v>
      </c>
      <c r="CT1000" s="230"/>
      <c r="CU1000" s="230"/>
      <c r="CV1000" s="335">
        <f t="shared" si="284"/>
        <v>73083.615826124747</v>
      </c>
      <c r="CW1000" s="230">
        <f t="shared" si="280"/>
        <v>1</v>
      </c>
      <c r="CX1000" s="336"/>
      <c r="CY1000" s="230" t="s">
        <v>6351</v>
      </c>
    </row>
    <row r="1001" spans="1:103" ht="11.25" customHeight="1" x14ac:dyDescent="0.2">
      <c r="A1001" s="72">
        <v>999</v>
      </c>
      <c r="B1001" s="224">
        <v>927</v>
      </c>
      <c r="C1001" s="46" t="s">
        <v>7181</v>
      </c>
      <c r="D1001" s="46"/>
      <c r="E1001" s="114"/>
      <c r="F1001" s="114" t="s">
        <v>2645</v>
      </c>
      <c r="G1001" s="225">
        <v>112505</v>
      </c>
      <c r="H1001" s="47" t="s">
        <v>2646</v>
      </c>
      <c r="I1001" s="47" t="s">
        <v>2646</v>
      </c>
      <c r="J1001" s="47" t="s">
        <v>2647</v>
      </c>
      <c r="K1001" s="47" t="s">
        <v>426</v>
      </c>
      <c r="L1001" s="47"/>
      <c r="M1001" s="47"/>
      <c r="N1001" s="47"/>
      <c r="O1001" s="47"/>
      <c r="P1001" s="53" t="s">
        <v>6183</v>
      </c>
      <c r="Q1001" s="53" t="s">
        <v>6182</v>
      </c>
      <c r="R1001" s="53" t="s">
        <v>6185</v>
      </c>
      <c r="S1001" s="53" t="s">
        <v>6182</v>
      </c>
      <c r="T1001" s="48">
        <v>178.23</v>
      </c>
      <c r="U1001" s="98">
        <v>5610.7277113841665</v>
      </c>
      <c r="V1001" s="98">
        <v>5610.7277113841665</v>
      </c>
      <c r="W1001" s="98">
        <v>5495.4087385762459</v>
      </c>
      <c r="X1001" s="98">
        <v>5610.7277113841665</v>
      </c>
      <c r="Y1001" s="233">
        <v>6.73</v>
      </c>
      <c r="Z1001" s="48">
        <v>-0.96</v>
      </c>
      <c r="AA1001" s="48"/>
      <c r="AB1001" s="48">
        <v>-0.16</v>
      </c>
      <c r="AC1001" s="48">
        <v>0.81159999999999999</v>
      </c>
      <c r="AD1001" s="48">
        <v>-0.39</v>
      </c>
      <c r="AE1001" s="48">
        <v>-0.98</v>
      </c>
      <c r="AF1001" s="48">
        <f t="shared" si="279"/>
        <v>-0.39</v>
      </c>
      <c r="AG1001" s="49">
        <v>0.14000000000000001</v>
      </c>
      <c r="AH1001" s="98">
        <v>1.34E-11</v>
      </c>
      <c r="AI1001" s="98"/>
      <c r="AJ1001" s="483">
        <f t="shared" si="288"/>
        <v>-9.2614615279478443</v>
      </c>
      <c r="AK1001" s="483"/>
      <c r="AL1001" s="483">
        <f t="shared" si="287"/>
        <v>-9.2614615279478443</v>
      </c>
      <c r="AM1001" s="483">
        <v>-8.6624400000000001</v>
      </c>
      <c r="AN1001" s="226">
        <v>-7.6</v>
      </c>
      <c r="AO1001" s="484">
        <v>14.36</v>
      </c>
      <c r="AP1001" s="484"/>
      <c r="AQ1001" s="48" t="s">
        <v>6311</v>
      </c>
      <c r="AR1001" s="48" t="s">
        <v>6311</v>
      </c>
      <c r="AS1001" s="227"/>
      <c r="AT1001" s="50" t="s">
        <v>266</v>
      </c>
      <c r="AU1001" s="48">
        <v>6</v>
      </c>
      <c r="AV1001" s="48">
        <v>120</v>
      </c>
      <c r="AW1001" s="48">
        <v>114</v>
      </c>
      <c r="AX1001" s="48">
        <v>28</v>
      </c>
      <c r="AY1001" s="48" t="s">
        <v>8728</v>
      </c>
      <c r="AZ1001" s="48" t="s">
        <v>1563</v>
      </c>
      <c r="BA1001" s="48">
        <v>32</v>
      </c>
      <c r="BB1001" s="47" t="s">
        <v>2485</v>
      </c>
      <c r="BC1001" s="47" t="s">
        <v>8726</v>
      </c>
      <c r="BD1001" s="47" t="s">
        <v>8374</v>
      </c>
      <c r="BE1001" s="48" t="s">
        <v>2449</v>
      </c>
      <c r="BF1001" s="48" t="s">
        <v>272</v>
      </c>
      <c r="BG1001" s="48" t="s">
        <v>272</v>
      </c>
      <c r="BH1001" s="48" t="s">
        <v>2486</v>
      </c>
      <c r="BI1001" s="98">
        <v>6.3999999999999997E-6</v>
      </c>
      <c r="BJ1001" s="98">
        <v>6.4000000000000001E-2</v>
      </c>
      <c r="BK1001" s="48"/>
      <c r="BL1001" s="98">
        <f t="shared" si="285"/>
        <v>374.08991472816177</v>
      </c>
      <c r="BM1001" s="47" t="s">
        <v>2487</v>
      </c>
      <c r="BN1001" s="48"/>
      <c r="BO1001" s="48"/>
      <c r="BP1001" s="48"/>
      <c r="BQ1001" s="48"/>
      <c r="BR1001" s="47" t="s">
        <v>2496</v>
      </c>
      <c r="BS1001" s="48"/>
      <c r="BT1001" s="48"/>
      <c r="BU1001" s="228">
        <v>6.4000000000000005E-4</v>
      </c>
      <c r="BV1001" s="48"/>
      <c r="BW1001" s="48"/>
      <c r="BX1001" s="48"/>
      <c r="BY1001" s="48"/>
      <c r="BZ1001" s="48"/>
      <c r="CA1001" s="48"/>
      <c r="CB1001" s="48"/>
      <c r="CC1001" s="48"/>
      <c r="CD1001" s="48"/>
      <c r="CE1001" s="48"/>
      <c r="CF1001" s="48"/>
      <c r="CG1001" s="48"/>
      <c r="CH1001" s="48"/>
      <c r="CI1001" s="98"/>
      <c r="CJ1001" s="98"/>
      <c r="CK1001" s="49">
        <f t="shared" si="281"/>
        <v>5845.1549176275275</v>
      </c>
      <c r="CL1001" s="229"/>
      <c r="CM1001" s="229"/>
      <c r="CN1001" s="229"/>
      <c r="CO1001" s="47" t="s">
        <v>2488</v>
      </c>
      <c r="CP1001" s="47" t="s">
        <v>2489</v>
      </c>
      <c r="CQ1001" s="224" t="s">
        <v>272</v>
      </c>
      <c r="CR1001" s="224"/>
      <c r="CS1001" s="230" t="s">
        <v>539</v>
      </c>
      <c r="CT1001" s="230"/>
      <c r="CU1001" s="230"/>
      <c r="CV1001" s="335">
        <f t="shared" si="284"/>
        <v>87667.620490377594</v>
      </c>
      <c r="CW1001" s="230">
        <f t="shared" si="280"/>
        <v>1</v>
      </c>
      <c r="CX1001" s="336"/>
      <c r="CY1001" s="230" t="s">
        <v>6351</v>
      </c>
    </row>
    <row r="1002" spans="1:103" ht="11.25" customHeight="1" x14ac:dyDescent="0.2">
      <c r="A1002" s="72">
        <v>1000</v>
      </c>
      <c r="B1002" s="224">
        <v>1190</v>
      </c>
      <c r="C1002" s="46" t="s">
        <v>3280</v>
      </c>
      <c r="D1002" s="46"/>
      <c r="E1002" s="114"/>
      <c r="F1002" s="114" t="s">
        <v>1311</v>
      </c>
      <c r="G1002" s="225">
        <v>113484</v>
      </c>
      <c r="H1002" s="47" t="s">
        <v>1312</v>
      </c>
      <c r="I1002" s="47" t="s">
        <v>1312</v>
      </c>
      <c r="J1002" s="47" t="s">
        <v>1313</v>
      </c>
      <c r="K1002" s="47" t="s">
        <v>1314</v>
      </c>
      <c r="L1002" s="47" t="s">
        <v>617</v>
      </c>
      <c r="M1002" s="47" t="s">
        <v>6000</v>
      </c>
      <c r="N1002" s="47" t="s">
        <v>2342</v>
      </c>
      <c r="O1002" s="47" t="s">
        <v>6001</v>
      </c>
      <c r="P1002" s="53"/>
      <c r="Q1002" s="53"/>
      <c r="R1002" s="53"/>
      <c r="S1002" s="53"/>
      <c r="T1002" s="48">
        <v>275.39</v>
      </c>
      <c r="U1002" s="98"/>
      <c r="V1002" s="98">
        <v>4.2775699916482078E-2</v>
      </c>
      <c r="W1002" s="98">
        <v>1.9498445997580431E-2</v>
      </c>
      <c r="X1002" s="98">
        <f>IF(W1002=0,V1002,W1002)</f>
        <v>1.9498445997580431E-2</v>
      </c>
      <c r="Y1002" s="233">
        <v>7</v>
      </c>
      <c r="Z1002" s="48">
        <v>3.76</v>
      </c>
      <c r="AA1002" s="48">
        <v>3.7</v>
      </c>
      <c r="AB1002" s="48">
        <v>3.56</v>
      </c>
      <c r="AC1002" s="48">
        <v>0.70889999999999997</v>
      </c>
      <c r="AD1002" s="48">
        <v>3.66</v>
      </c>
      <c r="AE1002" s="48">
        <v>3.85</v>
      </c>
      <c r="AF1002" s="48">
        <f t="shared" si="279"/>
        <v>3.7</v>
      </c>
      <c r="AG1002" s="49">
        <v>3.03</v>
      </c>
      <c r="AH1002" s="98">
        <v>2.8500000000000002E-7</v>
      </c>
      <c r="AI1002" s="98"/>
      <c r="AJ1002" s="483">
        <f t="shared" si="288"/>
        <v>-4.9337214663041413</v>
      </c>
      <c r="AK1002" s="483"/>
      <c r="AL1002" s="483">
        <f t="shared" si="287"/>
        <v>-4.9337214663041413</v>
      </c>
      <c r="AM1002" s="483">
        <v>-11.151609999999998</v>
      </c>
      <c r="AN1002" s="226">
        <v>-5.39</v>
      </c>
      <c r="AO1002" s="484"/>
      <c r="AP1002" s="484">
        <v>-7.53</v>
      </c>
      <c r="AQ1002" s="48" t="s">
        <v>6311</v>
      </c>
      <c r="AR1002" s="48" t="s">
        <v>6311</v>
      </c>
      <c r="AS1002" s="227"/>
      <c r="AT1002" s="50" t="s">
        <v>266</v>
      </c>
      <c r="AU1002" s="48">
        <v>6</v>
      </c>
      <c r="AV1002" s="48">
        <v>120</v>
      </c>
      <c r="AW1002" s="48">
        <v>114</v>
      </c>
      <c r="AX1002" s="48">
        <v>28</v>
      </c>
      <c r="AY1002" s="48" t="s">
        <v>8728</v>
      </c>
      <c r="AZ1002" s="48" t="s">
        <v>1563</v>
      </c>
      <c r="BA1002" s="48">
        <v>32</v>
      </c>
      <c r="BB1002" s="47" t="s">
        <v>2485</v>
      </c>
      <c r="BC1002" s="47" t="s">
        <v>8726</v>
      </c>
      <c r="BD1002" s="47" t="s">
        <v>8374</v>
      </c>
      <c r="BE1002" s="48" t="s">
        <v>2449</v>
      </c>
      <c r="BF1002" s="48" t="s">
        <v>272</v>
      </c>
      <c r="BG1002" s="48" t="s">
        <v>272</v>
      </c>
      <c r="BH1002" s="48" t="s">
        <v>2486</v>
      </c>
      <c r="BI1002" s="98">
        <v>6.3999999999999997E-6</v>
      </c>
      <c r="BJ1002" s="98">
        <v>6.4000000000000001E-2</v>
      </c>
      <c r="BK1002" s="48"/>
      <c r="BL1002" s="98">
        <f t="shared" si="285"/>
        <v>2.1574661972438215E-2</v>
      </c>
      <c r="BM1002" s="47" t="s">
        <v>2487</v>
      </c>
      <c r="BN1002" s="48"/>
      <c r="BO1002" s="48"/>
      <c r="BP1002" s="48"/>
      <c r="BQ1002" s="48"/>
      <c r="BR1002" s="47" t="s">
        <v>2496</v>
      </c>
      <c r="BS1002" s="48"/>
      <c r="BT1002" s="48"/>
      <c r="BU1002" s="228">
        <v>6.4000000000000005E-4</v>
      </c>
      <c r="BV1002" s="48"/>
      <c r="BW1002" s="48"/>
      <c r="BX1002" s="48"/>
      <c r="BY1002" s="48"/>
      <c r="BZ1002" s="48"/>
      <c r="CA1002" s="48"/>
      <c r="CB1002" s="48"/>
      <c r="CC1002" s="48"/>
      <c r="CD1002" s="48"/>
      <c r="CE1002" s="48"/>
      <c r="CF1002" s="48"/>
      <c r="CG1002" s="48"/>
      <c r="CH1002" s="48"/>
      <c r="CI1002" s="98"/>
      <c r="CJ1002" s="98"/>
      <c r="CK1002" s="49">
        <f t="shared" si="281"/>
        <v>0.3371040933193471</v>
      </c>
      <c r="CL1002" s="229"/>
      <c r="CM1002" s="229">
        <v>-2.9062382250852181</v>
      </c>
      <c r="CN1002" s="229">
        <f>BJ1002/(10^CM1002)</f>
        <v>51.572501725781272</v>
      </c>
      <c r="CO1002" s="47" t="s">
        <v>2488</v>
      </c>
      <c r="CP1002" s="47" t="s">
        <v>2489</v>
      </c>
      <c r="CQ1002" s="224">
        <v>-2.694612899897403</v>
      </c>
      <c r="CR1002" s="224">
        <f>10^(CJ1002-CQ1002)</f>
        <v>495.00877747946225</v>
      </c>
      <c r="CS1002" s="230" t="s">
        <v>539</v>
      </c>
      <c r="CT1002" s="230"/>
      <c r="CU1002" s="230"/>
      <c r="CV1002" s="335">
        <f t="shared" si="284"/>
        <v>0.30466321871219421</v>
      </c>
      <c r="CW1002" s="230">
        <f t="shared" si="280"/>
        <v>0</v>
      </c>
      <c r="CX1002" s="336"/>
      <c r="CY1002" s="230" t="s">
        <v>5921</v>
      </c>
    </row>
    <row r="1003" spans="1:103" ht="11.25" customHeight="1" x14ac:dyDescent="0.2">
      <c r="A1003" s="72">
        <v>1001</v>
      </c>
      <c r="B1003" s="224">
        <v>1640</v>
      </c>
      <c r="C1003" s="46" t="s">
        <v>7182</v>
      </c>
      <c r="D1003" s="46"/>
      <c r="E1003" s="114"/>
      <c r="F1003" s="114" t="s">
        <v>3684</v>
      </c>
      <c r="G1003" s="225">
        <v>114078</v>
      </c>
      <c r="H1003" s="47" t="s">
        <v>3685</v>
      </c>
      <c r="I1003" s="47" t="s">
        <v>8033</v>
      </c>
      <c r="J1003" s="47" t="s">
        <v>3686</v>
      </c>
      <c r="K1003" s="47" t="s">
        <v>3680</v>
      </c>
      <c r="L1003" s="47" t="s">
        <v>279</v>
      </c>
      <c r="M1003" s="47" t="s">
        <v>3687</v>
      </c>
      <c r="N1003" s="47"/>
      <c r="O1003" s="47" t="s">
        <v>281</v>
      </c>
      <c r="P1003" s="53"/>
      <c r="Q1003" s="53"/>
      <c r="R1003" s="53"/>
      <c r="S1003" s="53"/>
      <c r="T1003" s="48">
        <v>733.93</v>
      </c>
      <c r="U1003" s="98"/>
      <c r="V1003" s="98">
        <v>7.0415434714482322E-4</v>
      </c>
      <c r="W1003" s="98">
        <v>37.153522909717253</v>
      </c>
      <c r="X1003" s="98">
        <f>IF(W1003=0,V1003,W1003)</f>
        <v>37.153522909717253</v>
      </c>
      <c r="Y1003" s="233">
        <v>10.19</v>
      </c>
      <c r="Z1003" s="48">
        <v>2.48</v>
      </c>
      <c r="AA1003" s="48">
        <v>3.06</v>
      </c>
      <c r="AB1003" s="48">
        <v>2.37</v>
      </c>
      <c r="AC1003" s="48">
        <v>0.91320000000000001</v>
      </c>
      <c r="AD1003" s="48">
        <v>2.44</v>
      </c>
      <c r="AE1003" s="48">
        <v>2.83</v>
      </c>
      <c r="AF1003" s="48">
        <f t="shared" si="279"/>
        <v>3.06</v>
      </c>
      <c r="AG1003" s="49">
        <v>2.33</v>
      </c>
      <c r="AH1003" s="98">
        <v>5.4199999999999999E-29</v>
      </c>
      <c r="AI1003" s="98"/>
      <c r="AJ1003" s="483">
        <f t="shared" si="288"/>
        <v>-26.654567039774264</v>
      </c>
      <c r="AK1003" s="483"/>
      <c r="AL1003" s="483">
        <f t="shared" si="287"/>
        <v>-26.654567039774264</v>
      </c>
      <c r="AM1003" s="483">
        <v>-40.716160000000002</v>
      </c>
      <c r="AN1003" s="226">
        <v>-30.6</v>
      </c>
      <c r="AO1003" s="484">
        <v>13.09</v>
      </c>
      <c r="AP1003" s="484">
        <v>8.16</v>
      </c>
      <c r="AQ1003" s="226" t="s">
        <v>6311</v>
      </c>
      <c r="AR1003" s="226" t="s">
        <v>6311</v>
      </c>
      <c r="AS1003" s="224"/>
      <c r="AT1003" s="50" t="s">
        <v>266</v>
      </c>
      <c r="AU1003" s="48">
        <v>6</v>
      </c>
      <c r="AV1003" s="48">
        <v>120</v>
      </c>
      <c r="AW1003" s="48">
        <v>114</v>
      </c>
      <c r="AX1003" s="48">
        <v>28</v>
      </c>
      <c r="AY1003" s="48" t="s">
        <v>8728</v>
      </c>
      <c r="AZ1003" s="48" t="s">
        <v>1563</v>
      </c>
      <c r="BA1003" s="48">
        <v>32</v>
      </c>
      <c r="BB1003" s="47" t="s">
        <v>2485</v>
      </c>
      <c r="BC1003" s="47" t="s">
        <v>8726</v>
      </c>
      <c r="BD1003" s="47" t="s">
        <v>8374</v>
      </c>
      <c r="BE1003" s="48" t="s">
        <v>2449</v>
      </c>
      <c r="BF1003" s="48" t="s">
        <v>272</v>
      </c>
      <c r="BG1003" s="48" t="s">
        <v>272</v>
      </c>
      <c r="BH1003" s="48" t="s">
        <v>2486</v>
      </c>
      <c r="BI1003" s="98">
        <v>6.3999999999999997E-6</v>
      </c>
      <c r="BJ1003" s="98">
        <v>6.4000000000000001E-2</v>
      </c>
      <c r="BK1003" s="48"/>
      <c r="BL1003" s="98">
        <f t="shared" si="285"/>
        <v>0.30444721107335437</v>
      </c>
      <c r="BM1003" s="47" t="s">
        <v>2487</v>
      </c>
      <c r="BN1003" s="48"/>
      <c r="BO1003" s="48"/>
      <c r="BP1003" s="48"/>
      <c r="BQ1003" s="48"/>
      <c r="BR1003" s="47" t="s">
        <v>2496</v>
      </c>
      <c r="BS1003" s="48"/>
      <c r="BT1003" s="48"/>
      <c r="BU1003" s="228"/>
      <c r="BV1003" s="48"/>
      <c r="BW1003" s="48"/>
      <c r="BX1003" s="48"/>
      <c r="BY1003" s="48"/>
      <c r="BZ1003" s="48"/>
      <c r="CA1003" s="48"/>
      <c r="CB1003" s="48"/>
      <c r="CC1003" s="48"/>
      <c r="CD1003" s="48"/>
      <c r="CE1003" s="48"/>
      <c r="CF1003" s="48"/>
      <c r="CG1003" s="48"/>
      <c r="CH1003" s="48"/>
      <c r="CI1003" s="98"/>
      <c r="CJ1003" s="98"/>
      <c r="CK1003" s="49">
        <f t="shared" si="281"/>
        <v>4.756987673021162</v>
      </c>
      <c r="CL1003" s="229"/>
      <c r="CM1003" s="229"/>
      <c r="CN1003" s="229"/>
      <c r="CO1003" s="47" t="s">
        <v>2488</v>
      </c>
      <c r="CP1003" s="47" t="s">
        <v>2489</v>
      </c>
      <c r="CQ1003" s="224" t="s">
        <v>272</v>
      </c>
      <c r="CR1003" s="224"/>
      <c r="CS1003" s="230" t="s">
        <v>539</v>
      </c>
      <c r="CT1003" s="230"/>
      <c r="CU1003" s="230"/>
      <c r="CV1003" s="335">
        <f t="shared" si="284"/>
        <v>580.52379546433212</v>
      </c>
      <c r="CW1003" s="230">
        <f t="shared" si="280"/>
        <v>1</v>
      </c>
      <c r="CX1003" s="336"/>
      <c r="CY1003" s="230" t="s">
        <v>6351</v>
      </c>
    </row>
    <row r="1004" spans="1:103" ht="11.25" customHeight="1" x14ac:dyDescent="0.2">
      <c r="A1004" s="72">
        <v>1002</v>
      </c>
      <c r="B1004" s="224">
        <v>449</v>
      </c>
      <c r="C1004" s="46" t="s">
        <v>1997</v>
      </c>
      <c r="D1004" s="46"/>
      <c r="E1004" s="114"/>
      <c r="F1004" s="114" t="s">
        <v>1998</v>
      </c>
      <c r="G1004" s="225">
        <v>114261</v>
      </c>
      <c r="H1004" s="47" t="s">
        <v>1999</v>
      </c>
      <c r="I1004" s="47" t="s">
        <v>1999</v>
      </c>
      <c r="J1004" s="47" t="s">
        <v>2000</v>
      </c>
      <c r="K1004" s="47" t="s">
        <v>616</v>
      </c>
      <c r="L1004" s="47" t="s">
        <v>617</v>
      </c>
      <c r="M1004" s="47" t="s">
        <v>618</v>
      </c>
      <c r="N1004" s="47" t="s">
        <v>6376</v>
      </c>
      <c r="O1004" s="47" t="s">
        <v>2001</v>
      </c>
      <c r="P1004" s="53"/>
      <c r="Q1004" s="53"/>
      <c r="R1004" s="53"/>
      <c r="S1004" s="53"/>
      <c r="T1004" s="48">
        <v>209.24</v>
      </c>
      <c r="U1004" s="98">
        <v>8.8888888888888893</v>
      </c>
      <c r="V1004" s="98">
        <v>9.4336917562724008</v>
      </c>
      <c r="W1004" s="98">
        <v>3.3884415613920211</v>
      </c>
      <c r="X1004" s="98">
        <v>8.8888888888888893</v>
      </c>
      <c r="Y1004" s="233">
        <v>6.96</v>
      </c>
      <c r="Z1004" s="48">
        <v>1.9</v>
      </c>
      <c r="AA1004" s="48">
        <v>1.52</v>
      </c>
      <c r="AB1004" s="48">
        <v>1.54</v>
      </c>
      <c r="AC1004" s="48">
        <v>0.89239999999999997</v>
      </c>
      <c r="AD1004" s="48">
        <v>1.56</v>
      </c>
      <c r="AE1004" s="48">
        <v>1.6</v>
      </c>
      <c r="AF1004" s="48">
        <f t="shared" si="279"/>
        <v>1.52</v>
      </c>
      <c r="AG1004" s="49">
        <v>1.99</v>
      </c>
      <c r="AH1004" s="98">
        <v>3.3499999999999998E-9</v>
      </c>
      <c r="AI1004" s="98">
        <v>1.43E-9</v>
      </c>
      <c r="AJ1004" s="483">
        <f t="shared" si="288"/>
        <v>-6.8635215192758068</v>
      </c>
      <c r="AK1004" s="483">
        <f>LOG10(AI1004*1000/(0.08206*298.15))</f>
        <v>-7.2332302888475901</v>
      </c>
      <c r="AL1004" s="483">
        <f t="shared" si="287"/>
        <v>-7.2332302888475901</v>
      </c>
      <c r="AM1004" s="483">
        <v>-10.072940000000001</v>
      </c>
      <c r="AN1004" s="226">
        <v>-6.19</v>
      </c>
      <c r="AO1004" s="484">
        <v>12.28</v>
      </c>
      <c r="AP1004" s="484">
        <v>-1.49</v>
      </c>
      <c r="AQ1004" s="226" t="s">
        <v>6311</v>
      </c>
      <c r="AR1004" s="226" t="s">
        <v>6314</v>
      </c>
      <c r="AS1004" s="224" t="s">
        <v>6</v>
      </c>
      <c r="AT1004" s="50" t="s">
        <v>266</v>
      </c>
      <c r="AU1004" s="48">
        <v>8</v>
      </c>
      <c r="AV1004" s="48">
        <v>144</v>
      </c>
      <c r="AW1004" s="48">
        <v>120</v>
      </c>
      <c r="AX1004" s="48">
        <v>26</v>
      </c>
      <c r="AY1004" s="48" t="s">
        <v>267</v>
      </c>
      <c r="AZ1004" s="48" t="s">
        <v>2253</v>
      </c>
      <c r="BA1004" s="48">
        <v>2</v>
      </c>
      <c r="BB1004" s="47" t="s">
        <v>2254</v>
      </c>
      <c r="BC1004" s="47" t="s">
        <v>270</v>
      </c>
      <c r="BD1004" s="47" t="s">
        <v>8374</v>
      </c>
      <c r="BE1004" s="48" t="s">
        <v>1712</v>
      </c>
      <c r="BF1004" s="48" t="s">
        <v>272</v>
      </c>
      <c r="BG1004" s="48" t="s">
        <v>272</v>
      </c>
      <c r="BH1004" s="48" t="s">
        <v>2255</v>
      </c>
      <c r="BI1004" s="98">
        <v>9.9999999999999995E-7</v>
      </c>
      <c r="BJ1004" s="98">
        <v>0.08</v>
      </c>
      <c r="BK1004" s="48"/>
      <c r="BL1004" s="98">
        <f t="shared" si="285"/>
        <v>1.0102061311328192</v>
      </c>
      <c r="BM1004" s="48" t="s">
        <v>891</v>
      </c>
      <c r="BN1004" s="233"/>
      <c r="BO1004" s="233"/>
      <c r="BP1004" s="233"/>
      <c r="BQ1004" s="233"/>
      <c r="BR1004" s="233"/>
      <c r="BS1004" s="48"/>
      <c r="BT1004" s="233"/>
      <c r="BU1004" s="228"/>
      <c r="BV1004" s="233"/>
      <c r="BW1004" s="233"/>
      <c r="BX1004" s="233"/>
      <c r="BY1004" s="233"/>
      <c r="BZ1004" s="233"/>
      <c r="CA1004" s="233"/>
      <c r="CB1004" s="233"/>
      <c r="CC1004" s="48"/>
      <c r="CD1004" s="48"/>
      <c r="CE1004" s="48"/>
      <c r="CF1004" s="48"/>
      <c r="CG1004" s="233"/>
      <c r="CH1004" s="48"/>
      <c r="CI1004" s="98"/>
      <c r="CJ1004" s="98"/>
      <c r="CK1004" s="49">
        <f t="shared" si="281"/>
        <v>12.627576639160241</v>
      </c>
      <c r="CL1004" s="229"/>
      <c r="CM1004" s="229">
        <v>-1.2726410926938805</v>
      </c>
      <c r="CN1004" s="229">
        <f>BJ1004/(10^CM1004)</f>
        <v>1.4987565002438312</v>
      </c>
      <c r="CO1004" s="47" t="s">
        <v>892</v>
      </c>
      <c r="CP1004" s="47" t="s">
        <v>893</v>
      </c>
      <c r="CQ1004" s="224">
        <v>-1.247986945597461</v>
      </c>
      <c r="CR1004" s="224">
        <f>10^(CJ1004-CQ1004)</f>
        <v>17.700557516372768</v>
      </c>
      <c r="CS1004" s="230" t="s">
        <v>539</v>
      </c>
      <c r="CT1004" s="230"/>
      <c r="CU1004" s="230"/>
      <c r="CV1004" s="335">
        <f t="shared" si="284"/>
        <v>111.11111111111111</v>
      </c>
      <c r="CW1004" s="230">
        <f t="shared" si="280"/>
        <v>1</v>
      </c>
      <c r="CX1004" s="336" t="s">
        <v>539</v>
      </c>
      <c r="CY1004" s="230" t="s">
        <v>5921</v>
      </c>
    </row>
    <row r="1005" spans="1:103" ht="11.25" customHeight="1" x14ac:dyDescent="0.2">
      <c r="A1005" s="72">
        <v>1003</v>
      </c>
      <c r="B1005" s="224">
        <v>1837</v>
      </c>
      <c r="C1005" s="46" t="s">
        <v>1997</v>
      </c>
      <c r="D1005" s="46"/>
      <c r="E1005" s="114"/>
      <c r="F1005" s="114" t="s">
        <v>1998</v>
      </c>
      <c r="G1005" s="225">
        <v>114261</v>
      </c>
      <c r="H1005" s="47" t="s">
        <v>1999</v>
      </c>
      <c r="I1005" s="47" t="s">
        <v>1999</v>
      </c>
      <c r="J1005" s="47" t="s">
        <v>2000</v>
      </c>
      <c r="K1005" s="47" t="s">
        <v>616</v>
      </c>
      <c r="L1005" s="47" t="s">
        <v>617</v>
      </c>
      <c r="M1005" s="47" t="s">
        <v>618</v>
      </c>
      <c r="N1005" s="47" t="s">
        <v>6376</v>
      </c>
      <c r="O1005" s="47" t="s">
        <v>2001</v>
      </c>
      <c r="P1005" s="53"/>
      <c r="Q1005" s="53" t="s">
        <v>6173</v>
      </c>
      <c r="R1005" s="53" t="s">
        <v>6177</v>
      </c>
      <c r="S1005" s="53" t="s">
        <v>6176</v>
      </c>
      <c r="T1005" s="48">
        <v>209.24</v>
      </c>
      <c r="U1005" s="98">
        <v>8.8888888888888893</v>
      </c>
      <c r="V1005" s="98">
        <v>9.4336917562724008</v>
      </c>
      <c r="W1005" s="98">
        <v>3.3884415613920211</v>
      </c>
      <c r="X1005" s="98">
        <v>8.8888888888888893</v>
      </c>
      <c r="Y1005" s="233">
        <v>6.96</v>
      </c>
      <c r="Z1005" s="48">
        <v>1.9</v>
      </c>
      <c r="AA1005" s="48">
        <v>1.52</v>
      </c>
      <c r="AB1005" s="48">
        <v>1.54</v>
      </c>
      <c r="AC1005" s="48">
        <v>0.89239999999999997</v>
      </c>
      <c r="AD1005" s="48">
        <v>1.56</v>
      </c>
      <c r="AE1005" s="48">
        <v>1.6</v>
      </c>
      <c r="AF1005" s="48">
        <f t="shared" si="279"/>
        <v>1.52</v>
      </c>
      <c r="AG1005" s="49">
        <v>1.99</v>
      </c>
      <c r="AH1005" s="98">
        <v>3.3499999999999998E-9</v>
      </c>
      <c r="AI1005" s="98">
        <v>1.43E-9</v>
      </c>
      <c r="AJ1005" s="483">
        <f t="shared" si="288"/>
        <v>-6.8635215192758068</v>
      </c>
      <c r="AK1005" s="483">
        <f>LOG10(AI1005*1000/(0.08206*298.15))</f>
        <v>-7.2332302888475901</v>
      </c>
      <c r="AL1005" s="483">
        <f t="shared" si="287"/>
        <v>-7.2332302888475901</v>
      </c>
      <c r="AM1005" s="483">
        <v>-10.072940000000001</v>
      </c>
      <c r="AN1005" s="226">
        <v>-6.19</v>
      </c>
      <c r="AO1005" s="484">
        <v>12.28</v>
      </c>
      <c r="AP1005" s="484">
        <v>-1.49</v>
      </c>
      <c r="AQ1005" s="226" t="s">
        <v>6311</v>
      </c>
      <c r="AR1005" s="226" t="s">
        <v>6314</v>
      </c>
      <c r="AS1005" s="224"/>
      <c r="AT1005" s="50" t="s">
        <v>266</v>
      </c>
      <c r="AU1005" s="48">
        <v>6</v>
      </c>
      <c r="AV1005" s="48">
        <v>120</v>
      </c>
      <c r="AW1005" s="48">
        <v>114</v>
      </c>
      <c r="AX1005" s="48">
        <v>28</v>
      </c>
      <c r="AY1005" s="48" t="s">
        <v>8728</v>
      </c>
      <c r="AZ1005" s="48" t="s">
        <v>1563</v>
      </c>
      <c r="BA1005" s="48">
        <v>32</v>
      </c>
      <c r="BB1005" s="47" t="s">
        <v>2485</v>
      </c>
      <c r="BC1005" s="47" t="s">
        <v>8726</v>
      </c>
      <c r="BD1005" s="47" t="s">
        <v>8374</v>
      </c>
      <c r="BE1005" s="48" t="s">
        <v>2449</v>
      </c>
      <c r="BF1005" s="48" t="s">
        <v>272</v>
      </c>
      <c r="BG1005" s="48" t="s">
        <v>272</v>
      </c>
      <c r="BH1005" s="48" t="s">
        <v>2486</v>
      </c>
      <c r="BI1005" s="98">
        <v>6.3999999999999997E-6</v>
      </c>
      <c r="BJ1005" s="98">
        <v>6.4000000000000001E-2</v>
      </c>
      <c r="BK1005" s="48"/>
      <c r="BL1005" s="98">
        <f t="shared" si="285"/>
        <v>1.0102061311328192</v>
      </c>
      <c r="BM1005" s="47" t="s">
        <v>2487</v>
      </c>
      <c r="BN1005" s="48"/>
      <c r="BO1005" s="48"/>
      <c r="BP1005" s="48"/>
      <c r="BQ1005" s="48"/>
      <c r="BR1005" s="47" t="s">
        <v>2496</v>
      </c>
      <c r="BS1005" s="48"/>
      <c r="BT1005" s="48"/>
      <c r="BU1005" s="228"/>
      <c r="BV1005" s="48"/>
      <c r="BW1005" s="48"/>
      <c r="BX1005" s="48"/>
      <c r="BY1005" s="48"/>
      <c r="BZ1005" s="48"/>
      <c r="CA1005" s="48"/>
      <c r="CB1005" s="48"/>
      <c r="CC1005" s="48"/>
      <c r="CD1005" s="48"/>
      <c r="CE1005" s="48"/>
      <c r="CF1005" s="48"/>
      <c r="CG1005" s="48"/>
      <c r="CH1005" s="48"/>
      <c r="CI1005" s="98"/>
      <c r="CJ1005" s="98"/>
      <c r="CK1005" s="49">
        <f t="shared" si="281"/>
        <v>15.7844707989503</v>
      </c>
      <c r="CL1005" s="229"/>
      <c r="CM1005" s="229">
        <v>-1.2726410926938805</v>
      </c>
      <c r="CN1005" s="229">
        <f>BJ1005/(10^CM1005)</f>
        <v>1.1990052001950648</v>
      </c>
      <c r="CO1005" s="47" t="s">
        <v>2488</v>
      </c>
      <c r="CP1005" s="47" t="s">
        <v>2489</v>
      </c>
      <c r="CQ1005" s="224">
        <v>-1.247986945597461</v>
      </c>
      <c r="CR1005" s="224">
        <f>10^(CJ1005-CQ1005)</f>
        <v>17.700557516372768</v>
      </c>
      <c r="CS1005" s="230" t="s">
        <v>539</v>
      </c>
      <c r="CT1005" s="230"/>
      <c r="CU1005" s="230"/>
      <c r="CV1005" s="335">
        <f t="shared" si="284"/>
        <v>138.88888888888889</v>
      </c>
      <c r="CW1005" s="230">
        <f t="shared" si="280"/>
        <v>1</v>
      </c>
      <c r="CX1005" s="336"/>
      <c r="CY1005" s="230" t="s">
        <v>5921</v>
      </c>
    </row>
    <row r="1006" spans="1:103" ht="11.25" customHeight="1" x14ac:dyDescent="0.2">
      <c r="A1006" s="72">
        <v>1004</v>
      </c>
      <c r="B1006" s="224">
        <v>1058</v>
      </c>
      <c r="C1006" s="46" t="s">
        <v>7183</v>
      </c>
      <c r="D1006" s="46"/>
      <c r="E1006" s="114"/>
      <c r="F1006" s="114" t="s">
        <v>2985</v>
      </c>
      <c r="G1006" s="225">
        <v>115286</v>
      </c>
      <c r="H1006" s="47" t="s">
        <v>2986</v>
      </c>
      <c r="I1006" s="47" t="s">
        <v>8034</v>
      </c>
      <c r="J1006" s="47" t="s">
        <v>2987</v>
      </c>
      <c r="K1006" s="47" t="s">
        <v>1139</v>
      </c>
      <c r="L1006" s="47"/>
      <c r="M1006" s="47"/>
      <c r="N1006" s="47"/>
      <c r="O1006" s="47"/>
      <c r="P1006" s="53"/>
      <c r="Q1006" s="53"/>
      <c r="R1006" s="53"/>
      <c r="S1006" s="53"/>
      <c r="T1006" s="48">
        <v>388.84</v>
      </c>
      <c r="U1006" s="98">
        <v>9.0011315708260469</v>
      </c>
      <c r="V1006" s="98">
        <v>4.7320234543771218E-2</v>
      </c>
      <c r="W1006" s="98">
        <v>1.6218100973589284</v>
      </c>
      <c r="X1006" s="98">
        <v>9.0011315708260469</v>
      </c>
      <c r="Y1006" s="233">
        <v>2.73</v>
      </c>
      <c r="Z1006" s="48">
        <v>3.14</v>
      </c>
      <c r="AA1006" s="48"/>
      <c r="AB1006" s="48">
        <v>3.1</v>
      </c>
      <c r="AC1006" s="48">
        <v>0.35870000000000002</v>
      </c>
      <c r="AD1006" s="48">
        <v>3.95</v>
      </c>
      <c r="AE1006" s="48">
        <v>4.46</v>
      </c>
      <c r="AF1006" s="48">
        <f t="shared" si="279"/>
        <v>3.95</v>
      </c>
      <c r="AG1006" s="49">
        <v>2.42</v>
      </c>
      <c r="AH1006" s="98">
        <v>3.0400000000000002E-14</v>
      </c>
      <c r="AI1006" s="98"/>
      <c r="AJ1006" s="483">
        <f t="shared" si="288"/>
        <v>-11.905692742703899</v>
      </c>
      <c r="AK1006" s="483"/>
      <c r="AL1006" s="483">
        <f t="shared" si="287"/>
        <v>-11.905692742703899</v>
      </c>
      <c r="AM1006" s="483">
        <v>-15.888249999999999</v>
      </c>
      <c r="AN1006" s="226">
        <v>-11.3</v>
      </c>
      <c r="AO1006" s="484">
        <v>1.26</v>
      </c>
      <c r="AP1006" s="484"/>
      <c r="AQ1006" s="48" t="s">
        <v>6311</v>
      </c>
      <c r="AR1006" s="48" t="s">
        <v>6311</v>
      </c>
      <c r="AS1006" s="227"/>
      <c r="AT1006" s="50" t="s">
        <v>266</v>
      </c>
      <c r="AU1006" s="48">
        <v>6</v>
      </c>
      <c r="AV1006" s="48">
        <v>120</v>
      </c>
      <c r="AW1006" s="48">
        <v>114</v>
      </c>
      <c r="AX1006" s="48">
        <v>28</v>
      </c>
      <c r="AY1006" s="48" t="s">
        <v>8728</v>
      </c>
      <c r="AZ1006" s="48" t="s">
        <v>1563</v>
      </c>
      <c r="BA1006" s="48">
        <v>32</v>
      </c>
      <c r="BB1006" s="47" t="s">
        <v>2485</v>
      </c>
      <c r="BC1006" s="47" t="s">
        <v>8726</v>
      </c>
      <c r="BD1006" s="47" t="s">
        <v>8374</v>
      </c>
      <c r="BE1006" s="48" t="s">
        <v>2449</v>
      </c>
      <c r="BF1006" s="48" t="s">
        <v>272</v>
      </c>
      <c r="BG1006" s="48" t="s">
        <v>272</v>
      </c>
      <c r="BH1006" s="48" t="s">
        <v>2486</v>
      </c>
      <c r="BI1006" s="98">
        <v>6.3999999999999997E-6</v>
      </c>
      <c r="BJ1006" s="98">
        <v>6.4000000000000001E-2</v>
      </c>
      <c r="BK1006" s="48"/>
      <c r="BL1006" s="98">
        <f t="shared" si="285"/>
        <v>7.7761745404047386E-2</v>
      </c>
      <c r="BM1006" s="47" t="s">
        <v>2487</v>
      </c>
      <c r="BN1006" s="48"/>
      <c r="BO1006" s="48"/>
      <c r="BP1006" s="48"/>
      <c r="BQ1006" s="48"/>
      <c r="BR1006" s="47" t="s">
        <v>2496</v>
      </c>
      <c r="BS1006" s="48"/>
      <c r="BT1006" s="48"/>
      <c r="BU1006" s="228">
        <v>6.4000000000000005E-4</v>
      </c>
      <c r="BV1006" s="48"/>
      <c r="BW1006" s="48"/>
      <c r="BX1006" s="48"/>
      <c r="BY1006" s="48"/>
      <c r="BZ1006" s="48"/>
      <c r="CA1006" s="48"/>
      <c r="CB1006" s="48"/>
      <c r="CC1006" s="48"/>
      <c r="CD1006" s="48"/>
      <c r="CE1006" s="48"/>
      <c r="CF1006" s="48"/>
      <c r="CG1006" s="48"/>
      <c r="CH1006" s="48"/>
      <c r="CI1006" s="98"/>
      <c r="CJ1006" s="98"/>
      <c r="CK1006" s="49">
        <f t="shared" si="281"/>
        <v>1.2150272719382404</v>
      </c>
      <c r="CL1006" s="229"/>
      <c r="CM1006" s="229"/>
      <c r="CN1006" s="229"/>
      <c r="CO1006" s="47" t="s">
        <v>2488</v>
      </c>
      <c r="CP1006" s="47" t="s">
        <v>2489</v>
      </c>
      <c r="CQ1006" s="224" t="s">
        <v>272</v>
      </c>
      <c r="CR1006" s="224"/>
      <c r="CS1006" s="230" t="s">
        <v>539</v>
      </c>
      <c r="CT1006" s="230"/>
      <c r="CU1006" s="230"/>
      <c r="CV1006" s="335">
        <f t="shared" si="284"/>
        <v>140.64268079415697</v>
      </c>
      <c r="CW1006" s="230">
        <f t="shared" si="280"/>
        <v>1</v>
      </c>
      <c r="CX1006" s="336"/>
      <c r="CY1006" s="230" t="s">
        <v>5921</v>
      </c>
    </row>
    <row r="1007" spans="1:103" ht="11.25" customHeight="1" x14ac:dyDescent="0.2">
      <c r="A1007" s="72">
        <v>1005</v>
      </c>
      <c r="B1007" s="224">
        <v>1638</v>
      </c>
      <c r="C1007" s="46" t="s">
        <v>1135</v>
      </c>
      <c r="D1007" s="46" t="s">
        <v>6654</v>
      </c>
      <c r="E1007" s="114"/>
      <c r="F1007" s="114" t="s">
        <v>1136</v>
      </c>
      <c r="G1007" s="225">
        <v>115297</v>
      </c>
      <c r="H1007" s="47" t="s">
        <v>1137</v>
      </c>
      <c r="I1007" s="47" t="s">
        <v>7890</v>
      </c>
      <c r="J1007" s="47" t="s">
        <v>1138</v>
      </c>
      <c r="K1007" s="47" t="s">
        <v>1139</v>
      </c>
      <c r="L1007" s="47" t="s">
        <v>617</v>
      </c>
      <c r="M1007" s="47" t="s">
        <v>1140</v>
      </c>
      <c r="N1007" s="47" t="s">
        <v>6376</v>
      </c>
      <c r="O1007" s="47" t="s">
        <v>918</v>
      </c>
      <c r="P1007" s="53" t="s">
        <v>6172</v>
      </c>
      <c r="Q1007" s="53" t="s">
        <v>6176</v>
      </c>
      <c r="R1007" s="53" t="s">
        <v>6181</v>
      </c>
      <c r="S1007" s="53" t="s">
        <v>6173</v>
      </c>
      <c r="T1007" s="48">
        <v>406.92</v>
      </c>
      <c r="U1007" s="98">
        <v>1.1058684753759952E-3</v>
      </c>
      <c r="V1007" s="98">
        <v>3.6542809397424555E-3</v>
      </c>
      <c r="W1007" s="98">
        <v>2.8840315031265994E-3</v>
      </c>
      <c r="X1007" s="98">
        <v>1.1058684753759952E-3</v>
      </c>
      <c r="Y1007" s="233">
        <v>7</v>
      </c>
      <c r="Z1007" s="48">
        <v>3.5</v>
      </c>
      <c r="AA1007" s="48">
        <v>3.83</v>
      </c>
      <c r="AB1007" s="48">
        <v>4.1900000000000004</v>
      </c>
      <c r="AC1007" s="48">
        <v>0.72519999999999996</v>
      </c>
      <c r="AD1007" s="48">
        <v>3.87</v>
      </c>
      <c r="AE1007" s="48">
        <v>3.12</v>
      </c>
      <c r="AF1007" s="48">
        <f t="shared" si="279"/>
        <v>3.83</v>
      </c>
      <c r="AG1007" s="49">
        <v>3.04</v>
      </c>
      <c r="AH1007" s="98">
        <v>9.0299999999999995E-8</v>
      </c>
      <c r="AI1007" s="98">
        <v>6.4999999999999994E-5</v>
      </c>
      <c r="AJ1007" s="483">
        <f t="shared" si="288"/>
        <v>-5.4328785759991458</v>
      </c>
      <c r="AK1007" s="483">
        <f>LOG10(AI1007*1000/(0.08206*298.15))</f>
        <v>-2.5756529696697963</v>
      </c>
      <c r="AL1007" s="483">
        <f t="shared" si="287"/>
        <v>-2.5756529696697963</v>
      </c>
      <c r="AM1007" s="483">
        <v>-16.826589999999999</v>
      </c>
      <c r="AN1007" s="226">
        <v>0.3</v>
      </c>
      <c r="AO1007" s="484"/>
      <c r="AP1007" s="484"/>
      <c r="AQ1007" s="226" t="s">
        <v>6311</v>
      </c>
      <c r="AR1007" s="226" t="s">
        <v>6311</v>
      </c>
      <c r="AS1007" s="224"/>
      <c r="AT1007" s="50" t="s">
        <v>266</v>
      </c>
      <c r="AU1007" s="48">
        <v>6</v>
      </c>
      <c r="AV1007" s="48">
        <v>120</v>
      </c>
      <c r="AW1007" s="48">
        <v>114</v>
      </c>
      <c r="AX1007" s="48">
        <v>28</v>
      </c>
      <c r="AY1007" s="48" t="s">
        <v>8728</v>
      </c>
      <c r="AZ1007" s="48" t="s">
        <v>1563</v>
      </c>
      <c r="BA1007" s="48">
        <v>32</v>
      </c>
      <c r="BB1007" s="47" t="s">
        <v>2485</v>
      </c>
      <c r="BC1007" s="47" t="s">
        <v>8726</v>
      </c>
      <c r="BD1007" s="47" t="s">
        <v>8374</v>
      </c>
      <c r="BE1007" s="48" t="s">
        <v>2449</v>
      </c>
      <c r="BF1007" s="48" t="s">
        <v>272</v>
      </c>
      <c r="BG1007" s="48" t="s">
        <v>272</v>
      </c>
      <c r="BH1007" s="48" t="s">
        <v>2486</v>
      </c>
      <c r="BI1007" s="98">
        <v>6.3999999999999997E-6</v>
      </c>
      <c r="BJ1007" s="98">
        <v>6.4000000000000001E-2</v>
      </c>
      <c r="BK1007" s="48"/>
      <c r="BL1007" s="98">
        <f t="shared" si="285"/>
        <v>3.6936011775524802E-2</v>
      </c>
      <c r="BM1007" s="47" t="s">
        <v>2487</v>
      </c>
      <c r="BN1007" s="48"/>
      <c r="BO1007" s="48"/>
      <c r="BP1007" s="48"/>
      <c r="BQ1007" s="48"/>
      <c r="BR1007" s="47" t="s">
        <v>2496</v>
      </c>
      <c r="BS1007" s="48"/>
      <c r="BT1007" s="48"/>
      <c r="BU1007" s="228"/>
      <c r="BV1007" s="48"/>
      <c r="BW1007" s="48"/>
      <c r="BX1007" s="48"/>
      <c r="BY1007" s="48"/>
      <c r="BZ1007" s="48"/>
      <c r="CA1007" s="48"/>
      <c r="CB1007" s="48"/>
      <c r="CC1007" s="48"/>
      <c r="CD1007" s="48"/>
      <c r="CE1007" s="48"/>
      <c r="CF1007" s="48"/>
      <c r="CG1007" s="48"/>
      <c r="CH1007" s="48"/>
      <c r="CI1007" s="98"/>
      <c r="CJ1007" s="98"/>
      <c r="CK1007" s="49">
        <f t="shared" si="281"/>
        <v>0.57712518399257506</v>
      </c>
      <c r="CL1007" s="229"/>
      <c r="CM1007" s="229">
        <v>-5.6582519598035192</v>
      </c>
      <c r="CN1007" s="229">
        <f>BJ1007/(10^CM1007)</f>
        <v>29136.134534569061</v>
      </c>
      <c r="CO1007" s="47" t="s">
        <v>2488</v>
      </c>
      <c r="CP1007" s="47" t="s">
        <v>2489</v>
      </c>
      <c r="CQ1007" s="224">
        <v>-5.5405853180066282</v>
      </c>
      <c r="CR1007" s="224">
        <f>10^(CJ1007-CQ1007)</f>
        <v>347204.47819205263</v>
      </c>
      <c r="CS1007" s="230" t="s">
        <v>539</v>
      </c>
      <c r="CT1007" s="230"/>
      <c r="CU1007" s="230"/>
      <c r="CV1007" s="335">
        <f t="shared" si="284"/>
        <v>1.7279194927749923E-2</v>
      </c>
      <c r="CW1007" s="230">
        <f t="shared" si="280"/>
        <v>0</v>
      </c>
      <c r="CX1007" s="336"/>
      <c r="CY1007" s="230" t="s">
        <v>5921</v>
      </c>
    </row>
    <row r="1008" spans="1:103" ht="11.25" customHeight="1" x14ac:dyDescent="0.2">
      <c r="A1008" s="72">
        <v>1006</v>
      </c>
      <c r="B1008" s="224">
        <v>864</v>
      </c>
      <c r="C1008" s="46" t="s">
        <v>1135</v>
      </c>
      <c r="D1008" s="46" t="s">
        <v>6654</v>
      </c>
      <c r="E1008" s="114"/>
      <c r="F1008" s="114" t="s">
        <v>1136</v>
      </c>
      <c r="G1008" s="225">
        <v>115297</v>
      </c>
      <c r="H1008" s="47" t="s">
        <v>1137</v>
      </c>
      <c r="I1008" s="47" t="s">
        <v>7890</v>
      </c>
      <c r="J1008" s="47" t="s">
        <v>1138</v>
      </c>
      <c r="K1008" s="47" t="s">
        <v>1139</v>
      </c>
      <c r="L1008" s="237" t="s">
        <v>617</v>
      </c>
      <c r="M1008" s="237" t="s">
        <v>1140</v>
      </c>
      <c r="N1008" s="47" t="s">
        <v>6376</v>
      </c>
      <c r="O1008" s="237" t="s">
        <v>918</v>
      </c>
      <c r="P1008" s="53" t="s">
        <v>6172</v>
      </c>
      <c r="Q1008" s="53" t="s">
        <v>6176</v>
      </c>
      <c r="R1008" s="53" t="s">
        <v>6181</v>
      </c>
      <c r="S1008" s="53" t="s">
        <v>6173</v>
      </c>
      <c r="T1008" s="226">
        <v>406.92</v>
      </c>
      <c r="U1008" s="98">
        <v>1.1058684753759952E-3</v>
      </c>
      <c r="V1008" s="98">
        <v>3.6542809397424555E-3</v>
      </c>
      <c r="W1008" s="98">
        <v>2.8840315031265994E-3</v>
      </c>
      <c r="X1008" s="98">
        <v>1.1058684753759952E-3</v>
      </c>
      <c r="Y1008" s="233">
        <v>7</v>
      </c>
      <c r="Z1008" s="48">
        <v>3.5</v>
      </c>
      <c r="AA1008" s="48">
        <v>3.83</v>
      </c>
      <c r="AB1008" s="48">
        <v>4.1900000000000004</v>
      </c>
      <c r="AC1008" s="48">
        <v>0.72519999999999996</v>
      </c>
      <c r="AD1008" s="48">
        <v>3.87</v>
      </c>
      <c r="AE1008" s="48">
        <v>3.12</v>
      </c>
      <c r="AF1008" s="48">
        <f t="shared" si="279"/>
        <v>3.83</v>
      </c>
      <c r="AG1008" s="49">
        <v>3.04</v>
      </c>
      <c r="AH1008" s="98">
        <v>9.0299999999999995E-8</v>
      </c>
      <c r="AI1008" s="98">
        <v>6.4999999999999994E-5</v>
      </c>
      <c r="AJ1008" s="483">
        <f t="shared" si="288"/>
        <v>-5.4328785759991458</v>
      </c>
      <c r="AK1008" s="483">
        <f>LOG10(AI1008*1000/(0.08206*298.15))</f>
        <v>-2.5756529696697963</v>
      </c>
      <c r="AL1008" s="483">
        <f t="shared" si="287"/>
        <v>-2.5756529696697963</v>
      </c>
      <c r="AM1008" s="483">
        <v>-16.826589999999999</v>
      </c>
      <c r="AN1008" s="226">
        <v>0.3</v>
      </c>
      <c r="AO1008" s="484"/>
      <c r="AP1008" s="484"/>
      <c r="AQ1008" s="226" t="s">
        <v>6311</v>
      </c>
      <c r="AR1008" s="226" t="s">
        <v>6311</v>
      </c>
      <c r="AS1008" s="224" t="s">
        <v>6</v>
      </c>
      <c r="AT1008" s="50" t="s">
        <v>266</v>
      </c>
      <c r="AU1008" s="48">
        <v>2</v>
      </c>
      <c r="AV1008" s="48">
        <v>98</v>
      </c>
      <c r="AW1008" s="48">
        <v>96</v>
      </c>
      <c r="AX1008" s="48">
        <v>26</v>
      </c>
      <c r="AY1008" s="48" t="s">
        <v>267</v>
      </c>
      <c r="AZ1008" s="48" t="s">
        <v>536</v>
      </c>
      <c r="BA1008" s="48">
        <v>10</v>
      </c>
      <c r="BB1008" s="47" t="s">
        <v>2458</v>
      </c>
      <c r="BC1008" s="47" t="s">
        <v>2448</v>
      </c>
      <c r="BD1008" s="47"/>
      <c r="BE1008" s="48" t="s">
        <v>1712</v>
      </c>
      <c r="BF1008" s="48"/>
      <c r="BG1008" s="48" t="s">
        <v>540</v>
      </c>
      <c r="BH1008" s="48" t="s">
        <v>2459</v>
      </c>
      <c r="BI1008" s="98"/>
      <c r="BJ1008" s="98">
        <f>0.005/406.92</f>
        <v>1.2287427504177725E-5</v>
      </c>
      <c r="BK1008" s="48"/>
      <c r="BL1008" s="98">
        <f t="shared" si="285"/>
        <v>3.6936011775524802E-2</v>
      </c>
      <c r="BM1008" s="48" t="s">
        <v>541</v>
      </c>
      <c r="BN1008" s="233"/>
      <c r="BO1008" s="48"/>
      <c r="BP1008" s="48"/>
      <c r="BQ1008" s="48" t="s">
        <v>2460</v>
      </c>
      <c r="BR1008" s="48"/>
      <c r="BS1008" s="48"/>
      <c r="BT1008" s="48"/>
      <c r="BU1008" s="228"/>
      <c r="BV1008" s="48"/>
      <c r="BW1008" s="48"/>
      <c r="BX1008" s="48"/>
      <c r="BY1008" s="48"/>
      <c r="BZ1008" s="48"/>
      <c r="CA1008" s="48"/>
      <c r="CB1008" s="48"/>
      <c r="CC1008" s="48"/>
      <c r="CD1008" s="48"/>
      <c r="CE1008" s="48"/>
      <c r="CF1008" s="48"/>
      <c r="CG1008" s="48"/>
      <c r="CH1008" s="48"/>
      <c r="CI1008" s="98"/>
      <c r="CJ1008" s="98"/>
      <c r="CK1008" s="49">
        <f t="shared" si="281"/>
        <v>3006.0003823393108</v>
      </c>
      <c r="CL1008" s="229"/>
      <c r="CM1008" s="229">
        <v>-5.6582519598035192</v>
      </c>
      <c r="CN1008" s="229"/>
      <c r="CO1008" s="47"/>
      <c r="CP1008" s="47" t="s">
        <v>2450</v>
      </c>
      <c r="CQ1008" s="224">
        <v>-5.5405853180066282</v>
      </c>
      <c r="CR1008" s="224">
        <f>10^(CJ1008-CQ1008)</f>
        <v>347204.47819205263</v>
      </c>
      <c r="CS1008" s="230" t="s">
        <v>539</v>
      </c>
      <c r="CT1008" s="230"/>
      <c r="CU1008" s="230"/>
      <c r="CV1008" s="335">
        <f t="shared" si="284"/>
        <v>90</v>
      </c>
      <c r="CW1008" s="230">
        <f t="shared" si="280"/>
        <v>1</v>
      </c>
      <c r="CX1008" s="336" t="s">
        <v>539</v>
      </c>
      <c r="CY1008" s="230" t="s">
        <v>5921</v>
      </c>
    </row>
    <row r="1009" spans="1:103" ht="11.25" customHeight="1" x14ac:dyDescent="0.2">
      <c r="A1009" s="72">
        <v>1007</v>
      </c>
      <c r="B1009" s="224">
        <v>1806</v>
      </c>
      <c r="C1009" s="46" t="s">
        <v>7184</v>
      </c>
      <c r="D1009" s="46"/>
      <c r="E1009" s="114"/>
      <c r="F1009" s="114" t="s">
        <v>5189</v>
      </c>
      <c r="G1009" s="225">
        <v>115775</v>
      </c>
      <c r="H1009" s="47" t="s">
        <v>5190</v>
      </c>
      <c r="I1009" s="47" t="s">
        <v>5190</v>
      </c>
      <c r="J1009" s="47" t="s">
        <v>5191</v>
      </c>
      <c r="K1009" s="47" t="s">
        <v>426</v>
      </c>
      <c r="L1009" s="47"/>
      <c r="M1009" s="47"/>
      <c r="N1009" s="47"/>
      <c r="O1009" s="47"/>
      <c r="P1009" s="53"/>
      <c r="Q1009" s="53"/>
      <c r="R1009" s="53"/>
      <c r="S1009" s="53"/>
      <c r="T1009" s="48">
        <v>136.15</v>
      </c>
      <c r="U1009" s="98">
        <v>531.03195005508633</v>
      </c>
      <c r="V1009" s="98">
        <v>7344.8402497245679</v>
      </c>
      <c r="W1009" s="98">
        <v>3467.3685045253169</v>
      </c>
      <c r="X1009" s="98">
        <v>531.03195005508633</v>
      </c>
      <c r="Y1009" s="233">
        <v>6.48</v>
      </c>
      <c r="Z1009" s="48">
        <v>-1.77</v>
      </c>
      <c r="AA1009" s="48">
        <v>-1.69</v>
      </c>
      <c r="AB1009" s="48">
        <v>-1.67</v>
      </c>
      <c r="AC1009" s="48">
        <v>0.83169999999999999</v>
      </c>
      <c r="AD1009" s="48">
        <v>-1.8</v>
      </c>
      <c r="AE1009" s="48">
        <v>-2.36</v>
      </c>
      <c r="AF1009" s="48">
        <f t="shared" si="279"/>
        <v>-1.69</v>
      </c>
      <c r="AG1009" s="49">
        <v>-1.78</v>
      </c>
      <c r="AH1009" s="98">
        <v>4.0899999999999998E-10</v>
      </c>
      <c r="AI1009" s="98"/>
      <c r="AJ1009" s="483">
        <f t="shared" si="288"/>
        <v>-7.7768430183053097</v>
      </c>
      <c r="AK1009" s="483"/>
      <c r="AL1009" s="483">
        <f t="shared" si="287"/>
        <v>-7.7768430183053097</v>
      </c>
      <c r="AM1009" s="483">
        <v>-14.380439999999998</v>
      </c>
      <c r="AN1009" s="226">
        <v>-3.55</v>
      </c>
      <c r="AO1009" s="484">
        <v>13.55</v>
      </c>
      <c r="AP1009" s="484"/>
      <c r="AQ1009" s="226" t="s">
        <v>6311</v>
      </c>
      <c r="AR1009" s="226" t="s">
        <v>6311</v>
      </c>
      <c r="AS1009" s="224"/>
      <c r="AT1009" s="50" t="s">
        <v>266</v>
      </c>
      <c r="AU1009" s="48">
        <v>6</v>
      </c>
      <c r="AV1009" s="48">
        <v>120</v>
      </c>
      <c r="AW1009" s="48">
        <v>114</v>
      </c>
      <c r="AX1009" s="48">
        <v>28</v>
      </c>
      <c r="AY1009" s="48" t="s">
        <v>8728</v>
      </c>
      <c r="AZ1009" s="48" t="s">
        <v>1563</v>
      </c>
      <c r="BA1009" s="48">
        <v>32</v>
      </c>
      <c r="BB1009" s="47" t="s">
        <v>2485</v>
      </c>
      <c r="BC1009" s="47" t="s">
        <v>8726</v>
      </c>
      <c r="BD1009" s="47" t="s">
        <v>8374</v>
      </c>
      <c r="BE1009" s="48" t="s">
        <v>2449</v>
      </c>
      <c r="BF1009" s="48" t="s">
        <v>272</v>
      </c>
      <c r="BG1009" s="48" t="s">
        <v>272</v>
      </c>
      <c r="BH1009" s="48" t="s">
        <v>2486</v>
      </c>
      <c r="BI1009" s="98">
        <v>6.3999999999999997E-6</v>
      </c>
      <c r="BJ1009" s="98">
        <v>6.4000000000000001E-2</v>
      </c>
      <c r="BK1009" s="48"/>
      <c r="BL1009" s="98">
        <f t="shared" si="285"/>
        <v>1997.2710175794527</v>
      </c>
      <c r="BM1009" s="47" t="s">
        <v>2487</v>
      </c>
      <c r="BN1009" s="48"/>
      <c r="BO1009" s="48"/>
      <c r="BP1009" s="48"/>
      <c r="BQ1009" s="48"/>
      <c r="BR1009" s="47" t="s">
        <v>2496</v>
      </c>
      <c r="BS1009" s="48"/>
      <c r="BT1009" s="48"/>
      <c r="BU1009" s="228"/>
      <c r="BV1009" s="48"/>
      <c r="BW1009" s="48"/>
      <c r="BX1009" s="48"/>
      <c r="BY1009" s="48"/>
      <c r="BZ1009" s="48"/>
      <c r="CA1009" s="48"/>
      <c r="CB1009" s="48"/>
      <c r="CC1009" s="48"/>
      <c r="CD1009" s="48"/>
      <c r="CE1009" s="48"/>
      <c r="CF1009" s="48"/>
      <c r="CG1009" s="48"/>
      <c r="CH1009" s="48"/>
      <c r="CI1009" s="98"/>
      <c r="CJ1009" s="98"/>
      <c r="CK1009" s="49">
        <f t="shared" si="281"/>
        <v>31207.359649678947</v>
      </c>
      <c r="CL1009" s="229"/>
      <c r="CM1009" s="229"/>
      <c r="CN1009" s="229"/>
      <c r="CO1009" s="47" t="s">
        <v>2488</v>
      </c>
      <c r="CP1009" s="47" t="s">
        <v>2489</v>
      </c>
      <c r="CQ1009" s="224" t="s">
        <v>272</v>
      </c>
      <c r="CR1009" s="224"/>
      <c r="CS1009" s="230" t="s">
        <v>539</v>
      </c>
      <c r="CT1009" s="230"/>
      <c r="CU1009" s="230"/>
      <c r="CV1009" s="335">
        <f t="shared" si="284"/>
        <v>8297.3742196107232</v>
      </c>
      <c r="CW1009" s="230">
        <f t="shared" si="280"/>
        <v>1</v>
      </c>
      <c r="CX1009" s="336"/>
      <c r="CY1009" s="230" t="s">
        <v>6351</v>
      </c>
    </row>
    <row r="1010" spans="1:103" ht="11.25" customHeight="1" x14ac:dyDescent="0.2">
      <c r="A1010" s="72">
        <v>1008</v>
      </c>
      <c r="B1010" s="224">
        <v>1330</v>
      </c>
      <c r="C1010" s="46" t="s">
        <v>7185</v>
      </c>
      <c r="D1010" s="46"/>
      <c r="E1010" s="114"/>
      <c r="F1010" s="114" t="s">
        <v>3619</v>
      </c>
      <c r="G1010" s="225">
        <v>115866</v>
      </c>
      <c r="H1010" s="47" t="s">
        <v>3620</v>
      </c>
      <c r="I1010" s="47" t="s">
        <v>3620</v>
      </c>
      <c r="J1010" s="236" t="s">
        <v>3621</v>
      </c>
      <c r="K1010" s="236" t="s">
        <v>637</v>
      </c>
      <c r="L1010" s="47" t="s">
        <v>5527</v>
      </c>
      <c r="M1010" s="47" t="s">
        <v>6082</v>
      </c>
      <c r="N1010" s="47"/>
      <c r="O1010" s="52" t="s">
        <v>6083</v>
      </c>
      <c r="P1010" s="53"/>
      <c r="Q1010" s="53"/>
      <c r="R1010" s="53"/>
      <c r="S1010" s="53"/>
      <c r="T1010" s="226">
        <v>326.29000000000002</v>
      </c>
      <c r="U1010" s="98">
        <v>5.8230408532287219E-3</v>
      </c>
      <c r="V1010" s="98">
        <v>3.168960127493947E-3</v>
      </c>
      <c r="W1010" s="98">
        <v>2.4547089156850253E-2</v>
      </c>
      <c r="X1010" s="98">
        <v>5.8230408532287219E-3</v>
      </c>
      <c r="Y1010" s="233">
        <v>7</v>
      </c>
      <c r="Z1010" s="48">
        <v>4.7</v>
      </c>
      <c r="AA1010" s="48">
        <v>4.59</v>
      </c>
      <c r="AB1010" s="48">
        <v>4.1399999999999997</v>
      </c>
      <c r="AC1010" s="48">
        <v>0.59050000000000002</v>
      </c>
      <c r="AD1010" s="48">
        <v>4.12</v>
      </c>
      <c r="AE1010" s="48">
        <v>4.0999999999999996</v>
      </c>
      <c r="AF1010" s="48">
        <f t="shared" si="279"/>
        <v>4.59</v>
      </c>
      <c r="AG1010" s="48">
        <v>4.1900000000000004</v>
      </c>
      <c r="AH1010" s="98">
        <v>3.9799999999999999E-8</v>
      </c>
      <c r="AI1010" s="98">
        <v>3.3100000000000001E-6</v>
      </c>
      <c r="AJ1010" s="483">
        <f t="shared" si="288"/>
        <v>-5.7886832542389639</v>
      </c>
      <c r="AK1010" s="483">
        <f>LOG10(AI1010*1000/(0.08206*298.15))</f>
        <v>-3.8687383325369331</v>
      </c>
      <c r="AL1010" s="483">
        <f t="shared" si="287"/>
        <v>-3.8687383325369331</v>
      </c>
      <c r="AM1010" s="483">
        <v>-15.75759</v>
      </c>
      <c r="AN1010" s="48">
        <v>-2.85</v>
      </c>
      <c r="AO1010" s="484"/>
      <c r="AP1010" s="484"/>
      <c r="AQ1010" s="48" t="s">
        <v>6312</v>
      </c>
      <c r="AR1010" s="48" t="s">
        <v>6312</v>
      </c>
      <c r="AS1010" s="227"/>
      <c r="AT1010" s="50" t="s">
        <v>266</v>
      </c>
      <c r="AU1010" s="48">
        <v>6</v>
      </c>
      <c r="AV1010" s="48">
        <v>120</v>
      </c>
      <c r="AW1010" s="48">
        <v>114</v>
      </c>
      <c r="AX1010" s="48">
        <v>28</v>
      </c>
      <c r="AY1010" s="48" t="s">
        <v>8728</v>
      </c>
      <c r="AZ1010" s="48" t="s">
        <v>1563</v>
      </c>
      <c r="BA1010" s="48">
        <v>32</v>
      </c>
      <c r="BB1010" s="47" t="s">
        <v>2485</v>
      </c>
      <c r="BC1010" s="47" t="s">
        <v>8726</v>
      </c>
      <c r="BD1010" s="47" t="s">
        <v>8374</v>
      </c>
      <c r="BE1010" s="48" t="s">
        <v>2449</v>
      </c>
      <c r="BF1010" s="48" t="s">
        <v>272</v>
      </c>
      <c r="BG1010" s="48" t="s">
        <v>272</v>
      </c>
      <c r="BH1010" s="48" t="s">
        <v>2486</v>
      </c>
      <c r="BI1010" s="98">
        <v>6.3999999999999997E-6</v>
      </c>
      <c r="BJ1010" s="98">
        <v>6.4000000000000001E-2</v>
      </c>
      <c r="BK1010" s="48"/>
      <c r="BL1010" s="98">
        <f t="shared" si="285"/>
        <v>3.0883747991894929E-3</v>
      </c>
      <c r="BM1010" s="47" t="s">
        <v>2487</v>
      </c>
      <c r="BN1010" s="48"/>
      <c r="BO1010" s="48"/>
      <c r="BP1010" s="48"/>
      <c r="BQ1010" s="48"/>
      <c r="BR1010" s="47" t="s">
        <v>2496</v>
      </c>
      <c r="BS1010" s="48"/>
      <c r="BT1010" s="48"/>
      <c r="BU1010" s="228">
        <v>6.4000000000000001E-2</v>
      </c>
      <c r="BV1010" s="48"/>
      <c r="BW1010" s="48"/>
      <c r="BX1010" s="48"/>
      <c r="BY1010" s="48"/>
      <c r="BZ1010" s="48"/>
      <c r="CA1010" s="48"/>
      <c r="CB1010" s="48"/>
      <c r="CC1010" s="48"/>
      <c r="CD1010" s="48"/>
      <c r="CE1010" s="48"/>
      <c r="CF1010" s="48"/>
      <c r="CG1010" s="48"/>
      <c r="CH1010" s="48"/>
      <c r="CI1010" s="98"/>
      <c r="CJ1010" s="98"/>
      <c r="CK1010" s="49">
        <f t="shared" si="281"/>
        <v>4.8255856237335824E-2</v>
      </c>
      <c r="CL1010" s="229"/>
      <c r="CM1010" s="229"/>
      <c r="CN1010" s="229"/>
      <c r="CO1010" s="47" t="s">
        <v>2488</v>
      </c>
      <c r="CP1010" s="47" t="s">
        <v>2489</v>
      </c>
      <c r="CQ1010" s="224">
        <v>-2.5350187014188603</v>
      </c>
      <c r="CR1010" s="224">
        <f>10^(CJ1010-CQ1010)</f>
        <v>342.78254699640979</v>
      </c>
      <c r="CS1010" s="230" t="s">
        <v>539</v>
      </c>
      <c r="CT1010" s="230"/>
      <c r="CU1010" s="230"/>
      <c r="CV1010" s="335">
        <f t="shared" si="284"/>
        <v>9.0985013331698783E-2</v>
      </c>
      <c r="CW1010" s="230">
        <f t="shared" si="280"/>
        <v>0</v>
      </c>
      <c r="CX1010" s="336"/>
      <c r="CY1010" s="230" t="s">
        <v>6351</v>
      </c>
    </row>
    <row r="1011" spans="1:103" ht="11.25" customHeight="1" x14ac:dyDescent="0.2">
      <c r="A1011" s="72">
        <v>1009</v>
      </c>
      <c r="B1011" s="224">
        <v>67</v>
      </c>
      <c r="C1011" s="46" t="s">
        <v>7186</v>
      </c>
      <c r="D1011" s="46"/>
      <c r="E1011" s="114"/>
      <c r="F1011" s="114" t="s">
        <v>3634</v>
      </c>
      <c r="G1011" s="225">
        <v>115968</v>
      </c>
      <c r="H1011" s="47" t="s">
        <v>3635</v>
      </c>
      <c r="I1011" s="47" t="s">
        <v>8035</v>
      </c>
      <c r="J1011" s="236" t="s">
        <v>3636</v>
      </c>
      <c r="K1011" s="236" t="s">
        <v>637</v>
      </c>
      <c r="L1011" s="47"/>
      <c r="M1011" s="47"/>
      <c r="N1011" s="47"/>
      <c r="O1011" s="52"/>
      <c r="P1011" s="53"/>
      <c r="Q1011" s="53"/>
      <c r="R1011" s="53"/>
      <c r="S1011" s="53"/>
      <c r="T1011" s="226">
        <v>285.49</v>
      </c>
      <c r="U1011" s="98">
        <v>24.519247609373359</v>
      </c>
      <c r="V1011" s="98">
        <v>3.0750639251812673</v>
      </c>
      <c r="W1011" s="98">
        <v>63.095734448019314</v>
      </c>
      <c r="X1011" s="98">
        <v>24.519247609373359</v>
      </c>
      <c r="Y1011" s="233">
        <v>7</v>
      </c>
      <c r="Z1011" s="48">
        <v>1.63</v>
      </c>
      <c r="AA1011" s="48">
        <v>1.44</v>
      </c>
      <c r="AB1011" s="48">
        <v>1.79</v>
      </c>
      <c r="AC1011" s="48">
        <v>0.81040000000000001</v>
      </c>
      <c r="AD1011" s="48">
        <v>1.42</v>
      </c>
      <c r="AE1011" s="48">
        <v>0.48</v>
      </c>
      <c r="AF1011" s="48">
        <f t="shared" si="279"/>
        <v>1.44</v>
      </c>
      <c r="AG1011" s="48">
        <v>1.76</v>
      </c>
      <c r="AH1011" s="98">
        <v>2.55E-8</v>
      </c>
      <c r="AI1011" s="98">
        <v>3.2899999999999998E-6</v>
      </c>
      <c r="AJ1011" s="483">
        <f t="shared" si="288"/>
        <v>-5.982026145878697</v>
      </c>
      <c r="AK1011" s="483">
        <f>LOG10(AI1011*1000/(0.08206*298.15))</f>
        <v>-3.8713704283626775</v>
      </c>
      <c r="AL1011" s="483">
        <f t="shared" si="287"/>
        <v>-3.8713704283626775</v>
      </c>
      <c r="AM1011" s="483">
        <v>-9.8505199999999995</v>
      </c>
      <c r="AN1011" s="48">
        <v>-7.25</v>
      </c>
      <c r="AO1011" s="484"/>
      <c r="AP1011" s="484"/>
      <c r="AQ1011" s="48" t="s">
        <v>6314</v>
      </c>
      <c r="AR1011" s="48" t="s">
        <v>6314</v>
      </c>
      <c r="AS1011" s="227"/>
      <c r="AT1011" s="50" t="s">
        <v>266</v>
      </c>
      <c r="AU1011" s="48">
        <v>6</v>
      </c>
      <c r="AV1011" s="48">
        <v>120</v>
      </c>
      <c r="AW1011" s="48">
        <v>114</v>
      </c>
      <c r="AX1011" s="48">
        <v>28</v>
      </c>
      <c r="AY1011" s="48" t="s">
        <v>8728</v>
      </c>
      <c r="AZ1011" s="48" t="s">
        <v>1563</v>
      </c>
      <c r="BA1011" s="48">
        <v>32</v>
      </c>
      <c r="BB1011" s="47" t="s">
        <v>2485</v>
      </c>
      <c r="BC1011" s="47" t="s">
        <v>8726</v>
      </c>
      <c r="BD1011" s="47" t="s">
        <v>8374</v>
      </c>
      <c r="BE1011" s="48" t="s">
        <v>2449</v>
      </c>
      <c r="BF1011" s="48" t="s">
        <v>272</v>
      </c>
      <c r="BG1011" s="48" t="s">
        <v>272</v>
      </c>
      <c r="BH1011" s="48" t="s">
        <v>2486</v>
      </c>
      <c r="BI1011" s="98">
        <v>6.3999999999999997E-6</v>
      </c>
      <c r="BJ1011" s="98">
        <v>6.4000000000000001E-2</v>
      </c>
      <c r="BK1011" s="48"/>
      <c r="BL1011" s="98">
        <f t="shared" si="285"/>
        <v>1.7656190257571063</v>
      </c>
      <c r="BM1011" s="47" t="s">
        <v>2487</v>
      </c>
      <c r="BN1011" s="48"/>
      <c r="BO1011" s="48"/>
      <c r="BP1011" s="48"/>
      <c r="BQ1011" s="48"/>
      <c r="BR1011" s="47" t="s">
        <v>2496</v>
      </c>
      <c r="BS1011" s="48"/>
      <c r="BT1011" s="48"/>
      <c r="BU1011" s="228">
        <v>6.3999999999999997E-6</v>
      </c>
      <c r="BV1011" s="48"/>
      <c r="BW1011" s="48"/>
      <c r="BX1011" s="48"/>
      <c r="BY1011" s="48"/>
      <c r="BZ1011" s="48"/>
      <c r="CA1011" s="48"/>
      <c r="CB1011" s="48"/>
      <c r="CC1011" s="48"/>
      <c r="CD1011" s="48"/>
      <c r="CE1011" s="48"/>
      <c r="CF1011" s="48"/>
      <c r="CG1011" s="48"/>
      <c r="CH1011" s="48"/>
      <c r="CI1011" s="98"/>
      <c r="CJ1011" s="98"/>
      <c r="CK1011" s="49">
        <f t="shared" si="281"/>
        <v>27.587797277454786</v>
      </c>
      <c r="CL1011" s="229"/>
      <c r="CM1011" s="229"/>
      <c r="CN1011" s="229"/>
      <c r="CO1011" s="47" t="s">
        <v>2488</v>
      </c>
      <c r="CP1011" s="47" t="s">
        <v>2489</v>
      </c>
      <c r="CQ1011" s="224" t="s">
        <v>272</v>
      </c>
      <c r="CR1011" s="224"/>
      <c r="CS1011" s="230" t="s">
        <v>539</v>
      </c>
      <c r="CT1011" s="230"/>
      <c r="CU1011" s="230"/>
      <c r="CV1011" s="335">
        <f t="shared" si="284"/>
        <v>383.1132438964587</v>
      </c>
      <c r="CW1011" s="230">
        <f t="shared" si="280"/>
        <v>1</v>
      </c>
      <c r="CX1011" s="336"/>
      <c r="CY1011" s="230" t="s">
        <v>6351</v>
      </c>
    </row>
    <row r="1012" spans="1:103" ht="11.25" customHeight="1" x14ac:dyDescent="0.2">
      <c r="A1012" s="72">
        <v>1010</v>
      </c>
      <c r="B1012" s="224">
        <v>222</v>
      </c>
      <c r="C1012" s="46" t="s">
        <v>2464</v>
      </c>
      <c r="D1012" s="46"/>
      <c r="E1012" s="114"/>
      <c r="F1012" s="114" t="s">
        <v>3723</v>
      </c>
      <c r="G1012" s="225">
        <v>116063</v>
      </c>
      <c r="H1012" s="47" t="s">
        <v>2465</v>
      </c>
      <c r="I1012" s="47" t="s">
        <v>2465</v>
      </c>
      <c r="J1012" s="47" t="s">
        <v>2466</v>
      </c>
      <c r="K1012" s="47" t="s">
        <v>1504</v>
      </c>
      <c r="L1012" s="47" t="s">
        <v>617</v>
      </c>
      <c r="M1012" s="47" t="s">
        <v>618</v>
      </c>
      <c r="N1012" s="47" t="s">
        <v>6376</v>
      </c>
      <c r="O1012" s="47" t="s">
        <v>2467</v>
      </c>
      <c r="P1012" s="53"/>
      <c r="Q1012" s="53"/>
      <c r="R1012" s="53"/>
      <c r="S1012" s="53"/>
      <c r="T1012" s="48">
        <v>190.26</v>
      </c>
      <c r="U1012" s="98">
        <v>31.693472090823086</v>
      </c>
      <c r="V1012" s="98">
        <v>27.919688846841165</v>
      </c>
      <c r="W1012" s="98">
        <v>16.218100973589287</v>
      </c>
      <c r="X1012" s="98">
        <v>31.693472090823086</v>
      </c>
      <c r="Y1012" s="233">
        <v>6.99</v>
      </c>
      <c r="Z1012" s="48">
        <v>1.36</v>
      </c>
      <c r="AA1012" s="48">
        <v>1.1299999999999999</v>
      </c>
      <c r="AB1012" s="48">
        <v>1.44</v>
      </c>
      <c r="AC1012" s="48">
        <v>0.81879999999999997</v>
      </c>
      <c r="AD1012" s="48">
        <v>1.36</v>
      </c>
      <c r="AE1012" s="48">
        <v>1.1299999999999999</v>
      </c>
      <c r="AF1012" s="48">
        <f t="shared" si="279"/>
        <v>1.1299999999999999</v>
      </c>
      <c r="AG1012" s="49">
        <v>1.64</v>
      </c>
      <c r="AH1012" s="98">
        <v>3.5699999999999999E-9</v>
      </c>
      <c r="AI1012" s="98">
        <v>1.44E-9</v>
      </c>
      <c r="AJ1012" s="483">
        <f t="shared" si="288"/>
        <v>-6.8358981102004588</v>
      </c>
      <c r="AK1012" s="483">
        <f>LOG10(AI1012*1000/(0.08206*298.15))</f>
        <v>-7.2302038342174022</v>
      </c>
      <c r="AL1012" s="483">
        <f t="shared" si="287"/>
        <v>-7.2302038342174022</v>
      </c>
      <c r="AM1012" s="483">
        <v>-8.1778699999999986</v>
      </c>
      <c r="AN1012" s="226">
        <v>-7.65</v>
      </c>
      <c r="AO1012" s="484">
        <v>13.81</v>
      </c>
      <c r="AP1012" s="484">
        <v>-1.1200000000000001</v>
      </c>
      <c r="AQ1012" s="226" t="s">
        <v>6311</v>
      </c>
      <c r="AR1012" s="226" t="s">
        <v>6311</v>
      </c>
      <c r="AS1012" s="224" t="s">
        <v>6</v>
      </c>
      <c r="AT1012" s="50" t="s">
        <v>266</v>
      </c>
      <c r="AU1012" s="48">
        <v>8</v>
      </c>
      <c r="AV1012" s="48">
        <v>144</v>
      </c>
      <c r="AW1012" s="48">
        <v>120</v>
      </c>
      <c r="AX1012" s="48">
        <v>26</v>
      </c>
      <c r="AY1012" s="48" t="s">
        <v>267</v>
      </c>
      <c r="AZ1012" s="48" t="s">
        <v>2253</v>
      </c>
      <c r="BA1012" s="48">
        <v>2</v>
      </c>
      <c r="BB1012" s="47" t="s">
        <v>2254</v>
      </c>
      <c r="BC1012" s="47" t="s">
        <v>270</v>
      </c>
      <c r="BD1012" s="47" t="s">
        <v>8374</v>
      </c>
      <c r="BE1012" s="48" t="s">
        <v>1712</v>
      </c>
      <c r="BF1012" s="48" t="s">
        <v>272</v>
      </c>
      <c r="BG1012" s="48" t="s">
        <v>272</v>
      </c>
      <c r="BH1012" s="48" t="s">
        <v>2255</v>
      </c>
      <c r="BI1012" s="98">
        <v>9.9999999999999995E-7</v>
      </c>
      <c r="BJ1012" s="98">
        <v>0.08</v>
      </c>
      <c r="BK1012" s="48"/>
      <c r="BL1012" s="98">
        <f t="shared" si="285"/>
        <v>3.0859152880211576</v>
      </c>
      <c r="BM1012" s="48" t="s">
        <v>891</v>
      </c>
      <c r="BN1012" s="233"/>
      <c r="BO1012" s="233"/>
      <c r="BP1012" s="233"/>
      <c r="BQ1012" s="233"/>
      <c r="BR1012" s="233"/>
      <c r="BS1012" s="48"/>
      <c r="BT1012" s="233"/>
      <c r="BU1012" s="228"/>
      <c r="BV1012" s="233"/>
      <c r="BW1012" s="233"/>
      <c r="BX1012" s="233"/>
      <c r="BY1012" s="233"/>
      <c r="BZ1012" s="233"/>
      <c r="CA1012" s="233"/>
      <c r="CB1012" s="233"/>
      <c r="CC1012" s="48"/>
      <c r="CD1012" s="48"/>
      <c r="CE1012" s="48"/>
      <c r="CF1012" s="48"/>
      <c r="CG1012" s="233"/>
      <c r="CH1012" s="48"/>
      <c r="CI1012" s="98"/>
      <c r="CJ1012" s="98"/>
      <c r="CK1012" s="49">
        <f t="shared" si="281"/>
        <v>38.57394110026447</v>
      </c>
      <c r="CL1012" s="229"/>
      <c r="CM1012" s="229">
        <v>-3.2555945516503755</v>
      </c>
      <c r="CN1012" s="229">
        <f>BJ1012/(10^CM1012)</f>
        <v>144.1068213005249</v>
      </c>
      <c r="CO1012" s="47" t="s">
        <v>892</v>
      </c>
      <c r="CP1012" s="47" t="s">
        <v>893</v>
      </c>
      <c r="CQ1012" s="224">
        <v>-2.6079154065209287</v>
      </c>
      <c r="CR1012" s="224">
        <f>10^(CJ1012-CQ1012)</f>
        <v>405.42955669414312</v>
      </c>
      <c r="CS1012" s="230" t="s">
        <v>539</v>
      </c>
      <c r="CT1012" s="230"/>
      <c r="CU1012" s="230"/>
      <c r="CV1012" s="335">
        <f t="shared" si="284"/>
        <v>396.16840113528855</v>
      </c>
      <c r="CW1012" s="230">
        <f t="shared" si="280"/>
        <v>1</v>
      </c>
      <c r="CX1012" s="336" t="s">
        <v>539</v>
      </c>
      <c r="CY1012" s="230" t="s">
        <v>5921</v>
      </c>
    </row>
    <row r="1013" spans="1:103" ht="11.25" customHeight="1" x14ac:dyDescent="0.2">
      <c r="A1013" s="72">
        <v>1011</v>
      </c>
      <c r="B1013" s="224">
        <v>1496</v>
      </c>
      <c r="C1013" s="46" t="s">
        <v>2464</v>
      </c>
      <c r="D1013" s="46"/>
      <c r="E1013" s="114"/>
      <c r="F1013" s="114" t="s">
        <v>3723</v>
      </c>
      <c r="G1013" s="225">
        <v>116063</v>
      </c>
      <c r="H1013" s="47" t="s">
        <v>2465</v>
      </c>
      <c r="I1013" s="47" t="s">
        <v>2465</v>
      </c>
      <c r="J1013" s="47" t="s">
        <v>2466</v>
      </c>
      <c r="K1013" s="47" t="s">
        <v>1504</v>
      </c>
      <c r="L1013" s="47"/>
      <c r="M1013" s="47" t="s">
        <v>618</v>
      </c>
      <c r="N1013" s="47" t="s">
        <v>6376</v>
      </c>
      <c r="O1013" s="47" t="s">
        <v>2467</v>
      </c>
      <c r="P1013" s="53"/>
      <c r="Q1013" s="53" t="s">
        <v>6173</v>
      </c>
      <c r="R1013" s="53" t="s">
        <v>6177</v>
      </c>
      <c r="S1013" s="53" t="s">
        <v>6176</v>
      </c>
      <c r="T1013" s="48">
        <v>190.26</v>
      </c>
      <c r="U1013" s="98">
        <v>31.693472090823086</v>
      </c>
      <c r="V1013" s="98">
        <v>27.919688846841165</v>
      </c>
      <c r="W1013" s="98">
        <v>16.218100973589287</v>
      </c>
      <c r="X1013" s="98">
        <v>31.693472090823086</v>
      </c>
      <c r="Y1013" s="233">
        <v>6.99</v>
      </c>
      <c r="Z1013" s="48">
        <v>1.36</v>
      </c>
      <c r="AA1013" s="48">
        <v>1.1299999999999999</v>
      </c>
      <c r="AB1013" s="48">
        <v>1.44</v>
      </c>
      <c r="AC1013" s="48">
        <v>0.81879999999999997</v>
      </c>
      <c r="AD1013" s="48">
        <v>1.36</v>
      </c>
      <c r="AE1013" s="48">
        <v>1.1299999999999999</v>
      </c>
      <c r="AF1013" s="48">
        <f t="shared" si="279"/>
        <v>1.1299999999999999</v>
      </c>
      <c r="AG1013" s="49">
        <v>1.64</v>
      </c>
      <c r="AH1013" s="98">
        <v>3.5699999999999999E-9</v>
      </c>
      <c r="AI1013" s="98">
        <v>1.44E-9</v>
      </c>
      <c r="AJ1013" s="483">
        <f t="shared" si="288"/>
        <v>-6.8358981102004588</v>
      </c>
      <c r="AK1013" s="483">
        <f>LOG10(AI1013*1000/(0.08206*298.15))</f>
        <v>-7.2302038342174022</v>
      </c>
      <c r="AL1013" s="483">
        <f t="shared" si="287"/>
        <v>-7.2302038342174022</v>
      </c>
      <c r="AM1013" s="483">
        <v>-8.1778699999999986</v>
      </c>
      <c r="AN1013" s="226">
        <v>-7.65</v>
      </c>
      <c r="AO1013" s="484">
        <v>13.81</v>
      </c>
      <c r="AP1013" s="484">
        <v>-1.1200000000000001</v>
      </c>
      <c r="AQ1013" s="48" t="s">
        <v>6311</v>
      </c>
      <c r="AR1013" s="48" t="s">
        <v>6311</v>
      </c>
      <c r="AS1013" s="227"/>
      <c r="AT1013" s="50" t="s">
        <v>266</v>
      </c>
      <c r="AU1013" s="48">
        <v>6</v>
      </c>
      <c r="AV1013" s="48">
        <v>120</v>
      </c>
      <c r="AW1013" s="48">
        <v>114</v>
      </c>
      <c r="AX1013" s="48">
        <v>28</v>
      </c>
      <c r="AY1013" s="48" t="s">
        <v>8728</v>
      </c>
      <c r="AZ1013" s="48" t="s">
        <v>1563</v>
      </c>
      <c r="BA1013" s="48">
        <v>32</v>
      </c>
      <c r="BB1013" s="47" t="s">
        <v>2485</v>
      </c>
      <c r="BC1013" s="47" t="s">
        <v>8726</v>
      </c>
      <c r="BD1013" s="47" t="s">
        <v>8374</v>
      </c>
      <c r="BE1013" s="48" t="s">
        <v>2449</v>
      </c>
      <c r="BF1013" s="48" t="s">
        <v>272</v>
      </c>
      <c r="BG1013" s="48" t="s">
        <v>272</v>
      </c>
      <c r="BH1013" s="48" t="s">
        <v>2486</v>
      </c>
      <c r="BI1013" s="98">
        <v>6.3999999999999997E-6</v>
      </c>
      <c r="BJ1013" s="98">
        <v>6.4000000000000001E-2</v>
      </c>
      <c r="BK1013" s="48"/>
      <c r="BL1013" s="98">
        <f t="shared" si="285"/>
        <v>3.0859152880211576</v>
      </c>
      <c r="BM1013" s="47" t="s">
        <v>2487</v>
      </c>
      <c r="BN1013" s="48"/>
      <c r="BO1013" s="48"/>
      <c r="BP1013" s="48"/>
      <c r="BQ1013" s="48"/>
      <c r="BR1013" s="47" t="s">
        <v>2496</v>
      </c>
      <c r="BS1013" s="48"/>
      <c r="BT1013" s="48"/>
      <c r="BU1013" s="228"/>
      <c r="BV1013" s="48"/>
      <c r="BW1013" s="48"/>
      <c r="BX1013" s="48"/>
      <c r="BY1013" s="48"/>
      <c r="BZ1013" s="48"/>
      <c r="CA1013" s="48"/>
      <c r="CB1013" s="48"/>
      <c r="CC1013" s="48"/>
      <c r="CD1013" s="48"/>
      <c r="CE1013" s="48"/>
      <c r="CF1013" s="48"/>
      <c r="CG1013" s="48"/>
      <c r="CH1013" s="48"/>
      <c r="CI1013" s="98"/>
      <c r="CJ1013" s="98"/>
      <c r="CK1013" s="49">
        <f t="shared" si="281"/>
        <v>48.217426375330582</v>
      </c>
      <c r="CL1013" s="229"/>
      <c r="CM1013" s="229">
        <v>-3.2555945516503755</v>
      </c>
      <c r="CN1013" s="229">
        <f>BJ1013/(10^CM1013)</f>
        <v>115.28545704041993</v>
      </c>
      <c r="CO1013" s="47" t="s">
        <v>2488</v>
      </c>
      <c r="CP1013" s="47" t="s">
        <v>2489</v>
      </c>
      <c r="CQ1013" s="224">
        <v>-2.6079154065209287</v>
      </c>
      <c r="CR1013" s="224">
        <f>10^(CJ1013-CQ1013)</f>
        <v>405.42955669414312</v>
      </c>
      <c r="CS1013" s="230" t="s">
        <v>539</v>
      </c>
      <c r="CT1013" s="230"/>
      <c r="CU1013" s="230"/>
      <c r="CV1013" s="335">
        <f t="shared" si="284"/>
        <v>495.2105014191107</v>
      </c>
      <c r="CW1013" s="230">
        <f t="shared" si="280"/>
        <v>1</v>
      </c>
      <c r="CX1013" s="336"/>
      <c r="CY1013" s="230" t="s">
        <v>5921</v>
      </c>
    </row>
    <row r="1014" spans="1:103" ht="11.25" customHeight="1" x14ac:dyDescent="0.2">
      <c r="A1014" s="72">
        <v>1012</v>
      </c>
      <c r="B1014" s="224">
        <v>1545</v>
      </c>
      <c r="C1014" s="46" t="s">
        <v>2464</v>
      </c>
      <c r="D1014" s="46"/>
      <c r="E1014" s="114"/>
      <c r="F1014" s="114" t="s">
        <v>3723</v>
      </c>
      <c r="G1014" s="225">
        <v>116063</v>
      </c>
      <c r="H1014" s="47" t="s">
        <v>2465</v>
      </c>
      <c r="I1014" s="47" t="s">
        <v>2465</v>
      </c>
      <c r="J1014" s="47" t="s">
        <v>2466</v>
      </c>
      <c r="K1014" s="47" t="s">
        <v>1504</v>
      </c>
      <c r="L1014" s="47" t="s">
        <v>617</v>
      </c>
      <c r="M1014" s="47" t="s">
        <v>618</v>
      </c>
      <c r="N1014" s="47" t="s">
        <v>6376</v>
      </c>
      <c r="O1014" s="47" t="s">
        <v>2467</v>
      </c>
      <c r="P1014" s="53"/>
      <c r="Q1014" s="53" t="s">
        <v>6173</v>
      </c>
      <c r="R1014" s="53" t="s">
        <v>6177</v>
      </c>
      <c r="S1014" s="53" t="s">
        <v>6176</v>
      </c>
      <c r="T1014" s="48">
        <v>190.26</v>
      </c>
      <c r="U1014" s="98">
        <v>31.693472090823086</v>
      </c>
      <c r="V1014" s="98">
        <v>27.919688846841165</v>
      </c>
      <c r="W1014" s="98">
        <v>16.218100973589287</v>
      </c>
      <c r="X1014" s="98">
        <v>31.693472090823086</v>
      </c>
      <c r="Y1014" s="233">
        <v>6.99</v>
      </c>
      <c r="Z1014" s="48">
        <v>1.36</v>
      </c>
      <c r="AA1014" s="48">
        <v>1.1299999999999999</v>
      </c>
      <c r="AB1014" s="48">
        <v>1.44</v>
      </c>
      <c r="AC1014" s="48">
        <v>0.81879999999999997</v>
      </c>
      <c r="AD1014" s="48">
        <v>1.36</v>
      </c>
      <c r="AE1014" s="48">
        <v>1.1299999999999999</v>
      </c>
      <c r="AF1014" s="48">
        <f t="shared" si="279"/>
        <v>1.1299999999999999</v>
      </c>
      <c r="AG1014" s="49">
        <v>1.64</v>
      </c>
      <c r="AH1014" s="98">
        <v>3.5699999999999999E-9</v>
      </c>
      <c r="AI1014" s="98">
        <v>1.44E-9</v>
      </c>
      <c r="AJ1014" s="483">
        <f t="shared" si="288"/>
        <v>-6.8358981102004588</v>
      </c>
      <c r="AK1014" s="483">
        <f>LOG10(AI1014*1000/(0.08206*298.15))</f>
        <v>-7.2302038342174022</v>
      </c>
      <c r="AL1014" s="483">
        <f t="shared" si="287"/>
        <v>-7.2302038342174022</v>
      </c>
      <c r="AM1014" s="483">
        <v>-8.1778699999999986</v>
      </c>
      <c r="AN1014" s="226">
        <v>-7.65</v>
      </c>
      <c r="AO1014" s="484">
        <v>13.81</v>
      </c>
      <c r="AP1014" s="484">
        <v>-1.1200000000000001</v>
      </c>
      <c r="AQ1014" s="48" t="s">
        <v>6311</v>
      </c>
      <c r="AR1014" s="48" t="s">
        <v>6311</v>
      </c>
      <c r="AS1014" s="227"/>
      <c r="AT1014" s="50" t="s">
        <v>266</v>
      </c>
      <c r="AU1014" s="48">
        <v>6</v>
      </c>
      <c r="AV1014" s="48">
        <v>120</v>
      </c>
      <c r="AW1014" s="48">
        <v>114</v>
      </c>
      <c r="AX1014" s="48">
        <v>28</v>
      </c>
      <c r="AY1014" s="48" t="s">
        <v>8728</v>
      </c>
      <c r="AZ1014" s="48" t="s">
        <v>1563</v>
      </c>
      <c r="BA1014" s="48">
        <v>32</v>
      </c>
      <c r="BB1014" s="47" t="s">
        <v>2485</v>
      </c>
      <c r="BC1014" s="47" t="s">
        <v>8726</v>
      </c>
      <c r="BD1014" s="47" t="s">
        <v>8374</v>
      </c>
      <c r="BE1014" s="48" t="s">
        <v>2449</v>
      </c>
      <c r="BF1014" s="48" t="s">
        <v>272</v>
      </c>
      <c r="BG1014" s="48" t="s">
        <v>272</v>
      </c>
      <c r="BH1014" s="48" t="s">
        <v>2486</v>
      </c>
      <c r="BI1014" s="98">
        <v>6.3999999999999997E-6</v>
      </c>
      <c r="BJ1014" s="98">
        <v>6.4000000000000001E-2</v>
      </c>
      <c r="BK1014" s="48"/>
      <c r="BL1014" s="98">
        <f t="shared" si="285"/>
        <v>3.0859152880211576</v>
      </c>
      <c r="BM1014" s="47" t="s">
        <v>2487</v>
      </c>
      <c r="BN1014" s="48"/>
      <c r="BO1014" s="48"/>
      <c r="BP1014" s="48"/>
      <c r="BQ1014" s="48"/>
      <c r="BR1014" s="47" t="s">
        <v>2496</v>
      </c>
      <c r="BS1014" s="48"/>
      <c r="BT1014" s="48"/>
      <c r="BU1014" s="228"/>
      <c r="BV1014" s="48"/>
      <c r="BW1014" s="48"/>
      <c r="BX1014" s="48"/>
      <c r="BY1014" s="48"/>
      <c r="BZ1014" s="48"/>
      <c r="CA1014" s="48"/>
      <c r="CB1014" s="48"/>
      <c r="CC1014" s="48"/>
      <c r="CD1014" s="48"/>
      <c r="CE1014" s="48"/>
      <c r="CF1014" s="48"/>
      <c r="CG1014" s="48"/>
      <c r="CH1014" s="48"/>
      <c r="CI1014" s="98"/>
      <c r="CJ1014" s="98"/>
      <c r="CK1014" s="49">
        <f t="shared" si="281"/>
        <v>48.217426375330582</v>
      </c>
      <c r="CL1014" s="229"/>
      <c r="CM1014" s="229">
        <v>-3.2555945516503755</v>
      </c>
      <c r="CN1014" s="229">
        <f>BJ1014/(10^CM1014)</f>
        <v>115.28545704041993</v>
      </c>
      <c r="CO1014" s="47" t="s">
        <v>2488</v>
      </c>
      <c r="CP1014" s="47" t="s">
        <v>2489</v>
      </c>
      <c r="CQ1014" s="224">
        <v>-2.6079154065209287</v>
      </c>
      <c r="CR1014" s="224">
        <f>10^(CJ1014-CQ1014)</f>
        <v>405.42955669414312</v>
      </c>
      <c r="CS1014" s="230" t="s">
        <v>539</v>
      </c>
      <c r="CT1014" s="230"/>
      <c r="CU1014" s="230"/>
      <c r="CV1014" s="335">
        <f t="shared" si="284"/>
        <v>495.2105014191107</v>
      </c>
      <c r="CW1014" s="230">
        <f t="shared" si="280"/>
        <v>1</v>
      </c>
      <c r="CX1014" s="336"/>
      <c r="CY1014" s="230" t="s">
        <v>5921</v>
      </c>
    </row>
    <row r="1015" spans="1:103" ht="11.25" customHeight="1" x14ac:dyDescent="0.2">
      <c r="A1015" s="72">
        <v>1013</v>
      </c>
      <c r="B1015" s="224">
        <v>888</v>
      </c>
      <c r="C1015" s="46" t="s">
        <v>7187</v>
      </c>
      <c r="D1015" s="46"/>
      <c r="E1015" s="114"/>
      <c r="F1015" s="114" t="s">
        <v>2527</v>
      </c>
      <c r="G1015" s="225">
        <v>116256</v>
      </c>
      <c r="H1015" s="47" t="s">
        <v>2528</v>
      </c>
      <c r="I1015" s="47" t="s">
        <v>2528</v>
      </c>
      <c r="J1015" s="47" t="s">
        <v>2529</v>
      </c>
      <c r="K1015" s="47" t="s">
        <v>2039</v>
      </c>
      <c r="L1015" s="47"/>
      <c r="M1015" s="47"/>
      <c r="N1015" s="47"/>
      <c r="O1015" s="47"/>
      <c r="P1015" s="53"/>
      <c r="Q1015" s="53"/>
      <c r="R1015" s="53"/>
      <c r="S1015" s="53"/>
      <c r="T1015" s="48">
        <v>158.16</v>
      </c>
      <c r="U1015" s="98">
        <v>6322.7111785533634</v>
      </c>
      <c r="V1015" s="98">
        <v>434.05412240768845</v>
      </c>
      <c r="W1015" s="98">
        <v>1230.2687708123817</v>
      </c>
      <c r="X1015" s="98">
        <v>6322.7111785533634</v>
      </c>
      <c r="Y1015" s="233">
        <v>3.93</v>
      </c>
      <c r="Z1015" s="48">
        <v>-1.53</v>
      </c>
      <c r="AA1015" s="48"/>
      <c r="AB1015" s="48">
        <v>-0.17</v>
      </c>
      <c r="AC1015" s="48">
        <v>0.55320000000000003</v>
      </c>
      <c r="AD1015" s="48">
        <v>-0.51</v>
      </c>
      <c r="AE1015" s="48">
        <v>-0.92</v>
      </c>
      <c r="AF1015" s="48">
        <f t="shared" si="279"/>
        <v>-0.51</v>
      </c>
      <c r="AG1015" s="49">
        <v>-0.77</v>
      </c>
      <c r="AH1015" s="98">
        <v>4.4300000000000003E-12</v>
      </c>
      <c r="AI1015" s="98"/>
      <c r="AJ1015" s="483">
        <f t="shared" si="288"/>
        <v>-9.742162600089582</v>
      </c>
      <c r="AK1015" s="483"/>
      <c r="AL1015" s="483">
        <f t="shared" si="287"/>
        <v>-9.742162600089582</v>
      </c>
      <c r="AM1015" s="483">
        <v>-13.31499</v>
      </c>
      <c r="AN1015" s="226">
        <v>-11.9</v>
      </c>
      <c r="AO1015" s="484">
        <v>8.2799999999999994</v>
      </c>
      <c r="AP1015" s="484">
        <v>-1.96</v>
      </c>
      <c r="AQ1015" s="48" t="s">
        <v>6311</v>
      </c>
      <c r="AR1015" s="48" t="s">
        <v>6311</v>
      </c>
      <c r="AS1015" s="227"/>
      <c r="AT1015" s="50" t="s">
        <v>266</v>
      </c>
      <c r="AU1015" s="48">
        <v>6</v>
      </c>
      <c r="AV1015" s="48">
        <v>120</v>
      </c>
      <c r="AW1015" s="48">
        <v>114</v>
      </c>
      <c r="AX1015" s="48">
        <v>28</v>
      </c>
      <c r="AY1015" s="48" t="s">
        <v>8728</v>
      </c>
      <c r="AZ1015" s="48" t="s">
        <v>1563</v>
      </c>
      <c r="BA1015" s="48">
        <v>32</v>
      </c>
      <c r="BB1015" s="47" t="s">
        <v>2485</v>
      </c>
      <c r="BC1015" s="47" t="s">
        <v>8726</v>
      </c>
      <c r="BD1015" s="47" t="s">
        <v>8374</v>
      </c>
      <c r="BE1015" s="48" t="s">
        <v>2449</v>
      </c>
      <c r="BF1015" s="48" t="s">
        <v>272</v>
      </c>
      <c r="BG1015" s="48" t="s">
        <v>272</v>
      </c>
      <c r="BH1015" s="48" t="s">
        <v>2486</v>
      </c>
      <c r="BI1015" s="98">
        <v>6.3999999999999997E-6</v>
      </c>
      <c r="BJ1015" s="98">
        <v>6.4000000000000001E-2</v>
      </c>
      <c r="BK1015" s="48"/>
      <c r="BL1015" s="98">
        <f t="shared" si="285"/>
        <v>1215.8863977776257</v>
      </c>
      <c r="BM1015" s="47" t="s">
        <v>2487</v>
      </c>
      <c r="BN1015" s="48"/>
      <c r="BO1015" s="48"/>
      <c r="BP1015" s="48"/>
      <c r="BQ1015" s="48"/>
      <c r="BR1015" s="47" t="s">
        <v>2496</v>
      </c>
      <c r="BS1015" s="48"/>
      <c r="BT1015" s="48"/>
      <c r="BU1015" s="228">
        <v>6.3999999999999997E-6</v>
      </c>
      <c r="BV1015" s="48"/>
      <c r="BW1015" s="48"/>
      <c r="BX1015" s="48"/>
      <c r="BY1015" s="48"/>
      <c r="BZ1015" s="48"/>
      <c r="CA1015" s="48"/>
      <c r="CB1015" s="48"/>
      <c r="CC1015" s="48"/>
      <c r="CD1015" s="48"/>
      <c r="CE1015" s="48"/>
      <c r="CF1015" s="48"/>
      <c r="CG1015" s="48"/>
      <c r="CH1015" s="48"/>
      <c r="CI1015" s="98"/>
      <c r="CJ1015" s="98"/>
      <c r="CK1015" s="49">
        <f t="shared" si="281"/>
        <v>18998.2249652754</v>
      </c>
      <c r="CL1015" s="229"/>
      <c r="CM1015" s="229"/>
      <c r="CN1015" s="229"/>
      <c r="CO1015" s="47" t="s">
        <v>2488</v>
      </c>
      <c r="CP1015" s="47" t="s">
        <v>2489</v>
      </c>
      <c r="CQ1015" s="224" t="s">
        <v>272</v>
      </c>
      <c r="CR1015" s="224"/>
      <c r="CS1015" s="230" t="s">
        <v>539</v>
      </c>
      <c r="CT1015" s="230"/>
      <c r="CU1015" s="230"/>
      <c r="CV1015" s="335">
        <f t="shared" si="284"/>
        <v>98792.362164896302</v>
      </c>
      <c r="CW1015" s="230">
        <f t="shared" si="280"/>
        <v>1</v>
      </c>
      <c r="CX1015" s="336"/>
      <c r="CY1015" s="230" t="s">
        <v>5921</v>
      </c>
    </row>
    <row r="1016" spans="1:103" ht="11.25" customHeight="1" x14ac:dyDescent="0.2">
      <c r="A1016" s="72">
        <v>1014</v>
      </c>
      <c r="B1016" s="224">
        <v>1262</v>
      </c>
      <c r="C1016" s="46" t="s">
        <v>7188</v>
      </c>
      <c r="D1016" s="46"/>
      <c r="E1016" s="114"/>
      <c r="F1016" s="114" t="s">
        <v>3462</v>
      </c>
      <c r="G1016" s="225">
        <v>117395</v>
      </c>
      <c r="H1016" s="47" t="s">
        <v>3463</v>
      </c>
      <c r="I1016" s="47" t="s">
        <v>3463</v>
      </c>
      <c r="J1016" s="47" t="s">
        <v>3464</v>
      </c>
      <c r="K1016" s="47" t="s">
        <v>3465</v>
      </c>
      <c r="L1016" s="47"/>
      <c r="M1016" s="47"/>
      <c r="N1016" s="47"/>
      <c r="O1016" s="47"/>
      <c r="P1016" s="53"/>
      <c r="Q1016" s="53"/>
      <c r="R1016" s="53"/>
      <c r="S1016" s="53"/>
      <c r="T1016" s="48">
        <v>302.24</v>
      </c>
      <c r="U1016" s="98">
        <v>0.19851773425092642</v>
      </c>
      <c r="V1016" s="98">
        <v>8.1789306511381685</v>
      </c>
      <c r="W1016" s="98">
        <v>1.174897554939528</v>
      </c>
      <c r="X1016" s="98">
        <v>0.19851773425092642</v>
      </c>
      <c r="Y1016" s="233">
        <v>4.58</v>
      </c>
      <c r="Z1016" s="48">
        <v>1.48</v>
      </c>
      <c r="AA1016" s="48"/>
      <c r="AB1016" s="48">
        <v>1.92</v>
      </c>
      <c r="AC1016" s="48">
        <v>0.84319999999999995</v>
      </c>
      <c r="AD1016" s="48">
        <v>1.95</v>
      </c>
      <c r="AE1016" s="48">
        <v>2.0699999999999998</v>
      </c>
      <c r="AF1016" s="48">
        <f t="shared" si="279"/>
        <v>1.95</v>
      </c>
      <c r="AG1016" s="49">
        <v>1.37</v>
      </c>
      <c r="AH1016" s="98">
        <v>6.6000000000000002E-21</v>
      </c>
      <c r="AI1016" s="98"/>
      <c r="AJ1016" s="483">
        <f t="shared" si="288"/>
        <v>-18.569022390770783</v>
      </c>
      <c r="AK1016" s="483"/>
      <c r="AL1016" s="483">
        <f t="shared" si="287"/>
        <v>-18.569022390770783</v>
      </c>
      <c r="AM1016" s="483">
        <v>-26.015929999999997</v>
      </c>
      <c r="AN1016" s="226">
        <v>-19.100000000000001</v>
      </c>
      <c r="AO1016" s="484">
        <v>6.31</v>
      </c>
      <c r="AP1016" s="484"/>
      <c r="AQ1016" s="48" t="s">
        <v>6311</v>
      </c>
      <c r="AR1016" s="48" t="s">
        <v>6311</v>
      </c>
      <c r="AS1016" s="227"/>
      <c r="AT1016" s="50" t="s">
        <v>266</v>
      </c>
      <c r="AU1016" s="48">
        <v>6</v>
      </c>
      <c r="AV1016" s="48">
        <v>120</v>
      </c>
      <c r="AW1016" s="48">
        <v>114</v>
      </c>
      <c r="AX1016" s="48">
        <v>28</v>
      </c>
      <c r="AY1016" s="48" t="s">
        <v>8728</v>
      </c>
      <c r="AZ1016" s="48" t="s">
        <v>1563</v>
      </c>
      <c r="BA1016" s="48">
        <v>32</v>
      </c>
      <c r="BB1016" s="47" t="s">
        <v>2485</v>
      </c>
      <c r="BC1016" s="47" t="s">
        <v>8726</v>
      </c>
      <c r="BD1016" s="47" t="s">
        <v>8374</v>
      </c>
      <c r="BE1016" s="48" t="s">
        <v>2449</v>
      </c>
      <c r="BF1016" s="48" t="s">
        <v>272</v>
      </c>
      <c r="BG1016" s="48" t="s">
        <v>272</v>
      </c>
      <c r="BH1016" s="48" t="s">
        <v>2486</v>
      </c>
      <c r="BI1016" s="98">
        <v>6.3999999999999997E-6</v>
      </c>
      <c r="BJ1016" s="98">
        <v>6.4000000000000001E-2</v>
      </c>
      <c r="BK1016" s="48"/>
      <c r="BL1016" s="98">
        <f t="shared" si="285"/>
        <v>2.4077533733776293</v>
      </c>
      <c r="BM1016" s="47" t="s">
        <v>2487</v>
      </c>
      <c r="BN1016" s="48"/>
      <c r="BO1016" s="48"/>
      <c r="BP1016" s="48"/>
      <c r="BQ1016" s="48"/>
      <c r="BR1016" s="47" t="s">
        <v>2496</v>
      </c>
      <c r="BS1016" s="48"/>
      <c r="BT1016" s="48"/>
      <c r="BU1016" s="228">
        <v>6.3999999999999997E-6</v>
      </c>
      <c r="BV1016" s="48"/>
      <c r="BW1016" s="48"/>
      <c r="BX1016" s="48"/>
      <c r="BY1016" s="48"/>
      <c r="BZ1016" s="48"/>
      <c r="CA1016" s="48"/>
      <c r="CB1016" s="48"/>
      <c r="CC1016" s="48"/>
      <c r="CD1016" s="48"/>
      <c r="CE1016" s="48"/>
      <c r="CF1016" s="48"/>
      <c r="CG1016" s="48"/>
      <c r="CH1016" s="48"/>
      <c r="CI1016" s="98"/>
      <c r="CJ1016" s="98"/>
      <c r="CK1016" s="49">
        <f t="shared" si="281"/>
        <v>37.621146459025454</v>
      </c>
      <c r="CL1016" s="229"/>
      <c r="CM1016" s="229"/>
      <c r="CN1016" s="229"/>
      <c r="CO1016" s="47" t="s">
        <v>2488</v>
      </c>
      <c r="CP1016" s="47" t="s">
        <v>2489</v>
      </c>
      <c r="CQ1016" s="224" t="s">
        <v>272</v>
      </c>
      <c r="CR1016" s="224"/>
      <c r="CS1016" s="230" t="s">
        <v>539</v>
      </c>
      <c r="CT1016" s="230"/>
      <c r="CU1016" s="230"/>
      <c r="CV1016" s="335">
        <f t="shared" si="284"/>
        <v>3.1018395976707254</v>
      </c>
      <c r="CW1016" s="230">
        <f t="shared" si="280"/>
        <v>1</v>
      </c>
      <c r="CX1016" s="336"/>
      <c r="CY1016" s="230" t="s">
        <v>5921</v>
      </c>
    </row>
    <row r="1017" spans="1:103" ht="11.25" customHeight="1" x14ac:dyDescent="0.2">
      <c r="A1017" s="72">
        <v>1015</v>
      </c>
      <c r="B1017" s="224">
        <v>1388</v>
      </c>
      <c r="C1017" s="46" t="s">
        <v>7189</v>
      </c>
      <c r="D1017" s="46"/>
      <c r="E1017" s="114"/>
      <c r="F1017" s="114" t="s">
        <v>4279</v>
      </c>
      <c r="G1017" s="225">
        <v>117793</v>
      </c>
      <c r="H1017" s="47" t="s">
        <v>4280</v>
      </c>
      <c r="I1017" s="47" t="s">
        <v>4280</v>
      </c>
      <c r="J1017" s="47" t="s">
        <v>4281</v>
      </c>
      <c r="K1017" s="47" t="s">
        <v>1573</v>
      </c>
      <c r="L1017" s="47"/>
      <c r="M1017" s="47"/>
      <c r="N1017" s="47"/>
      <c r="O1017" s="47"/>
      <c r="P1017" s="53"/>
      <c r="Q1017" s="53"/>
      <c r="R1017" s="53"/>
      <c r="S1017" s="53"/>
      <c r="T1017" s="48">
        <v>223.23</v>
      </c>
      <c r="U1017" s="98">
        <v>7.301885947229316E-4</v>
      </c>
      <c r="V1017" s="98">
        <v>1.7143753079783185E-2</v>
      </c>
      <c r="W1017" s="98">
        <v>7.4131024130091707E-3</v>
      </c>
      <c r="X1017" s="98">
        <v>7.301885947229316E-4</v>
      </c>
      <c r="Y1017" s="233">
        <v>7</v>
      </c>
      <c r="Z1017" s="48">
        <v>2.4300000000000002</v>
      </c>
      <c r="AA1017" s="48">
        <v>3.31</v>
      </c>
      <c r="AB1017" s="48">
        <v>2.86</v>
      </c>
      <c r="AC1017" s="48">
        <v>0.75129999999999997</v>
      </c>
      <c r="AD1017" s="48">
        <v>2.83</v>
      </c>
      <c r="AE1017" s="48">
        <v>2.75</v>
      </c>
      <c r="AF1017" s="48">
        <f t="shared" si="279"/>
        <v>3.31</v>
      </c>
      <c r="AG1017" s="49">
        <v>2</v>
      </c>
      <c r="AH1017" s="98">
        <v>1.1200000000000001E-12</v>
      </c>
      <c r="AI1017" s="98">
        <v>9.1900000000000001E-11</v>
      </c>
      <c r="AJ1017" s="483">
        <f t="shared" si="288"/>
        <v>-10.33934830364247</v>
      </c>
      <c r="AK1017" s="483">
        <f>LOG10(AI1017*1000/(0.08206*298.15))</f>
        <v>-8.4252508149265406</v>
      </c>
      <c r="AL1017" s="483">
        <f t="shared" si="287"/>
        <v>-8.4252508149265406</v>
      </c>
      <c r="AM1017" s="483">
        <v>-15.489410000000001</v>
      </c>
      <c r="AN1017" s="226">
        <v>-8.0399999999999991</v>
      </c>
      <c r="AO1017" s="484"/>
      <c r="AP1017" s="484">
        <v>0.97</v>
      </c>
      <c r="AQ1017" s="48" t="s">
        <v>6311</v>
      </c>
      <c r="AR1017" s="48" t="s">
        <v>6311</v>
      </c>
      <c r="AS1017" s="227"/>
      <c r="AT1017" s="50" t="s">
        <v>266</v>
      </c>
      <c r="AU1017" s="48">
        <v>6</v>
      </c>
      <c r="AV1017" s="48">
        <v>120</v>
      </c>
      <c r="AW1017" s="48">
        <v>114</v>
      </c>
      <c r="AX1017" s="48">
        <v>28</v>
      </c>
      <c r="AY1017" s="48" t="s">
        <v>8728</v>
      </c>
      <c r="AZ1017" s="48" t="s">
        <v>1563</v>
      </c>
      <c r="BA1017" s="48">
        <v>32</v>
      </c>
      <c r="BB1017" s="47" t="s">
        <v>2485</v>
      </c>
      <c r="BC1017" s="47" t="s">
        <v>8726</v>
      </c>
      <c r="BD1017" s="47" t="s">
        <v>8374</v>
      </c>
      <c r="BE1017" s="48" t="s">
        <v>2449</v>
      </c>
      <c r="BF1017" s="48" t="s">
        <v>272</v>
      </c>
      <c r="BG1017" s="48" t="s">
        <v>272</v>
      </c>
      <c r="BH1017" s="48" t="s">
        <v>2486</v>
      </c>
      <c r="BI1017" s="98">
        <v>6.3999999999999997E-6</v>
      </c>
      <c r="BJ1017" s="98">
        <v>6.4000000000000001E-2</v>
      </c>
      <c r="BK1017" s="48"/>
      <c r="BL1017" s="98">
        <f t="shared" si="285"/>
        <v>0.33761132003625316</v>
      </c>
      <c r="BM1017" s="47" t="s">
        <v>2487</v>
      </c>
      <c r="BN1017" s="48"/>
      <c r="BO1017" s="48"/>
      <c r="BP1017" s="48"/>
      <c r="BQ1017" s="48"/>
      <c r="BR1017" s="47" t="s">
        <v>2496</v>
      </c>
      <c r="BS1017" s="48"/>
      <c r="BT1017" s="48"/>
      <c r="BU1017" s="228"/>
      <c r="BV1017" s="48"/>
      <c r="BW1017" s="48"/>
      <c r="BX1017" s="48"/>
      <c r="BY1017" s="48"/>
      <c r="BZ1017" s="48"/>
      <c r="CA1017" s="48"/>
      <c r="CB1017" s="48"/>
      <c r="CC1017" s="48"/>
      <c r="CD1017" s="48"/>
      <c r="CE1017" s="48"/>
      <c r="CF1017" s="48"/>
      <c r="CG1017" s="48"/>
      <c r="CH1017" s="48"/>
      <c r="CI1017" s="98"/>
      <c r="CJ1017" s="98"/>
      <c r="CK1017" s="49">
        <f t="shared" si="281"/>
        <v>5.2751768755664559</v>
      </c>
      <c r="CL1017" s="229"/>
      <c r="CM1017" s="229"/>
      <c r="CN1017" s="229"/>
      <c r="CO1017" s="47" t="s">
        <v>2488</v>
      </c>
      <c r="CP1017" s="47" t="s">
        <v>2489</v>
      </c>
      <c r="CQ1017" s="224" t="s">
        <v>272</v>
      </c>
      <c r="CR1017" s="224"/>
      <c r="CS1017" s="230" t="s">
        <v>539</v>
      </c>
      <c r="CT1017" s="230"/>
      <c r="CU1017" s="230"/>
      <c r="CV1017" s="335">
        <f t="shared" si="284"/>
        <v>1.1409196792545807E-2</v>
      </c>
      <c r="CW1017" s="230">
        <f t="shared" si="280"/>
        <v>0</v>
      </c>
      <c r="CX1017" s="336"/>
      <c r="CY1017" s="230" t="s">
        <v>5921</v>
      </c>
    </row>
    <row r="1018" spans="1:103" ht="11.25" customHeight="1" x14ac:dyDescent="0.2">
      <c r="A1018" s="72">
        <v>1016</v>
      </c>
      <c r="B1018" s="224">
        <v>1372</v>
      </c>
      <c r="C1018" s="46" t="s">
        <v>7190</v>
      </c>
      <c r="D1018" s="46"/>
      <c r="E1018" s="114"/>
      <c r="F1018" s="114" t="s">
        <v>4235</v>
      </c>
      <c r="G1018" s="225">
        <v>118525</v>
      </c>
      <c r="H1018" s="47" t="s">
        <v>4236</v>
      </c>
      <c r="I1018" s="47" t="s">
        <v>8036</v>
      </c>
      <c r="J1018" s="47" t="s">
        <v>4237</v>
      </c>
      <c r="K1018" s="47" t="s">
        <v>2580</v>
      </c>
      <c r="L1018" s="47"/>
      <c r="M1018" s="47"/>
      <c r="N1018" s="47"/>
      <c r="O1018" s="47"/>
      <c r="P1018" s="53"/>
      <c r="Q1018" s="53"/>
      <c r="R1018" s="53"/>
      <c r="S1018" s="53"/>
      <c r="T1018" s="48">
        <v>197.02</v>
      </c>
      <c r="U1018" s="98">
        <v>2.5378134199573648</v>
      </c>
      <c r="V1018" s="98">
        <v>72.124657395188308</v>
      </c>
      <c r="W1018" s="98">
        <v>6.6069344800759566</v>
      </c>
      <c r="X1018" s="98">
        <v>2.5378134199573648</v>
      </c>
      <c r="Y1018" s="233">
        <v>7</v>
      </c>
      <c r="Z1018" s="48">
        <v>-0.94</v>
      </c>
      <c r="AA1018" s="48"/>
      <c r="AB1018" s="48">
        <v>1.4</v>
      </c>
      <c r="AC1018" s="48">
        <v>0.3024</v>
      </c>
      <c r="AD1018" s="48">
        <v>1.37</v>
      </c>
      <c r="AE1018" s="48">
        <v>1.36</v>
      </c>
      <c r="AF1018" s="48">
        <f t="shared" si="279"/>
        <v>1.37</v>
      </c>
      <c r="AG1018" s="49">
        <v>-0.03</v>
      </c>
      <c r="AH1018" s="98">
        <v>1.02E-6</v>
      </c>
      <c r="AI1018" s="98"/>
      <c r="AJ1018" s="483">
        <f t="shared" si="288"/>
        <v>-4.3799661545507345</v>
      </c>
      <c r="AK1018" s="483"/>
      <c r="AL1018" s="483">
        <f t="shared" si="287"/>
        <v>-4.3799661545507345</v>
      </c>
      <c r="AM1018" s="483">
        <v>-10.08381</v>
      </c>
      <c r="AN1018" s="226">
        <v>-9.76</v>
      </c>
      <c r="AO1018" s="484"/>
      <c r="AP1018" s="484">
        <v>-3.44</v>
      </c>
      <c r="AQ1018" s="48" t="s">
        <v>6311</v>
      </c>
      <c r="AR1018" s="48" t="s">
        <v>6311</v>
      </c>
      <c r="AS1018" s="227"/>
      <c r="AT1018" s="50" t="s">
        <v>266</v>
      </c>
      <c r="AU1018" s="48">
        <v>6</v>
      </c>
      <c r="AV1018" s="48">
        <v>120</v>
      </c>
      <c r="AW1018" s="48">
        <v>114</v>
      </c>
      <c r="AX1018" s="48">
        <v>28</v>
      </c>
      <c r="AY1018" s="48" t="s">
        <v>8728</v>
      </c>
      <c r="AZ1018" s="48" t="s">
        <v>1563</v>
      </c>
      <c r="BA1018" s="48">
        <v>32</v>
      </c>
      <c r="BB1018" s="47" t="s">
        <v>2485</v>
      </c>
      <c r="BC1018" s="47" t="s">
        <v>8726</v>
      </c>
      <c r="BD1018" s="47" t="s">
        <v>8374</v>
      </c>
      <c r="BE1018" s="48" t="s">
        <v>2449</v>
      </c>
      <c r="BF1018" s="48" t="s">
        <v>272</v>
      </c>
      <c r="BG1018" s="48" t="s">
        <v>272</v>
      </c>
      <c r="BH1018" s="48" t="s">
        <v>2486</v>
      </c>
      <c r="BI1018" s="98">
        <v>6.3999999999999997E-6</v>
      </c>
      <c r="BJ1018" s="98">
        <v>6.4000000000000001E-2</v>
      </c>
      <c r="BK1018" s="48"/>
      <c r="BL1018" s="98">
        <f t="shared" si="285"/>
        <v>358.93350510764594</v>
      </c>
      <c r="BM1018" s="47" t="s">
        <v>2487</v>
      </c>
      <c r="BN1018" s="48"/>
      <c r="BO1018" s="48"/>
      <c r="BP1018" s="48"/>
      <c r="BQ1018" s="48"/>
      <c r="BR1018" s="47" t="s">
        <v>2496</v>
      </c>
      <c r="BS1018" s="48"/>
      <c r="BT1018" s="48"/>
      <c r="BU1018" s="228"/>
      <c r="BV1018" s="48"/>
      <c r="BW1018" s="48"/>
      <c r="BX1018" s="48"/>
      <c r="BY1018" s="48"/>
      <c r="BZ1018" s="48"/>
      <c r="CA1018" s="48"/>
      <c r="CB1018" s="48"/>
      <c r="CC1018" s="48"/>
      <c r="CD1018" s="48"/>
      <c r="CE1018" s="48"/>
      <c r="CF1018" s="48"/>
      <c r="CG1018" s="48"/>
      <c r="CH1018" s="48"/>
      <c r="CI1018" s="98"/>
      <c r="CJ1018" s="98"/>
      <c r="CK1018" s="49">
        <f t="shared" si="281"/>
        <v>5608.3360173069677</v>
      </c>
      <c r="CL1018" s="229"/>
      <c r="CM1018" s="229"/>
      <c r="CN1018" s="229"/>
      <c r="CO1018" s="47" t="s">
        <v>2488</v>
      </c>
      <c r="CP1018" s="47" t="s">
        <v>2489</v>
      </c>
      <c r="CQ1018" s="224">
        <v>-2.1313116580604214</v>
      </c>
      <c r="CR1018" s="224">
        <f>10^(CJ1018-CQ1018)</f>
        <v>135.30431846575252</v>
      </c>
      <c r="CS1018" s="230" t="s">
        <v>539</v>
      </c>
      <c r="CT1018" s="230"/>
      <c r="CU1018" s="230"/>
      <c r="CV1018" s="335">
        <f t="shared" si="284"/>
        <v>39.653334686833823</v>
      </c>
      <c r="CW1018" s="230">
        <f t="shared" si="280"/>
        <v>1</v>
      </c>
      <c r="CX1018" s="336"/>
      <c r="CY1018" s="230" t="s">
        <v>5921</v>
      </c>
    </row>
    <row r="1019" spans="1:103" ht="11.25" customHeight="1" x14ac:dyDescent="0.2">
      <c r="A1019" s="72">
        <v>1017</v>
      </c>
      <c r="B1019" s="224">
        <v>1177</v>
      </c>
      <c r="C1019" s="46" t="s">
        <v>7191</v>
      </c>
      <c r="D1019" s="46"/>
      <c r="E1019" s="114"/>
      <c r="F1019" s="114" t="s">
        <v>3247</v>
      </c>
      <c r="G1019" s="225">
        <v>118718</v>
      </c>
      <c r="H1019" s="47" t="s">
        <v>3248</v>
      </c>
      <c r="I1019" s="47" t="s">
        <v>3248</v>
      </c>
      <c r="J1019" s="47" t="s">
        <v>3249</v>
      </c>
      <c r="K1019" s="47" t="s">
        <v>3250</v>
      </c>
      <c r="L1019" s="51"/>
      <c r="M1019" s="47"/>
      <c r="N1019" s="47"/>
      <c r="O1019" s="47"/>
      <c r="P1019" s="53"/>
      <c r="Q1019" s="53"/>
      <c r="R1019" s="53"/>
      <c r="S1019" s="53"/>
      <c r="T1019" s="48">
        <v>126.11</v>
      </c>
      <c r="U1019" s="98">
        <v>86.432479581317892</v>
      </c>
      <c r="V1019" s="98">
        <v>632.46372214733174</v>
      </c>
      <c r="W1019" s="98">
        <v>151.35612484362079</v>
      </c>
      <c r="X1019" s="98">
        <v>86.432479581317892</v>
      </c>
      <c r="Y1019" s="233">
        <v>4.6100000000000003</v>
      </c>
      <c r="Z1019" s="48">
        <v>-0.19</v>
      </c>
      <c r="AA1019" s="48">
        <v>0.09</v>
      </c>
      <c r="AB1019" s="48">
        <v>-0.01</v>
      </c>
      <c r="AC1019" s="48">
        <v>0.81969999999999998</v>
      </c>
      <c r="AD1019" s="48">
        <v>0.02</v>
      </c>
      <c r="AE1019" s="48">
        <v>0.08</v>
      </c>
      <c r="AF1019" s="48">
        <f t="shared" si="279"/>
        <v>0.09</v>
      </c>
      <c r="AG1019" s="49">
        <v>0.71</v>
      </c>
      <c r="AH1019" s="98">
        <v>6.5400000000000001E-6</v>
      </c>
      <c r="AI1019" s="98"/>
      <c r="AJ1019" s="483">
        <f t="shared" si="288"/>
        <v>-3.5729885779883843</v>
      </c>
      <c r="AK1019" s="483"/>
      <c r="AL1019" s="483">
        <f t="shared" si="287"/>
        <v>-3.5729885779883843</v>
      </c>
      <c r="AM1019" s="483">
        <v>-9.874769999999998</v>
      </c>
      <c r="AN1019" s="226">
        <v>-7.29</v>
      </c>
      <c r="AO1019" s="484">
        <v>8.41</v>
      </c>
      <c r="AP1019" s="484"/>
      <c r="AQ1019" s="48" t="s">
        <v>6311</v>
      </c>
      <c r="AR1019" s="48" t="s">
        <v>6311</v>
      </c>
      <c r="AS1019" s="227"/>
      <c r="AT1019" s="50" t="s">
        <v>266</v>
      </c>
      <c r="AU1019" s="48">
        <v>6</v>
      </c>
      <c r="AV1019" s="48">
        <v>120</v>
      </c>
      <c r="AW1019" s="48">
        <v>114</v>
      </c>
      <c r="AX1019" s="48">
        <v>28</v>
      </c>
      <c r="AY1019" s="48" t="s">
        <v>8728</v>
      </c>
      <c r="AZ1019" s="48" t="s">
        <v>1563</v>
      </c>
      <c r="BA1019" s="48">
        <v>32</v>
      </c>
      <c r="BB1019" s="47" t="s">
        <v>2485</v>
      </c>
      <c r="BC1019" s="47" t="s">
        <v>8726</v>
      </c>
      <c r="BD1019" s="47" t="s">
        <v>8374</v>
      </c>
      <c r="BE1019" s="48" t="s">
        <v>2449</v>
      </c>
      <c r="BF1019" s="48" t="s">
        <v>272</v>
      </c>
      <c r="BG1019" s="48" t="s">
        <v>272</v>
      </c>
      <c r="BH1019" s="48" t="s">
        <v>2486</v>
      </c>
      <c r="BI1019" s="98">
        <v>6.3999999999999997E-6</v>
      </c>
      <c r="BJ1019" s="98">
        <v>6.4000000000000001E-2</v>
      </c>
      <c r="BK1019" s="48"/>
      <c r="BL1019" s="98">
        <f t="shared" si="285"/>
        <v>76.109522981942348</v>
      </c>
      <c r="BM1019" s="47" t="s">
        <v>2487</v>
      </c>
      <c r="BN1019" s="48"/>
      <c r="BO1019" s="48"/>
      <c r="BP1019" s="48"/>
      <c r="BQ1019" s="48"/>
      <c r="BR1019" s="47" t="s">
        <v>2496</v>
      </c>
      <c r="BS1019" s="48"/>
      <c r="BT1019" s="48"/>
      <c r="BU1019" s="228">
        <v>6.6559999999999996E-3</v>
      </c>
      <c r="BV1019" s="48"/>
      <c r="BW1019" s="48"/>
      <c r="BX1019" s="48"/>
      <c r="BY1019" s="48"/>
      <c r="BZ1019" s="48"/>
      <c r="CA1019" s="48"/>
      <c r="CB1019" s="48"/>
      <c r="CC1019" s="48"/>
      <c r="CD1019" s="48"/>
      <c r="CE1019" s="48"/>
      <c r="CF1019" s="48"/>
      <c r="CG1019" s="48"/>
      <c r="CH1019" s="48"/>
      <c r="CI1019" s="98"/>
      <c r="CJ1019" s="98"/>
      <c r="CK1019" s="49">
        <f t="shared" si="281"/>
        <v>1189.2112965928491</v>
      </c>
      <c r="CL1019" s="229"/>
      <c r="CM1019" s="229"/>
      <c r="CN1019" s="229"/>
      <c r="CO1019" s="47" t="s">
        <v>2488</v>
      </c>
      <c r="CP1019" s="47" t="s">
        <v>2489</v>
      </c>
      <c r="CQ1019" s="224" t="s">
        <v>272</v>
      </c>
      <c r="CR1019" s="224"/>
      <c r="CS1019" s="230" t="s">
        <v>539</v>
      </c>
      <c r="CT1019" s="230"/>
      <c r="CU1019" s="230"/>
      <c r="CV1019" s="335">
        <f t="shared" si="284"/>
        <v>1350.5074934580921</v>
      </c>
      <c r="CW1019" s="230">
        <f t="shared" si="280"/>
        <v>1</v>
      </c>
      <c r="CX1019" s="336"/>
      <c r="CY1019" s="230" t="s">
        <v>5921</v>
      </c>
    </row>
    <row r="1020" spans="1:103" ht="11.25" customHeight="1" x14ac:dyDescent="0.2">
      <c r="A1020" s="72">
        <v>1018</v>
      </c>
      <c r="B1020" s="224">
        <v>1739</v>
      </c>
      <c r="C1020" s="46" t="s">
        <v>7192</v>
      </c>
      <c r="D1020" s="46"/>
      <c r="E1020" s="114"/>
      <c r="F1020" s="114" t="s">
        <v>5023</v>
      </c>
      <c r="G1020" s="225">
        <v>119368</v>
      </c>
      <c r="H1020" s="47" t="s">
        <v>5024</v>
      </c>
      <c r="I1020" s="47" t="s">
        <v>5024</v>
      </c>
      <c r="J1020" s="47" t="s">
        <v>5025</v>
      </c>
      <c r="K1020" s="47" t="s">
        <v>2962</v>
      </c>
      <c r="L1020" s="47"/>
      <c r="M1020" s="47"/>
      <c r="N1020" s="47"/>
      <c r="O1020" s="47"/>
      <c r="P1020" s="53"/>
      <c r="Q1020" s="53" t="s">
        <v>6173</v>
      </c>
      <c r="R1020" s="53" t="s">
        <v>6174</v>
      </c>
      <c r="S1020" s="53" t="s">
        <v>6176</v>
      </c>
      <c r="T1020" s="48">
        <v>152.15</v>
      </c>
      <c r="U1020" s="98">
        <v>4.600722970752547</v>
      </c>
      <c r="V1020" s="98">
        <v>12.323365100230035</v>
      </c>
      <c r="W1020" s="98">
        <v>27.542287033381648</v>
      </c>
      <c r="X1020" s="98">
        <v>4.600722970752547</v>
      </c>
      <c r="Y1020" s="233">
        <v>5.66</v>
      </c>
      <c r="Z1020" s="48">
        <v>2.6</v>
      </c>
      <c r="AA1020" s="48">
        <v>2.5499999999999998</v>
      </c>
      <c r="AB1020" s="48">
        <v>2.5299999999999998</v>
      </c>
      <c r="AC1020" s="48">
        <v>0.77449999999999997</v>
      </c>
      <c r="AD1020" s="48">
        <v>2.4300000000000002</v>
      </c>
      <c r="AE1020" s="48">
        <v>2.23</v>
      </c>
      <c r="AF1020" s="48">
        <f t="shared" si="279"/>
        <v>2.5499999999999998</v>
      </c>
      <c r="AG1020" s="49">
        <v>1.54</v>
      </c>
      <c r="AH1020" s="98">
        <v>4.5499999999999996E-6</v>
      </c>
      <c r="AI1020" s="98">
        <v>9.8099999999999999E-5</v>
      </c>
      <c r="AJ1020" s="483">
        <f t="shared" si="288"/>
        <v>-3.7305549296555394</v>
      </c>
      <c r="AK1020" s="483">
        <f>LOG10(AI1020*1000/(0.08206*298.15))</f>
        <v>-2.3968973189327034</v>
      </c>
      <c r="AL1020" s="483">
        <f t="shared" si="287"/>
        <v>-2.3968973189327034</v>
      </c>
      <c r="AM1020" s="483">
        <v>-5.8498099999999997</v>
      </c>
      <c r="AN1020" s="226">
        <v>-3.59</v>
      </c>
      <c r="AO1020" s="484">
        <v>9.76</v>
      </c>
      <c r="AP1020" s="484"/>
      <c r="AQ1020" s="226" t="s">
        <v>6311</v>
      </c>
      <c r="AR1020" s="226" t="s">
        <v>6312</v>
      </c>
      <c r="AS1020" s="224"/>
      <c r="AT1020" s="50" t="s">
        <v>266</v>
      </c>
      <c r="AU1020" s="48">
        <v>6</v>
      </c>
      <c r="AV1020" s="48">
        <v>120</v>
      </c>
      <c r="AW1020" s="48">
        <v>114</v>
      </c>
      <c r="AX1020" s="48">
        <v>28</v>
      </c>
      <c r="AY1020" s="48" t="s">
        <v>8728</v>
      </c>
      <c r="AZ1020" s="48" t="s">
        <v>1563</v>
      </c>
      <c r="BA1020" s="48">
        <v>32</v>
      </c>
      <c r="BB1020" s="47" t="s">
        <v>2485</v>
      </c>
      <c r="BC1020" s="47" t="s">
        <v>8726</v>
      </c>
      <c r="BD1020" s="47" t="s">
        <v>8374</v>
      </c>
      <c r="BE1020" s="48" t="s">
        <v>2449</v>
      </c>
      <c r="BF1020" s="48" t="s">
        <v>272</v>
      </c>
      <c r="BG1020" s="48" t="s">
        <v>272</v>
      </c>
      <c r="BH1020" s="48" t="s">
        <v>2486</v>
      </c>
      <c r="BI1020" s="98">
        <v>6.3999999999999997E-6</v>
      </c>
      <c r="BJ1020" s="98">
        <v>6.4000000000000001E-2</v>
      </c>
      <c r="BK1020" s="48"/>
      <c r="BL1020" s="98">
        <f t="shared" si="285"/>
        <v>0.23754177644563218</v>
      </c>
      <c r="BM1020" s="47" t="s">
        <v>2487</v>
      </c>
      <c r="BN1020" s="48"/>
      <c r="BO1020" s="48"/>
      <c r="BP1020" s="48"/>
      <c r="BQ1020" s="48"/>
      <c r="BR1020" s="47" t="s">
        <v>2496</v>
      </c>
      <c r="BS1020" s="48"/>
      <c r="BT1020" s="48"/>
      <c r="BU1020" s="228"/>
      <c r="BV1020" s="48"/>
      <c r="BW1020" s="48"/>
      <c r="BX1020" s="48"/>
      <c r="BY1020" s="48"/>
      <c r="BZ1020" s="48"/>
      <c r="CA1020" s="48"/>
      <c r="CB1020" s="48"/>
      <c r="CC1020" s="48"/>
      <c r="CD1020" s="48"/>
      <c r="CE1020" s="48"/>
      <c r="CF1020" s="48"/>
      <c r="CG1020" s="48"/>
      <c r="CH1020" s="48"/>
      <c r="CI1020" s="98"/>
      <c r="CJ1020" s="98"/>
      <c r="CK1020" s="49">
        <f t="shared" si="281"/>
        <v>3.7115902569630026</v>
      </c>
      <c r="CL1020" s="229"/>
      <c r="CM1020" s="229"/>
      <c r="CN1020" s="229"/>
      <c r="CO1020" s="47" t="s">
        <v>2488</v>
      </c>
      <c r="CP1020" s="47" t="s">
        <v>2489</v>
      </c>
      <c r="CQ1020" s="224" t="s">
        <v>272</v>
      </c>
      <c r="CR1020" s="224"/>
      <c r="CS1020" s="230" t="s">
        <v>539</v>
      </c>
      <c r="CT1020" s="230"/>
      <c r="CU1020" s="230"/>
      <c r="CV1020" s="335">
        <f t="shared" si="284"/>
        <v>71.886296418008541</v>
      </c>
      <c r="CW1020" s="230">
        <f t="shared" si="280"/>
        <v>1</v>
      </c>
      <c r="CX1020" s="336"/>
      <c r="CY1020" s="230" t="s">
        <v>6351</v>
      </c>
    </row>
    <row r="1021" spans="1:103" ht="11.25" customHeight="1" x14ac:dyDescent="0.2">
      <c r="A1021" s="72">
        <v>1019</v>
      </c>
      <c r="B1021" s="224">
        <v>1031</v>
      </c>
      <c r="C1021" s="46" t="s">
        <v>2480</v>
      </c>
      <c r="D1021" s="46"/>
      <c r="E1021" s="114"/>
      <c r="F1021" s="114" t="s">
        <v>2481</v>
      </c>
      <c r="G1021" s="225">
        <v>119619</v>
      </c>
      <c r="H1021" s="47" t="s">
        <v>2482</v>
      </c>
      <c r="I1021" s="47" t="s">
        <v>2482</v>
      </c>
      <c r="J1021" s="47" t="s">
        <v>2939</v>
      </c>
      <c r="K1021" s="47" t="s">
        <v>426</v>
      </c>
      <c r="L1021" s="47" t="s">
        <v>5527</v>
      </c>
      <c r="M1021" s="47" t="s">
        <v>866</v>
      </c>
      <c r="N1021" s="47" t="s">
        <v>6082</v>
      </c>
      <c r="O1021" s="47" t="s">
        <v>498</v>
      </c>
      <c r="P1021" s="53"/>
      <c r="Q1021" s="53"/>
      <c r="R1021" s="53"/>
      <c r="S1021" s="53"/>
      <c r="T1021" s="48">
        <v>182.22</v>
      </c>
      <c r="U1021" s="98">
        <v>0.75183843705411046</v>
      </c>
      <c r="V1021" s="98">
        <v>0.56689715728240586</v>
      </c>
      <c r="W1021" s="98">
        <v>0.7079457843841378</v>
      </c>
      <c r="X1021" s="98">
        <v>0.75183843705411046</v>
      </c>
      <c r="Y1021" s="233">
        <v>7</v>
      </c>
      <c r="Z1021" s="48">
        <v>3.15</v>
      </c>
      <c r="AA1021" s="48">
        <v>3.18</v>
      </c>
      <c r="AB1021" s="48">
        <v>3.62</v>
      </c>
      <c r="AC1021" s="48">
        <v>0.8367</v>
      </c>
      <c r="AD1021" s="48">
        <v>3.65</v>
      </c>
      <c r="AE1021" s="48">
        <v>3.72</v>
      </c>
      <c r="AF1021" s="48">
        <f t="shared" si="279"/>
        <v>3.18</v>
      </c>
      <c r="AG1021" s="49">
        <v>2.4500000000000002</v>
      </c>
      <c r="AH1021" s="98">
        <v>1.9400000000000001E-6</v>
      </c>
      <c r="AI1021" s="98"/>
      <c r="AJ1021" s="483">
        <f t="shared" si="288"/>
        <v>-4.100764596382426</v>
      </c>
      <c r="AK1021" s="483"/>
      <c r="AL1021" s="483">
        <f t="shared" si="287"/>
        <v>-4.100764596382426</v>
      </c>
      <c r="AM1021" s="483">
        <v>-6.5662599999999998</v>
      </c>
      <c r="AN1021" s="226">
        <v>-4.22</v>
      </c>
      <c r="AO1021" s="484"/>
      <c r="AP1021" s="484"/>
      <c r="AQ1021" s="48" t="s">
        <v>6311</v>
      </c>
      <c r="AR1021" s="48" t="s">
        <v>6311</v>
      </c>
      <c r="AS1021" s="227"/>
      <c r="AT1021" s="50" t="s">
        <v>266</v>
      </c>
      <c r="AU1021" s="48">
        <v>6</v>
      </c>
      <c r="AV1021" s="48">
        <v>120</v>
      </c>
      <c r="AW1021" s="48">
        <v>114</v>
      </c>
      <c r="AX1021" s="48">
        <v>28</v>
      </c>
      <c r="AY1021" s="48" t="s">
        <v>8728</v>
      </c>
      <c r="AZ1021" s="48" t="s">
        <v>1563</v>
      </c>
      <c r="BA1021" s="48">
        <v>32</v>
      </c>
      <c r="BB1021" s="47" t="s">
        <v>2485</v>
      </c>
      <c r="BC1021" s="47" t="s">
        <v>8726</v>
      </c>
      <c r="BD1021" s="47" t="s">
        <v>8374</v>
      </c>
      <c r="BE1021" s="48" t="s">
        <v>2449</v>
      </c>
      <c r="BF1021" s="48" t="s">
        <v>272</v>
      </c>
      <c r="BG1021" s="48" t="s">
        <v>272</v>
      </c>
      <c r="BH1021" s="48" t="s">
        <v>2486</v>
      </c>
      <c r="BI1021" s="98">
        <v>6.3999999999999997E-6</v>
      </c>
      <c r="BJ1021" s="98">
        <v>6.4000000000000001E-2</v>
      </c>
      <c r="BK1021" s="48"/>
      <c r="BL1021" s="98">
        <f t="shared" si="285"/>
        <v>7.6170183176510087E-2</v>
      </c>
      <c r="BM1021" s="47" t="s">
        <v>2487</v>
      </c>
      <c r="BN1021" s="48"/>
      <c r="BO1021" s="48"/>
      <c r="BP1021" s="48"/>
      <c r="BQ1021" s="48"/>
      <c r="BR1021" s="47" t="s">
        <v>2496</v>
      </c>
      <c r="BS1021" s="48"/>
      <c r="BT1021" s="48"/>
      <c r="BU1021" s="228">
        <v>6.4000000000000001E-2</v>
      </c>
      <c r="BV1021" s="48"/>
      <c r="BW1021" s="48"/>
      <c r="BX1021" s="48"/>
      <c r="BY1021" s="48"/>
      <c r="BZ1021" s="48"/>
      <c r="CA1021" s="48"/>
      <c r="CB1021" s="48"/>
      <c r="CC1021" s="48"/>
      <c r="CD1021" s="48"/>
      <c r="CE1021" s="48"/>
      <c r="CF1021" s="48"/>
      <c r="CG1021" s="48"/>
      <c r="CH1021" s="48"/>
      <c r="CI1021" s="98"/>
      <c r="CJ1021" s="98"/>
      <c r="CK1021" s="49">
        <f t="shared" si="281"/>
        <v>1.19015911213297</v>
      </c>
      <c r="CL1021" s="229"/>
      <c r="CM1021" s="229">
        <v>-1.124528699714062</v>
      </c>
      <c r="CN1021" s="229">
        <f>BJ1021/(10^CM1021)</f>
        <v>0.85252804328469622</v>
      </c>
      <c r="CO1021" s="47" t="s">
        <v>2488</v>
      </c>
      <c r="CP1021" s="47" t="s">
        <v>2489</v>
      </c>
      <c r="CQ1021" s="224">
        <v>-1.124528699714062</v>
      </c>
      <c r="CR1021" s="224">
        <f>10^(CJ1021-CQ1021)</f>
        <v>13.320750676323378</v>
      </c>
      <c r="CS1021" s="230" t="s">
        <v>539</v>
      </c>
      <c r="CT1021" s="230"/>
      <c r="CU1021" s="230"/>
      <c r="CV1021" s="335">
        <f t="shared" si="284"/>
        <v>11.747475578970477</v>
      </c>
      <c r="CW1021" s="230">
        <f t="shared" si="280"/>
        <v>1</v>
      </c>
      <c r="CX1021" s="336"/>
      <c r="CY1021" s="230" t="s">
        <v>6351</v>
      </c>
    </row>
    <row r="1022" spans="1:103" ht="11.25" customHeight="1" x14ac:dyDescent="0.2">
      <c r="A1022" s="72">
        <v>1020</v>
      </c>
      <c r="B1022" s="224">
        <v>1439</v>
      </c>
      <c r="C1022" s="46" t="s">
        <v>7193</v>
      </c>
      <c r="D1022" s="46"/>
      <c r="E1022" s="114"/>
      <c r="F1022" s="114" t="s">
        <v>4426</v>
      </c>
      <c r="G1022" s="225">
        <v>119904</v>
      </c>
      <c r="H1022" s="47" t="s">
        <v>4427</v>
      </c>
      <c r="I1022" s="47" t="s">
        <v>4427</v>
      </c>
      <c r="J1022" s="47" t="s">
        <v>4428</v>
      </c>
      <c r="K1022" s="47" t="s">
        <v>1573</v>
      </c>
      <c r="L1022" s="47"/>
      <c r="M1022" s="47"/>
      <c r="N1022" s="47"/>
      <c r="O1022" s="47"/>
      <c r="P1022" s="53"/>
      <c r="Q1022" s="53"/>
      <c r="R1022" s="53"/>
      <c r="S1022" s="53"/>
      <c r="T1022" s="48">
        <v>244.29</v>
      </c>
      <c r="U1022" s="98">
        <v>0.24560972614515536</v>
      </c>
      <c r="V1022" s="98">
        <v>2.9632813459412994</v>
      </c>
      <c r="W1022" s="98">
        <v>1.2302687708123807</v>
      </c>
      <c r="X1022" s="98">
        <v>0.24560972614515536</v>
      </c>
      <c r="Y1022" s="233">
        <v>7.9</v>
      </c>
      <c r="Z1022" s="48">
        <v>2.08</v>
      </c>
      <c r="AA1022" s="48">
        <v>1.81</v>
      </c>
      <c r="AB1022" s="48">
        <v>2.0099999999999998</v>
      </c>
      <c r="AC1022" s="48">
        <v>0.86719999999999997</v>
      </c>
      <c r="AD1022" s="48">
        <v>1.91</v>
      </c>
      <c r="AE1022" s="48">
        <v>1.58</v>
      </c>
      <c r="AF1022" s="48">
        <f t="shared" ref="AF1022:AF1085" si="289">IF(AA1022=0,AD1022,AA1022)</f>
        <v>1.81</v>
      </c>
      <c r="AG1022" s="49">
        <v>1.99</v>
      </c>
      <c r="AH1022" s="98">
        <v>1.8100000000000001E-13</v>
      </c>
      <c r="AI1022" s="98"/>
      <c r="AJ1022" s="483">
        <f t="shared" si="288"/>
        <v>-11.130887751443467</v>
      </c>
      <c r="AK1022" s="483"/>
      <c r="AL1022" s="483">
        <f t="shared" si="287"/>
        <v>-11.130887751443467</v>
      </c>
      <c r="AM1022" s="483">
        <v>-15.898250000000001</v>
      </c>
      <c r="AN1022" s="226">
        <v>-7.77</v>
      </c>
      <c r="AO1022" s="484"/>
      <c r="AP1022" s="484">
        <v>4.71</v>
      </c>
      <c r="AQ1022" s="48" t="s">
        <v>6311</v>
      </c>
      <c r="AR1022" s="48" t="s">
        <v>6311</v>
      </c>
      <c r="AS1022" s="227"/>
      <c r="AT1022" s="50" t="s">
        <v>266</v>
      </c>
      <c r="AU1022" s="48">
        <v>6</v>
      </c>
      <c r="AV1022" s="48">
        <v>120</v>
      </c>
      <c r="AW1022" s="48">
        <v>114</v>
      </c>
      <c r="AX1022" s="48">
        <v>28</v>
      </c>
      <c r="AY1022" s="48" t="s">
        <v>8728</v>
      </c>
      <c r="AZ1022" s="48" t="s">
        <v>1563</v>
      </c>
      <c r="BA1022" s="48">
        <v>32</v>
      </c>
      <c r="BB1022" s="47" t="s">
        <v>2485</v>
      </c>
      <c r="BC1022" s="47" t="s">
        <v>8726</v>
      </c>
      <c r="BD1022" s="47" t="s">
        <v>8374</v>
      </c>
      <c r="BE1022" s="48" t="s">
        <v>2449</v>
      </c>
      <c r="BF1022" s="48" t="s">
        <v>272</v>
      </c>
      <c r="BG1022" s="48" t="s">
        <v>272</v>
      </c>
      <c r="BH1022" s="48" t="s">
        <v>2486</v>
      </c>
      <c r="BI1022" s="98">
        <v>6.3999999999999997E-6</v>
      </c>
      <c r="BJ1022" s="98">
        <v>6.4000000000000001E-2</v>
      </c>
      <c r="BK1022" s="48"/>
      <c r="BL1022" s="98">
        <f t="shared" si="285"/>
        <v>0.69622882529686447</v>
      </c>
      <c r="BM1022" s="47" t="s">
        <v>2487</v>
      </c>
      <c r="BN1022" s="48"/>
      <c r="BO1022" s="48"/>
      <c r="BP1022" s="48"/>
      <c r="BQ1022" s="48"/>
      <c r="BR1022" s="47" t="s">
        <v>2496</v>
      </c>
      <c r="BS1022" s="48"/>
      <c r="BT1022" s="48"/>
      <c r="BU1022" s="228"/>
      <c r="BV1022" s="48"/>
      <c r="BW1022" s="48"/>
      <c r="BX1022" s="48"/>
      <c r="BY1022" s="48"/>
      <c r="BZ1022" s="48"/>
      <c r="CA1022" s="48"/>
      <c r="CB1022" s="48"/>
      <c r="CC1022" s="48"/>
      <c r="CD1022" s="48"/>
      <c r="CE1022" s="48"/>
      <c r="CF1022" s="48"/>
      <c r="CG1022" s="48"/>
      <c r="CH1022" s="48"/>
      <c r="CI1022" s="98"/>
      <c r="CJ1022" s="98"/>
      <c r="CK1022" s="49">
        <f t="shared" si="281"/>
        <v>10.878575395263507</v>
      </c>
      <c r="CL1022" s="229"/>
      <c r="CM1022" s="229"/>
      <c r="CN1022" s="229"/>
      <c r="CO1022" s="47" t="s">
        <v>2488</v>
      </c>
      <c r="CP1022" s="47" t="s">
        <v>2489</v>
      </c>
      <c r="CQ1022" s="224" t="s">
        <v>272</v>
      </c>
      <c r="CR1022" s="224"/>
      <c r="CS1022" s="230" t="s">
        <v>539</v>
      </c>
      <c r="CT1022" s="230"/>
      <c r="CU1022" s="230"/>
      <c r="CV1022" s="335">
        <f t="shared" si="284"/>
        <v>3.8376519710180523</v>
      </c>
      <c r="CW1022" s="230">
        <f t="shared" si="280"/>
        <v>1</v>
      </c>
      <c r="CX1022" s="336"/>
      <c r="CY1022" s="230" t="s">
        <v>5921</v>
      </c>
    </row>
    <row r="1023" spans="1:103" ht="11.25" customHeight="1" x14ac:dyDescent="0.2">
      <c r="A1023" s="72">
        <v>1021</v>
      </c>
      <c r="B1023" s="224">
        <v>971</v>
      </c>
      <c r="C1023" s="46" t="s">
        <v>7194</v>
      </c>
      <c r="D1023" s="46"/>
      <c r="E1023" s="114"/>
      <c r="F1023" s="114" t="s">
        <v>2770</v>
      </c>
      <c r="G1023" s="225">
        <v>119937</v>
      </c>
      <c r="H1023" s="47" t="s">
        <v>2771</v>
      </c>
      <c r="I1023" s="47" t="s">
        <v>2771</v>
      </c>
      <c r="J1023" s="47" t="s">
        <v>2772</v>
      </c>
      <c r="K1023" s="47" t="s">
        <v>2695</v>
      </c>
      <c r="L1023" s="47"/>
      <c r="M1023" s="47"/>
      <c r="N1023" s="47"/>
      <c r="O1023" s="47"/>
      <c r="P1023" s="53"/>
      <c r="Q1023" s="53"/>
      <c r="R1023" s="53"/>
      <c r="S1023" s="53"/>
      <c r="T1023" s="48">
        <v>212.29</v>
      </c>
      <c r="U1023" s="98">
        <v>6.1236987140232699</v>
      </c>
      <c r="V1023" s="98">
        <v>1.7871779170003297</v>
      </c>
      <c r="W1023" s="98">
        <v>0.5888436553555888</v>
      </c>
      <c r="X1023" s="98">
        <v>6.1236987140232699</v>
      </c>
      <c r="Y1023" s="233">
        <v>7.69</v>
      </c>
      <c r="Z1023" s="48">
        <v>3.02</v>
      </c>
      <c r="AA1023" s="48">
        <v>2.34</v>
      </c>
      <c r="AB1023" s="48">
        <v>2.38</v>
      </c>
      <c r="AC1023" s="48">
        <v>0.89129999999999998</v>
      </c>
      <c r="AD1023" s="48">
        <v>2.4</v>
      </c>
      <c r="AE1023" s="48">
        <v>2.48</v>
      </c>
      <c r="AF1023" s="48">
        <f t="shared" si="289"/>
        <v>2.34</v>
      </c>
      <c r="AG1023" s="49">
        <v>3.02</v>
      </c>
      <c r="AH1023" s="98">
        <v>6.2899999999999997E-11</v>
      </c>
      <c r="AI1023" s="98"/>
      <c r="AJ1023" s="483">
        <f t="shared" si="288"/>
        <v>-8.5899156808673833</v>
      </c>
      <c r="AK1023" s="483"/>
      <c r="AL1023" s="483">
        <f t="shared" si="287"/>
        <v>-8.5899156808673833</v>
      </c>
      <c r="AM1023" s="483">
        <v>-13.27093</v>
      </c>
      <c r="AN1023" s="226">
        <v>-8.6300000000000008</v>
      </c>
      <c r="AO1023" s="484"/>
      <c r="AP1023" s="484">
        <v>4.59</v>
      </c>
      <c r="AQ1023" s="48" t="s">
        <v>6311</v>
      </c>
      <c r="AR1023" s="48" t="s">
        <v>6311</v>
      </c>
      <c r="AS1023" s="227"/>
      <c r="AT1023" s="50" t="s">
        <v>266</v>
      </c>
      <c r="AU1023" s="48">
        <v>6</v>
      </c>
      <c r="AV1023" s="48">
        <v>120</v>
      </c>
      <c r="AW1023" s="48">
        <v>114</v>
      </c>
      <c r="AX1023" s="48">
        <v>28</v>
      </c>
      <c r="AY1023" s="48" t="s">
        <v>8728</v>
      </c>
      <c r="AZ1023" s="48" t="s">
        <v>1563</v>
      </c>
      <c r="BA1023" s="48">
        <v>32</v>
      </c>
      <c r="BB1023" s="47" t="s">
        <v>2485</v>
      </c>
      <c r="BC1023" s="47" t="s">
        <v>8726</v>
      </c>
      <c r="BD1023" s="47" t="s">
        <v>8374</v>
      </c>
      <c r="BE1023" s="48" t="s">
        <v>2449</v>
      </c>
      <c r="BF1023" s="48" t="s">
        <v>272</v>
      </c>
      <c r="BG1023" s="48" t="s">
        <v>272</v>
      </c>
      <c r="BH1023" s="48" t="s">
        <v>2486</v>
      </c>
      <c r="BI1023" s="98">
        <v>6.3999999999999997E-6</v>
      </c>
      <c r="BJ1023" s="98">
        <v>6.4000000000000001E-2</v>
      </c>
      <c r="BK1023" s="48"/>
      <c r="BL1023" s="98">
        <f t="shared" si="285"/>
        <v>9.9663928049628772E-2</v>
      </c>
      <c r="BM1023" s="47" t="s">
        <v>2487</v>
      </c>
      <c r="BN1023" s="48"/>
      <c r="BO1023" s="48"/>
      <c r="BP1023" s="48"/>
      <c r="BQ1023" s="48"/>
      <c r="BR1023" s="47" t="s">
        <v>2496</v>
      </c>
      <c r="BS1023" s="48"/>
      <c r="BT1023" s="48"/>
      <c r="BU1023" s="228">
        <v>6.4000000000000001E-2</v>
      </c>
      <c r="BV1023" s="48"/>
      <c r="BW1023" s="48"/>
      <c r="BX1023" s="48"/>
      <c r="BY1023" s="48"/>
      <c r="BZ1023" s="48"/>
      <c r="CA1023" s="48"/>
      <c r="CB1023" s="48"/>
      <c r="CC1023" s="48"/>
      <c r="CD1023" s="48"/>
      <c r="CE1023" s="48"/>
      <c r="CF1023" s="48"/>
      <c r="CG1023" s="48"/>
      <c r="CH1023" s="48"/>
      <c r="CI1023" s="98"/>
      <c r="CJ1023" s="98"/>
      <c r="CK1023" s="49">
        <f t="shared" si="281"/>
        <v>1.5572488757754495</v>
      </c>
      <c r="CL1023" s="229"/>
      <c r="CM1023" s="229"/>
      <c r="CN1023" s="229"/>
      <c r="CO1023" s="47" t="s">
        <v>2488</v>
      </c>
      <c r="CP1023" s="47" t="s">
        <v>2489</v>
      </c>
      <c r="CQ1023" s="224" t="s">
        <v>272</v>
      </c>
      <c r="CR1023" s="224"/>
      <c r="CS1023" s="230" t="s">
        <v>539</v>
      </c>
      <c r="CT1023" s="230"/>
      <c r="CU1023" s="230"/>
      <c r="CV1023" s="335">
        <f t="shared" si="284"/>
        <v>95.682792406613586</v>
      </c>
      <c r="CW1023" s="230">
        <f t="shared" ref="CW1023:CW1086" si="290">IF(CV1023&lt;1,0,1)</f>
        <v>1</v>
      </c>
      <c r="CX1023" s="336"/>
      <c r="CY1023" s="230" t="s">
        <v>5921</v>
      </c>
    </row>
    <row r="1024" spans="1:103" ht="11.25" customHeight="1" x14ac:dyDescent="0.2">
      <c r="A1024" s="72">
        <v>1022</v>
      </c>
      <c r="B1024" s="224">
        <v>1503</v>
      </c>
      <c r="C1024" s="46" t="s">
        <v>7195</v>
      </c>
      <c r="D1024" s="46"/>
      <c r="E1024" s="114"/>
      <c r="F1024" s="114" t="s">
        <v>4593</v>
      </c>
      <c r="G1024" s="225">
        <v>120127</v>
      </c>
      <c r="H1024" s="47" t="s">
        <v>4594</v>
      </c>
      <c r="I1024" s="47" t="s">
        <v>4594</v>
      </c>
      <c r="J1024" s="47" t="s">
        <v>4595</v>
      </c>
      <c r="K1024" s="47" t="s">
        <v>426</v>
      </c>
      <c r="L1024" s="47" t="s">
        <v>6124</v>
      </c>
      <c r="M1024" s="47" t="s">
        <v>6082</v>
      </c>
      <c r="N1024" s="47"/>
      <c r="O1024" s="47" t="s">
        <v>6083</v>
      </c>
      <c r="P1024" s="53"/>
      <c r="Q1024" s="53"/>
      <c r="R1024" s="53"/>
      <c r="S1024" s="53"/>
      <c r="T1024" s="48">
        <v>178.23</v>
      </c>
      <c r="U1024" s="98">
        <v>2.4350558267407284E-4</v>
      </c>
      <c r="V1024" s="98">
        <v>3.8742074847107674E-3</v>
      </c>
      <c r="W1024" s="98">
        <v>2.5703957827688598E-3</v>
      </c>
      <c r="X1024" s="98">
        <v>2.4350558267407284E-4</v>
      </c>
      <c r="Y1024" s="233">
        <v>7</v>
      </c>
      <c r="Z1024" s="48">
        <v>4.3499999999999996</v>
      </c>
      <c r="AA1024" s="48">
        <v>4.45</v>
      </c>
      <c r="AB1024" s="48">
        <v>4.68</v>
      </c>
      <c r="AC1024" s="48">
        <v>0.89280000000000004</v>
      </c>
      <c r="AD1024" s="48">
        <v>4.68</v>
      </c>
      <c r="AE1024" s="48">
        <v>4.68</v>
      </c>
      <c r="AF1024" s="48">
        <f t="shared" si="289"/>
        <v>4.45</v>
      </c>
      <c r="AG1024" s="49">
        <v>4.0999999999999996</v>
      </c>
      <c r="AH1024" s="98">
        <v>5.13E-5</v>
      </c>
      <c r="AI1024" s="98">
        <v>5.5600000000000003E-5</v>
      </c>
      <c r="AJ1024" s="483">
        <f t="shared" si="288"/>
        <v>-2.6784489612008358</v>
      </c>
      <c r="AK1024" s="483">
        <f>LOG10(AI1024*1000/(0.08206*298.15))</f>
        <v>-2.6434915347305945</v>
      </c>
      <c r="AL1024" s="483">
        <f t="shared" si="287"/>
        <v>-2.6434915347305945</v>
      </c>
      <c r="AM1024" s="483">
        <v>-6.7898499999999995</v>
      </c>
      <c r="AN1024" s="226">
        <v>-3.14</v>
      </c>
      <c r="AO1024" s="484"/>
      <c r="AP1024" s="484"/>
      <c r="AQ1024" s="48" t="s">
        <v>6311</v>
      </c>
      <c r="AR1024" s="48" t="s">
        <v>6311</v>
      </c>
      <c r="AS1024" s="227"/>
      <c r="AT1024" s="50" t="s">
        <v>266</v>
      </c>
      <c r="AU1024" s="48">
        <v>6</v>
      </c>
      <c r="AV1024" s="48">
        <v>120</v>
      </c>
      <c r="AW1024" s="48">
        <v>114</v>
      </c>
      <c r="AX1024" s="48">
        <v>28</v>
      </c>
      <c r="AY1024" s="48" t="s">
        <v>8728</v>
      </c>
      <c r="AZ1024" s="48" t="s">
        <v>1563</v>
      </c>
      <c r="BA1024" s="48">
        <v>32</v>
      </c>
      <c r="BB1024" s="47" t="s">
        <v>2485</v>
      </c>
      <c r="BC1024" s="47" t="s">
        <v>8726</v>
      </c>
      <c r="BD1024" s="47" t="s">
        <v>8374</v>
      </c>
      <c r="BE1024" s="48" t="s">
        <v>2449</v>
      </c>
      <c r="BF1024" s="48" t="s">
        <v>272</v>
      </c>
      <c r="BG1024" s="48" t="s">
        <v>272</v>
      </c>
      <c r="BH1024" s="48" t="s">
        <v>2486</v>
      </c>
      <c r="BI1024" s="98">
        <v>6.3999999999999997E-6</v>
      </c>
      <c r="BJ1024" s="98">
        <v>6.4000000000000001E-2</v>
      </c>
      <c r="BK1024" s="48"/>
      <c r="BL1024" s="98">
        <f t="shared" si="285"/>
        <v>6.3689083597233938E-3</v>
      </c>
      <c r="BM1024" s="47" t="s">
        <v>2487</v>
      </c>
      <c r="BN1024" s="48"/>
      <c r="BO1024" s="48"/>
      <c r="BP1024" s="48"/>
      <c r="BQ1024" s="48"/>
      <c r="BR1024" s="47" t="s">
        <v>2496</v>
      </c>
      <c r="BS1024" s="48"/>
      <c r="BT1024" s="48"/>
      <c r="BU1024" s="228"/>
      <c r="BV1024" s="48"/>
      <c r="BW1024" s="48"/>
      <c r="BX1024" s="48"/>
      <c r="BY1024" s="48"/>
      <c r="BZ1024" s="48"/>
      <c r="CA1024" s="48"/>
      <c r="CB1024" s="48"/>
      <c r="CC1024" s="48"/>
      <c r="CD1024" s="48"/>
      <c r="CE1024" s="48"/>
      <c r="CF1024" s="48"/>
      <c r="CG1024" s="48"/>
      <c r="CH1024" s="48"/>
      <c r="CI1024" s="98"/>
      <c r="CJ1024" s="98"/>
      <c r="CK1024" s="49">
        <f t="shared" si="281"/>
        <v>9.9514193120678024E-2</v>
      </c>
      <c r="CL1024" s="229"/>
      <c r="CM1024" s="229"/>
      <c r="CN1024" s="229"/>
      <c r="CO1024" s="47" t="s">
        <v>2488</v>
      </c>
      <c r="CP1024" s="47" t="s">
        <v>2489</v>
      </c>
      <c r="CQ1024" s="224">
        <v>-4.0929956343678908</v>
      </c>
      <c r="CR1024" s="224">
        <f>10^(CJ1024-CQ1024)</f>
        <v>12387.841339130826</v>
      </c>
      <c r="CS1024" s="230" t="s">
        <v>539</v>
      </c>
      <c r="CT1024" s="230"/>
      <c r="CU1024" s="230"/>
      <c r="CV1024" s="335">
        <f t="shared" si="284"/>
        <v>3.8047747292823883E-3</v>
      </c>
      <c r="CW1024" s="230">
        <f t="shared" si="290"/>
        <v>0</v>
      </c>
      <c r="CX1024" s="336"/>
      <c r="CY1024" s="230" t="s">
        <v>6351</v>
      </c>
    </row>
    <row r="1025" spans="1:103" ht="11.25" customHeight="1" x14ac:dyDescent="0.2">
      <c r="A1025" s="72">
        <v>1023</v>
      </c>
      <c r="B1025" s="224">
        <v>283</v>
      </c>
      <c r="C1025" s="46" t="s">
        <v>7196</v>
      </c>
      <c r="D1025" s="46"/>
      <c r="E1025" s="114"/>
      <c r="F1025" s="114" t="s">
        <v>3070</v>
      </c>
      <c r="G1025" s="225">
        <v>120365</v>
      </c>
      <c r="H1025" s="47" t="s">
        <v>3071</v>
      </c>
      <c r="I1025" s="47" t="s">
        <v>8037</v>
      </c>
      <c r="J1025" s="47" t="s">
        <v>3072</v>
      </c>
      <c r="K1025" s="47" t="s">
        <v>426</v>
      </c>
      <c r="L1025" s="47" t="s">
        <v>6033</v>
      </c>
      <c r="M1025" s="47" t="s">
        <v>5960</v>
      </c>
      <c r="N1025" s="47"/>
      <c r="O1025" s="47"/>
      <c r="P1025" s="53"/>
      <c r="Q1025" s="53"/>
      <c r="R1025" s="53"/>
      <c r="S1025" s="53"/>
      <c r="T1025" s="48">
        <v>235.06</v>
      </c>
      <c r="U1025" s="98">
        <v>2.5099974474602229</v>
      </c>
      <c r="V1025" s="98">
        <v>493.4910235684506</v>
      </c>
      <c r="W1025" s="98">
        <v>1.6982436524617426</v>
      </c>
      <c r="X1025" s="98">
        <v>2.5099974474602229</v>
      </c>
      <c r="Y1025" s="233">
        <v>3.06</v>
      </c>
      <c r="Z1025" s="48">
        <v>3.03</v>
      </c>
      <c r="AA1025" s="48">
        <v>-0.25</v>
      </c>
      <c r="AB1025" s="48">
        <v>3.1</v>
      </c>
      <c r="AC1025" s="48">
        <v>0.88390000000000002</v>
      </c>
      <c r="AD1025" s="48">
        <v>3.06</v>
      </c>
      <c r="AE1025" s="48">
        <v>2.93</v>
      </c>
      <c r="AF1025" s="48">
        <f t="shared" si="289"/>
        <v>-0.25</v>
      </c>
      <c r="AG1025" s="49">
        <v>2.88</v>
      </c>
      <c r="AH1025" s="98">
        <v>1.22E-8</v>
      </c>
      <c r="AI1025" s="98"/>
      <c r="AJ1025" s="483">
        <f t="shared" si="288"/>
        <v>-6.3022064956379031</v>
      </c>
      <c r="AK1025" s="483"/>
      <c r="AL1025" s="483">
        <f t="shared" si="287"/>
        <v>-6.3022064956379031</v>
      </c>
      <c r="AM1025" s="483">
        <v>-10.080859999999999</v>
      </c>
      <c r="AN1025" s="226">
        <v>-7.49</v>
      </c>
      <c r="AO1025" s="484">
        <v>3.03</v>
      </c>
      <c r="AP1025" s="484"/>
      <c r="AQ1025" s="226" t="s">
        <v>6311</v>
      </c>
      <c r="AR1025" s="226" t="s">
        <v>6311</v>
      </c>
      <c r="AS1025" s="224" t="s">
        <v>6</v>
      </c>
      <c r="AT1025" s="50" t="s">
        <v>266</v>
      </c>
      <c r="AU1025" s="48">
        <v>8</v>
      </c>
      <c r="AV1025" s="48">
        <v>144</v>
      </c>
      <c r="AW1025" s="48">
        <v>120</v>
      </c>
      <c r="AX1025" s="48">
        <v>26</v>
      </c>
      <c r="AY1025" s="48" t="s">
        <v>267</v>
      </c>
      <c r="AZ1025" s="48" t="s">
        <v>2253</v>
      </c>
      <c r="BA1025" s="48">
        <v>2</v>
      </c>
      <c r="BB1025" s="47" t="s">
        <v>2254</v>
      </c>
      <c r="BC1025" s="47" t="s">
        <v>270</v>
      </c>
      <c r="BD1025" s="47" t="s">
        <v>8374</v>
      </c>
      <c r="BE1025" s="48" t="s">
        <v>1712</v>
      </c>
      <c r="BF1025" s="48" t="s">
        <v>272</v>
      </c>
      <c r="BG1025" s="48" t="s">
        <v>272</v>
      </c>
      <c r="BH1025" s="48" t="s">
        <v>2255</v>
      </c>
      <c r="BI1025" s="98">
        <v>9.9999999999999995E-7</v>
      </c>
      <c r="BJ1025" s="98">
        <v>0.08</v>
      </c>
      <c r="BK1025" s="48"/>
      <c r="BL1025" s="98">
        <f t="shared" si="285"/>
        <v>9.7624090305406405E-2</v>
      </c>
      <c r="BM1025" s="48" t="s">
        <v>891</v>
      </c>
      <c r="BN1025" s="233"/>
      <c r="BO1025" s="233"/>
      <c r="BP1025" s="233"/>
      <c r="BQ1025" s="233"/>
      <c r="BR1025" s="233"/>
      <c r="BS1025" s="234"/>
      <c r="BT1025" s="233"/>
      <c r="BU1025" s="235"/>
      <c r="BV1025" s="233"/>
      <c r="BW1025" s="233"/>
      <c r="BX1025" s="233"/>
      <c r="BY1025" s="233"/>
      <c r="BZ1025" s="233"/>
      <c r="CA1025" s="233"/>
      <c r="CB1025" s="233"/>
      <c r="CC1025" s="234"/>
      <c r="CD1025" s="238"/>
      <c r="CE1025" s="238"/>
      <c r="CF1025" s="238"/>
      <c r="CG1025" s="233"/>
      <c r="CH1025" s="48"/>
      <c r="CI1025" s="98"/>
      <c r="CJ1025" s="98"/>
      <c r="CK1025" s="49">
        <f t="shared" si="281"/>
        <v>1.22030112881758</v>
      </c>
      <c r="CL1025" s="229"/>
      <c r="CM1025" s="229"/>
      <c r="CN1025" s="229"/>
      <c r="CO1025" s="47" t="s">
        <v>892</v>
      </c>
      <c r="CP1025" s="47" t="s">
        <v>893</v>
      </c>
      <c r="CQ1025" s="224">
        <v>-2.0490748250503343</v>
      </c>
      <c r="CR1025" s="224">
        <f>10^(CJ1025-CQ1025)</f>
        <v>111.9630769206213</v>
      </c>
      <c r="CS1025" s="230" t="s">
        <v>539</v>
      </c>
      <c r="CT1025" s="230"/>
      <c r="CU1025" s="230"/>
      <c r="CV1025" s="335">
        <f t="shared" si="284"/>
        <v>31.374968093252786</v>
      </c>
      <c r="CW1025" s="230">
        <f t="shared" si="290"/>
        <v>1</v>
      </c>
      <c r="CX1025" s="336" t="s">
        <v>539</v>
      </c>
      <c r="CY1025" s="230" t="s">
        <v>5921</v>
      </c>
    </row>
    <row r="1026" spans="1:103" ht="11.25" customHeight="1" x14ac:dyDescent="0.2">
      <c r="A1026" s="72">
        <v>1024</v>
      </c>
      <c r="B1026" s="224">
        <v>1096</v>
      </c>
      <c r="C1026" s="46" t="s">
        <v>7196</v>
      </c>
      <c r="D1026" s="46"/>
      <c r="E1026" s="114"/>
      <c r="F1026" s="114" t="s">
        <v>3070</v>
      </c>
      <c r="G1026" s="225">
        <v>120365</v>
      </c>
      <c r="H1026" s="47" t="s">
        <v>3071</v>
      </c>
      <c r="I1026" s="47" t="s">
        <v>8037</v>
      </c>
      <c r="J1026" s="47" t="s">
        <v>3072</v>
      </c>
      <c r="K1026" s="47" t="s">
        <v>426</v>
      </c>
      <c r="L1026" s="47" t="s">
        <v>6033</v>
      </c>
      <c r="M1026" s="47" t="s">
        <v>5960</v>
      </c>
      <c r="N1026" s="47"/>
      <c r="O1026" s="47"/>
      <c r="P1026" s="53"/>
      <c r="Q1026" s="53"/>
      <c r="R1026" s="53"/>
      <c r="S1026" s="53"/>
      <c r="T1026" s="48">
        <v>235.06</v>
      </c>
      <c r="U1026" s="98">
        <v>2.5099974474602229</v>
      </c>
      <c r="V1026" s="98">
        <v>493.4910235684506</v>
      </c>
      <c r="W1026" s="98">
        <v>1.6982436524617426</v>
      </c>
      <c r="X1026" s="98">
        <v>2.5099974474602229</v>
      </c>
      <c r="Y1026" s="233">
        <v>3.06</v>
      </c>
      <c r="Z1026" s="48">
        <v>3.03</v>
      </c>
      <c r="AA1026" s="48">
        <v>-0.25</v>
      </c>
      <c r="AB1026" s="48">
        <v>3.1</v>
      </c>
      <c r="AC1026" s="48">
        <v>0.88390000000000002</v>
      </c>
      <c r="AD1026" s="48">
        <v>3.06</v>
      </c>
      <c r="AE1026" s="48">
        <v>2.93</v>
      </c>
      <c r="AF1026" s="48">
        <f t="shared" si="289"/>
        <v>-0.25</v>
      </c>
      <c r="AG1026" s="49">
        <v>2.88</v>
      </c>
      <c r="AH1026" s="98">
        <v>1.22E-8</v>
      </c>
      <c r="AI1026" s="98"/>
      <c r="AJ1026" s="483">
        <f t="shared" si="288"/>
        <v>-6.3022064956379031</v>
      </c>
      <c r="AK1026" s="483"/>
      <c r="AL1026" s="483">
        <f t="shared" si="287"/>
        <v>-6.3022064956379031</v>
      </c>
      <c r="AM1026" s="483">
        <v>-10.080859999999999</v>
      </c>
      <c r="AN1026" s="226">
        <v>-7.49</v>
      </c>
      <c r="AO1026" s="484">
        <v>3.03</v>
      </c>
      <c r="AP1026" s="484"/>
      <c r="AQ1026" s="48" t="s">
        <v>6311</v>
      </c>
      <c r="AR1026" s="48" t="s">
        <v>6311</v>
      </c>
      <c r="AS1026" s="227"/>
      <c r="AT1026" s="50" t="s">
        <v>266</v>
      </c>
      <c r="AU1026" s="48">
        <v>6</v>
      </c>
      <c r="AV1026" s="48">
        <v>120</v>
      </c>
      <c r="AW1026" s="48">
        <v>114</v>
      </c>
      <c r="AX1026" s="48">
        <v>28</v>
      </c>
      <c r="AY1026" s="48" t="s">
        <v>8728</v>
      </c>
      <c r="AZ1026" s="48" t="s">
        <v>1563</v>
      </c>
      <c r="BA1026" s="48">
        <v>32</v>
      </c>
      <c r="BB1026" s="47" t="s">
        <v>2485</v>
      </c>
      <c r="BC1026" s="47" t="s">
        <v>8726</v>
      </c>
      <c r="BD1026" s="47" t="s">
        <v>8374</v>
      </c>
      <c r="BE1026" s="48" t="s">
        <v>2449</v>
      </c>
      <c r="BF1026" s="48" t="s">
        <v>272</v>
      </c>
      <c r="BG1026" s="48" t="s">
        <v>272</v>
      </c>
      <c r="BH1026" s="48" t="s">
        <v>2486</v>
      </c>
      <c r="BI1026" s="98">
        <v>6.3999999999999997E-6</v>
      </c>
      <c r="BJ1026" s="98">
        <v>6.4000000000000001E-2</v>
      </c>
      <c r="BK1026" s="48"/>
      <c r="BL1026" s="98">
        <f t="shared" si="285"/>
        <v>9.7624090305406405E-2</v>
      </c>
      <c r="BM1026" s="47" t="s">
        <v>2487</v>
      </c>
      <c r="BN1026" s="48"/>
      <c r="BO1026" s="48"/>
      <c r="BP1026" s="48"/>
      <c r="BQ1026" s="48"/>
      <c r="BR1026" s="47" t="s">
        <v>2496</v>
      </c>
      <c r="BS1026" s="48"/>
      <c r="BT1026" s="48"/>
      <c r="BU1026" s="228">
        <v>6.4000000000000001E-2</v>
      </c>
      <c r="BV1026" s="48"/>
      <c r="BW1026" s="48"/>
      <c r="BX1026" s="48"/>
      <c r="BY1026" s="48"/>
      <c r="BZ1026" s="48"/>
      <c r="CA1026" s="48"/>
      <c r="CB1026" s="48"/>
      <c r="CC1026" s="48"/>
      <c r="CD1026" s="48"/>
      <c r="CE1026" s="48"/>
      <c r="CF1026" s="48"/>
      <c r="CG1026" s="48"/>
      <c r="CH1026" s="48"/>
      <c r="CI1026" s="98"/>
      <c r="CJ1026" s="98"/>
      <c r="CK1026" s="49">
        <f t="shared" si="281"/>
        <v>1.525376411021975</v>
      </c>
      <c r="CL1026" s="229"/>
      <c r="CM1026" s="229"/>
      <c r="CN1026" s="229"/>
      <c r="CO1026" s="47" t="s">
        <v>2488</v>
      </c>
      <c r="CP1026" s="47" t="s">
        <v>2489</v>
      </c>
      <c r="CQ1026" s="224">
        <v>-2.0490748250503343</v>
      </c>
      <c r="CR1026" s="224">
        <f>10^(CJ1026-CQ1026)</f>
        <v>111.9630769206213</v>
      </c>
      <c r="CS1026" s="230" t="s">
        <v>539</v>
      </c>
      <c r="CT1026" s="230"/>
      <c r="CU1026" s="230"/>
      <c r="CV1026" s="335">
        <f t="shared" si="284"/>
        <v>39.21871011656598</v>
      </c>
      <c r="CW1026" s="230">
        <f t="shared" si="290"/>
        <v>1</v>
      </c>
      <c r="CX1026" s="336"/>
      <c r="CY1026" s="230" t="s">
        <v>5921</v>
      </c>
    </row>
    <row r="1027" spans="1:103" ht="11.25" customHeight="1" x14ac:dyDescent="0.2">
      <c r="A1027" s="72">
        <v>1025</v>
      </c>
      <c r="B1027" s="224">
        <v>1649</v>
      </c>
      <c r="C1027" s="46" t="s">
        <v>7197</v>
      </c>
      <c r="D1027" s="46"/>
      <c r="E1027" s="114"/>
      <c r="F1027" s="114" t="s">
        <v>4858</v>
      </c>
      <c r="G1027" s="225">
        <v>120478</v>
      </c>
      <c r="H1027" s="47" t="s">
        <v>4859</v>
      </c>
      <c r="I1027" s="47" t="s">
        <v>4859</v>
      </c>
      <c r="J1027" s="47" t="s">
        <v>4860</v>
      </c>
      <c r="K1027" s="47" t="s">
        <v>2962</v>
      </c>
      <c r="L1027" s="47"/>
      <c r="M1027" s="47"/>
      <c r="N1027" s="47"/>
      <c r="O1027" s="47"/>
      <c r="P1027" s="53"/>
      <c r="Q1027" s="53" t="s">
        <v>6173</v>
      </c>
      <c r="R1027" s="53" t="s">
        <v>6174</v>
      </c>
      <c r="S1027" s="53" t="s">
        <v>6176</v>
      </c>
      <c r="T1027" s="48">
        <v>166.17</v>
      </c>
      <c r="U1027" s="98">
        <v>5.3258710958656801</v>
      </c>
      <c r="V1027" s="98">
        <v>11.397965938496721</v>
      </c>
      <c r="W1027" s="98">
        <v>15.488166189124804</v>
      </c>
      <c r="X1027" s="98">
        <v>5.3258710958656801</v>
      </c>
      <c r="Y1027" s="233">
        <v>5.0599999999999996</v>
      </c>
      <c r="Z1027" s="48">
        <v>2.4900000000000002</v>
      </c>
      <c r="AA1027" s="48">
        <v>2.4700000000000002</v>
      </c>
      <c r="AB1027" s="48">
        <v>2.58</v>
      </c>
      <c r="AC1027" s="48">
        <v>0.83230000000000004</v>
      </c>
      <c r="AD1027" s="48">
        <v>2.5299999999999998</v>
      </c>
      <c r="AE1027" s="48">
        <v>2.4</v>
      </c>
      <c r="AF1027" s="48">
        <f t="shared" si="289"/>
        <v>2.4700000000000002</v>
      </c>
      <c r="AG1027" s="49">
        <v>1.76</v>
      </c>
      <c r="AH1027" s="98">
        <v>4.7900000000000002E-9</v>
      </c>
      <c r="AI1027" s="98"/>
      <c r="AJ1027" s="483">
        <f t="shared" si="288"/>
        <v>-6.7082308128980888</v>
      </c>
      <c r="AK1027" s="483"/>
      <c r="AL1027" s="483">
        <f t="shared" si="287"/>
        <v>-6.7082308128980888</v>
      </c>
      <c r="AM1027" s="483">
        <v>-10.161660000000001</v>
      </c>
      <c r="AN1027" s="226">
        <v>-6.99</v>
      </c>
      <c r="AO1027" s="484">
        <v>8.31</v>
      </c>
      <c r="AP1027" s="484"/>
      <c r="AQ1027" s="226" t="s">
        <v>6311</v>
      </c>
      <c r="AR1027" s="226" t="s">
        <v>6312</v>
      </c>
      <c r="AS1027" s="224"/>
      <c r="AT1027" s="50" t="s">
        <v>266</v>
      </c>
      <c r="AU1027" s="48">
        <v>6</v>
      </c>
      <c r="AV1027" s="48">
        <v>120</v>
      </c>
      <c r="AW1027" s="48">
        <v>114</v>
      </c>
      <c r="AX1027" s="48">
        <v>28</v>
      </c>
      <c r="AY1027" s="48" t="s">
        <v>8728</v>
      </c>
      <c r="AZ1027" s="48" t="s">
        <v>1563</v>
      </c>
      <c r="BA1027" s="48">
        <v>32</v>
      </c>
      <c r="BB1027" s="47" t="s">
        <v>2485</v>
      </c>
      <c r="BC1027" s="47" t="s">
        <v>8726</v>
      </c>
      <c r="BD1027" s="47" t="s">
        <v>8374</v>
      </c>
      <c r="BE1027" s="48" t="s">
        <v>2449</v>
      </c>
      <c r="BF1027" s="48" t="s">
        <v>272</v>
      </c>
      <c r="BG1027" s="48" t="s">
        <v>272</v>
      </c>
      <c r="BH1027" s="48" t="s">
        <v>2486</v>
      </c>
      <c r="BI1027" s="98">
        <v>6.3999999999999997E-6</v>
      </c>
      <c r="BJ1027" s="98">
        <v>6.4000000000000001E-2</v>
      </c>
      <c r="BK1027" s="48"/>
      <c r="BL1027" s="98">
        <f t="shared" si="285"/>
        <v>0.29821604073496055</v>
      </c>
      <c r="BM1027" s="47" t="s">
        <v>2487</v>
      </c>
      <c r="BN1027" s="48"/>
      <c r="BO1027" s="48"/>
      <c r="BP1027" s="48"/>
      <c r="BQ1027" s="48"/>
      <c r="BR1027" s="47" t="s">
        <v>2496</v>
      </c>
      <c r="BS1027" s="48"/>
      <c r="BT1027" s="48"/>
      <c r="BU1027" s="228"/>
      <c r="BV1027" s="48"/>
      <c r="BW1027" s="48"/>
      <c r="BX1027" s="48"/>
      <c r="BY1027" s="48"/>
      <c r="BZ1027" s="48"/>
      <c r="CA1027" s="48"/>
      <c r="CB1027" s="48"/>
      <c r="CC1027" s="48"/>
      <c r="CD1027" s="48"/>
      <c r="CE1027" s="48"/>
      <c r="CF1027" s="48"/>
      <c r="CG1027" s="48"/>
      <c r="CH1027" s="48"/>
      <c r="CI1027" s="98"/>
      <c r="CJ1027" s="98"/>
      <c r="CK1027" s="49">
        <f t="shared" si="281"/>
        <v>4.6596256364837583</v>
      </c>
      <c r="CL1027" s="229"/>
      <c r="CM1027" s="229"/>
      <c r="CN1027" s="229"/>
      <c r="CO1027" s="47" t="s">
        <v>2488</v>
      </c>
      <c r="CP1027" s="47" t="s">
        <v>2489</v>
      </c>
      <c r="CQ1027" s="224" t="s">
        <v>272</v>
      </c>
      <c r="CR1027" s="224"/>
      <c r="CS1027" s="230" t="s">
        <v>539</v>
      </c>
      <c r="CT1027" s="230"/>
      <c r="CU1027" s="230"/>
      <c r="CV1027" s="335">
        <f t="shared" si="284"/>
        <v>83.216735872901253</v>
      </c>
      <c r="CW1027" s="230">
        <f t="shared" si="290"/>
        <v>1</v>
      </c>
      <c r="CX1027" s="336"/>
      <c r="CY1027" s="230" t="s">
        <v>6351</v>
      </c>
    </row>
    <row r="1028" spans="1:103" ht="11.25" customHeight="1" x14ac:dyDescent="0.2">
      <c r="A1028" s="72">
        <v>1026</v>
      </c>
      <c r="B1028" s="224">
        <v>1622</v>
      </c>
      <c r="C1028" s="46" t="s">
        <v>7198</v>
      </c>
      <c r="D1028" s="46"/>
      <c r="E1028" s="114"/>
      <c r="F1028" s="114" t="s">
        <v>4805</v>
      </c>
      <c r="G1028" s="225">
        <v>120616</v>
      </c>
      <c r="H1028" s="47" t="s">
        <v>4806</v>
      </c>
      <c r="I1028" s="47" t="s">
        <v>4806</v>
      </c>
      <c r="J1028" s="47" t="s">
        <v>4807</v>
      </c>
      <c r="K1028" s="47" t="s">
        <v>357</v>
      </c>
      <c r="L1028" s="51"/>
      <c r="M1028" s="47"/>
      <c r="N1028" s="47"/>
      <c r="O1028" s="47"/>
      <c r="P1028" s="53"/>
      <c r="Q1028" s="53" t="s">
        <v>6173</v>
      </c>
      <c r="R1028" s="53" t="s">
        <v>6174</v>
      </c>
      <c r="S1028" s="53" t="s">
        <v>6182</v>
      </c>
      <c r="T1028" s="48">
        <v>194.18</v>
      </c>
      <c r="U1028" s="98">
        <v>9.7847358121330719E-2</v>
      </c>
      <c r="V1028" s="98">
        <v>2.8895869811515089</v>
      </c>
      <c r="W1028" s="98">
        <v>6.9183097091893604</v>
      </c>
      <c r="X1028" s="98">
        <v>9.7847358121330719E-2</v>
      </c>
      <c r="Y1028" s="233">
        <v>7</v>
      </c>
      <c r="Z1028" s="48">
        <v>1.66</v>
      </c>
      <c r="AA1028" s="48">
        <v>2.25</v>
      </c>
      <c r="AB1028" s="48">
        <v>1.96</v>
      </c>
      <c r="AC1028" s="48">
        <v>0.87429999999999997</v>
      </c>
      <c r="AD1028" s="48">
        <v>2.09</v>
      </c>
      <c r="AE1028" s="48">
        <v>2.4700000000000002</v>
      </c>
      <c r="AF1028" s="48">
        <f t="shared" si="289"/>
        <v>2.25</v>
      </c>
      <c r="AG1028" s="49">
        <v>1.61</v>
      </c>
      <c r="AH1028" s="98">
        <v>2.2399999999999999E-7</v>
      </c>
      <c r="AI1028" s="98">
        <v>1.34E-4</v>
      </c>
      <c r="AJ1028" s="483">
        <f t="shared" si="288"/>
        <v>-5.0383183079784892</v>
      </c>
      <c r="AK1028" s="483">
        <f>LOG10(AI1028*1000/(0.08206*298.15))</f>
        <v>-2.2614615279478443</v>
      </c>
      <c r="AL1028" s="483">
        <f t="shared" si="287"/>
        <v>-2.2614615279478443</v>
      </c>
      <c r="AM1028" s="483">
        <v>-8.1728799999999993</v>
      </c>
      <c r="AN1028" s="226">
        <v>-5.46</v>
      </c>
      <c r="AO1028" s="484"/>
      <c r="AP1028" s="484"/>
      <c r="AQ1028" s="226" t="s">
        <v>6311</v>
      </c>
      <c r="AR1028" s="226" t="s">
        <v>6312</v>
      </c>
      <c r="AS1028" s="224"/>
      <c r="AT1028" s="50" t="s">
        <v>266</v>
      </c>
      <c r="AU1028" s="48">
        <v>6</v>
      </c>
      <c r="AV1028" s="48">
        <v>120</v>
      </c>
      <c r="AW1028" s="48">
        <v>114</v>
      </c>
      <c r="AX1028" s="48">
        <v>28</v>
      </c>
      <c r="AY1028" s="48" t="s">
        <v>8728</v>
      </c>
      <c r="AZ1028" s="48" t="s">
        <v>1563</v>
      </c>
      <c r="BA1028" s="48">
        <v>32</v>
      </c>
      <c r="BB1028" s="47" t="s">
        <v>2485</v>
      </c>
      <c r="BC1028" s="47" t="s">
        <v>8726</v>
      </c>
      <c r="BD1028" s="47" t="s">
        <v>8374</v>
      </c>
      <c r="BE1028" s="48" t="s">
        <v>2449</v>
      </c>
      <c r="BF1028" s="48" t="s">
        <v>272</v>
      </c>
      <c r="BG1028" s="48" t="s">
        <v>272</v>
      </c>
      <c r="BH1028" s="48" t="s">
        <v>2486</v>
      </c>
      <c r="BI1028" s="98">
        <v>6.3999999999999997E-6</v>
      </c>
      <c r="BJ1028" s="98">
        <v>6.4000000000000001E-2</v>
      </c>
      <c r="BK1028" s="48"/>
      <c r="BL1028" s="98">
        <f t="shared" si="285"/>
        <v>1.659411135103148</v>
      </c>
      <c r="BM1028" s="47" t="s">
        <v>2487</v>
      </c>
      <c r="BN1028" s="48"/>
      <c r="BO1028" s="48"/>
      <c r="BP1028" s="48"/>
      <c r="BQ1028" s="48"/>
      <c r="BR1028" s="47" t="s">
        <v>2496</v>
      </c>
      <c r="BS1028" s="48"/>
      <c r="BT1028" s="48"/>
      <c r="BU1028" s="228"/>
      <c r="BV1028" s="48"/>
      <c r="BW1028" s="48"/>
      <c r="BX1028" s="48"/>
      <c r="BY1028" s="48"/>
      <c r="BZ1028" s="48"/>
      <c r="CA1028" s="48"/>
      <c r="CB1028" s="48"/>
      <c r="CC1028" s="48"/>
      <c r="CD1028" s="48"/>
      <c r="CE1028" s="48"/>
      <c r="CF1028" s="48"/>
      <c r="CG1028" s="48"/>
      <c r="CH1028" s="48"/>
      <c r="CI1028" s="98"/>
      <c r="CJ1028" s="98"/>
      <c r="CK1028" s="49">
        <f t="shared" si="281"/>
        <v>25.928298985986686</v>
      </c>
      <c r="CL1028" s="229"/>
      <c r="CM1028" s="229"/>
      <c r="CN1028" s="229"/>
      <c r="CO1028" s="47" t="s">
        <v>2488</v>
      </c>
      <c r="CP1028" s="47" t="s">
        <v>2489</v>
      </c>
      <c r="CQ1028" s="224" t="s">
        <v>272</v>
      </c>
      <c r="CR1028" s="224"/>
      <c r="CS1028" s="230" t="s">
        <v>539</v>
      </c>
      <c r="CT1028" s="230"/>
      <c r="CU1028" s="230"/>
      <c r="CV1028" s="335">
        <f t="shared" si="284"/>
        <v>1.5288649706457924</v>
      </c>
      <c r="CW1028" s="230">
        <f t="shared" si="290"/>
        <v>1</v>
      </c>
      <c r="CX1028" s="336"/>
      <c r="CY1028" s="230" t="s">
        <v>6351</v>
      </c>
    </row>
    <row r="1029" spans="1:103" ht="11.25" customHeight="1" x14ac:dyDescent="0.2">
      <c r="A1029" s="72">
        <v>1027</v>
      </c>
      <c r="B1029" s="224">
        <v>951</v>
      </c>
      <c r="C1029" s="46" t="s">
        <v>7199</v>
      </c>
      <c r="D1029" s="46"/>
      <c r="E1029" s="114"/>
      <c r="F1029" s="114" t="s">
        <v>2718</v>
      </c>
      <c r="G1029" s="225">
        <v>120718</v>
      </c>
      <c r="H1029" s="47" t="s">
        <v>2719</v>
      </c>
      <c r="I1029" s="47" t="s">
        <v>2719</v>
      </c>
      <c r="J1029" s="47" t="s">
        <v>2720</v>
      </c>
      <c r="K1029" s="47" t="s">
        <v>1573</v>
      </c>
      <c r="L1029" s="47"/>
      <c r="M1029" s="47"/>
      <c r="N1029" s="47"/>
      <c r="O1029" s="47"/>
      <c r="P1029" s="53"/>
      <c r="Q1029" s="53"/>
      <c r="R1029" s="53"/>
      <c r="S1029" s="53"/>
      <c r="T1029" s="48">
        <v>137.18</v>
      </c>
      <c r="U1029" s="98"/>
      <c r="V1029" s="98">
        <v>20.48403557369879</v>
      </c>
      <c r="W1029" s="98">
        <v>20.892961308540386</v>
      </c>
      <c r="X1029" s="98">
        <f>IF(W1029=0,V1029,W1029)</f>
        <v>20.892961308540386</v>
      </c>
      <c r="Y1029" s="233">
        <v>8.49</v>
      </c>
      <c r="Z1029" s="48">
        <v>1.7</v>
      </c>
      <c r="AA1029" s="48">
        <v>1.74</v>
      </c>
      <c r="AB1029" s="48">
        <v>1.6</v>
      </c>
      <c r="AC1029" s="48">
        <v>0.83540000000000003</v>
      </c>
      <c r="AD1029" s="48">
        <v>1.58</v>
      </c>
      <c r="AE1029" s="48">
        <v>1.55</v>
      </c>
      <c r="AF1029" s="48">
        <f t="shared" si="289"/>
        <v>1.74</v>
      </c>
      <c r="AG1029" s="49">
        <v>1.55</v>
      </c>
      <c r="AH1029" s="98">
        <v>1.24E-7</v>
      </c>
      <c r="AI1029" s="98"/>
      <c r="AJ1029" s="483">
        <f t="shared" si="288"/>
        <v>-5.2951446411504168</v>
      </c>
      <c r="AK1029" s="483"/>
      <c r="AL1029" s="483">
        <f t="shared" si="287"/>
        <v>-5.2951446411504168</v>
      </c>
      <c r="AM1029" s="483">
        <v>-7.4911399999999997</v>
      </c>
      <c r="AN1029" s="226">
        <v>-3.51</v>
      </c>
      <c r="AO1029" s="484"/>
      <c r="AP1029" s="484">
        <v>4.66</v>
      </c>
      <c r="AQ1029" s="48" t="s">
        <v>6311</v>
      </c>
      <c r="AR1029" s="48" t="s">
        <v>6311</v>
      </c>
      <c r="AS1029" s="227"/>
      <c r="AT1029" s="50" t="s">
        <v>266</v>
      </c>
      <c r="AU1029" s="48">
        <v>6</v>
      </c>
      <c r="AV1029" s="48">
        <v>120</v>
      </c>
      <c r="AW1029" s="48">
        <v>114</v>
      </c>
      <c r="AX1029" s="48">
        <v>28</v>
      </c>
      <c r="AY1029" s="48" t="s">
        <v>8728</v>
      </c>
      <c r="AZ1029" s="48" t="s">
        <v>1563</v>
      </c>
      <c r="BA1029" s="48">
        <v>32</v>
      </c>
      <c r="BB1029" s="47" t="s">
        <v>2485</v>
      </c>
      <c r="BC1029" s="47" t="s">
        <v>8726</v>
      </c>
      <c r="BD1029" s="47" t="s">
        <v>8374</v>
      </c>
      <c r="BE1029" s="48" t="s">
        <v>2449</v>
      </c>
      <c r="BF1029" s="48" t="s">
        <v>272</v>
      </c>
      <c r="BG1029" s="48" t="s">
        <v>272</v>
      </c>
      <c r="BH1029" s="48" t="s">
        <v>2486</v>
      </c>
      <c r="BI1029" s="98">
        <v>6.3999999999999997E-6</v>
      </c>
      <c r="BJ1029" s="98">
        <v>6.4000000000000001E-2</v>
      </c>
      <c r="BK1029" s="48"/>
      <c r="BL1029" s="98">
        <f t="shared" si="285"/>
        <v>1.5276715824077349</v>
      </c>
      <c r="BM1029" s="47" t="s">
        <v>2487</v>
      </c>
      <c r="BN1029" s="48"/>
      <c r="BO1029" s="48"/>
      <c r="BP1029" s="48"/>
      <c r="BQ1029" s="48"/>
      <c r="BR1029" s="47" t="s">
        <v>2496</v>
      </c>
      <c r="BS1029" s="48"/>
      <c r="BT1029" s="48"/>
      <c r="BU1029" s="228">
        <v>6.4000000000000005E-4</v>
      </c>
      <c r="BV1029" s="48"/>
      <c r="BW1029" s="48"/>
      <c r="BX1029" s="48"/>
      <c r="BY1029" s="48"/>
      <c r="BZ1029" s="48"/>
      <c r="CA1029" s="48"/>
      <c r="CB1029" s="48"/>
      <c r="CC1029" s="48"/>
      <c r="CD1029" s="48"/>
      <c r="CE1029" s="48"/>
      <c r="CF1029" s="48"/>
      <c r="CG1029" s="48"/>
      <c r="CH1029" s="48"/>
      <c r="CI1029" s="52" t="s">
        <v>6347</v>
      </c>
      <c r="CJ1029" s="98"/>
      <c r="CK1029" s="49">
        <f t="shared" si="281"/>
        <v>23.869868475120857</v>
      </c>
      <c r="CL1029" s="229"/>
      <c r="CM1029" s="229"/>
      <c r="CN1029" s="229"/>
      <c r="CO1029" s="47" t="s">
        <v>2488</v>
      </c>
      <c r="CP1029" s="47" t="s">
        <v>2489</v>
      </c>
      <c r="CQ1029" s="224" t="s">
        <v>272</v>
      </c>
      <c r="CR1029" s="224"/>
      <c r="CS1029" s="230" t="s">
        <v>539</v>
      </c>
      <c r="CT1029" s="230"/>
      <c r="CU1029" s="230"/>
      <c r="CV1029" s="335">
        <f t="shared" si="284"/>
        <v>326.45252044594355</v>
      </c>
      <c r="CW1029" s="230">
        <f t="shared" si="290"/>
        <v>1</v>
      </c>
      <c r="CX1029" s="336"/>
      <c r="CY1029" s="230" t="s">
        <v>6351</v>
      </c>
    </row>
    <row r="1030" spans="1:103" ht="11.25" customHeight="1" x14ac:dyDescent="0.2">
      <c r="A1030" s="72">
        <v>1028</v>
      </c>
      <c r="B1030" s="224">
        <v>1547</v>
      </c>
      <c r="C1030" s="46" t="s">
        <v>7200</v>
      </c>
      <c r="D1030" s="46"/>
      <c r="E1030" s="114"/>
      <c r="F1030" s="114" t="s">
        <v>4672</v>
      </c>
      <c r="G1030" s="225">
        <v>120809</v>
      </c>
      <c r="H1030" s="47" t="s">
        <v>4673</v>
      </c>
      <c r="I1030" s="47" t="s">
        <v>4673</v>
      </c>
      <c r="J1030" s="47" t="s">
        <v>4674</v>
      </c>
      <c r="K1030" s="47" t="s">
        <v>376</v>
      </c>
      <c r="L1030" s="47"/>
      <c r="M1030" s="47"/>
      <c r="N1030" s="47"/>
      <c r="O1030" s="47"/>
      <c r="P1030" s="53"/>
      <c r="Q1030" s="53" t="s">
        <v>6173</v>
      </c>
      <c r="R1030" s="53" t="s">
        <v>6185</v>
      </c>
      <c r="S1030" s="53" t="s">
        <v>6176</v>
      </c>
      <c r="T1030" s="48">
        <v>110.11</v>
      </c>
      <c r="U1030" s="98">
        <v>4186.7223685405506</v>
      </c>
      <c r="V1030" s="98">
        <v>665.06221051675595</v>
      </c>
      <c r="W1030" s="98">
        <v>1380.384264602885</v>
      </c>
      <c r="X1030" s="98">
        <v>4186.7223685405506</v>
      </c>
      <c r="Y1030" s="233">
        <v>4.68</v>
      </c>
      <c r="Z1030" s="48">
        <v>1.03</v>
      </c>
      <c r="AA1030" s="48">
        <v>0.88</v>
      </c>
      <c r="AB1030" s="48">
        <v>1.1100000000000001</v>
      </c>
      <c r="AC1030" s="48">
        <v>0.78569999999999995</v>
      </c>
      <c r="AD1030" s="48">
        <v>1.03</v>
      </c>
      <c r="AE1030" s="48">
        <v>0.88</v>
      </c>
      <c r="AF1030" s="48">
        <f t="shared" si="289"/>
        <v>0.88</v>
      </c>
      <c r="AG1030" s="49">
        <v>1.1200000000000001</v>
      </c>
      <c r="AH1030" s="98">
        <v>5.8299999999999995E-11</v>
      </c>
      <c r="AI1030" s="98">
        <v>1.2E-9</v>
      </c>
      <c r="AJ1030" s="483">
        <f t="shared" si="288"/>
        <v>-8.622897771553637</v>
      </c>
      <c r="AK1030" s="483">
        <f>LOG10(AI1030*1000/(0.08206*298.15))</f>
        <v>-7.3093850802650273</v>
      </c>
      <c r="AL1030" s="483">
        <f t="shared" si="287"/>
        <v>-7.3093850802650273</v>
      </c>
      <c r="AM1030" s="483">
        <v>-8.9761600000000001</v>
      </c>
      <c r="AN1030" s="226">
        <v>-6.69</v>
      </c>
      <c r="AO1030" s="484">
        <v>9.5</v>
      </c>
      <c r="AP1030" s="484"/>
      <c r="AQ1030" s="48" t="s">
        <v>6311</v>
      </c>
      <c r="AR1030" s="48" t="s">
        <v>6311</v>
      </c>
      <c r="AS1030" s="227"/>
      <c r="AT1030" s="50" t="s">
        <v>266</v>
      </c>
      <c r="AU1030" s="48">
        <v>6</v>
      </c>
      <c r="AV1030" s="48">
        <v>120</v>
      </c>
      <c r="AW1030" s="48">
        <v>114</v>
      </c>
      <c r="AX1030" s="48">
        <v>28</v>
      </c>
      <c r="AY1030" s="48" t="s">
        <v>8728</v>
      </c>
      <c r="AZ1030" s="48" t="s">
        <v>1563</v>
      </c>
      <c r="BA1030" s="48">
        <v>32</v>
      </c>
      <c r="BB1030" s="47" t="s">
        <v>2485</v>
      </c>
      <c r="BC1030" s="47" t="s">
        <v>8726</v>
      </c>
      <c r="BD1030" s="47" t="s">
        <v>8374</v>
      </c>
      <c r="BE1030" s="48" t="s">
        <v>2449</v>
      </c>
      <c r="BF1030" s="48" t="s">
        <v>272</v>
      </c>
      <c r="BG1030" s="48" t="s">
        <v>272</v>
      </c>
      <c r="BH1030" s="48" t="s">
        <v>2486</v>
      </c>
      <c r="BI1030" s="98">
        <v>6.3999999999999997E-6</v>
      </c>
      <c r="BJ1030" s="98">
        <v>6.4000000000000001E-2</v>
      </c>
      <c r="BK1030" s="48"/>
      <c r="BL1030" s="98">
        <f t="shared" si="285"/>
        <v>6.1060028124427888</v>
      </c>
      <c r="BM1030" s="47" t="s">
        <v>2487</v>
      </c>
      <c r="BN1030" s="48"/>
      <c r="BO1030" s="48"/>
      <c r="BP1030" s="48"/>
      <c r="BQ1030" s="48"/>
      <c r="BR1030" s="47" t="s">
        <v>2496</v>
      </c>
      <c r="BS1030" s="48"/>
      <c r="BT1030" s="48"/>
      <c r="BU1030" s="228"/>
      <c r="BV1030" s="48"/>
      <c r="BW1030" s="48"/>
      <c r="BX1030" s="48"/>
      <c r="BY1030" s="48"/>
      <c r="BZ1030" s="48"/>
      <c r="CA1030" s="48"/>
      <c r="CB1030" s="48"/>
      <c r="CC1030" s="48"/>
      <c r="CD1030" s="48"/>
      <c r="CE1030" s="48"/>
      <c r="CF1030" s="48"/>
      <c r="CG1030" s="48"/>
      <c r="CH1030" s="48"/>
      <c r="CI1030" s="98"/>
      <c r="CJ1030" s="98"/>
      <c r="CK1030" s="49">
        <f t="shared" ref="CK1030:CK1093" si="291">BL1030/BJ1030</f>
        <v>95.406293944418579</v>
      </c>
      <c r="CL1030" s="229"/>
      <c r="CM1030" s="229"/>
      <c r="CN1030" s="229"/>
      <c r="CO1030" s="47" t="s">
        <v>2488</v>
      </c>
      <c r="CP1030" s="47" t="s">
        <v>2489</v>
      </c>
      <c r="CQ1030" s="224">
        <v>-1.223375587749864</v>
      </c>
      <c r="CR1030" s="224">
        <f>10^(CJ1030-CQ1030)</f>
        <v>16.725364365977658</v>
      </c>
      <c r="CS1030" s="230" t="s">
        <v>539</v>
      </c>
      <c r="CT1030" s="230"/>
      <c r="CU1030" s="230"/>
      <c r="CV1030" s="335">
        <f t="shared" si="284"/>
        <v>65417.537008446103</v>
      </c>
      <c r="CW1030" s="230">
        <f t="shared" si="290"/>
        <v>1</v>
      </c>
      <c r="CX1030" s="336"/>
      <c r="CY1030" s="230" t="s">
        <v>6351</v>
      </c>
    </row>
    <row r="1031" spans="1:103" ht="11.25" customHeight="1" x14ac:dyDescent="0.2">
      <c r="A1031" s="72">
        <v>1029</v>
      </c>
      <c r="B1031" s="224">
        <v>1368</v>
      </c>
      <c r="C1031" s="46" t="s">
        <v>7201</v>
      </c>
      <c r="D1031" s="46"/>
      <c r="E1031" s="114"/>
      <c r="F1031" s="114" t="s">
        <v>1831</v>
      </c>
      <c r="G1031" s="225">
        <v>120821</v>
      </c>
      <c r="H1031" s="47" t="s">
        <v>1832</v>
      </c>
      <c r="I1031" s="47" t="s">
        <v>8038</v>
      </c>
      <c r="J1031" s="47" t="s">
        <v>1833</v>
      </c>
      <c r="K1031" s="47" t="s">
        <v>426</v>
      </c>
      <c r="L1031" s="47" t="s">
        <v>5527</v>
      </c>
      <c r="M1031" s="47" t="s">
        <v>866</v>
      </c>
      <c r="N1031" s="47"/>
      <c r="O1031" s="47" t="s">
        <v>6086</v>
      </c>
      <c r="P1031" s="53" t="s">
        <v>6183</v>
      </c>
      <c r="Q1031" s="53" t="s">
        <v>6176</v>
      </c>
      <c r="R1031" s="53" t="s">
        <v>6185</v>
      </c>
      <c r="S1031" s="53" t="s">
        <v>6176</v>
      </c>
      <c r="T1031" s="48">
        <v>181.45</v>
      </c>
      <c r="U1031" s="98">
        <v>0.27004684486084324</v>
      </c>
      <c r="V1031" s="98">
        <v>0.11016809038302562</v>
      </c>
      <c r="W1031" s="98">
        <v>3.0199517204020178E-2</v>
      </c>
      <c r="X1031" s="98">
        <v>0.27004684486084324</v>
      </c>
      <c r="Y1031" s="233">
        <v>7</v>
      </c>
      <c r="Z1031" s="48">
        <v>3.93</v>
      </c>
      <c r="AA1031" s="48">
        <v>4.0199999999999996</v>
      </c>
      <c r="AB1031" s="48">
        <v>3.92</v>
      </c>
      <c r="AC1031" s="48">
        <v>0.89549999999999996</v>
      </c>
      <c r="AD1031" s="48">
        <v>3.9</v>
      </c>
      <c r="AE1031" s="48">
        <v>3.82</v>
      </c>
      <c r="AF1031" s="48">
        <f t="shared" si="289"/>
        <v>4.0199999999999996</v>
      </c>
      <c r="AG1031" s="49">
        <v>3.84</v>
      </c>
      <c r="AH1031" s="98">
        <v>2.1900000000000001E-3</v>
      </c>
      <c r="AI1031" s="98">
        <v>1.42E-3</v>
      </c>
      <c r="AJ1031" s="483">
        <f t="shared" si="288"/>
        <v>-1.0481222114725335</v>
      </c>
      <c r="AK1031" s="483">
        <f>LOG10(AI1031*1000/(0.08206*298.15))</f>
        <v>-1.2362779819295953</v>
      </c>
      <c r="AL1031" s="483">
        <f t="shared" si="287"/>
        <v>-1.2362779819295953</v>
      </c>
      <c r="AM1031" s="483">
        <v>-3.28653</v>
      </c>
      <c r="AN1031" s="226">
        <v>-1.17</v>
      </c>
      <c r="AO1031" s="484"/>
      <c r="AP1031" s="484"/>
      <c r="AQ1031" s="48" t="s">
        <v>6311</v>
      </c>
      <c r="AR1031" s="48" t="s">
        <v>6311</v>
      </c>
      <c r="AS1031" s="227"/>
      <c r="AT1031" s="50" t="s">
        <v>266</v>
      </c>
      <c r="AU1031" s="48">
        <v>6</v>
      </c>
      <c r="AV1031" s="48">
        <v>120</v>
      </c>
      <c r="AW1031" s="48">
        <v>114</v>
      </c>
      <c r="AX1031" s="48">
        <v>28</v>
      </c>
      <c r="AY1031" s="48" t="s">
        <v>8728</v>
      </c>
      <c r="AZ1031" s="48" t="s">
        <v>1563</v>
      </c>
      <c r="BA1031" s="48">
        <v>32</v>
      </c>
      <c r="BB1031" s="47" t="s">
        <v>2485</v>
      </c>
      <c r="BC1031" s="47" t="s">
        <v>8726</v>
      </c>
      <c r="BD1031" s="47" t="s">
        <v>8374</v>
      </c>
      <c r="BE1031" s="48" t="s">
        <v>2449</v>
      </c>
      <c r="BF1031" s="48" t="s">
        <v>272</v>
      </c>
      <c r="BG1031" s="48" t="s">
        <v>272</v>
      </c>
      <c r="BH1031" s="48" t="s">
        <v>2486</v>
      </c>
      <c r="BI1031" s="98">
        <v>6.3999999999999997E-6</v>
      </c>
      <c r="BJ1031" s="98">
        <v>6.4000000000000001E-2</v>
      </c>
      <c r="BK1031" s="48"/>
      <c r="BL1031" s="98">
        <f t="shared" si="285"/>
        <v>1.5179833219444985E-2</v>
      </c>
      <c r="BM1031" s="47" t="s">
        <v>2487</v>
      </c>
      <c r="BN1031" s="48"/>
      <c r="BO1031" s="48"/>
      <c r="BP1031" s="48"/>
      <c r="BQ1031" s="48"/>
      <c r="BR1031" s="47" t="s">
        <v>2496</v>
      </c>
      <c r="BS1031" s="48"/>
      <c r="BT1031" s="48"/>
      <c r="BU1031" s="228"/>
      <c r="BV1031" s="48"/>
      <c r="BW1031" s="48"/>
      <c r="BX1031" s="48"/>
      <c r="BY1031" s="48"/>
      <c r="BZ1031" s="48"/>
      <c r="CA1031" s="48"/>
      <c r="CB1031" s="48"/>
      <c r="CC1031" s="48"/>
      <c r="CD1031" s="48"/>
      <c r="CE1031" s="48"/>
      <c r="CF1031" s="48"/>
      <c r="CG1031" s="48"/>
      <c r="CH1031" s="48"/>
      <c r="CI1031" s="98"/>
      <c r="CJ1031" s="98"/>
      <c r="CK1031" s="49">
        <f t="shared" si="291"/>
        <v>0.23718489405382789</v>
      </c>
      <c r="CL1031" s="229"/>
      <c r="CM1031" s="229"/>
      <c r="CN1031" s="229"/>
      <c r="CO1031" s="47" t="s">
        <v>2488</v>
      </c>
      <c r="CP1031" s="47" t="s">
        <v>2489</v>
      </c>
      <c r="CQ1031" s="224">
        <v>-1.8106733618490609</v>
      </c>
      <c r="CR1031" s="224">
        <f>10^(CJ1031-CQ1031)</f>
        <v>64.665607492237413</v>
      </c>
      <c r="CS1031" s="230" t="s">
        <v>539</v>
      </c>
      <c r="CT1031" s="230"/>
      <c r="CU1031" s="230"/>
      <c r="CV1031" s="335">
        <f t="shared" si="284"/>
        <v>4.2194819509506756</v>
      </c>
      <c r="CW1031" s="230">
        <f t="shared" si="290"/>
        <v>1</v>
      </c>
      <c r="CX1031" s="336"/>
      <c r="CY1031" s="230" t="s">
        <v>6351</v>
      </c>
    </row>
    <row r="1032" spans="1:103" ht="11.25" customHeight="1" x14ac:dyDescent="0.2">
      <c r="A1032" s="72">
        <v>1030</v>
      </c>
      <c r="B1032" s="224">
        <v>938</v>
      </c>
      <c r="C1032" s="46" t="s">
        <v>7202</v>
      </c>
      <c r="D1032" s="46"/>
      <c r="E1032" s="114"/>
      <c r="F1032" s="114" t="s">
        <v>2297</v>
      </c>
      <c r="G1032" s="225">
        <v>120832</v>
      </c>
      <c r="H1032" s="47" t="s">
        <v>2298</v>
      </c>
      <c r="I1032" s="47" t="s">
        <v>8039</v>
      </c>
      <c r="J1032" s="47" t="s">
        <v>2299</v>
      </c>
      <c r="K1032" s="47" t="s">
        <v>349</v>
      </c>
      <c r="L1032" s="47" t="s">
        <v>5527</v>
      </c>
      <c r="M1032" s="47" t="s">
        <v>6109</v>
      </c>
      <c r="N1032" s="47"/>
      <c r="O1032" s="47" t="s">
        <v>6086</v>
      </c>
      <c r="P1032" s="53" t="s">
        <v>6184</v>
      </c>
      <c r="Q1032" s="53" t="s">
        <v>6176</v>
      </c>
      <c r="R1032" s="53" t="s">
        <v>6185</v>
      </c>
      <c r="S1032" s="53" t="s">
        <v>6176</v>
      </c>
      <c r="T1032" s="48">
        <v>163</v>
      </c>
      <c r="U1032" s="98">
        <v>27.607361963190183</v>
      </c>
      <c r="V1032" s="98">
        <v>3.7680981595092029</v>
      </c>
      <c r="W1032" s="98">
        <v>3.0199517204020134</v>
      </c>
      <c r="X1032" s="98">
        <v>27.607361963190183</v>
      </c>
      <c r="Y1032" s="233">
        <v>5.28</v>
      </c>
      <c r="Z1032" s="48">
        <v>2.8</v>
      </c>
      <c r="AA1032" s="48">
        <v>3.06</v>
      </c>
      <c r="AB1032" s="48">
        <v>3.2</v>
      </c>
      <c r="AC1032" s="48">
        <v>0.86060000000000003</v>
      </c>
      <c r="AD1032" s="48">
        <v>3.14</v>
      </c>
      <c r="AE1032" s="48">
        <v>2.99</v>
      </c>
      <c r="AF1032" s="48">
        <f t="shared" si="289"/>
        <v>3.06</v>
      </c>
      <c r="AG1032" s="49">
        <v>2.82</v>
      </c>
      <c r="AH1032" s="98">
        <v>3.0800000000000001E-7</v>
      </c>
      <c r="AI1032" s="98">
        <v>4.2899999999999996E-6</v>
      </c>
      <c r="AJ1032" s="483">
        <f t="shared" si="288"/>
        <v>-4.9000156098122076</v>
      </c>
      <c r="AK1032" s="483">
        <f>LOG10(AI1032*1000/(0.08206*298.15))</f>
        <v>-3.7561090341279275</v>
      </c>
      <c r="AL1032" s="483">
        <f t="shared" si="287"/>
        <v>-3.7561090341279275</v>
      </c>
      <c r="AM1032" s="483">
        <v>-6.1948599999999994</v>
      </c>
      <c r="AN1032" s="226">
        <v>-3.21</v>
      </c>
      <c r="AO1032" s="484">
        <v>8.0500000000000007</v>
      </c>
      <c r="AP1032" s="484"/>
      <c r="AQ1032" s="48" t="s">
        <v>6311</v>
      </c>
      <c r="AR1032" s="48" t="s">
        <v>6311</v>
      </c>
      <c r="AS1032" s="227"/>
      <c r="AT1032" s="50" t="s">
        <v>266</v>
      </c>
      <c r="AU1032" s="48">
        <v>6</v>
      </c>
      <c r="AV1032" s="48">
        <v>120</v>
      </c>
      <c r="AW1032" s="48">
        <v>114</v>
      </c>
      <c r="AX1032" s="48">
        <v>28</v>
      </c>
      <c r="AY1032" s="48" t="s">
        <v>8728</v>
      </c>
      <c r="AZ1032" s="48" t="s">
        <v>1563</v>
      </c>
      <c r="BA1032" s="48">
        <v>32</v>
      </c>
      <c r="BB1032" s="47" t="s">
        <v>2485</v>
      </c>
      <c r="BC1032" s="47" t="s">
        <v>8726</v>
      </c>
      <c r="BD1032" s="47" t="s">
        <v>8374</v>
      </c>
      <c r="BE1032" s="48" t="s">
        <v>2449</v>
      </c>
      <c r="BF1032" s="48" t="s">
        <v>272</v>
      </c>
      <c r="BG1032" s="48" t="s">
        <v>272</v>
      </c>
      <c r="BH1032" s="48" t="s">
        <v>2486</v>
      </c>
      <c r="BI1032" s="98">
        <v>6.3999999999999997E-6</v>
      </c>
      <c r="BJ1032" s="98">
        <v>6.4000000000000001E-2</v>
      </c>
      <c r="BK1032" s="48"/>
      <c r="BL1032" s="98">
        <f t="shared" si="285"/>
        <v>0.15707967715636428</v>
      </c>
      <c r="BM1032" s="47" t="s">
        <v>2487</v>
      </c>
      <c r="BN1032" s="48"/>
      <c r="BO1032" s="48"/>
      <c r="BP1032" s="48"/>
      <c r="BQ1032" s="48"/>
      <c r="BR1032" s="47" t="s">
        <v>2496</v>
      </c>
      <c r="BS1032" s="48"/>
      <c r="BT1032" s="48"/>
      <c r="BU1032" s="228">
        <v>6.3999999999999997E-6</v>
      </c>
      <c r="BV1032" s="48"/>
      <c r="BW1032" s="48"/>
      <c r="BX1032" s="48"/>
      <c r="BY1032" s="48"/>
      <c r="BZ1032" s="48"/>
      <c r="CA1032" s="48"/>
      <c r="CB1032" s="48"/>
      <c r="CC1032" s="48"/>
      <c r="CD1032" s="48"/>
      <c r="CE1032" s="48"/>
      <c r="CF1032" s="48"/>
      <c r="CG1032" s="48"/>
      <c r="CH1032" s="48"/>
      <c r="CI1032" s="98"/>
      <c r="CJ1032" s="98"/>
      <c r="CK1032" s="49">
        <f t="shared" si="291"/>
        <v>2.4543699555681919</v>
      </c>
      <c r="CL1032" s="229"/>
      <c r="CM1032" s="229"/>
      <c r="CN1032" s="229"/>
      <c r="CO1032" s="47" t="s">
        <v>2488</v>
      </c>
      <c r="CP1032" s="47" t="s">
        <v>2489</v>
      </c>
      <c r="CQ1032" s="224">
        <v>-1.5836947635578571</v>
      </c>
      <c r="CR1032" s="224">
        <f>10^(CJ1032-CQ1032)</f>
        <v>38.343765817178472</v>
      </c>
      <c r="CS1032" s="230" t="s">
        <v>539</v>
      </c>
      <c r="CT1032" s="230"/>
      <c r="CU1032" s="230"/>
      <c r="CV1032" s="335">
        <f t="shared" si="284"/>
        <v>431.36503067484659</v>
      </c>
      <c r="CW1032" s="230">
        <f t="shared" si="290"/>
        <v>1</v>
      </c>
      <c r="CX1032" s="336"/>
      <c r="CY1032" s="230" t="s">
        <v>6351</v>
      </c>
    </row>
    <row r="1033" spans="1:103" ht="11.25" customHeight="1" x14ac:dyDescent="0.2">
      <c r="A1033" s="72">
        <v>1031</v>
      </c>
      <c r="B1033" s="224">
        <v>1405</v>
      </c>
      <c r="C1033" s="46" t="s">
        <v>7203</v>
      </c>
      <c r="D1033" s="46"/>
      <c r="E1033" s="114"/>
      <c r="F1033" s="114" t="s">
        <v>4325</v>
      </c>
      <c r="G1033" s="225">
        <v>121006</v>
      </c>
      <c r="H1033" s="47" t="s">
        <v>4326</v>
      </c>
      <c r="I1033" s="47" t="s">
        <v>4326</v>
      </c>
      <c r="J1033" s="47" t="s">
        <v>4327</v>
      </c>
      <c r="K1033" s="47" t="s">
        <v>349</v>
      </c>
      <c r="L1033" s="47"/>
      <c r="M1033" s="47"/>
      <c r="N1033" s="47"/>
      <c r="O1033" s="47"/>
      <c r="P1033" s="53"/>
      <c r="Q1033" s="53"/>
      <c r="R1033" s="53"/>
      <c r="S1033" s="53"/>
      <c r="T1033" s="48">
        <v>180.24</v>
      </c>
      <c r="U1033" s="98"/>
      <c r="V1033" s="98">
        <v>1.1806480248557478</v>
      </c>
      <c r="W1033" s="98">
        <v>4.2657951880159253</v>
      </c>
      <c r="X1033" s="98">
        <f>IF(W1033=0,V1033,W1033)</f>
        <v>4.2657951880159253</v>
      </c>
      <c r="Y1033" s="233">
        <v>6.89</v>
      </c>
      <c r="Z1033" s="48">
        <v>3.5</v>
      </c>
      <c r="AA1033" s="48"/>
      <c r="AB1033" s="48">
        <v>3.2</v>
      </c>
      <c r="AC1033" s="48">
        <v>0.82240000000000002</v>
      </c>
      <c r="AD1033" s="48">
        <v>3.14</v>
      </c>
      <c r="AE1033" s="48">
        <v>3</v>
      </c>
      <c r="AF1033" s="48">
        <f t="shared" si="289"/>
        <v>3.14</v>
      </c>
      <c r="AG1033" s="49">
        <v>3.09</v>
      </c>
      <c r="AH1033" s="98">
        <v>8.5599999999999999E-8</v>
      </c>
      <c r="AI1033" s="98"/>
      <c r="AJ1033" s="483">
        <f t="shared" si="288"/>
        <v>-5.4560925616354989</v>
      </c>
      <c r="AK1033" s="483"/>
      <c r="AL1033" s="483">
        <f t="shared" si="287"/>
        <v>-5.4560925616354989</v>
      </c>
      <c r="AM1033" s="483">
        <v>-8.3045200000000001</v>
      </c>
      <c r="AN1033" s="226">
        <v>-5.08</v>
      </c>
      <c r="AO1033" s="484">
        <v>11.83</v>
      </c>
      <c r="AP1033" s="484"/>
      <c r="AQ1033" s="48" t="s">
        <v>6311</v>
      </c>
      <c r="AR1033" s="48" t="s">
        <v>6311</v>
      </c>
      <c r="AS1033" s="227"/>
      <c r="AT1033" s="50" t="s">
        <v>266</v>
      </c>
      <c r="AU1033" s="48">
        <v>6</v>
      </c>
      <c r="AV1033" s="48">
        <v>120</v>
      </c>
      <c r="AW1033" s="48">
        <v>114</v>
      </c>
      <c r="AX1033" s="48">
        <v>28</v>
      </c>
      <c r="AY1033" s="48" t="s">
        <v>8728</v>
      </c>
      <c r="AZ1033" s="48" t="s">
        <v>1563</v>
      </c>
      <c r="BA1033" s="48">
        <v>32</v>
      </c>
      <c r="BB1033" s="47" t="s">
        <v>2485</v>
      </c>
      <c r="BC1033" s="47" t="s">
        <v>8726</v>
      </c>
      <c r="BD1033" s="47" t="s">
        <v>8374</v>
      </c>
      <c r="BE1033" s="48" t="s">
        <v>2449</v>
      </c>
      <c r="BF1033" s="48" t="s">
        <v>272</v>
      </c>
      <c r="BG1033" s="48" t="s">
        <v>272</v>
      </c>
      <c r="BH1033" s="48" t="s">
        <v>2486</v>
      </c>
      <c r="BI1033" s="98">
        <v>6.3999999999999997E-6</v>
      </c>
      <c r="BJ1033" s="98">
        <v>6.4000000000000001E-2</v>
      </c>
      <c r="BK1033" s="48"/>
      <c r="BL1033" s="98">
        <f t="shared" si="285"/>
        <v>3.6936011775524802E-2</v>
      </c>
      <c r="BM1033" s="47" t="s">
        <v>2487</v>
      </c>
      <c r="BN1033" s="48"/>
      <c r="BO1033" s="48"/>
      <c r="BP1033" s="48"/>
      <c r="BQ1033" s="48"/>
      <c r="BR1033" s="47" t="s">
        <v>2496</v>
      </c>
      <c r="BS1033" s="48"/>
      <c r="BT1033" s="48"/>
      <c r="BU1033" s="228"/>
      <c r="BV1033" s="48"/>
      <c r="BW1033" s="48"/>
      <c r="BX1033" s="48"/>
      <c r="BY1033" s="48"/>
      <c r="BZ1033" s="48"/>
      <c r="CA1033" s="48"/>
      <c r="CB1033" s="48"/>
      <c r="CC1033" s="48"/>
      <c r="CD1033" s="48"/>
      <c r="CE1033" s="48"/>
      <c r="CF1033" s="48"/>
      <c r="CG1033" s="48"/>
      <c r="CH1033" s="48"/>
      <c r="CI1033" s="98"/>
      <c r="CJ1033" s="98"/>
      <c r="CK1033" s="49">
        <f t="shared" si="291"/>
        <v>0.57712518399257506</v>
      </c>
      <c r="CL1033" s="229"/>
      <c r="CM1033" s="229"/>
      <c r="CN1033" s="229"/>
      <c r="CO1033" s="47" t="s">
        <v>2488</v>
      </c>
      <c r="CP1033" s="47" t="s">
        <v>2489</v>
      </c>
      <c r="CQ1033" s="224" t="s">
        <v>272</v>
      </c>
      <c r="CR1033" s="224"/>
      <c r="CS1033" s="230" t="s">
        <v>539</v>
      </c>
      <c r="CT1033" s="230"/>
      <c r="CU1033" s="230"/>
      <c r="CV1033" s="335">
        <f t="shared" si="284"/>
        <v>66.653049812748833</v>
      </c>
      <c r="CW1033" s="230">
        <f t="shared" si="290"/>
        <v>1</v>
      </c>
      <c r="CX1033" s="336"/>
      <c r="CY1033" s="230" t="s">
        <v>5921</v>
      </c>
    </row>
    <row r="1034" spans="1:103" ht="11.25" customHeight="1" x14ac:dyDescent="0.2">
      <c r="A1034" s="72">
        <v>1032</v>
      </c>
      <c r="B1034" s="224">
        <v>1416</v>
      </c>
      <c r="C1034" s="46" t="s">
        <v>7204</v>
      </c>
      <c r="D1034" s="46"/>
      <c r="E1034" s="114"/>
      <c r="F1034" s="114" t="s">
        <v>4355</v>
      </c>
      <c r="G1034" s="225">
        <v>121142</v>
      </c>
      <c r="H1034" s="47" t="s">
        <v>4356</v>
      </c>
      <c r="I1034" s="47" t="s">
        <v>4356</v>
      </c>
      <c r="J1034" s="47" t="s">
        <v>4357</v>
      </c>
      <c r="K1034" s="47" t="s">
        <v>1011</v>
      </c>
      <c r="L1034" s="47"/>
      <c r="M1034" s="47"/>
      <c r="N1034" s="47"/>
      <c r="O1034" s="47"/>
      <c r="P1034" s="53"/>
      <c r="Q1034" s="53" t="s">
        <v>6176</v>
      </c>
      <c r="R1034" s="53" t="s">
        <v>6175</v>
      </c>
      <c r="S1034" s="53" t="s">
        <v>6176</v>
      </c>
      <c r="T1034" s="48">
        <v>182.13</v>
      </c>
      <c r="U1034" s="98">
        <v>1.0981167298083787</v>
      </c>
      <c r="V1034" s="98">
        <v>2.4498984242024928</v>
      </c>
      <c r="W1034" s="98">
        <v>0.53703179637025245</v>
      </c>
      <c r="X1034" s="98">
        <v>1.0981167298083787</v>
      </c>
      <c r="Y1034" s="233">
        <v>7</v>
      </c>
      <c r="Z1034" s="48">
        <v>2.1800000000000002</v>
      </c>
      <c r="AA1034" s="48">
        <v>1.98</v>
      </c>
      <c r="AB1034" s="48">
        <v>2.11</v>
      </c>
      <c r="AC1034" s="48">
        <v>0.92930000000000001</v>
      </c>
      <c r="AD1034" s="48">
        <v>2.1</v>
      </c>
      <c r="AE1034" s="48">
        <v>2.08</v>
      </c>
      <c r="AF1034" s="48">
        <f t="shared" si="289"/>
        <v>1.98</v>
      </c>
      <c r="AG1034" s="49">
        <v>1.5</v>
      </c>
      <c r="AH1034" s="98">
        <v>9.2599999999999995E-8</v>
      </c>
      <c r="AI1034" s="98">
        <v>5.4E-8</v>
      </c>
      <c r="AJ1034" s="483">
        <f t="shared" si="288"/>
        <v>-5.4219553396307179</v>
      </c>
      <c r="AK1034" s="483">
        <f>LOG10(AI1034*1000/(0.08206*298.15))</f>
        <v>-5.6561725664896834</v>
      </c>
      <c r="AL1034" s="483">
        <f t="shared" si="287"/>
        <v>-5.6561725664896834</v>
      </c>
      <c r="AM1034" s="483">
        <v>-7.3581599999999998</v>
      </c>
      <c r="AN1034" s="226">
        <v>-4.99</v>
      </c>
      <c r="AO1034" s="484"/>
      <c r="AP1034" s="484"/>
      <c r="AQ1034" s="48" t="s">
        <v>6311</v>
      </c>
      <c r="AR1034" s="48" t="s">
        <v>6311</v>
      </c>
      <c r="AS1034" s="227"/>
      <c r="AT1034" s="50" t="s">
        <v>266</v>
      </c>
      <c r="AU1034" s="48">
        <v>6</v>
      </c>
      <c r="AV1034" s="48">
        <v>120</v>
      </c>
      <c r="AW1034" s="48">
        <v>114</v>
      </c>
      <c r="AX1034" s="48">
        <v>28</v>
      </c>
      <c r="AY1034" s="48" t="s">
        <v>8728</v>
      </c>
      <c r="AZ1034" s="48" t="s">
        <v>1563</v>
      </c>
      <c r="BA1034" s="48">
        <v>32</v>
      </c>
      <c r="BB1034" s="47" t="s">
        <v>2485</v>
      </c>
      <c r="BC1034" s="47" t="s">
        <v>8726</v>
      </c>
      <c r="BD1034" s="47" t="s">
        <v>8374</v>
      </c>
      <c r="BE1034" s="48" t="s">
        <v>2449</v>
      </c>
      <c r="BF1034" s="48" t="s">
        <v>272</v>
      </c>
      <c r="BG1034" s="48" t="s">
        <v>272</v>
      </c>
      <c r="BH1034" s="48" t="s">
        <v>2486</v>
      </c>
      <c r="BI1034" s="98">
        <v>6.3999999999999997E-6</v>
      </c>
      <c r="BJ1034" s="98">
        <v>6.4000000000000001E-2</v>
      </c>
      <c r="BK1034" s="48"/>
      <c r="BL1034" s="98">
        <f t="shared" si="285"/>
        <v>0.56616367286716462</v>
      </c>
      <c r="BM1034" s="47" t="s">
        <v>2487</v>
      </c>
      <c r="BN1034" s="48"/>
      <c r="BO1034" s="48"/>
      <c r="BP1034" s="48"/>
      <c r="BQ1034" s="48"/>
      <c r="BR1034" s="47" t="s">
        <v>2496</v>
      </c>
      <c r="BS1034" s="48"/>
      <c r="BT1034" s="48"/>
      <c r="BU1034" s="228"/>
      <c r="BV1034" s="48"/>
      <c r="BW1034" s="48"/>
      <c r="BX1034" s="48"/>
      <c r="BY1034" s="48"/>
      <c r="BZ1034" s="48"/>
      <c r="CA1034" s="48"/>
      <c r="CB1034" s="48"/>
      <c r="CC1034" s="48"/>
      <c r="CD1034" s="48"/>
      <c r="CE1034" s="48"/>
      <c r="CF1034" s="48"/>
      <c r="CG1034" s="48"/>
      <c r="CH1034" s="48"/>
      <c r="CI1034" s="98"/>
      <c r="CJ1034" s="98"/>
      <c r="CK1034" s="49">
        <f t="shared" si="291"/>
        <v>8.8463073885494463</v>
      </c>
      <c r="CL1034" s="229"/>
      <c r="CM1034" s="229"/>
      <c r="CN1034" s="229"/>
      <c r="CO1034" s="47" t="s">
        <v>2488</v>
      </c>
      <c r="CP1034" s="47" t="s">
        <v>2489</v>
      </c>
      <c r="CQ1034" s="224">
        <v>-0.86944638048923217</v>
      </c>
      <c r="CR1034" s="224">
        <f>10^(CJ1034-CQ1034)</f>
        <v>7.4036585365853673</v>
      </c>
      <c r="CS1034" s="230" t="s">
        <v>539</v>
      </c>
      <c r="CT1034" s="230"/>
      <c r="CU1034" s="230"/>
      <c r="CV1034" s="335">
        <f t="shared" si="284"/>
        <v>17.158073903255918</v>
      </c>
      <c r="CW1034" s="230">
        <f t="shared" si="290"/>
        <v>1</v>
      </c>
      <c r="CX1034" s="336"/>
      <c r="CY1034" s="230" t="s">
        <v>5921</v>
      </c>
    </row>
    <row r="1035" spans="1:103" ht="11.25" customHeight="1" x14ac:dyDescent="0.2">
      <c r="A1035" s="72">
        <v>1033</v>
      </c>
      <c r="B1035" s="224">
        <v>1459</v>
      </c>
      <c r="C1035" s="46" t="s">
        <v>7205</v>
      </c>
      <c r="D1035" s="46"/>
      <c r="E1035" s="114"/>
      <c r="F1035" s="114" t="s">
        <v>4486</v>
      </c>
      <c r="G1035" s="225">
        <v>121335</v>
      </c>
      <c r="H1035" s="47" t="s">
        <v>4487</v>
      </c>
      <c r="I1035" s="47" t="s">
        <v>4487</v>
      </c>
      <c r="J1035" s="47" t="s">
        <v>4488</v>
      </c>
      <c r="K1035" s="47" t="s">
        <v>4489</v>
      </c>
      <c r="L1035" s="47"/>
      <c r="M1035" s="47"/>
      <c r="N1035" s="47"/>
      <c r="O1035" s="47"/>
      <c r="P1035" s="53" t="s">
        <v>6172</v>
      </c>
      <c r="Q1035" s="53" t="s">
        <v>6173</v>
      </c>
      <c r="R1035" s="53" t="s">
        <v>6185</v>
      </c>
      <c r="S1035" s="53" t="s">
        <v>6176</v>
      </c>
      <c r="T1035" s="48">
        <v>152.15</v>
      </c>
      <c r="U1035" s="98">
        <v>72.297075254682881</v>
      </c>
      <c r="V1035" s="98">
        <v>45.185672034176797</v>
      </c>
      <c r="W1035" s="98">
        <v>27.542287033381648</v>
      </c>
      <c r="X1035" s="98">
        <v>72.297075254682881</v>
      </c>
      <c r="Y1035" s="233">
        <v>4.67</v>
      </c>
      <c r="Z1035" s="48">
        <v>1.05</v>
      </c>
      <c r="AA1035" s="48">
        <v>1.21</v>
      </c>
      <c r="AB1035" s="48">
        <v>1.32</v>
      </c>
      <c r="AC1035" s="48">
        <v>0.87709999999999999</v>
      </c>
      <c r="AD1035" s="48">
        <v>1.29</v>
      </c>
      <c r="AE1035" s="48">
        <v>1.19</v>
      </c>
      <c r="AF1035" s="48">
        <f t="shared" si="289"/>
        <v>1.21</v>
      </c>
      <c r="AG1035" s="49">
        <v>1.23</v>
      </c>
      <c r="AH1035" s="98">
        <v>8.2699999999999996E-11</v>
      </c>
      <c r="AI1035" s="98">
        <v>2.1499999999999998E-9</v>
      </c>
      <c r="AJ1035" s="483">
        <f t="shared" si="288"/>
        <v>-8.4710608167601045</v>
      </c>
      <c r="AK1035" s="483">
        <f>LOG10(AI1035*1000/(0.08206*298.15))</f>
        <v>-7.0561278663970466</v>
      </c>
      <c r="AL1035" s="483">
        <f t="shared" si="287"/>
        <v>-7.0561278663970466</v>
      </c>
      <c r="AM1035" s="483">
        <v>-10.196799999999998</v>
      </c>
      <c r="AN1035" s="226">
        <v>-6.3</v>
      </c>
      <c r="AO1035" s="484">
        <v>7.78</v>
      </c>
      <c r="AP1035" s="484"/>
      <c r="AQ1035" s="48" t="s">
        <v>6311</v>
      </c>
      <c r="AR1035" s="48" t="s">
        <v>6311</v>
      </c>
      <c r="AS1035" s="227"/>
      <c r="AT1035" s="50" t="s">
        <v>266</v>
      </c>
      <c r="AU1035" s="48">
        <v>6</v>
      </c>
      <c r="AV1035" s="48">
        <v>120</v>
      </c>
      <c r="AW1035" s="48">
        <v>114</v>
      </c>
      <c r="AX1035" s="48">
        <v>28</v>
      </c>
      <c r="AY1035" s="48" t="s">
        <v>8728</v>
      </c>
      <c r="AZ1035" s="48" t="s">
        <v>1563</v>
      </c>
      <c r="BA1035" s="48">
        <v>32</v>
      </c>
      <c r="BB1035" s="47" t="s">
        <v>2485</v>
      </c>
      <c r="BC1035" s="47" t="s">
        <v>8726</v>
      </c>
      <c r="BD1035" s="47" t="s">
        <v>8374</v>
      </c>
      <c r="BE1035" s="48" t="s">
        <v>2449</v>
      </c>
      <c r="BF1035" s="48" t="s">
        <v>272</v>
      </c>
      <c r="BG1035" s="48" t="s">
        <v>272</v>
      </c>
      <c r="BH1035" s="48" t="s">
        <v>2486</v>
      </c>
      <c r="BI1035" s="98">
        <v>6.3999999999999997E-6</v>
      </c>
      <c r="BJ1035" s="98">
        <v>6.4000000000000001E-2</v>
      </c>
      <c r="BK1035" s="48"/>
      <c r="BL1035" s="98">
        <f t="shared" si="285"/>
        <v>5.8586155503813337</v>
      </c>
      <c r="BM1035" s="47" t="s">
        <v>2487</v>
      </c>
      <c r="BN1035" s="48"/>
      <c r="BO1035" s="48"/>
      <c r="BP1035" s="48"/>
      <c r="BQ1035" s="48"/>
      <c r="BR1035" s="47" t="s">
        <v>2496</v>
      </c>
      <c r="BS1035" s="48"/>
      <c r="BT1035" s="48"/>
      <c r="BU1035" s="228"/>
      <c r="BV1035" s="48"/>
      <c r="BW1035" s="48"/>
      <c r="BX1035" s="48"/>
      <c r="BY1035" s="48"/>
      <c r="BZ1035" s="48"/>
      <c r="CA1035" s="48"/>
      <c r="CB1035" s="48"/>
      <c r="CC1035" s="48"/>
      <c r="CD1035" s="48"/>
      <c r="CE1035" s="48"/>
      <c r="CF1035" s="48"/>
      <c r="CG1035" s="48"/>
      <c r="CH1035" s="48"/>
      <c r="CI1035" s="98"/>
      <c r="CJ1035" s="98"/>
      <c r="CK1035" s="49">
        <f t="shared" si="291"/>
        <v>91.540867974708334</v>
      </c>
      <c r="CL1035" s="229"/>
      <c r="CM1035" s="229"/>
      <c r="CN1035" s="229"/>
      <c r="CO1035" s="47" t="s">
        <v>2488</v>
      </c>
      <c r="CP1035" s="47" t="s">
        <v>2489</v>
      </c>
      <c r="CQ1035" s="224">
        <v>-0.22996394703206072</v>
      </c>
      <c r="CR1035" s="224">
        <f>10^(CJ1035-CQ1035)</f>
        <v>1.6981026785714286</v>
      </c>
      <c r="CS1035" s="230" t="s">
        <v>539</v>
      </c>
      <c r="CT1035" s="230"/>
      <c r="CU1035" s="230"/>
      <c r="CV1035" s="335">
        <f t="shared" si="284"/>
        <v>1129.6418008544199</v>
      </c>
      <c r="CW1035" s="230">
        <f t="shared" si="290"/>
        <v>1</v>
      </c>
      <c r="CX1035" s="336"/>
      <c r="CY1035" s="230" t="s">
        <v>6351</v>
      </c>
    </row>
    <row r="1036" spans="1:103" ht="11.25" customHeight="1" x14ac:dyDescent="0.2">
      <c r="A1036" s="72">
        <v>1034</v>
      </c>
      <c r="B1036" s="224">
        <v>1210</v>
      </c>
      <c r="C1036" s="46" t="s">
        <v>7206</v>
      </c>
      <c r="D1036" s="46"/>
      <c r="E1036" s="114"/>
      <c r="F1036" s="114" t="s">
        <v>1679</v>
      </c>
      <c r="G1036" s="225">
        <v>121697</v>
      </c>
      <c r="H1036" s="47" t="s">
        <v>1680</v>
      </c>
      <c r="I1036" s="47" t="s">
        <v>1680</v>
      </c>
      <c r="J1036" s="47" t="s">
        <v>1681</v>
      </c>
      <c r="K1036" s="47" t="s">
        <v>426</v>
      </c>
      <c r="L1036" s="47" t="s">
        <v>5527</v>
      </c>
      <c r="M1036" s="47" t="s">
        <v>6082</v>
      </c>
      <c r="N1036" s="47"/>
      <c r="O1036" s="47" t="s">
        <v>6083</v>
      </c>
      <c r="P1036" s="53"/>
      <c r="Q1036" s="53" t="s">
        <v>6173</v>
      </c>
      <c r="R1036" s="53" t="s">
        <v>6185</v>
      </c>
      <c r="S1036" s="53" t="s">
        <v>6176</v>
      </c>
      <c r="T1036" s="48">
        <v>121.18</v>
      </c>
      <c r="U1036" s="98">
        <v>11.965670902789238</v>
      </c>
      <c r="V1036" s="98">
        <v>8.7308136656213886</v>
      </c>
      <c r="W1036" s="98">
        <v>8.5113803820237681</v>
      </c>
      <c r="X1036" s="98">
        <v>11.965670902789238</v>
      </c>
      <c r="Y1036" s="233">
        <v>8.52</v>
      </c>
      <c r="Z1036" s="48">
        <v>2.17</v>
      </c>
      <c r="AA1036" s="48">
        <v>2.31</v>
      </c>
      <c r="AB1036" s="48">
        <v>2.37</v>
      </c>
      <c r="AC1036" s="48">
        <v>0.7359</v>
      </c>
      <c r="AD1036" s="48">
        <v>2.2799999999999998</v>
      </c>
      <c r="AE1036" s="48">
        <v>2.12</v>
      </c>
      <c r="AF1036" s="48">
        <f t="shared" si="289"/>
        <v>2.31</v>
      </c>
      <c r="AG1036" s="49">
        <v>2.13</v>
      </c>
      <c r="AH1036" s="98">
        <v>8.5699999999999996E-5</v>
      </c>
      <c r="AI1036" s="98">
        <v>5.6799999999999998E-5</v>
      </c>
      <c r="AJ1036" s="483">
        <f t="shared" si="288"/>
        <v>-2.4555855043894534</v>
      </c>
      <c r="AK1036" s="483">
        <f>LOG10(AI1036*1000/(0.08206*298.15))</f>
        <v>-2.6342179906016328</v>
      </c>
      <c r="AL1036" s="483">
        <f t="shared" si="287"/>
        <v>-2.6342179906016328</v>
      </c>
      <c r="AM1036" s="483">
        <v>-3.7972600000000005</v>
      </c>
      <c r="AN1036" s="226">
        <v>-2.67</v>
      </c>
      <c r="AO1036" s="484"/>
      <c r="AP1036" s="484">
        <v>5.0999999999999996</v>
      </c>
      <c r="AQ1036" s="48" t="s">
        <v>6311</v>
      </c>
      <c r="AR1036" s="48" t="s">
        <v>6311</v>
      </c>
      <c r="AS1036" s="227"/>
      <c r="AT1036" s="50" t="s">
        <v>266</v>
      </c>
      <c r="AU1036" s="48">
        <v>6</v>
      </c>
      <c r="AV1036" s="48">
        <v>120</v>
      </c>
      <c r="AW1036" s="48">
        <v>114</v>
      </c>
      <c r="AX1036" s="48">
        <v>28</v>
      </c>
      <c r="AY1036" s="48" t="s">
        <v>8728</v>
      </c>
      <c r="AZ1036" s="48" t="s">
        <v>1563</v>
      </c>
      <c r="BA1036" s="48">
        <v>32</v>
      </c>
      <c r="BB1036" s="47" t="s">
        <v>2485</v>
      </c>
      <c r="BC1036" s="47" t="s">
        <v>8726</v>
      </c>
      <c r="BD1036" s="47" t="s">
        <v>8374</v>
      </c>
      <c r="BE1036" s="48" t="s">
        <v>2449</v>
      </c>
      <c r="BF1036" s="48" t="s">
        <v>272</v>
      </c>
      <c r="BG1036" s="48" t="s">
        <v>272</v>
      </c>
      <c r="BH1036" s="48" t="s">
        <v>2486</v>
      </c>
      <c r="BI1036" s="98">
        <v>6.3999999999999997E-6</v>
      </c>
      <c r="BJ1036" s="98">
        <v>6.4000000000000001E-2</v>
      </c>
      <c r="BK1036" s="48"/>
      <c r="BL1036" s="98">
        <f t="shared" si="285"/>
        <v>0.57799356061012974</v>
      </c>
      <c r="BM1036" s="47" t="s">
        <v>2487</v>
      </c>
      <c r="BN1036" s="48"/>
      <c r="BO1036" s="48"/>
      <c r="BP1036" s="48"/>
      <c r="BQ1036" s="48"/>
      <c r="BR1036" s="47" t="s">
        <v>2496</v>
      </c>
      <c r="BS1036" s="48"/>
      <c r="BT1036" s="48"/>
      <c r="BU1036" s="228">
        <v>6.6199999999999996E-5</v>
      </c>
      <c r="BV1036" s="48"/>
      <c r="BW1036" s="48"/>
      <c r="BX1036" s="48"/>
      <c r="BY1036" s="48"/>
      <c r="BZ1036" s="48"/>
      <c r="CA1036" s="48"/>
      <c r="CB1036" s="48"/>
      <c r="CC1036" s="48"/>
      <c r="CD1036" s="48"/>
      <c r="CE1036" s="48"/>
      <c r="CF1036" s="48"/>
      <c r="CG1036" s="48"/>
      <c r="CH1036" s="48"/>
      <c r="CI1036" s="98"/>
      <c r="CJ1036" s="98"/>
      <c r="CK1036" s="49">
        <f t="shared" si="291"/>
        <v>9.0311493845332773</v>
      </c>
      <c r="CL1036" s="229"/>
      <c r="CM1036" s="229">
        <v>-0.27226161687115119</v>
      </c>
      <c r="CN1036" s="229">
        <f>BJ1036/(10^CM1036)</f>
        <v>0.11979579965565548</v>
      </c>
      <c r="CO1036" s="47" t="s">
        <v>2488</v>
      </c>
      <c r="CP1036" s="47" t="s">
        <v>2489</v>
      </c>
      <c r="CQ1036" s="224">
        <v>-0.78201390403828708</v>
      </c>
      <c r="CR1036" s="224">
        <f>10^(CJ1036-CQ1036)</f>
        <v>6.0536025519226255</v>
      </c>
      <c r="CS1036" s="230" t="s">
        <v>539</v>
      </c>
      <c r="CT1036" s="230"/>
      <c r="CU1036" s="230"/>
      <c r="CV1036" s="335">
        <f t="shared" si="284"/>
        <v>186.96360785608184</v>
      </c>
      <c r="CW1036" s="230">
        <f t="shared" si="290"/>
        <v>1</v>
      </c>
      <c r="CX1036" s="336"/>
      <c r="CY1036" s="230" t="s">
        <v>6351</v>
      </c>
    </row>
    <row r="1037" spans="1:103" ht="11.25" customHeight="1" x14ac:dyDescent="0.2">
      <c r="A1037" s="72">
        <v>1035</v>
      </c>
      <c r="B1037" s="224">
        <v>1176</v>
      </c>
      <c r="C1037" s="46" t="s">
        <v>620</v>
      </c>
      <c r="D1037" s="46"/>
      <c r="E1037" s="114"/>
      <c r="F1037" s="114" t="s">
        <v>621</v>
      </c>
      <c r="G1037" s="225">
        <v>121755</v>
      </c>
      <c r="H1037" s="47" t="s">
        <v>622</v>
      </c>
      <c r="I1037" s="47" t="s">
        <v>622</v>
      </c>
      <c r="J1037" s="47" t="s">
        <v>623</v>
      </c>
      <c r="K1037" s="47" t="s">
        <v>624</v>
      </c>
      <c r="L1037" s="47" t="s">
        <v>6131</v>
      </c>
      <c r="M1037" s="47" t="s">
        <v>1867</v>
      </c>
      <c r="N1037" s="47" t="s">
        <v>6376</v>
      </c>
      <c r="O1037" s="47" t="s">
        <v>281</v>
      </c>
      <c r="P1037" s="53" t="s">
        <v>6178</v>
      </c>
      <c r="Q1037" s="53" t="s">
        <v>6176</v>
      </c>
      <c r="R1037" s="53" t="s">
        <v>6177</v>
      </c>
      <c r="S1037" s="53" t="s">
        <v>6176</v>
      </c>
      <c r="T1037" s="48">
        <v>330.36</v>
      </c>
      <c r="U1037" s="98">
        <v>0.43286112120111392</v>
      </c>
      <c r="V1037" s="98">
        <v>0.23746821649110061</v>
      </c>
      <c r="W1037" s="98">
        <v>0.56234132519034852</v>
      </c>
      <c r="X1037" s="98">
        <v>0.43286112120111392</v>
      </c>
      <c r="Y1037" s="233">
        <v>7</v>
      </c>
      <c r="Z1037" s="48">
        <v>2.29</v>
      </c>
      <c r="AA1037" s="48">
        <v>2.36</v>
      </c>
      <c r="AB1037" s="48">
        <v>2.69</v>
      </c>
      <c r="AC1037" s="48">
        <v>0.8125</v>
      </c>
      <c r="AD1037" s="48">
        <v>2.76</v>
      </c>
      <c r="AE1037" s="48">
        <v>2.93</v>
      </c>
      <c r="AF1037" s="48">
        <f t="shared" si="289"/>
        <v>2.36</v>
      </c>
      <c r="AG1037" s="49">
        <v>2.3199999999999998</v>
      </c>
      <c r="AH1037" s="98">
        <v>8.39E-10</v>
      </c>
      <c r="AI1037" s="98">
        <v>4.8900000000000003E-9</v>
      </c>
      <c r="AJ1037" s="483">
        <f t="shared" si="288"/>
        <v>-7.4648043654839515</v>
      </c>
      <c r="AK1037" s="483">
        <f>LOG10(AI1037*1000/(0.08206*298.15))</f>
        <v>-6.6992574671890317</v>
      </c>
      <c r="AL1037" s="483">
        <f t="shared" si="287"/>
        <v>-6.6992574671890317</v>
      </c>
      <c r="AM1037" s="483">
        <v>-12.449109999999999</v>
      </c>
      <c r="AN1037" s="226">
        <v>-5.94</v>
      </c>
      <c r="AO1037" s="484"/>
      <c r="AP1037" s="484"/>
      <c r="AQ1037" s="48" t="s">
        <v>6312</v>
      </c>
      <c r="AR1037" s="48" t="s">
        <v>6312</v>
      </c>
      <c r="AS1037" s="227"/>
      <c r="AT1037" s="50" t="s">
        <v>266</v>
      </c>
      <c r="AU1037" s="48">
        <v>6</v>
      </c>
      <c r="AV1037" s="48">
        <v>120</v>
      </c>
      <c r="AW1037" s="48">
        <v>114</v>
      </c>
      <c r="AX1037" s="48">
        <v>28</v>
      </c>
      <c r="AY1037" s="48" t="s">
        <v>8728</v>
      </c>
      <c r="AZ1037" s="48" t="s">
        <v>1563</v>
      </c>
      <c r="BA1037" s="48">
        <v>32</v>
      </c>
      <c r="BB1037" s="47" t="s">
        <v>2485</v>
      </c>
      <c r="BC1037" s="47" t="s">
        <v>8726</v>
      </c>
      <c r="BD1037" s="47" t="s">
        <v>8374</v>
      </c>
      <c r="BE1037" s="48" t="s">
        <v>2449</v>
      </c>
      <c r="BF1037" s="48" t="s">
        <v>272</v>
      </c>
      <c r="BG1037" s="48" t="s">
        <v>272</v>
      </c>
      <c r="BH1037" s="48" t="s">
        <v>2486</v>
      </c>
      <c r="BI1037" s="98">
        <v>6.3999999999999997E-6</v>
      </c>
      <c r="BJ1037" s="98">
        <v>6.4000000000000001E-2</v>
      </c>
      <c r="BK1037" s="48"/>
      <c r="BL1037" s="98">
        <f t="shared" si="285"/>
        <v>0.45097347641126984</v>
      </c>
      <c r="BM1037" s="47" t="s">
        <v>2487</v>
      </c>
      <c r="BN1037" s="48"/>
      <c r="BO1037" s="48"/>
      <c r="BP1037" s="48"/>
      <c r="BQ1037" s="48"/>
      <c r="BR1037" s="47" t="s">
        <v>2496</v>
      </c>
      <c r="BS1037" s="48"/>
      <c r="BT1037" s="48"/>
      <c r="BU1037" s="228">
        <v>6.4000000000000001E-2</v>
      </c>
      <c r="BV1037" s="48"/>
      <c r="BW1037" s="48"/>
      <c r="BX1037" s="48"/>
      <c r="BY1037" s="48"/>
      <c r="BZ1037" s="48"/>
      <c r="CA1037" s="48"/>
      <c r="CB1037" s="48"/>
      <c r="CC1037" s="48"/>
      <c r="CD1037" s="48"/>
      <c r="CE1037" s="48"/>
      <c r="CF1037" s="48"/>
      <c r="CG1037" s="48"/>
      <c r="CH1037" s="48"/>
      <c r="CI1037" s="98"/>
      <c r="CJ1037" s="98"/>
      <c r="CK1037" s="49">
        <f t="shared" si="291"/>
        <v>7.0464605689260909</v>
      </c>
      <c r="CL1037" s="229"/>
      <c r="CM1037" s="229">
        <v>-3.5360029785502594</v>
      </c>
      <c r="CN1037" s="229">
        <f>BJ1037/(10^CM1037)</f>
        <v>219.87859465850019</v>
      </c>
      <c r="CO1037" s="47" t="s">
        <v>2488</v>
      </c>
      <c r="CP1037" s="47" t="s">
        <v>2489</v>
      </c>
      <c r="CQ1037" s="224">
        <v>-3.1259652426230411</v>
      </c>
      <c r="CR1037" s="224">
        <f>10^(CJ1037-CQ1037)</f>
        <v>1336.4885506576418</v>
      </c>
      <c r="CS1037" s="230" t="s">
        <v>539</v>
      </c>
      <c r="CT1037" s="230"/>
      <c r="CU1037" s="230"/>
      <c r="CV1037" s="335">
        <f t="shared" si="284"/>
        <v>6.763455018767405</v>
      </c>
      <c r="CW1037" s="230">
        <f t="shared" si="290"/>
        <v>1</v>
      </c>
      <c r="CX1037" s="336"/>
      <c r="CY1037" s="230" t="s">
        <v>5921</v>
      </c>
    </row>
    <row r="1038" spans="1:103" ht="11.25" customHeight="1" x14ac:dyDescent="0.2">
      <c r="A1038" s="72">
        <v>1036</v>
      </c>
      <c r="B1038" s="224">
        <v>1839</v>
      </c>
      <c r="C1038" s="46" t="s">
        <v>7207</v>
      </c>
      <c r="D1038" s="46"/>
      <c r="E1038" s="114"/>
      <c r="F1038" s="114" t="s">
        <v>5249</v>
      </c>
      <c r="G1038" s="225">
        <v>121799</v>
      </c>
      <c r="H1038" s="47" t="s">
        <v>5250</v>
      </c>
      <c r="I1038" s="47" t="s">
        <v>5250</v>
      </c>
      <c r="J1038" s="47" t="s">
        <v>5251</v>
      </c>
      <c r="K1038" s="47" t="s">
        <v>3383</v>
      </c>
      <c r="L1038" s="47"/>
      <c r="M1038" s="47"/>
      <c r="N1038" s="47"/>
      <c r="O1038" s="47"/>
      <c r="P1038" s="53"/>
      <c r="Q1038" s="53"/>
      <c r="R1038" s="53"/>
      <c r="S1038" s="53"/>
      <c r="T1038" s="48">
        <v>212.2</v>
      </c>
      <c r="U1038" s="98">
        <v>16.493873704052781</v>
      </c>
      <c r="V1038" s="98">
        <v>19.679547596606977</v>
      </c>
      <c r="W1038" s="98">
        <v>19.054607179632463</v>
      </c>
      <c r="X1038" s="98">
        <v>16.493873704052781</v>
      </c>
      <c r="Y1038" s="233">
        <v>4.7699999999999996</v>
      </c>
      <c r="Z1038" s="48">
        <v>1.79</v>
      </c>
      <c r="AA1038" s="48">
        <v>1.8</v>
      </c>
      <c r="AB1038" s="48">
        <v>1.86</v>
      </c>
      <c r="AC1038" s="48">
        <v>0.84560000000000002</v>
      </c>
      <c r="AD1038" s="48">
        <v>2.06</v>
      </c>
      <c r="AE1038" s="48">
        <v>2.6</v>
      </c>
      <c r="AF1038" s="48">
        <f t="shared" si="289"/>
        <v>1.8</v>
      </c>
      <c r="AG1038" s="49">
        <v>1.46</v>
      </c>
      <c r="AH1038" s="98">
        <v>6.8899999999999995E-17</v>
      </c>
      <c r="AI1038" s="98"/>
      <c r="AJ1038" s="483">
        <f t="shared" si="288"/>
        <v>-14.550347104405025</v>
      </c>
      <c r="AK1038" s="483"/>
      <c r="AL1038" s="483">
        <f t="shared" si="287"/>
        <v>-14.550347104405025</v>
      </c>
      <c r="AM1038" s="483">
        <v>-16.187249999999999</v>
      </c>
      <c r="AN1038" s="226">
        <v>-10.9</v>
      </c>
      <c r="AO1038" s="484">
        <v>7.94</v>
      </c>
      <c r="AP1038" s="484"/>
      <c r="AQ1038" s="226" t="s">
        <v>6311</v>
      </c>
      <c r="AR1038" s="226" t="s">
        <v>6312</v>
      </c>
      <c r="AS1038" s="224"/>
      <c r="AT1038" s="50" t="s">
        <v>266</v>
      </c>
      <c r="AU1038" s="48">
        <v>6</v>
      </c>
      <c r="AV1038" s="48">
        <v>120</v>
      </c>
      <c r="AW1038" s="48">
        <v>114</v>
      </c>
      <c r="AX1038" s="48">
        <v>28</v>
      </c>
      <c r="AY1038" s="48" t="s">
        <v>8728</v>
      </c>
      <c r="AZ1038" s="48" t="s">
        <v>1563</v>
      </c>
      <c r="BA1038" s="48">
        <v>32</v>
      </c>
      <c r="BB1038" s="47" t="s">
        <v>2485</v>
      </c>
      <c r="BC1038" s="47" t="s">
        <v>8726</v>
      </c>
      <c r="BD1038" s="47" t="s">
        <v>8374</v>
      </c>
      <c r="BE1038" s="48" t="s">
        <v>2449</v>
      </c>
      <c r="BF1038" s="48" t="s">
        <v>272</v>
      </c>
      <c r="BG1038" s="48" t="s">
        <v>272</v>
      </c>
      <c r="BH1038" s="48" t="s">
        <v>2486</v>
      </c>
      <c r="BI1038" s="98">
        <v>6.3999999999999997E-6</v>
      </c>
      <c r="BJ1038" s="98">
        <v>6.4000000000000001E-2</v>
      </c>
      <c r="BK1038" s="48"/>
      <c r="BL1038" s="98">
        <f t="shared" si="285"/>
        <v>1.2682386957797422</v>
      </c>
      <c r="BM1038" s="47" t="s">
        <v>2487</v>
      </c>
      <c r="BN1038" s="48"/>
      <c r="BO1038" s="48"/>
      <c r="BP1038" s="48"/>
      <c r="BQ1038" s="48"/>
      <c r="BR1038" s="47" t="s">
        <v>2496</v>
      </c>
      <c r="BS1038" s="48"/>
      <c r="BT1038" s="48"/>
      <c r="BU1038" s="228"/>
      <c r="BV1038" s="48"/>
      <c r="BW1038" s="48"/>
      <c r="BX1038" s="48"/>
      <c r="BY1038" s="48"/>
      <c r="BZ1038" s="48"/>
      <c r="CA1038" s="48"/>
      <c r="CB1038" s="48"/>
      <c r="CC1038" s="48"/>
      <c r="CD1038" s="48"/>
      <c r="CE1038" s="48"/>
      <c r="CF1038" s="48"/>
      <c r="CG1038" s="48"/>
      <c r="CH1038" s="48"/>
      <c r="CI1038" s="98"/>
      <c r="CJ1038" s="98"/>
      <c r="CK1038" s="49">
        <f t="shared" si="291"/>
        <v>19.816229621558474</v>
      </c>
      <c r="CL1038" s="229"/>
      <c r="CM1038" s="229"/>
      <c r="CN1038" s="229"/>
      <c r="CO1038" s="47" t="s">
        <v>2488</v>
      </c>
      <c r="CP1038" s="47" t="s">
        <v>2489</v>
      </c>
      <c r="CQ1038" s="224" t="s">
        <v>272</v>
      </c>
      <c r="CR1038" s="224"/>
      <c r="CS1038" s="230" t="s">
        <v>539</v>
      </c>
      <c r="CT1038" s="230"/>
      <c r="CU1038" s="230"/>
      <c r="CV1038" s="335">
        <f t="shared" si="284"/>
        <v>257.71677662582471</v>
      </c>
      <c r="CW1038" s="230">
        <f t="shared" si="290"/>
        <v>1</v>
      </c>
      <c r="CX1038" s="336"/>
      <c r="CY1038" s="230" t="s">
        <v>5921</v>
      </c>
    </row>
    <row r="1039" spans="1:103" ht="11.25" customHeight="1" x14ac:dyDescent="0.2">
      <c r="A1039" s="72">
        <v>1037</v>
      </c>
      <c r="B1039" s="224">
        <v>1370</v>
      </c>
      <c r="C1039" s="46" t="s">
        <v>7208</v>
      </c>
      <c r="D1039" s="46"/>
      <c r="E1039" s="114"/>
      <c r="F1039" s="114" t="s">
        <v>4229</v>
      </c>
      <c r="G1039" s="225">
        <v>121915</v>
      </c>
      <c r="H1039" s="47" t="s">
        <v>4230</v>
      </c>
      <c r="I1039" s="47" t="s">
        <v>4230</v>
      </c>
      <c r="J1039" s="47" t="s">
        <v>4231</v>
      </c>
      <c r="K1039" s="47" t="s">
        <v>426</v>
      </c>
      <c r="L1039" s="47"/>
      <c r="M1039" s="47"/>
      <c r="N1039" s="47"/>
      <c r="O1039" s="47"/>
      <c r="P1039" s="53"/>
      <c r="Q1039" s="53"/>
      <c r="R1039" s="53"/>
      <c r="S1039" s="53"/>
      <c r="T1039" s="48">
        <v>166.13</v>
      </c>
      <c r="U1039" s="98">
        <v>0.78251971347739724</v>
      </c>
      <c r="V1039" s="98">
        <v>14.75350629025462</v>
      </c>
      <c r="W1039" s="98">
        <v>27.542287033381648</v>
      </c>
      <c r="X1039" s="98">
        <v>0.78251971347739724</v>
      </c>
      <c r="Y1039" s="233">
        <v>2.57</v>
      </c>
      <c r="Z1039" s="48">
        <v>1.76</v>
      </c>
      <c r="AA1039" s="48">
        <v>1.66</v>
      </c>
      <c r="AB1039" s="48">
        <v>1.56</v>
      </c>
      <c r="AC1039" s="48">
        <v>0.78700000000000003</v>
      </c>
      <c r="AD1039" s="48">
        <v>1.59</v>
      </c>
      <c r="AE1039" s="48">
        <v>1.66</v>
      </c>
      <c r="AF1039" s="48">
        <f t="shared" si="289"/>
        <v>1.66</v>
      </c>
      <c r="AG1039" s="49">
        <v>1.0900000000000001</v>
      </c>
      <c r="AH1039" s="98">
        <v>2.18E-12</v>
      </c>
      <c r="AI1039" s="98"/>
      <c r="AJ1039" s="483">
        <f t="shared" si="288"/>
        <v>-10.050109832708047</v>
      </c>
      <c r="AK1039" s="483"/>
      <c r="AL1039" s="483">
        <f t="shared" si="287"/>
        <v>-10.050109832708047</v>
      </c>
      <c r="AM1039" s="483">
        <v>-12.965229999999998</v>
      </c>
      <c r="AN1039" s="226">
        <v>-10.6</v>
      </c>
      <c r="AO1039" s="484">
        <v>3.53</v>
      </c>
      <c r="AP1039" s="484"/>
      <c r="AQ1039" s="48" t="s">
        <v>6311</v>
      </c>
      <c r="AR1039" s="48" t="s">
        <v>6311</v>
      </c>
      <c r="AS1039" s="227"/>
      <c r="AT1039" s="50" t="s">
        <v>266</v>
      </c>
      <c r="AU1039" s="48">
        <v>6</v>
      </c>
      <c r="AV1039" s="48">
        <v>120</v>
      </c>
      <c r="AW1039" s="48">
        <v>114</v>
      </c>
      <c r="AX1039" s="48">
        <v>28</v>
      </c>
      <c r="AY1039" s="48" t="s">
        <v>8728</v>
      </c>
      <c r="AZ1039" s="48" t="s">
        <v>1563</v>
      </c>
      <c r="BA1039" s="48">
        <v>32</v>
      </c>
      <c r="BB1039" s="47" t="s">
        <v>2485</v>
      </c>
      <c r="BC1039" s="47" t="s">
        <v>8726</v>
      </c>
      <c r="BD1039" s="47" t="s">
        <v>8374</v>
      </c>
      <c r="BE1039" s="48" t="s">
        <v>2449</v>
      </c>
      <c r="BF1039" s="48" t="s">
        <v>272</v>
      </c>
      <c r="BG1039" s="48" t="s">
        <v>272</v>
      </c>
      <c r="BH1039" s="48" t="s">
        <v>2486</v>
      </c>
      <c r="BI1039" s="98">
        <v>6.3999999999999997E-6</v>
      </c>
      <c r="BJ1039" s="98">
        <v>6.4000000000000001E-2</v>
      </c>
      <c r="BK1039" s="48"/>
      <c r="BL1039" s="98">
        <f t="shared" si="285"/>
        <v>1.3494102354151691</v>
      </c>
      <c r="BM1039" s="47" t="s">
        <v>2487</v>
      </c>
      <c r="BN1039" s="48"/>
      <c r="BO1039" s="48"/>
      <c r="BP1039" s="48"/>
      <c r="BQ1039" s="48"/>
      <c r="BR1039" s="47" t="s">
        <v>2496</v>
      </c>
      <c r="BS1039" s="48"/>
      <c r="BT1039" s="48"/>
      <c r="BU1039" s="228"/>
      <c r="BV1039" s="48"/>
      <c r="BW1039" s="48"/>
      <c r="BX1039" s="48"/>
      <c r="BY1039" s="48"/>
      <c r="BZ1039" s="48"/>
      <c r="CA1039" s="48"/>
      <c r="CB1039" s="48"/>
      <c r="CC1039" s="48"/>
      <c r="CD1039" s="48"/>
      <c r="CE1039" s="48"/>
      <c r="CF1039" s="48"/>
      <c r="CG1039" s="48"/>
      <c r="CH1039" s="48"/>
      <c r="CI1039" s="98"/>
      <c r="CJ1039" s="98"/>
      <c r="CK1039" s="49">
        <f t="shared" si="291"/>
        <v>21.084534928362018</v>
      </c>
      <c r="CL1039" s="229"/>
      <c r="CM1039" s="229"/>
      <c r="CN1039" s="229"/>
      <c r="CO1039" s="47" t="s">
        <v>2488</v>
      </c>
      <c r="CP1039" s="47" t="s">
        <v>2489</v>
      </c>
      <c r="CQ1039" s="224" t="s">
        <v>272</v>
      </c>
      <c r="CR1039" s="224"/>
      <c r="CS1039" s="230" t="s">
        <v>539</v>
      </c>
      <c r="CT1039" s="230"/>
      <c r="CU1039" s="230"/>
      <c r="CV1039" s="335">
        <f t="shared" si="284"/>
        <v>12.226870523084331</v>
      </c>
      <c r="CW1039" s="230">
        <f t="shared" si="290"/>
        <v>1</v>
      </c>
      <c r="CX1039" s="336"/>
      <c r="CY1039" s="230" t="s">
        <v>6351</v>
      </c>
    </row>
    <row r="1040" spans="1:103" ht="11.25" customHeight="1" x14ac:dyDescent="0.2">
      <c r="A1040" s="72">
        <v>1038</v>
      </c>
      <c r="B1040" s="224">
        <v>1662</v>
      </c>
      <c r="C1040" s="46" t="s">
        <v>1168</v>
      </c>
      <c r="D1040" s="46"/>
      <c r="E1040" s="114"/>
      <c r="F1040" s="114" t="s">
        <v>1169</v>
      </c>
      <c r="G1040" s="225">
        <v>122145</v>
      </c>
      <c r="H1040" s="47" t="s">
        <v>1170</v>
      </c>
      <c r="I1040" s="47" t="s">
        <v>8040</v>
      </c>
      <c r="J1040" s="47" t="s">
        <v>1171</v>
      </c>
      <c r="K1040" s="47" t="s">
        <v>628</v>
      </c>
      <c r="L1040" s="47" t="s">
        <v>617</v>
      </c>
      <c r="M1040" s="47" t="s">
        <v>946</v>
      </c>
      <c r="N1040" s="47" t="s">
        <v>6376</v>
      </c>
      <c r="O1040" s="47" t="s">
        <v>918</v>
      </c>
      <c r="P1040" s="53" t="s">
        <v>6178</v>
      </c>
      <c r="Q1040" s="53" t="s">
        <v>6176</v>
      </c>
      <c r="R1040" s="53" t="s">
        <v>6177</v>
      </c>
      <c r="S1040" s="53" t="s">
        <v>6179</v>
      </c>
      <c r="T1040" s="48">
        <v>277.24</v>
      </c>
      <c r="U1040" s="98">
        <v>0.13706535853412205</v>
      </c>
      <c r="V1040" s="98">
        <v>3.7115856297792522E-2</v>
      </c>
      <c r="W1040" s="98">
        <v>6.3095734448019275E-2</v>
      </c>
      <c r="X1040" s="98">
        <v>0.13706535853412205</v>
      </c>
      <c r="Y1040" s="233">
        <v>7</v>
      </c>
      <c r="Z1040" s="48">
        <v>3.3</v>
      </c>
      <c r="AA1040" s="48">
        <v>3.3</v>
      </c>
      <c r="AB1040" s="48">
        <v>3.43</v>
      </c>
      <c r="AC1040" s="48">
        <v>0.88670000000000004</v>
      </c>
      <c r="AD1040" s="48">
        <v>3.39</v>
      </c>
      <c r="AE1040" s="48">
        <v>3.24</v>
      </c>
      <c r="AF1040" s="48">
        <f t="shared" si="289"/>
        <v>3.3</v>
      </c>
      <c r="AG1040" s="49">
        <v>2.74</v>
      </c>
      <c r="AH1040" s="98">
        <v>1.86E-7</v>
      </c>
      <c r="AI1040" s="98">
        <v>9.2999999999999999E-7</v>
      </c>
      <c r="AJ1040" s="483">
        <f t="shared" si="288"/>
        <v>-5.1190533820947355</v>
      </c>
      <c r="AK1040" s="483">
        <f t="shared" ref="AK1040:AK1046" si="292">LOG10(AI1040*1000/(0.08206*298.15))</f>
        <v>-4.4200833777587167</v>
      </c>
      <c r="AL1040" s="483">
        <f t="shared" si="287"/>
        <v>-4.4200833777587167</v>
      </c>
      <c r="AM1040" s="483">
        <v>-11.03668</v>
      </c>
      <c r="AN1040" s="226">
        <v>-4.55</v>
      </c>
      <c r="AO1040" s="484"/>
      <c r="AP1040" s="484"/>
      <c r="AQ1040" s="226" t="s">
        <v>6314</v>
      </c>
      <c r="AR1040" s="226" t="s">
        <v>6314</v>
      </c>
      <c r="AS1040" s="224"/>
      <c r="AT1040" s="50" t="s">
        <v>266</v>
      </c>
      <c r="AU1040" s="48">
        <v>6</v>
      </c>
      <c r="AV1040" s="48">
        <v>120</v>
      </c>
      <c r="AW1040" s="48">
        <v>114</v>
      </c>
      <c r="AX1040" s="48">
        <v>28</v>
      </c>
      <c r="AY1040" s="48" t="s">
        <v>8728</v>
      </c>
      <c r="AZ1040" s="48" t="s">
        <v>1563</v>
      </c>
      <c r="BA1040" s="48">
        <v>32</v>
      </c>
      <c r="BB1040" s="47" t="s">
        <v>2485</v>
      </c>
      <c r="BC1040" s="47" t="s">
        <v>8726</v>
      </c>
      <c r="BD1040" s="47" t="s">
        <v>8374</v>
      </c>
      <c r="BE1040" s="48" t="s">
        <v>2449</v>
      </c>
      <c r="BF1040" s="48" t="s">
        <v>272</v>
      </c>
      <c r="BG1040" s="48" t="s">
        <v>272</v>
      </c>
      <c r="BH1040" s="48" t="s">
        <v>2486</v>
      </c>
      <c r="BI1040" s="98">
        <v>6.3999999999999997E-6</v>
      </c>
      <c r="BJ1040" s="98">
        <v>6.4000000000000001E-2</v>
      </c>
      <c r="BK1040" s="48"/>
      <c r="BL1040" s="98">
        <f t="shared" si="285"/>
        <v>5.5856021675172299E-2</v>
      </c>
      <c r="BM1040" s="47" t="s">
        <v>2487</v>
      </c>
      <c r="BN1040" s="48"/>
      <c r="BO1040" s="48"/>
      <c r="BP1040" s="48"/>
      <c r="BQ1040" s="48"/>
      <c r="BR1040" s="47" t="s">
        <v>2496</v>
      </c>
      <c r="BS1040" s="48"/>
      <c r="BT1040" s="48"/>
      <c r="BU1040" s="228"/>
      <c r="BV1040" s="48"/>
      <c r="BW1040" s="48"/>
      <c r="BX1040" s="48"/>
      <c r="BY1040" s="48"/>
      <c r="BZ1040" s="48"/>
      <c r="CA1040" s="48"/>
      <c r="CB1040" s="48"/>
      <c r="CC1040" s="48"/>
      <c r="CD1040" s="48"/>
      <c r="CE1040" s="48"/>
      <c r="CF1040" s="48"/>
      <c r="CG1040" s="48"/>
      <c r="CH1040" s="48"/>
      <c r="CI1040" s="98"/>
      <c r="CJ1040" s="98"/>
      <c r="CK1040" s="49">
        <f t="shared" si="291"/>
        <v>0.87275033867456719</v>
      </c>
      <c r="CL1040" s="229"/>
      <c r="CM1040" s="229">
        <v>-2.1013209454515431</v>
      </c>
      <c r="CN1040" s="229">
        <f>BJ1040/(10^CM1040)</f>
        <v>8.0816664006279595</v>
      </c>
      <c r="CO1040" s="47" t="s">
        <v>2488</v>
      </c>
      <c r="CP1040" s="47" t="s">
        <v>2489</v>
      </c>
      <c r="CQ1040" s="224">
        <v>-2.0301304845737653</v>
      </c>
      <c r="CR1040" s="224">
        <f t="shared" ref="CR1040:CR1046" si="293">10^(CJ1040-CQ1040)</f>
        <v>107.18412935470465</v>
      </c>
      <c r="CS1040" s="230" t="s">
        <v>539</v>
      </c>
      <c r="CT1040" s="230"/>
      <c r="CU1040" s="230"/>
      <c r="CV1040" s="335">
        <f t="shared" si="284"/>
        <v>2.1416462270956571</v>
      </c>
      <c r="CW1040" s="230">
        <f t="shared" si="290"/>
        <v>1</v>
      </c>
      <c r="CX1040" s="336"/>
      <c r="CY1040" s="230" t="s">
        <v>5921</v>
      </c>
    </row>
    <row r="1041" spans="1:103" ht="11.25" customHeight="1" x14ac:dyDescent="0.2">
      <c r="A1041" s="72">
        <v>1039</v>
      </c>
      <c r="B1041" s="224">
        <v>475</v>
      </c>
      <c r="C1041" s="46" t="s">
        <v>7209</v>
      </c>
      <c r="D1041" s="46"/>
      <c r="E1041" s="114"/>
      <c r="F1041" s="114" t="s">
        <v>3483</v>
      </c>
      <c r="G1041" s="225">
        <v>122349</v>
      </c>
      <c r="H1041" s="47" t="s">
        <v>3484</v>
      </c>
      <c r="I1041" s="47" t="s">
        <v>8041</v>
      </c>
      <c r="J1041" s="47" t="s">
        <v>3485</v>
      </c>
      <c r="K1041" s="47" t="s">
        <v>940</v>
      </c>
      <c r="L1041" s="47" t="s">
        <v>5997</v>
      </c>
      <c r="M1041" s="47" t="s">
        <v>6082</v>
      </c>
      <c r="N1041" s="47" t="s">
        <v>6082</v>
      </c>
      <c r="O1041" s="47" t="s">
        <v>6083</v>
      </c>
      <c r="P1041" s="53"/>
      <c r="Q1041" s="53"/>
      <c r="R1041" s="53"/>
      <c r="S1041" s="53"/>
      <c r="T1041" s="48">
        <v>201.66</v>
      </c>
      <c r="U1041" s="98">
        <v>3.0744818010512747E-2</v>
      </c>
      <c r="V1041" s="98">
        <v>2.9252206684518498</v>
      </c>
      <c r="W1041" s="98">
        <v>0.7079457843841378</v>
      </c>
      <c r="X1041" s="98">
        <v>3.0744818010512747E-2</v>
      </c>
      <c r="Y1041" s="233">
        <v>7.08</v>
      </c>
      <c r="Z1041" s="48">
        <v>2.4</v>
      </c>
      <c r="AA1041" s="48">
        <v>2.1800000000000002</v>
      </c>
      <c r="AB1041" s="48">
        <v>2.2999999999999998</v>
      </c>
      <c r="AC1041" s="48">
        <v>0.89880000000000004</v>
      </c>
      <c r="AD1041" s="48">
        <v>2.29</v>
      </c>
      <c r="AE1041" s="48">
        <v>2.2799999999999998</v>
      </c>
      <c r="AF1041" s="48">
        <f t="shared" si="289"/>
        <v>2.1800000000000002</v>
      </c>
      <c r="AG1041" s="49">
        <v>2.0299999999999998</v>
      </c>
      <c r="AH1041" s="98">
        <v>3.3700000000000001E-9</v>
      </c>
      <c r="AI1041" s="98">
        <v>9.4200000000000006E-10</v>
      </c>
      <c r="AJ1041" s="483">
        <f t="shared" si="288"/>
        <v>-6.860936425441313</v>
      </c>
      <c r="AK1041" s="483">
        <f t="shared" si="292"/>
        <v>-7.4145154235197746</v>
      </c>
      <c r="AL1041" s="483">
        <f t="shared" si="287"/>
        <v>-7.4145154235197746</v>
      </c>
      <c r="AM1041" s="483">
        <v>-10.260070000000001</v>
      </c>
      <c r="AN1041" s="226">
        <v>-8.4600000000000009</v>
      </c>
      <c r="AO1041" s="484"/>
      <c r="AP1041" s="484">
        <v>2.71</v>
      </c>
      <c r="AQ1041" s="226" t="s">
        <v>6311</v>
      </c>
      <c r="AR1041" s="226" t="s">
        <v>6311</v>
      </c>
      <c r="AS1041" s="224" t="s">
        <v>6</v>
      </c>
      <c r="AT1041" s="50" t="s">
        <v>266</v>
      </c>
      <c r="AU1041" s="48">
        <v>8</v>
      </c>
      <c r="AV1041" s="48">
        <v>144</v>
      </c>
      <c r="AW1041" s="48">
        <v>120</v>
      </c>
      <c r="AX1041" s="48">
        <v>26</v>
      </c>
      <c r="AY1041" s="48" t="s">
        <v>267</v>
      </c>
      <c r="AZ1041" s="48" t="s">
        <v>2253</v>
      </c>
      <c r="BA1041" s="48">
        <v>3</v>
      </c>
      <c r="BB1041" s="47" t="s">
        <v>2254</v>
      </c>
      <c r="BC1041" s="47" t="s">
        <v>270</v>
      </c>
      <c r="BD1041" s="47" t="s">
        <v>8374</v>
      </c>
      <c r="BE1041" s="48" t="s">
        <v>1712</v>
      </c>
      <c r="BF1041" s="48" t="s">
        <v>272</v>
      </c>
      <c r="BG1041" s="48" t="s">
        <v>272</v>
      </c>
      <c r="BH1041" s="48" t="s">
        <v>2255</v>
      </c>
      <c r="BI1041" s="98">
        <v>9.9999999999999995E-7</v>
      </c>
      <c r="BJ1041" s="98">
        <v>0.08</v>
      </c>
      <c r="BK1041" s="48"/>
      <c r="BL1041" s="98">
        <f t="shared" si="285"/>
        <v>0.35921957937803489</v>
      </c>
      <c r="BM1041" s="48" t="s">
        <v>891</v>
      </c>
      <c r="BN1041" s="233"/>
      <c r="BO1041" s="233"/>
      <c r="BP1041" s="233"/>
      <c r="BQ1041" s="233"/>
      <c r="BR1041" s="233"/>
      <c r="BS1041" s="48"/>
      <c r="BT1041" s="233"/>
      <c r="BU1041" s="228"/>
      <c r="BV1041" s="233"/>
      <c r="BW1041" s="233"/>
      <c r="BX1041" s="233"/>
      <c r="BY1041" s="233"/>
      <c r="BZ1041" s="233"/>
      <c r="CA1041" s="233"/>
      <c r="CB1041" s="233"/>
      <c r="CC1041" s="48"/>
      <c r="CD1041" s="48"/>
      <c r="CE1041" s="48"/>
      <c r="CF1041" s="48"/>
      <c r="CG1041" s="233"/>
      <c r="CH1041" s="48"/>
      <c r="CI1041" s="98"/>
      <c r="CJ1041" s="98"/>
      <c r="CK1041" s="49">
        <f t="shared" si="291"/>
        <v>4.4902447422254363</v>
      </c>
      <c r="CL1041" s="229"/>
      <c r="CM1041" s="229"/>
      <c r="CN1041" s="229"/>
      <c r="CO1041" s="47" t="s">
        <v>892</v>
      </c>
      <c r="CP1041" s="47" t="s">
        <v>893</v>
      </c>
      <c r="CQ1041" s="224">
        <v>-0.59099570009046432</v>
      </c>
      <c r="CR1041" s="224">
        <f t="shared" si="293"/>
        <v>3.8993812591607728</v>
      </c>
      <c r="CS1041" s="230" t="s">
        <v>539</v>
      </c>
      <c r="CT1041" s="230"/>
      <c r="CU1041" s="230"/>
      <c r="CV1041" s="335">
        <f t="shared" ref="CV1041:CV1104" si="294">X1041/BJ1041</f>
        <v>0.38431022513140933</v>
      </c>
      <c r="CW1041" s="230">
        <f t="shared" si="290"/>
        <v>0</v>
      </c>
      <c r="CX1041" s="336" t="s">
        <v>539</v>
      </c>
      <c r="CY1041" s="230" t="s">
        <v>5921</v>
      </c>
    </row>
    <row r="1042" spans="1:103" ht="11.25" customHeight="1" x14ac:dyDescent="0.2">
      <c r="A1042" s="72">
        <v>1040</v>
      </c>
      <c r="B1042" s="224">
        <v>1269</v>
      </c>
      <c r="C1042" s="46" t="s">
        <v>7209</v>
      </c>
      <c r="D1042" s="46"/>
      <c r="E1042" s="114"/>
      <c r="F1042" s="114" t="s">
        <v>3483</v>
      </c>
      <c r="G1042" s="225">
        <v>122349</v>
      </c>
      <c r="H1042" s="47" t="s">
        <v>3484</v>
      </c>
      <c r="I1042" s="47" t="s">
        <v>8041</v>
      </c>
      <c r="J1042" s="47" t="s">
        <v>3485</v>
      </c>
      <c r="K1042" s="47" t="s">
        <v>940</v>
      </c>
      <c r="L1042" s="47" t="s">
        <v>5997</v>
      </c>
      <c r="M1042" s="47" t="s">
        <v>6082</v>
      </c>
      <c r="N1042" s="47" t="s">
        <v>6082</v>
      </c>
      <c r="O1042" s="47" t="s">
        <v>6083</v>
      </c>
      <c r="P1042" s="53"/>
      <c r="Q1042" s="53"/>
      <c r="R1042" s="53"/>
      <c r="S1042" s="53"/>
      <c r="T1042" s="48">
        <v>201.66</v>
      </c>
      <c r="U1042" s="98">
        <v>3.0744818010512747E-2</v>
      </c>
      <c r="V1042" s="98">
        <v>2.9252206684518498</v>
      </c>
      <c r="W1042" s="98">
        <v>0.7079457843841378</v>
      </c>
      <c r="X1042" s="98">
        <v>3.0744818010512747E-2</v>
      </c>
      <c r="Y1042" s="233">
        <v>7.08</v>
      </c>
      <c r="Z1042" s="48">
        <v>2.4</v>
      </c>
      <c r="AA1042" s="48">
        <v>2.1800000000000002</v>
      </c>
      <c r="AB1042" s="48">
        <v>2.2999999999999998</v>
      </c>
      <c r="AC1042" s="48">
        <v>0.89880000000000004</v>
      </c>
      <c r="AD1042" s="48">
        <v>2.29</v>
      </c>
      <c r="AE1042" s="48">
        <v>2.2799999999999998</v>
      </c>
      <c r="AF1042" s="48">
        <f t="shared" si="289"/>
        <v>2.1800000000000002</v>
      </c>
      <c r="AG1042" s="49">
        <v>2.0299999999999998</v>
      </c>
      <c r="AH1042" s="98">
        <v>3.3700000000000001E-9</v>
      </c>
      <c r="AI1042" s="98">
        <v>9.4200000000000006E-10</v>
      </c>
      <c r="AJ1042" s="483">
        <f t="shared" si="288"/>
        <v>-6.860936425441313</v>
      </c>
      <c r="AK1042" s="483">
        <f t="shared" si="292"/>
        <v>-7.4145154235197746</v>
      </c>
      <c r="AL1042" s="483">
        <f t="shared" si="287"/>
        <v>-7.4145154235197746</v>
      </c>
      <c r="AM1042" s="483">
        <v>-10.260070000000001</v>
      </c>
      <c r="AN1042" s="226">
        <v>-8.4600000000000009</v>
      </c>
      <c r="AO1042" s="484"/>
      <c r="AP1042" s="484">
        <v>2.71</v>
      </c>
      <c r="AQ1042" s="48" t="s">
        <v>6311</v>
      </c>
      <c r="AR1042" s="48" t="s">
        <v>6311</v>
      </c>
      <c r="AS1042" s="227"/>
      <c r="AT1042" s="50" t="s">
        <v>266</v>
      </c>
      <c r="AU1042" s="48">
        <v>6</v>
      </c>
      <c r="AV1042" s="48">
        <v>120</v>
      </c>
      <c r="AW1042" s="48">
        <v>114</v>
      </c>
      <c r="AX1042" s="48">
        <v>28</v>
      </c>
      <c r="AY1042" s="48" t="s">
        <v>8728</v>
      </c>
      <c r="AZ1042" s="48" t="s">
        <v>1563</v>
      </c>
      <c r="BA1042" s="48">
        <v>32</v>
      </c>
      <c r="BB1042" s="47" t="s">
        <v>2485</v>
      </c>
      <c r="BC1042" s="47" t="s">
        <v>8726</v>
      </c>
      <c r="BD1042" s="47" t="s">
        <v>8374</v>
      </c>
      <c r="BE1042" s="48" t="s">
        <v>2449</v>
      </c>
      <c r="BF1042" s="48" t="s">
        <v>272</v>
      </c>
      <c r="BG1042" s="48" t="s">
        <v>272</v>
      </c>
      <c r="BH1042" s="48" t="s">
        <v>2486</v>
      </c>
      <c r="BI1042" s="98">
        <v>6.3999999999999997E-6</v>
      </c>
      <c r="BJ1042" s="98">
        <v>6.4000000000000001E-2</v>
      </c>
      <c r="BK1042" s="48"/>
      <c r="BL1042" s="98">
        <f t="shared" ref="BL1042:BL1105" si="295">10^((-0.8981*Z1042)+1.7108)</f>
        <v>0.35921957937803489</v>
      </c>
      <c r="BM1042" s="47" t="s">
        <v>2487</v>
      </c>
      <c r="BN1042" s="48"/>
      <c r="BO1042" s="48"/>
      <c r="BP1042" s="48"/>
      <c r="BQ1042" s="48"/>
      <c r="BR1042" s="47" t="s">
        <v>2496</v>
      </c>
      <c r="BS1042" s="48"/>
      <c r="BT1042" s="48"/>
      <c r="BU1042" s="228">
        <v>6.3999999999999997E-6</v>
      </c>
      <c r="BV1042" s="48"/>
      <c r="BW1042" s="48"/>
      <c r="BX1042" s="48"/>
      <c r="BY1042" s="48"/>
      <c r="BZ1042" s="48"/>
      <c r="CA1042" s="48"/>
      <c r="CB1042" s="48"/>
      <c r="CC1042" s="48"/>
      <c r="CD1042" s="48"/>
      <c r="CE1042" s="48"/>
      <c r="CF1042" s="48"/>
      <c r="CG1042" s="48"/>
      <c r="CH1042" s="48"/>
      <c r="CI1042" s="98"/>
      <c r="CJ1042" s="98"/>
      <c r="CK1042" s="49">
        <f t="shared" si="291"/>
        <v>5.6128059277817952</v>
      </c>
      <c r="CL1042" s="229"/>
      <c r="CM1042" s="229"/>
      <c r="CN1042" s="229"/>
      <c r="CO1042" s="47" t="s">
        <v>2488</v>
      </c>
      <c r="CP1042" s="47" t="s">
        <v>2489</v>
      </c>
      <c r="CQ1042" s="224">
        <v>-0.59099570009046432</v>
      </c>
      <c r="CR1042" s="224">
        <f t="shared" si="293"/>
        <v>3.8993812591607728</v>
      </c>
      <c r="CS1042" s="230" t="s">
        <v>539</v>
      </c>
      <c r="CT1042" s="230"/>
      <c r="CU1042" s="230"/>
      <c r="CV1042" s="335">
        <f t="shared" si="294"/>
        <v>0.48038778141426164</v>
      </c>
      <c r="CW1042" s="230">
        <f t="shared" si="290"/>
        <v>0</v>
      </c>
      <c r="CX1042" s="336"/>
      <c r="CY1042" s="230" t="s">
        <v>5921</v>
      </c>
    </row>
    <row r="1043" spans="1:103" ht="11.25" customHeight="1" x14ac:dyDescent="0.2">
      <c r="A1043" s="72">
        <v>1041</v>
      </c>
      <c r="B1043" s="224">
        <v>1364</v>
      </c>
      <c r="C1043" s="46" t="s">
        <v>7210</v>
      </c>
      <c r="D1043" s="46"/>
      <c r="E1043" s="114"/>
      <c r="F1043" s="114" t="s">
        <v>4212</v>
      </c>
      <c r="G1043" s="225">
        <v>122667</v>
      </c>
      <c r="H1043" s="47" t="s">
        <v>4213</v>
      </c>
      <c r="I1043" s="47" t="s">
        <v>4213</v>
      </c>
      <c r="J1043" s="47" t="s">
        <v>4214</v>
      </c>
      <c r="K1043" s="47" t="s">
        <v>2281</v>
      </c>
      <c r="L1043" s="47" t="s">
        <v>5527</v>
      </c>
      <c r="M1043" s="47" t="s">
        <v>5960</v>
      </c>
      <c r="N1043" s="47"/>
      <c r="O1043" s="47"/>
      <c r="P1043" s="53"/>
      <c r="Q1043" s="53"/>
      <c r="R1043" s="53"/>
      <c r="S1043" s="53"/>
      <c r="T1043" s="48">
        <v>184.24</v>
      </c>
      <c r="U1043" s="98">
        <v>1.1995223621363438</v>
      </c>
      <c r="V1043" s="98">
        <v>0.87874511506730346</v>
      </c>
      <c r="W1043" s="98">
        <v>1.318256738556407</v>
      </c>
      <c r="X1043" s="98">
        <v>1.1995223621363438</v>
      </c>
      <c r="Y1043" s="233">
        <v>7.19</v>
      </c>
      <c r="Z1043" s="48">
        <v>3.06</v>
      </c>
      <c r="AA1043" s="48">
        <v>2.94</v>
      </c>
      <c r="AB1043" s="48">
        <v>2.79</v>
      </c>
      <c r="AC1043" s="48">
        <v>0.80800000000000005</v>
      </c>
      <c r="AD1043" s="48">
        <v>2.83</v>
      </c>
      <c r="AE1043" s="48">
        <v>2.94</v>
      </c>
      <c r="AF1043" s="48">
        <f t="shared" si="289"/>
        <v>2.94</v>
      </c>
      <c r="AG1043" s="49">
        <v>3.2</v>
      </c>
      <c r="AH1043" s="98">
        <v>4.3899999999999999E-9</v>
      </c>
      <c r="AI1043" s="98">
        <v>4.7800000000000002E-7</v>
      </c>
      <c r="AJ1043" s="483">
        <f t="shared" si="288"/>
        <v>-6.7461018060705307</v>
      </c>
      <c r="AK1043" s="483">
        <f t="shared" si="292"/>
        <v>-4.7091384297005332</v>
      </c>
      <c r="AL1043" s="483">
        <f t="shared" si="287"/>
        <v>-4.7091384297005332</v>
      </c>
      <c r="AM1043" s="483">
        <v>-10.99714</v>
      </c>
      <c r="AN1043" s="226">
        <v>-6.52</v>
      </c>
      <c r="AO1043" s="484"/>
      <c r="AP1043" s="484">
        <v>3.02</v>
      </c>
      <c r="AQ1043" s="48" t="s">
        <v>6311</v>
      </c>
      <c r="AR1043" s="48" t="s">
        <v>6311</v>
      </c>
      <c r="AS1043" s="227"/>
      <c r="AT1043" s="50" t="s">
        <v>266</v>
      </c>
      <c r="AU1043" s="48">
        <v>6</v>
      </c>
      <c r="AV1043" s="48">
        <v>120</v>
      </c>
      <c r="AW1043" s="48">
        <v>114</v>
      </c>
      <c r="AX1043" s="48">
        <v>28</v>
      </c>
      <c r="AY1043" s="48" t="s">
        <v>8728</v>
      </c>
      <c r="AZ1043" s="48" t="s">
        <v>1563</v>
      </c>
      <c r="BA1043" s="48">
        <v>32</v>
      </c>
      <c r="BB1043" s="47" t="s">
        <v>2485</v>
      </c>
      <c r="BC1043" s="47" t="s">
        <v>8726</v>
      </c>
      <c r="BD1043" s="47" t="s">
        <v>8374</v>
      </c>
      <c r="BE1043" s="48" t="s">
        <v>2449</v>
      </c>
      <c r="BF1043" s="48" t="s">
        <v>272</v>
      </c>
      <c r="BG1043" s="48" t="s">
        <v>272</v>
      </c>
      <c r="BH1043" s="48" t="s">
        <v>2486</v>
      </c>
      <c r="BI1043" s="98">
        <v>6.3999999999999997E-6</v>
      </c>
      <c r="BJ1043" s="98">
        <v>6.4000000000000001E-2</v>
      </c>
      <c r="BK1043" s="48"/>
      <c r="BL1043" s="98">
        <f t="shared" si="295"/>
        <v>9.1751674706632022E-2</v>
      </c>
      <c r="BM1043" s="47" t="s">
        <v>2487</v>
      </c>
      <c r="BN1043" s="48"/>
      <c r="BO1043" s="48"/>
      <c r="BP1043" s="48"/>
      <c r="BQ1043" s="48"/>
      <c r="BR1043" s="47" t="s">
        <v>2496</v>
      </c>
      <c r="BS1043" s="48"/>
      <c r="BT1043" s="48"/>
      <c r="BU1043" s="228"/>
      <c r="BV1043" s="48"/>
      <c r="BW1043" s="48"/>
      <c r="BX1043" s="48"/>
      <c r="BY1043" s="48"/>
      <c r="BZ1043" s="48"/>
      <c r="CA1043" s="48"/>
      <c r="CB1043" s="48"/>
      <c r="CC1043" s="48"/>
      <c r="CD1043" s="48"/>
      <c r="CE1043" s="48"/>
      <c r="CF1043" s="48"/>
      <c r="CG1043" s="48"/>
      <c r="CH1043" s="48"/>
      <c r="CI1043" s="98"/>
      <c r="CJ1043" s="98"/>
      <c r="CK1043" s="49">
        <f t="shared" si="291"/>
        <v>1.4336199172911253</v>
      </c>
      <c r="CL1043" s="229"/>
      <c r="CM1043" s="229"/>
      <c r="CN1043" s="229"/>
      <c r="CO1043" s="47" t="s">
        <v>2488</v>
      </c>
      <c r="CP1043" s="47" t="s">
        <v>2489</v>
      </c>
      <c r="CQ1043" s="224">
        <v>-2.8324175908595817</v>
      </c>
      <c r="CR1043" s="224">
        <f t="shared" si="293"/>
        <v>679.85702713294666</v>
      </c>
      <c r="CS1043" s="230" t="s">
        <v>539</v>
      </c>
      <c r="CT1043" s="230"/>
      <c r="CU1043" s="230"/>
      <c r="CV1043" s="335">
        <f t="shared" si="294"/>
        <v>18.742536908380369</v>
      </c>
      <c r="CW1043" s="230">
        <f t="shared" si="290"/>
        <v>1</v>
      </c>
      <c r="CX1043" s="336"/>
      <c r="CY1043" s="230" t="s">
        <v>5921</v>
      </c>
    </row>
    <row r="1044" spans="1:103" ht="11.25" customHeight="1" x14ac:dyDescent="0.2">
      <c r="A1044" s="72">
        <v>1042</v>
      </c>
      <c r="B1044" s="224">
        <v>430</v>
      </c>
      <c r="C1044" s="46" t="s">
        <v>7211</v>
      </c>
      <c r="D1044" s="46"/>
      <c r="E1044" s="114"/>
      <c r="F1044" s="114" t="s">
        <v>3976</v>
      </c>
      <c r="G1044" s="225">
        <v>122996</v>
      </c>
      <c r="H1044" s="47" t="s">
        <v>3977</v>
      </c>
      <c r="I1044" s="47" t="s">
        <v>3977</v>
      </c>
      <c r="J1044" s="47" t="s">
        <v>3978</v>
      </c>
      <c r="K1044" s="47" t="s">
        <v>426</v>
      </c>
      <c r="L1044" s="47"/>
      <c r="M1044" s="47"/>
      <c r="N1044" s="47"/>
      <c r="O1044" s="47"/>
      <c r="P1044" s="53"/>
      <c r="Q1044" s="53"/>
      <c r="R1044" s="53"/>
      <c r="S1044" s="53"/>
      <c r="T1044" s="48">
        <v>138.16</v>
      </c>
      <c r="U1044" s="98">
        <v>193.25419803126809</v>
      </c>
      <c r="V1044" s="98">
        <v>203.96641574985526</v>
      </c>
      <c r="W1044" s="98">
        <v>120.22644346174128</v>
      </c>
      <c r="X1044" s="98">
        <v>193.25419803126809</v>
      </c>
      <c r="Y1044" s="233">
        <v>6.99</v>
      </c>
      <c r="Z1044" s="48">
        <v>1.1000000000000001</v>
      </c>
      <c r="AA1044" s="48">
        <v>1.1599999999999999</v>
      </c>
      <c r="AB1044" s="48">
        <v>1.34</v>
      </c>
      <c r="AC1044" s="48">
        <v>0.93079999999999996</v>
      </c>
      <c r="AD1044" s="48">
        <v>1.3</v>
      </c>
      <c r="AE1044" s="48">
        <v>1.1599999999999999</v>
      </c>
      <c r="AF1044" s="48">
        <f t="shared" si="289"/>
        <v>1.1599999999999999</v>
      </c>
      <c r="AG1044" s="49">
        <v>1.23</v>
      </c>
      <c r="AH1044" s="98">
        <v>1.55E-8</v>
      </c>
      <c r="AI1044" s="98">
        <v>4.7199999999999999E-8</v>
      </c>
      <c r="AJ1044" s="483">
        <f t="shared" si="288"/>
        <v>-6.1982346281423606</v>
      </c>
      <c r="AK1044" s="483">
        <f t="shared" si="292"/>
        <v>-5.714624327678564</v>
      </c>
      <c r="AL1044" s="483">
        <f t="shared" si="287"/>
        <v>-5.714624327678564</v>
      </c>
      <c r="AM1044" s="483">
        <v>-7.5880599999999996</v>
      </c>
      <c r="AN1044" s="226">
        <v>-4.8899999999999997</v>
      </c>
      <c r="AO1044" s="484">
        <v>14.36</v>
      </c>
      <c r="AP1044" s="484"/>
      <c r="AQ1044" s="226" t="s">
        <v>6311</v>
      </c>
      <c r="AR1044" s="226" t="s">
        <v>6311</v>
      </c>
      <c r="AS1044" s="224" t="s">
        <v>6</v>
      </c>
      <c r="AT1044" s="50" t="s">
        <v>266</v>
      </c>
      <c r="AU1044" s="48">
        <v>8</v>
      </c>
      <c r="AV1044" s="48">
        <v>144</v>
      </c>
      <c r="AW1044" s="48">
        <v>120</v>
      </c>
      <c r="AX1044" s="48">
        <v>26</v>
      </c>
      <c r="AY1044" s="48" t="s">
        <v>267</v>
      </c>
      <c r="AZ1044" s="48" t="s">
        <v>2253</v>
      </c>
      <c r="BA1044" s="48">
        <v>2</v>
      </c>
      <c r="BB1044" s="47" t="s">
        <v>2254</v>
      </c>
      <c r="BC1044" s="47" t="s">
        <v>270</v>
      </c>
      <c r="BD1044" s="47" t="s">
        <v>8374</v>
      </c>
      <c r="BE1044" s="48" t="s">
        <v>1712</v>
      </c>
      <c r="BF1044" s="48" t="s">
        <v>272</v>
      </c>
      <c r="BG1044" s="48" t="s">
        <v>272</v>
      </c>
      <c r="BH1044" s="48" t="s">
        <v>2255</v>
      </c>
      <c r="BI1044" s="98">
        <v>9.9999999999999995E-7</v>
      </c>
      <c r="BJ1044" s="98">
        <v>0.08</v>
      </c>
      <c r="BK1044" s="48"/>
      <c r="BL1044" s="98">
        <f t="shared" si="295"/>
        <v>5.283114218069028</v>
      </c>
      <c r="BM1044" s="48" t="s">
        <v>891</v>
      </c>
      <c r="BN1044" s="233"/>
      <c r="BO1044" s="233"/>
      <c r="BP1044" s="233"/>
      <c r="BQ1044" s="233"/>
      <c r="BR1044" s="233"/>
      <c r="BS1044" s="48"/>
      <c r="BT1044" s="233"/>
      <c r="BU1044" s="228"/>
      <c r="BV1044" s="233"/>
      <c r="BW1044" s="233"/>
      <c r="BX1044" s="233"/>
      <c r="BY1044" s="233"/>
      <c r="BZ1044" s="233"/>
      <c r="CA1044" s="233"/>
      <c r="CB1044" s="233"/>
      <c r="CC1044" s="48"/>
      <c r="CD1044" s="48"/>
      <c r="CE1044" s="48"/>
      <c r="CF1044" s="48"/>
      <c r="CG1044" s="233"/>
      <c r="CH1044" s="48"/>
      <c r="CI1044" s="98"/>
      <c r="CJ1044" s="98"/>
      <c r="CK1044" s="49">
        <f t="shared" si="291"/>
        <v>66.038927725862848</v>
      </c>
      <c r="CL1044" s="229"/>
      <c r="CM1044" s="229"/>
      <c r="CN1044" s="229"/>
      <c r="CO1044" s="47" t="s">
        <v>892</v>
      </c>
      <c r="CP1044" s="47" t="s">
        <v>893</v>
      </c>
      <c r="CQ1044" s="224">
        <v>0.39994715023147137</v>
      </c>
      <c r="CR1044" s="224">
        <f t="shared" si="293"/>
        <v>0.39815561959654172</v>
      </c>
      <c r="CS1044" s="230" t="s">
        <v>539</v>
      </c>
      <c r="CT1044" s="230"/>
      <c r="CU1044" s="230"/>
      <c r="CV1044" s="335">
        <f t="shared" si="294"/>
        <v>2415.6774753908512</v>
      </c>
      <c r="CW1044" s="230">
        <f t="shared" si="290"/>
        <v>1</v>
      </c>
      <c r="CX1044" s="336" t="s">
        <v>539</v>
      </c>
      <c r="CY1044" s="230" t="s">
        <v>6351</v>
      </c>
    </row>
    <row r="1045" spans="1:103" ht="11.25" customHeight="1" x14ac:dyDescent="0.2">
      <c r="A1045" s="72">
        <v>1043</v>
      </c>
      <c r="B1045" s="224">
        <v>1403</v>
      </c>
      <c r="C1045" s="46" t="s">
        <v>7212</v>
      </c>
      <c r="D1045" s="46"/>
      <c r="E1045" s="114"/>
      <c r="F1045" s="114" t="s">
        <v>3976</v>
      </c>
      <c r="G1045" s="225">
        <v>122996</v>
      </c>
      <c r="H1045" s="47" t="s">
        <v>3977</v>
      </c>
      <c r="I1045" s="47" t="s">
        <v>3977</v>
      </c>
      <c r="J1045" s="47" t="s">
        <v>3978</v>
      </c>
      <c r="K1045" s="47" t="s">
        <v>426</v>
      </c>
      <c r="L1045" s="47"/>
      <c r="M1045" s="47"/>
      <c r="N1045" s="47"/>
      <c r="O1045" s="47"/>
      <c r="P1045" s="53" t="s">
        <v>6183</v>
      </c>
      <c r="Q1045" s="53" t="s">
        <v>6179</v>
      </c>
      <c r="R1045" s="53" t="s">
        <v>6185</v>
      </c>
      <c r="S1045" s="53" t="s">
        <v>6176</v>
      </c>
      <c r="T1045" s="48">
        <v>138.16</v>
      </c>
      <c r="U1045" s="98">
        <v>193.25419803126809</v>
      </c>
      <c r="V1045" s="98">
        <v>203.96641574985526</v>
      </c>
      <c r="W1045" s="98">
        <v>120.22644346174128</v>
      </c>
      <c r="X1045" s="98">
        <v>193.25419803126809</v>
      </c>
      <c r="Y1045" s="233">
        <v>6.99</v>
      </c>
      <c r="Z1045" s="48">
        <v>1.1000000000000001</v>
      </c>
      <c r="AA1045" s="48">
        <v>1.1599999999999999</v>
      </c>
      <c r="AB1045" s="48">
        <v>1.34</v>
      </c>
      <c r="AC1045" s="48">
        <v>0.93079999999999996</v>
      </c>
      <c r="AD1045" s="48">
        <v>1.3</v>
      </c>
      <c r="AE1045" s="48">
        <v>1.1599999999999999</v>
      </c>
      <c r="AF1045" s="48">
        <f t="shared" si="289"/>
        <v>1.1599999999999999</v>
      </c>
      <c r="AG1045" s="49">
        <v>1.23</v>
      </c>
      <c r="AH1045" s="98">
        <v>1.55E-8</v>
      </c>
      <c r="AI1045" s="98">
        <v>4.7199999999999999E-8</v>
      </c>
      <c r="AJ1045" s="483">
        <f t="shared" si="288"/>
        <v>-6.1982346281423606</v>
      </c>
      <c r="AK1045" s="483">
        <f t="shared" si="292"/>
        <v>-5.714624327678564</v>
      </c>
      <c r="AL1045" s="483">
        <f t="shared" si="287"/>
        <v>-5.714624327678564</v>
      </c>
      <c r="AM1045" s="483">
        <v>-7.5880599999999996</v>
      </c>
      <c r="AN1045" s="226">
        <v>-4.8899999999999997</v>
      </c>
      <c r="AO1045" s="484">
        <v>14.36</v>
      </c>
      <c r="AP1045" s="484"/>
      <c r="AQ1045" s="48" t="s">
        <v>6311</v>
      </c>
      <c r="AR1045" s="48" t="s">
        <v>6311</v>
      </c>
      <c r="AS1045" s="227"/>
      <c r="AT1045" s="50" t="s">
        <v>266</v>
      </c>
      <c r="AU1045" s="48">
        <v>6</v>
      </c>
      <c r="AV1045" s="48">
        <v>120</v>
      </c>
      <c r="AW1045" s="48">
        <v>114</v>
      </c>
      <c r="AX1045" s="48">
        <v>28</v>
      </c>
      <c r="AY1045" s="48" t="s">
        <v>8728</v>
      </c>
      <c r="AZ1045" s="48" t="s">
        <v>1563</v>
      </c>
      <c r="BA1045" s="48">
        <v>32</v>
      </c>
      <c r="BB1045" s="47" t="s">
        <v>2485</v>
      </c>
      <c r="BC1045" s="47" t="s">
        <v>8726</v>
      </c>
      <c r="BD1045" s="47" t="s">
        <v>8374</v>
      </c>
      <c r="BE1045" s="48" t="s">
        <v>2449</v>
      </c>
      <c r="BF1045" s="48" t="s">
        <v>272</v>
      </c>
      <c r="BG1045" s="48" t="s">
        <v>272</v>
      </c>
      <c r="BH1045" s="48" t="s">
        <v>2486</v>
      </c>
      <c r="BI1045" s="98">
        <v>6.3999999999999997E-6</v>
      </c>
      <c r="BJ1045" s="98">
        <v>6.4000000000000001E-2</v>
      </c>
      <c r="BK1045" s="48"/>
      <c r="BL1045" s="98">
        <f t="shared" si="295"/>
        <v>5.283114218069028</v>
      </c>
      <c r="BM1045" s="47" t="s">
        <v>2487</v>
      </c>
      <c r="BN1045" s="48"/>
      <c r="BO1045" s="48"/>
      <c r="BP1045" s="48"/>
      <c r="BQ1045" s="48"/>
      <c r="BR1045" s="47" t="s">
        <v>2496</v>
      </c>
      <c r="BS1045" s="48"/>
      <c r="BT1045" s="48"/>
      <c r="BU1045" s="228"/>
      <c r="BV1045" s="48"/>
      <c r="BW1045" s="48"/>
      <c r="BX1045" s="48"/>
      <c r="BY1045" s="48"/>
      <c r="BZ1045" s="48"/>
      <c r="CA1045" s="48"/>
      <c r="CB1045" s="48"/>
      <c r="CC1045" s="48"/>
      <c r="CD1045" s="48"/>
      <c r="CE1045" s="48"/>
      <c r="CF1045" s="48"/>
      <c r="CG1045" s="48"/>
      <c r="CH1045" s="48"/>
      <c r="CI1045" s="52" t="s">
        <v>6347</v>
      </c>
      <c r="CJ1045" s="98"/>
      <c r="CK1045" s="49">
        <f t="shared" si="291"/>
        <v>82.548659657328557</v>
      </c>
      <c r="CL1045" s="229"/>
      <c r="CM1045" s="229"/>
      <c r="CN1045" s="229"/>
      <c r="CO1045" s="47" t="s">
        <v>2488</v>
      </c>
      <c r="CP1045" s="47" t="s">
        <v>2489</v>
      </c>
      <c r="CQ1045" s="224">
        <v>0.39994715023147137</v>
      </c>
      <c r="CR1045" s="224">
        <f t="shared" si="293"/>
        <v>0.39815561959654172</v>
      </c>
      <c r="CS1045" s="230" t="s">
        <v>539</v>
      </c>
      <c r="CT1045" s="230"/>
      <c r="CU1045" s="230"/>
      <c r="CV1045" s="335">
        <f t="shared" si="294"/>
        <v>3019.5968442385638</v>
      </c>
      <c r="CW1045" s="230">
        <f t="shared" si="290"/>
        <v>1</v>
      </c>
      <c r="CX1045" s="336"/>
      <c r="CY1045" s="230" t="s">
        <v>6351</v>
      </c>
    </row>
    <row r="1046" spans="1:103" ht="11.25" customHeight="1" x14ac:dyDescent="0.2">
      <c r="A1046" s="72">
        <v>1044</v>
      </c>
      <c r="B1046" s="224">
        <v>1604</v>
      </c>
      <c r="C1046" s="46" t="s">
        <v>7213</v>
      </c>
      <c r="D1046" s="46"/>
      <c r="E1046" s="114"/>
      <c r="F1046" s="114" t="s">
        <v>4765</v>
      </c>
      <c r="G1046" s="225">
        <v>123251</v>
      </c>
      <c r="H1046" s="47" t="s">
        <v>4766</v>
      </c>
      <c r="I1046" s="47" t="s">
        <v>4766</v>
      </c>
      <c r="J1046" s="47" t="s">
        <v>4767</v>
      </c>
      <c r="K1046" s="47" t="s">
        <v>357</v>
      </c>
      <c r="L1046" s="47"/>
      <c r="M1046" s="47"/>
      <c r="N1046" s="47"/>
      <c r="O1046" s="47"/>
      <c r="P1046" s="53"/>
      <c r="Q1046" s="53" t="s">
        <v>6173</v>
      </c>
      <c r="R1046" s="53" t="s">
        <v>6175</v>
      </c>
      <c r="S1046" s="53" t="s">
        <v>6182</v>
      </c>
      <c r="T1046" s="48">
        <v>174.19</v>
      </c>
      <c r="U1046" s="98">
        <v>109.650381767036</v>
      </c>
      <c r="V1046" s="98">
        <v>31.844537573913541</v>
      </c>
      <c r="W1046" s="98">
        <v>63.095734448019314</v>
      </c>
      <c r="X1046" s="98">
        <v>109.650381767036</v>
      </c>
      <c r="Y1046" s="233">
        <v>7</v>
      </c>
      <c r="Z1046" s="48">
        <v>1.39</v>
      </c>
      <c r="AA1046" s="48">
        <v>1.2</v>
      </c>
      <c r="AB1046" s="48">
        <v>1.19</v>
      </c>
      <c r="AC1046" s="48">
        <v>0.88660000000000005</v>
      </c>
      <c r="AD1046" s="48">
        <v>1.21</v>
      </c>
      <c r="AE1046" s="48">
        <v>1.26</v>
      </c>
      <c r="AF1046" s="48">
        <f t="shared" si="289"/>
        <v>1.2</v>
      </c>
      <c r="AG1046" s="49">
        <v>0.88</v>
      </c>
      <c r="AH1046" s="98">
        <v>9.7699999999999992E-7</v>
      </c>
      <c r="AI1046" s="98">
        <v>5.2699999999999999E-7</v>
      </c>
      <c r="AJ1046" s="483">
        <f t="shared" si="288"/>
        <v>-4.3986717625938789</v>
      </c>
      <c r="AK1046" s="483">
        <f t="shared" si="292"/>
        <v>-4.6667557111001052</v>
      </c>
      <c r="AL1046" s="483">
        <f t="shared" si="287"/>
        <v>-4.6667557111001052</v>
      </c>
      <c r="AM1046" s="483">
        <v>-5.9673600000000002</v>
      </c>
      <c r="AN1046" s="226">
        <v>-4.8899999999999997</v>
      </c>
      <c r="AO1046" s="484"/>
      <c r="AP1046" s="484"/>
      <c r="AQ1046" s="48" t="s">
        <v>6311</v>
      </c>
      <c r="AR1046" s="48" t="s">
        <v>6312</v>
      </c>
      <c r="AS1046" s="227"/>
      <c r="AT1046" s="50" t="s">
        <v>266</v>
      </c>
      <c r="AU1046" s="48">
        <v>6</v>
      </c>
      <c r="AV1046" s="48">
        <v>120</v>
      </c>
      <c r="AW1046" s="48">
        <v>114</v>
      </c>
      <c r="AX1046" s="48">
        <v>28</v>
      </c>
      <c r="AY1046" s="48" t="s">
        <v>8728</v>
      </c>
      <c r="AZ1046" s="48" t="s">
        <v>1563</v>
      </c>
      <c r="BA1046" s="48">
        <v>32</v>
      </c>
      <c r="BB1046" s="47" t="s">
        <v>2485</v>
      </c>
      <c r="BC1046" s="47" t="s">
        <v>8726</v>
      </c>
      <c r="BD1046" s="47" t="s">
        <v>8374</v>
      </c>
      <c r="BE1046" s="48" t="s">
        <v>2449</v>
      </c>
      <c r="BF1046" s="48" t="s">
        <v>272</v>
      </c>
      <c r="BG1046" s="48" t="s">
        <v>272</v>
      </c>
      <c r="BH1046" s="48" t="s">
        <v>2486</v>
      </c>
      <c r="BI1046" s="98">
        <v>6.3999999999999997E-6</v>
      </c>
      <c r="BJ1046" s="98">
        <v>6.4000000000000001E-2</v>
      </c>
      <c r="BK1046" s="48"/>
      <c r="BL1046" s="98">
        <f t="shared" si="295"/>
        <v>2.9002871606073235</v>
      </c>
      <c r="BM1046" s="47" t="s">
        <v>2487</v>
      </c>
      <c r="BN1046" s="48"/>
      <c r="BO1046" s="48"/>
      <c r="BP1046" s="48"/>
      <c r="BQ1046" s="48"/>
      <c r="BR1046" s="47" t="s">
        <v>2496</v>
      </c>
      <c r="BS1046" s="48"/>
      <c r="BT1046" s="48"/>
      <c r="BU1046" s="228"/>
      <c r="BV1046" s="48"/>
      <c r="BW1046" s="48"/>
      <c r="BX1046" s="48"/>
      <c r="BY1046" s="48"/>
      <c r="BZ1046" s="48"/>
      <c r="CA1046" s="48"/>
      <c r="CB1046" s="48"/>
      <c r="CC1046" s="48"/>
      <c r="CD1046" s="48"/>
      <c r="CE1046" s="48"/>
      <c r="CF1046" s="48"/>
      <c r="CG1046" s="48"/>
      <c r="CH1046" s="48"/>
      <c r="CI1046" s="98"/>
      <c r="CJ1046" s="98"/>
      <c r="CK1046" s="49">
        <f t="shared" si="291"/>
        <v>45.316986884489431</v>
      </c>
      <c r="CL1046" s="229"/>
      <c r="CM1046" s="229"/>
      <c r="CN1046" s="229"/>
      <c r="CO1046" s="47" t="s">
        <v>2488</v>
      </c>
      <c r="CP1046" s="47" t="s">
        <v>2489</v>
      </c>
      <c r="CQ1046" s="224">
        <v>-9.4895183480904699E-2</v>
      </c>
      <c r="CR1046" s="224">
        <f t="shared" si="293"/>
        <v>1.2442142857142857</v>
      </c>
      <c r="CS1046" s="230" t="s">
        <v>539</v>
      </c>
      <c r="CT1046" s="230"/>
      <c r="CU1046" s="230"/>
      <c r="CV1046" s="335">
        <f t="shared" si="294"/>
        <v>1713.2872151099373</v>
      </c>
      <c r="CW1046" s="230">
        <f t="shared" si="290"/>
        <v>1</v>
      </c>
      <c r="CX1046" s="336"/>
      <c r="CY1046" s="230" t="s">
        <v>5921</v>
      </c>
    </row>
    <row r="1047" spans="1:103" ht="11.25" customHeight="1" x14ac:dyDescent="0.2">
      <c r="A1047" s="72">
        <v>1045</v>
      </c>
      <c r="B1047" s="224">
        <v>369</v>
      </c>
      <c r="C1047" s="46" t="s">
        <v>7214</v>
      </c>
      <c r="D1047" s="46"/>
      <c r="E1047" s="114"/>
      <c r="F1047" s="114" t="s">
        <v>3913</v>
      </c>
      <c r="G1047" s="225">
        <v>123331</v>
      </c>
      <c r="H1047" s="47" t="s">
        <v>3914</v>
      </c>
      <c r="I1047" s="47" t="s">
        <v>3914</v>
      </c>
      <c r="J1047" s="47" t="s">
        <v>3915</v>
      </c>
      <c r="K1047" s="47" t="s">
        <v>2281</v>
      </c>
      <c r="L1047" s="47"/>
      <c r="M1047" s="47"/>
      <c r="N1047" s="47"/>
      <c r="O1047" s="47"/>
      <c r="P1047" s="53"/>
      <c r="Q1047" s="53"/>
      <c r="R1047" s="53"/>
      <c r="S1047" s="53"/>
      <c r="T1047" s="48">
        <v>112.09</v>
      </c>
      <c r="U1047" s="98">
        <v>40.235525024533857</v>
      </c>
      <c r="V1047" s="98">
        <v>244.00035685609777</v>
      </c>
      <c r="W1047" s="98">
        <v>1202.2644346174129</v>
      </c>
      <c r="X1047" s="98">
        <v>40.235525024533857</v>
      </c>
      <c r="Y1047" s="233">
        <v>4.47</v>
      </c>
      <c r="Z1047" s="48">
        <v>-0.89</v>
      </c>
      <c r="AA1047" s="48">
        <v>-0.84</v>
      </c>
      <c r="AB1047" s="48">
        <v>-1.1499999999999999</v>
      </c>
      <c r="AC1047" s="48">
        <v>0.623</v>
      </c>
      <c r="AD1047" s="48">
        <v>-1.02</v>
      </c>
      <c r="AE1047" s="48">
        <v>-0.84</v>
      </c>
      <c r="AF1047" s="48">
        <f t="shared" si="289"/>
        <v>-0.84</v>
      </c>
      <c r="AG1047" s="49">
        <v>0.45</v>
      </c>
      <c r="AH1047" s="98">
        <v>2.6499999999999999E-11</v>
      </c>
      <c r="AI1047" s="98"/>
      <c r="AJ1047" s="483">
        <f t="shared" si="288"/>
        <v>-8.9653204523758436</v>
      </c>
      <c r="AK1047" s="483"/>
      <c r="AL1047" s="483">
        <f t="shared" si="287"/>
        <v>-8.9653204523758436</v>
      </c>
      <c r="AM1047" s="483">
        <v>-14.26005</v>
      </c>
      <c r="AN1047" s="226">
        <v>-8.1199999999999992</v>
      </c>
      <c r="AO1047" s="484">
        <v>9.01</v>
      </c>
      <c r="AP1047" s="484">
        <v>-1.48</v>
      </c>
      <c r="AQ1047" s="226" t="s">
        <v>6311</v>
      </c>
      <c r="AR1047" s="226" t="s">
        <v>6311</v>
      </c>
      <c r="AS1047" s="224" t="s">
        <v>6</v>
      </c>
      <c r="AT1047" s="50" t="s">
        <v>266</v>
      </c>
      <c r="AU1047" s="48">
        <v>8</v>
      </c>
      <c r="AV1047" s="48">
        <v>144</v>
      </c>
      <c r="AW1047" s="48">
        <v>120</v>
      </c>
      <c r="AX1047" s="48">
        <v>26</v>
      </c>
      <c r="AY1047" s="48" t="s">
        <v>267</v>
      </c>
      <c r="AZ1047" s="48" t="s">
        <v>2253</v>
      </c>
      <c r="BA1047" s="48">
        <v>2</v>
      </c>
      <c r="BB1047" s="47" t="s">
        <v>2254</v>
      </c>
      <c r="BC1047" s="47" t="s">
        <v>270</v>
      </c>
      <c r="BD1047" s="47" t="s">
        <v>8374</v>
      </c>
      <c r="BE1047" s="48" t="s">
        <v>1712</v>
      </c>
      <c r="BF1047" s="48" t="s">
        <v>272</v>
      </c>
      <c r="BG1047" s="48" t="s">
        <v>272</v>
      </c>
      <c r="BH1047" s="48" t="s">
        <v>2255</v>
      </c>
      <c r="BI1047" s="98">
        <v>9.9999999999999995E-7</v>
      </c>
      <c r="BJ1047" s="98">
        <v>0.08</v>
      </c>
      <c r="BK1047" s="48"/>
      <c r="BL1047" s="98">
        <f t="shared" si="295"/>
        <v>323.67488323280207</v>
      </c>
      <c r="BM1047" s="48" t="s">
        <v>891</v>
      </c>
      <c r="BN1047" s="233"/>
      <c r="BO1047" s="233"/>
      <c r="BP1047" s="233"/>
      <c r="BQ1047" s="233"/>
      <c r="BR1047" s="233"/>
      <c r="BS1047" s="48"/>
      <c r="BT1047" s="233"/>
      <c r="BU1047" s="228"/>
      <c r="BV1047" s="233"/>
      <c r="BW1047" s="233"/>
      <c r="BX1047" s="233"/>
      <c r="BY1047" s="233"/>
      <c r="BZ1047" s="233"/>
      <c r="CA1047" s="233"/>
      <c r="CB1047" s="233"/>
      <c r="CC1047" s="48"/>
      <c r="CD1047" s="48"/>
      <c r="CE1047" s="48"/>
      <c r="CF1047" s="48"/>
      <c r="CG1047" s="233"/>
      <c r="CH1047" s="48"/>
      <c r="CI1047" s="98"/>
      <c r="CJ1047" s="98"/>
      <c r="CK1047" s="49">
        <f t="shared" si="291"/>
        <v>4045.9360404100257</v>
      </c>
      <c r="CL1047" s="229"/>
      <c r="CM1047" s="229"/>
      <c r="CN1047" s="229"/>
      <c r="CO1047" s="47" t="s">
        <v>892</v>
      </c>
      <c r="CP1047" s="47" t="s">
        <v>893</v>
      </c>
      <c r="CQ1047" s="224" t="s">
        <v>272</v>
      </c>
      <c r="CR1047" s="224"/>
      <c r="CS1047" s="230" t="s">
        <v>539</v>
      </c>
      <c r="CT1047" s="230"/>
      <c r="CU1047" s="230"/>
      <c r="CV1047" s="335">
        <f t="shared" si="294"/>
        <v>502.94406280667317</v>
      </c>
      <c r="CW1047" s="230">
        <f t="shared" si="290"/>
        <v>1</v>
      </c>
      <c r="CX1047" s="336" t="s">
        <v>539</v>
      </c>
      <c r="CY1047" s="230" t="s">
        <v>5921</v>
      </c>
    </row>
    <row r="1048" spans="1:103" ht="11.25" customHeight="1" x14ac:dyDescent="0.2">
      <c r="A1048" s="72">
        <v>1046</v>
      </c>
      <c r="B1048" s="224">
        <v>1722</v>
      </c>
      <c r="C1048" s="46" t="s">
        <v>7214</v>
      </c>
      <c r="D1048" s="46"/>
      <c r="E1048" s="114"/>
      <c r="F1048" s="114" t="s">
        <v>3913</v>
      </c>
      <c r="G1048" s="225">
        <v>123331</v>
      </c>
      <c r="H1048" s="47" t="s">
        <v>3914</v>
      </c>
      <c r="I1048" s="47" t="s">
        <v>3914</v>
      </c>
      <c r="J1048" s="47" t="s">
        <v>4996</v>
      </c>
      <c r="K1048" s="47" t="s">
        <v>2281</v>
      </c>
      <c r="L1048" s="47"/>
      <c r="M1048" s="47"/>
      <c r="N1048" s="47"/>
      <c r="O1048" s="47"/>
      <c r="P1048" s="53"/>
      <c r="Q1048" s="53"/>
      <c r="R1048" s="53"/>
      <c r="S1048" s="53"/>
      <c r="T1048" s="48">
        <v>112.09</v>
      </c>
      <c r="U1048" s="98">
        <v>40.235525024533857</v>
      </c>
      <c r="V1048" s="98">
        <v>244.00035685609777</v>
      </c>
      <c r="W1048" s="98">
        <v>1202.2644346174129</v>
      </c>
      <c r="X1048" s="98">
        <v>40.235525024533857</v>
      </c>
      <c r="Y1048" s="233">
        <v>4.47</v>
      </c>
      <c r="Z1048" s="48">
        <v>-0.89</v>
      </c>
      <c r="AA1048" s="48">
        <v>-0.84</v>
      </c>
      <c r="AB1048" s="48">
        <v>-1.1499999999999999</v>
      </c>
      <c r="AC1048" s="48">
        <v>0.623</v>
      </c>
      <c r="AD1048" s="48">
        <v>-1.02</v>
      </c>
      <c r="AE1048" s="48">
        <v>-0.84</v>
      </c>
      <c r="AF1048" s="48">
        <f t="shared" si="289"/>
        <v>-0.84</v>
      </c>
      <c r="AG1048" s="49">
        <v>-0.06</v>
      </c>
      <c r="AH1048" s="98">
        <v>2.6499999999999999E-11</v>
      </c>
      <c r="AI1048" s="98"/>
      <c r="AJ1048" s="483">
        <f t="shared" si="288"/>
        <v>-8.9653204523758436</v>
      </c>
      <c r="AK1048" s="483"/>
      <c r="AL1048" s="483">
        <f t="shared" si="287"/>
        <v>-8.9653204523758436</v>
      </c>
      <c r="AM1048" s="483">
        <v>-14.26005</v>
      </c>
      <c r="AN1048" s="226">
        <v>-7.19</v>
      </c>
      <c r="AO1048" s="484">
        <v>9.01</v>
      </c>
      <c r="AP1048" s="484">
        <v>-1.48</v>
      </c>
      <c r="AQ1048" s="226" t="s">
        <v>6311</v>
      </c>
      <c r="AR1048" s="226" t="s">
        <v>6311</v>
      </c>
      <c r="AS1048" s="224"/>
      <c r="AT1048" s="50" t="s">
        <v>266</v>
      </c>
      <c r="AU1048" s="48">
        <v>6</v>
      </c>
      <c r="AV1048" s="48">
        <v>120</v>
      </c>
      <c r="AW1048" s="48">
        <v>114</v>
      </c>
      <c r="AX1048" s="48">
        <v>28</v>
      </c>
      <c r="AY1048" s="48" t="s">
        <v>8728</v>
      </c>
      <c r="AZ1048" s="48" t="s">
        <v>1563</v>
      </c>
      <c r="BA1048" s="48">
        <v>32</v>
      </c>
      <c r="BB1048" s="47" t="s">
        <v>2485</v>
      </c>
      <c r="BC1048" s="47" t="s">
        <v>8726</v>
      </c>
      <c r="BD1048" s="47" t="s">
        <v>8374</v>
      </c>
      <c r="BE1048" s="48" t="s">
        <v>2449</v>
      </c>
      <c r="BF1048" s="48" t="s">
        <v>272</v>
      </c>
      <c r="BG1048" s="48" t="s">
        <v>272</v>
      </c>
      <c r="BH1048" s="48" t="s">
        <v>2486</v>
      </c>
      <c r="BI1048" s="98">
        <v>6.3999999999999997E-6</v>
      </c>
      <c r="BJ1048" s="98">
        <v>6.4000000000000001E-2</v>
      </c>
      <c r="BK1048" s="48"/>
      <c r="BL1048" s="98">
        <f t="shared" si="295"/>
        <v>323.67488323280207</v>
      </c>
      <c r="BM1048" s="47" t="s">
        <v>2487</v>
      </c>
      <c r="BN1048" s="48"/>
      <c r="BO1048" s="48"/>
      <c r="BP1048" s="48"/>
      <c r="BQ1048" s="48"/>
      <c r="BR1048" s="47" t="s">
        <v>2496</v>
      </c>
      <c r="BS1048" s="48"/>
      <c r="BT1048" s="48"/>
      <c r="BU1048" s="228"/>
      <c r="BV1048" s="48"/>
      <c r="BW1048" s="48"/>
      <c r="BX1048" s="48"/>
      <c r="BY1048" s="48"/>
      <c r="BZ1048" s="48"/>
      <c r="CA1048" s="48"/>
      <c r="CB1048" s="48"/>
      <c r="CC1048" s="48"/>
      <c r="CD1048" s="48"/>
      <c r="CE1048" s="48"/>
      <c r="CF1048" s="48"/>
      <c r="CG1048" s="48"/>
      <c r="CH1048" s="48"/>
      <c r="CI1048" s="98"/>
      <c r="CJ1048" s="98"/>
      <c r="CK1048" s="49">
        <f t="shared" si="291"/>
        <v>5057.4200505125327</v>
      </c>
      <c r="CL1048" s="229"/>
      <c r="CM1048" s="229"/>
      <c r="CN1048" s="229"/>
      <c r="CO1048" s="47" t="s">
        <v>2488</v>
      </c>
      <c r="CP1048" s="47" t="s">
        <v>2489</v>
      </c>
      <c r="CQ1048" s="224" t="s">
        <v>272</v>
      </c>
      <c r="CR1048" s="224"/>
      <c r="CS1048" s="230" t="s">
        <v>539</v>
      </c>
      <c r="CT1048" s="230"/>
      <c r="CU1048" s="230"/>
      <c r="CV1048" s="335">
        <f t="shared" si="294"/>
        <v>628.68007850834147</v>
      </c>
      <c r="CW1048" s="230">
        <f t="shared" si="290"/>
        <v>1</v>
      </c>
      <c r="CX1048" s="336"/>
      <c r="CY1048" s="230" t="s">
        <v>5921</v>
      </c>
    </row>
    <row r="1049" spans="1:103" ht="11.25" customHeight="1" x14ac:dyDescent="0.2">
      <c r="A1049" s="72">
        <v>1047</v>
      </c>
      <c r="B1049" s="224">
        <v>1198</v>
      </c>
      <c r="C1049" s="46" t="s">
        <v>7215</v>
      </c>
      <c r="D1049" s="46"/>
      <c r="E1049" s="114"/>
      <c r="F1049" s="114" t="s">
        <v>3304</v>
      </c>
      <c r="G1049" s="225">
        <v>123353</v>
      </c>
      <c r="H1049" s="47" t="s">
        <v>3305</v>
      </c>
      <c r="I1049" s="47" t="s">
        <v>3305</v>
      </c>
      <c r="J1049" s="47" t="s">
        <v>3306</v>
      </c>
      <c r="K1049" s="47" t="s">
        <v>426</v>
      </c>
      <c r="L1049" s="47"/>
      <c r="M1049" s="47"/>
      <c r="N1049" s="47"/>
      <c r="O1049" s="47"/>
      <c r="P1049" s="53"/>
      <c r="Q1049" s="53"/>
      <c r="R1049" s="53"/>
      <c r="S1049" s="53"/>
      <c r="T1049" s="48">
        <v>136.22999999999999</v>
      </c>
      <c r="U1049" s="98">
        <v>4.1106951479116201E-2</v>
      </c>
      <c r="V1049" s="98">
        <v>5.0818468766057404E-2</v>
      </c>
      <c r="W1049" s="98">
        <v>1.4125375446227545E-2</v>
      </c>
      <c r="X1049" s="98">
        <v>4.1106951479116201E-2</v>
      </c>
      <c r="Y1049" s="233">
        <v>7</v>
      </c>
      <c r="Z1049" s="48">
        <v>4.88</v>
      </c>
      <c r="AA1049" s="48">
        <v>4.17</v>
      </c>
      <c r="AB1049" s="48">
        <v>4.28</v>
      </c>
      <c r="AC1049" s="48">
        <v>0.87719999999999998</v>
      </c>
      <c r="AD1049" s="48">
        <v>4.3499999999999996</v>
      </c>
      <c r="AE1049" s="48">
        <v>4.58</v>
      </c>
      <c r="AF1049" s="48">
        <f t="shared" si="289"/>
        <v>4.17</v>
      </c>
      <c r="AG1049" s="49">
        <v>3.94</v>
      </c>
      <c r="AH1049" s="98">
        <v>0.52300000000000002</v>
      </c>
      <c r="AI1049" s="98">
        <v>6.4299999999999996E-2</v>
      </c>
      <c r="AJ1049" s="483">
        <f t="shared" si="288"/>
        <v>1.3299353625546224</v>
      </c>
      <c r="AK1049" s="483">
        <f t="shared" ref="AK1049:AK1055" si="296">LOG10(AI1049*1000/(0.08206*298.15))</f>
        <v>0.41964464661157025</v>
      </c>
      <c r="AL1049" s="483">
        <f t="shared" si="287"/>
        <v>0.41964464661157025</v>
      </c>
      <c r="AM1049" s="483">
        <v>-1.9885599999999999</v>
      </c>
      <c r="AN1049" s="226">
        <v>0.436</v>
      </c>
      <c r="AO1049" s="484"/>
      <c r="AP1049" s="484"/>
      <c r="AQ1049" s="48" t="s">
        <v>6311</v>
      </c>
      <c r="AR1049" s="48" t="s">
        <v>6311</v>
      </c>
      <c r="AS1049" s="227"/>
      <c r="AT1049" s="50" t="s">
        <v>266</v>
      </c>
      <c r="AU1049" s="48">
        <v>6</v>
      </c>
      <c r="AV1049" s="48">
        <v>120</v>
      </c>
      <c r="AW1049" s="48">
        <v>114</v>
      </c>
      <c r="AX1049" s="48">
        <v>28</v>
      </c>
      <c r="AY1049" s="48" t="s">
        <v>8728</v>
      </c>
      <c r="AZ1049" s="48" t="s">
        <v>1563</v>
      </c>
      <c r="BA1049" s="48">
        <v>32</v>
      </c>
      <c r="BB1049" s="47" t="s">
        <v>2485</v>
      </c>
      <c r="BC1049" s="47" t="s">
        <v>8726</v>
      </c>
      <c r="BD1049" s="47" t="s">
        <v>8374</v>
      </c>
      <c r="BE1049" s="48" t="s">
        <v>2449</v>
      </c>
      <c r="BF1049" s="48" t="s">
        <v>272</v>
      </c>
      <c r="BG1049" s="48" t="s">
        <v>272</v>
      </c>
      <c r="BH1049" s="48" t="s">
        <v>2486</v>
      </c>
      <c r="BI1049" s="98">
        <v>6.3999999999999997E-6</v>
      </c>
      <c r="BJ1049" s="98">
        <v>6.4000000000000001E-2</v>
      </c>
      <c r="BK1049" s="48"/>
      <c r="BL1049" s="98">
        <f t="shared" si="295"/>
        <v>2.1284918911598223E-3</v>
      </c>
      <c r="BM1049" s="47" t="s">
        <v>2487</v>
      </c>
      <c r="BN1049" s="48"/>
      <c r="BO1049" s="48"/>
      <c r="BP1049" s="48"/>
      <c r="BQ1049" s="48"/>
      <c r="BR1049" s="47" t="s">
        <v>2496</v>
      </c>
      <c r="BS1049" s="48"/>
      <c r="BT1049" s="48"/>
      <c r="BU1049" s="228">
        <v>6.3999999999999997E-5</v>
      </c>
      <c r="BV1049" s="48"/>
      <c r="BW1049" s="48"/>
      <c r="BX1049" s="48"/>
      <c r="BY1049" s="48"/>
      <c r="BZ1049" s="48"/>
      <c r="CA1049" s="48"/>
      <c r="CB1049" s="48"/>
      <c r="CC1049" s="48"/>
      <c r="CD1049" s="48"/>
      <c r="CE1049" s="48"/>
      <c r="CF1049" s="48"/>
      <c r="CG1049" s="48"/>
      <c r="CH1049" s="48"/>
      <c r="CI1049" s="98"/>
      <c r="CJ1049" s="98"/>
      <c r="CK1049" s="49">
        <f t="shared" si="291"/>
        <v>3.3257685799372223E-2</v>
      </c>
      <c r="CL1049" s="229"/>
      <c r="CM1049" s="229"/>
      <c r="CN1049" s="229"/>
      <c r="CO1049" s="47" t="s">
        <v>2488</v>
      </c>
      <c r="CP1049" s="47" t="s">
        <v>2489</v>
      </c>
      <c r="CQ1049" s="224" t="s">
        <v>272</v>
      </c>
      <c r="CR1049" s="224"/>
      <c r="CS1049" s="230" t="s">
        <v>539</v>
      </c>
      <c r="CT1049" s="230"/>
      <c r="CU1049" s="230"/>
      <c r="CV1049" s="335">
        <f t="shared" si="294"/>
        <v>0.64229611686119059</v>
      </c>
      <c r="CW1049" s="230">
        <f t="shared" si="290"/>
        <v>0</v>
      </c>
      <c r="CX1049" s="336"/>
      <c r="CY1049" s="230" t="s">
        <v>6351</v>
      </c>
    </row>
    <row r="1050" spans="1:103" ht="11.25" customHeight="1" x14ac:dyDescent="0.2">
      <c r="A1050" s="72">
        <v>1048</v>
      </c>
      <c r="B1050" s="224">
        <v>1589</v>
      </c>
      <c r="C1050" s="46" t="s">
        <v>7216</v>
      </c>
      <c r="D1050" s="46"/>
      <c r="E1050" s="114"/>
      <c r="F1050" s="114" t="s">
        <v>4746</v>
      </c>
      <c r="G1050" s="225">
        <v>123422</v>
      </c>
      <c r="H1050" s="47" t="s">
        <v>4747</v>
      </c>
      <c r="I1050" s="47" t="s">
        <v>4747</v>
      </c>
      <c r="J1050" s="47" t="s">
        <v>4748</v>
      </c>
      <c r="K1050" s="47" t="s">
        <v>4749</v>
      </c>
      <c r="L1050" s="47"/>
      <c r="M1050" s="47"/>
      <c r="N1050" s="47"/>
      <c r="O1050" s="47"/>
      <c r="P1050" s="53"/>
      <c r="Q1050" s="53"/>
      <c r="R1050" s="53"/>
      <c r="S1050" s="53"/>
      <c r="T1050" s="48">
        <v>116.16</v>
      </c>
      <c r="U1050" s="98">
        <v>8608.8154269972456</v>
      </c>
      <c r="V1050" s="98">
        <v>5606.060606060606</v>
      </c>
      <c r="W1050" s="98">
        <v>1174.8975549395295</v>
      </c>
      <c r="X1050" s="98">
        <v>8608.8154269972456</v>
      </c>
      <c r="Y1050" s="233">
        <v>6.94</v>
      </c>
      <c r="Z1050" s="48">
        <v>-0.34</v>
      </c>
      <c r="AA1050" s="48"/>
      <c r="AB1050" s="48">
        <v>0.39</v>
      </c>
      <c r="AC1050" s="48">
        <v>0.71740000000000004</v>
      </c>
      <c r="AD1050" s="48">
        <v>0.21</v>
      </c>
      <c r="AE1050" s="48">
        <v>-0.09</v>
      </c>
      <c r="AF1050" s="48">
        <f t="shared" si="289"/>
        <v>0.21</v>
      </c>
      <c r="AG1050" s="49">
        <v>0.44</v>
      </c>
      <c r="AH1050" s="98">
        <v>4.2400000000000002E-9</v>
      </c>
      <c r="AI1050" s="98">
        <v>2.6100000000000002E-7</v>
      </c>
      <c r="AJ1050" s="483">
        <f t="shared" si="288"/>
        <v>-6.7612004697199195</v>
      </c>
      <c r="AK1050" s="483">
        <f t="shared" si="296"/>
        <v>-4.9719258189743707</v>
      </c>
      <c r="AL1050" s="483">
        <f t="shared" si="287"/>
        <v>-4.9719258189743707</v>
      </c>
      <c r="AM1050" s="483">
        <v>-6.7257699999999998</v>
      </c>
      <c r="AN1050" s="226">
        <v>-3.64</v>
      </c>
      <c r="AO1050" s="484">
        <v>14.57</v>
      </c>
      <c r="AP1050" s="484"/>
      <c r="AQ1050" s="48" t="s">
        <v>6311</v>
      </c>
      <c r="AR1050" s="48" t="s">
        <v>6311</v>
      </c>
      <c r="AS1050" s="227"/>
      <c r="AT1050" s="50" t="s">
        <v>266</v>
      </c>
      <c r="AU1050" s="48">
        <v>6</v>
      </c>
      <c r="AV1050" s="48">
        <v>120</v>
      </c>
      <c r="AW1050" s="48">
        <v>114</v>
      </c>
      <c r="AX1050" s="48">
        <v>28</v>
      </c>
      <c r="AY1050" s="48" t="s">
        <v>8728</v>
      </c>
      <c r="AZ1050" s="48" t="s">
        <v>1563</v>
      </c>
      <c r="BA1050" s="48">
        <v>32</v>
      </c>
      <c r="BB1050" s="47" t="s">
        <v>2485</v>
      </c>
      <c r="BC1050" s="47" t="s">
        <v>8726</v>
      </c>
      <c r="BD1050" s="47" t="s">
        <v>8374</v>
      </c>
      <c r="BE1050" s="48" t="s">
        <v>2449</v>
      </c>
      <c r="BF1050" s="48" t="s">
        <v>272</v>
      </c>
      <c r="BG1050" s="48" t="s">
        <v>272</v>
      </c>
      <c r="BH1050" s="48" t="s">
        <v>2486</v>
      </c>
      <c r="BI1050" s="98">
        <v>6.3999999999999997E-6</v>
      </c>
      <c r="BJ1050" s="98">
        <v>6.4000000000000001E-2</v>
      </c>
      <c r="BK1050" s="48"/>
      <c r="BL1050" s="98">
        <f t="shared" si="295"/>
        <v>103.78963866644689</v>
      </c>
      <c r="BM1050" s="47" t="s">
        <v>2487</v>
      </c>
      <c r="BN1050" s="48"/>
      <c r="BO1050" s="48"/>
      <c r="BP1050" s="48"/>
      <c r="BQ1050" s="48"/>
      <c r="BR1050" s="47" t="s">
        <v>2496</v>
      </c>
      <c r="BS1050" s="48"/>
      <c r="BT1050" s="48"/>
      <c r="BU1050" s="228"/>
      <c r="BV1050" s="48"/>
      <c r="BW1050" s="48"/>
      <c r="BX1050" s="48"/>
      <c r="BY1050" s="48"/>
      <c r="BZ1050" s="48"/>
      <c r="CA1050" s="48"/>
      <c r="CB1050" s="48"/>
      <c r="CC1050" s="48"/>
      <c r="CD1050" s="48"/>
      <c r="CE1050" s="48"/>
      <c r="CF1050" s="48"/>
      <c r="CG1050" s="48"/>
      <c r="CH1050" s="48"/>
      <c r="CI1050" s="98"/>
      <c r="CJ1050" s="98"/>
      <c r="CK1050" s="49">
        <f t="shared" si="291"/>
        <v>1621.7131041632326</v>
      </c>
      <c r="CL1050" s="229"/>
      <c r="CM1050" s="229"/>
      <c r="CN1050" s="229"/>
      <c r="CO1050" s="47" t="s">
        <v>2488</v>
      </c>
      <c r="CP1050" s="47" t="s">
        <v>2489</v>
      </c>
      <c r="CQ1050" s="224">
        <v>0.55819268704188196</v>
      </c>
      <c r="CR1050" s="224">
        <f>10^(CJ1050-CQ1050)</f>
        <v>0.27657142857142852</v>
      </c>
      <c r="CS1050" s="230" t="s">
        <v>539</v>
      </c>
      <c r="CT1050" s="230"/>
      <c r="CU1050" s="230"/>
      <c r="CV1050" s="335">
        <f t="shared" si="294"/>
        <v>134512.74104683197</v>
      </c>
      <c r="CW1050" s="230">
        <f t="shared" si="290"/>
        <v>1</v>
      </c>
      <c r="CX1050" s="336"/>
      <c r="CY1050" s="230" t="s">
        <v>6351</v>
      </c>
    </row>
    <row r="1051" spans="1:103" ht="11.25" customHeight="1" x14ac:dyDescent="0.2">
      <c r="A1051" s="72">
        <v>1049</v>
      </c>
      <c r="B1051" s="224">
        <v>1712</v>
      </c>
      <c r="C1051" s="46" t="s">
        <v>7217</v>
      </c>
      <c r="D1051" s="46"/>
      <c r="E1051" s="114"/>
      <c r="F1051" s="114" t="s">
        <v>708</v>
      </c>
      <c r="G1051" s="225">
        <v>123513</v>
      </c>
      <c r="H1051" s="47" t="s">
        <v>709</v>
      </c>
      <c r="I1051" s="47" t="s">
        <v>709</v>
      </c>
      <c r="J1051" s="47" t="s">
        <v>710</v>
      </c>
      <c r="K1051" s="47" t="s">
        <v>426</v>
      </c>
      <c r="L1051" s="47"/>
      <c r="M1051" s="47"/>
      <c r="N1051" s="47"/>
      <c r="O1051" s="47"/>
      <c r="P1051" s="53"/>
      <c r="Q1051" s="53"/>
      <c r="R1051" s="53"/>
      <c r="S1051" s="53"/>
      <c r="T1051" s="48">
        <v>88.15</v>
      </c>
      <c r="U1051" s="98">
        <v>302.89279636982417</v>
      </c>
      <c r="V1051" s="98">
        <v>471.69597277368121</v>
      </c>
      <c r="W1051" s="98">
        <v>338.84415613920254</v>
      </c>
      <c r="X1051" s="98">
        <v>302.89279636982417</v>
      </c>
      <c r="Y1051" s="233">
        <v>7</v>
      </c>
      <c r="Z1051" s="48">
        <v>1.26</v>
      </c>
      <c r="AA1051" s="48">
        <v>1.1599999999999999</v>
      </c>
      <c r="AB1051" s="48">
        <v>1.1100000000000001</v>
      </c>
      <c r="AC1051" s="48">
        <v>0.91549999999999998</v>
      </c>
      <c r="AD1051" s="48">
        <v>1.1399999999999999</v>
      </c>
      <c r="AE1051" s="48">
        <v>1.22</v>
      </c>
      <c r="AF1051" s="48">
        <f t="shared" si="289"/>
        <v>1.1599999999999999</v>
      </c>
      <c r="AG1051" s="49">
        <v>1.18</v>
      </c>
      <c r="AH1051" s="98">
        <v>1.33E-5</v>
      </c>
      <c r="AI1051" s="98">
        <v>1.4100000000000001E-5</v>
      </c>
      <c r="AJ1051" s="483">
        <f t="shared" si="288"/>
        <v>-3.2647146853455662</v>
      </c>
      <c r="AK1051" s="483">
        <f t="shared" si="296"/>
        <v>-3.2393472136572719</v>
      </c>
      <c r="AL1051" s="483">
        <f t="shared" si="287"/>
        <v>-3.2393472136572719</v>
      </c>
      <c r="AM1051" s="483">
        <v>-3.58602</v>
      </c>
      <c r="AN1051" s="226">
        <v>-3.17</v>
      </c>
      <c r="AO1051" s="484">
        <v>15.24</v>
      </c>
      <c r="AP1051" s="484"/>
      <c r="AQ1051" s="226" t="s">
        <v>6311</v>
      </c>
      <c r="AR1051" s="226" t="s">
        <v>6311</v>
      </c>
      <c r="AS1051" s="224"/>
      <c r="AT1051" s="50" t="s">
        <v>266</v>
      </c>
      <c r="AU1051" s="48">
        <v>6</v>
      </c>
      <c r="AV1051" s="48">
        <v>120</v>
      </c>
      <c r="AW1051" s="48">
        <v>114</v>
      </c>
      <c r="AX1051" s="48">
        <v>28</v>
      </c>
      <c r="AY1051" s="48" t="s">
        <v>8728</v>
      </c>
      <c r="AZ1051" s="48" t="s">
        <v>1563</v>
      </c>
      <c r="BA1051" s="48">
        <v>32</v>
      </c>
      <c r="BB1051" s="47" t="s">
        <v>2485</v>
      </c>
      <c r="BC1051" s="47" t="s">
        <v>8726</v>
      </c>
      <c r="BD1051" s="47" t="s">
        <v>8374</v>
      </c>
      <c r="BE1051" s="48" t="s">
        <v>2449</v>
      </c>
      <c r="BF1051" s="48" t="s">
        <v>272</v>
      </c>
      <c r="BG1051" s="48" t="s">
        <v>272</v>
      </c>
      <c r="BH1051" s="48" t="s">
        <v>2486</v>
      </c>
      <c r="BI1051" s="98">
        <v>6.3999999999999997E-6</v>
      </c>
      <c r="BJ1051" s="98">
        <v>6.4000000000000001E-2</v>
      </c>
      <c r="BK1051" s="48"/>
      <c r="BL1051" s="98">
        <f t="shared" si="295"/>
        <v>3.7948446339980828</v>
      </c>
      <c r="BM1051" s="47" t="s">
        <v>2487</v>
      </c>
      <c r="BN1051" s="48"/>
      <c r="BO1051" s="48"/>
      <c r="BP1051" s="48"/>
      <c r="BQ1051" s="48"/>
      <c r="BR1051" s="47" t="s">
        <v>2496</v>
      </c>
      <c r="BS1051" s="48"/>
      <c r="BT1051" s="48"/>
      <c r="BU1051" s="228"/>
      <c r="BV1051" s="48"/>
      <c r="BW1051" s="48"/>
      <c r="BX1051" s="48"/>
      <c r="BY1051" s="48"/>
      <c r="BZ1051" s="48"/>
      <c r="CA1051" s="48"/>
      <c r="CB1051" s="48"/>
      <c r="CC1051" s="48"/>
      <c r="CD1051" s="48"/>
      <c r="CE1051" s="48"/>
      <c r="CF1051" s="48"/>
      <c r="CG1051" s="48"/>
      <c r="CH1051" s="48"/>
      <c r="CI1051" s="52" t="s">
        <v>6347</v>
      </c>
      <c r="CJ1051" s="98"/>
      <c r="CK1051" s="49">
        <f t="shared" si="291"/>
        <v>59.294447406220044</v>
      </c>
      <c r="CL1051" s="229"/>
      <c r="CM1051" s="229"/>
      <c r="CN1051" s="229"/>
      <c r="CO1051" s="47" t="s">
        <v>2488</v>
      </c>
      <c r="CP1051" s="47" t="s">
        <v>2489</v>
      </c>
      <c r="CQ1051" s="224">
        <v>0.89987572337891597</v>
      </c>
      <c r="CR1051" s="224">
        <f>10^(CJ1051-CQ1051)</f>
        <v>0.12592857142857139</v>
      </c>
      <c r="CS1051" s="230" t="s">
        <v>539</v>
      </c>
      <c r="CT1051" s="230"/>
      <c r="CU1051" s="230"/>
      <c r="CV1051" s="335">
        <f t="shared" si="294"/>
        <v>4732.6999432785024</v>
      </c>
      <c r="CW1051" s="230">
        <f t="shared" si="290"/>
        <v>1</v>
      </c>
      <c r="CX1051" s="336"/>
      <c r="CY1051" s="230" t="s">
        <v>6351</v>
      </c>
    </row>
    <row r="1052" spans="1:103" ht="11.25" customHeight="1" x14ac:dyDescent="0.2">
      <c r="A1052" s="72">
        <v>1050</v>
      </c>
      <c r="B1052" s="224">
        <v>1435</v>
      </c>
      <c r="C1052" s="46" t="s">
        <v>7218</v>
      </c>
      <c r="D1052" s="46"/>
      <c r="E1052" s="114"/>
      <c r="F1052" s="114" t="s">
        <v>4413</v>
      </c>
      <c r="G1052" s="225">
        <v>123922</v>
      </c>
      <c r="H1052" s="47" t="s">
        <v>4414</v>
      </c>
      <c r="I1052" s="47" t="s">
        <v>4414</v>
      </c>
      <c r="J1052" s="47" t="s">
        <v>4415</v>
      </c>
      <c r="K1052" s="47" t="s">
        <v>357</v>
      </c>
      <c r="L1052" s="47"/>
      <c r="M1052" s="47"/>
      <c r="N1052" s="47"/>
      <c r="O1052" s="47"/>
      <c r="P1052" s="53"/>
      <c r="Q1052" s="53"/>
      <c r="R1052" s="53"/>
      <c r="S1052" s="53"/>
      <c r="T1052" s="48">
        <v>130.18</v>
      </c>
      <c r="U1052" s="98">
        <v>15.363343063450605</v>
      </c>
      <c r="V1052" s="98">
        <v>8.4498386848978342</v>
      </c>
      <c r="W1052" s="98">
        <v>32.359365692962811</v>
      </c>
      <c r="X1052" s="98">
        <v>15.363343063450605</v>
      </c>
      <c r="Y1052" s="233">
        <v>7</v>
      </c>
      <c r="Z1052" s="48">
        <v>2.2599999999999998</v>
      </c>
      <c r="AA1052" s="48">
        <v>2.25</v>
      </c>
      <c r="AB1052" s="48">
        <v>1.95</v>
      </c>
      <c r="AC1052" s="48">
        <v>0.9214</v>
      </c>
      <c r="AD1052" s="48">
        <v>1.99</v>
      </c>
      <c r="AE1052" s="48">
        <v>2.12</v>
      </c>
      <c r="AF1052" s="48">
        <f t="shared" si="289"/>
        <v>2.25</v>
      </c>
      <c r="AG1052" s="49">
        <v>1.67</v>
      </c>
      <c r="AH1052" s="98">
        <v>5.4500000000000002E-4</v>
      </c>
      <c r="AI1052" s="98">
        <v>5.8699999999999996E-4</v>
      </c>
      <c r="AJ1052" s="483">
        <f t="shared" si="288"/>
        <v>-1.6521698240360094</v>
      </c>
      <c r="AK1052" s="483">
        <f t="shared" si="296"/>
        <v>-1.6199282250650373</v>
      </c>
      <c r="AL1052" s="483">
        <f t="shared" si="287"/>
        <v>-1.6199282250650373</v>
      </c>
      <c r="AM1052" s="483">
        <v>-3.09544</v>
      </c>
      <c r="AN1052" s="226">
        <v>-1.92</v>
      </c>
      <c r="AO1052" s="484"/>
      <c r="AP1052" s="484"/>
      <c r="AQ1052" s="48" t="s">
        <v>6311</v>
      </c>
      <c r="AR1052" s="48" t="s">
        <v>6312</v>
      </c>
      <c r="AS1052" s="227"/>
      <c r="AT1052" s="50" t="s">
        <v>266</v>
      </c>
      <c r="AU1052" s="48">
        <v>6</v>
      </c>
      <c r="AV1052" s="48">
        <v>120</v>
      </c>
      <c r="AW1052" s="48">
        <v>114</v>
      </c>
      <c r="AX1052" s="48">
        <v>28</v>
      </c>
      <c r="AY1052" s="48" t="s">
        <v>8728</v>
      </c>
      <c r="AZ1052" s="48" t="s">
        <v>1563</v>
      </c>
      <c r="BA1052" s="48">
        <v>32</v>
      </c>
      <c r="BB1052" s="47" t="s">
        <v>2485</v>
      </c>
      <c r="BC1052" s="47" t="s">
        <v>8726</v>
      </c>
      <c r="BD1052" s="47" t="s">
        <v>8374</v>
      </c>
      <c r="BE1052" s="48" t="s">
        <v>2449</v>
      </c>
      <c r="BF1052" s="48" t="s">
        <v>272</v>
      </c>
      <c r="BG1052" s="48" t="s">
        <v>272</v>
      </c>
      <c r="BH1052" s="48" t="s">
        <v>2486</v>
      </c>
      <c r="BI1052" s="98">
        <v>6.3999999999999997E-6</v>
      </c>
      <c r="BJ1052" s="98">
        <v>6.4000000000000001E-2</v>
      </c>
      <c r="BK1052" s="48"/>
      <c r="BL1052" s="98">
        <f t="shared" si="295"/>
        <v>0.47983729482089305</v>
      </c>
      <c r="BM1052" s="47" t="s">
        <v>2487</v>
      </c>
      <c r="BN1052" s="48"/>
      <c r="BO1052" s="48"/>
      <c r="BP1052" s="48"/>
      <c r="BQ1052" s="48"/>
      <c r="BR1052" s="47" t="s">
        <v>2496</v>
      </c>
      <c r="BS1052" s="48"/>
      <c r="BT1052" s="48"/>
      <c r="BU1052" s="228"/>
      <c r="BV1052" s="48"/>
      <c r="BW1052" s="48"/>
      <c r="BX1052" s="48"/>
      <c r="BY1052" s="48"/>
      <c r="BZ1052" s="48"/>
      <c r="CA1052" s="48"/>
      <c r="CB1052" s="48"/>
      <c r="CC1052" s="48"/>
      <c r="CD1052" s="48"/>
      <c r="CE1052" s="48"/>
      <c r="CF1052" s="48"/>
      <c r="CG1052" s="48"/>
      <c r="CH1052" s="48"/>
      <c r="CI1052" s="98"/>
      <c r="CJ1052" s="98"/>
      <c r="CK1052" s="49">
        <f t="shared" si="291"/>
        <v>7.4974577315764535</v>
      </c>
      <c r="CL1052" s="229"/>
      <c r="CM1052" s="229"/>
      <c r="CN1052" s="229"/>
      <c r="CO1052" s="47" t="s">
        <v>2488</v>
      </c>
      <c r="CP1052" s="47" t="s">
        <v>2489</v>
      </c>
      <c r="CQ1052" s="224" t="s">
        <v>272</v>
      </c>
      <c r="CR1052" s="224"/>
      <c r="CS1052" s="230" t="s">
        <v>539</v>
      </c>
      <c r="CT1052" s="230"/>
      <c r="CU1052" s="230"/>
      <c r="CV1052" s="335">
        <f t="shared" si="294"/>
        <v>240.05223536641572</v>
      </c>
      <c r="CW1052" s="230">
        <f t="shared" si="290"/>
        <v>1</v>
      </c>
      <c r="CX1052" s="336"/>
      <c r="CY1052" s="230" t="s">
        <v>6351</v>
      </c>
    </row>
    <row r="1053" spans="1:103" ht="11.25" customHeight="1" x14ac:dyDescent="0.2">
      <c r="A1053" s="72">
        <v>1051</v>
      </c>
      <c r="B1053" s="224">
        <v>1695</v>
      </c>
      <c r="C1053" s="46" t="s">
        <v>7219</v>
      </c>
      <c r="D1053" s="46"/>
      <c r="E1053" s="114"/>
      <c r="F1053" s="114" t="s">
        <v>4946</v>
      </c>
      <c r="G1053" s="225">
        <v>124049</v>
      </c>
      <c r="H1053" s="47" t="s">
        <v>4947</v>
      </c>
      <c r="I1053" s="47" t="s">
        <v>4947</v>
      </c>
      <c r="J1053" s="47" t="s">
        <v>4948</v>
      </c>
      <c r="K1053" s="47" t="s">
        <v>426</v>
      </c>
      <c r="L1053" s="47"/>
      <c r="M1053" s="47"/>
      <c r="N1053" s="47"/>
      <c r="O1053" s="47"/>
      <c r="P1053" s="53"/>
      <c r="Q1053" s="53"/>
      <c r="R1053" s="53"/>
      <c r="S1053" s="53"/>
      <c r="T1053" s="48">
        <v>146.13999999999999</v>
      </c>
      <c r="U1053" s="98">
        <v>210.75680853975641</v>
      </c>
      <c r="V1053" s="98">
        <v>1144.7926645682223</v>
      </c>
      <c r="W1053" s="98">
        <v>524.80746024977259</v>
      </c>
      <c r="X1053" s="98">
        <v>210.75680853975641</v>
      </c>
      <c r="Y1053" s="233">
        <v>2.33</v>
      </c>
      <c r="Z1053" s="48">
        <v>0.23</v>
      </c>
      <c r="AA1053" s="48">
        <v>0.08</v>
      </c>
      <c r="AB1053" s="48">
        <v>0.16</v>
      </c>
      <c r="AC1053" s="48">
        <v>0.90990000000000004</v>
      </c>
      <c r="AD1053" s="48">
        <v>0.14000000000000001</v>
      </c>
      <c r="AE1053" s="48">
        <v>0.08</v>
      </c>
      <c r="AF1053" s="48">
        <f t="shared" si="289"/>
        <v>0.08</v>
      </c>
      <c r="AG1053" s="49">
        <v>0.15</v>
      </c>
      <c r="AH1053" s="98">
        <v>9.53E-12</v>
      </c>
      <c r="AI1053" s="98">
        <v>4.7099999999999999E-12</v>
      </c>
      <c r="AJ1053" s="483">
        <f t="shared" si="288"/>
        <v>-9.4094734256743262</v>
      </c>
      <c r="AK1053" s="483">
        <f t="shared" si="296"/>
        <v>-9.7155454191837549</v>
      </c>
      <c r="AL1053" s="483">
        <f t="shared" si="287"/>
        <v>-9.7155454191837549</v>
      </c>
      <c r="AM1053" s="483">
        <v>-10.81607</v>
      </c>
      <c r="AN1053" s="226">
        <v>-10.8</v>
      </c>
      <c r="AO1053" s="484">
        <v>4.3899999999999997</v>
      </c>
      <c r="AP1053" s="484"/>
      <c r="AQ1053" s="226" t="s">
        <v>6311</v>
      </c>
      <c r="AR1053" s="226" t="s">
        <v>6311</v>
      </c>
      <c r="AS1053" s="224"/>
      <c r="AT1053" s="50" t="s">
        <v>266</v>
      </c>
      <c r="AU1053" s="48">
        <v>6</v>
      </c>
      <c r="AV1053" s="48">
        <v>120</v>
      </c>
      <c r="AW1053" s="48">
        <v>114</v>
      </c>
      <c r="AX1053" s="48">
        <v>28</v>
      </c>
      <c r="AY1053" s="48" t="s">
        <v>8728</v>
      </c>
      <c r="AZ1053" s="48" t="s">
        <v>1563</v>
      </c>
      <c r="BA1053" s="48">
        <v>32</v>
      </c>
      <c r="BB1053" s="47" t="s">
        <v>2485</v>
      </c>
      <c r="BC1053" s="47" t="s">
        <v>8726</v>
      </c>
      <c r="BD1053" s="47" t="s">
        <v>8374</v>
      </c>
      <c r="BE1053" s="48" t="s">
        <v>2449</v>
      </c>
      <c r="BF1053" s="48" t="s">
        <v>272</v>
      </c>
      <c r="BG1053" s="48" t="s">
        <v>272</v>
      </c>
      <c r="BH1053" s="48" t="s">
        <v>2486</v>
      </c>
      <c r="BI1053" s="98">
        <v>6.3999999999999997E-6</v>
      </c>
      <c r="BJ1053" s="98">
        <v>6.4000000000000001E-2</v>
      </c>
      <c r="BK1053" s="48"/>
      <c r="BL1053" s="98">
        <f t="shared" si="295"/>
        <v>31.932799930457652</v>
      </c>
      <c r="BM1053" s="47" t="s">
        <v>2487</v>
      </c>
      <c r="BN1053" s="48"/>
      <c r="BO1053" s="48"/>
      <c r="BP1053" s="48"/>
      <c r="BQ1053" s="48"/>
      <c r="BR1053" s="47" t="s">
        <v>2496</v>
      </c>
      <c r="BS1053" s="48"/>
      <c r="BT1053" s="48"/>
      <c r="BU1053" s="228"/>
      <c r="BV1053" s="48"/>
      <c r="BW1053" s="48"/>
      <c r="BX1053" s="48"/>
      <c r="BY1053" s="48"/>
      <c r="BZ1053" s="48"/>
      <c r="CA1053" s="48"/>
      <c r="CB1053" s="48"/>
      <c r="CC1053" s="48"/>
      <c r="CD1053" s="48"/>
      <c r="CE1053" s="48"/>
      <c r="CF1053" s="48"/>
      <c r="CG1053" s="48"/>
      <c r="CH1053" s="48"/>
      <c r="CI1053" s="98"/>
      <c r="CJ1053" s="98"/>
      <c r="CK1053" s="49">
        <f t="shared" si="291"/>
        <v>498.9499989134008</v>
      </c>
      <c r="CL1053" s="229"/>
      <c r="CM1053" s="229"/>
      <c r="CN1053" s="229"/>
      <c r="CO1053" s="47" t="s">
        <v>2488</v>
      </c>
      <c r="CP1053" s="47" t="s">
        <v>2489</v>
      </c>
      <c r="CQ1053" s="224" t="s">
        <v>272</v>
      </c>
      <c r="CR1053" s="224"/>
      <c r="CS1053" s="230" t="s">
        <v>539</v>
      </c>
      <c r="CT1053" s="230"/>
      <c r="CU1053" s="230"/>
      <c r="CV1053" s="335">
        <f t="shared" si="294"/>
        <v>3293.0751334336937</v>
      </c>
      <c r="CW1053" s="230">
        <f t="shared" si="290"/>
        <v>1</v>
      </c>
      <c r="CX1053" s="336"/>
      <c r="CY1053" s="230" t="s">
        <v>6351</v>
      </c>
    </row>
    <row r="1054" spans="1:103" ht="11.25" customHeight="1" x14ac:dyDescent="0.2">
      <c r="A1054" s="72">
        <v>1052</v>
      </c>
      <c r="B1054" s="224">
        <v>1221</v>
      </c>
      <c r="C1054" s="46" t="s">
        <v>7220</v>
      </c>
      <c r="D1054" s="46"/>
      <c r="E1054" s="114"/>
      <c r="F1054" s="114" t="s">
        <v>3372</v>
      </c>
      <c r="G1054" s="225">
        <v>124072</v>
      </c>
      <c r="H1054" s="47" t="s">
        <v>3373</v>
      </c>
      <c r="I1054" s="47" t="s">
        <v>3373</v>
      </c>
      <c r="J1054" s="47" t="s">
        <v>2939</v>
      </c>
      <c r="K1054" s="47" t="s">
        <v>426</v>
      </c>
      <c r="L1054" s="47"/>
      <c r="M1054" s="47"/>
      <c r="N1054" s="47"/>
      <c r="O1054" s="47"/>
      <c r="P1054" s="53"/>
      <c r="Q1054" s="53"/>
      <c r="R1054" s="53"/>
      <c r="S1054" s="53"/>
      <c r="T1054" s="48">
        <v>144.21</v>
      </c>
      <c r="U1054" s="98">
        <v>5.4711878510505514</v>
      </c>
      <c r="V1054" s="98">
        <v>3.4387351778656123</v>
      </c>
      <c r="W1054" s="98">
        <v>13.489628825916524</v>
      </c>
      <c r="X1054" s="98">
        <v>5.4711878510505514</v>
      </c>
      <c r="Y1054" s="233">
        <v>3.34</v>
      </c>
      <c r="Z1054" s="48">
        <v>3.03</v>
      </c>
      <c r="AA1054" s="48">
        <v>3.05</v>
      </c>
      <c r="AB1054" s="48">
        <v>2.98</v>
      </c>
      <c r="AC1054" s="48">
        <v>0.9103</v>
      </c>
      <c r="AD1054" s="48">
        <v>2.97</v>
      </c>
      <c r="AE1054" s="48">
        <v>2.9</v>
      </c>
      <c r="AF1054" s="48">
        <f t="shared" si="289"/>
        <v>3.05</v>
      </c>
      <c r="AG1054" s="49">
        <v>2.4500000000000002</v>
      </c>
      <c r="AH1054" s="98">
        <v>3.0000000000000001E-6</v>
      </c>
      <c r="AI1054" s="98">
        <v>8.9199999999999999E-7</v>
      </c>
      <c r="AJ1054" s="483">
        <f t="shared" si="288"/>
        <v>-3.9114450715929894</v>
      </c>
      <c r="AK1054" s="483">
        <f t="shared" si="296"/>
        <v>-4.4382014719365284</v>
      </c>
      <c r="AL1054" s="483">
        <f t="shared" si="287"/>
        <v>-4.4382014719365284</v>
      </c>
      <c r="AM1054" s="483">
        <v>-5.6973000000000003</v>
      </c>
      <c r="AN1054" s="226">
        <v>-4.22</v>
      </c>
      <c r="AO1054" s="484">
        <v>4.78</v>
      </c>
      <c r="AP1054" s="484"/>
      <c r="AQ1054" s="48" t="s">
        <v>6311</v>
      </c>
      <c r="AR1054" s="48" t="s">
        <v>6311</v>
      </c>
      <c r="AS1054" s="227"/>
      <c r="AT1054" s="50" t="s">
        <v>266</v>
      </c>
      <c r="AU1054" s="48">
        <v>6</v>
      </c>
      <c r="AV1054" s="48">
        <v>120</v>
      </c>
      <c r="AW1054" s="48">
        <v>114</v>
      </c>
      <c r="AX1054" s="48">
        <v>28</v>
      </c>
      <c r="AY1054" s="48" t="s">
        <v>8728</v>
      </c>
      <c r="AZ1054" s="48" t="s">
        <v>1563</v>
      </c>
      <c r="BA1054" s="48">
        <v>32</v>
      </c>
      <c r="BB1054" s="47" t="s">
        <v>2485</v>
      </c>
      <c r="BC1054" s="47" t="s">
        <v>8726</v>
      </c>
      <c r="BD1054" s="47" t="s">
        <v>8374</v>
      </c>
      <c r="BE1054" s="48" t="s">
        <v>2449</v>
      </c>
      <c r="BF1054" s="48" t="s">
        <v>272</v>
      </c>
      <c r="BG1054" s="48" t="s">
        <v>272</v>
      </c>
      <c r="BH1054" s="48" t="s">
        <v>2486</v>
      </c>
      <c r="BI1054" s="98">
        <v>6.3999999999999997E-6</v>
      </c>
      <c r="BJ1054" s="98">
        <v>6.4000000000000001E-2</v>
      </c>
      <c r="BK1054" s="48"/>
      <c r="BL1054" s="98">
        <f t="shared" si="295"/>
        <v>9.7624090305406405E-2</v>
      </c>
      <c r="BM1054" s="47" t="s">
        <v>2487</v>
      </c>
      <c r="BN1054" s="48"/>
      <c r="BO1054" s="48"/>
      <c r="BP1054" s="48"/>
      <c r="BQ1054" s="48"/>
      <c r="BR1054" s="47" t="s">
        <v>2496</v>
      </c>
      <c r="BS1054" s="48"/>
      <c r="BT1054" s="48"/>
      <c r="BU1054" s="228">
        <v>6.4000000000000003E-3</v>
      </c>
      <c r="BV1054" s="48"/>
      <c r="BW1054" s="48"/>
      <c r="BX1054" s="48"/>
      <c r="BY1054" s="48"/>
      <c r="BZ1054" s="48"/>
      <c r="CA1054" s="48"/>
      <c r="CB1054" s="48"/>
      <c r="CC1054" s="48"/>
      <c r="CD1054" s="48"/>
      <c r="CE1054" s="48"/>
      <c r="CF1054" s="48"/>
      <c r="CG1054" s="48"/>
      <c r="CH1054" s="48"/>
      <c r="CI1054" s="98"/>
      <c r="CJ1054" s="98"/>
      <c r="CK1054" s="49">
        <f t="shared" si="291"/>
        <v>1.525376411021975</v>
      </c>
      <c r="CL1054" s="229"/>
      <c r="CM1054" s="229"/>
      <c r="CN1054" s="229"/>
      <c r="CO1054" s="47" t="s">
        <v>2488</v>
      </c>
      <c r="CP1054" s="47" t="s">
        <v>2489</v>
      </c>
      <c r="CQ1054" s="224" t="s">
        <v>272</v>
      </c>
      <c r="CR1054" s="224"/>
      <c r="CS1054" s="230" t="s">
        <v>539</v>
      </c>
      <c r="CT1054" s="230"/>
      <c r="CU1054" s="230"/>
      <c r="CV1054" s="335">
        <f t="shared" si="294"/>
        <v>85.487310172664863</v>
      </c>
      <c r="CW1054" s="230">
        <f t="shared" si="290"/>
        <v>1</v>
      </c>
      <c r="CX1054" s="336"/>
      <c r="CY1054" s="230" t="s">
        <v>6351</v>
      </c>
    </row>
    <row r="1055" spans="1:103" ht="11.25" customHeight="1" x14ac:dyDescent="0.2">
      <c r="A1055" s="72">
        <v>1053</v>
      </c>
      <c r="B1055" s="224">
        <v>1794</v>
      </c>
      <c r="C1055" s="46" t="s">
        <v>7221</v>
      </c>
      <c r="D1055" s="46"/>
      <c r="E1055" s="114"/>
      <c r="F1055" s="114" t="s">
        <v>5163</v>
      </c>
      <c r="G1055" s="225">
        <v>124130</v>
      </c>
      <c r="H1055" s="47" t="s">
        <v>5164</v>
      </c>
      <c r="I1055" s="47" t="s">
        <v>5164</v>
      </c>
      <c r="J1055" s="47" t="s">
        <v>5165</v>
      </c>
      <c r="K1055" s="47" t="s">
        <v>511</v>
      </c>
      <c r="L1055" s="47"/>
      <c r="M1055" s="47"/>
      <c r="N1055" s="47"/>
      <c r="O1055" s="47"/>
      <c r="P1055" s="53" t="s">
        <v>6172</v>
      </c>
      <c r="Q1055" s="53" t="s">
        <v>6176</v>
      </c>
      <c r="R1055" s="53" t="s">
        <v>6175</v>
      </c>
      <c r="S1055" s="53" t="s">
        <v>6176</v>
      </c>
      <c r="T1055" s="48">
        <v>128.21</v>
      </c>
      <c r="U1055" s="98">
        <v>4.3678340223071519</v>
      </c>
      <c r="V1055" s="98">
        <v>3.075423133920911</v>
      </c>
      <c r="W1055" s="98">
        <v>6.3095734448019254</v>
      </c>
      <c r="X1055" s="98">
        <v>4.3678340223071519</v>
      </c>
      <c r="Y1055" s="233">
        <v>7</v>
      </c>
      <c r="Z1055" s="48">
        <v>2.78</v>
      </c>
      <c r="AA1055" s="48"/>
      <c r="AB1055" s="48">
        <v>3.37</v>
      </c>
      <c r="AC1055" s="48">
        <v>0.72640000000000005</v>
      </c>
      <c r="AD1055" s="48">
        <v>3.24</v>
      </c>
      <c r="AE1055" s="48">
        <v>3.03</v>
      </c>
      <c r="AF1055" s="48">
        <f t="shared" si="289"/>
        <v>3.24</v>
      </c>
      <c r="AG1055" s="49">
        <v>2.65</v>
      </c>
      <c r="AH1055" s="98">
        <v>3.7100000000000002E-4</v>
      </c>
      <c r="AI1055" s="98">
        <v>5.1400000000000003E-4</v>
      </c>
      <c r="AJ1055" s="483">
        <f t="shared" si="288"/>
        <v>-1.8191924166976059</v>
      </c>
      <c r="AK1055" s="483">
        <f t="shared" si="296"/>
        <v>-1.6776032073173761</v>
      </c>
      <c r="AL1055" s="483">
        <f t="shared" ref="AL1055:AL1118" si="297">IF(AK1055=0,AJ1055,AK1055)</f>
        <v>-1.6776032073173761</v>
      </c>
      <c r="AM1055" s="483">
        <v>-3.5833500000000003</v>
      </c>
      <c r="AN1055" s="226">
        <v>-1.64</v>
      </c>
      <c r="AO1055" s="484"/>
      <c r="AP1055" s="484"/>
      <c r="AQ1055" s="226" t="s">
        <v>6311</v>
      </c>
      <c r="AR1055" s="226" t="s">
        <v>6311</v>
      </c>
      <c r="AS1055" s="224"/>
      <c r="AT1055" s="50" t="s">
        <v>266</v>
      </c>
      <c r="AU1055" s="48">
        <v>6</v>
      </c>
      <c r="AV1055" s="48">
        <v>120</v>
      </c>
      <c r="AW1055" s="48">
        <v>114</v>
      </c>
      <c r="AX1055" s="48">
        <v>28</v>
      </c>
      <c r="AY1055" s="48" t="s">
        <v>8728</v>
      </c>
      <c r="AZ1055" s="48" t="s">
        <v>1563</v>
      </c>
      <c r="BA1055" s="48">
        <v>32</v>
      </c>
      <c r="BB1055" s="47" t="s">
        <v>2485</v>
      </c>
      <c r="BC1055" s="47" t="s">
        <v>8726</v>
      </c>
      <c r="BD1055" s="47" t="s">
        <v>8374</v>
      </c>
      <c r="BE1055" s="48" t="s">
        <v>2449</v>
      </c>
      <c r="BF1055" s="48" t="s">
        <v>272</v>
      </c>
      <c r="BG1055" s="48" t="s">
        <v>272</v>
      </c>
      <c r="BH1055" s="48" t="s">
        <v>2486</v>
      </c>
      <c r="BI1055" s="98">
        <v>6.3999999999999997E-6</v>
      </c>
      <c r="BJ1055" s="98">
        <v>6.4000000000000001E-2</v>
      </c>
      <c r="BK1055" s="48"/>
      <c r="BL1055" s="98">
        <f t="shared" si="295"/>
        <v>0.163712560117029</v>
      </c>
      <c r="BM1055" s="47" t="s">
        <v>2487</v>
      </c>
      <c r="BN1055" s="48"/>
      <c r="BO1055" s="48"/>
      <c r="BP1055" s="48"/>
      <c r="BQ1055" s="48"/>
      <c r="BR1055" s="47" t="s">
        <v>2496</v>
      </c>
      <c r="BS1055" s="48"/>
      <c r="BT1055" s="48"/>
      <c r="BU1055" s="228"/>
      <c r="BV1055" s="48"/>
      <c r="BW1055" s="48"/>
      <c r="BX1055" s="48"/>
      <c r="BY1055" s="48"/>
      <c r="BZ1055" s="48"/>
      <c r="CA1055" s="48"/>
      <c r="CB1055" s="48"/>
      <c r="CC1055" s="48"/>
      <c r="CD1055" s="48"/>
      <c r="CE1055" s="48"/>
      <c r="CF1055" s="48"/>
      <c r="CG1055" s="48"/>
      <c r="CH1055" s="48"/>
      <c r="CI1055" s="98"/>
      <c r="CJ1055" s="98"/>
      <c r="CK1055" s="49">
        <f t="shared" si="291"/>
        <v>2.5580087518285781</v>
      </c>
      <c r="CL1055" s="229"/>
      <c r="CM1055" s="229"/>
      <c r="CN1055" s="229"/>
      <c r="CO1055" s="47" t="s">
        <v>2488</v>
      </c>
      <c r="CP1055" s="47" t="s">
        <v>2489</v>
      </c>
      <c r="CQ1055" s="224" t="s">
        <v>272</v>
      </c>
      <c r="CR1055" s="224"/>
      <c r="CS1055" s="230" t="s">
        <v>539</v>
      </c>
      <c r="CT1055" s="230"/>
      <c r="CU1055" s="230"/>
      <c r="CV1055" s="335">
        <f t="shared" si="294"/>
        <v>68.247406598549247</v>
      </c>
      <c r="CW1055" s="230">
        <f t="shared" si="290"/>
        <v>1</v>
      </c>
      <c r="CX1055" s="336"/>
      <c r="CY1055" s="230" t="s">
        <v>6351</v>
      </c>
    </row>
    <row r="1056" spans="1:103" ht="11.25" customHeight="1" x14ac:dyDescent="0.2">
      <c r="A1056" s="72">
        <v>1054</v>
      </c>
      <c r="B1056" s="224">
        <v>1304</v>
      </c>
      <c r="C1056" s="46" t="s">
        <v>7222</v>
      </c>
      <c r="D1056" s="46"/>
      <c r="E1056" s="114"/>
      <c r="F1056" s="114" t="s">
        <v>3575</v>
      </c>
      <c r="G1056" s="225">
        <v>124947</v>
      </c>
      <c r="H1056" s="47" t="s">
        <v>3576</v>
      </c>
      <c r="I1056" s="47" t="s">
        <v>3576</v>
      </c>
      <c r="J1056" s="47" t="s">
        <v>3577</v>
      </c>
      <c r="K1056" s="47" t="s">
        <v>3444</v>
      </c>
      <c r="L1056" s="47" t="s">
        <v>279</v>
      </c>
      <c r="M1056" s="47" t="s">
        <v>3578</v>
      </c>
      <c r="N1056" s="47"/>
      <c r="O1056" s="47" t="s">
        <v>281</v>
      </c>
      <c r="P1056" s="53"/>
      <c r="Q1056" s="53"/>
      <c r="R1056" s="53"/>
      <c r="S1056" s="53"/>
      <c r="T1056" s="48">
        <v>394.43</v>
      </c>
      <c r="U1056" s="98">
        <v>0.20282432877823695</v>
      </c>
      <c r="V1056" s="98">
        <v>0.85870750196486068</v>
      </c>
      <c r="W1056" s="98">
        <v>0.37153522909717218</v>
      </c>
      <c r="X1056" s="98">
        <v>0.20282432877823695</v>
      </c>
      <c r="Y1056" s="233">
        <v>6.98</v>
      </c>
      <c r="Z1056" s="48">
        <v>0.96</v>
      </c>
      <c r="AA1056" s="48">
        <v>1.1599999999999999</v>
      </c>
      <c r="AB1056" s="48">
        <v>0.93</v>
      </c>
      <c r="AC1056" s="48">
        <v>0.87809999999999999</v>
      </c>
      <c r="AD1056" s="48">
        <v>0.92</v>
      </c>
      <c r="AE1056" s="48">
        <v>0.83</v>
      </c>
      <c r="AF1056" s="48">
        <f t="shared" si="289"/>
        <v>1.1599999999999999</v>
      </c>
      <c r="AG1056" s="49">
        <v>0.52</v>
      </c>
      <c r="AH1056" s="98">
        <v>1.97E-9</v>
      </c>
      <c r="AI1056" s="98"/>
      <c r="AJ1056" s="483">
        <f t="shared" si="288"/>
        <v>-7.0941001001510591</v>
      </c>
      <c r="AK1056" s="483"/>
      <c r="AL1056" s="483">
        <f t="shared" si="297"/>
        <v>-7.0941001001510591</v>
      </c>
      <c r="AM1056" s="483">
        <v>-27.147259999999999</v>
      </c>
      <c r="AN1056" s="226">
        <v>-16.399999999999999</v>
      </c>
      <c r="AO1056" s="484">
        <v>11.57</v>
      </c>
      <c r="AP1056" s="484"/>
      <c r="AQ1056" s="48" t="s">
        <v>6311</v>
      </c>
      <c r="AR1056" s="48" t="s">
        <v>6311</v>
      </c>
      <c r="AS1056" s="227"/>
      <c r="AT1056" s="50" t="s">
        <v>266</v>
      </c>
      <c r="AU1056" s="48">
        <v>6</v>
      </c>
      <c r="AV1056" s="48">
        <v>120</v>
      </c>
      <c r="AW1056" s="48">
        <v>114</v>
      </c>
      <c r="AX1056" s="48">
        <v>28</v>
      </c>
      <c r="AY1056" s="48" t="s">
        <v>8728</v>
      </c>
      <c r="AZ1056" s="48" t="s">
        <v>1563</v>
      </c>
      <c r="BA1056" s="48">
        <v>32</v>
      </c>
      <c r="BB1056" s="47" t="s">
        <v>2485</v>
      </c>
      <c r="BC1056" s="47" t="s">
        <v>8726</v>
      </c>
      <c r="BD1056" s="47" t="s">
        <v>8374</v>
      </c>
      <c r="BE1056" s="48" t="s">
        <v>2449</v>
      </c>
      <c r="BF1056" s="48" t="s">
        <v>272</v>
      </c>
      <c r="BG1056" s="48" t="s">
        <v>272</v>
      </c>
      <c r="BH1056" s="48" t="s">
        <v>2486</v>
      </c>
      <c r="BI1056" s="98">
        <v>6.3999999999999997E-6</v>
      </c>
      <c r="BJ1056" s="98">
        <v>6.4000000000000001E-2</v>
      </c>
      <c r="BK1056" s="48"/>
      <c r="BL1056" s="98">
        <f t="shared" si="295"/>
        <v>7.057063089426495</v>
      </c>
      <c r="BM1056" s="47" t="s">
        <v>2487</v>
      </c>
      <c r="BN1056" s="48"/>
      <c r="BO1056" s="48"/>
      <c r="BP1056" s="48"/>
      <c r="BQ1056" s="48"/>
      <c r="BR1056" s="47" t="s">
        <v>2496</v>
      </c>
      <c r="BS1056" s="48"/>
      <c r="BT1056" s="48"/>
      <c r="BU1056" s="228">
        <v>6.3999999999999997E-6</v>
      </c>
      <c r="BV1056" s="48"/>
      <c r="BW1056" s="48"/>
      <c r="BX1056" s="48"/>
      <c r="BY1056" s="48"/>
      <c r="BZ1056" s="48"/>
      <c r="CA1056" s="48"/>
      <c r="CB1056" s="48"/>
      <c r="CC1056" s="48"/>
      <c r="CD1056" s="48"/>
      <c r="CE1056" s="48"/>
      <c r="CF1056" s="48"/>
      <c r="CG1056" s="48"/>
      <c r="CH1056" s="48"/>
      <c r="CI1056" s="52" t="s">
        <v>6347</v>
      </c>
      <c r="CJ1056" s="98"/>
      <c r="CK1056" s="49">
        <f t="shared" si="291"/>
        <v>110.26661077228898</v>
      </c>
      <c r="CL1056" s="229"/>
      <c r="CM1056" s="229"/>
      <c r="CN1056" s="229"/>
      <c r="CO1056" s="47" t="s">
        <v>2488</v>
      </c>
      <c r="CP1056" s="47" t="s">
        <v>2489</v>
      </c>
      <c r="CQ1056" s="224" t="s">
        <v>272</v>
      </c>
      <c r="CR1056" s="224"/>
      <c r="CS1056" s="230" t="s">
        <v>539</v>
      </c>
      <c r="CT1056" s="230"/>
      <c r="CU1056" s="230"/>
      <c r="CV1056" s="335">
        <f t="shared" si="294"/>
        <v>3.1691301371599523</v>
      </c>
      <c r="CW1056" s="230">
        <f t="shared" si="290"/>
        <v>1</v>
      </c>
      <c r="CX1056" s="336"/>
      <c r="CY1056" s="230" t="s">
        <v>5921</v>
      </c>
    </row>
    <row r="1057" spans="1:103" ht="11.25" customHeight="1" x14ac:dyDescent="0.2">
      <c r="A1057" s="72">
        <v>1055</v>
      </c>
      <c r="B1057" s="224">
        <v>1386</v>
      </c>
      <c r="C1057" s="46" t="s">
        <v>7223</v>
      </c>
      <c r="D1057" s="46"/>
      <c r="E1057" s="114"/>
      <c r="F1057" s="114" t="s">
        <v>4272</v>
      </c>
      <c r="G1057" s="225">
        <v>126114</v>
      </c>
      <c r="H1057" s="47" t="s">
        <v>4273</v>
      </c>
      <c r="I1057" s="47" t="s">
        <v>4273</v>
      </c>
      <c r="J1057" s="47" t="s">
        <v>4274</v>
      </c>
      <c r="K1057" s="47" t="s">
        <v>4275</v>
      </c>
      <c r="L1057" s="47"/>
      <c r="M1057" s="47"/>
      <c r="N1057" s="47"/>
      <c r="O1057" s="47"/>
      <c r="P1057" s="53"/>
      <c r="Q1057" s="53"/>
      <c r="R1057" s="53"/>
      <c r="S1057" s="53"/>
      <c r="T1057" s="48">
        <v>151.12</v>
      </c>
      <c r="U1057" s="98">
        <v>14557.96717840127</v>
      </c>
      <c r="V1057" s="98">
        <v>5318.2901005823187</v>
      </c>
      <c r="W1057" s="98">
        <v>2238.7211385683395</v>
      </c>
      <c r="X1057" s="98">
        <v>14557.96717840127</v>
      </c>
      <c r="Y1057" s="233">
        <v>5.98</v>
      </c>
      <c r="Z1057" s="48">
        <v>-1.66</v>
      </c>
      <c r="AA1057" s="48"/>
      <c r="AB1057" s="48">
        <v>-1.7</v>
      </c>
      <c r="AC1057" s="48">
        <v>0.68400000000000005</v>
      </c>
      <c r="AD1057" s="48">
        <v>-1.03</v>
      </c>
      <c r="AE1057" s="48">
        <v>0.35</v>
      </c>
      <c r="AF1057" s="48">
        <f t="shared" si="289"/>
        <v>-1.03</v>
      </c>
      <c r="AG1057" s="49">
        <v>-2.02</v>
      </c>
      <c r="AH1057" s="98">
        <v>4.8200000000000001E-12</v>
      </c>
      <c r="AI1057" s="98"/>
      <c r="AJ1057" s="483">
        <f t="shared" ref="AJ1057:AJ1120" si="298">LOG10(AH1057*1000/(0.08206*298.15))</f>
        <v>-9.7055192880738019</v>
      </c>
      <c r="AK1057" s="483"/>
      <c r="AL1057" s="483">
        <f t="shared" si="297"/>
        <v>-9.7055192880738019</v>
      </c>
      <c r="AM1057" s="483">
        <v>-14.01641</v>
      </c>
      <c r="AN1057" s="226">
        <v>-9.77</v>
      </c>
      <c r="AO1057" s="484">
        <v>12.32</v>
      </c>
      <c r="AP1057" s="484"/>
      <c r="AQ1057" s="48" t="s">
        <v>6311</v>
      </c>
      <c r="AR1057" s="48" t="s">
        <v>6311</v>
      </c>
      <c r="AS1057" s="227"/>
      <c r="AT1057" s="50" t="s">
        <v>266</v>
      </c>
      <c r="AU1057" s="48">
        <v>6</v>
      </c>
      <c r="AV1057" s="48">
        <v>120</v>
      </c>
      <c r="AW1057" s="48">
        <v>114</v>
      </c>
      <c r="AX1057" s="48">
        <v>28</v>
      </c>
      <c r="AY1057" s="48" t="s">
        <v>8728</v>
      </c>
      <c r="AZ1057" s="48" t="s">
        <v>1563</v>
      </c>
      <c r="BA1057" s="48">
        <v>32</v>
      </c>
      <c r="BB1057" s="47" t="s">
        <v>2485</v>
      </c>
      <c r="BC1057" s="47" t="s">
        <v>8726</v>
      </c>
      <c r="BD1057" s="47" t="s">
        <v>8374</v>
      </c>
      <c r="BE1057" s="48" t="s">
        <v>2449</v>
      </c>
      <c r="BF1057" s="48" t="s">
        <v>272</v>
      </c>
      <c r="BG1057" s="48" t="s">
        <v>272</v>
      </c>
      <c r="BH1057" s="48" t="s">
        <v>2486</v>
      </c>
      <c r="BI1057" s="98">
        <v>6.3999999999999997E-6</v>
      </c>
      <c r="BJ1057" s="98">
        <v>6.4000000000000001E-2</v>
      </c>
      <c r="BK1057" s="48"/>
      <c r="BL1057" s="98">
        <f t="shared" si="295"/>
        <v>1590.9114224370419</v>
      </c>
      <c r="BM1057" s="47" t="s">
        <v>2487</v>
      </c>
      <c r="BN1057" s="48"/>
      <c r="BO1057" s="48"/>
      <c r="BP1057" s="48"/>
      <c r="BQ1057" s="48"/>
      <c r="BR1057" s="47" t="s">
        <v>2496</v>
      </c>
      <c r="BS1057" s="48"/>
      <c r="BT1057" s="48"/>
      <c r="BU1057" s="228"/>
      <c r="BV1057" s="48"/>
      <c r="BW1057" s="48"/>
      <c r="BX1057" s="48"/>
      <c r="BY1057" s="48"/>
      <c r="BZ1057" s="48"/>
      <c r="CA1057" s="48"/>
      <c r="CB1057" s="48"/>
      <c r="CC1057" s="48"/>
      <c r="CD1057" s="48"/>
      <c r="CE1057" s="48"/>
      <c r="CF1057" s="48"/>
      <c r="CG1057" s="48"/>
      <c r="CH1057" s="48"/>
      <c r="CI1057" s="98"/>
      <c r="CJ1057" s="98"/>
      <c r="CK1057" s="49">
        <f t="shared" si="291"/>
        <v>24857.990975578778</v>
      </c>
      <c r="CL1057" s="229"/>
      <c r="CM1057" s="229"/>
      <c r="CN1057" s="229"/>
      <c r="CO1057" s="47" t="s">
        <v>2488</v>
      </c>
      <c r="CP1057" s="47" t="s">
        <v>2489</v>
      </c>
      <c r="CQ1057" s="224">
        <v>0.26783608642844203</v>
      </c>
      <c r="CR1057" s="224">
        <f>10^(CJ1057-CQ1057)</f>
        <v>0.5397142857142857</v>
      </c>
      <c r="CS1057" s="230" t="s">
        <v>539</v>
      </c>
      <c r="CT1057" s="230"/>
      <c r="CU1057" s="230"/>
      <c r="CV1057" s="335">
        <f t="shared" si="294"/>
        <v>227468.23716251983</v>
      </c>
      <c r="CW1057" s="230">
        <f t="shared" si="290"/>
        <v>1</v>
      </c>
      <c r="CX1057" s="336"/>
      <c r="CY1057" s="230" t="s">
        <v>5921</v>
      </c>
    </row>
    <row r="1058" spans="1:103" ht="11.25" customHeight="1" x14ac:dyDescent="0.2">
      <c r="A1058" s="72">
        <v>1056</v>
      </c>
      <c r="B1058" s="224">
        <v>1305</v>
      </c>
      <c r="C1058" s="46" t="s">
        <v>7224</v>
      </c>
      <c r="D1058" s="46"/>
      <c r="E1058" s="114"/>
      <c r="F1058" s="114" t="s">
        <v>3579</v>
      </c>
      <c r="G1058" s="225">
        <v>126738</v>
      </c>
      <c r="H1058" s="47" t="s">
        <v>3580</v>
      </c>
      <c r="I1058" s="47" t="s">
        <v>3580</v>
      </c>
      <c r="J1058" s="47" t="s">
        <v>3581</v>
      </c>
      <c r="K1058" s="47" t="s">
        <v>637</v>
      </c>
      <c r="L1058" s="51" t="s">
        <v>5527</v>
      </c>
      <c r="M1058" s="47" t="s">
        <v>5960</v>
      </c>
      <c r="N1058" s="47"/>
      <c r="O1058" s="47"/>
      <c r="P1058" s="53"/>
      <c r="Q1058" s="53" t="s">
        <v>6173</v>
      </c>
      <c r="R1058" s="53" t="s">
        <v>6177</v>
      </c>
      <c r="S1058" s="53" t="s">
        <v>6176</v>
      </c>
      <c r="T1058" s="48">
        <v>266.31</v>
      </c>
      <c r="U1058" s="98">
        <v>1.0514062558672224</v>
      </c>
      <c r="V1058" s="98">
        <v>2.7618189328226503E-2</v>
      </c>
      <c r="W1058" s="98">
        <v>1.819700858609981</v>
      </c>
      <c r="X1058" s="98">
        <v>1.0514062558672224</v>
      </c>
      <c r="Y1058" s="233">
        <v>7</v>
      </c>
      <c r="Z1058" s="48">
        <v>3.82</v>
      </c>
      <c r="AA1058" s="48">
        <v>4</v>
      </c>
      <c r="AB1058" s="48">
        <v>3.46</v>
      </c>
      <c r="AC1058" s="48">
        <v>0.75480000000000003</v>
      </c>
      <c r="AD1058" s="48">
        <v>3.74</v>
      </c>
      <c r="AE1058" s="48">
        <v>4.26</v>
      </c>
      <c r="AF1058" s="48">
        <f t="shared" si="289"/>
        <v>4</v>
      </c>
      <c r="AG1058" s="49">
        <v>3.5</v>
      </c>
      <c r="AH1058" s="98">
        <v>3.19E-6</v>
      </c>
      <c r="AI1058" s="98">
        <v>1.4100000000000001E-6</v>
      </c>
      <c r="AJ1058" s="483">
        <f t="shared" si="298"/>
        <v>-3.8847756432554705</v>
      </c>
      <c r="AK1058" s="483">
        <f>LOG10(AI1058*1000/(0.08206*298.15))</f>
        <v>-4.2393472136572719</v>
      </c>
      <c r="AL1058" s="483">
        <f t="shared" si="297"/>
        <v>-4.2393472136572719</v>
      </c>
      <c r="AM1058" s="483">
        <v>-8.7545000000000002</v>
      </c>
      <c r="AN1058" s="226">
        <v>-3.63</v>
      </c>
      <c r="AO1058" s="484"/>
      <c r="AP1058" s="484"/>
      <c r="AQ1058" s="48" t="s">
        <v>6312</v>
      </c>
      <c r="AR1058" s="48" t="s">
        <v>6312</v>
      </c>
      <c r="AS1058" s="227"/>
      <c r="AT1058" s="50" t="s">
        <v>266</v>
      </c>
      <c r="AU1058" s="48">
        <v>6</v>
      </c>
      <c r="AV1058" s="48">
        <v>120</v>
      </c>
      <c r="AW1058" s="48">
        <v>114</v>
      </c>
      <c r="AX1058" s="48">
        <v>28</v>
      </c>
      <c r="AY1058" s="48" t="s">
        <v>8728</v>
      </c>
      <c r="AZ1058" s="48" t="s">
        <v>1563</v>
      </c>
      <c r="BA1058" s="48">
        <v>32</v>
      </c>
      <c r="BB1058" s="47" t="s">
        <v>2485</v>
      </c>
      <c r="BC1058" s="47" t="s">
        <v>8726</v>
      </c>
      <c r="BD1058" s="47" t="s">
        <v>8374</v>
      </c>
      <c r="BE1058" s="48" t="s">
        <v>2449</v>
      </c>
      <c r="BF1058" s="48" t="s">
        <v>272</v>
      </c>
      <c r="BG1058" s="48" t="s">
        <v>272</v>
      </c>
      <c r="BH1058" s="48" t="s">
        <v>2486</v>
      </c>
      <c r="BI1058" s="98">
        <v>6.3999999999999997E-6</v>
      </c>
      <c r="BJ1058" s="98">
        <v>6.4000000000000001E-2</v>
      </c>
      <c r="BK1058" s="48"/>
      <c r="BL1058" s="98">
        <f t="shared" si="295"/>
        <v>1.905715209112286E-2</v>
      </c>
      <c r="BM1058" s="47" t="s">
        <v>2487</v>
      </c>
      <c r="BN1058" s="48"/>
      <c r="BO1058" s="48"/>
      <c r="BP1058" s="48"/>
      <c r="BQ1058" s="48"/>
      <c r="BR1058" s="47" t="s">
        <v>2496</v>
      </c>
      <c r="BS1058" s="48"/>
      <c r="BT1058" s="48"/>
      <c r="BU1058" s="228">
        <v>6.4000000000000001E-2</v>
      </c>
      <c r="BV1058" s="48"/>
      <c r="BW1058" s="48"/>
      <c r="BX1058" s="48"/>
      <c r="BY1058" s="48"/>
      <c r="BZ1058" s="48"/>
      <c r="CA1058" s="48"/>
      <c r="CB1058" s="48"/>
      <c r="CC1058" s="48"/>
      <c r="CD1058" s="48"/>
      <c r="CE1058" s="48"/>
      <c r="CF1058" s="48"/>
      <c r="CG1058" s="48"/>
      <c r="CH1058" s="48"/>
      <c r="CI1058" s="98"/>
      <c r="CJ1058" s="98"/>
      <c r="CK1058" s="49">
        <f t="shared" si="291"/>
        <v>0.29776800142379467</v>
      </c>
      <c r="CL1058" s="229"/>
      <c r="CM1058" s="229"/>
      <c r="CN1058" s="229"/>
      <c r="CO1058" s="47" t="s">
        <v>2488</v>
      </c>
      <c r="CP1058" s="47" t="s">
        <v>2489</v>
      </c>
      <c r="CQ1058" s="224">
        <v>-1.6260920117501534</v>
      </c>
      <c r="CR1058" s="224">
        <f>10^(CJ1058-CQ1058)</f>
        <v>42.275817238943048</v>
      </c>
      <c r="CS1058" s="230" t="s">
        <v>539</v>
      </c>
      <c r="CT1058" s="230"/>
      <c r="CU1058" s="230"/>
      <c r="CV1058" s="335">
        <f t="shared" si="294"/>
        <v>16.42822274792535</v>
      </c>
      <c r="CW1058" s="230">
        <f t="shared" si="290"/>
        <v>1</v>
      </c>
      <c r="CX1058" s="336"/>
      <c r="CY1058" s="230" t="s">
        <v>6351</v>
      </c>
    </row>
    <row r="1059" spans="1:103" ht="11.25" customHeight="1" x14ac:dyDescent="0.2">
      <c r="A1059" s="72">
        <v>1057</v>
      </c>
      <c r="B1059" s="224">
        <v>1419</v>
      </c>
      <c r="C1059" s="46" t="s">
        <v>7225</v>
      </c>
      <c r="D1059" s="46"/>
      <c r="E1059" s="114"/>
      <c r="F1059" s="114" t="s">
        <v>4365</v>
      </c>
      <c r="G1059" s="225">
        <v>126863</v>
      </c>
      <c r="H1059" s="47" t="s">
        <v>4366</v>
      </c>
      <c r="I1059" s="47" t="s">
        <v>7940</v>
      </c>
      <c r="J1059" s="47" t="s">
        <v>4367</v>
      </c>
      <c r="K1059" s="47" t="s">
        <v>4368</v>
      </c>
      <c r="L1059" s="47"/>
      <c r="M1059" s="47"/>
      <c r="N1059" s="47"/>
      <c r="O1059" s="47"/>
      <c r="P1059" s="53"/>
      <c r="Q1059" s="53"/>
      <c r="R1059" s="53"/>
      <c r="S1059" s="53"/>
      <c r="T1059" s="48">
        <v>226.36</v>
      </c>
      <c r="U1059" s="98"/>
      <c r="V1059" s="98">
        <v>0.1164074924898392</v>
      </c>
      <c r="W1059" s="98">
        <v>0.13489628825916533</v>
      </c>
      <c r="X1059" s="98">
        <f>IF(W1059=0,V1059,W1059)</f>
        <v>0.13489628825916533</v>
      </c>
      <c r="Y1059" s="233">
        <v>7</v>
      </c>
      <c r="Z1059" s="48">
        <v>3.61</v>
      </c>
      <c r="AA1059" s="48"/>
      <c r="AB1059" s="48">
        <v>2.82</v>
      </c>
      <c r="AC1059" s="48">
        <v>0.67310000000000003</v>
      </c>
      <c r="AD1059" s="48">
        <v>2.94</v>
      </c>
      <c r="AE1059" s="48">
        <v>3.11</v>
      </c>
      <c r="AF1059" s="48">
        <f t="shared" si="289"/>
        <v>2.94</v>
      </c>
      <c r="AG1059" s="49">
        <v>3.23</v>
      </c>
      <c r="AH1059" s="98">
        <v>2.4400000000000001E-7</v>
      </c>
      <c r="AI1059" s="98"/>
      <c r="AJ1059" s="483">
        <f t="shared" si="298"/>
        <v>-5.0011764999739219</v>
      </c>
      <c r="AK1059" s="483"/>
      <c r="AL1059" s="483">
        <f t="shared" si="297"/>
        <v>-5.0011764999739219</v>
      </c>
      <c r="AM1059" s="483">
        <v>-9.0765900000000013</v>
      </c>
      <c r="AN1059" s="226">
        <v>-8.3699999999999992</v>
      </c>
      <c r="AO1059" s="484">
        <v>12.92</v>
      </c>
      <c r="AP1059" s="484"/>
      <c r="AQ1059" s="48" t="s">
        <v>6311</v>
      </c>
      <c r="AR1059" s="48" t="s">
        <v>6311</v>
      </c>
      <c r="AS1059" s="227"/>
      <c r="AT1059" s="50" t="s">
        <v>266</v>
      </c>
      <c r="AU1059" s="48">
        <v>6</v>
      </c>
      <c r="AV1059" s="48">
        <v>120</v>
      </c>
      <c r="AW1059" s="48">
        <v>114</v>
      </c>
      <c r="AX1059" s="48">
        <v>28</v>
      </c>
      <c r="AY1059" s="48" t="s">
        <v>8728</v>
      </c>
      <c r="AZ1059" s="48" t="s">
        <v>1563</v>
      </c>
      <c r="BA1059" s="48">
        <v>32</v>
      </c>
      <c r="BB1059" s="47" t="s">
        <v>2485</v>
      </c>
      <c r="BC1059" s="47" t="s">
        <v>8726</v>
      </c>
      <c r="BD1059" s="47" t="s">
        <v>8374</v>
      </c>
      <c r="BE1059" s="48" t="s">
        <v>2449</v>
      </c>
      <c r="BF1059" s="48" t="s">
        <v>272</v>
      </c>
      <c r="BG1059" s="48" t="s">
        <v>272</v>
      </c>
      <c r="BH1059" s="48" t="s">
        <v>2486</v>
      </c>
      <c r="BI1059" s="98">
        <v>6.3999999999999997E-6</v>
      </c>
      <c r="BJ1059" s="98">
        <v>6.4000000000000001E-2</v>
      </c>
      <c r="BK1059" s="48"/>
      <c r="BL1059" s="98">
        <f t="shared" si="295"/>
        <v>2.9421106357497059E-2</v>
      </c>
      <c r="BM1059" s="47" t="s">
        <v>2487</v>
      </c>
      <c r="BN1059" s="48"/>
      <c r="BO1059" s="48"/>
      <c r="BP1059" s="48"/>
      <c r="BQ1059" s="48"/>
      <c r="BR1059" s="47" t="s">
        <v>2496</v>
      </c>
      <c r="BS1059" s="48"/>
      <c r="BT1059" s="48"/>
      <c r="BU1059" s="228"/>
      <c r="BV1059" s="48"/>
      <c r="BW1059" s="48"/>
      <c r="BX1059" s="48"/>
      <c r="BY1059" s="48"/>
      <c r="BZ1059" s="48"/>
      <c r="CA1059" s="48"/>
      <c r="CB1059" s="48"/>
      <c r="CC1059" s="48"/>
      <c r="CD1059" s="48"/>
      <c r="CE1059" s="48"/>
      <c r="CF1059" s="48"/>
      <c r="CG1059" s="48"/>
      <c r="CH1059" s="48"/>
      <c r="CI1059" s="98"/>
      <c r="CJ1059" s="98"/>
      <c r="CK1059" s="49">
        <f t="shared" si="291"/>
        <v>0.45970478683589155</v>
      </c>
      <c r="CL1059" s="229"/>
      <c r="CM1059" s="229"/>
      <c r="CN1059" s="229"/>
      <c r="CO1059" s="47" t="s">
        <v>2488</v>
      </c>
      <c r="CP1059" s="47" t="s">
        <v>2489</v>
      </c>
      <c r="CQ1059" s="224">
        <v>-0.79849718449600326</v>
      </c>
      <c r="CR1059" s="224">
        <f>10^(CJ1059-CQ1059)</f>
        <v>6.287777777777781</v>
      </c>
      <c r="CS1059" s="230" t="s">
        <v>539</v>
      </c>
      <c r="CT1059" s="230"/>
      <c r="CU1059" s="230"/>
      <c r="CV1059" s="335">
        <f t="shared" si="294"/>
        <v>2.1077545040494581</v>
      </c>
      <c r="CW1059" s="230">
        <f t="shared" si="290"/>
        <v>1</v>
      </c>
      <c r="CX1059" s="336"/>
      <c r="CY1059" s="230" t="s">
        <v>6351</v>
      </c>
    </row>
    <row r="1060" spans="1:103" ht="11.25" customHeight="1" x14ac:dyDescent="0.2">
      <c r="A1060" s="72">
        <v>1058</v>
      </c>
      <c r="B1060" s="224">
        <v>1161</v>
      </c>
      <c r="C1060" s="46" t="s">
        <v>7226</v>
      </c>
      <c r="D1060" s="46"/>
      <c r="E1060" s="114"/>
      <c r="F1060" s="114" t="s">
        <v>717</v>
      </c>
      <c r="G1060" s="225">
        <v>127071</v>
      </c>
      <c r="H1060" s="47" t="s">
        <v>718</v>
      </c>
      <c r="I1060" s="47" t="s">
        <v>718</v>
      </c>
      <c r="J1060" s="47" t="s">
        <v>719</v>
      </c>
      <c r="K1060" s="47" t="s">
        <v>426</v>
      </c>
      <c r="L1060" s="47" t="s">
        <v>279</v>
      </c>
      <c r="M1060" s="47" t="s">
        <v>720</v>
      </c>
      <c r="N1060" s="47"/>
      <c r="O1060" s="47" t="s">
        <v>281</v>
      </c>
      <c r="P1060" s="53"/>
      <c r="Q1060" s="53"/>
      <c r="R1060" s="53"/>
      <c r="S1060" s="53"/>
      <c r="T1060" s="48">
        <v>76.05</v>
      </c>
      <c r="U1060" s="98">
        <v>13149.243918474689</v>
      </c>
      <c r="V1060" s="98">
        <v>2948.0604865220253</v>
      </c>
      <c r="W1060" s="98">
        <v>12882.495516931347</v>
      </c>
      <c r="X1060" s="98">
        <v>13149.243918474689</v>
      </c>
      <c r="Y1060" s="233">
        <v>4.55</v>
      </c>
      <c r="Z1060" s="48">
        <v>-1.68</v>
      </c>
      <c r="AA1060" s="48">
        <v>-1.8</v>
      </c>
      <c r="AB1060" s="48">
        <v>-1.36</v>
      </c>
      <c r="AC1060" s="48">
        <v>0.70209999999999995</v>
      </c>
      <c r="AD1060" s="48">
        <v>-1.54</v>
      </c>
      <c r="AE1060" s="48">
        <v>-1.8</v>
      </c>
      <c r="AF1060" s="48">
        <f t="shared" si="289"/>
        <v>-1.8</v>
      </c>
      <c r="AG1060" s="49">
        <v>-1.34</v>
      </c>
      <c r="AH1060" s="98">
        <v>5.4199999999999998E-11</v>
      </c>
      <c r="AI1060" s="98"/>
      <c r="AJ1060" s="483">
        <f t="shared" si="298"/>
        <v>-8.654567039774264</v>
      </c>
      <c r="AK1060" s="483"/>
      <c r="AL1060" s="483">
        <f t="shared" si="297"/>
        <v>-8.654567039774264</v>
      </c>
      <c r="AM1060" s="483">
        <v>-12.359780000000001</v>
      </c>
      <c r="AN1060" s="226">
        <v>-13.5</v>
      </c>
      <c r="AO1060" s="484">
        <v>10.56</v>
      </c>
      <c r="AP1060" s="484">
        <v>-0.47</v>
      </c>
      <c r="AQ1060" s="48" t="s">
        <v>6311</v>
      </c>
      <c r="AR1060" s="48" t="s">
        <v>6311</v>
      </c>
      <c r="AS1060" s="227"/>
      <c r="AT1060" s="50" t="s">
        <v>266</v>
      </c>
      <c r="AU1060" s="48">
        <v>6</v>
      </c>
      <c r="AV1060" s="48">
        <v>120</v>
      </c>
      <c r="AW1060" s="48">
        <v>114</v>
      </c>
      <c r="AX1060" s="48">
        <v>28</v>
      </c>
      <c r="AY1060" s="48" t="s">
        <v>8728</v>
      </c>
      <c r="AZ1060" s="48" t="s">
        <v>1563</v>
      </c>
      <c r="BA1060" s="48">
        <v>32</v>
      </c>
      <c r="BB1060" s="47" t="s">
        <v>2485</v>
      </c>
      <c r="BC1060" s="47" t="s">
        <v>8726</v>
      </c>
      <c r="BD1060" s="47" t="s">
        <v>8374</v>
      </c>
      <c r="BE1060" s="48" t="s">
        <v>2449</v>
      </c>
      <c r="BF1060" s="48" t="s">
        <v>272</v>
      </c>
      <c r="BG1060" s="48" t="s">
        <v>272</v>
      </c>
      <c r="BH1060" s="48" t="s">
        <v>2486</v>
      </c>
      <c r="BI1060" s="98">
        <v>6.3999999999999997E-6</v>
      </c>
      <c r="BJ1060" s="98">
        <v>6.4000000000000001E-2</v>
      </c>
      <c r="BK1060" s="48"/>
      <c r="BL1060" s="98">
        <f t="shared" si="295"/>
        <v>1658.0896179671047</v>
      </c>
      <c r="BM1060" s="47" t="s">
        <v>2487</v>
      </c>
      <c r="BN1060" s="48"/>
      <c r="BO1060" s="48"/>
      <c r="BP1060" s="48"/>
      <c r="BQ1060" s="48"/>
      <c r="BR1060" s="47" t="s">
        <v>2496</v>
      </c>
      <c r="BS1060" s="48"/>
      <c r="BT1060" s="48"/>
      <c r="BU1060" s="228">
        <v>6.3999999999999997E-6</v>
      </c>
      <c r="BV1060" s="48"/>
      <c r="BW1060" s="48"/>
      <c r="BX1060" s="48"/>
      <c r="BY1060" s="48"/>
      <c r="BZ1060" s="48"/>
      <c r="CA1060" s="48"/>
      <c r="CB1060" s="48"/>
      <c r="CC1060" s="48"/>
      <c r="CD1060" s="48"/>
      <c r="CE1060" s="48"/>
      <c r="CF1060" s="48"/>
      <c r="CG1060" s="48"/>
      <c r="CH1060" s="48"/>
      <c r="CI1060" s="98"/>
      <c r="CJ1060" s="98"/>
      <c r="CK1060" s="49">
        <f t="shared" si="291"/>
        <v>25907.650280736008</v>
      </c>
      <c r="CL1060" s="229"/>
      <c r="CM1060" s="229"/>
      <c r="CN1060" s="229"/>
      <c r="CO1060" s="47" t="s">
        <v>2488</v>
      </c>
      <c r="CP1060" s="47" t="s">
        <v>2489</v>
      </c>
      <c r="CQ1060" s="224" t="s">
        <v>272</v>
      </c>
      <c r="CR1060" s="224"/>
      <c r="CS1060" s="230" t="s">
        <v>539</v>
      </c>
      <c r="CT1060" s="230"/>
      <c r="CU1060" s="230"/>
      <c r="CV1060" s="335">
        <f t="shared" si="294"/>
        <v>205456.93622616702</v>
      </c>
      <c r="CW1060" s="230">
        <f t="shared" si="290"/>
        <v>1</v>
      </c>
      <c r="CX1060" s="336"/>
      <c r="CY1060" s="230" t="s">
        <v>5921</v>
      </c>
    </row>
    <row r="1061" spans="1:103" ht="11.25" customHeight="1" x14ac:dyDescent="0.2">
      <c r="A1061" s="72">
        <v>1059</v>
      </c>
      <c r="B1061" s="224">
        <v>1432</v>
      </c>
      <c r="C1061" s="46" t="s">
        <v>7227</v>
      </c>
      <c r="D1061" s="46"/>
      <c r="E1061" s="114"/>
      <c r="F1061" s="114" t="s">
        <v>4405</v>
      </c>
      <c r="G1061" s="225">
        <v>127515</v>
      </c>
      <c r="H1061" s="47" t="s">
        <v>4406</v>
      </c>
      <c r="I1061" s="47" t="s">
        <v>4406</v>
      </c>
      <c r="J1061" s="47"/>
      <c r="K1061" s="47" t="s">
        <v>371</v>
      </c>
      <c r="L1061" s="47"/>
      <c r="M1061" s="47"/>
      <c r="N1061" s="47"/>
      <c r="O1061" s="47"/>
      <c r="P1061" s="53"/>
      <c r="Q1061" s="53"/>
      <c r="R1061" s="53"/>
      <c r="S1061" s="53"/>
      <c r="T1061" s="48">
        <v>206.33</v>
      </c>
      <c r="U1061" s="98"/>
      <c r="V1061" s="98">
        <v>1.4442882760626181E-2</v>
      </c>
      <c r="W1061" s="98">
        <v>0.93325430079699057</v>
      </c>
      <c r="X1061" s="98">
        <f>IF(W1061=0,V1061,W1061)</f>
        <v>0.93325430079699057</v>
      </c>
      <c r="Y1061" s="233">
        <v>7</v>
      </c>
      <c r="Z1061" s="48">
        <v>4.84</v>
      </c>
      <c r="AA1061" s="48"/>
      <c r="AB1061" s="48">
        <v>4.13</v>
      </c>
      <c r="AC1061" s="48">
        <v>0.78820000000000001</v>
      </c>
      <c r="AD1061" s="48">
        <v>4.22</v>
      </c>
      <c r="AE1061" s="48">
        <v>4.41</v>
      </c>
      <c r="AF1061" s="48">
        <f t="shared" si="289"/>
        <v>4.22</v>
      </c>
      <c r="AG1061" s="49">
        <v>4.22</v>
      </c>
      <c r="AH1061" s="98">
        <v>2.8299999999999999E-4</v>
      </c>
      <c r="AI1061" s="98"/>
      <c r="AJ1061" s="483">
        <f t="shared" si="298"/>
        <v>-1.9367798907883615</v>
      </c>
      <c r="AK1061" s="483"/>
      <c r="AL1061" s="483">
        <f t="shared" si="297"/>
        <v>-1.9367798907883615</v>
      </c>
      <c r="AM1061" s="483">
        <v>-5.72377</v>
      </c>
      <c r="AN1061" s="226"/>
      <c r="AO1061" s="484"/>
      <c r="AP1061" s="484"/>
      <c r="AQ1061" s="48" t="s">
        <v>6311</v>
      </c>
      <c r="AR1061" s="48" t="s">
        <v>6311</v>
      </c>
      <c r="AS1061" s="227"/>
      <c r="AT1061" s="50" t="s">
        <v>266</v>
      </c>
      <c r="AU1061" s="48">
        <v>6</v>
      </c>
      <c r="AV1061" s="48">
        <v>120</v>
      </c>
      <c r="AW1061" s="48">
        <v>114</v>
      </c>
      <c r="AX1061" s="48">
        <v>28</v>
      </c>
      <c r="AY1061" s="48" t="s">
        <v>8728</v>
      </c>
      <c r="AZ1061" s="48" t="s">
        <v>1563</v>
      </c>
      <c r="BA1061" s="48">
        <v>32</v>
      </c>
      <c r="BB1061" s="47" t="s">
        <v>2485</v>
      </c>
      <c r="BC1061" s="47" t="s">
        <v>8726</v>
      </c>
      <c r="BD1061" s="47" t="s">
        <v>8374</v>
      </c>
      <c r="BE1061" s="48" t="s">
        <v>2449</v>
      </c>
      <c r="BF1061" s="48" t="s">
        <v>272</v>
      </c>
      <c r="BG1061" s="48" t="s">
        <v>272</v>
      </c>
      <c r="BH1061" s="48" t="s">
        <v>2486</v>
      </c>
      <c r="BI1061" s="98">
        <v>6.3999999999999997E-6</v>
      </c>
      <c r="BJ1061" s="98">
        <v>6.4000000000000001E-2</v>
      </c>
      <c r="BK1061" s="48"/>
      <c r="BL1061" s="98">
        <f t="shared" si="295"/>
        <v>2.3120434953699822E-3</v>
      </c>
      <c r="BM1061" s="47" t="s">
        <v>2487</v>
      </c>
      <c r="BN1061" s="48"/>
      <c r="BO1061" s="48"/>
      <c r="BP1061" s="48"/>
      <c r="BQ1061" s="48"/>
      <c r="BR1061" s="47" t="s">
        <v>2496</v>
      </c>
      <c r="BS1061" s="48"/>
      <c r="BT1061" s="48"/>
      <c r="BU1061" s="228"/>
      <c r="BV1061" s="48"/>
      <c r="BW1061" s="48"/>
      <c r="BX1061" s="48"/>
      <c r="BY1061" s="48"/>
      <c r="BZ1061" s="48"/>
      <c r="CA1061" s="48"/>
      <c r="CB1061" s="48"/>
      <c r="CC1061" s="48"/>
      <c r="CD1061" s="48"/>
      <c r="CE1061" s="48"/>
      <c r="CF1061" s="48"/>
      <c r="CG1061" s="48"/>
      <c r="CH1061" s="48"/>
      <c r="CI1061" s="98"/>
      <c r="CJ1061" s="98"/>
      <c r="CK1061" s="49">
        <f t="shared" si="291"/>
        <v>3.6125679615155969E-2</v>
      </c>
      <c r="CL1061" s="229"/>
      <c r="CM1061" s="229"/>
      <c r="CN1061" s="229"/>
      <c r="CO1061" s="47" t="s">
        <v>2488</v>
      </c>
      <c r="CP1061" s="47" t="s">
        <v>2489</v>
      </c>
      <c r="CQ1061" s="224" t="s">
        <v>272</v>
      </c>
      <c r="CR1061" s="224"/>
      <c r="CS1061" s="230" t="s">
        <v>539</v>
      </c>
      <c r="CT1061" s="230"/>
      <c r="CU1061" s="230"/>
      <c r="CV1061" s="335">
        <f t="shared" si="294"/>
        <v>14.582098449952976</v>
      </c>
      <c r="CW1061" s="230">
        <f t="shared" si="290"/>
        <v>1</v>
      </c>
      <c r="CX1061" s="336"/>
      <c r="CY1061" s="230" t="s">
        <v>5921</v>
      </c>
    </row>
    <row r="1062" spans="1:103" ht="11.25" customHeight="1" x14ac:dyDescent="0.2">
      <c r="A1062" s="72">
        <v>1060</v>
      </c>
      <c r="B1062" s="224">
        <v>1277</v>
      </c>
      <c r="C1062" s="46" t="s">
        <v>7228</v>
      </c>
      <c r="D1062" s="46"/>
      <c r="E1062" s="114"/>
      <c r="F1062" s="114" t="s">
        <v>3510</v>
      </c>
      <c r="G1062" s="225">
        <v>128041</v>
      </c>
      <c r="H1062" s="47" t="s">
        <v>3511</v>
      </c>
      <c r="I1062" s="47" t="s">
        <v>3511</v>
      </c>
      <c r="J1062" s="47" t="s">
        <v>3512</v>
      </c>
      <c r="K1062" s="47" t="s">
        <v>1297</v>
      </c>
      <c r="L1062" s="47" t="s">
        <v>6025</v>
      </c>
      <c r="M1062" s="47" t="s">
        <v>1515</v>
      </c>
      <c r="N1062" s="47"/>
      <c r="O1062" s="47" t="s">
        <v>1516</v>
      </c>
      <c r="P1062" s="53"/>
      <c r="Q1062" s="53"/>
      <c r="R1062" s="53"/>
      <c r="S1062" s="53"/>
      <c r="T1062" s="48">
        <v>121.23</v>
      </c>
      <c r="U1062" s="98"/>
      <c r="V1062" s="98">
        <v>2143.8587808298275</v>
      </c>
      <c r="W1062" s="98">
        <v>67.60829753919819</v>
      </c>
      <c r="X1062" s="98">
        <f>IF(W1062=0,V1062,W1062)</f>
        <v>67.60829753919819</v>
      </c>
      <c r="Y1062" s="233">
        <v>2.48</v>
      </c>
      <c r="Z1062" s="48">
        <v>0.69</v>
      </c>
      <c r="AA1062" s="48"/>
      <c r="AB1062" s="48">
        <v>1.06</v>
      </c>
      <c r="AC1062" s="48">
        <v>0.61360000000000003</v>
      </c>
      <c r="AD1062" s="48">
        <v>0.93</v>
      </c>
      <c r="AE1062" s="48">
        <v>0.75</v>
      </c>
      <c r="AF1062" s="48">
        <f t="shared" si="289"/>
        <v>0.93</v>
      </c>
      <c r="AG1062" s="49">
        <v>0.93</v>
      </c>
      <c r="AH1062" s="98">
        <v>3.88E-4</v>
      </c>
      <c r="AI1062" s="98"/>
      <c r="AJ1062" s="483">
        <f t="shared" si="298"/>
        <v>-1.7997346007184445</v>
      </c>
      <c r="AK1062" s="483"/>
      <c r="AL1062" s="483">
        <f t="shared" si="297"/>
        <v>-1.7997346007184445</v>
      </c>
      <c r="AM1062" s="483">
        <v>-5.8227999999999991</v>
      </c>
      <c r="AN1062" s="226"/>
      <c r="AO1062" s="484">
        <v>4.21</v>
      </c>
      <c r="AP1062" s="484">
        <v>0.9</v>
      </c>
      <c r="AQ1062" s="48" t="s">
        <v>6311</v>
      </c>
      <c r="AR1062" s="48" t="s">
        <v>6311</v>
      </c>
      <c r="AS1062" s="227"/>
      <c r="AT1062" s="50" t="s">
        <v>266</v>
      </c>
      <c r="AU1062" s="48">
        <v>6</v>
      </c>
      <c r="AV1062" s="48">
        <v>120</v>
      </c>
      <c r="AW1062" s="48">
        <v>114</v>
      </c>
      <c r="AX1062" s="48">
        <v>28</v>
      </c>
      <c r="AY1062" s="48" t="s">
        <v>8728</v>
      </c>
      <c r="AZ1062" s="48" t="s">
        <v>1563</v>
      </c>
      <c r="BA1062" s="48">
        <v>32</v>
      </c>
      <c r="BB1062" s="47" t="s">
        <v>2485</v>
      </c>
      <c r="BC1062" s="47" t="s">
        <v>8726</v>
      </c>
      <c r="BD1062" s="47" t="s">
        <v>8374</v>
      </c>
      <c r="BE1062" s="48" t="s">
        <v>2449</v>
      </c>
      <c r="BF1062" s="48" t="s">
        <v>272</v>
      </c>
      <c r="BG1062" s="48" t="s">
        <v>272</v>
      </c>
      <c r="BH1062" s="48" t="s">
        <v>2486</v>
      </c>
      <c r="BI1062" s="98">
        <v>6.3999999999999997E-6</v>
      </c>
      <c r="BJ1062" s="98">
        <v>6.4000000000000001E-2</v>
      </c>
      <c r="BK1062" s="48"/>
      <c r="BL1062" s="98">
        <f t="shared" si="295"/>
        <v>12.334200390060218</v>
      </c>
      <c r="BM1062" s="47" t="s">
        <v>2487</v>
      </c>
      <c r="BN1062" s="48"/>
      <c r="BO1062" s="48"/>
      <c r="BP1062" s="48"/>
      <c r="BQ1062" s="48"/>
      <c r="BR1062" s="47" t="s">
        <v>2496</v>
      </c>
      <c r="BS1062" s="48"/>
      <c r="BT1062" s="48"/>
      <c r="BU1062" s="228">
        <v>6.3999999999999997E-5</v>
      </c>
      <c r="BV1062" s="48"/>
      <c r="BW1062" s="48"/>
      <c r="BX1062" s="48"/>
      <c r="BY1062" s="48"/>
      <c r="BZ1062" s="48"/>
      <c r="CA1062" s="48"/>
      <c r="CB1062" s="48"/>
      <c r="CC1062" s="48"/>
      <c r="CD1062" s="48"/>
      <c r="CE1062" s="48"/>
      <c r="CF1062" s="48"/>
      <c r="CG1062" s="48"/>
      <c r="CH1062" s="48"/>
      <c r="CI1062" s="52" t="s">
        <v>6347</v>
      </c>
      <c r="CJ1062" s="98"/>
      <c r="CK1062" s="49">
        <f t="shared" si="291"/>
        <v>192.7218810946909</v>
      </c>
      <c r="CL1062" s="229"/>
      <c r="CM1062" s="229"/>
      <c r="CN1062" s="229"/>
      <c r="CO1062" s="47" t="s">
        <v>2488</v>
      </c>
      <c r="CP1062" s="47" t="s">
        <v>2489</v>
      </c>
      <c r="CQ1062" s="224">
        <v>-0.87784233905764697</v>
      </c>
      <c r="CR1062" s="224">
        <f>10^(CJ1062-CQ1062)</f>
        <v>7.5481815799430452</v>
      </c>
      <c r="CS1062" s="230" t="s">
        <v>539</v>
      </c>
      <c r="CT1062" s="230"/>
      <c r="CU1062" s="230"/>
      <c r="CV1062" s="335">
        <f t="shared" si="294"/>
        <v>1056.3796490499717</v>
      </c>
      <c r="CW1062" s="230">
        <f t="shared" si="290"/>
        <v>1</v>
      </c>
      <c r="CX1062" s="336"/>
      <c r="CY1062" s="230" t="s">
        <v>6351</v>
      </c>
    </row>
    <row r="1063" spans="1:103" ht="11.25" customHeight="1" x14ac:dyDescent="0.2">
      <c r="A1063" s="72">
        <v>1061</v>
      </c>
      <c r="B1063" s="224">
        <v>310</v>
      </c>
      <c r="C1063" s="46" t="s">
        <v>7229</v>
      </c>
      <c r="D1063" s="46"/>
      <c r="E1063" s="114"/>
      <c r="F1063" s="114" t="s">
        <v>3833</v>
      </c>
      <c r="G1063" s="225">
        <v>131113</v>
      </c>
      <c r="H1063" s="47" t="s">
        <v>3834</v>
      </c>
      <c r="I1063" s="47" t="s">
        <v>3834</v>
      </c>
      <c r="J1063" s="47" t="s">
        <v>3835</v>
      </c>
      <c r="K1063" s="47" t="s">
        <v>357</v>
      </c>
      <c r="L1063" s="47"/>
      <c r="M1063" s="47" t="s">
        <v>866</v>
      </c>
      <c r="N1063" s="47"/>
      <c r="O1063" s="47" t="s">
        <v>498</v>
      </c>
      <c r="P1063" s="53"/>
      <c r="Q1063" s="53"/>
      <c r="R1063" s="53"/>
      <c r="S1063" s="53"/>
      <c r="T1063" s="48">
        <v>194.18</v>
      </c>
      <c r="U1063" s="98">
        <v>20.599443815016993</v>
      </c>
      <c r="V1063" s="98">
        <v>10.371819960861057</v>
      </c>
      <c r="W1063" s="98">
        <v>13.803842646028837</v>
      </c>
      <c r="X1063" s="98">
        <v>20.599443815016993</v>
      </c>
      <c r="Y1063" s="233">
        <v>7</v>
      </c>
      <c r="Z1063" s="48">
        <v>1.66</v>
      </c>
      <c r="AA1063" s="48">
        <v>1.6</v>
      </c>
      <c r="AB1063" s="48">
        <v>1.96</v>
      </c>
      <c r="AC1063" s="48">
        <v>0.87429999999999997</v>
      </c>
      <c r="AD1063" s="48">
        <v>1.88</v>
      </c>
      <c r="AE1063" s="48">
        <v>1.64</v>
      </c>
      <c r="AF1063" s="48">
        <f t="shared" si="289"/>
        <v>1.6</v>
      </c>
      <c r="AG1063" s="49">
        <v>1.61</v>
      </c>
      <c r="AH1063" s="98">
        <v>2.2399999999999999E-7</v>
      </c>
      <c r="AI1063" s="98">
        <v>1.97E-7</v>
      </c>
      <c r="AJ1063" s="483">
        <f t="shared" si="298"/>
        <v>-5.0383183079784892</v>
      </c>
      <c r="AK1063" s="483">
        <f>LOG10(AI1063*1000/(0.08206*298.15))</f>
        <v>-5.0941001001510591</v>
      </c>
      <c r="AL1063" s="483">
        <f t="shared" si="297"/>
        <v>-5.0941001001510591</v>
      </c>
      <c r="AM1063" s="483">
        <v>-8.1728799999999993</v>
      </c>
      <c r="AN1063" s="226">
        <v>-5.46</v>
      </c>
      <c r="AO1063" s="484"/>
      <c r="AP1063" s="484"/>
      <c r="AQ1063" s="226" t="s">
        <v>6311</v>
      </c>
      <c r="AR1063" s="226" t="s">
        <v>6312</v>
      </c>
      <c r="AS1063" s="224" t="s">
        <v>6</v>
      </c>
      <c r="AT1063" s="50" t="s">
        <v>266</v>
      </c>
      <c r="AU1063" s="48">
        <v>8</v>
      </c>
      <c r="AV1063" s="48">
        <v>144</v>
      </c>
      <c r="AW1063" s="48">
        <v>120</v>
      </c>
      <c r="AX1063" s="48">
        <v>26</v>
      </c>
      <c r="AY1063" s="48" t="s">
        <v>267</v>
      </c>
      <c r="AZ1063" s="48" t="s">
        <v>2253</v>
      </c>
      <c r="BA1063" s="48">
        <v>2</v>
      </c>
      <c r="BB1063" s="47" t="s">
        <v>2254</v>
      </c>
      <c r="BC1063" s="47" t="s">
        <v>270</v>
      </c>
      <c r="BD1063" s="47" t="s">
        <v>8374</v>
      </c>
      <c r="BE1063" s="48" t="s">
        <v>1712</v>
      </c>
      <c r="BF1063" s="48" t="s">
        <v>272</v>
      </c>
      <c r="BG1063" s="48" t="s">
        <v>272</v>
      </c>
      <c r="BH1063" s="48" t="s">
        <v>2255</v>
      </c>
      <c r="BI1063" s="98">
        <v>9.9999999999999995E-7</v>
      </c>
      <c r="BJ1063" s="98">
        <v>0.08</v>
      </c>
      <c r="BK1063" s="48"/>
      <c r="BL1063" s="98">
        <f t="shared" si="295"/>
        <v>1.659411135103148</v>
      </c>
      <c r="BM1063" s="48" t="s">
        <v>891</v>
      </c>
      <c r="BN1063" s="233"/>
      <c r="BO1063" s="233"/>
      <c r="BP1063" s="233"/>
      <c r="BQ1063" s="233"/>
      <c r="BR1063" s="233"/>
      <c r="BS1063" s="48"/>
      <c r="BT1063" s="233"/>
      <c r="BU1063" s="228"/>
      <c r="BV1063" s="233"/>
      <c r="BW1063" s="233"/>
      <c r="BX1063" s="233"/>
      <c r="BY1063" s="233"/>
      <c r="BZ1063" s="233"/>
      <c r="CA1063" s="233"/>
      <c r="CB1063" s="233"/>
      <c r="CC1063" s="48"/>
      <c r="CD1063" s="48"/>
      <c r="CE1063" s="48"/>
      <c r="CF1063" s="48"/>
      <c r="CG1063" s="233"/>
      <c r="CH1063" s="48"/>
      <c r="CI1063" s="98"/>
      <c r="CJ1063" s="98"/>
      <c r="CK1063" s="49">
        <f t="shared" si="291"/>
        <v>20.742639188789351</v>
      </c>
      <c r="CL1063" s="229"/>
      <c r="CM1063" s="229"/>
      <c r="CN1063" s="229"/>
      <c r="CO1063" s="47" t="s">
        <v>892</v>
      </c>
      <c r="CP1063" s="47" t="s">
        <v>893</v>
      </c>
      <c r="CQ1063" s="224">
        <v>-0.4627872314158451</v>
      </c>
      <c r="CR1063" s="224">
        <f>10^(CJ1063-CQ1063)</f>
        <v>2.9026002706151735</v>
      </c>
      <c r="CS1063" s="230" t="s">
        <v>539</v>
      </c>
      <c r="CT1063" s="230"/>
      <c r="CU1063" s="230"/>
      <c r="CV1063" s="335">
        <f t="shared" si="294"/>
        <v>257.49304768771242</v>
      </c>
      <c r="CW1063" s="230">
        <f t="shared" si="290"/>
        <v>1</v>
      </c>
      <c r="CX1063" s="336" t="s">
        <v>539</v>
      </c>
      <c r="CY1063" s="230" t="s">
        <v>6351</v>
      </c>
    </row>
    <row r="1064" spans="1:103" ht="11.25" customHeight="1" x14ac:dyDescent="0.2">
      <c r="A1064" s="72">
        <v>1062</v>
      </c>
      <c r="B1064" s="224">
        <v>1619</v>
      </c>
      <c r="C1064" s="46" t="s">
        <v>7229</v>
      </c>
      <c r="D1064" s="46"/>
      <c r="E1064" s="114"/>
      <c r="F1064" s="114" t="s">
        <v>3833</v>
      </c>
      <c r="G1064" s="225">
        <v>131113</v>
      </c>
      <c r="H1064" s="47" t="s">
        <v>3834</v>
      </c>
      <c r="I1064" s="47" t="s">
        <v>3834</v>
      </c>
      <c r="J1064" s="47" t="s">
        <v>3835</v>
      </c>
      <c r="K1064" s="47" t="s">
        <v>357</v>
      </c>
      <c r="L1064" s="47"/>
      <c r="M1064" s="47" t="s">
        <v>866</v>
      </c>
      <c r="N1064" s="47"/>
      <c r="O1064" s="47" t="s">
        <v>498</v>
      </c>
      <c r="P1064" s="53"/>
      <c r="Q1064" s="53" t="s">
        <v>6173</v>
      </c>
      <c r="R1064" s="53" t="s">
        <v>6174</v>
      </c>
      <c r="S1064" s="53" t="s">
        <v>6182</v>
      </c>
      <c r="T1064" s="48">
        <v>194.18</v>
      </c>
      <c r="U1064" s="98">
        <v>20.599443815016993</v>
      </c>
      <c r="V1064" s="98">
        <v>10.371819960861057</v>
      </c>
      <c r="W1064" s="98">
        <v>13.803842646028837</v>
      </c>
      <c r="X1064" s="98">
        <v>20.599443815016993</v>
      </c>
      <c r="Y1064" s="233">
        <v>7</v>
      </c>
      <c r="Z1064" s="48">
        <v>1.66</v>
      </c>
      <c r="AA1064" s="48">
        <v>1.6</v>
      </c>
      <c r="AB1064" s="48">
        <v>1.96</v>
      </c>
      <c r="AC1064" s="48">
        <v>0.87429999999999997</v>
      </c>
      <c r="AD1064" s="48">
        <v>1.88</v>
      </c>
      <c r="AE1064" s="48">
        <v>1.64</v>
      </c>
      <c r="AF1064" s="48">
        <f t="shared" si="289"/>
        <v>1.6</v>
      </c>
      <c r="AG1064" s="49">
        <v>1.61</v>
      </c>
      <c r="AH1064" s="98">
        <v>2.2399999999999999E-7</v>
      </c>
      <c r="AI1064" s="98">
        <v>1.97E-7</v>
      </c>
      <c r="AJ1064" s="483">
        <f t="shared" si="298"/>
        <v>-5.0383183079784892</v>
      </c>
      <c r="AK1064" s="483">
        <f>LOG10(AI1064*1000/(0.08206*298.15))</f>
        <v>-5.0941001001510591</v>
      </c>
      <c r="AL1064" s="483">
        <f t="shared" si="297"/>
        <v>-5.0941001001510591</v>
      </c>
      <c r="AM1064" s="483">
        <v>-8.1728799999999993</v>
      </c>
      <c r="AN1064" s="226">
        <v>-5.46</v>
      </c>
      <c r="AO1064" s="484"/>
      <c r="AP1064" s="484"/>
      <c r="AQ1064" s="226" t="s">
        <v>6311</v>
      </c>
      <c r="AR1064" s="226" t="s">
        <v>6312</v>
      </c>
      <c r="AS1064" s="224"/>
      <c r="AT1064" s="50" t="s">
        <v>266</v>
      </c>
      <c r="AU1064" s="48">
        <v>6</v>
      </c>
      <c r="AV1064" s="48">
        <v>120</v>
      </c>
      <c r="AW1064" s="48">
        <v>114</v>
      </c>
      <c r="AX1064" s="48">
        <v>28</v>
      </c>
      <c r="AY1064" s="48" t="s">
        <v>8728</v>
      </c>
      <c r="AZ1064" s="48" t="s">
        <v>1563</v>
      </c>
      <c r="BA1064" s="48">
        <v>32</v>
      </c>
      <c r="BB1064" s="47" t="s">
        <v>2485</v>
      </c>
      <c r="BC1064" s="47" t="s">
        <v>8726</v>
      </c>
      <c r="BD1064" s="47" t="s">
        <v>8374</v>
      </c>
      <c r="BE1064" s="48" t="s">
        <v>2449</v>
      </c>
      <c r="BF1064" s="48" t="s">
        <v>272</v>
      </c>
      <c r="BG1064" s="48" t="s">
        <v>272</v>
      </c>
      <c r="BH1064" s="48" t="s">
        <v>2486</v>
      </c>
      <c r="BI1064" s="98">
        <v>6.3999999999999997E-6</v>
      </c>
      <c r="BJ1064" s="98">
        <v>6.4000000000000001E-2</v>
      </c>
      <c r="BK1064" s="48"/>
      <c r="BL1064" s="98">
        <f t="shared" si="295"/>
        <v>1.659411135103148</v>
      </c>
      <c r="BM1064" s="47" t="s">
        <v>2487</v>
      </c>
      <c r="BN1064" s="48"/>
      <c r="BO1064" s="48"/>
      <c r="BP1064" s="48"/>
      <c r="BQ1064" s="48"/>
      <c r="BR1064" s="47" t="s">
        <v>2496</v>
      </c>
      <c r="BS1064" s="48"/>
      <c r="BT1064" s="48"/>
      <c r="BU1064" s="228"/>
      <c r="BV1064" s="48"/>
      <c r="BW1064" s="48"/>
      <c r="BX1064" s="48"/>
      <c r="BY1064" s="48"/>
      <c r="BZ1064" s="48"/>
      <c r="CA1064" s="48"/>
      <c r="CB1064" s="48"/>
      <c r="CC1064" s="48"/>
      <c r="CD1064" s="48"/>
      <c r="CE1064" s="48"/>
      <c r="CF1064" s="48"/>
      <c r="CG1064" s="48"/>
      <c r="CH1064" s="48"/>
      <c r="CI1064" s="98"/>
      <c r="CJ1064" s="98"/>
      <c r="CK1064" s="49">
        <f t="shared" si="291"/>
        <v>25.928298985986686</v>
      </c>
      <c r="CL1064" s="229"/>
      <c r="CM1064" s="229"/>
      <c r="CN1064" s="229"/>
      <c r="CO1064" s="47" t="s">
        <v>2488</v>
      </c>
      <c r="CP1064" s="47" t="s">
        <v>2489</v>
      </c>
      <c r="CQ1064" s="224">
        <v>-0.4627872314158451</v>
      </c>
      <c r="CR1064" s="224">
        <f>10^(CJ1064-CQ1064)</f>
        <v>2.9026002706151735</v>
      </c>
      <c r="CS1064" s="230" t="s">
        <v>539</v>
      </c>
      <c r="CT1064" s="230"/>
      <c r="CU1064" s="230"/>
      <c r="CV1064" s="335">
        <f t="shared" si="294"/>
        <v>321.8663096096405</v>
      </c>
      <c r="CW1064" s="230">
        <f t="shared" si="290"/>
        <v>1</v>
      </c>
      <c r="CX1064" s="336"/>
      <c r="CY1064" s="230" t="s">
        <v>6351</v>
      </c>
    </row>
    <row r="1065" spans="1:103" ht="11.25" customHeight="1" x14ac:dyDescent="0.2">
      <c r="A1065" s="72">
        <v>1063</v>
      </c>
      <c r="B1065" s="224">
        <v>1411</v>
      </c>
      <c r="C1065" s="46" t="s">
        <v>7230</v>
      </c>
      <c r="D1065" s="46"/>
      <c r="E1065" s="114"/>
      <c r="F1065" s="114" t="s">
        <v>4345</v>
      </c>
      <c r="G1065" s="225">
        <v>131555</v>
      </c>
      <c r="H1065" s="47" t="s">
        <v>4346</v>
      </c>
      <c r="I1065" s="47" t="s">
        <v>4346</v>
      </c>
      <c r="J1065" s="47" t="s">
        <v>4347</v>
      </c>
      <c r="K1065" s="47" t="s">
        <v>376</v>
      </c>
      <c r="L1065" s="47"/>
      <c r="M1065" s="47"/>
      <c r="N1065" s="47"/>
      <c r="O1065" s="47"/>
      <c r="P1065" s="53"/>
      <c r="Q1065" s="53"/>
      <c r="R1065" s="53"/>
      <c r="S1065" s="53"/>
      <c r="T1065" s="48">
        <v>246.22</v>
      </c>
      <c r="U1065" s="98"/>
      <c r="V1065" s="98">
        <v>1.6184712858419299</v>
      </c>
      <c r="W1065" s="98">
        <v>3.8018939632056123</v>
      </c>
      <c r="X1065" s="98">
        <f>IF(W1065=0,V1065,W1065)</f>
        <v>3.8018939632056123</v>
      </c>
      <c r="Y1065" s="233">
        <v>4.5999999999999996</v>
      </c>
      <c r="Z1065" s="48">
        <v>2.78</v>
      </c>
      <c r="AA1065" s="48"/>
      <c r="AB1065" s="48">
        <v>2.1800000000000002</v>
      </c>
      <c r="AC1065" s="48">
        <v>0.71350000000000002</v>
      </c>
      <c r="AD1065" s="48">
        <v>2.5299999999999998</v>
      </c>
      <c r="AE1065" s="48">
        <v>3.16</v>
      </c>
      <c r="AF1065" s="48">
        <f t="shared" si="289"/>
        <v>2.5299999999999998</v>
      </c>
      <c r="AG1065" s="49">
        <v>2.06</v>
      </c>
      <c r="AH1065" s="98">
        <v>3.61E-16</v>
      </c>
      <c r="AI1065" s="98"/>
      <c r="AJ1065" s="483">
        <f t="shared" si="298"/>
        <v>-13.831059124406995</v>
      </c>
      <c r="AK1065" s="483"/>
      <c r="AL1065" s="483">
        <f t="shared" si="297"/>
        <v>-13.831059124406995</v>
      </c>
      <c r="AM1065" s="483">
        <v>-19.532080000000001</v>
      </c>
      <c r="AN1065" s="226">
        <v>-16.8</v>
      </c>
      <c r="AO1065" s="484">
        <v>6.98</v>
      </c>
      <c r="AP1065" s="484"/>
      <c r="AQ1065" s="48" t="s">
        <v>6311</v>
      </c>
      <c r="AR1065" s="48" t="s">
        <v>6311</v>
      </c>
      <c r="AS1065" s="227"/>
      <c r="AT1065" s="50" t="s">
        <v>266</v>
      </c>
      <c r="AU1065" s="48">
        <v>6</v>
      </c>
      <c r="AV1065" s="48">
        <v>120</v>
      </c>
      <c r="AW1065" s="48">
        <v>114</v>
      </c>
      <c r="AX1065" s="48">
        <v>28</v>
      </c>
      <c r="AY1065" s="48" t="s">
        <v>8728</v>
      </c>
      <c r="AZ1065" s="48" t="s">
        <v>1563</v>
      </c>
      <c r="BA1065" s="48">
        <v>32</v>
      </c>
      <c r="BB1065" s="47" t="s">
        <v>2485</v>
      </c>
      <c r="BC1065" s="47" t="s">
        <v>8726</v>
      </c>
      <c r="BD1065" s="47" t="s">
        <v>8374</v>
      </c>
      <c r="BE1065" s="48" t="s">
        <v>2449</v>
      </c>
      <c r="BF1065" s="48" t="s">
        <v>272</v>
      </c>
      <c r="BG1065" s="48" t="s">
        <v>272</v>
      </c>
      <c r="BH1065" s="48" t="s">
        <v>2486</v>
      </c>
      <c r="BI1065" s="98">
        <v>6.3999999999999997E-6</v>
      </c>
      <c r="BJ1065" s="98">
        <v>6.4000000000000001E-2</v>
      </c>
      <c r="BK1065" s="48"/>
      <c r="BL1065" s="98">
        <f t="shared" si="295"/>
        <v>0.163712560117029</v>
      </c>
      <c r="BM1065" s="47" t="s">
        <v>2487</v>
      </c>
      <c r="BN1065" s="48"/>
      <c r="BO1065" s="48"/>
      <c r="BP1065" s="48"/>
      <c r="BQ1065" s="48"/>
      <c r="BR1065" s="47" t="s">
        <v>2496</v>
      </c>
      <c r="BS1065" s="48"/>
      <c r="BT1065" s="48"/>
      <c r="BU1065" s="228"/>
      <c r="BV1065" s="48"/>
      <c r="BW1065" s="48"/>
      <c r="BX1065" s="48"/>
      <c r="BY1065" s="48"/>
      <c r="BZ1065" s="48"/>
      <c r="CA1065" s="48"/>
      <c r="CB1065" s="48"/>
      <c r="CC1065" s="48"/>
      <c r="CD1065" s="48"/>
      <c r="CE1065" s="48"/>
      <c r="CF1065" s="48"/>
      <c r="CG1065" s="48"/>
      <c r="CH1065" s="48"/>
      <c r="CI1065" s="98"/>
      <c r="CJ1065" s="98"/>
      <c r="CK1065" s="49">
        <f t="shared" si="291"/>
        <v>2.5580087518285781</v>
      </c>
      <c r="CL1065" s="229"/>
      <c r="CM1065" s="229"/>
      <c r="CN1065" s="229"/>
      <c r="CO1065" s="47" t="s">
        <v>2488</v>
      </c>
      <c r="CP1065" s="47" t="s">
        <v>2489</v>
      </c>
      <c r="CQ1065" s="224" t="s">
        <v>272</v>
      </c>
      <c r="CR1065" s="224"/>
      <c r="CS1065" s="230" t="s">
        <v>539</v>
      </c>
      <c r="CT1065" s="230"/>
      <c r="CU1065" s="230"/>
      <c r="CV1065" s="335">
        <f t="shared" si="294"/>
        <v>59.40459317508769</v>
      </c>
      <c r="CW1065" s="230">
        <f t="shared" si="290"/>
        <v>1</v>
      </c>
      <c r="CX1065" s="336"/>
      <c r="CY1065" s="230" t="s">
        <v>5921</v>
      </c>
    </row>
    <row r="1066" spans="1:103" ht="11.25" customHeight="1" x14ac:dyDescent="0.2">
      <c r="A1066" s="72">
        <v>1064</v>
      </c>
      <c r="B1066" s="224">
        <v>407</v>
      </c>
      <c r="C1066" s="46" t="s">
        <v>7231</v>
      </c>
      <c r="D1066" s="46"/>
      <c r="E1066" s="114"/>
      <c r="F1066" s="114" t="s">
        <v>3956</v>
      </c>
      <c r="G1066" s="225">
        <v>131704</v>
      </c>
      <c r="H1066" s="47" t="s">
        <v>3957</v>
      </c>
      <c r="I1066" s="47" t="s">
        <v>3957</v>
      </c>
      <c r="J1066" s="47" t="s">
        <v>3958</v>
      </c>
      <c r="K1066" s="47" t="s">
        <v>357</v>
      </c>
      <c r="L1066" s="47"/>
      <c r="M1066" s="47"/>
      <c r="N1066" s="47"/>
      <c r="O1066" s="47"/>
      <c r="P1066" s="53"/>
      <c r="Q1066" s="53"/>
      <c r="R1066" s="53"/>
      <c r="S1066" s="53"/>
      <c r="T1066" s="48">
        <v>222.24</v>
      </c>
      <c r="U1066" s="98"/>
      <c r="V1066" s="98">
        <v>0.56560475161987045</v>
      </c>
      <c r="W1066" s="98">
        <v>2.8840315031266042</v>
      </c>
      <c r="X1066" s="98">
        <f>IF(W1066=0,V1066,W1066)</f>
        <v>2.8840315031266042</v>
      </c>
      <c r="Y1066" s="233">
        <v>3.04</v>
      </c>
      <c r="Z1066" s="48">
        <v>2.84</v>
      </c>
      <c r="AA1066" s="48"/>
      <c r="AB1066" s="48">
        <v>2.94</v>
      </c>
      <c r="AC1066" s="48">
        <v>0.67620000000000002</v>
      </c>
      <c r="AD1066" s="48">
        <v>2.85</v>
      </c>
      <c r="AE1066" s="48">
        <v>2.72</v>
      </c>
      <c r="AF1066" s="48">
        <f t="shared" si="289"/>
        <v>2.85</v>
      </c>
      <c r="AG1066" s="49">
        <v>2.5299999999999998</v>
      </c>
      <c r="AH1066" s="98">
        <v>1.63E-9</v>
      </c>
      <c r="AI1066" s="98"/>
      <c r="AJ1066" s="483">
        <f t="shared" si="298"/>
        <v>-7.1763787219086943</v>
      </c>
      <c r="AK1066" s="483"/>
      <c r="AL1066" s="483">
        <f t="shared" si="297"/>
        <v>-7.1763787219086943</v>
      </c>
      <c r="AM1066" s="483">
        <v>-10.93275</v>
      </c>
      <c r="AN1066" s="226">
        <v>-7.63</v>
      </c>
      <c r="AO1066" s="484">
        <v>3.38</v>
      </c>
      <c r="AP1066" s="484"/>
      <c r="AQ1066" s="226" t="s">
        <v>6311</v>
      </c>
      <c r="AR1066" s="226" t="s">
        <v>6312</v>
      </c>
      <c r="AS1066" s="224" t="s">
        <v>6</v>
      </c>
      <c r="AT1066" s="50" t="s">
        <v>266</v>
      </c>
      <c r="AU1066" s="48">
        <v>8</v>
      </c>
      <c r="AV1066" s="48">
        <v>144</v>
      </c>
      <c r="AW1066" s="48">
        <v>120</v>
      </c>
      <c r="AX1066" s="48">
        <v>26</v>
      </c>
      <c r="AY1066" s="48" t="s">
        <v>267</v>
      </c>
      <c r="AZ1066" s="48" t="s">
        <v>2253</v>
      </c>
      <c r="BA1066" s="48">
        <v>2</v>
      </c>
      <c r="BB1066" s="47" t="s">
        <v>2254</v>
      </c>
      <c r="BC1066" s="47" t="s">
        <v>270</v>
      </c>
      <c r="BD1066" s="47" t="s">
        <v>8374</v>
      </c>
      <c r="BE1066" s="48" t="s">
        <v>1712</v>
      </c>
      <c r="BF1066" s="48" t="s">
        <v>272</v>
      </c>
      <c r="BG1066" s="48" t="s">
        <v>272</v>
      </c>
      <c r="BH1066" s="48" t="s">
        <v>2255</v>
      </c>
      <c r="BI1066" s="98">
        <v>9.9999999999999995E-7</v>
      </c>
      <c r="BJ1066" s="98">
        <v>0.08</v>
      </c>
      <c r="BK1066" s="48"/>
      <c r="BL1066" s="98">
        <f t="shared" si="295"/>
        <v>0.14460922545915242</v>
      </c>
      <c r="BM1066" s="48" t="s">
        <v>891</v>
      </c>
      <c r="BN1066" s="233"/>
      <c r="BO1066" s="233"/>
      <c r="BP1066" s="233"/>
      <c r="BQ1066" s="233"/>
      <c r="BR1066" s="233"/>
      <c r="BS1066" s="48"/>
      <c r="BT1066" s="233"/>
      <c r="BU1066" s="228"/>
      <c r="BV1066" s="233"/>
      <c r="BW1066" s="233"/>
      <c r="BX1066" s="233"/>
      <c r="BY1066" s="233"/>
      <c r="BZ1066" s="233"/>
      <c r="CA1066" s="233"/>
      <c r="CB1066" s="233"/>
      <c r="CC1066" s="48"/>
      <c r="CD1066" s="48"/>
      <c r="CE1066" s="48"/>
      <c r="CF1066" s="48"/>
      <c r="CG1066" s="233"/>
      <c r="CH1066" s="48"/>
      <c r="CI1066" s="98"/>
      <c r="CJ1066" s="98"/>
      <c r="CK1066" s="49">
        <f t="shared" si="291"/>
        <v>1.8076153182394052</v>
      </c>
      <c r="CL1066" s="229"/>
      <c r="CM1066" s="229"/>
      <c r="CN1066" s="229"/>
      <c r="CO1066" s="47" t="s">
        <v>892</v>
      </c>
      <c r="CP1066" s="47" t="s">
        <v>893</v>
      </c>
      <c r="CQ1066" s="224" t="s">
        <v>272</v>
      </c>
      <c r="CR1066" s="224"/>
      <c r="CS1066" s="230" t="s">
        <v>539</v>
      </c>
      <c r="CT1066" s="230"/>
      <c r="CU1066" s="230"/>
      <c r="CV1066" s="335">
        <f t="shared" si="294"/>
        <v>36.050393789082548</v>
      </c>
      <c r="CW1066" s="230">
        <f t="shared" si="290"/>
        <v>1</v>
      </c>
      <c r="CX1066" s="336" t="s">
        <v>539</v>
      </c>
      <c r="CY1066" s="230" t="s">
        <v>5921</v>
      </c>
    </row>
    <row r="1067" spans="1:103" ht="11.25" customHeight="1" x14ac:dyDescent="0.2">
      <c r="A1067" s="72">
        <v>1065</v>
      </c>
      <c r="B1067" s="224">
        <v>1746</v>
      </c>
      <c r="C1067" s="46" t="s">
        <v>7231</v>
      </c>
      <c r="D1067" s="46"/>
      <c r="E1067" s="114"/>
      <c r="F1067" s="114" t="s">
        <v>3956</v>
      </c>
      <c r="G1067" s="225">
        <v>131704</v>
      </c>
      <c r="H1067" s="47" t="s">
        <v>3957</v>
      </c>
      <c r="I1067" s="47" t="s">
        <v>3957</v>
      </c>
      <c r="J1067" s="47" t="s">
        <v>5037</v>
      </c>
      <c r="K1067" s="47" t="s">
        <v>357</v>
      </c>
      <c r="L1067" s="47"/>
      <c r="M1067" s="47"/>
      <c r="N1067" s="47"/>
      <c r="O1067" s="47"/>
      <c r="P1067" s="53"/>
      <c r="Q1067" s="53"/>
      <c r="R1067" s="53"/>
      <c r="S1067" s="53"/>
      <c r="T1067" s="48">
        <v>222.24</v>
      </c>
      <c r="U1067" s="98"/>
      <c r="V1067" s="98">
        <v>0.56560475161987045</v>
      </c>
      <c r="W1067" s="98">
        <v>2.8840315031266042</v>
      </c>
      <c r="X1067" s="98">
        <f>IF(W1067=0,V1067,W1067)</f>
        <v>2.8840315031266042</v>
      </c>
      <c r="Y1067" s="233">
        <v>3.04</v>
      </c>
      <c r="Z1067" s="48">
        <v>2.84</v>
      </c>
      <c r="AA1067" s="48"/>
      <c r="AB1067" s="48">
        <v>2.94</v>
      </c>
      <c r="AC1067" s="48">
        <v>0.67620000000000002</v>
      </c>
      <c r="AD1067" s="48">
        <v>2.85</v>
      </c>
      <c r="AE1067" s="48">
        <v>2.72</v>
      </c>
      <c r="AF1067" s="48">
        <f t="shared" si="289"/>
        <v>2.85</v>
      </c>
      <c r="AG1067" s="49">
        <v>2.5299999999999998</v>
      </c>
      <c r="AH1067" s="98">
        <v>1.63E-9</v>
      </c>
      <c r="AI1067" s="98"/>
      <c r="AJ1067" s="483">
        <f t="shared" si="298"/>
        <v>-7.1763787219086943</v>
      </c>
      <c r="AK1067" s="483"/>
      <c r="AL1067" s="483">
        <f t="shared" si="297"/>
        <v>-7.1763787219086943</v>
      </c>
      <c r="AM1067" s="483">
        <v>-10.93275</v>
      </c>
      <c r="AN1067" s="226"/>
      <c r="AO1067" s="484">
        <v>3.38</v>
      </c>
      <c r="AP1067" s="484"/>
      <c r="AQ1067" s="226" t="s">
        <v>6311</v>
      </c>
      <c r="AR1067" s="226" t="s">
        <v>6312</v>
      </c>
      <c r="AS1067" s="224"/>
      <c r="AT1067" s="50" t="s">
        <v>266</v>
      </c>
      <c r="AU1067" s="48">
        <v>6</v>
      </c>
      <c r="AV1067" s="48">
        <v>120</v>
      </c>
      <c r="AW1067" s="48">
        <v>114</v>
      </c>
      <c r="AX1067" s="48">
        <v>28</v>
      </c>
      <c r="AY1067" s="48" t="s">
        <v>8728</v>
      </c>
      <c r="AZ1067" s="48" t="s">
        <v>1563</v>
      </c>
      <c r="BA1067" s="48">
        <v>32</v>
      </c>
      <c r="BB1067" s="47" t="s">
        <v>2485</v>
      </c>
      <c r="BC1067" s="47" t="s">
        <v>8726</v>
      </c>
      <c r="BD1067" s="47" t="s">
        <v>8374</v>
      </c>
      <c r="BE1067" s="48" t="s">
        <v>2449</v>
      </c>
      <c r="BF1067" s="48" t="s">
        <v>272</v>
      </c>
      <c r="BG1067" s="48" t="s">
        <v>272</v>
      </c>
      <c r="BH1067" s="48" t="s">
        <v>2486</v>
      </c>
      <c r="BI1067" s="98">
        <v>6.3999999999999997E-6</v>
      </c>
      <c r="BJ1067" s="98">
        <v>6.4000000000000001E-2</v>
      </c>
      <c r="BK1067" s="48"/>
      <c r="BL1067" s="98">
        <f t="shared" si="295"/>
        <v>0.14460922545915242</v>
      </c>
      <c r="BM1067" s="47" t="s">
        <v>2487</v>
      </c>
      <c r="BN1067" s="48"/>
      <c r="BO1067" s="48"/>
      <c r="BP1067" s="48"/>
      <c r="BQ1067" s="48"/>
      <c r="BR1067" s="47" t="s">
        <v>2496</v>
      </c>
      <c r="BS1067" s="48"/>
      <c r="BT1067" s="48"/>
      <c r="BU1067" s="228"/>
      <c r="BV1067" s="48"/>
      <c r="BW1067" s="48"/>
      <c r="BX1067" s="48"/>
      <c r="BY1067" s="48"/>
      <c r="BZ1067" s="48"/>
      <c r="CA1067" s="48"/>
      <c r="CB1067" s="48"/>
      <c r="CC1067" s="48"/>
      <c r="CD1067" s="48"/>
      <c r="CE1067" s="48"/>
      <c r="CF1067" s="48"/>
      <c r="CG1067" s="48"/>
      <c r="CH1067" s="48"/>
      <c r="CI1067" s="98"/>
      <c r="CJ1067" s="98"/>
      <c r="CK1067" s="49">
        <f t="shared" si="291"/>
        <v>2.2595191477992564</v>
      </c>
      <c r="CL1067" s="229"/>
      <c r="CM1067" s="229"/>
      <c r="CN1067" s="229"/>
      <c r="CO1067" s="47" t="s">
        <v>2488</v>
      </c>
      <c r="CP1067" s="47" t="s">
        <v>2489</v>
      </c>
      <c r="CQ1067" s="224" t="s">
        <v>272</v>
      </c>
      <c r="CR1067" s="224"/>
      <c r="CS1067" s="230" t="s">
        <v>539</v>
      </c>
      <c r="CT1067" s="230"/>
      <c r="CU1067" s="230"/>
      <c r="CV1067" s="335">
        <f t="shared" si="294"/>
        <v>45.062992236353189</v>
      </c>
      <c r="CW1067" s="230">
        <f t="shared" si="290"/>
        <v>1</v>
      </c>
      <c r="CX1067" s="336"/>
      <c r="CY1067" s="230" t="s">
        <v>5921</v>
      </c>
    </row>
    <row r="1068" spans="1:103" ht="11.25" customHeight="1" x14ac:dyDescent="0.2">
      <c r="A1068" s="72">
        <v>1066</v>
      </c>
      <c r="B1068" s="224">
        <v>1093</v>
      </c>
      <c r="C1068" s="46" t="s">
        <v>7232</v>
      </c>
      <c r="D1068" s="46"/>
      <c r="E1068" s="114"/>
      <c r="F1068" s="114" t="s">
        <v>3060</v>
      </c>
      <c r="G1068" s="225">
        <v>132649</v>
      </c>
      <c r="H1068" s="47" t="s">
        <v>3061</v>
      </c>
      <c r="I1068" s="47" t="s">
        <v>3061</v>
      </c>
      <c r="J1068" s="47" t="s">
        <v>3062</v>
      </c>
      <c r="K1068" s="47" t="s">
        <v>426</v>
      </c>
      <c r="L1068" s="47" t="s">
        <v>5527</v>
      </c>
      <c r="M1068" s="47" t="s">
        <v>5960</v>
      </c>
      <c r="N1068" s="47"/>
      <c r="O1068" s="47"/>
      <c r="P1068" s="53"/>
      <c r="Q1068" s="53"/>
      <c r="R1068" s="53"/>
      <c r="S1068" s="53"/>
      <c r="T1068" s="48">
        <v>168.19</v>
      </c>
      <c r="U1068" s="98">
        <v>1.8431535763125038E-2</v>
      </c>
      <c r="V1068" s="98">
        <v>8.769843629228849E-3</v>
      </c>
      <c r="W1068" s="98">
        <v>2.7542287033381664E-3</v>
      </c>
      <c r="X1068" s="98">
        <v>1.8431535763125038E-2</v>
      </c>
      <c r="Y1068" s="233">
        <v>7</v>
      </c>
      <c r="Z1068" s="48">
        <v>3.71</v>
      </c>
      <c r="AA1068" s="48">
        <v>4.12</v>
      </c>
      <c r="AB1068" s="48">
        <v>3.96</v>
      </c>
      <c r="AC1068" s="48">
        <v>0.90110000000000001</v>
      </c>
      <c r="AD1068" s="48">
        <v>4</v>
      </c>
      <c r="AE1068" s="48">
        <v>4.12</v>
      </c>
      <c r="AF1068" s="48">
        <f t="shared" si="289"/>
        <v>4.12</v>
      </c>
      <c r="AG1068" s="49">
        <v>3.47</v>
      </c>
      <c r="AH1068" s="98">
        <v>5.1199999999999998E-5</v>
      </c>
      <c r="AI1068" s="98">
        <v>2.13E-4</v>
      </c>
      <c r="AJ1068" s="483">
        <f t="shared" si="298"/>
        <v>-2.6792963653368211</v>
      </c>
      <c r="AK1068" s="483">
        <f>LOG10(AI1068*1000/(0.08206*298.15))</f>
        <v>-2.0601867228739139</v>
      </c>
      <c r="AL1068" s="483">
        <f t="shared" si="297"/>
        <v>-2.0601867228739139</v>
      </c>
      <c r="AM1068" s="483">
        <v>-6.28254</v>
      </c>
      <c r="AN1068" s="226">
        <v>-2.77</v>
      </c>
      <c r="AO1068" s="484"/>
      <c r="AP1068" s="484"/>
      <c r="AQ1068" s="48" t="s">
        <v>6311</v>
      </c>
      <c r="AR1068" s="48" t="s">
        <v>6311</v>
      </c>
      <c r="AS1068" s="227"/>
      <c r="AT1068" s="50" t="s">
        <v>266</v>
      </c>
      <c r="AU1068" s="48">
        <v>6</v>
      </c>
      <c r="AV1068" s="48">
        <v>120</v>
      </c>
      <c r="AW1068" s="48">
        <v>114</v>
      </c>
      <c r="AX1068" s="48">
        <v>28</v>
      </c>
      <c r="AY1068" s="48" t="s">
        <v>8728</v>
      </c>
      <c r="AZ1068" s="48" t="s">
        <v>1563</v>
      </c>
      <c r="BA1068" s="48">
        <v>32</v>
      </c>
      <c r="BB1068" s="47" t="s">
        <v>2485</v>
      </c>
      <c r="BC1068" s="47" t="s">
        <v>8726</v>
      </c>
      <c r="BD1068" s="47" t="s">
        <v>8374</v>
      </c>
      <c r="BE1068" s="48" t="s">
        <v>2449</v>
      </c>
      <c r="BF1068" s="48" t="s">
        <v>272</v>
      </c>
      <c r="BG1068" s="48" t="s">
        <v>272</v>
      </c>
      <c r="BH1068" s="48" t="s">
        <v>2486</v>
      </c>
      <c r="BI1068" s="98">
        <v>6.3999999999999997E-6</v>
      </c>
      <c r="BJ1068" s="98">
        <v>6.4000000000000001E-2</v>
      </c>
      <c r="BK1068" s="48"/>
      <c r="BL1068" s="98">
        <f t="shared" si="295"/>
        <v>2.3924837682601802E-2</v>
      </c>
      <c r="BM1068" s="47" t="s">
        <v>2487</v>
      </c>
      <c r="BN1068" s="48"/>
      <c r="BO1068" s="48"/>
      <c r="BP1068" s="48"/>
      <c r="BQ1068" s="48"/>
      <c r="BR1068" s="47" t="s">
        <v>2496</v>
      </c>
      <c r="BS1068" s="48"/>
      <c r="BT1068" s="48"/>
      <c r="BU1068" s="228">
        <v>6.4000000000000001E-2</v>
      </c>
      <c r="BV1068" s="48"/>
      <c r="BW1068" s="48"/>
      <c r="BX1068" s="48"/>
      <c r="BY1068" s="48"/>
      <c r="BZ1068" s="48"/>
      <c r="CA1068" s="48"/>
      <c r="CB1068" s="48"/>
      <c r="CC1068" s="48"/>
      <c r="CD1068" s="48"/>
      <c r="CE1068" s="48"/>
      <c r="CF1068" s="48"/>
      <c r="CG1068" s="48"/>
      <c r="CH1068" s="48"/>
      <c r="CI1068" s="98"/>
      <c r="CJ1068" s="98"/>
      <c r="CK1068" s="49">
        <f t="shared" si="291"/>
        <v>0.37382558879065314</v>
      </c>
      <c r="CL1068" s="229"/>
      <c r="CM1068" s="229"/>
      <c r="CN1068" s="229"/>
      <c r="CO1068" s="47" t="s">
        <v>2488</v>
      </c>
      <c r="CP1068" s="47" t="s">
        <v>2489</v>
      </c>
      <c r="CQ1068" s="224">
        <v>-1.9451408711969593</v>
      </c>
      <c r="CR1068" s="224">
        <f>10^(CJ1068-CQ1068)</f>
        <v>88.133470335133168</v>
      </c>
      <c r="CS1068" s="230" t="s">
        <v>539</v>
      </c>
      <c r="CT1068" s="230"/>
      <c r="CU1068" s="230"/>
      <c r="CV1068" s="335">
        <f t="shared" si="294"/>
        <v>0.28799274629882871</v>
      </c>
      <c r="CW1068" s="230">
        <f t="shared" si="290"/>
        <v>0</v>
      </c>
      <c r="CX1068" s="336"/>
      <c r="CY1068" s="230" t="s">
        <v>5921</v>
      </c>
    </row>
    <row r="1069" spans="1:103" ht="11.25" customHeight="1" x14ac:dyDescent="0.2">
      <c r="A1069" s="72">
        <v>1067</v>
      </c>
      <c r="B1069" s="224">
        <v>1680</v>
      </c>
      <c r="C1069" s="46" t="s">
        <v>1248</v>
      </c>
      <c r="D1069" s="46"/>
      <c r="E1069" s="114"/>
      <c r="F1069" s="114" t="s">
        <v>1249</v>
      </c>
      <c r="G1069" s="225">
        <v>133073</v>
      </c>
      <c r="H1069" s="47" t="s">
        <v>1250</v>
      </c>
      <c r="I1069" s="47" t="s">
        <v>8042</v>
      </c>
      <c r="J1069" s="47" t="s">
        <v>1251</v>
      </c>
      <c r="K1069" s="47" t="s">
        <v>1016</v>
      </c>
      <c r="L1069" s="47" t="s">
        <v>5929</v>
      </c>
      <c r="M1069" s="47" t="s">
        <v>6082</v>
      </c>
      <c r="N1069" s="47" t="s">
        <v>6082</v>
      </c>
      <c r="O1069" s="47" t="s">
        <v>6083</v>
      </c>
      <c r="P1069" s="53"/>
      <c r="Q1069" s="53"/>
      <c r="R1069" s="53"/>
      <c r="S1069" s="53"/>
      <c r="T1069" s="48">
        <v>296.56</v>
      </c>
      <c r="U1069" s="98">
        <v>2.6975991367682766E-3</v>
      </c>
      <c r="V1069" s="98">
        <v>0.15966414890747235</v>
      </c>
      <c r="W1069" s="98">
        <v>0.23988329190194879</v>
      </c>
      <c r="X1069" s="98">
        <v>2.6975991367682766E-3</v>
      </c>
      <c r="Y1069" s="233">
        <v>7</v>
      </c>
      <c r="Z1069" s="48">
        <v>2.84</v>
      </c>
      <c r="AA1069" s="48">
        <v>2.85</v>
      </c>
      <c r="AB1069" s="48">
        <v>2.97</v>
      </c>
      <c r="AC1069" s="48">
        <v>0.59689999999999999</v>
      </c>
      <c r="AD1069" s="48">
        <v>2.92</v>
      </c>
      <c r="AE1069" s="48">
        <v>2.85</v>
      </c>
      <c r="AF1069" s="48">
        <f t="shared" si="289"/>
        <v>2.85</v>
      </c>
      <c r="AG1069" s="49">
        <v>2.98</v>
      </c>
      <c r="AH1069" s="98">
        <v>1.5400000000000001E-9</v>
      </c>
      <c r="AI1069" s="98">
        <v>7.6599999999999998E-8</v>
      </c>
      <c r="AJ1069" s="483">
        <f t="shared" si="298"/>
        <v>-7.2010456054761889</v>
      </c>
      <c r="AK1069" s="483">
        <f>LOG10(AI1069*1000/(0.08206*298.15))</f>
        <v>-5.5043375566800483</v>
      </c>
      <c r="AL1069" s="483">
        <f t="shared" si="297"/>
        <v>-5.5043375566800483</v>
      </c>
      <c r="AM1069" s="483">
        <v>-12.622150000000001</v>
      </c>
      <c r="AN1069" s="226">
        <v>-6.45</v>
      </c>
      <c r="AO1069" s="484"/>
      <c r="AP1069" s="484">
        <v>-3.34</v>
      </c>
      <c r="AQ1069" s="226" t="s">
        <v>6311</v>
      </c>
      <c r="AR1069" s="226" t="s">
        <v>6311</v>
      </c>
      <c r="AS1069" s="224"/>
      <c r="AT1069" s="50" t="s">
        <v>266</v>
      </c>
      <c r="AU1069" s="48">
        <v>6</v>
      </c>
      <c r="AV1069" s="48">
        <v>120</v>
      </c>
      <c r="AW1069" s="48">
        <v>114</v>
      </c>
      <c r="AX1069" s="48">
        <v>28</v>
      </c>
      <c r="AY1069" s="48" t="s">
        <v>8728</v>
      </c>
      <c r="AZ1069" s="48" t="s">
        <v>1563</v>
      </c>
      <c r="BA1069" s="48">
        <v>32</v>
      </c>
      <c r="BB1069" s="47" t="s">
        <v>2485</v>
      </c>
      <c r="BC1069" s="47" t="s">
        <v>8726</v>
      </c>
      <c r="BD1069" s="47" t="s">
        <v>8374</v>
      </c>
      <c r="BE1069" s="48" t="s">
        <v>2449</v>
      </c>
      <c r="BF1069" s="48" t="s">
        <v>272</v>
      </c>
      <c r="BG1069" s="48" t="s">
        <v>272</v>
      </c>
      <c r="BH1069" s="48" t="s">
        <v>2486</v>
      </c>
      <c r="BI1069" s="98">
        <v>6.3999999999999997E-6</v>
      </c>
      <c r="BJ1069" s="98">
        <v>6.4000000000000001E-2</v>
      </c>
      <c r="BK1069" s="48"/>
      <c r="BL1069" s="98">
        <f t="shared" si="295"/>
        <v>0.14460922545915242</v>
      </c>
      <c r="BM1069" s="47" t="s">
        <v>2487</v>
      </c>
      <c r="BN1069" s="48"/>
      <c r="BO1069" s="48"/>
      <c r="BP1069" s="48"/>
      <c r="BQ1069" s="48"/>
      <c r="BR1069" s="47" t="s">
        <v>2496</v>
      </c>
      <c r="BS1069" s="48"/>
      <c r="BT1069" s="48"/>
      <c r="BU1069" s="228"/>
      <c r="BV1069" s="48"/>
      <c r="BW1069" s="48"/>
      <c r="BX1069" s="48"/>
      <c r="BY1069" s="48"/>
      <c r="BZ1069" s="48"/>
      <c r="CA1069" s="48"/>
      <c r="CB1069" s="48"/>
      <c r="CC1069" s="48"/>
      <c r="CD1069" s="48"/>
      <c r="CE1069" s="48"/>
      <c r="CF1069" s="48"/>
      <c r="CG1069" s="48"/>
      <c r="CH1069" s="48"/>
      <c r="CI1069" s="98"/>
      <c r="CJ1069" s="98"/>
      <c r="CK1069" s="49">
        <f t="shared" si="291"/>
        <v>2.2595191477992564</v>
      </c>
      <c r="CL1069" s="229"/>
      <c r="CM1069" s="229">
        <v>-3.669536162877606</v>
      </c>
      <c r="CN1069" s="229">
        <f>BJ1069/(10^CM1069)</f>
        <v>299.03094745305674</v>
      </c>
      <c r="CO1069" s="47" t="s">
        <v>2488</v>
      </c>
      <c r="CP1069" s="47" t="s">
        <v>2489</v>
      </c>
      <c r="CQ1069" s="224">
        <v>-3.5726852536532676</v>
      </c>
      <c r="CR1069" s="224">
        <f>10^(CJ1069-CQ1069)</f>
        <v>3738.3955723741869</v>
      </c>
      <c r="CS1069" s="230" t="s">
        <v>539</v>
      </c>
      <c r="CT1069" s="230"/>
      <c r="CU1069" s="230"/>
      <c r="CV1069" s="335">
        <f t="shared" si="294"/>
        <v>4.2149986512004321E-2</v>
      </c>
      <c r="CW1069" s="230">
        <f t="shared" si="290"/>
        <v>0</v>
      </c>
      <c r="CX1069" s="336"/>
      <c r="CY1069" s="230" t="s">
        <v>5921</v>
      </c>
    </row>
    <row r="1070" spans="1:103" ht="11.25" customHeight="1" x14ac:dyDescent="0.2">
      <c r="A1070" s="72">
        <v>1068</v>
      </c>
      <c r="B1070" s="224">
        <v>1549</v>
      </c>
      <c r="C1070" s="46" t="s">
        <v>7233</v>
      </c>
      <c r="D1070" s="46"/>
      <c r="E1070" s="114"/>
      <c r="F1070" s="114" t="s">
        <v>4679</v>
      </c>
      <c r="G1070" s="225">
        <v>133904</v>
      </c>
      <c r="H1070" s="47" t="s">
        <v>4680</v>
      </c>
      <c r="I1070" s="47" t="s">
        <v>8043</v>
      </c>
      <c r="J1070" s="47" t="s">
        <v>4681</v>
      </c>
      <c r="K1070" s="47" t="s">
        <v>1573</v>
      </c>
      <c r="L1070" s="47"/>
      <c r="M1070" s="47"/>
      <c r="N1070" s="47"/>
      <c r="O1070" s="47"/>
      <c r="P1070" s="53"/>
      <c r="Q1070" s="53"/>
      <c r="R1070" s="53"/>
      <c r="S1070" s="53"/>
      <c r="T1070" s="48">
        <v>206.03</v>
      </c>
      <c r="U1070" s="98">
        <v>3.3975634616318011</v>
      </c>
      <c r="V1070" s="98">
        <v>4.6794156190845992</v>
      </c>
      <c r="W1070" s="98">
        <v>1.5488166189124803</v>
      </c>
      <c r="X1070" s="98">
        <v>3.3975634616318011</v>
      </c>
      <c r="Y1070" s="233">
        <v>3.02</v>
      </c>
      <c r="Z1070" s="48">
        <v>1.9</v>
      </c>
      <c r="AA1070" s="48"/>
      <c r="AB1070" s="48">
        <v>2.33</v>
      </c>
      <c r="AC1070" s="48">
        <v>0.77280000000000004</v>
      </c>
      <c r="AD1070" s="48">
        <v>2.39</v>
      </c>
      <c r="AE1070" s="48">
        <v>2.52</v>
      </c>
      <c r="AF1070" s="48">
        <f t="shared" si="289"/>
        <v>2.39</v>
      </c>
      <c r="AG1070" s="49">
        <v>2.1</v>
      </c>
      <c r="AH1070" s="98">
        <v>2.0999999999999999E-11</v>
      </c>
      <c r="AI1070" s="98">
        <v>3.8699999999999999E-11</v>
      </c>
      <c r="AJ1070" s="483">
        <f t="shared" si="298"/>
        <v>-9.0663470315787329</v>
      </c>
      <c r="AK1070" s="483">
        <f>LOG10(AI1070*1000/(0.08206*298.15))</f>
        <v>-8.8008553612937401</v>
      </c>
      <c r="AL1070" s="483">
        <f t="shared" si="297"/>
        <v>-8.8008553612937401</v>
      </c>
      <c r="AM1070" s="483">
        <v>-12.719449999999998</v>
      </c>
      <c r="AN1070" s="226">
        <v>-7.98</v>
      </c>
      <c r="AO1070" s="484">
        <v>2.75</v>
      </c>
      <c r="AP1070" s="484">
        <v>0.5</v>
      </c>
      <c r="AQ1070" s="48" t="s">
        <v>6311</v>
      </c>
      <c r="AR1070" s="48" t="s">
        <v>6311</v>
      </c>
      <c r="AS1070" s="227"/>
      <c r="AT1070" s="50" t="s">
        <v>266</v>
      </c>
      <c r="AU1070" s="48">
        <v>6</v>
      </c>
      <c r="AV1070" s="48">
        <v>120</v>
      </c>
      <c r="AW1070" s="48">
        <v>114</v>
      </c>
      <c r="AX1070" s="48">
        <v>28</v>
      </c>
      <c r="AY1070" s="48" t="s">
        <v>8728</v>
      </c>
      <c r="AZ1070" s="48" t="s">
        <v>1563</v>
      </c>
      <c r="BA1070" s="48">
        <v>32</v>
      </c>
      <c r="BB1070" s="47" t="s">
        <v>2485</v>
      </c>
      <c r="BC1070" s="47" t="s">
        <v>8726</v>
      </c>
      <c r="BD1070" s="47" t="s">
        <v>8374</v>
      </c>
      <c r="BE1070" s="48" t="s">
        <v>2449</v>
      </c>
      <c r="BF1070" s="48" t="s">
        <v>272</v>
      </c>
      <c r="BG1070" s="48" t="s">
        <v>272</v>
      </c>
      <c r="BH1070" s="48" t="s">
        <v>2486</v>
      </c>
      <c r="BI1070" s="98">
        <v>6.3999999999999997E-6</v>
      </c>
      <c r="BJ1070" s="98">
        <v>6.4000000000000001E-2</v>
      </c>
      <c r="BK1070" s="48"/>
      <c r="BL1070" s="98">
        <f t="shared" si="295"/>
        <v>1.0102061311328192</v>
      </c>
      <c r="BM1070" s="47" t="s">
        <v>2487</v>
      </c>
      <c r="BN1070" s="48"/>
      <c r="BO1070" s="48"/>
      <c r="BP1070" s="48"/>
      <c r="BQ1070" s="48"/>
      <c r="BR1070" s="47" t="s">
        <v>2496</v>
      </c>
      <c r="BS1070" s="48"/>
      <c r="BT1070" s="48"/>
      <c r="BU1070" s="228"/>
      <c r="BV1070" s="48"/>
      <c r="BW1070" s="48"/>
      <c r="BX1070" s="48"/>
      <c r="BY1070" s="48"/>
      <c r="BZ1070" s="48"/>
      <c r="CA1070" s="48"/>
      <c r="CB1070" s="48"/>
      <c r="CC1070" s="48"/>
      <c r="CD1070" s="48"/>
      <c r="CE1070" s="48"/>
      <c r="CF1070" s="48"/>
      <c r="CG1070" s="48"/>
      <c r="CH1070" s="48"/>
      <c r="CI1070" s="98"/>
      <c r="CJ1070" s="98"/>
      <c r="CK1070" s="49">
        <f t="shared" si="291"/>
        <v>15.7844707989503</v>
      </c>
      <c r="CL1070" s="229"/>
      <c r="CM1070" s="229"/>
      <c r="CN1070" s="229"/>
      <c r="CO1070" s="47" t="s">
        <v>2488</v>
      </c>
      <c r="CP1070" s="47" t="s">
        <v>2489</v>
      </c>
      <c r="CQ1070" s="224" t="s">
        <v>272</v>
      </c>
      <c r="CR1070" s="224"/>
      <c r="CS1070" s="230" t="s">
        <v>539</v>
      </c>
      <c r="CT1070" s="230"/>
      <c r="CU1070" s="230"/>
      <c r="CV1070" s="335">
        <f t="shared" si="294"/>
        <v>53.086929087996893</v>
      </c>
      <c r="CW1070" s="230">
        <f t="shared" si="290"/>
        <v>1</v>
      </c>
      <c r="CX1070" s="336"/>
      <c r="CY1070" s="230" t="s">
        <v>5921</v>
      </c>
    </row>
    <row r="1071" spans="1:103" ht="11.25" customHeight="1" x14ac:dyDescent="0.2">
      <c r="A1071" s="72">
        <v>1069</v>
      </c>
      <c r="B1071" s="224">
        <v>1280</v>
      </c>
      <c r="C1071" s="46" t="s">
        <v>7234</v>
      </c>
      <c r="D1071" s="46"/>
      <c r="E1071" s="114"/>
      <c r="F1071" s="114" t="s">
        <v>3516</v>
      </c>
      <c r="G1071" s="225">
        <v>134032</v>
      </c>
      <c r="H1071" s="47" t="s">
        <v>3517</v>
      </c>
      <c r="I1071" s="47" t="s">
        <v>3517</v>
      </c>
      <c r="J1071" s="47" t="s">
        <v>3518</v>
      </c>
      <c r="K1071" s="47" t="s">
        <v>3519</v>
      </c>
      <c r="L1071" s="47"/>
      <c r="M1071" s="47"/>
      <c r="N1071" s="47"/>
      <c r="O1071" s="47"/>
      <c r="P1071" s="53"/>
      <c r="Q1071" s="53"/>
      <c r="R1071" s="53"/>
      <c r="S1071" s="53"/>
      <c r="T1071" s="48">
        <v>176.12</v>
      </c>
      <c r="U1071" s="98">
        <v>2271.1787417669771</v>
      </c>
      <c r="V1071" s="98">
        <v>5677.9468544174424</v>
      </c>
      <c r="W1071" s="98">
        <v>3019.9517204020167</v>
      </c>
      <c r="X1071" s="98">
        <v>2271.1787417669771</v>
      </c>
      <c r="Y1071" s="233">
        <v>1.8</v>
      </c>
      <c r="Z1071" s="48">
        <v>-1.88</v>
      </c>
      <c r="AA1071" s="48">
        <v>-1.85</v>
      </c>
      <c r="AB1071" s="48">
        <v>-1.65</v>
      </c>
      <c r="AC1071" s="48">
        <v>0.76139999999999997</v>
      </c>
      <c r="AD1071" s="48">
        <v>-1.89</v>
      </c>
      <c r="AE1071" s="48">
        <v>-2.41</v>
      </c>
      <c r="AF1071" s="48">
        <f t="shared" si="289"/>
        <v>-1.85</v>
      </c>
      <c r="AG1071" s="49">
        <v>-1.89</v>
      </c>
      <c r="AH1071" s="98">
        <v>4.07E-8</v>
      </c>
      <c r="AI1071" s="98"/>
      <c r="AJ1071" s="483">
        <f t="shared" si="298"/>
        <v>-5.7789719170874321</v>
      </c>
      <c r="AK1071" s="483"/>
      <c r="AL1071" s="483">
        <f t="shared" si="297"/>
        <v>-5.7789719170874321</v>
      </c>
      <c r="AM1071" s="483">
        <v>-18.041989999999998</v>
      </c>
      <c r="AN1071" s="226"/>
      <c r="AO1071" s="484">
        <v>4.09</v>
      </c>
      <c r="AP1071" s="484"/>
      <c r="AQ1071" s="48" t="s">
        <v>6311</v>
      </c>
      <c r="AR1071" s="48" t="s">
        <v>6311</v>
      </c>
      <c r="AS1071" s="227"/>
      <c r="AT1071" s="50" t="s">
        <v>266</v>
      </c>
      <c r="AU1071" s="48">
        <v>6</v>
      </c>
      <c r="AV1071" s="48">
        <v>120</v>
      </c>
      <c r="AW1071" s="48">
        <v>114</v>
      </c>
      <c r="AX1071" s="48">
        <v>28</v>
      </c>
      <c r="AY1071" s="48" t="s">
        <v>8728</v>
      </c>
      <c r="AZ1071" s="48" t="s">
        <v>1563</v>
      </c>
      <c r="BA1071" s="48">
        <v>32</v>
      </c>
      <c r="BB1071" s="47" t="s">
        <v>2485</v>
      </c>
      <c r="BC1071" s="47" t="s">
        <v>8726</v>
      </c>
      <c r="BD1071" s="47" t="s">
        <v>8374</v>
      </c>
      <c r="BE1071" s="48" t="s">
        <v>2449</v>
      </c>
      <c r="BF1071" s="48" t="s">
        <v>272</v>
      </c>
      <c r="BG1071" s="48" t="s">
        <v>272</v>
      </c>
      <c r="BH1071" s="48" t="s">
        <v>2486</v>
      </c>
      <c r="BI1071" s="98">
        <v>6.3999999999999997E-6</v>
      </c>
      <c r="BJ1071" s="98">
        <v>6.4000000000000001E-2</v>
      </c>
      <c r="BK1071" s="48"/>
      <c r="BL1071" s="98">
        <f t="shared" si="295"/>
        <v>2507.4252792478933</v>
      </c>
      <c r="BM1071" s="47" t="s">
        <v>2487</v>
      </c>
      <c r="BN1071" s="48"/>
      <c r="BO1071" s="48"/>
      <c r="BP1071" s="48"/>
      <c r="BQ1071" s="48"/>
      <c r="BR1071" s="47" t="s">
        <v>2496</v>
      </c>
      <c r="BS1071" s="48"/>
      <c r="BT1071" s="48"/>
      <c r="BU1071" s="228">
        <v>6.4000000000000001E-2</v>
      </c>
      <c r="BV1071" s="48"/>
      <c r="BW1071" s="48"/>
      <c r="BX1071" s="48"/>
      <c r="BY1071" s="48"/>
      <c r="BZ1071" s="48"/>
      <c r="CA1071" s="48"/>
      <c r="CB1071" s="48"/>
      <c r="CC1071" s="48"/>
      <c r="CD1071" s="48"/>
      <c r="CE1071" s="48"/>
      <c r="CF1071" s="48"/>
      <c r="CG1071" s="48"/>
      <c r="CH1071" s="48"/>
      <c r="CI1071" s="98"/>
      <c r="CJ1071" s="98"/>
      <c r="CK1071" s="49">
        <f t="shared" si="291"/>
        <v>39178.519988248328</v>
      </c>
      <c r="CL1071" s="229"/>
      <c r="CM1071" s="229"/>
      <c r="CN1071" s="229"/>
      <c r="CO1071" s="47" t="s">
        <v>2488</v>
      </c>
      <c r="CP1071" s="47" t="s">
        <v>2489</v>
      </c>
      <c r="CQ1071" s="224" t="s">
        <v>272</v>
      </c>
      <c r="CR1071" s="224"/>
      <c r="CS1071" s="230" t="s">
        <v>539</v>
      </c>
      <c r="CT1071" s="230"/>
      <c r="CU1071" s="230"/>
      <c r="CV1071" s="335">
        <f t="shared" si="294"/>
        <v>35487.167840109018</v>
      </c>
      <c r="CW1071" s="230">
        <f t="shared" si="290"/>
        <v>1</v>
      </c>
      <c r="CX1071" s="336"/>
      <c r="CY1071" s="230" t="s">
        <v>6351</v>
      </c>
    </row>
    <row r="1072" spans="1:103" ht="11.25" customHeight="1" x14ac:dyDescent="0.2">
      <c r="A1072" s="72">
        <v>1070</v>
      </c>
      <c r="B1072" s="224">
        <v>1186</v>
      </c>
      <c r="C1072" s="46" t="s">
        <v>7235</v>
      </c>
      <c r="D1072" s="46"/>
      <c r="E1072" s="114"/>
      <c r="F1072" s="114" t="s">
        <v>3273</v>
      </c>
      <c r="G1072" s="225">
        <v>134203</v>
      </c>
      <c r="H1072" s="47" t="s">
        <v>3274</v>
      </c>
      <c r="I1072" s="47" t="s">
        <v>3274</v>
      </c>
      <c r="J1072" s="47" t="s">
        <v>3275</v>
      </c>
      <c r="K1072" s="47" t="s">
        <v>3276</v>
      </c>
      <c r="L1072" s="47" t="s">
        <v>6127</v>
      </c>
      <c r="M1072" s="47" t="s">
        <v>6082</v>
      </c>
      <c r="N1072" s="47" t="s">
        <v>6082</v>
      </c>
      <c r="O1072" s="47" t="s">
        <v>6083</v>
      </c>
      <c r="P1072" s="53"/>
      <c r="Q1072" s="53" t="s">
        <v>6173</v>
      </c>
      <c r="R1072" s="53" t="s">
        <v>6174</v>
      </c>
      <c r="S1072" s="53" t="s">
        <v>6176</v>
      </c>
      <c r="T1072" s="48">
        <v>151.16</v>
      </c>
      <c r="U1072" s="98">
        <v>18.854194231278115</v>
      </c>
      <c r="V1072" s="98">
        <v>12.304842550939401</v>
      </c>
      <c r="W1072" s="98">
        <v>13.489628825916524</v>
      </c>
      <c r="X1072" s="98">
        <v>18.854194231278115</v>
      </c>
      <c r="Y1072" s="233">
        <v>7.25</v>
      </c>
      <c r="Z1072" s="48">
        <v>2.2599999999999998</v>
      </c>
      <c r="AA1072" s="48">
        <v>1.88</v>
      </c>
      <c r="AB1072" s="48">
        <v>2.23</v>
      </c>
      <c r="AC1072" s="48">
        <v>0.84260000000000002</v>
      </c>
      <c r="AD1072" s="48">
        <v>2.1800000000000002</v>
      </c>
      <c r="AE1072" s="48">
        <v>2.04</v>
      </c>
      <c r="AF1072" s="48">
        <f t="shared" si="289"/>
        <v>1.88</v>
      </c>
      <c r="AG1072" s="49">
        <v>1.19</v>
      </c>
      <c r="AH1072" s="98">
        <v>1.2299999999999999E-8</v>
      </c>
      <c r="AI1072" s="98">
        <v>1.8899999999999999E-6</v>
      </c>
      <c r="AJ1072" s="483">
        <f t="shared" si="298"/>
        <v>-6.2986612148732544</v>
      </c>
      <c r="AK1072" s="483">
        <f>LOG10(AI1072*1000/(0.08206*298.15))</f>
        <v>-4.1121045221394077</v>
      </c>
      <c r="AL1072" s="483">
        <f t="shared" si="297"/>
        <v>-4.1121045221394077</v>
      </c>
      <c r="AM1072" s="483">
        <v>-8.2364899999999999</v>
      </c>
      <c r="AN1072" s="226">
        <v>-4.66</v>
      </c>
      <c r="AO1072" s="484"/>
      <c r="AP1072" s="484">
        <v>2.19</v>
      </c>
      <c r="AQ1072" s="48" t="s">
        <v>6311</v>
      </c>
      <c r="AR1072" s="48" t="s">
        <v>6312</v>
      </c>
      <c r="AS1072" s="227"/>
      <c r="AT1072" s="50" t="s">
        <v>266</v>
      </c>
      <c r="AU1072" s="48">
        <v>6</v>
      </c>
      <c r="AV1072" s="48">
        <v>120</v>
      </c>
      <c r="AW1072" s="48">
        <v>114</v>
      </c>
      <c r="AX1072" s="48">
        <v>28</v>
      </c>
      <c r="AY1072" s="48" t="s">
        <v>8728</v>
      </c>
      <c r="AZ1072" s="48" t="s">
        <v>1563</v>
      </c>
      <c r="BA1072" s="48">
        <v>32</v>
      </c>
      <c r="BB1072" s="47" t="s">
        <v>2485</v>
      </c>
      <c r="BC1072" s="47" t="s">
        <v>8726</v>
      </c>
      <c r="BD1072" s="47" t="s">
        <v>8374</v>
      </c>
      <c r="BE1072" s="48" t="s">
        <v>2449</v>
      </c>
      <c r="BF1072" s="48" t="s">
        <v>272</v>
      </c>
      <c r="BG1072" s="48" t="s">
        <v>272</v>
      </c>
      <c r="BH1072" s="48" t="s">
        <v>2486</v>
      </c>
      <c r="BI1072" s="98">
        <v>6.3999999999999997E-6</v>
      </c>
      <c r="BJ1072" s="98">
        <v>6.4000000000000001E-2</v>
      </c>
      <c r="BK1072" s="48"/>
      <c r="BL1072" s="98">
        <f t="shared" si="295"/>
        <v>0.47983729482089305</v>
      </c>
      <c r="BM1072" s="47" t="s">
        <v>2487</v>
      </c>
      <c r="BN1072" s="48"/>
      <c r="BO1072" s="48"/>
      <c r="BP1072" s="48"/>
      <c r="BQ1072" s="48"/>
      <c r="BR1072" s="47" t="s">
        <v>2496</v>
      </c>
      <c r="BS1072" s="48"/>
      <c r="BT1072" s="48"/>
      <c r="BU1072" s="228">
        <v>6.4000000000000005E-4</v>
      </c>
      <c r="BV1072" s="48"/>
      <c r="BW1072" s="48"/>
      <c r="BX1072" s="48"/>
      <c r="BY1072" s="48"/>
      <c r="BZ1072" s="48"/>
      <c r="CA1072" s="48"/>
      <c r="CB1072" s="48"/>
      <c r="CC1072" s="48"/>
      <c r="CD1072" s="48"/>
      <c r="CE1072" s="48"/>
      <c r="CF1072" s="48"/>
      <c r="CG1072" s="48"/>
      <c r="CH1072" s="48"/>
      <c r="CI1072" s="98"/>
      <c r="CJ1072" s="98"/>
      <c r="CK1072" s="49">
        <f t="shared" si="291"/>
        <v>7.4974577315764535</v>
      </c>
      <c r="CL1072" s="229"/>
      <c r="CM1072" s="229"/>
      <c r="CN1072" s="229"/>
      <c r="CO1072" s="47" t="s">
        <v>2488</v>
      </c>
      <c r="CP1072" s="47" t="s">
        <v>2489</v>
      </c>
      <c r="CQ1072" s="224">
        <v>-0.78892015910041857</v>
      </c>
      <c r="CR1072" s="224">
        <f>10^(CJ1072-CQ1072)</f>
        <v>6.150637887024434</v>
      </c>
      <c r="CS1072" s="230" t="s">
        <v>539</v>
      </c>
      <c r="CT1072" s="230"/>
      <c r="CU1072" s="230"/>
      <c r="CV1072" s="335">
        <f t="shared" si="294"/>
        <v>294.59678486372053</v>
      </c>
      <c r="CW1072" s="230">
        <f t="shared" si="290"/>
        <v>1</v>
      </c>
      <c r="CX1072" s="336"/>
      <c r="CY1072" s="230" t="s">
        <v>5921</v>
      </c>
    </row>
    <row r="1073" spans="1:103" ht="11.25" customHeight="1" x14ac:dyDescent="0.2">
      <c r="A1073" s="72">
        <v>1071</v>
      </c>
      <c r="B1073" s="224">
        <v>289</v>
      </c>
      <c r="C1073" s="46" t="s">
        <v>7236</v>
      </c>
      <c r="D1073" s="46"/>
      <c r="E1073" s="114"/>
      <c r="F1073" s="114" t="s">
        <v>3819</v>
      </c>
      <c r="G1073" s="225">
        <v>134623</v>
      </c>
      <c r="H1073" s="47" t="s">
        <v>3820</v>
      </c>
      <c r="I1073" s="47" t="s">
        <v>3820</v>
      </c>
      <c r="J1073" s="47" t="s">
        <v>3821</v>
      </c>
      <c r="K1073" s="47" t="s">
        <v>471</v>
      </c>
      <c r="L1073" s="47" t="s">
        <v>6034</v>
      </c>
      <c r="M1073" s="47" t="s">
        <v>6082</v>
      </c>
      <c r="N1073" s="47" t="s">
        <v>6082</v>
      </c>
      <c r="O1073" s="47" t="s">
        <v>6083</v>
      </c>
      <c r="P1073" s="53"/>
      <c r="Q1073" s="53"/>
      <c r="R1073" s="53"/>
      <c r="S1073" s="53"/>
      <c r="T1073" s="48">
        <v>191.27</v>
      </c>
      <c r="U1073" s="98"/>
      <c r="V1073" s="98">
        <v>3.4819888116275419</v>
      </c>
      <c r="W1073" s="98">
        <v>40.738027780411272</v>
      </c>
      <c r="X1073" s="98">
        <f>IF(W1073=0,V1073,W1073)</f>
        <v>40.738027780411272</v>
      </c>
      <c r="Y1073" s="233">
        <v>7</v>
      </c>
      <c r="Z1073" s="48">
        <v>2.2599999999999998</v>
      </c>
      <c r="AA1073" s="48">
        <v>2.1800000000000002</v>
      </c>
      <c r="AB1073" s="48">
        <v>2.3199999999999998</v>
      </c>
      <c r="AC1073" s="48">
        <v>0.90939999999999999</v>
      </c>
      <c r="AD1073" s="48">
        <v>2.2400000000000002</v>
      </c>
      <c r="AE1073" s="48">
        <v>1.96</v>
      </c>
      <c r="AF1073" s="48">
        <f t="shared" si="289"/>
        <v>2.1800000000000002</v>
      </c>
      <c r="AG1073" s="49">
        <v>2.42</v>
      </c>
      <c r="AH1073" s="98">
        <v>2.0800000000000001E-8</v>
      </c>
      <c r="AI1073" s="98"/>
      <c r="AJ1073" s="483">
        <f t="shared" si="298"/>
        <v>-6.0705029913498905</v>
      </c>
      <c r="AK1073" s="483"/>
      <c r="AL1073" s="483">
        <f t="shared" si="297"/>
        <v>-6.0705029913498905</v>
      </c>
      <c r="AM1073" s="483">
        <v>-8.6535799999999998</v>
      </c>
      <c r="AN1073" s="226">
        <v>-6.58</v>
      </c>
      <c r="AO1073" s="484"/>
      <c r="AP1073" s="484">
        <v>-1.37</v>
      </c>
      <c r="AQ1073" s="226" t="s">
        <v>6311</v>
      </c>
      <c r="AR1073" s="226" t="s">
        <v>6311</v>
      </c>
      <c r="AS1073" s="224" t="s">
        <v>6</v>
      </c>
      <c r="AT1073" s="50" t="s">
        <v>266</v>
      </c>
      <c r="AU1073" s="48">
        <v>8</v>
      </c>
      <c r="AV1073" s="48">
        <v>144</v>
      </c>
      <c r="AW1073" s="48">
        <v>120</v>
      </c>
      <c r="AX1073" s="48">
        <v>26</v>
      </c>
      <c r="AY1073" s="48" t="s">
        <v>267</v>
      </c>
      <c r="AZ1073" s="48" t="s">
        <v>2253</v>
      </c>
      <c r="BA1073" s="48">
        <v>2</v>
      </c>
      <c r="BB1073" s="47" t="s">
        <v>2254</v>
      </c>
      <c r="BC1073" s="47" t="s">
        <v>270</v>
      </c>
      <c r="BD1073" s="47" t="s">
        <v>8374</v>
      </c>
      <c r="BE1073" s="48" t="s">
        <v>1712</v>
      </c>
      <c r="BF1073" s="48" t="s">
        <v>272</v>
      </c>
      <c r="BG1073" s="48" t="s">
        <v>272</v>
      </c>
      <c r="BH1073" s="48" t="s">
        <v>2255</v>
      </c>
      <c r="BI1073" s="98">
        <v>9.9999999999999995E-7</v>
      </c>
      <c r="BJ1073" s="98">
        <v>0.08</v>
      </c>
      <c r="BK1073" s="48"/>
      <c r="BL1073" s="98">
        <f t="shared" si="295"/>
        <v>0.47983729482089305</v>
      </c>
      <c r="BM1073" s="48" t="s">
        <v>891</v>
      </c>
      <c r="BN1073" s="233"/>
      <c r="BO1073" s="233"/>
      <c r="BP1073" s="233"/>
      <c r="BQ1073" s="233"/>
      <c r="BR1073" s="233"/>
      <c r="BS1073" s="48"/>
      <c r="BT1073" s="233"/>
      <c r="BU1073" s="228"/>
      <c r="BV1073" s="233"/>
      <c r="BW1073" s="233"/>
      <c r="BX1073" s="233"/>
      <c r="BY1073" s="233"/>
      <c r="BZ1073" s="233"/>
      <c r="CA1073" s="233"/>
      <c r="CB1073" s="233"/>
      <c r="CC1073" s="48"/>
      <c r="CD1073" s="48"/>
      <c r="CE1073" s="48"/>
      <c r="CF1073" s="48"/>
      <c r="CG1073" s="233"/>
      <c r="CH1073" s="48"/>
      <c r="CI1073" s="98"/>
      <c r="CJ1073" s="98"/>
      <c r="CK1073" s="49">
        <f t="shared" si="291"/>
        <v>5.9979661852611628</v>
      </c>
      <c r="CL1073" s="229"/>
      <c r="CM1073" s="229"/>
      <c r="CN1073" s="229"/>
      <c r="CO1073" s="47" t="s">
        <v>892</v>
      </c>
      <c r="CP1073" s="47" t="s">
        <v>893</v>
      </c>
      <c r="CQ1073" s="224">
        <v>-0.35846569840025089</v>
      </c>
      <c r="CR1073" s="224">
        <f>10^(CJ1073-CQ1073)</f>
        <v>2.2827886175440328</v>
      </c>
      <c r="CS1073" s="230" t="s">
        <v>539</v>
      </c>
      <c r="CT1073" s="230"/>
      <c r="CU1073" s="230"/>
      <c r="CV1073" s="335">
        <f t="shared" si="294"/>
        <v>509.22534725514089</v>
      </c>
      <c r="CW1073" s="230">
        <f t="shared" si="290"/>
        <v>1</v>
      </c>
      <c r="CX1073" s="336" t="s">
        <v>539</v>
      </c>
      <c r="CY1073" s="230" t="s">
        <v>5921</v>
      </c>
    </row>
    <row r="1074" spans="1:103" ht="11.25" customHeight="1" x14ac:dyDescent="0.2">
      <c r="A1074" s="72">
        <v>1072</v>
      </c>
      <c r="B1074" s="224">
        <v>1781</v>
      </c>
      <c r="C1074" s="46" t="s">
        <v>7237</v>
      </c>
      <c r="D1074" s="46"/>
      <c r="E1074" s="114"/>
      <c r="F1074" s="114" t="s">
        <v>3819</v>
      </c>
      <c r="G1074" s="225">
        <v>134623</v>
      </c>
      <c r="H1074" s="47" t="s">
        <v>3820</v>
      </c>
      <c r="I1074" s="47" t="s">
        <v>3820</v>
      </c>
      <c r="J1074" s="47" t="s">
        <v>3821</v>
      </c>
      <c r="K1074" s="47" t="s">
        <v>471</v>
      </c>
      <c r="L1074" s="47" t="s">
        <v>6034</v>
      </c>
      <c r="M1074" s="47" t="s">
        <v>6082</v>
      </c>
      <c r="N1074" s="47" t="s">
        <v>6082</v>
      </c>
      <c r="O1074" s="47" t="s">
        <v>6083</v>
      </c>
      <c r="P1074" s="53"/>
      <c r="Q1074" s="53" t="s">
        <v>6173</v>
      </c>
      <c r="R1074" s="53" t="s">
        <v>6185</v>
      </c>
      <c r="S1074" s="53" t="s">
        <v>6176</v>
      </c>
      <c r="T1074" s="48">
        <v>191.27</v>
      </c>
      <c r="U1074" s="98"/>
      <c r="V1074" s="98">
        <v>3.4819888116275419</v>
      </c>
      <c r="W1074" s="98">
        <v>40.738027780411272</v>
      </c>
      <c r="X1074" s="98">
        <f>IF(W1074=0,V1074,W1074)</f>
        <v>40.738027780411272</v>
      </c>
      <c r="Y1074" s="233">
        <v>7</v>
      </c>
      <c r="Z1074" s="48">
        <v>2.2599999999999998</v>
      </c>
      <c r="AA1074" s="48">
        <v>2.1800000000000002</v>
      </c>
      <c r="AB1074" s="48">
        <v>2.3199999999999998</v>
      </c>
      <c r="AC1074" s="48">
        <v>0.90939999999999999</v>
      </c>
      <c r="AD1074" s="48">
        <v>2.2400000000000002</v>
      </c>
      <c r="AE1074" s="48">
        <v>1.96</v>
      </c>
      <c r="AF1074" s="48">
        <f t="shared" si="289"/>
        <v>2.1800000000000002</v>
      </c>
      <c r="AG1074" s="49">
        <v>2.42</v>
      </c>
      <c r="AH1074" s="98">
        <v>2.0800000000000001E-8</v>
      </c>
      <c r="AI1074" s="98"/>
      <c r="AJ1074" s="483">
        <f t="shared" si="298"/>
        <v>-6.0705029913498905</v>
      </c>
      <c r="AK1074" s="483"/>
      <c r="AL1074" s="483">
        <f t="shared" si="297"/>
        <v>-6.0705029913498905</v>
      </c>
      <c r="AM1074" s="483">
        <v>-8.6535799999999998</v>
      </c>
      <c r="AN1074" s="226">
        <v>-6.58</v>
      </c>
      <c r="AO1074" s="484"/>
      <c r="AP1074" s="484">
        <v>-1.37</v>
      </c>
      <c r="AQ1074" s="226" t="s">
        <v>6311</v>
      </c>
      <c r="AR1074" s="226" t="s">
        <v>6311</v>
      </c>
      <c r="AS1074" s="224"/>
      <c r="AT1074" s="50" t="s">
        <v>266</v>
      </c>
      <c r="AU1074" s="48">
        <v>6</v>
      </c>
      <c r="AV1074" s="48">
        <v>120</v>
      </c>
      <c r="AW1074" s="48">
        <v>114</v>
      </c>
      <c r="AX1074" s="48">
        <v>28</v>
      </c>
      <c r="AY1074" s="48" t="s">
        <v>8728</v>
      </c>
      <c r="AZ1074" s="48" t="s">
        <v>1563</v>
      </c>
      <c r="BA1074" s="48">
        <v>32</v>
      </c>
      <c r="BB1074" s="47" t="s">
        <v>2485</v>
      </c>
      <c r="BC1074" s="47" t="s">
        <v>8726</v>
      </c>
      <c r="BD1074" s="47" t="s">
        <v>8374</v>
      </c>
      <c r="BE1074" s="48" t="s">
        <v>2449</v>
      </c>
      <c r="BF1074" s="48" t="s">
        <v>272</v>
      </c>
      <c r="BG1074" s="48" t="s">
        <v>272</v>
      </c>
      <c r="BH1074" s="48" t="s">
        <v>2486</v>
      </c>
      <c r="BI1074" s="98">
        <v>6.3999999999999997E-6</v>
      </c>
      <c r="BJ1074" s="98">
        <v>6.4000000000000001E-2</v>
      </c>
      <c r="BK1074" s="48"/>
      <c r="BL1074" s="98">
        <f t="shared" si="295"/>
        <v>0.47983729482089305</v>
      </c>
      <c r="BM1074" s="47" t="s">
        <v>2487</v>
      </c>
      <c r="BN1074" s="48"/>
      <c r="BO1074" s="48"/>
      <c r="BP1074" s="48"/>
      <c r="BQ1074" s="48"/>
      <c r="BR1074" s="47" t="s">
        <v>2496</v>
      </c>
      <c r="BS1074" s="48"/>
      <c r="BT1074" s="48"/>
      <c r="BU1074" s="228"/>
      <c r="BV1074" s="48"/>
      <c r="BW1074" s="48"/>
      <c r="BX1074" s="48"/>
      <c r="BY1074" s="48"/>
      <c r="BZ1074" s="48"/>
      <c r="CA1074" s="48"/>
      <c r="CB1074" s="48"/>
      <c r="CC1074" s="48"/>
      <c r="CD1074" s="48"/>
      <c r="CE1074" s="48"/>
      <c r="CF1074" s="48"/>
      <c r="CG1074" s="48"/>
      <c r="CH1074" s="48"/>
      <c r="CI1074" s="98"/>
      <c r="CJ1074" s="98"/>
      <c r="CK1074" s="49">
        <f t="shared" si="291"/>
        <v>7.4974577315764535</v>
      </c>
      <c r="CL1074" s="229"/>
      <c r="CM1074" s="229"/>
      <c r="CN1074" s="229"/>
      <c r="CO1074" s="47" t="s">
        <v>2488</v>
      </c>
      <c r="CP1074" s="47" t="s">
        <v>2489</v>
      </c>
      <c r="CQ1074" s="224">
        <v>-0.35846569840025089</v>
      </c>
      <c r="CR1074" s="224">
        <f>10^(CJ1074-CQ1074)</f>
        <v>2.2827886175440328</v>
      </c>
      <c r="CS1074" s="230" t="s">
        <v>539</v>
      </c>
      <c r="CT1074" s="230"/>
      <c r="CU1074" s="230"/>
      <c r="CV1074" s="335">
        <f t="shared" si="294"/>
        <v>636.5316840689261</v>
      </c>
      <c r="CW1074" s="230">
        <f t="shared" si="290"/>
        <v>1</v>
      </c>
      <c r="CX1074" s="336"/>
      <c r="CY1074" s="230" t="s">
        <v>5921</v>
      </c>
    </row>
    <row r="1075" spans="1:103" ht="11.25" customHeight="1" x14ac:dyDescent="0.2">
      <c r="A1075" s="72">
        <v>1073</v>
      </c>
      <c r="B1075" s="224">
        <v>1538</v>
      </c>
      <c r="C1075" s="46" t="s">
        <v>7238</v>
      </c>
      <c r="D1075" s="46"/>
      <c r="E1075" s="114"/>
      <c r="F1075" s="114" t="s">
        <v>4652</v>
      </c>
      <c r="G1075" s="225">
        <v>136607</v>
      </c>
      <c r="H1075" s="47" t="s">
        <v>4653</v>
      </c>
      <c r="I1075" s="47" t="s">
        <v>4653</v>
      </c>
      <c r="J1075" s="47" t="s">
        <v>4654</v>
      </c>
      <c r="K1075" s="47" t="s">
        <v>357</v>
      </c>
      <c r="L1075" s="47"/>
      <c r="M1075" s="47"/>
      <c r="N1075" s="47"/>
      <c r="O1075" s="47"/>
      <c r="P1075" s="53"/>
      <c r="Q1075" s="53" t="s">
        <v>6173</v>
      </c>
      <c r="R1075" s="53" t="s">
        <v>6174</v>
      </c>
      <c r="S1075" s="53" t="s">
        <v>6176</v>
      </c>
      <c r="T1075" s="48">
        <v>178.23</v>
      </c>
      <c r="U1075" s="98">
        <v>0.33103293497166586</v>
      </c>
      <c r="V1075" s="98">
        <v>0.16562868204006059</v>
      </c>
      <c r="W1075" s="98">
        <v>1.318256738556407</v>
      </c>
      <c r="X1075" s="98">
        <v>0.33103293497166586</v>
      </c>
      <c r="Y1075" s="233">
        <v>7</v>
      </c>
      <c r="Z1075" s="48">
        <v>3.3</v>
      </c>
      <c r="AA1075" s="48">
        <v>3.84</v>
      </c>
      <c r="AB1075" s="48">
        <v>3.54</v>
      </c>
      <c r="AC1075" s="48">
        <v>0.85960000000000003</v>
      </c>
      <c r="AD1075" s="48">
        <v>3.61</v>
      </c>
      <c r="AE1075" s="48">
        <v>3.79</v>
      </c>
      <c r="AF1075" s="48">
        <f t="shared" si="289"/>
        <v>3.84</v>
      </c>
      <c r="AG1075" s="49">
        <v>2.89</v>
      </c>
      <c r="AH1075" s="98">
        <v>8.1199999999999995E-5</v>
      </c>
      <c r="AI1075" s="98">
        <v>3.9700000000000003E-5</v>
      </c>
      <c r="AJ1075" s="483">
        <f t="shared" si="298"/>
        <v>-2.4790102970714765</v>
      </c>
      <c r="AK1075" s="483">
        <f>LOG10(AI1075*1000/(0.08206*298.15))</f>
        <v>-2.7897758195495368</v>
      </c>
      <c r="AL1075" s="483">
        <f t="shared" si="297"/>
        <v>-2.7897758195495368</v>
      </c>
      <c r="AM1075" s="483">
        <v>-5.6319299999999997</v>
      </c>
      <c r="AN1075" s="226">
        <v>-2.62</v>
      </c>
      <c r="AO1075" s="484"/>
      <c r="AP1075" s="484"/>
      <c r="AQ1075" s="48" t="s">
        <v>6311</v>
      </c>
      <c r="AR1075" s="48" t="s">
        <v>6312</v>
      </c>
      <c r="AS1075" s="227"/>
      <c r="AT1075" s="50" t="s">
        <v>266</v>
      </c>
      <c r="AU1075" s="48">
        <v>6</v>
      </c>
      <c r="AV1075" s="48">
        <v>120</v>
      </c>
      <c r="AW1075" s="48">
        <v>114</v>
      </c>
      <c r="AX1075" s="48">
        <v>28</v>
      </c>
      <c r="AY1075" s="48" t="s">
        <v>8728</v>
      </c>
      <c r="AZ1075" s="48" t="s">
        <v>1563</v>
      </c>
      <c r="BA1075" s="48">
        <v>32</v>
      </c>
      <c r="BB1075" s="47" t="s">
        <v>2485</v>
      </c>
      <c r="BC1075" s="47" t="s">
        <v>8726</v>
      </c>
      <c r="BD1075" s="47" t="s">
        <v>8374</v>
      </c>
      <c r="BE1075" s="48" t="s">
        <v>2449</v>
      </c>
      <c r="BF1075" s="48" t="s">
        <v>272</v>
      </c>
      <c r="BG1075" s="48" t="s">
        <v>272</v>
      </c>
      <c r="BH1075" s="48" t="s">
        <v>2486</v>
      </c>
      <c r="BI1075" s="98">
        <v>6.3999999999999997E-6</v>
      </c>
      <c r="BJ1075" s="98">
        <v>6.4000000000000001E-2</v>
      </c>
      <c r="BK1075" s="48"/>
      <c r="BL1075" s="98">
        <f t="shared" si="295"/>
        <v>5.5856021675172299E-2</v>
      </c>
      <c r="BM1075" s="47" t="s">
        <v>2487</v>
      </c>
      <c r="BN1075" s="48"/>
      <c r="BO1075" s="48"/>
      <c r="BP1075" s="48"/>
      <c r="BQ1075" s="48"/>
      <c r="BR1075" s="47" t="s">
        <v>2496</v>
      </c>
      <c r="BS1075" s="48"/>
      <c r="BT1075" s="48"/>
      <c r="BU1075" s="228"/>
      <c r="BV1075" s="48"/>
      <c r="BW1075" s="48"/>
      <c r="BX1075" s="48"/>
      <c r="BY1075" s="48"/>
      <c r="BZ1075" s="48"/>
      <c r="CA1075" s="48"/>
      <c r="CB1075" s="48"/>
      <c r="CC1075" s="48"/>
      <c r="CD1075" s="48"/>
      <c r="CE1075" s="48"/>
      <c r="CF1075" s="48"/>
      <c r="CG1075" s="48"/>
      <c r="CH1075" s="48"/>
      <c r="CI1075" s="52" t="s">
        <v>6347</v>
      </c>
      <c r="CJ1075" s="98"/>
      <c r="CK1075" s="49">
        <f t="shared" si="291"/>
        <v>0.87275033867456719</v>
      </c>
      <c r="CL1075" s="229"/>
      <c r="CM1075" s="229"/>
      <c r="CN1075" s="229"/>
      <c r="CO1075" s="47" t="s">
        <v>2488</v>
      </c>
      <c r="CP1075" s="47" t="s">
        <v>2489</v>
      </c>
      <c r="CQ1075" s="224" t="s">
        <v>272</v>
      </c>
      <c r="CR1075" s="224"/>
      <c r="CS1075" s="230" t="s">
        <v>539</v>
      </c>
      <c r="CT1075" s="230"/>
      <c r="CU1075" s="230"/>
      <c r="CV1075" s="335">
        <f t="shared" si="294"/>
        <v>5.1723896089322787</v>
      </c>
      <c r="CW1075" s="230">
        <f t="shared" si="290"/>
        <v>1</v>
      </c>
      <c r="CX1075" s="336"/>
      <c r="CY1075" s="230" t="s">
        <v>5921</v>
      </c>
    </row>
    <row r="1076" spans="1:103" ht="11.25" customHeight="1" x14ac:dyDescent="0.2">
      <c r="A1076" s="72">
        <v>1074</v>
      </c>
      <c r="B1076" s="224">
        <v>1900</v>
      </c>
      <c r="C1076" s="46" t="s">
        <v>1510</v>
      </c>
      <c r="D1076" s="46"/>
      <c r="E1076" s="114"/>
      <c r="F1076" s="114" t="s">
        <v>1511</v>
      </c>
      <c r="G1076" s="225">
        <v>137268</v>
      </c>
      <c r="H1076" s="47" t="s">
        <v>1512</v>
      </c>
      <c r="I1076" s="47" t="s">
        <v>1512</v>
      </c>
      <c r="J1076" s="47" t="s">
        <v>1513</v>
      </c>
      <c r="K1076" s="47" t="s">
        <v>1514</v>
      </c>
      <c r="L1076" s="47" t="s">
        <v>6092</v>
      </c>
      <c r="M1076" s="47" t="s">
        <v>1515</v>
      </c>
      <c r="N1076" s="47" t="s">
        <v>6382</v>
      </c>
      <c r="O1076" s="47" t="s">
        <v>1516</v>
      </c>
      <c r="P1076" s="53"/>
      <c r="Q1076" s="53"/>
      <c r="R1076" s="53"/>
      <c r="S1076" s="53"/>
      <c r="T1076" s="48">
        <v>240.44</v>
      </c>
      <c r="U1076" s="98">
        <v>0.12477125270337715</v>
      </c>
      <c r="V1076" s="98">
        <v>37.697554483447014</v>
      </c>
      <c r="W1076" s="98">
        <v>0.22387211385683381</v>
      </c>
      <c r="X1076" s="98">
        <v>0.12477125270337715</v>
      </c>
      <c r="Y1076" s="233">
        <v>7</v>
      </c>
      <c r="Z1076" s="48">
        <v>1.7</v>
      </c>
      <c r="AA1076" s="48">
        <v>1.73</v>
      </c>
      <c r="AB1076" s="48">
        <v>2.02</v>
      </c>
      <c r="AC1076" s="48">
        <v>0.82899999999999996</v>
      </c>
      <c r="AD1076" s="48">
        <v>1.94</v>
      </c>
      <c r="AE1076" s="48">
        <v>1.75</v>
      </c>
      <c r="AF1076" s="48">
        <f t="shared" si="289"/>
        <v>1.73</v>
      </c>
      <c r="AG1076" s="49">
        <v>3.34</v>
      </c>
      <c r="AH1076" s="98">
        <v>2.6800000000000001E-5</v>
      </c>
      <c r="AI1076" s="98">
        <v>1.8199999999999999E-7</v>
      </c>
      <c r="AJ1076" s="483">
        <f t="shared" si="298"/>
        <v>-2.960431532283863</v>
      </c>
      <c r="AK1076" s="483">
        <f>LOG10(AI1076*1000/(0.08206*298.15))</f>
        <v>-5.1284949383275773</v>
      </c>
      <c r="AL1076" s="483">
        <f t="shared" si="297"/>
        <v>-5.1284949383275773</v>
      </c>
      <c r="AM1076" s="483">
        <v>-12.009799999999998</v>
      </c>
      <c r="AN1076" s="226">
        <v>-6.05</v>
      </c>
      <c r="AO1076" s="484"/>
      <c r="AP1076" s="484">
        <v>0.87</v>
      </c>
      <c r="AQ1076" s="226" t="s">
        <v>6311</v>
      </c>
      <c r="AR1076" s="226" t="s">
        <v>6311</v>
      </c>
      <c r="AS1076" s="224"/>
      <c r="AT1076" s="50" t="s">
        <v>266</v>
      </c>
      <c r="AU1076" s="48">
        <v>6</v>
      </c>
      <c r="AV1076" s="48">
        <v>120</v>
      </c>
      <c r="AW1076" s="48">
        <v>114</v>
      </c>
      <c r="AX1076" s="48">
        <v>28</v>
      </c>
      <c r="AY1076" s="48" t="s">
        <v>8728</v>
      </c>
      <c r="AZ1076" s="48" t="s">
        <v>1563</v>
      </c>
      <c r="BA1076" s="48">
        <v>32</v>
      </c>
      <c r="BB1076" s="47" t="s">
        <v>2485</v>
      </c>
      <c r="BC1076" s="47" t="s">
        <v>8726</v>
      </c>
      <c r="BD1076" s="47" t="s">
        <v>8374</v>
      </c>
      <c r="BE1076" s="48" t="s">
        <v>2449</v>
      </c>
      <c r="BF1076" s="48" t="s">
        <v>272</v>
      </c>
      <c r="BG1076" s="48" t="s">
        <v>272</v>
      </c>
      <c r="BH1076" s="48" t="s">
        <v>2486</v>
      </c>
      <c r="BI1076" s="98">
        <v>6.3999999999999997E-6</v>
      </c>
      <c r="BJ1076" s="98">
        <v>6.4000000000000001E-2</v>
      </c>
      <c r="BK1076" s="48"/>
      <c r="BL1076" s="98">
        <f t="shared" si="295"/>
        <v>1.5276715824077349</v>
      </c>
      <c r="BM1076" s="47" t="s">
        <v>2487</v>
      </c>
      <c r="BN1076" s="48"/>
      <c r="BO1076" s="48"/>
      <c r="BP1076" s="48"/>
      <c r="BQ1076" s="48"/>
      <c r="BR1076" s="47" t="s">
        <v>2496</v>
      </c>
      <c r="BS1076" s="48"/>
      <c r="BT1076" s="48"/>
      <c r="BU1076" s="228"/>
      <c r="BV1076" s="48"/>
      <c r="BW1076" s="48"/>
      <c r="BX1076" s="48"/>
      <c r="BY1076" s="48"/>
      <c r="BZ1076" s="48"/>
      <c r="CA1076" s="48"/>
      <c r="CB1076" s="48"/>
      <c r="CC1076" s="48"/>
      <c r="CD1076" s="48"/>
      <c r="CE1076" s="48"/>
      <c r="CF1076" s="48"/>
      <c r="CG1076" s="48"/>
      <c r="CH1076" s="48"/>
      <c r="CI1076" s="98"/>
      <c r="CJ1076" s="98"/>
      <c r="CK1076" s="49">
        <f t="shared" si="291"/>
        <v>23.869868475120857</v>
      </c>
      <c r="CL1076" s="229"/>
      <c r="CM1076" s="229">
        <v>-4.0454833814184958</v>
      </c>
      <c r="CN1076" s="229">
        <f>BJ1076/(10^CM1076)</f>
        <v>710.66242809934442</v>
      </c>
      <c r="CO1076" s="47" t="s">
        <v>2488</v>
      </c>
      <c r="CP1076" s="47" t="s">
        <v>2489</v>
      </c>
      <c r="CQ1076" s="224">
        <v>-3.6786492426503892</v>
      </c>
      <c r="CR1076" s="224">
        <f>10^(CJ1076-CQ1076)</f>
        <v>4771.4375349050197</v>
      </c>
      <c r="CS1076" s="230" t="s">
        <v>539</v>
      </c>
      <c r="CT1076" s="230"/>
      <c r="CU1076" s="230"/>
      <c r="CV1076" s="335">
        <f t="shared" si="294"/>
        <v>1.9495508234902679</v>
      </c>
      <c r="CW1076" s="230">
        <f t="shared" si="290"/>
        <v>1</v>
      </c>
      <c r="CX1076" s="336"/>
      <c r="CY1076" s="230" t="s">
        <v>6351</v>
      </c>
    </row>
    <row r="1077" spans="1:103" ht="11.25" customHeight="1" x14ac:dyDescent="0.2">
      <c r="A1077" s="72">
        <v>1075</v>
      </c>
      <c r="B1077" s="224">
        <v>1208</v>
      </c>
      <c r="C1077" s="46" t="s">
        <v>7239</v>
      </c>
      <c r="D1077" s="46"/>
      <c r="E1077" s="114"/>
      <c r="F1077" s="114" t="s">
        <v>3331</v>
      </c>
      <c r="G1077" s="225">
        <v>139139</v>
      </c>
      <c r="H1077" s="47" t="s">
        <v>3332</v>
      </c>
      <c r="I1077" s="47" t="s">
        <v>3332</v>
      </c>
      <c r="J1077" s="47" t="s">
        <v>3333</v>
      </c>
      <c r="K1077" s="47" t="s">
        <v>300</v>
      </c>
      <c r="L1077" s="51"/>
      <c r="M1077" s="47"/>
      <c r="N1077" s="47"/>
      <c r="O1077" s="47"/>
      <c r="P1077" s="53"/>
      <c r="Q1077" s="53"/>
      <c r="R1077" s="53"/>
      <c r="S1077" s="53"/>
      <c r="T1077" s="48">
        <v>191.14</v>
      </c>
      <c r="U1077" s="98">
        <v>309.19744689756203</v>
      </c>
      <c r="V1077" s="98">
        <v>3865.7528513131738</v>
      </c>
      <c r="W1077" s="98">
        <v>676.08297539198179</v>
      </c>
      <c r="X1077" s="98">
        <v>309.19744689756203</v>
      </c>
      <c r="Y1077" s="233">
        <v>1.74</v>
      </c>
      <c r="Z1077" s="48">
        <v>-3.81</v>
      </c>
      <c r="AA1077" s="48"/>
      <c r="AB1077" s="48">
        <v>-1.1499999999999999</v>
      </c>
      <c r="AC1077" s="48">
        <v>0.61799999999999999</v>
      </c>
      <c r="AD1077" s="48">
        <v>-1.41</v>
      </c>
      <c r="AE1077" s="48">
        <v>-1.76</v>
      </c>
      <c r="AF1077" s="48">
        <f t="shared" si="289"/>
        <v>-1.41</v>
      </c>
      <c r="AG1077" s="49">
        <v>-1.68</v>
      </c>
      <c r="AH1077" s="98">
        <v>1.1900000000000001E-16</v>
      </c>
      <c r="AI1077" s="98"/>
      <c r="AJ1077" s="483">
        <f t="shared" si="298"/>
        <v>-14.313019364920121</v>
      </c>
      <c r="AK1077" s="483"/>
      <c r="AL1077" s="483">
        <f t="shared" si="297"/>
        <v>-14.313019364920121</v>
      </c>
      <c r="AM1077" s="483">
        <v>-19.280249999999999</v>
      </c>
      <c r="AN1077" s="226">
        <v>-20.7</v>
      </c>
      <c r="AO1077" s="484">
        <v>1.49</v>
      </c>
      <c r="AP1077" s="484">
        <v>10.3</v>
      </c>
      <c r="AQ1077" s="48" t="s">
        <v>6311</v>
      </c>
      <c r="AR1077" s="48" t="s">
        <v>6311</v>
      </c>
      <c r="AS1077" s="227"/>
      <c r="AT1077" s="50" t="s">
        <v>266</v>
      </c>
      <c r="AU1077" s="48">
        <v>6</v>
      </c>
      <c r="AV1077" s="48">
        <v>120</v>
      </c>
      <c r="AW1077" s="48">
        <v>114</v>
      </c>
      <c r="AX1077" s="48">
        <v>28</v>
      </c>
      <c r="AY1077" s="48" t="s">
        <v>8728</v>
      </c>
      <c r="AZ1077" s="48" t="s">
        <v>1563</v>
      </c>
      <c r="BA1077" s="48">
        <v>32</v>
      </c>
      <c r="BB1077" s="47" t="s">
        <v>2485</v>
      </c>
      <c r="BC1077" s="47" t="s">
        <v>8726</v>
      </c>
      <c r="BD1077" s="47" t="s">
        <v>8374</v>
      </c>
      <c r="BE1077" s="48" t="s">
        <v>2449</v>
      </c>
      <c r="BF1077" s="48" t="s">
        <v>272</v>
      </c>
      <c r="BG1077" s="48" t="s">
        <v>272</v>
      </c>
      <c r="BH1077" s="48" t="s">
        <v>2486</v>
      </c>
      <c r="BI1077" s="98">
        <v>6.3999999999999997E-6</v>
      </c>
      <c r="BJ1077" s="98">
        <v>6.4000000000000001E-2</v>
      </c>
      <c r="BK1077" s="48"/>
      <c r="BL1077" s="98">
        <f t="shared" si="295"/>
        <v>135694.1109730028</v>
      </c>
      <c r="BM1077" s="47" t="s">
        <v>2487</v>
      </c>
      <c r="BN1077" s="48"/>
      <c r="BO1077" s="48"/>
      <c r="BP1077" s="48"/>
      <c r="BQ1077" s="48"/>
      <c r="BR1077" s="47" t="s">
        <v>2496</v>
      </c>
      <c r="BS1077" s="48"/>
      <c r="BT1077" s="48"/>
      <c r="BU1077" s="228">
        <v>5.9000000000000003E-6</v>
      </c>
      <c r="BV1077" s="48"/>
      <c r="BW1077" s="48"/>
      <c r="BX1077" s="48"/>
      <c r="BY1077" s="48"/>
      <c r="BZ1077" s="48"/>
      <c r="CA1077" s="48"/>
      <c r="CB1077" s="48"/>
      <c r="CC1077" s="48"/>
      <c r="CD1077" s="48"/>
      <c r="CE1077" s="48"/>
      <c r="CF1077" s="48"/>
      <c r="CG1077" s="48"/>
      <c r="CH1077" s="48"/>
      <c r="CI1077" s="98"/>
      <c r="CJ1077" s="98"/>
      <c r="CK1077" s="49">
        <f t="shared" si="291"/>
        <v>2120220.4839531686</v>
      </c>
      <c r="CL1077" s="229"/>
      <c r="CM1077" s="229"/>
      <c r="CN1077" s="229"/>
      <c r="CO1077" s="47" t="s">
        <v>2488</v>
      </c>
      <c r="CP1077" s="47" t="s">
        <v>2489</v>
      </c>
      <c r="CQ1077" s="224" t="s">
        <v>272</v>
      </c>
      <c r="CR1077" s="224"/>
      <c r="CS1077" s="230" t="s">
        <v>539</v>
      </c>
      <c r="CT1077" s="230"/>
      <c r="CU1077" s="230"/>
      <c r="CV1077" s="335">
        <f t="shared" si="294"/>
        <v>4831.2101077744064</v>
      </c>
      <c r="CW1077" s="230">
        <f t="shared" si="290"/>
        <v>1</v>
      </c>
      <c r="CX1077" s="336"/>
      <c r="CY1077" s="230" t="s">
        <v>6351</v>
      </c>
    </row>
    <row r="1078" spans="1:103" ht="11.25" customHeight="1" x14ac:dyDescent="0.2">
      <c r="A1078" s="72">
        <v>1076</v>
      </c>
      <c r="B1078" s="224">
        <v>447</v>
      </c>
      <c r="C1078" s="46" t="s">
        <v>7240</v>
      </c>
      <c r="D1078" s="46"/>
      <c r="E1078" s="114"/>
      <c r="F1078" s="114" t="s">
        <v>3997</v>
      </c>
      <c r="G1078" s="225">
        <v>139402</v>
      </c>
      <c r="H1078" s="47" t="s">
        <v>3998</v>
      </c>
      <c r="I1078" s="47" t="s">
        <v>8044</v>
      </c>
      <c r="J1078" s="47" t="s">
        <v>3999</v>
      </c>
      <c r="K1078" s="47" t="s">
        <v>940</v>
      </c>
      <c r="L1078" s="47"/>
      <c r="M1078" s="47"/>
      <c r="N1078" s="47"/>
      <c r="O1078" s="47"/>
      <c r="P1078" s="53"/>
      <c r="Q1078" s="53"/>
      <c r="R1078" s="53"/>
      <c r="S1078" s="53"/>
      <c r="T1078" s="48">
        <v>229.71</v>
      </c>
      <c r="U1078" s="98">
        <v>3.7438509424927081E-2</v>
      </c>
      <c r="V1078" s="98">
        <v>0.41826650994732484</v>
      </c>
      <c r="W1078" s="98">
        <v>0.14791083881682063</v>
      </c>
      <c r="X1078" s="98">
        <v>3.7438509424927081E-2</v>
      </c>
      <c r="Y1078" s="233">
        <v>7.01</v>
      </c>
      <c r="Z1078" s="48">
        <v>3.24</v>
      </c>
      <c r="AA1078" s="48">
        <v>2.93</v>
      </c>
      <c r="AB1078" s="48">
        <v>2.97</v>
      </c>
      <c r="AC1078" s="48">
        <v>0.86960000000000004</v>
      </c>
      <c r="AD1078" s="48">
        <v>2.98</v>
      </c>
      <c r="AE1078" s="48">
        <v>2.98</v>
      </c>
      <c r="AF1078" s="48">
        <f t="shared" si="289"/>
        <v>2.93</v>
      </c>
      <c r="AG1078" s="49">
        <v>2.79</v>
      </c>
      <c r="AH1078" s="98">
        <v>5.9399999999999998E-9</v>
      </c>
      <c r="AI1078" s="98">
        <v>4.5999999999999998E-9</v>
      </c>
      <c r="AJ1078" s="483">
        <f t="shared" si="298"/>
        <v>-6.614779881331458</v>
      </c>
      <c r="AK1078" s="483">
        <f>LOG10(AI1078*1000/(0.08206*298.15))</f>
        <v>-6.7258084946310781</v>
      </c>
      <c r="AL1078" s="483">
        <f t="shared" si="297"/>
        <v>-6.7258084946310781</v>
      </c>
      <c r="AM1078" s="483">
        <v>-10.672369999999999</v>
      </c>
      <c r="AN1078" s="226">
        <v>-8.19</v>
      </c>
      <c r="AO1078" s="484"/>
      <c r="AP1078" s="484">
        <v>2.2799999999999998</v>
      </c>
      <c r="AQ1078" s="226" t="s">
        <v>6311</v>
      </c>
      <c r="AR1078" s="226" t="s">
        <v>6311</v>
      </c>
      <c r="AS1078" s="224" t="s">
        <v>6</v>
      </c>
      <c r="AT1078" s="50" t="s">
        <v>266</v>
      </c>
      <c r="AU1078" s="48">
        <v>8</v>
      </c>
      <c r="AV1078" s="48">
        <v>144</v>
      </c>
      <c r="AW1078" s="48">
        <v>120</v>
      </c>
      <c r="AX1078" s="48">
        <v>26</v>
      </c>
      <c r="AY1078" s="48" t="s">
        <v>267</v>
      </c>
      <c r="AZ1078" s="48" t="s">
        <v>2253</v>
      </c>
      <c r="BA1078" s="48">
        <v>4</v>
      </c>
      <c r="BB1078" s="47" t="s">
        <v>2254</v>
      </c>
      <c r="BC1078" s="47" t="s">
        <v>270</v>
      </c>
      <c r="BD1078" s="47" t="s">
        <v>8374</v>
      </c>
      <c r="BE1078" s="48" t="s">
        <v>1712</v>
      </c>
      <c r="BF1078" s="48" t="s">
        <v>272</v>
      </c>
      <c r="BG1078" s="48" t="s">
        <v>272</v>
      </c>
      <c r="BH1078" s="48" t="s">
        <v>2255</v>
      </c>
      <c r="BI1078" s="98">
        <v>9.9999999999999995E-7</v>
      </c>
      <c r="BJ1078" s="98">
        <v>0.08</v>
      </c>
      <c r="BK1078" s="48"/>
      <c r="BL1078" s="98">
        <f t="shared" si="295"/>
        <v>6.3234778260932642E-2</v>
      </c>
      <c r="BM1078" s="48" t="s">
        <v>891</v>
      </c>
      <c r="BN1078" s="233"/>
      <c r="BO1078" s="233"/>
      <c r="BP1078" s="233"/>
      <c r="BQ1078" s="233"/>
      <c r="BR1078" s="233"/>
      <c r="BS1078" s="48"/>
      <c r="BT1078" s="233"/>
      <c r="BU1078" s="228"/>
      <c r="BV1078" s="233"/>
      <c r="BW1078" s="233"/>
      <c r="BX1078" s="233"/>
      <c r="BY1078" s="233"/>
      <c r="BZ1078" s="233"/>
      <c r="CA1078" s="233"/>
      <c r="CB1078" s="233"/>
      <c r="CC1078" s="48"/>
      <c r="CD1078" s="48"/>
      <c r="CE1078" s="48"/>
      <c r="CF1078" s="48"/>
      <c r="CG1078" s="233"/>
      <c r="CH1078" s="48"/>
      <c r="CI1078" s="98"/>
      <c r="CJ1078" s="98"/>
      <c r="CK1078" s="49">
        <f t="shared" si="291"/>
        <v>0.79043472826165806</v>
      </c>
      <c r="CL1078" s="229"/>
      <c r="CM1078" s="229"/>
      <c r="CN1078" s="229"/>
      <c r="CO1078" s="47" t="s">
        <v>892</v>
      </c>
      <c r="CP1078" s="47" t="s">
        <v>893</v>
      </c>
      <c r="CQ1078" s="224" t="s">
        <v>272</v>
      </c>
      <c r="CR1078" s="224"/>
      <c r="CS1078" s="230" t="s">
        <v>539</v>
      </c>
      <c r="CT1078" s="230"/>
      <c r="CU1078" s="230"/>
      <c r="CV1078" s="335">
        <f t="shared" si="294"/>
        <v>0.4679813678115885</v>
      </c>
      <c r="CW1078" s="230">
        <f t="shared" si="290"/>
        <v>0</v>
      </c>
      <c r="CX1078" s="336" t="s">
        <v>539</v>
      </c>
      <c r="CY1078" s="230" t="s">
        <v>6351</v>
      </c>
    </row>
    <row r="1079" spans="1:103" ht="11.25" customHeight="1" x14ac:dyDescent="0.2">
      <c r="A1079" s="72">
        <v>1077</v>
      </c>
      <c r="B1079" s="224">
        <v>1835</v>
      </c>
      <c r="C1079" s="46" t="s">
        <v>7240</v>
      </c>
      <c r="D1079" s="46"/>
      <c r="E1079" s="114"/>
      <c r="F1079" s="114" t="s">
        <v>3997</v>
      </c>
      <c r="G1079" s="225">
        <v>139402</v>
      </c>
      <c r="H1079" s="47" t="s">
        <v>3998</v>
      </c>
      <c r="I1079" s="47" t="s">
        <v>8044</v>
      </c>
      <c r="J1079" s="47" t="s">
        <v>3999</v>
      </c>
      <c r="K1079" s="47" t="s">
        <v>940</v>
      </c>
      <c r="L1079" s="47"/>
      <c r="M1079" s="47"/>
      <c r="N1079" s="47"/>
      <c r="O1079" s="47"/>
      <c r="P1079" s="53"/>
      <c r="Q1079" s="53"/>
      <c r="R1079" s="53"/>
      <c r="S1079" s="53"/>
      <c r="T1079" s="48">
        <v>229.71</v>
      </c>
      <c r="U1079" s="98">
        <v>3.7438509424927081E-2</v>
      </c>
      <c r="V1079" s="98">
        <v>0.41826650994732484</v>
      </c>
      <c r="W1079" s="98">
        <v>0.14791083881682063</v>
      </c>
      <c r="X1079" s="98">
        <v>3.7438509424927081E-2</v>
      </c>
      <c r="Y1079" s="233">
        <v>7.01</v>
      </c>
      <c r="Z1079" s="48">
        <v>3.24</v>
      </c>
      <c r="AA1079" s="48">
        <v>2.93</v>
      </c>
      <c r="AB1079" s="48">
        <v>2.97</v>
      </c>
      <c r="AC1079" s="48">
        <v>0.86960000000000004</v>
      </c>
      <c r="AD1079" s="48">
        <v>2.98</v>
      </c>
      <c r="AE1079" s="48">
        <v>2.98</v>
      </c>
      <c r="AF1079" s="48">
        <f t="shared" si="289"/>
        <v>2.93</v>
      </c>
      <c r="AG1079" s="49">
        <v>2.79</v>
      </c>
      <c r="AH1079" s="98">
        <v>5.9399999999999998E-9</v>
      </c>
      <c r="AI1079" s="98">
        <v>4.5999999999999998E-9</v>
      </c>
      <c r="AJ1079" s="483">
        <f t="shared" si="298"/>
        <v>-6.614779881331458</v>
      </c>
      <c r="AK1079" s="483">
        <f>LOG10(AI1079*1000/(0.08206*298.15))</f>
        <v>-6.7258084946310781</v>
      </c>
      <c r="AL1079" s="483">
        <f t="shared" si="297"/>
        <v>-6.7258084946310781</v>
      </c>
      <c r="AM1079" s="483">
        <v>-10.672369999999999</v>
      </c>
      <c r="AN1079" s="226">
        <v>-8.19</v>
      </c>
      <c r="AO1079" s="484"/>
      <c r="AP1079" s="484">
        <v>2.2799999999999998</v>
      </c>
      <c r="AQ1079" s="226" t="s">
        <v>6311</v>
      </c>
      <c r="AR1079" s="226" t="s">
        <v>6311</v>
      </c>
      <c r="AS1079" s="224"/>
      <c r="AT1079" s="50" t="s">
        <v>266</v>
      </c>
      <c r="AU1079" s="48">
        <v>6</v>
      </c>
      <c r="AV1079" s="48">
        <v>120</v>
      </c>
      <c r="AW1079" s="48">
        <v>114</v>
      </c>
      <c r="AX1079" s="48">
        <v>28</v>
      </c>
      <c r="AY1079" s="48" t="s">
        <v>8728</v>
      </c>
      <c r="AZ1079" s="48" t="s">
        <v>1563</v>
      </c>
      <c r="BA1079" s="48">
        <v>32</v>
      </c>
      <c r="BB1079" s="47" t="s">
        <v>2485</v>
      </c>
      <c r="BC1079" s="47" t="s">
        <v>8726</v>
      </c>
      <c r="BD1079" s="47" t="s">
        <v>8374</v>
      </c>
      <c r="BE1079" s="48" t="s">
        <v>2449</v>
      </c>
      <c r="BF1079" s="48" t="s">
        <v>272</v>
      </c>
      <c r="BG1079" s="48" t="s">
        <v>272</v>
      </c>
      <c r="BH1079" s="48" t="s">
        <v>2486</v>
      </c>
      <c r="BI1079" s="98">
        <v>6.3999999999999997E-6</v>
      </c>
      <c r="BJ1079" s="98">
        <v>6.4000000000000001E-2</v>
      </c>
      <c r="BK1079" s="48"/>
      <c r="BL1079" s="98">
        <f t="shared" si="295"/>
        <v>6.3234778260932642E-2</v>
      </c>
      <c r="BM1079" s="47" t="s">
        <v>2487</v>
      </c>
      <c r="BN1079" s="48"/>
      <c r="BO1079" s="48"/>
      <c r="BP1079" s="48"/>
      <c r="BQ1079" s="48"/>
      <c r="BR1079" s="47" t="s">
        <v>2496</v>
      </c>
      <c r="BS1079" s="48"/>
      <c r="BT1079" s="48"/>
      <c r="BU1079" s="228"/>
      <c r="BV1079" s="48"/>
      <c r="BW1079" s="48"/>
      <c r="BX1079" s="48"/>
      <c r="BY1079" s="48"/>
      <c r="BZ1079" s="48"/>
      <c r="CA1079" s="48"/>
      <c r="CB1079" s="48"/>
      <c r="CC1079" s="48"/>
      <c r="CD1079" s="48"/>
      <c r="CE1079" s="48"/>
      <c r="CF1079" s="48"/>
      <c r="CG1079" s="48"/>
      <c r="CH1079" s="48"/>
      <c r="CI1079" s="98"/>
      <c r="CJ1079" s="98"/>
      <c r="CK1079" s="49">
        <f t="shared" si="291"/>
        <v>0.98804341032707255</v>
      </c>
      <c r="CL1079" s="229"/>
      <c r="CM1079" s="229"/>
      <c r="CN1079" s="229"/>
      <c r="CO1079" s="47" t="s">
        <v>2488</v>
      </c>
      <c r="CP1079" s="47" t="s">
        <v>2489</v>
      </c>
      <c r="CQ1079" s="224" t="s">
        <v>272</v>
      </c>
      <c r="CR1079" s="224"/>
      <c r="CS1079" s="230" t="s">
        <v>539</v>
      </c>
      <c r="CT1079" s="230"/>
      <c r="CU1079" s="230"/>
      <c r="CV1079" s="335">
        <f t="shared" si="294"/>
        <v>0.58497670976448568</v>
      </c>
      <c r="CW1079" s="230">
        <f t="shared" si="290"/>
        <v>0</v>
      </c>
      <c r="CX1079" s="336"/>
      <c r="CY1079" s="230" t="s">
        <v>6351</v>
      </c>
    </row>
    <row r="1080" spans="1:103" ht="11.25" customHeight="1" x14ac:dyDescent="0.2">
      <c r="A1080" s="72">
        <v>1078</v>
      </c>
      <c r="B1080" s="224">
        <v>1658</v>
      </c>
      <c r="C1080" s="46" t="s">
        <v>7241</v>
      </c>
      <c r="D1080" s="46"/>
      <c r="E1080" s="114"/>
      <c r="F1080" s="114" t="s">
        <v>4882</v>
      </c>
      <c r="G1080" s="225">
        <v>140567</v>
      </c>
      <c r="H1080" s="47" t="s">
        <v>4883</v>
      </c>
      <c r="I1080" s="47" t="s">
        <v>4883</v>
      </c>
      <c r="J1080" s="47" t="s">
        <v>4884</v>
      </c>
      <c r="K1080" s="47" t="s">
        <v>426</v>
      </c>
      <c r="L1080" s="47"/>
      <c r="M1080" s="47"/>
      <c r="N1080" s="47"/>
      <c r="O1080" s="47"/>
      <c r="P1080" s="53"/>
      <c r="Q1080" s="53"/>
      <c r="R1080" s="53"/>
      <c r="S1080" s="53"/>
      <c r="T1080" s="48">
        <v>229.26</v>
      </c>
      <c r="U1080" s="98"/>
      <c r="V1080" s="98">
        <v>1.7211899153799182</v>
      </c>
      <c r="W1080" s="98">
        <v>1.8620871366628664</v>
      </c>
      <c r="X1080" s="98">
        <f>IF(W1080=0,V1080,W1080)</f>
        <v>1.8620871366628664</v>
      </c>
      <c r="Y1080" s="233">
        <v>3.12</v>
      </c>
      <c r="Z1080" s="48">
        <v>-0.63</v>
      </c>
      <c r="AA1080" s="48"/>
      <c r="AB1080" s="48">
        <v>-0.47</v>
      </c>
      <c r="AC1080" s="48">
        <v>0.40649999999999997</v>
      </c>
      <c r="AD1080" s="48">
        <v>0.76</v>
      </c>
      <c r="AE1080" s="48">
        <v>1.67</v>
      </c>
      <c r="AF1080" s="48">
        <f t="shared" si="289"/>
        <v>0.76</v>
      </c>
      <c r="AG1080" s="49">
        <v>0.76</v>
      </c>
      <c r="AH1080" s="98">
        <v>5.2299999999999995E-10</v>
      </c>
      <c r="AI1080" s="98"/>
      <c r="AJ1080" s="483">
        <f t="shared" si="298"/>
        <v>-7.6700646374453774</v>
      </c>
      <c r="AK1080" s="483"/>
      <c r="AL1080" s="483">
        <f t="shared" si="297"/>
        <v>-7.6700646374453774</v>
      </c>
      <c r="AM1080" s="483">
        <v>-14.336359999999997</v>
      </c>
      <c r="AN1080" s="226"/>
      <c r="AO1080" s="484">
        <v>-6.08</v>
      </c>
      <c r="AP1080" s="484">
        <v>3.29</v>
      </c>
      <c r="AQ1080" s="226" t="s">
        <v>6311</v>
      </c>
      <c r="AR1080" s="226" t="s">
        <v>6311</v>
      </c>
      <c r="AS1080" s="224"/>
      <c r="AT1080" s="50" t="s">
        <v>266</v>
      </c>
      <c r="AU1080" s="48">
        <v>6</v>
      </c>
      <c r="AV1080" s="48">
        <v>120</v>
      </c>
      <c r="AW1080" s="48">
        <v>114</v>
      </c>
      <c r="AX1080" s="48">
        <v>28</v>
      </c>
      <c r="AY1080" s="48" t="s">
        <v>8728</v>
      </c>
      <c r="AZ1080" s="48" t="s">
        <v>1563</v>
      </c>
      <c r="BA1080" s="48">
        <v>32</v>
      </c>
      <c r="BB1080" s="47" t="s">
        <v>2485</v>
      </c>
      <c r="BC1080" s="47" t="s">
        <v>8726</v>
      </c>
      <c r="BD1080" s="47" t="s">
        <v>8374</v>
      </c>
      <c r="BE1080" s="48" t="s">
        <v>2449</v>
      </c>
      <c r="BF1080" s="48" t="s">
        <v>272</v>
      </c>
      <c r="BG1080" s="48" t="s">
        <v>272</v>
      </c>
      <c r="BH1080" s="48" t="s">
        <v>2486</v>
      </c>
      <c r="BI1080" s="98">
        <v>6.3999999999999997E-6</v>
      </c>
      <c r="BJ1080" s="98">
        <v>6.4000000000000001E-2</v>
      </c>
      <c r="BK1080" s="48"/>
      <c r="BL1080" s="98">
        <f t="shared" si="295"/>
        <v>189.06145680144678</v>
      </c>
      <c r="BM1080" s="47" t="s">
        <v>2487</v>
      </c>
      <c r="BN1080" s="48"/>
      <c r="BO1080" s="48"/>
      <c r="BP1080" s="48"/>
      <c r="BQ1080" s="48"/>
      <c r="BR1080" s="47" t="s">
        <v>2496</v>
      </c>
      <c r="BS1080" s="48"/>
      <c r="BT1080" s="48"/>
      <c r="BU1080" s="228"/>
      <c r="BV1080" s="48"/>
      <c r="BW1080" s="48"/>
      <c r="BX1080" s="48"/>
      <c r="BY1080" s="48"/>
      <c r="BZ1080" s="48"/>
      <c r="CA1080" s="48"/>
      <c r="CB1080" s="48"/>
      <c r="CC1080" s="48"/>
      <c r="CD1080" s="48"/>
      <c r="CE1080" s="48"/>
      <c r="CF1080" s="48"/>
      <c r="CG1080" s="48"/>
      <c r="CH1080" s="48"/>
      <c r="CI1080" s="98"/>
      <c r="CJ1080" s="98"/>
      <c r="CK1080" s="49">
        <f t="shared" si="291"/>
        <v>2954.0852625226057</v>
      </c>
      <c r="CL1080" s="229"/>
      <c r="CM1080" s="229"/>
      <c r="CN1080" s="229"/>
      <c r="CO1080" s="47" t="s">
        <v>2488</v>
      </c>
      <c r="CP1080" s="47" t="s">
        <v>2489</v>
      </c>
      <c r="CQ1080" s="224" t="s">
        <v>272</v>
      </c>
      <c r="CR1080" s="224"/>
      <c r="CS1080" s="230" t="s">
        <v>539</v>
      </c>
      <c r="CT1080" s="230"/>
      <c r="CU1080" s="230"/>
      <c r="CV1080" s="335">
        <f t="shared" si="294"/>
        <v>29.095111510357288</v>
      </c>
      <c r="CW1080" s="230">
        <f t="shared" si="290"/>
        <v>1</v>
      </c>
      <c r="CX1080" s="336"/>
      <c r="CY1080" s="230" t="s">
        <v>5921</v>
      </c>
    </row>
    <row r="1081" spans="1:103" ht="11.25" customHeight="1" x14ac:dyDescent="0.2">
      <c r="A1081" s="72">
        <v>1079</v>
      </c>
      <c r="B1081" s="224">
        <v>1807</v>
      </c>
      <c r="C1081" s="46" t="s">
        <v>7242</v>
      </c>
      <c r="D1081" s="46"/>
      <c r="E1081" s="114"/>
      <c r="F1081" s="114" t="s">
        <v>5192</v>
      </c>
      <c r="G1081" s="225">
        <v>140647</v>
      </c>
      <c r="H1081" s="47" t="s">
        <v>5193</v>
      </c>
      <c r="I1081" s="47" t="s">
        <v>5193</v>
      </c>
      <c r="J1081" s="47" t="s">
        <v>5194</v>
      </c>
      <c r="K1081" s="47" t="s">
        <v>300</v>
      </c>
      <c r="L1081" s="47"/>
      <c r="M1081" s="47"/>
      <c r="N1081" s="47"/>
      <c r="O1081" s="47"/>
      <c r="P1081" s="53"/>
      <c r="Q1081" s="53"/>
      <c r="R1081" s="53"/>
      <c r="S1081" s="53"/>
      <c r="T1081" s="48">
        <v>588.65</v>
      </c>
      <c r="U1081" s="98"/>
      <c r="V1081" s="98">
        <v>3.4010022933831652E-2</v>
      </c>
      <c r="W1081" s="98">
        <v>1.071519305237606E-2</v>
      </c>
      <c r="X1081" s="98">
        <f>IF(W1081=0,V1081,W1081)</f>
        <v>1.071519305237606E-2</v>
      </c>
      <c r="Y1081" s="233">
        <v>7</v>
      </c>
      <c r="Z1081" s="48">
        <v>1.1499999999999999</v>
      </c>
      <c r="AA1081" s="48"/>
      <c r="AB1081" s="48">
        <v>0.56999999999999995</v>
      </c>
      <c r="AC1081" s="48">
        <v>0.56830000000000003</v>
      </c>
      <c r="AD1081" s="48">
        <v>1.23</v>
      </c>
      <c r="AE1081" s="48">
        <v>2.16</v>
      </c>
      <c r="AF1081" s="48">
        <f t="shared" si="289"/>
        <v>1.23</v>
      </c>
      <c r="AG1081" s="49">
        <v>3.79</v>
      </c>
      <c r="AH1081" s="98">
        <v>1.0500000000000001E-27</v>
      </c>
      <c r="AI1081" s="98"/>
      <c r="AJ1081" s="483">
        <f t="shared" si="298"/>
        <v>-25.367377027242714</v>
      </c>
      <c r="AK1081" s="483"/>
      <c r="AL1081" s="483">
        <f t="shared" si="297"/>
        <v>-25.367377027242714</v>
      </c>
      <c r="AM1081" s="483">
        <v>-38.699469999999998</v>
      </c>
      <c r="AN1081" s="226">
        <v>-9.4</v>
      </c>
      <c r="AO1081" s="484">
        <v>13.5</v>
      </c>
      <c r="AP1081" s="484">
        <v>1.54</v>
      </c>
      <c r="AQ1081" s="226" t="s">
        <v>6311</v>
      </c>
      <c r="AR1081" s="226" t="s">
        <v>6311</v>
      </c>
      <c r="AS1081" s="224"/>
      <c r="AT1081" s="50" t="s">
        <v>266</v>
      </c>
      <c r="AU1081" s="48">
        <v>6</v>
      </c>
      <c r="AV1081" s="48">
        <v>120</v>
      </c>
      <c r="AW1081" s="48">
        <v>114</v>
      </c>
      <c r="AX1081" s="48">
        <v>28</v>
      </c>
      <c r="AY1081" s="48" t="s">
        <v>8728</v>
      </c>
      <c r="AZ1081" s="48" t="s">
        <v>1563</v>
      </c>
      <c r="BA1081" s="48">
        <v>32</v>
      </c>
      <c r="BB1081" s="47" t="s">
        <v>2485</v>
      </c>
      <c r="BC1081" s="47" t="s">
        <v>8726</v>
      </c>
      <c r="BD1081" s="47" t="s">
        <v>8374</v>
      </c>
      <c r="BE1081" s="48" t="s">
        <v>2449</v>
      </c>
      <c r="BF1081" s="48" t="s">
        <v>272</v>
      </c>
      <c r="BG1081" s="48" t="s">
        <v>272</v>
      </c>
      <c r="BH1081" s="48" t="s">
        <v>2486</v>
      </c>
      <c r="BI1081" s="98">
        <v>6.3999999999999997E-6</v>
      </c>
      <c r="BJ1081" s="98">
        <v>6.4000000000000001E-2</v>
      </c>
      <c r="BK1081" s="48"/>
      <c r="BL1081" s="98">
        <f t="shared" si="295"/>
        <v>4.7641453174626545</v>
      </c>
      <c r="BM1081" s="47" t="s">
        <v>2487</v>
      </c>
      <c r="BN1081" s="48"/>
      <c r="BO1081" s="48"/>
      <c r="BP1081" s="48"/>
      <c r="BQ1081" s="48"/>
      <c r="BR1081" s="47" t="s">
        <v>2496</v>
      </c>
      <c r="BS1081" s="48"/>
      <c r="BT1081" s="48"/>
      <c r="BU1081" s="228"/>
      <c r="BV1081" s="48"/>
      <c r="BW1081" s="48"/>
      <c r="BX1081" s="48"/>
      <c r="BY1081" s="48"/>
      <c r="BZ1081" s="48"/>
      <c r="CA1081" s="48"/>
      <c r="CB1081" s="48"/>
      <c r="CC1081" s="48"/>
      <c r="CD1081" s="48"/>
      <c r="CE1081" s="48"/>
      <c r="CF1081" s="48"/>
      <c r="CG1081" s="48"/>
      <c r="CH1081" s="48"/>
      <c r="CI1081" s="98"/>
      <c r="CJ1081" s="98"/>
      <c r="CK1081" s="49">
        <f t="shared" si="291"/>
        <v>74.439770585353969</v>
      </c>
      <c r="CL1081" s="229"/>
      <c r="CM1081" s="229"/>
      <c r="CN1081" s="229"/>
      <c r="CO1081" s="47" t="s">
        <v>2488</v>
      </c>
      <c r="CP1081" s="47" t="s">
        <v>2489</v>
      </c>
      <c r="CQ1081" s="224" t="s">
        <v>272</v>
      </c>
      <c r="CR1081" s="224"/>
      <c r="CS1081" s="230" t="s">
        <v>539</v>
      </c>
      <c r="CT1081" s="230"/>
      <c r="CU1081" s="230"/>
      <c r="CV1081" s="335">
        <f t="shared" si="294"/>
        <v>0.16742489144337594</v>
      </c>
      <c r="CW1081" s="230">
        <f t="shared" si="290"/>
        <v>0</v>
      </c>
      <c r="CX1081" s="336"/>
      <c r="CY1081" s="230" t="s">
        <v>5921</v>
      </c>
    </row>
    <row r="1082" spans="1:103" ht="11.25" customHeight="1" x14ac:dyDescent="0.2">
      <c r="A1082" s="72">
        <v>1080</v>
      </c>
      <c r="B1082" s="224">
        <v>1609</v>
      </c>
      <c r="C1082" s="46" t="s">
        <v>7243</v>
      </c>
      <c r="D1082" s="46"/>
      <c r="E1082" s="114"/>
      <c r="F1082" s="114" t="s">
        <v>4774</v>
      </c>
      <c r="G1082" s="225">
        <v>141048</v>
      </c>
      <c r="H1082" s="47" t="s">
        <v>4775</v>
      </c>
      <c r="I1082" s="47" t="s">
        <v>4775</v>
      </c>
      <c r="J1082" s="47" t="s">
        <v>4776</v>
      </c>
      <c r="K1082" s="47" t="s">
        <v>357</v>
      </c>
      <c r="L1082" s="47"/>
      <c r="M1082" s="47"/>
      <c r="N1082" s="47"/>
      <c r="O1082" s="47"/>
      <c r="P1082" s="53"/>
      <c r="Q1082" s="53"/>
      <c r="R1082" s="53"/>
      <c r="S1082" s="53"/>
      <c r="T1082" s="48">
        <v>258.35000000000002</v>
      </c>
      <c r="U1082" s="98"/>
      <c r="V1082" s="98">
        <v>2.1865686084768722E-2</v>
      </c>
      <c r="W1082" s="98">
        <v>0.602559586074357</v>
      </c>
      <c r="X1082" s="98">
        <f>IF(W1082=0,V1082,W1082)</f>
        <v>0.602559586074357</v>
      </c>
      <c r="Y1082" s="233">
        <v>7</v>
      </c>
      <c r="Z1082" s="48">
        <v>4.1900000000000004</v>
      </c>
      <c r="AA1082" s="48"/>
      <c r="AB1082" s="48">
        <v>3.44</v>
      </c>
      <c r="AC1082" s="48">
        <v>0.746</v>
      </c>
      <c r="AD1082" s="48">
        <v>3.57</v>
      </c>
      <c r="AE1082" s="48">
        <v>3.85</v>
      </c>
      <c r="AF1082" s="48">
        <f t="shared" si="289"/>
        <v>3.57</v>
      </c>
      <c r="AG1082" s="49">
        <v>3.12</v>
      </c>
      <c r="AH1082" s="98">
        <v>5.3499999999999996E-6</v>
      </c>
      <c r="AI1082" s="98"/>
      <c r="AJ1082" s="483">
        <f t="shared" si="298"/>
        <v>-3.6602125442914235</v>
      </c>
      <c r="AK1082" s="483"/>
      <c r="AL1082" s="483">
        <f t="shared" si="297"/>
        <v>-3.6602125442914235</v>
      </c>
      <c r="AM1082" s="483">
        <v>-6.9421900000000001</v>
      </c>
      <c r="AN1082" s="226">
        <v>-4.84</v>
      </c>
      <c r="AO1082" s="484"/>
      <c r="AP1082" s="484"/>
      <c r="AQ1082" s="48" t="s">
        <v>6311</v>
      </c>
      <c r="AR1082" s="48" t="s">
        <v>6312</v>
      </c>
      <c r="AS1082" s="227"/>
      <c r="AT1082" s="50" t="s">
        <v>266</v>
      </c>
      <c r="AU1082" s="48">
        <v>6</v>
      </c>
      <c r="AV1082" s="48">
        <v>120</v>
      </c>
      <c r="AW1082" s="48">
        <v>114</v>
      </c>
      <c r="AX1082" s="48">
        <v>28</v>
      </c>
      <c r="AY1082" s="48" t="s">
        <v>8728</v>
      </c>
      <c r="AZ1082" s="48" t="s">
        <v>1563</v>
      </c>
      <c r="BA1082" s="48">
        <v>32</v>
      </c>
      <c r="BB1082" s="47" t="s">
        <v>2485</v>
      </c>
      <c r="BC1082" s="47" t="s">
        <v>8726</v>
      </c>
      <c r="BD1082" s="47" t="s">
        <v>8374</v>
      </c>
      <c r="BE1082" s="48" t="s">
        <v>2449</v>
      </c>
      <c r="BF1082" s="48" t="s">
        <v>272</v>
      </c>
      <c r="BG1082" s="48" t="s">
        <v>272</v>
      </c>
      <c r="BH1082" s="48" t="s">
        <v>2486</v>
      </c>
      <c r="BI1082" s="98">
        <v>6.3999999999999997E-6</v>
      </c>
      <c r="BJ1082" s="98">
        <v>6.4000000000000001E-2</v>
      </c>
      <c r="BK1082" s="48"/>
      <c r="BL1082" s="98">
        <f t="shared" si="295"/>
        <v>8.8666792857297061E-3</v>
      </c>
      <c r="BM1082" s="47" t="s">
        <v>2487</v>
      </c>
      <c r="BN1082" s="48"/>
      <c r="BO1082" s="48"/>
      <c r="BP1082" s="48"/>
      <c r="BQ1082" s="48"/>
      <c r="BR1082" s="47" t="s">
        <v>2496</v>
      </c>
      <c r="BS1082" s="48"/>
      <c r="BT1082" s="48"/>
      <c r="BU1082" s="228"/>
      <c r="BV1082" s="48"/>
      <c r="BW1082" s="48"/>
      <c r="BX1082" s="48"/>
      <c r="BY1082" s="48"/>
      <c r="BZ1082" s="48"/>
      <c r="CA1082" s="48"/>
      <c r="CB1082" s="48"/>
      <c r="CC1082" s="48"/>
      <c r="CD1082" s="48"/>
      <c r="CE1082" s="48"/>
      <c r="CF1082" s="48"/>
      <c r="CG1082" s="48"/>
      <c r="CH1082" s="48"/>
      <c r="CI1082" s="98"/>
      <c r="CJ1082" s="98"/>
      <c r="CK1082" s="49">
        <f t="shared" si="291"/>
        <v>0.13854186383952666</v>
      </c>
      <c r="CL1082" s="229"/>
      <c r="CM1082" s="229"/>
      <c r="CN1082" s="229"/>
      <c r="CO1082" s="47" t="s">
        <v>2488</v>
      </c>
      <c r="CP1082" s="47" t="s">
        <v>2489</v>
      </c>
      <c r="CQ1082" s="224" t="s">
        <v>272</v>
      </c>
      <c r="CR1082" s="224"/>
      <c r="CS1082" s="230" t="s">
        <v>539</v>
      </c>
      <c r="CT1082" s="230"/>
      <c r="CU1082" s="230"/>
      <c r="CV1082" s="335">
        <f t="shared" si="294"/>
        <v>9.4149935324118275</v>
      </c>
      <c r="CW1082" s="230">
        <f t="shared" si="290"/>
        <v>1</v>
      </c>
      <c r="CX1082" s="336"/>
      <c r="CY1082" s="230" t="s">
        <v>5921</v>
      </c>
    </row>
    <row r="1083" spans="1:103" ht="11.25" customHeight="1" x14ac:dyDescent="0.2">
      <c r="A1083" s="72">
        <v>1081</v>
      </c>
      <c r="B1083" s="224">
        <v>1642</v>
      </c>
      <c r="C1083" s="46" t="s">
        <v>7244</v>
      </c>
      <c r="D1083" s="46"/>
      <c r="E1083" s="114"/>
      <c r="F1083" s="114" t="s">
        <v>1560</v>
      </c>
      <c r="G1083" s="225">
        <v>141435</v>
      </c>
      <c r="H1083" s="47" t="s">
        <v>1561</v>
      </c>
      <c r="I1083" s="47" t="s">
        <v>1561</v>
      </c>
      <c r="J1083" s="47" t="s">
        <v>1562</v>
      </c>
      <c r="K1083" s="47" t="s">
        <v>300</v>
      </c>
      <c r="L1083" s="47"/>
      <c r="M1083" s="47"/>
      <c r="N1083" s="47" t="s">
        <v>2342</v>
      </c>
      <c r="O1083" s="47"/>
      <c r="P1083" s="53"/>
      <c r="Q1083" s="53"/>
      <c r="R1083" s="53"/>
      <c r="S1083" s="53"/>
      <c r="T1083" s="48">
        <v>61.08</v>
      </c>
      <c r="U1083" s="98">
        <v>16371.971185330714</v>
      </c>
      <c r="V1083" s="98">
        <v>16371.971185330714</v>
      </c>
      <c r="W1083" s="98">
        <v>16218.100973589299</v>
      </c>
      <c r="X1083" s="98">
        <v>16371.971185330714</v>
      </c>
      <c r="Y1083" s="233">
        <v>11.6</v>
      </c>
      <c r="Z1083" s="48">
        <v>-1.61</v>
      </c>
      <c r="AA1083" s="48">
        <v>-1.31</v>
      </c>
      <c r="AB1083" s="48">
        <v>-1.06</v>
      </c>
      <c r="AC1083" s="48">
        <v>0.87129999999999996</v>
      </c>
      <c r="AD1083" s="48">
        <v>-1.1200000000000001</v>
      </c>
      <c r="AE1083" s="48">
        <v>-1.31</v>
      </c>
      <c r="AF1083" s="48">
        <f t="shared" si="289"/>
        <v>-1.31</v>
      </c>
      <c r="AG1083" s="49">
        <v>-1.21</v>
      </c>
      <c r="AH1083" s="98">
        <v>3.6800000000000002E-10</v>
      </c>
      <c r="AI1083" s="98"/>
      <c r="AJ1083" s="483">
        <f t="shared" si="298"/>
        <v>-7.8227185076391343</v>
      </c>
      <c r="AK1083" s="483"/>
      <c r="AL1083" s="483">
        <f t="shared" si="297"/>
        <v>-7.8227185076391343</v>
      </c>
      <c r="AM1083" s="483">
        <v>-7.9048299999999996</v>
      </c>
      <c r="AN1083" s="226">
        <v>-8.2799999999999994</v>
      </c>
      <c r="AO1083" s="484">
        <v>12.85</v>
      </c>
      <c r="AP1083" s="484">
        <v>9.16</v>
      </c>
      <c r="AQ1083" s="226" t="s">
        <v>6311</v>
      </c>
      <c r="AR1083" s="226" t="s">
        <v>6311</v>
      </c>
      <c r="AS1083" s="224"/>
      <c r="AT1083" s="50" t="s">
        <v>266</v>
      </c>
      <c r="AU1083" s="48">
        <v>6</v>
      </c>
      <c r="AV1083" s="48">
        <v>120</v>
      </c>
      <c r="AW1083" s="48">
        <v>114</v>
      </c>
      <c r="AX1083" s="48">
        <v>28</v>
      </c>
      <c r="AY1083" s="48" t="s">
        <v>8728</v>
      </c>
      <c r="AZ1083" s="48" t="s">
        <v>1563</v>
      </c>
      <c r="BA1083" s="48">
        <v>32</v>
      </c>
      <c r="BB1083" s="47" t="s">
        <v>2485</v>
      </c>
      <c r="BC1083" s="47" t="s">
        <v>8726</v>
      </c>
      <c r="BD1083" s="47" t="s">
        <v>8374</v>
      </c>
      <c r="BE1083" s="48" t="s">
        <v>2449</v>
      </c>
      <c r="BF1083" s="48" t="s">
        <v>272</v>
      </c>
      <c r="BG1083" s="48" t="s">
        <v>272</v>
      </c>
      <c r="BH1083" s="48" t="s">
        <v>2486</v>
      </c>
      <c r="BI1083" s="98">
        <v>6.3999999999999997E-6</v>
      </c>
      <c r="BJ1083" s="98">
        <v>6.4000000000000001E-2</v>
      </c>
      <c r="BK1083" s="48"/>
      <c r="BL1083" s="98">
        <f t="shared" si="295"/>
        <v>1434.6336064018544</v>
      </c>
      <c r="BM1083" s="47" t="s">
        <v>2487</v>
      </c>
      <c r="BN1083" s="48"/>
      <c r="BO1083" s="48"/>
      <c r="BP1083" s="48"/>
      <c r="BQ1083" s="48"/>
      <c r="BR1083" s="47" t="s">
        <v>2496</v>
      </c>
      <c r="BS1083" s="48"/>
      <c r="BT1083" s="48"/>
      <c r="BU1083" s="228"/>
      <c r="BV1083" s="48"/>
      <c r="BW1083" s="48"/>
      <c r="BX1083" s="48"/>
      <c r="BY1083" s="48"/>
      <c r="BZ1083" s="48"/>
      <c r="CA1083" s="48"/>
      <c r="CB1083" s="48"/>
      <c r="CC1083" s="48"/>
      <c r="CD1083" s="48"/>
      <c r="CE1083" s="48"/>
      <c r="CF1083" s="48"/>
      <c r="CG1083" s="48"/>
      <c r="CH1083" s="48"/>
      <c r="CI1083" s="98"/>
      <c r="CJ1083" s="98"/>
      <c r="CK1083" s="49">
        <f t="shared" si="291"/>
        <v>22416.150100028975</v>
      </c>
      <c r="CL1083" s="229"/>
      <c r="CM1083" s="229">
        <v>0.39019223067129771</v>
      </c>
      <c r="CN1083" s="229">
        <f>BJ1083/(10^CM1083)</f>
        <v>2.6060799999999995E-2</v>
      </c>
      <c r="CO1083" s="47" t="s">
        <v>2488</v>
      </c>
      <c r="CP1083" s="47" t="s">
        <v>2489</v>
      </c>
      <c r="CQ1083" s="224">
        <v>0.9757679968421038</v>
      </c>
      <c r="CR1083" s="224">
        <f t="shared" ref="CR1083:CR1089" si="299">10^(CJ1083-CQ1083)</f>
        <v>0.10573822193610659</v>
      </c>
      <c r="CS1083" s="230" t="s">
        <v>539</v>
      </c>
      <c r="CT1083" s="230"/>
      <c r="CU1083" s="230"/>
      <c r="CV1083" s="335">
        <f t="shared" si="294"/>
        <v>255812.04977079239</v>
      </c>
      <c r="CW1083" s="230">
        <f t="shared" si="290"/>
        <v>1</v>
      </c>
      <c r="CX1083" s="336"/>
      <c r="CY1083" s="230" t="s">
        <v>6351</v>
      </c>
    </row>
    <row r="1084" spans="1:103" ht="11.25" customHeight="1" x14ac:dyDescent="0.2">
      <c r="A1084" s="72">
        <v>1082</v>
      </c>
      <c r="B1084" s="224">
        <v>286</v>
      </c>
      <c r="C1084" s="46" t="s">
        <v>7245</v>
      </c>
      <c r="D1084" s="46"/>
      <c r="E1084" s="114"/>
      <c r="F1084" s="114" t="s">
        <v>3812</v>
      </c>
      <c r="G1084" s="225">
        <v>141662</v>
      </c>
      <c r="H1084" s="47" t="s">
        <v>3813</v>
      </c>
      <c r="I1084" s="47" t="s">
        <v>3813</v>
      </c>
      <c r="J1084" s="47" t="s">
        <v>3814</v>
      </c>
      <c r="K1084" s="47" t="s">
        <v>3300</v>
      </c>
      <c r="L1084" s="47" t="s">
        <v>617</v>
      </c>
      <c r="M1084" s="47" t="s">
        <v>946</v>
      </c>
      <c r="N1084" s="47" t="s">
        <v>6376</v>
      </c>
      <c r="O1084" s="47" t="s">
        <v>918</v>
      </c>
      <c r="P1084" s="53"/>
      <c r="Q1084" s="53"/>
      <c r="R1084" s="53"/>
      <c r="S1084" s="53"/>
      <c r="T1084" s="48">
        <v>237.19</v>
      </c>
      <c r="U1084" s="98">
        <v>4216.0293435642316</v>
      </c>
      <c r="V1084" s="98">
        <v>117.28993633795692</v>
      </c>
      <c r="W1084" s="98">
        <v>4168.6938347033547</v>
      </c>
      <c r="X1084" s="98">
        <v>4216.0293435642316</v>
      </c>
      <c r="Y1084" s="233">
        <v>7.04</v>
      </c>
      <c r="Z1084" s="48">
        <v>-0.1</v>
      </c>
      <c r="AA1084" s="48"/>
      <c r="AB1084" s="48">
        <v>-0.19</v>
      </c>
      <c r="AC1084" s="48">
        <v>0.8155</v>
      </c>
      <c r="AD1084" s="48">
        <v>-0.24</v>
      </c>
      <c r="AE1084" s="48">
        <v>-0.36</v>
      </c>
      <c r="AF1084" s="48">
        <f t="shared" si="289"/>
        <v>-0.24</v>
      </c>
      <c r="AG1084" s="49">
        <v>0.06</v>
      </c>
      <c r="AH1084" s="98">
        <v>1.1999999999999999E-12</v>
      </c>
      <c r="AI1084" s="98">
        <v>5.0299999999999997E-11</v>
      </c>
      <c r="AJ1084" s="483">
        <f t="shared" si="298"/>
        <v>-10.309385080265027</v>
      </c>
      <c r="AK1084" s="483">
        <f>LOG10(AI1084*1000/(0.08206*298.15))</f>
        <v>-8.6869983412567251</v>
      </c>
      <c r="AL1084" s="483">
        <f t="shared" si="297"/>
        <v>-8.6869983412567251</v>
      </c>
      <c r="AM1084" s="483">
        <v>-14.69647</v>
      </c>
      <c r="AN1084" s="226">
        <v>-8.1199999999999992</v>
      </c>
      <c r="AO1084" s="484"/>
      <c r="AP1084" s="484">
        <v>-1.27</v>
      </c>
      <c r="AQ1084" s="226" t="s">
        <v>6314</v>
      </c>
      <c r="AR1084" s="226" t="s">
        <v>6314</v>
      </c>
      <c r="AS1084" s="224" t="s">
        <v>6</v>
      </c>
      <c r="AT1084" s="50" t="s">
        <v>266</v>
      </c>
      <c r="AU1084" s="48">
        <v>8</v>
      </c>
      <c r="AV1084" s="48">
        <v>144</v>
      </c>
      <c r="AW1084" s="48">
        <v>120</v>
      </c>
      <c r="AX1084" s="48">
        <v>26</v>
      </c>
      <c r="AY1084" s="48" t="s">
        <v>267</v>
      </c>
      <c r="AZ1084" s="48" t="s">
        <v>2253</v>
      </c>
      <c r="BA1084" s="48">
        <v>3</v>
      </c>
      <c r="BB1084" s="47" t="s">
        <v>2254</v>
      </c>
      <c r="BC1084" s="47" t="s">
        <v>270</v>
      </c>
      <c r="BD1084" s="47" t="s">
        <v>8374</v>
      </c>
      <c r="BE1084" s="48" t="s">
        <v>1712</v>
      </c>
      <c r="BF1084" s="48" t="s">
        <v>272</v>
      </c>
      <c r="BG1084" s="48" t="s">
        <v>272</v>
      </c>
      <c r="BH1084" s="48" t="s">
        <v>2255</v>
      </c>
      <c r="BI1084" s="98">
        <v>9.9999999999999995E-7</v>
      </c>
      <c r="BJ1084" s="98">
        <v>0.08</v>
      </c>
      <c r="BK1084" s="48"/>
      <c r="BL1084" s="98">
        <f t="shared" si="295"/>
        <v>63.184419527465145</v>
      </c>
      <c r="BM1084" s="48" t="s">
        <v>891</v>
      </c>
      <c r="BN1084" s="233"/>
      <c r="BO1084" s="233"/>
      <c r="BP1084" s="233"/>
      <c r="BQ1084" s="233"/>
      <c r="BR1084" s="233"/>
      <c r="BS1084" s="48"/>
      <c r="BT1084" s="233"/>
      <c r="BU1084" s="228"/>
      <c r="BV1084" s="233"/>
      <c r="BW1084" s="233"/>
      <c r="BX1084" s="233"/>
      <c r="BY1084" s="233"/>
      <c r="BZ1084" s="233"/>
      <c r="CA1084" s="233"/>
      <c r="CB1084" s="233"/>
      <c r="CC1084" s="48"/>
      <c r="CD1084" s="48"/>
      <c r="CE1084" s="48"/>
      <c r="CF1084" s="48"/>
      <c r="CG1084" s="233"/>
      <c r="CH1084" s="48"/>
      <c r="CI1084" s="98"/>
      <c r="CJ1084" s="98"/>
      <c r="CK1084" s="49">
        <f t="shared" si="291"/>
        <v>789.80524409331429</v>
      </c>
      <c r="CL1084" s="229"/>
      <c r="CM1084" s="229"/>
      <c r="CN1084" s="229"/>
      <c r="CO1084" s="47" t="s">
        <v>892</v>
      </c>
      <c r="CP1084" s="47" t="s">
        <v>893</v>
      </c>
      <c r="CQ1084" s="224">
        <v>-1.4983250595033193</v>
      </c>
      <c r="CR1084" s="224">
        <f t="shared" si="299"/>
        <v>31.501052137736377</v>
      </c>
      <c r="CS1084" s="230" t="s">
        <v>539</v>
      </c>
      <c r="CT1084" s="230"/>
      <c r="CU1084" s="230"/>
      <c r="CV1084" s="335">
        <f t="shared" si="294"/>
        <v>52700.366794552894</v>
      </c>
      <c r="CW1084" s="230">
        <f t="shared" si="290"/>
        <v>1</v>
      </c>
      <c r="CX1084" s="336" t="s">
        <v>539</v>
      </c>
      <c r="CY1084" s="230" t="s">
        <v>5921</v>
      </c>
    </row>
    <row r="1085" spans="1:103" ht="11.25" customHeight="1" x14ac:dyDescent="0.2">
      <c r="A1085" s="72">
        <v>1083</v>
      </c>
      <c r="B1085" s="224">
        <v>1601</v>
      </c>
      <c r="C1085" s="46" t="s">
        <v>7245</v>
      </c>
      <c r="D1085" s="46"/>
      <c r="E1085" s="114"/>
      <c r="F1085" s="114" t="s">
        <v>3812</v>
      </c>
      <c r="G1085" s="225">
        <v>141662</v>
      </c>
      <c r="H1085" s="47" t="s">
        <v>3813</v>
      </c>
      <c r="I1085" s="47" t="s">
        <v>3813</v>
      </c>
      <c r="J1085" s="47" t="s">
        <v>3814</v>
      </c>
      <c r="K1085" s="47" t="s">
        <v>3300</v>
      </c>
      <c r="L1085" s="47" t="s">
        <v>617</v>
      </c>
      <c r="M1085" s="47" t="s">
        <v>946</v>
      </c>
      <c r="N1085" s="47" t="s">
        <v>6376</v>
      </c>
      <c r="O1085" s="47" t="s">
        <v>918</v>
      </c>
      <c r="P1085" s="53"/>
      <c r="Q1085" s="53"/>
      <c r="R1085" s="53"/>
      <c r="S1085" s="53"/>
      <c r="T1085" s="48">
        <v>237.19</v>
      </c>
      <c r="U1085" s="98">
        <v>4216.0293435642316</v>
      </c>
      <c r="V1085" s="98">
        <v>117.28993633795692</v>
      </c>
      <c r="W1085" s="98">
        <v>4168.6938347033547</v>
      </c>
      <c r="X1085" s="98">
        <v>4216.0293435642316</v>
      </c>
      <c r="Y1085" s="233">
        <v>7.04</v>
      </c>
      <c r="Z1085" s="48">
        <v>-0.1</v>
      </c>
      <c r="AA1085" s="48"/>
      <c r="AB1085" s="48">
        <v>-0.19</v>
      </c>
      <c r="AC1085" s="48">
        <v>0.8155</v>
      </c>
      <c r="AD1085" s="48">
        <v>-0.24</v>
      </c>
      <c r="AE1085" s="48">
        <v>-0.36</v>
      </c>
      <c r="AF1085" s="48">
        <f t="shared" si="289"/>
        <v>-0.24</v>
      </c>
      <c r="AG1085" s="49">
        <v>0.06</v>
      </c>
      <c r="AH1085" s="98">
        <v>1.1999999999999999E-12</v>
      </c>
      <c r="AI1085" s="98">
        <v>5.0299999999999997E-11</v>
      </c>
      <c r="AJ1085" s="483">
        <f t="shared" si="298"/>
        <v>-10.309385080265027</v>
      </c>
      <c r="AK1085" s="483">
        <f>LOG10(AI1085*1000/(0.08206*298.15))</f>
        <v>-8.6869983412567251</v>
      </c>
      <c r="AL1085" s="483">
        <f t="shared" si="297"/>
        <v>-8.6869983412567251</v>
      </c>
      <c r="AM1085" s="483">
        <v>-14.69647</v>
      </c>
      <c r="AN1085" s="226">
        <v>-8.1199999999999992</v>
      </c>
      <c r="AO1085" s="484"/>
      <c r="AP1085" s="484">
        <v>-1.27</v>
      </c>
      <c r="AQ1085" s="48" t="s">
        <v>6314</v>
      </c>
      <c r="AR1085" s="48" t="s">
        <v>6314</v>
      </c>
      <c r="AS1085" s="227"/>
      <c r="AT1085" s="50" t="s">
        <v>266</v>
      </c>
      <c r="AU1085" s="48">
        <v>6</v>
      </c>
      <c r="AV1085" s="48">
        <v>120</v>
      </c>
      <c r="AW1085" s="48">
        <v>114</v>
      </c>
      <c r="AX1085" s="48">
        <v>28</v>
      </c>
      <c r="AY1085" s="48" t="s">
        <v>8728</v>
      </c>
      <c r="AZ1085" s="48" t="s">
        <v>1563</v>
      </c>
      <c r="BA1085" s="48">
        <v>32</v>
      </c>
      <c r="BB1085" s="47" t="s">
        <v>2485</v>
      </c>
      <c r="BC1085" s="47" t="s">
        <v>8726</v>
      </c>
      <c r="BD1085" s="47" t="s">
        <v>8374</v>
      </c>
      <c r="BE1085" s="48" t="s">
        <v>2449</v>
      </c>
      <c r="BF1085" s="48" t="s">
        <v>272</v>
      </c>
      <c r="BG1085" s="48" t="s">
        <v>272</v>
      </c>
      <c r="BH1085" s="48" t="s">
        <v>2486</v>
      </c>
      <c r="BI1085" s="98">
        <v>6.3999999999999997E-6</v>
      </c>
      <c r="BJ1085" s="98">
        <v>6.4000000000000001E-2</v>
      </c>
      <c r="BK1085" s="48"/>
      <c r="BL1085" s="98">
        <f t="shared" si="295"/>
        <v>63.184419527465145</v>
      </c>
      <c r="BM1085" s="47" t="s">
        <v>2487</v>
      </c>
      <c r="BN1085" s="48"/>
      <c r="BO1085" s="48"/>
      <c r="BP1085" s="48"/>
      <c r="BQ1085" s="48"/>
      <c r="BR1085" s="47" t="s">
        <v>2496</v>
      </c>
      <c r="BS1085" s="48"/>
      <c r="BT1085" s="48"/>
      <c r="BU1085" s="228"/>
      <c r="BV1085" s="48"/>
      <c r="BW1085" s="48"/>
      <c r="BX1085" s="48"/>
      <c r="BY1085" s="48"/>
      <c r="BZ1085" s="48"/>
      <c r="CA1085" s="48"/>
      <c r="CB1085" s="48"/>
      <c r="CC1085" s="48"/>
      <c r="CD1085" s="48"/>
      <c r="CE1085" s="48"/>
      <c r="CF1085" s="48"/>
      <c r="CG1085" s="48"/>
      <c r="CH1085" s="48"/>
      <c r="CI1085" s="98"/>
      <c r="CJ1085" s="98"/>
      <c r="CK1085" s="49">
        <f t="shared" si="291"/>
        <v>987.25655511664286</v>
      </c>
      <c r="CL1085" s="229"/>
      <c r="CM1085" s="229"/>
      <c r="CN1085" s="229"/>
      <c r="CO1085" s="47" t="s">
        <v>2488</v>
      </c>
      <c r="CP1085" s="47" t="s">
        <v>2489</v>
      </c>
      <c r="CQ1085" s="224">
        <v>-1.4983250595033193</v>
      </c>
      <c r="CR1085" s="224">
        <f t="shared" si="299"/>
        <v>31.501052137736377</v>
      </c>
      <c r="CS1085" s="230" t="s">
        <v>539</v>
      </c>
      <c r="CT1085" s="230"/>
      <c r="CU1085" s="230"/>
      <c r="CV1085" s="335">
        <f t="shared" si="294"/>
        <v>65875.458493191123</v>
      </c>
      <c r="CW1085" s="230">
        <f t="shared" si="290"/>
        <v>1</v>
      </c>
      <c r="CX1085" s="336"/>
      <c r="CY1085" s="230" t="s">
        <v>5921</v>
      </c>
    </row>
    <row r="1086" spans="1:103" ht="11.25" customHeight="1" x14ac:dyDescent="0.2">
      <c r="A1086" s="72">
        <v>1084</v>
      </c>
      <c r="B1086" s="224">
        <v>1697</v>
      </c>
      <c r="C1086" s="46" t="s">
        <v>7246</v>
      </c>
      <c r="D1086" s="46"/>
      <c r="E1086" s="114"/>
      <c r="F1086" s="114" t="s">
        <v>4952</v>
      </c>
      <c r="G1086" s="225">
        <v>142621</v>
      </c>
      <c r="H1086" s="47" t="s">
        <v>4953</v>
      </c>
      <c r="I1086" s="47" t="s">
        <v>4953</v>
      </c>
      <c r="J1086" s="47" t="s">
        <v>4954</v>
      </c>
      <c r="K1086" s="47" t="s">
        <v>426</v>
      </c>
      <c r="L1086" s="47"/>
      <c r="M1086" s="47"/>
      <c r="N1086" s="47"/>
      <c r="O1086" s="47"/>
      <c r="P1086" s="53"/>
      <c r="Q1086" s="53"/>
      <c r="R1086" s="53"/>
      <c r="S1086" s="53"/>
      <c r="T1086" s="48">
        <v>116.16</v>
      </c>
      <c r="U1086" s="98">
        <v>88.670798898071624</v>
      </c>
      <c r="V1086" s="98">
        <v>50.774793388429757</v>
      </c>
      <c r="W1086" s="98">
        <v>79.432823472428097</v>
      </c>
      <c r="X1086" s="98">
        <v>88.670798898071624</v>
      </c>
      <c r="Y1086" s="233">
        <v>2.95</v>
      </c>
      <c r="Z1086" s="48">
        <v>2.0499999999999998</v>
      </c>
      <c r="AA1086" s="48">
        <v>1.92</v>
      </c>
      <c r="AB1086" s="48">
        <v>1.9</v>
      </c>
      <c r="AC1086" s="48">
        <v>0.90229999999999999</v>
      </c>
      <c r="AD1086" s="48">
        <v>1.89</v>
      </c>
      <c r="AE1086" s="48">
        <v>1.84</v>
      </c>
      <c r="AF1086" s="48">
        <f t="shared" ref="AF1086:AF1149" si="300">IF(AA1086=0,AD1086,AA1086)</f>
        <v>1.92</v>
      </c>
      <c r="AG1086" s="49">
        <v>1.57</v>
      </c>
      <c r="AH1086" s="98">
        <v>1.7E-6</v>
      </c>
      <c r="AI1086" s="98">
        <v>7.5799999999999998E-7</v>
      </c>
      <c r="AJ1086" s="483">
        <f t="shared" si="298"/>
        <v>-4.1581174049343783</v>
      </c>
      <c r="AK1086" s="483">
        <f>LOG10(AI1086*1000/(0.08206*298.15))</f>
        <v>-4.5088971206805981</v>
      </c>
      <c r="AL1086" s="483">
        <f t="shared" si="297"/>
        <v>-4.5088971206805981</v>
      </c>
      <c r="AM1086" s="483">
        <v>-5.4190799999999992</v>
      </c>
      <c r="AN1086" s="226">
        <v>-4.49</v>
      </c>
      <c r="AO1086" s="484">
        <v>4.78</v>
      </c>
      <c r="AP1086" s="484"/>
      <c r="AQ1086" s="226" t="s">
        <v>6311</v>
      </c>
      <c r="AR1086" s="226" t="s">
        <v>6311</v>
      </c>
      <c r="AS1086" s="224"/>
      <c r="AT1086" s="50" t="s">
        <v>266</v>
      </c>
      <c r="AU1086" s="48">
        <v>6</v>
      </c>
      <c r="AV1086" s="48">
        <v>120</v>
      </c>
      <c r="AW1086" s="48">
        <v>114</v>
      </c>
      <c r="AX1086" s="48">
        <v>28</v>
      </c>
      <c r="AY1086" s="48" t="s">
        <v>8728</v>
      </c>
      <c r="AZ1086" s="48" t="s">
        <v>1563</v>
      </c>
      <c r="BA1086" s="48">
        <v>32</v>
      </c>
      <c r="BB1086" s="47" t="s">
        <v>2485</v>
      </c>
      <c r="BC1086" s="47" t="s">
        <v>8726</v>
      </c>
      <c r="BD1086" s="47" t="s">
        <v>8374</v>
      </c>
      <c r="BE1086" s="48" t="s">
        <v>2449</v>
      </c>
      <c r="BF1086" s="48" t="s">
        <v>272</v>
      </c>
      <c r="BG1086" s="48" t="s">
        <v>272</v>
      </c>
      <c r="BH1086" s="48" t="s">
        <v>2486</v>
      </c>
      <c r="BI1086" s="98">
        <v>6.3999999999999997E-6</v>
      </c>
      <c r="BJ1086" s="98">
        <v>6.4000000000000001E-2</v>
      </c>
      <c r="BK1086" s="48"/>
      <c r="BL1086" s="98">
        <f t="shared" si="295"/>
        <v>0.74078981044577286</v>
      </c>
      <c r="BM1086" s="47" t="s">
        <v>2487</v>
      </c>
      <c r="BN1086" s="48"/>
      <c r="BO1086" s="48"/>
      <c r="BP1086" s="48"/>
      <c r="BQ1086" s="48"/>
      <c r="BR1086" s="47" t="s">
        <v>2496</v>
      </c>
      <c r="BS1086" s="48"/>
      <c r="BT1086" s="48"/>
      <c r="BU1086" s="228"/>
      <c r="BV1086" s="48"/>
      <c r="BW1086" s="48"/>
      <c r="BX1086" s="48"/>
      <c r="BY1086" s="48"/>
      <c r="BZ1086" s="48"/>
      <c r="CA1086" s="48"/>
      <c r="CB1086" s="48"/>
      <c r="CC1086" s="48"/>
      <c r="CD1086" s="48"/>
      <c r="CE1086" s="48"/>
      <c r="CF1086" s="48"/>
      <c r="CG1086" s="48"/>
      <c r="CH1086" s="48"/>
      <c r="CI1086" s="98"/>
      <c r="CJ1086" s="98"/>
      <c r="CK1086" s="49">
        <f t="shared" si="291"/>
        <v>11.5748407882152</v>
      </c>
      <c r="CL1086" s="229"/>
      <c r="CM1086" s="229"/>
      <c r="CN1086" s="229"/>
      <c r="CO1086" s="47" t="s">
        <v>2488</v>
      </c>
      <c r="CP1086" s="47" t="s">
        <v>2489</v>
      </c>
      <c r="CQ1086" s="224">
        <v>0.44009337496388751</v>
      </c>
      <c r="CR1086" s="224">
        <f t="shared" si="299"/>
        <v>0.36299999999999993</v>
      </c>
      <c r="CS1086" s="230" t="s">
        <v>539</v>
      </c>
      <c r="CT1086" s="230"/>
      <c r="CU1086" s="230"/>
      <c r="CV1086" s="335">
        <f t="shared" si="294"/>
        <v>1385.481232782369</v>
      </c>
      <c r="CW1086" s="230">
        <f t="shared" si="290"/>
        <v>1</v>
      </c>
      <c r="CX1086" s="336"/>
      <c r="CY1086" s="230" t="s">
        <v>6351</v>
      </c>
    </row>
    <row r="1087" spans="1:103" ht="11.25" customHeight="1" x14ac:dyDescent="0.2">
      <c r="A1087" s="72">
        <v>1085</v>
      </c>
      <c r="B1087" s="224">
        <v>1639</v>
      </c>
      <c r="C1087" s="46" t="s">
        <v>7247</v>
      </c>
      <c r="D1087" s="46"/>
      <c r="E1087" s="114"/>
      <c r="F1087" s="114" t="s">
        <v>4841</v>
      </c>
      <c r="G1087" s="225">
        <v>145733</v>
      </c>
      <c r="H1087" s="47" t="s">
        <v>4842</v>
      </c>
      <c r="I1087" s="47" t="s">
        <v>4842</v>
      </c>
      <c r="J1087" s="47" t="s">
        <v>4843</v>
      </c>
      <c r="K1087" s="47" t="s">
        <v>426</v>
      </c>
      <c r="L1087" s="47"/>
      <c r="M1087" s="47"/>
      <c r="N1087" s="47"/>
      <c r="O1087" s="47"/>
      <c r="P1087" s="53"/>
      <c r="Q1087" s="53"/>
      <c r="R1087" s="53"/>
      <c r="S1087" s="53"/>
      <c r="T1087" s="48">
        <v>186.16</v>
      </c>
      <c r="U1087" s="98">
        <v>537.17232488182208</v>
      </c>
      <c r="V1087" s="98">
        <v>16.018478727975936</v>
      </c>
      <c r="W1087" s="98">
        <v>208.92961308540393</v>
      </c>
      <c r="X1087" s="98">
        <v>537.17232488182208</v>
      </c>
      <c r="Y1087" s="233">
        <v>2.16</v>
      </c>
      <c r="Z1087" s="48">
        <v>1.89</v>
      </c>
      <c r="AA1087" s="48">
        <v>1.91</v>
      </c>
      <c r="AB1087" s="48">
        <v>0.63</v>
      </c>
      <c r="AC1087" s="48">
        <v>0.78810000000000002</v>
      </c>
      <c r="AD1087" s="48">
        <v>0.3</v>
      </c>
      <c r="AE1087" s="48">
        <v>-0.46</v>
      </c>
      <c r="AF1087" s="48">
        <f t="shared" si="300"/>
        <v>1.91</v>
      </c>
      <c r="AG1087" s="49">
        <v>-0.39</v>
      </c>
      <c r="AH1087" s="98">
        <v>3.6199999999999997E-15</v>
      </c>
      <c r="AI1087" s="98">
        <v>3.8499999999999999E-16</v>
      </c>
      <c r="AJ1087" s="483">
        <f t="shared" si="298"/>
        <v>-12.829857755779486</v>
      </c>
      <c r="AK1087" s="483">
        <f>LOG10(AI1087*1000/(0.08206*298.15))</f>
        <v>-13.803105596804151</v>
      </c>
      <c r="AL1087" s="483">
        <f t="shared" si="297"/>
        <v>-13.803105596804151</v>
      </c>
      <c r="AM1087" s="483">
        <v>-12.986369999999999</v>
      </c>
      <c r="AN1087" s="226">
        <v>-13.2</v>
      </c>
      <c r="AO1087" s="484">
        <v>3.62</v>
      </c>
      <c r="AP1087" s="484"/>
      <c r="AQ1087" s="226" t="s">
        <v>6311</v>
      </c>
      <c r="AR1087" s="226" t="s">
        <v>6311</v>
      </c>
      <c r="AS1087" s="224"/>
      <c r="AT1087" s="50" t="s">
        <v>266</v>
      </c>
      <c r="AU1087" s="48">
        <v>6</v>
      </c>
      <c r="AV1087" s="48">
        <v>120</v>
      </c>
      <c r="AW1087" s="48">
        <v>114</v>
      </c>
      <c r="AX1087" s="48">
        <v>28</v>
      </c>
      <c r="AY1087" s="48" t="s">
        <v>8728</v>
      </c>
      <c r="AZ1087" s="48" t="s">
        <v>1563</v>
      </c>
      <c r="BA1087" s="48">
        <v>32</v>
      </c>
      <c r="BB1087" s="47" t="s">
        <v>2485</v>
      </c>
      <c r="BC1087" s="47" t="s">
        <v>8726</v>
      </c>
      <c r="BD1087" s="47" t="s">
        <v>8374</v>
      </c>
      <c r="BE1087" s="48" t="s">
        <v>2449</v>
      </c>
      <c r="BF1087" s="48" t="s">
        <v>272</v>
      </c>
      <c r="BG1087" s="48" t="s">
        <v>272</v>
      </c>
      <c r="BH1087" s="48" t="s">
        <v>2486</v>
      </c>
      <c r="BI1087" s="98">
        <v>6.3999999999999997E-6</v>
      </c>
      <c r="BJ1087" s="98">
        <v>6.4000000000000001E-2</v>
      </c>
      <c r="BK1087" s="48"/>
      <c r="BL1087" s="98">
        <f t="shared" si="295"/>
        <v>1.031314205884482</v>
      </c>
      <c r="BM1087" s="47" t="s">
        <v>2487</v>
      </c>
      <c r="BN1087" s="48"/>
      <c r="BO1087" s="48"/>
      <c r="BP1087" s="48"/>
      <c r="BQ1087" s="48"/>
      <c r="BR1087" s="47" t="s">
        <v>2496</v>
      </c>
      <c r="BS1087" s="48"/>
      <c r="BT1087" s="48"/>
      <c r="BU1087" s="228"/>
      <c r="BV1087" s="48"/>
      <c r="BW1087" s="48"/>
      <c r="BX1087" s="48"/>
      <c r="BY1087" s="48"/>
      <c r="BZ1087" s="48"/>
      <c r="CA1087" s="48"/>
      <c r="CB1087" s="48"/>
      <c r="CC1087" s="48"/>
      <c r="CD1087" s="48"/>
      <c r="CE1087" s="48"/>
      <c r="CF1087" s="48"/>
      <c r="CG1087" s="48"/>
      <c r="CH1087" s="48"/>
      <c r="CI1087" s="98"/>
      <c r="CJ1087" s="98"/>
      <c r="CK1087" s="49">
        <f t="shared" si="291"/>
        <v>16.11428446694503</v>
      </c>
      <c r="CL1087" s="229"/>
      <c r="CM1087" s="229"/>
      <c r="CN1087" s="229"/>
      <c r="CO1087" s="47" t="s">
        <v>2488</v>
      </c>
      <c r="CP1087" s="47" t="s">
        <v>2489</v>
      </c>
      <c r="CQ1087" s="224">
        <v>-0.2346108132831253</v>
      </c>
      <c r="CR1087" s="224">
        <f t="shared" si="299"/>
        <v>1.7163695979947911</v>
      </c>
      <c r="CS1087" s="230" t="s">
        <v>539</v>
      </c>
      <c r="CT1087" s="230"/>
      <c r="CU1087" s="230"/>
      <c r="CV1087" s="335">
        <f t="shared" si="294"/>
        <v>8393.3175762784704</v>
      </c>
      <c r="CW1087" s="230">
        <f t="shared" ref="CW1087:CW1150" si="301">IF(CV1087&lt;1,0,1)</f>
        <v>1</v>
      </c>
      <c r="CX1087" s="336"/>
      <c r="CY1087" s="230" t="s">
        <v>5921</v>
      </c>
    </row>
    <row r="1088" spans="1:103" ht="11.25" customHeight="1" x14ac:dyDescent="0.2">
      <c r="A1088" s="72">
        <v>1086</v>
      </c>
      <c r="B1088" s="224">
        <v>1297</v>
      </c>
      <c r="C1088" s="46" t="s">
        <v>1487</v>
      </c>
      <c r="D1088" s="46"/>
      <c r="E1088" s="114"/>
      <c r="F1088" s="114" t="s">
        <v>1488</v>
      </c>
      <c r="G1088" s="225">
        <v>148798</v>
      </c>
      <c r="H1088" s="47" t="s">
        <v>1489</v>
      </c>
      <c r="I1088" s="47" t="s">
        <v>1489</v>
      </c>
      <c r="J1088" s="47" t="s">
        <v>1490</v>
      </c>
      <c r="K1088" s="47" t="s">
        <v>1064</v>
      </c>
      <c r="L1088" s="47" t="s">
        <v>279</v>
      </c>
      <c r="M1088" s="47" t="s">
        <v>6142</v>
      </c>
      <c r="N1088" s="47" t="s">
        <v>6082</v>
      </c>
      <c r="O1088" s="47" t="s">
        <v>6091</v>
      </c>
      <c r="P1088" s="53"/>
      <c r="Q1088" s="53"/>
      <c r="R1088" s="53"/>
      <c r="S1088" s="53"/>
      <c r="T1088" s="48">
        <v>201.25</v>
      </c>
      <c r="U1088" s="98">
        <v>0.2484472049689441</v>
      </c>
      <c r="V1088" s="98">
        <v>1.6655900621118012</v>
      </c>
      <c r="W1088" s="98">
        <v>0.29512092266663859</v>
      </c>
      <c r="X1088" s="98">
        <v>0.2484472049689441</v>
      </c>
      <c r="Y1088" s="233">
        <v>7.21</v>
      </c>
      <c r="Z1088" s="48">
        <v>2</v>
      </c>
      <c r="AA1088" s="48">
        <v>2.4700000000000002</v>
      </c>
      <c r="AB1088" s="48">
        <v>2.37</v>
      </c>
      <c r="AC1088" s="48">
        <v>0.88529999999999998</v>
      </c>
      <c r="AD1088" s="48">
        <v>2.39</v>
      </c>
      <c r="AE1088" s="48">
        <v>2.4700000000000002</v>
      </c>
      <c r="AF1088" s="48">
        <f t="shared" si="300"/>
        <v>2.4700000000000002</v>
      </c>
      <c r="AG1088" s="49">
        <v>2.59</v>
      </c>
      <c r="AH1088" s="98">
        <v>1.9999999999999999E-11</v>
      </c>
      <c r="AI1088" s="98">
        <v>2.1199999999999999E-11</v>
      </c>
      <c r="AJ1088" s="483">
        <f t="shared" si="298"/>
        <v>-9.0875363306486712</v>
      </c>
      <c r="AK1088" s="483">
        <f>LOG10(AI1088*1000/(0.08206*298.15))</f>
        <v>-9.0622304653838999</v>
      </c>
      <c r="AL1088" s="483">
        <f t="shared" si="297"/>
        <v>-9.0622304653838999</v>
      </c>
      <c r="AM1088" s="483">
        <v>-12.588529999999999</v>
      </c>
      <c r="AN1088" s="226">
        <v>-12.7</v>
      </c>
      <c r="AO1088" s="484">
        <v>10.53</v>
      </c>
      <c r="AP1088" s="484">
        <v>3.4</v>
      </c>
      <c r="AQ1088" s="48" t="s">
        <v>6311</v>
      </c>
      <c r="AR1088" s="48" t="s">
        <v>6311</v>
      </c>
      <c r="AS1088" s="227"/>
      <c r="AT1088" s="50" t="s">
        <v>266</v>
      </c>
      <c r="AU1088" s="48">
        <v>6</v>
      </c>
      <c r="AV1088" s="48">
        <v>120</v>
      </c>
      <c r="AW1088" s="48">
        <v>114</v>
      </c>
      <c r="AX1088" s="48">
        <v>28</v>
      </c>
      <c r="AY1088" s="48" t="s">
        <v>8728</v>
      </c>
      <c r="AZ1088" s="48" t="s">
        <v>1563</v>
      </c>
      <c r="BA1088" s="48">
        <v>32</v>
      </c>
      <c r="BB1088" s="47" t="s">
        <v>2485</v>
      </c>
      <c r="BC1088" s="47" t="s">
        <v>8726</v>
      </c>
      <c r="BD1088" s="47" t="s">
        <v>8374</v>
      </c>
      <c r="BE1088" s="48" t="s">
        <v>2449</v>
      </c>
      <c r="BF1088" s="48" t="s">
        <v>272</v>
      </c>
      <c r="BG1088" s="48" t="s">
        <v>272</v>
      </c>
      <c r="BH1088" s="48" t="s">
        <v>2486</v>
      </c>
      <c r="BI1088" s="98">
        <v>6.3999999999999997E-6</v>
      </c>
      <c r="BJ1088" s="98">
        <v>6.4000000000000001E-2</v>
      </c>
      <c r="BK1088" s="48"/>
      <c r="BL1088" s="98">
        <f t="shared" si="295"/>
        <v>0.82148568512832731</v>
      </c>
      <c r="BM1088" s="47" t="s">
        <v>2487</v>
      </c>
      <c r="BN1088" s="48"/>
      <c r="BO1088" s="48"/>
      <c r="BP1088" s="48"/>
      <c r="BQ1088" s="48"/>
      <c r="BR1088" s="47" t="s">
        <v>2496</v>
      </c>
      <c r="BS1088" s="48"/>
      <c r="BT1088" s="48"/>
      <c r="BU1088" s="228">
        <v>6.4000000000000001E-2</v>
      </c>
      <c r="BV1088" s="48"/>
      <c r="BW1088" s="48"/>
      <c r="BX1088" s="48"/>
      <c r="BY1088" s="48"/>
      <c r="BZ1088" s="48"/>
      <c r="CA1088" s="48"/>
      <c r="CB1088" s="48"/>
      <c r="CC1088" s="48"/>
      <c r="CD1088" s="48"/>
      <c r="CE1088" s="48"/>
      <c r="CF1088" s="48"/>
      <c r="CG1088" s="48"/>
      <c r="CH1088" s="48"/>
      <c r="CI1088" s="98"/>
      <c r="CJ1088" s="98"/>
      <c r="CK1088" s="49">
        <f t="shared" si="291"/>
        <v>12.835713830130114</v>
      </c>
      <c r="CL1088" s="229"/>
      <c r="CM1088" s="229">
        <v>-2.0000864330039119</v>
      </c>
      <c r="CN1088" s="229">
        <f>BJ1088/(10^CM1088)</f>
        <v>6.4012738505728963</v>
      </c>
      <c r="CO1088" s="47" t="s">
        <v>2488</v>
      </c>
      <c r="CP1088" s="47" t="s">
        <v>2489</v>
      </c>
      <c r="CQ1088" s="224">
        <v>-1.5219514454305072</v>
      </c>
      <c r="CR1088" s="224">
        <f t="shared" si="299"/>
        <v>33.262236369295856</v>
      </c>
      <c r="CS1088" s="230" t="s">
        <v>539</v>
      </c>
      <c r="CT1088" s="230"/>
      <c r="CU1088" s="230"/>
      <c r="CV1088" s="335">
        <f t="shared" si="294"/>
        <v>3.8819875776397512</v>
      </c>
      <c r="CW1088" s="230">
        <f t="shared" si="301"/>
        <v>1</v>
      </c>
      <c r="CX1088" s="336"/>
      <c r="CY1088" s="230" t="s">
        <v>5921</v>
      </c>
    </row>
    <row r="1089" spans="1:103" ht="11.25" customHeight="1" x14ac:dyDescent="0.2">
      <c r="A1089" s="72">
        <v>1087</v>
      </c>
      <c r="B1089" s="224">
        <v>950</v>
      </c>
      <c r="C1089" s="46" t="s">
        <v>7248</v>
      </c>
      <c r="D1089" s="46"/>
      <c r="E1089" s="114"/>
      <c r="F1089" s="114" t="s">
        <v>2714</v>
      </c>
      <c r="G1089" s="225">
        <v>149304</v>
      </c>
      <c r="H1089" s="47" t="s">
        <v>2715</v>
      </c>
      <c r="I1089" s="47" t="s">
        <v>8045</v>
      </c>
      <c r="J1089" s="47" t="s">
        <v>2716</v>
      </c>
      <c r="K1089" s="47" t="s">
        <v>2717</v>
      </c>
      <c r="L1089" s="47" t="s">
        <v>5527</v>
      </c>
      <c r="M1089" s="47" t="s">
        <v>6082</v>
      </c>
      <c r="N1089" s="47" t="s">
        <v>6082</v>
      </c>
      <c r="O1089" s="47" t="s">
        <v>6083</v>
      </c>
      <c r="P1089" s="53"/>
      <c r="Q1089" s="53"/>
      <c r="R1089" s="53"/>
      <c r="S1089" s="53"/>
      <c r="T1089" s="48">
        <v>167.25</v>
      </c>
      <c r="U1089" s="98">
        <v>0.71748878923766812</v>
      </c>
      <c r="V1089" s="98">
        <v>3.2490284005979073</v>
      </c>
      <c r="W1089" s="98">
        <v>2.8183829312644524</v>
      </c>
      <c r="X1089" s="98">
        <v>0.71748878923766812</v>
      </c>
      <c r="Y1089" s="233">
        <v>4.16</v>
      </c>
      <c r="Z1089" s="48">
        <v>2.86</v>
      </c>
      <c r="AA1089" s="48">
        <v>2.42</v>
      </c>
      <c r="AB1089" s="48">
        <v>2.3199999999999998</v>
      </c>
      <c r="AC1089" s="48">
        <v>0.88109999999999999</v>
      </c>
      <c r="AD1089" s="48">
        <v>2.34</v>
      </c>
      <c r="AE1089" s="48">
        <v>2.41</v>
      </c>
      <c r="AF1089" s="48">
        <f t="shared" si="300"/>
        <v>2.42</v>
      </c>
      <c r="AG1089" s="49">
        <v>3.1</v>
      </c>
      <c r="AH1089" s="98">
        <v>3.6300000000000001E-8</v>
      </c>
      <c r="AI1089" s="98"/>
      <c r="AJ1089" s="483">
        <f t="shared" si="298"/>
        <v>-5.8286597012765391</v>
      </c>
      <c r="AK1089" s="483"/>
      <c r="AL1089" s="483">
        <f t="shared" si="297"/>
        <v>-5.8286597012765391</v>
      </c>
      <c r="AM1089" s="483">
        <v>-7.5212000000000003</v>
      </c>
      <c r="AN1089" s="226">
        <v>-5.35</v>
      </c>
      <c r="AO1089" s="484"/>
      <c r="AP1089" s="484">
        <v>6.51</v>
      </c>
      <c r="AQ1089" s="48" t="s">
        <v>6311</v>
      </c>
      <c r="AR1089" s="48" t="s">
        <v>6311</v>
      </c>
      <c r="AS1089" s="227"/>
      <c r="AT1089" s="50" t="s">
        <v>266</v>
      </c>
      <c r="AU1089" s="48">
        <v>6</v>
      </c>
      <c r="AV1089" s="48">
        <v>120</v>
      </c>
      <c r="AW1089" s="48">
        <v>114</v>
      </c>
      <c r="AX1089" s="48">
        <v>28</v>
      </c>
      <c r="AY1089" s="48" t="s">
        <v>8728</v>
      </c>
      <c r="AZ1089" s="48" t="s">
        <v>1563</v>
      </c>
      <c r="BA1089" s="48">
        <v>32</v>
      </c>
      <c r="BB1089" s="47" t="s">
        <v>2485</v>
      </c>
      <c r="BC1089" s="47" t="s">
        <v>8726</v>
      </c>
      <c r="BD1089" s="47" t="s">
        <v>8374</v>
      </c>
      <c r="BE1089" s="48" t="s">
        <v>2449</v>
      </c>
      <c r="BF1089" s="48" t="s">
        <v>272</v>
      </c>
      <c r="BG1089" s="48" t="s">
        <v>272</v>
      </c>
      <c r="BH1089" s="48" t="s">
        <v>2486</v>
      </c>
      <c r="BI1089" s="98">
        <v>6.3999999999999997E-6</v>
      </c>
      <c r="BJ1089" s="98">
        <v>6.4000000000000001E-2</v>
      </c>
      <c r="BK1089" s="48"/>
      <c r="BL1089" s="98">
        <f t="shared" si="295"/>
        <v>0.13875032210551053</v>
      </c>
      <c r="BM1089" s="47" t="s">
        <v>2487</v>
      </c>
      <c r="BN1089" s="48"/>
      <c r="BO1089" s="48"/>
      <c r="BP1089" s="48"/>
      <c r="BQ1089" s="48"/>
      <c r="BR1089" s="47" t="s">
        <v>2496</v>
      </c>
      <c r="BS1089" s="48"/>
      <c r="BT1089" s="48"/>
      <c r="BU1089" s="228">
        <v>6.4000000000000001E-2</v>
      </c>
      <c r="BV1089" s="48"/>
      <c r="BW1089" s="48"/>
      <c r="BX1089" s="48"/>
      <c r="BY1089" s="48"/>
      <c r="BZ1089" s="48"/>
      <c r="CA1089" s="48"/>
      <c r="CB1089" s="48"/>
      <c r="CC1089" s="48"/>
      <c r="CD1089" s="48"/>
      <c r="CE1089" s="48"/>
      <c r="CF1089" s="48"/>
      <c r="CG1089" s="48"/>
      <c r="CH1089" s="48"/>
      <c r="CI1089" s="98"/>
      <c r="CJ1089" s="98"/>
      <c r="CK1089" s="49">
        <f t="shared" si="291"/>
        <v>2.1679737828986019</v>
      </c>
      <c r="CL1089" s="229"/>
      <c r="CM1089" s="229"/>
      <c r="CN1089" s="229"/>
      <c r="CO1089" s="47" t="s">
        <v>2488</v>
      </c>
      <c r="CP1089" s="47" t="s">
        <v>2489</v>
      </c>
      <c r="CQ1089" s="224">
        <v>-1.963873131225097</v>
      </c>
      <c r="CR1089" s="224">
        <f t="shared" si="299"/>
        <v>92.018072363433177</v>
      </c>
      <c r="CS1089" s="230" t="s">
        <v>539</v>
      </c>
      <c r="CT1089" s="230"/>
      <c r="CU1089" s="230"/>
      <c r="CV1089" s="335">
        <f t="shared" si="294"/>
        <v>11.210762331838565</v>
      </c>
      <c r="CW1089" s="230">
        <f t="shared" si="301"/>
        <v>1</v>
      </c>
      <c r="CX1089" s="336"/>
      <c r="CY1089" s="230" t="s">
        <v>6351</v>
      </c>
    </row>
    <row r="1090" spans="1:103" ht="11.25" customHeight="1" x14ac:dyDescent="0.2">
      <c r="A1090" s="72">
        <v>1088</v>
      </c>
      <c r="B1090" s="224">
        <v>1398</v>
      </c>
      <c r="C1090" s="46" t="s">
        <v>7249</v>
      </c>
      <c r="D1090" s="46"/>
      <c r="E1090" s="114"/>
      <c r="F1090" s="114" t="s">
        <v>4310</v>
      </c>
      <c r="G1090" s="225">
        <v>149575</v>
      </c>
      <c r="H1090" s="47" t="s">
        <v>4311</v>
      </c>
      <c r="I1090" s="47" t="s">
        <v>4311</v>
      </c>
      <c r="J1090" s="47" t="s">
        <v>4312</v>
      </c>
      <c r="K1090" s="47" t="s">
        <v>426</v>
      </c>
      <c r="L1090" s="47"/>
      <c r="M1090" s="47"/>
      <c r="N1090" s="47"/>
      <c r="O1090" s="47"/>
      <c r="P1090" s="53"/>
      <c r="Q1090" s="53"/>
      <c r="R1090" s="53"/>
      <c r="S1090" s="53"/>
      <c r="T1090" s="48">
        <v>144.21</v>
      </c>
      <c r="U1090" s="98">
        <v>13.868663754247278</v>
      </c>
      <c r="V1090" s="98">
        <v>7.7040427154843627</v>
      </c>
      <c r="W1090" s="98">
        <v>14.454397707459272</v>
      </c>
      <c r="X1090" s="98">
        <v>13.868663754247278</v>
      </c>
      <c r="Y1090" s="233">
        <v>3.33</v>
      </c>
      <c r="Z1090" s="48">
        <v>2.96</v>
      </c>
      <c r="AA1090" s="48">
        <v>2.64</v>
      </c>
      <c r="AB1090" s="48">
        <v>2.64</v>
      </c>
      <c r="AC1090" s="48">
        <v>0.93820000000000003</v>
      </c>
      <c r="AD1090" s="48">
        <v>2.65</v>
      </c>
      <c r="AE1090" s="48">
        <v>2.72</v>
      </c>
      <c r="AF1090" s="48">
        <f t="shared" si="300"/>
        <v>2.64</v>
      </c>
      <c r="AG1090" s="49">
        <v>2.3199999999999998</v>
      </c>
      <c r="AH1090" s="98">
        <v>3.0000000000000001E-6</v>
      </c>
      <c r="AI1090" s="98">
        <v>2.8499999999999998E-6</v>
      </c>
      <c r="AJ1090" s="483">
        <f t="shared" si="298"/>
        <v>-3.9114450715929894</v>
      </c>
      <c r="AK1090" s="483">
        <f>LOG10(AI1090*1000/(0.08206*298.15))</f>
        <v>-3.9337214663041418</v>
      </c>
      <c r="AL1090" s="483">
        <f t="shared" si="297"/>
        <v>-3.9337214663041418</v>
      </c>
      <c r="AM1090" s="483">
        <v>-5.7235100000000001</v>
      </c>
      <c r="AN1090" s="226">
        <v>-3.88</v>
      </c>
      <c r="AO1090" s="484">
        <v>4.82</v>
      </c>
      <c r="AP1090" s="484"/>
      <c r="AQ1090" s="48" t="s">
        <v>6311</v>
      </c>
      <c r="AR1090" s="48" t="s">
        <v>6311</v>
      </c>
      <c r="AS1090" s="227"/>
      <c r="AT1090" s="50" t="s">
        <v>266</v>
      </c>
      <c r="AU1090" s="48">
        <v>6</v>
      </c>
      <c r="AV1090" s="48">
        <v>120</v>
      </c>
      <c r="AW1090" s="48">
        <v>114</v>
      </c>
      <c r="AX1090" s="48">
        <v>28</v>
      </c>
      <c r="AY1090" s="48" t="s">
        <v>8728</v>
      </c>
      <c r="AZ1090" s="48" t="s">
        <v>1563</v>
      </c>
      <c r="BA1090" s="48">
        <v>32</v>
      </c>
      <c r="BB1090" s="47" t="s">
        <v>2485</v>
      </c>
      <c r="BC1090" s="47" t="s">
        <v>8726</v>
      </c>
      <c r="BD1090" s="47" t="s">
        <v>8374</v>
      </c>
      <c r="BE1090" s="48" t="s">
        <v>2449</v>
      </c>
      <c r="BF1090" s="48" t="s">
        <v>272</v>
      </c>
      <c r="BG1090" s="48" t="s">
        <v>272</v>
      </c>
      <c r="BH1090" s="48" t="s">
        <v>2486</v>
      </c>
      <c r="BI1090" s="98">
        <v>6.3999999999999997E-6</v>
      </c>
      <c r="BJ1090" s="98">
        <v>6.4000000000000001E-2</v>
      </c>
      <c r="BK1090" s="48"/>
      <c r="BL1090" s="98">
        <f t="shared" si="295"/>
        <v>0.11282984720039825</v>
      </c>
      <c r="BM1090" s="47" t="s">
        <v>2487</v>
      </c>
      <c r="BN1090" s="48"/>
      <c r="BO1090" s="48"/>
      <c r="BP1090" s="48"/>
      <c r="BQ1090" s="48"/>
      <c r="BR1090" s="47" t="s">
        <v>2496</v>
      </c>
      <c r="BS1090" s="48"/>
      <c r="BT1090" s="48"/>
      <c r="BU1090" s="228"/>
      <c r="BV1090" s="48"/>
      <c r="BW1090" s="48"/>
      <c r="BX1090" s="48"/>
      <c r="BY1090" s="48"/>
      <c r="BZ1090" s="48"/>
      <c r="CA1090" s="48"/>
      <c r="CB1090" s="48"/>
      <c r="CC1090" s="48"/>
      <c r="CD1090" s="48"/>
      <c r="CE1090" s="48"/>
      <c r="CF1090" s="48"/>
      <c r="CG1090" s="48"/>
      <c r="CH1090" s="48"/>
      <c r="CI1090" s="98"/>
      <c r="CJ1090" s="98"/>
      <c r="CK1090" s="49">
        <f t="shared" si="291"/>
        <v>1.7629663625062226</v>
      </c>
      <c r="CL1090" s="229"/>
      <c r="CM1090" s="229"/>
      <c r="CN1090" s="229"/>
      <c r="CO1090" s="47" t="s">
        <v>2488</v>
      </c>
      <c r="CP1090" s="47" t="s">
        <v>2489</v>
      </c>
      <c r="CQ1090" s="224" t="s">
        <v>272</v>
      </c>
      <c r="CR1090" s="224"/>
      <c r="CS1090" s="230" t="s">
        <v>539</v>
      </c>
      <c r="CT1090" s="230"/>
      <c r="CU1090" s="230"/>
      <c r="CV1090" s="335">
        <f t="shared" si="294"/>
        <v>216.69787116011372</v>
      </c>
      <c r="CW1090" s="230">
        <f t="shared" si="301"/>
        <v>1</v>
      </c>
      <c r="CX1090" s="336"/>
      <c r="CY1090" s="230" t="s">
        <v>6351</v>
      </c>
    </row>
    <row r="1091" spans="1:103" ht="11.25" customHeight="1" x14ac:dyDescent="0.2">
      <c r="A1091" s="72">
        <v>1089</v>
      </c>
      <c r="B1091" s="224">
        <v>1449</v>
      </c>
      <c r="C1091" s="46" t="s">
        <v>7250</v>
      </c>
      <c r="D1091" s="46"/>
      <c r="E1091" s="114"/>
      <c r="F1091" s="114" t="s">
        <v>4456</v>
      </c>
      <c r="G1091" s="225">
        <v>150130</v>
      </c>
      <c r="H1091" s="47" t="s">
        <v>4457</v>
      </c>
      <c r="I1091" s="47" t="s">
        <v>4457</v>
      </c>
      <c r="J1091" s="47" t="s">
        <v>4458</v>
      </c>
      <c r="K1091" s="47" t="s">
        <v>1573</v>
      </c>
      <c r="L1091" s="47"/>
      <c r="M1091" s="47"/>
      <c r="N1091" s="47"/>
      <c r="O1091" s="47"/>
      <c r="P1091" s="53"/>
      <c r="Q1091" s="53"/>
      <c r="R1091" s="53"/>
      <c r="S1091" s="53"/>
      <c r="T1091" s="48">
        <v>137.13999999999999</v>
      </c>
      <c r="U1091" s="98">
        <v>44.553011521073358</v>
      </c>
      <c r="V1091" s="98">
        <v>122.72130669388947</v>
      </c>
      <c r="W1091" s="98">
        <v>51.286138399136455</v>
      </c>
      <c r="X1091" s="98">
        <v>44.553011521073358</v>
      </c>
      <c r="Y1091" s="233">
        <v>3.71</v>
      </c>
      <c r="Z1091" s="48">
        <v>0.96</v>
      </c>
      <c r="AA1091" s="48">
        <v>0.83</v>
      </c>
      <c r="AB1091" s="48">
        <v>0.89</v>
      </c>
      <c r="AC1091" s="48">
        <v>0.90429999999999999</v>
      </c>
      <c r="AD1091" s="48">
        <v>0.88</v>
      </c>
      <c r="AE1091" s="48">
        <v>0.83</v>
      </c>
      <c r="AF1091" s="48">
        <f t="shared" si="300"/>
        <v>0.83</v>
      </c>
      <c r="AG1091" s="49">
        <v>0.75</v>
      </c>
      <c r="AH1091" s="98">
        <v>3.83E-11</v>
      </c>
      <c r="AI1091" s="98"/>
      <c r="AJ1091" s="483">
        <f t="shared" si="298"/>
        <v>-8.8053675523440287</v>
      </c>
      <c r="AK1091" s="483"/>
      <c r="AL1091" s="483">
        <f t="shared" si="297"/>
        <v>-8.8053675523440287</v>
      </c>
      <c r="AM1091" s="483">
        <v>-11.594949999999999</v>
      </c>
      <c r="AN1091" s="226">
        <v>-8.9600000000000009</v>
      </c>
      <c r="AO1091" s="484">
        <v>4.8600000000000003</v>
      </c>
      <c r="AP1091" s="484">
        <v>2.5099999999999998</v>
      </c>
      <c r="AQ1091" s="48" t="s">
        <v>6311</v>
      </c>
      <c r="AR1091" s="48" t="s">
        <v>6311</v>
      </c>
      <c r="AS1091" s="227"/>
      <c r="AT1091" s="50" t="s">
        <v>266</v>
      </c>
      <c r="AU1091" s="48">
        <v>6</v>
      </c>
      <c r="AV1091" s="48">
        <v>120</v>
      </c>
      <c r="AW1091" s="48">
        <v>114</v>
      </c>
      <c r="AX1091" s="48">
        <v>28</v>
      </c>
      <c r="AY1091" s="48" t="s">
        <v>8728</v>
      </c>
      <c r="AZ1091" s="48" t="s">
        <v>1563</v>
      </c>
      <c r="BA1091" s="48">
        <v>32</v>
      </c>
      <c r="BB1091" s="47" t="s">
        <v>2485</v>
      </c>
      <c r="BC1091" s="47" t="s">
        <v>8726</v>
      </c>
      <c r="BD1091" s="47" t="s">
        <v>8374</v>
      </c>
      <c r="BE1091" s="48" t="s">
        <v>2449</v>
      </c>
      <c r="BF1091" s="48" t="s">
        <v>272</v>
      </c>
      <c r="BG1091" s="48" t="s">
        <v>272</v>
      </c>
      <c r="BH1091" s="48" t="s">
        <v>2486</v>
      </c>
      <c r="BI1091" s="98">
        <v>6.3999999999999997E-6</v>
      </c>
      <c r="BJ1091" s="98">
        <v>6.4000000000000001E-2</v>
      </c>
      <c r="BK1091" s="48"/>
      <c r="BL1091" s="98">
        <f t="shared" si="295"/>
        <v>7.057063089426495</v>
      </c>
      <c r="BM1091" s="47" t="s">
        <v>2487</v>
      </c>
      <c r="BN1091" s="48"/>
      <c r="BO1091" s="48"/>
      <c r="BP1091" s="48"/>
      <c r="BQ1091" s="48"/>
      <c r="BR1091" s="47" t="s">
        <v>2496</v>
      </c>
      <c r="BS1091" s="48"/>
      <c r="BT1091" s="48"/>
      <c r="BU1091" s="228"/>
      <c r="BV1091" s="48"/>
      <c r="BW1091" s="48"/>
      <c r="BX1091" s="48"/>
      <c r="BY1091" s="48"/>
      <c r="BZ1091" s="48"/>
      <c r="CA1091" s="48"/>
      <c r="CB1091" s="48"/>
      <c r="CC1091" s="48"/>
      <c r="CD1091" s="48"/>
      <c r="CE1091" s="48"/>
      <c r="CF1091" s="48"/>
      <c r="CG1091" s="48"/>
      <c r="CH1091" s="48"/>
      <c r="CI1091" s="98"/>
      <c r="CJ1091" s="98"/>
      <c r="CK1091" s="49">
        <f t="shared" si="291"/>
        <v>110.26661077228898</v>
      </c>
      <c r="CL1091" s="229"/>
      <c r="CM1091" s="229"/>
      <c r="CN1091" s="229"/>
      <c r="CO1091" s="47" t="s">
        <v>2488</v>
      </c>
      <c r="CP1091" s="47" t="s">
        <v>2489</v>
      </c>
      <c r="CQ1091" s="224" t="s">
        <v>272</v>
      </c>
      <c r="CR1091" s="224"/>
      <c r="CS1091" s="230" t="s">
        <v>539</v>
      </c>
      <c r="CT1091" s="230"/>
      <c r="CU1091" s="230"/>
      <c r="CV1091" s="335">
        <f t="shared" si="294"/>
        <v>696.1408050167712</v>
      </c>
      <c r="CW1091" s="230">
        <f t="shared" si="301"/>
        <v>1</v>
      </c>
      <c r="CX1091" s="336"/>
      <c r="CY1091" s="230" t="s">
        <v>6351</v>
      </c>
    </row>
    <row r="1092" spans="1:103" ht="11.25" customHeight="1" x14ac:dyDescent="0.2">
      <c r="A1092" s="72">
        <v>1090</v>
      </c>
      <c r="B1092" s="224">
        <v>1197</v>
      </c>
      <c r="C1092" s="46" t="s">
        <v>7251</v>
      </c>
      <c r="D1092" s="46"/>
      <c r="E1092" s="114"/>
      <c r="F1092" s="114" t="s">
        <v>3301</v>
      </c>
      <c r="G1092" s="225">
        <v>150685</v>
      </c>
      <c r="H1092" s="47" t="s">
        <v>3302</v>
      </c>
      <c r="I1092" s="47" t="s">
        <v>8046</v>
      </c>
      <c r="J1092" s="47" t="s">
        <v>3303</v>
      </c>
      <c r="K1092" s="47" t="s">
        <v>1292</v>
      </c>
      <c r="L1092" s="47" t="s">
        <v>6132</v>
      </c>
      <c r="M1092" s="47" t="s">
        <v>5960</v>
      </c>
      <c r="N1092" s="47"/>
      <c r="O1092" s="47"/>
      <c r="P1092" s="53"/>
      <c r="Q1092" s="53" t="s">
        <v>6173</v>
      </c>
      <c r="R1092" s="53" t="s">
        <v>6185</v>
      </c>
      <c r="S1092" s="53" t="s">
        <v>6176</v>
      </c>
      <c r="T1092" s="48">
        <v>198.65</v>
      </c>
      <c r="U1092" s="98">
        <v>1.1578152529574628</v>
      </c>
      <c r="V1092" s="98">
        <v>4.9322929775987916</v>
      </c>
      <c r="W1092" s="98">
        <v>1.4454397707459272</v>
      </c>
      <c r="X1092" s="98">
        <v>1.1578152529574628</v>
      </c>
      <c r="Y1092" s="233">
        <v>6.99</v>
      </c>
      <c r="Z1092" s="48">
        <v>2.0299999999999998</v>
      </c>
      <c r="AA1092" s="48">
        <v>1.94</v>
      </c>
      <c r="AB1092" s="48">
        <v>1.94</v>
      </c>
      <c r="AC1092" s="48">
        <v>0.88229999999999997</v>
      </c>
      <c r="AD1092" s="48">
        <v>1.93</v>
      </c>
      <c r="AE1092" s="48">
        <v>1.89</v>
      </c>
      <c r="AF1092" s="48">
        <f t="shared" si="300"/>
        <v>1.94</v>
      </c>
      <c r="AG1092" s="49">
        <v>1.86</v>
      </c>
      <c r="AH1092" s="98">
        <v>7.19E-10</v>
      </c>
      <c r="AI1092" s="98">
        <v>5.7199999999999999E-10</v>
      </c>
      <c r="AJ1092" s="483">
        <f t="shared" si="298"/>
        <v>-7.5318374359297691</v>
      </c>
      <c r="AK1092" s="483">
        <f>LOG10(AI1092*1000/(0.08206*298.15))</f>
        <v>-7.6311702975196276</v>
      </c>
      <c r="AL1092" s="483">
        <f t="shared" si="297"/>
        <v>-7.6311702975196276</v>
      </c>
      <c r="AM1092" s="483">
        <v>-11.172229999999999</v>
      </c>
      <c r="AN1092" s="226">
        <v>-7.79</v>
      </c>
      <c r="AO1092" s="484">
        <v>14.22</v>
      </c>
      <c r="AP1092" s="484">
        <v>-0.28999999999999998</v>
      </c>
      <c r="AQ1092" s="48" t="s">
        <v>6311</v>
      </c>
      <c r="AR1092" s="48" t="s">
        <v>6311</v>
      </c>
      <c r="AS1092" s="227"/>
      <c r="AT1092" s="50" t="s">
        <v>266</v>
      </c>
      <c r="AU1092" s="48">
        <v>6</v>
      </c>
      <c r="AV1092" s="48">
        <v>120</v>
      </c>
      <c r="AW1092" s="48">
        <v>114</v>
      </c>
      <c r="AX1092" s="48">
        <v>28</v>
      </c>
      <c r="AY1092" s="48" t="s">
        <v>8728</v>
      </c>
      <c r="AZ1092" s="48" t="s">
        <v>1563</v>
      </c>
      <c r="BA1092" s="48">
        <v>32</v>
      </c>
      <c r="BB1092" s="47" t="s">
        <v>2485</v>
      </c>
      <c r="BC1092" s="47" t="s">
        <v>8726</v>
      </c>
      <c r="BD1092" s="47" t="s">
        <v>8374</v>
      </c>
      <c r="BE1092" s="48" t="s">
        <v>2449</v>
      </c>
      <c r="BF1092" s="48" t="s">
        <v>272</v>
      </c>
      <c r="BG1092" s="48" t="s">
        <v>272</v>
      </c>
      <c r="BH1092" s="48" t="s">
        <v>2486</v>
      </c>
      <c r="BI1092" s="98">
        <v>6.3999999999999997E-6</v>
      </c>
      <c r="BJ1092" s="98">
        <v>6.4000000000000001E-2</v>
      </c>
      <c r="BK1092" s="48"/>
      <c r="BL1092" s="98">
        <f t="shared" si="295"/>
        <v>0.77207057317772498</v>
      </c>
      <c r="BM1092" s="47" t="s">
        <v>2487</v>
      </c>
      <c r="BN1092" s="48"/>
      <c r="BO1092" s="48"/>
      <c r="BP1092" s="48"/>
      <c r="BQ1092" s="48"/>
      <c r="BR1092" s="47" t="s">
        <v>2496</v>
      </c>
      <c r="BS1092" s="48"/>
      <c r="BT1092" s="48"/>
      <c r="BU1092" s="228">
        <v>6.3999999999999997E-5</v>
      </c>
      <c r="BV1092" s="48"/>
      <c r="BW1092" s="48"/>
      <c r="BX1092" s="48"/>
      <c r="BY1092" s="48"/>
      <c r="BZ1092" s="48"/>
      <c r="CA1092" s="48"/>
      <c r="CB1092" s="48"/>
      <c r="CC1092" s="48"/>
      <c r="CD1092" s="48"/>
      <c r="CE1092" s="48"/>
      <c r="CF1092" s="48"/>
      <c r="CG1092" s="48"/>
      <c r="CH1092" s="48"/>
      <c r="CI1092" s="98"/>
      <c r="CJ1092" s="98"/>
      <c r="CK1092" s="49">
        <f t="shared" si="291"/>
        <v>12.063602705901953</v>
      </c>
      <c r="CL1092" s="229"/>
      <c r="CM1092" s="229"/>
      <c r="CN1092" s="229"/>
      <c r="CO1092" s="47" t="s">
        <v>2488</v>
      </c>
      <c r="CP1092" s="47" t="s">
        <v>2489</v>
      </c>
      <c r="CQ1092" s="224">
        <v>-0.78623947633249258</v>
      </c>
      <c r="CR1092" s="224">
        <f>10^(CJ1092-CQ1092)</f>
        <v>6.1127900017622592</v>
      </c>
      <c r="CS1092" s="230" t="s">
        <v>539</v>
      </c>
      <c r="CT1092" s="230"/>
      <c r="CU1092" s="230"/>
      <c r="CV1092" s="335">
        <f t="shared" si="294"/>
        <v>18.090863327460355</v>
      </c>
      <c r="CW1092" s="230">
        <f t="shared" si="301"/>
        <v>1</v>
      </c>
      <c r="CX1092" s="336"/>
      <c r="CY1092" s="230" t="s">
        <v>5921</v>
      </c>
    </row>
    <row r="1093" spans="1:103" ht="11.25" customHeight="1" x14ac:dyDescent="0.2">
      <c r="A1093" s="72">
        <v>1091</v>
      </c>
      <c r="B1093" s="224">
        <v>1278</v>
      </c>
      <c r="C1093" s="46" t="s">
        <v>522</v>
      </c>
      <c r="D1093" s="46"/>
      <c r="E1093" s="114"/>
      <c r="F1093" s="114" t="s">
        <v>523</v>
      </c>
      <c r="G1093" s="225">
        <v>151213</v>
      </c>
      <c r="H1093" s="47" t="s">
        <v>524</v>
      </c>
      <c r="I1093" s="47" t="s">
        <v>524</v>
      </c>
      <c r="J1093" s="47" t="s">
        <v>525</v>
      </c>
      <c r="K1093" s="47" t="s">
        <v>426</v>
      </c>
      <c r="L1093" s="47" t="s">
        <v>6115</v>
      </c>
      <c r="M1093" s="47" t="s">
        <v>1884</v>
      </c>
      <c r="N1093" s="47" t="s">
        <v>526</v>
      </c>
      <c r="O1093" s="47" t="s">
        <v>281</v>
      </c>
      <c r="P1093" s="53"/>
      <c r="Q1093" s="53"/>
      <c r="R1093" s="53"/>
      <c r="S1093" s="53"/>
      <c r="T1093" s="48">
        <v>266.39999999999998</v>
      </c>
      <c r="U1093" s="98"/>
      <c r="V1093" s="98">
        <v>0.61448948948948945</v>
      </c>
      <c r="W1093" s="98">
        <v>158.48931924611131</v>
      </c>
      <c r="X1093" s="98">
        <f>IF(W1093=0,V1093,W1093)</f>
        <v>158.48931924611131</v>
      </c>
      <c r="Y1093" s="233">
        <v>0.8</v>
      </c>
      <c r="Z1093" s="48">
        <v>2.42</v>
      </c>
      <c r="AA1093" s="48"/>
      <c r="AB1093" s="48">
        <v>2.4300000000000002</v>
      </c>
      <c r="AC1093" s="48">
        <v>0.41520000000000001</v>
      </c>
      <c r="AD1093" s="48">
        <v>4.12</v>
      </c>
      <c r="AE1093" s="48">
        <v>5.39</v>
      </c>
      <c r="AF1093" s="48">
        <f t="shared" si="300"/>
        <v>4.12</v>
      </c>
      <c r="AG1093" s="49">
        <v>4.12</v>
      </c>
      <c r="AH1093" s="98">
        <v>1.8400000000000001E-7</v>
      </c>
      <c r="AI1093" s="98"/>
      <c r="AJ1093" s="483">
        <f t="shared" si="298"/>
        <v>-5.1237485033031156</v>
      </c>
      <c r="AK1093" s="483"/>
      <c r="AL1093" s="483">
        <f t="shared" si="297"/>
        <v>-5.1237485033031156</v>
      </c>
      <c r="AM1093" s="483">
        <v>-11.085739999999999</v>
      </c>
      <c r="AN1093" s="226"/>
      <c r="AO1093" s="484">
        <v>-3.29</v>
      </c>
      <c r="AP1093" s="484"/>
      <c r="AQ1093" s="48" t="s">
        <v>6311</v>
      </c>
      <c r="AR1093" s="48" t="s">
        <v>6311</v>
      </c>
      <c r="AS1093" s="227"/>
      <c r="AT1093" s="50" t="s">
        <v>266</v>
      </c>
      <c r="AU1093" s="48">
        <v>6</v>
      </c>
      <c r="AV1093" s="48">
        <v>120</v>
      </c>
      <c r="AW1093" s="48">
        <v>114</v>
      </c>
      <c r="AX1093" s="48">
        <v>28</v>
      </c>
      <c r="AY1093" s="48" t="s">
        <v>8728</v>
      </c>
      <c r="AZ1093" s="48" t="s">
        <v>1563</v>
      </c>
      <c r="BA1093" s="48">
        <v>32</v>
      </c>
      <c r="BB1093" s="47" t="s">
        <v>2485</v>
      </c>
      <c r="BC1093" s="47" t="s">
        <v>8726</v>
      </c>
      <c r="BD1093" s="47" t="s">
        <v>8374</v>
      </c>
      <c r="BE1093" s="48" t="s">
        <v>2449</v>
      </c>
      <c r="BF1093" s="48" t="s">
        <v>272</v>
      </c>
      <c r="BG1093" s="48" t="s">
        <v>272</v>
      </c>
      <c r="BH1093" s="48" t="s">
        <v>2486</v>
      </c>
      <c r="BI1093" s="98">
        <v>6.3999999999999997E-6</v>
      </c>
      <c r="BJ1093" s="98">
        <v>6.4000000000000001E-2</v>
      </c>
      <c r="BK1093" s="48"/>
      <c r="BL1093" s="98">
        <f t="shared" si="295"/>
        <v>0.34466564762417012</v>
      </c>
      <c r="BM1093" s="47" t="s">
        <v>2487</v>
      </c>
      <c r="BN1093" s="48"/>
      <c r="BO1093" s="48"/>
      <c r="BP1093" s="48"/>
      <c r="BQ1093" s="48"/>
      <c r="BR1093" s="47" t="s">
        <v>2496</v>
      </c>
      <c r="BS1093" s="48"/>
      <c r="BT1093" s="48"/>
      <c r="BU1093" s="228">
        <v>6.4000000000000001E-2</v>
      </c>
      <c r="BV1093" s="48"/>
      <c r="BW1093" s="48"/>
      <c r="BX1093" s="48"/>
      <c r="BY1093" s="48"/>
      <c r="BZ1093" s="48"/>
      <c r="CA1093" s="48"/>
      <c r="CB1093" s="48"/>
      <c r="CC1093" s="48"/>
      <c r="CD1093" s="48"/>
      <c r="CE1093" s="48"/>
      <c r="CF1093" s="48"/>
      <c r="CG1093" s="48"/>
      <c r="CH1093" s="48"/>
      <c r="CI1093" s="52" t="s">
        <v>6346</v>
      </c>
      <c r="CJ1093" s="98"/>
      <c r="CK1093" s="49">
        <f t="shared" si="291"/>
        <v>5.3854007441276579</v>
      </c>
      <c r="CL1093" s="229"/>
      <c r="CM1093" s="229">
        <v>-1.7723217067229196</v>
      </c>
      <c r="CN1093" s="229">
        <f>BJ1093/(10^CM1093)</f>
        <v>3.7887999999999984</v>
      </c>
      <c r="CO1093" s="47" t="s">
        <v>2488</v>
      </c>
      <c r="CP1093" s="47" t="s">
        <v>2489</v>
      </c>
      <c r="CQ1093" s="224">
        <v>-1.4111928510400207</v>
      </c>
      <c r="CR1093" s="224">
        <f>10^(CJ1093-CQ1093)</f>
        <v>25.774654417341285</v>
      </c>
      <c r="CS1093" s="230" t="s">
        <v>539</v>
      </c>
      <c r="CT1093" s="230"/>
      <c r="CU1093" s="230"/>
      <c r="CV1093" s="335">
        <f t="shared" si="294"/>
        <v>2476.3956132204889</v>
      </c>
      <c r="CW1093" s="230">
        <f t="shared" si="301"/>
        <v>1</v>
      </c>
      <c r="CX1093" s="336"/>
      <c r="CY1093" s="230" t="s">
        <v>6351</v>
      </c>
    </row>
    <row r="1094" spans="1:103" ht="11.25" customHeight="1" x14ac:dyDescent="0.2">
      <c r="A1094" s="72">
        <v>1092</v>
      </c>
      <c r="B1094" s="224">
        <v>1485</v>
      </c>
      <c r="C1094" s="46" t="s">
        <v>7252</v>
      </c>
      <c r="D1094" s="46"/>
      <c r="E1094" s="114"/>
      <c r="F1094" s="114" t="s">
        <v>4564</v>
      </c>
      <c r="G1094" s="225">
        <v>208968</v>
      </c>
      <c r="H1094" s="47" t="s">
        <v>4565</v>
      </c>
      <c r="I1094" s="47" t="s">
        <v>4565</v>
      </c>
      <c r="J1094" s="47" t="s">
        <v>4566</v>
      </c>
      <c r="K1094" s="47" t="s">
        <v>426</v>
      </c>
      <c r="L1094" s="47"/>
      <c r="M1094" s="47"/>
      <c r="N1094" s="47"/>
      <c r="O1094" s="47"/>
      <c r="P1094" s="53"/>
      <c r="Q1094" s="53"/>
      <c r="R1094" s="53"/>
      <c r="S1094" s="53"/>
      <c r="T1094" s="48">
        <v>152.19</v>
      </c>
      <c r="U1094" s="98">
        <v>0.10578881661081543</v>
      </c>
      <c r="V1094" s="98">
        <v>1.6341415336093044E-2</v>
      </c>
      <c r="W1094" s="98">
        <v>1.071519305237606E-2</v>
      </c>
      <c r="X1094" s="98">
        <v>0.10578881661081543</v>
      </c>
      <c r="Y1094" s="233">
        <v>7</v>
      </c>
      <c r="Z1094" s="48">
        <v>3.94</v>
      </c>
      <c r="AA1094" s="48">
        <v>3.94</v>
      </c>
      <c r="AB1094" s="48">
        <v>3.77</v>
      </c>
      <c r="AC1094" s="48">
        <v>0.93089999999999995</v>
      </c>
      <c r="AD1094" s="48">
        <v>3.87</v>
      </c>
      <c r="AE1094" s="48">
        <v>4.2699999999999996</v>
      </c>
      <c r="AF1094" s="48">
        <f t="shared" si="300"/>
        <v>3.94</v>
      </c>
      <c r="AG1094" s="49">
        <v>3.46</v>
      </c>
      <c r="AH1094" s="98">
        <v>5.4799999999999997E-5</v>
      </c>
      <c r="AI1094" s="98">
        <v>1.1400000000000001E-4</v>
      </c>
      <c r="AJ1094" s="483">
        <f t="shared" si="298"/>
        <v>-2.6497857678282828</v>
      </c>
      <c r="AK1094" s="483">
        <f>LOG10(AI1094*1000/(0.08206*298.15))</f>
        <v>-2.3316614749761793</v>
      </c>
      <c r="AL1094" s="483">
        <f t="shared" si="297"/>
        <v>-2.3316614749761793</v>
      </c>
      <c r="AM1094" s="483">
        <v>-5.5162700000000005</v>
      </c>
      <c r="AN1094" s="226">
        <v>-2.98</v>
      </c>
      <c r="AO1094" s="484"/>
      <c r="AP1094" s="484"/>
      <c r="AQ1094" s="48" t="s">
        <v>6311</v>
      </c>
      <c r="AR1094" s="48" t="s">
        <v>6311</v>
      </c>
      <c r="AS1094" s="227"/>
      <c r="AT1094" s="50" t="s">
        <v>266</v>
      </c>
      <c r="AU1094" s="48">
        <v>6</v>
      </c>
      <c r="AV1094" s="48">
        <v>120</v>
      </c>
      <c r="AW1094" s="48">
        <v>114</v>
      </c>
      <c r="AX1094" s="48">
        <v>28</v>
      </c>
      <c r="AY1094" s="48" t="s">
        <v>8728</v>
      </c>
      <c r="AZ1094" s="48" t="s">
        <v>1563</v>
      </c>
      <c r="BA1094" s="48">
        <v>32</v>
      </c>
      <c r="BB1094" s="47" t="s">
        <v>2485</v>
      </c>
      <c r="BC1094" s="47" t="s">
        <v>8726</v>
      </c>
      <c r="BD1094" s="47" t="s">
        <v>8374</v>
      </c>
      <c r="BE1094" s="48" t="s">
        <v>2449</v>
      </c>
      <c r="BF1094" s="48" t="s">
        <v>272</v>
      </c>
      <c r="BG1094" s="48" t="s">
        <v>272</v>
      </c>
      <c r="BH1094" s="48" t="s">
        <v>2486</v>
      </c>
      <c r="BI1094" s="98">
        <v>6.3999999999999997E-6</v>
      </c>
      <c r="BJ1094" s="98">
        <v>6.4000000000000001E-2</v>
      </c>
      <c r="BK1094" s="48"/>
      <c r="BL1094" s="98">
        <f t="shared" si="295"/>
        <v>1.4869145116357126E-2</v>
      </c>
      <c r="BM1094" s="47" t="s">
        <v>2487</v>
      </c>
      <c r="BN1094" s="48"/>
      <c r="BO1094" s="48"/>
      <c r="BP1094" s="48"/>
      <c r="BQ1094" s="48"/>
      <c r="BR1094" s="47" t="s">
        <v>2496</v>
      </c>
      <c r="BS1094" s="48"/>
      <c r="BT1094" s="48"/>
      <c r="BU1094" s="228"/>
      <c r="BV1094" s="48"/>
      <c r="BW1094" s="48"/>
      <c r="BX1094" s="48"/>
      <c r="BY1094" s="48"/>
      <c r="BZ1094" s="48"/>
      <c r="CA1094" s="48"/>
      <c r="CB1094" s="48"/>
      <c r="CC1094" s="48"/>
      <c r="CD1094" s="48"/>
      <c r="CE1094" s="48"/>
      <c r="CF1094" s="48"/>
      <c r="CG1094" s="48"/>
      <c r="CH1094" s="48"/>
      <c r="CI1094" s="98"/>
      <c r="CJ1094" s="98"/>
      <c r="CK1094" s="49">
        <f t="shared" ref="CK1094:CK1157" si="302">BL1094/BJ1094</f>
        <v>0.23233039244308007</v>
      </c>
      <c r="CL1094" s="229"/>
      <c r="CM1094" s="229"/>
      <c r="CN1094" s="229"/>
      <c r="CO1094" s="47" t="s">
        <v>2488</v>
      </c>
      <c r="CP1094" s="47" t="s">
        <v>2489</v>
      </c>
      <c r="CQ1094" s="224" t="s">
        <v>272</v>
      </c>
      <c r="CR1094" s="224"/>
      <c r="CS1094" s="230" t="s">
        <v>539</v>
      </c>
      <c r="CT1094" s="230"/>
      <c r="CU1094" s="230"/>
      <c r="CV1094" s="335">
        <f t="shared" si="294"/>
        <v>1.6529502595439911</v>
      </c>
      <c r="CW1094" s="230">
        <f t="shared" si="301"/>
        <v>1</v>
      </c>
      <c r="CX1094" s="336"/>
      <c r="CY1094" s="230" t="s">
        <v>5921</v>
      </c>
    </row>
    <row r="1095" spans="1:103" ht="11.25" customHeight="1" x14ac:dyDescent="0.2">
      <c r="A1095" s="72">
        <v>1093</v>
      </c>
      <c r="B1095" s="224">
        <v>1520</v>
      </c>
      <c r="C1095" s="46" t="s">
        <v>2303</v>
      </c>
      <c r="D1095" s="46"/>
      <c r="E1095" s="114"/>
      <c r="F1095" s="114" t="s">
        <v>2304</v>
      </c>
      <c r="G1095" s="225">
        <v>271896</v>
      </c>
      <c r="H1095" s="47" t="s">
        <v>2305</v>
      </c>
      <c r="I1095" s="47" t="s">
        <v>2305</v>
      </c>
      <c r="J1095" s="47" t="s">
        <v>2306</v>
      </c>
      <c r="K1095" s="47" t="s">
        <v>426</v>
      </c>
      <c r="L1095" s="47" t="s">
        <v>6025</v>
      </c>
      <c r="M1095" s="47" t="s">
        <v>6088</v>
      </c>
      <c r="N1095" s="47"/>
      <c r="O1095" s="47" t="s">
        <v>6083</v>
      </c>
      <c r="P1095" s="53"/>
      <c r="Q1095" s="53" t="s">
        <v>6173</v>
      </c>
      <c r="R1095" s="53" t="s">
        <v>6185</v>
      </c>
      <c r="S1095" s="53" t="s">
        <v>6176</v>
      </c>
      <c r="T1095" s="48">
        <v>118.13</v>
      </c>
      <c r="U1095" s="98"/>
      <c r="V1095" s="98">
        <v>4.5272157792262755</v>
      </c>
      <c r="W1095" s="98">
        <v>3.1622776601683764</v>
      </c>
      <c r="X1095" s="98">
        <f>IF(W1095=0,V1095,W1095)</f>
        <v>3.1622776601683764</v>
      </c>
      <c r="Y1095" s="233">
        <v>7</v>
      </c>
      <c r="Z1095" s="48">
        <v>2.54</v>
      </c>
      <c r="AA1095" s="48">
        <v>2.67</v>
      </c>
      <c r="AB1095" s="48">
        <v>2.66</v>
      </c>
      <c r="AC1095" s="48">
        <v>0.84040000000000004</v>
      </c>
      <c r="AD1095" s="48">
        <v>2.66</v>
      </c>
      <c r="AE1095" s="48">
        <v>2.67</v>
      </c>
      <c r="AF1095" s="48">
        <f t="shared" si="300"/>
        <v>2.67</v>
      </c>
      <c r="AG1095" s="49">
        <v>2.34</v>
      </c>
      <c r="AH1095" s="98">
        <v>5.2499999999999997E-4</v>
      </c>
      <c r="AI1095" s="98"/>
      <c r="AJ1095" s="483">
        <f t="shared" si="298"/>
        <v>-1.668407022906695</v>
      </c>
      <c r="AK1095" s="483"/>
      <c r="AL1095" s="483">
        <f t="shared" si="297"/>
        <v>-1.668407022906695</v>
      </c>
      <c r="AM1095" s="483">
        <v>-3.99186</v>
      </c>
      <c r="AN1095" s="226">
        <v>-1.85</v>
      </c>
      <c r="AO1095" s="484"/>
      <c r="AP1095" s="484"/>
      <c r="AQ1095" s="48" t="s">
        <v>6311</v>
      </c>
      <c r="AR1095" s="48" t="s">
        <v>6311</v>
      </c>
      <c r="AS1095" s="227"/>
      <c r="AT1095" s="50" t="s">
        <v>266</v>
      </c>
      <c r="AU1095" s="48">
        <v>6</v>
      </c>
      <c r="AV1095" s="48">
        <v>120</v>
      </c>
      <c r="AW1095" s="48">
        <v>114</v>
      </c>
      <c r="AX1095" s="48">
        <v>28</v>
      </c>
      <c r="AY1095" s="48" t="s">
        <v>8728</v>
      </c>
      <c r="AZ1095" s="48" t="s">
        <v>1563</v>
      </c>
      <c r="BA1095" s="48">
        <v>32</v>
      </c>
      <c r="BB1095" s="47" t="s">
        <v>2485</v>
      </c>
      <c r="BC1095" s="47" t="s">
        <v>8726</v>
      </c>
      <c r="BD1095" s="47" t="s">
        <v>8374</v>
      </c>
      <c r="BE1095" s="48" t="s">
        <v>2449</v>
      </c>
      <c r="BF1095" s="48" t="s">
        <v>272</v>
      </c>
      <c r="BG1095" s="48" t="s">
        <v>272</v>
      </c>
      <c r="BH1095" s="48" t="s">
        <v>2486</v>
      </c>
      <c r="BI1095" s="98">
        <v>6.3999999999999997E-6</v>
      </c>
      <c r="BJ1095" s="98">
        <v>6.4000000000000001E-2</v>
      </c>
      <c r="BK1095" s="48"/>
      <c r="BL1095" s="98">
        <f t="shared" si="295"/>
        <v>0.26892179411918804</v>
      </c>
      <c r="BM1095" s="47" t="s">
        <v>2487</v>
      </c>
      <c r="BN1095" s="48"/>
      <c r="BO1095" s="48"/>
      <c r="BP1095" s="48"/>
      <c r="BQ1095" s="48"/>
      <c r="BR1095" s="47" t="s">
        <v>2496</v>
      </c>
      <c r="BS1095" s="48"/>
      <c r="BT1095" s="48"/>
      <c r="BU1095" s="228"/>
      <c r="BV1095" s="48"/>
      <c r="BW1095" s="48"/>
      <c r="BX1095" s="48"/>
      <c r="BY1095" s="48"/>
      <c r="BZ1095" s="48"/>
      <c r="CA1095" s="48"/>
      <c r="CB1095" s="48"/>
      <c r="CC1095" s="48"/>
      <c r="CD1095" s="48"/>
      <c r="CE1095" s="48"/>
      <c r="CF1095" s="48"/>
      <c r="CG1095" s="48"/>
      <c r="CH1095" s="48"/>
      <c r="CI1095" s="98"/>
      <c r="CJ1095" s="98"/>
      <c r="CK1095" s="49">
        <f t="shared" si="302"/>
        <v>4.2019030331123126</v>
      </c>
      <c r="CL1095" s="229"/>
      <c r="CM1095" s="229"/>
      <c r="CN1095" s="229"/>
      <c r="CO1095" s="47" t="s">
        <v>2488</v>
      </c>
      <c r="CP1095" s="47" t="s">
        <v>2489</v>
      </c>
      <c r="CQ1095" s="224">
        <v>-0.92778878599732184</v>
      </c>
      <c r="CR1095" s="224">
        <f>10^(CJ1095-CQ1095)</f>
        <v>8.4681547525208405</v>
      </c>
      <c r="CS1095" s="230" t="s">
        <v>539</v>
      </c>
      <c r="CT1095" s="230"/>
      <c r="CU1095" s="230"/>
      <c r="CV1095" s="335">
        <f t="shared" si="294"/>
        <v>49.41058844013088</v>
      </c>
      <c r="CW1095" s="230">
        <f t="shared" si="301"/>
        <v>1</v>
      </c>
      <c r="CX1095" s="336"/>
      <c r="CY1095" s="230" t="s">
        <v>5921</v>
      </c>
    </row>
    <row r="1096" spans="1:103" ht="11.25" customHeight="1" x14ac:dyDescent="0.2">
      <c r="A1096" s="72">
        <v>1094</v>
      </c>
      <c r="B1096" s="224">
        <v>1383</v>
      </c>
      <c r="C1096" s="46" t="s">
        <v>7253</v>
      </c>
      <c r="D1096" s="46"/>
      <c r="E1096" s="114"/>
      <c r="F1096" s="114" t="s">
        <v>4263</v>
      </c>
      <c r="G1096" s="225">
        <v>288880</v>
      </c>
      <c r="H1096" s="47" t="s">
        <v>4264</v>
      </c>
      <c r="I1096" s="47" t="s">
        <v>4264</v>
      </c>
      <c r="J1096" s="47" t="s">
        <v>4265</v>
      </c>
      <c r="K1096" s="47" t="s">
        <v>1112</v>
      </c>
      <c r="L1096" s="47"/>
      <c r="M1096" s="47"/>
      <c r="N1096" s="47"/>
      <c r="O1096" s="47"/>
      <c r="P1096" s="53"/>
      <c r="Q1096" s="53"/>
      <c r="R1096" s="53"/>
      <c r="S1096" s="53"/>
      <c r="T1096" s="48">
        <v>69.069999999999993</v>
      </c>
      <c r="U1096" s="98"/>
      <c r="V1096" s="98">
        <v>6144.491095989576</v>
      </c>
      <c r="W1096" s="98">
        <v>1230.2687708123817</v>
      </c>
      <c r="X1096" s="98">
        <f>IF(W1096=0,V1096,W1096)</f>
        <v>1230.2687708123817</v>
      </c>
      <c r="Y1096" s="233">
        <v>6.8</v>
      </c>
      <c r="Z1096" s="48">
        <v>-0.76</v>
      </c>
      <c r="AA1096" s="48">
        <v>-0.57999999999999996</v>
      </c>
      <c r="AB1096" s="48">
        <v>-0.49</v>
      </c>
      <c r="AC1096" s="48">
        <v>0.85319999999999996</v>
      </c>
      <c r="AD1096" s="48">
        <v>-0.51</v>
      </c>
      <c r="AE1096" s="48">
        <v>-0.57999999999999996</v>
      </c>
      <c r="AF1096" s="48">
        <f t="shared" si="300"/>
        <v>-0.57999999999999996</v>
      </c>
      <c r="AG1096" s="49">
        <v>-0.15</v>
      </c>
      <c r="AH1096" s="98">
        <v>1.53E-6</v>
      </c>
      <c r="AI1096" s="98"/>
      <c r="AJ1096" s="483">
        <f t="shared" si="298"/>
        <v>-4.2038748954950531</v>
      </c>
      <c r="AK1096" s="483"/>
      <c r="AL1096" s="483">
        <f t="shared" si="297"/>
        <v>-4.2038748954950531</v>
      </c>
      <c r="AM1096" s="483">
        <v>-7.7744099999999996</v>
      </c>
      <c r="AN1096" s="226">
        <v>-6.15</v>
      </c>
      <c r="AO1096" s="484">
        <v>10.49</v>
      </c>
      <c r="AP1096" s="484">
        <v>2.7</v>
      </c>
      <c r="AQ1096" s="48" t="s">
        <v>6311</v>
      </c>
      <c r="AR1096" s="48" t="s">
        <v>6311</v>
      </c>
      <c r="AS1096" s="227"/>
      <c r="AT1096" s="50" t="s">
        <v>266</v>
      </c>
      <c r="AU1096" s="48">
        <v>6</v>
      </c>
      <c r="AV1096" s="48">
        <v>120</v>
      </c>
      <c r="AW1096" s="48">
        <v>114</v>
      </c>
      <c r="AX1096" s="48">
        <v>28</v>
      </c>
      <c r="AY1096" s="48" t="s">
        <v>8728</v>
      </c>
      <c r="AZ1096" s="48" t="s">
        <v>1563</v>
      </c>
      <c r="BA1096" s="48">
        <v>32</v>
      </c>
      <c r="BB1096" s="47" t="s">
        <v>2485</v>
      </c>
      <c r="BC1096" s="47" t="s">
        <v>8726</v>
      </c>
      <c r="BD1096" s="47" t="s">
        <v>8374</v>
      </c>
      <c r="BE1096" s="48" t="s">
        <v>2449</v>
      </c>
      <c r="BF1096" s="48" t="s">
        <v>272</v>
      </c>
      <c r="BG1096" s="48" t="s">
        <v>272</v>
      </c>
      <c r="BH1096" s="48" t="s">
        <v>2486</v>
      </c>
      <c r="BI1096" s="98">
        <v>6.3999999999999997E-6</v>
      </c>
      <c r="BJ1096" s="98">
        <v>6.4000000000000001E-2</v>
      </c>
      <c r="BK1096" s="48"/>
      <c r="BL1096" s="98">
        <f t="shared" si="295"/>
        <v>247.37510981105564</v>
      </c>
      <c r="BM1096" s="47" t="s">
        <v>2487</v>
      </c>
      <c r="BN1096" s="48"/>
      <c r="BO1096" s="48"/>
      <c r="BP1096" s="48"/>
      <c r="BQ1096" s="48"/>
      <c r="BR1096" s="47" t="s">
        <v>2496</v>
      </c>
      <c r="BS1096" s="48"/>
      <c r="BT1096" s="48"/>
      <c r="BU1096" s="228"/>
      <c r="BV1096" s="48"/>
      <c r="BW1096" s="48"/>
      <c r="BX1096" s="48"/>
      <c r="BY1096" s="48"/>
      <c r="BZ1096" s="48"/>
      <c r="CA1096" s="48"/>
      <c r="CB1096" s="48"/>
      <c r="CC1096" s="48"/>
      <c r="CD1096" s="48"/>
      <c r="CE1096" s="48"/>
      <c r="CF1096" s="48"/>
      <c r="CG1096" s="48"/>
      <c r="CH1096" s="48"/>
      <c r="CI1096" s="52" t="s">
        <v>6347</v>
      </c>
      <c r="CJ1096" s="98"/>
      <c r="CK1096" s="49">
        <f t="shared" si="302"/>
        <v>3865.2360907977441</v>
      </c>
      <c r="CL1096" s="229"/>
      <c r="CM1096" s="229"/>
      <c r="CN1096" s="229"/>
      <c r="CO1096" s="47" t="s">
        <v>2488</v>
      </c>
      <c r="CP1096" s="47" t="s">
        <v>2489</v>
      </c>
      <c r="CQ1096" s="224" t="s">
        <v>272</v>
      </c>
      <c r="CR1096" s="224"/>
      <c r="CS1096" s="230" t="s">
        <v>539</v>
      </c>
      <c r="CT1096" s="230"/>
      <c r="CU1096" s="230"/>
      <c r="CV1096" s="335">
        <f t="shared" si="294"/>
        <v>19222.949543943465</v>
      </c>
      <c r="CW1096" s="230">
        <f t="shared" si="301"/>
        <v>1</v>
      </c>
      <c r="CX1096" s="336"/>
      <c r="CY1096" s="230" t="s">
        <v>6351</v>
      </c>
    </row>
    <row r="1097" spans="1:103" ht="11.25" customHeight="1" x14ac:dyDescent="0.2">
      <c r="A1097" s="72">
        <v>1095</v>
      </c>
      <c r="B1097" s="224">
        <v>422</v>
      </c>
      <c r="C1097" s="46" t="s">
        <v>7254</v>
      </c>
      <c r="D1097" s="46"/>
      <c r="E1097" s="114"/>
      <c r="F1097" s="114" t="s">
        <v>625</v>
      </c>
      <c r="G1097" s="225">
        <v>298000</v>
      </c>
      <c r="H1097" s="47" t="s">
        <v>626</v>
      </c>
      <c r="I1097" s="47" t="s">
        <v>8047</v>
      </c>
      <c r="J1097" s="47" t="s">
        <v>627</v>
      </c>
      <c r="K1097" s="47" t="s">
        <v>628</v>
      </c>
      <c r="L1097" s="47" t="s">
        <v>617</v>
      </c>
      <c r="M1097" s="47" t="s">
        <v>946</v>
      </c>
      <c r="N1097" s="47"/>
      <c r="O1097" s="47" t="s">
        <v>918</v>
      </c>
      <c r="P1097" s="53"/>
      <c r="Q1097" s="53"/>
      <c r="R1097" s="53"/>
      <c r="S1097" s="53"/>
      <c r="T1097" s="48">
        <v>263.20999999999998</v>
      </c>
      <c r="U1097" s="98">
        <v>0.14323164013525325</v>
      </c>
      <c r="V1097" s="98">
        <v>0.11154591390904602</v>
      </c>
      <c r="W1097" s="98">
        <v>0.12882495516931314</v>
      </c>
      <c r="X1097" s="98">
        <v>0.14323164013525325</v>
      </c>
      <c r="Y1097" s="233">
        <v>7</v>
      </c>
      <c r="Z1097" s="48">
        <v>2.75</v>
      </c>
      <c r="AA1097" s="48">
        <v>2.86</v>
      </c>
      <c r="AB1097" s="48">
        <v>2.99</v>
      </c>
      <c r="AC1097" s="48">
        <v>0.88990000000000002</v>
      </c>
      <c r="AD1097" s="48">
        <v>2.94</v>
      </c>
      <c r="AE1097" s="48">
        <v>2.78</v>
      </c>
      <c r="AF1097" s="48">
        <f t="shared" si="300"/>
        <v>2.86</v>
      </c>
      <c r="AG1097" s="49">
        <v>2.27</v>
      </c>
      <c r="AH1097" s="98">
        <v>1.68E-7</v>
      </c>
      <c r="AI1097" s="98">
        <v>9.9999999999999995E-8</v>
      </c>
      <c r="AJ1097" s="483">
        <f t="shared" si="298"/>
        <v>-5.1632570445867891</v>
      </c>
      <c r="AK1097" s="483">
        <f>LOG10(AI1097*1000/(0.08206*298.15))</f>
        <v>-5.3885663263126515</v>
      </c>
      <c r="AL1097" s="483">
        <f t="shared" si="297"/>
        <v>-5.3885663263126515</v>
      </c>
      <c r="AM1097" s="483">
        <v>-11.07649</v>
      </c>
      <c r="AN1097" s="226">
        <v>-4.5599999999999996</v>
      </c>
      <c r="AO1097" s="484"/>
      <c r="AP1097" s="484"/>
      <c r="AQ1097" s="226" t="s">
        <v>6314</v>
      </c>
      <c r="AR1097" s="226" t="s">
        <v>6314</v>
      </c>
      <c r="AS1097" s="224" t="s">
        <v>6</v>
      </c>
      <c r="AT1097" s="50" t="s">
        <v>266</v>
      </c>
      <c r="AU1097" s="48">
        <v>8</v>
      </c>
      <c r="AV1097" s="48">
        <v>144</v>
      </c>
      <c r="AW1097" s="48">
        <v>120</v>
      </c>
      <c r="AX1097" s="48">
        <v>26</v>
      </c>
      <c r="AY1097" s="48" t="s">
        <v>267</v>
      </c>
      <c r="AZ1097" s="48" t="s">
        <v>2253</v>
      </c>
      <c r="BA1097" s="48">
        <v>2</v>
      </c>
      <c r="BB1097" s="47" t="s">
        <v>2254</v>
      </c>
      <c r="BC1097" s="47" t="s">
        <v>270</v>
      </c>
      <c r="BD1097" s="47" t="s">
        <v>8374</v>
      </c>
      <c r="BE1097" s="48" t="s">
        <v>1712</v>
      </c>
      <c r="BF1097" s="48" t="s">
        <v>272</v>
      </c>
      <c r="BG1097" s="48" t="s">
        <v>272</v>
      </c>
      <c r="BH1097" s="48" t="s">
        <v>2255</v>
      </c>
      <c r="BI1097" s="98">
        <v>9.9999999999999995E-7</v>
      </c>
      <c r="BJ1097" s="98">
        <v>0.08</v>
      </c>
      <c r="BK1097" s="48"/>
      <c r="BL1097" s="98">
        <f t="shared" si="295"/>
        <v>0.17419071427411098</v>
      </c>
      <c r="BM1097" s="48" t="s">
        <v>891</v>
      </c>
      <c r="BN1097" s="233"/>
      <c r="BO1097" s="233"/>
      <c r="BP1097" s="233"/>
      <c r="BQ1097" s="233"/>
      <c r="BR1097" s="233"/>
      <c r="BS1097" s="234"/>
      <c r="BT1097" s="233"/>
      <c r="BU1097" s="235"/>
      <c r="BV1097" s="233"/>
      <c r="BW1097" s="233"/>
      <c r="BX1097" s="233"/>
      <c r="BY1097" s="233"/>
      <c r="BZ1097" s="233"/>
      <c r="CA1097" s="233"/>
      <c r="CB1097" s="233"/>
      <c r="CC1097" s="234"/>
      <c r="CD1097" s="48"/>
      <c r="CE1097" s="48"/>
      <c r="CF1097" s="48"/>
      <c r="CG1097" s="233"/>
      <c r="CH1097" s="48"/>
      <c r="CI1097" s="98"/>
      <c r="CJ1097" s="98"/>
      <c r="CK1097" s="49">
        <f t="shared" si="302"/>
        <v>2.1773839284263872</v>
      </c>
      <c r="CL1097" s="229"/>
      <c r="CM1097" s="229"/>
      <c r="CN1097" s="229"/>
      <c r="CO1097" s="47" t="s">
        <v>892</v>
      </c>
      <c r="CP1097" s="47" t="s">
        <v>893</v>
      </c>
      <c r="CQ1097" s="224">
        <v>-1.6656365883546269</v>
      </c>
      <c r="CR1097" s="224">
        <f t="shared" ref="CR1097:CR1103" si="303">10^(CJ1097-CQ1097)</f>
        <v>46.305927594226908</v>
      </c>
      <c r="CS1097" s="230" t="s">
        <v>539</v>
      </c>
      <c r="CT1097" s="230"/>
      <c r="CU1097" s="230"/>
      <c r="CV1097" s="335">
        <f t="shared" si="294"/>
        <v>1.7903955016906656</v>
      </c>
      <c r="CW1097" s="230">
        <f t="shared" si="301"/>
        <v>1</v>
      </c>
      <c r="CX1097" s="336" t="s">
        <v>539</v>
      </c>
      <c r="CY1097" s="230" t="s">
        <v>5921</v>
      </c>
    </row>
    <row r="1098" spans="1:103" ht="11.25" customHeight="1" x14ac:dyDescent="0.2">
      <c r="A1098" s="72">
        <v>1096</v>
      </c>
      <c r="B1098" s="224">
        <v>1738</v>
      </c>
      <c r="C1098" s="46" t="s">
        <v>7255</v>
      </c>
      <c r="D1098" s="46"/>
      <c r="E1098" s="114"/>
      <c r="F1098" s="114" t="s">
        <v>625</v>
      </c>
      <c r="G1098" s="225">
        <v>298000</v>
      </c>
      <c r="H1098" s="47" t="s">
        <v>626</v>
      </c>
      <c r="I1098" s="47" t="s">
        <v>8047</v>
      </c>
      <c r="J1098" s="47" t="s">
        <v>627</v>
      </c>
      <c r="K1098" s="47" t="s">
        <v>628</v>
      </c>
      <c r="L1098" s="47" t="s">
        <v>617</v>
      </c>
      <c r="M1098" s="47" t="s">
        <v>946</v>
      </c>
      <c r="N1098" s="47"/>
      <c r="O1098" s="47" t="s">
        <v>918</v>
      </c>
      <c r="P1098" s="53" t="s">
        <v>6178</v>
      </c>
      <c r="Q1098" s="53" t="s">
        <v>6176</v>
      </c>
      <c r="R1098" s="53" t="s">
        <v>6177</v>
      </c>
      <c r="S1098" s="53" t="s">
        <v>6179</v>
      </c>
      <c r="T1098" s="48">
        <v>263.20999999999998</v>
      </c>
      <c r="U1098" s="98">
        <v>0.14323164013525325</v>
      </c>
      <c r="V1098" s="98">
        <v>0.11154591390904602</v>
      </c>
      <c r="W1098" s="98">
        <v>0.12882495516931314</v>
      </c>
      <c r="X1098" s="98">
        <v>0.14323164013525325</v>
      </c>
      <c r="Y1098" s="233">
        <v>7</v>
      </c>
      <c r="Z1098" s="48">
        <v>2.75</v>
      </c>
      <c r="AA1098" s="48">
        <v>2.86</v>
      </c>
      <c r="AB1098" s="48">
        <v>2.99</v>
      </c>
      <c r="AC1098" s="48">
        <v>0.88990000000000002</v>
      </c>
      <c r="AD1098" s="48">
        <v>2.94</v>
      </c>
      <c r="AE1098" s="48">
        <v>2.78</v>
      </c>
      <c r="AF1098" s="48">
        <f t="shared" si="300"/>
        <v>2.86</v>
      </c>
      <c r="AG1098" s="49">
        <v>2.27</v>
      </c>
      <c r="AH1098" s="98">
        <v>1.68E-7</v>
      </c>
      <c r="AI1098" s="98">
        <v>9.9999999999999995E-8</v>
      </c>
      <c r="AJ1098" s="483">
        <f t="shared" si="298"/>
        <v>-5.1632570445867891</v>
      </c>
      <c r="AK1098" s="483">
        <f>LOG10(AI1098*1000/(0.08206*298.15))</f>
        <v>-5.3885663263126515</v>
      </c>
      <c r="AL1098" s="483">
        <f t="shared" si="297"/>
        <v>-5.3885663263126515</v>
      </c>
      <c r="AM1098" s="483">
        <v>-11.07649</v>
      </c>
      <c r="AN1098" s="226">
        <v>-4.5599999999999996</v>
      </c>
      <c r="AO1098" s="484"/>
      <c r="AP1098" s="484"/>
      <c r="AQ1098" s="226" t="s">
        <v>6314</v>
      </c>
      <c r="AR1098" s="226" t="s">
        <v>6314</v>
      </c>
      <c r="AS1098" s="224"/>
      <c r="AT1098" s="50" t="s">
        <v>266</v>
      </c>
      <c r="AU1098" s="48">
        <v>6</v>
      </c>
      <c r="AV1098" s="48">
        <v>120</v>
      </c>
      <c r="AW1098" s="48">
        <v>114</v>
      </c>
      <c r="AX1098" s="48">
        <v>28</v>
      </c>
      <c r="AY1098" s="48" t="s">
        <v>8728</v>
      </c>
      <c r="AZ1098" s="48" t="s">
        <v>1563</v>
      </c>
      <c r="BA1098" s="48">
        <v>32</v>
      </c>
      <c r="BB1098" s="47" t="s">
        <v>2485</v>
      </c>
      <c r="BC1098" s="47" t="s">
        <v>8726</v>
      </c>
      <c r="BD1098" s="47" t="s">
        <v>8374</v>
      </c>
      <c r="BE1098" s="48" t="s">
        <v>2449</v>
      </c>
      <c r="BF1098" s="48" t="s">
        <v>272</v>
      </c>
      <c r="BG1098" s="48" t="s">
        <v>272</v>
      </c>
      <c r="BH1098" s="48" t="s">
        <v>2486</v>
      </c>
      <c r="BI1098" s="98">
        <v>6.3999999999999997E-6</v>
      </c>
      <c r="BJ1098" s="98">
        <v>6.4000000000000001E-2</v>
      </c>
      <c r="BK1098" s="48"/>
      <c r="BL1098" s="98">
        <f t="shared" si="295"/>
        <v>0.17419071427411098</v>
      </c>
      <c r="BM1098" s="47" t="s">
        <v>2487</v>
      </c>
      <c r="BN1098" s="48"/>
      <c r="BO1098" s="48"/>
      <c r="BP1098" s="48"/>
      <c r="BQ1098" s="48"/>
      <c r="BR1098" s="47" t="s">
        <v>2496</v>
      </c>
      <c r="BS1098" s="48"/>
      <c r="BT1098" s="48"/>
      <c r="BU1098" s="228"/>
      <c r="BV1098" s="48"/>
      <c r="BW1098" s="48"/>
      <c r="BX1098" s="48"/>
      <c r="BY1098" s="48"/>
      <c r="BZ1098" s="48"/>
      <c r="CA1098" s="48"/>
      <c r="CB1098" s="48"/>
      <c r="CC1098" s="48"/>
      <c r="CD1098" s="48"/>
      <c r="CE1098" s="48"/>
      <c r="CF1098" s="48"/>
      <c r="CG1098" s="48"/>
      <c r="CH1098" s="48"/>
      <c r="CI1098" s="98"/>
      <c r="CJ1098" s="98"/>
      <c r="CK1098" s="49">
        <f t="shared" si="302"/>
        <v>2.721729910532984</v>
      </c>
      <c r="CL1098" s="229"/>
      <c r="CM1098" s="229"/>
      <c r="CN1098" s="229"/>
      <c r="CO1098" s="47" t="s">
        <v>2488</v>
      </c>
      <c r="CP1098" s="47" t="s">
        <v>2489</v>
      </c>
      <c r="CQ1098" s="224">
        <v>-1.6656365883546269</v>
      </c>
      <c r="CR1098" s="224">
        <f t="shared" si="303"/>
        <v>46.305927594226908</v>
      </c>
      <c r="CS1098" s="230" t="s">
        <v>539</v>
      </c>
      <c r="CT1098" s="230"/>
      <c r="CU1098" s="230"/>
      <c r="CV1098" s="335">
        <f t="shared" si="294"/>
        <v>2.2379943771133317</v>
      </c>
      <c r="CW1098" s="230">
        <f t="shared" si="301"/>
        <v>1</v>
      </c>
      <c r="CX1098" s="336"/>
      <c r="CY1098" s="230" t="s">
        <v>5921</v>
      </c>
    </row>
    <row r="1099" spans="1:103" ht="11.25" customHeight="1" x14ac:dyDescent="0.2">
      <c r="A1099" s="72">
        <v>1097</v>
      </c>
      <c r="B1099" s="224">
        <v>1817</v>
      </c>
      <c r="C1099" s="46" t="s">
        <v>7256</v>
      </c>
      <c r="D1099" s="46"/>
      <c r="E1099" s="114"/>
      <c r="F1099" s="114" t="s">
        <v>5218</v>
      </c>
      <c r="G1099" s="225">
        <v>298022</v>
      </c>
      <c r="H1099" s="47" t="s">
        <v>5219</v>
      </c>
      <c r="I1099" s="47" t="s">
        <v>5219</v>
      </c>
      <c r="J1099" s="47" t="s">
        <v>5220</v>
      </c>
      <c r="K1099" s="47" t="s">
        <v>1872</v>
      </c>
      <c r="L1099" s="47" t="s">
        <v>617</v>
      </c>
      <c r="M1099" s="47" t="s">
        <v>946</v>
      </c>
      <c r="N1099" s="47"/>
      <c r="O1099" s="47" t="s">
        <v>918</v>
      </c>
      <c r="P1099" s="53"/>
      <c r="Q1099" s="53"/>
      <c r="R1099" s="53"/>
      <c r="S1099" s="53"/>
      <c r="T1099" s="48">
        <v>260.38</v>
      </c>
      <c r="U1099" s="98">
        <v>0.19202703740686689</v>
      </c>
      <c r="V1099" s="98">
        <v>7.2471003917351562E-2</v>
      </c>
      <c r="W1099" s="98">
        <v>0.47863009232263826</v>
      </c>
      <c r="X1099" s="98">
        <v>0.19202703740686689</v>
      </c>
      <c r="Y1099" s="233">
        <v>7</v>
      </c>
      <c r="Z1099" s="48">
        <v>3.62</v>
      </c>
      <c r="AA1099" s="48">
        <v>3.56</v>
      </c>
      <c r="AB1099" s="48">
        <v>3.66</v>
      </c>
      <c r="AC1099" s="48">
        <v>0.90090000000000003</v>
      </c>
      <c r="AD1099" s="48">
        <v>3.66</v>
      </c>
      <c r="AE1099" s="48">
        <v>3.67</v>
      </c>
      <c r="AF1099" s="48">
        <f t="shared" si="300"/>
        <v>3.56</v>
      </c>
      <c r="AG1099" s="49">
        <v>3.63</v>
      </c>
      <c r="AH1099" s="98">
        <v>1.5799999999999999E-6</v>
      </c>
      <c r="AI1099" s="98">
        <v>4.3699999999999997E-6</v>
      </c>
      <c r="AJ1099" s="483">
        <f t="shared" si="298"/>
        <v>-4.1899092393582293</v>
      </c>
      <c r="AK1099" s="483">
        <f>LOG10(AI1099*1000/(0.08206*298.15))</f>
        <v>-3.7480848893422301</v>
      </c>
      <c r="AL1099" s="483">
        <f t="shared" si="297"/>
        <v>-3.7480848893422301</v>
      </c>
      <c r="AM1099" s="483">
        <v>-7.8785600000000002</v>
      </c>
      <c r="AN1099" s="226">
        <v>-4.43</v>
      </c>
      <c r="AO1099" s="484"/>
      <c r="AP1099" s="484"/>
      <c r="AQ1099" s="226" t="s">
        <v>6314</v>
      </c>
      <c r="AR1099" s="226" t="s">
        <v>6314</v>
      </c>
      <c r="AS1099" s="224"/>
      <c r="AT1099" s="50" t="s">
        <v>266</v>
      </c>
      <c r="AU1099" s="48">
        <v>6</v>
      </c>
      <c r="AV1099" s="48">
        <v>120</v>
      </c>
      <c r="AW1099" s="48">
        <v>114</v>
      </c>
      <c r="AX1099" s="48">
        <v>28</v>
      </c>
      <c r="AY1099" s="48" t="s">
        <v>8728</v>
      </c>
      <c r="AZ1099" s="48" t="s">
        <v>1563</v>
      </c>
      <c r="BA1099" s="48">
        <v>32</v>
      </c>
      <c r="BB1099" s="47" t="s">
        <v>2485</v>
      </c>
      <c r="BC1099" s="47" t="s">
        <v>8726</v>
      </c>
      <c r="BD1099" s="47" t="s">
        <v>8374</v>
      </c>
      <c r="BE1099" s="48" t="s">
        <v>2449</v>
      </c>
      <c r="BF1099" s="48" t="s">
        <v>272</v>
      </c>
      <c r="BG1099" s="48" t="s">
        <v>272</v>
      </c>
      <c r="BH1099" s="48" t="s">
        <v>2486</v>
      </c>
      <c r="BI1099" s="98">
        <v>6.3999999999999997E-6</v>
      </c>
      <c r="BJ1099" s="98">
        <v>6.4000000000000001E-2</v>
      </c>
      <c r="BK1099" s="48"/>
      <c r="BL1099" s="98">
        <f t="shared" si="295"/>
        <v>2.8818939812396395E-2</v>
      </c>
      <c r="BM1099" s="47" t="s">
        <v>2487</v>
      </c>
      <c r="BN1099" s="48"/>
      <c r="BO1099" s="48"/>
      <c r="BP1099" s="48"/>
      <c r="BQ1099" s="48"/>
      <c r="BR1099" s="47" t="s">
        <v>2496</v>
      </c>
      <c r="BS1099" s="48"/>
      <c r="BT1099" s="48"/>
      <c r="BU1099" s="228"/>
      <c r="BV1099" s="48"/>
      <c r="BW1099" s="48"/>
      <c r="BX1099" s="48"/>
      <c r="BY1099" s="48"/>
      <c r="BZ1099" s="48"/>
      <c r="CA1099" s="48"/>
      <c r="CB1099" s="48"/>
      <c r="CC1099" s="48"/>
      <c r="CD1099" s="48"/>
      <c r="CE1099" s="48"/>
      <c r="CF1099" s="48"/>
      <c r="CG1099" s="48"/>
      <c r="CH1099" s="48"/>
      <c r="CI1099" s="98"/>
      <c r="CJ1099" s="98"/>
      <c r="CK1099" s="49">
        <f t="shared" si="302"/>
        <v>0.45029593456869366</v>
      </c>
      <c r="CL1099" s="229"/>
      <c r="CM1099" s="229"/>
      <c r="CN1099" s="229"/>
      <c r="CO1099" s="47" t="s">
        <v>2488</v>
      </c>
      <c r="CP1099" s="47" t="s">
        <v>2489</v>
      </c>
      <c r="CQ1099" s="224">
        <v>-4.527582150107663</v>
      </c>
      <c r="CR1099" s="224">
        <f t="shared" si="303"/>
        <v>33696.294882066926</v>
      </c>
      <c r="CS1099" s="230" t="s">
        <v>539</v>
      </c>
      <c r="CT1099" s="230"/>
      <c r="CU1099" s="230"/>
      <c r="CV1099" s="335">
        <f t="shared" si="294"/>
        <v>3.0004224594822948</v>
      </c>
      <c r="CW1099" s="230">
        <f t="shared" si="301"/>
        <v>1</v>
      </c>
      <c r="CX1099" s="336"/>
      <c r="CY1099" s="230" t="s">
        <v>5921</v>
      </c>
    </row>
    <row r="1100" spans="1:103" ht="11.25" customHeight="1" x14ac:dyDescent="0.2">
      <c r="A1100" s="72">
        <v>1098</v>
      </c>
      <c r="B1100" s="224">
        <v>315</v>
      </c>
      <c r="C1100" s="46" t="s">
        <v>1868</v>
      </c>
      <c r="D1100" s="46"/>
      <c r="E1100" s="114"/>
      <c r="F1100" s="114" t="s">
        <v>1869</v>
      </c>
      <c r="G1100" s="225">
        <v>298044</v>
      </c>
      <c r="H1100" s="47" t="s">
        <v>1870</v>
      </c>
      <c r="I1100" s="47" t="s">
        <v>1870</v>
      </c>
      <c r="J1100" s="47" t="s">
        <v>1871</v>
      </c>
      <c r="K1100" s="47" t="s">
        <v>1872</v>
      </c>
      <c r="L1100" s="47" t="s">
        <v>617</v>
      </c>
      <c r="M1100" s="47" t="s">
        <v>618</v>
      </c>
      <c r="N1100" s="47"/>
      <c r="O1100" s="47" t="s">
        <v>1873</v>
      </c>
      <c r="P1100" s="53"/>
      <c r="Q1100" s="53"/>
      <c r="R1100" s="53"/>
      <c r="S1100" s="53"/>
      <c r="T1100" s="48">
        <v>274.41000000000003</v>
      </c>
      <c r="U1100" s="98">
        <v>5.9400167632374913E-2</v>
      </c>
      <c r="V1100" s="98">
        <v>2.3191574651069566E-2</v>
      </c>
      <c r="W1100" s="98">
        <v>0.4365158322401656</v>
      </c>
      <c r="X1100" s="98">
        <v>5.9400167632374913E-2</v>
      </c>
      <c r="Y1100" s="233">
        <v>7</v>
      </c>
      <c r="Z1100" s="48">
        <v>4.07</v>
      </c>
      <c r="AA1100" s="48">
        <v>4.0199999999999996</v>
      </c>
      <c r="AB1100" s="48">
        <v>3.91</v>
      </c>
      <c r="AC1100" s="48">
        <v>0.8831</v>
      </c>
      <c r="AD1100" s="48">
        <v>3.77</v>
      </c>
      <c r="AE1100" s="48">
        <v>3.31</v>
      </c>
      <c r="AF1100" s="48">
        <f t="shared" si="300"/>
        <v>4.0199999999999996</v>
      </c>
      <c r="AG1100" s="49">
        <v>3.66</v>
      </c>
      <c r="AH1100" s="98">
        <v>2.0999999999999998E-6</v>
      </c>
      <c r="AI1100" s="98">
        <v>2.1600000000000001E-6</v>
      </c>
      <c r="AJ1100" s="483">
        <f t="shared" si="298"/>
        <v>-4.0663470315787329</v>
      </c>
      <c r="AK1100" s="483">
        <f>LOG10(AI1100*1000/(0.08206*298.15))</f>
        <v>-4.0541125751617209</v>
      </c>
      <c r="AL1100" s="483">
        <f t="shared" si="297"/>
        <v>-4.0541125751617209</v>
      </c>
      <c r="AM1100" s="483">
        <v>-8.0103600000000004</v>
      </c>
      <c r="AN1100" s="226">
        <v>-4.3</v>
      </c>
      <c r="AO1100" s="484"/>
      <c r="AP1100" s="484"/>
      <c r="AQ1100" s="226" t="s">
        <v>6312</v>
      </c>
      <c r="AR1100" s="226" t="s">
        <v>6312</v>
      </c>
      <c r="AS1100" s="224" t="s">
        <v>6</v>
      </c>
      <c r="AT1100" s="50" t="s">
        <v>266</v>
      </c>
      <c r="AU1100" s="48">
        <v>8</v>
      </c>
      <c r="AV1100" s="48">
        <v>144</v>
      </c>
      <c r="AW1100" s="48">
        <v>120</v>
      </c>
      <c r="AX1100" s="48">
        <v>26</v>
      </c>
      <c r="AY1100" s="48" t="s">
        <v>267</v>
      </c>
      <c r="AZ1100" s="48" t="s">
        <v>2253</v>
      </c>
      <c r="BA1100" s="48">
        <v>2</v>
      </c>
      <c r="BB1100" s="47" t="s">
        <v>2254</v>
      </c>
      <c r="BC1100" s="47" t="s">
        <v>270</v>
      </c>
      <c r="BD1100" s="47" t="s">
        <v>8374</v>
      </c>
      <c r="BE1100" s="48" t="s">
        <v>1712</v>
      </c>
      <c r="BF1100" s="48" t="s">
        <v>272</v>
      </c>
      <c r="BG1100" s="48" t="s">
        <v>272</v>
      </c>
      <c r="BH1100" s="48" t="s">
        <v>2255</v>
      </c>
      <c r="BI1100" s="98">
        <v>9.9999999999999995E-7</v>
      </c>
      <c r="BJ1100" s="98">
        <v>0.08</v>
      </c>
      <c r="BK1100" s="48"/>
      <c r="BL1100" s="98">
        <f t="shared" si="295"/>
        <v>1.1364046444437236E-2</v>
      </c>
      <c r="BM1100" s="48" t="s">
        <v>891</v>
      </c>
      <c r="BN1100" s="233"/>
      <c r="BO1100" s="233"/>
      <c r="BP1100" s="233"/>
      <c r="BQ1100" s="233"/>
      <c r="BR1100" s="233"/>
      <c r="BS1100" s="48"/>
      <c r="BT1100" s="233"/>
      <c r="BU1100" s="228"/>
      <c r="BV1100" s="233"/>
      <c r="BW1100" s="233"/>
      <c r="BX1100" s="233"/>
      <c r="BY1100" s="233"/>
      <c r="BZ1100" s="233"/>
      <c r="CA1100" s="233"/>
      <c r="CB1100" s="233"/>
      <c r="CC1100" s="48"/>
      <c r="CD1100" s="238"/>
      <c r="CE1100" s="238"/>
      <c r="CF1100" s="238"/>
      <c r="CG1100" s="233"/>
      <c r="CH1100" s="48"/>
      <c r="CI1100" s="98"/>
      <c r="CJ1100" s="98"/>
      <c r="CK1100" s="49">
        <f t="shared" si="302"/>
        <v>0.14205058055546546</v>
      </c>
      <c r="CL1100" s="229"/>
      <c r="CM1100" s="229"/>
      <c r="CN1100" s="229"/>
      <c r="CO1100" s="47" t="s">
        <v>892</v>
      </c>
      <c r="CP1100" s="47" t="s">
        <v>893</v>
      </c>
      <c r="CQ1100" s="224">
        <v>-2.38538156976094</v>
      </c>
      <c r="CR1100" s="224">
        <f t="shared" si="303"/>
        <v>242.8743043916156</v>
      </c>
      <c r="CS1100" s="230" t="s">
        <v>539</v>
      </c>
      <c r="CT1100" s="230"/>
      <c r="CU1100" s="230"/>
      <c r="CV1100" s="335">
        <f t="shared" si="294"/>
        <v>0.74250209540468637</v>
      </c>
      <c r="CW1100" s="230">
        <f t="shared" si="301"/>
        <v>0</v>
      </c>
      <c r="CX1100" s="336" t="s">
        <v>539</v>
      </c>
      <c r="CY1100" s="230" t="s">
        <v>5921</v>
      </c>
    </row>
    <row r="1101" spans="1:103" ht="11.25" customHeight="1" x14ac:dyDescent="0.2">
      <c r="A1101" s="72">
        <v>1099</v>
      </c>
      <c r="B1101" s="224">
        <v>1633</v>
      </c>
      <c r="C1101" s="46" t="s">
        <v>1868</v>
      </c>
      <c r="D1101" s="46"/>
      <c r="E1101" s="114"/>
      <c r="F1101" s="114" t="s">
        <v>1869</v>
      </c>
      <c r="G1101" s="225">
        <v>298044</v>
      </c>
      <c r="H1101" s="47" t="s">
        <v>1870</v>
      </c>
      <c r="I1101" s="47" t="s">
        <v>1870</v>
      </c>
      <c r="J1101" s="47" t="s">
        <v>1871</v>
      </c>
      <c r="K1101" s="47" t="s">
        <v>1872</v>
      </c>
      <c r="L1101" s="47" t="s">
        <v>617</v>
      </c>
      <c r="M1101" s="47" t="s">
        <v>618</v>
      </c>
      <c r="N1101" s="47"/>
      <c r="O1101" s="47" t="s">
        <v>1873</v>
      </c>
      <c r="P1101" s="53" t="s">
        <v>6178</v>
      </c>
      <c r="Q1101" s="53" t="s">
        <v>6173</v>
      </c>
      <c r="R1101" s="53" t="s">
        <v>6177</v>
      </c>
      <c r="S1101" s="53" t="s">
        <v>6176</v>
      </c>
      <c r="T1101" s="48">
        <v>274.41000000000003</v>
      </c>
      <c r="U1101" s="98">
        <v>5.9400167632374913E-2</v>
      </c>
      <c r="V1101" s="98">
        <v>2.3191574651069566E-2</v>
      </c>
      <c r="W1101" s="98">
        <v>0.4365158322401656</v>
      </c>
      <c r="X1101" s="98">
        <v>5.9400167632374913E-2</v>
      </c>
      <c r="Y1101" s="233">
        <v>7</v>
      </c>
      <c r="Z1101" s="48">
        <v>4.07</v>
      </c>
      <c r="AA1101" s="48">
        <v>4.0199999999999996</v>
      </c>
      <c r="AB1101" s="48">
        <v>3.91</v>
      </c>
      <c r="AC1101" s="48">
        <v>0.8831</v>
      </c>
      <c r="AD1101" s="48">
        <v>3.77</v>
      </c>
      <c r="AE1101" s="48">
        <v>3.31</v>
      </c>
      <c r="AF1101" s="48">
        <f t="shared" si="300"/>
        <v>4.0199999999999996</v>
      </c>
      <c r="AG1101" s="49">
        <v>3.66</v>
      </c>
      <c r="AH1101" s="98">
        <v>2.0999999999999998E-6</v>
      </c>
      <c r="AI1101" s="98">
        <v>2.1600000000000001E-6</v>
      </c>
      <c r="AJ1101" s="483">
        <f t="shared" si="298"/>
        <v>-4.0663470315787329</v>
      </c>
      <c r="AK1101" s="483">
        <f>LOG10(AI1101*1000/(0.08206*298.15))</f>
        <v>-4.0541125751617209</v>
      </c>
      <c r="AL1101" s="483">
        <f t="shared" si="297"/>
        <v>-4.0541125751617209</v>
      </c>
      <c r="AM1101" s="483">
        <v>-8.0103600000000004</v>
      </c>
      <c r="AN1101" s="226">
        <v>-4.3</v>
      </c>
      <c r="AO1101" s="484"/>
      <c r="AP1101" s="484"/>
      <c r="AQ1101" s="226" t="s">
        <v>6312</v>
      </c>
      <c r="AR1101" s="226" t="s">
        <v>6312</v>
      </c>
      <c r="AS1101" s="224"/>
      <c r="AT1101" s="50" t="s">
        <v>266</v>
      </c>
      <c r="AU1101" s="48">
        <v>6</v>
      </c>
      <c r="AV1101" s="48">
        <v>120</v>
      </c>
      <c r="AW1101" s="48">
        <v>114</v>
      </c>
      <c r="AX1101" s="48">
        <v>28</v>
      </c>
      <c r="AY1101" s="48" t="s">
        <v>8728</v>
      </c>
      <c r="AZ1101" s="48" t="s">
        <v>1563</v>
      </c>
      <c r="BA1101" s="48">
        <v>32</v>
      </c>
      <c r="BB1101" s="47" t="s">
        <v>2485</v>
      </c>
      <c r="BC1101" s="47" t="s">
        <v>8726</v>
      </c>
      <c r="BD1101" s="47" t="s">
        <v>8374</v>
      </c>
      <c r="BE1101" s="48" t="s">
        <v>2449</v>
      </c>
      <c r="BF1101" s="48" t="s">
        <v>272</v>
      </c>
      <c r="BG1101" s="48" t="s">
        <v>272</v>
      </c>
      <c r="BH1101" s="48" t="s">
        <v>2486</v>
      </c>
      <c r="BI1101" s="98">
        <v>6.3999999999999997E-6</v>
      </c>
      <c r="BJ1101" s="98">
        <v>6.4000000000000001E-2</v>
      </c>
      <c r="BK1101" s="48"/>
      <c r="BL1101" s="98">
        <f t="shared" si="295"/>
        <v>1.1364046444437236E-2</v>
      </c>
      <c r="BM1101" s="47" t="s">
        <v>2487</v>
      </c>
      <c r="BN1101" s="48"/>
      <c r="BO1101" s="48"/>
      <c r="BP1101" s="48"/>
      <c r="BQ1101" s="48"/>
      <c r="BR1101" s="47" t="s">
        <v>2496</v>
      </c>
      <c r="BS1101" s="48"/>
      <c r="BT1101" s="48"/>
      <c r="BU1101" s="228"/>
      <c r="BV1101" s="48"/>
      <c r="BW1101" s="48"/>
      <c r="BX1101" s="48"/>
      <c r="BY1101" s="48"/>
      <c r="BZ1101" s="48"/>
      <c r="CA1101" s="48"/>
      <c r="CB1101" s="48"/>
      <c r="CC1101" s="48"/>
      <c r="CD1101" s="48"/>
      <c r="CE1101" s="48"/>
      <c r="CF1101" s="48"/>
      <c r="CG1101" s="48"/>
      <c r="CH1101" s="48"/>
      <c r="CI1101" s="98"/>
      <c r="CJ1101" s="98"/>
      <c r="CK1101" s="49">
        <f t="shared" si="302"/>
        <v>0.17756322569433181</v>
      </c>
      <c r="CL1101" s="229"/>
      <c r="CM1101" s="229"/>
      <c r="CN1101" s="229"/>
      <c r="CO1101" s="47" t="s">
        <v>2488</v>
      </c>
      <c r="CP1101" s="47" t="s">
        <v>2489</v>
      </c>
      <c r="CQ1101" s="224">
        <v>-2.38538156976094</v>
      </c>
      <c r="CR1101" s="224">
        <f t="shared" si="303"/>
        <v>242.8743043916156</v>
      </c>
      <c r="CS1101" s="230" t="s">
        <v>539</v>
      </c>
      <c r="CT1101" s="230"/>
      <c r="CU1101" s="230"/>
      <c r="CV1101" s="335">
        <f t="shared" si="294"/>
        <v>0.92812761925585796</v>
      </c>
      <c r="CW1101" s="230">
        <f t="shared" si="301"/>
        <v>0</v>
      </c>
      <c r="CX1101" s="336"/>
      <c r="CY1101" s="230" t="s">
        <v>5921</v>
      </c>
    </row>
    <row r="1102" spans="1:103" ht="11.25" customHeight="1" x14ac:dyDescent="0.2">
      <c r="A1102" s="72">
        <v>1100</v>
      </c>
      <c r="B1102" s="224">
        <v>1050</v>
      </c>
      <c r="C1102" s="46" t="s">
        <v>1923</v>
      </c>
      <c r="D1102" s="46"/>
      <c r="E1102" s="114"/>
      <c r="F1102" s="114" t="s">
        <v>1924</v>
      </c>
      <c r="G1102" s="225">
        <v>298464</v>
      </c>
      <c r="H1102" s="47" t="s">
        <v>1925</v>
      </c>
      <c r="I1102" s="47" t="s">
        <v>1925</v>
      </c>
      <c r="J1102" s="47" t="s">
        <v>1926</v>
      </c>
      <c r="K1102" s="47" t="s">
        <v>1292</v>
      </c>
      <c r="L1102" s="47" t="s">
        <v>279</v>
      </c>
      <c r="M1102" s="47" t="s">
        <v>1927</v>
      </c>
      <c r="N1102" s="47"/>
      <c r="O1102" s="47" t="s">
        <v>281</v>
      </c>
      <c r="P1102" s="53"/>
      <c r="Q1102" s="53"/>
      <c r="R1102" s="53"/>
      <c r="S1102" s="53"/>
      <c r="T1102" s="48">
        <v>236.27</v>
      </c>
      <c r="U1102" s="98">
        <v>0.47403394421636263</v>
      </c>
      <c r="V1102" s="98">
        <v>7.4744995132687175E-2</v>
      </c>
      <c r="W1102" s="98">
        <v>0.33113112148259094</v>
      </c>
      <c r="X1102" s="98">
        <v>0.47403394421636263</v>
      </c>
      <c r="Y1102" s="233">
        <v>7</v>
      </c>
      <c r="Z1102" s="48">
        <v>2.25</v>
      </c>
      <c r="AA1102" s="48">
        <v>2.4500000000000002</v>
      </c>
      <c r="AB1102" s="48">
        <v>2.17</v>
      </c>
      <c r="AC1102" s="48">
        <v>0.88529999999999998</v>
      </c>
      <c r="AD1102" s="48">
        <v>2.2799999999999998</v>
      </c>
      <c r="AE1102" s="48">
        <v>2.67</v>
      </c>
      <c r="AF1102" s="48">
        <f t="shared" si="300"/>
        <v>2.4500000000000002</v>
      </c>
      <c r="AG1102" s="49">
        <v>2.52</v>
      </c>
      <c r="AH1102" s="98">
        <v>1.08E-10</v>
      </c>
      <c r="AI1102" s="98"/>
      <c r="AJ1102" s="483">
        <f t="shared" si="298"/>
        <v>-8.3551425708257021</v>
      </c>
      <c r="AK1102" s="483"/>
      <c r="AL1102" s="483">
        <f t="shared" si="297"/>
        <v>-8.3551425708257021</v>
      </c>
      <c r="AM1102" s="483">
        <v>-14.371929999999999</v>
      </c>
      <c r="AN1102" s="226">
        <v>-9.82</v>
      </c>
      <c r="AO1102" s="484">
        <v>13.94</v>
      </c>
      <c r="AP1102" s="484">
        <v>-0.49</v>
      </c>
      <c r="AQ1102" s="48" t="s">
        <v>6311</v>
      </c>
      <c r="AR1102" s="48" t="s">
        <v>6311</v>
      </c>
      <c r="AS1102" s="227"/>
      <c r="AT1102" s="50" t="s">
        <v>266</v>
      </c>
      <c r="AU1102" s="48">
        <v>6</v>
      </c>
      <c r="AV1102" s="48">
        <v>120</v>
      </c>
      <c r="AW1102" s="48">
        <v>114</v>
      </c>
      <c r="AX1102" s="48">
        <v>28</v>
      </c>
      <c r="AY1102" s="48" t="s">
        <v>8728</v>
      </c>
      <c r="AZ1102" s="48" t="s">
        <v>1563</v>
      </c>
      <c r="BA1102" s="48">
        <v>32</v>
      </c>
      <c r="BB1102" s="47" t="s">
        <v>2485</v>
      </c>
      <c r="BC1102" s="47" t="s">
        <v>8726</v>
      </c>
      <c r="BD1102" s="47" t="s">
        <v>8374</v>
      </c>
      <c r="BE1102" s="48" t="s">
        <v>2449</v>
      </c>
      <c r="BF1102" s="48" t="s">
        <v>272</v>
      </c>
      <c r="BG1102" s="48" t="s">
        <v>272</v>
      </c>
      <c r="BH1102" s="48" t="s">
        <v>2486</v>
      </c>
      <c r="BI1102" s="98">
        <v>6.3999999999999997E-6</v>
      </c>
      <c r="BJ1102" s="98">
        <v>6.4000000000000001E-2</v>
      </c>
      <c r="BK1102" s="48"/>
      <c r="BL1102" s="98">
        <f t="shared" si="295"/>
        <v>0.48986340847787241</v>
      </c>
      <c r="BM1102" s="47" t="s">
        <v>2487</v>
      </c>
      <c r="BN1102" s="48"/>
      <c r="BO1102" s="48"/>
      <c r="BP1102" s="48"/>
      <c r="BQ1102" s="48"/>
      <c r="BR1102" s="47" t="s">
        <v>2496</v>
      </c>
      <c r="BS1102" s="48"/>
      <c r="BT1102" s="48"/>
      <c r="BU1102" s="228">
        <v>6.4000000000000005E-4</v>
      </c>
      <c r="BV1102" s="48"/>
      <c r="BW1102" s="48"/>
      <c r="BX1102" s="48"/>
      <c r="BY1102" s="48"/>
      <c r="BZ1102" s="48"/>
      <c r="CA1102" s="48"/>
      <c r="CB1102" s="48"/>
      <c r="CC1102" s="48"/>
      <c r="CD1102" s="48"/>
      <c r="CE1102" s="48"/>
      <c r="CF1102" s="48"/>
      <c r="CG1102" s="48"/>
      <c r="CH1102" s="48"/>
      <c r="CI1102" s="52" t="s">
        <v>6346</v>
      </c>
      <c r="CJ1102" s="98"/>
      <c r="CK1102" s="49">
        <f t="shared" si="302"/>
        <v>7.654115757466756</v>
      </c>
      <c r="CL1102" s="229"/>
      <c r="CM1102" s="229"/>
      <c r="CN1102" s="229"/>
      <c r="CO1102" s="47" t="s">
        <v>2488</v>
      </c>
      <c r="CP1102" s="47" t="s">
        <v>2489</v>
      </c>
      <c r="CQ1102" s="224">
        <v>-0.90724781530094856</v>
      </c>
      <c r="CR1102" s="224">
        <f t="shared" si="303"/>
        <v>8.0769578276960097</v>
      </c>
      <c r="CS1102" s="230" t="s">
        <v>539</v>
      </c>
      <c r="CT1102" s="230"/>
      <c r="CU1102" s="230"/>
      <c r="CV1102" s="335">
        <f t="shared" si="294"/>
        <v>7.4067803783806658</v>
      </c>
      <c r="CW1102" s="230">
        <f t="shared" si="301"/>
        <v>1</v>
      </c>
      <c r="CX1102" s="336"/>
      <c r="CY1102" s="230" t="s">
        <v>5921</v>
      </c>
    </row>
    <row r="1103" spans="1:103" ht="11.25" customHeight="1" x14ac:dyDescent="0.2">
      <c r="A1103" s="72">
        <v>1101</v>
      </c>
      <c r="B1103" s="224">
        <v>1204</v>
      </c>
      <c r="C1103" s="46" t="s">
        <v>1323</v>
      </c>
      <c r="D1103" s="46"/>
      <c r="E1103" s="114"/>
      <c r="F1103" s="114" t="s">
        <v>1324</v>
      </c>
      <c r="G1103" s="225">
        <v>300765</v>
      </c>
      <c r="H1103" s="47" t="s">
        <v>1325</v>
      </c>
      <c r="I1103" s="47" t="s">
        <v>8048</v>
      </c>
      <c r="J1103" s="47" t="s">
        <v>1326</v>
      </c>
      <c r="K1103" s="47" t="s">
        <v>637</v>
      </c>
      <c r="L1103" s="47" t="s">
        <v>617</v>
      </c>
      <c r="M1103" s="47" t="s">
        <v>946</v>
      </c>
      <c r="N1103" s="47" t="s">
        <v>6376</v>
      </c>
      <c r="O1103" s="47" t="s">
        <v>918</v>
      </c>
      <c r="P1103" s="53"/>
      <c r="Q1103" s="53"/>
      <c r="R1103" s="53"/>
      <c r="S1103" s="53"/>
      <c r="T1103" s="48">
        <v>380.78</v>
      </c>
      <c r="U1103" s="98">
        <v>3.9392825253427178E-3</v>
      </c>
      <c r="V1103" s="98">
        <v>0.70040443300593525</v>
      </c>
      <c r="W1103" s="98">
        <v>15.848931924611124</v>
      </c>
      <c r="X1103" s="98">
        <v>3.9392825253427178E-3</v>
      </c>
      <c r="Y1103" s="233">
        <v>7</v>
      </c>
      <c r="Z1103" s="48">
        <v>1.6</v>
      </c>
      <c r="AA1103" s="48">
        <v>1.38</v>
      </c>
      <c r="AB1103" s="48">
        <v>2.33</v>
      </c>
      <c r="AC1103" s="48">
        <v>0.77559999999999996</v>
      </c>
      <c r="AD1103" s="48">
        <v>2.19</v>
      </c>
      <c r="AE1103" s="48">
        <v>1.86</v>
      </c>
      <c r="AF1103" s="48">
        <f t="shared" si="300"/>
        <v>1.38</v>
      </c>
      <c r="AG1103" s="49">
        <v>2.33</v>
      </c>
      <c r="AH1103" s="98">
        <v>5.4499999999999998E-10</v>
      </c>
      <c r="AI1103" s="98">
        <v>6.5099999999999997E-5</v>
      </c>
      <c r="AJ1103" s="483">
        <f t="shared" si="298"/>
        <v>-7.652169824036009</v>
      </c>
      <c r="AK1103" s="483">
        <f>LOG10(AI1103*1000/(0.08206*298.15))</f>
        <v>-2.5749853377444598</v>
      </c>
      <c r="AL1103" s="483">
        <f t="shared" si="297"/>
        <v>-2.5749853377444598</v>
      </c>
      <c r="AM1103" s="483">
        <v>-11.466990000000003</v>
      </c>
      <c r="AN1103" s="226">
        <v>-5.81</v>
      </c>
      <c r="AO1103" s="484"/>
      <c r="AP1103" s="484"/>
      <c r="AQ1103" s="48" t="s">
        <v>6315</v>
      </c>
      <c r="AR1103" s="48" t="s">
        <v>6315</v>
      </c>
      <c r="AS1103" s="227"/>
      <c r="AT1103" s="50" t="s">
        <v>266</v>
      </c>
      <c r="AU1103" s="48">
        <v>6</v>
      </c>
      <c r="AV1103" s="48">
        <v>120</v>
      </c>
      <c r="AW1103" s="48">
        <v>114</v>
      </c>
      <c r="AX1103" s="48">
        <v>28</v>
      </c>
      <c r="AY1103" s="48" t="s">
        <v>8728</v>
      </c>
      <c r="AZ1103" s="48" t="s">
        <v>1563</v>
      </c>
      <c r="BA1103" s="48">
        <v>32</v>
      </c>
      <c r="BB1103" s="47" t="s">
        <v>2485</v>
      </c>
      <c r="BC1103" s="47" t="s">
        <v>8726</v>
      </c>
      <c r="BD1103" s="47" t="s">
        <v>8374</v>
      </c>
      <c r="BE1103" s="48" t="s">
        <v>2449</v>
      </c>
      <c r="BF1103" s="48" t="s">
        <v>272</v>
      </c>
      <c r="BG1103" s="48" t="s">
        <v>272</v>
      </c>
      <c r="BH1103" s="48" t="s">
        <v>2486</v>
      </c>
      <c r="BI1103" s="98">
        <v>6.3999999999999997E-6</v>
      </c>
      <c r="BJ1103" s="98">
        <v>6.4000000000000001E-2</v>
      </c>
      <c r="BK1103" s="48"/>
      <c r="BL1103" s="98">
        <f t="shared" si="295"/>
        <v>1.8786245784241389</v>
      </c>
      <c r="BM1103" s="47" t="s">
        <v>2487</v>
      </c>
      <c r="BN1103" s="48"/>
      <c r="BO1103" s="48"/>
      <c r="BP1103" s="48"/>
      <c r="BQ1103" s="48"/>
      <c r="BR1103" s="47" t="s">
        <v>2496</v>
      </c>
      <c r="BS1103" s="48"/>
      <c r="BT1103" s="48"/>
      <c r="BU1103" s="228">
        <v>6.3999999999999997E-6</v>
      </c>
      <c r="BV1103" s="48"/>
      <c r="BW1103" s="48"/>
      <c r="BX1103" s="48"/>
      <c r="BY1103" s="48"/>
      <c r="BZ1103" s="48"/>
      <c r="CA1103" s="48"/>
      <c r="CB1103" s="48"/>
      <c r="CC1103" s="48"/>
      <c r="CD1103" s="48"/>
      <c r="CE1103" s="48"/>
      <c r="CF1103" s="48"/>
      <c r="CG1103" s="48"/>
      <c r="CH1103" s="48"/>
      <c r="CI1103" s="98"/>
      <c r="CJ1103" s="98"/>
      <c r="CK1103" s="49">
        <f t="shared" si="302"/>
        <v>29.353509037877171</v>
      </c>
      <c r="CL1103" s="229"/>
      <c r="CM1103" s="229">
        <v>-3.2607556235496347</v>
      </c>
      <c r="CN1103" s="229">
        <f>BJ1103/(10^CM1103)</f>
        <v>116.66366011721659</v>
      </c>
      <c r="CO1103" s="47" t="s">
        <v>2488</v>
      </c>
      <c r="CP1103" s="47" t="s">
        <v>2489</v>
      </c>
      <c r="CQ1103" s="224">
        <v>-2.976878918948791</v>
      </c>
      <c r="CR1103" s="224">
        <f t="shared" si="303"/>
        <v>948.15408163647771</v>
      </c>
      <c r="CS1103" s="230" t="s">
        <v>539</v>
      </c>
      <c r="CT1103" s="230"/>
      <c r="CU1103" s="230"/>
      <c r="CV1103" s="335">
        <f t="shared" si="294"/>
        <v>6.1551289458479964E-2</v>
      </c>
      <c r="CW1103" s="230">
        <f t="shared" si="301"/>
        <v>0</v>
      </c>
      <c r="CX1103" s="336"/>
      <c r="CY1103" s="230" t="s">
        <v>5921</v>
      </c>
    </row>
    <row r="1104" spans="1:103" ht="11.25" customHeight="1" x14ac:dyDescent="0.2">
      <c r="A1104" s="72">
        <v>1102</v>
      </c>
      <c r="B1104" s="224">
        <v>1811</v>
      </c>
      <c r="C1104" s="46" t="s">
        <v>7257</v>
      </c>
      <c r="D1104" s="46"/>
      <c r="E1104" s="114"/>
      <c r="F1104" s="114" t="s">
        <v>5204</v>
      </c>
      <c r="G1104" s="225">
        <v>307244</v>
      </c>
      <c r="H1104" s="47" t="s">
        <v>5205</v>
      </c>
      <c r="I1104" s="47" t="s">
        <v>5205</v>
      </c>
      <c r="J1104" s="47" t="s">
        <v>5206</v>
      </c>
      <c r="K1104" s="47" t="s">
        <v>426</v>
      </c>
      <c r="L1104" s="47"/>
      <c r="M1104" s="47"/>
      <c r="N1104" s="47"/>
      <c r="O1104" s="47"/>
      <c r="P1104" s="53"/>
      <c r="Q1104" s="53"/>
      <c r="R1104" s="53"/>
      <c r="S1104" s="53"/>
      <c r="T1104" s="48">
        <v>314.05</v>
      </c>
      <c r="U1104" s="98"/>
      <c r="V1104" s="98">
        <v>8.6355675847794938E-2</v>
      </c>
      <c r="W1104" s="98">
        <v>6.6069344800759566</v>
      </c>
      <c r="X1104" s="98">
        <f>IF(W1104=0,V1104,W1104)</f>
        <v>6.6069344800759566</v>
      </c>
      <c r="Y1104" s="233">
        <v>2.19</v>
      </c>
      <c r="Z1104" s="48">
        <v>3.48</v>
      </c>
      <c r="AA1104" s="48"/>
      <c r="AB1104" s="48">
        <v>2.74</v>
      </c>
      <c r="AC1104" s="48">
        <v>0.61539999999999995</v>
      </c>
      <c r="AD1104" s="48">
        <v>3.9</v>
      </c>
      <c r="AE1104" s="48">
        <v>5.97</v>
      </c>
      <c r="AF1104" s="48">
        <f t="shared" si="300"/>
        <v>3.9</v>
      </c>
      <c r="AG1104" s="49">
        <v>2.73</v>
      </c>
      <c r="AH1104" s="98">
        <v>3.29E-3</v>
      </c>
      <c r="AI1104" s="98"/>
      <c r="AJ1104" s="483">
        <f t="shared" si="298"/>
        <v>-0.87137042836267753</v>
      </c>
      <c r="AK1104" s="483"/>
      <c r="AL1104" s="483">
        <f t="shared" si="297"/>
        <v>-0.87137042836267753</v>
      </c>
      <c r="AM1104" s="483">
        <v>-3.2651399999999997</v>
      </c>
      <c r="AN1104" s="226">
        <v>-5.67</v>
      </c>
      <c r="AO1104" s="484">
        <v>0.42</v>
      </c>
      <c r="AP1104" s="484"/>
      <c r="AQ1104" s="226" t="s">
        <v>6311</v>
      </c>
      <c r="AR1104" s="226" t="s">
        <v>6311</v>
      </c>
      <c r="AS1104" s="224"/>
      <c r="AT1104" s="50" t="s">
        <v>266</v>
      </c>
      <c r="AU1104" s="48">
        <v>6</v>
      </c>
      <c r="AV1104" s="48">
        <v>120</v>
      </c>
      <c r="AW1104" s="48">
        <v>114</v>
      </c>
      <c r="AX1104" s="48">
        <v>28</v>
      </c>
      <c r="AY1104" s="48" t="s">
        <v>8728</v>
      </c>
      <c r="AZ1104" s="48" t="s">
        <v>1563</v>
      </c>
      <c r="BA1104" s="48">
        <v>32</v>
      </c>
      <c r="BB1104" s="47" t="s">
        <v>2485</v>
      </c>
      <c r="BC1104" s="47" t="s">
        <v>8726</v>
      </c>
      <c r="BD1104" s="47" t="s">
        <v>8374</v>
      </c>
      <c r="BE1104" s="48" t="s">
        <v>2449</v>
      </c>
      <c r="BF1104" s="48" t="s">
        <v>272</v>
      </c>
      <c r="BG1104" s="48" t="s">
        <v>272</v>
      </c>
      <c r="BH1104" s="48" t="s">
        <v>2486</v>
      </c>
      <c r="BI1104" s="98">
        <v>6.3999999999999997E-6</v>
      </c>
      <c r="BJ1104" s="98">
        <v>6.4000000000000001E-2</v>
      </c>
      <c r="BK1104" s="48"/>
      <c r="BL1104" s="98">
        <f t="shared" si="295"/>
        <v>3.8495680394507972E-2</v>
      </c>
      <c r="BM1104" s="47" t="s">
        <v>2487</v>
      </c>
      <c r="BN1104" s="48"/>
      <c r="BO1104" s="48"/>
      <c r="BP1104" s="48"/>
      <c r="BQ1104" s="48"/>
      <c r="BR1104" s="47" t="s">
        <v>2496</v>
      </c>
      <c r="BS1104" s="48"/>
      <c r="BT1104" s="48"/>
      <c r="BU1104" s="228"/>
      <c r="BV1104" s="48"/>
      <c r="BW1104" s="48"/>
      <c r="BX1104" s="48"/>
      <c r="BY1104" s="48"/>
      <c r="BZ1104" s="48"/>
      <c r="CA1104" s="48"/>
      <c r="CB1104" s="48"/>
      <c r="CC1104" s="48"/>
      <c r="CD1104" s="48"/>
      <c r="CE1104" s="48"/>
      <c r="CF1104" s="48"/>
      <c r="CG1104" s="48"/>
      <c r="CH1104" s="48"/>
      <c r="CI1104" s="98"/>
      <c r="CJ1104" s="98"/>
      <c r="CK1104" s="49">
        <f t="shared" si="302"/>
        <v>0.60149500616418705</v>
      </c>
      <c r="CL1104" s="229"/>
      <c r="CM1104" s="229"/>
      <c r="CN1104" s="229"/>
      <c r="CO1104" s="47" t="s">
        <v>2488</v>
      </c>
      <c r="CP1104" s="47" t="s">
        <v>2489</v>
      </c>
      <c r="CQ1104" s="224" t="s">
        <v>272</v>
      </c>
      <c r="CR1104" s="224"/>
      <c r="CS1104" s="230" t="s">
        <v>539</v>
      </c>
      <c r="CT1104" s="230"/>
      <c r="CU1104" s="230"/>
      <c r="CV1104" s="335">
        <f t="shared" si="294"/>
        <v>103.23335125118682</v>
      </c>
      <c r="CW1104" s="230">
        <f t="shared" si="301"/>
        <v>1</v>
      </c>
      <c r="CX1104" s="336"/>
      <c r="CY1104" s="230" t="s">
        <v>5921</v>
      </c>
    </row>
    <row r="1105" spans="1:103" ht="11.25" customHeight="1" x14ac:dyDescent="0.2">
      <c r="A1105" s="72">
        <v>1103</v>
      </c>
      <c r="B1105" s="224">
        <v>236</v>
      </c>
      <c r="C1105" s="46" t="s">
        <v>7258</v>
      </c>
      <c r="D1105" s="46"/>
      <c r="E1105" s="114"/>
      <c r="F1105" s="114" t="s">
        <v>3742</v>
      </c>
      <c r="G1105" s="225">
        <v>314409</v>
      </c>
      <c r="H1105" s="47" t="s">
        <v>3743</v>
      </c>
      <c r="I1105" s="47" t="s">
        <v>3743</v>
      </c>
      <c r="J1105" s="47" t="s">
        <v>3744</v>
      </c>
      <c r="K1105" s="47" t="s">
        <v>3745</v>
      </c>
      <c r="L1105" s="47" t="s">
        <v>5997</v>
      </c>
      <c r="M1105" s="47" t="s">
        <v>6082</v>
      </c>
      <c r="N1105" s="47"/>
      <c r="O1105" s="47" t="s">
        <v>6083</v>
      </c>
      <c r="P1105" s="53"/>
      <c r="Q1105" s="53"/>
      <c r="R1105" s="53"/>
      <c r="S1105" s="53"/>
      <c r="T1105" s="48">
        <v>261.12</v>
      </c>
      <c r="U1105" s="98">
        <v>3.1211703431372548</v>
      </c>
      <c r="V1105" s="98">
        <v>1.2392769607843137</v>
      </c>
      <c r="W1105" s="98">
        <v>0.602559586074357</v>
      </c>
      <c r="X1105" s="98">
        <v>3.1211703431372548</v>
      </c>
      <c r="Y1105" s="233">
        <v>6</v>
      </c>
      <c r="Z1105" s="48">
        <v>1.68</v>
      </c>
      <c r="AA1105" s="48">
        <v>2.11</v>
      </c>
      <c r="AB1105" s="48">
        <v>1.81</v>
      </c>
      <c r="AC1105" s="48">
        <v>0.80840000000000001</v>
      </c>
      <c r="AD1105" s="48">
        <v>1.89</v>
      </c>
      <c r="AE1105" s="48">
        <v>2.1</v>
      </c>
      <c r="AF1105" s="48">
        <f t="shared" si="300"/>
        <v>2.11</v>
      </c>
      <c r="AG1105" s="49">
        <v>2.33</v>
      </c>
      <c r="AH1105" s="98">
        <v>1.3900000000000001E-10</v>
      </c>
      <c r="AI1105" s="98">
        <v>1.2899999999999999E-10</v>
      </c>
      <c r="AJ1105" s="483">
        <f t="shared" si="298"/>
        <v>-8.2455515260585575</v>
      </c>
      <c r="AK1105" s="483">
        <f t="shared" ref="AK1105:AK1112" si="304">LOG10(AI1105*1000/(0.08206*298.15))</f>
        <v>-8.2779766160134027</v>
      </c>
      <c r="AL1105" s="483">
        <f t="shared" si="297"/>
        <v>-8.2779766160134027</v>
      </c>
      <c r="AM1105" s="483">
        <v>-11.272410000000001</v>
      </c>
      <c r="AN1105" s="226">
        <v>-7.65</v>
      </c>
      <c r="AO1105" s="484">
        <v>8.7899999999999991</v>
      </c>
      <c r="AP1105" s="484">
        <v>-3.73</v>
      </c>
      <c r="AQ1105" s="226" t="s">
        <v>6311</v>
      </c>
      <c r="AR1105" s="226" t="s">
        <v>6311</v>
      </c>
      <c r="AS1105" s="224" t="s">
        <v>6</v>
      </c>
      <c r="AT1105" s="50" t="s">
        <v>266</v>
      </c>
      <c r="AU1105" s="48">
        <v>8</v>
      </c>
      <c r="AV1105" s="48">
        <v>144</v>
      </c>
      <c r="AW1105" s="48">
        <v>120</v>
      </c>
      <c r="AX1105" s="48">
        <v>26</v>
      </c>
      <c r="AY1105" s="48" t="s">
        <v>267</v>
      </c>
      <c r="AZ1105" s="48" t="s">
        <v>2253</v>
      </c>
      <c r="BA1105" s="48">
        <v>2</v>
      </c>
      <c r="BB1105" s="47" t="s">
        <v>2254</v>
      </c>
      <c r="BC1105" s="47" t="s">
        <v>270</v>
      </c>
      <c r="BD1105" s="47" t="s">
        <v>8374</v>
      </c>
      <c r="BE1105" s="48" t="s">
        <v>1712</v>
      </c>
      <c r="BF1105" s="48" t="s">
        <v>272</v>
      </c>
      <c r="BG1105" s="48" t="s">
        <v>272</v>
      </c>
      <c r="BH1105" s="48" t="s">
        <v>2255</v>
      </c>
      <c r="BI1105" s="98">
        <v>9.9999999999999995E-7</v>
      </c>
      <c r="BJ1105" s="98">
        <v>0.08</v>
      </c>
      <c r="BK1105" s="48"/>
      <c r="BL1105" s="98">
        <f t="shared" si="295"/>
        <v>1.5921793977526657</v>
      </c>
      <c r="BM1105" s="48" t="s">
        <v>891</v>
      </c>
      <c r="BN1105" s="233"/>
      <c r="BO1105" s="233"/>
      <c r="BP1105" s="233"/>
      <c r="BQ1105" s="233"/>
      <c r="BR1105" s="233"/>
      <c r="BS1105" s="48"/>
      <c r="BT1105" s="233"/>
      <c r="BU1105" s="228"/>
      <c r="BV1105" s="233"/>
      <c r="BW1105" s="233"/>
      <c r="BX1105" s="233"/>
      <c r="BY1105" s="233"/>
      <c r="BZ1105" s="233"/>
      <c r="CA1105" s="233"/>
      <c r="CB1105" s="233"/>
      <c r="CC1105" s="48"/>
      <c r="CD1105" s="48"/>
      <c r="CE1105" s="48"/>
      <c r="CF1105" s="48"/>
      <c r="CG1105" s="233"/>
      <c r="CH1105" s="48"/>
      <c r="CI1105" s="98"/>
      <c r="CJ1105" s="98"/>
      <c r="CK1105" s="49">
        <f t="shared" si="302"/>
        <v>19.90224247190832</v>
      </c>
      <c r="CL1105" s="229"/>
      <c r="CM1105" s="229"/>
      <c r="CN1105" s="229"/>
      <c r="CO1105" s="47" t="s">
        <v>892</v>
      </c>
      <c r="CP1105" s="47" t="s">
        <v>893</v>
      </c>
      <c r="CQ1105" s="224">
        <v>-0.44108082036501461</v>
      </c>
      <c r="CR1105" s="224">
        <f t="shared" ref="CR1105:CR1111" si="305">10^(CJ1105-CQ1105)</f>
        <v>2.7610916358804034</v>
      </c>
      <c r="CS1105" s="230" t="s">
        <v>539</v>
      </c>
      <c r="CT1105" s="230"/>
      <c r="CU1105" s="230"/>
      <c r="CV1105" s="335">
        <f t="shared" ref="CV1105:CV1168" si="306">X1105/BJ1105</f>
        <v>39.014629289215684</v>
      </c>
      <c r="CW1105" s="230">
        <f t="shared" si="301"/>
        <v>1</v>
      </c>
      <c r="CX1105" s="336" t="s">
        <v>539</v>
      </c>
      <c r="CY1105" s="230" t="s">
        <v>5921</v>
      </c>
    </row>
    <row r="1106" spans="1:103" ht="11.25" customHeight="1" x14ac:dyDescent="0.2">
      <c r="A1106" s="72">
        <v>1104</v>
      </c>
      <c r="B1106" s="224">
        <v>1532</v>
      </c>
      <c r="C1106" s="46" t="s">
        <v>7258</v>
      </c>
      <c r="D1106" s="46"/>
      <c r="E1106" s="114"/>
      <c r="F1106" s="114" t="s">
        <v>3742</v>
      </c>
      <c r="G1106" s="225">
        <v>314409</v>
      </c>
      <c r="H1106" s="47" t="s">
        <v>3743</v>
      </c>
      <c r="I1106" s="47" t="s">
        <v>3743</v>
      </c>
      <c r="J1106" s="47" t="s">
        <v>3744</v>
      </c>
      <c r="K1106" s="47" t="s">
        <v>3745</v>
      </c>
      <c r="L1106" s="47" t="s">
        <v>5997</v>
      </c>
      <c r="M1106" s="47" t="s">
        <v>6082</v>
      </c>
      <c r="N1106" s="47"/>
      <c r="O1106" s="47" t="s">
        <v>6083</v>
      </c>
      <c r="P1106" s="53"/>
      <c r="Q1106" s="53" t="s">
        <v>6173</v>
      </c>
      <c r="R1106" s="53" t="s">
        <v>6175</v>
      </c>
      <c r="S1106" s="53" t="s">
        <v>6176</v>
      </c>
      <c r="T1106" s="48">
        <v>261.12</v>
      </c>
      <c r="U1106" s="98">
        <v>3.1211703431372548</v>
      </c>
      <c r="V1106" s="98">
        <v>1.2392769607843137</v>
      </c>
      <c r="W1106" s="98">
        <v>0.602559586074357</v>
      </c>
      <c r="X1106" s="98">
        <v>3.1211703431372548</v>
      </c>
      <c r="Y1106" s="233">
        <v>6</v>
      </c>
      <c r="Z1106" s="48">
        <v>1.68</v>
      </c>
      <c r="AA1106" s="48">
        <v>2.11</v>
      </c>
      <c r="AB1106" s="48">
        <v>1.81</v>
      </c>
      <c r="AC1106" s="48">
        <v>0.80840000000000001</v>
      </c>
      <c r="AD1106" s="48">
        <v>1.89</v>
      </c>
      <c r="AE1106" s="48">
        <v>2.1</v>
      </c>
      <c r="AF1106" s="48">
        <f t="shared" si="300"/>
        <v>2.11</v>
      </c>
      <c r="AG1106" s="49">
        <v>2.33</v>
      </c>
      <c r="AH1106" s="98">
        <v>1.3900000000000001E-10</v>
      </c>
      <c r="AI1106" s="98">
        <v>1.2899999999999999E-10</v>
      </c>
      <c r="AJ1106" s="483">
        <f t="shared" si="298"/>
        <v>-8.2455515260585575</v>
      </c>
      <c r="AK1106" s="483">
        <f t="shared" si="304"/>
        <v>-8.2779766160134027</v>
      </c>
      <c r="AL1106" s="483">
        <f t="shared" si="297"/>
        <v>-8.2779766160134027</v>
      </c>
      <c r="AM1106" s="483">
        <v>-11.272410000000001</v>
      </c>
      <c r="AN1106" s="226">
        <v>-7.65</v>
      </c>
      <c r="AO1106" s="484">
        <v>8.7899999999999991</v>
      </c>
      <c r="AP1106" s="484">
        <v>-3.73</v>
      </c>
      <c r="AQ1106" s="48" t="s">
        <v>6311</v>
      </c>
      <c r="AR1106" s="48" t="s">
        <v>6311</v>
      </c>
      <c r="AS1106" s="227"/>
      <c r="AT1106" s="50" t="s">
        <v>266</v>
      </c>
      <c r="AU1106" s="48">
        <v>6</v>
      </c>
      <c r="AV1106" s="48">
        <v>120</v>
      </c>
      <c r="AW1106" s="48">
        <v>114</v>
      </c>
      <c r="AX1106" s="48">
        <v>28</v>
      </c>
      <c r="AY1106" s="48" t="s">
        <v>8728</v>
      </c>
      <c r="AZ1106" s="48" t="s">
        <v>1563</v>
      </c>
      <c r="BA1106" s="48">
        <v>32</v>
      </c>
      <c r="BB1106" s="47" t="s">
        <v>2485</v>
      </c>
      <c r="BC1106" s="47" t="s">
        <v>8726</v>
      </c>
      <c r="BD1106" s="47" t="s">
        <v>8374</v>
      </c>
      <c r="BE1106" s="48" t="s">
        <v>2449</v>
      </c>
      <c r="BF1106" s="48" t="s">
        <v>272</v>
      </c>
      <c r="BG1106" s="48" t="s">
        <v>272</v>
      </c>
      <c r="BH1106" s="48" t="s">
        <v>2486</v>
      </c>
      <c r="BI1106" s="98">
        <v>6.3999999999999997E-6</v>
      </c>
      <c r="BJ1106" s="98">
        <v>6.4000000000000001E-2</v>
      </c>
      <c r="BK1106" s="48"/>
      <c r="BL1106" s="98">
        <f t="shared" ref="BL1106:BL1169" si="307">10^((-0.8981*Z1106)+1.7108)</f>
        <v>1.5921793977526657</v>
      </c>
      <c r="BM1106" s="47" t="s">
        <v>2487</v>
      </c>
      <c r="BN1106" s="48"/>
      <c r="BO1106" s="48"/>
      <c r="BP1106" s="48"/>
      <c r="BQ1106" s="48"/>
      <c r="BR1106" s="47" t="s">
        <v>2496</v>
      </c>
      <c r="BS1106" s="48"/>
      <c r="BT1106" s="48"/>
      <c r="BU1106" s="228"/>
      <c r="BV1106" s="48"/>
      <c r="BW1106" s="48"/>
      <c r="BX1106" s="48"/>
      <c r="BY1106" s="48"/>
      <c r="BZ1106" s="48"/>
      <c r="CA1106" s="48"/>
      <c r="CB1106" s="48"/>
      <c r="CC1106" s="48"/>
      <c r="CD1106" s="48"/>
      <c r="CE1106" s="48"/>
      <c r="CF1106" s="48"/>
      <c r="CG1106" s="48"/>
      <c r="CH1106" s="48"/>
      <c r="CI1106" s="98"/>
      <c r="CJ1106" s="98"/>
      <c r="CK1106" s="49">
        <f t="shared" si="302"/>
        <v>24.877803089885401</v>
      </c>
      <c r="CL1106" s="229"/>
      <c r="CM1106" s="229"/>
      <c r="CN1106" s="229"/>
      <c r="CO1106" s="47" t="s">
        <v>2488</v>
      </c>
      <c r="CP1106" s="47" t="s">
        <v>2489</v>
      </c>
      <c r="CQ1106" s="224">
        <v>-0.44108082036501461</v>
      </c>
      <c r="CR1106" s="224">
        <f t="shared" si="305"/>
        <v>2.7610916358804034</v>
      </c>
      <c r="CS1106" s="230" t="s">
        <v>539</v>
      </c>
      <c r="CT1106" s="230"/>
      <c r="CU1106" s="230"/>
      <c r="CV1106" s="335">
        <f t="shared" si="306"/>
        <v>48.768286611519606</v>
      </c>
      <c r="CW1106" s="230">
        <f t="shared" si="301"/>
        <v>1</v>
      </c>
      <c r="CX1106" s="336"/>
      <c r="CY1106" s="230" t="s">
        <v>5921</v>
      </c>
    </row>
    <row r="1107" spans="1:103" ht="11.25" customHeight="1" x14ac:dyDescent="0.2">
      <c r="A1107" s="72">
        <v>1105</v>
      </c>
      <c r="B1107" s="224">
        <v>1524</v>
      </c>
      <c r="C1107" s="46" t="s">
        <v>7259</v>
      </c>
      <c r="D1107" s="46"/>
      <c r="E1107" s="114"/>
      <c r="F1107" s="114" t="s">
        <v>4624</v>
      </c>
      <c r="G1107" s="225">
        <v>319857</v>
      </c>
      <c r="H1107" s="47" t="s">
        <v>1284</v>
      </c>
      <c r="I1107" s="47" t="s">
        <v>7983</v>
      </c>
      <c r="J1107" s="47" t="s">
        <v>4625</v>
      </c>
      <c r="K1107" s="47" t="s">
        <v>426</v>
      </c>
      <c r="L1107" s="51" t="s">
        <v>6153</v>
      </c>
      <c r="M1107" s="47" t="s">
        <v>6154</v>
      </c>
      <c r="N1107" s="47"/>
      <c r="O1107" s="47" t="s">
        <v>1287</v>
      </c>
      <c r="P1107" s="53" t="s">
        <v>6183</v>
      </c>
      <c r="Q1107" s="53" t="s">
        <v>6176</v>
      </c>
      <c r="R1107" s="53" t="s">
        <v>6181</v>
      </c>
      <c r="S1107" s="53" t="s">
        <v>6173</v>
      </c>
      <c r="T1107" s="48">
        <v>290.83</v>
      </c>
      <c r="U1107" s="98">
        <v>2.7507478595743221E-2</v>
      </c>
      <c r="V1107" s="98">
        <v>1.3905030430148195E-2</v>
      </c>
      <c r="W1107" s="98">
        <v>2.1379620895022287E-2</v>
      </c>
      <c r="X1107" s="98">
        <v>2.7507478595743221E-2</v>
      </c>
      <c r="Y1107" s="233">
        <v>7</v>
      </c>
      <c r="Z1107" s="48">
        <v>4.26</v>
      </c>
      <c r="AA1107" s="48">
        <v>4.1399999999999997</v>
      </c>
      <c r="AB1107" s="48">
        <v>3.79</v>
      </c>
      <c r="AC1107" s="48">
        <v>0.93030000000000002</v>
      </c>
      <c r="AD1107" s="48">
        <v>3.82</v>
      </c>
      <c r="AE1107" s="48">
        <v>3.99</v>
      </c>
      <c r="AF1107" s="48">
        <f t="shared" si="300"/>
        <v>4.1399999999999997</v>
      </c>
      <c r="AG1107" s="49">
        <v>3.92</v>
      </c>
      <c r="AH1107" s="98">
        <v>2.5599999999999999E-4</v>
      </c>
      <c r="AI1107" s="98">
        <v>5.1399999999999999E-6</v>
      </c>
      <c r="AJ1107" s="483">
        <f t="shared" si="298"/>
        <v>-1.9803263610008022</v>
      </c>
      <c r="AK1107" s="483">
        <f t="shared" si="304"/>
        <v>-3.6776032073173761</v>
      </c>
      <c r="AL1107" s="483">
        <f t="shared" si="297"/>
        <v>-3.6776032073173761</v>
      </c>
      <c r="AM1107" s="483">
        <v>-6.2972599999999996</v>
      </c>
      <c r="AN1107" s="226">
        <v>-3.77</v>
      </c>
      <c r="AO1107" s="484"/>
      <c r="AP1107" s="484"/>
      <c r="AQ1107" s="48" t="s">
        <v>6311</v>
      </c>
      <c r="AR1107" s="48" t="s">
        <v>6312</v>
      </c>
      <c r="AS1107" s="227"/>
      <c r="AT1107" s="50" t="s">
        <v>266</v>
      </c>
      <c r="AU1107" s="48">
        <v>6</v>
      </c>
      <c r="AV1107" s="48">
        <v>120</v>
      </c>
      <c r="AW1107" s="48">
        <v>114</v>
      </c>
      <c r="AX1107" s="48">
        <v>28</v>
      </c>
      <c r="AY1107" s="48" t="s">
        <v>8728</v>
      </c>
      <c r="AZ1107" s="48" t="s">
        <v>1563</v>
      </c>
      <c r="BA1107" s="48">
        <v>32</v>
      </c>
      <c r="BB1107" s="47" t="s">
        <v>2485</v>
      </c>
      <c r="BC1107" s="47" t="s">
        <v>8726</v>
      </c>
      <c r="BD1107" s="47" t="s">
        <v>8374</v>
      </c>
      <c r="BE1107" s="48" t="s">
        <v>2449</v>
      </c>
      <c r="BF1107" s="48" t="s">
        <v>272</v>
      </c>
      <c r="BG1107" s="48" t="s">
        <v>272</v>
      </c>
      <c r="BH1107" s="48" t="s">
        <v>2486</v>
      </c>
      <c r="BI1107" s="98">
        <v>6.3999999999999997E-6</v>
      </c>
      <c r="BJ1107" s="98">
        <v>6.4000000000000001E-2</v>
      </c>
      <c r="BK1107" s="48"/>
      <c r="BL1107" s="98">
        <f t="shared" si="307"/>
        <v>7.6717421921324528E-3</v>
      </c>
      <c r="BM1107" s="47" t="s">
        <v>2487</v>
      </c>
      <c r="BN1107" s="48"/>
      <c r="BO1107" s="48"/>
      <c r="BP1107" s="48"/>
      <c r="BQ1107" s="48"/>
      <c r="BR1107" s="47" t="s">
        <v>2496</v>
      </c>
      <c r="BS1107" s="48"/>
      <c r="BT1107" s="48"/>
      <c r="BU1107" s="228"/>
      <c r="BV1107" s="48"/>
      <c r="BW1107" s="48"/>
      <c r="BX1107" s="48"/>
      <c r="BY1107" s="48"/>
      <c r="BZ1107" s="48"/>
      <c r="CA1107" s="48"/>
      <c r="CB1107" s="48"/>
      <c r="CC1107" s="48"/>
      <c r="CD1107" s="48"/>
      <c r="CE1107" s="48"/>
      <c r="CF1107" s="48"/>
      <c r="CG1107" s="48"/>
      <c r="CH1107" s="48"/>
      <c r="CI1107" s="98"/>
      <c r="CJ1107" s="98"/>
      <c r="CK1107" s="49">
        <f t="shared" si="302"/>
        <v>0.11987097175206957</v>
      </c>
      <c r="CL1107" s="229"/>
      <c r="CM1107" s="229"/>
      <c r="CN1107" s="229"/>
      <c r="CO1107" s="47" t="s">
        <v>2488</v>
      </c>
      <c r="CP1107" s="47" t="s">
        <v>2489</v>
      </c>
      <c r="CQ1107" s="224">
        <v>-2.2817956153510721</v>
      </c>
      <c r="CR1107" s="224">
        <f t="shared" si="305"/>
        <v>191.33552631578951</v>
      </c>
      <c r="CS1107" s="230" t="s">
        <v>539</v>
      </c>
      <c r="CT1107" s="230"/>
      <c r="CU1107" s="230"/>
      <c r="CV1107" s="335">
        <f t="shared" si="306"/>
        <v>0.4298043530584878</v>
      </c>
      <c r="CW1107" s="230">
        <f t="shared" si="301"/>
        <v>0</v>
      </c>
      <c r="CX1107" s="336"/>
      <c r="CY1107" s="230" t="s">
        <v>5921</v>
      </c>
    </row>
    <row r="1108" spans="1:103" ht="11.25" customHeight="1" x14ac:dyDescent="0.2">
      <c r="A1108" s="72">
        <v>1106</v>
      </c>
      <c r="B1108" s="224">
        <v>321</v>
      </c>
      <c r="C1108" s="46" t="s">
        <v>3837</v>
      </c>
      <c r="D1108" s="46"/>
      <c r="E1108" s="114"/>
      <c r="F1108" s="114" t="s">
        <v>3838</v>
      </c>
      <c r="G1108" s="225">
        <v>330541</v>
      </c>
      <c r="H1108" s="47" t="s">
        <v>3839</v>
      </c>
      <c r="I1108" s="47" t="s">
        <v>8049</v>
      </c>
      <c r="J1108" s="47" t="s">
        <v>3840</v>
      </c>
      <c r="K1108" s="47" t="s">
        <v>1292</v>
      </c>
      <c r="L1108" s="47" t="s">
        <v>6095</v>
      </c>
      <c r="M1108" s="47" t="s">
        <v>3841</v>
      </c>
      <c r="N1108" s="47" t="s">
        <v>6385</v>
      </c>
      <c r="O1108" s="47" t="s">
        <v>3842</v>
      </c>
      <c r="P1108" s="53"/>
      <c r="Q1108" s="53"/>
      <c r="R1108" s="53"/>
      <c r="S1108" s="53"/>
      <c r="T1108" s="48">
        <v>233.09</v>
      </c>
      <c r="U1108" s="98">
        <v>0.18018791024925995</v>
      </c>
      <c r="V1108" s="98">
        <v>0.64610236389377496</v>
      </c>
      <c r="W1108" s="98">
        <v>0.20892961308540386</v>
      </c>
      <c r="X1108" s="98">
        <v>0.18018791024925995</v>
      </c>
      <c r="Y1108" s="233">
        <v>6.99</v>
      </c>
      <c r="Z1108" s="48">
        <v>2.67</v>
      </c>
      <c r="AA1108" s="48">
        <v>2.68</v>
      </c>
      <c r="AB1108" s="48">
        <v>2.73</v>
      </c>
      <c r="AC1108" s="48">
        <v>0.87980000000000003</v>
      </c>
      <c r="AD1108" s="48">
        <v>2.75</v>
      </c>
      <c r="AE1108" s="48">
        <v>2.78</v>
      </c>
      <c r="AF1108" s="48">
        <f t="shared" si="300"/>
        <v>2.68</v>
      </c>
      <c r="AG1108" s="49">
        <v>2.54</v>
      </c>
      <c r="AH1108" s="98">
        <v>5.3300000000000002E-10</v>
      </c>
      <c r="AI1108" s="98">
        <v>5.0400000000000002E-10</v>
      </c>
      <c r="AJ1108" s="483">
        <f t="shared" si="298"/>
        <v>-7.6618391172860791</v>
      </c>
      <c r="AK1108" s="483">
        <f t="shared" si="304"/>
        <v>-7.6861357898671265</v>
      </c>
      <c r="AL1108" s="483">
        <f t="shared" si="297"/>
        <v>-7.6861357898671265</v>
      </c>
      <c r="AM1108" s="483">
        <v>-11.529409999999999</v>
      </c>
      <c r="AN1108" s="226">
        <v>-8.02</v>
      </c>
      <c r="AO1108" s="484">
        <v>13.55</v>
      </c>
      <c r="AP1108" s="484">
        <v>-1.0900000000000001</v>
      </c>
      <c r="AQ1108" s="226" t="s">
        <v>6311</v>
      </c>
      <c r="AR1108" s="226" t="s">
        <v>6311</v>
      </c>
      <c r="AS1108" s="224" t="s">
        <v>6</v>
      </c>
      <c r="AT1108" s="50" t="s">
        <v>266</v>
      </c>
      <c r="AU1108" s="48">
        <v>8</v>
      </c>
      <c r="AV1108" s="48">
        <v>144</v>
      </c>
      <c r="AW1108" s="48">
        <v>120</v>
      </c>
      <c r="AX1108" s="48">
        <v>26</v>
      </c>
      <c r="AY1108" s="48" t="s">
        <v>267</v>
      </c>
      <c r="AZ1108" s="48" t="s">
        <v>2253</v>
      </c>
      <c r="BA1108" s="48">
        <v>2</v>
      </c>
      <c r="BB1108" s="47" t="s">
        <v>2254</v>
      </c>
      <c r="BC1108" s="47" t="s">
        <v>270</v>
      </c>
      <c r="BD1108" s="47" t="s">
        <v>8374</v>
      </c>
      <c r="BE1108" s="48" t="s">
        <v>1712</v>
      </c>
      <c r="BF1108" s="48" t="s">
        <v>272</v>
      </c>
      <c r="BG1108" s="48" t="s">
        <v>272</v>
      </c>
      <c r="BH1108" s="48" t="s">
        <v>2255</v>
      </c>
      <c r="BI1108" s="98">
        <v>9.9999999999999995E-7</v>
      </c>
      <c r="BJ1108" s="98">
        <v>0.08</v>
      </c>
      <c r="BK1108" s="48"/>
      <c r="BL1108" s="98">
        <f t="shared" si="307"/>
        <v>0.20552894832736404</v>
      </c>
      <c r="BM1108" s="48" t="s">
        <v>891</v>
      </c>
      <c r="BN1108" s="233"/>
      <c r="BO1108" s="233"/>
      <c r="BP1108" s="233"/>
      <c r="BQ1108" s="233"/>
      <c r="BR1108" s="233"/>
      <c r="BS1108" s="48"/>
      <c r="BT1108" s="233"/>
      <c r="BU1108" s="228"/>
      <c r="BV1108" s="233"/>
      <c r="BW1108" s="233"/>
      <c r="BX1108" s="233"/>
      <c r="BY1108" s="233"/>
      <c r="BZ1108" s="233"/>
      <c r="CA1108" s="233"/>
      <c r="CB1108" s="233"/>
      <c r="CC1108" s="48"/>
      <c r="CD1108" s="48"/>
      <c r="CE1108" s="48"/>
      <c r="CF1108" s="48"/>
      <c r="CG1108" s="233"/>
      <c r="CH1108" s="48"/>
      <c r="CI1108" s="98"/>
      <c r="CJ1108" s="98"/>
      <c r="CK1108" s="49">
        <f t="shared" si="302"/>
        <v>2.5691118540920503</v>
      </c>
      <c r="CL1108" s="229"/>
      <c r="CM1108" s="229"/>
      <c r="CN1108" s="229"/>
      <c r="CO1108" s="47" t="s">
        <v>892</v>
      </c>
      <c r="CP1108" s="47" t="s">
        <v>893</v>
      </c>
      <c r="CQ1108" s="224">
        <v>-1.461051709825913</v>
      </c>
      <c r="CR1108" s="224">
        <f t="shared" si="305"/>
        <v>28.91024085340365</v>
      </c>
      <c r="CS1108" s="230" t="s">
        <v>539</v>
      </c>
      <c r="CT1108" s="230"/>
      <c r="CU1108" s="230"/>
      <c r="CV1108" s="335">
        <f t="shared" si="306"/>
        <v>2.2523488781157495</v>
      </c>
      <c r="CW1108" s="230">
        <f t="shared" si="301"/>
        <v>1</v>
      </c>
      <c r="CX1108" s="336" t="s">
        <v>539</v>
      </c>
      <c r="CY1108" s="230" t="s">
        <v>6351</v>
      </c>
    </row>
    <row r="1109" spans="1:103" ht="11.25" customHeight="1" x14ac:dyDescent="0.2">
      <c r="A1109" s="72">
        <v>1107</v>
      </c>
      <c r="B1109" s="224">
        <v>1635</v>
      </c>
      <c r="C1109" s="46" t="s">
        <v>3837</v>
      </c>
      <c r="D1109" s="46"/>
      <c r="E1109" s="114"/>
      <c r="F1109" s="114" t="s">
        <v>3838</v>
      </c>
      <c r="G1109" s="225">
        <v>330541</v>
      </c>
      <c r="H1109" s="47" t="s">
        <v>3839</v>
      </c>
      <c r="I1109" s="47" t="s">
        <v>8049</v>
      </c>
      <c r="J1109" s="47" t="s">
        <v>3840</v>
      </c>
      <c r="K1109" s="47" t="s">
        <v>1292</v>
      </c>
      <c r="L1109" s="47" t="s">
        <v>6095</v>
      </c>
      <c r="M1109" s="47" t="s">
        <v>3841</v>
      </c>
      <c r="N1109" s="47" t="s">
        <v>6385</v>
      </c>
      <c r="O1109" s="47" t="s">
        <v>3842</v>
      </c>
      <c r="P1109" s="53"/>
      <c r="Q1109" s="53" t="s">
        <v>6173</v>
      </c>
      <c r="R1109" s="53" t="s">
        <v>6185</v>
      </c>
      <c r="S1109" s="53" t="s">
        <v>6176</v>
      </c>
      <c r="T1109" s="48">
        <v>233.09</v>
      </c>
      <c r="U1109" s="98">
        <v>0.18018791024925995</v>
      </c>
      <c r="V1109" s="98">
        <v>0.64610236389377496</v>
      </c>
      <c r="W1109" s="98">
        <v>0.20892961308540386</v>
      </c>
      <c r="X1109" s="98">
        <v>0.18018791024925995</v>
      </c>
      <c r="Y1109" s="233">
        <v>6.99</v>
      </c>
      <c r="Z1109" s="48">
        <v>2.67</v>
      </c>
      <c r="AA1109" s="48">
        <v>2.68</v>
      </c>
      <c r="AB1109" s="48">
        <v>2.73</v>
      </c>
      <c r="AC1109" s="48">
        <v>0.87980000000000003</v>
      </c>
      <c r="AD1109" s="48">
        <v>2.75</v>
      </c>
      <c r="AE1109" s="48">
        <v>2.78</v>
      </c>
      <c r="AF1109" s="48">
        <f t="shared" si="300"/>
        <v>2.68</v>
      </c>
      <c r="AG1109" s="49">
        <v>2.54</v>
      </c>
      <c r="AH1109" s="98">
        <v>5.3300000000000002E-10</v>
      </c>
      <c r="AI1109" s="98">
        <v>5.0400000000000002E-10</v>
      </c>
      <c r="AJ1109" s="483">
        <f t="shared" si="298"/>
        <v>-7.6618391172860791</v>
      </c>
      <c r="AK1109" s="483">
        <f t="shared" si="304"/>
        <v>-7.6861357898671265</v>
      </c>
      <c r="AL1109" s="483">
        <f t="shared" si="297"/>
        <v>-7.6861357898671265</v>
      </c>
      <c r="AM1109" s="483">
        <v>-11.529409999999999</v>
      </c>
      <c r="AN1109" s="226">
        <v>-8.02</v>
      </c>
      <c r="AO1109" s="484">
        <v>13.55</v>
      </c>
      <c r="AP1109" s="484">
        <v>-1.0900000000000001</v>
      </c>
      <c r="AQ1109" s="226" t="s">
        <v>6311</v>
      </c>
      <c r="AR1109" s="226" t="s">
        <v>6311</v>
      </c>
      <c r="AS1109" s="224"/>
      <c r="AT1109" s="50" t="s">
        <v>266</v>
      </c>
      <c r="AU1109" s="48">
        <v>6</v>
      </c>
      <c r="AV1109" s="48">
        <v>120</v>
      </c>
      <c r="AW1109" s="48">
        <v>114</v>
      </c>
      <c r="AX1109" s="48">
        <v>28</v>
      </c>
      <c r="AY1109" s="48" t="s">
        <v>8728</v>
      </c>
      <c r="AZ1109" s="48" t="s">
        <v>1563</v>
      </c>
      <c r="BA1109" s="48">
        <v>32</v>
      </c>
      <c r="BB1109" s="47" t="s">
        <v>2485</v>
      </c>
      <c r="BC1109" s="47" t="s">
        <v>8726</v>
      </c>
      <c r="BD1109" s="47" t="s">
        <v>8374</v>
      </c>
      <c r="BE1109" s="48" t="s">
        <v>2449</v>
      </c>
      <c r="BF1109" s="48" t="s">
        <v>272</v>
      </c>
      <c r="BG1109" s="48" t="s">
        <v>272</v>
      </c>
      <c r="BH1109" s="48" t="s">
        <v>2486</v>
      </c>
      <c r="BI1109" s="98">
        <v>6.3999999999999997E-6</v>
      </c>
      <c r="BJ1109" s="98">
        <v>6.4000000000000001E-2</v>
      </c>
      <c r="BK1109" s="48"/>
      <c r="BL1109" s="98">
        <f t="shared" si="307"/>
        <v>0.20552894832736404</v>
      </c>
      <c r="BM1109" s="47" t="s">
        <v>2487</v>
      </c>
      <c r="BN1109" s="48"/>
      <c r="BO1109" s="48"/>
      <c r="BP1109" s="48"/>
      <c r="BQ1109" s="48"/>
      <c r="BR1109" s="47" t="s">
        <v>2496</v>
      </c>
      <c r="BS1109" s="48"/>
      <c r="BT1109" s="48"/>
      <c r="BU1109" s="228"/>
      <c r="BV1109" s="48"/>
      <c r="BW1109" s="48"/>
      <c r="BX1109" s="48"/>
      <c r="BY1109" s="48"/>
      <c r="BZ1109" s="48"/>
      <c r="CA1109" s="48"/>
      <c r="CB1109" s="48"/>
      <c r="CC1109" s="48"/>
      <c r="CD1109" s="48"/>
      <c r="CE1109" s="48"/>
      <c r="CF1109" s="48"/>
      <c r="CG1109" s="48"/>
      <c r="CH1109" s="48"/>
      <c r="CI1109" s="98"/>
      <c r="CJ1109" s="98"/>
      <c r="CK1109" s="49">
        <f t="shared" si="302"/>
        <v>3.2113898176150633</v>
      </c>
      <c r="CL1109" s="229"/>
      <c r="CM1109" s="229"/>
      <c r="CN1109" s="229"/>
      <c r="CO1109" s="47" t="s">
        <v>2488</v>
      </c>
      <c r="CP1109" s="47" t="s">
        <v>2489</v>
      </c>
      <c r="CQ1109" s="224">
        <v>-1.461051709825913</v>
      </c>
      <c r="CR1109" s="224">
        <f t="shared" si="305"/>
        <v>28.91024085340365</v>
      </c>
      <c r="CS1109" s="230" t="s">
        <v>539</v>
      </c>
      <c r="CT1109" s="230"/>
      <c r="CU1109" s="230"/>
      <c r="CV1109" s="335">
        <f t="shared" si="306"/>
        <v>2.8154360976446866</v>
      </c>
      <c r="CW1109" s="230">
        <f t="shared" si="301"/>
        <v>1</v>
      </c>
      <c r="CX1109" s="336"/>
      <c r="CY1109" s="230" t="s">
        <v>6351</v>
      </c>
    </row>
    <row r="1110" spans="1:103" ht="11.25" customHeight="1" x14ac:dyDescent="0.2">
      <c r="A1110" s="72">
        <v>1108</v>
      </c>
      <c r="B1110" s="224">
        <v>1721</v>
      </c>
      <c r="C1110" s="46" t="s">
        <v>1288</v>
      </c>
      <c r="D1110" s="46"/>
      <c r="E1110" s="114"/>
      <c r="F1110" s="114" t="s">
        <v>1289</v>
      </c>
      <c r="G1110" s="225">
        <v>330552</v>
      </c>
      <c r="H1110" s="47" t="s">
        <v>1290</v>
      </c>
      <c r="I1110" s="47" t="s">
        <v>8050</v>
      </c>
      <c r="J1110" s="47" t="s">
        <v>1291</v>
      </c>
      <c r="K1110" s="47" t="s">
        <v>1292</v>
      </c>
      <c r="L1110" s="47" t="s">
        <v>5997</v>
      </c>
      <c r="M1110" s="47" t="s">
        <v>6082</v>
      </c>
      <c r="N1110" s="47" t="s">
        <v>6082</v>
      </c>
      <c r="O1110" s="47" t="s">
        <v>6083</v>
      </c>
      <c r="P1110" s="53"/>
      <c r="Q1110" s="53"/>
      <c r="R1110" s="53"/>
      <c r="S1110" s="53"/>
      <c r="T1110" s="48">
        <v>249.09</v>
      </c>
      <c r="U1110" s="98">
        <v>0.30109598940142118</v>
      </c>
      <c r="V1110" s="98">
        <v>0.17772692601067888</v>
      </c>
      <c r="W1110" s="98">
        <v>0.14454397707459266</v>
      </c>
      <c r="X1110" s="98">
        <v>0.30109598940142118</v>
      </c>
      <c r="Y1110" s="233">
        <v>7</v>
      </c>
      <c r="Z1110" s="48">
        <v>2.91</v>
      </c>
      <c r="AA1110" s="48">
        <v>3.2</v>
      </c>
      <c r="AB1110" s="48">
        <v>3.06</v>
      </c>
      <c r="AC1110" s="48">
        <v>0.93340000000000001</v>
      </c>
      <c r="AD1110" s="48">
        <v>3.08</v>
      </c>
      <c r="AE1110" s="48">
        <v>3.2</v>
      </c>
      <c r="AF1110" s="48">
        <f t="shared" si="300"/>
        <v>3.2</v>
      </c>
      <c r="AG1110" s="49">
        <v>2.21</v>
      </c>
      <c r="AH1110" s="98">
        <v>1.15E-8</v>
      </c>
      <c r="AI1110" s="98">
        <v>6.2499999999999997E-9</v>
      </c>
      <c r="AJ1110" s="483">
        <f t="shared" si="298"/>
        <v>-6.3278684859590397</v>
      </c>
      <c r="AK1110" s="483">
        <f t="shared" si="304"/>
        <v>-6.5926863089685765</v>
      </c>
      <c r="AL1110" s="483">
        <f t="shared" si="297"/>
        <v>-6.5926863089685765</v>
      </c>
      <c r="AM1110" s="483">
        <v>-13.093050000000002</v>
      </c>
      <c r="AN1110" s="226">
        <v>-6.84</v>
      </c>
      <c r="AO1110" s="484">
        <v>12.13</v>
      </c>
      <c r="AP1110" s="484">
        <v>-1.05</v>
      </c>
      <c r="AQ1110" s="226" t="s">
        <v>6311</v>
      </c>
      <c r="AR1110" s="226" t="s">
        <v>6311</v>
      </c>
      <c r="AS1110" s="224"/>
      <c r="AT1110" s="50" t="s">
        <v>266</v>
      </c>
      <c r="AU1110" s="48">
        <v>6</v>
      </c>
      <c r="AV1110" s="48">
        <v>120</v>
      </c>
      <c r="AW1110" s="48">
        <v>114</v>
      </c>
      <c r="AX1110" s="48">
        <v>28</v>
      </c>
      <c r="AY1110" s="48" t="s">
        <v>8728</v>
      </c>
      <c r="AZ1110" s="48" t="s">
        <v>1563</v>
      </c>
      <c r="BA1110" s="48">
        <v>32</v>
      </c>
      <c r="BB1110" s="47" t="s">
        <v>2485</v>
      </c>
      <c r="BC1110" s="47" t="s">
        <v>8726</v>
      </c>
      <c r="BD1110" s="47" t="s">
        <v>8374</v>
      </c>
      <c r="BE1110" s="48" t="s">
        <v>2449</v>
      </c>
      <c r="BF1110" s="48" t="s">
        <v>272</v>
      </c>
      <c r="BG1110" s="48" t="s">
        <v>272</v>
      </c>
      <c r="BH1110" s="48" t="s">
        <v>2486</v>
      </c>
      <c r="BI1110" s="98">
        <v>6.3999999999999997E-6</v>
      </c>
      <c r="BJ1110" s="98">
        <v>6.4000000000000001E-2</v>
      </c>
      <c r="BK1110" s="48"/>
      <c r="BL1110" s="98">
        <f t="shared" si="307"/>
        <v>0.12512065234073388</v>
      </c>
      <c r="BM1110" s="47" t="s">
        <v>2487</v>
      </c>
      <c r="BN1110" s="48"/>
      <c r="BO1110" s="48"/>
      <c r="BP1110" s="48"/>
      <c r="BQ1110" s="48"/>
      <c r="BR1110" s="47" t="s">
        <v>2496</v>
      </c>
      <c r="BS1110" s="48"/>
      <c r="BT1110" s="48"/>
      <c r="BU1110" s="228"/>
      <c r="BV1110" s="48"/>
      <c r="BW1110" s="48"/>
      <c r="BX1110" s="48"/>
      <c r="BY1110" s="48"/>
      <c r="BZ1110" s="48"/>
      <c r="CA1110" s="48"/>
      <c r="CB1110" s="48"/>
      <c r="CC1110" s="48"/>
      <c r="CD1110" s="48"/>
      <c r="CE1110" s="48"/>
      <c r="CF1110" s="48"/>
      <c r="CG1110" s="48"/>
      <c r="CH1110" s="48"/>
      <c r="CI1110" s="98"/>
      <c r="CJ1110" s="98"/>
      <c r="CK1110" s="49">
        <f t="shared" si="302"/>
        <v>1.9550101928239669</v>
      </c>
      <c r="CL1110" s="229"/>
      <c r="CM1110" s="229">
        <v>-1.6650037940289821</v>
      </c>
      <c r="CN1110" s="229">
        <f>BJ1110/(10^CM1110)</f>
        <v>2.9592643891967394</v>
      </c>
      <c r="CO1110" s="47" t="s">
        <v>2488</v>
      </c>
      <c r="CP1110" s="47" t="s">
        <v>2489</v>
      </c>
      <c r="CQ1110" s="224">
        <v>-1.5047510308479886</v>
      </c>
      <c r="CR1110" s="224">
        <f t="shared" si="305"/>
        <v>31.97061796133562</v>
      </c>
      <c r="CS1110" s="230" t="s">
        <v>539</v>
      </c>
      <c r="CT1110" s="230"/>
      <c r="CU1110" s="230"/>
      <c r="CV1110" s="335">
        <f t="shared" si="306"/>
        <v>4.7046248343972055</v>
      </c>
      <c r="CW1110" s="230">
        <f t="shared" si="301"/>
        <v>1</v>
      </c>
      <c r="CX1110" s="336"/>
      <c r="CY1110" s="230" t="s">
        <v>5921</v>
      </c>
    </row>
    <row r="1111" spans="1:103" ht="11.25" customHeight="1" x14ac:dyDescent="0.2">
      <c r="A1111" s="72">
        <v>1109</v>
      </c>
      <c r="B1111" s="224">
        <v>1590</v>
      </c>
      <c r="C1111" s="46" t="s">
        <v>1087</v>
      </c>
      <c r="D1111" s="46"/>
      <c r="E1111" s="114"/>
      <c r="F1111" s="114" t="s">
        <v>1088</v>
      </c>
      <c r="G1111" s="225">
        <v>333415</v>
      </c>
      <c r="H1111" s="47" t="s">
        <v>1089</v>
      </c>
      <c r="I1111" s="47" t="s">
        <v>1089</v>
      </c>
      <c r="J1111" s="47" t="s">
        <v>1090</v>
      </c>
      <c r="K1111" s="47" t="s">
        <v>628</v>
      </c>
      <c r="L1111" s="47" t="s">
        <v>617</v>
      </c>
      <c r="M1111" s="47" t="s">
        <v>946</v>
      </c>
      <c r="N1111" s="47" t="s">
        <v>6376</v>
      </c>
      <c r="O1111" s="47" t="s">
        <v>918</v>
      </c>
      <c r="P1111" s="53" t="s">
        <v>6178</v>
      </c>
      <c r="Q1111" s="53" t="s">
        <v>6173</v>
      </c>
      <c r="R1111" s="53" t="s">
        <v>6177</v>
      </c>
      <c r="S1111" s="53" t="s">
        <v>6176</v>
      </c>
      <c r="T1111" s="48">
        <v>304.35000000000002</v>
      </c>
      <c r="U1111" s="98">
        <v>0.1314276326597667</v>
      </c>
      <c r="V1111" s="98">
        <v>2.1212419911286348E-2</v>
      </c>
      <c r="W1111" s="98">
        <v>5.370317963702527E-2</v>
      </c>
      <c r="X1111" s="98">
        <v>0.1314276326597667</v>
      </c>
      <c r="Y1111" s="233">
        <v>7</v>
      </c>
      <c r="Z1111" s="48">
        <v>3.86</v>
      </c>
      <c r="AA1111" s="48">
        <v>3.81</v>
      </c>
      <c r="AB1111" s="48">
        <v>3.79</v>
      </c>
      <c r="AC1111" s="48">
        <v>0.7823</v>
      </c>
      <c r="AD1111" s="48">
        <v>3.8</v>
      </c>
      <c r="AE1111" s="48">
        <v>3.81</v>
      </c>
      <c r="AF1111" s="48">
        <f t="shared" si="300"/>
        <v>3.81</v>
      </c>
      <c r="AG1111" s="49">
        <v>4.32</v>
      </c>
      <c r="AH1111" s="98">
        <v>8.7299999999999994E-8</v>
      </c>
      <c r="AI1111" s="98">
        <v>1.1300000000000001E-7</v>
      </c>
      <c r="AJ1111" s="483">
        <f t="shared" si="298"/>
        <v>-5.447552082607082</v>
      </c>
      <c r="AK1111" s="483">
        <f t="shared" si="304"/>
        <v>-5.3354878828292325</v>
      </c>
      <c r="AL1111" s="483">
        <f t="shared" si="297"/>
        <v>-5.3354878828292325</v>
      </c>
      <c r="AM1111" s="483">
        <v>-11.566619999999999</v>
      </c>
      <c r="AN1111" s="226">
        <v>-2.79</v>
      </c>
      <c r="AO1111" s="484"/>
      <c r="AP1111" s="484">
        <v>1.21</v>
      </c>
      <c r="AQ1111" s="48" t="s">
        <v>6312</v>
      </c>
      <c r="AR1111" s="48" t="s">
        <v>6312</v>
      </c>
      <c r="AS1111" s="227"/>
      <c r="AT1111" s="50" t="s">
        <v>266</v>
      </c>
      <c r="AU1111" s="48">
        <v>6</v>
      </c>
      <c r="AV1111" s="48">
        <v>120</v>
      </c>
      <c r="AW1111" s="48">
        <v>114</v>
      </c>
      <c r="AX1111" s="48">
        <v>28</v>
      </c>
      <c r="AY1111" s="48" t="s">
        <v>8728</v>
      </c>
      <c r="AZ1111" s="48" t="s">
        <v>1563</v>
      </c>
      <c r="BA1111" s="48">
        <v>32</v>
      </c>
      <c r="BB1111" s="47" t="s">
        <v>2485</v>
      </c>
      <c r="BC1111" s="47" t="s">
        <v>8726</v>
      </c>
      <c r="BD1111" s="47" t="s">
        <v>8374</v>
      </c>
      <c r="BE1111" s="48" t="s">
        <v>2449</v>
      </c>
      <c r="BF1111" s="48" t="s">
        <v>272</v>
      </c>
      <c r="BG1111" s="48" t="s">
        <v>272</v>
      </c>
      <c r="BH1111" s="48" t="s">
        <v>2486</v>
      </c>
      <c r="BI1111" s="98">
        <v>6.3999999999999997E-6</v>
      </c>
      <c r="BJ1111" s="98">
        <v>6.4000000000000001E-2</v>
      </c>
      <c r="BK1111" s="48"/>
      <c r="BL1111" s="98">
        <f t="shared" si="307"/>
        <v>1.7544217388550231E-2</v>
      </c>
      <c r="BM1111" s="47" t="s">
        <v>2487</v>
      </c>
      <c r="BN1111" s="48"/>
      <c r="BO1111" s="48"/>
      <c r="BP1111" s="48"/>
      <c r="BQ1111" s="48"/>
      <c r="BR1111" s="47" t="s">
        <v>2496</v>
      </c>
      <c r="BS1111" s="48"/>
      <c r="BT1111" s="48"/>
      <c r="BU1111" s="228"/>
      <c r="BV1111" s="48"/>
      <c r="BW1111" s="48"/>
      <c r="BX1111" s="48"/>
      <c r="BY1111" s="48"/>
      <c r="BZ1111" s="48"/>
      <c r="CA1111" s="48"/>
      <c r="CB1111" s="48"/>
      <c r="CC1111" s="48"/>
      <c r="CD1111" s="48"/>
      <c r="CE1111" s="48"/>
      <c r="CF1111" s="48"/>
      <c r="CG1111" s="48"/>
      <c r="CH1111" s="48"/>
      <c r="CI1111" s="98"/>
      <c r="CJ1111" s="98"/>
      <c r="CK1111" s="49">
        <f t="shared" si="302"/>
        <v>0.27412839669609734</v>
      </c>
      <c r="CL1111" s="229"/>
      <c r="CM1111" s="229">
        <v>-3.2351961258107615</v>
      </c>
      <c r="CN1111" s="229">
        <f>BJ1111/(10^CM1111)</f>
        <v>109.99579926700936</v>
      </c>
      <c r="CO1111" s="47" t="s">
        <v>2488</v>
      </c>
      <c r="CP1111" s="47" t="s">
        <v>2489</v>
      </c>
      <c r="CQ1111" s="224">
        <v>-2.4603145290714736</v>
      </c>
      <c r="CR1111" s="224">
        <f t="shared" si="305"/>
        <v>288.61209616545261</v>
      </c>
      <c r="CS1111" s="230" t="s">
        <v>539</v>
      </c>
      <c r="CT1111" s="230"/>
      <c r="CU1111" s="230"/>
      <c r="CV1111" s="335">
        <f t="shared" si="306"/>
        <v>2.0535567603088545</v>
      </c>
      <c r="CW1111" s="230">
        <f t="shared" si="301"/>
        <v>1</v>
      </c>
      <c r="CX1111" s="336"/>
      <c r="CY1111" s="230" t="s">
        <v>5921</v>
      </c>
    </row>
    <row r="1112" spans="1:103" ht="11.25" customHeight="1" x14ac:dyDescent="0.2">
      <c r="A1112" s="72">
        <v>1110</v>
      </c>
      <c r="B1112" s="224">
        <v>1583</v>
      </c>
      <c r="C1112" s="46" t="s">
        <v>7260</v>
      </c>
      <c r="D1112" s="46"/>
      <c r="E1112" s="114"/>
      <c r="F1112" s="114" t="s">
        <v>4729</v>
      </c>
      <c r="G1112" s="225">
        <v>334485</v>
      </c>
      <c r="H1112" s="47" t="s">
        <v>4730</v>
      </c>
      <c r="I1112" s="47" t="s">
        <v>4730</v>
      </c>
      <c r="J1112" s="47" t="s">
        <v>4731</v>
      </c>
      <c r="K1112" s="47" t="s">
        <v>426</v>
      </c>
      <c r="L1112" s="47"/>
      <c r="M1112" s="47"/>
      <c r="N1112" s="47"/>
      <c r="O1112" s="47"/>
      <c r="P1112" s="53"/>
      <c r="Q1112" s="53"/>
      <c r="R1112" s="53"/>
      <c r="S1112" s="53"/>
      <c r="T1112" s="48">
        <v>172.26</v>
      </c>
      <c r="U1112" s="98">
        <v>0.35876001393242773</v>
      </c>
      <c r="V1112" s="98">
        <v>0.27800998490653667</v>
      </c>
      <c r="W1112" s="98">
        <v>2.4547089156850301</v>
      </c>
      <c r="X1112" s="98">
        <v>0.35876001393242773</v>
      </c>
      <c r="Y1112" s="233">
        <v>3.72</v>
      </c>
      <c r="Z1112" s="48">
        <v>4.0199999999999996</v>
      </c>
      <c r="AA1112" s="48">
        <v>4.09</v>
      </c>
      <c r="AB1112" s="48">
        <v>4.07</v>
      </c>
      <c r="AC1112" s="48">
        <v>0.92910000000000004</v>
      </c>
      <c r="AD1112" s="48">
        <v>4.05</v>
      </c>
      <c r="AE1112" s="48">
        <v>3.97</v>
      </c>
      <c r="AF1112" s="48">
        <f t="shared" si="300"/>
        <v>4.09</v>
      </c>
      <c r="AG1112" s="49">
        <v>3.33</v>
      </c>
      <c r="AH1112" s="98">
        <v>5.2800000000000003E-6</v>
      </c>
      <c r="AI1112" s="98">
        <v>1.3400000000000001E-6</v>
      </c>
      <c r="AJ1112" s="483">
        <f t="shared" si="298"/>
        <v>-3.6659324037788394</v>
      </c>
      <c r="AK1112" s="483">
        <f t="shared" si="304"/>
        <v>-4.2614615279478443</v>
      </c>
      <c r="AL1112" s="483">
        <f t="shared" si="297"/>
        <v>-4.2614615279478443</v>
      </c>
      <c r="AM1112" s="483">
        <v>-5.9355999999999991</v>
      </c>
      <c r="AN1112" s="226">
        <v>-3.96</v>
      </c>
      <c r="AO1112" s="484">
        <v>4.79</v>
      </c>
      <c r="AP1112" s="484"/>
      <c r="AQ1112" s="48" t="s">
        <v>6311</v>
      </c>
      <c r="AR1112" s="48" t="s">
        <v>6311</v>
      </c>
      <c r="AS1112" s="227"/>
      <c r="AT1112" s="50" t="s">
        <v>266</v>
      </c>
      <c r="AU1112" s="48">
        <v>6</v>
      </c>
      <c r="AV1112" s="48">
        <v>120</v>
      </c>
      <c r="AW1112" s="48">
        <v>114</v>
      </c>
      <c r="AX1112" s="48">
        <v>28</v>
      </c>
      <c r="AY1112" s="48" t="s">
        <v>8728</v>
      </c>
      <c r="AZ1112" s="48" t="s">
        <v>1563</v>
      </c>
      <c r="BA1112" s="48">
        <v>32</v>
      </c>
      <c r="BB1112" s="47" t="s">
        <v>2485</v>
      </c>
      <c r="BC1112" s="47" t="s">
        <v>8726</v>
      </c>
      <c r="BD1112" s="47" t="s">
        <v>8374</v>
      </c>
      <c r="BE1112" s="48" t="s">
        <v>2449</v>
      </c>
      <c r="BF1112" s="48" t="s">
        <v>272</v>
      </c>
      <c r="BG1112" s="48" t="s">
        <v>272</v>
      </c>
      <c r="BH1112" s="48" t="s">
        <v>2486</v>
      </c>
      <c r="BI1112" s="98">
        <v>6.3999999999999997E-6</v>
      </c>
      <c r="BJ1112" s="98">
        <v>6.4000000000000001E-2</v>
      </c>
      <c r="BK1112" s="48"/>
      <c r="BL1112" s="98">
        <f t="shared" si="307"/>
        <v>1.2601957191637207E-2</v>
      </c>
      <c r="BM1112" s="47" t="s">
        <v>2487</v>
      </c>
      <c r="BN1112" s="48"/>
      <c r="BO1112" s="48"/>
      <c r="BP1112" s="48"/>
      <c r="BQ1112" s="48"/>
      <c r="BR1112" s="47" t="s">
        <v>2496</v>
      </c>
      <c r="BS1112" s="48"/>
      <c r="BT1112" s="48"/>
      <c r="BU1112" s="228"/>
      <c r="BV1112" s="48"/>
      <c r="BW1112" s="48"/>
      <c r="BX1112" s="48"/>
      <c r="BY1112" s="48"/>
      <c r="BZ1112" s="48"/>
      <c r="CA1112" s="48"/>
      <c r="CB1112" s="48"/>
      <c r="CC1112" s="48"/>
      <c r="CD1112" s="48"/>
      <c r="CE1112" s="48"/>
      <c r="CF1112" s="48"/>
      <c r="CG1112" s="48"/>
      <c r="CH1112" s="48"/>
      <c r="CI1112" s="98"/>
      <c r="CJ1112" s="98"/>
      <c r="CK1112" s="49">
        <f t="shared" si="302"/>
        <v>0.19690558111933135</v>
      </c>
      <c r="CL1112" s="229"/>
      <c r="CM1112" s="229"/>
      <c r="CN1112" s="229"/>
      <c r="CO1112" s="47" t="s">
        <v>2488</v>
      </c>
      <c r="CP1112" s="47" t="s">
        <v>2489</v>
      </c>
      <c r="CQ1112" s="224" t="s">
        <v>272</v>
      </c>
      <c r="CR1112" s="224"/>
      <c r="CS1112" s="230" t="s">
        <v>539</v>
      </c>
      <c r="CT1112" s="230"/>
      <c r="CU1112" s="230"/>
      <c r="CV1112" s="335">
        <f t="shared" si="306"/>
        <v>5.6056252176941834</v>
      </c>
      <c r="CW1112" s="230">
        <f t="shared" si="301"/>
        <v>1</v>
      </c>
      <c r="CX1112" s="336"/>
      <c r="CY1112" s="230" t="s">
        <v>5921</v>
      </c>
    </row>
    <row r="1113" spans="1:103" ht="11.25" customHeight="1" x14ac:dyDescent="0.2">
      <c r="A1113" s="72">
        <v>1111</v>
      </c>
      <c r="B1113" s="224">
        <v>429</v>
      </c>
      <c r="C1113" s="46" t="s">
        <v>7261</v>
      </c>
      <c r="D1113" s="46"/>
      <c r="E1113" s="114"/>
      <c r="F1113" s="114" t="s">
        <v>2050</v>
      </c>
      <c r="G1113" s="225">
        <v>335671</v>
      </c>
      <c r="H1113" s="47" t="s">
        <v>2051</v>
      </c>
      <c r="I1113" s="47" t="s">
        <v>2051</v>
      </c>
      <c r="J1113" s="47" t="s">
        <v>2052</v>
      </c>
      <c r="K1113" s="47" t="s">
        <v>426</v>
      </c>
      <c r="L1113" s="47"/>
      <c r="M1113" s="47"/>
      <c r="N1113" s="47"/>
      <c r="O1113" s="47"/>
      <c r="P1113" s="53"/>
      <c r="Q1113" s="53"/>
      <c r="R1113" s="53"/>
      <c r="S1113" s="53"/>
      <c r="T1113" s="48">
        <v>414.07</v>
      </c>
      <c r="U1113" s="98"/>
      <c r="V1113" s="98">
        <v>1.1623638515226894E-3</v>
      </c>
      <c r="W1113" s="98">
        <v>1.0715193052376053</v>
      </c>
      <c r="X1113" s="98">
        <f>IF(W1113=0,V1113,W1113)</f>
        <v>1.0715193052376053</v>
      </c>
      <c r="Y1113" s="233">
        <v>2.98</v>
      </c>
      <c r="Z1113" s="48">
        <v>4.8099999999999996</v>
      </c>
      <c r="AA1113" s="48"/>
      <c r="AB1113" s="48">
        <v>4.2</v>
      </c>
      <c r="AC1113" s="48">
        <v>0.57179999999999997</v>
      </c>
      <c r="AD1113" s="48">
        <v>5.57</v>
      </c>
      <c r="AE1113" s="48">
        <v>7.75</v>
      </c>
      <c r="AF1113" s="48">
        <f t="shared" si="300"/>
        <v>5.57</v>
      </c>
      <c r="AG1113" s="49">
        <v>3.71</v>
      </c>
      <c r="AH1113" s="98">
        <v>9.0800000000000006E-2</v>
      </c>
      <c r="AI1113" s="98"/>
      <c r="AJ1113" s="483">
        <f t="shared" si="298"/>
        <v>0.56951952220843338</v>
      </c>
      <c r="AK1113" s="483"/>
      <c r="AL1113" s="483">
        <f t="shared" si="297"/>
        <v>0.56951952220843338</v>
      </c>
      <c r="AM1113" s="483">
        <v>-2.2879299999999998</v>
      </c>
      <c r="AN1113" s="226">
        <v>-6.09</v>
      </c>
      <c r="AO1113" s="484">
        <v>0.5</v>
      </c>
      <c r="AP1113" s="484"/>
      <c r="AQ1113" s="226" t="s">
        <v>6311</v>
      </c>
      <c r="AR1113" s="226" t="s">
        <v>6311</v>
      </c>
      <c r="AS1113" s="224" t="s">
        <v>6</v>
      </c>
      <c r="AT1113" s="50" t="s">
        <v>266</v>
      </c>
      <c r="AU1113" s="48">
        <v>8</v>
      </c>
      <c r="AV1113" s="48">
        <v>144</v>
      </c>
      <c r="AW1113" s="48">
        <v>120</v>
      </c>
      <c r="AX1113" s="48">
        <v>26</v>
      </c>
      <c r="AY1113" s="48" t="s">
        <v>267</v>
      </c>
      <c r="AZ1113" s="48" t="s">
        <v>2253</v>
      </c>
      <c r="BA1113" s="48">
        <v>4</v>
      </c>
      <c r="BB1113" s="47" t="s">
        <v>2254</v>
      </c>
      <c r="BC1113" s="47" t="s">
        <v>270</v>
      </c>
      <c r="BD1113" s="47" t="s">
        <v>8374</v>
      </c>
      <c r="BE1113" s="48" t="s">
        <v>1712</v>
      </c>
      <c r="BF1113" s="48" t="s">
        <v>272</v>
      </c>
      <c r="BG1113" s="48" t="s">
        <v>272</v>
      </c>
      <c r="BH1113" s="48" t="s">
        <v>2255</v>
      </c>
      <c r="BI1113" s="98">
        <v>9.9999999999999995E-7</v>
      </c>
      <c r="BJ1113" s="98">
        <v>0.08</v>
      </c>
      <c r="BK1113" s="48"/>
      <c r="BL1113" s="98">
        <f t="shared" si="307"/>
        <v>2.4600220508641203E-3</v>
      </c>
      <c r="BM1113" s="48" t="s">
        <v>891</v>
      </c>
      <c r="BN1113" s="233"/>
      <c r="BO1113" s="233"/>
      <c r="BP1113" s="233"/>
      <c r="BQ1113" s="233"/>
      <c r="BR1113" s="233"/>
      <c r="BS1113" s="48"/>
      <c r="BT1113" s="233"/>
      <c r="BU1113" s="228"/>
      <c r="BV1113" s="233"/>
      <c r="BW1113" s="233"/>
      <c r="BX1113" s="233"/>
      <c r="BY1113" s="233"/>
      <c r="BZ1113" s="233"/>
      <c r="CA1113" s="233"/>
      <c r="CB1113" s="233"/>
      <c r="CC1113" s="48"/>
      <c r="CD1113" s="48"/>
      <c r="CE1113" s="48"/>
      <c r="CF1113" s="48"/>
      <c r="CG1113" s="233"/>
      <c r="CH1113" s="48"/>
      <c r="CI1113" s="98"/>
      <c r="CJ1113" s="98"/>
      <c r="CK1113" s="49">
        <f t="shared" si="302"/>
        <v>3.0750275635801502E-2</v>
      </c>
      <c r="CL1113" s="229"/>
      <c r="CM1113" s="229"/>
      <c r="CN1113" s="229"/>
      <c r="CO1113" s="47" t="s">
        <v>892</v>
      </c>
      <c r="CP1113" s="47" t="s">
        <v>893</v>
      </c>
      <c r="CQ1113" s="224" t="s">
        <v>272</v>
      </c>
      <c r="CR1113" s="224"/>
      <c r="CS1113" s="230" t="s">
        <v>539</v>
      </c>
      <c r="CT1113" s="230"/>
      <c r="CU1113" s="230"/>
      <c r="CV1113" s="335">
        <f t="shared" si="306"/>
        <v>13.393991315470066</v>
      </c>
      <c r="CW1113" s="230">
        <f t="shared" si="301"/>
        <v>1</v>
      </c>
      <c r="CX1113" s="336" t="s">
        <v>539</v>
      </c>
      <c r="CY1113" s="230" t="s">
        <v>5921</v>
      </c>
    </row>
    <row r="1114" spans="1:103" ht="11.25" customHeight="1" x14ac:dyDescent="0.2">
      <c r="A1114" s="72">
        <v>1112</v>
      </c>
      <c r="B1114" s="224">
        <v>1812</v>
      </c>
      <c r="C1114" s="46" t="s">
        <v>7261</v>
      </c>
      <c r="D1114" s="46"/>
      <c r="E1114" s="114"/>
      <c r="F1114" s="114" t="s">
        <v>2050</v>
      </c>
      <c r="G1114" s="225">
        <v>335671</v>
      </c>
      <c r="H1114" s="47" t="s">
        <v>2051</v>
      </c>
      <c r="I1114" s="47" t="s">
        <v>2051</v>
      </c>
      <c r="J1114" s="47" t="s">
        <v>2052</v>
      </c>
      <c r="K1114" s="47" t="s">
        <v>426</v>
      </c>
      <c r="L1114" s="47"/>
      <c r="M1114" s="47"/>
      <c r="N1114" s="47"/>
      <c r="O1114" s="47"/>
      <c r="P1114" s="53"/>
      <c r="Q1114" s="53"/>
      <c r="R1114" s="53"/>
      <c r="S1114" s="53"/>
      <c r="T1114" s="48">
        <v>414.07</v>
      </c>
      <c r="U1114" s="98"/>
      <c r="V1114" s="98">
        <v>1.1623638515226894E-3</v>
      </c>
      <c r="W1114" s="98">
        <v>1.0715193052376053</v>
      </c>
      <c r="X1114" s="98">
        <f>IF(W1114=0,V1114,W1114)</f>
        <v>1.0715193052376053</v>
      </c>
      <c r="Y1114" s="233">
        <v>2.98</v>
      </c>
      <c r="Z1114" s="48">
        <v>4.8099999999999996</v>
      </c>
      <c r="AA1114" s="48"/>
      <c r="AB1114" s="48">
        <v>4.2</v>
      </c>
      <c r="AC1114" s="48">
        <v>0.57179999999999997</v>
      </c>
      <c r="AD1114" s="48">
        <v>5.57</v>
      </c>
      <c r="AE1114" s="48">
        <v>7.75</v>
      </c>
      <c r="AF1114" s="48">
        <f t="shared" si="300"/>
        <v>5.57</v>
      </c>
      <c r="AG1114" s="49">
        <v>3.71</v>
      </c>
      <c r="AH1114" s="98">
        <v>9.0800000000000006E-2</v>
      </c>
      <c r="AI1114" s="98"/>
      <c r="AJ1114" s="483">
        <f t="shared" si="298"/>
        <v>0.56951952220843338</v>
      </c>
      <c r="AK1114" s="483"/>
      <c r="AL1114" s="483">
        <f t="shared" si="297"/>
        <v>0.56951952220843338</v>
      </c>
      <c r="AM1114" s="483">
        <v>-2.2879299999999998</v>
      </c>
      <c r="AN1114" s="226">
        <v>-6.09</v>
      </c>
      <c r="AO1114" s="484">
        <v>0.5</v>
      </c>
      <c r="AP1114" s="484"/>
      <c r="AQ1114" s="226" t="s">
        <v>6311</v>
      </c>
      <c r="AR1114" s="226" t="s">
        <v>6311</v>
      </c>
      <c r="AS1114" s="224"/>
      <c r="AT1114" s="50" t="s">
        <v>266</v>
      </c>
      <c r="AU1114" s="48">
        <v>6</v>
      </c>
      <c r="AV1114" s="48">
        <v>120</v>
      </c>
      <c r="AW1114" s="48">
        <v>114</v>
      </c>
      <c r="AX1114" s="48">
        <v>28</v>
      </c>
      <c r="AY1114" s="48" t="s">
        <v>8728</v>
      </c>
      <c r="AZ1114" s="48" t="s">
        <v>1563</v>
      </c>
      <c r="BA1114" s="48">
        <v>32</v>
      </c>
      <c r="BB1114" s="47" t="s">
        <v>2485</v>
      </c>
      <c r="BC1114" s="47" t="s">
        <v>8726</v>
      </c>
      <c r="BD1114" s="47" t="s">
        <v>8374</v>
      </c>
      <c r="BE1114" s="48" t="s">
        <v>2449</v>
      </c>
      <c r="BF1114" s="48" t="s">
        <v>272</v>
      </c>
      <c r="BG1114" s="48" t="s">
        <v>272</v>
      </c>
      <c r="BH1114" s="48" t="s">
        <v>2486</v>
      </c>
      <c r="BI1114" s="98">
        <v>6.3999999999999997E-6</v>
      </c>
      <c r="BJ1114" s="98">
        <v>6.4000000000000001E-2</v>
      </c>
      <c r="BK1114" s="48"/>
      <c r="BL1114" s="98">
        <f t="shared" si="307"/>
        <v>2.4600220508641203E-3</v>
      </c>
      <c r="BM1114" s="47" t="s">
        <v>2487</v>
      </c>
      <c r="BN1114" s="48"/>
      <c r="BO1114" s="48"/>
      <c r="BP1114" s="48"/>
      <c r="BQ1114" s="48"/>
      <c r="BR1114" s="47" t="s">
        <v>2496</v>
      </c>
      <c r="BS1114" s="48"/>
      <c r="BT1114" s="48"/>
      <c r="BU1114" s="228"/>
      <c r="BV1114" s="48"/>
      <c r="BW1114" s="48"/>
      <c r="BX1114" s="48"/>
      <c r="BY1114" s="48"/>
      <c r="BZ1114" s="48"/>
      <c r="CA1114" s="48"/>
      <c r="CB1114" s="48"/>
      <c r="CC1114" s="48"/>
      <c r="CD1114" s="48"/>
      <c r="CE1114" s="48"/>
      <c r="CF1114" s="48"/>
      <c r="CG1114" s="48"/>
      <c r="CH1114" s="48"/>
      <c r="CI1114" s="52" t="s">
        <v>6347</v>
      </c>
      <c r="CJ1114" s="98"/>
      <c r="CK1114" s="49">
        <f t="shared" si="302"/>
        <v>3.8437844544751881E-2</v>
      </c>
      <c r="CL1114" s="229"/>
      <c r="CM1114" s="229"/>
      <c r="CN1114" s="229"/>
      <c r="CO1114" s="47" t="s">
        <v>2488</v>
      </c>
      <c r="CP1114" s="47" t="s">
        <v>2489</v>
      </c>
      <c r="CQ1114" s="224" t="s">
        <v>272</v>
      </c>
      <c r="CR1114" s="224"/>
      <c r="CS1114" s="230" t="s">
        <v>539</v>
      </c>
      <c r="CT1114" s="230"/>
      <c r="CU1114" s="230"/>
      <c r="CV1114" s="335">
        <f t="shared" si="306"/>
        <v>16.742489144337583</v>
      </c>
      <c r="CW1114" s="230">
        <f t="shared" si="301"/>
        <v>1</v>
      </c>
      <c r="CX1114" s="336"/>
      <c r="CY1114" s="230" t="s">
        <v>5921</v>
      </c>
    </row>
    <row r="1115" spans="1:103" ht="11.25" customHeight="1" x14ac:dyDescent="0.2">
      <c r="A1115" s="72">
        <v>1113</v>
      </c>
      <c r="B1115" s="224">
        <v>1810</v>
      </c>
      <c r="C1115" s="46" t="s">
        <v>7262</v>
      </c>
      <c r="D1115" s="46"/>
      <c r="E1115" s="114"/>
      <c r="F1115" s="114" t="s">
        <v>5201</v>
      </c>
      <c r="G1115" s="225">
        <v>375859</v>
      </c>
      <c r="H1115" s="47" t="s">
        <v>5202</v>
      </c>
      <c r="I1115" s="47" t="s">
        <v>5202</v>
      </c>
      <c r="J1115" s="47" t="s">
        <v>5203</v>
      </c>
      <c r="K1115" s="47" t="s">
        <v>426</v>
      </c>
      <c r="L1115" s="47"/>
      <c r="M1115" s="47"/>
      <c r="N1115" s="47"/>
      <c r="O1115" s="47"/>
      <c r="P1115" s="53"/>
      <c r="Q1115" s="53"/>
      <c r="R1115" s="53"/>
      <c r="S1115" s="53"/>
      <c r="T1115" s="48">
        <v>364.06</v>
      </c>
      <c r="U1115" s="98"/>
      <c r="V1115" s="98">
        <v>1.0017579519859363E-2</v>
      </c>
      <c r="W1115" s="98">
        <v>2.6302679918953791</v>
      </c>
      <c r="X1115" s="98">
        <f>IF(W1115=0,V1115,W1115)</f>
        <v>2.6302679918953791</v>
      </c>
      <c r="Y1115" s="233">
        <v>2.59</v>
      </c>
      <c r="Z1115" s="48">
        <v>4.1500000000000004</v>
      </c>
      <c r="AA1115" s="48"/>
      <c r="AB1115" s="48">
        <v>3.37</v>
      </c>
      <c r="AC1115" s="48">
        <v>0.52729999999999999</v>
      </c>
      <c r="AD1115" s="48">
        <v>4.8600000000000003</v>
      </c>
      <c r="AE1115" s="48">
        <v>6.86</v>
      </c>
      <c r="AF1115" s="48">
        <f t="shared" si="300"/>
        <v>4.8600000000000003</v>
      </c>
      <c r="AG1115" s="49">
        <v>3.22</v>
      </c>
      <c r="AH1115" s="98">
        <v>1.7299999999999999E-2</v>
      </c>
      <c r="AI1115" s="98"/>
      <c r="AJ1115" s="483">
        <f t="shared" si="298"/>
        <v>-0.15052022318385638</v>
      </c>
      <c r="AK1115" s="483"/>
      <c r="AL1115" s="483">
        <f t="shared" si="297"/>
        <v>-0.15052022318385638</v>
      </c>
      <c r="AM1115" s="483">
        <v>-2.7943599999999997</v>
      </c>
      <c r="AN1115" s="226">
        <v>-5.88</v>
      </c>
      <c r="AO1115" s="484">
        <v>0.47</v>
      </c>
      <c r="AP1115" s="484"/>
      <c r="AQ1115" s="226" t="s">
        <v>6311</v>
      </c>
      <c r="AR1115" s="226" t="s">
        <v>6311</v>
      </c>
      <c r="AS1115" s="224"/>
      <c r="AT1115" s="50" t="s">
        <v>266</v>
      </c>
      <c r="AU1115" s="48">
        <v>6</v>
      </c>
      <c r="AV1115" s="48">
        <v>120</v>
      </c>
      <c r="AW1115" s="48">
        <v>114</v>
      </c>
      <c r="AX1115" s="48">
        <v>28</v>
      </c>
      <c r="AY1115" s="48" t="s">
        <v>8728</v>
      </c>
      <c r="AZ1115" s="48" t="s">
        <v>1563</v>
      </c>
      <c r="BA1115" s="48">
        <v>32</v>
      </c>
      <c r="BB1115" s="47" t="s">
        <v>2485</v>
      </c>
      <c r="BC1115" s="47" t="s">
        <v>8726</v>
      </c>
      <c r="BD1115" s="47" t="s">
        <v>8374</v>
      </c>
      <c r="BE1115" s="48" t="s">
        <v>2449</v>
      </c>
      <c r="BF1115" s="48" t="s">
        <v>272</v>
      </c>
      <c r="BG1115" s="48" t="s">
        <v>272</v>
      </c>
      <c r="BH1115" s="48" t="s">
        <v>2486</v>
      </c>
      <c r="BI1115" s="98">
        <v>6.3999999999999997E-6</v>
      </c>
      <c r="BJ1115" s="98">
        <v>6.4000000000000001E-2</v>
      </c>
      <c r="BK1115" s="48"/>
      <c r="BL1115" s="98">
        <f t="shared" si="307"/>
        <v>9.6313019811094854E-3</v>
      </c>
      <c r="BM1115" s="47" t="s">
        <v>2487</v>
      </c>
      <c r="BN1115" s="48"/>
      <c r="BO1115" s="48"/>
      <c r="BP1115" s="48"/>
      <c r="BQ1115" s="48"/>
      <c r="BR1115" s="47" t="s">
        <v>2496</v>
      </c>
      <c r="BS1115" s="48"/>
      <c r="BT1115" s="48"/>
      <c r="BU1115" s="228"/>
      <c r="BV1115" s="48"/>
      <c r="BW1115" s="48"/>
      <c r="BX1115" s="48"/>
      <c r="BY1115" s="48"/>
      <c r="BZ1115" s="48"/>
      <c r="CA1115" s="48"/>
      <c r="CB1115" s="48"/>
      <c r="CC1115" s="48"/>
      <c r="CD1115" s="48"/>
      <c r="CE1115" s="48"/>
      <c r="CF1115" s="48"/>
      <c r="CG1115" s="48"/>
      <c r="CH1115" s="48"/>
      <c r="CI1115" s="98"/>
      <c r="CJ1115" s="98"/>
      <c r="CK1115" s="49">
        <f t="shared" si="302"/>
        <v>0.15048909345483572</v>
      </c>
      <c r="CL1115" s="229"/>
      <c r="CM1115" s="229"/>
      <c r="CN1115" s="229"/>
      <c r="CO1115" s="47" t="s">
        <v>2488</v>
      </c>
      <c r="CP1115" s="47" t="s">
        <v>2489</v>
      </c>
      <c r="CQ1115" s="224" t="s">
        <v>272</v>
      </c>
      <c r="CR1115" s="224"/>
      <c r="CS1115" s="230" t="s">
        <v>539</v>
      </c>
      <c r="CT1115" s="230"/>
      <c r="CU1115" s="230"/>
      <c r="CV1115" s="335">
        <f t="shared" si="306"/>
        <v>41.097937373365298</v>
      </c>
      <c r="CW1115" s="230">
        <f t="shared" si="301"/>
        <v>1</v>
      </c>
      <c r="CX1115" s="336"/>
      <c r="CY1115" s="230" t="s">
        <v>5921</v>
      </c>
    </row>
    <row r="1116" spans="1:103" ht="11.25" customHeight="1" x14ac:dyDescent="0.2">
      <c r="A1116" s="72">
        <v>1114</v>
      </c>
      <c r="B1116" s="224">
        <v>1233</v>
      </c>
      <c r="C1116" s="46" t="s">
        <v>7263</v>
      </c>
      <c r="D1116" s="46"/>
      <c r="E1116" s="114"/>
      <c r="F1116" s="114" t="s">
        <v>3397</v>
      </c>
      <c r="G1116" s="225">
        <v>375951</v>
      </c>
      <c r="H1116" s="47" t="s">
        <v>3398</v>
      </c>
      <c r="I1116" s="47" t="s">
        <v>3398</v>
      </c>
      <c r="J1116" s="47" t="s">
        <v>3399</v>
      </c>
      <c r="K1116" s="47" t="s">
        <v>426</v>
      </c>
      <c r="L1116" s="47"/>
      <c r="M1116" s="47"/>
      <c r="N1116" s="47"/>
      <c r="O1116" s="47"/>
      <c r="P1116" s="53"/>
      <c r="Q1116" s="53"/>
      <c r="R1116" s="53"/>
      <c r="S1116" s="53"/>
      <c r="T1116" s="48">
        <v>464.08</v>
      </c>
      <c r="U1116" s="98"/>
      <c r="V1116" s="98">
        <v>1.3484744009653507E-4</v>
      </c>
      <c r="W1116" s="98">
        <v>0.45708818961487496</v>
      </c>
      <c r="X1116" s="98">
        <f>IF(W1116=0,V1116,W1116)</f>
        <v>0.45708818961487496</v>
      </c>
      <c r="Y1116" s="233">
        <v>3.35</v>
      </c>
      <c r="Z1116" s="48">
        <v>5.48</v>
      </c>
      <c r="AA1116" s="48"/>
      <c r="AB1116" s="48">
        <v>4.82</v>
      </c>
      <c r="AC1116" s="48">
        <v>0.4753</v>
      </c>
      <c r="AD1116" s="48">
        <v>6.59</v>
      </c>
      <c r="AE1116" s="48">
        <v>8.64</v>
      </c>
      <c r="AF1116" s="48">
        <f t="shared" si="300"/>
        <v>6.59</v>
      </c>
      <c r="AG1116" s="49">
        <v>4.21</v>
      </c>
      <c r="AH1116" s="98">
        <v>0.47699999999999998</v>
      </c>
      <c r="AI1116" s="98"/>
      <c r="AJ1116" s="483">
        <f t="shared" si="298"/>
        <v>1.2899520527274622</v>
      </c>
      <c r="AK1116" s="483"/>
      <c r="AL1116" s="483">
        <f t="shared" si="297"/>
        <v>1.2899520527274622</v>
      </c>
      <c r="AM1116" s="483">
        <v>-1.7607900000000001</v>
      </c>
      <c r="AN1116" s="226">
        <v>-6.29</v>
      </c>
      <c r="AO1116" s="484">
        <v>0.52</v>
      </c>
      <c r="AP1116" s="484"/>
      <c r="AQ1116" s="48" t="s">
        <v>6311</v>
      </c>
      <c r="AR1116" s="48" t="s">
        <v>6311</v>
      </c>
      <c r="AS1116" s="227"/>
      <c r="AT1116" s="50" t="s">
        <v>266</v>
      </c>
      <c r="AU1116" s="48">
        <v>6</v>
      </c>
      <c r="AV1116" s="48">
        <v>120</v>
      </c>
      <c r="AW1116" s="48">
        <v>114</v>
      </c>
      <c r="AX1116" s="48">
        <v>28</v>
      </c>
      <c r="AY1116" s="48" t="s">
        <v>8728</v>
      </c>
      <c r="AZ1116" s="48" t="s">
        <v>1563</v>
      </c>
      <c r="BA1116" s="48">
        <v>32</v>
      </c>
      <c r="BB1116" s="47" t="s">
        <v>2485</v>
      </c>
      <c r="BC1116" s="47" t="s">
        <v>8726</v>
      </c>
      <c r="BD1116" s="47" t="s">
        <v>8374</v>
      </c>
      <c r="BE1116" s="48" t="s">
        <v>2449</v>
      </c>
      <c r="BF1116" s="48" t="s">
        <v>272</v>
      </c>
      <c r="BG1116" s="48" t="s">
        <v>272</v>
      </c>
      <c r="BH1116" s="48" t="s">
        <v>2486</v>
      </c>
      <c r="BI1116" s="98">
        <v>6.3999999999999997E-6</v>
      </c>
      <c r="BJ1116" s="98">
        <v>6.4000000000000001E-2</v>
      </c>
      <c r="BK1116" s="48"/>
      <c r="BL1116" s="98">
        <f t="shared" si="307"/>
        <v>6.1547724340107492E-4</v>
      </c>
      <c r="BM1116" s="47" t="s">
        <v>2487</v>
      </c>
      <c r="BN1116" s="48"/>
      <c r="BO1116" s="48"/>
      <c r="BP1116" s="48"/>
      <c r="BQ1116" s="48"/>
      <c r="BR1116" s="47" t="s">
        <v>2496</v>
      </c>
      <c r="BS1116" s="48"/>
      <c r="BT1116" s="48"/>
      <c r="BU1116" s="228">
        <v>6.4000000000000003E-3</v>
      </c>
      <c r="BV1116" s="48"/>
      <c r="BW1116" s="48"/>
      <c r="BX1116" s="48"/>
      <c r="BY1116" s="48"/>
      <c r="BZ1116" s="48"/>
      <c r="CA1116" s="48"/>
      <c r="CB1116" s="48"/>
      <c r="CC1116" s="48"/>
      <c r="CD1116" s="48"/>
      <c r="CE1116" s="48"/>
      <c r="CF1116" s="48"/>
      <c r="CG1116" s="48"/>
      <c r="CH1116" s="48"/>
      <c r="CI1116" s="98"/>
      <c r="CJ1116" s="98"/>
      <c r="CK1116" s="49">
        <f t="shared" si="302"/>
        <v>9.6168319281417954E-3</v>
      </c>
      <c r="CL1116" s="229"/>
      <c r="CM1116" s="229"/>
      <c r="CN1116" s="229"/>
      <c r="CO1116" s="47" t="s">
        <v>2488</v>
      </c>
      <c r="CP1116" s="47" t="s">
        <v>2489</v>
      </c>
      <c r="CQ1116" s="224" t="s">
        <v>272</v>
      </c>
      <c r="CR1116" s="224"/>
      <c r="CS1116" s="230" t="s">
        <v>539</v>
      </c>
      <c r="CT1116" s="230"/>
      <c r="CU1116" s="230"/>
      <c r="CV1116" s="335">
        <f t="shared" si="306"/>
        <v>7.1420029627324215</v>
      </c>
      <c r="CW1116" s="230">
        <f t="shared" si="301"/>
        <v>1</v>
      </c>
      <c r="CX1116" s="336"/>
      <c r="CY1116" s="230" t="s">
        <v>5921</v>
      </c>
    </row>
    <row r="1117" spans="1:103" ht="11.25" customHeight="1" x14ac:dyDescent="0.2">
      <c r="A1117" s="72">
        <v>1115</v>
      </c>
      <c r="B1117" s="224">
        <v>264</v>
      </c>
      <c r="C1117" s="46" t="s">
        <v>7264</v>
      </c>
      <c r="D1117" s="46"/>
      <c r="E1117" s="114"/>
      <c r="F1117" s="114" t="s">
        <v>3027</v>
      </c>
      <c r="G1117" s="225">
        <v>420042</v>
      </c>
      <c r="H1117" s="47" t="s">
        <v>3028</v>
      </c>
      <c r="I1117" s="47" t="s">
        <v>7750</v>
      </c>
      <c r="J1117" s="47" t="s">
        <v>3029</v>
      </c>
      <c r="K1117" s="47" t="s">
        <v>426</v>
      </c>
      <c r="L1117" s="47" t="s">
        <v>5527</v>
      </c>
      <c r="M1117" s="47" t="s">
        <v>8487</v>
      </c>
      <c r="N1117" s="47"/>
      <c r="O1117" s="47"/>
      <c r="P1117" s="53"/>
      <c r="Q1117" s="53"/>
      <c r="R1117" s="53"/>
      <c r="S1117" s="53"/>
      <c r="T1117" s="48">
        <v>42.04</v>
      </c>
      <c r="U1117" s="98">
        <v>11893.434823977164</v>
      </c>
      <c r="V1117" s="98">
        <v>15497.145575642246</v>
      </c>
      <c r="W1117" s="98">
        <v>1737.8008287493756</v>
      </c>
      <c r="X1117" s="98">
        <v>11893.434823977164</v>
      </c>
      <c r="Y1117" s="233">
        <v>7.68</v>
      </c>
      <c r="Z1117" s="48">
        <v>-0.81</v>
      </c>
      <c r="AA1117" s="48">
        <v>-0.82</v>
      </c>
      <c r="AB1117" s="48">
        <v>-0.6</v>
      </c>
      <c r="AC1117" s="48">
        <v>0.8165</v>
      </c>
      <c r="AD1117" s="48">
        <v>-0.66</v>
      </c>
      <c r="AE1117" s="48">
        <v>-0.82</v>
      </c>
      <c r="AF1117" s="48">
        <f t="shared" si="300"/>
        <v>-0.82</v>
      </c>
      <c r="AG1117" s="49">
        <v>-0.33</v>
      </c>
      <c r="AH1117" s="98">
        <v>3.3200000000000001E-5</v>
      </c>
      <c r="AI1117" s="98">
        <v>2.5899999999999998E-10</v>
      </c>
      <c r="AJ1117" s="483">
        <f t="shared" si="298"/>
        <v>-2.8674282426086157</v>
      </c>
      <c r="AK1117" s="483">
        <f>LOG10(AI1117*1000/(0.08206*298.15))</f>
        <v>-7.9752665622313996</v>
      </c>
      <c r="AL1117" s="483">
        <f t="shared" si="297"/>
        <v>-7.9752665622313996</v>
      </c>
      <c r="AM1117" s="483">
        <v>-5.90299</v>
      </c>
      <c r="AN1117" s="226">
        <v>-7.62</v>
      </c>
      <c r="AO1117" s="484"/>
      <c r="AP1117" s="484">
        <v>1.1000000000000001</v>
      </c>
      <c r="AQ1117" s="226" t="s">
        <v>6311</v>
      </c>
      <c r="AR1117" s="226" t="s">
        <v>6311</v>
      </c>
      <c r="AS1117" s="224" t="s">
        <v>6</v>
      </c>
      <c r="AT1117" s="50" t="s">
        <v>266</v>
      </c>
      <c r="AU1117" s="48">
        <v>8</v>
      </c>
      <c r="AV1117" s="48">
        <v>144</v>
      </c>
      <c r="AW1117" s="48">
        <v>120</v>
      </c>
      <c r="AX1117" s="48">
        <v>26</v>
      </c>
      <c r="AY1117" s="48" t="s">
        <v>267</v>
      </c>
      <c r="AZ1117" s="48" t="s">
        <v>2253</v>
      </c>
      <c r="BA1117" s="48">
        <v>2</v>
      </c>
      <c r="BB1117" s="47" t="s">
        <v>2254</v>
      </c>
      <c r="BC1117" s="47" t="s">
        <v>270</v>
      </c>
      <c r="BD1117" s="47" t="s">
        <v>8374</v>
      </c>
      <c r="BE1117" s="48" t="s">
        <v>1712</v>
      </c>
      <c r="BF1117" s="48" t="s">
        <v>272</v>
      </c>
      <c r="BG1117" s="48" t="s">
        <v>272</v>
      </c>
      <c r="BH1117" s="48" t="s">
        <v>2255</v>
      </c>
      <c r="BI1117" s="98">
        <v>9.9999999999999995E-7</v>
      </c>
      <c r="BJ1117" s="98">
        <v>0.08</v>
      </c>
      <c r="BK1117" s="48"/>
      <c r="BL1117" s="98">
        <f t="shared" si="307"/>
        <v>274.32222838559966</v>
      </c>
      <c r="BM1117" s="48" t="s">
        <v>891</v>
      </c>
      <c r="BN1117" s="233"/>
      <c r="BO1117" s="233"/>
      <c r="BP1117" s="233"/>
      <c r="BQ1117" s="233"/>
      <c r="BR1117" s="233"/>
      <c r="BS1117" s="48"/>
      <c r="BT1117" s="233"/>
      <c r="BU1117" s="228"/>
      <c r="BV1117" s="233"/>
      <c r="BW1117" s="233"/>
      <c r="BX1117" s="233"/>
      <c r="BY1117" s="233"/>
      <c r="BZ1117" s="233"/>
      <c r="CA1117" s="233"/>
      <c r="CB1117" s="233"/>
      <c r="CC1117" s="48"/>
      <c r="CD1117" s="48"/>
      <c r="CE1117" s="48"/>
      <c r="CF1117" s="48"/>
      <c r="CG1117" s="233"/>
      <c r="CH1117" s="48"/>
      <c r="CI1117" s="98"/>
      <c r="CJ1117" s="98"/>
      <c r="CK1117" s="49">
        <f t="shared" si="302"/>
        <v>3429.0278548199958</v>
      </c>
      <c r="CL1117" s="229"/>
      <c r="CM1117" s="229"/>
      <c r="CN1117" s="229"/>
      <c r="CO1117" s="47" t="s">
        <v>892</v>
      </c>
      <c r="CP1117" s="47" t="s">
        <v>893</v>
      </c>
      <c r="CQ1117" s="224">
        <v>0.31612884588854656</v>
      </c>
      <c r="CR1117" s="224">
        <f>10^(CJ1117-CQ1117)</f>
        <v>0.48291551007679462</v>
      </c>
      <c r="CS1117" s="230" t="s">
        <v>539</v>
      </c>
      <c r="CT1117" s="230"/>
      <c r="CU1117" s="230"/>
      <c r="CV1117" s="335">
        <f t="shared" si="306"/>
        <v>148667.93529971456</v>
      </c>
      <c r="CW1117" s="230">
        <f t="shared" si="301"/>
        <v>1</v>
      </c>
      <c r="CX1117" s="336" t="s">
        <v>539</v>
      </c>
      <c r="CY1117" s="230" t="s">
        <v>6351</v>
      </c>
    </row>
    <row r="1118" spans="1:103" ht="11.25" customHeight="1" x14ac:dyDescent="0.2">
      <c r="A1118" s="72">
        <v>1116</v>
      </c>
      <c r="B1118" s="224">
        <v>1077</v>
      </c>
      <c r="C1118" s="46" t="s">
        <v>7264</v>
      </c>
      <c r="D1118" s="46"/>
      <c r="E1118" s="114"/>
      <c r="F1118" s="114" t="s">
        <v>3027</v>
      </c>
      <c r="G1118" s="225">
        <v>420042</v>
      </c>
      <c r="H1118" s="47" t="s">
        <v>3028</v>
      </c>
      <c r="I1118" s="47" t="s">
        <v>7750</v>
      </c>
      <c r="J1118" s="47" t="s">
        <v>3029</v>
      </c>
      <c r="K1118" s="47" t="s">
        <v>426</v>
      </c>
      <c r="L1118" s="47" t="s">
        <v>5527</v>
      </c>
      <c r="M1118" s="47" t="s">
        <v>8487</v>
      </c>
      <c r="N1118" s="47"/>
      <c r="O1118" s="47"/>
      <c r="P1118" s="53"/>
      <c r="Q1118" s="53"/>
      <c r="R1118" s="53"/>
      <c r="S1118" s="53"/>
      <c r="T1118" s="48">
        <v>42.04</v>
      </c>
      <c r="U1118" s="98">
        <v>11893.434823977164</v>
      </c>
      <c r="V1118" s="98">
        <v>15497.145575642246</v>
      </c>
      <c r="W1118" s="98">
        <v>1737.8008287493756</v>
      </c>
      <c r="X1118" s="98">
        <v>11893.434823977164</v>
      </c>
      <c r="Y1118" s="233">
        <v>7.68</v>
      </c>
      <c r="Z1118" s="48">
        <v>-0.81</v>
      </c>
      <c r="AA1118" s="48">
        <v>-0.82</v>
      </c>
      <c r="AB1118" s="48">
        <v>-0.6</v>
      </c>
      <c r="AC1118" s="48">
        <v>0.8165</v>
      </c>
      <c r="AD1118" s="48">
        <v>-0.66</v>
      </c>
      <c r="AE1118" s="48">
        <v>-0.82</v>
      </c>
      <c r="AF1118" s="48">
        <f t="shared" si="300"/>
        <v>-0.82</v>
      </c>
      <c r="AG1118" s="49">
        <v>-0.33</v>
      </c>
      <c r="AH1118" s="98">
        <v>3.3200000000000001E-5</v>
      </c>
      <c r="AI1118" s="98">
        <v>2.5899999999999998E-10</v>
      </c>
      <c r="AJ1118" s="483">
        <f t="shared" si="298"/>
        <v>-2.8674282426086157</v>
      </c>
      <c r="AK1118" s="483">
        <f>LOG10(AI1118*1000/(0.08206*298.15))</f>
        <v>-7.9752665622313996</v>
      </c>
      <c r="AL1118" s="483">
        <f t="shared" si="297"/>
        <v>-7.9752665622313996</v>
      </c>
      <c r="AM1118" s="483">
        <v>-5.90299</v>
      </c>
      <c r="AN1118" s="226">
        <v>-7.62</v>
      </c>
      <c r="AO1118" s="484"/>
      <c r="AP1118" s="484">
        <v>1.1000000000000001</v>
      </c>
      <c r="AQ1118" s="48" t="s">
        <v>6311</v>
      </c>
      <c r="AR1118" s="48" t="s">
        <v>6311</v>
      </c>
      <c r="AS1118" s="227"/>
      <c r="AT1118" s="50" t="s">
        <v>266</v>
      </c>
      <c r="AU1118" s="48">
        <v>6</v>
      </c>
      <c r="AV1118" s="48">
        <v>120</v>
      </c>
      <c r="AW1118" s="48">
        <v>114</v>
      </c>
      <c r="AX1118" s="48">
        <v>28</v>
      </c>
      <c r="AY1118" s="48" t="s">
        <v>8728</v>
      </c>
      <c r="AZ1118" s="48" t="s">
        <v>1563</v>
      </c>
      <c r="BA1118" s="48">
        <v>32</v>
      </c>
      <c r="BB1118" s="47" t="s">
        <v>2485</v>
      </c>
      <c r="BC1118" s="47" t="s">
        <v>8726</v>
      </c>
      <c r="BD1118" s="47" t="s">
        <v>8374</v>
      </c>
      <c r="BE1118" s="48" t="s">
        <v>2449</v>
      </c>
      <c r="BF1118" s="48" t="s">
        <v>272</v>
      </c>
      <c r="BG1118" s="48" t="s">
        <v>272</v>
      </c>
      <c r="BH1118" s="48" t="s">
        <v>2486</v>
      </c>
      <c r="BI1118" s="98">
        <v>6.3999999999999997E-6</v>
      </c>
      <c r="BJ1118" s="98">
        <v>6.4000000000000001E-2</v>
      </c>
      <c r="BK1118" s="48"/>
      <c r="BL1118" s="98">
        <f t="shared" si="307"/>
        <v>274.32222838559966</v>
      </c>
      <c r="BM1118" s="47" t="s">
        <v>2487</v>
      </c>
      <c r="BN1118" s="48"/>
      <c r="BO1118" s="48"/>
      <c r="BP1118" s="48"/>
      <c r="BQ1118" s="48"/>
      <c r="BR1118" s="47" t="s">
        <v>2496</v>
      </c>
      <c r="BS1118" s="48"/>
      <c r="BT1118" s="48"/>
      <c r="BU1118" s="228">
        <v>6.3700000000000003E-5</v>
      </c>
      <c r="BV1118" s="48"/>
      <c r="BW1118" s="48"/>
      <c r="BX1118" s="48"/>
      <c r="BY1118" s="48"/>
      <c r="BZ1118" s="48"/>
      <c r="CA1118" s="48"/>
      <c r="CB1118" s="48"/>
      <c r="CC1118" s="48"/>
      <c r="CD1118" s="48"/>
      <c r="CE1118" s="48"/>
      <c r="CF1118" s="48"/>
      <c r="CG1118" s="48"/>
      <c r="CH1118" s="48"/>
      <c r="CI1118" s="98"/>
      <c r="CJ1118" s="98"/>
      <c r="CK1118" s="49">
        <f t="shared" si="302"/>
        <v>4286.284818524995</v>
      </c>
      <c r="CL1118" s="229"/>
      <c r="CM1118" s="229"/>
      <c r="CN1118" s="229"/>
      <c r="CO1118" s="47" t="s">
        <v>2488</v>
      </c>
      <c r="CP1118" s="47" t="s">
        <v>2489</v>
      </c>
      <c r="CQ1118" s="224">
        <v>0.31612884588854656</v>
      </c>
      <c r="CR1118" s="224">
        <f>10^(CJ1118-CQ1118)</f>
        <v>0.48291551007679462</v>
      </c>
      <c r="CS1118" s="230" t="s">
        <v>539</v>
      </c>
      <c r="CT1118" s="230"/>
      <c r="CU1118" s="230"/>
      <c r="CV1118" s="335">
        <f t="shared" si="306"/>
        <v>185834.9191246432</v>
      </c>
      <c r="CW1118" s="230">
        <f t="shared" si="301"/>
        <v>1</v>
      </c>
      <c r="CX1118" s="336"/>
      <c r="CY1118" s="230" t="s">
        <v>6351</v>
      </c>
    </row>
    <row r="1119" spans="1:103" ht="11.25" customHeight="1" x14ac:dyDescent="0.2">
      <c r="A1119" s="72">
        <v>1117</v>
      </c>
      <c r="B1119" s="224">
        <v>1086</v>
      </c>
      <c r="C1119" s="46" t="s">
        <v>7265</v>
      </c>
      <c r="D1119" s="46"/>
      <c r="E1119" s="114"/>
      <c r="F1119" s="114" t="s">
        <v>3038</v>
      </c>
      <c r="G1119" s="225">
        <v>427510</v>
      </c>
      <c r="H1119" s="47" t="s">
        <v>3039</v>
      </c>
      <c r="I1119" s="47" t="s">
        <v>8051</v>
      </c>
      <c r="J1119" s="47" t="s">
        <v>3040</v>
      </c>
      <c r="K1119" s="47" t="s">
        <v>3041</v>
      </c>
      <c r="L1119" s="47"/>
      <c r="M1119" s="47"/>
      <c r="N1119" s="47"/>
      <c r="O1119" s="47"/>
      <c r="P1119" s="53"/>
      <c r="Q1119" s="53"/>
      <c r="R1119" s="53"/>
      <c r="S1119" s="53"/>
      <c r="T1119" s="48">
        <v>416.94</v>
      </c>
      <c r="U1119" s="98"/>
      <c r="V1119" s="98">
        <v>1.5565788842519309E-3</v>
      </c>
      <c r="W1119" s="98">
        <v>2.0417379446695245E-3</v>
      </c>
      <c r="X1119" s="98">
        <f>IF(W1119=0,V1119,W1119)</f>
        <v>2.0417379446695245E-3</v>
      </c>
      <c r="Y1119" s="233">
        <v>7</v>
      </c>
      <c r="Z1119" s="48">
        <v>4.18</v>
      </c>
      <c r="AA1119" s="48"/>
      <c r="AB1119" s="48">
        <v>4.04</v>
      </c>
      <c r="AC1119" s="48">
        <v>0.4793</v>
      </c>
      <c r="AD1119" s="48">
        <v>3.62</v>
      </c>
      <c r="AE1119" s="48">
        <v>3.28</v>
      </c>
      <c r="AF1119" s="48">
        <f t="shared" si="300"/>
        <v>3.62</v>
      </c>
      <c r="AG1119" s="49">
        <v>3.53</v>
      </c>
      <c r="AH1119" s="98">
        <v>3.3E-10</v>
      </c>
      <c r="AI1119" s="98"/>
      <c r="AJ1119" s="483">
        <f t="shared" si="298"/>
        <v>-7.8700523864347645</v>
      </c>
      <c r="AK1119" s="483"/>
      <c r="AL1119" s="483">
        <f t="shared" ref="AL1119:AL1182" si="308">IF(AK1119=0,AJ1119,AK1119)</f>
        <v>-7.8700523864347645</v>
      </c>
      <c r="AM1119" s="483">
        <v>-19.21987</v>
      </c>
      <c r="AN1119" s="226">
        <v>-10.4</v>
      </c>
      <c r="AO1119" s="484"/>
      <c r="AP1119" s="484"/>
      <c r="AQ1119" s="48" t="s">
        <v>6311</v>
      </c>
      <c r="AR1119" s="48" t="s">
        <v>6312</v>
      </c>
      <c r="AS1119" s="227"/>
      <c r="AT1119" s="50" t="s">
        <v>266</v>
      </c>
      <c r="AU1119" s="48">
        <v>6</v>
      </c>
      <c r="AV1119" s="48">
        <v>120</v>
      </c>
      <c r="AW1119" s="48">
        <v>114</v>
      </c>
      <c r="AX1119" s="48">
        <v>28</v>
      </c>
      <c r="AY1119" s="48" t="s">
        <v>8728</v>
      </c>
      <c r="AZ1119" s="48" t="s">
        <v>1563</v>
      </c>
      <c r="BA1119" s="48">
        <v>32</v>
      </c>
      <c r="BB1119" s="47" t="s">
        <v>2485</v>
      </c>
      <c r="BC1119" s="47" t="s">
        <v>8726</v>
      </c>
      <c r="BD1119" s="47" t="s">
        <v>8374</v>
      </c>
      <c r="BE1119" s="48" t="s">
        <v>2449</v>
      </c>
      <c r="BF1119" s="48" t="s">
        <v>272</v>
      </c>
      <c r="BG1119" s="48" t="s">
        <v>272</v>
      </c>
      <c r="BH1119" s="48" t="s">
        <v>2486</v>
      </c>
      <c r="BI1119" s="98">
        <v>6.3999999999999997E-6</v>
      </c>
      <c r="BJ1119" s="98">
        <v>6.4000000000000001E-2</v>
      </c>
      <c r="BK1119" s="48"/>
      <c r="BL1119" s="98">
        <f t="shared" si="307"/>
        <v>9.051946948827664E-3</v>
      </c>
      <c r="BM1119" s="47" t="s">
        <v>2487</v>
      </c>
      <c r="BN1119" s="48"/>
      <c r="BO1119" s="48"/>
      <c r="BP1119" s="48"/>
      <c r="BQ1119" s="48"/>
      <c r="BR1119" s="47" t="s">
        <v>2496</v>
      </c>
      <c r="BS1119" s="48"/>
      <c r="BT1119" s="48"/>
      <c r="BU1119" s="228">
        <v>6.3999999999999997E-6</v>
      </c>
      <c r="BV1119" s="48"/>
      <c r="BW1119" s="48"/>
      <c r="BX1119" s="48"/>
      <c r="BY1119" s="48"/>
      <c r="BZ1119" s="48"/>
      <c r="CA1119" s="48"/>
      <c r="CB1119" s="48"/>
      <c r="CC1119" s="48"/>
      <c r="CD1119" s="48"/>
      <c r="CE1119" s="48"/>
      <c r="CF1119" s="48"/>
      <c r="CG1119" s="48"/>
      <c r="CH1119" s="48"/>
      <c r="CI1119" s="98"/>
      <c r="CJ1119" s="98"/>
      <c r="CK1119" s="49">
        <f t="shared" si="302"/>
        <v>0.14143667107543226</v>
      </c>
      <c r="CL1119" s="229"/>
      <c r="CM1119" s="229"/>
      <c r="CN1119" s="229"/>
      <c r="CO1119" s="47" t="s">
        <v>2488</v>
      </c>
      <c r="CP1119" s="47" t="s">
        <v>2489</v>
      </c>
      <c r="CQ1119" s="224" t="s">
        <v>272</v>
      </c>
      <c r="CR1119" s="224"/>
      <c r="CS1119" s="230" t="s">
        <v>539</v>
      </c>
      <c r="CT1119" s="230"/>
      <c r="CU1119" s="230"/>
      <c r="CV1119" s="335">
        <f t="shared" si="306"/>
        <v>3.1902155385461317E-2</v>
      </c>
      <c r="CW1119" s="230">
        <f t="shared" si="301"/>
        <v>0</v>
      </c>
      <c r="CX1119" s="336"/>
      <c r="CY1119" s="230" t="s">
        <v>5921</v>
      </c>
    </row>
    <row r="1120" spans="1:103" ht="11.25" customHeight="1" x14ac:dyDescent="0.2">
      <c r="A1120" s="72">
        <v>1118</v>
      </c>
      <c r="B1120" s="224">
        <v>1026</v>
      </c>
      <c r="C1120" s="46" t="s">
        <v>7266</v>
      </c>
      <c r="D1120" s="46"/>
      <c r="E1120" s="114"/>
      <c r="F1120" s="114" t="s">
        <v>2927</v>
      </c>
      <c r="G1120" s="225">
        <v>446866</v>
      </c>
      <c r="H1120" s="47" t="s">
        <v>2928</v>
      </c>
      <c r="I1120" s="47" t="s">
        <v>2928</v>
      </c>
      <c r="J1120" s="47" t="s">
        <v>2929</v>
      </c>
      <c r="K1120" s="47" t="s">
        <v>1064</v>
      </c>
      <c r="L1120" s="47" t="s">
        <v>279</v>
      </c>
      <c r="M1120" s="47" t="s">
        <v>2930</v>
      </c>
      <c r="N1120" s="47"/>
      <c r="O1120" s="47" t="s">
        <v>281</v>
      </c>
      <c r="P1120" s="53"/>
      <c r="Q1120" s="53"/>
      <c r="R1120" s="53"/>
      <c r="S1120" s="53"/>
      <c r="T1120" s="48">
        <v>277.26</v>
      </c>
      <c r="U1120" s="98"/>
      <c r="V1120" s="98">
        <v>0.98211065425953981</v>
      </c>
      <c r="W1120" s="98">
        <v>10</v>
      </c>
      <c r="X1120" s="98">
        <f>IF(W1120=0,V1120,W1120)</f>
        <v>10</v>
      </c>
      <c r="Y1120" s="233">
        <v>9.74</v>
      </c>
      <c r="Z1120" s="48">
        <v>-0.09</v>
      </c>
      <c r="AA1120" s="48">
        <v>0.1</v>
      </c>
      <c r="AB1120" s="48">
        <v>0.22</v>
      </c>
      <c r="AC1120" s="48">
        <v>0.81540000000000001</v>
      </c>
      <c r="AD1120" s="48">
        <v>-0.19</v>
      </c>
      <c r="AE1120" s="48">
        <v>-1.97</v>
      </c>
      <c r="AF1120" s="48">
        <f t="shared" si="300"/>
        <v>0.1</v>
      </c>
      <c r="AG1120" s="49">
        <v>0.81</v>
      </c>
      <c r="AH1120" s="98">
        <v>2.6399999999999999E-15</v>
      </c>
      <c r="AI1120" s="98"/>
      <c r="AJ1120" s="483">
        <f t="shared" si="298"/>
        <v>-12.966962399442821</v>
      </c>
      <c r="AK1120" s="483"/>
      <c r="AL1120" s="483">
        <f t="shared" si="308"/>
        <v>-12.966962399442821</v>
      </c>
      <c r="AM1120" s="483">
        <v>-15.871539999999998</v>
      </c>
      <c r="AN1120" s="226">
        <v>-15.2</v>
      </c>
      <c r="AO1120" s="484"/>
      <c r="AP1120" s="484">
        <v>7.47</v>
      </c>
      <c r="AQ1120" s="48" t="s">
        <v>6311</v>
      </c>
      <c r="AR1120" s="48" t="s">
        <v>6311</v>
      </c>
      <c r="AS1120" s="227"/>
      <c r="AT1120" s="50" t="s">
        <v>266</v>
      </c>
      <c r="AU1120" s="48">
        <v>6</v>
      </c>
      <c r="AV1120" s="48">
        <v>120</v>
      </c>
      <c r="AW1120" s="48">
        <v>114</v>
      </c>
      <c r="AX1120" s="48">
        <v>28</v>
      </c>
      <c r="AY1120" s="48" t="s">
        <v>8728</v>
      </c>
      <c r="AZ1120" s="48" t="s">
        <v>1563</v>
      </c>
      <c r="BA1120" s="48">
        <v>32</v>
      </c>
      <c r="BB1120" s="47" t="s">
        <v>2485</v>
      </c>
      <c r="BC1120" s="47" t="s">
        <v>8726</v>
      </c>
      <c r="BD1120" s="47" t="s">
        <v>8374</v>
      </c>
      <c r="BE1120" s="48" t="s">
        <v>2449</v>
      </c>
      <c r="BF1120" s="48" t="s">
        <v>272</v>
      </c>
      <c r="BG1120" s="48" t="s">
        <v>272</v>
      </c>
      <c r="BH1120" s="48" t="s">
        <v>2486</v>
      </c>
      <c r="BI1120" s="98">
        <v>6.3999999999999997E-6</v>
      </c>
      <c r="BJ1120" s="98">
        <v>6.4000000000000001E-2</v>
      </c>
      <c r="BK1120" s="48"/>
      <c r="BL1120" s="98">
        <f t="shared" si="307"/>
        <v>61.891213787724247</v>
      </c>
      <c r="BM1120" s="47" t="s">
        <v>2487</v>
      </c>
      <c r="BN1120" s="48"/>
      <c r="BO1120" s="48"/>
      <c r="BP1120" s="48"/>
      <c r="BQ1120" s="48"/>
      <c r="BR1120" s="47" t="s">
        <v>2496</v>
      </c>
      <c r="BS1120" s="48"/>
      <c r="BT1120" s="48"/>
      <c r="BU1120" s="228">
        <v>6.3679999999999997E-4</v>
      </c>
      <c r="BV1120" s="48"/>
      <c r="BW1120" s="48"/>
      <c r="BX1120" s="48"/>
      <c r="BY1120" s="48"/>
      <c r="BZ1120" s="48"/>
      <c r="CA1120" s="48"/>
      <c r="CB1120" s="48"/>
      <c r="CC1120" s="48"/>
      <c r="CD1120" s="48"/>
      <c r="CE1120" s="48"/>
      <c r="CF1120" s="48"/>
      <c r="CG1120" s="48"/>
      <c r="CH1120" s="48"/>
      <c r="CI1120" s="98"/>
      <c r="CJ1120" s="98"/>
      <c r="CK1120" s="49">
        <f t="shared" si="302"/>
        <v>967.0502154331914</v>
      </c>
      <c r="CL1120" s="229"/>
      <c r="CM1120" s="229"/>
      <c r="CN1120" s="229"/>
      <c r="CO1120" s="47" t="s">
        <v>2488</v>
      </c>
      <c r="CP1120" s="47" t="s">
        <v>2489</v>
      </c>
      <c r="CQ1120" s="224" t="s">
        <v>272</v>
      </c>
      <c r="CR1120" s="224"/>
      <c r="CS1120" s="230" t="s">
        <v>539</v>
      </c>
      <c r="CT1120" s="230"/>
      <c r="CU1120" s="230"/>
      <c r="CV1120" s="335">
        <f t="shared" si="306"/>
        <v>156.25</v>
      </c>
      <c r="CW1120" s="230">
        <f t="shared" si="301"/>
        <v>1</v>
      </c>
      <c r="CX1120" s="336"/>
      <c r="CY1120" s="230" t="s">
        <v>5921</v>
      </c>
    </row>
    <row r="1121" spans="1:103" ht="11.25" customHeight="1" x14ac:dyDescent="0.2">
      <c r="A1121" s="72">
        <v>1119</v>
      </c>
      <c r="B1121" s="224">
        <v>1074</v>
      </c>
      <c r="C1121" s="46" t="s">
        <v>7267</v>
      </c>
      <c r="D1121" s="46"/>
      <c r="E1121" s="114"/>
      <c r="F1121" s="114" t="s">
        <v>3019</v>
      </c>
      <c r="G1121" s="225">
        <v>486566</v>
      </c>
      <c r="H1121" s="47" t="s">
        <v>3020</v>
      </c>
      <c r="I1121" s="47" t="s">
        <v>3020</v>
      </c>
      <c r="J1121" s="47" t="s">
        <v>3021</v>
      </c>
      <c r="K1121" s="47" t="s">
        <v>471</v>
      </c>
      <c r="L1121" s="47"/>
      <c r="M1121" s="47"/>
      <c r="N1121" s="47"/>
      <c r="O1121" s="47"/>
      <c r="P1121" s="53"/>
      <c r="Q1121" s="53"/>
      <c r="R1121" s="53"/>
      <c r="S1121" s="53"/>
      <c r="T1121" s="48">
        <v>176.22</v>
      </c>
      <c r="U1121" s="98"/>
      <c r="V1121" s="98">
        <v>5666.7801611621835</v>
      </c>
      <c r="W1121" s="98">
        <v>204.1737944669529</v>
      </c>
      <c r="X1121" s="98">
        <f>IF(W1121=0,V1121,W1121)</f>
        <v>204.1737944669529</v>
      </c>
      <c r="Y1121" s="233">
        <v>9.02</v>
      </c>
      <c r="Z1121" s="48">
        <v>0.34</v>
      </c>
      <c r="AA1121" s="48">
        <v>7.0000000000000007E-2</v>
      </c>
      <c r="AB1121" s="48">
        <v>0.33</v>
      </c>
      <c r="AC1121" s="48">
        <v>0.80900000000000005</v>
      </c>
      <c r="AD1121" s="48">
        <v>0.17</v>
      </c>
      <c r="AE1121" s="48">
        <v>-0.23</v>
      </c>
      <c r="AF1121" s="48">
        <f t="shared" si="300"/>
        <v>7.0000000000000007E-2</v>
      </c>
      <c r="AG1121" s="49">
        <v>0.64</v>
      </c>
      <c r="AH1121" s="98">
        <v>3.3300000000000001E-12</v>
      </c>
      <c r="AI1121" s="98"/>
      <c r="AJ1121" s="483">
        <f t="shared" ref="AJ1121:AJ1186" si="309">LOG10(AH1121*1000/(0.08206*298.15))</f>
        <v>-9.8661220928063322</v>
      </c>
      <c r="AK1121" s="483"/>
      <c r="AL1121" s="483">
        <f t="shared" si="308"/>
        <v>-9.8661220928063322</v>
      </c>
      <c r="AM1121" s="483">
        <v>-11.15381</v>
      </c>
      <c r="AN1121" s="226">
        <v>-10.8</v>
      </c>
      <c r="AO1121" s="484"/>
      <c r="AP1121" s="484">
        <v>4.72</v>
      </c>
      <c r="AQ1121" s="48" t="s">
        <v>6311</v>
      </c>
      <c r="AR1121" s="48" t="s">
        <v>6311</v>
      </c>
      <c r="AS1121" s="227"/>
      <c r="AT1121" s="50" t="s">
        <v>266</v>
      </c>
      <c r="AU1121" s="48">
        <v>6</v>
      </c>
      <c r="AV1121" s="48">
        <v>120</v>
      </c>
      <c r="AW1121" s="48">
        <v>114</v>
      </c>
      <c r="AX1121" s="48">
        <v>28</v>
      </c>
      <c r="AY1121" s="48" t="s">
        <v>8728</v>
      </c>
      <c r="AZ1121" s="48" t="s">
        <v>1563</v>
      </c>
      <c r="BA1121" s="48">
        <v>32</v>
      </c>
      <c r="BB1121" s="47" t="s">
        <v>2485</v>
      </c>
      <c r="BC1121" s="47" t="s">
        <v>8726</v>
      </c>
      <c r="BD1121" s="47" t="s">
        <v>8374</v>
      </c>
      <c r="BE1121" s="48" t="s">
        <v>2449</v>
      </c>
      <c r="BF1121" s="48" t="s">
        <v>272</v>
      </c>
      <c r="BG1121" s="48" t="s">
        <v>272</v>
      </c>
      <c r="BH1121" s="48" t="s">
        <v>2486</v>
      </c>
      <c r="BI1121" s="98">
        <v>6.3999999999999997E-6</v>
      </c>
      <c r="BJ1121" s="98">
        <v>6.4000000000000001E-2</v>
      </c>
      <c r="BK1121" s="48"/>
      <c r="BL1121" s="98">
        <f t="shared" si="307"/>
        <v>25.435835053237014</v>
      </c>
      <c r="BM1121" s="47" t="s">
        <v>2487</v>
      </c>
      <c r="BN1121" s="48"/>
      <c r="BO1121" s="48"/>
      <c r="BP1121" s="48"/>
      <c r="BQ1121" s="48"/>
      <c r="BR1121" s="47" t="s">
        <v>2496</v>
      </c>
      <c r="BS1121" s="48"/>
      <c r="BT1121" s="48"/>
      <c r="BU1121" s="228">
        <v>6.4000000000000005E-4</v>
      </c>
      <c r="BV1121" s="48"/>
      <c r="BW1121" s="48"/>
      <c r="BX1121" s="48"/>
      <c r="BY1121" s="48"/>
      <c r="BZ1121" s="48"/>
      <c r="CA1121" s="48"/>
      <c r="CB1121" s="48"/>
      <c r="CC1121" s="48"/>
      <c r="CD1121" s="48"/>
      <c r="CE1121" s="48"/>
      <c r="CF1121" s="48"/>
      <c r="CG1121" s="48"/>
      <c r="CH1121" s="48"/>
      <c r="CI1121" s="98"/>
      <c r="CJ1121" s="98"/>
      <c r="CK1121" s="49">
        <f t="shared" si="302"/>
        <v>397.43492270682833</v>
      </c>
      <c r="CL1121" s="229"/>
      <c r="CM1121" s="229"/>
      <c r="CN1121" s="229"/>
      <c r="CO1121" s="47" t="s">
        <v>2488</v>
      </c>
      <c r="CP1121" s="47" t="s">
        <v>2489</v>
      </c>
      <c r="CQ1121" s="224" t="s">
        <v>272</v>
      </c>
      <c r="CR1121" s="224"/>
      <c r="CS1121" s="230" t="s">
        <v>539</v>
      </c>
      <c r="CT1121" s="230"/>
      <c r="CU1121" s="230"/>
      <c r="CV1121" s="335">
        <f t="shared" si="306"/>
        <v>3190.2155385461388</v>
      </c>
      <c r="CW1121" s="230">
        <f t="shared" si="301"/>
        <v>1</v>
      </c>
      <c r="CX1121" s="336"/>
      <c r="CY1121" s="230" t="s">
        <v>5921</v>
      </c>
    </row>
    <row r="1122" spans="1:103" ht="11.25" customHeight="1" x14ac:dyDescent="0.2">
      <c r="A1122" s="72">
        <v>1120</v>
      </c>
      <c r="B1122" s="224">
        <v>1087</v>
      </c>
      <c r="C1122" s="46" t="s">
        <v>7268</v>
      </c>
      <c r="D1122" s="46"/>
      <c r="E1122" s="114"/>
      <c r="F1122" s="114" t="s">
        <v>3042</v>
      </c>
      <c r="G1122" s="225">
        <v>486668</v>
      </c>
      <c r="H1122" s="47" t="s">
        <v>3043</v>
      </c>
      <c r="I1122" s="47" t="s">
        <v>3043</v>
      </c>
      <c r="J1122" s="47" t="s">
        <v>3044</v>
      </c>
      <c r="K1122" s="47" t="s">
        <v>1903</v>
      </c>
      <c r="L1122" s="47"/>
      <c r="M1122" s="47"/>
      <c r="N1122" s="47"/>
      <c r="O1122" s="47"/>
      <c r="P1122" s="53"/>
      <c r="Q1122" s="53"/>
      <c r="R1122" s="53"/>
      <c r="S1122" s="53"/>
      <c r="T1122" s="48">
        <v>254.24</v>
      </c>
      <c r="U1122" s="98"/>
      <c r="V1122" s="98">
        <v>2.2356828193832596</v>
      </c>
      <c r="W1122" s="98">
        <v>0.52480746024977232</v>
      </c>
      <c r="X1122" s="98">
        <f>IF(W1122=0,V1122,W1122)</f>
        <v>0.52480746024977232</v>
      </c>
      <c r="Y1122" s="233">
        <v>5.16</v>
      </c>
      <c r="Z1122" s="48">
        <v>2.5499999999999998</v>
      </c>
      <c r="AA1122" s="48"/>
      <c r="AB1122" s="48">
        <v>2.93</v>
      </c>
      <c r="AC1122" s="48">
        <v>0.78859999999999997</v>
      </c>
      <c r="AD1122" s="48">
        <v>2.91</v>
      </c>
      <c r="AE1122" s="48">
        <v>2.78</v>
      </c>
      <c r="AF1122" s="48">
        <f t="shared" si="300"/>
        <v>2.91</v>
      </c>
      <c r="AG1122" s="49">
        <v>2.65</v>
      </c>
      <c r="AH1122" s="98">
        <v>3.9099999999999999E-16</v>
      </c>
      <c r="AI1122" s="98"/>
      <c r="AJ1122" s="483">
        <f t="shared" si="309"/>
        <v>-13.796389568916785</v>
      </c>
      <c r="AK1122" s="483"/>
      <c r="AL1122" s="483">
        <f t="shared" si="308"/>
        <v>-13.796389568916785</v>
      </c>
      <c r="AM1122" s="483">
        <v>-19.507349999999999</v>
      </c>
      <c r="AN1122" s="226">
        <v>-15</v>
      </c>
      <c r="AO1122" s="484">
        <v>7.01</v>
      </c>
      <c r="AP1122" s="484"/>
      <c r="AQ1122" s="48" t="s">
        <v>6311</v>
      </c>
      <c r="AR1122" s="48" t="s">
        <v>6311</v>
      </c>
      <c r="AS1122" s="227"/>
      <c r="AT1122" s="50" t="s">
        <v>266</v>
      </c>
      <c r="AU1122" s="48">
        <v>6</v>
      </c>
      <c r="AV1122" s="48">
        <v>120</v>
      </c>
      <c r="AW1122" s="48">
        <v>114</v>
      </c>
      <c r="AX1122" s="48">
        <v>28</v>
      </c>
      <c r="AY1122" s="48" t="s">
        <v>8728</v>
      </c>
      <c r="AZ1122" s="48" t="s">
        <v>1563</v>
      </c>
      <c r="BA1122" s="48">
        <v>32</v>
      </c>
      <c r="BB1122" s="47" t="s">
        <v>2485</v>
      </c>
      <c r="BC1122" s="47" t="s">
        <v>8726</v>
      </c>
      <c r="BD1122" s="47" t="s">
        <v>8374</v>
      </c>
      <c r="BE1122" s="48" t="s">
        <v>2449</v>
      </c>
      <c r="BF1122" s="48" t="s">
        <v>272</v>
      </c>
      <c r="BG1122" s="48" t="s">
        <v>272</v>
      </c>
      <c r="BH1122" s="48" t="s">
        <v>2486</v>
      </c>
      <c r="BI1122" s="98">
        <v>6.3999999999999997E-6</v>
      </c>
      <c r="BJ1122" s="98">
        <v>6.4000000000000001E-2</v>
      </c>
      <c r="BK1122" s="48"/>
      <c r="BL1122" s="98">
        <f t="shared" si="307"/>
        <v>0.26341772823875065</v>
      </c>
      <c r="BM1122" s="47" t="s">
        <v>2487</v>
      </c>
      <c r="BN1122" s="48"/>
      <c r="BO1122" s="48"/>
      <c r="BP1122" s="48"/>
      <c r="BQ1122" s="48"/>
      <c r="BR1122" s="47" t="s">
        <v>2496</v>
      </c>
      <c r="BS1122" s="48"/>
      <c r="BT1122" s="48"/>
      <c r="BU1122" s="228">
        <v>6.4000000000000005E-4</v>
      </c>
      <c r="BV1122" s="48"/>
      <c r="BW1122" s="48"/>
      <c r="BX1122" s="48"/>
      <c r="BY1122" s="48"/>
      <c r="BZ1122" s="48"/>
      <c r="CA1122" s="48"/>
      <c r="CB1122" s="48"/>
      <c r="CC1122" s="48"/>
      <c r="CD1122" s="48"/>
      <c r="CE1122" s="48"/>
      <c r="CF1122" s="48"/>
      <c r="CG1122" s="48"/>
      <c r="CH1122" s="48"/>
      <c r="CI1122" s="98"/>
      <c r="CJ1122" s="98"/>
      <c r="CK1122" s="49">
        <f t="shared" si="302"/>
        <v>4.1159020037304792</v>
      </c>
      <c r="CL1122" s="229"/>
      <c r="CM1122" s="229"/>
      <c r="CN1122" s="229"/>
      <c r="CO1122" s="47" t="s">
        <v>2488</v>
      </c>
      <c r="CP1122" s="47" t="s">
        <v>2489</v>
      </c>
      <c r="CQ1122" s="224" t="s">
        <v>272</v>
      </c>
      <c r="CR1122" s="224"/>
      <c r="CS1122" s="230" t="s">
        <v>539</v>
      </c>
      <c r="CT1122" s="230"/>
      <c r="CU1122" s="230"/>
      <c r="CV1122" s="335">
        <f t="shared" si="306"/>
        <v>8.2001165664026932</v>
      </c>
      <c r="CW1122" s="230">
        <f t="shared" si="301"/>
        <v>1</v>
      </c>
      <c r="CX1122" s="336"/>
      <c r="CY1122" s="230" t="s">
        <v>5921</v>
      </c>
    </row>
    <row r="1123" spans="1:103" ht="11.25" customHeight="1" x14ac:dyDescent="0.2">
      <c r="A1123" s="72">
        <v>1121</v>
      </c>
      <c r="B1123" s="224">
        <v>1440</v>
      </c>
      <c r="C1123" s="46" t="s">
        <v>7269</v>
      </c>
      <c r="D1123" s="46"/>
      <c r="E1123" s="114"/>
      <c r="F1123" s="114" t="s">
        <v>4429</v>
      </c>
      <c r="G1123" s="225">
        <v>496720</v>
      </c>
      <c r="H1123" s="47" t="s">
        <v>4430</v>
      </c>
      <c r="I1123" s="47" t="s">
        <v>4430</v>
      </c>
      <c r="J1123" s="47" t="s">
        <v>4431</v>
      </c>
      <c r="K1123" s="47" t="s">
        <v>2667</v>
      </c>
      <c r="L1123" s="47"/>
      <c r="M1123" s="47"/>
      <c r="N1123" s="47"/>
      <c r="O1123" s="47"/>
      <c r="P1123" s="53"/>
      <c r="Q1123" s="53"/>
      <c r="R1123" s="53"/>
      <c r="S1123" s="53"/>
      <c r="T1123" s="48">
        <v>122.17</v>
      </c>
      <c r="U1123" s="98"/>
      <c r="V1123" s="98">
        <v>220.26684128673159</v>
      </c>
      <c r="W1123" s="98">
        <v>186.20871366628671</v>
      </c>
      <c r="X1123" s="98">
        <f>IF(W1123=0,V1123,W1123)</f>
        <v>186.20871366628671</v>
      </c>
      <c r="Y1123" s="233">
        <v>9.02</v>
      </c>
      <c r="Z1123" s="48">
        <v>0.71</v>
      </c>
      <c r="AA1123" s="48">
        <v>0.66</v>
      </c>
      <c r="AB1123" s="48">
        <v>0.69</v>
      </c>
      <c r="AC1123" s="48">
        <v>0.81369999999999998</v>
      </c>
      <c r="AD1123" s="48">
        <v>0.64</v>
      </c>
      <c r="AE1123" s="48">
        <v>0.51</v>
      </c>
      <c r="AF1123" s="48">
        <f t="shared" si="300"/>
        <v>0.66</v>
      </c>
      <c r="AG1123" s="49">
        <v>0.88</v>
      </c>
      <c r="AH1123" s="98">
        <v>7.4300000000000002E-10</v>
      </c>
      <c r="AI1123" s="98"/>
      <c r="AJ1123" s="483">
        <f t="shared" si="309"/>
        <v>-7.5175775125520765</v>
      </c>
      <c r="AK1123" s="483"/>
      <c r="AL1123" s="483">
        <f t="shared" si="308"/>
        <v>-7.5175775125520765</v>
      </c>
      <c r="AM1123" s="483">
        <v>-9.9274100000000001</v>
      </c>
      <c r="AN1123" s="226">
        <v>-5.59</v>
      </c>
      <c r="AO1123" s="484"/>
      <c r="AP1123" s="484">
        <v>4.59</v>
      </c>
      <c r="AQ1123" s="48" t="s">
        <v>6311</v>
      </c>
      <c r="AR1123" s="48" t="s">
        <v>6311</v>
      </c>
      <c r="AS1123" s="227"/>
      <c r="AT1123" s="50" t="s">
        <v>266</v>
      </c>
      <c r="AU1123" s="48">
        <v>6</v>
      </c>
      <c r="AV1123" s="48">
        <v>120</v>
      </c>
      <c r="AW1123" s="48">
        <v>114</v>
      </c>
      <c r="AX1123" s="48">
        <v>28</v>
      </c>
      <c r="AY1123" s="48" t="s">
        <v>8728</v>
      </c>
      <c r="AZ1123" s="48" t="s">
        <v>1563</v>
      </c>
      <c r="BA1123" s="48">
        <v>32</v>
      </c>
      <c r="BB1123" s="47" t="s">
        <v>2485</v>
      </c>
      <c r="BC1123" s="47" t="s">
        <v>8726</v>
      </c>
      <c r="BD1123" s="47" t="s">
        <v>8374</v>
      </c>
      <c r="BE1123" s="48" t="s">
        <v>2449</v>
      </c>
      <c r="BF1123" s="48" t="s">
        <v>272</v>
      </c>
      <c r="BG1123" s="48" t="s">
        <v>272</v>
      </c>
      <c r="BH1123" s="48" t="s">
        <v>2486</v>
      </c>
      <c r="BI1123" s="98">
        <v>6.3999999999999997E-6</v>
      </c>
      <c r="BJ1123" s="98">
        <v>6.4000000000000001E-2</v>
      </c>
      <c r="BK1123" s="48"/>
      <c r="BL1123" s="98">
        <f t="shared" si="307"/>
        <v>11.834475093832653</v>
      </c>
      <c r="BM1123" s="47" t="s">
        <v>2487</v>
      </c>
      <c r="BN1123" s="48"/>
      <c r="BO1123" s="48"/>
      <c r="BP1123" s="48"/>
      <c r="BQ1123" s="48"/>
      <c r="BR1123" s="47" t="s">
        <v>2496</v>
      </c>
      <c r="BS1123" s="48"/>
      <c r="BT1123" s="48"/>
      <c r="BU1123" s="228"/>
      <c r="BV1123" s="48"/>
      <c r="BW1123" s="48"/>
      <c r="BX1123" s="48"/>
      <c r="BY1123" s="48"/>
      <c r="BZ1123" s="48"/>
      <c r="CA1123" s="48"/>
      <c r="CB1123" s="48"/>
      <c r="CC1123" s="48"/>
      <c r="CD1123" s="48"/>
      <c r="CE1123" s="48"/>
      <c r="CF1123" s="48"/>
      <c r="CG1123" s="48"/>
      <c r="CH1123" s="48"/>
      <c r="CI1123" s="98"/>
      <c r="CJ1123" s="98"/>
      <c r="CK1123" s="49">
        <f t="shared" si="302"/>
        <v>184.91367334113519</v>
      </c>
      <c r="CL1123" s="229"/>
      <c r="CM1123" s="229"/>
      <c r="CN1123" s="229"/>
      <c r="CO1123" s="47" t="s">
        <v>2488</v>
      </c>
      <c r="CP1123" s="47" t="s">
        <v>2489</v>
      </c>
      <c r="CQ1123" s="224" t="s">
        <v>272</v>
      </c>
      <c r="CR1123" s="224"/>
      <c r="CS1123" s="230" t="s">
        <v>539</v>
      </c>
      <c r="CT1123" s="230"/>
      <c r="CU1123" s="230"/>
      <c r="CV1123" s="335">
        <f t="shared" si="306"/>
        <v>2909.5111510357297</v>
      </c>
      <c r="CW1123" s="230">
        <f t="shared" si="301"/>
        <v>1</v>
      </c>
      <c r="CX1123" s="336"/>
      <c r="CY1123" s="230" t="s">
        <v>5921</v>
      </c>
    </row>
    <row r="1124" spans="1:103" ht="11.25" customHeight="1" x14ac:dyDescent="0.2">
      <c r="A1124" s="72">
        <v>1122</v>
      </c>
      <c r="B1124" s="224">
        <v>1552</v>
      </c>
      <c r="C1124" s="46" t="s">
        <v>7270</v>
      </c>
      <c r="D1124" s="46"/>
      <c r="E1124" s="114"/>
      <c r="F1124" s="114" t="s">
        <v>4682</v>
      </c>
      <c r="G1124" s="225">
        <v>510156</v>
      </c>
      <c r="H1124" s="47" t="s">
        <v>4683</v>
      </c>
      <c r="I1124" s="47" t="s">
        <v>8052</v>
      </c>
      <c r="J1124" s="47" t="s">
        <v>4684</v>
      </c>
      <c r="K1124" s="47" t="s">
        <v>4685</v>
      </c>
      <c r="L1124" s="47" t="s">
        <v>8496</v>
      </c>
      <c r="M1124" s="47" t="s">
        <v>8497</v>
      </c>
      <c r="N1124" s="47" t="s">
        <v>6376</v>
      </c>
      <c r="O1124" s="47" t="s">
        <v>8498</v>
      </c>
      <c r="P1124" s="53"/>
      <c r="Q1124" s="53"/>
      <c r="R1124" s="53"/>
      <c r="S1124" s="53"/>
      <c r="T1124" s="48">
        <v>325.19</v>
      </c>
      <c r="U1124" s="98">
        <v>3.9976629047633688E-2</v>
      </c>
      <c r="V1124" s="98">
        <v>7.7739167871090746E-3</v>
      </c>
      <c r="W1124" s="98">
        <v>3.4673685045253158E-2</v>
      </c>
      <c r="X1124" s="98">
        <v>3.9976629047633688E-2</v>
      </c>
      <c r="Y1124" s="233">
        <v>6.99</v>
      </c>
      <c r="Z1124" s="48">
        <v>3.99</v>
      </c>
      <c r="AA1124" s="48">
        <v>4.74</v>
      </c>
      <c r="AB1124" s="48">
        <v>4.51</v>
      </c>
      <c r="AC1124" s="48">
        <v>0.68520000000000003</v>
      </c>
      <c r="AD1124" s="48">
        <v>4.5999999999999996</v>
      </c>
      <c r="AE1124" s="48">
        <v>4.7300000000000004</v>
      </c>
      <c r="AF1124" s="48">
        <f t="shared" si="300"/>
        <v>4.74</v>
      </c>
      <c r="AG1124" s="49">
        <v>1.1399999999999999</v>
      </c>
      <c r="AH1124" s="98">
        <v>1.3E-7</v>
      </c>
      <c r="AI1124" s="98">
        <v>7.24E-8</v>
      </c>
      <c r="AJ1124" s="483">
        <f t="shared" si="309"/>
        <v>-5.2746229740058155</v>
      </c>
      <c r="AK1124" s="483">
        <f>LOG10(AI1124*1000/(0.08206*298.15))</f>
        <v>-5.5288277601155054</v>
      </c>
      <c r="AL1124" s="483">
        <f t="shared" si="308"/>
        <v>-5.5288277601155054</v>
      </c>
      <c r="AM1124" s="483">
        <v>-12.0824</v>
      </c>
      <c r="AN1124" s="226">
        <v>-8.6300000000000008</v>
      </c>
      <c r="AO1124" s="484">
        <v>11.11</v>
      </c>
      <c r="AP1124" s="484"/>
      <c r="AQ1124" s="48" t="s">
        <v>6311</v>
      </c>
      <c r="AR1124" s="48" t="s">
        <v>6312</v>
      </c>
      <c r="AS1124" s="227"/>
      <c r="AT1124" s="50" t="s">
        <v>266</v>
      </c>
      <c r="AU1124" s="48">
        <v>6</v>
      </c>
      <c r="AV1124" s="48">
        <v>120</v>
      </c>
      <c r="AW1124" s="48">
        <v>114</v>
      </c>
      <c r="AX1124" s="48">
        <v>28</v>
      </c>
      <c r="AY1124" s="48" t="s">
        <v>8728</v>
      </c>
      <c r="AZ1124" s="48" t="s">
        <v>1563</v>
      </c>
      <c r="BA1124" s="48">
        <v>32</v>
      </c>
      <c r="BB1124" s="47" t="s">
        <v>2485</v>
      </c>
      <c r="BC1124" s="47" t="s">
        <v>8726</v>
      </c>
      <c r="BD1124" s="47" t="s">
        <v>8374</v>
      </c>
      <c r="BE1124" s="48" t="s">
        <v>2449</v>
      </c>
      <c r="BF1124" s="48" t="s">
        <v>272</v>
      </c>
      <c r="BG1124" s="48" t="s">
        <v>272</v>
      </c>
      <c r="BH1124" s="48" t="s">
        <v>2486</v>
      </c>
      <c r="BI1124" s="98">
        <v>6.3999999999999997E-6</v>
      </c>
      <c r="BJ1124" s="98">
        <v>6.4000000000000001E-2</v>
      </c>
      <c r="BK1124" s="48"/>
      <c r="BL1124" s="98">
        <f t="shared" si="307"/>
        <v>1.3408524812597552E-2</v>
      </c>
      <c r="BM1124" s="47" t="s">
        <v>2487</v>
      </c>
      <c r="BN1124" s="48"/>
      <c r="BO1124" s="48"/>
      <c r="BP1124" s="48"/>
      <c r="BQ1124" s="48"/>
      <c r="BR1124" s="47" t="s">
        <v>2496</v>
      </c>
      <c r="BS1124" s="48"/>
      <c r="BT1124" s="48"/>
      <c r="BU1124" s="228"/>
      <c r="BV1124" s="48"/>
      <c r="BW1124" s="48"/>
      <c r="BX1124" s="48"/>
      <c r="BY1124" s="48"/>
      <c r="BZ1124" s="48"/>
      <c r="CA1124" s="48"/>
      <c r="CB1124" s="48"/>
      <c r="CC1124" s="48"/>
      <c r="CD1124" s="48"/>
      <c r="CE1124" s="48"/>
      <c r="CF1124" s="48"/>
      <c r="CG1124" s="48"/>
      <c r="CH1124" s="48"/>
      <c r="CI1124" s="98"/>
      <c r="CJ1124" s="98"/>
      <c r="CK1124" s="49">
        <f t="shared" si="302"/>
        <v>0.20950820019683675</v>
      </c>
      <c r="CL1124" s="229"/>
      <c r="CM1124" s="229"/>
      <c r="CN1124" s="229"/>
      <c r="CO1124" s="47" t="s">
        <v>2488</v>
      </c>
      <c r="CP1124" s="47" t="s">
        <v>2489</v>
      </c>
      <c r="CQ1124" s="224">
        <v>-2.464091136139968</v>
      </c>
      <c r="CR1124" s="224">
        <f>10^(CJ1124-CQ1124)</f>
        <v>291.1327992413681</v>
      </c>
      <c r="CS1124" s="230" t="s">
        <v>539</v>
      </c>
      <c r="CT1124" s="230"/>
      <c r="CU1124" s="230"/>
      <c r="CV1124" s="335">
        <f t="shared" si="306"/>
        <v>0.62463482886927635</v>
      </c>
      <c r="CW1124" s="230">
        <f t="shared" si="301"/>
        <v>0</v>
      </c>
      <c r="CX1124" s="336"/>
      <c r="CY1124" s="230" t="s">
        <v>5921</v>
      </c>
    </row>
    <row r="1125" spans="1:103" ht="11.25" customHeight="1" x14ac:dyDescent="0.2">
      <c r="A1125" s="72">
        <v>1123</v>
      </c>
      <c r="B1125" s="224">
        <v>1002</v>
      </c>
      <c r="C1125" s="46" t="s">
        <v>7271</v>
      </c>
      <c r="D1125" s="46"/>
      <c r="E1125" s="114"/>
      <c r="F1125" s="114" t="s">
        <v>2859</v>
      </c>
      <c r="G1125" s="225">
        <v>521186</v>
      </c>
      <c r="H1125" s="47" t="s">
        <v>2860</v>
      </c>
      <c r="I1125" s="47" t="s">
        <v>2860</v>
      </c>
      <c r="J1125" s="47" t="s">
        <v>2861</v>
      </c>
      <c r="K1125" s="47" t="s">
        <v>426</v>
      </c>
      <c r="L1125" s="47"/>
      <c r="M1125" s="47"/>
      <c r="N1125" s="47"/>
      <c r="O1125" s="47"/>
      <c r="P1125" s="53"/>
      <c r="Q1125" s="53"/>
      <c r="R1125" s="53"/>
      <c r="S1125" s="53"/>
      <c r="T1125" s="48">
        <v>290.44</v>
      </c>
      <c r="U1125" s="98">
        <v>1807.6022586420604</v>
      </c>
      <c r="V1125" s="98">
        <v>0.14450488913372814</v>
      </c>
      <c r="W1125" s="98">
        <v>3.2359365692962778E-2</v>
      </c>
      <c r="X1125" s="98">
        <v>1807.6022586420604</v>
      </c>
      <c r="Y1125" s="233">
        <v>7</v>
      </c>
      <c r="Z1125" s="48">
        <v>3.07</v>
      </c>
      <c r="AA1125" s="48">
        <v>3.55</v>
      </c>
      <c r="AB1125" s="48">
        <v>3.68</v>
      </c>
      <c r="AC1125" s="48">
        <v>0.95599999999999996</v>
      </c>
      <c r="AD1125" s="48">
        <v>3.69</v>
      </c>
      <c r="AE1125" s="48">
        <v>3.75</v>
      </c>
      <c r="AF1125" s="48">
        <f t="shared" si="300"/>
        <v>3.55</v>
      </c>
      <c r="AG1125" s="49">
        <v>3.35</v>
      </c>
      <c r="AH1125" s="98">
        <v>6.3700000000000001E-9</v>
      </c>
      <c r="AI1125" s="98"/>
      <c r="AJ1125" s="483">
        <f t="shared" si="309"/>
        <v>-6.5844268939773016</v>
      </c>
      <c r="AK1125" s="483"/>
      <c r="AL1125" s="483">
        <f t="shared" si="308"/>
        <v>-6.5844268939773016</v>
      </c>
      <c r="AM1125" s="483">
        <v>-14.185899999999998</v>
      </c>
      <c r="AN1125" s="226">
        <v>-7.52</v>
      </c>
      <c r="AO1125" s="484">
        <v>15.09</v>
      </c>
      <c r="AP1125" s="484"/>
      <c r="AQ1125" s="48" t="s">
        <v>6311</v>
      </c>
      <c r="AR1125" s="48" t="s">
        <v>6311</v>
      </c>
      <c r="AS1125" s="227"/>
      <c r="AT1125" s="50" t="s">
        <v>266</v>
      </c>
      <c r="AU1125" s="48">
        <v>6</v>
      </c>
      <c r="AV1125" s="48">
        <v>120</v>
      </c>
      <c r="AW1125" s="48">
        <v>114</v>
      </c>
      <c r="AX1125" s="48">
        <v>28</v>
      </c>
      <c r="AY1125" s="48" t="s">
        <v>8728</v>
      </c>
      <c r="AZ1125" s="48" t="s">
        <v>1563</v>
      </c>
      <c r="BA1125" s="48">
        <v>32</v>
      </c>
      <c r="BB1125" s="47" t="s">
        <v>2485</v>
      </c>
      <c r="BC1125" s="47" t="s">
        <v>8726</v>
      </c>
      <c r="BD1125" s="47" t="s">
        <v>8374</v>
      </c>
      <c r="BE1125" s="48" t="s">
        <v>2449</v>
      </c>
      <c r="BF1125" s="48" t="s">
        <v>272</v>
      </c>
      <c r="BG1125" s="48" t="s">
        <v>272</v>
      </c>
      <c r="BH1125" s="48" t="s">
        <v>2486</v>
      </c>
      <c r="BI1125" s="98">
        <v>6.3999999999999997E-6</v>
      </c>
      <c r="BJ1125" s="98">
        <v>6.4000000000000001E-2</v>
      </c>
      <c r="BK1125" s="48"/>
      <c r="BL1125" s="98">
        <f t="shared" si="307"/>
        <v>8.987377833203794E-2</v>
      </c>
      <c r="BM1125" s="47" t="s">
        <v>2487</v>
      </c>
      <c r="BN1125" s="48"/>
      <c r="BO1125" s="48"/>
      <c r="BP1125" s="48"/>
      <c r="BQ1125" s="48"/>
      <c r="BR1125" s="47" t="s">
        <v>2496</v>
      </c>
      <c r="BS1125" s="48"/>
      <c r="BT1125" s="48"/>
      <c r="BU1125" s="228">
        <v>6.3999999999999997E-5</v>
      </c>
      <c r="BV1125" s="48"/>
      <c r="BW1125" s="48"/>
      <c r="BX1125" s="48"/>
      <c r="BY1125" s="48"/>
      <c r="BZ1125" s="48"/>
      <c r="CA1125" s="48"/>
      <c r="CB1125" s="48"/>
      <c r="CC1125" s="48"/>
      <c r="CD1125" s="48"/>
      <c r="CE1125" s="48"/>
      <c r="CF1125" s="48"/>
      <c r="CG1125" s="48"/>
      <c r="CH1125" s="48"/>
      <c r="CI1125" s="98"/>
      <c r="CJ1125" s="98"/>
      <c r="CK1125" s="49">
        <f t="shared" si="302"/>
        <v>1.4042777864380929</v>
      </c>
      <c r="CL1125" s="229"/>
      <c r="CM1125" s="229"/>
      <c r="CN1125" s="229"/>
      <c r="CO1125" s="47" t="s">
        <v>2488</v>
      </c>
      <c r="CP1125" s="47" t="s">
        <v>2489</v>
      </c>
      <c r="CQ1125" s="224" t="s">
        <v>272</v>
      </c>
      <c r="CR1125" s="224"/>
      <c r="CS1125" s="230" t="s">
        <v>539</v>
      </c>
      <c r="CT1125" s="230"/>
      <c r="CU1125" s="230"/>
      <c r="CV1125" s="335">
        <f t="shared" si="306"/>
        <v>28243.785291282195</v>
      </c>
      <c r="CW1125" s="230">
        <f t="shared" si="301"/>
        <v>1</v>
      </c>
      <c r="CX1125" s="336"/>
      <c r="CY1125" s="230" t="s">
        <v>6351</v>
      </c>
    </row>
    <row r="1126" spans="1:103" ht="11.25" customHeight="1" x14ac:dyDescent="0.2">
      <c r="A1126" s="72">
        <v>1124</v>
      </c>
      <c r="B1126" s="224">
        <v>1417</v>
      </c>
      <c r="C1126" s="46" t="s">
        <v>7272</v>
      </c>
      <c r="D1126" s="46"/>
      <c r="E1126" s="114"/>
      <c r="F1126" s="114" t="s">
        <v>4358</v>
      </c>
      <c r="G1126" s="225">
        <v>527606</v>
      </c>
      <c r="H1126" s="47" t="s">
        <v>4359</v>
      </c>
      <c r="I1126" s="47" t="s">
        <v>4359</v>
      </c>
      <c r="J1126" s="47" t="s">
        <v>4360</v>
      </c>
      <c r="K1126" s="47" t="s">
        <v>349</v>
      </c>
      <c r="L1126" s="47" t="s">
        <v>6025</v>
      </c>
      <c r="M1126" s="47" t="s">
        <v>6082</v>
      </c>
      <c r="N1126" s="47"/>
      <c r="O1126" s="47" t="s">
        <v>6083</v>
      </c>
      <c r="P1126" s="53" t="s">
        <v>6184</v>
      </c>
      <c r="Q1126" s="53" t="s">
        <v>6173</v>
      </c>
      <c r="R1126" s="53" t="s">
        <v>6185</v>
      </c>
      <c r="S1126" s="53" t="s">
        <v>6176</v>
      </c>
      <c r="T1126" s="48">
        <v>136.19</v>
      </c>
      <c r="U1126" s="98">
        <v>8.8112196196490196</v>
      </c>
      <c r="V1126" s="98">
        <v>11.300389162199869</v>
      </c>
      <c r="W1126" s="98">
        <v>15.488166189124804</v>
      </c>
      <c r="X1126" s="98">
        <v>8.8112196196490196</v>
      </c>
      <c r="Y1126" s="233">
        <v>6.38</v>
      </c>
      <c r="Z1126" s="48">
        <v>3.15</v>
      </c>
      <c r="AA1126" s="48">
        <v>2.73</v>
      </c>
      <c r="AB1126" s="48">
        <v>2.72</v>
      </c>
      <c r="AC1126" s="48">
        <v>0.95220000000000005</v>
      </c>
      <c r="AD1126" s="48">
        <v>2.75</v>
      </c>
      <c r="AE1126" s="48">
        <v>2.86</v>
      </c>
      <c r="AF1126" s="48">
        <f t="shared" si="300"/>
        <v>2.73</v>
      </c>
      <c r="AG1126" s="49">
        <v>2.84</v>
      </c>
      <c r="AH1126" s="98">
        <v>7.5300000000000003E-7</v>
      </c>
      <c r="AI1126" s="98">
        <v>2.6000000000000001E-6</v>
      </c>
      <c r="AJ1126" s="483">
        <f t="shared" si="309"/>
        <v>-4.5117713501119514</v>
      </c>
      <c r="AK1126" s="483">
        <f>LOG10(AI1126*1000/(0.08206*298.15))</f>
        <v>-3.9735929783418338</v>
      </c>
      <c r="AL1126" s="483">
        <f t="shared" si="308"/>
        <v>-3.9735929783418338</v>
      </c>
      <c r="AM1126" s="483">
        <v>-5.6314799999999998</v>
      </c>
      <c r="AN1126" s="226">
        <v>-3.66</v>
      </c>
      <c r="AO1126" s="484">
        <v>10.97</v>
      </c>
      <c r="AP1126" s="484"/>
      <c r="AQ1126" s="48" t="s">
        <v>6311</v>
      </c>
      <c r="AR1126" s="48" t="s">
        <v>6311</v>
      </c>
      <c r="AS1126" s="227"/>
      <c r="AT1126" s="50" t="s">
        <v>266</v>
      </c>
      <c r="AU1126" s="48">
        <v>6</v>
      </c>
      <c r="AV1126" s="48">
        <v>120</v>
      </c>
      <c r="AW1126" s="48">
        <v>114</v>
      </c>
      <c r="AX1126" s="48">
        <v>28</v>
      </c>
      <c r="AY1126" s="48" t="s">
        <v>8728</v>
      </c>
      <c r="AZ1126" s="48" t="s">
        <v>1563</v>
      </c>
      <c r="BA1126" s="48">
        <v>32</v>
      </c>
      <c r="BB1126" s="47" t="s">
        <v>2485</v>
      </c>
      <c r="BC1126" s="47" t="s">
        <v>8726</v>
      </c>
      <c r="BD1126" s="47" t="s">
        <v>8374</v>
      </c>
      <c r="BE1126" s="48" t="s">
        <v>2449</v>
      </c>
      <c r="BF1126" s="48" t="s">
        <v>272</v>
      </c>
      <c r="BG1126" s="48" t="s">
        <v>272</v>
      </c>
      <c r="BH1126" s="48" t="s">
        <v>2486</v>
      </c>
      <c r="BI1126" s="98">
        <v>6.3999999999999997E-6</v>
      </c>
      <c r="BJ1126" s="98">
        <v>6.4000000000000001E-2</v>
      </c>
      <c r="BK1126" s="48"/>
      <c r="BL1126" s="98">
        <f t="shared" si="307"/>
        <v>7.6170183176510087E-2</v>
      </c>
      <c r="BM1126" s="47" t="s">
        <v>2487</v>
      </c>
      <c r="BN1126" s="48"/>
      <c r="BO1126" s="48"/>
      <c r="BP1126" s="48"/>
      <c r="BQ1126" s="48"/>
      <c r="BR1126" s="47" t="s">
        <v>2496</v>
      </c>
      <c r="BS1126" s="48"/>
      <c r="BT1126" s="48"/>
      <c r="BU1126" s="228"/>
      <c r="BV1126" s="48"/>
      <c r="BW1126" s="48"/>
      <c r="BX1126" s="48"/>
      <c r="BY1126" s="48"/>
      <c r="BZ1126" s="48"/>
      <c r="CA1126" s="48"/>
      <c r="CB1126" s="48"/>
      <c r="CC1126" s="48"/>
      <c r="CD1126" s="48"/>
      <c r="CE1126" s="48"/>
      <c r="CF1126" s="48"/>
      <c r="CG1126" s="48"/>
      <c r="CH1126" s="48"/>
      <c r="CI1126" s="98"/>
      <c r="CJ1126" s="98"/>
      <c r="CK1126" s="49">
        <f t="shared" si="302"/>
        <v>1.19015911213297</v>
      </c>
      <c r="CL1126" s="229"/>
      <c r="CM1126" s="229"/>
      <c r="CN1126" s="229"/>
      <c r="CO1126" s="47" t="s">
        <v>2488</v>
      </c>
      <c r="CP1126" s="47" t="s">
        <v>2489</v>
      </c>
      <c r="CQ1126" s="224">
        <v>-1.0202018675734577</v>
      </c>
      <c r="CR1126" s="224">
        <f>10^(CJ1126-CQ1126)</f>
        <v>10.476153846153844</v>
      </c>
      <c r="CS1126" s="230" t="s">
        <v>539</v>
      </c>
      <c r="CT1126" s="230"/>
      <c r="CU1126" s="230"/>
      <c r="CV1126" s="335">
        <f t="shared" si="306"/>
        <v>137.67530655701592</v>
      </c>
      <c r="CW1126" s="230">
        <f t="shared" si="301"/>
        <v>1</v>
      </c>
      <c r="CX1126" s="336"/>
      <c r="CY1126" s="230" t="s">
        <v>5921</v>
      </c>
    </row>
    <row r="1127" spans="1:103" ht="11.25" customHeight="1" x14ac:dyDescent="0.2">
      <c r="A1127" s="72">
        <v>1125</v>
      </c>
      <c r="B1127" s="224">
        <v>947</v>
      </c>
      <c r="C1127" s="46" t="s">
        <v>7273</v>
      </c>
      <c r="D1127" s="46"/>
      <c r="E1127" s="114"/>
      <c r="F1127" s="114" t="s">
        <v>2703</v>
      </c>
      <c r="G1127" s="225">
        <v>532274</v>
      </c>
      <c r="H1127" s="47" t="s">
        <v>2704</v>
      </c>
      <c r="I1127" s="47" t="s">
        <v>8053</v>
      </c>
      <c r="J1127" s="47" t="s">
        <v>2705</v>
      </c>
      <c r="K1127" s="47" t="s">
        <v>2706</v>
      </c>
      <c r="L1127" s="47"/>
      <c r="M1127" s="47"/>
      <c r="N1127" s="47"/>
      <c r="O1127" s="47"/>
      <c r="P1127" s="53"/>
      <c r="Q1127" s="53"/>
      <c r="R1127" s="53"/>
      <c r="S1127" s="53"/>
      <c r="T1127" s="48">
        <v>154.59</v>
      </c>
      <c r="U1127" s="98"/>
      <c r="V1127" s="98">
        <v>10.576363283524161</v>
      </c>
      <c r="W1127" s="98">
        <v>7.9432823472428122</v>
      </c>
      <c r="X1127" s="98">
        <f>IF(W1127=0,V1127,W1127)</f>
        <v>7.9432823472428122</v>
      </c>
      <c r="Y1127" s="233">
        <v>7</v>
      </c>
      <c r="Z1127" s="48">
        <v>1.93</v>
      </c>
      <c r="AA1127" s="48"/>
      <c r="AB1127" s="48">
        <v>1.94</v>
      </c>
      <c r="AC1127" s="48">
        <v>0.84799999999999998</v>
      </c>
      <c r="AD1127" s="48">
        <v>1.91</v>
      </c>
      <c r="AE1127" s="48">
        <v>1.85</v>
      </c>
      <c r="AF1127" s="48">
        <f t="shared" si="300"/>
        <v>1.91</v>
      </c>
      <c r="AG1127" s="49">
        <v>1.98</v>
      </c>
      <c r="AH1127" s="98">
        <v>3.4599999999999999E-6</v>
      </c>
      <c r="AI1127" s="98"/>
      <c r="AJ1127" s="483">
        <f t="shared" si="309"/>
        <v>-3.8494902275198752</v>
      </c>
      <c r="AK1127" s="483"/>
      <c r="AL1127" s="483">
        <f t="shared" si="308"/>
        <v>-3.8494902275198752</v>
      </c>
      <c r="AM1127" s="483">
        <v>-6.1071499999999999</v>
      </c>
      <c r="AN1127" s="226">
        <v>-4.01</v>
      </c>
      <c r="AO1127" s="484"/>
      <c r="AP1127" s="484"/>
      <c r="AQ1127" s="48" t="s">
        <v>6311</v>
      </c>
      <c r="AR1127" s="48" t="s">
        <v>6311</v>
      </c>
      <c r="AS1127" s="227"/>
      <c r="AT1127" s="50" t="s">
        <v>266</v>
      </c>
      <c r="AU1127" s="48">
        <v>6</v>
      </c>
      <c r="AV1127" s="48">
        <v>120</v>
      </c>
      <c r="AW1127" s="48">
        <v>114</v>
      </c>
      <c r="AX1127" s="48">
        <v>28</v>
      </c>
      <c r="AY1127" s="48" t="s">
        <v>8728</v>
      </c>
      <c r="AZ1127" s="48" t="s">
        <v>1563</v>
      </c>
      <c r="BA1127" s="48">
        <v>32</v>
      </c>
      <c r="BB1127" s="47" t="s">
        <v>2485</v>
      </c>
      <c r="BC1127" s="47" t="s">
        <v>8726</v>
      </c>
      <c r="BD1127" s="47" t="s">
        <v>8374</v>
      </c>
      <c r="BE1127" s="48" t="s">
        <v>2449</v>
      </c>
      <c r="BF1127" s="48" t="s">
        <v>272</v>
      </c>
      <c r="BG1127" s="48" t="s">
        <v>272</v>
      </c>
      <c r="BH1127" s="48" t="s">
        <v>2486</v>
      </c>
      <c r="BI1127" s="98">
        <v>6.3999999999999997E-6</v>
      </c>
      <c r="BJ1127" s="98">
        <v>6.4000000000000001E-2</v>
      </c>
      <c r="BK1127" s="48"/>
      <c r="BL1127" s="98">
        <f t="shared" si="307"/>
        <v>0.94943885305746745</v>
      </c>
      <c r="BM1127" s="47" t="s">
        <v>2487</v>
      </c>
      <c r="BN1127" s="48"/>
      <c r="BO1127" s="48"/>
      <c r="BP1127" s="48"/>
      <c r="BQ1127" s="48"/>
      <c r="BR1127" s="47" t="s">
        <v>2496</v>
      </c>
      <c r="BS1127" s="48"/>
      <c r="BT1127" s="48"/>
      <c r="BU1127" s="228">
        <v>6.3999999999999997E-6</v>
      </c>
      <c r="BV1127" s="48"/>
      <c r="BW1127" s="48"/>
      <c r="BX1127" s="48"/>
      <c r="BY1127" s="48"/>
      <c r="BZ1127" s="48"/>
      <c r="CA1127" s="48"/>
      <c r="CB1127" s="48"/>
      <c r="CC1127" s="48"/>
      <c r="CD1127" s="48"/>
      <c r="CE1127" s="48"/>
      <c r="CF1127" s="48"/>
      <c r="CG1127" s="48"/>
      <c r="CH1127" s="48"/>
      <c r="CI1127" s="98"/>
      <c r="CJ1127" s="98"/>
      <c r="CK1127" s="49">
        <f t="shared" si="302"/>
        <v>14.834982079022929</v>
      </c>
      <c r="CL1127" s="229"/>
      <c r="CM1127" s="229"/>
      <c r="CN1127" s="229"/>
      <c r="CO1127" s="47" t="s">
        <v>2488</v>
      </c>
      <c r="CP1127" s="47" t="s">
        <v>2489</v>
      </c>
      <c r="CQ1127" s="224" t="s">
        <v>272</v>
      </c>
      <c r="CR1127" s="224"/>
      <c r="CS1127" s="230" t="s">
        <v>539</v>
      </c>
      <c r="CT1127" s="230"/>
      <c r="CU1127" s="230"/>
      <c r="CV1127" s="335">
        <f t="shared" si="306"/>
        <v>124.11378667566893</v>
      </c>
      <c r="CW1127" s="230">
        <f t="shared" si="301"/>
        <v>1</v>
      </c>
      <c r="CX1127" s="336"/>
      <c r="CY1127" s="230" t="s">
        <v>5921</v>
      </c>
    </row>
    <row r="1128" spans="1:103" ht="11.25" customHeight="1" x14ac:dyDescent="0.2">
      <c r="A1128" s="72">
        <v>1126</v>
      </c>
      <c r="B1128" s="224">
        <v>1864</v>
      </c>
      <c r="C1128" s="46" t="s">
        <v>7274</v>
      </c>
      <c r="D1128" s="46"/>
      <c r="E1128" s="114"/>
      <c r="F1128" s="114" t="s">
        <v>5298</v>
      </c>
      <c r="G1128" s="225">
        <v>532321</v>
      </c>
      <c r="H1128" s="47" t="s">
        <v>5299</v>
      </c>
      <c r="I1128" s="47" t="s">
        <v>5299</v>
      </c>
      <c r="J1128" s="47" t="s">
        <v>5300</v>
      </c>
      <c r="K1128" s="47" t="s">
        <v>426</v>
      </c>
      <c r="L1128" s="47" t="s">
        <v>6165</v>
      </c>
      <c r="M1128" s="47" t="s">
        <v>5960</v>
      </c>
      <c r="N1128" s="47"/>
      <c r="O1128" s="47"/>
      <c r="P1128" s="53"/>
      <c r="Q1128" s="53" t="s">
        <v>6173</v>
      </c>
      <c r="R1128" s="53" t="s">
        <v>6185</v>
      </c>
      <c r="S1128" s="53" t="s">
        <v>6176</v>
      </c>
      <c r="T1128" s="48">
        <v>122.12</v>
      </c>
      <c r="U1128" s="98">
        <v>27.841467409105796</v>
      </c>
      <c r="V1128" s="98">
        <v>20.414346544382575</v>
      </c>
      <c r="W1128" s="98">
        <v>34.673685045253158</v>
      </c>
      <c r="X1128" s="98">
        <v>27.841467409105796</v>
      </c>
      <c r="Y1128" s="233">
        <v>2.84</v>
      </c>
      <c r="Z1128" s="48">
        <v>1.87</v>
      </c>
      <c r="AA1128" s="48">
        <v>1.87</v>
      </c>
      <c r="AB1128" s="48">
        <v>1.87</v>
      </c>
      <c r="AC1128" s="48">
        <v>0.87239999999999995</v>
      </c>
      <c r="AD1128" s="48">
        <v>1.87</v>
      </c>
      <c r="AE1128" s="48">
        <v>1.89</v>
      </c>
      <c r="AF1128" s="48">
        <f t="shared" si="300"/>
        <v>1.87</v>
      </c>
      <c r="AG1128" s="49">
        <v>1.87</v>
      </c>
      <c r="AH1128" s="98">
        <v>1.08E-7</v>
      </c>
      <c r="AI1128" s="98">
        <v>3.8099999999999997E-8</v>
      </c>
      <c r="AJ1128" s="483">
        <f t="shared" si="309"/>
        <v>-5.3551425708257021</v>
      </c>
      <c r="AK1128" s="483">
        <f t="shared" ref="AK1128:AK1133" si="310">LOG10(AI1128*1000/(0.08206*298.15))</f>
        <v>-5.8076413506370326</v>
      </c>
      <c r="AL1128" s="483">
        <f t="shared" si="308"/>
        <v>-5.8076413506370326</v>
      </c>
      <c r="AM1128" s="483">
        <v>-7.6162700000000001</v>
      </c>
      <c r="AN1128" s="226"/>
      <c r="AO1128" s="484">
        <v>4.2</v>
      </c>
      <c r="AP1128" s="484"/>
      <c r="AQ1128" s="226" t="s">
        <v>6311</v>
      </c>
      <c r="AR1128" s="226" t="s">
        <v>6311</v>
      </c>
      <c r="AS1128" s="224"/>
      <c r="AT1128" s="50" t="s">
        <v>266</v>
      </c>
      <c r="AU1128" s="48">
        <v>6</v>
      </c>
      <c r="AV1128" s="48">
        <v>120</v>
      </c>
      <c r="AW1128" s="48">
        <v>114</v>
      </c>
      <c r="AX1128" s="48">
        <v>28</v>
      </c>
      <c r="AY1128" s="48" t="s">
        <v>8728</v>
      </c>
      <c r="AZ1128" s="48" t="s">
        <v>1563</v>
      </c>
      <c r="BA1128" s="48">
        <v>32</v>
      </c>
      <c r="BB1128" s="47" t="s">
        <v>2485</v>
      </c>
      <c r="BC1128" s="47" t="s">
        <v>8726</v>
      </c>
      <c r="BD1128" s="47" t="s">
        <v>8374</v>
      </c>
      <c r="BE1128" s="48" t="s">
        <v>2449</v>
      </c>
      <c r="BF1128" s="48" t="s">
        <v>272</v>
      </c>
      <c r="BG1128" s="48" t="s">
        <v>272</v>
      </c>
      <c r="BH1128" s="48" t="s">
        <v>2486</v>
      </c>
      <c r="BI1128" s="98">
        <v>6.3999999999999997E-6</v>
      </c>
      <c r="BJ1128" s="98">
        <v>6.4000000000000001E-2</v>
      </c>
      <c r="BK1128" s="48"/>
      <c r="BL1128" s="98">
        <f t="shared" si="307"/>
        <v>1.0748627192704194</v>
      </c>
      <c r="BM1128" s="47" t="s">
        <v>2487</v>
      </c>
      <c r="BN1128" s="48"/>
      <c r="BO1128" s="48"/>
      <c r="BP1128" s="48"/>
      <c r="BQ1128" s="48"/>
      <c r="BR1128" s="47" t="s">
        <v>2496</v>
      </c>
      <c r="BS1128" s="48"/>
      <c r="BT1128" s="48"/>
      <c r="BU1128" s="228"/>
      <c r="BV1128" s="48"/>
      <c r="BW1128" s="48"/>
      <c r="BX1128" s="48"/>
      <c r="BY1128" s="48"/>
      <c r="BZ1128" s="48"/>
      <c r="CA1128" s="48"/>
      <c r="CB1128" s="48"/>
      <c r="CC1128" s="48"/>
      <c r="CD1128" s="48"/>
      <c r="CE1128" s="48"/>
      <c r="CF1128" s="48"/>
      <c r="CG1128" s="48"/>
      <c r="CH1128" s="48"/>
      <c r="CI1128" s="52" t="s">
        <v>6347</v>
      </c>
      <c r="CJ1128" s="98"/>
      <c r="CK1128" s="49">
        <f t="shared" si="302"/>
        <v>16.794729988600302</v>
      </c>
      <c r="CL1128" s="229"/>
      <c r="CM1128" s="229"/>
      <c r="CN1128" s="229"/>
      <c r="CO1128" s="47" t="s">
        <v>2488</v>
      </c>
      <c r="CP1128" s="47" t="s">
        <v>2489</v>
      </c>
      <c r="CQ1128" s="224">
        <v>0.63509183139456871</v>
      </c>
      <c r="CR1128" s="224">
        <f>10^(CJ1128-CQ1128)</f>
        <v>0.23169046895990178</v>
      </c>
      <c r="CS1128" s="230" t="s">
        <v>539</v>
      </c>
      <c r="CT1128" s="230"/>
      <c r="CU1128" s="230"/>
      <c r="CV1128" s="335">
        <f t="shared" si="306"/>
        <v>435.02292826727808</v>
      </c>
      <c r="CW1128" s="230">
        <f t="shared" si="301"/>
        <v>1</v>
      </c>
      <c r="CX1128" s="336"/>
      <c r="CY1128" s="230" t="s">
        <v>6351</v>
      </c>
    </row>
    <row r="1129" spans="1:103" ht="11.25" customHeight="1" x14ac:dyDescent="0.2">
      <c r="A1129" s="72">
        <v>1127</v>
      </c>
      <c r="B1129" s="224">
        <v>277</v>
      </c>
      <c r="C1129" s="46" t="s">
        <v>7275</v>
      </c>
      <c r="D1129" s="46"/>
      <c r="E1129" s="114"/>
      <c r="F1129" s="114" t="s">
        <v>3798</v>
      </c>
      <c r="G1129" s="225">
        <v>533744</v>
      </c>
      <c r="H1129" s="47" t="s">
        <v>3799</v>
      </c>
      <c r="I1129" s="47" t="s">
        <v>3799</v>
      </c>
      <c r="J1129" s="47" t="s">
        <v>3800</v>
      </c>
      <c r="K1129" s="47" t="s">
        <v>3801</v>
      </c>
      <c r="L1129" s="47"/>
      <c r="M1129" s="47" t="s">
        <v>6082</v>
      </c>
      <c r="N1129" s="47"/>
      <c r="O1129" s="47"/>
      <c r="P1129" s="53"/>
      <c r="Q1129" s="53" t="s">
        <v>6173</v>
      </c>
      <c r="R1129" s="53" t="s">
        <v>6185</v>
      </c>
      <c r="S1129" s="53" t="s">
        <v>6176</v>
      </c>
      <c r="T1129" s="48">
        <v>162.28</v>
      </c>
      <c r="U1129" s="98">
        <v>18.486566428395367</v>
      </c>
      <c r="V1129" s="98">
        <v>119.29997535124477</v>
      </c>
      <c r="W1129" s="98">
        <v>56.234132519034887</v>
      </c>
      <c r="X1129" s="98">
        <v>18.486566428395367</v>
      </c>
      <c r="Y1129" s="233">
        <v>7.84</v>
      </c>
      <c r="Z1129" s="48">
        <v>0.94</v>
      </c>
      <c r="AA1129" s="48">
        <v>0.63</v>
      </c>
      <c r="AB1129" s="48">
        <v>0.77</v>
      </c>
      <c r="AC1129" s="48">
        <v>0.83020000000000005</v>
      </c>
      <c r="AD1129" s="48">
        <v>0.62</v>
      </c>
      <c r="AE1129" s="48">
        <v>0.16</v>
      </c>
      <c r="AF1129" s="48">
        <f t="shared" si="300"/>
        <v>0.63</v>
      </c>
      <c r="AG1129" s="49">
        <v>1.71</v>
      </c>
      <c r="AH1129" s="98">
        <v>2.8400000000000001E-3</v>
      </c>
      <c r="AI1129" s="98">
        <v>4.9800000000000004E-10</v>
      </c>
      <c r="AJ1129" s="483">
        <f t="shared" si="309"/>
        <v>-0.93524798626561412</v>
      </c>
      <c r="AK1129" s="483">
        <f t="shared" si="310"/>
        <v>-7.6913369835529339</v>
      </c>
      <c r="AL1129" s="483">
        <f t="shared" si="308"/>
        <v>-7.6913369835529339</v>
      </c>
      <c r="AM1129" s="483">
        <v>-9.3603799999999993</v>
      </c>
      <c r="AN1129" s="226">
        <v>-6.56</v>
      </c>
      <c r="AO1129" s="484"/>
      <c r="AP1129" s="484">
        <v>4.04</v>
      </c>
      <c r="AQ1129" s="226" t="s">
        <v>6311</v>
      </c>
      <c r="AR1129" s="226" t="s">
        <v>6311</v>
      </c>
      <c r="AS1129" s="224" t="s">
        <v>6</v>
      </c>
      <c r="AT1129" s="50" t="s">
        <v>266</v>
      </c>
      <c r="AU1129" s="48">
        <v>8</v>
      </c>
      <c r="AV1129" s="48">
        <v>144</v>
      </c>
      <c r="AW1129" s="48">
        <v>120</v>
      </c>
      <c r="AX1129" s="48">
        <v>26</v>
      </c>
      <c r="AY1129" s="48" t="s">
        <v>267</v>
      </c>
      <c r="AZ1129" s="48" t="s">
        <v>2253</v>
      </c>
      <c r="BA1129" s="48">
        <v>2</v>
      </c>
      <c r="BB1129" s="47" t="s">
        <v>2254</v>
      </c>
      <c r="BC1129" s="47" t="s">
        <v>270</v>
      </c>
      <c r="BD1129" s="47" t="s">
        <v>8374</v>
      </c>
      <c r="BE1129" s="48" t="s">
        <v>1712</v>
      </c>
      <c r="BF1129" s="48" t="s">
        <v>272</v>
      </c>
      <c r="BG1129" s="48" t="s">
        <v>272</v>
      </c>
      <c r="BH1129" s="48" t="s">
        <v>2255</v>
      </c>
      <c r="BI1129" s="98">
        <v>9.9999999999999995E-7</v>
      </c>
      <c r="BJ1129" s="98">
        <v>0.08</v>
      </c>
      <c r="BK1129" s="48"/>
      <c r="BL1129" s="98">
        <f t="shared" si="307"/>
        <v>7.3550562758499556</v>
      </c>
      <c r="BM1129" s="48" t="s">
        <v>891</v>
      </c>
      <c r="BN1129" s="233"/>
      <c r="BO1129" s="233"/>
      <c r="BP1129" s="233"/>
      <c r="BQ1129" s="233"/>
      <c r="BR1129" s="233"/>
      <c r="BS1129" s="234"/>
      <c r="BT1129" s="233"/>
      <c r="BU1129" s="235"/>
      <c r="BV1129" s="233"/>
      <c r="BW1129" s="233"/>
      <c r="BX1129" s="233"/>
      <c r="BY1129" s="233"/>
      <c r="BZ1129" s="233"/>
      <c r="CA1129" s="233"/>
      <c r="CB1129" s="233"/>
      <c r="CC1129" s="234"/>
      <c r="CD1129" s="238"/>
      <c r="CE1129" s="238"/>
      <c r="CF1129" s="238"/>
      <c r="CG1129" s="233"/>
      <c r="CH1129" s="48"/>
      <c r="CI1129" s="98"/>
      <c r="CJ1129" s="98"/>
      <c r="CK1129" s="49">
        <f t="shared" si="302"/>
        <v>91.93820344812444</v>
      </c>
      <c r="CL1129" s="229"/>
      <c r="CM1129" s="229"/>
      <c r="CN1129" s="229"/>
      <c r="CO1129" s="47" t="s">
        <v>892</v>
      </c>
      <c r="CP1129" s="47" t="s">
        <v>893</v>
      </c>
      <c r="CQ1129" s="224">
        <v>-2.1430576059322379</v>
      </c>
      <c r="CR1129" s="224">
        <f>10^(CJ1129-CQ1129)</f>
        <v>139.01370103177908</v>
      </c>
      <c r="CS1129" s="230" t="s">
        <v>539</v>
      </c>
      <c r="CT1129" s="230"/>
      <c r="CU1129" s="230"/>
      <c r="CV1129" s="335">
        <f t="shared" si="306"/>
        <v>231.08208035494209</v>
      </c>
      <c r="CW1129" s="230">
        <f t="shared" si="301"/>
        <v>1</v>
      </c>
      <c r="CX1129" s="336" t="s">
        <v>539</v>
      </c>
      <c r="CY1129" s="230" t="s">
        <v>5921</v>
      </c>
    </row>
    <row r="1130" spans="1:103" ht="11.25" customHeight="1" x14ac:dyDescent="0.2">
      <c r="A1130" s="72">
        <v>1128</v>
      </c>
      <c r="B1130" s="224">
        <v>1581</v>
      </c>
      <c r="C1130" s="46" t="s">
        <v>7275</v>
      </c>
      <c r="D1130" s="46"/>
      <c r="E1130" s="114"/>
      <c r="F1130" s="114" t="s">
        <v>3798</v>
      </c>
      <c r="G1130" s="225">
        <v>533744</v>
      </c>
      <c r="H1130" s="47" t="s">
        <v>3799</v>
      </c>
      <c r="I1130" s="47" t="s">
        <v>3799</v>
      </c>
      <c r="J1130" s="47" t="s">
        <v>3800</v>
      </c>
      <c r="K1130" s="47" t="s">
        <v>3801</v>
      </c>
      <c r="L1130" s="47"/>
      <c r="M1130" s="47" t="s">
        <v>6082</v>
      </c>
      <c r="N1130" s="47"/>
      <c r="O1130" s="47"/>
      <c r="P1130" s="53"/>
      <c r="Q1130" s="53"/>
      <c r="R1130" s="53"/>
      <c r="S1130" s="53"/>
      <c r="T1130" s="48">
        <v>162.28</v>
      </c>
      <c r="U1130" s="98">
        <v>18.486566428395367</v>
      </c>
      <c r="V1130" s="98">
        <v>119.29997535124477</v>
      </c>
      <c r="W1130" s="98">
        <v>56.234132519034887</v>
      </c>
      <c r="X1130" s="98">
        <v>18.486566428395367</v>
      </c>
      <c r="Y1130" s="233">
        <v>7.84</v>
      </c>
      <c r="Z1130" s="48">
        <v>0.94</v>
      </c>
      <c r="AA1130" s="48">
        <v>0.63</v>
      </c>
      <c r="AB1130" s="48">
        <v>0.77</v>
      </c>
      <c r="AC1130" s="48">
        <v>0.83020000000000005</v>
      </c>
      <c r="AD1130" s="48">
        <v>0.62</v>
      </c>
      <c r="AE1130" s="48">
        <v>0.16</v>
      </c>
      <c r="AF1130" s="48">
        <f t="shared" si="300"/>
        <v>0.63</v>
      </c>
      <c r="AG1130" s="49">
        <v>1.71</v>
      </c>
      <c r="AH1130" s="98">
        <v>2.8400000000000001E-3</v>
      </c>
      <c r="AI1130" s="98">
        <v>4.9800000000000004E-10</v>
      </c>
      <c r="AJ1130" s="483">
        <f t="shared" si="309"/>
        <v>-0.93524798626561412</v>
      </c>
      <c r="AK1130" s="483">
        <f t="shared" si="310"/>
        <v>-7.6913369835529339</v>
      </c>
      <c r="AL1130" s="483">
        <f t="shared" si="308"/>
        <v>-7.6913369835529339</v>
      </c>
      <c r="AM1130" s="483">
        <v>-9.3603799999999993</v>
      </c>
      <c r="AN1130" s="226">
        <v>-6.56</v>
      </c>
      <c r="AO1130" s="484"/>
      <c r="AP1130" s="484">
        <v>4.04</v>
      </c>
      <c r="AQ1130" s="48" t="s">
        <v>6311</v>
      </c>
      <c r="AR1130" s="48" t="s">
        <v>6311</v>
      </c>
      <c r="AS1130" s="227"/>
      <c r="AT1130" s="50" t="s">
        <v>266</v>
      </c>
      <c r="AU1130" s="48">
        <v>6</v>
      </c>
      <c r="AV1130" s="48">
        <v>120</v>
      </c>
      <c r="AW1130" s="48">
        <v>114</v>
      </c>
      <c r="AX1130" s="48">
        <v>28</v>
      </c>
      <c r="AY1130" s="48" t="s">
        <v>8728</v>
      </c>
      <c r="AZ1130" s="48" t="s">
        <v>1563</v>
      </c>
      <c r="BA1130" s="48">
        <v>32</v>
      </c>
      <c r="BB1130" s="47" t="s">
        <v>2485</v>
      </c>
      <c r="BC1130" s="47" t="s">
        <v>8726</v>
      </c>
      <c r="BD1130" s="47" t="s">
        <v>8374</v>
      </c>
      <c r="BE1130" s="48" t="s">
        <v>2449</v>
      </c>
      <c r="BF1130" s="48" t="s">
        <v>272</v>
      </c>
      <c r="BG1130" s="48" t="s">
        <v>272</v>
      </c>
      <c r="BH1130" s="48" t="s">
        <v>2486</v>
      </c>
      <c r="BI1130" s="98">
        <v>6.3999999999999997E-6</v>
      </c>
      <c r="BJ1130" s="98">
        <v>6.4000000000000001E-2</v>
      </c>
      <c r="BK1130" s="48"/>
      <c r="BL1130" s="98">
        <f t="shared" si="307"/>
        <v>7.3550562758499556</v>
      </c>
      <c r="BM1130" s="47" t="s">
        <v>2487</v>
      </c>
      <c r="BN1130" s="48"/>
      <c r="BO1130" s="48"/>
      <c r="BP1130" s="48"/>
      <c r="BQ1130" s="48"/>
      <c r="BR1130" s="47" t="s">
        <v>2496</v>
      </c>
      <c r="BS1130" s="48"/>
      <c r="BT1130" s="48"/>
      <c r="BU1130" s="228"/>
      <c r="BV1130" s="48"/>
      <c r="BW1130" s="48"/>
      <c r="BX1130" s="48"/>
      <c r="BY1130" s="48"/>
      <c r="BZ1130" s="48"/>
      <c r="CA1130" s="48"/>
      <c r="CB1130" s="48"/>
      <c r="CC1130" s="48"/>
      <c r="CD1130" s="48"/>
      <c r="CE1130" s="48"/>
      <c r="CF1130" s="48"/>
      <c r="CG1130" s="48"/>
      <c r="CH1130" s="48"/>
      <c r="CI1130" s="52" t="s">
        <v>6347</v>
      </c>
      <c r="CJ1130" s="98"/>
      <c r="CK1130" s="49">
        <f t="shared" si="302"/>
        <v>114.92275431015555</v>
      </c>
      <c r="CL1130" s="229"/>
      <c r="CM1130" s="229"/>
      <c r="CN1130" s="229"/>
      <c r="CO1130" s="47" t="s">
        <v>2488</v>
      </c>
      <c r="CP1130" s="47" t="s">
        <v>2489</v>
      </c>
      <c r="CQ1130" s="224">
        <v>-2.1430576059322379</v>
      </c>
      <c r="CR1130" s="224">
        <f>10^(CJ1130-CQ1130)</f>
        <v>139.01370103177908</v>
      </c>
      <c r="CS1130" s="230" t="s">
        <v>539</v>
      </c>
      <c r="CT1130" s="230"/>
      <c r="CU1130" s="230"/>
      <c r="CV1130" s="335">
        <f t="shared" si="306"/>
        <v>288.8526004436776</v>
      </c>
      <c r="CW1130" s="230">
        <f t="shared" si="301"/>
        <v>1</v>
      </c>
      <c r="CX1130" s="336"/>
      <c r="CY1130" s="230" t="s">
        <v>5921</v>
      </c>
    </row>
    <row r="1131" spans="1:103" ht="11.25" customHeight="1" x14ac:dyDescent="0.2">
      <c r="A1131" s="72">
        <v>1129</v>
      </c>
      <c r="B1131" s="224">
        <v>955</v>
      </c>
      <c r="C1131" s="46" t="s">
        <v>7276</v>
      </c>
      <c r="D1131" s="46"/>
      <c r="E1131" s="114"/>
      <c r="F1131" s="114" t="s">
        <v>1690</v>
      </c>
      <c r="G1131" s="225">
        <v>534521</v>
      </c>
      <c r="H1131" s="47" t="s">
        <v>1691</v>
      </c>
      <c r="I1131" s="47" t="s">
        <v>1691</v>
      </c>
      <c r="J1131" s="47" t="s">
        <v>1692</v>
      </c>
      <c r="K1131" s="47" t="s">
        <v>1693</v>
      </c>
      <c r="L1131" s="47" t="s">
        <v>617</v>
      </c>
      <c r="M1131" s="47" t="s">
        <v>1694</v>
      </c>
      <c r="N1131" s="47" t="s">
        <v>6381</v>
      </c>
      <c r="O1131" s="47" t="s">
        <v>1695</v>
      </c>
      <c r="P1131" s="53"/>
      <c r="Q1131" s="53" t="s">
        <v>6173</v>
      </c>
      <c r="R1131" s="53" t="s">
        <v>6180</v>
      </c>
      <c r="S1131" s="53" t="s">
        <v>6176</v>
      </c>
      <c r="T1131" s="48">
        <v>198.13</v>
      </c>
      <c r="U1131" s="98">
        <v>0.99934386513905016</v>
      </c>
      <c r="V1131" s="98">
        <v>3.4240145359107657</v>
      </c>
      <c r="W1131" s="98">
        <v>2.8840315031266042</v>
      </c>
      <c r="X1131" s="98">
        <v>0.99934386513905016</v>
      </c>
      <c r="Y1131" s="233">
        <v>3.5</v>
      </c>
      <c r="Z1131" s="48">
        <v>2.27</v>
      </c>
      <c r="AA1131" s="48">
        <v>2.13</v>
      </c>
      <c r="AB1131" s="48">
        <v>2.29</v>
      </c>
      <c r="AC1131" s="48">
        <v>0.86</v>
      </c>
      <c r="AD1131" s="48">
        <v>2.27</v>
      </c>
      <c r="AE1131" s="48">
        <v>2.2000000000000002</v>
      </c>
      <c r="AF1131" s="48">
        <f t="shared" si="300"/>
        <v>2.13</v>
      </c>
      <c r="AG1131" s="49">
        <v>1.1499999999999999</v>
      </c>
      <c r="AH1131" s="98">
        <v>3.0500000000000002E-8</v>
      </c>
      <c r="AI1131" s="98">
        <v>1.3999999999999999E-6</v>
      </c>
      <c r="AJ1131" s="483">
        <f t="shared" si="309"/>
        <v>-5.9042664869658656</v>
      </c>
      <c r="AK1131" s="483">
        <f t="shared" si="310"/>
        <v>-4.2424382906344134</v>
      </c>
      <c r="AL1131" s="483">
        <f t="shared" si="308"/>
        <v>-4.2424382906344134</v>
      </c>
      <c r="AM1131" s="483">
        <v>-9.2475299999999994</v>
      </c>
      <c r="AN1131" s="226">
        <v>-5.07</v>
      </c>
      <c r="AO1131" s="484">
        <v>4.42</v>
      </c>
      <c r="AP1131" s="484"/>
      <c r="AQ1131" s="48" t="s">
        <v>6311</v>
      </c>
      <c r="AR1131" s="48" t="s">
        <v>6311</v>
      </c>
      <c r="AS1131" s="227"/>
      <c r="AT1131" s="50" t="s">
        <v>266</v>
      </c>
      <c r="AU1131" s="48">
        <v>6</v>
      </c>
      <c r="AV1131" s="48">
        <v>120</v>
      </c>
      <c r="AW1131" s="48">
        <v>114</v>
      </c>
      <c r="AX1131" s="48">
        <v>28</v>
      </c>
      <c r="AY1131" s="48" t="s">
        <v>8728</v>
      </c>
      <c r="AZ1131" s="48" t="s">
        <v>1563</v>
      </c>
      <c r="BA1131" s="48">
        <v>32</v>
      </c>
      <c r="BB1131" s="47" t="s">
        <v>2485</v>
      </c>
      <c r="BC1131" s="47" t="s">
        <v>8726</v>
      </c>
      <c r="BD1131" s="47" t="s">
        <v>8374</v>
      </c>
      <c r="BE1131" s="48" t="s">
        <v>2449</v>
      </c>
      <c r="BF1131" s="48" t="s">
        <v>272</v>
      </c>
      <c r="BG1131" s="48" t="s">
        <v>272</v>
      </c>
      <c r="BH1131" s="48" t="s">
        <v>2486</v>
      </c>
      <c r="BI1131" s="98">
        <v>6.3999999999999997E-6</v>
      </c>
      <c r="BJ1131" s="98">
        <v>6.4000000000000001E-2</v>
      </c>
      <c r="BK1131" s="48"/>
      <c r="BL1131" s="98">
        <f t="shared" si="307"/>
        <v>0.47001638725467887</v>
      </c>
      <c r="BM1131" s="47" t="s">
        <v>2487</v>
      </c>
      <c r="BN1131" s="48"/>
      <c r="BO1131" s="48"/>
      <c r="BP1131" s="48"/>
      <c r="BQ1131" s="48"/>
      <c r="BR1131" s="47" t="s">
        <v>2496</v>
      </c>
      <c r="BS1131" s="48"/>
      <c r="BT1131" s="48"/>
      <c r="BU1131" s="228">
        <v>6.4000000000000003E-3</v>
      </c>
      <c r="BV1131" s="48"/>
      <c r="BW1131" s="48"/>
      <c r="BX1131" s="48"/>
      <c r="BY1131" s="48"/>
      <c r="BZ1131" s="48"/>
      <c r="CA1131" s="48"/>
      <c r="CB1131" s="48"/>
      <c r="CC1131" s="48"/>
      <c r="CD1131" s="48"/>
      <c r="CE1131" s="48"/>
      <c r="CF1131" s="48"/>
      <c r="CG1131" s="48"/>
      <c r="CH1131" s="48"/>
      <c r="CI1131" s="52" t="s">
        <v>6347</v>
      </c>
      <c r="CJ1131" s="98"/>
      <c r="CK1131" s="49">
        <f t="shared" si="302"/>
        <v>7.3440060508543574</v>
      </c>
      <c r="CL1131" s="229"/>
      <c r="CM1131" s="229"/>
      <c r="CN1131" s="229"/>
      <c r="CO1131" s="47" t="s">
        <v>2488</v>
      </c>
      <c r="CP1131" s="47" t="s">
        <v>2489</v>
      </c>
      <c r="CQ1131" s="224">
        <v>-2.4104555644709507</v>
      </c>
      <c r="CR1131" s="224">
        <f>10^(CJ1131-CQ1131)</f>
        <v>257.30934808147578</v>
      </c>
      <c r="CS1131" s="230" t="s">
        <v>539</v>
      </c>
      <c r="CT1131" s="230"/>
      <c r="CU1131" s="230"/>
      <c r="CV1131" s="335">
        <f t="shared" si="306"/>
        <v>15.614747892797658</v>
      </c>
      <c r="CW1131" s="230">
        <f t="shared" si="301"/>
        <v>1</v>
      </c>
      <c r="CX1131" s="336"/>
      <c r="CY1131" s="230" t="s">
        <v>6351</v>
      </c>
    </row>
    <row r="1132" spans="1:103" ht="11.25" customHeight="1" x14ac:dyDescent="0.2">
      <c r="A1132" s="72">
        <v>1130</v>
      </c>
      <c r="B1132" s="224">
        <v>1374</v>
      </c>
      <c r="C1132" s="46" t="s">
        <v>7277</v>
      </c>
      <c r="D1132" s="46"/>
      <c r="E1132" s="114"/>
      <c r="F1132" s="114" t="s">
        <v>4242</v>
      </c>
      <c r="G1132" s="225">
        <v>541731</v>
      </c>
      <c r="H1132" s="47" t="s">
        <v>4243</v>
      </c>
      <c r="I1132" s="47" t="s">
        <v>8054</v>
      </c>
      <c r="J1132" s="47" t="s">
        <v>4244</v>
      </c>
      <c r="K1132" s="47" t="s">
        <v>426</v>
      </c>
      <c r="L1132" s="51" t="s">
        <v>5527</v>
      </c>
      <c r="M1132" s="47" t="s">
        <v>866</v>
      </c>
      <c r="N1132" s="47"/>
      <c r="O1132" s="47" t="s">
        <v>6086</v>
      </c>
      <c r="P1132" s="53" t="s">
        <v>6183</v>
      </c>
      <c r="Q1132" s="53" t="s">
        <v>6176</v>
      </c>
      <c r="R1132" s="53" t="s">
        <v>6185</v>
      </c>
      <c r="S1132" s="53" t="s">
        <v>6182</v>
      </c>
      <c r="T1132" s="48">
        <v>147</v>
      </c>
      <c r="U1132" s="98">
        <v>0.85034013605442171</v>
      </c>
      <c r="V1132" s="98">
        <v>0.51428571428571423</v>
      </c>
      <c r="W1132" s="98">
        <v>0.12302687708123794</v>
      </c>
      <c r="X1132" s="98">
        <v>0.85034013605442171</v>
      </c>
      <c r="Y1132" s="233">
        <v>7</v>
      </c>
      <c r="Z1132" s="48">
        <v>3.28</v>
      </c>
      <c r="AA1132" s="48">
        <v>3.53</v>
      </c>
      <c r="AB1132" s="48">
        <v>3.23</v>
      </c>
      <c r="AC1132" s="48">
        <v>0.90880000000000005</v>
      </c>
      <c r="AD1132" s="48">
        <v>3.27</v>
      </c>
      <c r="AE1132" s="48">
        <v>3.42</v>
      </c>
      <c r="AF1132" s="48">
        <f t="shared" si="300"/>
        <v>3.53</v>
      </c>
      <c r="AG1132" s="49">
        <v>3.17</v>
      </c>
      <c r="AH1132" s="98">
        <v>2.96E-3</v>
      </c>
      <c r="AI1132" s="98">
        <v>2.63E-3</v>
      </c>
      <c r="AJ1132" s="483">
        <f t="shared" si="309"/>
        <v>-0.91727461525371323</v>
      </c>
      <c r="AK1132" s="483">
        <f t="shared" si="310"/>
        <v>-0.96861057782289395</v>
      </c>
      <c r="AL1132" s="483">
        <f t="shared" si="308"/>
        <v>-0.96861057782289395</v>
      </c>
      <c r="AM1132" s="483">
        <v>-2.8336399999999995</v>
      </c>
      <c r="AN1132" s="226">
        <v>-0.93100000000000005</v>
      </c>
      <c r="AO1132" s="484"/>
      <c r="AP1132" s="484"/>
      <c r="AQ1132" s="48" t="s">
        <v>6311</v>
      </c>
      <c r="AR1132" s="48" t="s">
        <v>6311</v>
      </c>
      <c r="AS1132" s="227"/>
      <c r="AT1132" s="50" t="s">
        <v>266</v>
      </c>
      <c r="AU1132" s="48">
        <v>6</v>
      </c>
      <c r="AV1132" s="48">
        <v>120</v>
      </c>
      <c r="AW1132" s="48">
        <v>114</v>
      </c>
      <c r="AX1132" s="48">
        <v>28</v>
      </c>
      <c r="AY1132" s="48" t="s">
        <v>8728</v>
      </c>
      <c r="AZ1132" s="48" t="s">
        <v>1563</v>
      </c>
      <c r="BA1132" s="48">
        <v>32</v>
      </c>
      <c r="BB1132" s="47" t="s">
        <v>2485</v>
      </c>
      <c r="BC1132" s="47" t="s">
        <v>8726</v>
      </c>
      <c r="BD1132" s="47" t="s">
        <v>8374</v>
      </c>
      <c r="BE1132" s="48" t="s">
        <v>2449</v>
      </c>
      <c r="BF1132" s="48" t="s">
        <v>272</v>
      </c>
      <c r="BG1132" s="48" t="s">
        <v>272</v>
      </c>
      <c r="BH1132" s="48" t="s">
        <v>2486</v>
      </c>
      <c r="BI1132" s="98">
        <v>6.3999999999999997E-6</v>
      </c>
      <c r="BJ1132" s="98">
        <v>6.4000000000000001E-2</v>
      </c>
      <c r="BK1132" s="48"/>
      <c r="BL1132" s="98">
        <f t="shared" si="307"/>
        <v>5.8214611030121002E-2</v>
      </c>
      <c r="BM1132" s="47" t="s">
        <v>2487</v>
      </c>
      <c r="BN1132" s="48"/>
      <c r="BO1132" s="48"/>
      <c r="BP1132" s="48"/>
      <c r="BQ1132" s="48"/>
      <c r="BR1132" s="47" t="s">
        <v>2496</v>
      </c>
      <c r="BS1132" s="48"/>
      <c r="BT1132" s="48"/>
      <c r="BU1132" s="228"/>
      <c r="BV1132" s="48"/>
      <c r="BW1132" s="48"/>
      <c r="BX1132" s="48"/>
      <c r="BY1132" s="48"/>
      <c r="BZ1132" s="48"/>
      <c r="CA1132" s="48"/>
      <c r="CB1132" s="48"/>
      <c r="CC1132" s="48"/>
      <c r="CD1132" s="48"/>
      <c r="CE1132" s="48"/>
      <c r="CF1132" s="48"/>
      <c r="CG1132" s="48"/>
      <c r="CH1132" s="48"/>
      <c r="CI1132" s="98"/>
      <c r="CJ1132" s="98"/>
      <c r="CK1132" s="49">
        <f t="shared" si="302"/>
        <v>0.9096032973456406</v>
      </c>
      <c r="CL1132" s="229"/>
      <c r="CM1132" s="229"/>
      <c r="CN1132" s="229"/>
      <c r="CO1132" s="47" t="s">
        <v>2488</v>
      </c>
      <c r="CP1132" s="47" t="s">
        <v>2489</v>
      </c>
      <c r="CQ1132" s="224">
        <v>-1.0517821059039287</v>
      </c>
      <c r="CR1132" s="224">
        <f>10^(CJ1132-CQ1132)</f>
        <v>11.266320608556596</v>
      </c>
      <c r="CS1132" s="230" t="s">
        <v>539</v>
      </c>
      <c r="CT1132" s="230"/>
      <c r="CU1132" s="230"/>
      <c r="CV1132" s="335">
        <f t="shared" si="306"/>
        <v>13.286564625850339</v>
      </c>
      <c r="CW1132" s="230">
        <f t="shared" si="301"/>
        <v>1</v>
      </c>
      <c r="CX1132" s="336"/>
      <c r="CY1132" s="230" t="s">
        <v>6351</v>
      </c>
    </row>
    <row r="1133" spans="1:103" ht="11.25" customHeight="1" x14ac:dyDescent="0.2">
      <c r="A1133" s="72">
        <v>1131</v>
      </c>
      <c r="B1133" s="224">
        <v>1469</v>
      </c>
      <c r="C1133" s="46" t="s">
        <v>7278</v>
      </c>
      <c r="D1133" s="46"/>
      <c r="E1133" s="114"/>
      <c r="F1133" s="114" t="s">
        <v>4512</v>
      </c>
      <c r="G1133" s="225">
        <v>553264</v>
      </c>
      <c r="H1133" s="47" t="s">
        <v>4513</v>
      </c>
      <c r="I1133" s="47" t="s">
        <v>4513</v>
      </c>
      <c r="J1133" s="47" t="s">
        <v>4514</v>
      </c>
      <c r="K1133" s="47" t="s">
        <v>426</v>
      </c>
      <c r="L1133" s="47"/>
      <c r="M1133" s="47"/>
      <c r="N1133" s="47"/>
      <c r="O1133" s="47"/>
      <c r="P1133" s="53"/>
      <c r="Q1133" s="53" t="s">
        <v>6173</v>
      </c>
      <c r="R1133" s="53" t="s">
        <v>6185</v>
      </c>
      <c r="S1133" s="53" t="s">
        <v>6182</v>
      </c>
      <c r="T1133" s="48">
        <v>156.18</v>
      </c>
      <c r="U1133" s="98">
        <v>29.004994237418362</v>
      </c>
      <c r="V1133" s="98">
        <v>36.797285183762327</v>
      </c>
      <c r="W1133" s="98">
        <v>36.307805477010135</v>
      </c>
      <c r="X1133" s="98">
        <v>29.004994237418362</v>
      </c>
      <c r="Y1133" s="233">
        <v>7.92</v>
      </c>
      <c r="Z1133" s="48">
        <v>1.38</v>
      </c>
      <c r="AA1133" s="48">
        <v>1.28</v>
      </c>
      <c r="AB1133" s="48">
        <v>1.47</v>
      </c>
      <c r="AC1133" s="48">
        <v>0.92869999999999997</v>
      </c>
      <c r="AD1133" s="48">
        <v>1.41</v>
      </c>
      <c r="AE1133" s="48">
        <v>1.2</v>
      </c>
      <c r="AF1133" s="48">
        <f t="shared" si="300"/>
        <v>1.28</v>
      </c>
      <c r="AG1133" s="49">
        <v>1.48</v>
      </c>
      <c r="AH1133" s="98">
        <v>7.0900000000000003E-10</v>
      </c>
      <c r="AI1133" s="98">
        <v>2.52E-9</v>
      </c>
      <c r="AJ1133" s="483">
        <f t="shared" si="309"/>
        <v>-7.5379200911295854</v>
      </c>
      <c r="AK1133" s="483">
        <f t="shared" si="310"/>
        <v>-6.9871657855311078</v>
      </c>
      <c r="AL1133" s="483">
        <f t="shared" si="308"/>
        <v>-6.9871657855311078</v>
      </c>
      <c r="AM1133" s="483">
        <v>-8.9782100000000007</v>
      </c>
      <c r="AN1133" s="226">
        <v>-7.61</v>
      </c>
      <c r="AO1133" s="484"/>
      <c r="AP1133" s="484">
        <v>3.27</v>
      </c>
      <c r="AQ1133" s="48" t="s">
        <v>6311</v>
      </c>
      <c r="AR1133" s="48" t="s">
        <v>6311</v>
      </c>
      <c r="AS1133" s="227"/>
      <c r="AT1133" s="50" t="s">
        <v>266</v>
      </c>
      <c r="AU1133" s="48">
        <v>6</v>
      </c>
      <c r="AV1133" s="48">
        <v>120</v>
      </c>
      <c r="AW1133" s="48">
        <v>114</v>
      </c>
      <c r="AX1133" s="48">
        <v>28</v>
      </c>
      <c r="AY1133" s="48" t="s">
        <v>8728</v>
      </c>
      <c r="AZ1133" s="48" t="s">
        <v>1563</v>
      </c>
      <c r="BA1133" s="48">
        <v>32</v>
      </c>
      <c r="BB1133" s="47" t="s">
        <v>2485</v>
      </c>
      <c r="BC1133" s="47" t="s">
        <v>8726</v>
      </c>
      <c r="BD1133" s="47" t="s">
        <v>8374</v>
      </c>
      <c r="BE1133" s="48" t="s">
        <v>2449</v>
      </c>
      <c r="BF1133" s="48" t="s">
        <v>272</v>
      </c>
      <c r="BG1133" s="48" t="s">
        <v>272</v>
      </c>
      <c r="BH1133" s="48" t="s">
        <v>2486</v>
      </c>
      <c r="BI1133" s="98">
        <v>6.3999999999999997E-6</v>
      </c>
      <c r="BJ1133" s="98">
        <v>6.4000000000000001E-2</v>
      </c>
      <c r="BK1133" s="48"/>
      <c r="BL1133" s="98">
        <f t="shared" si="307"/>
        <v>2.9608881372800138</v>
      </c>
      <c r="BM1133" s="47" t="s">
        <v>2487</v>
      </c>
      <c r="BN1133" s="48"/>
      <c r="BO1133" s="48"/>
      <c r="BP1133" s="48"/>
      <c r="BQ1133" s="48"/>
      <c r="BR1133" s="47" t="s">
        <v>2496</v>
      </c>
      <c r="BS1133" s="48"/>
      <c r="BT1133" s="48"/>
      <c r="BU1133" s="228"/>
      <c r="BV1133" s="48"/>
      <c r="BW1133" s="48"/>
      <c r="BX1133" s="48"/>
      <c r="BY1133" s="48"/>
      <c r="BZ1133" s="48"/>
      <c r="CA1133" s="48"/>
      <c r="CB1133" s="48"/>
      <c r="CC1133" s="48"/>
      <c r="CD1133" s="48"/>
      <c r="CE1133" s="48"/>
      <c r="CF1133" s="48"/>
      <c r="CG1133" s="48"/>
      <c r="CH1133" s="48"/>
      <c r="CI1133" s="52" t="s">
        <v>6347</v>
      </c>
      <c r="CJ1133" s="98"/>
      <c r="CK1133" s="49">
        <f t="shared" si="302"/>
        <v>46.263877145000215</v>
      </c>
      <c r="CL1133" s="229"/>
      <c r="CM1133" s="229"/>
      <c r="CN1133" s="229"/>
      <c r="CO1133" s="47" t="s">
        <v>2488</v>
      </c>
      <c r="CP1133" s="47" t="s">
        <v>2489</v>
      </c>
      <c r="CQ1133" s="224" t="s">
        <v>272</v>
      </c>
      <c r="CR1133" s="224"/>
      <c r="CS1133" s="230" t="s">
        <v>539</v>
      </c>
      <c r="CT1133" s="230"/>
      <c r="CU1133" s="230"/>
      <c r="CV1133" s="335">
        <f t="shared" si="306"/>
        <v>453.20303495966192</v>
      </c>
      <c r="CW1133" s="230">
        <f t="shared" si="301"/>
        <v>1</v>
      </c>
      <c r="CX1133" s="336"/>
      <c r="CY1133" s="230" t="s">
        <v>5921</v>
      </c>
    </row>
    <row r="1134" spans="1:103" ht="11.25" customHeight="1" x14ac:dyDescent="0.2">
      <c r="A1134" s="72">
        <v>1132</v>
      </c>
      <c r="B1134" s="224">
        <v>1685</v>
      </c>
      <c r="C1134" s="46" t="s">
        <v>7279</v>
      </c>
      <c r="D1134" s="46"/>
      <c r="E1134" s="114"/>
      <c r="F1134" s="114" t="s">
        <v>4911</v>
      </c>
      <c r="G1134" s="225">
        <v>556525</v>
      </c>
      <c r="H1134" s="47" t="s">
        <v>4912</v>
      </c>
      <c r="I1134" s="47" t="s">
        <v>4912</v>
      </c>
      <c r="J1134" s="47" t="s">
        <v>4913</v>
      </c>
      <c r="K1134" s="47" t="s">
        <v>3346</v>
      </c>
      <c r="L1134" s="47"/>
      <c r="M1134" s="47"/>
      <c r="N1134" s="47"/>
      <c r="O1134" s="47"/>
      <c r="P1134" s="53"/>
      <c r="Q1134" s="53" t="s">
        <v>6176</v>
      </c>
      <c r="R1134" s="53" t="s">
        <v>6175</v>
      </c>
      <c r="S1134" s="53" t="s">
        <v>6173</v>
      </c>
      <c r="T1134" s="48">
        <v>74.08</v>
      </c>
      <c r="U1134" s="98">
        <v>13498.920086393089</v>
      </c>
      <c r="V1134" s="98">
        <v>13498.920086393089</v>
      </c>
      <c r="W1134" s="98">
        <v>4466.8359215096316</v>
      </c>
      <c r="X1134" s="98">
        <v>13498.920086393089</v>
      </c>
      <c r="Y1134" s="233">
        <v>6.84</v>
      </c>
      <c r="Z1134" s="48">
        <v>-1.0900000000000001</v>
      </c>
      <c r="AA1134" s="48">
        <v>-0.95</v>
      </c>
      <c r="AB1134" s="48">
        <v>-0.69</v>
      </c>
      <c r="AC1134" s="48">
        <v>0.88929999999999998</v>
      </c>
      <c r="AD1134" s="48">
        <v>-0.74</v>
      </c>
      <c r="AE1134" s="48">
        <v>-0.95</v>
      </c>
      <c r="AF1134" s="48">
        <f t="shared" si="300"/>
        <v>-0.95</v>
      </c>
      <c r="AG1134" s="49">
        <v>-0.6</v>
      </c>
      <c r="AH1134" s="98">
        <v>5.8399999999999997E-9</v>
      </c>
      <c r="AI1134" s="98"/>
      <c r="AJ1134" s="483">
        <f t="shared" si="309"/>
        <v>-6.6221534792002519</v>
      </c>
      <c r="AK1134" s="483"/>
      <c r="AL1134" s="483">
        <f t="shared" si="308"/>
        <v>-6.6221534792002519</v>
      </c>
      <c r="AM1134" s="483">
        <v>-5.3047499999999994</v>
      </c>
      <c r="AN1134" s="226">
        <v>-3.5</v>
      </c>
      <c r="AO1134" s="484">
        <v>14.62</v>
      </c>
      <c r="AP1134" s="484"/>
      <c r="AQ1134" s="226" t="s">
        <v>6312</v>
      </c>
      <c r="AR1134" s="226" t="s">
        <v>6311</v>
      </c>
      <c r="AS1134" s="224"/>
      <c r="AT1134" s="50" t="s">
        <v>266</v>
      </c>
      <c r="AU1134" s="48">
        <v>6</v>
      </c>
      <c r="AV1134" s="48">
        <v>120</v>
      </c>
      <c r="AW1134" s="48">
        <v>114</v>
      </c>
      <c r="AX1134" s="48">
        <v>28</v>
      </c>
      <c r="AY1134" s="48" t="s">
        <v>8728</v>
      </c>
      <c r="AZ1134" s="48" t="s">
        <v>1563</v>
      </c>
      <c r="BA1134" s="48">
        <v>32</v>
      </c>
      <c r="BB1134" s="47" t="s">
        <v>2485</v>
      </c>
      <c r="BC1134" s="47" t="s">
        <v>8726</v>
      </c>
      <c r="BD1134" s="47" t="s">
        <v>8374</v>
      </c>
      <c r="BE1134" s="48" t="s">
        <v>2449</v>
      </c>
      <c r="BF1134" s="48" t="s">
        <v>272</v>
      </c>
      <c r="BG1134" s="48" t="s">
        <v>272</v>
      </c>
      <c r="BH1134" s="48" t="s">
        <v>2486</v>
      </c>
      <c r="BI1134" s="98">
        <v>6.3999999999999997E-6</v>
      </c>
      <c r="BJ1134" s="98">
        <v>6.4000000000000001E-2</v>
      </c>
      <c r="BK1134" s="48"/>
      <c r="BL1134" s="98">
        <f t="shared" si="307"/>
        <v>489.47329244518556</v>
      </c>
      <c r="BM1134" s="47" t="s">
        <v>2487</v>
      </c>
      <c r="BN1134" s="48"/>
      <c r="BO1134" s="48"/>
      <c r="BP1134" s="48"/>
      <c r="BQ1134" s="48"/>
      <c r="BR1134" s="47" t="s">
        <v>2496</v>
      </c>
      <c r="BS1134" s="48"/>
      <c r="BT1134" s="48"/>
      <c r="BU1134" s="228"/>
      <c r="BV1134" s="48"/>
      <c r="BW1134" s="48"/>
      <c r="BX1134" s="48"/>
      <c r="BY1134" s="48"/>
      <c r="BZ1134" s="48"/>
      <c r="CA1134" s="48"/>
      <c r="CB1134" s="48"/>
      <c r="CC1134" s="48"/>
      <c r="CD1134" s="48"/>
      <c r="CE1134" s="48"/>
      <c r="CF1134" s="48"/>
      <c r="CG1134" s="48"/>
      <c r="CH1134" s="48"/>
      <c r="CI1134" s="98"/>
      <c r="CJ1134" s="98"/>
      <c r="CK1134" s="49">
        <f t="shared" si="302"/>
        <v>7648.020194456024</v>
      </c>
      <c r="CL1134" s="229"/>
      <c r="CM1134" s="229"/>
      <c r="CN1134" s="229"/>
      <c r="CO1134" s="47" t="s">
        <v>2488</v>
      </c>
      <c r="CP1134" s="47" t="s">
        <v>2489</v>
      </c>
      <c r="CQ1134" s="224" t="s">
        <v>272</v>
      </c>
      <c r="CR1134" s="224"/>
      <c r="CS1134" s="230" t="s">
        <v>539</v>
      </c>
      <c r="CT1134" s="230"/>
      <c r="CU1134" s="230"/>
      <c r="CV1134" s="335">
        <f t="shared" si="306"/>
        <v>210920.626349892</v>
      </c>
      <c r="CW1134" s="230">
        <f t="shared" si="301"/>
        <v>1</v>
      </c>
      <c r="CX1134" s="336"/>
      <c r="CY1134" s="230" t="s">
        <v>6351</v>
      </c>
    </row>
    <row r="1135" spans="1:103" ht="11.25" customHeight="1" x14ac:dyDescent="0.2">
      <c r="A1135" s="72">
        <v>1133</v>
      </c>
      <c r="B1135" s="224">
        <v>1735</v>
      </c>
      <c r="C1135" s="46" t="s">
        <v>2249</v>
      </c>
      <c r="D1135" s="46"/>
      <c r="E1135" s="114"/>
      <c r="F1135" s="114" t="s">
        <v>2250</v>
      </c>
      <c r="G1135" s="225">
        <v>556616</v>
      </c>
      <c r="H1135" s="47" t="s">
        <v>2251</v>
      </c>
      <c r="I1135" s="47" t="s">
        <v>2251</v>
      </c>
      <c r="J1135" s="47" t="s">
        <v>2252</v>
      </c>
      <c r="K1135" s="47" t="s">
        <v>1468</v>
      </c>
      <c r="L1135" s="47" t="s">
        <v>6022</v>
      </c>
      <c r="M1135" s="47" t="s">
        <v>6023</v>
      </c>
      <c r="N1135" s="47" t="s">
        <v>6382</v>
      </c>
      <c r="O1135" s="51" t="s">
        <v>5943</v>
      </c>
      <c r="P1135" s="53"/>
      <c r="Q1135" s="53"/>
      <c r="R1135" s="53"/>
      <c r="S1135" s="53"/>
      <c r="T1135" s="48">
        <v>73.12</v>
      </c>
      <c r="U1135" s="98">
        <v>103.93873085339168</v>
      </c>
      <c r="V1135" s="98">
        <v>288.97702407002186</v>
      </c>
      <c r="W1135" s="98">
        <v>53.703179637025258</v>
      </c>
      <c r="X1135" s="98">
        <v>103.93873085339168</v>
      </c>
      <c r="Y1135" s="233">
        <v>7</v>
      </c>
      <c r="Z1135" s="48">
        <v>1.3</v>
      </c>
      <c r="AA1135" s="48">
        <v>0.94</v>
      </c>
      <c r="AB1135" s="48">
        <v>1.6</v>
      </c>
      <c r="AC1135" s="48">
        <v>0.87309999999999999</v>
      </c>
      <c r="AD1135" s="48">
        <v>1.44</v>
      </c>
      <c r="AE1135" s="48">
        <v>0.94</v>
      </c>
      <c r="AF1135" s="48">
        <f t="shared" si="300"/>
        <v>0.94</v>
      </c>
      <c r="AG1135" s="49">
        <v>1.53</v>
      </c>
      <c r="AH1135" s="98">
        <v>3.1099999999999999E-3</v>
      </c>
      <c r="AI1135" s="98">
        <v>4.4799999999999998E-5</v>
      </c>
      <c r="AJ1135" s="483">
        <f t="shared" si="309"/>
        <v>-0.89580593728581437</v>
      </c>
      <c r="AK1135" s="483">
        <f>LOG10(AI1135*1000/(0.08206*298.15))</f>
        <v>-2.737288312314508</v>
      </c>
      <c r="AL1135" s="483">
        <f t="shared" si="308"/>
        <v>-2.737288312314508</v>
      </c>
      <c r="AM1135" s="483">
        <v>-1.2832599999999998</v>
      </c>
      <c r="AN1135" s="226">
        <v>-2.31</v>
      </c>
      <c r="AO1135" s="484"/>
      <c r="AP1135" s="484"/>
      <c r="AQ1135" s="226" t="s">
        <v>6311</v>
      </c>
      <c r="AR1135" s="226" t="s">
        <v>6311</v>
      </c>
      <c r="AS1135" s="224"/>
      <c r="AT1135" s="50" t="s">
        <v>266</v>
      </c>
      <c r="AU1135" s="48">
        <v>6</v>
      </c>
      <c r="AV1135" s="48">
        <v>120</v>
      </c>
      <c r="AW1135" s="48">
        <v>114</v>
      </c>
      <c r="AX1135" s="48">
        <v>28</v>
      </c>
      <c r="AY1135" s="48" t="s">
        <v>8728</v>
      </c>
      <c r="AZ1135" s="48" t="s">
        <v>1563</v>
      </c>
      <c r="BA1135" s="48">
        <v>32</v>
      </c>
      <c r="BB1135" s="47" t="s">
        <v>2485</v>
      </c>
      <c r="BC1135" s="47" t="s">
        <v>8726</v>
      </c>
      <c r="BD1135" s="47" t="s">
        <v>8374</v>
      </c>
      <c r="BE1135" s="48" t="s">
        <v>2449</v>
      </c>
      <c r="BF1135" s="48" t="s">
        <v>272</v>
      </c>
      <c r="BG1135" s="48" t="s">
        <v>272</v>
      </c>
      <c r="BH1135" s="48" t="s">
        <v>2486</v>
      </c>
      <c r="BI1135" s="98">
        <v>6.3999999999999997E-6</v>
      </c>
      <c r="BJ1135" s="98">
        <v>6.4000000000000001E-2</v>
      </c>
      <c r="BK1135" s="48"/>
      <c r="BL1135" s="98">
        <f t="shared" si="307"/>
        <v>3.4935744279256031</v>
      </c>
      <c r="BM1135" s="47" t="s">
        <v>2487</v>
      </c>
      <c r="BN1135" s="48"/>
      <c r="BO1135" s="48"/>
      <c r="BP1135" s="48"/>
      <c r="BQ1135" s="48"/>
      <c r="BR1135" s="47" t="s">
        <v>2496</v>
      </c>
      <c r="BS1135" s="48"/>
      <c r="BT1135" s="48"/>
      <c r="BU1135" s="228"/>
      <c r="BV1135" s="48"/>
      <c r="BW1135" s="48"/>
      <c r="BX1135" s="48"/>
      <c r="BY1135" s="48"/>
      <c r="BZ1135" s="48"/>
      <c r="CA1135" s="48"/>
      <c r="CB1135" s="48"/>
      <c r="CC1135" s="48"/>
      <c r="CD1135" s="48"/>
      <c r="CE1135" s="48"/>
      <c r="CF1135" s="48"/>
      <c r="CG1135" s="48"/>
      <c r="CH1135" s="48"/>
      <c r="CI1135" s="98"/>
      <c r="CJ1135" s="98"/>
      <c r="CK1135" s="49">
        <f t="shared" si="302"/>
        <v>54.58710043633755</v>
      </c>
      <c r="CL1135" s="229"/>
      <c r="CM1135" s="229">
        <v>-3.0228372754380102</v>
      </c>
      <c r="CN1135" s="229">
        <f>BJ1135/(10^CM1135)</f>
        <v>67.455481931072114</v>
      </c>
      <c r="CO1135" s="47" t="s">
        <v>2488</v>
      </c>
      <c r="CP1135" s="47" t="s">
        <v>2489</v>
      </c>
      <c r="CQ1135" s="224">
        <v>-2.9191407964062464</v>
      </c>
      <c r="CR1135" s="224">
        <f>10^(CJ1135-CQ1135)</f>
        <v>830.11984518456859</v>
      </c>
      <c r="CS1135" s="230" t="s">
        <v>539</v>
      </c>
      <c r="CT1135" s="230"/>
      <c r="CU1135" s="230"/>
      <c r="CV1135" s="335">
        <f t="shared" si="306"/>
        <v>1624.0426695842448</v>
      </c>
      <c r="CW1135" s="230">
        <f t="shared" si="301"/>
        <v>1</v>
      </c>
      <c r="CX1135" s="336"/>
      <c r="CY1135" s="230" t="s">
        <v>6351</v>
      </c>
    </row>
    <row r="1136" spans="1:103" ht="11.25" customHeight="1" x14ac:dyDescent="0.2">
      <c r="A1136" s="72">
        <v>1134</v>
      </c>
      <c r="B1136" s="224">
        <v>1425</v>
      </c>
      <c r="C1136" s="46" t="s">
        <v>7280</v>
      </c>
      <c r="D1136" s="46"/>
      <c r="E1136" s="114"/>
      <c r="F1136" s="114" t="s">
        <v>4384</v>
      </c>
      <c r="G1136" s="225">
        <v>576261</v>
      </c>
      <c r="H1136" s="47" t="s">
        <v>4385</v>
      </c>
      <c r="I1136" s="47" t="s">
        <v>4385</v>
      </c>
      <c r="J1136" s="47" t="s">
        <v>4386</v>
      </c>
      <c r="K1136" s="47" t="s">
        <v>349</v>
      </c>
      <c r="L1136" s="47" t="s">
        <v>6124</v>
      </c>
      <c r="M1136" s="47" t="s">
        <v>5960</v>
      </c>
      <c r="N1136" s="47"/>
      <c r="O1136" s="47"/>
      <c r="P1136" s="53" t="s">
        <v>6184</v>
      </c>
      <c r="Q1136" s="53" t="s">
        <v>6173</v>
      </c>
      <c r="R1136" s="53" t="s">
        <v>6185</v>
      </c>
      <c r="S1136" s="53" t="s">
        <v>6182</v>
      </c>
      <c r="T1136" s="48">
        <v>122.16</v>
      </c>
      <c r="U1136" s="98">
        <v>49.52521283562541</v>
      </c>
      <c r="V1136" s="98">
        <v>29.592337917485267</v>
      </c>
      <c r="W1136" s="98">
        <v>56.234132519034887</v>
      </c>
      <c r="X1136" s="98">
        <v>49.52521283562541</v>
      </c>
      <c r="Y1136" s="233">
        <v>5.95</v>
      </c>
      <c r="Z1136" s="48">
        <v>2.61</v>
      </c>
      <c r="AA1136" s="48">
        <v>2.36</v>
      </c>
      <c r="AB1136" s="48">
        <v>2.44</v>
      </c>
      <c r="AC1136" s="48">
        <v>0.94279999999999997</v>
      </c>
      <c r="AD1136" s="48">
        <v>2.4300000000000002</v>
      </c>
      <c r="AE1136" s="48">
        <v>2.4</v>
      </c>
      <c r="AF1136" s="48">
        <f t="shared" si="300"/>
        <v>2.36</v>
      </c>
      <c r="AG1136" s="49">
        <v>2.39</v>
      </c>
      <c r="AH1136" s="98">
        <v>6.8299999999999996E-7</v>
      </c>
      <c r="AI1136" s="98">
        <v>6.6499999999999999E-6</v>
      </c>
      <c r="AJ1136" s="483">
        <f t="shared" si="309"/>
        <v>-4.5541456226311192</v>
      </c>
      <c r="AK1136" s="483">
        <f>LOG10(AI1136*1000/(0.08206*298.15))</f>
        <v>-3.5657446810095474</v>
      </c>
      <c r="AL1136" s="483">
        <f t="shared" si="308"/>
        <v>-3.5657446810095474</v>
      </c>
      <c r="AM1136" s="483">
        <v>-5.6712900000000008</v>
      </c>
      <c r="AN1136" s="226">
        <v>-3.67</v>
      </c>
      <c r="AO1136" s="484">
        <v>10.66</v>
      </c>
      <c r="AP1136" s="484"/>
      <c r="AQ1136" s="48" t="s">
        <v>6311</v>
      </c>
      <c r="AR1136" s="48" t="s">
        <v>6311</v>
      </c>
      <c r="AS1136" s="227"/>
      <c r="AT1136" s="50" t="s">
        <v>266</v>
      </c>
      <c r="AU1136" s="48">
        <v>6</v>
      </c>
      <c r="AV1136" s="48">
        <v>120</v>
      </c>
      <c r="AW1136" s="48">
        <v>114</v>
      </c>
      <c r="AX1136" s="48">
        <v>28</v>
      </c>
      <c r="AY1136" s="48" t="s">
        <v>8728</v>
      </c>
      <c r="AZ1136" s="48" t="s">
        <v>1563</v>
      </c>
      <c r="BA1136" s="48">
        <v>32</v>
      </c>
      <c r="BB1136" s="47" t="s">
        <v>2485</v>
      </c>
      <c r="BC1136" s="47" t="s">
        <v>8726</v>
      </c>
      <c r="BD1136" s="47" t="s">
        <v>8374</v>
      </c>
      <c r="BE1136" s="48" t="s">
        <v>2449</v>
      </c>
      <c r="BF1136" s="48" t="s">
        <v>272</v>
      </c>
      <c r="BG1136" s="48" t="s">
        <v>272</v>
      </c>
      <c r="BH1136" s="48" t="s">
        <v>2486</v>
      </c>
      <c r="BI1136" s="98">
        <v>6.3999999999999997E-6</v>
      </c>
      <c r="BJ1136" s="98">
        <v>6.4000000000000001E-2</v>
      </c>
      <c r="BK1136" s="48"/>
      <c r="BL1136" s="98">
        <f t="shared" si="307"/>
        <v>0.23267997046521618</v>
      </c>
      <c r="BM1136" s="47" t="s">
        <v>2487</v>
      </c>
      <c r="BN1136" s="48"/>
      <c r="BO1136" s="48"/>
      <c r="BP1136" s="48"/>
      <c r="BQ1136" s="48"/>
      <c r="BR1136" s="47" t="s">
        <v>2496</v>
      </c>
      <c r="BS1136" s="48"/>
      <c r="BT1136" s="48"/>
      <c r="BU1136" s="228"/>
      <c r="BV1136" s="48"/>
      <c r="BW1136" s="48"/>
      <c r="BX1136" s="48"/>
      <c r="BY1136" s="48"/>
      <c r="BZ1136" s="48"/>
      <c r="CA1136" s="48"/>
      <c r="CB1136" s="48"/>
      <c r="CC1136" s="48"/>
      <c r="CD1136" s="48"/>
      <c r="CE1136" s="48"/>
      <c r="CF1136" s="48"/>
      <c r="CG1136" s="48"/>
      <c r="CH1136" s="48"/>
      <c r="CI1136" s="98"/>
      <c r="CJ1136" s="98"/>
      <c r="CK1136" s="49">
        <f t="shared" si="302"/>
        <v>3.6356245385190027</v>
      </c>
      <c r="CL1136" s="229"/>
      <c r="CM1136" s="229"/>
      <c r="CN1136" s="229"/>
      <c r="CO1136" s="47" t="s">
        <v>2488</v>
      </c>
      <c r="CP1136" s="47" t="s">
        <v>2489</v>
      </c>
      <c r="CQ1136" s="224">
        <v>-0.75046929019983522</v>
      </c>
      <c r="CR1136" s="224">
        <f>10^(CJ1136-CQ1136)</f>
        <v>5.6294930875576048</v>
      </c>
      <c r="CS1136" s="230" t="s">
        <v>539</v>
      </c>
      <c r="CT1136" s="230"/>
      <c r="CU1136" s="230"/>
      <c r="CV1136" s="335">
        <f t="shared" si="306"/>
        <v>773.83145055664704</v>
      </c>
      <c r="CW1136" s="230">
        <f t="shared" si="301"/>
        <v>1</v>
      </c>
      <c r="CX1136" s="336"/>
      <c r="CY1136" s="230" t="s">
        <v>6351</v>
      </c>
    </row>
    <row r="1137" spans="1:103" ht="11.25" customHeight="1" x14ac:dyDescent="0.2">
      <c r="A1137" s="72">
        <v>1135</v>
      </c>
      <c r="B1137" s="224">
        <v>1423</v>
      </c>
      <c r="C1137" s="46" t="s">
        <v>7281</v>
      </c>
      <c r="D1137" s="46"/>
      <c r="E1137" s="114"/>
      <c r="F1137" s="114" t="s">
        <v>4378</v>
      </c>
      <c r="G1137" s="225">
        <v>579668</v>
      </c>
      <c r="H1137" s="47" t="s">
        <v>4379</v>
      </c>
      <c r="I1137" s="47" t="s">
        <v>4379</v>
      </c>
      <c r="J1137" s="47" t="s">
        <v>4380</v>
      </c>
      <c r="K1137" s="47" t="s">
        <v>2695</v>
      </c>
      <c r="L1137" s="47"/>
      <c r="M1137" s="47"/>
      <c r="N1137" s="47"/>
      <c r="O1137" s="47"/>
      <c r="P1137" s="53"/>
      <c r="Q1137" s="53"/>
      <c r="R1137" s="53"/>
      <c r="S1137" s="53"/>
      <c r="T1137" s="48">
        <v>149.22999999999999</v>
      </c>
      <c r="U1137" s="98">
        <v>4.4897138645044565</v>
      </c>
      <c r="V1137" s="98">
        <v>1.0400053608523756</v>
      </c>
      <c r="W1137" s="98">
        <v>3.8018939632056123</v>
      </c>
      <c r="X1137" s="98">
        <v>4.4897138645044565</v>
      </c>
      <c r="Y1137" s="233">
        <v>7.86</v>
      </c>
      <c r="Z1137" s="48">
        <v>3.15</v>
      </c>
      <c r="AA1137" s="48"/>
      <c r="AB1137" s="48">
        <v>1.89</v>
      </c>
      <c r="AC1137" s="48">
        <v>0.75049999999999994</v>
      </c>
      <c r="AD1137" s="48">
        <v>2.2599999999999998</v>
      </c>
      <c r="AE1137" s="48">
        <v>2.92</v>
      </c>
      <c r="AF1137" s="48">
        <f t="shared" si="300"/>
        <v>2.2599999999999998</v>
      </c>
      <c r="AG1137" s="49">
        <v>2.76</v>
      </c>
      <c r="AH1137" s="98">
        <v>4.0899999999999998E-6</v>
      </c>
      <c r="AI1137" s="98">
        <v>1.1200000000000001E-6</v>
      </c>
      <c r="AJ1137" s="483">
        <f t="shared" si="309"/>
        <v>-3.7768430183053101</v>
      </c>
      <c r="AK1137" s="483">
        <f>LOG10(AI1137*1000/(0.08206*298.15))</f>
        <v>-4.3393483036424705</v>
      </c>
      <c r="AL1137" s="483">
        <f t="shared" si="308"/>
        <v>-4.3393483036424705</v>
      </c>
      <c r="AM1137" s="483">
        <v>-5.8529</v>
      </c>
      <c r="AN1137" s="226">
        <v>-3.68</v>
      </c>
      <c r="AO1137" s="484"/>
      <c r="AP1137" s="484">
        <v>4.13</v>
      </c>
      <c r="AQ1137" s="48" t="s">
        <v>6311</v>
      </c>
      <c r="AR1137" s="48" t="s">
        <v>6311</v>
      </c>
      <c r="AS1137" s="227"/>
      <c r="AT1137" s="50" t="s">
        <v>266</v>
      </c>
      <c r="AU1137" s="48">
        <v>6</v>
      </c>
      <c r="AV1137" s="48">
        <v>120</v>
      </c>
      <c r="AW1137" s="48">
        <v>114</v>
      </c>
      <c r="AX1137" s="48">
        <v>28</v>
      </c>
      <c r="AY1137" s="48" t="s">
        <v>8728</v>
      </c>
      <c r="AZ1137" s="48" t="s">
        <v>1563</v>
      </c>
      <c r="BA1137" s="48">
        <v>32</v>
      </c>
      <c r="BB1137" s="47" t="s">
        <v>2485</v>
      </c>
      <c r="BC1137" s="47" t="s">
        <v>8726</v>
      </c>
      <c r="BD1137" s="47" t="s">
        <v>8374</v>
      </c>
      <c r="BE1137" s="48" t="s">
        <v>2449</v>
      </c>
      <c r="BF1137" s="48" t="s">
        <v>272</v>
      </c>
      <c r="BG1137" s="48" t="s">
        <v>272</v>
      </c>
      <c r="BH1137" s="48" t="s">
        <v>2486</v>
      </c>
      <c r="BI1137" s="98">
        <v>6.3999999999999997E-6</v>
      </c>
      <c r="BJ1137" s="98">
        <v>6.4000000000000001E-2</v>
      </c>
      <c r="BK1137" s="48"/>
      <c r="BL1137" s="98">
        <f t="shared" si="307"/>
        <v>7.6170183176510087E-2</v>
      </c>
      <c r="BM1137" s="47" t="s">
        <v>2487</v>
      </c>
      <c r="BN1137" s="48"/>
      <c r="BO1137" s="48"/>
      <c r="BP1137" s="48"/>
      <c r="BQ1137" s="48"/>
      <c r="BR1137" s="47" t="s">
        <v>2496</v>
      </c>
      <c r="BS1137" s="48"/>
      <c r="BT1137" s="48"/>
      <c r="BU1137" s="228"/>
      <c r="BV1137" s="48"/>
      <c r="BW1137" s="48"/>
      <c r="BX1137" s="48"/>
      <c r="BY1137" s="48"/>
      <c r="BZ1137" s="48"/>
      <c r="CA1137" s="48"/>
      <c r="CB1137" s="48"/>
      <c r="CC1137" s="48"/>
      <c r="CD1137" s="48"/>
      <c r="CE1137" s="48"/>
      <c r="CF1137" s="48"/>
      <c r="CG1137" s="48"/>
      <c r="CH1137" s="48"/>
      <c r="CI1137" s="98"/>
      <c r="CJ1137" s="98"/>
      <c r="CK1137" s="49">
        <f t="shared" si="302"/>
        <v>1.19015911213297</v>
      </c>
      <c r="CL1137" s="229"/>
      <c r="CM1137" s="229"/>
      <c r="CN1137" s="229"/>
      <c r="CO1137" s="47" t="s">
        <v>2488</v>
      </c>
      <c r="CP1137" s="47" t="s">
        <v>2489</v>
      </c>
      <c r="CQ1137" s="224" t="s">
        <v>272</v>
      </c>
      <c r="CR1137" s="224"/>
      <c r="CS1137" s="230" t="s">
        <v>539</v>
      </c>
      <c r="CT1137" s="230"/>
      <c r="CU1137" s="230"/>
      <c r="CV1137" s="335">
        <f t="shared" si="306"/>
        <v>70.151779132882126</v>
      </c>
      <c r="CW1137" s="230">
        <f t="shared" si="301"/>
        <v>1</v>
      </c>
      <c r="CX1137" s="336"/>
      <c r="CY1137" s="230" t="s">
        <v>5921</v>
      </c>
    </row>
    <row r="1138" spans="1:103" ht="11.25" customHeight="1" x14ac:dyDescent="0.2">
      <c r="A1138" s="72">
        <v>1136</v>
      </c>
      <c r="B1138" s="224">
        <v>1447</v>
      </c>
      <c r="C1138" s="46" t="s">
        <v>7282</v>
      </c>
      <c r="D1138" s="46"/>
      <c r="E1138" s="114"/>
      <c r="F1138" s="114" t="s">
        <v>4450</v>
      </c>
      <c r="G1138" s="225">
        <v>584134</v>
      </c>
      <c r="H1138" s="47" t="s">
        <v>4451</v>
      </c>
      <c r="I1138" s="47" t="s">
        <v>8055</v>
      </c>
      <c r="J1138" s="47" t="s">
        <v>4452</v>
      </c>
      <c r="K1138" s="47" t="s">
        <v>1112</v>
      </c>
      <c r="L1138" s="47"/>
      <c r="M1138" s="47"/>
      <c r="N1138" s="47"/>
      <c r="O1138" s="47"/>
      <c r="P1138" s="53"/>
      <c r="Q1138" s="53"/>
      <c r="R1138" s="53"/>
      <c r="S1138" s="53"/>
      <c r="T1138" s="48">
        <v>84.08</v>
      </c>
      <c r="U1138" s="98"/>
      <c r="V1138" s="98">
        <v>11893.434823977164</v>
      </c>
      <c r="W1138" s="98">
        <v>1071.5193052376064</v>
      </c>
      <c r="X1138" s="98">
        <f>IF(W1138=0,V1138,W1138)</f>
        <v>1071.5193052376064</v>
      </c>
      <c r="Y1138" s="233">
        <v>8.6300000000000008</v>
      </c>
      <c r="Z1138" s="48">
        <v>-1.68</v>
      </c>
      <c r="AA1138" s="48"/>
      <c r="AB1138" s="48">
        <v>-0.77</v>
      </c>
      <c r="AC1138" s="48">
        <v>0.68220000000000003</v>
      </c>
      <c r="AD1138" s="48">
        <v>-0.99</v>
      </c>
      <c r="AE1138" s="48">
        <v>-1.38</v>
      </c>
      <c r="AF1138" s="48">
        <f t="shared" si="300"/>
        <v>-0.99</v>
      </c>
      <c r="AG1138" s="49">
        <v>-0.93</v>
      </c>
      <c r="AH1138" s="98">
        <v>2.0799999999999998E-9</v>
      </c>
      <c r="AI1138" s="98"/>
      <c r="AJ1138" s="483">
        <f t="shared" si="309"/>
        <v>-7.0705029913498905</v>
      </c>
      <c r="AK1138" s="483"/>
      <c r="AL1138" s="483">
        <f t="shared" si="308"/>
        <v>-7.0705029913498905</v>
      </c>
      <c r="AM1138" s="483">
        <v>-9.3339099999999995</v>
      </c>
      <c r="AN1138" s="226">
        <v>-10.7</v>
      </c>
      <c r="AO1138" s="484"/>
      <c r="AP1138" s="484">
        <v>3.2</v>
      </c>
      <c r="AQ1138" s="48" t="s">
        <v>6311</v>
      </c>
      <c r="AR1138" s="48" t="s">
        <v>6311</v>
      </c>
      <c r="AS1138" s="227"/>
      <c r="AT1138" s="50" t="s">
        <v>266</v>
      </c>
      <c r="AU1138" s="48">
        <v>6</v>
      </c>
      <c r="AV1138" s="48">
        <v>120</v>
      </c>
      <c r="AW1138" s="48">
        <v>114</v>
      </c>
      <c r="AX1138" s="48">
        <v>28</v>
      </c>
      <c r="AY1138" s="48" t="s">
        <v>8728</v>
      </c>
      <c r="AZ1138" s="48" t="s">
        <v>1563</v>
      </c>
      <c r="BA1138" s="48">
        <v>32</v>
      </c>
      <c r="BB1138" s="47" t="s">
        <v>2485</v>
      </c>
      <c r="BC1138" s="47" t="s">
        <v>8726</v>
      </c>
      <c r="BD1138" s="47" t="s">
        <v>8374</v>
      </c>
      <c r="BE1138" s="48" t="s">
        <v>2449</v>
      </c>
      <c r="BF1138" s="48" t="s">
        <v>272</v>
      </c>
      <c r="BG1138" s="48" t="s">
        <v>272</v>
      </c>
      <c r="BH1138" s="48" t="s">
        <v>2486</v>
      </c>
      <c r="BI1138" s="98">
        <v>6.3999999999999997E-6</v>
      </c>
      <c r="BJ1138" s="98">
        <v>6.4000000000000001E-2</v>
      </c>
      <c r="BK1138" s="48"/>
      <c r="BL1138" s="98">
        <f t="shared" si="307"/>
        <v>1658.0896179671047</v>
      </c>
      <c r="BM1138" s="47" t="s">
        <v>2487</v>
      </c>
      <c r="BN1138" s="48"/>
      <c r="BO1138" s="48"/>
      <c r="BP1138" s="48"/>
      <c r="BQ1138" s="48"/>
      <c r="BR1138" s="47" t="s">
        <v>2496</v>
      </c>
      <c r="BS1138" s="48"/>
      <c r="BT1138" s="48"/>
      <c r="BU1138" s="228"/>
      <c r="BV1138" s="48"/>
      <c r="BW1138" s="48"/>
      <c r="BX1138" s="48"/>
      <c r="BY1138" s="48"/>
      <c r="BZ1138" s="48"/>
      <c r="CA1138" s="48"/>
      <c r="CB1138" s="48"/>
      <c r="CC1138" s="48"/>
      <c r="CD1138" s="48"/>
      <c r="CE1138" s="48"/>
      <c r="CF1138" s="48"/>
      <c r="CG1138" s="48"/>
      <c r="CH1138" s="48"/>
      <c r="CI1138" s="98"/>
      <c r="CJ1138" s="98"/>
      <c r="CK1138" s="49">
        <f t="shared" si="302"/>
        <v>25907.650280736008</v>
      </c>
      <c r="CL1138" s="229"/>
      <c r="CM1138" s="229"/>
      <c r="CN1138" s="229"/>
      <c r="CO1138" s="47" t="s">
        <v>2488</v>
      </c>
      <c r="CP1138" s="47" t="s">
        <v>2489</v>
      </c>
      <c r="CQ1138" s="224" t="s">
        <v>272</v>
      </c>
      <c r="CR1138" s="224"/>
      <c r="CS1138" s="230" t="s">
        <v>539</v>
      </c>
      <c r="CT1138" s="230"/>
      <c r="CU1138" s="230"/>
      <c r="CV1138" s="335">
        <f t="shared" si="306"/>
        <v>16742.4891443376</v>
      </c>
      <c r="CW1138" s="230">
        <f t="shared" si="301"/>
        <v>1</v>
      </c>
      <c r="CX1138" s="336"/>
      <c r="CY1138" s="230" t="s">
        <v>5921</v>
      </c>
    </row>
    <row r="1139" spans="1:103" ht="11.25" customHeight="1" x14ac:dyDescent="0.2">
      <c r="A1139" s="72">
        <v>1137</v>
      </c>
      <c r="B1139" s="224">
        <v>1498</v>
      </c>
      <c r="C1139" s="46" t="s">
        <v>7283</v>
      </c>
      <c r="D1139" s="46"/>
      <c r="E1139" s="114"/>
      <c r="F1139" s="114" t="s">
        <v>1082</v>
      </c>
      <c r="G1139" s="225">
        <v>584792</v>
      </c>
      <c r="H1139" s="47" t="s">
        <v>1083</v>
      </c>
      <c r="I1139" s="47" t="s">
        <v>8056</v>
      </c>
      <c r="J1139" s="47" t="s">
        <v>1084</v>
      </c>
      <c r="K1139" s="47" t="s">
        <v>1085</v>
      </c>
      <c r="L1139" s="47" t="s">
        <v>617</v>
      </c>
      <c r="M1139" s="47" t="s">
        <v>1086</v>
      </c>
      <c r="N1139" s="47" t="s">
        <v>6376</v>
      </c>
      <c r="O1139" s="47" t="s">
        <v>918</v>
      </c>
      <c r="P1139" s="53"/>
      <c r="Q1139" s="53"/>
      <c r="R1139" s="53"/>
      <c r="S1139" s="53"/>
      <c r="T1139" s="48">
        <v>302.41000000000003</v>
      </c>
      <c r="U1139" s="98">
        <v>1.5211137197843984E-2</v>
      </c>
      <c r="V1139" s="98">
        <v>3.2531992989649813E-3</v>
      </c>
      <c r="W1139" s="98">
        <v>5.0118723362727241E-2</v>
      </c>
      <c r="X1139" s="98">
        <v>1.5211137197843984E-2</v>
      </c>
      <c r="Y1139" s="233">
        <v>7</v>
      </c>
      <c r="Z1139" s="48">
        <v>5.52</v>
      </c>
      <c r="AA1139" s="48">
        <v>4.78</v>
      </c>
      <c r="AB1139" s="48">
        <v>5.0999999999999996</v>
      </c>
      <c r="AC1139" s="48">
        <v>0.78859999999999997</v>
      </c>
      <c r="AD1139" s="48">
        <v>5.05</v>
      </c>
      <c r="AE1139" s="48">
        <v>4.92</v>
      </c>
      <c r="AF1139" s="48">
        <f t="shared" si="300"/>
        <v>4.78</v>
      </c>
      <c r="AG1139" s="49">
        <v>3.54</v>
      </c>
      <c r="AH1139" s="98">
        <v>6.1200000000000003E-7</v>
      </c>
      <c r="AI1139" s="98">
        <v>1.04E-7</v>
      </c>
      <c r="AJ1139" s="483">
        <f t="shared" si="309"/>
        <v>-4.6018149041670906</v>
      </c>
      <c r="AK1139" s="483">
        <f>LOG10(AI1139*1000/(0.08206*298.15))</f>
        <v>-5.3715329870138717</v>
      </c>
      <c r="AL1139" s="483">
        <f t="shared" si="308"/>
        <v>-5.3715329870138717</v>
      </c>
      <c r="AM1139" s="483">
        <v>-10.080069999999999</v>
      </c>
      <c r="AN1139" s="226">
        <v>-6.91</v>
      </c>
      <c r="AO1139" s="484"/>
      <c r="AP1139" s="484"/>
      <c r="AQ1139" s="48" t="s">
        <v>6311</v>
      </c>
      <c r="AR1139" s="48" t="s">
        <v>6312</v>
      </c>
      <c r="AS1139" s="227"/>
      <c r="AT1139" s="50" t="s">
        <v>266</v>
      </c>
      <c r="AU1139" s="48">
        <v>6</v>
      </c>
      <c r="AV1139" s="48">
        <v>120</v>
      </c>
      <c r="AW1139" s="48">
        <v>114</v>
      </c>
      <c r="AX1139" s="48">
        <v>28</v>
      </c>
      <c r="AY1139" s="48" t="s">
        <v>8728</v>
      </c>
      <c r="AZ1139" s="48" t="s">
        <v>1563</v>
      </c>
      <c r="BA1139" s="48">
        <v>32</v>
      </c>
      <c r="BB1139" s="47" t="s">
        <v>2485</v>
      </c>
      <c r="BC1139" s="47" t="s">
        <v>8726</v>
      </c>
      <c r="BD1139" s="47" t="s">
        <v>8374</v>
      </c>
      <c r="BE1139" s="48" t="s">
        <v>2449</v>
      </c>
      <c r="BF1139" s="48" t="s">
        <v>272</v>
      </c>
      <c r="BG1139" s="48" t="s">
        <v>272</v>
      </c>
      <c r="BH1139" s="48" t="s">
        <v>2486</v>
      </c>
      <c r="BI1139" s="98">
        <v>6.3999999999999997E-6</v>
      </c>
      <c r="BJ1139" s="98">
        <v>6.4000000000000001E-2</v>
      </c>
      <c r="BK1139" s="48"/>
      <c r="BL1139" s="98">
        <f t="shared" si="307"/>
        <v>5.6661491204470463E-4</v>
      </c>
      <c r="BM1139" s="47" t="s">
        <v>2487</v>
      </c>
      <c r="BN1139" s="48"/>
      <c r="BO1139" s="48"/>
      <c r="BP1139" s="48"/>
      <c r="BQ1139" s="48"/>
      <c r="BR1139" s="47" t="s">
        <v>2496</v>
      </c>
      <c r="BS1139" s="48"/>
      <c r="BT1139" s="48"/>
      <c r="BU1139" s="228"/>
      <c r="BV1139" s="48"/>
      <c r="BW1139" s="48"/>
      <c r="BX1139" s="48"/>
      <c r="BY1139" s="48"/>
      <c r="BZ1139" s="48"/>
      <c r="CA1139" s="48"/>
      <c r="CB1139" s="48"/>
      <c r="CC1139" s="48"/>
      <c r="CD1139" s="48"/>
      <c r="CE1139" s="48"/>
      <c r="CF1139" s="48"/>
      <c r="CG1139" s="48"/>
      <c r="CH1139" s="48"/>
      <c r="CI1139" s="98"/>
      <c r="CJ1139" s="98"/>
      <c r="CK1139" s="49">
        <f t="shared" si="302"/>
        <v>8.8533580006985094E-3</v>
      </c>
      <c r="CL1139" s="229"/>
      <c r="CM1139" s="229">
        <v>-4.3177016021418586</v>
      </c>
      <c r="CN1139" s="229">
        <f>BJ1139/(10^CM1139)</f>
        <v>1330.0916777321729</v>
      </c>
      <c r="CO1139" s="47" t="s">
        <v>2488</v>
      </c>
      <c r="CP1139" s="47" t="s">
        <v>2489</v>
      </c>
      <c r="CQ1139" s="224">
        <v>-3.9204690305836989</v>
      </c>
      <c r="CR1139" s="224">
        <f>10^(CJ1139-CQ1139)</f>
        <v>8326.6254693810806</v>
      </c>
      <c r="CS1139" s="230" t="s">
        <v>539</v>
      </c>
      <c r="CT1139" s="230"/>
      <c r="CU1139" s="230"/>
      <c r="CV1139" s="335">
        <f t="shared" si="306"/>
        <v>0.23767401871631225</v>
      </c>
      <c r="CW1139" s="230">
        <f t="shared" si="301"/>
        <v>0</v>
      </c>
      <c r="CX1139" s="336"/>
      <c r="CY1139" s="230" t="s">
        <v>5921</v>
      </c>
    </row>
    <row r="1140" spans="1:103" ht="11.25" customHeight="1" x14ac:dyDescent="0.2">
      <c r="A1140" s="72">
        <v>1138</v>
      </c>
      <c r="B1140" s="224">
        <v>1904</v>
      </c>
      <c r="C1140" s="46" t="s">
        <v>7284</v>
      </c>
      <c r="D1140" s="46"/>
      <c r="E1140" s="114"/>
      <c r="F1140" s="114" t="s">
        <v>5375</v>
      </c>
      <c r="G1140" s="225">
        <v>584849</v>
      </c>
      <c r="H1140" s="47" t="s">
        <v>5376</v>
      </c>
      <c r="I1140" s="47" t="s">
        <v>5376</v>
      </c>
      <c r="J1140" s="47" t="s">
        <v>5377</v>
      </c>
      <c r="K1140" s="47" t="s">
        <v>426</v>
      </c>
      <c r="L1140" s="47"/>
      <c r="M1140" s="47"/>
      <c r="N1140" s="47"/>
      <c r="O1140" s="47"/>
      <c r="P1140" s="53"/>
      <c r="Q1140" s="53"/>
      <c r="R1140" s="53"/>
      <c r="S1140" s="53"/>
      <c r="T1140" s="48">
        <v>174.16</v>
      </c>
      <c r="U1140" s="98"/>
      <c r="V1140" s="98">
        <v>0.21572117593017914</v>
      </c>
      <c r="W1140" s="98">
        <v>1.0471285480508987</v>
      </c>
      <c r="X1140" s="98">
        <f>IF(W1140=0,V1140,W1140)</f>
        <v>1.0471285480508987</v>
      </c>
      <c r="Y1140" s="233">
        <v>7</v>
      </c>
      <c r="Z1140" s="48">
        <v>3.74</v>
      </c>
      <c r="AA1140" s="48"/>
      <c r="AB1140" s="48">
        <v>2.62</v>
      </c>
      <c r="AC1140" s="48">
        <v>9.3299999999999994E-2</v>
      </c>
      <c r="AD1140" s="48">
        <v>3.31</v>
      </c>
      <c r="AE1140" s="48">
        <v>3.47</v>
      </c>
      <c r="AF1140" s="48">
        <f t="shared" si="300"/>
        <v>3.31</v>
      </c>
      <c r="AG1140" s="49">
        <v>1.96</v>
      </c>
      <c r="AH1140" s="98">
        <v>1.11E-5</v>
      </c>
      <c r="AI1140" s="98"/>
      <c r="AJ1140" s="483">
        <f t="shared" si="309"/>
        <v>-3.3432433475259944</v>
      </c>
      <c r="AK1140" s="483"/>
      <c r="AL1140" s="483">
        <f t="shared" si="308"/>
        <v>-3.3432433475259944</v>
      </c>
      <c r="AM1140" s="483">
        <v>-8.9863999999999997</v>
      </c>
      <c r="AN1140" s="226">
        <v>-11.3</v>
      </c>
      <c r="AO1140" s="484"/>
      <c r="AP1140" s="484"/>
      <c r="AQ1140" s="226" t="s">
        <v>6311</v>
      </c>
      <c r="AR1140" s="226" t="s">
        <v>6311</v>
      </c>
      <c r="AS1140" s="224"/>
      <c r="AT1140" s="50" t="s">
        <v>266</v>
      </c>
      <c r="AU1140" s="48">
        <v>6</v>
      </c>
      <c r="AV1140" s="48">
        <v>120</v>
      </c>
      <c r="AW1140" s="48">
        <v>114</v>
      </c>
      <c r="AX1140" s="48">
        <v>28</v>
      </c>
      <c r="AY1140" s="48" t="s">
        <v>8728</v>
      </c>
      <c r="AZ1140" s="48" t="s">
        <v>1563</v>
      </c>
      <c r="BA1140" s="48">
        <v>32</v>
      </c>
      <c r="BB1140" s="47" t="s">
        <v>2485</v>
      </c>
      <c r="BC1140" s="47" t="s">
        <v>8726</v>
      </c>
      <c r="BD1140" s="47" t="s">
        <v>8374</v>
      </c>
      <c r="BE1140" s="48" t="s">
        <v>2449</v>
      </c>
      <c r="BF1140" s="48" t="s">
        <v>272</v>
      </c>
      <c r="BG1140" s="48" t="s">
        <v>272</v>
      </c>
      <c r="BH1140" s="48" t="s">
        <v>2486</v>
      </c>
      <c r="BI1140" s="98">
        <v>6.3999999999999997E-6</v>
      </c>
      <c r="BJ1140" s="98">
        <v>6.4000000000000001E-2</v>
      </c>
      <c r="BK1140" s="48"/>
      <c r="BL1140" s="98">
        <f t="shared" si="307"/>
        <v>2.2485678663901314E-2</v>
      </c>
      <c r="BM1140" s="47" t="s">
        <v>2487</v>
      </c>
      <c r="BN1140" s="48"/>
      <c r="BO1140" s="48"/>
      <c r="BP1140" s="48"/>
      <c r="BQ1140" s="48"/>
      <c r="BR1140" s="47" t="s">
        <v>2496</v>
      </c>
      <c r="BS1140" s="48"/>
      <c r="BT1140" s="48"/>
      <c r="BU1140" s="228"/>
      <c r="BV1140" s="48"/>
      <c r="BW1140" s="48"/>
      <c r="BX1140" s="48"/>
      <c r="BY1140" s="48"/>
      <c r="BZ1140" s="48"/>
      <c r="CA1140" s="48"/>
      <c r="CB1140" s="48"/>
      <c r="CC1140" s="48"/>
      <c r="CD1140" s="48"/>
      <c r="CE1140" s="48"/>
      <c r="CF1140" s="48"/>
      <c r="CG1140" s="48"/>
      <c r="CH1140" s="48"/>
      <c r="CI1140" s="98"/>
      <c r="CJ1140" s="98"/>
      <c r="CK1140" s="49">
        <f t="shared" si="302"/>
        <v>0.35133872912345804</v>
      </c>
      <c r="CL1140" s="229"/>
      <c r="CM1140" s="229"/>
      <c r="CN1140" s="229"/>
      <c r="CO1140" s="47" t="s">
        <v>2488</v>
      </c>
      <c r="CP1140" s="47" t="s">
        <v>2489</v>
      </c>
      <c r="CQ1140" s="224">
        <v>-2.3464471819131631E-2</v>
      </c>
      <c r="CR1140" s="224">
        <f>10^(CJ1140-CQ1140)</f>
        <v>1.0555151515151515</v>
      </c>
      <c r="CS1140" s="230" t="s">
        <v>539</v>
      </c>
      <c r="CT1140" s="230"/>
      <c r="CU1140" s="230"/>
      <c r="CV1140" s="335">
        <f t="shared" si="306"/>
        <v>16.361383563295291</v>
      </c>
      <c r="CW1140" s="230">
        <f t="shared" si="301"/>
        <v>1</v>
      </c>
      <c r="CX1140" s="336"/>
      <c r="CY1140" s="230" t="s">
        <v>6351</v>
      </c>
    </row>
    <row r="1141" spans="1:103" ht="11.25" customHeight="1" x14ac:dyDescent="0.2">
      <c r="A1141" s="72">
        <v>1139</v>
      </c>
      <c r="B1141" s="224">
        <v>1880</v>
      </c>
      <c r="C1141" s="46" t="s">
        <v>7285</v>
      </c>
      <c r="D1141" s="46"/>
      <c r="E1141" s="114"/>
      <c r="F1141" s="114" t="s">
        <v>5338</v>
      </c>
      <c r="G1141" s="225">
        <v>599791</v>
      </c>
      <c r="H1141" s="47" t="s">
        <v>5339</v>
      </c>
      <c r="I1141" s="47" t="s">
        <v>5339</v>
      </c>
      <c r="J1141" s="47" t="s">
        <v>5340</v>
      </c>
      <c r="K1141" s="47" t="s">
        <v>464</v>
      </c>
      <c r="L1141" s="47" t="s">
        <v>279</v>
      </c>
      <c r="M1141" s="47" t="s">
        <v>5341</v>
      </c>
      <c r="N1141" s="47"/>
      <c r="O1141" s="47" t="s">
        <v>281</v>
      </c>
      <c r="P1141" s="53"/>
      <c r="Q1141" s="53"/>
      <c r="R1141" s="53"/>
      <c r="S1141" s="53"/>
      <c r="T1141" s="48">
        <v>398.39</v>
      </c>
      <c r="U1141" s="98"/>
      <c r="V1141" s="98">
        <v>6.1246517231858229E-3</v>
      </c>
      <c r="W1141" s="98">
        <v>0.21877616239495512</v>
      </c>
      <c r="X1141" s="98">
        <f>IF(W1141=0,V1141,W1141)</f>
        <v>0.21877616239495512</v>
      </c>
      <c r="Y1141" s="233">
        <v>3.68</v>
      </c>
      <c r="Z1141" s="48">
        <v>3.81</v>
      </c>
      <c r="AA1141" s="48"/>
      <c r="AB1141" s="48">
        <v>3.63</v>
      </c>
      <c r="AC1141" s="48">
        <v>0.42109999999999997</v>
      </c>
      <c r="AD1141" s="48">
        <v>3.37</v>
      </c>
      <c r="AE1141" s="48">
        <v>3.18</v>
      </c>
      <c r="AF1141" s="48">
        <f t="shared" si="300"/>
        <v>3.37</v>
      </c>
      <c r="AG1141" s="49">
        <v>2.86</v>
      </c>
      <c r="AH1141" s="98">
        <v>2.1899999999999999E-18</v>
      </c>
      <c r="AI1141" s="98"/>
      <c r="AJ1141" s="483">
        <f t="shared" si="309"/>
        <v>-16.048122211472535</v>
      </c>
      <c r="AK1141" s="483"/>
      <c r="AL1141" s="483">
        <f t="shared" si="308"/>
        <v>-16.048122211472535</v>
      </c>
      <c r="AM1141" s="483">
        <v>-23.564149999999998</v>
      </c>
      <c r="AN1141" s="226">
        <v>-23.1</v>
      </c>
      <c r="AO1141" s="484">
        <v>2.88</v>
      </c>
      <c r="AP1141" s="484">
        <v>0.75</v>
      </c>
      <c r="AQ1141" s="226" t="s">
        <v>6311</v>
      </c>
      <c r="AR1141" s="226" t="s">
        <v>6311</v>
      </c>
      <c r="AS1141" s="224"/>
      <c r="AT1141" s="50" t="s">
        <v>266</v>
      </c>
      <c r="AU1141" s="48">
        <v>6</v>
      </c>
      <c r="AV1141" s="48">
        <v>120</v>
      </c>
      <c r="AW1141" s="48">
        <v>114</v>
      </c>
      <c r="AX1141" s="48">
        <v>28</v>
      </c>
      <c r="AY1141" s="48" t="s">
        <v>8728</v>
      </c>
      <c r="AZ1141" s="48" t="s">
        <v>1563</v>
      </c>
      <c r="BA1141" s="48">
        <v>32</v>
      </c>
      <c r="BB1141" s="47" t="s">
        <v>2485</v>
      </c>
      <c r="BC1141" s="47" t="s">
        <v>8726</v>
      </c>
      <c r="BD1141" s="47" t="s">
        <v>8374</v>
      </c>
      <c r="BE1141" s="48" t="s">
        <v>2449</v>
      </c>
      <c r="BF1141" s="48" t="s">
        <v>272</v>
      </c>
      <c r="BG1141" s="48" t="s">
        <v>272</v>
      </c>
      <c r="BH1141" s="48" t="s">
        <v>2486</v>
      </c>
      <c r="BI1141" s="98">
        <v>6.3999999999999997E-6</v>
      </c>
      <c r="BJ1141" s="98">
        <v>6.4000000000000001E-2</v>
      </c>
      <c r="BK1141" s="48"/>
      <c r="BL1141" s="98">
        <f t="shared" si="307"/>
        <v>1.9455347843946244E-2</v>
      </c>
      <c r="BM1141" s="47" t="s">
        <v>2487</v>
      </c>
      <c r="BN1141" s="48"/>
      <c r="BO1141" s="48"/>
      <c r="BP1141" s="48"/>
      <c r="BQ1141" s="48"/>
      <c r="BR1141" s="47" t="s">
        <v>2496</v>
      </c>
      <c r="BS1141" s="48"/>
      <c r="BT1141" s="48"/>
      <c r="BU1141" s="228"/>
      <c r="BV1141" s="48"/>
      <c r="BW1141" s="48"/>
      <c r="BX1141" s="48"/>
      <c r="BY1141" s="48"/>
      <c r="BZ1141" s="48"/>
      <c r="CA1141" s="48"/>
      <c r="CB1141" s="48"/>
      <c r="CC1141" s="48"/>
      <c r="CD1141" s="48"/>
      <c r="CE1141" s="48"/>
      <c r="CF1141" s="48"/>
      <c r="CG1141" s="48"/>
      <c r="CH1141" s="48"/>
      <c r="CI1141" s="98"/>
      <c r="CJ1141" s="98"/>
      <c r="CK1141" s="49">
        <f t="shared" si="302"/>
        <v>0.30398981006166004</v>
      </c>
      <c r="CL1141" s="229"/>
      <c r="CM1141" s="229"/>
      <c r="CN1141" s="229"/>
      <c r="CO1141" s="47" t="s">
        <v>2488</v>
      </c>
      <c r="CP1141" s="47" t="s">
        <v>2489</v>
      </c>
      <c r="CQ1141" s="224" t="s">
        <v>272</v>
      </c>
      <c r="CR1141" s="224"/>
      <c r="CS1141" s="230" t="s">
        <v>539</v>
      </c>
      <c r="CT1141" s="230"/>
      <c r="CU1141" s="230"/>
      <c r="CV1141" s="335">
        <f t="shared" si="306"/>
        <v>3.4183775374211738</v>
      </c>
      <c r="CW1141" s="230">
        <f t="shared" si="301"/>
        <v>1</v>
      </c>
      <c r="CX1141" s="336"/>
      <c r="CY1141" s="230" t="s">
        <v>5921</v>
      </c>
    </row>
    <row r="1142" spans="1:103" ht="11.25" customHeight="1" x14ac:dyDescent="0.2">
      <c r="A1142" s="72">
        <v>1140</v>
      </c>
      <c r="B1142" s="224">
        <v>934</v>
      </c>
      <c r="C1142" s="46" t="s">
        <v>7286</v>
      </c>
      <c r="D1142" s="46"/>
      <c r="E1142" s="114"/>
      <c r="F1142" s="114" t="s">
        <v>2668</v>
      </c>
      <c r="G1142" s="225">
        <v>602017</v>
      </c>
      <c r="H1142" s="47" t="s">
        <v>2669</v>
      </c>
      <c r="I1142" s="47" t="s">
        <v>8057</v>
      </c>
      <c r="J1142" s="47" t="s">
        <v>2670</v>
      </c>
      <c r="K1142" s="47" t="s">
        <v>1011</v>
      </c>
      <c r="L1142" s="47" t="s">
        <v>5527</v>
      </c>
      <c r="M1142" s="47"/>
      <c r="N1142" s="47"/>
      <c r="O1142" s="47"/>
      <c r="P1142" s="53"/>
      <c r="Q1142" s="53"/>
      <c r="R1142" s="53"/>
      <c r="S1142" s="53"/>
      <c r="T1142" s="48">
        <v>182.13</v>
      </c>
      <c r="U1142" s="98">
        <v>1.4824575852413111</v>
      </c>
      <c r="V1142" s="98">
        <v>1.6674902542140229</v>
      </c>
      <c r="W1142" s="98">
        <v>0.53703179637025245</v>
      </c>
      <c r="X1142" s="98">
        <v>1.4824575852413111</v>
      </c>
      <c r="Y1142" s="233">
        <v>7</v>
      </c>
      <c r="Z1142" s="48">
        <v>2.1800000000000002</v>
      </c>
      <c r="AA1142" s="48"/>
      <c r="AB1142" s="48">
        <v>2.11</v>
      </c>
      <c r="AC1142" s="48">
        <v>0.92930000000000001</v>
      </c>
      <c r="AD1142" s="48">
        <v>2.15</v>
      </c>
      <c r="AE1142" s="48">
        <v>2.2999999999999998</v>
      </c>
      <c r="AF1142" s="48">
        <f t="shared" si="300"/>
        <v>2.15</v>
      </c>
      <c r="AG1142" s="49">
        <v>1.5</v>
      </c>
      <c r="AH1142" s="98">
        <v>9.2599999999999995E-8</v>
      </c>
      <c r="AI1142" s="98"/>
      <c r="AJ1142" s="483">
        <f t="shared" si="309"/>
        <v>-5.4219553396307179</v>
      </c>
      <c r="AK1142" s="483"/>
      <c r="AL1142" s="483">
        <f t="shared" si="308"/>
        <v>-5.4219553396307179</v>
      </c>
      <c r="AM1142" s="483">
        <v>-7.3581599999999998</v>
      </c>
      <c r="AN1142" s="226">
        <v>-4.99</v>
      </c>
      <c r="AO1142" s="484"/>
      <c r="AP1142" s="484"/>
      <c r="AQ1142" s="48" t="s">
        <v>6311</v>
      </c>
      <c r="AR1142" s="48" t="s">
        <v>6311</v>
      </c>
      <c r="AS1142" s="227"/>
      <c r="AT1142" s="50" t="s">
        <v>266</v>
      </c>
      <c r="AU1142" s="48">
        <v>6</v>
      </c>
      <c r="AV1142" s="48">
        <v>120</v>
      </c>
      <c r="AW1142" s="48">
        <v>114</v>
      </c>
      <c r="AX1142" s="48">
        <v>28</v>
      </c>
      <c r="AY1142" s="48" t="s">
        <v>8728</v>
      </c>
      <c r="AZ1142" s="48" t="s">
        <v>1563</v>
      </c>
      <c r="BA1142" s="48">
        <v>32</v>
      </c>
      <c r="BB1142" s="47" t="s">
        <v>2485</v>
      </c>
      <c r="BC1142" s="47" t="s">
        <v>8726</v>
      </c>
      <c r="BD1142" s="47" t="s">
        <v>8374</v>
      </c>
      <c r="BE1142" s="48" t="s">
        <v>2449</v>
      </c>
      <c r="BF1142" s="48" t="s">
        <v>272</v>
      </c>
      <c r="BG1142" s="48" t="s">
        <v>272</v>
      </c>
      <c r="BH1142" s="48" t="s">
        <v>2486</v>
      </c>
      <c r="BI1142" s="98">
        <v>6.3999999999999997E-6</v>
      </c>
      <c r="BJ1142" s="98">
        <v>6.4000000000000001E-2</v>
      </c>
      <c r="BK1142" s="48"/>
      <c r="BL1142" s="98">
        <f t="shared" si="307"/>
        <v>0.56616367286716462</v>
      </c>
      <c r="BM1142" s="47" t="s">
        <v>2487</v>
      </c>
      <c r="BN1142" s="48"/>
      <c r="BO1142" s="48"/>
      <c r="BP1142" s="48"/>
      <c r="BQ1142" s="48"/>
      <c r="BR1142" s="47" t="s">
        <v>2496</v>
      </c>
      <c r="BS1142" s="48"/>
      <c r="BT1142" s="48"/>
      <c r="BU1142" s="228">
        <v>4.5760000000000002E-2</v>
      </c>
      <c r="BV1142" s="48"/>
      <c r="BW1142" s="48"/>
      <c r="BX1142" s="48"/>
      <c r="BY1142" s="48"/>
      <c r="BZ1142" s="48"/>
      <c r="CA1142" s="48"/>
      <c r="CB1142" s="48"/>
      <c r="CC1142" s="48"/>
      <c r="CD1142" s="48"/>
      <c r="CE1142" s="48"/>
      <c r="CF1142" s="48"/>
      <c r="CG1142" s="48"/>
      <c r="CH1142" s="48"/>
      <c r="CI1142" s="52" t="s">
        <v>6347</v>
      </c>
      <c r="CJ1142" s="98"/>
      <c r="CK1142" s="49">
        <f t="shared" si="302"/>
        <v>8.8463073885494463</v>
      </c>
      <c r="CL1142" s="229"/>
      <c r="CM1142" s="229"/>
      <c r="CN1142" s="229"/>
      <c r="CO1142" s="47" t="s">
        <v>2488</v>
      </c>
      <c r="CP1142" s="47" t="s">
        <v>2489</v>
      </c>
      <c r="CQ1142" s="224">
        <v>-2.3743728773261599</v>
      </c>
      <c r="CR1142" s="224">
        <f>10^(CJ1142-CQ1142)</f>
        <v>236.79519052972208</v>
      </c>
      <c r="CS1142" s="230" t="s">
        <v>539</v>
      </c>
      <c r="CT1142" s="230"/>
      <c r="CU1142" s="230"/>
      <c r="CV1142" s="335">
        <f t="shared" si="306"/>
        <v>23.163399769395486</v>
      </c>
      <c r="CW1142" s="230">
        <f t="shared" si="301"/>
        <v>1</v>
      </c>
      <c r="CX1142" s="336"/>
      <c r="CY1142" s="230" t="s">
        <v>5921</v>
      </c>
    </row>
    <row r="1143" spans="1:103" ht="11.25" customHeight="1" x14ac:dyDescent="0.2">
      <c r="A1143" s="72">
        <v>1141</v>
      </c>
      <c r="B1143" s="224">
        <v>1426</v>
      </c>
      <c r="C1143" s="46" t="s">
        <v>7287</v>
      </c>
      <c r="D1143" s="46"/>
      <c r="E1143" s="114"/>
      <c r="F1143" s="114" t="s">
        <v>4387</v>
      </c>
      <c r="G1143" s="225">
        <v>606202</v>
      </c>
      <c r="H1143" s="47" t="s">
        <v>4388</v>
      </c>
      <c r="I1143" s="47" t="s">
        <v>4388</v>
      </c>
      <c r="J1143" s="47" t="s">
        <v>4389</v>
      </c>
      <c r="K1143" s="47" t="s">
        <v>1011</v>
      </c>
      <c r="L1143" s="47"/>
      <c r="M1143" s="47"/>
      <c r="N1143" s="47"/>
      <c r="O1143" s="47"/>
      <c r="P1143" s="53"/>
      <c r="Q1143" s="53" t="s">
        <v>6182</v>
      </c>
      <c r="R1143" s="53" t="s">
        <v>6175</v>
      </c>
      <c r="S1143" s="53" t="s">
        <v>6179</v>
      </c>
      <c r="T1143" s="48">
        <v>182.13</v>
      </c>
      <c r="U1143" s="98"/>
      <c r="V1143" s="98">
        <v>1.934881677922363</v>
      </c>
      <c r="W1143" s="98">
        <v>0.53703179637025245</v>
      </c>
      <c r="X1143" s="98">
        <f>IF(W1143=0,V1143,W1143)</f>
        <v>0.53703179637025245</v>
      </c>
      <c r="Y1143" s="233">
        <v>7</v>
      </c>
      <c r="Z1143" s="48">
        <v>2.1800000000000002</v>
      </c>
      <c r="AA1143" s="48">
        <v>2.1</v>
      </c>
      <c r="AB1143" s="48">
        <v>2.11</v>
      </c>
      <c r="AC1143" s="48">
        <v>0.92930000000000001</v>
      </c>
      <c r="AD1143" s="48">
        <v>2.1</v>
      </c>
      <c r="AE1143" s="48">
        <v>2.08</v>
      </c>
      <c r="AF1143" s="48">
        <f t="shared" si="300"/>
        <v>2.1</v>
      </c>
      <c r="AG1143" s="49">
        <v>1.5</v>
      </c>
      <c r="AH1143" s="98">
        <v>9.2599999999999995E-8</v>
      </c>
      <c r="AI1143" s="98">
        <v>7.4700000000000001E-7</v>
      </c>
      <c r="AJ1143" s="483">
        <f t="shared" si="309"/>
        <v>-5.4219553396307179</v>
      </c>
      <c r="AK1143" s="483">
        <f>LOG10(AI1143*1000/(0.08206*298.15))</f>
        <v>-4.5152457244972526</v>
      </c>
      <c r="AL1143" s="483">
        <f t="shared" si="308"/>
        <v>-4.5152457244972526</v>
      </c>
      <c r="AM1143" s="483">
        <v>-7.3581599999999998</v>
      </c>
      <c r="AN1143" s="226">
        <v>-4.99</v>
      </c>
      <c r="AO1143" s="484"/>
      <c r="AP1143" s="484"/>
      <c r="AQ1143" s="48" t="s">
        <v>6311</v>
      </c>
      <c r="AR1143" s="48" t="s">
        <v>6311</v>
      </c>
      <c r="AS1143" s="227"/>
      <c r="AT1143" s="50" t="s">
        <v>266</v>
      </c>
      <c r="AU1143" s="48">
        <v>6</v>
      </c>
      <c r="AV1143" s="48">
        <v>120</v>
      </c>
      <c r="AW1143" s="48">
        <v>114</v>
      </c>
      <c r="AX1143" s="48">
        <v>28</v>
      </c>
      <c r="AY1143" s="48" t="s">
        <v>8728</v>
      </c>
      <c r="AZ1143" s="48" t="s">
        <v>1563</v>
      </c>
      <c r="BA1143" s="48">
        <v>32</v>
      </c>
      <c r="BB1143" s="47" t="s">
        <v>2485</v>
      </c>
      <c r="BC1143" s="47" t="s">
        <v>8726</v>
      </c>
      <c r="BD1143" s="47" t="s">
        <v>8374</v>
      </c>
      <c r="BE1143" s="48" t="s">
        <v>2449</v>
      </c>
      <c r="BF1143" s="48" t="s">
        <v>272</v>
      </c>
      <c r="BG1143" s="48" t="s">
        <v>272</v>
      </c>
      <c r="BH1143" s="48" t="s">
        <v>2486</v>
      </c>
      <c r="BI1143" s="98">
        <v>6.3999999999999997E-6</v>
      </c>
      <c r="BJ1143" s="98">
        <v>6.4000000000000001E-2</v>
      </c>
      <c r="BK1143" s="48"/>
      <c r="BL1143" s="98">
        <f t="shared" si="307"/>
        <v>0.56616367286716462</v>
      </c>
      <c r="BM1143" s="47" t="s">
        <v>2487</v>
      </c>
      <c r="BN1143" s="48"/>
      <c r="BO1143" s="48"/>
      <c r="BP1143" s="48"/>
      <c r="BQ1143" s="48"/>
      <c r="BR1143" s="47" t="s">
        <v>2496</v>
      </c>
      <c r="BS1143" s="48"/>
      <c r="BT1143" s="48"/>
      <c r="BU1143" s="228"/>
      <c r="BV1143" s="48"/>
      <c r="BW1143" s="48"/>
      <c r="BX1143" s="48"/>
      <c r="BY1143" s="48"/>
      <c r="BZ1143" s="48"/>
      <c r="CA1143" s="48"/>
      <c r="CB1143" s="48"/>
      <c r="CC1143" s="48"/>
      <c r="CD1143" s="48"/>
      <c r="CE1143" s="48"/>
      <c r="CF1143" s="48"/>
      <c r="CG1143" s="48"/>
      <c r="CH1143" s="48"/>
      <c r="CI1143" s="98"/>
      <c r="CJ1143" s="98"/>
      <c r="CK1143" s="49">
        <f t="shared" si="302"/>
        <v>8.8463073885494463</v>
      </c>
      <c r="CL1143" s="229"/>
      <c r="CM1143" s="229"/>
      <c r="CN1143" s="229"/>
      <c r="CO1143" s="47" t="s">
        <v>2488</v>
      </c>
      <c r="CP1143" s="47" t="s">
        <v>2489</v>
      </c>
      <c r="CQ1143" s="224">
        <v>-0.99086854337469499</v>
      </c>
      <c r="CR1143" s="224">
        <f>10^(CJ1143-CQ1143)</f>
        <v>9.7919354838709669</v>
      </c>
      <c r="CS1143" s="230" t="s">
        <v>539</v>
      </c>
      <c r="CT1143" s="230"/>
      <c r="CU1143" s="230"/>
      <c r="CV1143" s="335">
        <f t="shared" si="306"/>
        <v>8.3911218182851943</v>
      </c>
      <c r="CW1143" s="230">
        <f t="shared" si="301"/>
        <v>1</v>
      </c>
      <c r="CX1143" s="336"/>
      <c r="CY1143" s="230" t="s">
        <v>5921</v>
      </c>
    </row>
    <row r="1144" spans="1:103" ht="11.25" customHeight="1" x14ac:dyDescent="0.2">
      <c r="A1144" s="72">
        <v>1142</v>
      </c>
      <c r="B1144" s="224">
        <v>1889</v>
      </c>
      <c r="C1144" s="46" t="s">
        <v>7288</v>
      </c>
      <c r="D1144" s="46"/>
      <c r="E1144" s="114"/>
      <c r="F1144" s="114" t="s">
        <v>5350</v>
      </c>
      <c r="G1144" s="225">
        <v>614459</v>
      </c>
      <c r="H1144" s="47" t="s">
        <v>5351</v>
      </c>
      <c r="I1144" s="47" t="s">
        <v>5351</v>
      </c>
      <c r="J1144" s="47" t="s">
        <v>5352</v>
      </c>
      <c r="K1144" s="47" t="s">
        <v>5353</v>
      </c>
      <c r="L1144" s="47"/>
      <c r="M1144" s="47"/>
      <c r="N1144" s="47"/>
      <c r="O1144" s="47"/>
      <c r="P1144" s="53"/>
      <c r="Q1144" s="53"/>
      <c r="R1144" s="53"/>
      <c r="S1144" s="53"/>
      <c r="T1144" s="48">
        <v>194.23</v>
      </c>
      <c r="U1144" s="98"/>
      <c r="V1144" s="98">
        <v>0.81964681048241772</v>
      </c>
      <c r="W1144" s="98">
        <v>1.0715193052376053</v>
      </c>
      <c r="X1144" s="98">
        <f>IF(W1144=0,V1144,W1144)</f>
        <v>1.0715193052376053</v>
      </c>
      <c r="Y1144" s="233">
        <v>7</v>
      </c>
      <c r="Z1144" s="48">
        <v>2.89</v>
      </c>
      <c r="AA1144" s="48"/>
      <c r="AB1144" s="48">
        <v>3.18</v>
      </c>
      <c r="AC1144" s="48">
        <v>0.62960000000000005</v>
      </c>
      <c r="AD1144" s="48">
        <v>3.24</v>
      </c>
      <c r="AE1144" s="48">
        <v>3.33</v>
      </c>
      <c r="AF1144" s="48">
        <f t="shared" si="300"/>
        <v>3.24</v>
      </c>
      <c r="AG1144" s="49">
        <v>3.1</v>
      </c>
      <c r="AH1144" s="98">
        <v>2.0599999999999999E-4</v>
      </c>
      <c r="AI1144" s="98"/>
      <c r="AJ1144" s="483">
        <f t="shared" si="309"/>
        <v>-2.0746991059434983</v>
      </c>
      <c r="AK1144" s="483"/>
      <c r="AL1144" s="483">
        <f t="shared" si="308"/>
        <v>-2.0746991059434983</v>
      </c>
      <c r="AM1144" s="483">
        <v>-7.0591199999999992</v>
      </c>
      <c r="AN1144" s="226">
        <v>-1.98</v>
      </c>
      <c r="AO1144" s="484"/>
      <c r="AP1144" s="484"/>
      <c r="AQ1144" s="226" t="s">
        <v>6311</v>
      </c>
      <c r="AR1144" s="226" t="s">
        <v>6313</v>
      </c>
      <c r="AS1144" s="224"/>
      <c r="AT1144" s="50" t="s">
        <v>266</v>
      </c>
      <c r="AU1144" s="48">
        <v>6</v>
      </c>
      <c r="AV1144" s="48">
        <v>120</v>
      </c>
      <c r="AW1144" s="48">
        <v>114</v>
      </c>
      <c r="AX1144" s="48">
        <v>28</v>
      </c>
      <c r="AY1144" s="48" t="s">
        <v>8728</v>
      </c>
      <c r="AZ1144" s="48" t="s">
        <v>1563</v>
      </c>
      <c r="BA1144" s="48">
        <v>32</v>
      </c>
      <c r="BB1144" s="47" t="s">
        <v>2485</v>
      </c>
      <c r="BC1144" s="47" t="s">
        <v>8726</v>
      </c>
      <c r="BD1144" s="47" t="s">
        <v>8374</v>
      </c>
      <c r="BE1144" s="48" t="s">
        <v>2449</v>
      </c>
      <c r="BF1144" s="48" t="s">
        <v>272</v>
      </c>
      <c r="BG1144" s="48" t="s">
        <v>272</v>
      </c>
      <c r="BH1144" s="48" t="s">
        <v>2486</v>
      </c>
      <c r="BI1144" s="98">
        <v>6.3999999999999997E-6</v>
      </c>
      <c r="BJ1144" s="98">
        <v>6.4000000000000001E-2</v>
      </c>
      <c r="BK1144" s="48"/>
      <c r="BL1144" s="98">
        <f t="shared" si="307"/>
        <v>0.130404026090681</v>
      </c>
      <c r="BM1144" s="47" t="s">
        <v>2487</v>
      </c>
      <c r="BN1144" s="48"/>
      <c r="BO1144" s="48"/>
      <c r="BP1144" s="48"/>
      <c r="BQ1144" s="48"/>
      <c r="BR1144" s="47" t="s">
        <v>2496</v>
      </c>
      <c r="BS1144" s="48"/>
      <c r="BT1144" s="48"/>
      <c r="BU1144" s="228"/>
      <c r="BV1144" s="48"/>
      <c r="BW1144" s="48"/>
      <c r="BX1144" s="48"/>
      <c r="BY1144" s="48"/>
      <c r="BZ1144" s="48"/>
      <c r="CA1144" s="48"/>
      <c r="CB1144" s="48"/>
      <c r="CC1144" s="48"/>
      <c r="CD1144" s="48"/>
      <c r="CE1144" s="48"/>
      <c r="CF1144" s="48"/>
      <c r="CG1144" s="48"/>
      <c r="CH1144" s="48"/>
      <c r="CI1144" s="98"/>
      <c r="CJ1144" s="98"/>
      <c r="CK1144" s="49">
        <f t="shared" si="302"/>
        <v>2.0375629076668904</v>
      </c>
      <c r="CL1144" s="229"/>
      <c r="CM1144" s="229"/>
      <c r="CN1144" s="229"/>
      <c r="CO1144" s="47" t="s">
        <v>2488</v>
      </c>
      <c r="CP1144" s="47" t="s">
        <v>2489</v>
      </c>
      <c r="CQ1144" s="224" t="s">
        <v>272</v>
      </c>
      <c r="CR1144" s="224"/>
      <c r="CS1144" s="230" t="s">
        <v>539</v>
      </c>
      <c r="CT1144" s="230"/>
      <c r="CU1144" s="230"/>
      <c r="CV1144" s="335">
        <f t="shared" si="306"/>
        <v>16.742489144337583</v>
      </c>
      <c r="CW1144" s="230">
        <f t="shared" si="301"/>
        <v>1</v>
      </c>
      <c r="CX1144" s="336"/>
      <c r="CY1144" s="230" t="s">
        <v>6351</v>
      </c>
    </row>
    <row r="1145" spans="1:103" ht="11.25" customHeight="1" x14ac:dyDescent="0.2">
      <c r="A1145" s="72">
        <v>1143</v>
      </c>
      <c r="B1145" s="224">
        <v>1769</v>
      </c>
      <c r="C1145" s="46" t="s">
        <v>7289</v>
      </c>
      <c r="D1145" s="46"/>
      <c r="E1145" s="114"/>
      <c r="F1145" s="114" t="s">
        <v>5098</v>
      </c>
      <c r="G1145" s="225">
        <v>621647</v>
      </c>
      <c r="H1145" s="47" t="s">
        <v>5099</v>
      </c>
      <c r="I1145" s="47" t="s">
        <v>5099</v>
      </c>
      <c r="J1145" s="47" t="s">
        <v>5100</v>
      </c>
      <c r="K1145" s="47" t="s">
        <v>300</v>
      </c>
      <c r="L1145" s="47"/>
      <c r="M1145" s="47"/>
      <c r="N1145" s="47"/>
      <c r="O1145" s="47"/>
      <c r="P1145" s="53"/>
      <c r="Q1145" s="53"/>
      <c r="R1145" s="53"/>
      <c r="S1145" s="53"/>
      <c r="T1145" s="48">
        <v>130.19</v>
      </c>
      <c r="U1145" s="98">
        <v>99.854059451570777</v>
      </c>
      <c r="V1145" s="98">
        <v>48.613564789922421</v>
      </c>
      <c r="W1145" s="98">
        <v>100</v>
      </c>
      <c r="X1145" s="98">
        <v>99.854059451570777</v>
      </c>
      <c r="Y1145" s="233">
        <v>7</v>
      </c>
      <c r="Z1145" s="48">
        <v>1.33</v>
      </c>
      <c r="AA1145" s="48">
        <v>1.36</v>
      </c>
      <c r="AB1145" s="48">
        <v>1.8</v>
      </c>
      <c r="AC1145" s="48">
        <v>0.79049999999999998</v>
      </c>
      <c r="AD1145" s="48">
        <v>1.7</v>
      </c>
      <c r="AE1145" s="48">
        <v>1.49</v>
      </c>
      <c r="AF1145" s="48">
        <f t="shared" si="300"/>
        <v>1.36</v>
      </c>
      <c r="AG1145" s="49">
        <v>1.43</v>
      </c>
      <c r="AH1145" s="98">
        <v>6.3899999999999998E-6</v>
      </c>
      <c r="AI1145" s="98">
        <v>5.3800000000000002E-6</v>
      </c>
      <c r="AJ1145" s="483">
        <f t="shared" si="309"/>
        <v>-3.5830654681542518</v>
      </c>
      <c r="AK1145" s="483">
        <f>LOG10(AI1145*1000/(0.08206*298.15))</f>
        <v>-3.6577840506462627</v>
      </c>
      <c r="AL1145" s="483">
        <f t="shared" si="308"/>
        <v>-3.6577840506462627</v>
      </c>
      <c r="AM1145" s="483">
        <v>-5.3482500000000002</v>
      </c>
      <c r="AN1145" s="226">
        <v>-4.1500000000000004</v>
      </c>
      <c r="AO1145" s="484"/>
      <c r="AP1145" s="484">
        <v>-3.18</v>
      </c>
      <c r="AQ1145" s="226" t="s">
        <v>6311</v>
      </c>
      <c r="AR1145" s="226" t="s">
        <v>6311</v>
      </c>
      <c r="AS1145" s="224"/>
      <c r="AT1145" s="50" t="s">
        <v>266</v>
      </c>
      <c r="AU1145" s="48">
        <v>6</v>
      </c>
      <c r="AV1145" s="48">
        <v>120</v>
      </c>
      <c r="AW1145" s="48">
        <v>114</v>
      </c>
      <c r="AX1145" s="48">
        <v>28</v>
      </c>
      <c r="AY1145" s="48" t="s">
        <v>8728</v>
      </c>
      <c r="AZ1145" s="48" t="s">
        <v>1563</v>
      </c>
      <c r="BA1145" s="48">
        <v>32</v>
      </c>
      <c r="BB1145" s="47" t="s">
        <v>2485</v>
      </c>
      <c r="BC1145" s="47" t="s">
        <v>8726</v>
      </c>
      <c r="BD1145" s="47" t="s">
        <v>8374</v>
      </c>
      <c r="BE1145" s="48" t="s">
        <v>2449</v>
      </c>
      <c r="BF1145" s="48" t="s">
        <v>272</v>
      </c>
      <c r="BG1145" s="48" t="s">
        <v>272</v>
      </c>
      <c r="BH1145" s="48" t="s">
        <v>2486</v>
      </c>
      <c r="BI1145" s="98">
        <v>6.3999999999999997E-6</v>
      </c>
      <c r="BJ1145" s="98">
        <v>6.4000000000000001E-2</v>
      </c>
      <c r="BK1145" s="48"/>
      <c r="BL1145" s="98">
        <f t="shared" si="307"/>
        <v>3.283424239566886</v>
      </c>
      <c r="BM1145" s="47" t="s">
        <v>2487</v>
      </c>
      <c r="BN1145" s="48"/>
      <c r="BO1145" s="48"/>
      <c r="BP1145" s="48"/>
      <c r="BQ1145" s="48"/>
      <c r="BR1145" s="47" t="s">
        <v>2496</v>
      </c>
      <c r="BS1145" s="48"/>
      <c r="BT1145" s="48"/>
      <c r="BU1145" s="228"/>
      <c r="BV1145" s="48"/>
      <c r="BW1145" s="48"/>
      <c r="BX1145" s="48"/>
      <c r="BY1145" s="48"/>
      <c r="BZ1145" s="48"/>
      <c r="CA1145" s="48"/>
      <c r="CB1145" s="48"/>
      <c r="CC1145" s="48"/>
      <c r="CD1145" s="48"/>
      <c r="CE1145" s="48"/>
      <c r="CF1145" s="48"/>
      <c r="CG1145" s="48"/>
      <c r="CH1145" s="48"/>
      <c r="CI1145" s="98"/>
      <c r="CJ1145" s="98"/>
      <c r="CK1145" s="49">
        <f t="shared" si="302"/>
        <v>51.303503743232589</v>
      </c>
      <c r="CL1145" s="229"/>
      <c r="CM1145" s="229"/>
      <c r="CN1145" s="229"/>
      <c r="CO1145" s="47" t="s">
        <v>2488</v>
      </c>
      <c r="CP1145" s="47" t="s">
        <v>2489</v>
      </c>
      <c r="CQ1145" s="224" t="s">
        <v>272</v>
      </c>
      <c r="CR1145" s="224"/>
      <c r="CS1145" s="230" t="s">
        <v>539</v>
      </c>
      <c r="CT1145" s="230"/>
      <c r="CU1145" s="230"/>
      <c r="CV1145" s="335">
        <f t="shared" si="306"/>
        <v>1560.2196789307934</v>
      </c>
      <c r="CW1145" s="230">
        <f t="shared" si="301"/>
        <v>1</v>
      </c>
      <c r="CX1145" s="336"/>
      <c r="CY1145" s="230" t="s">
        <v>5921</v>
      </c>
    </row>
    <row r="1146" spans="1:103" ht="11.25" customHeight="1" x14ac:dyDescent="0.2">
      <c r="A1146" s="72">
        <v>1144</v>
      </c>
      <c r="B1146" s="224">
        <v>1431</v>
      </c>
      <c r="C1146" s="46" t="s">
        <v>7290</v>
      </c>
      <c r="D1146" s="46"/>
      <c r="E1146" s="114"/>
      <c r="F1146" s="114" t="s">
        <v>4402</v>
      </c>
      <c r="G1146" s="225">
        <v>627189</v>
      </c>
      <c r="H1146" s="47" t="s">
        <v>4403</v>
      </c>
      <c r="I1146" s="47" t="s">
        <v>4403</v>
      </c>
      <c r="J1146" s="47" t="s">
        <v>4404</v>
      </c>
      <c r="K1146" s="47" t="s">
        <v>1808</v>
      </c>
      <c r="L1146" s="47"/>
      <c r="M1146" s="47"/>
      <c r="N1146" s="47"/>
      <c r="O1146" s="47"/>
      <c r="P1146" s="53" t="s">
        <v>6183</v>
      </c>
      <c r="Q1146" s="53" t="s">
        <v>6173</v>
      </c>
      <c r="R1146" s="53" t="s">
        <v>6185</v>
      </c>
      <c r="S1146" s="53" t="s">
        <v>6182</v>
      </c>
      <c r="T1146" s="48">
        <v>138.99</v>
      </c>
      <c r="U1146" s="98">
        <v>1021.6562342614576</v>
      </c>
      <c r="V1146" s="98">
        <v>503.48945967335777</v>
      </c>
      <c r="W1146" s="98">
        <v>851.13803820237638</v>
      </c>
      <c r="X1146" s="98">
        <v>1021.6562342614576</v>
      </c>
      <c r="Y1146" s="233">
        <v>6.96</v>
      </c>
      <c r="Z1146" s="48">
        <v>0.69</v>
      </c>
      <c r="AA1146" s="48"/>
      <c r="AB1146" s="48">
        <v>0.85</v>
      </c>
      <c r="AC1146" s="48">
        <v>0.81310000000000004</v>
      </c>
      <c r="AD1146" s="48">
        <v>0.69</v>
      </c>
      <c r="AE1146" s="48">
        <v>0.34</v>
      </c>
      <c r="AF1146" s="48">
        <f t="shared" si="300"/>
        <v>0.69</v>
      </c>
      <c r="AG1146" s="49">
        <v>0.83</v>
      </c>
      <c r="AH1146" s="98">
        <v>5.4700000000000001E-7</v>
      </c>
      <c r="AI1146" s="98">
        <v>1.29E-7</v>
      </c>
      <c r="AJ1146" s="483">
        <f t="shared" si="309"/>
        <v>-4.6505789999792206</v>
      </c>
      <c r="AK1146" s="483">
        <f>LOG10(AI1146*1000/(0.08206*298.15))</f>
        <v>-5.2779766160134027</v>
      </c>
      <c r="AL1146" s="483">
        <f t="shared" si="308"/>
        <v>-5.2779766160134027</v>
      </c>
      <c r="AM1146" s="483">
        <v>-4.3915100000000002</v>
      </c>
      <c r="AN1146" s="226">
        <v>-5.12</v>
      </c>
      <c r="AO1146" s="484">
        <v>14.65</v>
      </c>
      <c r="AP1146" s="484"/>
      <c r="AQ1146" s="48" t="s">
        <v>6311</v>
      </c>
      <c r="AR1146" s="48" t="s">
        <v>6311</v>
      </c>
      <c r="AS1146" s="227"/>
      <c r="AT1146" s="50" t="s">
        <v>266</v>
      </c>
      <c r="AU1146" s="48">
        <v>6</v>
      </c>
      <c r="AV1146" s="48">
        <v>120</v>
      </c>
      <c r="AW1146" s="48">
        <v>114</v>
      </c>
      <c r="AX1146" s="48">
        <v>28</v>
      </c>
      <c r="AY1146" s="48" t="s">
        <v>8728</v>
      </c>
      <c r="AZ1146" s="48" t="s">
        <v>1563</v>
      </c>
      <c r="BA1146" s="48">
        <v>32</v>
      </c>
      <c r="BB1146" s="47" t="s">
        <v>2485</v>
      </c>
      <c r="BC1146" s="47" t="s">
        <v>8726</v>
      </c>
      <c r="BD1146" s="47" t="s">
        <v>8374</v>
      </c>
      <c r="BE1146" s="48" t="s">
        <v>2449</v>
      </c>
      <c r="BF1146" s="48" t="s">
        <v>272</v>
      </c>
      <c r="BG1146" s="48" t="s">
        <v>272</v>
      </c>
      <c r="BH1146" s="48" t="s">
        <v>2486</v>
      </c>
      <c r="BI1146" s="98">
        <v>6.3999999999999997E-6</v>
      </c>
      <c r="BJ1146" s="98">
        <v>6.4000000000000001E-2</v>
      </c>
      <c r="BK1146" s="48"/>
      <c r="BL1146" s="98">
        <f t="shared" si="307"/>
        <v>12.334200390060218</v>
      </c>
      <c r="BM1146" s="47" t="s">
        <v>2487</v>
      </c>
      <c r="BN1146" s="48"/>
      <c r="BO1146" s="48"/>
      <c r="BP1146" s="48"/>
      <c r="BQ1146" s="48"/>
      <c r="BR1146" s="47" t="s">
        <v>2496</v>
      </c>
      <c r="BS1146" s="48"/>
      <c r="BT1146" s="48"/>
      <c r="BU1146" s="228"/>
      <c r="BV1146" s="48"/>
      <c r="BW1146" s="48"/>
      <c r="BX1146" s="48"/>
      <c r="BY1146" s="48"/>
      <c r="BZ1146" s="48"/>
      <c r="CA1146" s="48"/>
      <c r="CB1146" s="48"/>
      <c r="CC1146" s="48"/>
      <c r="CD1146" s="48"/>
      <c r="CE1146" s="48"/>
      <c r="CF1146" s="48"/>
      <c r="CG1146" s="48"/>
      <c r="CH1146" s="48"/>
      <c r="CI1146" s="98"/>
      <c r="CJ1146" s="98"/>
      <c r="CK1146" s="49">
        <f t="shared" si="302"/>
        <v>192.7218810946909</v>
      </c>
      <c r="CL1146" s="229"/>
      <c r="CM1146" s="229"/>
      <c r="CN1146" s="229"/>
      <c r="CO1146" s="47" t="s">
        <v>2488</v>
      </c>
      <c r="CP1146" s="47" t="s">
        <v>2489</v>
      </c>
      <c r="CQ1146" s="224" t="s">
        <v>272</v>
      </c>
      <c r="CR1146" s="224"/>
      <c r="CS1146" s="230" t="s">
        <v>539</v>
      </c>
      <c r="CT1146" s="230"/>
      <c r="CU1146" s="230"/>
      <c r="CV1146" s="335">
        <f t="shared" si="306"/>
        <v>15963.378660335275</v>
      </c>
      <c r="CW1146" s="230">
        <f t="shared" si="301"/>
        <v>1</v>
      </c>
      <c r="CX1146" s="336"/>
      <c r="CY1146" s="230" t="s">
        <v>5921</v>
      </c>
    </row>
    <row r="1147" spans="1:103" ht="11.25" customHeight="1" x14ac:dyDescent="0.2">
      <c r="A1147" s="72">
        <v>1145</v>
      </c>
      <c r="B1147" s="224">
        <v>1617</v>
      </c>
      <c r="C1147" s="46" t="s">
        <v>7291</v>
      </c>
      <c r="D1147" s="46"/>
      <c r="E1147" s="114"/>
      <c r="F1147" s="114" t="s">
        <v>4793</v>
      </c>
      <c r="G1147" s="225">
        <v>627930</v>
      </c>
      <c r="H1147" s="47" t="s">
        <v>4794</v>
      </c>
      <c r="I1147" s="47" t="s">
        <v>4794</v>
      </c>
      <c r="J1147" s="47" t="s">
        <v>4795</v>
      </c>
      <c r="K1147" s="47" t="s">
        <v>357</v>
      </c>
      <c r="L1147" s="47"/>
      <c r="M1147" s="47"/>
      <c r="N1147" s="47"/>
      <c r="O1147" s="47"/>
      <c r="P1147" s="53"/>
      <c r="Q1147" s="53"/>
      <c r="R1147" s="53"/>
      <c r="S1147" s="53"/>
      <c r="T1147" s="48">
        <v>174.19</v>
      </c>
      <c r="U1147" s="98">
        <v>34.445146104828062</v>
      </c>
      <c r="V1147" s="98">
        <v>44.485906194385443</v>
      </c>
      <c r="W1147" s="98">
        <v>75.857757502918361</v>
      </c>
      <c r="X1147" s="98">
        <v>34.445146104828062</v>
      </c>
      <c r="Y1147" s="233">
        <v>7</v>
      </c>
      <c r="Z1147" s="48">
        <v>1.39</v>
      </c>
      <c r="AA1147" s="48">
        <v>1.03</v>
      </c>
      <c r="AB1147" s="48">
        <v>1.19</v>
      </c>
      <c r="AC1147" s="48">
        <v>0.88660000000000005</v>
      </c>
      <c r="AD1147" s="48">
        <v>1.1599999999999999</v>
      </c>
      <c r="AE1147" s="48">
        <v>1.03</v>
      </c>
      <c r="AF1147" s="48">
        <f t="shared" si="300"/>
        <v>1.03</v>
      </c>
      <c r="AG1147" s="49">
        <v>0.93</v>
      </c>
      <c r="AH1147" s="98">
        <v>9.7699999999999992E-7</v>
      </c>
      <c r="AI1147" s="98">
        <v>2.3099999999999999E-6</v>
      </c>
      <c r="AJ1147" s="483">
        <f t="shared" si="309"/>
        <v>-4.3986717625938789</v>
      </c>
      <c r="AK1147" s="483">
        <f>LOG10(AI1147*1000/(0.08206*298.15))</f>
        <v>-4.0249543464205075</v>
      </c>
      <c r="AL1147" s="483">
        <f t="shared" si="308"/>
        <v>-4.0249543464205075</v>
      </c>
      <c r="AM1147" s="483">
        <v>-5.9673600000000002</v>
      </c>
      <c r="AN1147" s="226">
        <v>-5.64</v>
      </c>
      <c r="AO1147" s="484"/>
      <c r="AP1147" s="484"/>
      <c r="AQ1147" s="48" t="s">
        <v>6311</v>
      </c>
      <c r="AR1147" s="48" t="s">
        <v>6312</v>
      </c>
      <c r="AS1147" s="224"/>
      <c r="AT1147" s="50" t="s">
        <v>266</v>
      </c>
      <c r="AU1147" s="48">
        <v>6</v>
      </c>
      <c r="AV1147" s="48">
        <v>120</v>
      </c>
      <c r="AW1147" s="48">
        <v>114</v>
      </c>
      <c r="AX1147" s="48">
        <v>28</v>
      </c>
      <c r="AY1147" s="48" t="s">
        <v>8728</v>
      </c>
      <c r="AZ1147" s="48" t="s">
        <v>1563</v>
      </c>
      <c r="BA1147" s="48">
        <v>32</v>
      </c>
      <c r="BB1147" s="47" t="s">
        <v>2485</v>
      </c>
      <c r="BC1147" s="47" t="s">
        <v>8726</v>
      </c>
      <c r="BD1147" s="47" t="s">
        <v>8374</v>
      </c>
      <c r="BE1147" s="48" t="s">
        <v>2449</v>
      </c>
      <c r="BF1147" s="48" t="s">
        <v>272</v>
      </c>
      <c r="BG1147" s="48" t="s">
        <v>272</v>
      </c>
      <c r="BH1147" s="48" t="s">
        <v>2486</v>
      </c>
      <c r="BI1147" s="98">
        <v>6.3999999999999997E-6</v>
      </c>
      <c r="BJ1147" s="98">
        <v>6.4000000000000001E-2</v>
      </c>
      <c r="BK1147" s="48"/>
      <c r="BL1147" s="98">
        <f t="shared" si="307"/>
        <v>2.9002871606073235</v>
      </c>
      <c r="BM1147" s="47" t="s">
        <v>2487</v>
      </c>
      <c r="BN1147" s="48"/>
      <c r="BO1147" s="48"/>
      <c r="BP1147" s="48"/>
      <c r="BQ1147" s="48"/>
      <c r="BR1147" s="47" t="s">
        <v>2496</v>
      </c>
      <c r="BS1147" s="48"/>
      <c r="BT1147" s="48"/>
      <c r="BU1147" s="228"/>
      <c r="BV1147" s="48"/>
      <c r="BW1147" s="48"/>
      <c r="BX1147" s="48"/>
      <c r="BY1147" s="48"/>
      <c r="BZ1147" s="48"/>
      <c r="CA1147" s="48"/>
      <c r="CB1147" s="48"/>
      <c r="CC1147" s="48"/>
      <c r="CD1147" s="48"/>
      <c r="CE1147" s="48"/>
      <c r="CF1147" s="48"/>
      <c r="CG1147" s="48"/>
      <c r="CH1147" s="48"/>
      <c r="CI1147" s="98"/>
      <c r="CJ1147" s="98"/>
      <c r="CK1147" s="49">
        <f t="shared" si="302"/>
        <v>45.316986884489431</v>
      </c>
      <c r="CL1147" s="229"/>
      <c r="CM1147" s="229"/>
      <c r="CN1147" s="229"/>
      <c r="CO1147" s="47" t="s">
        <v>2488</v>
      </c>
      <c r="CP1147" s="47" t="s">
        <v>2489</v>
      </c>
      <c r="CQ1147" s="224" t="s">
        <v>272</v>
      </c>
      <c r="CR1147" s="224"/>
      <c r="CS1147" s="230" t="s">
        <v>539</v>
      </c>
      <c r="CT1147" s="230"/>
      <c r="CU1147" s="230"/>
      <c r="CV1147" s="335">
        <f t="shared" si="306"/>
        <v>538.20540788793846</v>
      </c>
      <c r="CW1147" s="230">
        <f t="shared" si="301"/>
        <v>1</v>
      </c>
      <c r="CX1147" s="336"/>
      <c r="CY1147" s="230" t="s">
        <v>6351</v>
      </c>
    </row>
    <row r="1148" spans="1:103" ht="11.25" customHeight="1" x14ac:dyDescent="0.2">
      <c r="A1148" s="72">
        <v>1146</v>
      </c>
      <c r="B1148" s="224">
        <v>1232</v>
      </c>
      <c r="C1148" s="46" t="s">
        <v>7292</v>
      </c>
      <c r="D1148" s="46"/>
      <c r="E1148" s="114"/>
      <c r="F1148" s="114" t="s">
        <v>3394</v>
      </c>
      <c r="G1148" s="225">
        <v>628637</v>
      </c>
      <c r="H1148" s="47" t="s">
        <v>3395</v>
      </c>
      <c r="I1148" s="47" t="s">
        <v>3395</v>
      </c>
      <c r="J1148" s="47" t="s">
        <v>3396</v>
      </c>
      <c r="K1148" s="47" t="s">
        <v>357</v>
      </c>
      <c r="L1148" s="47"/>
      <c r="M1148" s="47"/>
      <c r="N1148" s="47"/>
      <c r="O1148" s="47"/>
      <c r="P1148" s="53"/>
      <c r="Q1148" s="53" t="s">
        <v>6173</v>
      </c>
      <c r="R1148" s="53" t="s">
        <v>6174</v>
      </c>
      <c r="S1148" s="53" t="s">
        <v>6176</v>
      </c>
      <c r="T1148" s="48">
        <v>130.18</v>
      </c>
      <c r="U1148" s="98">
        <v>13.058841603933015</v>
      </c>
      <c r="V1148" s="98">
        <v>7.6570901828237821</v>
      </c>
      <c r="W1148" s="98">
        <v>29.512092266663846</v>
      </c>
      <c r="X1148" s="98">
        <v>13.058841603933015</v>
      </c>
      <c r="Y1148" s="233">
        <v>7</v>
      </c>
      <c r="Z1148" s="48">
        <v>2.34</v>
      </c>
      <c r="AA1148" s="48">
        <v>2.2999999999999998</v>
      </c>
      <c r="AB1148" s="48">
        <v>2.59</v>
      </c>
      <c r="AC1148" s="48">
        <v>0.87290000000000001</v>
      </c>
      <c r="AD1148" s="48">
        <v>2.52</v>
      </c>
      <c r="AE1148" s="48">
        <v>2.2999999999999998</v>
      </c>
      <c r="AF1148" s="48">
        <f t="shared" si="300"/>
        <v>2.2999999999999998</v>
      </c>
      <c r="AG1148" s="49">
        <v>1.82</v>
      </c>
      <c r="AH1148" s="98">
        <v>5.4500000000000002E-4</v>
      </c>
      <c r="AI1148" s="98">
        <v>3.88E-4</v>
      </c>
      <c r="AJ1148" s="483">
        <f t="shared" si="309"/>
        <v>-1.6521698240360094</v>
      </c>
      <c r="AK1148" s="483">
        <f>LOG10(AI1148*1000/(0.08206*298.15))</f>
        <v>-1.7997346007184445</v>
      </c>
      <c r="AL1148" s="483">
        <f t="shared" si="308"/>
        <v>-1.7997346007184445</v>
      </c>
      <c r="AM1148" s="483">
        <v>-2.99579</v>
      </c>
      <c r="AN1148" s="226">
        <v>-1.92</v>
      </c>
      <c r="AO1148" s="484"/>
      <c r="AP1148" s="484"/>
      <c r="AQ1148" s="48" t="s">
        <v>6311</v>
      </c>
      <c r="AR1148" s="48" t="s">
        <v>6312</v>
      </c>
      <c r="AS1148" s="227"/>
      <c r="AT1148" s="50" t="s">
        <v>266</v>
      </c>
      <c r="AU1148" s="48">
        <v>6</v>
      </c>
      <c r="AV1148" s="48">
        <v>120</v>
      </c>
      <c r="AW1148" s="48">
        <v>114</v>
      </c>
      <c r="AX1148" s="48">
        <v>28</v>
      </c>
      <c r="AY1148" s="48" t="s">
        <v>8728</v>
      </c>
      <c r="AZ1148" s="48" t="s">
        <v>1563</v>
      </c>
      <c r="BA1148" s="48">
        <v>32</v>
      </c>
      <c r="BB1148" s="47" t="s">
        <v>2485</v>
      </c>
      <c r="BC1148" s="47" t="s">
        <v>8726</v>
      </c>
      <c r="BD1148" s="47" t="s">
        <v>8374</v>
      </c>
      <c r="BE1148" s="48" t="s">
        <v>2449</v>
      </c>
      <c r="BF1148" s="48" t="s">
        <v>272</v>
      </c>
      <c r="BG1148" s="48" t="s">
        <v>272</v>
      </c>
      <c r="BH1148" s="48" t="s">
        <v>2486</v>
      </c>
      <c r="BI1148" s="98">
        <v>6.3999999999999997E-6</v>
      </c>
      <c r="BJ1148" s="98">
        <v>6.4000000000000001E-2</v>
      </c>
      <c r="BK1148" s="48"/>
      <c r="BL1148" s="98">
        <f t="shared" si="307"/>
        <v>0.40667361848744638</v>
      </c>
      <c r="BM1148" s="47" t="s">
        <v>2487</v>
      </c>
      <c r="BN1148" s="48"/>
      <c r="BO1148" s="48"/>
      <c r="BP1148" s="48"/>
      <c r="BQ1148" s="48"/>
      <c r="BR1148" s="47" t="s">
        <v>2496</v>
      </c>
      <c r="BS1148" s="48"/>
      <c r="BT1148" s="48"/>
      <c r="BU1148" s="228">
        <v>6.3999999999999997E-6</v>
      </c>
      <c r="BV1148" s="48"/>
      <c r="BW1148" s="48"/>
      <c r="BX1148" s="48"/>
      <c r="BY1148" s="48"/>
      <c r="BZ1148" s="48"/>
      <c r="CA1148" s="48"/>
      <c r="CB1148" s="48"/>
      <c r="CC1148" s="48"/>
      <c r="CD1148" s="48"/>
      <c r="CE1148" s="48"/>
      <c r="CF1148" s="48"/>
      <c r="CG1148" s="48"/>
      <c r="CH1148" s="48"/>
      <c r="CI1148" s="98"/>
      <c r="CJ1148" s="98"/>
      <c r="CK1148" s="49">
        <f t="shared" si="302"/>
        <v>6.3542752888663498</v>
      </c>
      <c r="CL1148" s="229"/>
      <c r="CM1148" s="229"/>
      <c r="CN1148" s="229"/>
      <c r="CO1148" s="47" t="s">
        <v>2488</v>
      </c>
      <c r="CP1148" s="47" t="s">
        <v>2489</v>
      </c>
      <c r="CQ1148" s="224" t="s">
        <v>272</v>
      </c>
      <c r="CR1148" s="224"/>
      <c r="CS1148" s="230" t="s">
        <v>539</v>
      </c>
      <c r="CT1148" s="230"/>
      <c r="CU1148" s="230"/>
      <c r="CV1148" s="335">
        <f t="shared" si="306"/>
        <v>204.04440006145336</v>
      </c>
      <c r="CW1148" s="230">
        <f t="shared" si="301"/>
        <v>1</v>
      </c>
      <c r="CX1148" s="336"/>
      <c r="CY1148" s="230" t="s">
        <v>5921</v>
      </c>
    </row>
    <row r="1149" spans="1:103" ht="11.25" customHeight="1" x14ac:dyDescent="0.2">
      <c r="A1149" s="72">
        <v>1147</v>
      </c>
      <c r="B1149" s="224">
        <v>1068</v>
      </c>
      <c r="C1149" s="46" t="s">
        <v>7293</v>
      </c>
      <c r="D1149" s="46"/>
      <c r="E1149" s="114"/>
      <c r="F1149" s="114" t="s">
        <v>3003</v>
      </c>
      <c r="G1149" s="225">
        <v>637070</v>
      </c>
      <c r="H1149" s="47" t="s">
        <v>3004</v>
      </c>
      <c r="I1149" s="47" t="s">
        <v>8058</v>
      </c>
      <c r="J1149" s="47" t="s">
        <v>3005</v>
      </c>
      <c r="K1149" s="47" t="s">
        <v>357</v>
      </c>
      <c r="L1149" s="51" t="s">
        <v>279</v>
      </c>
      <c r="M1149" s="47" t="s">
        <v>3006</v>
      </c>
      <c r="N1149" s="47"/>
      <c r="O1149" s="47" t="s">
        <v>281</v>
      </c>
      <c r="P1149" s="53"/>
      <c r="Q1149" s="53"/>
      <c r="R1149" s="53"/>
      <c r="S1149" s="53"/>
      <c r="T1149" s="48">
        <v>242.7</v>
      </c>
      <c r="U1149" s="98"/>
      <c r="V1149" s="98">
        <v>8.640296662546354E-2</v>
      </c>
      <c r="W1149" s="98">
        <v>0.56234132519034852</v>
      </c>
      <c r="X1149" s="98">
        <f>IF(W1149=0,V1149,W1149)</f>
        <v>0.56234132519034852</v>
      </c>
      <c r="Y1149" s="233">
        <v>7</v>
      </c>
      <c r="Z1149" s="48">
        <v>3.62</v>
      </c>
      <c r="AA1149" s="48"/>
      <c r="AB1149" s="48">
        <v>3.64</v>
      </c>
      <c r="AC1149" s="48">
        <v>0.72640000000000005</v>
      </c>
      <c r="AD1149" s="48">
        <v>3.52</v>
      </c>
      <c r="AE1149" s="48">
        <v>3.32</v>
      </c>
      <c r="AF1149" s="48">
        <f t="shared" si="300"/>
        <v>3.52</v>
      </c>
      <c r="AG1149" s="49">
        <v>3.35</v>
      </c>
      <c r="AH1149" s="98">
        <v>9.3100000000000006E-6</v>
      </c>
      <c r="AI1149" s="98"/>
      <c r="AJ1149" s="483">
        <f t="shared" si="309"/>
        <v>-3.4196166453313093</v>
      </c>
      <c r="AK1149" s="483"/>
      <c r="AL1149" s="483">
        <f t="shared" si="308"/>
        <v>-3.4196166453313093</v>
      </c>
      <c r="AM1149" s="483">
        <v>-7.6575299999999995</v>
      </c>
      <c r="AN1149" s="226">
        <v>-3.48</v>
      </c>
      <c r="AO1149" s="484"/>
      <c r="AP1149" s="484"/>
      <c r="AQ1149" s="48" t="s">
        <v>6311</v>
      </c>
      <c r="AR1149" s="48" t="s">
        <v>6312</v>
      </c>
      <c r="AS1149" s="227"/>
      <c r="AT1149" s="50" t="s">
        <v>266</v>
      </c>
      <c r="AU1149" s="48">
        <v>6</v>
      </c>
      <c r="AV1149" s="48">
        <v>120</v>
      </c>
      <c r="AW1149" s="48">
        <v>114</v>
      </c>
      <c r="AX1149" s="48">
        <v>28</v>
      </c>
      <c r="AY1149" s="48" t="s">
        <v>8728</v>
      </c>
      <c r="AZ1149" s="48" t="s">
        <v>1563</v>
      </c>
      <c r="BA1149" s="48">
        <v>32</v>
      </c>
      <c r="BB1149" s="47" t="s">
        <v>2485</v>
      </c>
      <c r="BC1149" s="47" t="s">
        <v>8726</v>
      </c>
      <c r="BD1149" s="47" t="s">
        <v>8374</v>
      </c>
      <c r="BE1149" s="48" t="s">
        <v>2449</v>
      </c>
      <c r="BF1149" s="48" t="s">
        <v>272</v>
      </c>
      <c r="BG1149" s="48" t="s">
        <v>272</v>
      </c>
      <c r="BH1149" s="48" t="s">
        <v>2486</v>
      </c>
      <c r="BI1149" s="98">
        <v>6.3999999999999997E-6</v>
      </c>
      <c r="BJ1149" s="98">
        <v>6.4000000000000001E-2</v>
      </c>
      <c r="BK1149" s="48"/>
      <c r="BL1149" s="98">
        <f t="shared" si="307"/>
        <v>2.8818939812396395E-2</v>
      </c>
      <c r="BM1149" s="47" t="s">
        <v>2487</v>
      </c>
      <c r="BN1149" s="48"/>
      <c r="BO1149" s="48"/>
      <c r="BP1149" s="48"/>
      <c r="BQ1149" s="48"/>
      <c r="BR1149" s="47" t="s">
        <v>2496</v>
      </c>
      <c r="BS1149" s="48"/>
      <c r="BT1149" s="48"/>
      <c r="BU1149" s="228">
        <v>6.4000000000000001E-2</v>
      </c>
      <c r="BV1149" s="48"/>
      <c r="BW1149" s="48"/>
      <c r="BX1149" s="48"/>
      <c r="BY1149" s="48"/>
      <c r="BZ1149" s="48"/>
      <c r="CA1149" s="48"/>
      <c r="CB1149" s="48"/>
      <c r="CC1149" s="48"/>
      <c r="CD1149" s="48"/>
      <c r="CE1149" s="48"/>
      <c r="CF1149" s="48"/>
      <c r="CG1149" s="48"/>
      <c r="CH1149" s="48"/>
      <c r="CI1149" s="98"/>
      <c r="CJ1149" s="98"/>
      <c r="CK1149" s="49">
        <f t="shared" si="302"/>
        <v>0.45029593456869366</v>
      </c>
      <c r="CL1149" s="229"/>
      <c r="CM1149" s="229"/>
      <c r="CN1149" s="229"/>
      <c r="CO1149" s="47" t="s">
        <v>2488</v>
      </c>
      <c r="CP1149" s="47" t="s">
        <v>2489</v>
      </c>
      <c r="CQ1149" s="224" t="s">
        <v>272</v>
      </c>
      <c r="CR1149" s="224"/>
      <c r="CS1149" s="230" t="s">
        <v>539</v>
      </c>
      <c r="CT1149" s="230"/>
      <c r="CU1149" s="230"/>
      <c r="CV1149" s="335">
        <f t="shared" si="306"/>
        <v>8.7865832060991949</v>
      </c>
      <c r="CW1149" s="230">
        <f t="shared" si="301"/>
        <v>1</v>
      </c>
      <c r="CX1149" s="336"/>
      <c r="CY1149" s="230" t="s">
        <v>5921</v>
      </c>
    </row>
    <row r="1150" spans="1:103" ht="11.25" customHeight="1" x14ac:dyDescent="0.2">
      <c r="A1150" s="72">
        <v>1148</v>
      </c>
      <c r="B1150" s="224">
        <v>968</v>
      </c>
      <c r="C1150" s="46" t="s">
        <v>7294</v>
      </c>
      <c r="D1150" s="46"/>
      <c r="E1150" s="114"/>
      <c r="F1150" s="114" t="s">
        <v>2760</v>
      </c>
      <c r="G1150" s="225">
        <v>647427</v>
      </c>
      <c r="H1150" s="47" t="s">
        <v>2761</v>
      </c>
      <c r="I1150" s="47" t="s">
        <v>2761</v>
      </c>
      <c r="J1150" s="47" t="s">
        <v>2762</v>
      </c>
      <c r="K1150" s="47" t="s">
        <v>426</v>
      </c>
      <c r="L1150" s="47"/>
      <c r="M1150" s="47"/>
      <c r="N1150" s="47"/>
      <c r="O1150" s="47"/>
      <c r="P1150" s="53"/>
      <c r="Q1150" s="53"/>
      <c r="R1150" s="53"/>
      <c r="S1150" s="53"/>
      <c r="T1150" s="48">
        <v>364.1</v>
      </c>
      <c r="U1150" s="98"/>
      <c r="V1150" s="98">
        <v>6.0010985992859098E-3</v>
      </c>
      <c r="W1150" s="98">
        <v>0.24547089156850274</v>
      </c>
      <c r="X1150" s="98">
        <f>IF(W1150=0,V1150,W1150)</f>
        <v>0.24547089156850274</v>
      </c>
      <c r="Y1150" s="233">
        <v>7</v>
      </c>
      <c r="Z1150" s="48">
        <v>4.41</v>
      </c>
      <c r="AA1150" s="48">
        <v>4.54</v>
      </c>
      <c r="AB1150" s="48">
        <v>4.4000000000000004</v>
      </c>
      <c r="AC1150" s="48">
        <v>0.60419999999999996</v>
      </c>
      <c r="AD1150" s="48">
        <v>4.3099999999999996</v>
      </c>
      <c r="AE1150" s="48">
        <v>4.16</v>
      </c>
      <c r="AF1150" s="48">
        <f t="shared" ref="AF1150:AF1174" si="311">IF(AA1150=0,AD1150,AA1150)</f>
        <v>4.54</v>
      </c>
      <c r="AG1150" s="49">
        <v>3.5</v>
      </c>
      <c r="AH1150" s="98">
        <v>0.15</v>
      </c>
      <c r="AI1150" s="98"/>
      <c r="AJ1150" s="483">
        <f t="shared" si="309"/>
        <v>0.78752493274302948</v>
      </c>
      <c r="AK1150" s="483"/>
      <c r="AL1150" s="483">
        <f t="shared" si="308"/>
        <v>0.78752493274302948</v>
      </c>
      <c r="AM1150" s="483">
        <v>-9.1880000000000073E-2</v>
      </c>
      <c r="AN1150" s="226">
        <v>-1.0900000000000001</v>
      </c>
      <c r="AO1150" s="484">
        <v>14.26</v>
      </c>
      <c r="AP1150" s="484"/>
      <c r="AQ1150" s="48" t="s">
        <v>6311</v>
      </c>
      <c r="AR1150" s="48" t="s">
        <v>6311</v>
      </c>
      <c r="AS1150" s="227"/>
      <c r="AT1150" s="50" t="s">
        <v>266</v>
      </c>
      <c r="AU1150" s="48">
        <v>6</v>
      </c>
      <c r="AV1150" s="48">
        <v>120</v>
      </c>
      <c r="AW1150" s="48">
        <v>114</v>
      </c>
      <c r="AX1150" s="48">
        <v>28</v>
      </c>
      <c r="AY1150" s="48" t="s">
        <v>8728</v>
      </c>
      <c r="AZ1150" s="48" t="s">
        <v>1563</v>
      </c>
      <c r="BA1150" s="48">
        <v>32</v>
      </c>
      <c r="BB1150" s="47" t="s">
        <v>2485</v>
      </c>
      <c r="BC1150" s="47" t="s">
        <v>8726</v>
      </c>
      <c r="BD1150" s="47" t="s">
        <v>8374</v>
      </c>
      <c r="BE1150" s="48" t="s">
        <v>2449</v>
      </c>
      <c r="BF1150" s="48" t="s">
        <v>272</v>
      </c>
      <c r="BG1150" s="48" t="s">
        <v>272</v>
      </c>
      <c r="BH1150" s="48" t="s">
        <v>2486</v>
      </c>
      <c r="BI1150" s="98">
        <v>6.3999999999999997E-6</v>
      </c>
      <c r="BJ1150" s="98">
        <v>6.4000000000000001E-2</v>
      </c>
      <c r="BK1150" s="48"/>
      <c r="BL1150" s="98">
        <f t="shared" si="307"/>
        <v>5.6257314909836272E-3</v>
      </c>
      <c r="BM1150" s="47" t="s">
        <v>2487</v>
      </c>
      <c r="BN1150" s="48"/>
      <c r="BO1150" s="48"/>
      <c r="BP1150" s="48"/>
      <c r="BQ1150" s="48"/>
      <c r="BR1150" s="47" t="s">
        <v>2496</v>
      </c>
      <c r="BS1150" s="48"/>
      <c r="BT1150" s="48"/>
      <c r="BU1150" s="228">
        <v>6.4000000000000001E-2</v>
      </c>
      <c r="BV1150" s="48"/>
      <c r="BW1150" s="48"/>
      <c r="BX1150" s="48"/>
      <c r="BY1150" s="48"/>
      <c r="BZ1150" s="48"/>
      <c r="CA1150" s="48"/>
      <c r="CB1150" s="48"/>
      <c r="CC1150" s="48"/>
      <c r="CD1150" s="48"/>
      <c r="CE1150" s="48"/>
      <c r="CF1150" s="48"/>
      <c r="CG1150" s="48"/>
      <c r="CH1150" s="48"/>
      <c r="CI1150" s="98"/>
      <c r="CJ1150" s="98"/>
      <c r="CK1150" s="49">
        <f t="shared" si="302"/>
        <v>8.7902054546619174E-2</v>
      </c>
      <c r="CL1150" s="229"/>
      <c r="CM1150" s="229"/>
      <c r="CN1150" s="229"/>
      <c r="CO1150" s="47" t="s">
        <v>2488</v>
      </c>
      <c r="CP1150" s="47" t="s">
        <v>2489</v>
      </c>
      <c r="CQ1150" s="224" t="s">
        <v>272</v>
      </c>
      <c r="CR1150" s="224"/>
      <c r="CS1150" s="230" t="s">
        <v>539</v>
      </c>
      <c r="CT1150" s="230"/>
      <c r="CU1150" s="230"/>
      <c r="CV1150" s="335">
        <f t="shared" si="306"/>
        <v>3.8354826807578553</v>
      </c>
      <c r="CW1150" s="230">
        <f t="shared" si="301"/>
        <v>1</v>
      </c>
      <c r="CX1150" s="336"/>
      <c r="CY1150" s="230" t="s">
        <v>6351</v>
      </c>
    </row>
    <row r="1151" spans="1:103" ht="11.25" customHeight="1" x14ac:dyDescent="0.2">
      <c r="A1151" s="72">
        <v>1149</v>
      </c>
      <c r="B1151" s="224">
        <v>1871</v>
      </c>
      <c r="C1151" s="46" t="s">
        <v>7295</v>
      </c>
      <c r="D1151" s="46"/>
      <c r="E1151" s="114"/>
      <c r="F1151" s="114" t="s">
        <v>5314</v>
      </c>
      <c r="G1151" s="225">
        <v>650511</v>
      </c>
      <c r="H1151" s="47" t="s">
        <v>448</v>
      </c>
      <c r="I1151" s="47" t="s">
        <v>7996</v>
      </c>
      <c r="J1151" s="47" t="s">
        <v>5315</v>
      </c>
      <c r="K1151" s="47" t="s">
        <v>450</v>
      </c>
      <c r="L1151" s="47"/>
      <c r="M1151" s="47"/>
      <c r="N1151" s="47"/>
      <c r="O1151" s="47"/>
      <c r="P1151" s="53"/>
      <c r="Q1151" s="53"/>
      <c r="R1151" s="53"/>
      <c r="S1151" s="53"/>
      <c r="T1151" s="48">
        <v>163.38999999999999</v>
      </c>
      <c r="U1151" s="98">
        <v>334.16977783218073</v>
      </c>
      <c r="V1151" s="98">
        <v>73.382703959850673</v>
      </c>
      <c r="W1151" s="98">
        <v>331.13112148259103</v>
      </c>
      <c r="X1151" s="98">
        <v>334.16977783218073</v>
      </c>
      <c r="Y1151" s="233">
        <v>0.6</v>
      </c>
      <c r="Z1151" s="48">
        <v>1.44</v>
      </c>
      <c r="AA1151" s="48">
        <v>1.33</v>
      </c>
      <c r="AB1151" s="48">
        <v>1.45</v>
      </c>
      <c r="AC1151" s="48">
        <v>0.74429999999999996</v>
      </c>
      <c r="AD1151" s="48">
        <v>1.52</v>
      </c>
      <c r="AE1151" s="48">
        <v>1.67</v>
      </c>
      <c r="AF1151" s="48">
        <f t="shared" si="311"/>
        <v>1.33</v>
      </c>
      <c r="AG1151" s="49">
        <v>1.52</v>
      </c>
      <c r="AH1151" s="98">
        <v>2.3899999999999999E-8</v>
      </c>
      <c r="AI1151" s="98">
        <v>1.35E-8</v>
      </c>
      <c r="AJ1151" s="483">
        <f t="shared" si="309"/>
        <v>-6.0101684253645145</v>
      </c>
      <c r="AK1151" s="483">
        <f>LOG10(AI1151*1000/(0.08206*298.15))</f>
        <v>-6.2582325578176459</v>
      </c>
      <c r="AL1151" s="483">
        <f t="shared" si="308"/>
        <v>-6.2582325578176459</v>
      </c>
      <c r="AM1151" s="483">
        <v>-7.3551800000000007</v>
      </c>
      <c r="AN1151" s="226">
        <v>-21.7</v>
      </c>
      <c r="AO1151" s="484">
        <v>0.09</v>
      </c>
      <c r="AP1151" s="484"/>
      <c r="AQ1151" s="226" t="s">
        <v>6311</v>
      </c>
      <c r="AR1151" s="226" t="s">
        <v>6311</v>
      </c>
      <c r="AS1151" s="224"/>
      <c r="AT1151" s="50" t="s">
        <v>266</v>
      </c>
      <c r="AU1151" s="48">
        <v>6</v>
      </c>
      <c r="AV1151" s="48">
        <v>120</v>
      </c>
      <c r="AW1151" s="48">
        <v>114</v>
      </c>
      <c r="AX1151" s="48">
        <v>28</v>
      </c>
      <c r="AY1151" s="48" t="s">
        <v>8728</v>
      </c>
      <c r="AZ1151" s="48" t="s">
        <v>1563</v>
      </c>
      <c r="BA1151" s="48">
        <v>32</v>
      </c>
      <c r="BB1151" s="47" t="s">
        <v>2485</v>
      </c>
      <c r="BC1151" s="47" t="s">
        <v>8726</v>
      </c>
      <c r="BD1151" s="47" t="s">
        <v>8374</v>
      </c>
      <c r="BE1151" s="48" t="s">
        <v>2449</v>
      </c>
      <c r="BF1151" s="48" t="s">
        <v>272</v>
      </c>
      <c r="BG1151" s="48" t="s">
        <v>272</v>
      </c>
      <c r="BH1151" s="48" t="s">
        <v>2486</v>
      </c>
      <c r="BI1151" s="98">
        <v>6.3999999999999997E-6</v>
      </c>
      <c r="BJ1151" s="98">
        <v>6.4000000000000001E-2</v>
      </c>
      <c r="BK1151" s="48"/>
      <c r="BL1151" s="98">
        <f t="shared" si="307"/>
        <v>2.6153872366126274</v>
      </c>
      <c r="BM1151" s="47" t="s">
        <v>2487</v>
      </c>
      <c r="BN1151" s="48"/>
      <c r="BO1151" s="48"/>
      <c r="BP1151" s="48"/>
      <c r="BQ1151" s="48"/>
      <c r="BR1151" s="47" t="s">
        <v>2496</v>
      </c>
      <c r="BS1151" s="48"/>
      <c r="BT1151" s="48"/>
      <c r="BU1151" s="228"/>
      <c r="BV1151" s="48"/>
      <c r="BW1151" s="48"/>
      <c r="BX1151" s="48"/>
      <c r="BY1151" s="48"/>
      <c r="BZ1151" s="48"/>
      <c r="CA1151" s="48"/>
      <c r="CB1151" s="48"/>
      <c r="CC1151" s="48"/>
      <c r="CD1151" s="48"/>
      <c r="CE1151" s="48"/>
      <c r="CF1151" s="48"/>
      <c r="CG1151" s="48"/>
      <c r="CH1151" s="48"/>
      <c r="CI1151" s="98"/>
      <c r="CJ1151" s="98"/>
      <c r="CK1151" s="49">
        <f t="shared" si="302"/>
        <v>40.865425572072304</v>
      </c>
      <c r="CL1151" s="229"/>
      <c r="CM1151" s="229"/>
      <c r="CN1151" s="229"/>
      <c r="CO1151" s="47" t="s">
        <v>2488</v>
      </c>
      <c r="CP1151" s="47" t="s">
        <v>2489</v>
      </c>
      <c r="CQ1151" s="224" t="s">
        <v>272</v>
      </c>
      <c r="CR1151" s="224"/>
      <c r="CS1151" s="230" t="s">
        <v>539</v>
      </c>
      <c r="CT1151" s="230"/>
      <c r="CU1151" s="230"/>
      <c r="CV1151" s="335">
        <f t="shared" si="306"/>
        <v>5221.4027786278239</v>
      </c>
      <c r="CW1151" s="230">
        <f t="shared" ref="CW1151:CW1214" si="312">IF(CV1151&lt;1,0,1)</f>
        <v>1</v>
      </c>
      <c r="CX1151" s="336"/>
      <c r="CY1151" s="230" t="s">
        <v>6351</v>
      </c>
    </row>
    <row r="1152" spans="1:103" ht="11.25" customHeight="1" x14ac:dyDescent="0.2">
      <c r="A1152" s="72">
        <v>1150</v>
      </c>
      <c r="B1152" s="224">
        <v>1833</v>
      </c>
      <c r="C1152" s="46" t="s">
        <v>1400</v>
      </c>
      <c r="D1152" s="46"/>
      <c r="E1152" s="114"/>
      <c r="F1152" s="114" t="s">
        <v>1401</v>
      </c>
      <c r="G1152" s="225">
        <v>709988</v>
      </c>
      <c r="H1152" s="47" t="s">
        <v>1402</v>
      </c>
      <c r="I1152" s="47" t="s">
        <v>8059</v>
      </c>
      <c r="J1152" s="47" t="s">
        <v>1403</v>
      </c>
      <c r="K1152" s="47" t="s">
        <v>471</v>
      </c>
      <c r="L1152" s="47" t="s">
        <v>5248</v>
      </c>
      <c r="M1152" s="47" t="s">
        <v>3841</v>
      </c>
      <c r="N1152" s="47" t="s">
        <v>6082</v>
      </c>
      <c r="O1152" s="47" t="s">
        <v>1405</v>
      </c>
      <c r="P1152" s="53"/>
      <c r="Q1152" s="53" t="s">
        <v>6173</v>
      </c>
      <c r="R1152" s="53" t="s">
        <v>6185</v>
      </c>
      <c r="S1152" s="53" t="s">
        <v>6176</v>
      </c>
      <c r="T1152" s="48">
        <v>218.08</v>
      </c>
      <c r="U1152" s="98">
        <v>0.6969919295671313</v>
      </c>
      <c r="V1152" s="98">
        <v>0.38600513573000733</v>
      </c>
      <c r="W1152" s="98">
        <v>0.4168693834703352</v>
      </c>
      <c r="X1152" s="98">
        <v>0.6969919295671313</v>
      </c>
      <c r="Y1152" s="233">
        <v>7</v>
      </c>
      <c r="Z1152" s="48">
        <v>2.88</v>
      </c>
      <c r="AA1152" s="48">
        <v>3.07</v>
      </c>
      <c r="AB1152" s="48">
        <v>3.39</v>
      </c>
      <c r="AC1152" s="48">
        <v>0.89070000000000005</v>
      </c>
      <c r="AD1152" s="48">
        <v>3.34</v>
      </c>
      <c r="AE1152" s="48">
        <v>3.18</v>
      </c>
      <c r="AF1152" s="48">
        <f t="shared" si="311"/>
        <v>3.07</v>
      </c>
      <c r="AG1152" s="49">
        <v>3.05</v>
      </c>
      <c r="AH1152" s="98">
        <v>4.4999999999999998E-9</v>
      </c>
      <c r="AI1152" s="98">
        <v>1.7100000000000001E-9</v>
      </c>
      <c r="AJ1152" s="483">
        <f t="shared" si="309"/>
        <v>-6.7353538125373085</v>
      </c>
      <c r="AK1152" s="483">
        <f>LOG10(AI1152*1000/(0.08206*298.15))</f>
        <v>-7.1555702159204984</v>
      </c>
      <c r="AL1152" s="483">
        <f t="shared" si="308"/>
        <v>-7.1555702159204984</v>
      </c>
      <c r="AM1152" s="483">
        <v>-10.588889999999999</v>
      </c>
      <c r="AN1152" s="226">
        <v>-7.75</v>
      </c>
      <c r="AO1152" s="484">
        <v>13.58</v>
      </c>
      <c r="AP1152" s="484">
        <v>-0.91</v>
      </c>
      <c r="AQ1152" s="226" t="s">
        <v>6311</v>
      </c>
      <c r="AR1152" s="226" t="s">
        <v>6311</v>
      </c>
      <c r="AS1152" s="224"/>
      <c r="AT1152" s="50" t="s">
        <v>266</v>
      </c>
      <c r="AU1152" s="48">
        <v>6</v>
      </c>
      <c r="AV1152" s="48">
        <v>120</v>
      </c>
      <c r="AW1152" s="48">
        <v>114</v>
      </c>
      <c r="AX1152" s="48">
        <v>28</v>
      </c>
      <c r="AY1152" s="48" t="s">
        <v>8728</v>
      </c>
      <c r="AZ1152" s="48" t="s">
        <v>1563</v>
      </c>
      <c r="BA1152" s="48">
        <v>32</v>
      </c>
      <c r="BB1152" s="47" t="s">
        <v>2485</v>
      </c>
      <c r="BC1152" s="47" t="s">
        <v>8726</v>
      </c>
      <c r="BD1152" s="47" t="s">
        <v>8374</v>
      </c>
      <c r="BE1152" s="48" t="s">
        <v>2449</v>
      </c>
      <c r="BF1152" s="48" t="s">
        <v>272</v>
      </c>
      <c r="BG1152" s="48" t="s">
        <v>272</v>
      </c>
      <c r="BH1152" s="48" t="s">
        <v>2486</v>
      </c>
      <c r="BI1152" s="98">
        <v>6.3999999999999997E-6</v>
      </c>
      <c r="BJ1152" s="98">
        <v>6.4000000000000001E-2</v>
      </c>
      <c r="BK1152" s="48"/>
      <c r="BL1152" s="98">
        <f t="shared" si="307"/>
        <v>0.13312879467583441</v>
      </c>
      <c r="BM1152" s="47" t="s">
        <v>2487</v>
      </c>
      <c r="BN1152" s="48"/>
      <c r="BO1152" s="48"/>
      <c r="BP1152" s="48"/>
      <c r="BQ1152" s="48"/>
      <c r="BR1152" s="47" t="s">
        <v>2496</v>
      </c>
      <c r="BS1152" s="48"/>
      <c r="BT1152" s="48"/>
      <c r="BU1152" s="228"/>
      <c r="BV1152" s="48"/>
      <c r="BW1152" s="48"/>
      <c r="BX1152" s="48"/>
      <c r="BY1152" s="48"/>
      <c r="BZ1152" s="48"/>
      <c r="CA1152" s="48"/>
      <c r="CB1152" s="48"/>
      <c r="CC1152" s="48"/>
      <c r="CD1152" s="48"/>
      <c r="CE1152" s="48"/>
      <c r="CF1152" s="48"/>
      <c r="CG1152" s="48"/>
      <c r="CH1152" s="48"/>
      <c r="CI1152" s="98"/>
      <c r="CJ1152" s="98"/>
      <c r="CK1152" s="49">
        <f t="shared" si="302"/>
        <v>2.0801374168099125</v>
      </c>
      <c r="CL1152" s="229"/>
      <c r="CM1152" s="229">
        <v>-1.6041469356578677</v>
      </c>
      <c r="CN1152" s="229">
        <f>BJ1152/(10^CM1152)</f>
        <v>2.5723313438607978</v>
      </c>
      <c r="CO1152" s="47" t="s">
        <v>2488</v>
      </c>
      <c r="CP1152" s="47" t="s">
        <v>2489</v>
      </c>
      <c r="CQ1152" s="224">
        <v>-1.4685362088928104</v>
      </c>
      <c r="CR1152" s="224">
        <f>10^(CJ1152-CQ1152)</f>
        <v>29.412789098797877</v>
      </c>
      <c r="CS1152" s="230" t="s">
        <v>539</v>
      </c>
      <c r="CT1152" s="230"/>
      <c r="CU1152" s="230"/>
      <c r="CV1152" s="335">
        <f t="shared" si="306"/>
        <v>10.890498899486426</v>
      </c>
      <c r="CW1152" s="230">
        <f t="shared" si="312"/>
        <v>1</v>
      </c>
      <c r="CX1152" s="336"/>
      <c r="CY1152" s="230" t="s">
        <v>5921</v>
      </c>
    </row>
    <row r="1153" spans="1:103" ht="11.25" customHeight="1" x14ac:dyDescent="0.2">
      <c r="A1153" s="72">
        <v>1151</v>
      </c>
      <c r="B1153" s="224">
        <v>1571</v>
      </c>
      <c r="C1153" s="46" t="s">
        <v>7296</v>
      </c>
      <c r="D1153" s="46"/>
      <c r="E1153" s="114"/>
      <c r="F1153" s="114" t="s">
        <v>4712</v>
      </c>
      <c r="G1153" s="225">
        <v>712505</v>
      </c>
      <c r="H1153" s="47" t="s">
        <v>4713</v>
      </c>
      <c r="I1153" s="47" t="s">
        <v>4713</v>
      </c>
      <c r="J1153" s="47" t="s">
        <v>4714</v>
      </c>
      <c r="K1153" s="47" t="s">
        <v>426</v>
      </c>
      <c r="L1153" s="47"/>
      <c r="M1153" s="47"/>
      <c r="N1153" s="47"/>
      <c r="O1153" s="47"/>
      <c r="P1153" s="53"/>
      <c r="Q1153" s="53"/>
      <c r="R1153" s="53"/>
      <c r="S1153" s="53"/>
      <c r="T1153" s="48">
        <v>188.27</v>
      </c>
      <c r="U1153" s="98">
        <v>0.75183843705411046</v>
      </c>
      <c r="V1153" s="98">
        <v>0.56689715728240586</v>
      </c>
      <c r="W1153" s="98">
        <v>0.35481338923357514</v>
      </c>
      <c r="X1153" s="98">
        <v>0.75183843705411046</v>
      </c>
      <c r="Y1153" s="233">
        <v>7</v>
      </c>
      <c r="Z1153" s="48">
        <v>3.15</v>
      </c>
      <c r="AA1153" s="48">
        <v>3.18</v>
      </c>
      <c r="AB1153" s="48">
        <v>3.62</v>
      </c>
      <c r="AC1153" s="48">
        <v>0.8367</v>
      </c>
      <c r="AD1153" s="48">
        <v>3.65</v>
      </c>
      <c r="AE1153" s="48">
        <v>3.72</v>
      </c>
      <c r="AF1153" s="48">
        <f t="shared" si="311"/>
        <v>3.18</v>
      </c>
      <c r="AG1153" s="49">
        <v>2.96</v>
      </c>
      <c r="AH1153" s="98">
        <v>1.7799999999999999E-5</v>
      </c>
      <c r="AI1153" s="98"/>
      <c r="AJ1153" s="483">
        <f t="shared" si="309"/>
        <v>-3.1381463240037579</v>
      </c>
      <c r="AK1153" s="483"/>
      <c r="AL1153" s="483">
        <f t="shared" si="308"/>
        <v>-3.1381463240037579</v>
      </c>
      <c r="AM1153" s="483">
        <v>-6.5662599999999998</v>
      </c>
      <c r="AN1153" s="226">
        <v>-3.91</v>
      </c>
      <c r="AO1153" s="484"/>
      <c r="AP1153" s="484"/>
      <c r="AQ1153" s="48" t="s">
        <v>6311</v>
      </c>
      <c r="AR1153" s="48" t="s">
        <v>6311</v>
      </c>
      <c r="AS1153" s="227"/>
      <c r="AT1153" s="50" t="s">
        <v>266</v>
      </c>
      <c r="AU1153" s="48">
        <v>6</v>
      </c>
      <c r="AV1153" s="48">
        <v>120</v>
      </c>
      <c r="AW1153" s="48">
        <v>114</v>
      </c>
      <c r="AX1153" s="48">
        <v>28</v>
      </c>
      <c r="AY1153" s="48" t="s">
        <v>8728</v>
      </c>
      <c r="AZ1153" s="48" t="s">
        <v>1563</v>
      </c>
      <c r="BA1153" s="48">
        <v>32</v>
      </c>
      <c r="BB1153" s="47" t="s">
        <v>2485</v>
      </c>
      <c r="BC1153" s="47" t="s">
        <v>8726</v>
      </c>
      <c r="BD1153" s="47" t="s">
        <v>8374</v>
      </c>
      <c r="BE1153" s="48" t="s">
        <v>2449</v>
      </c>
      <c r="BF1153" s="48" t="s">
        <v>272</v>
      </c>
      <c r="BG1153" s="48" t="s">
        <v>272</v>
      </c>
      <c r="BH1153" s="48" t="s">
        <v>2486</v>
      </c>
      <c r="BI1153" s="98">
        <v>6.3999999999999997E-6</v>
      </c>
      <c r="BJ1153" s="98">
        <v>6.4000000000000001E-2</v>
      </c>
      <c r="BK1153" s="48"/>
      <c r="BL1153" s="98">
        <f t="shared" si="307"/>
        <v>7.6170183176510087E-2</v>
      </c>
      <c r="BM1153" s="47" t="s">
        <v>2487</v>
      </c>
      <c r="BN1153" s="48"/>
      <c r="BO1153" s="48"/>
      <c r="BP1153" s="48"/>
      <c r="BQ1153" s="48"/>
      <c r="BR1153" s="47" t="s">
        <v>2496</v>
      </c>
      <c r="BS1153" s="48"/>
      <c r="BT1153" s="48"/>
      <c r="BU1153" s="228"/>
      <c r="BV1153" s="48"/>
      <c r="BW1153" s="48"/>
      <c r="BX1153" s="48"/>
      <c r="BY1153" s="48"/>
      <c r="BZ1153" s="48"/>
      <c r="CA1153" s="48"/>
      <c r="CB1153" s="48"/>
      <c r="CC1153" s="48"/>
      <c r="CD1153" s="48"/>
      <c r="CE1153" s="48"/>
      <c r="CF1153" s="48"/>
      <c r="CG1153" s="48"/>
      <c r="CH1153" s="48"/>
      <c r="CI1153" s="98"/>
      <c r="CJ1153" s="98"/>
      <c r="CK1153" s="49">
        <f t="shared" si="302"/>
        <v>1.19015911213297</v>
      </c>
      <c r="CL1153" s="229"/>
      <c r="CM1153" s="229"/>
      <c r="CN1153" s="229"/>
      <c r="CO1153" s="47" t="s">
        <v>2488</v>
      </c>
      <c r="CP1153" s="47" t="s">
        <v>2489</v>
      </c>
      <c r="CQ1153" s="224" t="s">
        <v>272</v>
      </c>
      <c r="CR1153" s="224"/>
      <c r="CS1153" s="230" t="s">
        <v>539</v>
      </c>
      <c r="CT1153" s="230"/>
      <c r="CU1153" s="230"/>
      <c r="CV1153" s="335">
        <f t="shared" si="306"/>
        <v>11.747475578970477</v>
      </c>
      <c r="CW1153" s="230">
        <f t="shared" si="312"/>
        <v>1</v>
      </c>
      <c r="CX1153" s="336"/>
      <c r="CY1153" s="230" t="s">
        <v>6351</v>
      </c>
    </row>
    <row r="1154" spans="1:103" ht="11.25" customHeight="1" x14ac:dyDescent="0.2">
      <c r="A1154" s="72">
        <v>1152</v>
      </c>
      <c r="B1154" s="224">
        <v>1819</v>
      </c>
      <c r="C1154" s="46" t="s">
        <v>7297</v>
      </c>
      <c r="D1154" s="46"/>
      <c r="E1154" s="114"/>
      <c r="F1154" s="114" t="s">
        <v>5221</v>
      </c>
      <c r="G1154" s="225">
        <v>732116</v>
      </c>
      <c r="H1154" s="47" t="s">
        <v>5222</v>
      </c>
      <c r="I1154" s="47" t="s">
        <v>8060</v>
      </c>
      <c r="J1154" s="47" t="s">
        <v>5223</v>
      </c>
      <c r="K1154" s="47" t="s">
        <v>5224</v>
      </c>
      <c r="L1154" s="47" t="s">
        <v>617</v>
      </c>
      <c r="M1154" s="47" t="s">
        <v>946</v>
      </c>
      <c r="N1154" s="47" t="s">
        <v>6376</v>
      </c>
      <c r="O1154" s="47" t="s">
        <v>918</v>
      </c>
      <c r="P1154" s="53" t="s">
        <v>6178</v>
      </c>
      <c r="Q1154" s="53" t="s">
        <v>6176</v>
      </c>
      <c r="R1154" s="53" t="s">
        <v>6177</v>
      </c>
      <c r="S1154" s="53" t="s">
        <v>6173</v>
      </c>
      <c r="T1154" s="48">
        <v>317.32</v>
      </c>
      <c r="U1154" s="98">
        <v>7.6893987142316905E-2</v>
      </c>
      <c r="V1154" s="98">
        <v>0.12936467918820119</v>
      </c>
      <c r="W1154" s="98">
        <v>8.9125093813374523E-2</v>
      </c>
      <c r="X1154" s="98">
        <v>7.6893987142316905E-2</v>
      </c>
      <c r="Y1154" s="233">
        <v>7</v>
      </c>
      <c r="Z1154" s="48">
        <v>2.48</v>
      </c>
      <c r="AA1154" s="48">
        <v>2.78</v>
      </c>
      <c r="AB1154" s="48">
        <v>3.17</v>
      </c>
      <c r="AC1154" s="48">
        <v>0.86140000000000005</v>
      </c>
      <c r="AD1154" s="48">
        <v>3.09</v>
      </c>
      <c r="AE1154" s="48">
        <v>2.84</v>
      </c>
      <c r="AF1154" s="48">
        <f t="shared" si="311"/>
        <v>2.78</v>
      </c>
      <c r="AG1154" s="49">
        <v>2.54</v>
      </c>
      <c r="AH1154" s="98">
        <v>9.0200000000000007E-9</v>
      </c>
      <c r="AI1154" s="98">
        <v>8.3799999999999996E-9</v>
      </c>
      <c r="AJ1154" s="483">
        <f t="shared" si="309"/>
        <v>-6.4333597887707104</v>
      </c>
      <c r="AK1154" s="483">
        <f>LOG10(AI1154*1000/(0.08206*298.15))</f>
        <v>-6.4653223076823751</v>
      </c>
      <c r="AL1154" s="483">
        <f t="shared" si="308"/>
        <v>-6.4653223076823751</v>
      </c>
      <c r="AM1154" s="483">
        <v>-16.204470000000001</v>
      </c>
      <c r="AN1154" s="226">
        <v>-6.3</v>
      </c>
      <c r="AO1154" s="484"/>
      <c r="AP1154" s="484">
        <v>-2.63</v>
      </c>
      <c r="AQ1154" s="226" t="s">
        <v>6314</v>
      </c>
      <c r="AR1154" s="226" t="s">
        <v>6314</v>
      </c>
      <c r="AS1154" s="224"/>
      <c r="AT1154" s="50" t="s">
        <v>266</v>
      </c>
      <c r="AU1154" s="48">
        <v>6</v>
      </c>
      <c r="AV1154" s="48">
        <v>120</v>
      </c>
      <c r="AW1154" s="48">
        <v>114</v>
      </c>
      <c r="AX1154" s="48">
        <v>28</v>
      </c>
      <c r="AY1154" s="48" t="s">
        <v>8728</v>
      </c>
      <c r="AZ1154" s="48" t="s">
        <v>1563</v>
      </c>
      <c r="BA1154" s="48">
        <v>32</v>
      </c>
      <c r="BB1154" s="47" t="s">
        <v>2485</v>
      </c>
      <c r="BC1154" s="47" t="s">
        <v>8726</v>
      </c>
      <c r="BD1154" s="47" t="s">
        <v>8374</v>
      </c>
      <c r="BE1154" s="48" t="s">
        <v>2449</v>
      </c>
      <c r="BF1154" s="48" t="s">
        <v>272</v>
      </c>
      <c r="BG1154" s="48" t="s">
        <v>272</v>
      </c>
      <c r="BH1154" s="48" t="s">
        <v>2486</v>
      </c>
      <c r="BI1154" s="98">
        <v>6.3999999999999997E-6</v>
      </c>
      <c r="BJ1154" s="98">
        <v>6.4000000000000001E-2</v>
      </c>
      <c r="BK1154" s="48"/>
      <c r="BL1154" s="98">
        <f t="shared" si="307"/>
        <v>0.30444721107335437</v>
      </c>
      <c r="BM1154" s="47" t="s">
        <v>2487</v>
      </c>
      <c r="BN1154" s="48"/>
      <c r="BO1154" s="48"/>
      <c r="BP1154" s="48"/>
      <c r="BQ1154" s="48"/>
      <c r="BR1154" s="47" t="s">
        <v>2496</v>
      </c>
      <c r="BS1154" s="48"/>
      <c r="BT1154" s="48"/>
      <c r="BU1154" s="228"/>
      <c r="BV1154" s="48"/>
      <c r="BW1154" s="48"/>
      <c r="BX1154" s="48"/>
      <c r="BY1154" s="48"/>
      <c r="BZ1154" s="48"/>
      <c r="CA1154" s="48"/>
      <c r="CB1154" s="48"/>
      <c r="CC1154" s="48"/>
      <c r="CD1154" s="48"/>
      <c r="CE1154" s="48"/>
      <c r="CF1154" s="48"/>
      <c r="CG1154" s="48"/>
      <c r="CH1154" s="48"/>
      <c r="CI1154" s="98"/>
      <c r="CJ1154" s="98"/>
      <c r="CK1154" s="49">
        <f t="shared" si="302"/>
        <v>4.756987673021162</v>
      </c>
      <c r="CL1154" s="229"/>
      <c r="CM1154" s="229"/>
      <c r="CN1154" s="229"/>
      <c r="CO1154" s="47" t="s">
        <v>2488</v>
      </c>
      <c r="CP1154" s="47" t="s">
        <v>2489</v>
      </c>
      <c r="CQ1154" s="224">
        <v>-2.8611744230413834</v>
      </c>
      <c r="CR1154" s="224">
        <f>10^(CJ1154-CQ1154)</f>
        <v>726.39763750685916</v>
      </c>
      <c r="CS1154" s="230" t="s">
        <v>539</v>
      </c>
      <c r="CT1154" s="230"/>
      <c r="CU1154" s="230"/>
      <c r="CV1154" s="335">
        <f t="shared" si="306"/>
        <v>1.2014685490987016</v>
      </c>
      <c r="CW1154" s="230">
        <f t="shared" si="312"/>
        <v>1</v>
      </c>
      <c r="CX1154" s="336"/>
      <c r="CY1154" s="230" t="s">
        <v>5921</v>
      </c>
    </row>
    <row r="1155" spans="1:103" ht="11.25" customHeight="1" x14ac:dyDescent="0.2">
      <c r="A1155" s="72">
        <v>1153</v>
      </c>
      <c r="B1155" s="224">
        <v>1335</v>
      </c>
      <c r="C1155" s="46" t="s">
        <v>7298</v>
      </c>
      <c r="D1155" s="46"/>
      <c r="E1155" s="114"/>
      <c r="F1155" s="114" t="s">
        <v>3697</v>
      </c>
      <c r="G1155" s="225">
        <v>738705</v>
      </c>
      <c r="H1155" s="47" t="s">
        <v>3698</v>
      </c>
      <c r="I1155" s="47" t="s">
        <v>3698</v>
      </c>
      <c r="J1155" s="47" t="s">
        <v>3699</v>
      </c>
      <c r="K1155" s="47" t="s">
        <v>3700</v>
      </c>
      <c r="L1155" s="51" t="s">
        <v>279</v>
      </c>
      <c r="M1155" s="47" t="s">
        <v>3701</v>
      </c>
      <c r="N1155" s="47"/>
      <c r="O1155" s="47" t="s">
        <v>281</v>
      </c>
      <c r="P1155" s="53"/>
      <c r="Q1155" s="53"/>
      <c r="R1155" s="53"/>
      <c r="S1155" s="53"/>
      <c r="T1155" s="48">
        <v>290.32</v>
      </c>
      <c r="U1155" s="98">
        <v>1.3777900248002204</v>
      </c>
      <c r="V1155" s="98">
        <v>8.0394047947092862</v>
      </c>
      <c r="W1155" s="98">
        <v>2.0417379446695292</v>
      </c>
      <c r="X1155" s="98">
        <v>1.3777900248002204</v>
      </c>
      <c r="Y1155" s="233">
        <v>9.11</v>
      </c>
      <c r="Z1155" s="48">
        <v>0.73</v>
      </c>
      <c r="AA1155" s="48">
        <v>0.91</v>
      </c>
      <c r="AB1155" s="48">
        <v>1.22</v>
      </c>
      <c r="AC1155" s="48">
        <v>0.85780000000000001</v>
      </c>
      <c r="AD1155" s="48">
        <v>1.1200000000000001</v>
      </c>
      <c r="AE1155" s="48">
        <v>0.79</v>
      </c>
      <c r="AF1155" s="48">
        <f t="shared" si="311"/>
        <v>0.91</v>
      </c>
      <c r="AG1155" s="49">
        <v>1.18</v>
      </c>
      <c r="AH1155" s="98">
        <v>2.3900000000000001E-14</v>
      </c>
      <c r="AI1155" s="98"/>
      <c r="AJ1155" s="483">
        <f t="shared" si="309"/>
        <v>-12.010168425364514</v>
      </c>
      <c r="AK1155" s="483"/>
      <c r="AL1155" s="483">
        <f t="shared" si="308"/>
        <v>-12.010168425364514</v>
      </c>
      <c r="AM1155" s="483">
        <v>-20.178329999999999</v>
      </c>
      <c r="AN1155" s="226">
        <v>-14.6</v>
      </c>
      <c r="AO1155" s="484"/>
      <c r="AP1155" s="484">
        <v>6.9</v>
      </c>
      <c r="AQ1155" s="48" t="s">
        <v>6311</v>
      </c>
      <c r="AR1155" s="48" t="s">
        <v>6311</v>
      </c>
      <c r="AS1155" s="224" t="s">
        <v>6</v>
      </c>
      <c r="AT1155" s="50" t="s">
        <v>266</v>
      </c>
      <c r="AU1155" s="48">
        <v>0</v>
      </c>
      <c r="AV1155" s="48">
        <v>144</v>
      </c>
      <c r="AW1155" s="48">
        <v>144</v>
      </c>
      <c r="AX1155" s="48">
        <v>25</v>
      </c>
      <c r="AY1155" s="48" t="s">
        <v>8722</v>
      </c>
      <c r="AZ1155" s="48" t="s">
        <v>2175</v>
      </c>
      <c r="BA1155" s="48" t="s">
        <v>8722</v>
      </c>
      <c r="BB1155" s="47" t="s">
        <v>2176</v>
      </c>
      <c r="BC1155" s="47" t="s">
        <v>538</v>
      </c>
      <c r="BD1155" s="47"/>
      <c r="BE1155" s="48" t="s">
        <v>271</v>
      </c>
      <c r="BF1155" s="48" t="s">
        <v>1974</v>
      </c>
      <c r="BG1155" s="48" t="s">
        <v>1974</v>
      </c>
      <c r="BH1155" s="48" t="s">
        <v>2177</v>
      </c>
      <c r="BI1155" s="98" t="s">
        <v>4137</v>
      </c>
      <c r="BJ1155" s="98">
        <f>10/T1155</f>
        <v>3.4444750620005515E-2</v>
      </c>
      <c r="BK1155" s="48" t="s">
        <v>2178</v>
      </c>
      <c r="BL1155" s="98">
        <f t="shared" si="307"/>
        <v>11.354996377342104</v>
      </c>
      <c r="BM1155" s="48" t="s">
        <v>541</v>
      </c>
      <c r="BN1155" s="48"/>
      <c r="BO1155" s="48"/>
      <c r="BP1155" s="48"/>
      <c r="BQ1155" s="48"/>
      <c r="BR1155" s="48"/>
      <c r="BS1155" s="48"/>
      <c r="BT1155" s="48"/>
      <c r="BU1155" s="228"/>
      <c r="BV1155" s="48"/>
      <c r="BW1155" s="48"/>
      <c r="BX1155" s="48"/>
      <c r="BY1155" s="48"/>
      <c r="BZ1155" s="48"/>
      <c r="CA1155" s="48"/>
      <c r="CB1155" s="48"/>
      <c r="CC1155" s="48"/>
      <c r="CD1155" s="48"/>
      <c r="CE1155" s="48"/>
      <c r="CF1155" s="48"/>
      <c r="CG1155" s="48"/>
      <c r="CH1155" s="48"/>
      <c r="CI1155" s="98"/>
      <c r="CJ1155" s="98"/>
      <c r="CK1155" s="49">
        <f t="shared" si="302"/>
        <v>329.65825482699591</v>
      </c>
      <c r="CL1155" s="229"/>
      <c r="CM1155" s="229"/>
      <c r="CN1155" s="229"/>
      <c r="CO1155" s="47"/>
      <c r="CP1155" s="47" t="s">
        <v>2180</v>
      </c>
      <c r="CQ1155" s="224" t="s">
        <v>272</v>
      </c>
      <c r="CR1155" s="224"/>
      <c r="CS1155" s="230" t="s">
        <v>539</v>
      </c>
      <c r="CT1155" s="230" t="s">
        <v>6310</v>
      </c>
      <c r="CU1155" s="230"/>
      <c r="CV1155" s="335">
        <f t="shared" si="306"/>
        <v>39.999999999999993</v>
      </c>
      <c r="CW1155" s="230">
        <f t="shared" si="312"/>
        <v>1</v>
      </c>
      <c r="CX1155" s="336" t="s">
        <v>539</v>
      </c>
      <c r="CY1155" s="230" t="s">
        <v>5921</v>
      </c>
    </row>
    <row r="1156" spans="1:103" ht="11.25" customHeight="1" x14ac:dyDescent="0.2">
      <c r="A1156" s="72">
        <v>1154</v>
      </c>
      <c r="B1156" s="224">
        <v>1515</v>
      </c>
      <c r="C1156" s="46" t="s">
        <v>968</v>
      </c>
      <c r="D1156" s="46"/>
      <c r="E1156" s="114"/>
      <c r="F1156" s="114" t="s">
        <v>969</v>
      </c>
      <c r="G1156" s="225">
        <v>741582</v>
      </c>
      <c r="H1156" s="47" t="s">
        <v>970</v>
      </c>
      <c r="I1156" s="47" t="s">
        <v>970</v>
      </c>
      <c r="J1156" s="47" t="s">
        <v>971</v>
      </c>
      <c r="K1156" s="47" t="s">
        <v>951</v>
      </c>
      <c r="L1156" s="47" t="s">
        <v>5948</v>
      </c>
      <c r="M1156" s="47" t="s">
        <v>946</v>
      </c>
      <c r="N1156" s="47" t="s">
        <v>6376</v>
      </c>
      <c r="O1156" s="47" t="s">
        <v>5947</v>
      </c>
      <c r="P1156" s="53"/>
      <c r="Q1156" s="53"/>
      <c r="R1156" s="53"/>
      <c r="S1156" s="53"/>
      <c r="T1156" s="48">
        <v>397.52</v>
      </c>
      <c r="U1156" s="98">
        <v>6.288991748842826E-2</v>
      </c>
      <c r="V1156" s="98">
        <v>2.0670658080096599E-3</v>
      </c>
      <c r="W1156" s="98">
        <v>1.8197008586099819E-2</v>
      </c>
      <c r="X1156" s="98">
        <v>6.288991748842826E-2</v>
      </c>
      <c r="Y1156" s="233">
        <v>6.98</v>
      </c>
      <c r="Z1156" s="48">
        <v>4.12</v>
      </c>
      <c r="AA1156" s="48">
        <v>4.2</v>
      </c>
      <c r="AB1156" s="48">
        <v>4.09</v>
      </c>
      <c r="AC1156" s="48">
        <v>0.82809999999999995</v>
      </c>
      <c r="AD1156" s="48">
        <v>4.12</v>
      </c>
      <c r="AE1156" s="48">
        <v>4.22</v>
      </c>
      <c r="AF1156" s="48">
        <f t="shared" si="311"/>
        <v>4.2</v>
      </c>
      <c r="AG1156" s="49">
        <v>4</v>
      </c>
      <c r="AH1156" s="98">
        <v>3.2799999999999998E-9</v>
      </c>
      <c r="AI1156" s="98">
        <v>9.1499999999999992E-9</v>
      </c>
      <c r="AJ1156" s="483">
        <f t="shared" si="309"/>
        <v>-6.8726924826009723</v>
      </c>
      <c r="AK1156" s="483">
        <f>LOG10(AI1156*1000/(0.08206*298.15))</f>
        <v>-6.4271452322462039</v>
      </c>
      <c r="AL1156" s="483">
        <f t="shared" si="308"/>
        <v>-6.4271452322462039</v>
      </c>
      <c r="AM1156" s="483">
        <v>-17.95234</v>
      </c>
      <c r="AN1156" s="226">
        <v>-14.8</v>
      </c>
      <c r="AO1156" s="484">
        <v>10.210000000000001</v>
      </c>
      <c r="AP1156" s="484">
        <v>-7.16</v>
      </c>
      <c r="AQ1156" s="48" t="s">
        <v>6313</v>
      </c>
      <c r="AR1156" s="48" t="s">
        <v>6313</v>
      </c>
      <c r="AS1156" s="227"/>
      <c r="AT1156" s="50" t="s">
        <v>266</v>
      </c>
      <c r="AU1156" s="48">
        <v>6</v>
      </c>
      <c r="AV1156" s="48">
        <v>120</v>
      </c>
      <c r="AW1156" s="48">
        <v>114</v>
      </c>
      <c r="AX1156" s="48">
        <v>28</v>
      </c>
      <c r="AY1156" s="48" t="s">
        <v>8728</v>
      </c>
      <c r="AZ1156" s="48" t="s">
        <v>1563</v>
      </c>
      <c r="BA1156" s="48">
        <v>32</v>
      </c>
      <c r="BB1156" s="47" t="s">
        <v>2485</v>
      </c>
      <c r="BC1156" s="47" t="s">
        <v>8726</v>
      </c>
      <c r="BD1156" s="47" t="s">
        <v>8374</v>
      </c>
      <c r="BE1156" s="48" t="s">
        <v>2449</v>
      </c>
      <c r="BF1156" s="48" t="s">
        <v>272</v>
      </c>
      <c r="BG1156" s="48" t="s">
        <v>272</v>
      </c>
      <c r="BH1156" s="48" t="s">
        <v>2486</v>
      </c>
      <c r="BI1156" s="98">
        <v>6.3999999999999997E-6</v>
      </c>
      <c r="BJ1156" s="98">
        <v>6.4000000000000001E-2</v>
      </c>
      <c r="BK1156" s="48"/>
      <c r="BL1156" s="98">
        <f t="shared" si="307"/>
        <v>1.0247737682923289E-2</v>
      </c>
      <c r="BM1156" s="47" t="s">
        <v>2487</v>
      </c>
      <c r="BN1156" s="48"/>
      <c r="BO1156" s="48"/>
      <c r="BP1156" s="48"/>
      <c r="BQ1156" s="48"/>
      <c r="BR1156" s="47" t="s">
        <v>2496</v>
      </c>
      <c r="BS1156" s="48"/>
      <c r="BT1156" s="48"/>
      <c r="BU1156" s="228"/>
      <c r="BV1156" s="48"/>
      <c r="BW1156" s="48"/>
      <c r="BX1156" s="48"/>
      <c r="BY1156" s="48"/>
      <c r="BZ1156" s="48"/>
      <c r="CA1156" s="48"/>
      <c r="CB1156" s="48"/>
      <c r="CC1156" s="48"/>
      <c r="CD1156" s="48"/>
      <c r="CE1156" s="48"/>
      <c r="CF1156" s="48"/>
      <c r="CG1156" s="48"/>
      <c r="CH1156" s="48"/>
      <c r="CI1156" s="98"/>
      <c r="CJ1156" s="98"/>
      <c r="CK1156" s="49">
        <f t="shared" si="302"/>
        <v>0.16012090129567638</v>
      </c>
      <c r="CL1156" s="229"/>
      <c r="CM1156" s="229">
        <v>-2.4976812981155492</v>
      </c>
      <c r="CN1156" s="229">
        <f>BJ1156/(10^CM1156)</f>
        <v>20.130811030218105</v>
      </c>
      <c r="CO1156" s="47" t="s">
        <v>2488</v>
      </c>
      <c r="CP1156" s="47" t="s">
        <v>2489</v>
      </c>
      <c r="CQ1156" s="224">
        <v>-2.481207614274946</v>
      </c>
      <c r="CR1156" s="224">
        <f>10^(CJ1156-CQ1156)</f>
        <v>302.83607885842736</v>
      </c>
      <c r="CS1156" s="230" t="s">
        <v>539</v>
      </c>
      <c r="CT1156" s="230"/>
      <c r="CU1156" s="230"/>
      <c r="CV1156" s="335">
        <f t="shared" si="306"/>
        <v>0.98265496075669156</v>
      </c>
      <c r="CW1156" s="230">
        <f t="shared" si="312"/>
        <v>0</v>
      </c>
      <c r="CX1156" s="336"/>
      <c r="CY1156" s="230" t="s">
        <v>5921</v>
      </c>
    </row>
    <row r="1157" spans="1:103" ht="11.25" customHeight="1" x14ac:dyDescent="0.2">
      <c r="A1157" s="72">
        <v>1155</v>
      </c>
      <c r="B1157" s="224">
        <v>323</v>
      </c>
      <c r="C1157" s="46" t="s">
        <v>7299</v>
      </c>
      <c r="D1157" s="46"/>
      <c r="E1157" s="114"/>
      <c r="F1157" s="114" t="s">
        <v>3843</v>
      </c>
      <c r="G1157" s="225">
        <v>759944</v>
      </c>
      <c r="H1157" s="47" t="s">
        <v>3844</v>
      </c>
      <c r="I1157" s="47" t="s">
        <v>3844</v>
      </c>
      <c r="J1157" s="47" t="s">
        <v>3845</v>
      </c>
      <c r="K1157" s="47" t="s">
        <v>1499</v>
      </c>
      <c r="L1157" s="47" t="s">
        <v>6035</v>
      </c>
      <c r="M1157" s="47" t="s">
        <v>6023</v>
      </c>
      <c r="N1157" s="47" t="s">
        <v>6382</v>
      </c>
      <c r="O1157" s="47" t="s">
        <v>1516</v>
      </c>
      <c r="P1157" s="53"/>
      <c r="Q1157" s="53"/>
      <c r="R1157" s="53"/>
      <c r="S1157" s="53"/>
      <c r="T1157" s="48">
        <v>189.32</v>
      </c>
      <c r="U1157" s="98">
        <v>1.9807732938939362</v>
      </c>
      <c r="V1157" s="98">
        <v>0.47469892245932815</v>
      </c>
      <c r="W1157" s="98">
        <v>1.0471285480508987</v>
      </c>
      <c r="X1157" s="98">
        <v>1.9807732938939362</v>
      </c>
      <c r="Y1157" s="233">
        <v>7</v>
      </c>
      <c r="Z1157" s="48">
        <v>3.02</v>
      </c>
      <c r="AA1157" s="48">
        <v>3.21</v>
      </c>
      <c r="AB1157" s="48">
        <v>3.1</v>
      </c>
      <c r="AC1157" s="48">
        <v>0.80200000000000005</v>
      </c>
      <c r="AD1157" s="48">
        <v>3.19</v>
      </c>
      <c r="AE1157" s="48">
        <v>3.37</v>
      </c>
      <c r="AF1157" s="48">
        <f t="shared" si="311"/>
        <v>3.21</v>
      </c>
      <c r="AG1157" s="49">
        <v>2.52</v>
      </c>
      <c r="AH1157" s="98">
        <v>1.5400000000000002E-5</v>
      </c>
      <c r="AI1157" s="98">
        <v>1.59E-5</v>
      </c>
      <c r="AJ1157" s="483">
        <f t="shared" si="309"/>
        <v>-3.2010456054761889</v>
      </c>
      <c r="AK1157" s="483">
        <f>LOG10(AI1157*1000/(0.08206*298.15))</f>
        <v>-3.1871692019922002</v>
      </c>
      <c r="AL1157" s="483">
        <f t="shared" si="308"/>
        <v>-3.1871692019922002</v>
      </c>
      <c r="AM1157" s="483">
        <v>-7.9285199999999998</v>
      </c>
      <c r="AN1157" s="226">
        <v>-2.96</v>
      </c>
      <c r="AO1157" s="484"/>
      <c r="AP1157" s="484">
        <v>-1.22</v>
      </c>
      <c r="AQ1157" s="226" t="s">
        <v>6311</v>
      </c>
      <c r="AR1157" s="226" t="s">
        <v>6311</v>
      </c>
      <c r="AS1157" s="224" t="s">
        <v>6</v>
      </c>
      <c r="AT1157" s="50" t="s">
        <v>266</v>
      </c>
      <c r="AU1157" s="48">
        <v>8</v>
      </c>
      <c r="AV1157" s="48">
        <v>144</v>
      </c>
      <c r="AW1157" s="48">
        <v>120</v>
      </c>
      <c r="AX1157" s="48">
        <v>26</v>
      </c>
      <c r="AY1157" s="48" t="s">
        <v>267</v>
      </c>
      <c r="AZ1157" s="48" t="s">
        <v>2253</v>
      </c>
      <c r="BA1157" s="48">
        <v>5</v>
      </c>
      <c r="BB1157" s="47" t="s">
        <v>2254</v>
      </c>
      <c r="BC1157" s="47" t="s">
        <v>270</v>
      </c>
      <c r="BD1157" s="47" t="s">
        <v>8374</v>
      </c>
      <c r="BE1157" s="48" t="s">
        <v>1712</v>
      </c>
      <c r="BF1157" s="48" t="s">
        <v>272</v>
      </c>
      <c r="BG1157" s="48" t="s">
        <v>272</v>
      </c>
      <c r="BH1157" s="48" t="s">
        <v>2255</v>
      </c>
      <c r="BI1157" s="98">
        <v>9.9999999999999995E-7</v>
      </c>
      <c r="BJ1157" s="98">
        <v>0.08</v>
      </c>
      <c r="BK1157" s="48"/>
      <c r="BL1157" s="98">
        <f t="shared" si="307"/>
        <v>9.9663928049628772E-2</v>
      </c>
      <c r="BM1157" s="48" t="s">
        <v>891</v>
      </c>
      <c r="BN1157" s="233"/>
      <c r="BO1157" s="233"/>
      <c r="BP1157" s="233"/>
      <c r="BQ1157" s="233"/>
      <c r="BR1157" s="233"/>
      <c r="BS1157" s="48"/>
      <c r="BT1157" s="233"/>
      <c r="BU1157" s="228"/>
      <c r="BV1157" s="233"/>
      <c r="BW1157" s="233"/>
      <c r="BX1157" s="233"/>
      <c r="BY1157" s="233"/>
      <c r="BZ1157" s="233"/>
      <c r="CA1157" s="233"/>
      <c r="CB1157" s="233"/>
      <c r="CC1157" s="48"/>
      <c r="CD1157" s="48"/>
      <c r="CE1157" s="48"/>
      <c r="CF1157" s="48"/>
      <c r="CG1157" s="233"/>
      <c r="CH1157" s="48"/>
      <c r="CI1157" s="98"/>
      <c r="CJ1157" s="98"/>
      <c r="CK1157" s="49">
        <f t="shared" si="302"/>
        <v>1.2457991006203597</v>
      </c>
      <c r="CL1157" s="229"/>
      <c r="CM1157" s="229"/>
      <c r="CN1157" s="229"/>
      <c r="CO1157" s="47" t="s">
        <v>892</v>
      </c>
      <c r="CP1157" s="47" t="s">
        <v>893</v>
      </c>
      <c r="CQ1157" s="224">
        <v>-0.95853929140821381</v>
      </c>
      <c r="CR1157" s="224">
        <f>10^(CJ1157-CQ1157)</f>
        <v>9.0894852956518708</v>
      </c>
      <c r="CS1157" s="230" t="s">
        <v>539</v>
      </c>
      <c r="CT1157" s="230"/>
      <c r="CU1157" s="230"/>
      <c r="CV1157" s="335">
        <f t="shared" si="306"/>
        <v>24.759666173674201</v>
      </c>
      <c r="CW1157" s="230">
        <f t="shared" si="312"/>
        <v>1</v>
      </c>
      <c r="CX1157" s="336" t="s">
        <v>539</v>
      </c>
      <c r="CY1157" s="230" t="s">
        <v>6351</v>
      </c>
    </row>
    <row r="1158" spans="1:103" ht="11.25" customHeight="1" x14ac:dyDescent="0.2">
      <c r="A1158" s="72">
        <v>1156</v>
      </c>
      <c r="B1158" s="224">
        <v>1855</v>
      </c>
      <c r="C1158" s="46" t="s">
        <v>7300</v>
      </c>
      <c r="D1158" s="46"/>
      <c r="E1158" s="114"/>
      <c r="F1158" s="114" t="s">
        <v>3843</v>
      </c>
      <c r="G1158" s="225">
        <v>759944</v>
      </c>
      <c r="H1158" s="47" t="s">
        <v>3844</v>
      </c>
      <c r="I1158" s="47" t="s">
        <v>3844</v>
      </c>
      <c r="J1158" s="47" t="s">
        <v>3845</v>
      </c>
      <c r="K1158" s="47" t="s">
        <v>1499</v>
      </c>
      <c r="L1158" s="47" t="s">
        <v>6035</v>
      </c>
      <c r="M1158" s="47" t="s">
        <v>6023</v>
      </c>
      <c r="N1158" s="47" t="s">
        <v>6382</v>
      </c>
      <c r="O1158" s="47" t="s">
        <v>1516</v>
      </c>
      <c r="P1158" s="53"/>
      <c r="Q1158" s="53"/>
      <c r="R1158" s="53"/>
      <c r="S1158" s="53"/>
      <c r="T1158" s="48">
        <v>189.32</v>
      </c>
      <c r="U1158" s="98">
        <v>1.9807732938939362</v>
      </c>
      <c r="V1158" s="98">
        <v>0.47469892245932815</v>
      </c>
      <c r="W1158" s="98">
        <v>1.0471285480508987</v>
      </c>
      <c r="X1158" s="98">
        <v>1.9807732938939362</v>
      </c>
      <c r="Y1158" s="233">
        <v>7</v>
      </c>
      <c r="Z1158" s="48">
        <v>3.02</v>
      </c>
      <c r="AA1158" s="48">
        <v>3.21</v>
      </c>
      <c r="AB1158" s="48">
        <v>3.1</v>
      </c>
      <c r="AC1158" s="48">
        <v>0.80200000000000005</v>
      </c>
      <c r="AD1158" s="48">
        <v>3.19</v>
      </c>
      <c r="AE1158" s="48">
        <v>3.37</v>
      </c>
      <c r="AF1158" s="48">
        <f t="shared" si="311"/>
        <v>3.21</v>
      </c>
      <c r="AG1158" s="49">
        <v>2.52</v>
      </c>
      <c r="AH1158" s="98">
        <v>1.5400000000000002E-5</v>
      </c>
      <c r="AI1158" s="98">
        <v>1.59E-5</v>
      </c>
      <c r="AJ1158" s="483">
        <f t="shared" si="309"/>
        <v>-3.2010456054761889</v>
      </c>
      <c r="AK1158" s="483">
        <f>LOG10(AI1158*1000/(0.08206*298.15))</f>
        <v>-3.1871692019922002</v>
      </c>
      <c r="AL1158" s="483">
        <f t="shared" si="308"/>
        <v>-3.1871692019922002</v>
      </c>
      <c r="AM1158" s="483">
        <v>-7.9285199999999998</v>
      </c>
      <c r="AN1158" s="226">
        <v>-2.96</v>
      </c>
      <c r="AO1158" s="484"/>
      <c r="AP1158" s="484">
        <v>-1.22</v>
      </c>
      <c r="AQ1158" s="226" t="s">
        <v>6311</v>
      </c>
      <c r="AR1158" s="226" t="s">
        <v>6311</v>
      </c>
      <c r="AS1158" s="224"/>
      <c r="AT1158" s="50" t="s">
        <v>266</v>
      </c>
      <c r="AU1158" s="48">
        <v>6</v>
      </c>
      <c r="AV1158" s="48">
        <v>120</v>
      </c>
      <c r="AW1158" s="48">
        <v>114</v>
      </c>
      <c r="AX1158" s="48">
        <v>28</v>
      </c>
      <c r="AY1158" s="48" t="s">
        <v>8728</v>
      </c>
      <c r="AZ1158" s="48" t="s">
        <v>1563</v>
      </c>
      <c r="BA1158" s="48">
        <v>32</v>
      </c>
      <c r="BB1158" s="47" t="s">
        <v>2485</v>
      </c>
      <c r="BC1158" s="47" t="s">
        <v>8726</v>
      </c>
      <c r="BD1158" s="47" t="s">
        <v>8374</v>
      </c>
      <c r="BE1158" s="48" t="s">
        <v>2449</v>
      </c>
      <c r="BF1158" s="48" t="s">
        <v>272</v>
      </c>
      <c r="BG1158" s="48" t="s">
        <v>272</v>
      </c>
      <c r="BH1158" s="48" t="s">
        <v>2486</v>
      </c>
      <c r="BI1158" s="98">
        <v>6.3999999999999997E-6</v>
      </c>
      <c r="BJ1158" s="98">
        <v>6.4000000000000001E-2</v>
      </c>
      <c r="BK1158" s="48"/>
      <c r="BL1158" s="98">
        <f t="shared" si="307"/>
        <v>9.9663928049628772E-2</v>
      </c>
      <c r="BM1158" s="47" t="s">
        <v>2487</v>
      </c>
      <c r="BN1158" s="48"/>
      <c r="BO1158" s="48"/>
      <c r="BP1158" s="48"/>
      <c r="BQ1158" s="48"/>
      <c r="BR1158" s="47" t="s">
        <v>2496</v>
      </c>
      <c r="BS1158" s="48"/>
      <c r="BT1158" s="48"/>
      <c r="BU1158" s="228"/>
      <c r="BV1158" s="48"/>
      <c r="BW1158" s="48"/>
      <c r="BX1158" s="48"/>
      <c r="BY1158" s="48"/>
      <c r="BZ1158" s="48"/>
      <c r="CA1158" s="48"/>
      <c r="CB1158" s="48"/>
      <c r="CC1158" s="48"/>
      <c r="CD1158" s="48"/>
      <c r="CE1158" s="48"/>
      <c r="CF1158" s="48"/>
      <c r="CG1158" s="48"/>
      <c r="CH1158" s="48"/>
      <c r="CI1158" s="98"/>
      <c r="CJ1158" s="98"/>
      <c r="CK1158" s="49">
        <f t="shared" ref="CK1158:CK1221" si="313">BL1158/BJ1158</f>
        <v>1.5572488757754495</v>
      </c>
      <c r="CL1158" s="229"/>
      <c r="CM1158" s="229"/>
      <c r="CN1158" s="229"/>
      <c r="CO1158" s="47" t="s">
        <v>2488</v>
      </c>
      <c r="CP1158" s="47" t="s">
        <v>2489</v>
      </c>
      <c r="CQ1158" s="224">
        <v>-0.95853929140821381</v>
      </c>
      <c r="CR1158" s="224">
        <f>10^(CJ1158-CQ1158)</f>
        <v>9.0894852956518708</v>
      </c>
      <c r="CS1158" s="230" t="s">
        <v>539</v>
      </c>
      <c r="CT1158" s="230"/>
      <c r="CU1158" s="230"/>
      <c r="CV1158" s="335">
        <f t="shared" si="306"/>
        <v>30.949582717092753</v>
      </c>
      <c r="CW1158" s="230">
        <f t="shared" si="312"/>
        <v>1</v>
      </c>
      <c r="CX1158" s="336"/>
      <c r="CY1158" s="230" t="s">
        <v>6351</v>
      </c>
    </row>
    <row r="1159" spans="1:103" ht="11.25" customHeight="1" x14ac:dyDescent="0.2">
      <c r="A1159" s="72">
        <v>1157</v>
      </c>
      <c r="B1159" s="224">
        <v>1791</v>
      </c>
      <c r="C1159" s="46" t="s">
        <v>7301</v>
      </c>
      <c r="D1159" s="46"/>
      <c r="E1159" s="114"/>
      <c r="F1159" s="114" t="s">
        <v>5152</v>
      </c>
      <c r="G1159" s="225">
        <v>797637</v>
      </c>
      <c r="H1159" s="47" t="s">
        <v>5153</v>
      </c>
      <c r="I1159" s="47" t="s">
        <v>8061</v>
      </c>
      <c r="J1159" s="47" t="s">
        <v>5154</v>
      </c>
      <c r="K1159" s="47" t="s">
        <v>3289</v>
      </c>
      <c r="L1159" s="47"/>
      <c r="M1159" s="47" t="s">
        <v>5155</v>
      </c>
      <c r="N1159" s="47"/>
      <c r="O1159" s="47"/>
      <c r="P1159" s="53"/>
      <c r="Q1159" s="53"/>
      <c r="R1159" s="53"/>
      <c r="S1159" s="53"/>
      <c r="T1159" s="48">
        <v>312.45</v>
      </c>
      <c r="U1159" s="98">
        <v>5.5368859017442791E-3</v>
      </c>
      <c r="V1159" s="98">
        <v>0.11470635301648265</v>
      </c>
      <c r="W1159" s="98">
        <v>2.2908676527677727E-2</v>
      </c>
      <c r="X1159" s="98">
        <v>5.5368859017442791E-3</v>
      </c>
      <c r="Y1159" s="233">
        <v>7</v>
      </c>
      <c r="Z1159" s="48">
        <v>3.48</v>
      </c>
      <c r="AA1159" s="48"/>
      <c r="AB1159" s="48">
        <v>3.18</v>
      </c>
      <c r="AC1159" s="48">
        <v>0.93330000000000002</v>
      </c>
      <c r="AD1159" s="48">
        <v>3.32</v>
      </c>
      <c r="AE1159" s="48">
        <v>3.92</v>
      </c>
      <c r="AF1159" s="48">
        <f t="shared" si="311"/>
        <v>3.32</v>
      </c>
      <c r="AG1159" s="49">
        <v>3.56</v>
      </c>
      <c r="AH1159" s="98">
        <v>7.7000000000000003E-10</v>
      </c>
      <c r="AI1159" s="98"/>
      <c r="AJ1159" s="483">
        <f t="shared" si="309"/>
        <v>-7.5020756011401701</v>
      </c>
      <c r="AK1159" s="483"/>
      <c r="AL1159" s="483">
        <f t="shared" si="308"/>
        <v>-7.5020756011401701</v>
      </c>
      <c r="AM1159" s="483">
        <v>-16.20392</v>
      </c>
      <c r="AN1159" s="226">
        <v>-8.4499999999999993</v>
      </c>
      <c r="AO1159" s="484">
        <v>13.09</v>
      </c>
      <c r="AP1159" s="484"/>
      <c r="AQ1159" s="226" t="s">
        <v>6311</v>
      </c>
      <c r="AR1159" s="226" t="s">
        <v>6311</v>
      </c>
      <c r="AS1159" s="224"/>
      <c r="AT1159" s="50" t="s">
        <v>266</v>
      </c>
      <c r="AU1159" s="48">
        <v>6</v>
      </c>
      <c r="AV1159" s="48">
        <v>120</v>
      </c>
      <c r="AW1159" s="48">
        <v>114</v>
      </c>
      <c r="AX1159" s="48">
        <v>28</v>
      </c>
      <c r="AY1159" s="48" t="s">
        <v>8728</v>
      </c>
      <c r="AZ1159" s="48" t="s">
        <v>1563</v>
      </c>
      <c r="BA1159" s="48">
        <v>32</v>
      </c>
      <c r="BB1159" s="47" t="s">
        <v>2485</v>
      </c>
      <c r="BC1159" s="47" t="s">
        <v>8726</v>
      </c>
      <c r="BD1159" s="47" t="s">
        <v>8374</v>
      </c>
      <c r="BE1159" s="48" t="s">
        <v>2449</v>
      </c>
      <c r="BF1159" s="48" t="s">
        <v>272</v>
      </c>
      <c r="BG1159" s="48" t="s">
        <v>272</v>
      </c>
      <c r="BH1159" s="48" t="s">
        <v>2486</v>
      </c>
      <c r="BI1159" s="98">
        <v>6.3999999999999997E-6</v>
      </c>
      <c r="BJ1159" s="98">
        <v>6.4000000000000001E-2</v>
      </c>
      <c r="BK1159" s="48"/>
      <c r="BL1159" s="98">
        <f t="shared" si="307"/>
        <v>3.8495680394507972E-2</v>
      </c>
      <c r="BM1159" s="47" t="s">
        <v>2487</v>
      </c>
      <c r="BN1159" s="48"/>
      <c r="BO1159" s="48"/>
      <c r="BP1159" s="48"/>
      <c r="BQ1159" s="48"/>
      <c r="BR1159" s="47" t="s">
        <v>2496</v>
      </c>
      <c r="BS1159" s="48"/>
      <c r="BT1159" s="48"/>
      <c r="BU1159" s="228"/>
      <c r="BV1159" s="48"/>
      <c r="BW1159" s="48"/>
      <c r="BX1159" s="48"/>
      <c r="BY1159" s="48"/>
      <c r="BZ1159" s="48"/>
      <c r="CA1159" s="48"/>
      <c r="CB1159" s="48"/>
      <c r="CC1159" s="48"/>
      <c r="CD1159" s="48"/>
      <c r="CE1159" s="48"/>
      <c r="CF1159" s="48"/>
      <c r="CG1159" s="48"/>
      <c r="CH1159" s="48"/>
      <c r="CI1159" s="98"/>
      <c r="CJ1159" s="98"/>
      <c r="CK1159" s="49">
        <f t="shared" si="313"/>
        <v>0.60149500616418705</v>
      </c>
      <c r="CL1159" s="229"/>
      <c r="CM1159" s="229"/>
      <c r="CN1159" s="229"/>
      <c r="CO1159" s="47" t="s">
        <v>2488</v>
      </c>
      <c r="CP1159" s="47" t="s">
        <v>2489</v>
      </c>
      <c r="CQ1159" s="224" t="s">
        <v>272</v>
      </c>
      <c r="CR1159" s="224"/>
      <c r="CS1159" s="230" t="s">
        <v>539</v>
      </c>
      <c r="CT1159" s="230"/>
      <c r="CU1159" s="230"/>
      <c r="CV1159" s="335">
        <f t="shared" si="306"/>
        <v>8.6513842214754361E-2</v>
      </c>
      <c r="CW1159" s="230">
        <f t="shared" si="312"/>
        <v>0</v>
      </c>
      <c r="CX1159" s="336"/>
      <c r="CY1159" s="230" t="s">
        <v>5921</v>
      </c>
    </row>
    <row r="1160" spans="1:103" ht="11.25" customHeight="1" x14ac:dyDescent="0.2">
      <c r="A1160" s="72">
        <v>1158</v>
      </c>
      <c r="B1160" s="224">
        <v>1381</v>
      </c>
      <c r="C1160" s="46" t="s">
        <v>7302</v>
      </c>
      <c r="D1160" s="46"/>
      <c r="E1160" s="114"/>
      <c r="F1160" s="114" t="s">
        <v>4258</v>
      </c>
      <c r="G1160" s="225">
        <v>822060</v>
      </c>
      <c r="H1160" s="47" t="s">
        <v>4259</v>
      </c>
      <c r="I1160" s="47" t="s">
        <v>4259</v>
      </c>
      <c r="J1160" s="47" t="s">
        <v>4260</v>
      </c>
      <c r="K1160" s="47" t="s">
        <v>426</v>
      </c>
      <c r="L1160" s="47"/>
      <c r="M1160" s="47"/>
      <c r="N1160" s="47"/>
      <c r="O1160" s="47"/>
      <c r="P1160" s="53"/>
      <c r="Q1160" s="53"/>
      <c r="R1160" s="53"/>
      <c r="S1160" s="53"/>
      <c r="T1160" s="48">
        <v>168.19</v>
      </c>
      <c r="U1160" s="98"/>
      <c r="V1160" s="98">
        <v>0.69564183364052556</v>
      </c>
      <c r="W1160" s="98">
        <v>3.1622776601683764</v>
      </c>
      <c r="X1160" s="98">
        <f>IF(W1160=0,V1160,W1160)</f>
        <v>3.1622776601683764</v>
      </c>
      <c r="Y1160" s="233">
        <v>7</v>
      </c>
      <c r="Z1160" s="48">
        <v>3.2</v>
      </c>
      <c r="AA1160" s="48"/>
      <c r="AB1160" s="48">
        <v>2.17</v>
      </c>
      <c r="AC1160" s="48">
        <v>5.96E-2</v>
      </c>
      <c r="AD1160" s="48">
        <v>2.9</v>
      </c>
      <c r="AE1160" s="48">
        <v>3.03</v>
      </c>
      <c r="AF1160" s="48">
        <f t="shared" si="311"/>
        <v>2.9</v>
      </c>
      <c r="AG1160" s="49">
        <v>1.49</v>
      </c>
      <c r="AH1160" s="98">
        <v>4.8000000000000001E-5</v>
      </c>
      <c r="AI1160" s="98"/>
      <c r="AJ1160" s="483">
        <f t="shared" si="309"/>
        <v>-2.7073250889370648</v>
      </c>
      <c r="AK1160" s="483"/>
      <c r="AL1160" s="483">
        <f t="shared" si="308"/>
        <v>-2.7073250889370648</v>
      </c>
      <c r="AM1160" s="483">
        <v>-7.45688</v>
      </c>
      <c r="AN1160" s="226">
        <v>-11.6</v>
      </c>
      <c r="AO1160" s="484"/>
      <c r="AP1160" s="484"/>
      <c r="AQ1160" s="48" t="s">
        <v>6311</v>
      </c>
      <c r="AR1160" s="48" t="s">
        <v>6311</v>
      </c>
      <c r="AS1160" s="227"/>
      <c r="AT1160" s="50" t="s">
        <v>266</v>
      </c>
      <c r="AU1160" s="48">
        <v>6</v>
      </c>
      <c r="AV1160" s="48">
        <v>120</v>
      </c>
      <c r="AW1160" s="48">
        <v>114</v>
      </c>
      <c r="AX1160" s="48">
        <v>28</v>
      </c>
      <c r="AY1160" s="48" t="s">
        <v>8728</v>
      </c>
      <c r="AZ1160" s="48" t="s">
        <v>1563</v>
      </c>
      <c r="BA1160" s="48">
        <v>32</v>
      </c>
      <c r="BB1160" s="47" t="s">
        <v>2485</v>
      </c>
      <c r="BC1160" s="47" t="s">
        <v>8726</v>
      </c>
      <c r="BD1160" s="47" t="s">
        <v>8374</v>
      </c>
      <c r="BE1160" s="48" t="s">
        <v>2449</v>
      </c>
      <c r="BF1160" s="48" t="s">
        <v>272</v>
      </c>
      <c r="BG1160" s="48" t="s">
        <v>272</v>
      </c>
      <c r="BH1160" s="48" t="s">
        <v>2486</v>
      </c>
      <c r="BI1160" s="98">
        <v>6.3999999999999997E-6</v>
      </c>
      <c r="BJ1160" s="98">
        <v>6.4000000000000001E-2</v>
      </c>
      <c r="BK1160" s="48"/>
      <c r="BL1160" s="98">
        <f t="shared" si="307"/>
        <v>6.8687862221399679E-2</v>
      </c>
      <c r="BM1160" s="47" t="s">
        <v>2487</v>
      </c>
      <c r="BN1160" s="48"/>
      <c r="BO1160" s="48"/>
      <c r="BP1160" s="48"/>
      <c r="BQ1160" s="48"/>
      <c r="BR1160" s="47" t="s">
        <v>2496</v>
      </c>
      <c r="BS1160" s="48"/>
      <c r="BT1160" s="48"/>
      <c r="BU1160" s="228"/>
      <c r="BV1160" s="48"/>
      <c r="BW1160" s="48"/>
      <c r="BX1160" s="48"/>
      <c r="BY1160" s="48"/>
      <c r="BZ1160" s="48"/>
      <c r="CA1160" s="48"/>
      <c r="CB1160" s="48"/>
      <c r="CC1160" s="48"/>
      <c r="CD1160" s="48"/>
      <c r="CE1160" s="48"/>
      <c r="CF1160" s="48"/>
      <c r="CG1160" s="48"/>
      <c r="CH1160" s="48"/>
      <c r="CI1160" s="98"/>
      <c r="CJ1160" s="98"/>
      <c r="CK1160" s="49">
        <f t="shared" si="313"/>
        <v>1.0732478472093701</v>
      </c>
      <c r="CL1160" s="229"/>
      <c r="CM1160" s="229"/>
      <c r="CN1160" s="229"/>
      <c r="CO1160" s="47" t="s">
        <v>2488</v>
      </c>
      <c r="CP1160" s="47" t="s">
        <v>2489</v>
      </c>
      <c r="CQ1160" s="224" t="s">
        <v>272</v>
      </c>
      <c r="CR1160" s="224"/>
      <c r="CS1160" s="230" t="s">
        <v>539</v>
      </c>
      <c r="CT1160" s="230"/>
      <c r="CU1160" s="230"/>
      <c r="CV1160" s="335">
        <f t="shared" si="306"/>
        <v>49.41058844013088</v>
      </c>
      <c r="CW1160" s="230">
        <f t="shared" si="312"/>
        <v>1</v>
      </c>
      <c r="CX1160" s="336"/>
      <c r="CY1160" s="230" t="s">
        <v>6351</v>
      </c>
    </row>
    <row r="1161" spans="1:103" ht="11.25" customHeight="1" x14ac:dyDescent="0.2">
      <c r="A1161" s="72">
        <v>1159</v>
      </c>
      <c r="B1161" s="224">
        <v>1861</v>
      </c>
      <c r="C1161" s="46" t="s">
        <v>7303</v>
      </c>
      <c r="D1161" s="46"/>
      <c r="E1161" s="114"/>
      <c r="F1161" s="114" t="s">
        <v>5289</v>
      </c>
      <c r="G1161" s="225">
        <v>824782</v>
      </c>
      <c r="H1161" s="47" t="s">
        <v>5290</v>
      </c>
      <c r="I1161" s="47" t="s">
        <v>8062</v>
      </c>
      <c r="J1161" s="47" t="s">
        <v>5291</v>
      </c>
      <c r="K1161" s="47" t="s">
        <v>349</v>
      </c>
      <c r="L1161" s="47"/>
      <c r="M1161" s="47"/>
      <c r="N1161" s="47"/>
      <c r="O1161" s="47"/>
      <c r="P1161" s="53"/>
      <c r="Q1161" s="53"/>
      <c r="R1161" s="53"/>
      <c r="S1161" s="53"/>
      <c r="T1161" s="48">
        <v>139.11000000000001</v>
      </c>
      <c r="U1161" s="98">
        <v>83.387247501976844</v>
      </c>
      <c r="V1161" s="98">
        <v>53.964488534253462</v>
      </c>
      <c r="W1161" s="98">
        <v>26.915348039269141</v>
      </c>
      <c r="X1161" s="98">
        <v>83.387247501976844</v>
      </c>
      <c r="Y1161" s="233">
        <v>4.4000000000000004</v>
      </c>
      <c r="Z1161" s="48">
        <v>1.91</v>
      </c>
      <c r="AA1161" s="48">
        <v>1.91</v>
      </c>
      <c r="AB1161" s="48">
        <v>1.74</v>
      </c>
      <c r="AC1161" s="48">
        <v>0.92979999999999996</v>
      </c>
      <c r="AD1161" s="48">
        <v>1.71</v>
      </c>
      <c r="AE1161" s="48">
        <v>1.57</v>
      </c>
      <c r="AF1161" s="48">
        <f t="shared" si="311"/>
        <v>1.91</v>
      </c>
      <c r="AG1161" s="49">
        <v>1.71</v>
      </c>
      <c r="AH1161" s="98">
        <v>2.21E-9</v>
      </c>
      <c r="AI1161" s="98">
        <v>4.1500000000000001E-10</v>
      </c>
      <c r="AJ1161" s="483">
        <f t="shared" si="309"/>
        <v>-7.0441740526275414</v>
      </c>
      <c r="AK1161" s="483">
        <f>LOG10(AI1161*1000/(0.08206*298.15))</f>
        <v>-7.770518229600559</v>
      </c>
      <c r="AL1161" s="483">
        <f t="shared" si="308"/>
        <v>-7.770518229600559</v>
      </c>
      <c r="AM1161" s="483">
        <v>-9.7192299999999996</v>
      </c>
      <c r="AN1161" s="226"/>
      <c r="AO1161" s="484">
        <v>7.23</v>
      </c>
      <c r="AP1161" s="484"/>
      <c r="AQ1161" s="226" t="s">
        <v>6311</v>
      </c>
      <c r="AR1161" s="226" t="s">
        <v>6311</v>
      </c>
      <c r="AS1161" s="224"/>
      <c r="AT1161" s="50" t="s">
        <v>266</v>
      </c>
      <c r="AU1161" s="48">
        <v>6</v>
      </c>
      <c r="AV1161" s="48">
        <v>120</v>
      </c>
      <c r="AW1161" s="48">
        <v>114</v>
      </c>
      <c r="AX1161" s="48">
        <v>28</v>
      </c>
      <c r="AY1161" s="48" t="s">
        <v>8728</v>
      </c>
      <c r="AZ1161" s="48" t="s">
        <v>1563</v>
      </c>
      <c r="BA1161" s="48">
        <v>32</v>
      </c>
      <c r="BB1161" s="47" t="s">
        <v>2485</v>
      </c>
      <c r="BC1161" s="47" t="s">
        <v>8726</v>
      </c>
      <c r="BD1161" s="47" t="s">
        <v>8374</v>
      </c>
      <c r="BE1161" s="48" t="s">
        <v>2449</v>
      </c>
      <c r="BF1161" s="48" t="s">
        <v>272</v>
      </c>
      <c r="BG1161" s="48" t="s">
        <v>272</v>
      </c>
      <c r="BH1161" s="48" t="s">
        <v>2486</v>
      </c>
      <c r="BI1161" s="98">
        <v>6.3999999999999997E-6</v>
      </c>
      <c r="BJ1161" s="98">
        <v>6.4000000000000001E-2</v>
      </c>
      <c r="BK1161" s="48"/>
      <c r="BL1161" s="98">
        <f t="shared" si="307"/>
        <v>0.98953007876306398</v>
      </c>
      <c r="BM1161" s="47" t="s">
        <v>2487</v>
      </c>
      <c r="BN1161" s="48"/>
      <c r="BO1161" s="48"/>
      <c r="BP1161" s="48"/>
      <c r="BQ1161" s="48"/>
      <c r="BR1161" s="47" t="s">
        <v>2496</v>
      </c>
      <c r="BS1161" s="48"/>
      <c r="BT1161" s="48"/>
      <c r="BU1161" s="228"/>
      <c r="BV1161" s="48"/>
      <c r="BW1161" s="48"/>
      <c r="BX1161" s="48"/>
      <c r="BY1161" s="48"/>
      <c r="BZ1161" s="48"/>
      <c r="CA1161" s="48"/>
      <c r="CB1161" s="48"/>
      <c r="CC1161" s="48"/>
      <c r="CD1161" s="48"/>
      <c r="CE1161" s="48"/>
      <c r="CF1161" s="48"/>
      <c r="CG1161" s="48"/>
      <c r="CH1161" s="48"/>
      <c r="CI1161" s="98"/>
      <c r="CJ1161" s="98"/>
      <c r="CK1161" s="49">
        <f t="shared" si="313"/>
        <v>15.461407480672875</v>
      </c>
      <c r="CL1161" s="229"/>
      <c r="CM1161" s="229"/>
      <c r="CN1161" s="229"/>
      <c r="CO1161" s="47" t="s">
        <v>2488</v>
      </c>
      <c r="CP1161" s="47" t="s">
        <v>2489</v>
      </c>
      <c r="CQ1161" s="224" t="s">
        <v>272</v>
      </c>
      <c r="CR1161" s="224"/>
      <c r="CS1161" s="230" t="s">
        <v>539</v>
      </c>
      <c r="CT1161" s="230"/>
      <c r="CU1161" s="230"/>
      <c r="CV1161" s="335">
        <f t="shared" si="306"/>
        <v>1302.9257422183882</v>
      </c>
      <c r="CW1161" s="230">
        <f t="shared" si="312"/>
        <v>1</v>
      </c>
      <c r="CX1161" s="336"/>
      <c r="CY1161" s="230" t="s">
        <v>5921</v>
      </c>
    </row>
    <row r="1162" spans="1:103" ht="11.25" customHeight="1" x14ac:dyDescent="0.2">
      <c r="A1162" s="72">
        <v>1160</v>
      </c>
      <c r="B1162" s="224">
        <v>1616</v>
      </c>
      <c r="C1162" s="46" t="s">
        <v>7304</v>
      </c>
      <c r="D1162" s="46"/>
      <c r="E1162" s="114"/>
      <c r="F1162" s="114" t="s">
        <v>4790</v>
      </c>
      <c r="G1162" s="225">
        <v>828002</v>
      </c>
      <c r="H1162" s="47" t="s">
        <v>4791</v>
      </c>
      <c r="I1162" s="47" t="s">
        <v>4791</v>
      </c>
      <c r="J1162" s="47" t="s">
        <v>4792</v>
      </c>
      <c r="K1162" s="47" t="s">
        <v>357</v>
      </c>
      <c r="L1162" s="47"/>
      <c r="M1162" s="47"/>
      <c r="N1162" s="47"/>
      <c r="O1162" s="47"/>
      <c r="P1162" s="53"/>
      <c r="Q1162" s="53"/>
      <c r="R1162" s="53"/>
      <c r="S1162" s="53"/>
      <c r="T1162" s="48">
        <v>174.19</v>
      </c>
      <c r="U1162" s="98">
        <v>5740.85768413801</v>
      </c>
      <c r="V1162" s="98">
        <v>129.62856650783627</v>
      </c>
      <c r="W1162" s="98">
        <v>213.79620895022313</v>
      </c>
      <c r="X1162" s="98">
        <v>5740.85768413801</v>
      </c>
      <c r="Y1162" s="233">
        <v>7</v>
      </c>
      <c r="Z1162" s="48">
        <v>0.49</v>
      </c>
      <c r="AA1162" s="48"/>
      <c r="AB1162" s="48">
        <v>0.76</v>
      </c>
      <c r="AC1162" s="48">
        <v>0.76339999999999997</v>
      </c>
      <c r="AD1162" s="48">
        <v>0.73</v>
      </c>
      <c r="AE1162" s="48">
        <v>0.67</v>
      </c>
      <c r="AF1162" s="48">
        <f t="shared" si="311"/>
        <v>0.73</v>
      </c>
      <c r="AG1162" s="49">
        <v>0.91</v>
      </c>
      <c r="AH1162" s="98">
        <v>1.24E-7</v>
      </c>
      <c r="AI1162" s="98"/>
      <c r="AJ1162" s="483">
        <f t="shared" si="309"/>
        <v>-5.2951446411504168</v>
      </c>
      <c r="AK1162" s="483"/>
      <c r="AL1162" s="483">
        <f t="shared" si="308"/>
        <v>-5.2951446411504168</v>
      </c>
      <c r="AM1162" s="483">
        <v>-6.8290799999999994</v>
      </c>
      <c r="AN1162" s="226">
        <v>-4.76</v>
      </c>
      <c r="AO1162" s="484"/>
      <c r="AP1162" s="484"/>
      <c r="AQ1162" s="48" t="s">
        <v>6311</v>
      </c>
      <c r="AR1162" s="48" t="s">
        <v>6314</v>
      </c>
      <c r="AS1162" s="224"/>
      <c r="AT1162" s="50" t="s">
        <v>266</v>
      </c>
      <c r="AU1162" s="48">
        <v>6</v>
      </c>
      <c r="AV1162" s="48">
        <v>120</v>
      </c>
      <c r="AW1162" s="48">
        <v>114</v>
      </c>
      <c r="AX1162" s="48">
        <v>28</v>
      </c>
      <c r="AY1162" s="48" t="s">
        <v>8728</v>
      </c>
      <c r="AZ1162" s="48" t="s">
        <v>1563</v>
      </c>
      <c r="BA1162" s="48">
        <v>32</v>
      </c>
      <c r="BB1162" s="47" t="s">
        <v>2485</v>
      </c>
      <c r="BC1162" s="47" t="s">
        <v>8726</v>
      </c>
      <c r="BD1162" s="47" t="s">
        <v>8374</v>
      </c>
      <c r="BE1162" s="48" t="s">
        <v>2449</v>
      </c>
      <c r="BF1162" s="48" t="s">
        <v>272</v>
      </c>
      <c r="BG1162" s="48" t="s">
        <v>272</v>
      </c>
      <c r="BH1162" s="48" t="s">
        <v>2486</v>
      </c>
      <c r="BI1162" s="98">
        <v>6.3999999999999997E-6</v>
      </c>
      <c r="BJ1162" s="98">
        <v>6.4000000000000001E-2</v>
      </c>
      <c r="BK1162" s="48"/>
      <c r="BL1162" s="98">
        <f t="shared" si="307"/>
        <v>18.65224021803132</v>
      </c>
      <c r="BM1162" s="47" t="s">
        <v>2487</v>
      </c>
      <c r="BN1162" s="48"/>
      <c r="BO1162" s="48"/>
      <c r="BP1162" s="48"/>
      <c r="BQ1162" s="48"/>
      <c r="BR1162" s="47" t="s">
        <v>2496</v>
      </c>
      <c r="BS1162" s="48"/>
      <c r="BT1162" s="48"/>
      <c r="BU1162" s="228"/>
      <c r="BV1162" s="48"/>
      <c r="BW1162" s="48"/>
      <c r="BX1162" s="48"/>
      <c r="BY1162" s="48"/>
      <c r="BZ1162" s="48"/>
      <c r="CA1162" s="48"/>
      <c r="CB1162" s="48"/>
      <c r="CC1162" s="48"/>
      <c r="CD1162" s="48"/>
      <c r="CE1162" s="48"/>
      <c r="CF1162" s="48"/>
      <c r="CG1162" s="48"/>
      <c r="CH1162" s="48"/>
      <c r="CI1162" s="98"/>
      <c r="CJ1162" s="98"/>
      <c r="CK1162" s="49">
        <f t="shared" si="313"/>
        <v>291.44125340673935</v>
      </c>
      <c r="CL1162" s="229"/>
      <c r="CM1162" s="229"/>
      <c r="CN1162" s="229"/>
      <c r="CO1162" s="47" t="s">
        <v>2488</v>
      </c>
      <c r="CP1162" s="47" t="s">
        <v>2489</v>
      </c>
      <c r="CQ1162" s="224" t="s">
        <v>272</v>
      </c>
      <c r="CR1162" s="224"/>
      <c r="CS1162" s="230" t="s">
        <v>539</v>
      </c>
      <c r="CT1162" s="230"/>
      <c r="CU1162" s="230"/>
      <c r="CV1162" s="335">
        <f t="shared" si="306"/>
        <v>89700.90131465641</v>
      </c>
      <c r="CW1162" s="230">
        <f t="shared" si="312"/>
        <v>1</v>
      </c>
      <c r="CX1162" s="336"/>
      <c r="CY1162" s="230" t="s">
        <v>5921</v>
      </c>
    </row>
    <row r="1163" spans="1:103" ht="11.25" customHeight="1" x14ac:dyDescent="0.2">
      <c r="A1163" s="72">
        <v>1161</v>
      </c>
      <c r="B1163" s="224">
        <v>226</v>
      </c>
      <c r="C1163" s="46" t="s">
        <v>7305</v>
      </c>
      <c r="D1163" s="46"/>
      <c r="E1163" s="114"/>
      <c r="F1163" s="114" t="s">
        <v>2918</v>
      </c>
      <c r="G1163" s="225">
        <v>834128</v>
      </c>
      <c r="H1163" s="47" t="s">
        <v>2919</v>
      </c>
      <c r="I1163" s="47" t="s">
        <v>2919</v>
      </c>
      <c r="J1163" s="47" t="s">
        <v>2920</v>
      </c>
      <c r="K1163" s="47" t="s">
        <v>940</v>
      </c>
      <c r="L1163" s="47" t="s">
        <v>6026</v>
      </c>
      <c r="M1163" s="47" t="s">
        <v>6082</v>
      </c>
      <c r="N1163" s="47" t="s">
        <v>6082</v>
      </c>
      <c r="O1163" s="47" t="s">
        <v>6083</v>
      </c>
      <c r="P1163" s="53"/>
      <c r="Q1163" s="53"/>
      <c r="R1163" s="53"/>
      <c r="S1163" s="53"/>
      <c r="T1163" s="48">
        <v>227.33</v>
      </c>
      <c r="U1163" s="98">
        <v>0.91936831918356565</v>
      </c>
      <c r="V1163" s="98">
        <v>0.39458056569744421</v>
      </c>
      <c r="W1163" s="98">
        <v>0.602559586074357</v>
      </c>
      <c r="X1163" s="98">
        <v>0.91936831918356565</v>
      </c>
      <c r="Y1163" s="233">
        <v>7.46</v>
      </c>
      <c r="Z1163" s="48">
        <v>3.32</v>
      </c>
      <c r="AA1163" s="48">
        <v>2.98</v>
      </c>
      <c r="AB1163" s="48">
        <v>3.02</v>
      </c>
      <c r="AC1163" s="48">
        <v>0.8488</v>
      </c>
      <c r="AD1163" s="48">
        <v>3.04</v>
      </c>
      <c r="AE1163" s="48">
        <v>3.09</v>
      </c>
      <c r="AF1163" s="48">
        <f t="shared" si="311"/>
        <v>2.98</v>
      </c>
      <c r="AG1163" s="49">
        <v>2.52</v>
      </c>
      <c r="AH1163" s="98">
        <v>6.8500000000000001E-9</v>
      </c>
      <c r="AI1163" s="98">
        <v>2.4300000000000001E-9</v>
      </c>
      <c r="AJ1163" s="483">
        <f t="shared" si="309"/>
        <v>-6.5528757548202261</v>
      </c>
      <c r="AK1163" s="483">
        <f>LOG10(AI1163*1000/(0.08206*298.15))</f>
        <v>-7.0029600527143394</v>
      </c>
      <c r="AL1163" s="483">
        <f t="shared" si="308"/>
        <v>-7.0029600527143394</v>
      </c>
      <c r="AM1163" s="483">
        <v>-11.468990000000002</v>
      </c>
      <c r="AN1163" s="226">
        <v>-9.15</v>
      </c>
      <c r="AO1163" s="484"/>
      <c r="AP1163" s="484">
        <v>3.71</v>
      </c>
      <c r="AQ1163" s="226" t="s">
        <v>6311</v>
      </c>
      <c r="AR1163" s="226" t="s">
        <v>6311</v>
      </c>
      <c r="AS1163" s="224" t="s">
        <v>6</v>
      </c>
      <c r="AT1163" s="50" t="s">
        <v>266</v>
      </c>
      <c r="AU1163" s="48">
        <v>8</v>
      </c>
      <c r="AV1163" s="48">
        <v>144</v>
      </c>
      <c r="AW1163" s="48">
        <v>120</v>
      </c>
      <c r="AX1163" s="48">
        <v>26</v>
      </c>
      <c r="AY1163" s="48" t="s">
        <v>267</v>
      </c>
      <c r="AZ1163" s="48" t="s">
        <v>2253</v>
      </c>
      <c r="BA1163" s="48">
        <v>2</v>
      </c>
      <c r="BB1163" s="47" t="s">
        <v>2254</v>
      </c>
      <c r="BC1163" s="47" t="s">
        <v>270</v>
      </c>
      <c r="BD1163" s="47" t="s">
        <v>8374</v>
      </c>
      <c r="BE1163" s="48" t="s">
        <v>1712</v>
      </c>
      <c r="BF1163" s="48" t="s">
        <v>272</v>
      </c>
      <c r="BG1163" s="48" t="s">
        <v>272</v>
      </c>
      <c r="BH1163" s="48" t="s">
        <v>2255</v>
      </c>
      <c r="BI1163" s="98">
        <v>9.9999999999999995E-7</v>
      </c>
      <c r="BJ1163" s="98">
        <v>0.08</v>
      </c>
      <c r="BK1163" s="48"/>
      <c r="BL1163" s="98">
        <f t="shared" si="307"/>
        <v>5.3592991556072507E-2</v>
      </c>
      <c r="BM1163" s="48" t="s">
        <v>891</v>
      </c>
      <c r="BN1163" s="233"/>
      <c r="BO1163" s="233"/>
      <c r="BP1163" s="233"/>
      <c r="BQ1163" s="233"/>
      <c r="BR1163" s="233"/>
      <c r="BS1163" s="48"/>
      <c r="BT1163" s="233"/>
      <c r="BU1163" s="228"/>
      <c r="BV1163" s="233"/>
      <c r="BW1163" s="233"/>
      <c r="BX1163" s="233"/>
      <c r="BY1163" s="233"/>
      <c r="BZ1163" s="233"/>
      <c r="CA1163" s="233"/>
      <c r="CB1163" s="233"/>
      <c r="CC1163" s="48"/>
      <c r="CD1163" s="48"/>
      <c r="CE1163" s="48"/>
      <c r="CF1163" s="48"/>
      <c r="CG1163" s="233"/>
      <c r="CH1163" s="48"/>
      <c r="CI1163" s="98"/>
      <c r="CJ1163" s="98"/>
      <c r="CK1163" s="49">
        <f t="shared" si="313"/>
        <v>0.66991239445090633</v>
      </c>
      <c r="CL1163" s="229"/>
      <c r="CM1163" s="229"/>
      <c r="CN1163" s="229"/>
      <c r="CO1163" s="47" t="s">
        <v>892</v>
      </c>
      <c r="CP1163" s="47" t="s">
        <v>893</v>
      </c>
      <c r="CQ1163" s="224">
        <v>-1.5494149408951776</v>
      </c>
      <c r="CR1163" s="224">
        <f>10^(CJ1163-CQ1163)</f>
        <v>35.433572476814298</v>
      </c>
      <c r="CS1163" s="230" t="s">
        <v>539</v>
      </c>
      <c r="CT1163" s="230"/>
      <c r="CU1163" s="230"/>
      <c r="CV1163" s="335">
        <f t="shared" si="306"/>
        <v>11.49210398979457</v>
      </c>
      <c r="CW1163" s="230">
        <f t="shared" si="312"/>
        <v>1</v>
      </c>
      <c r="CX1163" s="336" t="s">
        <v>539</v>
      </c>
      <c r="CY1163" s="230" t="s">
        <v>6351</v>
      </c>
    </row>
    <row r="1164" spans="1:103" ht="11.25" customHeight="1" x14ac:dyDescent="0.2">
      <c r="A1164" s="72">
        <v>1162</v>
      </c>
      <c r="B1164" s="224">
        <v>1023</v>
      </c>
      <c r="C1164" s="46" t="s">
        <v>7305</v>
      </c>
      <c r="D1164" s="46"/>
      <c r="E1164" s="114"/>
      <c r="F1164" s="114" t="s">
        <v>2918</v>
      </c>
      <c r="G1164" s="225">
        <v>834128</v>
      </c>
      <c r="H1164" s="47" t="s">
        <v>2919</v>
      </c>
      <c r="I1164" s="47" t="s">
        <v>2919</v>
      </c>
      <c r="J1164" s="47" t="s">
        <v>2920</v>
      </c>
      <c r="K1164" s="47" t="s">
        <v>940</v>
      </c>
      <c r="L1164" s="47" t="s">
        <v>6026</v>
      </c>
      <c r="M1164" s="47" t="s">
        <v>6082</v>
      </c>
      <c r="N1164" s="47" t="s">
        <v>6082</v>
      </c>
      <c r="O1164" s="47" t="s">
        <v>6083</v>
      </c>
      <c r="P1164" s="53"/>
      <c r="Q1164" s="53"/>
      <c r="R1164" s="53"/>
      <c r="S1164" s="53"/>
      <c r="T1164" s="48">
        <v>227.33</v>
      </c>
      <c r="U1164" s="98">
        <v>0.91936831918356565</v>
      </c>
      <c r="V1164" s="98">
        <v>0.39458056569744421</v>
      </c>
      <c r="W1164" s="98">
        <v>0.602559586074357</v>
      </c>
      <c r="X1164" s="98">
        <v>0.91936831918356565</v>
      </c>
      <c r="Y1164" s="233">
        <v>7.46</v>
      </c>
      <c r="Z1164" s="48">
        <v>3.32</v>
      </c>
      <c r="AA1164" s="48">
        <v>2.98</v>
      </c>
      <c r="AB1164" s="48">
        <v>3.02</v>
      </c>
      <c r="AC1164" s="48">
        <v>0.8488</v>
      </c>
      <c r="AD1164" s="48">
        <v>3.04</v>
      </c>
      <c r="AE1164" s="48">
        <v>3.09</v>
      </c>
      <c r="AF1164" s="48">
        <f t="shared" si="311"/>
        <v>2.98</v>
      </c>
      <c r="AG1164" s="49">
        <v>2.52</v>
      </c>
      <c r="AH1164" s="98">
        <v>6.8500000000000001E-9</v>
      </c>
      <c r="AI1164" s="98">
        <v>2.4300000000000001E-9</v>
      </c>
      <c r="AJ1164" s="483">
        <f t="shared" si="309"/>
        <v>-6.5528757548202261</v>
      </c>
      <c r="AK1164" s="483">
        <f>LOG10(AI1164*1000/(0.08206*298.15))</f>
        <v>-7.0029600527143394</v>
      </c>
      <c r="AL1164" s="483">
        <f t="shared" si="308"/>
        <v>-7.0029600527143394</v>
      </c>
      <c r="AM1164" s="483">
        <v>-11.468990000000002</v>
      </c>
      <c r="AN1164" s="226">
        <v>-9.15</v>
      </c>
      <c r="AO1164" s="484"/>
      <c r="AP1164" s="484">
        <v>3.71</v>
      </c>
      <c r="AQ1164" s="48" t="s">
        <v>6311</v>
      </c>
      <c r="AR1164" s="48" t="s">
        <v>6311</v>
      </c>
      <c r="AS1164" s="227"/>
      <c r="AT1164" s="50" t="s">
        <v>266</v>
      </c>
      <c r="AU1164" s="48">
        <v>6</v>
      </c>
      <c r="AV1164" s="48">
        <v>120</v>
      </c>
      <c r="AW1164" s="48">
        <v>114</v>
      </c>
      <c r="AX1164" s="48">
        <v>28</v>
      </c>
      <c r="AY1164" s="48" t="s">
        <v>8728</v>
      </c>
      <c r="AZ1164" s="48" t="s">
        <v>1563</v>
      </c>
      <c r="BA1164" s="48">
        <v>32</v>
      </c>
      <c r="BB1164" s="47" t="s">
        <v>2485</v>
      </c>
      <c r="BC1164" s="47" t="s">
        <v>8726</v>
      </c>
      <c r="BD1164" s="47" t="s">
        <v>8374</v>
      </c>
      <c r="BE1164" s="48" t="s">
        <v>2449</v>
      </c>
      <c r="BF1164" s="48" t="s">
        <v>272</v>
      </c>
      <c r="BG1164" s="48" t="s">
        <v>272</v>
      </c>
      <c r="BH1164" s="48" t="s">
        <v>2486</v>
      </c>
      <c r="BI1164" s="98">
        <v>6.3999999999999997E-6</v>
      </c>
      <c r="BJ1164" s="98">
        <v>6.4000000000000001E-2</v>
      </c>
      <c r="BK1164" s="48"/>
      <c r="BL1164" s="98">
        <f t="shared" si="307"/>
        <v>5.3592991556072507E-2</v>
      </c>
      <c r="BM1164" s="47" t="s">
        <v>2487</v>
      </c>
      <c r="BN1164" s="48"/>
      <c r="BO1164" s="48"/>
      <c r="BP1164" s="48"/>
      <c r="BQ1164" s="48"/>
      <c r="BR1164" s="47" t="s">
        <v>2496</v>
      </c>
      <c r="BS1164" s="48"/>
      <c r="BT1164" s="48"/>
      <c r="BU1164" s="228">
        <v>6.4000000000000001E-2</v>
      </c>
      <c r="BV1164" s="48"/>
      <c r="BW1164" s="48"/>
      <c r="BX1164" s="48"/>
      <c r="BY1164" s="48"/>
      <c r="BZ1164" s="48"/>
      <c r="CA1164" s="48"/>
      <c r="CB1164" s="48"/>
      <c r="CC1164" s="48"/>
      <c r="CD1164" s="48"/>
      <c r="CE1164" s="48"/>
      <c r="CF1164" s="48"/>
      <c r="CG1164" s="48"/>
      <c r="CH1164" s="48"/>
      <c r="CI1164" s="98"/>
      <c r="CJ1164" s="98"/>
      <c r="CK1164" s="49">
        <f t="shared" si="313"/>
        <v>0.83739049306363289</v>
      </c>
      <c r="CL1164" s="229"/>
      <c r="CM1164" s="229"/>
      <c r="CN1164" s="229"/>
      <c r="CO1164" s="47" t="s">
        <v>2488</v>
      </c>
      <c r="CP1164" s="47" t="s">
        <v>2489</v>
      </c>
      <c r="CQ1164" s="224">
        <v>-1.5494149408951776</v>
      </c>
      <c r="CR1164" s="224">
        <f>10^(CJ1164-CQ1164)</f>
        <v>35.433572476814298</v>
      </c>
      <c r="CS1164" s="230" t="s">
        <v>539</v>
      </c>
      <c r="CT1164" s="230"/>
      <c r="CU1164" s="230"/>
      <c r="CV1164" s="335">
        <f t="shared" si="306"/>
        <v>14.365129987243213</v>
      </c>
      <c r="CW1164" s="230">
        <f t="shared" si="312"/>
        <v>1</v>
      </c>
      <c r="CX1164" s="336"/>
      <c r="CY1164" s="230" t="s">
        <v>6351</v>
      </c>
    </row>
    <row r="1165" spans="1:103" ht="11.25" customHeight="1" x14ac:dyDescent="0.2">
      <c r="A1165" s="72">
        <v>1163</v>
      </c>
      <c r="B1165" s="224">
        <v>984</v>
      </c>
      <c r="C1165" s="46" t="s">
        <v>7306</v>
      </c>
      <c r="D1165" s="46"/>
      <c r="E1165" s="114"/>
      <c r="F1165" s="114" t="s">
        <v>2806</v>
      </c>
      <c r="G1165" s="225">
        <v>838880</v>
      </c>
      <c r="H1165" s="47" t="s">
        <v>2807</v>
      </c>
      <c r="I1165" s="47" t="s">
        <v>2807</v>
      </c>
      <c r="J1165" s="47" t="s">
        <v>2808</v>
      </c>
      <c r="K1165" s="47" t="s">
        <v>2695</v>
      </c>
      <c r="L1165" s="47"/>
      <c r="M1165" s="47"/>
      <c r="N1165" s="47"/>
      <c r="O1165" s="47"/>
      <c r="P1165" s="53"/>
      <c r="Q1165" s="53"/>
      <c r="R1165" s="53"/>
      <c r="S1165" s="53"/>
      <c r="T1165" s="48">
        <v>226.32</v>
      </c>
      <c r="U1165" s="98"/>
      <c r="V1165" s="98">
        <v>0.22415164369034993</v>
      </c>
      <c r="W1165" s="98">
        <v>0.36307805477010102</v>
      </c>
      <c r="X1165" s="98">
        <f>IF(W1165=0,V1165,W1165)</f>
        <v>0.36307805477010102</v>
      </c>
      <c r="Y1165" s="233">
        <v>7.88</v>
      </c>
      <c r="Z1165" s="48">
        <v>3.28</v>
      </c>
      <c r="AA1165" s="48"/>
      <c r="AB1165" s="48">
        <v>2.66</v>
      </c>
      <c r="AC1165" s="48">
        <v>0.87980000000000003</v>
      </c>
      <c r="AD1165" s="48">
        <v>2.64</v>
      </c>
      <c r="AE1165" s="48">
        <v>2.56</v>
      </c>
      <c r="AF1165" s="48">
        <f t="shared" si="311"/>
        <v>2.64</v>
      </c>
      <c r="AG1165" s="49">
        <v>3.21</v>
      </c>
      <c r="AH1165" s="98">
        <v>7.3000000000000006E-11</v>
      </c>
      <c r="AI1165" s="98"/>
      <c r="AJ1165" s="483">
        <f t="shared" si="309"/>
        <v>-8.5252434661921956</v>
      </c>
      <c r="AK1165" s="483"/>
      <c r="AL1165" s="483">
        <f t="shared" si="308"/>
        <v>-8.5252434661921956</v>
      </c>
      <c r="AM1165" s="483">
        <v>-12.953760000000001</v>
      </c>
      <c r="AN1165" s="226">
        <v>-9.02</v>
      </c>
      <c r="AO1165" s="484"/>
      <c r="AP1165" s="484">
        <v>5.18</v>
      </c>
      <c r="AQ1165" s="48" t="s">
        <v>6311</v>
      </c>
      <c r="AR1165" s="48" t="s">
        <v>6311</v>
      </c>
      <c r="AS1165" s="227"/>
      <c r="AT1165" s="50" t="s">
        <v>266</v>
      </c>
      <c r="AU1165" s="48">
        <v>6</v>
      </c>
      <c r="AV1165" s="48">
        <v>120</v>
      </c>
      <c r="AW1165" s="48">
        <v>114</v>
      </c>
      <c r="AX1165" s="48">
        <v>28</v>
      </c>
      <c r="AY1165" s="48" t="s">
        <v>8728</v>
      </c>
      <c r="AZ1165" s="48" t="s">
        <v>1563</v>
      </c>
      <c r="BA1165" s="48">
        <v>32</v>
      </c>
      <c r="BB1165" s="47" t="s">
        <v>2485</v>
      </c>
      <c r="BC1165" s="47" t="s">
        <v>8726</v>
      </c>
      <c r="BD1165" s="47" t="s">
        <v>8374</v>
      </c>
      <c r="BE1165" s="48" t="s">
        <v>2449</v>
      </c>
      <c r="BF1165" s="48" t="s">
        <v>272</v>
      </c>
      <c r="BG1165" s="48" t="s">
        <v>272</v>
      </c>
      <c r="BH1165" s="48" t="s">
        <v>2486</v>
      </c>
      <c r="BI1165" s="98">
        <v>6.3999999999999997E-6</v>
      </c>
      <c r="BJ1165" s="98">
        <v>6.4000000000000001E-2</v>
      </c>
      <c r="BK1165" s="48"/>
      <c r="BL1165" s="98">
        <f t="shared" si="307"/>
        <v>5.8214611030121002E-2</v>
      </c>
      <c r="BM1165" s="47" t="s">
        <v>2487</v>
      </c>
      <c r="BN1165" s="48"/>
      <c r="BO1165" s="48"/>
      <c r="BP1165" s="48"/>
      <c r="BQ1165" s="48"/>
      <c r="BR1165" s="47" t="s">
        <v>2496</v>
      </c>
      <c r="BS1165" s="48"/>
      <c r="BT1165" s="48"/>
      <c r="BU1165" s="228">
        <v>6.3999999999999997E-6</v>
      </c>
      <c r="BV1165" s="48"/>
      <c r="BW1165" s="48"/>
      <c r="BX1165" s="48"/>
      <c r="BY1165" s="48"/>
      <c r="BZ1165" s="48"/>
      <c r="CA1165" s="48"/>
      <c r="CB1165" s="48"/>
      <c r="CC1165" s="48"/>
      <c r="CD1165" s="48"/>
      <c r="CE1165" s="48"/>
      <c r="CF1165" s="48"/>
      <c r="CG1165" s="48"/>
      <c r="CH1165" s="48"/>
      <c r="CI1165" s="98"/>
      <c r="CJ1165" s="98"/>
      <c r="CK1165" s="49">
        <f t="shared" si="313"/>
        <v>0.9096032973456406</v>
      </c>
      <c r="CL1165" s="229"/>
      <c r="CM1165" s="229"/>
      <c r="CN1165" s="229"/>
      <c r="CO1165" s="47" t="s">
        <v>2488</v>
      </c>
      <c r="CP1165" s="47" t="s">
        <v>2489</v>
      </c>
      <c r="CQ1165" s="224" t="s">
        <v>272</v>
      </c>
      <c r="CR1165" s="224"/>
      <c r="CS1165" s="230" t="s">
        <v>539</v>
      </c>
      <c r="CT1165" s="230"/>
      <c r="CU1165" s="230"/>
      <c r="CV1165" s="335">
        <f t="shared" si="306"/>
        <v>5.6730946057828282</v>
      </c>
      <c r="CW1165" s="230">
        <f t="shared" si="312"/>
        <v>1</v>
      </c>
      <c r="CX1165" s="336"/>
      <c r="CY1165" s="230" t="s">
        <v>6351</v>
      </c>
    </row>
    <row r="1166" spans="1:103" ht="11.25" customHeight="1" x14ac:dyDescent="0.2">
      <c r="A1166" s="72">
        <v>1164</v>
      </c>
      <c r="B1166" s="224">
        <v>1765</v>
      </c>
      <c r="C1166" s="46" t="s">
        <v>7307</v>
      </c>
      <c r="D1166" s="46"/>
      <c r="E1166" s="114"/>
      <c r="F1166" s="114" t="s">
        <v>5086</v>
      </c>
      <c r="G1166" s="225">
        <v>872504</v>
      </c>
      <c r="H1166" s="47" t="s">
        <v>5087</v>
      </c>
      <c r="I1166" s="47" t="s">
        <v>5087</v>
      </c>
      <c r="J1166" s="47" t="s">
        <v>5088</v>
      </c>
      <c r="K1166" s="47" t="s">
        <v>471</v>
      </c>
      <c r="L1166" s="47"/>
      <c r="M1166" s="47"/>
      <c r="N1166" s="47"/>
      <c r="O1166" s="47"/>
      <c r="P1166" s="53"/>
      <c r="Q1166" s="53"/>
      <c r="R1166" s="53"/>
      <c r="S1166" s="53"/>
      <c r="T1166" s="48">
        <v>99.13</v>
      </c>
      <c r="U1166" s="98">
        <v>10087.763542822557</v>
      </c>
      <c r="V1166" s="98">
        <v>2504.7916876828408</v>
      </c>
      <c r="W1166" s="98">
        <v>851.13803820237638</v>
      </c>
      <c r="X1166" s="98">
        <v>10087.763542822557</v>
      </c>
      <c r="Y1166" s="233">
        <v>7.06</v>
      </c>
      <c r="Z1166" s="48">
        <v>-0.11</v>
      </c>
      <c r="AA1166" s="48">
        <v>-0.38</v>
      </c>
      <c r="AB1166" s="48">
        <v>-0.33</v>
      </c>
      <c r="AC1166" s="48">
        <v>0.89439999999999997</v>
      </c>
      <c r="AD1166" s="48">
        <v>-0.34</v>
      </c>
      <c r="AE1166" s="48">
        <v>-0.4</v>
      </c>
      <c r="AF1166" s="48">
        <f t="shared" si="311"/>
        <v>-0.38</v>
      </c>
      <c r="AG1166" s="49">
        <v>-0.05</v>
      </c>
      <c r="AH1166" s="98">
        <v>3.1599999999999998E-8</v>
      </c>
      <c r="AI1166" s="98">
        <v>3.2000000000000001E-9</v>
      </c>
      <c r="AJ1166" s="483">
        <f t="shared" si="309"/>
        <v>-5.8888792436942481</v>
      </c>
      <c r="AK1166" s="483">
        <f>LOG10(AI1166*1000/(0.08206*298.15))</f>
        <v>-6.8834163479927462</v>
      </c>
      <c r="AL1166" s="483">
        <f t="shared" si="308"/>
        <v>-6.8834163479927462</v>
      </c>
      <c r="AM1166" s="483">
        <v>-6.4441999999999995</v>
      </c>
      <c r="AN1166" s="226">
        <v>-7.1</v>
      </c>
      <c r="AO1166" s="484"/>
      <c r="AP1166" s="484">
        <v>-0.41</v>
      </c>
      <c r="AQ1166" s="226" t="s">
        <v>6311</v>
      </c>
      <c r="AR1166" s="226" t="s">
        <v>6311</v>
      </c>
      <c r="AS1166" s="224"/>
      <c r="AT1166" s="50" t="s">
        <v>266</v>
      </c>
      <c r="AU1166" s="48">
        <v>6</v>
      </c>
      <c r="AV1166" s="48">
        <v>120</v>
      </c>
      <c r="AW1166" s="48">
        <v>114</v>
      </c>
      <c r="AX1166" s="48">
        <v>28</v>
      </c>
      <c r="AY1166" s="48" t="s">
        <v>8728</v>
      </c>
      <c r="AZ1166" s="48" t="s">
        <v>1563</v>
      </c>
      <c r="BA1166" s="48">
        <v>32</v>
      </c>
      <c r="BB1166" s="47" t="s">
        <v>2485</v>
      </c>
      <c r="BC1166" s="47" t="s">
        <v>8726</v>
      </c>
      <c r="BD1166" s="47" t="s">
        <v>8374</v>
      </c>
      <c r="BE1166" s="48" t="s">
        <v>2449</v>
      </c>
      <c r="BF1166" s="48" t="s">
        <v>272</v>
      </c>
      <c r="BG1166" s="48" t="s">
        <v>272</v>
      </c>
      <c r="BH1166" s="48" t="s">
        <v>2486</v>
      </c>
      <c r="BI1166" s="98">
        <v>6.3999999999999997E-6</v>
      </c>
      <c r="BJ1166" s="98">
        <v>6.4000000000000001E-2</v>
      </c>
      <c r="BK1166" s="48"/>
      <c r="BL1166" s="98">
        <f t="shared" si="307"/>
        <v>64.504646567693669</v>
      </c>
      <c r="BM1166" s="47" t="s">
        <v>2487</v>
      </c>
      <c r="BN1166" s="48"/>
      <c r="BO1166" s="48"/>
      <c r="BP1166" s="48"/>
      <c r="BQ1166" s="48"/>
      <c r="BR1166" s="47" t="s">
        <v>2496</v>
      </c>
      <c r="BS1166" s="48"/>
      <c r="BT1166" s="48"/>
      <c r="BU1166" s="228"/>
      <c r="BV1166" s="48"/>
      <c r="BW1166" s="48"/>
      <c r="BX1166" s="48"/>
      <c r="BY1166" s="48"/>
      <c r="BZ1166" s="48"/>
      <c r="CA1166" s="48"/>
      <c r="CB1166" s="48"/>
      <c r="CC1166" s="48"/>
      <c r="CD1166" s="48"/>
      <c r="CE1166" s="48"/>
      <c r="CF1166" s="48"/>
      <c r="CG1166" s="48"/>
      <c r="CH1166" s="48"/>
      <c r="CI1166" s="98"/>
      <c r="CJ1166" s="98"/>
      <c r="CK1166" s="49">
        <f t="shared" si="313"/>
        <v>1007.8851026202136</v>
      </c>
      <c r="CL1166" s="229"/>
      <c r="CM1166" s="229"/>
      <c r="CN1166" s="229"/>
      <c r="CO1166" s="47" t="s">
        <v>2488</v>
      </c>
      <c r="CP1166" s="47" t="s">
        <v>2489</v>
      </c>
      <c r="CQ1166" s="224">
        <v>0.92391822011239944</v>
      </c>
      <c r="CR1166" s="224">
        <f>10^(CJ1166-CQ1166)</f>
        <v>0.11914663461538462</v>
      </c>
      <c r="CS1166" s="230" t="s">
        <v>539</v>
      </c>
      <c r="CT1166" s="230"/>
      <c r="CU1166" s="230"/>
      <c r="CV1166" s="335">
        <f t="shared" si="306"/>
        <v>157621.30535660245</v>
      </c>
      <c r="CW1166" s="230">
        <f t="shared" si="312"/>
        <v>1</v>
      </c>
      <c r="CX1166" s="336"/>
      <c r="CY1166" s="230" t="s">
        <v>6351</v>
      </c>
    </row>
    <row r="1167" spans="1:103" ht="11.25" customHeight="1" x14ac:dyDescent="0.2">
      <c r="A1167" s="72">
        <v>1165</v>
      </c>
      <c r="B1167" s="224">
        <v>1767</v>
      </c>
      <c r="C1167" s="46" t="s">
        <v>7308</v>
      </c>
      <c r="D1167" s="46"/>
      <c r="E1167" s="114"/>
      <c r="F1167" s="114" t="s">
        <v>5092</v>
      </c>
      <c r="G1167" s="225">
        <v>924163</v>
      </c>
      <c r="H1167" s="47" t="s">
        <v>5093</v>
      </c>
      <c r="I1167" s="47" t="s">
        <v>5093</v>
      </c>
      <c r="J1167" s="47" t="s">
        <v>5094</v>
      </c>
      <c r="K1167" s="47" t="s">
        <v>300</v>
      </c>
      <c r="L1167" s="47"/>
      <c r="M1167" s="47"/>
      <c r="N1167" s="47"/>
      <c r="O1167" s="47"/>
      <c r="P1167" s="53"/>
      <c r="Q1167" s="53"/>
      <c r="R1167" s="53"/>
      <c r="S1167" s="53"/>
      <c r="T1167" s="48">
        <v>158.24</v>
      </c>
      <c r="U1167" s="98">
        <v>8.0257836198179984</v>
      </c>
      <c r="V1167" s="98">
        <v>2.5</v>
      </c>
      <c r="W1167" s="98">
        <v>16.98243652461743</v>
      </c>
      <c r="X1167" s="98">
        <v>8.0257836198179984</v>
      </c>
      <c r="Y1167" s="233">
        <v>7</v>
      </c>
      <c r="Z1167" s="48">
        <v>2.31</v>
      </c>
      <c r="AA1167" s="48">
        <v>2.63</v>
      </c>
      <c r="AB1167" s="48">
        <v>2.41</v>
      </c>
      <c r="AC1167" s="48">
        <v>0.82410000000000005</v>
      </c>
      <c r="AD1167" s="48">
        <v>2.4500000000000002</v>
      </c>
      <c r="AE1167" s="48">
        <v>2.5499999999999998</v>
      </c>
      <c r="AF1167" s="48">
        <f t="shared" si="311"/>
        <v>2.63</v>
      </c>
      <c r="AG1167" s="49">
        <v>2.09</v>
      </c>
      <c r="AH1167" s="98">
        <v>1.13E-5</v>
      </c>
      <c r="AI1167" s="98">
        <v>1.3200000000000001E-5</v>
      </c>
      <c r="AJ1167" s="483">
        <f t="shared" si="309"/>
        <v>-3.335487882829232</v>
      </c>
      <c r="AK1167" s="483">
        <f>LOG10(AI1167*1000/(0.08206*298.15))</f>
        <v>-3.267992395106802</v>
      </c>
      <c r="AL1167" s="483">
        <f t="shared" si="308"/>
        <v>-3.267992395106802</v>
      </c>
      <c r="AM1167" s="483">
        <v>-5.6264700000000003</v>
      </c>
      <c r="AN1167" s="226">
        <v>-3.88</v>
      </c>
      <c r="AO1167" s="484"/>
      <c r="AP1167" s="484">
        <v>-3.14</v>
      </c>
      <c r="AQ1167" s="226" t="s">
        <v>6311</v>
      </c>
      <c r="AR1167" s="226" t="s">
        <v>6311</v>
      </c>
      <c r="AS1167" s="224"/>
      <c r="AT1167" s="50" t="s">
        <v>266</v>
      </c>
      <c r="AU1167" s="48">
        <v>6</v>
      </c>
      <c r="AV1167" s="48">
        <v>120</v>
      </c>
      <c r="AW1167" s="48">
        <v>114</v>
      </c>
      <c r="AX1167" s="48">
        <v>28</v>
      </c>
      <c r="AY1167" s="48" t="s">
        <v>8728</v>
      </c>
      <c r="AZ1167" s="48" t="s">
        <v>1563</v>
      </c>
      <c r="BA1167" s="48">
        <v>32</v>
      </c>
      <c r="BB1167" s="47" t="s">
        <v>2485</v>
      </c>
      <c r="BC1167" s="47" t="s">
        <v>8726</v>
      </c>
      <c r="BD1167" s="47" t="s">
        <v>8374</v>
      </c>
      <c r="BE1167" s="48" t="s">
        <v>2449</v>
      </c>
      <c r="BF1167" s="48" t="s">
        <v>272</v>
      </c>
      <c r="BG1167" s="48" t="s">
        <v>272</v>
      </c>
      <c r="BH1167" s="48" t="s">
        <v>2486</v>
      </c>
      <c r="BI1167" s="98">
        <v>6.3999999999999997E-6</v>
      </c>
      <c r="BJ1167" s="98">
        <v>6.4000000000000001E-2</v>
      </c>
      <c r="BK1167" s="48"/>
      <c r="BL1167" s="98">
        <f t="shared" si="307"/>
        <v>0.43270209707872642</v>
      </c>
      <c r="BM1167" s="47" t="s">
        <v>2487</v>
      </c>
      <c r="BN1167" s="48"/>
      <c r="BO1167" s="48"/>
      <c r="BP1167" s="48"/>
      <c r="BQ1167" s="48"/>
      <c r="BR1167" s="47" t="s">
        <v>2496</v>
      </c>
      <c r="BS1167" s="48"/>
      <c r="BT1167" s="48"/>
      <c r="BU1167" s="228"/>
      <c r="BV1167" s="48"/>
      <c r="BW1167" s="48"/>
      <c r="BX1167" s="48"/>
      <c r="BY1167" s="48"/>
      <c r="BZ1167" s="48"/>
      <c r="CA1167" s="48"/>
      <c r="CB1167" s="48"/>
      <c r="CC1167" s="48"/>
      <c r="CD1167" s="48"/>
      <c r="CE1167" s="48"/>
      <c r="CF1167" s="48"/>
      <c r="CG1167" s="48"/>
      <c r="CH1167" s="48"/>
      <c r="CI1167" s="98"/>
      <c r="CJ1167" s="98"/>
      <c r="CK1167" s="49">
        <f t="shared" si="313"/>
        <v>6.7609702668551002</v>
      </c>
      <c r="CL1167" s="229"/>
      <c r="CM1167" s="229"/>
      <c r="CN1167" s="229"/>
      <c r="CO1167" s="47" t="s">
        <v>2488</v>
      </c>
      <c r="CP1167" s="47" t="s">
        <v>2489</v>
      </c>
      <c r="CQ1167" s="224" t="s">
        <v>272</v>
      </c>
      <c r="CR1167" s="224"/>
      <c r="CS1167" s="230" t="s">
        <v>539</v>
      </c>
      <c r="CT1167" s="230"/>
      <c r="CU1167" s="230"/>
      <c r="CV1167" s="335">
        <f t="shared" si="306"/>
        <v>125.40286905965623</v>
      </c>
      <c r="CW1167" s="230">
        <f t="shared" si="312"/>
        <v>1</v>
      </c>
      <c r="CX1167" s="336"/>
      <c r="CY1167" s="230" t="s">
        <v>5921</v>
      </c>
    </row>
    <row r="1168" spans="1:103" ht="11.25" customHeight="1" x14ac:dyDescent="0.2">
      <c r="A1168" s="72">
        <v>1166</v>
      </c>
      <c r="B1168" s="224">
        <v>1410</v>
      </c>
      <c r="C1168" s="46" t="s">
        <v>7309</v>
      </c>
      <c r="D1168" s="46"/>
      <c r="E1168" s="114"/>
      <c r="F1168" s="114" t="s">
        <v>4342</v>
      </c>
      <c r="G1168" s="225">
        <v>929599</v>
      </c>
      <c r="H1168" s="47" t="s">
        <v>4343</v>
      </c>
      <c r="I1168" s="47" t="s">
        <v>4343</v>
      </c>
      <c r="J1168" s="47" t="s">
        <v>4344</v>
      </c>
      <c r="K1168" s="47" t="s">
        <v>300</v>
      </c>
      <c r="L1168" s="47"/>
      <c r="M1168" s="47"/>
      <c r="N1168" s="47"/>
      <c r="O1168" s="47"/>
      <c r="P1168" s="53"/>
      <c r="Q1168" s="53"/>
      <c r="R1168" s="53"/>
      <c r="S1168" s="53"/>
      <c r="T1168" s="48">
        <v>148.19999999999999</v>
      </c>
      <c r="U1168" s="98"/>
      <c r="V1168" s="98">
        <v>6747.6383265856957</v>
      </c>
      <c r="W1168" s="98">
        <v>6760.8297539198184</v>
      </c>
      <c r="X1168" s="98">
        <f>IF(W1168=0,V1168,W1168)</f>
        <v>6760.8297539198184</v>
      </c>
      <c r="Y1168" s="233">
        <v>11.94</v>
      </c>
      <c r="Z1168" s="48">
        <v>-2.17</v>
      </c>
      <c r="AA1168" s="48"/>
      <c r="AB1168" s="48">
        <v>-1.08</v>
      </c>
      <c r="AC1168" s="48">
        <v>0.56479999999999997</v>
      </c>
      <c r="AD1168" s="48">
        <v>-1.32</v>
      </c>
      <c r="AE1168" s="48">
        <v>-1.59</v>
      </c>
      <c r="AF1168" s="48">
        <f t="shared" si="311"/>
        <v>-1.32</v>
      </c>
      <c r="AG1168" s="49">
        <v>3.41</v>
      </c>
      <c r="AH1168" s="98">
        <v>2.4999999999999999E-13</v>
      </c>
      <c r="AI1168" s="98"/>
      <c r="AJ1168" s="483">
        <f t="shared" si="309"/>
        <v>-10.990626317640615</v>
      </c>
      <c r="AK1168" s="483"/>
      <c r="AL1168" s="483">
        <f t="shared" si="308"/>
        <v>-10.990626317640615</v>
      </c>
      <c r="AM1168" s="483">
        <v>-12.59173</v>
      </c>
      <c r="AN1168" s="226">
        <v>-18.100000000000001</v>
      </c>
      <c r="AO1168" s="484"/>
      <c r="AP1168" s="484">
        <v>9.0399999999999991</v>
      </c>
      <c r="AQ1168" s="48" t="s">
        <v>6311</v>
      </c>
      <c r="AR1168" s="48" t="s">
        <v>6311</v>
      </c>
      <c r="AS1168" s="227"/>
      <c r="AT1168" s="50" t="s">
        <v>266</v>
      </c>
      <c r="AU1168" s="48">
        <v>6</v>
      </c>
      <c r="AV1168" s="48">
        <v>120</v>
      </c>
      <c r="AW1168" s="48">
        <v>114</v>
      </c>
      <c r="AX1168" s="48">
        <v>28</v>
      </c>
      <c r="AY1168" s="48" t="s">
        <v>8728</v>
      </c>
      <c r="AZ1168" s="48" t="s">
        <v>1563</v>
      </c>
      <c r="BA1168" s="48">
        <v>32</v>
      </c>
      <c r="BB1168" s="47" t="s">
        <v>2485</v>
      </c>
      <c r="BC1168" s="47" t="s">
        <v>8726</v>
      </c>
      <c r="BD1168" s="47" t="s">
        <v>8374</v>
      </c>
      <c r="BE1168" s="48" t="s">
        <v>2449</v>
      </c>
      <c r="BF1168" s="48" t="s">
        <v>272</v>
      </c>
      <c r="BG1168" s="48" t="s">
        <v>272</v>
      </c>
      <c r="BH1168" s="48" t="s">
        <v>2486</v>
      </c>
      <c r="BI1168" s="98">
        <v>6.3999999999999997E-6</v>
      </c>
      <c r="BJ1168" s="98">
        <v>6.4000000000000001E-2</v>
      </c>
      <c r="BK1168" s="48"/>
      <c r="BL1168" s="98">
        <f t="shared" si="307"/>
        <v>4567.4836352295279</v>
      </c>
      <c r="BM1168" s="47" t="s">
        <v>2487</v>
      </c>
      <c r="BN1168" s="48"/>
      <c r="BO1168" s="48"/>
      <c r="BP1168" s="48"/>
      <c r="BQ1168" s="48"/>
      <c r="BR1168" s="47" t="s">
        <v>2496</v>
      </c>
      <c r="BS1168" s="48"/>
      <c r="BT1168" s="48"/>
      <c r="BU1168" s="228"/>
      <c r="BV1168" s="48"/>
      <c r="BW1168" s="48"/>
      <c r="BX1168" s="48"/>
      <c r="BY1168" s="48"/>
      <c r="BZ1168" s="48"/>
      <c r="CA1168" s="48"/>
      <c r="CB1168" s="48"/>
      <c r="CC1168" s="48"/>
      <c r="CD1168" s="48"/>
      <c r="CE1168" s="48"/>
      <c r="CF1168" s="48"/>
      <c r="CG1168" s="48"/>
      <c r="CH1168" s="48"/>
      <c r="CI1168" s="52" t="s">
        <v>6347</v>
      </c>
      <c r="CJ1168" s="98"/>
      <c r="CK1168" s="49">
        <f t="shared" si="313"/>
        <v>71366.931800461374</v>
      </c>
      <c r="CL1168" s="229"/>
      <c r="CM1168" s="229"/>
      <c r="CN1168" s="229"/>
      <c r="CO1168" s="47" t="s">
        <v>2488</v>
      </c>
      <c r="CP1168" s="47" t="s">
        <v>2489</v>
      </c>
      <c r="CQ1168" s="224" t="s">
        <v>272</v>
      </c>
      <c r="CR1168" s="224"/>
      <c r="CS1168" s="230" t="s">
        <v>539</v>
      </c>
      <c r="CT1168" s="230"/>
      <c r="CU1168" s="230"/>
      <c r="CV1168" s="335">
        <f t="shared" si="306"/>
        <v>105637.96490499716</v>
      </c>
      <c r="CW1168" s="230">
        <f t="shared" si="312"/>
        <v>1</v>
      </c>
      <c r="CX1168" s="336"/>
      <c r="CY1168" s="230" t="s">
        <v>5921</v>
      </c>
    </row>
    <row r="1169" spans="1:103" ht="11.25" customHeight="1" x14ac:dyDescent="0.2">
      <c r="A1169" s="72">
        <v>1167</v>
      </c>
      <c r="B1169" s="224">
        <v>385</v>
      </c>
      <c r="C1169" s="46" t="s">
        <v>7310</v>
      </c>
      <c r="D1169" s="46"/>
      <c r="E1169" s="114"/>
      <c r="F1169" s="114" t="s">
        <v>3932</v>
      </c>
      <c r="G1169" s="225">
        <v>950378</v>
      </c>
      <c r="H1169" s="47" t="s">
        <v>3933</v>
      </c>
      <c r="I1169" s="47" t="s">
        <v>3933</v>
      </c>
      <c r="J1169" s="47" t="s">
        <v>3934</v>
      </c>
      <c r="K1169" s="47" t="s">
        <v>3935</v>
      </c>
      <c r="L1169" s="47" t="s">
        <v>617</v>
      </c>
      <c r="M1169" s="47" t="s">
        <v>946</v>
      </c>
      <c r="N1169" s="47"/>
      <c r="O1169" s="47" t="s">
        <v>918</v>
      </c>
      <c r="P1169" s="53"/>
      <c r="Q1169" s="53" t="s">
        <v>6173</v>
      </c>
      <c r="R1169" s="53" t="s">
        <v>6177</v>
      </c>
      <c r="S1169" s="53" t="s">
        <v>6176</v>
      </c>
      <c r="T1169" s="48">
        <v>302.33</v>
      </c>
      <c r="U1169" s="98">
        <v>0.61852942149307055</v>
      </c>
      <c r="V1169" s="98">
        <v>0.52029239572652408</v>
      </c>
      <c r="W1169" s="98">
        <v>0.39810717055349709</v>
      </c>
      <c r="X1169" s="98">
        <v>0.61852942149307055</v>
      </c>
      <c r="Y1169" s="233">
        <v>7</v>
      </c>
      <c r="Z1169" s="48">
        <v>1.58</v>
      </c>
      <c r="AA1169" s="48">
        <v>2.2000000000000002</v>
      </c>
      <c r="AB1169" s="48">
        <v>1.73</v>
      </c>
      <c r="AC1169" s="48">
        <v>0.71389999999999998</v>
      </c>
      <c r="AD1169" s="48">
        <v>1.83</v>
      </c>
      <c r="AE1169" s="48">
        <v>2.0299999999999998</v>
      </c>
      <c r="AF1169" s="48">
        <f t="shared" si="311"/>
        <v>2.2000000000000002</v>
      </c>
      <c r="AG1169" s="49">
        <v>3.36</v>
      </c>
      <c r="AH1169" s="98">
        <v>7.0999999999999999E-9</v>
      </c>
      <c r="AI1169" s="98">
        <v>7.1699999999999998E-9</v>
      </c>
      <c r="AJ1169" s="483">
        <f t="shared" si="309"/>
        <v>-6.5373079775935761</v>
      </c>
      <c r="AK1169" s="483">
        <f>LOG10(AI1169*1000/(0.08206*298.15))</f>
        <v>-6.5330471706448519</v>
      </c>
      <c r="AL1169" s="483">
        <f t="shared" si="308"/>
        <v>-6.5330471706448519</v>
      </c>
      <c r="AM1169" s="483">
        <v>-16.076590000000003</v>
      </c>
      <c r="AN1169" s="226">
        <v>-1.94</v>
      </c>
      <c r="AO1169" s="484"/>
      <c r="AP1169" s="484">
        <v>-4.17</v>
      </c>
      <c r="AQ1169" s="226" t="s">
        <v>6314</v>
      </c>
      <c r="AR1169" s="226" t="s">
        <v>6314</v>
      </c>
      <c r="AS1169" s="224" t="s">
        <v>6</v>
      </c>
      <c r="AT1169" s="50" t="s">
        <v>266</v>
      </c>
      <c r="AU1169" s="48">
        <v>8</v>
      </c>
      <c r="AV1169" s="48">
        <v>144</v>
      </c>
      <c r="AW1169" s="48">
        <v>120</v>
      </c>
      <c r="AX1169" s="48">
        <v>26</v>
      </c>
      <c r="AY1169" s="48" t="s">
        <v>267</v>
      </c>
      <c r="AZ1169" s="48" t="s">
        <v>2253</v>
      </c>
      <c r="BA1169" s="48">
        <v>2</v>
      </c>
      <c r="BB1169" s="47" t="s">
        <v>2254</v>
      </c>
      <c r="BC1169" s="47" t="s">
        <v>270</v>
      </c>
      <c r="BD1169" s="47" t="s">
        <v>8374</v>
      </c>
      <c r="BE1169" s="48" t="s">
        <v>1712</v>
      </c>
      <c r="BF1169" s="48" t="s">
        <v>272</v>
      </c>
      <c r="BG1169" s="48" t="s">
        <v>272</v>
      </c>
      <c r="BH1169" s="48" t="s">
        <v>2255</v>
      </c>
      <c r="BI1169" s="98">
        <v>9.9999999999999995E-7</v>
      </c>
      <c r="BJ1169" s="98">
        <v>0.08</v>
      </c>
      <c r="BK1169" s="48"/>
      <c r="BL1169" s="98">
        <f t="shared" si="307"/>
        <v>1.9579518165576351</v>
      </c>
      <c r="BM1169" s="48" t="s">
        <v>891</v>
      </c>
      <c r="BN1169" s="233"/>
      <c r="BO1169" s="233"/>
      <c r="BP1169" s="233"/>
      <c r="BQ1169" s="233"/>
      <c r="BR1169" s="233"/>
      <c r="BS1169" s="48"/>
      <c r="BT1169" s="233"/>
      <c r="BU1169" s="228"/>
      <c r="BV1169" s="233"/>
      <c r="BW1169" s="233"/>
      <c r="BX1169" s="233"/>
      <c r="BY1169" s="233"/>
      <c r="BZ1169" s="233"/>
      <c r="CA1169" s="233"/>
      <c r="CB1169" s="233"/>
      <c r="CC1169" s="48"/>
      <c r="CD1169" s="48"/>
      <c r="CE1169" s="48"/>
      <c r="CF1169" s="48"/>
      <c r="CG1169" s="233"/>
      <c r="CH1169" s="48"/>
      <c r="CI1169" s="98"/>
      <c r="CJ1169" s="98"/>
      <c r="CK1169" s="49">
        <f t="shared" si="313"/>
        <v>24.474397706970439</v>
      </c>
      <c r="CL1169" s="229"/>
      <c r="CM1169" s="229"/>
      <c r="CN1169" s="229"/>
      <c r="CO1169" s="47" t="s">
        <v>892</v>
      </c>
      <c r="CP1169" s="47" t="s">
        <v>893</v>
      </c>
      <c r="CQ1169" s="224">
        <v>-4.260177018096587</v>
      </c>
      <c r="CR1169" s="224">
        <f>10^(CJ1169-CQ1169)</f>
        <v>18204.427184599786</v>
      </c>
      <c r="CS1169" s="230" t="s">
        <v>539</v>
      </c>
      <c r="CT1169" s="230"/>
      <c r="CU1169" s="230"/>
      <c r="CV1169" s="335">
        <f t="shared" ref="CV1169:CV1232" si="314">X1169/BJ1169</f>
        <v>7.7316177686633818</v>
      </c>
      <c r="CW1169" s="230">
        <f t="shared" si="312"/>
        <v>1</v>
      </c>
      <c r="CX1169" s="336" t="s">
        <v>539</v>
      </c>
      <c r="CY1169" s="230" t="s">
        <v>5921</v>
      </c>
    </row>
    <row r="1170" spans="1:103" ht="11.25" customHeight="1" x14ac:dyDescent="0.2">
      <c r="A1170" s="72">
        <v>1168</v>
      </c>
      <c r="B1170" s="224">
        <v>1730</v>
      </c>
      <c r="C1170" s="46" t="s">
        <v>7310</v>
      </c>
      <c r="D1170" s="46"/>
      <c r="E1170" s="114"/>
      <c r="F1170" s="114" t="s">
        <v>3932</v>
      </c>
      <c r="G1170" s="225">
        <v>950378</v>
      </c>
      <c r="H1170" s="47" t="s">
        <v>3933</v>
      </c>
      <c r="I1170" s="47" t="s">
        <v>3933</v>
      </c>
      <c r="J1170" s="47" t="s">
        <v>3934</v>
      </c>
      <c r="K1170" s="47" t="s">
        <v>3935</v>
      </c>
      <c r="L1170" s="47" t="s">
        <v>617</v>
      </c>
      <c r="M1170" s="47" t="s">
        <v>946</v>
      </c>
      <c r="N1170" s="47"/>
      <c r="O1170" s="47" t="s">
        <v>918</v>
      </c>
      <c r="P1170" s="53" t="s">
        <v>6178</v>
      </c>
      <c r="Q1170" s="53" t="s">
        <v>6176</v>
      </c>
      <c r="R1170" s="53" t="s">
        <v>6177</v>
      </c>
      <c r="S1170" s="53" t="s">
        <v>6173</v>
      </c>
      <c r="T1170" s="48">
        <v>302.33</v>
      </c>
      <c r="U1170" s="98">
        <v>0.61852942149307055</v>
      </c>
      <c r="V1170" s="98">
        <v>0.52029239572652408</v>
      </c>
      <c r="W1170" s="98">
        <v>0.39810717055349709</v>
      </c>
      <c r="X1170" s="98">
        <v>0.61852942149307055</v>
      </c>
      <c r="Y1170" s="233">
        <v>7</v>
      </c>
      <c r="Z1170" s="48">
        <v>1.58</v>
      </c>
      <c r="AA1170" s="48">
        <v>2.2000000000000002</v>
      </c>
      <c r="AB1170" s="48">
        <v>1.73</v>
      </c>
      <c r="AC1170" s="48">
        <v>0.71389999999999998</v>
      </c>
      <c r="AD1170" s="48">
        <v>1.83</v>
      </c>
      <c r="AE1170" s="48">
        <v>2.0299999999999998</v>
      </c>
      <c r="AF1170" s="48">
        <f t="shared" si="311"/>
        <v>2.2000000000000002</v>
      </c>
      <c r="AG1170" s="49">
        <v>3.36</v>
      </c>
      <c r="AH1170" s="98">
        <v>7.0999999999999999E-9</v>
      </c>
      <c r="AI1170" s="98">
        <v>7.1699999999999998E-9</v>
      </c>
      <c r="AJ1170" s="483">
        <f t="shared" si="309"/>
        <v>-6.5373079775935761</v>
      </c>
      <c r="AK1170" s="483">
        <f>LOG10(AI1170*1000/(0.08206*298.15))</f>
        <v>-6.5330471706448519</v>
      </c>
      <c r="AL1170" s="483">
        <f t="shared" si="308"/>
        <v>-6.5330471706448519</v>
      </c>
      <c r="AM1170" s="483">
        <v>-16.076590000000003</v>
      </c>
      <c r="AN1170" s="226">
        <v>-1.94</v>
      </c>
      <c r="AO1170" s="484"/>
      <c r="AP1170" s="484">
        <v>-4.17</v>
      </c>
      <c r="AQ1170" s="226" t="s">
        <v>6314</v>
      </c>
      <c r="AR1170" s="226" t="s">
        <v>6314</v>
      </c>
      <c r="AS1170" s="224"/>
      <c r="AT1170" s="50" t="s">
        <v>266</v>
      </c>
      <c r="AU1170" s="48">
        <v>6</v>
      </c>
      <c r="AV1170" s="48">
        <v>120</v>
      </c>
      <c r="AW1170" s="48">
        <v>114</v>
      </c>
      <c r="AX1170" s="48">
        <v>28</v>
      </c>
      <c r="AY1170" s="48" t="s">
        <v>8728</v>
      </c>
      <c r="AZ1170" s="48" t="s">
        <v>1563</v>
      </c>
      <c r="BA1170" s="48">
        <v>32</v>
      </c>
      <c r="BB1170" s="47" t="s">
        <v>2485</v>
      </c>
      <c r="BC1170" s="47" t="s">
        <v>8726</v>
      </c>
      <c r="BD1170" s="47" t="s">
        <v>8374</v>
      </c>
      <c r="BE1170" s="48" t="s">
        <v>2449</v>
      </c>
      <c r="BF1170" s="48" t="s">
        <v>272</v>
      </c>
      <c r="BG1170" s="48" t="s">
        <v>272</v>
      </c>
      <c r="BH1170" s="48" t="s">
        <v>2486</v>
      </c>
      <c r="BI1170" s="98">
        <v>6.3999999999999997E-6</v>
      </c>
      <c r="BJ1170" s="98">
        <v>6.4000000000000001E-2</v>
      </c>
      <c r="BK1170" s="48"/>
      <c r="BL1170" s="98">
        <f t="shared" ref="BL1170:BL1233" si="315">10^((-0.8981*Z1170)+1.7108)</f>
        <v>1.9579518165576351</v>
      </c>
      <c r="BM1170" s="47" t="s">
        <v>2487</v>
      </c>
      <c r="BN1170" s="48"/>
      <c r="BO1170" s="48"/>
      <c r="BP1170" s="48"/>
      <c r="BQ1170" s="48"/>
      <c r="BR1170" s="47" t="s">
        <v>2496</v>
      </c>
      <c r="BS1170" s="48"/>
      <c r="BT1170" s="48"/>
      <c r="BU1170" s="228"/>
      <c r="BV1170" s="48"/>
      <c r="BW1170" s="48"/>
      <c r="BX1170" s="48"/>
      <c r="BY1170" s="48"/>
      <c r="BZ1170" s="48"/>
      <c r="CA1170" s="48"/>
      <c r="CB1170" s="48"/>
      <c r="CC1170" s="48"/>
      <c r="CD1170" s="48"/>
      <c r="CE1170" s="48"/>
      <c r="CF1170" s="48"/>
      <c r="CG1170" s="48"/>
      <c r="CH1170" s="48"/>
      <c r="CI1170" s="98"/>
      <c r="CJ1170" s="98"/>
      <c r="CK1170" s="49">
        <f t="shared" si="313"/>
        <v>30.592997133713048</v>
      </c>
      <c r="CL1170" s="229"/>
      <c r="CM1170" s="229"/>
      <c r="CN1170" s="229"/>
      <c r="CO1170" s="47" t="s">
        <v>2488</v>
      </c>
      <c r="CP1170" s="47" t="s">
        <v>2489</v>
      </c>
      <c r="CQ1170" s="224">
        <v>-4.260177018096587</v>
      </c>
      <c r="CR1170" s="224">
        <f>10^(CJ1170-CQ1170)</f>
        <v>18204.427184599786</v>
      </c>
      <c r="CS1170" s="230" t="s">
        <v>539</v>
      </c>
      <c r="CT1170" s="230"/>
      <c r="CU1170" s="230"/>
      <c r="CV1170" s="335">
        <f t="shared" si="314"/>
        <v>9.6645222108292277</v>
      </c>
      <c r="CW1170" s="230">
        <f t="shared" si="312"/>
        <v>1</v>
      </c>
      <c r="CX1170" s="336"/>
      <c r="CY1170" s="230" t="s">
        <v>5921</v>
      </c>
    </row>
    <row r="1171" spans="1:103" ht="11.25" customHeight="1" x14ac:dyDescent="0.2">
      <c r="A1171" s="72">
        <v>1169</v>
      </c>
      <c r="B1171" s="224">
        <v>1092</v>
      </c>
      <c r="C1171" s="46" t="s">
        <v>1091</v>
      </c>
      <c r="D1171" s="46"/>
      <c r="E1171" s="114"/>
      <c r="F1171" s="114" t="s">
        <v>1092</v>
      </c>
      <c r="G1171" s="225">
        <v>962583</v>
      </c>
      <c r="H1171" s="47" t="s">
        <v>1093</v>
      </c>
      <c r="I1171" s="47" t="s">
        <v>1093</v>
      </c>
      <c r="J1171" s="47" t="s">
        <v>1094</v>
      </c>
      <c r="K1171" s="47" t="s">
        <v>637</v>
      </c>
      <c r="L1171" s="51"/>
      <c r="M1171" s="47"/>
      <c r="N1171" s="47"/>
      <c r="O1171" s="47"/>
      <c r="P1171" s="53"/>
      <c r="Q1171" s="53"/>
      <c r="R1171" s="53"/>
      <c r="S1171" s="53"/>
      <c r="T1171" s="48">
        <v>288.27999999999997</v>
      </c>
      <c r="U1171" s="98"/>
      <c r="V1171" s="98">
        <v>0.85021506868322472</v>
      </c>
      <c r="W1171" s="98">
        <v>8.5113803820237681</v>
      </c>
      <c r="X1171" s="98">
        <f>IF(W1171=0,V1171,W1171)</f>
        <v>8.5113803820237681</v>
      </c>
      <c r="Y1171" s="233">
        <v>7.03</v>
      </c>
      <c r="Z1171" s="48">
        <v>2.1</v>
      </c>
      <c r="AA1171" s="48">
        <v>2.0699999999999998</v>
      </c>
      <c r="AB1171" s="48">
        <v>1.74</v>
      </c>
      <c r="AC1171" s="48">
        <v>0.85509999999999997</v>
      </c>
      <c r="AD1171" s="48">
        <v>1.82</v>
      </c>
      <c r="AE1171" s="48">
        <v>2.0699999999999998</v>
      </c>
      <c r="AF1171" s="48">
        <f t="shared" si="311"/>
        <v>2.0699999999999998</v>
      </c>
      <c r="AG1171" s="49">
        <v>2.9</v>
      </c>
      <c r="AH1171" s="98">
        <v>1.8899999999999999E-10</v>
      </c>
      <c r="AI1171" s="98"/>
      <c r="AJ1171" s="483">
        <f t="shared" si="309"/>
        <v>-8.1121045221394077</v>
      </c>
      <c r="AK1171" s="483"/>
      <c r="AL1171" s="483">
        <f t="shared" si="308"/>
        <v>-8.1121045221394077</v>
      </c>
      <c r="AM1171" s="483">
        <v>-13.35488</v>
      </c>
      <c r="AN1171" s="226">
        <v>-4.6100000000000003</v>
      </c>
      <c r="AO1171" s="484"/>
      <c r="AP1171" s="484">
        <v>1.21</v>
      </c>
      <c r="AQ1171" s="48" t="s">
        <v>6312</v>
      </c>
      <c r="AR1171" s="48" t="s">
        <v>6312</v>
      </c>
      <c r="AS1171" s="227"/>
      <c r="AT1171" s="50" t="s">
        <v>266</v>
      </c>
      <c r="AU1171" s="48">
        <v>6</v>
      </c>
      <c r="AV1171" s="48">
        <v>120</v>
      </c>
      <c r="AW1171" s="48">
        <v>114</v>
      </c>
      <c r="AX1171" s="48">
        <v>28</v>
      </c>
      <c r="AY1171" s="48" t="s">
        <v>8728</v>
      </c>
      <c r="AZ1171" s="48" t="s">
        <v>1563</v>
      </c>
      <c r="BA1171" s="48">
        <v>32</v>
      </c>
      <c r="BB1171" s="47" t="s">
        <v>2485</v>
      </c>
      <c r="BC1171" s="47" t="s">
        <v>8726</v>
      </c>
      <c r="BD1171" s="47" t="s">
        <v>8374</v>
      </c>
      <c r="BE1171" s="48" t="s">
        <v>2449</v>
      </c>
      <c r="BF1171" s="48" t="s">
        <v>272</v>
      </c>
      <c r="BG1171" s="48" t="s">
        <v>272</v>
      </c>
      <c r="BH1171" s="48" t="s">
        <v>2486</v>
      </c>
      <c r="BI1171" s="98">
        <v>6.3999999999999997E-6</v>
      </c>
      <c r="BJ1171" s="98">
        <v>6.4000000000000001E-2</v>
      </c>
      <c r="BK1171" s="48"/>
      <c r="BL1171" s="98">
        <f t="shared" si="315"/>
        <v>0.66802082275427344</v>
      </c>
      <c r="BM1171" s="47" t="s">
        <v>2487</v>
      </c>
      <c r="BN1171" s="48"/>
      <c r="BO1171" s="48"/>
      <c r="BP1171" s="48"/>
      <c r="BQ1171" s="48"/>
      <c r="BR1171" s="47" t="s">
        <v>2496</v>
      </c>
      <c r="BS1171" s="48"/>
      <c r="BT1171" s="48"/>
      <c r="BU1171" s="228">
        <v>6.3999999999999997E-6</v>
      </c>
      <c r="BV1171" s="48"/>
      <c r="BW1171" s="48"/>
      <c r="BX1171" s="48"/>
      <c r="BY1171" s="48"/>
      <c r="BZ1171" s="48"/>
      <c r="CA1171" s="48"/>
      <c r="CB1171" s="48"/>
      <c r="CC1171" s="48"/>
      <c r="CD1171" s="48"/>
      <c r="CE1171" s="48"/>
      <c r="CF1171" s="48"/>
      <c r="CG1171" s="48"/>
      <c r="CH1171" s="48"/>
      <c r="CI1171" s="98"/>
      <c r="CJ1171" s="98"/>
      <c r="CK1171" s="49">
        <f t="shared" si="313"/>
        <v>10.437825355535523</v>
      </c>
      <c r="CL1171" s="229"/>
      <c r="CM1171" s="229"/>
      <c r="CN1171" s="229"/>
      <c r="CO1171" s="47" t="s">
        <v>2488</v>
      </c>
      <c r="CP1171" s="47" t="s">
        <v>2489</v>
      </c>
      <c r="CQ1171" s="224" t="s">
        <v>272</v>
      </c>
      <c r="CR1171" s="224"/>
      <c r="CS1171" s="230" t="s">
        <v>539</v>
      </c>
      <c r="CT1171" s="230"/>
      <c r="CU1171" s="230"/>
      <c r="CV1171" s="335">
        <f t="shared" si="314"/>
        <v>132.99031846912138</v>
      </c>
      <c r="CW1171" s="230">
        <f t="shared" si="312"/>
        <v>1</v>
      </c>
      <c r="CX1171" s="336"/>
      <c r="CY1171" s="230" t="s">
        <v>5921</v>
      </c>
    </row>
    <row r="1172" spans="1:103" ht="11.25" customHeight="1" x14ac:dyDescent="0.2">
      <c r="A1172" s="72">
        <v>1170</v>
      </c>
      <c r="B1172" s="224">
        <v>215</v>
      </c>
      <c r="C1172" s="46" t="s">
        <v>7311</v>
      </c>
      <c r="D1172" s="46"/>
      <c r="E1172" s="114"/>
      <c r="F1172" s="114" t="s">
        <v>3052</v>
      </c>
      <c r="G1172" s="225">
        <v>1007289</v>
      </c>
      <c r="H1172" s="47" t="s">
        <v>3053</v>
      </c>
      <c r="I1172" s="47" t="s">
        <v>8063</v>
      </c>
      <c r="J1172" s="47" t="s">
        <v>3054</v>
      </c>
      <c r="K1172" s="47" t="s">
        <v>3055</v>
      </c>
      <c r="L1172" s="47"/>
      <c r="M1172" s="47"/>
      <c r="N1172" s="47"/>
      <c r="O1172" s="47"/>
      <c r="P1172" s="53"/>
      <c r="Q1172" s="53" t="s">
        <v>6173</v>
      </c>
      <c r="R1172" s="53" t="s">
        <v>6185</v>
      </c>
      <c r="S1172" s="53" t="s">
        <v>6176</v>
      </c>
      <c r="T1172" s="48">
        <v>173.6</v>
      </c>
      <c r="U1172" s="98">
        <v>3.8594470046082949</v>
      </c>
      <c r="V1172" s="98">
        <v>35.483870967741936</v>
      </c>
      <c r="W1172" s="98">
        <v>5.370317963702524</v>
      </c>
      <c r="X1172" s="98">
        <v>3.8594470046082949</v>
      </c>
      <c r="Y1172" s="233">
        <v>7.88</v>
      </c>
      <c r="Z1172" s="48">
        <v>1.36</v>
      </c>
      <c r="AA1172" s="48">
        <v>1.1499999999999999</v>
      </c>
      <c r="AB1172" s="48">
        <v>1.29</v>
      </c>
      <c r="AC1172" s="48">
        <v>0.94299999999999995</v>
      </c>
      <c r="AD1172" s="48">
        <v>1.26</v>
      </c>
      <c r="AE1172" s="48">
        <v>1.1599999999999999</v>
      </c>
      <c r="AF1172" s="48">
        <f t="shared" si="311"/>
        <v>1.1499999999999999</v>
      </c>
      <c r="AG1172" s="49">
        <v>1.01</v>
      </c>
      <c r="AH1172" s="98">
        <v>1.1599999999999999E-9</v>
      </c>
      <c r="AI1172" s="98"/>
      <c r="AJ1172" s="483">
        <f t="shared" si="309"/>
        <v>-7.3241083370857334</v>
      </c>
      <c r="AK1172" s="483"/>
      <c r="AL1172" s="483">
        <f t="shared" si="308"/>
        <v>-7.3241083370857334</v>
      </c>
      <c r="AM1172" s="483">
        <v>-11.125200000000001</v>
      </c>
      <c r="AN1172" s="226">
        <v>-9.07</v>
      </c>
      <c r="AO1172" s="484"/>
      <c r="AP1172" s="484">
        <v>3.85</v>
      </c>
      <c r="AQ1172" s="226" t="s">
        <v>6311</v>
      </c>
      <c r="AR1172" s="226" t="s">
        <v>6311</v>
      </c>
      <c r="AS1172" s="224" t="s">
        <v>6</v>
      </c>
      <c r="AT1172" s="50" t="s">
        <v>266</v>
      </c>
      <c r="AU1172" s="48">
        <v>8</v>
      </c>
      <c r="AV1172" s="48">
        <v>144</v>
      </c>
      <c r="AW1172" s="48">
        <v>120</v>
      </c>
      <c r="AX1172" s="48">
        <v>26</v>
      </c>
      <c r="AY1172" s="48" t="s">
        <v>267</v>
      </c>
      <c r="AZ1172" s="48" t="s">
        <v>2253</v>
      </c>
      <c r="BA1172" s="48">
        <v>2</v>
      </c>
      <c r="BB1172" s="47" t="s">
        <v>2254</v>
      </c>
      <c r="BC1172" s="47" t="s">
        <v>270</v>
      </c>
      <c r="BD1172" s="47" t="s">
        <v>8374</v>
      </c>
      <c r="BE1172" s="48" t="s">
        <v>1712</v>
      </c>
      <c r="BF1172" s="48" t="s">
        <v>272</v>
      </c>
      <c r="BG1172" s="48" t="s">
        <v>272</v>
      </c>
      <c r="BH1172" s="48" t="s">
        <v>2255</v>
      </c>
      <c r="BI1172" s="98">
        <v>9.9999999999999995E-7</v>
      </c>
      <c r="BJ1172" s="98">
        <v>0.08</v>
      </c>
      <c r="BK1172" s="48"/>
      <c r="BL1172" s="98">
        <f t="shared" si="315"/>
        <v>3.0859152880211576</v>
      </c>
      <c r="BM1172" s="48" t="s">
        <v>891</v>
      </c>
      <c r="BN1172" s="233"/>
      <c r="BO1172" s="233"/>
      <c r="BP1172" s="233"/>
      <c r="BQ1172" s="233"/>
      <c r="BR1172" s="233"/>
      <c r="BS1172" s="48"/>
      <c r="BT1172" s="233"/>
      <c r="BU1172" s="228"/>
      <c r="BV1172" s="233"/>
      <c r="BW1172" s="233"/>
      <c r="BX1172" s="233"/>
      <c r="BY1172" s="233"/>
      <c r="BZ1172" s="233"/>
      <c r="CA1172" s="233"/>
      <c r="CB1172" s="233"/>
      <c r="CC1172" s="48"/>
      <c r="CD1172" s="48"/>
      <c r="CE1172" s="48"/>
      <c r="CF1172" s="48"/>
      <c r="CG1172" s="233"/>
      <c r="CH1172" s="48"/>
      <c r="CI1172" s="98"/>
      <c r="CJ1172" s="98"/>
      <c r="CK1172" s="49">
        <f t="shared" si="313"/>
        <v>38.57394110026447</v>
      </c>
      <c r="CL1172" s="229"/>
      <c r="CM1172" s="229"/>
      <c r="CN1172" s="229"/>
      <c r="CO1172" s="47" t="s">
        <v>892</v>
      </c>
      <c r="CP1172" s="47" t="s">
        <v>893</v>
      </c>
      <c r="CQ1172" s="224" t="s">
        <v>272</v>
      </c>
      <c r="CR1172" s="224"/>
      <c r="CS1172" s="230" t="s">
        <v>539</v>
      </c>
      <c r="CT1172" s="230"/>
      <c r="CU1172" s="230"/>
      <c r="CV1172" s="335">
        <f t="shared" si="314"/>
        <v>48.243087557603687</v>
      </c>
      <c r="CW1172" s="230">
        <f t="shared" si="312"/>
        <v>1</v>
      </c>
      <c r="CX1172" s="336" t="s">
        <v>539</v>
      </c>
      <c r="CY1172" s="230" t="s">
        <v>5921</v>
      </c>
    </row>
    <row r="1173" spans="1:103" ht="11.25" customHeight="1" x14ac:dyDescent="0.2">
      <c r="A1173" s="72">
        <v>1171</v>
      </c>
      <c r="B1173" s="224">
        <v>1090</v>
      </c>
      <c r="C1173" s="46" t="s">
        <v>7312</v>
      </c>
      <c r="D1173" s="46"/>
      <c r="E1173" s="114"/>
      <c r="F1173" s="114" t="s">
        <v>3052</v>
      </c>
      <c r="G1173" s="225">
        <v>1007289</v>
      </c>
      <c r="H1173" s="47" t="s">
        <v>3053</v>
      </c>
      <c r="I1173" s="47" t="s">
        <v>8063</v>
      </c>
      <c r="J1173" s="47" t="s">
        <v>3054</v>
      </c>
      <c r="K1173" s="47" t="s">
        <v>3055</v>
      </c>
      <c r="L1173" s="47"/>
      <c r="M1173" s="47"/>
      <c r="N1173" s="47"/>
      <c r="O1173" s="47"/>
      <c r="P1173" s="53"/>
      <c r="Q1173" s="53"/>
      <c r="R1173" s="53"/>
      <c r="S1173" s="53"/>
      <c r="T1173" s="48">
        <v>173.6</v>
      </c>
      <c r="U1173" s="98">
        <v>3.8594470046082949</v>
      </c>
      <c r="V1173" s="98">
        <v>35.483870967741936</v>
      </c>
      <c r="W1173" s="98">
        <v>5.370317963702524</v>
      </c>
      <c r="X1173" s="98">
        <v>3.8594470046082949</v>
      </c>
      <c r="Y1173" s="233">
        <v>7.88</v>
      </c>
      <c r="Z1173" s="48">
        <v>1.36</v>
      </c>
      <c r="AA1173" s="48">
        <v>1.1499999999999999</v>
      </c>
      <c r="AB1173" s="48">
        <v>1.29</v>
      </c>
      <c r="AC1173" s="48">
        <v>0.94299999999999995</v>
      </c>
      <c r="AD1173" s="48">
        <v>1.26</v>
      </c>
      <c r="AE1173" s="48">
        <v>1.1599999999999999</v>
      </c>
      <c r="AF1173" s="48">
        <f t="shared" si="311"/>
        <v>1.1499999999999999</v>
      </c>
      <c r="AG1173" s="49">
        <v>1.01</v>
      </c>
      <c r="AH1173" s="98">
        <v>1.1599999999999999E-9</v>
      </c>
      <c r="AI1173" s="98"/>
      <c r="AJ1173" s="483">
        <f t="shared" si="309"/>
        <v>-7.3241083370857334</v>
      </c>
      <c r="AK1173" s="483"/>
      <c r="AL1173" s="483">
        <f t="shared" si="308"/>
        <v>-7.3241083370857334</v>
      </c>
      <c r="AM1173" s="483">
        <v>-11.125200000000001</v>
      </c>
      <c r="AN1173" s="226">
        <v>-9.07</v>
      </c>
      <c r="AO1173" s="484"/>
      <c r="AP1173" s="484">
        <v>3.85</v>
      </c>
      <c r="AQ1173" s="48" t="s">
        <v>6311</v>
      </c>
      <c r="AR1173" s="48" t="s">
        <v>6311</v>
      </c>
      <c r="AS1173" s="227"/>
      <c r="AT1173" s="50" t="s">
        <v>266</v>
      </c>
      <c r="AU1173" s="48">
        <v>6</v>
      </c>
      <c r="AV1173" s="48">
        <v>120</v>
      </c>
      <c r="AW1173" s="48">
        <v>114</v>
      </c>
      <c r="AX1173" s="48">
        <v>28</v>
      </c>
      <c r="AY1173" s="48" t="s">
        <v>8728</v>
      </c>
      <c r="AZ1173" s="48" t="s">
        <v>1563</v>
      </c>
      <c r="BA1173" s="48">
        <v>32</v>
      </c>
      <c r="BB1173" s="47" t="s">
        <v>2485</v>
      </c>
      <c r="BC1173" s="47" t="s">
        <v>8726</v>
      </c>
      <c r="BD1173" s="47" t="s">
        <v>8374</v>
      </c>
      <c r="BE1173" s="48" t="s">
        <v>2449</v>
      </c>
      <c r="BF1173" s="48" t="s">
        <v>272</v>
      </c>
      <c r="BG1173" s="48" t="s">
        <v>272</v>
      </c>
      <c r="BH1173" s="48" t="s">
        <v>2486</v>
      </c>
      <c r="BI1173" s="98">
        <v>6.3999999999999997E-6</v>
      </c>
      <c r="BJ1173" s="98">
        <v>6.4000000000000001E-2</v>
      </c>
      <c r="BK1173" s="48"/>
      <c r="BL1173" s="98">
        <f t="shared" si="315"/>
        <v>3.0859152880211576</v>
      </c>
      <c r="BM1173" s="47" t="s">
        <v>2487</v>
      </c>
      <c r="BN1173" s="48"/>
      <c r="BO1173" s="48"/>
      <c r="BP1173" s="48"/>
      <c r="BQ1173" s="48"/>
      <c r="BR1173" s="47" t="s">
        <v>2496</v>
      </c>
      <c r="BS1173" s="48"/>
      <c r="BT1173" s="48"/>
      <c r="BU1173" s="228">
        <v>6.3999999999999997E-6</v>
      </c>
      <c r="BV1173" s="48"/>
      <c r="BW1173" s="48"/>
      <c r="BX1173" s="48"/>
      <c r="BY1173" s="48"/>
      <c r="BZ1173" s="48"/>
      <c r="CA1173" s="48"/>
      <c r="CB1173" s="48"/>
      <c r="CC1173" s="48"/>
      <c r="CD1173" s="48"/>
      <c r="CE1173" s="48"/>
      <c r="CF1173" s="48"/>
      <c r="CG1173" s="48"/>
      <c r="CH1173" s="48"/>
      <c r="CI1173" s="98"/>
      <c r="CJ1173" s="98"/>
      <c r="CK1173" s="49">
        <f t="shared" si="313"/>
        <v>48.217426375330582</v>
      </c>
      <c r="CL1173" s="229"/>
      <c r="CM1173" s="229"/>
      <c r="CN1173" s="229"/>
      <c r="CO1173" s="47" t="s">
        <v>2488</v>
      </c>
      <c r="CP1173" s="47" t="s">
        <v>2489</v>
      </c>
      <c r="CQ1173" s="224" t="s">
        <v>272</v>
      </c>
      <c r="CR1173" s="224"/>
      <c r="CS1173" s="230" t="s">
        <v>539</v>
      </c>
      <c r="CT1173" s="230"/>
      <c r="CU1173" s="230"/>
      <c r="CV1173" s="335">
        <f t="shared" si="314"/>
        <v>60.303859447004605</v>
      </c>
      <c r="CW1173" s="230">
        <f t="shared" si="312"/>
        <v>1</v>
      </c>
      <c r="CX1173" s="336"/>
      <c r="CY1173" s="230" t="s">
        <v>5921</v>
      </c>
    </row>
    <row r="1174" spans="1:103" ht="11.25" customHeight="1" x14ac:dyDescent="0.2">
      <c r="A1174" s="72">
        <v>1172</v>
      </c>
      <c r="B1174" s="224">
        <v>1688</v>
      </c>
      <c r="C1174" s="46" t="s">
        <v>7313</v>
      </c>
      <c r="D1174" s="46"/>
      <c r="E1174" s="114"/>
      <c r="F1174" s="114" t="s">
        <v>4923</v>
      </c>
      <c r="G1174" s="225">
        <v>1024573</v>
      </c>
      <c r="H1174" s="47" t="s">
        <v>4924</v>
      </c>
      <c r="I1174" s="47" t="s">
        <v>8064</v>
      </c>
      <c r="J1174" s="47" t="s">
        <v>4925</v>
      </c>
      <c r="K1174" s="47" t="s">
        <v>4926</v>
      </c>
      <c r="L1174" s="47" t="s">
        <v>617</v>
      </c>
      <c r="M1174" s="239" t="s">
        <v>6080</v>
      </c>
      <c r="N1174" s="47"/>
      <c r="O1174" s="47" t="s">
        <v>6083</v>
      </c>
      <c r="P1174" s="53"/>
      <c r="Q1174" s="53"/>
      <c r="R1174" s="53"/>
      <c r="S1174" s="53"/>
      <c r="T1174" s="48">
        <v>389.31</v>
      </c>
      <c r="U1174" s="98">
        <v>5.1372941871516279E-4</v>
      </c>
      <c r="V1174" s="98">
        <v>5.1141763633094444E-4</v>
      </c>
      <c r="W1174" s="98">
        <v>7.5857757502918234E-4</v>
      </c>
      <c r="X1174" s="98">
        <v>5.1372941871516279E-4</v>
      </c>
      <c r="Y1174" s="233">
        <v>7</v>
      </c>
      <c r="Z1174" s="48">
        <v>4.5599999999999996</v>
      </c>
      <c r="AA1174" s="48">
        <v>4.9800000000000004</v>
      </c>
      <c r="AB1174" s="48">
        <v>5.21</v>
      </c>
      <c r="AC1174" s="48">
        <v>0.74870000000000003</v>
      </c>
      <c r="AD1174" s="48">
        <v>5.29</v>
      </c>
      <c r="AE1174" s="48">
        <v>5.47</v>
      </c>
      <c r="AF1174" s="48">
        <f t="shared" si="311"/>
        <v>4.9800000000000004</v>
      </c>
      <c r="AG1174" s="49">
        <v>4.0599999999999996</v>
      </c>
      <c r="AH1174" s="98">
        <v>2.4499999999999998E-7</v>
      </c>
      <c r="AI1174" s="98">
        <v>2.0999999999999999E-5</v>
      </c>
      <c r="AJ1174" s="483">
        <f t="shared" si="309"/>
        <v>-4.9994002419481198</v>
      </c>
      <c r="AK1174" s="483">
        <f>LOG10(AI1174*1000/(0.08206*298.15))</f>
        <v>-3.0663470315787325</v>
      </c>
      <c r="AL1174" s="483">
        <f t="shared" si="308"/>
        <v>-3.0663470315787325</v>
      </c>
      <c r="AM1174" s="483">
        <v>-9.073599999999999</v>
      </c>
      <c r="AN1174" s="226">
        <v>-4.53</v>
      </c>
      <c r="AO1174" s="484"/>
      <c r="AP1174" s="484"/>
      <c r="AQ1174" s="226" t="s">
        <v>6312</v>
      </c>
      <c r="AR1174" s="226" t="s">
        <v>6311</v>
      </c>
      <c r="AS1174" s="224"/>
      <c r="AT1174" s="50" t="s">
        <v>266</v>
      </c>
      <c r="AU1174" s="48">
        <v>6</v>
      </c>
      <c r="AV1174" s="48">
        <v>120</v>
      </c>
      <c r="AW1174" s="48">
        <v>114</v>
      </c>
      <c r="AX1174" s="48">
        <v>28</v>
      </c>
      <c r="AY1174" s="48" t="s">
        <v>8728</v>
      </c>
      <c r="AZ1174" s="48" t="s">
        <v>1563</v>
      </c>
      <c r="BA1174" s="48">
        <v>32</v>
      </c>
      <c r="BB1174" s="47" t="s">
        <v>2485</v>
      </c>
      <c r="BC1174" s="47" t="s">
        <v>8726</v>
      </c>
      <c r="BD1174" s="47" t="s">
        <v>8374</v>
      </c>
      <c r="BE1174" s="48" t="s">
        <v>2449</v>
      </c>
      <c r="BF1174" s="48" t="s">
        <v>272</v>
      </c>
      <c r="BG1174" s="48" t="s">
        <v>272</v>
      </c>
      <c r="BH1174" s="48" t="s">
        <v>2486</v>
      </c>
      <c r="BI1174" s="98">
        <v>6.3999999999999997E-6</v>
      </c>
      <c r="BJ1174" s="98">
        <v>6.4000000000000001E-2</v>
      </c>
      <c r="BK1174" s="48"/>
      <c r="BL1174" s="98">
        <f t="shared" si="315"/>
        <v>4.1253803915753968E-3</v>
      </c>
      <c r="BM1174" s="47" t="s">
        <v>2487</v>
      </c>
      <c r="BN1174" s="48"/>
      <c r="BO1174" s="48"/>
      <c r="BP1174" s="48"/>
      <c r="BQ1174" s="48"/>
      <c r="BR1174" s="47" t="s">
        <v>2496</v>
      </c>
      <c r="BS1174" s="48"/>
      <c r="BT1174" s="48"/>
      <c r="BU1174" s="228"/>
      <c r="BV1174" s="48"/>
      <c r="BW1174" s="48"/>
      <c r="BX1174" s="48"/>
      <c r="BY1174" s="48"/>
      <c r="BZ1174" s="48"/>
      <c r="CA1174" s="48"/>
      <c r="CB1174" s="48"/>
      <c r="CC1174" s="48"/>
      <c r="CD1174" s="48"/>
      <c r="CE1174" s="48"/>
      <c r="CF1174" s="48"/>
      <c r="CG1174" s="48"/>
      <c r="CH1174" s="48"/>
      <c r="CI1174" s="98"/>
      <c r="CJ1174" s="98"/>
      <c r="CK1174" s="49">
        <f t="shared" si="313"/>
        <v>6.4459068618365575E-2</v>
      </c>
      <c r="CL1174" s="229"/>
      <c r="CM1174" s="229"/>
      <c r="CN1174" s="229"/>
      <c r="CO1174" s="47" t="s">
        <v>2488</v>
      </c>
      <c r="CP1174" s="47" t="s">
        <v>2489</v>
      </c>
      <c r="CQ1174" s="224">
        <v>-4.577642626721639</v>
      </c>
      <c r="CR1174" s="224">
        <f>10^(CJ1174-CQ1174)</f>
        <v>37813.129907430688</v>
      </c>
      <c r="CS1174" s="230" t="s">
        <v>539</v>
      </c>
      <c r="CT1174" s="230"/>
      <c r="CU1174" s="230"/>
      <c r="CV1174" s="335">
        <f t="shared" si="314"/>
        <v>8.0270221674244181E-3</v>
      </c>
      <c r="CW1174" s="230">
        <f t="shared" si="312"/>
        <v>0</v>
      </c>
      <c r="CX1174" s="336"/>
      <c r="CY1174" s="230" t="s">
        <v>5921</v>
      </c>
    </row>
    <row r="1175" spans="1:103" ht="11.25" customHeight="1" x14ac:dyDescent="0.2">
      <c r="A1175" s="72">
        <v>1173</v>
      </c>
      <c r="B1175" s="224">
        <v>1182</v>
      </c>
      <c r="C1175" s="46" t="s">
        <v>7314</v>
      </c>
      <c r="D1175" s="46"/>
      <c r="E1175" s="114"/>
      <c r="F1175" s="114" t="s">
        <v>3261</v>
      </c>
      <c r="G1175" s="225">
        <v>1095905</v>
      </c>
      <c r="H1175" s="47" t="s">
        <v>3262</v>
      </c>
      <c r="I1175" s="47" t="s">
        <v>8065</v>
      </c>
      <c r="J1175" s="47" t="s">
        <v>3263</v>
      </c>
      <c r="K1175" s="47" t="s">
        <v>426</v>
      </c>
      <c r="L1175" s="47"/>
      <c r="M1175" s="47"/>
      <c r="N1175" s="47"/>
      <c r="O1175" s="47"/>
      <c r="P1175" s="53"/>
      <c r="Q1175" s="53"/>
      <c r="R1175" s="53"/>
      <c r="S1175" s="53"/>
      <c r="T1175" s="48">
        <v>345.92</v>
      </c>
      <c r="U1175" s="98">
        <v>346.90101757631822</v>
      </c>
      <c r="V1175" s="98">
        <v>1.2106845513413507</v>
      </c>
      <c r="W1175" s="98"/>
      <c r="X1175" s="98">
        <v>346.90101757631822</v>
      </c>
      <c r="Y1175" s="233"/>
      <c r="Z1175" s="48">
        <v>1.4</v>
      </c>
      <c r="AA1175" s="48"/>
      <c r="AB1175" s="48">
        <v>0</v>
      </c>
      <c r="AC1175" s="48">
        <v>0</v>
      </c>
      <c r="AD1175" s="48">
        <v>0</v>
      </c>
      <c r="AE1175" s="48">
        <v>0</v>
      </c>
      <c r="AF1175" s="48"/>
      <c r="AG1175" s="49">
        <v>3.83</v>
      </c>
      <c r="AH1175" s="98">
        <v>3.1400000000000002E-17</v>
      </c>
      <c r="AI1175" s="98"/>
      <c r="AJ1175" s="483">
        <f t="shared" si="309"/>
        <v>-14.891636678239436</v>
      </c>
      <c r="AK1175" s="483"/>
      <c r="AL1175" s="483">
        <f t="shared" si="308"/>
        <v>-14.891636678239436</v>
      </c>
      <c r="AM1175" s="483"/>
      <c r="AN1175" s="226">
        <v>-9.93</v>
      </c>
      <c r="AO1175" s="484"/>
      <c r="AP1175" s="484"/>
      <c r="AQ1175" s="48" t="s">
        <v>6311</v>
      </c>
      <c r="AR1175" s="48" t="s">
        <v>6311</v>
      </c>
      <c r="AS1175" s="227"/>
      <c r="AT1175" s="50" t="s">
        <v>266</v>
      </c>
      <c r="AU1175" s="48">
        <v>6</v>
      </c>
      <c r="AV1175" s="48">
        <v>120</v>
      </c>
      <c r="AW1175" s="48">
        <v>114</v>
      </c>
      <c r="AX1175" s="48">
        <v>28</v>
      </c>
      <c r="AY1175" s="48" t="s">
        <v>8728</v>
      </c>
      <c r="AZ1175" s="48" t="s">
        <v>1563</v>
      </c>
      <c r="BA1175" s="48">
        <v>32</v>
      </c>
      <c r="BB1175" s="47" t="s">
        <v>2485</v>
      </c>
      <c r="BC1175" s="47" t="s">
        <v>8726</v>
      </c>
      <c r="BD1175" s="47" t="s">
        <v>8374</v>
      </c>
      <c r="BE1175" s="48" t="s">
        <v>2449</v>
      </c>
      <c r="BF1175" s="48" t="s">
        <v>272</v>
      </c>
      <c r="BG1175" s="48" t="s">
        <v>272</v>
      </c>
      <c r="BH1175" s="48" t="s">
        <v>2486</v>
      </c>
      <c r="BI1175" s="98">
        <v>6.3999999999999997E-6</v>
      </c>
      <c r="BJ1175" s="98">
        <v>6.4000000000000001E-2</v>
      </c>
      <c r="BK1175" s="48"/>
      <c r="BL1175" s="98">
        <f t="shared" si="315"/>
        <v>2.8409265139313828</v>
      </c>
      <c r="BM1175" s="47" t="s">
        <v>2487</v>
      </c>
      <c r="BN1175" s="48"/>
      <c r="BO1175" s="48"/>
      <c r="BP1175" s="48"/>
      <c r="BQ1175" s="48"/>
      <c r="BR1175" s="47" t="s">
        <v>2496</v>
      </c>
      <c r="BS1175" s="48"/>
      <c r="BT1175" s="48"/>
      <c r="BU1175" s="228">
        <v>4.64E-3</v>
      </c>
      <c r="BV1175" s="48"/>
      <c r="BW1175" s="48"/>
      <c r="BX1175" s="48"/>
      <c r="BY1175" s="48"/>
      <c r="BZ1175" s="48"/>
      <c r="CA1175" s="48"/>
      <c r="CB1175" s="48"/>
      <c r="CC1175" s="48"/>
      <c r="CD1175" s="48"/>
      <c r="CE1175" s="48"/>
      <c r="CF1175" s="48"/>
      <c r="CG1175" s="48"/>
      <c r="CH1175" s="48"/>
      <c r="CI1175" s="98"/>
      <c r="CJ1175" s="98"/>
      <c r="CK1175" s="49">
        <f t="shared" si="313"/>
        <v>44.389476780177858</v>
      </c>
      <c r="CL1175" s="229"/>
      <c r="CM1175" s="229"/>
      <c r="CN1175" s="229"/>
      <c r="CO1175" s="47" t="s">
        <v>2488</v>
      </c>
      <c r="CP1175" s="47" t="s">
        <v>2489</v>
      </c>
      <c r="CQ1175" s="224" t="s">
        <v>272</v>
      </c>
      <c r="CR1175" s="224"/>
      <c r="CS1175" s="230" t="s">
        <v>539</v>
      </c>
      <c r="CT1175" s="230"/>
      <c r="CU1175" s="230"/>
      <c r="CV1175" s="335">
        <f t="shared" si="314"/>
        <v>5420.3283996299724</v>
      </c>
      <c r="CW1175" s="230">
        <f t="shared" si="312"/>
        <v>1</v>
      </c>
      <c r="CX1175" s="336"/>
      <c r="CY1175" s="230" t="s">
        <v>5921</v>
      </c>
    </row>
    <row r="1176" spans="1:103" ht="11.25" customHeight="1" x14ac:dyDescent="0.2">
      <c r="A1176" s="72">
        <v>1174</v>
      </c>
      <c r="B1176" s="224">
        <v>1501</v>
      </c>
      <c r="C1176" s="46" t="s">
        <v>7315</v>
      </c>
      <c r="D1176" s="46"/>
      <c r="E1176" s="114"/>
      <c r="F1176" s="114" t="s">
        <v>4590</v>
      </c>
      <c r="G1176" s="225">
        <v>1111780</v>
      </c>
      <c r="H1176" s="47" t="s">
        <v>4591</v>
      </c>
      <c r="I1176" s="47" t="s">
        <v>4591</v>
      </c>
      <c r="J1176" s="47" t="s">
        <v>4592</v>
      </c>
      <c r="K1176" s="47" t="s">
        <v>426</v>
      </c>
      <c r="L1176" s="47"/>
      <c r="M1176" s="47"/>
      <c r="N1176" s="47"/>
      <c r="O1176" s="47"/>
      <c r="P1176" s="53"/>
      <c r="Q1176" s="53"/>
      <c r="R1176" s="53"/>
      <c r="S1176" s="53"/>
      <c r="T1176" s="48">
        <v>78.069999999999993</v>
      </c>
      <c r="U1176" s="98"/>
      <c r="V1176" s="98">
        <v>12809.017548354042</v>
      </c>
      <c r="W1176" s="98">
        <v>5623.413251903492</v>
      </c>
      <c r="X1176" s="98">
        <f>IF(W1176=0,V1176,W1176)</f>
        <v>5623.413251903492</v>
      </c>
      <c r="Y1176" s="233">
        <v>7.12</v>
      </c>
      <c r="Z1176" s="48">
        <v>-3.67</v>
      </c>
      <c r="AA1176" s="48"/>
      <c r="AB1176" s="48">
        <v>0</v>
      </c>
      <c r="AC1176" s="48">
        <v>0</v>
      </c>
      <c r="AD1176" s="48">
        <v>0</v>
      </c>
      <c r="AE1176" s="48">
        <v>0</v>
      </c>
      <c r="AF1176" s="48"/>
      <c r="AG1176" s="49">
        <v>-2.98</v>
      </c>
      <c r="AH1176" s="98">
        <v>5.9399999999999998E-19</v>
      </c>
      <c r="AI1176" s="98"/>
      <c r="AJ1176" s="483">
        <f t="shared" si="309"/>
        <v>-16.614779881331458</v>
      </c>
      <c r="AK1176" s="483"/>
      <c r="AL1176" s="483">
        <f t="shared" si="308"/>
        <v>-16.614779881331458</v>
      </c>
      <c r="AM1176" s="483"/>
      <c r="AN1176" s="226"/>
      <c r="AO1176" s="484">
        <v>14.83</v>
      </c>
      <c r="AP1176" s="484">
        <v>-0.19</v>
      </c>
      <c r="AQ1176" s="226" t="s">
        <v>6311</v>
      </c>
      <c r="AR1176" s="226" t="s">
        <v>6311</v>
      </c>
      <c r="AS1176" s="224"/>
      <c r="AT1176" s="50" t="s">
        <v>266</v>
      </c>
      <c r="AU1176" s="48">
        <v>6</v>
      </c>
      <c r="AV1176" s="48">
        <v>120</v>
      </c>
      <c r="AW1176" s="48">
        <v>114</v>
      </c>
      <c r="AX1176" s="48">
        <v>28</v>
      </c>
      <c r="AY1176" s="48" t="s">
        <v>8728</v>
      </c>
      <c r="AZ1176" s="48" t="s">
        <v>1563</v>
      </c>
      <c r="BA1176" s="48">
        <v>32</v>
      </c>
      <c r="BB1176" s="47" t="s">
        <v>2485</v>
      </c>
      <c r="BC1176" s="47" t="s">
        <v>8726</v>
      </c>
      <c r="BD1176" s="47" t="s">
        <v>8374</v>
      </c>
      <c r="BE1176" s="48" t="s">
        <v>2449</v>
      </c>
      <c r="BF1176" s="48" t="s">
        <v>272</v>
      </c>
      <c r="BG1176" s="48" t="s">
        <v>272</v>
      </c>
      <c r="BH1176" s="48" t="s">
        <v>2486</v>
      </c>
      <c r="BI1176" s="98">
        <v>6.3999999999999997E-6</v>
      </c>
      <c r="BJ1176" s="98">
        <v>6.4000000000000001E-2</v>
      </c>
      <c r="BK1176" s="48"/>
      <c r="BL1176" s="98">
        <f t="shared" si="315"/>
        <v>101584.39536466825</v>
      </c>
      <c r="BM1176" s="47" t="s">
        <v>2487</v>
      </c>
      <c r="BN1176" s="48"/>
      <c r="BO1176" s="48"/>
      <c r="BP1176" s="48"/>
      <c r="BQ1176" s="48"/>
      <c r="BR1176" s="47" t="s">
        <v>2496</v>
      </c>
      <c r="BS1176" s="48"/>
      <c r="BT1176" s="48"/>
      <c r="BU1176" s="228"/>
      <c r="BV1176" s="48"/>
      <c r="BW1176" s="48"/>
      <c r="BX1176" s="48"/>
      <c r="BY1176" s="48"/>
      <c r="BZ1176" s="48"/>
      <c r="CA1176" s="48"/>
      <c r="CB1176" s="48"/>
      <c r="CC1176" s="48"/>
      <c r="CD1176" s="48"/>
      <c r="CE1176" s="48"/>
      <c r="CF1176" s="48"/>
      <c r="CG1176" s="48"/>
      <c r="CH1176" s="48"/>
      <c r="CI1176" s="98"/>
      <c r="CJ1176" s="98"/>
      <c r="CK1176" s="49">
        <f t="shared" si="313"/>
        <v>1587256.1775729414</v>
      </c>
      <c r="CL1176" s="229"/>
      <c r="CM1176" s="229"/>
      <c r="CN1176" s="229"/>
      <c r="CO1176" s="47" t="s">
        <v>2488</v>
      </c>
      <c r="CP1176" s="47" t="s">
        <v>2489</v>
      </c>
      <c r="CQ1176" s="224" t="s">
        <v>272</v>
      </c>
      <c r="CR1176" s="224"/>
      <c r="CS1176" s="230" t="s">
        <v>539</v>
      </c>
      <c r="CT1176" s="230"/>
      <c r="CU1176" s="230"/>
      <c r="CV1176" s="335">
        <f t="shared" si="314"/>
        <v>87865.832060992063</v>
      </c>
      <c r="CW1176" s="230">
        <f t="shared" si="312"/>
        <v>1</v>
      </c>
      <c r="CX1176" s="336"/>
      <c r="CY1176" s="230" t="s">
        <v>6351</v>
      </c>
    </row>
    <row r="1177" spans="1:103" ht="11.25" customHeight="1" x14ac:dyDescent="0.2">
      <c r="A1177" s="72">
        <v>1175</v>
      </c>
      <c r="B1177" s="224">
        <v>1618</v>
      </c>
      <c r="C1177" s="46" t="s">
        <v>7316</v>
      </c>
      <c r="D1177" s="46"/>
      <c r="E1177" s="114"/>
      <c r="F1177" s="114" t="s">
        <v>4796</v>
      </c>
      <c r="G1177" s="225">
        <v>1119400</v>
      </c>
      <c r="H1177" s="47" t="s">
        <v>4797</v>
      </c>
      <c r="I1177" s="47" t="s">
        <v>4797</v>
      </c>
      <c r="J1177" s="47" t="s">
        <v>4798</v>
      </c>
      <c r="K1177" s="47" t="s">
        <v>357</v>
      </c>
      <c r="L1177" s="47"/>
      <c r="M1177" s="47"/>
      <c r="N1177" s="47"/>
      <c r="O1177" s="47"/>
      <c r="P1177" s="53"/>
      <c r="Q1177" s="53"/>
      <c r="R1177" s="53"/>
      <c r="S1177" s="53"/>
      <c r="T1177" s="48">
        <v>160.16999999999999</v>
      </c>
      <c r="U1177" s="98">
        <v>368.35861896734724</v>
      </c>
      <c r="V1177" s="98">
        <v>126.05356808391086</v>
      </c>
      <c r="W1177" s="98">
        <v>165.95869074375599</v>
      </c>
      <c r="X1177" s="98">
        <v>368.35861896734724</v>
      </c>
      <c r="Y1177" s="233">
        <v>7</v>
      </c>
      <c r="Z1177" s="48">
        <v>0.9</v>
      </c>
      <c r="AA1177" s="48">
        <v>0.62</v>
      </c>
      <c r="AB1177" s="48">
        <v>0.81</v>
      </c>
      <c r="AC1177" s="48">
        <v>0.9153</v>
      </c>
      <c r="AD1177" s="48">
        <v>0.77</v>
      </c>
      <c r="AE1177" s="48">
        <v>0.62</v>
      </c>
      <c r="AF1177" s="48">
        <f t="shared" ref="AF1177:AF1219" si="316">IF(AA1177=0,AD1177,AA1177)</f>
        <v>0.62</v>
      </c>
      <c r="AG1177" s="49">
        <v>0.54</v>
      </c>
      <c r="AH1177" s="98">
        <v>7.3600000000000003E-7</v>
      </c>
      <c r="AI1177" s="98">
        <v>6.4300000000000003E-7</v>
      </c>
      <c r="AJ1177" s="483">
        <f t="shared" si="309"/>
        <v>-4.5216885119751531</v>
      </c>
      <c r="AK1177" s="483">
        <f>LOG10(AI1177*1000/(0.08206*298.15))</f>
        <v>-4.5803553533884296</v>
      </c>
      <c r="AL1177" s="483">
        <f t="shared" si="308"/>
        <v>-4.5803553533884296</v>
      </c>
      <c r="AM1177" s="483">
        <v>-5.8690799999999994</v>
      </c>
      <c r="AN1177" s="226">
        <v>-5.77</v>
      </c>
      <c r="AO1177" s="484"/>
      <c r="AP1177" s="484"/>
      <c r="AQ1177" s="226" t="s">
        <v>6311</v>
      </c>
      <c r="AR1177" s="226" t="s">
        <v>6312</v>
      </c>
      <c r="AS1177" s="224"/>
      <c r="AT1177" s="50" t="s">
        <v>266</v>
      </c>
      <c r="AU1177" s="48">
        <v>6</v>
      </c>
      <c r="AV1177" s="48">
        <v>120</v>
      </c>
      <c r="AW1177" s="48">
        <v>114</v>
      </c>
      <c r="AX1177" s="48">
        <v>28</v>
      </c>
      <c r="AY1177" s="48" t="s">
        <v>8728</v>
      </c>
      <c r="AZ1177" s="48" t="s">
        <v>1563</v>
      </c>
      <c r="BA1177" s="48">
        <v>32</v>
      </c>
      <c r="BB1177" s="47" t="s">
        <v>2485</v>
      </c>
      <c r="BC1177" s="47" t="s">
        <v>8726</v>
      </c>
      <c r="BD1177" s="47" t="s">
        <v>8374</v>
      </c>
      <c r="BE1177" s="48" t="s">
        <v>2449</v>
      </c>
      <c r="BF1177" s="48" t="s">
        <v>272</v>
      </c>
      <c r="BG1177" s="48" t="s">
        <v>272</v>
      </c>
      <c r="BH1177" s="48" t="s">
        <v>2486</v>
      </c>
      <c r="BI1177" s="98">
        <v>6.3999999999999997E-6</v>
      </c>
      <c r="BJ1177" s="98">
        <v>6.4000000000000001E-2</v>
      </c>
      <c r="BK1177" s="48"/>
      <c r="BL1177" s="98">
        <f t="shared" si="315"/>
        <v>7.989323375525208</v>
      </c>
      <c r="BM1177" s="47" t="s">
        <v>2487</v>
      </c>
      <c r="BN1177" s="233"/>
      <c r="BO1177" s="233"/>
      <c r="BP1177" s="233"/>
      <c r="BQ1177" s="233"/>
      <c r="BR1177" s="47" t="s">
        <v>2496</v>
      </c>
      <c r="BS1177" s="48"/>
      <c r="BT1177" s="233"/>
      <c r="BU1177" s="228"/>
      <c r="BV1177" s="233"/>
      <c r="BW1177" s="233"/>
      <c r="BX1177" s="233"/>
      <c r="BY1177" s="233"/>
      <c r="BZ1177" s="233"/>
      <c r="CA1177" s="233"/>
      <c r="CB1177" s="233"/>
      <c r="CC1177" s="48"/>
      <c r="CD1177" s="48"/>
      <c r="CE1177" s="48"/>
      <c r="CF1177" s="48"/>
      <c r="CG1177" s="48"/>
      <c r="CH1177" s="48"/>
      <c r="CI1177" s="98"/>
      <c r="CJ1177" s="98"/>
      <c r="CK1177" s="49">
        <f t="shared" si="313"/>
        <v>124.83317774258137</v>
      </c>
      <c r="CL1177" s="229"/>
      <c r="CM1177" s="229"/>
      <c r="CN1177" s="229"/>
      <c r="CO1177" s="47" t="s">
        <v>2488</v>
      </c>
      <c r="CP1177" s="47" t="s">
        <v>2489</v>
      </c>
      <c r="CQ1177" s="224" t="s">
        <v>272</v>
      </c>
      <c r="CR1177" s="224"/>
      <c r="CS1177" s="230" t="s">
        <v>539</v>
      </c>
      <c r="CT1177" s="230"/>
      <c r="CU1177" s="230"/>
      <c r="CV1177" s="335">
        <f t="shared" si="314"/>
        <v>5755.6034213648009</v>
      </c>
      <c r="CW1177" s="230">
        <f t="shared" si="312"/>
        <v>1</v>
      </c>
      <c r="CX1177" s="336"/>
      <c r="CY1177" s="230" t="s">
        <v>6351</v>
      </c>
    </row>
    <row r="1178" spans="1:103" ht="11.25" customHeight="1" x14ac:dyDescent="0.2">
      <c r="A1178" s="72">
        <v>1176</v>
      </c>
      <c r="B1178" s="224">
        <v>1930</v>
      </c>
      <c r="C1178" s="46" t="s">
        <v>7317</v>
      </c>
      <c r="D1178" s="46"/>
      <c r="E1178" s="114"/>
      <c r="F1178" s="114" t="s">
        <v>5421</v>
      </c>
      <c r="G1178" s="225">
        <v>1120214</v>
      </c>
      <c r="H1178" s="47" t="s">
        <v>5422</v>
      </c>
      <c r="I1178" s="47" t="s">
        <v>5422</v>
      </c>
      <c r="J1178" s="47" t="s">
        <v>4067</v>
      </c>
      <c r="K1178" s="47" t="s">
        <v>426</v>
      </c>
      <c r="L1178" s="47"/>
      <c r="M1178" s="47"/>
      <c r="N1178" s="47"/>
      <c r="O1178" s="47"/>
      <c r="P1178" s="53"/>
      <c r="Q1178" s="53"/>
      <c r="R1178" s="53"/>
      <c r="S1178" s="53"/>
      <c r="T1178" s="48">
        <v>156.31</v>
      </c>
      <c r="U1178" s="98">
        <v>2.8149190710767068E-5</v>
      </c>
      <c r="V1178" s="98">
        <v>1.6448083935768664E-3</v>
      </c>
      <c r="W1178" s="98">
        <v>4.1686938347033518E-5</v>
      </c>
      <c r="X1178" s="98">
        <v>2.8149190710767068E-5</v>
      </c>
      <c r="Y1178" s="233">
        <v>7</v>
      </c>
      <c r="Z1178" s="48">
        <v>5.74</v>
      </c>
      <c r="AA1178" s="48"/>
      <c r="AB1178" s="48">
        <v>6.05</v>
      </c>
      <c r="AC1178" s="48">
        <v>0.7782</v>
      </c>
      <c r="AD1178" s="48">
        <v>6.24</v>
      </c>
      <c r="AE1178" s="48">
        <v>6.6</v>
      </c>
      <c r="AF1178" s="48">
        <f t="shared" si="316"/>
        <v>6.24</v>
      </c>
      <c r="AG1178" s="49">
        <v>3.46</v>
      </c>
      <c r="AH1178" s="98">
        <v>7.04</v>
      </c>
      <c r="AI1178" s="98">
        <v>1.93</v>
      </c>
      <c r="AJ1178" s="483">
        <f t="shared" si="309"/>
        <v>2.4590063328294605</v>
      </c>
      <c r="AK1178" s="483">
        <f>LOG10(AI1178*1000/(0.08206*298.15))</f>
        <v>1.8969909826951219</v>
      </c>
      <c r="AL1178" s="483">
        <f t="shared" si="308"/>
        <v>1.8969909826951219</v>
      </c>
      <c r="AM1178" s="483">
        <v>-0.69325000000000003</v>
      </c>
      <c r="AN1178" s="226">
        <v>-8.42</v>
      </c>
      <c r="AO1178" s="484"/>
      <c r="AP1178" s="484"/>
      <c r="AQ1178" s="226" t="s">
        <v>6311</v>
      </c>
      <c r="AR1178" s="226" t="s">
        <v>6311</v>
      </c>
      <c r="AS1178" s="224"/>
      <c r="AT1178" s="50" t="s">
        <v>266</v>
      </c>
      <c r="AU1178" s="48">
        <v>6</v>
      </c>
      <c r="AV1178" s="48">
        <v>120</v>
      </c>
      <c r="AW1178" s="48">
        <v>114</v>
      </c>
      <c r="AX1178" s="48">
        <v>28</v>
      </c>
      <c r="AY1178" s="48" t="s">
        <v>8728</v>
      </c>
      <c r="AZ1178" s="48" t="s">
        <v>1563</v>
      </c>
      <c r="BA1178" s="48">
        <v>32</v>
      </c>
      <c r="BB1178" s="47" t="s">
        <v>2485</v>
      </c>
      <c r="BC1178" s="47" t="s">
        <v>8726</v>
      </c>
      <c r="BD1178" s="47" t="s">
        <v>8374</v>
      </c>
      <c r="BE1178" s="48" t="s">
        <v>2449</v>
      </c>
      <c r="BF1178" s="48" t="s">
        <v>272</v>
      </c>
      <c r="BG1178" s="48" t="s">
        <v>272</v>
      </c>
      <c r="BH1178" s="48" t="s">
        <v>2486</v>
      </c>
      <c r="BI1178" s="98">
        <v>6.3999999999999997E-6</v>
      </c>
      <c r="BJ1178" s="98">
        <v>6.4000000000000001E-2</v>
      </c>
      <c r="BK1178" s="48"/>
      <c r="BL1178" s="98">
        <f t="shared" si="315"/>
        <v>3.5950588165301766E-4</v>
      </c>
      <c r="BM1178" s="47" t="s">
        <v>2487</v>
      </c>
      <c r="BN1178" s="48"/>
      <c r="BO1178" s="48"/>
      <c r="BP1178" s="48"/>
      <c r="BQ1178" s="48"/>
      <c r="BR1178" s="47" t="s">
        <v>2496</v>
      </c>
      <c r="BS1178" s="48"/>
      <c r="BT1178" s="48"/>
      <c r="BU1178" s="228"/>
      <c r="BV1178" s="48"/>
      <c r="BW1178" s="48"/>
      <c r="BX1178" s="48"/>
      <c r="BY1178" s="48"/>
      <c r="BZ1178" s="48"/>
      <c r="CA1178" s="48"/>
      <c r="CB1178" s="48"/>
      <c r="CC1178" s="48"/>
      <c r="CD1178" s="48"/>
      <c r="CE1178" s="48"/>
      <c r="CF1178" s="48"/>
      <c r="CG1178" s="48"/>
      <c r="CH1178" s="48"/>
      <c r="CI1178" s="98"/>
      <c r="CJ1178" s="98"/>
      <c r="CK1178" s="49">
        <f t="shared" si="313"/>
        <v>5.617279400828401E-3</v>
      </c>
      <c r="CL1178" s="229"/>
      <c r="CM1178" s="229"/>
      <c r="CN1178" s="229"/>
      <c r="CO1178" s="47" t="s">
        <v>2488</v>
      </c>
      <c r="CP1178" s="47" t="s">
        <v>2489</v>
      </c>
      <c r="CQ1178" s="224" t="s">
        <v>272</v>
      </c>
      <c r="CR1178" s="224"/>
      <c r="CS1178" s="230" t="s">
        <v>539</v>
      </c>
      <c r="CT1178" s="230"/>
      <c r="CU1178" s="230"/>
      <c r="CV1178" s="335">
        <f t="shared" si="314"/>
        <v>4.3983110485573543E-4</v>
      </c>
      <c r="CW1178" s="230">
        <f t="shared" si="312"/>
        <v>0</v>
      </c>
      <c r="CX1178" s="336"/>
      <c r="CY1178" s="230" t="s">
        <v>6351</v>
      </c>
    </row>
    <row r="1179" spans="1:103" ht="11.25" customHeight="1" x14ac:dyDescent="0.2">
      <c r="A1179" s="72">
        <v>1177</v>
      </c>
      <c r="B1179" s="224">
        <v>906</v>
      </c>
      <c r="C1179" s="46" t="s">
        <v>7318</v>
      </c>
      <c r="D1179" s="46"/>
      <c r="E1179" s="114"/>
      <c r="F1179" s="114" t="s">
        <v>2587</v>
      </c>
      <c r="G1179" s="225">
        <v>1120714</v>
      </c>
      <c r="H1179" s="47" t="s">
        <v>2588</v>
      </c>
      <c r="I1179" s="47" t="s">
        <v>2588</v>
      </c>
      <c r="J1179" s="47"/>
      <c r="K1179" s="47" t="s">
        <v>357</v>
      </c>
      <c r="L1179" s="47"/>
      <c r="M1179" s="47"/>
      <c r="N1179" s="47"/>
      <c r="O1179" s="47"/>
      <c r="P1179" s="53"/>
      <c r="Q1179" s="53"/>
      <c r="R1179" s="53"/>
      <c r="S1179" s="53"/>
      <c r="T1179" s="48">
        <v>122.14</v>
      </c>
      <c r="U1179" s="98"/>
      <c r="V1179" s="98">
        <v>1397.5765514982807</v>
      </c>
      <c r="W1179" s="98">
        <v>512.86138399136485</v>
      </c>
      <c r="X1179" s="98">
        <f>IF(W1179=0,V1179,W1179)</f>
        <v>512.86138399136485</v>
      </c>
      <c r="Y1179" s="233">
        <v>7</v>
      </c>
      <c r="Z1179" s="48">
        <v>-0.28000000000000003</v>
      </c>
      <c r="AA1179" s="48"/>
      <c r="AB1179" s="48">
        <v>-0.49</v>
      </c>
      <c r="AC1179" s="48">
        <v>0.56930000000000003</v>
      </c>
      <c r="AD1179" s="48">
        <v>-0.59</v>
      </c>
      <c r="AE1179" s="48">
        <v>-0.69</v>
      </c>
      <c r="AF1179" s="48">
        <f t="shared" si="316"/>
        <v>-0.59</v>
      </c>
      <c r="AG1179" s="49">
        <v>-0.59</v>
      </c>
      <c r="AH1179" s="98">
        <v>2.3599999999999999E-6</v>
      </c>
      <c r="AI1179" s="98"/>
      <c r="AJ1179" s="483">
        <f t="shared" si="309"/>
        <v>-4.0156543233425452</v>
      </c>
      <c r="AK1179" s="483"/>
      <c r="AL1179" s="483">
        <f t="shared" si="308"/>
        <v>-4.0156543233425452</v>
      </c>
      <c r="AM1179" s="483">
        <v>-6.7350999999999992</v>
      </c>
      <c r="AN1179" s="226"/>
      <c r="AO1179" s="484"/>
      <c r="AP1179" s="484"/>
      <c r="AQ1179" s="48" t="s">
        <v>6311</v>
      </c>
      <c r="AR1179" s="48" t="s">
        <v>6311</v>
      </c>
      <c r="AS1179" s="227"/>
      <c r="AT1179" s="50" t="s">
        <v>266</v>
      </c>
      <c r="AU1179" s="48">
        <v>6</v>
      </c>
      <c r="AV1179" s="48">
        <v>120</v>
      </c>
      <c r="AW1179" s="48">
        <v>114</v>
      </c>
      <c r="AX1179" s="48">
        <v>28</v>
      </c>
      <c r="AY1179" s="48" t="s">
        <v>8728</v>
      </c>
      <c r="AZ1179" s="48" t="s">
        <v>1563</v>
      </c>
      <c r="BA1179" s="48">
        <v>32</v>
      </c>
      <c r="BB1179" s="47" t="s">
        <v>2485</v>
      </c>
      <c r="BC1179" s="47" t="s">
        <v>8726</v>
      </c>
      <c r="BD1179" s="47" t="s">
        <v>8374</v>
      </c>
      <c r="BE1179" s="48" t="s">
        <v>2449</v>
      </c>
      <c r="BF1179" s="48" t="s">
        <v>272</v>
      </c>
      <c r="BG1179" s="48" t="s">
        <v>272</v>
      </c>
      <c r="BH1179" s="48" t="s">
        <v>2486</v>
      </c>
      <c r="BI1179" s="98">
        <v>6.3999999999999997E-6</v>
      </c>
      <c r="BJ1179" s="98">
        <v>6.4000000000000001E-2</v>
      </c>
      <c r="BK1179" s="48"/>
      <c r="BL1179" s="98">
        <f t="shared" si="315"/>
        <v>91.678605768006534</v>
      </c>
      <c r="BM1179" s="47" t="s">
        <v>2487</v>
      </c>
      <c r="BN1179" s="48"/>
      <c r="BO1179" s="48"/>
      <c r="BP1179" s="48"/>
      <c r="BQ1179" s="48"/>
      <c r="BR1179" s="47" t="s">
        <v>2496</v>
      </c>
      <c r="BS1179" s="48"/>
      <c r="BT1179" s="48"/>
      <c r="BU1179" s="228">
        <v>6.3999999999999997E-5</v>
      </c>
      <c r="BV1179" s="48"/>
      <c r="BW1179" s="48"/>
      <c r="BX1179" s="48"/>
      <c r="BY1179" s="48"/>
      <c r="BZ1179" s="48"/>
      <c r="CA1179" s="48"/>
      <c r="CB1179" s="48"/>
      <c r="CC1179" s="48"/>
      <c r="CD1179" s="48"/>
      <c r="CE1179" s="48"/>
      <c r="CF1179" s="48"/>
      <c r="CG1179" s="48"/>
      <c r="CH1179" s="48"/>
      <c r="CI1179" s="98"/>
      <c r="CJ1179" s="98"/>
      <c r="CK1179" s="49">
        <f t="shared" si="313"/>
        <v>1432.478215125102</v>
      </c>
      <c r="CL1179" s="229"/>
      <c r="CM1179" s="229"/>
      <c r="CN1179" s="229"/>
      <c r="CO1179" s="47" t="s">
        <v>2488</v>
      </c>
      <c r="CP1179" s="47" t="s">
        <v>2489</v>
      </c>
      <c r="CQ1179" s="224" t="s">
        <v>272</v>
      </c>
      <c r="CR1179" s="224"/>
      <c r="CS1179" s="230" t="s">
        <v>539</v>
      </c>
      <c r="CT1179" s="230"/>
      <c r="CU1179" s="230"/>
      <c r="CV1179" s="335">
        <f t="shared" si="314"/>
        <v>8013.4591248650759</v>
      </c>
      <c r="CW1179" s="230">
        <f t="shared" si="312"/>
        <v>1</v>
      </c>
      <c r="CX1179" s="336"/>
      <c r="CY1179" s="230" t="s">
        <v>6351</v>
      </c>
    </row>
    <row r="1180" spans="1:103" ht="11.25" customHeight="1" x14ac:dyDescent="0.2">
      <c r="A1180" s="72">
        <v>1178</v>
      </c>
      <c r="B1180" s="224">
        <v>267</v>
      </c>
      <c r="C1180" s="46" t="s">
        <v>7319</v>
      </c>
      <c r="D1180" s="46"/>
      <c r="E1180" s="114"/>
      <c r="F1180" s="114" t="s">
        <v>3780</v>
      </c>
      <c r="G1180" s="225">
        <v>1134232</v>
      </c>
      <c r="H1180" s="47" t="s">
        <v>3781</v>
      </c>
      <c r="I1180" s="47" t="s">
        <v>3781</v>
      </c>
      <c r="J1180" s="47" t="s">
        <v>3782</v>
      </c>
      <c r="K1180" s="47" t="s">
        <v>1499</v>
      </c>
      <c r="L1180" s="47" t="s">
        <v>5248</v>
      </c>
      <c r="M1180" s="47" t="s">
        <v>6082</v>
      </c>
      <c r="N1180" s="47" t="s">
        <v>6082</v>
      </c>
      <c r="O1180" s="47" t="s">
        <v>6083</v>
      </c>
      <c r="P1180" s="53"/>
      <c r="Q1180" s="53"/>
      <c r="R1180" s="53"/>
      <c r="S1180" s="53"/>
      <c r="T1180" s="48">
        <v>215.36</v>
      </c>
      <c r="U1180" s="98">
        <v>0.39468796433878156</v>
      </c>
      <c r="V1180" s="98">
        <v>8.2141530460624071E-2</v>
      </c>
      <c r="W1180" s="98">
        <v>0.3019951720402016</v>
      </c>
      <c r="X1180" s="98">
        <v>0.39468796433878156</v>
      </c>
      <c r="Y1180" s="233">
        <v>7</v>
      </c>
      <c r="Z1180" s="48">
        <v>3.81</v>
      </c>
      <c r="AA1180" s="48">
        <v>3.88</v>
      </c>
      <c r="AB1180" s="48">
        <v>3.64</v>
      </c>
      <c r="AC1180" s="48">
        <v>0.79579999999999995</v>
      </c>
      <c r="AD1180" s="48">
        <v>3.7</v>
      </c>
      <c r="AE1180" s="48">
        <v>3.83</v>
      </c>
      <c r="AF1180" s="48">
        <f t="shared" si="316"/>
        <v>3.88</v>
      </c>
      <c r="AG1180" s="49">
        <v>3.04</v>
      </c>
      <c r="AH1180" s="98">
        <v>1.2E-5</v>
      </c>
      <c r="AI1180" s="98">
        <v>6.7000000000000002E-6</v>
      </c>
      <c r="AJ1180" s="483">
        <f t="shared" si="309"/>
        <v>-3.3093850802650269</v>
      </c>
      <c r="AK1180" s="483">
        <f>LOG10(AI1180*1000/(0.08206*298.15))</f>
        <v>-3.5624915236118255</v>
      </c>
      <c r="AL1180" s="483">
        <f t="shared" si="308"/>
        <v>-3.5624915236118255</v>
      </c>
      <c r="AM1180" s="483">
        <v>-8.6158000000000001</v>
      </c>
      <c r="AN1180" s="226">
        <v>-3.56</v>
      </c>
      <c r="AO1180" s="484"/>
      <c r="AP1180" s="484">
        <v>-1.3</v>
      </c>
      <c r="AQ1180" s="226" t="s">
        <v>6311</v>
      </c>
      <c r="AR1180" s="226" t="s">
        <v>6311</v>
      </c>
      <c r="AS1180" s="224" t="s">
        <v>6</v>
      </c>
      <c r="AT1180" s="50" t="s">
        <v>266</v>
      </c>
      <c r="AU1180" s="48">
        <v>8</v>
      </c>
      <c r="AV1180" s="48">
        <v>144</v>
      </c>
      <c r="AW1180" s="48">
        <v>120</v>
      </c>
      <c r="AX1180" s="48">
        <v>26</v>
      </c>
      <c r="AY1180" s="48" t="s">
        <v>267</v>
      </c>
      <c r="AZ1180" s="48" t="s">
        <v>2253</v>
      </c>
      <c r="BA1180" s="48">
        <v>3</v>
      </c>
      <c r="BB1180" s="47" t="s">
        <v>2254</v>
      </c>
      <c r="BC1180" s="47" t="s">
        <v>270</v>
      </c>
      <c r="BD1180" s="47" t="s">
        <v>8374</v>
      </c>
      <c r="BE1180" s="48" t="s">
        <v>1712</v>
      </c>
      <c r="BF1180" s="48" t="s">
        <v>272</v>
      </c>
      <c r="BG1180" s="48" t="s">
        <v>272</v>
      </c>
      <c r="BH1180" s="48" t="s">
        <v>2255</v>
      </c>
      <c r="BI1180" s="98">
        <v>9.9999999999999995E-7</v>
      </c>
      <c r="BJ1180" s="98">
        <v>0.08</v>
      </c>
      <c r="BK1180" s="48"/>
      <c r="BL1180" s="98">
        <f t="shared" si="315"/>
        <v>1.9455347843946244E-2</v>
      </c>
      <c r="BM1180" s="48" t="s">
        <v>891</v>
      </c>
      <c r="BN1180" s="233"/>
      <c r="BO1180" s="233"/>
      <c r="BP1180" s="233"/>
      <c r="BQ1180" s="233"/>
      <c r="BR1180" s="233"/>
      <c r="BS1180" s="48"/>
      <c r="BT1180" s="233"/>
      <c r="BU1180" s="228"/>
      <c r="BV1180" s="233"/>
      <c r="BW1180" s="233"/>
      <c r="BX1180" s="233"/>
      <c r="BY1180" s="233"/>
      <c r="BZ1180" s="233"/>
      <c r="CA1180" s="233"/>
      <c r="CB1180" s="233"/>
      <c r="CC1180" s="48"/>
      <c r="CD1180" s="48"/>
      <c r="CE1180" s="48"/>
      <c r="CF1180" s="48"/>
      <c r="CG1180" s="233"/>
      <c r="CH1180" s="48"/>
      <c r="CI1180" s="98"/>
      <c r="CJ1180" s="98"/>
      <c r="CK1180" s="49">
        <f t="shared" si="313"/>
        <v>0.24319184804932806</v>
      </c>
      <c r="CL1180" s="229"/>
      <c r="CM1180" s="229"/>
      <c r="CN1180" s="229"/>
      <c r="CO1180" s="47" t="s">
        <v>892</v>
      </c>
      <c r="CP1180" s="47" t="s">
        <v>893</v>
      </c>
      <c r="CQ1180" s="224">
        <v>-1.5798456132826737</v>
      </c>
      <c r="CR1180" s="224">
        <f>10^(CJ1180-CQ1180)</f>
        <v>38.005426736168808</v>
      </c>
      <c r="CS1180" s="230" t="s">
        <v>539</v>
      </c>
      <c r="CT1180" s="230"/>
      <c r="CU1180" s="230"/>
      <c r="CV1180" s="335">
        <f t="shared" si="314"/>
        <v>4.9335995542347693</v>
      </c>
      <c r="CW1180" s="230">
        <f t="shared" si="312"/>
        <v>1</v>
      </c>
      <c r="CX1180" s="336" t="s">
        <v>539</v>
      </c>
      <c r="CY1180" s="230" t="s">
        <v>5921</v>
      </c>
    </row>
    <row r="1181" spans="1:103" ht="11.25" customHeight="1" x14ac:dyDescent="0.2">
      <c r="A1181" s="72">
        <v>1179</v>
      </c>
      <c r="B1181" s="224">
        <v>1567</v>
      </c>
      <c r="C1181" s="46" t="s">
        <v>7319</v>
      </c>
      <c r="D1181" s="46"/>
      <c r="E1181" s="114"/>
      <c r="F1181" s="114" t="s">
        <v>3780</v>
      </c>
      <c r="G1181" s="225">
        <v>1134232</v>
      </c>
      <c r="H1181" s="47" t="s">
        <v>3781</v>
      </c>
      <c r="I1181" s="47" t="s">
        <v>3781</v>
      </c>
      <c r="J1181" s="47" t="s">
        <v>3782</v>
      </c>
      <c r="K1181" s="47" t="s">
        <v>1499</v>
      </c>
      <c r="L1181" s="47" t="s">
        <v>5248</v>
      </c>
      <c r="M1181" s="47" t="s">
        <v>6082</v>
      </c>
      <c r="N1181" s="47" t="s">
        <v>6082</v>
      </c>
      <c r="O1181" s="47" t="s">
        <v>6083</v>
      </c>
      <c r="P1181" s="53"/>
      <c r="Q1181" s="53"/>
      <c r="R1181" s="53"/>
      <c r="S1181" s="53"/>
      <c r="T1181" s="48">
        <v>215.36</v>
      </c>
      <c r="U1181" s="98">
        <v>0.39468796433878156</v>
      </c>
      <c r="V1181" s="98">
        <v>8.2141530460624071E-2</v>
      </c>
      <c r="W1181" s="98">
        <v>0.3019951720402016</v>
      </c>
      <c r="X1181" s="98">
        <v>0.39468796433878156</v>
      </c>
      <c r="Y1181" s="233">
        <v>7</v>
      </c>
      <c r="Z1181" s="48">
        <v>3.81</v>
      </c>
      <c r="AA1181" s="48">
        <v>3.88</v>
      </c>
      <c r="AB1181" s="48">
        <v>3.64</v>
      </c>
      <c r="AC1181" s="48">
        <v>0.79579999999999995</v>
      </c>
      <c r="AD1181" s="48">
        <v>3.7</v>
      </c>
      <c r="AE1181" s="48">
        <v>3.83</v>
      </c>
      <c r="AF1181" s="48">
        <f t="shared" si="316"/>
        <v>3.88</v>
      </c>
      <c r="AG1181" s="49">
        <v>3.04</v>
      </c>
      <c r="AH1181" s="98">
        <v>1.2E-5</v>
      </c>
      <c r="AI1181" s="98">
        <v>6.7000000000000002E-6</v>
      </c>
      <c r="AJ1181" s="483">
        <f t="shared" si="309"/>
        <v>-3.3093850802650269</v>
      </c>
      <c r="AK1181" s="483">
        <f>LOG10(AI1181*1000/(0.08206*298.15))</f>
        <v>-3.5624915236118255</v>
      </c>
      <c r="AL1181" s="483">
        <f t="shared" si="308"/>
        <v>-3.5624915236118255</v>
      </c>
      <c r="AM1181" s="483">
        <v>-8.6158000000000001</v>
      </c>
      <c r="AN1181" s="226">
        <v>-3.56</v>
      </c>
      <c r="AO1181" s="484"/>
      <c r="AP1181" s="484">
        <v>-1.3</v>
      </c>
      <c r="AQ1181" s="48" t="s">
        <v>6311</v>
      </c>
      <c r="AR1181" s="48" t="s">
        <v>6311</v>
      </c>
      <c r="AS1181" s="227"/>
      <c r="AT1181" s="50" t="s">
        <v>266</v>
      </c>
      <c r="AU1181" s="48">
        <v>6</v>
      </c>
      <c r="AV1181" s="48">
        <v>120</v>
      </c>
      <c r="AW1181" s="48">
        <v>114</v>
      </c>
      <c r="AX1181" s="48">
        <v>28</v>
      </c>
      <c r="AY1181" s="48" t="s">
        <v>8728</v>
      </c>
      <c r="AZ1181" s="48" t="s">
        <v>1563</v>
      </c>
      <c r="BA1181" s="48">
        <v>32</v>
      </c>
      <c r="BB1181" s="47" t="s">
        <v>2485</v>
      </c>
      <c r="BC1181" s="47" t="s">
        <v>8726</v>
      </c>
      <c r="BD1181" s="47" t="s">
        <v>8374</v>
      </c>
      <c r="BE1181" s="48" t="s">
        <v>2449</v>
      </c>
      <c r="BF1181" s="48" t="s">
        <v>272</v>
      </c>
      <c r="BG1181" s="48" t="s">
        <v>272</v>
      </c>
      <c r="BH1181" s="48" t="s">
        <v>2486</v>
      </c>
      <c r="BI1181" s="98">
        <v>6.3999999999999997E-6</v>
      </c>
      <c r="BJ1181" s="98">
        <v>6.4000000000000001E-2</v>
      </c>
      <c r="BK1181" s="48"/>
      <c r="BL1181" s="98">
        <f t="shared" si="315"/>
        <v>1.9455347843946244E-2</v>
      </c>
      <c r="BM1181" s="47" t="s">
        <v>2487</v>
      </c>
      <c r="BN1181" s="48"/>
      <c r="BO1181" s="48"/>
      <c r="BP1181" s="48"/>
      <c r="BQ1181" s="48"/>
      <c r="BR1181" s="47" t="s">
        <v>2496</v>
      </c>
      <c r="BS1181" s="48"/>
      <c r="BT1181" s="48"/>
      <c r="BU1181" s="228"/>
      <c r="BV1181" s="48"/>
      <c r="BW1181" s="48"/>
      <c r="BX1181" s="48"/>
      <c r="BY1181" s="48"/>
      <c r="BZ1181" s="48"/>
      <c r="CA1181" s="48"/>
      <c r="CB1181" s="48"/>
      <c r="CC1181" s="48"/>
      <c r="CD1181" s="48"/>
      <c r="CE1181" s="48"/>
      <c r="CF1181" s="48"/>
      <c r="CG1181" s="48"/>
      <c r="CH1181" s="48"/>
      <c r="CI1181" s="98"/>
      <c r="CJ1181" s="98"/>
      <c r="CK1181" s="49">
        <f t="shared" si="313"/>
        <v>0.30398981006166004</v>
      </c>
      <c r="CL1181" s="229"/>
      <c r="CM1181" s="229"/>
      <c r="CN1181" s="229"/>
      <c r="CO1181" s="47" t="s">
        <v>2488</v>
      </c>
      <c r="CP1181" s="47" t="s">
        <v>2489</v>
      </c>
      <c r="CQ1181" s="224">
        <v>-1.5798456132826737</v>
      </c>
      <c r="CR1181" s="224">
        <f>10^(CJ1181-CQ1181)</f>
        <v>38.005426736168808</v>
      </c>
      <c r="CS1181" s="230" t="s">
        <v>539</v>
      </c>
      <c r="CT1181" s="230"/>
      <c r="CU1181" s="230"/>
      <c r="CV1181" s="335">
        <f t="shared" si="314"/>
        <v>6.166999442793462</v>
      </c>
      <c r="CW1181" s="230">
        <f t="shared" si="312"/>
        <v>1</v>
      </c>
      <c r="CX1181" s="336"/>
      <c r="CY1181" s="230" t="s">
        <v>5921</v>
      </c>
    </row>
    <row r="1182" spans="1:103" ht="11.25" customHeight="1" x14ac:dyDescent="0.2">
      <c r="A1182" s="72">
        <v>1180</v>
      </c>
      <c r="B1182" s="224">
        <v>1504</v>
      </c>
      <c r="C1182" s="46" t="s">
        <v>7320</v>
      </c>
      <c r="D1182" s="46"/>
      <c r="E1182" s="114"/>
      <c r="F1182" s="114" t="s">
        <v>4596</v>
      </c>
      <c r="G1182" s="225">
        <v>1143380</v>
      </c>
      <c r="H1182" s="47" t="s">
        <v>4597</v>
      </c>
      <c r="I1182" s="47" t="s">
        <v>4597</v>
      </c>
      <c r="J1182" s="47" t="s">
        <v>4598</v>
      </c>
      <c r="K1182" s="47" t="s">
        <v>376</v>
      </c>
      <c r="L1182" s="47"/>
      <c r="M1182" s="47"/>
      <c r="N1182" s="47"/>
      <c r="O1182" s="47"/>
      <c r="P1182" s="53"/>
      <c r="Q1182" s="53"/>
      <c r="R1182" s="53"/>
      <c r="S1182" s="53"/>
      <c r="T1182" s="48">
        <v>226.23</v>
      </c>
      <c r="U1182" s="98"/>
      <c r="V1182" s="98">
        <v>7.2271582018299963E-3</v>
      </c>
      <c r="W1182" s="98">
        <v>6.6069344800759544E-2</v>
      </c>
      <c r="X1182" s="98">
        <f>IF(W1182=0,V1182,W1182)</f>
        <v>6.6069344800759544E-2</v>
      </c>
      <c r="Y1182" s="233">
        <v>5.67</v>
      </c>
      <c r="Z1182" s="48">
        <v>4.4000000000000004</v>
      </c>
      <c r="AA1182" s="48"/>
      <c r="AB1182" s="48">
        <v>3.85</v>
      </c>
      <c r="AC1182" s="48">
        <v>0.66379999999999995</v>
      </c>
      <c r="AD1182" s="48">
        <v>3.98</v>
      </c>
      <c r="AE1182" s="48">
        <v>4.16</v>
      </c>
      <c r="AF1182" s="48">
        <f t="shared" si="316"/>
        <v>3.98</v>
      </c>
      <c r="AG1182" s="49">
        <v>3.01</v>
      </c>
      <c r="AH1182" s="98">
        <v>1.35E-8</v>
      </c>
      <c r="AI1182" s="98"/>
      <c r="AJ1182" s="483">
        <f t="shared" si="309"/>
        <v>-6.2582325578176459</v>
      </c>
      <c r="AK1182" s="483"/>
      <c r="AL1182" s="483">
        <f t="shared" si="308"/>
        <v>-6.2582325578176459</v>
      </c>
      <c r="AM1182" s="483">
        <v>-11.100739999999998</v>
      </c>
      <c r="AN1182" s="226">
        <v>-15.5</v>
      </c>
      <c r="AO1182" s="484">
        <v>7.16</v>
      </c>
      <c r="AP1182" s="484"/>
      <c r="AQ1182" s="48" t="s">
        <v>6311</v>
      </c>
      <c r="AR1182" s="48" t="s">
        <v>6311</v>
      </c>
      <c r="AS1182" s="227"/>
      <c r="AT1182" s="50" t="s">
        <v>266</v>
      </c>
      <c r="AU1182" s="48">
        <v>6</v>
      </c>
      <c r="AV1182" s="48">
        <v>120</v>
      </c>
      <c r="AW1182" s="48">
        <v>114</v>
      </c>
      <c r="AX1182" s="48">
        <v>28</v>
      </c>
      <c r="AY1182" s="48" t="s">
        <v>8728</v>
      </c>
      <c r="AZ1182" s="48" t="s">
        <v>1563</v>
      </c>
      <c r="BA1182" s="48">
        <v>32</v>
      </c>
      <c r="BB1182" s="47" t="s">
        <v>2485</v>
      </c>
      <c r="BC1182" s="47" t="s">
        <v>8726</v>
      </c>
      <c r="BD1182" s="47" t="s">
        <v>8374</v>
      </c>
      <c r="BE1182" s="48" t="s">
        <v>2449</v>
      </c>
      <c r="BF1182" s="48" t="s">
        <v>272</v>
      </c>
      <c r="BG1182" s="48" t="s">
        <v>272</v>
      </c>
      <c r="BH1182" s="48" t="s">
        <v>2486</v>
      </c>
      <c r="BI1182" s="98">
        <v>6.3999999999999997E-6</v>
      </c>
      <c r="BJ1182" s="98">
        <v>6.4000000000000001E-2</v>
      </c>
      <c r="BK1182" s="48"/>
      <c r="BL1182" s="98">
        <f t="shared" si="315"/>
        <v>5.7432801349532464E-3</v>
      </c>
      <c r="BM1182" s="47" t="s">
        <v>2487</v>
      </c>
      <c r="BN1182" s="48"/>
      <c r="BO1182" s="48"/>
      <c r="BP1182" s="48"/>
      <c r="BQ1182" s="48"/>
      <c r="BR1182" s="47" t="s">
        <v>2496</v>
      </c>
      <c r="BS1182" s="48"/>
      <c r="BT1182" s="48"/>
      <c r="BU1182" s="228"/>
      <c r="BV1182" s="48"/>
      <c r="BW1182" s="48"/>
      <c r="BX1182" s="48"/>
      <c r="BY1182" s="48"/>
      <c r="BZ1182" s="48"/>
      <c r="CA1182" s="48"/>
      <c r="CB1182" s="48"/>
      <c r="CC1182" s="48"/>
      <c r="CD1182" s="48"/>
      <c r="CE1182" s="48"/>
      <c r="CF1182" s="48"/>
      <c r="CG1182" s="48"/>
      <c r="CH1182" s="48"/>
      <c r="CI1182" s="98"/>
      <c r="CJ1182" s="98"/>
      <c r="CK1182" s="49">
        <f t="shared" si="313"/>
        <v>8.9738752108644473E-2</v>
      </c>
      <c r="CL1182" s="229"/>
      <c r="CM1182" s="229"/>
      <c r="CN1182" s="229"/>
      <c r="CO1182" s="47" t="s">
        <v>2488</v>
      </c>
      <c r="CP1182" s="47" t="s">
        <v>2489</v>
      </c>
      <c r="CQ1182" s="224" t="s">
        <v>272</v>
      </c>
      <c r="CR1182" s="224"/>
      <c r="CS1182" s="230" t="s">
        <v>539</v>
      </c>
      <c r="CT1182" s="230"/>
      <c r="CU1182" s="230"/>
      <c r="CV1182" s="335">
        <f t="shared" si="314"/>
        <v>1.0323335125118678</v>
      </c>
      <c r="CW1182" s="230">
        <f t="shared" si="312"/>
        <v>1</v>
      </c>
      <c r="CX1182" s="336"/>
      <c r="CY1182" s="230" t="s">
        <v>5921</v>
      </c>
    </row>
    <row r="1183" spans="1:103" ht="11.25" customHeight="1" x14ac:dyDescent="0.2">
      <c r="A1183" s="72">
        <v>1181</v>
      </c>
      <c r="B1183" s="224">
        <v>1903</v>
      </c>
      <c r="C1183" s="46" t="s">
        <v>7321</v>
      </c>
      <c r="D1183" s="46"/>
      <c r="E1183" s="114"/>
      <c r="F1183" s="114" t="s">
        <v>5370</v>
      </c>
      <c r="G1183" s="225">
        <v>1156190</v>
      </c>
      <c r="H1183" s="47" t="s">
        <v>5371</v>
      </c>
      <c r="I1183" s="47" t="s">
        <v>5371</v>
      </c>
      <c r="J1183" s="47" t="s">
        <v>5372</v>
      </c>
      <c r="K1183" s="47" t="s">
        <v>5373</v>
      </c>
      <c r="L1183" s="51" t="s">
        <v>279</v>
      </c>
      <c r="M1183" s="47" t="s">
        <v>5374</v>
      </c>
      <c r="N1183" s="47" t="s">
        <v>6383</v>
      </c>
      <c r="O1183" s="47" t="s">
        <v>281</v>
      </c>
      <c r="P1183" s="53"/>
      <c r="Q1183" s="53"/>
      <c r="R1183" s="53"/>
      <c r="S1183" s="53"/>
      <c r="T1183" s="48">
        <v>311.39999999999998</v>
      </c>
      <c r="U1183" s="98">
        <v>0.21001926782273606</v>
      </c>
      <c r="V1183" s="98">
        <v>0.17052023121387286</v>
      </c>
      <c r="W1183" s="98">
        <v>0.5888436553555888</v>
      </c>
      <c r="X1183" s="98">
        <v>0.21001926782273606</v>
      </c>
      <c r="Y1183" s="233">
        <v>4.37</v>
      </c>
      <c r="Z1183" s="48">
        <v>2.23</v>
      </c>
      <c r="AA1183" s="48">
        <v>2.69</v>
      </c>
      <c r="AB1183" s="48">
        <v>1.31</v>
      </c>
      <c r="AC1183" s="48">
        <v>0.87229999999999996</v>
      </c>
      <c r="AD1183" s="48">
        <v>1.41</v>
      </c>
      <c r="AE1183" s="48">
        <v>1.71</v>
      </c>
      <c r="AF1183" s="48">
        <f t="shared" si="316"/>
        <v>2.69</v>
      </c>
      <c r="AG1183" s="49">
        <v>1.73</v>
      </c>
      <c r="AH1183" s="98">
        <v>1.3600000000000001E-12</v>
      </c>
      <c r="AI1183" s="98"/>
      <c r="AJ1183" s="483">
        <f t="shared" si="309"/>
        <v>-10.255027417942435</v>
      </c>
      <c r="AK1183" s="483"/>
      <c r="AL1183" s="483">
        <f t="shared" ref="AL1183:AL1186" si="317">IF(AK1183=0,AJ1183,AK1183)</f>
        <v>-10.255027417942435</v>
      </c>
      <c r="AM1183" s="483">
        <v>-19.76118</v>
      </c>
      <c r="AN1183" s="226">
        <v>-17.5</v>
      </c>
      <c r="AO1183" s="484">
        <v>6.07</v>
      </c>
      <c r="AP1183" s="484">
        <v>3.26</v>
      </c>
      <c r="AQ1183" s="226" t="s">
        <v>6311</v>
      </c>
      <c r="AR1183" s="226" t="s">
        <v>6311</v>
      </c>
      <c r="AS1183" s="224"/>
      <c r="AT1183" s="50" t="s">
        <v>266</v>
      </c>
      <c r="AU1183" s="48">
        <v>6</v>
      </c>
      <c r="AV1183" s="48">
        <v>120</v>
      </c>
      <c r="AW1183" s="48">
        <v>114</v>
      </c>
      <c r="AX1183" s="48">
        <v>28</v>
      </c>
      <c r="AY1183" s="48" t="s">
        <v>8728</v>
      </c>
      <c r="AZ1183" s="48" t="s">
        <v>1563</v>
      </c>
      <c r="BA1183" s="48">
        <v>32</v>
      </c>
      <c r="BB1183" s="47" t="s">
        <v>2485</v>
      </c>
      <c r="BC1183" s="47" t="s">
        <v>8726</v>
      </c>
      <c r="BD1183" s="47" t="s">
        <v>8374</v>
      </c>
      <c r="BE1183" s="48" t="s">
        <v>2449</v>
      </c>
      <c r="BF1183" s="48" t="s">
        <v>272</v>
      </c>
      <c r="BG1183" s="48" t="s">
        <v>272</v>
      </c>
      <c r="BH1183" s="48" t="s">
        <v>2486</v>
      </c>
      <c r="BI1183" s="98">
        <v>6.3999999999999997E-6</v>
      </c>
      <c r="BJ1183" s="98">
        <v>6.4000000000000001E-2</v>
      </c>
      <c r="BK1183" s="48"/>
      <c r="BL1183" s="98">
        <f t="shared" si="315"/>
        <v>0.51054849463266316</v>
      </c>
      <c r="BM1183" s="47" t="s">
        <v>2487</v>
      </c>
      <c r="BN1183" s="48"/>
      <c r="BO1183" s="48"/>
      <c r="BP1183" s="48"/>
      <c r="BQ1183" s="48"/>
      <c r="BR1183" s="47" t="s">
        <v>2496</v>
      </c>
      <c r="BS1183" s="48"/>
      <c r="BT1183" s="48"/>
      <c r="BU1183" s="228"/>
      <c r="BV1183" s="48"/>
      <c r="BW1183" s="48"/>
      <c r="BX1183" s="48"/>
      <c r="BY1183" s="48"/>
      <c r="BZ1183" s="48"/>
      <c r="CA1183" s="48"/>
      <c r="CB1183" s="48"/>
      <c r="CC1183" s="48"/>
      <c r="CD1183" s="48"/>
      <c r="CE1183" s="48"/>
      <c r="CF1183" s="48"/>
      <c r="CG1183" s="48"/>
      <c r="CH1183" s="48"/>
      <c r="CI1183" s="98"/>
      <c r="CJ1183" s="98"/>
      <c r="CK1183" s="49">
        <f t="shared" si="313"/>
        <v>7.9773202286353619</v>
      </c>
      <c r="CL1183" s="229"/>
      <c r="CM1183" s="229"/>
      <c r="CN1183" s="229"/>
      <c r="CO1183" s="47" t="s">
        <v>2488</v>
      </c>
      <c r="CP1183" s="47" t="s">
        <v>2489</v>
      </c>
      <c r="CQ1183" s="224" t="s">
        <v>272</v>
      </c>
      <c r="CR1183" s="224"/>
      <c r="CS1183" s="230" t="s">
        <v>539</v>
      </c>
      <c r="CT1183" s="230"/>
      <c r="CU1183" s="230"/>
      <c r="CV1183" s="335">
        <f t="shared" si="314"/>
        <v>3.2815510597302509</v>
      </c>
      <c r="CW1183" s="230">
        <f t="shared" si="312"/>
        <v>1</v>
      </c>
      <c r="CX1183" s="336"/>
      <c r="CY1183" s="230" t="s">
        <v>5921</v>
      </c>
    </row>
    <row r="1184" spans="1:103" ht="11.25" customHeight="1" x14ac:dyDescent="0.2">
      <c r="A1184" s="72">
        <v>1182</v>
      </c>
      <c r="B1184" s="224">
        <v>281</v>
      </c>
      <c r="C1184" s="46" t="s">
        <v>7322</v>
      </c>
      <c r="D1184" s="46"/>
      <c r="E1184" s="114"/>
      <c r="F1184" s="114" t="s">
        <v>3067</v>
      </c>
      <c r="G1184" s="225">
        <v>1194656</v>
      </c>
      <c r="H1184" s="47" t="s">
        <v>3068</v>
      </c>
      <c r="I1184" s="47" t="s">
        <v>8066</v>
      </c>
      <c r="J1184" s="47" t="s">
        <v>3069</v>
      </c>
      <c r="K1184" s="47" t="s">
        <v>426</v>
      </c>
      <c r="L1184" s="47" t="s">
        <v>5248</v>
      </c>
      <c r="M1184" s="47" t="s">
        <v>6082</v>
      </c>
      <c r="N1184" s="47" t="s">
        <v>6082</v>
      </c>
      <c r="O1184" s="47" t="s">
        <v>6083</v>
      </c>
      <c r="P1184" s="53"/>
      <c r="Q1184" s="53" t="s">
        <v>6173</v>
      </c>
      <c r="R1184" s="53" t="s">
        <v>6174</v>
      </c>
      <c r="S1184" s="53" t="s">
        <v>6176</v>
      </c>
      <c r="T1184" s="48">
        <v>172.01</v>
      </c>
      <c r="U1184" s="98">
        <v>8.4878786117086213E-2</v>
      </c>
      <c r="V1184" s="98">
        <v>0.86855415382826584</v>
      </c>
      <c r="W1184" s="98">
        <v>0.4365158322401656</v>
      </c>
      <c r="X1184" s="98">
        <v>8.4878786117086213E-2</v>
      </c>
      <c r="Y1184" s="233">
        <v>7</v>
      </c>
      <c r="Z1184" s="48">
        <v>2.83</v>
      </c>
      <c r="AA1184" s="48">
        <v>2.74</v>
      </c>
      <c r="AB1184" s="48">
        <v>3.08</v>
      </c>
      <c r="AC1184" s="48">
        <v>0.87619999999999998</v>
      </c>
      <c r="AD1184" s="48">
        <v>3.01</v>
      </c>
      <c r="AE1184" s="48">
        <v>2.79</v>
      </c>
      <c r="AF1184" s="48">
        <f t="shared" si="316"/>
        <v>2.74</v>
      </c>
      <c r="AG1184" s="49">
        <v>2.99</v>
      </c>
      <c r="AH1184" s="98">
        <v>2.8600000000000001E-5</v>
      </c>
      <c r="AI1184" s="98">
        <v>1.01E-5</v>
      </c>
      <c r="AJ1184" s="483">
        <f t="shared" si="309"/>
        <v>-2.9322002931836089</v>
      </c>
      <c r="AK1184" s="483">
        <f>LOG10(AI1184*1000/(0.08206*298.15))</f>
        <v>-3.3842449525300093</v>
      </c>
      <c r="AL1184" s="483">
        <f t="shared" si="317"/>
        <v>-3.3842449525300093</v>
      </c>
      <c r="AM1184" s="483">
        <v>-5.2783700000000007</v>
      </c>
      <c r="AN1184" s="226">
        <v>-2.96</v>
      </c>
      <c r="AO1184" s="484"/>
      <c r="AP1184" s="484"/>
      <c r="AQ1184" s="226" t="s">
        <v>6311</v>
      </c>
      <c r="AR1184" s="226" t="s">
        <v>6311</v>
      </c>
      <c r="AS1184" s="224" t="s">
        <v>6</v>
      </c>
      <c r="AT1184" s="50" t="s">
        <v>266</v>
      </c>
      <c r="AU1184" s="48">
        <v>8</v>
      </c>
      <c r="AV1184" s="48">
        <v>144</v>
      </c>
      <c r="AW1184" s="48">
        <v>120</v>
      </c>
      <c r="AX1184" s="48">
        <v>26</v>
      </c>
      <c r="AY1184" s="48" t="s">
        <v>267</v>
      </c>
      <c r="AZ1184" s="48" t="s">
        <v>2253</v>
      </c>
      <c r="BA1184" s="48">
        <v>2</v>
      </c>
      <c r="BB1184" s="47" t="s">
        <v>2254</v>
      </c>
      <c r="BC1184" s="47" t="s">
        <v>270</v>
      </c>
      <c r="BD1184" s="47" t="s">
        <v>8374</v>
      </c>
      <c r="BE1184" s="48" t="s">
        <v>1712</v>
      </c>
      <c r="BF1184" s="48" t="s">
        <v>272</v>
      </c>
      <c r="BG1184" s="48" t="s">
        <v>272</v>
      </c>
      <c r="BH1184" s="48" t="s">
        <v>2255</v>
      </c>
      <c r="BI1184" s="98">
        <v>9.9999999999999995E-7</v>
      </c>
      <c r="BJ1184" s="98">
        <v>0.08</v>
      </c>
      <c r="BK1184" s="48"/>
      <c r="BL1184" s="98">
        <f t="shared" si="315"/>
        <v>0.14763080912084423</v>
      </c>
      <c r="BM1184" s="48" t="s">
        <v>891</v>
      </c>
      <c r="BN1184" s="233"/>
      <c r="BO1184" s="233"/>
      <c r="BP1184" s="233"/>
      <c r="BQ1184" s="233"/>
      <c r="BR1184" s="233"/>
      <c r="BS1184" s="48"/>
      <c r="BT1184" s="233"/>
      <c r="BU1184" s="228"/>
      <c r="BV1184" s="233"/>
      <c r="BW1184" s="233"/>
      <c r="BX1184" s="233"/>
      <c r="BY1184" s="233"/>
      <c r="BZ1184" s="233"/>
      <c r="CA1184" s="233"/>
      <c r="CB1184" s="233"/>
      <c r="CC1184" s="48"/>
      <c r="CD1184" s="48"/>
      <c r="CE1184" s="48"/>
      <c r="CF1184" s="48"/>
      <c r="CG1184" s="233"/>
      <c r="CH1184" s="48"/>
      <c r="CI1184" s="98"/>
      <c r="CJ1184" s="98"/>
      <c r="CK1184" s="49">
        <f t="shared" si="313"/>
        <v>1.8453851140105528</v>
      </c>
      <c r="CL1184" s="229"/>
      <c r="CM1184" s="229"/>
      <c r="CN1184" s="229"/>
      <c r="CO1184" s="47" t="s">
        <v>892</v>
      </c>
      <c r="CP1184" s="47" t="s">
        <v>893</v>
      </c>
      <c r="CQ1184" s="224">
        <v>-1.262778591534107</v>
      </c>
      <c r="CR1184" s="224">
        <f>10^(CJ1184-CQ1184)</f>
        <v>18.313805248730844</v>
      </c>
      <c r="CS1184" s="230" t="s">
        <v>539</v>
      </c>
      <c r="CT1184" s="230"/>
      <c r="CU1184" s="230"/>
      <c r="CV1184" s="335">
        <f t="shared" si="314"/>
        <v>1.0609848264635777</v>
      </c>
      <c r="CW1184" s="230">
        <f t="shared" si="312"/>
        <v>1</v>
      </c>
      <c r="CX1184" s="336" t="s">
        <v>539</v>
      </c>
      <c r="CY1184" s="230" t="s">
        <v>6351</v>
      </c>
    </row>
    <row r="1185" spans="1:103" ht="11.25" customHeight="1" x14ac:dyDescent="0.2">
      <c r="A1185" s="72">
        <v>1183</v>
      </c>
      <c r="B1185" s="224">
        <v>1095</v>
      </c>
      <c r="C1185" s="46" t="s">
        <v>7322</v>
      </c>
      <c r="D1185" s="46"/>
      <c r="E1185" s="114"/>
      <c r="F1185" s="114" t="s">
        <v>3067</v>
      </c>
      <c r="G1185" s="225">
        <v>1194656</v>
      </c>
      <c r="H1185" s="47" t="s">
        <v>3068</v>
      </c>
      <c r="I1185" s="47" t="s">
        <v>8066</v>
      </c>
      <c r="J1185" s="47" t="s">
        <v>3069</v>
      </c>
      <c r="K1185" s="47" t="s">
        <v>426</v>
      </c>
      <c r="L1185" s="47" t="s">
        <v>5248</v>
      </c>
      <c r="M1185" s="47" t="s">
        <v>6082</v>
      </c>
      <c r="N1185" s="47" t="s">
        <v>6082</v>
      </c>
      <c r="O1185" s="47" t="s">
        <v>6083</v>
      </c>
      <c r="P1185" s="53"/>
      <c r="Q1185" s="53"/>
      <c r="R1185" s="53"/>
      <c r="S1185" s="53"/>
      <c r="T1185" s="48">
        <v>172.01</v>
      </c>
      <c r="U1185" s="98">
        <v>8.4878786117086213E-2</v>
      </c>
      <c r="V1185" s="98">
        <v>0.86855415382826584</v>
      </c>
      <c r="W1185" s="98">
        <v>0.4365158322401656</v>
      </c>
      <c r="X1185" s="98">
        <v>8.4878786117086213E-2</v>
      </c>
      <c r="Y1185" s="233">
        <v>7</v>
      </c>
      <c r="Z1185" s="48">
        <v>2.83</v>
      </c>
      <c r="AA1185" s="48">
        <v>2.74</v>
      </c>
      <c r="AB1185" s="48">
        <v>3.08</v>
      </c>
      <c r="AC1185" s="48">
        <v>0.87619999999999998</v>
      </c>
      <c r="AD1185" s="48">
        <v>3.01</v>
      </c>
      <c r="AE1185" s="48">
        <v>2.79</v>
      </c>
      <c r="AF1185" s="48">
        <f t="shared" si="316"/>
        <v>2.74</v>
      </c>
      <c r="AG1185" s="49">
        <v>2.99</v>
      </c>
      <c r="AH1185" s="98">
        <v>2.8600000000000001E-5</v>
      </c>
      <c r="AI1185" s="98">
        <v>1.01E-5</v>
      </c>
      <c r="AJ1185" s="483">
        <f t="shared" si="309"/>
        <v>-2.9322002931836089</v>
      </c>
      <c r="AK1185" s="483">
        <f>LOG10(AI1185*1000/(0.08206*298.15))</f>
        <v>-3.3842449525300093</v>
      </c>
      <c r="AL1185" s="483">
        <f t="shared" si="317"/>
        <v>-3.3842449525300093</v>
      </c>
      <c r="AM1185" s="483">
        <v>-5.2783700000000007</v>
      </c>
      <c r="AN1185" s="226">
        <v>-2.96</v>
      </c>
      <c r="AO1185" s="484"/>
      <c r="AP1185" s="484"/>
      <c r="AQ1185" s="48" t="s">
        <v>6311</v>
      </c>
      <c r="AR1185" s="48" t="s">
        <v>6311</v>
      </c>
      <c r="AS1185" s="227"/>
      <c r="AT1185" s="50" t="s">
        <v>266</v>
      </c>
      <c r="AU1185" s="48">
        <v>6</v>
      </c>
      <c r="AV1185" s="48">
        <v>120</v>
      </c>
      <c r="AW1185" s="48">
        <v>114</v>
      </c>
      <c r="AX1185" s="48">
        <v>28</v>
      </c>
      <c r="AY1185" s="48" t="s">
        <v>8728</v>
      </c>
      <c r="AZ1185" s="48" t="s">
        <v>1563</v>
      </c>
      <c r="BA1185" s="48">
        <v>32</v>
      </c>
      <c r="BB1185" s="47" t="s">
        <v>2485</v>
      </c>
      <c r="BC1185" s="47" t="s">
        <v>8726</v>
      </c>
      <c r="BD1185" s="47" t="s">
        <v>8374</v>
      </c>
      <c r="BE1185" s="48" t="s">
        <v>2449</v>
      </c>
      <c r="BF1185" s="48" t="s">
        <v>272</v>
      </c>
      <c r="BG1185" s="48" t="s">
        <v>272</v>
      </c>
      <c r="BH1185" s="48" t="s">
        <v>2486</v>
      </c>
      <c r="BI1185" s="98">
        <v>6.3999999999999997E-6</v>
      </c>
      <c r="BJ1185" s="98">
        <v>6.4000000000000001E-2</v>
      </c>
      <c r="BK1185" s="48"/>
      <c r="BL1185" s="98">
        <f t="shared" si="315"/>
        <v>0.14763080912084423</v>
      </c>
      <c r="BM1185" s="47" t="s">
        <v>2487</v>
      </c>
      <c r="BN1185" s="48"/>
      <c r="BO1185" s="48"/>
      <c r="BP1185" s="48"/>
      <c r="BQ1185" s="48"/>
      <c r="BR1185" s="47" t="s">
        <v>2496</v>
      </c>
      <c r="BS1185" s="48"/>
      <c r="BT1185" s="48"/>
      <c r="BU1185" s="228">
        <v>6.3999999999999997E-6</v>
      </c>
      <c r="BV1185" s="48"/>
      <c r="BW1185" s="48"/>
      <c r="BX1185" s="48"/>
      <c r="BY1185" s="48"/>
      <c r="BZ1185" s="48"/>
      <c r="CA1185" s="48"/>
      <c r="CB1185" s="48"/>
      <c r="CC1185" s="48"/>
      <c r="CD1185" s="48"/>
      <c r="CE1185" s="48"/>
      <c r="CF1185" s="48"/>
      <c r="CG1185" s="48"/>
      <c r="CH1185" s="48"/>
      <c r="CI1185" s="98"/>
      <c r="CJ1185" s="98"/>
      <c r="CK1185" s="49">
        <f t="shared" si="313"/>
        <v>2.3067313925131909</v>
      </c>
      <c r="CL1185" s="229"/>
      <c r="CM1185" s="229"/>
      <c r="CN1185" s="229"/>
      <c r="CO1185" s="47" t="s">
        <v>2488</v>
      </c>
      <c r="CP1185" s="47" t="s">
        <v>2489</v>
      </c>
      <c r="CQ1185" s="224">
        <v>-1.262778591534107</v>
      </c>
      <c r="CR1185" s="224">
        <f>10^(CJ1185-CQ1185)</f>
        <v>18.313805248730844</v>
      </c>
      <c r="CS1185" s="230" t="s">
        <v>539</v>
      </c>
      <c r="CT1185" s="230"/>
      <c r="CU1185" s="230"/>
      <c r="CV1185" s="335">
        <f t="shared" si="314"/>
        <v>1.326231033079472</v>
      </c>
      <c r="CW1185" s="230">
        <f t="shared" si="312"/>
        <v>1</v>
      </c>
      <c r="CX1185" s="336"/>
      <c r="CY1185" s="230" t="s">
        <v>6351</v>
      </c>
    </row>
    <row r="1186" spans="1:103" ht="11.25" customHeight="1" x14ac:dyDescent="0.2">
      <c r="A1186" s="72">
        <v>1184</v>
      </c>
      <c r="B1186" s="224">
        <v>1056</v>
      </c>
      <c r="C1186" s="46" t="s">
        <v>7323</v>
      </c>
      <c r="D1186" s="46"/>
      <c r="E1186" s="114"/>
      <c r="F1186" s="114" t="s">
        <v>2978</v>
      </c>
      <c r="G1186" s="225">
        <v>1260179</v>
      </c>
      <c r="H1186" s="47" t="s">
        <v>2979</v>
      </c>
      <c r="I1186" s="47" t="s">
        <v>8067</v>
      </c>
      <c r="J1186" s="47" t="s">
        <v>2980</v>
      </c>
      <c r="K1186" s="47" t="s">
        <v>1723</v>
      </c>
      <c r="L1186" s="47"/>
      <c r="M1186" s="47"/>
      <c r="N1186" s="47"/>
      <c r="O1186" s="47"/>
      <c r="P1186" s="53"/>
      <c r="Q1186" s="53"/>
      <c r="R1186" s="53"/>
      <c r="S1186" s="53"/>
      <c r="T1186" s="48">
        <v>492.39</v>
      </c>
      <c r="U1186" s="98">
        <v>2.6401835943053271</v>
      </c>
      <c r="V1186" s="98">
        <v>7.0980320477670153E-2</v>
      </c>
      <c r="W1186" s="98">
        <v>0.21379620895022311</v>
      </c>
      <c r="X1186" s="98">
        <v>2.6401835943053271</v>
      </c>
      <c r="Y1186" s="233">
        <v>3.67</v>
      </c>
      <c r="Z1186" s="48">
        <v>0.97</v>
      </c>
      <c r="AA1186" s="48"/>
      <c r="AB1186" s="48">
        <v>1.9</v>
      </c>
      <c r="AC1186" s="48">
        <v>0.42320000000000002</v>
      </c>
      <c r="AD1186" s="48">
        <v>3.15</v>
      </c>
      <c r="AE1186" s="48">
        <v>4.8</v>
      </c>
      <c r="AF1186" s="48">
        <f t="shared" si="316"/>
        <v>3.15</v>
      </c>
      <c r="AG1186" s="49">
        <v>-0.17</v>
      </c>
      <c r="AH1186" s="98">
        <v>6.5699999999999999E-32</v>
      </c>
      <c r="AI1186" s="98"/>
      <c r="AJ1186" s="483">
        <f t="shared" si="309"/>
        <v>-29.571000956752872</v>
      </c>
      <c r="AK1186" s="483"/>
      <c r="AL1186" s="483">
        <f t="shared" si="317"/>
        <v>-29.571000956752872</v>
      </c>
      <c r="AM1186" s="483">
        <v>-39.416520000000006</v>
      </c>
      <c r="AN1186" s="226">
        <v>-26.6</v>
      </c>
      <c r="AO1186" s="484">
        <v>1.62</v>
      </c>
      <c r="AP1186" s="484"/>
      <c r="AQ1186" s="48" t="s">
        <v>6311</v>
      </c>
      <c r="AR1186" s="48" t="s">
        <v>6311</v>
      </c>
      <c r="AS1186" s="227"/>
      <c r="AT1186" s="50" t="s">
        <v>266</v>
      </c>
      <c r="AU1186" s="48">
        <v>6</v>
      </c>
      <c r="AV1186" s="48">
        <v>120</v>
      </c>
      <c r="AW1186" s="48">
        <v>114</v>
      </c>
      <c r="AX1186" s="48">
        <v>28</v>
      </c>
      <c r="AY1186" s="48" t="s">
        <v>8728</v>
      </c>
      <c r="AZ1186" s="48" t="s">
        <v>1563</v>
      </c>
      <c r="BA1186" s="48">
        <v>32</v>
      </c>
      <c r="BB1186" s="47" t="s">
        <v>2485</v>
      </c>
      <c r="BC1186" s="47" t="s">
        <v>8726</v>
      </c>
      <c r="BD1186" s="47" t="s">
        <v>8374</v>
      </c>
      <c r="BE1186" s="48" t="s">
        <v>2449</v>
      </c>
      <c r="BF1186" s="48" t="s">
        <v>272</v>
      </c>
      <c r="BG1186" s="48" t="s">
        <v>272</v>
      </c>
      <c r="BH1186" s="48" t="s">
        <v>2486</v>
      </c>
      <c r="BI1186" s="98">
        <v>6.3999999999999997E-6</v>
      </c>
      <c r="BJ1186" s="98">
        <v>6.4000000000000001E-2</v>
      </c>
      <c r="BK1186" s="48"/>
      <c r="BL1186" s="98">
        <f t="shared" si="315"/>
        <v>6.912625037115304</v>
      </c>
      <c r="BM1186" s="47" t="s">
        <v>2487</v>
      </c>
      <c r="BN1186" s="48"/>
      <c r="BO1186" s="48"/>
      <c r="BP1186" s="48"/>
      <c r="BQ1186" s="48"/>
      <c r="BR1186" s="47" t="s">
        <v>2496</v>
      </c>
      <c r="BS1186" s="48"/>
      <c r="BT1186" s="48"/>
      <c r="BU1186" s="228">
        <v>6.3999999999999997E-6</v>
      </c>
      <c r="BV1186" s="48"/>
      <c r="BW1186" s="48"/>
      <c r="BX1186" s="48"/>
      <c r="BY1186" s="48"/>
      <c r="BZ1186" s="48"/>
      <c r="CA1186" s="48"/>
      <c r="CB1186" s="48"/>
      <c r="CC1186" s="48"/>
      <c r="CD1186" s="48"/>
      <c r="CE1186" s="48"/>
      <c r="CF1186" s="48"/>
      <c r="CG1186" s="48"/>
      <c r="CH1186" s="48"/>
      <c r="CI1186" s="98"/>
      <c r="CJ1186" s="98"/>
      <c r="CK1186" s="49">
        <f t="shared" si="313"/>
        <v>108.00976620492662</v>
      </c>
      <c r="CL1186" s="229"/>
      <c r="CM1186" s="229"/>
      <c r="CN1186" s="229"/>
      <c r="CO1186" s="47" t="s">
        <v>2488</v>
      </c>
      <c r="CP1186" s="47" t="s">
        <v>2489</v>
      </c>
      <c r="CQ1186" s="224" t="s">
        <v>272</v>
      </c>
      <c r="CR1186" s="224"/>
      <c r="CS1186" s="230" t="s">
        <v>539</v>
      </c>
      <c r="CT1186" s="230"/>
      <c r="CU1186" s="230"/>
      <c r="CV1186" s="335">
        <f t="shared" si="314"/>
        <v>41.252868661020734</v>
      </c>
      <c r="CW1186" s="230">
        <f t="shared" si="312"/>
        <v>1</v>
      </c>
      <c r="CX1186" s="336"/>
      <c r="CY1186" s="230" t="s">
        <v>5921</v>
      </c>
    </row>
    <row r="1187" spans="1:103" ht="11.25" customHeight="1" x14ac:dyDescent="0.2">
      <c r="A1187" s="72">
        <v>1185</v>
      </c>
      <c r="B1187" s="224">
        <v>1289</v>
      </c>
      <c r="C1187" s="46" t="s">
        <v>7324</v>
      </c>
      <c r="D1187" s="46"/>
      <c r="E1187" s="114"/>
      <c r="F1187" s="114" t="s">
        <v>3544</v>
      </c>
      <c r="G1187" s="225">
        <v>1401554</v>
      </c>
      <c r="H1187" s="47" t="s">
        <v>3545</v>
      </c>
      <c r="I1187" s="47" t="s">
        <v>8068</v>
      </c>
      <c r="J1187" s="47"/>
      <c r="K1187" s="47" t="s">
        <v>3383</v>
      </c>
      <c r="L1187" s="47"/>
      <c r="M1187" s="47"/>
      <c r="N1187" s="47"/>
      <c r="O1187" s="47"/>
      <c r="P1187" s="53"/>
      <c r="Q1187" s="53"/>
      <c r="R1187" s="53"/>
      <c r="S1187" s="53"/>
      <c r="T1187" s="48">
        <v>636.48</v>
      </c>
      <c r="U1187" s="98"/>
      <c r="V1187" s="98">
        <v>0.80505279034690791</v>
      </c>
      <c r="W1187" s="98">
        <v>0.52480746024977232</v>
      </c>
      <c r="X1187" s="98">
        <f>IF(W1187=0,V1187,W1187)</f>
        <v>0.52480746024977232</v>
      </c>
      <c r="Y1187" s="233">
        <v>5.97</v>
      </c>
      <c r="Z1187" s="48">
        <v>-0.19</v>
      </c>
      <c r="AA1187" s="48"/>
      <c r="AB1187" s="48">
        <v>0.47</v>
      </c>
      <c r="AC1187" s="48">
        <v>0.59319999999999995</v>
      </c>
      <c r="AD1187" s="48">
        <v>2.09</v>
      </c>
      <c r="AE1187" s="48">
        <v>4.2300000000000004</v>
      </c>
      <c r="AF1187" s="48">
        <f t="shared" si="316"/>
        <v>2.09</v>
      </c>
      <c r="AG1187" s="49">
        <v>2.09</v>
      </c>
      <c r="AH1187" s="98"/>
      <c r="AI1187" s="98"/>
      <c r="AJ1187" s="483"/>
      <c r="AK1187" s="483"/>
      <c r="AL1187" s="483"/>
      <c r="AM1187" s="483">
        <v>-59.19838</v>
      </c>
      <c r="AN1187" s="226"/>
      <c r="AO1187" s="484">
        <v>8.3699999999999992</v>
      </c>
      <c r="AP1187" s="484"/>
      <c r="AQ1187" s="48" t="s">
        <v>6311</v>
      </c>
      <c r="AR1187" s="48" t="s">
        <v>6312</v>
      </c>
      <c r="AS1187" s="227"/>
      <c r="AT1187" s="50" t="s">
        <v>266</v>
      </c>
      <c r="AU1187" s="48">
        <v>6</v>
      </c>
      <c r="AV1187" s="48">
        <v>120</v>
      </c>
      <c r="AW1187" s="48">
        <v>114</v>
      </c>
      <c r="AX1187" s="48">
        <v>28</v>
      </c>
      <c r="AY1187" s="48" t="s">
        <v>8728</v>
      </c>
      <c r="AZ1187" s="48" t="s">
        <v>1563</v>
      </c>
      <c r="BA1187" s="48">
        <v>32</v>
      </c>
      <c r="BB1187" s="47" t="s">
        <v>2485</v>
      </c>
      <c r="BC1187" s="47" t="s">
        <v>8726</v>
      </c>
      <c r="BD1187" s="47" t="s">
        <v>8374</v>
      </c>
      <c r="BE1187" s="48" t="s">
        <v>2449</v>
      </c>
      <c r="BF1187" s="48" t="s">
        <v>272</v>
      </c>
      <c r="BG1187" s="48" t="s">
        <v>272</v>
      </c>
      <c r="BH1187" s="48" t="s">
        <v>2486</v>
      </c>
      <c r="BI1187" s="98">
        <v>6.3999999999999997E-6</v>
      </c>
      <c r="BJ1187" s="98">
        <v>6.4000000000000001E-2</v>
      </c>
      <c r="BK1187" s="48"/>
      <c r="BL1187" s="98">
        <f t="shared" si="315"/>
        <v>76.109522981942348</v>
      </c>
      <c r="BM1187" s="47" t="s">
        <v>2487</v>
      </c>
      <c r="BN1187" s="48"/>
      <c r="BO1187" s="48"/>
      <c r="BP1187" s="48"/>
      <c r="BQ1187" s="48"/>
      <c r="BR1187" s="47" t="s">
        <v>2496</v>
      </c>
      <c r="BS1187" s="48"/>
      <c r="BT1187" s="48"/>
      <c r="BU1187" s="228">
        <v>1.9519999999999999E-2</v>
      </c>
      <c r="BV1187" s="48"/>
      <c r="BW1187" s="48"/>
      <c r="BX1187" s="48"/>
      <c r="BY1187" s="48"/>
      <c r="BZ1187" s="48"/>
      <c r="CA1187" s="48"/>
      <c r="CB1187" s="48"/>
      <c r="CC1187" s="48"/>
      <c r="CD1187" s="48"/>
      <c r="CE1187" s="48"/>
      <c r="CF1187" s="48"/>
      <c r="CG1187" s="48"/>
      <c r="CH1187" s="48"/>
      <c r="CI1187" s="98"/>
      <c r="CJ1187" s="98"/>
      <c r="CK1187" s="49">
        <f t="shared" si="313"/>
        <v>1189.2112965928491</v>
      </c>
      <c r="CL1187" s="229"/>
      <c r="CM1187" s="229"/>
      <c r="CN1187" s="229"/>
      <c r="CO1187" s="47" t="s">
        <v>2488</v>
      </c>
      <c r="CP1187" s="47" t="s">
        <v>2489</v>
      </c>
      <c r="CQ1187" s="224" t="s">
        <v>272</v>
      </c>
      <c r="CR1187" s="224"/>
      <c r="CS1187" s="230" t="s">
        <v>539</v>
      </c>
      <c r="CT1187" s="230"/>
      <c r="CU1187" s="230"/>
      <c r="CV1187" s="335">
        <f t="shared" si="314"/>
        <v>8.2001165664026932</v>
      </c>
      <c r="CW1187" s="230">
        <f t="shared" si="312"/>
        <v>1</v>
      </c>
      <c r="CX1187" s="336"/>
      <c r="CY1187" s="230" t="s">
        <v>5921</v>
      </c>
    </row>
    <row r="1188" spans="1:103" ht="11.25" customHeight="1" x14ac:dyDescent="0.2">
      <c r="A1188" s="72">
        <v>1186</v>
      </c>
      <c r="B1188" s="224">
        <v>1337</v>
      </c>
      <c r="C1188" s="46" t="s">
        <v>7325</v>
      </c>
      <c r="D1188" s="46"/>
      <c r="E1188" s="114"/>
      <c r="F1188" s="114" t="s">
        <v>4145</v>
      </c>
      <c r="G1188" s="225">
        <v>1401690</v>
      </c>
      <c r="H1188" s="47" t="s">
        <v>4146</v>
      </c>
      <c r="I1188" s="47" t="s">
        <v>8069</v>
      </c>
      <c r="J1188" s="47" t="s">
        <v>4147</v>
      </c>
      <c r="K1188" s="47" t="s">
        <v>4148</v>
      </c>
      <c r="L1188" s="47"/>
      <c r="M1188" s="47"/>
      <c r="N1188" s="47"/>
      <c r="O1188" s="47"/>
      <c r="P1188" s="53"/>
      <c r="Q1188" s="53"/>
      <c r="R1188" s="53"/>
      <c r="S1188" s="53"/>
      <c r="T1188" s="48">
        <v>916.1</v>
      </c>
      <c r="U1188" s="98">
        <v>5.4579194411090489E-3</v>
      </c>
      <c r="V1188" s="98">
        <v>5.5288723938434661E-4</v>
      </c>
      <c r="W1188" s="98">
        <v>42.657951880159239</v>
      </c>
      <c r="X1188" s="98">
        <v>5.4579194411090489E-3</v>
      </c>
      <c r="Y1188" s="233">
        <v>9.82</v>
      </c>
      <c r="Z1188" s="48">
        <v>1.05</v>
      </c>
      <c r="AA1188" s="48">
        <v>1.63</v>
      </c>
      <c r="AB1188" s="48">
        <v>1.32</v>
      </c>
      <c r="AC1188" s="48">
        <v>0.83620000000000005</v>
      </c>
      <c r="AD1188" s="48">
        <v>1.7</v>
      </c>
      <c r="AE1188" s="48">
        <v>3.27</v>
      </c>
      <c r="AF1188" s="48">
        <f t="shared" si="316"/>
        <v>1.63</v>
      </c>
      <c r="AG1188" s="49">
        <v>2.23</v>
      </c>
      <c r="AH1188" s="98">
        <v>5.7700000000000003E-38</v>
      </c>
      <c r="AI1188" s="98"/>
      <c r="AJ1188" s="483">
        <f t="shared" ref="AJ1188:AJ1219" si="318">LOG10(AH1188*1000/(0.08206*298.15))</f>
        <v>-35.627390513156918</v>
      </c>
      <c r="AK1188" s="483"/>
      <c r="AL1188" s="483">
        <f t="shared" ref="AL1188:AL1219" si="319">IF(AK1188=0,AJ1188,AK1188)</f>
        <v>-35.627390513156918</v>
      </c>
      <c r="AM1188" s="483">
        <v>-52.056750000000001</v>
      </c>
      <c r="AN1188" s="226">
        <v>-41.6</v>
      </c>
      <c r="AO1188" s="484">
        <v>13.06</v>
      </c>
      <c r="AP1188" s="484">
        <v>7.39</v>
      </c>
      <c r="AQ1188" s="48" t="s">
        <v>6311</v>
      </c>
      <c r="AR1188" s="48" t="s">
        <v>6311</v>
      </c>
      <c r="AS1188" s="224" t="s">
        <v>6</v>
      </c>
      <c r="AT1188" s="50" t="s">
        <v>266</v>
      </c>
      <c r="AU1188" s="48">
        <v>0</v>
      </c>
      <c r="AV1188" s="48">
        <v>144</v>
      </c>
      <c r="AW1188" s="48">
        <v>144</v>
      </c>
      <c r="AX1188" s="48">
        <v>25</v>
      </c>
      <c r="AY1188" s="48" t="s">
        <v>8722</v>
      </c>
      <c r="AZ1188" s="48" t="s">
        <v>2175</v>
      </c>
      <c r="BA1188" s="48" t="s">
        <v>8722</v>
      </c>
      <c r="BB1188" s="47" t="s">
        <v>2176</v>
      </c>
      <c r="BC1188" s="47" t="s">
        <v>538</v>
      </c>
      <c r="BD1188" s="47"/>
      <c r="BE1188" s="48" t="s">
        <v>271</v>
      </c>
      <c r="BF1188" s="48" t="s">
        <v>1974</v>
      </c>
      <c r="BG1188" s="48" t="s">
        <v>1974</v>
      </c>
      <c r="BH1188" s="48" t="s">
        <v>272</v>
      </c>
      <c r="BI1188" s="98" t="s">
        <v>4137</v>
      </c>
      <c r="BJ1188" s="98">
        <f>10/T1188</f>
        <v>1.0915838882218098E-2</v>
      </c>
      <c r="BK1188" s="48" t="s">
        <v>2178</v>
      </c>
      <c r="BL1188" s="98">
        <f t="shared" si="315"/>
        <v>5.8586155503813337</v>
      </c>
      <c r="BM1188" s="48" t="s">
        <v>541</v>
      </c>
      <c r="BN1188" s="48"/>
      <c r="BO1188" s="48"/>
      <c r="BP1188" s="48"/>
      <c r="BQ1188" s="48"/>
      <c r="BR1188" s="48"/>
      <c r="BS1188" s="48"/>
      <c r="BT1188" s="48"/>
      <c r="BU1188" s="228"/>
      <c r="BV1188" s="48"/>
      <c r="BW1188" s="48"/>
      <c r="BX1188" s="48"/>
      <c r="BY1188" s="48"/>
      <c r="BZ1188" s="48"/>
      <c r="CA1188" s="48"/>
      <c r="CB1188" s="48"/>
      <c r="CC1188" s="48"/>
      <c r="CD1188" s="48"/>
      <c r="CE1188" s="48"/>
      <c r="CF1188" s="48"/>
      <c r="CG1188" s="48"/>
      <c r="CH1188" s="48"/>
      <c r="CI1188" s="98"/>
      <c r="CJ1188" s="98"/>
      <c r="CK1188" s="49">
        <f t="shared" si="313"/>
        <v>536.70777057043404</v>
      </c>
      <c r="CL1188" s="229"/>
      <c r="CM1188" s="229"/>
      <c r="CN1188" s="229"/>
      <c r="CO1188" s="47"/>
      <c r="CP1188" s="47" t="s">
        <v>2180</v>
      </c>
      <c r="CQ1188" s="224" t="s">
        <v>272</v>
      </c>
      <c r="CR1188" s="224"/>
      <c r="CS1188" s="230" t="s">
        <v>539</v>
      </c>
      <c r="CT1188" s="230" t="s">
        <v>6310</v>
      </c>
      <c r="CU1188" s="230"/>
      <c r="CV1188" s="335">
        <f t="shared" si="314"/>
        <v>0.5</v>
      </c>
      <c r="CW1188" s="230">
        <f t="shared" si="312"/>
        <v>0</v>
      </c>
      <c r="CX1188" s="336" t="s">
        <v>539</v>
      </c>
      <c r="CY1188" s="230" t="s">
        <v>5921</v>
      </c>
    </row>
    <row r="1189" spans="1:103" ht="11.25" customHeight="1" x14ac:dyDescent="0.2">
      <c r="A1189" s="72">
        <v>1187</v>
      </c>
      <c r="B1189" s="224">
        <v>1612</v>
      </c>
      <c r="C1189" s="46" t="s">
        <v>7326</v>
      </c>
      <c r="D1189" s="46"/>
      <c r="E1189" s="114"/>
      <c r="F1189" s="114" t="s">
        <v>4783</v>
      </c>
      <c r="G1189" s="225">
        <v>1445756</v>
      </c>
      <c r="H1189" s="47" t="s">
        <v>4784</v>
      </c>
      <c r="I1189" s="47" t="s">
        <v>4784</v>
      </c>
      <c r="J1189" s="47" t="s">
        <v>4785</v>
      </c>
      <c r="K1189" s="47" t="s">
        <v>637</v>
      </c>
      <c r="L1189" s="47"/>
      <c r="M1189" s="47"/>
      <c r="N1189" s="47"/>
      <c r="O1189" s="47"/>
      <c r="P1189" s="53"/>
      <c r="Q1189" s="53"/>
      <c r="R1189" s="53"/>
      <c r="S1189" s="53"/>
      <c r="T1189" s="48">
        <v>180.18</v>
      </c>
      <c r="U1189" s="98">
        <v>8.3250083250083247</v>
      </c>
      <c r="V1189" s="98">
        <v>40.237540237540237</v>
      </c>
      <c r="W1189" s="98">
        <v>169.82436524617441</v>
      </c>
      <c r="X1189" s="98">
        <v>8.3250083250083247</v>
      </c>
      <c r="Y1189" s="233">
        <v>7</v>
      </c>
      <c r="Z1189" s="48">
        <v>1.23</v>
      </c>
      <c r="AA1189" s="48">
        <v>1.03</v>
      </c>
      <c r="AB1189" s="48">
        <v>1.1100000000000001</v>
      </c>
      <c r="AC1189" s="48">
        <v>0.78080000000000005</v>
      </c>
      <c r="AD1189" s="48">
        <v>1.07</v>
      </c>
      <c r="AE1189" s="48">
        <v>0.98</v>
      </c>
      <c r="AF1189" s="48">
        <f t="shared" si="316"/>
        <v>1.03</v>
      </c>
      <c r="AG1189" s="49">
        <v>1.68</v>
      </c>
      <c r="AH1189" s="98">
        <v>3.8800000000000001E-6</v>
      </c>
      <c r="AI1189" s="98">
        <v>4.3800000000000001E-5</v>
      </c>
      <c r="AJ1189" s="483">
        <f t="shared" si="318"/>
        <v>-3.7997346007184447</v>
      </c>
      <c r="AK1189" s="483">
        <f t="shared" ref="AK1189:AK1198" si="320">LOG10(AI1189*1000/(0.08206*298.15))</f>
        <v>-2.7470922158085522</v>
      </c>
      <c r="AL1189" s="483">
        <f t="shared" si="319"/>
        <v>-2.7470922158085522</v>
      </c>
      <c r="AM1189" s="483">
        <v>-6.6476900000000008</v>
      </c>
      <c r="AN1189" s="226">
        <v>-3.43</v>
      </c>
      <c r="AO1189" s="484"/>
      <c r="AP1189" s="484"/>
      <c r="AQ1189" s="48" t="s">
        <v>6312</v>
      </c>
      <c r="AR1189" s="48" t="s">
        <v>6312</v>
      </c>
      <c r="AS1189" s="227"/>
      <c r="AT1189" s="50" t="s">
        <v>266</v>
      </c>
      <c r="AU1189" s="48">
        <v>6</v>
      </c>
      <c r="AV1189" s="48">
        <v>120</v>
      </c>
      <c r="AW1189" s="48">
        <v>114</v>
      </c>
      <c r="AX1189" s="48">
        <v>28</v>
      </c>
      <c r="AY1189" s="48" t="s">
        <v>8728</v>
      </c>
      <c r="AZ1189" s="48" t="s">
        <v>1563</v>
      </c>
      <c r="BA1189" s="48">
        <v>32</v>
      </c>
      <c r="BB1189" s="47" t="s">
        <v>2485</v>
      </c>
      <c r="BC1189" s="47" t="s">
        <v>8726</v>
      </c>
      <c r="BD1189" s="47" t="s">
        <v>8374</v>
      </c>
      <c r="BE1189" s="48" t="s">
        <v>2449</v>
      </c>
      <c r="BF1189" s="48" t="s">
        <v>272</v>
      </c>
      <c r="BG1189" s="48" t="s">
        <v>272</v>
      </c>
      <c r="BH1189" s="48" t="s">
        <v>2486</v>
      </c>
      <c r="BI1189" s="98">
        <v>6.3999999999999997E-6</v>
      </c>
      <c r="BJ1189" s="98">
        <v>6.4000000000000001E-2</v>
      </c>
      <c r="BK1189" s="48"/>
      <c r="BL1189" s="98">
        <f t="shared" si="315"/>
        <v>4.0377274467082547</v>
      </c>
      <c r="BM1189" s="47" t="s">
        <v>2487</v>
      </c>
      <c r="BN1189" s="48"/>
      <c r="BO1189" s="48"/>
      <c r="BP1189" s="48"/>
      <c r="BQ1189" s="48"/>
      <c r="BR1189" s="47" t="s">
        <v>2496</v>
      </c>
      <c r="BS1189" s="48"/>
      <c r="BT1189" s="48"/>
      <c r="BU1189" s="228"/>
      <c r="BV1189" s="48"/>
      <c r="BW1189" s="48"/>
      <c r="BX1189" s="48"/>
      <c r="BY1189" s="48"/>
      <c r="BZ1189" s="48"/>
      <c r="CA1189" s="48"/>
      <c r="CB1189" s="48"/>
      <c r="CC1189" s="48"/>
      <c r="CD1189" s="48"/>
      <c r="CE1189" s="48"/>
      <c r="CF1189" s="48"/>
      <c r="CG1189" s="48"/>
      <c r="CH1189" s="48"/>
      <c r="CI1189" s="98"/>
      <c r="CJ1189" s="98"/>
      <c r="CK1189" s="49">
        <f t="shared" si="313"/>
        <v>63.089491354816481</v>
      </c>
      <c r="CL1189" s="229"/>
      <c r="CM1189" s="229"/>
      <c r="CN1189" s="229"/>
      <c r="CO1189" s="47" t="s">
        <v>2488</v>
      </c>
      <c r="CP1189" s="47" t="s">
        <v>2489</v>
      </c>
      <c r="CQ1189" s="224">
        <v>0.49574883647344559</v>
      </c>
      <c r="CR1189" s="224">
        <f t="shared" ref="CR1189:CR1196" si="321">10^(CJ1189-CQ1189)</f>
        <v>0.31933841363065596</v>
      </c>
      <c r="CS1189" s="230" t="s">
        <v>539</v>
      </c>
      <c r="CT1189" s="230"/>
      <c r="CU1189" s="230"/>
      <c r="CV1189" s="335">
        <f t="shared" si="314"/>
        <v>130.07825507825507</v>
      </c>
      <c r="CW1189" s="230">
        <f t="shared" si="312"/>
        <v>1</v>
      </c>
      <c r="CX1189" s="336"/>
      <c r="CY1189" s="230" t="s">
        <v>5921</v>
      </c>
    </row>
    <row r="1190" spans="1:103" ht="11.25" customHeight="1" x14ac:dyDescent="0.2">
      <c r="A1190" s="72">
        <v>1188</v>
      </c>
      <c r="B1190" s="224">
        <v>1052</v>
      </c>
      <c r="C1190" s="46" t="s">
        <v>7327</v>
      </c>
      <c r="D1190" s="46"/>
      <c r="E1190" s="114"/>
      <c r="F1190" s="114" t="s">
        <v>2970</v>
      </c>
      <c r="G1190" s="225">
        <v>1563662</v>
      </c>
      <c r="H1190" s="47" t="s">
        <v>2971</v>
      </c>
      <c r="I1190" s="47" t="s">
        <v>2971</v>
      </c>
      <c r="J1190" s="47" t="s">
        <v>2972</v>
      </c>
      <c r="K1190" s="47" t="s">
        <v>616</v>
      </c>
      <c r="L1190" s="47" t="s">
        <v>617</v>
      </c>
      <c r="M1190" s="47" t="s">
        <v>618</v>
      </c>
      <c r="N1190" s="47" t="s">
        <v>6376</v>
      </c>
      <c r="O1190" s="47" t="s">
        <v>2973</v>
      </c>
      <c r="P1190" s="53"/>
      <c r="Q1190" s="53" t="s">
        <v>6173</v>
      </c>
      <c r="R1190" s="53" t="s">
        <v>6177</v>
      </c>
      <c r="S1190" s="53" t="s">
        <v>6176</v>
      </c>
      <c r="T1190" s="48">
        <v>221.25</v>
      </c>
      <c r="U1190" s="98">
        <v>1.4463276836158192</v>
      </c>
      <c r="V1190" s="98">
        <v>1.5995480225988699</v>
      </c>
      <c r="W1190" s="98">
        <v>1.4125375446227526</v>
      </c>
      <c r="X1190" s="98">
        <v>1.4463276836158192</v>
      </c>
      <c r="Y1190" s="233">
        <v>6.98</v>
      </c>
      <c r="Z1190" s="48">
        <v>2.2999999999999998</v>
      </c>
      <c r="AA1190" s="48">
        <v>2.3199999999999998</v>
      </c>
      <c r="AB1190" s="48">
        <v>2.39</v>
      </c>
      <c r="AC1190" s="48">
        <v>0.84889999999999999</v>
      </c>
      <c r="AD1190" s="48">
        <v>2.2200000000000002</v>
      </c>
      <c r="AE1190" s="48">
        <v>1.76</v>
      </c>
      <c r="AF1190" s="48">
        <f t="shared" si="316"/>
        <v>2.3199999999999998</v>
      </c>
      <c r="AG1190" s="49">
        <v>2.02</v>
      </c>
      <c r="AH1190" s="98">
        <v>1.63E-9</v>
      </c>
      <c r="AI1190" s="98">
        <v>3.0899999999999999E-9</v>
      </c>
      <c r="AJ1190" s="483">
        <f t="shared" si="318"/>
        <v>-7.1763787219086943</v>
      </c>
      <c r="AK1190" s="483">
        <f t="shared" si="320"/>
        <v>-6.8986078468878169</v>
      </c>
      <c r="AL1190" s="483">
        <f t="shared" si="319"/>
        <v>-6.8986078468878169</v>
      </c>
      <c r="AM1190" s="483">
        <v>-10.257579999999999</v>
      </c>
      <c r="AN1190" s="226">
        <v>-6.88</v>
      </c>
      <c r="AO1190" s="484">
        <v>12.28</v>
      </c>
      <c r="AP1190" s="484">
        <v>-1.49</v>
      </c>
      <c r="AQ1190" s="48" t="s">
        <v>6311</v>
      </c>
      <c r="AR1190" s="48" t="s">
        <v>6314</v>
      </c>
      <c r="AS1190" s="227"/>
      <c r="AT1190" s="50" t="s">
        <v>266</v>
      </c>
      <c r="AU1190" s="48">
        <v>6</v>
      </c>
      <c r="AV1190" s="48">
        <v>120</v>
      </c>
      <c r="AW1190" s="48">
        <v>114</v>
      </c>
      <c r="AX1190" s="48">
        <v>28</v>
      </c>
      <c r="AY1190" s="48" t="s">
        <v>8728</v>
      </c>
      <c r="AZ1190" s="48" t="s">
        <v>1563</v>
      </c>
      <c r="BA1190" s="48">
        <v>32</v>
      </c>
      <c r="BB1190" s="47" t="s">
        <v>2485</v>
      </c>
      <c r="BC1190" s="47" t="s">
        <v>8726</v>
      </c>
      <c r="BD1190" s="47" t="s">
        <v>8374</v>
      </c>
      <c r="BE1190" s="48" t="s">
        <v>2449</v>
      </c>
      <c r="BF1190" s="48" t="s">
        <v>272</v>
      </c>
      <c r="BG1190" s="48" t="s">
        <v>272</v>
      </c>
      <c r="BH1190" s="48" t="s">
        <v>2486</v>
      </c>
      <c r="BI1190" s="98">
        <v>6.3999999999999997E-6</v>
      </c>
      <c r="BJ1190" s="98">
        <v>6.4000000000000001E-2</v>
      </c>
      <c r="BK1190" s="48"/>
      <c r="BL1190" s="98">
        <f t="shared" si="315"/>
        <v>0.44174332928754007</v>
      </c>
      <c r="BM1190" s="47" t="s">
        <v>2487</v>
      </c>
      <c r="BN1190" s="48"/>
      <c r="BO1190" s="48"/>
      <c r="BP1190" s="48"/>
      <c r="BQ1190" s="48"/>
      <c r="BR1190" s="47" t="s">
        <v>2496</v>
      </c>
      <c r="BS1190" s="48"/>
      <c r="BT1190" s="48"/>
      <c r="BU1190" s="228">
        <v>6.3999999999999997E-6</v>
      </c>
      <c r="BV1190" s="48"/>
      <c r="BW1190" s="48"/>
      <c r="BX1190" s="48"/>
      <c r="BY1190" s="48"/>
      <c r="BZ1190" s="48"/>
      <c r="CA1190" s="48"/>
      <c r="CB1190" s="48"/>
      <c r="CC1190" s="48"/>
      <c r="CD1190" s="48"/>
      <c r="CE1190" s="48"/>
      <c r="CF1190" s="48"/>
      <c r="CG1190" s="48"/>
      <c r="CH1190" s="48"/>
      <c r="CI1190" s="98"/>
      <c r="CJ1190" s="98"/>
      <c r="CK1190" s="49">
        <f t="shared" si="313"/>
        <v>6.9022395201178135</v>
      </c>
      <c r="CL1190" s="229"/>
      <c r="CM1190" s="229"/>
      <c r="CN1190" s="229"/>
      <c r="CO1190" s="47" t="s">
        <v>2488</v>
      </c>
      <c r="CP1190" s="47" t="s">
        <v>2489</v>
      </c>
      <c r="CQ1190" s="224">
        <v>-2.6652352961687877</v>
      </c>
      <c r="CR1190" s="224">
        <f t="shared" si="321"/>
        <v>462.63160243380474</v>
      </c>
      <c r="CS1190" s="230" t="s">
        <v>539</v>
      </c>
      <c r="CT1190" s="230"/>
      <c r="CU1190" s="230"/>
      <c r="CV1190" s="335">
        <f t="shared" si="314"/>
        <v>22.598870056497173</v>
      </c>
      <c r="CW1190" s="230">
        <f t="shared" si="312"/>
        <v>1</v>
      </c>
      <c r="CX1190" s="336"/>
      <c r="CY1190" s="230" t="s">
        <v>5921</v>
      </c>
    </row>
    <row r="1191" spans="1:103" ht="11.25" customHeight="1" x14ac:dyDescent="0.2">
      <c r="A1191" s="72">
        <v>1189</v>
      </c>
      <c r="B1191" s="224">
        <v>696</v>
      </c>
      <c r="C1191" s="46" t="s">
        <v>7328</v>
      </c>
      <c r="D1191" s="46"/>
      <c r="E1191" s="114"/>
      <c r="F1191" s="114" t="s">
        <v>4059</v>
      </c>
      <c r="G1191" s="225">
        <v>1582098</v>
      </c>
      <c r="H1191" s="47" t="s">
        <v>4060</v>
      </c>
      <c r="I1191" s="47" t="s">
        <v>4060</v>
      </c>
      <c r="J1191" s="47" t="s">
        <v>4061</v>
      </c>
      <c r="K1191" s="47" t="s">
        <v>1011</v>
      </c>
      <c r="L1191" s="47" t="s">
        <v>5248</v>
      </c>
      <c r="M1191" s="47" t="s">
        <v>6088</v>
      </c>
      <c r="N1191" s="47" t="s">
        <v>6088</v>
      </c>
      <c r="O1191" s="47" t="s">
        <v>6083</v>
      </c>
      <c r="P1191" s="53"/>
      <c r="Q1191" s="53" t="s">
        <v>6173</v>
      </c>
      <c r="R1191" s="53" t="s">
        <v>6174</v>
      </c>
      <c r="S1191" s="53" t="s">
        <v>6176</v>
      </c>
      <c r="T1191" s="48">
        <v>335.28</v>
      </c>
      <c r="U1191" s="98">
        <v>5.4879503698401343E-4</v>
      </c>
      <c r="V1191" s="98">
        <v>6.2335958005249343E-4</v>
      </c>
      <c r="W1191" s="98">
        <v>2.3442288153199191E-3</v>
      </c>
      <c r="X1191" s="98">
        <v>5.4879503698401343E-4</v>
      </c>
      <c r="Y1191" s="233">
        <v>7</v>
      </c>
      <c r="Z1191" s="48">
        <v>5.31</v>
      </c>
      <c r="AA1191" s="48">
        <v>5.34</v>
      </c>
      <c r="AB1191" s="48">
        <v>5.12</v>
      </c>
      <c r="AC1191" s="48">
        <v>0.84789999999999999</v>
      </c>
      <c r="AD1191" s="48">
        <v>5.19</v>
      </c>
      <c r="AE1191" s="48">
        <v>5.41</v>
      </c>
      <c r="AF1191" s="48">
        <f t="shared" si="316"/>
        <v>5.34</v>
      </c>
      <c r="AG1191" s="49">
        <v>3.69</v>
      </c>
      <c r="AH1191" s="98">
        <v>2.12E-4</v>
      </c>
      <c r="AI1191" s="98">
        <v>1.03E-4</v>
      </c>
      <c r="AJ1191" s="483">
        <f t="shared" si="318"/>
        <v>-2.0622304653839003</v>
      </c>
      <c r="AK1191" s="483">
        <f t="shared" si="320"/>
        <v>-2.3757291016074795</v>
      </c>
      <c r="AL1191" s="483">
        <f t="shared" si="319"/>
        <v>-2.3757291016074795</v>
      </c>
      <c r="AM1191" s="483">
        <v>-9.2376700000000014</v>
      </c>
      <c r="AN1191" s="226">
        <v>-1.46</v>
      </c>
      <c r="AO1191" s="484"/>
      <c r="AP1191" s="484">
        <v>-1.45</v>
      </c>
      <c r="AQ1191" s="226" t="s">
        <v>6311</v>
      </c>
      <c r="AR1191" s="226" t="s">
        <v>6311</v>
      </c>
      <c r="AS1191" s="224" t="s">
        <v>6</v>
      </c>
      <c r="AT1191" s="50" t="s">
        <v>266</v>
      </c>
      <c r="AU1191" s="48">
        <v>8</v>
      </c>
      <c r="AV1191" s="48">
        <v>144</v>
      </c>
      <c r="AW1191" s="48">
        <v>120</v>
      </c>
      <c r="AX1191" s="48">
        <v>26</v>
      </c>
      <c r="AY1191" s="48" t="s">
        <v>267</v>
      </c>
      <c r="AZ1191" s="48" t="s">
        <v>2253</v>
      </c>
      <c r="BA1191" s="48">
        <v>3</v>
      </c>
      <c r="BB1191" s="47" t="s">
        <v>2254</v>
      </c>
      <c r="BC1191" s="47" t="s">
        <v>270</v>
      </c>
      <c r="BD1191" s="47" t="s">
        <v>8374</v>
      </c>
      <c r="BE1191" s="48" t="s">
        <v>1712</v>
      </c>
      <c r="BF1191" s="48" t="s">
        <v>272</v>
      </c>
      <c r="BG1191" s="48" t="s">
        <v>272</v>
      </c>
      <c r="BH1191" s="48" t="s">
        <v>2255</v>
      </c>
      <c r="BI1191" s="98">
        <v>9.9999999999999995E-7</v>
      </c>
      <c r="BJ1191" s="98">
        <v>0.08</v>
      </c>
      <c r="BK1191" s="48"/>
      <c r="BL1191" s="98">
        <f t="shared" si="315"/>
        <v>8.7476016937370422E-4</v>
      </c>
      <c r="BM1191" s="48" t="s">
        <v>891</v>
      </c>
      <c r="BN1191" s="233"/>
      <c r="BO1191" s="233"/>
      <c r="BP1191" s="233"/>
      <c r="BQ1191" s="233"/>
      <c r="BR1191" s="233"/>
      <c r="BS1191" s="234"/>
      <c r="BT1191" s="233"/>
      <c r="BU1191" s="235"/>
      <c r="BV1191" s="233"/>
      <c r="BW1191" s="233"/>
      <c r="BX1191" s="233"/>
      <c r="BY1191" s="233"/>
      <c r="BZ1191" s="233"/>
      <c r="CA1191" s="233"/>
      <c r="CB1191" s="233"/>
      <c r="CC1191" s="234"/>
      <c r="CD1191" s="238"/>
      <c r="CE1191" s="238"/>
      <c r="CF1191" s="238"/>
      <c r="CG1191" s="233"/>
      <c r="CH1191" s="48"/>
      <c r="CI1191" s="98"/>
      <c r="CJ1191" s="98"/>
      <c r="CK1191" s="49">
        <f t="shared" si="313"/>
        <v>1.0934502117171303E-2</v>
      </c>
      <c r="CL1191" s="229"/>
      <c r="CM1191" s="229"/>
      <c r="CN1191" s="229"/>
      <c r="CO1191" s="47" t="s">
        <v>892</v>
      </c>
      <c r="CP1191" s="47" t="s">
        <v>893</v>
      </c>
      <c r="CQ1191" s="224">
        <v>-3.6026742370956462</v>
      </c>
      <c r="CR1191" s="224">
        <f t="shared" si="321"/>
        <v>4005.6614152689185</v>
      </c>
      <c r="CS1191" s="230" t="s">
        <v>539</v>
      </c>
      <c r="CT1191" s="230"/>
      <c r="CU1191" s="230"/>
      <c r="CV1191" s="335">
        <f t="shared" si="314"/>
        <v>6.8599379623001675E-3</v>
      </c>
      <c r="CW1191" s="230">
        <f t="shared" si="312"/>
        <v>0</v>
      </c>
      <c r="CX1191" s="336" t="s">
        <v>539</v>
      </c>
      <c r="CY1191" s="230" t="s">
        <v>5921</v>
      </c>
    </row>
    <row r="1192" spans="1:103" ht="11.25" customHeight="1" x14ac:dyDescent="0.2">
      <c r="A1192" s="72">
        <v>1190</v>
      </c>
      <c r="B1192" s="224">
        <v>1920</v>
      </c>
      <c r="C1192" s="46" t="s">
        <v>7328</v>
      </c>
      <c r="D1192" s="46"/>
      <c r="E1192" s="114"/>
      <c r="F1192" s="114" t="s">
        <v>4059</v>
      </c>
      <c r="G1192" s="225">
        <v>1582098</v>
      </c>
      <c r="H1192" s="47" t="s">
        <v>4060</v>
      </c>
      <c r="I1192" s="47" t="s">
        <v>4060</v>
      </c>
      <c r="J1192" s="47" t="s">
        <v>4061</v>
      </c>
      <c r="K1192" s="47" t="s">
        <v>1011</v>
      </c>
      <c r="L1192" s="47" t="s">
        <v>5248</v>
      </c>
      <c r="M1192" s="47" t="s">
        <v>6088</v>
      </c>
      <c r="N1192" s="47" t="s">
        <v>6088</v>
      </c>
      <c r="O1192" s="47" t="s">
        <v>6083</v>
      </c>
      <c r="P1192" s="53"/>
      <c r="Q1192" s="53"/>
      <c r="R1192" s="53"/>
      <c r="S1192" s="53"/>
      <c r="T1192" s="48">
        <v>335.28</v>
      </c>
      <c r="U1192" s="98">
        <v>5.4879503698401343E-4</v>
      </c>
      <c r="V1192" s="98">
        <v>6.2335958005249343E-4</v>
      </c>
      <c r="W1192" s="98">
        <v>2.3442288153199191E-3</v>
      </c>
      <c r="X1192" s="98">
        <v>5.4879503698401343E-4</v>
      </c>
      <c r="Y1192" s="233">
        <v>7</v>
      </c>
      <c r="Z1192" s="48">
        <v>5.31</v>
      </c>
      <c r="AA1192" s="48">
        <v>5.34</v>
      </c>
      <c r="AB1192" s="48">
        <v>5.12</v>
      </c>
      <c r="AC1192" s="48">
        <v>0.84789999999999999</v>
      </c>
      <c r="AD1192" s="48">
        <v>5.19</v>
      </c>
      <c r="AE1192" s="48">
        <v>5.41</v>
      </c>
      <c r="AF1192" s="48">
        <f t="shared" si="316"/>
        <v>5.34</v>
      </c>
      <c r="AG1192" s="49">
        <v>3.69</v>
      </c>
      <c r="AH1192" s="98">
        <v>2.12E-4</v>
      </c>
      <c r="AI1192" s="98">
        <v>1.03E-4</v>
      </c>
      <c r="AJ1192" s="483">
        <f t="shared" si="318"/>
        <v>-2.0622304653839003</v>
      </c>
      <c r="AK1192" s="483">
        <f t="shared" si="320"/>
        <v>-2.3757291016074795</v>
      </c>
      <c r="AL1192" s="483">
        <f t="shared" si="319"/>
        <v>-2.3757291016074795</v>
      </c>
      <c r="AM1192" s="483">
        <v>-9.2376700000000014</v>
      </c>
      <c r="AN1192" s="226">
        <v>-1.46</v>
      </c>
      <c r="AO1192" s="484"/>
      <c r="AP1192" s="484">
        <v>-1.45</v>
      </c>
      <c r="AQ1192" s="226" t="s">
        <v>6311</v>
      </c>
      <c r="AR1192" s="226" t="s">
        <v>6311</v>
      </c>
      <c r="AS1192" s="224"/>
      <c r="AT1192" s="50" t="s">
        <v>266</v>
      </c>
      <c r="AU1192" s="48">
        <v>6</v>
      </c>
      <c r="AV1192" s="48">
        <v>120</v>
      </c>
      <c r="AW1192" s="48">
        <v>114</v>
      </c>
      <c r="AX1192" s="48">
        <v>28</v>
      </c>
      <c r="AY1192" s="48" t="s">
        <v>8728</v>
      </c>
      <c r="AZ1192" s="48" t="s">
        <v>1563</v>
      </c>
      <c r="BA1192" s="48">
        <v>32</v>
      </c>
      <c r="BB1192" s="47" t="s">
        <v>2485</v>
      </c>
      <c r="BC1192" s="47" t="s">
        <v>8726</v>
      </c>
      <c r="BD1192" s="47" t="s">
        <v>8374</v>
      </c>
      <c r="BE1192" s="48" t="s">
        <v>2449</v>
      </c>
      <c r="BF1192" s="48" t="s">
        <v>272</v>
      </c>
      <c r="BG1192" s="48" t="s">
        <v>272</v>
      </c>
      <c r="BH1192" s="48" t="s">
        <v>2486</v>
      </c>
      <c r="BI1192" s="98">
        <v>6.3999999999999997E-6</v>
      </c>
      <c r="BJ1192" s="98">
        <v>6.4000000000000001E-2</v>
      </c>
      <c r="BK1192" s="48"/>
      <c r="BL1192" s="98">
        <f t="shared" si="315"/>
        <v>8.7476016937370422E-4</v>
      </c>
      <c r="BM1192" s="47" t="s">
        <v>2487</v>
      </c>
      <c r="BN1192" s="48"/>
      <c r="BO1192" s="48"/>
      <c r="BP1192" s="48"/>
      <c r="BQ1192" s="48"/>
      <c r="BR1192" s="47" t="s">
        <v>2496</v>
      </c>
      <c r="BS1192" s="48"/>
      <c r="BT1192" s="48"/>
      <c r="BU1192" s="228"/>
      <c r="BV1192" s="48"/>
      <c r="BW1192" s="48"/>
      <c r="BX1192" s="48"/>
      <c r="BY1192" s="48"/>
      <c r="BZ1192" s="48"/>
      <c r="CA1192" s="48"/>
      <c r="CB1192" s="48"/>
      <c r="CC1192" s="48"/>
      <c r="CD1192" s="48"/>
      <c r="CE1192" s="48"/>
      <c r="CF1192" s="48"/>
      <c r="CG1192" s="48"/>
      <c r="CH1192" s="48"/>
      <c r="CI1192" s="98"/>
      <c r="CJ1192" s="98"/>
      <c r="CK1192" s="49">
        <f t="shared" si="313"/>
        <v>1.3668127646464127E-2</v>
      </c>
      <c r="CL1192" s="229"/>
      <c r="CM1192" s="229"/>
      <c r="CN1192" s="229"/>
      <c r="CO1192" s="47" t="s">
        <v>2488</v>
      </c>
      <c r="CP1192" s="47" t="s">
        <v>2489</v>
      </c>
      <c r="CQ1192" s="224">
        <v>-3.6026742370956462</v>
      </c>
      <c r="CR1192" s="224">
        <f t="shared" si="321"/>
        <v>4005.6614152689185</v>
      </c>
      <c r="CS1192" s="230" t="s">
        <v>539</v>
      </c>
      <c r="CT1192" s="230"/>
      <c r="CU1192" s="230"/>
      <c r="CV1192" s="335">
        <f t="shared" si="314"/>
        <v>8.57492245287521E-3</v>
      </c>
      <c r="CW1192" s="230">
        <f t="shared" si="312"/>
        <v>0</v>
      </c>
      <c r="CX1192" s="336"/>
      <c r="CY1192" s="230" t="s">
        <v>5921</v>
      </c>
    </row>
    <row r="1193" spans="1:103" ht="11.25" customHeight="1" x14ac:dyDescent="0.2">
      <c r="A1193" s="72">
        <v>1191</v>
      </c>
      <c r="B1193" s="224">
        <v>275</v>
      </c>
      <c r="C1193" s="46" t="s">
        <v>7329</v>
      </c>
      <c r="D1193" s="46"/>
      <c r="E1193" s="114"/>
      <c r="F1193" s="114" t="s">
        <v>3795</v>
      </c>
      <c r="G1193" s="225">
        <v>1596845</v>
      </c>
      <c r="H1193" s="47" t="s">
        <v>3796</v>
      </c>
      <c r="I1193" s="47" t="s">
        <v>8070</v>
      </c>
      <c r="J1193" s="47" t="s">
        <v>3797</v>
      </c>
      <c r="K1193" s="47" t="s">
        <v>483</v>
      </c>
      <c r="L1193" s="47"/>
      <c r="M1193" s="47"/>
      <c r="N1193" s="47"/>
      <c r="O1193" s="47"/>
      <c r="P1193" s="53" t="s">
        <v>6178</v>
      </c>
      <c r="Q1193" s="53" t="s">
        <v>6173</v>
      </c>
      <c r="R1193" s="53" t="s">
        <v>6177</v>
      </c>
      <c r="S1193" s="53" t="s">
        <v>6176</v>
      </c>
      <c r="T1193" s="48">
        <v>160.16999999999999</v>
      </c>
      <c r="U1193" s="98">
        <v>624.33664231753767</v>
      </c>
      <c r="V1193" s="98">
        <v>398.95111444090657</v>
      </c>
      <c r="W1193" s="98">
        <v>1348.9628825916539</v>
      </c>
      <c r="X1193" s="98">
        <v>624.33664231753767</v>
      </c>
      <c r="Y1193" s="233">
        <v>4.17</v>
      </c>
      <c r="Z1193" s="48">
        <v>-1.51</v>
      </c>
      <c r="AA1193" s="48">
        <v>-1.5</v>
      </c>
      <c r="AB1193" s="48">
        <v>-0.84</v>
      </c>
      <c r="AC1193" s="48">
        <v>0.74139999999999995</v>
      </c>
      <c r="AD1193" s="48">
        <v>-0.93</v>
      </c>
      <c r="AE1193" s="48">
        <v>-1.1399999999999999</v>
      </c>
      <c r="AF1193" s="48">
        <f t="shared" si="316"/>
        <v>-1.5</v>
      </c>
      <c r="AG1193" s="49">
        <v>-0.84</v>
      </c>
      <c r="AH1193" s="98">
        <v>2.2200000000000002E-15</v>
      </c>
      <c r="AI1193" s="98">
        <v>4.2299999999999999E-10</v>
      </c>
      <c r="AJ1193" s="483">
        <f t="shared" si="318"/>
        <v>-13.042213351862014</v>
      </c>
      <c r="AK1193" s="483">
        <f t="shared" si="320"/>
        <v>-7.7622259589376092</v>
      </c>
      <c r="AL1193" s="483">
        <f t="shared" si="319"/>
        <v>-7.7622259589376092</v>
      </c>
      <c r="AM1193" s="483">
        <v>-15.238519999999999</v>
      </c>
      <c r="AN1193" s="226">
        <v>-12.3</v>
      </c>
      <c r="AO1193" s="484">
        <v>5.59</v>
      </c>
      <c r="AP1193" s="484">
        <v>3.41</v>
      </c>
      <c r="AQ1193" s="226" t="s">
        <v>6311</v>
      </c>
      <c r="AR1193" s="226" t="s">
        <v>6311</v>
      </c>
      <c r="AS1193" s="224" t="s">
        <v>6</v>
      </c>
      <c r="AT1193" s="50" t="s">
        <v>266</v>
      </c>
      <c r="AU1193" s="48">
        <v>8</v>
      </c>
      <c r="AV1193" s="48">
        <v>144</v>
      </c>
      <c r="AW1193" s="48">
        <v>120</v>
      </c>
      <c r="AX1193" s="48">
        <v>26</v>
      </c>
      <c r="AY1193" s="48" t="s">
        <v>267</v>
      </c>
      <c r="AZ1193" s="48" t="s">
        <v>2253</v>
      </c>
      <c r="BA1193" s="48">
        <v>2</v>
      </c>
      <c r="BB1193" s="47" t="s">
        <v>2254</v>
      </c>
      <c r="BC1193" s="47" t="s">
        <v>270</v>
      </c>
      <c r="BD1193" s="47" t="s">
        <v>8374</v>
      </c>
      <c r="BE1193" s="48" t="s">
        <v>1712</v>
      </c>
      <c r="BF1193" s="48" t="s">
        <v>272</v>
      </c>
      <c r="BG1193" s="48" t="s">
        <v>272</v>
      </c>
      <c r="BH1193" s="48" t="s">
        <v>2255</v>
      </c>
      <c r="BI1193" s="98">
        <v>9.9999999999999995E-7</v>
      </c>
      <c r="BJ1193" s="98">
        <v>0.08</v>
      </c>
      <c r="BK1193" s="48"/>
      <c r="BL1193" s="98">
        <f t="shared" si="315"/>
        <v>1166.6242509749734</v>
      </c>
      <c r="BM1193" s="48" t="s">
        <v>891</v>
      </c>
      <c r="BN1193" s="233"/>
      <c r="BO1193" s="233"/>
      <c r="BP1193" s="233"/>
      <c r="BQ1193" s="233"/>
      <c r="BR1193" s="233"/>
      <c r="BS1193" s="48"/>
      <c r="BT1193" s="233"/>
      <c r="BU1193" s="228"/>
      <c r="BV1193" s="233"/>
      <c r="BW1193" s="233"/>
      <c r="BX1193" s="233"/>
      <c r="BY1193" s="233"/>
      <c r="BZ1193" s="233"/>
      <c r="CA1193" s="233"/>
      <c r="CB1193" s="233"/>
      <c r="CC1193" s="48"/>
      <c r="CD1193" s="48"/>
      <c r="CE1193" s="48"/>
      <c r="CF1193" s="48"/>
      <c r="CG1193" s="233"/>
      <c r="CH1193" s="48"/>
      <c r="CI1193" s="98"/>
      <c r="CJ1193" s="98"/>
      <c r="CK1193" s="49">
        <f t="shared" si="313"/>
        <v>14582.803137187168</v>
      </c>
      <c r="CL1193" s="229"/>
      <c r="CM1193" s="229"/>
      <c r="CN1193" s="229"/>
      <c r="CO1193" s="47" t="s">
        <v>892</v>
      </c>
      <c r="CP1193" s="47" t="s">
        <v>893</v>
      </c>
      <c r="CQ1193" s="224">
        <v>0.2076509656276378</v>
      </c>
      <c r="CR1193" s="224">
        <f t="shared" si="321"/>
        <v>0.619939108414994</v>
      </c>
      <c r="CS1193" s="230" t="s">
        <v>539</v>
      </c>
      <c r="CT1193" s="230"/>
      <c r="CU1193" s="230"/>
      <c r="CV1193" s="335">
        <f t="shared" si="314"/>
        <v>7804.2080289692203</v>
      </c>
      <c r="CW1193" s="230">
        <f t="shared" si="312"/>
        <v>1</v>
      </c>
      <c r="CX1193" s="336" t="s">
        <v>539</v>
      </c>
      <c r="CY1193" s="230" t="s">
        <v>5921</v>
      </c>
    </row>
    <row r="1194" spans="1:103" ht="11.25" customHeight="1" x14ac:dyDescent="0.2">
      <c r="A1194" s="72">
        <v>1192</v>
      </c>
      <c r="B1194" s="224">
        <v>1579</v>
      </c>
      <c r="C1194" s="46" t="s">
        <v>7329</v>
      </c>
      <c r="D1194" s="46"/>
      <c r="E1194" s="114"/>
      <c r="F1194" s="114" t="s">
        <v>3795</v>
      </c>
      <c r="G1194" s="225">
        <v>1596845</v>
      </c>
      <c r="H1194" s="47" t="s">
        <v>3796</v>
      </c>
      <c r="I1194" s="47" t="s">
        <v>8070</v>
      </c>
      <c r="J1194" s="47" t="s">
        <v>3797</v>
      </c>
      <c r="K1194" s="47" t="s">
        <v>483</v>
      </c>
      <c r="L1194" s="47"/>
      <c r="M1194" s="47"/>
      <c r="N1194" s="47"/>
      <c r="O1194" s="47"/>
      <c r="P1194" s="53"/>
      <c r="Q1194" s="53"/>
      <c r="R1194" s="53"/>
      <c r="S1194" s="53"/>
      <c r="T1194" s="48">
        <v>160.16999999999999</v>
      </c>
      <c r="U1194" s="98">
        <v>624.33664231753767</v>
      </c>
      <c r="V1194" s="98">
        <v>398.95111444090657</v>
      </c>
      <c r="W1194" s="98">
        <v>1348.9628825916539</v>
      </c>
      <c r="X1194" s="98">
        <v>624.33664231753767</v>
      </c>
      <c r="Y1194" s="233">
        <v>4.17</v>
      </c>
      <c r="Z1194" s="48">
        <v>-1.51</v>
      </c>
      <c r="AA1194" s="48">
        <v>-1.5</v>
      </c>
      <c r="AB1194" s="48">
        <v>-0.84</v>
      </c>
      <c r="AC1194" s="48">
        <v>0.74139999999999995</v>
      </c>
      <c r="AD1194" s="48">
        <v>-0.93</v>
      </c>
      <c r="AE1194" s="48">
        <v>-1.1399999999999999</v>
      </c>
      <c r="AF1194" s="48">
        <f t="shared" si="316"/>
        <v>-1.5</v>
      </c>
      <c r="AG1194" s="49">
        <v>-0.84</v>
      </c>
      <c r="AH1194" s="98">
        <v>2.2200000000000002E-15</v>
      </c>
      <c r="AI1194" s="98">
        <v>4.2299999999999999E-10</v>
      </c>
      <c r="AJ1194" s="483">
        <f t="shared" si="318"/>
        <v>-13.042213351862014</v>
      </c>
      <c r="AK1194" s="483">
        <f t="shared" si="320"/>
        <v>-7.7622259589376092</v>
      </c>
      <c r="AL1194" s="483">
        <f t="shared" si="319"/>
        <v>-7.7622259589376092</v>
      </c>
      <c r="AM1194" s="483">
        <v>-15.238519999999999</v>
      </c>
      <c r="AN1194" s="226">
        <v>-12.3</v>
      </c>
      <c r="AO1194" s="484">
        <v>5.59</v>
      </c>
      <c r="AP1194" s="484">
        <v>3.41</v>
      </c>
      <c r="AQ1194" s="48" t="s">
        <v>6311</v>
      </c>
      <c r="AR1194" s="48" t="s">
        <v>6311</v>
      </c>
      <c r="AS1194" s="227"/>
      <c r="AT1194" s="50" t="s">
        <v>266</v>
      </c>
      <c r="AU1194" s="48">
        <v>6</v>
      </c>
      <c r="AV1194" s="48">
        <v>120</v>
      </c>
      <c r="AW1194" s="48">
        <v>114</v>
      </c>
      <c r="AX1194" s="48">
        <v>28</v>
      </c>
      <c r="AY1194" s="48" t="s">
        <v>8728</v>
      </c>
      <c r="AZ1194" s="48" t="s">
        <v>1563</v>
      </c>
      <c r="BA1194" s="48">
        <v>32</v>
      </c>
      <c r="BB1194" s="47" t="s">
        <v>2485</v>
      </c>
      <c r="BC1194" s="47" t="s">
        <v>8726</v>
      </c>
      <c r="BD1194" s="47" t="s">
        <v>8374</v>
      </c>
      <c r="BE1194" s="48" t="s">
        <v>2449</v>
      </c>
      <c r="BF1194" s="48" t="s">
        <v>272</v>
      </c>
      <c r="BG1194" s="48" t="s">
        <v>272</v>
      </c>
      <c r="BH1194" s="48" t="s">
        <v>2486</v>
      </c>
      <c r="BI1194" s="98">
        <v>6.3999999999999997E-6</v>
      </c>
      <c r="BJ1194" s="98">
        <v>6.4000000000000001E-2</v>
      </c>
      <c r="BK1194" s="48"/>
      <c r="BL1194" s="98">
        <f t="shared" si="315"/>
        <v>1166.6242509749734</v>
      </c>
      <c r="BM1194" s="47" t="s">
        <v>2487</v>
      </c>
      <c r="BN1194" s="48"/>
      <c r="BO1194" s="48"/>
      <c r="BP1194" s="48"/>
      <c r="BQ1194" s="48"/>
      <c r="BR1194" s="47" t="s">
        <v>2496</v>
      </c>
      <c r="BS1194" s="48"/>
      <c r="BT1194" s="48"/>
      <c r="BU1194" s="228"/>
      <c r="BV1194" s="48"/>
      <c r="BW1194" s="48"/>
      <c r="BX1194" s="48"/>
      <c r="BY1194" s="48"/>
      <c r="BZ1194" s="48"/>
      <c r="CA1194" s="48"/>
      <c r="CB1194" s="48"/>
      <c r="CC1194" s="48"/>
      <c r="CD1194" s="48"/>
      <c r="CE1194" s="48"/>
      <c r="CF1194" s="48"/>
      <c r="CG1194" s="48"/>
      <c r="CH1194" s="48"/>
      <c r="CI1194" s="98"/>
      <c r="CJ1194" s="98"/>
      <c r="CK1194" s="49">
        <f t="shared" si="313"/>
        <v>18228.50392148396</v>
      </c>
      <c r="CL1194" s="229"/>
      <c r="CM1194" s="229"/>
      <c r="CN1194" s="229"/>
      <c r="CO1194" s="47" t="s">
        <v>2488</v>
      </c>
      <c r="CP1194" s="47" t="s">
        <v>2489</v>
      </c>
      <c r="CQ1194" s="224">
        <v>0.2076509656276378</v>
      </c>
      <c r="CR1194" s="224">
        <f t="shared" si="321"/>
        <v>0.619939108414994</v>
      </c>
      <c r="CS1194" s="230" t="s">
        <v>539</v>
      </c>
      <c r="CT1194" s="230"/>
      <c r="CU1194" s="230"/>
      <c r="CV1194" s="335">
        <f t="shared" si="314"/>
        <v>9755.2600362115263</v>
      </c>
      <c r="CW1194" s="230">
        <f t="shared" si="312"/>
        <v>1</v>
      </c>
      <c r="CX1194" s="336"/>
      <c r="CY1194" s="230" t="s">
        <v>5921</v>
      </c>
    </row>
    <row r="1195" spans="1:103" ht="11.25" customHeight="1" x14ac:dyDescent="0.2">
      <c r="A1195" s="72">
        <v>1193</v>
      </c>
      <c r="B1195" s="224">
        <v>438</v>
      </c>
      <c r="C1195" s="46" t="s">
        <v>7330</v>
      </c>
      <c r="D1195" s="46"/>
      <c r="E1195" s="114"/>
      <c r="F1195" s="114" t="s">
        <v>3450</v>
      </c>
      <c r="G1195" s="225">
        <v>1610180</v>
      </c>
      <c r="H1195" s="47" t="s">
        <v>3451</v>
      </c>
      <c r="I1195" s="47" t="s">
        <v>3451</v>
      </c>
      <c r="J1195" s="47" t="s">
        <v>3452</v>
      </c>
      <c r="K1195" s="47" t="s">
        <v>940</v>
      </c>
      <c r="L1195" s="47" t="s">
        <v>6050</v>
      </c>
      <c r="M1195" s="47" t="s">
        <v>6082</v>
      </c>
      <c r="N1195" s="47"/>
      <c r="O1195" s="47" t="s">
        <v>6083</v>
      </c>
      <c r="P1195" s="53"/>
      <c r="Q1195" s="53"/>
      <c r="R1195" s="53"/>
      <c r="S1195" s="53"/>
      <c r="T1195" s="48">
        <v>225.29</v>
      </c>
      <c r="U1195" s="98">
        <v>3.3290425673576283</v>
      </c>
      <c r="V1195" s="98">
        <v>0.40032846553331264</v>
      </c>
      <c r="W1195" s="98">
        <v>2.4547089156850301</v>
      </c>
      <c r="X1195" s="98">
        <v>3.3290425673576283</v>
      </c>
      <c r="Y1195" s="233">
        <v>7.99</v>
      </c>
      <c r="Z1195" s="48">
        <v>3.57</v>
      </c>
      <c r="AA1195" s="48">
        <v>2.99</v>
      </c>
      <c r="AB1195" s="48">
        <v>2.76</v>
      </c>
      <c r="AC1195" s="48">
        <v>0.91990000000000005</v>
      </c>
      <c r="AD1195" s="48">
        <v>2.79</v>
      </c>
      <c r="AE1195" s="48">
        <v>2.91</v>
      </c>
      <c r="AF1195" s="48">
        <f t="shared" si="316"/>
        <v>2.99</v>
      </c>
      <c r="AG1195" s="49">
        <v>2.25</v>
      </c>
      <c r="AH1195" s="98">
        <v>4.32E-9</v>
      </c>
      <c r="AI1195" s="98">
        <v>9.0899999999999996E-10</v>
      </c>
      <c r="AJ1195" s="483">
        <f t="shared" si="318"/>
        <v>-6.7530825794977396</v>
      </c>
      <c r="AK1195" s="483">
        <f t="shared" si="320"/>
        <v>-7.4300024430906841</v>
      </c>
      <c r="AL1195" s="483">
        <f t="shared" si="319"/>
        <v>-7.4300024430906841</v>
      </c>
      <c r="AM1195" s="483">
        <v>-11.672529999999998</v>
      </c>
      <c r="AN1195" s="226">
        <v>-8.6</v>
      </c>
      <c r="AO1195" s="484"/>
      <c r="AP1195" s="484">
        <v>4.3600000000000003</v>
      </c>
      <c r="AQ1195" s="226" t="s">
        <v>6311</v>
      </c>
      <c r="AR1195" s="226" t="s">
        <v>6311</v>
      </c>
      <c r="AS1195" s="224" t="s">
        <v>6</v>
      </c>
      <c r="AT1195" s="50" t="s">
        <v>266</v>
      </c>
      <c r="AU1195" s="48">
        <v>8</v>
      </c>
      <c r="AV1195" s="48">
        <v>144</v>
      </c>
      <c r="AW1195" s="48">
        <v>120</v>
      </c>
      <c r="AX1195" s="48">
        <v>26</v>
      </c>
      <c r="AY1195" s="48" t="s">
        <v>267</v>
      </c>
      <c r="AZ1195" s="48" t="s">
        <v>2253</v>
      </c>
      <c r="BA1195" s="48">
        <v>2</v>
      </c>
      <c r="BB1195" s="47" t="s">
        <v>2254</v>
      </c>
      <c r="BC1195" s="47" t="s">
        <v>270</v>
      </c>
      <c r="BD1195" s="47" t="s">
        <v>8374</v>
      </c>
      <c r="BE1195" s="48" t="s">
        <v>1712</v>
      </c>
      <c r="BF1195" s="48" t="s">
        <v>272</v>
      </c>
      <c r="BG1195" s="48" t="s">
        <v>272</v>
      </c>
      <c r="BH1195" s="48" t="s">
        <v>2255</v>
      </c>
      <c r="BI1195" s="98">
        <v>9.9999999999999995E-7</v>
      </c>
      <c r="BJ1195" s="98">
        <v>0.08</v>
      </c>
      <c r="BK1195" s="48"/>
      <c r="BL1195" s="98">
        <f t="shared" si="315"/>
        <v>3.1958250751603037E-2</v>
      </c>
      <c r="BM1195" s="48" t="s">
        <v>891</v>
      </c>
      <c r="BN1195" s="233"/>
      <c r="BO1195" s="233"/>
      <c r="BP1195" s="233"/>
      <c r="BQ1195" s="233"/>
      <c r="BR1195" s="233"/>
      <c r="BS1195" s="48"/>
      <c r="BT1195" s="233"/>
      <c r="BU1195" s="228"/>
      <c r="BV1195" s="233"/>
      <c r="BW1195" s="233"/>
      <c r="BX1195" s="233"/>
      <c r="BY1195" s="233"/>
      <c r="BZ1195" s="233"/>
      <c r="CA1195" s="233"/>
      <c r="CB1195" s="233"/>
      <c r="CC1195" s="48"/>
      <c r="CD1195" s="48"/>
      <c r="CE1195" s="48"/>
      <c r="CF1195" s="48"/>
      <c r="CG1195" s="233"/>
      <c r="CH1195" s="48"/>
      <c r="CI1195" s="98"/>
      <c r="CJ1195" s="98"/>
      <c r="CK1195" s="49">
        <f t="shared" si="313"/>
        <v>0.39947813439503793</v>
      </c>
      <c r="CL1195" s="229"/>
      <c r="CM1195" s="229"/>
      <c r="CN1195" s="229"/>
      <c r="CO1195" s="47" t="s">
        <v>892</v>
      </c>
      <c r="CP1195" s="47" t="s">
        <v>893</v>
      </c>
      <c r="CQ1195" s="224">
        <v>-1.0260237604587035</v>
      </c>
      <c r="CR1195" s="224">
        <f t="shared" si="321"/>
        <v>10.617536446591457</v>
      </c>
      <c r="CS1195" s="230" t="s">
        <v>539</v>
      </c>
      <c r="CT1195" s="230"/>
      <c r="CU1195" s="230"/>
      <c r="CV1195" s="335">
        <f t="shared" si="314"/>
        <v>41.613032091970354</v>
      </c>
      <c r="CW1195" s="230">
        <f t="shared" si="312"/>
        <v>1</v>
      </c>
      <c r="CX1195" s="336" t="s">
        <v>539</v>
      </c>
      <c r="CY1195" s="230" t="s">
        <v>5921</v>
      </c>
    </row>
    <row r="1196" spans="1:103" ht="11.25" customHeight="1" x14ac:dyDescent="0.2">
      <c r="A1196" s="72">
        <v>1194</v>
      </c>
      <c r="B1196" s="224">
        <v>1255</v>
      </c>
      <c r="C1196" s="46" t="s">
        <v>7330</v>
      </c>
      <c r="D1196" s="46"/>
      <c r="E1196" s="114"/>
      <c r="F1196" s="114" t="s">
        <v>3450</v>
      </c>
      <c r="G1196" s="225">
        <v>1610180</v>
      </c>
      <c r="H1196" s="47" t="s">
        <v>3451</v>
      </c>
      <c r="I1196" s="47" t="s">
        <v>3451</v>
      </c>
      <c r="J1196" s="47" t="s">
        <v>3452</v>
      </c>
      <c r="K1196" s="47" t="s">
        <v>940</v>
      </c>
      <c r="L1196" s="47" t="s">
        <v>6050</v>
      </c>
      <c r="M1196" s="47" t="s">
        <v>6082</v>
      </c>
      <c r="N1196" s="47"/>
      <c r="O1196" s="47" t="s">
        <v>6083</v>
      </c>
      <c r="P1196" s="53"/>
      <c r="Q1196" s="53"/>
      <c r="R1196" s="53"/>
      <c r="S1196" s="53"/>
      <c r="T1196" s="48">
        <v>225.29</v>
      </c>
      <c r="U1196" s="98">
        <v>3.3290425673576283</v>
      </c>
      <c r="V1196" s="98">
        <v>0.40032846553331264</v>
      </c>
      <c r="W1196" s="98">
        <v>2.4547089156850301</v>
      </c>
      <c r="X1196" s="98">
        <v>3.3290425673576283</v>
      </c>
      <c r="Y1196" s="233">
        <v>7.99</v>
      </c>
      <c r="Z1196" s="48">
        <v>3.57</v>
      </c>
      <c r="AA1196" s="48">
        <v>2.99</v>
      </c>
      <c r="AB1196" s="48">
        <v>2.76</v>
      </c>
      <c r="AC1196" s="48">
        <v>0.91990000000000005</v>
      </c>
      <c r="AD1196" s="48">
        <v>2.79</v>
      </c>
      <c r="AE1196" s="48">
        <v>2.91</v>
      </c>
      <c r="AF1196" s="48">
        <f t="shared" si="316"/>
        <v>2.99</v>
      </c>
      <c r="AG1196" s="49">
        <v>2.25</v>
      </c>
      <c r="AH1196" s="98">
        <v>4.32E-9</v>
      </c>
      <c r="AI1196" s="98">
        <v>9.0899999999999996E-10</v>
      </c>
      <c r="AJ1196" s="483">
        <f t="shared" si="318"/>
        <v>-6.7530825794977396</v>
      </c>
      <c r="AK1196" s="483">
        <f t="shared" si="320"/>
        <v>-7.4300024430906841</v>
      </c>
      <c r="AL1196" s="483">
        <f t="shared" si="319"/>
        <v>-7.4300024430906841</v>
      </c>
      <c r="AM1196" s="483">
        <v>-11.672529999999998</v>
      </c>
      <c r="AN1196" s="226">
        <v>-8.6</v>
      </c>
      <c r="AO1196" s="484"/>
      <c r="AP1196" s="484">
        <v>4.3600000000000003</v>
      </c>
      <c r="AQ1196" s="48" t="s">
        <v>6311</v>
      </c>
      <c r="AR1196" s="48" t="s">
        <v>6311</v>
      </c>
      <c r="AS1196" s="227"/>
      <c r="AT1196" s="50" t="s">
        <v>266</v>
      </c>
      <c r="AU1196" s="48">
        <v>6</v>
      </c>
      <c r="AV1196" s="48">
        <v>120</v>
      </c>
      <c r="AW1196" s="48">
        <v>114</v>
      </c>
      <c r="AX1196" s="48">
        <v>28</v>
      </c>
      <c r="AY1196" s="48" t="s">
        <v>8728</v>
      </c>
      <c r="AZ1196" s="48" t="s">
        <v>1563</v>
      </c>
      <c r="BA1196" s="48">
        <v>32</v>
      </c>
      <c r="BB1196" s="47" t="s">
        <v>2485</v>
      </c>
      <c r="BC1196" s="47" t="s">
        <v>8726</v>
      </c>
      <c r="BD1196" s="47" t="s">
        <v>8374</v>
      </c>
      <c r="BE1196" s="48" t="s">
        <v>2449</v>
      </c>
      <c r="BF1196" s="48" t="s">
        <v>272</v>
      </c>
      <c r="BG1196" s="48" t="s">
        <v>272</v>
      </c>
      <c r="BH1196" s="48" t="s">
        <v>2486</v>
      </c>
      <c r="BI1196" s="98">
        <v>6.3999999999999997E-6</v>
      </c>
      <c r="BJ1196" s="98">
        <v>6.4000000000000001E-2</v>
      </c>
      <c r="BK1196" s="48"/>
      <c r="BL1196" s="98">
        <f t="shared" si="315"/>
        <v>3.1958250751603037E-2</v>
      </c>
      <c r="BM1196" s="47" t="s">
        <v>2487</v>
      </c>
      <c r="BN1196" s="48"/>
      <c r="BO1196" s="48"/>
      <c r="BP1196" s="48"/>
      <c r="BQ1196" s="48"/>
      <c r="BR1196" s="47" t="s">
        <v>2496</v>
      </c>
      <c r="BS1196" s="48"/>
      <c r="BT1196" s="48"/>
      <c r="BU1196" s="228">
        <v>6.3999999999999997E-6</v>
      </c>
      <c r="BV1196" s="48"/>
      <c r="BW1196" s="48"/>
      <c r="BX1196" s="48"/>
      <c r="BY1196" s="48"/>
      <c r="BZ1196" s="48"/>
      <c r="CA1196" s="48"/>
      <c r="CB1196" s="48"/>
      <c r="CC1196" s="48"/>
      <c r="CD1196" s="48"/>
      <c r="CE1196" s="48"/>
      <c r="CF1196" s="48"/>
      <c r="CG1196" s="48"/>
      <c r="CH1196" s="48"/>
      <c r="CI1196" s="98"/>
      <c r="CJ1196" s="98"/>
      <c r="CK1196" s="49">
        <f t="shared" si="313"/>
        <v>0.49934766799379743</v>
      </c>
      <c r="CL1196" s="229"/>
      <c r="CM1196" s="229"/>
      <c r="CN1196" s="229"/>
      <c r="CO1196" s="47" t="s">
        <v>2488</v>
      </c>
      <c r="CP1196" s="47" t="s">
        <v>2489</v>
      </c>
      <c r="CQ1196" s="224">
        <v>-1.0260237604587035</v>
      </c>
      <c r="CR1196" s="224">
        <f t="shared" si="321"/>
        <v>10.617536446591457</v>
      </c>
      <c r="CS1196" s="230" t="s">
        <v>539</v>
      </c>
      <c r="CT1196" s="230"/>
      <c r="CU1196" s="230"/>
      <c r="CV1196" s="335">
        <f t="shared" si="314"/>
        <v>52.016290114962942</v>
      </c>
      <c r="CW1196" s="230">
        <f t="shared" si="312"/>
        <v>1</v>
      </c>
      <c r="CX1196" s="336"/>
      <c r="CY1196" s="230" t="s">
        <v>5921</v>
      </c>
    </row>
    <row r="1197" spans="1:103" ht="11.25" customHeight="1" x14ac:dyDescent="0.2">
      <c r="A1197" s="72">
        <v>1195</v>
      </c>
      <c r="B1197" s="224">
        <v>368</v>
      </c>
      <c r="C1197" s="46" t="s">
        <v>7331</v>
      </c>
      <c r="D1197" s="46"/>
      <c r="E1197" s="114"/>
      <c r="F1197" s="114" t="s">
        <v>3244</v>
      </c>
      <c r="G1197" s="225">
        <v>1634782</v>
      </c>
      <c r="H1197" s="47" t="s">
        <v>3245</v>
      </c>
      <c r="I1197" s="47" t="s">
        <v>3245</v>
      </c>
      <c r="J1197" s="47" t="s">
        <v>3246</v>
      </c>
      <c r="K1197" s="47" t="s">
        <v>637</v>
      </c>
      <c r="L1197" s="47"/>
      <c r="M1197" s="47" t="s">
        <v>618</v>
      </c>
      <c r="N1197" s="47"/>
      <c r="O1197" s="47"/>
      <c r="P1197" s="53"/>
      <c r="Q1197" s="53"/>
      <c r="R1197" s="53"/>
      <c r="S1197" s="53"/>
      <c r="T1197" s="48">
        <v>314.29000000000002</v>
      </c>
      <c r="U1197" s="98">
        <v>23.863310954850615</v>
      </c>
      <c r="V1197" s="98">
        <v>11.524388303795856</v>
      </c>
      <c r="W1197" s="98">
        <v>50.118723362727209</v>
      </c>
      <c r="X1197" s="98">
        <v>23.863310954850615</v>
      </c>
      <c r="Y1197" s="233">
        <v>7</v>
      </c>
      <c r="Z1197" s="48">
        <v>0.52</v>
      </c>
      <c r="AA1197" s="48"/>
      <c r="AB1197" s="48">
        <v>1.32</v>
      </c>
      <c r="AC1197" s="48">
        <v>0.57120000000000004</v>
      </c>
      <c r="AD1197" s="48">
        <v>1.66</v>
      </c>
      <c r="AE1197" s="48">
        <v>2.0699999999999998</v>
      </c>
      <c r="AF1197" s="48">
        <f t="shared" si="316"/>
        <v>1.66</v>
      </c>
      <c r="AG1197" s="49">
        <v>1.0900000000000001</v>
      </c>
      <c r="AH1197" s="98">
        <v>1.81E-12</v>
      </c>
      <c r="AI1197" s="98">
        <v>5.4E-10</v>
      </c>
      <c r="AJ1197" s="483">
        <f t="shared" si="318"/>
        <v>-10.130887751443467</v>
      </c>
      <c r="AK1197" s="483">
        <f t="shared" si="320"/>
        <v>-7.6561725664896834</v>
      </c>
      <c r="AL1197" s="483">
        <f t="shared" si="319"/>
        <v>-7.6561725664896834</v>
      </c>
      <c r="AM1197" s="483">
        <v>-14.283380000000001</v>
      </c>
      <c r="AN1197" s="226">
        <v>-8.6199999999999992</v>
      </c>
      <c r="AO1197" s="484"/>
      <c r="AP1197" s="484"/>
      <c r="AQ1197" s="226" t="s">
        <v>6312</v>
      </c>
      <c r="AR1197" s="226" t="s">
        <v>6312</v>
      </c>
      <c r="AS1197" s="224" t="s">
        <v>6</v>
      </c>
      <c r="AT1197" s="50" t="s">
        <v>266</v>
      </c>
      <c r="AU1197" s="48">
        <v>8</v>
      </c>
      <c r="AV1197" s="48">
        <v>144</v>
      </c>
      <c r="AW1197" s="48">
        <v>120</v>
      </c>
      <c r="AX1197" s="48">
        <v>26</v>
      </c>
      <c r="AY1197" s="48" t="s">
        <v>267</v>
      </c>
      <c r="AZ1197" s="48" t="s">
        <v>2253</v>
      </c>
      <c r="BA1197" s="48">
        <v>2</v>
      </c>
      <c r="BB1197" s="47" t="s">
        <v>2254</v>
      </c>
      <c r="BC1197" s="47" t="s">
        <v>270</v>
      </c>
      <c r="BD1197" s="47" t="s">
        <v>8374</v>
      </c>
      <c r="BE1197" s="48" t="s">
        <v>1712</v>
      </c>
      <c r="BF1197" s="48" t="s">
        <v>272</v>
      </c>
      <c r="BG1197" s="48" t="s">
        <v>272</v>
      </c>
      <c r="BH1197" s="48" t="s">
        <v>2255</v>
      </c>
      <c r="BI1197" s="98">
        <v>9.9999999999999995E-7</v>
      </c>
      <c r="BJ1197" s="98">
        <v>0.08</v>
      </c>
      <c r="BK1197" s="48"/>
      <c r="BL1197" s="98">
        <f t="shared" si="315"/>
        <v>17.530245574436808</v>
      </c>
      <c r="BM1197" s="48" t="s">
        <v>891</v>
      </c>
      <c r="BN1197" s="233"/>
      <c r="BO1197" s="233"/>
      <c r="BP1197" s="233"/>
      <c r="BQ1197" s="233"/>
      <c r="BR1197" s="233"/>
      <c r="BS1197" s="48"/>
      <c r="BT1197" s="233"/>
      <c r="BU1197" s="228"/>
      <c r="BV1197" s="233"/>
      <c r="BW1197" s="233"/>
      <c r="BX1197" s="233"/>
      <c r="BY1197" s="233"/>
      <c r="BZ1197" s="233"/>
      <c r="CA1197" s="233"/>
      <c r="CB1197" s="233"/>
      <c r="CC1197" s="48"/>
      <c r="CD1197" s="48"/>
      <c r="CE1197" s="48"/>
      <c r="CF1197" s="48"/>
      <c r="CG1197" s="233"/>
      <c r="CH1197" s="48"/>
      <c r="CI1197" s="98"/>
      <c r="CJ1197" s="98"/>
      <c r="CK1197" s="49">
        <f t="shared" si="313"/>
        <v>219.1280696804601</v>
      </c>
      <c r="CL1197" s="229"/>
      <c r="CM1197" s="229"/>
      <c r="CN1197" s="229"/>
      <c r="CO1197" s="47" t="s">
        <v>892</v>
      </c>
      <c r="CP1197" s="47" t="s">
        <v>893</v>
      </c>
      <c r="CQ1197" s="224" t="s">
        <v>272</v>
      </c>
      <c r="CR1197" s="224"/>
      <c r="CS1197" s="230" t="s">
        <v>539</v>
      </c>
      <c r="CT1197" s="230"/>
      <c r="CU1197" s="230"/>
      <c r="CV1197" s="335">
        <f t="shared" si="314"/>
        <v>298.29138693563266</v>
      </c>
      <c r="CW1197" s="230">
        <f t="shared" si="312"/>
        <v>1</v>
      </c>
      <c r="CX1197" s="336" t="s">
        <v>539</v>
      </c>
      <c r="CY1197" s="230" t="s">
        <v>5921</v>
      </c>
    </row>
    <row r="1198" spans="1:103" ht="11.25" customHeight="1" x14ac:dyDescent="0.2">
      <c r="A1198" s="72">
        <v>1196</v>
      </c>
      <c r="B1198" s="224">
        <v>1175</v>
      </c>
      <c r="C1198" s="46" t="s">
        <v>7331</v>
      </c>
      <c r="D1198" s="46"/>
      <c r="E1198" s="114"/>
      <c r="F1198" s="114" t="s">
        <v>3244</v>
      </c>
      <c r="G1198" s="225">
        <v>1634782</v>
      </c>
      <c r="H1198" s="47" t="s">
        <v>3245</v>
      </c>
      <c r="I1198" s="47" t="s">
        <v>3245</v>
      </c>
      <c r="J1198" s="47" t="s">
        <v>3246</v>
      </c>
      <c r="K1198" s="47" t="s">
        <v>637</v>
      </c>
      <c r="L1198" s="47"/>
      <c r="M1198" s="47"/>
      <c r="N1198" s="47"/>
      <c r="O1198" s="47"/>
      <c r="P1198" s="53"/>
      <c r="Q1198" s="53"/>
      <c r="R1198" s="53"/>
      <c r="S1198" s="53"/>
      <c r="T1198" s="48">
        <v>314.29000000000002</v>
      </c>
      <c r="U1198" s="98">
        <v>23.863310954850615</v>
      </c>
      <c r="V1198" s="98">
        <v>11.524388303795856</v>
      </c>
      <c r="W1198" s="98">
        <v>50.118723362727209</v>
      </c>
      <c r="X1198" s="98">
        <v>23.863310954850615</v>
      </c>
      <c r="Y1198" s="233">
        <v>7</v>
      </c>
      <c r="Z1198" s="48">
        <v>0.52</v>
      </c>
      <c r="AA1198" s="48"/>
      <c r="AB1198" s="48">
        <v>1.32</v>
      </c>
      <c r="AC1198" s="48">
        <v>0.57120000000000004</v>
      </c>
      <c r="AD1198" s="48">
        <v>1.66</v>
      </c>
      <c r="AE1198" s="48">
        <v>2.0699999999999998</v>
      </c>
      <c r="AF1198" s="48">
        <f t="shared" si="316"/>
        <v>1.66</v>
      </c>
      <c r="AG1198" s="49">
        <v>1.0900000000000001</v>
      </c>
      <c r="AH1198" s="98">
        <v>1.81E-12</v>
      </c>
      <c r="AI1198" s="98">
        <v>5.4E-10</v>
      </c>
      <c r="AJ1198" s="483">
        <f t="shared" si="318"/>
        <v>-10.130887751443467</v>
      </c>
      <c r="AK1198" s="483">
        <f t="shared" si="320"/>
        <v>-7.6561725664896834</v>
      </c>
      <c r="AL1198" s="483">
        <f t="shared" si="319"/>
        <v>-7.6561725664896834</v>
      </c>
      <c r="AM1198" s="483">
        <v>-14.283380000000001</v>
      </c>
      <c r="AN1198" s="226">
        <v>-8.6199999999999992</v>
      </c>
      <c r="AO1198" s="484"/>
      <c r="AP1198" s="484"/>
      <c r="AQ1198" s="48" t="s">
        <v>6312</v>
      </c>
      <c r="AR1198" s="48" t="s">
        <v>6312</v>
      </c>
      <c r="AS1198" s="227"/>
      <c r="AT1198" s="50" t="s">
        <v>266</v>
      </c>
      <c r="AU1198" s="48">
        <v>6</v>
      </c>
      <c r="AV1198" s="48">
        <v>120</v>
      </c>
      <c r="AW1198" s="48">
        <v>114</v>
      </c>
      <c r="AX1198" s="48">
        <v>28</v>
      </c>
      <c r="AY1198" s="48" t="s">
        <v>8728</v>
      </c>
      <c r="AZ1198" s="48" t="s">
        <v>1563</v>
      </c>
      <c r="BA1198" s="48">
        <v>32</v>
      </c>
      <c r="BB1198" s="47" t="s">
        <v>2485</v>
      </c>
      <c r="BC1198" s="47" t="s">
        <v>8726</v>
      </c>
      <c r="BD1198" s="47" t="s">
        <v>8374</v>
      </c>
      <c r="BE1198" s="48" t="s">
        <v>2449</v>
      </c>
      <c r="BF1198" s="48" t="s">
        <v>272</v>
      </c>
      <c r="BG1198" s="48" t="s">
        <v>272</v>
      </c>
      <c r="BH1198" s="48" t="s">
        <v>2486</v>
      </c>
      <c r="BI1198" s="98">
        <v>6.3999999999999997E-6</v>
      </c>
      <c r="BJ1198" s="98">
        <v>6.4000000000000001E-2</v>
      </c>
      <c r="BK1198" s="48"/>
      <c r="BL1198" s="98">
        <f t="shared" si="315"/>
        <v>17.530245574436808</v>
      </c>
      <c r="BM1198" s="47" t="s">
        <v>2487</v>
      </c>
      <c r="BN1198" s="48"/>
      <c r="BO1198" s="48"/>
      <c r="BP1198" s="48"/>
      <c r="BQ1198" s="48"/>
      <c r="BR1198" s="47" t="s">
        <v>2496</v>
      </c>
      <c r="BS1198" s="48"/>
      <c r="BT1198" s="48"/>
      <c r="BU1198" s="228">
        <v>6.4000000000000003E-3</v>
      </c>
      <c r="BV1198" s="48"/>
      <c r="BW1198" s="48"/>
      <c r="BX1198" s="48"/>
      <c r="BY1198" s="48"/>
      <c r="BZ1198" s="48"/>
      <c r="CA1198" s="48"/>
      <c r="CB1198" s="48"/>
      <c r="CC1198" s="48"/>
      <c r="CD1198" s="48"/>
      <c r="CE1198" s="48"/>
      <c r="CF1198" s="48"/>
      <c r="CG1198" s="48"/>
      <c r="CH1198" s="48"/>
      <c r="CI1198" s="98"/>
      <c r="CJ1198" s="98"/>
      <c r="CK1198" s="49">
        <f t="shared" si="313"/>
        <v>273.91008710057514</v>
      </c>
      <c r="CL1198" s="229"/>
      <c r="CM1198" s="229"/>
      <c r="CN1198" s="229"/>
      <c r="CO1198" s="47" t="s">
        <v>2488</v>
      </c>
      <c r="CP1198" s="47" t="s">
        <v>2489</v>
      </c>
      <c r="CQ1198" s="224" t="s">
        <v>272</v>
      </c>
      <c r="CR1198" s="224"/>
      <c r="CS1198" s="230" t="s">
        <v>539</v>
      </c>
      <c r="CT1198" s="230"/>
      <c r="CU1198" s="230"/>
      <c r="CV1198" s="335">
        <f t="shared" si="314"/>
        <v>372.86423366954085</v>
      </c>
      <c r="CW1198" s="230">
        <f t="shared" si="312"/>
        <v>1</v>
      </c>
      <c r="CX1198" s="336"/>
      <c r="CY1198" s="230" t="s">
        <v>5921</v>
      </c>
    </row>
    <row r="1199" spans="1:103" ht="11.25" customHeight="1" x14ac:dyDescent="0.2">
      <c r="A1199" s="72">
        <v>1197</v>
      </c>
      <c r="B1199" s="224">
        <v>1021</v>
      </c>
      <c r="C1199" s="46" t="s">
        <v>7332</v>
      </c>
      <c r="D1199" s="46"/>
      <c r="E1199" s="114"/>
      <c r="F1199" s="114" t="s">
        <v>2912</v>
      </c>
      <c r="G1199" s="225">
        <v>1646759</v>
      </c>
      <c r="H1199" s="47" t="s">
        <v>2913</v>
      </c>
      <c r="I1199" s="47" t="s">
        <v>2913</v>
      </c>
      <c r="J1199" s="47" t="s">
        <v>2914</v>
      </c>
      <c r="K1199" s="47" t="s">
        <v>300</v>
      </c>
      <c r="L1199" s="47"/>
      <c r="M1199" s="47"/>
      <c r="N1199" s="47"/>
      <c r="O1199" s="47"/>
      <c r="P1199" s="53"/>
      <c r="Q1199" s="53"/>
      <c r="R1199" s="53"/>
      <c r="S1199" s="53"/>
      <c r="T1199" s="48">
        <v>133.21</v>
      </c>
      <c r="U1199" s="98"/>
      <c r="V1199" s="98">
        <v>152.84137827490429</v>
      </c>
      <c r="W1199" s="98">
        <v>95.499258602143556</v>
      </c>
      <c r="X1199" s="98">
        <f>IF(W1199=0,V1199,W1199)</f>
        <v>95.499258602143556</v>
      </c>
      <c r="Y1199" s="233">
        <v>6</v>
      </c>
      <c r="Z1199" s="48">
        <v>0.75</v>
      </c>
      <c r="AA1199" s="48"/>
      <c r="AB1199" s="48">
        <v>1.61</v>
      </c>
      <c r="AC1199" s="48">
        <v>0.70189999999999997</v>
      </c>
      <c r="AD1199" s="48">
        <v>1.47</v>
      </c>
      <c r="AE1199" s="48">
        <v>1.21</v>
      </c>
      <c r="AF1199" s="48">
        <f t="shared" si="316"/>
        <v>1.47</v>
      </c>
      <c r="AG1199" s="49">
        <v>1.64</v>
      </c>
      <c r="AH1199" s="98">
        <v>1.1000000000000001E-7</v>
      </c>
      <c r="AI1199" s="98"/>
      <c r="AJ1199" s="483">
        <f t="shared" si="318"/>
        <v>-5.3471736411544271</v>
      </c>
      <c r="AK1199" s="483"/>
      <c r="AL1199" s="483">
        <f t="shared" si="319"/>
        <v>-5.3471736411544271</v>
      </c>
      <c r="AM1199" s="483">
        <v>-5.6237399999999997</v>
      </c>
      <c r="AN1199" s="226">
        <v>-4.54</v>
      </c>
      <c r="AO1199" s="484">
        <v>10.99</v>
      </c>
      <c r="AP1199" s="484"/>
      <c r="AQ1199" s="48" t="s">
        <v>6311</v>
      </c>
      <c r="AR1199" s="48" t="s">
        <v>6311</v>
      </c>
      <c r="AS1199" s="227"/>
      <c r="AT1199" s="50" t="s">
        <v>266</v>
      </c>
      <c r="AU1199" s="48">
        <v>6</v>
      </c>
      <c r="AV1199" s="48">
        <v>120</v>
      </c>
      <c r="AW1199" s="48">
        <v>114</v>
      </c>
      <c r="AX1199" s="48">
        <v>28</v>
      </c>
      <c r="AY1199" s="48" t="s">
        <v>8728</v>
      </c>
      <c r="AZ1199" s="48" t="s">
        <v>1563</v>
      </c>
      <c r="BA1199" s="48">
        <v>32</v>
      </c>
      <c r="BB1199" s="47" t="s">
        <v>2485</v>
      </c>
      <c r="BC1199" s="47" t="s">
        <v>8726</v>
      </c>
      <c r="BD1199" s="47" t="s">
        <v>8374</v>
      </c>
      <c r="BE1199" s="48" t="s">
        <v>2449</v>
      </c>
      <c r="BF1199" s="48" t="s">
        <v>272</v>
      </c>
      <c r="BG1199" s="48" t="s">
        <v>272</v>
      </c>
      <c r="BH1199" s="48" t="s">
        <v>2486</v>
      </c>
      <c r="BI1199" s="98">
        <v>6.3999999999999997E-6</v>
      </c>
      <c r="BJ1199" s="98">
        <v>6.4000000000000001E-2</v>
      </c>
      <c r="BK1199" s="48"/>
      <c r="BL1199" s="98">
        <f t="shared" si="315"/>
        <v>10.894943941928211</v>
      </c>
      <c r="BM1199" s="47" t="s">
        <v>2487</v>
      </c>
      <c r="BN1199" s="48"/>
      <c r="BO1199" s="48"/>
      <c r="BP1199" s="48"/>
      <c r="BQ1199" s="48"/>
      <c r="BR1199" s="47" t="s">
        <v>2496</v>
      </c>
      <c r="BS1199" s="48"/>
      <c r="BT1199" s="48"/>
      <c r="BU1199" s="228">
        <v>6.4000000000000005E-4</v>
      </c>
      <c r="BV1199" s="48"/>
      <c r="BW1199" s="48"/>
      <c r="BX1199" s="48"/>
      <c r="BY1199" s="48"/>
      <c r="BZ1199" s="48"/>
      <c r="CA1199" s="48"/>
      <c r="CB1199" s="48"/>
      <c r="CC1199" s="48"/>
      <c r="CD1199" s="48"/>
      <c r="CE1199" s="48"/>
      <c r="CF1199" s="48"/>
      <c r="CG1199" s="48"/>
      <c r="CH1199" s="48"/>
      <c r="CI1199" s="98"/>
      <c r="CJ1199" s="98"/>
      <c r="CK1199" s="49">
        <f t="shared" si="313"/>
        <v>170.23349909262831</v>
      </c>
      <c r="CL1199" s="229"/>
      <c r="CM1199" s="229"/>
      <c r="CN1199" s="229"/>
      <c r="CO1199" s="47" t="s">
        <v>2488</v>
      </c>
      <c r="CP1199" s="47" t="s">
        <v>2489</v>
      </c>
      <c r="CQ1199" s="224" t="s">
        <v>272</v>
      </c>
      <c r="CR1199" s="224"/>
      <c r="CS1199" s="230" t="s">
        <v>539</v>
      </c>
      <c r="CT1199" s="230"/>
      <c r="CU1199" s="230"/>
      <c r="CV1199" s="335">
        <f t="shared" si="314"/>
        <v>1492.1759156584931</v>
      </c>
      <c r="CW1199" s="230">
        <f t="shared" si="312"/>
        <v>1</v>
      </c>
      <c r="CX1199" s="336"/>
      <c r="CY1199" s="230" t="s">
        <v>5921</v>
      </c>
    </row>
    <row r="1200" spans="1:103" ht="11.25" customHeight="1" x14ac:dyDescent="0.2">
      <c r="A1200" s="72">
        <v>1198</v>
      </c>
      <c r="B1200" s="224">
        <v>245</v>
      </c>
      <c r="C1200" s="46" t="s">
        <v>7333</v>
      </c>
      <c r="D1200" s="46"/>
      <c r="E1200" s="114"/>
      <c r="F1200" s="114" t="s">
        <v>3752</v>
      </c>
      <c r="G1200" s="225">
        <v>1698608</v>
      </c>
      <c r="H1200" s="47" t="s">
        <v>3753</v>
      </c>
      <c r="I1200" s="47" t="s">
        <v>8071</v>
      </c>
      <c r="J1200" s="47" t="s">
        <v>3754</v>
      </c>
      <c r="K1200" s="47" t="s">
        <v>3353</v>
      </c>
      <c r="L1200" s="47"/>
      <c r="M1200" s="47"/>
      <c r="N1200" s="47"/>
      <c r="O1200" s="47"/>
      <c r="P1200" s="53"/>
      <c r="Q1200" s="53"/>
      <c r="R1200" s="53"/>
      <c r="S1200" s="53"/>
      <c r="T1200" s="48">
        <v>221.64</v>
      </c>
      <c r="U1200" s="98">
        <v>1.8047283883775493</v>
      </c>
      <c r="V1200" s="98">
        <v>16.174878180833787</v>
      </c>
      <c r="W1200" s="98">
        <v>0.57543993733715637</v>
      </c>
      <c r="X1200" s="98">
        <v>1.8047283883775493</v>
      </c>
      <c r="Y1200" s="233">
        <v>7</v>
      </c>
      <c r="Z1200" s="48">
        <v>0.76</v>
      </c>
      <c r="AA1200" s="48">
        <v>1.1399999999999999</v>
      </c>
      <c r="AB1200" s="48">
        <v>0.96</v>
      </c>
      <c r="AC1200" s="48">
        <v>0.85029999999999994</v>
      </c>
      <c r="AD1200" s="48">
        <v>0.92</v>
      </c>
      <c r="AE1200" s="48">
        <v>0.73</v>
      </c>
      <c r="AF1200" s="48">
        <f t="shared" si="316"/>
        <v>1.1399999999999999</v>
      </c>
      <c r="AG1200" s="49">
        <v>1.43</v>
      </c>
      <c r="AH1200" s="98">
        <v>6.54E-12</v>
      </c>
      <c r="AI1200" s="98">
        <v>3.3299999999999999E-10</v>
      </c>
      <c r="AJ1200" s="483">
        <f t="shared" si="318"/>
        <v>-9.5729885779883848</v>
      </c>
      <c r="AK1200" s="483">
        <f>LOG10(AI1200*1000/(0.08206*298.15))</f>
        <v>-7.8661220928063322</v>
      </c>
      <c r="AL1200" s="483">
        <f t="shared" si="319"/>
        <v>-7.8661220928063322</v>
      </c>
      <c r="AM1200" s="483">
        <v>-14.229660000000003</v>
      </c>
      <c r="AN1200" s="226">
        <v>-8.8000000000000007</v>
      </c>
      <c r="AO1200" s="484"/>
      <c r="AP1200" s="484">
        <v>0.71</v>
      </c>
      <c r="AQ1200" s="226" t="s">
        <v>6311</v>
      </c>
      <c r="AR1200" s="226" t="s">
        <v>6311</v>
      </c>
      <c r="AS1200" s="224" t="s">
        <v>6</v>
      </c>
      <c r="AT1200" s="50" t="s">
        <v>266</v>
      </c>
      <c r="AU1200" s="48">
        <v>8</v>
      </c>
      <c r="AV1200" s="48">
        <v>144</v>
      </c>
      <c r="AW1200" s="48">
        <v>120</v>
      </c>
      <c r="AX1200" s="48">
        <v>26</v>
      </c>
      <c r="AY1200" s="48" t="s">
        <v>267</v>
      </c>
      <c r="AZ1200" s="48" t="s">
        <v>2253</v>
      </c>
      <c r="BA1200" s="48">
        <v>2</v>
      </c>
      <c r="BB1200" s="47" t="s">
        <v>2254</v>
      </c>
      <c r="BC1200" s="47" t="s">
        <v>270</v>
      </c>
      <c r="BD1200" s="47" t="s">
        <v>8374</v>
      </c>
      <c r="BE1200" s="48" t="s">
        <v>1712</v>
      </c>
      <c r="BF1200" s="48" t="s">
        <v>272</v>
      </c>
      <c r="BG1200" s="48" t="s">
        <v>272</v>
      </c>
      <c r="BH1200" s="48" t="s">
        <v>2255</v>
      </c>
      <c r="BI1200" s="98">
        <v>9.9999999999999995E-7</v>
      </c>
      <c r="BJ1200" s="98">
        <v>0.08</v>
      </c>
      <c r="BK1200" s="48"/>
      <c r="BL1200" s="98">
        <f t="shared" si="315"/>
        <v>10.671955361116243</v>
      </c>
      <c r="BM1200" s="48" t="s">
        <v>891</v>
      </c>
      <c r="BN1200" s="233"/>
      <c r="BO1200" s="233"/>
      <c r="BP1200" s="233"/>
      <c r="BQ1200" s="233"/>
      <c r="BR1200" s="233"/>
      <c r="BS1200" s="48"/>
      <c r="BT1200" s="233"/>
      <c r="BU1200" s="228"/>
      <c r="BV1200" s="233"/>
      <c r="BW1200" s="233"/>
      <c r="BX1200" s="233"/>
      <c r="BY1200" s="233"/>
      <c r="BZ1200" s="233"/>
      <c r="CA1200" s="233"/>
      <c r="CB1200" s="233"/>
      <c r="CC1200" s="48"/>
      <c r="CD1200" s="48"/>
      <c r="CE1200" s="48"/>
      <c r="CF1200" s="48"/>
      <c r="CG1200" s="233"/>
      <c r="CH1200" s="48"/>
      <c r="CI1200" s="98"/>
      <c r="CJ1200" s="98"/>
      <c r="CK1200" s="49">
        <f t="shared" si="313"/>
        <v>133.39944201395303</v>
      </c>
      <c r="CL1200" s="229"/>
      <c r="CM1200" s="229"/>
      <c r="CN1200" s="229"/>
      <c r="CO1200" s="47" t="s">
        <v>892</v>
      </c>
      <c r="CP1200" s="47" t="s">
        <v>893</v>
      </c>
      <c r="CQ1200" s="224" t="s">
        <v>272</v>
      </c>
      <c r="CR1200" s="224"/>
      <c r="CS1200" s="230" t="s">
        <v>539</v>
      </c>
      <c r="CT1200" s="230"/>
      <c r="CU1200" s="230"/>
      <c r="CV1200" s="335">
        <f t="shared" si="314"/>
        <v>22.559104854719365</v>
      </c>
      <c r="CW1200" s="230">
        <f t="shared" si="312"/>
        <v>1</v>
      </c>
      <c r="CX1200" s="336" t="s">
        <v>539</v>
      </c>
      <c r="CY1200" s="230" t="s">
        <v>5921</v>
      </c>
    </row>
    <row r="1201" spans="1:103" ht="11.25" customHeight="1" x14ac:dyDescent="0.2">
      <c r="A1201" s="72">
        <v>1199</v>
      </c>
      <c r="B1201" s="224">
        <v>1551</v>
      </c>
      <c r="C1201" s="46" t="s">
        <v>7333</v>
      </c>
      <c r="D1201" s="46"/>
      <c r="E1201" s="114"/>
      <c r="F1201" s="114" t="s">
        <v>3752</v>
      </c>
      <c r="G1201" s="225">
        <v>1698608</v>
      </c>
      <c r="H1201" s="47" t="s">
        <v>3753</v>
      </c>
      <c r="I1201" s="47" t="s">
        <v>8071</v>
      </c>
      <c r="J1201" s="47" t="s">
        <v>3754</v>
      </c>
      <c r="K1201" s="47" t="s">
        <v>3353</v>
      </c>
      <c r="L1201" s="47"/>
      <c r="M1201" s="47"/>
      <c r="N1201" s="47"/>
      <c r="O1201" s="47"/>
      <c r="P1201" s="53"/>
      <c r="Q1201" s="53"/>
      <c r="R1201" s="53"/>
      <c r="S1201" s="53"/>
      <c r="T1201" s="48">
        <v>221.64</v>
      </c>
      <c r="U1201" s="98">
        <v>1.8047283883775493</v>
      </c>
      <c r="V1201" s="98">
        <v>16.174878180833787</v>
      </c>
      <c r="W1201" s="98">
        <v>0.57543993733715637</v>
      </c>
      <c r="X1201" s="98">
        <v>1.8047283883775493</v>
      </c>
      <c r="Y1201" s="233">
        <v>7</v>
      </c>
      <c r="Z1201" s="48">
        <v>0.76</v>
      </c>
      <c r="AA1201" s="48">
        <v>1.1399999999999999</v>
      </c>
      <c r="AB1201" s="48">
        <v>0.96</v>
      </c>
      <c r="AC1201" s="48">
        <v>0.85029999999999994</v>
      </c>
      <c r="AD1201" s="48">
        <v>0.92</v>
      </c>
      <c r="AE1201" s="48">
        <v>0.73</v>
      </c>
      <c r="AF1201" s="48">
        <f t="shared" si="316"/>
        <v>1.1399999999999999</v>
      </c>
      <c r="AG1201" s="49">
        <v>1.43</v>
      </c>
      <c r="AH1201" s="98">
        <v>6.54E-12</v>
      </c>
      <c r="AI1201" s="98">
        <v>3.3299999999999999E-10</v>
      </c>
      <c r="AJ1201" s="483">
        <f t="shared" si="318"/>
        <v>-9.5729885779883848</v>
      </c>
      <c r="AK1201" s="483">
        <f>LOG10(AI1201*1000/(0.08206*298.15))</f>
        <v>-7.8661220928063322</v>
      </c>
      <c r="AL1201" s="483">
        <f t="shared" si="319"/>
        <v>-7.8661220928063322</v>
      </c>
      <c r="AM1201" s="483">
        <v>-14.229660000000003</v>
      </c>
      <c r="AN1201" s="226">
        <v>-8.8000000000000007</v>
      </c>
      <c r="AO1201" s="484"/>
      <c r="AP1201" s="484">
        <v>0.71</v>
      </c>
      <c r="AQ1201" s="48" t="s">
        <v>6311</v>
      </c>
      <c r="AR1201" s="48" t="s">
        <v>6311</v>
      </c>
      <c r="AS1201" s="227"/>
      <c r="AT1201" s="50" t="s">
        <v>266</v>
      </c>
      <c r="AU1201" s="48">
        <v>6</v>
      </c>
      <c r="AV1201" s="48">
        <v>120</v>
      </c>
      <c r="AW1201" s="48">
        <v>114</v>
      </c>
      <c r="AX1201" s="48">
        <v>28</v>
      </c>
      <c r="AY1201" s="48" t="s">
        <v>8728</v>
      </c>
      <c r="AZ1201" s="48" t="s">
        <v>1563</v>
      </c>
      <c r="BA1201" s="48">
        <v>32</v>
      </c>
      <c r="BB1201" s="47" t="s">
        <v>2485</v>
      </c>
      <c r="BC1201" s="47" t="s">
        <v>8726</v>
      </c>
      <c r="BD1201" s="47" t="s">
        <v>8374</v>
      </c>
      <c r="BE1201" s="48" t="s">
        <v>2449</v>
      </c>
      <c r="BF1201" s="48" t="s">
        <v>272</v>
      </c>
      <c r="BG1201" s="48" t="s">
        <v>272</v>
      </c>
      <c r="BH1201" s="48" t="s">
        <v>2486</v>
      </c>
      <c r="BI1201" s="98">
        <v>6.3999999999999997E-6</v>
      </c>
      <c r="BJ1201" s="98">
        <v>6.4000000000000001E-2</v>
      </c>
      <c r="BK1201" s="48"/>
      <c r="BL1201" s="98">
        <f t="shared" si="315"/>
        <v>10.671955361116243</v>
      </c>
      <c r="BM1201" s="47" t="s">
        <v>2487</v>
      </c>
      <c r="BN1201" s="48"/>
      <c r="BO1201" s="48"/>
      <c r="BP1201" s="48"/>
      <c r="BQ1201" s="48"/>
      <c r="BR1201" s="47" t="s">
        <v>2496</v>
      </c>
      <c r="BS1201" s="48"/>
      <c r="BT1201" s="48"/>
      <c r="BU1201" s="228"/>
      <c r="BV1201" s="48"/>
      <c r="BW1201" s="48"/>
      <c r="BX1201" s="48"/>
      <c r="BY1201" s="48"/>
      <c r="BZ1201" s="48"/>
      <c r="CA1201" s="48"/>
      <c r="CB1201" s="48"/>
      <c r="CC1201" s="48"/>
      <c r="CD1201" s="48"/>
      <c r="CE1201" s="48"/>
      <c r="CF1201" s="48"/>
      <c r="CG1201" s="48"/>
      <c r="CH1201" s="48"/>
      <c r="CI1201" s="98"/>
      <c r="CJ1201" s="98"/>
      <c r="CK1201" s="49">
        <f t="shared" si="313"/>
        <v>166.74930251744129</v>
      </c>
      <c r="CL1201" s="229"/>
      <c r="CM1201" s="229"/>
      <c r="CN1201" s="229"/>
      <c r="CO1201" s="47" t="s">
        <v>2488</v>
      </c>
      <c r="CP1201" s="47" t="s">
        <v>2489</v>
      </c>
      <c r="CQ1201" s="224" t="s">
        <v>272</v>
      </c>
      <c r="CR1201" s="224"/>
      <c r="CS1201" s="230" t="s">
        <v>539</v>
      </c>
      <c r="CT1201" s="230"/>
      <c r="CU1201" s="230"/>
      <c r="CV1201" s="335">
        <f t="shared" si="314"/>
        <v>28.198881068399206</v>
      </c>
      <c r="CW1201" s="230">
        <f t="shared" si="312"/>
        <v>1</v>
      </c>
      <c r="CX1201" s="336"/>
      <c r="CY1201" s="230" t="s">
        <v>5921</v>
      </c>
    </row>
    <row r="1202" spans="1:103" ht="11.25" customHeight="1" x14ac:dyDescent="0.2">
      <c r="A1202" s="72">
        <v>1200</v>
      </c>
      <c r="B1202" s="224">
        <v>258</v>
      </c>
      <c r="C1202" s="46" t="s">
        <v>7334</v>
      </c>
      <c r="D1202" s="46"/>
      <c r="E1202" s="114"/>
      <c r="F1202" s="114" t="s">
        <v>3012</v>
      </c>
      <c r="G1202" s="225">
        <v>1702176</v>
      </c>
      <c r="H1202" s="47" t="s">
        <v>3013</v>
      </c>
      <c r="I1202" s="47" t="s">
        <v>8072</v>
      </c>
      <c r="J1202" s="47" t="s">
        <v>3014</v>
      </c>
      <c r="K1202" s="47" t="s">
        <v>3015</v>
      </c>
      <c r="L1202" s="47" t="s">
        <v>6032</v>
      </c>
      <c r="M1202" s="47" t="s">
        <v>5960</v>
      </c>
      <c r="N1202" s="47"/>
      <c r="O1202" s="47"/>
      <c r="P1202" s="53"/>
      <c r="Q1202" s="53"/>
      <c r="R1202" s="53"/>
      <c r="S1202" s="53"/>
      <c r="T1202" s="48">
        <v>192</v>
      </c>
      <c r="U1202" s="98">
        <v>40.885416666666664</v>
      </c>
      <c r="V1202" s="98">
        <v>31.114583333333332</v>
      </c>
      <c r="W1202" s="98">
        <v>26.302679918953803</v>
      </c>
      <c r="X1202" s="98">
        <v>40.885416666666664</v>
      </c>
      <c r="Y1202" s="233">
        <v>1.93</v>
      </c>
      <c r="Z1202" s="48">
        <v>1.63</v>
      </c>
      <c r="AA1202" s="48">
        <v>1.06</v>
      </c>
      <c r="AB1202" s="48">
        <v>1.97</v>
      </c>
      <c r="AC1202" s="48">
        <v>0.83960000000000001</v>
      </c>
      <c r="AD1202" s="48">
        <v>1.8</v>
      </c>
      <c r="AE1202" s="48">
        <v>1.31</v>
      </c>
      <c r="AF1202" s="48">
        <f t="shared" si="316"/>
        <v>1.06</v>
      </c>
      <c r="AG1202" s="49">
        <v>2.0299999999999998</v>
      </c>
      <c r="AH1202" s="98">
        <v>4.9200000000000004E-9</v>
      </c>
      <c r="AI1202" s="98">
        <v>3.0300000000000001E-9</v>
      </c>
      <c r="AJ1202" s="483">
        <f t="shared" si="318"/>
        <v>-6.6966012235452919</v>
      </c>
      <c r="AK1202" s="483">
        <f>LOG10(AI1202*1000/(0.08206*298.15))</f>
        <v>-6.9071236978103467</v>
      </c>
      <c r="AL1202" s="483">
        <f t="shared" si="319"/>
        <v>-6.9071236978103467</v>
      </c>
      <c r="AM1202" s="483">
        <v>-10.62134</v>
      </c>
      <c r="AN1202" s="226">
        <v>-7.72</v>
      </c>
      <c r="AO1202" s="484">
        <v>2.02</v>
      </c>
      <c r="AP1202" s="484">
        <v>-3.21</v>
      </c>
      <c r="AQ1202" s="226" t="s">
        <v>6311</v>
      </c>
      <c r="AR1202" s="226" t="s">
        <v>6311</v>
      </c>
      <c r="AS1202" s="224" t="s">
        <v>6</v>
      </c>
      <c r="AT1202" s="50" t="s">
        <v>266</v>
      </c>
      <c r="AU1202" s="48">
        <v>8</v>
      </c>
      <c r="AV1202" s="48">
        <v>144</v>
      </c>
      <c r="AW1202" s="48">
        <v>120</v>
      </c>
      <c r="AX1202" s="48">
        <v>26</v>
      </c>
      <c r="AY1202" s="48" t="s">
        <v>267</v>
      </c>
      <c r="AZ1202" s="48" t="s">
        <v>2253</v>
      </c>
      <c r="BA1202" s="48">
        <v>2</v>
      </c>
      <c r="BB1202" s="47" t="s">
        <v>2254</v>
      </c>
      <c r="BC1202" s="47" t="s">
        <v>270</v>
      </c>
      <c r="BD1202" s="47" t="s">
        <v>8374</v>
      </c>
      <c r="BE1202" s="48" t="s">
        <v>1712</v>
      </c>
      <c r="BF1202" s="48" t="s">
        <v>272</v>
      </c>
      <c r="BG1202" s="48" t="s">
        <v>272</v>
      </c>
      <c r="BH1202" s="48" t="s">
        <v>2255</v>
      </c>
      <c r="BI1202" s="98">
        <v>9.9999999999999995E-7</v>
      </c>
      <c r="BJ1202" s="98">
        <v>0.08</v>
      </c>
      <c r="BK1202" s="48"/>
      <c r="BL1202" s="98">
        <f t="shared" si="315"/>
        <v>1.7656190257571063</v>
      </c>
      <c r="BM1202" s="48" t="s">
        <v>891</v>
      </c>
      <c r="BN1202" s="233"/>
      <c r="BO1202" s="233"/>
      <c r="BP1202" s="233"/>
      <c r="BQ1202" s="233"/>
      <c r="BR1202" s="233"/>
      <c r="BS1202" s="48"/>
      <c r="BT1202" s="233"/>
      <c r="BU1202" s="228"/>
      <c r="BV1202" s="233"/>
      <c r="BW1202" s="233"/>
      <c r="BX1202" s="233"/>
      <c r="BY1202" s="233"/>
      <c r="BZ1202" s="233"/>
      <c r="CA1202" s="233"/>
      <c r="CB1202" s="233"/>
      <c r="CC1202" s="48"/>
      <c r="CD1202" s="48"/>
      <c r="CE1202" s="48"/>
      <c r="CF1202" s="48"/>
      <c r="CG1202" s="233"/>
      <c r="CH1202" s="48"/>
      <c r="CI1202" s="98"/>
      <c r="CJ1202" s="98"/>
      <c r="CK1202" s="49">
        <f t="shared" si="313"/>
        <v>22.070237821963829</v>
      </c>
      <c r="CL1202" s="229"/>
      <c r="CM1202" s="229"/>
      <c r="CN1202" s="229"/>
      <c r="CO1202" s="47" t="s">
        <v>892</v>
      </c>
      <c r="CP1202" s="47" t="s">
        <v>893</v>
      </c>
      <c r="CQ1202" s="224">
        <v>0.56179681131070724</v>
      </c>
      <c r="CR1202" s="224">
        <f t="shared" ref="CR1202:CR1216" si="322">10^(CJ1202-CQ1202)</f>
        <v>0.27428571428571424</v>
      </c>
      <c r="CS1202" s="230" t="s">
        <v>539</v>
      </c>
      <c r="CT1202" s="230"/>
      <c r="CU1202" s="230"/>
      <c r="CV1202" s="335">
        <f t="shared" si="314"/>
        <v>511.06770833333331</v>
      </c>
      <c r="CW1202" s="230">
        <f t="shared" si="312"/>
        <v>1</v>
      </c>
      <c r="CX1202" s="336" t="s">
        <v>539</v>
      </c>
      <c r="CY1202" s="230" t="s">
        <v>5921</v>
      </c>
    </row>
    <row r="1203" spans="1:103" ht="11.25" customHeight="1" x14ac:dyDescent="0.2">
      <c r="A1203" s="72">
        <v>1201</v>
      </c>
      <c r="B1203" s="224">
        <v>1070</v>
      </c>
      <c r="C1203" s="46" t="s">
        <v>7334</v>
      </c>
      <c r="D1203" s="46"/>
      <c r="E1203" s="114"/>
      <c r="F1203" s="114" t="s">
        <v>3012</v>
      </c>
      <c r="G1203" s="225">
        <v>1702176</v>
      </c>
      <c r="H1203" s="47" t="s">
        <v>3013</v>
      </c>
      <c r="I1203" s="47" t="s">
        <v>8072</v>
      </c>
      <c r="J1203" s="47" t="s">
        <v>3014</v>
      </c>
      <c r="K1203" s="47" t="s">
        <v>3015</v>
      </c>
      <c r="L1203" s="47" t="s">
        <v>6032</v>
      </c>
      <c r="M1203" s="47" t="s">
        <v>5960</v>
      </c>
      <c r="N1203" s="47"/>
      <c r="O1203" s="47"/>
      <c r="P1203" s="53"/>
      <c r="Q1203" s="53"/>
      <c r="R1203" s="53"/>
      <c r="S1203" s="53"/>
      <c r="T1203" s="48">
        <v>192</v>
      </c>
      <c r="U1203" s="98">
        <v>40.885416666666664</v>
      </c>
      <c r="V1203" s="98">
        <v>31.114583333333332</v>
      </c>
      <c r="W1203" s="98">
        <v>26.302679918953803</v>
      </c>
      <c r="X1203" s="98">
        <v>40.885416666666664</v>
      </c>
      <c r="Y1203" s="233">
        <v>1.93</v>
      </c>
      <c r="Z1203" s="48">
        <v>1.63</v>
      </c>
      <c r="AA1203" s="48">
        <v>1.06</v>
      </c>
      <c r="AB1203" s="48">
        <v>1.97</v>
      </c>
      <c r="AC1203" s="48">
        <v>0.83960000000000001</v>
      </c>
      <c r="AD1203" s="48">
        <v>1.8</v>
      </c>
      <c r="AE1203" s="48">
        <v>1.31</v>
      </c>
      <c r="AF1203" s="48">
        <f t="shared" si="316"/>
        <v>1.06</v>
      </c>
      <c r="AG1203" s="49">
        <v>2.0299999999999998</v>
      </c>
      <c r="AH1203" s="98">
        <v>4.9200000000000004E-9</v>
      </c>
      <c r="AI1203" s="98">
        <v>3.0300000000000001E-9</v>
      </c>
      <c r="AJ1203" s="483">
        <f t="shared" si="318"/>
        <v>-6.6966012235452919</v>
      </c>
      <c r="AK1203" s="483">
        <f>LOG10(AI1203*1000/(0.08206*298.15))</f>
        <v>-6.9071236978103467</v>
      </c>
      <c r="AL1203" s="483">
        <f t="shared" si="319"/>
        <v>-6.9071236978103467</v>
      </c>
      <c r="AM1203" s="483">
        <v>-10.62134</v>
      </c>
      <c r="AN1203" s="226">
        <v>-7.72</v>
      </c>
      <c r="AO1203" s="484">
        <v>2.02</v>
      </c>
      <c r="AP1203" s="484">
        <v>-3.21</v>
      </c>
      <c r="AQ1203" s="48" t="s">
        <v>6311</v>
      </c>
      <c r="AR1203" s="48" t="s">
        <v>6311</v>
      </c>
      <c r="AS1203" s="227"/>
      <c r="AT1203" s="50" t="s">
        <v>266</v>
      </c>
      <c r="AU1203" s="48">
        <v>6</v>
      </c>
      <c r="AV1203" s="48">
        <v>120</v>
      </c>
      <c r="AW1203" s="48">
        <v>114</v>
      </c>
      <c r="AX1203" s="48">
        <v>28</v>
      </c>
      <c r="AY1203" s="48" t="s">
        <v>8728</v>
      </c>
      <c r="AZ1203" s="48" t="s">
        <v>1563</v>
      </c>
      <c r="BA1203" s="48">
        <v>32</v>
      </c>
      <c r="BB1203" s="47" t="s">
        <v>2485</v>
      </c>
      <c r="BC1203" s="47" t="s">
        <v>8726</v>
      </c>
      <c r="BD1203" s="47" t="s">
        <v>8374</v>
      </c>
      <c r="BE1203" s="48" t="s">
        <v>2449</v>
      </c>
      <c r="BF1203" s="48" t="s">
        <v>272</v>
      </c>
      <c r="BG1203" s="48" t="s">
        <v>272</v>
      </c>
      <c r="BH1203" s="48" t="s">
        <v>2486</v>
      </c>
      <c r="BI1203" s="98">
        <v>6.3999999999999997E-6</v>
      </c>
      <c r="BJ1203" s="98">
        <v>6.4000000000000001E-2</v>
      </c>
      <c r="BK1203" s="48"/>
      <c r="BL1203" s="98">
        <f t="shared" si="315"/>
        <v>1.7656190257571063</v>
      </c>
      <c r="BM1203" s="47" t="s">
        <v>2487</v>
      </c>
      <c r="BN1203" s="48"/>
      <c r="BO1203" s="48"/>
      <c r="BP1203" s="48"/>
      <c r="BQ1203" s="48"/>
      <c r="BR1203" s="47" t="s">
        <v>2496</v>
      </c>
      <c r="BS1203" s="48"/>
      <c r="BT1203" s="48"/>
      <c r="BU1203" s="228">
        <v>6.4000000000000005E-4</v>
      </c>
      <c r="BV1203" s="48"/>
      <c r="BW1203" s="48"/>
      <c r="BX1203" s="48"/>
      <c r="BY1203" s="48"/>
      <c r="BZ1203" s="48"/>
      <c r="CA1203" s="48"/>
      <c r="CB1203" s="48"/>
      <c r="CC1203" s="48"/>
      <c r="CD1203" s="48"/>
      <c r="CE1203" s="48"/>
      <c r="CF1203" s="48"/>
      <c r="CG1203" s="48"/>
      <c r="CH1203" s="48"/>
      <c r="CI1203" s="98"/>
      <c r="CJ1203" s="98"/>
      <c r="CK1203" s="49">
        <f t="shared" si="313"/>
        <v>27.587797277454786</v>
      </c>
      <c r="CL1203" s="229"/>
      <c r="CM1203" s="229"/>
      <c r="CN1203" s="229"/>
      <c r="CO1203" s="47" t="s">
        <v>2488</v>
      </c>
      <c r="CP1203" s="47" t="s">
        <v>2489</v>
      </c>
      <c r="CQ1203" s="224">
        <v>0.56179681131070724</v>
      </c>
      <c r="CR1203" s="224">
        <f t="shared" si="322"/>
        <v>0.27428571428571424</v>
      </c>
      <c r="CS1203" s="230" t="s">
        <v>539</v>
      </c>
      <c r="CT1203" s="230"/>
      <c r="CU1203" s="230"/>
      <c r="CV1203" s="335">
        <f t="shared" si="314"/>
        <v>638.83463541666663</v>
      </c>
      <c r="CW1203" s="230">
        <f t="shared" si="312"/>
        <v>1</v>
      </c>
      <c r="CX1203" s="336"/>
      <c r="CY1203" s="230" t="s">
        <v>5921</v>
      </c>
    </row>
    <row r="1204" spans="1:103" ht="11.25" customHeight="1" x14ac:dyDescent="0.2">
      <c r="A1204" s="72">
        <v>1202</v>
      </c>
      <c r="B1204" s="224">
        <v>1778</v>
      </c>
      <c r="C1204" s="46" t="s">
        <v>7335</v>
      </c>
      <c r="D1204" s="46"/>
      <c r="E1204" s="114"/>
      <c r="F1204" s="114" t="s">
        <v>5114</v>
      </c>
      <c r="G1204" s="225">
        <v>1836755</v>
      </c>
      <c r="H1204" s="47" t="s">
        <v>5115</v>
      </c>
      <c r="I1204" s="47" t="s">
        <v>8073</v>
      </c>
      <c r="J1204" s="47" t="s">
        <v>5116</v>
      </c>
      <c r="K1204" s="47" t="s">
        <v>426</v>
      </c>
      <c r="L1204" s="47" t="s">
        <v>5248</v>
      </c>
      <c r="M1204" s="47" t="s">
        <v>6162</v>
      </c>
      <c r="N1204" s="47"/>
      <c r="O1204" s="47" t="s">
        <v>6163</v>
      </c>
      <c r="P1204" s="53"/>
      <c r="Q1204" s="53"/>
      <c r="R1204" s="53"/>
      <c r="S1204" s="53"/>
      <c r="T1204" s="48">
        <v>284.08999999999997</v>
      </c>
      <c r="U1204" s="98">
        <v>3.5200112640360452E-3</v>
      </c>
      <c r="V1204" s="98">
        <v>2.3724875919602945E-3</v>
      </c>
      <c r="W1204" s="98">
        <v>3.0902954325135886E-3</v>
      </c>
      <c r="X1204" s="98">
        <v>3.5200112640360452E-3</v>
      </c>
      <c r="Y1204" s="233">
        <v>7</v>
      </c>
      <c r="Z1204" s="48">
        <v>4.32</v>
      </c>
      <c r="AA1204" s="48">
        <v>4.6399999999999997</v>
      </c>
      <c r="AB1204" s="48">
        <v>5.14</v>
      </c>
      <c r="AC1204" s="48">
        <v>0.89270000000000005</v>
      </c>
      <c r="AD1204" s="48">
        <v>5.09</v>
      </c>
      <c r="AE1204" s="48">
        <v>4.92</v>
      </c>
      <c r="AF1204" s="48">
        <f t="shared" si="316"/>
        <v>4.6399999999999997</v>
      </c>
      <c r="AG1204" s="49">
        <v>4.1399999999999997</v>
      </c>
      <c r="AH1204" s="98">
        <v>2.5499999999999999E-7</v>
      </c>
      <c r="AI1204" s="98"/>
      <c r="AJ1204" s="483">
        <f t="shared" si="318"/>
        <v>-4.982026145878697</v>
      </c>
      <c r="AK1204" s="483"/>
      <c r="AL1204" s="483">
        <f t="shared" si="319"/>
        <v>-4.982026145878697</v>
      </c>
      <c r="AM1204" s="483">
        <v>-9.6499399999999991</v>
      </c>
      <c r="AN1204" s="226">
        <v>-3.93</v>
      </c>
      <c r="AO1204" s="484"/>
      <c r="AP1204" s="484"/>
      <c r="AQ1204" s="226" t="s">
        <v>6311</v>
      </c>
      <c r="AR1204" s="226" t="s">
        <v>6311</v>
      </c>
      <c r="AS1204" s="224"/>
      <c r="AT1204" s="50" t="s">
        <v>266</v>
      </c>
      <c r="AU1204" s="48">
        <v>6</v>
      </c>
      <c r="AV1204" s="48">
        <v>120</v>
      </c>
      <c r="AW1204" s="48">
        <v>114</v>
      </c>
      <c r="AX1204" s="48">
        <v>28</v>
      </c>
      <c r="AY1204" s="48" t="s">
        <v>8728</v>
      </c>
      <c r="AZ1204" s="48" t="s">
        <v>1563</v>
      </c>
      <c r="BA1204" s="48">
        <v>32</v>
      </c>
      <c r="BB1204" s="47" t="s">
        <v>2485</v>
      </c>
      <c r="BC1204" s="47" t="s">
        <v>8726</v>
      </c>
      <c r="BD1204" s="47" t="s">
        <v>8374</v>
      </c>
      <c r="BE1204" s="48" t="s">
        <v>2449</v>
      </c>
      <c r="BF1204" s="48" t="s">
        <v>272</v>
      </c>
      <c r="BG1204" s="48" t="s">
        <v>272</v>
      </c>
      <c r="BH1204" s="48" t="s">
        <v>2486</v>
      </c>
      <c r="BI1204" s="98">
        <v>6.3999999999999997E-6</v>
      </c>
      <c r="BJ1204" s="98">
        <v>6.4000000000000001E-2</v>
      </c>
      <c r="BK1204" s="48"/>
      <c r="BL1204" s="98">
        <f t="shared" si="315"/>
        <v>6.776539903435146E-3</v>
      </c>
      <c r="BM1204" s="47" t="s">
        <v>2487</v>
      </c>
      <c r="BN1204" s="48"/>
      <c r="BO1204" s="48"/>
      <c r="BP1204" s="48"/>
      <c r="BQ1204" s="48"/>
      <c r="BR1204" s="47" t="s">
        <v>2496</v>
      </c>
      <c r="BS1204" s="48"/>
      <c r="BT1204" s="48"/>
      <c r="BU1204" s="228"/>
      <c r="BV1204" s="48"/>
      <c r="BW1204" s="48"/>
      <c r="BX1204" s="48"/>
      <c r="BY1204" s="48"/>
      <c r="BZ1204" s="48"/>
      <c r="CA1204" s="48"/>
      <c r="CB1204" s="48"/>
      <c r="CC1204" s="48"/>
      <c r="CD1204" s="48"/>
      <c r="CE1204" s="48"/>
      <c r="CF1204" s="48"/>
      <c r="CG1204" s="48"/>
      <c r="CH1204" s="48"/>
      <c r="CI1204" s="98"/>
      <c r="CJ1204" s="98"/>
      <c r="CK1204" s="49">
        <f t="shared" si="313"/>
        <v>0.10588343599117415</v>
      </c>
      <c r="CL1204" s="229"/>
      <c r="CM1204" s="229"/>
      <c r="CN1204" s="229"/>
      <c r="CO1204" s="47" t="s">
        <v>2488</v>
      </c>
      <c r="CP1204" s="47" t="s">
        <v>2489</v>
      </c>
      <c r="CQ1204" s="224">
        <v>-1.6083579067630465</v>
      </c>
      <c r="CR1204" s="224">
        <f t="shared" si="322"/>
        <v>40.584285714285727</v>
      </c>
      <c r="CS1204" s="230" t="s">
        <v>539</v>
      </c>
      <c r="CT1204" s="230"/>
      <c r="CU1204" s="230"/>
      <c r="CV1204" s="335">
        <f t="shared" si="314"/>
        <v>5.5000176000563207E-2</v>
      </c>
      <c r="CW1204" s="230">
        <f t="shared" si="312"/>
        <v>0</v>
      </c>
      <c r="CX1204" s="336"/>
      <c r="CY1204" s="230" t="s">
        <v>5921</v>
      </c>
    </row>
    <row r="1205" spans="1:103" ht="11.25" customHeight="1" x14ac:dyDescent="0.2">
      <c r="A1205" s="72">
        <v>1203</v>
      </c>
      <c r="B1205" s="224">
        <v>1554</v>
      </c>
      <c r="C1205" s="46" t="s">
        <v>7336</v>
      </c>
      <c r="D1205" s="46"/>
      <c r="E1205" s="114"/>
      <c r="F1205" s="114" t="s">
        <v>4687</v>
      </c>
      <c r="G1205" s="225">
        <v>1861321</v>
      </c>
      <c r="H1205" s="47" t="s">
        <v>4688</v>
      </c>
      <c r="I1205" s="47" t="s">
        <v>8074</v>
      </c>
      <c r="J1205" s="47" t="s">
        <v>4689</v>
      </c>
      <c r="K1205" s="47" t="s">
        <v>357</v>
      </c>
      <c r="L1205" s="47" t="s">
        <v>6155</v>
      </c>
      <c r="M1205" s="47" t="s">
        <v>5960</v>
      </c>
      <c r="N1205" s="47"/>
      <c r="O1205" s="47"/>
      <c r="P1205" s="53"/>
      <c r="Q1205" s="53"/>
      <c r="R1205" s="53"/>
      <c r="S1205" s="53"/>
      <c r="T1205" s="48">
        <v>331.96</v>
      </c>
      <c r="U1205" s="98">
        <v>1.5062055669357755E-3</v>
      </c>
      <c r="V1205" s="98">
        <v>5.2988311844800575E-3</v>
      </c>
      <c r="W1205" s="98">
        <v>2.754228703338164E-2</v>
      </c>
      <c r="X1205" s="98">
        <v>1.5062055669357755E-3</v>
      </c>
      <c r="Y1205" s="233">
        <v>7</v>
      </c>
      <c r="Z1205" s="48">
        <v>4.24</v>
      </c>
      <c r="AA1205" s="48">
        <v>4.28</v>
      </c>
      <c r="AB1205" s="48">
        <v>4.2300000000000004</v>
      </c>
      <c r="AC1205" s="48">
        <v>0.80769999999999997</v>
      </c>
      <c r="AD1205" s="48">
        <v>4.05</v>
      </c>
      <c r="AE1205" s="48">
        <v>3.48</v>
      </c>
      <c r="AF1205" s="48">
        <f t="shared" si="316"/>
        <v>4.28</v>
      </c>
      <c r="AG1205" s="49">
        <v>4.32</v>
      </c>
      <c r="AH1205" s="98">
        <v>6.7399999999999995E-8</v>
      </c>
      <c r="AI1205" s="98">
        <v>2.1799999999999999E-6</v>
      </c>
      <c r="AJ1205" s="483">
        <f t="shared" si="318"/>
        <v>-5.5599064297773317</v>
      </c>
      <c r="AK1205" s="483">
        <f t="shared" ref="AK1205:AK1216" si="323">LOG10(AI1205*1000/(0.08206*298.15))</f>
        <v>-4.0501098327080474</v>
      </c>
      <c r="AL1205" s="483">
        <f t="shared" si="319"/>
        <v>-4.0501098327080474</v>
      </c>
      <c r="AM1205" s="483">
        <v>-9.2784899999999997</v>
      </c>
      <c r="AN1205" s="226">
        <v>-3.08</v>
      </c>
      <c r="AO1205" s="484"/>
      <c r="AP1205" s="484"/>
      <c r="AQ1205" s="48" t="s">
        <v>6311</v>
      </c>
      <c r="AR1205" s="48" t="s">
        <v>6315</v>
      </c>
      <c r="AS1205" s="227"/>
      <c r="AT1205" s="50" t="s">
        <v>266</v>
      </c>
      <c r="AU1205" s="48">
        <v>6</v>
      </c>
      <c r="AV1205" s="48">
        <v>120</v>
      </c>
      <c r="AW1205" s="48">
        <v>114</v>
      </c>
      <c r="AX1205" s="48">
        <v>28</v>
      </c>
      <c r="AY1205" s="48" t="s">
        <v>8728</v>
      </c>
      <c r="AZ1205" s="48" t="s">
        <v>1563</v>
      </c>
      <c r="BA1205" s="48">
        <v>32</v>
      </c>
      <c r="BB1205" s="47" t="s">
        <v>2485</v>
      </c>
      <c r="BC1205" s="47" t="s">
        <v>8726</v>
      </c>
      <c r="BD1205" s="47" t="s">
        <v>8374</v>
      </c>
      <c r="BE1205" s="48" t="s">
        <v>2449</v>
      </c>
      <c r="BF1205" s="48" t="s">
        <v>272</v>
      </c>
      <c r="BG1205" s="48" t="s">
        <v>272</v>
      </c>
      <c r="BH1205" s="48" t="s">
        <v>2486</v>
      </c>
      <c r="BI1205" s="98">
        <v>6.3999999999999997E-6</v>
      </c>
      <c r="BJ1205" s="98">
        <v>6.4000000000000001E-2</v>
      </c>
      <c r="BK1205" s="48"/>
      <c r="BL1205" s="98">
        <f t="shared" si="315"/>
        <v>7.9956909612284976E-3</v>
      </c>
      <c r="BM1205" s="47" t="s">
        <v>2487</v>
      </c>
      <c r="BN1205" s="48"/>
      <c r="BO1205" s="48"/>
      <c r="BP1205" s="48"/>
      <c r="BQ1205" s="48"/>
      <c r="BR1205" s="47" t="s">
        <v>2496</v>
      </c>
      <c r="BS1205" s="48"/>
      <c r="BT1205" s="48"/>
      <c r="BU1205" s="228"/>
      <c r="BV1205" s="48"/>
      <c r="BW1205" s="48"/>
      <c r="BX1205" s="48"/>
      <c r="BY1205" s="48"/>
      <c r="BZ1205" s="48"/>
      <c r="CA1205" s="48"/>
      <c r="CB1205" s="48"/>
      <c r="CC1205" s="48"/>
      <c r="CD1205" s="48"/>
      <c r="CE1205" s="48"/>
      <c r="CF1205" s="48"/>
      <c r="CG1205" s="48"/>
      <c r="CH1205" s="48"/>
      <c r="CI1205" s="98"/>
      <c r="CJ1205" s="98"/>
      <c r="CK1205" s="49">
        <f t="shared" si="313"/>
        <v>0.12493267126919527</v>
      </c>
      <c r="CL1205" s="229"/>
      <c r="CM1205" s="229"/>
      <c r="CN1205" s="229"/>
      <c r="CO1205" s="47" t="s">
        <v>2488</v>
      </c>
      <c r="CP1205" s="47" t="s">
        <v>2489</v>
      </c>
      <c r="CQ1205" s="224">
        <v>-1.3727531607845571</v>
      </c>
      <c r="CR1205" s="224">
        <f t="shared" si="322"/>
        <v>23.59136993380282</v>
      </c>
      <c r="CS1205" s="230" t="s">
        <v>539</v>
      </c>
      <c r="CT1205" s="230"/>
      <c r="CU1205" s="230"/>
      <c r="CV1205" s="335">
        <f t="shared" si="314"/>
        <v>2.3534461983371491E-2</v>
      </c>
      <c r="CW1205" s="230">
        <f t="shared" si="312"/>
        <v>0</v>
      </c>
      <c r="CX1205" s="336"/>
      <c r="CY1205" s="230" t="s">
        <v>5921</v>
      </c>
    </row>
    <row r="1206" spans="1:103" ht="11.25" customHeight="1" x14ac:dyDescent="0.2">
      <c r="A1206" s="72">
        <v>1204</v>
      </c>
      <c r="B1206" s="224">
        <v>230</v>
      </c>
      <c r="C1206" s="46" t="s">
        <v>7337</v>
      </c>
      <c r="D1206" s="46"/>
      <c r="E1206" s="114"/>
      <c r="F1206" s="114" t="s">
        <v>3728</v>
      </c>
      <c r="G1206" s="225">
        <v>1861401</v>
      </c>
      <c r="H1206" s="47" t="s">
        <v>3729</v>
      </c>
      <c r="I1206" s="47" t="s">
        <v>8075</v>
      </c>
      <c r="J1206" s="47" t="s">
        <v>3730</v>
      </c>
      <c r="K1206" s="47" t="s">
        <v>1011</v>
      </c>
      <c r="L1206" s="47" t="s">
        <v>6027</v>
      </c>
      <c r="M1206" s="47" t="s">
        <v>6088</v>
      </c>
      <c r="N1206" s="47"/>
      <c r="O1206" s="47" t="s">
        <v>6083</v>
      </c>
      <c r="P1206" s="53"/>
      <c r="Q1206" s="53"/>
      <c r="R1206" s="53"/>
      <c r="S1206" s="53"/>
      <c r="T1206" s="48">
        <v>335.28</v>
      </c>
      <c r="U1206" s="98">
        <v>2.9825817227392037E-4</v>
      </c>
      <c r="V1206" s="98">
        <v>6.877833452636603E-4</v>
      </c>
      <c r="W1206" s="98">
        <v>2.3442288153199191E-3</v>
      </c>
      <c r="X1206" s="98">
        <v>2.9825817227392037E-4</v>
      </c>
      <c r="Y1206" s="233">
        <v>7</v>
      </c>
      <c r="Z1206" s="48">
        <v>5.31</v>
      </c>
      <c r="AA1206" s="48">
        <v>5.29</v>
      </c>
      <c r="AB1206" s="48">
        <v>5.12</v>
      </c>
      <c r="AC1206" s="48">
        <v>0.84789999999999999</v>
      </c>
      <c r="AD1206" s="48">
        <v>5.19</v>
      </c>
      <c r="AE1206" s="48">
        <v>5.41</v>
      </c>
      <c r="AF1206" s="48">
        <f t="shared" si="316"/>
        <v>5.29</v>
      </c>
      <c r="AG1206" s="49">
        <v>3.67</v>
      </c>
      <c r="AH1206" s="98">
        <v>2.12E-4</v>
      </c>
      <c r="AI1206" s="98">
        <v>2.9100000000000003E-4</v>
      </c>
      <c r="AJ1206" s="483">
        <f t="shared" si="318"/>
        <v>-2.0622304653839003</v>
      </c>
      <c r="AK1206" s="483">
        <f t="shared" si="323"/>
        <v>-1.9246733373267444</v>
      </c>
      <c r="AL1206" s="483">
        <f t="shared" si="319"/>
        <v>-1.9246733373267444</v>
      </c>
      <c r="AM1206" s="483">
        <v>-9.2376700000000014</v>
      </c>
      <c r="AN1206" s="226">
        <v>-1.46</v>
      </c>
      <c r="AO1206" s="484"/>
      <c r="AP1206" s="484">
        <v>-0.59</v>
      </c>
      <c r="AQ1206" s="226" t="s">
        <v>6311</v>
      </c>
      <c r="AR1206" s="226" t="s">
        <v>6311</v>
      </c>
      <c r="AS1206" s="224" t="s">
        <v>6</v>
      </c>
      <c r="AT1206" s="50" t="s">
        <v>266</v>
      </c>
      <c r="AU1206" s="48">
        <v>8</v>
      </c>
      <c r="AV1206" s="48">
        <v>144</v>
      </c>
      <c r="AW1206" s="48">
        <v>120</v>
      </c>
      <c r="AX1206" s="48">
        <v>26</v>
      </c>
      <c r="AY1206" s="48" t="s">
        <v>267</v>
      </c>
      <c r="AZ1206" s="48" t="s">
        <v>2253</v>
      </c>
      <c r="BA1206" s="48">
        <v>2</v>
      </c>
      <c r="BB1206" s="47" t="s">
        <v>2254</v>
      </c>
      <c r="BC1206" s="47" t="s">
        <v>270</v>
      </c>
      <c r="BD1206" s="47" t="s">
        <v>8374</v>
      </c>
      <c r="BE1206" s="48" t="s">
        <v>1712</v>
      </c>
      <c r="BF1206" s="48" t="s">
        <v>272</v>
      </c>
      <c r="BG1206" s="48" t="s">
        <v>272</v>
      </c>
      <c r="BH1206" s="48" t="s">
        <v>2255</v>
      </c>
      <c r="BI1206" s="98">
        <v>9.9999999999999995E-7</v>
      </c>
      <c r="BJ1206" s="98">
        <v>0.08</v>
      </c>
      <c r="BK1206" s="48"/>
      <c r="BL1206" s="98">
        <f t="shared" si="315"/>
        <v>8.7476016937370422E-4</v>
      </c>
      <c r="BM1206" s="48" t="s">
        <v>891</v>
      </c>
      <c r="BN1206" s="233"/>
      <c r="BO1206" s="233"/>
      <c r="BP1206" s="233"/>
      <c r="BQ1206" s="233"/>
      <c r="BR1206" s="233"/>
      <c r="BS1206" s="48"/>
      <c r="BT1206" s="233"/>
      <c r="BU1206" s="228"/>
      <c r="BV1206" s="233"/>
      <c r="BW1206" s="233"/>
      <c r="BX1206" s="233"/>
      <c r="BY1206" s="233"/>
      <c r="BZ1206" s="233"/>
      <c r="CA1206" s="233"/>
      <c r="CB1206" s="233"/>
      <c r="CC1206" s="48"/>
      <c r="CD1206" s="48"/>
      <c r="CE1206" s="48"/>
      <c r="CF1206" s="48"/>
      <c r="CG1206" s="233"/>
      <c r="CH1206" s="48"/>
      <c r="CI1206" s="98"/>
      <c r="CJ1206" s="98"/>
      <c r="CK1206" s="49">
        <f t="shared" si="313"/>
        <v>1.0934502117171303E-2</v>
      </c>
      <c r="CL1206" s="229"/>
      <c r="CM1206" s="229"/>
      <c r="CN1206" s="229"/>
      <c r="CO1206" s="47" t="s">
        <v>892</v>
      </c>
      <c r="CP1206" s="47" t="s">
        <v>893</v>
      </c>
      <c r="CQ1206" s="224">
        <v>-3.1715520383419031</v>
      </c>
      <c r="CR1206" s="224">
        <f t="shared" si="322"/>
        <v>1484.4037346875641</v>
      </c>
      <c r="CS1206" s="230" t="s">
        <v>539</v>
      </c>
      <c r="CT1206" s="230"/>
      <c r="CU1206" s="230"/>
      <c r="CV1206" s="335">
        <f t="shared" si="314"/>
        <v>3.7282271534240046E-3</v>
      </c>
      <c r="CW1206" s="230">
        <f t="shared" si="312"/>
        <v>0</v>
      </c>
      <c r="CX1206" s="336" t="s">
        <v>539</v>
      </c>
      <c r="CY1206" s="230" t="s">
        <v>5921</v>
      </c>
    </row>
    <row r="1207" spans="1:103" ht="11.25" customHeight="1" x14ac:dyDescent="0.2">
      <c r="A1207" s="72">
        <v>1205</v>
      </c>
      <c r="B1207" s="224">
        <v>1513</v>
      </c>
      <c r="C1207" s="46" t="s">
        <v>7337</v>
      </c>
      <c r="D1207" s="46"/>
      <c r="E1207" s="114"/>
      <c r="F1207" s="114" t="s">
        <v>3728</v>
      </c>
      <c r="G1207" s="225">
        <v>1861401</v>
      </c>
      <c r="H1207" s="47" t="s">
        <v>3729</v>
      </c>
      <c r="I1207" s="47" t="s">
        <v>8075</v>
      </c>
      <c r="J1207" s="47" t="s">
        <v>3730</v>
      </c>
      <c r="K1207" s="47" t="s">
        <v>1011</v>
      </c>
      <c r="L1207" s="47" t="s">
        <v>6027</v>
      </c>
      <c r="M1207" s="47" t="s">
        <v>6088</v>
      </c>
      <c r="N1207" s="47"/>
      <c r="O1207" s="47" t="s">
        <v>6083</v>
      </c>
      <c r="P1207" s="53"/>
      <c r="Q1207" s="53"/>
      <c r="R1207" s="53"/>
      <c r="S1207" s="53"/>
      <c r="T1207" s="48">
        <v>335.28</v>
      </c>
      <c r="U1207" s="98">
        <v>2.9825817227392037E-4</v>
      </c>
      <c r="V1207" s="98">
        <v>6.877833452636603E-4</v>
      </c>
      <c r="W1207" s="98">
        <v>2.3442288153199191E-3</v>
      </c>
      <c r="X1207" s="98">
        <v>2.9825817227392037E-4</v>
      </c>
      <c r="Y1207" s="233">
        <v>7</v>
      </c>
      <c r="Z1207" s="48">
        <v>5.31</v>
      </c>
      <c r="AA1207" s="48">
        <v>5.29</v>
      </c>
      <c r="AB1207" s="48">
        <v>5.12</v>
      </c>
      <c r="AC1207" s="48">
        <v>0.84789999999999999</v>
      </c>
      <c r="AD1207" s="48">
        <v>5.19</v>
      </c>
      <c r="AE1207" s="48">
        <v>5.41</v>
      </c>
      <c r="AF1207" s="48">
        <f t="shared" si="316"/>
        <v>5.29</v>
      </c>
      <c r="AG1207" s="49">
        <v>3.67</v>
      </c>
      <c r="AH1207" s="98">
        <v>2.12E-4</v>
      </c>
      <c r="AI1207" s="98">
        <v>2.9100000000000003E-4</v>
      </c>
      <c r="AJ1207" s="483">
        <f t="shared" si="318"/>
        <v>-2.0622304653839003</v>
      </c>
      <c r="AK1207" s="483">
        <f t="shared" si="323"/>
        <v>-1.9246733373267444</v>
      </c>
      <c r="AL1207" s="483">
        <f t="shared" si="319"/>
        <v>-1.9246733373267444</v>
      </c>
      <c r="AM1207" s="483">
        <v>-9.2376700000000014</v>
      </c>
      <c r="AN1207" s="226">
        <v>-1.46</v>
      </c>
      <c r="AO1207" s="484"/>
      <c r="AP1207" s="484">
        <v>-0.59</v>
      </c>
      <c r="AQ1207" s="48" t="s">
        <v>6311</v>
      </c>
      <c r="AR1207" s="48" t="s">
        <v>6311</v>
      </c>
      <c r="AS1207" s="227"/>
      <c r="AT1207" s="50" t="s">
        <v>266</v>
      </c>
      <c r="AU1207" s="48">
        <v>6</v>
      </c>
      <c r="AV1207" s="48">
        <v>120</v>
      </c>
      <c r="AW1207" s="48">
        <v>114</v>
      </c>
      <c r="AX1207" s="48">
        <v>28</v>
      </c>
      <c r="AY1207" s="48" t="s">
        <v>8728</v>
      </c>
      <c r="AZ1207" s="48" t="s">
        <v>1563</v>
      </c>
      <c r="BA1207" s="48">
        <v>32</v>
      </c>
      <c r="BB1207" s="47" t="s">
        <v>2485</v>
      </c>
      <c r="BC1207" s="47" t="s">
        <v>8726</v>
      </c>
      <c r="BD1207" s="47" t="s">
        <v>8374</v>
      </c>
      <c r="BE1207" s="48" t="s">
        <v>2449</v>
      </c>
      <c r="BF1207" s="48" t="s">
        <v>272</v>
      </c>
      <c r="BG1207" s="48" t="s">
        <v>272</v>
      </c>
      <c r="BH1207" s="48" t="s">
        <v>2486</v>
      </c>
      <c r="BI1207" s="98">
        <v>6.3999999999999997E-6</v>
      </c>
      <c r="BJ1207" s="98">
        <v>6.4000000000000001E-2</v>
      </c>
      <c r="BK1207" s="48"/>
      <c r="BL1207" s="98">
        <f t="shared" si="315"/>
        <v>8.7476016937370422E-4</v>
      </c>
      <c r="BM1207" s="47" t="s">
        <v>2487</v>
      </c>
      <c r="BN1207" s="48"/>
      <c r="BO1207" s="48"/>
      <c r="BP1207" s="48"/>
      <c r="BQ1207" s="48"/>
      <c r="BR1207" s="47" t="s">
        <v>2496</v>
      </c>
      <c r="BS1207" s="48"/>
      <c r="BT1207" s="48"/>
      <c r="BU1207" s="228"/>
      <c r="BV1207" s="48"/>
      <c r="BW1207" s="48"/>
      <c r="BX1207" s="48"/>
      <c r="BY1207" s="48"/>
      <c r="BZ1207" s="48"/>
      <c r="CA1207" s="48"/>
      <c r="CB1207" s="48"/>
      <c r="CC1207" s="48"/>
      <c r="CD1207" s="48"/>
      <c r="CE1207" s="48"/>
      <c r="CF1207" s="48"/>
      <c r="CG1207" s="48"/>
      <c r="CH1207" s="48"/>
      <c r="CI1207" s="98"/>
      <c r="CJ1207" s="98"/>
      <c r="CK1207" s="49">
        <f t="shared" si="313"/>
        <v>1.3668127646464127E-2</v>
      </c>
      <c r="CL1207" s="229"/>
      <c r="CM1207" s="229"/>
      <c r="CN1207" s="229"/>
      <c r="CO1207" s="47" t="s">
        <v>2488</v>
      </c>
      <c r="CP1207" s="47" t="s">
        <v>2489</v>
      </c>
      <c r="CQ1207" s="224">
        <v>-3.1715520383419031</v>
      </c>
      <c r="CR1207" s="224">
        <f t="shared" si="322"/>
        <v>1484.4037346875641</v>
      </c>
      <c r="CS1207" s="230" t="s">
        <v>539</v>
      </c>
      <c r="CT1207" s="230"/>
      <c r="CU1207" s="230"/>
      <c r="CV1207" s="335">
        <f t="shared" si="314"/>
        <v>4.6602839417800059E-3</v>
      </c>
      <c r="CW1207" s="230">
        <f t="shared" si="312"/>
        <v>0</v>
      </c>
      <c r="CX1207" s="336"/>
      <c r="CY1207" s="230" t="s">
        <v>5921</v>
      </c>
    </row>
    <row r="1208" spans="1:103" ht="11.25" customHeight="1" x14ac:dyDescent="0.2">
      <c r="A1208" s="72">
        <v>1206</v>
      </c>
      <c r="B1208" s="224">
        <v>229</v>
      </c>
      <c r="C1208" s="46" t="s">
        <v>1574</v>
      </c>
      <c r="D1208" s="46"/>
      <c r="E1208" s="114"/>
      <c r="F1208" s="114" t="s">
        <v>1575</v>
      </c>
      <c r="G1208" s="225">
        <v>1912249</v>
      </c>
      <c r="H1208" s="47" t="s">
        <v>1576</v>
      </c>
      <c r="I1208" s="47" t="s">
        <v>8076</v>
      </c>
      <c r="J1208" s="47" t="s">
        <v>1577</v>
      </c>
      <c r="K1208" s="47" t="s">
        <v>940</v>
      </c>
      <c r="L1208" s="47" t="s">
        <v>6152</v>
      </c>
      <c r="M1208" s="47" t="s">
        <v>6082</v>
      </c>
      <c r="N1208" s="47" t="s">
        <v>6082</v>
      </c>
      <c r="O1208" s="47" t="s">
        <v>6083</v>
      </c>
      <c r="P1208" s="53"/>
      <c r="Q1208" s="53"/>
      <c r="R1208" s="53"/>
      <c r="S1208" s="53"/>
      <c r="T1208" s="48">
        <v>215.68</v>
      </c>
      <c r="U1208" s="98">
        <v>0.16088649851632048</v>
      </c>
      <c r="V1208" s="98">
        <v>0.99267433234421354</v>
      </c>
      <c r="W1208" s="98">
        <v>0.3235936569296281</v>
      </c>
      <c r="X1208" s="98">
        <v>0.16088649851632048</v>
      </c>
      <c r="Y1208" s="233">
        <v>7.03</v>
      </c>
      <c r="Z1208" s="48">
        <v>2.82</v>
      </c>
      <c r="AA1208" s="48">
        <v>2.61</v>
      </c>
      <c r="AB1208" s="48">
        <v>2.67</v>
      </c>
      <c r="AC1208" s="48">
        <v>0.91020000000000001</v>
      </c>
      <c r="AD1208" s="48">
        <v>2.66</v>
      </c>
      <c r="AE1208" s="48">
        <v>2.63</v>
      </c>
      <c r="AF1208" s="48">
        <f t="shared" si="316"/>
        <v>2.61</v>
      </c>
      <c r="AG1208" s="49">
        <v>2.41</v>
      </c>
      <c r="AH1208" s="98">
        <v>4.4699999999999997E-9</v>
      </c>
      <c r="AI1208" s="98">
        <v>2.3600000000000001E-9</v>
      </c>
      <c r="AJ1208" s="483">
        <f t="shared" si="318"/>
        <v>-6.7382588031807158</v>
      </c>
      <c r="AK1208" s="483">
        <f t="shared" si="323"/>
        <v>-7.0156543233425452</v>
      </c>
      <c r="AL1208" s="483">
        <f t="shared" si="319"/>
        <v>-7.0156543233425452</v>
      </c>
      <c r="AM1208" s="483">
        <v>-10.46622</v>
      </c>
      <c r="AN1208" s="226">
        <v>-8.32</v>
      </c>
      <c r="AO1208" s="484"/>
      <c r="AP1208" s="484">
        <v>2.27</v>
      </c>
      <c r="AQ1208" s="226" t="s">
        <v>6311</v>
      </c>
      <c r="AR1208" s="226" t="s">
        <v>6311</v>
      </c>
      <c r="AS1208" s="224" t="s">
        <v>6</v>
      </c>
      <c r="AT1208" s="50" t="s">
        <v>266</v>
      </c>
      <c r="AU1208" s="48">
        <v>8</v>
      </c>
      <c r="AV1208" s="48">
        <v>144</v>
      </c>
      <c r="AW1208" s="48">
        <v>120</v>
      </c>
      <c r="AX1208" s="48">
        <v>26</v>
      </c>
      <c r="AY1208" s="48" t="s">
        <v>267</v>
      </c>
      <c r="AZ1208" s="48" t="s">
        <v>2253</v>
      </c>
      <c r="BA1208" s="48">
        <v>3</v>
      </c>
      <c r="BB1208" s="47" t="s">
        <v>2254</v>
      </c>
      <c r="BC1208" s="47" t="s">
        <v>270</v>
      </c>
      <c r="BD1208" s="47" t="s">
        <v>8374</v>
      </c>
      <c r="BE1208" s="48" t="s">
        <v>1712</v>
      </c>
      <c r="BF1208" s="48" t="s">
        <v>272</v>
      </c>
      <c r="BG1208" s="48" t="s">
        <v>272</v>
      </c>
      <c r="BH1208" s="48" t="s">
        <v>2255</v>
      </c>
      <c r="BI1208" s="98">
        <v>9.9999999999999995E-7</v>
      </c>
      <c r="BJ1208" s="98">
        <v>0.08</v>
      </c>
      <c r="BK1208" s="48"/>
      <c r="BL1208" s="98">
        <f t="shared" si="315"/>
        <v>0.15071552822770298</v>
      </c>
      <c r="BM1208" s="48" t="s">
        <v>891</v>
      </c>
      <c r="BN1208" s="233"/>
      <c r="BO1208" s="233"/>
      <c r="BP1208" s="233"/>
      <c r="BQ1208" s="233"/>
      <c r="BR1208" s="233"/>
      <c r="BS1208" s="48"/>
      <c r="BT1208" s="233"/>
      <c r="BU1208" s="228"/>
      <c r="BV1208" s="233"/>
      <c r="BW1208" s="233"/>
      <c r="BX1208" s="233"/>
      <c r="BY1208" s="233"/>
      <c r="BZ1208" s="233"/>
      <c r="CA1208" s="233"/>
      <c r="CB1208" s="233"/>
      <c r="CC1208" s="48"/>
      <c r="CD1208" s="48"/>
      <c r="CE1208" s="48"/>
      <c r="CF1208" s="48"/>
      <c r="CG1208" s="233"/>
      <c r="CH1208" s="48"/>
      <c r="CI1208" s="98"/>
      <c r="CJ1208" s="98"/>
      <c r="CK1208" s="49">
        <f t="shared" si="313"/>
        <v>1.8839441028462873</v>
      </c>
      <c r="CL1208" s="229"/>
      <c r="CM1208" s="229">
        <v>-1.3009357260238847</v>
      </c>
      <c r="CN1208" s="229">
        <f>BJ1208/(10^CM1208)</f>
        <v>1.5996527355018391</v>
      </c>
      <c r="CO1208" s="47" t="s">
        <v>892</v>
      </c>
      <c r="CP1208" s="47" t="s">
        <v>893</v>
      </c>
      <c r="CQ1208" s="224">
        <v>-1.1103572322397883</v>
      </c>
      <c r="CR1208" s="224">
        <f t="shared" si="322"/>
        <v>12.893096471263398</v>
      </c>
      <c r="CS1208" s="230" t="s">
        <v>539</v>
      </c>
      <c r="CT1208" s="230"/>
      <c r="CU1208" s="230"/>
      <c r="CV1208" s="335">
        <f t="shared" si="314"/>
        <v>2.0110812314540061</v>
      </c>
      <c r="CW1208" s="230">
        <f t="shared" si="312"/>
        <v>1</v>
      </c>
      <c r="CX1208" s="336" t="s">
        <v>539</v>
      </c>
      <c r="CY1208" s="230" t="s">
        <v>6351</v>
      </c>
    </row>
    <row r="1209" spans="1:103" ht="11.25" customHeight="1" x14ac:dyDescent="0.2">
      <c r="A1209" s="72">
        <v>1207</v>
      </c>
      <c r="B1209" s="224">
        <v>1508</v>
      </c>
      <c r="C1209" s="46" t="s">
        <v>1574</v>
      </c>
      <c r="D1209" s="46"/>
      <c r="E1209" s="114"/>
      <c r="F1209" s="114" t="s">
        <v>1575</v>
      </c>
      <c r="G1209" s="225">
        <v>1912249</v>
      </c>
      <c r="H1209" s="47" t="s">
        <v>1576</v>
      </c>
      <c r="I1209" s="47" t="s">
        <v>8076</v>
      </c>
      <c r="J1209" s="47" t="s">
        <v>1577</v>
      </c>
      <c r="K1209" s="47" t="s">
        <v>940</v>
      </c>
      <c r="L1209" s="47" t="s">
        <v>6152</v>
      </c>
      <c r="M1209" s="47" t="s">
        <v>6082</v>
      </c>
      <c r="N1209" s="47" t="s">
        <v>6082</v>
      </c>
      <c r="O1209" s="47" t="s">
        <v>6083</v>
      </c>
      <c r="P1209" s="53"/>
      <c r="Q1209" s="53"/>
      <c r="R1209" s="53"/>
      <c r="S1209" s="53"/>
      <c r="T1209" s="48">
        <v>215.68</v>
      </c>
      <c r="U1209" s="98">
        <v>0.16088649851632048</v>
      </c>
      <c r="V1209" s="98">
        <v>0.99267433234421354</v>
      </c>
      <c r="W1209" s="98">
        <v>0.3235936569296281</v>
      </c>
      <c r="X1209" s="98">
        <v>0.16088649851632048</v>
      </c>
      <c r="Y1209" s="233">
        <v>7.03</v>
      </c>
      <c r="Z1209" s="48">
        <v>2.82</v>
      </c>
      <c r="AA1209" s="48">
        <v>2.61</v>
      </c>
      <c r="AB1209" s="48">
        <v>2.67</v>
      </c>
      <c r="AC1209" s="48">
        <v>0.91020000000000001</v>
      </c>
      <c r="AD1209" s="48">
        <v>2.66</v>
      </c>
      <c r="AE1209" s="48">
        <v>2.63</v>
      </c>
      <c r="AF1209" s="48">
        <f t="shared" si="316"/>
        <v>2.61</v>
      </c>
      <c r="AG1209" s="49">
        <v>2.41</v>
      </c>
      <c r="AH1209" s="98">
        <v>4.4699999999999997E-9</v>
      </c>
      <c r="AI1209" s="98">
        <v>2.3600000000000001E-9</v>
      </c>
      <c r="AJ1209" s="483">
        <f t="shared" si="318"/>
        <v>-6.7382588031807158</v>
      </c>
      <c r="AK1209" s="483">
        <f t="shared" si="323"/>
        <v>-7.0156543233425452</v>
      </c>
      <c r="AL1209" s="483">
        <f t="shared" si="319"/>
        <v>-7.0156543233425452</v>
      </c>
      <c r="AM1209" s="483">
        <v>-10.46622</v>
      </c>
      <c r="AN1209" s="226">
        <v>-8.32</v>
      </c>
      <c r="AO1209" s="484"/>
      <c r="AP1209" s="484">
        <v>2.27</v>
      </c>
      <c r="AQ1209" s="48" t="s">
        <v>6311</v>
      </c>
      <c r="AR1209" s="48" t="s">
        <v>6311</v>
      </c>
      <c r="AS1209" s="227"/>
      <c r="AT1209" s="50" t="s">
        <v>266</v>
      </c>
      <c r="AU1209" s="48">
        <v>6</v>
      </c>
      <c r="AV1209" s="48">
        <v>120</v>
      </c>
      <c r="AW1209" s="48">
        <v>114</v>
      </c>
      <c r="AX1209" s="48">
        <v>28</v>
      </c>
      <c r="AY1209" s="48" t="s">
        <v>8728</v>
      </c>
      <c r="AZ1209" s="48" t="s">
        <v>1563</v>
      </c>
      <c r="BA1209" s="48">
        <v>32</v>
      </c>
      <c r="BB1209" s="47" t="s">
        <v>2485</v>
      </c>
      <c r="BC1209" s="47" t="s">
        <v>8726</v>
      </c>
      <c r="BD1209" s="47" t="s">
        <v>8374</v>
      </c>
      <c r="BE1209" s="48" t="s">
        <v>2449</v>
      </c>
      <c r="BF1209" s="48" t="s">
        <v>272</v>
      </c>
      <c r="BG1209" s="48" t="s">
        <v>272</v>
      </c>
      <c r="BH1209" s="48" t="s">
        <v>2486</v>
      </c>
      <c r="BI1209" s="98">
        <v>6.3999999999999997E-6</v>
      </c>
      <c r="BJ1209" s="98">
        <v>6.4000000000000001E-2</v>
      </c>
      <c r="BK1209" s="48"/>
      <c r="BL1209" s="98">
        <f t="shared" si="315"/>
        <v>0.15071552822770298</v>
      </c>
      <c r="BM1209" s="47" t="s">
        <v>2487</v>
      </c>
      <c r="BN1209" s="48"/>
      <c r="BO1209" s="48"/>
      <c r="BP1209" s="48"/>
      <c r="BQ1209" s="48"/>
      <c r="BR1209" s="47" t="s">
        <v>2496</v>
      </c>
      <c r="BS1209" s="48"/>
      <c r="BT1209" s="48"/>
      <c r="BU1209" s="228"/>
      <c r="BV1209" s="48"/>
      <c r="BW1209" s="48"/>
      <c r="BX1209" s="48"/>
      <c r="BY1209" s="48"/>
      <c r="BZ1209" s="48"/>
      <c r="CA1209" s="48"/>
      <c r="CB1209" s="48"/>
      <c r="CC1209" s="48"/>
      <c r="CD1209" s="48"/>
      <c r="CE1209" s="48"/>
      <c r="CF1209" s="48"/>
      <c r="CG1209" s="48"/>
      <c r="CH1209" s="48"/>
      <c r="CI1209" s="98"/>
      <c r="CJ1209" s="98"/>
      <c r="CK1209" s="49">
        <f t="shared" si="313"/>
        <v>2.354930128557859</v>
      </c>
      <c r="CL1209" s="229"/>
      <c r="CM1209" s="229">
        <v>-1.3009357260238847</v>
      </c>
      <c r="CN1209" s="229">
        <f>BJ1209/(10^CM1209)</f>
        <v>1.2797221884014713</v>
      </c>
      <c r="CO1209" s="47" t="s">
        <v>2488</v>
      </c>
      <c r="CP1209" s="47" t="s">
        <v>2489</v>
      </c>
      <c r="CQ1209" s="224">
        <v>-1.1103572322397883</v>
      </c>
      <c r="CR1209" s="224">
        <f t="shared" si="322"/>
        <v>12.893096471263398</v>
      </c>
      <c r="CS1209" s="230" t="s">
        <v>539</v>
      </c>
      <c r="CT1209" s="230"/>
      <c r="CU1209" s="230"/>
      <c r="CV1209" s="335">
        <f t="shared" si="314"/>
        <v>2.5138515393175074</v>
      </c>
      <c r="CW1209" s="230">
        <f t="shared" si="312"/>
        <v>1</v>
      </c>
      <c r="CX1209" s="336"/>
      <c r="CY1209" s="230" t="s">
        <v>6351</v>
      </c>
    </row>
    <row r="1210" spans="1:103" ht="11.25" customHeight="1" x14ac:dyDescent="0.2">
      <c r="A1210" s="72">
        <v>1208</v>
      </c>
      <c r="B1210" s="224">
        <v>280</v>
      </c>
      <c r="C1210" s="46" t="s">
        <v>7338</v>
      </c>
      <c r="D1210" s="46"/>
      <c r="E1210" s="114"/>
      <c r="F1210" s="114" t="s">
        <v>3802</v>
      </c>
      <c r="G1210" s="225">
        <v>1918009</v>
      </c>
      <c r="H1210" s="47" t="s">
        <v>3803</v>
      </c>
      <c r="I1210" s="47" t="s">
        <v>8077</v>
      </c>
      <c r="J1210" s="47" t="s">
        <v>3804</v>
      </c>
      <c r="K1210" s="47" t="s">
        <v>426</v>
      </c>
      <c r="L1210" s="47" t="s">
        <v>6032</v>
      </c>
      <c r="M1210" s="47" t="s">
        <v>8487</v>
      </c>
      <c r="N1210" s="47"/>
      <c r="O1210" s="47"/>
      <c r="P1210" s="53"/>
      <c r="Q1210" s="53"/>
      <c r="R1210" s="53"/>
      <c r="S1210" s="53"/>
      <c r="T1210" s="48">
        <v>221.04</v>
      </c>
      <c r="U1210" s="98">
        <v>37.595005428881649</v>
      </c>
      <c r="V1210" s="98">
        <v>1.9928519724936664</v>
      </c>
      <c r="W1210" s="98">
        <v>2.9512092266663865</v>
      </c>
      <c r="X1210" s="98">
        <v>37.595005428881649</v>
      </c>
      <c r="Y1210" s="233">
        <v>2.71</v>
      </c>
      <c r="Z1210" s="48">
        <v>2.14</v>
      </c>
      <c r="AA1210" s="48">
        <v>2.21</v>
      </c>
      <c r="AB1210" s="48">
        <v>2.79</v>
      </c>
      <c r="AC1210" s="48">
        <v>0.84530000000000005</v>
      </c>
      <c r="AD1210" s="48">
        <v>2.78</v>
      </c>
      <c r="AE1210" s="48">
        <v>2.75</v>
      </c>
      <c r="AF1210" s="48">
        <f t="shared" si="316"/>
        <v>2.21</v>
      </c>
      <c r="AG1210" s="49">
        <v>2.76</v>
      </c>
      <c r="AH1210" s="98">
        <v>3.5199999999999998E-9</v>
      </c>
      <c r="AI1210" s="98">
        <v>2.1799999999999999E-9</v>
      </c>
      <c r="AJ1210" s="483">
        <f t="shared" si="318"/>
        <v>-6.8420236628345208</v>
      </c>
      <c r="AK1210" s="483">
        <f t="shared" si="323"/>
        <v>-7.0501098327080474</v>
      </c>
      <c r="AL1210" s="483">
        <f t="shared" si="319"/>
        <v>-7.0501098327080474</v>
      </c>
      <c r="AM1210" s="483">
        <v>-9.9556700000000014</v>
      </c>
      <c r="AN1210" s="226">
        <v>-6.49</v>
      </c>
      <c r="AO1210" s="484">
        <v>2.4</v>
      </c>
      <c r="AP1210" s="484"/>
      <c r="AQ1210" s="226" t="s">
        <v>6311</v>
      </c>
      <c r="AR1210" s="226" t="s">
        <v>6311</v>
      </c>
      <c r="AS1210" s="224" t="s">
        <v>6</v>
      </c>
      <c r="AT1210" s="50" t="s">
        <v>266</v>
      </c>
      <c r="AU1210" s="48">
        <v>8</v>
      </c>
      <c r="AV1210" s="48">
        <v>144</v>
      </c>
      <c r="AW1210" s="48">
        <v>120</v>
      </c>
      <c r="AX1210" s="48">
        <v>26</v>
      </c>
      <c r="AY1210" s="48" t="s">
        <v>267</v>
      </c>
      <c r="AZ1210" s="48" t="s">
        <v>2253</v>
      </c>
      <c r="BA1210" s="48">
        <v>2</v>
      </c>
      <c r="BB1210" s="47" t="s">
        <v>2254</v>
      </c>
      <c r="BC1210" s="47" t="s">
        <v>270</v>
      </c>
      <c r="BD1210" s="47" t="s">
        <v>8374</v>
      </c>
      <c r="BE1210" s="48" t="s">
        <v>1712</v>
      </c>
      <c r="BF1210" s="48" t="s">
        <v>272</v>
      </c>
      <c r="BG1210" s="48" t="s">
        <v>272</v>
      </c>
      <c r="BH1210" s="48" t="s">
        <v>2255</v>
      </c>
      <c r="BI1210" s="98">
        <v>9.9999999999999995E-7</v>
      </c>
      <c r="BJ1210" s="98">
        <v>0.08</v>
      </c>
      <c r="BK1210" s="48"/>
      <c r="BL1210" s="98">
        <f t="shared" si="315"/>
        <v>0.61498709137859531</v>
      </c>
      <c r="BM1210" s="48" t="s">
        <v>891</v>
      </c>
      <c r="BN1210" s="233"/>
      <c r="BO1210" s="233"/>
      <c r="BP1210" s="233"/>
      <c r="BQ1210" s="233"/>
      <c r="BR1210" s="233"/>
      <c r="BS1210" s="48"/>
      <c r="BT1210" s="233"/>
      <c r="BU1210" s="228"/>
      <c r="BV1210" s="233"/>
      <c r="BW1210" s="233"/>
      <c r="BX1210" s="233"/>
      <c r="BY1210" s="233"/>
      <c r="BZ1210" s="233"/>
      <c r="CA1210" s="233"/>
      <c r="CB1210" s="233"/>
      <c r="CC1210" s="48"/>
      <c r="CD1210" s="48"/>
      <c r="CE1210" s="48"/>
      <c r="CF1210" s="48"/>
      <c r="CG1210" s="233"/>
      <c r="CH1210" s="48"/>
      <c r="CI1210" s="98"/>
      <c r="CJ1210" s="98"/>
      <c r="CK1210" s="49">
        <f t="shared" si="313"/>
        <v>7.687338642232441</v>
      </c>
      <c r="CL1210" s="229"/>
      <c r="CM1210" s="229"/>
      <c r="CN1210" s="229"/>
      <c r="CO1210" s="47" t="s">
        <v>892</v>
      </c>
      <c r="CP1210" s="47" t="s">
        <v>893</v>
      </c>
      <c r="CQ1210" s="224">
        <v>-0.37134162212099736</v>
      </c>
      <c r="CR1210" s="224">
        <f t="shared" si="322"/>
        <v>2.3514818020495842</v>
      </c>
      <c r="CS1210" s="230" t="s">
        <v>539</v>
      </c>
      <c r="CT1210" s="230"/>
      <c r="CU1210" s="230"/>
      <c r="CV1210" s="335">
        <f t="shared" si="314"/>
        <v>469.93756786102063</v>
      </c>
      <c r="CW1210" s="230">
        <f t="shared" si="312"/>
        <v>1</v>
      </c>
      <c r="CX1210" s="336" t="s">
        <v>539</v>
      </c>
      <c r="CY1210" s="230" t="s">
        <v>5921</v>
      </c>
    </row>
    <row r="1211" spans="1:103" ht="11.25" customHeight="1" x14ac:dyDescent="0.2">
      <c r="A1211" s="72">
        <v>1209</v>
      </c>
      <c r="B1211" s="224">
        <v>1594</v>
      </c>
      <c r="C1211" s="46" t="s">
        <v>7338</v>
      </c>
      <c r="D1211" s="46"/>
      <c r="E1211" s="114"/>
      <c r="F1211" s="114" t="s">
        <v>3802</v>
      </c>
      <c r="G1211" s="225">
        <v>1918009</v>
      </c>
      <c r="H1211" s="47" t="s">
        <v>3803</v>
      </c>
      <c r="I1211" s="47" t="s">
        <v>8077</v>
      </c>
      <c r="J1211" s="47" t="s">
        <v>3804</v>
      </c>
      <c r="K1211" s="47" t="s">
        <v>426</v>
      </c>
      <c r="L1211" s="47" t="s">
        <v>6032</v>
      </c>
      <c r="M1211" s="47" t="s">
        <v>8487</v>
      </c>
      <c r="N1211" s="47"/>
      <c r="O1211" s="47"/>
      <c r="P1211" s="53"/>
      <c r="Q1211" s="53"/>
      <c r="R1211" s="53"/>
      <c r="S1211" s="53"/>
      <c r="T1211" s="48">
        <v>221.04</v>
      </c>
      <c r="U1211" s="98">
        <v>37.595005428881649</v>
      </c>
      <c r="V1211" s="98">
        <v>1.9928519724936664</v>
      </c>
      <c r="W1211" s="98">
        <v>2.9512092266663865</v>
      </c>
      <c r="X1211" s="98">
        <v>37.595005428881649</v>
      </c>
      <c r="Y1211" s="233">
        <v>2.71</v>
      </c>
      <c r="Z1211" s="48">
        <v>2.14</v>
      </c>
      <c r="AA1211" s="48">
        <v>2.21</v>
      </c>
      <c r="AB1211" s="48">
        <v>2.79</v>
      </c>
      <c r="AC1211" s="48">
        <v>0.84530000000000005</v>
      </c>
      <c r="AD1211" s="48">
        <v>2.78</v>
      </c>
      <c r="AE1211" s="48">
        <v>2.75</v>
      </c>
      <c r="AF1211" s="48">
        <f t="shared" si="316"/>
        <v>2.21</v>
      </c>
      <c r="AG1211" s="49">
        <v>2.76</v>
      </c>
      <c r="AH1211" s="98">
        <v>3.5199999999999998E-9</v>
      </c>
      <c r="AI1211" s="98">
        <v>2.1799999999999999E-9</v>
      </c>
      <c r="AJ1211" s="483">
        <f t="shared" si="318"/>
        <v>-6.8420236628345208</v>
      </c>
      <c r="AK1211" s="483">
        <f t="shared" si="323"/>
        <v>-7.0501098327080474</v>
      </c>
      <c r="AL1211" s="483">
        <f t="shared" si="319"/>
        <v>-7.0501098327080474</v>
      </c>
      <c r="AM1211" s="483">
        <v>-9.9556700000000014</v>
      </c>
      <c r="AN1211" s="226">
        <v>-6.49</v>
      </c>
      <c r="AO1211" s="484">
        <v>2.4</v>
      </c>
      <c r="AP1211" s="484"/>
      <c r="AQ1211" s="48" t="s">
        <v>6311</v>
      </c>
      <c r="AR1211" s="48" t="s">
        <v>6311</v>
      </c>
      <c r="AS1211" s="227"/>
      <c r="AT1211" s="50" t="s">
        <v>266</v>
      </c>
      <c r="AU1211" s="48">
        <v>6</v>
      </c>
      <c r="AV1211" s="48">
        <v>120</v>
      </c>
      <c r="AW1211" s="48">
        <v>114</v>
      </c>
      <c r="AX1211" s="48">
        <v>28</v>
      </c>
      <c r="AY1211" s="48" t="s">
        <v>8728</v>
      </c>
      <c r="AZ1211" s="48" t="s">
        <v>1563</v>
      </c>
      <c r="BA1211" s="48">
        <v>32</v>
      </c>
      <c r="BB1211" s="47" t="s">
        <v>2485</v>
      </c>
      <c r="BC1211" s="47" t="s">
        <v>8726</v>
      </c>
      <c r="BD1211" s="47" t="s">
        <v>8374</v>
      </c>
      <c r="BE1211" s="48" t="s">
        <v>2449</v>
      </c>
      <c r="BF1211" s="48" t="s">
        <v>272</v>
      </c>
      <c r="BG1211" s="48" t="s">
        <v>272</v>
      </c>
      <c r="BH1211" s="48" t="s">
        <v>2486</v>
      </c>
      <c r="BI1211" s="98">
        <v>6.3999999999999997E-6</v>
      </c>
      <c r="BJ1211" s="98">
        <v>6.4000000000000001E-2</v>
      </c>
      <c r="BK1211" s="48"/>
      <c r="BL1211" s="98">
        <f t="shared" si="315"/>
        <v>0.61498709137859531</v>
      </c>
      <c r="BM1211" s="47" t="s">
        <v>2487</v>
      </c>
      <c r="BN1211" s="48"/>
      <c r="BO1211" s="48"/>
      <c r="BP1211" s="48"/>
      <c r="BQ1211" s="48"/>
      <c r="BR1211" s="47" t="s">
        <v>2496</v>
      </c>
      <c r="BS1211" s="48"/>
      <c r="BT1211" s="48"/>
      <c r="BU1211" s="228"/>
      <c r="BV1211" s="48"/>
      <c r="BW1211" s="48"/>
      <c r="BX1211" s="48"/>
      <c r="BY1211" s="48"/>
      <c r="BZ1211" s="48"/>
      <c r="CA1211" s="48"/>
      <c r="CB1211" s="48"/>
      <c r="CC1211" s="48"/>
      <c r="CD1211" s="48"/>
      <c r="CE1211" s="48"/>
      <c r="CF1211" s="48"/>
      <c r="CG1211" s="48"/>
      <c r="CH1211" s="48"/>
      <c r="CI1211" s="98"/>
      <c r="CJ1211" s="98"/>
      <c r="CK1211" s="49">
        <f t="shared" si="313"/>
        <v>9.6091733027905519</v>
      </c>
      <c r="CL1211" s="229"/>
      <c r="CM1211" s="229"/>
      <c r="CN1211" s="229"/>
      <c r="CO1211" s="47" t="s">
        <v>2488</v>
      </c>
      <c r="CP1211" s="47" t="s">
        <v>2489</v>
      </c>
      <c r="CQ1211" s="224">
        <v>-0.37134162212099736</v>
      </c>
      <c r="CR1211" s="224">
        <f t="shared" si="322"/>
        <v>2.3514818020495842</v>
      </c>
      <c r="CS1211" s="230" t="s">
        <v>539</v>
      </c>
      <c r="CT1211" s="230"/>
      <c r="CU1211" s="230"/>
      <c r="CV1211" s="335">
        <f t="shared" si="314"/>
        <v>587.42195982627572</v>
      </c>
      <c r="CW1211" s="230">
        <f t="shared" si="312"/>
        <v>1</v>
      </c>
      <c r="CX1211" s="336"/>
      <c r="CY1211" s="230" t="s">
        <v>5921</v>
      </c>
    </row>
    <row r="1212" spans="1:103" ht="11.25" customHeight="1" x14ac:dyDescent="0.2">
      <c r="A1212" s="72">
        <v>1210</v>
      </c>
      <c r="B1212" s="224">
        <v>433</v>
      </c>
      <c r="C1212" s="46" t="s">
        <v>2451</v>
      </c>
      <c r="D1212" s="46"/>
      <c r="E1212" s="114"/>
      <c r="F1212" s="114" t="s">
        <v>3979</v>
      </c>
      <c r="G1212" s="225">
        <v>1918021</v>
      </c>
      <c r="H1212" s="47" t="s">
        <v>2452</v>
      </c>
      <c r="I1212" s="47" t="s">
        <v>8078</v>
      </c>
      <c r="J1212" s="47" t="s">
        <v>2453</v>
      </c>
      <c r="K1212" s="47" t="s">
        <v>2454</v>
      </c>
      <c r="L1212" s="47" t="s">
        <v>6033</v>
      </c>
      <c r="M1212" s="47" t="s">
        <v>3980</v>
      </c>
      <c r="N1212" s="47" t="s">
        <v>6385</v>
      </c>
      <c r="O1212" s="47" t="s">
        <v>1630</v>
      </c>
      <c r="P1212" s="53" t="s">
        <v>6178</v>
      </c>
      <c r="Q1212" s="53" t="s">
        <v>6173</v>
      </c>
      <c r="R1212" s="53" t="s">
        <v>6181</v>
      </c>
      <c r="S1212" s="53" t="s">
        <v>6176</v>
      </c>
      <c r="T1212" s="48">
        <v>241.46</v>
      </c>
      <c r="U1212" s="98">
        <v>1.7808332643087881</v>
      </c>
      <c r="V1212" s="98">
        <v>2.6033297440569867</v>
      </c>
      <c r="W1212" s="98">
        <v>3.090295432513591</v>
      </c>
      <c r="X1212" s="98">
        <v>1.7808332643087881</v>
      </c>
      <c r="Y1212" s="233">
        <v>2.6</v>
      </c>
      <c r="Z1212" s="48">
        <v>1.36</v>
      </c>
      <c r="AA1212" s="48">
        <v>1.9</v>
      </c>
      <c r="AB1212" s="48">
        <v>2.4500000000000002</v>
      </c>
      <c r="AC1212" s="48">
        <v>0.79590000000000005</v>
      </c>
      <c r="AD1212" s="48">
        <v>2.59</v>
      </c>
      <c r="AE1212" s="48">
        <v>2.94</v>
      </c>
      <c r="AF1212" s="48">
        <f t="shared" si="316"/>
        <v>1.9</v>
      </c>
      <c r="AG1212" s="49">
        <v>2.25</v>
      </c>
      <c r="AH1212" s="98">
        <v>1.29E-12</v>
      </c>
      <c r="AI1212" s="98">
        <v>5.3299999999999998E-14</v>
      </c>
      <c r="AJ1212" s="483">
        <f t="shared" si="318"/>
        <v>-10.277976616013403</v>
      </c>
      <c r="AK1212" s="483">
        <f t="shared" si="323"/>
        <v>-11.66183911728608</v>
      </c>
      <c r="AL1212" s="483">
        <f t="shared" si="319"/>
        <v>-11.66183911728608</v>
      </c>
      <c r="AM1212" s="483">
        <v>-14.922219999999998</v>
      </c>
      <c r="AN1212" s="226">
        <v>-8.65</v>
      </c>
      <c r="AO1212" s="484">
        <v>1.93</v>
      </c>
      <c r="AP1212" s="484">
        <v>-4.34</v>
      </c>
      <c r="AQ1212" s="226" t="s">
        <v>5921</v>
      </c>
      <c r="AR1212" s="226" t="s">
        <v>5921</v>
      </c>
      <c r="AS1212" s="224" t="s">
        <v>6</v>
      </c>
      <c r="AT1212" s="50" t="s">
        <v>266</v>
      </c>
      <c r="AU1212" s="48">
        <v>8</v>
      </c>
      <c r="AV1212" s="48">
        <v>144</v>
      </c>
      <c r="AW1212" s="48">
        <v>120</v>
      </c>
      <c r="AX1212" s="48">
        <v>26</v>
      </c>
      <c r="AY1212" s="48" t="s">
        <v>267</v>
      </c>
      <c r="AZ1212" s="48" t="s">
        <v>2253</v>
      </c>
      <c r="BA1212" s="48">
        <v>3</v>
      </c>
      <c r="BB1212" s="47" t="s">
        <v>2254</v>
      </c>
      <c r="BC1212" s="47" t="s">
        <v>270</v>
      </c>
      <c r="BD1212" s="47" t="s">
        <v>8374</v>
      </c>
      <c r="BE1212" s="48" t="s">
        <v>1712</v>
      </c>
      <c r="BF1212" s="48" t="s">
        <v>272</v>
      </c>
      <c r="BG1212" s="48" t="s">
        <v>272</v>
      </c>
      <c r="BH1212" s="48" t="s">
        <v>2255</v>
      </c>
      <c r="BI1212" s="98">
        <v>9.9999999999999995E-7</v>
      </c>
      <c r="BJ1212" s="98">
        <v>0.08</v>
      </c>
      <c r="BK1212" s="48"/>
      <c r="BL1212" s="98">
        <f t="shared" si="315"/>
        <v>3.0859152880211576</v>
      </c>
      <c r="BM1212" s="48" t="s">
        <v>891</v>
      </c>
      <c r="BN1212" s="233"/>
      <c r="BO1212" s="233"/>
      <c r="BP1212" s="233"/>
      <c r="BQ1212" s="233"/>
      <c r="BR1212" s="233"/>
      <c r="BS1212" s="48"/>
      <c r="BT1212" s="233"/>
      <c r="BU1212" s="228"/>
      <c r="BV1212" s="233"/>
      <c r="BW1212" s="233"/>
      <c r="BX1212" s="233"/>
      <c r="BY1212" s="233"/>
      <c r="BZ1212" s="233"/>
      <c r="CA1212" s="233"/>
      <c r="CB1212" s="233"/>
      <c r="CC1212" s="48"/>
      <c r="CD1212" s="48"/>
      <c r="CE1212" s="48"/>
      <c r="CF1212" s="48"/>
      <c r="CG1212" s="233"/>
      <c r="CH1212" s="48"/>
      <c r="CI1212" s="98"/>
      <c r="CJ1212" s="98"/>
      <c r="CK1212" s="49">
        <f t="shared" si="313"/>
        <v>38.57394110026447</v>
      </c>
      <c r="CL1212" s="229"/>
      <c r="CM1212" s="229">
        <v>-1.2641169681570619</v>
      </c>
      <c r="CN1212" s="229">
        <f>BJ1212/(10^CM1212)</f>
        <v>1.4696264345975647</v>
      </c>
      <c r="CO1212" s="47" t="s">
        <v>892</v>
      </c>
      <c r="CP1212" s="47" t="s">
        <v>893</v>
      </c>
      <c r="CQ1212" s="224">
        <v>-1.0683292369816395</v>
      </c>
      <c r="CR1212" s="224">
        <f t="shared" si="322"/>
        <v>11.703863201706428</v>
      </c>
      <c r="CS1212" s="230" t="s">
        <v>539</v>
      </c>
      <c r="CT1212" s="230"/>
      <c r="CU1212" s="230"/>
      <c r="CV1212" s="335">
        <f t="shared" si="314"/>
        <v>22.26041580385985</v>
      </c>
      <c r="CW1212" s="230">
        <f t="shared" si="312"/>
        <v>1</v>
      </c>
      <c r="CX1212" s="336" t="s">
        <v>539</v>
      </c>
      <c r="CY1212" s="230" t="s">
        <v>5921</v>
      </c>
    </row>
    <row r="1213" spans="1:103" ht="11.25" customHeight="1" x14ac:dyDescent="0.2">
      <c r="A1213" s="72">
        <v>1211</v>
      </c>
      <c r="B1213" s="224">
        <v>1820</v>
      </c>
      <c r="C1213" s="46" t="s">
        <v>2451</v>
      </c>
      <c r="D1213" s="46"/>
      <c r="E1213" s="114"/>
      <c r="F1213" s="114" t="s">
        <v>3979</v>
      </c>
      <c r="G1213" s="225">
        <v>1918021</v>
      </c>
      <c r="H1213" s="47" t="s">
        <v>2452</v>
      </c>
      <c r="I1213" s="47" t="s">
        <v>8078</v>
      </c>
      <c r="J1213" s="47" t="s">
        <v>2453</v>
      </c>
      <c r="K1213" s="47" t="s">
        <v>2454</v>
      </c>
      <c r="L1213" s="47" t="s">
        <v>6033</v>
      </c>
      <c r="M1213" s="47" t="s">
        <v>3980</v>
      </c>
      <c r="N1213" s="47" t="s">
        <v>6385</v>
      </c>
      <c r="O1213" s="47" t="s">
        <v>1630</v>
      </c>
      <c r="P1213" s="53"/>
      <c r="Q1213" s="53"/>
      <c r="R1213" s="53"/>
      <c r="S1213" s="53"/>
      <c r="T1213" s="48">
        <v>241.46</v>
      </c>
      <c r="U1213" s="98">
        <v>1.7808332643087881</v>
      </c>
      <c r="V1213" s="98">
        <v>2.6033297440569867</v>
      </c>
      <c r="W1213" s="98">
        <v>3.090295432513591</v>
      </c>
      <c r="X1213" s="98">
        <v>1.7808332643087881</v>
      </c>
      <c r="Y1213" s="233">
        <v>2.6</v>
      </c>
      <c r="Z1213" s="48">
        <v>1.36</v>
      </c>
      <c r="AA1213" s="48">
        <v>1.9</v>
      </c>
      <c r="AB1213" s="48">
        <v>2.4500000000000002</v>
      </c>
      <c r="AC1213" s="48">
        <v>0.79590000000000005</v>
      </c>
      <c r="AD1213" s="48">
        <v>2.59</v>
      </c>
      <c r="AE1213" s="48">
        <v>2.94</v>
      </c>
      <c r="AF1213" s="48">
        <f t="shared" si="316"/>
        <v>1.9</v>
      </c>
      <c r="AG1213" s="49">
        <v>2.25</v>
      </c>
      <c r="AH1213" s="98">
        <v>1.29E-12</v>
      </c>
      <c r="AI1213" s="98">
        <v>5.3299999999999998E-14</v>
      </c>
      <c r="AJ1213" s="483">
        <f t="shared" si="318"/>
        <v>-10.277976616013403</v>
      </c>
      <c r="AK1213" s="483">
        <f t="shared" si="323"/>
        <v>-11.66183911728608</v>
      </c>
      <c r="AL1213" s="483">
        <f t="shared" si="319"/>
        <v>-11.66183911728608</v>
      </c>
      <c r="AM1213" s="483">
        <v>-14.922219999999998</v>
      </c>
      <c r="AN1213" s="226">
        <v>-8.65</v>
      </c>
      <c r="AO1213" s="484">
        <v>1.93</v>
      </c>
      <c r="AP1213" s="484">
        <v>-4.34</v>
      </c>
      <c r="AQ1213" s="226" t="s">
        <v>5921</v>
      </c>
      <c r="AR1213" s="226" t="s">
        <v>5921</v>
      </c>
      <c r="AS1213" s="224"/>
      <c r="AT1213" s="50" t="s">
        <v>266</v>
      </c>
      <c r="AU1213" s="48">
        <v>6</v>
      </c>
      <c r="AV1213" s="48">
        <v>120</v>
      </c>
      <c r="AW1213" s="48">
        <v>114</v>
      </c>
      <c r="AX1213" s="48">
        <v>28</v>
      </c>
      <c r="AY1213" s="48" t="s">
        <v>8728</v>
      </c>
      <c r="AZ1213" s="48" t="s">
        <v>1563</v>
      </c>
      <c r="BA1213" s="48">
        <v>32</v>
      </c>
      <c r="BB1213" s="47" t="s">
        <v>2485</v>
      </c>
      <c r="BC1213" s="47" t="s">
        <v>8726</v>
      </c>
      <c r="BD1213" s="47" t="s">
        <v>8374</v>
      </c>
      <c r="BE1213" s="48" t="s">
        <v>2449</v>
      </c>
      <c r="BF1213" s="48" t="s">
        <v>272</v>
      </c>
      <c r="BG1213" s="48" t="s">
        <v>272</v>
      </c>
      <c r="BH1213" s="48" t="s">
        <v>2486</v>
      </c>
      <c r="BI1213" s="98">
        <v>6.3999999999999997E-6</v>
      </c>
      <c r="BJ1213" s="98">
        <v>6.4000000000000001E-2</v>
      </c>
      <c r="BK1213" s="48"/>
      <c r="BL1213" s="98">
        <f t="shared" si="315"/>
        <v>3.0859152880211576</v>
      </c>
      <c r="BM1213" s="47" t="s">
        <v>2487</v>
      </c>
      <c r="BN1213" s="48"/>
      <c r="BO1213" s="48"/>
      <c r="BP1213" s="48"/>
      <c r="BQ1213" s="48"/>
      <c r="BR1213" s="47" t="s">
        <v>2496</v>
      </c>
      <c r="BS1213" s="48"/>
      <c r="BT1213" s="48"/>
      <c r="BU1213" s="228"/>
      <c r="BV1213" s="48"/>
      <c r="BW1213" s="48"/>
      <c r="BX1213" s="48"/>
      <c r="BY1213" s="48"/>
      <c r="BZ1213" s="48"/>
      <c r="CA1213" s="48"/>
      <c r="CB1213" s="48"/>
      <c r="CC1213" s="48"/>
      <c r="CD1213" s="48"/>
      <c r="CE1213" s="48"/>
      <c r="CF1213" s="48"/>
      <c r="CG1213" s="48"/>
      <c r="CH1213" s="48"/>
      <c r="CI1213" s="98"/>
      <c r="CJ1213" s="98"/>
      <c r="CK1213" s="49">
        <f t="shared" si="313"/>
        <v>48.217426375330582</v>
      </c>
      <c r="CL1213" s="229"/>
      <c r="CM1213" s="229">
        <v>-1.2641169681570619</v>
      </c>
      <c r="CN1213" s="229">
        <f>BJ1213/(10^CM1213)</f>
        <v>1.1757011476780517</v>
      </c>
      <c r="CO1213" s="47" t="s">
        <v>2488</v>
      </c>
      <c r="CP1213" s="47" t="s">
        <v>2489</v>
      </c>
      <c r="CQ1213" s="224">
        <v>-1.0683292369816395</v>
      </c>
      <c r="CR1213" s="224">
        <f t="shared" si="322"/>
        <v>11.703863201706428</v>
      </c>
      <c r="CS1213" s="230" t="s">
        <v>539</v>
      </c>
      <c r="CT1213" s="230"/>
      <c r="CU1213" s="230"/>
      <c r="CV1213" s="335">
        <f t="shared" si="314"/>
        <v>27.825519754824814</v>
      </c>
      <c r="CW1213" s="230">
        <f t="shared" si="312"/>
        <v>1</v>
      </c>
      <c r="CX1213" s="336"/>
      <c r="CY1213" s="230" t="s">
        <v>5921</v>
      </c>
    </row>
    <row r="1214" spans="1:103" ht="11.25" customHeight="1" x14ac:dyDescent="0.2">
      <c r="A1214" s="72">
        <v>1212</v>
      </c>
      <c r="B1214" s="224">
        <v>72</v>
      </c>
      <c r="C1214" s="46" t="s">
        <v>7339</v>
      </c>
      <c r="D1214" s="46"/>
      <c r="E1214" s="114"/>
      <c r="F1214" s="114" t="s">
        <v>3643</v>
      </c>
      <c r="G1214" s="225">
        <v>1929777</v>
      </c>
      <c r="H1214" s="47" t="s">
        <v>3644</v>
      </c>
      <c r="I1214" s="47" t="s">
        <v>3644</v>
      </c>
      <c r="J1214" s="236" t="s">
        <v>3645</v>
      </c>
      <c r="K1214" s="236" t="s">
        <v>1499</v>
      </c>
      <c r="L1214" s="47" t="s">
        <v>6145</v>
      </c>
      <c r="M1214" s="47" t="s">
        <v>6082</v>
      </c>
      <c r="N1214" s="47" t="s">
        <v>6082</v>
      </c>
      <c r="O1214" s="52" t="s">
        <v>6083</v>
      </c>
      <c r="P1214" s="53"/>
      <c r="Q1214" s="53"/>
      <c r="R1214" s="53"/>
      <c r="S1214" s="53"/>
      <c r="T1214" s="226">
        <v>203.35</v>
      </c>
      <c r="U1214" s="98">
        <v>0.44258667322350626</v>
      </c>
      <c r="V1214" s="98">
        <v>0.10872879272190804</v>
      </c>
      <c r="W1214" s="98">
        <v>0.44668359215096265</v>
      </c>
      <c r="X1214" s="98">
        <v>0.44258667322350626</v>
      </c>
      <c r="Y1214" s="233">
        <v>7</v>
      </c>
      <c r="Z1214" s="48">
        <v>3.51</v>
      </c>
      <c r="AA1214" s="48">
        <v>3.84</v>
      </c>
      <c r="AB1214" s="48">
        <v>3.37</v>
      </c>
      <c r="AC1214" s="48">
        <v>0.85209999999999997</v>
      </c>
      <c r="AD1214" s="48">
        <v>3.51</v>
      </c>
      <c r="AE1214" s="48">
        <v>3.9</v>
      </c>
      <c r="AF1214" s="48">
        <f t="shared" si="316"/>
        <v>3.84</v>
      </c>
      <c r="AG1214" s="48">
        <v>2.93</v>
      </c>
      <c r="AH1214" s="98">
        <v>2.0400000000000001E-5</v>
      </c>
      <c r="AI1214" s="98">
        <v>3.0899999999999999E-5</v>
      </c>
      <c r="AJ1214" s="483">
        <f t="shared" si="318"/>
        <v>-3.0789361588867532</v>
      </c>
      <c r="AK1214" s="483">
        <f t="shared" si="323"/>
        <v>-2.8986078468878174</v>
      </c>
      <c r="AL1214" s="483">
        <f t="shared" si="319"/>
        <v>-2.8986078468878174</v>
      </c>
      <c r="AM1214" s="483">
        <v>-8.0542300000000004</v>
      </c>
      <c r="AN1214" s="48">
        <v>-2.82</v>
      </c>
      <c r="AO1214" s="484"/>
      <c r="AP1214" s="484">
        <v>-1.19</v>
      </c>
      <c r="AQ1214" s="48" t="s">
        <v>6311</v>
      </c>
      <c r="AR1214" s="48" t="s">
        <v>6311</v>
      </c>
      <c r="AS1214" s="227"/>
      <c r="AT1214" s="50" t="s">
        <v>266</v>
      </c>
      <c r="AU1214" s="48">
        <v>6</v>
      </c>
      <c r="AV1214" s="48">
        <v>120</v>
      </c>
      <c r="AW1214" s="48">
        <v>114</v>
      </c>
      <c r="AX1214" s="48">
        <v>28</v>
      </c>
      <c r="AY1214" s="48" t="s">
        <v>8728</v>
      </c>
      <c r="AZ1214" s="48" t="s">
        <v>1563</v>
      </c>
      <c r="BA1214" s="48">
        <v>32</v>
      </c>
      <c r="BB1214" s="47" t="s">
        <v>2485</v>
      </c>
      <c r="BC1214" s="47" t="s">
        <v>8726</v>
      </c>
      <c r="BD1214" s="47" t="s">
        <v>8374</v>
      </c>
      <c r="BE1214" s="48" t="s">
        <v>2449</v>
      </c>
      <c r="BF1214" s="48" t="s">
        <v>272</v>
      </c>
      <c r="BG1214" s="48" t="s">
        <v>272</v>
      </c>
      <c r="BH1214" s="48" t="s">
        <v>2486</v>
      </c>
      <c r="BI1214" s="98">
        <v>6.3999999999999997E-6</v>
      </c>
      <c r="BJ1214" s="98">
        <v>6.4000000000000001E-2</v>
      </c>
      <c r="BK1214" s="48"/>
      <c r="BL1214" s="98">
        <f t="shared" si="315"/>
        <v>3.6180036445079868E-2</v>
      </c>
      <c r="BM1214" s="47" t="s">
        <v>2487</v>
      </c>
      <c r="BN1214" s="48"/>
      <c r="BO1214" s="48"/>
      <c r="BP1214" s="48"/>
      <c r="BQ1214" s="48"/>
      <c r="BR1214" s="47" t="s">
        <v>2496</v>
      </c>
      <c r="BS1214" s="48"/>
      <c r="BT1214" s="48"/>
      <c r="BU1214" s="228">
        <v>6.3999999999999997E-5</v>
      </c>
      <c r="BV1214" s="48"/>
      <c r="BW1214" s="48"/>
      <c r="BX1214" s="48"/>
      <c r="BY1214" s="48"/>
      <c r="BZ1214" s="48"/>
      <c r="CA1214" s="48"/>
      <c r="CB1214" s="48"/>
      <c r="CC1214" s="48"/>
      <c r="CD1214" s="48"/>
      <c r="CE1214" s="48"/>
      <c r="CF1214" s="48"/>
      <c r="CG1214" s="48"/>
      <c r="CH1214" s="48"/>
      <c r="CI1214" s="98"/>
      <c r="CJ1214" s="98"/>
      <c r="CK1214" s="49">
        <f t="shared" si="313"/>
        <v>0.56531306945437287</v>
      </c>
      <c r="CL1214" s="229"/>
      <c r="CM1214" s="229"/>
      <c r="CN1214" s="229"/>
      <c r="CO1214" s="47" t="s">
        <v>2488</v>
      </c>
      <c r="CP1214" s="47" t="s">
        <v>2489</v>
      </c>
      <c r="CQ1214" s="224">
        <v>-1.5605176433582368</v>
      </c>
      <c r="CR1214" s="224">
        <f t="shared" si="322"/>
        <v>36.351107200470466</v>
      </c>
      <c r="CS1214" s="230" t="s">
        <v>539</v>
      </c>
      <c r="CT1214" s="230"/>
      <c r="CU1214" s="230"/>
      <c r="CV1214" s="335">
        <f t="shared" si="314"/>
        <v>6.915416769117285</v>
      </c>
      <c r="CW1214" s="230">
        <f t="shared" si="312"/>
        <v>1</v>
      </c>
      <c r="CX1214" s="336"/>
      <c r="CY1214" s="230" t="s">
        <v>5921</v>
      </c>
    </row>
    <row r="1215" spans="1:103" ht="11.25" customHeight="1" x14ac:dyDescent="0.2">
      <c r="A1215" s="72">
        <v>1213</v>
      </c>
      <c r="B1215" s="224">
        <v>411</v>
      </c>
      <c r="C1215" s="46" t="s">
        <v>7340</v>
      </c>
      <c r="D1215" s="46"/>
      <c r="E1215" s="114"/>
      <c r="F1215" s="114" t="s">
        <v>3962</v>
      </c>
      <c r="G1215" s="225">
        <v>1929824</v>
      </c>
      <c r="H1215" s="47" t="s">
        <v>3963</v>
      </c>
      <c r="I1215" s="47" t="s">
        <v>8079</v>
      </c>
      <c r="J1215" s="47" t="s">
        <v>3964</v>
      </c>
      <c r="K1215" s="47" t="s">
        <v>3965</v>
      </c>
      <c r="L1215" s="47" t="s">
        <v>6047</v>
      </c>
      <c r="M1215" s="47" t="s">
        <v>6082</v>
      </c>
      <c r="N1215" s="47" t="s">
        <v>6082</v>
      </c>
      <c r="O1215" s="47" t="s">
        <v>6083</v>
      </c>
      <c r="P1215" s="53"/>
      <c r="Q1215" s="53"/>
      <c r="R1215" s="53"/>
      <c r="S1215" s="53"/>
      <c r="T1215" s="48">
        <v>230.91</v>
      </c>
      <c r="U1215" s="98">
        <v>0.3118097960244251</v>
      </c>
      <c r="V1215" s="98">
        <v>0.15954267896583085</v>
      </c>
      <c r="W1215" s="98">
        <v>2.8183829312644524</v>
      </c>
      <c r="X1215" s="98">
        <v>0.3118097960244251</v>
      </c>
      <c r="Y1215" s="233">
        <v>7</v>
      </c>
      <c r="Z1215" s="48">
        <v>3.35</v>
      </c>
      <c r="AA1215" s="48">
        <v>3.41</v>
      </c>
      <c r="AB1215" s="48">
        <v>3.45</v>
      </c>
      <c r="AC1215" s="48">
        <v>0.85199999999999998</v>
      </c>
      <c r="AD1215" s="48">
        <v>3.22</v>
      </c>
      <c r="AE1215" s="48">
        <v>2.52</v>
      </c>
      <c r="AF1215" s="48">
        <f t="shared" si="316"/>
        <v>3.41</v>
      </c>
      <c r="AG1215" s="49">
        <v>3.5</v>
      </c>
      <c r="AH1215" s="98">
        <v>1.59E-5</v>
      </c>
      <c r="AI1215" s="98">
        <v>2.0299999999999999E-5</v>
      </c>
      <c r="AJ1215" s="483">
        <f t="shared" si="318"/>
        <v>-3.1871692019922002</v>
      </c>
      <c r="AK1215" s="483">
        <f t="shared" si="323"/>
        <v>-3.081070288399439</v>
      </c>
      <c r="AL1215" s="483">
        <f t="shared" si="319"/>
        <v>-3.081070288399439</v>
      </c>
      <c r="AM1215" s="483">
        <v>-5.7222499999999998</v>
      </c>
      <c r="AN1215" s="226">
        <v>-3.65</v>
      </c>
      <c r="AO1215" s="484"/>
      <c r="AP1215" s="484">
        <v>-3.75</v>
      </c>
      <c r="AQ1215" s="226" t="s">
        <v>6311</v>
      </c>
      <c r="AR1215" s="226" t="s">
        <v>6311</v>
      </c>
      <c r="AS1215" s="224" t="s">
        <v>6</v>
      </c>
      <c r="AT1215" s="50" t="s">
        <v>266</v>
      </c>
      <c r="AU1215" s="48">
        <v>8</v>
      </c>
      <c r="AV1215" s="48">
        <v>144</v>
      </c>
      <c r="AW1215" s="48">
        <v>120</v>
      </c>
      <c r="AX1215" s="48">
        <v>26</v>
      </c>
      <c r="AY1215" s="48" t="s">
        <v>267</v>
      </c>
      <c r="AZ1215" s="48" t="s">
        <v>2253</v>
      </c>
      <c r="BA1215" s="48">
        <v>2</v>
      </c>
      <c r="BB1215" s="47" t="s">
        <v>2254</v>
      </c>
      <c r="BC1215" s="47" t="s">
        <v>270</v>
      </c>
      <c r="BD1215" s="47" t="s">
        <v>8374</v>
      </c>
      <c r="BE1215" s="48" t="s">
        <v>1712</v>
      </c>
      <c r="BF1215" s="48" t="s">
        <v>272</v>
      </c>
      <c r="BG1215" s="48" t="s">
        <v>272</v>
      </c>
      <c r="BH1215" s="48" t="s">
        <v>2255</v>
      </c>
      <c r="BI1215" s="98">
        <v>9.9999999999999995E-7</v>
      </c>
      <c r="BJ1215" s="98">
        <v>0.08</v>
      </c>
      <c r="BK1215" s="48"/>
      <c r="BL1215" s="98">
        <f t="shared" si="315"/>
        <v>5.0369193837555552E-2</v>
      </c>
      <c r="BM1215" s="48" t="s">
        <v>891</v>
      </c>
      <c r="BN1215" s="233"/>
      <c r="BO1215" s="233"/>
      <c r="BP1215" s="233"/>
      <c r="BQ1215" s="233"/>
      <c r="BR1215" s="233"/>
      <c r="BS1215" s="48"/>
      <c r="BT1215" s="233"/>
      <c r="BU1215" s="228"/>
      <c r="BV1215" s="233"/>
      <c r="BW1215" s="233"/>
      <c r="BX1215" s="233"/>
      <c r="BY1215" s="233"/>
      <c r="BZ1215" s="233"/>
      <c r="CA1215" s="233"/>
      <c r="CB1215" s="233"/>
      <c r="CC1215" s="48"/>
      <c r="CD1215" s="48"/>
      <c r="CE1215" s="48"/>
      <c r="CF1215" s="48"/>
      <c r="CG1215" s="233"/>
      <c r="CH1215" s="48"/>
      <c r="CI1215" s="98"/>
      <c r="CJ1215" s="98"/>
      <c r="CK1215" s="49">
        <f t="shared" si="313"/>
        <v>0.62961492296944443</v>
      </c>
      <c r="CL1215" s="229"/>
      <c r="CM1215" s="229"/>
      <c r="CN1215" s="229"/>
      <c r="CO1215" s="47" t="s">
        <v>892</v>
      </c>
      <c r="CP1215" s="47" t="s">
        <v>893</v>
      </c>
      <c r="CQ1215" s="224">
        <v>-1.6153314883349683</v>
      </c>
      <c r="CR1215" s="224">
        <f t="shared" si="322"/>
        <v>41.241218500617549</v>
      </c>
      <c r="CS1215" s="230" t="s">
        <v>539</v>
      </c>
      <c r="CT1215" s="230"/>
      <c r="CU1215" s="230"/>
      <c r="CV1215" s="335">
        <f t="shared" si="314"/>
        <v>3.8976224503053136</v>
      </c>
      <c r="CW1215" s="230">
        <f t="shared" ref="CW1215:CW1278" si="324">IF(CV1215&lt;1,0,1)</f>
        <v>1</v>
      </c>
      <c r="CX1215" s="336" t="s">
        <v>539</v>
      </c>
      <c r="CY1215" s="230" t="s">
        <v>6351</v>
      </c>
    </row>
    <row r="1216" spans="1:103" ht="11.25" customHeight="1" x14ac:dyDescent="0.2">
      <c r="A1216" s="72">
        <v>1214</v>
      </c>
      <c r="B1216" s="224">
        <v>1776</v>
      </c>
      <c r="C1216" s="46" t="s">
        <v>7340</v>
      </c>
      <c r="D1216" s="46"/>
      <c r="E1216" s="114"/>
      <c r="F1216" s="114" t="s">
        <v>3962</v>
      </c>
      <c r="G1216" s="225">
        <v>1929824</v>
      </c>
      <c r="H1216" s="47" t="s">
        <v>3963</v>
      </c>
      <c r="I1216" s="47" t="s">
        <v>8079</v>
      </c>
      <c r="J1216" s="47" t="s">
        <v>3964</v>
      </c>
      <c r="K1216" s="47" t="s">
        <v>3965</v>
      </c>
      <c r="L1216" s="47" t="s">
        <v>6047</v>
      </c>
      <c r="M1216" s="47" t="s">
        <v>6082</v>
      </c>
      <c r="N1216" s="47" t="s">
        <v>6082</v>
      </c>
      <c r="O1216" s="47" t="s">
        <v>6083</v>
      </c>
      <c r="P1216" s="53"/>
      <c r="Q1216" s="53"/>
      <c r="R1216" s="53"/>
      <c r="S1216" s="53"/>
      <c r="T1216" s="48">
        <v>230.91</v>
      </c>
      <c r="U1216" s="98">
        <v>0.3118097960244251</v>
      </c>
      <c r="V1216" s="98">
        <v>0.15954267896583085</v>
      </c>
      <c r="W1216" s="98">
        <v>2.8183829312644524</v>
      </c>
      <c r="X1216" s="98">
        <v>0.3118097960244251</v>
      </c>
      <c r="Y1216" s="233">
        <v>7</v>
      </c>
      <c r="Z1216" s="48">
        <v>3.35</v>
      </c>
      <c r="AA1216" s="48">
        <v>3.41</v>
      </c>
      <c r="AB1216" s="48">
        <v>3.45</v>
      </c>
      <c r="AC1216" s="48">
        <v>0.85199999999999998</v>
      </c>
      <c r="AD1216" s="48">
        <v>3.22</v>
      </c>
      <c r="AE1216" s="48">
        <v>2.52</v>
      </c>
      <c r="AF1216" s="48">
        <f t="shared" si="316"/>
        <v>3.41</v>
      </c>
      <c r="AG1216" s="49">
        <v>3.5</v>
      </c>
      <c r="AH1216" s="98">
        <v>1.59E-5</v>
      </c>
      <c r="AI1216" s="98">
        <v>2.0299999999999999E-5</v>
      </c>
      <c r="AJ1216" s="483">
        <f t="shared" si="318"/>
        <v>-3.1871692019922002</v>
      </c>
      <c r="AK1216" s="483">
        <f t="shared" si="323"/>
        <v>-3.081070288399439</v>
      </c>
      <c r="AL1216" s="483">
        <f t="shared" si="319"/>
        <v>-3.081070288399439</v>
      </c>
      <c r="AM1216" s="483">
        <v>-5.7222499999999998</v>
      </c>
      <c r="AN1216" s="226">
        <v>-3.65</v>
      </c>
      <c r="AO1216" s="484"/>
      <c r="AP1216" s="484">
        <v>-3.75</v>
      </c>
      <c r="AQ1216" s="226" t="s">
        <v>6311</v>
      </c>
      <c r="AR1216" s="226" t="s">
        <v>6311</v>
      </c>
      <c r="AS1216" s="224"/>
      <c r="AT1216" s="50" t="s">
        <v>266</v>
      </c>
      <c r="AU1216" s="48">
        <v>6</v>
      </c>
      <c r="AV1216" s="48">
        <v>120</v>
      </c>
      <c r="AW1216" s="48">
        <v>114</v>
      </c>
      <c r="AX1216" s="48">
        <v>28</v>
      </c>
      <c r="AY1216" s="48" t="s">
        <v>8728</v>
      </c>
      <c r="AZ1216" s="48" t="s">
        <v>1563</v>
      </c>
      <c r="BA1216" s="48">
        <v>32</v>
      </c>
      <c r="BB1216" s="47" t="s">
        <v>2485</v>
      </c>
      <c r="BC1216" s="47" t="s">
        <v>8726</v>
      </c>
      <c r="BD1216" s="47" t="s">
        <v>8374</v>
      </c>
      <c r="BE1216" s="48" t="s">
        <v>2449</v>
      </c>
      <c r="BF1216" s="48" t="s">
        <v>272</v>
      </c>
      <c r="BG1216" s="48" t="s">
        <v>272</v>
      </c>
      <c r="BH1216" s="48" t="s">
        <v>2486</v>
      </c>
      <c r="BI1216" s="98">
        <v>6.3999999999999997E-6</v>
      </c>
      <c r="BJ1216" s="98">
        <v>6.4000000000000001E-2</v>
      </c>
      <c r="BK1216" s="48"/>
      <c r="BL1216" s="98">
        <f t="shared" si="315"/>
        <v>5.0369193837555552E-2</v>
      </c>
      <c r="BM1216" s="47" t="s">
        <v>2487</v>
      </c>
      <c r="BN1216" s="48"/>
      <c r="BO1216" s="48"/>
      <c r="BP1216" s="48"/>
      <c r="BQ1216" s="48"/>
      <c r="BR1216" s="47" t="s">
        <v>2496</v>
      </c>
      <c r="BS1216" s="48"/>
      <c r="BT1216" s="48"/>
      <c r="BU1216" s="228"/>
      <c r="BV1216" s="48"/>
      <c r="BW1216" s="48"/>
      <c r="BX1216" s="48"/>
      <c r="BY1216" s="48"/>
      <c r="BZ1216" s="48"/>
      <c r="CA1216" s="48"/>
      <c r="CB1216" s="48"/>
      <c r="CC1216" s="48"/>
      <c r="CD1216" s="48"/>
      <c r="CE1216" s="48"/>
      <c r="CF1216" s="48"/>
      <c r="CG1216" s="48"/>
      <c r="CH1216" s="48"/>
      <c r="CI1216" s="98"/>
      <c r="CJ1216" s="98"/>
      <c r="CK1216" s="49">
        <f t="shared" si="313"/>
        <v>0.78701865371180546</v>
      </c>
      <c r="CL1216" s="229"/>
      <c r="CM1216" s="229"/>
      <c r="CN1216" s="229"/>
      <c r="CO1216" s="47" t="s">
        <v>2488</v>
      </c>
      <c r="CP1216" s="47" t="s">
        <v>2489</v>
      </c>
      <c r="CQ1216" s="224">
        <v>-1.6153314883349683</v>
      </c>
      <c r="CR1216" s="224">
        <f t="shared" si="322"/>
        <v>41.241218500617549</v>
      </c>
      <c r="CS1216" s="230" t="s">
        <v>539</v>
      </c>
      <c r="CT1216" s="230"/>
      <c r="CU1216" s="230"/>
      <c r="CV1216" s="335">
        <f t="shared" si="314"/>
        <v>4.8720280628816424</v>
      </c>
      <c r="CW1216" s="230">
        <f t="shared" si="324"/>
        <v>1</v>
      </c>
      <c r="CX1216" s="336"/>
      <c r="CY1216" s="230" t="s">
        <v>6351</v>
      </c>
    </row>
    <row r="1217" spans="1:103" ht="11.25" customHeight="1" x14ac:dyDescent="0.2">
      <c r="A1217" s="72">
        <v>1215</v>
      </c>
      <c r="B1217" s="224">
        <v>1656</v>
      </c>
      <c r="C1217" s="46" t="s">
        <v>7341</v>
      </c>
      <c r="D1217" s="46"/>
      <c r="E1217" s="114"/>
      <c r="F1217" s="114" t="s">
        <v>4875</v>
      </c>
      <c r="G1217" s="225">
        <v>1934210</v>
      </c>
      <c r="H1217" s="47" t="s">
        <v>4876</v>
      </c>
      <c r="I1217" s="47" t="s">
        <v>8080</v>
      </c>
      <c r="J1217" s="47" t="s">
        <v>4877</v>
      </c>
      <c r="K1217" s="47" t="s">
        <v>4878</v>
      </c>
      <c r="L1217" s="47"/>
      <c r="M1217" s="47"/>
      <c r="N1217" s="47"/>
      <c r="O1217" s="47"/>
      <c r="P1217" s="53"/>
      <c r="Q1217" s="53"/>
      <c r="R1217" s="53"/>
      <c r="S1217" s="53"/>
      <c r="T1217" s="48">
        <v>468.42</v>
      </c>
      <c r="U1217" s="98"/>
      <c r="V1217" s="98">
        <v>0.92353016523632636</v>
      </c>
      <c r="W1217" s="98">
        <v>1548.8166189124815</v>
      </c>
      <c r="X1217" s="98">
        <f>IF(W1217=0,V1217,W1217)</f>
        <v>1548.8166189124815</v>
      </c>
      <c r="Y1217" s="233">
        <v>-0.42</v>
      </c>
      <c r="Z1217" s="48">
        <v>-0.01</v>
      </c>
      <c r="AA1217" s="48"/>
      <c r="AB1217" s="48">
        <v>-1.35</v>
      </c>
      <c r="AC1217" s="48">
        <v>0.55330000000000001</v>
      </c>
      <c r="AD1217" s="48">
        <v>-0.17</v>
      </c>
      <c r="AE1217" s="48">
        <v>1.56</v>
      </c>
      <c r="AF1217" s="48">
        <f t="shared" si="316"/>
        <v>-0.17</v>
      </c>
      <c r="AG1217" s="49">
        <v>-0.17</v>
      </c>
      <c r="AH1217" s="98">
        <v>1.6700000000000001E-32</v>
      </c>
      <c r="AI1217" s="98"/>
      <c r="AJ1217" s="483">
        <f t="shared" si="318"/>
        <v>-30.165849855165067</v>
      </c>
      <c r="AK1217" s="483"/>
      <c r="AL1217" s="483">
        <f t="shared" si="319"/>
        <v>-30.165849855165067</v>
      </c>
      <c r="AM1217" s="483">
        <v>-35.693199999999997</v>
      </c>
      <c r="AN1217" s="226"/>
      <c r="AO1217" s="484">
        <v>-1.37</v>
      </c>
      <c r="AP1217" s="484">
        <v>-5.07</v>
      </c>
      <c r="AQ1217" s="226" t="s">
        <v>6311</v>
      </c>
      <c r="AR1217" s="226" t="s">
        <v>6311</v>
      </c>
      <c r="AS1217" s="224"/>
      <c r="AT1217" s="50" t="s">
        <v>266</v>
      </c>
      <c r="AU1217" s="48">
        <v>6</v>
      </c>
      <c r="AV1217" s="48">
        <v>120</v>
      </c>
      <c r="AW1217" s="48">
        <v>114</v>
      </c>
      <c r="AX1217" s="48">
        <v>28</v>
      </c>
      <c r="AY1217" s="48" t="s">
        <v>8728</v>
      </c>
      <c r="AZ1217" s="48" t="s">
        <v>1563</v>
      </c>
      <c r="BA1217" s="48">
        <v>32</v>
      </c>
      <c r="BB1217" s="47" t="s">
        <v>2485</v>
      </c>
      <c r="BC1217" s="47" t="s">
        <v>8726</v>
      </c>
      <c r="BD1217" s="47" t="s">
        <v>8374</v>
      </c>
      <c r="BE1217" s="48" t="s">
        <v>2449</v>
      </c>
      <c r="BF1217" s="48" t="s">
        <v>272</v>
      </c>
      <c r="BG1217" s="48" t="s">
        <v>272</v>
      </c>
      <c r="BH1217" s="48" t="s">
        <v>2486</v>
      </c>
      <c r="BI1217" s="98">
        <v>6.3999999999999997E-6</v>
      </c>
      <c r="BJ1217" s="98">
        <v>6.4000000000000001E-2</v>
      </c>
      <c r="BK1217" s="48"/>
      <c r="BL1217" s="98">
        <f t="shared" si="315"/>
        <v>52.454288433392541</v>
      </c>
      <c r="BM1217" s="47" t="s">
        <v>2487</v>
      </c>
      <c r="BN1217" s="48"/>
      <c r="BO1217" s="48"/>
      <c r="BP1217" s="48"/>
      <c r="BQ1217" s="48"/>
      <c r="BR1217" s="47" t="s">
        <v>2496</v>
      </c>
      <c r="BS1217" s="48"/>
      <c r="BT1217" s="48"/>
      <c r="BU1217" s="228"/>
      <c r="BV1217" s="48"/>
      <c r="BW1217" s="48"/>
      <c r="BX1217" s="48"/>
      <c r="BY1217" s="48"/>
      <c r="BZ1217" s="48"/>
      <c r="CA1217" s="48"/>
      <c r="CB1217" s="48"/>
      <c r="CC1217" s="48"/>
      <c r="CD1217" s="48"/>
      <c r="CE1217" s="48"/>
      <c r="CF1217" s="48"/>
      <c r="CG1217" s="48"/>
      <c r="CH1217" s="48"/>
      <c r="CI1217" s="98"/>
      <c r="CJ1217" s="98"/>
      <c r="CK1217" s="49">
        <f t="shared" si="313"/>
        <v>819.59825677175843</v>
      </c>
      <c r="CL1217" s="229"/>
      <c r="CM1217" s="229"/>
      <c r="CN1217" s="229"/>
      <c r="CO1217" s="47" t="s">
        <v>2488</v>
      </c>
      <c r="CP1217" s="47" t="s">
        <v>2489</v>
      </c>
      <c r="CQ1217" s="224" t="s">
        <v>272</v>
      </c>
      <c r="CR1217" s="224"/>
      <c r="CS1217" s="230" t="s">
        <v>539</v>
      </c>
      <c r="CT1217" s="230"/>
      <c r="CU1217" s="230"/>
      <c r="CV1217" s="335">
        <f t="shared" si="314"/>
        <v>24200.259670507523</v>
      </c>
      <c r="CW1217" s="230">
        <f t="shared" si="324"/>
        <v>1</v>
      </c>
      <c r="CX1217" s="336"/>
      <c r="CY1217" s="230" t="s">
        <v>5921</v>
      </c>
    </row>
    <row r="1218" spans="1:103" ht="11.25" customHeight="1" x14ac:dyDescent="0.2">
      <c r="A1218" s="72">
        <v>1216</v>
      </c>
      <c r="B1218" s="224">
        <v>237</v>
      </c>
      <c r="C1218" s="46" t="s">
        <v>7342</v>
      </c>
      <c r="D1218" s="46"/>
      <c r="E1218" s="114"/>
      <c r="F1218" s="114" t="s">
        <v>3746</v>
      </c>
      <c r="G1218" s="225">
        <v>2008415</v>
      </c>
      <c r="H1218" s="47" t="s">
        <v>3747</v>
      </c>
      <c r="I1218" s="47" t="s">
        <v>3747</v>
      </c>
      <c r="J1218" s="47" t="s">
        <v>3748</v>
      </c>
      <c r="K1218" s="47" t="s">
        <v>1499</v>
      </c>
      <c r="L1218" s="47" t="s">
        <v>5248</v>
      </c>
      <c r="M1218" s="47" t="s">
        <v>6082</v>
      </c>
      <c r="N1218" s="47" t="s">
        <v>6082</v>
      </c>
      <c r="O1218" s="47" t="s">
        <v>6083</v>
      </c>
      <c r="P1218" s="53"/>
      <c r="Q1218" s="53"/>
      <c r="R1218" s="53"/>
      <c r="S1218" s="53"/>
      <c r="T1218" s="48">
        <v>217.37</v>
      </c>
      <c r="U1218" s="98">
        <v>0.20702028798822283</v>
      </c>
      <c r="V1218" s="98">
        <v>4.6694576068454709E-2</v>
      </c>
      <c r="W1218" s="98">
        <v>0.23442288153199203</v>
      </c>
      <c r="X1218" s="98">
        <v>0.20702028798822283</v>
      </c>
      <c r="Y1218" s="233">
        <v>7</v>
      </c>
      <c r="Z1218" s="48">
        <v>3.85</v>
      </c>
      <c r="AA1218" s="48">
        <v>4.1500000000000004</v>
      </c>
      <c r="AB1218" s="48">
        <v>3.66</v>
      </c>
      <c r="AC1218" s="48">
        <v>0.76280000000000003</v>
      </c>
      <c r="AD1218" s="48">
        <v>3.8</v>
      </c>
      <c r="AE1218" s="48">
        <v>4.0599999999999996</v>
      </c>
      <c r="AF1218" s="48">
        <f t="shared" si="316"/>
        <v>4.1500000000000004</v>
      </c>
      <c r="AG1218" s="49">
        <v>3.12</v>
      </c>
      <c r="AH1218" s="98">
        <v>2.7100000000000001E-5</v>
      </c>
      <c r="AI1218" s="98">
        <v>8.4499999999999994E-5</v>
      </c>
      <c r="AJ1218" s="483">
        <f t="shared" si="318"/>
        <v>-2.9555970354382461</v>
      </c>
      <c r="AK1218" s="483">
        <f>LOG10(AI1218*1000/(0.08206*298.15))</f>
        <v>-2.4617096173629593</v>
      </c>
      <c r="AL1218" s="483">
        <f t="shared" si="319"/>
        <v>-2.4617096173629593</v>
      </c>
      <c r="AM1218" s="483">
        <v>-8.3325999999999993</v>
      </c>
      <c r="AN1218" s="226">
        <v>-2.69</v>
      </c>
      <c r="AO1218" s="484"/>
      <c r="AP1218" s="484">
        <v>-1.22</v>
      </c>
      <c r="AQ1218" s="226" t="s">
        <v>6311</v>
      </c>
      <c r="AR1218" s="226" t="s">
        <v>6311</v>
      </c>
      <c r="AS1218" s="224" t="s">
        <v>6</v>
      </c>
      <c r="AT1218" s="50" t="s">
        <v>266</v>
      </c>
      <c r="AU1218" s="48">
        <v>8</v>
      </c>
      <c r="AV1218" s="48">
        <v>144</v>
      </c>
      <c r="AW1218" s="48">
        <v>120</v>
      </c>
      <c r="AX1218" s="48">
        <v>26</v>
      </c>
      <c r="AY1218" s="48" t="s">
        <v>267</v>
      </c>
      <c r="AZ1218" s="48" t="s">
        <v>2253</v>
      </c>
      <c r="BA1218" s="48">
        <v>2</v>
      </c>
      <c r="BB1218" s="47" t="s">
        <v>2254</v>
      </c>
      <c r="BC1218" s="47" t="s">
        <v>270</v>
      </c>
      <c r="BD1218" s="47" t="s">
        <v>8374</v>
      </c>
      <c r="BE1218" s="48" t="s">
        <v>1712</v>
      </c>
      <c r="BF1218" s="48" t="s">
        <v>272</v>
      </c>
      <c r="BG1218" s="48" t="s">
        <v>272</v>
      </c>
      <c r="BH1218" s="48" t="s">
        <v>2255</v>
      </c>
      <c r="BI1218" s="98">
        <v>9.9999999999999995E-7</v>
      </c>
      <c r="BJ1218" s="98">
        <v>0.08</v>
      </c>
      <c r="BK1218" s="48"/>
      <c r="BL1218" s="98">
        <f t="shared" si="315"/>
        <v>1.7910800643872269E-2</v>
      </c>
      <c r="BM1218" s="48" t="s">
        <v>891</v>
      </c>
      <c r="BN1218" s="233"/>
      <c r="BO1218" s="233"/>
      <c r="BP1218" s="233"/>
      <c r="BQ1218" s="233"/>
      <c r="BR1218" s="233"/>
      <c r="BS1218" s="48"/>
      <c r="BT1218" s="233"/>
      <c r="BU1218" s="228"/>
      <c r="BV1218" s="233"/>
      <c r="BW1218" s="233"/>
      <c r="BX1218" s="233"/>
      <c r="BY1218" s="233"/>
      <c r="BZ1218" s="233"/>
      <c r="CA1218" s="233"/>
      <c r="CB1218" s="233"/>
      <c r="CC1218" s="48"/>
      <c r="CD1218" s="48"/>
      <c r="CE1218" s="48"/>
      <c r="CF1218" s="48"/>
      <c r="CG1218" s="233"/>
      <c r="CH1218" s="48"/>
      <c r="CI1218" s="98"/>
      <c r="CJ1218" s="98"/>
      <c r="CK1218" s="49">
        <f t="shared" si="313"/>
        <v>0.22388500804840336</v>
      </c>
      <c r="CL1218" s="229"/>
      <c r="CM1218" s="229"/>
      <c r="CN1218" s="229"/>
      <c r="CO1218" s="47" t="s">
        <v>892</v>
      </c>
      <c r="CP1218" s="47" t="s">
        <v>893</v>
      </c>
      <c r="CQ1218" s="224">
        <v>-1.8970088987062921</v>
      </c>
      <c r="CR1218" s="224">
        <f>10^(CJ1218-CQ1218)</f>
        <v>78.887628155041085</v>
      </c>
      <c r="CS1218" s="230" t="s">
        <v>539</v>
      </c>
      <c r="CT1218" s="230"/>
      <c r="CU1218" s="230"/>
      <c r="CV1218" s="335">
        <f t="shared" si="314"/>
        <v>2.5877535998527854</v>
      </c>
      <c r="CW1218" s="230">
        <f t="shared" si="324"/>
        <v>1</v>
      </c>
      <c r="CX1218" s="336" t="s">
        <v>539</v>
      </c>
      <c r="CY1218" s="230" t="s">
        <v>5921</v>
      </c>
    </row>
    <row r="1219" spans="1:103" ht="11.25" customHeight="1" x14ac:dyDescent="0.2">
      <c r="A1219" s="72">
        <v>1217</v>
      </c>
      <c r="B1219" s="224">
        <v>1539</v>
      </c>
      <c r="C1219" s="46" t="s">
        <v>7342</v>
      </c>
      <c r="D1219" s="46"/>
      <c r="E1219" s="114"/>
      <c r="F1219" s="114" t="s">
        <v>3746</v>
      </c>
      <c r="G1219" s="225">
        <v>2008415</v>
      </c>
      <c r="H1219" s="47" t="s">
        <v>3747</v>
      </c>
      <c r="I1219" s="47" t="s">
        <v>3747</v>
      </c>
      <c r="J1219" s="47"/>
      <c r="K1219" s="47" t="s">
        <v>1499</v>
      </c>
      <c r="L1219" s="47" t="s">
        <v>5248</v>
      </c>
      <c r="M1219" s="47" t="s">
        <v>6082</v>
      </c>
      <c r="N1219" s="47" t="s">
        <v>6082</v>
      </c>
      <c r="O1219" s="47" t="s">
        <v>6083</v>
      </c>
      <c r="P1219" s="53"/>
      <c r="Q1219" s="53"/>
      <c r="R1219" s="53"/>
      <c r="S1219" s="53"/>
      <c r="T1219" s="48">
        <v>217.37</v>
      </c>
      <c r="U1219" s="98">
        <v>0.20702028798822283</v>
      </c>
      <c r="V1219" s="98">
        <v>4.6694576068454709E-2</v>
      </c>
      <c r="W1219" s="98">
        <v>0.23442288153199203</v>
      </c>
      <c r="X1219" s="98">
        <v>0.20702028798822283</v>
      </c>
      <c r="Y1219" s="233">
        <v>7</v>
      </c>
      <c r="Z1219" s="48">
        <v>3.85</v>
      </c>
      <c r="AA1219" s="48">
        <v>4.1500000000000004</v>
      </c>
      <c r="AB1219" s="48">
        <v>3.66</v>
      </c>
      <c r="AC1219" s="48">
        <v>0.76280000000000003</v>
      </c>
      <c r="AD1219" s="48">
        <v>3.8</v>
      </c>
      <c r="AE1219" s="48">
        <v>4.0599999999999996</v>
      </c>
      <c r="AF1219" s="48">
        <f t="shared" si="316"/>
        <v>4.1500000000000004</v>
      </c>
      <c r="AG1219" s="49">
        <v>3.12</v>
      </c>
      <c r="AH1219" s="98">
        <v>2.7100000000000001E-5</v>
      </c>
      <c r="AI1219" s="98">
        <v>8.4499999999999994E-5</v>
      </c>
      <c r="AJ1219" s="483">
        <f t="shared" si="318"/>
        <v>-2.9555970354382461</v>
      </c>
      <c r="AK1219" s="483">
        <f>LOG10(AI1219*1000/(0.08206*298.15))</f>
        <v>-2.4617096173629593</v>
      </c>
      <c r="AL1219" s="483">
        <f t="shared" si="319"/>
        <v>-2.4617096173629593</v>
      </c>
      <c r="AM1219" s="483">
        <v>-8.3325999999999993</v>
      </c>
      <c r="AN1219" s="226"/>
      <c r="AO1219" s="484"/>
      <c r="AP1219" s="484">
        <v>-1.22</v>
      </c>
      <c r="AQ1219" s="48" t="s">
        <v>6311</v>
      </c>
      <c r="AR1219" s="48" t="s">
        <v>6311</v>
      </c>
      <c r="AS1219" s="227"/>
      <c r="AT1219" s="50" t="s">
        <v>266</v>
      </c>
      <c r="AU1219" s="48">
        <v>6</v>
      </c>
      <c r="AV1219" s="48">
        <v>120</v>
      </c>
      <c r="AW1219" s="48">
        <v>114</v>
      </c>
      <c r="AX1219" s="48">
        <v>28</v>
      </c>
      <c r="AY1219" s="48" t="s">
        <v>8728</v>
      </c>
      <c r="AZ1219" s="48" t="s">
        <v>1563</v>
      </c>
      <c r="BA1219" s="48">
        <v>32</v>
      </c>
      <c r="BB1219" s="47" t="s">
        <v>2485</v>
      </c>
      <c r="BC1219" s="47" t="s">
        <v>8726</v>
      </c>
      <c r="BD1219" s="47" t="s">
        <v>8374</v>
      </c>
      <c r="BE1219" s="48" t="s">
        <v>2449</v>
      </c>
      <c r="BF1219" s="48" t="s">
        <v>272</v>
      </c>
      <c r="BG1219" s="48" t="s">
        <v>272</v>
      </c>
      <c r="BH1219" s="48" t="s">
        <v>2486</v>
      </c>
      <c r="BI1219" s="98">
        <v>6.3999999999999997E-6</v>
      </c>
      <c r="BJ1219" s="98">
        <v>6.4000000000000001E-2</v>
      </c>
      <c r="BK1219" s="48"/>
      <c r="BL1219" s="98">
        <f t="shared" si="315"/>
        <v>1.7910800643872269E-2</v>
      </c>
      <c r="BM1219" s="47" t="s">
        <v>2487</v>
      </c>
      <c r="BN1219" s="48"/>
      <c r="BO1219" s="48"/>
      <c r="BP1219" s="48"/>
      <c r="BQ1219" s="48"/>
      <c r="BR1219" s="47" t="s">
        <v>2496</v>
      </c>
      <c r="BS1219" s="48"/>
      <c r="BT1219" s="48"/>
      <c r="BU1219" s="228"/>
      <c r="BV1219" s="48"/>
      <c r="BW1219" s="48"/>
      <c r="BX1219" s="48"/>
      <c r="BY1219" s="48"/>
      <c r="BZ1219" s="48"/>
      <c r="CA1219" s="48"/>
      <c r="CB1219" s="48"/>
      <c r="CC1219" s="48"/>
      <c r="CD1219" s="48"/>
      <c r="CE1219" s="48"/>
      <c r="CF1219" s="48"/>
      <c r="CG1219" s="48"/>
      <c r="CH1219" s="48"/>
      <c r="CI1219" s="98"/>
      <c r="CJ1219" s="98"/>
      <c r="CK1219" s="49">
        <f t="shared" si="313"/>
        <v>0.27985626006050418</v>
      </c>
      <c r="CL1219" s="229"/>
      <c r="CM1219" s="229"/>
      <c r="CN1219" s="229"/>
      <c r="CO1219" s="47" t="s">
        <v>2488</v>
      </c>
      <c r="CP1219" s="47" t="s">
        <v>2489</v>
      </c>
      <c r="CQ1219" s="224">
        <v>-1.8970088987062921</v>
      </c>
      <c r="CR1219" s="224">
        <f>10^(CJ1219-CQ1219)</f>
        <v>78.887628155041085</v>
      </c>
      <c r="CS1219" s="230" t="s">
        <v>539</v>
      </c>
      <c r="CT1219" s="230"/>
      <c r="CU1219" s="230"/>
      <c r="CV1219" s="335">
        <f t="shared" si="314"/>
        <v>3.2346919998159818</v>
      </c>
      <c r="CW1219" s="230">
        <f t="shared" si="324"/>
        <v>1</v>
      </c>
      <c r="CX1219" s="336"/>
      <c r="CY1219" s="230" t="s">
        <v>5921</v>
      </c>
    </row>
    <row r="1220" spans="1:103" ht="11.25" customHeight="1" x14ac:dyDescent="0.2">
      <c r="A1220" s="72">
        <v>1218</v>
      </c>
      <c r="B1220" s="224">
        <v>1799</v>
      </c>
      <c r="C1220" s="46" t="s">
        <v>7343</v>
      </c>
      <c r="D1220" s="46"/>
      <c r="E1220" s="114"/>
      <c r="F1220" s="114" t="s">
        <v>5175</v>
      </c>
      <c r="G1220" s="225">
        <v>2058460</v>
      </c>
      <c r="H1220" s="47" t="s">
        <v>5176</v>
      </c>
      <c r="I1220" s="47" t="s">
        <v>8081</v>
      </c>
      <c r="J1220" s="47" t="s">
        <v>5177</v>
      </c>
      <c r="K1220" s="47" t="s">
        <v>5178</v>
      </c>
      <c r="L1220" s="47"/>
      <c r="M1220" s="47"/>
      <c r="N1220" s="47"/>
      <c r="O1220" s="47"/>
      <c r="P1220" s="53"/>
      <c r="Q1220" s="53"/>
      <c r="R1220" s="53"/>
      <c r="S1220" s="53"/>
      <c r="T1220" s="48">
        <v>450.88</v>
      </c>
      <c r="U1220" s="98"/>
      <c r="V1220" s="98">
        <v>188.36497515968773</v>
      </c>
      <c r="W1220" s="98"/>
      <c r="X1220" s="98">
        <f>IF(W1220=0,V1220,W1220)</f>
        <v>188.36497515968773</v>
      </c>
      <c r="Y1220" s="233"/>
      <c r="Z1220" s="48">
        <v>-3.6</v>
      </c>
      <c r="AA1220" s="48"/>
      <c r="AB1220" s="48">
        <v>0</v>
      </c>
      <c r="AC1220" s="48">
        <v>0</v>
      </c>
      <c r="AD1220" s="48">
        <v>0</v>
      </c>
      <c r="AE1220" s="48">
        <v>0</v>
      </c>
      <c r="AF1220" s="48"/>
      <c r="AG1220" s="49" t="s">
        <v>5921</v>
      </c>
      <c r="AH1220" s="98">
        <v>1.6899999999999999E-30</v>
      </c>
      <c r="AI1220" s="98"/>
      <c r="AJ1220" s="483">
        <f t="shared" ref="AJ1220:AJ1251" si="325">LOG10(AH1220*1000/(0.08206*298.15))</f>
        <v>-28.160679621698979</v>
      </c>
      <c r="AK1220" s="483"/>
      <c r="AL1220" s="483">
        <f t="shared" ref="AL1220:AL1251" si="326">IF(AK1220=0,AJ1220,AK1220)</f>
        <v>-28.160679621698979</v>
      </c>
      <c r="AM1220" s="483"/>
      <c r="AN1220" s="226"/>
      <c r="AO1220" s="484"/>
      <c r="AP1220" s="484"/>
      <c r="AQ1220" s="226" t="s">
        <v>6311</v>
      </c>
      <c r="AR1220" s="226" t="s">
        <v>6311</v>
      </c>
      <c r="AS1220" s="224"/>
      <c r="AT1220" s="50" t="s">
        <v>266</v>
      </c>
      <c r="AU1220" s="48">
        <v>6</v>
      </c>
      <c r="AV1220" s="48">
        <v>120</v>
      </c>
      <c r="AW1220" s="48">
        <v>114</v>
      </c>
      <c r="AX1220" s="48">
        <v>28</v>
      </c>
      <c r="AY1220" s="48" t="s">
        <v>8728</v>
      </c>
      <c r="AZ1220" s="48" t="s">
        <v>1563</v>
      </c>
      <c r="BA1220" s="48">
        <v>32</v>
      </c>
      <c r="BB1220" s="47" t="s">
        <v>2485</v>
      </c>
      <c r="BC1220" s="47" t="s">
        <v>8726</v>
      </c>
      <c r="BD1220" s="47" t="s">
        <v>8374</v>
      </c>
      <c r="BE1220" s="48" t="s">
        <v>2449</v>
      </c>
      <c r="BF1220" s="48" t="s">
        <v>272</v>
      </c>
      <c r="BG1220" s="48" t="s">
        <v>272</v>
      </c>
      <c r="BH1220" s="48" t="s">
        <v>2486</v>
      </c>
      <c r="BI1220" s="98">
        <v>6.3999999999999997E-6</v>
      </c>
      <c r="BJ1220" s="98">
        <v>6.4000000000000001E-2</v>
      </c>
      <c r="BK1220" s="48"/>
      <c r="BL1220" s="98">
        <f t="shared" si="315"/>
        <v>87894.15595934153</v>
      </c>
      <c r="BM1220" s="47" t="s">
        <v>2487</v>
      </c>
      <c r="BN1220" s="48"/>
      <c r="BO1220" s="48"/>
      <c r="BP1220" s="48"/>
      <c r="BQ1220" s="48"/>
      <c r="BR1220" s="47" t="s">
        <v>2496</v>
      </c>
      <c r="BS1220" s="48"/>
      <c r="BT1220" s="48"/>
      <c r="BU1220" s="228"/>
      <c r="BV1220" s="48"/>
      <c r="BW1220" s="48"/>
      <c r="BX1220" s="48"/>
      <c r="BY1220" s="48"/>
      <c r="BZ1220" s="48"/>
      <c r="CA1220" s="48"/>
      <c r="CB1220" s="48"/>
      <c r="CC1220" s="48"/>
      <c r="CD1220" s="48"/>
      <c r="CE1220" s="48"/>
      <c r="CF1220" s="48"/>
      <c r="CG1220" s="48"/>
      <c r="CH1220" s="48"/>
      <c r="CI1220" s="98"/>
      <c r="CJ1220" s="98"/>
      <c r="CK1220" s="49">
        <f t="shared" si="313"/>
        <v>1373346.1868647113</v>
      </c>
      <c r="CL1220" s="229"/>
      <c r="CM1220" s="229"/>
      <c r="CN1220" s="229"/>
      <c r="CO1220" s="47" t="s">
        <v>2488</v>
      </c>
      <c r="CP1220" s="47" t="s">
        <v>2489</v>
      </c>
      <c r="CQ1220" s="224" t="s">
        <v>272</v>
      </c>
      <c r="CR1220" s="224"/>
      <c r="CS1220" s="230" t="s">
        <v>539</v>
      </c>
      <c r="CT1220" s="230"/>
      <c r="CU1220" s="230"/>
      <c r="CV1220" s="335">
        <f t="shared" si="314"/>
        <v>2943.2027368701206</v>
      </c>
      <c r="CW1220" s="230">
        <f t="shared" si="324"/>
        <v>1</v>
      </c>
      <c r="CX1220" s="336"/>
      <c r="CY1220" s="230" t="s">
        <v>5921</v>
      </c>
    </row>
    <row r="1221" spans="1:103" ht="11.25" customHeight="1" x14ac:dyDescent="0.2">
      <c r="A1221" s="72">
        <v>1219</v>
      </c>
      <c r="B1221" s="224">
        <v>1792</v>
      </c>
      <c r="C1221" s="46" t="s">
        <v>7344</v>
      </c>
      <c r="D1221" s="46"/>
      <c r="E1221" s="114"/>
      <c r="F1221" s="114" t="s">
        <v>5156</v>
      </c>
      <c r="G1221" s="225">
        <v>2104645</v>
      </c>
      <c r="H1221" s="47" t="s">
        <v>5157</v>
      </c>
      <c r="I1221" s="47" t="s">
        <v>8082</v>
      </c>
      <c r="J1221" s="47" t="s">
        <v>5158</v>
      </c>
      <c r="K1221" s="47" t="s">
        <v>628</v>
      </c>
      <c r="L1221" s="47" t="s">
        <v>617</v>
      </c>
      <c r="M1221" s="47" t="s">
        <v>618</v>
      </c>
      <c r="N1221" s="47" t="s">
        <v>6376</v>
      </c>
      <c r="O1221" s="47" t="s">
        <v>5159</v>
      </c>
      <c r="P1221" s="53"/>
      <c r="Q1221" s="53" t="s">
        <v>6173</v>
      </c>
      <c r="R1221" s="53" t="s">
        <v>6185</v>
      </c>
      <c r="S1221" s="53" t="s">
        <v>6176</v>
      </c>
      <c r="T1221" s="48">
        <v>323.31</v>
      </c>
      <c r="U1221" s="98">
        <v>9.6192508737743959E-3</v>
      </c>
      <c r="V1221" s="98">
        <v>9.3377872629983605E-4</v>
      </c>
      <c r="W1221" s="98">
        <v>9.5499258602143589E-3</v>
      </c>
      <c r="X1221" s="98">
        <v>9.6192508737743959E-3</v>
      </c>
      <c r="Y1221" s="233">
        <v>7</v>
      </c>
      <c r="Z1221" s="48">
        <v>4.47</v>
      </c>
      <c r="AA1221" s="48">
        <v>4.78</v>
      </c>
      <c r="AB1221" s="48">
        <v>4.13</v>
      </c>
      <c r="AC1221" s="48">
        <v>0.84519999999999995</v>
      </c>
      <c r="AD1221" s="48">
        <v>4.0599999999999996</v>
      </c>
      <c r="AE1221" s="48">
        <v>3.85</v>
      </c>
      <c r="AF1221" s="48">
        <f t="shared" ref="AF1221:AF1255" si="327">IF(AA1221=0,AD1221,AA1221)</f>
        <v>4.78</v>
      </c>
      <c r="AG1221" s="49">
        <v>3.74</v>
      </c>
      <c r="AH1221" s="98">
        <v>2.8600000000000001E-8</v>
      </c>
      <c r="AI1221" s="98">
        <v>4.4400000000000001E-7</v>
      </c>
      <c r="AJ1221" s="483">
        <f t="shared" si="325"/>
        <v>-5.9322002931836089</v>
      </c>
      <c r="AK1221" s="483">
        <f>LOG10(AI1221*1000/(0.08206*298.15))</f>
        <v>-4.7411833561980323</v>
      </c>
      <c r="AL1221" s="483">
        <f t="shared" si="326"/>
        <v>-4.7411833561980323</v>
      </c>
      <c r="AM1221" s="483">
        <v>-12.389419999999998</v>
      </c>
      <c r="AN1221" s="226">
        <v>-6.08</v>
      </c>
      <c r="AO1221" s="484"/>
      <c r="AP1221" s="484"/>
      <c r="AQ1221" s="226" t="s">
        <v>6311</v>
      </c>
      <c r="AR1221" s="226" t="s">
        <v>6311</v>
      </c>
      <c r="AS1221" s="224"/>
      <c r="AT1221" s="50" t="s">
        <v>266</v>
      </c>
      <c r="AU1221" s="48">
        <v>6</v>
      </c>
      <c r="AV1221" s="48">
        <v>120</v>
      </c>
      <c r="AW1221" s="48">
        <v>114</v>
      </c>
      <c r="AX1221" s="48">
        <v>28</v>
      </c>
      <c r="AY1221" s="48" t="s">
        <v>8728</v>
      </c>
      <c r="AZ1221" s="48" t="s">
        <v>1563</v>
      </c>
      <c r="BA1221" s="48">
        <v>32</v>
      </c>
      <c r="BB1221" s="47" t="s">
        <v>2485</v>
      </c>
      <c r="BC1221" s="47" t="s">
        <v>8726</v>
      </c>
      <c r="BD1221" s="47" t="s">
        <v>8374</v>
      </c>
      <c r="BE1221" s="48" t="s">
        <v>2449</v>
      </c>
      <c r="BF1221" s="48" t="s">
        <v>272</v>
      </c>
      <c r="BG1221" s="48" t="s">
        <v>272</v>
      </c>
      <c r="BH1221" s="48" t="s">
        <v>2486</v>
      </c>
      <c r="BI1221" s="98">
        <v>6.3999999999999997E-6</v>
      </c>
      <c r="BJ1221" s="98">
        <v>6.4000000000000001E-2</v>
      </c>
      <c r="BK1221" s="48"/>
      <c r="BL1221" s="98">
        <f t="shared" si="315"/>
        <v>4.9692746419135745E-3</v>
      </c>
      <c r="BM1221" s="47" t="s">
        <v>2487</v>
      </c>
      <c r="BN1221" s="48"/>
      <c r="BO1221" s="48"/>
      <c r="BP1221" s="48"/>
      <c r="BQ1221" s="48"/>
      <c r="BR1221" s="47" t="s">
        <v>2496</v>
      </c>
      <c r="BS1221" s="48"/>
      <c r="BT1221" s="48"/>
      <c r="BU1221" s="228"/>
      <c r="BV1221" s="48"/>
      <c r="BW1221" s="48"/>
      <c r="BX1221" s="48"/>
      <c r="BY1221" s="48"/>
      <c r="BZ1221" s="48"/>
      <c r="CA1221" s="48"/>
      <c r="CB1221" s="48"/>
      <c r="CC1221" s="48"/>
      <c r="CD1221" s="48"/>
      <c r="CE1221" s="48"/>
      <c r="CF1221" s="48"/>
      <c r="CG1221" s="48"/>
      <c r="CH1221" s="48"/>
      <c r="CI1221" s="98"/>
      <c r="CJ1221" s="98"/>
      <c r="CK1221" s="49">
        <f t="shared" si="313"/>
        <v>7.7644916279899598E-2</v>
      </c>
      <c r="CL1221" s="229"/>
      <c r="CM1221" s="229"/>
      <c r="CN1221" s="229"/>
      <c r="CO1221" s="47" t="s">
        <v>2488</v>
      </c>
      <c r="CP1221" s="47" t="s">
        <v>2489</v>
      </c>
      <c r="CQ1221" s="224">
        <v>-3.2418756745862924</v>
      </c>
      <c r="CR1221" s="224">
        <f>10^(CJ1221-CQ1221)</f>
        <v>1745.3224482132498</v>
      </c>
      <c r="CS1221" s="230" t="s">
        <v>539</v>
      </c>
      <c r="CT1221" s="230"/>
      <c r="CU1221" s="230"/>
      <c r="CV1221" s="335">
        <f t="shared" si="314"/>
        <v>0.15030079490272494</v>
      </c>
      <c r="CW1221" s="230">
        <f t="shared" si="324"/>
        <v>0</v>
      </c>
      <c r="CX1221" s="336"/>
      <c r="CY1221" s="230" t="s">
        <v>5921</v>
      </c>
    </row>
    <row r="1222" spans="1:103" ht="11.25" customHeight="1" x14ac:dyDescent="0.2">
      <c r="A1222" s="72">
        <v>1220</v>
      </c>
      <c r="B1222" s="224">
        <v>340</v>
      </c>
      <c r="C1222" s="46" t="s">
        <v>7345</v>
      </c>
      <c r="D1222" s="46"/>
      <c r="E1222" s="114"/>
      <c r="F1222" s="114" t="s">
        <v>3872</v>
      </c>
      <c r="G1222" s="225">
        <v>2164172</v>
      </c>
      <c r="H1222" s="47" t="s">
        <v>3873</v>
      </c>
      <c r="I1222" s="47" t="s">
        <v>3873</v>
      </c>
      <c r="J1222" s="47" t="s">
        <v>3874</v>
      </c>
      <c r="K1222" s="47" t="s">
        <v>1292</v>
      </c>
      <c r="L1222" s="47" t="s">
        <v>6041</v>
      </c>
      <c r="M1222" s="47" t="s">
        <v>6082</v>
      </c>
      <c r="N1222" s="47" t="s">
        <v>6082</v>
      </c>
      <c r="O1222" s="47" t="s">
        <v>6083</v>
      </c>
      <c r="P1222" s="53"/>
      <c r="Q1222" s="53"/>
      <c r="R1222" s="53"/>
      <c r="S1222" s="53"/>
      <c r="T1222" s="48">
        <v>232.2</v>
      </c>
      <c r="U1222" s="98">
        <v>0.47372954349698537</v>
      </c>
      <c r="V1222" s="98">
        <v>1.0934539190353145</v>
      </c>
      <c r="W1222" s="98">
        <v>0.95499258602143544</v>
      </c>
      <c r="X1222" s="98">
        <v>0.47372954349698537</v>
      </c>
      <c r="Y1222" s="233">
        <v>7</v>
      </c>
      <c r="Z1222" s="48">
        <v>2.35</v>
      </c>
      <c r="AA1222" s="48">
        <v>2.42</v>
      </c>
      <c r="AB1222" s="48">
        <v>2.35</v>
      </c>
      <c r="AC1222" s="48">
        <v>0.80859999999999999</v>
      </c>
      <c r="AD1222" s="48">
        <v>2.36</v>
      </c>
      <c r="AE1222" s="48">
        <v>2.36</v>
      </c>
      <c r="AF1222" s="48">
        <f t="shared" si="327"/>
        <v>2.42</v>
      </c>
      <c r="AG1222" s="49">
        <v>1.92</v>
      </c>
      <c r="AH1222" s="98">
        <v>8.4399999999999998E-9</v>
      </c>
      <c r="AI1222" s="98">
        <v>2.6099999999999999E-9</v>
      </c>
      <c r="AJ1222" s="483">
        <f t="shared" si="325"/>
        <v>-6.4622238796869969</v>
      </c>
      <c r="AK1222" s="483">
        <f>LOG10(AI1222*1000/(0.08206*298.15))</f>
        <v>-6.9719258189743707</v>
      </c>
      <c r="AL1222" s="483">
        <f t="shared" si="326"/>
        <v>-6.9719258189743707</v>
      </c>
      <c r="AM1222" s="483">
        <v>-9.2389799999999997</v>
      </c>
      <c r="AN1222" s="226">
        <v>-7.25</v>
      </c>
      <c r="AO1222" s="484">
        <v>14.55</v>
      </c>
      <c r="AP1222" s="484">
        <v>-0.6</v>
      </c>
      <c r="AQ1222" s="226" t="s">
        <v>6311</v>
      </c>
      <c r="AR1222" s="226" t="s">
        <v>6311</v>
      </c>
      <c r="AS1222" s="224" t="s">
        <v>6</v>
      </c>
      <c r="AT1222" s="50" t="s">
        <v>266</v>
      </c>
      <c r="AU1222" s="48">
        <v>8</v>
      </c>
      <c r="AV1222" s="48">
        <v>144</v>
      </c>
      <c r="AW1222" s="48">
        <v>120</v>
      </c>
      <c r="AX1222" s="48">
        <v>26</v>
      </c>
      <c r="AY1222" s="48" t="s">
        <v>267</v>
      </c>
      <c r="AZ1222" s="48" t="s">
        <v>2253</v>
      </c>
      <c r="BA1222" s="48">
        <v>2</v>
      </c>
      <c r="BB1222" s="47" t="s">
        <v>2254</v>
      </c>
      <c r="BC1222" s="47" t="s">
        <v>270</v>
      </c>
      <c r="BD1222" s="47" t="s">
        <v>8374</v>
      </c>
      <c r="BE1222" s="48" t="s">
        <v>1712</v>
      </c>
      <c r="BF1222" s="48" t="s">
        <v>272</v>
      </c>
      <c r="BG1222" s="48" t="s">
        <v>272</v>
      </c>
      <c r="BH1222" s="48" t="s">
        <v>2255</v>
      </c>
      <c r="BI1222" s="98">
        <v>9.9999999999999995E-7</v>
      </c>
      <c r="BJ1222" s="98">
        <v>0.08</v>
      </c>
      <c r="BK1222" s="48"/>
      <c r="BL1222" s="98">
        <f t="shared" si="315"/>
        <v>0.39835016372498561</v>
      </c>
      <c r="BM1222" s="48" t="s">
        <v>891</v>
      </c>
      <c r="BN1222" s="233"/>
      <c r="BO1222" s="233"/>
      <c r="BP1222" s="233"/>
      <c r="BQ1222" s="233"/>
      <c r="BR1222" s="233"/>
      <c r="BS1222" s="48"/>
      <c r="BT1222" s="233"/>
      <c r="BU1222" s="228"/>
      <c r="BV1222" s="233"/>
      <c r="BW1222" s="233"/>
      <c r="BX1222" s="233"/>
      <c r="BY1222" s="233"/>
      <c r="BZ1222" s="233"/>
      <c r="CA1222" s="233"/>
      <c r="CB1222" s="233"/>
      <c r="CC1222" s="48"/>
      <c r="CD1222" s="48"/>
      <c r="CE1222" s="48"/>
      <c r="CF1222" s="48"/>
      <c r="CG1222" s="233"/>
      <c r="CH1222" s="48"/>
      <c r="CI1222" s="98"/>
      <c r="CJ1222" s="98"/>
      <c r="CK1222" s="49">
        <f t="shared" ref="CK1222:CK1285" si="328">BL1222/BJ1222</f>
        <v>4.9793770465623197</v>
      </c>
      <c r="CL1222" s="229"/>
      <c r="CM1222" s="229"/>
      <c r="CN1222" s="229"/>
      <c r="CO1222" s="47" t="s">
        <v>892</v>
      </c>
      <c r="CP1222" s="47" t="s">
        <v>893</v>
      </c>
      <c r="CQ1222" s="224">
        <v>-0.93749801405058064</v>
      </c>
      <c r="CR1222" s="224">
        <f>10^(CJ1222-CQ1222)</f>
        <v>8.659603634722826</v>
      </c>
      <c r="CS1222" s="230" t="s">
        <v>539</v>
      </c>
      <c r="CT1222" s="230"/>
      <c r="CU1222" s="230"/>
      <c r="CV1222" s="335">
        <f t="shared" si="314"/>
        <v>5.9216192937123173</v>
      </c>
      <c r="CW1222" s="230">
        <f t="shared" si="324"/>
        <v>1</v>
      </c>
      <c r="CX1222" s="336" t="s">
        <v>539</v>
      </c>
      <c r="CY1222" s="230" t="s">
        <v>5921</v>
      </c>
    </row>
    <row r="1223" spans="1:103" ht="11.25" customHeight="1" x14ac:dyDescent="0.2">
      <c r="A1223" s="72">
        <v>1221</v>
      </c>
      <c r="B1223" s="224">
        <v>1672</v>
      </c>
      <c r="C1223" s="46" t="s">
        <v>7345</v>
      </c>
      <c r="D1223" s="46"/>
      <c r="E1223" s="114"/>
      <c r="F1223" s="114" t="s">
        <v>3872</v>
      </c>
      <c r="G1223" s="225">
        <v>2164172</v>
      </c>
      <c r="H1223" s="47" t="s">
        <v>3873</v>
      </c>
      <c r="I1223" s="47" t="s">
        <v>3873</v>
      </c>
      <c r="J1223" s="47" t="s">
        <v>3874</v>
      </c>
      <c r="K1223" s="47" t="s">
        <v>1292</v>
      </c>
      <c r="L1223" s="47" t="s">
        <v>6041</v>
      </c>
      <c r="M1223" s="47" t="s">
        <v>5960</v>
      </c>
      <c r="N1223" s="47"/>
      <c r="O1223" s="47"/>
      <c r="P1223" s="53"/>
      <c r="Q1223" s="53" t="s">
        <v>6173</v>
      </c>
      <c r="R1223" s="53" t="s">
        <v>6185</v>
      </c>
      <c r="S1223" s="53" t="s">
        <v>6182</v>
      </c>
      <c r="T1223" s="48">
        <v>232.2</v>
      </c>
      <c r="U1223" s="98">
        <v>0.47372954349698537</v>
      </c>
      <c r="V1223" s="98">
        <v>1.0934539190353145</v>
      </c>
      <c r="W1223" s="98">
        <v>0.95499258602143544</v>
      </c>
      <c r="X1223" s="98">
        <v>0.47372954349698537</v>
      </c>
      <c r="Y1223" s="233">
        <v>7</v>
      </c>
      <c r="Z1223" s="48">
        <v>2.35</v>
      </c>
      <c r="AA1223" s="48">
        <v>2.42</v>
      </c>
      <c r="AB1223" s="48">
        <v>2.35</v>
      </c>
      <c r="AC1223" s="48">
        <v>0.80859999999999999</v>
      </c>
      <c r="AD1223" s="48">
        <v>2.36</v>
      </c>
      <c r="AE1223" s="48">
        <v>2.36</v>
      </c>
      <c r="AF1223" s="48">
        <f t="shared" si="327"/>
        <v>2.42</v>
      </c>
      <c r="AG1223" s="49">
        <v>1.92</v>
      </c>
      <c r="AH1223" s="98">
        <v>8.4399999999999998E-9</v>
      </c>
      <c r="AI1223" s="98">
        <v>2.6099999999999999E-9</v>
      </c>
      <c r="AJ1223" s="483">
        <f t="shared" si="325"/>
        <v>-6.4622238796869969</v>
      </c>
      <c r="AK1223" s="483">
        <f>LOG10(AI1223*1000/(0.08206*298.15))</f>
        <v>-6.9719258189743707</v>
      </c>
      <c r="AL1223" s="483">
        <f t="shared" si="326"/>
        <v>-6.9719258189743707</v>
      </c>
      <c r="AM1223" s="483">
        <v>-9.2389799999999997</v>
      </c>
      <c r="AN1223" s="226">
        <v>-7.25</v>
      </c>
      <c r="AO1223" s="484">
        <v>14.55</v>
      </c>
      <c r="AP1223" s="484">
        <v>-0.6</v>
      </c>
      <c r="AQ1223" s="226" t="s">
        <v>6311</v>
      </c>
      <c r="AR1223" s="226" t="s">
        <v>6311</v>
      </c>
      <c r="AS1223" s="224"/>
      <c r="AT1223" s="50" t="s">
        <v>266</v>
      </c>
      <c r="AU1223" s="48">
        <v>6</v>
      </c>
      <c r="AV1223" s="48">
        <v>120</v>
      </c>
      <c r="AW1223" s="48">
        <v>114</v>
      </c>
      <c r="AX1223" s="48">
        <v>28</v>
      </c>
      <c r="AY1223" s="48" t="s">
        <v>8728</v>
      </c>
      <c r="AZ1223" s="48" t="s">
        <v>1563</v>
      </c>
      <c r="BA1223" s="48">
        <v>32</v>
      </c>
      <c r="BB1223" s="47" t="s">
        <v>2485</v>
      </c>
      <c r="BC1223" s="47" t="s">
        <v>8726</v>
      </c>
      <c r="BD1223" s="47" t="s">
        <v>8374</v>
      </c>
      <c r="BE1223" s="48" t="s">
        <v>2449</v>
      </c>
      <c r="BF1223" s="48" t="s">
        <v>272</v>
      </c>
      <c r="BG1223" s="48" t="s">
        <v>272</v>
      </c>
      <c r="BH1223" s="48" t="s">
        <v>2486</v>
      </c>
      <c r="BI1223" s="98">
        <v>6.3999999999999997E-6</v>
      </c>
      <c r="BJ1223" s="98">
        <v>6.4000000000000001E-2</v>
      </c>
      <c r="BK1223" s="48"/>
      <c r="BL1223" s="98">
        <f t="shared" si="315"/>
        <v>0.39835016372498561</v>
      </c>
      <c r="BM1223" s="47" t="s">
        <v>2487</v>
      </c>
      <c r="BN1223" s="48"/>
      <c r="BO1223" s="48"/>
      <c r="BP1223" s="48"/>
      <c r="BQ1223" s="48"/>
      <c r="BR1223" s="47" t="s">
        <v>2496</v>
      </c>
      <c r="BS1223" s="48"/>
      <c r="BT1223" s="48"/>
      <c r="BU1223" s="228"/>
      <c r="BV1223" s="48"/>
      <c r="BW1223" s="48"/>
      <c r="BX1223" s="48"/>
      <c r="BY1223" s="48"/>
      <c r="BZ1223" s="48"/>
      <c r="CA1223" s="48"/>
      <c r="CB1223" s="48"/>
      <c r="CC1223" s="48"/>
      <c r="CD1223" s="48"/>
      <c r="CE1223" s="48"/>
      <c r="CF1223" s="48"/>
      <c r="CG1223" s="48"/>
      <c r="CH1223" s="48"/>
      <c r="CI1223" s="98"/>
      <c r="CJ1223" s="98"/>
      <c r="CK1223" s="49">
        <f t="shared" si="328"/>
        <v>6.2242213082028996</v>
      </c>
      <c r="CL1223" s="229"/>
      <c r="CM1223" s="229"/>
      <c r="CN1223" s="229"/>
      <c r="CO1223" s="47" t="s">
        <v>2488</v>
      </c>
      <c r="CP1223" s="47" t="s">
        <v>2489</v>
      </c>
      <c r="CQ1223" s="224">
        <v>-0.93749801405058064</v>
      </c>
      <c r="CR1223" s="224">
        <f>10^(CJ1223-CQ1223)</f>
        <v>8.659603634722826</v>
      </c>
      <c r="CS1223" s="230" t="s">
        <v>539</v>
      </c>
      <c r="CT1223" s="230"/>
      <c r="CU1223" s="230"/>
      <c r="CV1223" s="335">
        <f t="shared" si="314"/>
        <v>7.402024117140396</v>
      </c>
      <c r="CW1223" s="230">
        <f t="shared" si="324"/>
        <v>1</v>
      </c>
      <c r="CX1223" s="336"/>
      <c r="CY1223" s="230" t="s">
        <v>5921</v>
      </c>
    </row>
    <row r="1224" spans="1:103" ht="11.25" customHeight="1" x14ac:dyDescent="0.2">
      <c r="A1224" s="72">
        <v>1222</v>
      </c>
      <c r="B1224" s="224">
        <v>402</v>
      </c>
      <c r="C1224" s="46" t="s">
        <v>7346</v>
      </c>
      <c r="D1224" s="46"/>
      <c r="E1224" s="114"/>
      <c r="F1224" s="114" t="s">
        <v>3293</v>
      </c>
      <c r="G1224" s="225">
        <v>2212671</v>
      </c>
      <c r="H1224" s="47" t="s">
        <v>3294</v>
      </c>
      <c r="I1224" s="47" t="s">
        <v>3294</v>
      </c>
      <c r="J1224" s="47" t="s">
        <v>3295</v>
      </c>
      <c r="K1224" s="47" t="s">
        <v>1499</v>
      </c>
      <c r="L1224" s="47" t="s">
        <v>6096</v>
      </c>
      <c r="M1224" s="47" t="s">
        <v>6082</v>
      </c>
      <c r="N1224" s="47" t="s">
        <v>6082</v>
      </c>
      <c r="O1224" s="47" t="s">
        <v>6083</v>
      </c>
      <c r="P1224" s="53"/>
      <c r="Q1224" s="53"/>
      <c r="R1224" s="53"/>
      <c r="S1224" s="53"/>
      <c r="T1224" s="48">
        <v>187.3</v>
      </c>
      <c r="U1224" s="98">
        <v>5.1788574479444742</v>
      </c>
      <c r="V1224" s="98">
        <v>0.49103043246129202</v>
      </c>
      <c r="W1224" s="98">
        <v>2.9512092266663865</v>
      </c>
      <c r="X1224" s="98">
        <v>5.1788574479444742</v>
      </c>
      <c r="Y1224" s="233">
        <v>7</v>
      </c>
      <c r="Z1224" s="48">
        <v>2.91</v>
      </c>
      <c r="AA1224" s="48">
        <v>3.21</v>
      </c>
      <c r="AB1224" s="48">
        <v>2.29</v>
      </c>
      <c r="AC1224" s="48">
        <v>0.748</v>
      </c>
      <c r="AD1224" s="48">
        <v>2.61</v>
      </c>
      <c r="AE1224" s="48">
        <v>3.21</v>
      </c>
      <c r="AF1224" s="48">
        <f t="shared" si="327"/>
        <v>3.21</v>
      </c>
      <c r="AG1224" s="49">
        <v>2.2599999999999998</v>
      </c>
      <c r="AH1224" s="98">
        <v>6.7800000000000003E-6</v>
      </c>
      <c r="AI1224" s="98">
        <v>4.0999999999999997E-6</v>
      </c>
      <c r="AJ1224" s="483">
        <f t="shared" si="325"/>
        <v>-3.5573366324455882</v>
      </c>
      <c r="AK1224" s="483">
        <f>LOG10(AI1224*1000/(0.08206*298.15))</f>
        <v>-3.7757824695929165</v>
      </c>
      <c r="AL1224" s="483">
        <f t="shared" si="326"/>
        <v>-3.7757824695929165</v>
      </c>
      <c r="AM1224" s="483">
        <v>-8.2653600000000012</v>
      </c>
      <c r="AN1224" s="226">
        <v>-4.1399999999999997</v>
      </c>
      <c r="AO1224" s="484"/>
      <c r="AP1224" s="484">
        <v>-1.22</v>
      </c>
      <c r="AQ1224" s="226" t="s">
        <v>6311</v>
      </c>
      <c r="AR1224" s="226" t="s">
        <v>6311</v>
      </c>
      <c r="AS1224" s="224" t="s">
        <v>6</v>
      </c>
      <c r="AT1224" s="50" t="s">
        <v>266</v>
      </c>
      <c r="AU1224" s="48">
        <v>8</v>
      </c>
      <c r="AV1224" s="48">
        <v>144</v>
      </c>
      <c r="AW1224" s="48">
        <v>120</v>
      </c>
      <c r="AX1224" s="48">
        <v>26</v>
      </c>
      <c r="AY1224" s="48" t="s">
        <v>267</v>
      </c>
      <c r="AZ1224" s="48" t="s">
        <v>2253</v>
      </c>
      <c r="BA1224" s="48">
        <v>2</v>
      </c>
      <c r="BB1224" s="47" t="s">
        <v>2254</v>
      </c>
      <c r="BC1224" s="47" t="s">
        <v>270</v>
      </c>
      <c r="BD1224" s="47" t="s">
        <v>8374</v>
      </c>
      <c r="BE1224" s="48" t="s">
        <v>1712</v>
      </c>
      <c r="BF1224" s="48" t="s">
        <v>272</v>
      </c>
      <c r="BG1224" s="48" t="s">
        <v>272</v>
      </c>
      <c r="BH1224" s="48" t="s">
        <v>2255</v>
      </c>
      <c r="BI1224" s="98">
        <v>9.9999999999999995E-7</v>
      </c>
      <c r="BJ1224" s="98">
        <v>0.08</v>
      </c>
      <c r="BK1224" s="48"/>
      <c r="BL1224" s="98">
        <f t="shared" si="315"/>
        <v>0.12512065234073388</v>
      </c>
      <c r="BM1224" s="48" t="s">
        <v>891</v>
      </c>
      <c r="BN1224" s="233"/>
      <c r="BO1224" s="233"/>
      <c r="BP1224" s="233"/>
      <c r="BQ1224" s="233"/>
      <c r="BR1224" s="233"/>
      <c r="BS1224" s="48"/>
      <c r="BT1224" s="233"/>
      <c r="BU1224" s="228"/>
      <c r="BV1224" s="233"/>
      <c r="BW1224" s="233"/>
      <c r="BX1224" s="233"/>
      <c r="BY1224" s="233"/>
      <c r="BZ1224" s="233"/>
      <c r="CA1224" s="233"/>
      <c r="CB1224" s="233"/>
      <c r="CC1224" s="48"/>
      <c r="CD1224" s="48"/>
      <c r="CE1224" s="48"/>
      <c r="CF1224" s="48"/>
      <c r="CG1224" s="233"/>
      <c r="CH1224" s="48"/>
      <c r="CI1224" s="98"/>
      <c r="CJ1224" s="98"/>
      <c r="CK1224" s="49">
        <f t="shared" si="328"/>
        <v>1.5640081542591735</v>
      </c>
      <c r="CL1224" s="229"/>
      <c r="CM1224" s="229"/>
      <c r="CN1224" s="229"/>
      <c r="CO1224" s="47" t="s">
        <v>892</v>
      </c>
      <c r="CP1224" s="47" t="s">
        <v>893</v>
      </c>
      <c r="CQ1224" s="224">
        <v>-1.4363337101483582</v>
      </c>
      <c r="CR1224" s="224">
        <f>10^(CJ1224-CQ1224)</f>
        <v>27.310755243007755</v>
      </c>
      <c r="CS1224" s="230" t="s">
        <v>539</v>
      </c>
      <c r="CT1224" s="230"/>
      <c r="CU1224" s="230"/>
      <c r="CV1224" s="335">
        <f t="shared" si="314"/>
        <v>64.735718099305927</v>
      </c>
      <c r="CW1224" s="230">
        <f t="shared" si="324"/>
        <v>1</v>
      </c>
      <c r="CX1224" s="336" t="s">
        <v>539</v>
      </c>
      <c r="CY1224" s="230" t="s">
        <v>5921</v>
      </c>
    </row>
    <row r="1225" spans="1:103" ht="11.25" customHeight="1" x14ac:dyDescent="0.2">
      <c r="A1225" s="72">
        <v>1223</v>
      </c>
      <c r="B1225" s="224">
        <v>1194</v>
      </c>
      <c r="C1225" s="46" t="s">
        <v>7346</v>
      </c>
      <c r="D1225" s="46"/>
      <c r="E1225" s="114"/>
      <c r="F1225" s="114" t="s">
        <v>3293</v>
      </c>
      <c r="G1225" s="225">
        <v>2212671</v>
      </c>
      <c r="H1225" s="47" t="s">
        <v>3294</v>
      </c>
      <c r="I1225" s="47" t="s">
        <v>3294</v>
      </c>
      <c r="J1225" s="47" t="s">
        <v>3295</v>
      </c>
      <c r="K1225" s="47" t="s">
        <v>1499</v>
      </c>
      <c r="L1225" s="47" t="s">
        <v>6096</v>
      </c>
      <c r="M1225" s="47" t="s">
        <v>6082</v>
      </c>
      <c r="N1225" s="47" t="s">
        <v>6082</v>
      </c>
      <c r="O1225" s="47" t="s">
        <v>6083</v>
      </c>
      <c r="P1225" s="53"/>
      <c r="Q1225" s="53"/>
      <c r="R1225" s="53"/>
      <c r="S1225" s="53"/>
      <c r="T1225" s="48">
        <v>187.3</v>
      </c>
      <c r="U1225" s="98">
        <v>5.1788574479444742</v>
      </c>
      <c r="V1225" s="98">
        <v>0.49103043246129202</v>
      </c>
      <c r="W1225" s="98">
        <v>2.9512092266663865</v>
      </c>
      <c r="X1225" s="98">
        <v>5.1788574479444742</v>
      </c>
      <c r="Y1225" s="233">
        <v>7</v>
      </c>
      <c r="Z1225" s="48">
        <v>2.91</v>
      </c>
      <c r="AA1225" s="48">
        <v>3.21</v>
      </c>
      <c r="AB1225" s="48">
        <v>2.29</v>
      </c>
      <c r="AC1225" s="48">
        <v>0.748</v>
      </c>
      <c r="AD1225" s="48">
        <v>2.61</v>
      </c>
      <c r="AE1225" s="48">
        <v>3.21</v>
      </c>
      <c r="AF1225" s="48">
        <f t="shared" si="327"/>
        <v>3.21</v>
      </c>
      <c r="AG1225" s="49">
        <v>2.2599999999999998</v>
      </c>
      <c r="AH1225" s="98">
        <v>6.7800000000000003E-6</v>
      </c>
      <c r="AI1225" s="98">
        <v>4.0999999999999997E-6</v>
      </c>
      <c r="AJ1225" s="483">
        <f t="shared" si="325"/>
        <v>-3.5573366324455882</v>
      </c>
      <c r="AK1225" s="483">
        <f>LOG10(AI1225*1000/(0.08206*298.15))</f>
        <v>-3.7757824695929165</v>
      </c>
      <c r="AL1225" s="483">
        <f t="shared" si="326"/>
        <v>-3.7757824695929165</v>
      </c>
      <c r="AM1225" s="483">
        <v>-8.2653600000000012</v>
      </c>
      <c r="AN1225" s="226">
        <v>-4.1399999999999997</v>
      </c>
      <c r="AO1225" s="484"/>
      <c r="AP1225" s="484">
        <v>-1.22</v>
      </c>
      <c r="AQ1225" s="48" t="s">
        <v>6311</v>
      </c>
      <c r="AR1225" s="48" t="s">
        <v>6311</v>
      </c>
      <c r="AS1225" s="227"/>
      <c r="AT1225" s="50" t="s">
        <v>266</v>
      </c>
      <c r="AU1225" s="48">
        <v>6</v>
      </c>
      <c r="AV1225" s="48">
        <v>120</v>
      </c>
      <c r="AW1225" s="48">
        <v>114</v>
      </c>
      <c r="AX1225" s="48">
        <v>28</v>
      </c>
      <c r="AY1225" s="48" t="s">
        <v>8728</v>
      </c>
      <c r="AZ1225" s="48" t="s">
        <v>1563</v>
      </c>
      <c r="BA1225" s="48">
        <v>32</v>
      </c>
      <c r="BB1225" s="47" t="s">
        <v>2485</v>
      </c>
      <c r="BC1225" s="47" t="s">
        <v>8726</v>
      </c>
      <c r="BD1225" s="47" t="s">
        <v>8374</v>
      </c>
      <c r="BE1225" s="48" t="s">
        <v>2449</v>
      </c>
      <c r="BF1225" s="48" t="s">
        <v>272</v>
      </c>
      <c r="BG1225" s="48" t="s">
        <v>272</v>
      </c>
      <c r="BH1225" s="48" t="s">
        <v>2486</v>
      </c>
      <c r="BI1225" s="98">
        <v>6.3999999999999997E-6</v>
      </c>
      <c r="BJ1225" s="98">
        <v>6.4000000000000001E-2</v>
      </c>
      <c r="BK1225" s="48"/>
      <c r="BL1225" s="98">
        <f t="shared" si="315"/>
        <v>0.12512065234073388</v>
      </c>
      <c r="BM1225" s="47" t="s">
        <v>2487</v>
      </c>
      <c r="BN1225" s="48"/>
      <c r="BO1225" s="48"/>
      <c r="BP1225" s="48"/>
      <c r="BQ1225" s="48"/>
      <c r="BR1225" s="47" t="s">
        <v>2496</v>
      </c>
      <c r="BS1225" s="48"/>
      <c r="BT1225" s="48"/>
      <c r="BU1225" s="228">
        <v>6.4000000000000005E-4</v>
      </c>
      <c r="BV1225" s="48"/>
      <c r="BW1225" s="48"/>
      <c r="BX1225" s="48"/>
      <c r="BY1225" s="48"/>
      <c r="BZ1225" s="48"/>
      <c r="CA1225" s="48"/>
      <c r="CB1225" s="48"/>
      <c r="CC1225" s="48"/>
      <c r="CD1225" s="48"/>
      <c r="CE1225" s="48"/>
      <c r="CF1225" s="48"/>
      <c r="CG1225" s="48"/>
      <c r="CH1225" s="48"/>
      <c r="CI1225" s="98"/>
      <c r="CJ1225" s="98"/>
      <c r="CK1225" s="49">
        <f t="shared" si="328"/>
        <v>1.9550101928239669</v>
      </c>
      <c r="CL1225" s="229"/>
      <c r="CM1225" s="229"/>
      <c r="CN1225" s="229"/>
      <c r="CO1225" s="47" t="s">
        <v>2488</v>
      </c>
      <c r="CP1225" s="47" t="s">
        <v>2489</v>
      </c>
      <c r="CQ1225" s="224">
        <v>-1.4363337101483582</v>
      </c>
      <c r="CR1225" s="224">
        <f>10^(CJ1225-CQ1225)</f>
        <v>27.310755243007755</v>
      </c>
      <c r="CS1225" s="230" t="s">
        <v>539</v>
      </c>
      <c r="CT1225" s="230"/>
      <c r="CU1225" s="230"/>
      <c r="CV1225" s="335">
        <f t="shared" si="314"/>
        <v>80.919647624132409</v>
      </c>
      <c r="CW1225" s="230">
        <f t="shared" si="324"/>
        <v>1</v>
      </c>
      <c r="CX1225" s="336"/>
      <c r="CY1225" s="230" t="s">
        <v>5921</v>
      </c>
    </row>
    <row r="1226" spans="1:103" ht="11.25" customHeight="1" x14ac:dyDescent="0.2">
      <c r="A1226" s="72">
        <v>1224</v>
      </c>
      <c r="B1226" s="224">
        <v>1178</v>
      </c>
      <c r="C1226" s="46" t="s">
        <v>7347</v>
      </c>
      <c r="D1226" s="46"/>
      <c r="E1226" s="114"/>
      <c r="F1226" s="114" t="s">
        <v>3916</v>
      </c>
      <c r="G1226" s="114">
        <v>8018017</v>
      </c>
      <c r="H1226" s="47" t="s">
        <v>3251</v>
      </c>
      <c r="I1226" s="47" t="s">
        <v>7764</v>
      </c>
      <c r="J1226" s="47" t="s">
        <v>3252</v>
      </c>
      <c r="K1226" s="47" t="s">
        <v>1297</v>
      </c>
      <c r="L1226" s="47"/>
      <c r="M1226" s="47"/>
      <c r="N1226" s="47"/>
      <c r="O1226" s="47"/>
      <c r="P1226" s="53"/>
      <c r="Q1226" s="53"/>
      <c r="R1226" s="53"/>
      <c r="S1226" s="53"/>
      <c r="T1226" s="48">
        <v>212.38</v>
      </c>
      <c r="U1226" s="98"/>
      <c r="V1226" s="98">
        <v>132.49835201054714</v>
      </c>
      <c r="W1226" s="98">
        <v>58.884365535558885</v>
      </c>
      <c r="X1226" s="98">
        <f>IF(W1226=0,V1226,W1226)</f>
        <v>58.884365535558885</v>
      </c>
      <c r="Y1226" s="233">
        <v>1.25</v>
      </c>
      <c r="Z1226" s="48">
        <v>0.62</v>
      </c>
      <c r="AA1226" s="48">
        <v>1.33</v>
      </c>
      <c r="AB1226" s="48">
        <v>0.96</v>
      </c>
      <c r="AC1226" s="48">
        <v>0.5101</v>
      </c>
      <c r="AD1226" s="48">
        <v>1.3</v>
      </c>
      <c r="AE1226" s="48">
        <v>1.66</v>
      </c>
      <c r="AF1226" s="48">
        <f t="shared" si="327"/>
        <v>1.33</v>
      </c>
      <c r="AG1226" s="49">
        <v>1.3</v>
      </c>
      <c r="AH1226" s="98">
        <v>5.6400000000000002E-7</v>
      </c>
      <c r="AI1226" s="98"/>
      <c r="AJ1226" s="483">
        <f t="shared" si="325"/>
        <v>-4.6372872223293093</v>
      </c>
      <c r="AK1226" s="483"/>
      <c r="AL1226" s="483">
        <f t="shared" si="326"/>
        <v>-4.6372872223293093</v>
      </c>
      <c r="AM1226" s="483">
        <v>-12.801919999999999</v>
      </c>
      <c r="AN1226" s="226"/>
      <c r="AO1226" s="484">
        <v>1.25</v>
      </c>
      <c r="AP1226" s="484">
        <v>1.71</v>
      </c>
      <c r="AQ1226" s="48" t="s">
        <v>6311</v>
      </c>
      <c r="AR1226" s="48" t="s">
        <v>6311</v>
      </c>
      <c r="AS1226" s="227"/>
      <c r="AT1226" s="50" t="s">
        <v>266</v>
      </c>
      <c r="AU1226" s="48">
        <v>6</v>
      </c>
      <c r="AV1226" s="48">
        <v>120</v>
      </c>
      <c r="AW1226" s="48">
        <v>114</v>
      </c>
      <c r="AX1226" s="48">
        <v>28</v>
      </c>
      <c r="AY1226" s="48" t="s">
        <v>8728</v>
      </c>
      <c r="AZ1226" s="48" t="s">
        <v>1563</v>
      </c>
      <c r="BA1226" s="48">
        <v>32</v>
      </c>
      <c r="BB1226" s="47" t="s">
        <v>2485</v>
      </c>
      <c r="BC1226" s="47" t="s">
        <v>8726</v>
      </c>
      <c r="BD1226" s="47" t="s">
        <v>8374</v>
      </c>
      <c r="BE1226" s="48" t="s">
        <v>2449</v>
      </c>
      <c r="BF1226" s="48" t="s">
        <v>272</v>
      </c>
      <c r="BG1226" s="48" t="s">
        <v>272</v>
      </c>
      <c r="BH1226" s="48" t="s">
        <v>2486</v>
      </c>
      <c r="BI1226" s="98">
        <v>6.3999999999999997E-6</v>
      </c>
      <c r="BJ1226" s="98">
        <v>6.4000000000000001E-2</v>
      </c>
      <c r="BK1226" s="48"/>
      <c r="BL1226" s="98">
        <f t="shared" si="315"/>
        <v>14.255353786098398</v>
      </c>
      <c r="BM1226" s="47" t="s">
        <v>2487</v>
      </c>
      <c r="BN1226" s="48"/>
      <c r="BO1226" s="48"/>
      <c r="BP1226" s="48"/>
      <c r="BQ1226" s="48"/>
      <c r="BR1226" s="47" t="s">
        <v>2496</v>
      </c>
      <c r="BS1226" s="48"/>
      <c r="BT1226" s="48"/>
      <c r="BU1226" s="228">
        <v>3.2000000000000001E-2</v>
      </c>
      <c r="BV1226" s="48"/>
      <c r="BW1226" s="48"/>
      <c r="BX1226" s="48"/>
      <c r="BY1226" s="48"/>
      <c r="BZ1226" s="48"/>
      <c r="CA1226" s="48"/>
      <c r="CB1226" s="48"/>
      <c r="CC1226" s="48"/>
      <c r="CD1226" s="48"/>
      <c r="CE1226" s="48"/>
      <c r="CF1226" s="48"/>
      <c r="CG1226" s="48"/>
      <c r="CH1226" s="48"/>
      <c r="CI1226" s="98"/>
      <c r="CJ1226" s="98"/>
      <c r="CK1226" s="49">
        <f t="shared" si="328"/>
        <v>222.73990290778747</v>
      </c>
      <c r="CL1226" s="229"/>
      <c r="CM1226" s="229"/>
      <c r="CN1226" s="229"/>
      <c r="CO1226" s="47" t="s">
        <v>2488</v>
      </c>
      <c r="CP1226" s="47" t="s">
        <v>2489</v>
      </c>
      <c r="CQ1226" s="224" t="s">
        <v>272</v>
      </c>
      <c r="CR1226" s="224"/>
      <c r="CS1226" s="230" t="s">
        <v>539</v>
      </c>
      <c r="CT1226" s="230"/>
      <c r="CU1226" s="230"/>
      <c r="CV1226" s="335">
        <f t="shared" si="314"/>
        <v>920.06821149310758</v>
      </c>
      <c r="CW1226" s="230">
        <f t="shared" si="324"/>
        <v>1</v>
      </c>
      <c r="CX1226" s="336"/>
      <c r="CY1226" s="230" t="s">
        <v>5921</v>
      </c>
    </row>
    <row r="1227" spans="1:103" ht="11.25" customHeight="1" x14ac:dyDescent="0.2">
      <c r="A1227" s="72">
        <v>1225</v>
      </c>
      <c r="B1227" s="224">
        <v>1379</v>
      </c>
      <c r="C1227" s="46" t="s">
        <v>7348</v>
      </c>
      <c r="D1227" s="46"/>
      <c r="E1227" s="114"/>
      <c r="F1227" s="114" t="s">
        <v>4252</v>
      </c>
      <c r="G1227" s="114">
        <v>2243621</v>
      </c>
      <c r="H1227" s="47" t="s">
        <v>4253</v>
      </c>
      <c r="I1227" s="47" t="s">
        <v>4253</v>
      </c>
      <c r="J1227" s="47" t="s">
        <v>4254</v>
      </c>
      <c r="K1227" s="47" t="s">
        <v>1573</v>
      </c>
      <c r="L1227" s="47"/>
      <c r="M1227" s="47"/>
      <c r="N1227" s="47"/>
      <c r="O1227" s="47"/>
      <c r="P1227" s="53"/>
      <c r="Q1227" s="53"/>
      <c r="R1227" s="53"/>
      <c r="S1227" s="53"/>
      <c r="T1227" s="48">
        <v>158.19999999999999</v>
      </c>
      <c r="U1227" s="98">
        <v>2.4020227560050569</v>
      </c>
      <c r="V1227" s="98">
        <v>76.611883691529712</v>
      </c>
      <c r="W1227" s="98">
        <v>12.882495516931332</v>
      </c>
      <c r="X1227" s="98">
        <v>2.4020227560050569</v>
      </c>
      <c r="Y1227" s="233">
        <v>8.35</v>
      </c>
      <c r="Z1227" s="48">
        <v>1.34</v>
      </c>
      <c r="AA1227" s="48">
        <v>0.89</v>
      </c>
      <c r="AB1227" s="48">
        <v>1.25</v>
      </c>
      <c r="AC1227" s="48">
        <v>0.84040000000000004</v>
      </c>
      <c r="AD1227" s="48">
        <v>1.1599999999999999</v>
      </c>
      <c r="AE1227" s="48">
        <v>0.89</v>
      </c>
      <c r="AF1227" s="48">
        <f t="shared" si="327"/>
        <v>0.89</v>
      </c>
      <c r="AG1227" s="49">
        <v>1.55</v>
      </c>
      <c r="AH1227" s="98">
        <v>6.5700000000000003E-11</v>
      </c>
      <c r="AI1227" s="98"/>
      <c r="AJ1227" s="483">
        <f t="shared" si="325"/>
        <v>-8.5710009567528704</v>
      </c>
      <c r="AK1227" s="483"/>
      <c r="AL1227" s="483">
        <f t="shared" si="326"/>
        <v>-8.5710009567528704</v>
      </c>
      <c r="AM1227" s="483">
        <v>-12.430299999999999</v>
      </c>
      <c r="AN1227" s="226">
        <v>-8.6199999999999992</v>
      </c>
      <c r="AO1227" s="484"/>
      <c r="AP1227" s="484">
        <v>4.59</v>
      </c>
      <c r="AQ1227" s="48" t="s">
        <v>6311</v>
      </c>
      <c r="AR1227" s="48" t="s">
        <v>6311</v>
      </c>
      <c r="AS1227" s="227"/>
      <c r="AT1227" s="50" t="s">
        <v>266</v>
      </c>
      <c r="AU1227" s="48">
        <v>6</v>
      </c>
      <c r="AV1227" s="48">
        <v>120</v>
      </c>
      <c r="AW1227" s="48">
        <v>114</v>
      </c>
      <c r="AX1227" s="48">
        <v>28</v>
      </c>
      <c r="AY1227" s="48" t="s">
        <v>8728</v>
      </c>
      <c r="AZ1227" s="48" t="s">
        <v>1563</v>
      </c>
      <c r="BA1227" s="48">
        <v>32</v>
      </c>
      <c r="BB1227" s="47" t="s">
        <v>2485</v>
      </c>
      <c r="BC1227" s="47" t="s">
        <v>8726</v>
      </c>
      <c r="BD1227" s="47" t="s">
        <v>8374</v>
      </c>
      <c r="BE1227" s="48" t="s">
        <v>2449</v>
      </c>
      <c r="BF1227" s="48" t="s">
        <v>272</v>
      </c>
      <c r="BG1227" s="48" t="s">
        <v>272</v>
      </c>
      <c r="BH1227" s="48" t="s">
        <v>2486</v>
      </c>
      <c r="BI1227" s="98">
        <v>6.3999999999999997E-6</v>
      </c>
      <c r="BJ1227" s="98">
        <v>6.4000000000000001E-2</v>
      </c>
      <c r="BK1227" s="48"/>
      <c r="BL1227" s="98">
        <f t="shared" si="315"/>
        <v>3.2162218642919709</v>
      </c>
      <c r="BM1227" s="47" t="s">
        <v>2487</v>
      </c>
      <c r="BN1227" s="48"/>
      <c r="BO1227" s="48"/>
      <c r="BP1227" s="48"/>
      <c r="BQ1227" s="48"/>
      <c r="BR1227" s="47" t="s">
        <v>2496</v>
      </c>
      <c r="BS1227" s="48"/>
      <c r="BT1227" s="48"/>
      <c r="BU1227" s="228"/>
      <c r="BV1227" s="48"/>
      <c r="BW1227" s="48"/>
      <c r="BX1227" s="48"/>
      <c r="BY1227" s="48"/>
      <c r="BZ1227" s="48"/>
      <c r="CA1227" s="48"/>
      <c r="CB1227" s="48"/>
      <c r="CC1227" s="48"/>
      <c r="CD1227" s="48"/>
      <c r="CE1227" s="48"/>
      <c r="CF1227" s="48"/>
      <c r="CG1227" s="48"/>
      <c r="CH1227" s="48"/>
      <c r="CI1227" s="98"/>
      <c r="CJ1227" s="98"/>
      <c r="CK1227" s="49">
        <f t="shared" si="328"/>
        <v>50.253466629562041</v>
      </c>
      <c r="CL1227" s="229"/>
      <c r="CM1227" s="229"/>
      <c r="CN1227" s="229"/>
      <c r="CO1227" s="47" t="s">
        <v>2488</v>
      </c>
      <c r="CP1227" s="47" t="s">
        <v>2489</v>
      </c>
      <c r="CQ1227" s="224" t="s">
        <v>272</v>
      </c>
      <c r="CR1227" s="224"/>
      <c r="CS1227" s="230" t="s">
        <v>539</v>
      </c>
      <c r="CT1227" s="230"/>
      <c r="CU1227" s="230"/>
      <c r="CV1227" s="335">
        <f t="shared" si="314"/>
        <v>37.53160556257901</v>
      </c>
      <c r="CW1227" s="230">
        <f t="shared" si="324"/>
        <v>1</v>
      </c>
      <c r="CX1227" s="336"/>
      <c r="CY1227" s="230" t="s">
        <v>6351</v>
      </c>
    </row>
    <row r="1228" spans="1:103" ht="11.25" customHeight="1" x14ac:dyDescent="0.2">
      <c r="A1228" s="72">
        <v>1226</v>
      </c>
      <c r="B1228" s="224">
        <v>1906</v>
      </c>
      <c r="C1228" s="46" t="s">
        <v>1526</v>
      </c>
      <c r="D1228" s="46"/>
      <c r="E1228" s="114"/>
      <c r="F1228" s="114" t="s">
        <v>1527</v>
      </c>
      <c r="G1228" s="225">
        <v>2303175</v>
      </c>
      <c r="H1228" s="47" t="s">
        <v>1528</v>
      </c>
      <c r="I1228" s="47" t="s">
        <v>8083</v>
      </c>
      <c r="J1228" s="47" t="s">
        <v>1529</v>
      </c>
      <c r="K1228" s="47" t="s">
        <v>1530</v>
      </c>
      <c r="L1228" s="47" t="s">
        <v>6017</v>
      </c>
      <c r="M1228" s="47" t="s">
        <v>6082</v>
      </c>
      <c r="N1228" s="47" t="s">
        <v>6082</v>
      </c>
      <c r="O1228" s="47" t="s">
        <v>6083</v>
      </c>
      <c r="P1228" s="53"/>
      <c r="Q1228" s="53"/>
      <c r="R1228" s="53"/>
      <c r="S1228" s="53"/>
      <c r="T1228" s="48">
        <v>304.66000000000003</v>
      </c>
      <c r="U1228" s="98">
        <v>1.3129390139828005E-2</v>
      </c>
      <c r="V1228" s="98">
        <v>4.4639926475415212E-3</v>
      </c>
      <c r="W1228" s="98">
        <v>4.7863009232263715E-3</v>
      </c>
      <c r="X1228" s="98">
        <v>1.3129390139828005E-2</v>
      </c>
      <c r="Y1228" s="233">
        <v>7</v>
      </c>
      <c r="Z1228" s="48">
        <v>4.57</v>
      </c>
      <c r="AA1228" s="48">
        <v>4.5999999999999996</v>
      </c>
      <c r="AB1228" s="48">
        <v>4.29</v>
      </c>
      <c r="AC1228" s="48">
        <v>0.74060000000000004</v>
      </c>
      <c r="AD1228" s="48">
        <v>4.93</v>
      </c>
      <c r="AE1228" s="48">
        <v>6.18</v>
      </c>
      <c r="AF1228" s="48">
        <f t="shared" si="327"/>
        <v>4.5999999999999996</v>
      </c>
      <c r="AG1228" s="49">
        <v>3.99</v>
      </c>
      <c r="AH1228" s="98">
        <v>5.66E-6</v>
      </c>
      <c r="AI1228" s="98">
        <v>1.2E-5</v>
      </c>
      <c r="AJ1228" s="483">
        <f t="shared" si="325"/>
        <v>-3.6357498951243805</v>
      </c>
      <c r="AK1228" s="483">
        <f>LOG10(AI1228*1000/(0.08206*298.15))</f>
        <v>-3.3093850802650269</v>
      </c>
      <c r="AL1228" s="483">
        <f t="shared" si="326"/>
        <v>-3.3093850802650269</v>
      </c>
      <c r="AM1228" s="483">
        <v>-10.536390000000001</v>
      </c>
      <c r="AN1228" s="226">
        <v>-4.0999999999999996</v>
      </c>
      <c r="AO1228" s="484"/>
      <c r="AP1228" s="484">
        <v>-1.48</v>
      </c>
      <c r="AQ1228" s="226" t="s">
        <v>6311</v>
      </c>
      <c r="AR1228" s="226" t="s">
        <v>6311</v>
      </c>
      <c r="AS1228" s="224"/>
      <c r="AT1228" s="50" t="s">
        <v>266</v>
      </c>
      <c r="AU1228" s="48">
        <v>6</v>
      </c>
      <c r="AV1228" s="48">
        <v>120</v>
      </c>
      <c r="AW1228" s="48">
        <v>114</v>
      </c>
      <c r="AX1228" s="48">
        <v>28</v>
      </c>
      <c r="AY1228" s="48" t="s">
        <v>8728</v>
      </c>
      <c r="AZ1228" s="48" t="s">
        <v>1563</v>
      </c>
      <c r="BA1228" s="48">
        <v>32</v>
      </c>
      <c r="BB1228" s="47" t="s">
        <v>2485</v>
      </c>
      <c r="BC1228" s="47" t="s">
        <v>8726</v>
      </c>
      <c r="BD1228" s="47" t="s">
        <v>8374</v>
      </c>
      <c r="BE1228" s="48" t="s">
        <v>2449</v>
      </c>
      <c r="BF1228" s="48" t="s">
        <v>272</v>
      </c>
      <c r="BG1228" s="48" t="s">
        <v>272</v>
      </c>
      <c r="BH1228" s="48" t="s">
        <v>2486</v>
      </c>
      <c r="BI1228" s="98">
        <v>6.3999999999999997E-6</v>
      </c>
      <c r="BJ1228" s="98">
        <v>6.4000000000000001E-2</v>
      </c>
      <c r="BK1228" s="48"/>
      <c r="BL1228" s="98">
        <f t="shared" si="315"/>
        <v>4.0409455634817194E-3</v>
      </c>
      <c r="BM1228" s="47" t="s">
        <v>2487</v>
      </c>
      <c r="BN1228" s="48"/>
      <c r="BO1228" s="48"/>
      <c r="BP1228" s="48"/>
      <c r="BQ1228" s="48"/>
      <c r="BR1228" s="47" t="s">
        <v>2496</v>
      </c>
      <c r="BS1228" s="48"/>
      <c r="BT1228" s="48"/>
      <c r="BU1228" s="228"/>
      <c r="BV1228" s="48"/>
      <c r="BW1228" s="48"/>
      <c r="BX1228" s="48"/>
      <c r="BY1228" s="48"/>
      <c r="BZ1228" s="48"/>
      <c r="CA1228" s="48"/>
      <c r="CB1228" s="48"/>
      <c r="CC1228" s="48"/>
      <c r="CD1228" s="48"/>
      <c r="CE1228" s="48"/>
      <c r="CF1228" s="48"/>
      <c r="CG1228" s="48"/>
      <c r="CH1228" s="48"/>
      <c r="CI1228" s="98"/>
      <c r="CJ1228" s="98"/>
      <c r="CK1228" s="49">
        <f t="shared" si="328"/>
        <v>6.3139774429401871E-2</v>
      </c>
      <c r="CL1228" s="229"/>
      <c r="CM1228" s="229">
        <v>-2.4718993890982746</v>
      </c>
      <c r="CN1228" s="229">
        <f>BJ1228/(10^CM1228)</f>
        <v>18.970525573964409</v>
      </c>
      <c r="CO1228" s="47" t="s">
        <v>2488</v>
      </c>
      <c r="CP1228" s="47" t="s">
        <v>2489</v>
      </c>
      <c r="CQ1228" s="224">
        <v>-2.3887196620933664</v>
      </c>
      <c r="CR1228" s="224">
        <f>10^(CJ1228-CQ1228)</f>
        <v>244.74828770252117</v>
      </c>
      <c r="CS1228" s="230" t="s">
        <v>539</v>
      </c>
      <c r="CT1228" s="230"/>
      <c r="CU1228" s="230"/>
      <c r="CV1228" s="335">
        <f t="shared" si="314"/>
        <v>0.20514672093481257</v>
      </c>
      <c r="CW1228" s="230">
        <f t="shared" si="324"/>
        <v>0</v>
      </c>
      <c r="CX1228" s="336"/>
      <c r="CY1228" s="230" t="s">
        <v>5921</v>
      </c>
    </row>
    <row r="1229" spans="1:103" ht="11.25" customHeight="1" x14ac:dyDescent="0.2">
      <c r="A1229" s="72">
        <v>1227</v>
      </c>
      <c r="B1229" s="224">
        <v>1584</v>
      </c>
      <c r="C1229" s="46" t="s">
        <v>7349</v>
      </c>
      <c r="D1229" s="46"/>
      <c r="E1229" s="114"/>
      <c r="F1229" s="114" t="s">
        <v>4732</v>
      </c>
      <c r="G1229" s="225">
        <v>2392394</v>
      </c>
      <c r="H1229" s="47" t="s">
        <v>4733</v>
      </c>
      <c r="I1229" s="47" t="s">
        <v>4733</v>
      </c>
      <c r="J1229" s="47" t="s">
        <v>4734</v>
      </c>
      <c r="K1229" s="47" t="s">
        <v>3444</v>
      </c>
      <c r="L1229" s="47"/>
      <c r="M1229" s="47"/>
      <c r="N1229" s="47"/>
      <c r="O1229" s="47"/>
      <c r="P1229" s="53"/>
      <c r="Q1229" s="53"/>
      <c r="R1229" s="53"/>
      <c r="S1229" s="53"/>
      <c r="T1229" s="48">
        <v>472.44</v>
      </c>
      <c r="U1229" s="98"/>
      <c r="V1229" s="98">
        <v>0.83460333587333846</v>
      </c>
      <c r="W1229" s="98">
        <v>3.1622776601683764</v>
      </c>
      <c r="X1229" s="98">
        <f>IF(W1229=0,V1229,W1229)</f>
        <v>3.1622776601683764</v>
      </c>
      <c r="Y1229" s="233">
        <v>2.5499999999999998</v>
      </c>
      <c r="Z1229" s="48">
        <v>0.51</v>
      </c>
      <c r="AA1229" s="48"/>
      <c r="AB1229" s="48">
        <v>-0.39</v>
      </c>
      <c r="AC1229" s="48">
        <v>0.47010000000000002</v>
      </c>
      <c r="AD1229" s="48">
        <v>0.16</v>
      </c>
      <c r="AE1229" s="48">
        <v>0.65</v>
      </c>
      <c r="AF1229" s="48">
        <f t="shared" si="327"/>
        <v>0.16</v>
      </c>
      <c r="AG1229" s="49">
        <v>0.16</v>
      </c>
      <c r="AH1229" s="98">
        <v>1.07E-19</v>
      </c>
      <c r="AI1229" s="98"/>
      <c r="AJ1229" s="483">
        <f t="shared" si="325"/>
        <v>-17.359182548627441</v>
      </c>
      <c r="AK1229" s="483"/>
      <c r="AL1229" s="483">
        <f t="shared" si="326"/>
        <v>-17.359182548627441</v>
      </c>
      <c r="AM1229" s="483">
        <v>-33.101579999999998</v>
      </c>
      <c r="AN1229" s="226"/>
      <c r="AO1229" s="484">
        <v>1.67</v>
      </c>
      <c r="AP1229" s="484"/>
      <c r="AQ1229" s="48" t="s">
        <v>6311</v>
      </c>
      <c r="AR1229" s="48" t="s">
        <v>6311</v>
      </c>
      <c r="AS1229" s="227"/>
      <c r="AT1229" s="50" t="s">
        <v>266</v>
      </c>
      <c r="AU1229" s="48">
        <v>6</v>
      </c>
      <c r="AV1229" s="48">
        <v>120</v>
      </c>
      <c r="AW1229" s="48">
        <v>114</v>
      </c>
      <c r="AX1229" s="48">
        <v>28</v>
      </c>
      <c r="AY1229" s="48" t="s">
        <v>8728</v>
      </c>
      <c r="AZ1229" s="48" t="s">
        <v>1563</v>
      </c>
      <c r="BA1229" s="48">
        <v>32</v>
      </c>
      <c r="BB1229" s="47" t="s">
        <v>2485</v>
      </c>
      <c r="BC1229" s="47" t="s">
        <v>8726</v>
      </c>
      <c r="BD1229" s="47" t="s">
        <v>8374</v>
      </c>
      <c r="BE1229" s="48" t="s">
        <v>2449</v>
      </c>
      <c r="BF1229" s="48" t="s">
        <v>272</v>
      </c>
      <c r="BG1229" s="48" t="s">
        <v>272</v>
      </c>
      <c r="BH1229" s="48" t="s">
        <v>2486</v>
      </c>
      <c r="BI1229" s="98">
        <v>6.3999999999999997E-6</v>
      </c>
      <c r="BJ1229" s="98">
        <v>6.4000000000000001E-2</v>
      </c>
      <c r="BK1229" s="48"/>
      <c r="BL1229" s="98">
        <f t="shared" si="315"/>
        <v>17.896536891225075</v>
      </c>
      <c r="BM1229" s="47" t="s">
        <v>2487</v>
      </c>
      <c r="BN1229" s="48"/>
      <c r="BO1229" s="48"/>
      <c r="BP1229" s="48"/>
      <c r="BQ1229" s="48"/>
      <c r="BR1229" s="47" t="s">
        <v>2496</v>
      </c>
      <c r="BS1229" s="48"/>
      <c r="BT1229" s="48"/>
      <c r="BU1229" s="228"/>
      <c r="BV1229" s="48"/>
      <c r="BW1229" s="48"/>
      <c r="BX1229" s="48"/>
      <c r="BY1229" s="48"/>
      <c r="BZ1229" s="48"/>
      <c r="CA1229" s="48"/>
      <c r="CB1229" s="48"/>
      <c r="CC1229" s="48"/>
      <c r="CD1229" s="48"/>
      <c r="CE1229" s="48"/>
      <c r="CF1229" s="48"/>
      <c r="CG1229" s="48"/>
      <c r="CH1229" s="48"/>
      <c r="CI1229" s="98"/>
      <c r="CJ1229" s="98"/>
      <c r="CK1229" s="49">
        <f t="shared" si="328"/>
        <v>279.63338892539178</v>
      </c>
      <c r="CL1229" s="229"/>
      <c r="CM1229" s="229"/>
      <c r="CN1229" s="229"/>
      <c r="CO1229" s="47" t="s">
        <v>2488</v>
      </c>
      <c r="CP1229" s="47" t="s">
        <v>2489</v>
      </c>
      <c r="CQ1229" s="224" t="s">
        <v>272</v>
      </c>
      <c r="CR1229" s="224"/>
      <c r="CS1229" s="230" t="s">
        <v>539</v>
      </c>
      <c r="CT1229" s="230"/>
      <c r="CU1229" s="230"/>
      <c r="CV1229" s="335">
        <f t="shared" si="314"/>
        <v>49.41058844013088</v>
      </c>
      <c r="CW1229" s="230">
        <f t="shared" si="324"/>
        <v>1</v>
      </c>
      <c r="CX1229" s="336"/>
      <c r="CY1229" s="230" t="s">
        <v>5921</v>
      </c>
    </row>
    <row r="1230" spans="1:103" ht="11.25" customHeight="1" x14ac:dyDescent="0.2">
      <c r="A1230" s="72">
        <v>1228</v>
      </c>
      <c r="B1230" s="224">
        <v>1412</v>
      </c>
      <c r="C1230" s="46" t="s">
        <v>7350</v>
      </c>
      <c r="D1230" s="46"/>
      <c r="E1230" s="114"/>
      <c r="F1230" s="114" t="s">
        <v>1976</v>
      </c>
      <c r="G1230" s="225">
        <v>2416946</v>
      </c>
      <c r="H1230" s="47" t="s">
        <v>1977</v>
      </c>
      <c r="I1230" s="47" t="s">
        <v>1977</v>
      </c>
      <c r="J1230" s="47" t="s">
        <v>1978</v>
      </c>
      <c r="K1230" s="47" t="s">
        <v>349</v>
      </c>
      <c r="L1230" s="47" t="s">
        <v>6025</v>
      </c>
      <c r="M1230" s="47" t="s">
        <v>5960</v>
      </c>
      <c r="N1230" s="47"/>
      <c r="O1230" s="47"/>
      <c r="P1230" s="53" t="s">
        <v>6184</v>
      </c>
      <c r="Q1230" s="53" t="s">
        <v>6173</v>
      </c>
      <c r="R1230" s="53" t="s">
        <v>6185</v>
      </c>
      <c r="S1230" s="53" t="s">
        <v>6176</v>
      </c>
      <c r="T1230" s="48">
        <v>136.19</v>
      </c>
      <c r="U1230" s="98">
        <v>11.601439165871209</v>
      </c>
      <c r="V1230" s="98">
        <v>12.717526984360086</v>
      </c>
      <c r="W1230" s="98">
        <v>15.488166189124804</v>
      </c>
      <c r="X1230" s="98">
        <v>11.601439165871209</v>
      </c>
      <c r="Y1230" s="233">
        <v>6.28</v>
      </c>
      <c r="Z1230" s="48">
        <v>3.15</v>
      </c>
      <c r="AA1230" s="48">
        <v>2.67</v>
      </c>
      <c r="AB1230" s="48">
        <v>2.72</v>
      </c>
      <c r="AC1230" s="48">
        <v>0.95220000000000005</v>
      </c>
      <c r="AD1230" s="48">
        <v>2.75</v>
      </c>
      <c r="AE1230" s="48">
        <v>2.86</v>
      </c>
      <c r="AF1230" s="48">
        <f t="shared" si="327"/>
        <v>2.67</v>
      </c>
      <c r="AG1230" s="49">
        <v>2.83</v>
      </c>
      <c r="AH1230" s="98">
        <v>7.5300000000000003E-7</v>
      </c>
      <c r="AI1230" s="98">
        <v>3.9400000000000004E-6</v>
      </c>
      <c r="AJ1230" s="483">
        <f t="shared" si="325"/>
        <v>-4.5117713501119514</v>
      </c>
      <c r="AK1230" s="483">
        <f>LOG10(AI1230*1000/(0.08206*298.15))</f>
        <v>-3.7930701044870778</v>
      </c>
      <c r="AL1230" s="483">
        <f t="shared" si="326"/>
        <v>-3.7930701044870778</v>
      </c>
      <c r="AM1230" s="483">
        <v>-5.6314799999999998</v>
      </c>
      <c r="AN1230" s="226">
        <v>-3.82</v>
      </c>
      <c r="AO1230" s="484">
        <v>10.77</v>
      </c>
      <c r="AP1230" s="484"/>
      <c r="AQ1230" s="48" t="s">
        <v>6311</v>
      </c>
      <c r="AR1230" s="48" t="s">
        <v>6311</v>
      </c>
      <c r="AS1230" s="227"/>
      <c r="AT1230" s="50" t="s">
        <v>266</v>
      </c>
      <c r="AU1230" s="48">
        <v>6</v>
      </c>
      <c r="AV1230" s="48">
        <v>120</v>
      </c>
      <c r="AW1230" s="48">
        <v>114</v>
      </c>
      <c r="AX1230" s="48">
        <v>28</v>
      </c>
      <c r="AY1230" s="48" t="s">
        <v>8728</v>
      </c>
      <c r="AZ1230" s="48" t="s">
        <v>1563</v>
      </c>
      <c r="BA1230" s="48">
        <v>32</v>
      </c>
      <c r="BB1230" s="47" t="s">
        <v>2485</v>
      </c>
      <c r="BC1230" s="47" t="s">
        <v>8726</v>
      </c>
      <c r="BD1230" s="47" t="s">
        <v>8374</v>
      </c>
      <c r="BE1230" s="48" t="s">
        <v>2449</v>
      </c>
      <c r="BF1230" s="48" t="s">
        <v>272</v>
      </c>
      <c r="BG1230" s="48" t="s">
        <v>272</v>
      </c>
      <c r="BH1230" s="48" t="s">
        <v>2486</v>
      </c>
      <c r="BI1230" s="98">
        <v>6.3999999999999997E-6</v>
      </c>
      <c r="BJ1230" s="98">
        <v>6.4000000000000001E-2</v>
      </c>
      <c r="BK1230" s="48"/>
      <c r="BL1230" s="98">
        <f t="shared" si="315"/>
        <v>7.6170183176510087E-2</v>
      </c>
      <c r="BM1230" s="47" t="s">
        <v>2487</v>
      </c>
      <c r="BN1230" s="48"/>
      <c r="BO1230" s="48"/>
      <c r="BP1230" s="48"/>
      <c r="BQ1230" s="48"/>
      <c r="BR1230" s="47" t="s">
        <v>2496</v>
      </c>
      <c r="BS1230" s="48"/>
      <c r="BT1230" s="48"/>
      <c r="BU1230" s="228"/>
      <c r="BV1230" s="48"/>
      <c r="BW1230" s="48"/>
      <c r="BX1230" s="48"/>
      <c r="BY1230" s="48"/>
      <c r="BZ1230" s="48"/>
      <c r="CA1230" s="48"/>
      <c r="CB1230" s="48"/>
      <c r="CC1230" s="48"/>
      <c r="CD1230" s="48"/>
      <c r="CE1230" s="48"/>
      <c r="CF1230" s="48"/>
      <c r="CG1230" s="48"/>
      <c r="CH1230" s="48"/>
      <c r="CI1230" s="98"/>
      <c r="CJ1230" s="98"/>
      <c r="CK1230" s="49">
        <f t="shared" si="328"/>
        <v>1.19015911213297</v>
      </c>
      <c r="CL1230" s="229"/>
      <c r="CM1230" s="229"/>
      <c r="CN1230" s="229"/>
      <c r="CO1230" s="47" t="s">
        <v>2488</v>
      </c>
      <c r="CP1230" s="47" t="s">
        <v>2489</v>
      </c>
      <c r="CQ1230" s="224">
        <v>-1.2200667151287157</v>
      </c>
      <c r="CR1230" s="224">
        <f>10^(CJ1230-CQ1230)</f>
        <v>16.598418682151237</v>
      </c>
      <c r="CS1230" s="230" t="s">
        <v>539</v>
      </c>
      <c r="CT1230" s="230"/>
      <c r="CU1230" s="230"/>
      <c r="CV1230" s="335">
        <f t="shared" si="314"/>
        <v>181.27248696673763</v>
      </c>
      <c r="CW1230" s="230">
        <f t="shared" si="324"/>
        <v>1</v>
      </c>
      <c r="CX1230" s="336"/>
      <c r="CY1230" s="230" t="s">
        <v>6351</v>
      </c>
    </row>
    <row r="1231" spans="1:103" ht="11.25" customHeight="1" x14ac:dyDescent="0.2">
      <c r="A1231" s="72">
        <v>1229</v>
      </c>
      <c r="B1231" s="224">
        <v>1455</v>
      </c>
      <c r="C1231" s="46" t="s">
        <v>7351</v>
      </c>
      <c r="D1231" s="46"/>
      <c r="E1231" s="114"/>
      <c r="F1231" s="114" t="s">
        <v>4473</v>
      </c>
      <c r="G1231" s="225">
        <v>2433149</v>
      </c>
      <c r="H1231" s="47" t="s">
        <v>4474</v>
      </c>
      <c r="I1231" s="47" t="s">
        <v>4474</v>
      </c>
      <c r="J1231" s="47" t="s">
        <v>4475</v>
      </c>
      <c r="K1231" s="47" t="s">
        <v>426</v>
      </c>
      <c r="L1231" s="47"/>
      <c r="M1231" s="47"/>
      <c r="N1231" s="47"/>
      <c r="O1231" s="47"/>
      <c r="P1231" s="53"/>
      <c r="Q1231" s="53"/>
      <c r="R1231" s="53"/>
      <c r="S1231" s="53"/>
      <c r="T1231" s="48">
        <v>182.3</v>
      </c>
      <c r="U1231" s="98"/>
      <c r="V1231" s="98">
        <v>0.19303346132748214</v>
      </c>
      <c r="W1231" s="98">
        <v>2.3442288153199202</v>
      </c>
      <c r="X1231" s="98">
        <f>IF(W1231=0,V1231,W1231)</f>
        <v>2.3442288153199202</v>
      </c>
      <c r="Y1231" s="233">
        <v>7</v>
      </c>
      <c r="Z1231" s="48">
        <v>4.32</v>
      </c>
      <c r="AA1231" s="48"/>
      <c r="AB1231" s="48">
        <v>3.02</v>
      </c>
      <c r="AC1231" s="48">
        <v>0.78400000000000003</v>
      </c>
      <c r="AD1231" s="48">
        <v>3.31</v>
      </c>
      <c r="AE1231" s="48">
        <v>3.89</v>
      </c>
      <c r="AF1231" s="48">
        <f t="shared" si="327"/>
        <v>3.31</v>
      </c>
      <c r="AG1231" s="49">
        <v>0.61</v>
      </c>
      <c r="AH1231" s="98">
        <v>1.1800000000000001E-5</v>
      </c>
      <c r="AI1231" s="98"/>
      <c r="AJ1231" s="483">
        <f t="shared" si="325"/>
        <v>-3.3166843190065265</v>
      </c>
      <c r="AK1231" s="483"/>
      <c r="AL1231" s="483">
        <f t="shared" si="326"/>
        <v>-3.3166843190065265</v>
      </c>
      <c r="AM1231" s="483">
        <v>-5.38917</v>
      </c>
      <c r="AN1231" s="226">
        <v>-6.3</v>
      </c>
      <c r="AO1231" s="484">
        <v>15.31</v>
      </c>
      <c r="AP1231" s="484"/>
      <c r="AQ1231" s="48" t="s">
        <v>6311</v>
      </c>
      <c r="AR1231" s="48" t="s">
        <v>6311</v>
      </c>
      <c r="AS1231" s="227"/>
      <c r="AT1231" s="50" t="s">
        <v>266</v>
      </c>
      <c r="AU1231" s="48">
        <v>6</v>
      </c>
      <c r="AV1231" s="48">
        <v>120</v>
      </c>
      <c r="AW1231" s="48">
        <v>114</v>
      </c>
      <c r="AX1231" s="48">
        <v>28</v>
      </c>
      <c r="AY1231" s="48" t="s">
        <v>8728</v>
      </c>
      <c r="AZ1231" s="48" t="s">
        <v>1563</v>
      </c>
      <c r="BA1231" s="48">
        <v>32</v>
      </c>
      <c r="BB1231" s="47" t="s">
        <v>2485</v>
      </c>
      <c r="BC1231" s="47" t="s">
        <v>8726</v>
      </c>
      <c r="BD1231" s="47" t="s">
        <v>8374</v>
      </c>
      <c r="BE1231" s="48" t="s">
        <v>2449</v>
      </c>
      <c r="BF1231" s="48" t="s">
        <v>272</v>
      </c>
      <c r="BG1231" s="48" t="s">
        <v>272</v>
      </c>
      <c r="BH1231" s="48" t="s">
        <v>2486</v>
      </c>
      <c r="BI1231" s="98">
        <v>6.3999999999999997E-6</v>
      </c>
      <c r="BJ1231" s="98">
        <v>6.4000000000000001E-2</v>
      </c>
      <c r="BK1231" s="48"/>
      <c r="BL1231" s="98">
        <f t="shared" si="315"/>
        <v>6.776539903435146E-3</v>
      </c>
      <c r="BM1231" s="47" t="s">
        <v>2487</v>
      </c>
      <c r="BN1231" s="48"/>
      <c r="BO1231" s="48"/>
      <c r="BP1231" s="48"/>
      <c r="BQ1231" s="48"/>
      <c r="BR1231" s="47" t="s">
        <v>2496</v>
      </c>
      <c r="BS1231" s="48"/>
      <c r="BT1231" s="48"/>
      <c r="BU1231" s="228"/>
      <c r="BV1231" s="48"/>
      <c r="BW1231" s="48"/>
      <c r="BX1231" s="48"/>
      <c r="BY1231" s="48"/>
      <c r="BZ1231" s="48"/>
      <c r="CA1231" s="48"/>
      <c r="CB1231" s="48"/>
      <c r="CC1231" s="48"/>
      <c r="CD1231" s="48"/>
      <c r="CE1231" s="48"/>
      <c r="CF1231" s="48"/>
      <c r="CG1231" s="48"/>
      <c r="CH1231" s="48"/>
      <c r="CI1231" s="98"/>
      <c r="CJ1231" s="98"/>
      <c r="CK1231" s="49">
        <f t="shared" si="328"/>
        <v>0.10588343599117415</v>
      </c>
      <c r="CL1231" s="229"/>
      <c r="CM1231" s="229"/>
      <c r="CN1231" s="229"/>
      <c r="CO1231" s="47" t="s">
        <v>2488</v>
      </c>
      <c r="CP1231" s="47" t="s">
        <v>2489</v>
      </c>
      <c r="CQ1231" s="224" t="s">
        <v>272</v>
      </c>
      <c r="CR1231" s="224"/>
      <c r="CS1231" s="230" t="s">
        <v>539</v>
      </c>
      <c r="CT1231" s="230"/>
      <c r="CU1231" s="230"/>
      <c r="CV1231" s="335">
        <f t="shared" si="314"/>
        <v>36.628575239373752</v>
      </c>
      <c r="CW1231" s="230">
        <f t="shared" si="324"/>
        <v>1</v>
      </c>
      <c r="CX1231" s="336"/>
      <c r="CY1231" s="230" t="s">
        <v>5921</v>
      </c>
    </row>
    <row r="1232" spans="1:103" ht="11.25" customHeight="1" x14ac:dyDescent="0.2">
      <c r="A1232" s="72">
        <v>1230</v>
      </c>
      <c r="B1232" s="224">
        <v>1921</v>
      </c>
      <c r="C1232" s="46" t="s">
        <v>7352</v>
      </c>
      <c r="D1232" s="46"/>
      <c r="E1232" s="114"/>
      <c r="F1232" s="114" t="s">
        <v>5395</v>
      </c>
      <c r="G1232" s="225">
        <v>2451629</v>
      </c>
      <c r="H1232" s="47" t="s">
        <v>5396</v>
      </c>
      <c r="I1232" s="47" t="s">
        <v>8084</v>
      </c>
      <c r="J1232" s="47" t="s">
        <v>5397</v>
      </c>
      <c r="K1232" s="47" t="s">
        <v>5398</v>
      </c>
      <c r="L1232" s="47"/>
      <c r="M1232" s="47"/>
      <c r="N1232" s="47"/>
      <c r="O1232" s="47"/>
      <c r="P1232" s="53"/>
      <c r="Q1232" s="53"/>
      <c r="R1232" s="53"/>
      <c r="S1232" s="53"/>
      <c r="T1232" s="48">
        <v>297.26</v>
      </c>
      <c r="U1232" s="98"/>
      <c r="V1232" s="98">
        <v>4.0065935544641054</v>
      </c>
      <c r="W1232" s="98">
        <v>107.15193052376064</v>
      </c>
      <c r="X1232" s="98">
        <f>IF(W1232=0,V1232,W1232)</f>
        <v>107.15193052376064</v>
      </c>
      <c r="Y1232" s="233">
        <v>7</v>
      </c>
      <c r="Z1232" s="48">
        <v>1.21</v>
      </c>
      <c r="AA1232" s="48"/>
      <c r="AB1232" s="48">
        <v>-0.96</v>
      </c>
      <c r="AC1232" s="48">
        <v>0.5796</v>
      </c>
      <c r="AD1232" s="48">
        <v>-1.69</v>
      </c>
      <c r="AE1232" s="48">
        <v>-2.77</v>
      </c>
      <c r="AF1232" s="48">
        <f t="shared" si="327"/>
        <v>-1.69</v>
      </c>
      <c r="AG1232" s="49">
        <v>-1.1200000000000001</v>
      </c>
      <c r="AH1232" s="98">
        <v>9.4099999999999997E-21</v>
      </c>
      <c r="AI1232" s="98"/>
      <c r="AJ1232" s="483">
        <f t="shared" si="325"/>
        <v>-18.414976702885394</v>
      </c>
      <c r="AK1232" s="483"/>
      <c r="AL1232" s="483">
        <f t="shared" si="326"/>
        <v>-18.414976702885394</v>
      </c>
      <c r="AM1232" s="483">
        <v>-18.009830000000001</v>
      </c>
      <c r="AN1232" s="226">
        <v>-1.0900000000000001</v>
      </c>
      <c r="AO1232" s="484"/>
      <c r="AP1232" s="484">
        <v>-2.44</v>
      </c>
      <c r="AQ1232" s="226" t="s">
        <v>6312</v>
      </c>
      <c r="AR1232" s="226" t="s">
        <v>6311</v>
      </c>
      <c r="AS1232" s="224"/>
      <c r="AT1232" s="50" t="s">
        <v>266</v>
      </c>
      <c r="AU1232" s="48">
        <v>6</v>
      </c>
      <c r="AV1232" s="48">
        <v>120</v>
      </c>
      <c r="AW1232" s="48">
        <v>114</v>
      </c>
      <c r="AX1232" s="48">
        <v>28</v>
      </c>
      <c r="AY1232" s="48" t="s">
        <v>8728</v>
      </c>
      <c r="AZ1232" s="48" t="s">
        <v>1563</v>
      </c>
      <c r="BA1232" s="48">
        <v>32</v>
      </c>
      <c r="BB1232" s="47" t="s">
        <v>2485</v>
      </c>
      <c r="BC1232" s="47" t="s">
        <v>8726</v>
      </c>
      <c r="BD1232" s="47" t="s">
        <v>8374</v>
      </c>
      <c r="BE1232" s="48" t="s">
        <v>2449</v>
      </c>
      <c r="BF1232" s="48" t="s">
        <v>272</v>
      </c>
      <c r="BG1232" s="48" t="s">
        <v>272</v>
      </c>
      <c r="BH1232" s="48" t="s">
        <v>2486</v>
      </c>
      <c r="BI1232" s="98">
        <v>6.3999999999999997E-6</v>
      </c>
      <c r="BJ1232" s="98">
        <v>6.4000000000000001E-2</v>
      </c>
      <c r="BK1232" s="48"/>
      <c r="BL1232" s="98">
        <f t="shared" si="315"/>
        <v>4.2082254644398551</v>
      </c>
      <c r="BM1232" s="47" t="s">
        <v>2487</v>
      </c>
      <c r="BN1232" s="48"/>
      <c r="BO1232" s="48"/>
      <c r="BP1232" s="48"/>
      <c r="BQ1232" s="48"/>
      <c r="BR1232" s="47" t="s">
        <v>2496</v>
      </c>
      <c r="BS1232" s="48"/>
      <c r="BT1232" s="48"/>
      <c r="BU1232" s="228"/>
      <c r="BV1232" s="48"/>
      <c r="BW1232" s="48"/>
      <c r="BX1232" s="48"/>
      <c r="BY1232" s="48"/>
      <c r="BZ1232" s="48"/>
      <c r="CA1232" s="48"/>
      <c r="CB1232" s="48"/>
      <c r="CC1232" s="48"/>
      <c r="CD1232" s="48"/>
      <c r="CE1232" s="48"/>
      <c r="CF1232" s="48"/>
      <c r="CG1232" s="48"/>
      <c r="CH1232" s="48"/>
      <c r="CI1232" s="98"/>
      <c r="CJ1232" s="98"/>
      <c r="CK1232" s="49">
        <f t="shared" si="328"/>
        <v>65.75352288187274</v>
      </c>
      <c r="CL1232" s="229"/>
      <c r="CM1232" s="229"/>
      <c r="CN1232" s="229"/>
      <c r="CO1232" s="47" t="s">
        <v>2488</v>
      </c>
      <c r="CP1232" s="47" t="s">
        <v>2489</v>
      </c>
      <c r="CQ1232" s="224" t="s">
        <v>272</v>
      </c>
      <c r="CR1232" s="224"/>
      <c r="CS1232" s="230" t="s">
        <v>539</v>
      </c>
      <c r="CT1232" s="230"/>
      <c r="CU1232" s="230"/>
      <c r="CV1232" s="335">
        <f t="shared" si="314"/>
        <v>1674.2489144337599</v>
      </c>
      <c r="CW1232" s="230">
        <f t="shared" si="324"/>
        <v>1</v>
      </c>
      <c r="CX1232" s="336"/>
      <c r="CY1232" s="230" t="s">
        <v>6351</v>
      </c>
    </row>
    <row r="1233" spans="1:103" ht="11.25" customHeight="1" x14ac:dyDescent="0.2">
      <c r="A1233" s="72">
        <v>1231</v>
      </c>
      <c r="B1233" s="224">
        <v>1745</v>
      </c>
      <c r="C1233" s="46" t="s">
        <v>7353</v>
      </c>
      <c r="D1233" s="46"/>
      <c r="E1233" s="114"/>
      <c r="F1233" s="114" t="s">
        <v>5034</v>
      </c>
      <c r="G1233" s="225">
        <v>2528167</v>
      </c>
      <c r="H1233" s="47" t="s">
        <v>5035</v>
      </c>
      <c r="I1233" s="47" t="s">
        <v>5035</v>
      </c>
      <c r="J1233" s="47" t="s">
        <v>5036</v>
      </c>
      <c r="K1233" s="47" t="s">
        <v>357</v>
      </c>
      <c r="L1233" s="47"/>
      <c r="M1233" s="47"/>
      <c r="N1233" s="47"/>
      <c r="O1233" s="47"/>
      <c r="P1233" s="53"/>
      <c r="Q1233" s="53"/>
      <c r="R1233" s="53"/>
      <c r="S1233" s="53"/>
      <c r="T1233" s="48">
        <v>256.25</v>
      </c>
      <c r="U1233" s="98"/>
      <c r="V1233" s="98">
        <v>0.20159999999999997</v>
      </c>
      <c r="W1233" s="98">
        <v>1.0232929922807532</v>
      </c>
      <c r="X1233" s="98">
        <f>IF(W1233=0,V1233,W1233)</f>
        <v>1.0232929922807532</v>
      </c>
      <c r="Y1233" s="233">
        <v>3.32</v>
      </c>
      <c r="Z1233" s="48">
        <v>3.07</v>
      </c>
      <c r="AA1233" s="48"/>
      <c r="AB1233" s="48">
        <v>3.74</v>
      </c>
      <c r="AC1233" s="48">
        <v>0.81030000000000002</v>
      </c>
      <c r="AD1233" s="48">
        <v>3.49</v>
      </c>
      <c r="AE1233" s="48">
        <v>2.9</v>
      </c>
      <c r="AF1233" s="48">
        <f t="shared" si="327"/>
        <v>3.49</v>
      </c>
      <c r="AG1233" s="49">
        <v>2.74</v>
      </c>
      <c r="AH1233" s="98">
        <v>5.64E-11</v>
      </c>
      <c r="AI1233" s="98"/>
      <c r="AJ1233" s="483">
        <f t="shared" si="325"/>
        <v>-8.6372872223293093</v>
      </c>
      <c r="AK1233" s="483"/>
      <c r="AL1233" s="483">
        <f t="shared" si="326"/>
        <v>-8.6372872223293093</v>
      </c>
      <c r="AM1233" s="483">
        <v>-13.388949999999999</v>
      </c>
      <c r="AN1233" s="226">
        <v>-8.07</v>
      </c>
      <c r="AO1233" s="484">
        <v>3.37</v>
      </c>
      <c r="AP1233" s="484"/>
      <c r="AQ1233" s="226" t="s">
        <v>6311</v>
      </c>
      <c r="AR1233" s="226" t="s">
        <v>6312</v>
      </c>
      <c r="AS1233" s="224"/>
      <c r="AT1233" s="50" t="s">
        <v>266</v>
      </c>
      <c r="AU1233" s="48">
        <v>6</v>
      </c>
      <c r="AV1233" s="48">
        <v>120</v>
      </c>
      <c r="AW1233" s="48">
        <v>114</v>
      </c>
      <c r="AX1233" s="48">
        <v>28</v>
      </c>
      <c r="AY1233" s="48" t="s">
        <v>8728</v>
      </c>
      <c r="AZ1233" s="48" t="s">
        <v>1563</v>
      </c>
      <c r="BA1233" s="48">
        <v>32</v>
      </c>
      <c r="BB1233" s="47" t="s">
        <v>2485</v>
      </c>
      <c r="BC1233" s="47" t="s">
        <v>8726</v>
      </c>
      <c r="BD1233" s="47" t="s">
        <v>8374</v>
      </c>
      <c r="BE1233" s="48" t="s">
        <v>2449</v>
      </c>
      <c r="BF1233" s="48" t="s">
        <v>272</v>
      </c>
      <c r="BG1233" s="48" t="s">
        <v>272</v>
      </c>
      <c r="BH1233" s="48" t="s">
        <v>2486</v>
      </c>
      <c r="BI1233" s="98">
        <v>6.3999999999999997E-6</v>
      </c>
      <c r="BJ1233" s="98">
        <v>6.4000000000000001E-2</v>
      </c>
      <c r="BK1233" s="48"/>
      <c r="BL1233" s="98">
        <f t="shared" si="315"/>
        <v>8.987377833203794E-2</v>
      </c>
      <c r="BM1233" s="47" t="s">
        <v>2487</v>
      </c>
      <c r="BN1233" s="48"/>
      <c r="BO1233" s="48"/>
      <c r="BP1233" s="48"/>
      <c r="BQ1233" s="48"/>
      <c r="BR1233" s="47" t="s">
        <v>2496</v>
      </c>
      <c r="BS1233" s="48"/>
      <c r="BT1233" s="48"/>
      <c r="BU1233" s="228"/>
      <c r="BV1233" s="48"/>
      <c r="BW1233" s="48"/>
      <c r="BX1233" s="48"/>
      <c r="BY1233" s="48"/>
      <c r="BZ1233" s="48"/>
      <c r="CA1233" s="48"/>
      <c r="CB1233" s="48"/>
      <c r="CC1233" s="48"/>
      <c r="CD1233" s="48"/>
      <c r="CE1233" s="48"/>
      <c r="CF1233" s="48"/>
      <c r="CG1233" s="48"/>
      <c r="CH1233" s="48"/>
      <c r="CI1233" s="98"/>
      <c r="CJ1233" s="98"/>
      <c r="CK1233" s="49">
        <f t="shared" si="328"/>
        <v>1.4042777864380929</v>
      </c>
      <c r="CL1233" s="229"/>
      <c r="CM1233" s="229"/>
      <c r="CN1233" s="229"/>
      <c r="CO1233" s="47" t="s">
        <v>2488</v>
      </c>
      <c r="CP1233" s="47" t="s">
        <v>2489</v>
      </c>
      <c r="CQ1233" s="224" t="s">
        <v>272</v>
      </c>
      <c r="CR1233" s="224"/>
      <c r="CS1233" s="230" t="s">
        <v>539</v>
      </c>
      <c r="CT1233" s="230"/>
      <c r="CU1233" s="230"/>
      <c r="CV1233" s="335">
        <f t="shared" ref="CV1233:CV1292" si="329">X1233/BJ1233</f>
        <v>15.988953004386769</v>
      </c>
      <c r="CW1233" s="230">
        <f t="shared" si="324"/>
        <v>1</v>
      </c>
      <c r="CX1233" s="336"/>
      <c r="CY1233" s="230" t="s">
        <v>5921</v>
      </c>
    </row>
    <row r="1234" spans="1:103" ht="11.25" customHeight="1" x14ac:dyDescent="0.2">
      <c r="A1234" s="72">
        <v>1232</v>
      </c>
      <c r="B1234" s="224">
        <v>1602</v>
      </c>
      <c r="C1234" s="46" t="s">
        <v>7354</v>
      </c>
      <c r="D1234" s="46"/>
      <c r="E1234" s="114"/>
      <c r="F1234" s="114" t="s">
        <v>4759</v>
      </c>
      <c r="G1234" s="225">
        <v>2550405</v>
      </c>
      <c r="H1234" s="47" t="s">
        <v>4760</v>
      </c>
      <c r="I1234" s="47" t="s">
        <v>4760</v>
      </c>
      <c r="J1234" s="47" t="s">
        <v>4761</v>
      </c>
      <c r="K1234" s="47" t="s">
        <v>426</v>
      </c>
      <c r="L1234" s="47"/>
      <c r="M1234" s="47"/>
      <c r="N1234" s="47"/>
      <c r="O1234" s="47"/>
      <c r="P1234" s="53"/>
      <c r="Q1234" s="53"/>
      <c r="R1234" s="53"/>
      <c r="S1234" s="53"/>
      <c r="T1234" s="48">
        <v>230.44</v>
      </c>
      <c r="U1234" s="98"/>
      <c r="V1234" s="98">
        <v>4.3872591563964586E-4</v>
      </c>
      <c r="W1234" s="98">
        <v>0.20417379446695288</v>
      </c>
      <c r="X1234" s="98">
        <f>IF(W1234=0,V1234,W1234)</f>
        <v>0.20417379446695288</v>
      </c>
      <c r="Y1234" s="233">
        <v>7</v>
      </c>
      <c r="Z1234" s="48">
        <v>6.41</v>
      </c>
      <c r="AA1234" s="48"/>
      <c r="AB1234" s="48">
        <v>4.67</v>
      </c>
      <c r="AC1234" s="48">
        <v>0.65080000000000005</v>
      </c>
      <c r="AD1234" s="48">
        <v>5.19</v>
      </c>
      <c r="AE1234" s="48">
        <v>5.89</v>
      </c>
      <c r="AF1234" s="48">
        <f t="shared" si="327"/>
        <v>5.19</v>
      </c>
      <c r="AG1234" s="49">
        <v>0.22</v>
      </c>
      <c r="AH1234" s="98">
        <v>4.0099999999999997E-3</v>
      </c>
      <c r="AI1234" s="98"/>
      <c r="AJ1234" s="483">
        <f t="shared" si="325"/>
        <v>-0.78542195369246948</v>
      </c>
      <c r="AK1234" s="483"/>
      <c r="AL1234" s="483">
        <f t="shared" si="326"/>
        <v>-0.78542195369246948</v>
      </c>
      <c r="AM1234" s="483">
        <v>-4.8088700000000006</v>
      </c>
      <c r="AN1234" s="226">
        <v>-33.9</v>
      </c>
      <c r="AO1234" s="484"/>
      <c r="AP1234" s="484"/>
      <c r="AQ1234" s="48" t="s">
        <v>6311</v>
      </c>
      <c r="AR1234" s="48" t="s">
        <v>6311</v>
      </c>
      <c r="AS1234" s="227"/>
      <c r="AT1234" s="50" t="s">
        <v>266</v>
      </c>
      <c r="AU1234" s="48">
        <v>6</v>
      </c>
      <c r="AV1234" s="48">
        <v>120</v>
      </c>
      <c r="AW1234" s="48">
        <v>114</v>
      </c>
      <c r="AX1234" s="48">
        <v>28</v>
      </c>
      <c r="AY1234" s="48" t="s">
        <v>8728</v>
      </c>
      <c r="AZ1234" s="48" t="s">
        <v>1563</v>
      </c>
      <c r="BA1234" s="48">
        <v>32</v>
      </c>
      <c r="BB1234" s="47" t="s">
        <v>2485</v>
      </c>
      <c r="BC1234" s="47" t="s">
        <v>8726</v>
      </c>
      <c r="BD1234" s="47" t="s">
        <v>8374</v>
      </c>
      <c r="BE1234" s="48" t="s">
        <v>2449</v>
      </c>
      <c r="BF1234" s="48" t="s">
        <v>272</v>
      </c>
      <c r="BG1234" s="48" t="s">
        <v>272</v>
      </c>
      <c r="BH1234" s="48" t="s">
        <v>2486</v>
      </c>
      <c r="BI1234" s="98">
        <v>6.3999999999999997E-6</v>
      </c>
      <c r="BJ1234" s="98">
        <v>6.4000000000000001E-2</v>
      </c>
      <c r="BK1234" s="48"/>
      <c r="BL1234" s="98">
        <f t="shared" ref="BL1234:BL1292" si="330">10^((-0.8981*Z1234)+1.7108)</f>
        <v>8.9945408801742058E-5</v>
      </c>
      <c r="BM1234" s="47" t="s">
        <v>2487</v>
      </c>
      <c r="BN1234" s="48"/>
      <c r="BO1234" s="48"/>
      <c r="BP1234" s="48"/>
      <c r="BQ1234" s="48"/>
      <c r="BR1234" s="47" t="s">
        <v>2496</v>
      </c>
      <c r="BS1234" s="48"/>
      <c r="BT1234" s="48"/>
      <c r="BU1234" s="228"/>
      <c r="BV1234" s="48"/>
      <c r="BW1234" s="48"/>
      <c r="BX1234" s="48"/>
      <c r="BY1234" s="48"/>
      <c r="BZ1234" s="48"/>
      <c r="CA1234" s="48"/>
      <c r="CB1234" s="48"/>
      <c r="CC1234" s="48"/>
      <c r="CD1234" s="48"/>
      <c r="CE1234" s="48"/>
      <c r="CF1234" s="48"/>
      <c r="CG1234" s="48"/>
      <c r="CH1234" s="48"/>
      <c r="CI1234" s="98"/>
      <c r="CJ1234" s="98"/>
      <c r="CK1234" s="49">
        <f t="shared" si="328"/>
        <v>1.4053970125272196E-3</v>
      </c>
      <c r="CL1234" s="229"/>
      <c r="CM1234" s="229"/>
      <c r="CN1234" s="229"/>
      <c r="CO1234" s="47" t="s">
        <v>2488</v>
      </c>
      <c r="CP1234" s="47" t="s">
        <v>2489</v>
      </c>
      <c r="CQ1234" s="224" t="s">
        <v>272</v>
      </c>
      <c r="CR1234" s="224"/>
      <c r="CS1234" s="230" t="s">
        <v>539</v>
      </c>
      <c r="CT1234" s="230"/>
      <c r="CU1234" s="230"/>
      <c r="CV1234" s="335">
        <f t="shared" si="329"/>
        <v>3.1902155385461386</v>
      </c>
      <c r="CW1234" s="230">
        <f t="shared" si="324"/>
        <v>1</v>
      </c>
      <c r="CX1234" s="336"/>
      <c r="CY1234" s="230" t="s">
        <v>5921</v>
      </c>
    </row>
    <row r="1235" spans="1:103" ht="11.25" customHeight="1" x14ac:dyDescent="0.2">
      <c r="A1235" s="72">
        <v>1233</v>
      </c>
      <c r="B1235" s="224">
        <v>335</v>
      </c>
      <c r="C1235" s="46" t="s">
        <v>7355</v>
      </c>
      <c r="D1235" s="46"/>
      <c r="E1235" s="114"/>
      <c r="F1235" s="114" t="s">
        <v>3862</v>
      </c>
      <c r="G1235" s="225">
        <v>2593159</v>
      </c>
      <c r="H1235" s="47" t="s">
        <v>3863</v>
      </c>
      <c r="I1235" s="47" t="s">
        <v>8085</v>
      </c>
      <c r="J1235" s="47" t="s">
        <v>3864</v>
      </c>
      <c r="K1235" s="47" t="s">
        <v>2938</v>
      </c>
      <c r="L1235" s="47" t="s">
        <v>6039</v>
      </c>
      <c r="M1235" s="47" t="s">
        <v>6082</v>
      </c>
      <c r="N1235" s="47" t="s">
        <v>6082</v>
      </c>
      <c r="O1235" s="47" t="s">
        <v>6083</v>
      </c>
      <c r="P1235" s="53"/>
      <c r="Q1235" s="53"/>
      <c r="R1235" s="53"/>
      <c r="S1235" s="53"/>
      <c r="T1235" s="48">
        <v>247.53</v>
      </c>
      <c r="U1235" s="98">
        <v>0.47266997939643679</v>
      </c>
      <c r="V1235" s="98">
        <v>0.13061043105886155</v>
      </c>
      <c r="W1235" s="98">
        <v>0.81283051616409874</v>
      </c>
      <c r="X1235" s="98">
        <v>0.47266997939643679</v>
      </c>
      <c r="Y1235" s="233">
        <v>7</v>
      </c>
      <c r="Z1235" s="48">
        <v>3.6</v>
      </c>
      <c r="AA1235" s="48">
        <v>3.37</v>
      </c>
      <c r="AB1235" s="48">
        <v>2.77</v>
      </c>
      <c r="AC1235" s="48">
        <v>0.79220000000000002</v>
      </c>
      <c r="AD1235" s="48">
        <v>2.9</v>
      </c>
      <c r="AE1235" s="48">
        <v>3.27</v>
      </c>
      <c r="AF1235" s="48">
        <f t="shared" si="327"/>
        <v>3.37</v>
      </c>
      <c r="AG1235" s="49">
        <v>2.94</v>
      </c>
      <c r="AH1235" s="98">
        <v>6.7099999999999999E-8</v>
      </c>
      <c r="AI1235" s="98">
        <v>2.7799999999999997E-7</v>
      </c>
      <c r="AJ1235" s="483">
        <f t="shared" si="325"/>
        <v>-5.5618438061436599</v>
      </c>
      <c r="AK1235" s="483">
        <f>LOG10(AI1235*1000/(0.08206*298.15))</f>
        <v>-4.9445215303945753</v>
      </c>
      <c r="AL1235" s="483">
        <f t="shared" si="326"/>
        <v>-4.9445215303945753</v>
      </c>
      <c r="AM1235" s="483">
        <v>-6.8924500000000002</v>
      </c>
      <c r="AN1235" s="226">
        <v>-7.14</v>
      </c>
      <c r="AO1235" s="484"/>
      <c r="AP1235" s="484">
        <v>-3.46</v>
      </c>
      <c r="AQ1235" s="226" t="s">
        <v>6311</v>
      </c>
      <c r="AR1235" s="226" t="s">
        <v>6311</v>
      </c>
      <c r="AS1235" s="224" t="s">
        <v>6</v>
      </c>
      <c r="AT1235" s="50" t="s">
        <v>266</v>
      </c>
      <c r="AU1235" s="48">
        <v>8</v>
      </c>
      <c r="AV1235" s="48">
        <v>144</v>
      </c>
      <c r="AW1235" s="48">
        <v>120</v>
      </c>
      <c r="AX1235" s="48">
        <v>26</v>
      </c>
      <c r="AY1235" s="48" t="s">
        <v>267</v>
      </c>
      <c r="AZ1235" s="48" t="s">
        <v>2253</v>
      </c>
      <c r="BA1235" s="48">
        <v>2</v>
      </c>
      <c r="BB1235" s="47" t="s">
        <v>2254</v>
      </c>
      <c r="BC1235" s="47" t="s">
        <v>270</v>
      </c>
      <c r="BD1235" s="47" t="s">
        <v>8374</v>
      </c>
      <c r="BE1235" s="48" t="s">
        <v>1712</v>
      </c>
      <c r="BF1235" s="48" t="s">
        <v>272</v>
      </c>
      <c r="BG1235" s="48" t="s">
        <v>272</v>
      </c>
      <c r="BH1235" s="48" t="s">
        <v>2255</v>
      </c>
      <c r="BI1235" s="98">
        <v>9.9999999999999995E-7</v>
      </c>
      <c r="BJ1235" s="98">
        <v>0.08</v>
      </c>
      <c r="BK1235" s="48"/>
      <c r="BL1235" s="98">
        <f t="shared" si="330"/>
        <v>3.0035855063856854E-2</v>
      </c>
      <c r="BM1235" s="48" t="s">
        <v>891</v>
      </c>
      <c r="BN1235" s="233"/>
      <c r="BO1235" s="233"/>
      <c r="BP1235" s="233"/>
      <c r="BQ1235" s="233"/>
      <c r="BR1235" s="233"/>
      <c r="BS1235" s="48"/>
      <c r="BT1235" s="233"/>
      <c r="BU1235" s="228"/>
      <c r="BV1235" s="233"/>
      <c r="BW1235" s="233"/>
      <c r="BX1235" s="233"/>
      <c r="BY1235" s="233"/>
      <c r="BZ1235" s="233"/>
      <c r="CA1235" s="233"/>
      <c r="CB1235" s="233"/>
      <c r="CC1235" s="48"/>
      <c r="CD1235" s="48"/>
      <c r="CE1235" s="48"/>
      <c r="CF1235" s="48"/>
      <c r="CG1235" s="233"/>
      <c r="CH1235" s="48"/>
      <c r="CI1235" s="98"/>
      <c r="CJ1235" s="98"/>
      <c r="CK1235" s="49">
        <f t="shared" si="328"/>
        <v>0.37544818829821069</v>
      </c>
      <c r="CL1235" s="229"/>
      <c r="CM1235" s="229"/>
      <c r="CN1235" s="229"/>
      <c r="CO1235" s="47" t="s">
        <v>892</v>
      </c>
      <c r="CP1235" s="47" t="s">
        <v>893</v>
      </c>
      <c r="CQ1235" s="224">
        <v>-2.2593739579611429</v>
      </c>
      <c r="CR1235" s="224">
        <f>10^(CJ1235-CQ1235)</f>
        <v>181.70796221360507</v>
      </c>
      <c r="CS1235" s="230" t="s">
        <v>539</v>
      </c>
      <c r="CT1235" s="230"/>
      <c r="CU1235" s="230"/>
      <c r="CV1235" s="335">
        <f t="shared" si="329"/>
        <v>5.90837474245546</v>
      </c>
      <c r="CW1235" s="230">
        <f t="shared" si="324"/>
        <v>1</v>
      </c>
      <c r="CX1235" s="336" t="s">
        <v>539</v>
      </c>
      <c r="CY1235" s="230" t="s">
        <v>5921</v>
      </c>
    </row>
    <row r="1236" spans="1:103" ht="11.25" customHeight="1" x14ac:dyDescent="0.2">
      <c r="A1236" s="72">
        <v>1234</v>
      </c>
      <c r="B1236" s="224">
        <v>1652</v>
      </c>
      <c r="C1236" s="46" t="s">
        <v>7355</v>
      </c>
      <c r="D1236" s="46"/>
      <c r="E1236" s="114"/>
      <c r="F1236" s="114" t="s">
        <v>3862</v>
      </c>
      <c r="G1236" s="225">
        <v>2593159</v>
      </c>
      <c r="H1236" s="47" t="s">
        <v>3863</v>
      </c>
      <c r="I1236" s="47" t="s">
        <v>8085</v>
      </c>
      <c r="J1236" s="47" t="s">
        <v>3864</v>
      </c>
      <c r="K1236" s="47" t="s">
        <v>2938</v>
      </c>
      <c r="L1236" s="47" t="s">
        <v>6039</v>
      </c>
      <c r="M1236" s="47" t="s">
        <v>6082</v>
      </c>
      <c r="N1236" s="47" t="s">
        <v>6082</v>
      </c>
      <c r="O1236" s="47" t="s">
        <v>6083</v>
      </c>
      <c r="P1236" s="53"/>
      <c r="Q1236" s="53"/>
      <c r="R1236" s="53"/>
      <c r="S1236" s="53"/>
      <c r="T1236" s="48">
        <v>247.53</v>
      </c>
      <c r="U1236" s="98">
        <v>0.47266997939643679</v>
      </c>
      <c r="V1236" s="98">
        <v>0.13061043105886155</v>
      </c>
      <c r="W1236" s="98">
        <v>0.81283051616409874</v>
      </c>
      <c r="X1236" s="98">
        <v>0.47266997939643679</v>
      </c>
      <c r="Y1236" s="233">
        <v>7</v>
      </c>
      <c r="Z1236" s="48">
        <v>3.6</v>
      </c>
      <c r="AA1236" s="48">
        <v>3.37</v>
      </c>
      <c r="AB1236" s="48">
        <v>2.77</v>
      </c>
      <c r="AC1236" s="48">
        <v>0.79220000000000002</v>
      </c>
      <c r="AD1236" s="48">
        <v>2.9</v>
      </c>
      <c r="AE1236" s="48">
        <v>3.27</v>
      </c>
      <c r="AF1236" s="48">
        <f t="shared" si="327"/>
        <v>3.37</v>
      </c>
      <c r="AG1236" s="49">
        <v>2.94</v>
      </c>
      <c r="AH1236" s="98">
        <v>6.7099999999999999E-8</v>
      </c>
      <c r="AI1236" s="98">
        <v>2.7799999999999997E-7</v>
      </c>
      <c r="AJ1236" s="483">
        <f t="shared" si="325"/>
        <v>-5.5618438061436599</v>
      </c>
      <c r="AK1236" s="483">
        <f>LOG10(AI1236*1000/(0.08206*298.15))</f>
        <v>-4.9445215303945753</v>
      </c>
      <c r="AL1236" s="483">
        <f t="shared" si="326"/>
        <v>-4.9445215303945753</v>
      </c>
      <c r="AM1236" s="483">
        <v>-6.8924500000000002</v>
      </c>
      <c r="AN1236" s="226">
        <v>-7.14</v>
      </c>
      <c r="AO1236" s="484"/>
      <c r="AP1236" s="484">
        <v>-3.46</v>
      </c>
      <c r="AQ1236" s="226" t="s">
        <v>6311</v>
      </c>
      <c r="AR1236" s="226" t="s">
        <v>6311</v>
      </c>
      <c r="AS1236" s="224"/>
      <c r="AT1236" s="50" t="s">
        <v>266</v>
      </c>
      <c r="AU1236" s="48">
        <v>6</v>
      </c>
      <c r="AV1236" s="48">
        <v>120</v>
      </c>
      <c r="AW1236" s="48">
        <v>114</v>
      </c>
      <c r="AX1236" s="48">
        <v>28</v>
      </c>
      <c r="AY1236" s="48" t="s">
        <v>8728</v>
      </c>
      <c r="AZ1236" s="48" t="s">
        <v>1563</v>
      </c>
      <c r="BA1236" s="48">
        <v>32</v>
      </c>
      <c r="BB1236" s="47" t="s">
        <v>2485</v>
      </c>
      <c r="BC1236" s="47" t="s">
        <v>8726</v>
      </c>
      <c r="BD1236" s="47" t="s">
        <v>8374</v>
      </c>
      <c r="BE1236" s="48" t="s">
        <v>2449</v>
      </c>
      <c r="BF1236" s="48" t="s">
        <v>272</v>
      </c>
      <c r="BG1236" s="48" t="s">
        <v>272</v>
      </c>
      <c r="BH1236" s="48" t="s">
        <v>2486</v>
      </c>
      <c r="BI1236" s="98">
        <v>6.3999999999999997E-6</v>
      </c>
      <c r="BJ1236" s="98">
        <v>6.4000000000000001E-2</v>
      </c>
      <c r="BK1236" s="48"/>
      <c r="BL1236" s="98">
        <f t="shared" si="330"/>
        <v>3.0035855063856854E-2</v>
      </c>
      <c r="BM1236" s="47" t="s">
        <v>2487</v>
      </c>
      <c r="BN1236" s="48"/>
      <c r="BO1236" s="48"/>
      <c r="BP1236" s="48"/>
      <c r="BQ1236" s="48"/>
      <c r="BR1236" s="47" t="s">
        <v>2496</v>
      </c>
      <c r="BS1236" s="48"/>
      <c r="BT1236" s="48"/>
      <c r="BU1236" s="228"/>
      <c r="BV1236" s="48"/>
      <c r="BW1236" s="48"/>
      <c r="BX1236" s="48"/>
      <c r="BY1236" s="48"/>
      <c r="BZ1236" s="48"/>
      <c r="CA1236" s="48"/>
      <c r="CB1236" s="48"/>
      <c r="CC1236" s="48"/>
      <c r="CD1236" s="48"/>
      <c r="CE1236" s="48"/>
      <c r="CF1236" s="48"/>
      <c r="CG1236" s="48"/>
      <c r="CH1236" s="48"/>
      <c r="CI1236" s="98"/>
      <c r="CJ1236" s="98"/>
      <c r="CK1236" s="49">
        <f t="shared" si="328"/>
        <v>0.46931023537276334</v>
      </c>
      <c r="CL1236" s="229"/>
      <c r="CM1236" s="229"/>
      <c r="CN1236" s="229"/>
      <c r="CO1236" s="47" t="s">
        <v>2488</v>
      </c>
      <c r="CP1236" s="47" t="s">
        <v>2489</v>
      </c>
      <c r="CQ1236" s="224">
        <v>-2.2593739579611429</v>
      </c>
      <c r="CR1236" s="224">
        <f>10^(CJ1236-CQ1236)</f>
        <v>181.70796221360507</v>
      </c>
      <c r="CS1236" s="230" t="s">
        <v>539</v>
      </c>
      <c r="CT1236" s="230"/>
      <c r="CU1236" s="230"/>
      <c r="CV1236" s="335">
        <f t="shared" si="329"/>
        <v>7.3854684280693244</v>
      </c>
      <c r="CW1236" s="230">
        <f t="shared" si="324"/>
        <v>1</v>
      </c>
      <c r="CX1236" s="336"/>
      <c r="CY1236" s="230" t="s">
        <v>5921</v>
      </c>
    </row>
    <row r="1237" spans="1:103" ht="11.25" customHeight="1" x14ac:dyDescent="0.2">
      <c r="A1237" s="72">
        <v>1235</v>
      </c>
      <c r="B1237" s="224">
        <v>1784</v>
      </c>
      <c r="C1237" s="46" t="s">
        <v>7356</v>
      </c>
      <c r="D1237" s="46"/>
      <c r="E1237" s="114"/>
      <c r="F1237" s="114" t="s">
        <v>5132</v>
      </c>
      <c r="G1237" s="225">
        <v>2605790</v>
      </c>
      <c r="H1237" s="47" t="s">
        <v>5133</v>
      </c>
      <c r="I1237" s="47" t="s">
        <v>5133</v>
      </c>
      <c r="J1237" s="47" t="s">
        <v>5134</v>
      </c>
      <c r="K1237" s="47" t="s">
        <v>300</v>
      </c>
      <c r="L1237" s="51"/>
      <c r="M1237" s="47"/>
      <c r="N1237" s="47"/>
      <c r="O1237" s="47"/>
      <c r="P1237" s="53"/>
      <c r="Q1237" s="53"/>
      <c r="R1237" s="53"/>
      <c r="S1237" s="53"/>
      <c r="T1237" s="48">
        <v>201.35</v>
      </c>
      <c r="U1237" s="98"/>
      <c r="V1237" s="98">
        <v>0.15073255525204868</v>
      </c>
      <c r="W1237" s="98">
        <v>380.18939632056117</v>
      </c>
      <c r="X1237" s="98">
        <f>IF(W1237=0,V1237,W1237)</f>
        <v>380.18939632056117</v>
      </c>
      <c r="Y1237" s="233">
        <v>9.19</v>
      </c>
      <c r="Z1237" s="48">
        <v>3.69</v>
      </c>
      <c r="AA1237" s="48"/>
      <c r="AB1237" s="48">
        <v>0.73</v>
      </c>
      <c r="AC1237" s="48">
        <v>0.59219999999999995</v>
      </c>
      <c r="AD1237" s="48">
        <v>1.34</v>
      </c>
      <c r="AE1237" s="48">
        <v>2.21</v>
      </c>
      <c r="AF1237" s="48">
        <f t="shared" si="327"/>
        <v>1.34</v>
      </c>
      <c r="AG1237" s="49">
        <v>1.34</v>
      </c>
      <c r="AH1237" s="98">
        <v>3.75E-11</v>
      </c>
      <c r="AI1237" s="98"/>
      <c r="AJ1237" s="483">
        <f t="shared" si="325"/>
        <v>-8.8145350585849336</v>
      </c>
      <c r="AK1237" s="483"/>
      <c r="AL1237" s="483">
        <f t="shared" si="326"/>
        <v>-8.8145350585849336</v>
      </c>
      <c r="AM1237" s="483">
        <v>-2.40869</v>
      </c>
      <c r="AN1237" s="226"/>
      <c r="AO1237" s="484"/>
      <c r="AP1237" s="484">
        <v>4.79</v>
      </c>
      <c r="AQ1237" s="226" t="s">
        <v>6311</v>
      </c>
      <c r="AR1237" s="226" t="s">
        <v>6311</v>
      </c>
      <c r="AS1237" s="224"/>
      <c r="AT1237" s="50" t="s">
        <v>266</v>
      </c>
      <c r="AU1237" s="48">
        <v>6</v>
      </c>
      <c r="AV1237" s="48">
        <v>120</v>
      </c>
      <c r="AW1237" s="48">
        <v>114</v>
      </c>
      <c r="AX1237" s="48">
        <v>28</v>
      </c>
      <c r="AY1237" s="48" t="s">
        <v>8728</v>
      </c>
      <c r="AZ1237" s="48" t="s">
        <v>1563</v>
      </c>
      <c r="BA1237" s="48">
        <v>32</v>
      </c>
      <c r="BB1237" s="47" t="s">
        <v>2485</v>
      </c>
      <c r="BC1237" s="47" t="s">
        <v>8726</v>
      </c>
      <c r="BD1237" s="47" t="s">
        <v>8374</v>
      </c>
      <c r="BE1237" s="48" t="s">
        <v>2449</v>
      </c>
      <c r="BF1237" s="48" t="s">
        <v>272</v>
      </c>
      <c r="BG1237" s="48" t="s">
        <v>272</v>
      </c>
      <c r="BH1237" s="48" t="s">
        <v>2486</v>
      </c>
      <c r="BI1237" s="98">
        <v>6.3999999999999997E-6</v>
      </c>
      <c r="BJ1237" s="98">
        <v>6.4000000000000001E-2</v>
      </c>
      <c r="BK1237" s="48"/>
      <c r="BL1237" s="98">
        <f t="shared" si="330"/>
        <v>2.4935093439899008E-2</v>
      </c>
      <c r="BM1237" s="47" t="s">
        <v>2487</v>
      </c>
      <c r="BN1237" s="48"/>
      <c r="BO1237" s="48"/>
      <c r="BP1237" s="48"/>
      <c r="BQ1237" s="48"/>
      <c r="BR1237" s="47" t="s">
        <v>2496</v>
      </c>
      <c r="BS1237" s="48"/>
      <c r="BT1237" s="48"/>
      <c r="BU1237" s="228"/>
      <c r="BV1237" s="48"/>
      <c r="BW1237" s="48"/>
      <c r="BX1237" s="48"/>
      <c r="BY1237" s="48"/>
      <c r="BZ1237" s="48"/>
      <c r="CA1237" s="48"/>
      <c r="CB1237" s="48"/>
      <c r="CC1237" s="48"/>
      <c r="CD1237" s="48"/>
      <c r="CE1237" s="48"/>
      <c r="CF1237" s="48"/>
      <c r="CG1237" s="48"/>
      <c r="CH1237" s="48"/>
      <c r="CI1237" s="98"/>
      <c r="CJ1237" s="98"/>
      <c r="CK1237" s="49">
        <f t="shared" si="328"/>
        <v>0.38961083499842197</v>
      </c>
      <c r="CL1237" s="229"/>
      <c r="CM1237" s="229"/>
      <c r="CN1237" s="229"/>
      <c r="CO1237" s="47" t="s">
        <v>2488</v>
      </c>
      <c r="CP1237" s="47" t="s">
        <v>2489</v>
      </c>
      <c r="CQ1237" s="224" t="s">
        <v>272</v>
      </c>
      <c r="CR1237" s="224"/>
      <c r="CS1237" s="230" t="s">
        <v>539</v>
      </c>
      <c r="CT1237" s="230"/>
      <c r="CU1237" s="230"/>
      <c r="CV1237" s="335">
        <f t="shared" si="329"/>
        <v>5940.4593175087684</v>
      </c>
      <c r="CW1237" s="230">
        <f t="shared" si="324"/>
        <v>1</v>
      </c>
      <c r="CX1237" s="336"/>
      <c r="CY1237" s="230" t="s">
        <v>6351</v>
      </c>
    </row>
    <row r="1238" spans="1:103" ht="11.25" customHeight="1" x14ac:dyDescent="0.2">
      <c r="A1238" s="72">
        <v>1236</v>
      </c>
      <c r="B1238" s="224">
        <v>1360</v>
      </c>
      <c r="C1238" s="46" t="s">
        <v>7357</v>
      </c>
      <c r="D1238" s="46"/>
      <c r="E1238" s="114"/>
      <c r="F1238" s="114" t="s">
        <v>4203</v>
      </c>
      <c r="G1238" s="225">
        <v>2634335</v>
      </c>
      <c r="H1238" s="47" t="s">
        <v>4204</v>
      </c>
      <c r="I1238" s="47" t="s">
        <v>4204</v>
      </c>
      <c r="J1238" s="47" t="s">
        <v>4205</v>
      </c>
      <c r="K1238" s="47" t="s">
        <v>731</v>
      </c>
      <c r="L1238" s="47" t="s">
        <v>5576</v>
      </c>
      <c r="M1238" s="47" t="s">
        <v>8487</v>
      </c>
      <c r="N1238" s="47"/>
      <c r="O1238" s="47"/>
      <c r="P1238" s="53"/>
      <c r="Q1238" s="53"/>
      <c r="R1238" s="53"/>
      <c r="S1238" s="53"/>
      <c r="T1238" s="48">
        <v>151.19</v>
      </c>
      <c r="U1238" s="98"/>
      <c r="V1238" s="98">
        <v>141.74217871552352</v>
      </c>
      <c r="W1238" s="98">
        <v>4.5708818961487507</v>
      </c>
      <c r="X1238" s="98">
        <f>IF(W1238=0,V1238,W1238)</f>
        <v>4.5708818961487507</v>
      </c>
      <c r="Y1238" s="233">
        <v>6.26</v>
      </c>
      <c r="Z1238" s="48">
        <v>0.64</v>
      </c>
      <c r="AA1238" s="48"/>
      <c r="AB1238" s="48">
        <v>1.27</v>
      </c>
      <c r="AC1238" s="48">
        <v>0.75619999999999998</v>
      </c>
      <c r="AD1238" s="48">
        <v>1.41</v>
      </c>
      <c r="AE1238" s="48">
        <v>1.77</v>
      </c>
      <c r="AF1238" s="48">
        <f t="shared" si="327"/>
        <v>1.41</v>
      </c>
      <c r="AG1238" s="49">
        <v>1.71</v>
      </c>
      <c r="AH1238" s="98">
        <v>6.9200000000000001E-9</v>
      </c>
      <c r="AI1238" s="98"/>
      <c r="AJ1238" s="483">
        <f t="shared" si="325"/>
        <v>-6.548460231855894</v>
      </c>
      <c r="AK1238" s="483"/>
      <c r="AL1238" s="483">
        <f t="shared" si="326"/>
        <v>-6.548460231855894</v>
      </c>
      <c r="AM1238" s="483">
        <v>-10.705149999999998</v>
      </c>
      <c r="AN1238" s="226">
        <v>-6.71</v>
      </c>
      <c r="AO1238" s="484">
        <v>10.19</v>
      </c>
      <c r="AP1238" s="484">
        <v>-1.97</v>
      </c>
      <c r="AQ1238" s="48" t="s">
        <v>6311</v>
      </c>
      <c r="AR1238" s="48" t="s">
        <v>6311</v>
      </c>
      <c r="AS1238" s="227"/>
      <c r="AT1238" s="50" t="s">
        <v>266</v>
      </c>
      <c r="AU1238" s="48">
        <v>6</v>
      </c>
      <c r="AV1238" s="48">
        <v>120</v>
      </c>
      <c r="AW1238" s="48">
        <v>114</v>
      </c>
      <c r="AX1238" s="48">
        <v>28</v>
      </c>
      <c r="AY1238" s="48" t="s">
        <v>8728</v>
      </c>
      <c r="AZ1238" s="48" t="s">
        <v>1563</v>
      </c>
      <c r="BA1238" s="48">
        <v>32</v>
      </c>
      <c r="BB1238" s="47" t="s">
        <v>2485</v>
      </c>
      <c r="BC1238" s="47" t="s">
        <v>8726</v>
      </c>
      <c r="BD1238" s="47" t="s">
        <v>8374</v>
      </c>
      <c r="BE1238" s="48" t="s">
        <v>2449</v>
      </c>
      <c r="BF1238" s="48" t="s">
        <v>272</v>
      </c>
      <c r="BG1238" s="48" t="s">
        <v>272</v>
      </c>
      <c r="BH1238" s="48" t="s">
        <v>2486</v>
      </c>
      <c r="BI1238" s="98">
        <v>6.3999999999999997E-6</v>
      </c>
      <c r="BJ1238" s="98">
        <v>6.4000000000000001E-2</v>
      </c>
      <c r="BK1238" s="48"/>
      <c r="BL1238" s="98">
        <f t="shared" si="330"/>
        <v>13.677792155161416</v>
      </c>
      <c r="BM1238" s="47" t="s">
        <v>2487</v>
      </c>
      <c r="BN1238" s="48"/>
      <c r="BO1238" s="48"/>
      <c r="BP1238" s="48"/>
      <c r="BQ1238" s="48"/>
      <c r="BR1238" s="47" t="s">
        <v>2496</v>
      </c>
      <c r="BS1238" s="48"/>
      <c r="BT1238" s="48"/>
      <c r="BU1238" s="228"/>
      <c r="BV1238" s="48"/>
      <c r="BW1238" s="48"/>
      <c r="BX1238" s="48"/>
      <c r="BY1238" s="48"/>
      <c r="BZ1238" s="48"/>
      <c r="CA1238" s="48"/>
      <c r="CB1238" s="48"/>
      <c r="CC1238" s="48"/>
      <c r="CD1238" s="48"/>
      <c r="CE1238" s="48"/>
      <c r="CF1238" s="48"/>
      <c r="CG1238" s="48"/>
      <c r="CH1238" s="48"/>
      <c r="CI1238" s="98"/>
      <c r="CJ1238" s="98"/>
      <c r="CK1238" s="49">
        <f t="shared" si="328"/>
        <v>213.71550242439713</v>
      </c>
      <c r="CL1238" s="229"/>
      <c r="CM1238" s="229"/>
      <c r="CN1238" s="229"/>
      <c r="CO1238" s="47" t="s">
        <v>2488</v>
      </c>
      <c r="CP1238" s="47" t="s">
        <v>2489</v>
      </c>
      <c r="CQ1238" s="224">
        <v>-2.2514701365229</v>
      </c>
      <c r="CR1238" s="224">
        <f>10^(CJ1238-CQ1238)</f>
        <v>178.43092895102941</v>
      </c>
      <c r="CS1238" s="230" t="s">
        <v>539</v>
      </c>
      <c r="CT1238" s="230"/>
      <c r="CU1238" s="230"/>
      <c r="CV1238" s="335">
        <f t="shared" si="329"/>
        <v>71.420029627324226</v>
      </c>
      <c r="CW1238" s="230">
        <f t="shared" si="324"/>
        <v>1</v>
      </c>
      <c r="CX1238" s="336"/>
      <c r="CY1238" s="230" t="s">
        <v>5921</v>
      </c>
    </row>
    <row r="1239" spans="1:103" ht="11.25" customHeight="1" x14ac:dyDescent="0.2">
      <c r="A1239" s="72">
        <v>1237</v>
      </c>
      <c r="B1239" s="224">
        <v>246</v>
      </c>
      <c r="C1239" s="46" t="s">
        <v>7358</v>
      </c>
      <c r="D1239" s="46"/>
      <c r="E1239" s="114"/>
      <c r="F1239" s="114" t="s">
        <v>2988</v>
      </c>
      <c r="G1239" s="225">
        <v>2675776</v>
      </c>
      <c r="H1239" s="47" t="s">
        <v>2989</v>
      </c>
      <c r="I1239" s="47" t="s">
        <v>8086</v>
      </c>
      <c r="J1239" s="47" t="s">
        <v>2990</v>
      </c>
      <c r="K1239" s="47" t="s">
        <v>426</v>
      </c>
      <c r="L1239" s="47" t="s">
        <v>6028</v>
      </c>
      <c r="M1239" s="47" t="s">
        <v>6082</v>
      </c>
      <c r="N1239" s="47" t="s">
        <v>6082</v>
      </c>
      <c r="O1239" s="47" t="s">
        <v>6083</v>
      </c>
      <c r="P1239" s="53"/>
      <c r="Q1239" s="53"/>
      <c r="R1239" s="53"/>
      <c r="S1239" s="53"/>
      <c r="T1239" s="48">
        <v>207.05</v>
      </c>
      <c r="U1239" s="98">
        <v>3.8638010142477662E-2</v>
      </c>
      <c r="V1239" s="98">
        <v>0.22265153344602753</v>
      </c>
      <c r="W1239" s="98">
        <v>0.54954087385762462</v>
      </c>
      <c r="X1239" s="98">
        <v>3.8638010142477662E-2</v>
      </c>
      <c r="Y1239" s="233">
        <v>7</v>
      </c>
      <c r="Z1239" s="48">
        <v>3.44</v>
      </c>
      <c r="AA1239" s="48"/>
      <c r="AB1239" s="48">
        <v>3.46</v>
      </c>
      <c r="AC1239" s="48">
        <v>0.86470000000000002</v>
      </c>
      <c r="AD1239" s="48">
        <v>3.49</v>
      </c>
      <c r="AE1239" s="48">
        <v>3.58</v>
      </c>
      <c r="AF1239" s="48">
        <f t="shared" si="327"/>
        <v>3.49</v>
      </c>
      <c r="AG1239" s="49">
        <v>3.1</v>
      </c>
      <c r="AH1239" s="98">
        <v>1.04E-5</v>
      </c>
      <c r="AI1239" s="98">
        <v>1.02E-4</v>
      </c>
      <c r="AJ1239" s="483">
        <f t="shared" si="325"/>
        <v>-3.3715329870138713</v>
      </c>
      <c r="AK1239" s="483">
        <f>LOG10(AI1239*1000/(0.08206*298.15))</f>
        <v>-2.3799661545507345</v>
      </c>
      <c r="AL1239" s="483">
        <f t="shared" si="326"/>
        <v>-2.3799661545507345</v>
      </c>
      <c r="AM1239" s="483">
        <v>-5.5212600000000007</v>
      </c>
      <c r="AN1239" s="226">
        <v>-2.02</v>
      </c>
      <c r="AO1239" s="484"/>
      <c r="AP1239" s="484"/>
      <c r="AQ1239" s="226" t="s">
        <v>6311</v>
      </c>
      <c r="AR1239" s="226" t="s">
        <v>6311</v>
      </c>
      <c r="AS1239" s="224" t="s">
        <v>6</v>
      </c>
      <c r="AT1239" s="50" t="s">
        <v>266</v>
      </c>
      <c r="AU1239" s="48">
        <v>8</v>
      </c>
      <c r="AV1239" s="48">
        <v>144</v>
      </c>
      <c r="AW1239" s="48">
        <v>120</v>
      </c>
      <c r="AX1239" s="48">
        <v>26</v>
      </c>
      <c r="AY1239" s="48" t="s">
        <v>267</v>
      </c>
      <c r="AZ1239" s="48" t="s">
        <v>2253</v>
      </c>
      <c r="BA1239" s="48">
        <v>2</v>
      </c>
      <c r="BB1239" s="47" t="s">
        <v>2254</v>
      </c>
      <c r="BC1239" s="47" t="s">
        <v>270</v>
      </c>
      <c r="BD1239" s="47" t="s">
        <v>8374</v>
      </c>
      <c r="BE1239" s="48" t="s">
        <v>1712</v>
      </c>
      <c r="BF1239" s="48" t="s">
        <v>272</v>
      </c>
      <c r="BG1239" s="48" t="s">
        <v>272</v>
      </c>
      <c r="BH1239" s="48" t="s">
        <v>2255</v>
      </c>
      <c r="BI1239" s="98">
        <v>9.9999999999999995E-7</v>
      </c>
      <c r="BJ1239" s="98">
        <v>0.08</v>
      </c>
      <c r="BK1239" s="48"/>
      <c r="BL1239" s="98">
        <f t="shared" si="330"/>
        <v>4.1815375395893764E-2</v>
      </c>
      <c r="BM1239" s="48" t="s">
        <v>891</v>
      </c>
      <c r="BN1239" s="233"/>
      <c r="BO1239" s="233"/>
      <c r="BP1239" s="233"/>
      <c r="BQ1239" s="233"/>
      <c r="BR1239" s="233"/>
      <c r="BS1239" s="234"/>
      <c r="BT1239" s="233"/>
      <c r="BU1239" s="235"/>
      <c r="BV1239" s="233"/>
      <c r="BW1239" s="233"/>
      <c r="BX1239" s="233"/>
      <c r="BY1239" s="233"/>
      <c r="BZ1239" s="233"/>
      <c r="CA1239" s="233"/>
      <c r="CB1239" s="233"/>
      <c r="CC1239" s="234"/>
      <c r="CD1239" s="238"/>
      <c r="CE1239" s="238"/>
      <c r="CF1239" s="238"/>
      <c r="CG1239" s="233"/>
      <c r="CH1239" s="48"/>
      <c r="CI1239" s="98"/>
      <c r="CJ1239" s="98"/>
      <c r="CK1239" s="49">
        <f t="shared" si="328"/>
        <v>0.52269219244867204</v>
      </c>
      <c r="CL1239" s="229"/>
      <c r="CM1239" s="229"/>
      <c r="CN1239" s="229"/>
      <c r="CO1239" s="47" t="s">
        <v>892</v>
      </c>
      <c r="CP1239" s="47" t="s">
        <v>893</v>
      </c>
      <c r="CQ1239" s="224">
        <v>-1.5974002697097469</v>
      </c>
      <c r="CR1239" s="224">
        <f>10^(CJ1239-CQ1239)</f>
        <v>39.573117969007853</v>
      </c>
      <c r="CS1239" s="230" t="s">
        <v>539</v>
      </c>
      <c r="CT1239" s="230"/>
      <c r="CU1239" s="230"/>
      <c r="CV1239" s="335">
        <f t="shared" si="329"/>
        <v>0.48297512678097076</v>
      </c>
      <c r="CW1239" s="230">
        <f t="shared" si="324"/>
        <v>0</v>
      </c>
      <c r="CX1239" s="336" t="s">
        <v>539</v>
      </c>
      <c r="CY1239" s="230" t="s">
        <v>5921</v>
      </c>
    </row>
    <row r="1240" spans="1:103" ht="11.25" customHeight="1" x14ac:dyDescent="0.2">
      <c r="A1240" s="72">
        <v>1238</v>
      </c>
      <c r="B1240" s="224">
        <v>1059</v>
      </c>
      <c r="C1240" s="46" t="s">
        <v>7358</v>
      </c>
      <c r="D1240" s="46"/>
      <c r="E1240" s="114"/>
      <c r="F1240" s="114" t="s">
        <v>2988</v>
      </c>
      <c r="G1240" s="225">
        <v>2675776</v>
      </c>
      <c r="H1240" s="47" t="s">
        <v>2989</v>
      </c>
      <c r="I1240" s="47" t="s">
        <v>8086</v>
      </c>
      <c r="J1240" s="47" t="s">
        <v>2990</v>
      </c>
      <c r="K1240" s="47" t="s">
        <v>426</v>
      </c>
      <c r="L1240" s="47" t="s">
        <v>6029</v>
      </c>
      <c r="M1240" s="47" t="s">
        <v>6082</v>
      </c>
      <c r="N1240" s="47" t="s">
        <v>6082</v>
      </c>
      <c r="O1240" s="47"/>
      <c r="P1240" s="53"/>
      <c r="Q1240" s="53"/>
      <c r="R1240" s="53"/>
      <c r="S1240" s="53"/>
      <c r="T1240" s="48">
        <v>207.05</v>
      </c>
      <c r="U1240" s="98">
        <v>3.8638010142477662E-2</v>
      </c>
      <c r="V1240" s="98">
        <v>0.22265153344602753</v>
      </c>
      <c r="W1240" s="98">
        <v>0.54954087385762462</v>
      </c>
      <c r="X1240" s="98">
        <v>3.8638010142477662E-2</v>
      </c>
      <c r="Y1240" s="233">
        <v>7</v>
      </c>
      <c r="Z1240" s="48">
        <v>3.44</v>
      </c>
      <c r="AA1240" s="48"/>
      <c r="AB1240" s="48">
        <v>3.46</v>
      </c>
      <c r="AC1240" s="48">
        <v>0.86470000000000002</v>
      </c>
      <c r="AD1240" s="48">
        <v>3.49</v>
      </c>
      <c r="AE1240" s="48">
        <v>3.58</v>
      </c>
      <c r="AF1240" s="48">
        <f t="shared" si="327"/>
        <v>3.49</v>
      </c>
      <c r="AG1240" s="49">
        <v>3.1</v>
      </c>
      <c r="AH1240" s="98">
        <v>1.04E-5</v>
      </c>
      <c r="AI1240" s="98">
        <v>1.02E-4</v>
      </c>
      <c r="AJ1240" s="483">
        <f t="shared" si="325"/>
        <v>-3.3715329870138713</v>
      </c>
      <c r="AK1240" s="483">
        <f>LOG10(AI1240*1000/(0.08206*298.15))</f>
        <v>-2.3799661545507345</v>
      </c>
      <c r="AL1240" s="483">
        <f t="shared" si="326"/>
        <v>-2.3799661545507345</v>
      </c>
      <c r="AM1240" s="483">
        <v>-5.5212600000000007</v>
      </c>
      <c r="AN1240" s="226">
        <v>-2.02</v>
      </c>
      <c r="AO1240" s="484"/>
      <c r="AP1240" s="484"/>
      <c r="AQ1240" s="48" t="s">
        <v>6311</v>
      </c>
      <c r="AR1240" s="48" t="s">
        <v>6311</v>
      </c>
      <c r="AS1240" s="227"/>
      <c r="AT1240" s="50" t="s">
        <v>266</v>
      </c>
      <c r="AU1240" s="48">
        <v>6</v>
      </c>
      <c r="AV1240" s="48">
        <v>120</v>
      </c>
      <c r="AW1240" s="48">
        <v>114</v>
      </c>
      <c r="AX1240" s="48">
        <v>28</v>
      </c>
      <c r="AY1240" s="48" t="s">
        <v>8728</v>
      </c>
      <c r="AZ1240" s="48" t="s">
        <v>1563</v>
      </c>
      <c r="BA1240" s="48">
        <v>32</v>
      </c>
      <c r="BB1240" s="47" t="s">
        <v>2485</v>
      </c>
      <c r="BC1240" s="47" t="s">
        <v>8726</v>
      </c>
      <c r="BD1240" s="47" t="s">
        <v>8374</v>
      </c>
      <c r="BE1240" s="48" t="s">
        <v>2449</v>
      </c>
      <c r="BF1240" s="48" t="s">
        <v>272</v>
      </c>
      <c r="BG1240" s="48" t="s">
        <v>272</v>
      </c>
      <c r="BH1240" s="48" t="s">
        <v>2486</v>
      </c>
      <c r="BI1240" s="98">
        <v>6.3999999999999997E-6</v>
      </c>
      <c r="BJ1240" s="98">
        <v>6.4000000000000001E-2</v>
      </c>
      <c r="BK1240" s="48"/>
      <c r="BL1240" s="98">
        <f t="shared" si="330"/>
        <v>4.1815375395893764E-2</v>
      </c>
      <c r="BM1240" s="47" t="s">
        <v>2487</v>
      </c>
      <c r="BN1240" s="48"/>
      <c r="BO1240" s="48"/>
      <c r="BP1240" s="48"/>
      <c r="BQ1240" s="48"/>
      <c r="BR1240" s="47" t="s">
        <v>2496</v>
      </c>
      <c r="BS1240" s="48"/>
      <c r="BT1240" s="48"/>
      <c r="BU1240" s="228">
        <v>6.4000000000000005E-4</v>
      </c>
      <c r="BV1240" s="48"/>
      <c r="BW1240" s="48"/>
      <c r="BX1240" s="48"/>
      <c r="BY1240" s="48"/>
      <c r="BZ1240" s="48"/>
      <c r="CA1240" s="48"/>
      <c r="CB1240" s="48"/>
      <c r="CC1240" s="48"/>
      <c r="CD1240" s="48"/>
      <c r="CE1240" s="48"/>
      <c r="CF1240" s="48"/>
      <c r="CG1240" s="48"/>
      <c r="CH1240" s="48"/>
      <c r="CI1240" s="98"/>
      <c r="CJ1240" s="98"/>
      <c r="CK1240" s="49">
        <f t="shared" si="328"/>
        <v>0.65336524056084</v>
      </c>
      <c r="CL1240" s="229"/>
      <c r="CM1240" s="229"/>
      <c r="CN1240" s="229"/>
      <c r="CO1240" s="47" t="s">
        <v>2488</v>
      </c>
      <c r="CP1240" s="47" t="s">
        <v>2489</v>
      </c>
      <c r="CQ1240" s="224">
        <v>-1.5974002697097469</v>
      </c>
      <c r="CR1240" s="224">
        <f>10^(CJ1240-CQ1240)</f>
        <v>39.573117969007853</v>
      </c>
      <c r="CS1240" s="230" t="s">
        <v>539</v>
      </c>
      <c r="CT1240" s="230"/>
      <c r="CU1240" s="230"/>
      <c r="CV1240" s="335">
        <f t="shared" si="329"/>
        <v>0.60371890847621346</v>
      </c>
      <c r="CW1240" s="230">
        <f t="shared" si="324"/>
        <v>0</v>
      </c>
      <c r="CX1240" s="336"/>
      <c r="CY1240" s="230" t="s">
        <v>5921</v>
      </c>
    </row>
    <row r="1241" spans="1:103" ht="11.25" customHeight="1" x14ac:dyDescent="0.2">
      <c r="A1241" s="72">
        <v>1239</v>
      </c>
      <c r="B1241" s="224">
        <v>937</v>
      </c>
      <c r="C1241" s="46" t="s">
        <v>7359</v>
      </c>
      <c r="D1241" s="46"/>
      <c r="E1241" s="114"/>
      <c r="F1241" s="114" t="s">
        <v>2676</v>
      </c>
      <c r="G1241" s="225">
        <v>2772454</v>
      </c>
      <c r="H1241" s="47" t="s">
        <v>2677</v>
      </c>
      <c r="I1241" s="47" t="s">
        <v>8087</v>
      </c>
      <c r="J1241" s="47" t="s">
        <v>2678</v>
      </c>
      <c r="K1241" s="47" t="s">
        <v>349</v>
      </c>
      <c r="L1241" s="47"/>
      <c r="M1241" s="47"/>
      <c r="N1241" s="47"/>
      <c r="O1241" s="47"/>
      <c r="P1241" s="53"/>
      <c r="Q1241" s="53"/>
      <c r="R1241" s="53"/>
      <c r="S1241" s="53"/>
      <c r="T1241" s="48">
        <v>330.46</v>
      </c>
      <c r="U1241" s="98"/>
      <c r="V1241" s="98">
        <v>1.6582944985777404E-4</v>
      </c>
      <c r="W1241" s="98">
        <v>1.4791083881682055E-3</v>
      </c>
      <c r="X1241" s="98">
        <f>IF(W1241=0,V1241,W1241)</f>
        <v>1.4791083881682055E-3</v>
      </c>
      <c r="Y1241" s="233">
        <v>7</v>
      </c>
      <c r="Z1241" s="48">
        <v>6.73</v>
      </c>
      <c r="AA1241" s="48"/>
      <c r="AB1241" s="48">
        <v>6.34</v>
      </c>
      <c r="AC1241" s="48">
        <v>0.6321</v>
      </c>
      <c r="AD1241" s="48">
        <v>6.57</v>
      </c>
      <c r="AE1241" s="48">
        <v>6.85</v>
      </c>
      <c r="AF1241" s="48">
        <f t="shared" si="327"/>
        <v>6.57</v>
      </c>
      <c r="AG1241" s="49">
        <v>2.3199999999999998</v>
      </c>
      <c r="AH1241" s="98">
        <v>1.3799999999999999E-8</v>
      </c>
      <c r="AI1241" s="98"/>
      <c r="AJ1241" s="483">
        <f t="shared" si="325"/>
        <v>-6.2486872399114155</v>
      </c>
      <c r="AK1241" s="483"/>
      <c r="AL1241" s="483">
        <f t="shared" si="326"/>
        <v>-6.2486872399114155</v>
      </c>
      <c r="AM1241" s="483">
        <v>-12.430519999999998</v>
      </c>
      <c r="AN1241" s="226">
        <v>-18.399999999999999</v>
      </c>
      <c r="AO1241" s="484">
        <v>10.71</v>
      </c>
      <c r="AP1241" s="484"/>
      <c r="AQ1241" s="48" t="s">
        <v>6311</v>
      </c>
      <c r="AR1241" s="48" t="s">
        <v>6311</v>
      </c>
      <c r="AS1241" s="227"/>
      <c r="AT1241" s="50" t="s">
        <v>266</v>
      </c>
      <c r="AU1241" s="48">
        <v>6</v>
      </c>
      <c r="AV1241" s="48">
        <v>120</v>
      </c>
      <c r="AW1241" s="48">
        <v>114</v>
      </c>
      <c r="AX1241" s="48">
        <v>28</v>
      </c>
      <c r="AY1241" s="48" t="s">
        <v>8728</v>
      </c>
      <c r="AZ1241" s="48" t="s">
        <v>1563</v>
      </c>
      <c r="BA1241" s="48">
        <v>32</v>
      </c>
      <c r="BB1241" s="47" t="s">
        <v>2485</v>
      </c>
      <c r="BC1241" s="47" t="s">
        <v>8726</v>
      </c>
      <c r="BD1241" s="47" t="s">
        <v>8374</v>
      </c>
      <c r="BE1241" s="48" t="s">
        <v>2449</v>
      </c>
      <c r="BF1241" s="48" t="s">
        <v>272</v>
      </c>
      <c r="BG1241" s="48" t="s">
        <v>272</v>
      </c>
      <c r="BH1241" s="48" t="s">
        <v>2486</v>
      </c>
      <c r="BI1241" s="98">
        <v>6.3999999999999997E-6</v>
      </c>
      <c r="BJ1241" s="98">
        <v>6.4000000000000001E-2</v>
      </c>
      <c r="BK1241" s="48"/>
      <c r="BL1241" s="98">
        <f t="shared" si="330"/>
        <v>4.6407374619932546E-5</v>
      </c>
      <c r="BM1241" s="47" t="s">
        <v>2487</v>
      </c>
      <c r="BN1241" s="48"/>
      <c r="BO1241" s="48"/>
      <c r="BP1241" s="48"/>
      <c r="BQ1241" s="48"/>
      <c r="BR1241" s="47" t="s">
        <v>2496</v>
      </c>
      <c r="BS1241" s="48"/>
      <c r="BT1241" s="48"/>
      <c r="BU1241" s="228">
        <v>6.3999999999999997E-6</v>
      </c>
      <c r="BV1241" s="48"/>
      <c r="BW1241" s="48"/>
      <c r="BX1241" s="48"/>
      <c r="BY1241" s="48"/>
      <c r="BZ1241" s="48"/>
      <c r="CA1241" s="48"/>
      <c r="CB1241" s="48"/>
      <c r="CC1241" s="48"/>
      <c r="CD1241" s="48"/>
      <c r="CE1241" s="48"/>
      <c r="CF1241" s="48"/>
      <c r="CG1241" s="48"/>
      <c r="CH1241" s="48"/>
      <c r="CI1241" s="98"/>
      <c r="CJ1241" s="98"/>
      <c r="CK1241" s="49">
        <f t="shared" si="328"/>
        <v>7.25115228436446E-4</v>
      </c>
      <c r="CL1241" s="229"/>
      <c r="CM1241" s="229"/>
      <c r="CN1241" s="229"/>
      <c r="CO1241" s="47" t="s">
        <v>2488</v>
      </c>
      <c r="CP1241" s="47" t="s">
        <v>2489</v>
      </c>
      <c r="CQ1241" s="224" t="s">
        <v>272</v>
      </c>
      <c r="CR1241" s="224"/>
      <c r="CS1241" s="230" t="s">
        <v>539</v>
      </c>
      <c r="CT1241" s="230"/>
      <c r="CU1241" s="230"/>
      <c r="CV1241" s="335">
        <f t="shared" si="329"/>
        <v>2.311106856512821E-2</v>
      </c>
      <c r="CW1241" s="230">
        <f t="shared" si="324"/>
        <v>0</v>
      </c>
      <c r="CX1241" s="336"/>
      <c r="CY1241" s="230" t="s">
        <v>5921</v>
      </c>
    </row>
    <row r="1242" spans="1:103" ht="11.25" customHeight="1" x14ac:dyDescent="0.2">
      <c r="A1242" s="72">
        <v>1240</v>
      </c>
      <c r="B1242" s="224">
        <v>1657</v>
      </c>
      <c r="C1242" s="46" t="s">
        <v>7360</v>
      </c>
      <c r="D1242" s="46"/>
      <c r="E1242" s="114"/>
      <c r="F1242" s="114" t="s">
        <v>4879</v>
      </c>
      <c r="G1242" s="225">
        <v>2783940</v>
      </c>
      <c r="H1242" s="47" t="s">
        <v>4880</v>
      </c>
      <c r="I1242" s="47" t="s">
        <v>4880</v>
      </c>
      <c r="J1242" s="47" t="s">
        <v>4881</v>
      </c>
      <c r="K1242" s="47" t="s">
        <v>349</v>
      </c>
      <c r="L1242" s="47"/>
      <c r="M1242" s="47"/>
      <c r="N1242" s="47"/>
      <c r="O1242" s="47"/>
      <c r="P1242" s="53"/>
      <c r="Q1242" s="53"/>
      <c r="R1242" s="53"/>
      <c r="S1242" s="53"/>
      <c r="T1242" s="48">
        <v>408.41</v>
      </c>
      <c r="U1242" s="98"/>
      <c r="V1242" s="98">
        <v>0.5942557723855928</v>
      </c>
      <c r="W1242" s="98">
        <v>549.54087385762455</v>
      </c>
      <c r="X1242" s="98">
        <f>IF(W1242=0,V1242,W1242)</f>
        <v>549.54087385762455</v>
      </c>
      <c r="Y1242" s="233">
        <v>0.22</v>
      </c>
      <c r="Z1242" s="48">
        <v>1.4</v>
      </c>
      <c r="AA1242" s="48"/>
      <c r="AB1242" s="48">
        <v>-0.42</v>
      </c>
      <c r="AC1242" s="48">
        <v>0.52090000000000003</v>
      </c>
      <c r="AD1242" s="48">
        <v>0.26</v>
      </c>
      <c r="AE1242" s="48">
        <v>1.2</v>
      </c>
      <c r="AF1242" s="48">
        <f t="shared" si="327"/>
        <v>0.26</v>
      </c>
      <c r="AG1242" s="49">
        <v>0.26</v>
      </c>
      <c r="AH1242" s="98">
        <v>3.26E-23</v>
      </c>
      <c r="AI1242" s="98"/>
      <c r="AJ1242" s="483">
        <f t="shared" si="325"/>
        <v>-20.875348726244713</v>
      </c>
      <c r="AK1242" s="483"/>
      <c r="AL1242" s="483">
        <f t="shared" si="326"/>
        <v>-20.875348726244713</v>
      </c>
      <c r="AM1242" s="483">
        <v>-29.274069999999998</v>
      </c>
      <c r="AN1242" s="226"/>
      <c r="AO1242" s="484">
        <v>-1.1599999999999999</v>
      </c>
      <c r="AP1242" s="484"/>
      <c r="AQ1242" s="226" t="s">
        <v>6311</v>
      </c>
      <c r="AR1242" s="226" t="s">
        <v>6311</v>
      </c>
      <c r="AS1242" s="224"/>
      <c r="AT1242" s="50" t="s">
        <v>266</v>
      </c>
      <c r="AU1242" s="48">
        <v>6</v>
      </c>
      <c r="AV1242" s="48">
        <v>120</v>
      </c>
      <c r="AW1242" s="48">
        <v>114</v>
      </c>
      <c r="AX1242" s="48">
        <v>28</v>
      </c>
      <c r="AY1242" s="48" t="s">
        <v>8728</v>
      </c>
      <c r="AZ1242" s="48" t="s">
        <v>1563</v>
      </c>
      <c r="BA1242" s="48">
        <v>32</v>
      </c>
      <c r="BB1242" s="47" t="s">
        <v>2485</v>
      </c>
      <c r="BC1242" s="47" t="s">
        <v>8726</v>
      </c>
      <c r="BD1242" s="47" t="s">
        <v>8374</v>
      </c>
      <c r="BE1242" s="48" t="s">
        <v>2449</v>
      </c>
      <c r="BF1242" s="48" t="s">
        <v>272</v>
      </c>
      <c r="BG1242" s="48" t="s">
        <v>272</v>
      </c>
      <c r="BH1242" s="48" t="s">
        <v>2486</v>
      </c>
      <c r="BI1242" s="98">
        <v>6.3999999999999997E-6</v>
      </c>
      <c r="BJ1242" s="98">
        <v>6.4000000000000001E-2</v>
      </c>
      <c r="BK1242" s="48"/>
      <c r="BL1242" s="98">
        <f t="shared" si="330"/>
        <v>2.8409265139313828</v>
      </c>
      <c r="BM1242" s="47" t="s">
        <v>2487</v>
      </c>
      <c r="BN1242" s="48"/>
      <c r="BO1242" s="48"/>
      <c r="BP1242" s="48"/>
      <c r="BQ1242" s="48"/>
      <c r="BR1242" s="47" t="s">
        <v>2496</v>
      </c>
      <c r="BS1242" s="48"/>
      <c r="BT1242" s="48"/>
      <c r="BU1242" s="228"/>
      <c r="BV1242" s="48"/>
      <c r="BW1242" s="48"/>
      <c r="BX1242" s="48"/>
      <c r="BY1242" s="48"/>
      <c r="BZ1242" s="48"/>
      <c r="CA1242" s="48"/>
      <c r="CB1242" s="48"/>
      <c r="CC1242" s="48"/>
      <c r="CD1242" s="48"/>
      <c r="CE1242" s="48"/>
      <c r="CF1242" s="48"/>
      <c r="CG1242" s="48"/>
      <c r="CH1242" s="48"/>
      <c r="CI1242" s="98"/>
      <c r="CJ1242" s="98"/>
      <c r="CK1242" s="49">
        <f t="shared" si="328"/>
        <v>44.389476780177858</v>
      </c>
      <c r="CL1242" s="229"/>
      <c r="CM1242" s="229"/>
      <c r="CN1242" s="229"/>
      <c r="CO1242" s="47" t="s">
        <v>2488</v>
      </c>
      <c r="CP1242" s="47" t="s">
        <v>2489</v>
      </c>
      <c r="CQ1242" s="224" t="s">
        <v>272</v>
      </c>
      <c r="CR1242" s="224"/>
      <c r="CS1242" s="230" t="s">
        <v>539</v>
      </c>
      <c r="CT1242" s="230"/>
      <c r="CU1242" s="230"/>
      <c r="CV1242" s="335">
        <f t="shared" si="329"/>
        <v>8586.5761540253825</v>
      </c>
      <c r="CW1242" s="230">
        <f t="shared" si="324"/>
        <v>1</v>
      </c>
      <c r="CX1242" s="336"/>
      <c r="CY1242" s="230" t="s">
        <v>6351</v>
      </c>
    </row>
    <row r="1243" spans="1:103" ht="11.25" customHeight="1" x14ac:dyDescent="0.2">
      <c r="A1243" s="72">
        <v>1241</v>
      </c>
      <c r="B1243" s="224">
        <v>1003</v>
      </c>
      <c r="C1243" s="46" t="s">
        <v>7361</v>
      </c>
      <c r="D1243" s="46"/>
      <c r="E1243" s="114"/>
      <c r="F1243" s="114" t="s">
        <v>2862</v>
      </c>
      <c r="G1243" s="225">
        <v>2835952</v>
      </c>
      <c r="H1243" s="47" t="s">
        <v>2863</v>
      </c>
      <c r="I1243" s="47" t="s">
        <v>2863</v>
      </c>
      <c r="J1243" s="47" t="s">
        <v>2864</v>
      </c>
      <c r="K1243" s="47" t="s">
        <v>1568</v>
      </c>
      <c r="L1243" s="47"/>
      <c r="M1243" s="47"/>
      <c r="N1243" s="47"/>
      <c r="O1243" s="47"/>
      <c r="P1243" s="53"/>
      <c r="Q1243" s="53" t="s">
        <v>6179</v>
      </c>
      <c r="R1243" s="53" t="s">
        <v>6185</v>
      </c>
      <c r="S1243" s="53" t="s">
        <v>6182</v>
      </c>
      <c r="T1243" s="48">
        <v>123.15</v>
      </c>
      <c r="U1243" s="98"/>
      <c r="V1243" s="98">
        <v>167.11327649208283</v>
      </c>
      <c r="W1243" s="98">
        <v>89.125093813374534</v>
      </c>
      <c r="X1243" s="98">
        <f>IF(W1243=0,V1243,W1243)</f>
        <v>89.125093813374534</v>
      </c>
      <c r="Y1243" s="233">
        <v>7.47</v>
      </c>
      <c r="Z1243" s="48">
        <v>0.79</v>
      </c>
      <c r="AA1243" s="48"/>
      <c r="AB1243" s="48">
        <v>1.1399999999999999</v>
      </c>
      <c r="AC1243" s="48">
        <v>0.81950000000000001</v>
      </c>
      <c r="AD1243" s="48">
        <v>1.04</v>
      </c>
      <c r="AE1243" s="48">
        <v>0.8</v>
      </c>
      <c r="AF1243" s="48">
        <f t="shared" si="327"/>
        <v>1.04</v>
      </c>
      <c r="AG1243" s="49">
        <v>1.23</v>
      </c>
      <c r="AH1243" s="98">
        <v>2.1899999999999999E-10</v>
      </c>
      <c r="AI1243" s="98"/>
      <c r="AJ1243" s="483">
        <f t="shared" si="325"/>
        <v>-8.048122211472533</v>
      </c>
      <c r="AK1243" s="483"/>
      <c r="AL1243" s="483">
        <f t="shared" si="326"/>
        <v>-8.048122211472533</v>
      </c>
      <c r="AM1243" s="483">
        <v>-10.085749999999999</v>
      </c>
      <c r="AN1243" s="226">
        <v>-7.56</v>
      </c>
      <c r="AO1243" s="484">
        <v>10.36</v>
      </c>
      <c r="AP1243" s="484">
        <v>4.74</v>
      </c>
      <c r="AQ1243" s="48" t="s">
        <v>6311</v>
      </c>
      <c r="AR1243" s="48" t="s">
        <v>6311</v>
      </c>
      <c r="AS1243" s="227"/>
      <c r="AT1243" s="50" t="s">
        <v>266</v>
      </c>
      <c r="AU1243" s="48">
        <v>6</v>
      </c>
      <c r="AV1243" s="48">
        <v>120</v>
      </c>
      <c r="AW1243" s="48">
        <v>114</v>
      </c>
      <c r="AX1243" s="48">
        <v>28</v>
      </c>
      <c r="AY1243" s="48" t="s">
        <v>8728</v>
      </c>
      <c r="AZ1243" s="48" t="s">
        <v>1563</v>
      </c>
      <c r="BA1243" s="48">
        <v>32</v>
      </c>
      <c r="BB1243" s="47" t="s">
        <v>2485</v>
      </c>
      <c r="BC1243" s="47" t="s">
        <v>8726</v>
      </c>
      <c r="BD1243" s="47" t="s">
        <v>8374</v>
      </c>
      <c r="BE1243" s="48" t="s">
        <v>2449</v>
      </c>
      <c r="BF1243" s="48" t="s">
        <v>272</v>
      </c>
      <c r="BG1243" s="48" t="s">
        <v>272</v>
      </c>
      <c r="BH1243" s="48" t="s">
        <v>2486</v>
      </c>
      <c r="BI1243" s="98">
        <v>6.3999999999999997E-6</v>
      </c>
      <c r="BJ1243" s="98">
        <v>6.4000000000000001E-2</v>
      </c>
      <c r="BK1243" s="48"/>
      <c r="BL1243" s="98">
        <f t="shared" si="330"/>
        <v>10.030001546888778</v>
      </c>
      <c r="BM1243" s="47" t="s">
        <v>2487</v>
      </c>
      <c r="BN1243" s="48"/>
      <c r="BO1243" s="48"/>
      <c r="BP1243" s="48"/>
      <c r="BQ1243" s="48"/>
      <c r="BR1243" s="47" t="s">
        <v>2496</v>
      </c>
      <c r="BS1243" s="48"/>
      <c r="BT1243" s="48"/>
      <c r="BU1243" s="228">
        <v>6.3999999999999997E-5</v>
      </c>
      <c r="BV1243" s="48"/>
      <c r="BW1243" s="48"/>
      <c r="BX1243" s="48"/>
      <c r="BY1243" s="48"/>
      <c r="BZ1243" s="48"/>
      <c r="CA1243" s="48"/>
      <c r="CB1243" s="48"/>
      <c r="CC1243" s="48"/>
      <c r="CD1243" s="48"/>
      <c r="CE1243" s="48"/>
      <c r="CF1243" s="48"/>
      <c r="CG1243" s="48"/>
      <c r="CH1243" s="48"/>
      <c r="CI1243" s="98"/>
      <c r="CJ1243" s="98"/>
      <c r="CK1243" s="49">
        <f t="shared" si="328"/>
        <v>156.71877417013715</v>
      </c>
      <c r="CL1243" s="229"/>
      <c r="CM1243" s="229"/>
      <c r="CN1243" s="229"/>
      <c r="CO1243" s="47" t="s">
        <v>2488</v>
      </c>
      <c r="CP1243" s="47" t="s">
        <v>2489</v>
      </c>
      <c r="CQ1243" s="224" t="s">
        <v>272</v>
      </c>
      <c r="CR1243" s="224"/>
      <c r="CS1243" s="230" t="s">
        <v>539</v>
      </c>
      <c r="CT1243" s="230"/>
      <c r="CU1243" s="230"/>
      <c r="CV1243" s="335">
        <f t="shared" si="329"/>
        <v>1392.5795908339771</v>
      </c>
      <c r="CW1243" s="230">
        <f t="shared" si="324"/>
        <v>1</v>
      </c>
      <c r="CX1243" s="336"/>
      <c r="CY1243" s="230" t="s">
        <v>5921</v>
      </c>
    </row>
    <row r="1244" spans="1:103" ht="11.25" customHeight="1" x14ac:dyDescent="0.2">
      <c r="A1244" s="72">
        <v>1242</v>
      </c>
      <c r="B1244" s="224">
        <v>1325</v>
      </c>
      <c r="C1244" s="46" t="s">
        <v>1036</v>
      </c>
      <c r="D1244" s="46" t="s">
        <v>6644</v>
      </c>
      <c r="E1244" s="114"/>
      <c r="F1244" s="114" t="s">
        <v>4099</v>
      </c>
      <c r="G1244" s="225">
        <v>2921882</v>
      </c>
      <c r="H1244" s="47" t="s">
        <v>1038</v>
      </c>
      <c r="I1244" s="47" t="s">
        <v>7929</v>
      </c>
      <c r="J1244" s="47" t="s">
        <v>1039</v>
      </c>
      <c r="K1244" s="47" t="s">
        <v>1040</v>
      </c>
      <c r="L1244" s="47" t="s">
        <v>617</v>
      </c>
      <c r="M1244" s="47" t="s">
        <v>946</v>
      </c>
      <c r="N1244" s="47" t="s">
        <v>6376</v>
      </c>
      <c r="O1244" s="47" t="s">
        <v>918</v>
      </c>
      <c r="P1244" s="53"/>
      <c r="Q1244" s="53"/>
      <c r="R1244" s="53"/>
      <c r="S1244" s="53"/>
      <c r="T1244" s="48">
        <v>350.59</v>
      </c>
      <c r="U1244" s="98">
        <v>3.1946147922074222E-3</v>
      </c>
      <c r="V1244" s="98">
        <v>1.0182834650161157E-3</v>
      </c>
      <c r="W1244" s="98"/>
      <c r="X1244" s="98">
        <v>3.1946147922074222E-3</v>
      </c>
      <c r="Y1244" s="233"/>
      <c r="Z1244" s="48">
        <v>5.1100000000000003</v>
      </c>
      <c r="AA1244" s="48">
        <v>4.96</v>
      </c>
      <c r="AB1244" s="48">
        <v>4.79</v>
      </c>
      <c r="AC1244" s="48">
        <v>0.86860000000000004</v>
      </c>
      <c r="AD1244" s="48">
        <v>4.78</v>
      </c>
      <c r="AE1244" s="48">
        <v>4.7699999999999996</v>
      </c>
      <c r="AF1244" s="48">
        <f t="shared" si="327"/>
        <v>4.96</v>
      </c>
      <c r="AG1244" s="49">
        <v>5.16</v>
      </c>
      <c r="AH1244" s="98">
        <v>2.52E-6</v>
      </c>
      <c r="AI1244" s="98">
        <v>2.9299999999999999E-6</v>
      </c>
      <c r="AJ1244" s="483">
        <f t="shared" si="325"/>
        <v>-3.9871657855311078</v>
      </c>
      <c r="AK1244" s="483">
        <f>LOG10(AI1244*1000/(0.08206*298.15))</f>
        <v>-3.9216987059585424</v>
      </c>
      <c r="AL1244" s="483">
        <f t="shared" si="326"/>
        <v>-3.9216987059585424</v>
      </c>
      <c r="AM1244" s="483">
        <v>-11.220610000000001</v>
      </c>
      <c r="AN1244" s="226">
        <v>-2.64</v>
      </c>
      <c r="AO1244" s="484"/>
      <c r="AP1244" s="484"/>
      <c r="AQ1244" s="48" t="s">
        <v>6312</v>
      </c>
      <c r="AR1244" s="48" t="s">
        <v>6312</v>
      </c>
      <c r="AS1244" s="227"/>
      <c r="AT1244" s="50" t="s">
        <v>266</v>
      </c>
      <c r="AU1244" s="48">
        <v>0</v>
      </c>
      <c r="AV1244" s="48">
        <v>96</v>
      </c>
      <c r="AW1244" s="48">
        <v>96</v>
      </c>
      <c r="AX1244" s="48" t="s">
        <v>2434</v>
      </c>
      <c r="AY1244" s="48" t="s">
        <v>647</v>
      </c>
      <c r="AZ1244" s="48" t="s">
        <v>2435</v>
      </c>
      <c r="BA1244" s="48">
        <v>10</v>
      </c>
      <c r="BB1244" s="47" t="s">
        <v>1613</v>
      </c>
      <c r="BC1244" s="47" t="s">
        <v>538</v>
      </c>
      <c r="BD1244" s="47"/>
      <c r="BE1244" s="48" t="s">
        <v>271</v>
      </c>
      <c r="BF1244" s="48" t="s">
        <v>272</v>
      </c>
      <c r="BG1244" s="48" t="s">
        <v>272</v>
      </c>
      <c r="BH1244" s="48" t="s">
        <v>272</v>
      </c>
      <c r="BI1244" s="98">
        <v>2.8523346358994841E-4</v>
      </c>
      <c r="BJ1244" s="98">
        <v>2.8523346358994839E-3</v>
      </c>
      <c r="BK1244" s="48"/>
      <c r="BL1244" s="98">
        <f t="shared" si="330"/>
        <v>1.3228451213969966E-3</v>
      </c>
      <c r="BM1244" s="48" t="s">
        <v>2436</v>
      </c>
      <c r="BN1244" s="48"/>
      <c r="BO1244" s="48"/>
      <c r="BP1244" s="48"/>
      <c r="BQ1244" s="48"/>
      <c r="BR1244" s="48"/>
      <c r="BS1244" s="48"/>
      <c r="BT1244" s="48"/>
      <c r="BU1244" s="228"/>
      <c r="BV1244" s="48"/>
      <c r="BW1244" s="48"/>
      <c r="BX1244" s="48"/>
      <c r="BY1244" s="48"/>
      <c r="BZ1244" s="48"/>
      <c r="CA1244" s="48"/>
      <c r="CB1244" s="48"/>
      <c r="CC1244" s="48"/>
      <c r="CD1244" s="48"/>
      <c r="CE1244" s="48"/>
      <c r="CF1244" s="48"/>
      <c r="CG1244" s="48"/>
      <c r="CH1244" s="48"/>
      <c r="CI1244" s="98"/>
      <c r="CJ1244" s="98"/>
      <c r="CK1244" s="49">
        <f t="shared" si="328"/>
        <v>0.46377627111057301</v>
      </c>
      <c r="CL1244" s="229"/>
      <c r="CM1244" s="229">
        <v>-4.7871813037708</v>
      </c>
      <c r="CN1244" s="229">
        <f>BJ1244/(10^CM1244)</f>
        <v>174.7357544121345</v>
      </c>
      <c r="CO1244" s="47"/>
      <c r="CP1244" s="47" t="s">
        <v>2437</v>
      </c>
      <c r="CQ1244" s="224">
        <v>-4.1215484689214863</v>
      </c>
      <c r="CR1244" s="224">
        <f>10^(CJ1244-CQ1244)</f>
        <v>13229.653477525637</v>
      </c>
      <c r="CS1244" s="230" t="s">
        <v>539</v>
      </c>
      <c r="CT1244" s="230"/>
      <c r="CU1244" s="230"/>
      <c r="CV1244" s="335">
        <f t="shared" si="329"/>
        <v>1.1200000000000001</v>
      </c>
      <c r="CW1244" s="230">
        <f t="shared" si="324"/>
        <v>1</v>
      </c>
      <c r="CX1244" s="336"/>
      <c r="CY1244" s="230" t="s">
        <v>5921</v>
      </c>
    </row>
    <row r="1245" spans="1:103" ht="11.25" customHeight="1" x14ac:dyDescent="0.2">
      <c r="A1245" s="72">
        <v>1243</v>
      </c>
      <c r="B1245" s="224">
        <v>1047</v>
      </c>
      <c r="C1245" s="46" t="s">
        <v>1012</v>
      </c>
      <c r="D1245" s="46"/>
      <c r="E1245" s="114"/>
      <c r="F1245" s="114" t="s">
        <v>1013</v>
      </c>
      <c r="G1245" s="225">
        <v>2939802</v>
      </c>
      <c r="H1245" s="47" t="s">
        <v>1014</v>
      </c>
      <c r="I1245" s="47" t="s">
        <v>7880</v>
      </c>
      <c r="J1245" s="47" t="s">
        <v>1015</v>
      </c>
      <c r="K1245" s="47" t="s">
        <v>1016</v>
      </c>
      <c r="L1245" s="47" t="s">
        <v>5929</v>
      </c>
      <c r="M1245" s="47" t="s">
        <v>6082</v>
      </c>
      <c r="N1245" s="47" t="s">
        <v>6082</v>
      </c>
      <c r="O1245" s="47" t="s">
        <v>6083</v>
      </c>
      <c r="P1245" s="53"/>
      <c r="Q1245" s="53"/>
      <c r="R1245" s="53"/>
      <c r="S1245" s="53"/>
      <c r="T1245" s="48">
        <v>349.06</v>
      </c>
      <c r="U1245" s="98">
        <v>4.0107717870853142E-3</v>
      </c>
      <c r="V1245" s="98">
        <v>1.0224603220076777E-2</v>
      </c>
      <c r="W1245" s="98">
        <v>3.7153522909717271E-3</v>
      </c>
      <c r="X1245" s="98">
        <v>4.0107717870853142E-3</v>
      </c>
      <c r="Y1245" s="233">
        <v>7</v>
      </c>
      <c r="Z1245" s="48">
        <v>3.42</v>
      </c>
      <c r="AA1245" s="48">
        <v>3.8</v>
      </c>
      <c r="AB1245" s="48">
        <v>3.37</v>
      </c>
      <c r="AC1245" s="48">
        <v>0.81399999999999995</v>
      </c>
      <c r="AD1245" s="48">
        <v>3.12</v>
      </c>
      <c r="AE1245" s="48">
        <v>2.4</v>
      </c>
      <c r="AF1245" s="48">
        <f t="shared" si="327"/>
        <v>3.8</v>
      </c>
      <c r="AG1245" s="49">
        <v>2.95</v>
      </c>
      <c r="AH1245" s="98">
        <v>2.1499999999999998E-9</v>
      </c>
      <c r="AI1245" s="98">
        <v>4.9200000000000004E-9</v>
      </c>
      <c r="AJ1245" s="483">
        <f t="shared" si="325"/>
        <v>-7.0561278663970466</v>
      </c>
      <c r="AK1245" s="483">
        <f>LOG10(AI1245*1000/(0.08206*298.15))</f>
        <v>-6.6966012235452919</v>
      </c>
      <c r="AL1245" s="483">
        <f t="shared" si="326"/>
        <v>-6.6966012235452919</v>
      </c>
      <c r="AM1245" s="483">
        <v>-14.13646</v>
      </c>
      <c r="AN1245" s="226">
        <v>-7.96</v>
      </c>
      <c r="AO1245" s="484"/>
      <c r="AP1245" s="484">
        <v>-2.67</v>
      </c>
      <c r="AQ1245" s="48" t="s">
        <v>6311</v>
      </c>
      <c r="AR1245" s="48" t="s">
        <v>6311</v>
      </c>
      <c r="AS1245" s="227"/>
      <c r="AT1245" s="50" t="s">
        <v>266</v>
      </c>
      <c r="AU1245" s="48">
        <v>6</v>
      </c>
      <c r="AV1245" s="48">
        <v>120</v>
      </c>
      <c r="AW1245" s="48">
        <v>114</v>
      </c>
      <c r="AX1245" s="48">
        <v>28</v>
      </c>
      <c r="AY1245" s="48" t="s">
        <v>8728</v>
      </c>
      <c r="AZ1245" s="48" t="s">
        <v>1563</v>
      </c>
      <c r="BA1245" s="48">
        <v>32</v>
      </c>
      <c r="BB1245" s="47" t="s">
        <v>2485</v>
      </c>
      <c r="BC1245" s="47" t="s">
        <v>8726</v>
      </c>
      <c r="BD1245" s="47" t="s">
        <v>8374</v>
      </c>
      <c r="BE1245" s="48" t="s">
        <v>2449</v>
      </c>
      <c r="BF1245" s="48" t="s">
        <v>272</v>
      </c>
      <c r="BG1245" s="48" t="s">
        <v>272</v>
      </c>
      <c r="BH1245" s="48" t="s">
        <v>2486</v>
      </c>
      <c r="BI1245" s="98">
        <v>6.3999999999999997E-6</v>
      </c>
      <c r="BJ1245" s="98">
        <v>6.4000000000000001E-2</v>
      </c>
      <c r="BK1245" s="48"/>
      <c r="BL1245" s="98">
        <f t="shared" si="330"/>
        <v>4.3581081157315266E-2</v>
      </c>
      <c r="BM1245" s="47" t="s">
        <v>2487</v>
      </c>
      <c r="BN1245" s="48"/>
      <c r="BO1245" s="48"/>
      <c r="BP1245" s="48"/>
      <c r="BQ1245" s="48"/>
      <c r="BR1245" s="47" t="s">
        <v>2496</v>
      </c>
      <c r="BS1245" s="48"/>
      <c r="BT1245" s="48"/>
      <c r="BU1245" s="228">
        <v>6.4000000000000001E-2</v>
      </c>
      <c r="BV1245" s="48"/>
      <c r="BW1245" s="48"/>
      <c r="BX1245" s="48"/>
      <c r="BY1245" s="48"/>
      <c r="BZ1245" s="48"/>
      <c r="CA1245" s="48"/>
      <c r="CB1245" s="48"/>
      <c r="CC1245" s="48"/>
      <c r="CD1245" s="48"/>
      <c r="CE1245" s="48"/>
      <c r="CF1245" s="48"/>
      <c r="CG1245" s="48"/>
      <c r="CH1245" s="48"/>
      <c r="CI1245" s="98"/>
      <c r="CJ1245" s="98"/>
      <c r="CK1245" s="49">
        <f t="shared" si="328"/>
        <v>0.68095439308305106</v>
      </c>
      <c r="CL1245" s="229"/>
      <c r="CM1245" s="229">
        <v>-3.5577585127270774</v>
      </c>
      <c r="CN1245" s="229">
        <f>BJ1245/(10^CM1245)</f>
        <v>231.17373334753023</v>
      </c>
      <c r="CO1245" s="47" t="s">
        <v>2488</v>
      </c>
      <c r="CP1245" s="47" t="s">
        <v>2489</v>
      </c>
      <c r="CQ1245" s="224">
        <v>-3.3704951654893431</v>
      </c>
      <c r="CR1245" s="224">
        <f>10^(CJ1245-CQ1245)</f>
        <v>2346.9031371153351</v>
      </c>
      <c r="CS1245" s="230" t="s">
        <v>539</v>
      </c>
      <c r="CT1245" s="230"/>
      <c r="CU1245" s="230"/>
      <c r="CV1245" s="335">
        <f t="shared" si="329"/>
        <v>6.2668309173208037E-2</v>
      </c>
      <c r="CW1245" s="230">
        <f t="shared" si="324"/>
        <v>0</v>
      </c>
      <c r="CX1245" s="336"/>
      <c r="CY1245" s="230" t="s">
        <v>5921</v>
      </c>
    </row>
    <row r="1246" spans="1:103" ht="11.25" customHeight="1" x14ac:dyDescent="0.2">
      <c r="A1246" s="72">
        <v>1244</v>
      </c>
      <c r="B1246" s="224">
        <v>1915</v>
      </c>
      <c r="C1246" s="46" t="s">
        <v>7362</v>
      </c>
      <c r="D1246" s="46"/>
      <c r="E1246" s="114"/>
      <c r="F1246" s="114" t="s">
        <v>5385</v>
      </c>
      <c r="G1246" s="225">
        <v>2943751</v>
      </c>
      <c r="H1246" s="47" t="s">
        <v>5386</v>
      </c>
      <c r="I1246" s="47" t="s">
        <v>5386</v>
      </c>
      <c r="J1246" s="47" t="s">
        <v>5387</v>
      </c>
      <c r="K1246" s="47" t="s">
        <v>5388</v>
      </c>
      <c r="L1246" s="47"/>
      <c r="M1246" s="47"/>
      <c r="N1246" s="47"/>
      <c r="O1246" s="47"/>
      <c r="P1246" s="53"/>
      <c r="Q1246" s="53"/>
      <c r="R1246" s="53"/>
      <c r="S1246" s="53"/>
      <c r="T1246" s="48">
        <v>276.49</v>
      </c>
      <c r="U1246" s="98"/>
      <c r="V1246" s="98">
        <v>1.4543021447430285E-2</v>
      </c>
      <c r="W1246" s="98">
        <v>9.7723722095581E-2</v>
      </c>
      <c r="X1246" s="98">
        <f>IF(W1246=0,V1246,W1246)</f>
        <v>9.7723722095581E-2</v>
      </c>
      <c r="Y1246" s="233">
        <v>7</v>
      </c>
      <c r="Z1246" s="48">
        <v>4.24</v>
      </c>
      <c r="AA1246" s="48"/>
      <c r="AB1246" s="48">
        <v>4.17</v>
      </c>
      <c r="AC1246" s="48">
        <v>0.50860000000000005</v>
      </c>
      <c r="AD1246" s="48">
        <v>4.84</v>
      </c>
      <c r="AE1246" s="48">
        <v>5.45</v>
      </c>
      <c r="AF1246" s="48">
        <f t="shared" si="327"/>
        <v>4.84</v>
      </c>
      <c r="AG1246" s="49">
        <v>3.9</v>
      </c>
      <c r="AH1246" s="98">
        <v>1.47E-3</v>
      </c>
      <c r="AI1246" s="98"/>
      <c r="AJ1246" s="483">
        <f t="shared" si="325"/>
        <v>-1.2212489915644757</v>
      </c>
      <c r="AK1246" s="483"/>
      <c r="AL1246" s="483">
        <f t="shared" si="326"/>
        <v>-1.2212489915644757</v>
      </c>
      <c r="AM1246" s="483">
        <v>-5.40036</v>
      </c>
      <c r="AN1246" s="226">
        <v>-4.8899999999999997</v>
      </c>
      <c r="AO1246" s="484"/>
      <c r="AP1246" s="484"/>
      <c r="AQ1246" s="226" t="s">
        <v>6311</v>
      </c>
      <c r="AR1246" s="226" t="s">
        <v>6311</v>
      </c>
      <c r="AS1246" s="224"/>
      <c r="AT1246" s="50" t="s">
        <v>266</v>
      </c>
      <c r="AU1246" s="48">
        <v>6</v>
      </c>
      <c r="AV1246" s="48">
        <v>120</v>
      </c>
      <c r="AW1246" s="48">
        <v>114</v>
      </c>
      <c r="AX1246" s="48">
        <v>28</v>
      </c>
      <c r="AY1246" s="48" t="s">
        <v>8728</v>
      </c>
      <c r="AZ1246" s="48" t="s">
        <v>1563</v>
      </c>
      <c r="BA1246" s="48">
        <v>32</v>
      </c>
      <c r="BB1246" s="47" t="s">
        <v>2485</v>
      </c>
      <c r="BC1246" s="47" t="s">
        <v>8726</v>
      </c>
      <c r="BD1246" s="47" t="s">
        <v>8374</v>
      </c>
      <c r="BE1246" s="48" t="s">
        <v>2449</v>
      </c>
      <c r="BF1246" s="48" t="s">
        <v>272</v>
      </c>
      <c r="BG1246" s="48" t="s">
        <v>272</v>
      </c>
      <c r="BH1246" s="48" t="s">
        <v>2486</v>
      </c>
      <c r="BI1246" s="98">
        <v>6.3999999999999997E-6</v>
      </c>
      <c r="BJ1246" s="98">
        <v>6.4000000000000001E-2</v>
      </c>
      <c r="BK1246" s="48"/>
      <c r="BL1246" s="98">
        <f t="shared" si="330"/>
        <v>7.9956909612284976E-3</v>
      </c>
      <c r="BM1246" s="47" t="s">
        <v>2487</v>
      </c>
      <c r="BN1246" s="48"/>
      <c r="BO1246" s="48"/>
      <c r="BP1246" s="48"/>
      <c r="BQ1246" s="48"/>
      <c r="BR1246" s="47" t="s">
        <v>2496</v>
      </c>
      <c r="BS1246" s="48"/>
      <c r="BT1246" s="48"/>
      <c r="BU1246" s="228"/>
      <c r="BV1246" s="48"/>
      <c r="BW1246" s="48"/>
      <c r="BX1246" s="48"/>
      <c r="BY1246" s="48"/>
      <c r="BZ1246" s="48"/>
      <c r="CA1246" s="48"/>
      <c r="CB1246" s="48"/>
      <c r="CC1246" s="48"/>
      <c r="CD1246" s="48"/>
      <c r="CE1246" s="48"/>
      <c r="CF1246" s="48"/>
      <c r="CG1246" s="48"/>
      <c r="CH1246" s="48"/>
      <c r="CI1246" s="98"/>
      <c r="CJ1246" s="98"/>
      <c r="CK1246" s="49">
        <f t="shared" si="328"/>
        <v>0.12493267126919527</v>
      </c>
      <c r="CL1246" s="229"/>
      <c r="CM1246" s="229"/>
      <c r="CN1246" s="229"/>
      <c r="CO1246" s="47" t="s">
        <v>2488</v>
      </c>
      <c r="CP1246" s="47" t="s">
        <v>2489</v>
      </c>
      <c r="CQ1246" s="224" t="s">
        <v>272</v>
      </c>
      <c r="CR1246" s="224"/>
      <c r="CS1246" s="230" t="s">
        <v>539</v>
      </c>
      <c r="CT1246" s="230"/>
      <c r="CU1246" s="230"/>
      <c r="CV1246" s="335">
        <f t="shared" si="329"/>
        <v>1.5269331577434531</v>
      </c>
      <c r="CW1246" s="230">
        <f t="shared" si="324"/>
        <v>1</v>
      </c>
      <c r="CX1246" s="336"/>
      <c r="CY1246" s="230" t="s">
        <v>6351</v>
      </c>
    </row>
    <row r="1247" spans="1:103" ht="11.25" customHeight="1" x14ac:dyDescent="0.2">
      <c r="A1247" s="72">
        <v>1245</v>
      </c>
      <c r="B1247" s="224">
        <v>1213</v>
      </c>
      <c r="C1247" s="46" t="s">
        <v>7363</v>
      </c>
      <c r="D1247" s="46"/>
      <c r="E1247" s="114"/>
      <c r="F1247" s="114" t="s">
        <v>3343</v>
      </c>
      <c r="G1247" s="225">
        <v>3033770</v>
      </c>
      <c r="H1247" s="47" t="s">
        <v>3344</v>
      </c>
      <c r="I1247" s="47" t="s">
        <v>8088</v>
      </c>
      <c r="J1247" s="47" t="s">
        <v>3345</v>
      </c>
      <c r="K1247" s="47" t="s">
        <v>3346</v>
      </c>
      <c r="L1247" s="51"/>
      <c r="M1247" s="47"/>
      <c r="N1247" s="47"/>
      <c r="O1247" s="47"/>
      <c r="P1247" s="53"/>
      <c r="Q1247" s="53"/>
      <c r="R1247" s="53"/>
      <c r="S1247" s="53"/>
      <c r="T1247" s="48">
        <v>116.18</v>
      </c>
      <c r="U1247" s="98"/>
      <c r="V1247" s="98">
        <v>8607.3334480977792</v>
      </c>
      <c r="W1247" s="98">
        <v>2344.228815319922</v>
      </c>
      <c r="X1247" s="98">
        <f>IF(W1247=0,V1247,W1247)</f>
        <v>2344.228815319922</v>
      </c>
      <c r="Y1247" s="233">
        <v>7</v>
      </c>
      <c r="Z1247" s="48">
        <v>-3.39</v>
      </c>
      <c r="AA1247" s="48"/>
      <c r="AB1247" s="48">
        <v>-3.24</v>
      </c>
      <c r="AC1247" s="48">
        <v>0.72960000000000003</v>
      </c>
      <c r="AD1247" s="48">
        <v>-3.1</v>
      </c>
      <c r="AE1247" s="48">
        <v>-2.84</v>
      </c>
      <c r="AF1247" s="48">
        <f t="shared" si="327"/>
        <v>-3.1</v>
      </c>
      <c r="AG1247" s="49">
        <v>-0.55000000000000004</v>
      </c>
      <c r="AH1247" s="98">
        <v>9.0400000000000002E-15</v>
      </c>
      <c r="AI1247" s="98"/>
      <c r="AJ1247" s="483">
        <f t="shared" si="325"/>
        <v>-12.432397895837289</v>
      </c>
      <c r="AK1247" s="483"/>
      <c r="AL1247" s="483">
        <f t="shared" si="326"/>
        <v>-12.432397895837289</v>
      </c>
      <c r="AM1247" s="483">
        <v>-1.6600800000000002</v>
      </c>
      <c r="AN1247" s="226">
        <v>-6.64</v>
      </c>
      <c r="AO1247" s="484"/>
      <c r="AP1247" s="484"/>
      <c r="AQ1247" s="48" t="s">
        <v>6312</v>
      </c>
      <c r="AR1247" s="48" t="s">
        <v>6311</v>
      </c>
      <c r="AS1247" s="227"/>
      <c r="AT1247" s="50" t="s">
        <v>266</v>
      </c>
      <c r="AU1247" s="48">
        <v>6</v>
      </c>
      <c r="AV1247" s="48">
        <v>120</v>
      </c>
      <c r="AW1247" s="48">
        <v>114</v>
      </c>
      <c r="AX1247" s="48">
        <v>28</v>
      </c>
      <c r="AY1247" s="48" t="s">
        <v>8728</v>
      </c>
      <c r="AZ1247" s="48" t="s">
        <v>1563</v>
      </c>
      <c r="BA1247" s="48">
        <v>32</v>
      </c>
      <c r="BB1247" s="47" t="s">
        <v>2485</v>
      </c>
      <c r="BC1247" s="47" t="s">
        <v>8726</v>
      </c>
      <c r="BD1247" s="47" t="s">
        <v>8374</v>
      </c>
      <c r="BE1247" s="48" t="s">
        <v>2449</v>
      </c>
      <c r="BF1247" s="48" t="s">
        <v>272</v>
      </c>
      <c r="BG1247" s="48" t="s">
        <v>272</v>
      </c>
      <c r="BH1247" s="48" t="s">
        <v>2486</v>
      </c>
      <c r="BI1247" s="98">
        <v>6.3999999999999997E-6</v>
      </c>
      <c r="BJ1247" s="98">
        <v>6.4000000000000001E-2</v>
      </c>
      <c r="BK1247" s="48"/>
      <c r="BL1247" s="98">
        <f t="shared" si="330"/>
        <v>56932.335503801383</v>
      </c>
      <c r="BM1247" s="47" t="s">
        <v>2487</v>
      </c>
      <c r="BN1247" s="48"/>
      <c r="BO1247" s="48"/>
      <c r="BP1247" s="48"/>
      <c r="BQ1247" s="48"/>
      <c r="BR1247" s="47" t="s">
        <v>2496</v>
      </c>
      <c r="BS1247" s="48"/>
      <c r="BT1247" s="48"/>
      <c r="BU1247" s="228">
        <v>6.3999999999999997E-5</v>
      </c>
      <c r="BV1247" s="48"/>
      <c r="BW1247" s="48"/>
      <c r="BX1247" s="48"/>
      <c r="BY1247" s="48"/>
      <c r="BZ1247" s="48"/>
      <c r="CA1247" s="48"/>
      <c r="CB1247" s="48"/>
      <c r="CC1247" s="48"/>
      <c r="CD1247" s="48"/>
      <c r="CE1247" s="48"/>
      <c r="CF1247" s="48"/>
      <c r="CG1247" s="48"/>
      <c r="CH1247" s="48"/>
      <c r="CI1247" s="98"/>
      <c r="CJ1247" s="98"/>
      <c r="CK1247" s="49">
        <f t="shared" si="328"/>
        <v>889567.74224689661</v>
      </c>
      <c r="CL1247" s="229"/>
      <c r="CM1247" s="229"/>
      <c r="CN1247" s="229"/>
      <c r="CO1247" s="47" t="s">
        <v>2488</v>
      </c>
      <c r="CP1247" s="47" t="s">
        <v>2489</v>
      </c>
      <c r="CQ1247" s="224" t="s">
        <v>272</v>
      </c>
      <c r="CR1247" s="224"/>
      <c r="CS1247" s="230" t="s">
        <v>539</v>
      </c>
      <c r="CT1247" s="230"/>
      <c r="CU1247" s="230"/>
      <c r="CV1247" s="335">
        <f t="shared" si="329"/>
        <v>36628.575239373778</v>
      </c>
      <c r="CW1247" s="230">
        <f t="shared" si="324"/>
        <v>1</v>
      </c>
      <c r="CX1247" s="336"/>
      <c r="CY1247" s="230" t="s">
        <v>6351</v>
      </c>
    </row>
    <row r="1248" spans="1:103" ht="11.25" customHeight="1" x14ac:dyDescent="0.2">
      <c r="A1248" s="72">
        <v>1246</v>
      </c>
      <c r="B1248" s="224">
        <v>1876</v>
      </c>
      <c r="C1248" s="46" t="s">
        <v>7364</v>
      </c>
      <c r="D1248" s="46"/>
      <c r="E1248" s="114"/>
      <c r="F1248" s="114" t="s">
        <v>5324</v>
      </c>
      <c r="G1248" s="225">
        <v>3056175</v>
      </c>
      <c r="H1248" s="47" t="s">
        <v>5325</v>
      </c>
      <c r="I1248" s="47" t="s">
        <v>5325</v>
      </c>
      <c r="J1248" s="47" t="s">
        <v>5326</v>
      </c>
      <c r="K1248" s="47" t="s">
        <v>5327</v>
      </c>
      <c r="L1248" s="47" t="s">
        <v>279</v>
      </c>
      <c r="M1248" s="47" t="s">
        <v>5328</v>
      </c>
      <c r="N1248" s="47"/>
      <c r="O1248" s="47" t="s">
        <v>281</v>
      </c>
      <c r="P1248" s="53"/>
      <c r="Q1248" s="53"/>
      <c r="R1248" s="53"/>
      <c r="S1248" s="53"/>
      <c r="T1248" s="48">
        <v>224.21</v>
      </c>
      <c r="U1248" s="98"/>
      <c r="V1248" s="98">
        <v>29.414388296686141</v>
      </c>
      <c r="W1248" s="98">
        <v>19.95262314968879</v>
      </c>
      <c r="X1248" s="98">
        <f>IF(W1248=0,V1248,W1248)</f>
        <v>19.95262314968879</v>
      </c>
      <c r="Y1248" s="233">
        <v>5.59</v>
      </c>
      <c r="Z1248" s="48">
        <v>-0.79</v>
      </c>
      <c r="AA1248" s="48">
        <v>-0.72</v>
      </c>
      <c r="AB1248" s="48">
        <v>-0.6</v>
      </c>
      <c r="AC1248" s="48">
        <v>0.83230000000000004</v>
      </c>
      <c r="AD1248" s="48">
        <v>-0.67</v>
      </c>
      <c r="AE1248" s="48">
        <v>-0.86</v>
      </c>
      <c r="AF1248" s="48">
        <f t="shared" si="327"/>
        <v>-0.72</v>
      </c>
      <c r="AG1248" s="49">
        <v>0.15</v>
      </c>
      <c r="AH1248" s="98">
        <v>2.3100000000000001E-15</v>
      </c>
      <c r="AI1248" s="98"/>
      <c r="AJ1248" s="483">
        <f t="shared" si="325"/>
        <v>-13.024954346420508</v>
      </c>
      <c r="AK1248" s="483"/>
      <c r="AL1248" s="483">
        <f t="shared" si="326"/>
        <v>-13.024954346420508</v>
      </c>
      <c r="AM1248" s="483">
        <v>-17.074359999999999</v>
      </c>
      <c r="AN1248" s="226">
        <v>-12</v>
      </c>
      <c r="AO1248" s="484">
        <v>9.4700000000000006</v>
      </c>
      <c r="AP1248" s="484"/>
      <c r="AQ1248" s="226" t="s">
        <v>6311</v>
      </c>
      <c r="AR1248" s="226" t="s">
        <v>6311</v>
      </c>
      <c r="AS1248" s="224"/>
      <c r="AT1248" s="50" t="s">
        <v>266</v>
      </c>
      <c r="AU1248" s="48">
        <v>6</v>
      </c>
      <c r="AV1248" s="48">
        <v>120</v>
      </c>
      <c r="AW1248" s="48">
        <v>114</v>
      </c>
      <c r="AX1248" s="48">
        <v>28</v>
      </c>
      <c r="AY1248" s="48" t="s">
        <v>8728</v>
      </c>
      <c r="AZ1248" s="48" t="s">
        <v>1563</v>
      </c>
      <c r="BA1248" s="48">
        <v>32</v>
      </c>
      <c r="BB1248" s="47" t="s">
        <v>2485</v>
      </c>
      <c r="BC1248" s="47" t="s">
        <v>8726</v>
      </c>
      <c r="BD1248" s="47" t="s">
        <v>8374</v>
      </c>
      <c r="BE1248" s="48" t="s">
        <v>2449</v>
      </c>
      <c r="BF1248" s="48" t="s">
        <v>272</v>
      </c>
      <c r="BG1248" s="48" t="s">
        <v>272</v>
      </c>
      <c r="BH1248" s="48" t="s">
        <v>2486</v>
      </c>
      <c r="BI1248" s="98">
        <v>6.3999999999999997E-6</v>
      </c>
      <c r="BJ1248" s="98">
        <v>6.4000000000000001E-2</v>
      </c>
      <c r="BK1248" s="48"/>
      <c r="BL1248" s="98">
        <f t="shared" si="330"/>
        <v>263.20794837501415</v>
      </c>
      <c r="BM1248" s="47" t="s">
        <v>2487</v>
      </c>
      <c r="BN1248" s="48"/>
      <c r="BO1248" s="48"/>
      <c r="BP1248" s="48"/>
      <c r="BQ1248" s="48"/>
      <c r="BR1248" s="47" t="s">
        <v>2496</v>
      </c>
      <c r="BS1248" s="48"/>
      <c r="BT1248" s="48"/>
      <c r="BU1248" s="228"/>
      <c r="BV1248" s="48"/>
      <c r="BW1248" s="48"/>
      <c r="BX1248" s="48"/>
      <c r="BY1248" s="48"/>
      <c r="BZ1248" s="48"/>
      <c r="CA1248" s="48"/>
      <c r="CB1248" s="48"/>
      <c r="CC1248" s="48"/>
      <c r="CD1248" s="48"/>
      <c r="CE1248" s="48"/>
      <c r="CF1248" s="48"/>
      <c r="CG1248" s="48"/>
      <c r="CH1248" s="48"/>
      <c r="CI1248" s="98"/>
      <c r="CJ1248" s="98"/>
      <c r="CK1248" s="49">
        <f t="shared" si="328"/>
        <v>4112.6241933595957</v>
      </c>
      <c r="CL1248" s="229"/>
      <c r="CM1248" s="229"/>
      <c r="CN1248" s="229"/>
      <c r="CO1248" s="47" t="s">
        <v>2488</v>
      </c>
      <c r="CP1248" s="47" t="s">
        <v>2489</v>
      </c>
      <c r="CQ1248" s="224" t="s">
        <v>272</v>
      </c>
      <c r="CR1248" s="224"/>
      <c r="CS1248" s="230" t="s">
        <v>539</v>
      </c>
      <c r="CT1248" s="230"/>
      <c r="CU1248" s="230"/>
      <c r="CV1248" s="335">
        <f t="shared" si="329"/>
        <v>311.75973671388732</v>
      </c>
      <c r="CW1248" s="230">
        <f t="shared" si="324"/>
        <v>1</v>
      </c>
      <c r="CX1248" s="336"/>
      <c r="CY1248" s="230" t="s">
        <v>5921</v>
      </c>
    </row>
    <row r="1249" spans="1:103" ht="11.25" customHeight="1" x14ac:dyDescent="0.2">
      <c r="A1249" s="72">
        <v>1247</v>
      </c>
      <c r="B1249" s="224">
        <v>1795</v>
      </c>
      <c r="C1249" s="46" t="s">
        <v>7365</v>
      </c>
      <c r="D1249" s="46"/>
      <c r="E1249" s="114"/>
      <c r="F1249" s="114" t="s">
        <v>5166</v>
      </c>
      <c r="G1249" s="225">
        <v>3147759</v>
      </c>
      <c r="H1249" s="47" t="s">
        <v>5167</v>
      </c>
      <c r="I1249" s="47" t="s">
        <v>5167</v>
      </c>
      <c r="J1249" s="47" t="s">
        <v>5168</v>
      </c>
      <c r="K1249" s="47" t="s">
        <v>3051</v>
      </c>
      <c r="L1249" s="47"/>
      <c r="M1249" s="47"/>
      <c r="N1249" s="47"/>
      <c r="O1249" s="47"/>
      <c r="P1249" s="53"/>
      <c r="Q1249" s="53"/>
      <c r="R1249" s="53"/>
      <c r="S1249" s="53"/>
      <c r="T1249" s="48">
        <v>323.43</v>
      </c>
      <c r="U1249" s="98"/>
      <c r="V1249" s="98">
        <v>5.1881396283585317E-4</v>
      </c>
      <c r="W1249" s="98">
        <v>1.0471285480508979E-3</v>
      </c>
      <c r="X1249" s="98">
        <f>IF(W1249=0,V1249,W1249)</f>
        <v>1.0471285480508979E-3</v>
      </c>
      <c r="Y1249" s="233">
        <v>6.8</v>
      </c>
      <c r="Z1249" s="48">
        <v>6.21</v>
      </c>
      <c r="AA1249" s="48"/>
      <c r="AB1249" s="48">
        <v>4.97</v>
      </c>
      <c r="AC1249" s="48">
        <v>0.63619999999999999</v>
      </c>
      <c r="AD1249" s="48">
        <v>5.88</v>
      </c>
      <c r="AE1249" s="48">
        <v>7.29</v>
      </c>
      <c r="AF1249" s="48">
        <f t="shared" si="327"/>
        <v>5.88</v>
      </c>
      <c r="AG1249" s="49">
        <v>3.55</v>
      </c>
      <c r="AH1249" s="98">
        <v>4.4500000000000002E-13</v>
      </c>
      <c r="AI1249" s="98"/>
      <c r="AJ1249" s="483">
        <f t="shared" si="325"/>
        <v>-10.74020631533172</v>
      </c>
      <c r="AK1249" s="483"/>
      <c r="AL1249" s="483">
        <f t="shared" si="326"/>
        <v>-10.74020631533172</v>
      </c>
      <c r="AM1249" s="483">
        <v>-13.490129999999999</v>
      </c>
      <c r="AN1249" s="226">
        <v>-9.82</v>
      </c>
      <c r="AO1249" s="484">
        <v>8.07</v>
      </c>
      <c r="AP1249" s="484">
        <v>0.73</v>
      </c>
      <c r="AQ1249" s="226" t="s">
        <v>6311</v>
      </c>
      <c r="AR1249" s="226" t="s">
        <v>6311</v>
      </c>
      <c r="AS1249" s="224"/>
      <c r="AT1249" s="50" t="s">
        <v>266</v>
      </c>
      <c r="AU1249" s="48">
        <v>6</v>
      </c>
      <c r="AV1249" s="48">
        <v>120</v>
      </c>
      <c r="AW1249" s="48">
        <v>114</v>
      </c>
      <c r="AX1249" s="48">
        <v>28</v>
      </c>
      <c r="AY1249" s="48" t="s">
        <v>8728</v>
      </c>
      <c r="AZ1249" s="48" t="s">
        <v>1563</v>
      </c>
      <c r="BA1249" s="48">
        <v>32</v>
      </c>
      <c r="BB1249" s="47" t="s">
        <v>2485</v>
      </c>
      <c r="BC1249" s="47" t="s">
        <v>8726</v>
      </c>
      <c r="BD1249" s="47" t="s">
        <v>8374</v>
      </c>
      <c r="BE1249" s="48" t="s">
        <v>2449</v>
      </c>
      <c r="BF1249" s="48" t="s">
        <v>272</v>
      </c>
      <c r="BG1249" s="48" t="s">
        <v>272</v>
      </c>
      <c r="BH1249" s="48" t="s">
        <v>2486</v>
      </c>
      <c r="BI1249" s="98">
        <v>6.3999999999999997E-6</v>
      </c>
      <c r="BJ1249" s="98">
        <v>6.4000000000000001E-2</v>
      </c>
      <c r="BK1249" s="48"/>
      <c r="BL1249" s="98">
        <f t="shared" si="330"/>
        <v>1.3601881909030129E-4</v>
      </c>
      <c r="BM1249" s="47" t="s">
        <v>2487</v>
      </c>
      <c r="BN1249" s="48"/>
      <c r="BO1249" s="48"/>
      <c r="BP1249" s="48"/>
      <c r="BQ1249" s="48"/>
      <c r="BR1249" s="47" t="s">
        <v>2496</v>
      </c>
      <c r="BS1249" s="48"/>
      <c r="BT1249" s="48"/>
      <c r="BU1249" s="228"/>
      <c r="BV1249" s="48"/>
      <c r="BW1249" s="48"/>
      <c r="BX1249" s="48"/>
      <c r="BY1249" s="48"/>
      <c r="BZ1249" s="48"/>
      <c r="CA1249" s="48"/>
      <c r="CB1249" s="48"/>
      <c r="CC1249" s="48"/>
      <c r="CD1249" s="48"/>
      <c r="CE1249" s="48"/>
      <c r="CF1249" s="48"/>
      <c r="CG1249" s="48"/>
      <c r="CH1249" s="48"/>
      <c r="CI1249" s="98"/>
      <c r="CJ1249" s="98"/>
      <c r="CK1249" s="49">
        <f t="shared" si="328"/>
        <v>2.1252940482859575E-3</v>
      </c>
      <c r="CL1249" s="229"/>
      <c r="CM1249" s="229"/>
      <c r="CN1249" s="229"/>
      <c r="CO1249" s="47" t="s">
        <v>2488</v>
      </c>
      <c r="CP1249" s="47" t="s">
        <v>2489</v>
      </c>
      <c r="CQ1249" s="224" t="s">
        <v>272</v>
      </c>
      <c r="CR1249" s="224"/>
      <c r="CS1249" s="230" t="s">
        <v>539</v>
      </c>
      <c r="CT1249" s="230"/>
      <c r="CU1249" s="230"/>
      <c r="CV1249" s="335">
        <f t="shared" si="329"/>
        <v>1.6361383563295279E-2</v>
      </c>
      <c r="CW1249" s="230">
        <f t="shared" si="324"/>
        <v>0</v>
      </c>
      <c r="CX1249" s="336"/>
      <c r="CY1249" s="230" t="s">
        <v>6351</v>
      </c>
    </row>
    <row r="1250" spans="1:103" ht="11.25" customHeight="1" x14ac:dyDescent="0.2">
      <c r="A1250" s="72">
        <v>1248</v>
      </c>
      <c r="B1250" s="224">
        <v>1094</v>
      </c>
      <c r="C1250" s="46" t="s">
        <v>7366</v>
      </c>
      <c r="D1250" s="46"/>
      <c r="E1250" s="114"/>
      <c r="F1250" s="114" t="s">
        <v>3063</v>
      </c>
      <c r="G1250" s="225">
        <v>3252435</v>
      </c>
      <c r="H1250" s="47" t="s">
        <v>3064</v>
      </c>
      <c r="I1250" s="47"/>
      <c r="J1250" s="47" t="s">
        <v>3065</v>
      </c>
      <c r="K1250" s="47" t="s">
        <v>3066</v>
      </c>
      <c r="L1250" s="47" t="s">
        <v>6025</v>
      </c>
      <c r="M1250" s="47" t="s">
        <v>5960</v>
      </c>
      <c r="N1250" s="47"/>
      <c r="O1250" s="47"/>
      <c r="P1250" s="53"/>
      <c r="Q1250" s="53"/>
      <c r="R1250" s="53"/>
      <c r="S1250" s="53"/>
      <c r="T1250" s="48">
        <v>198.84</v>
      </c>
      <c r="U1250" s="98"/>
      <c r="V1250" s="98">
        <v>48.280024140012067</v>
      </c>
      <c r="W1250" s="98">
        <v>50.118723362727209</v>
      </c>
      <c r="X1250" s="98">
        <f>IF(W1250=0,V1250,W1250)</f>
        <v>50.118723362727209</v>
      </c>
      <c r="Y1250" s="233">
        <v>7</v>
      </c>
      <c r="Z1250" s="48">
        <v>0.47</v>
      </c>
      <c r="AA1250" s="48"/>
      <c r="AB1250" s="48">
        <v>1.95</v>
      </c>
      <c r="AC1250" s="48">
        <v>0.76500000000000001</v>
      </c>
      <c r="AD1250" s="48">
        <v>1.74</v>
      </c>
      <c r="AE1250" s="48">
        <v>1.3</v>
      </c>
      <c r="AF1250" s="48">
        <f t="shared" si="327"/>
        <v>1.74</v>
      </c>
      <c r="AG1250" s="49">
        <v>1.32</v>
      </c>
      <c r="AH1250" s="98">
        <v>4.0600000000000001E-7</v>
      </c>
      <c r="AI1250" s="98"/>
      <c r="AJ1250" s="483">
        <f t="shared" si="325"/>
        <v>-4.7800402927354577</v>
      </c>
      <c r="AK1250" s="483"/>
      <c r="AL1250" s="483">
        <f t="shared" si="326"/>
        <v>-4.7800402927354577</v>
      </c>
      <c r="AM1250" s="483">
        <v>-4.3611899999999997</v>
      </c>
      <c r="AN1250" s="226">
        <v>-2.34</v>
      </c>
      <c r="AO1250" s="484"/>
      <c r="AP1250" s="484"/>
      <c r="AQ1250" s="48" t="s">
        <v>6311</v>
      </c>
      <c r="AR1250" s="48" t="s">
        <v>6311</v>
      </c>
      <c r="AS1250" s="227"/>
      <c r="AT1250" s="50" t="s">
        <v>266</v>
      </c>
      <c r="AU1250" s="48">
        <v>6</v>
      </c>
      <c r="AV1250" s="48">
        <v>120</v>
      </c>
      <c r="AW1250" s="48">
        <v>114</v>
      </c>
      <c r="AX1250" s="48">
        <v>28</v>
      </c>
      <c r="AY1250" s="48" t="s">
        <v>8728</v>
      </c>
      <c r="AZ1250" s="48" t="s">
        <v>1563</v>
      </c>
      <c r="BA1250" s="48">
        <v>32</v>
      </c>
      <c r="BB1250" s="47" t="s">
        <v>2485</v>
      </c>
      <c r="BC1250" s="47" t="s">
        <v>8726</v>
      </c>
      <c r="BD1250" s="47" t="s">
        <v>8374</v>
      </c>
      <c r="BE1250" s="48" t="s">
        <v>2449</v>
      </c>
      <c r="BF1250" s="48" t="s">
        <v>272</v>
      </c>
      <c r="BG1250" s="48" t="s">
        <v>272</v>
      </c>
      <c r="BH1250" s="48" t="s">
        <v>2486</v>
      </c>
      <c r="BI1250" s="98">
        <v>6.3999999999999997E-6</v>
      </c>
      <c r="BJ1250" s="98">
        <v>6.4000000000000001E-2</v>
      </c>
      <c r="BK1250" s="48"/>
      <c r="BL1250" s="98">
        <f t="shared" si="330"/>
        <v>19.439854049177995</v>
      </c>
      <c r="BM1250" s="47" t="s">
        <v>2487</v>
      </c>
      <c r="BN1250" s="48"/>
      <c r="BO1250" s="48"/>
      <c r="BP1250" s="48"/>
      <c r="BQ1250" s="48"/>
      <c r="BR1250" s="47" t="s">
        <v>2496</v>
      </c>
      <c r="BS1250" s="48"/>
      <c r="BT1250" s="48"/>
      <c r="BU1250" s="228">
        <v>6.3999999999999997E-5</v>
      </c>
      <c r="BV1250" s="48"/>
      <c r="BW1250" s="48"/>
      <c r="BX1250" s="48"/>
      <c r="BY1250" s="48"/>
      <c r="BZ1250" s="48"/>
      <c r="CA1250" s="48"/>
      <c r="CB1250" s="48"/>
      <c r="CC1250" s="48"/>
      <c r="CD1250" s="48"/>
      <c r="CE1250" s="48"/>
      <c r="CF1250" s="48"/>
      <c r="CG1250" s="48"/>
      <c r="CH1250" s="48"/>
      <c r="CI1250" s="98"/>
      <c r="CJ1250" s="98"/>
      <c r="CK1250" s="49">
        <f t="shared" si="328"/>
        <v>303.7477195184062</v>
      </c>
      <c r="CL1250" s="229"/>
      <c r="CM1250" s="229"/>
      <c r="CN1250" s="229"/>
      <c r="CO1250" s="47" t="s">
        <v>2488</v>
      </c>
      <c r="CP1250" s="47" t="s">
        <v>2489</v>
      </c>
      <c r="CQ1250" s="224">
        <v>-2.5581410649727179</v>
      </c>
      <c r="CR1250" s="224">
        <f>10^(CJ1250-CQ1250)</f>
        <v>361.52727272727299</v>
      </c>
      <c r="CS1250" s="230" t="s">
        <v>539</v>
      </c>
      <c r="CT1250" s="230"/>
      <c r="CU1250" s="230"/>
      <c r="CV1250" s="335">
        <f t="shared" si="329"/>
        <v>783.10505254261261</v>
      </c>
      <c r="CW1250" s="230">
        <f t="shared" si="324"/>
        <v>1</v>
      </c>
      <c r="CX1250" s="336"/>
      <c r="CY1250" s="230" t="s">
        <v>5921</v>
      </c>
    </row>
    <row r="1251" spans="1:103" ht="11.25" customHeight="1" x14ac:dyDescent="0.2">
      <c r="A1251" s="72">
        <v>1249</v>
      </c>
      <c r="B1251" s="224">
        <v>1409</v>
      </c>
      <c r="C1251" s="46" t="s">
        <v>7367</v>
      </c>
      <c r="D1251" s="46"/>
      <c r="E1251" s="114"/>
      <c r="F1251" s="114" t="s">
        <v>4339</v>
      </c>
      <c r="G1251" s="225">
        <v>3296900</v>
      </c>
      <c r="H1251" s="47" t="s">
        <v>4340</v>
      </c>
      <c r="I1251" s="47" t="s">
        <v>4340</v>
      </c>
      <c r="J1251" s="47" t="s">
        <v>4341</v>
      </c>
      <c r="K1251" s="47" t="s">
        <v>1808</v>
      </c>
      <c r="L1251" s="47"/>
      <c r="M1251" s="47"/>
      <c r="N1251" s="47"/>
      <c r="O1251" s="47"/>
      <c r="P1251" s="53"/>
      <c r="Q1251" s="53"/>
      <c r="R1251" s="53"/>
      <c r="S1251" s="53"/>
      <c r="T1251" s="48">
        <v>261.94</v>
      </c>
      <c r="U1251" s="98">
        <v>145.07139039474689</v>
      </c>
      <c r="V1251" s="98">
        <v>9.6357944567458205</v>
      </c>
      <c r="W1251" s="98">
        <v>131.8256738556407</v>
      </c>
      <c r="X1251" s="98">
        <v>145.07139039474689</v>
      </c>
      <c r="Y1251" s="233">
        <v>6.93</v>
      </c>
      <c r="Z1251" s="48">
        <v>0.85</v>
      </c>
      <c r="AA1251" s="48">
        <v>1.06</v>
      </c>
      <c r="AB1251" s="48">
        <v>1.06</v>
      </c>
      <c r="AC1251" s="48">
        <v>0.81200000000000006</v>
      </c>
      <c r="AD1251" s="48">
        <v>0.89</v>
      </c>
      <c r="AE1251" s="48">
        <v>0.39</v>
      </c>
      <c r="AF1251" s="48">
        <f t="shared" si="327"/>
        <v>1.06</v>
      </c>
      <c r="AG1251" s="49">
        <v>0.99</v>
      </c>
      <c r="AH1251" s="98">
        <v>4.0599999999999996E-9</v>
      </c>
      <c r="AI1251" s="98"/>
      <c r="AJ1251" s="483">
        <f t="shared" si="325"/>
        <v>-6.7800402927354577</v>
      </c>
      <c r="AK1251" s="483"/>
      <c r="AL1251" s="483">
        <f t="shared" si="326"/>
        <v>-6.7800402927354577</v>
      </c>
      <c r="AM1251" s="483">
        <v>-9.3660700000000006</v>
      </c>
      <c r="AN1251" s="226">
        <v>-7.85</v>
      </c>
      <c r="AO1251" s="484">
        <v>13.57</v>
      </c>
      <c r="AP1251" s="484"/>
      <c r="AQ1251" s="48" t="s">
        <v>6311</v>
      </c>
      <c r="AR1251" s="48" t="s">
        <v>6311</v>
      </c>
      <c r="AS1251" s="227"/>
      <c r="AT1251" s="50" t="s">
        <v>266</v>
      </c>
      <c r="AU1251" s="48">
        <v>6</v>
      </c>
      <c r="AV1251" s="48">
        <v>120</v>
      </c>
      <c r="AW1251" s="48">
        <v>114</v>
      </c>
      <c r="AX1251" s="48">
        <v>28</v>
      </c>
      <c r="AY1251" s="48" t="s">
        <v>8728</v>
      </c>
      <c r="AZ1251" s="48" t="s">
        <v>1563</v>
      </c>
      <c r="BA1251" s="48">
        <v>32</v>
      </c>
      <c r="BB1251" s="47" t="s">
        <v>2485</v>
      </c>
      <c r="BC1251" s="47" t="s">
        <v>8726</v>
      </c>
      <c r="BD1251" s="47" t="s">
        <v>8374</v>
      </c>
      <c r="BE1251" s="48" t="s">
        <v>2449</v>
      </c>
      <c r="BF1251" s="48" t="s">
        <v>272</v>
      </c>
      <c r="BG1251" s="48" t="s">
        <v>272</v>
      </c>
      <c r="BH1251" s="48" t="s">
        <v>2486</v>
      </c>
      <c r="BI1251" s="98">
        <v>6.3999999999999997E-6</v>
      </c>
      <c r="BJ1251" s="98">
        <v>6.4000000000000001E-2</v>
      </c>
      <c r="BK1251" s="48"/>
      <c r="BL1251" s="98">
        <f t="shared" si="330"/>
        <v>8.8596180648134393</v>
      </c>
      <c r="BM1251" s="47" t="s">
        <v>2487</v>
      </c>
      <c r="BN1251" s="48"/>
      <c r="BO1251" s="48"/>
      <c r="BP1251" s="48"/>
      <c r="BQ1251" s="48"/>
      <c r="BR1251" s="47" t="s">
        <v>2496</v>
      </c>
      <c r="BS1251" s="48"/>
      <c r="BT1251" s="48"/>
      <c r="BU1251" s="228"/>
      <c r="BV1251" s="48"/>
      <c r="BW1251" s="48"/>
      <c r="BX1251" s="48"/>
      <c r="BY1251" s="48"/>
      <c r="BZ1251" s="48"/>
      <c r="CA1251" s="48"/>
      <c r="CB1251" s="48"/>
      <c r="CC1251" s="48"/>
      <c r="CD1251" s="48"/>
      <c r="CE1251" s="48"/>
      <c r="CF1251" s="48"/>
      <c r="CG1251" s="48"/>
      <c r="CH1251" s="48"/>
      <c r="CI1251" s="52" t="s">
        <v>6347</v>
      </c>
      <c r="CJ1251" s="98"/>
      <c r="CK1251" s="49">
        <f t="shared" si="328"/>
        <v>138.43153226270999</v>
      </c>
      <c r="CL1251" s="229"/>
      <c r="CM1251" s="229"/>
      <c r="CN1251" s="229"/>
      <c r="CO1251" s="47" t="s">
        <v>2488</v>
      </c>
      <c r="CP1251" s="47" t="s">
        <v>2489</v>
      </c>
      <c r="CQ1251" s="224" t="s">
        <v>272</v>
      </c>
      <c r="CR1251" s="224"/>
      <c r="CS1251" s="230" t="s">
        <v>539</v>
      </c>
      <c r="CT1251" s="230"/>
      <c r="CU1251" s="230"/>
      <c r="CV1251" s="335">
        <f t="shared" si="329"/>
        <v>2266.74047491792</v>
      </c>
      <c r="CW1251" s="230">
        <f t="shared" si="324"/>
        <v>1</v>
      </c>
      <c r="CX1251" s="336"/>
      <c r="CY1251" s="230" t="s">
        <v>6351</v>
      </c>
    </row>
    <row r="1252" spans="1:103" ht="11.25" customHeight="1" x14ac:dyDescent="0.2">
      <c r="A1252" s="72">
        <v>1250</v>
      </c>
      <c r="B1252" s="224">
        <v>227</v>
      </c>
      <c r="C1252" s="46" t="s">
        <v>7368</v>
      </c>
      <c r="D1252" s="46"/>
      <c r="E1252" s="114"/>
      <c r="F1252" s="114" t="s">
        <v>3724</v>
      </c>
      <c r="G1252" s="225">
        <v>3337711</v>
      </c>
      <c r="H1252" s="47" t="s">
        <v>3725</v>
      </c>
      <c r="I1252" s="47" t="s">
        <v>3725</v>
      </c>
      <c r="J1252" s="47" t="s">
        <v>3726</v>
      </c>
      <c r="K1252" s="47" t="s">
        <v>3727</v>
      </c>
      <c r="L1252" s="47"/>
      <c r="M1252" s="47"/>
      <c r="N1252" s="47"/>
      <c r="O1252" s="47"/>
      <c r="P1252" s="53"/>
      <c r="Q1252" s="53"/>
      <c r="R1252" s="53"/>
      <c r="S1252" s="53"/>
      <c r="T1252" s="48">
        <v>230.24</v>
      </c>
      <c r="U1252" s="98">
        <v>21.716469770674077</v>
      </c>
      <c r="V1252" s="98">
        <v>10.975503822098679</v>
      </c>
      <c r="W1252" s="98">
        <v>17.782794100389225</v>
      </c>
      <c r="X1252" s="98">
        <v>21.716469770674077</v>
      </c>
      <c r="Y1252" s="233">
        <v>3.34</v>
      </c>
      <c r="Z1252" s="48">
        <v>0.05</v>
      </c>
      <c r="AA1252" s="48">
        <v>-0.27</v>
      </c>
      <c r="AB1252" s="48">
        <v>-0.16</v>
      </c>
      <c r="AC1252" s="48">
        <v>0.78869999999999996</v>
      </c>
      <c r="AD1252" s="48">
        <v>-0.15</v>
      </c>
      <c r="AE1252" s="48">
        <v>-0.11</v>
      </c>
      <c r="AF1252" s="48">
        <f t="shared" si="327"/>
        <v>-0.27</v>
      </c>
      <c r="AG1252" s="49">
        <v>-0.11</v>
      </c>
      <c r="AH1252" s="98">
        <v>1.71E-12</v>
      </c>
      <c r="AI1252" s="98"/>
      <c r="AJ1252" s="483">
        <f t="shared" ref="AJ1252:AJ1276" si="331">LOG10(AH1252*1000/(0.08206*298.15))</f>
        <v>-10.155570215920498</v>
      </c>
      <c r="AK1252" s="483"/>
      <c r="AL1252" s="483">
        <f t="shared" ref="AL1252:AL1276" si="332">IF(AK1252=0,AJ1252,AK1252)</f>
        <v>-10.155570215920498</v>
      </c>
      <c r="AM1252" s="483">
        <v>-17.404730000000001</v>
      </c>
      <c r="AN1252" s="226">
        <v>-17.2</v>
      </c>
      <c r="AO1252" s="484">
        <v>4.63</v>
      </c>
      <c r="AP1252" s="484">
        <v>1.39</v>
      </c>
      <c r="AQ1252" s="226" t="s">
        <v>6311</v>
      </c>
      <c r="AR1252" s="226" t="s">
        <v>6311</v>
      </c>
      <c r="AS1252" s="224" t="s">
        <v>6</v>
      </c>
      <c r="AT1252" s="50" t="s">
        <v>266</v>
      </c>
      <c r="AU1252" s="48">
        <v>8</v>
      </c>
      <c r="AV1252" s="48">
        <v>144</v>
      </c>
      <c r="AW1252" s="48">
        <v>120</v>
      </c>
      <c r="AX1252" s="48">
        <v>26</v>
      </c>
      <c r="AY1252" s="48" t="s">
        <v>267</v>
      </c>
      <c r="AZ1252" s="48" t="s">
        <v>2253</v>
      </c>
      <c r="BA1252" s="48">
        <v>2</v>
      </c>
      <c r="BB1252" s="47" t="s">
        <v>2254</v>
      </c>
      <c r="BC1252" s="47" t="s">
        <v>270</v>
      </c>
      <c r="BD1252" s="47" t="s">
        <v>8374</v>
      </c>
      <c r="BE1252" s="48" t="s">
        <v>1712</v>
      </c>
      <c r="BF1252" s="48" t="s">
        <v>272</v>
      </c>
      <c r="BG1252" s="48" t="s">
        <v>272</v>
      </c>
      <c r="BH1252" s="48" t="s">
        <v>2255</v>
      </c>
      <c r="BI1252" s="98">
        <v>9.9999999999999995E-7</v>
      </c>
      <c r="BJ1252" s="98">
        <v>0.08</v>
      </c>
      <c r="BK1252" s="48"/>
      <c r="BL1252" s="98">
        <f t="shared" si="330"/>
        <v>46.33348850535053</v>
      </c>
      <c r="BM1252" s="48" t="s">
        <v>891</v>
      </c>
      <c r="BN1252" s="233"/>
      <c r="BO1252" s="233"/>
      <c r="BP1252" s="233"/>
      <c r="BQ1252" s="233"/>
      <c r="BR1252" s="233"/>
      <c r="BS1252" s="48"/>
      <c r="BT1252" s="233"/>
      <c r="BU1252" s="228"/>
      <c r="BV1252" s="233"/>
      <c r="BW1252" s="233"/>
      <c r="BX1252" s="233"/>
      <c r="BY1252" s="233"/>
      <c r="BZ1252" s="233"/>
      <c r="CA1252" s="233"/>
      <c r="CB1252" s="233"/>
      <c r="CC1252" s="48"/>
      <c r="CD1252" s="48"/>
      <c r="CE1252" s="48"/>
      <c r="CF1252" s="48"/>
      <c r="CG1252" s="233"/>
      <c r="CH1252" s="48"/>
      <c r="CI1252" s="98"/>
      <c r="CJ1252" s="98"/>
      <c r="CK1252" s="49">
        <f t="shared" si="328"/>
        <v>579.16860631688166</v>
      </c>
      <c r="CL1252" s="229"/>
      <c r="CM1252" s="229"/>
      <c r="CN1252" s="229"/>
      <c r="CO1252" s="47" t="s">
        <v>892</v>
      </c>
      <c r="CP1252" s="47" t="s">
        <v>893</v>
      </c>
      <c r="CQ1252" s="224" t="s">
        <v>272</v>
      </c>
      <c r="CR1252" s="224"/>
      <c r="CS1252" s="230" t="s">
        <v>539</v>
      </c>
      <c r="CT1252" s="230"/>
      <c r="CU1252" s="230"/>
      <c r="CV1252" s="335">
        <f t="shared" si="329"/>
        <v>271.45587213342594</v>
      </c>
      <c r="CW1252" s="230">
        <f t="shared" si="324"/>
        <v>1</v>
      </c>
      <c r="CX1252" s="336" t="s">
        <v>539</v>
      </c>
      <c r="CY1252" s="230" t="s">
        <v>5921</v>
      </c>
    </row>
    <row r="1253" spans="1:103" ht="11.25" customHeight="1" x14ac:dyDescent="0.2">
      <c r="A1253" s="72">
        <v>1251</v>
      </c>
      <c r="B1253" s="224">
        <v>1507</v>
      </c>
      <c r="C1253" s="46" t="s">
        <v>7368</v>
      </c>
      <c r="D1253" s="46"/>
      <c r="E1253" s="114"/>
      <c r="F1253" s="114" t="s">
        <v>3724</v>
      </c>
      <c r="G1253" s="225">
        <v>3337711</v>
      </c>
      <c r="H1253" s="47" t="s">
        <v>3725</v>
      </c>
      <c r="I1253" s="47" t="s">
        <v>3725</v>
      </c>
      <c r="J1253" s="47" t="s">
        <v>3726</v>
      </c>
      <c r="K1253" s="47" t="s">
        <v>3727</v>
      </c>
      <c r="L1253" s="47"/>
      <c r="M1253" s="47"/>
      <c r="N1253" s="47"/>
      <c r="O1253" s="47"/>
      <c r="P1253" s="53"/>
      <c r="Q1253" s="53"/>
      <c r="R1253" s="53"/>
      <c r="S1253" s="53"/>
      <c r="T1253" s="48">
        <v>230.24</v>
      </c>
      <c r="U1253" s="98">
        <v>21.716469770674077</v>
      </c>
      <c r="V1253" s="98">
        <v>10.975503822098679</v>
      </c>
      <c r="W1253" s="98">
        <v>17.782794100389225</v>
      </c>
      <c r="X1253" s="98">
        <v>21.716469770674077</v>
      </c>
      <c r="Y1253" s="233">
        <v>3.34</v>
      </c>
      <c r="Z1253" s="48">
        <v>0.05</v>
      </c>
      <c r="AA1253" s="48">
        <v>-0.27</v>
      </c>
      <c r="AB1253" s="48">
        <v>-0.16</v>
      </c>
      <c r="AC1253" s="48">
        <v>0.78869999999999996</v>
      </c>
      <c r="AD1253" s="48">
        <v>-0.15</v>
      </c>
      <c r="AE1253" s="48">
        <v>-0.11</v>
      </c>
      <c r="AF1253" s="48">
        <f t="shared" si="327"/>
        <v>-0.27</v>
      </c>
      <c r="AG1253" s="49">
        <v>-0.11</v>
      </c>
      <c r="AH1253" s="98">
        <v>1.71E-12</v>
      </c>
      <c r="AI1253" s="98"/>
      <c r="AJ1253" s="483">
        <f t="shared" si="331"/>
        <v>-10.155570215920498</v>
      </c>
      <c r="AK1253" s="483"/>
      <c r="AL1253" s="483">
        <f t="shared" si="332"/>
        <v>-10.155570215920498</v>
      </c>
      <c r="AM1253" s="483">
        <v>-17.404730000000001</v>
      </c>
      <c r="AN1253" s="226">
        <v>-17.2</v>
      </c>
      <c r="AO1253" s="484">
        <v>4.63</v>
      </c>
      <c r="AP1253" s="484">
        <v>1.39</v>
      </c>
      <c r="AQ1253" s="48" t="s">
        <v>6311</v>
      </c>
      <c r="AR1253" s="48" t="s">
        <v>6311</v>
      </c>
      <c r="AS1253" s="227"/>
      <c r="AT1253" s="50" t="s">
        <v>266</v>
      </c>
      <c r="AU1253" s="48">
        <v>6</v>
      </c>
      <c r="AV1253" s="48">
        <v>120</v>
      </c>
      <c r="AW1253" s="48">
        <v>114</v>
      </c>
      <c r="AX1253" s="48">
        <v>28</v>
      </c>
      <c r="AY1253" s="48" t="s">
        <v>8728</v>
      </c>
      <c r="AZ1253" s="48" t="s">
        <v>1563</v>
      </c>
      <c r="BA1253" s="48">
        <v>32</v>
      </c>
      <c r="BB1253" s="47" t="s">
        <v>2485</v>
      </c>
      <c r="BC1253" s="47" t="s">
        <v>8726</v>
      </c>
      <c r="BD1253" s="47" t="s">
        <v>8374</v>
      </c>
      <c r="BE1253" s="48" t="s">
        <v>2449</v>
      </c>
      <c r="BF1253" s="48" t="s">
        <v>272</v>
      </c>
      <c r="BG1253" s="48" t="s">
        <v>272</v>
      </c>
      <c r="BH1253" s="48" t="s">
        <v>2486</v>
      </c>
      <c r="BI1253" s="98">
        <v>6.3999999999999997E-6</v>
      </c>
      <c r="BJ1253" s="98">
        <v>6.4000000000000001E-2</v>
      </c>
      <c r="BK1253" s="48"/>
      <c r="BL1253" s="98">
        <f t="shared" si="330"/>
        <v>46.33348850535053</v>
      </c>
      <c r="BM1253" s="47" t="s">
        <v>2487</v>
      </c>
      <c r="BN1253" s="48"/>
      <c r="BO1253" s="48"/>
      <c r="BP1253" s="48"/>
      <c r="BQ1253" s="48"/>
      <c r="BR1253" s="47" t="s">
        <v>2496</v>
      </c>
      <c r="BS1253" s="48"/>
      <c r="BT1253" s="48"/>
      <c r="BU1253" s="228"/>
      <c r="BV1253" s="48"/>
      <c r="BW1253" s="48"/>
      <c r="BX1253" s="48"/>
      <c r="BY1253" s="48"/>
      <c r="BZ1253" s="48"/>
      <c r="CA1253" s="48"/>
      <c r="CB1253" s="48"/>
      <c r="CC1253" s="48"/>
      <c r="CD1253" s="48"/>
      <c r="CE1253" s="48"/>
      <c r="CF1253" s="48"/>
      <c r="CG1253" s="48"/>
      <c r="CH1253" s="48"/>
      <c r="CI1253" s="98"/>
      <c r="CJ1253" s="98"/>
      <c r="CK1253" s="49">
        <f t="shared" si="328"/>
        <v>723.960757896102</v>
      </c>
      <c r="CL1253" s="229"/>
      <c r="CM1253" s="229"/>
      <c r="CN1253" s="229"/>
      <c r="CO1253" s="47" t="s">
        <v>2488</v>
      </c>
      <c r="CP1253" s="47" t="s">
        <v>2489</v>
      </c>
      <c r="CQ1253" s="224" t="s">
        <v>272</v>
      </c>
      <c r="CR1253" s="224"/>
      <c r="CS1253" s="230" t="s">
        <v>539</v>
      </c>
      <c r="CT1253" s="230"/>
      <c r="CU1253" s="230"/>
      <c r="CV1253" s="335">
        <f t="shared" si="329"/>
        <v>339.31984016678246</v>
      </c>
      <c r="CW1253" s="230">
        <f t="shared" si="324"/>
        <v>1</v>
      </c>
      <c r="CX1253" s="336"/>
      <c r="CY1253" s="230" t="s">
        <v>5921</v>
      </c>
    </row>
    <row r="1254" spans="1:103" ht="11.25" customHeight="1" x14ac:dyDescent="0.2">
      <c r="A1254" s="72">
        <v>1252</v>
      </c>
      <c r="B1254" s="224">
        <v>1436</v>
      </c>
      <c r="C1254" s="46" t="s">
        <v>7369</v>
      </c>
      <c r="D1254" s="46"/>
      <c r="E1254" s="114"/>
      <c r="F1254" s="114" t="s">
        <v>4416</v>
      </c>
      <c r="G1254" s="225">
        <v>3739386</v>
      </c>
      <c r="H1254" s="47" t="s">
        <v>4417</v>
      </c>
      <c r="I1254" s="47" t="s">
        <v>4417</v>
      </c>
      <c r="J1254" s="47" t="s">
        <v>4418</v>
      </c>
      <c r="K1254" s="47" t="s">
        <v>426</v>
      </c>
      <c r="L1254" s="47"/>
      <c r="M1254" s="47"/>
      <c r="N1254" s="47"/>
      <c r="O1254" s="47"/>
      <c r="P1254" s="53"/>
      <c r="Q1254" s="53"/>
      <c r="R1254" s="53"/>
      <c r="S1254" s="53"/>
      <c r="T1254" s="48">
        <v>214.22</v>
      </c>
      <c r="U1254" s="98"/>
      <c r="V1254" s="98">
        <v>7.8937540845859397E-2</v>
      </c>
      <c r="W1254" s="98">
        <v>0.33113112148259094</v>
      </c>
      <c r="X1254" s="98">
        <f t="shared" ref="X1254:X1259" si="333">IF(W1254=0,V1254,W1254)</f>
        <v>0.33113112148259094</v>
      </c>
      <c r="Y1254" s="233">
        <v>3.84</v>
      </c>
      <c r="Z1254" s="48">
        <v>3.93</v>
      </c>
      <c r="AA1254" s="48">
        <v>3.91</v>
      </c>
      <c r="AB1254" s="48">
        <v>3.88</v>
      </c>
      <c r="AC1254" s="48">
        <v>0.84099999999999997</v>
      </c>
      <c r="AD1254" s="48">
        <v>3.89</v>
      </c>
      <c r="AE1254" s="48">
        <v>3.91</v>
      </c>
      <c r="AF1254" s="48">
        <f t="shared" si="327"/>
        <v>3.91</v>
      </c>
      <c r="AG1254" s="49">
        <v>2.81</v>
      </c>
      <c r="AH1254" s="98">
        <v>2.3699999999999999E-9</v>
      </c>
      <c r="AI1254" s="98"/>
      <c r="AJ1254" s="483">
        <f t="shared" si="331"/>
        <v>-7.013817980302548</v>
      </c>
      <c r="AK1254" s="483"/>
      <c r="AL1254" s="483">
        <f t="shared" si="332"/>
        <v>-7.013817980302548</v>
      </c>
      <c r="AM1254" s="483">
        <v>-11.847089999999998</v>
      </c>
      <c r="AN1254" s="226">
        <v>-7.12</v>
      </c>
      <c r="AO1254" s="484">
        <v>3.95</v>
      </c>
      <c r="AP1254" s="484"/>
      <c r="AQ1254" s="48" t="s">
        <v>6311</v>
      </c>
      <c r="AR1254" s="48" t="s">
        <v>6311</v>
      </c>
      <c r="AS1254" s="227"/>
      <c r="AT1254" s="50" t="s">
        <v>266</v>
      </c>
      <c r="AU1254" s="48">
        <v>6</v>
      </c>
      <c r="AV1254" s="48">
        <v>120</v>
      </c>
      <c r="AW1254" s="48">
        <v>114</v>
      </c>
      <c r="AX1254" s="48">
        <v>28</v>
      </c>
      <c r="AY1254" s="48" t="s">
        <v>8728</v>
      </c>
      <c r="AZ1254" s="48" t="s">
        <v>1563</v>
      </c>
      <c r="BA1254" s="48">
        <v>32</v>
      </c>
      <c r="BB1254" s="47" t="s">
        <v>2485</v>
      </c>
      <c r="BC1254" s="47" t="s">
        <v>8726</v>
      </c>
      <c r="BD1254" s="47" t="s">
        <v>8374</v>
      </c>
      <c r="BE1254" s="48" t="s">
        <v>2449</v>
      </c>
      <c r="BF1254" s="48" t="s">
        <v>272</v>
      </c>
      <c r="BG1254" s="48" t="s">
        <v>272</v>
      </c>
      <c r="BH1254" s="48" t="s">
        <v>2486</v>
      </c>
      <c r="BI1254" s="98">
        <v>6.3999999999999997E-6</v>
      </c>
      <c r="BJ1254" s="98">
        <v>6.4000000000000001E-2</v>
      </c>
      <c r="BK1254" s="48"/>
      <c r="BL1254" s="98">
        <f t="shared" si="330"/>
        <v>1.5179833219444985E-2</v>
      </c>
      <c r="BM1254" s="47" t="s">
        <v>2487</v>
      </c>
      <c r="BN1254" s="48"/>
      <c r="BO1254" s="48"/>
      <c r="BP1254" s="48"/>
      <c r="BQ1254" s="48"/>
      <c r="BR1254" s="47" t="s">
        <v>2496</v>
      </c>
      <c r="BS1254" s="48"/>
      <c r="BT1254" s="48"/>
      <c r="BU1254" s="228"/>
      <c r="BV1254" s="48"/>
      <c r="BW1254" s="48"/>
      <c r="BX1254" s="48"/>
      <c r="BY1254" s="48"/>
      <c r="BZ1254" s="48"/>
      <c r="CA1254" s="48"/>
      <c r="CB1254" s="48"/>
      <c r="CC1254" s="48"/>
      <c r="CD1254" s="48"/>
      <c r="CE1254" s="48"/>
      <c r="CF1254" s="48"/>
      <c r="CG1254" s="48"/>
      <c r="CH1254" s="48"/>
      <c r="CI1254" s="98"/>
      <c r="CJ1254" s="98"/>
      <c r="CK1254" s="49">
        <f t="shared" si="328"/>
        <v>0.23718489405382789</v>
      </c>
      <c r="CL1254" s="229"/>
      <c r="CM1254" s="229"/>
      <c r="CN1254" s="229"/>
      <c r="CO1254" s="47" t="s">
        <v>2488</v>
      </c>
      <c r="CP1254" s="47" t="s">
        <v>2489</v>
      </c>
      <c r="CQ1254" s="224" t="s">
        <v>272</v>
      </c>
      <c r="CR1254" s="224"/>
      <c r="CS1254" s="230" t="s">
        <v>539</v>
      </c>
      <c r="CT1254" s="230"/>
      <c r="CU1254" s="230"/>
      <c r="CV1254" s="335">
        <f t="shared" si="329"/>
        <v>5.173923773165483</v>
      </c>
      <c r="CW1254" s="230">
        <f t="shared" si="324"/>
        <v>1</v>
      </c>
      <c r="CX1254" s="336"/>
      <c r="CY1254" s="230" t="s">
        <v>5921</v>
      </c>
    </row>
    <row r="1255" spans="1:103" ht="11.25" customHeight="1" x14ac:dyDescent="0.2">
      <c r="A1255" s="72">
        <v>1253</v>
      </c>
      <c r="B1255" s="224">
        <v>1272</v>
      </c>
      <c r="C1255" s="46" t="s">
        <v>7370</v>
      </c>
      <c r="D1255" s="46"/>
      <c r="E1255" s="114"/>
      <c r="F1255" s="114" t="s">
        <v>3494</v>
      </c>
      <c r="G1255" s="225">
        <v>3811732</v>
      </c>
      <c r="H1255" s="47" t="s">
        <v>3495</v>
      </c>
      <c r="I1255" s="47" t="s">
        <v>3495</v>
      </c>
      <c r="J1255" s="47" t="s">
        <v>3496</v>
      </c>
      <c r="K1255" s="47" t="s">
        <v>3497</v>
      </c>
      <c r="L1255" s="47"/>
      <c r="M1255" s="47"/>
      <c r="N1255" s="47"/>
      <c r="O1255" s="47"/>
      <c r="P1255" s="53"/>
      <c r="Q1255" s="53"/>
      <c r="R1255" s="53"/>
      <c r="S1255" s="53"/>
      <c r="T1255" s="48">
        <v>127.17</v>
      </c>
      <c r="U1255" s="98"/>
      <c r="V1255" s="98">
        <v>2628.7646457497835</v>
      </c>
      <c r="W1255" s="98">
        <v>194.9844599758045</v>
      </c>
      <c r="X1255" s="98">
        <f t="shared" si="333"/>
        <v>194.9844599758045</v>
      </c>
      <c r="Y1255" s="233">
        <v>2.96</v>
      </c>
      <c r="Z1255" s="48">
        <v>-0.64</v>
      </c>
      <c r="AA1255" s="48"/>
      <c r="AB1255" s="48">
        <v>0.92</v>
      </c>
      <c r="AC1255" s="48">
        <v>0.64180000000000004</v>
      </c>
      <c r="AD1255" s="48">
        <v>0.27</v>
      </c>
      <c r="AE1255" s="48">
        <v>-0.9</v>
      </c>
      <c r="AF1255" s="48">
        <f t="shared" si="327"/>
        <v>0.27</v>
      </c>
      <c r="AG1255" s="49">
        <v>0.27</v>
      </c>
      <c r="AH1255" s="98">
        <v>2.6600000000000001E-10</v>
      </c>
      <c r="AI1255" s="98"/>
      <c r="AJ1255" s="483">
        <f t="shared" si="331"/>
        <v>-7.9636846896815845</v>
      </c>
      <c r="AK1255" s="483"/>
      <c r="AL1255" s="483">
        <f t="shared" si="332"/>
        <v>-7.9636846896815845</v>
      </c>
      <c r="AM1255" s="483">
        <v>-3.4164099999999995</v>
      </c>
      <c r="AN1255" s="226"/>
      <c r="AO1255" s="484">
        <v>5.4</v>
      </c>
      <c r="AP1255" s="484">
        <v>-0.15</v>
      </c>
      <c r="AQ1255" s="48" t="s">
        <v>6311</v>
      </c>
      <c r="AR1255" s="48" t="s">
        <v>6311</v>
      </c>
      <c r="AS1255" s="227"/>
      <c r="AT1255" s="50" t="s">
        <v>266</v>
      </c>
      <c r="AU1255" s="48">
        <v>6</v>
      </c>
      <c r="AV1255" s="48">
        <v>120</v>
      </c>
      <c r="AW1255" s="48">
        <v>114</v>
      </c>
      <c r="AX1255" s="48">
        <v>28</v>
      </c>
      <c r="AY1255" s="48" t="s">
        <v>8728</v>
      </c>
      <c r="AZ1255" s="48" t="s">
        <v>1563</v>
      </c>
      <c r="BA1255" s="48">
        <v>32</v>
      </c>
      <c r="BB1255" s="47" t="s">
        <v>2485</v>
      </c>
      <c r="BC1255" s="47" t="s">
        <v>8726</v>
      </c>
      <c r="BD1255" s="47" t="s">
        <v>8374</v>
      </c>
      <c r="BE1255" s="48" t="s">
        <v>2449</v>
      </c>
      <c r="BF1255" s="48" t="s">
        <v>272</v>
      </c>
      <c r="BG1255" s="48" t="s">
        <v>272</v>
      </c>
      <c r="BH1255" s="48" t="s">
        <v>2486</v>
      </c>
      <c r="BI1255" s="98">
        <v>6.3999999999999997E-6</v>
      </c>
      <c r="BJ1255" s="98">
        <v>6.4000000000000001E-2</v>
      </c>
      <c r="BK1255" s="48"/>
      <c r="BL1255" s="98">
        <f t="shared" si="330"/>
        <v>193.0118618126975</v>
      </c>
      <c r="BM1255" s="47" t="s">
        <v>2487</v>
      </c>
      <c r="BN1255" s="48"/>
      <c r="BO1255" s="48"/>
      <c r="BP1255" s="48"/>
      <c r="BQ1255" s="48"/>
      <c r="BR1255" s="47" t="s">
        <v>2496</v>
      </c>
      <c r="BS1255" s="48"/>
      <c r="BT1255" s="48"/>
      <c r="BU1255" s="228">
        <v>6.3999999999999997E-5</v>
      </c>
      <c r="BV1255" s="48"/>
      <c r="BW1255" s="48"/>
      <c r="BX1255" s="48"/>
      <c r="BY1255" s="48"/>
      <c r="BZ1255" s="48"/>
      <c r="CA1255" s="48"/>
      <c r="CB1255" s="48"/>
      <c r="CC1255" s="48"/>
      <c r="CD1255" s="48"/>
      <c r="CE1255" s="48"/>
      <c r="CF1255" s="48"/>
      <c r="CG1255" s="48"/>
      <c r="CH1255" s="48"/>
      <c r="CI1255" s="98"/>
      <c r="CJ1255" s="98"/>
      <c r="CK1255" s="49">
        <f t="shared" si="328"/>
        <v>3015.8103408233983</v>
      </c>
      <c r="CL1255" s="229"/>
      <c r="CM1255" s="229"/>
      <c r="CN1255" s="229"/>
      <c r="CO1255" s="47" t="s">
        <v>2488</v>
      </c>
      <c r="CP1255" s="47" t="s">
        <v>2489</v>
      </c>
      <c r="CQ1255" s="224" t="s">
        <v>272</v>
      </c>
      <c r="CR1255" s="224"/>
      <c r="CS1255" s="230" t="s">
        <v>539</v>
      </c>
      <c r="CT1255" s="230"/>
      <c r="CU1255" s="230"/>
      <c r="CV1255" s="335">
        <f t="shared" si="329"/>
        <v>3046.6321871219452</v>
      </c>
      <c r="CW1255" s="230">
        <f t="shared" si="324"/>
        <v>1</v>
      </c>
      <c r="CX1255" s="336"/>
      <c r="CY1255" s="230" t="s">
        <v>6351</v>
      </c>
    </row>
    <row r="1256" spans="1:103" ht="11.25" customHeight="1" x14ac:dyDescent="0.2">
      <c r="A1256" s="72">
        <v>1254</v>
      </c>
      <c r="B1256" s="224">
        <v>1025</v>
      </c>
      <c r="C1256" s="46" t="s">
        <v>7371</v>
      </c>
      <c r="D1256" s="46"/>
      <c r="E1256" s="114"/>
      <c r="F1256" s="114" t="s">
        <v>2924</v>
      </c>
      <c r="G1256" s="225">
        <v>3825261</v>
      </c>
      <c r="H1256" s="47" t="s">
        <v>2925</v>
      </c>
      <c r="I1256" s="47" t="s">
        <v>2925</v>
      </c>
      <c r="J1256" s="47" t="s">
        <v>2926</v>
      </c>
      <c r="K1256" s="47" t="s">
        <v>426</v>
      </c>
      <c r="L1256" s="47"/>
      <c r="M1256" s="47"/>
      <c r="N1256" s="47"/>
      <c r="O1256" s="47"/>
      <c r="P1256" s="53"/>
      <c r="Q1256" s="53"/>
      <c r="R1256" s="53"/>
      <c r="S1256" s="53"/>
      <c r="T1256" s="48">
        <v>431.1</v>
      </c>
      <c r="U1256" s="98"/>
      <c r="V1256" s="98">
        <v>0.10053351890512642</v>
      </c>
      <c r="W1256" s="98">
        <v>1.5135612484362065E-6</v>
      </c>
      <c r="X1256" s="98">
        <f t="shared" si="333"/>
        <v>1.5135612484362065E-6</v>
      </c>
      <c r="Y1256" s="233">
        <v>7</v>
      </c>
      <c r="Z1256" s="48">
        <v>1.94</v>
      </c>
      <c r="AA1256" s="48"/>
      <c r="AB1256" s="48">
        <v>0</v>
      </c>
      <c r="AC1256" s="48">
        <v>0</v>
      </c>
      <c r="AD1256" s="48">
        <v>0</v>
      </c>
      <c r="AE1256" s="48">
        <v>0</v>
      </c>
      <c r="AF1256" s="48"/>
      <c r="AG1256" s="49">
        <v>1.85</v>
      </c>
      <c r="AH1256" s="98">
        <v>4.3699999999999999E-10</v>
      </c>
      <c r="AI1256" s="98"/>
      <c r="AJ1256" s="483">
        <f t="shared" si="331"/>
        <v>-7.7480848893422296</v>
      </c>
      <c r="AK1256" s="483"/>
      <c r="AL1256" s="483">
        <f t="shared" si="332"/>
        <v>-7.7480848893422296</v>
      </c>
      <c r="AM1256" s="483"/>
      <c r="AN1256" s="226">
        <v>-9.64</v>
      </c>
      <c r="AO1256" s="484"/>
      <c r="AP1256" s="484">
        <v>-3.34</v>
      </c>
      <c r="AQ1256" s="48" t="s">
        <v>6311</v>
      </c>
      <c r="AR1256" s="48" t="s">
        <v>6313</v>
      </c>
      <c r="AS1256" s="227"/>
      <c r="AT1256" s="50" t="s">
        <v>266</v>
      </c>
      <c r="AU1256" s="48">
        <v>6</v>
      </c>
      <c r="AV1256" s="48">
        <v>120</v>
      </c>
      <c r="AW1256" s="48">
        <v>114</v>
      </c>
      <c r="AX1256" s="48">
        <v>28</v>
      </c>
      <c r="AY1256" s="48" t="s">
        <v>8728</v>
      </c>
      <c r="AZ1256" s="48" t="s">
        <v>1563</v>
      </c>
      <c r="BA1256" s="48">
        <v>32</v>
      </c>
      <c r="BB1256" s="47" t="s">
        <v>2485</v>
      </c>
      <c r="BC1256" s="47" t="s">
        <v>8726</v>
      </c>
      <c r="BD1256" s="47" t="s">
        <v>8374</v>
      </c>
      <c r="BE1256" s="48" t="s">
        <v>2449</v>
      </c>
      <c r="BF1256" s="48" t="s">
        <v>272</v>
      </c>
      <c r="BG1256" s="48" t="s">
        <v>272</v>
      </c>
      <c r="BH1256" s="48" t="s">
        <v>2486</v>
      </c>
      <c r="BI1256" s="98">
        <v>6.3999999999999997E-6</v>
      </c>
      <c r="BJ1256" s="98">
        <v>6.4000000000000001E-2</v>
      </c>
      <c r="BK1256" s="48"/>
      <c r="BL1256" s="98">
        <f t="shared" si="330"/>
        <v>0.93000653440218206</v>
      </c>
      <c r="BM1256" s="47" t="s">
        <v>2487</v>
      </c>
      <c r="BN1256" s="48"/>
      <c r="BO1256" s="48"/>
      <c r="BP1256" s="48"/>
      <c r="BQ1256" s="48"/>
      <c r="BR1256" s="47" t="s">
        <v>2496</v>
      </c>
      <c r="BS1256" s="48"/>
      <c r="BT1256" s="48"/>
      <c r="BU1256" s="228">
        <v>6.3999999999999997E-5</v>
      </c>
      <c r="BV1256" s="48"/>
      <c r="BW1256" s="48"/>
      <c r="BX1256" s="48"/>
      <c r="BY1256" s="48"/>
      <c r="BZ1256" s="48"/>
      <c r="CA1256" s="48"/>
      <c r="CB1256" s="48"/>
      <c r="CC1256" s="48"/>
      <c r="CD1256" s="48"/>
      <c r="CE1256" s="48"/>
      <c r="CF1256" s="48"/>
      <c r="CG1256" s="48"/>
      <c r="CH1256" s="48"/>
      <c r="CI1256" s="98"/>
      <c r="CJ1256" s="98"/>
      <c r="CK1256" s="49">
        <f t="shared" si="328"/>
        <v>14.531352100034095</v>
      </c>
      <c r="CL1256" s="229"/>
      <c r="CM1256" s="229"/>
      <c r="CN1256" s="229"/>
      <c r="CO1256" s="47" t="s">
        <v>2488</v>
      </c>
      <c r="CP1256" s="47" t="s">
        <v>2489</v>
      </c>
      <c r="CQ1256" s="224" t="s">
        <v>272</v>
      </c>
      <c r="CR1256" s="224"/>
      <c r="CS1256" s="230" t="s">
        <v>539</v>
      </c>
      <c r="CT1256" s="230"/>
      <c r="CU1256" s="230"/>
      <c r="CV1256" s="335">
        <f t="shared" si="329"/>
        <v>2.3649394506815728E-5</v>
      </c>
      <c r="CW1256" s="230">
        <f t="shared" si="324"/>
        <v>0</v>
      </c>
      <c r="CX1256" s="336"/>
      <c r="CY1256" s="230" t="s">
        <v>5921</v>
      </c>
    </row>
    <row r="1257" spans="1:103" ht="11.25" customHeight="1" x14ac:dyDescent="0.2">
      <c r="A1257" s="72">
        <v>1255</v>
      </c>
      <c r="B1257" s="224">
        <v>1655</v>
      </c>
      <c r="C1257" s="46" t="s">
        <v>7372</v>
      </c>
      <c r="D1257" s="46"/>
      <c r="E1257" s="114"/>
      <c r="F1257" s="114" t="s">
        <v>4872</v>
      </c>
      <c r="G1257" s="225">
        <v>3844459</v>
      </c>
      <c r="H1257" s="47" t="s">
        <v>4873</v>
      </c>
      <c r="I1257" s="47" t="s">
        <v>8089</v>
      </c>
      <c r="J1257" s="47" t="s">
        <v>4874</v>
      </c>
      <c r="K1257" s="47" t="s">
        <v>426</v>
      </c>
      <c r="L1257" s="47"/>
      <c r="M1257" s="47"/>
      <c r="N1257" s="47"/>
      <c r="O1257" s="47"/>
      <c r="P1257" s="53"/>
      <c r="Q1257" s="53"/>
      <c r="R1257" s="53"/>
      <c r="S1257" s="53"/>
      <c r="T1257" s="48">
        <v>749.89</v>
      </c>
      <c r="U1257" s="98"/>
      <c r="V1257" s="98">
        <v>2.9404312632519435E-4</v>
      </c>
      <c r="W1257" s="98"/>
      <c r="X1257" s="98">
        <f t="shared" si="333"/>
        <v>2.9404312632519435E-4</v>
      </c>
      <c r="Y1257" s="233"/>
      <c r="Z1257" s="48">
        <v>-0.15</v>
      </c>
      <c r="AA1257" s="48"/>
      <c r="AB1257" s="48">
        <v>0</v>
      </c>
      <c r="AC1257" s="48">
        <v>0</v>
      </c>
      <c r="AD1257" s="48">
        <v>0</v>
      </c>
      <c r="AE1257" s="48">
        <v>0</v>
      </c>
      <c r="AF1257" s="48"/>
      <c r="AG1257" s="49" t="s">
        <v>5921</v>
      </c>
      <c r="AH1257" s="98">
        <v>2.2500000000000001E-35</v>
      </c>
      <c r="AI1257" s="98"/>
      <c r="AJ1257" s="483">
        <f t="shared" si="331"/>
        <v>-33.036383808201286</v>
      </c>
      <c r="AK1257" s="483"/>
      <c r="AL1257" s="483">
        <f t="shared" si="332"/>
        <v>-33.036383808201286</v>
      </c>
      <c r="AM1257" s="483"/>
      <c r="AN1257" s="226"/>
      <c r="AO1257" s="484"/>
      <c r="AP1257" s="484"/>
      <c r="AQ1257" s="226" t="s">
        <v>6311</v>
      </c>
      <c r="AR1257" s="226" t="s">
        <v>6311</v>
      </c>
      <c r="AS1257" s="224"/>
      <c r="AT1257" s="50" t="s">
        <v>266</v>
      </c>
      <c r="AU1257" s="48">
        <v>6</v>
      </c>
      <c r="AV1257" s="48">
        <v>120</v>
      </c>
      <c r="AW1257" s="48">
        <v>114</v>
      </c>
      <c r="AX1257" s="48">
        <v>28</v>
      </c>
      <c r="AY1257" s="48" t="s">
        <v>8728</v>
      </c>
      <c r="AZ1257" s="48" t="s">
        <v>1563</v>
      </c>
      <c r="BA1257" s="48">
        <v>32</v>
      </c>
      <c r="BB1257" s="47" t="s">
        <v>2485</v>
      </c>
      <c r="BC1257" s="47" t="s">
        <v>8726</v>
      </c>
      <c r="BD1257" s="47" t="s">
        <v>8374</v>
      </c>
      <c r="BE1257" s="48" t="s">
        <v>2449</v>
      </c>
      <c r="BF1257" s="48" t="s">
        <v>272</v>
      </c>
      <c r="BG1257" s="48" t="s">
        <v>272</v>
      </c>
      <c r="BH1257" s="48" t="s">
        <v>2486</v>
      </c>
      <c r="BI1257" s="98">
        <v>6.3999999999999997E-6</v>
      </c>
      <c r="BJ1257" s="98">
        <v>6.4000000000000001E-2</v>
      </c>
      <c r="BK1257" s="48"/>
      <c r="BL1257" s="98">
        <f t="shared" si="330"/>
        <v>70.067238281424693</v>
      </c>
      <c r="BM1257" s="47" t="s">
        <v>2487</v>
      </c>
      <c r="BN1257" s="48"/>
      <c r="BO1257" s="48"/>
      <c r="BP1257" s="48"/>
      <c r="BQ1257" s="48"/>
      <c r="BR1257" s="47" t="s">
        <v>2496</v>
      </c>
      <c r="BS1257" s="48"/>
      <c r="BT1257" s="48"/>
      <c r="BU1257" s="228"/>
      <c r="BV1257" s="48"/>
      <c r="BW1257" s="48"/>
      <c r="BX1257" s="48"/>
      <c r="BY1257" s="48"/>
      <c r="BZ1257" s="48"/>
      <c r="CA1257" s="48"/>
      <c r="CB1257" s="48"/>
      <c r="CC1257" s="48"/>
      <c r="CD1257" s="48"/>
      <c r="CE1257" s="48"/>
      <c r="CF1257" s="48"/>
      <c r="CG1257" s="48"/>
      <c r="CH1257" s="48"/>
      <c r="CI1257" s="98"/>
      <c r="CJ1257" s="98"/>
      <c r="CK1257" s="49">
        <f t="shared" si="328"/>
        <v>1094.8005981472609</v>
      </c>
      <c r="CL1257" s="229"/>
      <c r="CM1257" s="229"/>
      <c r="CN1257" s="229"/>
      <c r="CO1257" s="47" t="s">
        <v>2488</v>
      </c>
      <c r="CP1257" s="47" t="s">
        <v>2489</v>
      </c>
      <c r="CQ1257" s="224" t="s">
        <v>272</v>
      </c>
      <c r="CR1257" s="224"/>
      <c r="CS1257" s="230" t="s">
        <v>539</v>
      </c>
      <c r="CT1257" s="230"/>
      <c r="CU1257" s="230"/>
      <c r="CV1257" s="335">
        <f t="shared" si="329"/>
        <v>4.5944238488311619E-3</v>
      </c>
      <c r="CW1257" s="230">
        <f t="shared" si="324"/>
        <v>0</v>
      </c>
      <c r="CX1257" s="336"/>
      <c r="CY1257" s="230" t="s">
        <v>5921</v>
      </c>
    </row>
    <row r="1258" spans="1:103" ht="11.25" customHeight="1" x14ac:dyDescent="0.2">
      <c r="A1258" s="72">
        <v>1256</v>
      </c>
      <c r="B1258" s="224">
        <v>1246</v>
      </c>
      <c r="C1258" s="46" t="s">
        <v>7373</v>
      </c>
      <c r="D1258" s="46"/>
      <c r="E1258" s="114"/>
      <c r="F1258" s="114" t="s">
        <v>3426</v>
      </c>
      <c r="G1258" s="225">
        <v>3871996</v>
      </c>
      <c r="H1258" s="47" t="s">
        <v>3427</v>
      </c>
      <c r="I1258" s="47" t="s">
        <v>3427</v>
      </c>
      <c r="J1258" s="47" t="s">
        <v>3428</v>
      </c>
      <c r="K1258" s="47" t="s">
        <v>426</v>
      </c>
      <c r="L1258" s="47"/>
      <c r="M1258" s="47"/>
      <c r="N1258" s="47"/>
      <c r="O1258" s="47"/>
      <c r="P1258" s="53"/>
      <c r="Q1258" s="53"/>
      <c r="R1258" s="53"/>
      <c r="S1258" s="53"/>
      <c r="T1258" s="48">
        <v>400.12</v>
      </c>
      <c r="U1258" s="98"/>
      <c r="V1258" s="98">
        <v>1.5430370888733381E-2</v>
      </c>
      <c r="W1258" s="98">
        <v>141.25375446227542</v>
      </c>
      <c r="X1258" s="98">
        <f t="shared" si="333"/>
        <v>141.25375446227542</v>
      </c>
      <c r="Y1258" s="233">
        <v>0.85</v>
      </c>
      <c r="Z1258" s="48">
        <v>3.16</v>
      </c>
      <c r="AA1258" s="48"/>
      <c r="AB1258" s="48">
        <v>1.18</v>
      </c>
      <c r="AC1258" s="48">
        <v>0.5121</v>
      </c>
      <c r="AD1258" s="48">
        <v>2.96</v>
      </c>
      <c r="AE1258" s="48">
        <v>5.25</v>
      </c>
      <c r="AF1258" s="48">
        <f t="shared" ref="AF1258:AF1286" si="334">IF(AA1258=0,AD1258,AA1258)</f>
        <v>2.96</v>
      </c>
      <c r="AG1258" s="49">
        <v>0.66</v>
      </c>
      <c r="AH1258" s="98">
        <v>3.97E-4</v>
      </c>
      <c r="AI1258" s="98"/>
      <c r="AJ1258" s="483">
        <f t="shared" si="331"/>
        <v>-1.7897758195495366</v>
      </c>
      <c r="AK1258" s="483"/>
      <c r="AL1258" s="483">
        <f t="shared" si="332"/>
        <v>-1.7897758195495366</v>
      </c>
      <c r="AM1258" s="483">
        <v>-5.0072799999999997</v>
      </c>
      <c r="AN1258" s="226"/>
      <c r="AO1258" s="484">
        <v>-3.34</v>
      </c>
      <c r="AP1258" s="484"/>
      <c r="AQ1258" s="48" t="s">
        <v>6311</v>
      </c>
      <c r="AR1258" s="48" t="s">
        <v>6311</v>
      </c>
      <c r="AS1258" s="227"/>
      <c r="AT1258" s="50" t="s">
        <v>266</v>
      </c>
      <c r="AU1258" s="48">
        <v>6</v>
      </c>
      <c r="AV1258" s="48">
        <v>120</v>
      </c>
      <c r="AW1258" s="48">
        <v>114</v>
      </c>
      <c r="AX1258" s="48">
        <v>28</v>
      </c>
      <c r="AY1258" s="48" t="s">
        <v>8728</v>
      </c>
      <c r="AZ1258" s="48" t="s">
        <v>1563</v>
      </c>
      <c r="BA1258" s="48">
        <v>32</v>
      </c>
      <c r="BB1258" s="47" t="s">
        <v>2485</v>
      </c>
      <c r="BC1258" s="47" t="s">
        <v>8726</v>
      </c>
      <c r="BD1258" s="47" t="s">
        <v>8374</v>
      </c>
      <c r="BE1258" s="48" t="s">
        <v>2449</v>
      </c>
      <c r="BF1258" s="48" t="s">
        <v>272</v>
      </c>
      <c r="BG1258" s="48" t="s">
        <v>272</v>
      </c>
      <c r="BH1258" s="48" t="s">
        <v>2486</v>
      </c>
      <c r="BI1258" s="98">
        <v>6.3999999999999997E-6</v>
      </c>
      <c r="BJ1258" s="98">
        <v>6.4000000000000001E-2</v>
      </c>
      <c r="BK1258" s="48"/>
      <c r="BL1258" s="98">
        <f t="shared" si="330"/>
        <v>7.4611195710649725E-2</v>
      </c>
      <c r="BM1258" s="47" t="s">
        <v>2487</v>
      </c>
      <c r="BN1258" s="48"/>
      <c r="BO1258" s="48"/>
      <c r="BP1258" s="48"/>
      <c r="BQ1258" s="48"/>
      <c r="BR1258" s="47" t="s">
        <v>2496</v>
      </c>
      <c r="BS1258" s="48"/>
      <c r="BT1258" s="48"/>
      <c r="BU1258" s="228">
        <v>6.4000000000000001E-2</v>
      </c>
      <c r="BV1258" s="48"/>
      <c r="BW1258" s="48"/>
      <c r="BX1258" s="48"/>
      <c r="BY1258" s="48"/>
      <c r="BZ1258" s="48"/>
      <c r="CA1258" s="48"/>
      <c r="CB1258" s="48"/>
      <c r="CC1258" s="48"/>
      <c r="CD1258" s="48"/>
      <c r="CE1258" s="48"/>
      <c r="CF1258" s="48"/>
      <c r="CG1258" s="48"/>
      <c r="CH1258" s="48"/>
      <c r="CI1258" s="98"/>
      <c r="CJ1258" s="98"/>
      <c r="CK1258" s="49">
        <f t="shared" si="328"/>
        <v>1.1657999329789019</v>
      </c>
      <c r="CL1258" s="229"/>
      <c r="CM1258" s="229"/>
      <c r="CN1258" s="229"/>
      <c r="CO1258" s="47" t="s">
        <v>2488</v>
      </c>
      <c r="CP1258" s="47" t="s">
        <v>2489</v>
      </c>
      <c r="CQ1258" s="224" t="s">
        <v>272</v>
      </c>
      <c r="CR1258" s="224"/>
      <c r="CS1258" s="230" t="s">
        <v>539</v>
      </c>
      <c r="CT1258" s="230"/>
      <c r="CU1258" s="230"/>
      <c r="CV1258" s="335">
        <f t="shared" si="329"/>
        <v>2207.0899134730535</v>
      </c>
      <c r="CW1258" s="230">
        <f t="shared" si="324"/>
        <v>1</v>
      </c>
      <c r="CX1258" s="336"/>
      <c r="CY1258" s="230" t="s">
        <v>5921</v>
      </c>
    </row>
    <row r="1259" spans="1:103" ht="11.25" customHeight="1" x14ac:dyDescent="0.2">
      <c r="A1259" s="72">
        <v>1257</v>
      </c>
      <c r="B1259" s="224">
        <v>1714</v>
      </c>
      <c r="C1259" s="46" t="s">
        <v>7374</v>
      </c>
      <c r="D1259" s="46"/>
      <c r="E1259" s="114"/>
      <c r="F1259" s="114" t="s">
        <v>4981</v>
      </c>
      <c r="G1259" s="225">
        <v>4098719</v>
      </c>
      <c r="H1259" s="47" t="s">
        <v>4982</v>
      </c>
      <c r="I1259" s="47" t="s">
        <v>4982</v>
      </c>
      <c r="J1259" s="47" t="s">
        <v>4983</v>
      </c>
      <c r="K1259" s="47" t="s">
        <v>426</v>
      </c>
      <c r="L1259" s="47"/>
      <c r="M1259" s="47"/>
      <c r="N1259" s="47"/>
      <c r="O1259" s="47"/>
      <c r="P1259" s="53"/>
      <c r="Q1259" s="53"/>
      <c r="R1259" s="53"/>
      <c r="S1259" s="53"/>
      <c r="T1259" s="48">
        <v>222.28</v>
      </c>
      <c r="U1259" s="98"/>
      <c r="V1259" s="98">
        <v>1.3172575130466078E-2</v>
      </c>
      <c r="W1259" s="98">
        <v>0.13803842646028844</v>
      </c>
      <c r="X1259" s="98">
        <f t="shared" si="333"/>
        <v>0.13803842646028844</v>
      </c>
      <c r="Y1259" s="233">
        <v>7</v>
      </c>
      <c r="Z1259" s="48">
        <v>4.75</v>
      </c>
      <c r="AA1259" s="48"/>
      <c r="AB1259" s="48">
        <v>3.52</v>
      </c>
      <c r="AC1259" s="48">
        <v>7.8899999999999998E-2</v>
      </c>
      <c r="AD1259" s="48">
        <v>4.47</v>
      </c>
      <c r="AE1259" s="48">
        <v>4.67</v>
      </c>
      <c r="AF1259" s="48">
        <f t="shared" si="334"/>
        <v>4.47</v>
      </c>
      <c r="AG1259" s="49">
        <v>2.19</v>
      </c>
      <c r="AH1259" s="98">
        <v>6.5699999999999998E-5</v>
      </c>
      <c r="AI1259" s="98"/>
      <c r="AJ1259" s="483">
        <f t="shared" si="331"/>
        <v>-2.5710009567528709</v>
      </c>
      <c r="AK1259" s="483"/>
      <c r="AL1259" s="483">
        <f t="shared" si="332"/>
        <v>-2.5710009567528709</v>
      </c>
      <c r="AM1259" s="483">
        <v>-8.2058300000000006</v>
      </c>
      <c r="AN1259" s="226">
        <v>-11.8</v>
      </c>
      <c r="AO1259" s="484"/>
      <c r="AP1259" s="484"/>
      <c r="AQ1259" s="226" t="s">
        <v>6311</v>
      </c>
      <c r="AR1259" s="226" t="s">
        <v>6311</v>
      </c>
      <c r="AS1259" s="224"/>
      <c r="AT1259" s="50" t="s">
        <v>266</v>
      </c>
      <c r="AU1259" s="48">
        <v>6</v>
      </c>
      <c r="AV1259" s="48">
        <v>120</v>
      </c>
      <c r="AW1259" s="48">
        <v>114</v>
      </c>
      <c r="AX1259" s="48">
        <v>28</v>
      </c>
      <c r="AY1259" s="48" t="s">
        <v>8728</v>
      </c>
      <c r="AZ1259" s="48" t="s">
        <v>1563</v>
      </c>
      <c r="BA1259" s="48">
        <v>32</v>
      </c>
      <c r="BB1259" s="47" t="s">
        <v>2485</v>
      </c>
      <c r="BC1259" s="47" t="s">
        <v>8726</v>
      </c>
      <c r="BD1259" s="47" t="s">
        <v>8374</v>
      </c>
      <c r="BE1259" s="48" t="s">
        <v>2449</v>
      </c>
      <c r="BF1259" s="48" t="s">
        <v>272</v>
      </c>
      <c r="BG1259" s="48" t="s">
        <v>272</v>
      </c>
      <c r="BH1259" s="48" t="s">
        <v>2486</v>
      </c>
      <c r="BI1259" s="98">
        <v>6.3999999999999997E-6</v>
      </c>
      <c r="BJ1259" s="98">
        <v>6.4000000000000001E-2</v>
      </c>
      <c r="BK1259" s="48"/>
      <c r="BL1259" s="98">
        <f t="shared" si="330"/>
        <v>2.7849987206042346E-3</v>
      </c>
      <c r="BM1259" s="47" t="s">
        <v>2487</v>
      </c>
      <c r="BN1259" s="48"/>
      <c r="BO1259" s="48"/>
      <c r="BP1259" s="48"/>
      <c r="BQ1259" s="48"/>
      <c r="BR1259" s="47" t="s">
        <v>2496</v>
      </c>
      <c r="BS1259" s="48"/>
      <c r="BT1259" s="48"/>
      <c r="BU1259" s="228"/>
      <c r="BV1259" s="48"/>
      <c r="BW1259" s="48"/>
      <c r="BX1259" s="48"/>
      <c r="BY1259" s="48"/>
      <c r="BZ1259" s="48"/>
      <c r="CA1259" s="48"/>
      <c r="CB1259" s="48"/>
      <c r="CC1259" s="48"/>
      <c r="CD1259" s="48"/>
      <c r="CE1259" s="48"/>
      <c r="CF1259" s="48"/>
      <c r="CG1259" s="48"/>
      <c r="CH1259" s="48"/>
      <c r="CI1259" s="98"/>
      <c r="CJ1259" s="98"/>
      <c r="CK1259" s="49">
        <f t="shared" si="328"/>
        <v>4.3515605009441162E-2</v>
      </c>
      <c r="CL1259" s="229"/>
      <c r="CM1259" s="229"/>
      <c r="CN1259" s="229"/>
      <c r="CO1259" s="47" t="s">
        <v>2488</v>
      </c>
      <c r="CP1259" s="47" t="s">
        <v>2489</v>
      </c>
      <c r="CQ1259" s="224" t="s">
        <v>272</v>
      </c>
      <c r="CR1259" s="224"/>
      <c r="CS1259" s="230" t="s">
        <v>539</v>
      </c>
      <c r="CT1259" s="230"/>
      <c r="CU1259" s="230"/>
      <c r="CV1259" s="335">
        <f t="shared" si="329"/>
        <v>2.1568504134420068</v>
      </c>
      <c r="CW1259" s="230">
        <f t="shared" si="324"/>
        <v>1</v>
      </c>
      <c r="CX1259" s="336"/>
      <c r="CY1259" s="230" t="s">
        <v>6351</v>
      </c>
    </row>
    <row r="1260" spans="1:103" ht="11.25" customHeight="1" x14ac:dyDescent="0.2">
      <c r="A1260" s="72">
        <v>1258</v>
      </c>
      <c r="B1260" s="224">
        <v>884</v>
      </c>
      <c r="C1260" s="46" t="s">
        <v>7375</v>
      </c>
      <c r="D1260" s="46"/>
      <c r="E1260" s="114"/>
      <c r="F1260" s="114" t="s">
        <v>2515</v>
      </c>
      <c r="G1260" s="225">
        <v>4180238</v>
      </c>
      <c r="H1260" s="47" t="s">
        <v>2516</v>
      </c>
      <c r="I1260" s="47" t="s">
        <v>2516</v>
      </c>
      <c r="J1260" s="47" t="s">
        <v>2517</v>
      </c>
      <c r="K1260" s="47" t="s">
        <v>426</v>
      </c>
      <c r="L1260" s="47" t="s">
        <v>6069</v>
      </c>
      <c r="M1260" s="47" t="s">
        <v>5960</v>
      </c>
      <c r="N1260" s="47"/>
      <c r="O1260" s="47"/>
      <c r="P1260" s="53"/>
      <c r="Q1260" s="53"/>
      <c r="R1260" s="53"/>
      <c r="S1260" s="53"/>
      <c r="T1260" s="48">
        <v>148.19999999999999</v>
      </c>
      <c r="U1260" s="98">
        <v>0.74898785425101222</v>
      </c>
      <c r="V1260" s="98">
        <v>0.66585695006747647</v>
      </c>
      <c r="W1260" s="98">
        <v>4.5708818961487507</v>
      </c>
      <c r="X1260" s="98">
        <v>0.74898785425101222</v>
      </c>
      <c r="Y1260" s="233">
        <v>7</v>
      </c>
      <c r="Z1260" s="48">
        <v>3.39</v>
      </c>
      <c r="AA1260" s="48"/>
      <c r="AB1260" s="48">
        <v>3.06</v>
      </c>
      <c r="AC1260" s="48">
        <v>0.87809999999999999</v>
      </c>
      <c r="AD1260" s="48">
        <v>3.08</v>
      </c>
      <c r="AE1260" s="48">
        <v>3.17</v>
      </c>
      <c r="AF1260" s="48">
        <f t="shared" si="334"/>
        <v>3.08</v>
      </c>
      <c r="AG1260" s="49">
        <v>2.96</v>
      </c>
      <c r="AH1260" s="98">
        <v>2.5599999999999999E-4</v>
      </c>
      <c r="AI1260" s="98"/>
      <c r="AJ1260" s="483">
        <f t="shared" si="331"/>
        <v>-1.9803263610008022</v>
      </c>
      <c r="AK1260" s="483"/>
      <c r="AL1260" s="483">
        <f t="shared" si="332"/>
        <v>-1.9803263610008022</v>
      </c>
      <c r="AM1260" s="483">
        <v>-4.7366999999999999</v>
      </c>
      <c r="AN1260" s="226">
        <v>-2.11</v>
      </c>
      <c r="AO1260" s="484"/>
      <c r="AP1260" s="484"/>
      <c r="AQ1260" s="48" t="s">
        <v>6311</v>
      </c>
      <c r="AR1260" s="48" t="s">
        <v>6311</v>
      </c>
      <c r="AS1260" s="227"/>
      <c r="AT1260" s="50" t="s">
        <v>266</v>
      </c>
      <c r="AU1260" s="48">
        <v>6</v>
      </c>
      <c r="AV1260" s="48">
        <v>120</v>
      </c>
      <c r="AW1260" s="48">
        <v>114</v>
      </c>
      <c r="AX1260" s="48">
        <v>28</v>
      </c>
      <c r="AY1260" s="48" t="s">
        <v>8728</v>
      </c>
      <c r="AZ1260" s="48" t="s">
        <v>1563</v>
      </c>
      <c r="BA1260" s="48">
        <v>32</v>
      </c>
      <c r="BB1260" s="47" t="s">
        <v>2485</v>
      </c>
      <c r="BC1260" s="47" t="s">
        <v>8726</v>
      </c>
      <c r="BD1260" s="47" t="s">
        <v>8374</v>
      </c>
      <c r="BE1260" s="48" t="s">
        <v>2449</v>
      </c>
      <c r="BF1260" s="48" t="s">
        <v>272</v>
      </c>
      <c r="BG1260" s="48" t="s">
        <v>272</v>
      </c>
      <c r="BH1260" s="48" t="s">
        <v>2486</v>
      </c>
      <c r="BI1260" s="98">
        <v>6.3999999999999997E-6</v>
      </c>
      <c r="BJ1260" s="98">
        <v>6.4000000000000001E-2</v>
      </c>
      <c r="BK1260" s="48"/>
      <c r="BL1260" s="98">
        <f t="shared" si="330"/>
        <v>4.6370416846478135E-2</v>
      </c>
      <c r="BM1260" s="47" t="s">
        <v>2487</v>
      </c>
      <c r="BN1260" s="48"/>
      <c r="BO1260" s="48"/>
      <c r="BP1260" s="48"/>
      <c r="BQ1260" s="48"/>
      <c r="BR1260" s="47" t="s">
        <v>2496</v>
      </c>
      <c r="BS1260" s="48"/>
      <c r="BT1260" s="48"/>
      <c r="BU1260" s="228">
        <v>6.3999999999999997E-5</v>
      </c>
      <c r="BV1260" s="48"/>
      <c r="BW1260" s="48"/>
      <c r="BX1260" s="48"/>
      <c r="BY1260" s="48"/>
      <c r="BZ1260" s="48"/>
      <c r="CA1260" s="48"/>
      <c r="CB1260" s="48"/>
      <c r="CC1260" s="48"/>
      <c r="CD1260" s="48"/>
      <c r="CE1260" s="48"/>
      <c r="CF1260" s="48"/>
      <c r="CG1260" s="48"/>
      <c r="CH1260" s="48"/>
      <c r="CI1260" s="98"/>
      <c r="CJ1260" s="98"/>
      <c r="CK1260" s="49">
        <f t="shared" si="328"/>
        <v>0.72453776322622088</v>
      </c>
      <c r="CL1260" s="229"/>
      <c r="CM1260" s="229"/>
      <c r="CN1260" s="229"/>
      <c r="CO1260" s="47" t="s">
        <v>2488</v>
      </c>
      <c r="CP1260" s="47" t="s">
        <v>2489</v>
      </c>
      <c r="CQ1260" s="224">
        <v>-1.2823952352477495</v>
      </c>
      <c r="CR1260" s="224">
        <f>10^(CJ1260-CQ1260)</f>
        <v>19.15998811055972</v>
      </c>
      <c r="CS1260" s="230" t="s">
        <v>539</v>
      </c>
      <c r="CT1260" s="230"/>
      <c r="CU1260" s="230"/>
      <c r="CV1260" s="335">
        <f t="shared" si="329"/>
        <v>11.702935222672066</v>
      </c>
      <c r="CW1260" s="230">
        <f t="shared" si="324"/>
        <v>1</v>
      </c>
      <c r="CX1260" s="336"/>
      <c r="CY1260" s="230" t="s">
        <v>6351</v>
      </c>
    </row>
    <row r="1261" spans="1:103" ht="11.25" customHeight="1" x14ac:dyDescent="0.2">
      <c r="A1261" s="72">
        <v>1259</v>
      </c>
      <c r="B1261" s="224">
        <v>1557</v>
      </c>
      <c r="C1261" s="46" t="s">
        <v>7376</v>
      </c>
      <c r="D1261" s="46"/>
      <c r="E1261" s="114"/>
      <c r="F1261" s="114" t="s">
        <v>4696</v>
      </c>
      <c r="G1261" s="225">
        <v>4291638</v>
      </c>
      <c r="H1261" s="47" t="s">
        <v>4697</v>
      </c>
      <c r="I1261" s="47" t="s">
        <v>8090</v>
      </c>
      <c r="J1261" s="47" t="s">
        <v>4698</v>
      </c>
      <c r="K1261" s="47" t="s">
        <v>4699</v>
      </c>
      <c r="L1261" s="47" t="s">
        <v>279</v>
      </c>
      <c r="M1261" s="47" t="s">
        <v>4700</v>
      </c>
      <c r="N1261" s="47"/>
      <c r="O1261" s="47" t="s">
        <v>281</v>
      </c>
      <c r="P1261" s="53"/>
      <c r="Q1261" s="53"/>
      <c r="R1261" s="53"/>
      <c r="S1261" s="53"/>
      <c r="T1261" s="48">
        <v>285.69</v>
      </c>
      <c r="U1261" s="98"/>
      <c r="V1261" s="98">
        <v>2.4495082081976967</v>
      </c>
      <c r="W1261" s="98">
        <v>91.201083935590944</v>
      </c>
      <c r="X1261" s="98">
        <f>IF(W1261=0,V1261,W1261)</f>
        <v>91.201083935590944</v>
      </c>
      <c r="Y1261" s="233">
        <v>7.16</v>
      </c>
      <c r="Z1261" s="48">
        <v>-7.0000000000000007E-2</v>
      </c>
      <c r="AA1261" s="48">
        <v>0.02</v>
      </c>
      <c r="AB1261" s="48">
        <v>0.01</v>
      </c>
      <c r="AC1261" s="48">
        <v>0.85909999999999997</v>
      </c>
      <c r="AD1261" s="48">
        <v>0.01</v>
      </c>
      <c r="AE1261" s="48">
        <v>0.02</v>
      </c>
      <c r="AF1261" s="48">
        <f t="shared" si="334"/>
        <v>0.02</v>
      </c>
      <c r="AG1261" s="49">
        <v>-0.4</v>
      </c>
      <c r="AH1261" s="98">
        <v>2.2499999999999998E-21</v>
      </c>
      <c r="AI1261" s="98"/>
      <c r="AJ1261" s="483">
        <f t="shared" si="331"/>
        <v>-19.03638380820129</v>
      </c>
      <c r="AK1261" s="483"/>
      <c r="AL1261" s="483">
        <f t="shared" si="332"/>
        <v>-19.03638380820129</v>
      </c>
      <c r="AM1261" s="483">
        <v>-22.093509999999998</v>
      </c>
      <c r="AN1261" s="226">
        <v>-16</v>
      </c>
      <c r="AO1261" s="484">
        <v>13.75</v>
      </c>
      <c r="AP1261" s="484">
        <v>1.25</v>
      </c>
      <c r="AQ1261" s="48" t="s">
        <v>6311</v>
      </c>
      <c r="AR1261" s="48" t="s">
        <v>6311</v>
      </c>
      <c r="AS1261" s="227"/>
      <c r="AT1261" s="50" t="s">
        <v>266</v>
      </c>
      <c r="AU1261" s="48">
        <v>6</v>
      </c>
      <c r="AV1261" s="48">
        <v>120</v>
      </c>
      <c r="AW1261" s="48">
        <v>114</v>
      </c>
      <c r="AX1261" s="48">
        <v>28</v>
      </c>
      <c r="AY1261" s="48" t="s">
        <v>8728</v>
      </c>
      <c r="AZ1261" s="48" t="s">
        <v>1563</v>
      </c>
      <c r="BA1261" s="48">
        <v>32</v>
      </c>
      <c r="BB1261" s="47" t="s">
        <v>2485</v>
      </c>
      <c r="BC1261" s="47" t="s">
        <v>8726</v>
      </c>
      <c r="BD1261" s="47" t="s">
        <v>8374</v>
      </c>
      <c r="BE1261" s="48" t="s">
        <v>2449</v>
      </c>
      <c r="BF1261" s="48" t="s">
        <v>272</v>
      </c>
      <c r="BG1261" s="48" t="s">
        <v>272</v>
      </c>
      <c r="BH1261" s="48" t="s">
        <v>2486</v>
      </c>
      <c r="BI1261" s="98">
        <v>6.3999999999999997E-6</v>
      </c>
      <c r="BJ1261" s="98">
        <v>6.4000000000000001E-2</v>
      </c>
      <c r="BK1261" s="48"/>
      <c r="BL1261" s="98">
        <f t="shared" si="330"/>
        <v>59.383665331735287</v>
      </c>
      <c r="BM1261" s="47" t="s">
        <v>2487</v>
      </c>
      <c r="BN1261" s="48"/>
      <c r="BO1261" s="48"/>
      <c r="BP1261" s="48"/>
      <c r="BQ1261" s="48"/>
      <c r="BR1261" s="47" t="s">
        <v>2496</v>
      </c>
      <c r="BS1261" s="48"/>
      <c r="BT1261" s="48"/>
      <c r="BU1261" s="228"/>
      <c r="BV1261" s="48"/>
      <c r="BW1261" s="48"/>
      <c r="BX1261" s="48"/>
      <c r="BY1261" s="48"/>
      <c r="BZ1261" s="48"/>
      <c r="CA1261" s="48"/>
      <c r="CB1261" s="48"/>
      <c r="CC1261" s="48"/>
      <c r="CD1261" s="48"/>
      <c r="CE1261" s="48"/>
      <c r="CF1261" s="48"/>
      <c r="CG1261" s="48"/>
      <c r="CH1261" s="48"/>
      <c r="CI1261" s="98"/>
      <c r="CJ1261" s="98"/>
      <c r="CK1261" s="49">
        <f t="shared" si="328"/>
        <v>927.8697708083638</v>
      </c>
      <c r="CL1261" s="229"/>
      <c r="CM1261" s="229"/>
      <c r="CN1261" s="229"/>
      <c r="CO1261" s="47" t="s">
        <v>2488</v>
      </c>
      <c r="CP1261" s="47" t="s">
        <v>2489</v>
      </c>
      <c r="CQ1261" s="224" t="s">
        <v>272</v>
      </c>
      <c r="CR1261" s="224"/>
      <c r="CS1261" s="230" t="s">
        <v>539</v>
      </c>
      <c r="CT1261" s="230"/>
      <c r="CU1261" s="230"/>
      <c r="CV1261" s="335">
        <f t="shared" si="329"/>
        <v>1425.0169364936085</v>
      </c>
      <c r="CW1261" s="230">
        <f t="shared" si="324"/>
        <v>1</v>
      </c>
      <c r="CX1261" s="336"/>
      <c r="CY1261" s="230" t="s">
        <v>5921</v>
      </c>
    </row>
    <row r="1262" spans="1:103" ht="11.25" customHeight="1" x14ac:dyDescent="0.2">
      <c r="A1262" s="72">
        <v>1260</v>
      </c>
      <c r="B1262" s="224">
        <v>1747</v>
      </c>
      <c r="C1262" s="46" t="s">
        <v>7377</v>
      </c>
      <c r="D1262" s="46"/>
      <c r="E1262" s="114"/>
      <c r="F1262" s="114" t="s">
        <v>3941</v>
      </c>
      <c r="G1262" s="225">
        <v>4376185</v>
      </c>
      <c r="H1262" s="47" t="s">
        <v>3942</v>
      </c>
      <c r="I1262" s="47" t="s">
        <v>3942</v>
      </c>
      <c r="J1262" s="47" t="s">
        <v>5038</v>
      </c>
      <c r="K1262" s="47" t="s">
        <v>357</v>
      </c>
      <c r="L1262" s="47"/>
      <c r="M1262" s="47"/>
      <c r="N1262" s="47"/>
      <c r="O1262" s="47"/>
      <c r="P1262" s="53"/>
      <c r="Q1262" s="53"/>
      <c r="R1262" s="53"/>
      <c r="S1262" s="53"/>
      <c r="T1262" s="48">
        <v>180.16</v>
      </c>
      <c r="U1262" s="98"/>
      <c r="V1262" s="98">
        <v>33.070603907637654</v>
      </c>
      <c r="W1262" s="98">
        <v>31.622776601683785</v>
      </c>
      <c r="X1262" s="98">
        <f>IF(W1262=0,V1262,W1262)</f>
        <v>31.622776601683785</v>
      </c>
      <c r="Y1262" s="233">
        <v>2.44</v>
      </c>
      <c r="Z1262" s="48">
        <v>1.37</v>
      </c>
      <c r="AA1262" s="48">
        <v>1.1299999999999999</v>
      </c>
      <c r="AB1262" s="48">
        <v>1.62</v>
      </c>
      <c r="AC1262" s="48">
        <v>0.84399999999999997</v>
      </c>
      <c r="AD1262" s="48">
        <v>1.49</v>
      </c>
      <c r="AE1262" s="48">
        <v>1.1299999999999999</v>
      </c>
      <c r="AF1262" s="48">
        <f t="shared" si="334"/>
        <v>1.1299999999999999</v>
      </c>
      <c r="AG1262" s="49">
        <v>2.4</v>
      </c>
      <c r="AH1262" s="98">
        <v>6.9899999999999996E-10</v>
      </c>
      <c r="AI1262" s="98"/>
      <c r="AJ1262" s="483">
        <f t="shared" si="331"/>
        <v>-7.54408915056697</v>
      </c>
      <c r="AK1262" s="483"/>
      <c r="AL1262" s="483">
        <f t="shared" si="332"/>
        <v>-7.54408915056697</v>
      </c>
      <c r="AM1262" s="483">
        <v>-10.548029999999999</v>
      </c>
      <c r="AN1262" s="226">
        <v>-5.42</v>
      </c>
      <c r="AO1262" s="484">
        <v>3.32</v>
      </c>
      <c r="AP1262" s="484"/>
      <c r="AQ1262" s="226" t="s">
        <v>6311</v>
      </c>
      <c r="AR1262" s="226" t="s">
        <v>6312</v>
      </c>
      <c r="AS1262" s="224"/>
      <c r="AT1262" s="50" t="s">
        <v>266</v>
      </c>
      <c r="AU1262" s="48">
        <v>6</v>
      </c>
      <c r="AV1262" s="48">
        <v>120</v>
      </c>
      <c r="AW1262" s="48">
        <v>114</v>
      </c>
      <c r="AX1262" s="48">
        <v>28</v>
      </c>
      <c r="AY1262" s="48" t="s">
        <v>8728</v>
      </c>
      <c r="AZ1262" s="48" t="s">
        <v>1563</v>
      </c>
      <c r="BA1262" s="48">
        <v>32</v>
      </c>
      <c r="BB1262" s="47" t="s">
        <v>2485</v>
      </c>
      <c r="BC1262" s="47" t="s">
        <v>8726</v>
      </c>
      <c r="BD1262" s="47" t="s">
        <v>8374</v>
      </c>
      <c r="BE1262" s="48" t="s">
        <v>2449</v>
      </c>
      <c r="BF1262" s="48" t="s">
        <v>272</v>
      </c>
      <c r="BG1262" s="48" t="s">
        <v>272</v>
      </c>
      <c r="BH1262" s="48" t="s">
        <v>2486</v>
      </c>
      <c r="BI1262" s="98">
        <v>6.3999999999999997E-6</v>
      </c>
      <c r="BJ1262" s="98">
        <v>6.4000000000000001E-2</v>
      </c>
      <c r="BK1262" s="48"/>
      <c r="BL1262" s="98">
        <f t="shared" si="330"/>
        <v>3.0227553604208315</v>
      </c>
      <c r="BM1262" s="47" t="s">
        <v>2487</v>
      </c>
      <c r="BN1262" s="48"/>
      <c r="BO1262" s="48"/>
      <c r="BP1262" s="48"/>
      <c r="BQ1262" s="48"/>
      <c r="BR1262" s="47" t="s">
        <v>2496</v>
      </c>
      <c r="BS1262" s="48"/>
      <c r="BT1262" s="48"/>
      <c r="BU1262" s="228"/>
      <c r="BV1262" s="48"/>
      <c r="BW1262" s="48"/>
      <c r="BX1262" s="48"/>
      <c r="BY1262" s="48"/>
      <c r="BZ1262" s="48"/>
      <c r="CA1262" s="48"/>
      <c r="CB1262" s="48"/>
      <c r="CC1262" s="48"/>
      <c r="CD1262" s="48"/>
      <c r="CE1262" s="48"/>
      <c r="CF1262" s="48"/>
      <c r="CG1262" s="48"/>
      <c r="CH1262" s="48"/>
      <c r="CI1262" s="98"/>
      <c r="CJ1262" s="98"/>
      <c r="CK1262" s="49">
        <f t="shared" si="328"/>
        <v>47.230552506575492</v>
      </c>
      <c r="CL1262" s="229"/>
      <c r="CM1262" s="229"/>
      <c r="CN1262" s="229"/>
      <c r="CO1262" s="47" t="s">
        <v>2488</v>
      </c>
      <c r="CP1262" s="47" t="s">
        <v>2489</v>
      </c>
      <c r="CQ1262" s="224" t="s">
        <v>272</v>
      </c>
      <c r="CR1262" s="224"/>
      <c r="CS1262" s="230" t="s">
        <v>539</v>
      </c>
      <c r="CT1262" s="230"/>
      <c r="CU1262" s="230"/>
      <c r="CV1262" s="335">
        <f t="shared" si="329"/>
        <v>494.10588440130914</v>
      </c>
      <c r="CW1262" s="230">
        <f t="shared" si="324"/>
        <v>1</v>
      </c>
      <c r="CX1262" s="336"/>
      <c r="CY1262" s="230" t="s">
        <v>5921</v>
      </c>
    </row>
    <row r="1263" spans="1:103" ht="11.25" customHeight="1" x14ac:dyDescent="0.2">
      <c r="A1263" s="72">
        <v>1261</v>
      </c>
      <c r="B1263" s="224">
        <v>392</v>
      </c>
      <c r="C1263" s="46" t="s">
        <v>7378</v>
      </c>
      <c r="D1263" s="46"/>
      <c r="E1263" s="114"/>
      <c r="F1263" s="114" t="s">
        <v>3941</v>
      </c>
      <c r="G1263" s="225">
        <v>4376185</v>
      </c>
      <c r="H1263" s="47" t="s">
        <v>3942</v>
      </c>
      <c r="I1263" s="47" t="s">
        <v>3942</v>
      </c>
      <c r="J1263" s="47" t="s">
        <v>3943</v>
      </c>
      <c r="K1263" s="47" t="s">
        <v>357</v>
      </c>
      <c r="L1263" s="47"/>
      <c r="M1263" s="47"/>
      <c r="N1263" s="47"/>
      <c r="O1263" s="47"/>
      <c r="P1263" s="53"/>
      <c r="Q1263" s="53"/>
      <c r="R1263" s="53"/>
      <c r="S1263" s="53"/>
      <c r="T1263" s="48">
        <v>180.16</v>
      </c>
      <c r="U1263" s="98"/>
      <c r="V1263" s="98">
        <v>33.070603907637654</v>
      </c>
      <c r="W1263" s="98">
        <v>31.622776601683785</v>
      </c>
      <c r="X1263" s="98">
        <f>IF(W1263=0,V1263,W1263)</f>
        <v>31.622776601683785</v>
      </c>
      <c r="Y1263" s="233">
        <v>2.44</v>
      </c>
      <c r="Z1263" s="48">
        <v>1.37</v>
      </c>
      <c r="AA1263" s="48">
        <v>1.1299999999999999</v>
      </c>
      <c r="AB1263" s="48">
        <v>1.62</v>
      </c>
      <c r="AC1263" s="48">
        <v>0.84399999999999997</v>
      </c>
      <c r="AD1263" s="48">
        <v>1.49</v>
      </c>
      <c r="AE1263" s="48">
        <v>1.1299999999999999</v>
      </c>
      <c r="AF1263" s="48">
        <f t="shared" si="334"/>
        <v>1.1299999999999999</v>
      </c>
      <c r="AG1263" s="49">
        <v>1.35</v>
      </c>
      <c r="AH1263" s="98">
        <v>6.9899999999999996E-10</v>
      </c>
      <c r="AI1263" s="98"/>
      <c r="AJ1263" s="483">
        <f t="shared" si="331"/>
        <v>-7.54408915056697</v>
      </c>
      <c r="AK1263" s="483"/>
      <c r="AL1263" s="483">
        <f t="shared" si="332"/>
        <v>-7.54408915056697</v>
      </c>
      <c r="AM1263" s="483">
        <v>-10.548029999999999</v>
      </c>
      <c r="AN1263" s="226">
        <v>-8.02</v>
      </c>
      <c r="AO1263" s="484">
        <v>3.32</v>
      </c>
      <c r="AP1263" s="484"/>
      <c r="AQ1263" s="226" t="s">
        <v>6311</v>
      </c>
      <c r="AR1263" s="226" t="s">
        <v>6312</v>
      </c>
      <c r="AS1263" s="224" t="s">
        <v>6</v>
      </c>
      <c r="AT1263" s="50" t="s">
        <v>266</v>
      </c>
      <c r="AU1263" s="48">
        <v>8</v>
      </c>
      <c r="AV1263" s="48">
        <v>144</v>
      </c>
      <c r="AW1263" s="48">
        <v>120</v>
      </c>
      <c r="AX1263" s="48">
        <v>26</v>
      </c>
      <c r="AY1263" s="48" t="s">
        <v>267</v>
      </c>
      <c r="AZ1263" s="48" t="s">
        <v>2253</v>
      </c>
      <c r="BA1263" s="48">
        <v>2</v>
      </c>
      <c r="BB1263" s="47" t="s">
        <v>2254</v>
      </c>
      <c r="BC1263" s="47" t="s">
        <v>270</v>
      </c>
      <c r="BD1263" s="47" t="s">
        <v>8374</v>
      </c>
      <c r="BE1263" s="48" t="s">
        <v>1712</v>
      </c>
      <c r="BF1263" s="48" t="s">
        <v>272</v>
      </c>
      <c r="BG1263" s="48" t="s">
        <v>272</v>
      </c>
      <c r="BH1263" s="48" t="s">
        <v>2255</v>
      </c>
      <c r="BI1263" s="98">
        <v>9.9999999999999995E-7</v>
      </c>
      <c r="BJ1263" s="98">
        <v>0.08</v>
      </c>
      <c r="BK1263" s="48"/>
      <c r="BL1263" s="98">
        <f t="shared" si="330"/>
        <v>3.0227553604208315</v>
      </c>
      <c r="BM1263" s="48" t="s">
        <v>891</v>
      </c>
      <c r="BN1263" s="233"/>
      <c r="BO1263" s="233"/>
      <c r="BP1263" s="233"/>
      <c r="BQ1263" s="233"/>
      <c r="BR1263" s="233"/>
      <c r="BS1263" s="48"/>
      <c r="BT1263" s="233"/>
      <c r="BU1263" s="228"/>
      <c r="BV1263" s="233"/>
      <c r="BW1263" s="233"/>
      <c r="BX1263" s="233"/>
      <c r="BY1263" s="233"/>
      <c r="BZ1263" s="233"/>
      <c r="CA1263" s="233"/>
      <c r="CB1263" s="233"/>
      <c r="CC1263" s="48"/>
      <c r="CD1263" s="48"/>
      <c r="CE1263" s="48"/>
      <c r="CF1263" s="48"/>
      <c r="CG1263" s="233"/>
      <c r="CH1263" s="48"/>
      <c r="CI1263" s="98"/>
      <c r="CJ1263" s="98"/>
      <c r="CK1263" s="49">
        <f t="shared" si="328"/>
        <v>37.784442005260395</v>
      </c>
      <c r="CL1263" s="229"/>
      <c r="CM1263" s="229"/>
      <c r="CN1263" s="229"/>
      <c r="CO1263" s="47" t="s">
        <v>892</v>
      </c>
      <c r="CP1263" s="47" t="s">
        <v>893</v>
      </c>
      <c r="CQ1263" s="224" t="s">
        <v>272</v>
      </c>
      <c r="CR1263" s="224"/>
      <c r="CS1263" s="230" t="s">
        <v>539</v>
      </c>
      <c r="CT1263" s="230"/>
      <c r="CU1263" s="230"/>
      <c r="CV1263" s="335">
        <f t="shared" si="329"/>
        <v>395.28470752104732</v>
      </c>
      <c r="CW1263" s="230">
        <f t="shared" si="324"/>
        <v>1</v>
      </c>
      <c r="CX1263" s="336" t="s">
        <v>539</v>
      </c>
      <c r="CY1263" s="230" t="s">
        <v>5921</v>
      </c>
    </row>
    <row r="1264" spans="1:103" ht="11.25" customHeight="1" x14ac:dyDescent="0.2">
      <c r="A1264" s="72">
        <v>1262</v>
      </c>
      <c r="B1264" s="224">
        <v>1866</v>
      </c>
      <c r="C1264" s="46" t="s">
        <v>7379</v>
      </c>
      <c r="D1264" s="46"/>
      <c r="E1264" s="114"/>
      <c r="F1264" s="114" t="s">
        <v>5303</v>
      </c>
      <c r="G1264" s="225">
        <v>4418262</v>
      </c>
      <c r="H1264" s="47" t="s">
        <v>5304</v>
      </c>
      <c r="I1264" s="47" t="s">
        <v>8091</v>
      </c>
      <c r="J1264" s="47" t="s">
        <v>5305</v>
      </c>
      <c r="K1264" s="47" t="s">
        <v>5306</v>
      </c>
      <c r="L1264" s="47"/>
      <c r="M1264" s="47"/>
      <c r="N1264" s="47"/>
      <c r="O1264" s="47"/>
      <c r="P1264" s="53"/>
      <c r="Q1264" s="53"/>
      <c r="R1264" s="53"/>
      <c r="S1264" s="53"/>
      <c r="T1264" s="48">
        <v>168.15</v>
      </c>
      <c r="U1264" s="98">
        <v>4.1034790365744866</v>
      </c>
      <c r="V1264" s="98">
        <v>80.820695807314891</v>
      </c>
      <c r="W1264" s="98">
        <v>37.153522909717253</v>
      </c>
      <c r="X1264" s="98">
        <v>4.1034790365744866</v>
      </c>
      <c r="Y1264" s="233">
        <v>3.48</v>
      </c>
      <c r="Z1264" s="48">
        <v>0.78</v>
      </c>
      <c r="AA1264" s="48"/>
      <c r="AB1264" s="48">
        <v>-0.3</v>
      </c>
      <c r="AC1264" s="48">
        <v>0.45140000000000002</v>
      </c>
      <c r="AD1264" s="48">
        <v>7.0000000000000007E-2</v>
      </c>
      <c r="AE1264" s="48">
        <v>0.35</v>
      </c>
      <c r="AF1264" s="48">
        <f t="shared" si="334"/>
        <v>7.0000000000000007E-2</v>
      </c>
      <c r="AG1264" s="49">
        <v>3.1</v>
      </c>
      <c r="AH1264" s="98">
        <v>1.73E-10</v>
      </c>
      <c r="AI1264" s="98"/>
      <c r="AJ1264" s="483">
        <f t="shared" si="331"/>
        <v>-8.1505202231838556</v>
      </c>
      <c r="AK1264" s="483"/>
      <c r="AL1264" s="483">
        <f t="shared" si="332"/>
        <v>-8.1505202231838556</v>
      </c>
      <c r="AM1264" s="483">
        <v>-13.184059999999999</v>
      </c>
      <c r="AN1264" s="226">
        <v>-3.17</v>
      </c>
      <c r="AO1264" s="484">
        <v>5.53</v>
      </c>
      <c r="AP1264" s="484"/>
      <c r="AQ1264" s="226" t="s">
        <v>6311</v>
      </c>
      <c r="AR1264" s="226" t="s">
        <v>6311</v>
      </c>
      <c r="AS1264" s="224"/>
      <c r="AT1264" s="50" t="s">
        <v>266</v>
      </c>
      <c r="AU1264" s="48">
        <v>6</v>
      </c>
      <c r="AV1264" s="48">
        <v>120</v>
      </c>
      <c r="AW1264" s="48">
        <v>114</v>
      </c>
      <c r="AX1264" s="48">
        <v>28</v>
      </c>
      <c r="AY1264" s="48" t="s">
        <v>8728</v>
      </c>
      <c r="AZ1264" s="48" t="s">
        <v>1563</v>
      </c>
      <c r="BA1264" s="48">
        <v>32</v>
      </c>
      <c r="BB1264" s="47" t="s">
        <v>2485</v>
      </c>
      <c r="BC1264" s="47" t="s">
        <v>8726</v>
      </c>
      <c r="BD1264" s="47" t="s">
        <v>8374</v>
      </c>
      <c r="BE1264" s="48" t="s">
        <v>2449</v>
      </c>
      <c r="BF1264" s="48" t="s">
        <v>272</v>
      </c>
      <c r="BG1264" s="48" t="s">
        <v>272</v>
      </c>
      <c r="BH1264" s="48" t="s">
        <v>2486</v>
      </c>
      <c r="BI1264" s="98">
        <v>6.3999999999999997E-6</v>
      </c>
      <c r="BJ1264" s="98">
        <v>6.4000000000000001E-2</v>
      </c>
      <c r="BK1264" s="48"/>
      <c r="BL1264" s="98">
        <f t="shared" si="330"/>
        <v>10.239576618635384</v>
      </c>
      <c r="BM1264" s="47" t="s">
        <v>2487</v>
      </c>
      <c r="BN1264" s="48"/>
      <c r="BO1264" s="48"/>
      <c r="BP1264" s="48"/>
      <c r="BQ1264" s="48"/>
      <c r="BR1264" s="47" t="s">
        <v>2496</v>
      </c>
      <c r="BS1264" s="48"/>
      <c r="BT1264" s="48"/>
      <c r="BU1264" s="228"/>
      <c r="BV1264" s="48"/>
      <c r="BW1264" s="48"/>
      <c r="BX1264" s="48"/>
      <c r="BY1264" s="48"/>
      <c r="BZ1264" s="48"/>
      <c r="CA1264" s="48"/>
      <c r="CB1264" s="48"/>
      <c r="CC1264" s="48"/>
      <c r="CD1264" s="48"/>
      <c r="CE1264" s="48"/>
      <c r="CF1264" s="48"/>
      <c r="CG1264" s="48"/>
      <c r="CH1264" s="48"/>
      <c r="CI1264" s="98"/>
      <c r="CJ1264" s="98"/>
      <c r="CK1264" s="49">
        <f t="shared" si="328"/>
        <v>159.99338466617789</v>
      </c>
      <c r="CL1264" s="229"/>
      <c r="CM1264" s="229"/>
      <c r="CN1264" s="229"/>
      <c r="CO1264" s="47" t="s">
        <v>2488</v>
      </c>
      <c r="CP1264" s="47" t="s">
        <v>2489</v>
      </c>
      <c r="CQ1264" s="224" t="s">
        <v>272</v>
      </c>
      <c r="CR1264" s="224"/>
      <c r="CS1264" s="230" t="s">
        <v>539</v>
      </c>
      <c r="CT1264" s="230"/>
      <c r="CU1264" s="230"/>
      <c r="CV1264" s="335">
        <f t="shared" si="329"/>
        <v>64.116859946476353</v>
      </c>
      <c r="CW1264" s="230">
        <f t="shared" si="324"/>
        <v>1</v>
      </c>
      <c r="CX1264" s="336"/>
      <c r="CY1264" s="230" t="s">
        <v>5921</v>
      </c>
    </row>
    <row r="1265" spans="1:103" ht="11.25" customHeight="1" x14ac:dyDescent="0.2">
      <c r="A1265" s="72">
        <v>1263</v>
      </c>
      <c r="B1265" s="224">
        <v>1082</v>
      </c>
      <c r="C1265" s="46" t="s">
        <v>7380</v>
      </c>
      <c r="D1265" s="46"/>
      <c r="E1265" s="114"/>
      <c r="F1265" s="114" t="s">
        <v>3034</v>
      </c>
      <c r="G1265" s="225">
        <v>4449518</v>
      </c>
      <c r="H1265" s="47" t="s">
        <v>3035</v>
      </c>
      <c r="I1265" s="47" t="s">
        <v>3035</v>
      </c>
      <c r="J1265" s="47" t="s">
        <v>3036</v>
      </c>
      <c r="K1265" s="47" t="s">
        <v>3037</v>
      </c>
      <c r="L1265" s="47"/>
      <c r="M1265" s="47"/>
      <c r="N1265" s="47"/>
      <c r="O1265" s="47"/>
      <c r="P1265" s="53"/>
      <c r="Q1265" s="53"/>
      <c r="R1265" s="53"/>
      <c r="S1265" s="53"/>
      <c r="T1265" s="48">
        <v>411.62</v>
      </c>
      <c r="U1265" s="98"/>
      <c r="V1265" s="98">
        <v>4.1883290413488169E-3</v>
      </c>
      <c r="W1265" s="98">
        <v>0.13803842646028844</v>
      </c>
      <c r="X1265" s="98">
        <f>IF(W1265=0,V1265,W1265)</f>
        <v>0.13803842646028844</v>
      </c>
      <c r="Y1265" s="233">
        <v>9.83</v>
      </c>
      <c r="Z1265" s="48">
        <v>4.9000000000000004</v>
      </c>
      <c r="AA1265" s="48"/>
      <c r="AB1265" s="48">
        <v>6.59</v>
      </c>
      <c r="AC1265" s="48">
        <v>0.2142</v>
      </c>
      <c r="AD1265" s="48">
        <v>5.72</v>
      </c>
      <c r="AE1265" s="48">
        <v>5.44</v>
      </c>
      <c r="AF1265" s="48">
        <f t="shared" si="334"/>
        <v>5.72</v>
      </c>
      <c r="AG1265" s="49">
        <v>2.54</v>
      </c>
      <c r="AH1265" s="98">
        <v>7.5200000000000003E-12</v>
      </c>
      <c r="AI1265" s="98"/>
      <c r="AJ1265" s="483">
        <f t="shared" si="331"/>
        <v>-9.5123484857210094</v>
      </c>
      <c r="AK1265" s="483"/>
      <c r="AL1265" s="483">
        <f t="shared" si="332"/>
        <v>-9.5123484857210094</v>
      </c>
      <c r="AM1265" s="483">
        <v>-14.949420000000002</v>
      </c>
      <c r="AN1265" s="226">
        <v>-4.01</v>
      </c>
      <c r="AO1265" s="484">
        <v>15.05</v>
      </c>
      <c r="AP1265" s="484">
        <v>10.58</v>
      </c>
      <c r="AQ1265" s="48" t="s">
        <v>6311</v>
      </c>
      <c r="AR1265" s="48" t="s">
        <v>6311</v>
      </c>
      <c r="AS1265" s="227"/>
      <c r="AT1265" s="50" t="s">
        <v>266</v>
      </c>
      <c r="AU1265" s="48">
        <v>6</v>
      </c>
      <c r="AV1265" s="48">
        <v>120</v>
      </c>
      <c r="AW1265" s="48">
        <v>114</v>
      </c>
      <c r="AX1265" s="48">
        <v>28</v>
      </c>
      <c r="AY1265" s="48" t="s">
        <v>8728</v>
      </c>
      <c r="AZ1265" s="48" t="s">
        <v>1563</v>
      </c>
      <c r="BA1265" s="48">
        <v>32</v>
      </c>
      <c r="BB1265" s="47" t="s">
        <v>2485</v>
      </c>
      <c r="BC1265" s="47" t="s">
        <v>8726</v>
      </c>
      <c r="BD1265" s="47" t="s">
        <v>8374</v>
      </c>
      <c r="BE1265" s="48" t="s">
        <v>2449</v>
      </c>
      <c r="BF1265" s="48" t="s">
        <v>272</v>
      </c>
      <c r="BG1265" s="48" t="s">
        <v>272</v>
      </c>
      <c r="BH1265" s="48" t="s">
        <v>2486</v>
      </c>
      <c r="BI1265" s="98">
        <v>6.3999999999999997E-6</v>
      </c>
      <c r="BJ1265" s="98">
        <v>6.4000000000000001E-2</v>
      </c>
      <c r="BK1265" s="48"/>
      <c r="BL1265" s="98">
        <f t="shared" si="330"/>
        <v>2.0422551504559023E-3</v>
      </c>
      <c r="BM1265" s="47" t="s">
        <v>2487</v>
      </c>
      <c r="BN1265" s="48"/>
      <c r="BO1265" s="48"/>
      <c r="BP1265" s="48"/>
      <c r="BQ1265" s="48"/>
      <c r="BR1265" s="47" t="s">
        <v>2496</v>
      </c>
      <c r="BS1265" s="48"/>
      <c r="BT1265" s="48"/>
      <c r="BU1265" s="228">
        <v>3.1999999999999999E-5</v>
      </c>
      <c r="BV1265" s="48"/>
      <c r="BW1265" s="48"/>
      <c r="BX1265" s="48"/>
      <c r="BY1265" s="48"/>
      <c r="BZ1265" s="48"/>
      <c r="CA1265" s="48"/>
      <c r="CB1265" s="48"/>
      <c r="CC1265" s="48"/>
      <c r="CD1265" s="48"/>
      <c r="CE1265" s="48"/>
      <c r="CF1265" s="48"/>
      <c r="CG1265" s="48"/>
      <c r="CH1265" s="48"/>
      <c r="CI1265" s="98"/>
      <c r="CJ1265" s="98"/>
      <c r="CK1265" s="49">
        <f t="shared" si="328"/>
        <v>3.1910236725873474E-2</v>
      </c>
      <c r="CL1265" s="229"/>
      <c r="CM1265" s="229"/>
      <c r="CN1265" s="229"/>
      <c r="CO1265" s="47" t="s">
        <v>2488</v>
      </c>
      <c r="CP1265" s="47" t="s">
        <v>2489</v>
      </c>
      <c r="CQ1265" s="224" t="s">
        <v>272</v>
      </c>
      <c r="CR1265" s="224"/>
      <c r="CS1265" s="230" t="s">
        <v>539</v>
      </c>
      <c r="CT1265" s="230"/>
      <c r="CU1265" s="230"/>
      <c r="CV1265" s="335">
        <f t="shared" si="329"/>
        <v>2.1568504134420068</v>
      </c>
      <c r="CW1265" s="230">
        <f t="shared" si="324"/>
        <v>1</v>
      </c>
      <c r="CX1265" s="336"/>
      <c r="CY1265" s="230" t="s">
        <v>5921</v>
      </c>
    </row>
    <row r="1266" spans="1:103" ht="11.25" customHeight="1" x14ac:dyDescent="0.2">
      <c r="A1266" s="72">
        <v>1264</v>
      </c>
      <c r="B1266" s="224">
        <v>1380</v>
      </c>
      <c r="C1266" s="46" t="s">
        <v>7381</v>
      </c>
      <c r="D1266" s="46"/>
      <c r="E1266" s="114"/>
      <c r="F1266" s="114" t="s">
        <v>4255</v>
      </c>
      <c r="G1266" s="225">
        <v>4904614</v>
      </c>
      <c r="H1266" s="47" t="s">
        <v>4256</v>
      </c>
      <c r="I1266" s="47" t="s">
        <v>4256</v>
      </c>
      <c r="J1266" s="47" t="s">
        <v>4257</v>
      </c>
      <c r="K1266" s="47" t="s">
        <v>426</v>
      </c>
      <c r="L1266" s="47"/>
      <c r="M1266" s="47"/>
      <c r="N1266" s="47"/>
      <c r="O1266" s="47"/>
      <c r="P1266" s="53"/>
      <c r="Q1266" s="53"/>
      <c r="R1266" s="53"/>
      <c r="S1266" s="53"/>
      <c r="T1266" s="48">
        <v>162.27000000000001</v>
      </c>
      <c r="U1266" s="98"/>
      <c r="V1266" s="98">
        <v>2.4021692241326183E-3</v>
      </c>
      <c r="W1266" s="98">
        <v>1.3803842646028812E-3</v>
      </c>
      <c r="X1266" s="98">
        <f>IF(W1266=0,V1266,W1266)</f>
        <v>1.3803842646028812E-3</v>
      </c>
      <c r="Y1266" s="233">
        <v>7</v>
      </c>
      <c r="Z1266" s="48">
        <v>5.48</v>
      </c>
      <c r="AA1266" s="48">
        <v>5.5</v>
      </c>
      <c r="AB1266" s="48">
        <v>4.45</v>
      </c>
      <c r="AC1266" s="48">
        <v>0.79710000000000003</v>
      </c>
      <c r="AD1266" s="48">
        <v>4.78</v>
      </c>
      <c r="AE1266" s="48">
        <v>5.5</v>
      </c>
      <c r="AF1266" s="48">
        <f t="shared" si="334"/>
        <v>5.5</v>
      </c>
      <c r="AG1266" s="49">
        <v>3.72</v>
      </c>
      <c r="AH1266" s="98">
        <v>0.499</v>
      </c>
      <c r="AI1266" s="98"/>
      <c r="AJ1266" s="483">
        <f t="shared" si="331"/>
        <v>1.3095342193107382</v>
      </c>
      <c r="AK1266" s="483"/>
      <c r="AL1266" s="483">
        <f t="shared" si="332"/>
        <v>1.3095342193107382</v>
      </c>
      <c r="AM1266" s="483">
        <v>-3.3022400000000003</v>
      </c>
      <c r="AN1266" s="226">
        <v>-0.40200000000000002</v>
      </c>
      <c r="AO1266" s="484"/>
      <c r="AP1266" s="484"/>
      <c r="AQ1266" s="48" t="s">
        <v>6311</v>
      </c>
      <c r="AR1266" s="48" t="s">
        <v>6311</v>
      </c>
      <c r="AS1266" s="227"/>
      <c r="AT1266" s="50" t="s">
        <v>266</v>
      </c>
      <c r="AU1266" s="48">
        <v>6</v>
      </c>
      <c r="AV1266" s="48">
        <v>120</v>
      </c>
      <c r="AW1266" s="48">
        <v>114</v>
      </c>
      <c r="AX1266" s="48">
        <v>28</v>
      </c>
      <c r="AY1266" s="48" t="s">
        <v>8728</v>
      </c>
      <c r="AZ1266" s="48" t="s">
        <v>1563</v>
      </c>
      <c r="BA1266" s="48">
        <v>32</v>
      </c>
      <c r="BB1266" s="47" t="s">
        <v>2485</v>
      </c>
      <c r="BC1266" s="47" t="s">
        <v>8726</v>
      </c>
      <c r="BD1266" s="47" t="s">
        <v>8374</v>
      </c>
      <c r="BE1266" s="48" t="s">
        <v>2449</v>
      </c>
      <c r="BF1266" s="48" t="s">
        <v>272</v>
      </c>
      <c r="BG1266" s="48" t="s">
        <v>272</v>
      </c>
      <c r="BH1266" s="48" t="s">
        <v>2486</v>
      </c>
      <c r="BI1266" s="98">
        <v>6.3999999999999997E-6</v>
      </c>
      <c r="BJ1266" s="98">
        <v>6.4000000000000001E-2</v>
      </c>
      <c r="BK1266" s="48"/>
      <c r="BL1266" s="98">
        <f t="shared" si="330"/>
        <v>6.1547724340107492E-4</v>
      </c>
      <c r="BM1266" s="47" t="s">
        <v>2487</v>
      </c>
      <c r="BN1266" s="48"/>
      <c r="BO1266" s="48"/>
      <c r="BP1266" s="48"/>
      <c r="BQ1266" s="48"/>
      <c r="BR1266" s="47" t="s">
        <v>2496</v>
      </c>
      <c r="BS1266" s="48"/>
      <c r="BT1266" s="48"/>
      <c r="BU1266" s="228"/>
      <c r="BV1266" s="48"/>
      <c r="BW1266" s="48"/>
      <c r="BX1266" s="48"/>
      <c r="BY1266" s="48"/>
      <c r="BZ1266" s="48"/>
      <c r="CA1266" s="48"/>
      <c r="CB1266" s="48"/>
      <c r="CC1266" s="48"/>
      <c r="CD1266" s="48"/>
      <c r="CE1266" s="48"/>
      <c r="CF1266" s="48"/>
      <c r="CG1266" s="48"/>
      <c r="CH1266" s="48"/>
      <c r="CI1266" s="98"/>
      <c r="CJ1266" s="98"/>
      <c r="CK1266" s="49">
        <f t="shared" si="328"/>
        <v>9.6168319281417954E-3</v>
      </c>
      <c r="CL1266" s="229"/>
      <c r="CM1266" s="229"/>
      <c r="CN1266" s="229"/>
      <c r="CO1266" s="47" t="s">
        <v>2488</v>
      </c>
      <c r="CP1266" s="47" t="s">
        <v>2489</v>
      </c>
      <c r="CQ1266" s="224" t="s">
        <v>272</v>
      </c>
      <c r="CR1266" s="224"/>
      <c r="CS1266" s="230" t="s">
        <v>539</v>
      </c>
      <c r="CT1266" s="230"/>
      <c r="CU1266" s="230"/>
      <c r="CV1266" s="335">
        <f t="shared" si="329"/>
        <v>2.1568504134420019E-2</v>
      </c>
      <c r="CW1266" s="230">
        <f t="shared" si="324"/>
        <v>0</v>
      </c>
      <c r="CX1266" s="336"/>
      <c r="CY1266" s="230" t="s">
        <v>6351</v>
      </c>
    </row>
    <row r="1267" spans="1:103" ht="11.25" customHeight="1" x14ac:dyDescent="0.2">
      <c r="A1267" s="72">
        <v>1265</v>
      </c>
      <c r="B1267" s="224">
        <v>1453</v>
      </c>
      <c r="C1267" s="46" t="s">
        <v>7382</v>
      </c>
      <c r="D1267" s="46"/>
      <c r="E1267" s="114"/>
      <c r="F1267" s="114" t="s">
        <v>4467</v>
      </c>
      <c r="G1267" s="225">
        <v>5216251</v>
      </c>
      <c r="H1267" s="47" t="s">
        <v>4468</v>
      </c>
      <c r="I1267" s="47" t="s">
        <v>8092</v>
      </c>
      <c r="J1267" s="47" t="s">
        <v>4469</v>
      </c>
      <c r="K1267" s="47" t="s">
        <v>2938</v>
      </c>
      <c r="L1267" s="47"/>
      <c r="M1267" s="47"/>
      <c r="N1267" s="47"/>
      <c r="O1267" s="47"/>
      <c r="P1267" s="53"/>
      <c r="Q1267" s="53"/>
      <c r="R1267" s="53"/>
      <c r="S1267" s="53"/>
      <c r="T1267" s="48">
        <v>229.92</v>
      </c>
      <c r="U1267" s="98"/>
      <c r="V1267" s="98">
        <v>1.7566979819067501E-2</v>
      </c>
      <c r="W1267" s="98">
        <v>2.5703957827688622E-2</v>
      </c>
      <c r="X1267" s="98">
        <f>IF(W1267=0,V1267,W1267)</f>
        <v>2.5703957827688622E-2</v>
      </c>
      <c r="Y1267" s="233">
        <v>7</v>
      </c>
      <c r="Z1267" s="48">
        <v>4.54</v>
      </c>
      <c r="AA1267" s="48"/>
      <c r="AB1267" s="48">
        <v>4.26</v>
      </c>
      <c r="AC1267" s="48">
        <v>0.79210000000000003</v>
      </c>
      <c r="AD1267" s="48">
        <v>4.16</v>
      </c>
      <c r="AE1267" s="48">
        <v>3.94</v>
      </c>
      <c r="AF1267" s="48">
        <f t="shared" si="334"/>
        <v>4.16</v>
      </c>
      <c r="AG1267" s="49">
        <v>4.07</v>
      </c>
      <c r="AH1267" s="98">
        <v>1.93E-4</v>
      </c>
      <c r="AI1267" s="98"/>
      <c r="AJ1267" s="483">
        <f t="shared" si="331"/>
        <v>-2.1030090173048781</v>
      </c>
      <c r="AK1267" s="483"/>
      <c r="AL1267" s="483">
        <f t="shared" si="332"/>
        <v>-2.1030090173048781</v>
      </c>
      <c r="AM1267" s="483">
        <v>-3.9592999999999998</v>
      </c>
      <c r="AN1267" s="226">
        <v>-1.87</v>
      </c>
      <c r="AO1267" s="484"/>
      <c r="AP1267" s="484"/>
      <c r="AQ1267" s="48" t="s">
        <v>6311</v>
      </c>
      <c r="AR1267" s="48" t="s">
        <v>6311</v>
      </c>
      <c r="AS1267" s="227"/>
      <c r="AT1267" s="50" t="s">
        <v>266</v>
      </c>
      <c r="AU1267" s="48">
        <v>6</v>
      </c>
      <c r="AV1267" s="48">
        <v>120</v>
      </c>
      <c r="AW1267" s="48">
        <v>114</v>
      </c>
      <c r="AX1267" s="48">
        <v>28</v>
      </c>
      <c r="AY1267" s="48" t="s">
        <v>8728</v>
      </c>
      <c r="AZ1267" s="48" t="s">
        <v>1563</v>
      </c>
      <c r="BA1267" s="48">
        <v>32</v>
      </c>
      <c r="BB1267" s="47" t="s">
        <v>2485</v>
      </c>
      <c r="BC1267" s="47" t="s">
        <v>8726</v>
      </c>
      <c r="BD1267" s="47" t="s">
        <v>8374</v>
      </c>
      <c r="BE1267" s="48" t="s">
        <v>2449</v>
      </c>
      <c r="BF1267" s="48" t="s">
        <v>272</v>
      </c>
      <c r="BG1267" s="48" t="s">
        <v>272</v>
      </c>
      <c r="BH1267" s="48" t="s">
        <v>2486</v>
      </c>
      <c r="BI1267" s="98">
        <v>6.3999999999999997E-6</v>
      </c>
      <c r="BJ1267" s="98">
        <v>6.4000000000000001E-2</v>
      </c>
      <c r="BK1267" s="48"/>
      <c r="BL1267" s="98">
        <f t="shared" si="330"/>
        <v>4.2995796629318201E-3</v>
      </c>
      <c r="BM1267" s="47" t="s">
        <v>2487</v>
      </c>
      <c r="BN1267" s="48"/>
      <c r="BO1267" s="48"/>
      <c r="BP1267" s="48"/>
      <c r="BQ1267" s="48"/>
      <c r="BR1267" s="47" t="s">
        <v>2496</v>
      </c>
      <c r="BS1267" s="48"/>
      <c r="BT1267" s="48"/>
      <c r="BU1267" s="228"/>
      <c r="BV1267" s="48"/>
      <c r="BW1267" s="48"/>
      <c r="BX1267" s="48"/>
      <c r="BY1267" s="48"/>
      <c r="BZ1267" s="48"/>
      <c r="CA1267" s="48"/>
      <c r="CB1267" s="48"/>
      <c r="CC1267" s="48"/>
      <c r="CD1267" s="48"/>
      <c r="CE1267" s="48"/>
      <c r="CF1267" s="48"/>
      <c r="CG1267" s="48"/>
      <c r="CH1267" s="48"/>
      <c r="CI1267" s="98"/>
      <c r="CJ1267" s="98"/>
      <c r="CK1267" s="49">
        <f t="shared" si="328"/>
        <v>6.718093223330969E-2</v>
      </c>
      <c r="CL1267" s="229"/>
      <c r="CM1267" s="229"/>
      <c r="CN1267" s="229"/>
      <c r="CO1267" s="47" t="s">
        <v>2488</v>
      </c>
      <c r="CP1267" s="47" t="s">
        <v>2489</v>
      </c>
      <c r="CQ1267" s="224" t="s">
        <v>272</v>
      </c>
      <c r="CR1267" s="224"/>
      <c r="CS1267" s="230" t="s">
        <v>539</v>
      </c>
      <c r="CT1267" s="230"/>
      <c r="CU1267" s="230"/>
      <c r="CV1267" s="335">
        <f t="shared" si="329"/>
        <v>0.40162434105763473</v>
      </c>
      <c r="CW1267" s="230">
        <f t="shared" si="324"/>
        <v>0</v>
      </c>
      <c r="CX1267" s="336"/>
      <c r="CY1267" s="230" t="s">
        <v>6351</v>
      </c>
    </row>
    <row r="1268" spans="1:103" ht="11.25" customHeight="1" x14ac:dyDescent="0.2">
      <c r="A1268" s="72">
        <v>1266</v>
      </c>
      <c r="B1268" s="224">
        <v>1445</v>
      </c>
      <c r="C1268" s="46" t="s">
        <v>7383</v>
      </c>
      <c r="D1268" s="46"/>
      <c r="E1268" s="114"/>
      <c r="F1268" s="114" t="s">
        <v>4444</v>
      </c>
      <c r="G1268" s="225">
        <v>5349519</v>
      </c>
      <c r="H1268" s="47" t="s">
        <v>4445</v>
      </c>
      <c r="I1268" s="47" t="s">
        <v>4445</v>
      </c>
      <c r="J1268" s="47" t="s">
        <v>4446</v>
      </c>
      <c r="K1268" s="47" t="s">
        <v>426</v>
      </c>
      <c r="L1268" s="47"/>
      <c r="M1268" s="47"/>
      <c r="N1268" s="47"/>
      <c r="O1268" s="47"/>
      <c r="P1268" s="53"/>
      <c r="Q1268" s="53"/>
      <c r="R1268" s="53"/>
      <c r="S1268" s="53"/>
      <c r="T1268" s="48">
        <v>170.29</v>
      </c>
      <c r="U1268" s="98"/>
      <c r="V1268" s="98">
        <v>0.53538082095249284</v>
      </c>
      <c r="W1268" s="98">
        <v>2.8840315031266042</v>
      </c>
      <c r="X1268" s="98">
        <f>IF(W1268=0,V1268,W1268)</f>
        <v>2.8840315031266042</v>
      </c>
      <c r="Y1268" s="233">
        <v>7</v>
      </c>
      <c r="Z1268" s="48">
        <v>3.91</v>
      </c>
      <c r="AA1268" s="48"/>
      <c r="AB1268" s="48">
        <v>3.05</v>
      </c>
      <c r="AC1268" s="48">
        <v>0.74019999999999997</v>
      </c>
      <c r="AD1268" s="48">
        <v>3.25</v>
      </c>
      <c r="AE1268" s="48">
        <v>3.59</v>
      </c>
      <c r="AF1268" s="48">
        <f t="shared" si="334"/>
        <v>3.25</v>
      </c>
      <c r="AG1268" s="49">
        <v>3.25</v>
      </c>
      <c r="AH1268" s="98">
        <v>2.02E-5</v>
      </c>
      <c r="AI1268" s="98"/>
      <c r="AJ1268" s="483">
        <f t="shared" si="331"/>
        <v>-3.0832149568660281</v>
      </c>
      <c r="AK1268" s="483"/>
      <c r="AL1268" s="483">
        <f t="shared" si="332"/>
        <v>-3.0832149568660281</v>
      </c>
      <c r="AM1268" s="483">
        <v>-4.7200800000000003</v>
      </c>
      <c r="AN1268" s="226"/>
      <c r="AO1268" s="484">
        <v>15.31</v>
      </c>
      <c r="AP1268" s="484"/>
      <c r="AQ1268" s="48" t="s">
        <v>6311</v>
      </c>
      <c r="AR1268" s="48" t="s">
        <v>6311</v>
      </c>
      <c r="AS1268" s="227"/>
      <c r="AT1268" s="50" t="s">
        <v>266</v>
      </c>
      <c r="AU1268" s="48">
        <v>6</v>
      </c>
      <c r="AV1268" s="48">
        <v>120</v>
      </c>
      <c r="AW1268" s="48">
        <v>114</v>
      </c>
      <c r="AX1268" s="48">
        <v>28</v>
      </c>
      <c r="AY1268" s="48" t="s">
        <v>8728</v>
      </c>
      <c r="AZ1268" s="48" t="s">
        <v>1563</v>
      </c>
      <c r="BA1268" s="48">
        <v>32</v>
      </c>
      <c r="BB1268" s="47" t="s">
        <v>2485</v>
      </c>
      <c r="BC1268" s="47" t="s">
        <v>8726</v>
      </c>
      <c r="BD1268" s="47" t="s">
        <v>8374</v>
      </c>
      <c r="BE1268" s="48" t="s">
        <v>2449</v>
      </c>
      <c r="BF1268" s="48" t="s">
        <v>272</v>
      </c>
      <c r="BG1268" s="48" t="s">
        <v>272</v>
      </c>
      <c r="BH1268" s="48" t="s">
        <v>2486</v>
      </c>
      <c r="BI1268" s="98">
        <v>6.3999999999999997E-6</v>
      </c>
      <c r="BJ1268" s="98">
        <v>6.4000000000000001E-2</v>
      </c>
      <c r="BK1268" s="48"/>
      <c r="BL1268" s="98">
        <f t="shared" si="330"/>
        <v>1.5820820385510807E-2</v>
      </c>
      <c r="BM1268" s="47" t="s">
        <v>2487</v>
      </c>
      <c r="BN1268" s="48"/>
      <c r="BO1268" s="48"/>
      <c r="BP1268" s="48"/>
      <c r="BQ1268" s="48"/>
      <c r="BR1268" s="47" t="s">
        <v>2496</v>
      </c>
      <c r="BS1268" s="48"/>
      <c r="BT1268" s="48"/>
      <c r="BU1268" s="228"/>
      <c r="BV1268" s="48"/>
      <c r="BW1268" s="48"/>
      <c r="BX1268" s="48"/>
      <c r="BY1268" s="48"/>
      <c r="BZ1268" s="48"/>
      <c r="CA1268" s="48"/>
      <c r="CB1268" s="48"/>
      <c r="CC1268" s="48"/>
      <c r="CD1268" s="48"/>
      <c r="CE1268" s="48"/>
      <c r="CF1268" s="48"/>
      <c r="CG1268" s="48"/>
      <c r="CH1268" s="48"/>
      <c r="CI1268" s="98"/>
      <c r="CJ1268" s="98"/>
      <c r="CK1268" s="49">
        <f t="shared" si="328"/>
        <v>0.24720031852360635</v>
      </c>
      <c r="CL1268" s="229"/>
      <c r="CM1268" s="229"/>
      <c r="CN1268" s="229"/>
      <c r="CO1268" s="47" t="s">
        <v>2488</v>
      </c>
      <c r="CP1268" s="47" t="s">
        <v>2489</v>
      </c>
      <c r="CQ1268" s="224" t="s">
        <v>272</v>
      </c>
      <c r="CR1268" s="224"/>
      <c r="CS1268" s="230" t="s">
        <v>539</v>
      </c>
      <c r="CT1268" s="230"/>
      <c r="CU1268" s="230"/>
      <c r="CV1268" s="335">
        <f t="shared" si="329"/>
        <v>45.062992236353189</v>
      </c>
      <c r="CW1268" s="230">
        <f t="shared" si="324"/>
        <v>1</v>
      </c>
      <c r="CX1268" s="336"/>
      <c r="CY1268" s="230" t="s">
        <v>5921</v>
      </c>
    </row>
    <row r="1269" spans="1:103" ht="11.25" customHeight="1" x14ac:dyDescent="0.2">
      <c r="A1269" s="72">
        <v>1267</v>
      </c>
      <c r="B1269" s="224">
        <v>973</v>
      </c>
      <c r="C1269" s="46" t="s">
        <v>7384</v>
      </c>
      <c r="D1269" s="46"/>
      <c r="E1269" s="114"/>
      <c r="F1269" s="114" t="s">
        <v>2777</v>
      </c>
      <c r="G1269" s="225">
        <v>5392405</v>
      </c>
      <c r="H1269" s="47" t="s">
        <v>2778</v>
      </c>
      <c r="I1269" s="47" t="s">
        <v>2778</v>
      </c>
      <c r="J1269" s="47" t="s">
        <v>2779</v>
      </c>
      <c r="K1269" s="47" t="s">
        <v>1557</v>
      </c>
      <c r="L1269" s="47"/>
      <c r="M1269" s="47"/>
      <c r="N1269" s="47"/>
      <c r="O1269" s="47"/>
      <c r="P1269" s="53"/>
      <c r="Q1269" s="53"/>
      <c r="R1269" s="53"/>
      <c r="S1269" s="53"/>
      <c r="T1269" s="48">
        <v>152.22999999999999</v>
      </c>
      <c r="U1269" s="98">
        <v>8.8024699467910406</v>
      </c>
      <c r="V1269" s="98">
        <v>0.55646061880049924</v>
      </c>
      <c r="W1269" s="98">
        <v>12.302687708123809</v>
      </c>
      <c r="X1269" s="98">
        <v>8.8024699467910406</v>
      </c>
      <c r="Y1269" s="233">
        <v>7</v>
      </c>
      <c r="Z1269" s="48">
        <v>3.45</v>
      </c>
      <c r="AA1269" s="48"/>
      <c r="AB1269" s="48">
        <v>3.08</v>
      </c>
      <c r="AC1269" s="48">
        <v>0.70740000000000003</v>
      </c>
      <c r="AD1269" s="48">
        <v>3.11</v>
      </c>
      <c r="AE1269" s="48">
        <v>3.17</v>
      </c>
      <c r="AF1269" s="48">
        <f t="shared" si="334"/>
        <v>3.11</v>
      </c>
      <c r="AG1269" s="49">
        <v>2.74</v>
      </c>
      <c r="AH1269" s="98">
        <v>3.7599999999999998E-4</v>
      </c>
      <c r="AI1269" s="98"/>
      <c r="AJ1269" s="483">
        <f t="shared" si="331"/>
        <v>-1.8133784813849907</v>
      </c>
      <c r="AK1269" s="483"/>
      <c r="AL1269" s="483">
        <f t="shared" si="332"/>
        <v>-1.8133784813849907</v>
      </c>
      <c r="AM1269" s="483">
        <v>-4.9632799999999992</v>
      </c>
      <c r="AN1269" s="226">
        <v>-2.66</v>
      </c>
      <c r="AO1269" s="484"/>
      <c r="AP1269" s="484"/>
      <c r="AQ1269" s="48" t="s">
        <v>6311</v>
      </c>
      <c r="AR1269" s="48" t="s">
        <v>6311</v>
      </c>
      <c r="AS1269" s="227"/>
      <c r="AT1269" s="50" t="s">
        <v>266</v>
      </c>
      <c r="AU1269" s="48">
        <v>6</v>
      </c>
      <c r="AV1269" s="48">
        <v>120</v>
      </c>
      <c r="AW1269" s="48">
        <v>114</v>
      </c>
      <c r="AX1269" s="48">
        <v>28</v>
      </c>
      <c r="AY1269" s="48" t="s">
        <v>8728</v>
      </c>
      <c r="AZ1269" s="48" t="s">
        <v>1563</v>
      </c>
      <c r="BA1269" s="48">
        <v>32</v>
      </c>
      <c r="BB1269" s="47" t="s">
        <v>2485</v>
      </c>
      <c r="BC1269" s="47" t="s">
        <v>8726</v>
      </c>
      <c r="BD1269" s="47" t="s">
        <v>8374</v>
      </c>
      <c r="BE1269" s="48" t="s">
        <v>2449</v>
      </c>
      <c r="BF1269" s="48" t="s">
        <v>272</v>
      </c>
      <c r="BG1269" s="48" t="s">
        <v>272</v>
      </c>
      <c r="BH1269" s="48" t="s">
        <v>2486</v>
      </c>
      <c r="BI1269" s="98">
        <v>6.3999999999999997E-6</v>
      </c>
      <c r="BJ1269" s="98">
        <v>6.4000000000000001E-2</v>
      </c>
      <c r="BK1269" s="48"/>
      <c r="BL1269" s="98">
        <f t="shared" si="330"/>
        <v>4.0959533340592637E-2</v>
      </c>
      <c r="BM1269" s="47" t="s">
        <v>2487</v>
      </c>
      <c r="BN1269" s="48"/>
      <c r="BO1269" s="48"/>
      <c r="BP1269" s="48"/>
      <c r="BQ1269" s="48"/>
      <c r="BR1269" s="47" t="s">
        <v>2496</v>
      </c>
      <c r="BS1269" s="48"/>
      <c r="BT1269" s="48"/>
      <c r="BU1269" s="228">
        <v>6.3999999999999997E-5</v>
      </c>
      <c r="BV1269" s="48"/>
      <c r="BW1269" s="48"/>
      <c r="BX1269" s="48"/>
      <c r="BY1269" s="48"/>
      <c r="BZ1269" s="48"/>
      <c r="CA1269" s="48"/>
      <c r="CB1269" s="48"/>
      <c r="CC1269" s="48"/>
      <c r="CD1269" s="48"/>
      <c r="CE1269" s="48"/>
      <c r="CF1269" s="48"/>
      <c r="CG1269" s="48"/>
      <c r="CH1269" s="48"/>
      <c r="CI1269" s="98"/>
      <c r="CJ1269" s="98"/>
      <c r="CK1269" s="49">
        <f t="shared" si="328"/>
        <v>0.63999270844675993</v>
      </c>
      <c r="CL1269" s="229"/>
      <c r="CM1269" s="229"/>
      <c r="CN1269" s="229"/>
      <c r="CO1269" s="47" t="s">
        <v>2488</v>
      </c>
      <c r="CP1269" s="47" t="s">
        <v>2489</v>
      </c>
      <c r="CQ1269" s="224" t="s">
        <v>272</v>
      </c>
      <c r="CR1269" s="224"/>
      <c r="CS1269" s="230" t="s">
        <v>539</v>
      </c>
      <c r="CT1269" s="230"/>
      <c r="CU1269" s="230"/>
      <c r="CV1269" s="335">
        <f t="shared" si="329"/>
        <v>137.53859291860999</v>
      </c>
      <c r="CW1269" s="230">
        <f t="shared" si="324"/>
        <v>1</v>
      </c>
      <c r="CX1269" s="336"/>
      <c r="CY1269" s="230" t="s">
        <v>6351</v>
      </c>
    </row>
    <row r="1270" spans="1:103" ht="11.25" customHeight="1" x14ac:dyDescent="0.2">
      <c r="A1270" s="72">
        <v>1268</v>
      </c>
      <c r="B1270" s="224">
        <v>636</v>
      </c>
      <c r="C1270" s="46" t="s">
        <v>7385</v>
      </c>
      <c r="D1270" s="46"/>
      <c r="E1270" s="114"/>
      <c r="F1270" s="114" t="s">
        <v>4035</v>
      </c>
      <c r="G1270" s="225">
        <v>5902512</v>
      </c>
      <c r="H1270" s="47" t="s">
        <v>4036</v>
      </c>
      <c r="I1270" s="47" t="s">
        <v>8093</v>
      </c>
      <c r="J1270" s="47" t="s">
        <v>4037</v>
      </c>
      <c r="K1270" s="47" t="s">
        <v>3745</v>
      </c>
      <c r="L1270" s="47" t="s">
        <v>5248</v>
      </c>
      <c r="M1270" s="47" t="s">
        <v>6082</v>
      </c>
      <c r="N1270" s="47" t="s">
        <v>6082</v>
      </c>
      <c r="O1270" s="47" t="s">
        <v>6083</v>
      </c>
      <c r="P1270" s="53"/>
      <c r="Q1270" s="53"/>
      <c r="R1270" s="53"/>
      <c r="S1270" s="53"/>
      <c r="T1270" s="48">
        <v>216.66</v>
      </c>
      <c r="U1270" s="98">
        <v>3.2770239084279518</v>
      </c>
      <c r="V1270" s="98">
        <v>4.0233545647558389</v>
      </c>
      <c r="W1270" s="98">
        <v>0.97723722095581023</v>
      </c>
      <c r="X1270" s="98">
        <v>3.2770239084279518</v>
      </c>
      <c r="Y1270" s="233">
        <v>5.9</v>
      </c>
      <c r="Z1270" s="48">
        <v>1.75</v>
      </c>
      <c r="AA1270" s="48">
        <v>1.89</v>
      </c>
      <c r="AB1270" s="48">
        <v>1.81</v>
      </c>
      <c r="AC1270" s="48">
        <v>0.77769999999999995</v>
      </c>
      <c r="AD1270" s="48">
        <v>1.79</v>
      </c>
      <c r="AE1270" s="48">
        <v>1.76</v>
      </c>
      <c r="AF1270" s="48">
        <f t="shared" si="334"/>
        <v>1.89</v>
      </c>
      <c r="AG1270" s="49">
        <v>2.19</v>
      </c>
      <c r="AH1270" s="98">
        <v>5.0200000000000002E-10</v>
      </c>
      <c r="AI1270" s="98">
        <v>1.2E-10</v>
      </c>
      <c r="AJ1270" s="483">
        <f t="shared" si="331"/>
        <v>-7.6878626091676328</v>
      </c>
      <c r="AK1270" s="483">
        <f>LOG10(AI1270*1000/(0.08206*298.15))</f>
        <v>-8.3093850802650273</v>
      </c>
      <c r="AL1270" s="483">
        <f t="shared" si="332"/>
        <v>-8.3093850802650273</v>
      </c>
      <c r="AM1270" s="483">
        <v>-10.625200000000001</v>
      </c>
      <c r="AN1270" s="226">
        <v>-7.57</v>
      </c>
      <c r="AO1270" s="484">
        <v>8.7899999999999991</v>
      </c>
      <c r="AP1270" s="484">
        <v>-3.73</v>
      </c>
      <c r="AQ1270" s="226" t="s">
        <v>6311</v>
      </c>
      <c r="AR1270" s="226" t="s">
        <v>6311</v>
      </c>
      <c r="AS1270" s="224" t="s">
        <v>6</v>
      </c>
      <c r="AT1270" s="50" t="s">
        <v>266</v>
      </c>
      <c r="AU1270" s="48">
        <v>8</v>
      </c>
      <c r="AV1270" s="48">
        <v>144</v>
      </c>
      <c r="AW1270" s="48">
        <v>120</v>
      </c>
      <c r="AX1270" s="48">
        <v>26</v>
      </c>
      <c r="AY1270" s="48" t="s">
        <v>267</v>
      </c>
      <c r="AZ1270" s="48" t="s">
        <v>2253</v>
      </c>
      <c r="BA1270" s="48">
        <v>2</v>
      </c>
      <c r="BB1270" s="47" t="s">
        <v>2254</v>
      </c>
      <c r="BC1270" s="47" t="s">
        <v>270</v>
      </c>
      <c r="BD1270" s="47" t="s">
        <v>8374</v>
      </c>
      <c r="BE1270" s="48" t="s">
        <v>1712</v>
      </c>
      <c r="BF1270" s="48" t="s">
        <v>272</v>
      </c>
      <c r="BG1270" s="48" t="s">
        <v>272</v>
      </c>
      <c r="BH1270" s="48" t="s">
        <v>2255</v>
      </c>
      <c r="BI1270" s="98">
        <v>9.9999999999999995E-7</v>
      </c>
      <c r="BJ1270" s="98">
        <v>0.08</v>
      </c>
      <c r="BK1270" s="48"/>
      <c r="BL1270" s="98">
        <f t="shared" si="330"/>
        <v>1.3776059186940484</v>
      </c>
      <c r="BM1270" s="48" t="s">
        <v>891</v>
      </c>
      <c r="BN1270" s="233"/>
      <c r="BO1270" s="233"/>
      <c r="BP1270" s="233"/>
      <c r="BQ1270" s="233"/>
      <c r="BR1270" s="233"/>
      <c r="BS1270" s="48"/>
      <c r="BT1270" s="233"/>
      <c r="BU1270" s="228"/>
      <c r="BV1270" s="233"/>
      <c r="BW1270" s="233"/>
      <c r="BX1270" s="233"/>
      <c r="BY1270" s="233"/>
      <c r="BZ1270" s="233"/>
      <c r="CA1270" s="233"/>
      <c r="CB1270" s="233"/>
      <c r="CC1270" s="48"/>
      <c r="CD1270" s="48"/>
      <c r="CE1270" s="48"/>
      <c r="CF1270" s="48"/>
      <c r="CG1270" s="233"/>
      <c r="CH1270" s="48"/>
      <c r="CI1270" s="98"/>
      <c r="CJ1270" s="98"/>
      <c r="CK1270" s="49">
        <f t="shared" si="328"/>
        <v>17.220073983675604</v>
      </c>
      <c r="CL1270" s="229"/>
      <c r="CM1270" s="229"/>
      <c r="CN1270" s="229"/>
      <c r="CO1270" s="47" t="s">
        <v>892</v>
      </c>
      <c r="CP1270" s="47" t="s">
        <v>893</v>
      </c>
      <c r="CQ1270" s="224">
        <v>-0.44269911421593977</v>
      </c>
      <c r="CR1270" s="224">
        <f>10^(CJ1270-CQ1270)</f>
        <v>2.7713993719809151</v>
      </c>
      <c r="CS1270" s="230" t="s">
        <v>539</v>
      </c>
      <c r="CT1270" s="230"/>
      <c r="CU1270" s="230"/>
      <c r="CV1270" s="335">
        <f t="shared" si="329"/>
        <v>40.962798855349398</v>
      </c>
      <c r="CW1270" s="230">
        <f t="shared" si="324"/>
        <v>1</v>
      </c>
      <c r="CX1270" s="336" t="s">
        <v>539</v>
      </c>
      <c r="CY1270" s="230" t="s">
        <v>5921</v>
      </c>
    </row>
    <row r="1271" spans="1:103" ht="11.25" customHeight="1" x14ac:dyDescent="0.2">
      <c r="A1271" s="72">
        <v>1269</v>
      </c>
      <c r="B1271" s="224">
        <v>1887</v>
      </c>
      <c r="C1271" s="46" t="s">
        <v>7385</v>
      </c>
      <c r="D1271" s="46"/>
      <c r="E1271" s="114"/>
      <c r="F1271" s="114" t="s">
        <v>4035</v>
      </c>
      <c r="G1271" s="225">
        <v>5902512</v>
      </c>
      <c r="H1271" s="47" t="s">
        <v>4036</v>
      </c>
      <c r="I1271" s="47" t="s">
        <v>8093</v>
      </c>
      <c r="J1271" s="47" t="s">
        <v>4037</v>
      </c>
      <c r="K1271" s="47" t="s">
        <v>3745</v>
      </c>
      <c r="L1271" s="47" t="s">
        <v>5248</v>
      </c>
      <c r="M1271" s="47" t="s">
        <v>6082</v>
      </c>
      <c r="N1271" s="47" t="s">
        <v>6082</v>
      </c>
      <c r="O1271" s="47" t="s">
        <v>6083</v>
      </c>
      <c r="P1271" s="53"/>
      <c r="Q1271" s="53"/>
      <c r="R1271" s="53"/>
      <c r="S1271" s="53"/>
      <c r="T1271" s="48">
        <v>216.66</v>
      </c>
      <c r="U1271" s="98">
        <v>3.2770239084279518</v>
      </c>
      <c r="V1271" s="98">
        <v>4.0233545647558389</v>
      </c>
      <c r="W1271" s="98">
        <v>0.97723722095581023</v>
      </c>
      <c r="X1271" s="98">
        <v>3.2770239084279518</v>
      </c>
      <c r="Y1271" s="233">
        <v>5.9</v>
      </c>
      <c r="Z1271" s="48">
        <v>1.75</v>
      </c>
      <c r="AA1271" s="48">
        <v>1.89</v>
      </c>
      <c r="AB1271" s="48">
        <v>1.81</v>
      </c>
      <c r="AC1271" s="48">
        <v>0.77769999999999995</v>
      </c>
      <c r="AD1271" s="48">
        <v>1.79</v>
      </c>
      <c r="AE1271" s="48">
        <v>1.76</v>
      </c>
      <c r="AF1271" s="48">
        <f t="shared" si="334"/>
        <v>1.89</v>
      </c>
      <c r="AG1271" s="49">
        <v>2.19</v>
      </c>
      <c r="AH1271" s="98">
        <v>5.0200000000000002E-10</v>
      </c>
      <c r="AI1271" s="98">
        <v>1.2E-10</v>
      </c>
      <c r="AJ1271" s="483">
        <f t="shared" si="331"/>
        <v>-7.6878626091676328</v>
      </c>
      <c r="AK1271" s="483">
        <f>LOG10(AI1271*1000/(0.08206*298.15))</f>
        <v>-8.3093850802650273</v>
      </c>
      <c r="AL1271" s="483">
        <f t="shared" si="332"/>
        <v>-8.3093850802650273</v>
      </c>
      <c r="AM1271" s="483">
        <v>-10.625200000000001</v>
      </c>
      <c r="AN1271" s="226">
        <v>-7.57</v>
      </c>
      <c r="AO1271" s="484">
        <v>8.7899999999999991</v>
      </c>
      <c r="AP1271" s="484">
        <v>-3.73</v>
      </c>
      <c r="AQ1271" s="226" t="s">
        <v>6311</v>
      </c>
      <c r="AR1271" s="226" t="s">
        <v>6311</v>
      </c>
      <c r="AS1271" s="224"/>
      <c r="AT1271" s="50" t="s">
        <v>266</v>
      </c>
      <c r="AU1271" s="48">
        <v>6</v>
      </c>
      <c r="AV1271" s="48">
        <v>120</v>
      </c>
      <c r="AW1271" s="48">
        <v>114</v>
      </c>
      <c r="AX1271" s="48">
        <v>28</v>
      </c>
      <c r="AY1271" s="48" t="s">
        <v>8728</v>
      </c>
      <c r="AZ1271" s="48" t="s">
        <v>1563</v>
      </c>
      <c r="BA1271" s="48">
        <v>32</v>
      </c>
      <c r="BB1271" s="47" t="s">
        <v>2485</v>
      </c>
      <c r="BC1271" s="47" t="s">
        <v>8726</v>
      </c>
      <c r="BD1271" s="47" t="s">
        <v>8374</v>
      </c>
      <c r="BE1271" s="48" t="s">
        <v>2449</v>
      </c>
      <c r="BF1271" s="48" t="s">
        <v>272</v>
      </c>
      <c r="BG1271" s="48" t="s">
        <v>272</v>
      </c>
      <c r="BH1271" s="48" t="s">
        <v>2486</v>
      </c>
      <c r="BI1271" s="98">
        <v>6.3999999999999997E-6</v>
      </c>
      <c r="BJ1271" s="98">
        <v>6.4000000000000001E-2</v>
      </c>
      <c r="BK1271" s="48"/>
      <c r="BL1271" s="98">
        <f t="shared" si="330"/>
        <v>1.3776059186940484</v>
      </c>
      <c r="BM1271" s="47" t="s">
        <v>2487</v>
      </c>
      <c r="BN1271" s="48"/>
      <c r="BO1271" s="48"/>
      <c r="BP1271" s="48"/>
      <c r="BQ1271" s="48"/>
      <c r="BR1271" s="47" t="s">
        <v>2496</v>
      </c>
      <c r="BS1271" s="48"/>
      <c r="BT1271" s="48"/>
      <c r="BU1271" s="228"/>
      <c r="BV1271" s="48"/>
      <c r="BW1271" s="48"/>
      <c r="BX1271" s="48"/>
      <c r="BY1271" s="48"/>
      <c r="BZ1271" s="48"/>
      <c r="CA1271" s="48"/>
      <c r="CB1271" s="48"/>
      <c r="CC1271" s="48"/>
      <c r="CD1271" s="48"/>
      <c r="CE1271" s="48"/>
      <c r="CF1271" s="48"/>
      <c r="CG1271" s="48"/>
      <c r="CH1271" s="48"/>
      <c r="CI1271" s="98"/>
      <c r="CJ1271" s="98"/>
      <c r="CK1271" s="49">
        <f t="shared" si="328"/>
        <v>21.525092479594505</v>
      </c>
      <c r="CL1271" s="229"/>
      <c r="CM1271" s="229"/>
      <c r="CN1271" s="229"/>
      <c r="CO1271" s="47" t="s">
        <v>2488</v>
      </c>
      <c r="CP1271" s="47" t="s">
        <v>2489</v>
      </c>
      <c r="CQ1271" s="224">
        <v>-0.44269911421593977</v>
      </c>
      <c r="CR1271" s="224">
        <f>10^(CJ1271-CQ1271)</f>
        <v>2.7713993719809151</v>
      </c>
      <c r="CS1271" s="230" t="s">
        <v>539</v>
      </c>
      <c r="CT1271" s="230"/>
      <c r="CU1271" s="230"/>
      <c r="CV1271" s="335">
        <f t="shared" si="329"/>
        <v>51.203498569186742</v>
      </c>
      <c r="CW1271" s="230">
        <f t="shared" si="324"/>
        <v>1</v>
      </c>
      <c r="CX1271" s="336"/>
      <c r="CY1271" s="230" t="s">
        <v>5921</v>
      </c>
    </row>
    <row r="1272" spans="1:103" ht="11.25" customHeight="1" x14ac:dyDescent="0.2">
      <c r="A1272" s="72">
        <v>1270</v>
      </c>
      <c r="B1272" s="224">
        <v>1292</v>
      </c>
      <c r="C1272" s="46" t="s">
        <v>7386</v>
      </c>
      <c r="D1272" s="46"/>
      <c r="E1272" s="114"/>
      <c r="F1272" s="114" t="s">
        <v>3550</v>
      </c>
      <c r="G1272" s="225">
        <v>5915413</v>
      </c>
      <c r="H1272" s="47" t="s">
        <v>3551</v>
      </c>
      <c r="I1272" s="47" t="s">
        <v>8094</v>
      </c>
      <c r="J1272" s="47" t="s">
        <v>3548</v>
      </c>
      <c r="K1272" s="47" t="s">
        <v>940</v>
      </c>
      <c r="L1272" s="47" t="s">
        <v>6141</v>
      </c>
      <c r="M1272" s="47" t="s">
        <v>6082</v>
      </c>
      <c r="N1272" s="47" t="s">
        <v>6082</v>
      </c>
      <c r="O1272" s="47" t="s">
        <v>6083</v>
      </c>
      <c r="P1272" s="53"/>
      <c r="Q1272" s="53"/>
      <c r="R1272" s="53"/>
      <c r="S1272" s="53"/>
      <c r="T1272" s="48">
        <v>229.71</v>
      </c>
      <c r="U1272" s="98">
        <v>3.7003177919986065E-2</v>
      </c>
      <c r="V1272" s="98">
        <v>0.24117365373732094</v>
      </c>
      <c r="W1272" s="98">
        <v>0.17782794100389201</v>
      </c>
      <c r="X1272" s="98">
        <v>3.7003177919986065E-2</v>
      </c>
      <c r="Y1272" s="233">
        <v>7.04</v>
      </c>
      <c r="Z1272" s="48">
        <v>3.27</v>
      </c>
      <c r="AA1272" s="48">
        <v>3.21</v>
      </c>
      <c r="AB1272" s="48">
        <v>3</v>
      </c>
      <c r="AC1272" s="48">
        <v>0.81420000000000003</v>
      </c>
      <c r="AD1272" s="48">
        <v>2.99</v>
      </c>
      <c r="AE1272" s="48">
        <v>2.98</v>
      </c>
      <c r="AF1272" s="48">
        <f t="shared" si="334"/>
        <v>3.21</v>
      </c>
      <c r="AG1272" s="49">
        <v>2.72</v>
      </c>
      <c r="AH1272" s="98">
        <v>5.9399999999999998E-9</v>
      </c>
      <c r="AI1272" s="98">
        <v>3.7200000000000002E-8</v>
      </c>
      <c r="AJ1272" s="483">
        <f t="shared" si="331"/>
        <v>-6.614779881331458</v>
      </c>
      <c r="AK1272" s="483">
        <f>LOG10(AI1272*1000/(0.08206*298.15))</f>
        <v>-5.8180233864307542</v>
      </c>
      <c r="AL1272" s="483">
        <f t="shared" si="332"/>
        <v>-5.8180233864307542</v>
      </c>
      <c r="AM1272" s="483">
        <v>-10.412190000000001</v>
      </c>
      <c r="AN1272" s="226">
        <v>-11.4</v>
      </c>
      <c r="AO1272" s="484"/>
      <c r="AP1272" s="484">
        <v>2.69</v>
      </c>
      <c r="AQ1272" s="48" t="s">
        <v>6311</v>
      </c>
      <c r="AR1272" s="48" t="s">
        <v>6311</v>
      </c>
      <c r="AS1272" s="227"/>
      <c r="AT1272" s="50" t="s">
        <v>266</v>
      </c>
      <c r="AU1272" s="48">
        <v>6</v>
      </c>
      <c r="AV1272" s="48">
        <v>120</v>
      </c>
      <c r="AW1272" s="48">
        <v>114</v>
      </c>
      <c r="AX1272" s="48">
        <v>28</v>
      </c>
      <c r="AY1272" s="48" t="s">
        <v>8728</v>
      </c>
      <c r="AZ1272" s="48" t="s">
        <v>1563</v>
      </c>
      <c r="BA1272" s="48">
        <v>32</v>
      </c>
      <c r="BB1272" s="47" t="s">
        <v>2485</v>
      </c>
      <c r="BC1272" s="47" t="s">
        <v>8726</v>
      </c>
      <c r="BD1272" s="47" t="s">
        <v>8374</v>
      </c>
      <c r="BE1272" s="48" t="s">
        <v>2449</v>
      </c>
      <c r="BF1272" s="48" t="s">
        <v>272</v>
      </c>
      <c r="BG1272" s="48" t="s">
        <v>272</v>
      </c>
      <c r="BH1272" s="48" t="s">
        <v>2486</v>
      </c>
      <c r="BI1272" s="98">
        <v>6.3999999999999997E-6</v>
      </c>
      <c r="BJ1272" s="98">
        <v>6.4000000000000001E-2</v>
      </c>
      <c r="BK1272" s="48"/>
      <c r="BL1272" s="98">
        <f t="shared" si="330"/>
        <v>5.9430994818927302E-2</v>
      </c>
      <c r="BM1272" s="47" t="s">
        <v>2487</v>
      </c>
      <c r="BN1272" s="48"/>
      <c r="BO1272" s="48"/>
      <c r="BP1272" s="48"/>
      <c r="BQ1272" s="48"/>
      <c r="BR1272" s="47" t="s">
        <v>2496</v>
      </c>
      <c r="BS1272" s="48"/>
      <c r="BT1272" s="48"/>
      <c r="BU1272" s="228">
        <v>6.4000000000000005E-4</v>
      </c>
      <c r="BV1272" s="48"/>
      <c r="BW1272" s="48"/>
      <c r="BX1272" s="48"/>
      <c r="BY1272" s="48"/>
      <c r="BZ1272" s="48"/>
      <c r="CA1272" s="48"/>
      <c r="CB1272" s="48"/>
      <c r="CC1272" s="48"/>
      <c r="CD1272" s="48"/>
      <c r="CE1272" s="48"/>
      <c r="CF1272" s="48"/>
      <c r="CG1272" s="48"/>
      <c r="CH1272" s="48"/>
      <c r="CI1272" s="98"/>
      <c r="CJ1272" s="98"/>
      <c r="CK1272" s="49">
        <f t="shared" si="328"/>
        <v>0.92860929404573911</v>
      </c>
      <c r="CL1272" s="229"/>
      <c r="CM1272" s="229"/>
      <c r="CN1272" s="229"/>
      <c r="CO1272" s="47" t="s">
        <v>2488</v>
      </c>
      <c r="CP1272" s="47" t="s">
        <v>2489</v>
      </c>
      <c r="CQ1272" s="224">
        <v>-1.6714138977750912</v>
      </c>
      <c r="CR1272" s="224">
        <f>10^(CJ1272-CQ1272)</f>
        <v>46.926039060865293</v>
      </c>
      <c r="CS1272" s="230" t="s">
        <v>539</v>
      </c>
      <c r="CT1272" s="230"/>
      <c r="CU1272" s="230"/>
      <c r="CV1272" s="335">
        <f t="shared" si="329"/>
        <v>0.57817465499978227</v>
      </c>
      <c r="CW1272" s="230">
        <f t="shared" si="324"/>
        <v>0</v>
      </c>
      <c r="CX1272" s="336"/>
      <c r="CY1272" s="230" t="s">
        <v>5921</v>
      </c>
    </row>
    <row r="1273" spans="1:103" ht="11.25" customHeight="1" x14ac:dyDescent="0.2">
      <c r="A1273" s="72">
        <v>1271</v>
      </c>
      <c r="B1273" s="224">
        <v>1572</v>
      </c>
      <c r="C1273" s="46" t="s">
        <v>7387</v>
      </c>
      <c r="D1273" s="46"/>
      <c r="E1273" s="114"/>
      <c r="F1273" s="114" t="s">
        <v>2033</v>
      </c>
      <c r="G1273" s="225">
        <v>6055192</v>
      </c>
      <c r="H1273" s="47" t="s">
        <v>4715</v>
      </c>
      <c r="I1273" s="47" t="s">
        <v>7770</v>
      </c>
      <c r="J1273" s="47" t="s">
        <v>4716</v>
      </c>
      <c r="K1273" s="47" t="s">
        <v>4717</v>
      </c>
      <c r="L1273" s="47" t="s">
        <v>279</v>
      </c>
      <c r="M1273" s="47" t="s">
        <v>459</v>
      </c>
      <c r="N1273" s="47" t="s">
        <v>6088</v>
      </c>
      <c r="O1273" s="47" t="s">
        <v>281</v>
      </c>
      <c r="P1273" s="53"/>
      <c r="Q1273" s="53"/>
      <c r="R1273" s="53"/>
      <c r="S1273" s="53"/>
      <c r="T1273" s="48">
        <v>323.35000000000002</v>
      </c>
      <c r="U1273" s="98"/>
      <c r="V1273" s="98">
        <v>0.27626411009741764</v>
      </c>
      <c r="W1273" s="98">
        <v>154.88166189124809</v>
      </c>
      <c r="X1273" s="98">
        <f>IF(W1273=0,V1273,W1273)</f>
        <v>154.88166189124809</v>
      </c>
      <c r="Y1273" s="233">
        <v>8.02</v>
      </c>
      <c r="Z1273" s="48">
        <v>2.34</v>
      </c>
      <c r="AA1273" s="48"/>
      <c r="AB1273" s="48">
        <v>1.6</v>
      </c>
      <c r="AC1273" s="48">
        <v>0.5927</v>
      </c>
      <c r="AD1273" s="48">
        <v>2.1800000000000002</v>
      </c>
      <c r="AE1273" s="48">
        <v>3.47</v>
      </c>
      <c r="AF1273" s="48">
        <f t="shared" si="334"/>
        <v>2.1800000000000002</v>
      </c>
      <c r="AG1273" s="49">
        <v>2.21</v>
      </c>
      <c r="AH1273" s="98">
        <v>4.4300000000000002E-20</v>
      </c>
      <c r="AI1273" s="98"/>
      <c r="AJ1273" s="483">
        <f t="shared" si="331"/>
        <v>-17.742162600089582</v>
      </c>
      <c r="AK1273" s="483"/>
      <c r="AL1273" s="483">
        <f t="shared" si="332"/>
        <v>-17.742162600089582</v>
      </c>
      <c r="AM1273" s="483">
        <v>-21.79476</v>
      </c>
      <c r="AN1273" s="226">
        <v>-11.1</v>
      </c>
      <c r="AO1273" s="484"/>
      <c r="AP1273" s="484">
        <v>2.84</v>
      </c>
      <c r="AQ1273" s="48" t="s">
        <v>6311</v>
      </c>
      <c r="AR1273" s="48" t="s">
        <v>6311</v>
      </c>
      <c r="AS1273" s="227"/>
      <c r="AT1273" s="50" t="s">
        <v>266</v>
      </c>
      <c r="AU1273" s="48">
        <v>6</v>
      </c>
      <c r="AV1273" s="48">
        <v>120</v>
      </c>
      <c r="AW1273" s="48">
        <v>114</v>
      </c>
      <c r="AX1273" s="48">
        <v>28</v>
      </c>
      <c r="AY1273" s="48" t="s">
        <v>8728</v>
      </c>
      <c r="AZ1273" s="48" t="s">
        <v>1563</v>
      </c>
      <c r="BA1273" s="48">
        <v>32</v>
      </c>
      <c r="BB1273" s="47" t="s">
        <v>2485</v>
      </c>
      <c r="BC1273" s="47" t="s">
        <v>8726</v>
      </c>
      <c r="BD1273" s="47" t="s">
        <v>8374</v>
      </c>
      <c r="BE1273" s="48" t="s">
        <v>2449</v>
      </c>
      <c r="BF1273" s="48" t="s">
        <v>272</v>
      </c>
      <c r="BG1273" s="48" t="s">
        <v>272</v>
      </c>
      <c r="BH1273" s="48" t="s">
        <v>2486</v>
      </c>
      <c r="BI1273" s="98">
        <v>6.3999999999999997E-6</v>
      </c>
      <c r="BJ1273" s="98">
        <v>6.4000000000000001E-2</v>
      </c>
      <c r="BK1273" s="48"/>
      <c r="BL1273" s="98">
        <f t="shared" si="330"/>
        <v>0.40667361848744638</v>
      </c>
      <c r="BM1273" s="47" t="s">
        <v>2487</v>
      </c>
      <c r="BN1273" s="48"/>
      <c r="BO1273" s="48"/>
      <c r="BP1273" s="48"/>
      <c r="BQ1273" s="48"/>
      <c r="BR1273" s="47" t="s">
        <v>2496</v>
      </c>
      <c r="BS1273" s="48"/>
      <c r="BT1273" s="48"/>
      <c r="BU1273" s="228"/>
      <c r="BV1273" s="48"/>
      <c r="BW1273" s="48"/>
      <c r="BX1273" s="48"/>
      <c r="BY1273" s="48"/>
      <c r="BZ1273" s="48"/>
      <c r="CA1273" s="48"/>
      <c r="CB1273" s="48"/>
      <c r="CC1273" s="48"/>
      <c r="CD1273" s="48"/>
      <c r="CE1273" s="48"/>
      <c r="CF1273" s="48"/>
      <c r="CG1273" s="48"/>
      <c r="CH1273" s="48"/>
      <c r="CI1273" s="98"/>
      <c r="CJ1273" s="98"/>
      <c r="CK1273" s="49">
        <f t="shared" si="328"/>
        <v>6.3542752888663498</v>
      </c>
      <c r="CL1273" s="229"/>
      <c r="CM1273" s="229"/>
      <c r="CN1273" s="229"/>
      <c r="CO1273" s="47" t="s">
        <v>2488</v>
      </c>
      <c r="CP1273" s="47" t="s">
        <v>2489</v>
      </c>
      <c r="CQ1273" s="224" t="s">
        <v>272</v>
      </c>
      <c r="CR1273" s="224"/>
      <c r="CS1273" s="230" t="s">
        <v>539</v>
      </c>
      <c r="CT1273" s="230"/>
      <c r="CU1273" s="230"/>
      <c r="CV1273" s="335">
        <f t="shared" si="329"/>
        <v>2420.0259670507512</v>
      </c>
      <c r="CW1273" s="230">
        <f t="shared" si="324"/>
        <v>1</v>
      </c>
      <c r="CX1273" s="336"/>
      <c r="CY1273" s="230" t="s">
        <v>5921</v>
      </c>
    </row>
    <row r="1274" spans="1:103" ht="11.25" customHeight="1" x14ac:dyDescent="0.2">
      <c r="A1274" s="72">
        <v>1272</v>
      </c>
      <c r="B1274" s="224">
        <v>1798</v>
      </c>
      <c r="C1274" s="46" t="s">
        <v>7388</v>
      </c>
      <c r="D1274" s="46"/>
      <c r="E1274" s="114"/>
      <c r="F1274" s="114" t="s">
        <v>5172</v>
      </c>
      <c r="G1274" s="225">
        <v>6153646</v>
      </c>
      <c r="H1274" s="47" t="s">
        <v>5173</v>
      </c>
      <c r="I1274" s="47" t="s">
        <v>7781</v>
      </c>
      <c r="J1274" s="47" t="s">
        <v>5174</v>
      </c>
      <c r="K1274" s="47" t="s">
        <v>3608</v>
      </c>
      <c r="L1274" s="47"/>
      <c r="M1274" s="47"/>
      <c r="N1274" s="47"/>
      <c r="O1274" s="47"/>
      <c r="P1274" s="53"/>
      <c r="Q1274" s="53" t="s">
        <v>6173</v>
      </c>
      <c r="R1274" s="53" t="s">
        <v>6185</v>
      </c>
      <c r="S1274" s="53" t="s">
        <v>6182</v>
      </c>
      <c r="T1274" s="48">
        <v>334.41</v>
      </c>
      <c r="U1274" s="98"/>
      <c r="V1274" s="98">
        <v>2.3336622708651054</v>
      </c>
      <c r="W1274" s="98">
        <v>0.8317637711026703</v>
      </c>
      <c r="X1274" s="98">
        <f>IF(W1274=0,V1274,W1274)</f>
        <v>0.8317637711026703</v>
      </c>
      <c r="Y1274" s="233">
        <v>9.65</v>
      </c>
      <c r="Z1274" s="48">
        <v>1.1599999999999999</v>
      </c>
      <c r="AA1274" s="48"/>
      <c r="AB1274" s="48">
        <v>1.6</v>
      </c>
      <c r="AC1274" s="48">
        <v>0.88100000000000001</v>
      </c>
      <c r="AD1274" s="48">
        <v>1.62</v>
      </c>
      <c r="AE1274" s="48">
        <v>1.74</v>
      </c>
      <c r="AF1274" s="48">
        <f t="shared" si="334"/>
        <v>1.62</v>
      </c>
      <c r="AG1274" s="49">
        <v>2.41</v>
      </c>
      <c r="AH1274" s="98">
        <v>5.9600000000000006E-14</v>
      </c>
      <c r="AI1274" s="98"/>
      <c r="AJ1274" s="483">
        <f t="shared" si="331"/>
        <v>-11.613320066572415</v>
      </c>
      <c r="AK1274" s="483"/>
      <c r="AL1274" s="483">
        <f t="shared" si="332"/>
        <v>-11.613320066572415</v>
      </c>
      <c r="AM1274" s="483">
        <v>-17.42351</v>
      </c>
      <c r="AN1274" s="226">
        <v>-17.8</v>
      </c>
      <c r="AO1274" s="484"/>
      <c r="AP1274" s="484">
        <v>8.3699999999999992</v>
      </c>
      <c r="AQ1274" s="226" t="s">
        <v>6311</v>
      </c>
      <c r="AR1274" s="226" t="s">
        <v>6311</v>
      </c>
      <c r="AS1274" s="224"/>
      <c r="AT1274" s="50" t="s">
        <v>266</v>
      </c>
      <c r="AU1274" s="48">
        <v>6</v>
      </c>
      <c r="AV1274" s="48">
        <v>120</v>
      </c>
      <c r="AW1274" s="48">
        <v>114</v>
      </c>
      <c r="AX1274" s="48">
        <v>28</v>
      </c>
      <c r="AY1274" s="48" t="s">
        <v>8728</v>
      </c>
      <c r="AZ1274" s="48" t="s">
        <v>1563</v>
      </c>
      <c r="BA1274" s="48">
        <v>32</v>
      </c>
      <c r="BB1274" s="47" t="s">
        <v>2485</v>
      </c>
      <c r="BC1274" s="47" t="s">
        <v>8726</v>
      </c>
      <c r="BD1274" s="47" t="s">
        <v>8374</v>
      </c>
      <c r="BE1274" s="48" t="s">
        <v>2449</v>
      </c>
      <c r="BF1274" s="48" t="s">
        <v>272</v>
      </c>
      <c r="BG1274" s="48" t="s">
        <v>272</v>
      </c>
      <c r="BH1274" s="48" t="s">
        <v>2486</v>
      </c>
      <c r="BI1274" s="98">
        <v>6.3999999999999997E-6</v>
      </c>
      <c r="BJ1274" s="98">
        <v>6.4000000000000001E-2</v>
      </c>
      <c r="BK1274" s="48"/>
      <c r="BL1274" s="98">
        <f t="shared" si="330"/>
        <v>4.6666367842581282</v>
      </c>
      <c r="BM1274" s="47" t="s">
        <v>2487</v>
      </c>
      <c r="BN1274" s="48"/>
      <c r="BO1274" s="48"/>
      <c r="BP1274" s="48"/>
      <c r="BQ1274" s="48"/>
      <c r="BR1274" s="47" t="s">
        <v>2496</v>
      </c>
      <c r="BS1274" s="48"/>
      <c r="BT1274" s="48"/>
      <c r="BU1274" s="228"/>
      <c r="BV1274" s="48"/>
      <c r="BW1274" s="48"/>
      <c r="BX1274" s="48"/>
      <c r="BY1274" s="48"/>
      <c r="BZ1274" s="48"/>
      <c r="CA1274" s="48"/>
      <c r="CB1274" s="48"/>
      <c r="CC1274" s="48"/>
      <c r="CD1274" s="48"/>
      <c r="CE1274" s="48"/>
      <c r="CF1274" s="48"/>
      <c r="CG1274" s="48"/>
      <c r="CH1274" s="48"/>
      <c r="CI1274" s="52" t="s">
        <v>6347</v>
      </c>
      <c r="CJ1274" s="98"/>
      <c r="CK1274" s="49">
        <f t="shared" si="328"/>
        <v>72.916199754033258</v>
      </c>
      <c r="CL1274" s="229"/>
      <c r="CM1274" s="229"/>
      <c r="CN1274" s="229"/>
      <c r="CO1274" s="47" t="s">
        <v>2488</v>
      </c>
      <c r="CP1274" s="47" t="s">
        <v>2489</v>
      </c>
      <c r="CQ1274" s="224" t="s">
        <v>272</v>
      </c>
      <c r="CR1274" s="224"/>
      <c r="CS1274" s="230" t="s">
        <v>539</v>
      </c>
      <c r="CT1274" s="230"/>
      <c r="CU1274" s="230"/>
      <c r="CV1274" s="335">
        <f t="shared" si="329"/>
        <v>12.996308923479223</v>
      </c>
      <c r="CW1274" s="230">
        <f t="shared" si="324"/>
        <v>1</v>
      </c>
      <c r="CX1274" s="336"/>
      <c r="CY1274" s="230" t="s">
        <v>5921</v>
      </c>
    </row>
    <row r="1275" spans="1:103" ht="11.25" customHeight="1" x14ac:dyDescent="0.2">
      <c r="A1275" s="72">
        <v>1273</v>
      </c>
      <c r="B1275" s="224">
        <v>1868</v>
      </c>
      <c r="C1275" s="46" t="s">
        <v>7389</v>
      </c>
      <c r="D1275" s="46"/>
      <c r="E1275" s="114"/>
      <c r="F1275" s="114" t="s">
        <v>5309</v>
      </c>
      <c r="G1275" s="225">
        <v>6381777</v>
      </c>
      <c r="H1275" s="47" t="s">
        <v>5310</v>
      </c>
      <c r="I1275" s="47" t="s">
        <v>5310</v>
      </c>
      <c r="J1275" s="47" t="s">
        <v>5311</v>
      </c>
      <c r="K1275" s="47" t="s">
        <v>3519</v>
      </c>
      <c r="L1275" s="47"/>
      <c r="M1275" s="47"/>
      <c r="N1275" s="47"/>
      <c r="O1275" s="47"/>
      <c r="P1275" s="53"/>
      <c r="Q1275" s="53"/>
      <c r="R1275" s="53"/>
      <c r="S1275" s="53"/>
      <c r="T1275" s="48">
        <v>176.12</v>
      </c>
      <c r="U1275" s="98">
        <v>2271.1787417669771</v>
      </c>
      <c r="V1275" s="98">
        <v>5677.9468544174424</v>
      </c>
      <c r="W1275" s="98">
        <v>3019.9517204020167</v>
      </c>
      <c r="X1275" s="98">
        <v>2271.1787417669771</v>
      </c>
      <c r="Y1275" s="233">
        <v>1.8</v>
      </c>
      <c r="Z1275" s="48">
        <v>-1.88</v>
      </c>
      <c r="AA1275" s="48">
        <v>-1.85</v>
      </c>
      <c r="AB1275" s="48">
        <v>-1.65</v>
      </c>
      <c r="AC1275" s="48">
        <v>0.76139999999999997</v>
      </c>
      <c r="AD1275" s="48">
        <v>-1.89</v>
      </c>
      <c r="AE1275" s="48">
        <v>-2.41</v>
      </c>
      <c r="AF1275" s="48">
        <f t="shared" si="334"/>
        <v>-1.85</v>
      </c>
      <c r="AG1275" s="49">
        <v>-1.89</v>
      </c>
      <c r="AH1275" s="98">
        <v>4.07E-8</v>
      </c>
      <c r="AI1275" s="98"/>
      <c r="AJ1275" s="483">
        <f t="shared" si="331"/>
        <v>-5.7789719170874321</v>
      </c>
      <c r="AK1275" s="483"/>
      <c r="AL1275" s="483">
        <f t="shared" si="332"/>
        <v>-5.7789719170874321</v>
      </c>
      <c r="AM1275" s="483">
        <v>-18.041989999999998</v>
      </c>
      <c r="AN1275" s="226"/>
      <c r="AO1275" s="484">
        <v>4.09</v>
      </c>
      <c r="AP1275" s="484"/>
      <c r="AQ1275" s="226" t="s">
        <v>6311</v>
      </c>
      <c r="AR1275" s="226" t="s">
        <v>6311</v>
      </c>
      <c r="AS1275" s="224"/>
      <c r="AT1275" s="50" t="s">
        <v>266</v>
      </c>
      <c r="AU1275" s="48">
        <v>6</v>
      </c>
      <c r="AV1275" s="48">
        <v>120</v>
      </c>
      <c r="AW1275" s="48">
        <v>114</v>
      </c>
      <c r="AX1275" s="48">
        <v>28</v>
      </c>
      <c r="AY1275" s="48" t="s">
        <v>8728</v>
      </c>
      <c r="AZ1275" s="48" t="s">
        <v>1563</v>
      </c>
      <c r="BA1275" s="48">
        <v>32</v>
      </c>
      <c r="BB1275" s="47" t="s">
        <v>2485</v>
      </c>
      <c r="BC1275" s="47" t="s">
        <v>8726</v>
      </c>
      <c r="BD1275" s="47" t="s">
        <v>8374</v>
      </c>
      <c r="BE1275" s="48" t="s">
        <v>2449</v>
      </c>
      <c r="BF1275" s="48" t="s">
        <v>272</v>
      </c>
      <c r="BG1275" s="48" t="s">
        <v>272</v>
      </c>
      <c r="BH1275" s="48" t="s">
        <v>2486</v>
      </c>
      <c r="BI1275" s="98">
        <v>6.3999999999999997E-6</v>
      </c>
      <c r="BJ1275" s="98">
        <v>6.4000000000000001E-2</v>
      </c>
      <c r="BK1275" s="48"/>
      <c r="BL1275" s="98">
        <f t="shared" si="330"/>
        <v>2507.4252792478933</v>
      </c>
      <c r="BM1275" s="47" t="s">
        <v>2487</v>
      </c>
      <c r="BN1275" s="48"/>
      <c r="BO1275" s="48"/>
      <c r="BP1275" s="48"/>
      <c r="BQ1275" s="48"/>
      <c r="BR1275" s="47" t="s">
        <v>2496</v>
      </c>
      <c r="BS1275" s="48"/>
      <c r="BT1275" s="48"/>
      <c r="BU1275" s="228"/>
      <c r="BV1275" s="48"/>
      <c r="BW1275" s="48"/>
      <c r="BX1275" s="48"/>
      <c r="BY1275" s="48"/>
      <c r="BZ1275" s="48"/>
      <c r="CA1275" s="48"/>
      <c r="CB1275" s="48"/>
      <c r="CC1275" s="48"/>
      <c r="CD1275" s="48"/>
      <c r="CE1275" s="48"/>
      <c r="CF1275" s="48"/>
      <c r="CG1275" s="48"/>
      <c r="CH1275" s="48"/>
      <c r="CI1275" s="98"/>
      <c r="CJ1275" s="98"/>
      <c r="CK1275" s="49">
        <f t="shared" si="328"/>
        <v>39178.519988248328</v>
      </c>
      <c r="CL1275" s="229"/>
      <c r="CM1275" s="229"/>
      <c r="CN1275" s="229"/>
      <c r="CO1275" s="47" t="s">
        <v>2488</v>
      </c>
      <c r="CP1275" s="47" t="s">
        <v>2489</v>
      </c>
      <c r="CQ1275" s="224" t="s">
        <v>272</v>
      </c>
      <c r="CR1275" s="224"/>
      <c r="CS1275" s="230" t="s">
        <v>539</v>
      </c>
      <c r="CT1275" s="230"/>
      <c r="CU1275" s="230"/>
      <c r="CV1275" s="335">
        <f t="shared" si="329"/>
        <v>35487.167840109018</v>
      </c>
      <c r="CW1275" s="230">
        <f t="shared" si="324"/>
        <v>1</v>
      </c>
      <c r="CX1275" s="336"/>
      <c r="CY1275" s="230" t="s">
        <v>6351</v>
      </c>
    </row>
    <row r="1276" spans="1:103" ht="11.25" customHeight="1" x14ac:dyDescent="0.2">
      <c r="A1276" s="72">
        <v>1274</v>
      </c>
      <c r="B1276" s="224">
        <v>1631</v>
      </c>
      <c r="C1276" s="46" t="s">
        <v>7390</v>
      </c>
      <c r="D1276" s="46"/>
      <c r="E1276" s="114"/>
      <c r="F1276" s="114" t="s">
        <v>4831</v>
      </c>
      <c r="G1276" s="225">
        <v>6385622</v>
      </c>
      <c r="H1276" s="47" t="s">
        <v>4832</v>
      </c>
      <c r="I1276" s="47" t="s">
        <v>7776</v>
      </c>
      <c r="J1276" s="47" t="s">
        <v>4833</v>
      </c>
      <c r="K1276" s="47" t="s">
        <v>426</v>
      </c>
      <c r="L1276" s="51"/>
      <c r="M1276" s="47"/>
      <c r="N1276" s="47"/>
      <c r="O1276" s="47"/>
      <c r="P1276" s="53"/>
      <c r="Q1276" s="53"/>
      <c r="R1276" s="53"/>
      <c r="S1276" s="53"/>
      <c r="T1276" s="48">
        <v>184.24</v>
      </c>
      <c r="U1276" s="98"/>
      <c r="V1276" s="98">
        <v>81.198436821537115</v>
      </c>
      <c r="W1276" s="98">
        <v>2691.5348039269161</v>
      </c>
      <c r="X1276" s="98">
        <f>IF(W1276=0,V1276,W1276)</f>
        <v>2691.5348039269161</v>
      </c>
      <c r="Y1276" s="233">
        <v>7</v>
      </c>
      <c r="Z1276" s="48">
        <v>-0.67</v>
      </c>
      <c r="AA1276" s="48"/>
      <c r="AB1276" s="48">
        <v>-5.75</v>
      </c>
      <c r="AC1276" s="48">
        <v>0.51390000000000002</v>
      </c>
      <c r="AD1276" s="48">
        <v>-5.24</v>
      </c>
      <c r="AE1276" s="48">
        <v>-4.71</v>
      </c>
      <c r="AF1276" s="48">
        <f t="shared" si="334"/>
        <v>-5.24</v>
      </c>
      <c r="AG1276" s="49">
        <v>-5.24</v>
      </c>
      <c r="AH1276" s="98">
        <v>1.42E-13</v>
      </c>
      <c r="AI1276" s="98"/>
      <c r="AJ1276" s="483">
        <f t="shared" si="331"/>
        <v>-11.236277981929595</v>
      </c>
      <c r="AK1276" s="483"/>
      <c r="AL1276" s="483">
        <f t="shared" si="332"/>
        <v>-11.236277981929595</v>
      </c>
      <c r="AM1276" s="483">
        <v>-4.3412300000000004</v>
      </c>
      <c r="AN1276" s="226"/>
      <c r="AO1276" s="484"/>
      <c r="AP1276" s="484"/>
      <c r="AQ1276" s="226" t="s">
        <v>6311</v>
      </c>
      <c r="AR1276" s="226" t="s">
        <v>6311</v>
      </c>
      <c r="AS1276" s="224"/>
      <c r="AT1276" s="50" t="s">
        <v>266</v>
      </c>
      <c r="AU1276" s="48">
        <v>6</v>
      </c>
      <c r="AV1276" s="48">
        <v>120</v>
      </c>
      <c r="AW1276" s="48">
        <v>114</v>
      </c>
      <c r="AX1276" s="48">
        <v>28</v>
      </c>
      <c r="AY1276" s="48" t="s">
        <v>8728</v>
      </c>
      <c r="AZ1276" s="48" t="s">
        <v>1563</v>
      </c>
      <c r="BA1276" s="48">
        <v>32</v>
      </c>
      <c r="BB1276" s="47" t="s">
        <v>2485</v>
      </c>
      <c r="BC1276" s="47" t="s">
        <v>8726</v>
      </c>
      <c r="BD1276" s="47" t="s">
        <v>8374</v>
      </c>
      <c r="BE1276" s="48" t="s">
        <v>2449</v>
      </c>
      <c r="BF1276" s="48" t="s">
        <v>272</v>
      </c>
      <c r="BG1276" s="48" t="s">
        <v>272</v>
      </c>
      <c r="BH1276" s="48" t="s">
        <v>2486</v>
      </c>
      <c r="BI1276" s="98">
        <v>6.3999999999999997E-6</v>
      </c>
      <c r="BJ1276" s="98">
        <v>6.4000000000000001E-2</v>
      </c>
      <c r="BK1276" s="48"/>
      <c r="BL1276" s="98">
        <f t="shared" si="330"/>
        <v>205.3652697660832</v>
      </c>
      <c r="BM1276" s="47" t="s">
        <v>2487</v>
      </c>
      <c r="BN1276" s="48"/>
      <c r="BO1276" s="48"/>
      <c r="BP1276" s="48"/>
      <c r="BQ1276" s="48"/>
      <c r="BR1276" s="47" t="s">
        <v>2496</v>
      </c>
      <c r="BS1276" s="48"/>
      <c r="BT1276" s="48"/>
      <c r="BU1276" s="228"/>
      <c r="BV1276" s="48"/>
      <c r="BW1276" s="48"/>
      <c r="BX1276" s="48"/>
      <c r="BY1276" s="48"/>
      <c r="BZ1276" s="48"/>
      <c r="CA1276" s="48"/>
      <c r="CB1276" s="48"/>
      <c r="CC1276" s="48"/>
      <c r="CD1276" s="48"/>
      <c r="CE1276" s="48"/>
      <c r="CF1276" s="48"/>
      <c r="CG1276" s="48"/>
      <c r="CH1276" s="48"/>
      <c r="CI1276" s="98"/>
      <c r="CJ1276" s="98"/>
      <c r="CK1276" s="49">
        <f t="shared" si="328"/>
        <v>3208.8323400950499</v>
      </c>
      <c r="CL1276" s="229"/>
      <c r="CM1276" s="229"/>
      <c r="CN1276" s="229"/>
      <c r="CO1276" s="47" t="s">
        <v>2488</v>
      </c>
      <c r="CP1276" s="47" t="s">
        <v>2489</v>
      </c>
      <c r="CQ1276" s="224" t="s">
        <v>272</v>
      </c>
      <c r="CR1276" s="224"/>
      <c r="CS1276" s="230" t="s">
        <v>539</v>
      </c>
      <c r="CT1276" s="230"/>
      <c r="CU1276" s="230"/>
      <c r="CV1276" s="335">
        <f t="shared" si="329"/>
        <v>42055.23131135806</v>
      </c>
      <c r="CW1276" s="230">
        <f t="shared" si="324"/>
        <v>1</v>
      </c>
      <c r="CX1276" s="336"/>
      <c r="CY1276" s="230" t="s">
        <v>5921</v>
      </c>
    </row>
    <row r="1277" spans="1:103" ht="11.25" customHeight="1" x14ac:dyDescent="0.2">
      <c r="A1277" s="72">
        <v>1275</v>
      </c>
      <c r="B1277" s="224">
        <v>1727</v>
      </c>
      <c r="C1277" s="46" t="s">
        <v>1293</v>
      </c>
      <c r="D1277" s="46"/>
      <c r="E1277" s="114"/>
      <c r="F1277" s="114" t="s">
        <v>1294</v>
      </c>
      <c r="G1277" s="225">
        <v>6734801</v>
      </c>
      <c r="H1277" s="47" t="s">
        <v>5001</v>
      </c>
      <c r="I1277" s="47"/>
      <c r="J1277" s="47" t="s">
        <v>5002</v>
      </c>
      <c r="K1277" s="47" t="s">
        <v>1297</v>
      </c>
      <c r="L1277" s="47"/>
      <c r="M1277" s="47"/>
      <c r="N1277" s="47"/>
      <c r="O1277" s="47"/>
      <c r="P1277" s="53"/>
      <c r="Q1277" s="53"/>
      <c r="R1277" s="53"/>
      <c r="S1277" s="53"/>
      <c r="T1277" s="48">
        <v>129.18</v>
      </c>
      <c r="U1277" s="98">
        <v>5589.1004799504562</v>
      </c>
      <c r="V1277" s="98">
        <v>7741.136398823347</v>
      </c>
      <c r="W1277" s="98">
        <v>177.82794100389225</v>
      </c>
      <c r="X1277" s="98">
        <v>5589.1004799504562</v>
      </c>
      <c r="Y1277" s="233">
        <v>1.98</v>
      </c>
      <c r="Z1277" s="48">
        <v>-2.62</v>
      </c>
      <c r="AA1277" s="48"/>
      <c r="AB1277" s="48">
        <v>0.78</v>
      </c>
      <c r="AC1277" s="48">
        <v>0.66080000000000005</v>
      </c>
      <c r="AD1277" s="48">
        <v>0.78</v>
      </c>
      <c r="AE1277" s="48">
        <v>0.78</v>
      </c>
      <c r="AF1277" s="48">
        <f t="shared" si="334"/>
        <v>0.78</v>
      </c>
      <c r="AG1277" s="49">
        <v>0.78</v>
      </c>
      <c r="AH1277" s="98"/>
      <c r="AI1277" s="98"/>
      <c r="AJ1277" s="483"/>
      <c r="AK1277" s="483"/>
      <c r="AL1277" s="483"/>
      <c r="AM1277" s="483">
        <v>-6.0241499999999997</v>
      </c>
      <c r="AN1277" s="226"/>
      <c r="AO1277" s="484">
        <v>4.63</v>
      </c>
      <c r="AP1277" s="484">
        <v>0.87</v>
      </c>
      <c r="AQ1277" s="226" t="s">
        <v>6311</v>
      </c>
      <c r="AR1277" s="226" t="s">
        <v>6311</v>
      </c>
      <c r="AS1277" s="224"/>
      <c r="AT1277" s="50" t="s">
        <v>266</v>
      </c>
      <c r="AU1277" s="48">
        <v>6</v>
      </c>
      <c r="AV1277" s="48">
        <v>120</v>
      </c>
      <c r="AW1277" s="48">
        <v>114</v>
      </c>
      <c r="AX1277" s="48">
        <v>28</v>
      </c>
      <c r="AY1277" s="48" t="s">
        <v>8728</v>
      </c>
      <c r="AZ1277" s="48" t="s">
        <v>1563</v>
      </c>
      <c r="BA1277" s="48">
        <v>32</v>
      </c>
      <c r="BB1277" s="47" t="s">
        <v>2485</v>
      </c>
      <c r="BC1277" s="47" t="s">
        <v>8726</v>
      </c>
      <c r="BD1277" s="47" t="s">
        <v>8374</v>
      </c>
      <c r="BE1277" s="48" t="s">
        <v>2449</v>
      </c>
      <c r="BF1277" s="48" t="s">
        <v>272</v>
      </c>
      <c r="BG1277" s="48" t="s">
        <v>272</v>
      </c>
      <c r="BH1277" s="48" t="s">
        <v>2486</v>
      </c>
      <c r="BI1277" s="98">
        <v>6.3999999999999997E-6</v>
      </c>
      <c r="BJ1277" s="98">
        <v>6.4000000000000001E-2</v>
      </c>
      <c r="BK1277" s="48"/>
      <c r="BL1277" s="98">
        <f t="shared" si="330"/>
        <v>11583.025168136202</v>
      </c>
      <c r="BM1277" s="47" t="s">
        <v>2487</v>
      </c>
      <c r="BN1277" s="48"/>
      <c r="BO1277" s="48"/>
      <c r="BP1277" s="48"/>
      <c r="BQ1277" s="48"/>
      <c r="BR1277" s="47" t="s">
        <v>2496</v>
      </c>
      <c r="BS1277" s="48"/>
      <c r="BT1277" s="48"/>
      <c r="BU1277" s="228"/>
      <c r="BV1277" s="48"/>
      <c r="BW1277" s="48"/>
      <c r="BX1277" s="48"/>
      <c r="BY1277" s="48"/>
      <c r="BZ1277" s="48"/>
      <c r="CA1277" s="48"/>
      <c r="CB1277" s="48"/>
      <c r="CC1277" s="48"/>
      <c r="CD1277" s="48"/>
      <c r="CE1277" s="48"/>
      <c r="CF1277" s="48"/>
      <c r="CG1277" s="48"/>
      <c r="CH1277" s="48"/>
      <c r="CI1277" s="98"/>
      <c r="CJ1277" s="98"/>
      <c r="CK1277" s="49">
        <f t="shared" si="328"/>
        <v>180984.76825212815</v>
      </c>
      <c r="CL1277" s="229"/>
      <c r="CM1277" s="229"/>
      <c r="CN1277" s="229"/>
      <c r="CO1277" s="47" t="s">
        <v>2488</v>
      </c>
      <c r="CP1277" s="47" t="s">
        <v>2489</v>
      </c>
      <c r="CQ1277" s="224" t="s">
        <v>272</v>
      </c>
      <c r="CR1277" s="224"/>
      <c r="CS1277" s="230" t="s">
        <v>539</v>
      </c>
      <c r="CT1277" s="230"/>
      <c r="CU1277" s="230"/>
      <c r="CV1277" s="335">
        <f t="shared" si="329"/>
        <v>87329.694999225874</v>
      </c>
      <c r="CW1277" s="230">
        <f t="shared" si="324"/>
        <v>1</v>
      </c>
      <c r="CX1277" s="336"/>
      <c r="CY1277" s="230" t="s">
        <v>5921</v>
      </c>
    </row>
    <row r="1278" spans="1:103" ht="11.25" customHeight="1" x14ac:dyDescent="0.2">
      <c r="A1278" s="72">
        <v>1276</v>
      </c>
      <c r="B1278" s="224">
        <v>972</v>
      </c>
      <c r="C1278" s="46" t="s">
        <v>7391</v>
      </c>
      <c r="D1278" s="46"/>
      <c r="E1278" s="114"/>
      <c r="F1278" s="114" t="s">
        <v>6421</v>
      </c>
      <c r="G1278" s="225">
        <v>6893023</v>
      </c>
      <c r="H1278" s="47" t="s">
        <v>2773</v>
      </c>
      <c r="I1278" s="47" t="s">
        <v>7808</v>
      </c>
      <c r="J1278" s="47" t="s">
        <v>2774</v>
      </c>
      <c r="K1278" s="47" t="s">
        <v>2775</v>
      </c>
      <c r="L1278" s="47" t="s">
        <v>279</v>
      </c>
      <c r="M1278" s="47" t="s">
        <v>2776</v>
      </c>
      <c r="N1278" s="47"/>
      <c r="O1278" s="47" t="s">
        <v>281</v>
      </c>
      <c r="P1278" s="53"/>
      <c r="Q1278" s="53"/>
      <c r="R1278" s="53"/>
      <c r="S1278" s="53"/>
      <c r="T1278" s="48">
        <v>650.97</v>
      </c>
      <c r="U1278" s="98">
        <v>6.0832296419189823E-3</v>
      </c>
      <c r="V1278" s="98">
        <v>1.1037374994239367E-5</v>
      </c>
      <c r="W1278" s="98">
        <v>1.9952623149688771E-2</v>
      </c>
      <c r="X1278" s="98">
        <v>6.0832296419189823E-3</v>
      </c>
      <c r="Y1278" s="233">
        <v>6.36</v>
      </c>
      <c r="Z1278" s="48">
        <v>2.96</v>
      </c>
      <c r="AA1278" s="48"/>
      <c r="AB1278" s="48">
        <v>3.84</v>
      </c>
      <c r="AC1278" s="48">
        <v>0.8256</v>
      </c>
      <c r="AD1278" s="48">
        <v>4.12</v>
      </c>
      <c r="AE1278" s="48">
        <v>5.08</v>
      </c>
      <c r="AF1278" s="48">
        <f t="shared" si="334"/>
        <v>4.12</v>
      </c>
      <c r="AG1278" s="49">
        <v>2.97</v>
      </c>
      <c r="AH1278" s="98">
        <v>3.41E-18</v>
      </c>
      <c r="AI1278" s="98"/>
      <c r="AJ1278" s="483">
        <f t="shared" ref="AJ1278:AJ1286" si="335">LOG10(AH1278*1000/(0.08206*298.15))</f>
        <v>-15.855811947320154</v>
      </c>
      <c r="AK1278" s="483"/>
      <c r="AL1278" s="483">
        <f t="shared" ref="AL1278:AL1286" si="336">IF(AK1278=0,AJ1278,AK1278)</f>
        <v>-15.855811947320154</v>
      </c>
      <c r="AM1278" s="483">
        <v>-23.655180000000001</v>
      </c>
      <c r="AN1278" s="226">
        <v>-15.8</v>
      </c>
      <c r="AO1278" s="484">
        <v>2.13</v>
      </c>
      <c r="AP1278" s="484">
        <v>8.27</v>
      </c>
      <c r="AQ1278" s="48" t="s">
        <v>5921</v>
      </c>
      <c r="AR1278" s="48" t="s">
        <v>5921</v>
      </c>
      <c r="AS1278" s="227"/>
      <c r="AT1278" s="50" t="s">
        <v>266</v>
      </c>
      <c r="AU1278" s="48">
        <v>6</v>
      </c>
      <c r="AV1278" s="48">
        <v>120</v>
      </c>
      <c r="AW1278" s="48">
        <v>114</v>
      </c>
      <c r="AX1278" s="48">
        <v>28</v>
      </c>
      <c r="AY1278" s="48" t="s">
        <v>8728</v>
      </c>
      <c r="AZ1278" s="48" t="s">
        <v>1563</v>
      </c>
      <c r="BA1278" s="48">
        <v>32</v>
      </c>
      <c r="BB1278" s="47" t="s">
        <v>2485</v>
      </c>
      <c r="BC1278" s="47" t="s">
        <v>8726</v>
      </c>
      <c r="BD1278" s="47" t="s">
        <v>8374</v>
      </c>
      <c r="BE1278" s="48" t="s">
        <v>2449</v>
      </c>
      <c r="BF1278" s="48" t="s">
        <v>272</v>
      </c>
      <c r="BG1278" s="48" t="s">
        <v>272</v>
      </c>
      <c r="BH1278" s="48" t="s">
        <v>2486</v>
      </c>
      <c r="BI1278" s="98">
        <v>6.3999999999999997E-6</v>
      </c>
      <c r="BJ1278" s="98">
        <v>6.4000000000000001E-2</v>
      </c>
      <c r="BK1278" s="48"/>
      <c r="BL1278" s="98">
        <f t="shared" si="330"/>
        <v>0.11282984720039825</v>
      </c>
      <c r="BM1278" s="47" t="s">
        <v>2046</v>
      </c>
      <c r="BN1278" s="48"/>
      <c r="BO1278" s="48"/>
      <c r="BP1278" s="48"/>
      <c r="BQ1278" s="48"/>
      <c r="BR1278" s="47">
        <v>1.6190861620000001</v>
      </c>
      <c r="BS1278" s="48"/>
      <c r="BT1278" s="48"/>
      <c r="BU1278" s="228">
        <v>5.1199999999999998E-4</v>
      </c>
      <c r="BV1278" s="48"/>
      <c r="BW1278" s="48"/>
      <c r="BX1278" s="48"/>
      <c r="BY1278" s="48"/>
      <c r="BZ1278" s="48"/>
      <c r="CA1278" s="48"/>
      <c r="CB1278" s="48"/>
      <c r="CC1278" s="48"/>
      <c r="CD1278" s="48"/>
      <c r="CE1278" s="48"/>
      <c r="CF1278" s="48"/>
      <c r="CG1278" s="48"/>
      <c r="CH1278" s="48"/>
      <c r="CI1278" s="98"/>
      <c r="CJ1278" s="98"/>
      <c r="CK1278" s="49">
        <f t="shared" si="328"/>
        <v>1.7629663625062226</v>
      </c>
      <c r="CL1278" s="229"/>
      <c r="CM1278" s="229"/>
      <c r="CN1278" s="229"/>
      <c r="CO1278" s="47" t="s">
        <v>2488</v>
      </c>
      <c r="CP1278" s="47" t="s">
        <v>2489</v>
      </c>
      <c r="CQ1278" s="224" t="s">
        <v>272</v>
      </c>
      <c r="CR1278" s="224"/>
      <c r="CS1278" s="230" t="s">
        <v>539</v>
      </c>
      <c r="CT1278" s="230"/>
      <c r="CU1278" s="230"/>
      <c r="CV1278" s="335">
        <f t="shared" si="329"/>
        <v>9.5050463154984097E-2</v>
      </c>
      <c r="CW1278" s="230">
        <f t="shared" si="324"/>
        <v>0</v>
      </c>
      <c r="CX1278" s="336"/>
      <c r="CY1278" s="230" t="s">
        <v>5921</v>
      </c>
    </row>
    <row r="1279" spans="1:103" ht="11.25" customHeight="1" x14ac:dyDescent="0.2">
      <c r="A1279" s="72">
        <v>1277</v>
      </c>
      <c r="B1279" s="224">
        <v>949</v>
      </c>
      <c r="C1279" s="46" t="s">
        <v>7392</v>
      </c>
      <c r="D1279" s="46"/>
      <c r="E1279" s="114"/>
      <c r="F1279" s="114" t="s">
        <v>2711</v>
      </c>
      <c r="G1279" s="225">
        <v>6915157</v>
      </c>
      <c r="H1279" s="47" t="s">
        <v>2712</v>
      </c>
      <c r="I1279" s="47" t="s">
        <v>2712</v>
      </c>
      <c r="J1279" s="47" t="s">
        <v>2713</v>
      </c>
      <c r="K1279" s="47" t="s">
        <v>426</v>
      </c>
      <c r="L1279" s="47"/>
      <c r="M1279" s="47"/>
      <c r="N1279" s="47"/>
      <c r="O1279" s="47"/>
      <c r="P1279" s="53"/>
      <c r="Q1279" s="53"/>
      <c r="R1279" s="53"/>
      <c r="S1279" s="53"/>
      <c r="T1279" s="48">
        <v>134.09</v>
      </c>
      <c r="U1279" s="98">
        <v>7457.6776791707061</v>
      </c>
      <c r="V1279" s="98">
        <v>7457.6776791707061</v>
      </c>
      <c r="W1279" s="98">
        <v>7413.1024130091764</v>
      </c>
      <c r="X1279" s="98">
        <v>7457.6776791707061</v>
      </c>
      <c r="Y1279" s="233">
        <v>1.1100000000000001</v>
      </c>
      <c r="Z1279" s="48">
        <v>-1.68</v>
      </c>
      <c r="AA1279" s="48">
        <v>-1.26</v>
      </c>
      <c r="AB1279" s="48">
        <v>-1.07</v>
      </c>
      <c r="AC1279" s="48">
        <v>0.87590000000000001</v>
      </c>
      <c r="AD1279" s="48">
        <v>-1.1200000000000001</v>
      </c>
      <c r="AE1279" s="48">
        <v>-1.26</v>
      </c>
      <c r="AF1279" s="48">
        <f t="shared" si="334"/>
        <v>-1.26</v>
      </c>
      <c r="AG1279" s="49">
        <v>-1.24</v>
      </c>
      <c r="AH1279" s="98">
        <v>8.4300000000000004E-13</v>
      </c>
      <c r="AI1279" s="98"/>
      <c r="AJ1279" s="483">
        <f t="shared" si="335"/>
        <v>-10.46273875168791</v>
      </c>
      <c r="AK1279" s="483"/>
      <c r="AL1279" s="483">
        <f t="shared" si="336"/>
        <v>-10.46273875168791</v>
      </c>
      <c r="AM1279" s="483">
        <v>-12.209579999999999</v>
      </c>
      <c r="AN1279" s="226">
        <v>-11.6</v>
      </c>
      <c r="AO1279" s="484">
        <v>3.61</v>
      </c>
      <c r="AP1279" s="484"/>
      <c r="AQ1279" s="48" t="s">
        <v>6311</v>
      </c>
      <c r="AR1279" s="48" t="s">
        <v>6311</v>
      </c>
      <c r="AS1279" s="227"/>
      <c r="AT1279" s="50" t="s">
        <v>266</v>
      </c>
      <c r="AU1279" s="48">
        <v>6</v>
      </c>
      <c r="AV1279" s="48">
        <v>120</v>
      </c>
      <c r="AW1279" s="48">
        <v>114</v>
      </c>
      <c r="AX1279" s="48">
        <v>28</v>
      </c>
      <c r="AY1279" s="48" t="s">
        <v>8728</v>
      </c>
      <c r="AZ1279" s="48" t="s">
        <v>1563</v>
      </c>
      <c r="BA1279" s="48">
        <v>32</v>
      </c>
      <c r="BB1279" s="47" t="s">
        <v>2485</v>
      </c>
      <c r="BC1279" s="47" t="s">
        <v>8726</v>
      </c>
      <c r="BD1279" s="47" t="s">
        <v>8374</v>
      </c>
      <c r="BE1279" s="48" t="s">
        <v>2449</v>
      </c>
      <c r="BF1279" s="48" t="s">
        <v>272</v>
      </c>
      <c r="BG1279" s="48" t="s">
        <v>272</v>
      </c>
      <c r="BH1279" s="48" t="s">
        <v>2486</v>
      </c>
      <c r="BI1279" s="98">
        <v>6.3999999999999997E-6</v>
      </c>
      <c r="BJ1279" s="98">
        <v>6.4000000000000001E-2</v>
      </c>
      <c r="BK1279" s="48"/>
      <c r="BL1279" s="98">
        <f t="shared" si="330"/>
        <v>1658.0896179671047</v>
      </c>
      <c r="BM1279" s="47" t="s">
        <v>2487</v>
      </c>
      <c r="BN1279" s="48"/>
      <c r="BO1279" s="48"/>
      <c r="BP1279" s="48"/>
      <c r="BQ1279" s="48"/>
      <c r="BR1279" s="47" t="s">
        <v>2496</v>
      </c>
      <c r="BS1279" s="48"/>
      <c r="BT1279" s="48"/>
      <c r="BU1279" s="228">
        <v>6.4000000000000005E-4</v>
      </c>
      <c r="BV1279" s="48"/>
      <c r="BW1279" s="48"/>
      <c r="BX1279" s="48"/>
      <c r="BY1279" s="48"/>
      <c r="BZ1279" s="48"/>
      <c r="CA1279" s="48"/>
      <c r="CB1279" s="48"/>
      <c r="CC1279" s="48"/>
      <c r="CD1279" s="48"/>
      <c r="CE1279" s="48"/>
      <c r="CF1279" s="48"/>
      <c r="CG1279" s="48"/>
      <c r="CH1279" s="48"/>
      <c r="CI1279" s="98"/>
      <c r="CJ1279" s="98"/>
      <c r="CK1279" s="49">
        <f t="shared" si="328"/>
        <v>25907.650280736008</v>
      </c>
      <c r="CL1279" s="229"/>
      <c r="CM1279" s="229"/>
      <c r="CN1279" s="229"/>
      <c r="CO1279" s="47" t="s">
        <v>2488</v>
      </c>
      <c r="CP1279" s="47" t="s">
        <v>2489</v>
      </c>
      <c r="CQ1279" s="224" t="s">
        <v>272</v>
      </c>
      <c r="CR1279" s="224"/>
      <c r="CS1279" s="230" t="s">
        <v>539</v>
      </c>
      <c r="CT1279" s="230"/>
      <c r="CU1279" s="230"/>
      <c r="CV1279" s="335">
        <f t="shared" si="329"/>
        <v>116526.21373704229</v>
      </c>
      <c r="CW1279" s="230">
        <f t="shared" ref="CW1279:CW1342" si="337">IF(CV1279&lt;1,0,1)</f>
        <v>1</v>
      </c>
      <c r="CX1279" s="336"/>
      <c r="CY1279" s="230" t="s">
        <v>6351</v>
      </c>
    </row>
    <row r="1280" spans="1:103" ht="11.25" customHeight="1" x14ac:dyDescent="0.2">
      <c r="A1280" s="72">
        <v>1278</v>
      </c>
      <c r="B1280" s="224">
        <v>409</v>
      </c>
      <c r="C1280" s="46" t="s">
        <v>7393</v>
      </c>
      <c r="D1280" s="46"/>
      <c r="E1280" s="114"/>
      <c r="F1280" s="114" t="s">
        <v>3297</v>
      </c>
      <c r="G1280" s="225">
        <v>6923224</v>
      </c>
      <c r="H1280" s="47" t="s">
        <v>3298</v>
      </c>
      <c r="I1280" s="47" t="s">
        <v>3298</v>
      </c>
      <c r="J1280" s="47" t="s">
        <v>3299</v>
      </c>
      <c r="K1280" s="47" t="s">
        <v>3300</v>
      </c>
      <c r="L1280" s="47" t="s">
        <v>617</v>
      </c>
      <c r="M1280" s="47" t="s">
        <v>946</v>
      </c>
      <c r="N1280" s="47"/>
      <c r="O1280" s="47" t="s">
        <v>918</v>
      </c>
      <c r="P1280" s="53"/>
      <c r="Q1280" s="53"/>
      <c r="R1280" s="53"/>
      <c r="S1280" s="53"/>
      <c r="T1280" s="48">
        <v>223.16</v>
      </c>
      <c r="U1280" s="98">
        <v>4481.0898010396131</v>
      </c>
      <c r="V1280" s="98">
        <v>219.8870765370138</v>
      </c>
      <c r="W1280" s="98">
        <v>870.96358995608057</v>
      </c>
      <c r="X1280" s="98">
        <v>4481.0898010396131</v>
      </c>
      <c r="Y1280" s="233">
        <v>6.54</v>
      </c>
      <c r="Z1280" s="48">
        <v>-0.31</v>
      </c>
      <c r="AA1280" s="48">
        <v>-0.2</v>
      </c>
      <c r="AB1280" s="48">
        <v>-0.35</v>
      </c>
      <c r="AC1280" s="48">
        <v>0.79049999999999998</v>
      </c>
      <c r="AD1280" s="48">
        <v>-0.38</v>
      </c>
      <c r="AE1280" s="48">
        <v>-0.45</v>
      </c>
      <c r="AF1280" s="48">
        <f t="shared" si="334"/>
        <v>-0.2</v>
      </c>
      <c r="AG1280" s="49">
        <v>-0.03</v>
      </c>
      <c r="AH1280" s="98">
        <v>5.45E-13</v>
      </c>
      <c r="AI1280" s="98">
        <v>6.4999999999999996E-13</v>
      </c>
      <c r="AJ1280" s="483">
        <f t="shared" si="335"/>
        <v>-10.65216982403601</v>
      </c>
      <c r="AK1280" s="483">
        <f>LOG10(AI1280*1000/(0.08206*298.15))</f>
        <v>-10.575652969669797</v>
      </c>
      <c r="AL1280" s="483">
        <f t="shared" si="336"/>
        <v>-10.575652969669797</v>
      </c>
      <c r="AM1280" s="483">
        <v>-15.405339999999999</v>
      </c>
      <c r="AN1280" s="226">
        <v>-7.18</v>
      </c>
      <c r="AO1280" s="484">
        <v>13.06</v>
      </c>
      <c r="AP1280" s="484">
        <v>-1.3</v>
      </c>
      <c r="AQ1280" s="226" t="s">
        <v>6314</v>
      </c>
      <c r="AR1280" s="226" t="s">
        <v>6314</v>
      </c>
      <c r="AS1280" s="224" t="s">
        <v>6</v>
      </c>
      <c r="AT1280" s="50" t="s">
        <v>266</v>
      </c>
      <c r="AU1280" s="48">
        <v>8</v>
      </c>
      <c r="AV1280" s="48">
        <v>144</v>
      </c>
      <c r="AW1280" s="48">
        <v>120</v>
      </c>
      <c r="AX1280" s="48">
        <v>26</v>
      </c>
      <c r="AY1280" s="48" t="s">
        <v>267</v>
      </c>
      <c r="AZ1280" s="48" t="s">
        <v>2253</v>
      </c>
      <c r="BA1280" s="48">
        <v>2</v>
      </c>
      <c r="BB1280" s="47" t="s">
        <v>2254</v>
      </c>
      <c r="BC1280" s="47" t="s">
        <v>270</v>
      </c>
      <c r="BD1280" s="47" t="s">
        <v>8374</v>
      </c>
      <c r="BE1280" s="48" t="s">
        <v>1712</v>
      </c>
      <c r="BF1280" s="48" t="s">
        <v>272</v>
      </c>
      <c r="BG1280" s="48" t="s">
        <v>272</v>
      </c>
      <c r="BH1280" s="48" t="s">
        <v>2255</v>
      </c>
      <c r="BI1280" s="98">
        <v>9.9999999999999995E-7</v>
      </c>
      <c r="BJ1280" s="98">
        <v>0.08</v>
      </c>
      <c r="BK1280" s="48"/>
      <c r="BL1280" s="98">
        <f t="shared" si="330"/>
        <v>97.546344709092068</v>
      </c>
      <c r="BM1280" s="48" t="s">
        <v>891</v>
      </c>
      <c r="BN1280" s="233"/>
      <c r="BO1280" s="233"/>
      <c r="BP1280" s="233"/>
      <c r="BQ1280" s="233"/>
      <c r="BR1280" s="233"/>
      <c r="BS1280" s="48"/>
      <c r="BT1280" s="233"/>
      <c r="BU1280" s="228"/>
      <c r="BV1280" s="233"/>
      <c r="BW1280" s="233"/>
      <c r="BX1280" s="233"/>
      <c r="BY1280" s="233"/>
      <c r="BZ1280" s="233"/>
      <c r="CA1280" s="233"/>
      <c r="CB1280" s="233"/>
      <c r="CC1280" s="48"/>
      <c r="CD1280" s="48"/>
      <c r="CE1280" s="48"/>
      <c r="CF1280" s="48"/>
      <c r="CG1280" s="233"/>
      <c r="CH1280" s="48"/>
      <c r="CI1280" s="98"/>
      <c r="CJ1280" s="98"/>
      <c r="CK1280" s="49">
        <f t="shared" si="328"/>
        <v>1219.3293088636508</v>
      </c>
      <c r="CL1280" s="229"/>
      <c r="CM1280" s="229"/>
      <c r="CN1280" s="229"/>
      <c r="CO1280" s="47" t="s">
        <v>892</v>
      </c>
      <c r="CP1280" s="47" t="s">
        <v>893</v>
      </c>
      <c r="CQ1280" s="224">
        <v>-1.3623871653309598</v>
      </c>
      <c r="CR1280" s="224">
        <f>10^(CJ1280-CQ1280)</f>
        <v>23.034944241306974</v>
      </c>
      <c r="CS1280" s="230" t="s">
        <v>539</v>
      </c>
      <c r="CT1280" s="230"/>
      <c r="CU1280" s="230"/>
      <c r="CV1280" s="335">
        <f t="shared" si="329"/>
        <v>56013.622512995164</v>
      </c>
      <c r="CW1280" s="230">
        <f t="shared" si="337"/>
        <v>1</v>
      </c>
      <c r="CX1280" s="336" t="s">
        <v>539</v>
      </c>
      <c r="CY1280" s="230" t="s">
        <v>5921</v>
      </c>
    </row>
    <row r="1281" spans="1:103" ht="11.25" customHeight="1" x14ac:dyDescent="0.2">
      <c r="A1281" s="72">
        <v>1279</v>
      </c>
      <c r="B1281" s="224">
        <v>1196</v>
      </c>
      <c r="C1281" s="46" t="s">
        <v>7393</v>
      </c>
      <c r="D1281" s="46"/>
      <c r="E1281" s="114"/>
      <c r="F1281" s="114" t="s">
        <v>3297</v>
      </c>
      <c r="G1281" s="225">
        <v>6923224</v>
      </c>
      <c r="H1281" s="47" t="s">
        <v>3298</v>
      </c>
      <c r="I1281" s="47" t="s">
        <v>3298</v>
      </c>
      <c r="J1281" s="47" t="s">
        <v>3299</v>
      </c>
      <c r="K1281" s="47" t="s">
        <v>3300</v>
      </c>
      <c r="L1281" s="47" t="s">
        <v>617</v>
      </c>
      <c r="M1281" s="47" t="s">
        <v>946</v>
      </c>
      <c r="N1281" s="47"/>
      <c r="O1281" s="47" t="s">
        <v>918</v>
      </c>
      <c r="P1281" s="53"/>
      <c r="Q1281" s="53"/>
      <c r="R1281" s="53"/>
      <c r="S1281" s="53"/>
      <c r="T1281" s="48">
        <v>223.16</v>
      </c>
      <c r="U1281" s="98">
        <v>4481.0898010396131</v>
      </c>
      <c r="V1281" s="98">
        <v>219.8870765370138</v>
      </c>
      <c r="W1281" s="98">
        <v>870.96358995608057</v>
      </c>
      <c r="X1281" s="98">
        <v>4481.0898010396131</v>
      </c>
      <c r="Y1281" s="233">
        <v>6.54</v>
      </c>
      <c r="Z1281" s="48">
        <v>-0.31</v>
      </c>
      <c r="AA1281" s="48">
        <v>-0.2</v>
      </c>
      <c r="AB1281" s="48">
        <v>-0.35</v>
      </c>
      <c r="AC1281" s="48">
        <v>0.79049999999999998</v>
      </c>
      <c r="AD1281" s="48">
        <v>-0.38</v>
      </c>
      <c r="AE1281" s="48">
        <v>-0.45</v>
      </c>
      <c r="AF1281" s="48">
        <f t="shared" si="334"/>
        <v>-0.2</v>
      </c>
      <c r="AG1281" s="49">
        <v>-0.03</v>
      </c>
      <c r="AH1281" s="98">
        <v>5.45E-13</v>
      </c>
      <c r="AI1281" s="98">
        <v>6.4999999999999996E-13</v>
      </c>
      <c r="AJ1281" s="483">
        <f t="shared" si="335"/>
        <v>-10.65216982403601</v>
      </c>
      <c r="AK1281" s="483">
        <f>LOG10(AI1281*1000/(0.08206*298.15))</f>
        <v>-10.575652969669797</v>
      </c>
      <c r="AL1281" s="483">
        <f t="shared" si="336"/>
        <v>-10.575652969669797</v>
      </c>
      <c r="AM1281" s="483">
        <v>-15.405339999999999</v>
      </c>
      <c r="AN1281" s="226">
        <v>-7.18</v>
      </c>
      <c r="AO1281" s="484">
        <v>13.06</v>
      </c>
      <c r="AP1281" s="484">
        <v>-1.3</v>
      </c>
      <c r="AQ1281" s="48" t="s">
        <v>6314</v>
      </c>
      <c r="AR1281" s="48" t="s">
        <v>6314</v>
      </c>
      <c r="AS1281" s="227"/>
      <c r="AT1281" s="50" t="s">
        <v>266</v>
      </c>
      <c r="AU1281" s="48">
        <v>6</v>
      </c>
      <c r="AV1281" s="48">
        <v>120</v>
      </c>
      <c r="AW1281" s="48">
        <v>114</v>
      </c>
      <c r="AX1281" s="48">
        <v>28</v>
      </c>
      <c r="AY1281" s="48" t="s">
        <v>8728</v>
      </c>
      <c r="AZ1281" s="48" t="s">
        <v>1563</v>
      </c>
      <c r="BA1281" s="48">
        <v>32</v>
      </c>
      <c r="BB1281" s="47" t="s">
        <v>2485</v>
      </c>
      <c r="BC1281" s="47" t="s">
        <v>8726</v>
      </c>
      <c r="BD1281" s="47" t="s">
        <v>8374</v>
      </c>
      <c r="BE1281" s="48" t="s">
        <v>2449</v>
      </c>
      <c r="BF1281" s="48" t="s">
        <v>272</v>
      </c>
      <c r="BG1281" s="48" t="s">
        <v>272</v>
      </c>
      <c r="BH1281" s="48" t="s">
        <v>2486</v>
      </c>
      <c r="BI1281" s="98">
        <v>6.3999999999999997E-6</v>
      </c>
      <c r="BJ1281" s="98">
        <v>6.4000000000000001E-2</v>
      </c>
      <c r="BK1281" s="48"/>
      <c r="BL1281" s="98">
        <f t="shared" si="330"/>
        <v>97.546344709092068</v>
      </c>
      <c r="BM1281" s="47" t="s">
        <v>2487</v>
      </c>
      <c r="BN1281" s="48"/>
      <c r="BO1281" s="48"/>
      <c r="BP1281" s="48"/>
      <c r="BQ1281" s="48"/>
      <c r="BR1281" s="47" t="s">
        <v>2496</v>
      </c>
      <c r="BS1281" s="48"/>
      <c r="BT1281" s="48"/>
      <c r="BU1281" s="228">
        <v>6.3999999999999997E-5</v>
      </c>
      <c r="BV1281" s="48"/>
      <c r="BW1281" s="48"/>
      <c r="BX1281" s="48"/>
      <c r="BY1281" s="48"/>
      <c r="BZ1281" s="48"/>
      <c r="CA1281" s="48"/>
      <c r="CB1281" s="48"/>
      <c r="CC1281" s="48"/>
      <c r="CD1281" s="48"/>
      <c r="CE1281" s="48"/>
      <c r="CF1281" s="48"/>
      <c r="CG1281" s="48"/>
      <c r="CH1281" s="48"/>
      <c r="CI1281" s="98"/>
      <c r="CJ1281" s="98"/>
      <c r="CK1281" s="49">
        <f t="shared" si="328"/>
        <v>1524.1616360795636</v>
      </c>
      <c r="CL1281" s="229"/>
      <c r="CM1281" s="229"/>
      <c r="CN1281" s="229"/>
      <c r="CO1281" s="47" t="s">
        <v>2488</v>
      </c>
      <c r="CP1281" s="47" t="s">
        <v>2489</v>
      </c>
      <c r="CQ1281" s="224">
        <v>-1.3623871653309598</v>
      </c>
      <c r="CR1281" s="224">
        <f>10^(CJ1281-CQ1281)</f>
        <v>23.034944241306974</v>
      </c>
      <c r="CS1281" s="230" t="s">
        <v>539</v>
      </c>
      <c r="CT1281" s="230"/>
      <c r="CU1281" s="230"/>
      <c r="CV1281" s="335">
        <f t="shared" si="329"/>
        <v>70017.028141243951</v>
      </c>
      <c r="CW1281" s="230">
        <f t="shared" si="337"/>
        <v>1</v>
      </c>
      <c r="CX1281" s="336"/>
      <c r="CY1281" s="230" t="s">
        <v>5921</v>
      </c>
    </row>
    <row r="1282" spans="1:103" ht="11.25" customHeight="1" x14ac:dyDescent="0.2">
      <c r="A1282" s="72">
        <v>1280</v>
      </c>
      <c r="B1282" s="224">
        <v>442</v>
      </c>
      <c r="C1282" s="46" t="s">
        <v>7394</v>
      </c>
      <c r="D1282" s="46"/>
      <c r="E1282" s="114"/>
      <c r="F1282" s="114" t="s">
        <v>3991</v>
      </c>
      <c r="G1282" s="225">
        <v>7287196</v>
      </c>
      <c r="H1282" s="47" t="s">
        <v>3992</v>
      </c>
      <c r="I1282" s="47" t="s">
        <v>3992</v>
      </c>
      <c r="J1282" s="47" t="s">
        <v>3993</v>
      </c>
      <c r="K1282" s="47" t="s">
        <v>940</v>
      </c>
      <c r="L1282" s="47" t="s">
        <v>6051</v>
      </c>
      <c r="M1282" s="47" t="s">
        <v>6082</v>
      </c>
      <c r="N1282" s="47"/>
      <c r="O1282" s="47" t="s">
        <v>6083</v>
      </c>
      <c r="P1282" s="53"/>
      <c r="Q1282" s="53"/>
      <c r="R1282" s="53"/>
      <c r="S1282" s="53"/>
      <c r="T1282" s="48">
        <v>241.36</v>
      </c>
      <c r="U1282" s="98">
        <v>0.13672522373218429</v>
      </c>
      <c r="V1282" s="98">
        <v>0.11000165727543917</v>
      </c>
      <c r="W1282" s="98">
        <v>0.28840315031266012</v>
      </c>
      <c r="X1282" s="98">
        <v>0.13672522373218429</v>
      </c>
      <c r="Y1282" s="233">
        <v>7.29</v>
      </c>
      <c r="Z1282" s="48">
        <v>3.73</v>
      </c>
      <c r="AA1282" s="48">
        <v>3.51</v>
      </c>
      <c r="AB1282" s="48">
        <v>3.38</v>
      </c>
      <c r="AC1282" s="48">
        <v>0.87580000000000002</v>
      </c>
      <c r="AD1282" s="48">
        <v>3.4</v>
      </c>
      <c r="AE1282" s="48">
        <v>3.44</v>
      </c>
      <c r="AF1282" s="48">
        <f t="shared" si="334"/>
        <v>3.51</v>
      </c>
      <c r="AG1282" s="49">
        <v>2.9</v>
      </c>
      <c r="AH1282" s="98">
        <v>9.0900000000000007E-9</v>
      </c>
      <c r="AI1282" s="98">
        <v>1.1900000000000001E-8</v>
      </c>
      <c r="AJ1282" s="483">
        <f t="shared" si="335"/>
        <v>-6.4300024430906841</v>
      </c>
      <c r="AK1282" s="483">
        <f>LOG10(AI1282*1000/(0.08206*298.15))</f>
        <v>-6.3130193649201214</v>
      </c>
      <c r="AL1282" s="483">
        <f t="shared" si="336"/>
        <v>-6.3130193649201214</v>
      </c>
      <c r="AM1282" s="483">
        <v>-11.675140000000001</v>
      </c>
      <c r="AN1282" s="226">
        <v>-9.02</v>
      </c>
      <c r="AO1282" s="484"/>
      <c r="AP1282" s="484">
        <v>3.76</v>
      </c>
      <c r="AQ1282" s="226" t="s">
        <v>6311</v>
      </c>
      <c r="AR1282" s="226" t="s">
        <v>6311</v>
      </c>
      <c r="AS1282" s="224" t="s">
        <v>6</v>
      </c>
      <c r="AT1282" s="50" t="s">
        <v>266</v>
      </c>
      <c r="AU1282" s="48">
        <v>8</v>
      </c>
      <c r="AV1282" s="48">
        <v>144</v>
      </c>
      <c r="AW1282" s="48">
        <v>120</v>
      </c>
      <c r="AX1282" s="48">
        <v>26</v>
      </c>
      <c r="AY1282" s="48" t="s">
        <v>267</v>
      </c>
      <c r="AZ1282" s="48" t="s">
        <v>2253</v>
      </c>
      <c r="BA1282" s="48">
        <v>2</v>
      </c>
      <c r="BB1282" s="47" t="s">
        <v>2254</v>
      </c>
      <c r="BC1282" s="47" t="s">
        <v>270</v>
      </c>
      <c r="BD1282" s="47" t="s">
        <v>8374</v>
      </c>
      <c r="BE1282" s="48" t="s">
        <v>1712</v>
      </c>
      <c r="BF1282" s="48" t="s">
        <v>272</v>
      </c>
      <c r="BG1282" s="48" t="s">
        <v>272</v>
      </c>
      <c r="BH1282" s="48" t="s">
        <v>2255</v>
      </c>
      <c r="BI1282" s="98">
        <v>9.9999999999999995E-7</v>
      </c>
      <c r="BJ1282" s="98">
        <v>0.08</v>
      </c>
      <c r="BK1282" s="48"/>
      <c r="BL1282" s="98">
        <f t="shared" si="330"/>
        <v>2.2955512860559066E-2</v>
      </c>
      <c r="BM1282" s="48" t="s">
        <v>891</v>
      </c>
      <c r="BN1282" s="233"/>
      <c r="BO1282" s="233"/>
      <c r="BP1282" s="233"/>
      <c r="BQ1282" s="233"/>
      <c r="BR1282" s="233"/>
      <c r="BS1282" s="48"/>
      <c r="BT1282" s="233"/>
      <c r="BU1282" s="228"/>
      <c r="BV1282" s="233"/>
      <c r="BW1282" s="233"/>
      <c r="BX1282" s="233"/>
      <c r="BY1282" s="233"/>
      <c r="BZ1282" s="233"/>
      <c r="CA1282" s="233"/>
      <c r="CB1282" s="233"/>
      <c r="CC1282" s="48"/>
      <c r="CD1282" s="48"/>
      <c r="CE1282" s="48"/>
      <c r="CF1282" s="48"/>
      <c r="CG1282" s="233"/>
      <c r="CH1282" s="48"/>
      <c r="CI1282" s="98"/>
      <c r="CJ1282" s="98"/>
      <c r="CK1282" s="49">
        <f t="shared" si="328"/>
        <v>0.28694391075698833</v>
      </c>
      <c r="CL1282" s="229"/>
      <c r="CM1282" s="229"/>
      <c r="CN1282" s="229"/>
      <c r="CO1282" s="47" t="s">
        <v>892</v>
      </c>
      <c r="CP1282" s="47" t="s">
        <v>893</v>
      </c>
      <c r="CQ1282" s="224">
        <v>-1.6834523599044604</v>
      </c>
      <c r="CR1282" s="224">
        <f>10^(CJ1282-CQ1282)</f>
        <v>48.245005461783506</v>
      </c>
      <c r="CS1282" s="230" t="s">
        <v>539</v>
      </c>
      <c r="CT1282" s="230"/>
      <c r="CU1282" s="230"/>
      <c r="CV1282" s="335">
        <f t="shared" si="329"/>
        <v>1.7090652966523037</v>
      </c>
      <c r="CW1282" s="230">
        <f t="shared" si="337"/>
        <v>1</v>
      </c>
      <c r="CX1282" s="336" t="s">
        <v>539</v>
      </c>
      <c r="CY1282" s="230" t="s">
        <v>5921</v>
      </c>
    </row>
    <row r="1283" spans="1:103" ht="11.25" customHeight="1" x14ac:dyDescent="0.2">
      <c r="A1283" s="72">
        <v>1281</v>
      </c>
      <c r="B1283" s="224">
        <v>1830</v>
      </c>
      <c r="C1283" s="46" t="s">
        <v>7394</v>
      </c>
      <c r="D1283" s="46"/>
      <c r="E1283" s="114"/>
      <c r="F1283" s="114" t="s">
        <v>3991</v>
      </c>
      <c r="G1283" s="225">
        <v>7287196</v>
      </c>
      <c r="H1283" s="47" t="s">
        <v>3992</v>
      </c>
      <c r="I1283" s="47" t="s">
        <v>3992</v>
      </c>
      <c r="J1283" s="47" t="s">
        <v>5223</v>
      </c>
      <c r="K1283" s="47" t="s">
        <v>940</v>
      </c>
      <c r="L1283" s="47" t="s">
        <v>6051</v>
      </c>
      <c r="M1283" s="47" t="s">
        <v>5960</v>
      </c>
      <c r="N1283" s="47"/>
      <c r="O1283" s="47"/>
      <c r="P1283" s="53" t="s">
        <v>6178</v>
      </c>
      <c r="Q1283" s="53" t="s">
        <v>6176</v>
      </c>
      <c r="R1283" s="53" t="s">
        <v>6177</v>
      </c>
      <c r="S1283" s="53" t="s">
        <v>6173</v>
      </c>
      <c r="T1283" s="48">
        <v>241.36</v>
      </c>
      <c r="U1283" s="98">
        <v>0.13672522373218429</v>
      </c>
      <c r="V1283" s="98">
        <v>0.11000165727543917</v>
      </c>
      <c r="W1283" s="98">
        <v>0.28840315031266012</v>
      </c>
      <c r="X1283" s="98">
        <v>0.13672522373218429</v>
      </c>
      <c r="Y1283" s="233">
        <v>7.29</v>
      </c>
      <c r="Z1283" s="48">
        <v>3.73</v>
      </c>
      <c r="AA1283" s="48">
        <v>3.51</v>
      </c>
      <c r="AB1283" s="48">
        <v>3.38</v>
      </c>
      <c r="AC1283" s="48">
        <v>0.87580000000000002</v>
      </c>
      <c r="AD1283" s="48">
        <v>3.4</v>
      </c>
      <c r="AE1283" s="48">
        <v>3.44</v>
      </c>
      <c r="AF1283" s="48">
        <f t="shared" si="334"/>
        <v>3.51</v>
      </c>
      <c r="AG1283" s="49">
        <v>2.54</v>
      </c>
      <c r="AH1283" s="98">
        <v>9.0900000000000007E-9</v>
      </c>
      <c r="AI1283" s="98">
        <v>1.1900000000000001E-8</v>
      </c>
      <c r="AJ1283" s="483">
        <f t="shared" si="335"/>
        <v>-6.4300024430906841</v>
      </c>
      <c r="AK1283" s="483">
        <f>LOG10(AI1283*1000/(0.08206*298.15))</f>
        <v>-6.3130193649201214</v>
      </c>
      <c r="AL1283" s="483">
        <f t="shared" si="336"/>
        <v>-6.3130193649201214</v>
      </c>
      <c r="AM1283" s="483">
        <v>-11.675140000000001</v>
      </c>
      <c r="AN1283" s="226">
        <v>-6.3</v>
      </c>
      <c r="AO1283" s="484"/>
      <c r="AP1283" s="484">
        <v>3.76</v>
      </c>
      <c r="AQ1283" s="226" t="s">
        <v>6311</v>
      </c>
      <c r="AR1283" s="226" t="s">
        <v>6311</v>
      </c>
      <c r="AS1283" s="224"/>
      <c r="AT1283" s="50" t="s">
        <v>266</v>
      </c>
      <c r="AU1283" s="48">
        <v>6</v>
      </c>
      <c r="AV1283" s="48">
        <v>120</v>
      </c>
      <c r="AW1283" s="48">
        <v>114</v>
      </c>
      <c r="AX1283" s="48">
        <v>28</v>
      </c>
      <c r="AY1283" s="48" t="s">
        <v>8728</v>
      </c>
      <c r="AZ1283" s="48" t="s">
        <v>1563</v>
      </c>
      <c r="BA1283" s="48">
        <v>32</v>
      </c>
      <c r="BB1283" s="47" t="s">
        <v>2485</v>
      </c>
      <c r="BC1283" s="47" t="s">
        <v>8726</v>
      </c>
      <c r="BD1283" s="47" t="s">
        <v>8374</v>
      </c>
      <c r="BE1283" s="48" t="s">
        <v>2449</v>
      </c>
      <c r="BF1283" s="48" t="s">
        <v>272</v>
      </c>
      <c r="BG1283" s="48" t="s">
        <v>272</v>
      </c>
      <c r="BH1283" s="48" t="s">
        <v>2486</v>
      </c>
      <c r="BI1283" s="98">
        <v>6.3999999999999997E-6</v>
      </c>
      <c r="BJ1283" s="98">
        <v>6.4000000000000001E-2</v>
      </c>
      <c r="BK1283" s="48"/>
      <c r="BL1283" s="98">
        <f t="shared" si="330"/>
        <v>2.2955512860559066E-2</v>
      </c>
      <c r="BM1283" s="47" t="s">
        <v>2487</v>
      </c>
      <c r="BN1283" s="48"/>
      <c r="BO1283" s="48"/>
      <c r="BP1283" s="48"/>
      <c r="BQ1283" s="48"/>
      <c r="BR1283" s="47" t="s">
        <v>2496</v>
      </c>
      <c r="BS1283" s="48"/>
      <c r="BT1283" s="48"/>
      <c r="BU1283" s="228"/>
      <c r="BV1283" s="48"/>
      <c r="BW1283" s="48"/>
      <c r="BX1283" s="48"/>
      <c r="BY1283" s="48"/>
      <c r="BZ1283" s="48"/>
      <c r="CA1283" s="48"/>
      <c r="CB1283" s="48"/>
      <c r="CC1283" s="48"/>
      <c r="CD1283" s="48"/>
      <c r="CE1283" s="48"/>
      <c r="CF1283" s="48"/>
      <c r="CG1283" s="48"/>
      <c r="CH1283" s="48"/>
      <c r="CI1283" s="98"/>
      <c r="CJ1283" s="98"/>
      <c r="CK1283" s="49">
        <f t="shared" si="328"/>
        <v>0.35867988844623538</v>
      </c>
      <c r="CL1283" s="229"/>
      <c r="CM1283" s="229"/>
      <c r="CN1283" s="229"/>
      <c r="CO1283" s="47" t="s">
        <v>2488</v>
      </c>
      <c r="CP1283" s="47" t="s">
        <v>2489</v>
      </c>
      <c r="CQ1283" s="224">
        <v>-1.6834523599044604</v>
      </c>
      <c r="CR1283" s="224">
        <f>10^(CJ1283-CQ1283)</f>
        <v>48.245005461783506</v>
      </c>
      <c r="CS1283" s="230" t="s">
        <v>539</v>
      </c>
      <c r="CT1283" s="230"/>
      <c r="CU1283" s="230"/>
      <c r="CV1283" s="335">
        <f t="shared" si="329"/>
        <v>2.1363316208153793</v>
      </c>
      <c r="CW1283" s="230">
        <f t="shared" si="337"/>
        <v>1</v>
      </c>
      <c r="CX1283" s="336"/>
      <c r="CY1283" s="230" t="s">
        <v>5921</v>
      </c>
    </row>
    <row r="1284" spans="1:103" ht="11.25" customHeight="1" x14ac:dyDescent="0.2">
      <c r="A1284" s="72">
        <v>1282</v>
      </c>
      <c r="B1284" s="224">
        <v>1786</v>
      </c>
      <c r="C1284" s="46" t="s">
        <v>7395</v>
      </c>
      <c r="D1284" s="46"/>
      <c r="E1284" s="114"/>
      <c r="F1284" s="114" t="s">
        <v>5135</v>
      </c>
      <c r="G1284" s="225">
        <v>7378996</v>
      </c>
      <c r="H1284" s="47" t="s">
        <v>5136</v>
      </c>
      <c r="I1284" s="47" t="s">
        <v>5136</v>
      </c>
      <c r="J1284" s="47" t="s">
        <v>5137</v>
      </c>
      <c r="K1284" s="47" t="s">
        <v>300</v>
      </c>
      <c r="L1284" s="47"/>
      <c r="M1284" s="47"/>
      <c r="N1284" s="47"/>
      <c r="O1284" s="47"/>
      <c r="P1284" s="53"/>
      <c r="Q1284" s="53"/>
      <c r="R1284" s="53"/>
      <c r="S1284" s="53"/>
      <c r="T1284" s="48">
        <v>157.30000000000001</v>
      </c>
      <c r="U1284" s="98"/>
      <c r="V1284" s="98">
        <v>4.8989192625556264</v>
      </c>
      <c r="W1284" s="98">
        <v>9.3325430079699103</v>
      </c>
      <c r="X1284" s="98">
        <f>IF(W1284=0,V1284,W1284)</f>
        <v>9.3325430079699103</v>
      </c>
      <c r="Y1284" s="233">
        <v>10.9</v>
      </c>
      <c r="Z1284" s="48">
        <v>3.48</v>
      </c>
      <c r="AA1284" s="48"/>
      <c r="AB1284" s="48">
        <v>3.83</v>
      </c>
      <c r="AC1284" s="48">
        <v>0.88819999999999999</v>
      </c>
      <c r="AD1284" s="48">
        <v>3.81</v>
      </c>
      <c r="AE1284" s="48">
        <v>3.78</v>
      </c>
      <c r="AF1284" s="48">
        <f t="shared" si="334"/>
        <v>3.81</v>
      </c>
      <c r="AG1284" s="49">
        <v>3.3</v>
      </c>
      <c r="AH1284" s="98">
        <v>2.6499999999999999E-4</v>
      </c>
      <c r="AI1284" s="98"/>
      <c r="AJ1284" s="483">
        <f t="shared" si="335"/>
        <v>-1.9653204523758439</v>
      </c>
      <c r="AK1284" s="483"/>
      <c r="AL1284" s="483">
        <f t="shared" si="336"/>
        <v>-1.9653204523758439</v>
      </c>
      <c r="AM1284" s="483">
        <v>-3.6664200000000005</v>
      </c>
      <c r="AN1284" s="226">
        <v>-1.38</v>
      </c>
      <c r="AO1284" s="484"/>
      <c r="AP1284" s="484">
        <v>9.86</v>
      </c>
      <c r="AQ1284" s="226" t="s">
        <v>6311</v>
      </c>
      <c r="AR1284" s="226" t="s">
        <v>6311</v>
      </c>
      <c r="AS1284" s="224"/>
      <c r="AT1284" s="50" t="s">
        <v>266</v>
      </c>
      <c r="AU1284" s="48">
        <v>6</v>
      </c>
      <c r="AV1284" s="48">
        <v>120</v>
      </c>
      <c r="AW1284" s="48">
        <v>114</v>
      </c>
      <c r="AX1284" s="48">
        <v>28</v>
      </c>
      <c r="AY1284" s="48" t="s">
        <v>8728</v>
      </c>
      <c r="AZ1284" s="48" t="s">
        <v>1563</v>
      </c>
      <c r="BA1284" s="48">
        <v>32</v>
      </c>
      <c r="BB1284" s="47" t="s">
        <v>2485</v>
      </c>
      <c r="BC1284" s="47" t="s">
        <v>8726</v>
      </c>
      <c r="BD1284" s="47" t="s">
        <v>8374</v>
      </c>
      <c r="BE1284" s="48" t="s">
        <v>2449</v>
      </c>
      <c r="BF1284" s="48" t="s">
        <v>272</v>
      </c>
      <c r="BG1284" s="48" t="s">
        <v>272</v>
      </c>
      <c r="BH1284" s="48" t="s">
        <v>2486</v>
      </c>
      <c r="BI1284" s="98">
        <v>6.3999999999999997E-6</v>
      </c>
      <c r="BJ1284" s="98">
        <v>6.4000000000000001E-2</v>
      </c>
      <c r="BK1284" s="48"/>
      <c r="BL1284" s="98">
        <f t="shared" si="330"/>
        <v>3.8495680394507972E-2</v>
      </c>
      <c r="BM1284" s="47" t="s">
        <v>2487</v>
      </c>
      <c r="BN1284" s="48"/>
      <c r="BO1284" s="48"/>
      <c r="BP1284" s="48"/>
      <c r="BQ1284" s="48"/>
      <c r="BR1284" s="47" t="s">
        <v>2496</v>
      </c>
      <c r="BS1284" s="48"/>
      <c r="BT1284" s="48"/>
      <c r="BU1284" s="228"/>
      <c r="BV1284" s="48"/>
      <c r="BW1284" s="48"/>
      <c r="BX1284" s="48"/>
      <c r="BY1284" s="48"/>
      <c r="BZ1284" s="48"/>
      <c r="CA1284" s="48"/>
      <c r="CB1284" s="48"/>
      <c r="CC1284" s="48"/>
      <c r="CD1284" s="48"/>
      <c r="CE1284" s="48"/>
      <c r="CF1284" s="48"/>
      <c r="CG1284" s="48"/>
      <c r="CH1284" s="48"/>
      <c r="CI1284" s="98"/>
      <c r="CJ1284" s="98"/>
      <c r="CK1284" s="49">
        <f t="shared" si="328"/>
        <v>0.60149500616418705</v>
      </c>
      <c r="CL1284" s="229"/>
      <c r="CM1284" s="229"/>
      <c r="CN1284" s="229"/>
      <c r="CO1284" s="47" t="s">
        <v>2488</v>
      </c>
      <c r="CP1284" s="47" t="s">
        <v>2489</v>
      </c>
      <c r="CQ1284" s="224" t="s">
        <v>272</v>
      </c>
      <c r="CR1284" s="224"/>
      <c r="CS1284" s="230" t="s">
        <v>539</v>
      </c>
      <c r="CT1284" s="230"/>
      <c r="CU1284" s="230"/>
      <c r="CV1284" s="335">
        <f t="shared" si="329"/>
        <v>145.82098449952986</v>
      </c>
      <c r="CW1284" s="230">
        <f t="shared" si="337"/>
        <v>1</v>
      </c>
      <c r="CX1284" s="336"/>
      <c r="CY1284" s="230" t="s">
        <v>6351</v>
      </c>
    </row>
    <row r="1285" spans="1:103" ht="11.25" customHeight="1" x14ac:dyDescent="0.2">
      <c r="A1285" s="72">
        <v>1283</v>
      </c>
      <c r="B1285" s="224">
        <v>1892</v>
      </c>
      <c r="C1285" s="46" t="s">
        <v>1482</v>
      </c>
      <c r="D1285" s="46"/>
      <c r="E1285" s="114"/>
      <c r="F1285" s="114" t="s">
        <v>1483</v>
      </c>
      <c r="G1285" s="225">
        <v>7696120</v>
      </c>
      <c r="H1285" s="47" t="s">
        <v>1484</v>
      </c>
      <c r="I1285" s="47" t="s">
        <v>1484</v>
      </c>
      <c r="J1285" s="47" t="s">
        <v>1485</v>
      </c>
      <c r="K1285" s="47" t="s">
        <v>1486</v>
      </c>
      <c r="L1285" s="47" t="s">
        <v>617</v>
      </c>
      <c r="M1285" s="47" t="s">
        <v>1086</v>
      </c>
      <c r="N1285" s="47" t="s">
        <v>6376</v>
      </c>
      <c r="O1285" s="47" t="s">
        <v>918</v>
      </c>
      <c r="P1285" s="53"/>
      <c r="Q1285" s="53"/>
      <c r="R1285" s="53"/>
      <c r="S1285" s="53"/>
      <c r="T1285" s="48">
        <v>331.41</v>
      </c>
      <c r="U1285" s="98">
        <v>5.521861138770707E-3</v>
      </c>
      <c r="V1285" s="98">
        <v>2.207537491324945E-3</v>
      </c>
      <c r="W1285" s="98">
        <v>1.2302687708123802E-2</v>
      </c>
      <c r="X1285" s="98">
        <v>5.521861138770707E-3</v>
      </c>
      <c r="Y1285" s="233">
        <v>7</v>
      </c>
      <c r="Z1285" s="48">
        <v>5.54</v>
      </c>
      <c r="AA1285" s="48">
        <v>4.7300000000000004</v>
      </c>
      <c r="AB1285" s="48">
        <v>4.41</v>
      </c>
      <c r="AC1285" s="48">
        <v>0.84209999999999996</v>
      </c>
      <c r="AD1285" s="48">
        <v>4.5</v>
      </c>
      <c r="AE1285" s="48">
        <v>4.78</v>
      </c>
      <c r="AF1285" s="48">
        <f t="shared" si="334"/>
        <v>4.7300000000000004</v>
      </c>
      <c r="AG1285" s="49">
        <v>2.65</v>
      </c>
      <c r="AH1285" s="98">
        <v>5.5700000000000004E-9</v>
      </c>
      <c r="AI1285" s="98">
        <v>1.6899999999999999E-6</v>
      </c>
      <c r="AJ1285" s="483">
        <f t="shared" si="335"/>
        <v>-6.6427111311389231</v>
      </c>
      <c r="AK1285" s="483">
        <f>LOG10(AI1285*1000/(0.08206*298.15))</f>
        <v>-4.1606796216989785</v>
      </c>
      <c r="AL1285" s="483">
        <f t="shared" si="336"/>
        <v>-4.1606796216989785</v>
      </c>
      <c r="AM1285" s="483">
        <v>-13.825500000000002</v>
      </c>
      <c r="AN1285" s="226">
        <v>-7.39</v>
      </c>
      <c r="AO1285" s="484"/>
      <c r="AP1285" s="484">
        <v>-2.5499999999999998</v>
      </c>
      <c r="AQ1285" s="226" t="s">
        <v>6311</v>
      </c>
      <c r="AR1285" s="226" t="s">
        <v>6312</v>
      </c>
      <c r="AS1285" s="224"/>
      <c r="AT1285" s="50" t="s">
        <v>266</v>
      </c>
      <c r="AU1285" s="48">
        <v>6</v>
      </c>
      <c r="AV1285" s="48">
        <v>120</v>
      </c>
      <c r="AW1285" s="48">
        <v>114</v>
      </c>
      <c r="AX1285" s="48">
        <v>28</v>
      </c>
      <c r="AY1285" s="48" t="s">
        <v>8728</v>
      </c>
      <c r="AZ1285" s="48" t="s">
        <v>1563</v>
      </c>
      <c r="BA1285" s="48">
        <v>32</v>
      </c>
      <c r="BB1285" s="47" t="s">
        <v>2485</v>
      </c>
      <c r="BC1285" s="47" t="s">
        <v>8726</v>
      </c>
      <c r="BD1285" s="47" t="s">
        <v>8374</v>
      </c>
      <c r="BE1285" s="48" t="s">
        <v>2449</v>
      </c>
      <c r="BF1285" s="48" t="s">
        <v>272</v>
      </c>
      <c r="BG1285" s="48" t="s">
        <v>272</v>
      </c>
      <c r="BH1285" s="48" t="s">
        <v>2486</v>
      </c>
      <c r="BI1285" s="98">
        <v>6.3999999999999997E-6</v>
      </c>
      <c r="BJ1285" s="98">
        <v>6.4000000000000001E-2</v>
      </c>
      <c r="BK1285" s="48"/>
      <c r="BL1285" s="98">
        <f t="shared" si="330"/>
        <v>5.4365827149938876E-4</v>
      </c>
      <c r="BM1285" s="47" t="s">
        <v>2487</v>
      </c>
      <c r="BN1285" s="48"/>
      <c r="BO1285" s="48"/>
      <c r="BP1285" s="48"/>
      <c r="BQ1285" s="48"/>
      <c r="BR1285" s="47" t="s">
        <v>2496</v>
      </c>
      <c r="BS1285" s="48"/>
      <c r="BT1285" s="48"/>
      <c r="BU1285" s="228"/>
      <c r="BV1285" s="48"/>
      <c r="BW1285" s="48"/>
      <c r="BX1285" s="48"/>
      <c r="BY1285" s="48"/>
      <c r="BZ1285" s="48"/>
      <c r="CA1285" s="48"/>
      <c r="CB1285" s="48"/>
      <c r="CC1285" s="48"/>
      <c r="CD1285" s="48"/>
      <c r="CE1285" s="48"/>
      <c r="CF1285" s="48"/>
      <c r="CG1285" s="48"/>
      <c r="CH1285" s="48"/>
      <c r="CI1285" s="98"/>
      <c r="CJ1285" s="98"/>
      <c r="CK1285" s="49">
        <f t="shared" si="328"/>
        <v>8.4946604921779488E-3</v>
      </c>
      <c r="CL1285" s="229"/>
      <c r="CM1285" s="229">
        <v>-4.5751550993276888</v>
      </c>
      <c r="CN1285" s="229">
        <f>BJ1285/(10^CM1285)</f>
        <v>2406.2185654102773</v>
      </c>
      <c r="CO1285" s="47" t="s">
        <v>2488</v>
      </c>
      <c r="CP1285" s="47" t="s">
        <v>2489</v>
      </c>
      <c r="CQ1285" s="224">
        <v>-4.3136996935769929</v>
      </c>
      <c r="CR1285" s="224">
        <f>10^(CJ1285-CQ1285)</f>
        <v>20592.055191729647</v>
      </c>
      <c r="CS1285" s="230" t="s">
        <v>539</v>
      </c>
      <c r="CT1285" s="230"/>
      <c r="CU1285" s="230"/>
      <c r="CV1285" s="335">
        <f t="shared" si="329"/>
        <v>8.6279080293292301E-2</v>
      </c>
      <c r="CW1285" s="230">
        <f t="shared" si="337"/>
        <v>0</v>
      </c>
      <c r="CX1285" s="336"/>
      <c r="CY1285" s="230" t="s">
        <v>5921</v>
      </c>
    </row>
    <row r="1286" spans="1:103" ht="11.25" customHeight="1" x14ac:dyDescent="0.2">
      <c r="A1286" s="72">
        <v>1284</v>
      </c>
      <c r="B1286" s="224">
        <v>1005</v>
      </c>
      <c r="C1286" s="46" t="s">
        <v>7396</v>
      </c>
      <c r="D1286" s="46"/>
      <c r="E1286" s="114"/>
      <c r="F1286" s="114" t="s">
        <v>2870</v>
      </c>
      <c r="G1286" s="225">
        <v>7747355</v>
      </c>
      <c r="H1286" s="47" t="s">
        <v>2871</v>
      </c>
      <c r="I1286" s="47" t="s">
        <v>2871</v>
      </c>
      <c r="J1286" s="47" t="s">
        <v>2872</v>
      </c>
      <c r="K1286" s="47" t="s">
        <v>300</v>
      </c>
      <c r="L1286" s="47" t="s">
        <v>6025</v>
      </c>
      <c r="M1286" s="47" t="s">
        <v>6082</v>
      </c>
      <c r="N1286" s="47" t="s">
        <v>6082</v>
      </c>
      <c r="O1286" s="47" t="s">
        <v>6083</v>
      </c>
      <c r="P1286" s="53"/>
      <c r="Q1286" s="53"/>
      <c r="R1286" s="53"/>
      <c r="S1286" s="53"/>
      <c r="T1286" s="48">
        <v>143.18</v>
      </c>
      <c r="U1286" s="98"/>
      <c r="V1286" s="98">
        <v>2616.2871909484566</v>
      </c>
      <c r="W1286" s="98">
        <v>1122.0184543019636</v>
      </c>
      <c r="X1286" s="98">
        <f>IF(W1286=0,V1286,W1286)</f>
        <v>1122.0184543019636</v>
      </c>
      <c r="Y1286" s="233">
        <v>9.64</v>
      </c>
      <c r="Z1286" s="48">
        <v>0.4</v>
      </c>
      <c r="AA1286" s="48"/>
      <c r="AB1286" s="48">
        <v>0.01</v>
      </c>
      <c r="AC1286" s="48">
        <v>0.60450000000000004</v>
      </c>
      <c r="AD1286" s="48">
        <v>0.16</v>
      </c>
      <c r="AE1286" s="48">
        <v>0.36</v>
      </c>
      <c r="AF1286" s="48">
        <f t="shared" si="334"/>
        <v>0.16</v>
      </c>
      <c r="AG1286" s="49">
        <v>0.54</v>
      </c>
      <c r="AH1286" s="98">
        <v>6.8299999999999996E-7</v>
      </c>
      <c r="AI1286" s="98"/>
      <c r="AJ1286" s="483">
        <f t="shared" si="335"/>
        <v>-4.5541456226311192</v>
      </c>
      <c r="AK1286" s="483"/>
      <c r="AL1286" s="483">
        <f t="shared" si="336"/>
        <v>-4.5541456226311192</v>
      </c>
      <c r="AM1286" s="483">
        <v>-6.9855</v>
      </c>
      <c r="AN1286" s="226">
        <v>-9.35</v>
      </c>
      <c r="AO1286" s="484"/>
      <c r="AP1286" s="484">
        <v>5.23</v>
      </c>
      <c r="AQ1286" s="48" t="s">
        <v>6311</v>
      </c>
      <c r="AR1286" s="48" t="s">
        <v>6311</v>
      </c>
      <c r="AS1286" s="227"/>
      <c r="AT1286" s="50" t="s">
        <v>266</v>
      </c>
      <c r="AU1286" s="48">
        <v>6</v>
      </c>
      <c r="AV1286" s="48">
        <v>120</v>
      </c>
      <c r="AW1286" s="48">
        <v>114</v>
      </c>
      <c r="AX1286" s="48">
        <v>28</v>
      </c>
      <c r="AY1286" s="48" t="s">
        <v>8728</v>
      </c>
      <c r="AZ1286" s="48" t="s">
        <v>1563</v>
      </c>
      <c r="BA1286" s="48">
        <v>32</v>
      </c>
      <c r="BB1286" s="47" t="s">
        <v>2485</v>
      </c>
      <c r="BC1286" s="47" t="s">
        <v>8726</v>
      </c>
      <c r="BD1286" s="47" t="s">
        <v>8374</v>
      </c>
      <c r="BE1286" s="48" t="s">
        <v>2449</v>
      </c>
      <c r="BF1286" s="48" t="s">
        <v>272</v>
      </c>
      <c r="BG1286" s="48" t="s">
        <v>272</v>
      </c>
      <c r="BH1286" s="48" t="s">
        <v>2486</v>
      </c>
      <c r="BI1286" s="98">
        <v>6.3999999999999997E-6</v>
      </c>
      <c r="BJ1286" s="98">
        <v>6.4000000000000001E-2</v>
      </c>
      <c r="BK1286" s="48"/>
      <c r="BL1286" s="98">
        <f t="shared" si="330"/>
        <v>22.467771582864401</v>
      </c>
      <c r="BM1286" s="47" t="s">
        <v>2487</v>
      </c>
      <c r="BN1286" s="48"/>
      <c r="BO1286" s="48"/>
      <c r="BP1286" s="48"/>
      <c r="BQ1286" s="48"/>
      <c r="BR1286" s="47" t="s">
        <v>2496</v>
      </c>
      <c r="BS1286" s="48"/>
      <c r="BT1286" s="48"/>
      <c r="BU1286" s="228">
        <v>6.3999999999999997E-6</v>
      </c>
      <c r="BV1286" s="48"/>
      <c r="BW1286" s="48"/>
      <c r="BX1286" s="48"/>
      <c r="BY1286" s="48"/>
      <c r="BZ1286" s="48"/>
      <c r="CA1286" s="48"/>
      <c r="CB1286" s="48"/>
      <c r="CC1286" s="48"/>
      <c r="CD1286" s="48"/>
      <c r="CE1286" s="48"/>
      <c r="CF1286" s="48"/>
      <c r="CG1286" s="48"/>
      <c r="CH1286" s="48"/>
      <c r="CI1286" s="98"/>
      <c r="CJ1286" s="98"/>
      <c r="CK1286" s="49">
        <f t="shared" ref="CK1286:CK1349" si="338">BL1286/BJ1286</f>
        <v>351.05893098225624</v>
      </c>
      <c r="CL1286" s="229"/>
      <c r="CM1286" s="229"/>
      <c r="CN1286" s="229"/>
      <c r="CO1286" s="47" t="s">
        <v>2488</v>
      </c>
      <c r="CP1286" s="47" t="s">
        <v>2489</v>
      </c>
      <c r="CQ1286" s="224">
        <v>7.3285454914158471E-2</v>
      </c>
      <c r="CR1286" s="224">
        <f>10^(CJ1286-CQ1286)</f>
        <v>0.84472343925512705</v>
      </c>
      <c r="CS1286" s="230" t="s">
        <v>539</v>
      </c>
      <c r="CT1286" s="230"/>
      <c r="CU1286" s="230"/>
      <c r="CV1286" s="335">
        <f t="shared" si="329"/>
        <v>17531.538348468181</v>
      </c>
      <c r="CW1286" s="230">
        <f t="shared" si="337"/>
        <v>1</v>
      </c>
      <c r="CX1286" s="336"/>
      <c r="CY1286" s="230" t="s">
        <v>6351</v>
      </c>
    </row>
    <row r="1287" spans="1:103" ht="11.25" customHeight="1" x14ac:dyDescent="0.2">
      <c r="A1287" s="72">
        <v>1285</v>
      </c>
      <c r="B1287" s="224">
        <v>1865</v>
      </c>
      <c r="C1287" s="46" t="s">
        <v>7397</v>
      </c>
      <c r="D1287" s="46"/>
      <c r="E1287" s="114"/>
      <c r="F1287" s="114" t="s">
        <v>5301</v>
      </c>
      <c r="G1287" s="225">
        <v>7758192</v>
      </c>
      <c r="H1287" s="47" t="s">
        <v>5302</v>
      </c>
      <c r="I1287" s="47" t="s">
        <v>8096</v>
      </c>
      <c r="J1287" s="47"/>
      <c r="K1287" s="47" t="s">
        <v>416</v>
      </c>
      <c r="L1287" s="51"/>
      <c r="M1287" s="47"/>
      <c r="N1287" s="47"/>
      <c r="O1287" s="47"/>
      <c r="P1287" s="53"/>
      <c r="Q1287" s="53"/>
      <c r="R1287" s="53"/>
      <c r="S1287" s="53"/>
      <c r="T1287" s="48">
        <v>68.459999999999994</v>
      </c>
      <c r="U1287" s="98"/>
      <c r="V1287" s="98">
        <v>14607.06982179375</v>
      </c>
      <c r="W1287" s="98"/>
      <c r="X1287" s="98">
        <f>IF(W1287=0,V1287,W1287)</f>
        <v>14607.06982179375</v>
      </c>
      <c r="Y1287" s="233"/>
      <c r="Z1287" s="48">
        <v>-4.63</v>
      </c>
      <c r="AA1287" s="48"/>
      <c r="AB1287" s="48">
        <v>0</v>
      </c>
      <c r="AC1287" s="48">
        <v>0</v>
      </c>
      <c r="AD1287" s="48">
        <v>0</v>
      </c>
      <c r="AE1287" s="48">
        <v>0</v>
      </c>
      <c r="AF1287" s="48"/>
      <c r="AG1287" s="49" t="s">
        <v>5921</v>
      </c>
      <c r="AH1287" s="98"/>
      <c r="AI1287" s="98"/>
      <c r="AJ1287" s="483"/>
      <c r="AK1287" s="483"/>
      <c r="AL1287" s="483"/>
      <c r="AM1287" s="483"/>
      <c r="AN1287" s="226"/>
      <c r="AO1287" s="484"/>
      <c r="AP1287" s="484"/>
      <c r="AQ1287" s="226" t="s">
        <v>6311</v>
      </c>
      <c r="AR1287" s="226" t="s">
        <v>6311</v>
      </c>
      <c r="AS1287" s="224"/>
      <c r="AT1287" s="50" t="s">
        <v>266</v>
      </c>
      <c r="AU1287" s="48">
        <v>6</v>
      </c>
      <c r="AV1287" s="48">
        <v>120</v>
      </c>
      <c r="AW1287" s="48">
        <v>114</v>
      </c>
      <c r="AX1287" s="48">
        <v>28</v>
      </c>
      <c r="AY1287" s="48" t="s">
        <v>8728</v>
      </c>
      <c r="AZ1287" s="48" t="s">
        <v>1563</v>
      </c>
      <c r="BA1287" s="48">
        <v>32</v>
      </c>
      <c r="BB1287" s="47" t="s">
        <v>2485</v>
      </c>
      <c r="BC1287" s="47" t="s">
        <v>8726</v>
      </c>
      <c r="BD1287" s="47" t="s">
        <v>8374</v>
      </c>
      <c r="BE1287" s="48" t="s">
        <v>2449</v>
      </c>
      <c r="BF1287" s="48" t="s">
        <v>272</v>
      </c>
      <c r="BG1287" s="48" t="s">
        <v>272</v>
      </c>
      <c r="BH1287" s="48" t="s">
        <v>2486</v>
      </c>
      <c r="BI1287" s="98">
        <v>6.3999999999999997E-6</v>
      </c>
      <c r="BJ1287" s="98">
        <v>6.4000000000000001E-2</v>
      </c>
      <c r="BK1287" s="48"/>
      <c r="BL1287" s="98">
        <f t="shared" si="330"/>
        <v>739610.38408812752</v>
      </c>
      <c r="BM1287" s="47" t="s">
        <v>2487</v>
      </c>
      <c r="BN1287" s="48"/>
      <c r="BO1287" s="48"/>
      <c r="BP1287" s="48"/>
      <c r="BQ1287" s="48"/>
      <c r="BR1287" s="47" t="s">
        <v>2496</v>
      </c>
      <c r="BS1287" s="48"/>
      <c r="BT1287" s="48"/>
      <c r="BU1287" s="228"/>
      <c r="BV1287" s="48"/>
      <c r="BW1287" s="48"/>
      <c r="BX1287" s="48"/>
      <c r="BY1287" s="48"/>
      <c r="BZ1287" s="48"/>
      <c r="CA1287" s="48"/>
      <c r="CB1287" s="48"/>
      <c r="CC1287" s="48"/>
      <c r="CD1287" s="48"/>
      <c r="CE1287" s="48"/>
      <c r="CF1287" s="48"/>
      <c r="CG1287" s="48"/>
      <c r="CH1287" s="48"/>
      <c r="CI1287" s="98"/>
      <c r="CJ1287" s="98"/>
      <c r="CK1287" s="49">
        <f t="shared" si="338"/>
        <v>11556412.251376992</v>
      </c>
      <c r="CL1287" s="229"/>
      <c r="CM1287" s="229"/>
      <c r="CN1287" s="229"/>
      <c r="CO1287" s="47" t="s">
        <v>2488</v>
      </c>
      <c r="CP1287" s="47" t="s">
        <v>2489</v>
      </c>
      <c r="CQ1287" s="224" t="s">
        <v>272</v>
      </c>
      <c r="CR1287" s="224"/>
      <c r="CS1287" s="230" t="s">
        <v>539</v>
      </c>
      <c r="CT1287" s="230"/>
      <c r="CU1287" s="230"/>
      <c r="CV1287" s="335">
        <f t="shared" si="329"/>
        <v>228235.46596552734</v>
      </c>
      <c r="CW1287" s="230">
        <f t="shared" si="337"/>
        <v>1</v>
      </c>
      <c r="CX1287" s="336"/>
      <c r="CY1287" s="230" t="s">
        <v>6351</v>
      </c>
    </row>
    <row r="1288" spans="1:103" ht="11.25" customHeight="1" x14ac:dyDescent="0.2">
      <c r="A1288" s="72">
        <v>1286</v>
      </c>
      <c r="B1288" s="224">
        <v>400</v>
      </c>
      <c r="C1288" s="46" t="s">
        <v>7398</v>
      </c>
      <c r="D1288" s="46"/>
      <c r="E1288" s="114"/>
      <c r="F1288" s="114" t="s">
        <v>3953</v>
      </c>
      <c r="G1288" s="225">
        <v>7786347</v>
      </c>
      <c r="H1288" s="47" t="s">
        <v>3954</v>
      </c>
      <c r="I1288" s="47" t="s">
        <v>3954</v>
      </c>
      <c r="J1288" s="47" t="s">
        <v>3955</v>
      </c>
      <c r="K1288" s="47" t="s">
        <v>637</v>
      </c>
      <c r="L1288" s="47" t="s">
        <v>617</v>
      </c>
      <c r="M1288" s="47" t="s">
        <v>946</v>
      </c>
      <c r="N1288" s="47" t="s">
        <v>6376</v>
      </c>
      <c r="O1288" s="47" t="s">
        <v>918</v>
      </c>
      <c r="P1288" s="53"/>
      <c r="Q1288" s="53"/>
      <c r="R1288" s="53"/>
      <c r="S1288" s="53"/>
      <c r="T1288" s="48">
        <v>224.15</v>
      </c>
      <c r="U1288" s="98">
        <v>2676.7789426723175</v>
      </c>
      <c r="V1288" s="98">
        <v>113.00468436314968</v>
      </c>
      <c r="W1288" s="98">
        <v>1122.0184543019636</v>
      </c>
      <c r="X1288" s="98">
        <v>2676.7789426723175</v>
      </c>
      <c r="Y1288" s="233">
        <v>7</v>
      </c>
      <c r="Z1288" s="48">
        <v>0.76</v>
      </c>
      <c r="AA1288" s="48">
        <v>0.13</v>
      </c>
      <c r="AB1288" s="48">
        <v>0.52</v>
      </c>
      <c r="AC1288" s="48">
        <v>0.71879999999999999</v>
      </c>
      <c r="AD1288" s="48">
        <v>0.43</v>
      </c>
      <c r="AE1288" s="48">
        <v>0.28000000000000003</v>
      </c>
      <c r="AF1288" s="48">
        <f>IF(AA1288=0,AD1288,AA1288)</f>
        <v>0.13</v>
      </c>
      <c r="AG1288" s="49">
        <v>0.37</v>
      </c>
      <c r="AH1288" s="98">
        <v>3.8899999999999996E-9</v>
      </c>
      <c r="AI1288" s="98">
        <v>6.3899999999999994E-11</v>
      </c>
      <c r="AJ1288" s="483">
        <f t="shared" ref="AJ1288:AK1290" si="339">LOG10(AH1288*1000/(0.08206*298.15))</f>
        <v>-6.7986167249869442</v>
      </c>
      <c r="AK1288" s="483">
        <f t="shared" si="339"/>
        <v>-8.5830654681542509</v>
      </c>
      <c r="AL1288" s="483">
        <f>IF(AK1288=0,AJ1288,AK1288)</f>
        <v>-8.5830654681542509</v>
      </c>
      <c r="AM1288" s="483">
        <v>-11.53064</v>
      </c>
      <c r="AN1288" s="226">
        <v>-3.82</v>
      </c>
      <c r="AO1288" s="484"/>
      <c r="AP1288" s="484"/>
      <c r="AQ1288" s="226" t="s">
        <v>6314</v>
      </c>
      <c r="AR1288" s="226" t="s">
        <v>6312</v>
      </c>
      <c r="AS1288" s="224" t="s">
        <v>6</v>
      </c>
      <c r="AT1288" s="50" t="s">
        <v>266</v>
      </c>
      <c r="AU1288" s="48">
        <v>8</v>
      </c>
      <c r="AV1288" s="48">
        <v>144</v>
      </c>
      <c r="AW1288" s="48">
        <v>120</v>
      </c>
      <c r="AX1288" s="48">
        <v>26</v>
      </c>
      <c r="AY1288" s="48" t="s">
        <v>267</v>
      </c>
      <c r="AZ1288" s="48" t="s">
        <v>2253</v>
      </c>
      <c r="BA1288" s="48">
        <v>3</v>
      </c>
      <c r="BB1288" s="47" t="s">
        <v>2254</v>
      </c>
      <c r="BC1288" s="47" t="s">
        <v>270</v>
      </c>
      <c r="BD1288" s="47" t="s">
        <v>8374</v>
      </c>
      <c r="BE1288" s="48" t="s">
        <v>1712</v>
      </c>
      <c r="BF1288" s="48" t="s">
        <v>272</v>
      </c>
      <c r="BG1288" s="48" t="s">
        <v>272</v>
      </c>
      <c r="BH1288" s="48" t="s">
        <v>2255</v>
      </c>
      <c r="BI1288" s="98">
        <v>9.9999999999999995E-7</v>
      </c>
      <c r="BJ1288" s="98">
        <v>0.08</v>
      </c>
      <c r="BK1288" s="48"/>
      <c r="BL1288" s="98">
        <f t="shared" si="330"/>
        <v>10.671955361116243</v>
      </c>
      <c r="BM1288" s="48" t="s">
        <v>891</v>
      </c>
      <c r="BN1288" s="233"/>
      <c r="BO1288" s="233"/>
      <c r="BP1288" s="233"/>
      <c r="BQ1288" s="233"/>
      <c r="BR1288" s="233"/>
      <c r="BS1288" s="234"/>
      <c r="BT1288" s="233"/>
      <c r="BU1288" s="235"/>
      <c r="BV1288" s="233"/>
      <c r="BW1288" s="233"/>
      <c r="BX1288" s="233"/>
      <c r="BY1288" s="233"/>
      <c r="BZ1288" s="233"/>
      <c r="CA1288" s="233"/>
      <c r="CB1288" s="233"/>
      <c r="CC1288" s="234"/>
      <c r="CD1288" s="48"/>
      <c r="CE1288" s="48"/>
      <c r="CF1288" s="48"/>
      <c r="CG1288" s="233"/>
      <c r="CH1288" s="48"/>
      <c r="CI1288" s="98"/>
      <c r="CJ1288" s="98"/>
      <c r="CK1288" s="49">
        <f t="shared" si="338"/>
        <v>133.39944201395303</v>
      </c>
      <c r="CL1288" s="229"/>
      <c r="CM1288" s="229"/>
      <c r="CN1288" s="229"/>
      <c r="CO1288" s="47" t="s">
        <v>892</v>
      </c>
      <c r="CP1288" s="47" t="s">
        <v>893</v>
      </c>
      <c r="CQ1288" s="224">
        <v>-3.7056150844663795</v>
      </c>
      <c r="CR1288" s="224">
        <f>10^(CJ1288-CQ1288)</f>
        <v>5077.0925998350185</v>
      </c>
      <c r="CS1288" s="230" t="s">
        <v>539</v>
      </c>
      <c r="CT1288" s="230"/>
      <c r="CU1288" s="230"/>
      <c r="CV1288" s="335">
        <f t="shared" si="329"/>
        <v>33459.736783403969</v>
      </c>
      <c r="CW1288" s="230">
        <f t="shared" si="337"/>
        <v>1</v>
      </c>
      <c r="CX1288" s="336" t="s">
        <v>539</v>
      </c>
      <c r="CY1288" s="230" t="s">
        <v>5921</v>
      </c>
    </row>
    <row r="1289" spans="1:103" ht="11.25" customHeight="1" x14ac:dyDescent="0.2">
      <c r="A1289" s="72">
        <v>1287</v>
      </c>
      <c r="B1289" s="224">
        <v>1743</v>
      </c>
      <c r="C1289" s="46" t="s">
        <v>7398</v>
      </c>
      <c r="D1289" s="46"/>
      <c r="E1289" s="114"/>
      <c r="F1289" s="114" t="s">
        <v>3953</v>
      </c>
      <c r="G1289" s="225">
        <v>7786347</v>
      </c>
      <c r="H1289" s="47" t="s">
        <v>3954</v>
      </c>
      <c r="I1289" s="47" t="s">
        <v>3954</v>
      </c>
      <c r="J1289" s="47" t="s">
        <v>3955</v>
      </c>
      <c r="K1289" s="47" t="s">
        <v>637</v>
      </c>
      <c r="L1289" s="47" t="s">
        <v>617</v>
      </c>
      <c r="M1289" s="47" t="s">
        <v>946</v>
      </c>
      <c r="N1289" s="47" t="s">
        <v>6376</v>
      </c>
      <c r="O1289" s="47" t="s">
        <v>918</v>
      </c>
      <c r="P1289" s="53"/>
      <c r="Q1289" s="53"/>
      <c r="R1289" s="53"/>
      <c r="S1289" s="53"/>
      <c r="T1289" s="48">
        <v>224.15</v>
      </c>
      <c r="U1289" s="98">
        <v>2676.7789426723175</v>
      </c>
      <c r="V1289" s="98">
        <v>113.00468436314968</v>
      </c>
      <c r="W1289" s="98">
        <v>1122.0184543019636</v>
      </c>
      <c r="X1289" s="98">
        <v>2676.7789426723175</v>
      </c>
      <c r="Y1289" s="233">
        <v>7</v>
      </c>
      <c r="Z1289" s="48">
        <v>0.76</v>
      </c>
      <c r="AA1289" s="48">
        <v>0.13</v>
      </c>
      <c r="AB1289" s="48">
        <v>0.52</v>
      </c>
      <c r="AC1289" s="48">
        <v>0.71879999999999999</v>
      </c>
      <c r="AD1289" s="48">
        <v>0.43</v>
      </c>
      <c r="AE1289" s="48">
        <v>0.28000000000000003</v>
      </c>
      <c r="AF1289" s="48">
        <f>IF(AA1289=0,AD1289,AA1289)</f>
        <v>0.13</v>
      </c>
      <c r="AG1289" s="49">
        <v>0.37</v>
      </c>
      <c r="AH1289" s="98">
        <v>3.8899999999999996E-9</v>
      </c>
      <c r="AI1289" s="98">
        <v>6.3899999999999994E-11</v>
      </c>
      <c r="AJ1289" s="483">
        <f t="shared" si="339"/>
        <v>-6.7986167249869442</v>
      </c>
      <c r="AK1289" s="483">
        <f t="shared" si="339"/>
        <v>-8.5830654681542509</v>
      </c>
      <c r="AL1289" s="483">
        <f>IF(AK1289=0,AJ1289,AK1289)</f>
        <v>-8.5830654681542509</v>
      </c>
      <c r="AM1289" s="483">
        <v>-11.53064</v>
      </c>
      <c r="AN1289" s="226">
        <v>-3.82</v>
      </c>
      <c r="AO1289" s="484"/>
      <c r="AP1289" s="484"/>
      <c r="AQ1289" s="226" t="s">
        <v>6314</v>
      </c>
      <c r="AR1289" s="226" t="s">
        <v>6312</v>
      </c>
      <c r="AS1289" s="224"/>
      <c r="AT1289" s="50" t="s">
        <v>266</v>
      </c>
      <c r="AU1289" s="48">
        <v>6</v>
      </c>
      <c r="AV1289" s="48">
        <v>120</v>
      </c>
      <c r="AW1289" s="48">
        <v>114</v>
      </c>
      <c r="AX1289" s="48">
        <v>28</v>
      </c>
      <c r="AY1289" s="48" t="s">
        <v>8728</v>
      </c>
      <c r="AZ1289" s="48" t="s">
        <v>1563</v>
      </c>
      <c r="BA1289" s="48">
        <v>32</v>
      </c>
      <c r="BB1289" s="47" t="s">
        <v>2485</v>
      </c>
      <c r="BC1289" s="47" t="s">
        <v>8726</v>
      </c>
      <c r="BD1289" s="47" t="s">
        <v>8374</v>
      </c>
      <c r="BE1289" s="48" t="s">
        <v>2449</v>
      </c>
      <c r="BF1289" s="48" t="s">
        <v>272</v>
      </c>
      <c r="BG1289" s="48" t="s">
        <v>272</v>
      </c>
      <c r="BH1289" s="48" t="s">
        <v>2486</v>
      </c>
      <c r="BI1289" s="98">
        <v>6.3999999999999997E-6</v>
      </c>
      <c r="BJ1289" s="98">
        <v>6.4000000000000001E-2</v>
      </c>
      <c r="BK1289" s="48"/>
      <c r="BL1289" s="98">
        <f t="shared" si="330"/>
        <v>10.671955361116243</v>
      </c>
      <c r="BM1289" s="47" t="s">
        <v>2487</v>
      </c>
      <c r="BN1289" s="48"/>
      <c r="BO1289" s="48"/>
      <c r="BP1289" s="48"/>
      <c r="BQ1289" s="48"/>
      <c r="BR1289" s="47" t="s">
        <v>2496</v>
      </c>
      <c r="BS1289" s="48"/>
      <c r="BT1289" s="48"/>
      <c r="BU1289" s="228"/>
      <c r="BV1289" s="48"/>
      <c r="BW1289" s="48"/>
      <c r="BX1289" s="48"/>
      <c r="BY1289" s="48"/>
      <c r="BZ1289" s="48"/>
      <c r="CA1289" s="48"/>
      <c r="CB1289" s="48"/>
      <c r="CC1289" s="48"/>
      <c r="CD1289" s="48"/>
      <c r="CE1289" s="48"/>
      <c r="CF1289" s="48"/>
      <c r="CG1289" s="48"/>
      <c r="CH1289" s="48"/>
      <c r="CI1289" s="98"/>
      <c r="CJ1289" s="98"/>
      <c r="CK1289" s="49">
        <f t="shared" si="338"/>
        <v>166.74930251744129</v>
      </c>
      <c r="CL1289" s="229"/>
      <c r="CM1289" s="229"/>
      <c r="CN1289" s="229"/>
      <c r="CO1289" s="47" t="s">
        <v>2488</v>
      </c>
      <c r="CP1289" s="47" t="s">
        <v>2489</v>
      </c>
      <c r="CQ1289" s="224">
        <v>-3.7056150844663795</v>
      </c>
      <c r="CR1289" s="224">
        <f>10^(CJ1289-CQ1289)</f>
        <v>5077.0925998350185</v>
      </c>
      <c r="CS1289" s="230" t="s">
        <v>539</v>
      </c>
      <c r="CT1289" s="230"/>
      <c r="CU1289" s="230"/>
      <c r="CV1289" s="335">
        <f t="shared" si="329"/>
        <v>41824.670979254959</v>
      </c>
      <c r="CW1289" s="230">
        <f t="shared" si="337"/>
        <v>1</v>
      </c>
      <c r="CX1289" s="336"/>
      <c r="CY1289" s="230" t="s">
        <v>5921</v>
      </c>
    </row>
    <row r="1290" spans="1:103" ht="11.25" customHeight="1" x14ac:dyDescent="0.2">
      <c r="A1290" s="72">
        <v>1288</v>
      </c>
      <c r="B1290" s="224">
        <v>1072</v>
      </c>
      <c r="C1290" s="46" t="s">
        <v>7399</v>
      </c>
      <c r="D1290" s="46"/>
      <c r="E1290" s="114"/>
      <c r="F1290" s="114" t="s">
        <v>3016</v>
      </c>
      <c r="G1290" s="225">
        <v>8000348</v>
      </c>
      <c r="H1290" s="47" t="s">
        <v>3017</v>
      </c>
      <c r="I1290" s="47" t="s">
        <v>8097</v>
      </c>
      <c r="J1290" s="47"/>
      <c r="K1290" s="47" t="s">
        <v>349</v>
      </c>
      <c r="L1290" s="47"/>
      <c r="M1290" s="47"/>
      <c r="N1290" s="47"/>
      <c r="O1290" s="47"/>
      <c r="P1290" s="53"/>
      <c r="Q1290" s="53"/>
      <c r="R1290" s="53"/>
      <c r="S1290" s="53"/>
      <c r="T1290" s="48">
        <v>164.21</v>
      </c>
      <c r="U1290" s="98">
        <v>14.980817246209122</v>
      </c>
      <c r="V1290" s="98">
        <v>4.5916813835941781</v>
      </c>
      <c r="W1290" s="98">
        <v>15.488166189124804</v>
      </c>
      <c r="X1290" s="98">
        <v>14.980817246209122</v>
      </c>
      <c r="Y1290" s="233">
        <v>6.05</v>
      </c>
      <c r="Z1290" s="48">
        <v>2.73</v>
      </c>
      <c r="AA1290" s="48">
        <v>2.27</v>
      </c>
      <c r="AB1290" s="48">
        <v>2.58</v>
      </c>
      <c r="AC1290" s="48">
        <v>0.85029999999999994</v>
      </c>
      <c r="AD1290" s="48">
        <v>2.48</v>
      </c>
      <c r="AE1290" s="48">
        <v>2.2000000000000002</v>
      </c>
      <c r="AF1290" s="48">
        <f>IF(AA1290=0,AD1290,AA1290)</f>
        <v>2.27</v>
      </c>
      <c r="AG1290" s="49">
        <v>2.48</v>
      </c>
      <c r="AH1290" s="98">
        <v>4.8100000000000001E-8</v>
      </c>
      <c r="AI1290" s="98">
        <v>1.99E-6</v>
      </c>
      <c r="AJ1290" s="483">
        <f t="shared" si="339"/>
        <v>-5.7064212499388196</v>
      </c>
      <c r="AK1290" s="483">
        <f t="shared" si="339"/>
        <v>-4.0897132499029452</v>
      </c>
      <c r="AL1290" s="483">
        <f>IF(AK1290=0,AJ1290,AK1290)</f>
        <v>-4.0897132499029452</v>
      </c>
      <c r="AM1290" s="483">
        <v>-7.0105800000000009</v>
      </c>
      <c r="AN1290" s="226"/>
      <c r="AO1290" s="484">
        <v>10.29</v>
      </c>
      <c r="AP1290" s="484"/>
      <c r="AQ1290" s="48" t="s">
        <v>6311</v>
      </c>
      <c r="AR1290" s="48" t="s">
        <v>6311</v>
      </c>
      <c r="AS1290" s="227"/>
      <c r="AT1290" s="50" t="s">
        <v>266</v>
      </c>
      <c r="AU1290" s="48">
        <v>6</v>
      </c>
      <c r="AV1290" s="48">
        <v>120</v>
      </c>
      <c r="AW1290" s="48">
        <v>114</v>
      </c>
      <c r="AX1290" s="48">
        <v>28</v>
      </c>
      <c r="AY1290" s="48" t="s">
        <v>8728</v>
      </c>
      <c r="AZ1290" s="48" t="s">
        <v>1563</v>
      </c>
      <c r="BA1290" s="48">
        <v>32</v>
      </c>
      <c r="BB1290" s="47" t="s">
        <v>2485</v>
      </c>
      <c r="BC1290" s="47" t="s">
        <v>8726</v>
      </c>
      <c r="BD1290" s="47" t="s">
        <v>8374</v>
      </c>
      <c r="BE1290" s="48" t="s">
        <v>2449</v>
      </c>
      <c r="BF1290" s="48" t="s">
        <v>272</v>
      </c>
      <c r="BG1290" s="48" t="s">
        <v>272</v>
      </c>
      <c r="BH1290" s="48" t="s">
        <v>2486</v>
      </c>
      <c r="BI1290" s="98">
        <v>6.3999999999999997E-6</v>
      </c>
      <c r="BJ1290" s="98">
        <v>6.4000000000000001E-2</v>
      </c>
      <c r="BK1290" s="48"/>
      <c r="BL1290" s="98">
        <f t="shared" si="330"/>
        <v>0.18154613186555818</v>
      </c>
      <c r="BM1290" s="47" t="s">
        <v>2487</v>
      </c>
      <c r="BN1290" s="48"/>
      <c r="BO1290" s="48"/>
      <c r="BP1290" s="48"/>
      <c r="BQ1290" s="48"/>
      <c r="BR1290" s="47" t="s">
        <v>2496</v>
      </c>
      <c r="BS1290" s="48"/>
      <c r="BT1290" s="48"/>
      <c r="BU1290" s="228">
        <v>3.1999999999999999E-5</v>
      </c>
      <c r="BV1290" s="48"/>
      <c r="BW1290" s="48"/>
      <c r="BX1290" s="48"/>
      <c r="BY1290" s="48"/>
      <c r="BZ1290" s="48"/>
      <c r="CA1290" s="48"/>
      <c r="CB1290" s="48"/>
      <c r="CC1290" s="48"/>
      <c r="CD1290" s="48"/>
      <c r="CE1290" s="48"/>
      <c r="CF1290" s="48"/>
      <c r="CG1290" s="48"/>
      <c r="CH1290" s="48"/>
      <c r="CI1290" s="52" t="s">
        <v>6347</v>
      </c>
      <c r="CJ1290" s="98"/>
      <c r="CK1290" s="49">
        <f t="shared" si="338"/>
        <v>2.8366583103993466</v>
      </c>
      <c r="CL1290" s="229"/>
      <c r="CM1290" s="229"/>
      <c r="CN1290" s="229"/>
      <c r="CO1290" s="47" t="s">
        <v>2488</v>
      </c>
      <c r="CP1290" s="47" t="s">
        <v>2489</v>
      </c>
      <c r="CQ1290" s="224" t="s">
        <v>272</v>
      </c>
      <c r="CR1290" s="224"/>
      <c r="CS1290" s="230" t="s">
        <v>539</v>
      </c>
      <c r="CT1290" s="230"/>
      <c r="CU1290" s="230"/>
      <c r="CV1290" s="335">
        <f t="shared" si="329"/>
        <v>234.07526947201754</v>
      </c>
      <c r="CW1290" s="230">
        <f t="shared" si="337"/>
        <v>1</v>
      </c>
      <c r="CX1290" s="336"/>
      <c r="CY1290" s="230" t="s">
        <v>5921</v>
      </c>
    </row>
    <row r="1291" spans="1:103" ht="11.25" customHeight="1" x14ac:dyDescent="0.2">
      <c r="A1291" s="72">
        <v>1289</v>
      </c>
      <c r="B1291" s="224">
        <v>370</v>
      </c>
      <c r="C1291" s="46" t="s">
        <v>7347</v>
      </c>
      <c r="D1291" s="46"/>
      <c r="E1291" s="114"/>
      <c r="F1291" s="114" t="s">
        <v>3916</v>
      </c>
      <c r="G1291" s="114">
        <v>8018017</v>
      </c>
      <c r="H1291" s="47" t="s">
        <v>3917</v>
      </c>
      <c r="I1291" s="47" t="s">
        <v>3917</v>
      </c>
      <c r="J1291" s="47"/>
      <c r="K1291" s="47" t="s">
        <v>1297</v>
      </c>
      <c r="L1291" s="47"/>
      <c r="M1291" s="47"/>
      <c r="N1291" s="47"/>
      <c r="O1291" s="47"/>
      <c r="P1291" s="53"/>
      <c r="Q1291" s="53"/>
      <c r="R1291" s="53"/>
      <c r="S1291" s="53"/>
      <c r="T1291" s="48">
        <v>212.38</v>
      </c>
      <c r="U1291" s="98"/>
      <c r="V1291" s="98">
        <v>132.49835201054714</v>
      </c>
      <c r="W1291" s="98">
        <v>58.884365535558885</v>
      </c>
      <c r="X1291" s="98">
        <f>IF(W1291=0,V1291,W1291)</f>
        <v>58.884365535558885</v>
      </c>
      <c r="Y1291" s="233">
        <v>1.25</v>
      </c>
      <c r="Z1291" s="48">
        <v>0.62</v>
      </c>
      <c r="AA1291" s="48">
        <v>1.33</v>
      </c>
      <c r="AB1291" s="48">
        <v>0.96</v>
      </c>
      <c r="AC1291" s="48">
        <v>0.5101</v>
      </c>
      <c r="AD1291" s="48">
        <v>1.3</v>
      </c>
      <c r="AE1291" s="48">
        <v>1.66</v>
      </c>
      <c r="AF1291" s="48">
        <f>IF(AA1291=0,AD1291,AA1291)</f>
        <v>1.33</v>
      </c>
      <c r="AG1291" s="49">
        <v>1.3</v>
      </c>
      <c r="AH1291" s="98">
        <v>5.6400000000000002E-7</v>
      </c>
      <c r="AI1291" s="98"/>
      <c r="AJ1291" s="483">
        <f>LOG10(AH1291*1000/(0.08206*298.15))</f>
        <v>-4.6372872223293093</v>
      </c>
      <c r="AK1291" s="483"/>
      <c r="AL1291" s="483">
        <f>IF(AK1291=0,AJ1291,AK1291)</f>
        <v>-4.6372872223293093</v>
      </c>
      <c r="AM1291" s="483">
        <v>-12.801919999999999</v>
      </c>
      <c r="AN1291" s="226"/>
      <c r="AO1291" s="484">
        <v>1.25</v>
      </c>
      <c r="AP1291" s="484">
        <v>1.71</v>
      </c>
      <c r="AQ1291" s="226" t="s">
        <v>5921</v>
      </c>
      <c r="AR1291" s="226" t="s">
        <v>5921</v>
      </c>
      <c r="AS1291" s="224" t="s">
        <v>6</v>
      </c>
      <c r="AT1291" s="50" t="s">
        <v>266</v>
      </c>
      <c r="AU1291" s="48">
        <v>8</v>
      </c>
      <c r="AV1291" s="48">
        <v>144</v>
      </c>
      <c r="AW1291" s="48">
        <v>120</v>
      </c>
      <c r="AX1291" s="48">
        <v>26</v>
      </c>
      <c r="AY1291" s="48" t="s">
        <v>267</v>
      </c>
      <c r="AZ1291" s="48" t="s">
        <v>2253</v>
      </c>
      <c r="BA1291" s="48">
        <v>4</v>
      </c>
      <c r="BB1291" s="47" t="s">
        <v>2254</v>
      </c>
      <c r="BC1291" s="47" t="s">
        <v>270</v>
      </c>
      <c r="BD1291" s="47" t="s">
        <v>8374</v>
      </c>
      <c r="BE1291" s="48" t="s">
        <v>1712</v>
      </c>
      <c r="BF1291" s="48" t="s">
        <v>272</v>
      </c>
      <c r="BG1291" s="48" t="s">
        <v>272</v>
      </c>
      <c r="BH1291" s="48" t="s">
        <v>2255</v>
      </c>
      <c r="BI1291" s="98">
        <v>9.9999999999999995E-7</v>
      </c>
      <c r="BJ1291" s="98">
        <v>0.08</v>
      </c>
      <c r="BK1291" s="48"/>
      <c r="BL1291" s="98">
        <f t="shared" si="330"/>
        <v>14.255353786098398</v>
      </c>
      <c r="BM1291" s="48" t="s">
        <v>891</v>
      </c>
      <c r="BN1291" s="233"/>
      <c r="BO1291" s="233"/>
      <c r="BP1291" s="233"/>
      <c r="BQ1291" s="233"/>
      <c r="BR1291" s="233"/>
      <c r="BS1291" s="48"/>
      <c r="BT1291" s="233"/>
      <c r="BU1291" s="228"/>
      <c r="BV1291" s="233"/>
      <c r="BW1291" s="233"/>
      <c r="BX1291" s="233"/>
      <c r="BY1291" s="233"/>
      <c r="BZ1291" s="233"/>
      <c r="CA1291" s="233"/>
      <c r="CB1291" s="233"/>
      <c r="CC1291" s="48"/>
      <c r="CD1291" s="48"/>
      <c r="CE1291" s="48"/>
      <c r="CF1291" s="48"/>
      <c r="CG1291" s="233"/>
      <c r="CH1291" s="48"/>
      <c r="CI1291" s="98"/>
      <c r="CJ1291" s="98"/>
      <c r="CK1291" s="49">
        <f t="shared" si="338"/>
        <v>178.19192232622999</v>
      </c>
      <c r="CL1291" s="229"/>
      <c r="CM1291" s="229"/>
      <c r="CN1291" s="229"/>
      <c r="CO1291" s="47" t="s">
        <v>892</v>
      </c>
      <c r="CP1291" s="47" t="s">
        <v>893</v>
      </c>
      <c r="CQ1291" s="224" t="s">
        <v>272</v>
      </c>
      <c r="CR1291" s="224"/>
      <c r="CS1291" s="230" t="s">
        <v>539</v>
      </c>
      <c r="CT1291" s="230"/>
      <c r="CU1291" s="230"/>
      <c r="CV1291" s="335">
        <f t="shared" si="329"/>
        <v>736.05456919448602</v>
      </c>
      <c r="CW1291" s="230">
        <f t="shared" si="337"/>
        <v>1</v>
      </c>
      <c r="CX1291" s="336" t="s">
        <v>539</v>
      </c>
      <c r="CY1291" s="230" t="s">
        <v>5921</v>
      </c>
    </row>
    <row r="1292" spans="1:103" ht="11.25" customHeight="1" x14ac:dyDescent="0.2">
      <c r="A1292" s="72">
        <v>1290</v>
      </c>
      <c r="B1292" s="224">
        <v>393</v>
      </c>
      <c r="C1292" s="46" t="s">
        <v>7400</v>
      </c>
      <c r="D1292" s="46"/>
      <c r="E1292" s="114"/>
      <c r="F1292" s="114" t="s">
        <v>3944</v>
      </c>
      <c r="G1292" s="225">
        <v>9006422</v>
      </c>
      <c r="H1292" s="47" t="s">
        <v>3945</v>
      </c>
      <c r="I1292" s="47" t="s">
        <v>3945</v>
      </c>
      <c r="J1292" s="47"/>
      <c r="K1292" s="47" t="s">
        <v>403</v>
      </c>
      <c r="L1292" s="47"/>
      <c r="M1292" s="47"/>
      <c r="N1292" s="47"/>
      <c r="O1292" s="47"/>
      <c r="P1292" s="53"/>
      <c r="Q1292" s="53"/>
      <c r="R1292" s="53"/>
      <c r="S1292" s="53"/>
      <c r="T1292" s="48">
        <v>504.13</v>
      </c>
      <c r="U1292" s="98"/>
      <c r="V1292" s="98">
        <v>0.36974589887529014</v>
      </c>
      <c r="W1292" s="98"/>
      <c r="X1292" s="98">
        <f>IF(W1292=0,V1292,W1292)</f>
        <v>0.36974589887529014</v>
      </c>
      <c r="Y1292" s="233"/>
      <c r="Z1292" s="48">
        <v>-0.42</v>
      </c>
      <c r="AA1292" s="48">
        <v>0.3</v>
      </c>
      <c r="AB1292" s="48">
        <v>0</v>
      </c>
      <c r="AC1292" s="48">
        <v>0</v>
      </c>
      <c r="AD1292" s="48">
        <v>0</v>
      </c>
      <c r="AE1292" s="48">
        <v>0</v>
      </c>
      <c r="AF1292" s="48">
        <f>IF(AA1292=0,AD1292,AA1292)</f>
        <v>0.3</v>
      </c>
      <c r="AG1292" s="49" t="s">
        <v>404</v>
      </c>
      <c r="AH1292" s="98"/>
      <c r="AI1292" s="98"/>
      <c r="AJ1292" s="483"/>
      <c r="AK1292" s="483"/>
      <c r="AL1292" s="483"/>
      <c r="AM1292" s="483"/>
      <c r="AN1292" s="226"/>
      <c r="AO1292" s="484"/>
      <c r="AP1292" s="484"/>
      <c r="AQ1292" s="226" t="s">
        <v>6311</v>
      </c>
      <c r="AR1292" s="226" t="s">
        <v>6311</v>
      </c>
      <c r="AS1292" s="224" t="s">
        <v>6</v>
      </c>
      <c r="AT1292" s="50" t="s">
        <v>266</v>
      </c>
      <c r="AU1292" s="48">
        <v>8</v>
      </c>
      <c r="AV1292" s="48">
        <v>144</v>
      </c>
      <c r="AW1292" s="48">
        <v>120</v>
      </c>
      <c r="AX1292" s="48">
        <v>26</v>
      </c>
      <c r="AY1292" s="48" t="s">
        <v>267</v>
      </c>
      <c r="AZ1292" s="48" t="s">
        <v>2253</v>
      </c>
      <c r="BA1292" s="48">
        <v>3</v>
      </c>
      <c r="BB1292" s="47" t="s">
        <v>2254</v>
      </c>
      <c r="BC1292" s="47" t="s">
        <v>270</v>
      </c>
      <c r="BD1292" s="47" t="s">
        <v>8374</v>
      </c>
      <c r="BE1292" s="48" t="s">
        <v>1712</v>
      </c>
      <c r="BF1292" s="48" t="s">
        <v>272</v>
      </c>
      <c r="BG1292" s="48" t="s">
        <v>272</v>
      </c>
      <c r="BH1292" s="48" t="s">
        <v>2255</v>
      </c>
      <c r="BI1292" s="98">
        <v>9.9999999999999995E-7</v>
      </c>
      <c r="BJ1292" s="98">
        <v>0.08</v>
      </c>
      <c r="BK1292" s="48"/>
      <c r="BL1292" s="98">
        <f t="shared" si="330"/>
        <v>122.46218388440451</v>
      </c>
      <c r="BM1292" s="48" t="s">
        <v>891</v>
      </c>
      <c r="BN1292" s="233"/>
      <c r="BO1292" s="233"/>
      <c r="BP1292" s="233"/>
      <c r="BQ1292" s="233"/>
      <c r="BR1292" s="233"/>
      <c r="BS1292" s="48"/>
      <c r="BT1292" s="233"/>
      <c r="BU1292" s="228"/>
      <c r="BV1292" s="233"/>
      <c r="BW1292" s="233"/>
      <c r="BX1292" s="233"/>
      <c r="BY1292" s="233"/>
      <c r="BZ1292" s="233"/>
      <c r="CA1292" s="233"/>
      <c r="CB1292" s="233"/>
      <c r="CC1292" s="48"/>
      <c r="CD1292" s="48"/>
      <c r="CE1292" s="48"/>
      <c r="CF1292" s="48"/>
      <c r="CG1292" s="233"/>
      <c r="CH1292" s="48"/>
      <c r="CI1292" s="98"/>
      <c r="CJ1292" s="98"/>
      <c r="CK1292" s="49">
        <f t="shared" si="338"/>
        <v>1530.7772985550564</v>
      </c>
      <c r="CL1292" s="229"/>
      <c r="CM1292" s="229"/>
      <c r="CN1292" s="229"/>
      <c r="CO1292" s="47" t="s">
        <v>892</v>
      </c>
      <c r="CP1292" s="47" t="s">
        <v>893</v>
      </c>
      <c r="CQ1292" s="224" t="s">
        <v>272</v>
      </c>
      <c r="CR1292" s="224"/>
      <c r="CS1292" s="230" t="s">
        <v>539</v>
      </c>
      <c r="CT1292" s="230"/>
      <c r="CU1292" s="230"/>
      <c r="CV1292" s="335">
        <f t="shared" si="329"/>
        <v>4.6218237359411267</v>
      </c>
      <c r="CW1292" s="230">
        <f t="shared" si="337"/>
        <v>1</v>
      </c>
      <c r="CX1292" s="336" t="s">
        <v>539</v>
      </c>
      <c r="CY1292" s="230" t="s">
        <v>5921</v>
      </c>
    </row>
    <row r="1293" spans="1:103" ht="11.25" customHeight="1" x14ac:dyDescent="0.2">
      <c r="A1293" s="72">
        <v>1291</v>
      </c>
      <c r="B1293" s="224">
        <v>1499</v>
      </c>
      <c r="C1293" s="46" t="s">
        <v>7401</v>
      </c>
      <c r="D1293" s="46"/>
      <c r="E1293" s="114"/>
      <c r="F1293" s="114" t="s">
        <v>4589</v>
      </c>
      <c r="G1293" s="225">
        <v>10016203</v>
      </c>
      <c r="H1293" s="47"/>
      <c r="I1293" s="47"/>
      <c r="J1293" s="47"/>
      <c r="K1293" s="47"/>
      <c r="L1293" s="47"/>
      <c r="M1293" s="47"/>
      <c r="N1293" s="47"/>
      <c r="O1293" s="47"/>
      <c r="P1293" s="53"/>
      <c r="Q1293" s="53"/>
      <c r="R1293" s="53"/>
      <c r="S1293" s="53"/>
      <c r="T1293" s="48">
        <v>972.84</v>
      </c>
      <c r="U1293" s="98"/>
      <c r="V1293" s="98"/>
      <c r="W1293" s="98"/>
      <c r="X1293" s="98"/>
      <c r="Y1293" s="233"/>
      <c r="Z1293" s="48"/>
      <c r="AA1293" s="48"/>
      <c r="AB1293" s="48"/>
      <c r="AC1293" s="48"/>
      <c r="AD1293" s="48"/>
      <c r="AE1293" s="48"/>
      <c r="AF1293" s="48"/>
      <c r="AG1293" s="49">
        <v>-6.55</v>
      </c>
      <c r="AH1293" s="98"/>
      <c r="AI1293" s="98"/>
      <c r="AJ1293" s="483"/>
      <c r="AK1293" s="483"/>
      <c r="AL1293" s="483"/>
      <c r="AM1293" s="483"/>
      <c r="AN1293" s="226"/>
      <c r="AO1293" s="484"/>
      <c r="AP1293" s="484"/>
      <c r="AQ1293" s="48" t="s">
        <v>6311</v>
      </c>
      <c r="AR1293" s="48" t="s">
        <v>6311</v>
      </c>
      <c r="AS1293" s="227"/>
      <c r="AT1293" s="50" t="s">
        <v>266</v>
      </c>
      <c r="AU1293" s="48">
        <v>6</v>
      </c>
      <c r="AV1293" s="48">
        <v>120</v>
      </c>
      <c r="AW1293" s="48">
        <v>114</v>
      </c>
      <c r="AX1293" s="48">
        <v>28</v>
      </c>
      <c r="AY1293" s="48" t="s">
        <v>8728</v>
      </c>
      <c r="AZ1293" s="48" t="s">
        <v>1563</v>
      </c>
      <c r="BA1293" s="48">
        <v>32</v>
      </c>
      <c r="BB1293" s="47" t="s">
        <v>2485</v>
      </c>
      <c r="BC1293" s="47" t="s">
        <v>8726</v>
      </c>
      <c r="BD1293" s="47" t="s">
        <v>8374</v>
      </c>
      <c r="BE1293" s="48" t="s">
        <v>2449</v>
      </c>
      <c r="BF1293" s="48" t="s">
        <v>272</v>
      </c>
      <c r="BG1293" s="48" t="s">
        <v>272</v>
      </c>
      <c r="BH1293" s="48" t="s">
        <v>2486</v>
      </c>
      <c r="BI1293" s="98">
        <v>6.3999999999999997E-6</v>
      </c>
      <c r="BJ1293" s="98">
        <v>6.4000000000000001E-2</v>
      </c>
      <c r="BK1293" s="48"/>
      <c r="BL1293" s="98"/>
      <c r="BM1293" s="47" t="s">
        <v>2487</v>
      </c>
      <c r="BN1293" s="48"/>
      <c r="BO1293" s="48"/>
      <c r="BP1293" s="48"/>
      <c r="BQ1293" s="48"/>
      <c r="BR1293" s="47" t="s">
        <v>2496</v>
      </c>
      <c r="BS1293" s="48"/>
      <c r="BT1293" s="48"/>
      <c r="BU1293" s="228"/>
      <c r="BV1293" s="48"/>
      <c r="BW1293" s="48"/>
      <c r="BX1293" s="48"/>
      <c r="BY1293" s="48"/>
      <c r="BZ1293" s="48"/>
      <c r="CA1293" s="48"/>
      <c r="CB1293" s="48"/>
      <c r="CC1293" s="48"/>
      <c r="CD1293" s="48"/>
      <c r="CE1293" s="48"/>
      <c r="CF1293" s="48"/>
      <c r="CG1293" s="48"/>
      <c r="CH1293" s="48"/>
      <c r="CI1293" s="98"/>
      <c r="CJ1293" s="98"/>
      <c r="CK1293" s="49">
        <f t="shared" si="338"/>
        <v>0</v>
      </c>
      <c r="CL1293" s="229"/>
      <c r="CM1293" s="229"/>
      <c r="CN1293" s="229"/>
      <c r="CO1293" s="47" t="s">
        <v>2488</v>
      </c>
      <c r="CP1293" s="47" t="s">
        <v>2489</v>
      </c>
      <c r="CQ1293" s="224" t="s">
        <v>272</v>
      </c>
      <c r="CR1293" s="224"/>
      <c r="CS1293" s="230" t="s">
        <v>539</v>
      </c>
      <c r="CT1293" s="230"/>
      <c r="CU1293" s="230"/>
      <c r="CV1293" s="335" t="s">
        <v>6310</v>
      </c>
      <c r="CW1293" s="230">
        <f t="shared" si="337"/>
        <v>1</v>
      </c>
      <c r="CX1293" s="336"/>
      <c r="CY1293" s="230" t="s">
        <v>6351</v>
      </c>
    </row>
    <row r="1294" spans="1:103" ht="11.25" customHeight="1" x14ac:dyDescent="0.2">
      <c r="A1294" s="72">
        <v>1292</v>
      </c>
      <c r="B1294" s="224">
        <v>910</v>
      </c>
      <c r="C1294" s="46" t="s">
        <v>7402</v>
      </c>
      <c r="D1294" s="46"/>
      <c r="E1294" s="114"/>
      <c r="F1294" s="114" t="s">
        <v>2596</v>
      </c>
      <c r="G1294" s="225">
        <v>10161338</v>
      </c>
      <c r="H1294" s="47" t="s">
        <v>2597</v>
      </c>
      <c r="I1294" s="47" t="s">
        <v>2597</v>
      </c>
      <c r="J1294" s="47" t="s">
        <v>2598</v>
      </c>
      <c r="K1294" s="47" t="s">
        <v>371</v>
      </c>
      <c r="L1294" s="47"/>
      <c r="M1294" s="47"/>
      <c r="N1294" s="47"/>
      <c r="O1294" s="47"/>
      <c r="P1294" s="53"/>
      <c r="Q1294" s="53"/>
      <c r="R1294" s="53"/>
      <c r="S1294" s="53"/>
      <c r="T1294" s="48">
        <v>270.37</v>
      </c>
      <c r="U1294" s="98"/>
      <c r="V1294" s="98">
        <v>1.1987276694899582</v>
      </c>
      <c r="W1294" s="98">
        <v>0.1737800828749376</v>
      </c>
      <c r="X1294" s="98">
        <f>IF(W1294=0,V1294,W1294)</f>
        <v>0.1737800828749376</v>
      </c>
      <c r="Y1294" s="233">
        <v>7</v>
      </c>
      <c r="Z1294" s="48">
        <v>2.65</v>
      </c>
      <c r="AA1294" s="48"/>
      <c r="AB1294" s="48">
        <v>2.67</v>
      </c>
      <c r="AC1294" s="48">
        <v>0.56040000000000001</v>
      </c>
      <c r="AD1294" s="48">
        <v>2.48</v>
      </c>
      <c r="AE1294" s="48">
        <v>2.27</v>
      </c>
      <c r="AF1294" s="48">
        <f t="shared" ref="AF1294:AF1307" si="340">IF(AA1294=0,AD1294,AA1294)</f>
        <v>2.48</v>
      </c>
      <c r="AG1294" s="49">
        <v>2.72</v>
      </c>
      <c r="AH1294" s="98">
        <v>1.9000000000000001E-9</v>
      </c>
      <c r="AI1294" s="98"/>
      <c r="AJ1294" s="483">
        <f t="shared" ref="AJ1294:AJ1325" si="341">LOG10(AH1294*1000/(0.08206*298.15))</f>
        <v>-7.1098127253598227</v>
      </c>
      <c r="AK1294" s="483"/>
      <c r="AL1294" s="483">
        <f t="shared" ref="AL1294:AL1325" si="342">IF(AK1294=0,AJ1294,AK1294)</f>
        <v>-7.1098127253598227</v>
      </c>
      <c r="AM1294" s="483">
        <v>-15.715440000000001</v>
      </c>
      <c r="AN1294" s="226">
        <v>-9.58</v>
      </c>
      <c r="AO1294" s="484">
        <v>14.73</v>
      </c>
      <c r="AP1294" s="484"/>
      <c r="AQ1294" s="48" t="s">
        <v>6311</v>
      </c>
      <c r="AR1294" s="48" t="s">
        <v>6311</v>
      </c>
      <c r="AS1294" s="227"/>
      <c r="AT1294" s="50" t="s">
        <v>266</v>
      </c>
      <c r="AU1294" s="48">
        <v>6</v>
      </c>
      <c r="AV1294" s="48">
        <v>120</v>
      </c>
      <c r="AW1294" s="48">
        <v>114</v>
      </c>
      <c r="AX1294" s="48">
        <v>28</v>
      </c>
      <c r="AY1294" s="48" t="s">
        <v>8728</v>
      </c>
      <c r="AZ1294" s="48" t="s">
        <v>1563</v>
      </c>
      <c r="BA1294" s="48">
        <v>32</v>
      </c>
      <c r="BB1294" s="47" t="s">
        <v>2485</v>
      </c>
      <c r="BC1294" s="47" t="s">
        <v>8726</v>
      </c>
      <c r="BD1294" s="47" t="s">
        <v>8374</v>
      </c>
      <c r="BE1294" s="48" t="s">
        <v>2449</v>
      </c>
      <c r="BF1294" s="48" t="s">
        <v>272</v>
      </c>
      <c r="BG1294" s="48" t="s">
        <v>272</v>
      </c>
      <c r="BH1294" s="48" t="s">
        <v>2486</v>
      </c>
      <c r="BI1294" s="98">
        <v>6.3999999999999997E-6</v>
      </c>
      <c r="BJ1294" s="98">
        <v>6.4000000000000001E-2</v>
      </c>
      <c r="BK1294" s="48"/>
      <c r="BL1294" s="98">
        <f t="shared" ref="BL1294:BL1325" si="343">10^((-0.8981*Z1294)+1.7108)</f>
        <v>0.21420766147449449</v>
      </c>
      <c r="BM1294" s="47" t="s">
        <v>2487</v>
      </c>
      <c r="BN1294" s="48"/>
      <c r="BO1294" s="48"/>
      <c r="BP1294" s="48"/>
      <c r="BQ1294" s="48"/>
      <c r="BR1294" s="47" t="s">
        <v>2496</v>
      </c>
      <c r="BS1294" s="48"/>
      <c r="BT1294" s="48"/>
      <c r="BU1294" s="228">
        <v>6.4000000000000001E-2</v>
      </c>
      <c r="BV1294" s="48"/>
      <c r="BW1294" s="48"/>
      <c r="BX1294" s="48"/>
      <c r="BY1294" s="48"/>
      <c r="BZ1294" s="48"/>
      <c r="CA1294" s="48"/>
      <c r="CB1294" s="48"/>
      <c r="CC1294" s="48"/>
      <c r="CD1294" s="48"/>
      <c r="CE1294" s="48"/>
      <c r="CF1294" s="48"/>
      <c r="CG1294" s="48"/>
      <c r="CH1294" s="48"/>
      <c r="CI1294" s="98"/>
      <c r="CJ1294" s="98"/>
      <c r="CK1294" s="49">
        <f t="shared" si="338"/>
        <v>3.3469947105389766</v>
      </c>
      <c r="CL1294" s="229"/>
      <c r="CM1294" s="229"/>
      <c r="CN1294" s="229"/>
      <c r="CO1294" s="47" t="s">
        <v>2488</v>
      </c>
      <c r="CP1294" s="47" t="s">
        <v>2489</v>
      </c>
      <c r="CQ1294" s="224" t="s">
        <v>272</v>
      </c>
      <c r="CR1294" s="224"/>
      <c r="CS1294" s="230" t="s">
        <v>539</v>
      </c>
      <c r="CT1294" s="230"/>
      <c r="CU1294" s="230"/>
      <c r="CV1294" s="335">
        <f t="shared" ref="CV1294:CV1325" si="344">X1294/BJ1294</f>
        <v>2.7153137949208999</v>
      </c>
      <c r="CW1294" s="230">
        <f t="shared" si="337"/>
        <v>1</v>
      </c>
      <c r="CX1294" s="336"/>
      <c r="CY1294" s="230" t="s">
        <v>5921</v>
      </c>
    </row>
    <row r="1295" spans="1:103" ht="11.25" customHeight="1" x14ac:dyDescent="0.2">
      <c r="A1295" s="72">
        <v>1293</v>
      </c>
      <c r="B1295" s="224">
        <v>932</v>
      </c>
      <c r="C1295" s="46" t="s">
        <v>7403</v>
      </c>
      <c r="D1295" s="46"/>
      <c r="E1295" s="114"/>
      <c r="F1295" s="114" t="s">
        <v>2659</v>
      </c>
      <c r="G1295" s="225">
        <v>10222012</v>
      </c>
      <c r="H1295" s="47" t="s">
        <v>2660</v>
      </c>
      <c r="I1295" s="47" t="s">
        <v>8098</v>
      </c>
      <c r="J1295" s="47" t="s">
        <v>2661</v>
      </c>
      <c r="K1295" s="47" t="s">
        <v>2662</v>
      </c>
      <c r="L1295" s="47" t="s">
        <v>5576</v>
      </c>
      <c r="M1295" s="47" t="s">
        <v>6088</v>
      </c>
      <c r="N1295" s="47" t="s">
        <v>6088</v>
      </c>
      <c r="O1295" s="47" t="s">
        <v>6083</v>
      </c>
      <c r="P1295" s="53"/>
      <c r="Q1295" s="53"/>
      <c r="R1295" s="53"/>
      <c r="S1295" s="53"/>
      <c r="T1295" s="48">
        <v>241.87</v>
      </c>
      <c r="U1295" s="98">
        <v>62.016785876710628</v>
      </c>
      <c r="V1295" s="98">
        <v>11.745979245048993</v>
      </c>
      <c r="W1295" s="98">
        <v>13.803842646028837</v>
      </c>
      <c r="X1295" s="98">
        <v>62.016785876710628</v>
      </c>
      <c r="Y1295" s="233">
        <v>6.72</v>
      </c>
      <c r="Z1295" s="48">
        <v>1.01</v>
      </c>
      <c r="AA1295" s="48">
        <v>0.82</v>
      </c>
      <c r="AB1295" s="48">
        <v>1.02</v>
      </c>
      <c r="AC1295" s="48">
        <v>0.75309999999999999</v>
      </c>
      <c r="AD1295" s="48">
        <v>1.17</v>
      </c>
      <c r="AE1295" s="48">
        <v>1.51</v>
      </c>
      <c r="AF1295" s="48">
        <f t="shared" si="340"/>
        <v>0.82</v>
      </c>
      <c r="AG1295" s="49">
        <v>0.38</v>
      </c>
      <c r="AH1295" s="98">
        <v>6.1599999999999998E-14</v>
      </c>
      <c r="AI1295" s="98">
        <v>1.9099999999999999E-8</v>
      </c>
      <c r="AJ1295" s="483">
        <f t="shared" si="341"/>
        <v>-11.598985614148226</v>
      </c>
      <c r="AK1295" s="483">
        <f>LOG10(AI1295*1000/(0.08206*298.15))</f>
        <v>-6.1075329590649243</v>
      </c>
      <c r="AL1295" s="483">
        <f t="shared" si="342"/>
        <v>-6.1075329590649243</v>
      </c>
      <c r="AM1295" s="483">
        <v>-11.327289999999998</v>
      </c>
      <c r="AN1295" s="226">
        <v>-9.2100000000000009</v>
      </c>
      <c r="AO1295" s="484">
        <v>11.72</v>
      </c>
      <c r="AP1295" s="484">
        <v>-1.87</v>
      </c>
      <c r="AQ1295" s="48" t="s">
        <v>6311</v>
      </c>
      <c r="AR1295" s="48" t="s">
        <v>6311</v>
      </c>
      <c r="AS1295" s="227"/>
      <c r="AT1295" s="50" t="s">
        <v>266</v>
      </c>
      <c r="AU1295" s="48">
        <v>6</v>
      </c>
      <c r="AV1295" s="48">
        <v>120</v>
      </c>
      <c r="AW1295" s="48">
        <v>114</v>
      </c>
      <c r="AX1295" s="48">
        <v>28</v>
      </c>
      <c r="AY1295" s="48" t="s">
        <v>8728</v>
      </c>
      <c r="AZ1295" s="48" t="s">
        <v>1563</v>
      </c>
      <c r="BA1295" s="48">
        <v>32</v>
      </c>
      <c r="BB1295" s="47" t="s">
        <v>2485</v>
      </c>
      <c r="BC1295" s="47" t="s">
        <v>8726</v>
      </c>
      <c r="BD1295" s="47" t="s">
        <v>8374</v>
      </c>
      <c r="BE1295" s="48" t="s">
        <v>2449</v>
      </c>
      <c r="BF1295" s="48" t="s">
        <v>272</v>
      </c>
      <c r="BG1295" s="48" t="s">
        <v>272</v>
      </c>
      <c r="BH1295" s="48" t="s">
        <v>2486</v>
      </c>
      <c r="BI1295" s="98">
        <v>6.3999999999999997E-6</v>
      </c>
      <c r="BJ1295" s="98">
        <v>6.4000000000000001E-2</v>
      </c>
      <c r="BK1295" s="48"/>
      <c r="BL1295" s="98">
        <f t="shared" si="343"/>
        <v>6.3638363065370447</v>
      </c>
      <c r="BM1295" s="47" t="s">
        <v>2487</v>
      </c>
      <c r="BN1295" s="48"/>
      <c r="BO1295" s="48"/>
      <c r="BP1295" s="48"/>
      <c r="BQ1295" s="48"/>
      <c r="BR1295" s="47" t="s">
        <v>2496</v>
      </c>
      <c r="BS1295" s="48"/>
      <c r="BT1295" s="48"/>
      <c r="BU1295" s="228">
        <v>6.3999999999999997E-5</v>
      </c>
      <c r="BV1295" s="48"/>
      <c r="BW1295" s="48"/>
      <c r="BX1295" s="48"/>
      <c r="BY1295" s="48"/>
      <c r="BZ1295" s="48"/>
      <c r="CA1295" s="48"/>
      <c r="CB1295" s="48"/>
      <c r="CC1295" s="48"/>
      <c r="CD1295" s="48"/>
      <c r="CE1295" s="48"/>
      <c r="CF1295" s="48"/>
      <c r="CG1295" s="48"/>
      <c r="CH1295" s="48"/>
      <c r="CI1295" s="98"/>
      <c r="CJ1295" s="98"/>
      <c r="CK1295" s="49">
        <f t="shared" si="338"/>
        <v>99.434942289641327</v>
      </c>
      <c r="CL1295" s="229"/>
      <c r="CM1295" s="229"/>
      <c r="CN1295" s="229"/>
      <c r="CO1295" s="47" t="s">
        <v>2488</v>
      </c>
      <c r="CP1295" s="47" t="s">
        <v>2489</v>
      </c>
      <c r="CQ1295" s="224">
        <v>-1.9722174901472889</v>
      </c>
      <c r="CR1295" s="224">
        <f t="shared" ref="CR1295:CR1302" si="345">10^(CJ1295-CQ1295)</f>
        <v>93.8031645786441</v>
      </c>
      <c r="CS1295" s="230" t="s">
        <v>539</v>
      </c>
      <c r="CT1295" s="230"/>
      <c r="CU1295" s="230"/>
      <c r="CV1295" s="335">
        <f t="shared" si="344"/>
        <v>969.01227932360359</v>
      </c>
      <c r="CW1295" s="230">
        <f t="shared" si="337"/>
        <v>1</v>
      </c>
      <c r="CX1295" s="336"/>
      <c r="CY1295" s="230" t="s">
        <v>5921</v>
      </c>
    </row>
    <row r="1296" spans="1:103" ht="11.25" customHeight="1" x14ac:dyDescent="0.2">
      <c r="A1296" s="72">
        <v>1294</v>
      </c>
      <c r="B1296" s="224">
        <v>382</v>
      </c>
      <c r="C1296" s="46" t="s">
        <v>7404</v>
      </c>
      <c r="D1296" s="46"/>
      <c r="E1296" s="114"/>
      <c r="F1296" s="114" t="s">
        <v>3264</v>
      </c>
      <c r="G1296" s="225">
        <v>10265926</v>
      </c>
      <c r="H1296" s="47" t="s">
        <v>3265</v>
      </c>
      <c r="I1296" s="47" t="s">
        <v>3265</v>
      </c>
      <c r="J1296" s="47" t="s">
        <v>3266</v>
      </c>
      <c r="K1296" s="47" t="s">
        <v>637</v>
      </c>
      <c r="L1296" s="47" t="s">
        <v>617</v>
      </c>
      <c r="M1296" s="47" t="s">
        <v>946</v>
      </c>
      <c r="N1296" s="47" t="s">
        <v>6376</v>
      </c>
      <c r="O1296" s="47" t="s">
        <v>918</v>
      </c>
      <c r="P1296" s="53"/>
      <c r="Q1296" s="53"/>
      <c r="R1296" s="53"/>
      <c r="S1296" s="53"/>
      <c r="T1296" s="48">
        <v>141.13</v>
      </c>
      <c r="U1296" s="98">
        <v>7085.665698292355</v>
      </c>
      <c r="V1296" s="98">
        <v>2830.0148798979667</v>
      </c>
      <c r="W1296" s="98">
        <v>7079.4578438413791</v>
      </c>
      <c r="X1296" s="98">
        <v>7085.665698292355</v>
      </c>
      <c r="Y1296" s="233">
        <v>7.23</v>
      </c>
      <c r="Z1296" s="48">
        <v>-0.93</v>
      </c>
      <c r="AA1296" s="48">
        <v>-0.8</v>
      </c>
      <c r="AB1296" s="48">
        <v>-0.47</v>
      </c>
      <c r="AC1296" s="48">
        <v>0.86880000000000002</v>
      </c>
      <c r="AD1296" s="48">
        <v>-0.56000000000000005</v>
      </c>
      <c r="AE1296" s="48">
        <v>-0.82</v>
      </c>
      <c r="AF1296" s="48">
        <f t="shared" si="340"/>
        <v>-0.8</v>
      </c>
      <c r="AG1296" s="49">
        <v>-0.23</v>
      </c>
      <c r="AH1296" s="98">
        <v>8.68E-10</v>
      </c>
      <c r="AI1296" s="98"/>
      <c r="AJ1296" s="483">
        <f t="shared" si="341"/>
        <v>-7.4500466011361599</v>
      </c>
      <c r="AK1296" s="483"/>
      <c r="AL1296" s="483">
        <f t="shared" si="342"/>
        <v>-7.4500466011361599</v>
      </c>
      <c r="AM1296" s="483">
        <v>-9.6689599999999984</v>
      </c>
      <c r="AN1296" s="226">
        <v>-7.09</v>
      </c>
      <c r="AO1296" s="484"/>
      <c r="AP1296" s="484">
        <v>-0.57999999999999996</v>
      </c>
      <c r="AQ1296" s="226" t="s">
        <v>6311</v>
      </c>
      <c r="AR1296" s="226" t="s">
        <v>6311</v>
      </c>
      <c r="AS1296" s="224" t="s">
        <v>6</v>
      </c>
      <c r="AT1296" s="50" t="s">
        <v>266</v>
      </c>
      <c r="AU1296" s="48">
        <v>8</v>
      </c>
      <c r="AV1296" s="48">
        <v>144</v>
      </c>
      <c r="AW1296" s="48">
        <v>120</v>
      </c>
      <c r="AX1296" s="48">
        <v>26</v>
      </c>
      <c r="AY1296" s="48" t="s">
        <v>267</v>
      </c>
      <c r="AZ1296" s="48" t="s">
        <v>2253</v>
      </c>
      <c r="BA1296" s="48">
        <v>2</v>
      </c>
      <c r="BB1296" s="47" t="s">
        <v>2254</v>
      </c>
      <c r="BC1296" s="47" t="s">
        <v>270</v>
      </c>
      <c r="BD1296" s="47" t="s">
        <v>8374</v>
      </c>
      <c r="BE1296" s="48" t="s">
        <v>1712</v>
      </c>
      <c r="BF1296" s="48" t="s">
        <v>272</v>
      </c>
      <c r="BG1296" s="48" t="s">
        <v>272</v>
      </c>
      <c r="BH1296" s="48" t="s">
        <v>2255</v>
      </c>
      <c r="BI1296" s="98">
        <v>9.9999999999999995E-7</v>
      </c>
      <c r="BJ1296" s="98">
        <v>0.08</v>
      </c>
      <c r="BK1296" s="48"/>
      <c r="BL1296" s="98">
        <f t="shared" si="343"/>
        <v>351.58715497161631</v>
      </c>
      <c r="BM1296" s="48" t="s">
        <v>891</v>
      </c>
      <c r="BN1296" s="233"/>
      <c r="BO1296" s="233"/>
      <c r="BP1296" s="233"/>
      <c r="BQ1296" s="233"/>
      <c r="BR1296" s="233"/>
      <c r="BS1296" s="48"/>
      <c r="BT1296" s="233"/>
      <c r="BU1296" s="228"/>
      <c r="BV1296" s="233"/>
      <c r="BW1296" s="233"/>
      <c r="BX1296" s="233"/>
      <c r="BY1296" s="233"/>
      <c r="BZ1296" s="233"/>
      <c r="CA1296" s="233"/>
      <c r="CB1296" s="233"/>
      <c r="CC1296" s="48"/>
      <c r="CD1296" s="48"/>
      <c r="CE1296" s="48"/>
      <c r="CF1296" s="48"/>
      <c r="CG1296" s="233"/>
      <c r="CH1296" s="48"/>
      <c r="CI1296" s="98"/>
      <c r="CJ1296" s="98"/>
      <c r="CK1296" s="49">
        <f t="shared" si="338"/>
        <v>4394.8394371452041</v>
      </c>
      <c r="CL1296" s="229"/>
      <c r="CM1296" s="229"/>
      <c r="CN1296" s="229"/>
      <c r="CO1296" s="47" t="s">
        <v>892</v>
      </c>
      <c r="CP1296" s="47" t="s">
        <v>893</v>
      </c>
      <c r="CQ1296" s="224">
        <v>-0.80625777204698446</v>
      </c>
      <c r="CR1296" s="224">
        <f t="shared" si="345"/>
        <v>6.4011465773202012</v>
      </c>
      <c r="CS1296" s="230" t="s">
        <v>539</v>
      </c>
      <c r="CT1296" s="230"/>
      <c r="CU1296" s="230"/>
      <c r="CV1296" s="335">
        <f t="shared" si="344"/>
        <v>88570.821228654429</v>
      </c>
      <c r="CW1296" s="230">
        <f t="shared" si="337"/>
        <v>1</v>
      </c>
      <c r="CX1296" s="336" t="s">
        <v>539</v>
      </c>
      <c r="CY1296" s="230" t="s">
        <v>5921</v>
      </c>
    </row>
    <row r="1297" spans="1:103" ht="11.25" customHeight="1" x14ac:dyDescent="0.2">
      <c r="A1297" s="72">
        <v>1295</v>
      </c>
      <c r="B1297" s="224">
        <v>1183</v>
      </c>
      <c r="C1297" s="46" t="s">
        <v>7404</v>
      </c>
      <c r="D1297" s="46"/>
      <c r="E1297" s="114"/>
      <c r="F1297" s="114" t="s">
        <v>3264</v>
      </c>
      <c r="G1297" s="225">
        <v>10265926</v>
      </c>
      <c r="H1297" s="47" t="s">
        <v>3265</v>
      </c>
      <c r="I1297" s="47" t="s">
        <v>3265</v>
      </c>
      <c r="J1297" s="47" t="s">
        <v>3266</v>
      </c>
      <c r="K1297" s="47" t="s">
        <v>637</v>
      </c>
      <c r="L1297" s="47" t="s">
        <v>617</v>
      </c>
      <c r="M1297" s="47" t="s">
        <v>946</v>
      </c>
      <c r="N1297" s="47" t="s">
        <v>6376</v>
      </c>
      <c r="O1297" s="47" t="s">
        <v>918</v>
      </c>
      <c r="P1297" s="53"/>
      <c r="Q1297" s="53"/>
      <c r="R1297" s="53"/>
      <c r="S1297" s="53"/>
      <c r="T1297" s="48">
        <v>141.13</v>
      </c>
      <c r="U1297" s="98">
        <v>7085.665698292355</v>
      </c>
      <c r="V1297" s="98">
        <v>2830.0148798979667</v>
      </c>
      <c r="W1297" s="98">
        <v>7079.4578438413791</v>
      </c>
      <c r="X1297" s="98">
        <v>7085.665698292355</v>
      </c>
      <c r="Y1297" s="233">
        <v>7.23</v>
      </c>
      <c r="Z1297" s="48">
        <v>-0.93</v>
      </c>
      <c r="AA1297" s="48">
        <v>-0.8</v>
      </c>
      <c r="AB1297" s="48">
        <v>-0.47</v>
      </c>
      <c r="AC1297" s="48">
        <v>0.86880000000000002</v>
      </c>
      <c r="AD1297" s="48">
        <v>-0.56000000000000005</v>
      </c>
      <c r="AE1297" s="48">
        <v>-0.82</v>
      </c>
      <c r="AF1297" s="48">
        <f t="shared" si="340"/>
        <v>-0.8</v>
      </c>
      <c r="AG1297" s="49">
        <v>-0.23</v>
      </c>
      <c r="AH1297" s="98">
        <v>8.68E-10</v>
      </c>
      <c r="AI1297" s="98"/>
      <c r="AJ1297" s="483">
        <f t="shared" si="341"/>
        <v>-7.4500466011361599</v>
      </c>
      <c r="AK1297" s="483"/>
      <c r="AL1297" s="483">
        <f t="shared" si="342"/>
        <v>-7.4500466011361599</v>
      </c>
      <c r="AM1297" s="483">
        <v>-9.6689599999999984</v>
      </c>
      <c r="AN1297" s="226">
        <v>-7.09</v>
      </c>
      <c r="AO1297" s="484"/>
      <c r="AP1297" s="484">
        <v>-0.57999999999999996</v>
      </c>
      <c r="AQ1297" s="48" t="s">
        <v>6311</v>
      </c>
      <c r="AR1297" s="48" t="s">
        <v>6311</v>
      </c>
      <c r="AS1297" s="227"/>
      <c r="AT1297" s="50" t="s">
        <v>266</v>
      </c>
      <c r="AU1297" s="48">
        <v>6</v>
      </c>
      <c r="AV1297" s="48">
        <v>120</v>
      </c>
      <c r="AW1297" s="48">
        <v>114</v>
      </c>
      <c r="AX1297" s="48">
        <v>28</v>
      </c>
      <c r="AY1297" s="48" t="s">
        <v>8728</v>
      </c>
      <c r="AZ1297" s="48" t="s">
        <v>1563</v>
      </c>
      <c r="BA1297" s="48">
        <v>32</v>
      </c>
      <c r="BB1297" s="47" t="s">
        <v>2485</v>
      </c>
      <c r="BC1297" s="47" t="s">
        <v>8726</v>
      </c>
      <c r="BD1297" s="47" t="s">
        <v>8374</v>
      </c>
      <c r="BE1297" s="48" t="s">
        <v>2449</v>
      </c>
      <c r="BF1297" s="48" t="s">
        <v>272</v>
      </c>
      <c r="BG1297" s="48" t="s">
        <v>272</v>
      </c>
      <c r="BH1297" s="48" t="s">
        <v>2486</v>
      </c>
      <c r="BI1297" s="98">
        <v>6.3999999999999997E-6</v>
      </c>
      <c r="BJ1297" s="98">
        <v>6.4000000000000001E-2</v>
      </c>
      <c r="BK1297" s="48"/>
      <c r="BL1297" s="98">
        <f t="shared" si="343"/>
        <v>351.58715497161631</v>
      </c>
      <c r="BM1297" s="47" t="s">
        <v>2487</v>
      </c>
      <c r="BN1297" s="48"/>
      <c r="BO1297" s="48"/>
      <c r="BP1297" s="48"/>
      <c r="BQ1297" s="48"/>
      <c r="BR1297" s="47" t="s">
        <v>2496</v>
      </c>
      <c r="BS1297" s="48"/>
      <c r="BT1297" s="48"/>
      <c r="BU1297" s="228">
        <v>6.4000000000000005E-4</v>
      </c>
      <c r="BV1297" s="48"/>
      <c r="BW1297" s="48"/>
      <c r="BX1297" s="48"/>
      <c r="BY1297" s="48"/>
      <c r="BZ1297" s="48"/>
      <c r="CA1297" s="48"/>
      <c r="CB1297" s="48"/>
      <c r="CC1297" s="48"/>
      <c r="CD1297" s="48"/>
      <c r="CE1297" s="48"/>
      <c r="CF1297" s="48"/>
      <c r="CG1297" s="48"/>
      <c r="CH1297" s="48"/>
      <c r="CI1297" s="98"/>
      <c r="CJ1297" s="98"/>
      <c r="CK1297" s="49">
        <f t="shared" si="338"/>
        <v>5493.5492964315044</v>
      </c>
      <c r="CL1297" s="229"/>
      <c r="CM1297" s="229"/>
      <c r="CN1297" s="229"/>
      <c r="CO1297" s="47" t="s">
        <v>2488</v>
      </c>
      <c r="CP1297" s="47" t="s">
        <v>2489</v>
      </c>
      <c r="CQ1297" s="224">
        <v>-0.80625777204698446</v>
      </c>
      <c r="CR1297" s="224">
        <f t="shared" si="345"/>
        <v>6.4011465773202012</v>
      </c>
      <c r="CS1297" s="230" t="s">
        <v>539</v>
      </c>
      <c r="CT1297" s="230"/>
      <c r="CU1297" s="230"/>
      <c r="CV1297" s="335">
        <f t="shared" si="344"/>
        <v>110713.52653581805</v>
      </c>
      <c r="CW1297" s="230">
        <f t="shared" si="337"/>
        <v>1</v>
      </c>
      <c r="CX1297" s="336"/>
      <c r="CY1297" s="230" t="s">
        <v>5921</v>
      </c>
    </row>
    <row r="1298" spans="1:103" ht="11.25" customHeight="1" x14ac:dyDescent="0.2">
      <c r="A1298" s="72">
        <v>1296</v>
      </c>
      <c r="B1298" s="224">
        <v>1051</v>
      </c>
      <c r="C1298" s="46" t="s">
        <v>7405</v>
      </c>
      <c r="D1298" s="46"/>
      <c r="E1298" s="114"/>
      <c r="F1298" s="114" t="s">
        <v>2967</v>
      </c>
      <c r="G1298" s="225">
        <v>10605217</v>
      </c>
      <c r="H1298" s="47" t="s">
        <v>2968</v>
      </c>
      <c r="I1298" s="47" t="s">
        <v>2968</v>
      </c>
      <c r="J1298" s="47" t="s">
        <v>2969</v>
      </c>
      <c r="K1298" s="47" t="s">
        <v>967</v>
      </c>
      <c r="L1298" s="47" t="s">
        <v>5929</v>
      </c>
      <c r="M1298" s="47" t="s">
        <v>6088</v>
      </c>
      <c r="N1298" s="47" t="s">
        <v>6088</v>
      </c>
      <c r="O1298" s="47" t="s">
        <v>6083</v>
      </c>
      <c r="P1298" s="53"/>
      <c r="Q1298" s="53"/>
      <c r="R1298" s="53"/>
      <c r="S1298" s="53"/>
      <c r="T1298" s="48">
        <v>191.19</v>
      </c>
      <c r="U1298" s="98">
        <v>0.15168157330404311</v>
      </c>
      <c r="V1298" s="98">
        <v>12.767404152936869</v>
      </c>
      <c r="W1298" s="98">
        <v>0.91201083935590865</v>
      </c>
      <c r="X1298" s="98">
        <v>0.15168157330404311</v>
      </c>
      <c r="Y1298" s="233">
        <v>8.25</v>
      </c>
      <c r="Z1298" s="48">
        <v>1.55</v>
      </c>
      <c r="AA1298" s="48">
        <v>1.52</v>
      </c>
      <c r="AB1298" s="48">
        <v>1.66</v>
      </c>
      <c r="AC1298" s="48">
        <v>0.83730000000000004</v>
      </c>
      <c r="AD1298" s="48">
        <v>1.62</v>
      </c>
      <c r="AE1298" s="48">
        <v>1.52</v>
      </c>
      <c r="AF1298" s="48">
        <f t="shared" si="340"/>
        <v>1.52</v>
      </c>
      <c r="AG1298" s="49">
        <v>1.1499999999999999</v>
      </c>
      <c r="AH1298" s="98">
        <v>1.4899999999999999E-12</v>
      </c>
      <c r="AI1298" s="98">
        <v>2.1199999999999999E-11</v>
      </c>
      <c r="AJ1298" s="483">
        <f t="shared" si="341"/>
        <v>-10.215380057900378</v>
      </c>
      <c r="AK1298" s="483">
        <f>LOG10(AI1298*1000/(0.08206*298.15))</f>
        <v>-9.0622304653838999</v>
      </c>
      <c r="AL1298" s="483">
        <f t="shared" si="342"/>
        <v>-9.0622304653838999</v>
      </c>
      <c r="AM1298" s="483">
        <v>-14.520869999999999</v>
      </c>
      <c r="AN1298" s="226">
        <v>-9.19</v>
      </c>
      <c r="AO1298" s="484">
        <v>11.62</v>
      </c>
      <c r="AP1298" s="484">
        <v>5.66</v>
      </c>
      <c r="AQ1298" s="48" t="s">
        <v>6311</v>
      </c>
      <c r="AR1298" s="48" t="s">
        <v>6312</v>
      </c>
      <c r="AS1298" s="227"/>
      <c r="AT1298" s="50" t="s">
        <v>266</v>
      </c>
      <c r="AU1298" s="48">
        <v>6</v>
      </c>
      <c r="AV1298" s="48">
        <v>120</v>
      </c>
      <c r="AW1298" s="48">
        <v>114</v>
      </c>
      <c r="AX1298" s="48">
        <v>28</v>
      </c>
      <c r="AY1298" s="48" t="s">
        <v>8728</v>
      </c>
      <c r="AZ1298" s="48" t="s">
        <v>1563</v>
      </c>
      <c r="BA1298" s="48">
        <v>32</v>
      </c>
      <c r="BB1298" s="47" t="s">
        <v>2485</v>
      </c>
      <c r="BC1298" s="47" t="s">
        <v>8726</v>
      </c>
      <c r="BD1298" s="47" t="s">
        <v>8374</v>
      </c>
      <c r="BE1298" s="48" t="s">
        <v>2449</v>
      </c>
      <c r="BF1298" s="48" t="s">
        <v>272</v>
      </c>
      <c r="BG1298" s="48" t="s">
        <v>272</v>
      </c>
      <c r="BH1298" s="48" t="s">
        <v>2486</v>
      </c>
      <c r="BI1298" s="98">
        <v>6.3999999999999997E-6</v>
      </c>
      <c r="BJ1298" s="98">
        <v>6.4000000000000001E-2</v>
      </c>
      <c r="BK1298" s="48"/>
      <c r="BL1298" s="98">
        <f t="shared" si="343"/>
        <v>2.0832673143506195</v>
      </c>
      <c r="BM1298" s="47" t="s">
        <v>2487</v>
      </c>
      <c r="BN1298" s="48"/>
      <c r="BO1298" s="48"/>
      <c r="BP1298" s="48"/>
      <c r="BQ1298" s="48"/>
      <c r="BR1298" s="47" t="s">
        <v>2496</v>
      </c>
      <c r="BS1298" s="48"/>
      <c r="BT1298" s="48"/>
      <c r="BU1298" s="228">
        <v>6.4000000000000001E-2</v>
      </c>
      <c r="BV1298" s="48"/>
      <c r="BW1298" s="48"/>
      <c r="BX1298" s="48"/>
      <c r="BY1298" s="48"/>
      <c r="BZ1298" s="48"/>
      <c r="CA1298" s="48"/>
      <c r="CB1298" s="48"/>
      <c r="CC1298" s="48"/>
      <c r="CD1298" s="48"/>
      <c r="CE1298" s="48"/>
      <c r="CF1298" s="48"/>
      <c r="CG1298" s="48"/>
      <c r="CH1298" s="48"/>
      <c r="CI1298" s="98"/>
      <c r="CJ1298" s="98"/>
      <c r="CK1298" s="49">
        <f t="shared" si="338"/>
        <v>32.551051786728429</v>
      </c>
      <c r="CL1298" s="229"/>
      <c r="CM1298" s="229"/>
      <c r="CN1298" s="229"/>
      <c r="CO1298" s="47" t="s">
        <v>2488</v>
      </c>
      <c r="CP1298" s="47" t="s">
        <v>2489</v>
      </c>
      <c r="CQ1298" s="224">
        <v>-2.756559635602446</v>
      </c>
      <c r="CR1298" s="224">
        <f t="shared" si="345"/>
        <v>570.89946444871111</v>
      </c>
      <c r="CS1298" s="230" t="s">
        <v>539</v>
      </c>
      <c r="CT1298" s="230"/>
      <c r="CU1298" s="230"/>
      <c r="CV1298" s="335">
        <f t="shared" si="344"/>
        <v>2.3700245828756734</v>
      </c>
      <c r="CW1298" s="230">
        <f t="shared" si="337"/>
        <v>1</v>
      </c>
      <c r="CX1298" s="336"/>
      <c r="CY1298" s="230" t="s">
        <v>5921</v>
      </c>
    </row>
    <row r="1299" spans="1:103" ht="11.25" customHeight="1" x14ac:dyDescent="0.2">
      <c r="A1299" s="72">
        <v>1297</v>
      </c>
      <c r="B1299" s="224">
        <v>373</v>
      </c>
      <c r="C1299" s="46" t="s">
        <v>2476</v>
      </c>
      <c r="D1299" s="46"/>
      <c r="E1299" s="114"/>
      <c r="F1299" s="114" t="s">
        <v>2477</v>
      </c>
      <c r="G1299" s="225">
        <v>12427382</v>
      </c>
      <c r="H1299" s="47" t="s">
        <v>2478</v>
      </c>
      <c r="I1299" s="47" t="s">
        <v>2478</v>
      </c>
      <c r="J1299" s="47" t="s">
        <v>2479</v>
      </c>
      <c r="K1299" s="47" t="s">
        <v>1297</v>
      </c>
      <c r="L1299" s="47" t="s">
        <v>5929</v>
      </c>
      <c r="M1299" s="47" t="s">
        <v>1515</v>
      </c>
      <c r="N1299" s="47" t="s">
        <v>6382</v>
      </c>
      <c r="O1299" s="47" t="s">
        <v>1516</v>
      </c>
      <c r="P1299" s="53"/>
      <c r="Q1299" s="53"/>
      <c r="R1299" s="53"/>
      <c r="S1299" s="53"/>
      <c r="T1299" s="48">
        <v>212.38</v>
      </c>
      <c r="U1299" s="98"/>
      <c r="V1299" s="98">
        <v>132.49835201054714</v>
      </c>
      <c r="W1299" s="98">
        <v>58.884365535558885</v>
      </c>
      <c r="X1299" s="98">
        <f>IF(W1299=0,V1299,W1299)</f>
        <v>58.884365535558885</v>
      </c>
      <c r="Y1299" s="233">
        <v>1.25</v>
      </c>
      <c r="Z1299" s="48">
        <v>0.62</v>
      </c>
      <c r="AA1299" s="48">
        <v>1.33</v>
      </c>
      <c r="AB1299" s="48">
        <v>0.96</v>
      </c>
      <c r="AC1299" s="48">
        <v>0.5101</v>
      </c>
      <c r="AD1299" s="48">
        <v>1.3</v>
      </c>
      <c r="AE1299" s="48">
        <v>1.66</v>
      </c>
      <c r="AF1299" s="48">
        <f t="shared" si="340"/>
        <v>1.33</v>
      </c>
      <c r="AG1299" s="49">
        <v>1.3</v>
      </c>
      <c r="AH1299" s="98">
        <v>5.6400000000000002E-7</v>
      </c>
      <c r="AI1299" s="98"/>
      <c r="AJ1299" s="483">
        <f t="shared" si="341"/>
        <v>-4.6372872223293093</v>
      </c>
      <c r="AK1299" s="483"/>
      <c r="AL1299" s="483">
        <f t="shared" si="342"/>
        <v>-4.6372872223293093</v>
      </c>
      <c r="AM1299" s="483">
        <v>-12.801919999999999</v>
      </c>
      <c r="AN1299" s="226"/>
      <c r="AO1299" s="484">
        <v>1.25</v>
      </c>
      <c r="AP1299" s="484">
        <v>1.71</v>
      </c>
      <c r="AQ1299" s="226" t="s">
        <v>6311</v>
      </c>
      <c r="AR1299" s="226" t="s">
        <v>6311</v>
      </c>
      <c r="AS1299" s="224" t="s">
        <v>6</v>
      </c>
      <c r="AT1299" s="50" t="s">
        <v>266</v>
      </c>
      <c r="AU1299" s="48">
        <v>8</v>
      </c>
      <c r="AV1299" s="48">
        <v>144</v>
      </c>
      <c r="AW1299" s="48">
        <v>120</v>
      </c>
      <c r="AX1299" s="48">
        <v>26</v>
      </c>
      <c r="AY1299" s="48" t="s">
        <v>267</v>
      </c>
      <c r="AZ1299" s="48" t="s">
        <v>2253</v>
      </c>
      <c r="BA1299" s="48">
        <v>2</v>
      </c>
      <c r="BB1299" s="47" t="s">
        <v>2254</v>
      </c>
      <c r="BC1299" s="47" t="s">
        <v>270</v>
      </c>
      <c r="BD1299" s="47" t="s">
        <v>8374</v>
      </c>
      <c r="BE1299" s="48" t="s">
        <v>1712</v>
      </c>
      <c r="BF1299" s="48" t="s">
        <v>272</v>
      </c>
      <c r="BG1299" s="48" t="s">
        <v>272</v>
      </c>
      <c r="BH1299" s="48" t="s">
        <v>2255</v>
      </c>
      <c r="BI1299" s="98">
        <v>9.9999999999999995E-7</v>
      </c>
      <c r="BJ1299" s="98">
        <v>0.08</v>
      </c>
      <c r="BK1299" s="48"/>
      <c r="BL1299" s="98">
        <f t="shared" si="343"/>
        <v>14.255353786098398</v>
      </c>
      <c r="BM1299" s="48" t="s">
        <v>891</v>
      </c>
      <c r="BN1299" s="233"/>
      <c r="BO1299" s="233"/>
      <c r="BP1299" s="233"/>
      <c r="BQ1299" s="233"/>
      <c r="BR1299" s="233"/>
      <c r="BS1299" s="48"/>
      <c r="BT1299" s="233"/>
      <c r="BU1299" s="228"/>
      <c r="BV1299" s="233"/>
      <c r="BW1299" s="233"/>
      <c r="BX1299" s="233"/>
      <c r="BY1299" s="233"/>
      <c r="BZ1299" s="233"/>
      <c r="CA1299" s="233"/>
      <c r="CB1299" s="233"/>
      <c r="CC1299" s="48"/>
      <c r="CD1299" s="48"/>
      <c r="CE1299" s="48"/>
      <c r="CF1299" s="48"/>
      <c r="CG1299" s="233"/>
      <c r="CH1299" s="48"/>
      <c r="CI1299" s="98"/>
      <c r="CJ1299" s="98"/>
      <c r="CK1299" s="49">
        <f t="shared" si="338"/>
        <v>178.19192232622999</v>
      </c>
      <c r="CL1299" s="229"/>
      <c r="CM1299" s="229">
        <v>-2.3941238240351312</v>
      </c>
      <c r="CN1299" s="229">
        <f>BJ1299/(10^CM1299)</f>
        <v>19.825028075709607</v>
      </c>
      <c r="CO1299" s="47" t="s">
        <v>892</v>
      </c>
      <c r="CP1299" s="47" t="s">
        <v>893</v>
      </c>
      <c r="CQ1299" s="224">
        <v>-2.2668280988898459</v>
      </c>
      <c r="CR1299" s="224">
        <f t="shared" si="345"/>
        <v>184.85367919880221</v>
      </c>
      <c r="CS1299" s="230" t="s">
        <v>539</v>
      </c>
      <c r="CT1299" s="230"/>
      <c r="CU1299" s="230"/>
      <c r="CV1299" s="335">
        <f t="shared" si="344"/>
        <v>736.05456919448602</v>
      </c>
      <c r="CW1299" s="230">
        <f t="shared" si="337"/>
        <v>1</v>
      </c>
      <c r="CX1299" s="336" t="s">
        <v>539</v>
      </c>
      <c r="CY1299" s="230" t="s">
        <v>5921</v>
      </c>
    </row>
    <row r="1300" spans="1:103" ht="11.25" customHeight="1" x14ac:dyDescent="0.2">
      <c r="A1300" s="72">
        <v>1298</v>
      </c>
      <c r="B1300" s="224">
        <v>1723</v>
      </c>
      <c r="C1300" s="46" t="s">
        <v>2476</v>
      </c>
      <c r="D1300" s="46"/>
      <c r="E1300" s="114"/>
      <c r="F1300" s="114" t="s">
        <v>2477</v>
      </c>
      <c r="G1300" s="225">
        <v>12427382</v>
      </c>
      <c r="H1300" s="47" t="s">
        <v>2478</v>
      </c>
      <c r="I1300" s="47" t="s">
        <v>2478</v>
      </c>
      <c r="J1300" s="47" t="s">
        <v>2479</v>
      </c>
      <c r="K1300" s="47" t="s">
        <v>1297</v>
      </c>
      <c r="L1300" s="47" t="s">
        <v>5929</v>
      </c>
      <c r="M1300" s="47" t="s">
        <v>1515</v>
      </c>
      <c r="N1300" s="47" t="s">
        <v>6382</v>
      </c>
      <c r="O1300" s="47" t="s">
        <v>1516</v>
      </c>
      <c r="P1300" s="53"/>
      <c r="Q1300" s="53"/>
      <c r="R1300" s="53"/>
      <c r="S1300" s="53"/>
      <c r="T1300" s="48">
        <v>212.38</v>
      </c>
      <c r="U1300" s="98"/>
      <c r="V1300" s="98">
        <v>132.49835201054714</v>
      </c>
      <c r="W1300" s="98">
        <v>58.884365535558885</v>
      </c>
      <c r="X1300" s="98">
        <f>IF(W1300=0,V1300,W1300)</f>
        <v>58.884365535558885</v>
      </c>
      <c r="Y1300" s="233">
        <v>1.25</v>
      </c>
      <c r="Z1300" s="48">
        <v>0.62</v>
      </c>
      <c r="AA1300" s="48">
        <v>1.33</v>
      </c>
      <c r="AB1300" s="48">
        <v>0.96</v>
      </c>
      <c r="AC1300" s="48">
        <v>0.5101</v>
      </c>
      <c r="AD1300" s="48">
        <v>1.3</v>
      </c>
      <c r="AE1300" s="48">
        <v>1.66</v>
      </c>
      <c r="AF1300" s="48">
        <f t="shared" si="340"/>
        <v>1.33</v>
      </c>
      <c r="AG1300" s="49">
        <v>1.3</v>
      </c>
      <c r="AH1300" s="98">
        <v>5.6400000000000002E-7</v>
      </c>
      <c r="AI1300" s="98"/>
      <c r="AJ1300" s="483">
        <f t="shared" si="341"/>
        <v>-4.6372872223293093</v>
      </c>
      <c r="AK1300" s="483"/>
      <c r="AL1300" s="483">
        <f t="shared" si="342"/>
        <v>-4.6372872223293093</v>
      </c>
      <c r="AM1300" s="483">
        <v>-12.801919999999999</v>
      </c>
      <c r="AN1300" s="226"/>
      <c r="AO1300" s="484">
        <v>1.25</v>
      </c>
      <c r="AP1300" s="484">
        <v>1.71</v>
      </c>
      <c r="AQ1300" s="226" t="s">
        <v>6311</v>
      </c>
      <c r="AR1300" s="226" t="s">
        <v>6311</v>
      </c>
      <c r="AS1300" s="224"/>
      <c r="AT1300" s="50" t="s">
        <v>266</v>
      </c>
      <c r="AU1300" s="48">
        <v>6</v>
      </c>
      <c r="AV1300" s="48">
        <v>120</v>
      </c>
      <c r="AW1300" s="48">
        <v>114</v>
      </c>
      <c r="AX1300" s="48">
        <v>28</v>
      </c>
      <c r="AY1300" s="48" t="s">
        <v>8728</v>
      </c>
      <c r="AZ1300" s="48" t="s">
        <v>1563</v>
      </c>
      <c r="BA1300" s="48">
        <v>32</v>
      </c>
      <c r="BB1300" s="47" t="s">
        <v>2485</v>
      </c>
      <c r="BC1300" s="47" t="s">
        <v>8726</v>
      </c>
      <c r="BD1300" s="47" t="s">
        <v>8374</v>
      </c>
      <c r="BE1300" s="48" t="s">
        <v>2449</v>
      </c>
      <c r="BF1300" s="48" t="s">
        <v>272</v>
      </c>
      <c r="BG1300" s="48" t="s">
        <v>272</v>
      </c>
      <c r="BH1300" s="48" t="s">
        <v>2486</v>
      </c>
      <c r="BI1300" s="98">
        <v>6.3999999999999997E-6</v>
      </c>
      <c r="BJ1300" s="98">
        <v>6.4000000000000001E-2</v>
      </c>
      <c r="BK1300" s="48"/>
      <c r="BL1300" s="98">
        <f t="shared" si="343"/>
        <v>14.255353786098398</v>
      </c>
      <c r="BM1300" s="47" t="s">
        <v>2487</v>
      </c>
      <c r="BN1300" s="48"/>
      <c r="BO1300" s="48"/>
      <c r="BP1300" s="48"/>
      <c r="BQ1300" s="48"/>
      <c r="BR1300" s="47" t="s">
        <v>2496</v>
      </c>
      <c r="BS1300" s="48"/>
      <c r="BT1300" s="48"/>
      <c r="BU1300" s="228"/>
      <c r="BV1300" s="48"/>
      <c r="BW1300" s="48"/>
      <c r="BX1300" s="48"/>
      <c r="BY1300" s="48"/>
      <c r="BZ1300" s="48"/>
      <c r="CA1300" s="48"/>
      <c r="CB1300" s="48"/>
      <c r="CC1300" s="48"/>
      <c r="CD1300" s="48"/>
      <c r="CE1300" s="48"/>
      <c r="CF1300" s="48"/>
      <c r="CG1300" s="48"/>
      <c r="CH1300" s="48"/>
      <c r="CI1300" s="98"/>
      <c r="CJ1300" s="98"/>
      <c r="CK1300" s="49">
        <f t="shared" si="338"/>
        <v>222.73990290778747</v>
      </c>
      <c r="CL1300" s="229"/>
      <c r="CM1300" s="229">
        <v>-2.3941238240351312</v>
      </c>
      <c r="CN1300" s="229">
        <f>BJ1300/(10^CM1300)</f>
        <v>15.860022460567684</v>
      </c>
      <c r="CO1300" s="47" t="s">
        <v>2488</v>
      </c>
      <c r="CP1300" s="47" t="s">
        <v>2489</v>
      </c>
      <c r="CQ1300" s="224">
        <v>-2.2668280988898459</v>
      </c>
      <c r="CR1300" s="224">
        <f t="shared" si="345"/>
        <v>184.85367919880221</v>
      </c>
      <c r="CS1300" s="230" t="s">
        <v>539</v>
      </c>
      <c r="CT1300" s="230"/>
      <c r="CU1300" s="230"/>
      <c r="CV1300" s="335">
        <f t="shared" si="344"/>
        <v>920.06821149310758</v>
      </c>
      <c r="CW1300" s="230">
        <f t="shared" si="337"/>
        <v>1</v>
      </c>
      <c r="CX1300" s="336"/>
      <c r="CY1300" s="230" t="s">
        <v>5921</v>
      </c>
    </row>
    <row r="1301" spans="1:103" ht="11.25" customHeight="1" x14ac:dyDescent="0.2">
      <c r="A1301" s="72">
        <v>1299</v>
      </c>
      <c r="B1301" s="224">
        <v>333</v>
      </c>
      <c r="C1301" s="46" t="s">
        <v>7406</v>
      </c>
      <c r="D1301" s="46"/>
      <c r="E1301" s="114"/>
      <c r="F1301" s="114" t="s">
        <v>3857</v>
      </c>
      <c r="G1301" s="225">
        <v>13194484</v>
      </c>
      <c r="H1301" s="47" t="s">
        <v>3858</v>
      </c>
      <c r="I1301" s="47" t="s">
        <v>3858</v>
      </c>
      <c r="J1301" s="47" t="s">
        <v>3859</v>
      </c>
      <c r="K1301" s="47" t="s">
        <v>637</v>
      </c>
      <c r="L1301" s="47" t="s">
        <v>617</v>
      </c>
      <c r="M1301" s="47" t="s">
        <v>618</v>
      </c>
      <c r="N1301" s="47" t="s">
        <v>6376</v>
      </c>
      <c r="O1301" s="47" t="s">
        <v>3860</v>
      </c>
      <c r="P1301" s="53"/>
      <c r="Q1301" s="53"/>
      <c r="R1301" s="53"/>
      <c r="S1301" s="53"/>
      <c r="T1301" s="48">
        <v>242.34</v>
      </c>
      <c r="U1301" s="98">
        <v>3.0948254518445157</v>
      </c>
      <c r="V1301" s="98">
        <v>9.2473384501114142E-2</v>
      </c>
      <c r="W1301" s="98">
        <v>3.4673685045253149</v>
      </c>
      <c r="X1301" s="98">
        <v>3.0948254518445157</v>
      </c>
      <c r="Y1301" s="233">
        <v>7</v>
      </c>
      <c r="Z1301" s="48">
        <v>3.14</v>
      </c>
      <c r="AA1301" s="48">
        <v>3.59</v>
      </c>
      <c r="AB1301" s="48">
        <v>3.13</v>
      </c>
      <c r="AC1301" s="48">
        <v>0.84330000000000005</v>
      </c>
      <c r="AD1301" s="48">
        <v>3.26</v>
      </c>
      <c r="AE1301" s="48">
        <v>3.59</v>
      </c>
      <c r="AF1301" s="48">
        <f t="shared" si="340"/>
        <v>3.59</v>
      </c>
      <c r="AG1301" s="49">
        <v>3.18</v>
      </c>
      <c r="AH1301" s="98">
        <v>3.1E-7</v>
      </c>
      <c r="AI1301" s="98">
        <v>1.6199999999999999E-7</v>
      </c>
      <c r="AJ1301" s="483">
        <f t="shared" si="341"/>
        <v>-4.8972046324783793</v>
      </c>
      <c r="AK1301" s="483">
        <f>LOG10(AI1301*1000/(0.08206*298.15))</f>
        <v>-5.1790513117700208</v>
      </c>
      <c r="AL1301" s="483">
        <f t="shared" si="342"/>
        <v>-5.1790513117700208</v>
      </c>
      <c r="AM1301" s="483">
        <v>-8.2349800000000002</v>
      </c>
      <c r="AN1301" s="226">
        <v>-4.63</v>
      </c>
      <c r="AO1301" s="484"/>
      <c r="AP1301" s="484"/>
      <c r="AQ1301" s="226" t="s">
        <v>6312</v>
      </c>
      <c r="AR1301" s="226" t="s">
        <v>6312</v>
      </c>
      <c r="AS1301" s="224" t="s">
        <v>6</v>
      </c>
      <c r="AT1301" s="50" t="s">
        <v>266</v>
      </c>
      <c r="AU1301" s="48">
        <v>8</v>
      </c>
      <c r="AV1301" s="48">
        <v>144</v>
      </c>
      <c r="AW1301" s="48">
        <v>120</v>
      </c>
      <c r="AX1301" s="48">
        <v>26</v>
      </c>
      <c r="AY1301" s="48" t="s">
        <v>267</v>
      </c>
      <c r="AZ1301" s="48" t="s">
        <v>2253</v>
      </c>
      <c r="BA1301" s="48">
        <v>2</v>
      </c>
      <c r="BB1301" s="47" t="s">
        <v>2254</v>
      </c>
      <c r="BC1301" s="47" t="s">
        <v>270</v>
      </c>
      <c r="BD1301" s="47" t="s">
        <v>8374</v>
      </c>
      <c r="BE1301" s="48" t="s">
        <v>1712</v>
      </c>
      <c r="BF1301" s="48" t="s">
        <v>272</v>
      </c>
      <c r="BG1301" s="48" t="s">
        <v>272</v>
      </c>
      <c r="BH1301" s="48" t="s">
        <v>2255</v>
      </c>
      <c r="BI1301" s="98">
        <v>9.9999999999999995E-7</v>
      </c>
      <c r="BJ1301" s="98">
        <v>0.08</v>
      </c>
      <c r="BK1301" s="48"/>
      <c r="BL1301" s="98">
        <f t="shared" si="343"/>
        <v>7.7761745404047386E-2</v>
      </c>
      <c r="BM1301" s="48" t="s">
        <v>891</v>
      </c>
      <c r="BN1301" s="233"/>
      <c r="BO1301" s="233"/>
      <c r="BP1301" s="233"/>
      <c r="BQ1301" s="233"/>
      <c r="BR1301" s="233"/>
      <c r="BS1301" s="48"/>
      <c r="BT1301" s="233"/>
      <c r="BU1301" s="228"/>
      <c r="BV1301" s="233"/>
      <c r="BW1301" s="233"/>
      <c r="BX1301" s="233"/>
      <c r="BY1301" s="233"/>
      <c r="BZ1301" s="233"/>
      <c r="CA1301" s="233"/>
      <c r="CB1301" s="233"/>
      <c r="CC1301" s="48"/>
      <c r="CD1301" s="48"/>
      <c r="CE1301" s="48"/>
      <c r="CF1301" s="48"/>
      <c r="CG1301" s="233"/>
      <c r="CH1301" s="48"/>
      <c r="CI1301" s="98"/>
      <c r="CJ1301" s="98"/>
      <c r="CK1301" s="49">
        <f t="shared" si="338"/>
        <v>0.97202181755059236</v>
      </c>
      <c r="CL1301" s="229"/>
      <c r="CM1301" s="229"/>
      <c r="CN1301" s="229"/>
      <c r="CO1301" s="47" t="s">
        <v>892</v>
      </c>
      <c r="CP1301" s="47" t="s">
        <v>893</v>
      </c>
      <c r="CQ1301" s="224">
        <v>-1.9208772542495343</v>
      </c>
      <c r="CR1301" s="224">
        <f t="shared" si="345"/>
        <v>83.344559248740396</v>
      </c>
      <c r="CS1301" s="230" t="s">
        <v>539</v>
      </c>
      <c r="CT1301" s="230"/>
      <c r="CU1301" s="230"/>
      <c r="CV1301" s="335">
        <f t="shared" si="344"/>
        <v>38.685318148056446</v>
      </c>
      <c r="CW1301" s="230">
        <f t="shared" si="337"/>
        <v>1</v>
      </c>
      <c r="CX1301" s="336" t="s">
        <v>539</v>
      </c>
      <c r="CY1301" s="230" t="s">
        <v>5921</v>
      </c>
    </row>
    <row r="1302" spans="1:103" ht="11.25" customHeight="1" x14ac:dyDescent="0.2">
      <c r="A1302" s="72">
        <v>1300</v>
      </c>
      <c r="B1302" s="224">
        <v>1645</v>
      </c>
      <c r="C1302" s="46" t="s">
        <v>7406</v>
      </c>
      <c r="D1302" s="46"/>
      <c r="E1302" s="114"/>
      <c r="F1302" s="114" t="s">
        <v>3857</v>
      </c>
      <c r="G1302" s="225">
        <v>13194484</v>
      </c>
      <c r="H1302" s="47" t="s">
        <v>3858</v>
      </c>
      <c r="I1302" s="47" t="s">
        <v>3858</v>
      </c>
      <c r="J1302" s="47" t="s">
        <v>3859</v>
      </c>
      <c r="K1302" s="47" t="s">
        <v>637</v>
      </c>
      <c r="L1302" s="47" t="s">
        <v>617</v>
      </c>
      <c r="M1302" s="47" t="s">
        <v>618</v>
      </c>
      <c r="N1302" s="47" t="s">
        <v>6376</v>
      </c>
      <c r="O1302" s="47" t="s">
        <v>3860</v>
      </c>
      <c r="P1302" s="53"/>
      <c r="Q1302" s="53"/>
      <c r="R1302" s="53"/>
      <c r="S1302" s="53"/>
      <c r="T1302" s="48">
        <v>242.34</v>
      </c>
      <c r="U1302" s="98">
        <v>3.0948254518445157</v>
      </c>
      <c r="V1302" s="98">
        <v>9.2473384501114142E-2</v>
      </c>
      <c r="W1302" s="98">
        <v>3.4673685045253149</v>
      </c>
      <c r="X1302" s="98">
        <v>3.0948254518445157</v>
      </c>
      <c r="Y1302" s="233">
        <v>7</v>
      </c>
      <c r="Z1302" s="48">
        <v>3.14</v>
      </c>
      <c r="AA1302" s="48">
        <v>3.59</v>
      </c>
      <c r="AB1302" s="48">
        <v>3.13</v>
      </c>
      <c r="AC1302" s="48">
        <v>0.84330000000000005</v>
      </c>
      <c r="AD1302" s="48">
        <v>3.26</v>
      </c>
      <c r="AE1302" s="48">
        <v>3.59</v>
      </c>
      <c r="AF1302" s="48">
        <f t="shared" si="340"/>
        <v>3.59</v>
      </c>
      <c r="AG1302" s="49">
        <v>3.18</v>
      </c>
      <c r="AH1302" s="98">
        <v>3.1E-7</v>
      </c>
      <c r="AI1302" s="98">
        <v>1.6199999999999999E-7</v>
      </c>
      <c r="AJ1302" s="483">
        <f t="shared" si="341"/>
        <v>-4.8972046324783793</v>
      </c>
      <c r="AK1302" s="483">
        <f>LOG10(AI1302*1000/(0.08206*298.15))</f>
        <v>-5.1790513117700208</v>
      </c>
      <c r="AL1302" s="483">
        <f t="shared" si="342"/>
        <v>-5.1790513117700208</v>
      </c>
      <c r="AM1302" s="483">
        <v>-8.2349800000000002</v>
      </c>
      <c r="AN1302" s="226">
        <v>-4.63</v>
      </c>
      <c r="AO1302" s="484"/>
      <c r="AP1302" s="484"/>
      <c r="AQ1302" s="226" t="s">
        <v>6312</v>
      </c>
      <c r="AR1302" s="226" t="s">
        <v>6312</v>
      </c>
      <c r="AS1302" s="224"/>
      <c r="AT1302" s="50" t="s">
        <v>266</v>
      </c>
      <c r="AU1302" s="48">
        <v>6</v>
      </c>
      <c r="AV1302" s="48">
        <v>120</v>
      </c>
      <c r="AW1302" s="48">
        <v>114</v>
      </c>
      <c r="AX1302" s="48">
        <v>28</v>
      </c>
      <c r="AY1302" s="48" t="s">
        <v>8728</v>
      </c>
      <c r="AZ1302" s="48" t="s">
        <v>1563</v>
      </c>
      <c r="BA1302" s="48">
        <v>32</v>
      </c>
      <c r="BB1302" s="47" t="s">
        <v>2485</v>
      </c>
      <c r="BC1302" s="47" t="s">
        <v>8726</v>
      </c>
      <c r="BD1302" s="47" t="s">
        <v>8374</v>
      </c>
      <c r="BE1302" s="48" t="s">
        <v>2449</v>
      </c>
      <c r="BF1302" s="48" t="s">
        <v>272</v>
      </c>
      <c r="BG1302" s="48" t="s">
        <v>272</v>
      </c>
      <c r="BH1302" s="48" t="s">
        <v>2486</v>
      </c>
      <c r="BI1302" s="98">
        <v>6.3999999999999997E-6</v>
      </c>
      <c r="BJ1302" s="98">
        <v>6.4000000000000001E-2</v>
      </c>
      <c r="BK1302" s="48"/>
      <c r="BL1302" s="98">
        <f t="shared" si="343"/>
        <v>7.7761745404047386E-2</v>
      </c>
      <c r="BM1302" s="47" t="s">
        <v>2487</v>
      </c>
      <c r="BN1302" s="48"/>
      <c r="BO1302" s="48"/>
      <c r="BP1302" s="48"/>
      <c r="BQ1302" s="48"/>
      <c r="BR1302" s="47" t="s">
        <v>2496</v>
      </c>
      <c r="BS1302" s="48"/>
      <c r="BT1302" s="48"/>
      <c r="BU1302" s="228"/>
      <c r="BV1302" s="48"/>
      <c r="BW1302" s="48"/>
      <c r="BX1302" s="48"/>
      <c r="BY1302" s="48"/>
      <c r="BZ1302" s="48"/>
      <c r="CA1302" s="48"/>
      <c r="CB1302" s="48"/>
      <c r="CC1302" s="48"/>
      <c r="CD1302" s="48"/>
      <c r="CE1302" s="48"/>
      <c r="CF1302" s="48"/>
      <c r="CG1302" s="48"/>
      <c r="CH1302" s="48"/>
      <c r="CI1302" s="98"/>
      <c r="CJ1302" s="98"/>
      <c r="CK1302" s="49">
        <f t="shared" si="338"/>
        <v>1.2150272719382404</v>
      </c>
      <c r="CL1302" s="229"/>
      <c r="CM1302" s="229"/>
      <c r="CN1302" s="229"/>
      <c r="CO1302" s="47" t="s">
        <v>2488</v>
      </c>
      <c r="CP1302" s="47" t="s">
        <v>2489</v>
      </c>
      <c r="CQ1302" s="224">
        <v>-1.9208772542495343</v>
      </c>
      <c r="CR1302" s="224">
        <f t="shared" si="345"/>
        <v>83.344559248740396</v>
      </c>
      <c r="CS1302" s="230" t="s">
        <v>539</v>
      </c>
      <c r="CT1302" s="230"/>
      <c r="CU1302" s="230"/>
      <c r="CV1302" s="335">
        <f t="shared" si="344"/>
        <v>48.356647685070556</v>
      </c>
      <c r="CW1302" s="230">
        <f t="shared" si="337"/>
        <v>1</v>
      </c>
      <c r="CX1302" s="336"/>
      <c r="CY1302" s="230" t="s">
        <v>5921</v>
      </c>
    </row>
    <row r="1303" spans="1:103" ht="11.25" customHeight="1" x14ac:dyDescent="0.2">
      <c r="A1303" s="72">
        <v>1301</v>
      </c>
      <c r="B1303" s="224">
        <v>1267</v>
      </c>
      <c r="C1303" s="46" t="s">
        <v>7407</v>
      </c>
      <c r="D1303" s="46"/>
      <c r="E1303" s="114"/>
      <c r="F1303" s="114" t="s">
        <v>3478</v>
      </c>
      <c r="G1303" s="225">
        <v>13292461</v>
      </c>
      <c r="H1303" s="47" t="s">
        <v>3479</v>
      </c>
      <c r="I1303" s="47" t="s">
        <v>8099</v>
      </c>
      <c r="J1303" s="47" t="s">
        <v>3480</v>
      </c>
      <c r="K1303" s="47" t="s">
        <v>3481</v>
      </c>
      <c r="L1303" s="47" t="s">
        <v>279</v>
      </c>
      <c r="M1303" s="47" t="s">
        <v>3482</v>
      </c>
      <c r="N1303" s="47"/>
      <c r="O1303" s="47" t="s">
        <v>281</v>
      </c>
      <c r="P1303" s="53"/>
      <c r="Q1303" s="53"/>
      <c r="R1303" s="53"/>
      <c r="S1303" s="53"/>
      <c r="T1303" s="48">
        <v>822.94</v>
      </c>
      <c r="U1303" s="98">
        <v>1.7012175857292147</v>
      </c>
      <c r="V1303" s="98">
        <v>4.4681264733759444E-7</v>
      </c>
      <c r="W1303" s="98">
        <v>0.15488166189124797</v>
      </c>
      <c r="X1303" s="98">
        <v>1.7012175857292147</v>
      </c>
      <c r="Y1303" s="233">
        <v>6.22</v>
      </c>
      <c r="Z1303" s="48">
        <v>4.24</v>
      </c>
      <c r="AA1303" s="48"/>
      <c r="AB1303" s="48">
        <v>3.81</v>
      </c>
      <c r="AC1303" s="48">
        <v>0.38290000000000002</v>
      </c>
      <c r="AD1303" s="48">
        <v>2.2400000000000002</v>
      </c>
      <c r="AE1303" s="48">
        <v>1.0900000000000001</v>
      </c>
      <c r="AF1303" s="48">
        <f t="shared" si="340"/>
        <v>2.2400000000000002</v>
      </c>
      <c r="AG1303" s="49">
        <v>1.73</v>
      </c>
      <c r="AH1303" s="98">
        <v>2.7200000000000001E-42</v>
      </c>
      <c r="AI1303" s="98"/>
      <c r="AJ1303" s="483">
        <f t="shared" si="341"/>
        <v>-39.953997422278455</v>
      </c>
      <c r="AK1303" s="483"/>
      <c r="AL1303" s="483">
        <f t="shared" si="342"/>
        <v>-39.953997422278455</v>
      </c>
      <c r="AM1303" s="483">
        <v>-54.152059999999999</v>
      </c>
      <c r="AN1303" s="226">
        <v>-40.1</v>
      </c>
      <c r="AO1303" s="484">
        <v>4.96</v>
      </c>
      <c r="AP1303" s="484">
        <v>7.3</v>
      </c>
      <c r="AQ1303" s="48" t="s">
        <v>6311</v>
      </c>
      <c r="AR1303" s="48" t="s">
        <v>6312</v>
      </c>
      <c r="AS1303" s="227"/>
      <c r="AT1303" s="50" t="s">
        <v>266</v>
      </c>
      <c r="AU1303" s="48">
        <v>6</v>
      </c>
      <c r="AV1303" s="48">
        <v>120</v>
      </c>
      <c r="AW1303" s="48">
        <v>114</v>
      </c>
      <c r="AX1303" s="48">
        <v>28</v>
      </c>
      <c r="AY1303" s="48" t="s">
        <v>8728</v>
      </c>
      <c r="AZ1303" s="48" t="s">
        <v>1563</v>
      </c>
      <c r="BA1303" s="48">
        <v>32</v>
      </c>
      <c r="BB1303" s="47" t="s">
        <v>2485</v>
      </c>
      <c r="BC1303" s="47" t="s">
        <v>8726</v>
      </c>
      <c r="BD1303" s="47" t="s">
        <v>8374</v>
      </c>
      <c r="BE1303" s="48" t="s">
        <v>2449</v>
      </c>
      <c r="BF1303" s="48" t="s">
        <v>272</v>
      </c>
      <c r="BG1303" s="48" t="s">
        <v>272</v>
      </c>
      <c r="BH1303" s="48" t="s">
        <v>2486</v>
      </c>
      <c r="BI1303" s="98">
        <v>6.3999999999999997E-6</v>
      </c>
      <c r="BJ1303" s="98">
        <v>6.4000000000000001E-2</v>
      </c>
      <c r="BK1303" s="48"/>
      <c r="BL1303" s="98">
        <f t="shared" si="343"/>
        <v>7.9956909612284976E-3</v>
      </c>
      <c r="BM1303" s="47" t="s">
        <v>2487</v>
      </c>
      <c r="BN1303" s="48"/>
      <c r="BO1303" s="48"/>
      <c r="BP1303" s="48"/>
      <c r="BQ1303" s="48"/>
      <c r="BR1303" s="47" t="s">
        <v>2496</v>
      </c>
      <c r="BS1303" s="48"/>
      <c r="BT1303" s="48"/>
      <c r="BU1303" s="228">
        <v>4.0000000000000003E-5</v>
      </c>
      <c r="BV1303" s="48"/>
      <c r="BW1303" s="48"/>
      <c r="BX1303" s="48"/>
      <c r="BY1303" s="48"/>
      <c r="BZ1303" s="48"/>
      <c r="CA1303" s="48"/>
      <c r="CB1303" s="48"/>
      <c r="CC1303" s="48"/>
      <c r="CD1303" s="48"/>
      <c r="CE1303" s="48"/>
      <c r="CF1303" s="48"/>
      <c r="CG1303" s="48"/>
      <c r="CH1303" s="48"/>
      <c r="CI1303" s="98"/>
      <c r="CJ1303" s="98"/>
      <c r="CK1303" s="49">
        <f t="shared" si="338"/>
        <v>0.12493267126919527</v>
      </c>
      <c r="CL1303" s="229"/>
      <c r="CM1303" s="229"/>
      <c r="CN1303" s="229"/>
      <c r="CO1303" s="47" t="s">
        <v>2488</v>
      </c>
      <c r="CP1303" s="47" t="s">
        <v>2489</v>
      </c>
      <c r="CQ1303" s="224" t="s">
        <v>272</v>
      </c>
      <c r="CR1303" s="224"/>
      <c r="CS1303" s="230" t="s">
        <v>539</v>
      </c>
      <c r="CT1303" s="230"/>
      <c r="CU1303" s="230"/>
      <c r="CV1303" s="335">
        <f t="shared" si="344"/>
        <v>26.581524777018977</v>
      </c>
      <c r="CW1303" s="230">
        <f t="shared" si="337"/>
        <v>1</v>
      </c>
      <c r="CX1303" s="336"/>
      <c r="CY1303" s="230" t="s">
        <v>5921</v>
      </c>
    </row>
    <row r="1304" spans="1:103" ht="11.25" customHeight="1" x14ac:dyDescent="0.2">
      <c r="A1304" s="72">
        <v>1302</v>
      </c>
      <c r="B1304" s="224">
        <v>1677</v>
      </c>
      <c r="C1304" s="46" t="s">
        <v>7408</v>
      </c>
      <c r="D1304" s="46"/>
      <c r="E1304" s="114"/>
      <c r="F1304" s="114" t="s">
        <v>4897</v>
      </c>
      <c r="G1304" s="225">
        <v>13311847</v>
      </c>
      <c r="H1304" s="47" t="s">
        <v>4898</v>
      </c>
      <c r="I1304" s="47" t="s">
        <v>8100</v>
      </c>
      <c r="J1304" s="47" t="s">
        <v>4899</v>
      </c>
      <c r="K1304" s="47" t="s">
        <v>471</v>
      </c>
      <c r="L1304" s="47" t="s">
        <v>279</v>
      </c>
      <c r="M1304" s="47" t="s">
        <v>4900</v>
      </c>
      <c r="N1304" s="47"/>
      <c r="O1304" s="47" t="s">
        <v>281</v>
      </c>
      <c r="P1304" s="53"/>
      <c r="Q1304" s="53"/>
      <c r="R1304" s="53"/>
      <c r="S1304" s="53"/>
      <c r="T1304" s="48">
        <v>276.20999999999998</v>
      </c>
      <c r="U1304" s="98"/>
      <c r="V1304" s="98">
        <v>3.4216719162955725E-2</v>
      </c>
      <c r="W1304" s="98">
        <v>0.13182567385564067</v>
      </c>
      <c r="X1304" s="98">
        <f>IF(W1304=0,V1304,W1304)</f>
        <v>0.13182567385564067</v>
      </c>
      <c r="Y1304" s="233">
        <v>7</v>
      </c>
      <c r="Z1304" s="48">
        <v>3.51</v>
      </c>
      <c r="AA1304" s="48">
        <v>3.35</v>
      </c>
      <c r="AB1304" s="48">
        <v>2.95</v>
      </c>
      <c r="AC1304" s="48">
        <v>0.8518</v>
      </c>
      <c r="AD1304" s="48">
        <v>3.14</v>
      </c>
      <c r="AE1304" s="48">
        <v>3.72</v>
      </c>
      <c r="AF1304" s="48">
        <f t="shared" si="340"/>
        <v>3.35</v>
      </c>
      <c r="AG1304" s="49">
        <v>2.37</v>
      </c>
      <c r="AH1304" s="98">
        <v>3.73E-10</v>
      </c>
      <c r="AI1304" s="98"/>
      <c r="AJ1304" s="483">
        <f t="shared" si="341"/>
        <v>-7.8168574945039637</v>
      </c>
      <c r="AK1304" s="483"/>
      <c r="AL1304" s="483">
        <f t="shared" si="342"/>
        <v>-7.8168574945039637</v>
      </c>
      <c r="AM1304" s="483">
        <v>-11.2728</v>
      </c>
      <c r="AN1304" s="226">
        <v>-5.86</v>
      </c>
      <c r="AO1304" s="484">
        <v>13.12</v>
      </c>
      <c r="AP1304" s="484">
        <v>-4.58</v>
      </c>
      <c r="AQ1304" s="226" t="s">
        <v>6311</v>
      </c>
      <c r="AR1304" s="226" t="s">
        <v>6311</v>
      </c>
      <c r="AS1304" s="224"/>
      <c r="AT1304" s="50" t="s">
        <v>266</v>
      </c>
      <c r="AU1304" s="48">
        <v>6</v>
      </c>
      <c r="AV1304" s="48">
        <v>120</v>
      </c>
      <c r="AW1304" s="48">
        <v>114</v>
      </c>
      <c r="AX1304" s="48">
        <v>28</v>
      </c>
      <c r="AY1304" s="48" t="s">
        <v>8728</v>
      </c>
      <c r="AZ1304" s="48" t="s">
        <v>1563</v>
      </c>
      <c r="BA1304" s="48">
        <v>32</v>
      </c>
      <c r="BB1304" s="47" t="s">
        <v>2485</v>
      </c>
      <c r="BC1304" s="47" t="s">
        <v>8726</v>
      </c>
      <c r="BD1304" s="47" t="s">
        <v>8374</v>
      </c>
      <c r="BE1304" s="48" t="s">
        <v>2449</v>
      </c>
      <c r="BF1304" s="48" t="s">
        <v>272</v>
      </c>
      <c r="BG1304" s="48" t="s">
        <v>272</v>
      </c>
      <c r="BH1304" s="48" t="s">
        <v>2486</v>
      </c>
      <c r="BI1304" s="98">
        <v>6.3999999999999997E-6</v>
      </c>
      <c r="BJ1304" s="98">
        <v>6.4000000000000001E-2</v>
      </c>
      <c r="BK1304" s="48"/>
      <c r="BL1304" s="98">
        <f t="shared" si="343"/>
        <v>3.6180036445079868E-2</v>
      </c>
      <c r="BM1304" s="47" t="s">
        <v>2487</v>
      </c>
      <c r="BN1304" s="48"/>
      <c r="BO1304" s="48"/>
      <c r="BP1304" s="48"/>
      <c r="BQ1304" s="48"/>
      <c r="BR1304" s="47" t="s">
        <v>2496</v>
      </c>
      <c r="BS1304" s="48"/>
      <c r="BT1304" s="48"/>
      <c r="BU1304" s="228"/>
      <c r="BV1304" s="48"/>
      <c r="BW1304" s="48"/>
      <c r="BX1304" s="48"/>
      <c r="BY1304" s="48"/>
      <c r="BZ1304" s="48"/>
      <c r="CA1304" s="48"/>
      <c r="CB1304" s="48"/>
      <c r="CC1304" s="48"/>
      <c r="CD1304" s="48"/>
      <c r="CE1304" s="48"/>
      <c r="CF1304" s="48"/>
      <c r="CG1304" s="48"/>
      <c r="CH1304" s="48"/>
      <c r="CI1304" s="98"/>
      <c r="CJ1304" s="98"/>
      <c r="CK1304" s="49">
        <f t="shared" si="338"/>
        <v>0.56531306945437287</v>
      </c>
      <c r="CL1304" s="229"/>
      <c r="CM1304" s="229"/>
      <c r="CN1304" s="229"/>
      <c r="CO1304" s="47" t="s">
        <v>2488</v>
      </c>
      <c r="CP1304" s="47" t="s">
        <v>2489</v>
      </c>
      <c r="CQ1304" s="224" t="s">
        <v>272</v>
      </c>
      <c r="CR1304" s="224"/>
      <c r="CS1304" s="230" t="s">
        <v>539</v>
      </c>
      <c r="CT1304" s="230"/>
      <c r="CU1304" s="230"/>
      <c r="CV1304" s="335">
        <f t="shared" si="344"/>
        <v>2.0597761539943855</v>
      </c>
      <c r="CW1304" s="230">
        <f t="shared" si="337"/>
        <v>1</v>
      </c>
      <c r="CX1304" s="336"/>
      <c r="CY1304" s="230" t="s">
        <v>5921</v>
      </c>
    </row>
    <row r="1305" spans="1:103" ht="11.25" customHeight="1" x14ac:dyDescent="0.2">
      <c r="A1305" s="72">
        <v>1303</v>
      </c>
      <c r="B1305" s="224">
        <v>1338</v>
      </c>
      <c r="C1305" s="46" t="s">
        <v>7409</v>
      </c>
      <c r="D1305" s="46"/>
      <c r="E1305" s="114"/>
      <c r="F1305" s="114" t="s">
        <v>3628</v>
      </c>
      <c r="G1305" s="225">
        <v>13674878</v>
      </c>
      <c r="H1305" s="236" t="s">
        <v>3629</v>
      </c>
      <c r="I1305" s="236" t="s">
        <v>8101</v>
      </c>
      <c r="J1305" s="236" t="s">
        <v>3630</v>
      </c>
      <c r="K1305" s="236" t="s">
        <v>637</v>
      </c>
      <c r="L1305" s="47"/>
      <c r="M1305" s="47"/>
      <c r="N1305" s="47"/>
      <c r="O1305" s="52"/>
      <c r="P1305" s="53"/>
      <c r="Q1305" s="53"/>
      <c r="R1305" s="53"/>
      <c r="S1305" s="53"/>
      <c r="T1305" s="226">
        <v>430.91</v>
      </c>
      <c r="U1305" s="98">
        <v>1.6244691466895639E-2</v>
      </c>
      <c r="V1305" s="98">
        <v>3.483325984544336E-3</v>
      </c>
      <c r="W1305" s="98">
        <v>0.89125093813374534</v>
      </c>
      <c r="X1305" s="98">
        <v>1.6244691466895639E-2</v>
      </c>
      <c r="Y1305" s="233">
        <v>7</v>
      </c>
      <c r="Z1305" s="48">
        <v>3.65</v>
      </c>
      <c r="AA1305" s="48">
        <v>3.65</v>
      </c>
      <c r="AB1305" s="48">
        <v>3.71</v>
      </c>
      <c r="AC1305" s="48">
        <v>0.79710000000000003</v>
      </c>
      <c r="AD1305" s="48">
        <v>3.26</v>
      </c>
      <c r="AE1305" s="48">
        <v>1.79</v>
      </c>
      <c r="AF1305" s="48">
        <f t="shared" si="340"/>
        <v>3.65</v>
      </c>
      <c r="AG1305" s="48">
        <v>3.53</v>
      </c>
      <c r="AH1305" s="98">
        <v>2.6099999999999999E-9</v>
      </c>
      <c r="AI1305" s="98"/>
      <c r="AJ1305" s="483">
        <f t="shared" si="341"/>
        <v>-6.9719258189743707</v>
      </c>
      <c r="AK1305" s="483"/>
      <c r="AL1305" s="483">
        <f t="shared" si="342"/>
        <v>-6.9719258189743707</v>
      </c>
      <c r="AM1305" s="483">
        <v>-12.334430000000001</v>
      </c>
      <c r="AN1305" s="48">
        <v>-9.69</v>
      </c>
      <c r="AO1305" s="484"/>
      <c r="AP1305" s="484"/>
      <c r="AQ1305" s="48" t="s">
        <v>6312</v>
      </c>
      <c r="AR1305" s="48" t="s">
        <v>6312</v>
      </c>
      <c r="AS1305" s="227"/>
      <c r="AT1305" s="50" t="s">
        <v>266</v>
      </c>
      <c r="AU1305" s="48">
        <v>6</v>
      </c>
      <c r="AV1305" s="48">
        <v>120</v>
      </c>
      <c r="AW1305" s="48">
        <v>114</v>
      </c>
      <c r="AX1305" s="48">
        <v>28</v>
      </c>
      <c r="AY1305" s="48" t="s">
        <v>8728</v>
      </c>
      <c r="AZ1305" s="48" t="s">
        <v>1563</v>
      </c>
      <c r="BA1305" s="48">
        <v>32</v>
      </c>
      <c r="BB1305" s="47" t="s">
        <v>2485</v>
      </c>
      <c r="BC1305" s="47" t="s">
        <v>8726</v>
      </c>
      <c r="BD1305" s="47" t="s">
        <v>8374</v>
      </c>
      <c r="BE1305" s="48" t="s">
        <v>2449</v>
      </c>
      <c r="BF1305" s="48" t="s">
        <v>272</v>
      </c>
      <c r="BG1305" s="48" t="s">
        <v>272</v>
      </c>
      <c r="BH1305" s="48" t="s">
        <v>2486</v>
      </c>
      <c r="BI1305" s="98">
        <v>6.3999999999999997E-6</v>
      </c>
      <c r="BJ1305" s="98">
        <v>6.4000000000000001E-2</v>
      </c>
      <c r="BK1305" s="48"/>
      <c r="BL1305" s="98">
        <f t="shared" si="343"/>
        <v>2.7085384179099177E-2</v>
      </c>
      <c r="BM1305" s="47" t="s">
        <v>2487</v>
      </c>
      <c r="BN1305" s="48"/>
      <c r="BO1305" s="48"/>
      <c r="BP1305" s="48"/>
      <c r="BQ1305" s="48"/>
      <c r="BR1305" s="47" t="s">
        <v>2496</v>
      </c>
      <c r="BS1305" s="48"/>
      <c r="BT1305" s="48"/>
      <c r="BU1305" s="228">
        <v>6.4000000000000001E-2</v>
      </c>
      <c r="BV1305" s="48"/>
      <c r="BW1305" s="48"/>
      <c r="BX1305" s="48"/>
      <c r="BY1305" s="48"/>
      <c r="BZ1305" s="48"/>
      <c r="CA1305" s="48"/>
      <c r="CB1305" s="48"/>
      <c r="CC1305" s="48"/>
      <c r="CD1305" s="48"/>
      <c r="CE1305" s="48"/>
      <c r="CF1305" s="48"/>
      <c r="CG1305" s="48"/>
      <c r="CH1305" s="48"/>
      <c r="CI1305" s="98"/>
      <c r="CJ1305" s="98"/>
      <c r="CK1305" s="49">
        <f t="shared" si="338"/>
        <v>0.42320912779842462</v>
      </c>
      <c r="CL1305" s="229"/>
      <c r="CM1305" s="229"/>
      <c r="CN1305" s="229"/>
      <c r="CO1305" s="47" t="s">
        <v>2488</v>
      </c>
      <c r="CP1305" s="47" t="s">
        <v>2489</v>
      </c>
      <c r="CQ1305" s="224" t="s">
        <v>272</v>
      </c>
      <c r="CR1305" s="224"/>
      <c r="CS1305" s="230" t="s">
        <v>539</v>
      </c>
      <c r="CT1305" s="230"/>
      <c r="CU1305" s="230"/>
      <c r="CV1305" s="335">
        <f t="shared" si="344"/>
        <v>0.25382330417024435</v>
      </c>
      <c r="CW1305" s="230">
        <f t="shared" si="337"/>
        <v>0</v>
      </c>
      <c r="CX1305" s="336"/>
      <c r="CY1305" s="230" t="s">
        <v>6351</v>
      </c>
    </row>
    <row r="1306" spans="1:103" ht="11.25" customHeight="1" x14ac:dyDescent="0.2">
      <c r="A1306" s="72">
        <v>1304</v>
      </c>
      <c r="B1306" s="224">
        <v>410</v>
      </c>
      <c r="C1306" s="46" t="s">
        <v>7410</v>
      </c>
      <c r="D1306" s="46"/>
      <c r="E1306" s="114"/>
      <c r="F1306" s="114" t="s">
        <v>3959</v>
      </c>
      <c r="G1306" s="225">
        <v>15299997</v>
      </c>
      <c r="H1306" s="47" t="s">
        <v>3960</v>
      </c>
      <c r="I1306" s="47" t="s">
        <v>3960</v>
      </c>
      <c r="J1306" s="47" t="s">
        <v>3961</v>
      </c>
      <c r="K1306" s="47" t="s">
        <v>471</v>
      </c>
      <c r="L1306" s="47" t="s">
        <v>6046</v>
      </c>
      <c r="M1306" s="47" t="s">
        <v>6082</v>
      </c>
      <c r="N1306" s="47" t="s">
        <v>6082</v>
      </c>
      <c r="O1306" s="47" t="s">
        <v>6083</v>
      </c>
      <c r="P1306" s="53"/>
      <c r="Q1306" s="53"/>
      <c r="R1306" s="53"/>
      <c r="S1306" s="53"/>
      <c r="T1306" s="48">
        <v>271.35000000000002</v>
      </c>
      <c r="U1306" s="98">
        <v>0.26902524414962226</v>
      </c>
      <c r="V1306" s="98">
        <v>8.9331122166943056E-2</v>
      </c>
      <c r="W1306" s="98">
        <v>0.44668359215096265</v>
      </c>
      <c r="X1306" s="98">
        <v>0.26902524414962226</v>
      </c>
      <c r="Y1306" s="233">
        <v>7</v>
      </c>
      <c r="Z1306" s="48">
        <v>3.33</v>
      </c>
      <c r="AA1306" s="48">
        <v>3.36</v>
      </c>
      <c r="AB1306" s="48">
        <v>3.49</v>
      </c>
      <c r="AC1306" s="48">
        <v>0.9214</v>
      </c>
      <c r="AD1306" s="48">
        <v>3.44</v>
      </c>
      <c r="AE1306" s="48">
        <v>3.24</v>
      </c>
      <c r="AF1306" s="48">
        <f t="shared" si="340"/>
        <v>3.36</v>
      </c>
      <c r="AG1306" s="49">
        <v>3.34</v>
      </c>
      <c r="AH1306" s="98">
        <v>3.7699999999999999E-10</v>
      </c>
      <c r="AI1306" s="98">
        <v>8.4099999999999999E-10</v>
      </c>
      <c r="AJ1306" s="483">
        <f t="shared" si="341"/>
        <v>-7.812224976106859</v>
      </c>
      <c r="AK1306" s="483">
        <f>LOG10(AI1306*1000/(0.08206*298.15))</f>
        <v>-7.4637703305147394</v>
      </c>
      <c r="AL1306" s="483">
        <f t="shared" si="342"/>
        <v>-7.4637703305147394</v>
      </c>
      <c r="AM1306" s="483">
        <v>-12.8308</v>
      </c>
      <c r="AN1306" s="226">
        <v>-7.96</v>
      </c>
      <c r="AO1306" s="484"/>
      <c r="AP1306" s="484">
        <v>-0.82</v>
      </c>
      <c r="AQ1306" s="226" t="s">
        <v>6311</v>
      </c>
      <c r="AR1306" s="226" t="s">
        <v>6311</v>
      </c>
      <c r="AS1306" s="224" t="s">
        <v>6</v>
      </c>
      <c r="AT1306" s="50" t="s">
        <v>266</v>
      </c>
      <c r="AU1306" s="48">
        <v>8</v>
      </c>
      <c r="AV1306" s="48">
        <v>144</v>
      </c>
      <c r="AW1306" s="48">
        <v>120</v>
      </c>
      <c r="AX1306" s="48">
        <v>26</v>
      </c>
      <c r="AY1306" s="48" t="s">
        <v>267</v>
      </c>
      <c r="AZ1306" s="48" t="s">
        <v>2253</v>
      </c>
      <c r="BA1306" s="48">
        <v>2</v>
      </c>
      <c r="BB1306" s="47" t="s">
        <v>2254</v>
      </c>
      <c r="BC1306" s="47" t="s">
        <v>270</v>
      </c>
      <c r="BD1306" s="47" t="s">
        <v>8374</v>
      </c>
      <c r="BE1306" s="48" t="s">
        <v>1712</v>
      </c>
      <c r="BF1306" s="48" t="s">
        <v>272</v>
      </c>
      <c r="BG1306" s="48" t="s">
        <v>272</v>
      </c>
      <c r="BH1306" s="48" t="s">
        <v>2255</v>
      </c>
      <c r="BI1306" s="98">
        <v>9.9999999999999995E-7</v>
      </c>
      <c r="BJ1306" s="98">
        <v>0.08</v>
      </c>
      <c r="BK1306" s="48"/>
      <c r="BL1306" s="98">
        <f t="shared" si="343"/>
        <v>5.2496095124823713E-2</v>
      </c>
      <c r="BM1306" s="48" t="s">
        <v>891</v>
      </c>
      <c r="BN1306" s="233"/>
      <c r="BO1306" s="233"/>
      <c r="BP1306" s="233"/>
      <c r="BQ1306" s="233"/>
      <c r="BR1306" s="233"/>
      <c r="BS1306" s="48"/>
      <c r="BT1306" s="233"/>
      <c r="BU1306" s="228"/>
      <c r="BV1306" s="233"/>
      <c r="BW1306" s="233"/>
      <c r="BX1306" s="233"/>
      <c r="BY1306" s="233"/>
      <c r="BZ1306" s="233"/>
      <c r="CA1306" s="233"/>
      <c r="CB1306" s="233"/>
      <c r="CC1306" s="48"/>
      <c r="CD1306" s="48"/>
      <c r="CE1306" s="48"/>
      <c r="CF1306" s="48"/>
      <c r="CG1306" s="233"/>
      <c r="CH1306" s="48"/>
      <c r="CI1306" s="98"/>
      <c r="CJ1306" s="98"/>
      <c r="CK1306" s="49">
        <f t="shared" si="338"/>
        <v>0.65620118906029645</v>
      </c>
      <c r="CL1306" s="229"/>
      <c r="CM1306" s="229"/>
      <c r="CN1306" s="229"/>
      <c r="CO1306" s="47" t="s">
        <v>892</v>
      </c>
      <c r="CP1306" s="47" t="s">
        <v>893</v>
      </c>
      <c r="CQ1306" s="224">
        <v>-1.3720124433631231</v>
      </c>
      <c r="CR1306" s="224">
        <f>10^(CJ1306-CQ1306)</f>
        <v>23.551167615049966</v>
      </c>
      <c r="CS1306" s="230" t="s">
        <v>539</v>
      </c>
      <c r="CT1306" s="230"/>
      <c r="CU1306" s="230"/>
      <c r="CV1306" s="335">
        <f t="shared" si="344"/>
        <v>3.3628155518702783</v>
      </c>
      <c r="CW1306" s="230">
        <f t="shared" si="337"/>
        <v>1</v>
      </c>
      <c r="CX1306" s="336" t="s">
        <v>539</v>
      </c>
      <c r="CY1306" s="230" t="s">
        <v>5921</v>
      </c>
    </row>
    <row r="1307" spans="1:103" ht="11.25" customHeight="1" x14ac:dyDescent="0.2">
      <c r="A1307" s="72">
        <v>1305</v>
      </c>
      <c r="B1307" s="224">
        <v>1773</v>
      </c>
      <c r="C1307" s="46" t="s">
        <v>7410</v>
      </c>
      <c r="D1307" s="46"/>
      <c r="E1307" s="114"/>
      <c r="F1307" s="114" t="s">
        <v>3959</v>
      </c>
      <c r="G1307" s="225">
        <v>15299997</v>
      </c>
      <c r="H1307" s="47" t="s">
        <v>3960</v>
      </c>
      <c r="I1307" s="47" t="s">
        <v>3960</v>
      </c>
      <c r="J1307" s="47" t="s">
        <v>3961</v>
      </c>
      <c r="K1307" s="47" t="s">
        <v>471</v>
      </c>
      <c r="L1307" s="47" t="s">
        <v>6046</v>
      </c>
      <c r="M1307" s="47" t="s">
        <v>6082</v>
      </c>
      <c r="N1307" s="47" t="s">
        <v>6082</v>
      </c>
      <c r="O1307" s="47" t="s">
        <v>6083</v>
      </c>
      <c r="P1307" s="53"/>
      <c r="Q1307" s="53"/>
      <c r="R1307" s="53"/>
      <c r="S1307" s="53"/>
      <c r="T1307" s="48">
        <v>271.35000000000002</v>
      </c>
      <c r="U1307" s="98">
        <v>0.26902524414962226</v>
      </c>
      <c r="V1307" s="98">
        <v>8.9331122166943056E-2</v>
      </c>
      <c r="W1307" s="98">
        <v>0.44668359215096265</v>
      </c>
      <c r="X1307" s="98">
        <v>0.26902524414962226</v>
      </c>
      <c r="Y1307" s="233">
        <v>7</v>
      </c>
      <c r="Z1307" s="48">
        <v>3.33</v>
      </c>
      <c r="AA1307" s="48">
        <v>3.36</v>
      </c>
      <c r="AB1307" s="48">
        <v>3.49</v>
      </c>
      <c r="AC1307" s="48">
        <v>0.9214</v>
      </c>
      <c r="AD1307" s="48">
        <v>3.44</v>
      </c>
      <c r="AE1307" s="48">
        <v>3.24</v>
      </c>
      <c r="AF1307" s="48">
        <f t="shared" si="340"/>
        <v>3.36</v>
      </c>
      <c r="AG1307" s="49">
        <v>3.34</v>
      </c>
      <c r="AH1307" s="98">
        <v>3.7699999999999999E-10</v>
      </c>
      <c r="AI1307" s="98">
        <v>8.4099999999999999E-10</v>
      </c>
      <c r="AJ1307" s="483">
        <f t="shared" si="341"/>
        <v>-7.812224976106859</v>
      </c>
      <c r="AK1307" s="483">
        <f>LOG10(AI1307*1000/(0.08206*298.15))</f>
        <v>-7.4637703305147394</v>
      </c>
      <c r="AL1307" s="483">
        <f t="shared" si="342"/>
        <v>-7.4637703305147394</v>
      </c>
      <c r="AM1307" s="483">
        <v>-12.8308</v>
      </c>
      <c r="AN1307" s="226">
        <v>-7.96</v>
      </c>
      <c r="AO1307" s="484"/>
      <c r="AP1307" s="484">
        <v>-0.82</v>
      </c>
      <c r="AQ1307" s="226" t="s">
        <v>6311</v>
      </c>
      <c r="AR1307" s="226" t="s">
        <v>6311</v>
      </c>
      <c r="AS1307" s="224"/>
      <c r="AT1307" s="50" t="s">
        <v>266</v>
      </c>
      <c r="AU1307" s="48">
        <v>6</v>
      </c>
      <c r="AV1307" s="48">
        <v>120</v>
      </c>
      <c r="AW1307" s="48">
        <v>114</v>
      </c>
      <c r="AX1307" s="48">
        <v>28</v>
      </c>
      <c r="AY1307" s="48" t="s">
        <v>8728</v>
      </c>
      <c r="AZ1307" s="48" t="s">
        <v>1563</v>
      </c>
      <c r="BA1307" s="48">
        <v>32</v>
      </c>
      <c r="BB1307" s="47" t="s">
        <v>2485</v>
      </c>
      <c r="BC1307" s="47" t="s">
        <v>8726</v>
      </c>
      <c r="BD1307" s="47" t="s">
        <v>8374</v>
      </c>
      <c r="BE1307" s="48" t="s">
        <v>2449</v>
      </c>
      <c r="BF1307" s="48" t="s">
        <v>272</v>
      </c>
      <c r="BG1307" s="48" t="s">
        <v>272</v>
      </c>
      <c r="BH1307" s="48" t="s">
        <v>2486</v>
      </c>
      <c r="BI1307" s="98">
        <v>6.3999999999999997E-6</v>
      </c>
      <c r="BJ1307" s="98">
        <v>6.4000000000000001E-2</v>
      </c>
      <c r="BK1307" s="48"/>
      <c r="BL1307" s="98">
        <f t="shared" si="343"/>
        <v>5.2496095124823713E-2</v>
      </c>
      <c r="BM1307" s="47" t="s">
        <v>2487</v>
      </c>
      <c r="BN1307" s="48"/>
      <c r="BO1307" s="48"/>
      <c r="BP1307" s="48"/>
      <c r="BQ1307" s="48"/>
      <c r="BR1307" s="47" t="s">
        <v>2496</v>
      </c>
      <c r="BS1307" s="48"/>
      <c r="BT1307" s="48"/>
      <c r="BU1307" s="228"/>
      <c r="BV1307" s="48"/>
      <c r="BW1307" s="48"/>
      <c r="BX1307" s="48"/>
      <c r="BY1307" s="48"/>
      <c r="BZ1307" s="48"/>
      <c r="CA1307" s="48"/>
      <c r="CB1307" s="48"/>
      <c r="CC1307" s="48"/>
      <c r="CD1307" s="48"/>
      <c r="CE1307" s="48"/>
      <c r="CF1307" s="48"/>
      <c r="CG1307" s="48"/>
      <c r="CH1307" s="48"/>
      <c r="CI1307" s="98"/>
      <c r="CJ1307" s="98"/>
      <c r="CK1307" s="49">
        <f t="shared" si="338"/>
        <v>0.82025148632537048</v>
      </c>
      <c r="CL1307" s="229"/>
      <c r="CM1307" s="229"/>
      <c r="CN1307" s="229"/>
      <c r="CO1307" s="47" t="s">
        <v>2488</v>
      </c>
      <c r="CP1307" s="47" t="s">
        <v>2489</v>
      </c>
      <c r="CQ1307" s="224">
        <v>-1.3720124433631231</v>
      </c>
      <c r="CR1307" s="224">
        <f>10^(CJ1307-CQ1307)</f>
        <v>23.551167615049966</v>
      </c>
      <c r="CS1307" s="230" t="s">
        <v>539</v>
      </c>
      <c r="CT1307" s="230"/>
      <c r="CU1307" s="230"/>
      <c r="CV1307" s="335">
        <f t="shared" si="344"/>
        <v>4.2035194398378479</v>
      </c>
      <c r="CW1307" s="230">
        <f t="shared" si="337"/>
        <v>1</v>
      </c>
      <c r="CX1307" s="336"/>
      <c r="CY1307" s="230" t="s">
        <v>5921</v>
      </c>
    </row>
    <row r="1308" spans="1:103" ht="11.25" customHeight="1" x14ac:dyDescent="0.2">
      <c r="A1308" s="72">
        <v>1306</v>
      </c>
      <c r="B1308" s="224">
        <v>1350</v>
      </c>
      <c r="C1308" s="46" t="s">
        <v>7411</v>
      </c>
      <c r="D1308" s="46"/>
      <c r="E1308" s="114"/>
      <c r="F1308" s="114" t="s">
        <v>4179</v>
      </c>
      <c r="G1308" s="225">
        <v>15619484</v>
      </c>
      <c r="H1308" s="47" t="s">
        <v>4180</v>
      </c>
      <c r="I1308" s="47" t="s">
        <v>8102</v>
      </c>
      <c r="J1308" s="47" t="s">
        <v>4181</v>
      </c>
      <c r="K1308" s="47" t="s">
        <v>426</v>
      </c>
      <c r="L1308" s="51"/>
      <c r="M1308" s="47"/>
      <c r="N1308" s="47"/>
      <c r="O1308" s="47"/>
      <c r="P1308" s="53"/>
      <c r="Q1308" s="53"/>
      <c r="R1308" s="53"/>
      <c r="S1308" s="53"/>
      <c r="T1308" s="48">
        <v>255.75</v>
      </c>
      <c r="U1308" s="98"/>
      <c r="V1308" s="98">
        <v>1706.3538611925708</v>
      </c>
      <c r="W1308" s="98"/>
      <c r="X1308" s="98">
        <f>IF(W1308=0,V1308,W1308)</f>
        <v>1706.3538611925708</v>
      </c>
      <c r="Y1308" s="233"/>
      <c r="Z1308" s="48">
        <v>-1.52</v>
      </c>
      <c r="AA1308" s="48"/>
      <c r="AB1308" s="48">
        <v>0</v>
      </c>
      <c r="AC1308" s="48">
        <v>0</v>
      </c>
      <c r="AD1308" s="48">
        <v>0</v>
      </c>
      <c r="AE1308" s="48">
        <v>0</v>
      </c>
      <c r="AF1308" s="48"/>
      <c r="AG1308" s="49">
        <v>4.22</v>
      </c>
      <c r="AH1308" s="98">
        <v>1.19E-12</v>
      </c>
      <c r="AI1308" s="98"/>
      <c r="AJ1308" s="483">
        <f t="shared" si="341"/>
        <v>-10.313019364920121</v>
      </c>
      <c r="AK1308" s="483"/>
      <c r="AL1308" s="483">
        <f t="shared" si="342"/>
        <v>-10.313019364920121</v>
      </c>
      <c r="AM1308" s="483"/>
      <c r="AN1308" s="226">
        <v>-6.95</v>
      </c>
      <c r="AO1308" s="484"/>
      <c r="AP1308" s="484"/>
      <c r="AQ1308" s="48" t="s">
        <v>6311</v>
      </c>
      <c r="AR1308" s="48" t="s">
        <v>6311</v>
      </c>
      <c r="AS1308" s="227"/>
      <c r="AT1308" s="50" t="s">
        <v>266</v>
      </c>
      <c r="AU1308" s="48">
        <v>6</v>
      </c>
      <c r="AV1308" s="48">
        <v>120</v>
      </c>
      <c r="AW1308" s="48">
        <v>114</v>
      </c>
      <c r="AX1308" s="48">
        <v>28</v>
      </c>
      <c r="AY1308" s="48" t="s">
        <v>8728</v>
      </c>
      <c r="AZ1308" s="48" t="s">
        <v>1563</v>
      </c>
      <c r="BA1308" s="48">
        <v>32</v>
      </c>
      <c r="BB1308" s="47" t="s">
        <v>2485</v>
      </c>
      <c r="BC1308" s="47" t="s">
        <v>8726</v>
      </c>
      <c r="BD1308" s="47" t="s">
        <v>8374</v>
      </c>
      <c r="BE1308" s="48" t="s">
        <v>2449</v>
      </c>
      <c r="BF1308" s="48" t="s">
        <v>272</v>
      </c>
      <c r="BG1308" s="48" t="s">
        <v>272</v>
      </c>
      <c r="BH1308" s="48" t="s">
        <v>2486</v>
      </c>
      <c r="BI1308" s="98">
        <v>6.3999999999999997E-6</v>
      </c>
      <c r="BJ1308" s="98">
        <v>6.4000000000000001E-2</v>
      </c>
      <c r="BK1308" s="48"/>
      <c r="BL1308" s="98">
        <f t="shared" si="343"/>
        <v>1191.0006541047662</v>
      </c>
      <c r="BM1308" s="47" t="s">
        <v>2487</v>
      </c>
      <c r="BN1308" s="48"/>
      <c r="BO1308" s="48"/>
      <c r="BP1308" s="48"/>
      <c r="BQ1308" s="48"/>
      <c r="BR1308" s="47" t="s">
        <v>2496</v>
      </c>
      <c r="BS1308" s="48"/>
      <c r="BT1308" s="48"/>
      <c r="BU1308" s="228"/>
      <c r="BV1308" s="48"/>
      <c r="BW1308" s="48"/>
      <c r="BX1308" s="48"/>
      <c r="BY1308" s="48"/>
      <c r="BZ1308" s="48"/>
      <c r="CA1308" s="48"/>
      <c r="CB1308" s="48"/>
      <c r="CC1308" s="48"/>
      <c r="CD1308" s="48"/>
      <c r="CE1308" s="48"/>
      <c r="CF1308" s="48"/>
      <c r="CG1308" s="48"/>
      <c r="CH1308" s="48"/>
      <c r="CI1308" s="98"/>
      <c r="CJ1308" s="98"/>
      <c r="CK1308" s="49">
        <f t="shared" si="338"/>
        <v>18609.385220386972</v>
      </c>
      <c r="CL1308" s="229"/>
      <c r="CM1308" s="229"/>
      <c r="CN1308" s="229"/>
      <c r="CO1308" s="47" t="s">
        <v>2488</v>
      </c>
      <c r="CP1308" s="47" t="s">
        <v>2489</v>
      </c>
      <c r="CQ1308" s="224" t="s">
        <v>272</v>
      </c>
      <c r="CR1308" s="224"/>
      <c r="CS1308" s="230" t="s">
        <v>539</v>
      </c>
      <c r="CT1308" s="230"/>
      <c r="CU1308" s="230"/>
      <c r="CV1308" s="335">
        <f t="shared" si="344"/>
        <v>26661.779081133918</v>
      </c>
      <c r="CW1308" s="230">
        <f t="shared" si="337"/>
        <v>1</v>
      </c>
      <c r="CX1308" s="336"/>
      <c r="CY1308" s="230" t="s">
        <v>5921</v>
      </c>
    </row>
    <row r="1309" spans="1:103" ht="11.25" customHeight="1" x14ac:dyDescent="0.2">
      <c r="A1309" s="72">
        <v>1307</v>
      </c>
      <c r="B1309" s="224">
        <v>329</v>
      </c>
      <c r="C1309" s="46" t="s">
        <v>7412</v>
      </c>
      <c r="D1309" s="46"/>
      <c r="E1309" s="114"/>
      <c r="F1309" s="114" t="s">
        <v>3854</v>
      </c>
      <c r="G1309" s="225">
        <v>16672870</v>
      </c>
      <c r="H1309" s="47" t="s">
        <v>3855</v>
      </c>
      <c r="I1309" s="47" t="s">
        <v>8103</v>
      </c>
      <c r="J1309" s="47" t="s">
        <v>3856</v>
      </c>
      <c r="K1309" s="47" t="s">
        <v>426</v>
      </c>
      <c r="L1309" s="47" t="s">
        <v>8488</v>
      </c>
      <c r="M1309" s="47" t="s">
        <v>8487</v>
      </c>
      <c r="N1309" s="47"/>
      <c r="O1309" s="47"/>
      <c r="P1309" s="53"/>
      <c r="Q1309" s="53"/>
      <c r="R1309" s="53"/>
      <c r="S1309" s="53"/>
      <c r="T1309" s="48">
        <v>144.49</v>
      </c>
      <c r="U1309" s="98">
        <v>6920.8941795279943</v>
      </c>
      <c r="V1309" s="98">
        <v>854.73043117170732</v>
      </c>
      <c r="W1309" s="98">
        <v>630.95734448019323</v>
      </c>
      <c r="X1309" s="98">
        <v>6920.8941795279943</v>
      </c>
      <c r="Y1309" s="233">
        <v>1.07</v>
      </c>
      <c r="Z1309" s="48">
        <v>-0.25</v>
      </c>
      <c r="AA1309" s="48">
        <v>-0.22</v>
      </c>
      <c r="AB1309" s="48">
        <v>-0.39</v>
      </c>
      <c r="AC1309" s="48">
        <v>0.69820000000000004</v>
      </c>
      <c r="AD1309" s="48">
        <v>-0.75</v>
      </c>
      <c r="AE1309" s="48">
        <v>-1.42</v>
      </c>
      <c r="AF1309" s="48">
        <f t="shared" ref="AF1309:AF1314" si="346">IF(AA1309=0,AD1309,AA1309)</f>
        <v>-0.22</v>
      </c>
      <c r="AG1309" s="49">
        <v>-0.45</v>
      </c>
      <c r="AH1309" s="98">
        <v>5.7000000000000003E-12</v>
      </c>
      <c r="AI1309" s="98"/>
      <c r="AJ1309" s="483">
        <f t="shared" si="341"/>
        <v>-9.632691470640161</v>
      </c>
      <c r="AK1309" s="483"/>
      <c r="AL1309" s="483">
        <f t="shared" si="342"/>
        <v>-9.632691470640161</v>
      </c>
      <c r="AM1309" s="483">
        <v>-10.689049999999998</v>
      </c>
      <c r="AN1309" s="226">
        <v>-9.56</v>
      </c>
      <c r="AO1309" s="484">
        <v>1.88</v>
      </c>
      <c r="AP1309" s="484"/>
      <c r="AQ1309" s="226" t="s">
        <v>6311</v>
      </c>
      <c r="AR1309" s="226" t="s">
        <v>6311</v>
      </c>
      <c r="AS1309" s="224" t="s">
        <v>6</v>
      </c>
      <c r="AT1309" s="50" t="s">
        <v>266</v>
      </c>
      <c r="AU1309" s="48">
        <v>8</v>
      </c>
      <c r="AV1309" s="48">
        <v>144</v>
      </c>
      <c r="AW1309" s="48">
        <v>120</v>
      </c>
      <c r="AX1309" s="48">
        <v>26</v>
      </c>
      <c r="AY1309" s="48" t="s">
        <v>267</v>
      </c>
      <c r="AZ1309" s="48" t="s">
        <v>2253</v>
      </c>
      <c r="BA1309" s="48">
        <v>2</v>
      </c>
      <c r="BB1309" s="47" t="s">
        <v>2254</v>
      </c>
      <c r="BC1309" s="47" t="s">
        <v>270</v>
      </c>
      <c r="BD1309" s="47" t="s">
        <v>8374</v>
      </c>
      <c r="BE1309" s="48" t="s">
        <v>1712</v>
      </c>
      <c r="BF1309" s="48" t="s">
        <v>272</v>
      </c>
      <c r="BG1309" s="48" t="s">
        <v>272</v>
      </c>
      <c r="BH1309" s="48" t="s">
        <v>2255</v>
      </c>
      <c r="BI1309" s="98">
        <v>9.9999999999999995E-7</v>
      </c>
      <c r="BJ1309" s="98">
        <v>0.08</v>
      </c>
      <c r="BK1309" s="48"/>
      <c r="BL1309" s="98">
        <f t="shared" si="343"/>
        <v>86.1638309526748</v>
      </c>
      <c r="BM1309" s="48" t="s">
        <v>891</v>
      </c>
      <c r="BN1309" s="233"/>
      <c r="BO1309" s="233"/>
      <c r="BP1309" s="233"/>
      <c r="BQ1309" s="233"/>
      <c r="BR1309" s="233"/>
      <c r="BS1309" s="48"/>
      <c r="BT1309" s="233"/>
      <c r="BU1309" s="228"/>
      <c r="BV1309" s="233"/>
      <c r="BW1309" s="233"/>
      <c r="BX1309" s="233"/>
      <c r="BY1309" s="233"/>
      <c r="BZ1309" s="233"/>
      <c r="CA1309" s="233"/>
      <c r="CB1309" s="233"/>
      <c r="CC1309" s="48"/>
      <c r="CD1309" s="48"/>
      <c r="CE1309" s="48"/>
      <c r="CF1309" s="48"/>
      <c r="CG1309" s="233"/>
      <c r="CH1309" s="48"/>
      <c r="CI1309" s="98"/>
      <c r="CJ1309" s="98"/>
      <c r="CK1309" s="49">
        <f t="shared" si="338"/>
        <v>1077.047886908435</v>
      </c>
      <c r="CL1309" s="229"/>
      <c r="CM1309" s="229"/>
      <c r="CN1309" s="229"/>
      <c r="CO1309" s="47" t="s">
        <v>892</v>
      </c>
      <c r="CP1309" s="47" t="s">
        <v>893</v>
      </c>
      <c r="CQ1309" s="224">
        <v>-8.9898247870489084E-2</v>
      </c>
      <c r="CR1309" s="224">
        <f t="shared" ref="CR1309:CR1314" si="347">10^(CJ1309-CQ1309)</f>
        <v>1.2299805612933159</v>
      </c>
      <c r="CS1309" s="230" t="s">
        <v>539</v>
      </c>
      <c r="CT1309" s="230"/>
      <c r="CU1309" s="230"/>
      <c r="CV1309" s="335">
        <f t="shared" si="344"/>
        <v>86511.177244099934</v>
      </c>
      <c r="CW1309" s="230">
        <f t="shared" si="337"/>
        <v>1</v>
      </c>
      <c r="CX1309" s="336" t="s">
        <v>539</v>
      </c>
      <c r="CY1309" s="230" t="s">
        <v>5921</v>
      </c>
    </row>
    <row r="1310" spans="1:103" ht="11.25" customHeight="1" x14ac:dyDescent="0.2">
      <c r="A1310" s="72">
        <v>1308</v>
      </c>
      <c r="B1310" s="224">
        <v>1643</v>
      </c>
      <c r="C1310" s="46" t="s">
        <v>7412</v>
      </c>
      <c r="D1310" s="46"/>
      <c r="E1310" s="114"/>
      <c r="F1310" s="114" t="s">
        <v>3854</v>
      </c>
      <c r="G1310" s="225">
        <v>16672870</v>
      </c>
      <c r="H1310" s="47" t="s">
        <v>3855</v>
      </c>
      <c r="I1310" s="47" t="s">
        <v>8103</v>
      </c>
      <c r="J1310" s="47" t="s">
        <v>3856</v>
      </c>
      <c r="K1310" s="47" t="s">
        <v>426</v>
      </c>
      <c r="L1310" s="47" t="s">
        <v>8488</v>
      </c>
      <c r="M1310" s="47" t="s">
        <v>8487</v>
      </c>
      <c r="N1310" s="47"/>
      <c r="O1310" s="47"/>
      <c r="P1310" s="53"/>
      <c r="Q1310" s="53"/>
      <c r="R1310" s="53"/>
      <c r="S1310" s="53"/>
      <c r="T1310" s="48">
        <v>144.49</v>
      </c>
      <c r="U1310" s="98">
        <v>6920.8941795279943</v>
      </c>
      <c r="V1310" s="98">
        <v>854.73043117170732</v>
      </c>
      <c r="W1310" s="98">
        <v>630.95734448019323</v>
      </c>
      <c r="X1310" s="98">
        <v>6920.8941795279943</v>
      </c>
      <c r="Y1310" s="233">
        <v>1.07</v>
      </c>
      <c r="Z1310" s="48">
        <v>-0.25</v>
      </c>
      <c r="AA1310" s="48">
        <v>-0.22</v>
      </c>
      <c r="AB1310" s="48">
        <v>-0.39</v>
      </c>
      <c r="AC1310" s="48">
        <v>0.69820000000000004</v>
      </c>
      <c r="AD1310" s="48">
        <v>-0.75</v>
      </c>
      <c r="AE1310" s="48">
        <v>-1.42</v>
      </c>
      <c r="AF1310" s="48">
        <f t="shared" si="346"/>
        <v>-0.22</v>
      </c>
      <c r="AG1310" s="49">
        <v>-0.45</v>
      </c>
      <c r="AH1310" s="98">
        <v>5.7000000000000003E-12</v>
      </c>
      <c r="AI1310" s="98"/>
      <c r="AJ1310" s="483">
        <f t="shared" si="341"/>
        <v>-9.632691470640161</v>
      </c>
      <c r="AK1310" s="483"/>
      <c r="AL1310" s="483">
        <f t="shared" si="342"/>
        <v>-9.632691470640161</v>
      </c>
      <c r="AM1310" s="483">
        <v>-10.689049999999998</v>
      </c>
      <c r="AN1310" s="226">
        <v>-9.56</v>
      </c>
      <c r="AO1310" s="484">
        <v>1.88</v>
      </c>
      <c r="AP1310" s="484"/>
      <c r="AQ1310" s="226" t="s">
        <v>6311</v>
      </c>
      <c r="AR1310" s="226" t="s">
        <v>6311</v>
      </c>
      <c r="AS1310" s="224"/>
      <c r="AT1310" s="50" t="s">
        <v>266</v>
      </c>
      <c r="AU1310" s="48">
        <v>6</v>
      </c>
      <c r="AV1310" s="48">
        <v>120</v>
      </c>
      <c r="AW1310" s="48">
        <v>114</v>
      </c>
      <c r="AX1310" s="48">
        <v>28</v>
      </c>
      <c r="AY1310" s="48" t="s">
        <v>8728</v>
      </c>
      <c r="AZ1310" s="48" t="s">
        <v>1563</v>
      </c>
      <c r="BA1310" s="48">
        <v>32</v>
      </c>
      <c r="BB1310" s="47" t="s">
        <v>2485</v>
      </c>
      <c r="BC1310" s="47" t="s">
        <v>8726</v>
      </c>
      <c r="BD1310" s="47" t="s">
        <v>8374</v>
      </c>
      <c r="BE1310" s="48" t="s">
        <v>2449</v>
      </c>
      <c r="BF1310" s="48" t="s">
        <v>272</v>
      </c>
      <c r="BG1310" s="48" t="s">
        <v>272</v>
      </c>
      <c r="BH1310" s="48" t="s">
        <v>2486</v>
      </c>
      <c r="BI1310" s="98">
        <v>6.3999999999999997E-6</v>
      </c>
      <c r="BJ1310" s="98">
        <v>6.4000000000000001E-2</v>
      </c>
      <c r="BK1310" s="48"/>
      <c r="BL1310" s="98">
        <f t="shared" si="343"/>
        <v>86.1638309526748</v>
      </c>
      <c r="BM1310" s="47" t="s">
        <v>2487</v>
      </c>
      <c r="BN1310" s="48"/>
      <c r="BO1310" s="48"/>
      <c r="BP1310" s="48"/>
      <c r="BQ1310" s="48"/>
      <c r="BR1310" s="47" t="s">
        <v>2496</v>
      </c>
      <c r="BS1310" s="48"/>
      <c r="BT1310" s="48"/>
      <c r="BU1310" s="228"/>
      <c r="BV1310" s="48"/>
      <c r="BW1310" s="48"/>
      <c r="BX1310" s="48"/>
      <c r="BY1310" s="48"/>
      <c r="BZ1310" s="48"/>
      <c r="CA1310" s="48"/>
      <c r="CB1310" s="48"/>
      <c r="CC1310" s="48"/>
      <c r="CD1310" s="48"/>
      <c r="CE1310" s="48"/>
      <c r="CF1310" s="48"/>
      <c r="CG1310" s="48"/>
      <c r="CH1310" s="48"/>
      <c r="CI1310" s="98"/>
      <c r="CJ1310" s="98"/>
      <c r="CK1310" s="49">
        <f t="shared" si="338"/>
        <v>1346.3098586355438</v>
      </c>
      <c r="CL1310" s="229"/>
      <c r="CM1310" s="229"/>
      <c r="CN1310" s="229"/>
      <c r="CO1310" s="47" t="s">
        <v>2488</v>
      </c>
      <c r="CP1310" s="47" t="s">
        <v>2489</v>
      </c>
      <c r="CQ1310" s="224">
        <v>-8.9898247870489084E-2</v>
      </c>
      <c r="CR1310" s="224">
        <f t="shared" si="347"/>
        <v>1.2299805612933159</v>
      </c>
      <c r="CS1310" s="230" t="s">
        <v>539</v>
      </c>
      <c r="CT1310" s="230"/>
      <c r="CU1310" s="230"/>
      <c r="CV1310" s="335">
        <f t="shared" si="344"/>
        <v>108138.97155512491</v>
      </c>
      <c r="CW1310" s="230">
        <f t="shared" si="337"/>
        <v>1</v>
      </c>
      <c r="CX1310" s="336"/>
      <c r="CY1310" s="230" t="s">
        <v>5921</v>
      </c>
    </row>
    <row r="1311" spans="1:103" ht="11.25" customHeight="1" x14ac:dyDescent="0.2">
      <c r="A1311" s="72">
        <v>1309</v>
      </c>
      <c r="B1311" s="224">
        <v>386</v>
      </c>
      <c r="C1311" s="46" t="s">
        <v>7413</v>
      </c>
      <c r="D1311" s="46"/>
      <c r="E1311" s="114"/>
      <c r="F1311" s="114" t="s">
        <v>3267</v>
      </c>
      <c r="G1311" s="225">
        <v>16752775</v>
      </c>
      <c r="H1311" s="47" t="s">
        <v>3268</v>
      </c>
      <c r="I1311" s="47" t="s">
        <v>3268</v>
      </c>
      <c r="J1311" s="47" t="s">
        <v>3269</v>
      </c>
      <c r="K1311" s="47" t="s">
        <v>1504</v>
      </c>
      <c r="L1311" s="47" t="s">
        <v>617</v>
      </c>
      <c r="M1311" s="47" t="s">
        <v>3936</v>
      </c>
      <c r="N1311" s="47" t="s">
        <v>6376</v>
      </c>
      <c r="O1311" s="47" t="s">
        <v>3271</v>
      </c>
      <c r="P1311" s="53"/>
      <c r="Q1311" s="53"/>
      <c r="R1311" s="53"/>
      <c r="S1311" s="53"/>
      <c r="T1311" s="48">
        <v>162.21</v>
      </c>
      <c r="U1311" s="98">
        <v>357.5611861167622</v>
      </c>
      <c r="V1311" s="98">
        <v>126.68762714999075</v>
      </c>
      <c r="W1311" s="98">
        <v>70.794578438413794</v>
      </c>
      <c r="X1311" s="98">
        <v>357.5611861167622</v>
      </c>
      <c r="Y1311" s="233">
        <v>6.93</v>
      </c>
      <c r="Z1311" s="48">
        <v>0.61</v>
      </c>
      <c r="AA1311" s="48">
        <v>0.6</v>
      </c>
      <c r="AB1311" s="48">
        <v>0.53</v>
      </c>
      <c r="AC1311" s="48">
        <v>0.8548</v>
      </c>
      <c r="AD1311" s="48">
        <v>0.55000000000000004</v>
      </c>
      <c r="AE1311" s="48">
        <v>0.6</v>
      </c>
      <c r="AF1311" s="48">
        <f t="shared" si="346"/>
        <v>0.6</v>
      </c>
      <c r="AG1311" s="49">
        <v>0.93</v>
      </c>
      <c r="AH1311" s="98">
        <v>2.0200000000000001E-9</v>
      </c>
      <c r="AI1311" s="98">
        <v>1.97E-11</v>
      </c>
      <c r="AJ1311" s="483">
        <f t="shared" si="341"/>
        <v>-7.0832149568660281</v>
      </c>
      <c r="AK1311" s="483">
        <f>LOG10(AI1311*1000/(0.08206*298.15))</f>
        <v>-9.0941001001510582</v>
      </c>
      <c r="AL1311" s="483">
        <f t="shared" si="342"/>
        <v>-9.0941001001510582</v>
      </c>
      <c r="AM1311" s="483">
        <v>-7.9050999999999991</v>
      </c>
      <c r="AN1311" s="226">
        <v>-7.49</v>
      </c>
      <c r="AO1311" s="484">
        <v>13.27</v>
      </c>
      <c r="AP1311" s="484">
        <v>-1.25</v>
      </c>
      <c r="AQ1311" s="226" t="s">
        <v>6311</v>
      </c>
      <c r="AR1311" s="226" t="s">
        <v>6311</v>
      </c>
      <c r="AS1311" s="224" t="s">
        <v>6</v>
      </c>
      <c r="AT1311" s="50" t="s">
        <v>266</v>
      </c>
      <c r="AU1311" s="48">
        <v>8</v>
      </c>
      <c r="AV1311" s="48">
        <v>144</v>
      </c>
      <c r="AW1311" s="48">
        <v>120</v>
      </c>
      <c r="AX1311" s="48">
        <v>26</v>
      </c>
      <c r="AY1311" s="48" t="s">
        <v>267</v>
      </c>
      <c r="AZ1311" s="48" t="s">
        <v>2253</v>
      </c>
      <c r="BA1311" s="48">
        <v>2</v>
      </c>
      <c r="BB1311" s="47" t="s">
        <v>2254</v>
      </c>
      <c r="BC1311" s="47" t="s">
        <v>270</v>
      </c>
      <c r="BD1311" s="47" t="s">
        <v>8374</v>
      </c>
      <c r="BE1311" s="48" t="s">
        <v>1712</v>
      </c>
      <c r="BF1311" s="48" t="s">
        <v>272</v>
      </c>
      <c r="BG1311" s="48" t="s">
        <v>272</v>
      </c>
      <c r="BH1311" s="48" t="s">
        <v>2255</v>
      </c>
      <c r="BI1311" s="98">
        <v>9.9999999999999995E-7</v>
      </c>
      <c r="BJ1311" s="98">
        <v>0.08</v>
      </c>
      <c r="BK1311" s="48"/>
      <c r="BL1311" s="98">
        <f t="shared" si="343"/>
        <v>14.553216830139666</v>
      </c>
      <c r="BM1311" s="48" t="s">
        <v>891</v>
      </c>
      <c r="BN1311" s="233"/>
      <c r="BO1311" s="233"/>
      <c r="BP1311" s="233"/>
      <c r="BQ1311" s="233"/>
      <c r="BR1311" s="233"/>
      <c r="BS1311" s="48"/>
      <c r="BT1311" s="233"/>
      <c r="BU1311" s="228"/>
      <c r="BV1311" s="233"/>
      <c r="BW1311" s="233"/>
      <c r="BX1311" s="233"/>
      <c r="BY1311" s="233"/>
      <c r="BZ1311" s="233"/>
      <c r="CA1311" s="233"/>
      <c r="CB1311" s="233"/>
      <c r="CC1311" s="48"/>
      <c r="CD1311" s="48"/>
      <c r="CE1311" s="48"/>
      <c r="CF1311" s="48"/>
      <c r="CG1311" s="233"/>
      <c r="CH1311" s="48"/>
      <c r="CI1311" s="98"/>
      <c r="CJ1311" s="98"/>
      <c r="CK1311" s="49">
        <f t="shared" si="338"/>
        <v>181.91521037674582</v>
      </c>
      <c r="CL1311" s="229"/>
      <c r="CM1311" s="229"/>
      <c r="CN1311" s="229"/>
      <c r="CO1311" s="47" t="s">
        <v>892</v>
      </c>
      <c r="CP1311" s="47" t="s">
        <v>893</v>
      </c>
      <c r="CQ1311" s="224">
        <v>-2.0290257577446842</v>
      </c>
      <c r="CR1311" s="224">
        <f t="shared" si="347"/>
        <v>106.9118286105271</v>
      </c>
      <c r="CS1311" s="230" t="s">
        <v>539</v>
      </c>
      <c r="CT1311" s="230"/>
      <c r="CU1311" s="230"/>
      <c r="CV1311" s="335">
        <f t="shared" si="344"/>
        <v>4469.5148264595273</v>
      </c>
      <c r="CW1311" s="230">
        <f t="shared" si="337"/>
        <v>1</v>
      </c>
      <c r="CX1311" s="336" t="s">
        <v>539</v>
      </c>
      <c r="CY1311" s="230" t="s">
        <v>5921</v>
      </c>
    </row>
    <row r="1312" spans="1:103" ht="11.25" customHeight="1" x14ac:dyDescent="0.2">
      <c r="A1312" s="72">
        <v>1310</v>
      </c>
      <c r="B1312" s="224">
        <v>1184</v>
      </c>
      <c r="C1312" s="46" t="s">
        <v>7413</v>
      </c>
      <c r="D1312" s="46"/>
      <c r="E1312" s="114"/>
      <c r="F1312" s="114" t="s">
        <v>3267</v>
      </c>
      <c r="G1312" s="225">
        <v>16752775</v>
      </c>
      <c r="H1312" s="47" t="s">
        <v>3268</v>
      </c>
      <c r="I1312" s="47" t="s">
        <v>3268</v>
      </c>
      <c r="J1312" s="47" t="s">
        <v>3269</v>
      </c>
      <c r="K1312" s="47" t="s">
        <v>1504</v>
      </c>
      <c r="L1312" s="47" t="s">
        <v>617</v>
      </c>
      <c r="M1312" s="47" t="s">
        <v>3270</v>
      </c>
      <c r="N1312" s="47" t="s">
        <v>6376</v>
      </c>
      <c r="O1312" s="47" t="s">
        <v>3271</v>
      </c>
      <c r="P1312" s="53"/>
      <c r="Q1312" s="53" t="s">
        <v>6173</v>
      </c>
      <c r="R1312" s="53" t="s">
        <v>6177</v>
      </c>
      <c r="S1312" s="53" t="s">
        <v>6176</v>
      </c>
      <c r="T1312" s="48">
        <v>162.21</v>
      </c>
      <c r="U1312" s="98">
        <v>357.5611861167622</v>
      </c>
      <c r="V1312" s="98">
        <v>126.68762714999075</v>
      </c>
      <c r="W1312" s="98">
        <v>70.794578438413794</v>
      </c>
      <c r="X1312" s="98">
        <v>357.5611861167622</v>
      </c>
      <c r="Y1312" s="233">
        <v>6.93</v>
      </c>
      <c r="Z1312" s="48">
        <v>0.61</v>
      </c>
      <c r="AA1312" s="48">
        <v>0.6</v>
      </c>
      <c r="AB1312" s="48">
        <v>0.53</v>
      </c>
      <c r="AC1312" s="48">
        <v>0.8548</v>
      </c>
      <c r="AD1312" s="48">
        <v>0.55000000000000004</v>
      </c>
      <c r="AE1312" s="48">
        <v>0.6</v>
      </c>
      <c r="AF1312" s="48">
        <f t="shared" si="346"/>
        <v>0.6</v>
      </c>
      <c r="AG1312" s="49">
        <v>0.93</v>
      </c>
      <c r="AH1312" s="98">
        <v>2.0200000000000001E-9</v>
      </c>
      <c r="AI1312" s="98">
        <v>1.97E-11</v>
      </c>
      <c r="AJ1312" s="483">
        <f t="shared" si="341"/>
        <v>-7.0832149568660281</v>
      </c>
      <c r="AK1312" s="483">
        <f>LOG10(AI1312*1000/(0.08206*298.15))</f>
        <v>-9.0941001001510582</v>
      </c>
      <c r="AL1312" s="483">
        <f t="shared" si="342"/>
        <v>-9.0941001001510582</v>
      </c>
      <c r="AM1312" s="483">
        <v>-7.9050999999999991</v>
      </c>
      <c r="AN1312" s="226">
        <v>-7.49</v>
      </c>
      <c r="AO1312" s="484">
        <v>13.27</v>
      </c>
      <c r="AP1312" s="484">
        <v>-1.25</v>
      </c>
      <c r="AQ1312" s="48" t="s">
        <v>6311</v>
      </c>
      <c r="AR1312" s="48" t="s">
        <v>6311</v>
      </c>
      <c r="AS1312" s="227"/>
      <c r="AT1312" s="50" t="s">
        <v>266</v>
      </c>
      <c r="AU1312" s="48">
        <v>6</v>
      </c>
      <c r="AV1312" s="48">
        <v>120</v>
      </c>
      <c r="AW1312" s="48">
        <v>114</v>
      </c>
      <c r="AX1312" s="48">
        <v>28</v>
      </c>
      <c r="AY1312" s="48" t="s">
        <v>8728</v>
      </c>
      <c r="AZ1312" s="48" t="s">
        <v>1563</v>
      </c>
      <c r="BA1312" s="48">
        <v>32</v>
      </c>
      <c r="BB1312" s="47" t="s">
        <v>2485</v>
      </c>
      <c r="BC1312" s="47" t="s">
        <v>8726</v>
      </c>
      <c r="BD1312" s="47" t="s">
        <v>8374</v>
      </c>
      <c r="BE1312" s="48" t="s">
        <v>2449</v>
      </c>
      <c r="BF1312" s="48" t="s">
        <v>272</v>
      </c>
      <c r="BG1312" s="48" t="s">
        <v>272</v>
      </c>
      <c r="BH1312" s="48" t="s">
        <v>2486</v>
      </c>
      <c r="BI1312" s="98">
        <v>6.3999999999999997E-6</v>
      </c>
      <c r="BJ1312" s="98">
        <v>6.4000000000000001E-2</v>
      </c>
      <c r="BK1312" s="48"/>
      <c r="BL1312" s="98">
        <f t="shared" si="343"/>
        <v>14.553216830139666</v>
      </c>
      <c r="BM1312" s="47" t="s">
        <v>2487</v>
      </c>
      <c r="BN1312" s="48"/>
      <c r="BO1312" s="48"/>
      <c r="BP1312" s="48"/>
      <c r="BQ1312" s="48"/>
      <c r="BR1312" s="47" t="s">
        <v>2496</v>
      </c>
      <c r="BS1312" s="48"/>
      <c r="BT1312" s="48" t="s">
        <v>3272</v>
      </c>
      <c r="BU1312" s="228">
        <v>6.4000000000000005E-4</v>
      </c>
      <c r="BV1312" s="48"/>
      <c r="BW1312" s="48"/>
      <c r="BX1312" s="48"/>
      <c r="BY1312" s="48"/>
      <c r="BZ1312" s="48"/>
      <c r="CA1312" s="48"/>
      <c r="CB1312" s="48"/>
      <c r="CC1312" s="48"/>
      <c r="CD1312" s="48"/>
      <c r="CE1312" s="48"/>
      <c r="CF1312" s="48"/>
      <c r="CG1312" s="48"/>
      <c r="CH1312" s="48"/>
      <c r="CI1312" s="98"/>
      <c r="CJ1312" s="98"/>
      <c r="CK1312" s="49">
        <f t="shared" si="338"/>
        <v>227.39401297093229</v>
      </c>
      <c r="CL1312" s="229"/>
      <c r="CM1312" s="229"/>
      <c r="CN1312" s="229"/>
      <c r="CO1312" s="47" t="s">
        <v>2488</v>
      </c>
      <c r="CP1312" s="47" t="s">
        <v>2489</v>
      </c>
      <c r="CQ1312" s="224">
        <v>-2.0290257577446842</v>
      </c>
      <c r="CR1312" s="224">
        <f t="shared" si="347"/>
        <v>106.9118286105271</v>
      </c>
      <c r="CS1312" s="230" t="s">
        <v>539</v>
      </c>
      <c r="CT1312" s="230"/>
      <c r="CU1312" s="230"/>
      <c r="CV1312" s="335">
        <f t="shared" si="344"/>
        <v>5586.8935330744089</v>
      </c>
      <c r="CW1312" s="230">
        <f t="shared" si="337"/>
        <v>1</v>
      </c>
      <c r="CX1312" s="336"/>
      <c r="CY1312" s="230" t="s">
        <v>5921</v>
      </c>
    </row>
    <row r="1313" spans="1:103" ht="11.25" customHeight="1" x14ac:dyDescent="0.2">
      <c r="A1313" s="72">
        <v>1311</v>
      </c>
      <c r="B1313" s="224">
        <v>1514</v>
      </c>
      <c r="C1313" s="46" t="s">
        <v>963</v>
      </c>
      <c r="D1313" s="46"/>
      <c r="E1313" s="114"/>
      <c r="F1313" s="114" t="s">
        <v>964</v>
      </c>
      <c r="G1313" s="225">
        <v>17804352</v>
      </c>
      <c r="H1313" s="47" t="s">
        <v>965</v>
      </c>
      <c r="I1313" s="47" t="s">
        <v>7881</v>
      </c>
      <c r="J1313" s="47" t="s">
        <v>966</v>
      </c>
      <c r="K1313" s="47" t="s">
        <v>967</v>
      </c>
      <c r="L1313" s="47" t="s">
        <v>5929</v>
      </c>
      <c r="M1313" s="47" t="s">
        <v>5946</v>
      </c>
      <c r="N1313" s="47" t="s">
        <v>6383</v>
      </c>
      <c r="O1313" s="47" t="s">
        <v>5947</v>
      </c>
      <c r="P1313" s="53"/>
      <c r="Q1313" s="53"/>
      <c r="R1313" s="53"/>
      <c r="S1313" s="53"/>
      <c r="T1313" s="48">
        <v>290.32</v>
      </c>
      <c r="U1313" s="98">
        <v>1.3089005235602094E-2</v>
      </c>
      <c r="V1313" s="98">
        <v>0.74469550840451915</v>
      </c>
      <c r="W1313" s="98">
        <v>0.39810717055349709</v>
      </c>
      <c r="X1313" s="98">
        <v>1.3089005235602094E-2</v>
      </c>
      <c r="Y1313" s="233">
        <v>7.05</v>
      </c>
      <c r="Z1313" s="48">
        <v>2.2400000000000002</v>
      </c>
      <c r="AA1313" s="48">
        <v>2.12</v>
      </c>
      <c r="AB1313" s="48">
        <v>1.69</v>
      </c>
      <c r="AC1313" s="48">
        <v>0.86480000000000001</v>
      </c>
      <c r="AD1313" s="48">
        <v>1.8</v>
      </c>
      <c r="AE1313" s="48">
        <v>2.12</v>
      </c>
      <c r="AF1313" s="48">
        <f t="shared" si="346"/>
        <v>2.12</v>
      </c>
      <c r="AG1313" s="49">
        <v>1.83</v>
      </c>
      <c r="AH1313" s="98">
        <v>1.23E-12</v>
      </c>
      <c r="AI1313" s="98">
        <v>4.9300000000000002E-12</v>
      </c>
      <c r="AJ1313" s="483">
        <f t="shared" si="341"/>
        <v>-10.298661214873254</v>
      </c>
      <c r="AK1313" s="483">
        <f>LOG10(AI1313*1000/(0.08206*298.15))</f>
        <v>-9.6957194070354209</v>
      </c>
      <c r="AL1313" s="483">
        <f t="shared" si="342"/>
        <v>-9.6957194070354209</v>
      </c>
      <c r="AM1313" s="483">
        <v>-20.06701</v>
      </c>
      <c r="AN1313" s="226">
        <v>-10.199999999999999</v>
      </c>
      <c r="AO1313" s="484">
        <v>11.78</v>
      </c>
      <c r="AP1313" s="484">
        <v>3.48</v>
      </c>
      <c r="AQ1313" s="48" t="s">
        <v>6311</v>
      </c>
      <c r="AR1313" s="48" t="s">
        <v>6312</v>
      </c>
      <c r="AS1313" s="227"/>
      <c r="AT1313" s="50" t="s">
        <v>266</v>
      </c>
      <c r="AU1313" s="48">
        <v>6</v>
      </c>
      <c r="AV1313" s="48">
        <v>120</v>
      </c>
      <c r="AW1313" s="48">
        <v>114</v>
      </c>
      <c r="AX1313" s="48">
        <v>28</v>
      </c>
      <c r="AY1313" s="48" t="s">
        <v>8728</v>
      </c>
      <c r="AZ1313" s="48" t="s">
        <v>1563</v>
      </c>
      <c r="BA1313" s="48">
        <v>32</v>
      </c>
      <c r="BB1313" s="47" t="s">
        <v>2485</v>
      </c>
      <c r="BC1313" s="47" t="s">
        <v>8726</v>
      </c>
      <c r="BD1313" s="47" t="s">
        <v>8374</v>
      </c>
      <c r="BE1313" s="48" t="s">
        <v>2449</v>
      </c>
      <c r="BF1313" s="48" t="s">
        <v>272</v>
      </c>
      <c r="BG1313" s="48" t="s">
        <v>272</v>
      </c>
      <c r="BH1313" s="48" t="s">
        <v>2486</v>
      </c>
      <c r="BI1313" s="98">
        <v>6.3999999999999997E-6</v>
      </c>
      <c r="BJ1313" s="98">
        <v>6.4000000000000001E-2</v>
      </c>
      <c r="BK1313" s="48"/>
      <c r="BL1313" s="98">
        <f t="shared" si="343"/>
        <v>0.50009901596984063</v>
      </c>
      <c r="BM1313" s="47" t="s">
        <v>2487</v>
      </c>
      <c r="BN1313" s="48"/>
      <c r="BO1313" s="48"/>
      <c r="BP1313" s="48"/>
      <c r="BQ1313" s="48"/>
      <c r="BR1313" s="47" t="s">
        <v>2496</v>
      </c>
      <c r="BS1313" s="48"/>
      <c r="BT1313" s="48"/>
      <c r="BU1313" s="228"/>
      <c r="BV1313" s="48"/>
      <c r="BW1313" s="48"/>
      <c r="BX1313" s="48"/>
      <c r="BY1313" s="48"/>
      <c r="BZ1313" s="48"/>
      <c r="CA1313" s="48"/>
      <c r="CB1313" s="48"/>
      <c r="CC1313" s="48"/>
      <c r="CD1313" s="48"/>
      <c r="CE1313" s="48"/>
      <c r="CF1313" s="48"/>
      <c r="CG1313" s="48"/>
      <c r="CH1313" s="48"/>
      <c r="CI1313" s="98"/>
      <c r="CJ1313" s="98"/>
      <c r="CK1313" s="49">
        <f t="shared" si="338"/>
        <v>7.8140471245287602</v>
      </c>
      <c r="CL1313" s="229"/>
      <c r="CM1313" s="229">
        <v>-3.0151188228318464</v>
      </c>
      <c r="CN1313" s="229">
        <f>BJ1313/(10^CM1313)</f>
        <v>66.267226879584442</v>
      </c>
      <c r="CO1313" s="47" t="s">
        <v>2488</v>
      </c>
      <c r="CP1313" s="47" t="s">
        <v>2489</v>
      </c>
      <c r="CQ1313" s="224">
        <v>-2.7220187178733299</v>
      </c>
      <c r="CR1313" s="224">
        <f t="shared" si="347"/>
        <v>527.25258525386982</v>
      </c>
      <c r="CS1313" s="230" t="s">
        <v>539</v>
      </c>
      <c r="CT1313" s="230"/>
      <c r="CU1313" s="230"/>
      <c r="CV1313" s="335">
        <f t="shared" si="344"/>
        <v>0.20451570680628273</v>
      </c>
      <c r="CW1313" s="230">
        <f t="shared" si="337"/>
        <v>0</v>
      </c>
      <c r="CX1313" s="336"/>
      <c r="CY1313" s="230" t="s">
        <v>5921</v>
      </c>
    </row>
    <row r="1314" spans="1:103" ht="11.25" customHeight="1" x14ac:dyDescent="0.2">
      <c r="A1314" s="72">
        <v>1312</v>
      </c>
      <c r="B1314" s="224">
        <v>1797</v>
      </c>
      <c r="C1314" s="46" t="s">
        <v>1332</v>
      </c>
      <c r="D1314" s="46"/>
      <c r="E1314" s="114"/>
      <c r="F1314" s="114" t="s">
        <v>1333</v>
      </c>
      <c r="G1314" s="225">
        <v>19044883</v>
      </c>
      <c r="H1314" s="47" t="s">
        <v>1334</v>
      </c>
      <c r="I1314" s="47" t="s">
        <v>8104</v>
      </c>
      <c r="J1314" s="47" t="s">
        <v>1335</v>
      </c>
      <c r="K1314" s="47" t="s">
        <v>1336</v>
      </c>
      <c r="L1314" s="47" t="s">
        <v>6003</v>
      </c>
      <c r="M1314" s="47" t="s">
        <v>6088</v>
      </c>
      <c r="N1314" s="47" t="s">
        <v>6088</v>
      </c>
      <c r="O1314" s="47" t="s">
        <v>6083</v>
      </c>
      <c r="P1314" s="53"/>
      <c r="Q1314" s="53"/>
      <c r="R1314" s="53"/>
      <c r="S1314" s="53"/>
      <c r="T1314" s="48">
        <v>346.36</v>
      </c>
      <c r="U1314" s="98">
        <v>7.2179235477537818E-3</v>
      </c>
      <c r="V1314" s="98">
        <v>1.2276244370019632E-2</v>
      </c>
      <c r="W1314" s="98">
        <v>9.5499258602143589E-3</v>
      </c>
      <c r="X1314" s="98">
        <v>7.2179235477537818E-3</v>
      </c>
      <c r="Y1314" s="233">
        <v>6.89</v>
      </c>
      <c r="Z1314" s="48">
        <v>2.73</v>
      </c>
      <c r="AA1314" s="48">
        <v>3.73</v>
      </c>
      <c r="AB1314" s="48">
        <v>2.34</v>
      </c>
      <c r="AC1314" s="48">
        <v>0.86619999999999997</v>
      </c>
      <c r="AD1314" s="48">
        <v>2.59</v>
      </c>
      <c r="AE1314" s="48">
        <v>3.38</v>
      </c>
      <c r="AF1314" s="48">
        <f t="shared" si="346"/>
        <v>3.73</v>
      </c>
      <c r="AG1314" s="49">
        <v>1.55</v>
      </c>
      <c r="AH1314" s="98">
        <v>1.9099999999999998E-9</v>
      </c>
      <c r="AI1314" s="98"/>
      <c r="AJ1314" s="483">
        <f t="shared" si="341"/>
        <v>-7.1075329590649243</v>
      </c>
      <c r="AK1314" s="483"/>
      <c r="AL1314" s="483">
        <f t="shared" si="342"/>
        <v>-7.1075329590649243</v>
      </c>
      <c r="AM1314" s="483">
        <v>-19.59789</v>
      </c>
      <c r="AN1314" s="226">
        <v>-15.6</v>
      </c>
      <c r="AO1314" s="484">
        <v>9.14</v>
      </c>
      <c r="AP1314" s="484">
        <v>-2.57</v>
      </c>
      <c r="AQ1314" s="226" t="s">
        <v>6311</v>
      </c>
      <c r="AR1314" s="226" t="s">
        <v>6311</v>
      </c>
      <c r="AS1314" s="224"/>
      <c r="AT1314" s="50" t="s">
        <v>266</v>
      </c>
      <c r="AU1314" s="48">
        <v>6</v>
      </c>
      <c r="AV1314" s="48">
        <v>120</v>
      </c>
      <c r="AW1314" s="48">
        <v>114</v>
      </c>
      <c r="AX1314" s="48">
        <v>28</v>
      </c>
      <c r="AY1314" s="48" t="s">
        <v>8728</v>
      </c>
      <c r="AZ1314" s="48" t="s">
        <v>1563</v>
      </c>
      <c r="BA1314" s="48">
        <v>32</v>
      </c>
      <c r="BB1314" s="47" t="s">
        <v>2485</v>
      </c>
      <c r="BC1314" s="47" t="s">
        <v>8726</v>
      </c>
      <c r="BD1314" s="47" t="s">
        <v>8374</v>
      </c>
      <c r="BE1314" s="48" t="s">
        <v>2449</v>
      </c>
      <c r="BF1314" s="48" t="s">
        <v>272</v>
      </c>
      <c r="BG1314" s="48" t="s">
        <v>272</v>
      </c>
      <c r="BH1314" s="48" t="s">
        <v>2486</v>
      </c>
      <c r="BI1314" s="98">
        <v>6.3999999999999997E-6</v>
      </c>
      <c r="BJ1314" s="98">
        <v>6.4000000000000001E-2</v>
      </c>
      <c r="BK1314" s="48"/>
      <c r="BL1314" s="98">
        <f t="shared" si="343"/>
        <v>0.18154613186555818</v>
      </c>
      <c r="BM1314" s="47" t="s">
        <v>2487</v>
      </c>
      <c r="BN1314" s="48"/>
      <c r="BO1314" s="48"/>
      <c r="BP1314" s="48"/>
      <c r="BQ1314" s="48"/>
      <c r="BR1314" s="47" t="s">
        <v>2496</v>
      </c>
      <c r="BS1314" s="48"/>
      <c r="BT1314" s="48"/>
      <c r="BU1314" s="228"/>
      <c r="BV1314" s="48"/>
      <c r="BW1314" s="48"/>
      <c r="BX1314" s="48"/>
      <c r="BY1314" s="48"/>
      <c r="BZ1314" s="48"/>
      <c r="CA1314" s="48"/>
      <c r="CB1314" s="48"/>
      <c r="CC1314" s="48"/>
      <c r="CD1314" s="48"/>
      <c r="CE1314" s="48"/>
      <c r="CF1314" s="48"/>
      <c r="CG1314" s="48"/>
      <c r="CH1314" s="48"/>
      <c r="CI1314" s="98"/>
      <c r="CJ1314" s="98"/>
      <c r="CK1314" s="49">
        <f t="shared" si="338"/>
        <v>2.8366583103993466</v>
      </c>
      <c r="CL1314" s="229"/>
      <c r="CM1314" s="229">
        <v>-2.080135243212109</v>
      </c>
      <c r="CN1314" s="229">
        <f>BJ1314/(10^CM1314)</f>
        <v>7.6968888888888944</v>
      </c>
      <c r="CO1314" s="47" t="s">
        <v>2488</v>
      </c>
      <c r="CP1314" s="47" t="s">
        <v>2489</v>
      </c>
      <c r="CQ1314" s="224">
        <v>-2.0360513366711919</v>
      </c>
      <c r="CR1314" s="224">
        <f t="shared" si="347"/>
        <v>108.65540543797795</v>
      </c>
      <c r="CS1314" s="230" t="s">
        <v>539</v>
      </c>
      <c r="CT1314" s="230"/>
      <c r="CU1314" s="230"/>
      <c r="CV1314" s="335">
        <f t="shared" si="344"/>
        <v>0.11278005543365284</v>
      </c>
      <c r="CW1314" s="230">
        <f t="shared" si="337"/>
        <v>0</v>
      </c>
      <c r="CX1314" s="336"/>
      <c r="CY1314" s="230" t="s">
        <v>5921</v>
      </c>
    </row>
    <row r="1315" spans="1:103" ht="11.25" customHeight="1" x14ac:dyDescent="0.2">
      <c r="A1315" s="72">
        <v>1313</v>
      </c>
      <c r="B1315" s="224">
        <v>1024</v>
      </c>
      <c r="C1315" s="46" t="s">
        <v>7414</v>
      </c>
      <c r="D1315" s="46"/>
      <c r="E1315" s="114"/>
      <c r="F1315" s="114" t="s">
        <v>2921</v>
      </c>
      <c r="G1315" s="225">
        <v>19774824</v>
      </c>
      <c r="H1315" s="47" t="s">
        <v>2922</v>
      </c>
      <c r="I1315" s="47" t="s">
        <v>8105</v>
      </c>
      <c r="J1315" s="47" t="s">
        <v>2923</v>
      </c>
      <c r="K1315" s="47" t="s">
        <v>426</v>
      </c>
      <c r="L1315" s="47"/>
      <c r="M1315" s="47"/>
      <c r="N1315" s="47"/>
      <c r="O1315" s="47"/>
      <c r="P1315" s="53"/>
      <c r="Q1315" s="53"/>
      <c r="R1315" s="53"/>
      <c r="S1315" s="53"/>
      <c r="T1315" s="48">
        <v>681.78</v>
      </c>
      <c r="U1315" s="98"/>
      <c r="V1315" s="98">
        <v>4.0408929566722404E-8</v>
      </c>
      <c r="W1315" s="98"/>
      <c r="X1315" s="98">
        <f>IF(W1315=0,V1315,W1315)</f>
        <v>4.0408929566722404E-8</v>
      </c>
      <c r="Y1315" s="233"/>
      <c r="Z1315" s="48">
        <v>7.29</v>
      </c>
      <c r="AA1315" s="48"/>
      <c r="AB1315" s="48">
        <v>0</v>
      </c>
      <c r="AC1315" s="48">
        <v>0</v>
      </c>
      <c r="AD1315" s="48">
        <v>0</v>
      </c>
      <c r="AE1315" s="48">
        <v>0</v>
      </c>
      <c r="AF1315" s="48"/>
      <c r="AG1315" s="49">
        <v>4.1100000000000003</v>
      </c>
      <c r="AH1315" s="98">
        <v>1.14E-19</v>
      </c>
      <c r="AI1315" s="98"/>
      <c r="AJ1315" s="483">
        <f t="shared" si="341"/>
        <v>-17.33166147497618</v>
      </c>
      <c r="AK1315" s="483"/>
      <c r="AL1315" s="483">
        <f t="shared" si="342"/>
        <v>-17.33166147497618</v>
      </c>
      <c r="AM1315" s="483"/>
      <c r="AN1315" s="226">
        <v>-20.2</v>
      </c>
      <c r="AO1315" s="484"/>
      <c r="AP1315" s="484"/>
      <c r="AQ1315" s="48" t="s">
        <v>6311</v>
      </c>
      <c r="AR1315" s="48" t="s">
        <v>6311</v>
      </c>
      <c r="AS1315" s="227"/>
      <c r="AT1315" s="50" t="s">
        <v>266</v>
      </c>
      <c r="AU1315" s="48">
        <v>6</v>
      </c>
      <c r="AV1315" s="48">
        <v>120</v>
      </c>
      <c r="AW1315" s="48">
        <v>114</v>
      </c>
      <c r="AX1315" s="48">
        <v>28</v>
      </c>
      <c r="AY1315" s="48" t="s">
        <v>8728</v>
      </c>
      <c r="AZ1315" s="48" t="s">
        <v>1563</v>
      </c>
      <c r="BA1315" s="48">
        <v>32</v>
      </c>
      <c r="BB1315" s="47" t="s">
        <v>2485</v>
      </c>
      <c r="BC1315" s="47" t="s">
        <v>8726</v>
      </c>
      <c r="BD1315" s="47" t="s">
        <v>8374</v>
      </c>
      <c r="BE1315" s="48" t="s">
        <v>2449</v>
      </c>
      <c r="BF1315" s="48" t="s">
        <v>272</v>
      </c>
      <c r="BG1315" s="48" t="s">
        <v>272</v>
      </c>
      <c r="BH1315" s="48" t="s">
        <v>2486</v>
      </c>
      <c r="BI1315" s="98">
        <v>6.3999999999999997E-6</v>
      </c>
      <c r="BJ1315" s="98">
        <v>6.4000000000000001E-2</v>
      </c>
      <c r="BK1315" s="48"/>
      <c r="BL1315" s="98">
        <f t="shared" si="343"/>
        <v>1.4576424248379387E-5</v>
      </c>
      <c r="BM1315" s="47" t="s">
        <v>2487</v>
      </c>
      <c r="BN1315" s="48"/>
      <c r="BO1315" s="48"/>
      <c r="BP1315" s="48"/>
      <c r="BQ1315" s="48"/>
      <c r="BR1315" s="47" t="s">
        <v>2496</v>
      </c>
      <c r="BS1315" s="48"/>
      <c r="BT1315" s="48"/>
      <c r="BU1315" s="228">
        <v>4.8320000000000004E-3</v>
      </c>
      <c r="BV1315" s="48"/>
      <c r="BW1315" s="48"/>
      <c r="BX1315" s="48"/>
      <c r="BY1315" s="48"/>
      <c r="BZ1315" s="48"/>
      <c r="CA1315" s="48"/>
      <c r="CB1315" s="48"/>
      <c r="CC1315" s="48"/>
      <c r="CD1315" s="48"/>
      <c r="CE1315" s="48"/>
      <c r="CF1315" s="48"/>
      <c r="CG1315" s="48"/>
      <c r="CH1315" s="48"/>
      <c r="CI1315" s="98"/>
      <c r="CJ1315" s="98"/>
      <c r="CK1315" s="49">
        <f t="shared" si="338"/>
        <v>2.277566288809279E-4</v>
      </c>
      <c r="CL1315" s="229"/>
      <c r="CM1315" s="229"/>
      <c r="CN1315" s="229"/>
      <c r="CO1315" s="47" t="s">
        <v>2488</v>
      </c>
      <c r="CP1315" s="47" t="s">
        <v>2489</v>
      </c>
      <c r="CQ1315" s="224" t="s">
        <v>272</v>
      </c>
      <c r="CR1315" s="224"/>
      <c r="CS1315" s="230" t="s">
        <v>539</v>
      </c>
      <c r="CT1315" s="230"/>
      <c r="CU1315" s="230"/>
      <c r="CV1315" s="335">
        <f t="shared" si="344"/>
        <v>6.3138952448003751E-7</v>
      </c>
      <c r="CW1315" s="230">
        <f t="shared" si="337"/>
        <v>0</v>
      </c>
      <c r="CX1315" s="336"/>
      <c r="CY1315" s="230" t="s">
        <v>5921</v>
      </c>
    </row>
    <row r="1316" spans="1:103" ht="11.25" customHeight="1" x14ac:dyDescent="0.2">
      <c r="A1316" s="72">
        <v>1314</v>
      </c>
      <c r="B1316" s="224">
        <v>395</v>
      </c>
      <c r="C1316" s="46" t="s">
        <v>3946</v>
      </c>
      <c r="D1316" s="46"/>
      <c r="E1316" s="114"/>
      <c r="F1316" s="114" t="s">
        <v>3947</v>
      </c>
      <c r="G1316" s="225">
        <v>21087649</v>
      </c>
      <c r="H1316" s="47" t="s">
        <v>3948</v>
      </c>
      <c r="I1316" s="47" t="s">
        <v>3948</v>
      </c>
      <c r="J1316" s="47" t="s">
        <v>3949</v>
      </c>
      <c r="K1316" s="47" t="s">
        <v>483</v>
      </c>
      <c r="L1316" s="47" t="s">
        <v>8491</v>
      </c>
      <c r="M1316" s="47" t="s">
        <v>8487</v>
      </c>
      <c r="N1316" s="47"/>
      <c r="O1316" s="47"/>
      <c r="P1316" s="53"/>
      <c r="Q1316" s="53"/>
      <c r="R1316" s="53"/>
      <c r="S1316" s="53"/>
      <c r="T1316" s="48">
        <v>214.29</v>
      </c>
      <c r="U1316" s="98">
        <v>4.8999020019599611</v>
      </c>
      <c r="V1316" s="98">
        <v>6.0852116291007512</v>
      </c>
      <c r="W1316" s="98">
        <v>4.786300923226384</v>
      </c>
      <c r="X1316" s="98">
        <v>4.8999020019599611</v>
      </c>
      <c r="Y1316" s="233">
        <v>7</v>
      </c>
      <c r="Z1316" s="48">
        <v>1.49</v>
      </c>
      <c r="AA1316" s="48">
        <v>1.7</v>
      </c>
      <c r="AB1316" s="48">
        <v>1.56</v>
      </c>
      <c r="AC1316" s="48">
        <v>0.91379999999999995</v>
      </c>
      <c r="AD1316" s="48">
        <v>1.5</v>
      </c>
      <c r="AE1316" s="48">
        <v>1.3</v>
      </c>
      <c r="AF1316" s="48">
        <f t="shared" ref="AF1316:AF1328" si="348">IF(AA1316=0,AD1316,AA1316)</f>
        <v>1.7</v>
      </c>
      <c r="AG1316" s="49">
        <v>1.33</v>
      </c>
      <c r="AH1316" s="98">
        <v>1.81E-12</v>
      </c>
      <c r="AI1316" s="98">
        <v>1.1700000000000001E-10</v>
      </c>
      <c r="AJ1316" s="483">
        <f t="shared" si="341"/>
        <v>-10.130887751443467</v>
      </c>
      <c r="AK1316" s="483">
        <f>LOG10(AI1316*1000/(0.08206*298.15))</f>
        <v>-8.3203804645664903</v>
      </c>
      <c r="AL1316" s="483">
        <f t="shared" si="342"/>
        <v>-8.3203804645664903</v>
      </c>
      <c r="AM1316" s="483">
        <v>-12.96701</v>
      </c>
      <c r="AN1316" s="226">
        <v>-6.13</v>
      </c>
      <c r="AO1316" s="484"/>
      <c r="AP1316" s="484">
        <v>-0.16</v>
      </c>
      <c r="AQ1316" s="226" t="s">
        <v>6311</v>
      </c>
      <c r="AR1316" s="226" t="s">
        <v>6311</v>
      </c>
      <c r="AS1316" s="224" t="s">
        <v>6</v>
      </c>
      <c r="AT1316" s="50" t="s">
        <v>266</v>
      </c>
      <c r="AU1316" s="48">
        <v>8</v>
      </c>
      <c r="AV1316" s="48">
        <v>144</v>
      </c>
      <c r="AW1316" s="48">
        <v>120</v>
      </c>
      <c r="AX1316" s="48">
        <v>26</v>
      </c>
      <c r="AY1316" s="48" t="s">
        <v>267</v>
      </c>
      <c r="AZ1316" s="48" t="s">
        <v>2253</v>
      </c>
      <c r="BA1316" s="48">
        <v>2</v>
      </c>
      <c r="BB1316" s="47" t="s">
        <v>2254</v>
      </c>
      <c r="BC1316" s="47" t="s">
        <v>270</v>
      </c>
      <c r="BD1316" s="47" t="s">
        <v>8374</v>
      </c>
      <c r="BE1316" s="48" t="s">
        <v>1712</v>
      </c>
      <c r="BF1316" s="48" t="s">
        <v>272</v>
      </c>
      <c r="BG1316" s="48" t="s">
        <v>272</v>
      </c>
      <c r="BH1316" s="48" t="s">
        <v>2255</v>
      </c>
      <c r="BI1316" s="98">
        <v>9.9999999999999995E-7</v>
      </c>
      <c r="BJ1316" s="98">
        <v>0.08</v>
      </c>
      <c r="BK1316" s="48"/>
      <c r="BL1316" s="98">
        <f t="shared" si="343"/>
        <v>2.3584734954327344</v>
      </c>
      <c r="BM1316" s="48" t="s">
        <v>891</v>
      </c>
      <c r="BN1316" s="233"/>
      <c r="BO1316" s="233"/>
      <c r="BP1316" s="233"/>
      <c r="BQ1316" s="233"/>
      <c r="BR1316" s="233"/>
      <c r="BS1316" s="48"/>
      <c r="BT1316" s="233"/>
      <c r="BU1316" s="228"/>
      <c r="BV1316" s="233"/>
      <c r="BW1316" s="233"/>
      <c r="BX1316" s="233"/>
      <c r="BY1316" s="233"/>
      <c r="BZ1316" s="233"/>
      <c r="CA1316" s="233"/>
      <c r="CB1316" s="233"/>
      <c r="CC1316" s="48"/>
      <c r="CD1316" s="48"/>
      <c r="CE1316" s="48"/>
      <c r="CF1316" s="48"/>
      <c r="CG1316" s="233"/>
      <c r="CH1316" s="48"/>
      <c r="CI1316" s="98"/>
      <c r="CJ1316" s="98"/>
      <c r="CK1316" s="49">
        <f t="shared" si="338"/>
        <v>29.480918692909182</v>
      </c>
      <c r="CL1316" s="229"/>
      <c r="CM1316" s="229"/>
      <c r="CN1316" s="229"/>
      <c r="CO1316" s="47" t="s">
        <v>892</v>
      </c>
      <c r="CP1316" s="47" t="s">
        <v>893</v>
      </c>
      <c r="CQ1316" s="224">
        <v>-0.4837888332629815</v>
      </c>
      <c r="CR1316" s="224">
        <f>10^(CJ1316-CQ1316)</f>
        <v>3.0464133737662205</v>
      </c>
      <c r="CS1316" s="230" t="s">
        <v>539</v>
      </c>
      <c r="CT1316" s="230"/>
      <c r="CU1316" s="230"/>
      <c r="CV1316" s="335">
        <f t="shared" si="344"/>
        <v>61.248775024499515</v>
      </c>
      <c r="CW1316" s="230">
        <f t="shared" si="337"/>
        <v>1</v>
      </c>
      <c r="CX1316" s="336" t="s">
        <v>539</v>
      </c>
      <c r="CY1316" s="230" t="s">
        <v>5921</v>
      </c>
    </row>
    <row r="1317" spans="1:103" ht="11.25" customHeight="1" x14ac:dyDescent="0.2">
      <c r="A1317" s="72">
        <v>1315</v>
      </c>
      <c r="B1317" s="224">
        <v>1742</v>
      </c>
      <c r="C1317" s="46" t="s">
        <v>3946</v>
      </c>
      <c r="D1317" s="46"/>
      <c r="E1317" s="114"/>
      <c r="F1317" s="114" t="s">
        <v>3947</v>
      </c>
      <c r="G1317" s="225">
        <v>21087649</v>
      </c>
      <c r="H1317" s="47" t="s">
        <v>3948</v>
      </c>
      <c r="I1317" s="47" t="s">
        <v>3948</v>
      </c>
      <c r="J1317" s="47" t="s">
        <v>3949</v>
      </c>
      <c r="K1317" s="47" t="s">
        <v>483</v>
      </c>
      <c r="L1317" s="47" t="s">
        <v>8491</v>
      </c>
      <c r="M1317" s="47" t="s">
        <v>8487</v>
      </c>
      <c r="N1317" s="47"/>
      <c r="O1317" s="47"/>
      <c r="P1317" s="53"/>
      <c r="Q1317" s="53"/>
      <c r="R1317" s="53"/>
      <c r="S1317" s="53"/>
      <c r="T1317" s="48">
        <v>214.29</v>
      </c>
      <c r="U1317" s="98">
        <v>4.8999020019599611</v>
      </c>
      <c r="V1317" s="98">
        <v>6.0852116291007512</v>
      </c>
      <c r="W1317" s="98">
        <v>4.786300923226384</v>
      </c>
      <c r="X1317" s="98">
        <v>4.8999020019599611</v>
      </c>
      <c r="Y1317" s="233">
        <v>7</v>
      </c>
      <c r="Z1317" s="48">
        <v>1.49</v>
      </c>
      <c r="AA1317" s="48">
        <v>1.7</v>
      </c>
      <c r="AB1317" s="48">
        <v>1.56</v>
      </c>
      <c r="AC1317" s="48">
        <v>0.91379999999999995</v>
      </c>
      <c r="AD1317" s="48">
        <v>1.5</v>
      </c>
      <c r="AE1317" s="48">
        <v>1.3</v>
      </c>
      <c r="AF1317" s="48">
        <f t="shared" si="348"/>
        <v>1.7</v>
      </c>
      <c r="AG1317" s="49">
        <v>1.33</v>
      </c>
      <c r="AH1317" s="98">
        <v>1.81E-12</v>
      </c>
      <c r="AI1317" s="98">
        <v>1.1700000000000001E-10</v>
      </c>
      <c r="AJ1317" s="483">
        <f t="shared" si="341"/>
        <v>-10.130887751443467</v>
      </c>
      <c r="AK1317" s="483">
        <f>LOG10(AI1317*1000/(0.08206*298.15))</f>
        <v>-8.3203804645664903</v>
      </c>
      <c r="AL1317" s="483">
        <f t="shared" si="342"/>
        <v>-8.3203804645664903</v>
      </c>
      <c r="AM1317" s="483">
        <v>-12.96701</v>
      </c>
      <c r="AN1317" s="226">
        <v>-6.13</v>
      </c>
      <c r="AO1317" s="484"/>
      <c r="AP1317" s="484">
        <v>-0.16</v>
      </c>
      <c r="AQ1317" s="226" t="s">
        <v>6311</v>
      </c>
      <c r="AR1317" s="226" t="s">
        <v>6311</v>
      </c>
      <c r="AS1317" s="224"/>
      <c r="AT1317" s="50" t="s">
        <v>266</v>
      </c>
      <c r="AU1317" s="48">
        <v>6</v>
      </c>
      <c r="AV1317" s="48">
        <v>120</v>
      </c>
      <c r="AW1317" s="48">
        <v>114</v>
      </c>
      <c r="AX1317" s="48">
        <v>28</v>
      </c>
      <c r="AY1317" s="48" t="s">
        <v>8728</v>
      </c>
      <c r="AZ1317" s="48" t="s">
        <v>1563</v>
      </c>
      <c r="BA1317" s="48">
        <v>32</v>
      </c>
      <c r="BB1317" s="47" t="s">
        <v>2485</v>
      </c>
      <c r="BC1317" s="47" t="s">
        <v>8726</v>
      </c>
      <c r="BD1317" s="47" t="s">
        <v>8374</v>
      </c>
      <c r="BE1317" s="48" t="s">
        <v>2449</v>
      </c>
      <c r="BF1317" s="48" t="s">
        <v>272</v>
      </c>
      <c r="BG1317" s="48" t="s">
        <v>272</v>
      </c>
      <c r="BH1317" s="48" t="s">
        <v>2486</v>
      </c>
      <c r="BI1317" s="98">
        <v>6.3999999999999997E-6</v>
      </c>
      <c r="BJ1317" s="98">
        <v>6.4000000000000001E-2</v>
      </c>
      <c r="BK1317" s="48"/>
      <c r="BL1317" s="98">
        <f t="shared" si="343"/>
        <v>2.3584734954327344</v>
      </c>
      <c r="BM1317" s="47" t="s">
        <v>2487</v>
      </c>
      <c r="BN1317" s="48"/>
      <c r="BO1317" s="48"/>
      <c r="BP1317" s="48"/>
      <c r="BQ1317" s="48"/>
      <c r="BR1317" s="47" t="s">
        <v>2496</v>
      </c>
      <c r="BS1317" s="48"/>
      <c r="BT1317" s="48"/>
      <c r="BU1317" s="228"/>
      <c r="BV1317" s="48"/>
      <c r="BW1317" s="48"/>
      <c r="BX1317" s="48"/>
      <c r="BY1317" s="48"/>
      <c r="BZ1317" s="48"/>
      <c r="CA1317" s="48"/>
      <c r="CB1317" s="48"/>
      <c r="CC1317" s="48"/>
      <c r="CD1317" s="48"/>
      <c r="CE1317" s="48"/>
      <c r="CF1317" s="48"/>
      <c r="CG1317" s="48"/>
      <c r="CH1317" s="48"/>
      <c r="CI1317" s="98"/>
      <c r="CJ1317" s="98"/>
      <c r="CK1317" s="49">
        <f t="shared" si="338"/>
        <v>36.851148366136478</v>
      </c>
      <c r="CL1317" s="229"/>
      <c r="CM1317" s="229"/>
      <c r="CN1317" s="229"/>
      <c r="CO1317" s="47" t="s">
        <v>2488</v>
      </c>
      <c r="CP1317" s="47" t="s">
        <v>2489</v>
      </c>
      <c r="CQ1317" s="224">
        <v>-0.4837888332629815</v>
      </c>
      <c r="CR1317" s="224">
        <f>10^(CJ1317-CQ1317)</f>
        <v>3.0464133737662205</v>
      </c>
      <c r="CS1317" s="230" t="s">
        <v>539</v>
      </c>
      <c r="CT1317" s="230"/>
      <c r="CU1317" s="230"/>
      <c r="CV1317" s="335">
        <f t="shared" si="344"/>
        <v>76.560968780624393</v>
      </c>
      <c r="CW1317" s="230">
        <f t="shared" si="337"/>
        <v>1</v>
      </c>
      <c r="CX1317" s="336"/>
      <c r="CY1317" s="230" t="s">
        <v>5921</v>
      </c>
    </row>
    <row r="1318" spans="1:103" ht="11.25" customHeight="1" x14ac:dyDescent="0.2">
      <c r="A1318" s="72">
        <v>1316</v>
      </c>
      <c r="B1318" s="224">
        <v>265</v>
      </c>
      <c r="C1318" s="46" t="s">
        <v>2445</v>
      </c>
      <c r="D1318" s="46"/>
      <c r="E1318" s="114"/>
      <c r="F1318" s="114" t="s">
        <v>3779</v>
      </c>
      <c r="G1318" s="225">
        <v>21725462</v>
      </c>
      <c r="H1318" s="47" t="s">
        <v>2446</v>
      </c>
      <c r="I1318" s="47" t="s">
        <v>8106</v>
      </c>
      <c r="J1318" s="47" t="s">
        <v>2447</v>
      </c>
      <c r="K1318" s="47" t="s">
        <v>940</v>
      </c>
      <c r="L1318" s="47" t="s">
        <v>6026</v>
      </c>
      <c r="M1318" s="47" t="s">
        <v>6082</v>
      </c>
      <c r="N1318" s="47" t="s">
        <v>6082</v>
      </c>
      <c r="O1318" s="47" t="s">
        <v>6083</v>
      </c>
      <c r="P1318" s="53"/>
      <c r="Q1318" s="53" t="s">
        <v>6173</v>
      </c>
      <c r="R1318" s="53" t="s">
        <v>6185</v>
      </c>
      <c r="S1318" s="53" t="s">
        <v>6176</v>
      </c>
      <c r="T1318" s="48">
        <v>240.69</v>
      </c>
      <c r="U1318" s="98">
        <v>0.70630271303336245</v>
      </c>
      <c r="V1318" s="98">
        <v>0.76363787444430598</v>
      </c>
      <c r="W1318" s="98">
        <v>0.21379620895022311</v>
      </c>
      <c r="X1318" s="98">
        <v>0.70630271303336245</v>
      </c>
      <c r="Y1318" s="233">
        <v>7</v>
      </c>
      <c r="Z1318" s="48">
        <v>2.5099999999999998</v>
      </c>
      <c r="AA1318" s="48">
        <v>2.2200000000000002</v>
      </c>
      <c r="AB1318" s="48">
        <v>2.34</v>
      </c>
      <c r="AC1318" s="48">
        <v>0.84540000000000004</v>
      </c>
      <c r="AD1318" s="48">
        <v>2.2999999999999998</v>
      </c>
      <c r="AE1318" s="48">
        <v>2.19</v>
      </c>
      <c r="AF1318" s="48">
        <f t="shared" si="348"/>
        <v>2.2200000000000002</v>
      </c>
      <c r="AG1318" s="49">
        <v>2.1</v>
      </c>
      <c r="AH1318" s="98">
        <v>1.8600000000000002E-12</v>
      </c>
      <c r="AI1318" s="98">
        <v>2.5700000000000002E-12</v>
      </c>
      <c r="AJ1318" s="483">
        <f t="shared" si="341"/>
        <v>-10.119053382094735</v>
      </c>
      <c r="AK1318" s="483">
        <f>LOG10(AI1318*1000/(0.08206*298.15))</f>
        <v>-9.9786332029813565</v>
      </c>
      <c r="AL1318" s="483">
        <f t="shared" si="342"/>
        <v>-9.9786332029813565</v>
      </c>
      <c r="AM1318" s="483">
        <v>-13.04054</v>
      </c>
      <c r="AN1318" s="226">
        <v>-9.64</v>
      </c>
      <c r="AO1318" s="484"/>
      <c r="AP1318" s="484">
        <v>1.46</v>
      </c>
      <c r="AQ1318" s="226" t="s">
        <v>6311</v>
      </c>
      <c r="AR1318" s="226" t="s">
        <v>6311</v>
      </c>
      <c r="AS1318" s="224" t="s">
        <v>6</v>
      </c>
      <c r="AT1318" s="50" t="s">
        <v>266</v>
      </c>
      <c r="AU1318" s="48">
        <v>8</v>
      </c>
      <c r="AV1318" s="48">
        <v>144</v>
      </c>
      <c r="AW1318" s="48">
        <v>120</v>
      </c>
      <c r="AX1318" s="48">
        <v>26</v>
      </c>
      <c r="AY1318" s="48" t="s">
        <v>267</v>
      </c>
      <c r="AZ1318" s="48" t="s">
        <v>2253</v>
      </c>
      <c r="BA1318" s="48">
        <v>2</v>
      </c>
      <c r="BB1318" s="47" t="s">
        <v>2254</v>
      </c>
      <c r="BC1318" s="47" t="s">
        <v>270</v>
      </c>
      <c r="BD1318" s="47" t="s">
        <v>8374</v>
      </c>
      <c r="BE1318" s="48" t="s">
        <v>1712</v>
      </c>
      <c r="BF1318" s="48" t="s">
        <v>272</v>
      </c>
      <c r="BG1318" s="48" t="s">
        <v>272</v>
      </c>
      <c r="BH1318" s="48" t="s">
        <v>2255</v>
      </c>
      <c r="BI1318" s="98">
        <v>9.9999999999999995E-7</v>
      </c>
      <c r="BJ1318" s="98">
        <v>0.08</v>
      </c>
      <c r="BK1318" s="48"/>
      <c r="BL1318" s="98">
        <f t="shared" si="343"/>
        <v>0.28613369290670693</v>
      </c>
      <c r="BM1318" s="48" t="s">
        <v>891</v>
      </c>
      <c r="BN1318" s="233"/>
      <c r="BO1318" s="233"/>
      <c r="BP1318" s="233"/>
      <c r="BQ1318" s="233"/>
      <c r="BR1318" s="233"/>
      <c r="BS1318" s="48"/>
      <c r="BT1318" s="233"/>
      <c r="BU1318" s="228"/>
      <c r="BV1318" s="233"/>
      <c r="BW1318" s="233"/>
      <c r="BX1318" s="233"/>
      <c r="BY1318" s="233"/>
      <c r="BZ1318" s="233"/>
      <c r="CA1318" s="233"/>
      <c r="CB1318" s="233"/>
      <c r="CC1318" s="48"/>
      <c r="CD1318" s="48"/>
      <c r="CE1318" s="48"/>
      <c r="CF1318" s="48"/>
      <c r="CG1318" s="233"/>
      <c r="CH1318" s="48"/>
      <c r="CI1318" s="98"/>
      <c r="CJ1318" s="98"/>
      <c r="CK1318" s="49">
        <f t="shared" si="338"/>
        <v>3.5766711613338367</v>
      </c>
      <c r="CL1318" s="229"/>
      <c r="CM1318" s="229">
        <v>-1.6033067965385139</v>
      </c>
      <c r="CN1318" s="229">
        <f>BJ1318/(10^CM1318)</f>
        <v>3.2092000000000018</v>
      </c>
      <c r="CO1318" s="47" t="s">
        <v>892</v>
      </c>
      <c r="CP1318" s="47" t="s">
        <v>893</v>
      </c>
      <c r="CQ1318" s="224">
        <v>-1.2326482931417797</v>
      </c>
      <c r="CR1318" s="224">
        <f>10^(CJ1318-CQ1318)</f>
        <v>17.086310454814949</v>
      </c>
      <c r="CS1318" s="230" t="s">
        <v>539</v>
      </c>
      <c r="CT1318" s="230"/>
      <c r="CU1318" s="230"/>
      <c r="CV1318" s="335">
        <f t="shared" si="344"/>
        <v>8.8287839129170305</v>
      </c>
      <c r="CW1318" s="230">
        <f t="shared" si="337"/>
        <v>1</v>
      </c>
      <c r="CX1318" s="336" t="s">
        <v>539</v>
      </c>
      <c r="CY1318" s="230" t="s">
        <v>5921</v>
      </c>
    </row>
    <row r="1319" spans="1:103" ht="11.25" customHeight="1" x14ac:dyDescent="0.2">
      <c r="A1319" s="72">
        <v>1317</v>
      </c>
      <c r="B1319" s="224">
        <v>1566</v>
      </c>
      <c r="C1319" s="46" t="s">
        <v>2445</v>
      </c>
      <c r="D1319" s="46"/>
      <c r="E1319" s="114"/>
      <c r="F1319" s="114" t="s">
        <v>3779</v>
      </c>
      <c r="G1319" s="225">
        <v>21725462</v>
      </c>
      <c r="H1319" s="47" t="s">
        <v>2446</v>
      </c>
      <c r="I1319" s="47" t="s">
        <v>8106</v>
      </c>
      <c r="J1319" s="47" t="s">
        <v>2447</v>
      </c>
      <c r="K1319" s="47" t="s">
        <v>940</v>
      </c>
      <c r="L1319" s="47" t="s">
        <v>6026</v>
      </c>
      <c r="M1319" s="47" t="s">
        <v>6082</v>
      </c>
      <c r="N1319" s="47" t="s">
        <v>6082</v>
      </c>
      <c r="O1319" s="47" t="s">
        <v>6083</v>
      </c>
      <c r="P1319" s="53"/>
      <c r="Q1319" s="53"/>
      <c r="R1319" s="53"/>
      <c r="S1319" s="53"/>
      <c r="T1319" s="48">
        <v>240.69</v>
      </c>
      <c r="U1319" s="98">
        <v>0.70630271303336245</v>
      </c>
      <c r="V1319" s="98">
        <v>0.76363787444430598</v>
      </c>
      <c r="W1319" s="98">
        <v>0.21379620895022311</v>
      </c>
      <c r="X1319" s="98">
        <v>0.70630271303336245</v>
      </c>
      <c r="Y1319" s="233">
        <v>7</v>
      </c>
      <c r="Z1319" s="48">
        <v>2.5099999999999998</v>
      </c>
      <c r="AA1319" s="48">
        <v>2.2200000000000002</v>
      </c>
      <c r="AB1319" s="48">
        <v>2.34</v>
      </c>
      <c r="AC1319" s="48">
        <v>0.84540000000000004</v>
      </c>
      <c r="AD1319" s="48">
        <v>2.2999999999999998</v>
      </c>
      <c r="AE1319" s="48">
        <v>2.19</v>
      </c>
      <c r="AF1319" s="48">
        <f t="shared" si="348"/>
        <v>2.2200000000000002</v>
      </c>
      <c r="AG1319" s="49">
        <v>2.1</v>
      </c>
      <c r="AH1319" s="98">
        <v>1.8600000000000002E-12</v>
      </c>
      <c r="AI1319" s="98">
        <v>2.5700000000000002E-12</v>
      </c>
      <c r="AJ1319" s="483">
        <f t="shared" si="341"/>
        <v>-10.119053382094735</v>
      </c>
      <c r="AK1319" s="483">
        <f>LOG10(AI1319*1000/(0.08206*298.15))</f>
        <v>-9.9786332029813565</v>
      </c>
      <c r="AL1319" s="483">
        <f t="shared" si="342"/>
        <v>-9.9786332029813565</v>
      </c>
      <c r="AM1319" s="483">
        <v>-13.04054</v>
      </c>
      <c r="AN1319" s="226">
        <v>-9.64</v>
      </c>
      <c r="AO1319" s="484"/>
      <c r="AP1319" s="484">
        <v>1.46</v>
      </c>
      <c r="AQ1319" s="48" t="s">
        <v>6311</v>
      </c>
      <c r="AR1319" s="48" t="s">
        <v>6311</v>
      </c>
      <c r="AS1319" s="227"/>
      <c r="AT1319" s="50" t="s">
        <v>266</v>
      </c>
      <c r="AU1319" s="48">
        <v>6</v>
      </c>
      <c r="AV1319" s="48">
        <v>120</v>
      </c>
      <c r="AW1319" s="48">
        <v>114</v>
      </c>
      <c r="AX1319" s="48">
        <v>28</v>
      </c>
      <c r="AY1319" s="48" t="s">
        <v>8728</v>
      </c>
      <c r="AZ1319" s="48" t="s">
        <v>1563</v>
      </c>
      <c r="BA1319" s="48">
        <v>32</v>
      </c>
      <c r="BB1319" s="47" t="s">
        <v>2485</v>
      </c>
      <c r="BC1319" s="47" t="s">
        <v>8726</v>
      </c>
      <c r="BD1319" s="47" t="s">
        <v>8374</v>
      </c>
      <c r="BE1319" s="48" t="s">
        <v>2449</v>
      </c>
      <c r="BF1319" s="48" t="s">
        <v>272</v>
      </c>
      <c r="BG1319" s="48" t="s">
        <v>272</v>
      </c>
      <c r="BH1319" s="48" t="s">
        <v>2486</v>
      </c>
      <c r="BI1319" s="98">
        <v>6.3999999999999997E-6</v>
      </c>
      <c r="BJ1319" s="98">
        <v>6.4000000000000001E-2</v>
      </c>
      <c r="BK1319" s="48"/>
      <c r="BL1319" s="98">
        <f t="shared" si="343"/>
        <v>0.28613369290670693</v>
      </c>
      <c r="BM1319" s="47" t="s">
        <v>2487</v>
      </c>
      <c r="BN1319" s="48"/>
      <c r="BO1319" s="48"/>
      <c r="BP1319" s="48"/>
      <c r="BQ1319" s="48"/>
      <c r="BR1319" s="47" t="s">
        <v>2496</v>
      </c>
      <c r="BS1319" s="48"/>
      <c r="BT1319" s="48"/>
      <c r="BU1319" s="228"/>
      <c r="BV1319" s="48"/>
      <c r="BW1319" s="48"/>
      <c r="BX1319" s="48"/>
      <c r="BY1319" s="48"/>
      <c r="BZ1319" s="48"/>
      <c r="CA1319" s="48"/>
      <c r="CB1319" s="48"/>
      <c r="CC1319" s="48"/>
      <c r="CD1319" s="48"/>
      <c r="CE1319" s="48"/>
      <c r="CF1319" s="48"/>
      <c r="CG1319" s="48"/>
      <c r="CH1319" s="48"/>
      <c r="CI1319" s="98"/>
      <c r="CJ1319" s="98"/>
      <c r="CK1319" s="49">
        <f t="shared" si="338"/>
        <v>4.4708389516672957</v>
      </c>
      <c r="CL1319" s="229"/>
      <c r="CM1319" s="229">
        <v>-1.6033067965385139</v>
      </c>
      <c r="CN1319" s="229">
        <f>BJ1319/(10^CM1319)</f>
        <v>2.5673600000000016</v>
      </c>
      <c r="CO1319" s="47" t="s">
        <v>2488</v>
      </c>
      <c r="CP1319" s="47" t="s">
        <v>2489</v>
      </c>
      <c r="CQ1319" s="224">
        <v>-1.2326482931417797</v>
      </c>
      <c r="CR1319" s="224">
        <f>10^(CJ1319-CQ1319)</f>
        <v>17.086310454814949</v>
      </c>
      <c r="CS1319" s="230" t="s">
        <v>539</v>
      </c>
      <c r="CT1319" s="230"/>
      <c r="CU1319" s="230"/>
      <c r="CV1319" s="335">
        <f t="shared" si="344"/>
        <v>11.035979891146289</v>
      </c>
      <c r="CW1319" s="230">
        <f t="shared" si="337"/>
        <v>1</v>
      </c>
      <c r="CX1319" s="336"/>
      <c r="CY1319" s="230" t="s">
        <v>5921</v>
      </c>
    </row>
    <row r="1320" spans="1:103" ht="11.25" customHeight="1" x14ac:dyDescent="0.2">
      <c r="A1320" s="72">
        <v>1318</v>
      </c>
      <c r="B1320" s="224">
        <v>1331</v>
      </c>
      <c r="C1320" s="46" t="s">
        <v>7415</v>
      </c>
      <c r="D1320" s="46"/>
      <c r="E1320" s="114"/>
      <c r="F1320" s="114" t="s">
        <v>4138</v>
      </c>
      <c r="G1320" s="225">
        <v>22204246</v>
      </c>
      <c r="H1320" s="47" t="s">
        <v>4139</v>
      </c>
      <c r="I1320" s="47" t="s">
        <v>8107</v>
      </c>
      <c r="J1320" s="47" t="s">
        <v>4140</v>
      </c>
      <c r="K1320" s="47" t="s">
        <v>4141</v>
      </c>
      <c r="L1320" s="47"/>
      <c r="M1320" s="47"/>
      <c r="N1320" s="47"/>
      <c r="O1320" s="47"/>
      <c r="P1320" s="53"/>
      <c r="Q1320" s="53"/>
      <c r="R1320" s="53"/>
      <c r="S1320" s="53"/>
      <c r="T1320" s="48">
        <v>206.31</v>
      </c>
      <c r="U1320" s="98"/>
      <c r="V1320" s="98">
        <v>0.4097232320294702</v>
      </c>
      <c r="W1320" s="98">
        <v>16.98243652461743</v>
      </c>
      <c r="X1320" s="98">
        <f>IF(W1320=0,V1320,W1320)</f>
        <v>16.98243652461743</v>
      </c>
      <c r="Y1320" s="233">
        <v>12.03</v>
      </c>
      <c r="Z1320" s="48">
        <v>3.14</v>
      </c>
      <c r="AA1320" s="48"/>
      <c r="AB1320" s="48">
        <v>2.85</v>
      </c>
      <c r="AC1320" s="48">
        <v>0.69679999999999997</v>
      </c>
      <c r="AD1320" s="48">
        <v>2.4</v>
      </c>
      <c r="AE1320" s="48">
        <v>1.51</v>
      </c>
      <c r="AF1320" s="48">
        <f t="shared" si="348"/>
        <v>2.4</v>
      </c>
      <c r="AG1320" s="49">
        <v>1.71</v>
      </c>
      <c r="AH1320" s="98">
        <v>4.4999999999999999E-8</v>
      </c>
      <c r="AI1320" s="98"/>
      <c r="AJ1320" s="483">
        <f t="shared" si="341"/>
        <v>-5.7353538125373085</v>
      </c>
      <c r="AK1320" s="483"/>
      <c r="AL1320" s="483">
        <f t="shared" si="342"/>
        <v>-5.7353538125373085</v>
      </c>
      <c r="AM1320" s="483">
        <v>-7.0945299999999998</v>
      </c>
      <c r="AN1320" s="226">
        <v>-17.600000000000001</v>
      </c>
      <c r="AO1320" s="484"/>
      <c r="AP1320" s="484">
        <v>12.6</v>
      </c>
      <c r="AQ1320" s="48" t="s">
        <v>6311</v>
      </c>
      <c r="AR1320" s="48" t="s">
        <v>6311</v>
      </c>
      <c r="AS1320" s="224" t="s">
        <v>6</v>
      </c>
      <c r="AT1320" s="50" t="s">
        <v>266</v>
      </c>
      <c r="AU1320" s="48">
        <v>0</v>
      </c>
      <c r="AV1320" s="48">
        <v>144</v>
      </c>
      <c r="AW1320" s="48">
        <v>144</v>
      </c>
      <c r="AX1320" s="48">
        <v>25</v>
      </c>
      <c r="AY1320" s="48" t="s">
        <v>8722</v>
      </c>
      <c r="AZ1320" s="48" t="s">
        <v>2175</v>
      </c>
      <c r="BA1320" s="48" t="s">
        <v>8722</v>
      </c>
      <c r="BB1320" s="47" t="s">
        <v>2176</v>
      </c>
      <c r="BC1320" s="47" t="s">
        <v>538</v>
      </c>
      <c r="BD1320" s="47"/>
      <c r="BE1320" s="48" t="s">
        <v>271</v>
      </c>
      <c r="BF1320" s="48" t="s">
        <v>1974</v>
      </c>
      <c r="BG1320" s="48" t="s">
        <v>1974</v>
      </c>
      <c r="BH1320" s="48" t="s">
        <v>2177</v>
      </c>
      <c r="BI1320" s="98" t="s">
        <v>4137</v>
      </c>
      <c r="BJ1320" s="98">
        <f>10/T1320</f>
        <v>4.847074790364015E-2</v>
      </c>
      <c r="BK1320" s="48" t="s">
        <v>2178</v>
      </c>
      <c r="BL1320" s="98">
        <f t="shared" si="343"/>
        <v>7.7761745404047386E-2</v>
      </c>
      <c r="BM1320" s="48" t="s">
        <v>541</v>
      </c>
      <c r="BN1320" s="48"/>
      <c r="BO1320" s="48"/>
      <c r="BP1320" s="48"/>
      <c r="BQ1320" s="48"/>
      <c r="BR1320" s="48"/>
      <c r="BS1320" s="48"/>
      <c r="BT1320" s="48"/>
      <c r="BU1320" s="228"/>
      <c r="BV1320" s="48"/>
      <c r="BW1320" s="48"/>
      <c r="BX1320" s="48"/>
      <c r="BY1320" s="48"/>
      <c r="BZ1320" s="48"/>
      <c r="CA1320" s="48"/>
      <c r="CB1320" s="48"/>
      <c r="CC1320" s="48"/>
      <c r="CD1320" s="48"/>
      <c r="CE1320" s="48"/>
      <c r="CF1320" s="48"/>
      <c r="CG1320" s="48"/>
      <c r="CH1320" s="48"/>
      <c r="CI1320" s="98"/>
      <c r="CJ1320" s="98"/>
      <c r="CK1320" s="49">
        <f t="shared" si="338"/>
        <v>1.6043025694309017</v>
      </c>
      <c r="CL1320" s="229"/>
      <c r="CM1320" s="229"/>
      <c r="CN1320" s="229"/>
      <c r="CO1320" s="47"/>
      <c r="CP1320" s="47" t="s">
        <v>2180</v>
      </c>
      <c r="CQ1320" s="224" t="s">
        <v>272</v>
      </c>
      <c r="CR1320" s="224"/>
      <c r="CS1320" s="230" t="s">
        <v>539</v>
      </c>
      <c r="CT1320" s="230" t="s">
        <v>6310</v>
      </c>
      <c r="CU1320" s="230"/>
      <c r="CV1320" s="335">
        <f t="shared" si="344"/>
        <v>350.36464793938222</v>
      </c>
      <c r="CW1320" s="230">
        <f t="shared" si="337"/>
        <v>1</v>
      </c>
      <c r="CX1320" s="336" t="s">
        <v>539</v>
      </c>
      <c r="CY1320" s="230" t="s">
        <v>5921</v>
      </c>
    </row>
    <row r="1321" spans="1:103" ht="11.25" customHeight="1" x14ac:dyDescent="0.2">
      <c r="A1321" s="72">
        <v>1319</v>
      </c>
      <c r="B1321" s="224">
        <v>336</v>
      </c>
      <c r="C1321" s="46" t="s">
        <v>3162</v>
      </c>
      <c r="D1321" s="46"/>
      <c r="E1321" s="114"/>
      <c r="F1321" s="114" t="s">
        <v>3163</v>
      </c>
      <c r="G1321" s="225">
        <v>22224926</v>
      </c>
      <c r="H1321" s="47" t="s">
        <v>3164</v>
      </c>
      <c r="I1321" s="47" t="s">
        <v>3164</v>
      </c>
      <c r="J1321" s="47" t="s">
        <v>3165</v>
      </c>
      <c r="K1321" s="47" t="s">
        <v>637</v>
      </c>
      <c r="L1321" s="47" t="s">
        <v>617</v>
      </c>
      <c r="M1321" s="47" t="s">
        <v>946</v>
      </c>
      <c r="N1321" s="47" t="s">
        <v>6376</v>
      </c>
      <c r="O1321" s="47" t="s">
        <v>918</v>
      </c>
      <c r="P1321" s="53"/>
      <c r="Q1321" s="53"/>
      <c r="R1321" s="53"/>
      <c r="S1321" s="53"/>
      <c r="T1321" s="48">
        <v>303.36</v>
      </c>
      <c r="U1321" s="98">
        <v>1.0845200421940928</v>
      </c>
      <c r="V1321" s="98">
        <v>6.7477584388185644E-2</v>
      </c>
      <c r="W1321" s="98">
        <v>0.67608297539198126</v>
      </c>
      <c r="X1321" s="98">
        <v>1.0845200421940928</v>
      </c>
      <c r="Y1321" s="233">
        <v>7</v>
      </c>
      <c r="Z1321" s="48">
        <v>3.29</v>
      </c>
      <c r="AA1321" s="48">
        <v>3.23</v>
      </c>
      <c r="AB1321" s="48">
        <v>3.1</v>
      </c>
      <c r="AC1321" s="48">
        <v>0.91149999999999998</v>
      </c>
      <c r="AD1321" s="48">
        <v>3.22</v>
      </c>
      <c r="AE1321" s="48">
        <v>3.68</v>
      </c>
      <c r="AF1321" s="48">
        <f t="shared" si="348"/>
        <v>3.23</v>
      </c>
      <c r="AG1321" s="49">
        <v>3.2</v>
      </c>
      <c r="AH1321" s="98">
        <v>9.6599999999999995E-11</v>
      </c>
      <c r="AI1321" s="98">
        <v>1.21E-9</v>
      </c>
      <c r="AJ1321" s="483">
        <f t="shared" si="341"/>
        <v>-8.4035891998971586</v>
      </c>
      <c r="AK1321" s="483">
        <f>LOG10(AI1321*1000/(0.08206*298.15))</f>
        <v>-7.3057809559962017</v>
      </c>
      <c r="AL1321" s="483">
        <f t="shared" si="342"/>
        <v>-7.3057809559962017</v>
      </c>
      <c r="AM1321" s="483">
        <v>-14.0052</v>
      </c>
      <c r="AN1321" s="226">
        <v>-7.03</v>
      </c>
      <c r="AO1321" s="484"/>
      <c r="AP1321" s="484">
        <v>-0.09</v>
      </c>
      <c r="AQ1321" s="226" t="s">
        <v>6311</v>
      </c>
      <c r="AR1321" s="226" t="s">
        <v>6311</v>
      </c>
      <c r="AS1321" s="224" t="s">
        <v>6</v>
      </c>
      <c r="AT1321" s="50" t="s">
        <v>266</v>
      </c>
      <c r="AU1321" s="48">
        <v>8</v>
      </c>
      <c r="AV1321" s="48">
        <v>144</v>
      </c>
      <c r="AW1321" s="48">
        <v>120</v>
      </c>
      <c r="AX1321" s="48">
        <v>26</v>
      </c>
      <c r="AY1321" s="48" t="s">
        <v>267</v>
      </c>
      <c r="AZ1321" s="48" t="s">
        <v>2253</v>
      </c>
      <c r="BA1321" s="48">
        <v>2</v>
      </c>
      <c r="BB1321" s="47" t="s">
        <v>2254</v>
      </c>
      <c r="BC1321" s="47" t="s">
        <v>270</v>
      </c>
      <c r="BD1321" s="47" t="s">
        <v>8374</v>
      </c>
      <c r="BE1321" s="48" t="s">
        <v>1712</v>
      </c>
      <c r="BF1321" s="48" t="s">
        <v>272</v>
      </c>
      <c r="BG1321" s="48" t="s">
        <v>272</v>
      </c>
      <c r="BH1321" s="48" t="s">
        <v>2255</v>
      </c>
      <c r="BI1321" s="98">
        <v>9.9999999999999995E-7</v>
      </c>
      <c r="BJ1321" s="98">
        <v>0.08</v>
      </c>
      <c r="BK1321" s="48"/>
      <c r="BL1321" s="98">
        <f t="shared" si="343"/>
        <v>5.7023123165170088E-2</v>
      </c>
      <c r="BM1321" s="48" t="s">
        <v>891</v>
      </c>
      <c r="BN1321" s="233"/>
      <c r="BO1321" s="233"/>
      <c r="BP1321" s="233"/>
      <c r="BQ1321" s="233"/>
      <c r="BR1321" s="233"/>
      <c r="BS1321" s="48"/>
      <c r="BT1321" s="233"/>
      <c r="BU1321" s="228"/>
      <c r="BV1321" s="233"/>
      <c r="BW1321" s="233"/>
      <c r="BX1321" s="233"/>
      <c r="BY1321" s="233"/>
      <c r="BZ1321" s="233"/>
      <c r="CA1321" s="233"/>
      <c r="CB1321" s="233"/>
      <c r="CC1321" s="48"/>
      <c r="CD1321" s="238"/>
      <c r="CE1321" s="238"/>
      <c r="CF1321" s="238"/>
      <c r="CG1321" s="233"/>
      <c r="CH1321" s="48"/>
      <c r="CI1321" s="98"/>
      <c r="CJ1321" s="98"/>
      <c r="CK1321" s="49">
        <f t="shared" si="338"/>
        <v>0.71278903956462614</v>
      </c>
      <c r="CL1321" s="229"/>
      <c r="CM1321" s="229">
        <v>-4.2341441532920809</v>
      </c>
      <c r="CN1321" s="229">
        <f>BJ1321/(10^CM1321)</f>
        <v>1371.6210460758364</v>
      </c>
      <c r="CO1321" s="47" t="s">
        <v>892</v>
      </c>
      <c r="CP1321" s="47" t="s">
        <v>893</v>
      </c>
      <c r="CQ1321" s="224">
        <v>-3.8969553926446636</v>
      </c>
      <c r="CR1321" s="224">
        <f>10^(CJ1321-CQ1321)</f>
        <v>7887.790961966004</v>
      </c>
      <c r="CS1321" s="230" t="s">
        <v>539</v>
      </c>
      <c r="CT1321" s="230"/>
      <c r="CU1321" s="230"/>
      <c r="CV1321" s="335">
        <f t="shared" si="344"/>
        <v>13.556500527426159</v>
      </c>
      <c r="CW1321" s="230">
        <f t="shared" si="337"/>
        <v>1</v>
      </c>
      <c r="CX1321" s="336" t="s">
        <v>539</v>
      </c>
      <c r="CY1321" s="230" t="s">
        <v>5921</v>
      </c>
    </row>
    <row r="1322" spans="1:103" ht="11.25" customHeight="1" x14ac:dyDescent="0.2">
      <c r="A1322" s="72">
        <v>1320</v>
      </c>
      <c r="B1322" s="224">
        <v>1512</v>
      </c>
      <c r="C1322" s="46" t="s">
        <v>958</v>
      </c>
      <c r="D1322" s="46"/>
      <c r="E1322" s="114"/>
      <c r="F1322" s="114" t="s">
        <v>959</v>
      </c>
      <c r="G1322" s="225">
        <v>22781233</v>
      </c>
      <c r="H1322" s="47" t="s">
        <v>960</v>
      </c>
      <c r="I1322" s="47" t="s">
        <v>960</v>
      </c>
      <c r="J1322" s="47" t="s">
        <v>961</v>
      </c>
      <c r="K1322" s="47" t="s">
        <v>962</v>
      </c>
      <c r="L1322" s="47" t="s">
        <v>617</v>
      </c>
      <c r="M1322" s="47" t="s">
        <v>946</v>
      </c>
      <c r="N1322" s="47" t="s">
        <v>6376</v>
      </c>
      <c r="O1322" s="47" t="s">
        <v>918</v>
      </c>
      <c r="P1322" s="53"/>
      <c r="Q1322" s="53"/>
      <c r="R1322" s="53"/>
      <c r="S1322" s="53"/>
      <c r="T1322" s="48">
        <v>223.23</v>
      </c>
      <c r="U1322" s="98">
        <v>1.1647180038525289</v>
      </c>
      <c r="V1322" s="98">
        <v>5.2367513327061781</v>
      </c>
      <c r="W1322" s="98">
        <v>1.2022644346174123</v>
      </c>
      <c r="X1322" s="98">
        <v>1.1647180038525289</v>
      </c>
      <c r="Y1322" s="233">
        <v>6.97</v>
      </c>
      <c r="Z1322" s="48">
        <v>2.5499999999999998</v>
      </c>
      <c r="AA1322" s="48">
        <v>1.7</v>
      </c>
      <c r="AB1322" s="48">
        <v>1.85</v>
      </c>
      <c r="AC1322" s="48">
        <v>0.84089999999999998</v>
      </c>
      <c r="AD1322" s="48">
        <v>1.85</v>
      </c>
      <c r="AE1322" s="48">
        <v>1.86</v>
      </c>
      <c r="AF1322" s="48">
        <f t="shared" si="348"/>
        <v>1.7</v>
      </c>
      <c r="AG1322" s="49">
        <v>1.38</v>
      </c>
      <c r="AH1322" s="98">
        <v>6.5799999999999995E-11</v>
      </c>
      <c r="AI1322" s="98">
        <v>3.8999999999999998E-8</v>
      </c>
      <c r="AJ1322" s="483">
        <f t="shared" si="341"/>
        <v>-8.5703404326986963</v>
      </c>
      <c r="AK1322" s="483">
        <f>LOG10(AI1322*1000/(0.08206*298.15))</f>
        <v>-5.7975017192861529</v>
      </c>
      <c r="AL1322" s="483">
        <f t="shared" si="342"/>
        <v>-5.7975017192861529</v>
      </c>
      <c r="AM1322" s="483">
        <v>-11.31254</v>
      </c>
      <c r="AN1322" s="226">
        <v>-5.95</v>
      </c>
      <c r="AO1322" s="484">
        <v>11.98</v>
      </c>
      <c r="AP1322" s="484">
        <v>-1.56</v>
      </c>
      <c r="AQ1322" s="48" t="s">
        <v>6311</v>
      </c>
      <c r="AR1322" s="48" t="s">
        <v>6314</v>
      </c>
      <c r="AS1322" s="227"/>
      <c r="AT1322" s="50" t="s">
        <v>266</v>
      </c>
      <c r="AU1322" s="48">
        <v>6</v>
      </c>
      <c r="AV1322" s="48">
        <v>120</v>
      </c>
      <c r="AW1322" s="48">
        <v>114</v>
      </c>
      <c r="AX1322" s="48">
        <v>28</v>
      </c>
      <c r="AY1322" s="48" t="s">
        <v>8728</v>
      </c>
      <c r="AZ1322" s="48" t="s">
        <v>1563</v>
      </c>
      <c r="BA1322" s="48">
        <v>32</v>
      </c>
      <c r="BB1322" s="47" t="s">
        <v>2485</v>
      </c>
      <c r="BC1322" s="47" t="s">
        <v>8726</v>
      </c>
      <c r="BD1322" s="47" t="s">
        <v>8374</v>
      </c>
      <c r="BE1322" s="48" t="s">
        <v>2449</v>
      </c>
      <c r="BF1322" s="48" t="s">
        <v>272</v>
      </c>
      <c r="BG1322" s="48" t="s">
        <v>272</v>
      </c>
      <c r="BH1322" s="48" t="s">
        <v>2486</v>
      </c>
      <c r="BI1322" s="98">
        <v>6.3999999999999997E-6</v>
      </c>
      <c r="BJ1322" s="98">
        <v>6.4000000000000001E-2</v>
      </c>
      <c r="BK1322" s="48"/>
      <c r="BL1322" s="98">
        <f t="shared" si="343"/>
        <v>0.26341772823875065</v>
      </c>
      <c r="BM1322" s="47" t="s">
        <v>2487</v>
      </c>
      <c r="BN1322" s="48"/>
      <c r="BO1322" s="48"/>
      <c r="BP1322" s="48"/>
      <c r="BQ1322" s="48"/>
      <c r="BR1322" s="47" t="s">
        <v>2496</v>
      </c>
      <c r="BS1322" s="48"/>
      <c r="BT1322" s="48"/>
      <c r="BU1322" s="228"/>
      <c r="BV1322" s="48"/>
      <c r="BW1322" s="48"/>
      <c r="BX1322" s="48"/>
      <c r="BY1322" s="48"/>
      <c r="BZ1322" s="48"/>
      <c r="CA1322" s="48"/>
      <c r="CB1322" s="48"/>
      <c r="CC1322" s="48"/>
      <c r="CD1322" s="48"/>
      <c r="CE1322" s="48"/>
      <c r="CF1322" s="48"/>
      <c r="CG1322" s="48"/>
      <c r="CH1322" s="48"/>
      <c r="CI1322" s="98"/>
      <c r="CJ1322" s="98"/>
      <c r="CK1322" s="49">
        <f t="shared" si="338"/>
        <v>4.1159020037304792</v>
      </c>
      <c r="CL1322" s="229"/>
      <c r="CM1322" s="229">
        <v>-2.3314294315540174</v>
      </c>
      <c r="CN1322" s="229">
        <f>BJ1322/(10^CM1322)</f>
        <v>13.728067488328906</v>
      </c>
      <c r="CO1322" s="47" t="s">
        <v>2488</v>
      </c>
      <c r="CP1322" s="47" t="s">
        <v>2489</v>
      </c>
      <c r="CQ1322" s="224">
        <v>-2.3117965798381497</v>
      </c>
      <c r="CR1322" s="224">
        <f>10^(CJ1322-CQ1322)</f>
        <v>205.02016553622616</v>
      </c>
      <c r="CS1322" s="230" t="s">
        <v>539</v>
      </c>
      <c r="CT1322" s="230"/>
      <c r="CU1322" s="230"/>
      <c r="CV1322" s="335">
        <f t="shared" si="344"/>
        <v>18.198718810195764</v>
      </c>
      <c r="CW1322" s="230">
        <f t="shared" si="337"/>
        <v>1</v>
      </c>
      <c r="CX1322" s="336"/>
      <c r="CY1322" s="230" t="s">
        <v>5921</v>
      </c>
    </row>
    <row r="1323" spans="1:103" ht="11.25" customHeight="1" x14ac:dyDescent="0.2">
      <c r="A1323" s="72">
        <v>1321</v>
      </c>
      <c r="B1323" s="224">
        <v>1693</v>
      </c>
      <c r="C1323" s="46" t="s">
        <v>7416</v>
      </c>
      <c r="D1323" s="46"/>
      <c r="E1323" s="114"/>
      <c r="F1323" s="114" t="s">
        <v>4939</v>
      </c>
      <c r="G1323" s="225">
        <v>22915737</v>
      </c>
      <c r="H1323" s="47" t="s">
        <v>4940</v>
      </c>
      <c r="I1323" s="47" t="s">
        <v>7755</v>
      </c>
      <c r="J1323" s="47" t="s">
        <v>4941</v>
      </c>
      <c r="K1323" s="47" t="s">
        <v>357</v>
      </c>
      <c r="L1323" s="47"/>
      <c r="M1323" s="47"/>
      <c r="N1323" s="47"/>
      <c r="O1323" s="47"/>
      <c r="P1323" s="53"/>
      <c r="Q1323" s="53" t="s">
        <v>6173</v>
      </c>
      <c r="R1323" s="53" t="s">
        <v>6174</v>
      </c>
      <c r="S1323" s="53" t="s">
        <v>6182</v>
      </c>
      <c r="T1323" s="48">
        <v>314.33</v>
      </c>
      <c r="U1323" s="98"/>
      <c r="V1323" s="98">
        <v>8.1474883084656252E-2</v>
      </c>
      <c r="W1323" s="98">
        <v>0.22387211385683381</v>
      </c>
      <c r="X1323" s="98">
        <f>IF(W1323=0,V1323,W1323)</f>
        <v>0.22387211385683381</v>
      </c>
      <c r="Y1323" s="233">
        <v>7</v>
      </c>
      <c r="Z1323" s="48">
        <v>3.04</v>
      </c>
      <c r="AA1323" s="48"/>
      <c r="AB1323" s="48">
        <v>3.87</v>
      </c>
      <c r="AC1323" s="48">
        <v>0.7994</v>
      </c>
      <c r="AD1323" s="48">
        <v>3.81</v>
      </c>
      <c r="AE1323" s="48">
        <v>3.64</v>
      </c>
      <c r="AF1323" s="48">
        <f t="shared" si="348"/>
        <v>3.81</v>
      </c>
      <c r="AG1323" s="49">
        <v>3.21</v>
      </c>
      <c r="AH1323" s="98">
        <v>3.3800000000000002E-10</v>
      </c>
      <c r="AI1323" s="98"/>
      <c r="AJ1323" s="483">
        <f t="shared" si="341"/>
        <v>-7.8596496260349973</v>
      </c>
      <c r="AK1323" s="483"/>
      <c r="AL1323" s="483">
        <f t="shared" si="342"/>
        <v>-7.8596496260349973</v>
      </c>
      <c r="AM1323" s="483">
        <v>-13.005929999999999</v>
      </c>
      <c r="AN1323" s="226">
        <v>-7.47</v>
      </c>
      <c r="AO1323" s="484"/>
      <c r="AP1323" s="484"/>
      <c r="AQ1323" s="226" t="s">
        <v>6311</v>
      </c>
      <c r="AR1323" s="226" t="s">
        <v>6312</v>
      </c>
      <c r="AS1323" s="224"/>
      <c r="AT1323" s="50" t="s">
        <v>266</v>
      </c>
      <c r="AU1323" s="48">
        <v>6</v>
      </c>
      <c r="AV1323" s="48">
        <v>120</v>
      </c>
      <c r="AW1323" s="48">
        <v>114</v>
      </c>
      <c r="AX1323" s="48">
        <v>28</v>
      </c>
      <c r="AY1323" s="48" t="s">
        <v>8728</v>
      </c>
      <c r="AZ1323" s="48" t="s">
        <v>1563</v>
      </c>
      <c r="BA1323" s="48">
        <v>32</v>
      </c>
      <c r="BB1323" s="47" t="s">
        <v>2485</v>
      </c>
      <c r="BC1323" s="47" t="s">
        <v>8726</v>
      </c>
      <c r="BD1323" s="47" t="s">
        <v>8374</v>
      </c>
      <c r="BE1323" s="48" t="s">
        <v>2449</v>
      </c>
      <c r="BF1323" s="48" t="s">
        <v>272</v>
      </c>
      <c r="BG1323" s="48" t="s">
        <v>272</v>
      </c>
      <c r="BH1323" s="48" t="s">
        <v>2486</v>
      </c>
      <c r="BI1323" s="98">
        <v>6.3999999999999997E-6</v>
      </c>
      <c r="BJ1323" s="98">
        <v>6.4000000000000001E-2</v>
      </c>
      <c r="BK1323" s="48"/>
      <c r="BL1323" s="98">
        <f t="shared" si="343"/>
        <v>9.5626002250406281E-2</v>
      </c>
      <c r="BM1323" s="47" t="s">
        <v>2487</v>
      </c>
      <c r="BN1323" s="48"/>
      <c r="BO1323" s="48"/>
      <c r="BP1323" s="48"/>
      <c r="BQ1323" s="48"/>
      <c r="BR1323" s="47" t="s">
        <v>2496</v>
      </c>
      <c r="BS1323" s="48"/>
      <c r="BT1323" s="48"/>
      <c r="BU1323" s="228"/>
      <c r="BV1323" s="48"/>
      <c r="BW1323" s="48"/>
      <c r="BX1323" s="48"/>
      <c r="BY1323" s="48"/>
      <c r="BZ1323" s="48"/>
      <c r="CA1323" s="48"/>
      <c r="CB1323" s="48"/>
      <c r="CC1323" s="48"/>
      <c r="CD1323" s="48"/>
      <c r="CE1323" s="48"/>
      <c r="CF1323" s="48"/>
      <c r="CG1323" s="48"/>
      <c r="CH1323" s="48"/>
      <c r="CI1323" s="98"/>
      <c r="CJ1323" s="98"/>
      <c r="CK1323" s="49">
        <f t="shared" si="338"/>
        <v>1.494156285162598</v>
      </c>
      <c r="CL1323" s="229"/>
      <c r="CM1323" s="229"/>
      <c r="CN1323" s="229"/>
      <c r="CO1323" s="47" t="s">
        <v>2488</v>
      </c>
      <c r="CP1323" s="47" t="s">
        <v>2489</v>
      </c>
      <c r="CQ1323" s="224" t="s">
        <v>272</v>
      </c>
      <c r="CR1323" s="224"/>
      <c r="CS1323" s="230" t="s">
        <v>539</v>
      </c>
      <c r="CT1323" s="230"/>
      <c r="CU1323" s="230"/>
      <c r="CV1323" s="335">
        <f t="shared" si="344"/>
        <v>3.4980017790130282</v>
      </c>
      <c r="CW1323" s="230">
        <f t="shared" si="337"/>
        <v>1</v>
      </c>
      <c r="CX1323" s="336"/>
      <c r="CY1323" s="230" t="s">
        <v>5921</v>
      </c>
    </row>
    <row r="1324" spans="1:103" ht="11.25" customHeight="1" x14ac:dyDescent="0.2">
      <c r="A1324" s="72">
        <v>1322</v>
      </c>
      <c r="B1324" s="224">
        <v>1249</v>
      </c>
      <c r="C1324" s="46" t="s">
        <v>1383</v>
      </c>
      <c r="D1324" s="46"/>
      <c r="E1324" s="114"/>
      <c r="F1324" s="114" t="s">
        <v>1384</v>
      </c>
      <c r="G1324" s="225">
        <v>23031369</v>
      </c>
      <c r="H1324" s="47" t="s">
        <v>1385</v>
      </c>
      <c r="I1324" s="47" t="s">
        <v>8108</v>
      </c>
      <c r="J1324" s="47" t="s">
        <v>1386</v>
      </c>
      <c r="K1324" s="47" t="s">
        <v>1085</v>
      </c>
      <c r="L1324" s="47" t="s">
        <v>617</v>
      </c>
      <c r="M1324" s="47" t="s">
        <v>1086</v>
      </c>
      <c r="N1324" s="47" t="s">
        <v>6376</v>
      </c>
      <c r="O1324" s="47" t="s">
        <v>918</v>
      </c>
      <c r="P1324" s="53"/>
      <c r="Q1324" s="53"/>
      <c r="R1324" s="53"/>
      <c r="S1324" s="53"/>
      <c r="T1324" s="48">
        <v>300.39</v>
      </c>
      <c r="U1324" s="98">
        <v>2.6632045008156066E-2</v>
      </c>
      <c r="V1324" s="98">
        <v>5.9522620593228806E-3</v>
      </c>
      <c r="W1324" s="98">
        <v>4.1686938347033506E-2</v>
      </c>
      <c r="X1324" s="98">
        <v>2.6632045008156066E-2</v>
      </c>
      <c r="Y1324" s="233">
        <v>7</v>
      </c>
      <c r="Z1324" s="48">
        <v>4.88</v>
      </c>
      <c r="AA1324" s="48">
        <v>4.49</v>
      </c>
      <c r="AB1324" s="48">
        <v>4.6900000000000004</v>
      </c>
      <c r="AC1324" s="48">
        <v>0.82520000000000004</v>
      </c>
      <c r="AD1324" s="48">
        <v>4.5999999999999996</v>
      </c>
      <c r="AE1324" s="48">
        <v>4.38</v>
      </c>
      <c r="AF1324" s="48">
        <f t="shared" si="348"/>
        <v>4.49</v>
      </c>
      <c r="AG1324" s="49">
        <v>3.18</v>
      </c>
      <c r="AH1324" s="98">
        <v>1.02E-7</v>
      </c>
      <c r="AI1324" s="98"/>
      <c r="AJ1324" s="483">
        <f t="shared" si="341"/>
        <v>-5.3799661545507345</v>
      </c>
      <c r="AK1324" s="483"/>
      <c r="AL1324" s="483">
        <f t="shared" si="342"/>
        <v>-5.3799661545507345</v>
      </c>
      <c r="AM1324" s="483">
        <v>-10.852540000000001</v>
      </c>
      <c r="AN1324" s="226">
        <v>-7.93</v>
      </c>
      <c r="AO1324" s="484"/>
      <c r="AP1324" s="484"/>
      <c r="AQ1324" s="48" t="s">
        <v>6311</v>
      </c>
      <c r="AR1324" s="48" t="s">
        <v>6312</v>
      </c>
      <c r="AS1324" s="227"/>
      <c r="AT1324" s="50" t="s">
        <v>266</v>
      </c>
      <c r="AU1324" s="48">
        <v>6</v>
      </c>
      <c r="AV1324" s="48">
        <v>120</v>
      </c>
      <c r="AW1324" s="48">
        <v>114</v>
      </c>
      <c r="AX1324" s="48">
        <v>28</v>
      </c>
      <c r="AY1324" s="48" t="s">
        <v>8728</v>
      </c>
      <c r="AZ1324" s="48" t="s">
        <v>1563</v>
      </c>
      <c r="BA1324" s="48">
        <v>32</v>
      </c>
      <c r="BB1324" s="47" t="s">
        <v>2485</v>
      </c>
      <c r="BC1324" s="47" t="s">
        <v>8726</v>
      </c>
      <c r="BD1324" s="47" t="s">
        <v>8374</v>
      </c>
      <c r="BE1324" s="48" t="s">
        <v>2449</v>
      </c>
      <c r="BF1324" s="48" t="s">
        <v>272</v>
      </c>
      <c r="BG1324" s="48" t="s">
        <v>272</v>
      </c>
      <c r="BH1324" s="48" t="s">
        <v>2486</v>
      </c>
      <c r="BI1324" s="98">
        <v>6.3999999999999997E-6</v>
      </c>
      <c r="BJ1324" s="98">
        <v>6.4000000000000001E-2</v>
      </c>
      <c r="BK1324" s="48"/>
      <c r="BL1324" s="98">
        <f t="shared" si="343"/>
        <v>2.1284918911598223E-3</v>
      </c>
      <c r="BM1324" s="47" t="s">
        <v>2487</v>
      </c>
      <c r="BN1324" s="48"/>
      <c r="BO1324" s="48"/>
      <c r="BP1324" s="48"/>
      <c r="BQ1324" s="48"/>
      <c r="BR1324" s="47" t="s">
        <v>2496</v>
      </c>
      <c r="BS1324" s="48"/>
      <c r="BT1324" s="48"/>
      <c r="BU1324" s="228">
        <v>6.3680000000000004E-3</v>
      </c>
      <c r="BV1324" s="48"/>
      <c r="BW1324" s="48"/>
      <c r="BX1324" s="48"/>
      <c r="BY1324" s="48"/>
      <c r="BZ1324" s="48"/>
      <c r="CA1324" s="48"/>
      <c r="CB1324" s="48"/>
      <c r="CC1324" s="48"/>
      <c r="CD1324" s="48"/>
      <c r="CE1324" s="48"/>
      <c r="CF1324" s="48"/>
      <c r="CG1324" s="48"/>
      <c r="CH1324" s="48"/>
      <c r="CI1324" s="98"/>
      <c r="CJ1324" s="98"/>
      <c r="CK1324" s="49">
        <f t="shared" si="338"/>
        <v>3.3257685799372223E-2</v>
      </c>
      <c r="CL1324" s="229"/>
      <c r="CM1324" s="229">
        <v>-4.3985042248374135</v>
      </c>
      <c r="CN1324" s="229">
        <f>BJ1324/(10^CM1324)</f>
        <v>1602.080000000004</v>
      </c>
      <c r="CO1324" s="47" t="s">
        <v>2488</v>
      </c>
      <c r="CP1324" s="47" t="s">
        <v>2489</v>
      </c>
      <c r="CQ1324" s="224">
        <v>-4.2668835074501228</v>
      </c>
      <c r="CR1324" s="224">
        <f>10^(CJ1324-CQ1324)</f>
        <v>18487.726487640906</v>
      </c>
      <c r="CS1324" s="230" t="s">
        <v>539</v>
      </c>
      <c r="CT1324" s="230"/>
      <c r="CU1324" s="230"/>
      <c r="CV1324" s="335">
        <f t="shared" si="344"/>
        <v>0.41612570325243853</v>
      </c>
      <c r="CW1324" s="230">
        <f t="shared" si="337"/>
        <v>0</v>
      </c>
      <c r="CX1324" s="336"/>
      <c r="CY1324" s="230" t="s">
        <v>5921</v>
      </c>
    </row>
    <row r="1325" spans="1:103" ht="11.25" customHeight="1" x14ac:dyDescent="0.2">
      <c r="A1325" s="72">
        <v>1323</v>
      </c>
      <c r="B1325" s="224">
        <v>434</v>
      </c>
      <c r="C1325" s="46" t="s">
        <v>7417</v>
      </c>
      <c r="D1325" s="46"/>
      <c r="E1325" s="114"/>
      <c r="F1325" s="114" t="s">
        <v>3981</v>
      </c>
      <c r="G1325" s="225">
        <v>23103982</v>
      </c>
      <c r="H1325" s="47" t="s">
        <v>3982</v>
      </c>
      <c r="I1325" s="47" t="s">
        <v>3982</v>
      </c>
      <c r="J1325" s="47" t="s">
        <v>3983</v>
      </c>
      <c r="K1325" s="47" t="s">
        <v>616</v>
      </c>
      <c r="L1325" s="47" t="s">
        <v>617</v>
      </c>
      <c r="M1325" s="47" t="s">
        <v>946</v>
      </c>
      <c r="N1325" s="47" t="s">
        <v>6376</v>
      </c>
      <c r="O1325" s="47" t="s">
        <v>918</v>
      </c>
      <c r="P1325" s="53"/>
      <c r="Q1325" s="53"/>
      <c r="R1325" s="53"/>
      <c r="S1325" s="53"/>
      <c r="T1325" s="48">
        <v>238.29</v>
      </c>
      <c r="U1325" s="98">
        <v>11.330731461664358</v>
      </c>
      <c r="V1325" s="98">
        <v>4.0685719081791092</v>
      </c>
      <c r="W1325" s="98">
        <v>46.773514128719789</v>
      </c>
      <c r="X1325" s="98">
        <v>11.330731461664358</v>
      </c>
      <c r="Y1325" s="233">
        <v>8.6300000000000008</v>
      </c>
      <c r="Z1325" s="48">
        <v>1.4</v>
      </c>
      <c r="AA1325" s="48">
        <v>1.7</v>
      </c>
      <c r="AB1325" s="48">
        <v>1.74</v>
      </c>
      <c r="AC1325" s="48">
        <v>0.86729999999999996</v>
      </c>
      <c r="AD1325" s="48">
        <v>1.73</v>
      </c>
      <c r="AE1325" s="48">
        <v>1.7</v>
      </c>
      <c r="AF1325" s="48">
        <f t="shared" si="348"/>
        <v>1.7</v>
      </c>
      <c r="AG1325" s="49">
        <v>1.99</v>
      </c>
      <c r="AH1325" s="98">
        <v>2.6200000000000001E-9</v>
      </c>
      <c r="AI1325" s="98">
        <v>8.4499999999999998E-10</v>
      </c>
      <c r="AJ1325" s="483">
        <f t="shared" si="341"/>
        <v>-6.9702650349929067</v>
      </c>
      <c r="AK1325" s="483">
        <f>LOG10(AI1325*1000/(0.08206*298.15))</f>
        <v>-7.4617096173629598</v>
      </c>
      <c r="AL1325" s="483">
        <f t="shared" si="342"/>
        <v>-7.4617096173629598</v>
      </c>
      <c r="AM1325" s="483">
        <v>-11.863299999999999</v>
      </c>
      <c r="AN1325" s="226">
        <v>-6.48</v>
      </c>
      <c r="AO1325" s="484"/>
      <c r="AP1325" s="484">
        <v>4.9000000000000004</v>
      </c>
      <c r="AQ1325" s="226" t="s">
        <v>6311</v>
      </c>
      <c r="AR1325" s="226" t="s">
        <v>6312</v>
      </c>
      <c r="AS1325" s="224" t="s">
        <v>6</v>
      </c>
      <c r="AT1325" s="50" t="s">
        <v>266</v>
      </c>
      <c r="AU1325" s="48">
        <v>8</v>
      </c>
      <c r="AV1325" s="48">
        <v>144</v>
      </c>
      <c r="AW1325" s="48">
        <v>120</v>
      </c>
      <c r="AX1325" s="48">
        <v>26</v>
      </c>
      <c r="AY1325" s="48" t="s">
        <v>267</v>
      </c>
      <c r="AZ1325" s="48" t="s">
        <v>2253</v>
      </c>
      <c r="BA1325" s="48">
        <v>2</v>
      </c>
      <c r="BB1325" s="47" t="s">
        <v>2254</v>
      </c>
      <c r="BC1325" s="47" t="s">
        <v>270</v>
      </c>
      <c r="BD1325" s="47" t="s">
        <v>8374</v>
      </c>
      <c r="BE1325" s="48" t="s">
        <v>1712</v>
      </c>
      <c r="BF1325" s="48" t="s">
        <v>272</v>
      </c>
      <c r="BG1325" s="48" t="s">
        <v>272</v>
      </c>
      <c r="BH1325" s="48" t="s">
        <v>2255</v>
      </c>
      <c r="BI1325" s="98">
        <v>9.9999999999999995E-7</v>
      </c>
      <c r="BJ1325" s="98">
        <v>0.08</v>
      </c>
      <c r="BK1325" s="48"/>
      <c r="BL1325" s="98">
        <f t="shared" si="343"/>
        <v>2.8409265139313828</v>
      </c>
      <c r="BM1325" s="48" t="s">
        <v>891</v>
      </c>
      <c r="BN1325" s="233"/>
      <c r="BO1325" s="233"/>
      <c r="BP1325" s="233"/>
      <c r="BQ1325" s="233"/>
      <c r="BR1325" s="233"/>
      <c r="BS1325" s="48"/>
      <c r="BT1325" s="233"/>
      <c r="BU1325" s="228"/>
      <c r="BV1325" s="233"/>
      <c r="BW1325" s="233"/>
      <c r="BX1325" s="233"/>
      <c r="BY1325" s="233"/>
      <c r="BZ1325" s="233"/>
      <c r="CA1325" s="233"/>
      <c r="CB1325" s="233"/>
      <c r="CC1325" s="48"/>
      <c r="CD1325" s="48"/>
      <c r="CE1325" s="48"/>
      <c r="CF1325" s="48"/>
      <c r="CG1325" s="233"/>
      <c r="CH1325" s="48"/>
      <c r="CI1325" s="98"/>
      <c r="CJ1325" s="98"/>
      <c r="CK1325" s="49">
        <f t="shared" si="338"/>
        <v>35.511581424142285</v>
      </c>
      <c r="CL1325" s="229"/>
      <c r="CM1325" s="229"/>
      <c r="CN1325" s="229"/>
      <c r="CO1325" s="47" t="s">
        <v>892</v>
      </c>
      <c r="CP1325" s="47" t="s">
        <v>893</v>
      </c>
      <c r="CQ1325" s="224">
        <v>-0.51102352112978588</v>
      </c>
      <c r="CR1325" s="224">
        <f>10^(CJ1325-CQ1325)</f>
        <v>3.2435718386502597</v>
      </c>
      <c r="CS1325" s="230" t="s">
        <v>539</v>
      </c>
      <c r="CT1325" s="230"/>
      <c r="CU1325" s="230"/>
      <c r="CV1325" s="335">
        <f t="shared" si="344"/>
        <v>141.63414327080449</v>
      </c>
      <c r="CW1325" s="230">
        <f t="shared" si="337"/>
        <v>1</v>
      </c>
      <c r="CX1325" s="336" t="s">
        <v>539</v>
      </c>
      <c r="CY1325" s="230" t="s">
        <v>5921</v>
      </c>
    </row>
    <row r="1326" spans="1:103" ht="11.25" customHeight="1" x14ac:dyDescent="0.2">
      <c r="A1326" s="72">
        <v>1324</v>
      </c>
      <c r="B1326" s="224">
        <v>1824</v>
      </c>
      <c r="C1326" s="46" t="s">
        <v>7417</v>
      </c>
      <c r="D1326" s="46"/>
      <c r="E1326" s="114"/>
      <c r="F1326" s="114" t="s">
        <v>3981</v>
      </c>
      <c r="G1326" s="225">
        <v>23103982</v>
      </c>
      <c r="H1326" s="47" t="s">
        <v>3982</v>
      </c>
      <c r="I1326" s="47" t="s">
        <v>3982</v>
      </c>
      <c r="J1326" s="47" t="s">
        <v>3983</v>
      </c>
      <c r="K1326" s="47" t="s">
        <v>616</v>
      </c>
      <c r="L1326" s="47" t="s">
        <v>617</v>
      </c>
      <c r="M1326" s="47" t="s">
        <v>946</v>
      </c>
      <c r="N1326" s="47" t="s">
        <v>6376</v>
      </c>
      <c r="O1326" s="47" t="s">
        <v>918</v>
      </c>
      <c r="P1326" s="53"/>
      <c r="Q1326" s="53"/>
      <c r="R1326" s="53"/>
      <c r="S1326" s="53"/>
      <c r="T1326" s="48">
        <v>238.29</v>
      </c>
      <c r="U1326" s="98">
        <v>11.330731461664358</v>
      </c>
      <c r="V1326" s="98">
        <v>4.0685719081791092</v>
      </c>
      <c r="W1326" s="98">
        <v>46.773514128719789</v>
      </c>
      <c r="X1326" s="98">
        <v>11.330731461664358</v>
      </c>
      <c r="Y1326" s="233">
        <v>8.6300000000000008</v>
      </c>
      <c r="Z1326" s="48">
        <v>1.4</v>
      </c>
      <c r="AA1326" s="48">
        <v>1.7</v>
      </c>
      <c r="AB1326" s="48">
        <v>1.74</v>
      </c>
      <c r="AC1326" s="48">
        <v>0.86729999999999996</v>
      </c>
      <c r="AD1326" s="48">
        <v>1.73</v>
      </c>
      <c r="AE1326" s="48">
        <v>1.7</v>
      </c>
      <c r="AF1326" s="48">
        <f t="shared" si="348"/>
        <v>1.7</v>
      </c>
      <c r="AG1326" s="49">
        <v>1.99</v>
      </c>
      <c r="AH1326" s="98">
        <v>2.6200000000000001E-9</v>
      </c>
      <c r="AI1326" s="98">
        <v>8.4499999999999998E-10</v>
      </c>
      <c r="AJ1326" s="483">
        <f t="shared" ref="AJ1326:AJ1357" si="349">LOG10(AH1326*1000/(0.08206*298.15))</f>
        <v>-6.9702650349929067</v>
      </c>
      <c r="AK1326" s="483">
        <f>LOG10(AI1326*1000/(0.08206*298.15))</f>
        <v>-7.4617096173629598</v>
      </c>
      <c r="AL1326" s="483">
        <f t="shared" ref="AL1326:AL1357" si="350">IF(AK1326=0,AJ1326,AK1326)</f>
        <v>-7.4617096173629598</v>
      </c>
      <c r="AM1326" s="483">
        <v>-11.863299999999999</v>
      </c>
      <c r="AN1326" s="226">
        <v>-6.48</v>
      </c>
      <c r="AO1326" s="484"/>
      <c r="AP1326" s="484">
        <v>4.9000000000000004</v>
      </c>
      <c r="AQ1326" s="226" t="s">
        <v>6311</v>
      </c>
      <c r="AR1326" s="226" t="s">
        <v>6312</v>
      </c>
      <c r="AS1326" s="224" t="s">
        <v>6</v>
      </c>
      <c r="AT1326" s="50" t="s">
        <v>266</v>
      </c>
      <c r="AU1326" s="48">
        <v>6</v>
      </c>
      <c r="AV1326" s="48">
        <v>120</v>
      </c>
      <c r="AW1326" s="48">
        <v>114</v>
      </c>
      <c r="AX1326" s="48">
        <v>28</v>
      </c>
      <c r="AY1326" s="48" t="s">
        <v>8728</v>
      </c>
      <c r="AZ1326" s="48" t="s">
        <v>1563</v>
      </c>
      <c r="BA1326" s="48">
        <v>32</v>
      </c>
      <c r="BB1326" s="47" t="s">
        <v>2485</v>
      </c>
      <c r="BC1326" s="47" t="s">
        <v>8726</v>
      </c>
      <c r="BD1326" s="47" t="s">
        <v>8374</v>
      </c>
      <c r="BE1326" s="48" t="s">
        <v>2449</v>
      </c>
      <c r="BF1326" s="48" t="s">
        <v>272</v>
      </c>
      <c r="BG1326" s="48" t="s">
        <v>272</v>
      </c>
      <c r="BH1326" s="48" t="s">
        <v>2486</v>
      </c>
      <c r="BI1326" s="98">
        <v>6.3999999999999997E-6</v>
      </c>
      <c r="BJ1326" s="98">
        <v>6.4000000000000001E-2</v>
      </c>
      <c r="BK1326" s="48"/>
      <c r="BL1326" s="98">
        <f t="shared" ref="BL1326:BL1357" si="351">10^((-0.8981*Z1326)+1.7108)</f>
        <v>2.8409265139313828</v>
      </c>
      <c r="BM1326" s="47" t="s">
        <v>2487</v>
      </c>
      <c r="BN1326" s="48"/>
      <c r="BO1326" s="48"/>
      <c r="BP1326" s="48"/>
      <c r="BQ1326" s="48"/>
      <c r="BR1326" s="47" t="s">
        <v>2496</v>
      </c>
      <c r="BS1326" s="48"/>
      <c r="BT1326" s="48"/>
      <c r="BU1326" s="228"/>
      <c r="BV1326" s="48"/>
      <c r="BW1326" s="48"/>
      <c r="BX1326" s="48"/>
      <c r="BY1326" s="48"/>
      <c r="BZ1326" s="48"/>
      <c r="CA1326" s="48"/>
      <c r="CB1326" s="48"/>
      <c r="CC1326" s="48"/>
      <c r="CD1326" s="48"/>
      <c r="CE1326" s="48"/>
      <c r="CF1326" s="48"/>
      <c r="CG1326" s="48"/>
      <c r="CH1326" s="48"/>
      <c r="CI1326" s="98"/>
      <c r="CJ1326" s="98"/>
      <c r="CK1326" s="49">
        <f t="shared" si="338"/>
        <v>44.389476780177858</v>
      </c>
      <c r="CL1326" s="229"/>
      <c r="CM1326" s="229"/>
      <c r="CN1326" s="229"/>
      <c r="CO1326" s="47" t="s">
        <v>2488</v>
      </c>
      <c r="CP1326" s="47" t="s">
        <v>2489</v>
      </c>
      <c r="CQ1326" s="224">
        <v>-0.51102352112978588</v>
      </c>
      <c r="CR1326" s="224">
        <f>10^(CJ1326-CQ1326)</f>
        <v>3.2435718386502597</v>
      </c>
      <c r="CS1326" s="230" t="s">
        <v>539</v>
      </c>
      <c r="CT1326" s="230"/>
      <c r="CU1326" s="230"/>
      <c r="CV1326" s="335">
        <f t="shared" ref="CV1326:CV1357" si="352">X1326/BJ1326</f>
        <v>177.04267908850559</v>
      </c>
      <c r="CW1326" s="230">
        <f t="shared" si="337"/>
        <v>1</v>
      </c>
      <c r="CX1326" s="336"/>
      <c r="CY1326" s="230" t="s">
        <v>5921</v>
      </c>
    </row>
    <row r="1327" spans="1:103" ht="11.25" customHeight="1" x14ac:dyDescent="0.2">
      <c r="A1327" s="72">
        <v>1325</v>
      </c>
      <c r="B1327" s="224">
        <v>416</v>
      </c>
      <c r="C1327" s="46" t="s">
        <v>7418</v>
      </c>
      <c r="D1327" s="46"/>
      <c r="E1327" s="114"/>
      <c r="F1327" s="114" t="s">
        <v>3384</v>
      </c>
      <c r="G1327" s="225">
        <v>23135220</v>
      </c>
      <c r="H1327" s="47" t="s">
        <v>3385</v>
      </c>
      <c r="I1327" s="47" t="s">
        <v>3385</v>
      </c>
      <c r="J1327" s="47" t="s">
        <v>3386</v>
      </c>
      <c r="K1327" s="47" t="s">
        <v>3387</v>
      </c>
      <c r="L1327" s="47" t="s">
        <v>617</v>
      </c>
      <c r="M1327" s="47" t="s">
        <v>618</v>
      </c>
      <c r="N1327" s="47" t="s">
        <v>6376</v>
      </c>
      <c r="O1327" s="47" t="s">
        <v>918</v>
      </c>
      <c r="P1327" s="53"/>
      <c r="Q1327" s="53"/>
      <c r="R1327" s="53"/>
      <c r="S1327" s="53"/>
      <c r="T1327" s="48">
        <v>219.26</v>
      </c>
      <c r="U1327" s="98">
        <v>1277.0227127611056</v>
      </c>
      <c r="V1327" s="98">
        <v>19.55212989145307</v>
      </c>
      <c r="W1327" s="98">
        <v>64.565422903465532</v>
      </c>
      <c r="X1327" s="98">
        <v>1277.0227127611056</v>
      </c>
      <c r="Y1327" s="233">
        <v>5.83</v>
      </c>
      <c r="Z1327" s="48">
        <v>-1.2</v>
      </c>
      <c r="AA1327" s="48">
        <v>-0.47</v>
      </c>
      <c r="AB1327" s="48">
        <v>0.18</v>
      </c>
      <c r="AC1327" s="48">
        <v>0.73540000000000005</v>
      </c>
      <c r="AD1327" s="48">
        <v>-0.06</v>
      </c>
      <c r="AE1327" s="48">
        <v>-0.47</v>
      </c>
      <c r="AF1327" s="48">
        <f t="shared" si="348"/>
        <v>-0.47</v>
      </c>
      <c r="AG1327" s="49">
        <v>0.31</v>
      </c>
      <c r="AH1327" s="98">
        <v>3.5299999999999997E-11</v>
      </c>
      <c r="AI1327" s="98">
        <v>2.3700000000000001E-10</v>
      </c>
      <c r="AJ1327" s="483">
        <f t="shared" si="349"/>
        <v>-8.8407916209248292</v>
      </c>
      <c r="AK1327" s="483">
        <f>LOG10(AI1327*1000/(0.08206*298.15))</f>
        <v>-8.013817980302548</v>
      </c>
      <c r="AL1327" s="483">
        <f t="shared" si="350"/>
        <v>-8.013817980302548</v>
      </c>
      <c r="AM1327" s="483">
        <v>-14.050719999999998</v>
      </c>
      <c r="AN1327" s="226">
        <v>-12.7</v>
      </c>
      <c r="AO1327" s="484">
        <v>10.48</v>
      </c>
      <c r="AP1327" s="484">
        <v>-1.93</v>
      </c>
      <c r="AQ1327" s="226" t="s">
        <v>6311</v>
      </c>
      <c r="AR1327" s="226" t="s">
        <v>6311</v>
      </c>
      <c r="AS1327" s="224" t="s">
        <v>6</v>
      </c>
      <c r="AT1327" s="50" t="s">
        <v>266</v>
      </c>
      <c r="AU1327" s="48">
        <v>8</v>
      </c>
      <c r="AV1327" s="48">
        <v>144</v>
      </c>
      <c r="AW1327" s="48">
        <v>120</v>
      </c>
      <c r="AX1327" s="48">
        <v>26</v>
      </c>
      <c r="AY1327" s="48" t="s">
        <v>267</v>
      </c>
      <c r="AZ1327" s="48" t="s">
        <v>2253</v>
      </c>
      <c r="BA1327" s="48">
        <v>3</v>
      </c>
      <c r="BB1327" s="47" t="s">
        <v>2254</v>
      </c>
      <c r="BC1327" s="47" t="s">
        <v>270</v>
      </c>
      <c r="BD1327" s="47" t="s">
        <v>8374</v>
      </c>
      <c r="BE1327" s="48" t="s">
        <v>1712</v>
      </c>
      <c r="BF1327" s="48" t="s">
        <v>272</v>
      </c>
      <c r="BG1327" s="48" t="s">
        <v>272</v>
      </c>
      <c r="BH1327" s="48" t="s">
        <v>2255</v>
      </c>
      <c r="BI1327" s="98">
        <v>9.9999999999999995E-7</v>
      </c>
      <c r="BJ1327" s="98">
        <v>0.08</v>
      </c>
      <c r="BK1327" s="48"/>
      <c r="BL1327" s="98">
        <f t="shared" si="351"/>
        <v>614.4973297019925</v>
      </c>
      <c r="BM1327" s="48" t="s">
        <v>891</v>
      </c>
      <c r="BN1327" s="233"/>
      <c r="BO1327" s="233"/>
      <c r="BP1327" s="233"/>
      <c r="BQ1327" s="233"/>
      <c r="BR1327" s="233"/>
      <c r="BS1327" s="48"/>
      <c r="BT1327" s="233"/>
      <c r="BU1327" s="228"/>
      <c r="BV1327" s="233"/>
      <c r="BW1327" s="233"/>
      <c r="BX1327" s="233"/>
      <c r="BY1327" s="233"/>
      <c r="BZ1327" s="233"/>
      <c r="CA1327" s="233"/>
      <c r="CB1327" s="233"/>
      <c r="CC1327" s="48"/>
      <c r="CD1327" s="48"/>
      <c r="CE1327" s="48"/>
      <c r="CF1327" s="48"/>
      <c r="CG1327" s="233"/>
      <c r="CH1327" s="48"/>
      <c r="CI1327" s="98"/>
      <c r="CJ1327" s="98"/>
      <c r="CK1327" s="49">
        <f t="shared" si="338"/>
        <v>7681.2166212749062</v>
      </c>
      <c r="CL1327" s="229"/>
      <c r="CM1327" s="229"/>
      <c r="CN1327" s="229"/>
      <c r="CO1327" s="47" t="s">
        <v>892</v>
      </c>
      <c r="CP1327" s="47" t="s">
        <v>893</v>
      </c>
      <c r="CQ1327" s="224">
        <v>-1.5264406208400594</v>
      </c>
      <c r="CR1327" s="224">
        <f>10^(CJ1327-CQ1327)</f>
        <v>33.607841539319558</v>
      </c>
      <c r="CS1327" s="230" t="s">
        <v>539</v>
      </c>
      <c r="CT1327" s="230"/>
      <c r="CU1327" s="230"/>
      <c r="CV1327" s="335">
        <f t="shared" si="352"/>
        <v>15962.783909513819</v>
      </c>
      <c r="CW1327" s="230">
        <f t="shared" si="337"/>
        <v>1</v>
      </c>
      <c r="CX1327" s="336" t="s">
        <v>539</v>
      </c>
      <c r="CY1327" s="230" t="s">
        <v>5921</v>
      </c>
    </row>
    <row r="1328" spans="1:103" ht="11.25" customHeight="1" x14ac:dyDescent="0.2">
      <c r="A1328" s="72">
        <v>1326</v>
      </c>
      <c r="B1328" s="224">
        <v>1225</v>
      </c>
      <c r="C1328" s="46" t="s">
        <v>7418</v>
      </c>
      <c r="D1328" s="46"/>
      <c r="E1328" s="114"/>
      <c r="F1328" s="114" t="s">
        <v>3384</v>
      </c>
      <c r="G1328" s="225">
        <v>23135220</v>
      </c>
      <c r="H1328" s="47" t="s">
        <v>3385</v>
      </c>
      <c r="I1328" s="47" t="s">
        <v>3385</v>
      </c>
      <c r="J1328" s="47" t="s">
        <v>3386</v>
      </c>
      <c r="K1328" s="47" t="s">
        <v>3387</v>
      </c>
      <c r="L1328" s="47" t="s">
        <v>617</v>
      </c>
      <c r="M1328" s="47" t="s">
        <v>946</v>
      </c>
      <c r="N1328" s="47" t="s">
        <v>6376</v>
      </c>
      <c r="O1328" s="47" t="s">
        <v>918</v>
      </c>
      <c r="P1328" s="53"/>
      <c r="Q1328" s="53" t="s">
        <v>6173</v>
      </c>
      <c r="R1328" s="53" t="s">
        <v>6177</v>
      </c>
      <c r="S1328" s="53" t="s">
        <v>6176</v>
      </c>
      <c r="T1328" s="48">
        <v>219.26</v>
      </c>
      <c r="U1328" s="98">
        <v>1277.0227127611056</v>
      </c>
      <c r="V1328" s="98">
        <v>19.55212989145307</v>
      </c>
      <c r="W1328" s="98">
        <v>64.565422903465532</v>
      </c>
      <c r="X1328" s="98">
        <v>1277.0227127611056</v>
      </c>
      <c r="Y1328" s="233">
        <v>5.83</v>
      </c>
      <c r="Z1328" s="48">
        <v>-1.2</v>
      </c>
      <c r="AA1328" s="48">
        <v>-0.47</v>
      </c>
      <c r="AB1328" s="48">
        <v>0.18</v>
      </c>
      <c r="AC1328" s="48">
        <v>0.73540000000000005</v>
      </c>
      <c r="AD1328" s="48">
        <v>-0.06</v>
      </c>
      <c r="AE1328" s="48">
        <v>-0.47</v>
      </c>
      <c r="AF1328" s="48">
        <f t="shared" si="348"/>
        <v>-0.47</v>
      </c>
      <c r="AG1328" s="49">
        <v>0.31</v>
      </c>
      <c r="AH1328" s="98">
        <v>3.5299999999999997E-11</v>
      </c>
      <c r="AI1328" s="98">
        <v>2.3700000000000001E-10</v>
      </c>
      <c r="AJ1328" s="483">
        <f t="shared" si="349"/>
        <v>-8.8407916209248292</v>
      </c>
      <c r="AK1328" s="483">
        <f>LOG10(AI1328*1000/(0.08206*298.15))</f>
        <v>-8.013817980302548</v>
      </c>
      <c r="AL1328" s="483">
        <f t="shared" si="350"/>
        <v>-8.013817980302548</v>
      </c>
      <c r="AM1328" s="483">
        <v>-14.050719999999998</v>
      </c>
      <c r="AN1328" s="226">
        <v>-12.7</v>
      </c>
      <c r="AO1328" s="484">
        <v>10.48</v>
      </c>
      <c r="AP1328" s="484">
        <v>-1.93</v>
      </c>
      <c r="AQ1328" s="48" t="s">
        <v>6311</v>
      </c>
      <c r="AR1328" s="48" t="s">
        <v>6311</v>
      </c>
      <c r="AS1328" s="227"/>
      <c r="AT1328" s="50" t="s">
        <v>266</v>
      </c>
      <c r="AU1328" s="48">
        <v>6</v>
      </c>
      <c r="AV1328" s="48">
        <v>120</v>
      </c>
      <c r="AW1328" s="48">
        <v>114</v>
      </c>
      <c r="AX1328" s="48">
        <v>28</v>
      </c>
      <c r="AY1328" s="48" t="s">
        <v>8728</v>
      </c>
      <c r="AZ1328" s="48" t="s">
        <v>1563</v>
      </c>
      <c r="BA1328" s="48">
        <v>32</v>
      </c>
      <c r="BB1328" s="47" t="s">
        <v>2485</v>
      </c>
      <c r="BC1328" s="47" t="s">
        <v>8726</v>
      </c>
      <c r="BD1328" s="47" t="s">
        <v>8374</v>
      </c>
      <c r="BE1328" s="48" t="s">
        <v>2449</v>
      </c>
      <c r="BF1328" s="48" t="s">
        <v>272</v>
      </c>
      <c r="BG1328" s="48" t="s">
        <v>272</v>
      </c>
      <c r="BH1328" s="48" t="s">
        <v>2486</v>
      </c>
      <c r="BI1328" s="98">
        <v>6.3999999999999997E-6</v>
      </c>
      <c r="BJ1328" s="98">
        <v>6.4000000000000001E-2</v>
      </c>
      <c r="BK1328" s="48"/>
      <c r="BL1328" s="98">
        <f t="shared" si="351"/>
        <v>614.4973297019925</v>
      </c>
      <c r="BM1328" s="47" t="s">
        <v>2487</v>
      </c>
      <c r="BN1328" s="48"/>
      <c r="BO1328" s="48"/>
      <c r="BP1328" s="48"/>
      <c r="BQ1328" s="48"/>
      <c r="BR1328" s="47" t="s">
        <v>2496</v>
      </c>
      <c r="BS1328" s="48"/>
      <c r="BT1328" s="48"/>
      <c r="BU1328" s="228">
        <v>6.3999999999999997E-6</v>
      </c>
      <c r="BV1328" s="48"/>
      <c r="BW1328" s="48"/>
      <c r="BX1328" s="48"/>
      <c r="BY1328" s="48"/>
      <c r="BZ1328" s="48"/>
      <c r="CA1328" s="48"/>
      <c r="CB1328" s="48"/>
      <c r="CC1328" s="48"/>
      <c r="CD1328" s="48"/>
      <c r="CE1328" s="48"/>
      <c r="CF1328" s="48"/>
      <c r="CG1328" s="48"/>
      <c r="CH1328" s="48"/>
      <c r="CI1328" s="98"/>
      <c r="CJ1328" s="98"/>
      <c r="CK1328" s="49">
        <f t="shared" si="338"/>
        <v>9601.520776593632</v>
      </c>
      <c r="CL1328" s="229"/>
      <c r="CM1328" s="229"/>
      <c r="CN1328" s="229"/>
      <c r="CO1328" s="47" t="s">
        <v>2488</v>
      </c>
      <c r="CP1328" s="47" t="s">
        <v>2489</v>
      </c>
      <c r="CQ1328" s="224">
        <v>-1.5264406208400594</v>
      </c>
      <c r="CR1328" s="224">
        <f>10^(CJ1328-CQ1328)</f>
        <v>33.607841539319558</v>
      </c>
      <c r="CS1328" s="230" t="s">
        <v>539</v>
      </c>
      <c r="CT1328" s="230"/>
      <c r="CU1328" s="230"/>
      <c r="CV1328" s="335">
        <f t="shared" si="352"/>
        <v>19953.479886892273</v>
      </c>
      <c r="CW1328" s="230">
        <f t="shared" si="337"/>
        <v>1</v>
      </c>
      <c r="CX1328" s="336"/>
      <c r="CY1328" s="230" t="s">
        <v>5921</v>
      </c>
    </row>
    <row r="1329" spans="1:103" ht="11.25" customHeight="1" x14ac:dyDescent="0.2">
      <c r="A1329" s="72">
        <v>1327</v>
      </c>
      <c r="B1329" s="224">
        <v>348</v>
      </c>
      <c r="C1329" s="46" t="s">
        <v>7419</v>
      </c>
      <c r="D1329" s="46"/>
      <c r="E1329" s="114"/>
      <c r="F1329" s="114" t="s">
        <v>3883</v>
      </c>
      <c r="G1329" s="225">
        <v>23422539</v>
      </c>
      <c r="H1329" s="47" t="s">
        <v>3884</v>
      </c>
      <c r="I1329" s="47" t="s">
        <v>8109</v>
      </c>
      <c r="J1329" s="47" t="s">
        <v>3885</v>
      </c>
      <c r="K1329" s="47" t="s">
        <v>616</v>
      </c>
      <c r="L1329" s="47"/>
      <c r="M1329" s="47"/>
      <c r="N1329" s="47"/>
      <c r="O1329" s="47"/>
      <c r="P1329" s="53"/>
      <c r="Q1329" s="53"/>
      <c r="R1329" s="53"/>
      <c r="S1329" s="53"/>
      <c r="T1329" s="48">
        <v>257.72000000000003</v>
      </c>
      <c r="U1329" s="98"/>
      <c r="V1329" s="98">
        <v>14.29070308862331</v>
      </c>
      <c r="W1329" s="98"/>
      <c r="X1329" s="98">
        <f>IF(W1329=0,V1329,W1329)</f>
        <v>14.29070308862331</v>
      </c>
      <c r="Y1329" s="233"/>
      <c r="Z1329" s="48">
        <v>-0.64</v>
      </c>
      <c r="AA1329" s="48"/>
      <c r="AB1329" s="48">
        <v>0</v>
      </c>
      <c r="AC1329" s="48">
        <v>0</v>
      </c>
      <c r="AD1329" s="48">
        <v>0</v>
      </c>
      <c r="AE1329" s="48">
        <v>0</v>
      </c>
      <c r="AF1329" s="48"/>
      <c r="AG1329" s="49">
        <v>1.8</v>
      </c>
      <c r="AH1329" s="98">
        <v>2.2699999999999998E-19</v>
      </c>
      <c r="AI1329" s="98"/>
      <c r="AJ1329" s="483">
        <f t="shared" si="349"/>
        <v>-17.032540469119528</v>
      </c>
      <c r="AK1329" s="483"/>
      <c r="AL1329" s="483">
        <f t="shared" si="350"/>
        <v>-17.032540469119528</v>
      </c>
      <c r="AM1329" s="483"/>
      <c r="AN1329" s="226">
        <v>-8.93</v>
      </c>
      <c r="AO1329" s="484"/>
      <c r="AP1329" s="484"/>
      <c r="AQ1329" s="226" t="s">
        <v>6311</v>
      </c>
      <c r="AR1329" s="226" t="s">
        <v>6314</v>
      </c>
      <c r="AS1329" s="224" t="s">
        <v>6</v>
      </c>
      <c r="AT1329" s="50" t="s">
        <v>266</v>
      </c>
      <c r="AU1329" s="48">
        <v>8</v>
      </c>
      <c r="AV1329" s="48">
        <v>144</v>
      </c>
      <c r="AW1329" s="48">
        <v>120</v>
      </c>
      <c r="AX1329" s="48">
        <v>26</v>
      </c>
      <c r="AY1329" s="48" t="s">
        <v>267</v>
      </c>
      <c r="AZ1329" s="48" t="s">
        <v>2253</v>
      </c>
      <c r="BA1329" s="48">
        <v>2</v>
      </c>
      <c r="BB1329" s="47" t="s">
        <v>2254</v>
      </c>
      <c r="BC1329" s="47" t="s">
        <v>270</v>
      </c>
      <c r="BD1329" s="47" t="s">
        <v>8374</v>
      </c>
      <c r="BE1329" s="48" t="s">
        <v>1712</v>
      </c>
      <c r="BF1329" s="48" t="s">
        <v>272</v>
      </c>
      <c r="BG1329" s="48" t="s">
        <v>272</v>
      </c>
      <c r="BH1329" s="48" t="s">
        <v>2255</v>
      </c>
      <c r="BI1329" s="98">
        <v>9.9999999999999995E-7</v>
      </c>
      <c r="BJ1329" s="98">
        <v>0.08</v>
      </c>
      <c r="BK1329" s="48"/>
      <c r="BL1329" s="98">
        <f t="shared" si="351"/>
        <v>193.0118618126975</v>
      </c>
      <c r="BM1329" s="48" t="s">
        <v>891</v>
      </c>
      <c r="BN1329" s="233"/>
      <c r="BO1329" s="233"/>
      <c r="BP1329" s="233"/>
      <c r="BQ1329" s="233"/>
      <c r="BR1329" s="233"/>
      <c r="BS1329" s="48"/>
      <c r="BT1329" s="233"/>
      <c r="BU1329" s="228"/>
      <c r="BV1329" s="233"/>
      <c r="BW1329" s="233"/>
      <c r="BX1329" s="233"/>
      <c r="BY1329" s="233"/>
      <c r="BZ1329" s="233"/>
      <c r="CA1329" s="233"/>
      <c r="CB1329" s="233"/>
      <c r="CC1329" s="48"/>
      <c r="CD1329" s="48"/>
      <c r="CE1329" s="48"/>
      <c r="CF1329" s="48"/>
      <c r="CG1329" s="233"/>
      <c r="CH1329" s="48"/>
      <c r="CI1329" s="98"/>
      <c r="CJ1329" s="98"/>
      <c r="CK1329" s="49">
        <f t="shared" si="338"/>
        <v>2412.6482726587187</v>
      </c>
      <c r="CL1329" s="229"/>
      <c r="CM1329" s="229"/>
      <c r="CN1329" s="229"/>
      <c r="CO1329" s="47" t="s">
        <v>892</v>
      </c>
      <c r="CP1329" s="47" t="s">
        <v>893</v>
      </c>
      <c r="CQ1329" s="224" t="s">
        <v>272</v>
      </c>
      <c r="CR1329" s="224"/>
      <c r="CS1329" s="230" t="s">
        <v>539</v>
      </c>
      <c r="CT1329" s="230"/>
      <c r="CU1329" s="230"/>
      <c r="CV1329" s="335">
        <f t="shared" si="352"/>
        <v>178.63378860779136</v>
      </c>
      <c r="CW1329" s="230">
        <f t="shared" si="337"/>
        <v>1</v>
      </c>
      <c r="CX1329" s="336" t="s">
        <v>539</v>
      </c>
      <c r="CY1329" s="230" t="s">
        <v>5921</v>
      </c>
    </row>
    <row r="1330" spans="1:103" ht="11.25" customHeight="1" x14ac:dyDescent="0.2">
      <c r="A1330" s="72">
        <v>1328</v>
      </c>
      <c r="B1330" s="224">
        <v>1683</v>
      </c>
      <c r="C1330" s="46" t="s">
        <v>7419</v>
      </c>
      <c r="D1330" s="46"/>
      <c r="E1330" s="114"/>
      <c r="F1330" s="114" t="s">
        <v>3883</v>
      </c>
      <c r="G1330" s="225">
        <v>23422539</v>
      </c>
      <c r="H1330" s="47" t="s">
        <v>3884</v>
      </c>
      <c r="I1330" s="47" t="s">
        <v>8109</v>
      </c>
      <c r="J1330" s="47" t="s">
        <v>3885</v>
      </c>
      <c r="K1330" s="47" t="s">
        <v>616</v>
      </c>
      <c r="L1330" s="47"/>
      <c r="M1330" s="47"/>
      <c r="N1330" s="47"/>
      <c r="O1330" s="47"/>
      <c r="P1330" s="53"/>
      <c r="Q1330" s="53"/>
      <c r="R1330" s="53"/>
      <c r="S1330" s="53"/>
      <c r="T1330" s="48">
        <v>257.72000000000003</v>
      </c>
      <c r="U1330" s="98"/>
      <c r="V1330" s="98">
        <v>14.29070308862331</v>
      </c>
      <c r="W1330" s="98"/>
      <c r="X1330" s="98">
        <f>IF(W1330=0,V1330,W1330)</f>
        <v>14.29070308862331</v>
      </c>
      <c r="Y1330" s="233"/>
      <c r="Z1330" s="48">
        <v>-0.64</v>
      </c>
      <c r="AA1330" s="48"/>
      <c r="AB1330" s="48">
        <v>0</v>
      </c>
      <c r="AC1330" s="48">
        <v>0</v>
      </c>
      <c r="AD1330" s="48">
        <v>0</v>
      </c>
      <c r="AE1330" s="48">
        <v>0</v>
      </c>
      <c r="AF1330" s="48"/>
      <c r="AG1330" s="49">
        <v>1.8</v>
      </c>
      <c r="AH1330" s="98">
        <v>2.2699999999999998E-19</v>
      </c>
      <c r="AI1330" s="98"/>
      <c r="AJ1330" s="483">
        <f t="shared" si="349"/>
        <v>-17.032540469119528</v>
      </c>
      <c r="AK1330" s="483"/>
      <c r="AL1330" s="483">
        <f t="shared" si="350"/>
        <v>-17.032540469119528</v>
      </c>
      <c r="AM1330" s="483"/>
      <c r="AN1330" s="226">
        <v>-8.93</v>
      </c>
      <c r="AO1330" s="484"/>
      <c r="AP1330" s="484"/>
      <c r="AQ1330" s="226" t="s">
        <v>6311</v>
      </c>
      <c r="AR1330" s="226" t="s">
        <v>6314</v>
      </c>
      <c r="AS1330" s="224"/>
      <c r="AT1330" s="50" t="s">
        <v>266</v>
      </c>
      <c r="AU1330" s="48">
        <v>6</v>
      </c>
      <c r="AV1330" s="48">
        <v>120</v>
      </c>
      <c r="AW1330" s="48">
        <v>114</v>
      </c>
      <c r="AX1330" s="48">
        <v>28</v>
      </c>
      <c r="AY1330" s="48" t="s">
        <v>8728</v>
      </c>
      <c r="AZ1330" s="48" t="s">
        <v>1563</v>
      </c>
      <c r="BA1330" s="48">
        <v>32</v>
      </c>
      <c r="BB1330" s="47" t="s">
        <v>2485</v>
      </c>
      <c r="BC1330" s="47" t="s">
        <v>8726</v>
      </c>
      <c r="BD1330" s="47" t="s">
        <v>8374</v>
      </c>
      <c r="BE1330" s="48" t="s">
        <v>2449</v>
      </c>
      <c r="BF1330" s="48" t="s">
        <v>272</v>
      </c>
      <c r="BG1330" s="48" t="s">
        <v>272</v>
      </c>
      <c r="BH1330" s="48" t="s">
        <v>2486</v>
      </c>
      <c r="BI1330" s="98">
        <v>6.3999999999999997E-6</v>
      </c>
      <c r="BJ1330" s="98">
        <v>6.4000000000000001E-2</v>
      </c>
      <c r="BK1330" s="48"/>
      <c r="BL1330" s="98">
        <f t="shared" si="351"/>
        <v>193.0118618126975</v>
      </c>
      <c r="BM1330" s="47" t="s">
        <v>2487</v>
      </c>
      <c r="BN1330" s="48"/>
      <c r="BO1330" s="48"/>
      <c r="BP1330" s="48"/>
      <c r="BQ1330" s="48"/>
      <c r="BR1330" s="47" t="s">
        <v>2496</v>
      </c>
      <c r="BS1330" s="48"/>
      <c r="BT1330" s="48"/>
      <c r="BU1330" s="228"/>
      <c r="BV1330" s="48"/>
      <c r="BW1330" s="48"/>
      <c r="BX1330" s="48"/>
      <c r="BY1330" s="48"/>
      <c r="BZ1330" s="48"/>
      <c r="CA1330" s="48"/>
      <c r="CB1330" s="48"/>
      <c r="CC1330" s="48"/>
      <c r="CD1330" s="48"/>
      <c r="CE1330" s="48"/>
      <c r="CF1330" s="48"/>
      <c r="CG1330" s="48"/>
      <c r="CH1330" s="48"/>
      <c r="CI1330" s="98"/>
      <c r="CJ1330" s="98"/>
      <c r="CK1330" s="49">
        <f t="shared" si="338"/>
        <v>3015.8103408233983</v>
      </c>
      <c r="CL1330" s="229"/>
      <c r="CM1330" s="229"/>
      <c r="CN1330" s="229"/>
      <c r="CO1330" s="47" t="s">
        <v>2488</v>
      </c>
      <c r="CP1330" s="47" t="s">
        <v>2489</v>
      </c>
      <c r="CQ1330" s="224" t="s">
        <v>272</v>
      </c>
      <c r="CR1330" s="224"/>
      <c r="CS1330" s="230" t="s">
        <v>539</v>
      </c>
      <c r="CT1330" s="230"/>
      <c r="CU1330" s="230"/>
      <c r="CV1330" s="335">
        <f t="shared" si="352"/>
        <v>223.29223575973921</v>
      </c>
      <c r="CW1330" s="230">
        <f t="shared" si="337"/>
        <v>1</v>
      </c>
      <c r="CX1330" s="336"/>
      <c r="CY1330" s="230" t="s">
        <v>5921</v>
      </c>
    </row>
    <row r="1331" spans="1:103" ht="11.25" customHeight="1" x14ac:dyDescent="0.2">
      <c r="A1331" s="72">
        <v>1329</v>
      </c>
      <c r="B1331" s="224">
        <v>1299</v>
      </c>
      <c r="C1331" s="46" t="s">
        <v>1505</v>
      </c>
      <c r="D1331" s="46"/>
      <c r="E1331" s="114"/>
      <c r="F1331" s="114" t="s">
        <v>1506</v>
      </c>
      <c r="G1331" s="225">
        <v>23564058</v>
      </c>
      <c r="H1331" s="47" t="s">
        <v>1507</v>
      </c>
      <c r="I1331" s="47" t="s">
        <v>1507</v>
      </c>
      <c r="J1331" s="47" t="s">
        <v>1508</v>
      </c>
      <c r="K1331" s="47" t="s">
        <v>1509</v>
      </c>
      <c r="L1331" s="47" t="s">
        <v>6013</v>
      </c>
      <c r="M1331" s="47" t="s">
        <v>5960</v>
      </c>
      <c r="N1331" s="47" t="s">
        <v>2342</v>
      </c>
      <c r="O1331" s="47"/>
      <c r="P1331" s="53"/>
      <c r="Q1331" s="53"/>
      <c r="R1331" s="53"/>
      <c r="S1331" s="53"/>
      <c r="T1331" s="48">
        <v>342.4</v>
      </c>
      <c r="U1331" s="98">
        <v>7.7686915887850483E-2</v>
      </c>
      <c r="V1331" s="98">
        <v>1.2818341121495327</v>
      </c>
      <c r="W1331" s="98">
        <v>7.4131024130091636E-2</v>
      </c>
      <c r="X1331" s="98">
        <v>7.7686915887850483E-2</v>
      </c>
      <c r="Y1331" s="233">
        <v>4.8499999999999996</v>
      </c>
      <c r="Z1331" s="48">
        <v>1.1000000000000001</v>
      </c>
      <c r="AA1331" s="48">
        <v>1.4</v>
      </c>
      <c r="AB1331" s="48">
        <v>1.29</v>
      </c>
      <c r="AC1331" s="48">
        <v>0.84450000000000003</v>
      </c>
      <c r="AD1331" s="48">
        <v>1.26</v>
      </c>
      <c r="AE1331" s="48">
        <v>1.1599999999999999</v>
      </c>
      <c r="AF1331" s="48">
        <f t="shared" ref="AF1331:AF1339" si="353">IF(AA1331=0,AD1331,AA1331)</f>
        <v>1.4</v>
      </c>
      <c r="AG1331" s="49">
        <v>2.13</v>
      </c>
      <c r="AH1331" s="98">
        <v>2.9400000000000001E-13</v>
      </c>
      <c r="AI1331" s="98">
        <v>1.21E-9</v>
      </c>
      <c r="AJ1331" s="483">
        <f t="shared" si="349"/>
        <v>-10.920218995900495</v>
      </c>
      <c r="AK1331" s="483">
        <f>LOG10(AI1331*1000/(0.08206*298.15))</f>
        <v>-7.3057809559962017</v>
      </c>
      <c r="AL1331" s="483">
        <f t="shared" si="350"/>
        <v>-7.3057809559962017</v>
      </c>
      <c r="AM1331" s="483">
        <v>-23.00292</v>
      </c>
      <c r="AN1331" s="226">
        <v>-20.2</v>
      </c>
      <c r="AO1331" s="484">
        <v>6.12</v>
      </c>
      <c r="AP1331" s="484">
        <v>-0.47</v>
      </c>
      <c r="AQ1331" s="48" t="s">
        <v>6311</v>
      </c>
      <c r="AR1331" s="48" t="s">
        <v>6311</v>
      </c>
      <c r="AS1331" s="227"/>
      <c r="AT1331" s="50" t="s">
        <v>266</v>
      </c>
      <c r="AU1331" s="48">
        <v>6</v>
      </c>
      <c r="AV1331" s="48">
        <v>120</v>
      </c>
      <c r="AW1331" s="48">
        <v>114</v>
      </c>
      <c r="AX1331" s="48">
        <v>28</v>
      </c>
      <c r="AY1331" s="48" t="s">
        <v>8728</v>
      </c>
      <c r="AZ1331" s="48" t="s">
        <v>1563</v>
      </c>
      <c r="BA1331" s="48">
        <v>32</v>
      </c>
      <c r="BB1331" s="47" t="s">
        <v>2485</v>
      </c>
      <c r="BC1331" s="47" t="s">
        <v>8726</v>
      </c>
      <c r="BD1331" s="47" t="s">
        <v>8374</v>
      </c>
      <c r="BE1331" s="48" t="s">
        <v>2449</v>
      </c>
      <c r="BF1331" s="48" t="s">
        <v>272</v>
      </c>
      <c r="BG1331" s="48" t="s">
        <v>272</v>
      </c>
      <c r="BH1331" s="48" t="s">
        <v>2486</v>
      </c>
      <c r="BI1331" s="98">
        <v>6.3999999999999997E-6</v>
      </c>
      <c r="BJ1331" s="98">
        <v>6.4000000000000001E-2</v>
      </c>
      <c r="BK1331" s="48"/>
      <c r="BL1331" s="98">
        <f t="shared" si="351"/>
        <v>5.283114218069028</v>
      </c>
      <c r="BM1331" s="47" t="s">
        <v>2487</v>
      </c>
      <c r="BN1331" s="48"/>
      <c r="BO1331" s="48"/>
      <c r="BP1331" s="48"/>
      <c r="BQ1331" s="48"/>
      <c r="BR1331" s="47" t="s">
        <v>2496</v>
      </c>
      <c r="BS1331" s="48"/>
      <c r="BT1331" s="48"/>
      <c r="BU1331" s="228">
        <v>6.4000000000000001E-2</v>
      </c>
      <c r="BV1331" s="48"/>
      <c r="BW1331" s="48"/>
      <c r="BX1331" s="48"/>
      <c r="BY1331" s="48"/>
      <c r="BZ1331" s="48"/>
      <c r="CA1331" s="48"/>
      <c r="CB1331" s="48"/>
      <c r="CC1331" s="48"/>
      <c r="CD1331" s="48"/>
      <c r="CE1331" s="48"/>
      <c r="CF1331" s="48"/>
      <c r="CG1331" s="48"/>
      <c r="CH1331" s="48"/>
      <c r="CI1331" s="98"/>
      <c r="CJ1331" s="98"/>
      <c r="CK1331" s="49">
        <f t="shared" si="338"/>
        <v>82.548659657328557</v>
      </c>
      <c r="CL1331" s="229"/>
      <c r="CM1331" s="229">
        <v>-1.4139099832331679</v>
      </c>
      <c r="CN1331" s="229">
        <f>BJ1331/(10^CM1331)</f>
        <v>1.6599307001603791</v>
      </c>
      <c r="CO1331" s="47" t="s">
        <v>2488</v>
      </c>
      <c r="CP1331" s="47" t="s">
        <v>2489</v>
      </c>
      <c r="CQ1331" s="224">
        <v>-1.234409735604173</v>
      </c>
      <c r="CR1331" s="224">
        <f>10^(CJ1331-CQ1331)</f>
        <v>17.155751054422865</v>
      </c>
      <c r="CS1331" s="230" t="s">
        <v>539</v>
      </c>
      <c r="CT1331" s="230"/>
      <c r="CU1331" s="230"/>
      <c r="CV1331" s="335">
        <f t="shared" si="352"/>
        <v>1.2138580607476637</v>
      </c>
      <c r="CW1331" s="230">
        <f t="shared" si="337"/>
        <v>1</v>
      </c>
      <c r="CX1331" s="336"/>
      <c r="CY1331" s="230" t="s">
        <v>5921</v>
      </c>
    </row>
    <row r="1332" spans="1:103" ht="11.25" customHeight="1" x14ac:dyDescent="0.2">
      <c r="A1332" s="72">
        <v>1330</v>
      </c>
      <c r="B1332" s="224">
        <v>1345</v>
      </c>
      <c r="C1332" s="46" t="s">
        <v>7420</v>
      </c>
      <c r="D1332" s="46"/>
      <c r="E1332" s="114"/>
      <c r="F1332" s="114" t="s">
        <v>4163</v>
      </c>
      <c r="G1332" s="225">
        <v>23779320</v>
      </c>
      <c r="H1332" s="47" t="s">
        <v>4164</v>
      </c>
      <c r="I1332" s="47" t="s">
        <v>4164</v>
      </c>
      <c r="J1332" s="47" t="s">
        <v>4165</v>
      </c>
      <c r="K1332" s="47" t="s">
        <v>4166</v>
      </c>
      <c r="L1332" s="47"/>
      <c r="M1332" s="47"/>
      <c r="N1332" s="47"/>
      <c r="O1332" s="47"/>
      <c r="P1332" s="53"/>
      <c r="Q1332" s="53"/>
      <c r="R1332" s="53"/>
      <c r="S1332" s="53"/>
      <c r="T1332" s="48">
        <v>264.39</v>
      </c>
      <c r="U1332" s="98"/>
      <c r="V1332" s="98">
        <v>4.7770339271530693</v>
      </c>
      <c r="W1332" s="98">
        <v>21.37962089502232</v>
      </c>
      <c r="X1332" s="98">
        <f>IF(W1332=0,V1332,W1332)</f>
        <v>21.37962089502232</v>
      </c>
      <c r="Y1332" s="233">
        <v>6.97</v>
      </c>
      <c r="Z1332" s="48">
        <v>-0.14000000000000001</v>
      </c>
      <c r="AA1332" s="48"/>
      <c r="AB1332" s="48">
        <v>0.27</v>
      </c>
      <c r="AC1332" s="48">
        <v>0.58509999999999995</v>
      </c>
      <c r="AD1332" s="48">
        <v>0.52</v>
      </c>
      <c r="AE1332" s="48">
        <v>0.81</v>
      </c>
      <c r="AF1332" s="48">
        <f t="shared" si="353"/>
        <v>0.52</v>
      </c>
      <c r="AG1332" s="49">
        <v>0.52</v>
      </c>
      <c r="AH1332" s="98">
        <v>3.8899999999999998E-12</v>
      </c>
      <c r="AI1332" s="98"/>
      <c r="AJ1332" s="483">
        <f t="shared" si="349"/>
        <v>-9.7986167249869442</v>
      </c>
      <c r="AK1332" s="483"/>
      <c r="AL1332" s="483">
        <f t="shared" si="350"/>
        <v>-9.7986167249869442</v>
      </c>
      <c r="AM1332" s="483">
        <v>-14.186589999999999</v>
      </c>
      <c r="AN1332" s="226"/>
      <c r="AO1332" s="484">
        <v>14.2</v>
      </c>
      <c r="AP1332" s="484">
        <v>-0.2</v>
      </c>
      <c r="AQ1332" s="48" t="s">
        <v>6311</v>
      </c>
      <c r="AR1332" s="48" t="s">
        <v>6311</v>
      </c>
      <c r="AS1332" s="227"/>
      <c r="AT1332" s="50" t="s">
        <v>266</v>
      </c>
      <c r="AU1332" s="48">
        <v>6</v>
      </c>
      <c r="AV1332" s="48">
        <v>120</v>
      </c>
      <c r="AW1332" s="48">
        <v>114</v>
      </c>
      <c r="AX1332" s="48">
        <v>28</v>
      </c>
      <c r="AY1332" s="48" t="s">
        <v>8728</v>
      </c>
      <c r="AZ1332" s="48" t="s">
        <v>1563</v>
      </c>
      <c r="BA1332" s="48">
        <v>32</v>
      </c>
      <c r="BB1332" s="47" t="s">
        <v>2485</v>
      </c>
      <c r="BC1332" s="47" t="s">
        <v>8726</v>
      </c>
      <c r="BD1332" s="47" t="s">
        <v>8374</v>
      </c>
      <c r="BE1332" s="48" t="s">
        <v>2449</v>
      </c>
      <c r="BF1332" s="48" t="s">
        <v>272</v>
      </c>
      <c r="BG1332" s="48" t="s">
        <v>272</v>
      </c>
      <c r="BH1332" s="48" t="s">
        <v>2486</v>
      </c>
      <c r="BI1332" s="98">
        <v>6.3999999999999997E-6</v>
      </c>
      <c r="BJ1332" s="98">
        <v>6.4000000000000001E-2</v>
      </c>
      <c r="BK1332" s="48"/>
      <c r="BL1332" s="98">
        <f t="shared" si="351"/>
        <v>68.633160776384955</v>
      </c>
      <c r="BM1332" s="47" t="s">
        <v>2487</v>
      </c>
      <c r="BN1332" s="48"/>
      <c r="BO1332" s="48"/>
      <c r="BP1332" s="48"/>
      <c r="BQ1332" s="48"/>
      <c r="BR1332" s="47" t="s">
        <v>2496</v>
      </c>
      <c r="BS1332" s="48"/>
      <c r="BT1332" s="48"/>
      <c r="BU1332" s="228"/>
      <c r="BV1332" s="48"/>
      <c r="BW1332" s="48"/>
      <c r="BX1332" s="48"/>
      <c r="BY1332" s="48"/>
      <c r="BZ1332" s="48"/>
      <c r="CA1332" s="48"/>
      <c r="CB1332" s="48"/>
      <c r="CC1332" s="48"/>
      <c r="CD1332" s="48"/>
      <c r="CE1332" s="48"/>
      <c r="CF1332" s="48"/>
      <c r="CG1332" s="48"/>
      <c r="CH1332" s="48"/>
      <c r="CI1332" s="98"/>
      <c r="CJ1332" s="98"/>
      <c r="CK1332" s="49">
        <f t="shared" si="338"/>
        <v>1072.3931371310148</v>
      </c>
      <c r="CL1332" s="229"/>
      <c r="CM1332" s="229"/>
      <c r="CN1332" s="229"/>
      <c r="CO1332" s="47" t="s">
        <v>2488</v>
      </c>
      <c r="CP1332" s="47" t="s">
        <v>2489</v>
      </c>
      <c r="CQ1332" s="224" t="s">
        <v>272</v>
      </c>
      <c r="CR1332" s="224"/>
      <c r="CS1332" s="230" t="s">
        <v>539</v>
      </c>
      <c r="CT1332" s="230"/>
      <c r="CU1332" s="230"/>
      <c r="CV1332" s="335">
        <f t="shared" si="352"/>
        <v>334.05657648472373</v>
      </c>
      <c r="CW1332" s="230">
        <f t="shared" si="337"/>
        <v>1</v>
      </c>
      <c r="CX1332" s="336"/>
      <c r="CY1332" s="230" t="s">
        <v>6351</v>
      </c>
    </row>
    <row r="1333" spans="1:103" ht="11.25" customHeight="1" x14ac:dyDescent="0.2">
      <c r="A1333" s="72">
        <v>1331</v>
      </c>
      <c r="B1333" s="224">
        <v>450</v>
      </c>
      <c r="C1333" s="46" t="s">
        <v>7421</v>
      </c>
      <c r="D1333" s="46"/>
      <c r="E1333" s="114"/>
      <c r="F1333" s="114" t="s">
        <v>4004</v>
      </c>
      <c r="G1333" s="225">
        <v>23950585</v>
      </c>
      <c r="H1333" s="47" t="s">
        <v>4005</v>
      </c>
      <c r="I1333" s="47" t="s">
        <v>8110</v>
      </c>
      <c r="J1333" s="47" t="s">
        <v>4006</v>
      </c>
      <c r="K1333" s="47" t="s">
        <v>471</v>
      </c>
      <c r="L1333" s="47" t="s">
        <v>6052</v>
      </c>
      <c r="M1333" s="47" t="s">
        <v>5960</v>
      </c>
      <c r="N1333" s="47"/>
      <c r="O1333" s="47"/>
      <c r="P1333" s="53"/>
      <c r="Q1333" s="53"/>
      <c r="R1333" s="53"/>
      <c r="S1333" s="53"/>
      <c r="T1333" s="48">
        <v>256.13</v>
      </c>
      <c r="U1333" s="98">
        <v>5.8564010463436539E-2</v>
      </c>
      <c r="V1333" s="98">
        <v>0.1004958419552571</v>
      </c>
      <c r="W1333" s="98">
        <v>0.12589254117941673</v>
      </c>
      <c r="X1333" s="98">
        <v>5.8564010463436539E-2</v>
      </c>
      <c r="Y1333" s="233">
        <v>7</v>
      </c>
      <c r="Z1333" s="48">
        <v>3.57</v>
      </c>
      <c r="AA1333" s="48">
        <v>3.43</v>
      </c>
      <c r="AB1333" s="48">
        <v>3.36</v>
      </c>
      <c r="AC1333" s="48">
        <v>0.87749999999999995</v>
      </c>
      <c r="AD1333" s="48">
        <v>3.42</v>
      </c>
      <c r="AE1333" s="48">
        <v>3.64</v>
      </c>
      <c r="AF1333" s="48">
        <f t="shared" si="353"/>
        <v>3.43</v>
      </c>
      <c r="AG1333" s="49">
        <v>3.67</v>
      </c>
      <c r="AH1333" s="98">
        <v>1.03E-9</v>
      </c>
      <c r="AI1333" s="98">
        <v>9.7700000000000008E-9</v>
      </c>
      <c r="AJ1333" s="483">
        <f t="shared" si="349"/>
        <v>-7.3757291016074795</v>
      </c>
      <c r="AK1333" s="483">
        <f>LOG10(AI1333*1000/(0.08206*298.15))</f>
        <v>-6.3986717625938789</v>
      </c>
      <c r="AL1333" s="483">
        <f t="shared" si="350"/>
        <v>-6.3986717625938789</v>
      </c>
      <c r="AM1333" s="483">
        <v>-11.341019999999999</v>
      </c>
      <c r="AN1333" s="226">
        <v>-8.0299999999999994</v>
      </c>
      <c r="AO1333" s="484">
        <v>12.3</v>
      </c>
      <c r="AP1333" s="484">
        <v>-2.79</v>
      </c>
      <c r="AQ1333" s="226" t="s">
        <v>6311</v>
      </c>
      <c r="AR1333" s="226" t="s">
        <v>6311</v>
      </c>
      <c r="AS1333" s="224" t="s">
        <v>6</v>
      </c>
      <c r="AT1333" s="50" t="s">
        <v>266</v>
      </c>
      <c r="AU1333" s="48">
        <v>8</v>
      </c>
      <c r="AV1333" s="48">
        <v>144</v>
      </c>
      <c r="AW1333" s="48">
        <v>120</v>
      </c>
      <c r="AX1333" s="48">
        <v>26</v>
      </c>
      <c r="AY1333" s="48" t="s">
        <v>267</v>
      </c>
      <c r="AZ1333" s="48" t="s">
        <v>2253</v>
      </c>
      <c r="BA1333" s="48">
        <v>2</v>
      </c>
      <c r="BB1333" s="47" t="s">
        <v>2254</v>
      </c>
      <c r="BC1333" s="47" t="s">
        <v>270</v>
      </c>
      <c r="BD1333" s="47" t="s">
        <v>8374</v>
      </c>
      <c r="BE1333" s="48" t="s">
        <v>1712</v>
      </c>
      <c r="BF1333" s="48" t="s">
        <v>272</v>
      </c>
      <c r="BG1333" s="48" t="s">
        <v>272</v>
      </c>
      <c r="BH1333" s="48" t="s">
        <v>2255</v>
      </c>
      <c r="BI1333" s="98">
        <v>9.9999999999999995E-7</v>
      </c>
      <c r="BJ1333" s="98">
        <v>0.08</v>
      </c>
      <c r="BK1333" s="48"/>
      <c r="BL1333" s="98">
        <f t="shared" si="351"/>
        <v>3.1958250751603037E-2</v>
      </c>
      <c r="BM1333" s="48" t="s">
        <v>891</v>
      </c>
      <c r="BN1333" s="233"/>
      <c r="BO1333" s="233"/>
      <c r="BP1333" s="233"/>
      <c r="BQ1333" s="233"/>
      <c r="BR1333" s="233"/>
      <c r="BS1333" s="48"/>
      <c r="BT1333" s="233"/>
      <c r="BU1333" s="228"/>
      <c r="BV1333" s="233"/>
      <c r="BW1333" s="233"/>
      <c r="BX1333" s="233"/>
      <c r="BY1333" s="233"/>
      <c r="BZ1333" s="233"/>
      <c r="CA1333" s="233"/>
      <c r="CB1333" s="233"/>
      <c r="CC1333" s="48"/>
      <c r="CD1333" s="48"/>
      <c r="CE1333" s="48"/>
      <c r="CF1333" s="48"/>
      <c r="CG1333" s="233"/>
      <c r="CH1333" s="48"/>
      <c r="CI1333" s="98"/>
      <c r="CJ1333" s="98"/>
      <c r="CK1333" s="49">
        <f t="shared" si="338"/>
        <v>0.39947813439503793</v>
      </c>
      <c r="CL1333" s="229"/>
      <c r="CM1333" s="229"/>
      <c r="CN1333" s="229"/>
      <c r="CO1333" s="47" t="s">
        <v>892</v>
      </c>
      <c r="CP1333" s="47" t="s">
        <v>893</v>
      </c>
      <c r="CQ1333" s="224">
        <v>-0.967141268652845</v>
      </c>
      <c r="CR1333" s="224">
        <f>10^(CJ1333-CQ1333)</f>
        <v>9.2713135449087485</v>
      </c>
      <c r="CS1333" s="230" t="s">
        <v>539</v>
      </c>
      <c r="CT1333" s="230"/>
      <c r="CU1333" s="230"/>
      <c r="CV1333" s="335">
        <f t="shared" si="352"/>
        <v>0.73205013079295667</v>
      </c>
      <c r="CW1333" s="230">
        <f t="shared" si="337"/>
        <v>0</v>
      </c>
      <c r="CX1333" s="336" t="s">
        <v>539</v>
      </c>
      <c r="CY1333" s="230" t="s">
        <v>5921</v>
      </c>
    </row>
    <row r="1334" spans="1:103" ht="11.25" customHeight="1" x14ac:dyDescent="0.2">
      <c r="A1334" s="72">
        <v>1332</v>
      </c>
      <c r="B1334" s="224">
        <v>1841</v>
      </c>
      <c r="C1334" s="46" t="s">
        <v>7421</v>
      </c>
      <c r="D1334" s="46"/>
      <c r="E1334" s="114"/>
      <c r="F1334" s="114" t="s">
        <v>4004</v>
      </c>
      <c r="G1334" s="225">
        <v>23950585</v>
      </c>
      <c r="H1334" s="47" t="s">
        <v>4005</v>
      </c>
      <c r="I1334" s="47" t="s">
        <v>8110</v>
      </c>
      <c r="J1334" s="47" t="s">
        <v>4006</v>
      </c>
      <c r="K1334" s="47" t="s">
        <v>471</v>
      </c>
      <c r="L1334" s="47" t="s">
        <v>6052</v>
      </c>
      <c r="M1334" s="47" t="s">
        <v>5960</v>
      </c>
      <c r="N1334" s="47"/>
      <c r="O1334" s="47"/>
      <c r="P1334" s="53"/>
      <c r="Q1334" s="53"/>
      <c r="R1334" s="53"/>
      <c r="S1334" s="53"/>
      <c r="T1334" s="48">
        <v>256.13</v>
      </c>
      <c r="U1334" s="98">
        <v>5.8564010463436539E-2</v>
      </c>
      <c r="V1334" s="98">
        <v>0.1004958419552571</v>
      </c>
      <c r="W1334" s="98">
        <v>0.12589254117941673</v>
      </c>
      <c r="X1334" s="98">
        <v>5.8564010463436539E-2</v>
      </c>
      <c r="Y1334" s="233">
        <v>7</v>
      </c>
      <c r="Z1334" s="48">
        <v>3.57</v>
      </c>
      <c r="AA1334" s="48">
        <v>3.43</v>
      </c>
      <c r="AB1334" s="48">
        <v>3.36</v>
      </c>
      <c r="AC1334" s="48">
        <v>0.87749999999999995</v>
      </c>
      <c r="AD1334" s="48">
        <v>3.42</v>
      </c>
      <c r="AE1334" s="48">
        <v>3.64</v>
      </c>
      <c r="AF1334" s="48">
        <f t="shared" si="353"/>
        <v>3.43</v>
      </c>
      <c r="AG1334" s="49">
        <v>3.67</v>
      </c>
      <c r="AH1334" s="98">
        <v>1.03E-9</v>
      </c>
      <c r="AI1334" s="98">
        <v>9.7700000000000008E-9</v>
      </c>
      <c r="AJ1334" s="483">
        <f t="shared" si="349"/>
        <v>-7.3757291016074795</v>
      </c>
      <c r="AK1334" s="483">
        <f>LOG10(AI1334*1000/(0.08206*298.15))</f>
        <v>-6.3986717625938789</v>
      </c>
      <c r="AL1334" s="483">
        <f t="shared" si="350"/>
        <v>-6.3986717625938789</v>
      </c>
      <c r="AM1334" s="483">
        <v>-11.341019999999999</v>
      </c>
      <c r="AN1334" s="226">
        <v>-8.0299999999999994</v>
      </c>
      <c r="AO1334" s="484">
        <v>12.3</v>
      </c>
      <c r="AP1334" s="484">
        <v>-2.79</v>
      </c>
      <c r="AQ1334" s="226" t="s">
        <v>6311</v>
      </c>
      <c r="AR1334" s="226" t="s">
        <v>6311</v>
      </c>
      <c r="AS1334" s="224"/>
      <c r="AT1334" s="50" t="s">
        <v>266</v>
      </c>
      <c r="AU1334" s="48">
        <v>6</v>
      </c>
      <c r="AV1334" s="48">
        <v>120</v>
      </c>
      <c r="AW1334" s="48">
        <v>114</v>
      </c>
      <c r="AX1334" s="48">
        <v>28</v>
      </c>
      <c r="AY1334" s="48" t="s">
        <v>8728</v>
      </c>
      <c r="AZ1334" s="48" t="s">
        <v>1563</v>
      </c>
      <c r="BA1334" s="48">
        <v>32</v>
      </c>
      <c r="BB1334" s="47" t="s">
        <v>2485</v>
      </c>
      <c r="BC1334" s="47" t="s">
        <v>8726</v>
      </c>
      <c r="BD1334" s="47" t="s">
        <v>8374</v>
      </c>
      <c r="BE1334" s="48" t="s">
        <v>2449</v>
      </c>
      <c r="BF1334" s="48" t="s">
        <v>272</v>
      </c>
      <c r="BG1334" s="48" t="s">
        <v>272</v>
      </c>
      <c r="BH1334" s="48" t="s">
        <v>2486</v>
      </c>
      <c r="BI1334" s="98">
        <v>6.3999999999999997E-6</v>
      </c>
      <c r="BJ1334" s="98">
        <v>6.4000000000000001E-2</v>
      </c>
      <c r="BK1334" s="48"/>
      <c r="BL1334" s="98">
        <f t="shared" si="351"/>
        <v>3.1958250751603037E-2</v>
      </c>
      <c r="BM1334" s="47" t="s">
        <v>2487</v>
      </c>
      <c r="BN1334" s="48"/>
      <c r="BO1334" s="48"/>
      <c r="BP1334" s="48"/>
      <c r="BQ1334" s="48"/>
      <c r="BR1334" s="47" t="s">
        <v>2496</v>
      </c>
      <c r="BS1334" s="48"/>
      <c r="BT1334" s="48"/>
      <c r="BU1334" s="228"/>
      <c r="BV1334" s="48"/>
      <c r="BW1334" s="48"/>
      <c r="BX1334" s="48"/>
      <c r="BY1334" s="48"/>
      <c r="BZ1334" s="48"/>
      <c r="CA1334" s="48"/>
      <c r="CB1334" s="48"/>
      <c r="CC1334" s="48"/>
      <c r="CD1334" s="48"/>
      <c r="CE1334" s="48"/>
      <c r="CF1334" s="48"/>
      <c r="CG1334" s="48"/>
      <c r="CH1334" s="48"/>
      <c r="CI1334" s="98"/>
      <c r="CJ1334" s="98"/>
      <c r="CK1334" s="49">
        <f t="shared" si="338"/>
        <v>0.49934766799379743</v>
      </c>
      <c r="CL1334" s="229"/>
      <c r="CM1334" s="229"/>
      <c r="CN1334" s="229"/>
      <c r="CO1334" s="47" t="s">
        <v>2488</v>
      </c>
      <c r="CP1334" s="47" t="s">
        <v>2489</v>
      </c>
      <c r="CQ1334" s="224">
        <v>-0.967141268652845</v>
      </c>
      <c r="CR1334" s="224">
        <f>10^(CJ1334-CQ1334)</f>
        <v>9.2713135449087485</v>
      </c>
      <c r="CS1334" s="230" t="s">
        <v>539</v>
      </c>
      <c r="CT1334" s="230"/>
      <c r="CU1334" s="230"/>
      <c r="CV1334" s="335">
        <f t="shared" si="352"/>
        <v>0.91506266349119592</v>
      </c>
      <c r="CW1334" s="230">
        <f t="shared" si="337"/>
        <v>0</v>
      </c>
      <c r="CX1334" s="336"/>
      <c r="CY1334" s="230" t="s">
        <v>5921</v>
      </c>
    </row>
    <row r="1335" spans="1:103" ht="11.25" customHeight="1" x14ac:dyDescent="0.2">
      <c r="A1335" s="72">
        <v>1333</v>
      </c>
      <c r="B1335" s="224">
        <v>375</v>
      </c>
      <c r="C1335" s="46" t="s">
        <v>7422</v>
      </c>
      <c r="D1335" s="46"/>
      <c r="E1335" s="114"/>
      <c r="F1335" s="114" t="s">
        <v>3921</v>
      </c>
      <c r="G1335" s="225">
        <v>24307264</v>
      </c>
      <c r="H1335" s="47" t="s">
        <v>3922</v>
      </c>
      <c r="I1335" s="47" t="s">
        <v>8111</v>
      </c>
      <c r="J1335" s="47" t="s">
        <v>3923</v>
      </c>
      <c r="K1335" s="47" t="s">
        <v>426</v>
      </c>
      <c r="L1335" s="47"/>
      <c r="M1335" s="47"/>
      <c r="N1335" s="47"/>
      <c r="O1335" s="47"/>
      <c r="P1335" s="53"/>
      <c r="Q1335" s="53"/>
      <c r="R1335" s="53"/>
      <c r="S1335" s="53"/>
      <c r="T1335" s="48">
        <v>114.21</v>
      </c>
      <c r="U1335" s="98">
        <v>4377.9003589878293</v>
      </c>
      <c r="V1335" s="98">
        <v>8755.8007179756587</v>
      </c>
      <c r="W1335" s="98">
        <v>1737.8008287493756</v>
      </c>
      <c r="X1335" s="98">
        <v>4377.9003589878293</v>
      </c>
      <c r="Y1335" s="233">
        <v>7</v>
      </c>
      <c r="Z1335" s="48">
        <v>-2.82</v>
      </c>
      <c r="AA1335" s="48">
        <v>-2.82</v>
      </c>
      <c r="AB1335" s="48">
        <v>-2.5099999999999998</v>
      </c>
      <c r="AC1335" s="48">
        <v>0.88990000000000002</v>
      </c>
      <c r="AD1335" s="48">
        <v>-2.34</v>
      </c>
      <c r="AE1335" s="48">
        <v>-1.71</v>
      </c>
      <c r="AF1335" s="48">
        <f t="shared" si="353"/>
        <v>-2.82</v>
      </c>
      <c r="AG1335" s="49">
        <v>1.56</v>
      </c>
      <c r="AH1335" s="98">
        <v>4.31E-12</v>
      </c>
      <c r="AI1335" s="98"/>
      <c r="AJ1335" s="483">
        <f t="shared" si="349"/>
        <v>-9.7540890561519209</v>
      </c>
      <c r="AK1335" s="483"/>
      <c r="AL1335" s="483">
        <f t="shared" si="350"/>
        <v>-9.7540890561519209</v>
      </c>
      <c r="AM1335" s="483">
        <v>-0.20416000000000012</v>
      </c>
      <c r="AN1335" s="226">
        <v>-4.01</v>
      </c>
      <c r="AO1335" s="484"/>
      <c r="AP1335" s="484"/>
      <c r="AQ1335" s="226" t="s">
        <v>6311</v>
      </c>
      <c r="AR1335" s="226" t="s">
        <v>6311</v>
      </c>
      <c r="AS1335" s="224" t="s">
        <v>6</v>
      </c>
      <c r="AT1335" s="50" t="s">
        <v>266</v>
      </c>
      <c r="AU1335" s="48">
        <v>8</v>
      </c>
      <c r="AV1335" s="48">
        <v>144</v>
      </c>
      <c r="AW1335" s="48">
        <v>120</v>
      </c>
      <c r="AX1335" s="48">
        <v>26</v>
      </c>
      <c r="AY1335" s="48" t="s">
        <v>267</v>
      </c>
      <c r="AZ1335" s="48" t="s">
        <v>2253</v>
      </c>
      <c r="BA1335" s="48">
        <v>2</v>
      </c>
      <c r="BB1335" s="47" t="s">
        <v>2254</v>
      </c>
      <c r="BC1335" s="47" t="s">
        <v>270</v>
      </c>
      <c r="BD1335" s="47" t="s">
        <v>8374</v>
      </c>
      <c r="BE1335" s="48" t="s">
        <v>1712</v>
      </c>
      <c r="BF1335" s="48" t="s">
        <v>272</v>
      </c>
      <c r="BG1335" s="48" t="s">
        <v>272</v>
      </c>
      <c r="BH1335" s="48" t="s">
        <v>2255</v>
      </c>
      <c r="BI1335" s="98">
        <v>9.9999999999999995E-7</v>
      </c>
      <c r="BJ1335" s="98">
        <v>0.08</v>
      </c>
      <c r="BK1335" s="48"/>
      <c r="BL1335" s="98">
        <f t="shared" si="351"/>
        <v>17516.284887157108</v>
      </c>
      <c r="BM1335" s="48" t="s">
        <v>891</v>
      </c>
      <c r="BN1335" s="233"/>
      <c r="BO1335" s="233"/>
      <c r="BP1335" s="233"/>
      <c r="BQ1335" s="233"/>
      <c r="BR1335" s="233"/>
      <c r="BS1335" s="48"/>
      <c r="BT1335" s="233"/>
      <c r="BU1335" s="228"/>
      <c r="BV1335" s="233"/>
      <c r="BW1335" s="233"/>
      <c r="BX1335" s="233"/>
      <c r="BY1335" s="233"/>
      <c r="BZ1335" s="233"/>
      <c r="CA1335" s="233"/>
      <c r="CB1335" s="233"/>
      <c r="CC1335" s="48"/>
      <c r="CD1335" s="48"/>
      <c r="CE1335" s="48"/>
      <c r="CF1335" s="48"/>
      <c r="CG1335" s="233"/>
      <c r="CH1335" s="48"/>
      <c r="CI1335" s="98"/>
      <c r="CJ1335" s="98"/>
      <c r="CK1335" s="49">
        <f t="shared" si="338"/>
        <v>218953.56108946385</v>
      </c>
      <c r="CL1335" s="229"/>
      <c r="CM1335" s="229"/>
      <c r="CN1335" s="229"/>
      <c r="CO1335" s="47" t="s">
        <v>892</v>
      </c>
      <c r="CP1335" s="47" t="s">
        <v>893</v>
      </c>
      <c r="CQ1335" s="224">
        <v>1.140952955420393</v>
      </c>
      <c r="CR1335" s="224">
        <f>10^(CJ1335-CQ1335)</f>
        <v>7.2284810126582263E-2</v>
      </c>
      <c r="CS1335" s="230" t="s">
        <v>539</v>
      </c>
      <c r="CT1335" s="230"/>
      <c r="CU1335" s="230"/>
      <c r="CV1335" s="335">
        <f t="shared" si="352"/>
        <v>54723.754487347869</v>
      </c>
      <c r="CW1335" s="230">
        <f t="shared" si="337"/>
        <v>1</v>
      </c>
      <c r="CX1335" s="336" t="s">
        <v>539</v>
      </c>
      <c r="CY1335" s="230" t="s">
        <v>5921</v>
      </c>
    </row>
    <row r="1336" spans="1:103" ht="11.25" customHeight="1" x14ac:dyDescent="0.2">
      <c r="A1336" s="72">
        <v>1334</v>
      </c>
      <c r="B1336" s="224">
        <v>1725</v>
      </c>
      <c r="C1336" s="46" t="s">
        <v>7422</v>
      </c>
      <c r="D1336" s="46"/>
      <c r="E1336" s="114"/>
      <c r="F1336" s="114" t="s">
        <v>3921</v>
      </c>
      <c r="G1336" s="225">
        <v>24307264</v>
      </c>
      <c r="H1336" s="47" t="s">
        <v>3922</v>
      </c>
      <c r="I1336" s="47" t="s">
        <v>8111</v>
      </c>
      <c r="J1336" s="47" t="s">
        <v>5000</v>
      </c>
      <c r="K1336" s="47" t="s">
        <v>426</v>
      </c>
      <c r="L1336" s="47"/>
      <c r="M1336" s="47"/>
      <c r="N1336" s="47"/>
      <c r="O1336" s="47"/>
      <c r="P1336" s="53"/>
      <c r="Q1336" s="53"/>
      <c r="R1336" s="53"/>
      <c r="S1336" s="53"/>
      <c r="T1336" s="48">
        <v>114.21</v>
      </c>
      <c r="U1336" s="98">
        <v>4377.9003589878293</v>
      </c>
      <c r="V1336" s="98">
        <v>8755.8007179756587</v>
      </c>
      <c r="W1336" s="98">
        <v>1737.8008287493756</v>
      </c>
      <c r="X1336" s="98">
        <v>4377.9003589878293</v>
      </c>
      <c r="Y1336" s="233">
        <v>7</v>
      </c>
      <c r="Z1336" s="48">
        <v>-2.82</v>
      </c>
      <c r="AA1336" s="48">
        <v>-2.82</v>
      </c>
      <c r="AB1336" s="48">
        <v>-2.5099999999999998</v>
      </c>
      <c r="AC1336" s="48">
        <v>0.88990000000000002</v>
      </c>
      <c r="AD1336" s="48">
        <v>-2.34</v>
      </c>
      <c r="AE1336" s="48">
        <v>-1.71</v>
      </c>
      <c r="AF1336" s="48">
        <f t="shared" si="353"/>
        <v>-2.82</v>
      </c>
      <c r="AG1336" s="49">
        <v>1.57</v>
      </c>
      <c r="AH1336" s="98">
        <v>4.31E-12</v>
      </c>
      <c r="AI1336" s="98"/>
      <c r="AJ1336" s="483">
        <f t="shared" si="349"/>
        <v>-9.7540890561519209</v>
      </c>
      <c r="AK1336" s="483"/>
      <c r="AL1336" s="483">
        <f t="shared" si="350"/>
        <v>-9.7540890561519209</v>
      </c>
      <c r="AM1336" s="483">
        <v>-0.20416000000000012</v>
      </c>
      <c r="AN1336" s="226">
        <v>-4.01</v>
      </c>
      <c r="AO1336" s="484"/>
      <c r="AP1336" s="484"/>
      <c r="AQ1336" s="226" t="s">
        <v>6311</v>
      </c>
      <c r="AR1336" s="226" t="s">
        <v>6311</v>
      </c>
      <c r="AS1336" s="224"/>
      <c r="AT1336" s="50" t="s">
        <v>266</v>
      </c>
      <c r="AU1336" s="48">
        <v>6</v>
      </c>
      <c r="AV1336" s="48">
        <v>120</v>
      </c>
      <c r="AW1336" s="48">
        <v>114</v>
      </c>
      <c r="AX1336" s="48">
        <v>28</v>
      </c>
      <c r="AY1336" s="48" t="s">
        <v>8728</v>
      </c>
      <c r="AZ1336" s="48" t="s">
        <v>1563</v>
      </c>
      <c r="BA1336" s="48">
        <v>32</v>
      </c>
      <c r="BB1336" s="47" t="s">
        <v>2485</v>
      </c>
      <c r="BC1336" s="47" t="s">
        <v>8726</v>
      </c>
      <c r="BD1336" s="47" t="s">
        <v>8374</v>
      </c>
      <c r="BE1336" s="48" t="s">
        <v>2449</v>
      </c>
      <c r="BF1336" s="48" t="s">
        <v>272</v>
      </c>
      <c r="BG1336" s="48" t="s">
        <v>272</v>
      </c>
      <c r="BH1336" s="48" t="s">
        <v>2486</v>
      </c>
      <c r="BI1336" s="98">
        <v>6.3999999999999997E-6</v>
      </c>
      <c r="BJ1336" s="98">
        <v>6.4000000000000001E-2</v>
      </c>
      <c r="BK1336" s="48"/>
      <c r="BL1336" s="98">
        <f t="shared" si="351"/>
        <v>17516.284887157108</v>
      </c>
      <c r="BM1336" s="47" t="s">
        <v>2487</v>
      </c>
      <c r="BN1336" s="48"/>
      <c r="BO1336" s="48"/>
      <c r="BP1336" s="48"/>
      <c r="BQ1336" s="48"/>
      <c r="BR1336" s="47" t="s">
        <v>2496</v>
      </c>
      <c r="BS1336" s="48"/>
      <c r="BT1336" s="48"/>
      <c r="BU1336" s="228"/>
      <c r="BV1336" s="48"/>
      <c r="BW1336" s="48"/>
      <c r="BX1336" s="48"/>
      <c r="BY1336" s="48"/>
      <c r="BZ1336" s="48"/>
      <c r="CA1336" s="48"/>
      <c r="CB1336" s="48"/>
      <c r="CC1336" s="48"/>
      <c r="CD1336" s="48"/>
      <c r="CE1336" s="48"/>
      <c r="CF1336" s="48"/>
      <c r="CG1336" s="48"/>
      <c r="CH1336" s="48"/>
      <c r="CI1336" s="98"/>
      <c r="CJ1336" s="98"/>
      <c r="CK1336" s="49">
        <f t="shared" si="338"/>
        <v>273691.95136182982</v>
      </c>
      <c r="CL1336" s="229"/>
      <c r="CM1336" s="229"/>
      <c r="CN1336" s="229"/>
      <c r="CO1336" s="47" t="s">
        <v>2488</v>
      </c>
      <c r="CP1336" s="47" t="s">
        <v>2489</v>
      </c>
      <c r="CQ1336" s="224">
        <v>1.140952955420393</v>
      </c>
      <c r="CR1336" s="224">
        <f>10^(CJ1336-CQ1336)</f>
        <v>7.2284810126582263E-2</v>
      </c>
      <c r="CS1336" s="230" t="s">
        <v>539</v>
      </c>
      <c r="CT1336" s="230"/>
      <c r="CU1336" s="230"/>
      <c r="CV1336" s="335">
        <f t="shared" si="352"/>
        <v>68404.693109184838</v>
      </c>
      <c r="CW1336" s="230">
        <f t="shared" si="337"/>
        <v>1</v>
      </c>
      <c r="CX1336" s="336"/>
      <c r="CY1336" s="230" t="s">
        <v>5921</v>
      </c>
    </row>
    <row r="1337" spans="1:103" ht="11.25" customHeight="1" x14ac:dyDescent="0.2">
      <c r="A1337" s="72">
        <v>1335</v>
      </c>
      <c r="B1337" s="224">
        <v>232</v>
      </c>
      <c r="C1337" s="46" t="s">
        <v>7423</v>
      </c>
      <c r="D1337" s="46"/>
      <c r="E1337" s="114"/>
      <c r="F1337" s="114" t="s">
        <v>3734</v>
      </c>
      <c r="G1337" s="225">
        <v>25057890</v>
      </c>
      <c r="H1337" s="47" t="s">
        <v>3735</v>
      </c>
      <c r="I1337" s="47" t="s">
        <v>3735</v>
      </c>
      <c r="J1337" s="47" t="s">
        <v>3736</v>
      </c>
      <c r="K1337" s="47" t="s">
        <v>471</v>
      </c>
      <c r="L1337" s="47"/>
      <c r="M1337" s="47"/>
      <c r="N1337" s="47"/>
      <c r="O1337" s="47"/>
      <c r="P1337" s="53"/>
      <c r="Q1337" s="53"/>
      <c r="R1337" s="53"/>
      <c r="S1337" s="53"/>
      <c r="T1337" s="48">
        <v>240.28</v>
      </c>
      <c r="U1337" s="98">
        <v>2.0809056101215249</v>
      </c>
      <c r="V1337" s="98">
        <v>1.1178624937572832</v>
      </c>
      <c r="W1337" s="98">
        <v>0.79432823472428093</v>
      </c>
      <c r="X1337" s="98">
        <v>2.0809056101215249</v>
      </c>
      <c r="Y1337" s="233">
        <v>3.37</v>
      </c>
      <c r="Z1337" s="48">
        <v>1.67</v>
      </c>
      <c r="AA1337" s="48">
        <v>2.34</v>
      </c>
      <c r="AB1337" s="48">
        <v>1.68</v>
      </c>
      <c r="AC1337" s="48">
        <v>0.79949999999999999</v>
      </c>
      <c r="AD1337" s="48">
        <v>2.04</v>
      </c>
      <c r="AE1337" s="48">
        <v>2.8</v>
      </c>
      <c r="AF1337" s="48">
        <f t="shared" si="353"/>
        <v>2.34</v>
      </c>
      <c r="AG1337" s="49">
        <v>1.1399999999999999</v>
      </c>
      <c r="AH1337" s="98">
        <v>1.9900000000000001E-10</v>
      </c>
      <c r="AI1337" s="98">
        <v>2.1799999999999999E-9</v>
      </c>
      <c r="AJ1337" s="483">
        <f t="shared" si="349"/>
        <v>-8.0897132499029443</v>
      </c>
      <c r="AK1337" s="483">
        <f>LOG10(AI1337*1000/(0.08206*298.15))</f>
        <v>-7.0501098327080474</v>
      </c>
      <c r="AL1337" s="483">
        <f t="shared" si="350"/>
        <v>-7.0501098327080474</v>
      </c>
      <c r="AM1337" s="483">
        <v>-15.664450000000002</v>
      </c>
      <c r="AN1337" s="226">
        <v>-5.7</v>
      </c>
      <c r="AO1337" s="484">
        <v>3.28</v>
      </c>
      <c r="AP1337" s="484"/>
      <c r="AQ1337" s="226" t="s">
        <v>6311</v>
      </c>
      <c r="AR1337" s="226" t="s">
        <v>6311</v>
      </c>
      <c r="AS1337" s="224" t="s">
        <v>6</v>
      </c>
      <c r="AT1337" s="50" t="s">
        <v>266</v>
      </c>
      <c r="AU1337" s="48">
        <v>8</v>
      </c>
      <c r="AV1337" s="48">
        <v>144</v>
      </c>
      <c r="AW1337" s="48">
        <v>120</v>
      </c>
      <c r="AX1337" s="48">
        <v>26</v>
      </c>
      <c r="AY1337" s="48" t="s">
        <v>267</v>
      </c>
      <c r="AZ1337" s="48" t="s">
        <v>2253</v>
      </c>
      <c r="BA1337" s="48">
        <v>2</v>
      </c>
      <c r="BB1337" s="47" t="s">
        <v>2254</v>
      </c>
      <c r="BC1337" s="47" t="s">
        <v>270</v>
      </c>
      <c r="BD1337" s="47" t="s">
        <v>8374</v>
      </c>
      <c r="BE1337" s="48" t="s">
        <v>1712</v>
      </c>
      <c r="BF1337" s="48" t="s">
        <v>272</v>
      </c>
      <c r="BG1337" s="48" t="s">
        <v>272</v>
      </c>
      <c r="BH1337" s="48" t="s">
        <v>2255</v>
      </c>
      <c r="BI1337" s="98">
        <v>9.9999999999999995E-7</v>
      </c>
      <c r="BJ1337" s="98">
        <v>0.08</v>
      </c>
      <c r="BK1337" s="48"/>
      <c r="BL1337" s="98">
        <f t="shared" si="351"/>
        <v>1.6254476988548712</v>
      </c>
      <c r="BM1337" s="48" t="s">
        <v>891</v>
      </c>
      <c r="BN1337" s="233"/>
      <c r="BO1337" s="233"/>
      <c r="BP1337" s="233"/>
      <c r="BQ1337" s="233"/>
      <c r="BR1337" s="233"/>
      <c r="BS1337" s="48"/>
      <c r="BT1337" s="233"/>
      <c r="BU1337" s="228"/>
      <c r="BV1337" s="233"/>
      <c r="BW1337" s="233"/>
      <c r="BX1337" s="233"/>
      <c r="BY1337" s="233"/>
      <c r="BZ1337" s="233"/>
      <c r="CA1337" s="233"/>
      <c r="CB1337" s="233"/>
      <c r="CC1337" s="48"/>
      <c r="CD1337" s="48"/>
      <c r="CE1337" s="48"/>
      <c r="CF1337" s="48"/>
      <c r="CG1337" s="233"/>
      <c r="CH1337" s="48"/>
      <c r="CI1337" s="98"/>
      <c r="CJ1337" s="98"/>
      <c r="CK1337" s="49">
        <f t="shared" si="338"/>
        <v>20.318096235685889</v>
      </c>
      <c r="CL1337" s="229"/>
      <c r="CM1337" s="229"/>
      <c r="CN1337" s="229"/>
      <c r="CO1337" s="47" t="s">
        <v>892</v>
      </c>
      <c r="CP1337" s="47" t="s">
        <v>893</v>
      </c>
      <c r="CQ1337" s="224" t="s">
        <v>272</v>
      </c>
      <c r="CR1337" s="224"/>
      <c r="CS1337" s="230" t="s">
        <v>539</v>
      </c>
      <c r="CT1337" s="230"/>
      <c r="CU1337" s="230"/>
      <c r="CV1337" s="335">
        <f t="shared" si="352"/>
        <v>26.01132012651906</v>
      </c>
      <c r="CW1337" s="230">
        <f t="shared" si="337"/>
        <v>1</v>
      </c>
      <c r="CX1337" s="336" t="s">
        <v>539</v>
      </c>
      <c r="CY1337" s="230" t="s">
        <v>5921</v>
      </c>
    </row>
    <row r="1338" spans="1:103" ht="11.25" customHeight="1" x14ac:dyDescent="0.2">
      <c r="A1338" s="72">
        <v>1336</v>
      </c>
      <c r="B1338" s="224">
        <v>1516</v>
      </c>
      <c r="C1338" s="46" t="s">
        <v>7423</v>
      </c>
      <c r="D1338" s="46"/>
      <c r="E1338" s="114"/>
      <c r="F1338" s="114" t="s">
        <v>3734</v>
      </c>
      <c r="G1338" s="225">
        <v>25057890</v>
      </c>
      <c r="H1338" s="47" t="s">
        <v>3735</v>
      </c>
      <c r="I1338" s="47" t="s">
        <v>3735</v>
      </c>
      <c r="J1338" s="47" t="s">
        <v>3736</v>
      </c>
      <c r="K1338" s="47" t="s">
        <v>471</v>
      </c>
      <c r="L1338" s="47"/>
      <c r="M1338" s="47"/>
      <c r="N1338" s="47"/>
      <c r="O1338" s="47"/>
      <c r="P1338" s="53"/>
      <c r="Q1338" s="53"/>
      <c r="R1338" s="53"/>
      <c r="S1338" s="53"/>
      <c r="T1338" s="48">
        <v>240.28</v>
      </c>
      <c r="U1338" s="98">
        <v>2.0809056101215249</v>
      </c>
      <c r="V1338" s="98">
        <v>1.1178624937572832</v>
      </c>
      <c r="W1338" s="98">
        <v>0.79432823472428093</v>
      </c>
      <c r="X1338" s="98">
        <v>2.0809056101215249</v>
      </c>
      <c r="Y1338" s="233">
        <v>3.37</v>
      </c>
      <c r="Z1338" s="48">
        <v>1.67</v>
      </c>
      <c r="AA1338" s="48">
        <v>2.34</v>
      </c>
      <c r="AB1338" s="48">
        <v>1.68</v>
      </c>
      <c r="AC1338" s="48">
        <v>0.79949999999999999</v>
      </c>
      <c r="AD1338" s="48">
        <v>2.04</v>
      </c>
      <c r="AE1338" s="48">
        <v>2.8</v>
      </c>
      <c r="AF1338" s="48">
        <f t="shared" si="353"/>
        <v>2.34</v>
      </c>
      <c r="AG1338" s="49">
        <v>1.1399999999999999</v>
      </c>
      <c r="AH1338" s="98">
        <v>1.9900000000000001E-10</v>
      </c>
      <c r="AI1338" s="98">
        <v>2.1799999999999999E-9</v>
      </c>
      <c r="AJ1338" s="483">
        <f t="shared" si="349"/>
        <v>-8.0897132499029443</v>
      </c>
      <c r="AK1338" s="483">
        <f>LOG10(AI1338*1000/(0.08206*298.15))</f>
        <v>-7.0501098327080474</v>
      </c>
      <c r="AL1338" s="483">
        <f t="shared" si="350"/>
        <v>-7.0501098327080474</v>
      </c>
      <c r="AM1338" s="483">
        <v>-15.664450000000002</v>
      </c>
      <c r="AN1338" s="226">
        <v>-5.7</v>
      </c>
      <c r="AO1338" s="484">
        <v>3.28</v>
      </c>
      <c r="AP1338" s="484"/>
      <c r="AQ1338" s="48" t="s">
        <v>6311</v>
      </c>
      <c r="AR1338" s="48" t="s">
        <v>6311</v>
      </c>
      <c r="AS1338" s="227"/>
      <c r="AT1338" s="50" t="s">
        <v>266</v>
      </c>
      <c r="AU1338" s="48">
        <v>6</v>
      </c>
      <c r="AV1338" s="48">
        <v>120</v>
      </c>
      <c r="AW1338" s="48">
        <v>114</v>
      </c>
      <c r="AX1338" s="48">
        <v>28</v>
      </c>
      <c r="AY1338" s="48" t="s">
        <v>8728</v>
      </c>
      <c r="AZ1338" s="48" t="s">
        <v>1563</v>
      </c>
      <c r="BA1338" s="48">
        <v>32</v>
      </c>
      <c r="BB1338" s="47" t="s">
        <v>2485</v>
      </c>
      <c r="BC1338" s="47" t="s">
        <v>8726</v>
      </c>
      <c r="BD1338" s="47" t="s">
        <v>8374</v>
      </c>
      <c r="BE1338" s="48" t="s">
        <v>2449</v>
      </c>
      <c r="BF1338" s="48" t="s">
        <v>272</v>
      </c>
      <c r="BG1338" s="48" t="s">
        <v>272</v>
      </c>
      <c r="BH1338" s="48" t="s">
        <v>2486</v>
      </c>
      <c r="BI1338" s="98">
        <v>6.3999999999999997E-6</v>
      </c>
      <c r="BJ1338" s="98">
        <v>6.4000000000000001E-2</v>
      </c>
      <c r="BK1338" s="48"/>
      <c r="BL1338" s="98">
        <f t="shared" si="351"/>
        <v>1.6254476988548712</v>
      </c>
      <c r="BM1338" s="47" t="s">
        <v>2487</v>
      </c>
      <c r="BN1338" s="48"/>
      <c r="BO1338" s="48"/>
      <c r="BP1338" s="48"/>
      <c r="BQ1338" s="48"/>
      <c r="BR1338" s="47" t="s">
        <v>2496</v>
      </c>
      <c r="BS1338" s="48"/>
      <c r="BT1338" s="48"/>
      <c r="BU1338" s="228"/>
      <c r="BV1338" s="48"/>
      <c r="BW1338" s="48"/>
      <c r="BX1338" s="48"/>
      <c r="BY1338" s="48"/>
      <c r="BZ1338" s="48"/>
      <c r="CA1338" s="48"/>
      <c r="CB1338" s="48"/>
      <c r="CC1338" s="48"/>
      <c r="CD1338" s="48"/>
      <c r="CE1338" s="48"/>
      <c r="CF1338" s="48"/>
      <c r="CG1338" s="48"/>
      <c r="CH1338" s="48"/>
      <c r="CI1338" s="52" t="s">
        <v>6347</v>
      </c>
      <c r="CJ1338" s="98"/>
      <c r="CK1338" s="49">
        <f t="shared" si="338"/>
        <v>25.397620294607361</v>
      </c>
      <c r="CL1338" s="229"/>
      <c r="CM1338" s="229"/>
      <c r="CN1338" s="229"/>
      <c r="CO1338" s="47" t="s">
        <v>2488</v>
      </c>
      <c r="CP1338" s="47" t="s">
        <v>2489</v>
      </c>
      <c r="CQ1338" s="224" t="s">
        <v>272</v>
      </c>
      <c r="CR1338" s="224"/>
      <c r="CS1338" s="230" t="s">
        <v>539</v>
      </c>
      <c r="CT1338" s="230"/>
      <c r="CU1338" s="230"/>
      <c r="CV1338" s="335">
        <f t="shared" si="352"/>
        <v>32.514150158148823</v>
      </c>
      <c r="CW1338" s="230">
        <f t="shared" si="337"/>
        <v>1</v>
      </c>
      <c r="CX1338" s="336"/>
      <c r="CY1338" s="230" t="s">
        <v>5921</v>
      </c>
    </row>
    <row r="1339" spans="1:103" ht="11.25" customHeight="1" x14ac:dyDescent="0.2">
      <c r="A1339" s="72">
        <v>1337</v>
      </c>
      <c r="B1339" s="224">
        <v>1925</v>
      </c>
      <c r="C1339" s="46" t="s">
        <v>7424</v>
      </c>
      <c r="D1339" s="46"/>
      <c r="E1339" s="114"/>
      <c r="F1339" s="114" t="s">
        <v>5408</v>
      </c>
      <c r="G1339" s="225">
        <v>25498491</v>
      </c>
      <c r="H1339" s="47" t="s">
        <v>5409</v>
      </c>
      <c r="I1339" s="47" t="s">
        <v>5409</v>
      </c>
      <c r="J1339" s="47" t="s">
        <v>5410</v>
      </c>
      <c r="K1339" s="47" t="s">
        <v>426</v>
      </c>
      <c r="L1339" s="47"/>
      <c r="M1339" s="47"/>
      <c r="N1339" s="47"/>
      <c r="O1339" s="47"/>
      <c r="P1339" s="53"/>
      <c r="Q1339" s="53"/>
      <c r="R1339" s="53"/>
      <c r="S1339" s="53"/>
      <c r="T1339" s="48">
        <v>206.28</v>
      </c>
      <c r="U1339" s="98">
        <v>4847.7797168896641</v>
      </c>
      <c r="V1339" s="98">
        <v>949.19526856699633</v>
      </c>
      <c r="W1339" s="98">
        <v>1318.2567385564073</v>
      </c>
      <c r="X1339" s="98">
        <v>4847.7797168896641</v>
      </c>
      <c r="Y1339" s="233">
        <v>6.91</v>
      </c>
      <c r="Z1339" s="48">
        <v>-0.2</v>
      </c>
      <c r="AA1339" s="48"/>
      <c r="AB1339" s="48">
        <v>0.88</v>
      </c>
      <c r="AC1339" s="48">
        <v>0.80310000000000004</v>
      </c>
      <c r="AD1339" s="48">
        <v>0.5</v>
      </c>
      <c r="AE1339" s="48">
        <v>-0.47</v>
      </c>
      <c r="AF1339" s="48">
        <f t="shared" si="353"/>
        <v>0.5</v>
      </c>
      <c r="AG1339" s="49">
        <v>0.96</v>
      </c>
      <c r="AH1339" s="98">
        <v>2.3600000000000001E-11</v>
      </c>
      <c r="AI1339" s="98"/>
      <c r="AJ1339" s="483">
        <f t="shared" si="349"/>
        <v>-9.0156543233425452</v>
      </c>
      <c r="AK1339" s="483"/>
      <c r="AL1339" s="483">
        <f t="shared" si="350"/>
        <v>-9.0156543233425452</v>
      </c>
      <c r="AM1339" s="483">
        <v>-9.1469599999999982</v>
      </c>
      <c r="AN1339" s="226">
        <v>-6.92</v>
      </c>
      <c r="AO1339" s="484">
        <v>14.41</v>
      </c>
      <c r="AP1339" s="484"/>
      <c r="AQ1339" s="226" t="s">
        <v>6311</v>
      </c>
      <c r="AR1339" s="226" t="s">
        <v>6311</v>
      </c>
      <c r="AS1339" s="224"/>
      <c r="AT1339" s="50" t="s">
        <v>266</v>
      </c>
      <c r="AU1339" s="48">
        <v>6</v>
      </c>
      <c r="AV1339" s="48">
        <v>120</v>
      </c>
      <c r="AW1339" s="48">
        <v>114</v>
      </c>
      <c r="AX1339" s="48">
        <v>28</v>
      </c>
      <c r="AY1339" s="48" t="s">
        <v>8728</v>
      </c>
      <c r="AZ1339" s="48" t="s">
        <v>1563</v>
      </c>
      <c r="BA1339" s="48">
        <v>32</v>
      </c>
      <c r="BB1339" s="47" t="s">
        <v>2485</v>
      </c>
      <c r="BC1339" s="47" t="s">
        <v>8726</v>
      </c>
      <c r="BD1339" s="47" t="s">
        <v>8374</v>
      </c>
      <c r="BE1339" s="48" t="s">
        <v>2449</v>
      </c>
      <c r="BF1339" s="48" t="s">
        <v>272</v>
      </c>
      <c r="BG1339" s="48" t="s">
        <v>272</v>
      </c>
      <c r="BH1339" s="48" t="s">
        <v>2486</v>
      </c>
      <c r="BI1339" s="98">
        <v>6.3999999999999997E-6</v>
      </c>
      <c r="BJ1339" s="98">
        <v>6.4000000000000001E-2</v>
      </c>
      <c r="BK1339" s="48"/>
      <c r="BL1339" s="98">
        <f t="shared" si="351"/>
        <v>77.699817725664374</v>
      </c>
      <c r="BM1339" s="47" t="s">
        <v>2487</v>
      </c>
      <c r="BN1339" s="48"/>
      <c r="BO1339" s="48"/>
      <c r="BP1339" s="48"/>
      <c r="BQ1339" s="48"/>
      <c r="BR1339" s="47" t="s">
        <v>2496</v>
      </c>
      <c r="BS1339" s="48"/>
      <c r="BT1339" s="48"/>
      <c r="BU1339" s="228"/>
      <c r="BV1339" s="48"/>
      <c r="BW1339" s="48"/>
      <c r="BX1339" s="48"/>
      <c r="BY1339" s="48"/>
      <c r="BZ1339" s="48"/>
      <c r="CA1339" s="48"/>
      <c r="CB1339" s="48"/>
      <c r="CC1339" s="48"/>
      <c r="CD1339" s="48"/>
      <c r="CE1339" s="48"/>
      <c r="CF1339" s="48"/>
      <c r="CG1339" s="48"/>
      <c r="CH1339" s="48"/>
      <c r="CI1339" s="98"/>
      <c r="CJ1339" s="98"/>
      <c r="CK1339" s="49">
        <f t="shared" si="338"/>
        <v>1214.0596519635058</v>
      </c>
      <c r="CL1339" s="229"/>
      <c r="CM1339" s="229"/>
      <c r="CN1339" s="229"/>
      <c r="CO1339" s="47" t="s">
        <v>2488</v>
      </c>
      <c r="CP1339" s="47" t="s">
        <v>2489</v>
      </c>
      <c r="CQ1339" s="224" t="s">
        <v>272</v>
      </c>
      <c r="CR1339" s="224"/>
      <c r="CS1339" s="230" t="s">
        <v>539</v>
      </c>
      <c r="CT1339" s="230"/>
      <c r="CU1339" s="230"/>
      <c r="CV1339" s="335">
        <f t="shared" si="352"/>
        <v>75746.558076400994</v>
      </c>
      <c r="CW1339" s="230">
        <f t="shared" si="337"/>
        <v>1</v>
      </c>
      <c r="CX1339" s="336"/>
      <c r="CY1339" s="230" t="s">
        <v>6351</v>
      </c>
    </row>
    <row r="1340" spans="1:103" ht="11.25" customHeight="1" x14ac:dyDescent="0.2">
      <c r="A1340" s="72">
        <v>1338</v>
      </c>
      <c r="B1340" s="224">
        <v>444</v>
      </c>
      <c r="C1340" s="46" t="s">
        <v>7425</v>
      </c>
      <c r="D1340" s="46"/>
      <c r="E1340" s="114"/>
      <c r="F1340" s="114" t="s">
        <v>3994</v>
      </c>
      <c r="G1340" s="225">
        <v>25606411</v>
      </c>
      <c r="H1340" s="47" t="s">
        <v>3995</v>
      </c>
      <c r="I1340" s="47" t="s">
        <v>8112</v>
      </c>
      <c r="J1340" s="47" t="s">
        <v>3996</v>
      </c>
      <c r="K1340" s="47" t="s">
        <v>1180</v>
      </c>
      <c r="L1340" s="47"/>
      <c r="M1340" s="47"/>
      <c r="N1340" s="47"/>
      <c r="O1340" s="47"/>
      <c r="P1340" s="53"/>
      <c r="Q1340" s="53"/>
      <c r="R1340" s="53"/>
      <c r="S1340" s="53"/>
      <c r="T1340" s="48">
        <v>224.73</v>
      </c>
      <c r="U1340" s="98">
        <v>4449.784185467005</v>
      </c>
      <c r="V1340" s="98">
        <v>15.285008677079162</v>
      </c>
      <c r="W1340" s="98"/>
      <c r="X1340" s="98">
        <v>4449.784185467005</v>
      </c>
      <c r="Y1340" s="233"/>
      <c r="Z1340" s="48">
        <v>-0.39</v>
      </c>
      <c r="AA1340" s="48"/>
      <c r="AB1340" s="48">
        <v>0</v>
      </c>
      <c r="AC1340" s="48">
        <v>0</v>
      </c>
      <c r="AD1340" s="48">
        <v>0</v>
      </c>
      <c r="AE1340" s="48">
        <v>0</v>
      </c>
      <c r="AF1340" s="48"/>
      <c r="AG1340" s="49">
        <v>1.43</v>
      </c>
      <c r="AH1340" s="98">
        <v>8.4399999999999998E-18</v>
      </c>
      <c r="AI1340" s="98"/>
      <c r="AJ1340" s="483">
        <f t="shared" si="349"/>
        <v>-15.462223879686997</v>
      </c>
      <c r="AK1340" s="483"/>
      <c r="AL1340" s="483">
        <f t="shared" si="350"/>
        <v>-15.462223879686997</v>
      </c>
      <c r="AM1340" s="483"/>
      <c r="AN1340" s="226">
        <v>-9.19</v>
      </c>
      <c r="AO1340" s="484"/>
      <c r="AP1340" s="484"/>
      <c r="AQ1340" s="226" t="s">
        <v>6311</v>
      </c>
      <c r="AR1340" s="226" t="s">
        <v>6312</v>
      </c>
      <c r="AS1340" s="224" t="s">
        <v>6</v>
      </c>
      <c r="AT1340" s="50" t="s">
        <v>266</v>
      </c>
      <c r="AU1340" s="48">
        <v>8</v>
      </c>
      <c r="AV1340" s="48">
        <v>144</v>
      </c>
      <c r="AW1340" s="48">
        <v>120</v>
      </c>
      <c r="AX1340" s="48">
        <v>26</v>
      </c>
      <c r="AY1340" s="48" t="s">
        <v>267</v>
      </c>
      <c r="AZ1340" s="48" t="s">
        <v>2253</v>
      </c>
      <c r="BA1340" s="48">
        <v>2</v>
      </c>
      <c r="BB1340" s="47" t="s">
        <v>2254</v>
      </c>
      <c r="BC1340" s="47" t="s">
        <v>270</v>
      </c>
      <c r="BD1340" s="47" t="s">
        <v>8374</v>
      </c>
      <c r="BE1340" s="48" t="s">
        <v>1712</v>
      </c>
      <c r="BF1340" s="48" t="s">
        <v>272</v>
      </c>
      <c r="BG1340" s="48" t="s">
        <v>272</v>
      </c>
      <c r="BH1340" s="48" t="s">
        <v>2255</v>
      </c>
      <c r="BI1340" s="98">
        <v>9.9999999999999995E-7</v>
      </c>
      <c r="BJ1340" s="98">
        <v>0.08</v>
      </c>
      <c r="BK1340" s="48"/>
      <c r="BL1340" s="98">
        <f t="shared" si="351"/>
        <v>115.09567386978659</v>
      </c>
      <c r="BM1340" s="48" t="s">
        <v>891</v>
      </c>
      <c r="BN1340" s="233"/>
      <c r="BO1340" s="233"/>
      <c r="BP1340" s="233"/>
      <c r="BQ1340" s="233"/>
      <c r="BR1340" s="233"/>
      <c r="BS1340" s="48"/>
      <c r="BT1340" s="233"/>
      <c r="BU1340" s="228"/>
      <c r="BV1340" s="233"/>
      <c r="BW1340" s="233"/>
      <c r="BX1340" s="233"/>
      <c r="BY1340" s="233"/>
      <c r="BZ1340" s="233"/>
      <c r="CA1340" s="233"/>
      <c r="CB1340" s="233"/>
      <c r="CC1340" s="48"/>
      <c r="CD1340" s="48"/>
      <c r="CE1340" s="48"/>
      <c r="CF1340" s="48"/>
      <c r="CG1340" s="233"/>
      <c r="CH1340" s="48"/>
      <c r="CI1340" s="98"/>
      <c r="CJ1340" s="98"/>
      <c r="CK1340" s="49">
        <f t="shared" si="338"/>
        <v>1438.6959233723323</v>
      </c>
      <c r="CL1340" s="229"/>
      <c r="CM1340" s="229"/>
      <c r="CN1340" s="229"/>
      <c r="CO1340" s="47" t="s">
        <v>892</v>
      </c>
      <c r="CP1340" s="47" t="s">
        <v>893</v>
      </c>
      <c r="CQ1340" s="224" t="s">
        <v>272</v>
      </c>
      <c r="CR1340" s="224"/>
      <c r="CS1340" s="230" t="s">
        <v>539</v>
      </c>
      <c r="CT1340" s="230"/>
      <c r="CU1340" s="230"/>
      <c r="CV1340" s="335">
        <f t="shared" si="352"/>
        <v>55622.302318337563</v>
      </c>
      <c r="CW1340" s="230">
        <f t="shared" si="337"/>
        <v>1</v>
      </c>
      <c r="CX1340" s="336" t="s">
        <v>539</v>
      </c>
      <c r="CY1340" s="230" t="s">
        <v>5921</v>
      </c>
    </row>
    <row r="1341" spans="1:103" ht="11.25" customHeight="1" x14ac:dyDescent="0.2">
      <c r="A1341" s="72">
        <v>1339</v>
      </c>
      <c r="B1341" s="224">
        <v>1831</v>
      </c>
      <c r="C1341" s="46" t="s">
        <v>7425</v>
      </c>
      <c r="D1341" s="46"/>
      <c r="E1341" s="114"/>
      <c r="F1341" s="114" t="s">
        <v>3994</v>
      </c>
      <c r="G1341" s="225">
        <v>25606411</v>
      </c>
      <c r="H1341" s="47" t="s">
        <v>3995</v>
      </c>
      <c r="I1341" s="47" t="s">
        <v>8112</v>
      </c>
      <c r="J1341" s="47" t="s">
        <v>3996</v>
      </c>
      <c r="K1341" s="47" t="s">
        <v>1180</v>
      </c>
      <c r="L1341" s="51"/>
      <c r="M1341" s="47"/>
      <c r="N1341" s="47"/>
      <c r="O1341" s="47"/>
      <c r="P1341" s="53"/>
      <c r="Q1341" s="53"/>
      <c r="R1341" s="53"/>
      <c r="S1341" s="53"/>
      <c r="T1341" s="48">
        <v>224.73</v>
      </c>
      <c r="U1341" s="98">
        <v>4449.784185467005</v>
      </c>
      <c r="V1341" s="98">
        <v>15.285008677079162</v>
      </c>
      <c r="W1341" s="98"/>
      <c r="X1341" s="98">
        <v>4449.784185467005</v>
      </c>
      <c r="Y1341" s="233"/>
      <c r="Z1341" s="48">
        <v>-0.39</v>
      </c>
      <c r="AA1341" s="48"/>
      <c r="AB1341" s="48">
        <v>0</v>
      </c>
      <c r="AC1341" s="48">
        <v>0</v>
      </c>
      <c r="AD1341" s="48">
        <v>0</v>
      </c>
      <c r="AE1341" s="48">
        <v>0</v>
      </c>
      <c r="AF1341" s="48"/>
      <c r="AG1341" s="49">
        <v>1.43</v>
      </c>
      <c r="AH1341" s="98">
        <v>8.4399999999999998E-18</v>
      </c>
      <c r="AI1341" s="98"/>
      <c r="AJ1341" s="483">
        <f t="shared" si="349"/>
        <v>-15.462223879686997</v>
      </c>
      <c r="AK1341" s="483"/>
      <c r="AL1341" s="483">
        <f t="shared" si="350"/>
        <v>-15.462223879686997</v>
      </c>
      <c r="AM1341" s="483"/>
      <c r="AN1341" s="226">
        <v>-9.19</v>
      </c>
      <c r="AO1341" s="484"/>
      <c r="AP1341" s="484"/>
      <c r="AQ1341" s="226" t="s">
        <v>6311</v>
      </c>
      <c r="AR1341" s="226" t="s">
        <v>6312</v>
      </c>
      <c r="AS1341" s="224"/>
      <c r="AT1341" s="50" t="s">
        <v>266</v>
      </c>
      <c r="AU1341" s="48">
        <v>6</v>
      </c>
      <c r="AV1341" s="48">
        <v>120</v>
      </c>
      <c r="AW1341" s="48">
        <v>114</v>
      </c>
      <c r="AX1341" s="48">
        <v>28</v>
      </c>
      <c r="AY1341" s="48" t="s">
        <v>8728</v>
      </c>
      <c r="AZ1341" s="48" t="s">
        <v>1563</v>
      </c>
      <c r="BA1341" s="48">
        <v>32</v>
      </c>
      <c r="BB1341" s="47" t="s">
        <v>2485</v>
      </c>
      <c r="BC1341" s="47" t="s">
        <v>8726</v>
      </c>
      <c r="BD1341" s="47" t="s">
        <v>8374</v>
      </c>
      <c r="BE1341" s="48" t="s">
        <v>2449</v>
      </c>
      <c r="BF1341" s="48" t="s">
        <v>272</v>
      </c>
      <c r="BG1341" s="48" t="s">
        <v>272</v>
      </c>
      <c r="BH1341" s="48" t="s">
        <v>2486</v>
      </c>
      <c r="BI1341" s="98">
        <v>6.3999999999999997E-6</v>
      </c>
      <c r="BJ1341" s="98">
        <v>6.4000000000000001E-2</v>
      </c>
      <c r="BK1341" s="48"/>
      <c r="BL1341" s="98">
        <f t="shared" si="351"/>
        <v>115.09567386978659</v>
      </c>
      <c r="BM1341" s="47" t="s">
        <v>2487</v>
      </c>
      <c r="BN1341" s="48"/>
      <c r="BO1341" s="48"/>
      <c r="BP1341" s="48"/>
      <c r="BQ1341" s="48"/>
      <c r="BR1341" s="47" t="s">
        <v>2496</v>
      </c>
      <c r="BS1341" s="48"/>
      <c r="BT1341" s="48"/>
      <c r="BU1341" s="228"/>
      <c r="BV1341" s="48"/>
      <c r="BW1341" s="48"/>
      <c r="BX1341" s="48"/>
      <c r="BY1341" s="48"/>
      <c r="BZ1341" s="48"/>
      <c r="CA1341" s="48"/>
      <c r="CB1341" s="48"/>
      <c r="CC1341" s="48"/>
      <c r="CD1341" s="48"/>
      <c r="CE1341" s="48"/>
      <c r="CF1341" s="48"/>
      <c r="CG1341" s="48"/>
      <c r="CH1341" s="48"/>
      <c r="CI1341" s="98"/>
      <c r="CJ1341" s="98"/>
      <c r="CK1341" s="49">
        <f t="shared" si="338"/>
        <v>1798.3699042154155</v>
      </c>
      <c r="CL1341" s="229"/>
      <c r="CM1341" s="229"/>
      <c r="CN1341" s="229"/>
      <c r="CO1341" s="47" t="s">
        <v>2488</v>
      </c>
      <c r="CP1341" s="47" t="s">
        <v>2489</v>
      </c>
      <c r="CQ1341" s="224" t="s">
        <v>272</v>
      </c>
      <c r="CR1341" s="224"/>
      <c r="CS1341" s="230" t="s">
        <v>539</v>
      </c>
      <c r="CT1341" s="230"/>
      <c r="CU1341" s="230"/>
      <c r="CV1341" s="335">
        <f t="shared" si="352"/>
        <v>69527.87789792195</v>
      </c>
      <c r="CW1341" s="230">
        <f t="shared" si="337"/>
        <v>1</v>
      </c>
      <c r="CX1341" s="336"/>
      <c r="CY1341" s="230" t="s">
        <v>5921</v>
      </c>
    </row>
    <row r="1342" spans="1:103" ht="11.25" customHeight="1" x14ac:dyDescent="0.2">
      <c r="A1342" s="72">
        <v>1340</v>
      </c>
      <c r="B1342" s="224">
        <v>1022</v>
      </c>
      <c r="C1342" s="46" t="s">
        <v>7426</v>
      </c>
      <c r="D1342" s="46"/>
      <c r="E1342" s="114"/>
      <c r="F1342" s="114" t="s">
        <v>2915</v>
      </c>
      <c r="G1342" s="225">
        <v>25956176</v>
      </c>
      <c r="H1342" s="47" t="s">
        <v>2916</v>
      </c>
      <c r="I1342" s="47" t="s">
        <v>2916</v>
      </c>
      <c r="J1342" s="47" t="s">
        <v>2917</v>
      </c>
      <c r="K1342" s="47" t="s">
        <v>349</v>
      </c>
      <c r="L1342" s="47"/>
      <c r="M1342" s="47"/>
      <c r="N1342" s="47"/>
      <c r="O1342" s="47"/>
      <c r="P1342" s="53"/>
      <c r="Q1342" s="53"/>
      <c r="R1342" s="53"/>
      <c r="S1342" s="53"/>
      <c r="T1342" s="48">
        <v>452.46</v>
      </c>
      <c r="U1342" s="98"/>
      <c r="V1342" s="98">
        <v>8.25487335897096E-2</v>
      </c>
      <c r="W1342" s="98">
        <v>186.20871366628671</v>
      </c>
      <c r="X1342" s="98">
        <f>IF(W1342=0,V1342,W1342)</f>
        <v>186.20871366628671</v>
      </c>
      <c r="Y1342" s="233">
        <v>0.63</v>
      </c>
      <c r="Z1342" s="48">
        <v>2.0299999999999998</v>
      </c>
      <c r="AA1342" s="48"/>
      <c r="AB1342" s="48">
        <v>-0.42</v>
      </c>
      <c r="AC1342" s="48">
        <v>0.50490000000000002</v>
      </c>
      <c r="AD1342" s="48">
        <v>0.98</v>
      </c>
      <c r="AE1342" s="48">
        <v>2.86</v>
      </c>
      <c r="AF1342" s="48">
        <f>IF(AA1342=0,AD1342,AA1342)</f>
        <v>0.98</v>
      </c>
      <c r="AG1342" s="49">
        <v>0.43</v>
      </c>
      <c r="AH1342" s="98">
        <v>2.1299999999999998E-24</v>
      </c>
      <c r="AI1342" s="98"/>
      <c r="AJ1342" s="483">
        <f t="shared" si="349"/>
        <v>-22.060186722873915</v>
      </c>
      <c r="AK1342" s="483"/>
      <c r="AL1342" s="483">
        <f t="shared" si="350"/>
        <v>-22.060186722873915</v>
      </c>
      <c r="AM1342" s="483">
        <v>-30.379679999999997</v>
      </c>
      <c r="AN1342" s="226">
        <v>-14.4</v>
      </c>
      <c r="AO1342" s="484">
        <v>-1.05</v>
      </c>
      <c r="AP1342" s="484"/>
      <c r="AQ1342" s="48" t="s">
        <v>6311</v>
      </c>
      <c r="AR1342" s="48" t="s">
        <v>6311</v>
      </c>
      <c r="AS1342" s="227"/>
      <c r="AT1342" s="50" t="s">
        <v>266</v>
      </c>
      <c r="AU1342" s="48">
        <v>6</v>
      </c>
      <c r="AV1342" s="48">
        <v>120</v>
      </c>
      <c r="AW1342" s="48">
        <v>114</v>
      </c>
      <c r="AX1342" s="48">
        <v>28</v>
      </c>
      <c r="AY1342" s="48" t="s">
        <v>8728</v>
      </c>
      <c r="AZ1342" s="48" t="s">
        <v>1563</v>
      </c>
      <c r="BA1342" s="48">
        <v>32</v>
      </c>
      <c r="BB1342" s="47" t="s">
        <v>2485</v>
      </c>
      <c r="BC1342" s="47" t="s">
        <v>8726</v>
      </c>
      <c r="BD1342" s="47" t="s">
        <v>8374</v>
      </c>
      <c r="BE1342" s="48" t="s">
        <v>2449</v>
      </c>
      <c r="BF1342" s="48" t="s">
        <v>272</v>
      </c>
      <c r="BG1342" s="48" t="s">
        <v>272</v>
      </c>
      <c r="BH1342" s="48" t="s">
        <v>2486</v>
      </c>
      <c r="BI1342" s="98">
        <v>6.3999999999999997E-6</v>
      </c>
      <c r="BJ1342" s="98">
        <v>6.4000000000000001E-2</v>
      </c>
      <c r="BK1342" s="48"/>
      <c r="BL1342" s="98">
        <f t="shared" si="351"/>
        <v>0.77207057317772498</v>
      </c>
      <c r="BM1342" s="47" t="s">
        <v>2487</v>
      </c>
      <c r="BN1342" s="48"/>
      <c r="BO1342" s="48"/>
      <c r="BP1342" s="48"/>
      <c r="BQ1342" s="48"/>
      <c r="BR1342" s="47" t="s">
        <v>2496</v>
      </c>
      <c r="BS1342" s="48"/>
      <c r="BT1342" s="48"/>
      <c r="BU1342" s="228">
        <v>6.3999999999999997E-5</v>
      </c>
      <c r="BV1342" s="48"/>
      <c r="BW1342" s="48"/>
      <c r="BX1342" s="48"/>
      <c r="BY1342" s="48"/>
      <c r="BZ1342" s="48"/>
      <c r="CA1342" s="48"/>
      <c r="CB1342" s="48"/>
      <c r="CC1342" s="48"/>
      <c r="CD1342" s="48"/>
      <c r="CE1342" s="48"/>
      <c r="CF1342" s="48"/>
      <c r="CG1342" s="48"/>
      <c r="CH1342" s="48"/>
      <c r="CI1342" s="98"/>
      <c r="CJ1342" s="98"/>
      <c r="CK1342" s="49">
        <f t="shared" si="338"/>
        <v>12.063602705901953</v>
      </c>
      <c r="CL1342" s="229"/>
      <c r="CM1342" s="229"/>
      <c r="CN1342" s="229"/>
      <c r="CO1342" s="47" t="s">
        <v>2488</v>
      </c>
      <c r="CP1342" s="47" t="s">
        <v>2489</v>
      </c>
      <c r="CQ1342" s="224" t="s">
        <v>272</v>
      </c>
      <c r="CR1342" s="224"/>
      <c r="CS1342" s="230" t="s">
        <v>539</v>
      </c>
      <c r="CT1342" s="230"/>
      <c r="CU1342" s="230"/>
      <c r="CV1342" s="335">
        <f t="shared" si="352"/>
        <v>2909.5111510357297</v>
      </c>
      <c r="CW1342" s="230">
        <f t="shared" si="337"/>
        <v>1</v>
      </c>
      <c r="CX1342" s="336"/>
      <c r="CY1342" s="230" t="s">
        <v>6351</v>
      </c>
    </row>
    <row r="1343" spans="1:103" ht="11.25" customHeight="1" x14ac:dyDescent="0.2">
      <c r="A1343" s="72">
        <v>1341</v>
      </c>
      <c r="B1343" s="224">
        <v>332</v>
      </c>
      <c r="C1343" s="46" t="s">
        <v>7427</v>
      </c>
      <c r="D1343" s="46"/>
      <c r="E1343" s="114"/>
      <c r="F1343" s="114" t="s">
        <v>3136</v>
      </c>
      <c r="G1343" s="225">
        <v>26225796</v>
      </c>
      <c r="H1343" s="47" t="s">
        <v>3137</v>
      </c>
      <c r="I1343" s="47" t="s">
        <v>3137</v>
      </c>
      <c r="J1343" s="47" t="s">
        <v>3138</v>
      </c>
      <c r="K1343" s="47" t="s">
        <v>357</v>
      </c>
      <c r="L1343" s="47" t="s">
        <v>8489</v>
      </c>
      <c r="M1343" s="47" t="s">
        <v>8487</v>
      </c>
      <c r="N1343" s="47"/>
      <c r="O1343" s="47"/>
      <c r="P1343" s="53"/>
      <c r="Q1343" s="53"/>
      <c r="R1343" s="53"/>
      <c r="S1343" s="53"/>
      <c r="T1343" s="48">
        <v>286.35000000000002</v>
      </c>
      <c r="U1343" s="98">
        <v>0.17461148943600488</v>
      </c>
      <c r="V1343" s="98">
        <v>0.2544438624061463</v>
      </c>
      <c r="W1343" s="98">
        <v>0.75857757502918277</v>
      </c>
      <c r="X1343" s="98">
        <v>0.17461148943600488</v>
      </c>
      <c r="Y1343" s="233">
        <v>7</v>
      </c>
      <c r="Z1343" s="48">
        <v>2.89</v>
      </c>
      <c r="AA1343" s="48">
        <v>2.7</v>
      </c>
      <c r="AB1343" s="48">
        <v>2.19</v>
      </c>
      <c r="AC1343" s="48">
        <v>0.86560000000000004</v>
      </c>
      <c r="AD1343" s="48">
        <v>2.14</v>
      </c>
      <c r="AE1343" s="48">
        <v>2</v>
      </c>
      <c r="AF1343" s="48">
        <f>IF(AA1343=0,AD1343,AA1343)</f>
        <v>2.7</v>
      </c>
      <c r="AG1343" s="49">
        <v>2.5</v>
      </c>
      <c r="AH1343" s="98">
        <v>1.1700000000000001E-9</v>
      </c>
      <c r="AI1343" s="98">
        <v>3.69E-8</v>
      </c>
      <c r="AJ1343" s="483">
        <f t="shared" si="349"/>
        <v>-7.3203804645664903</v>
      </c>
      <c r="AK1343" s="483">
        <f>LOG10(AI1343*1000/(0.08206*298.15))</f>
        <v>-5.8215399601535918</v>
      </c>
      <c r="AL1343" s="483">
        <f t="shared" si="350"/>
        <v>-5.8215399601535918</v>
      </c>
      <c r="AM1343" s="483">
        <v>-12.87795</v>
      </c>
      <c r="AN1343" s="226">
        <v>-6.59</v>
      </c>
      <c r="AO1343" s="484"/>
      <c r="AP1343" s="484"/>
      <c r="AQ1343" s="226" t="s">
        <v>6311</v>
      </c>
      <c r="AR1343" s="226" t="s">
        <v>6311</v>
      </c>
      <c r="AS1343" s="224" t="s">
        <v>6</v>
      </c>
      <c r="AT1343" s="50" t="s">
        <v>266</v>
      </c>
      <c r="AU1343" s="48">
        <v>8</v>
      </c>
      <c r="AV1343" s="48">
        <v>144</v>
      </c>
      <c r="AW1343" s="48">
        <v>120</v>
      </c>
      <c r="AX1343" s="48">
        <v>26</v>
      </c>
      <c r="AY1343" s="48" t="s">
        <v>267</v>
      </c>
      <c r="AZ1343" s="48" t="s">
        <v>2253</v>
      </c>
      <c r="BA1343" s="48">
        <v>2</v>
      </c>
      <c r="BB1343" s="47" t="s">
        <v>2254</v>
      </c>
      <c r="BC1343" s="47" t="s">
        <v>270</v>
      </c>
      <c r="BD1343" s="47" t="s">
        <v>8374</v>
      </c>
      <c r="BE1343" s="48" t="s">
        <v>1712</v>
      </c>
      <c r="BF1343" s="48" t="s">
        <v>272</v>
      </c>
      <c r="BG1343" s="48" t="s">
        <v>272</v>
      </c>
      <c r="BH1343" s="48" t="s">
        <v>2255</v>
      </c>
      <c r="BI1343" s="98">
        <v>9.9999999999999995E-7</v>
      </c>
      <c r="BJ1343" s="98">
        <v>0.08</v>
      </c>
      <c r="BK1343" s="48"/>
      <c r="BL1343" s="98">
        <f t="shared" si="351"/>
        <v>0.130404026090681</v>
      </c>
      <c r="BM1343" s="48" t="s">
        <v>891</v>
      </c>
      <c r="BN1343" s="233"/>
      <c r="BO1343" s="233"/>
      <c r="BP1343" s="233"/>
      <c r="BQ1343" s="233"/>
      <c r="BR1343" s="233"/>
      <c r="BS1343" s="48"/>
      <c r="BT1343" s="233"/>
      <c r="BU1343" s="228"/>
      <c r="BV1343" s="233"/>
      <c r="BW1343" s="233"/>
      <c r="BX1343" s="233"/>
      <c r="BY1343" s="233"/>
      <c r="BZ1343" s="233"/>
      <c r="CA1343" s="233"/>
      <c r="CB1343" s="233"/>
      <c r="CC1343" s="48"/>
      <c r="CD1343" s="48"/>
      <c r="CE1343" s="48"/>
      <c r="CF1343" s="48"/>
      <c r="CG1343" s="233"/>
      <c r="CH1343" s="48"/>
      <c r="CI1343" s="98"/>
      <c r="CJ1343" s="98"/>
      <c r="CK1343" s="49">
        <f t="shared" si="338"/>
        <v>1.6300503261335124</v>
      </c>
      <c r="CL1343" s="229"/>
      <c r="CM1343" s="229"/>
      <c r="CN1343" s="229"/>
      <c r="CO1343" s="47" t="s">
        <v>892</v>
      </c>
      <c r="CP1343" s="47" t="s">
        <v>893</v>
      </c>
      <c r="CQ1343" s="224">
        <v>-1.5211367915610465</v>
      </c>
      <c r="CR1343" s="224">
        <f>10^(CJ1343-CQ1343)</f>
        <v>33.199901221209977</v>
      </c>
      <c r="CS1343" s="230" t="s">
        <v>539</v>
      </c>
      <c r="CT1343" s="230"/>
      <c r="CU1343" s="230"/>
      <c r="CV1343" s="335">
        <f t="shared" si="352"/>
        <v>2.182643617950061</v>
      </c>
      <c r="CW1343" s="230">
        <f t="shared" ref="CW1343:CW1406" si="354">IF(CV1343&lt;1,0,1)</f>
        <v>1</v>
      </c>
      <c r="CX1343" s="336" t="s">
        <v>539</v>
      </c>
      <c r="CY1343" s="230" t="s">
        <v>5921</v>
      </c>
    </row>
    <row r="1344" spans="1:103" ht="11.25" customHeight="1" x14ac:dyDescent="0.2">
      <c r="A1344" s="72">
        <v>1342</v>
      </c>
      <c r="B1344" s="224">
        <v>1123</v>
      </c>
      <c r="C1344" s="46" t="s">
        <v>7427</v>
      </c>
      <c r="D1344" s="46"/>
      <c r="E1344" s="114"/>
      <c r="F1344" s="114" t="s">
        <v>3136</v>
      </c>
      <c r="G1344" s="225">
        <v>26225796</v>
      </c>
      <c r="H1344" s="47" t="s">
        <v>3137</v>
      </c>
      <c r="I1344" s="47" t="s">
        <v>3137</v>
      </c>
      <c r="J1344" s="47" t="s">
        <v>3138</v>
      </c>
      <c r="K1344" s="47" t="s">
        <v>357</v>
      </c>
      <c r="L1344" s="47" t="s">
        <v>8489</v>
      </c>
      <c r="M1344" s="47" t="s">
        <v>8487</v>
      </c>
      <c r="N1344" s="47"/>
      <c r="O1344" s="47"/>
      <c r="P1344" s="53"/>
      <c r="Q1344" s="53"/>
      <c r="R1344" s="53"/>
      <c r="S1344" s="53"/>
      <c r="T1344" s="48">
        <v>286.35000000000002</v>
      </c>
      <c r="U1344" s="98">
        <v>0.17461148943600488</v>
      </c>
      <c r="V1344" s="98">
        <v>0.2544438624061463</v>
      </c>
      <c r="W1344" s="98">
        <v>0.75857757502918277</v>
      </c>
      <c r="X1344" s="98">
        <v>0.17461148943600488</v>
      </c>
      <c r="Y1344" s="233">
        <v>7</v>
      </c>
      <c r="Z1344" s="48">
        <v>2.89</v>
      </c>
      <c r="AA1344" s="48">
        <v>2.7</v>
      </c>
      <c r="AB1344" s="48">
        <v>2.19</v>
      </c>
      <c r="AC1344" s="48">
        <v>0.86560000000000004</v>
      </c>
      <c r="AD1344" s="48">
        <v>2.14</v>
      </c>
      <c r="AE1344" s="48">
        <v>2</v>
      </c>
      <c r="AF1344" s="48">
        <f>IF(AA1344=0,AD1344,AA1344)</f>
        <v>2.7</v>
      </c>
      <c r="AG1344" s="49">
        <v>2.5</v>
      </c>
      <c r="AH1344" s="98">
        <v>1.1700000000000001E-9</v>
      </c>
      <c r="AI1344" s="98">
        <v>3.69E-8</v>
      </c>
      <c r="AJ1344" s="483">
        <f t="shared" si="349"/>
        <v>-7.3203804645664903</v>
      </c>
      <c r="AK1344" s="483">
        <f>LOG10(AI1344*1000/(0.08206*298.15))</f>
        <v>-5.8215399601535918</v>
      </c>
      <c r="AL1344" s="483">
        <f t="shared" si="350"/>
        <v>-5.8215399601535918</v>
      </c>
      <c r="AM1344" s="483">
        <v>-12.87795</v>
      </c>
      <c r="AN1344" s="226">
        <v>-6.59</v>
      </c>
      <c r="AO1344" s="484"/>
      <c r="AP1344" s="484"/>
      <c r="AQ1344" s="48" t="s">
        <v>6311</v>
      </c>
      <c r="AR1344" s="48" t="s">
        <v>6311</v>
      </c>
      <c r="AS1344" s="227"/>
      <c r="AT1344" s="50" t="s">
        <v>266</v>
      </c>
      <c r="AU1344" s="48">
        <v>6</v>
      </c>
      <c r="AV1344" s="48">
        <v>120</v>
      </c>
      <c r="AW1344" s="48">
        <v>114</v>
      </c>
      <c r="AX1344" s="48">
        <v>28</v>
      </c>
      <c r="AY1344" s="48" t="s">
        <v>8728</v>
      </c>
      <c r="AZ1344" s="48" t="s">
        <v>1563</v>
      </c>
      <c r="BA1344" s="48">
        <v>32</v>
      </c>
      <c r="BB1344" s="47" t="s">
        <v>2485</v>
      </c>
      <c r="BC1344" s="47" t="s">
        <v>8726</v>
      </c>
      <c r="BD1344" s="47" t="s">
        <v>8374</v>
      </c>
      <c r="BE1344" s="48" t="s">
        <v>2449</v>
      </c>
      <c r="BF1344" s="48" t="s">
        <v>272</v>
      </c>
      <c r="BG1344" s="48" t="s">
        <v>272</v>
      </c>
      <c r="BH1344" s="48" t="s">
        <v>2486</v>
      </c>
      <c r="BI1344" s="98">
        <v>6.3999999999999997E-6</v>
      </c>
      <c r="BJ1344" s="98">
        <v>6.4000000000000001E-2</v>
      </c>
      <c r="BK1344" s="48"/>
      <c r="BL1344" s="98">
        <f t="shared" si="351"/>
        <v>0.130404026090681</v>
      </c>
      <c r="BM1344" s="47" t="s">
        <v>2487</v>
      </c>
      <c r="BN1344" s="48"/>
      <c r="BO1344" s="48"/>
      <c r="BP1344" s="48"/>
      <c r="BQ1344" s="48"/>
      <c r="BR1344" s="47" t="s">
        <v>2496</v>
      </c>
      <c r="BS1344" s="48"/>
      <c r="BT1344" s="48"/>
      <c r="BU1344" s="228">
        <v>6.3999999999999997E-6</v>
      </c>
      <c r="BV1344" s="48"/>
      <c r="BW1344" s="48"/>
      <c r="BX1344" s="48"/>
      <c r="BY1344" s="48"/>
      <c r="BZ1344" s="48"/>
      <c r="CA1344" s="48"/>
      <c r="CB1344" s="48"/>
      <c r="CC1344" s="48"/>
      <c r="CD1344" s="48"/>
      <c r="CE1344" s="48"/>
      <c r="CF1344" s="48"/>
      <c r="CG1344" s="48"/>
      <c r="CH1344" s="48"/>
      <c r="CI1344" s="98"/>
      <c r="CJ1344" s="98"/>
      <c r="CK1344" s="49">
        <f t="shared" si="338"/>
        <v>2.0375629076668904</v>
      </c>
      <c r="CL1344" s="229"/>
      <c r="CM1344" s="229"/>
      <c r="CN1344" s="229"/>
      <c r="CO1344" s="47" t="s">
        <v>2488</v>
      </c>
      <c r="CP1344" s="47" t="s">
        <v>2489</v>
      </c>
      <c r="CQ1344" s="224">
        <v>-1.5211367915610465</v>
      </c>
      <c r="CR1344" s="224">
        <f>10^(CJ1344-CQ1344)</f>
        <v>33.199901221209977</v>
      </c>
      <c r="CS1344" s="230" t="s">
        <v>539</v>
      </c>
      <c r="CT1344" s="230"/>
      <c r="CU1344" s="230"/>
      <c r="CV1344" s="335">
        <f t="shared" si="352"/>
        <v>2.7283045224375764</v>
      </c>
      <c r="CW1344" s="230">
        <f t="shared" si="354"/>
        <v>1</v>
      </c>
      <c r="CX1344" s="336"/>
      <c r="CY1344" s="230" t="s">
        <v>5921</v>
      </c>
    </row>
    <row r="1345" spans="1:103" ht="11.25" customHeight="1" x14ac:dyDescent="0.2">
      <c r="A1345" s="72">
        <v>1343</v>
      </c>
      <c r="B1345" s="224">
        <v>412</v>
      </c>
      <c r="C1345" s="46" t="s">
        <v>7428</v>
      </c>
      <c r="D1345" s="46"/>
      <c r="E1345" s="114"/>
      <c r="F1345" s="114" t="s">
        <v>3350</v>
      </c>
      <c r="G1345" s="225">
        <v>27314132</v>
      </c>
      <c r="H1345" s="47" t="s">
        <v>3351</v>
      </c>
      <c r="I1345" s="47" t="s">
        <v>8113</v>
      </c>
      <c r="J1345" s="47" t="s">
        <v>3352</v>
      </c>
      <c r="K1345" s="47" t="s">
        <v>3353</v>
      </c>
      <c r="L1345" s="47" t="s">
        <v>6048</v>
      </c>
      <c r="M1345" s="47" t="s">
        <v>6082</v>
      </c>
      <c r="N1345" s="47" t="s">
        <v>6082</v>
      </c>
      <c r="O1345" s="47" t="s">
        <v>6083</v>
      </c>
      <c r="P1345" s="53"/>
      <c r="Q1345" s="53"/>
      <c r="R1345" s="53"/>
      <c r="S1345" s="53"/>
      <c r="T1345" s="48">
        <v>303.67</v>
      </c>
      <c r="U1345" s="98">
        <v>0.11097573023347714</v>
      </c>
      <c r="V1345" s="98">
        <v>0.41788783877235158</v>
      </c>
      <c r="W1345" s="98">
        <v>9.1201083935590926E-2</v>
      </c>
      <c r="X1345" s="98">
        <v>0.11097573023347714</v>
      </c>
      <c r="Y1345" s="233">
        <v>7</v>
      </c>
      <c r="Z1345" s="48">
        <v>2.19</v>
      </c>
      <c r="AA1345" s="48">
        <v>2.2999999999999998</v>
      </c>
      <c r="AB1345" s="48">
        <v>2.2000000000000002</v>
      </c>
      <c r="AC1345" s="48">
        <v>0.84279999999999999</v>
      </c>
      <c r="AD1345" s="48">
        <v>2.25</v>
      </c>
      <c r="AE1345" s="48">
        <v>2.4500000000000002</v>
      </c>
      <c r="AF1345" s="48">
        <f>IF(AA1345=0,AD1345,AA1345)</f>
        <v>2.2999999999999998</v>
      </c>
      <c r="AG1345" s="49">
        <v>2.56</v>
      </c>
      <c r="AH1345" s="98">
        <v>1.2500000000000001E-10</v>
      </c>
      <c r="AI1345" s="98">
        <v>3.43E-10</v>
      </c>
      <c r="AJ1345" s="483">
        <f t="shared" si="349"/>
        <v>-8.2916563133045962</v>
      </c>
      <c r="AK1345" s="483">
        <f>LOG10(AI1345*1000/(0.08206*298.15))</f>
        <v>-7.8532722062698817</v>
      </c>
      <c r="AL1345" s="483">
        <f t="shared" si="350"/>
        <v>-7.8532722062698817</v>
      </c>
      <c r="AM1345" s="483">
        <v>-12.369860000000001</v>
      </c>
      <c r="AN1345" s="226">
        <v>-7.96</v>
      </c>
      <c r="AO1345" s="484"/>
      <c r="AP1345" s="484">
        <v>1.1100000000000001</v>
      </c>
      <c r="AQ1345" s="226" t="s">
        <v>6311</v>
      </c>
      <c r="AR1345" s="226" t="s">
        <v>6311</v>
      </c>
      <c r="AS1345" s="224" t="s">
        <v>6</v>
      </c>
      <c r="AT1345" s="50" t="s">
        <v>266</v>
      </c>
      <c r="AU1345" s="48">
        <v>8</v>
      </c>
      <c r="AV1345" s="48">
        <v>144</v>
      </c>
      <c r="AW1345" s="48">
        <v>120</v>
      </c>
      <c r="AX1345" s="48">
        <v>26</v>
      </c>
      <c r="AY1345" s="48" t="s">
        <v>267</v>
      </c>
      <c r="AZ1345" s="48" t="s">
        <v>2253</v>
      </c>
      <c r="BA1345" s="48">
        <v>2</v>
      </c>
      <c r="BB1345" s="47" t="s">
        <v>2254</v>
      </c>
      <c r="BC1345" s="47" t="s">
        <v>270</v>
      </c>
      <c r="BD1345" s="47" t="s">
        <v>8374</v>
      </c>
      <c r="BE1345" s="48" t="s">
        <v>1712</v>
      </c>
      <c r="BF1345" s="48" t="s">
        <v>272</v>
      </c>
      <c r="BG1345" s="48" t="s">
        <v>272</v>
      </c>
      <c r="BH1345" s="48" t="s">
        <v>2255</v>
      </c>
      <c r="BI1345" s="98">
        <v>9.9999999999999995E-7</v>
      </c>
      <c r="BJ1345" s="98">
        <v>0.08</v>
      </c>
      <c r="BK1345" s="48"/>
      <c r="BL1345" s="98">
        <f t="shared" si="351"/>
        <v>0.55457590935109158</v>
      </c>
      <c r="BM1345" s="48" t="s">
        <v>891</v>
      </c>
      <c r="BN1345" s="233"/>
      <c r="BO1345" s="233"/>
      <c r="BP1345" s="233"/>
      <c r="BQ1345" s="233"/>
      <c r="BR1345" s="233"/>
      <c r="BS1345" s="48"/>
      <c r="BT1345" s="233"/>
      <c r="BU1345" s="228"/>
      <c r="BV1345" s="233"/>
      <c r="BW1345" s="233"/>
      <c r="BX1345" s="233"/>
      <c r="BY1345" s="233"/>
      <c r="BZ1345" s="233"/>
      <c r="CA1345" s="233"/>
      <c r="CB1345" s="233"/>
      <c r="CC1345" s="48"/>
      <c r="CD1345" s="48"/>
      <c r="CE1345" s="48"/>
      <c r="CF1345" s="48"/>
      <c r="CG1345" s="233"/>
      <c r="CH1345" s="48"/>
      <c r="CI1345" s="98"/>
      <c r="CJ1345" s="98"/>
      <c r="CK1345" s="49">
        <f t="shared" si="338"/>
        <v>6.932198866888645</v>
      </c>
      <c r="CL1345" s="229"/>
      <c r="CM1345" s="229"/>
      <c r="CN1345" s="229"/>
      <c r="CO1345" s="47" t="s">
        <v>892</v>
      </c>
      <c r="CP1345" s="47" t="s">
        <v>893</v>
      </c>
      <c r="CQ1345" s="224">
        <v>-1.4220655778139892</v>
      </c>
      <c r="CR1345" s="224">
        <f>10^(CJ1345-CQ1345)</f>
        <v>26.428077871982556</v>
      </c>
      <c r="CS1345" s="230" t="s">
        <v>539</v>
      </c>
      <c r="CT1345" s="230"/>
      <c r="CU1345" s="230"/>
      <c r="CV1345" s="335">
        <f t="shared" si="352"/>
        <v>1.3871966279184642</v>
      </c>
      <c r="CW1345" s="230">
        <f t="shared" si="354"/>
        <v>1</v>
      </c>
      <c r="CX1345" s="336" t="s">
        <v>539</v>
      </c>
      <c r="CY1345" s="230" t="s">
        <v>5921</v>
      </c>
    </row>
    <row r="1346" spans="1:103" ht="11.25" customHeight="1" x14ac:dyDescent="0.2">
      <c r="A1346" s="72">
        <v>1344</v>
      </c>
      <c r="B1346" s="224">
        <v>1215</v>
      </c>
      <c r="C1346" s="46" t="s">
        <v>7428</v>
      </c>
      <c r="D1346" s="46"/>
      <c r="E1346" s="114"/>
      <c r="F1346" s="114" t="s">
        <v>3350</v>
      </c>
      <c r="G1346" s="225">
        <v>27314132</v>
      </c>
      <c r="H1346" s="47" t="s">
        <v>3351</v>
      </c>
      <c r="I1346" s="47" t="s">
        <v>8113</v>
      </c>
      <c r="J1346" s="47" t="s">
        <v>3352</v>
      </c>
      <c r="K1346" s="47" t="s">
        <v>3353</v>
      </c>
      <c r="L1346" s="47" t="s">
        <v>6048</v>
      </c>
      <c r="M1346" s="47" t="s">
        <v>6082</v>
      </c>
      <c r="N1346" s="47" t="s">
        <v>6082</v>
      </c>
      <c r="O1346" s="47" t="s">
        <v>6083</v>
      </c>
      <c r="P1346" s="53"/>
      <c r="Q1346" s="53"/>
      <c r="R1346" s="53"/>
      <c r="S1346" s="53"/>
      <c r="T1346" s="48">
        <v>303.67</v>
      </c>
      <c r="U1346" s="98">
        <v>0.11097573023347714</v>
      </c>
      <c r="V1346" s="98">
        <v>0.41788783877235158</v>
      </c>
      <c r="W1346" s="98">
        <v>9.1201083935590926E-2</v>
      </c>
      <c r="X1346" s="98">
        <v>0.11097573023347714</v>
      </c>
      <c r="Y1346" s="233">
        <v>7</v>
      </c>
      <c r="Z1346" s="48">
        <v>2.19</v>
      </c>
      <c r="AA1346" s="48">
        <v>2.2999999999999998</v>
      </c>
      <c r="AB1346" s="48">
        <v>2.2000000000000002</v>
      </c>
      <c r="AC1346" s="48">
        <v>0.84279999999999999</v>
      </c>
      <c r="AD1346" s="48">
        <v>2.25</v>
      </c>
      <c r="AE1346" s="48">
        <v>2.4500000000000002</v>
      </c>
      <c r="AF1346" s="48">
        <f>IF(AA1346=0,AD1346,AA1346)</f>
        <v>2.2999999999999998</v>
      </c>
      <c r="AG1346" s="49">
        <v>2.56</v>
      </c>
      <c r="AH1346" s="98">
        <v>1.2500000000000001E-10</v>
      </c>
      <c r="AI1346" s="98">
        <v>3.43E-10</v>
      </c>
      <c r="AJ1346" s="483">
        <f t="shared" si="349"/>
        <v>-8.2916563133045962</v>
      </c>
      <c r="AK1346" s="483">
        <f>LOG10(AI1346*1000/(0.08206*298.15))</f>
        <v>-7.8532722062698817</v>
      </c>
      <c r="AL1346" s="483">
        <f t="shared" si="350"/>
        <v>-7.8532722062698817</v>
      </c>
      <c r="AM1346" s="483">
        <v>-12.369860000000001</v>
      </c>
      <c r="AN1346" s="226">
        <v>-7.96</v>
      </c>
      <c r="AO1346" s="484"/>
      <c r="AP1346" s="484">
        <v>1.1100000000000001</v>
      </c>
      <c r="AQ1346" s="48" t="s">
        <v>6311</v>
      </c>
      <c r="AR1346" s="48" t="s">
        <v>6311</v>
      </c>
      <c r="AS1346" s="227"/>
      <c r="AT1346" s="50" t="s">
        <v>266</v>
      </c>
      <c r="AU1346" s="48">
        <v>6</v>
      </c>
      <c r="AV1346" s="48">
        <v>120</v>
      </c>
      <c r="AW1346" s="48">
        <v>114</v>
      </c>
      <c r="AX1346" s="48">
        <v>28</v>
      </c>
      <c r="AY1346" s="48" t="s">
        <v>8728</v>
      </c>
      <c r="AZ1346" s="48" t="s">
        <v>1563</v>
      </c>
      <c r="BA1346" s="48">
        <v>32</v>
      </c>
      <c r="BB1346" s="47" t="s">
        <v>2485</v>
      </c>
      <c r="BC1346" s="47" t="s">
        <v>8726</v>
      </c>
      <c r="BD1346" s="47" t="s">
        <v>8374</v>
      </c>
      <c r="BE1346" s="48" t="s">
        <v>2449</v>
      </c>
      <c r="BF1346" s="48" t="s">
        <v>272</v>
      </c>
      <c r="BG1346" s="48" t="s">
        <v>272</v>
      </c>
      <c r="BH1346" s="48" t="s">
        <v>2486</v>
      </c>
      <c r="BI1346" s="98">
        <v>6.3999999999999997E-6</v>
      </c>
      <c r="BJ1346" s="98">
        <v>6.4000000000000001E-2</v>
      </c>
      <c r="BK1346" s="48"/>
      <c r="BL1346" s="98">
        <f t="shared" si="351"/>
        <v>0.55457590935109158</v>
      </c>
      <c r="BM1346" s="47" t="s">
        <v>2487</v>
      </c>
      <c r="BN1346" s="48"/>
      <c r="BO1346" s="48"/>
      <c r="BP1346" s="48"/>
      <c r="BQ1346" s="48"/>
      <c r="BR1346" s="47" t="s">
        <v>2496</v>
      </c>
      <c r="BS1346" s="48"/>
      <c r="BT1346" s="48"/>
      <c r="BU1346" s="228">
        <v>6.4000000000000001E-2</v>
      </c>
      <c r="BV1346" s="48"/>
      <c r="BW1346" s="48"/>
      <c r="BX1346" s="48"/>
      <c r="BY1346" s="48"/>
      <c r="BZ1346" s="48"/>
      <c r="CA1346" s="48"/>
      <c r="CB1346" s="48"/>
      <c r="CC1346" s="48"/>
      <c r="CD1346" s="48"/>
      <c r="CE1346" s="48"/>
      <c r="CF1346" s="48"/>
      <c r="CG1346" s="48"/>
      <c r="CH1346" s="48"/>
      <c r="CI1346" s="98"/>
      <c r="CJ1346" s="98"/>
      <c r="CK1346" s="49">
        <f t="shared" si="338"/>
        <v>8.665248583610806</v>
      </c>
      <c r="CL1346" s="229"/>
      <c r="CM1346" s="229"/>
      <c r="CN1346" s="229"/>
      <c r="CO1346" s="47" t="s">
        <v>2488</v>
      </c>
      <c r="CP1346" s="47" t="s">
        <v>2489</v>
      </c>
      <c r="CQ1346" s="224">
        <v>-1.4220655778139892</v>
      </c>
      <c r="CR1346" s="224">
        <f>10^(CJ1346-CQ1346)</f>
        <v>26.428077871982556</v>
      </c>
      <c r="CS1346" s="230" t="s">
        <v>539</v>
      </c>
      <c r="CT1346" s="230"/>
      <c r="CU1346" s="230"/>
      <c r="CV1346" s="335">
        <f t="shared" si="352"/>
        <v>1.7339957848980803</v>
      </c>
      <c r="CW1346" s="230">
        <f t="shared" si="354"/>
        <v>1</v>
      </c>
      <c r="CX1346" s="336"/>
      <c r="CY1346" s="230" t="s">
        <v>5921</v>
      </c>
    </row>
    <row r="1347" spans="1:103" ht="11.25" customHeight="1" x14ac:dyDescent="0.2">
      <c r="A1347" s="72">
        <v>1345</v>
      </c>
      <c r="B1347" s="224">
        <v>1115</v>
      </c>
      <c r="C1347" s="46" t="s">
        <v>7429</v>
      </c>
      <c r="D1347" s="46"/>
      <c r="E1347" s="114"/>
      <c r="F1347" s="114" t="s">
        <v>3116</v>
      </c>
      <c r="G1347" s="225">
        <v>27323417</v>
      </c>
      <c r="H1347" s="47" t="s">
        <v>3117</v>
      </c>
      <c r="I1347" s="47" t="s">
        <v>3117</v>
      </c>
      <c r="J1347" s="47" t="s">
        <v>904</v>
      </c>
      <c r="K1347" s="47" t="s">
        <v>426</v>
      </c>
      <c r="L1347" s="47"/>
      <c r="M1347" s="47"/>
      <c r="N1347" s="47"/>
      <c r="O1347" s="47"/>
      <c r="P1347" s="53"/>
      <c r="Q1347" s="53"/>
      <c r="R1347" s="53"/>
      <c r="S1347" s="53"/>
      <c r="T1347" s="48">
        <v>474.68</v>
      </c>
      <c r="U1347" s="98"/>
      <c r="V1347" s="98">
        <v>5.7091092946827342E-2</v>
      </c>
      <c r="W1347" s="98"/>
      <c r="X1347" s="98">
        <f>IF(W1347=0,V1347,W1347)</f>
        <v>5.7091092946827342E-2</v>
      </c>
      <c r="Y1347" s="233"/>
      <c r="Z1347" s="48">
        <v>1.85</v>
      </c>
      <c r="AA1347" s="48"/>
      <c r="AB1347" s="48">
        <v>0</v>
      </c>
      <c r="AC1347" s="48">
        <v>0</v>
      </c>
      <c r="AD1347" s="48">
        <v>0</v>
      </c>
      <c r="AE1347" s="48">
        <v>0</v>
      </c>
      <c r="AF1347" s="48"/>
      <c r="AG1347" s="49">
        <v>2.34</v>
      </c>
      <c r="AH1347" s="98">
        <v>3.2499999999999999E-21</v>
      </c>
      <c r="AI1347" s="98"/>
      <c r="AJ1347" s="483">
        <f t="shared" si="349"/>
        <v>-18.876682965333778</v>
      </c>
      <c r="AK1347" s="483"/>
      <c r="AL1347" s="483">
        <f t="shared" si="350"/>
        <v>-18.876682965333778</v>
      </c>
      <c r="AM1347" s="483"/>
      <c r="AN1347" s="226">
        <v>-7.8</v>
      </c>
      <c r="AO1347" s="484"/>
      <c r="AP1347" s="484"/>
      <c r="AQ1347" s="48" t="s">
        <v>6311</v>
      </c>
      <c r="AR1347" s="48" t="s">
        <v>6311</v>
      </c>
      <c r="AS1347" s="227"/>
      <c r="AT1347" s="50" t="s">
        <v>266</v>
      </c>
      <c r="AU1347" s="48">
        <v>6</v>
      </c>
      <c r="AV1347" s="48">
        <v>120</v>
      </c>
      <c r="AW1347" s="48">
        <v>114</v>
      </c>
      <c r="AX1347" s="48">
        <v>28</v>
      </c>
      <c r="AY1347" s="48" t="s">
        <v>8728</v>
      </c>
      <c r="AZ1347" s="48" t="s">
        <v>1563</v>
      </c>
      <c r="BA1347" s="48">
        <v>32</v>
      </c>
      <c r="BB1347" s="47" t="s">
        <v>2485</v>
      </c>
      <c r="BC1347" s="47" t="s">
        <v>8726</v>
      </c>
      <c r="BD1347" s="47" t="s">
        <v>8374</v>
      </c>
      <c r="BE1347" s="48" t="s">
        <v>2449</v>
      </c>
      <c r="BF1347" s="48" t="s">
        <v>272</v>
      </c>
      <c r="BG1347" s="48" t="s">
        <v>272</v>
      </c>
      <c r="BH1347" s="48" t="s">
        <v>2486</v>
      </c>
      <c r="BI1347" s="98">
        <v>6.3999999999999997E-6</v>
      </c>
      <c r="BJ1347" s="98">
        <v>6.4000000000000001E-2</v>
      </c>
      <c r="BK1347" s="48"/>
      <c r="BL1347" s="98">
        <f t="shared" si="351"/>
        <v>1.1202501223054133</v>
      </c>
      <c r="BM1347" s="47" t="s">
        <v>2487</v>
      </c>
      <c r="BN1347" s="48"/>
      <c r="BO1347" s="48"/>
      <c r="BP1347" s="48"/>
      <c r="BQ1347" s="48"/>
      <c r="BR1347" s="47" t="s">
        <v>2496</v>
      </c>
      <c r="BS1347" s="48"/>
      <c r="BT1347" s="48"/>
      <c r="BU1347" s="228">
        <v>5.7599999999999998E-2</v>
      </c>
      <c r="BV1347" s="48"/>
      <c r="BW1347" s="48"/>
      <c r="BX1347" s="48"/>
      <c r="BY1347" s="48"/>
      <c r="BZ1347" s="48"/>
      <c r="CA1347" s="48"/>
      <c r="CB1347" s="48"/>
      <c r="CC1347" s="48"/>
      <c r="CD1347" s="48"/>
      <c r="CE1347" s="48"/>
      <c r="CF1347" s="48"/>
      <c r="CG1347" s="48"/>
      <c r="CH1347" s="48"/>
      <c r="CI1347" s="98"/>
      <c r="CJ1347" s="98"/>
      <c r="CK1347" s="49">
        <f t="shared" si="338"/>
        <v>17.503908161022082</v>
      </c>
      <c r="CL1347" s="229"/>
      <c r="CM1347" s="229"/>
      <c r="CN1347" s="229"/>
      <c r="CO1347" s="47" t="s">
        <v>2488</v>
      </c>
      <c r="CP1347" s="47" t="s">
        <v>2489</v>
      </c>
      <c r="CQ1347" s="224" t="s">
        <v>272</v>
      </c>
      <c r="CR1347" s="224"/>
      <c r="CS1347" s="230" t="s">
        <v>539</v>
      </c>
      <c r="CT1347" s="230"/>
      <c r="CU1347" s="230"/>
      <c r="CV1347" s="335">
        <f t="shared" si="352"/>
        <v>0.89204832729417716</v>
      </c>
      <c r="CW1347" s="230">
        <f t="shared" si="354"/>
        <v>0</v>
      </c>
      <c r="CX1347" s="336"/>
      <c r="CY1347" s="230" t="s">
        <v>5921</v>
      </c>
    </row>
    <row r="1348" spans="1:103" ht="11.25" customHeight="1" x14ac:dyDescent="0.2">
      <c r="A1348" s="72">
        <v>1346</v>
      </c>
      <c r="B1348" s="224">
        <v>1898</v>
      </c>
      <c r="C1348" s="46" t="s">
        <v>1495</v>
      </c>
      <c r="D1348" s="46"/>
      <c r="E1348" s="114"/>
      <c r="F1348" s="114" t="s">
        <v>1496</v>
      </c>
      <c r="G1348" s="225">
        <v>28249776</v>
      </c>
      <c r="H1348" s="47" t="s">
        <v>1497</v>
      </c>
      <c r="I1348" s="47" t="s">
        <v>8114</v>
      </c>
      <c r="J1348" s="47" t="s">
        <v>1498</v>
      </c>
      <c r="K1348" s="47" t="s">
        <v>1499</v>
      </c>
      <c r="L1348" s="47" t="s">
        <v>5248</v>
      </c>
      <c r="M1348" s="47" t="s">
        <v>6082</v>
      </c>
      <c r="N1348" s="47" t="s">
        <v>6082</v>
      </c>
      <c r="O1348" s="47" t="s">
        <v>6083</v>
      </c>
      <c r="P1348" s="53"/>
      <c r="Q1348" s="53"/>
      <c r="R1348" s="53"/>
      <c r="S1348" s="53"/>
      <c r="T1348" s="48">
        <v>257.77999999999997</v>
      </c>
      <c r="U1348" s="98">
        <v>0.10861975327798899</v>
      </c>
      <c r="V1348" s="98">
        <v>0.10369307161145164</v>
      </c>
      <c r="W1348" s="98">
        <v>9.1201083935590926E-2</v>
      </c>
      <c r="X1348" s="98">
        <v>0.10861975327798899</v>
      </c>
      <c r="Y1348" s="233">
        <v>7</v>
      </c>
      <c r="Z1348" s="48">
        <v>3.9</v>
      </c>
      <c r="AA1348" s="48">
        <v>3.4</v>
      </c>
      <c r="AB1348" s="48">
        <v>3.23</v>
      </c>
      <c r="AC1348" s="48">
        <v>0.86609999999999998</v>
      </c>
      <c r="AD1348" s="48">
        <v>3.3</v>
      </c>
      <c r="AE1348" s="48">
        <v>3.53</v>
      </c>
      <c r="AF1348" s="48">
        <f t="shared" ref="AF1348:AF1372" si="355">IF(AA1348=0,AD1348,AA1348)</f>
        <v>3.4</v>
      </c>
      <c r="AG1348" s="49">
        <v>3.65</v>
      </c>
      <c r="AH1348" s="98">
        <v>3.9299999999999999E-7</v>
      </c>
      <c r="AI1348" s="98">
        <v>2.67E-7</v>
      </c>
      <c r="AJ1348" s="483">
        <f t="shared" si="349"/>
        <v>-4.7941737759372254</v>
      </c>
      <c r="AK1348" s="483">
        <f>LOG10(AI1348*1000/(0.08206*298.15))</f>
        <v>-4.9620550649480766</v>
      </c>
      <c r="AL1348" s="483">
        <f t="shared" si="350"/>
        <v>-4.9620550649480766</v>
      </c>
      <c r="AM1348" s="483">
        <v>-10.805289999999999</v>
      </c>
      <c r="AN1348" s="226">
        <v>-5.23</v>
      </c>
      <c r="AO1348" s="484"/>
      <c r="AP1348" s="484">
        <v>-1.26</v>
      </c>
      <c r="AQ1348" s="226" t="s">
        <v>6311</v>
      </c>
      <c r="AR1348" s="226" t="s">
        <v>6311</v>
      </c>
      <c r="AS1348" s="224"/>
      <c r="AT1348" s="50" t="s">
        <v>266</v>
      </c>
      <c r="AU1348" s="48">
        <v>6</v>
      </c>
      <c r="AV1348" s="48">
        <v>120</v>
      </c>
      <c r="AW1348" s="48">
        <v>114</v>
      </c>
      <c r="AX1348" s="48">
        <v>28</v>
      </c>
      <c r="AY1348" s="48" t="s">
        <v>8728</v>
      </c>
      <c r="AZ1348" s="48" t="s">
        <v>1563</v>
      </c>
      <c r="BA1348" s="48">
        <v>32</v>
      </c>
      <c r="BB1348" s="47" t="s">
        <v>2485</v>
      </c>
      <c r="BC1348" s="47" t="s">
        <v>8726</v>
      </c>
      <c r="BD1348" s="47" t="s">
        <v>8374</v>
      </c>
      <c r="BE1348" s="48" t="s">
        <v>2449</v>
      </c>
      <c r="BF1348" s="48" t="s">
        <v>272</v>
      </c>
      <c r="BG1348" s="48" t="s">
        <v>272</v>
      </c>
      <c r="BH1348" s="48" t="s">
        <v>2486</v>
      </c>
      <c r="BI1348" s="98">
        <v>6.3999999999999997E-6</v>
      </c>
      <c r="BJ1348" s="98">
        <v>6.4000000000000001E-2</v>
      </c>
      <c r="BK1348" s="48"/>
      <c r="BL1348" s="98">
        <f t="shared" si="351"/>
        <v>1.6151393571555046E-2</v>
      </c>
      <c r="BM1348" s="47" t="s">
        <v>2487</v>
      </c>
      <c r="BN1348" s="48"/>
      <c r="BO1348" s="48"/>
      <c r="BP1348" s="48"/>
      <c r="BQ1348" s="48"/>
      <c r="BR1348" s="47" t="s">
        <v>2496</v>
      </c>
      <c r="BS1348" s="48"/>
      <c r="BT1348" s="48"/>
      <c r="BU1348" s="228"/>
      <c r="BV1348" s="48"/>
      <c r="BW1348" s="48"/>
      <c r="BX1348" s="48"/>
      <c r="BY1348" s="48"/>
      <c r="BZ1348" s="48"/>
      <c r="CA1348" s="48"/>
      <c r="CB1348" s="48"/>
      <c r="CC1348" s="48"/>
      <c r="CD1348" s="48"/>
      <c r="CE1348" s="48"/>
      <c r="CF1348" s="48"/>
      <c r="CG1348" s="48"/>
      <c r="CH1348" s="48"/>
      <c r="CI1348" s="98"/>
      <c r="CJ1348" s="98"/>
      <c r="CK1348" s="49">
        <f t="shared" si="338"/>
        <v>0.25236552455554762</v>
      </c>
      <c r="CL1348" s="229"/>
      <c r="CM1348" s="229">
        <v>-2.3642918721899253</v>
      </c>
      <c r="CN1348" s="229">
        <f>BJ1348/(10^CM1348)</f>
        <v>14.807162623841327</v>
      </c>
      <c r="CO1348" s="47" t="s">
        <v>2488</v>
      </c>
      <c r="CP1348" s="47" t="s">
        <v>2489</v>
      </c>
      <c r="CQ1348" s="224">
        <v>-2.3192510579013801</v>
      </c>
      <c r="CR1348" s="224">
        <f>10^(CJ1348-CQ1348)</f>
        <v>208.5696238497346</v>
      </c>
      <c r="CS1348" s="230" t="s">
        <v>539</v>
      </c>
      <c r="CT1348" s="230"/>
      <c r="CU1348" s="230"/>
      <c r="CV1348" s="335">
        <f t="shared" si="352"/>
        <v>1.697183644968578</v>
      </c>
      <c r="CW1348" s="230">
        <f t="shared" si="354"/>
        <v>1</v>
      </c>
      <c r="CX1348" s="336"/>
      <c r="CY1348" s="230" t="s">
        <v>5921</v>
      </c>
    </row>
    <row r="1349" spans="1:103" ht="11.25" customHeight="1" x14ac:dyDescent="0.2">
      <c r="A1349" s="72">
        <v>1347</v>
      </c>
      <c r="B1349" s="224">
        <v>1854</v>
      </c>
      <c r="C1349" s="46" t="s">
        <v>1449</v>
      </c>
      <c r="D1349" s="46"/>
      <c r="E1349" s="114"/>
      <c r="F1349" s="114" t="s">
        <v>1450</v>
      </c>
      <c r="G1349" s="225">
        <v>28434006</v>
      </c>
      <c r="H1349" s="47" t="s">
        <v>1451</v>
      </c>
      <c r="I1349" s="47" t="s">
        <v>1451</v>
      </c>
      <c r="J1349" s="47" t="s">
        <v>1452</v>
      </c>
      <c r="K1349" s="47" t="s">
        <v>1085</v>
      </c>
      <c r="L1349" s="47" t="s">
        <v>617</v>
      </c>
      <c r="M1349" s="47" t="s">
        <v>1086</v>
      </c>
      <c r="N1349" s="47" t="s">
        <v>6376</v>
      </c>
      <c r="O1349" s="47" t="s">
        <v>918</v>
      </c>
      <c r="P1349" s="53"/>
      <c r="Q1349" s="53"/>
      <c r="R1349" s="53"/>
      <c r="S1349" s="53"/>
      <c r="T1349" s="48">
        <v>302.41000000000003</v>
      </c>
      <c r="U1349" s="98">
        <v>1.5211137197843984E-2</v>
      </c>
      <c r="V1349" s="98">
        <v>3.2531992989649813E-3</v>
      </c>
      <c r="W1349" s="98">
        <v>5.0118723362727241E-2</v>
      </c>
      <c r="X1349" s="98">
        <v>1.5211137197843984E-2</v>
      </c>
      <c r="Y1349" s="233">
        <v>7</v>
      </c>
      <c r="Z1349" s="48">
        <v>5.52</v>
      </c>
      <c r="AA1349" s="48">
        <v>4.78</v>
      </c>
      <c r="AB1349" s="48">
        <v>5.0999999999999996</v>
      </c>
      <c r="AC1349" s="48">
        <v>0.78859999999999997</v>
      </c>
      <c r="AD1349" s="48">
        <v>5.05</v>
      </c>
      <c r="AE1349" s="48">
        <v>4.92</v>
      </c>
      <c r="AF1349" s="48">
        <f t="shared" si="355"/>
        <v>4.78</v>
      </c>
      <c r="AG1349" s="49">
        <v>3.54</v>
      </c>
      <c r="AH1349" s="98">
        <v>6.1200000000000003E-7</v>
      </c>
      <c r="AI1349" s="98">
        <v>1.04E-7</v>
      </c>
      <c r="AJ1349" s="483">
        <f t="shared" si="349"/>
        <v>-4.6018149041670906</v>
      </c>
      <c r="AK1349" s="483">
        <f>LOG10(AI1349*1000/(0.08206*298.15))</f>
        <v>-5.3715329870138717</v>
      </c>
      <c r="AL1349" s="483">
        <f t="shared" si="350"/>
        <v>-5.3715329870138717</v>
      </c>
      <c r="AM1349" s="483">
        <v>-10.080069999999999</v>
      </c>
      <c r="AN1349" s="226">
        <v>-6.91</v>
      </c>
      <c r="AO1349" s="484"/>
      <c r="AP1349" s="484"/>
      <c r="AQ1349" s="226" t="s">
        <v>6311</v>
      </c>
      <c r="AR1349" s="226" t="s">
        <v>6312</v>
      </c>
      <c r="AS1349" s="224"/>
      <c r="AT1349" s="50" t="s">
        <v>266</v>
      </c>
      <c r="AU1349" s="48">
        <v>6</v>
      </c>
      <c r="AV1349" s="48">
        <v>120</v>
      </c>
      <c r="AW1349" s="48">
        <v>114</v>
      </c>
      <c r="AX1349" s="48">
        <v>28</v>
      </c>
      <c r="AY1349" s="48" t="s">
        <v>8728</v>
      </c>
      <c r="AZ1349" s="48" t="s">
        <v>1563</v>
      </c>
      <c r="BA1349" s="48">
        <v>32</v>
      </c>
      <c r="BB1349" s="47" t="s">
        <v>2485</v>
      </c>
      <c r="BC1349" s="47" t="s">
        <v>8726</v>
      </c>
      <c r="BD1349" s="47" t="s">
        <v>8374</v>
      </c>
      <c r="BE1349" s="48" t="s">
        <v>2449</v>
      </c>
      <c r="BF1349" s="48" t="s">
        <v>272</v>
      </c>
      <c r="BG1349" s="48" t="s">
        <v>272</v>
      </c>
      <c r="BH1349" s="48" t="s">
        <v>2486</v>
      </c>
      <c r="BI1349" s="98">
        <v>6.3999999999999997E-6</v>
      </c>
      <c r="BJ1349" s="98">
        <v>6.4000000000000001E-2</v>
      </c>
      <c r="BK1349" s="48"/>
      <c r="BL1349" s="98">
        <f t="shared" si="351"/>
        <v>5.6661491204470463E-4</v>
      </c>
      <c r="BM1349" s="47" t="s">
        <v>2487</v>
      </c>
      <c r="BN1349" s="48"/>
      <c r="BO1349" s="48"/>
      <c r="BP1349" s="48"/>
      <c r="BQ1349" s="48"/>
      <c r="BR1349" s="47" t="s">
        <v>2496</v>
      </c>
      <c r="BS1349" s="48"/>
      <c r="BT1349" s="48"/>
      <c r="BU1349" s="228"/>
      <c r="BV1349" s="48"/>
      <c r="BW1349" s="48"/>
      <c r="BX1349" s="48"/>
      <c r="BY1349" s="48"/>
      <c r="BZ1349" s="48"/>
      <c r="CA1349" s="48"/>
      <c r="CB1349" s="48"/>
      <c r="CC1349" s="48"/>
      <c r="CD1349" s="48"/>
      <c r="CE1349" s="48"/>
      <c r="CF1349" s="48"/>
      <c r="CG1349" s="48"/>
      <c r="CH1349" s="48"/>
      <c r="CI1349" s="98"/>
      <c r="CJ1349" s="98"/>
      <c r="CK1349" s="49">
        <f t="shared" si="338"/>
        <v>8.8533580006985094E-3</v>
      </c>
      <c r="CL1349" s="229"/>
      <c r="CM1349" s="229">
        <v>-3.9632890425251839</v>
      </c>
      <c r="CN1349" s="229">
        <f>BJ1349/(10^CM1349)</f>
        <v>588.12415461974911</v>
      </c>
      <c r="CO1349" s="47" t="s">
        <v>2488</v>
      </c>
      <c r="CP1349" s="47" t="s">
        <v>2489</v>
      </c>
      <c r="CQ1349" s="224">
        <v>-3.8786102360566619</v>
      </c>
      <c r="CR1349" s="224">
        <f>10^(CJ1349-CQ1349)</f>
        <v>7561.5396895661752</v>
      </c>
      <c r="CS1349" s="230" t="s">
        <v>539</v>
      </c>
      <c r="CT1349" s="230"/>
      <c r="CU1349" s="230"/>
      <c r="CV1349" s="335">
        <f t="shared" si="352"/>
        <v>0.23767401871631225</v>
      </c>
      <c r="CW1349" s="230">
        <f t="shared" si="354"/>
        <v>0</v>
      </c>
      <c r="CX1349" s="336"/>
      <c r="CY1349" s="230" t="s">
        <v>5921</v>
      </c>
    </row>
    <row r="1350" spans="1:103" ht="11.25" customHeight="1" x14ac:dyDescent="0.2">
      <c r="A1350" s="72">
        <v>1348</v>
      </c>
      <c r="B1350" s="224">
        <v>435</v>
      </c>
      <c r="C1350" s="46" t="s">
        <v>7430</v>
      </c>
      <c r="D1350" s="46"/>
      <c r="E1350" s="114"/>
      <c r="F1350" s="114" t="s">
        <v>3984</v>
      </c>
      <c r="G1350" s="225">
        <v>29091212</v>
      </c>
      <c r="H1350" s="47" t="s">
        <v>3985</v>
      </c>
      <c r="I1350" s="47" t="s">
        <v>8115</v>
      </c>
      <c r="J1350" s="47" t="s">
        <v>3986</v>
      </c>
      <c r="K1350" s="47" t="s">
        <v>3987</v>
      </c>
      <c r="L1350" s="47" t="s">
        <v>6049</v>
      </c>
      <c r="M1350" s="47" t="s">
        <v>5960</v>
      </c>
      <c r="N1350" s="47"/>
      <c r="O1350" s="47"/>
      <c r="P1350" s="53"/>
      <c r="Q1350" s="53" t="s">
        <v>6176</v>
      </c>
      <c r="R1350" s="53" t="s">
        <v>6185</v>
      </c>
      <c r="S1350" s="53" t="s">
        <v>6176</v>
      </c>
      <c r="T1350" s="48">
        <v>350.29</v>
      </c>
      <c r="U1350" s="98">
        <v>3.7112107111250675E-5</v>
      </c>
      <c r="V1350" s="98">
        <v>5.5525421793371204E-3</v>
      </c>
      <c r="W1350" s="98">
        <v>4.1686938347033491E-4</v>
      </c>
      <c r="X1350" s="98">
        <v>3.7112107111250675E-5</v>
      </c>
      <c r="Y1350" s="233">
        <v>7</v>
      </c>
      <c r="Z1350" s="48">
        <v>4.9400000000000004</v>
      </c>
      <c r="AA1350" s="48">
        <v>4.0999999999999996</v>
      </c>
      <c r="AB1350" s="48">
        <v>4.4800000000000004</v>
      </c>
      <c r="AC1350" s="48">
        <v>0.72829999999999995</v>
      </c>
      <c r="AD1350" s="48">
        <v>5.21</v>
      </c>
      <c r="AE1350" s="48">
        <v>6.92</v>
      </c>
      <c r="AF1350" s="48">
        <f t="shared" si="355"/>
        <v>4.0999999999999996</v>
      </c>
      <c r="AG1350" s="49">
        <v>3</v>
      </c>
      <c r="AH1350" s="98">
        <v>1.64E-6</v>
      </c>
      <c r="AI1350" s="98">
        <v>8.7899999999999997E-7</v>
      </c>
      <c r="AJ1350" s="483">
        <f t="shared" si="349"/>
        <v>-4.1737224782649536</v>
      </c>
      <c r="AK1350" s="483">
        <f>LOG10(AI1350*1000/(0.08206*298.15))</f>
        <v>-4.4445774512388798</v>
      </c>
      <c r="AL1350" s="483">
        <f t="shared" si="350"/>
        <v>-4.4445774512388798</v>
      </c>
      <c r="AM1350" s="483">
        <v>-12.14371</v>
      </c>
      <c r="AN1350" s="226">
        <v>-3.1</v>
      </c>
      <c r="AO1350" s="484"/>
      <c r="AP1350" s="484">
        <v>-1.4</v>
      </c>
      <c r="AQ1350" s="226" t="s">
        <v>6311</v>
      </c>
      <c r="AR1350" s="226" t="s">
        <v>6311</v>
      </c>
      <c r="AS1350" s="224" t="s">
        <v>6</v>
      </c>
      <c r="AT1350" s="50" t="s">
        <v>266</v>
      </c>
      <c r="AU1350" s="48">
        <v>8</v>
      </c>
      <c r="AV1350" s="48">
        <v>144</v>
      </c>
      <c r="AW1350" s="48">
        <v>120</v>
      </c>
      <c r="AX1350" s="48">
        <v>26</v>
      </c>
      <c r="AY1350" s="48" t="s">
        <v>267</v>
      </c>
      <c r="AZ1350" s="48" t="s">
        <v>2253</v>
      </c>
      <c r="BA1350" s="48">
        <v>2</v>
      </c>
      <c r="BB1350" s="47" t="s">
        <v>2254</v>
      </c>
      <c r="BC1350" s="47" t="s">
        <v>270</v>
      </c>
      <c r="BD1350" s="47" t="s">
        <v>8374</v>
      </c>
      <c r="BE1350" s="48" t="s">
        <v>1712</v>
      </c>
      <c r="BF1350" s="48" t="s">
        <v>272</v>
      </c>
      <c r="BG1350" s="48" t="s">
        <v>272</v>
      </c>
      <c r="BH1350" s="48" t="s">
        <v>2255</v>
      </c>
      <c r="BI1350" s="98">
        <v>9.9999999999999995E-7</v>
      </c>
      <c r="BJ1350" s="98">
        <v>0.08</v>
      </c>
      <c r="BK1350" s="48"/>
      <c r="BL1350" s="98">
        <f t="shared" si="351"/>
        <v>1.8801218645452685E-3</v>
      </c>
      <c r="BM1350" s="48" t="s">
        <v>891</v>
      </c>
      <c r="BN1350" s="233"/>
      <c r="BO1350" s="233"/>
      <c r="BP1350" s="233"/>
      <c r="BQ1350" s="233"/>
      <c r="BR1350" s="233"/>
      <c r="BS1350" s="48"/>
      <c r="BT1350" s="233"/>
      <c r="BU1350" s="228"/>
      <c r="BV1350" s="233"/>
      <c r="BW1350" s="233"/>
      <c r="BX1350" s="233"/>
      <c r="BY1350" s="233"/>
      <c r="BZ1350" s="233"/>
      <c r="CA1350" s="233"/>
      <c r="CB1350" s="233"/>
      <c r="CC1350" s="48"/>
      <c r="CD1350" s="48"/>
      <c r="CE1350" s="48"/>
      <c r="CF1350" s="48"/>
      <c r="CG1350" s="233"/>
      <c r="CH1350" s="48"/>
      <c r="CI1350" s="98"/>
      <c r="CJ1350" s="98"/>
      <c r="CK1350" s="49">
        <f t="shared" ref="CK1350:CK1413" si="356">BL1350/BJ1350</f>
        <v>2.3501523306815857E-2</v>
      </c>
      <c r="CL1350" s="229"/>
      <c r="CM1350" s="229"/>
      <c r="CN1350" s="229"/>
      <c r="CO1350" s="47" t="s">
        <v>892</v>
      </c>
      <c r="CP1350" s="47" t="s">
        <v>893</v>
      </c>
      <c r="CQ1350" s="224">
        <v>-1.6470861436831812</v>
      </c>
      <c r="CR1350" s="224">
        <f>10^(CJ1350-CQ1350)</f>
        <v>44.369664383533298</v>
      </c>
      <c r="CS1350" s="230" t="s">
        <v>539</v>
      </c>
      <c r="CT1350" s="230"/>
      <c r="CU1350" s="230"/>
      <c r="CV1350" s="335">
        <f t="shared" si="352"/>
        <v>4.6390133889063345E-4</v>
      </c>
      <c r="CW1350" s="230">
        <f t="shared" si="354"/>
        <v>0</v>
      </c>
      <c r="CX1350" s="336" t="s">
        <v>539</v>
      </c>
      <c r="CY1350" s="230" t="s">
        <v>5921</v>
      </c>
    </row>
    <row r="1351" spans="1:103" ht="11.25" customHeight="1" x14ac:dyDescent="0.2">
      <c r="A1351" s="72">
        <v>1349</v>
      </c>
      <c r="B1351" s="224">
        <v>1829</v>
      </c>
      <c r="C1351" s="46" t="s">
        <v>7430</v>
      </c>
      <c r="D1351" s="46"/>
      <c r="E1351" s="114"/>
      <c r="F1351" s="114" t="s">
        <v>3984</v>
      </c>
      <c r="G1351" s="225">
        <v>29091212</v>
      </c>
      <c r="H1351" s="47" t="s">
        <v>3985</v>
      </c>
      <c r="I1351" s="47" t="s">
        <v>8115</v>
      </c>
      <c r="J1351" s="47" t="s">
        <v>3986</v>
      </c>
      <c r="K1351" s="47" t="s">
        <v>3987</v>
      </c>
      <c r="L1351" s="47" t="s">
        <v>6049</v>
      </c>
      <c r="M1351" s="47" t="s">
        <v>5960</v>
      </c>
      <c r="N1351" s="47"/>
      <c r="O1351" s="47"/>
      <c r="P1351" s="53"/>
      <c r="Q1351" s="53"/>
      <c r="R1351" s="53"/>
      <c r="S1351" s="53"/>
      <c r="T1351" s="48">
        <v>350.29</v>
      </c>
      <c r="U1351" s="98">
        <v>3.7112107111250675E-5</v>
      </c>
      <c r="V1351" s="98">
        <v>5.5525421793371204E-3</v>
      </c>
      <c r="W1351" s="98">
        <v>4.1686938347033491E-4</v>
      </c>
      <c r="X1351" s="98">
        <v>3.7112107111250675E-5</v>
      </c>
      <c r="Y1351" s="233">
        <v>7</v>
      </c>
      <c r="Z1351" s="48">
        <v>4.9400000000000004</v>
      </c>
      <c r="AA1351" s="48">
        <v>4.0999999999999996</v>
      </c>
      <c r="AB1351" s="48">
        <v>4.4800000000000004</v>
      </c>
      <c r="AC1351" s="48">
        <v>0.72829999999999995</v>
      </c>
      <c r="AD1351" s="48">
        <v>5.21</v>
      </c>
      <c r="AE1351" s="48">
        <v>6.92</v>
      </c>
      <c r="AF1351" s="48">
        <f t="shared" si="355"/>
        <v>4.0999999999999996</v>
      </c>
      <c r="AG1351" s="49">
        <v>3</v>
      </c>
      <c r="AH1351" s="98">
        <v>1.64E-6</v>
      </c>
      <c r="AI1351" s="98">
        <v>8.7899999999999997E-7</v>
      </c>
      <c r="AJ1351" s="483">
        <f t="shared" si="349"/>
        <v>-4.1737224782649536</v>
      </c>
      <c r="AK1351" s="483">
        <f>LOG10(AI1351*1000/(0.08206*298.15))</f>
        <v>-4.4445774512388798</v>
      </c>
      <c r="AL1351" s="483">
        <f t="shared" si="350"/>
        <v>-4.4445774512388798</v>
      </c>
      <c r="AM1351" s="483">
        <v>-12.14371</v>
      </c>
      <c r="AN1351" s="226">
        <v>-3.1</v>
      </c>
      <c r="AO1351" s="484"/>
      <c r="AP1351" s="484">
        <v>-1.4</v>
      </c>
      <c r="AQ1351" s="226" t="s">
        <v>6311</v>
      </c>
      <c r="AR1351" s="226" t="s">
        <v>6311</v>
      </c>
      <c r="AS1351" s="224"/>
      <c r="AT1351" s="50" t="s">
        <v>266</v>
      </c>
      <c r="AU1351" s="48">
        <v>6</v>
      </c>
      <c r="AV1351" s="48">
        <v>120</v>
      </c>
      <c r="AW1351" s="48">
        <v>114</v>
      </c>
      <c r="AX1351" s="48">
        <v>28</v>
      </c>
      <c r="AY1351" s="48" t="s">
        <v>8728</v>
      </c>
      <c r="AZ1351" s="48" t="s">
        <v>1563</v>
      </c>
      <c r="BA1351" s="48">
        <v>32</v>
      </c>
      <c r="BB1351" s="47" t="s">
        <v>2485</v>
      </c>
      <c r="BC1351" s="47" t="s">
        <v>8726</v>
      </c>
      <c r="BD1351" s="47" t="s">
        <v>8374</v>
      </c>
      <c r="BE1351" s="48" t="s">
        <v>2449</v>
      </c>
      <c r="BF1351" s="48" t="s">
        <v>272</v>
      </c>
      <c r="BG1351" s="48" t="s">
        <v>272</v>
      </c>
      <c r="BH1351" s="48" t="s">
        <v>2486</v>
      </c>
      <c r="BI1351" s="98">
        <v>6.3999999999999997E-6</v>
      </c>
      <c r="BJ1351" s="98">
        <v>6.4000000000000001E-2</v>
      </c>
      <c r="BK1351" s="48"/>
      <c r="BL1351" s="98">
        <f t="shared" si="351"/>
        <v>1.8801218645452685E-3</v>
      </c>
      <c r="BM1351" s="47" t="s">
        <v>2487</v>
      </c>
      <c r="BN1351" s="48"/>
      <c r="BO1351" s="48"/>
      <c r="BP1351" s="48"/>
      <c r="BQ1351" s="48"/>
      <c r="BR1351" s="47" t="s">
        <v>2496</v>
      </c>
      <c r="BS1351" s="48"/>
      <c r="BT1351" s="48"/>
      <c r="BU1351" s="228"/>
      <c r="BV1351" s="48"/>
      <c r="BW1351" s="48"/>
      <c r="BX1351" s="48"/>
      <c r="BY1351" s="48"/>
      <c r="BZ1351" s="48"/>
      <c r="CA1351" s="48"/>
      <c r="CB1351" s="48"/>
      <c r="CC1351" s="48"/>
      <c r="CD1351" s="48"/>
      <c r="CE1351" s="48"/>
      <c r="CF1351" s="48"/>
      <c r="CG1351" s="48"/>
      <c r="CH1351" s="48"/>
      <c r="CI1351" s="98"/>
      <c r="CJ1351" s="98"/>
      <c r="CK1351" s="49">
        <f t="shared" si="356"/>
        <v>2.9376904133519819E-2</v>
      </c>
      <c r="CL1351" s="229"/>
      <c r="CM1351" s="229"/>
      <c r="CN1351" s="229"/>
      <c r="CO1351" s="47" t="s">
        <v>2488</v>
      </c>
      <c r="CP1351" s="47" t="s">
        <v>2489</v>
      </c>
      <c r="CQ1351" s="224">
        <v>-1.6470861436831812</v>
      </c>
      <c r="CR1351" s="224">
        <f>10^(CJ1351-CQ1351)</f>
        <v>44.369664383533298</v>
      </c>
      <c r="CS1351" s="230" t="s">
        <v>539</v>
      </c>
      <c r="CT1351" s="230"/>
      <c r="CU1351" s="230"/>
      <c r="CV1351" s="335">
        <f t="shared" si="352"/>
        <v>5.7987667361329178E-4</v>
      </c>
      <c r="CW1351" s="230">
        <f t="shared" si="354"/>
        <v>0</v>
      </c>
      <c r="CX1351" s="336"/>
      <c r="CY1351" s="230" t="s">
        <v>5921</v>
      </c>
    </row>
    <row r="1352" spans="1:103" ht="11.25" customHeight="1" x14ac:dyDescent="0.2">
      <c r="A1352" s="72">
        <v>1350</v>
      </c>
      <c r="B1352" s="224">
        <v>1243</v>
      </c>
      <c r="C1352" s="46" t="s">
        <v>1379</v>
      </c>
      <c r="D1352" s="46"/>
      <c r="E1352" s="114"/>
      <c r="F1352" s="114" t="s">
        <v>1380</v>
      </c>
      <c r="G1352" s="225">
        <v>29232937</v>
      </c>
      <c r="H1352" s="47" t="s">
        <v>1381</v>
      </c>
      <c r="I1352" s="47" t="s">
        <v>1381</v>
      </c>
      <c r="J1352" s="47" t="s">
        <v>1382</v>
      </c>
      <c r="K1352" s="47" t="s">
        <v>628</v>
      </c>
      <c r="L1352" s="47" t="s">
        <v>617</v>
      </c>
      <c r="M1352" s="47" t="s">
        <v>946</v>
      </c>
      <c r="N1352" s="47" t="s">
        <v>6376</v>
      </c>
      <c r="O1352" s="47" t="s">
        <v>918</v>
      </c>
      <c r="P1352" s="53" t="s">
        <v>6178</v>
      </c>
      <c r="Q1352" s="53" t="s">
        <v>6176</v>
      </c>
      <c r="R1352" s="53" t="s">
        <v>6177</v>
      </c>
      <c r="S1352" s="53" t="s">
        <v>6173</v>
      </c>
      <c r="T1352" s="48">
        <v>305.33</v>
      </c>
      <c r="U1352" s="98">
        <v>2.8166246356401272E-2</v>
      </c>
      <c r="V1352" s="98">
        <v>9.6911538335571357E-3</v>
      </c>
      <c r="W1352" s="98">
        <v>2.5703957827688622E-2</v>
      </c>
      <c r="X1352" s="98">
        <v>2.8166246356401272E-2</v>
      </c>
      <c r="Y1352" s="233">
        <v>7.03</v>
      </c>
      <c r="Z1352" s="48">
        <v>4</v>
      </c>
      <c r="AA1352" s="48">
        <v>4.2</v>
      </c>
      <c r="AB1352" s="48">
        <v>3.91</v>
      </c>
      <c r="AC1352" s="48">
        <v>0.879</v>
      </c>
      <c r="AD1352" s="48">
        <v>3.93</v>
      </c>
      <c r="AE1352" s="48">
        <v>4</v>
      </c>
      <c r="AF1352" s="48">
        <f t="shared" si="355"/>
        <v>4.2</v>
      </c>
      <c r="AG1352" s="49">
        <v>3.79</v>
      </c>
      <c r="AH1352" s="98">
        <v>2.5299999999999999E-6</v>
      </c>
      <c r="AI1352" s="98">
        <v>7.0100000000000004E-7</v>
      </c>
      <c r="AJ1352" s="483">
        <f t="shared" si="349"/>
        <v>-3.985445805136834</v>
      </c>
      <c r="AK1352" s="483">
        <f>LOG10(AI1352*1000/(0.08206*298.15))</f>
        <v>-4.5428483083459934</v>
      </c>
      <c r="AL1352" s="483">
        <f t="shared" si="350"/>
        <v>-4.5428483083459934</v>
      </c>
      <c r="AM1352" s="483">
        <v>-12.836220000000001</v>
      </c>
      <c r="AN1352" s="226">
        <v>-4.0199999999999996</v>
      </c>
      <c r="AO1352" s="484"/>
      <c r="AP1352" s="484">
        <v>3.74</v>
      </c>
      <c r="AQ1352" s="48" t="s">
        <v>6312</v>
      </c>
      <c r="AR1352" s="48" t="s">
        <v>6312</v>
      </c>
      <c r="AS1352" s="227"/>
      <c r="AT1352" s="50" t="s">
        <v>266</v>
      </c>
      <c r="AU1352" s="48">
        <v>6</v>
      </c>
      <c r="AV1352" s="48">
        <v>120</v>
      </c>
      <c r="AW1352" s="48">
        <v>114</v>
      </c>
      <c r="AX1352" s="48">
        <v>28</v>
      </c>
      <c r="AY1352" s="48" t="s">
        <v>8728</v>
      </c>
      <c r="AZ1352" s="48" t="s">
        <v>1563</v>
      </c>
      <c r="BA1352" s="48">
        <v>32</v>
      </c>
      <c r="BB1352" s="47" t="s">
        <v>2485</v>
      </c>
      <c r="BC1352" s="47" t="s">
        <v>8726</v>
      </c>
      <c r="BD1352" s="47" t="s">
        <v>8374</v>
      </c>
      <c r="BE1352" s="48" t="s">
        <v>2449</v>
      </c>
      <c r="BF1352" s="48" t="s">
        <v>272</v>
      </c>
      <c r="BG1352" s="48" t="s">
        <v>272</v>
      </c>
      <c r="BH1352" s="48" t="s">
        <v>2486</v>
      </c>
      <c r="BI1352" s="98">
        <v>6.3999999999999997E-6</v>
      </c>
      <c r="BJ1352" s="98">
        <v>6.4000000000000001E-2</v>
      </c>
      <c r="BK1352" s="48"/>
      <c r="BL1352" s="98">
        <f t="shared" si="351"/>
        <v>1.3134090365327335E-2</v>
      </c>
      <c r="BM1352" s="47" t="s">
        <v>2487</v>
      </c>
      <c r="BN1352" s="48"/>
      <c r="BO1352" s="48"/>
      <c r="BP1352" s="48"/>
      <c r="BQ1352" s="48"/>
      <c r="BR1352" s="47" t="s">
        <v>2496</v>
      </c>
      <c r="BS1352" s="48"/>
      <c r="BT1352" s="48"/>
      <c r="BU1352" s="228">
        <v>6.4000000000000003E-3</v>
      </c>
      <c r="BV1352" s="48"/>
      <c r="BW1352" s="48"/>
      <c r="BX1352" s="48"/>
      <c r="BY1352" s="48"/>
      <c r="BZ1352" s="48"/>
      <c r="CA1352" s="48"/>
      <c r="CB1352" s="48"/>
      <c r="CC1352" s="48"/>
      <c r="CD1352" s="48"/>
      <c r="CE1352" s="48"/>
      <c r="CF1352" s="48"/>
      <c r="CG1352" s="48"/>
      <c r="CH1352" s="48"/>
      <c r="CI1352" s="98"/>
      <c r="CJ1352" s="98"/>
      <c r="CK1352" s="49">
        <f t="shared" si="356"/>
        <v>0.20522016195823961</v>
      </c>
      <c r="CL1352" s="229"/>
      <c r="CM1352" s="229">
        <v>-2.6493498005474119</v>
      </c>
      <c r="CN1352" s="229">
        <f>BJ1352/(10^CM1352)</f>
        <v>28.544982068851073</v>
      </c>
      <c r="CO1352" s="47" t="s">
        <v>2488</v>
      </c>
      <c r="CP1352" s="47" t="s">
        <v>2489</v>
      </c>
      <c r="CQ1352" s="224">
        <v>-2.3534831286815225</v>
      </c>
      <c r="CR1352" s="224">
        <f>10^(CJ1352-CQ1352)</f>
        <v>225.67483244333528</v>
      </c>
      <c r="CS1352" s="230" t="s">
        <v>539</v>
      </c>
      <c r="CT1352" s="230"/>
      <c r="CU1352" s="230"/>
      <c r="CV1352" s="335">
        <f t="shared" si="352"/>
        <v>0.44009759931876985</v>
      </c>
      <c r="CW1352" s="230">
        <f t="shared" si="354"/>
        <v>0</v>
      </c>
      <c r="CX1352" s="336"/>
      <c r="CY1352" s="230" t="s">
        <v>5921</v>
      </c>
    </row>
    <row r="1353" spans="1:103" ht="11.25" customHeight="1" x14ac:dyDescent="0.2">
      <c r="A1353" s="72">
        <v>1351</v>
      </c>
      <c r="B1353" s="224">
        <v>1711</v>
      </c>
      <c r="C1353" s="46" t="s">
        <v>7431</v>
      </c>
      <c r="D1353" s="46"/>
      <c r="E1353" s="114"/>
      <c r="F1353" s="114" t="s">
        <v>4974</v>
      </c>
      <c r="G1353" s="225">
        <v>29590429</v>
      </c>
      <c r="H1353" s="47" t="s">
        <v>4975</v>
      </c>
      <c r="I1353" s="47" t="s">
        <v>4975</v>
      </c>
      <c r="J1353" s="47" t="s">
        <v>4976</v>
      </c>
      <c r="K1353" s="47" t="s">
        <v>4977</v>
      </c>
      <c r="L1353" s="47"/>
      <c r="M1353" s="47"/>
      <c r="N1353" s="47"/>
      <c r="O1353" s="47"/>
      <c r="P1353" s="53" t="s">
        <v>6172</v>
      </c>
      <c r="Q1353" s="53" t="s">
        <v>6173</v>
      </c>
      <c r="R1353" s="53" t="s">
        <v>6175</v>
      </c>
      <c r="S1353" s="53" t="s">
        <v>6182</v>
      </c>
      <c r="T1353" s="48">
        <v>184.28</v>
      </c>
      <c r="U1353" s="98"/>
      <c r="V1353" s="98">
        <v>9.1165617538528324E-2</v>
      </c>
      <c r="W1353" s="98">
        <v>0.79432823472428093</v>
      </c>
      <c r="X1353" s="98">
        <f>IF(W1353=0,V1353,W1353)</f>
        <v>0.79432823472428093</v>
      </c>
      <c r="Y1353" s="233">
        <v>7</v>
      </c>
      <c r="Z1353" s="48">
        <v>4.09</v>
      </c>
      <c r="AA1353" s="48"/>
      <c r="AB1353" s="48">
        <v>4.07</v>
      </c>
      <c r="AC1353" s="48">
        <v>0.89680000000000004</v>
      </c>
      <c r="AD1353" s="48">
        <v>4.13</v>
      </c>
      <c r="AE1353" s="48">
        <v>4.33</v>
      </c>
      <c r="AF1353" s="48">
        <f t="shared" si="355"/>
        <v>4.13</v>
      </c>
      <c r="AG1353" s="49">
        <v>3.56</v>
      </c>
      <c r="AH1353" s="98">
        <v>6.7199999999999996E-4</v>
      </c>
      <c r="AI1353" s="98"/>
      <c r="AJ1353" s="483">
        <f t="shared" si="349"/>
        <v>-1.5611970532588266</v>
      </c>
      <c r="AK1353" s="483"/>
      <c r="AL1353" s="483">
        <f t="shared" si="350"/>
        <v>-1.5611970532588266</v>
      </c>
      <c r="AM1353" s="483">
        <v>-4.0838900000000002</v>
      </c>
      <c r="AN1353" s="226">
        <v>-1.32</v>
      </c>
      <c r="AO1353" s="484"/>
      <c r="AP1353" s="484"/>
      <c r="AQ1353" s="226" t="s">
        <v>6311</v>
      </c>
      <c r="AR1353" s="226" t="s">
        <v>6312</v>
      </c>
      <c r="AS1353" s="224"/>
      <c r="AT1353" s="50" t="s">
        <v>266</v>
      </c>
      <c r="AU1353" s="48">
        <v>6</v>
      </c>
      <c r="AV1353" s="48">
        <v>120</v>
      </c>
      <c r="AW1353" s="48">
        <v>114</v>
      </c>
      <c r="AX1353" s="48">
        <v>28</v>
      </c>
      <c r="AY1353" s="48" t="s">
        <v>8728</v>
      </c>
      <c r="AZ1353" s="48" t="s">
        <v>1563</v>
      </c>
      <c r="BA1353" s="48">
        <v>32</v>
      </c>
      <c r="BB1353" s="47" t="s">
        <v>2485</v>
      </c>
      <c r="BC1353" s="47" t="s">
        <v>8726</v>
      </c>
      <c r="BD1353" s="47" t="s">
        <v>8374</v>
      </c>
      <c r="BE1353" s="48" t="s">
        <v>2449</v>
      </c>
      <c r="BF1353" s="48" t="s">
        <v>272</v>
      </c>
      <c r="BG1353" s="48" t="s">
        <v>272</v>
      </c>
      <c r="BH1353" s="48" t="s">
        <v>2486</v>
      </c>
      <c r="BI1353" s="98">
        <v>6.3999999999999997E-6</v>
      </c>
      <c r="BJ1353" s="98">
        <v>6.4000000000000001E-2</v>
      </c>
      <c r="BK1353" s="48"/>
      <c r="BL1353" s="98">
        <f t="shared" si="351"/>
        <v>1.090362734176345E-2</v>
      </c>
      <c r="BM1353" s="47" t="s">
        <v>2487</v>
      </c>
      <c r="BN1353" s="48"/>
      <c r="BO1353" s="48"/>
      <c r="BP1353" s="48"/>
      <c r="BQ1353" s="48"/>
      <c r="BR1353" s="47" t="s">
        <v>2496</v>
      </c>
      <c r="BS1353" s="48"/>
      <c r="BT1353" s="48"/>
      <c r="BU1353" s="228"/>
      <c r="BV1353" s="48"/>
      <c r="BW1353" s="48"/>
      <c r="BX1353" s="48"/>
      <c r="BY1353" s="48"/>
      <c r="BZ1353" s="48"/>
      <c r="CA1353" s="48"/>
      <c r="CB1353" s="48"/>
      <c r="CC1353" s="48"/>
      <c r="CD1353" s="48"/>
      <c r="CE1353" s="48"/>
      <c r="CF1353" s="48"/>
      <c r="CG1353" s="48"/>
      <c r="CH1353" s="48"/>
      <c r="CI1353" s="98"/>
      <c r="CJ1353" s="98"/>
      <c r="CK1353" s="49">
        <f t="shared" si="356"/>
        <v>0.1703691772150539</v>
      </c>
      <c r="CL1353" s="229"/>
      <c r="CM1353" s="229"/>
      <c r="CN1353" s="229"/>
      <c r="CO1353" s="47" t="s">
        <v>2488</v>
      </c>
      <c r="CP1353" s="47" t="s">
        <v>2489</v>
      </c>
      <c r="CQ1353" s="224" t="s">
        <v>272</v>
      </c>
      <c r="CR1353" s="224"/>
      <c r="CS1353" s="230" t="s">
        <v>539</v>
      </c>
      <c r="CT1353" s="230"/>
      <c r="CU1353" s="230"/>
      <c r="CV1353" s="335">
        <f t="shared" si="352"/>
        <v>12.41137866756689</v>
      </c>
      <c r="CW1353" s="230">
        <f t="shared" si="354"/>
        <v>1</v>
      </c>
      <c r="CX1353" s="336"/>
      <c r="CY1353" s="230" t="s">
        <v>6351</v>
      </c>
    </row>
    <row r="1354" spans="1:103" ht="11.25" customHeight="1" x14ac:dyDescent="0.2">
      <c r="A1354" s="72">
        <v>1352</v>
      </c>
      <c r="B1354" s="224">
        <v>1438</v>
      </c>
      <c r="C1354" s="46" t="s">
        <v>7432</v>
      </c>
      <c r="D1354" s="46"/>
      <c r="E1354" s="114"/>
      <c r="F1354" s="114" t="s">
        <v>4422</v>
      </c>
      <c r="G1354" s="225">
        <v>30516871</v>
      </c>
      <c r="H1354" s="47" t="s">
        <v>4423</v>
      </c>
      <c r="I1354" s="47" t="s">
        <v>8116</v>
      </c>
      <c r="J1354" s="47" t="s">
        <v>4424</v>
      </c>
      <c r="K1354" s="47" t="s">
        <v>2039</v>
      </c>
      <c r="L1354" s="47" t="s">
        <v>279</v>
      </c>
      <c r="M1354" s="47" t="s">
        <v>4425</v>
      </c>
      <c r="N1354" s="47"/>
      <c r="O1354" s="47" t="s">
        <v>281</v>
      </c>
      <c r="P1354" s="53"/>
      <c r="Q1354" s="53"/>
      <c r="R1354" s="53"/>
      <c r="S1354" s="53"/>
      <c r="T1354" s="48">
        <v>267.24</v>
      </c>
      <c r="U1354" s="98">
        <v>75.2132914234396</v>
      </c>
      <c r="V1354" s="98">
        <v>1.1633737464451428</v>
      </c>
      <c r="W1354" s="98">
        <v>13.803842646028837</v>
      </c>
      <c r="X1354" s="98">
        <v>75.2132914234396</v>
      </c>
      <c r="Y1354" s="233">
        <v>5.7</v>
      </c>
      <c r="Z1354" s="48">
        <v>0.23</v>
      </c>
      <c r="AA1354" s="48">
        <v>0.05</v>
      </c>
      <c r="AB1354" s="48">
        <v>0</v>
      </c>
      <c r="AC1354" s="48">
        <v>0.94089999999999996</v>
      </c>
      <c r="AD1354" s="48">
        <v>-0.09</v>
      </c>
      <c r="AE1354" s="48">
        <v>-0.53</v>
      </c>
      <c r="AF1354" s="48">
        <f t="shared" si="355"/>
        <v>0.05</v>
      </c>
      <c r="AG1354" s="49">
        <v>-1.03</v>
      </c>
      <c r="AH1354" s="98">
        <v>7.9699999999999998E-19</v>
      </c>
      <c r="AI1354" s="98"/>
      <c r="AJ1354" s="483">
        <f t="shared" si="349"/>
        <v>-16.487108004916539</v>
      </c>
      <c r="AK1354" s="483"/>
      <c r="AL1354" s="483">
        <f t="shared" si="350"/>
        <v>-16.487108004916539</v>
      </c>
      <c r="AM1354" s="483">
        <v>-16.881249999999998</v>
      </c>
      <c r="AN1354" s="226">
        <v>-19.100000000000001</v>
      </c>
      <c r="AO1354" s="484">
        <v>9.5500000000000007</v>
      </c>
      <c r="AP1354" s="484"/>
      <c r="AQ1354" s="48" t="s">
        <v>6311</v>
      </c>
      <c r="AR1354" s="48" t="s">
        <v>6311</v>
      </c>
      <c r="AS1354" s="227"/>
      <c r="AT1354" s="50" t="s">
        <v>266</v>
      </c>
      <c r="AU1354" s="48">
        <v>6</v>
      </c>
      <c r="AV1354" s="48">
        <v>120</v>
      </c>
      <c r="AW1354" s="48">
        <v>114</v>
      </c>
      <c r="AX1354" s="48">
        <v>28</v>
      </c>
      <c r="AY1354" s="48" t="s">
        <v>8728</v>
      </c>
      <c r="AZ1354" s="48" t="s">
        <v>1563</v>
      </c>
      <c r="BA1354" s="48">
        <v>32</v>
      </c>
      <c r="BB1354" s="47" t="s">
        <v>2485</v>
      </c>
      <c r="BC1354" s="47" t="s">
        <v>8726</v>
      </c>
      <c r="BD1354" s="47" t="s">
        <v>8374</v>
      </c>
      <c r="BE1354" s="48" t="s">
        <v>2449</v>
      </c>
      <c r="BF1354" s="48" t="s">
        <v>272</v>
      </c>
      <c r="BG1354" s="48" t="s">
        <v>272</v>
      </c>
      <c r="BH1354" s="48" t="s">
        <v>2486</v>
      </c>
      <c r="BI1354" s="98">
        <v>6.3999999999999997E-6</v>
      </c>
      <c r="BJ1354" s="98">
        <v>6.4000000000000001E-2</v>
      </c>
      <c r="BK1354" s="48"/>
      <c r="BL1354" s="98">
        <f t="shared" si="351"/>
        <v>31.932799930457652</v>
      </c>
      <c r="BM1354" s="47" t="s">
        <v>2487</v>
      </c>
      <c r="BN1354" s="48"/>
      <c r="BO1354" s="48"/>
      <c r="BP1354" s="48"/>
      <c r="BQ1354" s="48"/>
      <c r="BR1354" s="47" t="s">
        <v>2496</v>
      </c>
      <c r="BS1354" s="48"/>
      <c r="BT1354" s="48"/>
      <c r="BU1354" s="228"/>
      <c r="BV1354" s="48"/>
      <c r="BW1354" s="48"/>
      <c r="BX1354" s="48"/>
      <c r="BY1354" s="48"/>
      <c r="BZ1354" s="48"/>
      <c r="CA1354" s="48"/>
      <c r="CB1354" s="48"/>
      <c r="CC1354" s="48"/>
      <c r="CD1354" s="48"/>
      <c r="CE1354" s="48"/>
      <c r="CF1354" s="48"/>
      <c r="CG1354" s="48"/>
      <c r="CH1354" s="48"/>
      <c r="CI1354" s="98"/>
      <c r="CJ1354" s="98"/>
      <c r="CK1354" s="49">
        <f t="shared" si="356"/>
        <v>498.9499989134008</v>
      </c>
      <c r="CL1354" s="229"/>
      <c r="CM1354" s="229"/>
      <c r="CN1354" s="229"/>
      <c r="CO1354" s="47" t="s">
        <v>2488</v>
      </c>
      <c r="CP1354" s="47" t="s">
        <v>2489</v>
      </c>
      <c r="CQ1354" s="224" t="s">
        <v>272</v>
      </c>
      <c r="CR1354" s="224"/>
      <c r="CS1354" s="230" t="s">
        <v>539</v>
      </c>
      <c r="CT1354" s="230"/>
      <c r="CU1354" s="230"/>
      <c r="CV1354" s="335">
        <f t="shared" si="352"/>
        <v>1175.2076784912438</v>
      </c>
      <c r="CW1354" s="230">
        <f t="shared" si="354"/>
        <v>1</v>
      </c>
      <c r="CX1354" s="336"/>
      <c r="CY1354" s="230" t="s">
        <v>5921</v>
      </c>
    </row>
    <row r="1355" spans="1:103" ht="11.25" customHeight="1" x14ac:dyDescent="0.2">
      <c r="A1355" s="72">
        <v>1353</v>
      </c>
      <c r="B1355" s="224">
        <v>1017</v>
      </c>
      <c r="C1355" s="46" t="s">
        <v>7433</v>
      </c>
      <c r="D1355" s="46"/>
      <c r="E1355" s="114"/>
      <c r="F1355" s="114" t="s">
        <v>2908</v>
      </c>
      <c r="G1355" s="225">
        <v>30560191</v>
      </c>
      <c r="H1355" s="47" t="s">
        <v>2909</v>
      </c>
      <c r="I1355" s="47" t="s">
        <v>8117</v>
      </c>
      <c r="J1355" s="47" t="s">
        <v>2910</v>
      </c>
      <c r="K1355" s="47" t="s">
        <v>2911</v>
      </c>
      <c r="L1355" s="47" t="s">
        <v>617</v>
      </c>
      <c r="M1355" s="47" t="s">
        <v>946</v>
      </c>
      <c r="N1355" s="47" t="s">
        <v>6376</v>
      </c>
      <c r="O1355" s="47" t="s">
        <v>918</v>
      </c>
      <c r="P1355" s="53"/>
      <c r="Q1355" s="53"/>
      <c r="R1355" s="53"/>
      <c r="S1355" s="53"/>
      <c r="T1355" s="48">
        <v>183.17</v>
      </c>
      <c r="U1355" s="98">
        <v>4465.7968007861555</v>
      </c>
      <c r="V1355" s="98">
        <v>1543.3750068242616</v>
      </c>
      <c r="W1355" s="98">
        <v>4168.6938347033547</v>
      </c>
      <c r="X1355" s="98">
        <v>4465.7968007861555</v>
      </c>
      <c r="Y1355" s="233">
        <v>5.21</v>
      </c>
      <c r="Z1355" s="48">
        <v>-0.9</v>
      </c>
      <c r="AA1355" s="48">
        <v>-0.85</v>
      </c>
      <c r="AB1355" s="48">
        <v>-0.36</v>
      </c>
      <c r="AC1355" s="48">
        <v>0.76990000000000003</v>
      </c>
      <c r="AD1355" s="48">
        <v>-0.53</v>
      </c>
      <c r="AE1355" s="48">
        <v>-0.85</v>
      </c>
      <c r="AF1355" s="48">
        <f t="shared" si="355"/>
        <v>-0.85</v>
      </c>
      <c r="AG1355" s="49">
        <v>2.1</v>
      </c>
      <c r="AH1355" s="98">
        <v>2.8099999999999999E-12</v>
      </c>
      <c r="AI1355" s="98">
        <v>5.0099999999999999E-13</v>
      </c>
      <c r="AJ1355" s="483">
        <f t="shared" si="349"/>
        <v>-9.9398600064075726</v>
      </c>
      <c r="AK1355" s="483">
        <f>LOG10(AI1355*1000/(0.08206*298.15))</f>
        <v>-10.688728600445407</v>
      </c>
      <c r="AL1355" s="483">
        <f t="shared" si="350"/>
        <v>-10.688728600445407</v>
      </c>
      <c r="AM1355" s="483">
        <v>-12.834210000000001</v>
      </c>
      <c r="AN1355" s="226">
        <v>1.53</v>
      </c>
      <c r="AO1355" s="484">
        <v>11</v>
      </c>
      <c r="AP1355" s="484">
        <v>-1.6</v>
      </c>
      <c r="AQ1355" s="48" t="s">
        <v>6311</v>
      </c>
      <c r="AR1355" s="48" t="s">
        <v>6311</v>
      </c>
      <c r="AS1355" s="227"/>
      <c r="AT1355" s="50" t="s">
        <v>266</v>
      </c>
      <c r="AU1355" s="48">
        <v>6</v>
      </c>
      <c r="AV1355" s="48">
        <v>120</v>
      </c>
      <c r="AW1355" s="48">
        <v>114</v>
      </c>
      <c r="AX1355" s="48">
        <v>28</v>
      </c>
      <c r="AY1355" s="48" t="s">
        <v>8728</v>
      </c>
      <c r="AZ1355" s="48" t="s">
        <v>1563</v>
      </c>
      <c r="BA1355" s="48">
        <v>32</v>
      </c>
      <c r="BB1355" s="47" t="s">
        <v>2485</v>
      </c>
      <c r="BC1355" s="47" t="s">
        <v>8726</v>
      </c>
      <c r="BD1355" s="47" t="s">
        <v>8374</v>
      </c>
      <c r="BE1355" s="48" t="s">
        <v>2449</v>
      </c>
      <c r="BF1355" s="48" t="s">
        <v>272</v>
      </c>
      <c r="BG1355" s="48" t="s">
        <v>272</v>
      </c>
      <c r="BH1355" s="48" t="s">
        <v>2486</v>
      </c>
      <c r="BI1355" s="98">
        <v>6.3999999999999997E-6</v>
      </c>
      <c r="BJ1355" s="98">
        <v>6.4000000000000001E-2</v>
      </c>
      <c r="BK1355" s="48"/>
      <c r="BL1355" s="98">
        <f t="shared" si="351"/>
        <v>330.43801148946039</v>
      </c>
      <c r="BM1355" s="47" t="s">
        <v>2487</v>
      </c>
      <c r="BN1355" s="48"/>
      <c r="BO1355" s="48"/>
      <c r="BP1355" s="48"/>
      <c r="BQ1355" s="48"/>
      <c r="BR1355" s="47" t="s">
        <v>2496</v>
      </c>
      <c r="BS1355" s="48"/>
      <c r="BT1355" s="48"/>
      <c r="BU1355" s="228">
        <v>6.3999999999999997E-6</v>
      </c>
      <c r="BV1355" s="48"/>
      <c r="BW1355" s="48"/>
      <c r="BX1355" s="48"/>
      <c r="BY1355" s="48"/>
      <c r="BZ1355" s="48"/>
      <c r="CA1355" s="48"/>
      <c r="CB1355" s="48"/>
      <c r="CC1355" s="48"/>
      <c r="CD1355" s="48"/>
      <c r="CE1355" s="48"/>
      <c r="CF1355" s="48"/>
      <c r="CG1355" s="48"/>
      <c r="CH1355" s="48"/>
      <c r="CI1355" s="98"/>
      <c r="CJ1355" s="98"/>
      <c r="CK1355" s="49">
        <f t="shared" si="356"/>
        <v>5163.0939295228181</v>
      </c>
      <c r="CL1355" s="229"/>
      <c r="CM1355" s="229"/>
      <c r="CN1355" s="229"/>
      <c r="CO1355" s="47" t="s">
        <v>2488</v>
      </c>
      <c r="CP1355" s="47" t="s">
        <v>2489</v>
      </c>
      <c r="CQ1355" s="224">
        <v>0.71049400718816258</v>
      </c>
      <c r="CR1355" s="224">
        <f>10^(CJ1355-CQ1355)</f>
        <v>0.19476279249952735</v>
      </c>
      <c r="CS1355" s="230" t="s">
        <v>539</v>
      </c>
      <c r="CT1355" s="230"/>
      <c r="CU1355" s="230"/>
      <c r="CV1355" s="335">
        <f t="shared" si="352"/>
        <v>69778.075012283676</v>
      </c>
      <c r="CW1355" s="230">
        <f t="shared" si="354"/>
        <v>1</v>
      </c>
      <c r="CX1355" s="336"/>
      <c r="CY1355" s="230" t="s">
        <v>5921</v>
      </c>
    </row>
    <row r="1356" spans="1:103" ht="11.25" customHeight="1" x14ac:dyDescent="0.2">
      <c r="A1356" s="72">
        <v>1354</v>
      </c>
      <c r="B1356" s="224">
        <v>218</v>
      </c>
      <c r="C1356" s="46" t="s">
        <v>7433</v>
      </c>
      <c r="D1356" s="46"/>
      <c r="E1356" s="114"/>
      <c r="F1356" s="114" t="s">
        <v>2908</v>
      </c>
      <c r="G1356" s="225">
        <v>30560191</v>
      </c>
      <c r="H1356" s="47" t="s">
        <v>2909</v>
      </c>
      <c r="I1356" s="47" t="s">
        <v>8117</v>
      </c>
      <c r="J1356" s="47" t="s">
        <v>3716</v>
      </c>
      <c r="K1356" s="47" t="s">
        <v>2911</v>
      </c>
      <c r="L1356" s="47" t="s">
        <v>617</v>
      </c>
      <c r="M1356" s="47" t="s">
        <v>946</v>
      </c>
      <c r="N1356" s="47" t="s">
        <v>6376</v>
      </c>
      <c r="O1356" s="47" t="s">
        <v>918</v>
      </c>
      <c r="P1356" s="53"/>
      <c r="Q1356" s="53"/>
      <c r="R1356" s="53"/>
      <c r="S1356" s="53"/>
      <c r="T1356" s="48">
        <v>183.17</v>
      </c>
      <c r="U1356" s="98">
        <v>4465.7968007861555</v>
      </c>
      <c r="V1356" s="98">
        <v>1543.3750068242616</v>
      </c>
      <c r="W1356" s="98">
        <v>4168.6938347033547</v>
      </c>
      <c r="X1356" s="98">
        <v>4465.7968007861555</v>
      </c>
      <c r="Y1356" s="233">
        <v>5.21</v>
      </c>
      <c r="Z1356" s="48">
        <v>-0.9</v>
      </c>
      <c r="AA1356" s="48">
        <v>-0.85</v>
      </c>
      <c r="AB1356" s="48">
        <v>-0.36</v>
      </c>
      <c r="AC1356" s="48">
        <v>0.76990000000000003</v>
      </c>
      <c r="AD1356" s="48">
        <v>-0.53</v>
      </c>
      <c r="AE1356" s="48">
        <v>-0.85</v>
      </c>
      <c r="AF1356" s="48">
        <f t="shared" si="355"/>
        <v>-0.85</v>
      </c>
      <c r="AG1356" s="49">
        <v>-0.09</v>
      </c>
      <c r="AH1356" s="98">
        <v>2.8099999999999999E-12</v>
      </c>
      <c r="AI1356" s="98">
        <v>5.0099999999999999E-13</v>
      </c>
      <c r="AJ1356" s="483">
        <f t="shared" si="349"/>
        <v>-9.9398600064075726</v>
      </c>
      <c r="AK1356" s="483">
        <f>LOG10(AI1356*1000/(0.08206*298.15))</f>
        <v>-10.688728600445407</v>
      </c>
      <c r="AL1356" s="483">
        <f t="shared" si="350"/>
        <v>-10.688728600445407</v>
      </c>
      <c r="AM1356" s="483">
        <v>-12.834210000000001</v>
      </c>
      <c r="AN1356" s="226">
        <v>-10.6</v>
      </c>
      <c r="AO1356" s="484">
        <v>11</v>
      </c>
      <c r="AP1356" s="484">
        <v>-1.6</v>
      </c>
      <c r="AQ1356" s="226" t="s">
        <v>6311</v>
      </c>
      <c r="AR1356" s="226" t="s">
        <v>6311</v>
      </c>
      <c r="AS1356" s="224" t="s">
        <v>6</v>
      </c>
      <c r="AT1356" s="50" t="s">
        <v>266</v>
      </c>
      <c r="AU1356" s="48">
        <v>8</v>
      </c>
      <c r="AV1356" s="48">
        <v>144</v>
      </c>
      <c r="AW1356" s="48">
        <v>120</v>
      </c>
      <c r="AX1356" s="48">
        <v>26</v>
      </c>
      <c r="AY1356" s="48" t="s">
        <v>267</v>
      </c>
      <c r="AZ1356" s="48" t="s">
        <v>2253</v>
      </c>
      <c r="BA1356" s="48">
        <v>2</v>
      </c>
      <c r="BB1356" s="47" t="s">
        <v>2254</v>
      </c>
      <c r="BC1356" s="47" t="s">
        <v>270</v>
      </c>
      <c r="BD1356" s="47" t="s">
        <v>8374</v>
      </c>
      <c r="BE1356" s="48" t="s">
        <v>1712</v>
      </c>
      <c r="BF1356" s="48" t="s">
        <v>272</v>
      </c>
      <c r="BG1356" s="48" t="s">
        <v>272</v>
      </c>
      <c r="BH1356" s="48" t="s">
        <v>2255</v>
      </c>
      <c r="BI1356" s="98">
        <v>9.9999999999999995E-7</v>
      </c>
      <c r="BJ1356" s="98">
        <v>0.08</v>
      </c>
      <c r="BK1356" s="48"/>
      <c r="BL1356" s="98">
        <f t="shared" si="351"/>
        <v>330.43801148946039</v>
      </c>
      <c r="BM1356" s="48" t="s">
        <v>891</v>
      </c>
      <c r="BN1356" s="233"/>
      <c r="BO1356" s="233"/>
      <c r="BP1356" s="233"/>
      <c r="BQ1356" s="233"/>
      <c r="BR1356" s="233"/>
      <c r="BS1356" s="48"/>
      <c r="BT1356" s="233"/>
      <c r="BU1356" s="228"/>
      <c r="BV1356" s="233"/>
      <c r="BW1356" s="233"/>
      <c r="BX1356" s="233"/>
      <c r="BY1356" s="233"/>
      <c r="BZ1356" s="233"/>
      <c r="CA1356" s="233"/>
      <c r="CB1356" s="233"/>
      <c r="CC1356" s="48"/>
      <c r="CD1356" s="48"/>
      <c r="CE1356" s="48"/>
      <c r="CF1356" s="48"/>
      <c r="CG1356" s="233"/>
      <c r="CH1356" s="48"/>
      <c r="CI1356" s="98"/>
      <c r="CJ1356" s="98"/>
      <c r="CK1356" s="49">
        <f t="shared" si="356"/>
        <v>4130.4751436182551</v>
      </c>
      <c r="CL1356" s="229"/>
      <c r="CM1356" s="229"/>
      <c r="CN1356" s="229"/>
      <c r="CO1356" s="47" t="s">
        <v>892</v>
      </c>
      <c r="CP1356" s="47" t="s">
        <v>893</v>
      </c>
      <c r="CQ1356" s="224">
        <v>0.71049400718816258</v>
      </c>
      <c r="CR1356" s="224">
        <f>10^(CJ1356-CQ1356)</f>
        <v>0.19476279249952735</v>
      </c>
      <c r="CS1356" s="230" t="s">
        <v>539</v>
      </c>
      <c r="CT1356" s="230"/>
      <c r="CU1356" s="230"/>
      <c r="CV1356" s="335">
        <f t="shared" si="352"/>
        <v>55822.460009826944</v>
      </c>
      <c r="CW1356" s="230">
        <f t="shared" si="354"/>
        <v>1</v>
      </c>
      <c r="CX1356" s="336" t="s">
        <v>539</v>
      </c>
      <c r="CY1356" s="230" t="s">
        <v>5921</v>
      </c>
    </row>
    <row r="1357" spans="1:103" ht="11.25" customHeight="1" x14ac:dyDescent="0.2">
      <c r="A1357" s="72">
        <v>1355</v>
      </c>
      <c r="B1357" s="224">
        <v>448</v>
      </c>
      <c r="C1357" s="46" t="s">
        <v>7434</v>
      </c>
      <c r="D1357" s="46"/>
      <c r="E1357" s="114"/>
      <c r="F1357" s="114" t="s">
        <v>4000</v>
      </c>
      <c r="G1357" s="225">
        <v>31218834</v>
      </c>
      <c r="H1357" s="47" t="s">
        <v>4001</v>
      </c>
      <c r="I1357" s="47" t="s">
        <v>4001</v>
      </c>
      <c r="J1357" s="47" t="s">
        <v>4002</v>
      </c>
      <c r="K1357" s="47" t="s">
        <v>4003</v>
      </c>
      <c r="L1357" s="47" t="s">
        <v>617</v>
      </c>
      <c r="M1357" s="47" t="s">
        <v>946</v>
      </c>
      <c r="N1357" s="47" t="s">
        <v>6376</v>
      </c>
      <c r="O1357" s="47" t="s">
        <v>918</v>
      </c>
      <c r="P1357" s="53"/>
      <c r="Q1357" s="53"/>
      <c r="R1357" s="53"/>
      <c r="S1357" s="53"/>
      <c r="T1357" s="48">
        <v>281.31</v>
      </c>
      <c r="U1357" s="98">
        <v>0.39102769187017883</v>
      </c>
      <c r="V1357" s="98">
        <v>3.0603249084639721E-2</v>
      </c>
      <c r="W1357" s="98">
        <v>3.7153522909717225</v>
      </c>
      <c r="X1357" s="98">
        <v>0.39102769187017883</v>
      </c>
      <c r="Y1357" s="233">
        <v>7.01</v>
      </c>
      <c r="Z1357" s="48">
        <v>3.51</v>
      </c>
      <c r="AA1357" s="48">
        <v>3.82</v>
      </c>
      <c r="AB1357" s="48">
        <v>3.06</v>
      </c>
      <c r="AC1357" s="48">
        <v>0.75239999999999996</v>
      </c>
      <c r="AD1357" s="48">
        <v>2.63</v>
      </c>
      <c r="AE1357" s="48">
        <v>1.61</v>
      </c>
      <c r="AF1357" s="48">
        <f t="shared" si="355"/>
        <v>3.82</v>
      </c>
      <c r="AG1357" s="49">
        <v>2.64</v>
      </c>
      <c r="AH1357" s="98">
        <v>5.8700000000000003E-8</v>
      </c>
      <c r="AI1357" s="98">
        <v>4.8100000000000001E-8</v>
      </c>
      <c r="AJ1357" s="483">
        <f t="shared" si="349"/>
        <v>-5.6199282250650375</v>
      </c>
      <c r="AK1357" s="483">
        <f>LOG10(AI1357*1000/(0.08206*298.15))</f>
        <v>-5.7064212499388196</v>
      </c>
      <c r="AL1357" s="483">
        <f t="shared" si="350"/>
        <v>-5.7064212499388196</v>
      </c>
      <c r="AM1357" s="483">
        <v>-12.019570000000002</v>
      </c>
      <c r="AN1357" s="226">
        <v>-3.51</v>
      </c>
      <c r="AO1357" s="484"/>
      <c r="AP1357" s="484">
        <v>0.94</v>
      </c>
      <c r="AQ1357" s="226" t="s">
        <v>6311</v>
      </c>
      <c r="AR1357" s="226" t="s">
        <v>6312</v>
      </c>
      <c r="AS1357" s="224" t="s">
        <v>6</v>
      </c>
      <c r="AT1357" s="50" t="s">
        <v>266</v>
      </c>
      <c r="AU1357" s="48">
        <v>8</v>
      </c>
      <c r="AV1357" s="48">
        <v>144</v>
      </c>
      <c r="AW1357" s="48">
        <v>120</v>
      </c>
      <c r="AX1357" s="48">
        <v>26</v>
      </c>
      <c r="AY1357" s="48" t="s">
        <v>267</v>
      </c>
      <c r="AZ1357" s="48" t="s">
        <v>2253</v>
      </c>
      <c r="BA1357" s="48">
        <v>2</v>
      </c>
      <c r="BB1357" s="47" t="s">
        <v>2254</v>
      </c>
      <c r="BC1357" s="47" t="s">
        <v>270</v>
      </c>
      <c r="BD1357" s="47" t="s">
        <v>8374</v>
      </c>
      <c r="BE1357" s="48" t="s">
        <v>1712</v>
      </c>
      <c r="BF1357" s="48" t="s">
        <v>272</v>
      </c>
      <c r="BG1357" s="48" t="s">
        <v>272</v>
      </c>
      <c r="BH1357" s="48" t="s">
        <v>2255</v>
      </c>
      <c r="BI1357" s="98">
        <v>9.9999999999999995E-7</v>
      </c>
      <c r="BJ1357" s="98">
        <v>0.08</v>
      </c>
      <c r="BK1357" s="48"/>
      <c r="BL1357" s="98">
        <f t="shared" si="351"/>
        <v>3.6180036445079868E-2</v>
      </c>
      <c r="BM1357" s="48" t="s">
        <v>891</v>
      </c>
      <c r="BN1357" s="233"/>
      <c r="BO1357" s="233"/>
      <c r="BP1357" s="233"/>
      <c r="BQ1357" s="233"/>
      <c r="BR1357" s="233"/>
      <c r="BS1357" s="48"/>
      <c r="BT1357" s="233"/>
      <c r="BU1357" s="228"/>
      <c r="BV1357" s="233"/>
      <c r="BW1357" s="233"/>
      <c r="BX1357" s="233"/>
      <c r="BY1357" s="233"/>
      <c r="BZ1357" s="233"/>
      <c r="CA1357" s="233"/>
      <c r="CB1357" s="233"/>
      <c r="CC1357" s="48"/>
      <c r="CD1357" s="48"/>
      <c r="CE1357" s="48"/>
      <c r="CF1357" s="48"/>
      <c r="CG1357" s="233"/>
      <c r="CH1357" s="48"/>
      <c r="CI1357" s="98"/>
      <c r="CJ1357" s="98"/>
      <c r="CK1357" s="49">
        <f t="shared" si="356"/>
        <v>0.45225045556349835</v>
      </c>
      <c r="CL1357" s="229"/>
      <c r="CM1357" s="229"/>
      <c r="CN1357" s="229"/>
      <c r="CO1357" s="47" t="s">
        <v>892</v>
      </c>
      <c r="CP1357" s="47" t="s">
        <v>893</v>
      </c>
      <c r="CQ1357" s="224">
        <v>-2.617279285524273</v>
      </c>
      <c r="CR1357" s="224">
        <f>10^(CJ1357-CQ1357)</f>
        <v>414.26599480933072</v>
      </c>
      <c r="CS1357" s="230" t="s">
        <v>539</v>
      </c>
      <c r="CT1357" s="230"/>
      <c r="CU1357" s="230"/>
      <c r="CV1357" s="335">
        <f t="shared" si="352"/>
        <v>4.8878461483772355</v>
      </c>
      <c r="CW1357" s="230">
        <f t="shared" si="354"/>
        <v>1</v>
      </c>
      <c r="CX1357" s="336" t="s">
        <v>539</v>
      </c>
      <c r="CY1357" s="230" t="s">
        <v>5921</v>
      </c>
    </row>
    <row r="1358" spans="1:103" ht="11.25" customHeight="1" x14ac:dyDescent="0.2">
      <c r="A1358" s="72">
        <v>1356</v>
      </c>
      <c r="B1358" s="224">
        <v>1836</v>
      </c>
      <c r="C1358" s="46" t="s">
        <v>7434</v>
      </c>
      <c r="D1358" s="46"/>
      <c r="E1358" s="114"/>
      <c r="F1358" s="114" t="s">
        <v>4000</v>
      </c>
      <c r="G1358" s="225">
        <v>31218834</v>
      </c>
      <c r="H1358" s="47" t="s">
        <v>4001</v>
      </c>
      <c r="I1358" s="47" t="s">
        <v>4001</v>
      </c>
      <c r="J1358" s="47" t="s">
        <v>4002</v>
      </c>
      <c r="K1358" s="47" t="s">
        <v>4003</v>
      </c>
      <c r="L1358" s="47" t="s">
        <v>617</v>
      </c>
      <c r="M1358" s="47" t="s">
        <v>946</v>
      </c>
      <c r="N1358" s="47" t="s">
        <v>6376</v>
      </c>
      <c r="O1358" s="47" t="s">
        <v>918</v>
      </c>
      <c r="P1358" s="53"/>
      <c r="Q1358" s="53"/>
      <c r="R1358" s="53"/>
      <c r="S1358" s="53"/>
      <c r="T1358" s="48">
        <v>281.31</v>
      </c>
      <c r="U1358" s="98">
        <v>0.39102769187017883</v>
      </c>
      <c r="V1358" s="98">
        <v>3.0603249084639721E-2</v>
      </c>
      <c r="W1358" s="98">
        <v>3.7153522909717225</v>
      </c>
      <c r="X1358" s="98">
        <v>0.39102769187017883</v>
      </c>
      <c r="Y1358" s="233">
        <v>7.01</v>
      </c>
      <c r="Z1358" s="48">
        <v>3.51</v>
      </c>
      <c r="AA1358" s="48">
        <v>3.82</v>
      </c>
      <c r="AB1358" s="48">
        <v>3.06</v>
      </c>
      <c r="AC1358" s="48">
        <v>0.75239999999999996</v>
      </c>
      <c r="AD1358" s="48">
        <v>2.63</v>
      </c>
      <c r="AE1358" s="48">
        <v>1.61</v>
      </c>
      <c r="AF1358" s="48">
        <f t="shared" si="355"/>
        <v>3.82</v>
      </c>
      <c r="AG1358" s="49">
        <v>2.64</v>
      </c>
      <c r="AH1358" s="98">
        <v>5.8700000000000003E-8</v>
      </c>
      <c r="AI1358" s="98">
        <v>4.8100000000000001E-8</v>
      </c>
      <c r="AJ1358" s="483">
        <f t="shared" ref="AJ1358:AJ1372" si="357">LOG10(AH1358*1000/(0.08206*298.15))</f>
        <v>-5.6199282250650375</v>
      </c>
      <c r="AK1358" s="483">
        <f>LOG10(AI1358*1000/(0.08206*298.15))</f>
        <v>-5.7064212499388196</v>
      </c>
      <c r="AL1358" s="483">
        <f t="shared" ref="AL1358:AL1372" si="358">IF(AK1358=0,AJ1358,AK1358)</f>
        <v>-5.7064212499388196</v>
      </c>
      <c r="AM1358" s="483">
        <v>-12.019570000000002</v>
      </c>
      <c r="AN1358" s="226">
        <v>-3.51</v>
      </c>
      <c r="AO1358" s="484"/>
      <c r="AP1358" s="484">
        <v>0.94</v>
      </c>
      <c r="AQ1358" s="226" t="s">
        <v>6311</v>
      </c>
      <c r="AR1358" s="226" t="s">
        <v>6312</v>
      </c>
      <c r="AS1358" s="224"/>
      <c r="AT1358" s="50" t="s">
        <v>266</v>
      </c>
      <c r="AU1358" s="48">
        <v>6</v>
      </c>
      <c r="AV1358" s="48">
        <v>120</v>
      </c>
      <c r="AW1358" s="48">
        <v>114</v>
      </c>
      <c r="AX1358" s="48">
        <v>28</v>
      </c>
      <c r="AY1358" s="48" t="s">
        <v>8728</v>
      </c>
      <c r="AZ1358" s="48" t="s">
        <v>1563</v>
      </c>
      <c r="BA1358" s="48">
        <v>32</v>
      </c>
      <c r="BB1358" s="47" t="s">
        <v>2485</v>
      </c>
      <c r="BC1358" s="47" t="s">
        <v>8726</v>
      </c>
      <c r="BD1358" s="47" t="s">
        <v>8374</v>
      </c>
      <c r="BE1358" s="48" t="s">
        <v>2449</v>
      </c>
      <c r="BF1358" s="48" t="s">
        <v>272</v>
      </c>
      <c r="BG1358" s="48" t="s">
        <v>272</v>
      </c>
      <c r="BH1358" s="48" t="s">
        <v>2486</v>
      </c>
      <c r="BI1358" s="98">
        <v>6.3999999999999997E-6</v>
      </c>
      <c r="BJ1358" s="98">
        <v>6.4000000000000001E-2</v>
      </c>
      <c r="BK1358" s="48"/>
      <c r="BL1358" s="98">
        <f t="shared" ref="BL1358:BL1372" si="359">10^((-0.8981*Z1358)+1.7108)</f>
        <v>3.6180036445079868E-2</v>
      </c>
      <c r="BM1358" s="47" t="s">
        <v>2487</v>
      </c>
      <c r="BN1358" s="48"/>
      <c r="BO1358" s="48"/>
      <c r="BP1358" s="48"/>
      <c r="BQ1358" s="48"/>
      <c r="BR1358" s="47" t="s">
        <v>2496</v>
      </c>
      <c r="BS1358" s="48"/>
      <c r="BT1358" s="48"/>
      <c r="BU1358" s="228"/>
      <c r="BV1358" s="48"/>
      <c r="BW1358" s="48"/>
      <c r="BX1358" s="48"/>
      <c r="BY1358" s="48"/>
      <c r="BZ1358" s="48"/>
      <c r="CA1358" s="48"/>
      <c r="CB1358" s="48"/>
      <c r="CC1358" s="48"/>
      <c r="CD1358" s="48"/>
      <c r="CE1358" s="48"/>
      <c r="CF1358" s="48"/>
      <c r="CG1358" s="48"/>
      <c r="CH1358" s="48"/>
      <c r="CI1358" s="98"/>
      <c r="CJ1358" s="98"/>
      <c r="CK1358" s="49">
        <f t="shared" si="356"/>
        <v>0.56531306945437287</v>
      </c>
      <c r="CL1358" s="229"/>
      <c r="CM1358" s="229"/>
      <c r="CN1358" s="229"/>
      <c r="CO1358" s="47" t="s">
        <v>2488</v>
      </c>
      <c r="CP1358" s="47" t="s">
        <v>2489</v>
      </c>
      <c r="CQ1358" s="224">
        <v>-2.617279285524273</v>
      </c>
      <c r="CR1358" s="224">
        <f>10^(CJ1358-CQ1358)</f>
        <v>414.26599480933072</v>
      </c>
      <c r="CS1358" s="230" t="s">
        <v>539</v>
      </c>
      <c r="CT1358" s="230"/>
      <c r="CU1358" s="230"/>
      <c r="CV1358" s="335">
        <f t="shared" ref="CV1358:CV1372" si="360">X1358/BJ1358</f>
        <v>6.1098076854715444</v>
      </c>
      <c r="CW1358" s="230">
        <f t="shared" si="354"/>
        <v>1</v>
      </c>
      <c r="CX1358" s="336"/>
      <c r="CY1358" s="230" t="s">
        <v>5921</v>
      </c>
    </row>
    <row r="1359" spans="1:103" ht="11.25" customHeight="1" x14ac:dyDescent="0.2">
      <c r="A1359" s="72">
        <v>1357</v>
      </c>
      <c r="B1359" s="224">
        <v>1828</v>
      </c>
      <c r="C1359" s="46" t="s">
        <v>7435</v>
      </c>
      <c r="D1359" s="46"/>
      <c r="E1359" s="114"/>
      <c r="F1359" s="114" t="s">
        <v>5242</v>
      </c>
      <c r="G1359" s="225">
        <v>32809168</v>
      </c>
      <c r="H1359" s="47" t="s">
        <v>5243</v>
      </c>
      <c r="I1359" s="47" t="s">
        <v>8118</v>
      </c>
      <c r="J1359" s="47" t="s">
        <v>5244</v>
      </c>
      <c r="K1359" s="47" t="s">
        <v>1314</v>
      </c>
      <c r="L1359" s="47"/>
      <c r="M1359" s="47"/>
      <c r="N1359" s="47"/>
      <c r="O1359" s="47"/>
      <c r="P1359" s="53"/>
      <c r="Q1359" s="53"/>
      <c r="R1359" s="53"/>
      <c r="S1359" s="53"/>
      <c r="T1359" s="48">
        <v>284.14</v>
      </c>
      <c r="U1359" s="98">
        <v>1.5837263320898149E-2</v>
      </c>
      <c r="V1359" s="98">
        <v>0.12504399239811362</v>
      </c>
      <c r="W1359" s="98">
        <v>1.3182567385564052E-2</v>
      </c>
      <c r="X1359" s="98">
        <v>1.5837263320898149E-2</v>
      </c>
      <c r="Y1359" s="233">
        <v>7</v>
      </c>
      <c r="Z1359" s="48">
        <v>2.59</v>
      </c>
      <c r="AA1359" s="48">
        <v>3.08</v>
      </c>
      <c r="AB1359" s="48">
        <v>3.01</v>
      </c>
      <c r="AC1359" s="48">
        <v>0.71870000000000001</v>
      </c>
      <c r="AD1359" s="48">
        <v>2.89</v>
      </c>
      <c r="AE1359" s="48">
        <v>2.67</v>
      </c>
      <c r="AF1359" s="48">
        <f t="shared" si="355"/>
        <v>3.08</v>
      </c>
      <c r="AG1359" s="49">
        <v>2.86</v>
      </c>
      <c r="AH1359" s="98">
        <v>7.3900000000000007E-8</v>
      </c>
      <c r="AI1359" s="98">
        <v>1.1600000000000001E-5</v>
      </c>
      <c r="AJ1359" s="483">
        <f t="shared" si="357"/>
        <v>-5.5199218879178265</v>
      </c>
      <c r="AK1359" s="483">
        <f>LOG10(AI1359*1000/(0.08206*298.15))</f>
        <v>-3.3241083370857334</v>
      </c>
      <c r="AL1359" s="483">
        <f t="shared" si="358"/>
        <v>-3.3241083370857334</v>
      </c>
      <c r="AM1359" s="483">
        <v>-11.37046</v>
      </c>
      <c r="AN1359" s="226">
        <v>-6.18</v>
      </c>
      <c r="AO1359" s="484"/>
      <c r="AP1359" s="484">
        <v>-2.67</v>
      </c>
      <c r="AQ1359" s="226" t="s">
        <v>6311</v>
      </c>
      <c r="AR1359" s="226" t="s">
        <v>6311</v>
      </c>
      <c r="AS1359" s="224"/>
      <c r="AT1359" s="50" t="s">
        <v>266</v>
      </c>
      <c r="AU1359" s="48">
        <v>6</v>
      </c>
      <c r="AV1359" s="48">
        <v>120</v>
      </c>
      <c r="AW1359" s="48">
        <v>114</v>
      </c>
      <c r="AX1359" s="48">
        <v>28</v>
      </c>
      <c r="AY1359" s="48" t="s">
        <v>8728</v>
      </c>
      <c r="AZ1359" s="48" t="s">
        <v>1563</v>
      </c>
      <c r="BA1359" s="48">
        <v>32</v>
      </c>
      <c r="BB1359" s="47" t="s">
        <v>2485</v>
      </c>
      <c r="BC1359" s="47" t="s">
        <v>8726</v>
      </c>
      <c r="BD1359" s="47" t="s">
        <v>8374</v>
      </c>
      <c r="BE1359" s="48" t="s">
        <v>2449</v>
      </c>
      <c r="BF1359" s="48" t="s">
        <v>272</v>
      </c>
      <c r="BG1359" s="48" t="s">
        <v>272</v>
      </c>
      <c r="BH1359" s="48" t="s">
        <v>2486</v>
      </c>
      <c r="BI1359" s="98">
        <v>6.3999999999999997E-6</v>
      </c>
      <c r="BJ1359" s="98">
        <v>6.4000000000000001E-2</v>
      </c>
      <c r="BK1359" s="48"/>
      <c r="BL1359" s="98">
        <f t="shared" si="359"/>
        <v>0.2425051689843753</v>
      </c>
      <c r="BM1359" s="47" t="s">
        <v>2487</v>
      </c>
      <c r="BN1359" s="48"/>
      <c r="BO1359" s="48"/>
      <c r="BP1359" s="48"/>
      <c r="BQ1359" s="48"/>
      <c r="BR1359" s="47" t="s">
        <v>2496</v>
      </c>
      <c r="BS1359" s="48"/>
      <c r="BT1359" s="48"/>
      <c r="BU1359" s="228"/>
      <c r="BV1359" s="48"/>
      <c r="BW1359" s="48"/>
      <c r="BX1359" s="48"/>
      <c r="BY1359" s="48"/>
      <c r="BZ1359" s="48"/>
      <c r="CA1359" s="48"/>
      <c r="CB1359" s="48"/>
      <c r="CC1359" s="48"/>
      <c r="CD1359" s="48"/>
      <c r="CE1359" s="48"/>
      <c r="CF1359" s="48"/>
      <c r="CG1359" s="48"/>
      <c r="CH1359" s="48"/>
      <c r="CI1359" s="98"/>
      <c r="CJ1359" s="98"/>
      <c r="CK1359" s="49">
        <f t="shared" si="356"/>
        <v>3.7891432653808641</v>
      </c>
      <c r="CL1359" s="229"/>
      <c r="CM1359" s="229"/>
      <c r="CN1359" s="229"/>
      <c r="CO1359" s="47" t="s">
        <v>2488</v>
      </c>
      <c r="CP1359" s="47" t="s">
        <v>2489</v>
      </c>
      <c r="CQ1359" s="224" t="s">
        <v>272</v>
      </c>
      <c r="CR1359" s="224"/>
      <c r="CS1359" s="230" t="s">
        <v>539</v>
      </c>
      <c r="CT1359" s="230"/>
      <c r="CU1359" s="230"/>
      <c r="CV1359" s="335">
        <f t="shared" si="360"/>
        <v>0.24745723938903358</v>
      </c>
      <c r="CW1359" s="230">
        <f t="shared" si="354"/>
        <v>0</v>
      </c>
      <c r="CX1359" s="336"/>
      <c r="CY1359" s="230" t="s">
        <v>5921</v>
      </c>
    </row>
    <row r="1360" spans="1:103" ht="11.25" customHeight="1" x14ac:dyDescent="0.2">
      <c r="A1360" s="72">
        <v>1358</v>
      </c>
      <c r="B1360" s="224">
        <v>1467</v>
      </c>
      <c r="C1360" s="46" t="s">
        <v>7436</v>
      </c>
      <c r="D1360" s="46"/>
      <c r="E1360" s="114"/>
      <c r="F1360" s="114" t="s">
        <v>4505</v>
      </c>
      <c r="G1360" s="225">
        <v>33228443</v>
      </c>
      <c r="H1360" s="47" t="s">
        <v>4506</v>
      </c>
      <c r="I1360" s="47" t="s">
        <v>4506</v>
      </c>
      <c r="J1360" s="47" t="s">
        <v>4507</v>
      </c>
      <c r="K1360" s="47" t="s">
        <v>1573</v>
      </c>
      <c r="L1360" s="47"/>
      <c r="M1360" s="47"/>
      <c r="N1360" s="47"/>
      <c r="O1360" s="47"/>
      <c r="P1360" s="53" t="s">
        <v>6184</v>
      </c>
      <c r="Q1360" s="53" t="s">
        <v>6179</v>
      </c>
      <c r="R1360" s="53" t="s">
        <v>6185</v>
      </c>
      <c r="S1360" s="53" t="s">
        <v>6176</v>
      </c>
      <c r="T1360" s="48">
        <v>163.26</v>
      </c>
      <c r="U1360" s="98"/>
      <c r="V1360" s="98">
        <v>0.51568050961656253</v>
      </c>
      <c r="W1360" s="98">
        <v>1.0471285480508987</v>
      </c>
      <c r="X1360" s="98">
        <f>IF(W1360=0,V1360,W1360)</f>
        <v>1.0471285480508987</v>
      </c>
      <c r="Y1360" s="233">
        <v>8.06</v>
      </c>
      <c r="Z1360" s="48">
        <v>3.59</v>
      </c>
      <c r="AA1360" s="48">
        <v>3.39</v>
      </c>
      <c r="AB1360" s="48">
        <v>3.5</v>
      </c>
      <c r="AC1360" s="48">
        <v>0.89149999999999996</v>
      </c>
      <c r="AD1360" s="48">
        <v>3.51</v>
      </c>
      <c r="AE1360" s="48">
        <v>3.52</v>
      </c>
      <c r="AF1360" s="48">
        <f t="shared" si="355"/>
        <v>3.39</v>
      </c>
      <c r="AG1360" s="49">
        <v>3.26</v>
      </c>
      <c r="AH1360" s="98">
        <v>6.5300000000000002E-6</v>
      </c>
      <c r="AI1360" s="98"/>
      <c r="AJ1360" s="483">
        <f t="shared" si="357"/>
        <v>-3.5736531450375777</v>
      </c>
      <c r="AK1360" s="483"/>
      <c r="AL1360" s="483">
        <f t="shared" si="358"/>
        <v>-3.5736531450375777</v>
      </c>
      <c r="AM1360" s="483">
        <v>-6.7227000000000006</v>
      </c>
      <c r="AN1360" s="226">
        <v>-3.42</v>
      </c>
      <c r="AO1360" s="484"/>
      <c r="AP1360" s="484">
        <v>5.0999999999999996</v>
      </c>
      <c r="AQ1360" s="48" t="s">
        <v>6311</v>
      </c>
      <c r="AR1360" s="48" t="s">
        <v>6311</v>
      </c>
      <c r="AS1360" s="227"/>
      <c r="AT1360" s="50" t="s">
        <v>266</v>
      </c>
      <c r="AU1360" s="48">
        <v>6</v>
      </c>
      <c r="AV1360" s="48">
        <v>120</v>
      </c>
      <c r="AW1360" s="48">
        <v>114</v>
      </c>
      <c r="AX1360" s="48">
        <v>28</v>
      </c>
      <c r="AY1360" s="48" t="s">
        <v>8728</v>
      </c>
      <c r="AZ1360" s="48" t="s">
        <v>1563</v>
      </c>
      <c r="BA1360" s="48">
        <v>32</v>
      </c>
      <c r="BB1360" s="47" t="s">
        <v>2485</v>
      </c>
      <c r="BC1360" s="47" t="s">
        <v>8726</v>
      </c>
      <c r="BD1360" s="47" t="s">
        <v>8374</v>
      </c>
      <c r="BE1360" s="48" t="s">
        <v>2449</v>
      </c>
      <c r="BF1360" s="48" t="s">
        <v>272</v>
      </c>
      <c r="BG1360" s="48" t="s">
        <v>272</v>
      </c>
      <c r="BH1360" s="48" t="s">
        <v>2486</v>
      </c>
      <c r="BI1360" s="98">
        <v>6.3999999999999997E-6</v>
      </c>
      <c r="BJ1360" s="98">
        <v>6.4000000000000001E-2</v>
      </c>
      <c r="BK1360" s="48"/>
      <c r="BL1360" s="98">
        <f t="shared" si="359"/>
        <v>3.0663448833464148E-2</v>
      </c>
      <c r="BM1360" s="47" t="s">
        <v>2487</v>
      </c>
      <c r="BN1360" s="48"/>
      <c r="BO1360" s="48"/>
      <c r="BP1360" s="48"/>
      <c r="BQ1360" s="48"/>
      <c r="BR1360" s="47" t="s">
        <v>2496</v>
      </c>
      <c r="BS1360" s="48"/>
      <c r="BT1360" s="48"/>
      <c r="BU1360" s="228"/>
      <c r="BV1360" s="48"/>
      <c r="BW1360" s="48"/>
      <c r="BX1360" s="48"/>
      <c r="BY1360" s="48"/>
      <c r="BZ1360" s="48"/>
      <c r="CA1360" s="48"/>
      <c r="CB1360" s="48"/>
      <c r="CC1360" s="48"/>
      <c r="CD1360" s="48"/>
      <c r="CE1360" s="48"/>
      <c r="CF1360" s="48"/>
      <c r="CG1360" s="48"/>
      <c r="CH1360" s="48"/>
      <c r="CI1360" s="98"/>
      <c r="CJ1360" s="98"/>
      <c r="CK1360" s="49">
        <f t="shared" si="356"/>
        <v>0.47911638802287732</v>
      </c>
      <c r="CL1360" s="229"/>
      <c r="CM1360" s="229"/>
      <c r="CN1360" s="229"/>
      <c r="CO1360" s="47" t="s">
        <v>2488</v>
      </c>
      <c r="CP1360" s="47" t="s">
        <v>2489</v>
      </c>
      <c r="CQ1360" s="224" t="s">
        <v>272</v>
      </c>
      <c r="CR1360" s="224"/>
      <c r="CS1360" s="230" t="s">
        <v>539</v>
      </c>
      <c r="CT1360" s="230"/>
      <c r="CU1360" s="230"/>
      <c r="CV1360" s="335">
        <f t="shared" si="360"/>
        <v>16.361383563295291</v>
      </c>
      <c r="CW1360" s="230">
        <f t="shared" si="354"/>
        <v>1</v>
      </c>
      <c r="CX1360" s="336"/>
      <c r="CY1360" s="230" t="s">
        <v>5921</v>
      </c>
    </row>
    <row r="1361" spans="1:103" ht="11.25" customHeight="1" x14ac:dyDescent="0.2">
      <c r="A1361" s="72">
        <v>1359</v>
      </c>
      <c r="B1361" s="224">
        <v>1042</v>
      </c>
      <c r="C1361" s="46" t="s">
        <v>1007</v>
      </c>
      <c r="D1361" s="46"/>
      <c r="E1361" s="114"/>
      <c r="F1361" s="114" t="s">
        <v>1008</v>
      </c>
      <c r="G1361" s="225">
        <v>33629479</v>
      </c>
      <c r="H1361" s="47" t="s">
        <v>1009</v>
      </c>
      <c r="I1361" s="47" t="s">
        <v>8119</v>
      </c>
      <c r="J1361" s="47" t="s">
        <v>1010</v>
      </c>
      <c r="K1361" s="47" t="s">
        <v>1011</v>
      </c>
      <c r="L1361" s="47" t="s">
        <v>5959</v>
      </c>
      <c r="M1361" s="47" t="s">
        <v>6088</v>
      </c>
      <c r="N1361" s="47" t="s">
        <v>6088</v>
      </c>
      <c r="O1361" s="47" t="s">
        <v>6083</v>
      </c>
      <c r="P1361" s="53"/>
      <c r="Q1361" s="53"/>
      <c r="R1361" s="53"/>
      <c r="S1361" s="53"/>
      <c r="T1361" s="48">
        <v>295.33</v>
      </c>
      <c r="U1361" s="98">
        <v>3.3860427318592764E-3</v>
      </c>
      <c r="V1361" s="98">
        <v>2.7271188162394612E-3</v>
      </c>
      <c r="W1361" s="98">
        <v>3.5481338923357502E-3</v>
      </c>
      <c r="X1361" s="98">
        <v>3.3860427318592764E-3</v>
      </c>
      <c r="Y1361" s="233">
        <v>7</v>
      </c>
      <c r="Z1361" s="48">
        <v>5.15</v>
      </c>
      <c r="AA1361" s="48">
        <v>4.93</v>
      </c>
      <c r="AB1361" s="48">
        <v>4.62</v>
      </c>
      <c r="AC1361" s="48">
        <v>0.79</v>
      </c>
      <c r="AD1361" s="48">
        <v>4.99</v>
      </c>
      <c r="AE1361" s="48">
        <v>5.8</v>
      </c>
      <c r="AF1361" s="48">
        <f t="shared" si="355"/>
        <v>4.93</v>
      </c>
      <c r="AG1361" s="49">
        <v>3.79</v>
      </c>
      <c r="AH1361" s="98">
        <v>2.3199999999999998E-6</v>
      </c>
      <c r="AI1361" s="98">
        <v>4.9400000000000001E-6</v>
      </c>
      <c r="AJ1361" s="483">
        <f t="shared" si="357"/>
        <v>-4.0230783414217521</v>
      </c>
      <c r="AK1361" s="483">
        <f>LOG10(AI1361*1000/(0.08206*298.15))</f>
        <v>-3.6948393773890049</v>
      </c>
      <c r="AL1361" s="483">
        <f t="shared" si="358"/>
        <v>-3.6948393773890049</v>
      </c>
      <c r="AM1361" s="483">
        <v>-9.5759299999999996</v>
      </c>
      <c r="AN1361" s="226">
        <v>-2.4900000000000002</v>
      </c>
      <c r="AO1361" s="484"/>
      <c r="AP1361" s="484">
        <v>-3.5</v>
      </c>
      <c r="AQ1361" s="48" t="s">
        <v>6311</v>
      </c>
      <c r="AR1361" s="48" t="s">
        <v>6311</v>
      </c>
      <c r="AS1361" s="227"/>
      <c r="AT1361" s="50" t="s">
        <v>266</v>
      </c>
      <c r="AU1361" s="48">
        <v>6</v>
      </c>
      <c r="AV1361" s="48">
        <v>120</v>
      </c>
      <c r="AW1361" s="48">
        <v>114</v>
      </c>
      <c r="AX1361" s="48">
        <v>28</v>
      </c>
      <c r="AY1361" s="48" t="s">
        <v>8728</v>
      </c>
      <c r="AZ1361" s="48" t="s">
        <v>1563</v>
      </c>
      <c r="BA1361" s="48">
        <v>32</v>
      </c>
      <c r="BB1361" s="47" t="s">
        <v>2485</v>
      </c>
      <c r="BC1361" s="47" t="s">
        <v>8726</v>
      </c>
      <c r="BD1361" s="47" t="s">
        <v>8374</v>
      </c>
      <c r="BE1361" s="48" t="s">
        <v>2449</v>
      </c>
      <c r="BF1361" s="48" t="s">
        <v>272</v>
      </c>
      <c r="BG1361" s="48" t="s">
        <v>272</v>
      </c>
      <c r="BH1361" s="48" t="s">
        <v>2486</v>
      </c>
      <c r="BI1361" s="98">
        <v>6.3999999999999997E-6</v>
      </c>
      <c r="BJ1361" s="98">
        <v>6.4000000000000001E-2</v>
      </c>
      <c r="BK1361" s="48"/>
      <c r="BL1361" s="98">
        <f t="shared" si="359"/>
        <v>1.2178253219683763E-3</v>
      </c>
      <c r="BM1361" s="47" t="s">
        <v>2487</v>
      </c>
      <c r="BN1361" s="48"/>
      <c r="BO1361" s="48"/>
      <c r="BP1361" s="48"/>
      <c r="BQ1361" s="48"/>
      <c r="BR1361" s="47" t="s">
        <v>2496</v>
      </c>
      <c r="BS1361" s="48"/>
      <c r="BT1361" s="48"/>
      <c r="BU1361" s="228">
        <v>6.3999999999999997E-5</v>
      </c>
      <c r="BV1361" s="48"/>
      <c r="BW1361" s="48"/>
      <c r="BX1361" s="48"/>
      <c r="BY1361" s="48"/>
      <c r="BZ1361" s="48"/>
      <c r="CA1361" s="48"/>
      <c r="CB1361" s="48"/>
      <c r="CC1361" s="48"/>
      <c r="CD1361" s="48"/>
      <c r="CE1361" s="48"/>
      <c r="CF1361" s="48"/>
      <c r="CG1361" s="48"/>
      <c r="CH1361" s="48"/>
      <c r="CI1361" s="98"/>
      <c r="CJ1361" s="98"/>
      <c r="CK1361" s="49">
        <f t="shared" si="356"/>
        <v>1.902852065575588E-2</v>
      </c>
      <c r="CL1361" s="229"/>
      <c r="CM1361" s="229">
        <v>-2.902105841329143</v>
      </c>
      <c r="CN1361" s="229">
        <f>BJ1361/(10^CM1361)</f>
        <v>51.084108108108161</v>
      </c>
      <c r="CO1361" s="47" t="s">
        <v>2488</v>
      </c>
      <c r="CP1361" s="47" t="s">
        <v>2489</v>
      </c>
      <c r="CQ1361" s="224">
        <v>-2.6862067033626404</v>
      </c>
      <c r="CR1361" s="224">
        <f>10^(CJ1361-CQ1361)</f>
        <v>485.51952920891199</v>
      </c>
      <c r="CS1361" s="230" t="s">
        <v>539</v>
      </c>
      <c r="CT1361" s="230"/>
      <c r="CU1361" s="230"/>
      <c r="CV1361" s="335">
        <f t="shared" si="360"/>
        <v>5.2906917685301195E-2</v>
      </c>
      <c r="CW1361" s="230">
        <f t="shared" si="354"/>
        <v>0</v>
      </c>
      <c r="CX1361" s="336"/>
      <c r="CY1361" s="230" t="s">
        <v>5921</v>
      </c>
    </row>
    <row r="1362" spans="1:103" ht="11.25" customHeight="1" x14ac:dyDescent="0.2">
      <c r="A1362" s="72">
        <v>1360</v>
      </c>
      <c r="B1362" s="224">
        <v>1696</v>
      </c>
      <c r="C1362" s="46" t="s">
        <v>7437</v>
      </c>
      <c r="D1362" s="46"/>
      <c r="E1362" s="114"/>
      <c r="F1362" s="114" t="s">
        <v>4949</v>
      </c>
      <c r="G1362" s="225">
        <v>33703081</v>
      </c>
      <c r="H1362" s="47" t="s">
        <v>4950</v>
      </c>
      <c r="I1362" s="47" t="s">
        <v>4950</v>
      </c>
      <c r="J1362" s="47" t="s">
        <v>4951</v>
      </c>
      <c r="K1362" s="47" t="s">
        <v>357</v>
      </c>
      <c r="L1362" s="47"/>
      <c r="M1362" s="47"/>
      <c r="N1362" s="47"/>
      <c r="O1362" s="47"/>
      <c r="P1362" s="53"/>
      <c r="Q1362" s="53"/>
      <c r="R1362" s="53"/>
      <c r="S1362" s="53"/>
      <c r="T1362" s="48">
        <v>398.62</v>
      </c>
      <c r="U1362" s="98"/>
      <c r="V1362" s="98">
        <v>9.9794290301540321E-8</v>
      </c>
      <c r="W1362" s="98">
        <v>3.090295432513585E-4</v>
      </c>
      <c r="X1362" s="98">
        <f>IF(W1362=0,V1362,W1362)</f>
        <v>3.090295432513585E-4</v>
      </c>
      <c r="Y1362" s="233">
        <v>7</v>
      </c>
      <c r="Z1362" s="48">
        <v>9.24</v>
      </c>
      <c r="AA1362" s="48"/>
      <c r="AB1362" s="48">
        <v>9.56</v>
      </c>
      <c r="AC1362" s="48">
        <v>0.59419999999999995</v>
      </c>
      <c r="AD1362" s="48">
        <v>9.5500000000000007</v>
      </c>
      <c r="AE1362" s="48">
        <v>9.5299999999999994</v>
      </c>
      <c r="AF1362" s="48">
        <f t="shared" si="355"/>
        <v>9.5500000000000007</v>
      </c>
      <c r="AG1362" s="49">
        <v>-1.5</v>
      </c>
      <c r="AH1362" s="98">
        <v>9.09E-5</v>
      </c>
      <c r="AI1362" s="98"/>
      <c r="AJ1362" s="483">
        <f t="shared" si="357"/>
        <v>-2.4300024430906846</v>
      </c>
      <c r="AK1362" s="483"/>
      <c r="AL1362" s="483">
        <f t="shared" si="358"/>
        <v>-2.4300024430906846</v>
      </c>
      <c r="AM1362" s="483">
        <v>-8.06846</v>
      </c>
      <c r="AN1362" s="226">
        <v>-8.86</v>
      </c>
      <c r="AO1362" s="484"/>
      <c r="AP1362" s="484"/>
      <c r="AQ1362" s="226" t="s">
        <v>6311</v>
      </c>
      <c r="AR1362" s="226" t="s">
        <v>6312</v>
      </c>
      <c r="AS1362" s="224"/>
      <c r="AT1362" s="50" t="s">
        <v>266</v>
      </c>
      <c r="AU1362" s="48">
        <v>6</v>
      </c>
      <c r="AV1362" s="48">
        <v>120</v>
      </c>
      <c r="AW1362" s="48">
        <v>114</v>
      </c>
      <c r="AX1362" s="48">
        <v>28</v>
      </c>
      <c r="AY1362" s="48" t="s">
        <v>8728</v>
      </c>
      <c r="AZ1362" s="48" t="s">
        <v>1563</v>
      </c>
      <c r="BA1362" s="48">
        <v>32</v>
      </c>
      <c r="BB1362" s="47" t="s">
        <v>2485</v>
      </c>
      <c r="BC1362" s="47" t="s">
        <v>8726</v>
      </c>
      <c r="BD1362" s="47" t="s">
        <v>8374</v>
      </c>
      <c r="BE1362" s="48" t="s">
        <v>2449</v>
      </c>
      <c r="BF1362" s="48" t="s">
        <v>272</v>
      </c>
      <c r="BG1362" s="48" t="s">
        <v>272</v>
      </c>
      <c r="BH1362" s="48" t="s">
        <v>2486</v>
      </c>
      <c r="BI1362" s="98">
        <v>6.3999999999999997E-6</v>
      </c>
      <c r="BJ1362" s="98">
        <v>6.4000000000000001E-2</v>
      </c>
      <c r="BK1362" s="48"/>
      <c r="BL1362" s="98">
        <f t="shared" si="359"/>
        <v>2.5843777895157456E-7</v>
      </c>
      <c r="BM1362" s="47" t="s">
        <v>2487</v>
      </c>
      <c r="BN1362" s="48"/>
      <c r="BO1362" s="48"/>
      <c r="BP1362" s="48"/>
      <c r="BQ1362" s="48"/>
      <c r="BR1362" s="47" t="s">
        <v>2496</v>
      </c>
      <c r="BS1362" s="48"/>
      <c r="BT1362" s="48"/>
      <c r="BU1362" s="228"/>
      <c r="BV1362" s="48"/>
      <c r="BW1362" s="48"/>
      <c r="BX1362" s="48"/>
      <c r="BY1362" s="48"/>
      <c r="BZ1362" s="48"/>
      <c r="CA1362" s="48"/>
      <c r="CB1362" s="48"/>
      <c r="CC1362" s="48"/>
      <c r="CD1362" s="48"/>
      <c r="CE1362" s="48"/>
      <c r="CF1362" s="48"/>
      <c r="CG1362" s="48"/>
      <c r="CH1362" s="48"/>
      <c r="CI1362" s="52" t="s">
        <v>6347</v>
      </c>
      <c r="CJ1362" s="98"/>
      <c r="CK1362" s="49">
        <f t="shared" si="356"/>
        <v>4.0380902961183524E-6</v>
      </c>
      <c r="CL1362" s="229"/>
      <c r="CM1362" s="229"/>
      <c r="CN1362" s="229"/>
      <c r="CO1362" s="47" t="s">
        <v>2488</v>
      </c>
      <c r="CP1362" s="47" t="s">
        <v>2489</v>
      </c>
      <c r="CQ1362" s="224" t="s">
        <v>272</v>
      </c>
      <c r="CR1362" s="224"/>
      <c r="CS1362" s="230" t="s">
        <v>539</v>
      </c>
      <c r="CT1362" s="230"/>
      <c r="CU1362" s="230"/>
      <c r="CV1362" s="335">
        <f t="shared" si="360"/>
        <v>4.8285866133024767E-3</v>
      </c>
      <c r="CW1362" s="230">
        <f t="shared" si="354"/>
        <v>0</v>
      </c>
      <c r="CX1362" s="336"/>
      <c r="CY1362" s="230" t="s">
        <v>6351</v>
      </c>
    </row>
    <row r="1363" spans="1:103" ht="11.25" customHeight="1" x14ac:dyDescent="0.2">
      <c r="A1363" s="72">
        <v>1361</v>
      </c>
      <c r="B1363" s="224">
        <v>1170</v>
      </c>
      <c r="C1363" s="46" t="s">
        <v>7438</v>
      </c>
      <c r="D1363" s="46"/>
      <c r="E1363" s="114"/>
      <c r="F1363" s="114" t="s">
        <v>3228</v>
      </c>
      <c r="G1363" s="225">
        <v>33820530</v>
      </c>
      <c r="H1363" s="47" t="s">
        <v>3229</v>
      </c>
      <c r="I1363" s="47" t="s">
        <v>8120</v>
      </c>
      <c r="J1363" s="47" t="s">
        <v>3230</v>
      </c>
      <c r="K1363" s="47" t="s">
        <v>1011</v>
      </c>
      <c r="L1363" s="47" t="s">
        <v>6025</v>
      </c>
      <c r="M1363" s="47" t="s">
        <v>6088</v>
      </c>
      <c r="N1363" s="47" t="s">
        <v>6088</v>
      </c>
      <c r="O1363" s="47" t="s">
        <v>6083</v>
      </c>
      <c r="P1363" s="53"/>
      <c r="Q1363" s="53"/>
      <c r="R1363" s="53"/>
      <c r="S1363" s="53"/>
      <c r="T1363" s="48">
        <v>309.36</v>
      </c>
      <c r="U1363" s="98">
        <v>3.5557279544866821E-4</v>
      </c>
      <c r="V1363" s="98">
        <v>3.8660460305146106E-4</v>
      </c>
      <c r="W1363" s="98">
        <v>2.5703957827688598E-3</v>
      </c>
      <c r="X1363" s="98">
        <v>3.5557279544866821E-4</v>
      </c>
      <c r="Y1363" s="233">
        <v>7</v>
      </c>
      <c r="Z1363" s="48">
        <v>5.8</v>
      </c>
      <c r="AA1363" s="48"/>
      <c r="AB1363" s="48">
        <v>4.97</v>
      </c>
      <c r="AC1363" s="48">
        <v>0.78890000000000005</v>
      </c>
      <c r="AD1363" s="48">
        <v>5.07</v>
      </c>
      <c r="AE1363" s="48">
        <v>5.3</v>
      </c>
      <c r="AF1363" s="48">
        <f t="shared" si="355"/>
        <v>5.07</v>
      </c>
      <c r="AG1363" s="49">
        <v>4.22</v>
      </c>
      <c r="AH1363" s="98">
        <v>4.74E-5</v>
      </c>
      <c r="AI1363" s="98">
        <v>1.11E-4</v>
      </c>
      <c r="AJ1363" s="483">
        <f t="shared" si="357"/>
        <v>-2.7127879846385667</v>
      </c>
      <c r="AK1363" s="483">
        <f>LOG10(AI1363*1000/(0.08206*298.15))</f>
        <v>-2.3432433475259944</v>
      </c>
      <c r="AL1363" s="483">
        <f t="shared" si="358"/>
        <v>-2.3432433475259944</v>
      </c>
      <c r="AM1363" s="483">
        <v>-11.056109999999999</v>
      </c>
      <c r="AN1363" s="226">
        <v>-3.43</v>
      </c>
      <c r="AO1363" s="484"/>
      <c r="AP1363" s="484">
        <v>1.27</v>
      </c>
      <c r="AQ1363" s="48" t="s">
        <v>6311</v>
      </c>
      <c r="AR1363" s="48" t="s">
        <v>6311</v>
      </c>
      <c r="AS1363" s="227"/>
      <c r="AT1363" s="50" t="s">
        <v>266</v>
      </c>
      <c r="AU1363" s="48">
        <v>6</v>
      </c>
      <c r="AV1363" s="48">
        <v>120</v>
      </c>
      <c r="AW1363" s="48">
        <v>114</v>
      </c>
      <c r="AX1363" s="48">
        <v>28</v>
      </c>
      <c r="AY1363" s="48" t="s">
        <v>8728</v>
      </c>
      <c r="AZ1363" s="48" t="s">
        <v>1563</v>
      </c>
      <c r="BA1363" s="48">
        <v>32</v>
      </c>
      <c r="BB1363" s="47" t="s">
        <v>2485</v>
      </c>
      <c r="BC1363" s="47" t="s">
        <v>8726</v>
      </c>
      <c r="BD1363" s="47" t="s">
        <v>8374</v>
      </c>
      <c r="BE1363" s="48" t="s">
        <v>2449</v>
      </c>
      <c r="BF1363" s="48" t="s">
        <v>272</v>
      </c>
      <c r="BG1363" s="48" t="s">
        <v>272</v>
      </c>
      <c r="BH1363" s="48" t="s">
        <v>2486</v>
      </c>
      <c r="BI1363" s="98">
        <v>6.3999999999999997E-6</v>
      </c>
      <c r="BJ1363" s="98">
        <v>6.4000000000000001E-2</v>
      </c>
      <c r="BK1363" s="48"/>
      <c r="BL1363" s="98">
        <f t="shared" si="359"/>
        <v>3.1755576393582429E-4</v>
      </c>
      <c r="BM1363" s="47" t="s">
        <v>2487</v>
      </c>
      <c r="BN1363" s="48"/>
      <c r="BO1363" s="48"/>
      <c r="BP1363" s="48"/>
      <c r="BQ1363" s="48"/>
      <c r="BR1363" s="47" t="s">
        <v>2496</v>
      </c>
      <c r="BS1363" s="48"/>
      <c r="BT1363" s="48"/>
      <c r="BU1363" s="228">
        <v>6.4000000000000001E-2</v>
      </c>
      <c r="BV1363" s="48"/>
      <c r="BW1363" s="48"/>
      <c r="BX1363" s="48"/>
      <c r="BY1363" s="48"/>
      <c r="BZ1363" s="48"/>
      <c r="CA1363" s="48"/>
      <c r="CB1363" s="48"/>
      <c r="CC1363" s="48"/>
      <c r="CD1363" s="48"/>
      <c r="CE1363" s="48"/>
      <c r="CF1363" s="48"/>
      <c r="CG1363" s="48"/>
      <c r="CH1363" s="48"/>
      <c r="CI1363" s="98"/>
      <c r="CJ1363" s="98"/>
      <c r="CK1363" s="49">
        <f t="shared" si="356"/>
        <v>4.9618088114972547E-3</v>
      </c>
      <c r="CL1363" s="229"/>
      <c r="CM1363" s="229"/>
      <c r="CN1363" s="229"/>
      <c r="CO1363" s="47" t="s">
        <v>2488</v>
      </c>
      <c r="CP1363" s="47" t="s">
        <v>2489</v>
      </c>
      <c r="CQ1363" s="224">
        <v>-2.5970064169815443</v>
      </c>
      <c r="CR1363" s="224">
        <f>10^(CJ1363-CQ1363)</f>
        <v>395.37246190852318</v>
      </c>
      <c r="CS1363" s="230" t="s">
        <v>539</v>
      </c>
      <c r="CT1363" s="230"/>
      <c r="CU1363" s="230"/>
      <c r="CV1363" s="335">
        <f t="shared" si="360"/>
        <v>5.5558249288854408E-3</v>
      </c>
      <c r="CW1363" s="230">
        <f t="shared" si="354"/>
        <v>0</v>
      </c>
      <c r="CX1363" s="336"/>
      <c r="CY1363" s="230" t="s">
        <v>5921</v>
      </c>
    </row>
    <row r="1364" spans="1:103" ht="11.25" customHeight="1" x14ac:dyDescent="0.2">
      <c r="A1364" s="72">
        <v>1362</v>
      </c>
      <c r="B1364" s="224">
        <v>478</v>
      </c>
      <c r="C1364" s="46" t="s">
        <v>7439</v>
      </c>
      <c r="D1364" s="46"/>
      <c r="E1364" s="114"/>
      <c r="F1364" s="114" t="s">
        <v>4028</v>
      </c>
      <c r="G1364" s="225">
        <v>34014181</v>
      </c>
      <c r="H1364" s="47" t="s">
        <v>4029</v>
      </c>
      <c r="I1364" s="47" t="s">
        <v>4029</v>
      </c>
      <c r="J1364" s="47" t="s">
        <v>4030</v>
      </c>
      <c r="K1364" s="47" t="s">
        <v>1292</v>
      </c>
      <c r="L1364" s="47" t="s">
        <v>6056</v>
      </c>
      <c r="M1364" s="47" t="s">
        <v>6082</v>
      </c>
      <c r="N1364" s="47" t="s">
        <v>6082</v>
      </c>
      <c r="O1364" s="47" t="s">
        <v>6083</v>
      </c>
      <c r="P1364" s="53"/>
      <c r="Q1364" s="53"/>
      <c r="R1364" s="53"/>
      <c r="S1364" s="53"/>
      <c r="T1364" s="48">
        <v>228.32</v>
      </c>
      <c r="U1364" s="98">
        <v>10.949544498948844</v>
      </c>
      <c r="V1364" s="98">
        <v>4.0289943938332167</v>
      </c>
      <c r="W1364" s="98">
        <v>9.3325430079699103</v>
      </c>
      <c r="X1364" s="98">
        <v>10.949544498948844</v>
      </c>
      <c r="Y1364" s="233">
        <v>7.17</v>
      </c>
      <c r="Z1364" s="48">
        <v>1.78</v>
      </c>
      <c r="AA1364" s="48">
        <v>1.79</v>
      </c>
      <c r="AB1364" s="48">
        <v>1.71</v>
      </c>
      <c r="AC1364" s="48">
        <v>0.75580000000000003</v>
      </c>
      <c r="AD1364" s="48">
        <v>1.73</v>
      </c>
      <c r="AE1364" s="48">
        <v>1.79</v>
      </c>
      <c r="AF1364" s="48">
        <f t="shared" si="355"/>
        <v>1.79</v>
      </c>
      <c r="AG1364" s="49">
        <v>2.62</v>
      </c>
      <c r="AH1364" s="98">
        <v>6.7699999999999996E-12</v>
      </c>
      <c r="AI1364" s="98">
        <v>1.2E-10</v>
      </c>
      <c r="AJ1364" s="483">
        <f t="shared" si="357"/>
        <v>-9.5579776576275073</v>
      </c>
      <c r="AK1364" s="483">
        <f>LOG10(AI1364*1000/(0.08206*298.15))</f>
        <v>-8.3093850802650273</v>
      </c>
      <c r="AL1364" s="483">
        <f t="shared" si="358"/>
        <v>-8.3093850802650273</v>
      </c>
      <c r="AM1364" s="483">
        <v>-11.597460000000002</v>
      </c>
      <c r="AN1364" s="226">
        <v>-9.6199999999999992</v>
      </c>
      <c r="AO1364" s="484">
        <v>13.36</v>
      </c>
      <c r="AP1364" s="484">
        <v>2.13</v>
      </c>
      <c r="AQ1364" s="226" t="s">
        <v>6311</v>
      </c>
      <c r="AR1364" s="226" t="s">
        <v>6311</v>
      </c>
      <c r="AS1364" s="224" t="s">
        <v>6</v>
      </c>
      <c r="AT1364" s="50" t="s">
        <v>266</v>
      </c>
      <c r="AU1364" s="48">
        <v>8</v>
      </c>
      <c r="AV1364" s="48">
        <v>144</v>
      </c>
      <c r="AW1364" s="48">
        <v>120</v>
      </c>
      <c r="AX1364" s="48">
        <v>26</v>
      </c>
      <c r="AY1364" s="48" t="s">
        <v>267</v>
      </c>
      <c r="AZ1364" s="48" t="s">
        <v>2253</v>
      </c>
      <c r="BA1364" s="48">
        <v>2</v>
      </c>
      <c r="BB1364" s="47" t="s">
        <v>2254</v>
      </c>
      <c r="BC1364" s="47" t="s">
        <v>270</v>
      </c>
      <c r="BD1364" s="47" t="s">
        <v>8374</v>
      </c>
      <c r="BE1364" s="48" t="s">
        <v>1712</v>
      </c>
      <c r="BF1364" s="48" t="s">
        <v>272</v>
      </c>
      <c r="BG1364" s="48" t="s">
        <v>272</v>
      </c>
      <c r="BH1364" s="48" t="s">
        <v>2255</v>
      </c>
      <c r="BI1364" s="98">
        <v>9.9999999999999995E-7</v>
      </c>
      <c r="BJ1364" s="98">
        <v>0.08</v>
      </c>
      <c r="BK1364" s="48"/>
      <c r="BL1364" s="98">
        <f t="shared" si="359"/>
        <v>1.2947383143906992</v>
      </c>
      <c r="BM1364" s="48" t="s">
        <v>891</v>
      </c>
      <c r="BN1364" s="233"/>
      <c r="BO1364" s="233"/>
      <c r="BP1364" s="233"/>
      <c r="BQ1364" s="233"/>
      <c r="BR1364" s="233"/>
      <c r="BS1364" s="48"/>
      <c r="BT1364" s="233"/>
      <c r="BU1364" s="228"/>
      <c r="BV1364" s="233"/>
      <c r="BW1364" s="233"/>
      <c r="BX1364" s="233"/>
      <c r="BY1364" s="233"/>
      <c r="BZ1364" s="233"/>
      <c r="CA1364" s="233"/>
      <c r="CB1364" s="233"/>
      <c r="CC1364" s="48"/>
      <c r="CD1364" s="48"/>
      <c r="CE1364" s="48"/>
      <c r="CF1364" s="48"/>
      <c r="CG1364" s="233"/>
      <c r="CH1364" s="48"/>
      <c r="CI1364" s="98"/>
      <c r="CJ1364" s="98"/>
      <c r="CK1364" s="49">
        <f t="shared" si="356"/>
        <v>16.184228929883741</v>
      </c>
      <c r="CL1364" s="229"/>
      <c r="CM1364" s="229"/>
      <c r="CN1364" s="229"/>
      <c r="CO1364" s="47" t="s">
        <v>892</v>
      </c>
      <c r="CP1364" s="47" t="s">
        <v>893</v>
      </c>
      <c r="CQ1364" s="224">
        <v>-0.26822300440565566</v>
      </c>
      <c r="CR1364" s="224">
        <f>10^(CJ1364-CQ1364)</f>
        <v>1.8544836315042217</v>
      </c>
      <c r="CS1364" s="230" t="s">
        <v>539</v>
      </c>
      <c r="CT1364" s="230"/>
      <c r="CU1364" s="230"/>
      <c r="CV1364" s="335">
        <f t="shared" si="360"/>
        <v>136.86930623686055</v>
      </c>
      <c r="CW1364" s="230">
        <f t="shared" si="354"/>
        <v>1</v>
      </c>
      <c r="CX1364" s="336" t="s">
        <v>539</v>
      </c>
      <c r="CY1364" s="230" t="s">
        <v>5921</v>
      </c>
    </row>
    <row r="1365" spans="1:103" ht="11.25" customHeight="1" x14ac:dyDescent="0.2">
      <c r="A1365" s="72">
        <v>1363</v>
      </c>
      <c r="B1365" s="224">
        <v>1885</v>
      </c>
      <c r="C1365" s="46" t="s">
        <v>7439</v>
      </c>
      <c r="D1365" s="46"/>
      <c r="E1365" s="114"/>
      <c r="F1365" s="114" t="s">
        <v>4028</v>
      </c>
      <c r="G1365" s="225">
        <v>34014181</v>
      </c>
      <c r="H1365" s="47" t="s">
        <v>4029</v>
      </c>
      <c r="I1365" s="47" t="s">
        <v>4029</v>
      </c>
      <c r="J1365" s="47" t="s">
        <v>4030</v>
      </c>
      <c r="K1365" s="47" t="s">
        <v>1292</v>
      </c>
      <c r="L1365" s="47" t="s">
        <v>6056</v>
      </c>
      <c r="M1365" s="47" t="s">
        <v>6082</v>
      </c>
      <c r="N1365" s="47" t="s">
        <v>6082</v>
      </c>
      <c r="O1365" s="47" t="s">
        <v>6083</v>
      </c>
      <c r="P1365" s="53"/>
      <c r="Q1365" s="53"/>
      <c r="R1365" s="53"/>
      <c r="S1365" s="53"/>
      <c r="T1365" s="48">
        <v>228.32</v>
      </c>
      <c r="U1365" s="98">
        <v>10.949544498948844</v>
      </c>
      <c r="V1365" s="98">
        <v>4.0289943938332167</v>
      </c>
      <c r="W1365" s="98">
        <v>9.3325430079699103</v>
      </c>
      <c r="X1365" s="98">
        <v>10.949544498948844</v>
      </c>
      <c r="Y1365" s="233">
        <v>7.17</v>
      </c>
      <c r="Z1365" s="48">
        <v>1.78</v>
      </c>
      <c r="AA1365" s="48">
        <v>1.79</v>
      </c>
      <c r="AB1365" s="48">
        <v>1.71</v>
      </c>
      <c r="AC1365" s="48">
        <v>0.75580000000000003</v>
      </c>
      <c r="AD1365" s="48">
        <v>1.73</v>
      </c>
      <c r="AE1365" s="48">
        <v>1.79</v>
      </c>
      <c r="AF1365" s="48">
        <f t="shared" si="355"/>
        <v>1.79</v>
      </c>
      <c r="AG1365" s="49">
        <v>2.62</v>
      </c>
      <c r="AH1365" s="98">
        <v>6.7699999999999996E-12</v>
      </c>
      <c r="AI1365" s="98">
        <v>1.2E-10</v>
      </c>
      <c r="AJ1365" s="483">
        <f t="shared" si="357"/>
        <v>-9.5579776576275073</v>
      </c>
      <c r="AK1365" s="483">
        <f>LOG10(AI1365*1000/(0.08206*298.15))</f>
        <v>-8.3093850802650273</v>
      </c>
      <c r="AL1365" s="483">
        <f t="shared" si="358"/>
        <v>-8.3093850802650273</v>
      </c>
      <c r="AM1365" s="483">
        <v>-11.597460000000002</v>
      </c>
      <c r="AN1365" s="226">
        <v>-9.6199999999999992</v>
      </c>
      <c r="AO1365" s="484">
        <v>13.36</v>
      </c>
      <c r="AP1365" s="484">
        <v>2.13</v>
      </c>
      <c r="AQ1365" s="226" t="s">
        <v>6311</v>
      </c>
      <c r="AR1365" s="226" t="s">
        <v>6311</v>
      </c>
      <c r="AS1365" s="224"/>
      <c r="AT1365" s="50" t="s">
        <v>266</v>
      </c>
      <c r="AU1365" s="48">
        <v>6</v>
      </c>
      <c r="AV1365" s="48">
        <v>120</v>
      </c>
      <c r="AW1365" s="48">
        <v>114</v>
      </c>
      <c r="AX1365" s="48">
        <v>28</v>
      </c>
      <c r="AY1365" s="48" t="s">
        <v>8728</v>
      </c>
      <c r="AZ1365" s="48" t="s">
        <v>1563</v>
      </c>
      <c r="BA1365" s="48">
        <v>32</v>
      </c>
      <c r="BB1365" s="47" t="s">
        <v>2485</v>
      </c>
      <c r="BC1365" s="47" t="s">
        <v>8726</v>
      </c>
      <c r="BD1365" s="47" t="s">
        <v>8374</v>
      </c>
      <c r="BE1365" s="48" t="s">
        <v>2449</v>
      </c>
      <c r="BF1365" s="48" t="s">
        <v>272</v>
      </c>
      <c r="BG1365" s="48" t="s">
        <v>272</v>
      </c>
      <c r="BH1365" s="48" t="s">
        <v>2486</v>
      </c>
      <c r="BI1365" s="98">
        <v>6.3999999999999997E-6</v>
      </c>
      <c r="BJ1365" s="98">
        <v>6.4000000000000001E-2</v>
      </c>
      <c r="BK1365" s="48"/>
      <c r="BL1365" s="98">
        <f t="shared" si="359"/>
        <v>1.2947383143906992</v>
      </c>
      <c r="BM1365" s="47" t="s">
        <v>2487</v>
      </c>
      <c r="BN1365" s="48"/>
      <c r="BO1365" s="48"/>
      <c r="BP1365" s="48"/>
      <c r="BQ1365" s="48"/>
      <c r="BR1365" s="47" t="s">
        <v>2496</v>
      </c>
      <c r="BS1365" s="48"/>
      <c r="BT1365" s="48"/>
      <c r="BU1365" s="228"/>
      <c r="BV1365" s="48"/>
      <c r="BW1365" s="48"/>
      <c r="BX1365" s="48"/>
      <c r="BY1365" s="48"/>
      <c r="BZ1365" s="48"/>
      <c r="CA1365" s="48"/>
      <c r="CB1365" s="48"/>
      <c r="CC1365" s="48"/>
      <c r="CD1365" s="48"/>
      <c r="CE1365" s="48"/>
      <c r="CF1365" s="48"/>
      <c r="CG1365" s="48"/>
      <c r="CH1365" s="48"/>
      <c r="CI1365" s="98"/>
      <c r="CJ1365" s="98"/>
      <c r="CK1365" s="49">
        <f t="shared" si="356"/>
        <v>20.230286162354673</v>
      </c>
      <c r="CL1365" s="229"/>
      <c r="CM1365" s="229"/>
      <c r="CN1365" s="229"/>
      <c r="CO1365" s="47" t="s">
        <v>2488</v>
      </c>
      <c r="CP1365" s="47" t="s">
        <v>2489</v>
      </c>
      <c r="CQ1365" s="224">
        <v>-0.26822300440565566</v>
      </c>
      <c r="CR1365" s="224">
        <f>10^(CJ1365-CQ1365)</f>
        <v>1.8544836315042217</v>
      </c>
      <c r="CS1365" s="230" t="s">
        <v>539</v>
      </c>
      <c r="CT1365" s="230"/>
      <c r="CU1365" s="230"/>
      <c r="CV1365" s="335">
        <f t="shared" si="360"/>
        <v>171.08663279607569</v>
      </c>
      <c r="CW1365" s="230">
        <f t="shared" si="354"/>
        <v>1</v>
      </c>
      <c r="CX1365" s="336"/>
      <c r="CY1365" s="230" t="s">
        <v>5921</v>
      </c>
    </row>
    <row r="1366" spans="1:103" ht="11.25" customHeight="1" x14ac:dyDescent="0.2">
      <c r="A1366" s="72">
        <v>1364</v>
      </c>
      <c r="B1366" s="224">
        <v>1256</v>
      </c>
      <c r="C1366" s="46" t="s">
        <v>7440</v>
      </c>
      <c r="D1366" s="46"/>
      <c r="E1366" s="114"/>
      <c r="F1366" s="114" t="s">
        <v>3453</v>
      </c>
      <c r="G1366" s="225">
        <v>34590948</v>
      </c>
      <c r="H1366" s="47" t="s">
        <v>3454</v>
      </c>
      <c r="I1366" s="47" t="s">
        <v>3454</v>
      </c>
      <c r="J1366" s="47"/>
      <c r="K1366" s="47" t="s">
        <v>426</v>
      </c>
      <c r="L1366" s="47"/>
      <c r="M1366" s="47"/>
      <c r="N1366" s="47"/>
      <c r="O1366" s="47"/>
      <c r="P1366" s="53"/>
      <c r="Q1366" s="53"/>
      <c r="R1366" s="53"/>
      <c r="S1366" s="53"/>
      <c r="T1366" s="48">
        <v>148.19999999999999</v>
      </c>
      <c r="U1366" s="98">
        <v>6747.6383265856957</v>
      </c>
      <c r="V1366" s="98">
        <v>3330.6342780026994</v>
      </c>
      <c r="W1366" s="98">
        <v>2344.228815319922</v>
      </c>
      <c r="X1366" s="98">
        <v>6747.6383265856957</v>
      </c>
      <c r="Y1366" s="233">
        <v>6.87</v>
      </c>
      <c r="Z1366" s="48">
        <v>-0.35</v>
      </c>
      <c r="AA1366" s="48"/>
      <c r="AB1366" s="48">
        <v>0.21</v>
      </c>
      <c r="AC1366" s="48">
        <v>0.85880000000000001</v>
      </c>
      <c r="AD1366" s="48">
        <v>0.04</v>
      </c>
      <c r="AE1366" s="48">
        <v>-0.46</v>
      </c>
      <c r="AF1366" s="48">
        <f t="shared" si="355"/>
        <v>0.04</v>
      </c>
      <c r="AG1366" s="49">
        <v>0.04</v>
      </c>
      <c r="AH1366" s="98">
        <v>1.15E-9</v>
      </c>
      <c r="AI1366" s="98"/>
      <c r="AJ1366" s="483">
        <f t="shared" si="357"/>
        <v>-7.3278684859590397</v>
      </c>
      <c r="AK1366" s="483"/>
      <c r="AL1366" s="483">
        <f t="shared" si="358"/>
        <v>-7.3278684859590397</v>
      </c>
      <c r="AM1366" s="483">
        <v>-7.1010800000000005</v>
      </c>
      <c r="AN1366" s="226"/>
      <c r="AO1366" s="484">
        <v>14.43</v>
      </c>
      <c r="AP1366" s="484"/>
      <c r="AQ1366" s="48" t="s">
        <v>6311</v>
      </c>
      <c r="AR1366" s="48" t="s">
        <v>6311</v>
      </c>
      <c r="AS1366" s="227"/>
      <c r="AT1366" s="50" t="s">
        <v>266</v>
      </c>
      <c r="AU1366" s="48">
        <v>6</v>
      </c>
      <c r="AV1366" s="48">
        <v>120</v>
      </c>
      <c r="AW1366" s="48">
        <v>114</v>
      </c>
      <c r="AX1366" s="48">
        <v>28</v>
      </c>
      <c r="AY1366" s="48" t="s">
        <v>8728</v>
      </c>
      <c r="AZ1366" s="48" t="s">
        <v>1563</v>
      </c>
      <c r="BA1366" s="48">
        <v>32</v>
      </c>
      <c r="BB1366" s="47" t="s">
        <v>2485</v>
      </c>
      <c r="BC1366" s="47" t="s">
        <v>8726</v>
      </c>
      <c r="BD1366" s="47" t="s">
        <v>8374</v>
      </c>
      <c r="BE1366" s="48" t="s">
        <v>2449</v>
      </c>
      <c r="BF1366" s="48" t="s">
        <v>272</v>
      </c>
      <c r="BG1366" s="48" t="s">
        <v>272</v>
      </c>
      <c r="BH1366" s="48" t="s">
        <v>2486</v>
      </c>
      <c r="BI1366" s="98">
        <v>6.3999999999999997E-6</v>
      </c>
      <c r="BJ1366" s="98">
        <v>6.4000000000000001E-2</v>
      </c>
      <c r="BK1366" s="48"/>
      <c r="BL1366" s="98">
        <f t="shared" si="359"/>
        <v>105.95830443069313</v>
      </c>
      <c r="BM1366" s="47" t="s">
        <v>2487</v>
      </c>
      <c r="BN1366" s="48"/>
      <c r="BO1366" s="48"/>
      <c r="BP1366" s="48"/>
      <c r="BQ1366" s="48"/>
      <c r="BR1366" s="47" t="s">
        <v>2496</v>
      </c>
      <c r="BS1366" s="48"/>
      <c r="BT1366" s="48"/>
      <c r="BU1366" s="228">
        <v>6.3999999999999997E-6</v>
      </c>
      <c r="BV1366" s="48"/>
      <c r="BW1366" s="48"/>
      <c r="BX1366" s="48"/>
      <c r="BY1366" s="48"/>
      <c r="BZ1366" s="48"/>
      <c r="CA1366" s="48"/>
      <c r="CB1366" s="48"/>
      <c r="CC1366" s="48"/>
      <c r="CD1366" s="48"/>
      <c r="CE1366" s="48"/>
      <c r="CF1366" s="48"/>
      <c r="CG1366" s="48"/>
      <c r="CH1366" s="48"/>
      <c r="CI1366" s="98"/>
      <c r="CJ1366" s="98"/>
      <c r="CK1366" s="49">
        <f t="shared" si="356"/>
        <v>1655.5985067295801</v>
      </c>
      <c r="CL1366" s="229"/>
      <c r="CM1366" s="229"/>
      <c r="CN1366" s="229"/>
      <c r="CO1366" s="47" t="s">
        <v>2488</v>
      </c>
      <c r="CP1366" s="47" t="s">
        <v>2489</v>
      </c>
      <c r="CQ1366" s="224" t="s">
        <v>272</v>
      </c>
      <c r="CR1366" s="224"/>
      <c r="CS1366" s="230" t="s">
        <v>539</v>
      </c>
      <c r="CT1366" s="230"/>
      <c r="CU1366" s="230"/>
      <c r="CV1366" s="335">
        <f t="shared" si="360"/>
        <v>105431.84885290149</v>
      </c>
      <c r="CW1366" s="230">
        <f t="shared" si="354"/>
        <v>1</v>
      </c>
      <c r="CX1366" s="336"/>
      <c r="CY1366" s="230" t="s">
        <v>6351</v>
      </c>
    </row>
    <row r="1367" spans="1:103" ht="11.25" customHeight="1" x14ac:dyDescent="0.2">
      <c r="A1367" s="72">
        <v>1365</v>
      </c>
      <c r="B1367" s="224">
        <v>1536</v>
      </c>
      <c r="C1367" s="46" t="s">
        <v>7441</v>
      </c>
      <c r="D1367" s="46"/>
      <c r="E1367" s="114"/>
      <c r="F1367" s="114" t="s">
        <v>4646</v>
      </c>
      <c r="G1367" s="225">
        <v>35256850</v>
      </c>
      <c r="H1367" s="47" t="s">
        <v>4647</v>
      </c>
      <c r="I1367" s="47" t="s">
        <v>4647</v>
      </c>
      <c r="J1367" s="47" t="s">
        <v>4648</v>
      </c>
      <c r="K1367" s="47" t="s">
        <v>471</v>
      </c>
      <c r="L1367" s="51"/>
      <c r="M1367" s="47"/>
      <c r="N1367" s="47"/>
      <c r="O1367" s="47"/>
      <c r="P1367" s="53"/>
      <c r="Q1367" s="53"/>
      <c r="R1367" s="53"/>
      <c r="S1367" s="53"/>
      <c r="T1367" s="48">
        <v>233.35</v>
      </c>
      <c r="U1367" s="98">
        <v>3.3854724662524105</v>
      </c>
      <c r="V1367" s="98">
        <v>0.3429183629740733</v>
      </c>
      <c r="W1367" s="98">
        <v>2.7542287033381649</v>
      </c>
      <c r="X1367" s="98">
        <v>3.3854724662524105</v>
      </c>
      <c r="Y1367" s="233">
        <v>7</v>
      </c>
      <c r="Z1367" s="48">
        <v>3.49</v>
      </c>
      <c r="AA1367" s="48">
        <v>3</v>
      </c>
      <c r="AB1367" s="48">
        <v>3.77</v>
      </c>
      <c r="AC1367" s="48">
        <v>0.78239999999999998</v>
      </c>
      <c r="AD1367" s="48">
        <v>3.57</v>
      </c>
      <c r="AE1367" s="48">
        <v>3.14</v>
      </c>
      <c r="AF1367" s="48">
        <f t="shared" si="355"/>
        <v>3</v>
      </c>
      <c r="AG1367" s="49">
        <v>3.22</v>
      </c>
      <c r="AH1367" s="98">
        <v>1.7900000000000001E-8</v>
      </c>
      <c r="AI1367" s="98">
        <v>2.6E-7</v>
      </c>
      <c r="AJ1367" s="483">
        <f t="shared" si="357"/>
        <v>-6.1357132953327582</v>
      </c>
      <c r="AK1367" s="483">
        <f t="shared" ref="AK1367:AK1372" si="361">LOG10(AI1367*1000/(0.08206*298.15))</f>
        <v>-4.9735929783418342</v>
      </c>
      <c r="AL1367" s="483">
        <f t="shared" si="358"/>
        <v>-4.9735929783418342</v>
      </c>
      <c r="AM1367" s="483">
        <v>-9.1560299999999994</v>
      </c>
      <c r="AN1367" s="226">
        <v>-6.59</v>
      </c>
      <c r="AO1367" s="484"/>
      <c r="AP1367" s="484">
        <v>-0.5</v>
      </c>
      <c r="AQ1367" s="48" t="s">
        <v>6311</v>
      </c>
      <c r="AR1367" s="48" t="s">
        <v>6311</v>
      </c>
      <c r="AS1367" s="227"/>
      <c r="AT1367" s="50" t="s">
        <v>266</v>
      </c>
      <c r="AU1367" s="48">
        <v>6</v>
      </c>
      <c r="AV1367" s="48">
        <v>120</v>
      </c>
      <c r="AW1367" s="48">
        <v>114</v>
      </c>
      <c r="AX1367" s="48">
        <v>28</v>
      </c>
      <c r="AY1367" s="48" t="s">
        <v>8728</v>
      </c>
      <c r="AZ1367" s="48" t="s">
        <v>1563</v>
      </c>
      <c r="BA1367" s="48">
        <v>32</v>
      </c>
      <c r="BB1367" s="47" t="s">
        <v>2485</v>
      </c>
      <c r="BC1367" s="47" t="s">
        <v>8726</v>
      </c>
      <c r="BD1367" s="47" t="s">
        <v>8374</v>
      </c>
      <c r="BE1367" s="48" t="s">
        <v>2449</v>
      </c>
      <c r="BF1367" s="48" t="s">
        <v>272</v>
      </c>
      <c r="BG1367" s="48" t="s">
        <v>272</v>
      </c>
      <c r="BH1367" s="48" t="s">
        <v>2486</v>
      </c>
      <c r="BI1367" s="98">
        <v>6.3999999999999997E-6</v>
      </c>
      <c r="BJ1367" s="98">
        <v>6.4000000000000001E-2</v>
      </c>
      <c r="BK1367" s="48"/>
      <c r="BL1367" s="98">
        <f t="shared" si="359"/>
        <v>3.7707783074033704E-2</v>
      </c>
      <c r="BM1367" s="47" t="s">
        <v>2487</v>
      </c>
      <c r="BN1367" s="48"/>
      <c r="BO1367" s="48"/>
      <c r="BP1367" s="48"/>
      <c r="BQ1367" s="48"/>
      <c r="BR1367" s="47" t="s">
        <v>2496</v>
      </c>
      <c r="BS1367" s="48"/>
      <c r="BT1367" s="48"/>
      <c r="BU1367" s="228"/>
      <c r="BV1367" s="48"/>
      <c r="BW1367" s="48"/>
      <c r="BX1367" s="48"/>
      <c r="BY1367" s="48"/>
      <c r="BZ1367" s="48"/>
      <c r="CA1367" s="48"/>
      <c r="CB1367" s="48"/>
      <c r="CC1367" s="48"/>
      <c r="CD1367" s="48"/>
      <c r="CE1367" s="48"/>
      <c r="CF1367" s="48"/>
      <c r="CG1367" s="48"/>
      <c r="CH1367" s="48"/>
      <c r="CI1367" s="98"/>
      <c r="CJ1367" s="98"/>
      <c r="CK1367" s="49">
        <f t="shared" si="356"/>
        <v>0.58918411053177666</v>
      </c>
      <c r="CL1367" s="229"/>
      <c r="CM1367" s="229"/>
      <c r="CN1367" s="229"/>
      <c r="CO1367" s="47" t="s">
        <v>2488</v>
      </c>
      <c r="CP1367" s="47" t="s">
        <v>2489</v>
      </c>
      <c r="CQ1367" s="224" t="s">
        <v>272</v>
      </c>
      <c r="CR1367" s="224"/>
      <c r="CS1367" s="230" t="s">
        <v>539</v>
      </c>
      <c r="CT1367" s="230"/>
      <c r="CU1367" s="230"/>
      <c r="CV1367" s="335">
        <f t="shared" si="360"/>
        <v>52.898007285193913</v>
      </c>
      <c r="CW1367" s="230">
        <f t="shared" si="354"/>
        <v>1</v>
      </c>
      <c r="CX1367" s="336"/>
      <c r="CY1367" s="230" t="s">
        <v>5921</v>
      </c>
    </row>
    <row r="1368" spans="1:103" ht="11.25" customHeight="1" x14ac:dyDescent="0.2">
      <c r="A1368" s="72">
        <v>1366</v>
      </c>
      <c r="B1368" s="224">
        <v>1509</v>
      </c>
      <c r="C1368" s="46" t="s">
        <v>941</v>
      </c>
      <c r="D1368" s="46"/>
      <c r="E1368" s="114"/>
      <c r="F1368" s="114" t="s">
        <v>942</v>
      </c>
      <c r="G1368" s="225">
        <v>35575963</v>
      </c>
      <c r="H1368" s="47" t="s">
        <v>943</v>
      </c>
      <c r="I1368" s="47" t="s">
        <v>8121</v>
      </c>
      <c r="J1368" s="47" t="s">
        <v>944</v>
      </c>
      <c r="K1368" s="47" t="s">
        <v>945</v>
      </c>
      <c r="L1368" s="47" t="s">
        <v>617</v>
      </c>
      <c r="M1368" s="47" t="s">
        <v>946</v>
      </c>
      <c r="N1368" s="47" t="s">
        <v>6376</v>
      </c>
      <c r="O1368" s="47" t="s">
        <v>918</v>
      </c>
      <c r="P1368" s="53"/>
      <c r="Q1368" s="53"/>
      <c r="R1368" s="53"/>
      <c r="S1368" s="53"/>
      <c r="T1368" s="48">
        <v>324.68</v>
      </c>
      <c r="U1368" s="98">
        <v>3.3879512135025256</v>
      </c>
      <c r="V1368" s="98">
        <v>3.4341505482321053</v>
      </c>
      <c r="W1368" s="98">
        <v>7.7624711662869155</v>
      </c>
      <c r="X1368" s="98">
        <v>3.3879512135025256</v>
      </c>
      <c r="Y1368" s="233">
        <v>7.01</v>
      </c>
      <c r="Z1368" s="48">
        <v>1</v>
      </c>
      <c r="AA1368" s="48">
        <v>1.05</v>
      </c>
      <c r="AB1368" s="48">
        <v>1.73</v>
      </c>
      <c r="AC1368" s="48">
        <v>0.75849999999999995</v>
      </c>
      <c r="AD1368" s="48">
        <v>1.52</v>
      </c>
      <c r="AE1368" s="48">
        <v>0.82</v>
      </c>
      <c r="AF1368" s="48">
        <f t="shared" si="355"/>
        <v>1.05</v>
      </c>
      <c r="AG1368" s="49">
        <v>1.8</v>
      </c>
      <c r="AH1368" s="98">
        <v>6.3300000000000003E-13</v>
      </c>
      <c r="AI1368" s="98">
        <v>1.43E-11</v>
      </c>
      <c r="AJ1368" s="483">
        <f t="shared" si="357"/>
        <v>-10.587162616295297</v>
      </c>
      <c r="AK1368" s="483">
        <f t="shared" si="361"/>
        <v>-9.2332302888475901</v>
      </c>
      <c r="AL1368" s="483">
        <f t="shared" si="358"/>
        <v>-9.2332302888475901</v>
      </c>
      <c r="AM1368" s="483">
        <v>-17.02599</v>
      </c>
      <c r="AN1368" s="226">
        <v>-11.6</v>
      </c>
      <c r="AO1368" s="484"/>
      <c r="AP1368" s="484">
        <v>0.94</v>
      </c>
      <c r="AQ1368" s="48" t="s">
        <v>6314</v>
      </c>
      <c r="AR1368" s="48" t="s">
        <v>6312</v>
      </c>
      <c r="AS1368" s="227"/>
      <c r="AT1368" s="50" t="s">
        <v>266</v>
      </c>
      <c r="AU1368" s="48">
        <v>6</v>
      </c>
      <c r="AV1368" s="48">
        <v>120</v>
      </c>
      <c r="AW1368" s="48">
        <v>114</v>
      </c>
      <c r="AX1368" s="48">
        <v>28</v>
      </c>
      <c r="AY1368" s="48" t="s">
        <v>8728</v>
      </c>
      <c r="AZ1368" s="48" t="s">
        <v>1563</v>
      </c>
      <c r="BA1368" s="48">
        <v>32</v>
      </c>
      <c r="BB1368" s="47" t="s">
        <v>2485</v>
      </c>
      <c r="BC1368" s="47" t="s">
        <v>8726</v>
      </c>
      <c r="BD1368" s="47" t="s">
        <v>8374</v>
      </c>
      <c r="BE1368" s="48" t="s">
        <v>2449</v>
      </c>
      <c r="BF1368" s="48" t="s">
        <v>272</v>
      </c>
      <c r="BG1368" s="48" t="s">
        <v>272</v>
      </c>
      <c r="BH1368" s="48" t="s">
        <v>2486</v>
      </c>
      <c r="BI1368" s="98">
        <v>6.3999999999999997E-6</v>
      </c>
      <c r="BJ1368" s="98">
        <v>6.4000000000000001E-2</v>
      </c>
      <c r="BK1368" s="48"/>
      <c r="BL1368" s="98">
        <f t="shared" si="359"/>
        <v>6.4968075173879427</v>
      </c>
      <c r="BM1368" s="47" t="s">
        <v>2487</v>
      </c>
      <c r="BN1368" s="48"/>
      <c r="BO1368" s="48"/>
      <c r="BP1368" s="48"/>
      <c r="BQ1368" s="48"/>
      <c r="BR1368" s="47" t="s">
        <v>2496</v>
      </c>
      <c r="BS1368" s="48"/>
      <c r="BT1368" s="48"/>
      <c r="BU1368" s="228"/>
      <c r="BV1368" s="48"/>
      <c r="BW1368" s="48"/>
      <c r="BX1368" s="48"/>
      <c r="BY1368" s="48"/>
      <c r="BZ1368" s="48"/>
      <c r="CA1368" s="48"/>
      <c r="CB1368" s="48"/>
      <c r="CC1368" s="48"/>
      <c r="CD1368" s="48"/>
      <c r="CE1368" s="48"/>
      <c r="CF1368" s="48"/>
      <c r="CG1368" s="48"/>
      <c r="CH1368" s="48"/>
      <c r="CI1368" s="98"/>
      <c r="CJ1368" s="98"/>
      <c r="CK1368" s="49">
        <f t="shared" si="356"/>
        <v>101.5126174591866</v>
      </c>
      <c r="CL1368" s="229"/>
      <c r="CM1368" s="229"/>
      <c r="CN1368" s="229"/>
      <c r="CO1368" s="47" t="s">
        <v>2488</v>
      </c>
      <c r="CP1368" s="47" t="s">
        <v>2489</v>
      </c>
      <c r="CQ1368" s="224" t="s">
        <v>272</v>
      </c>
      <c r="CR1368" s="224"/>
      <c r="CS1368" s="230" t="s">
        <v>539</v>
      </c>
      <c r="CT1368" s="230"/>
      <c r="CU1368" s="230"/>
      <c r="CV1368" s="335">
        <f t="shared" si="360"/>
        <v>52.936737710976963</v>
      </c>
      <c r="CW1368" s="230">
        <f t="shared" si="354"/>
        <v>1</v>
      </c>
      <c r="CX1368" s="336"/>
      <c r="CY1368" s="230" t="s">
        <v>5921</v>
      </c>
    </row>
    <row r="1369" spans="1:103" ht="11.25" customHeight="1" x14ac:dyDescent="0.2">
      <c r="A1369" s="72">
        <v>1367</v>
      </c>
      <c r="B1369" s="224">
        <v>362</v>
      </c>
      <c r="C1369" s="46" t="s">
        <v>7442</v>
      </c>
      <c r="D1369" s="46"/>
      <c r="E1369" s="114"/>
      <c r="F1369" s="114" t="s">
        <v>3222</v>
      </c>
      <c r="G1369" s="225">
        <v>36734197</v>
      </c>
      <c r="H1369" s="47" t="s">
        <v>3223</v>
      </c>
      <c r="I1369" s="47" t="s">
        <v>8122</v>
      </c>
      <c r="J1369" s="47" t="s">
        <v>3224</v>
      </c>
      <c r="K1369" s="47" t="s">
        <v>2039</v>
      </c>
      <c r="L1369" s="47" t="s">
        <v>6043</v>
      </c>
      <c r="M1369" s="47" t="s">
        <v>6082</v>
      </c>
      <c r="N1369" s="47" t="s">
        <v>6082</v>
      </c>
      <c r="O1369" s="47" t="s">
        <v>6083</v>
      </c>
      <c r="P1369" s="53"/>
      <c r="Q1369" s="53" t="s">
        <v>6176</v>
      </c>
      <c r="R1369" s="53" t="s">
        <v>6185</v>
      </c>
      <c r="S1369" s="53" t="s">
        <v>6179</v>
      </c>
      <c r="T1369" s="48">
        <v>330.17</v>
      </c>
      <c r="U1369" s="98">
        <v>4.2099524487385284E-2</v>
      </c>
      <c r="V1369" s="98">
        <v>6.7662113456704115E-2</v>
      </c>
      <c r="W1369" s="98">
        <v>6.9183097091893575E-2</v>
      </c>
      <c r="X1369" s="98">
        <v>4.2099524487385284E-2</v>
      </c>
      <c r="Y1369" s="233">
        <v>6.63</v>
      </c>
      <c r="Z1369" s="48">
        <v>2.85</v>
      </c>
      <c r="AA1369" s="48">
        <v>3</v>
      </c>
      <c r="AB1369" s="48">
        <v>3.51</v>
      </c>
      <c r="AC1369" s="48">
        <v>0.7833</v>
      </c>
      <c r="AD1369" s="48">
        <v>3.31</v>
      </c>
      <c r="AE1369" s="48">
        <v>2.8</v>
      </c>
      <c r="AF1369" s="48">
        <f t="shared" si="355"/>
        <v>3</v>
      </c>
      <c r="AG1369" s="49">
        <v>2.2400000000000002</v>
      </c>
      <c r="AH1369" s="98">
        <v>1.04E-13</v>
      </c>
      <c r="AI1369" s="98">
        <v>3.12E-9</v>
      </c>
      <c r="AJ1369" s="483">
        <f t="shared" si="357"/>
        <v>-11.371532987013872</v>
      </c>
      <c r="AK1369" s="483">
        <f t="shared" si="361"/>
        <v>-6.8944117322942091</v>
      </c>
      <c r="AL1369" s="483">
        <f t="shared" si="358"/>
        <v>-6.8944117322942091</v>
      </c>
      <c r="AM1369" s="483">
        <v>-15.96514</v>
      </c>
      <c r="AN1369" s="226">
        <v>-7.12</v>
      </c>
      <c r="AO1369" s="484">
        <v>9.19</v>
      </c>
      <c r="AP1369" s="484">
        <v>-2.23</v>
      </c>
      <c r="AQ1369" s="226" t="s">
        <v>6311</v>
      </c>
      <c r="AR1369" s="226" t="s">
        <v>6311</v>
      </c>
      <c r="AS1369" s="224" t="s">
        <v>6</v>
      </c>
      <c r="AT1369" s="50" t="s">
        <v>266</v>
      </c>
      <c r="AU1369" s="48">
        <v>8</v>
      </c>
      <c r="AV1369" s="48">
        <v>144</v>
      </c>
      <c r="AW1369" s="48">
        <v>120</v>
      </c>
      <c r="AX1369" s="48">
        <v>26</v>
      </c>
      <c r="AY1369" s="48" t="s">
        <v>267</v>
      </c>
      <c r="AZ1369" s="48" t="s">
        <v>2253</v>
      </c>
      <c r="BA1369" s="48">
        <v>2</v>
      </c>
      <c r="BB1369" s="47" t="s">
        <v>2254</v>
      </c>
      <c r="BC1369" s="47" t="s">
        <v>270</v>
      </c>
      <c r="BD1369" s="47" t="s">
        <v>8374</v>
      </c>
      <c r="BE1369" s="48" t="s">
        <v>1712</v>
      </c>
      <c r="BF1369" s="48" t="s">
        <v>272</v>
      </c>
      <c r="BG1369" s="48" t="s">
        <v>272</v>
      </c>
      <c r="BH1369" s="48" t="s">
        <v>2255</v>
      </c>
      <c r="BI1369" s="98">
        <v>9.9999999999999995E-7</v>
      </c>
      <c r="BJ1369" s="98">
        <v>0.08</v>
      </c>
      <c r="BK1369" s="48"/>
      <c r="BL1369" s="98">
        <f t="shared" si="359"/>
        <v>0.14164948503925373</v>
      </c>
      <c r="BM1369" s="48" t="s">
        <v>891</v>
      </c>
      <c r="BN1369" s="233"/>
      <c r="BO1369" s="233"/>
      <c r="BP1369" s="233"/>
      <c r="BQ1369" s="233"/>
      <c r="BR1369" s="233"/>
      <c r="BS1369" s="48"/>
      <c r="BT1369" s="233"/>
      <c r="BU1369" s="228"/>
      <c r="BV1369" s="233"/>
      <c r="BW1369" s="233"/>
      <c r="BX1369" s="233"/>
      <c r="BY1369" s="233"/>
      <c r="BZ1369" s="233"/>
      <c r="CA1369" s="233"/>
      <c r="CB1369" s="233"/>
      <c r="CC1369" s="48"/>
      <c r="CD1369" s="48"/>
      <c r="CE1369" s="48"/>
      <c r="CF1369" s="48"/>
      <c r="CG1369" s="233"/>
      <c r="CH1369" s="48"/>
      <c r="CI1369" s="98"/>
      <c r="CJ1369" s="98"/>
      <c r="CK1369" s="49">
        <f t="shared" si="356"/>
        <v>1.7706185629906717</v>
      </c>
      <c r="CL1369" s="229"/>
      <c r="CM1369" s="229"/>
      <c r="CN1369" s="229"/>
      <c r="CO1369" s="47" t="s">
        <v>892</v>
      </c>
      <c r="CP1369" s="47" t="s">
        <v>893</v>
      </c>
      <c r="CQ1369" s="224">
        <v>-1.7980160680790358</v>
      </c>
      <c r="CR1369" s="224">
        <f>10^(CJ1369-CQ1369)</f>
        <v>62.808159622124812</v>
      </c>
      <c r="CS1369" s="230" t="s">
        <v>539</v>
      </c>
      <c r="CT1369" s="230"/>
      <c r="CU1369" s="230"/>
      <c r="CV1369" s="335">
        <f t="shared" si="360"/>
        <v>0.52624405609231606</v>
      </c>
      <c r="CW1369" s="230">
        <f t="shared" si="354"/>
        <v>0</v>
      </c>
      <c r="CX1369" s="336" t="s">
        <v>539</v>
      </c>
      <c r="CY1369" s="230" t="s">
        <v>5921</v>
      </c>
    </row>
    <row r="1370" spans="1:103" ht="11.25" customHeight="1" x14ac:dyDescent="0.2">
      <c r="A1370" s="72">
        <v>1368</v>
      </c>
      <c r="B1370" s="224">
        <v>1167</v>
      </c>
      <c r="C1370" s="46" t="s">
        <v>7442</v>
      </c>
      <c r="D1370" s="46"/>
      <c r="E1370" s="114"/>
      <c r="F1370" s="114" t="s">
        <v>3222</v>
      </c>
      <c r="G1370" s="225">
        <v>36734197</v>
      </c>
      <c r="H1370" s="47" t="s">
        <v>3223</v>
      </c>
      <c r="I1370" s="47" t="s">
        <v>8122</v>
      </c>
      <c r="J1370" s="47" t="s">
        <v>3224</v>
      </c>
      <c r="K1370" s="47" t="s">
        <v>2039</v>
      </c>
      <c r="L1370" s="47" t="s">
        <v>6043</v>
      </c>
      <c r="M1370" s="47" t="s">
        <v>6082</v>
      </c>
      <c r="N1370" s="47" t="s">
        <v>6082</v>
      </c>
      <c r="O1370" s="47" t="s">
        <v>6083</v>
      </c>
      <c r="P1370" s="53"/>
      <c r="Q1370" s="53"/>
      <c r="R1370" s="53"/>
      <c r="S1370" s="53"/>
      <c r="T1370" s="48">
        <v>330.17</v>
      </c>
      <c r="U1370" s="98">
        <v>4.2099524487385284E-2</v>
      </c>
      <c r="V1370" s="98">
        <v>6.7662113456704115E-2</v>
      </c>
      <c r="W1370" s="98">
        <v>6.9183097091893575E-2</v>
      </c>
      <c r="X1370" s="98">
        <v>4.2099524487385284E-2</v>
      </c>
      <c r="Y1370" s="233">
        <v>6.63</v>
      </c>
      <c r="Z1370" s="48">
        <v>2.85</v>
      </c>
      <c r="AA1370" s="48">
        <v>3</v>
      </c>
      <c r="AB1370" s="48">
        <v>3.51</v>
      </c>
      <c r="AC1370" s="48">
        <v>0.7833</v>
      </c>
      <c r="AD1370" s="48">
        <v>3.31</v>
      </c>
      <c r="AE1370" s="48">
        <v>2.8</v>
      </c>
      <c r="AF1370" s="48">
        <f t="shared" si="355"/>
        <v>3</v>
      </c>
      <c r="AG1370" s="49">
        <v>2.2400000000000002</v>
      </c>
      <c r="AH1370" s="98">
        <v>1.04E-13</v>
      </c>
      <c r="AI1370" s="98">
        <v>3.12E-9</v>
      </c>
      <c r="AJ1370" s="483">
        <f t="shared" si="357"/>
        <v>-11.371532987013872</v>
      </c>
      <c r="AK1370" s="483">
        <f t="shared" si="361"/>
        <v>-6.8944117322942091</v>
      </c>
      <c r="AL1370" s="483">
        <f t="shared" si="358"/>
        <v>-6.8944117322942091</v>
      </c>
      <c r="AM1370" s="483">
        <v>-15.96514</v>
      </c>
      <c r="AN1370" s="226">
        <v>-7.12</v>
      </c>
      <c r="AO1370" s="484">
        <v>9.19</v>
      </c>
      <c r="AP1370" s="484">
        <v>-2.23</v>
      </c>
      <c r="AQ1370" s="48" t="s">
        <v>6311</v>
      </c>
      <c r="AR1370" s="48" t="s">
        <v>6311</v>
      </c>
      <c r="AS1370" s="227"/>
      <c r="AT1370" s="50" t="s">
        <v>266</v>
      </c>
      <c r="AU1370" s="48">
        <v>6</v>
      </c>
      <c r="AV1370" s="48">
        <v>120</v>
      </c>
      <c r="AW1370" s="48">
        <v>114</v>
      </c>
      <c r="AX1370" s="48">
        <v>28</v>
      </c>
      <c r="AY1370" s="48" t="s">
        <v>8728</v>
      </c>
      <c r="AZ1370" s="48" t="s">
        <v>1563</v>
      </c>
      <c r="BA1370" s="48">
        <v>32</v>
      </c>
      <c r="BB1370" s="47" t="s">
        <v>2485</v>
      </c>
      <c r="BC1370" s="47" t="s">
        <v>8726</v>
      </c>
      <c r="BD1370" s="47" t="s">
        <v>8374</v>
      </c>
      <c r="BE1370" s="48" t="s">
        <v>2449</v>
      </c>
      <c r="BF1370" s="48" t="s">
        <v>272</v>
      </c>
      <c r="BG1370" s="48" t="s">
        <v>272</v>
      </c>
      <c r="BH1370" s="48" t="s">
        <v>2486</v>
      </c>
      <c r="BI1370" s="98">
        <v>6.3999999999999997E-6</v>
      </c>
      <c r="BJ1370" s="98">
        <v>6.4000000000000001E-2</v>
      </c>
      <c r="BK1370" s="48"/>
      <c r="BL1370" s="98">
        <f t="shared" si="359"/>
        <v>0.14164948503925373</v>
      </c>
      <c r="BM1370" s="47" t="s">
        <v>2487</v>
      </c>
      <c r="BN1370" s="48"/>
      <c r="BO1370" s="48"/>
      <c r="BP1370" s="48"/>
      <c r="BQ1370" s="48"/>
      <c r="BR1370" s="47" t="s">
        <v>2496</v>
      </c>
      <c r="BS1370" s="48"/>
      <c r="BT1370" s="48"/>
      <c r="BU1370" s="228">
        <v>6.4000000000000001E-2</v>
      </c>
      <c r="BV1370" s="48"/>
      <c r="BW1370" s="48"/>
      <c r="BX1370" s="48"/>
      <c r="BY1370" s="48"/>
      <c r="BZ1370" s="48"/>
      <c r="CA1370" s="48"/>
      <c r="CB1370" s="48"/>
      <c r="CC1370" s="48"/>
      <c r="CD1370" s="48"/>
      <c r="CE1370" s="48"/>
      <c r="CF1370" s="48"/>
      <c r="CG1370" s="48"/>
      <c r="CH1370" s="48"/>
      <c r="CI1370" s="98"/>
      <c r="CJ1370" s="98"/>
      <c r="CK1370" s="49">
        <f t="shared" si="356"/>
        <v>2.2132732037383396</v>
      </c>
      <c r="CL1370" s="229"/>
      <c r="CM1370" s="229"/>
      <c r="CN1370" s="229"/>
      <c r="CO1370" s="47" t="s">
        <v>2488</v>
      </c>
      <c r="CP1370" s="47" t="s">
        <v>2489</v>
      </c>
      <c r="CQ1370" s="224">
        <v>-1.7980160680790358</v>
      </c>
      <c r="CR1370" s="224">
        <f>10^(CJ1370-CQ1370)</f>
        <v>62.808159622124812</v>
      </c>
      <c r="CS1370" s="230" t="s">
        <v>539</v>
      </c>
      <c r="CT1370" s="230"/>
      <c r="CU1370" s="230"/>
      <c r="CV1370" s="335">
        <f t="shared" si="360"/>
        <v>0.65780507011539502</v>
      </c>
      <c r="CW1370" s="230">
        <f t="shared" si="354"/>
        <v>0</v>
      </c>
      <c r="CX1370" s="336"/>
      <c r="CY1370" s="230" t="s">
        <v>5921</v>
      </c>
    </row>
    <row r="1371" spans="1:103" ht="11.25" customHeight="1" x14ac:dyDescent="0.2">
      <c r="A1371" s="72">
        <v>1369</v>
      </c>
      <c r="B1371" s="224">
        <v>426</v>
      </c>
      <c r="C1371" s="46" t="s">
        <v>7443</v>
      </c>
      <c r="D1371" s="46"/>
      <c r="E1371" s="114"/>
      <c r="F1371" s="114" t="s">
        <v>3970</v>
      </c>
      <c r="G1371" s="225">
        <v>40487421</v>
      </c>
      <c r="H1371" s="47" t="s">
        <v>3971</v>
      </c>
      <c r="I1371" s="47" t="s">
        <v>8123</v>
      </c>
      <c r="J1371" s="47" t="s">
        <v>3972</v>
      </c>
      <c r="K1371" s="47" t="s">
        <v>1011</v>
      </c>
      <c r="L1371" s="47" t="s">
        <v>6164</v>
      </c>
      <c r="M1371" s="47" t="s">
        <v>6088</v>
      </c>
      <c r="N1371" s="47" t="s">
        <v>6088</v>
      </c>
      <c r="O1371" s="47" t="s">
        <v>6083</v>
      </c>
      <c r="P1371" s="53"/>
      <c r="Q1371" s="53"/>
      <c r="R1371" s="53"/>
      <c r="S1371" s="53"/>
      <c r="T1371" s="48">
        <v>281.31</v>
      </c>
      <c r="U1371" s="98">
        <v>1.0664391596459421E-3</v>
      </c>
      <c r="V1371" s="98">
        <v>2.1101276172194377E-3</v>
      </c>
      <c r="W1371" s="98">
        <v>6.3095734448019216E-3</v>
      </c>
      <c r="X1371" s="98">
        <v>1.0664391596459421E-3</v>
      </c>
      <c r="Y1371" s="233">
        <v>7</v>
      </c>
      <c r="Z1371" s="48">
        <v>4.82</v>
      </c>
      <c r="AA1371" s="48">
        <v>5.18</v>
      </c>
      <c r="AB1371" s="48">
        <v>4.42</v>
      </c>
      <c r="AC1371" s="48">
        <v>0.73450000000000004</v>
      </c>
      <c r="AD1371" s="48">
        <v>4.83</v>
      </c>
      <c r="AE1371" s="48">
        <v>5.56</v>
      </c>
      <c r="AF1371" s="48">
        <f t="shared" si="355"/>
        <v>5.18</v>
      </c>
      <c r="AG1371" s="49">
        <v>3.48</v>
      </c>
      <c r="AH1371" s="98">
        <v>1.4500000000000001E-6</v>
      </c>
      <c r="AI1371" s="98">
        <v>8.5600000000000004E-7</v>
      </c>
      <c r="AJ1371" s="483">
        <f t="shared" si="357"/>
        <v>-4.2271983240776771</v>
      </c>
      <c r="AK1371" s="483">
        <f t="shared" si="361"/>
        <v>-4.4560925616354989</v>
      </c>
      <c r="AL1371" s="483">
        <f t="shared" si="358"/>
        <v>-4.4560925616354989</v>
      </c>
      <c r="AM1371" s="483">
        <v>-9.3757799999999989</v>
      </c>
      <c r="AN1371" s="226">
        <v>-2.91</v>
      </c>
      <c r="AO1371" s="484"/>
      <c r="AP1371" s="484">
        <v>-2.2400000000000002</v>
      </c>
      <c r="AQ1371" s="226" t="s">
        <v>6311</v>
      </c>
      <c r="AR1371" s="226" t="s">
        <v>6311</v>
      </c>
      <c r="AS1371" s="224" t="s">
        <v>6</v>
      </c>
      <c r="AT1371" s="50" t="s">
        <v>266</v>
      </c>
      <c r="AU1371" s="48">
        <v>8</v>
      </c>
      <c r="AV1371" s="48">
        <v>144</v>
      </c>
      <c r="AW1371" s="48">
        <v>120</v>
      </c>
      <c r="AX1371" s="48">
        <v>26</v>
      </c>
      <c r="AY1371" s="48" t="s">
        <v>267</v>
      </c>
      <c r="AZ1371" s="48" t="s">
        <v>2253</v>
      </c>
      <c r="BA1371" s="48">
        <v>2</v>
      </c>
      <c r="BB1371" s="47" t="s">
        <v>2254</v>
      </c>
      <c r="BC1371" s="47" t="s">
        <v>270</v>
      </c>
      <c r="BD1371" s="47" t="s">
        <v>8374</v>
      </c>
      <c r="BE1371" s="48" t="s">
        <v>1712</v>
      </c>
      <c r="BF1371" s="48" t="s">
        <v>272</v>
      </c>
      <c r="BG1371" s="48" t="s">
        <v>272</v>
      </c>
      <c r="BH1371" s="48" t="s">
        <v>2255</v>
      </c>
      <c r="BI1371" s="98">
        <v>9.9999999999999995E-7</v>
      </c>
      <c r="BJ1371" s="98">
        <v>0.08</v>
      </c>
      <c r="BK1371" s="48"/>
      <c r="BL1371" s="98">
        <f t="shared" si="359"/>
        <v>2.4096723814383521E-3</v>
      </c>
      <c r="BM1371" s="48" t="s">
        <v>891</v>
      </c>
      <c r="BN1371" s="233"/>
      <c r="BO1371" s="233"/>
      <c r="BP1371" s="233"/>
      <c r="BQ1371" s="233"/>
      <c r="BR1371" s="233"/>
      <c r="BS1371" s="48"/>
      <c r="BT1371" s="233"/>
      <c r="BU1371" s="228"/>
      <c r="BV1371" s="233"/>
      <c r="BW1371" s="233"/>
      <c r="BX1371" s="233"/>
      <c r="BY1371" s="233"/>
      <c r="BZ1371" s="233"/>
      <c r="CA1371" s="233"/>
      <c r="CB1371" s="233"/>
      <c r="CC1371" s="48"/>
      <c r="CD1371" s="48"/>
      <c r="CE1371" s="48"/>
      <c r="CF1371" s="48"/>
      <c r="CG1371" s="233"/>
      <c r="CH1371" s="48"/>
      <c r="CI1371" s="98"/>
      <c r="CJ1371" s="98"/>
      <c r="CK1371" s="49">
        <f t="shared" si="356"/>
        <v>3.0120904767979399E-2</v>
      </c>
      <c r="CL1371" s="229"/>
      <c r="CM1371" s="229"/>
      <c r="CN1371" s="229"/>
      <c r="CO1371" s="47" t="s">
        <v>892</v>
      </c>
      <c r="CP1371" s="47" t="s">
        <v>893</v>
      </c>
      <c r="CQ1371" s="224">
        <v>-2.1955297962798364</v>
      </c>
      <c r="CR1371" s="224">
        <f>10^(CJ1371-CQ1371)</f>
        <v>156.86635175919699</v>
      </c>
      <c r="CS1371" s="230" t="s">
        <v>539</v>
      </c>
      <c r="CT1371" s="230"/>
      <c r="CU1371" s="230"/>
      <c r="CV1371" s="335">
        <f t="shared" si="360"/>
        <v>1.3330489495574275E-2</v>
      </c>
      <c r="CW1371" s="230">
        <f t="shared" si="354"/>
        <v>0</v>
      </c>
      <c r="CX1371" s="336" t="s">
        <v>539</v>
      </c>
      <c r="CY1371" s="230" t="s">
        <v>5921</v>
      </c>
    </row>
    <row r="1372" spans="1:103" ht="11.25" customHeight="1" x14ac:dyDescent="0.2">
      <c r="A1372" s="72">
        <v>1370</v>
      </c>
      <c r="B1372" s="224">
        <v>1802</v>
      </c>
      <c r="C1372" s="46" t="s">
        <v>7443</v>
      </c>
      <c r="D1372" s="46"/>
      <c r="E1372" s="114"/>
      <c r="F1372" s="114" t="s">
        <v>3970</v>
      </c>
      <c r="G1372" s="225">
        <v>40487421</v>
      </c>
      <c r="H1372" s="47" t="s">
        <v>3971</v>
      </c>
      <c r="I1372" s="47" t="s">
        <v>8123</v>
      </c>
      <c r="J1372" s="47" t="s">
        <v>3972</v>
      </c>
      <c r="K1372" s="47" t="s">
        <v>1011</v>
      </c>
      <c r="L1372" s="47" t="s">
        <v>6164</v>
      </c>
      <c r="M1372" s="47" t="s">
        <v>6088</v>
      </c>
      <c r="N1372" s="47" t="s">
        <v>6088</v>
      </c>
      <c r="O1372" s="47" t="s">
        <v>6083</v>
      </c>
      <c r="P1372" s="53"/>
      <c r="Q1372" s="53"/>
      <c r="R1372" s="53"/>
      <c r="S1372" s="53"/>
      <c r="T1372" s="48">
        <v>281.31</v>
      </c>
      <c r="U1372" s="98">
        <v>1.0664391596459421E-3</v>
      </c>
      <c r="V1372" s="98">
        <v>2.1101276172194377E-3</v>
      </c>
      <c r="W1372" s="98">
        <v>6.3095734448019216E-3</v>
      </c>
      <c r="X1372" s="98">
        <v>1.0664391596459421E-3</v>
      </c>
      <c r="Y1372" s="233">
        <v>7</v>
      </c>
      <c r="Z1372" s="48">
        <v>4.82</v>
      </c>
      <c r="AA1372" s="48">
        <v>5.18</v>
      </c>
      <c r="AB1372" s="48">
        <v>4.42</v>
      </c>
      <c r="AC1372" s="48">
        <v>0.73450000000000004</v>
      </c>
      <c r="AD1372" s="48">
        <v>4.83</v>
      </c>
      <c r="AE1372" s="48">
        <v>5.56</v>
      </c>
      <c r="AF1372" s="48">
        <f t="shared" si="355"/>
        <v>5.18</v>
      </c>
      <c r="AG1372" s="49">
        <v>3.48</v>
      </c>
      <c r="AH1372" s="98">
        <v>1.4500000000000001E-6</v>
      </c>
      <c r="AI1372" s="98">
        <v>8.5600000000000004E-7</v>
      </c>
      <c r="AJ1372" s="483">
        <f t="shared" si="357"/>
        <v>-4.2271983240776771</v>
      </c>
      <c r="AK1372" s="483">
        <f t="shared" si="361"/>
        <v>-4.4560925616354989</v>
      </c>
      <c r="AL1372" s="483">
        <f t="shared" si="358"/>
        <v>-4.4560925616354989</v>
      </c>
      <c r="AM1372" s="483">
        <v>-9.3757799999999989</v>
      </c>
      <c r="AN1372" s="226">
        <v>-2.91</v>
      </c>
      <c r="AO1372" s="484"/>
      <c r="AP1372" s="484">
        <v>-2.2400000000000002</v>
      </c>
      <c r="AQ1372" s="226" t="s">
        <v>6311</v>
      </c>
      <c r="AR1372" s="226" t="s">
        <v>6311</v>
      </c>
      <c r="AS1372" s="224"/>
      <c r="AT1372" s="50" t="s">
        <v>266</v>
      </c>
      <c r="AU1372" s="48">
        <v>6</v>
      </c>
      <c r="AV1372" s="48">
        <v>120</v>
      </c>
      <c r="AW1372" s="48">
        <v>114</v>
      </c>
      <c r="AX1372" s="48">
        <v>28</v>
      </c>
      <c r="AY1372" s="48" t="s">
        <v>8728</v>
      </c>
      <c r="AZ1372" s="48" t="s">
        <v>1563</v>
      </c>
      <c r="BA1372" s="48">
        <v>32</v>
      </c>
      <c r="BB1372" s="47" t="s">
        <v>2485</v>
      </c>
      <c r="BC1372" s="47" t="s">
        <v>8726</v>
      </c>
      <c r="BD1372" s="47" t="s">
        <v>8374</v>
      </c>
      <c r="BE1372" s="48" t="s">
        <v>2449</v>
      </c>
      <c r="BF1372" s="48" t="s">
        <v>272</v>
      </c>
      <c r="BG1372" s="48" t="s">
        <v>272</v>
      </c>
      <c r="BH1372" s="48" t="s">
        <v>2486</v>
      </c>
      <c r="BI1372" s="98">
        <v>6.3999999999999997E-6</v>
      </c>
      <c r="BJ1372" s="98">
        <v>6.4000000000000001E-2</v>
      </c>
      <c r="BK1372" s="48"/>
      <c r="BL1372" s="98">
        <f t="shared" si="359"/>
        <v>2.4096723814383521E-3</v>
      </c>
      <c r="BM1372" s="47" t="s">
        <v>2487</v>
      </c>
      <c r="BN1372" s="48"/>
      <c r="BO1372" s="48"/>
      <c r="BP1372" s="48"/>
      <c r="BQ1372" s="48"/>
      <c r="BR1372" s="47" t="s">
        <v>2496</v>
      </c>
      <c r="BS1372" s="48"/>
      <c r="BT1372" s="48"/>
      <c r="BU1372" s="228"/>
      <c r="BV1372" s="48"/>
      <c r="BW1372" s="48"/>
      <c r="BX1372" s="48"/>
      <c r="BY1372" s="48"/>
      <c r="BZ1372" s="48"/>
      <c r="CA1372" s="48"/>
      <c r="CB1372" s="48"/>
      <c r="CC1372" s="48"/>
      <c r="CD1372" s="48"/>
      <c r="CE1372" s="48"/>
      <c r="CF1372" s="48"/>
      <c r="CG1372" s="48"/>
      <c r="CH1372" s="48"/>
      <c r="CI1372" s="52" t="s">
        <v>6347</v>
      </c>
      <c r="CJ1372" s="98"/>
      <c r="CK1372" s="49">
        <f t="shared" si="356"/>
        <v>3.7651130959974251E-2</v>
      </c>
      <c r="CL1372" s="229"/>
      <c r="CM1372" s="229"/>
      <c r="CN1372" s="229"/>
      <c r="CO1372" s="47" t="s">
        <v>2488</v>
      </c>
      <c r="CP1372" s="47" t="s">
        <v>2489</v>
      </c>
      <c r="CQ1372" s="224">
        <v>-2.1955297962798364</v>
      </c>
      <c r="CR1372" s="224">
        <f>10^(CJ1372-CQ1372)</f>
        <v>156.86635175919699</v>
      </c>
      <c r="CS1372" s="230" t="s">
        <v>539</v>
      </c>
      <c r="CT1372" s="230"/>
      <c r="CU1372" s="230"/>
      <c r="CV1372" s="335">
        <f t="shared" si="360"/>
        <v>1.6663111869467843E-2</v>
      </c>
      <c r="CW1372" s="230">
        <f t="shared" si="354"/>
        <v>0</v>
      </c>
      <c r="CX1372" s="336"/>
      <c r="CY1372" s="230" t="s">
        <v>5921</v>
      </c>
    </row>
    <row r="1373" spans="1:103" ht="11.25" customHeight="1" x14ac:dyDescent="0.2">
      <c r="A1373" s="72">
        <v>1371</v>
      </c>
      <c r="B1373" s="224">
        <v>1740</v>
      </c>
      <c r="C1373" s="46" t="s">
        <v>7444</v>
      </c>
      <c r="D1373" s="46"/>
      <c r="E1373" s="114"/>
      <c r="F1373" s="114" t="s">
        <v>5026</v>
      </c>
      <c r="G1373" s="225">
        <v>41372081</v>
      </c>
      <c r="H1373" s="47"/>
      <c r="I1373" s="47" t="s">
        <v>7877</v>
      </c>
      <c r="J1373" s="47"/>
      <c r="K1373" s="47"/>
      <c r="L1373" s="47"/>
      <c r="M1373" s="47"/>
      <c r="N1373" s="47"/>
      <c r="O1373" s="47"/>
      <c r="P1373" s="53"/>
      <c r="Q1373" s="53"/>
      <c r="R1373" s="53"/>
      <c r="S1373" s="53"/>
      <c r="T1373" s="48">
        <v>476.476</v>
      </c>
      <c r="U1373" s="98"/>
      <c r="V1373" s="98"/>
      <c r="W1373" s="98"/>
      <c r="X1373" s="98"/>
      <c r="Y1373" s="233"/>
      <c r="Z1373" s="48"/>
      <c r="AA1373" s="48"/>
      <c r="AB1373" s="48"/>
      <c r="AC1373" s="48"/>
      <c r="AD1373" s="48"/>
      <c r="AE1373" s="48"/>
      <c r="AF1373" s="48"/>
      <c r="AG1373" s="49">
        <v>0.13</v>
      </c>
      <c r="AH1373" s="98"/>
      <c r="AI1373" s="98"/>
      <c r="AJ1373" s="483"/>
      <c r="AK1373" s="483"/>
      <c r="AL1373" s="483"/>
      <c r="AM1373" s="483"/>
      <c r="AN1373" s="226"/>
      <c r="AO1373" s="484"/>
      <c r="AP1373" s="484"/>
      <c r="AQ1373" s="226" t="s">
        <v>6311</v>
      </c>
      <c r="AR1373" s="226" t="s">
        <v>6311</v>
      </c>
      <c r="AS1373" s="224"/>
      <c r="AT1373" s="50" t="s">
        <v>266</v>
      </c>
      <c r="AU1373" s="48">
        <v>6</v>
      </c>
      <c r="AV1373" s="48">
        <v>120</v>
      </c>
      <c r="AW1373" s="48">
        <v>114</v>
      </c>
      <c r="AX1373" s="48">
        <v>28</v>
      </c>
      <c r="AY1373" s="48" t="s">
        <v>8728</v>
      </c>
      <c r="AZ1373" s="48" t="s">
        <v>1563</v>
      </c>
      <c r="BA1373" s="48">
        <v>32</v>
      </c>
      <c r="BB1373" s="47" t="s">
        <v>2485</v>
      </c>
      <c r="BC1373" s="47" t="s">
        <v>8726</v>
      </c>
      <c r="BD1373" s="47" t="s">
        <v>8374</v>
      </c>
      <c r="BE1373" s="48" t="s">
        <v>2449</v>
      </c>
      <c r="BF1373" s="48" t="s">
        <v>272</v>
      </c>
      <c r="BG1373" s="48" t="s">
        <v>272</v>
      </c>
      <c r="BH1373" s="48" t="s">
        <v>2486</v>
      </c>
      <c r="BI1373" s="98">
        <v>6.3999999999999997E-6</v>
      </c>
      <c r="BJ1373" s="98">
        <v>6.4000000000000001E-2</v>
      </c>
      <c r="BK1373" s="48"/>
      <c r="BL1373" s="98"/>
      <c r="BM1373" s="47" t="s">
        <v>2487</v>
      </c>
      <c r="BN1373" s="48"/>
      <c r="BO1373" s="48"/>
      <c r="BP1373" s="48"/>
      <c r="BQ1373" s="48"/>
      <c r="BR1373" s="47" t="s">
        <v>2496</v>
      </c>
      <c r="BS1373" s="48"/>
      <c r="BT1373" s="48"/>
      <c r="BU1373" s="228"/>
      <c r="BV1373" s="48"/>
      <c r="BW1373" s="48"/>
      <c r="BX1373" s="48"/>
      <c r="BY1373" s="48"/>
      <c r="BZ1373" s="48"/>
      <c r="CA1373" s="48"/>
      <c r="CB1373" s="48"/>
      <c r="CC1373" s="48"/>
      <c r="CD1373" s="48"/>
      <c r="CE1373" s="48"/>
      <c r="CF1373" s="48"/>
      <c r="CG1373" s="48"/>
      <c r="CH1373" s="48"/>
      <c r="CI1373" s="98"/>
      <c r="CJ1373" s="98"/>
      <c r="CK1373" s="49">
        <f t="shared" si="356"/>
        <v>0</v>
      </c>
      <c r="CL1373" s="229"/>
      <c r="CM1373" s="229"/>
      <c r="CN1373" s="229"/>
      <c r="CO1373" s="47" t="s">
        <v>2488</v>
      </c>
      <c r="CP1373" s="47" t="s">
        <v>2489</v>
      </c>
      <c r="CQ1373" s="224" t="s">
        <v>272</v>
      </c>
      <c r="CR1373" s="224"/>
      <c r="CS1373" s="230" t="s">
        <v>539</v>
      </c>
      <c r="CT1373" s="230"/>
      <c r="CU1373" s="230"/>
      <c r="CV1373" s="335" t="s">
        <v>6310</v>
      </c>
      <c r="CW1373" s="230">
        <f t="shared" si="354"/>
        <v>1</v>
      </c>
      <c r="CX1373" s="336"/>
      <c r="CY1373" s="230" t="s">
        <v>5921</v>
      </c>
    </row>
    <row r="1374" spans="1:103" ht="11.25" customHeight="1" x14ac:dyDescent="0.2">
      <c r="A1374" s="72">
        <v>1372</v>
      </c>
      <c r="B1374" s="224">
        <v>1472</v>
      </c>
      <c r="C1374" s="46" t="s">
        <v>7445</v>
      </c>
      <c r="D1374" s="46"/>
      <c r="E1374" s="114"/>
      <c r="F1374" s="114" t="s">
        <v>4521</v>
      </c>
      <c r="G1374" s="225">
        <v>41481667</v>
      </c>
      <c r="H1374" s="47" t="s">
        <v>4522</v>
      </c>
      <c r="I1374" s="47" t="s">
        <v>7818</v>
      </c>
      <c r="J1374" s="47" t="s">
        <v>4523</v>
      </c>
      <c r="K1374" s="47" t="s">
        <v>376</v>
      </c>
      <c r="L1374" s="47"/>
      <c r="M1374" s="47"/>
      <c r="N1374" s="47"/>
      <c r="O1374" s="47"/>
      <c r="P1374" s="53"/>
      <c r="Q1374" s="53"/>
      <c r="R1374" s="53"/>
      <c r="S1374" s="53"/>
      <c r="T1374" s="48">
        <v>330.4</v>
      </c>
      <c r="U1374" s="98"/>
      <c r="V1374" s="98">
        <v>1.5314769975786924E-2</v>
      </c>
      <c r="W1374" s="98">
        <v>6.9183097091893575E-2</v>
      </c>
      <c r="X1374" s="98">
        <f>IF(W1374=0,V1374,W1374)</f>
        <v>6.9183097091893575E-2</v>
      </c>
      <c r="Y1374" s="233">
        <v>5.69</v>
      </c>
      <c r="Z1374" s="48">
        <v>4.43</v>
      </c>
      <c r="AA1374" s="48"/>
      <c r="AB1374" s="48">
        <v>3.44</v>
      </c>
      <c r="AC1374" s="48">
        <v>0.57879999999999998</v>
      </c>
      <c r="AD1374" s="48">
        <v>3.63</v>
      </c>
      <c r="AE1374" s="48">
        <v>3.86</v>
      </c>
      <c r="AF1374" s="48">
        <f t="shared" ref="AF1374:AF1405" si="362">IF(AA1374=0,AD1374,AA1374)</f>
        <v>3.63</v>
      </c>
      <c r="AG1374" s="49">
        <v>4.04</v>
      </c>
      <c r="AH1374" s="98">
        <v>5.6700000000000002E-15</v>
      </c>
      <c r="AI1374" s="98"/>
      <c r="AJ1374" s="483">
        <f>LOG10(AH1374*1000/(0.08206*298.15))</f>
        <v>-12.634983267419745</v>
      </c>
      <c r="AK1374" s="483"/>
      <c r="AL1374" s="483">
        <f>IF(AK1374=0,AJ1374,AK1374)</f>
        <v>-12.634983267419745</v>
      </c>
      <c r="AM1374" s="483">
        <v>-20.29731</v>
      </c>
      <c r="AN1374" s="226">
        <v>-29</v>
      </c>
      <c r="AO1374" s="484">
        <v>7.22</v>
      </c>
      <c r="AP1374" s="484"/>
      <c r="AQ1374" s="48" t="s">
        <v>6311</v>
      </c>
      <c r="AR1374" s="48" t="s">
        <v>6311</v>
      </c>
      <c r="AS1374" s="227"/>
      <c r="AT1374" s="50" t="s">
        <v>266</v>
      </c>
      <c r="AU1374" s="48">
        <v>6</v>
      </c>
      <c r="AV1374" s="48">
        <v>120</v>
      </c>
      <c r="AW1374" s="48">
        <v>114</v>
      </c>
      <c r="AX1374" s="48">
        <v>28</v>
      </c>
      <c r="AY1374" s="48" t="s">
        <v>8728</v>
      </c>
      <c r="AZ1374" s="48" t="s">
        <v>1563</v>
      </c>
      <c r="BA1374" s="48">
        <v>32</v>
      </c>
      <c r="BB1374" s="47" t="s">
        <v>2485</v>
      </c>
      <c r="BC1374" s="47" t="s">
        <v>8726</v>
      </c>
      <c r="BD1374" s="47" t="s">
        <v>8374</v>
      </c>
      <c r="BE1374" s="48" t="s">
        <v>2449</v>
      </c>
      <c r="BF1374" s="48" t="s">
        <v>272</v>
      </c>
      <c r="BG1374" s="48" t="s">
        <v>272</v>
      </c>
      <c r="BH1374" s="48" t="s">
        <v>2486</v>
      </c>
      <c r="BI1374" s="98">
        <v>6.3999999999999997E-6</v>
      </c>
      <c r="BJ1374" s="98">
        <v>6.4000000000000001E-2</v>
      </c>
      <c r="BK1374" s="48"/>
      <c r="BL1374" s="98">
        <f t="shared" ref="BL1374:BL1405" si="363">10^((-0.8981*Z1374)+1.7108)</f>
        <v>5.3978026227211907E-3</v>
      </c>
      <c r="BM1374" s="47" t="s">
        <v>2487</v>
      </c>
      <c r="BN1374" s="48"/>
      <c r="BO1374" s="48"/>
      <c r="BP1374" s="48"/>
      <c r="BQ1374" s="48"/>
      <c r="BR1374" s="47" t="s">
        <v>2496</v>
      </c>
      <c r="BS1374" s="48"/>
      <c r="BT1374" s="48"/>
      <c r="BU1374" s="228"/>
      <c r="BV1374" s="48"/>
      <c r="BW1374" s="48"/>
      <c r="BX1374" s="48"/>
      <c r="BY1374" s="48"/>
      <c r="BZ1374" s="48"/>
      <c r="CA1374" s="48"/>
      <c r="CB1374" s="48"/>
      <c r="CC1374" s="48"/>
      <c r="CD1374" s="48"/>
      <c r="CE1374" s="48"/>
      <c r="CF1374" s="48"/>
      <c r="CG1374" s="48"/>
      <c r="CH1374" s="48"/>
      <c r="CI1374" s="98"/>
      <c r="CJ1374" s="98"/>
      <c r="CK1374" s="49">
        <f t="shared" si="356"/>
        <v>8.4340665980018603E-2</v>
      </c>
      <c r="CL1374" s="229"/>
      <c r="CM1374" s="229"/>
      <c r="CN1374" s="229"/>
      <c r="CO1374" s="47" t="s">
        <v>2488</v>
      </c>
      <c r="CP1374" s="47" t="s">
        <v>2489</v>
      </c>
      <c r="CQ1374" s="224" t="s">
        <v>272</v>
      </c>
      <c r="CR1374" s="224"/>
      <c r="CS1374" s="230" t="s">
        <v>539</v>
      </c>
      <c r="CT1374" s="230"/>
      <c r="CU1374" s="230"/>
      <c r="CV1374" s="335">
        <f t="shared" ref="CV1374:CV1437" si="364">X1374/BJ1374</f>
        <v>1.0809858920608371</v>
      </c>
      <c r="CW1374" s="230">
        <f t="shared" si="354"/>
        <v>1</v>
      </c>
      <c r="CX1374" s="336"/>
      <c r="CY1374" s="230" t="s">
        <v>5921</v>
      </c>
    </row>
    <row r="1375" spans="1:103" ht="11.25" customHeight="1" x14ac:dyDescent="0.2">
      <c r="A1375" s="72">
        <v>1373</v>
      </c>
      <c r="B1375" s="224">
        <v>363</v>
      </c>
      <c r="C1375" s="46" t="s">
        <v>7446</v>
      </c>
      <c r="D1375" s="46"/>
      <c r="E1375" s="114"/>
      <c r="F1375" s="114" t="s">
        <v>3906</v>
      </c>
      <c r="G1375" s="225">
        <v>42509808</v>
      </c>
      <c r="H1375" s="47" t="s">
        <v>3907</v>
      </c>
      <c r="I1375" s="47" t="s">
        <v>8124</v>
      </c>
      <c r="J1375" s="47" t="s">
        <v>3908</v>
      </c>
      <c r="K1375" s="47" t="s">
        <v>3909</v>
      </c>
      <c r="L1375" s="47"/>
      <c r="M1375" s="47"/>
      <c r="N1375" s="47"/>
      <c r="O1375" s="47"/>
      <c r="P1375" s="53"/>
      <c r="Q1375" s="53"/>
      <c r="R1375" s="53"/>
      <c r="S1375" s="53"/>
      <c r="T1375" s="48">
        <v>313.74</v>
      </c>
      <c r="U1375" s="98">
        <v>0.2199273283610633</v>
      </c>
      <c r="V1375" s="98">
        <v>1.7769490661056927E-2</v>
      </c>
      <c r="W1375" s="98">
        <v>0.13803842646028844</v>
      </c>
      <c r="X1375" s="98">
        <v>0.2199273283610633</v>
      </c>
      <c r="Y1375" s="233">
        <v>7</v>
      </c>
      <c r="Z1375" s="48">
        <v>3.71</v>
      </c>
      <c r="AA1375" s="48">
        <v>3.82</v>
      </c>
      <c r="AB1375" s="48">
        <v>3.05</v>
      </c>
      <c r="AC1375" s="48">
        <v>0.85409999999999997</v>
      </c>
      <c r="AD1375" s="48">
        <v>3.03</v>
      </c>
      <c r="AE1375" s="48">
        <v>2.99</v>
      </c>
      <c r="AF1375" s="48">
        <f t="shared" si="362"/>
        <v>3.82</v>
      </c>
      <c r="AG1375" s="49">
        <v>3.78</v>
      </c>
      <c r="AH1375" s="98">
        <v>5.9299999999999998E-7</v>
      </c>
      <c r="AI1375" s="98">
        <v>5.2099999999999997E-7</v>
      </c>
      <c r="AJ1375" s="483">
        <f>LOG10(AH1375*1000/(0.08206*298.15))</f>
        <v>-4.6155116329483894</v>
      </c>
      <c r="AK1375" s="483">
        <f>LOG10(AI1375*1000/(0.08206*298.15))</f>
        <v>-4.6717286030131273</v>
      </c>
      <c r="AL1375" s="483">
        <f>IF(AK1375=0,AJ1375,AK1375)</f>
        <v>-4.6717286030131273</v>
      </c>
      <c r="AM1375" s="483">
        <v>-12.15424</v>
      </c>
      <c r="AN1375" s="226">
        <v>-2.06</v>
      </c>
      <c r="AO1375" s="484"/>
      <c r="AP1375" s="484">
        <v>-1.47</v>
      </c>
      <c r="AQ1375" s="226" t="s">
        <v>6312</v>
      </c>
      <c r="AR1375" s="226" t="s">
        <v>6312</v>
      </c>
      <c r="AS1375" s="224" t="s">
        <v>6</v>
      </c>
      <c r="AT1375" s="50" t="s">
        <v>266</v>
      </c>
      <c r="AU1375" s="48">
        <v>8</v>
      </c>
      <c r="AV1375" s="48">
        <v>144</v>
      </c>
      <c r="AW1375" s="48">
        <v>120</v>
      </c>
      <c r="AX1375" s="48">
        <v>26</v>
      </c>
      <c r="AY1375" s="48" t="s">
        <v>267</v>
      </c>
      <c r="AZ1375" s="48" t="s">
        <v>2253</v>
      </c>
      <c r="BA1375" s="48">
        <v>2</v>
      </c>
      <c r="BB1375" s="47" t="s">
        <v>2254</v>
      </c>
      <c r="BC1375" s="47" t="s">
        <v>270</v>
      </c>
      <c r="BD1375" s="47" t="s">
        <v>8374</v>
      </c>
      <c r="BE1375" s="48" t="s">
        <v>1712</v>
      </c>
      <c r="BF1375" s="48" t="s">
        <v>272</v>
      </c>
      <c r="BG1375" s="48" t="s">
        <v>272</v>
      </c>
      <c r="BH1375" s="48" t="s">
        <v>2255</v>
      </c>
      <c r="BI1375" s="98">
        <v>9.9999999999999995E-7</v>
      </c>
      <c r="BJ1375" s="98">
        <v>0.08</v>
      </c>
      <c r="BK1375" s="48"/>
      <c r="BL1375" s="98">
        <f t="shared" si="363"/>
        <v>2.3924837682601802E-2</v>
      </c>
      <c r="BM1375" s="48" t="s">
        <v>891</v>
      </c>
      <c r="BN1375" s="233"/>
      <c r="BO1375" s="233"/>
      <c r="BP1375" s="233"/>
      <c r="BQ1375" s="233"/>
      <c r="BR1375" s="233"/>
      <c r="BS1375" s="48"/>
      <c r="BT1375" s="233"/>
      <c r="BU1375" s="228"/>
      <c r="BV1375" s="233"/>
      <c r="BW1375" s="233"/>
      <c r="BX1375" s="233"/>
      <c r="BY1375" s="233"/>
      <c r="BZ1375" s="233"/>
      <c r="CA1375" s="233"/>
      <c r="CB1375" s="233"/>
      <c r="CC1375" s="48"/>
      <c r="CD1375" s="238"/>
      <c r="CE1375" s="238"/>
      <c r="CF1375" s="238"/>
      <c r="CG1375" s="233"/>
      <c r="CH1375" s="48"/>
      <c r="CI1375" s="98"/>
      <c r="CJ1375" s="98"/>
      <c r="CK1375" s="49">
        <f t="shared" si="356"/>
        <v>0.29906047103252253</v>
      </c>
      <c r="CL1375" s="229"/>
      <c r="CM1375" s="229"/>
      <c r="CN1375" s="229"/>
      <c r="CO1375" s="47" t="s">
        <v>892</v>
      </c>
      <c r="CP1375" s="47" t="s">
        <v>893</v>
      </c>
      <c r="CQ1375" s="224" t="s">
        <v>272</v>
      </c>
      <c r="CR1375" s="224"/>
      <c r="CS1375" s="230" t="s">
        <v>539</v>
      </c>
      <c r="CT1375" s="230"/>
      <c r="CU1375" s="230"/>
      <c r="CV1375" s="335">
        <f t="shared" si="364"/>
        <v>2.7490916045132909</v>
      </c>
      <c r="CW1375" s="230">
        <f t="shared" si="354"/>
        <v>1</v>
      </c>
      <c r="CX1375" s="336" t="s">
        <v>539</v>
      </c>
      <c r="CY1375" s="230" t="s">
        <v>5921</v>
      </c>
    </row>
    <row r="1376" spans="1:103" ht="11.25" customHeight="1" x14ac:dyDescent="0.2">
      <c r="A1376" s="72">
        <v>1374</v>
      </c>
      <c r="B1376" s="224">
        <v>1709</v>
      </c>
      <c r="C1376" s="46" t="s">
        <v>7446</v>
      </c>
      <c r="D1376" s="46"/>
      <c r="E1376" s="114"/>
      <c r="F1376" s="114" t="s">
        <v>3906</v>
      </c>
      <c r="G1376" s="225">
        <v>42509808</v>
      </c>
      <c r="H1376" s="47" t="s">
        <v>3907</v>
      </c>
      <c r="I1376" s="47" t="s">
        <v>8124</v>
      </c>
      <c r="J1376" s="47" t="s">
        <v>3908</v>
      </c>
      <c r="K1376" s="47" t="s">
        <v>3909</v>
      </c>
      <c r="L1376" s="47"/>
      <c r="M1376" s="47"/>
      <c r="N1376" s="47"/>
      <c r="O1376" s="47"/>
      <c r="P1376" s="53"/>
      <c r="Q1376" s="53"/>
      <c r="R1376" s="53"/>
      <c r="S1376" s="53"/>
      <c r="T1376" s="48">
        <v>313.74</v>
      </c>
      <c r="U1376" s="98">
        <v>0.2199273283610633</v>
      </c>
      <c r="V1376" s="98">
        <v>1.7769490661056927E-2</v>
      </c>
      <c r="W1376" s="98">
        <v>0.13803842646028844</v>
      </c>
      <c r="X1376" s="98">
        <v>0.2199273283610633</v>
      </c>
      <c r="Y1376" s="233">
        <v>7</v>
      </c>
      <c r="Z1376" s="48">
        <v>3.71</v>
      </c>
      <c r="AA1376" s="48">
        <v>3.82</v>
      </c>
      <c r="AB1376" s="48">
        <v>3.05</v>
      </c>
      <c r="AC1376" s="48">
        <v>0.85409999999999997</v>
      </c>
      <c r="AD1376" s="48">
        <v>3.03</v>
      </c>
      <c r="AE1376" s="48">
        <v>2.99</v>
      </c>
      <c r="AF1376" s="48">
        <f t="shared" si="362"/>
        <v>3.82</v>
      </c>
      <c r="AG1376" s="49">
        <v>3.78</v>
      </c>
      <c r="AH1376" s="98">
        <v>5.9299999999999998E-7</v>
      </c>
      <c r="AI1376" s="98">
        <v>5.2099999999999997E-7</v>
      </c>
      <c r="AJ1376" s="483">
        <f>LOG10(AH1376*1000/(0.08206*298.15))</f>
        <v>-4.6155116329483894</v>
      </c>
      <c r="AK1376" s="483">
        <f>LOG10(AI1376*1000/(0.08206*298.15))</f>
        <v>-4.6717286030131273</v>
      </c>
      <c r="AL1376" s="483">
        <f>IF(AK1376=0,AJ1376,AK1376)</f>
        <v>-4.6717286030131273</v>
      </c>
      <c r="AM1376" s="483">
        <v>-12.15424</v>
      </c>
      <c r="AN1376" s="226">
        <v>-2.06</v>
      </c>
      <c r="AO1376" s="484"/>
      <c r="AP1376" s="484">
        <v>-1.47</v>
      </c>
      <c r="AQ1376" s="226" t="s">
        <v>6312</v>
      </c>
      <c r="AR1376" s="226" t="s">
        <v>6312</v>
      </c>
      <c r="AS1376" s="224"/>
      <c r="AT1376" s="50" t="s">
        <v>266</v>
      </c>
      <c r="AU1376" s="48">
        <v>6</v>
      </c>
      <c r="AV1376" s="48">
        <v>120</v>
      </c>
      <c r="AW1376" s="48">
        <v>114</v>
      </c>
      <c r="AX1376" s="48">
        <v>28</v>
      </c>
      <c r="AY1376" s="48" t="s">
        <v>8728</v>
      </c>
      <c r="AZ1376" s="48" t="s">
        <v>1563</v>
      </c>
      <c r="BA1376" s="48">
        <v>32</v>
      </c>
      <c r="BB1376" s="47" t="s">
        <v>2485</v>
      </c>
      <c r="BC1376" s="47" t="s">
        <v>8726</v>
      </c>
      <c r="BD1376" s="47" t="s">
        <v>8374</v>
      </c>
      <c r="BE1376" s="48" t="s">
        <v>2449</v>
      </c>
      <c r="BF1376" s="48" t="s">
        <v>272</v>
      </c>
      <c r="BG1376" s="48" t="s">
        <v>272</v>
      </c>
      <c r="BH1376" s="48" t="s">
        <v>2486</v>
      </c>
      <c r="BI1376" s="98">
        <v>6.3999999999999997E-6</v>
      </c>
      <c r="BJ1376" s="98">
        <v>6.4000000000000001E-2</v>
      </c>
      <c r="BK1376" s="48"/>
      <c r="BL1376" s="98">
        <f t="shared" si="363"/>
        <v>2.3924837682601802E-2</v>
      </c>
      <c r="BM1376" s="47" t="s">
        <v>2487</v>
      </c>
      <c r="BN1376" s="48"/>
      <c r="BO1376" s="48"/>
      <c r="BP1376" s="48"/>
      <c r="BQ1376" s="48"/>
      <c r="BR1376" s="47" t="s">
        <v>2496</v>
      </c>
      <c r="BS1376" s="48"/>
      <c r="BT1376" s="48"/>
      <c r="BU1376" s="228"/>
      <c r="BV1376" s="48"/>
      <c r="BW1376" s="48"/>
      <c r="BX1376" s="48"/>
      <c r="BY1376" s="48"/>
      <c r="BZ1376" s="48"/>
      <c r="CA1376" s="48"/>
      <c r="CB1376" s="48"/>
      <c r="CC1376" s="48"/>
      <c r="CD1376" s="48"/>
      <c r="CE1376" s="48"/>
      <c r="CF1376" s="48"/>
      <c r="CG1376" s="48"/>
      <c r="CH1376" s="48"/>
      <c r="CI1376" s="98"/>
      <c r="CJ1376" s="98"/>
      <c r="CK1376" s="49">
        <f t="shared" si="356"/>
        <v>0.37382558879065314</v>
      </c>
      <c r="CL1376" s="229"/>
      <c r="CM1376" s="229"/>
      <c r="CN1376" s="229"/>
      <c r="CO1376" s="47" t="s">
        <v>2488</v>
      </c>
      <c r="CP1376" s="47" t="s">
        <v>2489</v>
      </c>
      <c r="CQ1376" s="224" t="s">
        <v>272</v>
      </c>
      <c r="CR1376" s="224"/>
      <c r="CS1376" s="230" t="s">
        <v>539</v>
      </c>
      <c r="CT1376" s="230"/>
      <c r="CU1376" s="230"/>
      <c r="CV1376" s="335">
        <f t="shared" si="364"/>
        <v>3.4363645056416141</v>
      </c>
      <c r="CW1376" s="230">
        <f t="shared" si="354"/>
        <v>1</v>
      </c>
      <c r="CX1376" s="336"/>
      <c r="CY1376" s="230" t="s">
        <v>5921</v>
      </c>
    </row>
    <row r="1377" spans="1:103" ht="11.25" customHeight="1" x14ac:dyDescent="0.2">
      <c r="A1377" s="72">
        <v>1375</v>
      </c>
      <c r="B1377" s="224">
        <v>641</v>
      </c>
      <c r="C1377" s="46" t="s">
        <v>7447</v>
      </c>
      <c r="D1377" s="46"/>
      <c r="E1377" s="114"/>
      <c r="F1377" s="114" t="s">
        <v>4044</v>
      </c>
      <c r="G1377" s="225">
        <v>43121433</v>
      </c>
      <c r="H1377" s="47" t="s">
        <v>4045</v>
      </c>
      <c r="I1377" s="47" t="s">
        <v>8125</v>
      </c>
      <c r="J1377" s="47" t="s">
        <v>4046</v>
      </c>
      <c r="K1377" s="47" t="s">
        <v>1112</v>
      </c>
      <c r="L1377" s="47" t="s">
        <v>6057</v>
      </c>
      <c r="M1377" s="47" t="s">
        <v>6082</v>
      </c>
      <c r="N1377" s="47" t="s">
        <v>6082</v>
      </c>
      <c r="O1377" s="47" t="s">
        <v>6083</v>
      </c>
      <c r="P1377" s="53" t="s">
        <v>6183</v>
      </c>
      <c r="Q1377" s="53" t="s">
        <v>6176</v>
      </c>
      <c r="R1377" s="53" t="s">
        <v>6181</v>
      </c>
      <c r="S1377" s="53" t="s">
        <v>6173</v>
      </c>
      <c r="T1377" s="48">
        <v>293.75</v>
      </c>
      <c r="U1377" s="98">
        <v>0.24340425531914894</v>
      </c>
      <c r="V1377" s="98">
        <v>0.19584680851063829</v>
      </c>
      <c r="W1377" s="98">
        <v>0.21877616239495512</v>
      </c>
      <c r="X1377" s="98">
        <v>0.24340425531914894</v>
      </c>
      <c r="Y1377" s="233">
        <v>7</v>
      </c>
      <c r="Z1377" s="48">
        <v>2.94</v>
      </c>
      <c r="AA1377" s="48">
        <v>2.77</v>
      </c>
      <c r="AB1377" s="48">
        <v>2.93</v>
      </c>
      <c r="AC1377" s="48">
        <v>0.77049999999999996</v>
      </c>
      <c r="AD1377" s="48">
        <v>2.89</v>
      </c>
      <c r="AE1377" s="48">
        <v>2.77</v>
      </c>
      <c r="AF1377" s="48">
        <f t="shared" si="362"/>
        <v>2.77</v>
      </c>
      <c r="AG1377" s="49">
        <v>3.28</v>
      </c>
      <c r="AH1377" s="98">
        <v>1.1599999999999999E-9</v>
      </c>
      <c r="AI1377" s="98">
        <v>8.1099999999999997E-11</v>
      </c>
      <c r="AJ1377" s="483">
        <f>LOG10(AH1377*1000/(0.08206*298.15))</f>
        <v>-7.3241083370857334</v>
      </c>
      <c r="AK1377" s="483">
        <f>LOG10(AI1377*1000/(0.08206*298.15))</f>
        <v>-8.4795454721014956</v>
      </c>
      <c r="AL1377" s="483">
        <f>IF(AK1377=0,AJ1377,AK1377)</f>
        <v>-8.4795454721014956</v>
      </c>
      <c r="AM1377" s="483">
        <v>-13.86453</v>
      </c>
      <c r="AN1377" s="226">
        <v>-8.77</v>
      </c>
      <c r="AO1377" s="484"/>
      <c r="AP1377" s="484">
        <v>1.41</v>
      </c>
      <c r="AQ1377" s="226" t="s">
        <v>6311</v>
      </c>
      <c r="AR1377" s="226" t="s">
        <v>6311</v>
      </c>
      <c r="AS1377" s="224" t="s">
        <v>6</v>
      </c>
      <c r="AT1377" s="50" t="s">
        <v>266</v>
      </c>
      <c r="AU1377" s="48">
        <v>8</v>
      </c>
      <c r="AV1377" s="48">
        <v>144</v>
      </c>
      <c r="AW1377" s="48">
        <v>120</v>
      </c>
      <c r="AX1377" s="48">
        <v>26</v>
      </c>
      <c r="AY1377" s="48" t="s">
        <v>267</v>
      </c>
      <c r="AZ1377" s="48" t="s">
        <v>2253</v>
      </c>
      <c r="BA1377" s="48">
        <v>2</v>
      </c>
      <c r="BB1377" s="47" t="s">
        <v>2254</v>
      </c>
      <c r="BC1377" s="47" t="s">
        <v>270</v>
      </c>
      <c r="BD1377" s="47" t="s">
        <v>8374</v>
      </c>
      <c r="BE1377" s="48" t="s">
        <v>1712</v>
      </c>
      <c r="BF1377" s="48" t="s">
        <v>272</v>
      </c>
      <c r="BG1377" s="48" t="s">
        <v>272</v>
      </c>
      <c r="BH1377" s="48" t="s">
        <v>2255</v>
      </c>
      <c r="BI1377" s="98">
        <v>9.9999999999999995E-7</v>
      </c>
      <c r="BJ1377" s="98">
        <v>0.08</v>
      </c>
      <c r="BK1377" s="48"/>
      <c r="BL1377" s="98">
        <f t="shared" si="363"/>
        <v>0.11759422655550075</v>
      </c>
      <c r="BM1377" s="48" t="s">
        <v>891</v>
      </c>
      <c r="BN1377" s="233"/>
      <c r="BO1377" s="233"/>
      <c r="BP1377" s="233"/>
      <c r="BQ1377" s="233"/>
      <c r="BR1377" s="233"/>
      <c r="BS1377" s="48"/>
      <c r="BT1377" s="233"/>
      <c r="BU1377" s="228"/>
      <c r="BV1377" s="233"/>
      <c r="BW1377" s="233"/>
      <c r="BX1377" s="233"/>
      <c r="BY1377" s="233"/>
      <c r="BZ1377" s="233"/>
      <c r="CA1377" s="233"/>
      <c r="CB1377" s="233"/>
      <c r="CC1377" s="48"/>
      <c r="CD1377" s="48"/>
      <c r="CE1377" s="48"/>
      <c r="CF1377" s="48"/>
      <c r="CG1377" s="233"/>
      <c r="CH1377" s="48"/>
      <c r="CI1377" s="98"/>
      <c r="CJ1377" s="98"/>
      <c r="CK1377" s="49">
        <f t="shared" si="356"/>
        <v>1.4699278319437594</v>
      </c>
      <c r="CL1377" s="229"/>
      <c r="CM1377" s="229"/>
      <c r="CN1377" s="229"/>
      <c r="CO1377" s="47" t="s">
        <v>892</v>
      </c>
      <c r="CP1377" s="47" t="s">
        <v>893</v>
      </c>
      <c r="CQ1377" s="224">
        <v>-1.3018746835661255</v>
      </c>
      <c r="CR1377" s="224">
        <f>10^(CJ1377-CQ1377)</f>
        <v>20.038937168889976</v>
      </c>
      <c r="CS1377" s="230" t="s">
        <v>539</v>
      </c>
      <c r="CT1377" s="230"/>
      <c r="CU1377" s="230"/>
      <c r="CV1377" s="335">
        <f t="shared" si="364"/>
        <v>3.0425531914893615</v>
      </c>
      <c r="CW1377" s="230">
        <f t="shared" si="354"/>
        <v>1</v>
      </c>
      <c r="CX1377" s="336" t="s">
        <v>539</v>
      </c>
      <c r="CY1377" s="230" t="s">
        <v>5921</v>
      </c>
    </row>
    <row r="1378" spans="1:103" ht="11.25" customHeight="1" x14ac:dyDescent="0.2">
      <c r="A1378" s="72">
        <v>1376</v>
      </c>
      <c r="B1378" s="224">
        <v>1907</v>
      </c>
      <c r="C1378" s="46" t="s">
        <v>7447</v>
      </c>
      <c r="D1378" s="46"/>
      <c r="E1378" s="114"/>
      <c r="F1378" s="114" t="s">
        <v>4044</v>
      </c>
      <c r="G1378" s="225">
        <v>43121433</v>
      </c>
      <c r="H1378" s="47" t="s">
        <v>4045</v>
      </c>
      <c r="I1378" s="47" t="s">
        <v>8125</v>
      </c>
      <c r="J1378" s="47" t="s">
        <v>4046</v>
      </c>
      <c r="K1378" s="47" t="s">
        <v>1112</v>
      </c>
      <c r="L1378" s="47" t="s">
        <v>6057</v>
      </c>
      <c r="M1378" s="47" t="s">
        <v>6082</v>
      </c>
      <c r="N1378" s="47" t="s">
        <v>6082</v>
      </c>
      <c r="O1378" s="47" t="s">
        <v>6083</v>
      </c>
      <c r="P1378" s="53"/>
      <c r="Q1378" s="53"/>
      <c r="R1378" s="53"/>
      <c r="S1378" s="53"/>
      <c r="T1378" s="48">
        <v>293.75</v>
      </c>
      <c r="U1378" s="98">
        <v>0.24340425531914894</v>
      </c>
      <c r="V1378" s="98">
        <v>0.19584680851063829</v>
      </c>
      <c r="W1378" s="98">
        <v>0.21877616239495512</v>
      </c>
      <c r="X1378" s="98">
        <v>0.24340425531914894</v>
      </c>
      <c r="Y1378" s="233">
        <v>7</v>
      </c>
      <c r="Z1378" s="48">
        <v>2.94</v>
      </c>
      <c r="AA1378" s="48">
        <v>2.77</v>
      </c>
      <c r="AB1378" s="48">
        <v>2.93</v>
      </c>
      <c r="AC1378" s="48">
        <v>0.77049999999999996</v>
      </c>
      <c r="AD1378" s="48">
        <v>2.89</v>
      </c>
      <c r="AE1378" s="48">
        <v>2.77</v>
      </c>
      <c r="AF1378" s="48">
        <f t="shared" si="362"/>
        <v>2.77</v>
      </c>
      <c r="AG1378" s="49">
        <v>3.28</v>
      </c>
      <c r="AH1378" s="98">
        <v>1.1599999999999999E-9</v>
      </c>
      <c r="AI1378" s="98">
        <v>8.1099999999999997E-11</v>
      </c>
      <c r="AJ1378" s="483">
        <f>LOG10(AH1378*1000/(0.08206*298.15))</f>
        <v>-7.3241083370857334</v>
      </c>
      <c r="AK1378" s="483">
        <f>LOG10(AI1378*1000/(0.08206*298.15))</f>
        <v>-8.4795454721014956</v>
      </c>
      <c r="AL1378" s="483">
        <f>IF(AK1378=0,AJ1378,AK1378)</f>
        <v>-8.4795454721014956</v>
      </c>
      <c r="AM1378" s="483">
        <v>-13.86453</v>
      </c>
      <c r="AN1378" s="226">
        <v>-8.77</v>
      </c>
      <c r="AO1378" s="484"/>
      <c r="AP1378" s="484">
        <v>1.41</v>
      </c>
      <c r="AQ1378" s="226" t="s">
        <v>6311</v>
      </c>
      <c r="AR1378" s="226" t="s">
        <v>6311</v>
      </c>
      <c r="AS1378" s="224"/>
      <c r="AT1378" s="50" t="s">
        <v>266</v>
      </c>
      <c r="AU1378" s="48">
        <v>6</v>
      </c>
      <c r="AV1378" s="48">
        <v>120</v>
      </c>
      <c r="AW1378" s="48">
        <v>114</v>
      </c>
      <c r="AX1378" s="48">
        <v>28</v>
      </c>
      <c r="AY1378" s="48" t="s">
        <v>8728</v>
      </c>
      <c r="AZ1378" s="48" t="s">
        <v>1563</v>
      </c>
      <c r="BA1378" s="48">
        <v>32</v>
      </c>
      <c r="BB1378" s="47" t="s">
        <v>2485</v>
      </c>
      <c r="BC1378" s="47" t="s">
        <v>8726</v>
      </c>
      <c r="BD1378" s="47" t="s">
        <v>8374</v>
      </c>
      <c r="BE1378" s="48" t="s">
        <v>2449</v>
      </c>
      <c r="BF1378" s="48" t="s">
        <v>272</v>
      </c>
      <c r="BG1378" s="48" t="s">
        <v>272</v>
      </c>
      <c r="BH1378" s="48" t="s">
        <v>2486</v>
      </c>
      <c r="BI1378" s="98">
        <v>6.3999999999999997E-6</v>
      </c>
      <c r="BJ1378" s="98">
        <v>6.4000000000000001E-2</v>
      </c>
      <c r="BK1378" s="48"/>
      <c r="BL1378" s="98">
        <f t="shared" si="363"/>
        <v>0.11759422655550075</v>
      </c>
      <c r="BM1378" s="47" t="s">
        <v>2487</v>
      </c>
      <c r="BN1378" s="48"/>
      <c r="BO1378" s="48"/>
      <c r="BP1378" s="48"/>
      <c r="BQ1378" s="48"/>
      <c r="BR1378" s="47" t="s">
        <v>2496</v>
      </c>
      <c r="BS1378" s="48"/>
      <c r="BT1378" s="48"/>
      <c r="BU1378" s="228"/>
      <c r="BV1378" s="48"/>
      <c r="BW1378" s="48"/>
      <c r="BX1378" s="48"/>
      <c r="BY1378" s="48"/>
      <c r="BZ1378" s="48"/>
      <c r="CA1378" s="48"/>
      <c r="CB1378" s="48"/>
      <c r="CC1378" s="48"/>
      <c r="CD1378" s="48"/>
      <c r="CE1378" s="48"/>
      <c r="CF1378" s="48"/>
      <c r="CG1378" s="48"/>
      <c r="CH1378" s="48"/>
      <c r="CI1378" s="98"/>
      <c r="CJ1378" s="98"/>
      <c r="CK1378" s="49">
        <f t="shared" si="356"/>
        <v>1.8374097899296993</v>
      </c>
      <c r="CL1378" s="229"/>
      <c r="CM1378" s="229"/>
      <c r="CN1378" s="229"/>
      <c r="CO1378" s="47" t="s">
        <v>2488</v>
      </c>
      <c r="CP1378" s="47" t="s">
        <v>2489</v>
      </c>
      <c r="CQ1378" s="224">
        <v>-1.3018746835661255</v>
      </c>
      <c r="CR1378" s="224">
        <f>10^(CJ1378-CQ1378)</f>
        <v>20.038937168889976</v>
      </c>
      <c r="CS1378" s="230" t="s">
        <v>539</v>
      </c>
      <c r="CT1378" s="230"/>
      <c r="CU1378" s="230"/>
      <c r="CV1378" s="335">
        <f t="shared" si="364"/>
        <v>3.8031914893617023</v>
      </c>
      <c r="CW1378" s="230">
        <f t="shared" si="354"/>
        <v>1</v>
      </c>
      <c r="CX1378" s="336"/>
      <c r="CY1378" s="230" t="s">
        <v>5921</v>
      </c>
    </row>
    <row r="1379" spans="1:103" ht="11.25" customHeight="1" x14ac:dyDescent="0.2">
      <c r="A1379" s="72">
        <v>1377</v>
      </c>
      <c r="B1379" s="224">
        <v>292</v>
      </c>
      <c r="C1379" s="46" t="s">
        <v>3822</v>
      </c>
      <c r="D1379" s="46"/>
      <c r="E1379" s="114"/>
      <c r="F1379" s="114" t="s">
        <v>3823</v>
      </c>
      <c r="G1379" s="225">
        <v>43222486</v>
      </c>
      <c r="H1379" s="47" t="s">
        <v>3824</v>
      </c>
      <c r="I1379" s="47" t="s">
        <v>8126</v>
      </c>
      <c r="J1379" s="47" t="s">
        <v>3825</v>
      </c>
      <c r="K1379" s="47" t="s">
        <v>1594</v>
      </c>
      <c r="L1379" s="47"/>
      <c r="M1379" s="47"/>
      <c r="N1379" s="47"/>
      <c r="O1379" s="47"/>
      <c r="P1379" s="53"/>
      <c r="Q1379" s="53"/>
      <c r="R1379" s="53"/>
      <c r="S1379" s="53"/>
      <c r="T1379" s="48">
        <v>360.44</v>
      </c>
      <c r="U1379" s="98">
        <v>2266.6740650316278</v>
      </c>
      <c r="V1379" s="98">
        <v>4.1393851958717125</v>
      </c>
      <c r="W1379" s="98"/>
      <c r="X1379" s="98">
        <v>2266.6740650316278</v>
      </c>
      <c r="Y1379" s="233"/>
      <c r="Z1379" s="48">
        <v>-0.02</v>
      </c>
      <c r="AA1379" s="48">
        <v>0.65</v>
      </c>
      <c r="AB1379" s="48">
        <v>0</v>
      </c>
      <c r="AC1379" s="48">
        <v>0</v>
      </c>
      <c r="AD1379" s="48">
        <v>0</v>
      </c>
      <c r="AE1379" s="48">
        <v>0</v>
      </c>
      <c r="AF1379" s="48">
        <f t="shared" si="362"/>
        <v>0.65</v>
      </c>
      <c r="AG1379" s="49">
        <v>3.23</v>
      </c>
      <c r="AH1379" s="98"/>
      <c r="AI1379" s="98"/>
      <c r="AJ1379" s="483"/>
      <c r="AK1379" s="483"/>
      <c r="AL1379" s="483"/>
      <c r="AM1379" s="483"/>
      <c r="AN1379" s="226">
        <v>-4.04</v>
      </c>
      <c r="AO1379" s="484"/>
      <c r="AP1379" s="484"/>
      <c r="AQ1379" s="226" t="s">
        <v>6311</v>
      </c>
      <c r="AR1379" s="226" t="s">
        <v>6311</v>
      </c>
      <c r="AS1379" s="224" t="s">
        <v>6</v>
      </c>
      <c r="AT1379" s="50" t="s">
        <v>266</v>
      </c>
      <c r="AU1379" s="48">
        <v>8</v>
      </c>
      <c r="AV1379" s="48">
        <v>144</v>
      </c>
      <c r="AW1379" s="48">
        <v>120</v>
      </c>
      <c r="AX1379" s="48">
        <v>26</v>
      </c>
      <c r="AY1379" s="48" t="s">
        <v>267</v>
      </c>
      <c r="AZ1379" s="48" t="s">
        <v>2253</v>
      </c>
      <c r="BA1379" s="48">
        <v>2</v>
      </c>
      <c r="BB1379" s="47" t="s">
        <v>2254</v>
      </c>
      <c r="BC1379" s="47" t="s">
        <v>270</v>
      </c>
      <c r="BD1379" s="47" t="s">
        <v>8374</v>
      </c>
      <c r="BE1379" s="48" t="s">
        <v>1712</v>
      </c>
      <c r="BF1379" s="48" t="s">
        <v>272</v>
      </c>
      <c r="BG1379" s="48" t="s">
        <v>272</v>
      </c>
      <c r="BH1379" s="48" t="s">
        <v>2255</v>
      </c>
      <c r="BI1379" s="98">
        <v>9.9999999999999995E-7</v>
      </c>
      <c r="BJ1379" s="98">
        <v>0.08</v>
      </c>
      <c r="BK1379" s="48"/>
      <c r="BL1379" s="98">
        <f t="shared" si="363"/>
        <v>53.5503113213706</v>
      </c>
      <c r="BM1379" s="48" t="s">
        <v>891</v>
      </c>
      <c r="BN1379" s="233"/>
      <c r="BO1379" s="233"/>
      <c r="BP1379" s="233"/>
      <c r="BQ1379" s="233"/>
      <c r="BR1379" s="233"/>
      <c r="BS1379" s="48"/>
      <c r="BT1379" s="233"/>
      <c r="BU1379" s="228"/>
      <c r="BV1379" s="233"/>
      <c r="BW1379" s="233"/>
      <c r="BX1379" s="233"/>
      <c r="BY1379" s="233"/>
      <c r="BZ1379" s="233"/>
      <c r="CA1379" s="233"/>
      <c r="CB1379" s="233"/>
      <c r="CC1379" s="48"/>
      <c r="CD1379" s="48"/>
      <c r="CE1379" s="48"/>
      <c r="CF1379" s="48"/>
      <c r="CG1379" s="233"/>
      <c r="CH1379" s="48"/>
      <c r="CI1379" s="98"/>
      <c r="CJ1379" s="98"/>
      <c r="CK1379" s="49">
        <f t="shared" si="356"/>
        <v>669.3788915171325</v>
      </c>
      <c r="CL1379" s="229"/>
      <c r="CM1379" s="229"/>
      <c r="CN1379" s="229"/>
      <c r="CO1379" s="47" t="s">
        <v>892</v>
      </c>
      <c r="CP1379" s="47" t="s">
        <v>893</v>
      </c>
      <c r="CQ1379" s="224" t="s">
        <v>272</v>
      </c>
      <c r="CR1379" s="224"/>
      <c r="CS1379" s="230" t="s">
        <v>539</v>
      </c>
      <c r="CT1379" s="230"/>
      <c r="CU1379" s="230"/>
      <c r="CV1379" s="335">
        <f t="shared" si="364"/>
        <v>28333.425812895348</v>
      </c>
      <c r="CW1379" s="230">
        <f t="shared" si="354"/>
        <v>1</v>
      </c>
      <c r="CX1379" s="336" t="s">
        <v>539</v>
      </c>
      <c r="CY1379" s="230" t="s">
        <v>5921</v>
      </c>
    </row>
    <row r="1380" spans="1:103" ht="11.25" customHeight="1" x14ac:dyDescent="0.2">
      <c r="A1380" s="72">
        <v>1378</v>
      </c>
      <c r="B1380" s="224">
        <v>700</v>
      </c>
      <c r="C1380" s="46" t="s">
        <v>7448</v>
      </c>
      <c r="D1380" s="46"/>
      <c r="E1380" s="114"/>
      <c r="F1380" s="114" t="s">
        <v>3647</v>
      </c>
      <c r="G1380" s="225">
        <v>50471448</v>
      </c>
      <c r="H1380" s="47" t="s">
        <v>3648</v>
      </c>
      <c r="I1380" s="47" t="s">
        <v>8127</v>
      </c>
      <c r="J1380" s="47" t="s">
        <v>3649</v>
      </c>
      <c r="K1380" s="47" t="s">
        <v>1149</v>
      </c>
      <c r="L1380" s="47" t="s">
        <v>5929</v>
      </c>
      <c r="M1380" s="47" t="s">
        <v>6101</v>
      </c>
      <c r="N1380" s="47"/>
      <c r="O1380" s="47" t="s">
        <v>6058</v>
      </c>
      <c r="P1380" s="53" t="s">
        <v>6172</v>
      </c>
      <c r="Q1380" s="53" t="s">
        <v>6176</v>
      </c>
      <c r="R1380" s="53" t="s">
        <v>6181</v>
      </c>
      <c r="S1380" s="53" t="s">
        <v>6173</v>
      </c>
      <c r="T1380" s="48">
        <v>286.11</v>
      </c>
      <c r="U1380" s="98">
        <v>9.0874139317045893E-3</v>
      </c>
      <c r="V1380" s="98">
        <v>0.11631889832581874</v>
      </c>
      <c r="W1380" s="98">
        <v>2.3988329190194856E-2</v>
      </c>
      <c r="X1380" s="98">
        <v>9.0874139317045893E-3</v>
      </c>
      <c r="Y1380" s="233">
        <v>7</v>
      </c>
      <c r="Z1380" s="48">
        <v>3.03</v>
      </c>
      <c r="AA1380" s="48">
        <v>3.1</v>
      </c>
      <c r="AB1380" s="48">
        <v>3.3</v>
      </c>
      <c r="AC1380" s="48">
        <v>0.77590000000000003</v>
      </c>
      <c r="AD1380" s="48">
        <v>3.27</v>
      </c>
      <c r="AE1380" s="48">
        <v>3.19</v>
      </c>
      <c r="AF1380" s="48">
        <f t="shared" si="362"/>
        <v>3.1</v>
      </c>
      <c r="AG1380" s="49">
        <v>3.05</v>
      </c>
      <c r="AH1380" s="98">
        <v>2.3599999999999999E-6</v>
      </c>
      <c r="AI1380" s="98">
        <v>1.74E-8</v>
      </c>
      <c r="AJ1380" s="483">
        <f>LOG10(AH1380*1000/(0.08206*298.15))</f>
        <v>-4.0156543233425452</v>
      </c>
      <c r="AK1380" s="483">
        <f>LOG10(AI1380*1000/(0.08206*298.15))</f>
        <v>-6.148017078030052</v>
      </c>
      <c r="AL1380" s="483">
        <f t="shared" ref="AL1380:AL1411" si="365">IF(AK1380=0,AJ1380,AK1380)</f>
        <v>-6.148017078030052</v>
      </c>
      <c r="AM1380" s="483">
        <v>-10.17206</v>
      </c>
      <c r="AN1380" s="226">
        <v>-6.05</v>
      </c>
      <c r="AO1380" s="484"/>
      <c r="AP1380" s="484">
        <v>-3.43</v>
      </c>
      <c r="AQ1380" s="226" t="s">
        <v>6311</v>
      </c>
      <c r="AR1380" s="226" t="s">
        <v>6311</v>
      </c>
      <c r="AS1380" s="224" t="s">
        <v>6</v>
      </c>
      <c r="AT1380" s="50" t="s">
        <v>266</v>
      </c>
      <c r="AU1380" s="48">
        <v>8</v>
      </c>
      <c r="AV1380" s="48">
        <v>144</v>
      </c>
      <c r="AW1380" s="48">
        <v>120</v>
      </c>
      <c r="AX1380" s="48">
        <v>26</v>
      </c>
      <c r="AY1380" s="48" t="s">
        <v>267</v>
      </c>
      <c r="AZ1380" s="48" t="s">
        <v>2253</v>
      </c>
      <c r="BA1380" s="48">
        <v>2</v>
      </c>
      <c r="BB1380" s="47" t="s">
        <v>2254</v>
      </c>
      <c r="BC1380" s="47" t="s">
        <v>270</v>
      </c>
      <c r="BD1380" s="47" t="s">
        <v>8374</v>
      </c>
      <c r="BE1380" s="48" t="s">
        <v>1712</v>
      </c>
      <c r="BF1380" s="48" t="s">
        <v>272</v>
      </c>
      <c r="BG1380" s="48" t="s">
        <v>272</v>
      </c>
      <c r="BH1380" s="48" t="s">
        <v>2255</v>
      </c>
      <c r="BI1380" s="98">
        <v>9.9999999999999995E-7</v>
      </c>
      <c r="BJ1380" s="98">
        <v>0.08</v>
      </c>
      <c r="BK1380" s="48"/>
      <c r="BL1380" s="98">
        <f t="shared" si="363"/>
        <v>9.7624090305406405E-2</v>
      </c>
      <c r="BM1380" s="48" t="s">
        <v>891</v>
      </c>
      <c r="BN1380" s="233"/>
      <c r="BO1380" s="233"/>
      <c r="BP1380" s="233"/>
      <c r="BQ1380" s="233"/>
      <c r="BR1380" s="233"/>
      <c r="BS1380" s="48"/>
      <c r="BT1380" s="233"/>
      <c r="BU1380" s="228"/>
      <c r="BV1380" s="233"/>
      <c r="BW1380" s="233"/>
      <c r="BX1380" s="233"/>
      <c r="BY1380" s="233"/>
      <c r="BZ1380" s="233"/>
      <c r="CA1380" s="233"/>
      <c r="CB1380" s="233"/>
      <c r="CC1380" s="48"/>
      <c r="CD1380" s="48"/>
      <c r="CE1380" s="48"/>
      <c r="CF1380" s="48"/>
      <c r="CG1380" s="233"/>
      <c r="CH1380" s="48"/>
      <c r="CI1380" s="98"/>
      <c r="CJ1380" s="98"/>
      <c r="CK1380" s="49">
        <f t="shared" si="356"/>
        <v>1.22030112881758</v>
      </c>
      <c r="CL1380" s="229"/>
      <c r="CM1380" s="229"/>
      <c r="CN1380" s="229"/>
      <c r="CO1380" s="47" t="s">
        <v>892</v>
      </c>
      <c r="CP1380" s="47" t="s">
        <v>893</v>
      </c>
      <c r="CQ1380" s="224">
        <v>-1.3686979303583522</v>
      </c>
      <c r="CR1380" s="224">
        <f>10^(CJ1380-CQ1380)</f>
        <v>23.372110469485762</v>
      </c>
      <c r="CS1380" s="230" t="s">
        <v>539</v>
      </c>
      <c r="CT1380" s="230"/>
      <c r="CU1380" s="230"/>
      <c r="CV1380" s="335">
        <f t="shared" si="364"/>
        <v>0.11359267414630736</v>
      </c>
      <c r="CW1380" s="230">
        <f t="shared" si="354"/>
        <v>0</v>
      </c>
      <c r="CX1380" s="336" t="s">
        <v>539</v>
      </c>
      <c r="CY1380" s="230" t="s">
        <v>5921</v>
      </c>
    </row>
    <row r="1381" spans="1:103" ht="11.25" customHeight="1" x14ac:dyDescent="0.2">
      <c r="A1381" s="72">
        <v>1379</v>
      </c>
      <c r="B1381" s="224">
        <v>82</v>
      </c>
      <c r="C1381" s="46" t="s">
        <v>7448</v>
      </c>
      <c r="D1381" s="46"/>
      <c r="E1381" s="114"/>
      <c r="F1381" s="114" t="s">
        <v>3647</v>
      </c>
      <c r="G1381" s="225">
        <v>50471448</v>
      </c>
      <c r="H1381" s="47" t="s">
        <v>3648</v>
      </c>
      <c r="I1381" s="47" t="s">
        <v>8127</v>
      </c>
      <c r="J1381" s="236" t="s">
        <v>3649</v>
      </c>
      <c r="K1381" s="236" t="s">
        <v>1149</v>
      </c>
      <c r="L1381" s="47" t="s">
        <v>5929</v>
      </c>
      <c r="M1381" s="47" t="s">
        <v>6101</v>
      </c>
      <c r="N1381" s="47"/>
      <c r="O1381" s="47" t="s">
        <v>6058</v>
      </c>
      <c r="P1381" s="53"/>
      <c r="Q1381" s="53"/>
      <c r="R1381" s="53"/>
      <c r="S1381" s="53"/>
      <c r="T1381" s="226">
        <v>286.12</v>
      </c>
      <c r="U1381" s="98">
        <v>9.0874139317045893E-3</v>
      </c>
      <c r="V1381" s="98">
        <v>0.11631889832581874</v>
      </c>
      <c r="W1381" s="98">
        <v>2.3988329190194856E-2</v>
      </c>
      <c r="X1381" s="98">
        <v>9.0874139317045893E-3</v>
      </c>
      <c r="Y1381" s="233">
        <v>7</v>
      </c>
      <c r="Z1381" s="48">
        <v>3.03</v>
      </c>
      <c r="AA1381" s="48">
        <v>3.1</v>
      </c>
      <c r="AB1381" s="48">
        <v>3.3</v>
      </c>
      <c r="AC1381" s="48">
        <v>0.77590000000000003</v>
      </c>
      <c r="AD1381" s="48">
        <v>3.27</v>
      </c>
      <c r="AE1381" s="48">
        <v>3.19</v>
      </c>
      <c r="AF1381" s="48">
        <f t="shared" si="362"/>
        <v>3.1</v>
      </c>
      <c r="AG1381" s="48">
        <v>3.05</v>
      </c>
      <c r="AH1381" s="98">
        <v>2.3599999999999999E-6</v>
      </c>
      <c r="AI1381" s="98">
        <v>1.74E-8</v>
      </c>
      <c r="AJ1381" s="483">
        <f>LOG10(AH1381*1000/(0.08206*298.15))</f>
        <v>-4.0156543233425452</v>
      </c>
      <c r="AK1381" s="483">
        <f>LOG10(AI1381*1000/(0.08206*298.15))</f>
        <v>-6.148017078030052</v>
      </c>
      <c r="AL1381" s="483">
        <f t="shared" si="365"/>
        <v>-6.148017078030052</v>
      </c>
      <c r="AM1381" s="483">
        <v>-10.17206</v>
      </c>
      <c r="AN1381" s="48">
        <v>-6.05</v>
      </c>
      <c r="AO1381" s="484"/>
      <c r="AP1381" s="484">
        <v>-3.43</v>
      </c>
      <c r="AQ1381" s="48" t="s">
        <v>6311</v>
      </c>
      <c r="AR1381" s="48" t="s">
        <v>6311</v>
      </c>
      <c r="AS1381" s="227"/>
      <c r="AT1381" s="50" t="s">
        <v>266</v>
      </c>
      <c r="AU1381" s="48">
        <v>6</v>
      </c>
      <c r="AV1381" s="48">
        <v>120</v>
      </c>
      <c r="AW1381" s="48">
        <v>114</v>
      </c>
      <c r="AX1381" s="48">
        <v>28</v>
      </c>
      <c r="AY1381" s="48" t="s">
        <v>8728</v>
      </c>
      <c r="AZ1381" s="48" t="s">
        <v>1563</v>
      </c>
      <c r="BA1381" s="48">
        <v>32</v>
      </c>
      <c r="BB1381" s="47" t="s">
        <v>2485</v>
      </c>
      <c r="BC1381" s="47" t="s">
        <v>8726</v>
      </c>
      <c r="BD1381" s="47" t="s">
        <v>8374</v>
      </c>
      <c r="BE1381" s="48" t="s">
        <v>2449</v>
      </c>
      <c r="BF1381" s="48" t="s">
        <v>272</v>
      </c>
      <c r="BG1381" s="48" t="s">
        <v>272</v>
      </c>
      <c r="BH1381" s="48" t="s">
        <v>2486</v>
      </c>
      <c r="BI1381" s="98">
        <v>6.3999999999999997E-6</v>
      </c>
      <c r="BJ1381" s="98">
        <v>6.4000000000000001E-2</v>
      </c>
      <c r="BK1381" s="48"/>
      <c r="BL1381" s="98">
        <f t="shared" si="363"/>
        <v>9.7624090305406405E-2</v>
      </c>
      <c r="BM1381" s="47" t="s">
        <v>2487</v>
      </c>
      <c r="BN1381" s="48"/>
      <c r="BO1381" s="48"/>
      <c r="BP1381" s="48"/>
      <c r="BQ1381" s="48"/>
      <c r="BR1381" s="47" t="s">
        <v>2496</v>
      </c>
      <c r="BS1381" s="48"/>
      <c r="BT1381" s="48"/>
      <c r="BU1381" s="228">
        <v>6.3999999999999997E-6</v>
      </c>
      <c r="BV1381" s="48"/>
      <c r="BW1381" s="48"/>
      <c r="BX1381" s="48"/>
      <c r="BY1381" s="48"/>
      <c r="BZ1381" s="48"/>
      <c r="CA1381" s="48"/>
      <c r="CB1381" s="48"/>
      <c r="CC1381" s="48"/>
      <c r="CD1381" s="48"/>
      <c r="CE1381" s="48"/>
      <c r="CF1381" s="48"/>
      <c r="CG1381" s="48"/>
      <c r="CH1381" s="48"/>
      <c r="CI1381" s="98"/>
      <c r="CJ1381" s="98"/>
      <c r="CK1381" s="49">
        <f t="shared" si="356"/>
        <v>1.525376411021975</v>
      </c>
      <c r="CL1381" s="229"/>
      <c r="CM1381" s="229"/>
      <c r="CN1381" s="229"/>
      <c r="CO1381" s="47" t="s">
        <v>2488</v>
      </c>
      <c r="CP1381" s="47" t="s">
        <v>2489</v>
      </c>
      <c r="CQ1381" s="224">
        <v>-1.3686979303583522</v>
      </c>
      <c r="CR1381" s="224">
        <f>10^(CJ1381-CQ1381)</f>
        <v>23.372110469485762</v>
      </c>
      <c r="CS1381" s="230" t="s">
        <v>539</v>
      </c>
      <c r="CT1381" s="230"/>
      <c r="CU1381" s="230"/>
      <c r="CV1381" s="335">
        <f t="shared" si="364"/>
        <v>0.1419908426828842</v>
      </c>
      <c r="CW1381" s="230">
        <f t="shared" si="354"/>
        <v>0</v>
      </c>
      <c r="CX1381" s="336"/>
      <c r="CY1381" s="230" t="s">
        <v>5921</v>
      </c>
    </row>
    <row r="1382" spans="1:103" ht="11.25" customHeight="1" x14ac:dyDescent="0.2">
      <c r="A1382" s="72">
        <v>1380</v>
      </c>
      <c r="B1382" s="224">
        <v>220</v>
      </c>
      <c r="C1382" s="46" t="s">
        <v>7449</v>
      </c>
      <c r="D1382" s="46"/>
      <c r="E1382" s="114"/>
      <c r="F1382" s="114" t="s">
        <v>3720</v>
      </c>
      <c r="G1382" s="225">
        <v>50594666</v>
      </c>
      <c r="H1382" s="47" t="s">
        <v>3721</v>
      </c>
      <c r="I1382" s="47" t="s">
        <v>8128</v>
      </c>
      <c r="J1382" s="47" t="s">
        <v>3722</v>
      </c>
      <c r="K1382" s="47" t="s">
        <v>426</v>
      </c>
      <c r="L1382" s="47" t="s">
        <v>5955</v>
      </c>
      <c r="M1382" s="47" t="s">
        <v>5958</v>
      </c>
      <c r="N1382" s="47"/>
      <c r="O1382" s="47" t="s">
        <v>5957</v>
      </c>
      <c r="P1382" s="53"/>
      <c r="Q1382" s="53"/>
      <c r="R1382" s="53"/>
      <c r="S1382" s="53"/>
      <c r="T1382" s="48">
        <v>361.66</v>
      </c>
      <c r="U1382" s="98">
        <v>0.33180335121384724</v>
      </c>
      <c r="V1382" s="98">
        <v>4.1060664712713598E-3</v>
      </c>
      <c r="W1382" s="98">
        <v>0.19498445997580452</v>
      </c>
      <c r="X1382" s="98">
        <v>0.33180335121384724</v>
      </c>
      <c r="Y1382" s="233">
        <v>3.72</v>
      </c>
      <c r="Z1382" s="48">
        <v>4.17</v>
      </c>
      <c r="AA1382" s="48">
        <v>3.7</v>
      </c>
      <c r="AB1382" s="48">
        <v>4.04</v>
      </c>
      <c r="AC1382" s="48">
        <v>0.89410000000000001</v>
      </c>
      <c r="AD1382" s="48">
        <v>4.0999999999999996</v>
      </c>
      <c r="AE1382" s="48">
        <v>4.3499999999999996</v>
      </c>
      <c r="AF1382" s="48">
        <f t="shared" si="362"/>
        <v>3.7</v>
      </c>
      <c r="AG1382" s="49">
        <v>3.82</v>
      </c>
      <c r="AH1382" s="98">
        <v>6.0300000000000001E-11</v>
      </c>
      <c r="AI1382" s="98"/>
      <c r="AJ1382" s="483">
        <f t="shared" ref="AJ1382:AJ1413" si="366">LOG10(AH1382*1000/(0.08206*298.15))</f>
        <v>-8.6082490141725003</v>
      </c>
      <c r="AK1382" s="483"/>
      <c r="AL1382" s="483">
        <f t="shared" si="365"/>
        <v>-8.6082490141725003</v>
      </c>
      <c r="AM1382" s="483">
        <v>-13.366</v>
      </c>
      <c r="AN1382" s="226">
        <v>-8.4</v>
      </c>
      <c r="AO1382" s="484">
        <v>1.93</v>
      </c>
      <c r="AP1382" s="484"/>
      <c r="AQ1382" s="226" t="s">
        <v>6311</v>
      </c>
      <c r="AR1382" s="226" t="s">
        <v>6311</v>
      </c>
      <c r="AS1382" s="224" t="s">
        <v>6</v>
      </c>
      <c r="AT1382" s="50" t="s">
        <v>266</v>
      </c>
      <c r="AU1382" s="48">
        <v>8</v>
      </c>
      <c r="AV1382" s="48">
        <v>144</v>
      </c>
      <c r="AW1382" s="48">
        <v>120</v>
      </c>
      <c r="AX1382" s="48">
        <v>26</v>
      </c>
      <c r="AY1382" s="48" t="s">
        <v>267</v>
      </c>
      <c r="AZ1382" s="48" t="s">
        <v>2253</v>
      </c>
      <c r="BA1382" s="48">
        <v>2</v>
      </c>
      <c r="BB1382" s="47" t="s">
        <v>2254</v>
      </c>
      <c r="BC1382" s="47" t="s">
        <v>270</v>
      </c>
      <c r="BD1382" s="47" t="s">
        <v>8374</v>
      </c>
      <c r="BE1382" s="48" t="s">
        <v>1712</v>
      </c>
      <c r="BF1382" s="48" t="s">
        <v>272</v>
      </c>
      <c r="BG1382" s="48" t="s">
        <v>272</v>
      </c>
      <c r="BH1382" s="48" t="s">
        <v>2255</v>
      </c>
      <c r="BI1382" s="98">
        <v>9.9999999999999995E-7</v>
      </c>
      <c r="BJ1382" s="98">
        <v>0.08</v>
      </c>
      <c r="BK1382" s="48"/>
      <c r="BL1382" s="98">
        <f t="shared" si="363"/>
        <v>9.2410857463022904E-3</v>
      </c>
      <c r="BM1382" s="48" t="s">
        <v>891</v>
      </c>
      <c r="BN1382" s="233"/>
      <c r="BO1382" s="233"/>
      <c r="BP1382" s="233"/>
      <c r="BQ1382" s="233"/>
      <c r="BR1382" s="233"/>
      <c r="BS1382" s="48"/>
      <c r="BT1382" s="233"/>
      <c r="BU1382" s="228"/>
      <c r="BV1382" s="233"/>
      <c r="BW1382" s="233"/>
      <c r="BX1382" s="233"/>
      <c r="BY1382" s="233"/>
      <c r="BZ1382" s="233"/>
      <c r="CA1382" s="233"/>
      <c r="CB1382" s="233"/>
      <c r="CC1382" s="48"/>
      <c r="CD1382" s="48"/>
      <c r="CE1382" s="48"/>
      <c r="CF1382" s="48"/>
      <c r="CG1382" s="233"/>
      <c r="CH1382" s="48"/>
      <c r="CI1382" s="98"/>
      <c r="CJ1382" s="98"/>
      <c r="CK1382" s="49">
        <f t="shared" si="356"/>
        <v>0.11551357182877862</v>
      </c>
      <c r="CL1382" s="229"/>
      <c r="CM1382" s="229"/>
      <c r="CN1382" s="229"/>
      <c r="CO1382" s="47" t="s">
        <v>892</v>
      </c>
      <c r="CP1382" s="47" t="s">
        <v>893</v>
      </c>
      <c r="CQ1382" s="224" t="s">
        <v>272</v>
      </c>
      <c r="CR1382" s="224"/>
      <c r="CS1382" s="230" t="s">
        <v>539</v>
      </c>
      <c r="CT1382" s="230"/>
      <c r="CU1382" s="230"/>
      <c r="CV1382" s="335">
        <f t="shared" si="364"/>
        <v>4.1475418901730903</v>
      </c>
      <c r="CW1382" s="230">
        <f t="shared" si="354"/>
        <v>1</v>
      </c>
      <c r="CX1382" s="336" t="s">
        <v>539</v>
      </c>
      <c r="CY1382" s="230" t="s">
        <v>5921</v>
      </c>
    </row>
    <row r="1383" spans="1:103" ht="11.25" customHeight="1" x14ac:dyDescent="0.2">
      <c r="A1383" s="72">
        <v>1381</v>
      </c>
      <c r="B1383" s="224">
        <v>1493</v>
      </c>
      <c r="C1383" s="46" t="s">
        <v>7449</v>
      </c>
      <c r="D1383" s="46"/>
      <c r="E1383" s="114"/>
      <c r="F1383" s="114" t="s">
        <v>3720</v>
      </c>
      <c r="G1383" s="225">
        <v>50594666</v>
      </c>
      <c r="H1383" s="47" t="s">
        <v>3721</v>
      </c>
      <c r="I1383" s="47" t="s">
        <v>8128</v>
      </c>
      <c r="J1383" s="47" t="s">
        <v>3722</v>
      </c>
      <c r="K1383" s="47" t="s">
        <v>426</v>
      </c>
      <c r="L1383" s="47" t="s">
        <v>5955</v>
      </c>
      <c r="M1383" s="47" t="s">
        <v>5958</v>
      </c>
      <c r="N1383" s="47"/>
      <c r="O1383" s="47" t="s">
        <v>5957</v>
      </c>
      <c r="P1383" s="53"/>
      <c r="Q1383" s="53"/>
      <c r="R1383" s="53"/>
      <c r="S1383" s="53"/>
      <c r="T1383" s="48">
        <v>361.66</v>
      </c>
      <c r="U1383" s="98">
        <v>0.33180335121384724</v>
      </c>
      <c r="V1383" s="98">
        <v>4.1060664712713598E-3</v>
      </c>
      <c r="W1383" s="98">
        <v>0.19498445997580452</v>
      </c>
      <c r="X1383" s="98">
        <v>0.33180335121384724</v>
      </c>
      <c r="Y1383" s="233">
        <v>3.72</v>
      </c>
      <c r="Z1383" s="48">
        <v>4.17</v>
      </c>
      <c r="AA1383" s="48">
        <v>3.7</v>
      </c>
      <c r="AB1383" s="48">
        <v>4.04</v>
      </c>
      <c r="AC1383" s="48">
        <v>0.89410000000000001</v>
      </c>
      <c r="AD1383" s="48">
        <v>4.0999999999999996</v>
      </c>
      <c r="AE1383" s="48">
        <v>4.3499999999999996</v>
      </c>
      <c r="AF1383" s="48">
        <f t="shared" si="362"/>
        <v>3.7</v>
      </c>
      <c r="AG1383" s="49">
        <v>3.82</v>
      </c>
      <c r="AH1383" s="98">
        <v>6.0300000000000001E-11</v>
      </c>
      <c r="AI1383" s="98"/>
      <c r="AJ1383" s="483">
        <f t="shared" si="366"/>
        <v>-8.6082490141725003</v>
      </c>
      <c r="AK1383" s="483"/>
      <c r="AL1383" s="483">
        <f t="shared" si="365"/>
        <v>-8.6082490141725003</v>
      </c>
      <c r="AM1383" s="483">
        <v>-13.366</v>
      </c>
      <c r="AN1383" s="226">
        <v>-8.4</v>
      </c>
      <c r="AO1383" s="484">
        <v>1.93</v>
      </c>
      <c r="AP1383" s="484"/>
      <c r="AQ1383" s="48" t="s">
        <v>6311</v>
      </c>
      <c r="AR1383" s="48" t="s">
        <v>6311</v>
      </c>
      <c r="AS1383" s="227"/>
      <c r="AT1383" s="50" t="s">
        <v>266</v>
      </c>
      <c r="AU1383" s="48">
        <v>6</v>
      </c>
      <c r="AV1383" s="48">
        <v>120</v>
      </c>
      <c r="AW1383" s="48">
        <v>114</v>
      </c>
      <c r="AX1383" s="48">
        <v>28</v>
      </c>
      <c r="AY1383" s="48" t="s">
        <v>8728</v>
      </c>
      <c r="AZ1383" s="48" t="s">
        <v>1563</v>
      </c>
      <c r="BA1383" s="48">
        <v>32</v>
      </c>
      <c r="BB1383" s="47" t="s">
        <v>2485</v>
      </c>
      <c r="BC1383" s="47" t="s">
        <v>8726</v>
      </c>
      <c r="BD1383" s="47" t="s">
        <v>8374</v>
      </c>
      <c r="BE1383" s="48" t="s">
        <v>2449</v>
      </c>
      <c r="BF1383" s="48" t="s">
        <v>272</v>
      </c>
      <c r="BG1383" s="48" t="s">
        <v>272</v>
      </c>
      <c r="BH1383" s="48" t="s">
        <v>2486</v>
      </c>
      <c r="BI1383" s="98">
        <v>6.3999999999999997E-6</v>
      </c>
      <c r="BJ1383" s="98">
        <v>6.4000000000000001E-2</v>
      </c>
      <c r="BK1383" s="48"/>
      <c r="BL1383" s="98">
        <f t="shared" si="363"/>
        <v>9.2410857463022904E-3</v>
      </c>
      <c r="BM1383" s="47" t="s">
        <v>2487</v>
      </c>
      <c r="BN1383" s="48"/>
      <c r="BO1383" s="48"/>
      <c r="BP1383" s="48"/>
      <c r="BQ1383" s="48"/>
      <c r="BR1383" s="47" t="s">
        <v>2496</v>
      </c>
      <c r="BS1383" s="48"/>
      <c r="BT1383" s="48"/>
      <c r="BU1383" s="228"/>
      <c r="BV1383" s="48"/>
      <c r="BW1383" s="48"/>
      <c r="BX1383" s="48"/>
      <c r="BY1383" s="48"/>
      <c r="BZ1383" s="48"/>
      <c r="CA1383" s="48"/>
      <c r="CB1383" s="48"/>
      <c r="CC1383" s="48"/>
      <c r="CD1383" s="48"/>
      <c r="CE1383" s="48"/>
      <c r="CF1383" s="48"/>
      <c r="CG1383" s="48"/>
      <c r="CH1383" s="48"/>
      <c r="CI1383" s="98"/>
      <c r="CJ1383" s="98"/>
      <c r="CK1383" s="49">
        <f t="shared" si="356"/>
        <v>0.1443919647859733</v>
      </c>
      <c r="CL1383" s="229"/>
      <c r="CM1383" s="229"/>
      <c r="CN1383" s="229"/>
      <c r="CO1383" s="47" t="s">
        <v>2488</v>
      </c>
      <c r="CP1383" s="47" t="s">
        <v>2489</v>
      </c>
      <c r="CQ1383" s="224" t="s">
        <v>272</v>
      </c>
      <c r="CR1383" s="224"/>
      <c r="CS1383" s="230" t="s">
        <v>539</v>
      </c>
      <c r="CT1383" s="230"/>
      <c r="CU1383" s="230"/>
      <c r="CV1383" s="335">
        <f t="shared" si="364"/>
        <v>5.1844273627163631</v>
      </c>
      <c r="CW1383" s="230">
        <f t="shared" si="354"/>
        <v>1</v>
      </c>
      <c r="CX1383" s="336"/>
      <c r="CY1383" s="230" t="s">
        <v>5921</v>
      </c>
    </row>
    <row r="1384" spans="1:103" ht="11.25" customHeight="1" x14ac:dyDescent="0.2">
      <c r="A1384" s="72">
        <v>1382</v>
      </c>
      <c r="B1384" s="224">
        <v>1244</v>
      </c>
      <c r="C1384" s="46" t="s">
        <v>7450</v>
      </c>
      <c r="D1384" s="46"/>
      <c r="E1384" s="114"/>
      <c r="F1384" s="114" t="s">
        <v>3420</v>
      </c>
      <c r="G1384" s="225">
        <v>50892234</v>
      </c>
      <c r="H1384" s="47" t="s">
        <v>3421</v>
      </c>
      <c r="I1384" s="47" t="s">
        <v>7746</v>
      </c>
      <c r="J1384" s="47" t="s">
        <v>3422</v>
      </c>
      <c r="K1384" s="47" t="s">
        <v>426</v>
      </c>
      <c r="L1384" s="47"/>
      <c r="M1384" s="47"/>
      <c r="N1384" s="47"/>
      <c r="O1384" s="47"/>
      <c r="P1384" s="53"/>
      <c r="Q1384" s="53"/>
      <c r="R1384" s="53"/>
      <c r="S1384" s="53"/>
      <c r="T1384" s="48">
        <v>323.8</v>
      </c>
      <c r="U1384" s="98"/>
      <c r="V1384" s="98">
        <v>0.1464484249536751</v>
      </c>
      <c r="W1384" s="98">
        <v>0.11220184543019618</v>
      </c>
      <c r="X1384" s="98">
        <f>IF(W1384=0,V1384,W1384)</f>
        <v>0.11220184543019618</v>
      </c>
      <c r="Y1384" s="233">
        <v>3.98</v>
      </c>
      <c r="Z1384" s="48">
        <v>3.12</v>
      </c>
      <c r="AA1384" s="48"/>
      <c r="AB1384" s="48">
        <v>4.09</v>
      </c>
      <c r="AC1384" s="48">
        <v>0.82750000000000001</v>
      </c>
      <c r="AD1384" s="48">
        <v>4.29</v>
      </c>
      <c r="AE1384" s="48">
        <v>4.92</v>
      </c>
      <c r="AF1384" s="48">
        <f t="shared" si="362"/>
        <v>4.29</v>
      </c>
      <c r="AG1384" s="49">
        <v>3.86</v>
      </c>
      <c r="AH1384" s="98">
        <v>2.73E-13</v>
      </c>
      <c r="AI1384" s="98"/>
      <c r="AJ1384" s="483">
        <f t="shared" si="366"/>
        <v>-10.952403679271896</v>
      </c>
      <c r="AK1384" s="483"/>
      <c r="AL1384" s="483">
        <f t="shared" si="365"/>
        <v>-10.952403679271896</v>
      </c>
      <c r="AM1384" s="483">
        <v>-16.533899999999999</v>
      </c>
      <c r="AN1384" s="226">
        <v>-12</v>
      </c>
      <c r="AO1384" s="484">
        <v>2.99</v>
      </c>
      <c r="AP1384" s="484">
        <v>0.53</v>
      </c>
      <c r="AQ1384" s="48" t="s">
        <v>6311</v>
      </c>
      <c r="AR1384" s="48" t="s">
        <v>6311</v>
      </c>
      <c r="AS1384" s="227"/>
      <c r="AT1384" s="50" t="s">
        <v>266</v>
      </c>
      <c r="AU1384" s="48">
        <v>6</v>
      </c>
      <c r="AV1384" s="48">
        <v>120</v>
      </c>
      <c r="AW1384" s="48">
        <v>114</v>
      </c>
      <c r="AX1384" s="48">
        <v>28</v>
      </c>
      <c r="AY1384" s="48" t="s">
        <v>8728</v>
      </c>
      <c r="AZ1384" s="48" t="s">
        <v>1563</v>
      </c>
      <c r="BA1384" s="48">
        <v>32</v>
      </c>
      <c r="BB1384" s="47" t="s">
        <v>2485</v>
      </c>
      <c r="BC1384" s="47" t="s">
        <v>8726</v>
      </c>
      <c r="BD1384" s="47" t="s">
        <v>8374</v>
      </c>
      <c r="BE1384" s="48" t="s">
        <v>2449</v>
      </c>
      <c r="BF1384" s="48" t="s">
        <v>272</v>
      </c>
      <c r="BG1384" s="48" t="s">
        <v>272</v>
      </c>
      <c r="BH1384" s="48" t="s">
        <v>2486</v>
      </c>
      <c r="BI1384" s="98">
        <v>6.3999999999999997E-6</v>
      </c>
      <c r="BJ1384" s="98">
        <v>6.4000000000000001E-2</v>
      </c>
      <c r="BK1384" s="48"/>
      <c r="BL1384" s="98">
        <f t="shared" si="363"/>
        <v>8.1045330941141552E-2</v>
      </c>
      <c r="BM1384" s="47" t="s">
        <v>2487</v>
      </c>
      <c r="BN1384" s="48"/>
      <c r="BO1384" s="48"/>
      <c r="BP1384" s="48"/>
      <c r="BQ1384" s="48"/>
      <c r="BR1384" s="47" t="s">
        <v>2496</v>
      </c>
      <c r="BS1384" s="48"/>
      <c r="BT1384" s="48"/>
      <c r="BU1384" s="228">
        <v>6.4000000000000003E-3</v>
      </c>
      <c r="BV1384" s="48"/>
      <c r="BW1384" s="48"/>
      <c r="BX1384" s="48"/>
      <c r="BY1384" s="48"/>
      <c r="BZ1384" s="48"/>
      <c r="CA1384" s="48"/>
      <c r="CB1384" s="48"/>
      <c r="CC1384" s="48"/>
      <c r="CD1384" s="48"/>
      <c r="CE1384" s="48"/>
      <c r="CF1384" s="48"/>
      <c r="CG1384" s="48"/>
      <c r="CH1384" s="48"/>
      <c r="CI1384" s="98"/>
      <c r="CJ1384" s="98"/>
      <c r="CK1384" s="49">
        <f t="shared" si="356"/>
        <v>1.2663332959553368</v>
      </c>
      <c r="CL1384" s="229"/>
      <c r="CM1384" s="229"/>
      <c r="CN1384" s="229"/>
      <c r="CO1384" s="47" t="s">
        <v>2488</v>
      </c>
      <c r="CP1384" s="47" t="s">
        <v>2489</v>
      </c>
      <c r="CQ1384" s="224" t="s">
        <v>272</v>
      </c>
      <c r="CR1384" s="224"/>
      <c r="CS1384" s="230" t="s">
        <v>539</v>
      </c>
      <c r="CT1384" s="230"/>
      <c r="CU1384" s="230"/>
      <c r="CV1384" s="335">
        <f t="shared" si="364"/>
        <v>1.7531538348468152</v>
      </c>
      <c r="CW1384" s="230">
        <f t="shared" si="354"/>
        <v>1</v>
      </c>
      <c r="CX1384" s="336"/>
      <c r="CY1384" s="230" t="s">
        <v>5921</v>
      </c>
    </row>
    <row r="1385" spans="1:103" ht="11.25" customHeight="1" x14ac:dyDescent="0.2">
      <c r="A1385" s="72">
        <v>1383</v>
      </c>
      <c r="B1385" s="224">
        <v>1189</v>
      </c>
      <c r="C1385" s="46" t="s">
        <v>1307</v>
      </c>
      <c r="D1385" s="46"/>
      <c r="E1385" s="114"/>
      <c r="F1385" s="114" t="s">
        <v>1308</v>
      </c>
      <c r="G1385" s="225">
        <v>51218452</v>
      </c>
      <c r="H1385" s="47" t="s">
        <v>1309</v>
      </c>
      <c r="I1385" s="47" t="s">
        <v>8129</v>
      </c>
      <c r="J1385" s="47" t="s">
        <v>1310</v>
      </c>
      <c r="K1385" s="47" t="s">
        <v>924</v>
      </c>
      <c r="L1385" s="47" t="s">
        <v>5999</v>
      </c>
      <c r="M1385" s="47" t="s">
        <v>6082</v>
      </c>
      <c r="N1385" s="47" t="s">
        <v>6082</v>
      </c>
      <c r="O1385" s="47" t="s">
        <v>6083</v>
      </c>
      <c r="P1385" s="53"/>
      <c r="Q1385" s="53"/>
      <c r="R1385" s="53"/>
      <c r="S1385" s="53"/>
      <c r="T1385" s="48">
        <v>283.79000000000002</v>
      </c>
      <c r="U1385" s="98">
        <v>1.8675781387645793</v>
      </c>
      <c r="V1385" s="98">
        <v>0.17921702667465378</v>
      </c>
      <c r="W1385" s="98">
        <v>1.819700858609981</v>
      </c>
      <c r="X1385" s="98">
        <v>1.8675781387645793</v>
      </c>
      <c r="Y1385" s="233">
        <v>7.01</v>
      </c>
      <c r="Z1385" s="48">
        <v>3.24</v>
      </c>
      <c r="AA1385" s="48">
        <v>2.9</v>
      </c>
      <c r="AB1385" s="48">
        <v>3.28</v>
      </c>
      <c r="AC1385" s="48">
        <v>0.85260000000000002</v>
      </c>
      <c r="AD1385" s="48">
        <v>3.22</v>
      </c>
      <c r="AE1385" s="48">
        <v>3</v>
      </c>
      <c r="AF1385" s="48">
        <f t="shared" si="362"/>
        <v>2.9</v>
      </c>
      <c r="AG1385" s="49">
        <v>3.4</v>
      </c>
      <c r="AH1385" s="98">
        <v>1.49E-9</v>
      </c>
      <c r="AI1385" s="98">
        <v>8.9999999999999995E-9</v>
      </c>
      <c r="AJ1385" s="483">
        <f t="shared" si="366"/>
        <v>-7.2153800579003775</v>
      </c>
      <c r="AK1385" s="483">
        <f t="shared" ref="AK1385:AK1391" si="367">LOG10(AI1385*1000/(0.08206*298.15))</f>
        <v>-6.4343238168733272</v>
      </c>
      <c r="AL1385" s="483">
        <f t="shared" si="365"/>
        <v>-6.4343238168733272</v>
      </c>
      <c r="AM1385" s="483">
        <v>-10.885639999999999</v>
      </c>
      <c r="AN1385" s="226">
        <v>-5.2</v>
      </c>
      <c r="AO1385" s="484"/>
      <c r="AP1385" s="484">
        <v>1.45</v>
      </c>
      <c r="AQ1385" s="48" t="s">
        <v>6311</v>
      </c>
      <c r="AR1385" s="48" t="s">
        <v>6311</v>
      </c>
      <c r="AS1385" s="227"/>
      <c r="AT1385" s="50" t="s">
        <v>266</v>
      </c>
      <c r="AU1385" s="48">
        <v>6</v>
      </c>
      <c r="AV1385" s="48">
        <v>120</v>
      </c>
      <c r="AW1385" s="48">
        <v>114</v>
      </c>
      <c r="AX1385" s="48">
        <v>28</v>
      </c>
      <c r="AY1385" s="48" t="s">
        <v>8728</v>
      </c>
      <c r="AZ1385" s="48" t="s">
        <v>1563</v>
      </c>
      <c r="BA1385" s="48">
        <v>32</v>
      </c>
      <c r="BB1385" s="47" t="s">
        <v>2485</v>
      </c>
      <c r="BC1385" s="47" t="s">
        <v>8726</v>
      </c>
      <c r="BD1385" s="47" t="s">
        <v>8374</v>
      </c>
      <c r="BE1385" s="48" t="s">
        <v>2449</v>
      </c>
      <c r="BF1385" s="48" t="s">
        <v>272</v>
      </c>
      <c r="BG1385" s="48" t="s">
        <v>272</v>
      </c>
      <c r="BH1385" s="48" t="s">
        <v>2486</v>
      </c>
      <c r="BI1385" s="98">
        <v>6.3999999999999997E-6</v>
      </c>
      <c r="BJ1385" s="98">
        <v>6.4000000000000001E-2</v>
      </c>
      <c r="BK1385" s="48"/>
      <c r="BL1385" s="98">
        <f t="shared" si="363"/>
        <v>6.3234778260932642E-2</v>
      </c>
      <c r="BM1385" s="47" t="s">
        <v>2487</v>
      </c>
      <c r="BN1385" s="48"/>
      <c r="BO1385" s="48"/>
      <c r="BP1385" s="48"/>
      <c r="BQ1385" s="48"/>
      <c r="BR1385" s="47" t="s">
        <v>2496</v>
      </c>
      <c r="BS1385" s="48"/>
      <c r="BT1385" s="48"/>
      <c r="BU1385" s="228">
        <v>6.3999999999999997E-5</v>
      </c>
      <c r="BV1385" s="48"/>
      <c r="BW1385" s="48"/>
      <c r="BX1385" s="48"/>
      <c r="BY1385" s="48"/>
      <c r="BZ1385" s="48"/>
      <c r="CA1385" s="48"/>
      <c r="CB1385" s="48"/>
      <c r="CC1385" s="48"/>
      <c r="CD1385" s="48"/>
      <c r="CE1385" s="48"/>
      <c r="CF1385" s="48"/>
      <c r="CG1385" s="48"/>
      <c r="CH1385" s="48"/>
      <c r="CI1385" s="98"/>
      <c r="CJ1385" s="98"/>
      <c r="CK1385" s="49">
        <f t="shared" si="356"/>
        <v>0.98804341032707255</v>
      </c>
      <c r="CL1385" s="229"/>
      <c r="CM1385" s="229">
        <v>-1.6004931083493079</v>
      </c>
      <c r="CN1385" s="229">
        <f>BJ1385/(10^CM1385)</f>
        <v>2.5507804651387262</v>
      </c>
      <c r="CO1385" s="47" t="s">
        <v>2488</v>
      </c>
      <c r="CP1385" s="47" t="s">
        <v>2489</v>
      </c>
      <c r="CQ1385" s="224">
        <v>-1.5465216415385437</v>
      </c>
      <c r="CR1385" s="224">
        <f>10^(CJ1385-CQ1385)</f>
        <v>35.198296192110462</v>
      </c>
      <c r="CS1385" s="230" t="s">
        <v>539</v>
      </c>
      <c r="CT1385" s="230"/>
      <c r="CU1385" s="230"/>
      <c r="CV1385" s="335">
        <f t="shared" si="364"/>
        <v>29.180908418196552</v>
      </c>
      <c r="CW1385" s="230">
        <f t="shared" si="354"/>
        <v>1</v>
      </c>
      <c r="CX1385" s="336"/>
      <c r="CY1385" s="230" t="s">
        <v>5921</v>
      </c>
    </row>
    <row r="1386" spans="1:103" ht="11.25" customHeight="1" x14ac:dyDescent="0.2">
      <c r="A1386" s="72">
        <v>1384</v>
      </c>
      <c r="B1386" s="224">
        <v>350</v>
      </c>
      <c r="C1386" s="46" t="s">
        <v>7451</v>
      </c>
      <c r="D1386" s="46"/>
      <c r="E1386" s="114"/>
      <c r="F1386" s="114" t="s">
        <v>3201</v>
      </c>
      <c r="G1386" s="225">
        <v>51235042</v>
      </c>
      <c r="H1386" s="47" t="s">
        <v>3202</v>
      </c>
      <c r="I1386" s="47" t="s">
        <v>8130</v>
      </c>
      <c r="J1386" s="47" t="s">
        <v>3203</v>
      </c>
      <c r="K1386" s="47" t="s">
        <v>3204</v>
      </c>
      <c r="L1386" s="51" t="s">
        <v>6056</v>
      </c>
      <c r="M1386" s="47" t="s">
        <v>6082</v>
      </c>
      <c r="N1386" s="47" t="s">
        <v>6082</v>
      </c>
      <c r="O1386" s="47" t="s">
        <v>6083</v>
      </c>
      <c r="P1386" s="53"/>
      <c r="Q1386" s="53"/>
      <c r="R1386" s="53"/>
      <c r="S1386" s="53"/>
      <c r="T1386" s="48">
        <v>252.31</v>
      </c>
      <c r="U1386" s="98">
        <v>130.79148666323175</v>
      </c>
      <c r="V1386" s="98">
        <v>2.3946732194522613</v>
      </c>
      <c r="W1386" s="98">
        <v>1.995262314968878</v>
      </c>
      <c r="X1386" s="98">
        <v>130.79148666323175</v>
      </c>
      <c r="Y1386" s="233">
        <v>7.04</v>
      </c>
      <c r="Z1386" s="48">
        <v>2.15</v>
      </c>
      <c r="AA1386" s="48">
        <v>1.85</v>
      </c>
      <c r="AB1386" s="48">
        <v>1.95</v>
      </c>
      <c r="AC1386" s="48">
        <v>0.6381</v>
      </c>
      <c r="AD1386" s="48">
        <v>1.91</v>
      </c>
      <c r="AE1386" s="48">
        <v>1.85</v>
      </c>
      <c r="AF1386" s="48">
        <f t="shared" si="362"/>
        <v>1.85</v>
      </c>
      <c r="AG1386" s="49">
        <v>1.69</v>
      </c>
      <c r="AH1386" s="98">
        <v>4.1100000000000002E-13</v>
      </c>
      <c r="AI1386" s="98">
        <v>2.2600000000000001E-12</v>
      </c>
      <c r="AJ1386" s="483">
        <f t="shared" si="366"/>
        <v>-10.774724504436582</v>
      </c>
      <c r="AK1386" s="483">
        <f t="shared" si="367"/>
        <v>-10.034457887165251</v>
      </c>
      <c r="AL1386" s="483">
        <f t="shared" si="365"/>
        <v>-10.034457887165251</v>
      </c>
      <c r="AM1386" s="483">
        <v>-13.65523</v>
      </c>
      <c r="AN1386" s="226">
        <v>-9.66</v>
      </c>
      <c r="AO1386" s="484"/>
      <c r="AP1386" s="484">
        <v>2.0499999999999998</v>
      </c>
      <c r="AQ1386" s="226" t="s">
        <v>6311</v>
      </c>
      <c r="AR1386" s="226" t="s">
        <v>6311</v>
      </c>
      <c r="AS1386" s="224" t="s">
        <v>6</v>
      </c>
      <c r="AT1386" s="50" t="s">
        <v>266</v>
      </c>
      <c r="AU1386" s="48">
        <v>8</v>
      </c>
      <c r="AV1386" s="48">
        <v>144</v>
      </c>
      <c r="AW1386" s="48">
        <v>120</v>
      </c>
      <c r="AX1386" s="48">
        <v>26</v>
      </c>
      <c r="AY1386" s="48" t="s">
        <v>267</v>
      </c>
      <c r="AZ1386" s="48" t="s">
        <v>2253</v>
      </c>
      <c r="BA1386" s="48">
        <v>2</v>
      </c>
      <c r="BB1386" s="47" t="s">
        <v>2254</v>
      </c>
      <c r="BC1386" s="47" t="s">
        <v>270</v>
      </c>
      <c r="BD1386" s="47" t="s">
        <v>8374</v>
      </c>
      <c r="BE1386" s="48" t="s">
        <v>1712</v>
      </c>
      <c r="BF1386" s="48" t="s">
        <v>272</v>
      </c>
      <c r="BG1386" s="48" t="s">
        <v>272</v>
      </c>
      <c r="BH1386" s="48" t="s">
        <v>2255</v>
      </c>
      <c r="BI1386" s="98">
        <v>9.9999999999999995E-7</v>
      </c>
      <c r="BJ1386" s="98">
        <v>0.08</v>
      </c>
      <c r="BK1386" s="48"/>
      <c r="BL1386" s="98">
        <f t="shared" si="363"/>
        <v>0.60240005105464867</v>
      </c>
      <c r="BM1386" s="48" t="s">
        <v>891</v>
      </c>
      <c r="BN1386" s="233"/>
      <c r="BO1386" s="233"/>
      <c r="BP1386" s="233"/>
      <c r="BQ1386" s="233"/>
      <c r="BR1386" s="233"/>
      <c r="BS1386" s="48"/>
      <c r="BT1386" s="233"/>
      <c r="BU1386" s="228"/>
      <c r="BV1386" s="233"/>
      <c r="BW1386" s="233"/>
      <c r="BX1386" s="233"/>
      <c r="BY1386" s="233"/>
      <c r="BZ1386" s="233"/>
      <c r="CA1386" s="233"/>
      <c r="CB1386" s="233"/>
      <c r="CC1386" s="48"/>
      <c r="CD1386" s="48"/>
      <c r="CE1386" s="48"/>
      <c r="CF1386" s="48"/>
      <c r="CG1386" s="233"/>
      <c r="CH1386" s="48"/>
      <c r="CI1386" s="98"/>
      <c r="CJ1386" s="98"/>
      <c r="CK1386" s="49">
        <f t="shared" si="356"/>
        <v>7.5300006381831084</v>
      </c>
      <c r="CL1386" s="229"/>
      <c r="CM1386" s="229"/>
      <c r="CN1386" s="229"/>
      <c r="CO1386" s="47" t="s">
        <v>892</v>
      </c>
      <c r="CP1386" s="47" t="s">
        <v>893</v>
      </c>
      <c r="CQ1386" s="224">
        <v>0.1397321164338603</v>
      </c>
      <c r="CR1386" s="224">
        <f>10^(CJ1386-CQ1386)</f>
        <v>0.72488294791551577</v>
      </c>
      <c r="CS1386" s="230" t="s">
        <v>539</v>
      </c>
      <c r="CT1386" s="230"/>
      <c r="CU1386" s="230"/>
      <c r="CV1386" s="335">
        <f t="shared" si="364"/>
        <v>1634.8935832903969</v>
      </c>
      <c r="CW1386" s="230">
        <f t="shared" si="354"/>
        <v>1</v>
      </c>
      <c r="CX1386" s="336" t="s">
        <v>539</v>
      </c>
      <c r="CY1386" s="230" t="s">
        <v>5921</v>
      </c>
    </row>
    <row r="1387" spans="1:103" ht="11.25" customHeight="1" x14ac:dyDescent="0.2">
      <c r="A1387" s="72">
        <v>1385</v>
      </c>
      <c r="B1387" s="224">
        <v>1158</v>
      </c>
      <c r="C1387" s="46" t="s">
        <v>7451</v>
      </c>
      <c r="D1387" s="46"/>
      <c r="E1387" s="114"/>
      <c r="F1387" s="114" t="s">
        <v>3201</v>
      </c>
      <c r="G1387" s="225">
        <v>51235042</v>
      </c>
      <c r="H1387" s="47" t="s">
        <v>3202</v>
      </c>
      <c r="I1387" s="47" t="s">
        <v>8130</v>
      </c>
      <c r="J1387" s="47" t="s">
        <v>3203</v>
      </c>
      <c r="K1387" s="47" t="s">
        <v>3204</v>
      </c>
      <c r="L1387" s="51" t="s">
        <v>6056</v>
      </c>
      <c r="M1387" s="47" t="s">
        <v>6082</v>
      </c>
      <c r="N1387" s="47" t="s">
        <v>6082</v>
      </c>
      <c r="O1387" s="47" t="s">
        <v>6083</v>
      </c>
      <c r="P1387" s="53"/>
      <c r="Q1387" s="53"/>
      <c r="R1387" s="53"/>
      <c r="S1387" s="53"/>
      <c r="T1387" s="48">
        <v>252.31</v>
      </c>
      <c r="U1387" s="98">
        <v>130.79148666323175</v>
      </c>
      <c r="V1387" s="98">
        <v>2.3946732194522613</v>
      </c>
      <c r="W1387" s="98">
        <v>1.995262314968878</v>
      </c>
      <c r="X1387" s="98">
        <v>130.79148666323175</v>
      </c>
      <c r="Y1387" s="233">
        <v>7.04</v>
      </c>
      <c r="Z1387" s="48">
        <v>2.15</v>
      </c>
      <c r="AA1387" s="48">
        <v>1.85</v>
      </c>
      <c r="AB1387" s="48">
        <v>1.95</v>
      </c>
      <c r="AC1387" s="48">
        <v>0.6381</v>
      </c>
      <c r="AD1387" s="48">
        <v>1.91</v>
      </c>
      <c r="AE1387" s="48">
        <v>1.85</v>
      </c>
      <c r="AF1387" s="48">
        <f t="shared" si="362"/>
        <v>1.85</v>
      </c>
      <c r="AG1387" s="49">
        <v>1.69</v>
      </c>
      <c r="AH1387" s="98">
        <v>4.1100000000000002E-13</v>
      </c>
      <c r="AI1387" s="98">
        <v>2.2600000000000001E-12</v>
      </c>
      <c r="AJ1387" s="483">
        <f t="shared" si="366"/>
        <v>-10.774724504436582</v>
      </c>
      <c r="AK1387" s="483">
        <f t="shared" si="367"/>
        <v>-10.034457887165251</v>
      </c>
      <c r="AL1387" s="483">
        <f t="shared" si="365"/>
        <v>-10.034457887165251</v>
      </c>
      <c r="AM1387" s="483">
        <v>-13.65523</v>
      </c>
      <c r="AN1387" s="226">
        <v>-9.66</v>
      </c>
      <c r="AO1387" s="484"/>
      <c r="AP1387" s="484">
        <v>2.0499999999999998</v>
      </c>
      <c r="AQ1387" s="48" t="s">
        <v>6311</v>
      </c>
      <c r="AR1387" s="48" t="s">
        <v>6311</v>
      </c>
      <c r="AS1387" s="227"/>
      <c r="AT1387" s="50" t="s">
        <v>266</v>
      </c>
      <c r="AU1387" s="48">
        <v>6</v>
      </c>
      <c r="AV1387" s="48">
        <v>120</v>
      </c>
      <c r="AW1387" s="48">
        <v>114</v>
      </c>
      <c r="AX1387" s="48">
        <v>28</v>
      </c>
      <c r="AY1387" s="48" t="s">
        <v>8728</v>
      </c>
      <c r="AZ1387" s="48" t="s">
        <v>1563</v>
      </c>
      <c r="BA1387" s="48">
        <v>32</v>
      </c>
      <c r="BB1387" s="47" t="s">
        <v>2485</v>
      </c>
      <c r="BC1387" s="47" t="s">
        <v>8726</v>
      </c>
      <c r="BD1387" s="47" t="s">
        <v>8374</v>
      </c>
      <c r="BE1387" s="48" t="s">
        <v>2449</v>
      </c>
      <c r="BF1387" s="48" t="s">
        <v>272</v>
      </c>
      <c r="BG1387" s="48" t="s">
        <v>272</v>
      </c>
      <c r="BH1387" s="48" t="s">
        <v>2486</v>
      </c>
      <c r="BI1387" s="98">
        <v>6.3999999999999997E-6</v>
      </c>
      <c r="BJ1387" s="98">
        <v>6.4000000000000001E-2</v>
      </c>
      <c r="BK1387" s="48"/>
      <c r="BL1387" s="98">
        <f t="shared" si="363"/>
        <v>0.60240005105464867</v>
      </c>
      <c r="BM1387" s="47" t="s">
        <v>2487</v>
      </c>
      <c r="BN1387" s="48"/>
      <c r="BO1387" s="48"/>
      <c r="BP1387" s="48"/>
      <c r="BQ1387" s="48"/>
      <c r="BR1387" s="47" t="s">
        <v>2496</v>
      </c>
      <c r="BS1387" s="48"/>
      <c r="BT1387" s="48"/>
      <c r="BU1387" s="228">
        <v>6.4000000000000003E-3</v>
      </c>
      <c r="BV1387" s="48"/>
      <c r="BW1387" s="48"/>
      <c r="BX1387" s="48"/>
      <c r="BY1387" s="48"/>
      <c r="BZ1387" s="48"/>
      <c r="CA1387" s="48"/>
      <c r="CB1387" s="48"/>
      <c r="CC1387" s="48"/>
      <c r="CD1387" s="48"/>
      <c r="CE1387" s="48"/>
      <c r="CF1387" s="48"/>
      <c r="CG1387" s="48"/>
      <c r="CH1387" s="48"/>
      <c r="CI1387" s="98"/>
      <c r="CJ1387" s="98"/>
      <c r="CK1387" s="49">
        <f t="shared" si="356"/>
        <v>9.4125007977288853</v>
      </c>
      <c r="CL1387" s="229"/>
      <c r="CM1387" s="229"/>
      <c r="CN1387" s="229"/>
      <c r="CO1387" s="47" t="s">
        <v>2488</v>
      </c>
      <c r="CP1387" s="47" t="s">
        <v>2489</v>
      </c>
      <c r="CQ1387" s="224">
        <v>0.1397321164338603</v>
      </c>
      <c r="CR1387" s="224">
        <f>10^(CJ1387-CQ1387)</f>
        <v>0.72488294791551577</v>
      </c>
      <c r="CS1387" s="230" t="s">
        <v>539</v>
      </c>
      <c r="CT1387" s="230"/>
      <c r="CU1387" s="230"/>
      <c r="CV1387" s="335">
        <f t="shared" si="364"/>
        <v>2043.616979112996</v>
      </c>
      <c r="CW1387" s="230">
        <f t="shared" si="354"/>
        <v>1</v>
      </c>
      <c r="CX1387" s="336"/>
      <c r="CY1387" s="230" t="s">
        <v>5921</v>
      </c>
    </row>
    <row r="1388" spans="1:103" ht="11.25" customHeight="1" x14ac:dyDescent="0.2">
      <c r="A1388" s="72">
        <v>1386</v>
      </c>
      <c r="B1388" s="224">
        <v>640</v>
      </c>
      <c r="C1388" s="46" t="s">
        <v>7452</v>
      </c>
      <c r="D1388" s="46"/>
      <c r="E1388" s="114"/>
      <c r="F1388" s="114" t="s">
        <v>4041</v>
      </c>
      <c r="G1388" s="225">
        <v>51707552</v>
      </c>
      <c r="H1388" s="47" t="s">
        <v>4042</v>
      </c>
      <c r="I1388" s="47" t="s">
        <v>4042</v>
      </c>
      <c r="J1388" s="47" t="s">
        <v>4043</v>
      </c>
      <c r="K1388" s="47" t="s">
        <v>1292</v>
      </c>
      <c r="L1388" s="47"/>
      <c r="M1388" s="47"/>
      <c r="N1388" s="47"/>
      <c r="O1388" s="47"/>
      <c r="P1388" s="53"/>
      <c r="Q1388" s="53"/>
      <c r="R1388" s="53"/>
      <c r="S1388" s="53"/>
      <c r="T1388" s="48">
        <v>220.25</v>
      </c>
      <c r="U1388" s="98">
        <v>9.0805902383654935E-2</v>
      </c>
      <c r="V1388" s="98">
        <v>4.7990919409761634</v>
      </c>
      <c r="W1388" s="98">
        <v>2.5703957827688635</v>
      </c>
      <c r="X1388" s="98">
        <v>9.0805902383654935E-2</v>
      </c>
      <c r="Y1388" s="233">
        <v>6.6</v>
      </c>
      <c r="Z1388" s="48">
        <v>2.1</v>
      </c>
      <c r="AA1388" s="48">
        <v>1.77</v>
      </c>
      <c r="AB1388" s="48">
        <v>1.79</v>
      </c>
      <c r="AC1388" s="48">
        <v>0.78059999999999996</v>
      </c>
      <c r="AD1388" s="48">
        <v>1.71</v>
      </c>
      <c r="AE1388" s="48">
        <v>1.43</v>
      </c>
      <c r="AF1388" s="48">
        <f t="shared" si="362"/>
        <v>1.77</v>
      </c>
      <c r="AG1388" s="49">
        <v>1.8</v>
      </c>
      <c r="AH1388" s="98">
        <v>3.5899999999999998E-13</v>
      </c>
      <c r="AI1388" s="98">
        <v>3.3299999999999999E-13</v>
      </c>
      <c r="AJ1388" s="483">
        <f t="shared" si="366"/>
        <v>-10.833471877734333</v>
      </c>
      <c r="AK1388" s="483">
        <f t="shared" si="367"/>
        <v>-10.866122092806332</v>
      </c>
      <c r="AL1388" s="483">
        <f t="shared" si="365"/>
        <v>-10.866122092806332</v>
      </c>
      <c r="AM1388" s="483">
        <v>-14.517139999999998</v>
      </c>
      <c r="AN1388" s="226">
        <v>-10.7</v>
      </c>
      <c r="AO1388" s="484">
        <v>12.05</v>
      </c>
      <c r="AP1388" s="484">
        <v>0.22</v>
      </c>
      <c r="AQ1388" s="226" t="s">
        <v>6311</v>
      </c>
      <c r="AR1388" s="226" t="s">
        <v>6311</v>
      </c>
      <c r="AS1388" s="224" t="s">
        <v>6</v>
      </c>
      <c r="AT1388" s="50" t="s">
        <v>266</v>
      </c>
      <c r="AU1388" s="48">
        <v>8</v>
      </c>
      <c r="AV1388" s="48">
        <v>144</v>
      </c>
      <c r="AW1388" s="48">
        <v>120</v>
      </c>
      <c r="AX1388" s="48">
        <v>26</v>
      </c>
      <c r="AY1388" s="48" t="s">
        <v>267</v>
      </c>
      <c r="AZ1388" s="48" t="s">
        <v>2253</v>
      </c>
      <c r="BA1388" s="48">
        <v>3</v>
      </c>
      <c r="BB1388" s="47" t="s">
        <v>2254</v>
      </c>
      <c r="BC1388" s="47" t="s">
        <v>270</v>
      </c>
      <c r="BD1388" s="47" t="s">
        <v>8374</v>
      </c>
      <c r="BE1388" s="48" t="s">
        <v>1712</v>
      </c>
      <c r="BF1388" s="48" t="s">
        <v>272</v>
      </c>
      <c r="BG1388" s="48" t="s">
        <v>272</v>
      </c>
      <c r="BH1388" s="48" t="s">
        <v>2255</v>
      </c>
      <c r="BI1388" s="98">
        <v>9.9999999999999995E-7</v>
      </c>
      <c r="BJ1388" s="98">
        <v>0.08</v>
      </c>
      <c r="BK1388" s="48"/>
      <c r="BL1388" s="98">
        <f t="shared" si="363"/>
        <v>0.66802082275427344</v>
      </c>
      <c r="BM1388" s="48" t="s">
        <v>891</v>
      </c>
      <c r="BN1388" s="233"/>
      <c r="BO1388" s="233"/>
      <c r="BP1388" s="233"/>
      <c r="BQ1388" s="233"/>
      <c r="BR1388" s="233"/>
      <c r="BS1388" s="48"/>
      <c r="BT1388" s="233"/>
      <c r="BU1388" s="228"/>
      <c r="BV1388" s="233"/>
      <c r="BW1388" s="233"/>
      <c r="BX1388" s="233"/>
      <c r="BY1388" s="233"/>
      <c r="BZ1388" s="233"/>
      <c r="CA1388" s="233"/>
      <c r="CB1388" s="233"/>
      <c r="CC1388" s="48"/>
      <c r="CD1388" s="48"/>
      <c r="CE1388" s="48"/>
      <c r="CF1388" s="48"/>
      <c r="CG1388" s="233"/>
      <c r="CH1388" s="48"/>
      <c r="CI1388" s="98"/>
      <c r="CJ1388" s="98"/>
      <c r="CK1388" s="49">
        <f t="shared" si="356"/>
        <v>8.3502602844284173</v>
      </c>
      <c r="CL1388" s="229"/>
      <c r="CM1388" s="229"/>
      <c r="CN1388" s="229"/>
      <c r="CO1388" s="47" t="s">
        <v>892</v>
      </c>
      <c r="CP1388" s="47" t="s">
        <v>893</v>
      </c>
      <c r="CQ1388" s="224" t="s">
        <v>272</v>
      </c>
      <c r="CR1388" s="224"/>
      <c r="CS1388" s="230" t="s">
        <v>539</v>
      </c>
      <c r="CT1388" s="230"/>
      <c r="CU1388" s="230"/>
      <c r="CV1388" s="335">
        <f t="shared" si="364"/>
        <v>1.1350737797956867</v>
      </c>
      <c r="CW1388" s="230">
        <f t="shared" si="354"/>
        <v>1</v>
      </c>
      <c r="CX1388" s="336" t="s">
        <v>539</v>
      </c>
      <c r="CY1388" s="230" t="s">
        <v>5921</v>
      </c>
    </row>
    <row r="1389" spans="1:103" ht="11.25" customHeight="1" x14ac:dyDescent="0.2">
      <c r="A1389" s="72">
        <v>1387</v>
      </c>
      <c r="B1389" s="224">
        <v>1897</v>
      </c>
      <c r="C1389" s="46" t="s">
        <v>7452</v>
      </c>
      <c r="D1389" s="46"/>
      <c r="E1389" s="114"/>
      <c r="F1389" s="114" t="s">
        <v>4041</v>
      </c>
      <c r="G1389" s="225">
        <v>51707552</v>
      </c>
      <c r="H1389" s="47" t="s">
        <v>4042</v>
      </c>
      <c r="I1389" s="47" t="s">
        <v>4042</v>
      </c>
      <c r="J1389" s="47" t="s">
        <v>4043</v>
      </c>
      <c r="K1389" s="47" t="s">
        <v>1292</v>
      </c>
      <c r="L1389" s="51"/>
      <c r="M1389" s="47"/>
      <c r="N1389" s="47"/>
      <c r="O1389" s="47"/>
      <c r="P1389" s="53"/>
      <c r="Q1389" s="53"/>
      <c r="R1389" s="53"/>
      <c r="S1389" s="53"/>
      <c r="T1389" s="48">
        <v>220.25</v>
      </c>
      <c r="U1389" s="98">
        <v>9.0805902383654935E-2</v>
      </c>
      <c r="V1389" s="98">
        <v>4.7990919409761634</v>
      </c>
      <c r="W1389" s="98">
        <v>2.5703957827688635</v>
      </c>
      <c r="X1389" s="98">
        <v>9.0805902383654935E-2</v>
      </c>
      <c r="Y1389" s="233">
        <v>6.6</v>
      </c>
      <c r="Z1389" s="48">
        <v>2.1</v>
      </c>
      <c r="AA1389" s="48">
        <v>1.77</v>
      </c>
      <c r="AB1389" s="48">
        <v>1.79</v>
      </c>
      <c r="AC1389" s="48">
        <v>0.78059999999999996</v>
      </c>
      <c r="AD1389" s="48">
        <v>1.71</v>
      </c>
      <c r="AE1389" s="48">
        <v>1.43</v>
      </c>
      <c r="AF1389" s="48">
        <f t="shared" si="362"/>
        <v>1.77</v>
      </c>
      <c r="AG1389" s="49">
        <v>1.8</v>
      </c>
      <c r="AH1389" s="98">
        <v>3.5899999999999998E-13</v>
      </c>
      <c r="AI1389" s="98">
        <v>3.3299999999999999E-13</v>
      </c>
      <c r="AJ1389" s="483">
        <f t="shared" si="366"/>
        <v>-10.833471877734333</v>
      </c>
      <c r="AK1389" s="483">
        <f t="shared" si="367"/>
        <v>-10.866122092806332</v>
      </c>
      <c r="AL1389" s="483">
        <f t="shared" si="365"/>
        <v>-10.866122092806332</v>
      </c>
      <c r="AM1389" s="483">
        <v>-14.517139999999998</v>
      </c>
      <c r="AN1389" s="226">
        <v>-10.7</v>
      </c>
      <c r="AO1389" s="484">
        <v>12.05</v>
      </c>
      <c r="AP1389" s="484">
        <v>0.22</v>
      </c>
      <c r="AQ1389" s="226" t="s">
        <v>6311</v>
      </c>
      <c r="AR1389" s="226" t="s">
        <v>6311</v>
      </c>
      <c r="AS1389" s="224"/>
      <c r="AT1389" s="50" t="s">
        <v>266</v>
      </c>
      <c r="AU1389" s="48">
        <v>6</v>
      </c>
      <c r="AV1389" s="48">
        <v>120</v>
      </c>
      <c r="AW1389" s="48">
        <v>114</v>
      </c>
      <c r="AX1389" s="48">
        <v>28</v>
      </c>
      <c r="AY1389" s="48" t="s">
        <v>8728</v>
      </c>
      <c r="AZ1389" s="48" t="s">
        <v>1563</v>
      </c>
      <c r="BA1389" s="48">
        <v>32</v>
      </c>
      <c r="BB1389" s="47" t="s">
        <v>2485</v>
      </c>
      <c r="BC1389" s="47" t="s">
        <v>8726</v>
      </c>
      <c r="BD1389" s="47" t="s">
        <v>8374</v>
      </c>
      <c r="BE1389" s="48" t="s">
        <v>2449</v>
      </c>
      <c r="BF1389" s="48" t="s">
        <v>272</v>
      </c>
      <c r="BG1389" s="48" t="s">
        <v>272</v>
      </c>
      <c r="BH1389" s="48" t="s">
        <v>2486</v>
      </c>
      <c r="BI1389" s="98">
        <v>6.3999999999999997E-6</v>
      </c>
      <c r="BJ1389" s="98">
        <v>6.4000000000000001E-2</v>
      </c>
      <c r="BK1389" s="48"/>
      <c r="BL1389" s="98">
        <f t="shared" si="363"/>
        <v>0.66802082275427344</v>
      </c>
      <c r="BM1389" s="47" t="s">
        <v>2487</v>
      </c>
      <c r="BN1389" s="48"/>
      <c r="BO1389" s="48"/>
      <c r="BP1389" s="48"/>
      <c r="BQ1389" s="48"/>
      <c r="BR1389" s="47" t="s">
        <v>2496</v>
      </c>
      <c r="BS1389" s="48"/>
      <c r="BT1389" s="48"/>
      <c r="BU1389" s="228"/>
      <c r="BV1389" s="48"/>
      <c r="BW1389" s="48"/>
      <c r="BX1389" s="48"/>
      <c r="BY1389" s="48"/>
      <c r="BZ1389" s="48"/>
      <c r="CA1389" s="48"/>
      <c r="CB1389" s="48"/>
      <c r="CC1389" s="48"/>
      <c r="CD1389" s="48"/>
      <c r="CE1389" s="48"/>
      <c r="CF1389" s="48"/>
      <c r="CG1389" s="48"/>
      <c r="CH1389" s="48"/>
      <c r="CI1389" s="98"/>
      <c r="CJ1389" s="98"/>
      <c r="CK1389" s="49">
        <f t="shared" si="356"/>
        <v>10.437825355535523</v>
      </c>
      <c r="CL1389" s="229"/>
      <c r="CM1389" s="229"/>
      <c r="CN1389" s="229"/>
      <c r="CO1389" s="47" t="s">
        <v>2488</v>
      </c>
      <c r="CP1389" s="47" t="s">
        <v>2489</v>
      </c>
      <c r="CQ1389" s="224" t="s">
        <v>272</v>
      </c>
      <c r="CR1389" s="224"/>
      <c r="CS1389" s="230" t="s">
        <v>539</v>
      </c>
      <c r="CT1389" s="230"/>
      <c r="CU1389" s="230"/>
      <c r="CV1389" s="335">
        <f t="shared" si="364"/>
        <v>1.4188422247446084</v>
      </c>
      <c r="CW1389" s="230">
        <f t="shared" si="354"/>
        <v>1</v>
      </c>
      <c r="CX1389" s="336"/>
      <c r="CY1389" s="230" t="s">
        <v>5921</v>
      </c>
    </row>
    <row r="1390" spans="1:103" ht="11.25" customHeight="1" x14ac:dyDescent="0.2">
      <c r="A1390" s="72">
        <v>1388</v>
      </c>
      <c r="B1390" s="224">
        <v>455</v>
      </c>
      <c r="C1390" s="46" t="s">
        <v>7453</v>
      </c>
      <c r="D1390" s="46"/>
      <c r="E1390" s="114"/>
      <c r="F1390" s="114" t="s">
        <v>3459</v>
      </c>
      <c r="G1390" s="225">
        <v>53112280</v>
      </c>
      <c r="H1390" s="47" t="s">
        <v>3460</v>
      </c>
      <c r="I1390" s="47" t="s">
        <v>3460</v>
      </c>
      <c r="J1390" s="47" t="s">
        <v>3461</v>
      </c>
      <c r="K1390" s="47" t="s">
        <v>426</v>
      </c>
      <c r="L1390" s="47" t="s">
        <v>6097</v>
      </c>
      <c r="M1390" s="47" t="s">
        <v>6082</v>
      </c>
      <c r="N1390" s="47" t="s">
        <v>6082</v>
      </c>
      <c r="O1390" s="47" t="s">
        <v>6083</v>
      </c>
      <c r="P1390" s="53"/>
      <c r="Q1390" s="53"/>
      <c r="R1390" s="53"/>
      <c r="S1390" s="53"/>
      <c r="T1390" s="48">
        <v>199.25</v>
      </c>
      <c r="U1390" s="98">
        <v>0.60727728983688833</v>
      </c>
      <c r="V1390" s="98">
        <v>0.83212045169385196</v>
      </c>
      <c r="W1390" s="98">
        <v>0.7079457843841378</v>
      </c>
      <c r="X1390" s="98">
        <v>0.60727728983688833</v>
      </c>
      <c r="Y1390" s="233">
        <v>7.46</v>
      </c>
      <c r="Z1390" s="48">
        <v>3.19</v>
      </c>
      <c r="AA1390" s="48">
        <v>2.84</v>
      </c>
      <c r="AB1390" s="48">
        <v>3.28</v>
      </c>
      <c r="AC1390" s="48">
        <v>0.87819999999999998</v>
      </c>
      <c r="AD1390" s="48">
        <v>3.18</v>
      </c>
      <c r="AE1390" s="48">
        <v>2.84</v>
      </c>
      <c r="AF1390" s="48">
        <f t="shared" si="362"/>
        <v>2.84</v>
      </c>
      <c r="AG1390" s="49">
        <v>3.09</v>
      </c>
      <c r="AH1390" s="98">
        <v>2.4600000000000002E-6</v>
      </c>
      <c r="AI1390" s="98">
        <v>3.5800000000000003E-8</v>
      </c>
      <c r="AJ1390" s="483">
        <f t="shared" si="366"/>
        <v>-3.9976312192092727</v>
      </c>
      <c r="AK1390" s="483">
        <f t="shared" si="367"/>
        <v>-5.834683299668777</v>
      </c>
      <c r="AL1390" s="483">
        <f t="shared" si="365"/>
        <v>-5.834683299668777</v>
      </c>
      <c r="AM1390" s="483">
        <v>-9.3730799999999981</v>
      </c>
      <c r="AN1390" s="226">
        <v>-5.49</v>
      </c>
      <c r="AO1390" s="484"/>
      <c r="AP1390" s="484">
        <v>4.01</v>
      </c>
      <c r="AQ1390" s="226" t="s">
        <v>6311</v>
      </c>
      <c r="AR1390" s="226" t="s">
        <v>6311</v>
      </c>
      <c r="AS1390" s="224" t="s">
        <v>6</v>
      </c>
      <c r="AT1390" s="50" t="s">
        <v>266</v>
      </c>
      <c r="AU1390" s="48">
        <v>8</v>
      </c>
      <c r="AV1390" s="48">
        <v>144</v>
      </c>
      <c r="AW1390" s="48">
        <v>120</v>
      </c>
      <c r="AX1390" s="48">
        <v>26</v>
      </c>
      <c r="AY1390" s="48" t="s">
        <v>267</v>
      </c>
      <c r="AZ1390" s="48" t="s">
        <v>2253</v>
      </c>
      <c r="BA1390" s="48">
        <v>2</v>
      </c>
      <c r="BB1390" s="47" t="s">
        <v>2254</v>
      </c>
      <c r="BC1390" s="47" t="s">
        <v>270</v>
      </c>
      <c r="BD1390" s="47" t="s">
        <v>8374</v>
      </c>
      <c r="BE1390" s="48" t="s">
        <v>1712</v>
      </c>
      <c r="BF1390" s="48" t="s">
        <v>272</v>
      </c>
      <c r="BG1390" s="48" t="s">
        <v>272</v>
      </c>
      <c r="BH1390" s="48" t="s">
        <v>2255</v>
      </c>
      <c r="BI1390" s="98">
        <v>9.9999999999999995E-7</v>
      </c>
      <c r="BJ1390" s="98">
        <v>0.08</v>
      </c>
      <c r="BK1390" s="48"/>
      <c r="BL1390" s="98">
        <f t="shared" si="363"/>
        <v>7.0123082703258524E-2</v>
      </c>
      <c r="BM1390" s="48" t="s">
        <v>891</v>
      </c>
      <c r="BN1390" s="233"/>
      <c r="BO1390" s="233"/>
      <c r="BP1390" s="233"/>
      <c r="BQ1390" s="233"/>
      <c r="BR1390" s="233"/>
      <c r="BS1390" s="48"/>
      <c r="BT1390" s="233"/>
      <c r="BU1390" s="228"/>
      <c r="BV1390" s="233"/>
      <c r="BW1390" s="233"/>
      <c r="BX1390" s="233"/>
      <c r="BY1390" s="233"/>
      <c r="BZ1390" s="233"/>
      <c r="CA1390" s="233"/>
      <c r="CB1390" s="233"/>
      <c r="CC1390" s="48"/>
      <c r="CD1390" s="48"/>
      <c r="CE1390" s="48"/>
      <c r="CF1390" s="48"/>
      <c r="CG1390" s="233"/>
      <c r="CH1390" s="48"/>
      <c r="CI1390" s="98"/>
      <c r="CJ1390" s="98"/>
      <c r="CK1390" s="49">
        <f t="shared" si="356"/>
        <v>0.87653853379073154</v>
      </c>
      <c r="CL1390" s="229"/>
      <c r="CM1390" s="229"/>
      <c r="CN1390" s="229"/>
      <c r="CO1390" s="47" t="s">
        <v>892</v>
      </c>
      <c r="CP1390" s="47" t="s">
        <v>893</v>
      </c>
      <c r="CQ1390" s="224">
        <v>-1.1565114567015815</v>
      </c>
      <c r="CR1390" s="224">
        <f t="shared" ref="CR1390:CR1396" si="368">10^(CJ1390-CQ1390)</f>
        <v>14.338755412370842</v>
      </c>
      <c r="CS1390" s="230" t="s">
        <v>539</v>
      </c>
      <c r="CT1390" s="230"/>
      <c r="CU1390" s="230"/>
      <c r="CV1390" s="335">
        <f t="shared" si="364"/>
        <v>7.5909661229611043</v>
      </c>
      <c r="CW1390" s="230">
        <f t="shared" si="354"/>
        <v>1</v>
      </c>
      <c r="CX1390" s="336" t="s">
        <v>539</v>
      </c>
      <c r="CY1390" s="230" t="s">
        <v>5921</v>
      </c>
    </row>
    <row r="1391" spans="1:103" ht="11.25" customHeight="1" x14ac:dyDescent="0.2">
      <c r="A1391" s="72">
        <v>1389</v>
      </c>
      <c r="B1391" s="224">
        <v>1261</v>
      </c>
      <c r="C1391" s="46" t="s">
        <v>7453</v>
      </c>
      <c r="D1391" s="46"/>
      <c r="E1391" s="114"/>
      <c r="F1391" s="114" t="s">
        <v>3459</v>
      </c>
      <c r="G1391" s="225">
        <v>53112280</v>
      </c>
      <c r="H1391" s="47" t="s">
        <v>3460</v>
      </c>
      <c r="I1391" s="47" t="s">
        <v>3460</v>
      </c>
      <c r="J1391" s="47" t="s">
        <v>3461</v>
      </c>
      <c r="K1391" s="47" t="s">
        <v>426</v>
      </c>
      <c r="L1391" s="47" t="s">
        <v>6139</v>
      </c>
      <c r="M1391" s="47" t="s">
        <v>6082</v>
      </c>
      <c r="N1391" s="47" t="s">
        <v>6082</v>
      </c>
      <c r="O1391" s="47" t="s">
        <v>6083</v>
      </c>
      <c r="P1391" s="53"/>
      <c r="Q1391" s="53"/>
      <c r="R1391" s="53"/>
      <c r="S1391" s="53"/>
      <c r="T1391" s="48">
        <v>199.25</v>
      </c>
      <c r="U1391" s="98">
        <v>0.60727728983688833</v>
      </c>
      <c r="V1391" s="98">
        <v>0.83212045169385196</v>
      </c>
      <c r="W1391" s="98">
        <v>0.7079457843841378</v>
      </c>
      <c r="X1391" s="98">
        <v>0.60727728983688833</v>
      </c>
      <c r="Y1391" s="233">
        <v>7.46</v>
      </c>
      <c r="Z1391" s="48">
        <v>3.19</v>
      </c>
      <c r="AA1391" s="48">
        <v>2.84</v>
      </c>
      <c r="AB1391" s="48">
        <v>3.28</v>
      </c>
      <c r="AC1391" s="48">
        <v>0.87819999999999998</v>
      </c>
      <c r="AD1391" s="48">
        <v>3.18</v>
      </c>
      <c r="AE1391" s="48">
        <v>2.84</v>
      </c>
      <c r="AF1391" s="48">
        <f t="shared" si="362"/>
        <v>2.84</v>
      </c>
      <c r="AG1391" s="49">
        <v>3.09</v>
      </c>
      <c r="AH1391" s="98">
        <v>2.4600000000000002E-6</v>
      </c>
      <c r="AI1391" s="98">
        <v>3.5800000000000003E-8</v>
      </c>
      <c r="AJ1391" s="483">
        <f t="shared" si="366"/>
        <v>-3.9976312192092727</v>
      </c>
      <c r="AK1391" s="483">
        <f t="shared" si="367"/>
        <v>-5.834683299668777</v>
      </c>
      <c r="AL1391" s="483">
        <f t="shared" si="365"/>
        <v>-5.834683299668777</v>
      </c>
      <c r="AM1391" s="483">
        <v>-9.3730799999999981</v>
      </c>
      <c r="AN1391" s="226">
        <v>-5.49</v>
      </c>
      <c r="AO1391" s="484"/>
      <c r="AP1391" s="484">
        <v>4.01</v>
      </c>
      <c r="AQ1391" s="48" t="s">
        <v>6311</v>
      </c>
      <c r="AR1391" s="48" t="s">
        <v>6311</v>
      </c>
      <c r="AS1391" s="227"/>
      <c r="AT1391" s="50" t="s">
        <v>266</v>
      </c>
      <c r="AU1391" s="48">
        <v>6</v>
      </c>
      <c r="AV1391" s="48">
        <v>120</v>
      </c>
      <c r="AW1391" s="48">
        <v>114</v>
      </c>
      <c r="AX1391" s="48">
        <v>28</v>
      </c>
      <c r="AY1391" s="48" t="s">
        <v>8728</v>
      </c>
      <c r="AZ1391" s="48" t="s">
        <v>1563</v>
      </c>
      <c r="BA1391" s="48">
        <v>32</v>
      </c>
      <c r="BB1391" s="47" t="s">
        <v>2485</v>
      </c>
      <c r="BC1391" s="47" t="s">
        <v>8726</v>
      </c>
      <c r="BD1391" s="47" t="s">
        <v>8374</v>
      </c>
      <c r="BE1391" s="48" t="s">
        <v>2449</v>
      </c>
      <c r="BF1391" s="48" t="s">
        <v>272</v>
      </c>
      <c r="BG1391" s="48" t="s">
        <v>272</v>
      </c>
      <c r="BH1391" s="48" t="s">
        <v>2486</v>
      </c>
      <c r="BI1391" s="98">
        <v>6.3999999999999997E-6</v>
      </c>
      <c r="BJ1391" s="98">
        <v>6.4000000000000001E-2</v>
      </c>
      <c r="BK1391" s="48"/>
      <c r="BL1391" s="98">
        <f t="shared" si="363"/>
        <v>7.0123082703258524E-2</v>
      </c>
      <c r="BM1391" s="47" t="s">
        <v>2487</v>
      </c>
      <c r="BN1391" s="48"/>
      <c r="BO1391" s="48"/>
      <c r="BP1391" s="48"/>
      <c r="BQ1391" s="48"/>
      <c r="BR1391" s="47" t="s">
        <v>2496</v>
      </c>
      <c r="BS1391" s="48"/>
      <c r="BT1391" s="48"/>
      <c r="BU1391" s="228">
        <v>6.3999999999999997E-6</v>
      </c>
      <c r="BV1391" s="48"/>
      <c r="BW1391" s="48"/>
      <c r="BX1391" s="48"/>
      <c r="BY1391" s="48"/>
      <c r="BZ1391" s="48"/>
      <c r="CA1391" s="48"/>
      <c r="CB1391" s="48"/>
      <c r="CC1391" s="48"/>
      <c r="CD1391" s="48"/>
      <c r="CE1391" s="48"/>
      <c r="CF1391" s="48"/>
      <c r="CG1391" s="48"/>
      <c r="CH1391" s="48"/>
      <c r="CI1391" s="98"/>
      <c r="CJ1391" s="98"/>
      <c r="CK1391" s="49">
        <f t="shared" si="356"/>
        <v>1.0956731672384143</v>
      </c>
      <c r="CL1391" s="229"/>
      <c r="CM1391" s="229"/>
      <c r="CN1391" s="229"/>
      <c r="CO1391" s="47" t="s">
        <v>2488</v>
      </c>
      <c r="CP1391" s="47" t="s">
        <v>2489</v>
      </c>
      <c r="CQ1391" s="224">
        <v>-1.1565114567015815</v>
      </c>
      <c r="CR1391" s="224">
        <f t="shared" si="368"/>
        <v>14.338755412370842</v>
      </c>
      <c r="CS1391" s="230" t="s">
        <v>539</v>
      </c>
      <c r="CT1391" s="230"/>
      <c r="CU1391" s="230"/>
      <c r="CV1391" s="335">
        <f t="shared" si="364"/>
        <v>9.4887076537013808</v>
      </c>
      <c r="CW1391" s="230">
        <f t="shared" si="354"/>
        <v>1</v>
      </c>
      <c r="CX1391" s="336"/>
      <c r="CY1391" s="230" t="s">
        <v>5921</v>
      </c>
    </row>
    <row r="1392" spans="1:103" ht="11.25" customHeight="1" x14ac:dyDescent="0.2">
      <c r="A1392" s="72">
        <v>1390</v>
      </c>
      <c r="B1392" s="224">
        <v>242</v>
      </c>
      <c r="C1392" s="46" t="s">
        <v>7454</v>
      </c>
      <c r="D1392" s="46"/>
      <c r="E1392" s="114"/>
      <c r="F1392" s="114" t="s">
        <v>3749</v>
      </c>
      <c r="G1392" s="225">
        <v>54593838</v>
      </c>
      <c r="H1392" s="47" t="s">
        <v>3750</v>
      </c>
      <c r="I1392" s="47" t="s">
        <v>8131</v>
      </c>
      <c r="J1392" s="47" t="s">
        <v>3751</v>
      </c>
      <c r="K1392" s="47" t="s">
        <v>628</v>
      </c>
      <c r="L1392" s="47" t="s">
        <v>617</v>
      </c>
      <c r="M1392" s="47" t="s">
        <v>946</v>
      </c>
      <c r="N1392" s="47" t="s">
        <v>6376</v>
      </c>
      <c r="O1392" s="47" t="s">
        <v>918</v>
      </c>
      <c r="P1392" s="53"/>
      <c r="Q1392" s="53"/>
      <c r="R1392" s="53"/>
      <c r="S1392" s="53"/>
      <c r="T1392" s="48">
        <v>336</v>
      </c>
      <c r="U1392" s="98">
        <v>2.976190476190476E-3</v>
      </c>
      <c r="V1392" s="98">
        <v>2.6919642857142858E-3</v>
      </c>
      <c r="W1392" s="98">
        <v>9.1201083935590829E-3</v>
      </c>
      <c r="X1392" s="98">
        <v>2.976190476190476E-3</v>
      </c>
      <c r="Y1392" s="233">
        <v>7</v>
      </c>
      <c r="Z1392" s="48">
        <v>4.17</v>
      </c>
      <c r="AA1392" s="48">
        <v>4.59</v>
      </c>
      <c r="AB1392" s="48">
        <v>4.5999999999999996</v>
      </c>
      <c r="AC1392" s="48">
        <v>0.75600000000000001</v>
      </c>
      <c r="AD1392" s="48">
        <v>4.42</v>
      </c>
      <c r="AE1392" s="48">
        <v>3.97</v>
      </c>
      <c r="AF1392" s="48">
        <f t="shared" si="362"/>
        <v>4.59</v>
      </c>
      <c r="AG1392" s="49">
        <v>4.1399999999999997</v>
      </c>
      <c r="AH1392" s="98">
        <v>4.1500000000000001E-6</v>
      </c>
      <c r="AI1392" s="98"/>
      <c r="AJ1392" s="483">
        <f t="shared" si="366"/>
        <v>-3.770518229600559</v>
      </c>
      <c r="AK1392" s="483"/>
      <c r="AL1392" s="483">
        <f t="shared" si="365"/>
        <v>-3.770518229600559</v>
      </c>
      <c r="AM1392" s="483">
        <v>-8.9857200000000006</v>
      </c>
      <c r="AN1392" s="226">
        <v>-3.56</v>
      </c>
      <c r="AO1392" s="484"/>
      <c r="AP1392" s="484"/>
      <c r="AQ1392" s="226" t="s">
        <v>6311</v>
      </c>
      <c r="AR1392" s="226" t="s">
        <v>6311</v>
      </c>
      <c r="AS1392" s="224" t="s">
        <v>6</v>
      </c>
      <c r="AT1392" s="50" t="s">
        <v>266</v>
      </c>
      <c r="AU1392" s="48">
        <v>8</v>
      </c>
      <c r="AV1392" s="48">
        <v>144</v>
      </c>
      <c r="AW1392" s="48">
        <v>120</v>
      </c>
      <c r="AX1392" s="48">
        <v>26</v>
      </c>
      <c r="AY1392" s="48" t="s">
        <v>267</v>
      </c>
      <c r="AZ1392" s="48" t="s">
        <v>2253</v>
      </c>
      <c r="BA1392" s="48">
        <v>2</v>
      </c>
      <c r="BB1392" s="47" t="s">
        <v>2254</v>
      </c>
      <c r="BC1392" s="47" t="s">
        <v>270</v>
      </c>
      <c r="BD1392" s="47" t="s">
        <v>8374</v>
      </c>
      <c r="BE1392" s="48" t="s">
        <v>1712</v>
      </c>
      <c r="BF1392" s="48" t="s">
        <v>272</v>
      </c>
      <c r="BG1392" s="48" t="s">
        <v>272</v>
      </c>
      <c r="BH1392" s="48" t="s">
        <v>2255</v>
      </c>
      <c r="BI1392" s="98">
        <v>9.9999999999999995E-7</v>
      </c>
      <c r="BJ1392" s="98">
        <v>0.08</v>
      </c>
      <c r="BK1392" s="48"/>
      <c r="BL1392" s="98">
        <f t="shared" si="363"/>
        <v>9.2410857463022904E-3</v>
      </c>
      <c r="BM1392" s="48" t="s">
        <v>891</v>
      </c>
      <c r="BN1392" s="233"/>
      <c r="BO1392" s="233"/>
      <c r="BP1392" s="233"/>
      <c r="BQ1392" s="233"/>
      <c r="BR1392" s="233"/>
      <c r="BS1392" s="48"/>
      <c r="BT1392" s="233"/>
      <c r="BU1392" s="228"/>
      <c r="BV1392" s="233"/>
      <c r="BW1392" s="233"/>
      <c r="BX1392" s="233"/>
      <c r="BY1392" s="233"/>
      <c r="BZ1392" s="233"/>
      <c r="CA1392" s="233"/>
      <c r="CB1392" s="233"/>
      <c r="CC1392" s="48"/>
      <c r="CD1392" s="48"/>
      <c r="CE1392" s="48"/>
      <c r="CF1392" s="48"/>
      <c r="CG1392" s="233"/>
      <c r="CH1392" s="48"/>
      <c r="CI1392" s="98"/>
      <c r="CJ1392" s="98"/>
      <c r="CK1392" s="49">
        <f t="shared" si="356"/>
        <v>0.11551357182877862</v>
      </c>
      <c r="CL1392" s="229"/>
      <c r="CM1392" s="229"/>
      <c r="CN1392" s="229"/>
      <c r="CO1392" s="47" t="s">
        <v>892</v>
      </c>
      <c r="CP1392" s="47" t="s">
        <v>893</v>
      </c>
      <c r="CQ1392" s="224">
        <v>-4.3707803560585914</v>
      </c>
      <c r="CR1392" s="224">
        <f t="shared" si="368"/>
        <v>23484.447971615406</v>
      </c>
      <c r="CS1392" s="230" t="s">
        <v>539</v>
      </c>
      <c r="CT1392" s="230"/>
      <c r="CU1392" s="230"/>
      <c r="CV1392" s="335">
        <f t="shared" si="364"/>
        <v>3.7202380952380952E-2</v>
      </c>
      <c r="CW1392" s="230">
        <f t="shared" si="354"/>
        <v>0</v>
      </c>
      <c r="CX1392" s="336" t="s">
        <v>539</v>
      </c>
      <c r="CY1392" s="230" t="s">
        <v>5921</v>
      </c>
    </row>
    <row r="1393" spans="1:103" ht="11.25" customHeight="1" x14ac:dyDescent="0.2">
      <c r="A1393" s="72">
        <v>1391</v>
      </c>
      <c r="B1393" s="224">
        <v>1550</v>
      </c>
      <c r="C1393" s="46" t="s">
        <v>7454</v>
      </c>
      <c r="D1393" s="46"/>
      <c r="E1393" s="114"/>
      <c r="F1393" s="114" t="s">
        <v>3749</v>
      </c>
      <c r="G1393" s="225">
        <v>54593838</v>
      </c>
      <c r="H1393" s="47" t="s">
        <v>3750</v>
      </c>
      <c r="I1393" s="47" t="s">
        <v>8131</v>
      </c>
      <c r="J1393" s="47" t="s">
        <v>3751</v>
      </c>
      <c r="K1393" s="47" t="s">
        <v>628</v>
      </c>
      <c r="L1393" s="47" t="s">
        <v>617</v>
      </c>
      <c r="M1393" s="47" t="s">
        <v>946</v>
      </c>
      <c r="N1393" s="47" t="s">
        <v>6376</v>
      </c>
      <c r="O1393" s="47" t="s">
        <v>918</v>
      </c>
      <c r="P1393" s="53"/>
      <c r="Q1393" s="53"/>
      <c r="R1393" s="53"/>
      <c r="S1393" s="53"/>
      <c r="T1393" s="48">
        <v>336</v>
      </c>
      <c r="U1393" s="98">
        <v>2.976190476190476E-3</v>
      </c>
      <c r="V1393" s="98">
        <v>2.6919642857142858E-3</v>
      </c>
      <c r="W1393" s="98">
        <v>9.1201083935590829E-3</v>
      </c>
      <c r="X1393" s="98">
        <v>2.976190476190476E-3</v>
      </c>
      <c r="Y1393" s="233">
        <v>7</v>
      </c>
      <c r="Z1393" s="48">
        <v>4.17</v>
      </c>
      <c r="AA1393" s="48">
        <v>4.59</v>
      </c>
      <c r="AB1393" s="48">
        <v>4.5999999999999996</v>
      </c>
      <c r="AC1393" s="48">
        <v>0.75600000000000001</v>
      </c>
      <c r="AD1393" s="48">
        <v>4.42</v>
      </c>
      <c r="AE1393" s="48">
        <v>3.97</v>
      </c>
      <c r="AF1393" s="48">
        <f t="shared" si="362"/>
        <v>4.59</v>
      </c>
      <c r="AG1393" s="49">
        <v>4.1399999999999997</v>
      </c>
      <c r="AH1393" s="98">
        <v>4.1500000000000001E-6</v>
      </c>
      <c r="AI1393" s="98"/>
      <c r="AJ1393" s="483">
        <f t="shared" si="366"/>
        <v>-3.770518229600559</v>
      </c>
      <c r="AK1393" s="483"/>
      <c r="AL1393" s="483">
        <f t="shared" si="365"/>
        <v>-3.770518229600559</v>
      </c>
      <c r="AM1393" s="483">
        <v>-8.9857200000000006</v>
      </c>
      <c r="AN1393" s="226">
        <v>-3.56</v>
      </c>
      <c r="AO1393" s="484"/>
      <c r="AP1393" s="484"/>
      <c r="AQ1393" s="48" t="s">
        <v>6311</v>
      </c>
      <c r="AR1393" s="48" t="s">
        <v>6311</v>
      </c>
      <c r="AS1393" s="227"/>
      <c r="AT1393" s="50" t="s">
        <v>266</v>
      </c>
      <c r="AU1393" s="48">
        <v>6</v>
      </c>
      <c r="AV1393" s="48">
        <v>120</v>
      </c>
      <c r="AW1393" s="48">
        <v>114</v>
      </c>
      <c r="AX1393" s="48">
        <v>28</v>
      </c>
      <c r="AY1393" s="48" t="s">
        <v>8728</v>
      </c>
      <c r="AZ1393" s="48" t="s">
        <v>1563</v>
      </c>
      <c r="BA1393" s="48">
        <v>32</v>
      </c>
      <c r="BB1393" s="47" t="s">
        <v>2485</v>
      </c>
      <c r="BC1393" s="47" t="s">
        <v>8726</v>
      </c>
      <c r="BD1393" s="47" t="s">
        <v>8374</v>
      </c>
      <c r="BE1393" s="48" t="s">
        <v>2449</v>
      </c>
      <c r="BF1393" s="48" t="s">
        <v>272</v>
      </c>
      <c r="BG1393" s="48" t="s">
        <v>272</v>
      </c>
      <c r="BH1393" s="48" t="s">
        <v>2486</v>
      </c>
      <c r="BI1393" s="98">
        <v>6.3999999999999997E-6</v>
      </c>
      <c r="BJ1393" s="98">
        <v>6.4000000000000001E-2</v>
      </c>
      <c r="BK1393" s="48"/>
      <c r="BL1393" s="98">
        <f t="shared" si="363"/>
        <v>9.2410857463022904E-3</v>
      </c>
      <c r="BM1393" s="47" t="s">
        <v>2487</v>
      </c>
      <c r="BN1393" s="48"/>
      <c r="BO1393" s="48"/>
      <c r="BP1393" s="48"/>
      <c r="BQ1393" s="48"/>
      <c r="BR1393" s="47" t="s">
        <v>2496</v>
      </c>
      <c r="BS1393" s="48"/>
      <c r="BT1393" s="48"/>
      <c r="BU1393" s="228"/>
      <c r="BV1393" s="48"/>
      <c r="BW1393" s="48"/>
      <c r="BX1393" s="48"/>
      <c r="BY1393" s="48"/>
      <c r="BZ1393" s="48"/>
      <c r="CA1393" s="48"/>
      <c r="CB1393" s="48"/>
      <c r="CC1393" s="48"/>
      <c r="CD1393" s="48"/>
      <c r="CE1393" s="48"/>
      <c r="CF1393" s="48"/>
      <c r="CG1393" s="48"/>
      <c r="CH1393" s="48"/>
      <c r="CI1393" s="98"/>
      <c r="CJ1393" s="98"/>
      <c r="CK1393" s="49">
        <f t="shared" si="356"/>
        <v>0.1443919647859733</v>
      </c>
      <c r="CL1393" s="229"/>
      <c r="CM1393" s="229"/>
      <c r="CN1393" s="229"/>
      <c r="CO1393" s="47" t="s">
        <v>2488</v>
      </c>
      <c r="CP1393" s="47" t="s">
        <v>2489</v>
      </c>
      <c r="CQ1393" s="224">
        <v>-4.3707803560585914</v>
      </c>
      <c r="CR1393" s="224">
        <f t="shared" si="368"/>
        <v>23484.447971615406</v>
      </c>
      <c r="CS1393" s="230" t="s">
        <v>539</v>
      </c>
      <c r="CT1393" s="230"/>
      <c r="CU1393" s="230"/>
      <c r="CV1393" s="335">
        <f t="shared" si="364"/>
        <v>4.6502976190476185E-2</v>
      </c>
      <c r="CW1393" s="230">
        <f t="shared" si="354"/>
        <v>0</v>
      </c>
      <c r="CX1393" s="336"/>
      <c r="CY1393" s="230" t="s">
        <v>5921</v>
      </c>
    </row>
    <row r="1394" spans="1:103" ht="11.25" customHeight="1" x14ac:dyDescent="0.2">
      <c r="A1394" s="72">
        <v>1392</v>
      </c>
      <c r="B1394" s="224">
        <v>1908</v>
      </c>
      <c r="C1394" s="46" t="s">
        <v>1522</v>
      </c>
      <c r="D1394" s="46"/>
      <c r="E1394" s="114"/>
      <c r="F1394" s="114" t="s">
        <v>1523</v>
      </c>
      <c r="G1394" s="225">
        <v>55219653</v>
      </c>
      <c r="H1394" s="47" t="s">
        <v>1524</v>
      </c>
      <c r="I1394" s="47" t="s">
        <v>8132</v>
      </c>
      <c r="J1394" s="47" t="s">
        <v>1525</v>
      </c>
      <c r="K1394" s="47" t="s">
        <v>1112</v>
      </c>
      <c r="L1394" s="47" t="s">
        <v>6015</v>
      </c>
      <c r="M1394" s="47" t="s">
        <v>6082</v>
      </c>
      <c r="N1394" s="47" t="s">
        <v>6082</v>
      </c>
      <c r="O1394" s="47" t="s">
        <v>6083</v>
      </c>
      <c r="P1394" s="53"/>
      <c r="Q1394" s="53"/>
      <c r="R1394" s="53"/>
      <c r="S1394" s="53"/>
      <c r="T1394" s="48">
        <v>295.76</v>
      </c>
      <c r="U1394" s="98">
        <v>0.20962942926697323</v>
      </c>
      <c r="V1394" s="98">
        <v>0.33304030294833648</v>
      </c>
      <c r="W1394" s="98">
        <v>0.29512092266663859</v>
      </c>
      <c r="X1394" s="98">
        <v>0.20962942926697323</v>
      </c>
      <c r="Y1394" s="233">
        <v>7.01</v>
      </c>
      <c r="Z1394" s="48">
        <v>2.95</v>
      </c>
      <c r="AA1394" s="48">
        <v>3.08</v>
      </c>
      <c r="AB1394" s="48">
        <v>3.05</v>
      </c>
      <c r="AC1394" s="48">
        <v>0.81520000000000004</v>
      </c>
      <c r="AD1394" s="48">
        <v>3.05</v>
      </c>
      <c r="AE1394" s="48">
        <v>3.04</v>
      </c>
      <c r="AF1394" s="48">
        <f t="shared" si="362"/>
        <v>3.08</v>
      </c>
      <c r="AG1394" s="49">
        <v>3.13</v>
      </c>
      <c r="AH1394" s="98">
        <v>1.58E-11</v>
      </c>
      <c r="AI1394" s="98">
        <v>1.28E-12</v>
      </c>
      <c r="AJ1394" s="483">
        <f t="shared" si="366"/>
        <v>-9.1899092393582293</v>
      </c>
      <c r="AK1394" s="483">
        <f t="shared" ref="AK1394:AK1405" si="369">LOG10(AI1394*1000/(0.08206*298.15))</f>
        <v>-10.281356356664784</v>
      </c>
      <c r="AL1394" s="483">
        <f t="shared" si="365"/>
        <v>-10.281356356664784</v>
      </c>
      <c r="AM1394" s="483">
        <v>-14.479389999999999</v>
      </c>
      <c r="AN1394" s="226">
        <v>-8.8000000000000007</v>
      </c>
      <c r="AO1394" s="484">
        <v>13.29</v>
      </c>
      <c r="AP1394" s="484">
        <v>2.16</v>
      </c>
      <c r="AQ1394" s="226" t="s">
        <v>6311</v>
      </c>
      <c r="AR1394" s="226" t="s">
        <v>6311</v>
      </c>
      <c r="AS1394" s="224"/>
      <c r="AT1394" s="50" t="s">
        <v>266</v>
      </c>
      <c r="AU1394" s="48">
        <v>6</v>
      </c>
      <c r="AV1394" s="48">
        <v>120</v>
      </c>
      <c r="AW1394" s="48">
        <v>114</v>
      </c>
      <c r="AX1394" s="48">
        <v>28</v>
      </c>
      <c r="AY1394" s="48" t="s">
        <v>8728</v>
      </c>
      <c r="AZ1394" s="48" t="s">
        <v>1563</v>
      </c>
      <c r="BA1394" s="48">
        <v>32</v>
      </c>
      <c r="BB1394" s="47" t="s">
        <v>2485</v>
      </c>
      <c r="BC1394" s="47" t="s">
        <v>8726</v>
      </c>
      <c r="BD1394" s="47" t="s">
        <v>8374</v>
      </c>
      <c r="BE1394" s="48" t="s">
        <v>2449</v>
      </c>
      <c r="BF1394" s="48" t="s">
        <v>272</v>
      </c>
      <c r="BG1394" s="48" t="s">
        <v>272</v>
      </c>
      <c r="BH1394" s="48" t="s">
        <v>2486</v>
      </c>
      <c r="BI1394" s="98">
        <v>6.3999999999999997E-6</v>
      </c>
      <c r="BJ1394" s="98">
        <v>6.4000000000000001E-2</v>
      </c>
      <c r="BK1394" s="48"/>
      <c r="BL1394" s="98">
        <f t="shared" si="363"/>
        <v>0.11518740649005926</v>
      </c>
      <c r="BM1394" s="47" t="s">
        <v>2487</v>
      </c>
      <c r="BN1394" s="48"/>
      <c r="BO1394" s="48"/>
      <c r="BP1394" s="48"/>
      <c r="BQ1394" s="48"/>
      <c r="BR1394" s="47" t="s">
        <v>2496</v>
      </c>
      <c r="BS1394" s="48"/>
      <c r="BT1394" s="48"/>
      <c r="BU1394" s="228"/>
      <c r="BV1394" s="48"/>
      <c r="BW1394" s="48"/>
      <c r="BX1394" s="48"/>
      <c r="BY1394" s="48"/>
      <c r="BZ1394" s="48"/>
      <c r="CA1394" s="48"/>
      <c r="CB1394" s="48"/>
      <c r="CC1394" s="48"/>
      <c r="CD1394" s="48"/>
      <c r="CE1394" s="48"/>
      <c r="CF1394" s="48"/>
      <c r="CG1394" s="48"/>
      <c r="CH1394" s="48"/>
      <c r="CI1394" s="98"/>
      <c r="CJ1394" s="98"/>
      <c r="CK1394" s="49">
        <f t="shared" si="356"/>
        <v>1.7998032264071759</v>
      </c>
      <c r="CL1394" s="229"/>
      <c r="CM1394" s="229">
        <v>-1.2948481785093691</v>
      </c>
      <c r="CN1394" s="229">
        <f>BJ1394/(10^CM1394)</f>
        <v>1.2619093333333333</v>
      </c>
      <c r="CO1394" s="47" t="s">
        <v>2488</v>
      </c>
      <c r="CP1394" s="47" t="s">
        <v>2489</v>
      </c>
      <c r="CQ1394" s="224">
        <v>-1.2398437185631652</v>
      </c>
      <c r="CR1394" s="224">
        <f t="shared" si="368"/>
        <v>17.371755913532429</v>
      </c>
      <c r="CS1394" s="230" t="s">
        <v>539</v>
      </c>
      <c r="CT1394" s="230"/>
      <c r="CU1394" s="230"/>
      <c r="CV1394" s="335">
        <f t="shared" si="364"/>
        <v>3.2754598322964568</v>
      </c>
      <c r="CW1394" s="230">
        <f t="shared" si="354"/>
        <v>1</v>
      </c>
      <c r="CX1394" s="336"/>
      <c r="CY1394" s="230" t="s">
        <v>5921</v>
      </c>
    </row>
    <row r="1395" spans="1:103" ht="11.25" customHeight="1" x14ac:dyDescent="0.2">
      <c r="A1395" s="72">
        <v>1393</v>
      </c>
      <c r="B1395" s="224">
        <v>327</v>
      </c>
      <c r="C1395" s="46" t="s">
        <v>7455</v>
      </c>
      <c r="D1395" s="46"/>
      <c r="E1395" s="114"/>
      <c r="F1395" s="114" t="s">
        <v>3847</v>
      </c>
      <c r="G1395" s="225">
        <v>55283686</v>
      </c>
      <c r="H1395" s="47" t="s">
        <v>3848</v>
      </c>
      <c r="I1395" s="47" t="s">
        <v>8133</v>
      </c>
      <c r="J1395" s="47" t="s">
        <v>3849</v>
      </c>
      <c r="K1395" s="47" t="s">
        <v>1011</v>
      </c>
      <c r="L1395" s="47" t="s">
        <v>5248</v>
      </c>
      <c r="M1395" s="47" t="s">
        <v>6037</v>
      </c>
      <c r="N1395" s="47" t="s">
        <v>6385</v>
      </c>
      <c r="O1395" s="47" t="s">
        <v>6036</v>
      </c>
      <c r="P1395" s="53"/>
      <c r="Q1395" s="53"/>
      <c r="R1395" s="53"/>
      <c r="S1395" s="53"/>
      <c r="T1395" s="48">
        <v>333.26</v>
      </c>
      <c r="U1395" s="98">
        <v>9.0019804356958528E-4</v>
      </c>
      <c r="V1395" s="98">
        <v>1.0136229970593531E-3</v>
      </c>
      <c r="W1395" s="98">
        <v>6.165950018614811E-3</v>
      </c>
      <c r="X1395" s="98">
        <v>9.0019804356958528E-4</v>
      </c>
      <c r="Y1395" s="233">
        <v>7</v>
      </c>
      <c r="Z1395" s="48">
        <v>5.23</v>
      </c>
      <c r="AA1395" s="48">
        <v>5.1100000000000003</v>
      </c>
      <c r="AB1395" s="48">
        <v>4.97</v>
      </c>
      <c r="AC1395" s="48">
        <v>0.83189999999999997</v>
      </c>
      <c r="AD1395" s="48">
        <v>5</v>
      </c>
      <c r="AE1395" s="48">
        <v>5.0999999999999996</v>
      </c>
      <c r="AF1395" s="48">
        <f t="shared" si="362"/>
        <v>5.1100000000000003</v>
      </c>
      <c r="AG1395" s="49">
        <v>3.38</v>
      </c>
      <c r="AH1395" s="98">
        <v>1.8599999999999999E-4</v>
      </c>
      <c r="AI1395" s="98">
        <v>1.2799999999999999E-4</v>
      </c>
      <c r="AJ1395" s="483">
        <f t="shared" si="366"/>
        <v>-2.1190533820947355</v>
      </c>
      <c r="AK1395" s="483">
        <f t="shared" si="369"/>
        <v>-2.2813563566647836</v>
      </c>
      <c r="AL1395" s="483">
        <f t="shared" si="365"/>
        <v>-2.2813563566647836</v>
      </c>
      <c r="AM1395" s="483">
        <v>-9.6163799999999995</v>
      </c>
      <c r="AN1395" s="226">
        <v>-1.97</v>
      </c>
      <c r="AO1395" s="484"/>
      <c r="AP1395" s="484">
        <v>-1.76</v>
      </c>
      <c r="AQ1395" s="226" t="s">
        <v>6311</v>
      </c>
      <c r="AR1395" s="226" t="s">
        <v>6311</v>
      </c>
      <c r="AS1395" s="224" t="s">
        <v>6</v>
      </c>
      <c r="AT1395" s="50" t="s">
        <v>266</v>
      </c>
      <c r="AU1395" s="48">
        <v>8</v>
      </c>
      <c r="AV1395" s="48">
        <v>144</v>
      </c>
      <c r="AW1395" s="48">
        <v>120</v>
      </c>
      <c r="AX1395" s="48">
        <v>26</v>
      </c>
      <c r="AY1395" s="48" t="s">
        <v>267</v>
      </c>
      <c r="AZ1395" s="48" t="s">
        <v>2253</v>
      </c>
      <c r="BA1395" s="48">
        <v>2</v>
      </c>
      <c r="BB1395" s="47" t="s">
        <v>2254</v>
      </c>
      <c r="BC1395" s="47" t="s">
        <v>270</v>
      </c>
      <c r="BD1395" s="47" t="s">
        <v>8374</v>
      </c>
      <c r="BE1395" s="48" t="s">
        <v>1712</v>
      </c>
      <c r="BF1395" s="48" t="s">
        <v>272</v>
      </c>
      <c r="BG1395" s="48" t="s">
        <v>272</v>
      </c>
      <c r="BH1395" s="48" t="s">
        <v>2255</v>
      </c>
      <c r="BI1395" s="98">
        <v>9.9999999999999995E-7</v>
      </c>
      <c r="BJ1395" s="98">
        <v>0.08</v>
      </c>
      <c r="BK1395" s="48"/>
      <c r="BL1395" s="98">
        <f t="shared" si="363"/>
        <v>1.0321361755663079E-3</v>
      </c>
      <c r="BM1395" s="48" t="s">
        <v>891</v>
      </c>
      <c r="BN1395" s="233"/>
      <c r="BO1395" s="233"/>
      <c r="BP1395" s="233"/>
      <c r="BQ1395" s="233"/>
      <c r="BR1395" s="233"/>
      <c r="BS1395" s="234"/>
      <c r="BT1395" s="233"/>
      <c r="BU1395" s="235"/>
      <c r="BV1395" s="233"/>
      <c r="BW1395" s="233"/>
      <c r="BX1395" s="233"/>
      <c r="BY1395" s="233"/>
      <c r="BZ1395" s="233"/>
      <c r="CA1395" s="233"/>
      <c r="CB1395" s="233"/>
      <c r="CC1395" s="234"/>
      <c r="CD1395" s="238"/>
      <c r="CE1395" s="238"/>
      <c r="CF1395" s="238"/>
      <c r="CG1395" s="233"/>
      <c r="CH1395" s="48"/>
      <c r="CI1395" s="98"/>
      <c r="CJ1395" s="98"/>
      <c r="CK1395" s="49">
        <f t="shared" si="356"/>
        <v>1.2901702194578849E-2</v>
      </c>
      <c r="CL1395" s="229"/>
      <c r="CM1395" s="229"/>
      <c r="CN1395" s="229"/>
      <c r="CO1395" s="47" t="s">
        <v>892</v>
      </c>
      <c r="CP1395" s="47" t="s">
        <v>893</v>
      </c>
      <c r="CQ1395" s="224">
        <v>-3.6152411745322595</v>
      </c>
      <c r="CR1395" s="224">
        <f t="shared" si="368"/>
        <v>4123.2643065808124</v>
      </c>
      <c r="CS1395" s="230" t="s">
        <v>539</v>
      </c>
      <c r="CT1395" s="230"/>
      <c r="CU1395" s="230"/>
      <c r="CV1395" s="335">
        <f t="shared" si="364"/>
        <v>1.1252475544619816E-2</v>
      </c>
      <c r="CW1395" s="230">
        <f t="shared" si="354"/>
        <v>0</v>
      </c>
      <c r="CX1395" s="336" t="s">
        <v>539</v>
      </c>
      <c r="CY1395" s="230" t="s">
        <v>5921</v>
      </c>
    </row>
    <row r="1396" spans="1:103" ht="11.25" customHeight="1" x14ac:dyDescent="0.2">
      <c r="A1396" s="72">
        <v>1394</v>
      </c>
      <c r="B1396" s="224">
        <v>1641</v>
      </c>
      <c r="C1396" s="46" t="s">
        <v>7455</v>
      </c>
      <c r="D1396" s="46"/>
      <c r="E1396" s="114"/>
      <c r="F1396" s="114" t="s">
        <v>3847</v>
      </c>
      <c r="G1396" s="225">
        <v>55283686</v>
      </c>
      <c r="H1396" s="47" t="s">
        <v>3848</v>
      </c>
      <c r="I1396" s="47" t="s">
        <v>8133</v>
      </c>
      <c r="J1396" s="47" t="s">
        <v>3849</v>
      </c>
      <c r="K1396" s="47" t="s">
        <v>1011</v>
      </c>
      <c r="L1396" s="47" t="s">
        <v>5248</v>
      </c>
      <c r="M1396" s="47" t="s">
        <v>6037</v>
      </c>
      <c r="N1396" s="47" t="s">
        <v>6385</v>
      </c>
      <c r="O1396" s="47" t="s">
        <v>6036</v>
      </c>
      <c r="P1396" s="53"/>
      <c r="Q1396" s="53"/>
      <c r="R1396" s="53"/>
      <c r="S1396" s="53"/>
      <c r="T1396" s="48">
        <v>333.26</v>
      </c>
      <c r="U1396" s="98">
        <v>9.0019804356958528E-4</v>
      </c>
      <c r="V1396" s="98">
        <v>1.0136229970593531E-3</v>
      </c>
      <c r="W1396" s="98">
        <v>6.165950018614811E-3</v>
      </c>
      <c r="X1396" s="98">
        <v>9.0019804356958528E-4</v>
      </c>
      <c r="Y1396" s="233">
        <v>7</v>
      </c>
      <c r="Z1396" s="48">
        <v>5.23</v>
      </c>
      <c r="AA1396" s="48">
        <v>5.1100000000000003</v>
      </c>
      <c r="AB1396" s="48">
        <v>4.97</v>
      </c>
      <c r="AC1396" s="48">
        <v>0.83189999999999997</v>
      </c>
      <c r="AD1396" s="48">
        <v>5</v>
      </c>
      <c r="AE1396" s="48">
        <v>5.0999999999999996</v>
      </c>
      <c r="AF1396" s="48">
        <f t="shared" si="362"/>
        <v>5.1100000000000003</v>
      </c>
      <c r="AG1396" s="49">
        <v>3.38</v>
      </c>
      <c r="AH1396" s="98">
        <v>1.8599999999999999E-4</v>
      </c>
      <c r="AI1396" s="98">
        <v>1.2799999999999999E-4</v>
      </c>
      <c r="AJ1396" s="483">
        <f t="shared" si="366"/>
        <v>-2.1190533820947355</v>
      </c>
      <c r="AK1396" s="483">
        <f t="shared" si="369"/>
        <v>-2.2813563566647836</v>
      </c>
      <c r="AL1396" s="483">
        <f t="shared" si="365"/>
        <v>-2.2813563566647836</v>
      </c>
      <c r="AM1396" s="483">
        <v>-9.6163799999999995</v>
      </c>
      <c r="AN1396" s="226">
        <v>-1.97</v>
      </c>
      <c r="AO1396" s="484"/>
      <c r="AP1396" s="484">
        <v>-1.76</v>
      </c>
      <c r="AQ1396" s="226" t="s">
        <v>6311</v>
      </c>
      <c r="AR1396" s="226" t="s">
        <v>6311</v>
      </c>
      <c r="AS1396" s="224"/>
      <c r="AT1396" s="50" t="s">
        <v>266</v>
      </c>
      <c r="AU1396" s="48">
        <v>6</v>
      </c>
      <c r="AV1396" s="48">
        <v>120</v>
      </c>
      <c r="AW1396" s="48">
        <v>114</v>
      </c>
      <c r="AX1396" s="48">
        <v>28</v>
      </c>
      <c r="AY1396" s="48" t="s">
        <v>8728</v>
      </c>
      <c r="AZ1396" s="48" t="s">
        <v>1563</v>
      </c>
      <c r="BA1396" s="48">
        <v>32</v>
      </c>
      <c r="BB1396" s="47" t="s">
        <v>2485</v>
      </c>
      <c r="BC1396" s="47" t="s">
        <v>8726</v>
      </c>
      <c r="BD1396" s="47" t="s">
        <v>8374</v>
      </c>
      <c r="BE1396" s="48" t="s">
        <v>2449</v>
      </c>
      <c r="BF1396" s="48" t="s">
        <v>272</v>
      </c>
      <c r="BG1396" s="48" t="s">
        <v>272</v>
      </c>
      <c r="BH1396" s="48" t="s">
        <v>2486</v>
      </c>
      <c r="BI1396" s="98">
        <v>6.3999999999999997E-6</v>
      </c>
      <c r="BJ1396" s="98">
        <v>6.4000000000000001E-2</v>
      </c>
      <c r="BK1396" s="48"/>
      <c r="BL1396" s="98">
        <f t="shared" si="363"/>
        <v>1.0321361755663079E-3</v>
      </c>
      <c r="BM1396" s="47" t="s">
        <v>2487</v>
      </c>
      <c r="BN1396" s="48"/>
      <c r="BO1396" s="48"/>
      <c r="BP1396" s="48"/>
      <c r="BQ1396" s="48"/>
      <c r="BR1396" s="47" t="s">
        <v>2496</v>
      </c>
      <c r="BS1396" s="48"/>
      <c r="BT1396" s="48"/>
      <c r="BU1396" s="228"/>
      <c r="BV1396" s="48"/>
      <c r="BW1396" s="48"/>
      <c r="BX1396" s="48"/>
      <c r="BY1396" s="48"/>
      <c r="BZ1396" s="48"/>
      <c r="CA1396" s="48"/>
      <c r="CB1396" s="48"/>
      <c r="CC1396" s="48"/>
      <c r="CD1396" s="48"/>
      <c r="CE1396" s="48"/>
      <c r="CF1396" s="48"/>
      <c r="CG1396" s="48"/>
      <c r="CH1396" s="48"/>
      <c r="CI1396" s="98"/>
      <c r="CJ1396" s="98"/>
      <c r="CK1396" s="49">
        <f t="shared" si="356"/>
        <v>1.6127127743223561E-2</v>
      </c>
      <c r="CL1396" s="229"/>
      <c r="CM1396" s="229"/>
      <c r="CN1396" s="229"/>
      <c r="CO1396" s="47" t="s">
        <v>2488</v>
      </c>
      <c r="CP1396" s="47" t="s">
        <v>2489</v>
      </c>
      <c r="CQ1396" s="224">
        <v>-3.6152411745322595</v>
      </c>
      <c r="CR1396" s="224">
        <f t="shared" si="368"/>
        <v>4123.2643065808124</v>
      </c>
      <c r="CS1396" s="230" t="s">
        <v>539</v>
      </c>
      <c r="CT1396" s="230"/>
      <c r="CU1396" s="230"/>
      <c r="CV1396" s="335">
        <f t="shared" si="364"/>
        <v>1.4065594430774769E-2</v>
      </c>
      <c r="CW1396" s="230">
        <f t="shared" si="354"/>
        <v>0</v>
      </c>
      <c r="CX1396" s="336"/>
      <c r="CY1396" s="230" t="s">
        <v>5921</v>
      </c>
    </row>
    <row r="1397" spans="1:103" ht="11.25" customHeight="1" x14ac:dyDescent="0.2">
      <c r="A1397" s="72">
        <v>1395</v>
      </c>
      <c r="B1397" s="224">
        <v>1613</v>
      </c>
      <c r="C1397" s="46" t="s">
        <v>7456</v>
      </c>
      <c r="D1397" s="46"/>
      <c r="E1397" s="114"/>
      <c r="F1397" s="114" t="s">
        <v>4786</v>
      </c>
      <c r="G1397" s="225">
        <v>55290647</v>
      </c>
      <c r="H1397" s="47" t="s">
        <v>4787</v>
      </c>
      <c r="I1397" s="47" t="s">
        <v>4787</v>
      </c>
      <c r="J1397" s="47" t="s">
        <v>4788</v>
      </c>
      <c r="K1397" s="47" t="s">
        <v>4789</v>
      </c>
      <c r="L1397" s="51"/>
      <c r="M1397" s="47"/>
      <c r="N1397" s="47"/>
      <c r="O1397" s="47"/>
      <c r="P1397" s="53"/>
      <c r="Q1397" s="53"/>
      <c r="R1397" s="53"/>
      <c r="S1397" s="53"/>
      <c r="T1397" s="48">
        <v>210.27</v>
      </c>
      <c r="U1397" s="98">
        <v>21.876634802872495</v>
      </c>
      <c r="V1397" s="98">
        <v>257.28824844247873</v>
      </c>
      <c r="W1397" s="98">
        <v>21.37962089502232</v>
      </c>
      <c r="X1397" s="98">
        <v>21.876634802872495</v>
      </c>
      <c r="Y1397" s="233">
        <v>7</v>
      </c>
      <c r="Z1397" s="48">
        <v>0.04</v>
      </c>
      <c r="AA1397" s="48">
        <v>-0.17</v>
      </c>
      <c r="AB1397" s="48">
        <v>-0.32</v>
      </c>
      <c r="AC1397" s="48">
        <v>0.65110000000000001</v>
      </c>
      <c r="AD1397" s="48">
        <v>-0.33</v>
      </c>
      <c r="AE1397" s="48">
        <v>-0.35</v>
      </c>
      <c r="AF1397" s="48">
        <f t="shared" si="362"/>
        <v>-0.17</v>
      </c>
      <c r="AG1397" s="49">
        <v>-0.52</v>
      </c>
      <c r="AH1397" s="98">
        <v>5.38E-9</v>
      </c>
      <c r="AI1397" s="98">
        <v>2.3000000000000001E-11</v>
      </c>
      <c r="AJ1397" s="483">
        <f t="shared" si="366"/>
        <v>-6.6577840506462627</v>
      </c>
      <c r="AK1397" s="483">
        <f t="shared" si="369"/>
        <v>-9.0268384902950594</v>
      </c>
      <c r="AL1397" s="483">
        <f t="shared" si="365"/>
        <v>-9.0268384902950594</v>
      </c>
      <c r="AM1397" s="483">
        <v>-11.79799</v>
      </c>
      <c r="AN1397" s="226">
        <v>-9.4</v>
      </c>
      <c r="AO1397" s="484"/>
      <c r="AP1397" s="484"/>
      <c r="AQ1397" s="48" t="s">
        <v>6311</v>
      </c>
      <c r="AR1397" s="48" t="s">
        <v>6311</v>
      </c>
      <c r="AS1397" s="227"/>
      <c r="AT1397" s="50" t="s">
        <v>266</v>
      </c>
      <c r="AU1397" s="48">
        <v>6</v>
      </c>
      <c r="AV1397" s="48">
        <v>120</v>
      </c>
      <c r="AW1397" s="48">
        <v>114</v>
      </c>
      <c r="AX1397" s="48">
        <v>28</v>
      </c>
      <c r="AY1397" s="48" t="s">
        <v>8728</v>
      </c>
      <c r="AZ1397" s="48" t="s">
        <v>1563</v>
      </c>
      <c r="BA1397" s="48">
        <v>32</v>
      </c>
      <c r="BB1397" s="47" t="s">
        <v>2485</v>
      </c>
      <c r="BC1397" s="47" t="s">
        <v>8726</v>
      </c>
      <c r="BD1397" s="47" t="s">
        <v>8374</v>
      </c>
      <c r="BE1397" s="48" t="s">
        <v>2449</v>
      </c>
      <c r="BF1397" s="48" t="s">
        <v>272</v>
      </c>
      <c r="BG1397" s="48" t="s">
        <v>272</v>
      </c>
      <c r="BH1397" s="48" t="s">
        <v>2486</v>
      </c>
      <c r="BI1397" s="98">
        <v>6.3999999999999997E-6</v>
      </c>
      <c r="BJ1397" s="98">
        <v>6.4000000000000001E-2</v>
      </c>
      <c r="BK1397" s="48"/>
      <c r="BL1397" s="98">
        <f t="shared" si="363"/>
        <v>47.3016183837344</v>
      </c>
      <c r="BM1397" s="47" t="s">
        <v>2487</v>
      </c>
      <c r="BN1397" s="48"/>
      <c r="BO1397" s="48"/>
      <c r="BP1397" s="48"/>
      <c r="BQ1397" s="48"/>
      <c r="BR1397" s="47" t="s">
        <v>2496</v>
      </c>
      <c r="BS1397" s="48"/>
      <c r="BT1397" s="48"/>
      <c r="BU1397" s="228"/>
      <c r="BV1397" s="48"/>
      <c r="BW1397" s="48"/>
      <c r="BX1397" s="48"/>
      <c r="BY1397" s="48"/>
      <c r="BZ1397" s="48"/>
      <c r="CA1397" s="48"/>
      <c r="CB1397" s="48"/>
      <c r="CC1397" s="48"/>
      <c r="CD1397" s="48"/>
      <c r="CE1397" s="48"/>
      <c r="CF1397" s="48"/>
      <c r="CG1397" s="48"/>
      <c r="CH1397" s="48"/>
      <c r="CI1397" s="98"/>
      <c r="CJ1397" s="98"/>
      <c r="CK1397" s="49">
        <f t="shared" si="356"/>
        <v>739.08778724585</v>
      </c>
      <c r="CL1397" s="229"/>
      <c r="CM1397" s="229"/>
      <c r="CN1397" s="229"/>
      <c r="CO1397" s="47" t="s">
        <v>2488</v>
      </c>
      <c r="CP1397" s="47" t="s">
        <v>2489</v>
      </c>
      <c r="CQ1397" s="224" t="s">
        <v>272</v>
      </c>
      <c r="CR1397" s="224"/>
      <c r="CS1397" s="230" t="s">
        <v>539</v>
      </c>
      <c r="CT1397" s="230"/>
      <c r="CU1397" s="230"/>
      <c r="CV1397" s="335">
        <f t="shared" si="364"/>
        <v>341.82241879488271</v>
      </c>
      <c r="CW1397" s="230">
        <f t="shared" si="354"/>
        <v>1</v>
      </c>
      <c r="CX1397" s="336"/>
      <c r="CY1397" s="230" t="s">
        <v>5921</v>
      </c>
    </row>
    <row r="1398" spans="1:103" ht="11.25" customHeight="1" x14ac:dyDescent="0.2">
      <c r="A1398" s="72">
        <v>1396</v>
      </c>
      <c r="B1398" s="224">
        <v>672</v>
      </c>
      <c r="C1398" s="46" t="s">
        <v>7457</v>
      </c>
      <c r="D1398" s="46"/>
      <c r="E1398" s="114"/>
      <c r="F1398" s="114" t="s">
        <v>4055</v>
      </c>
      <c r="G1398" s="225">
        <v>55335063</v>
      </c>
      <c r="H1398" s="47" t="s">
        <v>4056</v>
      </c>
      <c r="I1398" s="47" t="s">
        <v>8134</v>
      </c>
      <c r="J1398" s="47" t="s">
        <v>4057</v>
      </c>
      <c r="K1398" s="47" t="s">
        <v>1958</v>
      </c>
      <c r="L1398" s="47" t="s">
        <v>6033</v>
      </c>
      <c r="M1398" s="47" t="s">
        <v>6082</v>
      </c>
      <c r="N1398" s="47" t="s">
        <v>6082</v>
      </c>
      <c r="O1398" s="47" t="s">
        <v>6083</v>
      </c>
      <c r="P1398" s="53"/>
      <c r="Q1398" s="53"/>
      <c r="R1398" s="53"/>
      <c r="S1398" s="53"/>
      <c r="T1398" s="48">
        <v>256.47000000000003</v>
      </c>
      <c r="U1398" s="98">
        <v>1.7156002651382225</v>
      </c>
      <c r="V1398" s="98">
        <v>1.4617694077279992</v>
      </c>
      <c r="W1398" s="98">
        <v>3.8018939632056123</v>
      </c>
      <c r="X1398" s="98">
        <v>1.7156002651382225</v>
      </c>
      <c r="Y1398" s="233">
        <v>2.59</v>
      </c>
      <c r="Z1398" s="48">
        <v>2.5299999999999998</v>
      </c>
      <c r="AA1398" s="48"/>
      <c r="AB1398" s="48">
        <v>2.59</v>
      </c>
      <c r="AC1398" s="48">
        <v>0.86650000000000005</v>
      </c>
      <c r="AD1398" s="48">
        <v>2.68</v>
      </c>
      <c r="AE1398" s="48">
        <v>2.98</v>
      </c>
      <c r="AF1398" s="48">
        <f t="shared" si="362"/>
        <v>2.68</v>
      </c>
      <c r="AG1398" s="49">
        <v>2.74</v>
      </c>
      <c r="AH1398" s="98">
        <v>5.14E-9</v>
      </c>
      <c r="AI1398" s="98">
        <v>9.6599999999999997E-10</v>
      </c>
      <c r="AJ1398" s="483">
        <f t="shared" si="366"/>
        <v>-6.6776032073173761</v>
      </c>
      <c r="AK1398" s="483">
        <f t="shared" si="369"/>
        <v>-7.4035891998971586</v>
      </c>
      <c r="AL1398" s="483">
        <f t="shared" si="365"/>
        <v>-7.4035891998971586</v>
      </c>
      <c r="AM1398" s="483">
        <v>-11.744759999999998</v>
      </c>
      <c r="AN1398" s="226">
        <v>-7.84</v>
      </c>
      <c r="AO1398" s="484">
        <v>2.2599999999999998</v>
      </c>
      <c r="AP1398" s="484">
        <v>-2.68</v>
      </c>
      <c r="AQ1398" s="226" t="s">
        <v>6311</v>
      </c>
      <c r="AR1398" s="226" t="s">
        <v>6311</v>
      </c>
      <c r="AS1398" s="224" t="s">
        <v>6</v>
      </c>
      <c r="AT1398" s="50" t="s">
        <v>266</v>
      </c>
      <c r="AU1398" s="48">
        <v>8</v>
      </c>
      <c r="AV1398" s="48">
        <v>144</v>
      </c>
      <c r="AW1398" s="48">
        <v>120</v>
      </c>
      <c r="AX1398" s="48">
        <v>26</v>
      </c>
      <c r="AY1398" s="48" t="s">
        <v>267</v>
      </c>
      <c r="AZ1398" s="48" t="s">
        <v>2253</v>
      </c>
      <c r="BA1398" s="48">
        <v>2</v>
      </c>
      <c r="BB1398" s="47" t="s">
        <v>2254</v>
      </c>
      <c r="BC1398" s="47" t="s">
        <v>270</v>
      </c>
      <c r="BD1398" s="47" t="s">
        <v>8374</v>
      </c>
      <c r="BE1398" s="48" t="s">
        <v>1712</v>
      </c>
      <c r="BF1398" s="48" t="s">
        <v>272</v>
      </c>
      <c r="BG1398" s="48" t="s">
        <v>272</v>
      </c>
      <c r="BH1398" s="48" t="s">
        <v>2255</v>
      </c>
      <c r="BI1398" s="98">
        <v>9.9999999999999995E-7</v>
      </c>
      <c r="BJ1398" s="98">
        <v>0.08</v>
      </c>
      <c r="BK1398" s="48"/>
      <c r="BL1398" s="98">
        <f t="shared" si="363"/>
        <v>0.27454086646262549</v>
      </c>
      <c r="BM1398" s="48" t="s">
        <v>891</v>
      </c>
      <c r="BN1398" s="233"/>
      <c r="BO1398" s="233"/>
      <c r="BP1398" s="233"/>
      <c r="BQ1398" s="233"/>
      <c r="BR1398" s="233"/>
      <c r="BS1398" s="48"/>
      <c r="BT1398" s="233"/>
      <c r="BU1398" s="228"/>
      <c r="BV1398" s="233"/>
      <c r="BW1398" s="233"/>
      <c r="BX1398" s="233"/>
      <c r="BY1398" s="233"/>
      <c r="BZ1398" s="233"/>
      <c r="CA1398" s="233"/>
      <c r="CB1398" s="233"/>
      <c r="CC1398" s="48"/>
      <c r="CD1398" s="48"/>
      <c r="CE1398" s="48"/>
      <c r="CF1398" s="48"/>
      <c r="CG1398" s="233"/>
      <c r="CH1398" s="48"/>
      <c r="CI1398" s="98"/>
      <c r="CJ1398" s="98"/>
      <c r="CK1398" s="49">
        <f t="shared" si="356"/>
        <v>3.4317608307828187</v>
      </c>
      <c r="CL1398" s="229"/>
      <c r="CM1398" s="229"/>
      <c r="CN1398" s="229"/>
      <c r="CO1398" s="47" t="s">
        <v>892</v>
      </c>
      <c r="CP1398" s="47" t="s">
        <v>893</v>
      </c>
      <c r="CQ1398" s="224">
        <v>-0.28981278323034915</v>
      </c>
      <c r="CR1398" s="224">
        <f t="shared" ref="CR1398:CR1405" si="370">10^(CJ1398-CQ1398)</f>
        <v>1.9490042369354967</v>
      </c>
      <c r="CS1398" s="230" t="s">
        <v>539</v>
      </c>
      <c r="CT1398" s="230"/>
      <c r="CU1398" s="230"/>
      <c r="CV1398" s="335">
        <f t="shared" si="364"/>
        <v>21.44500331422778</v>
      </c>
      <c r="CW1398" s="230">
        <f t="shared" si="354"/>
        <v>1</v>
      </c>
      <c r="CX1398" s="336" t="s">
        <v>539</v>
      </c>
      <c r="CY1398" s="230" t="s">
        <v>5921</v>
      </c>
    </row>
    <row r="1399" spans="1:103" ht="11.25" customHeight="1" x14ac:dyDescent="0.2">
      <c r="A1399" s="72">
        <v>1397</v>
      </c>
      <c r="B1399" s="224">
        <v>1912</v>
      </c>
      <c r="C1399" s="46" t="s">
        <v>7457</v>
      </c>
      <c r="D1399" s="46"/>
      <c r="E1399" s="114"/>
      <c r="F1399" s="114" t="s">
        <v>4055</v>
      </c>
      <c r="G1399" s="225">
        <v>55335063</v>
      </c>
      <c r="H1399" s="47" t="s">
        <v>4056</v>
      </c>
      <c r="I1399" s="47" t="s">
        <v>8134</v>
      </c>
      <c r="J1399" s="47" t="s">
        <v>4057</v>
      </c>
      <c r="K1399" s="47" t="s">
        <v>1958</v>
      </c>
      <c r="L1399" s="47" t="s">
        <v>6033</v>
      </c>
      <c r="M1399" s="47" t="s">
        <v>6082</v>
      </c>
      <c r="N1399" s="47" t="s">
        <v>6082</v>
      </c>
      <c r="O1399" s="47" t="s">
        <v>6083</v>
      </c>
      <c r="P1399" s="53"/>
      <c r="Q1399" s="53"/>
      <c r="R1399" s="53"/>
      <c r="S1399" s="53"/>
      <c r="T1399" s="48">
        <v>256.47000000000003</v>
      </c>
      <c r="U1399" s="98">
        <v>1.7156002651382225</v>
      </c>
      <c r="V1399" s="98">
        <v>1.4617694077279992</v>
      </c>
      <c r="W1399" s="98">
        <v>3.8018939632056123</v>
      </c>
      <c r="X1399" s="98">
        <v>1.7156002651382225</v>
      </c>
      <c r="Y1399" s="233">
        <v>2.59</v>
      </c>
      <c r="Z1399" s="48">
        <v>2.5299999999999998</v>
      </c>
      <c r="AA1399" s="48"/>
      <c r="AB1399" s="48">
        <v>2.59</v>
      </c>
      <c r="AC1399" s="48">
        <v>0.86650000000000005</v>
      </c>
      <c r="AD1399" s="48">
        <v>2.68</v>
      </c>
      <c r="AE1399" s="48">
        <v>2.98</v>
      </c>
      <c r="AF1399" s="48">
        <f t="shared" si="362"/>
        <v>2.68</v>
      </c>
      <c r="AG1399" s="49">
        <v>2.74</v>
      </c>
      <c r="AH1399" s="98">
        <v>5.14E-9</v>
      </c>
      <c r="AI1399" s="98">
        <v>9.6599999999999997E-10</v>
      </c>
      <c r="AJ1399" s="483">
        <f t="shared" si="366"/>
        <v>-6.6776032073173761</v>
      </c>
      <c r="AK1399" s="483">
        <f t="shared" si="369"/>
        <v>-7.4035891998971586</v>
      </c>
      <c r="AL1399" s="483">
        <f t="shared" si="365"/>
        <v>-7.4035891998971586</v>
      </c>
      <c r="AM1399" s="483">
        <v>-11.744759999999998</v>
      </c>
      <c r="AN1399" s="226">
        <v>-7.84</v>
      </c>
      <c r="AO1399" s="484">
        <v>2.2599999999999998</v>
      </c>
      <c r="AP1399" s="484">
        <v>-2.68</v>
      </c>
      <c r="AQ1399" s="226" t="s">
        <v>6311</v>
      </c>
      <c r="AR1399" s="226" t="s">
        <v>6311</v>
      </c>
      <c r="AS1399" s="224"/>
      <c r="AT1399" s="50" t="s">
        <v>266</v>
      </c>
      <c r="AU1399" s="48">
        <v>6</v>
      </c>
      <c r="AV1399" s="48">
        <v>120</v>
      </c>
      <c r="AW1399" s="48">
        <v>114</v>
      </c>
      <c r="AX1399" s="48">
        <v>28</v>
      </c>
      <c r="AY1399" s="48" t="s">
        <v>8728</v>
      </c>
      <c r="AZ1399" s="48" t="s">
        <v>1563</v>
      </c>
      <c r="BA1399" s="48">
        <v>32</v>
      </c>
      <c r="BB1399" s="47" t="s">
        <v>2485</v>
      </c>
      <c r="BC1399" s="47" t="s">
        <v>8726</v>
      </c>
      <c r="BD1399" s="47" t="s">
        <v>8374</v>
      </c>
      <c r="BE1399" s="48" t="s">
        <v>2449</v>
      </c>
      <c r="BF1399" s="48" t="s">
        <v>272</v>
      </c>
      <c r="BG1399" s="48" t="s">
        <v>272</v>
      </c>
      <c r="BH1399" s="48" t="s">
        <v>2486</v>
      </c>
      <c r="BI1399" s="98">
        <v>6.3999999999999997E-6</v>
      </c>
      <c r="BJ1399" s="98">
        <v>6.4000000000000001E-2</v>
      </c>
      <c r="BK1399" s="48"/>
      <c r="BL1399" s="98">
        <f t="shared" si="363"/>
        <v>0.27454086646262549</v>
      </c>
      <c r="BM1399" s="47" t="s">
        <v>2487</v>
      </c>
      <c r="BN1399" s="48"/>
      <c r="BO1399" s="48"/>
      <c r="BP1399" s="48"/>
      <c r="BQ1399" s="48"/>
      <c r="BR1399" s="47" t="s">
        <v>2496</v>
      </c>
      <c r="BS1399" s="48"/>
      <c r="BT1399" s="48"/>
      <c r="BU1399" s="228"/>
      <c r="BV1399" s="48"/>
      <c r="BW1399" s="48"/>
      <c r="BX1399" s="48"/>
      <c r="BY1399" s="48"/>
      <c r="BZ1399" s="48"/>
      <c r="CA1399" s="48"/>
      <c r="CB1399" s="48"/>
      <c r="CC1399" s="48"/>
      <c r="CD1399" s="48"/>
      <c r="CE1399" s="48"/>
      <c r="CF1399" s="48"/>
      <c r="CG1399" s="48"/>
      <c r="CH1399" s="48"/>
      <c r="CI1399" s="98"/>
      <c r="CJ1399" s="98"/>
      <c r="CK1399" s="49">
        <f t="shared" si="356"/>
        <v>4.2897010384785235</v>
      </c>
      <c r="CL1399" s="229"/>
      <c r="CM1399" s="229"/>
      <c r="CN1399" s="229"/>
      <c r="CO1399" s="47" t="s">
        <v>2488</v>
      </c>
      <c r="CP1399" s="47" t="s">
        <v>2489</v>
      </c>
      <c r="CQ1399" s="224">
        <v>-0.28981278323034915</v>
      </c>
      <c r="CR1399" s="224">
        <f t="shared" si="370"/>
        <v>1.9490042369354967</v>
      </c>
      <c r="CS1399" s="230" t="s">
        <v>539</v>
      </c>
      <c r="CT1399" s="230"/>
      <c r="CU1399" s="230"/>
      <c r="CV1399" s="335">
        <f t="shared" si="364"/>
        <v>26.806254142784727</v>
      </c>
      <c r="CW1399" s="230">
        <f t="shared" si="354"/>
        <v>1</v>
      </c>
      <c r="CX1399" s="336"/>
      <c r="CY1399" s="230" t="s">
        <v>5921</v>
      </c>
    </row>
    <row r="1400" spans="1:103" ht="11.25" customHeight="1" x14ac:dyDescent="0.2">
      <c r="A1400" s="72">
        <v>1398</v>
      </c>
      <c r="B1400" s="224">
        <v>381</v>
      </c>
      <c r="C1400" s="46" t="s">
        <v>7459</v>
      </c>
      <c r="D1400" s="46"/>
      <c r="E1400" s="114"/>
      <c r="F1400" s="114" t="s">
        <v>3257</v>
      </c>
      <c r="G1400" s="225">
        <v>57837191</v>
      </c>
      <c r="H1400" s="47" t="s">
        <v>3258</v>
      </c>
      <c r="I1400" s="47" t="s">
        <v>3258</v>
      </c>
      <c r="J1400" s="47" t="s">
        <v>3259</v>
      </c>
      <c r="K1400" s="47" t="s">
        <v>3260</v>
      </c>
      <c r="L1400" s="47" t="s">
        <v>6045</v>
      </c>
      <c r="M1400" s="47" t="s">
        <v>6082</v>
      </c>
      <c r="N1400" s="47" t="s">
        <v>6082</v>
      </c>
      <c r="O1400" s="47" t="s">
        <v>6083</v>
      </c>
      <c r="P1400" s="53"/>
      <c r="Q1400" s="53"/>
      <c r="R1400" s="53"/>
      <c r="S1400" s="53"/>
      <c r="T1400" s="48">
        <v>279.33</v>
      </c>
      <c r="U1400" s="98">
        <v>93.079869688182441</v>
      </c>
      <c r="V1400" s="98">
        <v>2.0047971932839297</v>
      </c>
      <c r="W1400" s="98">
        <v>9.7723722095581049</v>
      </c>
      <c r="X1400" s="98">
        <v>93.079869688182441</v>
      </c>
      <c r="Y1400" s="233">
        <v>7.05</v>
      </c>
      <c r="Z1400" s="48">
        <v>1.7</v>
      </c>
      <c r="AA1400" s="48">
        <v>1.71</v>
      </c>
      <c r="AB1400" s="48">
        <v>1.81</v>
      </c>
      <c r="AC1400" s="48">
        <v>0.87380000000000002</v>
      </c>
      <c r="AD1400" s="48">
        <v>1.88</v>
      </c>
      <c r="AE1400" s="48">
        <v>2.15</v>
      </c>
      <c r="AF1400" s="48">
        <f t="shared" si="362"/>
        <v>1.71</v>
      </c>
      <c r="AG1400" s="49">
        <v>2.06</v>
      </c>
      <c r="AH1400" s="98">
        <v>8.0500000000000001E-10</v>
      </c>
      <c r="AI1400" s="98">
        <v>2.9499999999999999E-9</v>
      </c>
      <c r="AJ1400" s="483">
        <f t="shared" si="366"/>
        <v>-7.4827704459447837</v>
      </c>
      <c r="AK1400" s="483">
        <f t="shared" si="369"/>
        <v>-6.918744310334489</v>
      </c>
      <c r="AL1400" s="483">
        <f t="shared" si="365"/>
        <v>-6.918744310334489</v>
      </c>
      <c r="AM1400" s="483">
        <v>-13.054030000000001</v>
      </c>
      <c r="AN1400" s="226">
        <v>-7.18</v>
      </c>
      <c r="AO1400" s="484"/>
      <c r="AP1400" s="484">
        <v>1.41</v>
      </c>
      <c r="AQ1400" s="226" t="s">
        <v>6311</v>
      </c>
      <c r="AR1400" s="226" t="s">
        <v>6312</v>
      </c>
      <c r="AS1400" s="224" t="s">
        <v>6</v>
      </c>
      <c r="AT1400" s="50" t="s">
        <v>266</v>
      </c>
      <c r="AU1400" s="48">
        <v>8</v>
      </c>
      <c r="AV1400" s="48">
        <v>144</v>
      </c>
      <c r="AW1400" s="48">
        <v>120</v>
      </c>
      <c r="AX1400" s="48">
        <v>26</v>
      </c>
      <c r="AY1400" s="48" t="s">
        <v>267</v>
      </c>
      <c r="AZ1400" s="48" t="s">
        <v>2253</v>
      </c>
      <c r="BA1400" s="48">
        <v>3</v>
      </c>
      <c r="BB1400" s="47" t="s">
        <v>2254</v>
      </c>
      <c r="BC1400" s="47" t="s">
        <v>270</v>
      </c>
      <c r="BD1400" s="47" t="s">
        <v>8374</v>
      </c>
      <c r="BE1400" s="48" t="s">
        <v>1712</v>
      </c>
      <c r="BF1400" s="48" t="s">
        <v>272</v>
      </c>
      <c r="BG1400" s="48" t="s">
        <v>272</v>
      </c>
      <c r="BH1400" s="48" t="s">
        <v>2255</v>
      </c>
      <c r="BI1400" s="98">
        <v>9.9999999999999995E-7</v>
      </c>
      <c r="BJ1400" s="98">
        <v>0.08</v>
      </c>
      <c r="BK1400" s="48"/>
      <c r="BL1400" s="98">
        <f t="shared" si="363"/>
        <v>1.5276715824077349</v>
      </c>
      <c r="BM1400" s="48" t="s">
        <v>891</v>
      </c>
      <c r="BN1400" s="233"/>
      <c r="BO1400" s="233"/>
      <c r="BP1400" s="233"/>
      <c r="BQ1400" s="233"/>
      <c r="BR1400" s="233"/>
      <c r="BS1400" s="48"/>
      <c r="BT1400" s="233"/>
      <c r="BU1400" s="228"/>
      <c r="BV1400" s="233"/>
      <c r="BW1400" s="233"/>
      <c r="BX1400" s="233"/>
      <c r="BY1400" s="233"/>
      <c r="BZ1400" s="233"/>
      <c r="CA1400" s="233"/>
      <c r="CB1400" s="233"/>
      <c r="CC1400" s="48"/>
      <c r="CD1400" s="48"/>
      <c r="CE1400" s="48"/>
      <c r="CF1400" s="48"/>
      <c r="CG1400" s="233"/>
      <c r="CH1400" s="48"/>
      <c r="CI1400" s="98"/>
      <c r="CJ1400" s="98"/>
      <c r="CK1400" s="49">
        <f t="shared" si="356"/>
        <v>19.095894780096685</v>
      </c>
      <c r="CL1400" s="229"/>
      <c r="CM1400" s="229"/>
      <c r="CN1400" s="229"/>
      <c r="CO1400" s="47" t="s">
        <v>892</v>
      </c>
      <c r="CP1400" s="47" t="s">
        <v>893</v>
      </c>
      <c r="CQ1400" s="224">
        <v>-0.44394261032263965</v>
      </c>
      <c r="CR1400" s="224">
        <f t="shared" si="370"/>
        <v>2.7793459678869783</v>
      </c>
      <c r="CS1400" s="230" t="s">
        <v>539</v>
      </c>
      <c r="CT1400" s="230"/>
      <c r="CU1400" s="230"/>
      <c r="CV1400" s="335">
        <f t="shared" si="364"/>
        <v>1163.4983711022805</v>
      </c>
      <c r="CW1400" s="230">
        <f t="shared" si="354"/>
        <v>1</v>
      </c>
      <c r="CX1400" s="336" t="s">
        <v>539</v>
      </c>
      <c r="CY1400" s="230" t="s">
        <v>5921</v>
      </c>
    </row>
    <row r="1401" spans="1:103" ht="11.25" customHeight="1" x14ac:dyDescent="0.2">
      <c r="A1401" s="72">
        <v>1399</v>
      </c>
      <c r="B1401" s="224">
        <v>1181</v>
      </c>
      <c r="C1401" s="46" t="s">
        <v>7459</v>
      </c>
      <c r="D1401" s="46"/>
      <c r="E1401" s="114"/>
      <c r="F1401" s="114" t="s">
        <v>3257</v>
      </c>
      <c r="G1401" s="225">
        <v>57837191</v>
      </c>
      <c r="H1401" s="47" t="s">
        <v>3258</v>
      </c>
      <c r="I1401" s="47" t="s">
        <v>3258</v>
      </c>
      <c r="J1401" s="47" t="s">
        <v>3259</v>
      </c>
      <c r="K1401" s="47" t="s">
        <v>3260</v>
      </c>
      <c r="L1401" s="47" t="s">
        <v>6045</v>
      </c>
      <c r="M1401" s="47" t="s">
        <v>6082</v>
      </c>
      <c r="N1401" s="47" t="s">
        <v>6082</v>
      </c>
      <c r="O1401" s="47" t="s">
        <v>6083</v>
      </c>
      <c r="P1401" s="53"/>
      <c r="Q1401" s="53"/>
      <c r="R1401" s="53"/>
      <c r="S1401" s="53"/>
      <c r="T1401" s="48">
        <v>279.33</v>
      </c>
      <c r="U1401" s="98">
        <v>93.079869688182441</v>
      </c>
      <c r="V1401" s="98">
        <v>2.0047971932839297</v>
      </c>
      <c r="W1401" s="98">
        <v>9.7723722095581049</v>
      </c>
      <c r="X1401" s="98">
        <v>93.079869688182441</v>
      </c>
      <c r="Y1401" s="233">
        <v>7.05</v>
      </c>
      <c r="Z1401" s="48">
        <v>1.7</v>
      </c>
      <c r="AA1401" s="48">
        <v>1.71</v>
      </c>
      <c r="AB1401" s="48">
        <v>1.81</v>
      </c>
      <c r="AC1401" s="48">
        <v>0.87380000000000002</v>
      </c>
      <c r="AD1401" s="48">
        <v>1.88</v>
      </c>
      <c r="AE1401" s="48">
        <v>2.15</v>
      </c>
      <c r="AF1401" s="48">
        <f t="shared" si="362"/>
        <v>1.71</v>
      </c>
      <c r="AG1401" s="49">
        <v>2.06</v>
      </c>
      <c r="AH1401" s="98">
        <v>8.0500000000000001E-10</v>
      </c>
      <c r="AI1401" s="98">
        <v>2.9499999999999999E-9</v>
      </c>
      <c r="AJ1401" s="483">
        <f t="shared" si="366"/>
        <v>-7.4827704459447837</v>
      </c>
      <c r="AK1401" s="483">
        <f t="shared" si="369"/>
        <v>-6.918744310334489</v>
      </c>
      <c r="AL1401" s="483">
        <f t="shared" si="365"/>
        <v>-6.918744310334489</v>
      </c>
      <c r="AM1401" s="483">
        <v>-13.054030000000001</v>
      </c>
      <c r="AN1401" s="226">
        <v>-7.18</v>
      </c>
      <c r="AO1401" s="484"/>
      <c r="AP1401" s="484">
        <v>1.41</v>
      </c>
      <c r="AQ1401" s="48" t="s">
        <v>6311</v>
      </c>
      <c r="AR1401" s="48" t="s">
        <v>6312</v>
      </c>
      <c r="AS1401" s="227"/>
      <c r="AT1401" s="50" t="s">
        <v>266</v>
      </c>
      <c r="AU1401" s="48">
        <v>6</v>
      </c>
      <c r="AV1401" s="48">
        <v>120</v>
      </c>
      <c r="AW1401" s="48">
        <v>114</v>
      </c>
      <c r="AX1401" s="48">
        <v>28</v>
      </c>
      <c r="AY1401" s="48" t="s">
        <v>8728</v>
      </c>
      <c r="AZ1401" s="48" t="s">
        <v>1563</v>
      </c>
      <c r="BA1401" s="48">
        <v>32</v>
      </c>
      <c r="BB1401" s="47" t="s">
        <v>2485</v>
      </c>
      <c r="BC1401" s="47" t="s">
        <v>8726</v>
      </c>
      <c r="BD1401" s="47" t="s">
        <v>8374</v>
      </c>
      <c r="BE1401" s="48" t="s">
        <v>2449</v>
      </c>
      <c r="BF1401" s="48" t="s">
        <v>272</v>
      </c>
      <c r="BG1401" s="48" t="s">
        <v>272</v>
      </c>
      <c r="BH1401" s="48" t="s">
        <v>2486</v>
      </c>
      <c r="BI1401" s="98">
        <v>6.3999999999999997E-6</v>
      </c>
      <c r="BJ1401" s="98">
        <v>6.4000000000000001E-2</v>
      </c>
      <c r="BK1401" s="48"/>
      <c r="BL1401" s="98">
        <f t="shared" si="363"/>
        <v>1.5276715824077349</v>
      </c>
      <c r="BM1401" s="47" t="s">
        <v>2487</v>
      </c>
      <c r="BN1401" s="48"/>
      <c r="BO1401" s="48"/>
      <c r="BP1401" s="48"/>
      <c r="BQ1401" s="48"/>
      <c r="BR1401" s="47" t="s">
        <v>2496</v>
      </c>
      <c r="BS1401" s="48"/>
      <c r="BT1401" s="48"/>
      <c r="BU1401" s="228">
        <v>6.3999999999999997E-5</v>
      </c>
      <c r="BV1401" s="48"/>
      <c r="BW1401" s="48"/>
      <c r="BX1401" s="48"/>
      <c r="BY1401" s="48"/>
      <c r="BZ1401" s="48"/>
      <c r="CA1401" s="48"/>
      <c r="CB1401" s="48"/>
      <c r="CC1401" s="48"/>
      <c r="CD1401" s="48"/>
      <c r="CE1401" s="48"/>
      <c r="CF1401" s="48"/>
      <c r="CG1401" s="48"/>
      <c r="CH1401" s="48"/>
      <c r="CI1401" s="98"/>
      <c r="CJ1401" s="98"/>
      <c r="CK1401" s="49">
        <f t="shared" si="356"/>
        <v>23.869868475120857</v>
      </c>
      <c r="CL1401" s="229"/>
      <c r="CM1401" s="229"/>
      <c r="CN1401" s="229"/>
      <c r="CO1401" s="47" t="s">
        <v>2488</v>
      </c>
      <c r="CP1401" s="47" t="s">
        <v>2489</v>
      </c>
      <c r="CQ1401" s="224">
        <v>-0.44394261032263965</v>
      </c>
      <c r="CR1401" s="224">
        <f t="shared" si="370"/>
        <v>2.7793459678869783</v>
      </c>
      <c r="CS1401" s="230" t="s">
        <v>539</v>
      </c>
      <c r="CT1401" s="230"/>
      <c r="CU1401" s="230"/>
      <c r="CV1401" s="335">
        <f t="shared" si="364"/>
        <v>1454.3729638778507</v>
      </c>
      <c r="CW1401" s="230">
        <f t="shared" si="354"/>
        <v>1</v>
      </c>
      <c r="CX1401" s="336"/>
      <c r="CY1401" s="230" t="s">
        <v>5921</v>
      </c>
    </row>
    <row r="1402" spans="1:103" ht="11.25" customHeight="1" x14ac:dyDescent="0.2">
      <c r="A1402" s="72">
        <v>1400</v>
      </c>
      <c r="B1402" s="224">
        <v>1083</v>
      </c>
      <c r="C1402" s="46" t="s">
        <v>1072</v>
      </c>
      <c r="D1402" s="46"/>
      <c r="E1402" s="114"/>
      <c r="F1402" s="114" t="s">
        <v>1073</v>
      </c>
      <c r="G1402" s="225">
        <v>57966957</v>
      </c>
      <c r="H1402" s="47" t="s">
        <v>1074</v>
      </c>
      <c r="I1402" s="47" t="s">
        <v>8136</v>
      </c>
      <c r="J1402" s="47" t="s">
        <v>1075</v>
      </c>
      <c r="K1402" s="47" t="s">
        <v>1076</v>
      </c>
      <c r="L1402" s="47" t="s">
        <v>5248</v>
      </c>
      <c r="M1402" s="47" t="s">
        <v>6082</v>
      </c>
      <c r="N1402" s="47" t="s">
        <v>6082</v>
      </c>
      <c r="O1402" s="47" t="s">
        <v>6083</v>
      </c>
      <c r="P1402" s="53"/>
      <c r="Q1402" s="53"/>
      <c r="R1402" s="53"/>
      <c r="S1402" s="53"/>
      <c r="T1402" s="48">
        <v>198.18</v>
      </c>
      <c r="U1402" s="98">
        <v>4.4908668886870524</v>
      </c>
      <c r="V1402" s="98">
        <v>70.693309112927636</v>
      </c>
      <c r="W1402" s="98">
        <v>7.2443596007498936</v>
      </c>
      <c r="X1402" s="98">
        <v>4.4908668886870524</v>
      </c>
      <c r="Y1402" s="233">
        <v>3.4</v>
      </c>
      <c r="Z1402" s="48">
        <v>4.24</v>
      </c>
      <c r="AA1402" s="48">
        <v>0.59</v>
      </c>
      <c r="AB1402" s="48">
        <v>0.76</v>
      </c>
      <c r="AC1402" s="48">
        <v>0.78900000000000003</v>
      </c>
      <c r="AD1402" s="48">
        <v>0.73</v>
      </c>
      <c r="AE1402" s="48">
        <v>0.67</v>
      </c>
      <c r="AF1402" s="48">
        <f t="shared" si="362"/>
        <v>0.59</v>
      </c>
      <c r="AG1402" s="49">
        <v>0.11</v>
      </c>
      <c r="AH1402" s="98">
        <v>3.3099999999999999E-10</v>
      </c>
      <c r="AI1402" s="98">
        <v>3.3099999999999999E-10</v>
      </c>
      <c r="AJ1402" s="483">
        <f t="shared" si="366"/>
        <v>-7.8687383325369327</v>
      </c>
      <c r="AK1402" s="483">
        <f t="shared" si="369"/>
        <v>-7.8687383325369327</v>
      </c>
      <c r="AL1402" s="483">
        <f t="shared" si="365"/>
        <v>-7.8687383325369327</v>
      </c>
      <c r="AM1402" s="483">
        <v>-14.604329999999999</v>
      </c>
      <c r="AN1402" s="226">
        <v>-7.58</v>
      </c>
      <c r="AO1402" s="484">
        <v>5.59</v>
      </c>
      <c r="AP1402" s="484">
        <v>-1.54</v>
      </c>
      <c r="AQ1402" s="48" t="s">
        <v>6311</v>
      </c>
      <c r="AR1402" s="48" t="s">
        <v>6311</v>
      </c>
      <c r="AS1402" s="227"/>
      <c r="AT1402" s="50" t="s">
        <v>266</v>
      </c>
      <c r="AU1402" s="48">
        <v>6</v>
      </c>
      <c r="AV1402" s="48">
        <v>120</v>
      </c>
      <c r="AW1402" s="48">
        <v>114</v>
      </c>
      <c r="AX1402" s="48">
        <v>28</v>
      </c>
      <c r="AY1402" s="48" t="s">
        <v>8728</v>
      </c>
      <c r="AZ1402" s="48" t="s">
        <v>1563</v>
      </c>
      <c r="BA1402" s="48">
        <v>32</v>
      </c>
      <c r="BB1402" s="47" t="s">
        <v>2485</v>
      </c>
      <c r="BC1402" s="47" t="s">
        <v>8726</v>
      </c>
      <c r="BD1402" s="47" t="s">
        <v>8374</v>
      </c>
      <c r="BE1402" s="48" t="s">
        <v>2449</v>
      </c>
      <c r="BF1402" s="48" t="s">
        <v>272</v>
      </c>
      <c r="BG1402" s="48" t="s">
        <v>272</v>
      </c>
      <c r="BH1402" s="48" t="s">
        <v>2486</v>
      </c>
      <c r="BI1402" s="98">
        <v>6.3999999999999997E-6</v>
      </c>
      <c r="BJ1402" s="98">
        <v>6.4000000000000001E-2</v>
      </c>
      <c r="BK1402" s="48"/>
      <c r="BL1402" s="98">
        <f t="shared" si="363"/>
        <v>7.9956909612284976E-3</v>
      </c>
      <c r="BM1402" s="47" t="s">
        <v>2487</v>
      </c>
      <c r="BN1402" s="48"/>
      <c r="BO1402" s="48"/>
      <c r="BP1402" s="48"/>
      <c r="BQ1402" s="48"/>
      <c r="BR1402" s="47" t="s">
        <v>2496</v>
      </c>
      <c r="BS1402" s="48"/>
      <c r="BT1402" s="48"/>
      <c r="BU1402" s="228">
        <v>6.3999999999999997E-6</v>
      </c>
      <c r="BV1402" s="48"/>
      <c r="BW1402" s="48"/>
      <c r="BX1402" s="48"/>
      <c r="BY1402" s="48"/>
      <c r="BZ1402" s="48"/>
      <c r="CA1402" s="48"/>
      <c r="CB1402" s="48"/>
      <c r="CC1402" s="48"/>
      <c r="CD1402" s="48"/>
      <c r="CE1402" s="48"/>
      <c r="CF1402" s="48"/>
      <c r="CG1402" s="48"/>
      <c r="CH1402" s="48"/>
      <c r="CI1402" s="98"/>
      <c r="CJ1402" s="98"/>
      <c r="CK1402" s="49">
        <f t="shared" si="356"/>
        <v>0.12493267126919527</v>
      </c>
      <c r="CL1402" s="229"/>
      <c r="CM1402" s="229">
        <v>-0.83466182617610174</v>
      </c>
      <c r="CN1402" s="229">
        <f>BJ1402/(10^CM1402)</f>
        <v>0.4373627586206898</v>
      </c>
      <c r="CO1402" s="47" t="s">
        <v>2488</v>
      </c>
      <c r="CP1402" s="47" t="s">
        <v>2489</v>
      </c>
      <c r="CQ1402" s="224">
        <v>-0.67319590762019632</v>
      </c>
      <c r="CR1402" s="224">
        <f t="shared" si="370"/>
        <v>4.7118982935274838</v>
      </c>
      <c r="CS1402" s="230" t="s">
        <v>539</v>
      </c>
      <c r="CT1402" s="230"/>
      <c r="CU1402" s="230"/>
      <c r="CV1402" s="335">
        <f t="shared" si="364"/>
        <v>70.169795135735185</v>
      </c>
      <c r="CW1402" s="230">
        <f t="shared" si="354"/>
        <v>1</v>
      </c>
      <c r="CX1402" s="336"/>
      <c r="CY1402" s="230" t="s">
        <v>5921</v>
      </c>
    </row>
    <row r="1403" spans="1:103" ht="11.25" customHeight="1" x14ac:dyDescent="0.2">
      <c r="A1403" s="72">
        <v>1401</v>
      </c>
      <c r="B1403" s="224">
        <v>1899</v>
      </c>
      <c r="C1403" s="46" t="s">
        <v>1500</v>
      </c>
      <c r="D1403" s="46"/>
      <c r="E1403" s="114"/>
      <c r="F1403" s="114" t="s">
        <v>1501</v>
      </c>
      <c r="G1403" s="225">
        <v>59669260</v>
      </c>
      <c r="H1403" s="47" t="s">
        <v>1502</v>
      </c>
      <c r="I1403" s="47" t="s">
        <v>1502</v>
      </c>
      <c r="J1403" s="47" t="s">
        <v>1503</v>
      </c>
      <c r="K1403" s="47" t="s">
        <v>1504</v>
      </c>
      <c r="L1403" s="47" t="s">
        <v>617</v>
      </c>
      <c r="M1403" s="47" t="s">
        <v>946</v>
      </c>
      <c r="N1403" s="47" t="s">
        <v>6376</v>
      </c>
      <c r="O1403" s="47" t="s">
        <v>918</v>
      </c>
      <c r="P1403" s="53"/>
      <c r="Q1403" s="53"/>
      <c r="R1403" s="53"/>
      <c r="S1403" s="53"/>
      <c r="T1403" s="48">
        <v>354.47</v>
      </c>
      <c r="U1403" s="98">
        <v>9.8738962394560884E-2</v>
      </c>
      <c r="V1403" s="98">
        <v>0.58030298755889065</v>
      </c>
      <c r="W1403" s="98">
        <v>0.54954087385762462</v>
      </c>
      <c r="X1403" s="98">
        <v>9.8738962394560884E-2</v>
      </c>
      <c r="Y1403" s="233">
        <v>7</v>
      </c>
      <c r="Z1403" s="48">
        <v>1.91</v>
      </c>
      <c r="AA1403" s="48">
        <v>1.7</v>
      </c>
      <c r="AB1403" s="48">
        <v>2.17</v>
      </c>
      <c r="AC1403" s="48">
        <v>0.85609999999999997</v>
      </c>
      <c r="AD1403" s="48">
        <v>1.99</v>
      </c>
      <c r="AE1403" s="48">
        <v>1.52</v>
      </c>
      <c r="AF1403" s="48">
        <f t="shared" si="362"/>
        <v>1.7</v>
      </c>
      <c r="AG1403" s="49">
        <v>1.96</v>
      </c>
      <c r="AH1403" s="98">
        <v>9.7800000000000001E-11</v>
      </c>
      <c r="AI1403" s="98">
        <v>9.33E-7</v>
      </c>
      <c r="AJ1403" s="483">
        <f t="shared" si="366"/>
        <v>-8.3982274715250504</v>
      </c>
      <c r="AK1403" s="483">
        <f t="shared" si="369"/>
        <v>-4.4186846825661519</v>
      </c>
      <c r="AL1403" s="483">
        <f t="shared" si="365"/>
        <v>-4.4186846825661519</v>
      </c>
      <c r="AM1403" s="483">
        <v>-16.876429999999999</v>
      </c>
      <c r="AN1403" s="226">
        <v>-10</v>
      </c>
      <c r="AO1403" s="484"/>
      <c r="AP1403" s="484">
        <v>-1.79</v>
      </c>
      <c r="AQ1403" s="226" t="s">
        <v>6311</v>
      </c>
      <c r="AR1403" s="226" t="s">
        <v>6311</v>
      </c>
      <c r="AS1403" s="224"/>
      <c r="AT1403" s="50" t="s">
        <v>266</v>
      </c>
      <c r="AU1403" s="48">
        <v>6</v>
      </c>
      <c r="AV1403" s="48">
        <v>120</v>
      </c>
      <c r="AW1403" s="48">
        <v>114</v>
      </c>
      <c r="AX1403" s="48">
        <v>28</v>
      </c>
      <c r="AY1403" s="48" t="s">
        <v>8728</v>
      </c>
      <c r="AZ1403" s="48" t="s">
        <v>1563</v>
      </c>
      <c r="BA1403" s="48">
        <v>32</v>
      </c>
      <c r="BB1403" s="47" t="s">
        <v>2485</v>
      </c>
      <c r="BC1403" s="47" t="s">
        <v>8726</v>
      </c>
      <c r="BD1403" s="47" t="s">
        <v>8374</v>
      </c>
      <c r="BE1403" s="48" t="s">
        <v>2449</v>
      </c>
      <c r="BF1403" s="48" t="s">
        <v>272</v>
      </c>
      <c r="BG1403" s="48" t="s">
        <v>272</v>
      </c>
      <c r="BH1403" s="48" t="s">
        <v>2486</v>
      </c>
      <c r="BI1403" s="98">
        <v>6.3999999999999997E-6</v>
      </c>
      <c r="BJ1403" s="98">
        <v>6.4000000000000001E-2</v>
      </c>
      <c r="BK1403" s="48"/>
      <c r="BL1403" s="98">
        <f t="shared" si="363"/>
        <v>0.98953007876306398</v>
      </c>
      <c r="BM1403" s="47" t="s">
        <v>2487</v>
      </c>
      <c r="BN1403" s="48"/>
      <c r="BO1403" s="48"/>
      <c r="BP1403" s="48"/>
      <c r="BQ1403" s="48"/>
      <c r="BR1403" s="47" t="s">
        <v>2496</v>
      </c>
      <c r="BS1403" s="48"/>
      <c r="BT1403" s="48"/>
      <c r="BU1403" s="228"/>
      <c r="BV1403" s="48"/>
      <c r="BW1403" s="48"/>
      <c r="BX1403" s="48"/>
      <c r="BY1403" s="48"/>
      <c r="BZ1403" s="48"/>
      <c r="CA1403" s="48"/>
      <c r="CB1403" s="48"/>
      <c r="CC1403" s="48"/>
      <c r="CD1403" s="48"/>
      <c r="CE1403" s="48"/>
      <c r="CF1403" s="48"/>
      <c r="CG1403" s="48"/>
      <c r="CH1403" s="48"/>
      <c r="CI1403" s="52" t="s">
        <v>6347</v>
      </c>
      <c r="CJ1403" s="98"/>
      <c r="CK1403" s="49">
        <f t="shared" si="356"/>
        <v>15.461407480672875</v>
      </c>
      <c r="CL1403" s="229"/>
      <c r="CM1403" s="229">
        <v>-2.4263301948594678</v>
      </c>
      <c r="CN1403" s="229">
        <f>BJ1403/(10^CM1403)</f>
        <v>17.080877138283984</v>
      </c>
      <c r="CO1403" s="47" t="s">
        <v>2488</v>
      </c>
      <c r="CP1403" s="47" t="s">
        <v>2489</v>
      </c>
      <c r="CQ1403" s="224">
        <v>-2.2881402599676766</v>
      </c>
      <c r="CR1403" s="224">
        <f t="shared" si="370"/>
        <v>194.15128083185328</v>
      </c>
      <c r="CS1403" s="230" t="s">
        <v>539</v>
      </c>
      <c r="CT1403" s="230"/>
      <c r="CU1403" s="230"/>
      <c r="CV1403" s="335">
        <f t="shared" si="364"/>
        <v>1.5427962874150138</v>
      </c>
      <c r="CW1403" s="230">
        <f t="shared" si="354"/>
        <v>1</v>
      </c>
      <c r="CX1403" s="336"/>
      <c r="CY1403" s="230" t="s">
        <v>5921</v>
      </c>
    </row>
    <row r="1404" spans="1:103" ht="11.25" customHeight="1" x14ac:dyDescent="0.2">
      <c r="A1404" s="72">
        <v>1402</v>
      </c>
      <c r="B1404" s="224">
        <v>1659</v>
      </c>
      <c r="C1404" s="46" t="s">
        <v>1155</v>
      </c>
      <c r="D1404" s="46"/>
      <c r="E1404" s="114"/>
      <c r="F1404" s="114" t="s">
        <v>1156</v>
      </c>
      <c r="G1404" s="225">
        <v>60168889</v>
      </c>
      <c r="H1404" s="47" t="s">
        <v>1157</v>
      </c>
      <c r="I1404" s="47" t="s">
        <v>8137</v>
      </c>
      <c r="J1404" s="47" t="s">
        <v>1158</v>
      </c>
      <c r="K1404" s="47" t="s">
        <v>306</v>
      </c>
      <c r="L1404" s="47" t="s">
        <v>5978</v>
      </c>
      <c r="M1404" s="47" t="s">
        <v>6082</v>
      </c>
      <c r="N1404" s="47" t="s">
        <v>6082</v>
      </c>
      <c r="O1404" s="47" t="s">
        <v>6083</v>
      </c>
      <c r="P1404" s="53"/>
      <c r="Q1404" s="53"/>
      <c r="R1404" s="53"/>
      <c r="S1404" s="53"/>
      <c r="T1404" s="48">
        <v>331.2</v>
      </c>
      <c r="U1404" s="98">
        <v>4.2270531400966184E-2</v>
      </c>
      <c r="V1404" s="98">
        <v>6.6123188405797104E-2</v>
      </c>
      <c r="W1404" s="98">
        <v>6.4565422903465383E-2</v>
      </c>
      <c r="X1404" s="98">
        <v>4.2270531400966184E-2</v>
      </c>
      <c r="Y1404" s="233">
        <v>6.98</v>
      </c>
      <c r="Z1404" s="48">
        <v>3.62</v>
      </c>
      <c r="AA1404" s="48">
        <v>3.6</v>
      </c>
      <c r="AB1404" s="48">
        <v>2.91</v>
      </c>
      <c r="AC1404" s="48">
        <v>0.7964</v>
      </c>
      <c r="AD1404" s="48">
        <v>3</v>
      </c>
      <c r="AE1404" s="48">
        <v>3.23</v>
      </c>
      <c r="AF1404" s="48">
        <f t="shared" si="362"/>
        <v>3.6</v>
      </c>
      <c r="AG1404" s="49">
        <v>3.71</v>
      </c>
      <c r="AH1404" s="98">
        <v>4.2100000000000002E-13</v>
      </c>
      <c r="AI1404" s="98">
        <v>6.9999999999999998E-9</v>
      </c>
      <c r="AJ1404" s="483">
        <f t="shared" si="366"/>
        <v>-10.764284230476983</v>
      </c>
      <c r="AK1404" s="483">
        <f t="shared" si="369"/>
        <v>-6.5434682862983946</v>
      </c>
      <c r="AL1404" s="483">
        <f t="shared" si="365"/>
        <v>-6.5434682862983946</v>
      </c>
      <c r="AM1404" s="483">
        <v>-15.724299999999999</v>
      </c>
      <c r="AN1404" s="226">
        <v>-7.91</v>
      </c>
      <c r="AO1404" s="484">
        <v>11.23</v>
      </c>
      <c r="AP1404" s="484">
        <v>1.67</v>
      </c>
      <c r="AQ1404" s="226" t="s">
        <v>6311</v>
      </c>
      <c r="AR1404" s="226" t="s">
        <v>6311</v>
      </c>
      <c r="AS1404" s="224"/>
      <c r="AT1404" s="50" t="s">
        <v>266</v>
      </c>
      <c r="AU1404" s="48">
        <v>6</v>
      </c>
      <c r="AV1404" s="48">
        <v>120</v>
      </c>
      <c r="AW1404" s="48">
        <v>114</v>
      </c>
      <c r="AX1404" s="48">
        <v>28</v>
      </c>
      <c r="AY1404" s="48" t="s">
        <v>8728</v>
      </c>
      <c r="AZ1404" s="48" t="s">
        <v>1563</v>
      </c>
      <c r="BA1404" s="48">
        <v>32</v>
      </c>
      <c r="BB1404" s="47" t="s">
        <v>2485</v>
      </c>
      <c r="BC1404" s="47" t="s">
        <v>8726</v>
      </c>
      <c r="BD1404" s="47" t="s">
        <v>8374</v>
      </c>
      <c r="BE1404" s="48" t="s">
        <v>2449</v>
      </c>
      <c r="BF1404" s="48" t="s">
        <v>272</v>
      </c>
      <c r="BG1404" s="48" t="s">
        <v>272</v>
      </c>
      <c r="BH1404" s="48" t="s">
        <v>2486</v>
      </c>
      <c r="BI1404" s="98">
        <v>6.3999999999999997E-6</v>
      </c>
      <c r="BJ1404" s="98">
        <v>6.4000000000000001E-2</v>
      </c>
      <c r="BK1404" s="48"/>
      <c r="BL1404" s="98">
        <f t="shared" si="363"/>
        <v>2.8818939812396395E-2</v>
      </c>
      <c r="BM1404" s="47" t="s">
        <v>2487</v>
      </c>
      <c r="BN1404" s="48"/>
      <c r="BO1404" s="48"/>
      <c r="BP1404" s="48"/>
      <c r="BQ1404" s="48"/>
      <c r="BR1404" s="47" t="s">
        <v>2496</v>
      </c>
      <c r="BS1404" s="48"/>
      <c r="BT1404" s="48"/>
      <c r="BU1404" s="228"/>
      <c r="BV1404" s="48"/>
      <c r="BW1404" s="48"/>
      <c r="BX1404" s="48"/>
      <c r="BY1404" s="48"/>
      <c r="BZ1404" s="48"/>
      <c r="CA1404" s="48"/>
      <c r="CB1404" s="48"/>
      <c r="CC1404" s="48"/>
      <c r="CD1404" s="48"/>
      <c r="CE1404" s="48"/>
      <c r="CF1404" s="48"/>
      <c r="CG1404" s="48"/>
      <c r="CH1404" s="48"/>
      <c r="CI1404" s="98"/>
      <c r="CJ1404" s="98"/>
      <c r="CK1404" s="49">
        <f t="shared" si="356"/>
        <v>0.45029593456869366</v>
      </c>
      <c r="CL1404" s="229"/>
      <c r="CM1404" s="229">
        <v>-2.1982937047078015</v>
      </c>
      <c r="CN1404" s="229">
        <f>BJ1404/(10^CM1404)</f>
        <v>10.103542640789838</v>
      </c>
      <c r="CO1404" s="47" t="s">
        <v>2488</v>
      </c>
      <c r="CP1404" s="47" t="s">
        <v>2489</v>
      </c>
      <c r="CQ1404" s="224">
        <v>-2.1214645421956675</v>
      </c>
      <c r="CR1404" s="224">
        <f t="shared" si="370"/>
        <v>132.27097114805602</v>
      </c>
      <c r="CS1404" s="230" t="s">
        <v>539</v>
      </c>
      <c r="CT1404" s="230"/>
      <c r="CU1404" s="230"/>
      <c r="CV1404" s="335">
        <f t="shared" si="364"/>
        <v>0.66047705314009664</v>
      </c>
      <c r="CW1404" s="230">
        <f t="shared" si="354"/>
        <v>0</v>
      </c>
      <c r="CX1404" s="336"/>
      <c r="CY1404" s="230" t="s">
        <v>5921</v>
      </c>
    </row>
    <row r="1405" spans="1:103" ht="11.25" customHeight="1" x14ac:dyDescent="0.2">
      <c r="A1405" s="72">
        <v>1403</v>
      </c>
      <c r="B1405" s="224">
        <v>1257</v>
      </c>
      <c r="C1405" s="46" t="s">
        <v>1411</v>
      </c>
      <c r="D1405" s="46"/>
      <c r="E1405" s="114"/>
      <c r="F1405" s="114" t="s">
        <v>1412</v>
      </c>
      <c r="G1405" s="225">
        <v>60207901</v>
      </c>
      <c r="H1405" s="47" t="s">
        <v>1413</v>
      </c>
      <c r="I1405" s="47" t="s">
        <v>8138</v>
      </c>
      <c r="J1405" s="47" t="s">
        <v>1414</v>
      </c>
      <c r="K1405" s="47" t="s">
        <v>1112</v>
      </c>
      <c r="L1405" s="47" t="s">
        <v>5990</v>
      </c>
      <c r="M1405" s="47" t="s">
        <v>6082</v>
      </c>
      <c r="N1405" s="47" t="s">
        <v>6082</v>
      </c>
      <c r="O1405" s="47" t="s">
        <v>6083</v>
      </c>
      <c r="P1405" s="53"/>
      <c r="Q1405" s="53"/>
      <c r="R1405" s="53"/>
      <c r="S1405" s="53"/>
      <c r="T1405" s="48">
        <v>342.22</v>
      </c>
      <c r="U1405" s="98">
        <v>0.32143065864064052</v>
      </c>
      <c r="V1405" s="98">
        <v>1.3418268949798372E-2</v>
      </c>
      <c r="W1405" s="98">
        <v>3.0902954325135859E-2</v>
      </c>
      <c r="X1405" s="98">
        <v>0.32143065864064052</v>
      </c>
      <c r="Y1405" s="233">
        <v>7.01</v>
      </c>
      <c r="Z1405" s="48">
        <v>4.13</v>
      </c>
      <c r="AA1405" s="48">
        <v>3.72</v>
      </c>
      <c r="AB1405" s="48">
        <v>3.46</v>
      </c>
      <c r="AC1405" s="48">
        <v>0.93130000000000002</v>
      </c>
      <c r="AD1405" s="48">
        <v>3.52</v>
      </c>
      <c r="AE1405" s="48">
        <v>3.88</v>
      </c>
      <c r="AF1405" s="48">
        <f t="shared" si="362"/>
        <v>3.72</v>
      </c>
      <c r="AG1405" s="49">
        <v>3.83</v>
      </c>
      <c r="AH1405" s="98">
        <v>1.3600000000000001E-9</v>
      </c>
      <c r="AI1405" s="98">
        <v>1.7200000000000001E-9</v>
      </c>
      <c r="AJ1405" s="483">
        <f t="shared" si="366"/>
        <v>-7.2550274179424346</v>
      </c>
      <c r="AK1405" s="483">
        <f t="shared" si="369"/>
        <v>-7.1530378794051028</v>
      </c>
      <c r="AL1405" s="483">
        <f t="shared" si="365"/>
        <v>-7.1530378794051028</v>
      </c>
      <c r="AM1405" s="483">
        <v>-12.879819999999999</v>
      </c>
      <c r="AN1405" s="226">
        <v>-8.26</v>
      </c>
      <c r="AO1405" s="484"/>
      <c r="AP1405" s="484">
        <v>2.94</v>
      </c>
      <c r="AQ1405" s="48" t="s">
        <v>6311</v>
      </c>
      <c r="AR1405" s="48" t="s">
        <v>6311</v>
      </c>
      <c r="AS1405" s="227"/>
      <c r="AT1405" s="50" t="s">
        <v>266</v>
      </c>
      <c r="AU1405" s="48">
        <v>6</v>
      </c>
      <c r="AV1405" s="48">
        <v>120</v>
      </c>
      <c r="AW1405" s="48">
        <v>114</v>
      </c>
      <c r="AX1405" s="48">
        <v>28</v>
      </c>
      <c r="AY1405" s="48" t="s">
        <v>8728</v>
      </c>
      <c r="AZ1405" s="48" t="s">
        <v>1563</v>
      </c>
      <c r="BA1405" s="48">
        <v>32</v>
      </c>
      <c r="BB1405" s="47" t="s">
        <v>2485</v>
      </c>
      <c r="BC1405" s="47" t="s">
        <v>8726</v>
      </c>
      <c r="BD1405" s="47" t="s">
        <v>8374</v>
      </c>
      <c r="BE1405" s="48" t="s">
        <v>2449</v>
      </c>
      <c r="BF1405" s="48" t="s">
        <v>272</v>
      </c>
      <c r="BG1405" s="48" t="s">
        <v>272</v>
      </c>
      <c r="BH1405" s="48" t="s">
        <v>2486</v>
      </c>
      <c r="BI1405" s="98">
        <v>6.3999999999999997E-6</v>
      </c>
      <c r="BJ1405" s="98">
        <v>6.4000000000000001E-2</v>
      </c>
      <c r="BK1405" s="48"/>
      <c r="BL1405" s="98">
        <f t="shared" si="363"/>
        <v>1.0037995577353173E-2</v>
      </c>
      <c r="BM1405" s="47" t="s">
        <v>2487</v>
      </c>
      <c r="BN1405" s="48"/>
      <c r="BO1405" s="48"/>
      <c r="BP1405" s="48"/>
      <c r="BQ1405" s="48"/>
      <c r="BR1405" s="47" t="s">
        <v>2496</v>
      </c>
      <c r="BS1405" s="48"/>
      <c r="BT1405" s="48"/>
      <c r="BU1405" s="228">
        <v>6.3999999999999997E-6</v>
      </c>
      <c r="BV1405" s="48"/>
      <c r="BW1405" s="48"/>
      <c r="BX1405" s="48"/>
      <c r="BY1405" s="48"/>
      <c r="BZ1405" s="48"/>
      <c r="CA1405" s="48"/>
      <c r="CB1405" s="48"/>
      <c r="CC1405" s="48"/>
      <c r="CD1405" s="48"/>
      <c r="CE1405" s="48"/>
      <c r="CF1405" s="48"/>
      <c r="CG1405" s="48"/>
      <c r="CH1405" s="48"/>
      <c r="CI1405" s="98"/>
      <c r="CJ1405" s="98"/>
      <c r="CK1405" s="49">
        <f t="shared" si="356"/>
        <v>0.15684368089614334</v>
      </c>
      <c r="CL1405" s="229"/>
      <c r="CM1405" s="229">
        <v>-1.9688543831142</v>
      </c>
      <c r="CN1405" s="229">
        <f>BJ1405/(10^CM1405)</f>
        <v>5.9570926830970592</v>
      </c>
      <c r="CO1405" s="47" t="s">
        <v>2488</v>
      </c>
      <c r="CP1405" s="47" t="s">
        <v>2489</v>
      </c>
      <c r="CQ1405" s="224">
        <v>-1.956074768467305</v>
      </c>
      <c r="CR1405" s="224">
        <f t="shared" si="370"/>
        <v>90.380506009343293</v>
      </c>
      <c r="CS1405" s="230" t="s">
        <v>539</v>
      </c>
      <c r="CT1405" s="230"/>
      <c r="CU1405" s="230"/>
      <c r="CV1405" s="335">
        <f t="shared" si="364"/>
        <v>5.0223540412600078</v>
      </c>
      <c r="CW1405" s="230">
        <f t="shared" si="354"/>
        <v>1</v>
      </c>
      <c r="CX1405" s="336"/>
      <c r="CY1405" s="230" t="s">
        <v>5921</v>
      </c>
    </row>
    <row r="1406" spans="1:103" ht="11.25" customHeight="1" x14ac:dyDescent="0.2">
      <c r="A1406" s="72">
        <v>1404</v>
      </c>
      <c r="B1406" s="224">
        <v>1207</v>
      </c>
      <c r="C1406" s="46" t="s">
        <v>7460</v>
      </c>
      <c r="D1406" s="46"/>
      <c r="E1406" s="114"/>
      <c r="F1406" s="114" t="s">
        <v>3327</v>
      </c>
      <c r="G1406" s="225">
        <v>63612500</v>
      </c>
      <c r="H1406" s="47" t="s">
        <v>3328</v>
      </c>
      <c r="I1406" s="47" t="s">
        <v>7815</v>
      </c>
      <c r="J1406" s="47" t="s">
        <v>3329</v>
      </c>
      <c r="K1406" s="47" t="s">
        <v>2039</v>
      </c>
      <c r="L1406" s="47" t="s">
        <v>279</v>
      </c>
      <c r="M1406" s="47" t="s">
        <v>3330</v>
      </c>
      <c r="N1406" s="47"/>
      <c r="O1406" s="47" t="s">
        <v>281</v>
      </c>
      <c r="P1406" s="53"/>
      <c r="Q1406" s="53"/>
      <c r="R1406" s="53"/>
      <c r="S1406" s="53"/>
      <c r="T1406" s="48">
        <v>317.22000000000003</v>
      </c>
      <c r="U1406" s="98"/>
      <c r="V1406" s="98">
        <v>0.28784439820944452</v>
      </c>
      <c r="W1406" s="98">
        <v>0.1737800828749376</v>
      </c>
      <c r="X1406" s="98">
        <f>IF(W1406=0,V1406,W1406)</f>
        <v>0.1737800828749376</v>
      </c>
      <c r="Y1406" s="233">
        <v>5.68</v>
      </c>
      <c r="Z1406" s="48">
        <v>1.92</v>
      </c>
      <c r="AA1406" s="48"/>
      <c r="AB1406" s="48">
        <v>2.25</v>
      </c>
      <c r="AC1406" s="48">
        <v>0.64390000000000003</v>
      </c>
      <c r="AD1406" s="48">
        <v>2.2400000000000002</v>
      </c>
      <c r="AE1406" s="48">
        <v>2.23</v>
      </c>
      <c r="AF1406" s="48">
        <f t="shared" ref="AF1406:AF1437" si="371">IF(AA1406=0,AD1406,AA1406)</f>
        <v>2.2400000000000002</v>
      </c>
      <c r="AG1406" s="49">
        <v>1.44</v>
      </c>
      <c r="AH1406" s="98">
        <v>4.8799999999999997E-10</v>
      </c>
      <c r="AI1406" s="98"/>
      <c r="AJ1406" s="483">
        <f t="shared" si="366"/>
        <v>-7.7001465043099415</v>
      </c>
      <c r="AK1406" s="483"/>
      <c r="AL1406" s="483">
        <f t="shared" si="365"/>
        <v>-7.7001465043099415</v>
      </c>
      <c r="AM1406" s="483">
        <v>-12.98546</v>
      </c>
      <c r="AN1406" s="226">
        <v>-6.13</v>
      </c>
      <c r="AO1406" s="484">
        <v>7.59</v>
      </c>
      <c r="AP1406" s="484">
        <v>-1.34</v>
      </c>
      <c r="AQ1406" s="48" t="s">
        <v>6311</v>
      </c>
      <c r="AR1406" s="48" t="s">
        <v>6311</v>
      </c>
      <c r="AS1406" s="227"/>
      <c r="AT1406" s="50" t="s">
        <v>266</v>
      </c>
      <c r="AU1406" s="48">
        <v>6</v>
      </c>
      <c r="AV1406" s="48">
        <v>120</v>
      </c>
      <c r="AW1406" s="48">
        <v>114</v>
      </c>
      <c r="AX1406" s="48">
        <v>28</v>
      </c>
      <c r="AY1406" s="48" t="s">
        <v>8728</v>
      </c>
      <c r="AZ1406" s="48" t="s">
        <v>1563</v>
      </c>
      <c r="BA1406" s="48">
        <v>32</v>
      </c>
      <c r="BB1406" s="47" t="s">
        <v>2485</v>
      </c>
      <c r="BC1406" s="47" t="s">
        <v>8726</v>
      </c>
      <c r="BD1406" s="47" t="s">
        <v>8374</v>
      </c>
      <c r="BE1406" s="48" t="s">
        <v>2449</v>
      </c>
      <c r="BF1406" s="48" t="s">
        <v>272</v>
      </c>
      <c r="BG1406" s="48" t="s">
        <v>272</v>
      </c>
      <c r="BH1406" s="48" t="s">
        <v>2486</v>
      </c>
      <c r="BI1406" s="98">
        <v>6.3999999999999997E-6</v>
      </c>
      <c r="BJ1406" s="98">
        <v>6.4000000000000001E-2</v>
      </c>
      <c r="BK1406" s="48"/>
      <c r="BL1406" s="98">
        <f t="shared" ref="BL1406:BL1439" si="372">10^((-0.8981*Z1406)+1.7108)</f>
        <v>0.96927720650321159</v>
      </c>
      <c r="BM1406" s="47" t="s">
        <v>2487</v>
      </c>
      <c r="BN1406" s="48"/>
      <c r="BO1406" s="48"/>
      <c r="BP1406" s="48"/>
      <c r="BQ1406" s="48"/>
      <c r="BR1406" s="47" t="s">
        <v>2496</v>
      </c>
      <c r="BS1406" s="48"/>
      <c r="BT1406" s="48"/>
      <c r="BU1406" s="228">
        <v>6.4000000000000005E-4</v>
      </c>
      <c r="BV1406" s="48"/>
      <c r="BW1406" s="48"/>
      <c r="BX1406" s="48"/>
      <c r="BY1406" s="48"/>
      <c r="BZ1406" s="48"/>
      <c r="CA1406" s="48"/>
      <c r="CB1406" s="48"/>
      <c r="CC1406" s="48"/>
      <c r="CD1406" s="48"/>
      <c r="CE1406" s="48"/>
      <c r="CF1406" s="48"/>
      <c r="CG1406" s="48"/>
      <c r="CH1406" s="48"/>
      <c r="CI1406" s="98"/>
      <c r="CJ1406" s="98"/>
      <c r="CK1406" s="49">
        <f t="shared" si="356"/>
        <v>15.144956351612681</v>
      </c>
      <c r="CL1406" s="229"/>
      <c r="CM1406" s="229"/>
      <c r="CN1406" s="229"/>
      <c r="CO1406" s="47" t="s">
        <v>2488</v>
      </c>
      <c r="CP1406" s="47" t="s">
        <v>2489</v>
      </c>
      <c r="CQ1406" s="224" t="s">
        <v>272</v>
      </c>
      <c r="CR1406" s="224"/>
      <c r="CS1406" s="230" t="s">
        <v>539</v>
      </c>
      <c r="CT1406" s="230"/>
      <c r="CU1406" s="230"/>
      <c r="CV1406" s="335">
        <f t="shared" si="364"/>
        <v>2.7153137949208999</v>
      </c>
      <c r="CW1406" s="230">
        <f t="shared" si="354"/>
        <v>1</v>
      </c>
      <c r="CX1406" s="336"/>
      <c r="CY1406" s="230" t="s">
        <v>5921</v>
      </c>
    </row>
    <row r="1407" spans="1:103" ht="11.25" customHeight="1" x14ac:dyDescent="0.2">
      <c r="A1407" s="72">
        <v>1405</v>
      </c>
      <c r="B1407" s="224">
        <v>249</v>
      </c>
      <c r="C1407" s="46" t="s">
        <v>7461</v>
      </c>
      <c r="D1407" s="46"/>
      <c r="E1407" s="114"/>
      <c r="F1407" s="114" t="s">
        <v>3755</v>
      </c>
      <c r="G1407" s="225">
        <v>64902723</v>
      </c>
      <c r="H1407" s="47" t="s">
        <v>3756</v>
      </c>
      <c r="I1407" s="47" t="s">
        <v>8139</v>
      </c>
      <c r="J1407" s="47" t="s">
        <v>3757</v>
      </c>
      <c r="K1407" s="47" t="s">
        <v>1422</v>
      </c>
      <c r="L1407" s="47"/>
      <c r="M1407" s="47"/>
      <c r="N1407" s="47"/>
      <c r="O1407" s="47"/>
      <c r="P1407" s="53"/>
      <c r="Q1407" s="53"/>
      <c r="R1407" s="53"/>
      <c r="S1407" s="53"/>
      <c r="T1407" s="48">
        <v>357.77</v>
      </c>
      <c r="U1407" s="98">
        <v>86.647846381753638</v>
      </c>
      <c r="V1407" s="98">
        <v>0.30438549906364426</v>
      </c>
      <c r="W1407" s="98">
        <v>0.1737800828749376</v>
      </c>
      <c r="X1407" s="98">
        <v>86.647846381753638</v>
      </c>
      <c r="Y1407" s="233">
        <v>3.94</v>
      </c>
      <c r="Z1407" s="48">
        <v>2.2599999999999998</v>
      </c>
      <c r="AA1407" s="48">
        <v>2</v>
      </c>
      <c r="AB1407" s="48">
        <v>1.83</v>
      </c>
      <c r="AC1407" s="48">
        <v>0.79210000000000003</v>
      </c>
      <c r="AD1407" s="48">
        <v>1.92</v>
      </c>
      <c r="AE1407" s="48">
        <v>2.14</v>
      </c>
      <c r="AF1407" s="48">
        <f t="shared" si="371"/>
        <v>2</v>
      </c>
      <c r="AG1407" s="49">
        <v>1.8</v>
      </c>
      <c r="AH1407" s="98">
        <v>8.6500000000000005E-12</v>
      </c>
      <c r="AI1407" s="98">
        <v>3.4199999999999999E-16</v>
      </c>
      <c r="AJ1407" s="483">
        <f t="shared" si="366"/>
        <v>-9.4515502188478369</v>
      </c>
      <c r="AK1407" s="483">
        <f>LOG10(AI1407*1000/(0.08206*298.15))</f>
        <v>-13.854540220256517</v>
      </c>
      <c r="AL1407" s="483">
        <f t="shared" si="365"/>
        <v>-13.854540220256517</v>
      </c>
      <c r="AM1407" s="483">
        <v>-22.71763</v>
      </c>
      <c r="AN1407" s="226">
        <v>-21.4</v>
      </c>
      <c r="AO1407" s="484">
        <v>4.21</v>
      </c>
      <c r="AP1407" s="484">
        <v>2.56</v>
      </c>
      <c r="AQ1407" s="226" t="s">
        <v>6311</v>
      </c>
      <c r="AR1407" s="226" t="s">
        <v>6311</v>
      </c>
      <c r="AS1407" s="224" t="s">
        <v>6</v>
      </c>
      <c r="AT1407" s="50" t="s">
        <v>266</v>
      </c>
      <c r="AU1407" s="48">
        <v>8</v>
      </c>
      <c r="AV1407" s="48">
        <v>144</v>
      </c>
      <c r="AW1407" s="48">
        <v>120</v>
      </c>
      <c r="AX1407" s="48">
        <v>26</v>
      </c>
      <c r="AY1407" s="48" t="s">
        <v>267</v>
      </c>
      <c r="AZ1407" s="48" t="s">
        <v>2253</v>
      </c>
      <c r="BA1407" s="48">
        <v>4</v>
      </c>
      <c r="BB1407" s="47" t="s">
        <v>2254</v>
      </c>
      <c r="BC1407" s="47" t="s">
        <v>270</v>
      </c>
      <c r="BD1407" s="47" t="s">
        <v>8374</v>
      </c>
      <c r="BE1407" s="48" t="s">
        <v>1712</v>
      </c>
      <c r="BF1407" s="48" t="s">
        <v>272</v>
      </c>
      <c r="BG1407" s="48" t="s">
        <v>272</v>
      </c>
      <c r="BH1407" s="48" t="s">
        <v>2255</v>
      </c>
      <c r="BI1407" s="98">
        <v>9.9999999999999995E-7</v>
      </c>
      <c r="BJ1407" s="98">
        <v>0.08</v>
      </c>
      <c r="BK1407" s="48"/>
      <c r="BL1407" s="98">
        <f t="shared" si="372"/>
        <v>0.47983729482089305</v>
      </c>
      <c r="BM1407" s="48" t="s">
        <v>891</v>
      </c>
      <c r="BN1407" s="233"/>
      <c r="BO1407" s="233"/>
      <c r="BP1407" s="233"/>
      <c r="BQ1407" s="233"/>
      <c r="BR1407" s="233"/>
      <c r="BS1407" s="48"/>
      <c r="BT1407" s="233"/>
      <c r="BU1407" s="228"/>
      <c r="BV1407" s="233"/>
      <c r="BW1407" s="233"/>
      <c r="BX1407" s="233"/>
      <c r="BY1407" s="233"/>
      <c r="BZ1407" s="233"/>
      <c r="CA1407" s="233"/>
      <c r="CB1407" s="233"/>
      <c r="CC1407" s="48"/>
      <c r="CD1407" s="48"/>
      <c r="CE1407" s="48"/>
      <c r="CF1407" s="48"/>
      <c r="CG1407" s="233"/>
      <c r="CH1407" s="48"/>
      <c r="CI1407" s="98"/>
      <c r="CJ1407" s="98"/>
      <c r="CK1407" s="49">
        <f t="shared" si="356"/>
        <v>5.9979661852611628</v>
      </c>
      <c r="CL1407" s="229"/>
      <c r="CM1407" s="229"/>
      <c r="CN1407" s="229"/>
      <c r="CO1407" s="47" t="s">
        <v>892</v>
      </c>
      <c r="CP1407" s="47" t="s">
        <v>893</v>
      </c>
      <c r="CQ1407" s="224" t="s">
        <v>272</v>
      </c>
      <c r="CR1407" s="224"/>
      <c r="CS1407" s="230" t="s">
        <v>539</v>
      </c>
      <c r="CT1407" s="230"/>
      <c r="CU1407" s="230"/>
      <c r="CV1407" s="335">
        <f t="shared" si="364"/>
        <v>1083.0980797719205</v>
      </c>
      <c r="CW1407" s="230">
        <f t="shared" ref="CW1407:CW1470" si="373">IF(CV1407&lt;1,0,1)</f>
        <v>1</v>
      </c>
      <c r="CX1407" s="336" t="s">
        <v>539</v>
      </c>
      <c r="CY1407" s="230" t="s">
        <v>5921</v>
      </c>
    </row>
    <row r="1408" spans="1:103" ht="11.25" customHeight="1" x14ac:dyDescent="0.2">
      <c r="A1408" s="72">
        <v>1406</v>
      </c>
      <c r="B1408" s="224">
        <v>1173</v>
      </c>
      <c r="C1408" s="46" t="s">
        <v>7462</v>
      </c>
      <c r="D1408" s="46"/>
      <c r="E1408" s="114"/>
      <c r="F1408" s="114" t="s">
        <v>3235</v>
      </c>
      <c r="G1408" s="225">
        <v>65277421</v>
      </c>
      <c r="H1408" s="47" t="s">
        <v>3236</v>
      </c>
      <c r="I1408" s="47" t="s">
        <v>8140</v>
      </c>
      <c r="J1408" s="47" t="s">
        <v>3237</v>
      </c>
      <c r="K1408" s="47" t="s">
        <v>2536</v>
      </c>
      <c r="L1408" s="47" t="s">
        <v>279</v>
      </c>
      <c r="M1408" s="47" t="s">
        <v>3238</v>
      </c>
      <c r="N1408" s="47"/>
      <c r="O1408" s="47" t="s">
        <v>281</v>
      </c>
      <c r="P1408" s="53"/>
      <c r="Q1408" s="53"/>
      <c r="R1408" s="53"/>
      <c r="S1408" s="53"/>
      <c r="T1408" s="48">
        <v>531.42999999999995</v>
      </c>
      <c r="U1408" s="98"/>
      <c r="V1408" s="98">
        <v>1.6301300265321867E-4</v>
      </c>
      <c r="W1408" s="98">
        <v>0.12302687708123794</v>
      </c>
      <c r="X1408" s="98">
        <f>IF(W1408=0,V1408,W1408)</f>
        <v>0.12302687708123794</v>
      </c>
      <c r="Y1408" s="233">
        <v>8.48</v>
      </c>
      <c r="Z1408" s="48">
        <v>4.45</v>
      </c>
      <c r="AA1408" s="48">
        <v>4.3499999999999996</v>
      </c>
      <c r="AB1408" s="48">
        <v>3.63</v>
      </c>
      <c r="AC1408" s="48">
        <v>0.7722</v>
      </c>
      <c r="AD1408" s="48">
        <v>3.61</v>
      </c>
      <c r="AE1408" s="48">
        <v>3.55</v>
      </c>
      <c r="AF1408" s="48">
        <f t="shared" si="371"/>
        <v>4.3499999999999996</v>
      </c>
      <c r="AG1408" s="49">
        <v>3.78</v>
      </c>
      <c r="AH1408" s="98">
        <v>5.5900000000000002E-20</v>
      </c>
      <c r="AI1408" s="98"/>
      <c r="AJ1408" s="483">
        <f t="shared" si="366"/>
        <v>-17.64115451842623</v>
      </c>
      <c r="AK1408" s="483"/>
      <c r="AL1408" s="483">
        <f t="shared" si="365"/>
        <v>-17.64115451842623</v>
      </c>
      <c r="AM1408" s="483">
        <v>-26.355710000000002</v>
      </c>
      <c r="AN1408" s="226">
        <v>-18.8</v>
      </c>
      <c r="AO1408" s="484"/>
      <c r="AP1408" s="484">
        <v>6.88</v>
      </c>
      <c r="AQ1408" s="48" t="s">
        <v>6311</v>
      </c>
      <c r="AR1408" s="48" t="s">
        <v>6311</v>
      </c>
      <c r="AS1408" s="227"/>
      <c r="AT1408" s="50" t="s">
        <v>266</v>
      </c>
      <c r="AU1408" s="48">
        <v>6</v>
      </c>
      <c r="AV1408" s="48">
        <v>120</v>
      </c>
      <c r="AW1408" s="48">
        <v>114</v>
      </c>
      <c r="AX1408" s="48">
        <v>28</v>
      </c>
      <c r="AY1408" s="48" t="s">
        <v>8728</v>
      </c>
      <c r="AZ1408" s="48" t="s">
        <v>1563</v>
      </c>
      <c r="BA1408" s="48">
        <v>32</v>
      </c>
      <c r="BB1408" s="47" t="s">
        <v>2485</v>
      </c>
      <c r="BC1408" s="47" t="s">
        <v>8726</v>
      </c>
      <c r="BD1408" s="47" t="s">
        <v>8374</v>
      </c>
      <c r="BE1408" s="48" t="s">
        <v>2449</v>
      </c>
      <c r="BF1408" s="48" t="s">
        <v>272</v>
      </c>
      <c r="BG1408" s="48" t="s">
        <v>272</v>
      </c>
      <c r="BH1408" s="48" t="s">
        <v>2486</v>
      </c>
      <c r="BI1408" s="98">
        <v>6.3999999999999997E-6</v>
      </c>
      <c r="BJ1408" s="98">
        <v>6.4000000000000001E-2</v>
      </c>
      <c r="BK1408" s="48"/>
      <c r="BL1408" s="98">
        <f t="shared" si="372"/>
        <v>5.1791083880474015E-3</v>
      </c>
      <c r="BM1408" s="47" t="s">
        <v>2487</v>
      </c>
      <c r="BN1408" s="48"/>
      <c r="BO1408" s="48"/>
      <c r="BP1408" s="48"/>
      <c r="BQ1408" s="48"/>
      <c r="BR1408" s="47" t="s">
        <v>2496</v>
      </c>
      <c r="BS1408" s="48"/>
      <c r="BT1408" s="48"/>
      <c r="BU1408" s="228">
        <v>6.4000000000000005E-4</v>
      </c>
      <c r="BV1408" s="48"/>
      <c r="BW1408" s="48"/>
      <c r="BX1408" s="48"/>
      <c r="BY1408" s="48"/>
      <c r="BZ1408" s="48"/>
      <c r="CA1408" s="48"/>
      <c r="CB1408" s="48"/>
      <c r="CC1408" s="48"/>
      <c r="CD1408" s="48"/>
      <c r="CE1408" s="48"/>
      <c r="CF1408" s="48"/>
      <c r="CG1408" s="48"/>
      <c r="CH1408" s="48"/>
      <c r="CI1408" s="98"/>
      <c r="CJ1408" s="98"/>
      <c r="CK1408" s="49">
        <f t="shared" si="356"/>
        <v>8.092356856324065E-2</v>
      </c>
      <c r="CL1408" s="229"/>
      <c r="CM1408" s="229"/>
      <c r="CN1408" s="229"/>
      <c r="CO1408" s="47" t="s">
        <v>2488</v>
      </c>
      <c r="CP1408" s="47" t="s">
        <v>2489</v>
      </c>
      <c r="CQ1408" s="224" t="s">
        <v>272</v>
      </c>
      <c r="CR1408" s="224"/>
      <c r="CS1408" s="230" t="s">
        <v>539</v>
      </c>
      <c r="CT1408" s="230"/>
      <c r="CU1408" s="230"/>
      <c r="CV1408" s="335">
        <f t="shared" si="364"/>
        <v>1.9222949543943428</v>
      </c>
      <c r="CW1408" s="230">
        <f t="shared" si="373"/>
        <v>1</v>
      </c>
      <c r="CX1408" s="336"/>
      <c r="CY1408" s="230" t="s">
        <v>5921</v>
      </c>
    </row>
    <row r="1409" spans="1:103" ht="11.25" customHeight="1" x14ac:dyDescent="0.2">
      <c r="A1409" s="72">
        <v>1407</v>
      </c>
      <c r="B1409" s="224">
        <v>274</v>
      </c>
      <c r="C1409" s="46" t="s">
        <v>7463</v>
      </c>
      <c r="D1409" s="46"/>
      <c r="E1409" s="114"/>
      <c r="F1409" s="114" t="s">
        <v>3790</v>
      </c>
      <c r="G1409" s="225">
        <v>66215278</v>
      </c>
      <c r="H1409" s="47" t="s">
        <v>3791</v>
      </c>
      <c r="I1409" s="47" t="s">
        <v>3791</v>
      </c>
      <c r="J1409" s="47" t="s">
        <v>3792</v>
      </c>
      <c r="K1409" s="47" t="s">
        <v>3793</v>
      </c>
      <c r="L1409" s="47" t="s">
        <v>617</v>
      </c>
      <c r="M1409" s="47" t="s">
        <v>3794</v>
      </c>
      <c r="N1409" s="47"/>
      <c r="O1409" s="47" t="s">
        <v>918</v>
      </c>
      <c r="P1409" s="53"/>
      <c r="Q1409" s="53"/>
      <c r="R1409" s="53"/>
      <c r="S1409" s="53"/>
      <c r="T1409" s="48">
        <v>166.18</v>
      </c>
      <c r="U1409" s="98">
        <v>78.228427006860031</v>
      </c>
      <c r="V1409" s="98">
        <v>58.183896979179202</v>
      </c>
      <c r="W1409" s="98">
        <v>7.2443596007498936</v>
      </c>
      <c r="X1409" s="98">
        <v>78.228427006860031</v>
      </c>
      <c r="Y1409" s="233">
        <v>8.82</v>
      </c>
      <c r="Z1409" s="48">
        <v>0.96</v>
      </c>
      <c r="AA1409" s="48"/>
      <c r="AB1409" s="48">
        <v>0.37</v>
      </c>
      <c r="AC1409" s="48">
        <v>0.76300000000000001</v>
      </c>
      <c r="AD1409" s="48">
        <v>0.24</v>
      </c>
      <c r="AE1409" s="48">
        <v>-0.04</v>
      </c>
      <c r="AF1409" s="48">
        <f t="shared" si="371"/>
        <v>0.24</v>
      </c>
      <c r="AG1409" s="49">
        <v>-0.1</v>
      </c>
      <c r="AH1409" s="98">
        <v>3.2299999999999999E-13</v>
      </c>
      <c r="AI1409" s="98">
        <v>5.6499999999999999E-14</v>
      </c>
      <c r="AJ1409" s="483">
        <f t="shared" si="366"/>
        <v>-10.879363803981549</v>
      </c>
      <c r="AK1409" s="483">
        <f t="shared" ref="AK1409:AK1416" si="374">LOG10(AI1409*1000/(0.08206*298.15))</f>
        <v>-11.636517878493214</v>
      </c>
      <c r="AL1409" s="483">
        <f t="shared" si="365"/>
        <v>-11.636517878493214</v>
      </c>
      <c r="AM1409" s="483">
        <v>-14.649339999999999</v>
      </c>
      <c r="AN1409" s="226">
        <v>-12.7</v>
      </c>
      <c r="AO1409" s="484"/>
      <c r="AP1409" s="484">
        <v>5.44</v>
      </c>
      <c r="AQ1409" s="226" t="s">
        <v>6311</v>
      </c>
      <c r="AR1409" s="226" t="s">
        <v>6311</v>
      </c>
      <c r="AS1409" s="224" t="s">
        <v>6</v>
      </c>
      <c r="AT1409" s="50" t="s">
        <v>266</v>
      </c>
      <c r="AU1409" s="48">
        <v>8</v>
      </c>
      <c r="AV1409" s="48">
        <v>144</v>
      </c>
      <c r="AW1409" s="48">
        <v>120</v>
      </c>
      <c r="AX1409" s="48">
        <v>26</v>
      </c>
      <c r="AY1409" s="48" t="s">
        <v>267</v>
      </c>
      <c r="AZ1409" s="48" t="s">
        <v>2253</v>
      </c>
      <c r="BA1409" s="48">
        <v>2</v>
      </c>
      <c r="BB1409" s="47" t="s">
        <v>2254</v>
      </c>
      <c r="BC1409" s="47" t="s">
        <v>270</v>
      </c>
      <c r="BD1409" s="47" t="s">
        <v>8374</v>
      </c>
      <c r="BE1409" s="48" t="s">
        <v>1712</v>
      </c>
      <c r="BF1409" s="48" t="s">
        <v>272</v>
      </c>
      <c r="BG1409" s="48" t="s">
        <v>272</v>
      </c>
      <c r="BH1409" s="48" t="s">
        <v>2255</v>
      </c>
      <c r="BI1409" s="98">
        <v>9.9999999999999995E-7</v>
      </c>
      <c r="BJ1409" s="98">
        <v>0.08</v>
      </c>
      <c r="BK1409" s="48"/>
      <c r="BL1409" s="98">
        <f t="shared" si="372"/>
        <v>7.057063089426495</v>
      </c>
      <c r="BM1409" s="48" t="s">
        <v>891</v>
      </c>
      <c r="BN1409" s="233"/>
      <c r="BO1409" s="233"/>
      <c r="BP1409" s="233"/>
      <c r="BQ1409" s="233"/>
      <c r="BR1409" s="233"/>
      <c r="BS1409" s="48"/>
      <c r="BT1409" s="233"/>
      <c r="BU1409" s="228"/>
      <c r="BV1409" s="233"/>
      <c r="BW1409" s="233"/>
      <c r="BX1409" s="233"/>
      <c r="BY1409" s="233"/>
      <c r="BZ1409" s="233"/>
      <c r="CA1409" s="233"/>
      <c r="CB1409" s="233"/>
      <c r="CC1409" s="48"/>
      <c r="CD1409" s="48"/>
      <c r="CE1409" s="48"/>
      <c r="CF1409" s="48"/>
      <c r="CG1409" s="233"/>
      <c r="CH1409" s="48"/>
      <c r="CI1409" s="98"/>
      <c r="CJ1409" s="98"/>
      <c r="CK1409" s="49">
        <f t="shared" si="356"/>
        <v>88.213288617831182</v>
      </c>
      <c r="CL1409" s="229"/>
      <c r="CM1409" s="229"/>
      <c r="CN1409" s="229"/>
      <c r="CO1409" s="47" t="s">
        <v>892</v>
      </c>
      <c r="CP1409" s="47" t="s">
        <v>893</v>
      </c>
      <c r="CQ1409" s="224" t="s">
        <v>272</v>
      </c>
      <c r="CR1409" s="224"/>
      <c r="CS1409" s="230" t="s">
        <v>539</v>
      </c>
      <c r="CT1409" s="230"/>
      <c r="CU1409" s="230"/>
      <c r="CV1409" s="335">
        <f t="shared" si="364"/>
        <v>977.85533758575036</v>
      </c>
      <c r="CW1409" s="230">
        <f t="shared" si="373"/>
        <v>1</v>
      </c>
      <c r="CX1409" s="336" t="s">
        <v>539</v>
      </c>
      <c r="CY1409" s="230" t="s">
        <v>5921</v>
      </c>
    </row>
    <row r="1410" spans="1:103" ht="11.25" customHeight="1" x14ac:dyDescent="0.2">
      <c r="A1410" s="72">
        <v>1408</v>
      </c>
      <c r="B1410" s="224">
        <v>1576</v>
      </c>
      <c r="C1410" s="46" t="s">
        <v>7463</v>
      </c>
      <c r="D1410" s="46"/>
      <c r="E1410" s="114"/>
      <c r="F1410" s="114" t="s">
        <v>3790</v>
      </c>
      <c r="G1410" s="225">
        <v>66215278</v>
      </c>
      <c r="H1410" s="47" t="s">
        <v>3791</v>
      </c>
      <c r="I1410" s="47" t="s">
        <v>3791</v>
      </c>
      <c r="J1410" s="47" t="s">
        <v>3792</v>
      </c>
      <c r="K1410" s="47" t="s">
        <v>3793</v>
      </c>
      <c r="L1410" s="47" t="s">
        <v>617</v>
      </c>
      <c r="M1410" s="47" t="s">
        <v>3794</v>
      </c>
      <c r="N1410" s="47"/>
      <c r="O1410" s="47" t="s">
        <v>918</v>
      </c>
      <c r="P1410" s="53"/>
      <c r="Q1410" s="53"/>
      <c r="R1410" s="53"/>
      <c r="S1410" s="53"/>
      <c r="T1410" s="48">
        <v>166.18</v>
      </c>
      <c r="U1410" s="98">
        <v>78.228427006860031</v>
      </c>
      <c r="V1410" s="98">
        <v>58.183896979179202</v>
      </c>
      <c r="W1410" s="98">
        <v>7.2443596007498936</v>
      </c>
      <c r="X1410" s="98">
        <v>78.228427006860031</v>
      </c>
      <c r="Y1410" s="233">
        <v>8.82</v>
      </c>
      <c r="Z1410" s="48">
        <v>0.96</v>
      </c>
      <c r="AA1410" s="48"/>
      <c r="AB1410" s="48">
        <v>0.37</v>
      </c>
      <c r="AC1410" s="48">
        <v>0.76300000000000001</v>
      </c>
      <c r="AD1410" s="48">
        <v>0.24</v>
      </c>
      <c r="AE1410" s="48">
        <v>-0.04</v>
      </c>
      <c r="AF1410" s="48">
        <f t="shared" si="371"/>
        <v>0.24</v>
      </c>
      <c r="AG1410" s="49">
        <v>-0.1</v>
      </c>
      <c r="AH1410" s="98">
        <v>3.2299999999999999E-13</v>
      </c>
      <c r="AI1410" s="98">
        <v>5.6499999999999999E-14</v>
      </c>
      <c r="AJ1410" s="483">
        <f t="shared" si="366"/>
        <v>-10.879363803981549</v>
      </c>
      <c r="AK1410" s="483">
        <f t="shared" si="374"/>
        <v>-11.636517878493214</v>
      </c>
      <c r="AL1410" s="483">
        <f t="shared" si="365"/>
        <v>-11.636517878493214</v>
      </c>
      <c r="AM1410" s="483">
        <v>-14.649339999999999</v>
      </c>
      <c r="AN1410" s="226">
        <v>-12.7</v>
      </c>
      <c r="AO1410" s="484"/>
      <c r="AP1410" s="484">
        <v>5.44</v>
      </c>
      <c r="AQ1410" s="48" t="s">
        <v>6311</v>
      </c>
      <c r="AR1410" s="48" t="s">
        <v>6311</v>
      </c>
      <c r="AS1410" s="227"/>
      <c r="AT1410" s="50" t="s">
        <v>266</v>
      </c>
      <c r="AU1410" s="48">
        <v>6</v>
      </c>
      <c r="AV1410" s="48">
        <v>120</v>
      </c>
      <c r="AW1410" s="48">
        <v>114</v>
      </c>
      <c r="AX1410" s="48">
        <v>28</v>
      </c>
      <c r="AY1410" s="48" t="s">
        <v>8728</v>
      </c>
      <c r="AZ1410" s="48" t="s">
        <v>1563</v>
      </c>
      <c r="BA1410" s="48">
        <v>32</v>
      </c>
      <c r="BB1410" s="47" t="s">
        <v>2485</v>
      </c>
      <c r="BC1410" s="47" t="s">
        <v>8726</v>
      </c>
      <c r="BD1410" s="47" t="s">
        <v>8374</v>
      </c>
      <c r="BE1410" s="48" t="s">
        <v>2449</v>
      </c>
      <c r="BF1410" s="48" t="s">
        <v>272</v>
      </c>
      <c r="BG1410" s="48" t="s">
        <v>272</v>
      </c>
      <c r="BH1410" s="48" t="s">
        <v>2486</v>
      </c>
      <c r="BI1410" s="98">
        <v>6.3999999999999997E-6</v>
      </c>
      <c r="BJ1410" s="98">
        <v>6.4000000000000001E-2</v>
      </c>
      <c r="BK1410" s="48"/>
      <c r="BL1410" s="98">
        <f t="shared" si="372"/>
        <v>7.057063089426495</v>
      </c>
      <c r="BM1410" s="47" t="s">
        <v>2487</v>
      </c>
      <c r="BN1410" s="48"/>
      <c r="BO1410" s="48"/>
      <c r="BP1410" s="48"/>
      <c r="BQ1410" s="48"/>
      <c r="BR1410" s="47" t="s">
        <v>2496</v>
      </c>
      <c r="BS1410" s="48"/>
      <c r="BT1410" s="48"/>
      <c r="BU1410" s="228"/>
      <c r="BV1410" s="48"/>
      <c r="BW1410" s="48"/>
      <c r="BX1410" s="48"/>
      <c r="BY1410" s="48"/>
      <c r="BZ1410" s="48"/>
      <c r="CA1410" s="48"/>
      <c r="CB1410" s="48"/>
      <c r="CC1410" s="48"/>
      <c r="CD1410" s="48"/>
      <c r="CE1410" s="48"/>
      <c r="CF1410" s="48"/>
      <c r="CG1410" s="48"/>
      <c r="CH1410" s="48"/>
      <c r="CI1410" s="98"/>
      <c r="CJ1410" s="98"/>
      <c r="CK1410" s="49">
        <f t="shared" si="356"/>
        <v>110.26661077228898</v>
      </c>
      <c r="CL1410" s="229"/>
      <c r="CM1410" s="229"/>
      <c r="CN1410" s="229"/>
      <c r="CO1410" s="47" t="s">
        <v>2488</v>
      </c>
      <c r="CP1410" s="47" t="s">
        <v>2489</v>
      </c>
      <c r="CQ1410" s="224" t="s">
        <v>272</v>
      </c>
      <c r="CR1410" s="224"/>
      <c r="CS1410" s="230" t="s">
        <v>539</v>
      </c>
      <c r="CT1410" s="230"/>
      <c r="CU1410" s="230"/>
      <c r="CV1410" s="335">
        <f t="shared" si="364"/>
        <v>1222.319171982188</v>
      </c>
      <c r="CW1410" s="230">
        <f t="shared" si="373"/>
        <v>1</v>
      </c>
      <c r="CX1410" s="336"/>
      <c r="CY1410" s="230" t="s">
        <v>5921</v>
      </c>
    </row>
    <row r="1411" spans="1:103" ht="11.25" customHeight="1" x14ac:dyDescent="0.2">
      <c r="A1411" s="72">
        <v>1409</v>
      </c>
      <c r="B1411" s="224">
        <v>866</v>
      </c>
      <c r="C1411" s="46" t="s">
        <v>2461</v>
      </c>
      <c r="D1411" s="46" t="s">
        <v>6563</v>
      </c>
      <c r="E1411" s="114"/>
      <c r="F1411" s="114" t="s">
        <v>3131</v>
      </c>
      <c r="G1411" s="225">
        <v>66230044</v>
      </c>
      <c r="H1411" s="47" t="s">
        <v>2462</v>
      </c>
      <c r="I1411" s="47" t="s">
        <v>7958</v>
      </c>
      <c r="J1411" s="47" t="s">
        <v>2463</v>
      </c>
      <c r="K1411" s="47" t="s">
        <v>1711</v>
      </c>
      <c r="L1411" s="237" t="s">
        <v>617</v>
      </c>
      <c r="M1411" s="237" t="s">
        <v>1086</v>
      </c>
      <c r="N1411" s="47" t="s">
        <v>6376</v>
      </c>
      <c r="O1411" s="237" t="s">
        <v>918</v>
      </c>
      <c r="P1411" s="53"/>
      <c r="Q1411" s="53" t="s">
        <v>6173</v>
      </c>
      <c r="R1411" s="53" t="s">
        <v>6174</v>
      </c>
      <c r="S1411" s="53" t="s">
        <v>6176</v>
      </c>
      <c r="T1411" s="226">
        <v>419.9</v>
      </c>
      <c r="U1411" s="98">
        <v>4.7630388187663733E-6</v>
      </c>
      <c r="V1411" s="98">
        <v>1.4527268397237439E-5</v>
      </c>
      <c r="W1411" s="98">
        <v>6.1659500186148089E-5</v>
      </c>
      <c r="X1411" s="98">
        <v>4.7630388187663733E-6</v>
      </c>
      <c r="Y1411" s="233">
        <v>7</v>
      </c>
      <c r="Z1411" s="48">
        <v>6.76</v>
      </c>
      <c r="AA1411" s="48">
        <v>6.22</v>
      </c>
      <c r="AB1411" s="48">
        <v>5.98</v>
      </c>
      <c r="AC1411" s="48">
        <v>0.58919999999999995</v>
      </c>
      <c r="AD1411" s="48">
        <v>6.28</v>
      </c>
      <c r="AE1411" s="48">
        <v>6.67</v>
      </c>
      <c r="AF1411" s="48">
        <f t="shared" si="371"/>
        <v>6.22</v>
      </c>
      <c r="AG1411" s="49">
        <v>6.03</v>
      </c>
      <c r="AH1411" s="98">
        <v>1.1899999999999999E-7</v>
      </c>
      <c r="AI1411" s="98">
        <v>3.4499999999999998E-8</v>
      </c>
      <c r="AJ1411" s="483">
        <f t="shared" si="366"/>
        <v>-5.3130193649201214</v>
      </c>
      <c r="AK1411" s="483">
        <f t="shared" si="374"/>
        <v>-5.850747231239378</v>
      </c>
      <c r="AL1411" s="483">
        <f t="shared" si="365"/>
        <v>-5.850747231239378</v>
      </c>
      <c r="AM1411" s="483">
        <v>-16.262410000000003</v>
      </c>
      <c r="AN1411" s="226">
        <v>-6.07</v>
      </c>
      <c r="AO1411" s="484"/>
      <c r="AP1411" s="484"/>
      <c r="AQ1411" s="226" t="s">
        <v>6311</v>
      </c>
      <c r="AR1411" s="226" t="s">
        <v>6312</v>
      </c>
      <c r="AS1411" s="224" t="s">
        <v>6</v>
      </c>
      <c r="AT1411" s="50" t="s">
        <v>266</v>
      </c>
      <c r="AU1411" s="48">
        <v>2</v>
      </c>
      <c r="AV1411" s="48">
        <v>98</v>
      </c>
      <c r="AW1411" s="48">
        <v>96</v>
      </c>
      <c r="AX1411" s="48">
        <v>26</v>
      </c>
      <c r="AY1411" s="48" t="s">
        <v>267</v>
      </c>
      <c r="AZ1411" s="48" t="s">
        <v>536</v>
      </c>
      <c r="BA1411" s="48">
        <v>10</v>
      </c>
      <c r="BB1411" s="47" t="s">
        <v>2458</v>
      </c>
      <c r="BC1411" s="47" t="s">
        <v>2448</v>
      </c>
      <c r="BD1411" s="47"/>
      <c r="BE1411" s="48" t="s">
        <v>1712</v>
      </c>
      <c r="BF1411" s="48"/>
      <c r="BG1411" s="48" t="s">
        <v>540</v>
      </c>
      <c r="BH1411" s="48" t="s">
        <v>2459</v>
      </c>
      <c r="BI1411" s="98"/>
      <c r="BJ1411" s="98">
        <v>1.19E-6</v>
      </c>
      <c r="BK1411" s="48"/>
      <c r="BL1411" s="98">
        <f t="shared" si="372"/>
        <v>4.3615815797067237E-5</v>
      </c>
      <c r="BM1411" s="48" t="s">
        <v>541</v>
      </c>
      <c r="BN1411" s="233"/>
      <c r="BO1411" s="48"/>
      <c r="BP1411" s="48"/>
      <c r="BQ1411" s="48" t="s">
        <v>2460</v>
      </c>
      <c r="BR1411" s="48"/>
      <c r="BS1411" s="48"/>
      <c r="BT1411" s="48"/>
      <c r="BU1411" s="228"/>
      <c r="BV1411" s="48"/>
      <c r="BW1411" s="48"/>
      <c r="BX1411" s="48"/>
      <c r="BY1411" s="48"/>
      <c r="BZ1411" s="48"/>
      <c r="CA1411" s="48"/>
      <c r="CB1411" s="48"/>
      <c r="CC1411" s="48"/>
      <c r="CD1411" s="48"/>
      <c r="CE1411" s="48"/>
      <c r="CF1411" s="48"/>
      <c r="CG1411" s="48"/>
      <c r="CH1411" s="48"/>
      <c r="CI1411" s="98"/>
      <c r="CJ1411" s="98"/>
      <c r="CK1411" s="49">
        <f t="shared" si="356"/>
        <v>36.651946047955661</v>
      </c>
      <c r="CL1411" s="229"/>
      <c r="CM1411" s="229"/>
      <c r="CN1411" s="229"/>
      <c r="CO1411" s="47"/>
      <c r="CP1411" s="47" t="s">
        <v>2450</v>
      </c>
      <c r="CQ1411" s="224">
        <v>-6.2086421552494002</v>
      </c>
      <c r="CR1411" s="224">
        <f>10^(CJ1411-CQ1411)</f>
        <v>1616747.3406147261</v>
      </c>
      <c r="CS1411" s="230" t="s">
        <v>539</v>
      </c>
      <c r="CT1411" s="230"/>
      <c r="CU1411" s="230"/>
      <c r="CV1411" s="335">
        <f t="shared" si="364"/>
        <v>4.0025536292154396</v>
      </c>
      <c r="CW1411" s="230">
        <f t="shared" si="373"/>
        <v>1</v>
      </c>
      <c r="CX1411" s="336" t="s">
        <v>539</v>
      </c>
      <c r="CY1411" s="230" t="s">
        <v>5921</v>
      </c>
    </row>
    <row r="1412" spans="1:103" ht="11.25" customHeight="1" x14ac:dyDescent="0.2">
      <c r="A1412" s="72">
        <v>1410</v>
      </c>
      <c r="B1412" s="224">
        <v>1146</v>
      </c>
      <c r="C1412" s="46" t="s">
        <v>1244</v>
      </c>
      <c r="D1412" s="46"/>
      <c r="E1412" s="114"/>
      <c r="F1412" s="114" t="s">
        <v>1245</v>
      </c>
      <c r="G1412" s="225">
        <v>66332965</v>
      </c>
      <c r="H1412" s="47" t="s">
        <v>1246</v>
      </c>
      <c r="I1412" s="47" t="s">
        <v>1246</v>
      </c>
      <c r="J1412" s="47" t="s">
        <v>1247</v>
      </c>
      <c r="K1412" s="47" t="s">
        <v>471</v>
      </c>
      <c r="L1412" s="47" t="s">
        <v>6123</v>
      </c>
      <c r="M1412" s="47" t="s">
        <v>6082</v>
      </c>
      <c r="N1412" s="47" t="s">
        <v>6082</v>
      </c>
      <c r="O1412" s="47" t="s">
        <v>6083</v>
      </c>
      <c r="P1412" s="53"/>
      <c r="Q1412" s="53"/>
      <c r="R1412" s="53"/>
      <c r="S1412" s="53"/>
      <c r="T1412" s="48">
        <v>323.31</v>
      </c>
      <c r="U1412" s="98">
        <v>2.0197333828214408E-2</v>
      </c>
      <c r="V1412" s="98">
        <v>1.9164269586465003E-2</v>
      </c>
      <c r="W1412" s="98">
        <v>1.0964781961431844E-2</v>
      </c>
      <c r="X1412" s="98">
        <v>2.0197333828214408E-2</v>
      </c>
      <c r="Y1412" s="233">
        <v>7</v>
      </c>
      <c r="Z1412" s="48">
        <v>4.6500000000000004</v>
      </c>
      <c r="AA1412" s="48">
        <v>3.7</v>
      </c>
      <c r="AB1412" s="48">
        <v>4.17</v>
      </c>
      <c r="AC1412" s="48">
        <v>0.85319999999999996</v>
      </c>
      <c r="AD1412" s="48">
        <v>4.0599999999999996</v>
      </c>
      <c r="AE1412" s="48">
        <v>3.7</v>
      </c>
      <c r="AF1412" s="48">
        <f t="shared" si="371"/>
        <v>3.7</v>
      </c>
      <c r="AG1412" s="49">
        <v>4.07</v>
      </c>
      <c r="AH1412" s="98">
        <v>1.1100000000000001E-9</v>
      </c>
      <c r="AI1412" s="98">
        <v>3.1800000000000002E-9</v>
      </c>
      <c r="AJ1412" s="483">
        <f t="shared" si="366"/>
        <v>-7.3432433475259939</v>
      </c>
      <c r="AK1412" s="483">
        <f t="shared" si="374"/>
        <v>-6.8861392063282194</v>
      </c>
      <c r="AL1412" s="483">
        <f t="shared" ref="AL1412:AL1439" si="375">IF(AK1412=0,AJ1412,AK1412)</f>
        <v>-6.8861392063282194</v>
      </c>
      <c r="AM1412" s="483">
        <v>-12.147180000000001</v>
      </c>
      <c r="AN1412" s="226">
        <v>-8.86</v>
      </c>
      <c r="AO1412" s="484">
        <v>12.44</v>
      </c>
      <c r="AP1412" s="484">
        <v>-2.52</v>
      </c>
      <c r="AQ1412" s="48" t="s">
        <v>6311</v>
      </c>
      <c r="AR1412" s="48" t="s">
        <v>6311</v>
      </c>
      <c r="AS1412" s="227"/>
      <c r="AT1412" s="50" t="s">
        <v>266</v>
      </c>
      <c r="AU1412" s="48">
        <v>6</v>
      </c>
      <c r="AV1412" s="48">
        <v>120</v>
      </c>
      <c r="AW1412" s="48">
        <v>114</v>
      </c>
      <c r="AX1412" s="48">
        <v>28</v>
      </c>
      <c r="AY1412" s="48" t="s">
        <v>8728</v>
      </c>
      <c r="AZ1412" s="48" t="s">
        <v>1563</v>
      </c>
      <c r="BA1412" s="48">
        <v>32</v>
      </c>
      <c r="BB1412" s="47" t="s">
        <v>2485</v>
      </c>
      <c r="BC1412" s="47" t="s">
        <v>8726</v>
      </c>
      <c r="BD1412" s="47" t="s">
        <v>8374</v>
      </c>
      <c r="BE1412" s="48" t="s">
        <v>2449</v>
      </c>
      <c r="BF1412" s="48" t="s">
        <v>272</v>
      </c>
      <c r="BG1412" s="48" t="s">
        <v>272</v>
      </c>
      <c r="BH1412" s="48" t="s">
        <v>2486</v>
      </c>
      <c r="BI1412" s="98">
        <v>6.3999999999999997E-6</v>
      </c>
      <c r="BJ1412" s="98">
        <v>6.4000000000000001E-2</v>
      </c>
      <c r="BK1412" s="48"/>
      <c r="BL1412" s="98">
        <f t="shared" si="372"/>
        <v>3.4247983059034789E-3</v>
      </c>
      <c r="BM1412" s="47" t="s">
        <v>2487</v>
      </c>
      <c r="BN1412" s="48"/>
      <c r="BO1412" s="48"/>
      <c r="BP1412" s="48"/>
      <c r="BQ1412" s="48"/>
      <c r="BR1412" s="47" t="s">
        <v>2496</v>
      </c>
      <c r="BS1412" s="48"/>
      <c r="BT1412" s="48"/>
      <c r="BU1412" s="228">
        <v>6.4000000000000003E-3</v>
      </c>
      <c r="BV1412" s="48"/>
      <c r="BW1412" s="48"/>
      <c r="BX1412" s="48"/>
      <c r="BY1412" s="48"/>
      <c r="BZ1412" s="48"/>
      <c r="CA1412" s="48"/>
      <c r="CB1412" s="48"/>
      <c r="CC1412" s="48"/>
      <c r="CD1412" s="48"/>
      <c r="CE1412" s="48"/>
      <c r="CF1412" s="48"/>
      <c r="CG1412" s="48"/>
      <c r="CH1412" s="48"/>
      <c r="CI1412" s="98"/>
      <c r="CJ1412" s="98"/>
      <c r="CK1412" s="49">
        <f t="shared" si="356"/>
        <v>5.3512473529741859E-2</v>
      </c>
      <c r="CL1412" s="229"/>
      <c r="CM1412" s="229">
        <v>-1.8283779002011855</v>
      </c>
      <c r="CN1412" s="229">
        <f>BJ1412/(10^CM1412)</f>
        <v>4.3108000000000004</v>
      </c>
      <c r="CO1412" s="47" t="s">
        <v>2488</v>
      </c>
      <c r="CP1412" s="47" t="s">
        <v>2489</v>
      </c>
      <c r="CQ1412" s="224">
        <v>-1.802801638977495</v>
      </c>
      <c r="CR1412" s="224">
        <f>10^(CJ1412-CQ1412)</f>
        <v>63.504081507061905</v>
      </c>
      <c r="CS1412" s="230" t="s">
        <v>539</v>
      </c>
      <c r="CT1412" s="230"/>
      <c r="CU1412" s="230"/>
      <c r="CV1412" s="335">
        <f t="shared" si="364"/>
        <v>0.31558334106585012</v>
      </c>
      <c r="CW1412" s="230">
        <f t="shared" si="373"/>
        <v>0</v>
      </c>
      <c r="CX1412" s="336"/>
      <c r="CY1412" s="230" t="s">
        <v>5921</v>
      </c>
    </row>
    <row r="1413" spans="1:103" ht="11.25" customHeight="1" x14ac:dyDescent="0.2">
      <c r="A1413" s="72">
        <v>1411</v>
      </c>
      <c r="B1413" s="224">
        <v>1919</v>
      </c>
      <c r="C1413" s="46" t="s">
        <v>1543</v>
      </c>
      <c r="D1413" s="46"/>
      <c r="E1413" s="114"/>
      <c r="F1413" s="114" t="s">
        <v>1544</v>
      </c>
      <c r="G1413" s="225">
        <v>68694111</v>
      </c>
      <c r="H1413" s="47" t="s">
        <v>1545</v>
      </c>
      <c r="I1413" s="47" t="s">
        <v>7883</v>
      </c>
      <c r="J1413" s="47" t="s">
        <v>1546</v>
      </c>
      <c r="K1413" s="47" t="s">
        <v>1064</v>
      </c>
      <c r="L1413" s="47" t="s">
        <v>6168</v>
      </c>
      <c r="M1413" s="47" t="s">
        <v>6082</v>
      </c>
      <c r="N1413" s="47" t="s">
        <v>6082</v>
      </c>
      <c r="O1413" s="47" t="s">
        <v>6083</v>
      </c>
      <c r="P1413" s="53"/>
      <c r="Q1413" s="53"/>
      <c r="R1413" s="53"/>
      <c r="S1413" s="53"/>
      <c r="T1413" s="48">
        <v>345.75</v>
      </c>
      <c r="U1413" s="98">
        <v>36.153289949385396</v>
      </c>
      <c r="V1413" s="98">
        <v>1.2115690527838032</v>
      </c>
      <c r="W1413" s="98">
        <v>3.0199517204020148E-3</v>
      </c>
      <c r="X1413" s="98">
        <v>36.153289949385396</v>
      </c>
      <c r="Y1413" s="233">
        <v>7</v>
      </c>
      <c r="Z1413" s="48">
        <v>1.5</v>
      </c>
      <c r="AA1413" s="48">
        <v>1.4</v>
      </c>
      <c r="AB1413" s="48">
        <v>4.49</v>
      </c>
      <c r="AC1413" s="48">
        <v>0.85199999999999998</v>
      </c>
      <c r="AD1413" s="48">
        <v>4.53</v>
      </c>
      <c r="AE1413" s="48">
        <v>4.66</v>
      </c>
      <c r="AF1413" s="48">
        <f t="shared" si="371"/>
        <v>1.4</v>
      </c>
      <c r="AG1413" s="49">
        <v>3.87</v>
      </c>
      <c r="AH1413" s="98">
        <v>2.34E-7</v>
      </c>
      <c r="AI1413" s="98">
        <v>5.13E-11</v>
      </c>
      <c r="AJ1413" s="483">
        <f t="shared" si="366"/>
        <v>-5.019350468902509</v>
      </c>
      <c r="AK1413" s="483">
        <f t="shared" si="374"/>
        <v>-8.6784489612008358</v>
      </c>
      <c r="AL1413" s="483">
        <f t="shared" si="375"/>
        <v>-8.6784489612008358</v>
      </c>
      <c r="AM1413" s="483">
        <v>-9.3395799999999998</v>
      </c>
      <c r="AN1413" s="226">
        <v>-8.7899999999999991</v>
      </c>
      <c r="AO1413" s="484"/>
      <c r="AP1413" s="484">
        <v>3.21</v>
      </c>
      <c r="AQ1413" s="226" t="s">
        <v>6311</v>
      </c>
      <c r="AR1413" s="226" t="s">
        <v>6311</v>
      </c>
      <c r="AS1413" s="224"/>
      <c r="AT1413" s="50" t="s">
        <v>266</v>
      </c>
      <c r="AU1413" s="48">
        <v>6</v>
      </c>
      <c r="AV1413" s="48">
        <v>120</v>
      </c>
      <c r="AW1413" s="48">
        <v>114</v>
      </c>
      <c r="AX1413" s="48">
        <v>28</v>
      </c>
      <c r="AY1413" s="48" t="s">
        <v>8728</v>
      </c>
      <c r="AZ1413" s="48" t="s">
        <v>1563</v>
      </c>
      <c r="BA1413" s="48">
        <v>32</v>
      </c>
      <c r="BB1413" s="47" t="s">
        <v>2485</v>
      </c>
      <c r="BC1413" s="47" t="s">
        <v>8726</v>
      </c>
      <c r="BD1413" s="47" t="s">
        <v>8374</v>
      </c>
      <c r="BE1413" s="48" t="s">
        <v>2449</v>
      </c>
      <c r="BF1413" s="48" t="s">
        <v>272</v>
      </c>
      <c r="BG1413" s="48" t="s">
        <v>272</v>
      </c>
      <c r="BH1413" s="48" t="s">
        <v>2486</v>
      </c>
      <c r="BI1413" s="98">
        <v>6.3999999999999997E-6</v>
      </c>
      <c r="BJ1413" s="98">
        <v>6.4000000000000001E-2</v>
      </c>
      <c r="BK1413" s="48"/>
      <c r="BL1413" s="98">
        <f t="shared" si="372"/>
        <v>2.3102022367248067</v>
      </c>
      <c r="BM1413" s="47" t="s">
        <v>2487</v>
      </c>
      <c r="BN1413" s="48"/>
      <c r="BO1413" s="48"/>
      <c r="BP1413" s="48"/>
      <c r="BQ1413" s="48"/>
      <c r="BR1413" s="47" t="s">
        <v>2496</v>
      </c>
      <c r="BS1413" s="48"/>
      <c r="BT1413" s="48"/>
      <c r="BU1413" s="228"/>
      <c r="BV1413" s="48"/>
      <c r="BW1413" s="48"/>
      <c r="BX1413" s="48"/>
      <c r="BY1413" s="48"/>
      <c r="BZ1413" s="48"/>
      <c r="CA1413" s="48"/>
      <c r="CB1413" s="48"/>
      <c r="CC1413" s="48"/>
      <c r="CD1413" s="48"/>
      <c r="CE1413" s="48"/>
      <c r="CF1413" s="48"/>
      <c r="CG1413" s="48"/>
      <c r="CH1413" s="48"/>
      <c r="CI1413" s="52" t="s">
        <v>6347</v>
      </c>
      <c r="CJ1413" s="98"/>
      <c r="CK1413" s="49">
        <f t="shared" si="356"/>
        <v>36.096909948825108</v>
      </c>
      <c r="CL1413" s="229"/>
      <c r="CM1413" s="229">
        <v>-2.7753341952184107</v>
      </c>
      <c r="CN1413" s="229">
        <f>BJ1413/(10^CM1413)</f>
        <v>38.151724137931033</v>
      </c>
      <c r="CO1413" s="47" t="s">
        <v>2488</v>
      </c>
      <c r="CP1413" s="47" t="s">
        <v>2489</v>
      </c>
      <c r="CQ1413" s="224">
        <v>-2.6974786964526318</v>
      </c>
      <c r="CR1413" s="224">
        <f>10^(CJ1413-CQ1413)</f>
        <v>498.28601283233598</v>
      </c>
      <c r="CS1413" s="230" t="s">
        <v>539</v>
      </c>
      <c r="CT1413" s="230"/>
      <c r="CU1413" s="230"/>
      <c r="CV1413" s="335">
        <f t="shared" si="364"/>
        <v>564.89515545914685</v>
      </c>
      <c r="CW1413" s="230">
        <f t="shared" si="373"/>
        <v>1</v>
      </c>
      <c r="CX1413" s="336"/>
      <c r="CY1413" s="230" t="s">
        <v>5921</v>
      </c>
    </row>
    <row r="1414" spans="1:103" ht="11.25" customHeight="1" x14ac:dyDescent="0.2">
      <c r="A1414" s="72">
        <v>1412</v>
      </c>
      <c r="B1414" s="224">
        <v>1534</v>
      </c>
      <c r="C1414" s="46" t="s">
        <v>993</v>
      </c>
      <c r="D1414" s="46"/>
      <c r="E1414" s="114"/>
      <c r="F1414" s="114" t="s">
        <v>994</v>
      </c>
      <c r="G1414" s="225">
        <v>69327760</v>
      </c>
      <c r="H1414" s="47" t="s">
        <v>995</v>
      </c>
      <c r="I1414" s="47" t="s">
        <v>995</v>
      </c>
      <c r="J1414" s="47" t="s">
        <v>996</v>
      </c>
      <c r="K1414" s="47" t="s">
        <v>426</v>
      </c>
      <c r="L1414" s="47" t="s">
        <v>617</v>
      </c>
      <c r="M1414" s="47" t="s">
        <v>997</v>
      </c>
      <c r="N1414" s="47"/>
      <c r="O1414" s="47" t="s">
        <v>918</v>
      </c>
      <c r="P1414" s="53"/>
      <c r="Q1414" s="53"/>
      <c r="R1414" s="53"/>
      <c r="S1414" s="53"/>
      <c r="T1414" s="48">
        <v>305.44</v>
      </c>
      <c r="U1414" s="98">
        <v>2.9465688842325827E-3</v>
      </c>
      <c r="V1414" s="98">
        <v>7.9459140911471975E-3</v>
      </c>
      <c r="W1414" s="98">
        <v>4.0738027780411246E-2</v>
      </c>
      <c r="X1414" s="98">
        <v>2.9465688842325827E-3</v>
      </c>
      <c r="Y1414" s="233">
        <v>7.01</v>
      </c>
      <c r="Z1414" s="48">
        <v>4.3</v>
      </c>
      <c r="AA1414" s="48">
        <v>4.3</v>
      </c>
      <c r="AB1414" s="48">
        <v>3.67</v>
      </c>
      <c r="AC1414" s="48">
        <v>0.77549999999999997</v>
      </c>
      <c r="AD1414" s="48">
        <v>3.85</v>
      </c>
      <c r="AE1414" s="48">
        <v>4.29</v>
      </c>
      <c r="AF1414" s="48">
        <f t="shared" si="371"/>
        <v>4.3</v>
      </c>
      <c r="AG1414" s="49">
        <v>4.0199999999999996</v>
      </c>
      <c r="AH1414" s="98">
        <v>8.9500000000000007E-9</v>
      </c>
      <c r="AI1414" s="98">
        <v>4.1999999999999996E-6</v>
      </c>
      <c r="AJ1414" s="483">
        <f t="shared" ref="AJ1414:AJ1439" si="376">LOG10(AH1414*1000/(0.08206*298.15))</f>
        <v>-6.4367432909967395</v>
      </c>
      <c r="AK1414" s="483">
        <f t="shared" si="374"/>
        <v>-3.7653170359147512</v>
      </c>
      <c r="AL1414" s="483">
        <f t="shared" si="375"/>
        <v>-3.7653170359147512</v>
      </c>
      <c r="AM1414" s="483">
        <v>-12.785059999999998</v>
      </c>
      <c r="AN1414" s="226">
        <v>-5.68</v>
      </c>
      <c r="AO1414" s="484"/>
      <c r="AP1414" s="484">
        <v>3.02</v>
      </c>
      <c r="AQ1414" s="48" t="s">
        <v>6311</v>
      </c>
      <c r="AR1414" s="48" t="s">
        <v>6311</v>
      </c>
      <c r="AS1414" s="227"/>
      <c r="AT1414" s="50" t="s">
        <v>266</v>
      </c>
      <c r="AU1414" s="48">
        <v>6</v>
      </c>
      <c r="AV1414" s="48">
        <v>120</v>
      </c>
      <c r="AW1414" s="48">
        <v>114</v>
      </c>
      <c r="AX1414" s="48">
        <v>28</v>
      </c>
      <c r="AY1414" s="48" t="s">
        <v>8728</v>
      </c>
      <c r="AZ1414" s="48" t="s">
        <v>1563</v>
      </c>
      <c r="BA1414" s="48">
        <v>32</v>
      </c>
      <c r="BB1414" s="47" t="s">
        <v>2485</v>
      </c>
      <c r="BC1414" s="47" t="s">
        <v>8726</v>
      </c>
      <c r="BD1414" s="47" t="s">
        <v>8374</v>
      </c>
      <c r="BE1414" s="48" t="s">
        <v>2449</v>
      </c>
      <c r="BF1414" s="48" t="s">
        <v>272</v>
      </c>
      <c r="BG1414" s="48" t="s">
        <v>272</v>
      </c>
      <c r="BH1414" s="48" t="s">
        <v>2486</v>
      </c>
      <c r="BI1414" s="98">
        <v>6.3999999999999997E-6</v>
      </c>
      <c r="BJ1414" s="98">
        <v>6.4000000000000001E-2</v>
      </c>
      <c r="BK1414" s="48"/>
      <c r="BL1414" s="98">
        <f t="shared" si="372"/>
        <v>7.0626876525995306E-3</v>
      </c>
      <c r="BM1414" s="47" t="s">
        <v>2487</v>
      </c>
      <c r="BN1414" s="48"/>
      <c r="BO1414" s="48"/>
      <c r="BP1414" s="48"/>
      <c r="BQ1414" s="48"/>
      <c r="BR1414" s="47" t="s">
        <v>2496</v>
      </c>
      <c r="BS1414" s="48"/>
      <c r="BT1414" s="48"/>
      <c r="BU1414" s="228"/>
      <c r="BV1414" s="48"/>
      <c r="BW1414" s="48"/>
      <c r="BX1414" s="48"/>
      <c r="BY1414" s="48"/>
      <c r="BZ1414" s="48"/>
      <c r="CA1414" s="48"/>
      <c r="CB1414" s="48"/>
      <c r="CC1414" s="48"/>
      <c r="CD1414" s="48"/>
      <c r="CE1414" s="48"/>
      <c r="CF1414" s="48"/>
      <c r="CG1414" s="48"/>
      <c r="CH1414" s="48"/>
      <c r="CI1414" s="52" t="s">
        <v>6347</v>
      </c>
      <c r="CJ1414" s="98"/>
      <c r="CK1414" s="49">
        <f t="shared" ref="CK1414:CK1477" si="377">BL1414/BJ1414</f>
        <v>0.11035449457186766</v>
      </c>
      <c r="CL1414" s="229"/>
      <c r="CM1414" s="229"/>
      <c r="CN1414" s="229"/>
      <c r="CO1414" s="47" t="s">
        <v>2488</v>
      </c>
      <c r="CP1414" s="47" t="s">
        <v>2489</v>
      </c>
      <c r="CQ1414" s="224" t="s">
        <v>272</v>
      </c>
      <c r="CR1414" s="224"/>
      <c r="CS1414" s="230" t="s">
        <v>539</v>
      </c>
      <c r="CT1414" s="230"/>
      <c r="CU1414" s="230"/>
      <c r="CV1414" s="335">
        <f t="shared" si="364"/>
        <v>4.6040138816134106E-2</v>
      </c>
      <c r="CW1414" s="230">
        <f t="shared" si="373"/>
        <v>0</v>
      </c>
      <c r="CX1414" s="336"/>
      <c r="CY1414" s="230" t="s">
        <v>5921</v>
      </c>
    </row>
    <row r="1415" spans="1:103" ht="11.25" customHeight="1" x14ac:dyDescent="0.2">
      <c r="A1415" s="72">
        <v>1413</v>
      </c>
      <c r="B1415" s="224">
        <v>342</v>
      </c>
      <c r="C1415" s="46" t="s">
        <v>7464</v>
      </c>
      <c r="D1415" s="46" t="s">
        <v>7465</v>
      </c>
      <c r="E1415" s="114"/>
      <c r="F1415" s="114" t="s">
        <v>3875</v>
      </c>
      <c r="G1415" s="225">
        <v>69377817</v>
      </c>
      <c r="H1415" s="47" t="s">
        <v>3876</v>
      </c>
      <c r="I1415" s="47" t="s">
        <v>8141</v>
      </c>
      <c r="J1415" s="47" t="s">
        <v>3877</v>
      </c>
      <c r="K1415" s="47" t="s">
        <v>3878</v>
      </c>
      <c r="L1415" s="47"/>
      <c r="M1415" s="47"/>
      <c r="N1415" s="47"/>
      <c r="O1415" s="47"/>
      <c r="P1415" s="53"/>
      <c r="Q1415" s="53"/>
      <c r="R1415" s="53"/>
      <c r="S1415" s="53"/>
      <c r="T1415" s="48">
        <v>255.03</v>
      </c>
      <c r="U1415" s="98">
        <v>0.35682076618437047</v>
      </c>
      <c r="V1415" s="98">
        <v>21.766066737246597</v>
      </c>
      <c r="W1415" s="98">
        <v>2.8183829312644524</v>
      </c>
      <c r="X1415" s="98">
        <v>0.35682076618437047</v>
      </c>
      <c r="Y1415" s="233">
        <v>2.69</v>
      </c>
      <c r="Z1415" s="48">
        <v>1.17</v>
      </c>
      <c r="AA1415" s="48"/>
      <c r="AB1415" s="48">
        <v>1.48</v>
      </c>
      <c r="AC1415" s="48">
        <v>0.76929999999999998</v>
      </c>
      <c r="AD1415" s="48">
        <v>1.91</v>
      </c>
      <c r="AE1415" s="48">
        <v>3.16</v>
      </c>
      <c r="AF1415" s="48">
        <f t="shared" si="371"/>
        <v>1.91</v>
      </c>
      <c r="AG1415" s="49">
        <v>1.68</v>
      </c>
      <c r="AH1415" s="98">
        <v>4.5400000000000001E-14</v>
      </c>
      <c r="AI1415" s="98">
        <v>1.0499999999999999E-13</v>
      </c>
      <c r="AJ1415" s="483">
        <f t="shared" si="376"/>
        <v>-11.731510473455549</v>
      </c>
      <c r="AK1415" s="483">
        <f t="shared" si="374"/>
        <v>-11.367377027242714</v>
      </c>
      <c r="AL1415" s="483">
        <f t="shared" si="375"/>
        <v>-11.367377027242714</v>
      </c>
      <c r="AM1415" s="483">
        <v>-14.850779999999999</v>
      </c>
      <c r="AN1415" s="226">
        <v>-8.2100000000000009</v>
      </c>
      <c r="AO1415" s="484">
        <v>2.2200000000000002</v>
      </c>
      <c r="AP1415" s="484">
        <v>-1.55</v>
      </c>
      <c r="AQ1415" s="226" t="s">
        <v>6311</v>
      </c>
      <c r="AR1415" s="226" t="s">
        <v>6311</v>
      </c>
      <c r="AS1415" s="224" t="s">
        <v>6</v>
      </c>
      <c r="AT1415" s="50" t="s">
        <v>266</v>
      </c>
      <c r="AU1415" s="48">
        <v>8</v>
      </c>
      <c r="AV1415" s="48">
        <v>144</v>
      </c>
      <c r="AW1415" s="48">
        <v>120</v>
      </c>
      <c r="AX1415" s="48">
        <v>26</v>
      </c>
      <c r="AY1415" s="48" t="s">
        <v>267</v>
      </c>
      <c r="AZ1415" s="48" t="s">
        <v>2253</v>
      </c>
      <c r="BA1415" s="48">
        <v>2</v>
      </c>
      <c r="BB1415" s="47" t="s">
        <v>2254</v>
      </c>
      <c r="BC1415" s="47" t="s">
        <v>270</v>
      </c>
      <c r="BD1415" s="47" t="s">
        <v>8374</v>
      </c>
      <c r="BE1415" s="48" t="s">
        <v>1712</v>
      </c>
      <c r="BF1415" s="48" t="s">
        <v>272</v>
      </c>
      <c r="BG1415" s="48" t="s">
        <v>272</v>
      </c>
      <c r="BH1415" s="48" t="s">
        <v>2255</v>
      </c>
      <c r="BI1415" s="98">
        <v>9.9999999999999995E-7</v>
      </c>
      <c r="BJ1415" s="98">
        <v>0.08</v>
      </c>
      <c r="BK1415" s="48"/>
      <c r="BL1415" s="98">
        <f t="shared" si="372"/>
        <v>4.5711239739827185</v>
      </c>
      <c r="BM1415" s="48" t="s">
        <v>891</v>
      </c>
      <c r="BN1415" s="233"/>
      <c r="BO1415" s="233"/>
      <c r="BP1415" s="233"/>
      <c r="BQ1415" s="233"/>
      <c r="BR1415" s="233"/>
      <c r="BS1415" s="48"/>
      <c r="BT1415" s="233"/>
      <c r="BU1415" s="228"/>
      <c r="BV1415" s="233"/>
      <c r="BW1415" s="233"/>
      <c r="BX1415" s="233"/>
      <c r="BY1415" s="233"/>
      <c r="BZ1415" s="233"/>
      <c r="CA1415" s="233"/>
      <c r="CB1415" s="233"/>
      <c r="CC1415" s="48"/>
      <c r="CD1415" s="48"/>
      <c r="CE1415" s="48"/>
      <c r="CF1415" s="48"/>
      <c r="CG1415" s="233"/>
      <c r="CH1415" s="48"/>
      <c r="CI1415" s="98"/>
      <c r="CJ1415" s="98"/>
      <c r="CK1415" s="49">
        <f t="shared" si="377"/>
        <v>57.139049674783983</v>
      </c>
      <c r="CL1415" s="229"/>
      <c r="CM1415" s="229"/>
      <c r="CN1415" s="229"/>
      <c r="CO1415" s="47" t="s">
        <v>892</v>
      </c>
      <c r="CP1415" s="47" t="s">
        <v>893</v>
      </c>
      <c r="CQ1415" s="224">
        <v>-1.2512552334320901</v>
      </c>
      <c r="CR1415" s="224">
        <f>10^(CJ1415-CQ1415)</f>
        <v>17.834265734265738</v>
      </c>
      <c r="CS1415" s="230" t="s">
        <v>539</v>
      </c>
      <c r="CT1415" s="230"/>
      <c r="CU1415" s="230"/>
      <c r="CV1415" s="335">
        <f t="shared" si="364"/>
        <v>4.4602595773046305</v>
      </c>
      <c r="CW1415" s="230">
        <f t="shared" si="373"/>
        <v>1</v>
      </c>
      <c r="CX1415" s="336" t="s">
        <v>539</v>
      </c>
      <c r="CY1415" s="230" t="s">
        <v>5921</v>
      </c>
    </row>
    <row r="1416" spans="1:103" ht="11.25" customHeight="1" x14ac:dyDescent="0.2">
      <c r="A1416" s="72">
        <v>1414</v>
      </c>
      <c r="B1416" s="224">
        <v>1676</v>
      </c>
      <c r="C1416" s="46" t="s">
        <v>7464</v>
      </c>
      <c r="D1416" s="46" t="s">
        <v>7465</v>
      </c>
      <c r="E1416" s="114"/>
      <c r="F1416" s="114" t="s">
        <v>3875</v>
      </c>
      <c r="G1416" s="225">
        <v>69377817</v>
      </c>
      <c r="H1416" s="47" t="s">
        <v>3876</v>
      </c>
      <c r="I1416" s="47" t="s">
        <v>8141</v>
      </c>
      <c r="J1416" s="47" t="s">
        <v>3877</v>
      </c>
      <c r="K1416" s="47" t="s">
        <v>3878</v>
      </c>
      <c r="L1416" s="47"/>
      <c r="M1416" s="47"/>
      <c r="N1416" s="47"/>
      <c r="O1416" s="47"/>
      <c r="P1416" s="53"/>
      <c r="Q1416" s="53"/>
      <c r="R1416" s="53"/>
      <c r="S1416" s="53"/>
      <c r="T1416" s="48">
        <v>255.03</v>
      </c>
      <c r="U1416" s="98">
        <v>0.35682076618437047</v>
      </c>
      <c r="V1416" s="98">
        <v>21.766066737246597</v>
      </c>
      <c r="W1416" s="98">
        <v>2.8183829312644524</v>
      </c>
      <c r="X1416" s="98">
        <v>0.35682076618437047</v>
      </c>
      <c r="Y1416" s="233">
        <v>2.69</v>
      </c>
      <c r="Z1416" s="48">
        <v>1.17</v>
      </c>
      <c r="AA1416" s="48"/>
      <c r="AB1416" s="48">
        <v>1.48</v>
      </c>
      <c r="AC1416" s="48">
        <v>0.76929999999999998</v>
      </c>
      <c r="AD1416" s="48">
        <v>1.91</v>
      </c>
      <c r="AE1416" s="48">
        <v>3.16</v>
      </c>
      <c r="AF1416" s="48">
        <f t="shared" si="371"/>
        <v>1.91</v>
      </c>
      <c r="AG1416" s="49">
        <v>1.68</v>
      </c>
      <c r="AH1416" s="98">
        <v>4.5400000000000001E-14</v>
      </c>
      <c r="AI1416" s="98">
        <v>1.0499999999999999E-13</v>
      </c>
      <c r="AJ1416" s="483">
        <f t="shared" si="376"/>
        <v>-11.731510473455549</v>
      </c>
      <c r="AK1416" s="483">
        <f t="shared" si="374"/>
        <v>-11.367377027242714</v>
      </c>
      <c r="AL1416" s="483">
        <f t="shared" si="375"/>
        <v>-11.367377027242714</v>
      </c>
      <c r="AM1416" s="483">
        <v>-14.850779999999999</v>
      </c>
      <c r="AN1416" s="226">
        <v>-8.2100000000000009</v>
      </c>
      <c r="AO1416" s="484">
        <v>2.2200000000000002</v>
      </c>
      <c r="AP1416" s="484">
        <v>-1.55</v>
      </c>
      <c r="AQ1416" s="226" t="s">
        <v>6311</v>
      </c>
      <c r="AR1416" s="226" t="s">
        <v>6311</v>
      </c>
      <c r="AS1416" s="224"/>
      <c r="AT1416" s="50" t="s">
        <v>266</v>
      </c>
      <c r="AU1416" s="48">
        <v>6</v>
      </c>
      <c r="AV1416" s="48">
        <v>120</v>
      </c>
      <c r="AW1416" s="48">
        <v>114</v>
      </c>
      <c r="AX1416" s="48">
        <v>28</v>
      </c>
      <c r="AY1416" s="48" t="s">
        <v>8728</v>
      </c>
      <c r="AZ1416" s="48" t="s">
        <v>1563</v>
      </c>
      <c r="BA1416" s="48">
        <v>32</v>
      </c>
      <c r="BB1416" s="47" t="s">
        <v>2485</v>
      </c>
      <c r="BC1416" s="47" t="s">
        <v>8726</v>
      </c>
      <c r="BD1416" s="47" t="s">
        <v>8374</v>
      </c>
      <c r="BE1416" s="48" t="s">
        <v>2449</v>
      </c>
      <c r="BF1416" s="48" t="s">
        <v>272</v>
      </c>
      <c r="BG1416" s="48" t="s">
        <v>272</v>
      </c>
      <c r="BH1416" s="48" t="s">
        <v>2486</v>
      </c>
      <c r="BI1416" s="98">
        <v>6.3999999999999997E-6</v>
      </c>
      <c r="BJ1416" s="98">
        <v>6.4000000000000001E-2</v>
      </c>
      <c r="BK1416" s="48"/>
      <c r="BL1416" s="98">
        <f t="shared" si="372"/>
        <v>4.5711239739827185</v>
      </c>
      <c r="BM1416" s="47" t="s">
        <v>2487</v>
      </c>
      <c r="BN1416" s="48"/>
      <c r="BO1416" s="48"/>
      <c r="BP1416" s="48"/>
      <c r="BQ1416" s="48"/>
      <c r="BR1416" s="47" t="s">
        <v>2496</v>
      </c>
      <c r="BS1416" s="48"/>
      <c r="BT1416" s="48"/>
      <c r="BU1416" s="228"/>
      <c r="BV1416" s="48"/>
      <c r="BW1416" s="48"/>
      <c r="BX1416" s="48"/>
      <c r="BY1416" s="48"/>
      <c r="BZ1416" s="48"/>
      <c r="CA1416" s="48"/>
      <c r="CB1416" s="48"/>
      <c r="CC1416" s="48"/>
      <c r="CD1416" s="48"/>
      <c r="CE1416" s="48"/>
      <c r="CF1416" s="48"/>
      <c r="CG1416" s="48"/>
      <c r="CH1416" s="48"/>
      <c r="CI1416" s="98"/>
      <c r="CJ1416" s="98"/>
      <c r="CK1416" s="49">
        <f t="shared" si="377"/>
        <v>71.423812093479981</v>
      </c>
      <c r="CL1416" s="229"/>
      <c r="CM1416" s="229"/>
      <c r="CN1416" s="229"/>
      <c r="CO1416" s="47" t="s">
        <v>2488</v>
      </c>
      <c r="CP1416" s="47" t="s">
        <v>2489</v>
      </c>
      <c r="CQ1416" s="224">
        <v>-1.2512552334320901</v>
      </c>
      <c r="CR1416" s="224">
        <f>10^(CJ1416-CQ1416)</f>
        <v>17.834265734265738</v>
      </c>
      <c r="CS1416" s="230" t="s">
        <v>539</v>
      </c>
      <c r="CT1416" s="230"/>
      <c r="CU1416" s="230"/>
      <c r="CV1416" s="335">
        <f t="shared" si="364"/>
        <v>5.5753244716307888</v>
      </c>
      <c r="CW1416" s="230">
        <f t="shared" si="373"/>
        <v>1</v>
      </c>
      <c r="CX1416" s="336"/>
      <c r="CY1416" s="230" t="s">
        <v>5921</v>
      </c>
    </row>
    <row r="1417" spans="1:103" ht="11.25" customHeight="1" x14ac:dyDescent="0.2">
      <c r="A1417" s="72">
        <v>1415</v>
      </c>
      <c r="B1417" s="224">
        <v>1407</v>
      </c>
      <c r="C1417" s="46" t="s">
        <v>7466</v>
      </c>
      <c r="D1417" s="46"/>
      <c r="E1417" s="114"/>
      <c r="F1417" s="114" t="s">
        <v>4331</v>
      </c>
      <c r="G1417" s="225">
        <v>69655056</v>
      </c>
      <c r="H1417" s="47" t="s">
        <v>4332</v>
      </c>
      <c r="I1417" s="47" t="s">
        <v>8142</v>
      </c>
      <c r="J1417" s="47" t="s">
        <v>4333</v>
      </c>
      <c r="K1417" s="47" t="s">
        <v>4334</v>
      </c>
      <c r="L1417" s="47" t="s">
        <v>279</v>
      </c>
      <c r="M1417" s="47" t="s">
        <v>4335</v>
      </c>
      <c r="N1417" s="47"/>
      <c r="O1417" s="47" t="s">
        <v>281</v>
      </c>
      <c r="P1417" s="53"/>
      <c r="Q1417" s="53"/>
      <c r="R1417" s="53"/>
      <c r="S1417" s="53"/>
      <c r="T1417" s="48">
        <v>236.23</v>
      </c>
      <c r="U1417" s="98"/>
      <c r="V1417" s="98">
        <v>66.883969013249796</v>
      </c>
      <c r="W1417" s="98">
        <v>38.01893963205611</v>
      </c>
      <c r="X1417" s="98">
        <f>IF(W1417=0,V1417,W1417)</f>
        <v>38.01893963205611</v>
      </c>
      <c r="Y1417" s="233">
        <v>5.08</v>
      </c>
      <c r="Z1417" s="48">
        <v>-0.47</v>
      </c>
      <c r="AA1417" s="48">
        <v>-1.24</v>
      </c>
      <c r="AB1417" s="48">
        <v>-1.1200000000000001</v>
      </c>
      <c r="AC1417" s="48">
        <v>0.87050000000000005</v>
      </c>
      <c r="AD1417" s="48">
        <v>-1.1599999999999999</v>
      </c>
      <c r="AE1417" s="48">
        <v>-1.31</v>
      </c>
      <c r="AF1417" s="48">
        <f t="shared" si="371"/>
        <v>-1.24</v>
      </c>
      <c r="AG1417" s="49">
        <v>-0.25</v>
      </c>
      <c r="AH1417" s="98">
        <v>2.4500000000000001E-20</v>
      </c>
      <c r="AI1417" s="98"/>
      <c r="AJ1417" s="483">
        <f t="shared" si="376"/>
        <v>-17.99940024194812</v>
      </c>
      <c r="AK1417" s="483"/>
      <c r="AL1417" s="483">
        <f t="shared" si="375"/>
        <v>-17.99940024194812</v>
      </c>
      <c r="AM1417" s="483">
        <v>-17.261469999999999</v>
      </c>
      <c r="AN1417" s="226">
        <v>-18.600000000000001</v>
      </c>
      <c r="AO1417" s="484"/>
      <c r="AP1417" s="484">
        <v>8.74</v>
      </c>
      <c r="AQ1417" s="48" t="s">
        <v>6311</v>
      </c>
      <c r="AR1417" s="48" t="s">
        <v>6311</v>
      </c>
      <c r="AS1417" s="227"/>
      <c r="AT1417" s="50" t="s">
        <v>266</v>
      </c>
      <c r="AU1417" s="48">
        <v>6</v>
      </c>
      <c r="AV1417" s="48">
        <v>120</v>
      </c>
      <c r="AW1417" s="48">
        <v>114</v>
      </c>
      <c r="AX1417" s="48">
        <v>28</v>
      </c>
      <c r="AY1417" s="48" t="s">
        <v>8728</v>
      </c>
      <c r="AZ1417" s="48" t="s">
        <v>1563</v>
      </c>
      <c r="BA1417" s="48">
        <v>32</v>
      </c>
      <c r="BB1417" s="47" t="s">
        <v>2485</v>
      </c>
      <c r="BC1417" s="47" t="s">
        <v>8726</v>
      </c>
      <c r="BD1417" s="47" t="s">
        <v>8374</v>
      </c>
      <c r="BE1417" s="48" t="s">
        <v>2449</v>
      </c>
      <c r="BF1417" s="48" t="s">
        <v>272</v>
      </c>
      <c r="BG1417" s="48" t="s">
        <v>272</v>
      </c>
      <c r="BH1417" s="48" t="s">
        <v>2486</v>
      </c>
      <c r="BI1417" s="98">
        <v>6.3999999999999997E-6</v>
      </c>
      <c r="BJ1417" s="98">
        <v>6.4000000000000001E-2</v>
      </c>
      <c r="BK1417" s="48"/>
      <c r="BL1417" s="98">
        <f t="shared" si="372"/>
        <v>135.80226079251054</v>
      </c>
      <c r="BM1417" s="47" t="s">
        <v>2487</v>
      </c>
      <c r="BN1417" s="48"/>
      <c r="BO1417" s="48"/>
      <c r="BP1417" s="48"/>
      <c r="BQ1417" s="48"/>
      <c r="BR1417" s="47" t="s">
        <v>2496</v>
      </c>
      <c r="BS1417" s="48"/>
      <c r="BT1417" s="48"/>
      <c r="BU1417" s="228"/>
      <c r="BV1417" s="48"/>
      <c r="BW1417" s="48"/>
      <c r="BX1417" s="48"/>
      <c r="BY1417" s="48"/>
      <c r="BZ1417" s="48"/>
      <c r="CA1417" s="48"/>
      <c r="CB1417" s="48"/>
      <c r="CC1417" s="48"/>
      <c r="CD1417" s="48"/>
      <c r="CE1417" s="48"/>
      <c r="CF1417" s="48"/>
      <c r="CG1417" s="48"/>
      <c r="CH1417" s="48"/>
      <c r="CI1417" s="98"/>
      <c r="CJ1417" s="98"/>
      <c r="CK1417" s="49">
        <f t="shared" si="377"/>
        <v>2121.910324882977</v>
      </c>
      <c r="CL1417" s="229"/>
      <c r="CM1417" s="229"/>
      <c r="CN1417" s="229"/>
      <c r="CO1417" s="47" t="s">
        <v>2488</v>
      </c>
      <c r="CP1417" s="47" t="s">
        <v>2489</v>
      </c>
      <c r="CQ1417" s="224" t="s">
        <v>272</v>
      </c>
      <c r="CR1417" s="224"/>
      <c r="CS1417" s="230" t="s">
        <v>539</v>
      </c>
      <c r="CT1417" s="230"/>
      <c r="CU1417" s="230"/>
      <c r="CV1417" s="335">
        <f t="shared" si="364"/>
        <v>594.04593175087666</v>
      </c>
      <c r="CW1417" s="230">
        <f t="shared" si="373"/>
        <v>1</v>
      </c>
      <c r="CX1417" s="336"/>
      <c r="CY1417" s="230" t="s">
        <v>5921</v>
      </c>
    </row>
    <row r="1418" spans="1:103" ht="11.25" customHeight="1" x14ac:dyDescent="0.2">
      <c r="A1418" s="72">
        <v>1416</v>
      </c>
      <c r="B1418" s="224">
        <v>1681</v>
      </c>
      <c r="C1418" s="46" t="s">
        <v>7467</v>
      </c>
      <c r="D1418" s="46"/>
      <c r="E1418" s="114"/>
      <c r="F1418" s="114" t="s">
        <v>4905</v>
      </c>
      <c r="G1418" s="225">
        <v>72178020</v>
      </c>
      <c r="H1418" s="47" t="s">
        <v>4906</v>
      </c>
      <c r="I1418" s="47" t="s">
        <v>8143</v>
      </c>
      <c r="J1418" s="47" t="s">
        <v>4907</v>
      </c>
      <c r="K1418" s="47" t="s">
        <v>471</v>
      </c>
      <c r="L1418" s="47"/>
      <c r="M1418" s="47"/>
      <c r="N1418" s="47"/>
      <c r="O1418" s="47"/>
      <c r="P1418" s="53"/>
      <c r="Q1418" s="53"/>
      <c r="R1418" s="53"/>
      <c r="S1418" s="53"/>
      <c r="T1418" s="48">
        <v>438.76</v>
      </c>
      <c r="U1418" s="98">
        <v>0.11395751663779743</v>
      </c>
      <c r="V1418" s="98">
        <v>5.4357735436229371E-3</v>
      </c>
      <c r="W1418" s="98">
        <v>0.13489628825916533</v>
      </c>
      <c r="X1418" s="98">
        <v>0.11395751663779743</v>
      </c>
      <c r="Y1418" s="233">
        <v>3.89</v>
      </c>
      <c r="Z1418" s="48">
        <v>3.41</v>
      </c>
      <c r="AA1418" s="48">
        <v>2.9</v>
      </c>
      <c r="AB1418" s="48">
        <v>2.86</v>
      </c>
      <c r="AC1418" s="48">
        <v>0.8216</v>
      </c>
      <c r="AD1418" s="48">
        <v>2.87</v>
      </c>
      <c r="AE1418" s="48">
        <v>2.94</v>
      </c>
      <c r="AF1418" s="48">
        <f t="shared" si="371"/>
        <v>2.9</v>
      </c>
      <c r="AG1418" s="49">
        <v>2.98</v>
      </c>
      <c r="AH1418" s="98">
        <v>7.5300000000000002E-13</v>
      </c>
      <c r="AI1418" s="98"/>
      <c r="AJ1418" s="483">
        <f t="shared" si="376"/>
        <v>-10.511771350111951</v>
      </c>
      <c r="AK1418" s="483"/>
      <c r="AL1418" s="483">
        <f t="shared" si="375"/>
        <v>-10.511771350111951</v>
      </c>
      <c r="AM1418" s="483">
        <v>-19.957269999999998</v>
      </c>
      <c r="AN1418" s="226">
        <v>-10.4</v>
      </c>
      <c r="AO1418" s="484">
        <v>2.42</v>
      </c>
      <c r="AP1418" s="484">
        <v>-4.58</v>
      </c>
      <c r="AQ1418" s="226" t="s">
        <v>6311</v>
      </c>
      <c r="AR1418" s="226" t="s">
        <v>6311</v>
      </c>
      <c r="AS1418" s="224"/>
      <c r="AT1418" s="50" t="s">
        <v>266</v>
      </c>
      <c r="AU1418" s="48">
        <v>6</v>
      </c>
      <c r="AV1418" s="48">
        <v>120</v>
      </c>
      <c r="AW1418" s="48">
        <v>114</v>
      </c>
      <c r="AX1418" s="48">
        <v>28</v>
      </c>
      <c r="AY1418" s="48" t="s">
        <v>8728</v>
      </c>
      <c r="AZ1418" s="48" t="s">
        <v>1563</v>
      </c>
      <c r="BA1418" s="48">
        <v>32</v>
      </c>
      <c r="BB1418" s="47" t="s">
        <v>2485</v>
      </c>
      <c r="BC1418" s="47" t="s">
        <v>8726</v>
      </c>
      <c r="BD1418" s="47" t="s">
        <v>8374</v>
      </c>
      <c r="BE1418" s="48" t="s">
        <v>2449</v>
      </c>
      <c r="BF1418" s="48" t="s">
        <v>272</v>
      </c>
      <c r="BG1418" s="48" t="s">
        <v>272</v>
      </c>
      <c r="BH1418" s="48" t="s">
        <v>2486</v>
      </c>
      <c r="BI1418" s="98">
        <v>6.3999999999999997E-6</v>
      </c>
      <c r="BJ1418" s="98">
        <v>6.4000000000000001E-2</v>
      </c>
      <c r="BK1418" s="48"/>
      <c r="BL1418" s="98">
        <f t="shared" si="372"/>
        <v>4.4491699981015473E-2</v>
      </c>
      <c r="BM1418" s="47" t="s">
        <v>2487</v>
      </c>
      <c r="BN1418" s="48"/>
      <c r="BO1418" s="48"/>
      <c r="BP1418" s="48"/>
      <c r="BQ1418" s="48"/>
      <c r="BR1418" s="47" t="s">
        <v>2496</v>
      </c>
      <c r="BS1418" s="48"/>
      <c r="BT1418" s="48"/>
      <c r="BU1418" s="228"/>
      <c r="BV1418" s="48"/>
      <c r="BW1418" s="48"/>
      <c r="BX1418" s="48"/>
      <c r="BY1418" s="48"/>
      <c r="BZ1418" s="48"/>
      <c r="CA1418" s="48"/>
      <c r="CB1418" s="48"/>
      <c r="CC1418" s="48"/>
      <c r="CD1418" s="48"/>
      <c r="CE1418" s="48"/>
      <c r="CF1418" s="48"/>
      <c r="CG1418" s="48"/>
      <c r="CH1418" s="48"/>
      <c r="CI1418" s="98"/>
      <c r="CJ1418" s="98"/>
      <c r="CK1418" s="49">
        <f t="shared" si="377"/>
        <v>0.69518281220336675</v>
      </c>
      <c r="CL1418" s="229"/>
      <c r="CM1418" s="229"/>
      <c r="CN1418" s="229"/>
      <c r="CO1418" s="47" t="s">
        <v>2488</v>
      </c>
      <c r="CP1418" s="47" t="s">
        <v>2489</v>
      </c>
      <c r="CQ1418" s="224" t="s">
        <v>272</v>
      </c>
      <c r="CR1418" s="224"/>
      <c r="CS1418" s="230" t="s">
        <v>539</v>
      </c>
      <c r="CT1418" s="230"/>
      <c r="CU1418" s="230"/>
      <c r="CV1418" s="335">
        <f t="shared" si="364"/>
        <v>1.7805861974655848</v>
      </c>
      <c r="CW1418" s="230">
        <f t="shared" si="373"/>
        <v>1</v>
      </c>
      <c r="CX1418" s="336"/>
      <c r="CY1418" s="230" t="s">
        <v>5921</v>
      </c>
    </row>
    <row r="1419" spans="1:103" ht="11.25" customHeight="1" x14ac:dyDescent="0.2">
      <c r="A1419" s="72">
        <v>1417</v>
      </c>
      <c r="B1419" s="224">
        <v>1135</v>
      </c>
      <c r="C1419" s="46" t="s">
        <v>1176</v>
      </c>
      <c r="D1419" s="46" t="s">
        <v>6533</v>
      </c>
      <c r="E1419" s="114"/>
      <c r="F1419" s="114" t="s">
        <v>1177</v>
      </c>
      <c r="G1419" s="225">
        <v>72490018</v>
      </c>
      <c r="H1419" s="47" t="s">
        <v>1178</v>
      </c>
      <c r="I1419" s="47" t="s">
        <v>1178</v>
      </c>
      <c r="J1419" s="47" t="s">
        <v>1179</v>
      </c>
      <c r="K1419" s="47" t="s">
        <v>1180</v>
      </c>
      <c r="L1419" s="47" t="s">
        <v>617</v>
      </c>
      <c r="M1419" s="47" t="s">
        <v>6121</v>
      </c>
      <c r="N1419" s="47" t="s">
        <v>6082</v>
      </c>
      <c r="O1419" s="47" t="s">
        <v>6122</v>
      </c>
      <c r="P1419" s="53"/>
      <c r="Q1419" s="53"/>
      <c r="R1419" s="53"/>
      <c r="S1419" s="53"/>
      <c r="T1419" s="48">
        <v>301.33999999999997</v>
      </c>
      <c r="U1419" s="98">
        <v>1.9911063914515168E-2</v>
      </c>
      <c r="V1419" s="98">
        <v>8.5119798234552339E-3</v>
      </c>
      <c r="W1419" s="98">
        <v>7.0794578438413705E-2</v>
      </c>
      <c r="X1419" s="98">
        <v>1.9911063914515168E-2</v>
      </c>
      <c r="Y1419" s="233">
        <v>7</v>
      </c>
      <c r="Z1419" s="48">
        <v>4.24</v>
      </c>
      <c r="AA1419" s="48">
        <v>4.3</v>
      </c>
      <c r="AB1419" s="48">
        <v>3.95</v>
      </c>
      <c r="AC1419" s="48">
        <v>0.76349999999999996</v>
      </c>
      <c r="AD1419" s="48">
        <v>3.91</v>
      </c>
      <c r="AE1419" s="48">
        <v>3.83</v>
      </c>
      <c r="AF1419" s="48">
        <f t="shared" si="371"/>
        <v>4.3</v>
      </c>
      <c r="AG1419" s="49">
        <v>3.1</v>
      </c>
      <c r="AH1419" s="98">
        <v>1.45E-11</v>
      </c>
      <c r="AI1419" s="98">
        <v>4.3000000000000001E-10</v>
      </c>
      <c r="AJ1419" s="483">
        <f t="shared" si="376"/>
        <v>-9.2271983240776763</v>
      </c>
      <c r="AK1419" s="483">
        <f>LOG10(AI1419*1000/(0.08206*298.15))</f>
        <v>-7.7550978707330653</v>
      </c>
      <c r="AL1419" s="483">
        <f t="shared" si="375"/>
        <v>-7.7550978707330653</v>
      </c>
      <c r="AM1419" s="483">
        <v>-14.524919999999998</v>
      </c>
      <c r="AN1419" s="226">
        <v>-6.97</v>
      </c>
      <c r="AO1419" s="484">
        <v>12.13</v>
      </c>
      <c r="AP1419" s="484">
        <v>-1.49</v>
      </c>
      <c r="AQ1419" s="48" t="s">
        <v>6311</v>
      </c>
      <c r="AR1419" s="48" t="s">
        <v>6312</v>
      </c>
      <c r="AS1419" s="227"/>
      <c r="AT1419" s="50" t="s">
        <v>266</v>
      </c>
      <c r="AU1419" s="48">
        <v>6</v>
      </c>
      <c r="AV1419" s="48">
        <v>120</v>
      </c>
      <c r="AW1419" s="48">
        <v>114</v>
      </c>
      <c r="AX1419" s="48">
        <v>28</v>
      </c>
      <c r="AY1419" s="48" t="s">
        <v>8728</v>
      </c>
      <c r="AZ1419" s="48" t="s">
        <v>1563</v>
      </c>
      <c r="BA1419" s="48">
        <v>32</v>
      </c>
      <c r="BB1419" s="47" t="s">
        <v>2485</v>
      </c>
      <c r="BC1419" s="47" t="s">
        <v>8726</v>
      </c>
      <c r="BD1419" s="47" t="s">
        <v>8374</v>
      </c>
      <c r="BE1419" s="48" t="s">
        <v>2449</v>
      </c>
      <c r="BF1419" s="48" t="s">
        <v>272</v>
      </c>
      <c r="BG1419" s="48" t="s">
        <v>272</v>
      </c>
      <c r="BH1419" s="48" t="s">
        <v>2486</v>
      </c>
      <c r="BI1419" s="98">
        <v>6.3999999999999997E-6</v>
      </c>
      <c r="BJ1419" s="98">
        <v>6.4000000000000001E-2</v>
      </c>
      <c r="BK1419" s="48"/>
      <c r="BL1419" s="98">
        <f t="shared" si="372"/>
        <v>7.9956909612284976E-3</v>
      </c>
      <c r="BM1419" s="47" t="s">
        <v>2487</v>
      </c>
      <c r="BN1419" s="48"/>
      <c r="BO1419" s="48"/>
      <c r="BP1419" s="48"/>
      <c r="BQ1419" s="48"/>
      <c r="BR1419" s="47" t="s">
        <v>2496</v>
      </c>
      <c r="BS1419" s="48"/>
      <c r="BT1419" s="48"/>
      <c r="BU1419" s="228">
        <v>6.3999999999999997E-5</v>
      </c>
      <c r="BV1419" s="48"/>
      <c r="BW1419" s="48"/>
      <c r="BX1419" s="48"/>
      <c r="BY1419" s="48"/>
      <c r="BZ1419" s="48"/>
      <c r="CA1419" s="48"/>
      <c r="CB1419" s="48"/>
      <c r="CC1419" s="48"/>
      <c r="CD1419" s="48"/>
      <c r="CE1419" s="48"/>
      <c r="CF1419" s="48"/>
      <c r="CG1419" s="48"/>
      <c r="CH1419" s="48"/>
      <c r="CI1419" s="98"/>
      <c r="CJ1419" s="98"/>
      <c r="CK1419" s="49">
        <f t="shared" si="377"/>
        <v>0.12493267126919527</v>
      </c>
      <c r="CL1419" s="229"/>
      <c r="CM1419" s="229">
        <v>-2.4672248248355171</v>
      </c>
      <c r="CN1419" s="229">
        <f>BJ1419/(10^CM1419)</f>
        <v>18.767429746690663</v>
      </c>
      <c r="CO1419" s="47" t="s">
        <v>2488</v>
      </c>
      <c r="CP1419" s="47" t="s">
        <v>2489</v>
      </c>
      <c r="CQ1419" s="224">
        <v>-2.3813311631291771</v>
      </c>
      <c r="CR1419" s="224">
        <f>10^(CJ1419-CQ1419)</f>
        <v>240.61969010522938</v>
      </c>
      <c r="CS1419" s="230" t="s">
        <v>539</v>
      </c>
      <c r="CT1419" s="230"/>
      <c r="CU1419" s="230"/>
      <c r="CV1419" s="335">
        <f t="shared" si="364"/>
        <v>0.3111103736642995</v>
      </c>
      <c r="CW1419" s="230">
        <f t="shared" si="373"/>
        <v>0</v>
      </c>
      <c r="CX1419" s="336"/>
      <c r="CY1419" s="230" t="s">
        <v>5921</v>
      </c>
    </row>
    <row r="1420" spans="1:103" ht="11.25" customHeight="1" x14ac:dyDescent="0.2">
      <c r="A1420" s="72">
        <v>1418</v>
      </c>
      <c r="B1420" s="224">
        <v>473</v>
      </c>
      <c r="C1420" s="46" t="s">
        <v>7468</v>
      </c>
      <c r="D1420" s="46" t="s">
        <v>7469</v>
      </c>
      <c r="E1420" s="114"/>
      <c r="F1420" s="114" t="s">
        <v>4022</v>
      </c>
      <c r="G1420" s="225">
        <v>74051802</v>
      </c>
      <c r="H1420" s="47" t="s">
        <v>4023</v>
      </c>
      <c r="I1420" s="47" t="s">
        <v>4023</v>
      </c>
      <c r="J1420" s="47" t="s">
        <v>4024</v>
      </c>
      <c r="K1420" s="47" t="s">
        <v>1521</v>
      </c>
      <c r="L1420" s="47" t="s">
        <v>6053</v>
      </c>
      <c r="M1420" s="47" t="s">
        <v>6054</v>
      </c>
      <c r="N1420" s="47" t="s">
        <v>6383</v>
      </c>
      <c r="O1420" s="47" t="s">
        <v>6055</v>
      </c>
      <c r="P1420" s="53"/>
      <c r="Q1420" s="53"/>
      <c r="R1420" s="53"/>
      <c r="S1420" s="53"/>
      <c r="T1420" s="48">
        <v>327.48</v>
      </c>
      <c r="U1420" s="98">
        <v>7.6340539880298028E-2</v>
      </c>
      <c r="V1420" s="98">
        <v>4.6934163918407228E-3</v>
      </c>
      <c r="W1420" s="98">
        <v>0.25703957827688606</v>
      </c>
      <c r="X1420" s="98">
        <v>7.6340539880298028E-2</v>
      </c>
      <c r="Y1420" s="233">
        <v>3.87</v>
      </c>
      <c r="Z1420" s="48">
        <v>3.99</v>
      </c>
      <c r="AA1420" s="48">
        <v>4.38</v>
      </c>
      <c r="AB1420" s="48">
        <v>4.1399999999999997</v>
      </c>
      <c r="AC1420" s="48">
        <v>0.79290000000000005</v>
      </c>
      <c r="AD1420" s="48">
        <v>4.12</v>
      </c>
      <c r="AE1420" s="48">
        <v>4.08</v>
      </c>
      <c r="AF1420" s="48">
        <f t="shared" si="371"/>
        <v>4.38</v>
      </c>
      <c r="AG1420" s="49">
        <v>3.8</v>
      </c>
      <c r="AH1420" s="98">
        <v>2.1599999999999998E-11</v>
      </c>
      <c r="AI1420" s="98"/>
      <c r="AJ1420" s="483">
        <f t="shared" si="376"/>
        <v>-9.0541125751617209</v>
      </c>
      <c r="AK1420" s="483"/>
      <c r="AL1420" s="483">
        <f t="shared" si="375"/>
        <v>-9.0541125751617209</v>
      </c>
      <c r="AM1420" s="483">
        <v>-12.815639999999998</v>
      </c>
      <c r="AN1420" s="226">
        <v>-9.07</v>
      </c>
      <c r="AO1420" s="484">
        <v>3.82</v>
      </c>
      <c r="AP1420" s="484"/>
      <c r="AQ1420" s="226" t="s">
        <v>6311</v>
      </c>
      <c r="AR1420" s="226" t="s">
        <v>6311</v>
      </c>
      <c r="AS1420" s="224" t="s">
        <v>6</v>
      </c>
      <c r="AT1420" s="50" t="s">
        <v>266</v>
      </c>
      <c r="AU1420" s="48">
        <v>8</v>
      </c>
      <c r="AV1420" s="48">
        <v>144</v>
      </c>
      <c r="AW1420" s="48">
        <v>120</v>
      </c>
      <c r="AX1420" s="48">
        <v>26</v>
      </c>
      <c r="AY1420" s="48" t="s">
        <v>267</v>
      </c>
      <c r="AZ1420" s="48" t="s">
        <v>2253</v>
      </c>
      <c r="BA1420" s="48">
        <v>3</v>
      </c>
      <c r="BB1420" s="47" t="s">
        <v>2254</v>
      </c>
      <c r="BC1420" s="47" t="s">
        <v>270</v>
      </c>
      <c r="BD1420" s="47" t="s">
        <v>8374</v>
      </c>
      <c r="BE1420" s="48" t="s">
        <v>1712</v>
      </c>
      <c r="BF1420" s="48" t="s">
        <v>272</v>
      </c>
      <c r="BG1420" s="48" t="s">
        <v>272</v>
      </c>
      <c r="BH1420" s="48" t="s">
        <v>2255</v>
      </c>
      <c r="BI1420" s="98">
        <v>9.9999999999999995E-7</v>
      </c>
      <c r="BJ1420" s="98">
        <v>0.08</v>
      </c>
      <c r="BK1420" s="48"/>
      <c r="BL1420" s="98">
        <f t="shared" si="372"/>
        <v>1.3408524812597552E-2</v>
      </c>
      <c r="BM1420" s="48" t="s">
        <v>891</v>
      </c>
      <c r="BN1420" s="233"/>
      <c r="BO1420" s="233"/>
      <c r="BP1420" s="233"/>
      <c r="BQ1420" s="233"/>
      <c r="BR1420" s="233"/>
      <c r="BS1420" s="48"/>
      <c r="BT1420" s="233"/>
      <c r="BU1420" s="228"/>
      <c r="BV1420" s="233"/>
      <c r="BW1420" s="233"/>
      <c r="BX1420" s="233"/>
      <c r="BY1420" s="233"/>
      <c r="BZ1420" s="233"/>
      <c r="CA1420" s="233"/>
      <c r="CB1420" s="233"/>
      <c r="CC1420" s="48"/>
      <c r="CD1420" s="48"/>
      <c r="CE1420" s="48"/>
      <c r="CF1420" s="48"/>
      <c r="CG1420" s="233"/>
      <c r="CH1420" s="48"/>
      <c r="CI1420" s="98"/>
      <c r="CJ1420" s="98"/>
      <c r="CK1420" s="49">
        <f t="shared" si="377"/>
        <v>0.16760656015746939</v>
      </c>
      <c r="CL1420" s="229"/>
      <c r="CM1420" s="229"/>
      <c r="CN1420" s="229"/>
      <c r="CO1420" s="47" t="s">
        <v>892</v>
      </c>
      <c r="CP1420" s="47" t="s">
        <v>893</v>
      </c>
      <c r="CQ1420" s="224">
        <v>-1.2809357757128634</v>
      </c>
      <c r="CR1420" s="224">
        <f>10^(CJ1420-CQ1420)</f>
        <v>19.09570846746367</v>
      </c>
      <c r="CS1420" s="230" t="s">
        <v>539</v>
      </c>
      <c r="CT1420" s="230"/>
      <c r="CU1420" s="230"/>
      <c r="CV1420" s="335">
        <f t="shared" si="364"/>
        <v>0.95425674850372533</v>
      </c>
      <c r="CW1420" s="230">
        <f t="shared" si="373"/>
        <v>0</v>
      </c>
      <c r="CX1420" s="336" t="s">
        <v>539</v>
      </c>
      <c r="CY1420" s="230" t="s">
        <v>5921</v>
      </c>
    </row>
    <row r="1421" spans="1:103" ht="11.25" customHeight="1" x14ac:dyDescent="0.2">
      <c r="A1421" s="72">
        <v>1419</v>
      </c>
      <c r="B1421" s="224">
        <v>1857</v>
      </c>
      <c r="C1421" s="46" t="s">
        <v>7468</v>
      </c>
      <c r="D1421" s="46" t="s">
        <v>7469</v>
      </c>
      <c r="E1421" s="114"/>
      <c r="F1421" s="114" t="s">
        <v>4022</v>
      </c>
      <c r="G1421" s="225">
        <v>74051802</v>
      </c>
      <c r="H1421" s="47" t="s">
        <v>4023</v>
      </c>
      <c r="I1421" s="47" t="s">
        <v>4023</v>
      </c>
      <c r="J1421" s="47" t="s">
        <v>4024</v>
      </c>
      <c r="K1421" s="47" t="s">
        <v>1521</v>
      </c>
      <c r="L1421" s="47" t="s">
        <v>6053</v>
      </c>
      <c r="M1421" s="47" t="s">
        <v>6054</v>
      </c>
      <c r="N1421" s="47" t="s">
        <v>6383</v>
      </c>
      <c r="O1421" s="47" t="s">
        <v>6055</v>
      </c>
      <c r="P1421" s="53"/>
      <c r="Q1421" s="53"/>
      <c r="R1421" s="53"/>
      <c r="S1421" s="53"/>
      <c r="T1421" s="48">
        <v>327.48</v>
      </c>
      <c r="U1421" s="98">
        <v>7.6340539880298028E-2</v>
      </c>
      <c r="V1421" s="98">
        <v>4.6934163918407228E-3</v>
      </c>
      <c r="W1421" s="98">
        <v>0.25703957827688606</v>
      </c>
      <c r="X1421" s="98">
        <v>7.6340539880298028E-2</v>
      </c>
      <c r="Y1421" s="233">
        <v>3.87</v>
      </c>
      <c r="Z1421" s="48">
        <v>3.99</v>
      </c>
      <c r="AA1421" s="48">
        <v>4.38</v>
      </c>
      <c r="AB1421" s="48">
        <v>4.1399999999999997</v>
      </c>
      <c r="AC1421" s="48">
        <v>0.79290000000000005</v>
      </c>
      <c r="AD1421" s="48">
        <v>4.12</v>
      </c>
      <c r="AE1421" s="48">
        <v>4.08</v>
      </c>
      <c r="AF1421" s="48">
        <f t="shared" si="371"/>
        <v>4.38</v>
      </c>
      <c r="AG1421" s="49">
        <v>3.8</v>
      </c>
      <c r="AH1421" s="98">
        <v>2.1599999999999998E-11</v>
      </c>
      <c r="AI1421" s="98"/>
      <c r="AJ1421" s="483">
        <f t="shared" si="376"/>
        <v>-9.0541125751617209</v>
      </c>
      <c r="AK1421" s="483"/>
      <c r="AL1421" s="483">
        <f t="shared" si="375"/>
        <v>-9.0541125751617209</v>
      </c>
      <c r="AM1421" s="483">
        <v>-12.815639999999998</v>
      </c>
      <c r="AN1421" s="226">
        <v>-9.07</v>
      </c>
      <c r="AO1421" s="484">
        <v>3.82</v>
      </c>
      <c r="AP1421" s="484"/>
      <c r="AQ1421" s="226" t="s">
        <v>6311</v>
      </c>
      <c r="AR1421" s="226" t="s">
        <v>6311</v>
      </c>
      <c r="AS1421" s="224"/>
      <c r="AT1421" s="50" t="s">
        <v>266</v>
      </c>
      <c r="AU1421" s="48">
        <v>6</v>
      </c>
      <c r="AV1421" s="48">
        <v>120</v>
      </c>
      <c r="AW1421" s="48">
        <v>114</v>
      </c>
      <c r="AX1421" s="48">
        <v>28</v>
      </c>
      <c r="AY1421" s="48" t="s">
        <v>8728</v>
      </c>
      <c r="AZ1421" s="48" t="s">
        <v>1563</v>
      </c>
      <c r="BA1421" s="48">
        <v>32</v>
      </c>
      <c r="BB1421" s="47" t="s">
        <v>2485</v>
      </c>
      <c r="BC1421" s="47" t="s">
        <v>8726</v>
      </c>
      <c r="BD1421" s="47" t="s">
        <v>8374</v>
      </c>
      <c r="BE1421" s="48" t="s">
        <v>2449</v>
      </c>
      <c r="BF1421" s="48" t="s">
        <v>272</v>
      </c>
      <c r="BG1421" s="48" t="s">
        <v>272</v>
      </c>
      <c r="BH1421" s="48" t="s">
        <v>2486</v>
      </c>
      <c r="BI1421" s="98">
        <v>6.3999999999999997E-6</v>
      </c>
      <c r="BJ1421" s="98">
        <v>6.4000000000000001E-2</v>
      </c>
      <c r="BK1421" s="48"/>
      <c r="BL1421" s="98">
        <f t="shared" si="372"/>
        <v>1.3408524812597552E-2</v>
      </c>
      <c r="BM1421" s="47" t="s">
        <v>2487</v>
      </c>
      <c r="BN1421" s="48"/>
      <c r="BO1421" s="48"/>
      <c r="BP1421" s="48"/>
      <c r="BQ1421" s="48"/>
      <c r="BR1421" s="47" t="s">
        <v>2496</v>
      </c>
      <c r="BS1421" s="48"/>
      <c r="BT1421" s="48"/>
      <c r="BU1421" s="228"/>
      <c r="BV1421" s="48"/>
      <c r="BW1421" s="48"/>
      <c r="BX1421" s="48"/>
      <c r="BY1421" s="48"/>
      <c r="BZ1421" s="48"/>
      <c r="CA1421" s="48"/>
      <c r="CB1421" s="48"/>
      <c r="CC1421" s="48"/>
      <c r="CD1421" s="48"/>
      <c r="CE1421" s="48"/>
      <c r="CF1421" s="48"/>
      <c r="CG1421" s="48"/>
      <c r="CH1421" s="48"/>
      <c r="CI1421" s="98"/>
      <c r="CJ1421" s="98"/>
      <c r="CK1421" s="49">
        <f t="shared" si="377"/>
        <v>0.20950820019683675</v>
      </c>
      <c r="CL1421" s="229"/>
      <c r="CM1421" s="229"/>
      <c r="CN1421" s="229"/>
      <c r="CO1421" s="47" t="s">
        <v>2488</v>
      </c>
      <c r="CP1421" s="47" t="s">
        <v>2489</v>
      </c>
      <c r="CQ1421" s="224">
        <v>-1.2809357757128634</v>
      </c>
      <c r="CR1421" s="224">
        <f>10^(CJ1421-CQ1421)</f>
        <v>19.09570846746367</v>
      </c>
      <c r="CS1421" s="230" t="s">
        <v>539</v>
      </c>
      <c r="CT1421" s="230"/>
      <c r="CU1421" s="230"/>
      <c r="CV1421" s="335">
        <f t="shared" si="364"/>
        <v>1.1928209356296566</v>
      </c>
      <c r="CW1421" s="230">
        <f t="shared" si="373"/>
        <v>1</v>
      </c>
      <c r="CX1421" s="336"/>
      <c r="CY1421" s="230" t="s">
        <v>5921</v>
      </c>
    </row>
    <row r="1422" spans="1:103" ht="11.25" customHeight="1" x14ac:dyDescent="0.2">
      <c r="A1422" s="72">
        <v>1420</v>
      </c>
      <c r="B1422" s="224">
        <v>255</v>
      </c>
      <c r="C1422" s="46" t="s">
        <v>7470</v>
      </c>
      <c r="D1422" s="46"/>
      <c r="E1422" s="114"/>
      <c r="F1422" s="114" t="s">
        <v>3758</v>
      </c>
      <c r="G1422" s="225">
        <v>74115245</v>
      </c>
      <c r="H1422" s="47" t="s">
        <v>3759</v>
      </c>
      <c r="I1422" s="47" t="s">
        <v>8144</v>
      </c>
      <c r="J1422" s="47" t="s">
        <v>3760</v>
      </c>
      <c r="K1422" s="47" t="s">
        <v>426</v>
      </c>
      <c r="L1422" s="47" t="s">
        <v>617</v>
      </c>
      <c r="M1422" s="47" t="s">
        <v>1144</v>
      </c>
      <c r="N1422" s="47"/>
      <c r="O1422" s="47" t="s">
        <v>918</v>
      </c>
      <c r="P1422" s="53"/>
      <c r="Q1422" s="53"/>
      <c r="R1422" s="53"/>
      <c r="S1422" s="53"/>
      <c r="T1422" s="48">
        <v>303.14999999999998</v>
      </c>
      <c r="U1422" s="98">
        <v>3.298697014679202E-3</v>
      </c>
      <c r="V1422" s="98">
        <v>8.7415470888998856E-2</v>
      </c>
      <c r="W1422" s="98">
        <v>1.8197008586099798E-3</v>
      </c>
      <c r="X1422" s="98">
        <v>3.298697014679202E-3</v>
      </c>
      <c r="Y1422" s="233">
        <v>7</v>
      </c>
      <c r="Z1422" s="48">
        <v>2.7</v>
      </c>
      <c r="AA1422" s="48">
        <v>3.1</v>
      </c>
      <c r="AB1422" s="48">
        <v>3.68</v>
      </c>
      <c r="AC1422" s="48">
        <v>0.77329999999999999</v>
      </c>
      <c r="AD1422" s="48">
        <v>3.56</v>
      </c>
      <c r="AE1422" s="48">
        <v>3.27</v>
      </c>
      <c r="AF1422" s="48">
        <f t="shared" si="371"/>
        <v>3.1</v>
      </c>
      <c r="AG1422" s="49">
        <v>4.03</v>
      </c>
      <c r="AH1422" s="98">
        <v>1.56E-9</v>
      </c>
      <c r="AI1422" s="98">
        <v>3.9E-10</v>
      </c>
      <c r="AJ1422" s="483">
        <f t="shared" si="376"/>
        <v>-7.1954417279581904</v>
      </c>
      <c r="AK1422" s="483">
        <f t="shared" ref="AK1422:AK1429" si="378">LOG10(AI1422*1000/(0.08206*298.15))</f>
        <v>-7.7975017192861529</v>
      </c>
      <c r="AL1422" s="483">
        <f t="shared" si="375"/>
        <v>-7.7975017192861529</v>
      </c>
      <c r="AM1422" s="483">
        <v>-12.062449999999998</v>
      </c>
      <c r="AN1422" s="226">
        <v>-8.39</v>
      </c>
      <c r="AO1422" s="484"/>
      <c r="AP1422" s="484">
        <v>-1.68</v>
      </c>
      <c r="AQ1422" s="226" t="s">
        <v>6311</v>
      </c>
      <c r="AR1422" s="226" t="s">
        <v>6311</v>
      </c>
      <c r="AS1422" s="224" t="s">
        <v>6</v>
      </c>
      <c r="AT1422" s="50" t="s">
        <v>266</v>
      </c>
      <c r="AU1422" s="48">
        <v>8</v>
      </c>
      <c r="AV1422" s="48">
        <v>144</v>
      </c>
      <c r="AW1422" s="48">
        <v>120</v>
      </c>
      <c r="AX1422" s="48">
        <v>26</v>
      </c>
      <c r="AY1422" s="48" t="s">
        <v>267</v>
      </c>
      <c r="AZ1422" s="48" t="s">
        <v>2253</v>
      </c>
      <c r="BA1422" s="48">
        <v>3</v>
      </c>
      <c r="BB1422" s="47" t="s">
        <v>2254</v>
      </c>
      <c r="BC1422" s="47" t="s">
        <v>270</v>
      </c>
      <c r="BD1422" s="47" t="s">
        <v>8374</v>
      </c>
      <c r="BE1422" s="48" t="s">
        <v>1712</v>
      </c>
      <c r="BF1422" s="48" t="s">
        <v>272</v>
      </c>
      <c r="BG1422" s="48" t="s">
        <v>272</v>
      </c>
      <c r="BH1422" s="48" t="s">
        <v>2255</v>
      </c>
      <c r="BI1422" s="98">
        <v>9.9999999999999995E-7</v>
      </c>
      <c r="BJ1422" s="98">
        <v>0.08</v>
      </c>
      <c r="BK1422" s="48"/>
      <c r="BL1422" s="98">
        <f t="shared" si="372"/>
        <v>0.19316569456098842</v>
      </c>
      <c r="BM1422" s="48" t="s">
        <v>891</v>
      </c>
      <c r="BN1422" s="233"/>
      <c r="BO1422" s="233"/>
      <c r="BP1422" s="233"/>
      <c r="BQ1422" s="233"/>
      <c r="BR1422" s="233"/>
      <c r="BS1422" s="48"/>
      <c r="BT1422" s="233"/>
      <c r="BU1422" s="228"/>
      <c r="BV1422" s="233"/>
      <c r="BW1422" s="233"/>
      <c r="BX1422" s="233"/>
      <c r="BY1422" s="233"/>
      <c r="BZ1422" s="233"/>
      <c r="CA1422" s="233"/>
      <c r="CB1422" s="233"/>
      <c r="CC1422" s="48"/>
      <c r="CD1422" s="48"/>
      <c r="CE1422" s="48"/>
      <c r="CF1422" s="48"/>
      <c r="CG1422" s="233"/>
      <c r="CH1422" s="48"/>
      <c r="CI1422" s="98"/>
      <c r="CJ1422" s="98"/>
      <c r="CK1422" s="49">
        <f t="shared" si="377"/>
        <v>2.4145711820123554</v>
      </c>
      <c r="CL1422" s="229"/>
      <c r="CM1422" s="229"/>
      <c r="CN1422" s="229"/>
      <c r="CO1422" s="47" t="s">
        <v>892</v>
      </c>
      <c r="CP1422" s="47" t="s">
        <v>893</v>
      </c>
      <c r="CQ1422" s="224" t="s">
        <v>272</v>
      </c>
      <c r="CR1422" s="224"/>
      <c r="CS1422" s="230" t="s">
        <v>539</v>
      </c>
      <c r="CT1422" s="230"/>
      <c r="CU1422" s="230"/>
      <c r="CV1422" s="335">
        <f t="shared" si="364"/>
        <v>4.1233712683490027E-2</v>
      </c>
      <c r="CW1422" s="230">
        <f t="shared" si="373"/>
        <v>0</v>
      </c>
      <c r="CX1422" s="336" t="s">
        <v>539</v>
      </c>
      <c r="CY1422" s="230" t="s">
        <v>5921</v>
      </c>
    </row>
    <row r="1423" spans="1:103" ht="11.25" customHeight="1" x14ac:dyDescent="0.2">
      <c r="A1423" s="72">
        <v>1421</v>
      </c>
      <c r="B1423" s="224">
        <v>1558</v>
      </c>
      <c r="C1423" s="46" t="s">
        <v>7470</v>
      </c>
      <c r="D1423" s="46"/>
      <c r="E1423" s="114"/>
      <c r="F1423" s="114" t="s">
        <v>3758</v>
      </c>
      <c r="G1423" s="225">
        <v>74115245</v>
      </c>
      <c r="H1423" s="47" t="s">
        <v>3759</v>
      </c>
      <c r="I1423" s="47" t="s">
        <v>8144</v>
      </c>
      <c r="J1423" s="47" t="s">
        <v>3760</v>
      </c>
      <c r="K1423" s="47" t="s">
        <v>426</v>
      </c>
      <c r="L1423" s="47" t="s">
        <v>617</v>
      </c>
      <c r="M1423" s="47" t="s">
        <v>1144</v>
      </c>
      <c r="N1423" s="47"/>
      <c r="O1423" s="47" t="s">
        <v>918</v>
      </c>
      <c r="P1423" s="53"/>
      <c r="Q1423" s="53"/>
      <c r="R1423" s="53"/>
      <c r="S1423" s="53"/>
      <c r="T1423" s="48">
        <v>303.14999999999998</v>
      </c>
      <c r="U1423" s="98">
        <v>3.298697014679202E-3</v>
      </c>
      <c r="V1423" s="98">
        <v>8.7415470888998856E-2</v>
      </c>
      <c r="W1423" s="98">
        <v>1.8197008586099798E-3</v>
      </c>
      <c r="X1423" s="98">
        <v>3.298697014679202E-3</v>
      </c>
      <c r="Y1423" s="233">
        <v>7</v>
      </c>
      <c r="Z1423" s="48">
        <v>2.7</v>
      </c>
      <c r="AA1423" s="48">
        <v>3.1</v>
      </c>
      <c r="AB1423" s="48">
        <v>3.68</v>
      </c>
      <c r="AC1423" s="48">
        <v>0.77329999999999999</v>
      </c>
      <c r="AD1423" s="48">
        <v>3.56</v>
      </c>
      <c r="AE1423" s="48">
        <v>3.27</v>
      </c>
      <c r="AF1423" s="48">
        <f t="shared" si="371"/>
        <v>3.1</v>
      </c>
      <c r="AG1423" s="49">
        <v>4.03</v>
      </c>
      <c r="AH1423" s="98">
        <v>1.56E-9</v>
      </c>
      <c r="AI1423" s="98">
        <v>3.9E-10</v>
      </c>
      <c r="AJ1423" s="483">
        <f t="shared" si="376"/>
        <v>-7.1954417279581904</v>
      </c>
      <c r="AK1423" s="483">
        <f t="shared" si="378"/>
        <v>-7.7975017192861529</v>
      </c>
      <c r="AL1423" s="483">
        <f t="shared" si="375"/>
        <v>-7.7975017192861529</v>
      </c>
      <c r="AM1423" s="483">
        <v>-12.062449999999998</v>
      </c>
      <c r="AN1423" s="226">
        <v>-8.39</v>
      </c>
      <c r="AO1423" s="484"/>
      <c r="AP1423" s="484">
        <v>-1.68</v>
      </c>
      <c r="AQ1423" s="48" t="s">
        <v>6311</v>
      </c>
      <c r="AR1423" s="48" t="s">
        <v>6311</v>
      </c>
      <c r="AS1423" s="227"/>
      <c r="AT1423" s="50" t="s">
        <v>266</v>
      </c>
      <c r="AU1423" s="48">
        <v>6</v>
      </c>
      <c r="AV1423" s="48">
        <v>120</v>
      </c>
      <c r="AW1423" s="48">
        <v>114</v>
      </c>
      <c r="AX1423" s="48">
        <v>28</v>
      </c>
      <c r="AY1423" s="48" t="s">
        <v>8728</v>
      </c>
      <c r="AZ1423" s="48" t="s">
        <v>1563</v>
      </c>
      <c r="BA1423" s="48">
        <v>32</v>
      </c>
      <c r="BB1423" s="47" t="s">
        <v>2485</v>
      </c>
      <c r="BC1423" s="47" t="s">
        <v>8726</v>
      </c>
      <c r="BD1423" s="47" t="s">
        <v>8374</v>
      </c>
      <c r="BE1423" s="48" t="s">
        <v>2449</v>
      </c>
      <c r="BF1423" s="48" t="s">
        <v>272</v>
      </c>
      <c r="BG1423" s="48" t="s">
        <v>272</v>
      </c>
      <c r="BH1423" s="48" t="s">
        <v>2486</v>
      </c>
      <c r="BI1423" s="98">
        <v>6.3999999999999997E-6</v>
      </c>
      <c r="BJ1423" s="98">
        <v>6.4000000000000001E-2</v>
      </c>
      <c r="BK1423" s="48"/>
      <c r="BL1423" s="98">
        <f t="shared" si="372"/>
        <v>0.19316569456098842</v>
      </c>
      <c r="BM1423" s="47" t="s">
        <v>2487</v>
      </c>
      <c r="BN1423" s="48"/>
      <c r="BO1423" s="48"/>
      <c r="BP1423" s="48"/>
      <c r="BQ1423" s="48"/>
      <c r="BR1423" s="47" t="s">
        <v>2496</v>
      </c>
      <c r="BS1423" s="48"/>
      <c r="BT1423" s="48"/>
      <c r="BU1423" s="228"/>
      <c r="BV1423" s="48"/>
      <c r="BW1423" s="48"/>
      <c r="BX1423" s="48"/>
      <c r="BY1423" s="48"/>
      <c r="BZ1423" s="48"/>
      <c r="CA1423" s="48"/>
      <c r="CB1423" s="48"/>
      <c r="CC1423" s="48"/>
      <c r="CD1423" s="48"/>
      <c r="CE1423" s="48"/>
      <c r="CF1423" s="48"/>
      <c r="CG1423" s="48"/>
      <c r="CH1423" s="48"/>
      <c r="CI1423" s="98"/>
      <c r="CJ1423" s="98"/>
      <c r="CK1423" s="49">
        <f t="shared" si="377"/>
        <v>3.018213977515444</v>
      </c>
      <c r="CL1423" s="229"/>
      <c r="CM1423" s="229"/>
      <c r="CN1423" s="229"/>
      <c r="CO1423" s="47" t="s">
        <v>2488</v>
      </c>
      <c r="CP1423" s="47" t="s">
        <v>2489</v>
      </c>
      <c r="CQ1423" s="224" t="s">
        <v>272</v>
      </c>
      <c r="CR1423" s="224"/>
      <c r="CS1423" s="230" t="s">
        <v>539</v>
      </c>
      <c r="CT1423" s="230"/>
      <c r="CU1423" s="230"/>
      <c r="CV1423" s="335">
        <f t="shared" si="364"/>
        <v>5.1542140854362532E-2</v>
      </c>
      <c r="CW1423" s="230">
        <f t="shared" si="373"/>
        <v>0</v>
      </c>
      <c r="CX1423" s="336"/>
      <c r="CY1423" s="230" t="s">
        <v>5921</v>
      </c>
    </row>
    <row r="1424" spans="1:103" ht="11.25" customHeight="1" x14ac:dyDescent="0.2">
      <c r="A1424" s="72">
        <v>1422</v>
      </c>
      <c r="B1424" s="224">
        <v>397</v>
      </c>
      <c r="C1424" s="46" t="s">
        <v>7471</v>
      </c>
      <c r="D1424" s="46"/>
      <c r="E1424" s="114"/>
      <c r="F1424" s="114" t="s">
        <v>3950</v>
      </c>
      <c r="G1424" s="225">
        <v>74223646</v>
      </c>
      <c r="H1424" s="47" t="s">
        <v>3951</v>
      </c>
      <c r="I1424" s="47" t="s">
        <v>3951</v>
      </c>
      <c r="J1424" s="47" t="s">
        <v>3952</v>
      </c>
      <c r="K1424" s="47" t="s">
        <v>3853</v>
      </c>
      <c r="L1424" s="47"/>
      <c r="M1424" s="47"/>
      <c r="N1424" s="47"/>
      <c r="O1424" s="47"/>
      <c r="P1424" s="53" t="s">
        <v>6183</v>
      </c>
      <c r="Q1424" s="53" t="s">
        <v>6179</v>
      </c>
      <c r="R1424" s="53" t="s">
        <v>6185</v>
      </c>
      <c r="S1424" s="53" t="s">
        <v>6176</v>
      </c>
      <c r="T1424" s="48">
        <v>381.37</v>
      </c>
      <c r="U1424" s="98">
        <v>24.910192201798779</v>
      </c>
      <c r="V1424" s="98">
        <v>0.13831711985735637</v>
      </c>
      <c r="W1424" s="98">
        <v>0.21379620895022311</v>
      </c>
      <c r="X1424" s="98">
        <v>24.910192201798779</v>
      </c>
      <c r="Y1424" s="233">
        <v>3.87</v>
      </c>
      <c r="Z1424" s="48">
        <v>2</v>
      </c>
      <c r="AA1424" s="48">
        <v>2.2000000000000002</v>
      </c>
      <c r="AB1424" s="48">
        <v>1.46</v>
      </c>
      <c r="AC1424" s="48">
        <v>0.81320000000000003</v>
      </c>
      <c r="AD1424" s="48">
        <v>1.52</v>
      </c>
      <c r="AE1424" s="48">
        <v>1.7</v>
      </c>
      <c r="AF1424" s="48">
        <f t="shared" si="371"/>
        <v>2.2000000000000002</v>
      </c>
      <c r="AG1424" s="49">
        <v>1.03</v>
      </c>
      <c r="AH1424" s="98">
        <v>7.5199999999999998E-14</v>
      </c>
      <c r="AI1424" s="98">
        <v>1.32E-16</v>
      </c>
      <c r="AJ1424" s="483">
        <f t="shared" si="376"/>
        <v>-11.512348485721009</v>
      </c>
      <c r="AK1424" s="483">
        <f t="shared" si="378"/>
        <v>-14.267992395106802</v>
      </c>
      <c r="AL1424" s="483">
        <f t="shared" si="375"/>
        <v>-14.267992395106802</v>
      </c>
      <c r="AM1424" s="483">
        <v>-25.259620000000002</v>
      </c>
      <c r="AN1424" s="226">
        <v>-23.7</v>
      </c>
      <c r="AO1424" s="484">
        <v>2.5499999999999998</v>
      </c>
      <c r="AP1424" s="484"/>
      <c r="AQ1424" s="226" t="s">
        <v>6311</v>
      </c>
      <c r="AR1424" s="226" t="s">
        <v>6312</v>
      </c>
      <c r="AS1424" s="224" t="s">
        <v>6</v>
      </c>
      <c r="AT1424" s="50" t="s">
        <v>266</v>
      </c>
      <c r="AU1424" s="48">
        <v>8</v>
      </c>
      <c r="AV1424" s="48">
        <v>144</v>
      </c>
      <c r="AW1424" s="48">
        <v>120</v>
      </c>
      <c r="AX1424" s="48">
        <v>26</v>
      </c>
      <c r="AY1424" s="48" t="s">
        <v>267</v>
      </c>
      <c r="AZ1424" s="48" t="s">
        <v>2253</v>
      </c>
      <c r="BA1424" s="48">
        <v>2</v>
      </c>
      <c r="BB1424" s="47" t="s">
        <v>2254</v>
      </c>
      <c r="BC1424" s="47" t="s">
        <v>270</v>
      </c>
      <c r="BD1424" s="47" t="s">
        <v>8374</v>
      </c>
      <c r="BE1424" s="48" t="s">
        <v>1712</v>
      </c>
      <c r="BF1424" s="48" t="s">
        <v>272</v>
      </c>
      <c r="BG1424" s="48" t="s">
        <v>272</v>
      </c>
      <c r="BH1424" s="48" t="s">
        <v>2255</v>
      </c>
      <c r="BI1424" s="98">
        <v>9.9999999999999995E-7</v>
      </c>
      <c r="BJ1424" s="98">
        <v>0.08</v>
      </c>
      <c r="BK1424" s="48"/>
      <c r="BL1424" s="98">
        <f t="shared" si="372"/>
        <v>0.82148568512832731</v>
      </c>
      <c r="BM1424" s="48" t="s">
        <v>891</v>
      </c>
      <c r="BN1424" s="233"/>
      <c r="BO1424" s="233"/>
      <c r="BP1424" s="233"/>
      <c r="BQ1424" s="233"/>
      <c r="BR1424" s="233"/>
      <c r="BS1424" s="48"/>
      <c r="BT1424" s="233"/>
      <c r="BU1424" s="228"/>
      <c r="BV1424" s="233"/>
      <c r="BW1424" s="233"/>
      <c r="BX1424" s="233"/>
      <c r="BY1424" s="233"/>
      <c r="BZ1424" s="233"/>
      <c r="CA1424" s="233"/>
      <c r="CB1424" s="233"/>
      <c r="CC1424" s="48"/>
      <c r="CD1424" s="48"/>
      <c r="CE1424" s="48"/>
      <c r="CF1424" s="48"/>
      <c r="CG1424" s="233"/>
      <c r="CH1424" s="48"/>
      <c r="CI1424" s="98"/>
      <c r="CJ1424" s="98"/>
      <c r="CK1424" s="49">
        <f t="shared" si="377"/>
        <v>10.268571064104091</v>
      </c>
      <c r="CL1424" s="229"/>
      <c r="CM1424" s="229"/>
      <c r="CN1424" s="229"/>
      <c r="CO1424" s="47" t="s">
        <v>892</v>
      </c>
      <c r="CP1424" s="47" t="s">
        <v>893</v>
      </c>
      <c r="CQ1424" s="224" t="s">
        <v>272</v>
      </c>
      <c r="CR1424" s="224"/>
      <c r="CS1424" s="230" t="s">
        <v>539</v>
      </c>
      <c r="CT1424" s="230"/>
      <c r="CU1424" s="230"/>
      <c r="CV1424" s="335">
        <f t="shared" si="364"/>
        <v>311.37740252248472</v>
      </c>
      <c r="CW1424" s="230">
        <f t="shared" si="373"/>
        <v>1</v>
      </c>
      <c r="CX1424" s="336" t="s">
        <v>539</v>
      </c>
      <c r="CY1424" s="230" t="s">
        <v>5921</v>
      </c>
    </row>
    <row r="1425" spans="1:103" ht="11.25" customHeight="1" x14ac:dyDescent="0.2">
      <c r="A1425" s="72">
        <v>1423</v>
      </c>
      <c r="B1425" s="224">
        <v>1850</v>
      </c>
      <c r="C1425" s="46" t="s">
        <v>1445</v>
      </c>
      <c r="D1425" s="46" t="s">
        <v>6735</v>
      </c>
      <c r="E1425" s="114"/>
      <c r="F1425" s="114" t="s">
        <v>1446</v>
      </c>
      <c r="G1425" s="225">
        <v>76578148</v>
      </c>
      <c r="H1425" s="47" t="s">
        <v>1447</v>
      </c>
      <c r="I1425" s="47" t="s">
        <v>7878</v>
      </c>
      <c r="J1425" s="47" t="s">
        <v>1448</v>
      </c>
      <c r="K1425" s="47" t="s">
        <v>357</v>
      </c>
      <c r="L1425" s="47" t="s">
        <v>6012</v>
      </c>
      <c r="M1425" s="47" t="s">
        <v>6082</v>
      </c>
      <c r="N1425" s="47" t="s">
        <v>6082</v>
      </c>
      <c r="O1425" s="47" t="s">
        <v>6083</v>
      </c>
      <c r="P1425" s="53"/>
      <c r="Q1425" s="53"/>
      <c r="R1425" s="53"/>
      <c r="S1425" s="53"/>
      <c r="T1425" s="48">
        <v>372.8</v>
      </c>
      <c r="U1425" s="98">
        <v>1.0729613733905579E-3</v>
      </c>
      <c r="V1425" s="98">
        <v>2.671942060085837E-3</v>
      </c>
      <c r="W1425" s="98">
        <v>4.1686938347033544E-3</v>
      </c>
      <c r="X1425" s="98">
        <v>1.0729613733905579E-3</v>
      </c>
      <c r="Y1425" s="233">
        <v>7</v>
      </c>
      <c r="Z1425" s="48">
        <v>4.3499999999999996</v>
      </c>
      <c r="AA1425" s="48">
        <v>4.28</v>
      </c>
      <c r="AB1425" s="48">
        <v>4.3099999999999996</v>
      </c>
      <c r="AC1425" s="48">
        <v>0.89810000000000001</v>
      </c>
      <c r="AD1425" s="48">
        <v>4.37</v>
      </c>
      <c r="AE1425" s="48">
        <v>4.6500000000000004</v>
      </c>
      <c r="AF1425" s="48">
        <f t="shared" si="371"/>
        <v>4.28</v>
      </c>
      <c r="AG1425" s="49">
        <v>4.13</v>
      </c>
      <c r="AH1425" s="98">
        <v>7.4000000000000003E-11</v>
      </c>
      <c r="AI1425" s="98">
        <v>1.0600000000000001E-8</v>
      </c>
      <c r="AJ1425" s="483">
        <f t="shared" si="376"/>
        <v>-8.5193346065816762</v>
      </c>
      <c r="AK1425" s="483">
        <f t="shared" si="378"/>
        <v>-6.3632604610478811</v>
      </c>
      <c r="AL1425" s="483">
        <f t="shared" si="375"/>
        <v>-6.3632604610478811</v>
      </c>
      <c r="AM1425" s="483">
        <v>-16.472549999999998</v>
      </c>
      <c r="AN1425" s="226">
        <v>-7.56</v>
      </c>
      <c r="AO1425" s="484"/>
      <c r="AP1425" s="484">
        <v>-1.39</v>
      </c>
      <c r="AQ1425" s="226" t="s">
        <v>6311</v>
      </c>
      <c r="AR1425" s="226" t="s">
        <v>6312</v>
      </c>
      <c r="AS1425" s="224"/>
      <c r="AT1425" s="50" t="s">
        <v>266</v>
      </c>
      <c r="AU1425" s="48">
        <v>6</v>
      </c>
      <c r="AV1425" s="48">
        <v>120</v>
      </c>
      <c r="AW1425" s="48">
        <v>114</v>
      </c>
      <c r="AX1425" s="48">
        <v>28</v>
      </c>
      <c r="AY1425" s="48" t="s">
        <v>8728</v>
      </c>
      <c r="AZ1425" s="48" t="s">
        <v>1563</v>
      </c>
      <c r="BA1425" s="48">
        <v>32</v>
      </c>
      <c r="BB1425" s="47" t="s">
        <v>2485</v>
      </c>
      <c r="BC1425" s="47" t="s">
        <v>8726</v>
      </c>
      <c r="BD1425" s="47" t="s">
        <v>8374</v>
      </c>
      <c r="BE1425" s="48" t="s">
        <v>2449</v>
      </c>
      <c r="BF1425" s="48" t="s">
        <v>272</v>
      </c>
      <c r="BG1425" s="48" t="s">
        <v>272</v>
      </c>
      <c r="BH1425" s="48" t="s">
        <v>2486</v>
      </c>
      <c r="BI1425" s="98">
        <v>6.3999999999999997E-6</v>
      </c>
      <c r="BJ1425" s="98">
        <v>6.4000000000000001E-2</v>
      </c>
      <c r="BK1425" s="48"/>
      <c r="BL1425" s="98">
        <f t="shared" si="372"/>
        <v>6.3689083597233938E-3</v>
      </c>
      <c r="BM1425" s="47" t="s">
        <v>2487</v>
      </c>
      <c r="BN1425" s="48"/>
      <c r="BO1425" s="48"/>
      <c r="BP1425" s="48"/>
      <c r="BQ1425" s="48"/>
      <c r="BR1425" s="47" t="s">
        <v>2496</v>
      </c>
      <c r="BS1425" s="48"/>
      <c r="BT1425" s="48"/>
      <c r="BU1425" s="228"/>
      <c r="BV1425" s="48"/>
      <c r="BW1425" s="48"/>
      <c r="BX1425" s="48"/>
      <c r="BY1425" s="48"/>
      <c r="BZ1425" s="48"/>
      <c r="CA1425" s="48"/>
      <c r="CB1425" s="48"/>
      <c r="CC1425" s="48"/>
      <c r="CD1425" s="48"/>
      <c r="CE1425" s="48"/>
      <c r="CF1425" s="48"/>
      <c r="CG1425" s="48"/>
      <c r="CH1425" s="48"/>
      <c r="CI1425" s="98"/>
      <c r="CJ1425" s="98"/>
      <c r="CK1425" s="49">
        <f t="shared" si="377"/>
        <v>9.9514193120678024E-2</v>
      </c>
      <c r="CL1425" s="229"/>
      <c r="CM1425" s="229">
        <v>-2.5081504933482033</v>
      </c>
      <c r="CN1425" s="229">
        <f>BJ1425/(10^CM1425)</f>
        <v>20.621985033609924</v>
      </c>
      <c r="CO1425" s="47" t="s">
        <v>2488</v>
      </c>
      <c r="CP1425" s="47" t="s">
        <v>2489</v>
      </c>
      <c r="CQ1425" s="224">
        <v>-2.3897799644553714</v>
      </c>
      <c r="CR1425" s="224">
        <f>10^(CJ1425-CQ1425)</f>
        <v>245.34655510283133</v>
      </c>
      <c r="CS1425" s="230" t="s">
        <v>539</v>
      </c>
      <c r="CT1425" s="230"/>
      <c r="CU1425" s="230"/>
      <c r="CV1425" s="335">
        <f t="shared" si="364"/>
        <v>1.6765021459227467E-2</v>
      </c>
      <c r="CW1425" s="230">
        <f t="shared" si="373"/>
        <v>0</v>
      </c>
      <c r="CX1425" s="336"/>
      <c r="CY1425" s="230" t="s">
        <v>5921</v>
      </c>
    </row>
    <row r="1426" spans="1:103" ht="11.25" customHeight="1" x14ac:dyDescent="0.2">
      <c r="A1426" s="72">
        <v>1424</v>
      </c>
      <c r="B1426" s="224">
        <v>1801</v>
      </c>
      <c r="C1426" s="46" t="s">
        <v>1345</v>
      </c>
      <c r="D1426" s="46" t="s">
        <v>6534</v>
      </c>
      <c r="E1426" s="114"/>
      <c r="F1426" s="114" t="s">
        <v>1346</v>
      </c>
      <c r="G1426" s="225">
        <v>76738620</v>
      </c>
      <c r="H1426" s="47" t="s">
        <v>1347</v>
      </c>
      <c r="I1426" s="47" t="s">
        <v>7901</v>
      </c>
      <c r="J1426" s="47" t="s">
        <v>1348</v>
      </c>
      <c r="K1426" s="47" t="s">
        <v>1112</v>
      </c>
      <c r="L1426" s="47" t="s">
        <v>6005</v>
      </c>
      <c r="M1426" s="47" t="s">
        <v>5960</v>
      </c>
      <c r="N1426" s="47" t="s">
        <v>2342</v>
      </c>
      <c r="O1426" s="47"/>
      <c r="P1426" s="53"/>
      <c r="Q1426" s="53"/>
      <c r="R1426" s="53"/>
      <c r="S1426" s="53"/>
      <c r="T1426" s="48">
        <v>293.79000000000002</v>
      </c>
      <c r="U1426" s="98">
        <v>8.8498587426392994E-2</v>
      </c>
      <c r="V1426" s="98">
        <v>0.27186085299023111</v>
      </c>
      <c r="W1426" s="98">
        <v>0.20892961308540386</v>
      </c>
      <c r="X1426" s="98">
        <v>8.8498587426392994E-2</v>
      </c>
      <c r="Y1426" s="233">
        <v>7.03</v>
      </c>
      <c r="Z1426" s="48">
        <v>3.36</v>
      </c>
      <c r="AA1426" s="48">
        <v>3.2</v>
      </c>
      <c r="AB1426" s="48">
        <v>3.48</v>
      </c>
      <c r="AC1426" s="48">
        <v>0.83650000000000002</v>
      </c>
      <c r="AD1426" s="48">
        <v>3.37</v>
      </c>
      <c r="AE1426" s="48">
        <v>2.99</v>
      </c>
      <c r="AF1426" s="48">
        <f t="shared" si="371"/>
        <v>3.2</v>
      </c>
      <c r="AG1426" s="49">
        <v>3.49</v>
      </c>
      <c r="AH1426" s="98">
        <v>3.9E-10</v>
      </c>
      <c r="AI1426" s="98">
        <v>8.2800000000000001E-11</v>
      </c>
      <c r="AJ1426" s="483">
        <f t="shared" si="376"/>
        <v>-7.7975017192861529</v>
      </c>
      <c r="AK1426" s="483">
        <f t="shared" si="378"/>
        <v>-8.4705359895277716</v>
      </c>
      <c r="AL1426" s="483">
        <f t="shared" si="375"/>
        <v>-8.4705359895277716</v>
      </c>
      <c r="AM1426" s="483">
        <v>-13.015940000000001</v>
      </c>
      <c r="AN1426" s="226">
        <v>-7.92</v>
      </c>
      <c r="AO1426" s="484">
        <v>13.92</v>
      </c>
      <c r="AP1426" s="484">
        <v>2.57</v>
      </c>
      <c r="AQ1426" s="226" t="s">
        <v>6311</v>
      </c>
      <c r="AR1426" s="226" t="s">
        <v>6311</v>
      </c>
      <c r="AS1426" s="224"/>
      <c r="AT1426" s="50" t="s">
        <v>266</v>
      </c>
      <c r="AU1426" s="48">
        <v>6</v>
      </c>
      <c r="AV1426" s="48">
        <v>120</v>
      </c>
      <c r="AW1426" s="48">
        <v>114</v>
      </c>
      <c r="AX1426" s="48">
        <v>28</v>
      </c>
      <c r="AY1426" s="48" t="s">
        <v>8728</v>
      </c>
      <c r="AZ1426" s="48" t="s">
        <v>1563</v>
      </c>
      <c r="BA1426" s="48">
        <v>32</v>
      </c>
      <c r="BB1426" s="47" t="s">
        <v>2485</v>
      </c>
      <c r="BC1426" s="47" t="s">
        <v>8726</v>
      </c>
      <c r="BD1426" s="47" t="s">
        <v>8374</v>
      </c>
      <c r="BE1426" s="48" t="s">
        <v>2449</v>
      </c>
      <c r="BF1426" s="48" t="s">
        <v>272</v>
      </c>
      <c r="BG1426" s="48" t="s">
        <v>272</v>
      </c>
      <c r="BH1426" s="48" t="s">
        <v>2486</v>
      </c>
      <c r="BI1426" s="98">
        <v>6.3999999999999997E-6</v>
      </c>
      <c r="BJ1426" s="98">
        <v>6.4000000000000001E-2</v>
      </c>
      <c r="BK1426" s="48"/>
      <c r="BL1426" s="98">
        <f t="shared" si="372"/>
        <v>4.9338279395925909E-2</v>
      </c>
      <c r="BM1426" s="47" t="s">
        <v>2487</v>
      </c>
      <c r="BN1426" s="48"/>
      <c r="BO1426" s="48"/>
      <c r="BP1426" s="48"/>
      <c r="BQ1426" s="48"/>
      <c r="BR1426" s="47" t="s">
        <v>2496</v>
      </c>
      <c r="BS1426" s="48"/>
      <c r="BT1426" s="48"/>
      <c r="BU1426" s="228"/>
      <c r="BV1426" s="48"/>
      <c r="BW1426" s="48"/>
      <c r="BX1426" s="48"/>
      <c r="BY1426" s="48"/>
      <c r="BZ1426" s="48"/>
      <c r="CA1426" s="48"/>
      <c r="CB1426" s="48"/>
      <c r="CC1426" s="48"/>
      <c r="CD1426" s="48"/>
      <c r="CE1426" s="48"/>
      <c r="CF1426" s="48"/>
      <c r="CG1426" s="48"/>
      <c r="CH1426" s="48"/>
      <c r="CI1426" s="98"/>
      <c r="CJ1426" s="98"/>
      <c r="CK1426" s="49">
        <f t="shared" si="377"/>
        <v>0.77091061556134233</v>
      </c>
      <c r="CL1426" s="229"/>
      <c r="CM1426" s="229">
        <v>-1.1557541655918258</v>
      </c>
      <c r="CN1426" s="229">
        <f>BJ1426/(10^CM1426)</f>
        <v>0.91608155652393297</v>
      </c>
      <c r="CO1426" s="47" t="s">
        <v>2488</v>
      </c>
      <c r="CP1426" s="47" t="s">
        <v>2489</v>
      </c>
      <c r="CQ1426" s="224">
        <v>-1.1076563876867407</v>
      </c>
      <c r="CR1426" s="224">
        <f>10^(CJ1426-CQ1426)</f>
        <v>12.813164083299521</v>
      </c>
      <c r="CS1426" s="230" t="s">
        <v>539</v>
      </c>
      <c r="CT1426" s="230"/>
      <c r="CU1426" s="230"/>
      <c r="CV1426" s="335">
        <f t="shared" si="364"/>
        <v>1.3827904285373904</v>
      </c>
      <c r="CW1426" s="230">
        <f t="shared" si="373"/>
        <v>1</v>
      </c>
      <c r="CX1426" s="336"/>
      <c r="CY1426" s="230" t="s">
        <v>5921</v>
      </c>
    </row>
    <row r="1427" spans="1:103" ht="11.25" customHeight="1" x14ac:dyDescent="0.2">
      <c r="A1427" s="72">
        <v>1425</v>
      </c>
      <c r="B1427" s="224">
        <v>351</v>
      </c>
      <c r="C1427" s="46" t="s">
        <v>7472</v>
      </c>
      <c r="D1427" s="46" t="s">
        <v>7473</v>
      </c>
      <c r="E1427" s="114"/>
      <c r="F1427" s="114" t="s">
        <v>3886</v>
      </c>
      <c r="G1427" s="225">
        <v>78587050</v>
      </c>
      <c r="H1427" s="47" t="s">
        <v>3887</v>
      </c>
      <c r="I1427" s="47" t="s">
        <v>8145</v>
      </c>
      <c r="J1427" s="47" t="s">
        <v>3888</v>
      </c>
      <c r="K1427" s="47" t="s">
        <v>3889</v>
      </c>
      <c r="L1427" s="47" t="s">
        <v>617</v>
      </c>
      <c r="M1427" s="47" t="s">
        <v>1144</v>
      </c>
      <c r="N1427" s="47"/>
      <c r="O1427" s="47" t="s">
        <v>918</v>
      </c>
      <c r="P1427" s="53"/>
      <c r="Q1427" s="53"/>
      <c r="R1427" s="53"/>
      <c r="S1427" s="53"/>
      <c r="T1427" s="48">
        <v>352.88</v>
      </c>
      <c r="U1427" s="98">
        <v>1.4169122647925642E-3</v>
      </c>
      <c r="V1427" s="98">
        <v>2.9358422126501927E-4</v>
      </c>
      <c r="W1427" s="98">
        <v>2.5703957827688622E-2</v>
      </c>
      <c r="X1427" s="98">
        <v>1.4169122647925642E-3</v>
      </c>
      <c r="Y1427" s="233">
        <v>7</v>
      </c>
      <c r="Z1427" s="48">
        <v>5.57</v>
      </c>
      <c r="AA1427" s="48"/>
      <c r="AB1427" s="48">
        <v>3.84</v>
      </c>
      <c r="AC1427" s="48">
        <v>0.6885</v>
      </c>
      <c r="AD1427" s="48">
        <v>3.71</v>
      </c>
      <c r="AE1427" s="48">
        <v>3.42</v>
      </c>
      <c r="AF1427" s="48">
        <f t="shared" si="371"/>
        <v>3.71</v>
      </c>
      <c r="AG1427" s="49">
        <v>4.2</v>
      </c>
      <c r="AH1427" s="98">
        <v>2.2900000000000002E-9</v>
      </c>
      <c r="AI1427" s="98">
        <v>2.37E-8</v>
      </c>
      <c r="AJ1427" s="483">
        <f t="shared" si="376"/>
        <v>-7.028730843972764</v>
      </c>
      <c r="AK1427" s="483">
        <f t="shared" si="378"/>
        <v>-6.013817980302548</v>
      </c>
      <c r="AL1427" s="483">
        <f t="shared" si="375"/>
        <v>-6.013817980302548</v>
      </c>
      <c r="AM1427" s="483">
        <v>-15.313119999999998</v>
      </c>
      <c r="AN1427" s="226">
        <v>-6.27</v>
      </c>
      <c r="AO1427" s="484">
        <v>12.77</v>
      </c>
      <c r="AP1427" s="484">
        <v>-1.36</v>
      </c>
      <c r="AQ1427" s="226" t="s">
        <v>6311</v>
      </c>
      <c r="AR1427" s="226" t="s">
        <v>6311</v>
      </c>
      <c r="AS1427" s="224" t="s">
        <v>6</v>
      </c>
      <c r="AT1427" s="50" t="s">
        <v>266</v>
      </c>
      <c r="AU1427" s="48">
        <v>8</v>
      </c>
      <c r="AV1427" s="48">
        <v>144</v>
      </c>
      <c r="AW1427" s="48">
        <v>120</v>
      </c>
      <c r="AX1427" s="48">
        <v>26</v>
      </c>
      <c r="AY1427" s="48" t="s">
        <v>267</v>
      </c>
      <c r="AZ1427" s="48" t="s">
        <v>2253</v>
      </c>
      <c r="BA1427" s="48">
        <v>2</v>
      </c>
      <c r="BB1427" s="47" t="s">
        <v>2254</v>
      </c>
      <c r="BC1427" s="47" t="s">
        <v>270</v>
      </c>
      <c r="BD1427" s="47" t="s">
        <v>8374</v>
      </c>
      <c r="BE1427" s="48" t="s">
        <v>1712</v>
      </c>
      <c r="BF1427" s="48" t="s">
        <v>272</v>
      </c>
      <c r="BG1427" s="48" t="s">
        <v>272</v>
      </c>
      <c r="BH1427" s="48" t="s">
        <v>2255</v>
      </c>
      <c r="BI1427" s="98">
        <v>9.9999999999999995E-7</v>
      </c>
      <c r="BJ1427" s="98">
        <v>0.08</v>
      </c>
      <c r="BK1427" s="48"/>
      <c r="BL1427" s="98">
        <f t="shared" si="372"/>
        <v>5.1095540785202418E-4</v>
      </c>
      <c r="BM1427" s="48" t="s">
        <v>891</v>
      </c>
      <c r="BN1427" s="233"/>
      <c r="BO1427" s="233"/>
      <c r="BP1427" s="233"/>
      <c r="BQ1427" s="233"/>
      <c r="BR1427" s="233"/>
      <c r="BS1427" s="48"/>
      <c r="BT1427" s="233"/>
      <c r="BU1427" s="228"/>
      <c r="BV1427" s="233"/>
      <c r="BW1427" s="233"/>
      <c r="BX1427" s="233"/>
      <c r="BY1427" s="233"/>
      <c r="BZ1427" s="233"/>
      <c r="CA1427" s="233"/>
      <c r="CB1427" s="233"/>
      <c r="CC1427" s="48"/>
      <c r="CD1427" s="48"/>
      <c r="CE1427" s="48"/>
      <c r="CF1427" s="48"/>
      <c r="CG1427" s="233"/>
      <c r="CH1427" s="48"/>
      <c r="CI1427" s="98"/>
      <c r="CJ1427" s="98"/>
      <c r="CK1427" s="49">
        <f t="shared" si="377"/>
        <v>6.3869425981503023E-3</v>
      </c>
      <c r="CL1427" s="229"/>
      <c r="CM1427" s="229"/>
      <c r="CN1427" s="229"/>
      <c r="CO1427" s="47" t="s">
        <v>892</v>
      </c>
      <c r="CP1427" s="47" t="s">
        <v>893</v>
      </c>
      <c r="CQ1427" s="224">
        <v>-2.1532601153564972</v>
      </c>
      <c r="CR1427" s="224">
        <f>10^(CJ1427-CQ1427)</f>
        <v>142.31809286798256</v>
      </c>
      <c r="CS1427" s="230" t="s">
        <v>539</v>
      </c>
      <c r="CT1427" s="230"/>
      <c r="CU1427" s="230"/>
      <c r="CV1427" s="335">
        <f t="shared" si="364"/>
        <v>1.7711403309907052E-2</v>
      </c>
      <c r="CW1427" s="230">
        <f t="shared" si="373"/>
        <v>0</v>
      </c>
      <c r="CX1427" s="336" t="s">
        <v>539</v>
      </c>
      <c r="CY1427" s="230" t="s">
        <v>5921</v>
      </c>
    </row>
    <row r="1428" spans="1:103" ht="11.25" customHeight="1" x14ac:dyDescent="0.2">
      <c r="A1428" s="72">
        <v>1426</v>
      </c>
      <c r="B1428" s="224">
        <v>1698</v>
      </c>
      <c r="C1428" s="46" t="s">
        <v>7472</v>
      </c>
      <c r="D1428" s="46" t="s">
        <v>7473</v>
      </c>
      <c r="E1428" s="114"/>
      <c r="F1428" s="114" t="s">
        <v>3886</v>
      </c>
      <c r="G1428" s="225">
        <v>78587050</v>
      </c>
      <c r="H1428" s="47" t="s">
        <v>3887</v>
      </c>
      <c r="I1428" s="47" t="s">
        <v>8145</v>
      </c>
      <c r="J1428" s="47" t="s">
        <v>3888</v>
      </c>
      <c r="K1428" s="47" t="s">
        <v>3889</v>
      </c>
      <c r="L1428" s="47" t="s">
        <v>617</v>
      </c>
      <c r="M1428" s="47" t="s">
        <v>1144</v>
      </c>
      <c r="N1428" s="47"/>
      <c r="O1428" s="47" t="s">
        <v>918</v>
      </c>
      <c r="P1428" s="53"/>
      <c r="Q1428" s="53"/>
      <c r="R1428" s="53"/>
      <c r="S1428" s="53"/>
      <c r="T1428" s="48">
        <v>352.88</v>
      </c>
      <c r="U1428" s="98">
        <v>1.4169122647925642E-3</v>
      </c>
      <c r="V1428" s="98">
        <v>2.9358422126501927E-4</v>
      </c>
      <c r="W1428" s="98">
        <v>2.5703957827688622E-2</v>
      </c>
      <c r="X1428" s="98">
        <v>1.4169122647925642E-3</v>
      </c>
      <c r="Y1428" s="233">
        <v>7</v>
      </c>
      <c r="Z1428" s="48">
        <v>5.57</v>
      </c>
      <c r="AA1428" s="48"/>
      <c r="AB1428" s="48">
        <v>3.84</v>
      </c>
      <c r="AC1428" s="48">
        <v>0.6885</v>
      </c>
      <c r="AD1428" s="48">
        <v>3.71</v>
      </c>
      <c r="AE1428" s="48">
        <v>3.42</v>
      </c>
      <c r="AF1428" s="48">
        <f t="shared" si="371"/>
        <v>3.71</v>
      </c>
      <c r="AG1428" s="49">
        <v>4.2</v>
      </c>
      <c r="AH1428" s="98">
        <v>2.2900000000000002E-9</v>
      </c>
      <c r="AI1428" s="98">
        <v>2.37E-8</v>
      </c>
      <c r="AJ1428" s="483">
        <f t="shared" si="376"/>
        <v>-7.028730843972764</v>
      </c>
      <c r="AK1428" s="483">
        <f t="shared" si="378"/>
        <v>-6.013817980302548</v>
      </c>
      <c r="AL1428" s="483">
        <f t="shared" si="375"/>
        <v>-6.013817980302548</v>
      </c>
      <c r="AM1428" s="483">
        <v>-15.313119999999998</v>
      </c>
      <c r="AN1428" s="226">
        <v>-6.27</v>
      </c>
      <c r="AO1428" s="484">
        <v>12.77</v>
      </c>
      <c r="AP1428" s="484">
        <v>-1.36</v>
      </c>
      <c r="AQ1428" s="226" t="s">
        <v>6311</v>
      </c>
      <c r="AR1428" s="226" t="s">
        <v>6311</v>
      </c>
      <c r="AS1428" s="224"/>
      <c r="AT1428" s="50" t="s">
        <v>266</v>
      </c>
      <c r="AU1428" s="48">
        <v>6</v>
      </c>
      <c r="AV1428" s="48">
        <v>120</v>
      </c>
      <c r="AW1428" s="48">
        <v>114</v>
      </c>
      <c r="AX1428" s="48">
        <v>28</v>
      </c>
      <c r="AY1428" s="48" t="s">
        <v>8728</v>
      </c>
      <c r="AZ1428" s="48" t="s">
        <v>1563</v>
      </c>
      <c r="BA1428" s="48">
        <v>32</v>
      </c>
      <c r="BB1428" s="47" t="s">
        <v>2485</v>
      </c>
      <c r="BC1428" s="47" t="s">
        <v>8726</v>
      </c>
      <c r="BD1428" s="47" t="s">
        <v>8374</v>
      </c>
      <c r="BE1428" s="48" t="s">
        <v>2449</v>
      </c>
      <c r="BF1428" s="48" t="s">
        <v>272</v>
      </c>
      <c r="BG1428" s="48" t="s">
        <v>272</v>
      </c>
      <c r="BH1428" s="48" t="s">
        <v>2486</v>
      </c>
      <c r="BI1428" s="98">
        <v>6.3999999999999997E-6</v>
      </c>
      <c r="BJ1428" s="98">
        <v>6.4000000000000001E-2</v>
      </c>
      <c r="BK1428" s="48"/>
      <c r="BL1428" s="98">
        <f t="shared" si="372"/>
        <v>5.1095540785202418E-4</v>
      </c>
      <c r="BM1428" s="47" t="s">
        <v>2487</v>
      </c>
      <c r="BN1428" s="48"/>
      <c r="BO1428" s="48"/>
      <c r="BP1428" s="48"/>
      <c r="BQ1428" s="48"/>
      <c r="BR1428" s="47" t="s">
        <v>2496</v>
      </c>
      <c r="BS1428" s="48"/>
      <c r="BT1428" s="48"/>
      <c r="BU1428" s="228"/>
      <c r="BV1428" s="48"/>
      <c r="BW1428" s="48"/>
      <c r="BX1428" s="48"/>
      <c r="BY1428" s="48"/>
      <c r="BZ1428" s="48"/>
      <c r="CA1428" s="48"/>
      <c r="CB1428" s="48"/>
      <c r="CC1428" s="48"/>
      <c r="CD1428" s="48"/>
      <c r="CE1428" s="48"/>
      <c r="CF1428" s="48"/>
      <c r="CG1428" s="48"/>
      <c r="CH1428" s="48"/>
      <c r="CI1428" s="98"/>
      <c r="CJ1428" s="98"/>
      <c r="CK1428" s="49">
        <f t="shared" si="377"/>
        <v>7.9836782476878781E-3</v>
      </c>
      <c r="CL1428" s="229"/>
      <c r="CM1428" s="229"/>
      <c r="CN1428" s="229"/>
      <c r="CO1428" s="47" t="s">
        <v>2488</v>
      </c>
      <c r="CP1428" s="47" t="s">
        <v>2489</v>
      </c>
      <c r="CQ1428" s="224">
        <v>-2.1532601153564972</v>
      </c>
      <c r="CR1428" s="224">
        <f>10^(CJ1428-CQ1428)</f>
        <v>142.31809286798256</v>
      </c>
      <c r="CS1428" s="230" t="s">
        <v>539</v>
      </c>
      <c r="CT1428" s="230"/>
      <c r="CU1428" s="230"/>
      <c r="CV1428" s="335">
        <f t="shared" si="364"/>
        <v>2.2139254137383813E-2</v>
      </c>
      <c r="CW1428" s="230">
        <f t="shared" si="373"/>
        <v>0</v>
      </c>
      <c r="CX1428" s="336"/>
      <c r="CY1428" s="230" t="s">
        <v>5921</v>
      </c>
    </row>
    <row r="1429" spans="1:103" ht="11.25" customHeight="1" x14ac:dyDescent="0.2">
      <c r="A1429" s="72">
        <v>1427</v>
      </c>
      <c r="B1429" s="224">
        <v>1157</v>
      </c>
      <c r="C1429" s="46" t="s">
        <v>1261</v>
      </c>
      <c r="D1429" s="46" t="s">
        <v>6564</v>
      </c>
      <c r="E1429" s="114"/>
      <c r="F1429" s="114" t="s">
        <v>1262</v>
      </c>
      <c r="G1429" s="225">
        <v>79983714</v>
      </c>
      <c r="H1429" s="47" t="s">
        <v>1263</v>
      </c>
      <c r="I1429" s="47" t="s">
        <v>8146</v>
      </c>
      <c r="J1429" s="47" t="s">
        <v>1264</v>
      </c>
      <c r="K1429" s="47" t="s">
        <v>1265</v>
      </c>
      <c r="L1429" s="47" t="s">
        <v>5990</v>
      </c>
      <c r="M1429" s="47" t="s">
        <v>5960</v>
      </c>
      <c r="N1429" s="47" t="s">
        <v>2342</v>
      </c>
      <c r="O1429" s="47"/>
      <c r="P1429" s="53"/>
      <c r="Q1429" s="53"/>
      <c r="R1429" s="53"/>
      <c r="S1429" s="53"/>
      <c r="T1429" s="48">
        <v>314.20999999999998</v>
      </c>
      <c r="U1429" s="98">
        <v>5.4103943222685469E-2</v>
      </c>
      <c r="V1429" s="98">
        <v>4.8757200598325966E-2</v>
      </c>
      <c r="W1429" s="98">
        <v>6.3095734448019275E-2</v>
      </c>
      <c r="X1429" s="98">
        <v>5.4103943222685469E-2</v>
      </c>
      <c r="Y1429" s="233">
        <v>7.01</v>
      </c>
      <c r="Z1429" s="48">
        <v>3.66</v>
      </c>
      <c r="AA1429" s="48">
        <v>3.9</v>
      </c>
      <c r="AB1429" s="48">
        <v>3.62</v>
      </c>
      <c r="AC1429" s="48">
        <v>0.82250000000000001</v>
      </c>
      <c r="AD1429" s="48">
        <v>3.63</v>
      </c>
      <c r="AE1429" s="48">
        <v>3.66</v>
      </c>
      <c r="AF1429" s="48">
        <f t="shared" si="371"/>
        <v>3.9</v>
      </c>
      <c r="AG1429" s="49">
        <v>3.88</v>
      </c>
      <c r="AH1429" s="98">
        <v>2.18E-10</v>
      </c>
      <c r="AI1429" s="98">
        <v>3.2799999999999998E-9</v>
      </c>
      <c r="AJ1429" s="483">
        <f t="shared" si="376"/>
        <v>-8.0501098327080474</v>
      </c>
      <c r="AK1429" s="483">
        <f t="shared" si="378"/>
        <v>-6.8726924826009723</v>
      </c>
      <c r="AL1429" s="483">
        <f t="shared" si="375"/>
        <v>-6.8726924826009723</v>
      </c>
      <c r="AM1429" s="483">
        <v>-13.361009999999998</v>
      </c>
      <c r="AN1429" s="226">
        <v>-7.49</v>
      </c>
      <c r="AO1429" s="484">
        <v>12.26</v>
      </c>
      <c r="AP1429" s="484">
        <v>2.71</v>
      </c>
      <c r="AQ1429" s="48" t="s">
        <v>6311</v>
      </c>
      <c r="AR1429" s="48" t="s">
        <v>6311</v>
      </c>
      <c r="AS1429" s="227"/>
      <c r="AT1429" s="50" t="s">
        <v>266</v>
      </c>
      <c r="AU1429" s="48">
        <v>6</v>
      </c>
      <c r="AV1429" s="48">
        <v>120</v>
      </c>
      <c r="AW1429" s="48">
        <v>114</v>
      </c>
      <c r="AX1429" s="48">
        <v>28</v>
      </c>
      <c r="AY1429" s="48" t="s">
        <v>8728</v>
      </c>
      <c r="AZ1429" s="48" t="s">
        <v>1563</v>
      </c>
      <c r="BA1429" s="48">
        <v>32</v>
      </c>
      <c r="BB1429" s="47" t="s">
        <v>2485</v>
      </c>
      <c r="BC1429" s="47" t="s">
        <v>8726</v>
      </c>
      <c r="BD1429" s="47" t="s">
        <v>8374</v>
      </c>
      <c r="BE1429" s="48" t="s">
        <v>2449</v>
      </c>
      <c r="BF1429" s="48" t="s">
        <v>272</v>
      </c>
      <c r="BG1429" s="48" t="s">
        <v>272</v>
      </c>
      <c r="BH1429" s="48" t="s">
        <v>2486</v>
      </c>
      <c r="BI1429" s="98">
        <v>6.3999999999999997E-6</v>
      </c>
      <c r="BJ1429" s="98">
        <v>6.4000000000000001E-2</v>
      </c>
      <c r="BK1429" s="48"/>
      <c r="BL1429" s="98">
        <f t="shared" si="372"/>
        <v>2.6531023237818786E-2</v>
      </c>
      <c r="BM1429" s="47" t="s">
        <v>2487</v>
      </c>
      <c r="BN1429" s="48"/>
      <c r="BO1429" s="48"/>
      <c r="BP1429" s="48"/>
      <c r="BQ1429" s="48"/>
      <c r="BR1429" s="47" t="s">
        <v>2496</v>
      </c>
      <c r="BS1429" s="48"/>
      <c r="BT1429" s="48"/>
      <c r="BU1429" s="228">
        <v>6.3999999999999997E-6</v>
      </c>
      <c r="BV1429" s="48"/>
      <c r="BW1429" s="48"/>
      <c r="BX1429" s="48"/>
      <c r="BY1429" s="48"/>
      <c r="BZ1429" s="48"/>
      <c r="CA1429" s="48"/>
      <c r="CB1429" s="48"/>
      <c r="CC1429" s="48"/>
      <c r="CD1429" s="48"/>
      <c r="CE1429" s="48"/>
      <c r="CF1429" s="48"/>
      <c r="CG1429" s="48"/>
      <c r="CH1429" s="48"/>
      <c r="CI1429" s="98"/>
      <c r="CJ1429" s="98"/>
      <c r="CK1429" s="49">
        <f t="shared" si="377"/>
        <v>0.41454723809091854</v>
      </c>
      <c r="CL1429" s="229"/>
      <c r="CM1429" s="229">
        <v>-1.917436406097677</v>
      </c>
      <c r="CN1429" s="229">
        <f>BJ1429/(10^CM1429)</f>
        <v>5.2919578947368455</v>
      </c>
      <c r="CO1429" s="47" t="s">
        <v>2488</v>
      </c>
      <c r="CP1429" s="47" t="s">
        <v>2489</v>
      </c>
      <c r="CQ1429" s="224">
        <v>-1.8535431163571139</v>
      </c>
      <c r="CR1429" s="224">
        <f>10^(CJ1429-CQ1429)</f>
        <v>71.374506155902552</v>
      </c>
      <c r="CS1429" s="230" t="s">
        <v>539</v>
      </c>
      <c r="CT1429" s="230"/>
      <c r="CU1429" s="230"/>
      <c r="CV1429" s="335">
        <f t="shared" si="364"/>
        <v>0.8453741128544604</v>
      </c>
      <c r="CW1429" s="230">
        <f t="shared" si="373"/>
        <v>0</v>
      </c>
      <c r="CX1429" s="336"/>
      <c r="CY1429" s="230" t="s">
        <v>5921</v>
      </c>
    </row>
    <row r="1430" spans="1:103" ht="11.25" customHeight="1" x14ac:dyDescent="0.2">
      <c r="A1430" s="72">
        <v>1428</v>
      </c>
      <c r="B1430" s="224">
        <v>1250</v>
      </c>
      <c r="C1430" s="46" t="s">
        <v>7474</v>
      </c>
      <c r="D1430" s="46"/>
      <c r="E1430" s="114"/>
      <c r="F1430" s="114" t="s">
        <v>3437</v>
      </c>
      <c r="G1430" s="225">
        <v>81131706</v>
      </c>
      <c r="H1430" s="47" t="s">
        <v>3438</v>
      </c>
      <c r="I1430" s="47" t="s">
        <v>3438</v>
      </c>
      <c r="J1430" s="47" t="s">
        <v>3439</v>
      </c>
      <c r="K1430" s="47" t="s">
        <v>3440</v>
      </c>
      <c r="L1430" s="47"/>
      <c r="M1430" s="47"/>
      <c r="N1430" s="47"/>
      <c r="O1430" s="47"/>
      <c r="P1430" s="53"/>
      <c r="Q1430" s="53"/>
      <c r="R1430" s="53"/>
      <c r="S1430" s="53"/>
      <c r="T1430" s="48">
        <v>424.53</v>
      </c>
      <c r="U1430" s="98"/>
      <c r="V1430" s="98">
        <v>0.173226862648105</v>
      </c>
      <c r="W1430" s="98">
        <v>0.602559586074357</v>
      </c>
      <c r="X1430" s="98">
        <f>IF(W1430=0,V1430,W1430)</f>
        <v>0.602559586074357</v>
      </c>
      <c r="Y1430" s="233">
        <v>3.78</v>
      </c>
      <c r="Z1430" s="48">
        <v>3.1</v>
      </c>
      <c r="AA1430" s="48">
        <v>2.1800000000000002</v>
      </c>
      <c r="AB1430" s="48">
        <v>2.5499999999999998</v>
      </c>
      <c r="AC1430" s="48">
        <v>0.90500000000000003</v>
      </c>
      <c r="AD1430" s="48">
        <v>2.33</v>
      </c>
      <c r="AE1430" s="48">
        <v>1.35</v>
      </c>
      <c r="AF1430" s="48">
        <f t="shared" si="371"/>
        <v>2.1800000000000002</v>
      </c>
      <c r="AG1430" s="49">
        <v>2.33</v>
      </c>
      <c r="AH1430" s="98">
        <v>2.0099999999999999E-15</v>
      </c>
      <c r="AI1430" s="98"/>
      <c r="AJ1430" s="483">
        <f t="shared" si="376"/>
        <v>-13.085370268892163</v>
      </c>
      <c r="AK1430" s="483"/>
      <c r="AL1430" s="483">
        <f t="shared" si="375"/>
        <v>-13.085370268892163</v>
      </c>
      <c r="AM1430" s="483">
        <v>-23.996999999999996</v>
      </c>
      <c r="AN1430" s="226"/>
      <c r="AO1430" s="484">
        <v>4.3099999999999996</v>
      </c>
      <c r="AP1430" s="484"/>
      <c r="AQ1430" s="48" t="s">
        <v>6311</v>
      </c>
      <c r="AR1430" s="48" t="s">
        <v>6312</v>
      </c>
      <c r="AS1430" s="227"/>
      <c r="AT1430" s="50" t="s">
        <v>266</v>
      </c>
      <c r="AU1430" s="48">
        <v>6</v>
      </c>
      <c r="AV1430" s="48">
        <v>120</v>
      </c>
      <c r="AW1430" s="48">
        <v>114</v>
      </c>
      <c r="AX1430" s="48">
        <v>28</v>
      </c>
      <c r="AY1430" s="48" t="s">
        <v>8728</v>
      </c>
      <c r="AZ1430" s="48" t="s">
        <v>1563</v>
      </c>
      <c r="BA1430" s="48">
        <v>32</v>
      </c>
      <c r="BB1430" s="47" t="s">
        <v>2485</v>
      </c>
      <c r="BC1430" s="47" t="s">
        <v>8726</v>
      </c>
      <c r="BD1430" s="47" t="s">
        <v>8374</v>
      </c>
      <c r="BE1430" s="48" t="s">
        <v>2449</v>
      </c>
      <c r="BF1430" s="48" t="s">
        <v>272</v>
      </c>
      <c r="BG1430" s="48" t="s">
        <v>272</v>
      </c>
      <c r="BH1430" s="48" t="s">
        <v>2486</v>
      </c>
      <c r="BI1430" s="98">
        <v>6.3999999999999997E-6</v>
      </c>
      <c r="BJ1430" s="98">
        <v>6.4000000000000001E-2</v>
      </c>
      <c r="BK1430" s="48"/>
      <c r="BL1430" s="98">
        <f t="shared" si="372"/>
        <v>8.4467569924392277E-2</v>
      </c>
      <c r="BM1430" s="47" t="s">
        <v>2487</v>
      </c>
      <c r="BN1430" s="48"/>
      <c r="BO1430" s="48"/>
      <c r="BP1430" s="48"/>
      <c r="BQ1430" s="48"/>
      <c r="BR1430" s="47" t="s">
        <v>2496</v>
      </c>
      <c r="BS1430" s="48"/>
      <c r="BT1430" s="48"/>
      <c r="BU1430" s="228">
        <v>6.4000000000000003E-3</v>
      </c>
      <c r="BV1430" s="48"/>
      <c r="BW1430" s="48"/>
      <c r="BX1430" s="48"/>
      <c r="BY1430" s="48"/>
      <c r="BZ1430" s="48"/>
      <c r="CA1430" s="48"/>
      <c r="CB1430" s="48"/>
      <c r="CC1430" s="48"/>
      <c r="CD1430" s="48"/>
      <c r="CE1430" s="48"/>
      <c r="CF1430" s="48"/>
      <c r="CG1430" s="48"/>
      <c r="CH1430" s="48"/>
      <c r="CI1430" s="98"/>
      <c r="CJ1430" s="98"/>
      <c r="CK1430" s="49">
        <f t="shared" si="377"/>
        <v>1.3198057800686294</v>
      </c>
      <c r="CL1430" s="229"/>
      <c r="CM1430" s="229"/>
      <c r="CN1430" s="229"/>
      <c r="CO1430" s="47" t="s">
        <v>2488</v>
      </c>
      <c r="CP1430" s="47" t="s">
        <v>2489</v>
      </c>
      <c r="CQ1430" s="224" t="s">
        <v>272</v>
      </c>
      <c r="CR1430" s="224"/>
      <c r="CS1430" s="230" t="s">
        <v>539</v>
      </c>
      <c r="CT1430" s="230"/>
      <c r="CU1430" s="230"/>
      <c r="CV1430" s="335">
        <f t="shared" si="364"/>
        <v>9.4149935324118275</v>
      </c>
      <c r="CW1430" s="230">
        <f t="shared" si="373"/>
        <v>1</v>
      </c>
      <c r="CX1430" s="336"/>
      <c r="CY1430" s="230" t="s">
        <v>5921</v>
      </c>
    </row>
    <row r="1431" spans="1:103" ht="11.25" customHeight="1" x14ac:dyDescent="0.2">
      <c r="A1431" s="72">
        <v>1429</v>
      </c>
      <c r="B1431" s="224">
        <v>354</v>
      </c>
      <c r="C1431" s="46" t="s">
        <v>7475</v>
      </c>
      <c r="D1431" s="46"/>
      <c r="E1431" s="114"/>
      <c r="F1431" s="114" t="s">
        <v>3209</v>
      </c>
      <c r="G1431" s="225">
        <v>81334341</v>
      </c>
      <c r="H1431" s="47" t="s">
        <v>3210</v>
      </c>
      <c r="I1431" s="47" t="s">
        <v>3210</v>
      </c>
      <c r="J1431" s="47" t="s">
        <v>3211</v>
      </c>
      <c r="K1431" s="47" t="s">
        <v>471</v>
      </c>
      <c r="L1431" s="47"/>
      <c r="M1431" s="47"/>
      <c r="N1431" s="47"/>
      <c r="O1431" s="47"/>
      <c r="P1431" s="53"/>
      <c r="Q1431" s="53"/>
      <c r="R1431" s="53"/>
      <c r="S1431" s="53"/>
      <c r="T1431" s="48">
        <v>261.27999999999997</v>
      </c>
      <c r="U1431" s="98">
        <v>43.24862216778935</v>
      </c>
      <c r="V1431" s="98">
        <v>2.4889007960808329</v>
      </c>
      <c r="W1431" s="98">
        <v>12.022644346174125</v>
      </c>
      <c r="X1431" s="98">
        <v>43.24862216778935</v>
      </c>
      <c r="Y1431" s="233">
        <v>2.82</v>
      </c>
      <c r="Z1431" s="48">
        <v>1.57</v>
      </c>
      <c r="AA1431" s="48">
        <v>0.22</v>
      </c>
      <c r="AB1431" s="48">
        <v>0.42</v>
      </c>
      <c r="AC1431" s="48">
        <v>0.88060000000000005</v>
      </c>
      <c r="AD1431" s="48">
        <v>0.43</v>
      </c>
      <c r="AE1431" s="48">
        <v>0.51</v>
      </c>
      <c r="AF1431" s="48">
        <f t="shared" si="371"/>
        <v>0.22</v>
      </c>
      <c r="AG1431" s="49">
        <v>0.96</v>
      </c>
      <c r="AH1431" s="98">
        <v>7.0799999999999999E-17</v>
      </c>
      <c r="AI1431" s="98"/>
      <c r="AJ1431" s="483">
        <f t="shared" si="376"/>
        <v>-14.538533068622883</v>
      </c>
      <c r="AK1431" s="483"/>
      <c r="AL1431" s="483">
        <f t="shared" si="375"/>
        <v>-14.538533068622883</v>
      </c>
      <c r="AM1431" s="483">
        <v>-17.984069999999999</v>
      </c>
      <c r="AN1431" s="226">
        <v>-16.100000000000001</v>
      </c>
      <c r="AO1431" s="484">
        <v>10.6</v>
      </c>
      <c r="AP1431" s="484">
        <v>3.3</v>
      </c>
      <c r="AQ1431" s="226" t="s">
        <v>6311</v>
      </c>
      <c r="AR1431" s="226" t="s">
        <v>6311</v>
      </c>
      <c r="AS1431" s="224" t="s">
        <v>6</v>
      </c>
      <c r="AT1431" s="50" t="s">
        <v>266</v>
      </c>
      <c r="AU1431" s="48">
        <v>8</v>
      </c>
      <c r="AV1431" s="48">
        <v>144</v>
      </c>
      <c r="AW1431" s="48">
        <v>120</v>
      </c>
      <c r="AX1431" s="48">
        <v>26</v>
      </c>
      <c r="AY1431" s="48" t="s">
        <v>267</v>
      </c>
      <c r="AZ1431" s="48" t="s">
        <v>2253</v>
      </c>
      <c r="BA1431" s="48">
        <v>2</v>
      </c>
      <c r="BB1431" s="47" t="s">
        <v>2254</v>
      </c>
      <c r="BC1431" s="47" t="s">
        <v>270</v>
      </c>
      <c r="BD1431" s="47" t="s">
        <v>8374</v>
      </c>
      <c r="BE1431" s="48" t="s">
        <v>1712</v>
      </c>
      <c r="BF1431" s="48" t="s">
        <v>272</v>
      </c>
      <c r="BG1431" s="48" t="s">
        <v>272</v>
      </c>
      <c r="BH1431" s="48" t="s">
        <v>2255</v>
      </c>
      <c r="BI1431" s="98">
        <v>9.9999999999999995E-7</v>
      </c>
      <c r="BJ1431" s="98">
        <v>0.08</v>
      </c>
      <c r="BK1431" s="48"/>
      <c r="BL1431" s="98">
        <f t="shared" si="372"/>
        <v>1.998862866323001</v>
      </c>
      <c r="BM1431" s="48" t="s">
        <v>891</v>
      </c>
      <c r="BN1431" s="233"/>
      <c r="BO1431" s="233"/>
      <c r="BP1431" s="233"/>
      <c r="BQ1431" s="233"/>
      <c r="BR1431" s="233"/>
      <c r="BS1431" s="48"/>
      <c r="BT1431" s="233"/>
      <c r="BU1431" s="228"/>
      <c r="BV1431" s="233"/>
      <c r="BW1431" s="233"/>
      <c r="BX1431" s="233"/>
      <c r="BY1431" s="233"/>
      <c r="BZ1431" s="233"/>
      <c r="CA1431" s="233"/>
      <c r="CB1431" s="233"/>
      <c r="CC1431" s="48"/>
      <c r="CD1431" s="48"/>
      <c r="CE1431" s="48"/>
      <c r="CF1431" s="48"/>
      <c r="CG1431" s="233"/>
      <c r="CH1431" s="48"/>
      <c r="CI1431" s="98"/>
      <c r="CJ1431" s="98"/>
      <c r="CK1431" s="49">
        <f t="shared" si="377"/>
        <v>24.985785829037514</v>
      </c>
      <c r="CL1431" s="229"/>
      <c r="CM1431" s="229"/>
      <c r="CN1431" s="229"/>
      <c r="CO1431" s="47" t="s">
        <v>892</v>
      </c>
      <c r="CP1431" s="47" t="s">
        <v>893</v>
      </c>
      <c r="CQ1431" s="224" t="s">
        <v>272</v>
      </c>
      <c r="CR1431" s="224"/>
      <c r="CS1431" s="230" t="s">
        <v>539</v>
      </c>
      <c r="CT1431" s="230"/>
      <c r="CU1431" s="230"/>
      <c r="CV1431" s="335">
        <f t="shared" si="364"/>
        <v>540.60777709736681</v>
      </c>
      <c r="CW1431" s="230">
        <f t="shared" si="373"/>
        <v>1</v>
      </c>
      <c r="CX1431" s="336" t="s">
        <v>539</v>
      </c>
      <c r="CY1431" s="230" t="s">
        <v>5921</v>
      </c>
    </row>
    <row r="1432" spans="1:103" ht="11.25" customHeight="1" x14ac:dyDescent="0.2">
      <c r="A1432" s="72">
        <v>1430</v>
      </c>
      <c r="B1432" s="224">
        <v>1163</v>
      </c>
      <c r="C1432" s="46" t="s">
        <v>7475</v>
      </c>
      <c r="D1432" s="46"/>
      <c r="E1432" s="114"/>
      <c r="F1432" s="114" t="s">
        <v>3209</v>
      </c>
      <c r="G1432" s="225">
        <v>81334341</v>
      </c>
      <c r="H1432" s="47" t="s">
        <v>3210</v>
      </c>
      <c r="I1432" s="47" t="s">
        <v>3210</v>
      </c>
      <c r="J1432" s="47" t="s">
        <v>3211</v>
      </c>
      <c r="K1432" s="47" t="s">
        <v>471</v>
      </c>
      <c r="L1432" s="47"/>
      <c r="M1432" s="47"/>
      <c r="N1432" s="47"/>
      <c r="O1432" s="47"/>
      <c r="P1432" s="53"/>
      <c r="Q1432" s="53"/>
      <c r="R1432" s="53"/>
      <c r="S1432" s="53"/>
      <c r="T1432" s="48">
        <v>261.27999999999997</v>
      </c>
      <c r="U1432" s="98">
        <v>43.24862216778935</v>
      </c>
      <c r="V1432" s="98">
        <v>2.4889007960808329</v>
      </c>
      <c r="W1432" s="98">
        <v>12.022644346174125</v>
      </c>
      <c r="X1432" s="98">
        <v>43.24862216778935</v>
      </c>
      <c r="Y1432" s="233">
        <v>2.82</v>
      </c>
      <c r="Z1432" s="48">
        <v>1.57</v>
      </c>
      <c r="AA1432" s="48">
        <v>0.22</v>
      </c>
      <c r="AB1432" s="48">
        <v>0.42</v>
      </c>
      <c r="AC1432" s="48">
        <v>0.88060000000000005</v>
      </c>
      <c r="AD1432" s="48">
        <v>0.43</v>
      </c>
      <c r="AE1432" s="48">
        <v>0.51</v>
      </c>
      <c r="AF1432" s="48">
        <f t="shared" si="371"/>
        <v>0.22</v>
      </c>
      <c r="AG1432" s="49">
        <v>0.96</v>
      </c>
      <c r="AH1432" s="98">
        <v>7.0799999999999999E-17</v>
      </c>
      <c r="AI1432" s="98"/>
      <c r="AJ1432" s="483">
        <f t="shared" si="376"/>
        <v>-14.538533068622883</v>
      </c>
      <c r="AK1432" s="483"/>
      <c r="AL1432" s="483">
        <f t="shared" si="375"/>
        <v>-14.538533068622883</v>
      </c>
      <c r="AM1432" s="483">
        <v>-17.984069999999999</v>
      </c>
      <c r="AN1432" s="226">
        <v>-16.100000000000001</v>
      </c>
      <c r="AO1432" s="484">
        <v>10.6</v>
      </c>
      <c r="AP1432" s="484">
        <v>3.3</v>
      </c>
      <c r="AQ1432" s="48" t="s">
        <v>6311</v>
      </c>
      <c r="AR1432" s="48" t="s">
        <v>6311</v>
      </c>
      <c r="AS1432" s="227"/>
      <c r="AT1432" s="50" t="s">
        <v>266</v>
      </c>
      <c r="AU1432" s="48">
        <v>6</v>
      </c>
      <c r="AV1432" s="48">
        <v>120</v>
      </c>
      <c r="AW1432" s="48">
        <v>114</v>
      </c>
      <c r="AX1432" s="48">
        <v>28</v>
      </c>
      <c r="AY1432" s="48" t="s">
        <v>8728</v>
      </c>
      <c r="AZ1432" s="48" t="s">
        <v>1563</v>
      </c>
      <c r="BA1432" s="48">
        <v>32</v>
      </c>
      <c r="BB1432" s="47" t="s">
        <v>2485</v>
      </c>
      <c r="BC1432" s="47" t="s">
        <v>8726</v>
      </c>
      <c r="BD1432" s="47" t="s">
        <v>8374</v>
      </c>
      <c r="BE1432" s="48" t="s">
        <v>2449</v>
      </c>
      <c r="BF1432" s="48" t="s">
        <v>272</v>
      </c>
      <c r="BG1432" s="48" t="s">
        <v>272</v>
      </c>
      <c r="BH1432" s="48" t="s">
        <v>2486</v>
      </c>
      <c r="BI1432" s="98">
        <v>6.3999999999999997E-6</v>
      </c>
      <c r="BJ1432" s="98">
        <v>6.4000000000000001E-2</v>
      </c>
      <c r="BK1432" s="48"/>
      <c r="BL1432" s="98">
        <f t="shared" si="372"/>
        <v>1.998862866323001</v>
      </c>
      <c r="BM1432" s="47" t="s">
        <v>2487</v>
      </c>
      <c r="BN1432" s="48"/>
      <c r="BO1432" s="48"/>
      <c r="BP1432" s="48"/>
      <c r="BQ1432" s="48"/>
      <c r="BR1432" s="47" t="s">
        <v>2496</v>
      </c>
      <c r="BS1432" s="48"/>
      <c r="BT1432" s="48"/>
      <c r="BU1432" s="228">
        <v>6.3999999999999997E-5</v>
      </c>
      <c r="BV1432" s="48"/>
      <c r="BW1432" s="48"/>
      <c r="BX1432" s="48"/>
      <c r="BY1432" s="48"/>
      <c r="BZ1432" s="48"/>
      <c r="CA1432" s="48"/>
      <c r="CB1432" s="48"/>
      <c r="CC1432" s="48"/>
      <c r="CD1432" s="48"/>
      <c r="CE1432" s="48"/>
      <c r="CF1432" s="48"/>
      <c r="CG1432" s="48"/>
      <c r="CH1432" s="48"/>
      <c r="CI1432" s="98"/>
      <c r="CJ1432" s="98"/>
      <c r="CK1432" s="49">
        <f t="shared" si="377"/>
        <v>31.232232286296892</v>
      </c>
      <c r="CL1432" s="229"/>
      <c r="CM1432" s="229"/>
      <c r="CN1432" s="229"/>
      <c r="CO1432" s="47" t="s">
        <v>2488</v>
      </c>
      <c r="CP1432" s="47" t="s">
        <v>2489</v>
      </c>
      <c r="CQ1432" s="224" t="s">
        <v>272</v>
      </c>
      <c r="CR1432" s="224"/>
      <c r="CS1432" s="230" t="s">
        <v>539</v>
      </c>
      <c r="CT1432" s="230"/>
      <c r="CU1432" s="230"/>
      <c r="CV1432" s="335">
        <f t="shared" si="364"/>
        <v>675.75972137170857</v>
      </c>
      <c r="CW1432" s="230">
        <f t="shared" si="373"/>
        <v>1</v>
      </c>
      <c r="CX1432" s="336"/>
      <c r="CY1432" s="230" t="s">
        <v>5921</v>
      </c>
    </row>
    <row r="1433" spans="1:103" ht="11.25" customHeight="1" x14ac:dyDescent="0.2">
      <c r="A1433" s="72">
        <v>1431</v>
      </c>
      <c r="B1433" s="224">
        <v>355</v>
      </c>
      <c r="C1433" s="46" t="s">
        <v>7476</v>
      </c>
      <c r="D1433" s="46" t="s">
        <v>7477</v>
      </c>
      <c r="E1433" s="114"/>
      <c r="F1433" s="114" t="s">
        <v>3896</v>
      </c>
      <c r="G1433" s="225">
        <v>81335377</v>
      </c>
      <c r="H1433" s="47" t="s">
        <v>3897</v>
      </c>
      <c r="I1433" s="47" t="s">
        <v>8147</v>
      </c>
      <c r="J1433" s="47" t="s">
        <v>3898</v>
      </c>
      <c r="K1433" s="47" t="s">
        <v>471</v>
      </c>
      <c r="L1433" s="47" t="s">
        <v>6042</v>
      </c>
      <c r="M1433" s="47" t="s">
        <v>8487</v>
      </c>
      <c r="N1433" s="47"/>
      <c r="O1433" s="47"/>
      <c r="P1433" s="53"/>
      <c r="Q1433" s="53"/>
      <c r="R1433" s="53"/>
      <c r="S1433" s="53"/>
      <c r="T1433" s="48">
        <v>311.33999999999997</v>
      </c>
      <c r="U1433" s="98">
        <v>0.28907303912121801</v>
      </c>
      <c r="V1433" s="98">
        <v>0.87300057814607834</v>
      </c>
      <c r="W1433" s="98">
        <v>0.47863009232263826</v>
      </c>
      <c r="X1433" s="98">
        <v>0.28907303912121801</v>
      </c>
      <c r="Y1433" s="233">
        <v>3.58</v>
      </c>
      <c r="Z1433" s="48">
        <v>2.9</v>
      </c>
      <c r="AA1433" s="48">
        <v>1.86</v>
      </c>
      <c r="AB1433" s="48">
        <v>1.85</v>
      </c>
      <c r="AC1433" s="48">
        <v>0.92749999999999999</v>
      </c>
      <c r="AD1433" s="48">
        <v>1.9</v>
      </c>
      <c r="AE1433" s="48">
        <v>2.54</v>
      </c>
      <c r="AF1433" s="48">
        <f t="shared" si="371"/>
        <v>1.86</v>
      </c>
      <c r="AG1433" s="49">
        <v>2.23</v>
      </c>
      <c r="AH1433" s="98">
        <v>6.9100000000000002E-18</v>
      </c>
      <c r="AI1433" s="98"/>
      <c r="AJ1433" s="483">
        <f t="shared" si="376"/>
        <v>-15.549088278938454</v>
      </c>
      <c r="AK1433" s="483"/>
      <c r="AL1433" s="483">
        <f t="shared" si="375"/>
        <v>-15.549088278938454</v>
      </c>
      <c r="AM1433" s="483">
        <v>-20.276879999999998</v>
      </c>
      <c r="AN1433" s="226">
        <v>-16.899999999999999</v>
      </c>
      <c r="AO1433" s="484">
        <v>3.1</v>
      </c>
      <c r="AP1433" s="484">
        <v>1.57</v>
      </c>
      <c r="AQ1433" s="226" t="s">
        <v>6311</v>
      </c>
      <c r="AR1433" s="226" t="s">
        <v>6311</v>
      </c>
      <c r="AS1433" s="224" t="s">
        <v>6</v>
      </c>
      <c r="AT1433" s="50" t="s">
        <v>266</v>
      </c>
      <c r="AU1433" s="48">
        <v>8</v>
      </c>
      <c r="AV1433" s="48">
        <v>144</v>
      </c>
      <c r="AW1433" s="48">
        <v>120</v>
      </c>
      <c r="AX1433" s="48">
        <v>26</v>
      </c>
      <c r="AY1433" s="48" t="s">
        <v>267</v>
      </c>
      <c r="AZ1433" s="48" t="s">
        <v>2253</v>
      </c>
      <c r="BA1433" s="48">
        <v>2</v>
      </c>
      <c r="BB1433" s="47" t="s">
        <v>2254</v>
      </c>
      <c r="BC1433" s="47" t="s">
        <v>270</v>
      </c>
      <c r="BD1433" s="47" t="s">
        <v>8374</v>
      </c>
      <c r="BE1433" s="48" t="s">
        <v>1712</v>
      </c>
      <c r="BF1433" s="48" t="s">
        <v>272</v>
      </c>
      <c r="BG1433" s="48" t="s">
        <v>272</v>
      </c>
      <c r="BH1433" s="48" t="s">
        <v>2255</v>
      </c>
      <c r="BI1433" s="98">
        <v>9.9999999999999995E-7</v>
      </c>
      <c r="BJ1433" s="98">
        <v>0.08</v>
      </c>
      <c r="BK1433" s="48"/>
      <c r="BL1433" s="98">
        <f t="shared" si="372"/>
        <v>0.1277350257851155</v>
      </c>
      <c r="BM1433" s="48" t="s">
        <v>891</v>
      </c>
      <c r="BN1433" s="233"/>
      <c r="BO1433" s="233"/>
      <c r="BP1433" s="233"/>
      <c r="BQ1433" s="233"/>
      <c r="BR1433" s="233"/>
      <c r="BS1433" s="48"/>
      <c r="BT1433" s="233"/>
      <c r="BU1433" s="228"/>
      <c r="BV1433" s="233"/>
      <c r="BW1433" s="233"/>
      <c r="BX1433" s="233"/>
      <c r="BY1433" s="233"/>
      <c r="BZ1433" s="233"/>
      <c r="CA1433" s="233"/>
      <c r="CB1433" s="233"/>
      <c r="CC1433" s="48"/>
      <c r="CD1433" s="48"/>
      <c r="CE1433" s="48"/>
      <c r="CF1433" s="48"/>
      <c r="CG1433" s="233"/>
      <c r="CH1433" s="48"/>
      <c r="CI1433" s="98"/>
      <c r="CJ1433" s="98"/>
      <c r="CK1433" s="49">
        <f t="shared" si="377"/>
        <v>1.5966878223139438</v>
      </c>
      <c r="CL1433" s="229"/>
      <c r="CM1433" s="229"/>
      <c r="CN1433" s="229"/>
      <c r="CO1433" s="47" t="s">
        <v>892</v>
      </c>
      <c r="CP1433" s="47" t="s">
        <v>893</v>
      </c>
      <c r="CQ1433" s="224">
        <v>4.1968739791489032E-2</v>
      </c>
      <c r="CR1433" s="224">
        <f>10^(CJ1433-CQ1433)</f>
        <v>0.90788587680727928</v>
      </c>
      <c r="CS1433" s="230" t="s">
        <v>539</v>
      </c>
      <c r="CT1433" s="230"/>
      <c r="CU1433" s="230"/>
      <c r="CV1433" s="335">
        <f t="shared" si="364"/>
        <v>3.6134129890152251</v>
      </c>
      <c r="CW1433" s="230">
        <f t="shared" si="373"/>
        <v>1</v>
      </c>
      <c r="CX1433" s="336" t="s">
        <v>539</v>
      </c>
      <c r="CY1433" s="230" t="s">
        <v>5921</v>
      </c>
    </row>
    <row r="1434" spans="1:103" ht="11.25" customHeight="1" x14ac:dyDescent="0.2">
      <c r="A1434" s="72">
        <v>1432</v>
      </c>
      <c r="B1434" s="224">
        <v>1704</v>
      </c>
      <c r="C1434" s="46" t="s">
        <v>7476</v>
      </c>
      <c r="D1434" s="46" t="s">
        <v>7477</v>
      </c>
      <c r="E1434" s="114"/>
      <c r="F1434" s="114" t="s">
        <v>3896</v>
      </c>
      <c r="G1434" s="225">
        <v>81335377</v>
      </c>
      <c r="H1434" s="47" t="s">
        <v>3897</v>
      </c>
      <c r="I1434" s="47" t="s">
        <v>8147</v>
      </c>
      <c r="J1434" s="47" t="s">
        <v>3898</v>
      </c>
      <c r="K1434" s="47" t="s">
        <v>471</v>
      </c>
      <c r="L1434" s="47" t="s">
        <v>6042</v>
      </c>
      <c r="M1434" s="47" t="s">
        <v>8487</v>
      </c>
      <c r="N1434" s="47"/>
      <c r="O1434" s="47"/>
      <c r="P1434" s="53"/>
      <c r="Q1434" s="53"/>
      <c r="R1434" s="53"/>
      <c r="S1434" s="53"/>
      <c r="T1434" s="48">
        <v>311.33999999999997</v>
      </c>
      <c r="U1434" s="98">
        <v>0.28907303912121801</v>
      </c>
      <c r="V1434" s="98">
        <v>0.87300057814607834</v>
      </c>
      <c r="W1434" s="98">
        <v>0.47863009232263826</v>
      </c>
      <c r="X1434" s="98">
        <v>0.28907303912121801</v>
      </c>
      <c r="Y1434" s="233">
        <v>3.58</v>
      </c>
      <c r="Z1434" s="48">
        <v>2.9</v>
      </c>
      <c r="AA1434" s="48">
        <v>1.86</v>
      </c>
      <c r="AB1434" s="48">
        <v>1.85</v>
      </c>
      <c r="AC1434" s="48">
        <v>0.92749999999999999</v>
      </c>
      <c r="AD1434" s="48">
        <v>1.9</v>
      </c>
      <c r="AE1434" s="48">
        <v>2.54</v>
      </c>
      <c r="AF1434" s="48">
        <f t="shared" si="371"/>
        <v>1.86</v>
      </c>
      <c r="AG1434" s="49">
        <v>2.23</v>
      </c>
      <c r="AH1434" s="98">
        <v>6.9100000000000002E-18</v>
      </c>
      <c r="AI1434" s="98"/>
      <c r="AJ1434" s="483">
        <f t="shared" si="376"/>
        <v>-15.549088278938454</v>
      </c>
      <c r="AK1434" s="483"/>
      <c r="AL1434" s="483">
        <f t="shared" si="375"/>
        <v>-15.549088278938454</v>
      </c>
      <c r="AM1434" s="483">
        <v>-20.276879999999998</v>
      </c>
      <c r="AN1434" s="226">
        <v>-16.899999999999999</v>
      </c>
      <c r="AO1434" s="484">
        <v>3.1</v>
      </c>
      <c r="AP1434" s="484">
        <v>1.57</v>
      </c>
      <c r="AQ1434" s="226" t="s">
        <v>6311</v>
      </c>
      <c r="AR1434" s="226" t="s">
        <v>6311</v>
      </c>
      <c r="AS1434" s="224"/>
      <c r="AT1434" s="50" t="s">
        <v>266</v>
      </c>
      <c r="AU1434" s="48">
        <v>6</v>
      </c>
      <c r="AV1434" s="48">
        <v>120</v>
      </c>
      <c r="AW1434" s="48">
        <v>114</v>
      </c>
      <c r="AX1434" s="48">
        <v>28</v>
      </c>
      <c r="AY1434" s="48" t="s">
        <v>8728</v>
      </c>
      <c r="AZ1434" s="48" t="s">
        <v>1563</v>
      </c>
      <c r="BA1434" s="48">
        <v>32</v>
      </c>
      <c r="BB1434" s="47" t="s">
        <v>2485</v>
      </c>
      <c r="BC1434" s="47" t="s">
        <v>8726</v>
      </c>
      <c r="BD1434" s="47" t="s">
        <v>8374</v>
      </c>
      <c r="BE1434" s="48" t="s">
        <v>2449</v>
      </c>
      <c r="BF1434" s="48" t="s">
        <v>272</v>
      </c>
      <c r="BG1434" s="48" t="s">
        <v>272</v>
      </c>
      <c r="BH1434" s="48" t="s">
        <v>2486</v>
      </c>
      <c r="BI1434" s="98">
        <v>6.3999999999999997E-6</v>
      </c>
      <c r="BJ1434" s="98">
        <v>6.4000000000000001E-2</v>
      </c>
      <c r="BK1434" s="48"/>
      <c r="BL1434" s="98">
        <f t="shared" si="372"/>
        <v>0.1277350257851155</v>
      </c>
      <c r="BM1434" s="47" t="s">
        <v>2487</v>
      </c>
      <c r="BN1434" s="48"/>
      <c r="BO1434" s="48"/>
      <c r="BP1434" s="48"/>
      <c r="BQ1434" s="48"/>
      <c r="BR1434" s="47" t="s">
        <v>2496</v>
      </c>
      <c r="BS1434" s="48"/>
      <c r="BT1434" s="48"/>
      <c r="BU1434" s="228"/>
      <c r="BV1434" s="48"/>
      <c r="BW1434" s="48"/>
      <c r="BX1434" s="48"/>
      <c r="BY1434" s="48"/>
      <c r="BZ1434" s="48"/>
      <c r="CA1434" s="48"/>
      <c r="CB1434" s="48"/>
      <c r="CC1434" s="48"/>
      <c r="CD1434" s="48"/>
      <c r="CE1434" s="48"/>
      <c r="CF1434" s="48"/>
      <c r="CG1434" s="48"/>
      <c r="CH1434" s="48"/>
      <c r="CI1434" s="98"/>
      <c r="CJ1434" s="98"/>
      <c r="CK1434" s="49">
        <f t="shared" si="377"/>
        <v>1.9958597778924296</v>
      </c>
      <c r="CL1434" s="229"/>
      <c r="CM1434" s="229"/>
      <c r="CN1434" s="229"/>
      <c r="CO1434" s="47" t="s">
        <v>2488</v>
      </c>
      <c r="CP1434" s="47" t="s">
        <v>2489</v>
      </c>
      <c r="CQ1434" s="224">
        <v>4.1968739791489032E-2</v>
      </c>
      <c r="CR1434" s="224">
        <f>10^(CJ1434-CQ1434)</f>
        <v>0.90788587680727928</v>
      </c>
      <c r="CS1434" s="230" t="s">
        <v>539</v>
      </c>
      <c r="CT1434" s="230"/>
      <c r="CU1434" s="230"/>
      <c r="CV1434" s="335">
        <f t="shared" si="364"/>
        <v>4.5167662362690315</v>
      </c>
      <c r="CW1434" s="230">
        <f t="shared" si="373"/>
        <v>1</v>
      </c>
      <c r="CX1434" s="336"/>
      <c r="CY1434" s="230" t="s">
        <v>5921</v>
      </c>
    </row>
    <row r="1435" spans="1:103" ht="11.25" customHeight="1" x14ac:dyDescent="0.2">
      <c r="A1435" s="72">
        <v>1433</v>
      </c>
      <c r="B1435" s="224">
        <v>357</v>
      </c>
      <c r="C1435" s="46" t="s">
        <v>7478</v>
      </c>
      <c r="D1435" s="46" t="s">
        <v>7479</v>
      </c>
      <c r="E1435" s="114"/>
      <c r="F1435" s="114" t="s">
        <v>3899</v>
      </c>
      <c r="G1435" s="225">
        <v>81335775</v>
      </c>
      <c r="H1435" s="47" t="s">
        <v>3900</v>
      </c>
      <c r="I1435" s="47" t="s">
        <v>3900</v>
      </c>
      <c r="J1435" s="47" t="s">
        <v>3901</v>
      </c>
      <c r="K1435" s="47" t="s">
        <v>471</v>
      </c>
      <c r="L1435" s="47" t="s">
        <v>8490</v>
      </c>
      <c r="M1435" s="47" t="s">
        <v>8487</v>
      </c>
      <c r="N1435" s="47"/>
      <c r="O1435" s="47"/>
      <c r="P1435" s="53"/>
      <c r="Q1435" s="53"/>
      <c r="R1435" s="53"/>
      <c r="S1435" s="53"/>
      <c r="T1435" s="48">
        <v>289.33</v>
      </c>
      <c r="U1435" s="98">
        <v>4.8387654235647881</v>
      </c>
      <c r="V1435" s="98">
        <v>0.29219230636297655</v>
      </c>
      <c r="W1435" s="98">
        <v>2.9512092266663865</v>
      </c>
      <c r="X1435" s="98">
        <v>4.8387654235647881</v>
      </c>
      <c r="Y1435" s="233">
        <v>3.09</v>
      </c>
      <c r="Z1435" s="48">
        <v>2.6</v>
      </c>
      <c r="AA1435" s="48"/>
      <c r="AB1435" s="48">
        <v>1.07</v>
      </c>
      <c r="AC1435" s="48">
        <v>0.83960000000000001</v>
      </c>
      <c r="AD1435" s="48">
        <v>1.1299999999999999</v>
      </c>
      <c r="AE1435" s="48">
        <v>1.51</v>
      </c>
      <c r="AF1435" s="48">
        <f t="shared" si="371"/>
        <v>1.1299999999999999</v>
      </c>
      <c r="AG1435" s="49">
        <v>1.98</v>
      </c>
      <c r="AH1435" s="98">
        <v>1.04E-16</v>
      </c>
      <c r="AI1435" s="98"/>
      <c r="AJ1435" s="483">
        <f t="shared" si="376"/>
        <v>-14.371532987013872</v>
      </c>
      <c r="AK1435" s="483"/>
      <c r="AL1435" s="483">
        <f t="shared" si="375"/>
        <v>-14.371532987013872</v>
      </c>
      <c r="AM1435" s="483">
        <v>-18.078189999999999</v>
      </c>
      <c r="AN1435" s="226">
        <v>-16</v>
      </c>
      <c r="AO1435" s="484">
        <v>10.73</v>
      </c>
      <c r="AP1435" s="484">
        <v>3.34</v>
      </c>
      <c r="AQ1435" s="226" t="s">
        <v>6311</v>
      </c>
      <c r="AR1435" s="226" t="s">
        <v>6311</v>
      </c>
      <c r="AS1435" s="224" t="s">
        <v>6</v>
      </c>
      <c r="AT1435" s="50" t="s">
        <v>266</v>
      </c>
      <c r="AU1435" s="48">
        <v>8</v>
      </c>
      <c r="AV1435" s="48">
        <v>144</v>
      </c>
      <c r="AW1435" s="48">
        <v>120</v>
      </c>
      <c r="AX1435" s="48">
        <v>26</v>
      </c>
      <c r="AY1435" s="48" t="s">
        <v>267</v>
      </c>
      <c r="AZ1435" s="48" t="s">
        <v>2253</v>
      </c>
      <c r="BA1435" s="48">
        <v>2</v>
      </c>
      <c r="BB1435" s="47" t="s">
        <v>2254</v>
      </c>
      <c r="BC1435" s="47" t="s">
        <v>270</v>
      </c>
      <c r="BD1435" s="47" t="s">
        <v>8374</v>
      </c>
      <c r="BE1435" s="48" t="s">
        <v>1712</v>
      </c>
      <c r="BF1435" s="48" t="s">
        <v>272</v>
      </c>
      <c r="BG1435" s="48" t="s">
        <v>272</v>
      </c>
      <c r="BH1435" s="48" t="s">
        <v>2255</v>
      </c>
      <c r="BI1435" s="98">
        <v>9.9999999999999995E-7</v>
      </c>
      <c r="BJ1435" s="98">
        <v>0.08</v>
      </c>
      <c r="BK1435" s="48"/>
      <c r="BL1435" s="98">
        <f t="shared" si="372"/>
        <v>0.23754177644563218</v>
      </c>
      <c r="BM1435" s="48" t="s">
        <v>891</v>
      </c>
      <c r="BN1435" s="233"/>
      <c r="BO1435" s="233"/>
      <c r="BP1435" s="233"/>
      <c r="BQ1435" s="233"/>
      <c r="BR1435" s="233"/>
      <c r="BS1435" s="48"/>
      <c r="BT1435" s="233"/>
      <c r="BU1435" s="228"/>
      <c r="BV1435" s="233"/>
      <c r="BW1435" s="233"/>
      <c r="BX1435" s="233"/>
      <c r="BY1435" s="233"/>
      <c r="BZ1435" s="233"/>
      <c r="CA1435" s="233"/>
      <c r="CB1435" s="233"/>
      <c r="CC1435" s="48"/>
      <c r="CD1435" s="48"/>
      <c r="CE1435" s="48"/>
      <c r="CF1435" s="48"/>
      <c r="CG1435" s="233"/>
      <c r="CH1435" s="48"/>
      <c r="CI1435" s="98"/>
      <c r="CJ1435" s="98"/>
      <c r="CK1435" s="49">
        <f t="shared" si="377"/>
        <v>2.9692722055704022</v>
      </c>
      <c r="CL1435" s="229"/>
      <c r="CM1435" s="229"/>
      <c r="CN1435" s="229"/>
      <c r="CO1435" s="47" t="s">
        <v>892</v>
      </c>
      <c r="CP1435" s="47" t="s">
        <v>893</v>
      </c>
      <c r="CQ1435" s="224">
        <v>0.12005593793792708</v>
      </c>
      <c r="CR1435" s="224">
        <f>10^(CJ1435-CQ1435)</f>
        <v>0.7584798751171461</v>
      </c>
      <c r="CS1435" s="230" t="s">
        <v>539</v>
      </c>
      <c r="CT1435" s="230"/>
      <c r="CU1435" s="230"/>
      <c r="CV1435" s="335">
        <f t="shared" si="364"/>
        <v>60.484567794559851</v>
      </c>
      <c r="CW1435" s="230">
        <f t="shared" si="373"/>
        <v>1</v>
      </c>
      <c r="CX1435" s="336" t="s">
        <v>539</v>
      </c>
      <c r="CY1435" s="230" t="s">
        <v>5921</v>
      </c>
    </row>
    <row r="1436" spans="1:103" ht="11.25" customHeight="1" x14ac:dyDescent="0.2">
      <c r="A1436" s="72">
        <v>1434</v>
      </c>
      <c r="B1436" s="224">
        <v>1705</v>
      </c>
      <c r="C1436" s="46" t="s">
        <v>7478</v>
      </c>
      <c r="D1436" s="46" t="s">
        <v>7479</v>
      </c>
      <c r="E1436" s="114"/>
      <c r="F1436" s="114" t="s">
        <v>3899</v>
      </c>
      <c r="G1436" s="225">
        <v>81335775</v>
      </c>
      <c r="H1436" s="47" t="s">
        <v>3900</v>
      </c>
      <c r="I1436" s="47" t="s">
        <v>3900</v>
      </c>
      <c r="J1436" s="47" t="s">
        <v>3901</v>
      </c>
      <c r="K1436" s="47" t="s">
        <v>471</v>
      </c>
      <c r="L1436" s="47" t="s">
        <v>8490</v>
      </c>
      <c r="M1436" s="47" t="s">
        <v>8487</v>
      </c>
      <c r="N1436" s="47"/>
      <c r="O1436" s="47"/>
      <c r="P1436" s="53"/>
      <c r="Q1436" s="53"/>
      <c r="R1436" s="53"/>
      <c r="S1436" s="53"/>
      <c r="T1436" s="48">
        <v>289.33</v>
      </c>
      <c r="U1436" s="98">
        <v>4.8387654235647881</v>
      </c>
      <c r="V1436" s="98">
        <v>0.29219230636297655</v>
      </c>
      <c r="W1436" s="98">
        <v>2.9512092266663865</v>
      </c>
      <c r="X1436" s="98">
        <v>4.8387654235647881</v>
      </c>
      <c r="Y1436" s="233">
        <v>3.09</v>
      </c>
      <c r="Z1436" s="48">
        <v>2.6</v>
      </c>
      <c r="AA1436" s="48"/>
      <c r="AB1436" s="48">
        <v>1.07</v>
      </c>
      <c r="AC1436" s="48">
        <v>0.83960000000000001</v>
      </c>
      <c r="AD1436" s="48">
        <v>1.1299999999999999</v>
      </c>
      <c r="AE1436" s="48">
        <v>1.51</v>
      </c>
      <c r="AF1436" s="48">
        <f t="shared" si="371"/>
        <v>1.1299999999999999</v>
      </c>
      <c r="AG1436" s="49">
        <v>1.98</v>
      </c>
      <c r="AH1436" s="98">
        <v>1.04E-16</v>
      </c>
      <c r="AI1436" s="98"/>
      <c r="AJ1436" s="483">
        <f t="shared" si="376"/>
        <v>-14.371532987013872</v>
      </c>
      <c r="AK1436" s="483"/>
      <c r="AL1436" s="483">
        <f t="shared" si="375"/>
        <v>-14.371532987013872</v>
      </c>
      <c r="AM1436" s="483">
        <v>-18.078189999999999</v>
      </c>
      <c r="AN1436" s="226">
        <v>-16</v>
      </c>
      <c r="AO1436" s="484">
        <v>10.73</v>
      </c>
      <c r="AP1436" s="484">
        <v>3.34</v>
      </c>
      <c r="AQ1436" s="226" t="s">
        <v>6311</v>
      </c>
      <c r="AR1436" s="226" t="s">
        <v>6311</v>
      </c>
      <c r="AS1436" s="224"/>
      <c r="AT1436" s="50" t="s">
        <v>266</v>
      </c>
      <c r="AU1436" s="48">
        <v>6</v>
      </c>
      <c r="AV1436" s="48">
        <v>120</v>
      </c>
      <c r="AW1436" s="48">
        <v>114</v>
      </c>
      <c r="AX1436" s="48">
        <v>28</v>
      </c>
      <c r="AY1436" s="48" t="s">
        <v>8728</v>
      </c>
      <c r="AZ1436" s="48" t="s">
        <v>1563</v>
      </c>
      <c r="BA1436" s="48">
        <v>32</v>
      </c>
      <c r="BB1436" s="47" t="s">
        <v>2485</v>
      </c>
      <c r="BC1436" s="47" t="s">
        <v>8726</v>
      </c>
      <c r="BD1436" s="47" t="s">
        <v>8374</v>
      </c>
      <c r="BE1436" s="48" t="s">
        <v>2449</v>
      </c>
      <c r="BF1436" s="48" t="s">
        <v>272</v>
      </c>
      <c r="BG1436" s="48" t="s">
        <v>272</v>
      </c>
      <c r="BH1436" s="48" t="s">
        <v>2486</v>
      </c>
      <c r="BI1436" s="98">
        <v>6.3999999999999997E-6</v>
      </c>
      <c r="BJ1436" s="98">
        <v>6.4000000000000001E-2</v>
      </c>
      <c r="BK1436" s="48"/>
      <c r="BL1436" s="98">
        <f t="shared" si="372"/>
        <v>0.23754177644563218</v>
      </c>
      <c r="BM1436" s="47" t="s">
        <v>2487</v>
      </c>
      <c r="BN1436" s="48"/>
      <c r="BO1436" s="48"/>
      <c r="BP1436" s="48"/>
      <c r="BQ1436" s="48"/>
      <c r="BR1436" s="47" t="s">
        <v>2496</v>
      </c>
      <c r="BS1436" s="48"/>
      <c r="BT1436" s="48"/>
      <c r="BU1436" s="228"/>
      <c r="BV1436" s="48"/>
      <c r="BW1436" s="48"/>
      <c r="BX1436" s="48"/>
      <c r="BY1436" s="48"/>
      <c r="BZ1436" s="48"/>
      <c r="CA1436" s="48"/>
      <c r="CB1436" s="48"/>
      <c r="CC1436" s="48"/>
      <c r="CD1436" s="48"/>
      <c r="CE1436" s="48"/>
      <c r="CF1436" s="48"/>
      <c r="CG1436" s="48"/>
      <c r="CH1436" s="48"/>
      <c r="CI1436" s="98"/>
      <c r="CJ1436" s="98"/>
      <c r="CK1436" s="49">
        <f t="shared" si="377"/>
        <v>3.7115902569630026</v>
      </c>
      <c r="CL1436" s="229"/>
      <c r="CM1436" s="229"/>
      <c r="CN1436" s="229"/>
      <c r="CO1436" s="47" t="s">
        <v>2488</v>
      </c>
      <c r="CP1436" s="47" t="s">
        <v>2489</v>
      </c>
      <c r="CQ1436" s="224">
        <v>0.12005593793792708</v>
      </c>
      <c r="CR1436" s="224">
        <f>10^(CJ1436-CQ1436)</f>
        <v>0.7584798751171461</v>
      </c>
      <c r="CS1436" s="230" t="s">
        <v>539</v>
      </c>
      <c r="CT1436" s="230"/>
      <c r="CU1436" s="230"/>
      <c r="CV1436" s="335">
        <f t="shared" si="364"/>
        <v>75.60570974319981</v>
      </c>
      <c r="CW1436" s="230">
        <f t="shared" si="373"/>
        <v>1</v>
      </c>
      <c r="CX1436" s="336"/>
      <c r="CY1436" s="230" t="s">
        <v>5921</v>
      </c>
    </row>
    <row r="1437" spans="1:103" ht="11.25" customHeight="1" x14ac:dyDescent="0.2">
      <c r="A1437" s="72">
        <v>1435</v>
      </c>
      <c r="B1437" s="224">
        <v>256</v>
      </c>
      <c r="C1437" s="46" t="s">
        <v>7480</v>
      </c>
      <c r="D1437" s="46"/>
      <c r="E1437" s="114"/>
      <c r="F1437" s="114" t="s">
        <v>3761</v>
      </c>
      <c r="G1437" s="225">
        <v>81777891</v>
      </c>
      <c r="H1437" s="47" t="s">
        <v>3762</v>
      </c>
      <c r="I1437" s="47" t="s">
        <v>8148</v>
      </c>
      <c r="J1437" s="47" t="s">
        <v>3763</v>
      </c>
      <c r="K1437" s="47" t="s">
        <v>471</v>
      </c>
      <c r="L1437" s="47" t="s">
        <v>6031</v>
      </c>
      <c r="M1437" s="47" t="s">
        <v>6082</v>
      </c>
      <c r="N1437" s="47"/>
      <c r="O1437" s="47" t="s">
        <v>6083</v>
      </c>
      <c r="P1437" s="53"/>
      <c r="Q1437" s="53"/>
      <c r="R1437" s="53"/>
      <c r="S1437" s="53"/>
      <c r="T1437" s="48">
        <v>239.7</v>
      </c>
      <c r="U1437" s="98">
        <v>4.5890696704213605</v>
      </c>
      <c r="V1437" s="98">
        <v>0.82394659991656238</v>
      </c>
      <c r="W1437" s="98">
        <v>1.995262314968878</v>
      </c>
      <c r="X1437" s="98">
        <v>4.5890696704213605</v>
      </c>
      <c r="Y1437" s="233">
        <v>7</v>
      </c>
      <c r="Z1437" s="48">
        <v>2.86</v>
      </c>
      <c r="AA1437" s="48">
        <v>2.5</v>
      </c>
      <c r="AB1437" s="48">
        <v>2.44</v>
      </c>
      <c r="AC1437" s="48">
        <v>0.77280000000000004</v>
      </c>
      <c r="AD1437" s="48">
        <v>2.36</v>
      </c>
      <c r="AE1437" s="48">
        <v>2.17</v>
      </c>
      <c r="AF1437" s="48">
        <f t="shared" si="371"/>
        <v>2.5</v>
      </c>
      <c r="AG1437" s="49">
        <v>2.2400000000000002</v>
      </c>
      <c r="AH1437" s="98">
        <v>7.3199999999999995E-10</v>
      </c>
      <c r="AI1437" s="98">
        <v>4.1299999999999999E-8</v>
      </c>
      <c r="AJ1437" s="483">
        <f t="shared" si="376"/>
        <v>-7.5240552452542602</v>
      </c>
      <c r="AK1437" s="483">
        <f>LOG10(AI1437*1000/(0.08206*298.15))</f>
        <v>-5.7726162746562508</v>
      </c>
      <c r="AL1437" s="483">
        <f t="shared" si="375"/>
        <v>-5.7726162746562508</v>
      </c>
      <c r="AM1437" s="483">
        <v>-11.32104</v>
      </c>
      <c r="AN1437" s="226">
        <v>-5</v>
      </c>
      <c r="AO1437" s="484"/>
      <c r="AP1437" s="484">
        <v>-1.48</v>
      </c>
      <c r="AQ1437" s="226" t="s">
        <v>6311</v>
      </c>
      <c r="AR1437" s="226" t="s">
        <v>6311</v>
      </c>
      <c r="AS1437" s="224" t="s">
        <v>6</v>
      </c>
      <c r="AT1437" s="50" t="s">
        <v>266</v>
      </c>
      <c r="AU1437" s="48">
        <v>8</v>
      </c>
      <c r="AV1437" s="48">
        <v>144</v>
      </c>
      <c r="AW1437" s="48">
        <v>120</v>
      </c>
      <c r="AX1437" s="48">
        <v>26</v>
      </c>
      <c r="AY1437" s="48" t="s">
        <v>267</v>
      </c>
      <c r="AZ1437" s="48" t="s">
        <v>2253</v>
      </c>
      <c r="BA1437" s="48">
        <v>3</v>
      </c>
      <c r="BB1437" s="47" t="s">
        <v>2254</v>
      </c>
      <c r="BC1437" s="47" t="s">
        <v>270</v>
      </c>
      <c r="BD1437" s="47" t="s">
        <v>8374</v>
      </c>
      <c r="BE1437" s="48" t="s">
        <v>1712</v>
      </c>
      <c r="BF1437" s="48" t="s">
        <v>272</v>
      </c>
      <c r="BG1437" s="48" t="s">
        <v>272</v>
      </c>
      <c r="BH1437" s="48" t="s">
        <v>2255</v>
      </c>
      <c r="BI1437" s="98">
        <v>9.9999999999999995E-7</v>
      </c>
      <c r="BJ1437" s="98">
        <v>0.08</v>
      </c>
      <c r="BK1437" s="48"/>
      <c r="BL1437" s="98">
        <f t="shared" si="372"/>
        <v>0.13875032210551053</v>
      </c>
      <c r="BM1437" s="48" t="s">
        <v>891</v>
      </c>
      <c r="BN1437" s="233"/>
      <c r="BO1437" s="233"/>
      <c r="BP1437" s="233"/>
      <c r="BQ1437" s="233"/>
      <c r="BR1437" s="233"/>
      <c r="BS1437" s="48"/>
      <c r="BT1437" s="233"/>
      <c r="BU1437" s="228"/>
      <c r="BV1437" s="233"/>
      <c r="BW1437" s="233"/>
      <c r="BX1437" s="233"/>
      <c r="BY1437" s="233"/>
      <c r="BZ1437" s="233"/>
      <c r="CA1437" s="233"/>
      <c r="CB1437" s="233"/>
      <c r="CC1437" s="48"/>
      <c r="CD1437" s="48"/>
      <c r="CE1437" s="48"/>
      <c r="CF1437" s="48"/>
      <c r="CG1437" s="233"/>
      <c r="CH1437" s="48"/>
      <c r="CI1437" s="98"/>
      <c r="CJ1437" s="98"/>
      <c r="CK1437" s="49">
        <f t="shared" si="377"/>
        <v>1.7343790263188816</v>
      </c>
      <c r="CL1437" s="229"/>
      <c r="CM1437" s="229"/>
      <c r="CN1437" s="229"/>
      <c r="CO1437" s="47" t="s">
        <v>892</v>
      </c>
      <c r="CP1437" s="47" t="s">
        <v>893</v>
      </c>
      <c r="CQ1437" s="224" t="s">
        <v>272</v>
      </c>
      <c r="CR1437" s="224"/>
      <c r="CS1437" s="230" t="s">
        <v>539</v>
      </c>
      <c r="CT1437" s="230"/>
      <c r="CU1437" s="230"/>
      <c r="CV1437" s="335">
        <f t="shared" si="364"/>
        <v>57.363370880267006</v>
      </c>
      <c r="CW1437" s="230">
        <f t="shared" si="373"/>
        <v>1</v>
      </c>
      <c r="CX1437" s="336" t="s">
        <v>539</v>
      </c>
      <c r="CY1437" s="230" t="s">
        <v>5921</v>
      </c>
    </row>
    <row r="1438" spans="1:103" ht="11.25" customHeight="1" x14ac:dyDescent="0.2">
      <c r="A1438" s="72">
        <v>1436</v>
      </c>
      <c r="B1438" s="224">
        <v>1559</v>
      </c>
      <c r="C1438" s="46" t="s">
        <v>7480</v>
      </c>
      <c r="D1438" s="46"/>
      <c r="E1438" s="114"/>
      <c r="F1438" s="114" t="s">
        <v>3761</v>
      </c>
      <c r="G1438" s="225">
        <v>81777891</v>
      </c>
      <c r="H1438" s="47" t="s">
        <v>3762</v>
      </c>
      <c r="I1438" s="47" t="s">
        <v>8148</v>
      </c>
      <c r="J1438" s="47" t="s">
        <v>3763</v>
      </c>
      <c r="K1438" s="47" t="s">
        <v>471</v>
      </c>
      <c r="L1438" s="47" t="s">
        <v>6031</v>
      </c>
      <c r="M1438" s="47" t="s">
        <v>6082</v>
      </c>
      <c r="N1438" s="47"/>
      <c r="O1438" s="47" t="s">
        <v>6083</v>
      </c>
      <c r="P1438" s="53"/>
      <c r="Q1438" s="53"/>
      <c r="R1438" s="53"/>
      <c r="S1438" s="53"/>
      <c r="T1438" s="48">
        <v>239.7</v>
      </c>
      <c r="U1438" s="98">
        <v>4.5890696704213605</v>
      </c>
      <c r="V1438" s="98">
        <v>0.82394659991656238</v>
      </c>
      <c r="W1438" s="98">
        <v>1.995262314968878</v>
      </c>
      <c r="X1438" s="98">
        <v>4.5890696704213605</v>
      </c>
      <c r="Y1438" s="233">
        <v>7</v>
      </c>
      <c r="Z1438" s="48">
        <v>2.86</v>
      </c>
      <c r="AA1438" s="48">
        <v>2.5</v>
      </c>
      <c r="AB1438" s="48">
        <v>2.44</v>
      </c>
      <c r="AC1438" s="48">
        <v>0.77280000000000004</v>
      </c>
      <c r="AD1438" s="48">
        <v>2.36</v>
      </c>
      <c r="AE1438" s="48">
        <v>2.17</v>
      </c>
      <c r="AF1438" s="48">
        <f t="shared" ref="AF1438:AF1469" si="379">IF(AA1438=0,AD1438,AA1438)</f>
        <v>2.5</v>
      </c>
      <c r="AG1438" s="49">
        <v>2.2400000000000002</v>
      </c>
      <c r="AH1438" s="98">
        <v>7.3199999999999995E-10</v>
      </c>
      <c r="AI1438" s="98">
        <v>4.1299999999999999E-8</v>
      </c>
      <c r="AJ1438" s="483">
        <f t="shared" si="376"/>
        <v>-7.5240552452542602</v>
      </c>
      <c r="AK1438" s="483">
        <f>LOG10(AI1438*1000/(0.08206*298.15))</f>
        <v>-5.7726162746562508</v>
      </c>
      <c r="AL1438" s="483">
        <f t="shared" si="375"/>
        <v>-5.7726162746562508</v>
      </c>
      <c r="AM1438" s="483">
        <v>-11.32104</v>
      </c>
      <c r="AN1438" s="226">
        <v>-5</v>
      </c>
      <c r="AO1438" s="484"/>
      <c r="AP1438" s="484">
        <v>-1.48</v>
      </c>
      <c r="AQ1438" s="48" t="s">
        <v>6311</v>
      </c>
      <c r="AR1438" s="48" t="s">
        <v>6311</v>
      </c>
      <c r="AS1438" s="227"/>
      <c r="AT1438" s="50" t="s">
        <v>266</v>
      </c>
      <c r="AU1438" s="48">
        <v>6</v>
      </c>
      <c r="AV1438" s="48">
        <v>120</v>
      </c>
      <c r="AW1438" s="48">
        <v>114</v>
      </c>
      <c r="AX1438" s="48">
        <v>28</v>
      </c>
      <c r="AY1438" s="48" t="s">
        <v>8728</v>
      </c>
      <c r="AZ1438" s="48" t="s">
        <v>1563</v>
      </c>
      <c r="BA1438" s="48">
        <v>32</v>
      </c>
      <c r="BB1438" s="47" t="s">
        <v>2485</v>
      </c>
      <c r="BC1438" s="47" t="s">
        <v>8726</v>
      </c>
      <c r="BD1438" s="47" t="s">
        <v>8374</v>
      </c>
      <c r="BE1438" s="48" t="s">
        <v>2449</v>
      </c>
      <c r="BF1438" s="48" t="s">
        <v>272</v>
      </c>
      <c r="BG1438" s="48" t="s">
        <v>272</v>
      </c>
      <c r="BH1438" s="48" t="s">
        <v>2486</v>
      </c>
      <c r="BI1438" s="98">
        <v>6.3999999999999997E-6</v>
      </c>
      <c r="BJ1438" s="98">
        <v>6.4000000000000001E-2</v>
      </c>
      <c r="BK1438" s="48"/>
      <c r="BL1438" s="98">
        <f t="shared" si="372"/>
        <v>0.13875032210551053</v>
      </c>
      <c r="BM1438" s="47" t="s">
        <v>2487</v>
      </c>
      <c r="BN1438" s="48"/>
      <c r="BO1438" s="48"/>
      <c r="BP1438" s="48"/>
      <c r="BQ1438" s="48"/>
      <c r="BR1438" s="47" t="s">
        <v>2496</v>
      </c>
      <c r="BS1438" s="48"/>
      <c r="BT1438" s="48"/>
      <c r="BU1438" s="228"/>
      <c r="BV1438" s="48"/>
      <c r="BW1438" s="48"/>
      <c r="BX1438" s="48"/>
      <c r="BY1438" s="48"/>
      <c r="BZ1438" s="48"/>
      <c r="CA1438" s="48"/>
      <c r="CB1438" s="48"/>
      <c r="CC1438" s="48"/>
      <c r="CD1438" s="48"/>
      <c r="CE1438" s="48"/>
      <c r="CF1438" s="48"/>
      <c r="CG1438" s="48"/>
      <c r="CH1438" s="48"/>
      <c r="CI1438" s="98"/>
      <c r="CJ1438" s="98"/>
      <c r="CK1438" s="49">
        <f t="shared" si="377"/>
        <v>2.1679737828986019</v>
      </c>
      <c r="CL1438" s="229"/>
      <c r="CM1438" s="229"/>
      <c r="CN1438" s="229"/>
      <c r="CO1438" s="47" t="s">
        <v>2488</v>
      </c>
      <c r="CP1438" s="47" t="s">
        <v>2489</v>
      </c>
      <c r="CQ1438" s="224" t="s">
        <v>272</v>
      </c>
      <c r="CR1438" s="224"/>
      <c r="CS1438" s="230" t="s">
        <v>539</v>
      </c>
      <c r="CT1438" s="230"/>
      <c r="CU1438" s="230"/>
      <c r="CV1438" s="335">
        <f t="shared" ref="CV1438:CV1501" si="380">X1438/BJ1438</f>
        <v>71.704213600333759</v>
      </c>
      <c r="CW1438" s="230">
        <f t="shared" si="373"/>
        <v>1</v>
      </c>
      <c r="CX1438" s="336"/>
      <c r="CY1438" s="230" t="s">
        <v>5921</v>
      </c>
    </row>
    <row r="1439" spans="1:103" ht="11.25" customHeight="1" x14ac:dyDescent="0.2">
      <c r="A1439" s="72">
        <v>1437</v>
      </c>
      <c r="B1439" s="224">
        <v>642</v>
      </c>
      <c r="C1439" s="46" t="s">
        <v>7481</v>
      </c>
      <c r="D1439" s="46"/>
      <c r="E1439" s="114"/>
      <c r="F1439" s="114" t="s">
        <v>4047</v>
      </c>
      <c r="G1439" s="225">
        <v>82097505</v>
      </c>
      <c r="H1439" s="47" t="s">
        <v>4048</v>
      </c>
      <c r="I1439" s="47" t="s">
        <v>8149</v>
      </c>
      <c r="J1439" s="47" t="s">
        <v>4049</v>
      </c>
      <c r="K1439" s="47" t="s">
        <v>4050</v>
      </c>
      <c r="L1439" s="47"/>
      <c r="M1439" s="47"/>
      <c r="N1439" s="47"/>
      <c r="O1439" s="47"/>
      <c r="P1439" s="53" t="s">
        <v>6178</v>
      </c>
      <c r="Q1439" s="53" t="s">
        <v>6173</v>
      </c>
      <c r="R1439" s="53" t="s">
        <v>6177</v>
      </c>
      <c r="S1439" s="53" t="s">
        <v>6176</v>
      </c>
      <c r="T1439" s="48">
        <v>401.83</v>
      </c>
      <c r="U1439" s="98">
        <v>7.9635666824278931E-2</v>
      </c>
      <c r="V1439" s="98">
        <v>0.85359480377273977</v>
      </c>
      <c r="W1439" s="98">
        <v>0.11220184543019618</v>
      </c>
      <c r="X1439" s="98">
        <v>7.9635666824278931E-2</v>
      </c>
      <c r="Y1439" s="233">
        <v>4.12</v>
      </c>
      <c r="Z1439" s="48">
        <v>2.44</v>
      </c>
      <c r="AA1439" s="48">
        <v>1.1000000000000001</v>
      </c>
      <c r="AB1439" s="48">
        <v>1.76</v>
      </c>
      <c r="AC1439" s="48">
        <v>0.83699999999999997</v>
      </c>
      <c r="AD1439" s="48">
        <v>1.91</v>
      </c>
      <c r="AE1439" s="48">
        <v>2.36</v>
      </c>
      <c r="AF1439" s="48">
        <f t="shared" si="379"/>
        <v>1.1000000000000001</v>
      </c>
      <c r="AG1439" s="49">
        <v>1.71</v>
      </c>
      <c r="AH1439" s="98">
        <v>3.2299999999999999E-13</v>
      </c>
      <c r="AI1439" s="98"/>
      <c r="AJ1439" s="483">
        <f t="shared" si="376"/>
        <v>-10.879363803981549</v>
      </c>
      <c r="AK1439" s="483"/>
      <c r="AL1439" s="483">
        <f t="shared" si="375"/>
        <v>-10.879363803981549</v>
      </c>
      <c r="AM1439" s="483">
        <v>-24.565580000000001</v>
      </c>
      <c r="AN1439" s="226">
        <v>-23.3</v>
      </c>
      <c r="AO1439" s="484">
        <v>4.34</v>
      </c>
      <c r="AP1439" s="484">
        <v>2.6</v>
      </c>
      <c r="AQ1439" s="226" t="s">
        <v>6311</v>
      </c>
      <c r="AR1439" s="226" t="s">
        <v>6311</v>
      </c>
      <c r="AS1439" s="224" t="s">
        <v>6</v>
      </c>
      <c r="AT1439" s="50" t="s">
        <v>266</v>
      </c>
      <c r="AU1439" s="48">
        <v>8</v>
      </c>
      <c r="AV1439" s="48">
        <v>144</v>
      </c>
      <c r="AW1439" s="48">
        <v>120</v>
      </c>
      <c r="AX1439" s="48">
        <v>26</v>
      </c>
      <c r="AY1439" s="48" t="s">
        <v>267</v>
      </c>
      <c r="AZ1439" s="48" t="s">
        <v>2253</v>
      </c>
      <c r="BA1439" s="48">
        <v>2</v>
      </c>
      <c r="BB1439" s="47" t="s">
        <v>2254</v>
      </c>
      <c r="BC1439" s="47" t="s">
        <v>270</v>
      </c>
      <c r="BD1439" s="47" t="s">
        <v>8374</v>
      </c>
      <c r="BE1439" s="48" t="s">
        <v>1712</v>
      </c>
      <c r="BF1439" s="48" t="s">
        <v>272</v>
      </c>
      <c r="BG1439" s="48" t="s">
        <v>272</v>
      </c>
      <c r="BH1439" s="48" t="s">
        <v>2255</v>
      </c>
      <c r="BI1439" s="98">
        <v>9.9999999999999995E-7</v>
      </c>
      <c r="BJ1439" s="98">
        <v>0.08</v>
      </c>
      <c r="BK1439" s="48"/>
      <c r="BL1439" s="98">
        <f t="shared" si="372"/>
        <v>0.33070137451269566</v>
      </c>
      <c r="BM1439" s="48" t="s">
        <v>891</v>
      </c>
      <c r="BN1439" s="233"/>
      <c r="BO1439" s="233"/>
      <c r="BP1439" s="233"/>
      <c r="BQ1439" s="233"/>
      <c r="BR1439" s="233"/>
      <c r="BS1439" s="48"/>
      <c r="BT1439" s="233"/>
      <c r="BU1439" s="228"/>
      <c r="BV1439" s="233"/>
      <c r="BW1439" s="233"/>
      <c r="BX1439" s="233"/>
      <c r="BY1439" s="233"/>
      <c r="BZ1439" s="233"/>
      <c r="CA1439" s="233"/>
      <c r="CB1439" s="233"/>
      <c r="CC1439" s="48"/>
      <c r="CD1439" s="48"/>
      <c r="CE1439" s="48"/>
      <c r="CF1439" s="48"/>
      <c r="CG1439" s="233"/>
      <c r="CH1439" s="48"/>
      <c r="CI1439" s="98"/>
      <c r="CJ1439" s="98"/>
      <c r="CK1439" s="49">
        <f t="shared" si="377"/>
        <v>4.1337671814086958</v>
      </c>
      <c r="CL1439" s="229"/>
      <c r="CM1439" s="229"/>
      <c r="CN1439" s="229"/>
      <c r="CO1439" s="47" t="s">
        <v>892</v>
      </c>
      <c r="CP1439" s="47" t="s">
        <v>893</v>
      </c>
      <c r="CQ1439" s="224" t="s">
        <v>272</v>
      </c>
      <c r="CR1439" s="224"/>
      <c r="CS1439" s="230" t="s">
        <v>539</v>
      </c>
      <c r="CT1439" s="230"/>
      <c r="CU1439" s="230"/>
      <c r="CV1439" s="335">
        <f t="shared" si="380"/>
        <v>0.99544583530348663</v>
      </c>
      <c r="CW1439" s="230">
        <f t="shared" si="373"/>
        <v>0</v>
      </c>
      <c r="CX1439" s="336" t="s">
        <v>539</v>
      </c>
      <c r="CY1439" s="230" t="s">
        <v>5921</v>
      </c>
    </row>
    <row r="1440" spans="1:103" ht="11.25" customHeight="1" x14ac:dyDescent="0.2">
      <c r="A1440" s="72">
        <v>1438</v>
      </c>
      <c r="B1440" s="224">
        <v>1870</v>
      </c>
      <c r="C1440" s="46" t="s">
        <v>7482</v>
      </c>
      <c r="D1440" s="46"/>
      <c r="E1440" s="114"/>
      <c r="F1440" s="114" t="s">
        <v>728</v>
      </c>
      <c r="G1440" s="225">
        <v>82385420</v>
      </c>
      <c r="H1440" s="47" t="s">
        <v>5312</v>
      </c>
      <c r="I1440" s="47" t="s">
        <v>8150</v>
      </c>
      <c r="J1440" s="47" t="s">
        <v>5313</v>
      </c>
      <c r="K1440" s="47"/>
      <c r="L1440" s="47"/>
      <c r="M1440" s="47"/>
      <c r="N1440" s="47"/>
      <c r="O1440" s="47"/>
      <c r="P1440" s="53"/>
      <c r="Q1440" s="53"/>
      <c r="R1440" s="53"/>
      <c r="S1440" s="53"/>
      <c r="T1440" s="48">
        <v>183.19</v>
      </c>
      <c r="U1440" s="98"/>
      <c r="V1440" s="98"/>
      <c r="W1440" s="98">
        <v>33.113112148259106</v>
      </c>
      <c r="X1440" s="98">
        <f>IF(W1440=0,V1440,W1440)</f>
        <v>33.113112148259106</v>
      </c>
      <c r="Y1440" s="233">
        <v>1.63</v>
      </c>
      <c r="Z1440" s="48"/>
      <c r="AA1440" s="48"/>
      <c r="AB1440" s="48">
        <v>0.53</v>
      </c>
      <c r="AC1440" s="48">
        <v>0.3251</v>
      </c>
      <c r="AD1440" s="48">
        <v>0.49</v>
      </c>
      <c r="AE1440" s="48">
        <v>0.46</v>
      </c>
      <c r="AF1440" s="48">
        <f t="shared" si="379"/>
        <v>0.49</v>
      </c>
      <c r="AG1440" s="49">
        <v>3.93</v>
      </c>
      <c r="AH1440" s="98"/>
      <c r="AI1440" s="98"/>
      <c r="AJ1440" s="483"/>
      <c r="AK1440" s="483"/>
      <c r="AL1440" s="483"/>
      <c r="AM1440" s="483">
        <v>-12.028979999999999</v>
      </c>
      <c r="AN1440" s="226">
        <v>-14.5</v>
      </c>
      <c r="AO1440" s="484">
        <v>1.1599999999999999</v>
      </c>
      <c r="AP1440" s="484">
        <v>-6.9</v>
      </c>
      <c r="AQ1440" s="226" t="s">
        <v>6311</v>
      </c>
      <c r="AR1440" s="226" t="s">
        <v>6311</v>
      </c>
      <c r="AS1440" s="224"/>
      <c r="AT1440" s="50" t="s">
        <v>266</v>
      </c>
      <c r="AU1440" s="48">
        <v>6</v>
      </c>
      <c r="AV1440" s="48">
        <v>120</v>
      </c>
      <c r="AW1440" s="48">
        <v>114</v>
      </c>
      <c r="AX1440" s="48">
        <v>28</v>
      </c>
      <c r="AY1440" s="48" t="s">
        <v>8728</v>
      </c>
      <c r="AZ1440" s="48" t="s">
        <v>1563</v>
      </c>
      <c r="BA1440" s="48">
        <v>32</v>
      </c>
      <c r="BB1440" s="47" t="s">
        <v>2485</v>
      </c>
      <c r="BC1440" s="47" t="s">
        <v>8726</v>
      </c>
      <c r="BD1440" s="47" t="s">
        <v>8374</v>
      </c>
      <c r="BE1440" s="48" t="s">
        <v>2449</v>
      </c>
      <c r="BF1440" s="48" t="s">
        <v>272</v>
      </c>
      <c r="BG1440" s="48" t="s">
        <v>272</v>
      </c>
      <c r="BH1440" s="48" t="s">
        <v>2486</v>
      </c>
      <c r="BI1440" s="98">
        <v>6.3999999999999997E-6</v>
      </c>
      <c r="BJ1440" s="98">
        <v>6.4000000000000001E-2</v>
      </c>
      <c r="BK1440" s="48"/>
      <c r="BL1440" s="98"/>
      <c r="BM1440" s="47" t="s">
        <v>2487</v>
      </c>
      <c r="BN1440" s="48"/>
      <c r="BO1440" s="48"/>
      <c r="BP1440" s="48"/>
      <c r="BQ1440" s="48"/>
      <c r="BR1440" s="47" t="s">
        <v>2496</v>
      </c>
      <c r="BS1440" s="48"/>
      <c r="BT1440" s="48"/>
      <c r="BU1440" s="228"/>
      <c r="BV1440" s="48"/>
      <c r="BW1440" s="48"/>
      <c r="BX1440" s="48"/>
      <c r="BY1440" s="48"/>
      <c r="BZ1440" s="48"/>
      <c r="CA1440" s="48"/>
      <c r="CB1440" s="48"/>
      <c r="CC1440" s="48"/>
      <c r="CD1440" s="48"/>
      <c r="CE1440" s="48"/>
      <c r="CF1440" s="48"/>
      <c r="CG1440" s="48"/>
      <c r="CH1440" s="48"/>
      <c r="CI1440" s="98"/>
      <c r="CJ1440" s="98"/>
      <c r="CK1440" s="49">
        <f t="shared" si="377"/>
        <v>0</v>
      </c>
      <c r="CL1440" s="229"/>
      <c r="CM1440" s="229"/>
      <c r="CN1440" s="229"/>
      <c r="CO1440" s="47" t="s">
        <v>2488</v>
      </c>
      <c r="CP1440" s="47" t="s">
        <v>2489</v>
      </c>
      <c r="CQ1440" s="224" t="s">
        <v>272</v>
      </c>
      <c r="CR1440" s="224"/>
      <c r="CS1440" s="230" t="s">
        <v>539</v>
      </c>
      <c r="CT1440" s="230"/>
      <c r="CU1440" s="230"/>
      <c r="CV1440" s="335">
        <f t="shared" si="380"/>
        <v>517.3923773165485</v>
      </c>
      <c r="CW1440" s="230">
        <f t="shared" si="373"/>
        <v>1</v>
      </c>
      <c r="CX1440" s="336"/>
      <c r="CY1440" s="230" t="s">
        <v>5921</v>
      </c>
    </row>
    <row r="1441" spans="1:103" ht="11.25" customHeight="1" x14ac:dyDescent="0.2">
      <c r="A1441" s="72">
        <v>1439</v>
      </c>
      <c r="B1441" s="224">
        <v>1171</v>
      </c>
      <c r="C1441" s="46" t="s">
        <v>1274</v>
      </c>
      <c r="D1441" s="46"/>
      <c r="E1441" s="114"/>
      <c r="F1441" s="114" t="s">
        <v>1275</v>
      </c>
      <c r="G1441" s="225">
        <v>82558507</v>
      </c>
      <c r="H1441" s="47" t="s">
        <v>1276</v>
      </c>
      <c r="I1441" s="47" t="s">
        <v>1276</v>
      </c>
      <c r="J1441" s="47" t="s">
        <v>1277</v>
      </c>
      <c r="K1441" s="47" t="s">
        <v>471</v>
      </c>
      <c r="L1441" s="51"/>
      <c r="M1441" s="47"/>
      <c r="N1441" s="47"/>
      <c r="O1441" s="47"/>
      <c r="P1441" s="53"/>
      <c r="Q1441" s="53"/>
      <c r="R1441" s="53"/>
      <c r="S1441" s="53"/>
      <c r="T1441" s="48">
        <v>332.39</v>
      </c>
      <c r="U1441" s="98">
        <v>4.2720900147417192E-3</v>
      </c>
      <c r="V1441" s="98">
        <v>1.0265050091759679E-2</v>
      </c>
      <c r="W1441" s="98">
        <v>2.4547089156850253E-2</v>
      </c>
      <c r="X1441" s="98">
        <v>4.2720900147417192E-3</v>
      </c>
      <c r="Y1441" s="233">
        <v>7</v>
      </c>
      <c r="Z1441" s="48">
        <v>3.98</v>
      </c>
      <c r="AA1441" s="48">
        <v>3.94</v>
      </c>
      <c r="AB1441" s="48">
        <v>3.7</v>
      </c>
      <c r="AC1441" s="48">
        <v>0.86580000000000001</v>
      </c>
      <c r="AD1441" s="48">
        <v>3.6</v>
      </c>
      <c r="AE1441" s="48">
        <v>3.25</v>
      </c>
      <c r="AF1441" s="48">
        <f t="shared" si="379"/>
        <v>3.94</v>
      </c>
      <c r="AG1441" s="49">
        <v>4.08</v>
      </c>
      <c r="AH1441" s="98">
        <v>2.0500000000000001E-13</v>
      </c>
      <c r="AI1441" s="98">
        <v>1.27E-9</v>
      </c>
      <c r="AJ1441" s="483">
        <f>LOG10(AH1441*1000/(0.08206*298.15))</f>
        <v>-11.076812465256898</v>
      </c>
      <c r="AK1441" s="483">
        <f>LOG10(AI1441*1000/(0.08206*298.15))</f>
        <v>-7.2847626053566952</v>
      </c>
      <c r="AL1441" s="483">
        <f t="shared" ref="AL1441:AL1476" si="381">IF(AK1441=0,AJ1441,AK1441)</f>
        <v>-7.2847626053566952</v>
      </c>
      <c r="AM1441" s="483">
        <v>-16.252230000000001</v>
      </c>
      <c r="AN1441" s="226">
        <v>-7.83</v>
      </c>
      <c r="AO1441" s="484">
        <v>11.44</v>
      </c>
      <c r="AP1441" s="484">
        <v>-1.64</v>
      </c>
      <c r="AQ1441" s="48" t="s">
        <v>6311</v>
      </c>
      <c r="AR1441" s="48" t="s">
        <v>6311</v>
      </c>
      <c r="AS1441" s="227"/>
      <c r="AT1441" s="50" t="s">
        <v>266</v>
      </c>
      <c r="AU1441" s="48">
        <v>6</v>
      </c>
      <c r="AV1441" s="48">
        <v>120</v>
      </c>
      <c r="AW1441" s="48">
        <v>114</v>
      </c>
      <c r="AX1441" s="48">
        <v>28</v>
      </c>
      <c r="AY1441" s="48" t="s">
        <v>8728</v>
      </c>
      <c r="AZ1441" s="48" t="s">
        <v>1563</v>
      </c>
      <c r="BA1441" s="48">
        <v>32</v>
      </c>
      <c r="BB1441" s="47" t="s">
        <v>2485</v>
      </c>
      <c r="BC1441" s="47" t="s">
        <v>8726</v>
      </c>
      <c r="BD1441" s="47" t="s">
        <v>8374</v>
      </c>
      <c r="BE1441" s="48" t="s">
        <v>2449</v>
      </c>
      <c r="BF1441" s="48" t="s">
        <v>272</v>
      </c>
      <c r="BG1441" s="48" t="s">
        <v>272</v>
      </c>
      <c r="BH1441" s="48" t="s">
        <v>2486</v>
      </c>
      <c r="BI1441" s="98">
        <v>6.3999999999999997E-6</v>
      </c>
      <c r="BJ1441" s="98">
        <v>6.4000000000000001E-2</v>
      </c>
      <c r="BK1441" s="48"/>
      <c r="BL1441" s="98">
        <f t="shared" ref="BL1441:BL1476" si="382">10^((-0.8981*Z1441)+1.7108)</f>
        <v>1.3688693518103673E-2</v>
      </c>
      <c r="BM1441" s="47" t="s">
        <v>2487</v>
      </c>
      <c r="BN1441" s="48"/>
      <c r="BO1441" s="48"/>
      <c r="BP1441" s="48"/>
      <c r="BQ1441" s="48"/>
      <c r="BR1441" s="47" t="s">
        <v>2496</v>
      </c>
      <c r="BS1441" s="48"/>
      <c r="BT1441" s="48"/>
      <c r="BU1441" s="228">
        <v>6.3999999999999997E-6</v>
      </c>
      <c r="BV1441" s="48"/>
      <c r="BW1441" s="48"/>
      <c r="BX1441" s="48"/>
      <c r="BY1441" s="48"/>
      <c r="BZ1441" s="48"/>
      <c r="CA1441" s="48"/>
      <c r="CB1441" s="48"/>
      <c r="CC1441" s="48"/>
      <c r="CD1441" s="48"/>
      <c r="CE1441" s="48"/>
      <c r="CF1441" s="48"/>
      <c r="CG1441" s="48"/>
      <c r="CH1441" s="48"/>
      <c r="CI1441" s="98"/>
      <c r="CJ1441" s="98"/>
      <c r="CK1441" s="49">
        <f t="shared" si="377"/>
        <v>0.21388583622036988</v>
      </c>
      <c r="CL1441" s="229"/>
      <c r="CM1441" s="229"/>
      <c r="CN1441" s="229"/>
      <c r="CO1441" s="47" t="s">
        <v>2488</v>
      </c>
      <c r="CP1441" s="47" t="s">
        <v>2489</v>
      </c>
      <c r="CQ1441" s="224" t="s">
        <v>272</v>
      </c>
      <c r="CR1441" s="224"/>
      <c r="CS1441" s="230" t="s">
        <v>539</v>
      </c>
      <c r="CT1441" s="230"/>
      <c r="CU1441" s="230"/>
      <c r="CV1441" s="335">
        <f t="shared" si="380"/>
        <v>6.6751406480339365E-2</v>
      </c>
      <c r="CW1441" s="230">
        <f t="shared" si="373"/>
        <v>0</v>
      </c>
      <c r="CX1441" s="336"/>
      <c r="CY1441" s="230" t="s">
        <v>5921</v>
      </c>
    </row>
    <row r="1442" spans="1:103" ht="11.25" customHeight="1" x14ac:dyDescent="0.2">
      <c r="A1442" s="72">
        <v>1440</v>
      </c>
      <c r="B1442" s="224">
        <v>1265</v>
      </c>
      <c r="C1442" s="46" t="s">
        <v>7483</v>
      </c>
      <c r="D1442" s="46"/>
      <c r="E1442" s="114"/>
      <c r="F1442" s="114" t="s">
        <v>3473</v>
      </c>
      <c r="G1442" s="225">
        <v>82640048</v>
      </c>
      <c r="H1442" s="47" t="s">
        <v>3474</v>
      </c>
      <c r="I1442" s="47" t="s">
        <v>7813</v>
      </c>
      <c r="J1442" s="47" t="s">
        <v>3475</v>
      </c>
      <c r="K1442" s="47" t="s">
        <v>3476</v>
      </c>
      <c r="L1442" s="47"/>
      <c r="M1442" s="47"/>
      <c r="N1442" s="47"/>
      <c r="O1442" s="47"/>
      <c r="P1442" s="53"/>
      <c r="Q1442" s="53"/>
      <c r="R1442" s="53"/>
      <c r="S1442" s="53"/>
      <c r="T1442" s="48">
        <v>312.39999999999998</v>
      </c>
      <c r="U1442" s="98"/>
      <c r="V1442" s="98">
        <v>0.22685659411011527</v>
      </c>
      <c r="W1442" s="98">
        <v>0.45708818961487496</v>
      </c>
      <c r="X1442" s="98">
        <f>IF(W1442=0,V1442,W1442)</f>
        <v>0.45708818961487496</v>
      </c>
      <c r="Y1442" s="233">
        <v>9.24</v>
      </c>
      <c r="Z1442" s="48">
        <v>2.54</v>
      </c>
      <c r="AA1442" s="48"/>
      <c r="AB1442" s="48">
        <v>0.96</v>
      </c>
      <c r="AC1442" s="48">
        <v>0.51959999999999995</v>
      </c>
      <c r="AD1442" s="48">
        <v>1.73</v>
      </c>
      <c r="AE1442" s="48">
        <v>2.52</v>
      </c>
      <c r="AF1442" s="48">
        <f t="shared" si="379"/>
        <v>1.73</v>
      </c>
      <c r="AG1442" s="49">
        <v>1.68</v>
      </c>
      <c r="AH1442" s="98">
        <v>2.8000000000000001E-15</v>
      </c>
      <c r="AI1442" s="98"/>
      <c r="AJ1442" s="483">
        <f t="shared" ref="AJ1442:AJ1476" si="383">LOG10(AH1442*1000/(0.08206*298.15))</f>
        <v>-12.941408294970433</v>
      </c>
      <c r="AK1442" s="483"/>
      <c r="AL1442" s="483">
        <f t="shared" si="381"/>
        <v>-12.941408294970433</v>
      </c>
      <c r="AM1442" s="483">
        <v>-15.802000000000001</v>
      </c>
      <c r="AN1442" s="226">
        <v>-9.58</v>
      </c>
      <c r="AO1442" s="484">
        <v>10.54</v>
      </c>
      <c r="AP1442" s="484">
        <v>8.9499999999999993</v>
      </c>
      <c r="AQ1442" s="48" t="s">
        <v>6311</v>
      </c>
      <c r="AR1442" s="48" t="s">
        <v>6312</v>
      </c>
      <c r="AS1442" s="227"/>
      <c r="AT1442" s="50" t="s">
        <v>266</v>
      </c>
      <c r="AU1442" s="48">
        <v>6</v>
      </c>
      <c r="AV1442" s="48">
        <v>120</v>
      </c>
      <c r="AW1442" s="48">
        <v>114</v>
      </c>
      <c r="AX1442" s="48">
        <v>28</v>
      </c>
      <c r="AY1442" s="48" t="s">
        <v>8728</v>
      </c>
      <c r="AZ1442" s="48" t="s">
        <v>1563</v>
      </c>
      <c r="BA1442" s="48">
        <v>32</v>
      </c>
      <c r="BB1442" s="47" t="s">
        <v>2485</v>
      </c>
      <c r="BC1442" s="47" t="s">
        <v>8726</v>
      </c>
      <c r="BD1442" s="47" t="s">
        <v>8374</v>
      </c>
      <c r="BE1442" s="48" t="s">
        <v>2449</v>
      </c>
      <c r="BF1442" s="48" t="s">
        <v>272</v>
      </c>
      <c r="BG1442" s="48" t="s">
        <v>272</v>
      </c>
      <c r="BH1442" s="48" t="s">
        <v>2486</v>
      </c>
      <c r="BI1442" s="98">
        <v>6.3999999999999997E-6</v>
      </c>
      <c r="BJ1442" s="98">
        <v>6.4000000000000001E-2</v>
      </c>
      <c r="BK1442" s="48"/>
      <c r="BL1442" s="98">
        <f t="shared" si="382"/>
        <v>0.26892179411918804</v>
      </c>
      <c r="BM1442" s="47" t="s">
        <v>2487</v>
      </c>
      <c r="BN1442" s="48"/>
      <c r="BO1442" s="48"/>
      <c r="BP1442" s="48"/>
      <c r="BQ1442" s="48"/>
      <c r="BR1442" s="47" t="s">
        <v>2496</v>
      </c>
      <c r="BS1442" s="48"/>
      <c r="BT1442" s="48"/>
      <c r="BU1442" s="228">
        <v>6.3999999999999997E-5</v>
      </c>
      <c r="BV1442" s="48"/>
      <c r="BW1442" s="48"/>
      <c r="BX1442" s="48"/>
      <c r="BY1442" s="48"/>
      <c r="BZ1442" s="48"/>
      <c r="CA1442" s="48"/>
      <c r="CB1442" s="48"/>
      <c r="CC1442" s="48"/>
      <c r="CD1442" s="48"/>
      <c r="CE1442" s="48"/>
      <c r="CF1442" s="48"/>
      <c r="CG1442" s="48"/>
      <c r="CH1442" s="48"/>
      <c r="CI1442" s="98"/>
      <c r="CJ1442" s="98"/>
      <c r="CK1442" s="49">
        <f t="shared" si="377"/>
        <v>4.2019030331123126</v>
      </c>
      <c r="CL1442" s="229"/>
      <c r="CM1442" s="229"/>
      <c r="CN1442" s="229"/>
      <c r="CO1442" s="47" t="s">
        <v>2488</v>
      </c>
      <c r="CP1442" s="47" t="s">
        <v>2489</v>
      </c>
      <c r="CQ1442" s="224" t="s">
        <v>272</v>
      </c>
      <c r="CR1442" s="224"/>
      <c r="CS1442" s="230" t="s">
        <v>539</v>
      </c>
      <c r="CT1442" s="230"/>
      <c r="CU1442" s="230"/>
      <c r="CV1442" s="335">
        <f t="shared" si="380"/>
        <v>7.1420029627324215</v>
      </c>
      <c r="CW1442" s="230">
        <f t="shared" si="373"/>
        <v>1</v>
      </c>
      <c r="CX1442" s="336"/>
      <c r="CY1442" s="230" t="s">
        <v>5921</v>
      </c>
    </row>
    <row r="1443" spans="1:103" ht="11.25" customHeight="1" x14ac:dyDescent="0.2">
      <c r="A1443" s="72">
        <v>1441</v>
      </c>
      <c r="B1443" s="224">
        <v>231</v>
      </c>
      <c r="C1443" s="46" t="s">
        <v>7484</v>
      </c>
      <c r="D1443" s="46"/>
      <c r="E1443" s="114"/>
      <c r="F1443" s="114" t="s">
        <v>3731</v>
      </c>
      <c r="G1443" s="225">
        <v>83055996</v>
      </c>
      <c r="H1443" s="47" t="s">
        <v>3732</v>
      </c>
      <c r="I1443" s="47" t="s">
        <v>3732</v>
      </c>
      <c r="J1443" s="47" t="s">
        <v>3733</v>
      </c>
      <c r="K1443" s="47" t="s">
        <v>1391</v>
      </c>
      <c r="L1443" s="47"/>
      <c r="M1443" s="47"/>
      <c r="N1443" s="47"/>
      <c r="O1443" s="47"/>
      <c r="P1443" s="53"/>
      <c r="Q1443" s="53"/>
      <c r="R1443" s="53"/>
      <c r="S1443" s="53"/>
      <c r="T1443" s="48">
        <v>410.4</v>
      </c>
      <c r="U1443" s="98">
        <v>0.29239766081871349</v>
      </c>
      <c r="V1443" s="98">
        <v>5.7358674463937623E-2</v>
      </c>
      <c r="W1443" s="98">
        <v>0.15135612484362068</v>
      </c>
      <c r="X1443" s="98">
        <v>0.29239766081871349</v>
      </c>
      <c r="Y1443" s="233">
        <v>3.96</v>
      </c>
      <c r="Z1443" s="48">
        <v>1.41</v>
      </c>
      <c r="AA1443" s="48">
        <v>2.4</v>
      </c>
      <c r="AB1443" s="48">
        <v>2.11</v>
      </c>
      <c r="AC1443" s="48">
        <v>0.92310000000000003</v>
      </c>
      <c r="AD1443" s="48">
        <v>2.15</v>
      </c>
      <c r="AE1443" s="48">
        <v>2.38</v>
      </c>
      <c r="AF1443" s="48">
        <f t="shared" si="379"/>
        <v>2.4</v>
      </c>
      <c r="AG1443" s="49">
        <v>1.39</v>
      </c>
      <c r="AH1443" s="98">
        <v>3.5899999999999997E-14</v>
      </c>
      <c r="AI1443" s="98">
        <v>3.7799999999999999E-15</v>
      </c>
      <c r="AJ1443" s="483">
        <f t="shared" si="383"/>
        <v>-11.833471877734333</v>
      </c>
      <c r="AK1443" s="483">
        <f>LOG10(AI1443*1000/(0.08206*298.15))</f>
        <v>-12.811074526475426</v>
      </c>
      <c r="AL1443" s="483">
        <f t="shared" si="381"/>
        <v>-12.811074526475426</v>
      </c>
      <c r="AM1443" s="483">
        <v>-26.052250000000001</v>
      </c>
      <c r="AN1443" s="226">
        <v>-13.2</v>
      </c>
      <c r="AO1443" s="484">
        <v>3.46</v>
      </c>
      <c r="AP1443" s="484">
        <v>-0.73</v>
      </c>
      <c r="AQ1443" s="226" t="s">
        <v>6311</v>
      </c>
      <c r="AR1443" s="226" t="s">
        <v>6312</v>
      </c>
      <c r="AS1443" s="224" t="s">
        <v>6</v>
      </c>
      <c r="AT1443" s="50" t="s">
        <v>266</v>
      </c>
      <c r="AU1443" s="48">
        <v>8</v>
      </c>
      <c r="AV1443" s="48">
        <v>144</v>
      </c>
      <c r="AW1443" s="48">
        <v>120</v>
      </c>
      <c r="AX1443" s="48">
        <v>26</v>
      </c>
      <c r="AY1443" s="48" t="s">
        <v>267</v>
      </c>
      <c r="AZ1443" s="48" t="s">
        <v>2253</v>
      </c>
      <c r="BA1443" s="48">
        <v>2</v>
      </c>
      <c r="BB1443" s="47" t="s">
        <v>2254</v>
      </c>
      <c r="BC1443" s="47" t="s">
        <v>270</v>
      </c>
      <c r="BD1443" s="47" t="s">
        <v>8374</v>
      </c>
      <c r="BE1443" s="48" t="s">
        <v>1712</v>
      </c>
      <c r="BF1443" s="48" t="s">
        <v>272</v>
      </c>
      <c r="BG1443" s="48" t="s">
        <v>272</v>
      </c>
      <c r="BH1443" s="48" t="s">
        <v>2255</v>
      </c>
      <c r="BI1443" s="98">
        <v>9.9999999999999995E-7</v>
      </c>
      <c r="BJ1443" s="98">
        <v>0.08</v>
      </c>
      <c r="BK1443" s="48"/>
      <c r="BL1443" s="98">
        <f t="shared" si="382"/>
        <v>2.7827808112174197</v>
      </c>
      <c r="BM1443" s="48" t="s">
        <v>891</v>
      </c>
      <c r="BN1443" s="233"/>
      <c r="BO1443" s="233"/>
      <c r="BP1443" s="233"/>
      <c r="BQ1443" s="233"/>
      <c r="BR1443" s="233"/>
      <c r="BS1443" s="48"/>
      <c r="BT1443" s="233"/>
      <c r="BU1443" s="228"/>
      <c r="BV1443" s="233"/>
      <c r="BW1443" s="233"/>
      <c r="BX1443" s="233"/>
      <c r="BY1443" s="233"/>
      <c r="BZ1443" s="233"/>
      <c r="CA1443" s="233"/>
      <c r="CB1443" s="233"/>
      <c r="CC1443" s="48"/>
      <c r="CD1443" s="48"/>
      <c r="CE1443" s="48"/>
      <c r="CF1443" s="48"/>
      <c r="CG1443" s="233"/>
      <c r="CH1443" s="48"/>
      <c r="CI1443" s="98"/>
      <c r="CJ1443" s="98"/>
      <c r="CK1443" s="49">
        <f t="shared" si="377"/>
        <v>34.784760140217749</v>
      </c>
      <c r="CL1443" s="229"/>
      <c r="CM1443" s="229"/>
      <c r="CN1443" s="229"/>
      <c r="CO1443" s="47" t="s">
        <v>892</v>
      </c>
      <c r="CP1443" s="47" t="s">
        <v>893</v>
      </c>
      <c r="CQ1443" s="224" t="s">
        <v>272</v>
      </c>
      <c r="CR1443" s="224"/>
      <c r="CS1443" s="230" t="s">
        <v>539</v>
      </c>
      <c r="CT1443" s="230"/>
      <c r="CU1443" s="230"/>
      <c r="CV1443" s="335">
        <f t="shared" si="380"/>
        <v>3.6549707602339185</v>
      </c>
      <c r="CW1443" s="230">
        <f t="shared" si="373"/>
        <v>1</v>
      </c>
      <c r="CX1443" s="336" t="s">
        <v>539</v>
      </c>
      <c r="CY1443" s="230" t="s">
        <v>5921</v>
      </c>
    </row>
    <row r="1444" spans="1:103" ht="11.25" customHeight="1" x14ac:dyDescent="0.2">
      <c r="A1444" s="72">
        <v>1442</v>
      </c>
      <c r="B1444" s="224">
        <v>1625</v>
      </c>
      <c r="C1444" s="46" t="s">
        <v>1118</v>
      </c>
      <c r="D1444" s="46"/>
      <c r="E1444" s="114"/>
      <c r="F1444" s="114" t="s">
        <v>1119</v>
      </c>
      <c r="G1444" s="225">
        <v>83657243</v>
      </c>
      <c r="H1444" s="47" t="s">
        <v>1120</v>
      </c>
      <c r="I1444" s="47" t="s">
        <v>8151</v>
      </c>
      <c r="J1444" s="47" t="s">
        <v>1121</v>
      </c>
      <c r="K1444" s="47" t="s">
        <v>1122</v>
      </c>
      <c r="L1444" s="47" t="s">
        <v>5973</v>
      </c>
      <c r="M1444" s="47" t="s">
        <v>5960</v>
      </c>
      <c r="N1444" s="47"/>
      <c r="O1444" s="47"/>
      <c r="P1444" s="53"/>
      <c r="Q1444" s="53"/>
      <c r="R1444" s="53"/>
      <c r="S1444" s="53"/>
      <c r="T1444" s="48">
        <v>326.22000000000003</v>
      </c>
      <c r="U1444" s="98">
        <v>1.2261663907792287E-2</v>
      </c>
      <c r="V1444" s="98">
        <v>1.8150327999509532E-2</v>
      </c>
      <c r="W1444" s="98">
        <v>8.9125093813374433E-3</v>
      </c>
      <c r="X1444" s="98">
        <v>1.2261663907792287E-2</v>
      </c>
      <c r="Y1444" s="233">
        <v>7</v>
      </c>
      <c r="Z1444" s="48">
        <v>3.92</v>
      </c>
      <c r="AA1444" s="48">
        <v>4.3</v>
      </c>
      <c r="AB1444" s="48">
        <v>3.94</v>
      </c>
      <c r="AC1444" s="48">
        <v>0.84009999999999996</v>
      </c>
      <c r="AD1444" s="48">
        <v>4</v>
      </c>
      <c r="AE1444" s="48">
        <v>4.2300000000000004</v>
      </c>
      <c r="AF1444" s="48">
        <f t="shared" si="379"/>
        <v>4.3</v>
      </c>
      <c r="AG1444" s="49">
        <v>4.16</v>
      </c>
      <c r="AH1444" s="98">
        <v>8.4500000000000005E-11</v>
      </c>
      <c r="AI1444" s="98">
        <v>3.9700000000000002E-7</v>
      </c>
      <c r="AJ1444" s="483">
        <f t="shared" si="383"/>
        <v>-8.4617096173629598</v>
      </c>
      <c r="AK1444" s="483">
        <f>LOG10(AI1444*1000/(0.08206*298.15))</f>
        <v>-4.7897758195495364</v>
      </c>
      <c r="AL1444" s="483">
        <f t="shared" si="381"/>
        <v>-4.7897758195495364</v>
      </c>
      <c r="AM1444" s="483">
        <v>-13.611089999999999</v>
      </c>
      <c r="AN1444" s="226">
        <v>-8.74</v>
      </c>
      <c r="AO1444" s="484">
        <v>12.89</v>
      </c>
      <c r="AP1444" s="484">
        <v>2.2000000000000002</v>
      </c>
      <c r="AQ1444" s="226" t="s">
        <v>6311</v>
      </c>
      <c r="AR1444" s="226" t="s">
        <v>6311</v>
      </c>
      <c r="AS1444" s="224"/>
      <c r="AT1444" s="50" t="s">
        <v>266</v>
      </c>
      <c r="AU1444" s="48">
        <v>6</v>
      </c>
      <c r="AV1444" s="48">
        <v>120</v>
      </c>
      <c r="AW1444" s="48">
        <v>114</v>
      </c>
      <c r="AX1444" s="48">
        <v>28</v>
      </c>
      <c r="AY1444" s="48" t="s">
        <v>8728</v>
      </c>
      <c r="AZ1444" s="48" t="s">
        <v>1563</v>
      </c>
      <c r="BA1444" s="48">
        <v>32</v>
      </c>
      <c r="BB1444" s="47" t="s">
        <v>2485</v>
      </c>
      <c r="BC1444" s="47" t="s">
        <v>8726</v>
      </c>
      <c r="BD1444" s="47" t="s">
        <v>8374</v>
      </c>
      <c r="BE1444" s="48" t="s">
        <v>2449</v>
      </c>
      <c r="BF1444" s="48" t="s">
        <v>272</v>
      </c>
      <c r="BG1444" s="48" t="s">
        <v>272</v>
      </c>
      <c r="BH1444" s="48" t="s">
        <v>2486</v>
      </c>
      <c r="BI1444" s="98">
        <v>6.3999999999999997E-6</v>
      </c>
      <c r="BJ1444" s="98">
        <v>6.4000000000000001E-2</v>
      </c>
      <c r="BK1444" s="48"/>
      <c r="BL1444" s="98">
        <f t="shared" si="382"/>
        <v>1.5497013094362723E-2</v>
      </c>
      <c r="BM1444" s="47" t="s">
        <v>2487</v>
      </c>
      <c r="BN1444" s="48"/>
      <c r="BO1444" s="48"/>
      <c r="BP1444" s="48"/>
      <c r="BQ1444" s="48"/>
      <c r="BR1444" s="47" t="s">
        <v>2496</v>
      </c>
      <c r="BS1444" s="48"/>
      <c r="BT1444" s="48"/>
      <c r="BU1444" s="228"/>
      <c r="BV1444" s="48"/>
      <c r="BW1444" s="48"/>
      <c r="BX1444" s="48"/>
      <c r="BY1444" s="48"/>
      <c r="BZ1444" s="48"/>
      <c r="CA1444" s="48"/>
      <c r="CB1444" s="48"/>
      <c r="CC1444" s="48"/>
      <c r="CD1444" s="48"/>
      <c r="CE1444" s="48"/>
      <c r="CF1444" s="48"/>
      <c r="CG1444" s="48"/>
      <c r="CH1444" s="48"/>
      <c r="CI1444" s="98"/>
      <c r="CJ1444" s="98"/>
      <c r="CK1444" s="49">
        <f t="shared" si="377"/>
        <v>0.24214082959941755</v>
      </c>
      <c r="CL1444" s="229"/>
      <c r="CM1444" s="229"/>
      <c r="CN1444" s="229"/>
      <c r="CO1444" s="47" t="s">
        <v>2488</v>
      </c>
      <c r="CP1444" s="47" t="s">
        <v>2489</v>
      </c>
      <c r="CQ1444" s="224" t="s">
        <v>272</v>
      </c>
      <c r="CR1444" s="224"/>
      <c r="CS1444" s="230" t="s">
        <v>539</v>
      </c>
      <c r="CT1444" s="230"/>
      <c r="CU1444" s="230"/>
      <c r="CV1444" s="335">
        <f t="shared" si="380"/>
        <v>0.19158849855925447</v>
      </c>
      <c r="CW1444" s="230">
        <f t="shared" si="373"/>
        <v>0</v>
      </c>
      <c r="CX1444" s="336"/>
      <c r="CY1444" s="230" t="s">
        <v>5921</v>
      </c>
    </row>
    <row r="1445" spans="1:103" ht="11.25" customHeight="1" x14ac:dyDescent="0.2">
      <c r="A1445" s="72">
        <v>1443</v>
      </c>
      <c r="B1445" s="224">
        <v>463</v>
      </c>
      <c r="C1445" s="46" t="s">
        <v>7485</v>
      </c>
      <c r="D1445" s="46" t="s">
        <v>7486</v>
      </c>
      <c r="E1445" s="114"/>
      <c r="F1445" s="114" t="s">
        <v>3466</v>
      </c>
      <c r="G1445" s="225">
        <v>84087014</v>
      </c>
      <c r="H1445" s="47" t="s">
        <v>3467</v>
      </c>
      <c r="I1445" s="47" t="s">
        <v>8152</v>
      </c>
      <c r="J1445" s="47" t="s">
        <v>3468</v>
      </c>
      <c r="K1445" s="47" t="s">
        <v>1958</v>
      </c>
      <c r="L1445" s="47" t="s">
        <v>6033</v>
      </c>
      <c r="M1445" s="47" t="s">
        <v>6082</v>
      </c>
      <c r="N1445" s="47"/>
      <c r="O1445" s="47" t="s">
        <v>6083</v>
      </c>
      <c r="P1445" s="53"/>
      <c r="Q1445" s="53"/>
      <c r="R1445" s="53"/>
      <c r="S1445" s="53"/>
      <c r="T1445" s="48">
        <v>242.06</v>
      </c>
      <c r="U1445" s="98">
        <v>2.6852846401718581E-4</v>
      </c>
      <c r="V1445" s="98">
        <v>0.31405436668594561</v>
      </c>
      <c r="W1445" s="98">
        <v>0.5888436553555888</v>
      </c>
      <c r="X1445" s="98">
        <v>2.6852846401718581E-4</v>
      </c>
      <c r="Y1445" s="233">
        <v>3.39</v>
      </c>
      <c r="Z1445" s="48">
        <v>2.97</v>
      </c>
      <c r="AA1445" s="48"/>
      <c r="AB1445" s="48">
        <v>3.12</v>
      </c>
      <c r="AC1445" s="48">
        <v>0.62870000000000004</v>
      </c>
      <c r="AD1445" s="48">
        <v>2.7</v>
      </c>
      <c r="AE1445" s="48">
        <v>2.11</v>
      </c>
      <c r="AF1445" s="48">
        <f t="shared" si="379"/>
        <v>2.7</v>
      </c>
      <c r="AG1445" s="49">
        <v>3.09</v>
      </c>
      <c r="AH1445" s="98">
        <v>7.6100000000000001E-12</v>
      </c>
      <c r="AI1445" s="98"/>
      <c r="AJ1445" s="483">
        <f t="shared" si="383"/>
        <v>-9.5071816695420797</v>
      </c>
      <c r="AK1445" s="483"/>
      <c r="AL1445" s="483">
        <f t="shared" si="381"/>
        <v>-9.5071816695420797</v>
      </c>
      <c r="AM1445" s="483">
        <v>-12.59633</v>
      </c>
      <c r="AN1445" s="226">
        <v>-9.61</v>
      </c>
      <c r="AO1445" s="484">
        <v>-3.26</v>
      </c>
      <c r="AP1445" s="484">
        <v>3.05</v>
      </c>
      <c r="AQ1445" s="226" t="s">
        <v>6311</v>
      </c>
      <c r="AR1445" s="226" t="s">
        <v>6311</v>
      </c>
      <c r="AS1445" s="224" t="s">
        <v>6</v>
      </c>
      <c r="AT1445" s="50" t="s">
        <v>266</v>
      </c>
      <c r="AU1445" s="48">
        <v>8</v>
      </c>
      <c r="AV1445" s="48">
        <v>144</v>
      </c>
      <c r="AW1445" s="48">
        <v>120</v>
      </c>
      <c r="AX1445" s="48">
        <v>26</v>
      </c>
      <c r="AY1445" s="48" t="s">
        <v>267</v>
      </c>
      <c r="AZ1445" s="48" t="s">
        <v>2253</v>
      </c>
      <c r="BA1445" s="48">
        <v>3</v>
      </c>
      <c r="BB1445" s="47" t="s">
        <v>2254</v>
      </c>
      <c r="BC1445" s="47" t="s">
        <v>270</v>
      </c>
      <c r="BD1445" s="47" t="s">
        <v>8374</v>
      </c>
      <c r="BE1445" s="48" t="s">
        <v>1712</v>
      </c>
      <c r="BF1445" s="48" t="s">
        <v>272</v>
      </c>
      <c r="BG1445" s="48" t="s">
        <v>272</v>
      </c>
      <c r="BH1445" s="48" t="s">
        <v>2255</v>
      </c>
      <c r="BI1445" s="98">
        <v>9.9999999999999995E-7</v>
      </c>
      <c r="BJ1445" s="98">
        <v>0.08</v>
      </c>
      <c r="BK1445" s="48"/>
      <c r="BL1445" s="98">
        <f t="shared" si="382"/>
        <v>0.11052054045824757</v>
      </c>
      <c r="BM1445" s="48" t="s">
        <v>891</v>
      </c>
      <c r="BN1445" s="233"/>
      <c r="BO1445" s="233"/>
      <c r="BP1445" s="233"/>
      <c r="BQ1445" s="233"/>
      <c r="BR1445" s="233"/>
      <c r="BS1445" s="48"/>
      <c r="BT1445" s="233"/>
      <c r="BU1445" s="228"/>
      <c r="BV1445" s="233"/>
      <c r="BW1445" s="233"/>
      <c r="BX1445" s="233"/>
      <c r="BY1445" s="233"/>
      <c r="BZ1445" s="233"/>
      <c r="CA1445" s="233"/>
      <c r="CB1445" s="233"/>
      <c r="CC1445" s="48"/>
      <c r="CD1445" s="48"/>
      <c r="CE1445" s="48"/>
      <c r="CF1445" s="48"/>
      <c r="CG1445" s="233"/>
      <c r="CH1445" s="48"/>
      <c r="CI1445" s="98"/>
      <c r="CJ1445" s="98"/>
      <c r="CK1445" s="49">
        <f t="shared" si="377"/>
        <v>1.3815067557280944</v>
      </c>
      <c r="CL1445" s="229"/>
      <c r="CM1445" s="229"/>
      <c r="CN1445" s="229"/>
      <c r="CO1445" s="47" t="s">
        <v>892</v>
      </c>
      <c r="CP1445" s="47" t="s">
        <v>893</v>
      </c>
      <c r="CQ1445" s="224">
        <v>-0.88423594633375668</v>
      </c>
      <c r="CR1445" s="224">
        <f>10^(CJ1445-CQ1445)</f>
        <v>7.6601265822784796</v>
      </c>
      <c r="CS1445" s="230" t="s">
        <v>539</v>
      </c>
      <c r="CT1445" s="230"/>
      <c r="CU1445" s="230"/>
      <c r="CV1445" s="335">
        <f t="shared" si="380"/>
        <v>3.3566058002148227E-3</v>
      </c>
      <c r="CW1445" s="230">
        <f t="shared" si="373"/>
        <v>0</v>
      </c>
      <c r="CX1445" s="336" t="s">
        <v>539</v>
      </c>
      <c r="CY1445" s="230" t="s">
        <v>5921</v>
      </c>
    </row>
    <row r="1446" spans="1:103" ht="11.25" customHeight="1" x14ac:dyDescent="0.2">
      <c r="A1446" s="72">
        <v>1444</v>
      </c>
      <c r="B1446" s="224">
        <v>1263</v>
      </c>
      <c r="C1446" s="46" t="s">
        <v>7485</v>
      </c>
      <c r="D1446" s="46" t="s">
        <v>7486</v>
      </c>
      <c r="E1446" s="114"/>
      <c r="F1446" s="114" t="s">
        <v>3466</v>
      </c>
      <c r="G1446" s="225">
        <v>84087014</v>
      </c>
      <c r="H1446" s="47" t="s">
        <v>3467</v>
      </c>
      <c r="I1446" s="47" t="s">
        <v>8152</v>
      </c>
      <c r="J1446" s="47" t="s">
        <v>3468</v>
      </c>
      <c r="K1446" s="47" t="s">
        <v>1958</v>
      </c>
      <c r="L1446" s="47" t="s">
        <v>6033</v>
      </c>
      <c r="M1446" s="47" t="s">
        <v>6082</v>
      </c>
      <c r="N1446" s="47"/>
      <c r="O1446" s="47" t="s">
        <v>6083</v>
      </c>
      <c r="P1446" s="53"/>
      <c r="Q1446" s="53"/>
      <c r="R1446" s="53"/>
      <c r="S1446" s="53"/>
      <c r="T1446" s="48">
        <v>242.06</v>
      </c>
      <c r="U1446" s="98">
        <v>2.6852846401718581E-4</v>
      </c>
      <c r="V1446" s="98">
        <v>0.31405436668594561</v>
      </c>
      <c r="W1446" s="98">
        <v>0.5888436553555888</v>
      </c>
      <c r="X1446" s="98">
        <v>2.6852846401718581E-4</v>
      </c>
      <c r="Y1446" s="233">
        <v>3.39</v>
      </c>
      <c r="Z1446" s="48">
        <v>2.97</v>
      </c>
      <c r="AA1446" s="48"/>
      <c r="AB1446" s="48">
        <v>3.12</v>
      </c>
      <c r="AC1446" s="48">
        <v>0.62870000000000004</v>
      </c>
      <c r="AD1446" s="48">
        <v>2.7</v>
      </c>
      <c r="AE1446" s="48">
        <v>2.11</v>
      </c>
      <c r="AF1446" s="48">
        <f t="shared" si="379"/>
        <v>2.7</v>
      </c>
      <c r="AG1446" s="49">
        <v>3.09</v>
      </c>
      <c r="AH1446" s="98">
        <v>7.6100000000000001E-12</v>
      </c>
      <c r="AI1446" s="98"/>
      <c r="AJ1446" s="483">
        <f t="shared" si="383"/>
        <v>-9.5071816695420797</v>
      </c>
      <c r="AK1446" s="483"/>
      <c r="AL1446" s="483">
        <f t="shared" si="381"/>
        <v>-9.5071816695420797</v>
      </c>
      <c r="AM1446" s="483">
        <v>-12.59633</v>
      </c>
      <c r="AN1446" s="226">
        <v>-9.61</v>
      </c>
      <c r="AO1446" s="484">
        <v>-3.26</v>
      </c>
      <c r="AP1446" s="484">
        <v>3.05</v>
      </c>
      <c r="AQ1446" s="48" t="s">
        <v>6311</v>
      </c>
      <c r="AR1446" s="48" t="s">
        <v>6311</v>
      </c>
      <c r="AS1446" s="227"/>
      <c r="AT1446" s="50" t="s">
        <v>266</v>
      </c>
      <c r="AU1446" s="48">
        <v>6</v>
      </c>
      <c r="AV1446" s="48">
        <v>120</v>
      </c>
      <c r="AW1446" s="48">
        <v>114</v>
      </c>
      <c r="AX1446" s="48">
        <v>28</v>
      </c>
      <c r="AY1446" s="48" t="s">
        <v>8728</v>
      </c>
      <c r="AZ1446" s="48" t="s">
        <v>1563</v>
      </c>
      <c r="BA1446" s="48">
        <v>32</v>
      </c>
      <c r="BB1446" s="47" t="s">
        <v>2485</v>
      </c>
      <c r="BC1446" s="47" t="s">
        <v>8726</v>
      </c>
      <c r="BD1446" s="47" t="s">
        <v>8374</v>
      </c>
      <c r="BE1446" s="48" t="s">
        <v>2449</v>
      </c>
      <c r="BF1446" s="48" t="s">
        <v>272</v>
      </c>
      <c r="BG1446" s="48" t="s">
        <v>272</v>
      </c>
      <c r="BH1446" s="48" t="s">
        <v>2486</v>
      </c>
      <c r="BI1446" s="98">
        <v>6.3999999999999997E-6</v>
      </c>
      <c r="BJ1446" s="98">
        <v>6.4000000000000001E-2</v>
      </c>
      <c r="BK1446" s="48"/>
      <c r="BL1446" s="98">
        <f t="shared" si="382"/>
        <v>0.11052054045824757</v>
      </c>
      <c r="BM1446" s="47" t="s">
        <v>2487</v>
      </c>
      <c r="BN1446" s="48"/>
      <c r="BO1446" s="48"/>
      <c r="BP1446" s="48"/>
      <c r="BQ1446" s="48"/>
      <c r="BR1446" s="47" t="s">
        <v>2496</v>
      </c>
      <c r="BS1446" s="48"/>
      <c r="BT1446" s="48"/>
      <c r="BU1446" s="228">
        <v>6.3999999999999997E-5</v>
      </c>
      <c r="BV1446" s="48"/>
      <c r="BW1446" s="48"/>
      <c r="BX1446" s="48"/>
      <c r="BY1446" s="48"/>
      <c r="BZ1446" s="48"/>
      <c r="CA1446" s="48"/>
      <c r="CB1446" s="48"/>
      <c r="CC1446" s="48"/>
      <c r="CD1446" s="48"/>
      <c r="CE1446" s="48"/>
      <c r="CF1446" s="48"/>
      <c r="CG1446" s="48"/>
      <c r="CH1446" s="48"/>
      <c r="CI1446" s="98"/>
      <c r="CJ1446" s="98"/>
      <c r="CK1446" s="49">
        <f t="shared" si="377"/>
        <v>1.7268834446601182</v>
      </c>
      <c r="CL1446" s="229"/>
      <c r="CM1446" s="229"/>
      <c r="CN1446" s="229"/>
      <c r="CO1446" s="47" t="s">
        <v>2488</v>
      </c>
      <c r="CP1446" s="47" t="s">
        <v>2489</v>
      </c>
      <c r="CQ1446" s="224">
        <v>-0.88423594633375668</v>
      </c>
      <c r="CR1446" s="224">
        <f>10^(CJ1446-CQ1446)</f>
        <v>7.6601265822784796</v>
      </c>
      <c r="CS1446" s="230" t="s">
        <v>539</v>
      </c>
      <c r="CT1446" s="230"/>
      <c r="CU1446" s="230"/>
      <c r="CV1446" s="335">
        <f t="shared" si="380"/>
        <v>4.1957572502685286E-3</v>
      </c>
      <c r="CW1446" s="230">
        <f t="shared" si="373"/>
        <v>0</v>
      </c>
      <c r="CX1446" s="336"/>
      <c r="CY1446" s="230" t="s">
        <v>5921</v>
      </c>
    </row>
    <row r="1447" spans="1:103" ht="11.25" customHeight="1" x14ac:dyDescent="0.2">
      <c r="A1447" s="72">
        <v>1445</v>
      </c>
      <c r="B1447" s="224">
        <v>1145</v>
      </c>
      <c r="C1447" s="46" t="s">
        <v>6645</v>
      </c>
      <c r="D1447" s="46"/>
      <c r="E1447" s="114"/>
      <c r="F1447" s="114" t="s">
        <v>1236</v>
      </c>
      <c r="G1447" s="225">
        <v>85509199</v>
      </c>
      <c r="H1447" s="47" t="s">
        <v>1237</v>
      </c>
      <c r="I1447" s="47" t="s">
        <v>1237</v>
      </c>
      <c r="J1447" s="47" t="s">
        <v>1238</v>
      </c>
      <c r="K1447" s="47" t="s">
        <v>1112</v>
      </c>
      <c r="L1447" s="47"/>
      <c r="M1447" s="47"/>
      <c r="N1447" s="47"/>
      <c r="O1447" s="47"/>
      <c r="P1447" s="53"/>
      <c r="Q1447" s="53"/>
      <c r="R1447" s="53"/>
      <c r="S1447" s="53"/>
      <c r="T1447" s="48">
        <v>315.39</v>
      </c>
      <c r="U1447" s="98">
        <v>0.17121658898506611</v>
      </c>
      <c r="V1447" s="98">
        <v>2.1884016614350486E-2</v>
      </c>
      <c r="W1447" s="98">
        <v>4.5708818961487457E-2</v>
      </c>
      <c r="X1447" s="98">
        <v>0.17121658898506611</v>
      </c>
      <c r="Y1447" s="233">
        <v>7.02</v>
      </c>
      <c r="Z1447" s="48">
        <v>4.8899999999999997</v>
      </c>
      <c r="AA1447" s="48">
        <v>3.7</v>
      </c>
      <c r="AB1447" s="48">
        <v>4.1399999999999997</v>
      </c>
      <c r="AC1447" s="48">
        <v>0.87539999999999996</v>
      </c>
      <c r="AD1447" s="48">
        <v>4.09</v>
      </c>
      <c r="AE1447" s="48">
        <v>3.84</v>
      </c>
      <c r="AF1447" s="48">
        <f t="shared" si="379"/>
        <v>3.7</v>
      </c>
      <c r="AG1447" s="49">
        <v>4.09</v>
      </c>
      <c r="AH1447" s="98">
        <v>5.06E-7</v>
      </c>
      <c r="AI1447" s="98"/>
      <c r="AJ1447" s="483">
        <f t="shared" si="383"/>
        <v>-4.6844158094728527</v>
      </c>
      <c r="AK1447" s="483"/>
      <c r="AL1447" s="483">
        <f t="shared" si="381"/>
        <v>-4.6844158094728527</v>
      </c>
      <c r="AM1447" s="483">
        <v>-10.404159999999997</v>
      </c>
      <c r="AN1447" s="226">
        <v>-6.16</v>
      </c>
      <c r="AO1447" s="484"/>
      <c r="AP1447" s="484">
        <v>2.91</v>
      </c>
      <c r="AQ1447" s="48" t="s">
        <v>6311</v>
      </c>
      <c r="AR1447" s="48" t="s">
        <v>6311</v>
      </c>
      <c r="AS1447" s="227"/>
      <c r="AT1447" s="50" t="s">
        <v>266</v>
      </c>
      <c r="AU1447" s="48">
        <v>6</v>
      </c>
      <c r="AV1447" s="48">
        <v>120</v>
      </c>
      <c r="AW1447" s="48">
        <v>114</v>
      </c>
      <c r="AX1447" s="48">
        <v>28</v>
      </c>
      <c r="AY1447" s="48" t="s">
        <v>8728</v>
      </c>
      <c r="AZ1447" s="48" t="s">
        <v>1563</v>
      </c>
      <c r="BA1447" s="48">
        <v>32</v>
      </c>
      <c r="BB1447" s="47" t="s">
        <v>2485</v>
      </c>
      <c r="BC1447" s="47" t="s">
        <v>8726</v>
      </c>
      <c r="BD1447" s="47" t="s">
        <v>8374</v>
      </c>
      <c r="BE1447" s="48" t="s">
        <v>2449</v>
      </c>
      <c r="BF1447" s="48" t="s">
        <v>272</v>
      </c>
      <c r="BG1447" s="48" t="s">
        <v>272</v>
      </c>
      <c r="BH1447" s="48" t="s">
        <v>2486</v>
      </c>
      <c r="BI1447" s="98">
        <v>6.3999999999999997E-6</v>
      </c>
      <c r="BJ1447" s="98">
        <v>6.4000000000000001E-2</v>
      </c>
      <c r="BK1447" s="48"/>
      <c r="BL1447" s="98">
        <f t="shared" si="382"/>
        <v>2.0849277031649762E-3</v>
      </c>
      <c r="BM1447" s="47" t="s">
        <v>2487</v>
      </c>
      <c r="BN1447" s="48"/>
      <c r="BO1447" s="48"/>
      <c r="BP1447" s="48"/>
      <c r="BQ1447" s="48"/>
      <c r="BR1447" s="47" t="s">
        <v>2496</v>
      </c>
      <c r="BS1447" s="48"/>
      <c r="BT1447" s="48"/>
      <c r="BU1447" s="228">
        <v>6.3999999999999997E-5</v>
      </c>
      <c r="BV1447" s="48"/>
      <c r="BW1447" s="48"/>
      <c r="BX1447" s="48"/>
      <c r="BY1447" s="48"/>
      <c r="BZ1447" s="48"/>
      <c r="CA1447" s="48"/>
      <c r="CB1447" s="48"/>
      <c r="CC1447" s="48"/>
      <c r="CD1447" s="48"/>
      <c r="CE1447" s="48"/>
      <c r="CF1447" s="48"/>
      <c r="CG1447" s="48"/>
      <c r="CH1447" s="48"/>
      <c r="CI1447" s="98"/>
      <c r="CJ1447" s="98"/>
      <c r="CK1447" s="49">
        <f t="shared" si="377"/>
        <v>3.257699536195275E-2</v>
      </c>
      <c r="CL1447" s="229"/>
      <c r="CM1447" s="229"/>
      <c r="CN1447" s="229"/>
      <c r="CO1447" s="47" t="s">
        <v>2488</v>
      </c>
      <c r="CP1447" s="47" t="s">
        <v>2489</v>
      </c>
      <c r="CQ1447" s="224" t="s">
        <v>272</v>
      </c>
      <c r="CR1447" s="224"/>
      <c r="CS1447" s="230" t="s">
        <v>539</v>
      </c>
      <c r="CT1447" s="230"/>
      <c r="CU1447" s="230"/>
      <c r="CV1447" s="335">
        <f t="shared" si="380"/>
        <v>2.6752592028916582</v>
      </c>
      <c r="CW1447" s="230">
        <f t="shared" si="373"/>
        <v>1</v>
      </c>
      <c r="CX1447" s="336"/>
      <c r="CY1447" s="230" t="s">
        <v>5921</v>
      </c>
    </row>
    <row r="1448" spans="1:103" ht="11.25" customHeight="1" x14ac:dyDescent="0.2">
      <c r="A1448" s="72">
        <v>1446</v>
      </c>
      <c r="B1448" s="224">
        <v>1199</v>
      </c>
      <c r="C1448" s="46" t="s">
        <v>7487</v>
      </c>
      <c r="D1448" s="46"/>
      <c r="E1448" s="114"/>
      <c r="F1448" s="114" t="s">
        <v>3307</v>
      </c>
      <c r="G1448" s="225">
        <v>85532758</v>
      </c>
      <c r="H1448" s="47" t="s">
        <v>3308</v>
      </c>
      <c r="I1448" s="47" t="s">
        <v>7766</v>
      </c>
      <c r="J1448" s="47" t="s">
        <v>3309</v>
      </c>
      <c r="K1448" s="47" t="s">
        <v>1594</v>
      </c>
      <c r="L1448" s="47"/>
      <c r="M1448" s="47"/>
      <c r="N1448" s="47"/>
      <c r="O1448" s="47"/>
      <c r="P1448" s="53"/>
      <c r="Q1448" s="53"/>
      <c r="R1448" s="53"/>
      <c r="S1448" s="53"/>
      <c r="T1448" s="48">
        <v>308.37</v>
      </c>
      <c r="U1448" s="98"/>
      <c r="V1448" s="98">
        <v>1.3918344845477834E-2</v>
      </c>
      <c r="W1448" s="98">
        <v>0.51286138399136461</v>
      </c>
      <c r="X1448" s="98">
        <f>IF(W1448=0,V1448,W1448)</f>
        <v>0.51286138399136461</v>
      </c>
      <c r="Y1448" s="233">
        <v>5</v>
      </c>
      <c r="Z1448" s="48">
        <v>4.45</v>
      </c>
      <c r="AA1448" s="48"/>
      <c r="AB1448" s="48">
        <v>3.7</v>
      </c>
      <c r="AC1448" s="48">
        <v>0.69779999999999998</v>
      </c>
      <c r="AD1448" s="48">
        <v>3.71</v>
      </c>
      <c r="AE1448" s="48">
        <v>3.71</v>
      </c>
      <c r="AF1448" s="48">
        <f t="shared" si="379"/>
        <v>3.71</v>
      </c>
      <c r="AG1448" s="49">
        <v>3.85</v>
      </c>
      <c r="AH1448" s="98">
        <v>3.6500000000000002E-14</v>
      </c>
      <c r="AI1448" s="98"/>
      <c r="AJ1448" s="483">
        <f t="shared" si="383"/>
        <v>-11.826273461856177</v>
      </c>
      <c r="AK1448" s="483"/>
      <c r="AL1448" s="483">
        <f t="shared" si="381"/>
        <v>-11.826273461856177</v>
      </c>
      <c r="AM1448" s="483">
        <v>-15.981399999999999</v>
      </c>
      <c r="AN1448" s="226">
        <v>-14.1</v>
      </c>
      <c r="AO1448" s="484">
        <v>4.7300000000000004</v>
      </c>
      <c r="AP1448" s="484">
        <v>5.23</v>
      </c>
      <c r="AQ1448" s="48" t="s">
        <v>6311</v>
      </c>
      <c r="AR1448" s="48" t="s">
        <v>6311</v>
      </c>
      <c r="AS1448" s="227"/>
      <c r="AT1448" s="50" t="s">
        <v>266</v>
      </c>
      <c r="AU1448" s="48">
        <v>6</v>
      </c>
      <c r="AV1448" s="48">
        <v>120</v>
      </c>
      <c r="AW1448" s="48">
        <v>114</v>
      </c>
      <c r="AX1448" s="48">
        <v>28</v>
      </c>
      <c r="AY1448" s="48" t="s">
        <v>8728</v>
      </c>
      <c r="AZ1448" s="48" t="s">
        <v>1563</v>
      </c>
      <c r="BA1448" s="48">
        <v>32</v>
      </c>
      <c r="BB1448" s="47" t="s">
        <v>2485</v>
      </c>
      <c r="BC1448" s="47" t="s">
        <v>8726</v>
      </c>
      <c r="BD1448" s="47" t="s">
        <v>8374</v>
      </c>
      <c r="BE1448" s="48" t="s">
        <v>2449</v>
      </c>
      <c r="BF1448" s="48" t="s">
        <v>272</v>
      </c>
      <c r="BG1448" s="48" t="s">
        <v>272</v>
      </c>
      <c r="BH1448" s="48" t="s">
        <v>2486</v>
      </c>
      <c r="BI1448" s="98">
        <v>6.3999999999999997E-6</v>
      </c>
      <c r="BJ1448" s="98">
        <v>6.4000000000000001E-2</v>
      </c>
      <c r="BK1448" s="48"/>
      <c r="BL1448" s="98">
        <f t="shared" si="382"/>
        <v>5.1791083880474015E-3</v>
      </c>
      <c r="BM1448" s="47" t="s">
        <v>2487</v>
      </c>
      <c r="BN1448" s="48"/>
      <c r="BO1448" s="48"/>
      <c r="BP1448" s="48"/>
      <c r="BQ1448" s="48"/>
      <c r="BR1448" s="47" t="s">
        <v>2496</v>
      </c>
      <c r="BS1448" s="48"/>
      <c r="BT1448" s="48"/>
      <c r="BU1448" s="228">
        <v>4.0999999999999997E-6</v>
      </c>
      <c r="BV1448" s="48"/>
      <c r="BW1448" s="48"/>
      <c r="BX1448" s="48"/>
      <c r="BY1448" s="48"/>
      <c r="BZ1448" s="48"/>
      <c r="CA1448" s="48"/>
      <c r="CB1448" s="48"/>
      <c r="CC1448" s="48"/>
      <c r="CD1448" s="48"/>
      <c r="CE1448" s="48"/>
      <c r="CF1448" s="48"/>
      <c r="CG1448" s="48"/>
      <c r="CH1448" s="48"/>
      <c r="CI1448" s="98"/>
      <c r="CJ1448" s="98"/>
      <c r="CK1448" s="49">
        <f t="shared" si="377"/>
        <v>8.092356856324065E-2</v>
      </c>
      <c r="CL1448" s="229"/>
      <c r="CM1448" s="229"/>
      <c r="CN1448" s="229"/>
      <c r="CO1448" s="47" t="s">
        <v>2488</v>
      </c>
      <c r="CP1448" s="47" t="s">
        <v>2489</v>
      </c>
      <c r="CQ1448" s="224" t="s">
        <v>272</v>
      </c>
      <c r="CR1448" s="224"/>
      <c r="CS1448" s="230" t="s">
        <v>539</v>
      </c>
      <c r="CT1448" s="230"/>
      <c r="CU1448" s="230"/>
      <c r="CV1448" s="335">
        <f t="shared" si="380"/>
        <v>8.0134591248650722</v>
      </c>
      <c r="CW1448" s="230">
        <f t="shared" si="373"/>
        <v>1</v>
      </c>
      <c r="CX1448" s="336"/>
      <c r="CY1448" s="230" t="s">
        <v>5921</v>
      </c>
    </row>
    <row r="1449" spans="1:103" ht="11.25" customHeight="1" x14ac:dyDescent="0.2">
      <c r="A1449" s="72">
        <v>1447</v>
      </c>
      <c r="B1449" s="224">
        <v>1139</v>
      </c>
      <c r="C1449" s="46" t="s">
        <v>7488</v>
      </c>
      <c r="D1449" s="46"/>
      <c r="E1449" s="114"/>
      <c r="F1449" s="114" t="s">
        <v>3170</v>
      </c>
      <c r="G1449" s="225">
        <v>86386734</v>
      </c>
      <c r="H1449" s="47" t="s">
        <v>3171</v>
      </c>
      <c r="I1449" s="47" t="s">
        <v>3171</v>
      </c>
      <c r="J1449" s="47" t="s">
        <v>3172</v>
      </c>
      <c r="K1449" s="47" t="s">
        <v>1265</v>
      </c>
      <c r="L1449" s="47" t="s">
        <v>279</v>
      </c>
      <c r="M1449" s="47" t="s">
        <v>3173</v>
      </c>
      <c r="N1449" s="47"/>
      <c r="O1449" s="47" t="s">
        <v>281</v>
      </c>
      <c r="P1449" s="53"/>
      <c r="Q1449" s="53"/>
      <c r="R1449" s="53"/>
      <c r="S1449" s="53"/>
      <c r="T1449" s="48">
        <v>306.27</v>
      </c>
      <c r="U1449" s="98"/>
      <c r="V1449" s="98">
        <v>44.601168903255299</v>
      </c>
      <c r="W1449" s="98">
        <v>0.74131024130091727</v>
      </c>
      <c r="X1449" s="98">
        <f>IF(W1449=0,V1449,W1449)</f>
        <v>0.74131024130091727</v>
      </c>
      <c r="Y1449" s="233">
        <v>7.1</v>
      </c>
      <c r="Z1449" s="48">
        <v>0.25</v>
      </c>
      <c r="AA1449" s="48">
        <v>0.5</v>
      </c>
      <c r="AB1449" s="48">
        <v>0.75</v>
      </c>
      <c r="AC1449" s="48">
        <v>0.81230000000000002</v>
      </c>
      <c r="AD1449" s="48">
        <v>0.7</v>
      </c>
      <c r="AE1449" s="48">
        <v>0.5</v>
      </c>
      <c r="AF1449" s="48">
        <f t="shared" si="379"/>
        <v>0.5</v>
      </c>
      <c r="AG1449" s="49">
        <v>1.05</v>
      </c>
      <c r="AH1449" s="98">
        <v>1.0199999999999999E-13</v>
      </c>
      <c r="AI1449" s="98"/>
      <c r="AJ1449" s="483">
        <f t="shared" si="383"/>
        <v>-11.379966154550734</v>
      </c>
      <c r="AK1449" s="483"/>
      <c r="AL1449" s="483">
        <f t="shared" si="381"/>
        <v>-11.379966154550734</v>
      </c>
      <c r="AM1449" s="483">
        <v>-17.579650000000001</v>
      </c>
      <c r="AN1449" s="226">
        <v>-11.9</v>
      </c>
      <c r="AO1449" s="484">
        <v>11.01</v>
      </c>
      <c r="AP1449" s="484">
        <v>2.94</v>
      </c>
      <c r="AQ1449" s="48" t="s">
        <v>6311</v>
      </c>
      <c r="AR1449" s="48" t="s">
        <v>6311</v>
      </c>
      <c r="AS1449" s="227"/>
      <c r="AT1449" s="50" t="s">
        <v>266</v>
      </c>
      <c r="AU1449" s="48">
        <v>6</v>
      </c>
      <c r="AV1449" s="48">
        <v>120</v>
      </c>
      <c r="AW1449" s="48">
        <v>114</v>
      </c>
      <c r="AX1449" s="48">
        <v>28</v>
      </c>
      <c r="AY1449" s="48" t="s">
        <v>8728</v>
      </c>
      <c r="AZ1449" s="48" t="s">
        <v>1563</v>
      </c>
      <c r="BA1449" s="48">
        <v>32</v>
      </c>
      <c r="BB1449" s="47" t="s">
        <v>2485</v>
      </c>
      <c r="BC1449" s="47" t="s">
        <v>8726</v>
      </c>
      <c r="BD1449" s="47" t="s">
        <v>8374</v>
      </c>
      <c r="BE1449" s="48" t="s">
        <v>2449</v>
      </c>
      <c r="BF1449" s="48" t="s">
        <v>272</v>
      </c>
      <c r="BG1449" s="48" t="s">
        <v>272</v>
      </c>
      <c r="BH1449" s="48" t="s">
        <v>2486</v>
      </c>
      <c r="BI1449" s="98">
        <v>6.3999999999999997E-6</v>
      </c>
      <c r="BJ1449" s="98">
        <v>6.4000000000000001E-2</v>
      </c>
      <c r="BK1449" s="48"/>
      <c r="BL1449" s="98">
        <f t="shared" si="382"/>
        <v>30.639029163000096</v>
      </c>
      <c r="BM1449" s="47" t="s">
        <v>2487</v>
      </c>
      <c r="BN1449" s="48"/>
      <c r="BO1449" s="48"/>
      <c r="BP1449" s="48"/>
      <c r="BQ1449" s="48"/>
      <c r="BR1449" s="47" t="s">
        <v>2496</v>
      </c>
      <c r="BS1449" s="48"/>
      <c r="BT1449" s="48"/>
      <c r="BU1449" s="228">
        <v>6.4000000000000005E-4</v>
      </c>
      <c r="BV1449" s="48"/>
      <c r="BW1449" s="48"/>
      <c r="BX1449" s="48"/>
      <c r="BY1449" s="48"/>
      <c r="BZ1449" s="48"/>
      <c r="CA1449" s="48"/>
      <c r="CB1449" s="48"/>
      <c r="CC1449" s="48"/>
      <c r="CD1449" s="48"/>
      <c r="CE1449" s="48"/>
      <c r="CF1449" s="48"/>
      <c r="CG1449" s="48"/>
      <c r="CH1449" s="48"/>
      <c r="CI1449" s="98"/>
      <c r="CJ1449" s="98"/>
      <c r="CK1449" s="49">
        <f t="shared" si="377"/>
        <v>478.73483067187647</v>
      </c>
      <c r="CL1449" s="229"/>
      <c r="CM1449" s="229"/>
      <c r="CN1449" s="229"/>
      <c r="CO1449" s="47" t="s">
        <v>2488</v>
      </c>
      <c r="CP1449" s="47" t="s">
        <v>2489</v>
      </c>
      <c r="CQ1449" s="224" t="s">
        <v>272</v>
      </c>
      <c r="CR1449" s="224"/>
      <c r="CS1449" s="230" t="s">
        <v>539</v>
      </c>
      <c r="CT1449" s="230"/>
      <c r="CU1449" s="230"/>
      <c r="CV1449" s="335">
        <f t="shared" si="380"/>
        <v>11.582972520326832</v>
      </c>
      <c r="CW1449" s="230">
        <f t="shared" si="373"/>
        <v>1</v>
      </c>
      <c r="CX1449" s="336"/>
      <c r="CY1449" s="230" t="s">
        <v>5921</v>
      </c>
    </row>
    <row r="1450" spans="1:103" ht="11.25" customHeight="1" x14ac:dyDescent="0.2">
      <c r="A1450" s="72">
        <v>1448</v>
      </c>
      <c r="B1450" s="224">
        <v>1142</v>
      </c>
      <c r="C1450" s="46" t="s">
        <v>6647</v>
      </c>
      <c r="D1450" s="46"/>
      <c r="E1450" s="114"/>
      <c r="F1450" s="114" t="s">
        <v>1218</v>
      </c>
      <c r="G1450" s="225">
        <v>87546187</v>
      </c>
      <c r="H1450" s="47" t="s">
        <v>1219</v>
      </c>
      <c r="I1450" s="47" t="s">
        <v>8153</v>
      </c>
      <c r="J1450" s="47" t="s">
        <v>1220</v>
      </c>
      <c r="K1450" s="47" t="s">
        <v>1221</v>
      </c>
      <c r="L1450" s="47" t="s">
        <v>5988</v>
      </c>
      <c r="M1450" s="47" t="s">
        <v>6082</v>
      </c>
      <c r="N1450" s="47"/>
      <c r="O1450" s="47" t="s">
        <v>6083</v>
      </c>
      <c r="P1450" s="53"/>
      <c r="Q1450" s="53"/>
      <c r="R1450" s="53"/>
      <c r="S1450" s="53"/>
      <c r="T1450" s="48">
        <v>423.86</v>
      </c>
      <c r="U1450" s="98">
        <v>4.4590194875666493E-4</v>
      </c>
      <c r="V1450" s="98">
        <v>2.8098900580380312E-4</v>
      </c>
      <c r="W1450" s="98">
        <v>2.187761623949548E-4</v>
      </c>
      <c r="X1450" s="98">
        <v>4.4590194875666493E-4</v>
      </c>
      <c r="Y1450" s="233">
        <v>7</v>
      </c>
      <c r="Z1450" s="48">
        <v>4.95</v>
      </c>
      <c r="AA1450" s="48">
        <v>4.99</v>
      </c>
      <c r="AB1450" s="48">
        <v>5.05</v>
      </c>
      <c r="AC1450" s="48">
        <v>0.73470000000000002</v>
      </c>
      <c r="AD1450" s="48">
        <v>4.87</v>
      </c>
      <c r="AE1450" s="48">
        <v>4.2699999999999996</v>
      </c>
      <c r="AF1450" s="48">
        <f t="shared" si="379"/>
        <v>4.99</v>
      </c>
      <c r="AG1450" s="49">
        <v>3.98</v>
      </c>
      <c r="AH1450" s="98">
        <v>1.6699999999999999E-10</v>
      </c>
      <c r="AI1450" s="98"/>
      <c r="AJ1450" s="483">
        <f t="shared" si="383"/>
        <v>-8.1658498551650691</v>
      </c>
      <c r="AK1450" s="483"/>
      <c r="AL1450" s="483">
        <f t="shared" si="381"/>
        <v>-8.1658498551650691</v>
      </c>
      <c r="AM1450" s="483">
        <v>-15.96363</v>
      </c>
      <c r="AN1450" s="226">
        <v>-8.93</v>
      </c>
      <c r="AO1450" s="484"/>
      <c r="AP1450" s="484">
        <v>-2.3199999999999998</v>
      </c>
      <c r="AQ1450" s="48" t="s">
        <v>6311</v>
      </c>
      <c r="AR1450" s="48" t="s">
        <v>6314</v>
      </c>
      <c r="AS1450" s="227"/>
      <c r="AT1450" s="50" t="s">
        <v>266</v>
      </c>
      <c r="AU1450" s="48">
        <v>6</v>
      </c>
      <c r="AV1450" s="48">
        <v>120</v>
      </c>
      <c r="AW1450" s="48">
        <v>114</v>
      </c>
      <c r="AX1450" s="48">
        <v>28</v>
      </c>
      <c r="AY1450" s="48" t="s">
        <v>8728</v>
      </c>
      <c r="AZ1450" s="48" t="s">
        <v>1563</v>
      </c>
      <c r="BA1450" s="48">
        <v>32</v>
      </c>
      <c r="BB1450" s="47" t="s">
        <v>2485</v>
      </c>
      <c r="BC1450" s="47" t="s">
        <v>8726</v>
      </c>
      <c r="BD1450" s="47" t="s">
        <v>8374</v>
      </c>
      <c r="BE1450" s="48" t="s">
        <v>2449</v>
      </c>
      <c r="BF1450" s="48" t="s">
        <v>272</v>
      </c>
      <c r="BG1450" s="48" t="s">
        <v>272</v>
      </c>
      <c r="BH1450" s="48" t="s">
        <v>2486</v>
      </c>
      <c r="BI1450" s="98">
        <v>6.3999999999999997E-6</v>
      </c>
      <c r="BJ1450" s="98">
        <v>6.4000000000000001E-2</v>
      </c>
      <c r="BK1450" s="48"/>
      <c r="BL1450" s="98">
        <f t="shared" si="382"/>
        <v>1.8416411060794048E-3</v>
      </c>
      <c r="BM1450" s="47" t="s">
        <v>2487</v>
      </c>
      <c r="BN1450" s="48"/>
      <c r="BO1450" s="48"/>
      <c r="BP1450" s="48"/>
      <c r="BQ1450" s="48"/>
      <c r="BR1450" s="47" t="s">
        <v>2496</v>
      </c>
      <c r="BS1450" s="48"/>
      <c r="BT1450" s="48"/>
      <c r="BU1450" s="228">
        <v>6.3999999999999997E-5</v>
      </c>
      <c r="BV1450" s="48"/>
      <c r="BW1450" s="48"/>
      <c r="BX1450" s="48"/>
      <c r="BY1450" s="48"/>
      <c r="BZ1450" s="48"/>
      <c r="CA1450" s="48"/>
      <c r="CB1450" s="48"/>
      <c r="CC1450" s="48"/>
      <c r="CD1450" s="48"/>
      <c r="CE1450" s="48"/>
      <c r="CF1450" s="48"/>
      <c r="CG1450" s="48"/>
      <c r="CH1450" s="48"/>
      <c r="CI1450" s="98"/>
      <c r="CJ1450" s="98"/>
      <c r="CK1450" s="49">
        <f t="shared" si="377"/>
        <v>2.8775642282490698E-2</v>
      </c>
      <c r="CL1450" s="229"/>
      <c r="CM1450" s="229"/>
      <c r="CN1450" s="229"/>
      <c r="CO1450" s="47" t="s">
        <v>2488</v>
      </c>
      <c r="CP1450" s="47" t="s">
        <v>2489</v>
      </c>
      <c r="CQ1450" s="224" t="s">
        <v>272</v>
      </c>
      <c r="CR1450" s="224"/>
      <c r="CS1450" s="230" t="s">
        <v>539</v>
      </c>
      <c r="CT1450" s="230"/>
      <c r="CU1450" s="230"/>
      <c r="CV1450" s="335">
        <f t="shared" si="380"/>
        <v>6.9672179493228898E-3</v>
      </c>
      <c r="CW1450" s="230">
        <f t="shared" si="373"/>
        <v>0</v>
      </c>
      <c r="CX1450" s="336"/>
      <c r="CY1450" s="230" t="s">
        <v>5921</v>
      </c>
    </row>
    <row r="1451" spans="1:103" ht="11.25" customHeight="1" x14ac:dyDescent="0.2">
      <c r="A1451" s="72">
        <v>1449</v>
      </c>
      <c r="B1451" s="224">
        <v>250</v>
      </c>
      <c r="C1451" s="46" t="s">
        <v>7489</v>
      </c>
      <c r="D1451" s="46"/>
      <c r="E1451" s="114"/>
      <c r="F1451" s="114" t="s">
        <v>2996</v>
      </c>
      <c r="G1451" s="225">
        <v>87818313</v>
      </c>
      <c r="H1451" s="47" t="s">
        <v>2997</v>
      </c>
      <c r="I1451" s="47" t="s">
        <v>2997</v>
      </c>
      <c r="J1451" s="47" t="s">
        <v>2998</v>
      </c>
      <c r="K1451" s="47" t="s">
        <v>426</v>
      </c>
      <c r="L1451" s="47"/>
      <c r="M1451" s="47"/>
      <c r="N1451" s="47"/>
      <c r="O1451" s="47"/>
      <c r="P1451" s="53"/>
      <c r="Q1451" s="53"/>
      <c r="R1451" s="53"/>
      <c r="S1451" s="53"/>
      <c r="T1451" s="48">
        <v>274.39999999999998</v>
      </c>
      <c r="U1451" s="98">
        <v>0.22959183673469391</v>
      </c>
      <c r="V1451" s="98">
        <v>7.1246355685131201E-3</v>
      </c>
      <c r="W1451" s="98">
        <v>8.5113803820237491E-2</v>
      </c>
      <c r="X1451" s="98">
        <v>0.22959183673469391</v>
      </c>
      <c r="Y1451" s="233">
        <v>7</v>
      </c>
      <c r="Z1451" s="48">
        <v>4.55</v>
      </c>
      <c r="AA1451" s="48">
        <v>4.62</v>
      </c>
      <c r="AB1451" s="48">
        <v>4.07</v>
      </c>
      <c r="AC1451" s="48">
        <v>0.71719999999999995</v>
      </c>
      <c r="AD1451" s="48">
        <v>4.2699999999999996</v>
      </c>
      <c r="AE1451" s="48">
        <v>4.6100000000000003</v>
      </c>
      <c r="AF1451" s="48">
        <f t="shared" si="379"/>
        <v>4.62</v>
      </c>
      <c r="AG1451" s="49">
        <v>3.96</v>
      </c>
      <c r="AH1451" s="98">
        <v>2.1199999999999999E-7</v>
      </c>
      <c r="AI1451" s="98">
        <v>4.34E-7</v>
      </c>
      <c r="AJ1451" s="483">
        <f t="shared" si="383"/>
        <v>-5.0622304653839008</v>
      </c>
      <c r="AK1451" s="483">
        <f>LOG10(AI1451*1000/(0.08206*298.15))</f>
        <v>-4.7510765968001412</v>
      </c>
      <c r="AL1451" s="483">
        <f t="shared" si="381"/>
        <v>-4.7510765968001412</v>
      </c>
      <c r="AM1451" s="483">
        <v>-7.2987899999999994</v>
      </c>
      <c r="AN1451" s="226">
        <v>-4.68</v>
      </c>
      <c r="AO1451" s="484"/>
      <c r="AP1451" s="484"/>
      <c r="AQ1451" s="226" t="s">
        <v>6311</v>
      </c>
      <c r="AR1451" s="226" t="s">
        <v>6311</v>
      </c>
      <c r="AS1451" s="224" t="s">
        <v>6</v>
      </c>
      <c r="AT1451" s="50" t="s">
        <v>266</v>
      </c>
      <c r="AU1451" s="48">
        <v>8</v>
      </c>
      <c r="AV1451" s="48">
        <v>144</v>
      </c>
      <c r="AW1451" s="48">
        <v>120</v>
      </c>
      <c r="AX1451" s="48">
        <v>26</v>
      </c>
      <c r="AY1451" s="48" t="s">
        <v>267</v>
      </c>
      <c r="AZ1451" s="48" t="s">
        <v>2253</v>
      </c>
      <c r="BA1451" s="48">
        <v>4</v>
      </c>
      <c r="BB1451" s="47" t="s">
        <v>2254</v>
      </c>
      <c r="BC1451" s="47" t="s">
        <v>270</v>
      </c>
      <c r="BD1451" s="47" t="s">
        <v>8374</v>
      </c>
      <c r="BE1451" s="48" t="s">
        <v>1712</v>
      </c>
      <c r="BF1451" s="48" t="s">
        <v>272</v>
      </c>
      <c r="BG1451" s="48" t="s">
        <v>272</v>
      </c>
      <c r="BH1451" s="48" t="s">
        <v>2255</v>
      </c>
      <c r="BI1451" s="98">
        <v>9.9999999999999995E-7</v>
      </c>
      <c r="BJ1451" s="98">
        <v>0.08</v>
      </c>
      <c r="BK1451" s="48"/>
      <c r="BL1451" s="98">
        <f t="shared" si="382"/>
        <v>4.2115794701602432E-3</v>
      </c>
      <c r="BM1451" s="48" t="s">
        <v>891</v>
      </c>
      <c r="BN1451" s="233"/>
      <c r="BO1451" s="233"/>
      <c r="BP1451" s="233"/>
      <c r="BQ1451" s="233"/>
      <c r="BR1451" s="233"/>
      <c r="BS1451" s="48"/>
      <c r="BT1451" s="233"/>
      <c r="BU1451" s="228"/>
      <c r="BV1451" s="233"/>
      <c r="BW1451" s="233"/>
      <c r="BX1451" s="233"/>
      <c r="BY1451" s="233"/>
      <c r="BZ1451" s="233"/>
      <c r="CA1451" s="233"/>
      <c r="CB1451" s="233"/>
      <c r="CC1451" s="48"/>
      <c r="CD1451" s="48"/>
      <c r="CE1451" s="48"/>
      <c r="CF1451" s="48"/>
      <c r="CG1451" s="233"/>
      <c r="CH1451" s="48"/>
      <c r="CI1451" s="98"/>
      <c r="CJ1451" s="98"/>
      <c r="CK1451" s="49">
        <f t="shared" si="377"/>
        <v>5.2644743377003041E-2</v>
      </c>
      <c r="CL1451" s="229"/>
      <c r="CM1451" s="229"/>
      <c r="CN1451" s="229"/>
      <c r="CO1451" s="47" t="s">
        <v>892</v>
      </c>
      <c r="CP1451" s="47" t="s">
        <v>893</v>
      </c>
      <c r="CQ1451" s="224" t="s">
        <v>272</v>
      </c>
      <c r="CR1451" s="224"/>
      <c r="CS1451" s="230" t="s">
        <v>539</v>
      </c>
      <c r="CT1451" s="230"/>
      <c r="CU1451" s="230"/>
      <c r="CV1451" s="335">
        <f t="shared" si="380"/>
        <v>2.8698979591836737</v>
      </c>
      <c r="CW1451" s="230">
        <f t="shared" si="373"/>
        <v>1</v>
      </c>
      <c r="CX1451" s="336" t="s">
        <v>539</v>
      </c>
      <c r="CY1451" s="230" t="s">
        <v>5921</v>
      </c>
    </row>
    <row r="1452" spans="1:103" ht="11.25" customHeight="1" x14ac:dyDescent="0.2">
      <c r="A1452" s="72">
        <v>1450</v>
      </c>
      <c r="B1452" s="224">
        <v>1065</v>
      </c>
      <c r="C1452" s="46" t="s">
        <v>7489</v>
      </c>
      <c r="D1452" s="46"/>
      <c r="E1452" s="114"/>
      <c r="F1452" s="114" t="s">
        <v>2996</v>
      </c>
      <c r="G1452" s="225">
        <v>87818313</v>
      </c>
      <c r="H1452" s="47" t="s">
        <v>2997</v>
      </c>
      <c r="I1452" s="47" t="s">
        <v>2997</v>
      </c>
      <c r="J1452" s="47" t="s">
        <v>2998</v>
      </c>
      <c r="K1452" s="47" t="s">
        <v>426</v>
      </c>
      <c r="L1452" s="47"/>
      <c r="M1452" s="47"/>
      <c r="N1452" s="47"/>
      <c r="O1452" s="47"/>
      <c r="P1452" s="53"/>
      <c r="Q1452" s="53"/>
      <c r="R1452" s="53"/>
      <c r="S1452" s="53"/>
      <c r="T1452" s="48">
        <v>274.39999999999998</v>
      </c>
      <c r="U1452" s="98">
        <v>0.22959183673469391</v>
      </c>
      <c r="V1452" s="98">
        <v>7.1246355685131201E-3</v>
      </c>
      <c r="W1452" s="98">
        <v>8.5113803820237491E-2</v>
      </c>
      <c r="X1452" s="98">
        <v>0.22959183673469391</v>
      </c>
      <c r="Y1452" s="233">
        <v>7</v>
      </c>
      <c r="Z1452" s="48">
        <v>4.55</v>
      </c>
      <c r="AA1452" s="48">
        <v>4.62</v>
      </c>
      <c r="AB1452" s="48">
        <v>4.07</v>
      </c>
      <c r="AC1452" s="48">
        <v>0.71719999999999995</v>
      </c>
      <c r="AD1452" s="48">
        <v>4.2699999999999996</v>
      </c>
      <c r="AE1452" s="48">
        <v>4.6100000000000003</v>
      </c>
      <c r="AF1452" s="48">
        <f t="shared" si="379"/>
        <v>4.62</v>
      </c>
      <c r="AG1452" s="49">
        <v>3.96</v>
      </c>
      <c r="AH1452" s="98">
        <v>2.1199999999999999E-7</v>
      </c>
      <c r="AI1452" s="98">
        <v>4.34E-7</v>
      </c>
      <c r="AJ1452" s="483">
        <f t="shared" si="383"/>
        <v>-5.0622304653839008</v>
      </c>
      <c r="AK1452" s="483">
        <f>LOG10(AI1452*1000/(0.08206*298.15))</f>
        <v>-4.7510765968001412</v>
      </c>
      <c r="AL1452" s="483">
        <f t="shared" si="381"/>
        <v>-4.7510765968001412</v>
      </c>
      <c r="AM1452" s="483">
        <v>-7.2987899999999994</v>
      </c>
      <c r="AN1452" s="226">
        <v>-4.68</v>
      </c>
      <c r="AO1452" s="484"/>
      <c r="AP1452" s="484"/>
      <c r="AQ1452" s="48" t="s">
        <v>6311</v>
      </c>
      <c r="AR1452" s="48" t="s">
        <v>6311</v>
      </c>
      <c r="AS1452" s="227"/>
      <c r="AT1452" s="50" t="s">
        <v>266</v>
      </c>
      <c r="AU1452" s="48">
        <v>6</v>
      </c>
      <c r="AV1452" s="48">
        <v>120</v>
      </c>
      <c r="AW1452" s="48">
        <v>114</v>
      </c>
      <c r="AX1452" s="48">
        <v>28</v>
      </c>
      <c r="AY1452" s="48" t="s">
        <v>8728</v>
      </c>
      <c r="AZ1452" s="48" t="s">
        <v>1563</v>
      </c>
      <c r="BA1452" s="48">
        <v>32</v>
      </c>
      <c r="BB1452" s="47" t="s">
        <v>2485</v>
      </c>
      <c r="BC1452" s="47" t="s">
        <v>8726</v>
      </c>
      <c r="BD1452" s="47" t="s">
        <v>8374</v>
      </c>
      <c r="BE1452" s="48" t="s">
        <v>2449</v>
      </c>
      <c r="BF1452" s="48" t="s">
        <v>272</v>
      </c>
      <c r="BG1452" s="48" t="s">
        <v>272</v>
      </c>
      <c r="BH1452" s="48" t="s">
        <v>2486</v>
      </c>
      <c r="BI1452" s="98">
        <v>6.3999999999999997E-6</v>
      </c>
      <c r="BJ1452" s="98">
        <v>6.4000000000000001E-2</v>
      </c>
      <c r="BK1452" s="48"/>
      <c r="BL1452" s="98">
        <f t="shared" si="382"/>
        <v>4.2115794701602432E-3</v>
      </c>
      <c r="BM1452" s="47" t="s">
        <v>2487</v>
      </c>
      <c r="BN1452" s="48"/>
      <c r="BO1452" s="48"/>
      <c r="BP1452" s="48"/>
      <c r="BQ1452" s="48"/>
      <c r="BR1452" s="47" t="s">
        <v>2496</v>
      </c>
      <c r="BS1452" s="48"/>
      <c r="BT1452" s="48"/>
      <c r="BU1452" s="228">
        <v>6.3999999999999997E-6</v>
      </c>
      <c r="BV1452" s="48"/>
      <c r="BW1452" s="48"/>
      <c r="BX1452" s="48"/>
      <c r="BY1452" s="48"/>
      <c r="BZ1452" s="48"/>
      <c r="CA1452" s="48"/>
      <c r="CB1452" s="48"/>
      <c r="CC1452" s="48"/>
      <c r="CD1452" s="48"/>
      <c r="CE1452" s="48"/>
      <c r="CF1452" s="48"/>
      <c r="CG1452" s="48"/>
      <c r="CH1452" s="48"/>
      <c r="CI1452" s="98"/>
      <c r="CJ1452" s="98"/>
      <c r="CK1452" s="49">
        <f t="shared" si="377"/>
        <v>6.5805929221253792E-2</v>
      </c>
      <c r="CL1452" s="229"/>
      <c r="CM1452" s="229"/>
      <c r="CN1452" s="229"/>
      <c r="CO1452" s="47" t="s">
        <v>2488</v>
      </c>
      <c r="CP1452" s="47" t="s">
        <v>2489</v>
      </c>
      <c r="CQ1452" s="224" t="s">
        <v>272</v>
      </c>
      <c r="CR1452" s="224"/>
      <c r="CS1452" s="230" t="s">
        <v>539</v>
      </c>
      <c r="CT1452" s="230"/>
      <c r="CU1452" s="230"/>
      <c r="CV1452" s="335">
        <f t="shared" si="380"/>
        <v>3.5873724489795924</v>
      </c>
      <c r="CW1452" s="230">
        <f t="shared" si="373"/>
        <v>1</v>
      </c>
      <c r="CX1452" s="336"/>
      <c r="CY1452" s="230" t="s">
        <v>5921</v>
      </c>
    </row>
    <row r="1453" spans="1:103" ht="11.25" customHeight="1" x14ac:dyDescent="0.2">
      <c r="A1453" s="72">
        <v>1451</v>
      </c>
      <c r="B1453" s="224">
        <v>1748</v>
      </c>
      <c r="C1453" s="46" t="s">
        <v>1319</v>
      </c>
      <c r="D1453" s="46" t="s">
        <v>6571</v>
      </c>
      <c r="E1453" s="114"/>
      <c r="F1453" s="114" t="s">
        <v>1320</v>
      </c>
      <c r="G1453" s="225">
        <v>88671890</v>
      </c>
      <c r="H1453" s="47" t="s">
        <v>1321</v>
      </c>
      <c r="I1453" s="47" t="s">
        <v>8154</v>
      </c>
      <c r="J1453" s="47" t="s">
        <v>1322</v>
      </c>
      <c r="K1453" s="47" t="s">
        <v>1163</v>
      </c>
      <c r="L1453" s="47" t="s">
        <v>6002</v>
      </c>
      <c r="M1453" s="47" t="s">
        <v>2342</v>
      </c>
      <c r="N1453" s="47" t="s">
        <v>2342</v>
      </c>
      <c r="O1453" s="47"/>
      <c r="P1453" s="53"/>
      <c r="Q1453" s="53"/>
      <c r="R1453" s="53"/>
      <c r="S1453" s="53"/>
      <c r="T1453" s="48">
        <v>288.77999999999997</v>
      </c>
      <c r="U1453" s="98">
        <v>0.49172380358750611</v>
      </c>
      <c r="V1453" s="98">
        <v>8.2761964124939399E-2</v>
      </c>
      <c r="W1453" s="98">
        <v>6.3095734448019275E-2</v>
      </c>
      <c r="X1453" s="98">
        <v>0.49172380358750611</v>
      </c>
      <c r="Y1453" s="233">
        <v>7</v>
      </c>
      <c r="Z1453" s="48">
        <v>3.5</v>
      </c>
      <c r="AA1453" s="48">
        <v>2.94</v>
      </c>
      <c r="AB1453" s="48">
        <v>3.35</v>
      </c>
      <c r="AC1453" s="48">
        <v>0.74470000000000003</v>
      </c>
      <c r="AD1453" s="48">
        <v>3.19</v>
      </c>
      <c r="AE1453" s="48">
        <v>2.82</v>
      </c>
      <c r="AF1453" s="48">
        <f t="shared" si="379"/>
        <v>2.94</v>
      </c>
      <c r="AG1453" s="49">
        <v>3.89</v>
      </c>
      <c r="AH1453" s="98">
        <v>3.34E-9</v>
      </c>
      <c r="AI1453" s="98">
        <v>4.2800000000000001E-9</v>
      </c>
      <c r="AJ1453" s="483">
        <f t="shared" si="383"/>
        <v>-6.864819859501087</v>
      </c>
      <c r="AK1453" s="483">
        <f>LOG10(AI1453*1000/(0.08206*298.15))</f>
        <v>-6.7571225572994793</v>
      </c>
      <c r="AL1453" s="483">
        <f t="shared" si="381"/>
        <v>-6.7571225572994793</v>
      </c>
      <c r="AM1453" s="483">
        <v>-11.876340000000001</v>
      </c>
      <c r="AN1453" s="226">
        <v>-7.93</v>
      </c>
      <c r="AO1453" s="484"/>
      <c r="AP1453" s="484">
        <v>2.2999999999999998</v>
      </c>
      <c r="AQ1453" s="226" t="s">
        <v>6311</v>
      </c>
      <c r="AR1453" s="226" t="s">
        <v>6311</v>
      </c>
      <c r="AS1453" s="224"/>
      <c r="AT1453" s="50" t="s">
        <v>266</v>
      </c>
      <c r="AU1453" s="48">
        <v>6</v>
      </c>
      <c r="AV1453" s="48">
        <v>120</v>
      </c>
      <c r="AW1453" s="48">
        <v>114</v>
      </c>
      <c r="AX1453" s="48">
        <v>28</v>
      </c>
      <c r="AY1453" s="48" t="s">
        <v>8728</v>
      </c>
      <c r="AZ1453" s="48" t="s">
        <v>1563</v>
      </c>
      <c r="BA1453" s="48">
        <v>32</v>
      </c>
      <c r="BB1453" s="47" t="s">
        <v>2485</v>
      </c>
      <c r="BC1453" s="47" t="s">
        <v>8726</v>
      </c>
      <c r="BD1453" s="47" t="s">
        <v>8374</v>
      </c>
      <c r="BE1453" s="48" t="s">
        <v>2449</v>
      </c>
      <c r="BF1453" s="48" t="s">
        <v>272</v>
      </c>
      <c r="BG1453" s="48" t="s">
        <v>272</v>
      </c>
      <c r="BH1453" s="48" t="s">
        <v>2486</v>
      </c>
      <c r="BI1453" s="98">
        <v>6.3999999999999997E-6</v>
      </c>
      <c r="BJ1453" s="98">
        <v>6.4000000000000001E-2</v>
      </c>
      <c r="BK1453" s="48"/>
      <c r="BL1453" s="98">
        <f t="shared" si="382"/>
        <v>3.6936011775524802E-2</v>
      </c>
      <c r="BM1453" s="47" t="s">
        <v>2487</v>
      </c>
      <c r="BN1453" s="48"/>
      <c r="BO1453" s="48"/>
      <c r="BP1453" s="48"/>
      <c r="BQ1453" s="48"/>
      <c r="BR1453" s="47" t="s">
        <v>2496</v>
      </c>
      <c r="BS1453" s="48"/>
      <c r="BT1453" s="48"/>
      <c r="BU1453" s="228"/>
      <c r="BV1453" s="48"/>
      <c r="BW1453" s="48"/>
      <c r="BX1453" s="48"/>
      <c r="BY1453" s="48"/>
      <c r="BZ1453" s="48"/>
      <c r="CA1453" s="48"/>
      <c r="CB1453" s="48"/>
      <c r="CC1453" s="48"/>
      <c r="CD1453" s="48"/>
      <c r="CE1453" s="48"/>
      <c r="CF1453" s="48"/>
      <c r="CG1453" s="48"/>
      <c r="CH1453" s="48"/>
      <c r="CI1453" s="98"/>
      <c r="CJ1453" s="98"/>
      <c r="CK1453" s="49">
        <f t="shared" si="377"/>
        <v>0.57712518399257506</v>
      </c>
      <c r="CL1453" s="229"/>
      <c r="CM1453" s="229">
        <v>-2.0803558703493961</v>
      </c>
      <c r="CN1453" s="229">
        <f>BJ1453/(10^CM1453)</f>
        <v>7.7008000000000036</v>
      </c>
      <c r="CO1453" s="47" t="s">
        <v>2488</v>
      </c>
      <c r="CP1453" s="47" t="s">
        <v>2489</v>
      </c>
      <c r="CQ1453" s="224">
        <v>-1.9588368460062489</v>
      </c>
      <c r="CR1453" s="224">
        <f>10^(CJ1453-CQ1453)</f>
        <v>90.957150429670577</v>
      </c>
      <c r="CS1453" s="230" t="s">
        <v>539</v>
      </c>
      <c r="CT1453" s="230"/>
      <c r="CU1453" s="230"/>
      <c r="CV1453" s="335">
        <f t="shared" si="380"/>
        <v>7.6831844310547828</v>
      </c>
      <c r="CW1453" s="230">
        <f t="shared" si="373"/>
        <v>1</v>
      </c>
      <c r="CX1453" s="336"/>
      <c r="CY1453" s="230" t="s">
        <v>5921</v>
      </c>
    </row>
    <row r="1454" spans="1:103" ht="11.25" customHeight="1" x14ac:dyDescent="0.2">
      <c r="A1454" s="72">
        <v>1452</v>
      </c>
      <c r="B1454" s="224">
        <v>1341</v>
      </c>
      <c r="C1454" s="46" t="s">
        <v>7490</v>
      </c>
      <c r="D1454" s="46"/>
      <c r="E1454" s="114"/>
      <c r="F1454" s="114" t="s">
        <v>4151</v>
      </c>
      <c r="G1454" s="225">
        <v>93106606</v>
      </c>
      <c r="H1454" s="47" t="s">
        <v>4152</v>
      </c>
      <c r="I1454" s="47" t="s">
        <v>8155</v>
      </c>
      <c r="J1454" s="47" t="s">
        <v>4153</v>
      </c>
      <c r="K1454" s="47" t="s">
        <v>2752</v>
      </c>
      <c r="L1454" s="47"/>
      <c r="M1454" s="47"/>
      <c r="N1454" s="47"/>
      <c r="O1454" s="47"/>
      <c r="P1454" s="53"/>
      <c r="Q1454" s="53"/>
      <c r="R1454" s="53"/>
      <c r="S1454" s="53"/>
      <c r="T1454" s="48">
        <v>359.39</v>
      </c>
      <c r="U1454" s="98"/>
      <c r="V1454" s="98">
        <v>9.4521272155596989</v>
      </c>
      <c r="W1454" s="98">
        <v>0.51286138399136461</v>
      </c>
      <c r="X1454" s="98">
        <f>IF(W1454=0,V1454,W1454)</f>
        <v>0.51286138399136461</v>
      </c>
      <c r="Y1454" s="233">
        <v>6.93</v>
      </c>
      <c r="Z1454" s="48">
        <v>0.7</v>
      </c>
      <c r="AA1454" s="48"/>
      <c r="AB1454" s="48">
        <v>0.14000000000000001</v>
      </c>
      <c r="AC1454" s="48">
        <v>0.80120000000000002</v>
      </c>
      <c r="AD1454" s="48">
        <v>0.37</v>
      </c>
      <c r="AE1454" s="48">
        <v>1.88</v>
      </c>
      <c r="AF1454" s="48">
        <f t="shared" si="379"/>
        <v>0.37</v>
      </c>
      <c r="AG1454" s="49">
        <v>2.09</v>
      </c>
      <c r="AH1454" s="98">
        <v>1.48E-18</v>
      </c>
      <c r="AI1454" s="98"/>
      <c r="AJ1454" s="483">
        <f t="shared" si="383"/>
        <v>-16.218304610917695</v>
      </c>
      <c r="AK1454" s="483"/>
      <c r="AL1454" s="483">
        <f t="shared" si="381"/>
        <v>-16.218304610917695</v>
      </c>
      <c r="AM1454" s="483">
        <v>-21.762619999999998</v>
      </c>
      <c r="AN1454" s="226">
        <v>-10.9</v>
      </c>
      <c r="AO1454" s="484">
        <v>6.43</v>
      </c>
      <c r="AP1454" s="484">
        <v>7.76</v>
      </c>
      <c r="AQ1454" s="48" t="s">
        <v>6311</v>
      </c>
      <c r="AR1454" s="48" t="s">
        <v>6311</v>
      </c>
      <c r="AS1454" s="224" t="s">
        <v>6</v>
      </c>
      <c r="AT1454" s="50" t="s">
        <v>266</v>
      </c>
      <c r="AU1454" s="48">
        <v>0</v>
      </c>
      <c r="AV1454" s="48">
        <v>144</v>
      </c>
      <c r="AW1454" s="48">
        <v>144</v>
      </c>
      <c r="AX1454" s="48">
        <v>25</v>
      </c>
      <c r="AY1454" s="48" t="s">
        <v>8722</v>
      </c>
      <c r="AZ1454" s="48" t="s">
        <v>2175</v>
      </c>
      <c r="BA1454" s="48" t="s">
        <v>8722</v>
      </c>
      <c r="BB1454" s="47" t="s">
        <v>2176</v>
      </c>
      <c r="BC1454" s="47" t="s">
        <v>538</v>
      </c>
      <c r="BD1454" s="47"/>
      <c r="BE1454" s="48" t="s">
        <v>271</v>
      </c>
      <c r="BF1454" s="48" t="s">
        <v>1974</v>
      </c>
      <c r="BG1454" s="48" t="s">
        <v>1974</v>
      </c>
      <c r="BH1454" s="48" t="s">
        <v>2177</v>
      </c>
      <c r="BI1454" s="98" t="s">
        <v>4137</v>
      </c>
      <c r="BJ1454" s="98">
        <f>1/T1454</f>
        <v>2.7824925568324106E-3</v>
      </c>
      <c r="BK1454" s="48" t="s">
        <v>2178</v>
      </c>
      <c r="BL1454" s="98">
        <f t="shared" si="382"/>
        <v>12.081754314606334</v>
      </c>
      <c r="BM1454" s="48" t="s">
        <v>541</v>
      </c>
      <c r="BN1454" s="48"/>
      <c r="BO1454" s="48"/>
      <c r="BP1454" s="48"/>
      <c r="BQ1454" s="48"/>
      <c r="BR1454" s="48"/>
      <c r="BS1454" s="48"/>
      <c r="BT1454" s="48"/>
      <c r="BU1454" s="228"/>
      <c r="BV1454" s="48"/>
      <c r="BW1454" s="48"/>
      <c r="BX1454" s="48"/>
      <c r="BY1454" s="48"/>
      <c r="BZ1454" s="48"/>
      <c r="CA1454" s="48"/>
      <c r="CB1454" s="48"/>
      <c r="CC1454" s="48"/>
      <c r="CD1454" s="48"/>
      <c r="CE1454" s="48"/>
      <c r="CF1454" s="48"/>
      <c r="CG1454" s="48"/>
      <c r="CH1454" s="48"/>
      <c r="CI1454" s="98"/>
      <c r="CJ1454" s="98"/>
      <c r="CK1454" s="49">
        <f t="shared" si="377"/>
        <v>4342.0616831263706</v>
      </c>
      <c r="CL1454" s="229"/>
      <c r="CM1454" s="229"/>
      <c r="CN1454" s="229"/>
      <c r="CO1454" s="47"/>
      <c r="CP1454" s="47" t="s">
        <v>2180</v>
      </c>
      <c r="CQ1454" s="224" t="s">
        <v>272</v>
      </c>
      <c r="CR1454" s="224"/>
      <c r="CS1454" s="230" t="s">
        <v>539</v>
      </c>
      <c r="CT1454" s="230" t="s">
        <v>6310</v>
      </c>
      <c r="CU1454" s="230"/>
      <c r="CV1454" s="335">
        <f t="shared" si="380"/>
        <v>184.31725279265652</v>
      </c>
      <c r="CW1454" s="230">
        <f t="shared" si="373"/>
        <v>1</v>
      </c>
      <c r="CX1454" s="336" t="s">
        <v>539</v>
      </c>
      <c r="CY1454" s="230" t="s">
        <v>5921</v>
      </c>
    </row>
    <row r="1455" spans="1:103" ht="11.25" customHeight="1" x14ac:dyDescent="0.2">
      <c r="A1455" s="72">
        <v>1453</v>
      </c>
      <c r="B1455" s="224">
        <v>271</v>
      </c>
      <c r="C1455" s="46" t="s">
        <v>7491</v>
      </c>
      <c r="D1455" s="46" t="s">
        <v>7492</v>
      </c>
      <c r="E1455" s="114"/>
      <c r="F1455" s="114" t="s">
        <v>3787</v>
      </c>
      <c r="G1455" s="225">
        <v>94361065</v>
      </c>
      <c r="H1455" s="47" t="s">
        <v>3788</v>
      </c>
      <c r="I1455" s="47" t="s">
        <v>8156</v>
      </c>
      <c r="J1455" s="47" t="s">
        <v>3789</v>
      </c>
      <c r="K1455" s="47" t="s">
        <v>1265</v>
      </c>
      <c r="L1455" s="47" t="s">
        <v>6007</v>
      </c>
      <c r="M1455" s="47" t="s">
        <v>6082</v>
      </c>
      <c r="N1455" s="47" t="s">
        <v>6082</v>
      </c>
      <c r="O1455" s="47" t="s">
        <v>6083</v>
      </c>
      <c r="P1455" s="53"/>
      <c r="Q1455" s="53" t="s">
        <v>6173</v>
      </c>
      <c r="R1455" s="53" t="s">
        <v>6174</v>
      </c>
      <c r="S1455" s="53" t="s">
        <v>6182</v>
      </c>
      <c r="T1455" s="48">
        <v>291.77999999999997</v>
      </c>
      <c r="U1455" s="98">
        <v>0.47981355816025778</v>
      </c>
      <c r="V1455" s="98">
        <v>0.50723147576941541</v>
      </c>
      <c r="W1455" s="98">
        <v>0.11220184543019618</v>
      </c>
      <c r="X1455" s="98">
        <v>0.47981355816025778</v>
      </c>
      <c r="Y1455" s="233">
        <v>7.04</v>
      </c>
      <c r="Z1455" s="48">
        <v>3.25</v>
      </c>
      <c r="AA1455" s="48">
        <v>2.9</v>
      </c>
      <c r="AB1455" s="48">
        <v>3.03</v>
      </c>
      <c r="AC1455" s="48">
        <v>0.82089999999999996</v>
      </c>
      <c r="AD1455" s="48">
        <v>2.95</v>
      </c>
      <c r="AE1455" s="48">
        <v>2.7</v>
      </c>
      <c r="AF1455" s="48">
        <f t="shared" si="379"/>
        <v>2.9</v>
      </c>
      <c r="AG1455" s="49">
        <v>3.01</v>
      </c>
      <c r="AH1455" s="98">
        <v>1.72E-10</v>
      </c>
      <c r="AI1455" s="98">
        <v>7.1000000000000003E-10</v>
      </c>
      <c r="AJ1455" s="483">
        <f t="shared" si="383"/>
        <v>-8.1530378794051028</v>
      </c>
      <c r="AK1455" s="483">
        <f t="shared" ref="AK1455:AK1460" si="384">LOG10(AI1455*1000/(0.08206*298.15))</f>
        <v>-7.537307977593577</v>
      </c>
      <c r="AL1455" s="483">
        <f t="shared" si="381"/>
        <v>-7.537307977593577</v>
      </c>
      <c r="AM1455" s="483">
        <v>-13.853300000000001</v>
      </c>
      <c r="AN1455" s="226">
        <v>-7.8</v>
      </c>
      <c r="AO1455" s="484">
        <v>12.59</v>
      </c>
      <c r="AP1455" s="484">
        <v>2.89</v>
      </c>
      <c r="AQ1455" s="226" t="s">
        <v>6311</v>
      </c>
      <c r="AR1455" s="226" t="s">
        <v>6311</v>
      </c>
      <c r="AS1455" s="224" t="s">
        <v>6</v>
      </c>
      <c r="AT1455" s="50" t="s">
        <v>266</v>
      </c>
      <c r="AU1455" s="48">
        <v>8</v>
      </c>
      <c r="AV1455" s="48">
        <v>144</v>
      </c>
      <c r="AW1455" s="48">
        <v>120</v>
      </c>
      <c r="AX1455" s="48">
        <v>26</v>
      </c>
      <c r="AY1455" s="48" t="s">
        <v>267</v>
      </c>
      <c r="AZ1455" s="48" t="s">
        <v>2253</v>
      </c>
      <c r="BA1455" s="48">
        <v>2</v>
      </c>
      <c r="BB1455" s="47" t="s">
        <v>2254</v>
      </c>
      <c r="BC1455" s="47" t="s">
        <v>270</v>
      </c>
      <c r="BD1455" s="47" t="s">
        <v>8374</v>
      </c>
      <c r="BE1455" s="48" t="s">
        <v>1712</v>
      </c>
      <c r="BF1455" s="48" t="s">
        <v>272</v>
      </c>
      <c r="BG1455" s="48" t="s">
        <v>272</v>
      </c>
      <c r="BH1455" s="48" t="s">
        <v>2255</v>
      </c>
      <c r="BI1455" s="98">
        <v>9.9999999999999995E-7</v>
      </c>
      <c r="BJ1455" s="98">
        <v>0.08</v>
      </c>
      <c r="BK1455" s="48"/>
      <c r="BL1455" s="98">
        <f t="shared" si="382"/>
        <v>6.1940541820844193E-2</v>
      </c>
      <c r="BM1455" s="48" t="s">
        <v>891</v>
      </c>
      <c r="BN1455" s="233"/>
      <c r="BO1455" s="233"/>
      <c r="BP1455" s="233"/>
      <c r="BQ1455" s="233"/>
      <c r="BR1455" s="233"/>
      <c r="BS1455" s="48"/>
      <c r="BT1455" s="233"/>
      <c r="BU1455" s="228"/>
      <c r="BV1455" s="233"/>
      <c r="BW1455" s="233"/>
      <c r="BX1455" s="233"/>
      <c r="BY1455" s="233"/>
      <c r="BZ1455" s="233"/>
      <c r="CA1455" s="233"/>
      <c r="CB1455" s="233"/>
      <c r="CC1455" s="48"/>
      <c r="CD1455" s="48"/>
      <c r="CE1455" s="48"/>
      <c r="CF1455" s="48"/>
      <c r="CG1455" s="233"/>
      <c r="CH1455" s="48"/>
      <c r="CI1455" s="98"/>
      <c r="CJ1455" s="98"/>
      <c r="CK1455" s="49">
        <f t="shared" si="377"/>
        <v>0.77425677276055238</v>
      </c>
      <c r="CL1455" s="229"/>
      <c r="CM1455" s="229"/>
      <c r="CN1455" s="229"/>
      <c r="CO1455" s="47" t="s">
        <v>892</v>
      </c>
      <c r="CP1455" s="47" t="s">
        <v>893</v>
      </c>
      <c r="CQ1455" s="224">
        <v>-1.164569072108447</v>
      </c>
      <c r="CR1455" s="224">
        <f>10^(CJ1455-CQ1455)</f>
        <v>14.607270514360284</v>
      </c>
      <c r="CS1455" s="230" t="s">
        <v>539</v>
      </c>
      <c r="CT1455" s="230"/>
      <c r="CU1455" s="230"/>
      <c r="CV1455" s="335">
        <f t="shared" si="380"/>
        <v>5.9976694770032219</v>
      </c>
      <c r="CW1455" s="230">
        <f t="shared" si="373"/>
        <v>1</v>
      </c>
      <c r="CX1455" s="336" t="s">
        <v>539</v>
      </c>
      <c r="CY1455" s="230" t="s">
        <v>5921</v>
      </c>
    </row>
    <row r="1456" spans="1:103" ht="11.25" customHeight="1" x14ac:dyDescent="0.2">
      <c r="A1456" s="72">
        <v>1454</v>
      </c>
      <c r="B1456" s="224">
        <v>1575</v>
      </c>
      <c r="C1456" s="46" t="s">
        <v>7491</v>
      </c>
      <c r="D1456" s="46" t="s">
        <v>7492</v>
      </c>
      <c r="E1456" s="114"/>
      <c r="F1456" s="114" t="s">
        <v>3787</v>
      </c>
      <c r="G1456" s="225">
        <v>94361065</v>
      </c>
      <c r="H1456" s="47" t="s">
        <v>3788</v>
      </c>
      <c r="I1456" s="47" t="s">
        <v>8156</v>
      </c>
      <c r="J1456" s="47" t="s">
        <v>4718</v>
      </c>
      <c r="K1456" s="47" t="s">
        <v>1265</v>
      </c>
      <c r="L1456" s="47" t="s">
        <v>6007</v>
      </c>
      <c r="M1456" s="47" t="s">
        <v>6082</v>
      </c>
      <c r="N1456" s="47" t="s">
        <v>6082</v>
      </c>
      <c r="O1456" s="47" t="s">
        <v>6083</v>
      </c>
      <c r="P1456" s="53"/>
      <c r="Q1456" s="53"/>
      <c r="R1456" s="53"/>
      <c r="S1456" s="53"/>
      <c r="T1456" s="48">
        <v>291.77999999999997</v>
      </c>
      <c r="U1456" s="98">
        <v>0.47981355816025778</v>
      </c>
      <c r="V1456" s="98">
        <v>0.50723147576941541</v>
      </c>
      <c r="W1456" s="98">
        <v>0.11220184543019618</v>
      </c>
      <c r="X1456" s="98">
        <v>0.47981355816025778</v>
      </c>
      <c r="Y1456" s="233">
        <v>7.04</v>
      </c>
      <c r="Z1456" s="48">
        <v>3.25</v>
      </c>
      <c r="AA1456" s="48">
        <v>2.9</v>
      </c>
      <c r="AB1456" s="48">
        <v>3.03</v>
      </c>
      <c r="AC1456" s="48">
        <v>0.82089999999999996</v>
      </c>
      <c r="AD1456" s="48">
        <v>2.95</v>
      </c>
      <c r="AE1456" s="48">
        <v>2.7</v>
      </c>
      <c r="AF1456" s="48">
        <f t="shared" si="379"/>
        <v>2.9</v>
      </c>
      <c r="AG1456" s="49">
        <v>3.01</v>
      </c>
      <c r="AH1456" s="98">
        <v>1.72E-10</v>
      </c>
      <c r="AI1456" s="98">
        <v>7.1000000000000003E-10</v>
      </c>
      <c r="AJ1456" s="483">
        <f t="shared" si="383"/>
        <v>-8.1530378794051028</v>
      </c>
      <c r="AK1456" s="483">
        <f t="shared" si="384"/>
        <v>-7.537307977593577</v>
      </c>
      <c r="AL1456" s="483">
        <f t="shared" si="381"/>
        <v>-7.537307977593577</v>
      </c>
      <c r="AM1456" s="483">
        <v>-13.853300000000001</v>
      </c>
      <c r="AN1456" s="226">
        <v>-7.8</v>
      </c>
      <c r="AO1456" s="484">
        <v>12.59</v>
      </c>
      <c r="AP1456" s="484">
        <v>2.89</v>
      </c>
      <c r="AQ1456" s="48" t="s">
        <v>6311</v>
      </c>
      <c r="AR1456" s="48" t="s">
        <v>6311</v>
      </c>
      <c r="AS1456" s="227"/>
      <c r="AT1456" s="50" t="s">
        <v>266</v>
      </c>
      <c r="AU1456" s="48">
        <v>6</v>
      </c>
      <c r="AV1456" s="48">
        <v>120</v>
      </c>
      <c r="AW1456" s="48">
        <v>114</v>
      </c>
      <c r="AX1456" s="48">
        <v>28</v>
      </c>
      <c r="AY1456" s="48" t="s">
        <v>8728</v>
      </c>
      <c r="AZ1456" s="48" t="s">
        <v>1563</v>
      </c>
      <c r="BA1456" s="48">
        <v>32</v>
      </c>
      <c r="BB1456" s="47" t="s">
        <v>2485</v>
      </c>
      <c r="BC1456" s="47" t="s">
        <v>8726</v>
      </c>
      <c r="BD1456" s="47" t="s">
        <v>8374</v>
      </c>
      <c r="BE1456" s="48" t="s">
        <v>2449</v>
      </c>
      <c r="BF1456" s="48" t="s">
        <v>272</v>
      </c>
      <c r="BG1456" s="48" t="s">
        <v>272</v>
      </c>
      <c r="BH1456" s="48" t="s">
        <v>2486</v>
      </c>
      <c r="BI1456" s="98">
        <v>6.3999999999999997E-6</v>
      </c>
      <c r="BJ1456" s="98">
        <v>6.4000000000000001E-2</v>
      </c>
      <c r="BK1456" s="48"/>
      <c r="BL1456" s="98">
        <f t="shared" si="382"/>
        <v>6.1940541820844193E-2</v>
      </c>
      <c r="BM1456" s="47" t="s">
        <v>2487</v>
      </c>
      <c r="BN1456" s="48"/>
      <c r="BO1456" s="48"/>
      <c r="BP1456" s="48"/>
      <c r="BQ1456" s="48"/>
      <c r="BR1456" s="47" t="s">
        <v>2496</v>
      </c>
      <c r="BS1456" s="48"/>
      <c r="BT1456" s="48"/>
      <c r="BU1456" s="228"/>
      <c r="BV1456" s="48"/>
      <c r="BW1456" s="48"/>
      <c r="BX1456" s="48"/>
      <c r="BY1456" s="48"/>
      <c r="BZ1456" s="48"/>
      <c r="CA1456" s="48"/>
      <c r="CB1456" s="48"/>
      <c r="CC1456" s="48"/>
      <c r="CD1456" s="48"/>
      <c r="CE1456" s="48"/>
      <c r="CF1456" s="48"/>
      <c r="CG1456" s="48"/>
      <c r="CH1456" s="48"/>
      <c r="CI1456" s="98"/>
      <c r="CJ1456" s="98"/>
      <c r="CK1456" s="49">
        <f t="shared" si="377"/>
        <v>0.96782096595069045</v>
      </c>
      <c r="CL1456" s="229"/>
      <c r="CM1456" s="229"/>
      <c r="CN1456" s="229"/>
      <c r="CO1456" s="47" t="s">
        <v>2488</v>
      </c>
      <c r="CP1456" s="47" t="s">
        <v>2489</v>
      </c>
      <c r="CQ1456" s="224">
        <v>-1.164569072108447</v>
      </c>
      <c r="CR1456" s="224">
        <f>10^(CJ1456-CQ1456)</f>
        <v>14.607270514360284</v>
      </c>
      <c r="CS1456" s="230" t="s">
        <v>539</v>
      </c>
      <c r="CT1456" s="230"/>
      <c r="CU1456" s="230"/>
      <c r="CV1456" s="335">
        <f t="shared" si="380"/>
        <v>7.4970868462540281</v>
      </c>
      <c r="CW1456" s="230">
        <f t="shared" si="373"/>
        <v>1</v>
      </c>
      <c r="CX1456" s="336"/>
      <c r="CY1456" s="230" t="s">
        <v>5921</v>
      </c>
    </row>
    <row r="1457" spans="1:103" ht="11.25" customHeight="1" x14ac:dyDescent="0.2">
      <c r="A1457" s="72">
        <v>1455</v>
      </c>
      <c r="B1457" s="224">
        <v>1884</v>
      </c>
      <c r="C1457" s="46" t="s">
        <v>1474</v>
      </c>
      <c r="D1457" s="46" t="s">
        <v>6573</v>
      </c>
      <c r="E1457" s="114"/>
      <c r="F1457" s="114" t="s">
        <v>1475</v>
      </c>
      <c r="G1457" s="225">
        <v>96182535</v>
      </c>
      <c r="H1457" s="47" t="s">
        <v>1476</v>
      </c>
      <c r="I1457" s="47" t="s">
        <v>1476</v>
      </c>
      <c r="J1457" s="47" t="s">
        <v>1477</v>
      </c>
      <c r="K1457" s="47" t="s">
        <v>628</v>
      </c>
      <c r="L1457" s="47" t="s">
        <v>617</v>
      </c>
      <c r="M1457" s="47" t="s">
        <v>946</v>
      </c>
      <c r="N1457" s="47" t="s">
        <v>6376</v>
      </c>
      <c r="O1457" s="47" t="s">
        <v>918</v>
      </c>
      <c r="P1457" s="53"/>
      <c r="Q1457" s="53"/>
      <c r="R1457" s="53"/>
      <c r="S1457" s="53"/>
      <c r="T1457" s="48">
        <v>318.37</v>
      </c>
      <c r="U1457" s="98">
        <v>1.7275497063165498E-2</v>
      </c>
      <c r="V1457" s="98">
        <v>7.9812796431824595E-3</v>
      </c>
      <c r="W1457" s="98">
        <v>5.7543993733715576E-2</v>
      </c>
      <c r="X1457" s="98">
        <v>1.7275497063165498E-2</v>
      </c>
      <c r="Y1457" s="233">
        <v>7</v>
      </c>
      <c r="Z1457" s="48">
        <v>4.1900000000000004</v>
      </c>
      <c r="AA1457" s="48"/>
      <c r="AB1457" s="48">
        <v>3.92</v>
      </c>
      <c r="AC1457" s="48">
        <v>0.78249999999999997</v>
      </c>
      <c r="AD1457" s="48">
        <v>3.73</v>
      </c>
      <c r="AE1457" s="48">
        <v>3.3</v>
      </c>
      <c r="AF1457" s="48">
        <f t="shared" si="379"/>
        <v>3.73</v>
      </c>
      <c r="AG1457" s="49">
        <v>3.79</v>
      </c>
      <c r="AH1457" s="98">
        <v>1.3899999999999999E-7</v>
      </c>
      <c r="AI1457" s="98">
        <v>2.8499999999999998E-6</v>
      </c>
      <c r="AJ1457" s="483">
        <f t="shared" si="383"/>
        <v>-5.2455515260585566</v>
      </c>
      <c r="AK1457" s="483">
        <f t="shared" si="384"/>
        <v>-3.9337214663041418</v>
      </c>
      <c r="AL1457" s="483">
        <f t="shared" si="381"/>
        <v>-3.9337214663041418</v>
      </c>
      <c r="AM1457" s="483">
        <v>-11.76464</v>
      </c>
      <c r="AN1457" s="226">
        <v>-4.3499999999999996</v>
      </c>
      <c r="AO1457" s="484"/>
      <c r="AP1457" s="484">
        <v>0.46</v>
      </c>
      <c r="AQ1457" s="226" t="s">
        <v>6312</v>
      </c>
      <c r="AR1457" s="226" t="s">
        <v>6312</v>
      </c>
      <c r="AS1457" s="224"/>
      <c r="AT1457" s="50" t="s">
        <v>266</v>
      </c>
      <c r="AU1457" s="48">
        <v>6</v>
      </c>
      <c r="AV1457" s="48">
        <v>120</v>
      </c>
      <c r="AW1457" s="48">
        <v>114</v>
      </c>
      <c r="AX1457" s="48">
        <v>28</v>
      </c>
      <c r="AY1457" s="48" t="s">
        <v>8728</v>
      </c>
      <c r="AZ1457" s="48" t="s">
        <v>1563</v>
      </c>
      <c r="BA1457" s="48">
        <v>32</v>
      </c>
      <c r="BB1457" s="47" t="s">
        <v>2485</v>
      </c>
      <c r="BC1457" s="47" t="s">
        <v>8726</v>
      </c>
      <c r="BD1457" s="47" t="s">
        <v>8374</v>
      </c>
      <c r="BE1457" s="48" t="s">
        <v>2449</v>
      </c>
      <c r="BF1457" s="48" t="s">
        <v>272</v>
      </c>
      <c r="BG1457" s="48" t="s">
        <v>272</v>
      </c>
      <c r="BH1457" s="48" t="s">
        <v>2486</v>
      </c>
      <c r="BI1457" s="98">
        <v>6.3999999999999997E-6</v>
      </c>
      <c r="BJ1457" s="98">
        <v>6.4000000000000001E-2</v>
      </c>
      <c r="BK1457" s="48"/>
      <c r="BL1457" s="98">
        <f t="shared" si="382"/>
        <v>8.8666792857297061E-3</v>
      </c>
      <c r="BM1457" s="47" t="s">
        <v>2487</v>
      </c>
      <c r="BN1457" s="48"/>
      <c r="BO1457" s="48"/>
      <c r="BP1457" s="48"/>
      <c r="BQ1457" s="48"/>
      <c r="BR1457" s="47" t="s">
        <v>2496</v>
      </c>
      <c r="BS1457" s="48"/>
      <c r="BT1457" s="48"/>
      <c r="BU1457" s="228"/>
      <c r="BV1457" s="48"/>
      <c r="BW1457" s="48"/>
      <c r="BX1457" s="48"/>
      <c r="BY1457" s="48"/>
      <c r="BZ1457" s="48"/>
      <c r="CA1457" s="48"/>
      <c r="CB1457" s="48"/>
      <c r="CC1457" s="48"/>
      <c r="CD1457" s="48"/>
      <c r="CE1457" s="48"/>
      <c r="CF1457" s="48"/>
      <c r="CG1457" s="48"/>
      <c r="CH1457" s="48"/>
      <c r="CI1457" s="98"/>
      <c r="CJ1457" s="98"/>
      <c r="CK1457" s="49">
        <f t="shared" si="377"/>
        <v>0.13854186383952666</v>
      </c>
      <c r="CL1457" s="229"/>
      <c r="CM1457" s="229">
        <v>-3.5535421307866382</v>
      </c>
      <c r="CN1457" s="229">
        <f>BJ1457/(10^CM1457)</f>
        <v>228.94022471910134</v>
      </c>
      <c r="CO1457" s="47" t="s">
        <v>2488</v>
      </c>
      <c r="CP1457" s="47" t="s">
        <v>2489</v>
      </c>
      <c r="CQ1457" s="224">
        <v>-2.8550606468837754</v>
      </c>
      <c r="CR1457" s="224">
        <f>10^(CJ1457-CQ1457)</f>
        <v>716.24342276344055</v>
      </c>
      <c r="CS1457" s="230" t="s">
        <v>539</v>
      </c>
      <c r="CT1457" s="230"/>
      <c r="CU1457" s="230"/>
      <c r="CV1457" s="335">
        <f t="shared" si="380"/>
        <v>0.26992964161196092</v>
      </c>
      <c r="CW1457" s="230">
        <f t="shared" si="373"/>
        <v>0</v>
      </c>
      <c r="CX1457" s="336"/>
      <c r="CY1457" s="230" t="s">
        <v>5921</v>
      </c>
    </row>
    <row r="1458" spans="1:103" ht="11.25" customHeight="1" x14ac:dyDescent="0.2">
      <c r="A1458" s="72">
        <v>1456</v>
      </c>
      <c r="B1458" s="224">
        <v>328</v>
      </c>
      <c r="C1458" s="46" t="s">
        <v>7493</v>
      </c>
      <c r="D1458" s="46"/>
      <c r="E1458" s="114"/>
      <c r="F1458" s="114" t="s">
        <v>3850</v>
      </c>
      <c r="G1458" s="225">
        <v>97780068</v>
      </c>
      <c r="H1458" s="47" t="s">
        <v>3851</v>
      </c>
      <c r="I1458" s="47" t="s">
        <v>3851</v>
      </c>
      <c r="J1458" s="47" t="s">
        <v>3852</v>
      </c>
      <c r="K1458" s="47" t="s">
        <v>3853</v>
      </c>
      <c r="L1458" s="47"/>
      <c r="M1458" s="47"/>
      <c r="N1458" s="47"/>
      <c r="O1458" s="47"/>
      <c r="P1458" s="53"/>
      <c r="Q1458" s="53"/>
      <c r="R1458" s="53"/>
      <c r="S1458" s="53"/>
      <c r="T1458" s="48">
        <v>410.41</v>
      </c>
      <c r="U1458" s="98">
        <v>4.1421992641504837E-3</v>
      </c>
      <c r="V1458" s="98">
        <v>0.28215686752272118</v>
      </c>
      <c r="W1458" s="98">
        <v>0.7079457843841378</v>
      </c>
      <c r="X1458" s="98">
        <v>4.1421992641504837E-3</v>
      </c>
      <c r="Y1458" s="233">
        <v>3.9</v>
      </c>
      <c r="Z1458" s="48">
        <v>2.4300000000000002</v>
      </c>
      <c r="AA1458" s="48">
        <v>1.59</v>
      </c>
      <c r="AB1458" s="48">
        <v>1.63</v>
      </c>
      <c r="AC1458" s="48">
        <v>0.73470000000000002</v>
      </c>
      <c r="AD1458" s="48">
        <v>1.26</v>
      </c>
      <c r="AE1458" s="48">
        <v>0.16</v>
      </c>
      <c r="AF1458" s="48">
        <f t="shared" si="379"/>
        <v>1.59</v>
      </c>
      <c r="AG1458" s="49">
        <v>1.24</v>
      </c>
      <c r="AH1458" s="98">
        <v>7.0199999999999999E-17</v>
      </c>
      <c r="AI1458" s="98">
        <v>1.8399999999999999E-15</v>
      </c>
      <c r="AJ1458" s="483">
        <f t="shared" si="383"/>
        <v>-14.542229214182846</v>
      </c>
      <c r="AK1458" s="483">
        <f t="shared" si="384"/>
        <v>-13.123748503303116</v>
      </c>
      <c r="AL1458" s="483">
        <f t="shared" si="381"/>
        <v>-13.123748503303116</v>
      </c>
      <c r="AM1458" s="483">
        <v>-27.60098</v>
      </c>
      <c r="AN1458" s="226">
        <v>-25.3</v>
      </c>
      <c r="AO1458" s="484">
        <v>2.54</v>
      </c>
      <c r="AP1458" s="484">
        <v>4.17</v>
      </c>
      <c r="AQ1458" s="226" t="s">
        <v>6311</v>
      </c>
      <c r="AR1458" s="226" t="s">
        <v>6312</v>
      </c>
      <c r="AS1458" s="224" t="s">
        <v>6</v>
      </c>
      <c r="AT1458" s="50" t="s">
        <v>266</v>
      </c>
      <c r="AU1458" s="48">
        <v>8</v>
      </c>
      <c r="AV1458" s="48">
        <v>144</v>
      </c>
      <c r="AW1458" s="48">
        <v>120</v>
      </c>
      <c r="AX1458" s="48">
        <v>26</v>
      </c>
      <c r="AY1458" s="48" t="s">
        <v>267</v>
      </c>
      <c r="AZ1458" s="48" t="s">
        <v>2253</v>
      </c>
      <c r="BA1458" s="48">
        <v>3</v>
      </c>
      <c r="BB1458" s="47" t="s">
        <v>2254</v>
      </c>
      <c r="BC1458" s="47" t="s">
        <v>270</v>
      </c>
      <c r="BD1458" s="47" t="s">
        <v>8374</v>
      </c>
      <c r="BE1458" s="48" t="s">
        <v>1712</v>
      </c>
      <c r="BF1458" s="48" t="s">
        <v>272</v>
      </c>
      <c r="BG1458" s="48" t="s">
        <v>272</v>
      </c>
      <c r="BH1458" s="48" t="s">
        <v>2255</v>
      </c>
      <c r="BI1458" s="98">
        <v>9.9999999999999995E-7</v>
      </c>
      <c r="BJ1458" s="98">
        <v>0.08</v>
      </c>
      <c r="BK1458" s="48"/>
      <c r="BL1458" s="98">
        <f t="shared" si="382"/>
        <v>0.33761132003625316</v>
      </c>
      <c r="BM1458" s="48" t="s">
        <v>891</v>
      </c>
      <c r="BN1458" s="233"/>
      <c r="BO1458" s="233"/>
      <c r="BP1458" s="233"/>
      <c r="BQ1458" s="233"/>
      <c r="BR1458" s="233"/>
      <c r="BS1458" s="48"/>
      <c r="BT1458" s="233"/>
      <c r="BU1458" s="228"/>
      <c r="BV1458" s="233"/>
      <c r="BW1458" s="233"/>
      <c r="BX1458" s="233"/>
      <c r="BY1458" s="233"/>
      <c r="BZ1458" s="233"/>
      <c r="CA1458" s="233"/>
      <c r="CB1458" s="233"/>
      <c r="CC1458" s="48"/>
      <c r="CD1458" s="48"/>
      <c r="CE1458" s="48"/>
      <c r="CF1458" s="48"/>
      <c r="CG1458" s="233"/>
      <c r="CH1458" s="48"/>
      <c r="CI1458" s="98"/>
      <c r="CJ1458" s="98"/>
      <c r="CK1458" s="49">
        <f t="shared" si="377"/>
        <v>4.2201415004531642</v>
      </c>
      <c r="CL1458" s="229"/>
      <c r="CM1458" s="229"/>
      <c r="CN1458" s="229"/>
      <c r="CO1458" s="47" t="s">
        <v>892</v>
      </c>
      <c r="CP1458" s="47" t="s">
        <v>893</v>
      </c>
      <c r="CQ1458" s="224" t="s">
        <v>272</v>
      </c>
      <c r="CR1458" s="224"/>
      <c r="CS1458" s="230" t="s">
        <v>539</v>
      </c>
      <c r="CT1458" s="230"/>
      <c r="CU1458" s="230"/>
      <c r="CV1458" s="335">
        <f t="shared" si="380"/>
        <v>5.1777490801881043E-2</v>
      </c>
      <c r="CW1458" s="230">
        <f t="shared" si="373"/>
        <v>0</v>
      </c>
      <c r="CX1458" s="336" t="s">
        <v>539</v>
      </c>
      <c r="CY1458" s="230" t="s">
        <v>5921</v>
      </c>
    </row>
    <row r="1459" spans="1:103" ht="11.25" customHeight="1" x14ac:dyDescent="0.2">
      <c r="A1459" s="72">
        <v>1457</v>
      </c>
      <c r="B1459" s="224">
        <v>349</v>
      </c>
      <c r="C1459" s="46" t="s">
        <v>7494</v>
      </c>
      <c r="D1459" s="46" t="s">
        <v>7495</v>
      </c>
      <c r="E1459" s="114"/>
      <c r="F1459" s="114" t="s">
        <v>3178</v>
      </c>
      <c r="G1459" s="225">
        <v>98886443</v>
      </c>
      <c r="H1459" s="47" t="s">
        <v>3179</v>
      </c>
      <c r="I1459" s="47" t="s">
        <v>3179</v>
      </c>
      <c r="J1459" s="47" t="s">
        <v>3180</v>
      </c>
      <c r="K1459" s="47" t="s">
        <v>3181</v>
      </c>
      <c r="L1459" s="47" t="s">
        <v>617</v>
      </c>
      <c r="M1459" s="47" t="s">
        <v>946</v>
      </c>
      <c r="N1459" s="47" t="s">
        <v>6376</v>
      </c>
      <c r="O1459" s="47" t="s">
        <v>918</v>
      </c>
      <c r="P1459" s="53"/>
      <c r="Q1459" s="53"/>
      <c r="R1459" s="53"/>
      <c r="S1459" s="53"/>
      <c r="T1459" s="48">
        <v>283.35000000000002</v>
      </c>
      <c r="U1459" s="98">
        <v>34.762661019939998</v>
      </c>
      <c r="V1459" s="98">
        <v>1.9887065466737248</v>
      </c>
      <c r="W1459" s="98">
        <v>39.810717055349727</v>
      </c>
      <c r="X1459" s="98">
        <v>34.762661019939998</v>
      </c>
      <c r="Y1459" s="233">
        <v>7</v>
      </c>
      <c r="Z1459" s="48">
        <v>2.4700000000000002</v>
      </c>
      <c r="AA1459" s="48">
        <v>1.68</v>
      </c>
      <c r="AB1459" s="48">
        <v>1.5</v>
      </c>
      <c r="AC1459" s="48">
        <v>0.82110000000000005</v>
      </c>
      <c r="AD1459" s="48">
        <v>1.38</v>
      </c>
      <c r="AE1459" s="48">
        <v>0.94</v>
      </c>
      <c r="AF1459" s="48">
        <f t="shared" si="379"/>
        <v>1.68</v>
      </c>
      <c r="AG1459" s="49">
        <v>2.58</v>
      </c>
      <c r="AH1459" s="98">
        <v>5.8500000000000005E-10</v>
      </c>
      <c r="AI1459" s="98">
        <v>1.7399999999999999E-10</v>
      </c>
      <c r="AJ1459" s="483">
        <f t="shared" si="383"/>
        <v>-7.6214104602304715</v>
      </c>
      <c r="AK1459" s="483">
        <f t="shared" si="384"/>
        <v>-8.1480170780300529</v>
      </c>
      <c r="AL1459" s="483">
        <f t="shared" si="381"/>
        <v>-8.1480170780300529</v>
      </c>
      <c r="AM1459" s="483">
        <v>-14.637880000000001</v>
      </c>
      <c r="AN1459" s="226">
        <v>-7.45</v>
      </c>
      <c r="AO1459" s="484"/>
      <c r="AP1459" s="484">
        <v>-2.64</v>
      </c>
      <c r="AQ1459" s="226" t="s">
        <v>6311</v>
      </c>
      <c r="AR1459" s="226" t="s">
        <v>6311</v>
      </c>
      <c r="AS1459" s="224" t="s">
        <v>6</v>
      </c>
      <c r="AT1459" s="50" t="s">
        <v>266</v>
      </c>
      <c r="AU1459" s="48">
        <v>8</v>
      </c>
      <c r="AV1459" s="48">
        <v>144</v>
      </c>
      <c r="AW1459" s="48">
        <v>120</v>
      </c>
      <c r="AX1459" s="48">
        <v>26</v>
      </c>
      <c r="AY1459" s="48" t="s">
        <v>267</v>
      </c>
      <c r="AZ1459" s="48" t="s">
        <v>2253</v>
      </c>
      <c r="BA1459" s="48">
        <v>2</v>
      </c>
      <c r="BB1459" s="47" t="s">
        <v>2254</v>
      </c>
      <c r="BC1459" s="47" t="s">
        <v>270</v>
      </c>
      <c r="BD1459" s="47" t="s">
        <v>8374</v>
      </c>
      <c r="BE1459" s="48" t="s">
        <v>1712</v>
      </c>
      <c r="BF1459" s="48" t="s">
        <v>272</v>
      </c>
      <c r="BG1459" s="48" t="s">
        <v>272</v>
      </c>
      <c r="BH1459" s="48" t="s">
        <v>2255</v>
      </c>
      <c r="BI1459" s="98">
        <v>9.9999999999999995E-7</v>
      </c>
      <c r="BJ1459" s="98">
        <v>0.08</v>
      </c>
      <c r="BK1459" s="48"/>
      <c r="BL1459" s="98">
        <f t="shared" si="382"/>
        <v>0.31080858059114314</v>
      </c>
      <c r="BM1459" s="48" t="s">
        <v>891</v>
      </c>
      <c r="BN1459" s="233"/>
      <c r="BO1459" s="233"/>
      <c r="BP1459" s="233"/>
      <c r="BQ1459" s="233"/>
      <c r="BR1459" s="233"/>
      <c r="BS1459" s="48"/>
      <c r="BT1459" s="233"/>
      <c r="BU1459" s="228"/>
      <c r="BV1459" s="233"/>
      <c r="BW1459" s="233"/>
      <c r="BX1459" s="233"/>
      <c r="BY1459" s="233"/>
      <c r="BZ1459" s="233"/>
      <c r="CA1459" s="233"/>
      <c r="CB1459" s="233"/>
      <c r="CC1459" s="48"/>
      <c r="CD1459" s="48"/>
      <c r="CE1459" s="48"/>
      <c r="CF1459" s="48"/>
      <c r="CG1459" s="233"/>
      <c r="CH1459" s="48"/>
      <c r="CI1459" s="98"/>
      <c r="CJ1459" s="98"/>
      <c r="CK1459" s="49">
        <f t="shared" si="377"/>
        <v>3.8851072573892891</v>
      </c>
      <c r="CL1459" s="229"/>
      <c r="CM1459" s="229"/>
      <c r="CN1459" s="229"/>
      <c r="CO1459" s="47" t="s">
        <v>892</v>
      </c>
      <c r="CP1459" s="47" t="s">
        <v>893</v>
      </c>
      <c r="CQ1459" s="224">
        <v>-0.3317119013795693</v>
      </c>
      <c r="CR1459" s="224">
        <f>10^(CJ1459-CQ1459)</f>
        <v>2.1464061369012759</v>
      </c>
      <c r="CS1459" s="230" t="s">
        <v>539</v>
      </c>
      <c r="CT1459" s="230"/>
      <c r="CU1459" s="230"/>
      <c r="CV1459" s="335">
        <f t="shared" si="380"/>
        <v>434.53326274924996</v>
      </c>
      <c r="CW1459" s="230">
        <f t="shared" si="373"/>
        <v>1</v>
      </c>
      <c r="CX1459" s="336" t="s">
        <v>539</v>
      </c>
      <c r="CY1459" s="230" t="s">
        <v>5921</v>
      </c>
    </row>
    <row r="1460" spans="1:103" ht="11.25" customHeight="1" x14ac:dyDescent="0.2">
      <c r="A1460" s="72">
        <v>1458</v>
      </c>
      <c r="B1460" s="224">
        <v>1148</v>
      </c>
      <c r="C1460" s="46" t="s">
        <v>7494</v>
      </c>
      <c r="D1460" s="46" t="s">
        <v>7495</v>
      </c>
      <c r="E1460" s="114"/>
      <c r="F1460" s="114" t="s">
        <v>3178</v>
      </c>
      <c r="G1460" s="225">
        <v>98886443</v>
      </c>
      <c r="H1460" s="47" t="s">
        <v>3179</v>
      </c>
      <c r="I1460" s="47" t="s">
        <v>3179</v>
      </c>
      <c r="J1460" s="47" t="s">
        <v>3180</v>
      </c>
      <c r="K1460" s="47" t="s">
        <v>3181</v>
      </c>
      <c r="L1460" s="47" t="s">
        <v>617</v>
      </c>
      <c r="M1460" s="47" t="s">
        <v>946</v>
      </c>
      <c r="N1460" s="47" t="s">
        <v>6376</v>
      </c>
      <c r="O1460" s="47" t="s">
        <v>918</v>
      </c>
      <c r="P1460" s="53"/>
      <c r="Q1460" s="53"/>
      <c r="R1460" s="53"/>
      <c r="S1460" s="53"/>
      <c r="T1460" s="48">
        <v>283.35000000000002</v>
      </c>
      <c r="U1460" s="98">
        <v>34.762661019939998</v>
      </c>
      <c r="V1460" s="98">
        <v>1.9887065466737248</v>
      </c>
      <c r="W1460" s="98">
        <v>39.810717055349727</v>
      </c>
      <c r="X1460" s="98">
        <v>34.762661019939998</v>
      </c>
      <c r="Y1460" s="233">
        <v>7</v>
      </c>
      <c r="Z1460" s="48">
        <v>2.4700000000000002</v>
      </c>
      <c r="AA1460" s="48">
        <v>1.68</v>
      </c>
      <c r="AB1460" s="48">
        <v>1.5</v>
      </c>
      <c r="AC1460" s="48">
        <v>0.82110000000000005</v>
      </c>
      <c r="AD1460" s="48">
        <v>1.38</v>
      </c>
      <c r="AE1460" s="48">
        <v>0.94</v>
      </c>
      <c r="AF1460" s="48">
        <f t="shared" si="379"/>
        <v>1.68</v>
      </c>
      <c r="AG1460" s="49">
        <v>2.58</v>
      </c>
      <c r="AH1460" s="98">
        <v>5.8500000000000005E-10</v>
      </c>
      <c r="AI1460" s="98">
        <v>1.7399999999999999E-10</v>
      </c>
      <c r="AJ1460" s="483">
        <f t="shared" si="383"/>
        <v>-7.6214104602304715</v>
      </c>
      <c r="AK1460" s="483">
        <f t="shared" si="384"/>
        <v>-8.1480170780300529</v>
      </c>
      <c r="AL1460" s="483">
        <f t="shared" si="381"/>
        <v>-8.1480170780300529</v>
      </c>
      <c r="AM1460" s="483">
        <v>-14.637880000000001</v>
      </c>
      <c r="AN1460" s="226">
        <v>-7.45</v>
      </c>
      <c r="AO1460" s="484"/>
      <c r="AP1460" s="484">
        <v>-2.64</v>
      </c>
      <c r="AQ1460" s="48" t="s">
        <v>6311</v>
      </c>
      <c r="AR1460" s="48" t="s">
        <v>6311</v>
      </c>
      <c r="AS1460" s="227"/>
      <c r="AT1460" s="50" t="s">
        <v>266</v>
      </c>
      <c r="AU1460" s="48">
        <v>6</v>
      </c>
      <c r="AV1460" s="48">
        <v>120</v>
      </c>
      <c r="AW1460" s="48">
        <v>114</v>
      </c>
      <c r="AX1460" s="48">
        <v>28</v>
      </c>
      <c r="AY1460" s="48" t="s">
        <v>8728</v>
      </c>
      <c r="AZ1460" s="48" t="s">
        <v>1563</v>
      </c>
      <c r="BA1460" s="48">
        <v>32</v>
      </c>
      <c r="BB1460" s="47" t="s">
        <v>2485</v>
      </c>
      <c r="BC1460" s="47" t="s">
        <v>8726</v>
      </c>
      <c r="BD1460" s="47" t="s">
        <v>8374</v>
      </c>
      <c r="BE1460" s="48" t="s">
        <v>2449</v>
      </c>
      <c r="BF1460" s="48" t="s">
        <v>272</v>
      </c>
      <c r="BG1460" s="48" t="s">
        <v>272</v>
      </c>
      <c r="BH1460" s="48" t="s">
        <v>2486</v>
      </c>
      <c r="BI1460" s="98">
        <v>6.3999999999999997E-6</v>
      </c>
      <c r="BJ1460" s="98">
        <v>6.4000000000000001E-2</v>
      </c>
      <c r="BK1460" s="48"/>
      <c r="BL1460" s="98">
        <f t="shared" si="382"/>
        <v>0.31080858059114314</v>
      </c>
      <c r="BM1460" s="47" t="s">
        <v>2487</v>
      </c>
      <c r="BN1460" s="48"/>
      <c r="BO1460" s="48"/>
      <c r="BP1460" s="48"/>
      <c r="BQ1460" s="48"/>
      <c r="BR1460" s="47" t="s">
        <v>2496</v>
      </c>
      <c r="BS1460" s="48"/>
      <c r="BT1460" s="48"/>
      <c r="BU1460" s="228">
        <v>6.3999999999999997E-6</v>
      </c>
      <c r="BV1460" s="48"/>
      <c r="BW1460" s="48"/>
      <c r="BX1460" s="48"/>
      <c r="BY1460" s="48"/>
      <c r="BZ1460" s="48"/>
      <c r="CA1460" s="48"/>
      <c r="CB1460" s="48"/>
      <c r="CC1460" s="48"/>
      <c r="CD1460" s="48"/>
      <c r="CE1460" s="48"/>
      <c r="CF1460" s="48"/>
      <c r="CG1460" s="48"/>
      <c r="CH1460" s="48"/>
      <c r="CI1460" s="98"/>
      <c r="CJ1460" s="98"/>
      <c r="CK1460" s="49">
        <f t="shared" si="377"/>
        <v>4.8563840717366116</v>
      </c>
      <c r="CL1460" s="229"/>
      <c r="CM1460" s="229"/>
      <c r="CN1460" s="229"/>
      <c r="CO1460" s="47" t="s">
        <v>2488</v>
      </c>
      <c r="CP1460" s="47" t="s">
        <v>2489</v>
      </c>
      <c r="CQ1460" s="224">
        <v>-0.3317119013795693</v>
      </c>
      <c r="CR1460" s="224">
        <f>10^(CJ1460-CQ1460)</f>
        <v>2.1464061369012759</v>
      </c>
      <c r="CS1460" s="230" t="s">
        <v>539</v>
      </c>
      <c r="CT1460" s="230"/>
      <c r="CU1460" s="230"/>
      <c r="CV1460" s="335">
        <f t="shared" si="380"/>
        <v>543.16657843656242</v>
      </c>
      <c r="CW1460" s="230">
        <f t="shared" si="373"/>
        <v>1</v>
      </c>
      <c r="CX1460" s="336"/>
      <c r="CY1460" s="230" t="s">
        <v>5921</v>
      </c>
    </row>
    <row r="1461" spans="1:103" ht="11.25" customHeight="1" x14ac:dyDescent="0.2">
      <c r="A1461" s="72">
        <v>1459</v>
      </c>
      <c r="B1461" s="224">
        <v>339</v>
      </c>
      <c r="C1461" s="46" t="s">
        <v>7496</v>
      </c>
      <c r="D1461" s="46"/>
      <c r="E1461" s="114"/>
      <c r="F1461" s="114" t="s">
        <v>3869</v>
      </c>
      <c r="G1461" s="225">
        <v>98967409</v>
      </c>
      <c r="H1461" s="47" t="s">
        <v>3870</v>
      </c>
      <c r="I1461" s="47" t="s">
        <v>3870</v>
      </c>
      <c r="J1461" s="47" t="s">
        <v>3871</v>
      </c>
      <c r="K1461" s="47" t="s">
        <v>3811</v>
      </c>
      <c r="L1461" s="47"/>
      <c r="M1461" s="47"/>
      <c r="N1461" s="47"/>
      <c r="O1461" s="47"/>
      <c r="P1461" s="53"/>
      <c r="Q1461" s="53"/>
      <c r="R1461" s="53"/>
      <c r="S1461" s="53"/>
      <c r="T1461" s="48">
        <v>325.3</v>
      </c>
      <c r="U1461" s="98">
        <v>0.15063018751921303</v>
      </c>
      <c r="V1461" s="98">
        <v>1.3987088841069781</v>
      </c>
      <c r="W1461" s="98">
        <v>0.72443596007498934</v>
      </c>
      <c r="X1461" s="98">
        <v>0.15063018751921303</v>
      </c>
      <c r="Y1461" s="233">
        <v>4.16</v>
      </c>
      <c r="Z1461" s="48">
        <v>1.5</v>
      </c>
      <c r="AA1461" s="48"/>
      <c r="AB1461" s="48">
        <v>2.25</v>
      </c>
      <c r="AC1461" s="48">
        <v>0.6583</v>
      </c>
      <c r="AD1461" s="48">
        <v>1.84</v>
      </c>
      <c r="AE1461" s="48">
        <v>0.96</v>
      </c>
      <c r="AF1461" s="48">
        <f t="shared" si="379"/>
        <v>1.84</v>
      </c>
      <c r="AG1461" s="49">
        <v>1.73</v>
      </c>
      <c r="AH1461" s="98">
        <v>2.4700000000000001E-13</v>
      </c>
      <c r="AI1461" s="98"/>
      <c r="AJ1461" s="483">
        <f t="shared" si="383"/>
        <v>-10.995869373052987</v>
      </c>
      <c r="AK1461" s="483"/>
      <c r="AL1461" s="483">
        <f t="shared" si="381"/>
        <v>-10.995869373052987</v>
      </c>
      <c r="AM1461" s="483">
        <v>-16.797190000000001</v>
      </c>
      <c r="AN1461" s="226">
        <v>-18</v>
      </c>
      <c r="AO1461" s="484">
        <v>5.14</v>
      </c>
      <c r="AP1461" s="484">
        <v>-2.85</v>
      </c>
      <c r="AQ1461" s="226" t="s">
        <v>6311</v>
      </c>
      <c r="AR1461" s="226" t="s">
        <v>6311</v>
      </c>
      <c r="AS1461" s="224" t="s">
        <v>6</v>
      </c>
      <c r="AT1461" s="50" t="s">
        <v>266</v>
      </c>
      <c r="AU1461" s="48">
        <v>8</v>
      </c>
      <c r="AV1461" s="48">
        <v>144</v>
      </c>
      <c r="AW1461" s="48">
        <v>120</v>
      </c>
      <c r="AX1461" s="48">
        <v>26</v>
      </c>
      <c r="AY1461" s="48" t="s">
        <v>267</v>
      </c>
      <c r="AZ1461" s="48" t="s">
        <v>2253</v>
      </c>
      <c r="BA1461" s="48">
        <v>2</v>
      </c>
      <c r="BB1461" s="47" t="s">
        <v>2254</v>
      </c>
      <c r="BC1461" s="47" t="s">
        <v>270</v>
      </c>
      <c r="BD1461" s="47" t="s">
        <v>8374</v>
      </c>
      <c r="BE1461" s="48" t="s">
        <v>1712</v>
      </c>
      <c r="BF1461" s="48" t="s">
        <v>272</v>
      </c>
      <c r="BG1461" s="48" t="s">
        <v>272</v>
      </c>
      <c r="BH1461" s="48" t="s">
        <v>2255</v>
      </c>
      <c r="BI1461" s="98">
        <v>9.9999999999999995E-7</v>
      </c>
      <c r="BJ1461" s="98">
        <v>0.08</v>
      </c>
      <c r="BK1461" s="48"/>
      <c r="BL1461" s="98">
        <f t="shared" si="382"/>
        <v>2.3102022367248067</v>
      </c>
      <c r="BM1461" s="48" t="s">
        <v>891</v>
      </c>
      <c r="BN1461" s="233"/>
      <c r="BO1461" s="233"/>
      <c r="BP1461" s="233"/>
      <c r="BQ1461" s="233"/>
      <c r="BR1461" s="233"/>
      <c r="BS1461" s="48"/>
      <c r="BT1461" s="233"/>
      <c r="BU1461" s="228"/>
      <c r="BV1461" s="233"/>
      <c r="BW1461" s="233"/>
      <c r="BX1461" s="233"/>
      <c r="BY1461" s="233"/>
      <c r="BZ1461" s="233"/>
      <c r="CA1461" s="233"/>
      <c r="CB1461" s="233"/>
      <c r="CC1461" s="48"/>
      <c r="CD1461" s="48"/>
      <c r="CE1461" s="48"/>
      <c r="CF1461" s="48"/>
      <c r="CG1461" s="233"/>
      <c r="CH1461" s="48"/>
      <c r="CI1461" s="98"/>
      <c r="CJ1461" s="98"/>
      <c r="CK1461" s="49">
        <f t="shared" si="377"/>
        <v>28.877527959060085</v>
      </c>
      <c r="CL1461" s="229"/>
      <c r="CM1461" s="229"/>
      <c r="CN1461" s="229"/>
      <c r="CO1461" s="47" t="s">
        <v>892</v>
      </c>
      <c r="CP1461" s="47" t="s">
        <v>893</v>
      </c>
      <c r="CQ1461" s="224" t="s">
        <v>272</v>
      </c>
      <c r="CR1461" s="224"/>
      <c r="CS1461" s="230" t="s">
        <v>539</v>
      </c>
      <c r="CT1461" s="230"/>
      <c r="CU1461" s="230"/>
      <c r="CV1461" s="335">
        <f t="shared" si="380"/>
        <v>1.8828773439901629</v>
      </c>
      <c r="CW1461" s="230">
        <f t="shared" si="373"/>
        <v>1</v>
      </c>
      <c r="CX1461" s="336" t="s">
        <v>539</v>
      </c>
      <c r="CY1461" s="230" t="s">
        <v>6351</v>
      </c>
    </row>
    <row r="1462" spans="1:103" ht="11.25" customHeight="1" x14ac:dyDescent="0.2">
      <c r="A1462" s="72">
        <v>1460</v>
      </c>
      <c r="B1462" s="224">
        <v>1670</v>
      </c>
      <c r="C1462" s="46" t="s">
        <v>7496</v>
      </c>
      <c r="D1462" s="46"/>
      <c r="E1462" s="114"/>
      <c r="F1462" s="114" t="s">
        <v>3869</v>
      </c>
      <c r="G1462" s="225">
        <v>98967409</v>
      </c>
      <c r="H1462" s="47" t="s">
        <v>3870</v>
      </c>
      <c r="I1462" s="47" t="s">
        <v>3870</v>
      </c>
      <c r="J1462" s="47" t="s">
        <v>3871</v>
      </c>
      <c r="K1462" s="47" t="s">
        <v>3811</v>
      </c>
      <c r="L1462" s="47"/>
      <c r="M1462" s="47"/>
      <c r="N1462" s="47"/>
      <c r="O1462" s="47"/>
      <c r="P1462" s="53"/>
      <c r="Q1462" s="53"/>
      <c r="R1462" s="53"/>
      <c r="S1462" s="53"/>
      <c r="T1462" s="48">
        <v>325.3</v>
      </c>
      <c r="U1462" s="98">
        <v>0.15063018751921303</v>
      </c>
      <c r="V1462" s="98">
        <v>1.3987088841069781</v>
      </c>
      <c r="W1462" s="98">
        <v>0.72443596007498934</v>
      </c>
      <c r="X1462" s="98">
        <v>0.15063018751921303</v>
      </c>
      <c r="Y1462" s="233">
        <v>4.16</v>
      </c>
      <c r="Z1462" s="48">
        <v>1.5</v>
      </c>
      <c r="AA1462" s="48"/>
      <c r="AB1462" s="48">
        <v>2.25</v>
      </c>
      <c r="AC1462" s="48">
        <v>0.6583</v>
      </c>
      <c r="AD1462" s="48">
        <v>1.84</v>
      </c>
      <c r="AE1462" s="48">
        <v>0.96</v>
      </c>
      <c r="AF1462" s="48">
        <f t="shared" si="379"/>
        <v>1.84</v>
      </c>
      <c r="AG1462" s="49">
        <v>1.73</v>
      </c>
      <c r="AH1462" s="98">
        <v>2.4700000000000001E-13</v>
      </c>
      <c r="AI1462" s="98"/>
      <c r="AJ1462" s="483">
        <f t="shared" si="383"/>
        <v>-10.995869373052987</v>
      </c>
      <c r="AK1462" s="483"/>
      <c r="AL1462" s="483">
        <f t="shared" si="381"/>
        <v>-10.995869373052987</v>
      </c>
      <c r="AM1462" s="483">
        <v>-16.797190000000001</v>
      </c>
      <c r="AN1462" s="226">
        <v>-18</v>
      </c>
      <c r="AO1462" s="484">
        <v>5.14</v>
      </c>
      <c r="AP1462" s="484">
        <v>-2.85</v>
      </c>
      <c r="AQ1462" s="226" t="s">
        <v>6311</v>
      </c>
      <c r="AR1462" s="226" t="s">
        <v>6311</v>
      </c>
      <c r="AS1462" s="224"/>
      <c r="AT1462" s="50" t="s">
        <v>266</v>
      </c>
      <c r="AU1462" s="48">
        <v>6</v>
      </c>
      <c r="AV1462" s="48">
        <v>120</v>
      </c>
      <c r="AW1462" s="48">
        <v>114</v>
      </c>
      <c r="AX1462" s="48">
        <v>28</v>
      </c>
      <c r="AY1462" s="48" t="s">
        <v>8728</v>
      </c>
      <c r="AZ1462" s="48" t="s">
        <v>1563</v>
      </c>
      <c r="BA1462" s="48">
        <v>32</v>
      </c>
      <c r="BB1462" s="47" t="s">
        <v>2485</v>
      </c>
      <c r="BC1462" s="47" t="s">
        <v>8726</v>
      </c>
      <c r="BD1462" s="47" t="s">
        <v>8374</v>
      </c>
      <c r="BE1462" s="48" t="s">
        <v>2449</v>
      </c>
      <c r="BF1462" s="48" t="s">
        <v>272</v>
      </c>
      <c r="BG1462" s="48" t="s">
        <v>272</v>
      </c>
      <c r="BH1462" s="48" t="s">
        <v>2486</v>
      </c>
      <c r="BI1462" s="98">
        <v>6.3999999999999997E-6</v>
      </c>
      <c r="BJ1462" s="98">
        <v>6.4000000000000001E-2</v>
      </c>
      <c r="BK1462" s="48"/>
      <c r="BL1462" s="98">
        <f t="shared" si="382"/>
        <v>2.3102022367248067</v>
      </c>
      <c r="BM1462" s="47" t="s">
        <v>2487</v>
      </c>
      <c r="BN1462" s="48"/>
      <c r="BO1462" s="48"/>
      <c r="BP1462" s="48"/>
      <c r="BQ1462" s="48"/>
      <c r="BR1462" s="47" t="s">
        <v>2496</v>
      </c>
      <c r="BS1462" s="48"/>
      <c r="BT1462" s="48"/>
      <c r="BU1462" s="228"/>
      <c r="BV1462" s="48"/>
      <c r="BW1462" s="48"/>
      <c r="BX1462" s="48"/>
      <c r="BY1462" s="48"/>
      <c r="BZ1462" s="48"/>
      <c r="CA1462" s="48"/>
      <c r="CB1462" s="48"/>
      <c r="CC1462" s="48"/>
      <c r="CD1462" s="48"/>
      <c r="CE1462" s="48"/>
      <c r="CF1462" s="48"/>
      <c r="CG1462" s="48"/>
      <c r="CH1462" s="48"/>
      <c r="CI1462" s="98"/>
      <c r="CJ1462" s="98"/>
      <c r="CK1462" s="49">
        <f t="shared" si="377"/>
        <v>36.096909948825108</v>
      </c>
      <c r="CL1462" s="229"/>
      <c r="CM1462" s="229"/>
      <c r="CN1462" s="229"/>
      <c r="CO1462" s="47" t="s">
        <v>2488</v>
      </c>
      <c r="CP1462" s="47" t="s">
        <v>2489</v>
      </c>
      <c r="CQ1462" s="224" t="s">
        <v>272</v>
      </c>
      <c r="CR1462" s="224"/>
      <c r="CS1462" s="230" t="s">
        <v>539</v>
      </c>
      <c r="CT1462" s="230"/>
      <c r="CU1462" s="230"/>
      <c r="CV1462" s="335">
        <f t="shared" si="380"/>
        <v>2.3535966799877035</v>
      </c>
      <c r="CW1462" s="230">
        <f t="shared" si="373"/>
        <v>1</v>
      </c>
      <c r="CX1462" s="336"/>
      <c r="CY1462" s="230" t="s">
        <v>6351</v>
      </c>
    </row>
    <row r="1463" spans="1:103" ht="11.25" customHeight="1" x14ac:dyDescent="0.2">
      <c r="A1463" s="72">
        <v>1461</v>
      </c>
      <c r="B1463" s="224">
        <v>647</v>
      </c>
      <c r="C1463" s="46" t="s">
        <v>7497</v>
      </c>
      <c r="D1463" s="46"/>
      <c r="E1463" s="114"/>
      <c r="F1463" s="114" t="s">
        <v>4051</v>
      </c>
      <c r="G1463" s="225">
        <v>101200480</v>
      </c>
      <c r="H1463" s="47" t="s">
        <v>4052</v>
      </c>
      <c r="I1463" s="47" t="s">
        <v>4052</v>
      </c>
      <c r="J1463" s="47" t="s">
        <v>4053</v>
      </c>
      <c r="K1463" s="47" t="s">
        <v>4054</v>
      </c>
      <c r="L1463" s="47"/>
      <c r="M1463" s="47"/>
      <c r="N1463" s="47"/>
      <c r="O1463" s="47"/>
      <c r="P1463" s="53"/>
      <c r="Q1463" s="53"/>
      <c r="R1463" s="53"/>
      <c r="S1463" s="53"/>
      <c r="T1463" s="48">
        <v>395.39</v>
      </c>
      <c r="U1463" s="98">
        <v>0.12645742178608463</v>
      </c>
      <c r="V1463" s="98">
        <v>5.4933104023875162E-2</v>
      </c>
      <c r="W1463" s="98">
        <v>0.21877616239495512</v>
      </c>
      <c r="X1463" s="98">
        <v>0.12645742178608463</v>
      </c>
      <c r="Y1463" s="233">
        <v>3.99</v>
      </c>
      <c r="Z1463" s="48">
        <v>2.5499999999999998</v>
      </c>
      <c r="AA1463" s="48"/>
      <c r="AB1463" s="48">
        <v>1.43</v>
      </c>
      <c r="AC1463" s="48">
        <v>0.82230000000000003</v>
      </c>
      <c r="AD1463" s="48">
        <v>1.44</v>
      </c>
      <c r="AE1463" s="48">
        <v>1.47</v>
      </c>
      <c r="AF1463" s="48">
        <f t="shared" si="379"/>
        <v>1.44</v>
      </c>
      <c r="AG1463" s="49">
        <v>1.46</v>
      </c>
      <c r="AH1463" s="98">
        <v>1.5399999999999999E-12</v>
      </c>
      <c r="AI1463" s="98">
        <v>1.0199999999999999E-13</v>
      </c>
      <c r="AJ1463" s="483">
        <f t="shared" si="383"/>
        <v>-10.201045605476189</v>
      </c>
      <c r="AK1463" s="483">
        <f>LOG10(AI1463*1000/(0.08206*298.15))</f>
        <v>-11.379966154550734</v>
      </c>
      <c r="AL1463" s="483">
        <f t="shared" si="381"/>
        <v>-11.379966154550734</v>
      </c>
      <c r="AM1463" s="483">
        <v>-24.168569999999999</v>
      </c>
      <c r="AN1463" s="226">
        <v>-22.9</v>
      </c>
      <c r="AO1463" s="484">
        <v>4.34</v>
      </c>
      <c r="AP1463" s="484">
        <v>2.73</v>
      </c>
      <c r="AQ1463" s="226" t="s">
        <v>6311</v>
      </c>
      <c r="AR1463" s="226" t="s">
        <v>6312</v>
      </c>
      <c r="AS1463" s="224" t="s">
        <v>6</v>
      </c>
      <c r="AT1463" s="50" t="s">
        <v>266</v>
      </c>
      <c r="AU1463" s="48">
        <v>8</v>
      </c>
      <c r="AV1463" s="48">
        <v>144</v>
      </c>
      <c r="AW1463" s="48">
        <v>120</v>
      </c>
      <c r="AX1463" s="48">
        <v>26</v>
      </c>
      <c r="AY1463" s="48" t="s">
        <v>267</v>
      </c>
      <c r="AZ1463" s="48" t="s">
        <v>2253</v>
      </c>
      <c r="BA1463" s="48">
        <v>2</v>
      </c>
      <c r="BB1463" s="47" t="s">
        <v>2254</v>
      </c>
      <c r="BC1463" s="47" t="s">
        <v>270</v>
      </c>
      <c r="BD1463" s="47" t="s">
        <v>8374</v>
      </c>
      <c r="BE1463" s="48" t="s">
        <v>1712</v>
      </c>
      <c r="BF1463" s="48" t="s">
        <v>272</v>
      </c>
      <c r="BG1463" s="48" t="s">
        <v>272</v>
      </c>
      <c r="BH1463" s="48" t="s">
        <v>2255</v>
      </c>
      <c r="BI1463" s="98">
        <v>9.9999999999999995E-7</v>
      </c>
      <c r="BJ1463" s="98">
        <v>0.08</v>
      </c>
      <c r="BK1463" s="48"/>
      <c r="BL1463" s="98">
        <f t="shared" si="382"/>
        <v>0.26341772823875065</v>
      </c>
      <c r="BM1463" s="48" t="s">
        <v>891</v>
      </c>
      <c r="BN1463" s="233"/>
      <c r="BO1463" s="233"/>
      <c r="BP1463" s="233"/>
      <c r="BQ1463" s="233"/>
      <c r="BR1463" s="233"/>
      <c r="BS1463" s="48"/>
      <c r="BT1463" s="233"/>
      <c r="BU1463" s="228"/>
      <c r="BV1463" s="233"/>
      <c r="BW1463" s="233"/>
      <c r="BX1463" s="233"/>
      <c r="BY1463" s="233"/>
      <c r="BZ1463" s="233"/>
      <c r="CA1463" s="233"/>
      <c r="CB1463" s="233"/>
      <c r="CC1463" s="48"/>
      <c r="CD1463" s="48"/>
      <c r="CE1463" s="48"/>
      <c r="CF1463" s="48"/>
      <c r="CG1463" s="233"/>
      <c r="CH1463" s="48"/>
      <c r="CI1463" s="98"/>
      <c r="CJ1463" s="98"/>
      <c r="CK1463" s="49">
        <f t="shared" si="377"/>
        <v>3.2927216029843831</v>
      </c>
      <c r="CL1463" s="229"/>
      <c r="CM1463" s="229"/>
      <c r="CN1463" s="229"/>
      <c r="CO1463" s="47" t="s">
        <v>892</v>
      </c>
      <c r="CP1463" s="47" t="s">
        <v>893</v>
      </c>
      <c r="CQ1463" s="224" t="s">
        <v>272</v>
      </c>
      <c r="CR1463" s="224"/>
      <c r="CS1463" s="230" t="s">
        <v>539</v>
      </c>
      <c r="CT1463" s="230"/>
      <c r="CU1463" s="230"/>
      <c r="CV1463" s="335">
        <f t="shared" si="380"/>
        <v>1.5807177723260579</v>
      </c>
      <c r="CW1463" s="230">
        <f t="shared" si="373"/>
        <v>1</v>
      </c>
      <c r="CX1463" s="336" t="s">
        <v>539</v>
      </c>
      <c r="CY1463" s="230" t="s">
        <v>5921</v>
      </c>
    </row>
    <row r="1464" spans="1:103" ht="11.25" customHeight="1" x14ac:dyDescent="0.2">
      <c r="A1464" s="72">
        <v>1462</v>
      </c>
      <c r="B1464" s="224">
        <v>1671</v>
      </c>
      <c r="C1464" s="46" t="s">
        <v>1222</v>
      </c>
      <c r="D1464" s="46" t="s">
        <v>6661</v>
      </c>
      <c r="E1464" s="114"/>
      <c r="F1464" s="114" t="s">
        <v>1223</v>
      </c>
      <c r="G1464" s="225">
        <v>103361097</v>
      </c>
      <c r="H1464" s="47" t="s">
        <v>1224</v>
      </c>
      <c r="I1464" s="47" t="s">
        <v>8157</v>
      </c>
      <c r="J1464" s="47" t="s">
        <v>1225</v>
      </c>
      <c r="K1464" s="47" t="s">
        <v>1226</v>
      </c>
      <c r="L1464" s="47" t="s">
        <v>6158</v>
      </c>
      <c r="M1464" s="47" t="s">
        <v>6159</v>
      </c>
      <c r="N1464" s="47" t="s">
        <v>6385</v>
      </c>
      <c r="O1464" s="47" t="s">
        <v>5957</v>
      </c>
      <c r="P1464" s="53"/>
      <c r="Q1464" s="53"/>
      <c r="R1464" s="53"/>
      <c r="S1464" s="53"/>
      <c r="T1464" s="48">
        <v>354.33</v>
      </c>
      <c r="U1464" s="98">
        <v>5.0517878813535408E-3</v>
      </c>
      <c r="V1464" s="98">
        <v>0.109333107555104</v>
      </c>
      <c r="W1464" s="98">
        <v>3.0199517204020148E-3</v>
      </c>
      <c r="X1464" s="98">
        <v>5.0517878813535408E-3</v>
      </c>
      <c r="Y1464" s="233">
        <v>7</v>
      </c>
      <c r="Z1464" s="48">
        <v>1.34</v>
      </c>
      <c r="AA1464" s="48">
        <v>2.5499999999999998</v>
      </c>
      <c r="AB1464" s="48">
        <v>1.93</v>
      </c>
      <c r="AC1464" s="48">
        <v>0.7702</v>
      </c>
      <c r="AD1464" s="48">
        <v>2</v>
      </c>
      <c r="AE1464" s="48">
        <v>2.29</v>
      </c>
      <c r="AF1464" s="48">
        <f t="shared" si="379"/>
        <v>2.5499999999999998</v>
      </c>
      <c r="AG1464" s="49">
        <v>1.46</v>
      </c>
      <c r="AH1464" s="98">
        <v>5.1700000000000003E-14</v>
      </c>
      <c r="AI1464" s="98">
        <v>6.2799999999999996E-7</v>
      </c>
      <c r="AJ1464" s="483">
        <f t="shared" si="383"/>
        <v>-11.675075783218709</v>
      </c>
      <c r="AK1464" s="483">
        <f>LOG10(AI1464*1000/(0.08206*298.15))</f>
        <v>-4.5906066825754559</v>
      </c>
      <c r="AL1464" s="483">
        <f t="shared" si="381"/>
        <v>-4.5906066825754559</v>
      </c>
      <c r="AM1464" s="483">
        <v>-19.772009999999998</v>
      </c>
      <c r="AN1464" s="226">
        <v>-13.9</v>
      </c>
      <c r="AO1464" s="484"/>
      <c r="AP1464" s="484"/>
      <c r="AQ1464" s="226" t="s">
        <v>6311</v>
      </c>
      <c r="AR1464" s="226" t="s">
        <v>6311</v>
      </c>
      <c r="AS1464" s="224"/>
      <c r="AT1464" s="50" t="s">
        <v>266</v>
      </c>
      <c r="AU1464" s="48">
        <v>6</v>
      </c>
      <c r="AV1464" s="48">
        <v>120</v>
      </c>
      <c r="AW1464" s="48">
        <v>114</v>
      </c>
      <c r="AX1464" s="48">
        <v>28</v>
      </c>
      <c r="AY1464" s="48" t="s">
        <v>8728</v>
      </c>
      <c r="AZ1464" s="48" t="s">
        <v>1563</v>
      </c>
      <c r="BA1464" s="48">
        <v>32</v>
      </c>
      <c r="BB1464" s="47" t="s">
        <v>2485</v>
      </c>
      <c r="BC1464" s="47" t="s">
        <v>8726</v>
      </c>
      <c r="BD1464" s="47" t="s">
        <v>8374</v>
      </c>
      <c r="BE1464" s="48" t="s">
        <v>2449</v>
      </c>
      <c r="BF1464" s="48" t="s">
        <v>272</v>
      </c>
      <c r="BG1464" s="48" t="s">
        <v>272</v>
      </c>
      <c r="BH1464" s="48" t="s">
        <v>2486</v>
      </c>
      <c r="BI1464" s="98">
        <v>6.3999999999999997E-6</v>
      </c>
      <c r="BJ1464" s="98">
        <v>6.4000000000000001E-2</v>
      </c>
      <c r="BK1464" s="48"/>
      <c r="BL1464" s="98">
        <f t="shared" si="382"/>
        <v>3.2162218642919709</v>
      </c>
      <c r="BM1464" s="47" t="s">
        <v>2487</v>
      </c>
      <c r="BN1464" s="48"/>
      <c r="BO1464" s="48"/>
      <c r="BP1464" s="48"/>
      <c r="BQ1464" s="48"/>
      <c r="BR1464" s="47" t="s">
        <v>2496</v>
      </c>
      <c r="BS1464" s="48"/>
      <c r="BT1464" s="48"/>
      <c r="BU1464" s="228"/>
      <c r="BV1464" s="48"/>
      <c r="BW1464" s="48"/>
      <c r="BX1464" s="48"/>
      <c r="BY1464" s="48"/>
      <c r="BZ1464" s="48"/>
      <c r="CA1464" s="48"/>
      <c r="CB1464" s="48"/>
      <c r="CC1464" s="48"/>
      <c r="CD1464" s="48"/>
      <c r="CE1464" s="48"/>
      <c r="CF1464" s="48"/>
      <c r="CG1464" s="48"/>
      <c r="CH1464" s="48"/>
      <c r="CI1464" s="98"/>
      <c r="CJ1464" s="98"/>
      <c r="CK1464" s="49">
        <f t="shared" si="377"/>
        <v>50.253466629562041</v>
      </c>
      <c r="CL1464" s="229"/>
      <c r="CM1464" s="229">
        <v>-2.1876800882119616</v>
      </c>
      <c r="CN1464" s="229">
        <f>BJ1464/(10^CM1464)</f>
        <v>9.8596173913043526</v>
      </c>
      <c r="CO1464" s="47" t="s">
        <v>2488</v>
      </c>
      <c r="CP1464" s="47" t="s">
        <v>2489</v>
      </c>
      <c r="CQ1464" s="224">
        <v>-2.1876800882119616</v>
      </c>
      <c r="CR1464" s="224">
        <f>10^(CJ1464-CQ1464)</f>
        <v>154.05652173913049</v>
      </c>
      <c r="CS1464" s="230" t="s">
        <v>539</v>
      </c>
      <c r="CT1464" s="230"/>
      <c r="CU1464" s="230"/>
      <c r="CV1464" s="335">
        <f t="shared" si="380"/>
        <v>7.8934185646149069E-2</v>
      </c>
      <c r="CW1464" s="230">
        <f t="shared" si="373"/>
        <v>0</v>
      </c>
      <c r="CX1464" s="336"/>
      <c r="CY1464" s="230" t="s">
        <v>5921</v>
      </c>
    </row>
    <row r="1465" spans="1:103" ht="11.25" customHeight="1" x14ac:dyDescent="0.2">
      <c r="A1465" s="72">
        <v>1463</v>
      </c>
      <c r="B1465" s="224">
        <v>353</v>
      </c>
      <c r="C1465" s="46" t="s">
        <v>6899</v>
      </c>
      <c r="D1465" s="46"/>
      <c r="E1465" s="114"/>
      <c r="F1465" s="114" t="s">
        <v>3893</v>
      </c>
      <c r="G1465" s="225">
        <v>104098488</v>
      </c>
      <c r="H1465" s="47" t="s">
        <v>3894</v>
      </c>
      <c r="I1465" s="47" t="s">
        <v>3894</v>
      </c>
      <c r="J1465" s="47" t="s">
        <v>3895</v>
      </c>
      <c r="K1465" s="47" t="s">
        <v>471</v>
      </c>
      <c r="L1465" s="47"/>
      <c r="M1465" s="47"/>
      <c r="N1465" s="47"/>
      <c r="O1465" s="47"/>
      <c r="P1465" s="53"/>
      <c r="Q1465" s="53"/>
      <c r="R1465" s="53"/>
      <c r="S1465" s="53"/>
      <c r="T1465" s="48">
        <v>275.3</v>
      </c>
      <c r="U1465" s="98">
        <v>8.1002542680711951</v>
      </c>
      <c r="V1465" s="98">
        <v>0.48129313476207769</v>
      </c>
      <c r="W1465" s="98">
        <v>6.3095734448019254</v>
      </c>
      <c r="X1465" s="98">
        <v>8.1002542680711951</v>
      </c>
      <c r="Y1465" s="233">
        <v>2.95</v>
      </c>
      <c r="Z1465" s="48">
        <v>2.11</v>
      </c>
      <c r="AA1465" s="48">
        <v>2.4700000000000002</v>
      </c>
      <c r="AB1465" s="48">
        <v>0.79</v>
      </c>
      <c r="AC1465" s="48">
        <v>0.84009999999999996</v>
      </c>
      <c r="AD1465" s="48">
        <v>0.81</v>
      </c>
      <c r="AE1465" s="48">
        <v>0.97</v>
      </c>
      <c r="AF1465" s="48">
        <f t="shared" si="379"/>
        <v>2.4700000000000002</v>
      </c>
      <c r="AG1465" s="49">
        <v>1.62</v>
      </c>
      <c r="AH1465" s="98">
        <v>7.8100000000000002E-17</v>
      </c>
      <c r="AI1465" s="98"/>
      <c r="AJ1465" s="483">
        <f t="shared" si="383"/>
        <v>-14.495915292435351</v>
      </c>
      <c r="AK1465" s="483"/>
      <c r="AL1465" s="483">
        <f t="shared" si="381"/>
        <v>-14.495915292435351</v>
      </c>
      <c r="AM1465" s="483">
        <v>-17.94426</v>
      </c>
      <c r="AN1465" s="226">
        <v>-16.100000000000001</v>
      </c>
      <c r="AO1465" s="484">
        <v>10.72</v>
      </c>
      <c r="AP1465" s="484">
        <v>3.33</v>
      </c>
      <c r="AQ1465" s="226" t="s">
        <v>6311</v>
      </c>
      <c r="AR1465" s="226" t="s">
        <v>6311</v>
      </c>
      <c r="AS1465" s="224" t="s">
        <v>6</v>
      </c>
      <c r="AT1465" s="50" t="s">
        <v>266</v>
      </c>
      <c r="AU1465" s="48">
        <v>8</v>
      </c>
      <c r="AV1465" s="48">
        <v>144</v>
      </c>
      <c r="AW1465" s="48">
        <v>120</v>
      </c>
      <c r="AX1465" s="48">
        <v>26</v>
      </c>
      <c r="AY1465" s="48" t="s">
        <v>267</v>
      </c>
      <c r="AZ1465" s="48" t="s">
        <v>2253</v>
      </c>
      <c r="BA1465" s="48">
        <v>2</v>
      </c>
      <c r="BB1465" s="47" t="s">
        <v>2254</v>
      </c>
      <c r="BC1465" s="47" t="s">
        <v>270</v>
      </c>
      <c r="BD1465" s="47" t="s">
        <v>8374</v>
      </c>
      <c r="BE1465" s="48" t="s">
        <v>1712</v>
      </c>
      <c r="BF1465" s="48" t="s">
        <v>272</v>
      </c>
      <c r="BG1465" s="48" t="s">
        <v>272</v>
      </c>
      <c r="BH1465" s="48" t="s">
        <v>2255</v>
      </c>
      <c r="BI1465" s="98">
        <v>9.9999999999999995E-7</v>
      </c>
      <c r="BJ1465" s="98">
        <v>0.08</v>
      </c>
      <c r="BK1465" s="48"/>
      <c r="BL1465" s="98">
        <f t="shared" si="382"/>
        <v>0.65434833246769675</v>
      </c>
      <c r="BM1465" s="48" t="s">
        <v>891</v>
      </c>
      <c r="BN1465" s="233"/>
      <c r="BO1465" s="233"/>
      <c r="BP1465" s="233"/>
      <c r="BQ1465" s="233"/>
      <c r="BR1465" s="233"/>
      <c r="BS1465" s="48"/>
      <c r="BT1465" s="233"/>
      <c r="BU1465" s="228"/>
      <c r="BV1465" s="233"/>
      <c r="BW1465" s="233"/>
      <c r="BX1465" s="233"/>
      <c r="BY1465" s="233"/>
      <c r="BZ1465" s="233"/>
      <c r="CA1465" s="233"/>
      <c r="CB1465" s="233"/>
      <c r="CC1465" s="48"/>
      <c r="CD1465" s="48"/>
      <c r="CE1465" s="48"/>
      <c r="CF1465" s="48"/>
      <c r="CG1465" s="233"/>
      <c r="CH1465" s="48"/>
      <c r="CI1465" s="98"/>
      <c r="CJ1465" s="98"/>
      <c r="CK1465" s="49">
        <f t="shared" si="377"/>
        <v>8.1793541558462088</v>
      </c>
      <c r="CL1465" s="229"/>
      <c r="CM1465" s="229"/>
      <c r="CN1465" s="229"/>
      <c r="CO1465" s="47" t="s">
        <v>892</v>
      </c>
      <c r="CP1465" s="47" t="s">
        <v>893</v>
      </c>
      <c r="CQ1465" s="224" t="s">
        <v>272</v>
      </c>
      <c r="CR1465" s="224"/>
      <c r="CS1465" s="230" t="s">
        <v>539</v>
      </c>
      <c r="CT1465" s="230"/>
      <c r="CU1465" s="230"/>
      <c r="CV1465" s="335">
        <f t="shared" si="380"/>
        <v>101.25317835088994</v>
      </c>
      <c r="CW1465" s="230">
        <f t="shared" si="373"/>
        <v>1</v>
      </c>
      <c r="CX1465" s="336" t="s">
        <v>539</v>
      </c>
      <c r="CY1465" s="230" t="s">
        <v>5921</v>
      </c>
    </row>
    <row r="1466" spans="1:103" ht="11.25" customHeight="1" x14ac:dyDescent="0.2">
      <c r="A1466" s="72">
        <v>1464</v>
      </c>
      <c r="B1466" s="224">
        <v>380</v>
      </c>
      <c r="C1466" s="46" t="s">
        <v>7498</v>
      </c>
      <c r="D1466" s="46"/>
      <c r="E1466" s="114"/>
      <c r="F1466" s="114" t="s">
        <v>3928</v>
      </c>
      <c r="G1466" s="225">
        <v>104206828</v>
      </c>
      <c r="H1466" s="47" t="s">
        <v>3929</v>
      </c>
      <c r="I1466" s="47" t="s">
        <v>8158</v>
      </c>
      <c r="J1466" s="47" t="s">
        <v>3930</v>
      </c>
      <c r="K1466" s="47" t="s">
        <v>3931</v>
      </c>
      <c r="L1466" s="47"/>
      <c r="M1466" s="47"/>
      <c r="N1466" s="47"/>
      <c r="O1466" s="47"/>
      <c r="P1466" s="53"/>
      <c r="Q1466" s="53"/>
      <c r="R1466" s="53"/>
      <c r="S1466" s="53"/>
      <c r="T1466" s="48">
        <v>339.32</v>
      </c>
      <c r="U1466" s="98"/>
      <c r="V1466" s="98">
        <v>0.46416362136036782</v>
      </c>
      <c r="W1466" s="98">
        <v>2.1379620895022318</v>
      </c>
      <c r="X1466" s="98">
        <f>IF(W1466=0,V1466,W1466)</f>
        <v>2.1379620895022318</v>
      </c>
      <c r="Y1466" s="233">
        <v>2.98</v>
      </c>
      <c r="Z1466" s="48">
        <v>1.49</v>
      </c>
      <c r="AA1466" s="48"/>
      <c r="AB1466" s="48">
        <v>1.87</v>
      </c>
      <c r="AC1466" s="48">
        <v>0.67259999999999998</v>
      </c>
      <c r="AD1466" s="48">
        <v>0.94</v>
      </c>
      <c r="AE1466" s="48">
        <v>-0.7</v>
      </c>
      <c r="AF1466" s="48">
        <f t="shared" si="379"/>
        <v>0.94</v>
      </c>
      <c r="AG1466" s="49">
        <v>0.66</v>
      </c>
      <c r="AH1466" s="98">
        <v>2.3700000000000001E-18</v>
      </c>
      <c r="AI1466" s="98"/>
      <c r="AJ1466" s="483">
        <f t="shared" si="383"/>
        <v>-16.013817980302548</v>
      </c>
      <c r="AK1466" s="483"/>
      <c r="AL1466" s="483">
        <f t="shared" si="381"/>
        <v>-16.013817980302548</v>
      </c>
      <c r="AM1466" s="483">
        <v>-20.83417</v>
      </c>
      <c r="AN1466" s="226">
        <v>-19.899999999999999</v>
      </c>
      <c r="AO1466" s="484">
        <v>2.98</v>
      </c>
      <c r="AP1466" s="484"/>
      <c r="AQ1466" s="226" t="s">
        <v>6311</v>
      </c>
      <c r="AR1466" s="226" t="s">
        <v>6311</v>
      </c>
      <c r="AS1466" s="224" t="s">
        <v>63</v>
      </c>
      <c r="AT1466" s="50" t="s">
        <v>266</v>
      </c>
      <c r="AU1466" s="48">
        <v>8</v>
      </c>
      <c r="AV1466" s="48">
        <v>144</v>
      </c>
      <c r="AW1466" s="48">
        <v>120</v>
      </c>
      <c r="AX1466" s="48">
        <v>26</v>
      </c>
      <c r="AY1466" s="48" t="s">
        <v>267</v>
      </c>
      <c r="AZ1466" s="48" t="s">
        <v>2253</v>
      </c>
      <c r="BA1466" s="48">
        <v>2</v>
      </c>
      <c r="BB1466" s="47" t="s">
        <v>2254</v>
      </c>
      <c r="BC1466" s="47" t="s">
        <v>270</v>
      </c>
      <c r="BD1466" s="47" t="s">
        <v>8374</v>
      </c>
      <c r="BE1466" s="48" t="s">
        <v>1712</v>
      </c>
      <c r="BF1466" s="48" t="s">
        <v>272</v>
      </c>
      <c r="BG1466" s="48" t="s">
        <v>272</v>
      </c>
      <c r="BH1466" s="48" t="s">
        <v>2255</v>
      </c>
      <c r="BI1466" s="98">
        <v>9.9999999999999995E-7</v>
      </c>
      <c r="BJ1466" s="98">
        <v>0.08</v>
      </c>
      <c r="BK1466" s="48"/>
      <c r="BL1466" s="98">
        <f t="shared" si="382"/>
        <v>2.3584734954327344</v>
      </c>
      <c r="BM1466" s="48" t="s">
        <v>891</v>
      </c>
      <c r="BN1466" s="233"/>
      <c r="BO1466" s="233"/>
      <c r="BP1466" s="233"/>
      <c r="BQ1466" s="233"/>
      <c r="BR1466" s="233"/>
      <c r="BS1466" s="48"/>
      <c r="BT1466" s="233"/>
      <c r="BU1466" s="228"/>
      <c r="BV1466" s="233"/>
      <c r="BW1466" s="233"/>
      <c r="BX1466" s="233"/>
      <c r="BY1466" s="233"/>
      <c r="BZ1466" s="233"/>
      <c r="CA1466" s="233"/>
      <c r="CB1466" s="233"/>
      <c r="CC1466" s="48"/>
      <c r="CD1466" s="48"/>
      <c r="CE1466" s="48"/>
      <c r="CF1466" s="48"/>
      <c r="CG1466" s="233"/>
      <c r="CH1466" s="48"/>
      <c r="CI1466" s="98"/>
      <c r="CJ1466" s="98"/>
      <c r="CK1466" s="49">
        <f t="shared" si="377"/>
        <v>29.480918692909182</v>
      </c>
      <c r="CL1466" s="229"/>
      <c r="CM1466" s="229"/>
      <c r="CN1466" s="229"/>
      <c r="CO1466" s="47" t="s">
        <v>892</v>
      </c>
      <c r="CP1466" s="47" t="s">
        <v>893</v>
      </c>
      <c r="CQ1466" s="224" t="s">
        <v>272</v>
      </c>
      <c r="CR1466" s="224"/>
      <c r="CS1466" s="230" t="s">
        <v>539</v>
      </c>
      <c r="CT1466" s="230"/>
      <c r="CU1466" s="230"/>
      <c r="CV1466" s="335">
        <f t="shared" si="380"/>
        <v>26.724526118777895</v>
      </c>
      <c r="CW1466" s="230">
        <f t="shared" si="373"/>
        <v>1</v>
      </c>
      <c r="CX1466" s="336" t="s">
        <v>539</v>
      </c>
      <c r="CY1466" s="230" t="s">
        <v>5921</v>
      </c>
    </row>
    <row r="1467" spans="1:103" ht="11.25" customHeight="1" x14ac:dyDescent="0.2">
      <c r="A1467" s="72">
        <v>1465</v>
      </c>
      <c r="B1467" s="224">
        <v>1726</v>
      </c>
      <c r="C1467" s="46" t="s">
        <v>7498</v>
      </c>
      <c r="D1467" s="46"/>
      <c r="E1467" s="114"/>
      <c r="F1467" s="114" t="s">
        <v>3928</v>
      </c>
      <c r="G1467" s="225">
        <v>104206828</v>
      </c>
      <c r="H1467" s="47" t="s">
        <v>3929</v>
      </c>
      <c r="I1467" s="47" t="s">
        <v>8158</v>
      </c>
      <c r="J1467" s="47" t="s">
        <v>3930</v>
      </c>
      <c r="K1467" s="47" t="s">
        <v>3931</v>
      </c>
      <c r="L1467" s="47"/>
      <c r="M1467" s="47"/>
      <c r="N1467" s="47"/>
      <c r="O1467" s="47"/>
      <c r="P1467" s="53"/>
      <c r="Q1467" s="53"/>
      <c r="R1467" s="53"/>
      <c r="S1467" s="53"/>
      <c r="T1467" s="48">
        <v>339.32</v>
      </c>
      <c r="U1467" s="98"/>
      <c r="V1467" s="98">
        <v>0.46416362136036782</v>
      </c>
      <c r="W1467" s="98">
        <v>2.1379620895022318</v>
      </c>
      <c r="X1467" s="98">
        <f>IF(W1467=0,V1467,W1467)</f>
        <v>2.1379620895022318</v>
      </c>
      <c r="Y1467" s="233">
        <v>2.98</v>
      </c>
      <c r="Z1467" s="48">
        <v>1.49</v>
      </c>
      <c r="AA1467" s="48"/>
      <c r="AB1467" s="48">
        <v>1.87</v>
      </c>
      <c r="AC1467" s="48">
        <v>0.67259999999999998</v>
      </c>
      <c r="AD1467" s="48">
        <v>0.94</v>
      </c>
      <c r="AE1467" s="48">
        <v>-0.7</v>
      </c>
      <c r="AF1467" s="48">
        <f t="shared" si="379"/>
        <v>0.94</v>
      </c>
      <c r="AG1467" s="49">
        <v>0.66</v>
      </c>
      <c r="AH1467" s="98">
        <v>2.3700000000000001E-18</v>
      </c>
      <c r="AI1467" s="98"/>
      <c r="AJ1467" s="483">
        <f t="shared" si="383"/>
        <v>-16.013817980302548</v>
      </c>
      <c r="AK1467" s="483"/>
      <c r="AL1467" s="483">
        <f t="shared" si="381"/>
        <v>-16.013817980302548</v>
      </c>
      <c r="AM1467" s="483">
        <v>-20.83417</v>
      </c>
      <c r="AN1467" s="226">
        <v>-19.899999999999999</v>
      </c>
      <c r="AO1467" s="484">
        <v>2.98</v>
      </c>
      <c r="AP1467" s="484"/>
      <c r="AQ1467" s="226" t="s">
        <v>6311</v>
      </c>
      <c r="AR1467" s="226" t="s">
        <v>6311</v>
      </c>
      <c r="AS1467" s="224"/>
      <c r="AT1467" s="50" t="s">
        <v>266</v>
      </c>
      <c r="AU1467" s="48">
        <v>6</v>
      </c>
      <c r="AV1467" s="48">
        <v>120</v>
      </c>
      <c r="AW1467" s="48">
        <v>114</v>
      </c>
      <c r="AX1467" s="48">
        <v>28</v>
      </c>
      <c r="AY1467" s="48" t="s">
        <v>8728</v>
      </c>
      <c r="AZ1467" s="48" t="s">
        <v>1563</v>
      </c>
      <c r="BA1467" s="48">
        <v>32</v>
      </c>
      <c r="BB1467" s="47" t="s">
        <v>2485</v>
      </c>
      <c r="BC1467" s="47" t="s">
        <v>8726</v>
      </c>
      <c r="BD1467" s="47" t="s">
        <v>8374</v>
      </c>
      <c r="BE1467" s="48" t="s">
        <v>2449</v>
      </c>
      <c r="BF1467" s="48" t="s">
        <v>272</v>
      </c>
      <c r="BG1467" s="48" t="s">
        <v>272</v>
      </c>
      <c r="BH1467" s="48" t="s">
        <v>2486</v>
      </c>
      <c r="BI1467" s="98">
        <v>6.3999999999999997E-6</v>
      </c>
      <c r="BJ1467" s="98">
        <v>6.4000000000000001E-2</v>
      </c>
      <c r="BK1467" s="48"/>
      <c r="BL1467" s="98">
        <f t="shared" si="382"/>
        <v>2.3584734954327344</v>
      </c>
      <c r="BM1467" s="47" t="s">
        <v>2487</v>
      </c>
      <c r="BN1467" s="48"/>
      <c r="BO1467" s="48"/>
      <c r="BP1467" s="48"/>
      <c r="BQ1467" s="48"/>
      <c r="BR1467" s="47" t="s">
        <v>2496</v>
      </c>
      <c r="BS1467" s="48"/>
      <c r="BT1467" s="48"/>
      <c r="BU1467" s="228"/>
      <c r="BV1467" s="48"/>
      <c r="BW1467" s="48"/>
      <c r="BX1467" s="48"/>
      <c r="BY1467" s="48"/>
      <c r="BZ1467" s="48"/>
      <c r="CA1467" s="48"/>
      <c r="CB1467" s="48"/>
      <c r="CC1467" s="48"/>
      <c r="CD1467" s="48"/>
      <c r="CE1467" s="48"/>
      <c r="CF1467" s="48"/>
      <c r="CG1467" s="48"/>
      <c r="CH1467" s="48"/>
      <c r="CI1467" s="98"/>
      <c r="CJ1467" s="98"/>
      <c r="CK1467" s="49">
        <f t="shared" si="377"/>
        <v>36.851148366136478</v>
      </c>
      <c r="CL1467" s="229"/>
      <c r="CM1467" s="229"/>
      <c r="CN1467" s="229"/>
      <c r="CO1467" s="47" t="s">
        <v>2488</v>
      </c>
      <c r="CP1467" s="47" t="s">
        <v>2489</v>
      </c>
      <c r="CQ1467" s="224" t="s">
        <v>272</v>
      </c>
      <c r="CR1467" s="224"/>
      <c r="CS1467" s="230" t="s">
        <v>539</v>
      </c>
      <c r="CT1467" s="230"/>
      <c r="CU1467" s="230"/>
      <c r="CV1467" s="335">
        <f t="shared" si="380"/>
        <v>33.405657648472371</v>
      </c>
      <c r="CW1467" s="230">
        <f t="shared" si="373"/>
        <v>1</v>
      </c>
      <c r="CX1467" s="336"/>
      <c r="CY1467" s="230" t="s">
        <v>5921</v>
      </c>
    </row>
    <row r="1468" spans="1:103" ht="11.25" customHeight="1" x14ac:dyDescent="0.2">
      <c r="A1468" s="72">
        <v>1466</v>
      </c>
      <c r="B1468" s="224">
        <v>1862</v>
      </c>
      <c r="C1468" s="46" t="s">
        <v>7499</v>
      </c>
      <c r="D1468" s="46"/>
      <c r="E1468" s="114"/>
      <c r="F1468" s="114" t="s">
        <v>5292</v>
      </c>
      <c r="G1468" s="225">
        <v>104795688</v>
      </c>
      <c r="H1468" s="47" t="s">
        <v>5293</v>
      </c>
      <c r="I1468" s="47" t="s">
        <v>7843</v>
      </c>
      <c r="J1468" s="47" t="s">
        <v>5294</v>
      </c>
      <c r="K1468" s="47" t="s">
        <v>455</v>
      </c>
      <c r="L1468" s="47"/>
      <c r="M1468" s="47"/>
      <c r="N1468" s="47"/>
      <c r="O1468" s="47"/>
      <c r="P1468" s="53"/>
      <c r="Q1468" s="53"/>
      <c r="R1468" s="53"/>
      <c r="S1468" s="53"/>
      <c r="T1468" s="48">
        <v>413.6</v>
      </c>
      <c r="U1468" s="98"/>
      <c r="V1468" s="98">
        <v>1.6327369439071565E-3</v>
      </c>
      <c r="W1468" s="98">
        <v>0.61659500186148186</v>
      </c>
      <c r="X1468" s="98">
        <f>IF(W1468=0,V1468,W1468)</f>
        <v>0.61659500186148186</v>
      </c>
      <c r="Y1468" s="233">
        <v>10.36</v>
      </c>
      <c r="Z1468" s="48">
        <v>4.18</v>
      </c>
      <c r="AA1468" s="48"/>
      <c r="AB1468" s="48">
        <v>3.33</v>
      </c>
      <c r="AC1468" s="48">
        <v>0.69640000000000002</v>
      </c>
      <c r="AD1468" s="48">
        <v>3.6</v>
      </c>
      <c r="AE1468" s="48">
        <v>4.07</v>
      </c>
      <c r="AF1468" s="48">
        <f t="shared" si="379"/>
        <v>3.6</v>
      </c>
      <c r="AG1468" s="49">
        <v>2.89</v>
      </c>
      <c r="AH1468" s="98">
        <v>4.64E-17</v>
      </c>
      <c r="AI1468" s="98"/>
      <c r="AJ1468" s="483">
        <f t="shared" si="383"/>
        <v>-14.722048345757772</v>
      </c>
      <c r="AK1468" s="483"/>
      <c r="AL1468" s="483">
        <f t="shared" si="381"/>
        <v>-14.722048345757772</v>
      </c>
      <c r="AM1468" s="483">
        <v>-19.477709999999998</v>
      </c>
      <c r="AN1468" s="226">
        <v>-18.399999999999999</v>
      </c>
      <c r="AO1468" s="484"/>
      <c r="AP1468" s="484">
        <v>10.050000000000001</v>
      </c>
      <c r="AQ1468" s="226" t="s">
        <v>6311</v>
      </c>
      <c r="AR1468" s="226" t="s">
        <v>6311</v>
      </c>
      <c r="AS1468" s="224"/>
      <c r="AT1468" s="50" t="s">
        <v>266</v>
      </c>
      <c r="AU1468" s="48">
        <v>6</v>
      </c>
      <c r="AV1468" s="48">
        <v>120</v>
      </c>
      <c r="AW1468" s="48">
        <v>114</v>
      </c>
      <c r="AX1468" s="48">
        <v>28</v>
      </c>
      <c r="AY1468" s="48" t="s">
        <v>8728</v>
      </c>
      <c r="AZ1468" s="48" t="s">
        <v>1563</v>
      </c>
      <c r="BA1468" s="48">
        <v>32</v>
      </c>
      <c r="BB1468" s="47" t="s">
        <v>2485</v>
      </c>
      <c r="BC1468" s="47" t="s">
        <v>8726</v>
      </c>
      <c r="BD1468" s="47" t="s">
        <v>8374</v>
      </c>
      <c r="BE1468" s="48" t="s">
        <v>2449</v>
      </c>
      <c r="BF1468" s="48" t="s">
        <v>272</v>
      </c>
      <c r="BG1468" s="48" t="s">
        <v>272</v>
      </c>
      <c r="BH1468" s="48" t="s">
        <v>2486</v>
      </c>
      <c r="BI1468" s="98">
        <v>6.3999999999999997E-6</v>
      </c>
      <c r="BJ1468" s="98">
        <v>6.4000000000000001E-2</v>
      </c>
      <c r="BK1468" s="48"/>
      <c r="BL1468" s="98">
        <f t="shared" si="382"/>
        <v>9.051946948827664E-3</v>
      </c>
      <c r="BM1468" s="47" t="s">
        <v>2487</v>
      </c>
      <c r="BN1468" s="48"/>
      <c r="BO1468" s="48"/>
      <c r="BP1468" s="48"/>
      <c r="BQ1468" s="48"/>
      <c r="BR1468" s="47" t="s">
        <v>2496</v>
      </c>
      <c r="BS1468" s="48"/>
      <c r="BT1468" s="48"/>
      <c r="BU1468" s="228"/>
      <c r="BV1468" s="48"/>
      <c r="BW1468" s="48"/>
      <c r="BX1468" s="48"/>
      <c r="BY1468" s="48"/>
      <c r="BZ1468" s="48"/>
      <c r="CA1468" s="48"/>
      <c r="CB1468" s="48"/>
      <c r="CC1468" s="48"/>
      <c r="CD1468" s="48"/>
      <c r="CE1468" s="48"/>
      <c r="CF1468" s="48"/>
      <c r="CG1468" s="48"/>
      <c r="CH1468" s="48"/>
      <c r="CI1468" s="98"/>
      <c r="CJ1468" s="98"/>
      <c r="CK1468" s="49">
        <f t="shared" si="377"/>
        <v>0.14143667107543226</v>
      </c>
      <c r="CL1468" s="229"/>
      <c r="CM1468" s="229"/>
      <c r="CN1468" s="229"/>
      <c r="CO1468" s="47" t="s">
        <v>2488</v>
      </c>
      <c r="CP1468" s="47" t="s">
        <v>2489</v>
      </c>
      <c r="CQ1468" s="224" t="s">
        <v>272</v>
      </c>
      <c r="CR1468" s="224"/>
      <c r="CS1468" s="230" t="s">
        <v>539</v>
      </c>
      <c r="CT1468" s="230"/>
      <c r="CU1468" s="230"/>
      <c r="CV1468" s="335">
        <f t="shared" si="380"/>
        <v>9.6342969040856534</v>
      </c>
      <c r="CW1468" s="230">
        <f t="shared" si="373"/>
        <v>1</v>
      </c>
      <c r="CX1468" s="336"/>
      <c r="CY1468" s="230" t="s">
        <v>5921</v>
      </c>
    </row>
    <row r="1469" spans="1:103" ht="11.25" customHeight="1" x14ac:dyDescent="0.2">
      <c r="A1469" s="72">
        <v>1467</v>
      </c>
      <c r="B1469" s="224">
        <v>1067</v>
      </c>
      <c r="C1469" s="46" t="s">
        <v>1051</v>
      </c>
      <c r="D1469" s="46" t="s">
        <v>6765</v>
      </c>
      <c r="E1469" s="114"/>
      <c r="F1469" s="114" t="s">
        <v>1052</v>
      </c>
      <c r="G1469" s="225">
        <v>105512069</v>
      </c>
      <c r="H1469" s="47" t="s">
        <v>1053</v>
      </c>
      <c r="I1469" s="47" t="s">
        <v>7897</v>
      </c>
      <c r="J1469" s="47" t="s">
        <v>1054</v>
      </c>
      <c r="K1469" s="47" t="s">
        <v>1055</v>
      </c>
      <c r="L1469" s="47" t="s">
        <v>5967</v>
      </c>
      <c r="M1469" s="47" t="s">
        <v>6082</v>
      </c>
      <c r="N1469" s="47" t="s">
        <v>6082</v>
      </c>
      <c r="O1469" s="47" t="s">
        <v>6083</v>
      </c>
      <c r="P1469" s="53"/>
      <c r="Q1469" s="53"/>
      <c r="R1469" s="53"/>
      <c r="S1469" s="53"/>
      <c r="T1469" s="48">
        <v>349.74</v>
      </c>
      <c r="U1469" s="98">
        <v>1.14370675358838E-2</v>
      </c>
      <c r="V1469" s="98">
        <v>8.3033110310516377E-3</v>
      </c>
      <c r="W1469" s="98">
        <v>3.3884415613920256E-2</v>
      </c>
      <c r="X1469" s="98">
        <v>1.14370675358838E-2</v>
      </c>
      <c r="Y1469" s="233">
        <v>7</v>
      </c>
      <c r="Z1469" s="48">
        <v>3.12</v>
      </c>
      <c r="AA1469" s="48">
        <v>3.9</v>
      </c>
      <c r="AB1469" s="48">
        <v>3.37</v>
      </c>
      <c r="AC1469" s="48">
        <v>0.78569999999999995</v>
      </c>
      <c r="AD1469" s="48">
        <v>3.09</v>
      </c>
      <c r="AE1469" s="48">
        <v>2.33</v>
      </c>
      <c r="AF1469" s="48">
        <f t="shared" si="379"/>
        <v>3.9</v>
      </c>
      <c r="AG1469" s="49">
        <v>3.83</v>
      </c>
      <c r="AH1469" s="98">
        <v>3.5099999999999998E-10</v>
      </c>
      <c r="AI1469" s="98">
        <v>2.76E-9</v>
      </c>
      <c r="AJ1469" s="483">
        <f t="shared" si="383"/>
        <v>-7.8432592098468277</v>
      </c>
      <c r="AK1469" s="483">
        <f>LOG10(AI1469*1000/(0.08206*298.15))</f>
        <v>-6.9476572442474342</v>
      </c>
      <c r="AL1469" s="483">
        <f t="shared" si="381"/>
        <v>-6.9476572442474342</v>
      </c>
      <c r="AM1469" s="483">
        <v>-14.626449999999998</v>
      </c>
      <c r="AN1469" s="226">
        <v>-7.69</v>
      </c>
      <c r="AO1469" s="484"/>
      <c r="AP1469" s="484">
        <v>-1.54</v>
      </c>
      <c r="AQ1469" s="48" t="s">
        <v>6311</v>
      </c>
      <c r="AR1469" s="48" t="s">
        <v>6314</v>
      </c>
      <c r="AS1469" s="227"/>
      <c r="AT1469" s="50" t="s">
        <v>266</v>
      </c>
      <c r="AU1469" s="48">
        <v>6</v>
      </c>
      <c r="AV1469" s="48">
        <v>120</v>
      </c>
      <c r="AW1469" s="48">
        <v>114</v>
      </c>
      <c r="AX1469" s="48">
        <v>28</v>
      </c>
      <c r="AY1469" s="48" t="s">
        <v>8728</v>
      </c>
      <c r="AZ1469" s="48" t="s">
        <v>1563</v>
      </c>
      <c r="BA1469" s="48">
        <v>32</v>
      </c>
      <c r="BB1469" s="47" t="s">
        <v>2485</v>
      </c>
      <c r="BC1469" s="47" t="s">
        <v>8726</v>
      </c>
      <c r="BD1469" s="47" t="s">
        <v>8374</v>
      </c>
      <c r="BE1469" s="48" t="s">
        <v>2449</v>
      </c>
      <c r="BF1469" s="48" t="s">
        <v>272</v>
      </c>
      <c r="BG1469" s="48" t="s">
        <v>272</v>
      </c>
      <c r="BH1469" s="48" t="s">
        <v>2486</v>
      </c>
      <c r="BI1469" s="98">
        <v>6.3999999999999997E-6</v>
      </c>
      <c r="BJ1469" s="98">
        <v>6.4000000000000001E-2</v>
      </c>
      <c r="BK1469" s="48"/>
      <c r="BL1469" s="98">
        <f t="shared" si="382"/>
        <v>8.1045330941141552E-2</v>
      </c>
      <c r="BM1469" s="47" t="s">
        <v>2487</v>
      </c>
      <c r="BN1469" s="48"/>
      <c r="BO1469" s="48"/>
      <c r="BP1469" s="48"/>
      <c r="BQ1469" s="48"/>
      <c r="BR1469" s="47" t="s">
        <v>2496</v>
      </c>
      <c r="BS1469" s="48"/>
      <c r="BT1469" s="48"/>
      <c r="BU1469" s="228">
        <v>6.4000000000000001E-2</v>
      </c>
      <c r="BV1469" s="48"/>
      <c r="BW1469" s="48"/>
      <c r="BX1469" s="48"/>
      <c r="BY1469" s="48"/>
      <c r="BZ1469" s="48"/>
      <c r="CA1469" s="48"/>
      <c r="CB1469" s="48"/>
      <c r="CC1469" s="48"/>
      <c r="CD1469" s="48"/>
      <c r="CE1469" s="48"/>
      <c r="CF1469" s="48"/>
      <c r="CG1469" s="48"/>
      <c r="CH1469" s="48"/>
      <c r="CI1469" s="98"/>
      <c r="CJ1469" s="98"/>
      <c r="CK1469" s="49">
        <f t="shared" si="377"/>
        <v>1.2663332959553368</v>
      </c>
      <c r="CL1469" s="229"/>
      <c r="CM1469" s="229">
        <v>-3.1635340639914826</v>
      </c>
      <c r="CN1469" s="229">
        <f>BJ1469/(10^CM1469)</f>
        <v>93.264000000000109</v>
      </c>
      <c r="CO1469" s="47" t="s">
        <v>2488</v>
      </c>
      <c r="CP1469" s="47" t="s">
        <v>2489</v>
      </c>
      <c r="CQ1469" s="224">
        <v>-3.060946271217166</v>
      </c>
      <c r="CR1469" s="224">
        <f>10^(CJ1469-CQ1469)</f>
        <v>1150.6580263720425</v>
      </c>
      <c r="CS1469" s="230" t="s">
        <v>539</v>
      </c>
      <c r="CT1469" s="230"/>
      <c r="CU1469" s="230"/>
      <c r="CV1469" s="335">
        <f t="shared" si="380"/>
        <v>0.17870418024818435</v>
      </c>
      <c r="CW1469" s="230">
        <f t="shared" si="373"/>
        <v>0</v>
      </c>
      <c r="CX1469" s="336"/>
      <c r="CY1469" s="230" t="s">
        <v>5921</v>
      </c>
    </row>
    <row r="1470" spans="1:103" ht="11.25" customHeight="1" x14ac:dyDescent="0.2">
      <c r="A1470" s="72">
        <v>1468</v>
      </c>
      <c r="B1470" s="224">
        <v>893</v>
      </c>
      <c r="C1470" s="46" t="s">
        <v>7500</v>
      </c>
      <c r="D1470" s="46"/>
      <c r="E1470" s="114"/>
      <c r="F1470" s="114" t="s">
        <v>2543</v>
      </c>
      <c r="G1470" s="225">
        <v>107071669</v>
      </c>
      <c r="H1470" s="47" t="s">
        <v>2544</v>
      </c>
      <c r="I1470" s="47" t="s">
        <v>7846</v>
      </c>
      <c r="J1470" s="47" t="s">
        <v>2545</v>
      </c>
      <c r="K1470" s="47" t="s">
        <v>455</v>
      </c>
      <c r="L1470" s="47"/>
      <c r="M1470" s="47"/>
      <c r="N1470" s="47"/>
      <c r="O1470" s="47"/>
      <c r="P1470" s="53"/>
      <c r="Q1470" s="53"/>
      <c r="R1470" s="53"/>
      <c r="S1470" s="53"/>
      <c r="T1470" s="48">
        <v>543.61</v>
      </c>
      <c r="U1470" s="98"/>
      <c r="V1470" s="98">
        <v>2.2460955464395429E-4</v>
      </c>
      <c r="W1470" s="98">
        <v>0.91201083935590865</v>
      </c>
      <c r="X1470" s="98">
        <f>IF(W1470=0,V1470,W1470)</f>
        <v>0.91201083935590865</v>
      </c>
      <c r="Y1470" s="233">
        <v>9.7100000000000009</v>
      </c>
      <c r="Z1470" s="48">
        <v>4.08</v>
      </c>
      <c r="AA1470" s="48"/>
      <c r="AB1470" s="48">
        <v>2.85</v>
      </c>
      <c r="AC1470" s="48">
        <v>0.34989999999999999</v>
      </c>
      <c r="AD1470" s="48">
        <v>2.0299999999999998</v>
      </c>
      <c r="AE1470" s="48">
        <v>1.19</v>
      </c>
      <c r="AF1470" s="48">
        <f t="shared" ref="AF1470:AF1476" si="385">IF(AA1470=0,AD1470,AA1470)</f>
        <v>2.0299999999999998</v>
      </c>
      <c r="AG1470" s="49">
        <v>2.59</v>
      </c>
      <c r="AH1470" s="98">
        <v>7.7899999999999998E-20</v>
      </c>
      <c r="AI1470" s="98"/>
      <c r="AJ1470" s="483">
        <f t="shared" si="383"/>
        <v>-17.497028868640086</v>
      </c>
      <c r="AK1470" s="483"/>
      <c r="AL1470" s="483">
        <f t="shared" si="381"/>
        <v>-17.497028868640086</v>
      </c>
      <c r="AM1470" s="483">
        <v>-30.082470000000001</v>
      </c>
      <c r="AN1470" s="226">
        <v>-23.2</v>
      </c>
      <c r="AO1470" s="484">
        <v>14.08</v>
      </c>
      <c r="AP1470" s="484">
        <v>8.66</v>
      </c>
      <c r="AQ1470" s="48" t="s">
        <v>6311</v>
      </c>
      <c r="AR1470" s="48" t="s">
        <v>6311</v>
      </c>
      <c r="AS1470" s="227"/>
      <c r="AT1470" s="50" t="s">
        <v>266</v>
      </c>
      <c r="AU1470" s="48">
        <v>6</v>
      </c>
      <c r="AV1470" s="48">
        <v>120</v>
      </c>
      <c r="AW1470" s="48">
        <v>114</v>
      </c>
      <c r="AX1470" s="48">
        <v>28</v>
      </c>
      <c r="AY1470" s="48" t="s">
        <v>8728</v>
      </c>
      <c r="AZ1470" s="48" t="s">
        <v>1563</v>
      </c>
      <c r="BA1470" s="48">
        <v>32</v>
      </c>
      <c r="BB1470" s="47" t="s">
        <v>2485</v>
      </c>
      <c r="BC1470" s="47" t="s">
        <v>8726</v>
      </c>
      <c r="BD1470" s="47" t="s">
        <v>8374</v>
      </c>
      <c r="BE1470" s="48" t="s">
        <v>2449</v>
      </c>
      <c r="BF1470" s="48" t="s">
        <v>272</v>
      </c>
      <c r="BG1470" s="48" t="s">
        <v>272</v>
      </c>
      <c r="BH1470" s="48" t="s">
        <v>2486</v>
      </c>
      <c r="BI1470" s="98">
        <v>6.3999999999999997E-6</v>
      </c>
      <c r="BJ1470" s="98">
        <v>6.4000000000000001E-2</v>
      </c>
      <c r="BK1470" s="48"/>
      <c r="BL1470" s="98">
        <f t="shared" si="382"/>
        <v>1.1131456666790537E-2</v>
      </c>
      <c r="BM1470" s="47" t="s">
        <v>2487</v>
      </c>
      <c r="BN1470" s="48"/>
      <c r="BO1470" s="48"/>
      <c r="BP1470" s="48"/>
      <c r="BQ1470" s="48"/>
      <c r="BR1470" s="47" t="s">
        <v>2496</v>
      </c>
      <c r="BS1470" s="48"/>
      <c r="BT1470" s="48"/>
      <c r="BU1470" s="228">
        <v>6.3999999999999997E-6</v>
      </c>
      <c r="BV1470" s="48"/>
      <c r="BW1470" s="48"/>
      <c r="BX1470" s="48"/>
      <c r="BY1470" s="48"/>
      <c r="BZ1470" s="48"/>
      <c r="CA1470" s="48"/>
      <c r="CB1470" s="48"/>
      <c r="CC1470" s="48"/>
      <c r="CD1470" s="48"/>
      <c r="CE1470" s="48"/>
      <c r="CF1470" s="48"/>
      <c r="CG1470" s="48"/>
      <c r="CH1470" s="48"/>
      <c r="CI1470" s="98"/>
      <c r="CJ1470" s="98"/>
      <c r="CK1470" s="49">
        <f t="shared" si="377"/>
        <v>0.17392901041860215</v>
      </c>
      <c r="CL1470" s="229"/>
      <c r="CM1470" s="229"/>
      <c r="CN1470" s="229"/>
      <c r="CO1470" s="47" t="s">
        <v>2488</v>
      </c>
      <c r="CP1470" s="47" t="s">
        <v>2489</v>
      </c>
      <c r="CQ1470" s="224" t="s">
        <v>272</v>
      </c>
      <c r="CR1470" s="224"/>
      <c r="CS1470" s="230" t="s">
        <v>539</v>
      </c>
      <c r="CT1470" s="230"/>
      <c r="CU1470" s="230"/>
      <c r="CV1470" s="335">
        <f t="shared" si="380"/>
        <v>14.250169364936072</v>
      </c>
      <c r="CW1470" s="230">
        <f t="shared" si="373"/>
        <v>1</v>
      </c>
      <c r="CX1470" s="336"/>
      <c r="CY1470" s="230" t="s">
        <v>5921</v>
      </c>
    </row>
    <row r="1471" spans="1:103" ht="11.25" customHeight="1" x14ac:dyDescent="0.2">
      <c r="A1471" s="72">
        <v>1469</v>
      </c>
      <c r="B1471" s="224">
        <v>1882</v>
      </c>
      <c r="C1471" s="46" t="s">
        <v>7501</v>
      </c>
      <c r="D1471" s="46"/>
      <c r="E1471" s="114"/>
      <c r="F1471" s="114" t="s">
        <v>5342</v>
      </c>
      <c r="G1471" s="225">
        <v>107534963</v>
      </c>
      <c r="H1471" s="47" t="s">
        <v>5343</v>
      </c>
      <c r="I1471" s="47" t="s">
        <v>8159</v>
      </c>
      <c r="J1471" s="47" t="s">
        <v>5344</v>
      </c>
      <c r="K1471" s="47" t="s">
        <v>1112</v>
      </c>
      <c r="L1471" s="47" t="s">
        <v>6167</v>
      </c>
      <c r="M1471" s="47" t="s">
        <v>6082</v>
      </c>
      <c r="N1471" s="47" t="s">
        <v>6612</v>
      </c>
      <c r="O1471" s="47" t="s">
        <v>6083</v>
      </c>
      <c r="P1471" s="53"/>
      <c r="Q1471" s="53"/>
      <c r="R1471" s="53"/>
      <c r="S1471" s="53"/>
      <c r="T1471" s="48">
        <v>307.82</v>
      </c>
      <c r="U1471" s="98">
        <v>0.11695146514196608</v>
      </c>
      <c r="V1471" s="98">
        <v>8.0404132285101682E-2</v>
      </c>
      <c r="W1471" s="98">
        <v>0.1148153621496881</v>
      </c>
      <c r="X1471" s="98">
        <v>0.11695146514196608</v>
      </c>
      <c r="Y1471" s="233">
        <v>7.08</v>
      </c>
      <c r="Z1471" s="48">
        <v>3.89</v>
      </c>
      <c r="AA1471" s="48">
        <v>3.7</v>
      </c>
      <c r="AB1471" s="48">
        <v>3.78</v>
      </c>
      <c r="AC1471" s="48">
        <v>0.85870000000000002</v>
      </c>
      <c r="AD1471" s="48">
        <v>3.74</v>
      </c>
      <c r="AE1471" s="48">
        <v>3.58</v>
      </c>
      <c r="AF1471" s="48">
        <f t="shared" si="385"/>
        <v>3.7</v>
      </c>
      <c r="AG1471" s="49">
        <v>3.77</v>
      </c>
      <c r="AH1471" s="98">
        <v>5.1799999999999997E-10</v>
      </c>
      <c r="AI1471" s="98">
        <v>1.4499999999999999E-10</v>
      </c>
      <c r="AJ1471" s="483">
        <f t="shared" si="383"/>
        <v>-7.6742365665674184</v>
      </c>
      <c r="AK1471" s="483">
        <f>LOG10(AI1471*1000/(0.08206*298.15))</f>
        <v>-8.2271983240776763</v>
      </c>
      <c r="AL1471" s="483">
        <f t="shared" si="381"/>
        <v>-8.2271983240776763</v>
      </c>
      <c r="AM1471" s="483">
        <v>-12.89578</v>
      </c>
      <c r="AN1471" s="226">
        <v>-7.78</v>
      </c>
      <c r="AO1471" s="484">
        <v>13.7</v>
      </c>
      <c r="AP1471" s="484">
        <v>3.27</v>
      </c>
      <c r="AQ1471" s="226" t="s">
        <v>6311</v>
      </c>
      <c r="AR1471" s="226" t="s">
        <v>6311</v>
      </c>
      <c r="AS1471" s="224"/>
      <c r="AT1471" s="50" t="s">
        <v>266</v>
      </c>
      <c r="AU1471" s="48">
        <v>6</v>
      </c>
      <c r="AV1471" s="48">
        <v>120</v>
      </c>
      <c r="AW1471" s="48">
        <v>114</v>
      </c>
      <c r="AX1471" s="48">
        <v>28</v>
      </c>
      <c r="AY1471" s="48" t="s">
        <v>8728</v>
      </c>
      <c r="AZ1471" s="48" t="s">
        <v>1563</v>
      </c>
      <c r="BA1471" s="48">
        <v>32</v>
      </c>
      <c r="BB1471" s="47" t="s">
        <v>2485</v>
      </c>
      <c r="BC1471" s="47" t="s">
        <v>8726</v>
      </c>
      <c r="BD1471" s="47" t="s">
        <v>8374</v>
      </c>
      <c r="BE1471" s="48" t="s">
        <v>2449</v>
      </c>
      <c r="BF1471" s="48" t="s">
        <v>272</v>
      </c>
      <c r="BG1471" s="48" t="s">
        <v>272</v>
      </c>
      <c r="BH1471" s="48" t="s">
        <v>2486</v>
      </c>
      <c r="BI1471" s="98">
        <v>6.3999999999999997E-6</v>
      </c>
      <c r="BJ1471" s="98">
        <v>6.4000000000000001E-2</v>
      </c>
      <c r="BK1471" s="48"/>
      <c r="BL1471" s="98">
        <f t="shared" si="382"/>
        <v>1.648887402464792E-2</v>
      </c>
      <c r="BM1471" s="47" t="s">
        <v>2487</v>
      </c>
      <c r="BN1471" s="48"/>
      <c r="BO1471" s="48"/>
      <c r="BP1471" s="48"/>
      <c r="BQ1471" s="48"/>
      <c r="BR1471" s="47" t="s">
        <v>2496</v>
      </c>
      <c r="BS1471" s="48"/>
      <c r="BT1471" s="48"/>
      <c r="BU1471" s="228"/>
      <c r="BV1471" s="48"/>
      <c r="BW1471" s="48"/>
      <c r="BX1471" s="48"/>
      <c r="BY1471" s="48"/>
      <c r="BZ1471" s="48"/>
      <c r="CA1471" s="48"/>
      <c r="CB1471" s="48"/>
      <c r="CC1471" s="48"/>
      <c r="CD1471" s="48"/>
      <c r="CE1471" s="48"/>
      <c r="CF1471" s="48"/>
      <c r="CG1471" s="48"/>
      <c r="CH1471" s="48"/>
      <c r="CI1471" s="98"/>
      <c r="CJ1471" s="98"/>
      <c r="CK1471" s="49">
        <f t="shared" si="377"/>
        <v>0.25763865663512375</v>
      </c>
      <c r="CL1471" s="229"/>
      <c r="CM1471" s="229"/>
      <c r="CN1471" s="229"/>
      <c r="CO1471" s="47" t="s">
        <v>2488</v>
      </c>
      <c r="CP1471" s="47" t="s">
        <v>2489</v>
      </c>
      <c r="CQ1471" s="224">
        <v>-1.4583672344572896</v>
      </c>
      <c r="CR1471" s="224">
        <f>10^(CJ1471-CQ1471)</f>
        <v>28.73209107942797</v>
      </c>
      <c r="CS1471" s="230" t="s">
        <v>539</v>
      </c>
      <c r="CT1471" s="230"/>
      <c r="CU1471" s="230"/>
      <c r="CV1471" s="335">
        <f t="shared" si="380"/>
        <v>1.82736664284322</v>
      </c>
      <c r="CW1471" s="230">
        <f t="shared" ref="CW1471:CW1534" si="386">IF(CV1471&lt;1,0,1)</f>
        <v>1</v>
      </c>
      <c r="CX1471" s="336"/>
      <c r="CY1471" s="230" t="s">
        <v>5921</v>
      </c>
    </row>
    <row r="1472" spans="1:103" ht="11.25" customHeight="1" x14ac:dyDescent="0.2">
      <c r="A1472" s="72">
        <v>1470</v>
      </c>
      <c r="B1472" s="224">
        <v>1724</v>
      </c>
      <c r="C1472" s="46" t="s">
        <v>7502</v>
      </c>
      <c r="D1472" s="46"/>
      <c r="E1472" s="114"/>
      <c r="F1472" s="114" t="s">
        <v>4997</v>
      </c>
      <c r="G1472" s="225">
        <v>110235477</v>
      </c>
      <c r="H1472" s="47" t="s">
        <v>4998</v>
      </c>
      <c r="I1472" s="47"/>
      <c r="J1472" s="47" t="s">
        <v>4999</v>
      </c>
      <c r="K1472" s="47" t="s">
        <v>426</v>
      </c>
      <c r="L1472" s="47"/>
      <c r="M1472" s="47"/>
      <c r="N1472" s="47"/>
      <c r="O1472" s="47"/>
      <c r="P1472" s="53"/>
      <c r="Q1472" s="53"/>
      <c r="R1472" s="53"/>
      <c r="S1472" s="53"/>
      <c r="T1472" s="48">
        <v>223.27</v>
      </c>
      <c r="U1472" s="98">
        <v>1.3884534420208716E-2</v>
      </c>
      <c r="V1472" s="98">
        <v>0.23411116585300309</v>
      </c>
      <c r="W1472" s="98">
        <v>0.10964781961431837</v>
      </c>
      <c r="X1472" s="98">
        <v>1.3884534420208716E-2</v>
      </c>
      <c r="Y1472" s="233">
        <v>7.02</v>
      </c>
      <c r="Z1472" s="48">
        <v>3.46</v>
      </c>
      <c r="AA1472" s="48">
        <v>3.28</v>
      </c>
      <c r="AB1472" s="48">
        <v>3.4</v>
      </c>
      <c r="AC1472" s="48">
        <v>0.81830000000000003</v>
      </c>
      <c r="AD1472" s="48">
        <v>3.37</v>
      </c>
      <c r="AE1472" s="48">
        <v>3.28</v>
      </c>
      <c r="AF1472" s="48">
        <f t="shared" si="385"/>
        <v>3.28</v>
      </c>
      <c r="AG1472" s="49">
        <v>4.01</v>
      </c>
      <c r="AH1472" s="98">
        <v>3.27E-7</v>
      </c>
      <c r="AI1472" s="98">
        <v>1.6499999999999999E-8</v>
      </c>
      <c r="AJ1472" s="483">
        <f t="shared" si="383"/>
        <v>-4.874018573652366</v>
      </c>
      <c r="AK1472" s="483">
        <f>LOG10(AI1472*1000/(0.08206*298.15))</f>
        <v>-6.1710823820987457</v>
      </c>
      <c r="AL1472" s="483">
        <f t="shared" si="381"/>
        <v>-6.1710823820987457</v>
      </c>
      <c r="AM1472" s="483">
        <v>-10.408529999999999</v>
      </c>
      <c r="AN1472" s="226">
        <v>-6.78</v>
      </c>
      <c r="AO1472" s="484"/>
      <c r="AP1472" s="484">
        <v>2.97</v>
      </c>
      <c r="AQ1472" s="226" t="s">
        <v>6311</v>
      </c>
      <c r="AR1472" s="226" t="s">
        <v>6311</v>
      </c>
      <c r="AS1472" s="224"/>
      <c r="AT1472" s="50" t="s">
        <v>266</v>
      </c>
      <c r="AU1472" s="48">
        <v>6</v>
      </c>
      <c r="AV1472" s="48">
        <v>120</v>
      </c>
      <c r="AW1472" s="48">
        <v>114</v>
      </c>
      <c r="AX1472" s="48">
        <v>28</v>
      </c>
      <c r="AY1472" s="48" t="s">
        <v>8728</v>
      </c>
      <c r="AZ1472" s="48" t="s">
        <v>1563</v>
      </c>
      <c r="BA1472" s="48">
        <v>32</v>
      </c>
      <c r="BB1472" s="47" t="s">
        <v>2485</v>
      </c>
      <c r="BC1472" s="47" t="s">
        <v>8726</v>
      </c>
      <c r="BD1472" s="47" t="s">
        <v>8374</v>
      </c>
      <c r="BE1472" s="48" t="s">
        <v>2449</v>
      </c>
      <c r="BF1472" s="48" t="s">
        <v>272</v>
      </c>
      <c r="BG1472" s="48" t="s">
        <v>272</v>
      </c>
      <c r="BH1472" s="48" t="s">
        <v>2486</v>
      </c>
      <c r="BI1472" s="98">
        <v>6.3999999999999997E-6</v>
      </c>
      <c r="BJ1472" s="98">
        <v>6.4000000000000001E-2</v>
      </c>
      <c r="BK1472" s="48"/>
      <c r="BL1472" s="98">
        <f t="shared" si="382"/>
        <v>4.0121207943140245E-2</v>
      </c>
      <c r="BM1472" s="47" t="s">
        <v>2487</v>
      </c>
      <c r="BN1472" s="48"/>
      <c r="BO1472" s="48"/>
      <c r="BP1472" s="48"/>
      <c r="BQ1472" s="48"/>
      <c r="BR1472" s="47" t="s">
        <v>2496</v>
      </c>
      <c r="BS1472" s="48"/>
      <c r="BT1472" s="48"/>
      <c r="BU1472" s="228"/>
      <c r="BV1472" s="48"/>
      <c r="BW1472" s="48"/>
      <c r="BX1472" s="48"/>
      <c r="BY1472" s="48"/>
      <c r="BZ1472" s="48"/>
      <c r="CA1472" s="48"/>
      <c r="CB1472" s="48"/>
      <c r="CC1472" s="48"/>
      <c r="CD1472" s="48"/>
      <c r="CE1472" s="48"/>
      <c r="CF1472" s="48"/>
      <c r="CG1472" s="48"/>
      <c r="CH1472" s="48"/>
      <c r="CI1472" s="98"/>
      <c r="CJ1472" s="98"/>
      <c r="CK1472" s="49">
        <f t="shared" si="377"/>
        <v>0.62689387411156627</v>
      </c>
      <c r="CL1472" s="229"/>
      <c r="CM1472" s="229"/>
      <c r="CN1472" s="229"/>
      <c r="CO1472" s="47" t="s">
        <v>2488</v>
      </c>
      <c r="CP1472" s="47" t="s">
        <v>2489</v>
      </c>
      <c r="CQ1472" s="224" t="s">
        <v>272</v>
      </c>
      <c r="CR1472" s="224"/>
      <c r="CS1472" s="230" t="s">
        <v>539</v>
      </c>
      <c r="CT1472" s="230"/>
      <c r="CU1472" s="230"/>
      <c r="CV1472" s="335">
        <f t="shared" si="380"/>
        <v>0.21694585031576116</v>
      </c>
      <c r="CW1472" s="230">
        <f t="shared" si="386"/>
        <v>0</v>
      </c>
      <c r="CX1472" s="336"/>
      <c r="CY1472" s="230" t="s">
        <v>5921</v>
      </c>
    </row>
    <row r="1473" spans="1:103" ht="11.25" customHeight="1" x14ac:dyDescent="0.2">
      <c r="A1473" s="72">
        <v>1471</v>
      </c>
      <c r="B1473" s="224">
        <v>309</v>
      </c>
      <c r="C1473" s="46" t="s">
        <v>7503</v>
      </c>
      <c r="D1473" s="46"/>
      <c r="E1473" s="114"/>
      <c r="F1473" s="114" t="s">
        <v>3829</v>
      </c>
      <c r="G1473" s="225">
        <v>110488705</v>
      </c>
      <c r="H1473" s="47" t="s">
        <v>3830</v>
      </c>
      <c r="I1473" s="47" t="s">
        <v>8160</v>
      </c>
      <c r="J1473" s="47" t="s">
        <v>3831</v>
      </c>
      <c r="K1473" s="47" t="s">
        <v>3832</v>
      </c>
      <c r="L1473" s="47" t="s">
        <v>6094</v>
      </c>
      <c r="M1473" s="47" t="s">
        <v>6082</v>
      </c>
      <c r="N1473" s="47" t="s">
        <v>6612</v>
      </c>
      <c r="O1473" s="47" t="s">
        <v>6083</v>
      </c>
      <c r="P1473" s="53"/>
      <c r="Q1473" s="53"/>
      <c r="R1473" s="53"/>
      <c r="S1473" s="53"/>
      <c r="T1473" s="48">
        <v>387.86</v>
      </c>
      <c r="U1473" s="98"/>
      <c r="V1473" s="98">
        <v>4.8264837828082295E-2</v>
      </c>
      <c r="W1473" s="98">
        <v>1.2882495516931347E-2</v>
      </c>
      <c r="X1473" s="98">
        <f t="shared" ref="X1473:X1480" si="387">IF(W1473=0,V1473,W1473)</f>
        <v>1.2882495516931347E-2</v>
      </c>
      <c r="Y1473" s="233">
        <v>7</v>
      </c>
      <c r="Z1473" s="48">
        <v>2.36</v>
      </c>
      <c r="AA1473" s="48">
        <v>2.68</v>
      </c>
      <c r="AB1473" s="48">
        <v>3.11</v>
      </c>
      <c r="AC1473" s="48">
        <v>0.67589999999999995</v>
      </c>
      <c r="AD1473" s="48">
        <v>3.31</v>
      </c>
      <c r="AE1473" s="48">
        <v>3.71</v>
      </c>
      <c r="AF1473" s="48">
        <f t="shared" si="385"/>
        <v>2.68</v>
      </c>
      <c r="AG1473" s="49">
        <v>3.31</v>
      </c>
      <c r="AH1473" s="98">
        <v>1.01E-15</v>
      </c>
      <c r="AI1473" s="98">
        <v>2.01E-10</v>
      </c>
      <c r="AJ1473" s="483">
        <f t="shared" si="383"/>
        <v>-13.384244952530009</v>
      </c>
      <c r="AK1473" s="483">
        <f>LOG10(AI1473*1000/(0.08206*298.15))</f>
        <v>-8.0853702688921629</v>
      </c>
      <c r="AL1473" s="483">
        <f t="shared" si="381"/>
        <v>-8.0853702688921629</v>
      </c>
      <c r="AM1473" s="483">
        <v>-19.18627</v>
      </c>
      <c r="AN1473" s="226">
        <v>-9.31</v>
      </c>
      <c r="AO1473" s="484"/>
      <c r="AP1473" s="484">
        <v>-1.37</v>
      </c>
      <c r="AQ1473" s="226" t="s">
        <v>6311</v>
      </c>
      <c r="AR1473" s="226" t="s">
        <v>6311</v>
      </c>
      <c r="AS1473" s="224" t="s">
        <v>6</v>
      </c>
      <c r="AT1473" s="50" t="s">
        <v>266</v>
      </c>
      <c r="AU1473" s="48">
        <v>8</v>
      </c>
      <c r="AV1473" s="48">
        <v>144</v>
      </c>
      <c r="AW1473" s="48">
        <v>120</v>
      </c>
      <c r="AX1473" s="48">
        <v>26</v>
      </c>
      <c r="AY1473" s="48" t="s">
        <v>267</v>
      </c>
      <c r="AZ1473" s="48" t="s">
        <v>2253</v>
      </c>
      <c r="BA1473" s="48">
        <v>2</v>
      </c>
      <c r="BB1473" s="47" t="s">
        <v>2254</v>
      </c>
      <c r="BC1473" s="47" t="s">
        <v>270</v>
      </c>
      <c r="BD1473" s="47" t="s">
        <v>8374</v>
      </c>
      <c r="BE1473" s="48" t="s">
        <v>1712</v>
      </c>
      <c r="BF1473" s="48" t="s">
        <v>272</v>
      </c>
      <c r="BG1473" s="48" t="s">
        <v>272</v>
      </c>
      <c r="BH1473" s="48" t="s">
        <v>2255</v>
      </c>
      <c r="BI1473" s="98">
        <v>9.9999999999999995E-7</v>
      </c>
      <c r="BJ1473" s="98">
        <v>0.08</v>
      </c>
      <c r="BK1473" s="48"/>
      <c r="BL1473" s="98">
        <f t="shared" si="382"/>
        <v>0.39019706645815139</v>
      </c>
      <c r="BM1473" s="48" t="s">
        <v>891</v>
      </c>
      <c r="BN1473" s="233"/>
      <c r="BO1473" s="233"/>
      <c r="BP1473" s="233"/>
      <c r="BQ1473" s="233"/>
      <c r="BR1473" s="233"/>
      <c r="BS1473" s="48"/>
      <c r="BT1473" s="233"/>
      <c r="BU1473" s="228"/>
      <c r="BV1473" s="233"/>
      <c r="BW1473" s="233"/>
      <c r="BX1473" s="233"/>
      <c r="BY1473" s="233"/>
      <c r="BZ1473" s="233"/>
      <c r="CA1473" s="233"/>
      <c r="CB1473" s="233"/>
      <c r="CC1473" s="48"/>
      <c r="CD1473" s="48"/>
      <c r="CE1473" s="48"/>
      <c r="CF1473" s="48"/>
      <c r="CG1473" s="233"/>
      <c r="CH1473" s="48"/>
      <c r="CI1473" s="98"/>
      <c r="CJ1473" s="98"/>
      <c r="CK1473" s="49">
        <f t="shared" si="377"/>
        <v>4.8774633307268926</v>
      </c>
      <c r="CL1473" s="229"/>
      <c r="CM1473" s="229"/>
      <c r="CN1473" s="229"/>
      <c r="CO1473" s="47" t="s">
        <v>892</v>
      </c>
      <c r="CP1473" s="47" t="s">
        <v>893</v>
      </c>
      <c r="CQ1473" s="224">
        <v>-1.7962833036232744</v>
      </c>
      <c r="CR1473" s="224">
        <f>10^(CJ1473-CQ1473)</f>
        <v>62.558064516129058</v>
      </c>
      <c r="CS1473" s="230" t="s">
        <v>539</v>
      </c>
      <c r="CT1473" s="230"/>
      <c r="CU1473" s="230"/>
      <c r="CV1473" s="335">
        <f t="shared" si="380"/>
        <v>0.16103119396164184</v>
      </c>
      <c r="CW1473" s="230">
        <f t="shared" si="386"/>
        <v>0</v>
      </c>
      <c r="CX1473" s="336" t="s">
        <v>539</v>
      </c>
      <c r="CY1473" s="230" t="s">
        <v>5921</v>
      </c>
    </row>
    <row r="1474" spans="1:103" ht="11.25" customHeight="1" x14ac:dyDescent="0.2">
      <c r="A1474" s="72">
        <v>1472</v>
      </c>
      <c r="B1474" s="224">
        <v>1615</v>
      </c>
      <c r="C1474" s="46" t="s">
        <v>7503</v>
      </c>
      <c r="D1474" s="46"/>
      <c r="E1474" s="114"/>
      <c r="F1474" s="114" t="s">
        <v>3829</v>
      </c>
      <c r="G1474" s="225">
        <v>110488705</v>
      </c>
      <c r="H1474" s="47" t="s">
        <v>3830</v>
      </c>
      <c r="I1474" s="47" t="s">
        <v>8160</v>
      </c>
      <c r="J1474" s="47" t="s">
        <v>3831</v>
      </c>
      <c r="K1474" s="47" t="s">
        <v>3832</v>
      </c>
      <c r="L1474" s="47" t="s">
        <v>6094</v>
      </c>
      <c r="M1474" s="47" t="s">
        <v>6082</v>
      </c>
      <c r="N1474" s="47" t="s">
        <v>6612</v>
      </c>
      <c r="O1474" s="47" t="s">
        <v>6083</v>
      </c>
      <c r="P1474" s="53"/>
      <c r="Q1474" s="53"/>
      <c r="R1474" s="53"/>
      <c r="S1474" s="53"/>
      <c r="T1474" s="48">
        <v>387.86</v>
      </c>
      <c r="U1474" s="98"/>
      <c r="V1474" s="98">
        <v>4.8264837828082295E-2</v>
      </c>
      <c r="W1474" s="98">
        <v>1.2882495516931347E-2</v>
      </c>
      <c r="X1474" s="98">
        <f t="shared" si="387"/>
        <v>1.2882495516931347E-2</v>
      </c>
      <c r="Y1474" s="233">
        <v>7</v>
      </c>
      <c r="Z1474" s="48">
        <v>2.36</v>
      </c>
      <c r="AA1474" s="48">
        <v>2.68</v>
      </c>
      <c r="AB1474" s="48">
        <v>3.11</v>
      </c>
      <c r="AC1474" s="48">
        <v>0.67589999999999995</v>
      </c>
      <c r="AD1474" s="48">
        <v>3.31</v>
      </c>
      <c r="AE1474" s="48">
        <v>3.71</v>
      </c>
      <c r="AF1474" s="48">
        <f t="shared" si="385"/>
        <v>2.68</v>
      </c>
      <c r="AG1474" s="49">
        <v>3.31</v>
      </c>
      <c r="AH1474" s="98">
        <v>1.01E-15</v>
      </c>
      <c r="AI1474" s="98">
        <v>2.01E-10</v>
      </c>
      <c r="AJ1474" s="483">
        <f t="shared" si="383"/>
        <v>-13.384244952530009</v>
      </c>
      <c r="AK1474" s="483">
        <f>LOG10(AI1474*1000/(0.08206*298.15))</f>
        <v>-8.0853702688921629</v>
      </c>
      <c r="AL1474" s="483">
        <f t="shared" si="381"/>
        <v>-8.0853702688921629</v>
      </c>
      <c r="AM1474" s="483">
        <v>-19.18627</v>
      </c>
      <c r="AN1474" s="226">
        <v>-9.31</v>
      </c>
      <c r="AO1474" s="484"/>
      <c r="AP1474" s="484">
        <v>-1.37</v>
      </c>
      <c r="AQ1474" s="48" t="s">
        <v>6311</v>
      </c>
      <c r="AR1474" s="48" t="s">
        <v>6311</v>
      </c>
      <c r="AS1474" s="224"/>
      <c r="AT1474" s="50" t="s">
        <v>266</v>
      </c>
      <c r="AU1474" s="48">
        <v>6</v>
      </c>
      <c r="AV1474" s="48">
        <v>120</v>
      </c>
      <c r="AW1474" s="48">
        <v>114</v>
      </c>
      <c r="AX1474" s="48">
        <v>28</v>
      </c>
      <c r="AY1474" s="48" t="s">
        <v>8728</v>
      </c>
      <c r="AZ1474" s="48" t="s">
        <v>1563</v>
      </c>
      <c r="BA1474" s="48">
        <v>32</v>
      </c>
      <c r="BB1474" s="47" t="s">
        <v>2485</v>
      </c>
      <c r="BC1474" s="47" t="s">
        <v>8726</v>
      </c>
      <c r="BD1474" s="47" t="s">
        <v>8374</v>
      </c>
      <c r="BE1474" s="48" t="s">
        <v>2449</v>
      </c>
      <c r="BF1474" s="48" t="s">
        <v>272</v>
      </c>
      <c r="BG1474" s="48" t="s">
        <v>272</v>
      </c>
      <c r="BH1474" s="48" t="s">
        <v>2486</v>
      </c>
      <c r="BI1474" s="98">
        <v>6.3999999999999997E-6</v>
      </c>
      <c r="BJ1474" s="98">
        <v>6.4000000000000001E-2</v>
      </c>
      <c r="BK1474" s="48"/>
      <c r="BL1474" s="98">
        <f t="shared" si="382"/>
        <v>0.39019706645815139</v>
      </c>
      <c r="BM1474" s="47" t="s">
        <v>2487</v>
      </c>
      <c r="BN1474" s="48"/>
      <c r="BO1474" s="48"/>
      <c r="BP1474" s="48"/>
      <c r="BQ1474" s="48"/>
      <c r="BR1474" s="47" t="s">
        <v>2496</v>
      </c>
      <c r="BS1474" s="48"/>
      <c r="BT1474" s="48"/>
      <c r="BU1474" s="228"/>
      <c r="BV1474" s="48"/>
      <c r="BW1474" s="48"/>
      <c r="BX1474" s="48"/>
      <c r="BY1474" s="48"/>
      <c r="BZ1474" s="48"/>
      <c r="CA1474" s="48"/>
      <c r="CB1474" s="48"/>
      <c r="CC1474" s="48"/>
      <c r="CD1474" s="48"/>
      <c r="CE1474" s="48"/>
      <c r="CF1474" s="48"/>
      <c r="CG1474" s="48"/>
      <c r="CH1474" s="48"/>
      <c r="CI1474" s="98"/>
      <c r="CJ1474" s="98"/>
      <c r="CK1474" s="49">
        <f t="shared" si="377"/>
        <v>6.0968291634086151</v>
      </c>
      <c r="CL1474" s="229"/>
      <c r="CM1474" s="229"/>
      <c r="CN1474" s="229"/>
      <c r="CO1474" s="47" t="s">
        <v>2488</v>
      </c>
      <c r="CP1474" s="47" t="s">
        <v>2489</v>
      </c>
      <c r="CQ1474" s="224">
        <v>-1.7962833036232744</v>
      </c>
      <c r="CR1474" s="224">
        <f>10^(CJ1474-CQ1474)</f>
        <v>62.558064516129058</v>
      </c>
      <c r="CS1474" s="230" t="s">
        <v>539</v>
      </c>
      <c r="CT1474" s="230"/>
      <c r="CU1474" s="230"/>
      <c r="CV1474" s="335">
        <f t="shared" si="380"/>
        <v>0.20128899245205231</v>
      </c>
      <c r="CW1474" s="230">
        <f t="shared" si="386"/>
        <v>0</v>
      </c>
      <c r="CX1474" s="336"/>
      <c r="CY1474" s="230" t="s">
        <v>5921</v>
      </c>
    </row>
    <row r="1475" spans="1:103" ht="11.25" customHeight="1" x14ac:dyDescent="0.2">
      <c r="A1475" s="72">
        <v>1473</v>
      </c>
      <c r="B1475" s="224">
        <v>637</v>
      </c>
      <c r="C1475" s="46" t="s">
        <v>7504</v>
      </c>
      <c r="D1475" s="46"/>
      <c r="E1475" s="114"/>
      <c r="F1475" s="114" t="s">
        <v>3564</v>
      </c>
      <c r="G1475" s="225">
        <v>111988499</v>
      </c>
      <c r="H1475" s="47" t="s">
        <v>3565</v>
      </c>
      <c r="I1475" s="47" t="s">
        <v>8161</v>
      </c>
      <c r="J1475" s="47" t="s">
        <v>3566</v>
      </c>
      <c r="K1475" s="47" t="s">
        <v>2432</v>
      </c>
      <c r="L1475" s="47" t="s">
        <v>617</v>
      </c>
      <c r="M1475" s="47" t="s">
        <v>2433</v>
      </c>
      <c r="N1475" s="47" t="s">
        <v>6612</v>
      </c>
      <c r="O1475" s="47" t="s">
        <v>918</v>
      </c>
      <c r="P1475" s="53" t="s">
        <v>6183</v>
      </c>
      <c r="Q1475" s="53" t="s">
        <v>6176</v>
      </c>
      <c r="R1475" s="53" t="s">
        <v>6185</v>
      </c>
      <c r="S1475" s="53" t="s">
        <v>6176</v>
      </c>
      <c r="T1475" s="48">
        <v>252.72</v>
      </c>
      <c r="U1475" s="98"/>
      <c r="V1475" s="98">
        <v>0.91761633428300093</v>
      </c>
      <c r="W1475" s="98">
        <v>1.7782794100389223</v>
      </c>
      <c r="X1475" s="98">
        <f t="shared" si="387"/>
        <v>1.7782794100389223</v>
      </c>
      <c r="Y1475" s="233">
        <v>7</v>
      </c>
      <c r="Z1475" s="48">
        <v>2.33</v>
      </c>
      <c r="AA1475" s="48"/>
      <c r="AB1475" s="48">
        <v>1.55</v>
      </c>
      <c r="AC1475" s="48">
        <v>0.67530000000000001</v>
      </c>
      <c r="AD1475" s="48">
        <v>1.22</v>
      </c>
      <c r="AE1475" s="48">
        <v>0.55000000000000004</v>
      </c>
      <c r="AF1475" s="48">
        <f t="shared" si="385"/>
        <v>1.22</v>
      </c>
      <c r="AG1475" s="49">
        <v>2.0499999999999998</v>
      </c>
      <c r="AH1475" s="98">
        <v>2.4499999999999998E-10</v>
      </c>
      <c r="AI1475" s="98"/>
      <c r="AJ1475" s="483">
        <f t="shared" si="383"/>
        <v>-7.9994002419481189</v>
      </c>
      <c r="AK1475" s="483"/>
      <c r="AL1475" s="483">
        <f t="shared" si="381"/>
        <v>-7.9994002419481189</v>
      </c>
      <c r="AM1475" s="483">
        <v>-13.170950000000001</v>
      </c>
      <c r="AN1475" s="226">
        <v>-13</v>
      </c>
      <c r="AO1475" s="484"/>
      <c r="AP1475" s="484"/>
      <c r="AQ1475" s="226" t="s">
        <v>6311</v>
      </c>
      <c r="AR1475" s="226" t="s">
        <v>6311</v>
      </c>
      <c r="AS1475" s="224" t="s">
        <v>63</v>
      </c>
      <c r="AT1475" s="50" t="s">
        <v>266</v>
      </c>
      <c r="AU1475" s="48">
        <v>8</v>
      </c>
      <c r="AV1475" s="48">
        <v>144</v>
      </c>
      <c r="AW1475" s="48">
        <v>120</v>
      </c>
      <c r="AX1475" s="48">
        <v>26</v>
      </c>
      <c r="AY1475" s="48" t="s">
        <v>267</v>
      </c>
      <c r="AZ1475" s="48" t="s">
        <v>2253</v>
      </c>
      <c r="BA1475" s="48">
        <v>2</v>
      </c>
      <c r="BB1475" s="47" t="s">
        <v>2254</v>
      </c>
      <c r="BC1475" s="47" t="s">
        <v>270</v>
      </c>
      <c r="BD1475" s="47" t="s">
        <v>8374</v>
      </c>
      <c r="BE1475" s="48" t="s">
        <v>1712</v>
      </c>
      <c r="BF1475" s="48" t="s">
        <v>272</v>
      </c>
      <c r="BG1475" s="48" t="s">
        <v>272</v>
      </c>
      <c r="BH1475" s="48" t="s">
        <v>2255</v>
      </c>
      <c r="BI1475" s="98">
        <v>9.9999999999999995E-7</v>
      </c>
      <c r="BJ1475" s="98">
        <v>0.08</v>
      </c>
      <c r="BK1475" s="48"/>
      <c r="BL1475" s="98">
        <f t="shared" si="382"/>
        <v>0.41517099033465132</v>
      </c>
      <c r="BM1475" s="48" t="s">
        <v>891</v>
      </c>
      <c r="BN1475" s="233"/>
      <c r="BO1475" s="233"/>
      <c r="BP1475" s="233"/>
      <c r="BQ1475" s="233"/>
      <c r="BR1475" s="233"/>
      <c r="BS1475" s="48"/>
      <c r="BT1475" s="233"/>
      <c r="BU1475" s="228"/>
      <c r="BV1475" s="233"/>
      <c r="BW1475" s="233"/>
      <c r="BX1475" s="233"/>
      <c r="BY1475" s="233"/>
      <c r="BZ1475" s="233"/>
      <c r="CA1475" s="233"/>
      <c r="CB1475" s="233"/>
      <c r="CC1475" s="48"/>
      <c r="CD1475" s="48"/>
      <c r="CE1475" s="48"/>
      <c r="CF1475" s="48"/>
      <c r="CG1475" s="233"/>
      <c r="CH1475" s="48"/>
      <c r="CI1475" s="98"/>
      <c r="CJ1475" s="98"/>
      <c r="CK1475" s="49">
        <f t="shared" si="377"/>
        <v>5.1896373791831412</v>
      </c>
      <c r="CL1475" s="229"/>
      <c r="CM1475" s="229"/>
      <c r="CN1475" s="229"/>
      <c r="CO1475" s="47" t="s">
        <v>892</v>
      </c>
      <c r="CP1475" s="47" t="s">
        <v>893</v>
      </c>
      <c r="CQ1475" s="224">
        <v>-0.80654594007683755</v>
      </c>
      <c r="CR1475" s="224">
        <f>10^(CJ1475-CQ1475)</f>
        <v>6.4053953485738022</v>
      </c>
      <c r="CS1475" s="230" t="s">
        <v>539</v>
      </c>
      <c r="CT1475" s="230"/>
      <c r="CU1475" s="230"/>
      <c r="CV1475" s="335">
        <f t="shared" si="380"/>
        <v>22.228492625486528</v>
      </c>
      <c r="CW1475" s="230">
        <f t="shared" si="386"/>
        <v>1</v>
      </c>
      <c r="CX1475" s="336" t="s">
        <v>539</v>
      </c>
      <c r="CY1475" s="230" t="s">
        <v>5921</v>
      </c>
    </row>
    <row r="1476" spans="1:103" ht="11.25" customHeight="1" x14ac:dyDescent="0.2">
      <c r="A1476" s="72">
        <v>1474</v>
      </c>
      <c r="B1476" s="224">
        <v>1298</v>
      </c>
      <c r="C1476" s="46" t="s">
        <v>7504</v>
      </c>
      <c r="D1476" s="46"/>
      <c r="E1476" s="114"/>
      <c r="F1476" s="114" t="s">
        <v>3564</v>
      </c>
      <c r="G1476" s="225">
        <v>111988499</v>
      </c>
      <c r="H1476" s="47" t="s">
        <v>3565</v>
      </c>
      <c r="I1476" s="47" t="s">
        <v>8161</v>
      </c>
      <c r="J1476" s="47" t="s">
        <v>3566</v>
      </c>
      <c r="K1476" s="47" t="s">
        <v>2432</v>
      </c>
      <c r="L1476" s="47" t="s">
        <v>617</v>
      </c>
      <c r="M1476" s="47" t="s">
        <v>2433</v>
      </c>
      <c r="N1476" s="47" t="s">
        <v>6612</v>
      </c>
      <c r="O1476" s="47" t="s">
        <v>918</v>
      </c>
      <c r="P1476" s="53"/>
      <c r="Q1476" s="53"/>
      <c r="R1476" s="53"/>
      <c r="S1476" s="53"/>
      <c r="T1476" s="48">
        <v>252.72</v>
      </c>
      <c r="U1476" s="98"/>
      <c r="V1476" s="98">
        <v>0.91761633428300093</v>
      </c>
      <c r="W1476" s="98">
        <v>1.7782794100389223</v>
      </c>
      <c r="X1476" s="98">
        <f t="shared" si="387"/>
        <v>1.7782794100389223</v>
      </c>
      <c r="Y1476" s="233">
        <v>7</v>
      </c>
      <c r="Z1476" s="48">
        <v>2.33</v>
      </c>
      <c r="AA1476" s="48"/>
      <c r="AB1476" s="48">
        <v>1.55</v>
      </c>
      <c r="AC1476" s="48">
        <v>0.67530000000000001</v>
      </c>
      <c r="AD1476" s="48">
        <v>1.22</v>
      </c>
      <c r="AE1476" s="48">
        <v>0.55000000000000004</v>
      </c>
      <c r="AF1476" s="48">
        <f t="shared" si="385"/>
        <v>1.22</v>
      </c>
      <c r="AG1476" s="49">
        <v>2.0499999999999998</v>
      </c>
      <c r="AH1476" s="98">
        <v>2.4499999999999998E-10</v>
      </c>
      <c r="AI1476" s="98"/>
      <c r="AJ1476" s="483">
        <f t="shared" si="383"/>
        <v>-7.9994002419481189</v>
      </c>
      <c r="AK1476" s="483"/>
      <c r="AL1476" s="483">
        <f t="shared" si="381"/>
        <v>-7.9994002419481189</v>
      </c>
      <c r="AM1476" s="483">
        <v>-13.170950000000001</v>
      </c>
      <c r="AN1476" s="226">
        <v>-13</v>
      </c>
      <c r="AO1476" s="484"/>
      <c r="AP1476" s="484"/>
      <c r="AQ1476" s="48" t="s">
        <v>6311</v>
      </c>
      <c r="AR1476" s="48" t="s">
        <v>6311</v>
      </c>
      <c r="AS1476" s="227"/>
      <c r="AT1476" s="50" t="s">
        <v>266</v>
      </c>
      <c r="AU1476" s="48">
        <v>6</v>
      </c>
      <c r="AV1476" s="48">
        <v>120</v>
      </c>
      <c r="AW1476" s="48">
        <v>114</v>
      </c>
      <c r="AX1476" s="48">
        <v>28</v>
      </c>
      <c r="AY1476" s="48" t="s">
        <v>8728</v>
      </c>
      <c r="AZ1476" s="48" t="s">
        <v>1563</v>
      </c>
      <c r="BA1476" s="48">
        <v>32</v>
      </c>
      <c r="BB1476" s="47" t="s">
        <v>2485</v>
      </c>
      <c r="BC1476" s="47" t="s">
        <v>8726</v>
      </c>
      <c r="BD1476" s="47" t="s">
        <v>8374</v>
      </c>
      <c r="BE1476" s="48" t="s">
        <v>2449</v>
      </c>
      <c r="BF1476" s="48" t="s">
        <v>272</v>
      </c>
      <c r="BG1476" s="48" t="s">
        <v>272</v>
      </c>
      <c r="BH1476" s="48" t="s">
        <v>2486</v>
      </c>
      <c r="BI1476" s="98">
        <v>6.3999999999999997E-6</v>
      </c>
      <c r="BJ1476" s="98">
        <v>6.4000000000000001E-2</v>
      </c>
      <c r="BK1476" s="48"/>
      <c r="BL1476" s="98">
        <f t="shared" si="382"/>
        <v>0.41517099033465132</v>
      </c>
      <c r="BM1476" s="47" t="s">
        <v>2487</v>
      </c>
      <c r="BN1476" s="48"/>
      <c r="BO1476" s="48"/>
      <c r="BP1476" s="48"/>
      <c r="BQ1476" s="48"/>
      <c r="BR1476" s="47" t="s">
        <v>2496</v>
      </c>
      <c r="BS1476" s="48"/>
      <c r="BT1476" s="48"/>
      <c r="BU1476" s="228">
        <v>6.3999999999999997E-5</v>
      </c>
      <c r="BV1476" s="48"/>
      <c r="BW1476" s="48"/>
      <c r="BX1476" s="48"/>
      <c r="BY1476" s="48"/>
      <c r="BZ1476" s="48"/>
      <c r="CA1476" s="48"/>
      <c r="CB1476" s="48"/>
      <c r="CC1476" s="48"/>
      <c r="CD1476" s="48"/>
      <c r="CE1476" s="48"/>
      <c r="CF1476" s="48"/>
      <c r="CG1476" s="48"/>
      <c r="CH1476" s="48"/>
      <c r="CI1476" s="98"/>
      <c r="CJ1476" s="98"/>
      <c r="CK1476" s="49">
        <f t="shared" si="377"/>
        <v>6.4870467239789269</v>
      </c>
      <c r="CL1476" s="229"/>
      <c r="CM1476" s="229"/>
      <c r="CN1476" s="229"/>
      <c r="CO1476" s="47" t="s">
        <v>2488</v>
      </c>
      <c r="CP1476" s="47" t="s">
        <v>2489</v>
      </c>
      <c r="CQ1476" s="224">
        <v>-0.80654594007683755</v>
      </c>
      <c r="CR1476" s="224">
        <f>10^(CJ1476-CQ1476)</f>
        <v>6.4053953485738022</v>
      </c>
      <c r="CS1476" s="230" t="s">
        <v>539</v>
      </c>
      <c r="CT1476" s="230"/>
      <c r="CU1476" s="230"/>
      <c r="CV1476" s="335">
        <f t="shared" si="380"/>
        <v>27.785615781858162</v>
      </c>
      <c r="CW1476" s="230">
        <f t="shared" si="386"/>
        <v>1</v>
      </c>
      <c r="CX1476" s="336"/>
      <c r="CY1476" s="230" t="s">
        <v>5921</v>
      </c>
    </row>
    <row r="1477" spans="1:103" ht="11.25" customHeight="1" x14ac:dyDescent="0.2">
      <c r="A1477" s="72">
        <v>1475</v>
      </c>
      <c r="B1477" s="224">
        <v>1339</v>
      </c>
      <c r="C1477" s="46" t="s">
        <v>7505</v>
      </c>
      <c r="D1477" s="46"/>
      <c r="E1477" s="114"/>
      <c r="F1477" s="114" t="s">
        <v>4149</v>
      </c>
      <c r="G1477" s="225">
        <v>112398080</v>
      </c>
      <c r="H1477" s="47"/>
      <c r="I1477" s="47"/>
      <c r="J1477" s="47" t="s">
        <v>4150</v>
      </c>
      <c r="K1477" s="47"/>
      <c r="L1477" s="47"/>
      <c r="M1477" s="47"/>
      <c r="N1477" s="47"/>
      <c r="O1477" s="47"/>
      <c r="P1477" s="53"/>
      <c r="Q1477" s="53"/>
      <c r="R1477" s="53"/>
      <c r="S1477" s="53"/>
      <c r="T1477" s="48">
        <v>357.38299999999998</v>
      </c>
      <c r="U1477" s="98"/>
      <c r="V1477" s="98"/>
      <c r="W1477" s="98">
        <v>6.3095734448019216E-3</v>
      </c>
      <c r="X1477" s="98">
        <f t="shared" si="387"/>
        <v>6.3095734448019216E-3</v>
      </c>
      <c r="Y1477" s="233">
        <v>8.57</v>
      </c>
      <c r="Z1477" s="48"/>
      <c r="AA1477" s="48"/>
      <c r="AB1477" s="48"/>
      <c r="AC1477" s="48"/>
      <c r="AD1477" s="48"/>
      <c r="AE1477" s="48"/>
      <c r="AF1477" s="48"/>
      <c r="AG1477" s="49">
        <v>-1.75</v>
      </c>
      <c r="AH1477" s="98"/>
      <c r="AI1477" s="98"/>
      <c r="AJ1477" s="483"/>
      <c r="AK1477" s="483"/>
      <c r="AL1477" s="483"/>
      <c r="AM1477" s="483"/>
      <c r="AN1477" s="226">
        <v>-13.4</v>
      </c>
      <c r="AO1477" s="484"/>
      <c r="AP1477" s="484">
        <v>9.09</v>
      </c>
      <c r="AQ1477" s="48" t="s">
        <v>6311</v>
      </c>
      <c r="AR1477" s="48" t="s">
        <v>6311</v>
      </c>
      <c r="AS1477" s="224" t="s">
        <v>1154</v>
      </c>
      <c r="AT1477" s="50" t="s">
        <v>266</v>
      </c>
      <c r="AU1477" s="48">
        <v>0</v>
      </c>
      <c r="AV1477" s="48">
        <v>144</v>
      </c>
      <c r="AW1477" s="48">
        <v>144</v>
      </c>
      <c r="AX1477" s="48">
        <v>25</v>
      </c>
      <c r="AY1477" s="48" t="s">
        <v>8722</v>
      </c>
      <c r="AZ1477" s="48" t="s">
        <v>2175</v>
      </c>
      <c r="BA1477" s="48" t="s">
        <v>8722</v>
      </c>
      <c r="BB1477" s="47" t="s">
        <v>2176</v>
      </c>
      <c r="BC1477" s="47" t="s">
        <v>538</v>
      </c>
      <c r="BD1477" s="47"/>
      <c r="BE1477" s="48" t="s">
        <v>271</v>
      </c>
      <c r="BF1477" s="48" t="s">
        <v>1974</v>
      </c>
      <c r="BG1477" s="48" t="s">
        <v>1974</v>
      </c>
      <c r="BH1477" s="48" t="s">
        <v>2177</v>
      </c>
      <c r="BI1477" s="98" t="s">
        <v>4137</v>
      </c>
      <c r="BJ1477" s="98">
        <f>1/T1477</f>
        <v>2.7981185450902816E-3</v>
      </c>
      <c r="BK1477" s="48" t="s">
        <v>2178</v>
      </c>
      <c r="BL1477" s="98"/>
      <c r="BM1477" s="48" t="s">
        <v>541</v>
      </c>
      <c r="BN1477" s="48"/>
      <c r="BO1477" s="48"/>
      <c r="BP1477" s="48"/>
      <c r="BQ1477" s="48"/>
      <c r="BR1477" s="48"/>
      <c r="BS1477" s="48"/>
      <c r="BT1477" s="48"/>
      <c r="BU1477" s="228"/>
      <c r="BV1477" s="48"/>
      <c r="BW1477" s="48"/>
      <c r="BX1477" s="48"/>
      <c r="BY1477" s="48"/>
      <c r="BZ1477" s="48"/>
      <c r="CA1477" s="48"/>
      <c r="CB1477" s="48"/>
      <c r="CC1477" s="48"/>
      <c r="CD1477" s="48"/>
      <c r="CE1477" s="48"/>
      <c r="CF1477" s="48"/>
      <c r="CG1477" s="48"/>
      <c r="CH1477" s="48"/>
      <c r="CI1477" s="98"/>
      <c r="CJ1477" s="98"/>
      <c r="CK1477" s="49">
        <f t="shared" si="377"/>
        <v>0</v>
      </c>
      <c r="CL1477" s="229"/>
      <c r="CM1477" s="229"/>
      <c r="CN1477" s="229"/>
      <c r="CO1477" s="47"/>
      <c r="CP1477" s="47" t="s">
        <v>2180</v>
      </c>
      <c r="CQ1477" s="224" t="s">
        <v>272</v>
      </c>
      <c r="CR1477" s="224"/>
      <c r="CS1477" s="230" t="s">
        <v>539</v>
      </c>
      <c r="CT1477" s="230" t="s">
        <v>6310</v>
      </c>
      <c r="CU1477" s="230"/>
      <c r="CV1477" s="335">
        <f t="shared" si="380"/>
        <v>2.2549342864236448</v>
      </c>
      <c r="CW1477" s="230">
        <f t="shared" si="386"/>
        <v>1</v>
      </c>
      <c r="CX1477" s="336" t="s">
        <v>539</v>
      </c>
      <c r="CY1477" s="230" t="s">
        <v>5921</v>
      </c>
    </row>
    <row r="1478" spans="1:103" ht="11.25" customHeight="1" x14ac:dyDescent="0.2">
      <c r="A1478" s="72">
        <v>1476</v>
      </c>
      <c r="B1478" s="224">
        <v>1821</v>
      </c>
      <c r="C1478" s="46" t="s">
        <v>7506</v>
      </c>
      <c r="D1478" s="46"/>
      <c r="E1478" s="114"/>
      <c r="F1478" s="114" t="s">
        <v>5225</v>
      </c>
      <c r="G1478" s="225">
        <v>112529154</v>
      </c>
      <c r="H1478" s="47" t="s">
        <v>5226</v>
      </c>
      <c r="I1478" s="47" t="s">
        <v>7848</v>
      </c>
      <c r="J1478" s="47" t="s">
        <v>5227</v>
      </c>
      <c r="K1478" s="47" t="s">
        <v>376</v>
      </c>
      <c r="L1478" s="47"/>
      <c r="M1478" s="47"/>
      <c r="N1478" s="47"/>
      <c r="O1478" s="47"/>
      <c r="P1478" s="53"/>
      <c r="Q1478" s="53"/>
      <c r="R1478" s="53"/>
      <c r="S1478" s="53"/>
      <c r="T1478" s="48">
        <v>610.55999999999995</v>
      </c>
      <c r="U1478" s="98"/>
      <c r="V1478" s="98">
        <v>3.3428328092243191</v>
      </c>
      <c r="W1478" s="98">
        <v>4.265795188015923E-2</v>
      </c>
      <c r="X1478" s="98">
        <f t="shared" si="387"/>
        <v>4.265795188015923E-2</v>
      </c>
      <c r="Y1478" s="233">
        <v>5.76</v>
      </c>
      <c r="Z1478" s="48">
        <v>-0.69</v>
      </c>
      <c r="AA1478" s="48"/>
      <c r="AB1478" s="48">
        <v>-0.39</v>
      </c>
      <c r="AC1478" s="48">
        <v>0.72440000000000004</v>
      </c>
      <c r="AD1478" s="48">
        <v>0.47</v>
      </c>
      <c r="AE1478" s="48">
        <v>2.44</v>
      </c>
      <c r="AF1478" s="48">
        <f t="shared" ref="AF1478:AF1489" si="388">IF(AA1478=0,AD1478,AA1478)</f>
        <v>0.47</v>
      </c>
      <c r="AG1478" s="49">
        <v>-0.46</v>
      </c>
      <c r="AH1478" s="98">
        <v>4.47E-33</v>
      </c>
      <c r="AI1478" s="98"/>
      <c r="AJ1478" s="483">
        <f t="shared" ref="AJ1478:AJ1497" si="389">LOG10(AH1478*1000/(0.08206*298.15))</f>
        <v>-30.738258803180717</v>
      </c>
      <c r="AK1478" s="483"/>
      <c r="AL1478" s="483">
        <f t="shared" ref="AL1478:AL1497" si="390">IF(AK1478=0,AJ1478,AK1478)</f>
        <v>-30.738258803180717</v>
      </c>
      <c r="AM1478" s="483">
        <v>-44.547989999999999</v>
      </c>
      <c r="AN1478" s="226">
        <v>-31.2</v>
      </c>
      <c r="AO1478" s="484">
        <v>7.14</v>
      </c>
      <c r="AP1478" s="484"/>
      <c r="AQ1478" s="226" t="s">
        <v>6311</v>
      </c>
      <c r="AR1478" s="226" t="s">
        <v>6311</v>
      </c>
      <c r="AS1478" s="224"/>
      <c r="AT1478" s="50" t="s">
        <v>266</v>
      </c>
      <c r="AU1478" s="48">
        <v>6</v>
      </c>
      <c r="AV1478" s="48">
        <v>120</v>
      </c>
      <c r="AW1478" s="48">
        <v>114</v>
      </c>
      <c r="AX1478" s="48">
        <v>28</v>
      </c>
      <c r="AY1478" s="48" t="s">
        <v>8728</v>
      </c>
      <c r="AZ1478" s="48" t="s">
        <v>1563</v>
      </c>
      <c r="BA1478" s="48">
        <v>32</v>
      </c>
      <c r="BB1478" s="47" t="s">
        <v>2485</v>
      </c>
      <c r="BC1478" s="47" t="s">
        <v>8726</v>
      </c>
      <c r="BD1478" s="47" t="s">
        <v>8374</v>
      </c>
      <c r="BE1478" s="48" t="s">
        <v>2449</v>
      </c>
      <c r="BF1478" s="48" t="s">
        <v>272</v>
      </c>
      <c r="BG1478" s="48" t="s">
        <v>272</v>
      </c>
      <c r="BH1478" s="48" t="s">
        <v>2486</v>
      </c>
      <c r="BI1478" s="98">
        <v>6.3999999999999997E-6</v>
      </c>
      <c r="BJ1478" s="98">
        <v>6.4000000000000001E-2</v>
      </c>
      <c r="BK1478" s="48"/>
      <c r="BL1478" s="98">
        <f t="shared" ref="BL1478:BL1489" si="391">10^((-0.8981*Z1478)+1.7108)</f>
        <v>214.03707138423789</v>
      </c>
      <c r="BM1478" s="47" t="s">
        <v>2487</v>
      </c>
      <c r="BN1478" s="48"/>
      <c r="BO1478" s="48"/>
      <c r="BP1478" s="48"/>
      <c r="BQ1478" s="48"/>
      <c r="BR1478" s="47" t="s">
        <v>2496</v>
      </c>
      <c r="BS1478" s="48"/>
      <c r="BT1478" s="48"/>
      <c r="BU1478" s="228"/>
      <c r="BV1478" s="48"/>
      <c r="BW1478" s="48"/>
      <c r="BX1478" s="48"/>
      <c r="BY1478" s="48"/>
      <c r="BZ1478" s="48"/>
      <c r="CA1478" s="48"/>
      <c r="CB1478" s="48"/>
      <c r="CC1478" s="48"/>
      <c r="CD1478" s="48"/>
      <c r="CE1478" s="48"/>
      <c r="CF1478" s="48"/>
      <c r="CG1478" s="48"/>
      <c r="CH1478" s="48"/>
      <c r="CI1478" s="98"/>
      <c r="CJ1478" s="98"/>
      <c r="CK1478" s="49">
        <f t="shared" ref="CK1478:CK1541" si="392">BL1478/BJ1478</f>
        <v>3344.3292403787168</v>
      </c>
      <c r="CL1478" s="229"/>
      <c r="CM1478" s="229"/>
      <c r="CN1478" s="229"/>
      <c r="CO1478" s="47" t="s">
        <v>2488</v>
      </c>
      <c r="CP1478" s="47" t="s">
        <v>2489</v>
      </c>
      <c r="CQ1478" s="224" t="s">
        <v>272</v>
      </c>
      <c r="CR1478" s="224"/>
      <c r="CS1478" s="230" t="s">
        <v>539</v>
      </c>
      <c r="CT1478" s="230"/>
      <c r="CU1478" s="230"/>
      <c r="CV1478" s="335">
        <f t="shared" si="380"/>
        <v>0.66653049812748799</v>
      </c>
      <c r="CW1478" s="230">
        <f t="shared" si="386"/>
        <v>0</v>
      </c>
      <c r="CX1478" s="336"/>
      <c r="CY1478" s="230" t="s">
        <v>5921</v>
      </c>
    </row>
    <row r="1479" spans="1:103" ht="11.25" customHeight="1" x14ac:dyDescent="0.2">
      <c r="A1479" s="72">
        <v>1477</v>
      </c>
      <c r="B1479" s="224">
        <v>1935</v>
      </c>
      <c r="C1479" s="46" t="s">
        <v>7507</v>
      </c>
      <c r="D1479" s="46"/>
      <c r="E1479" s="114"/>
      <c r="F1479" s="114" t="s">
        <v>5430</v>
      </c>
      <c r="G1479" s="225">
        <v>112733069</v>
      </c>
      <c r="H1479" s="47" t="s">
        <v>5431</v>
      </c>
      <c r="I1479" s="47" t="s">
        <v>7778</v>
      </c>
      <c r="J1479" s="47" t="s">
        <v>5432</v>
      </c>
      <c r="K1479" s="47" t="s">
        <v>3315</v>
      </c>
      <c r="L1479" s="47"/>
      <c r="M1479" s="47"/>
      <c r="N1479" s="47"/>
      <c r="O1479" s="47"/>
      <c r="P1479" s="53"/>
      <c r="Q1479" s="53"/>
      <c r="R1479" s="53"/>
      <c r="S1479" s="53"/>
      <c r="T1479" s="48">
        <v>284.72000000000003</v>
      </c>
      <c r="U1479" s="98"/>
      <c r="V1479" s="98">
        <v>28.923152570946893</v>
      </c>
      <c r="W1479" s="98">
        <v>1.0715193052376053</v>
      </c>
      <c r="X1479" s="98">
        <f t="shared" si="387"/>
        <v>1.0715193052376053</v>
      </c>
      <c r="Y1479" s="233">
        <v>4.32</v>
      </c>
      <c r="Z1479" s="48">
        <v>0.31</v>
      </c>
      <c r="AA1479" s="48"/>
      <c r="AB1479" s="48">
        <v>1.02</v>
      </c>
      <c r="AC1479" s="48">
        <v>0.86670000000000003</v>
      </c>
      <c r="AD1479" s="48">
        <v>1.1599999999999999</v>
      </c>
      <c r="AE1479" s="48">
        <v>1.62</v>
      </c>
      <c r="AF1479" s="48">
        <f t="shared" si="388"/>
        <v>1.1599999999999999</v>
      </c>
      <c r="AG1479" s="49">
        <v>1.1599999999999999</v>
      </c>
      <c r="AH1479" s="98">
        <v>2.0900000000000002E-12</v>
      </c>
      <c r="AI1479" s="98"/>
      <c r="AJ1479" s="483">
        <f t="shared" si="389"/>
        <v>-10.068420040201598</v>
      </c>
      <c r="AK1479" s="483"/>
      <c r="AL1479" s="483">
        <f t="shared" si="390"/>
        <v>-10.068420040201598</v>
      </c>
      <c r="AM1479" s="483">
        <v>-19.350699999999996</v>
      </c>
      <c r="AN1479" s="226"/>
      <c r="AO1479" s="484">
        <v>5.65</v>
      </c>
      <c r="AP1479" s="484">
        <v>1.1200000000000001</v>
      </c>
      <c r="AQ1479" s="226" t="s">
        <v>6311</v>
      </c>
      <c r="AR1479" s="226" t="s">
        <v>6311</v>
      </c>
      <c r="AS1479" s="224"/>
      <c r="AT1479" s="50" t="s">
        <v>266</v>
      </c>
      <c r="AU1479" s="48">
        <v>6</v>
      </c>
      <c r="AV1479" s="48">
        <v>120</v>
      </c>
      <c r="AW1479" s="48">
        <v>114</v>
      </c>
      <c r="AX1479" s="48">
        <v>28</v>
      </c>
      <c r="AY1479" s="48" t="s">
        <v>8728</v>
      </c>
      <c r="AZ1479" s="48" t="s">
        <v>1563</v>
      </c>
      <c r="BA1479" s="48">
        <v>32</v>
      </c>
      <c r="BB1479" s="47" t="s">
        <v>2485</v>
      </c>
      <c r="BC1479" s="47" t="s">
        <v>8726</v>
      </c>
      <c r="BD1479" s="47" t="s">
        <v>8374</v>
      </c>
      <c r="BE1479" s="48" t="s">
        <v>2449</v>
      </c>
      <c r="BF1479" s="48" t="s">
        <v>272</v>
      </c>
      <c r="BG1479" s="48" t="s">
        <v>272</v>
      </c>
      <c r="BH1479" s="48" t="s">
        <v>2486</v>
      </c>
      <c r="BI1479" s="98">
        <v>6.3999999999999997E-6</v>
      </c>
      <c r="BJ1479" s="98">
        <v>6.4000000000000001E-2</v>
      </c>
      <c r="BK1479" s="48"/>
      <c r="BL1479" s="98">
        <f t="shared" si="391"/>
        <v>27.063813997622262</v>
      </c>
      <c r="BM1479" s="47" t="s">
        <v>2487</v>
      </c>
      <c r="BN1479" s="48"/>
      <c r="BO1479" s="48"/>
      <c r="BP1479" s="48"/>
      <c r="BQ1479" s="48"/>
      <c r="BR1479" s="47" t="s">
        <v>2496</v>
      </c>
      <c r="BS1479" s="48"/>
      <c r="BT1479" s="48"/>
      <c r="BU1479" s="228"/>
      <c r="BV1479" s="48"/>
      <c r="BW1479" s="48"/>
      <c r="BX1479" s="48"/>
      <c r="BY1479" s="48"/>
      <c r="BZ1479" s="48"/>
      <c r="CA1479" s="48"/>
      <c r="CB1479" s="48"/>
      <c r="CC1479" s="48"/>
      <c r="CD1479" s="48"/>
      <c r="CE1479" s="48"/>
      <c r="CF1479" s="48"/>
      <c r="CG1479" s="48"/>
      <c r="CH1479" s="48"/>
      <c r="CI1479" s="98"/>
      <c r="CJ1479" s="98"/>
      <c r="CK1479" s="49">
        <f t="shared" si="392"/>
        <v>422.87209371284786</v>
      </c>
      <c r="CL1479" s="229"/>
      <c r="CM1479" s="229"/>
      <c r="CN1479" s="229"/>
      <c r="CO1479" s="47" t="s">
        <v>2488</v>
      </c>
      <c r="CP1479" s="47" t="s">
        <v>2489</v>
      </c>
      <c r="CQ1479" s="224" t="s">
        <v>272</v>
      </c>
      <c r="CR1479" s="224"/>
      <c r="CS1479" s="230" t="s">
        <v>539</v>
      </c>
      <c r="CT1479" s="230"/>
      <c r="CU1479" s="230"/>
      <c r="CV1479" s="335">
        <f t="shared" si="380"/>
        <v>16.742489144337583</v>
      </c>
      <c r="CW1479" s="230">
        <f t="shared" si="386"/>
        <v>1</v>
      </c>
      <c r="CX1479" s="336"/>
      <c r="CY1479" s="230" t="s">
        <v>5921</v>
      </c>
    </row>
    <row r="1480" spans="1:103" ht="11.25" customHeight="1" x14ac:dyDescent="0.2">
      <c r="A1480" s="72">
        <v>1478</v>
      </c>
      <c r="B1480" s="224">
        <v>183</v>
      </c>
      <c r="C1480" s="46" t="s">
        <v>7508</v>
      </c>
      <c r="D1480" s="46"/>
      <c r="E1480" s="114"/>
      <c r="F1480" s="114" t="s">
        <v>3672</v>
      </c>
      <c r="G1480" s="225">
        <v>113734182</v>
      </c>
      <c r="H1480" s="236" t="s">
        <v>3673</v>
      </c>
      <c r="I1480" s="236" t="s">
        <v>8162</v>
      </c>
      <c r="J1480" s="236" t="s">
        <v>3674</v>
      </c>
      <c r="K1480" s="236" t="s">
        <v>3675</v>
      </c>
      <c r="L1480" s="47"/>
      <c r="M1480" s="47"/>
      <c r="N1480" s="47"/>
      <c r="O1480" s="52"/>
      <c r="P1480" s="53"/>
      <c r="Q1480" s="53"/>
      <c r="R1480" s="53"/>
      <c r="S1480" s="53"/>
      <c r="T1480" s="226">
        <v>404.41</v>
      </c>
      <c r="U1480" s="98"/>
      <c r="V1480" s="98">
        <v>8.0561806087881105E-2</v>
      </c>
      <c r="W1480" s="98">
        <v>0.97723722095581023</v>
      </c>
      <c r="X1480" s="98">
        <f t="shared" si="387"/>
        <v>0.97723722095581023</v>
      </c>
      <c r="Y1480" s="233">
        <v>6.06</v>
      </c>
      <c r="Z1480" s="48">
        <v>-0.15</v>
      </c>
      <c r="AA1480" s="48"/>
      <c r="AB1480" s="48">
        <v>1.62</v>
      </c>
      <c r="AC1480" s="48">
        <v>0.57479999999999998</v>
      </c>
      <c r="AD1480" s="48">
        <v>1.67</v>
      </c>
      <c r="AE1480" s="48">
        <v>1.75</v>
      </c>
      <c r="AF1480" s="48">
        <f t="shared" si="388"/>
        <v>1.67</v>
      </c>
      <c r="AG1480" s="48">
        <v>2.94</v>
      </c>
      <c r="AH1480" s="98">
        <v>8.0200000000000005E-18</v>
      </c>
      <c r="AI1480" s="98"/>
      <c r="AJ1480" s="483">
        <f t="shared" si="389"/>
        <v>-15.484391958028489</v>
      </c>
      <c r="AK1480" s="483"/>
      <c r="AL1480" s="483">
        <f t="shared" si="390"/>
        <v>-15.484391958028489</v>
      </c>
      <c r="AM1480" s="483">
        <v>-20.301399999999997</v>
      </c>
      <c r="AN1480" s="48">
        <v>-19.149999999999999</v>
      </c>
      <c r="AO1480" s="484">
        <v>3.18</v>
      </c>
      <c r="AP1480" s="484">
        <v>8.8000000000000007</v>
      </c>
      <c r="AQ1480" s="48" t="s">
        <v>6311</v>
      </c>
      <c r="AR1480" s="48" t="s">
        <v>6311</v>
      </c>
      <c r="AS1480" s="227"/>
      <c r="AT1480" s="50" t="s">
        <v>266</v>
      </c>
      <c r="AU1480" s="48">
        <v>6</v>
      </c>
      <c r="AV1480" s="48">
        <v>120</v>
      </c>
      <c r="AW1480" s="48">
        <v>114</v>
      </c>
      <c r="AX1480" s="48">
        <v>28</v>
      </c>
      <c r="AY1480" s="48" t="s">
        <v>8728</v>
      </c>
      <c r="AZ1480" s="48" t="s">
        <v>1563</v>
      </c>
      <c r="BA1480" s="48">
        <v>32</v>
      </c>
      <c r="BB1480" s="47" t="s">
        <v>2485</v>
      </c>
      <c r="BC1480" s="47" t="s">
        <v>8726</v>
      </c>
      <c r="BD1480" s="47" t="s">
        <v>8374</v>
      </c>
      <c r="BE1480" s="48" t="s">
        <v>2449</v>
      </c>
      <c r="BF1480" s="48" t="s">
        <v>272</v>
      </c>
      <c r="BG1480" s="48" t="s">
        <v>272</v>
      </c>
      <c r="BH1480" s="48" t="s">
        <v>2486</v>
      </c>
      <c r="BI1480" s="98">
        <v>6.3999999999999997E-6</v>
      </c>
      <c r="BJ1480" s="98">
        <v>6.4000000000000001E-2</v>
      </c>
      <c r="BK1480" s="48"/>
      <c r="BL1480" s="98">
        <f t="shared" si="391"/>
        <v>70.067238281424693</v>
      </c>
      <c r="BM1480" s="47" t="s">
        <v>2487</v>
      </c>
      <c r="BN1480" s="48"/>
      <c r="BO1480" s="48"/>
      <c r="BP1480" s="48"/>
      <c r="BQ1480" s="48"/>
      <c r="BR1480" s="47" t="s">
        <v>2496</v>
      </c>
      <c r="BS1480" s="48"/>
      <c r="BT1480" s="48"/>
      <c r="BU1480" s="228"/>
      <c r="BV1480" s="48"/>
      <c r="BW1480" s="48"/>
      <c r="BX1480" s="48"/>
      <c r="BY1480" s="48"/>
      <c r="BZ1480" s="48"/>
      <c r="CA1480" s="48"/>
      <c r="CB1480" s="48"/>
      <c r="CC1480" s="48"/>
      <c r="CD1480" s="48"/>
      <c r="CE1480" s="48"/>
      <c r="CF1480" s="48"/>
      <c r="CG1480" s="48"/>
      <c r="CH1480" s="48"/>
      <c r="CI1480" s="98"/>
      <c r="CJ1480" s="98"/>
      <c r="CK1480" s="49">
        <f t="shared" si="392"/>
        <v>1094.8005981472609</v>
      </c>
      <c r="CL1480" s="229"/>
      <c r="CM1480" s="229"/>
      <c r="CN1480" s="229"/>
      <c r="CO1480" s="47" t="s">
        <v>2488</v>
      </c>
      <c r="CP1480" s="47" t="s">
        <v>2489</v>
      </c>
      <c r="CQ1480" s="224" t="s">
        <v>272</v>
      </c>
      <c r="CR1480" s="224"/>
      <c r="CS1480" s="230" t="s">
        <v>539</v>
      </c>
      <c r="CT1480" s="230"/>
      <c r="CU1480" s="230"/>
      <c r="CV1480" s="335">
        <f t="shared" si="380"/>
        <v>15.269331577434535</v>
      </c>
      <c r="CW1480" s="230">
        <f t="shared" si="386"/>
        <v>1</v>
      </c>
      <c r="CX1480" s="336"/>
      <c r="CY1480" s="230" t="s">
        <v>5921</v>
      </c>
    </row>
    <row r="1481" spans="1:103" ht="11.25" customHeight="1" x14ac:dyDescent="0.2">
      <c r="A1481" s="72">
        <v>1479</v>
      </c>
      <c r="B1481" s="224">
        <v>1702</v>
      </c>
      <c r="C1481" s="46" t="s">
        <v>6666</v>
      </c>
      <c r="D1481" s="46"/>
      <c r="E1481" s="114"/>
      <c r="F1481" s="114" t="s">
        <v>1271</v>
      </c>
      <c r="G1481" s="225">
        <v>114311329</v>
      </c>
      <c r="H1481" s="47" t="s">
        <v>1272</v>
      </c>
      <c r="I1481" s="47" t="s">
        <v>1272</v>
      </c>
      <c r="J1481" s="47" t="s">
        <v>1273</v>
      </c>
      <c r="K1481" s="47" t="s">
        <v>471</v>
      </c>
      <c r="L1481" s="47"/>
      <c r="M1481" s="47"/>
      <c r="N1481" s="47"/>
      <c r="O1481" s="47"/>
      <c r="P1481" s="53"/>
      <c r="Q1481" s="53"/>
      <c r="R1481" s="53"/>
      <c r="S1481" s="53"/>
      <c r="T1481" s="48">
        <v>305.33</v>
      </c>
      <c r="U1481" s="98">
        <v>14.443389119968559</v>
      </c>
      <c r="V1481" s="98">
        <v>8.9083941964431936</v>
      </c>
      <c r="W1481" s="98">
        <v>7.7624711662869155</v>
      </c>
      <c r="X1481" s="98">
        <v>14.443389119968559</v>
      </c>
      <c r="Y1481" s="233">
        <v>2.82</v>
      </c>
      <c r="Z1481" s="48">
        <v>1.35</v>
      </c>
      <c r="AA1481" s="48">
        <v>0.73</v>
      </c>
      <c r="AB1481" s="48">
        <v>0.65</v>
      </c>
      <c r="AC1481" s="48">
        <v>0.88380000000000003</v>
      </c>
      <c r="AD1481" s="48">
        <v>0.61</v>
      </c>
      <c r="AE1481" s="48">
        <v>0.25</v>
      </c>
      <c r="AF1481" s="48">
        <f t="shared" si="388"/>
        <v>0.73</v>
      </c>
      <c r="AG1481" s="49">
        <v>1.08</v>
      </c>
      <c r="AH1481" s="98">
        <v>9.1499999999999995E-19</v>
      </c>
      <c r="AI1481" s="98"/>
      <c r="AJ1481" s="483">
        <f t="shared" si="389"/>
        <v>-16.427145232246204</v>
      </c>
      <c r="AK1481" s="483"/>
      <c r="AL1481" s="483">
        <f t="shared" si="390"/>
        <v>-16.427145232246204</v>
      </c>
      <c r="AM1481" s="483">
        <v>-19.604050000000001</v>
      </c>
      <c r="AN1481" s="226">
        <v>-18.100000000000001</v>
      </c>
      <c r="AO1481" s="484">
        <v>10.6</v>
      </c>
      <c r="AP1481" s="484">
        <v>3.17</v>
      </c>
      <c r="AQ1481" s="226" t="s">
        <v>6311</v>
      </c>
      <c r="AR1481" s="226" t="s">
        <v>6311</v>
      </c>
      <c r="AS1481" s="224"/>
      <c r="AT1481" s="50" t="s">
        <v>266</v>
      </c>
      <c r="AU1481" s="48">
        <v>6</v>
      </c>
      <c r="AV1481" s="48">
        <v>120</v>
      </c>
      <c r="AW1481" s="48">
        <v>114</v>
      </c>
      <c r="AX1481" s="48">
        <v>28</v>
      </c>
      <c r="AY1481" s="48" t="s">
        <v>8728</v>
      </c>
      <c r="AZ1481" s="48" t="s">
        <v>1563</v>
      </c>
      <c r="BA1481" s="48">
        <v>32</v>
      </c>
      <c r="BB1481" s="47" t="s">
        <v>2485</v>
      </c>
      <c r="BC1481" s="47" t="s">
        <v>8726</v>
      </c>
      <c r="BD1481" s="47" t="s">
        <v>8374</v>
      </c>
      <c r="BE1481" s="48" t="s">
        <v>2449</v>
      </c>
      <c r="BF1481" s="48" t="s">
        <v>272</v>
      </c>
      <c r="BG1481" s="48" t="s">
        <v>272</v>
      </c>
      <c r="BH1481" s="48" t="s">
        <v>2486</v>
      </c>
      <c r="BI1481" s="98">
        <v>6.3999999999999997E-6</v>
      </c>
      <c r="BJ1481" s="98">
        <v>6.4000000000000001E-2</v>
      </c>
      <c r="BK1481" s="48"/>
      <c r="BL1481" s="98">
        <f t="shared" si="391"/>
        <v>3.1503949309073138</v>
      </c>
      <c r="BM1481" s="47" t="s">
        <v>2487</v>
      </c>
      <c r="BN1481" s="48"/>
      <c r="BO1481" s="48"/>
      <c r="BP1481" s="48"/>
      <c r="BQ1481" s="48"/>
      <c r="BR1481" s="47" t="s">
        <v>2496</v>
      </c>
      <c r="BS1481" s="48"/>
      <c r="BT1481" s="48"/>
      <c r="BU1481" s="228"/>
      <c r="BV1481" s="48"/>
      <c r="BW1481" s="48"/>
      <c r="BX1481" s="48"/>
      <c r="BY1481" s="48"/>
      <c r="BZ1481" s="48"/>
      <c r="CA1481" s="48"/>
      <c r="CB1481" s="48"/>
      <c r="CC1481" s="48"/>
      <c r="CD1481" s="48"/>
      <c r="CE1481" s="48"/>
      <c r="CF1481" s="48"/>
      <c r="CG1481" s="48"/>
      <c r="CH1481" s="48"/>
      <c r="CI1481" s="98"/>
      <c r="CJ1481" s="98"/>
      <c r="CK1481" s="49">
        <f t="shared" si="392"/>
        <v>49.224920795426776</v>
      </c>
      <c r="CL1481" s="229"/>
      <c r="CM1481" s="229"/>
      <c r="CN1481" s="229"/>
      <c r="CO1481" s="47" t="s">
        <v>2488</v>
      </c>
      <c r="CP1481" s="47" t="s">
        <v>2489</v>
      </c>
      <c r="CQ1481" s="224" t="s">
        <v>272</v>
      </c>
      <c r="CR1481" s="224"/>
      <c r="CS1481" s="230" t="s">
        <v>539</v>
      </c>
      <c r="CT1481" s="230"/>
      <c r="CU1481" s="230"/>
      <c r="CV1481" s="335">
        <f t="shared" si="380"/>
        <v>225.67795499950873</v>
      </c>
      <c r="CW1481" s="230">
        <f t="shared" si="386"/>
        <v>1</v>
      </c>
      <c r="CX1481" s="336"/>
      <c r="CY1481" s="230" t="s">
        <v>5921</v>
      </c>
    </row>
    <row r="1482" spans="1:103" ht="11.25" customHeight="1" x14ac:dyDescent="0.2">
      <c r="A1482" s="72">
        <v>1480</v>
      </c>
      <c r="B1482" s="224">
        <v>1678</v>
      </c>
      <c r="C1482" s="46" t="s">
        <v>1239</v>
      </c>
      <c r="D1482" s="46" t="s">
        <v>6578</v>
      </c>
      <c r="E1482" s="114"/>
      <c r="F1482" s="114" t="s">
        <v>1240</v>
      </c>
      <c r="G1482" s="225">
        <v>117337196</v>
      </c>
      <c r="H1482" s="47" t="s">
        <v>1241</v>
      </c>
      <c r="I1482" s="47" t="s">
        <v>7911</v>
      </c>
      <c r="J1482" s="47" t="s">
        <v>1242</v>
      </c>
      <c r="K1482" s="47" t="s">
        <v>1243</v>
      </c>
      <c r="L1482" s="47" t="s">
        <v>5994</v>
      </c>
      <c r="M1482" s="47" t="s">
        <v>6082</v>
      </c>
      <c r="N1482" s="47" t="s">
        <v>6082</v>
      </c>
      <c r="O1482" s="47" t="s">
        <v>6083</v>
      </c>
      <c r="P1482" s="53"/>
      <c r="Q1482" s="53"/>
      <c r="R1482" s="53"/>
      <c r="S1482" s="53"/>
      <c r="T1482" s="48">
        <v>403.88</v>
      </c>
      <c r="U1482" s="98">
        <v>2.1045855204516193E-3</v>
      </c>
      <c r="V1482" s="98">
        <v>4.3280182232346238E-3</v>
      </c>
      <c r="W1482" s="98">
        <v>0.10715193052376051</v>
      </c>
      <c r="X1482" s="98">
        <v>2.1045855204516193E-3</v>
      </c>
      <c r="Y1482" s="233">
        <v>7</v>
      </c>
      <c r="Z1482" s="48">
        <v>2.59</v>
      </c>
      <c r="AA1482" s="48">
        <v>3.77</v>
      </c>
      <c r="AB1482" s="48">
        <v>3.8</v>
      </c>
      <c r="AC1482" s="48">
        <v>0.71419999999999995</v>
      </c>
      <c r="AD1482" s="48">
        <v>3.16</v>
      </c>
      <c r="AE1482" s="48">
        <v>1.4</v>
      </c>
      <c r="AF1482" s="48">
        <f t="shared" si="388"/>
        <v>3.77</v>
      </c>
      <c r="AG1482" s="49">
        <v>3.89</v>
      </c>
      <c r="AH1482" s="98">
        <v>8.7700000000000001E-15</v>
      </c>
      <c r="AI1482" s="98">
        <v>2.0700000000000001E-9</v>
      </c>
      <c r="AJ1482" s="483">
        <f t="shared" si="389"/>
        <v>-12.445566732946611</v>
      </c>
      <c r="AK1482" s="483">
        <f>LOG10(AI1482*1000/(0.08206*298.15))</f>
        <v>-7.0725959808557342</v>
      </c>
      <c r="AL1482" s="483">
        <f t="shared" si="390"/>
        <v>-7.0725959808557342</v>
      </c>
      <c r="AM1482" s="483">
        <v>-18.93338</v>
      </c>
      <c r="AN1482" s="226">
        <v>-11.4</v>
      </c>
      <c r="AO1482" s="484"/>
      <c r="AP1482" s="484">
        <v>-2.86</v>
      </c>
      <c r="AQ1482" s="226" t="s">
        <v>6311</v>
      </c>
      <c r="AR1482" s="226" t="s">
        <v>6314</v>
      </c>
      <c r="AS1482" s="224"/>
      <c r="AT1482" s="50" t="s">
        <v>266</v>
      </c>
      <c r="AU1482" s="48">
        <v>6</v>
      </c>
      <c r="AV1482" s="48">
        <v>120</v>
      </c>
      <c r="AW1482" s="48">
        <v>114</v>
      </c>
      <c r="AX1482" s="48">
        <v>28</v>
      </c>
      <c r="AY1482" s="48" t="s">
        <v>8728</v>
      </c>
      <c r="AZ1482" s="48" t="s">
        <v>1563</v>
      </c>
      <c r="BA1482" s="48">
        <v>32</v>
      </c>
      <c r="BB1482" s="47" t="s">
        <v>2485</v>
      </c>
      <c r="BC1482" s="47" t="s">
        <v>8726</v>
      </c>
      <c r="BD1482" s="47" t="s">
        <v>8374</v>
      </c>
      <c r="BE1482" s="48" t="s">
        <v>2449</v>
      </c>
      <c r="BF1482" s="48" t="s">
        <v>272</v>
      </c>
      <c r="BG1482" s="48" t="s">
        <v>272</v>
      </c>
      <c r="BH1482" s="48" t="s">
        <v>2486</v>
      </c>
      <c r="BI1482" s="98">
        <v>6.3999999999999997E-6</v>
      </c>
      <c r="BJ1482" s="98">
        <v>6.4000000000000001E-2</v>
      </c>
      <c r="BK1482" s="48"/>
      <c r="BL1482" s="98">
        <f t="shared" si="391"/>
        <v>0.2425051689843753</v>
      </c>
      <c r="BM1482" s="47" t="s">
        <v>2487</v>
      </c>
      <c r="BN1482" s="48"/>
      <c r="BO1482" s="48"/>
      <c r="BP1482" s="48"/>
      <c r="BQ1482" s="48"/>
      <c r="BR1482" s="47" t="s">
        <v>2496</v>
      </c>
      <c r="BS1482" s="48"/>
      <c r="BT1482" s="48"/>
      <c r="BU1482" s="228"/>
      <c r="BV1482" s="48"/>
      <c r="BW1482" s="48"/>
      <c r="BX1482" s="48"/>
      <c r="BY1482" s="48"/>
      <c r="BZ1482" s="48"/>
      <c r="CA1482" s="48"/>
      <c r="CB1482" s="48"/>
      <c r="CC1482" s="48"/>
      <c r="CD1482" s="48"/>
      <c r="CE1482" s="48"/>
      <c r="CF1482" s="48"/>
      <c r="CG1482" s="48"/>
      <c r="CH1482" s="48"/>
      <c r="CI1482" s="52" t="s">
        <v>6347</v>
      </c>
      <c r="CJ1482" s="98"/>
      <c r="CK1482" s="49">
        <f t="shared" si="392"/>
        <v>3.7891432653808641</v>
      </c>
      <c r="CL1482" s="229"/>
      <c r="CM1482" s="229">
        <v>-3.9727838920080902</v>
      </c>
      <c r="CN1482" s="229">
        <f>BJ1482/(10^CM1482)</f>
        <v>601.12372093023373</v>
      </c>
      <c r="CO1482" s="47" t="s">
        <v>2488</v>
      </c>
      <c r="CP1482" s="47" t="s">
        <v>2489</v>
      </c>
      <c r="CQ1482" s="224">
        <v>-3.7164541019587642</v>
      </c>
      <c r="CR1482" s="224">
        <f>10^(CJ1482-CQ1482)</f>
        <v>5205.3999307006434</v>
      </c>
      <c r="CS1482" s="230" t="s">
        <v>539</v>
      </c>
      <c r="CT1482" s="230"/>
      <c r="CU1482" s="230"/>
      <c r="CV1482" s="335">
        <f t="shared" si="380"/>
        <v>3.2884148757056551E-2</v>
      </c>
      <c r="CW1482" s="230">
        <f t="shared" si="386"/>
        <v>0</v>
      </c>
      <c r="CX1482" s="336"/>
      <c r="CY1482" s="230" t="s">
        <v>5921</v>
      </c>
    </row>
    <row r="1483" spans="1:103" ht="11.25" customHeight="1" x14ac:dyDescent="0.2">
      <c r="A1483" s="72">
        <v>1481</v>
      </c>
      <c r="B1483" s="224">
        <v>1241</v>
      </c>
      <c r="C1483" s="46" t="s">
        <v>7509</v>
      </c>
      <c r="D1483" s="46"/>
      <c r="E1483" s="114"/>
      <c r="F1483" s="114" t="s">
        <v>3417</v>
      </c>
      <c r="G1483" s="225">
        <v>117428225</v>
      </c>
      <c r="H1483" s="47" t="s">
        <v>3418</v>
      </c>
      <c r="I1483" s="47" t="s">
        <v>7794</v>
      </c>
      <c r="J1483" s="47" t="s">
        <v>3419</v>
      </c>
      <c r="K1483" s="47" t="s">
        <v>957</v>
      </c>
      <c r="L1483" s="47"/>
      <c r="M1483" s="47"/>
      <c r="N1483" s="47"/>
      <c r="O1483" s="47"/>
      <c r="P1483" s="53"/>
      <c r="Q1483" s="53"/>
      <c r="R1483" s="53"/>
      <c r="S1483" s="53"/>
      <c r="T1483" s="48">
        <v>367.32</v>
      </c>
      <c r="U1483" s="98"/>
      <c r="V1483" s="98">
        <v>9.800718719372754E-3</v>
      </c>
      <c r="W1483" s="98">
        <v>0.17782794100389201</v>
      </c>
      <c r="X1483" s="98">
        <f>IF(W1483=0,V1483,W1483)</f>
        <v>0.17782794100389201</v>
      </c>
      <c r="Y1483" s="233">
        <v>7</v>
      </c>
      <c r="Z1483" s="48">
        <v>3.67</v>
      </c>
      <c r="AA1483" s="48"/>
      <c r="AB1483" s="48">
        <v>3.59</v>
      </c>
      <c r="AC1483" s="48">
        <v>0.73799999999999999</v>
      </c>
      <c r="AD1483" s="48">
        <v>3.84</v>
      </c>
      <c r="AE1483" s="48">
        <v>4.4800000000000004</v>
      </c>
      <c r="AF1483" s="48">
        <f t="shared" si="388"/>
        <v>3.84</v>
      </c>
      <c r="AG1483" s="49">
        <v>3.51</v>
      </c>
      <c r="AH1483" s="98">
        <v>1.9100000000000001E-10</v>
      </c>
      <c r="AI1483" s="98"/>
      <c r="AJ1483" s="483">
        <f t="shared" si="389"/>
        <v>-8.1075329590649243</v>
      </c>
      <c r="AK1483" s="483"/>
      <c r="AL1483" s="483">
        <f t="shared" si="390"/>
        <v>-8.1075329590649243</v>
      </c>
      <c r="AM1483" s="483">
        <v>-12.410509999999999</v>
      </c>
      <c r="AN1483" s="226">
        <v>-8.1300000000000008</v>
      </c>
      <c r="AO1483" s="484"/>
      <c r="AP1483" s="484">
        <v>-1.0900000000000001</v>
      </c>
      <c r="AQ1483" s="48" t="s">
        <v>6311</v>
      </c>
      <c r="AR1483" s="48" t="s">
        <v>6312</v>
      </c>
      <c r="AS1483" s="227"/>
      <c r="AT1483" s="50" t="s">
        <v>266</v>
      </c>
      <c r="AU1483" s="48">
        <v>6</v>
      </c>
      <c r="AV1483" s="48">
        <v>120</v>
      </c>
      <c r="AW1483" s="48">
        <v>114</v>
      </c>
      <c r="AX1483" s="48">
        <v>28</v>
      </c>
      <c r="AY1483" s="48" t="s">
        <v>8728</v>
      </c>
      <c r="AZ1483" s="48" t="s">
        <v>1563</v>
      </c>
      <c r="BA1483" s="48">
        <v>32</v>
      </c>
      <c r="BB1483" s="47" t="s">
        <v>2485</v>
      </c>
      <c r="BC1483" s="47" t="s">
        <v>8726</v>
      </c>
      <c r="BD1483" s="47" t="s">
        <v>8374</v>
      </c>
      <c r="BE1483" s="48" t="s">
        <v>2449</v>
      </c>
      <c r="BF1483" s="48" t="s">
        <v>272</v>
      </c>
      <c r="BG1483" s="48" t="s">
        <v>272</v>
      </c>
      <c r="BH1483" s="48" t="s">
        <v>2486</v>
      </c>
      <c r="BI1483" s="98">
        <v>6.3999999999999997E-6</v>
      </c>
      <c r="BJ1483" s="98">
        <v>6.4000000000000001E-2</v>
      </c>
      <c r="BK1483" s="48"/>
      <c r="BL1483" s="98">
        <f t="shared" si="391"/>
        <v>2.5988008491637047E-2</v>
      </c>
      <c r="BM1483" s="47" t="s">
        <v>2487</v>
      </c>
      <c r="BN1483" s="48"/>
      <c r="BO1483" s="48"/>
      <c r="BP1483" s="48"/>
      <c r="BQ1483" s="48"/>
      <c r="BR1483" s="47" t="s">
        <v>2496</v>
      </c>
      <c r="BS1483" s="48"/>
      <c r="BT1483" s="48"/>
      <c r="BU1483" s="228">
        <v>6.4000000000000001E-2</v>
      </c>
      <c r="BV1483" s="48"/>
      <c r="BW1483" s="48"/>
      <c r="BX1483" s="48"/>
      <c r="BY1483" s="48"/>
      <c r="BZ1483" s="48"/>
      <c r="CA1483" s="48"/>
      <c r="CB1483" s="48"/>
      <c r="CC1483" s="48"/>
      <c r="CD1483" s="48"/>
      <c r="CE1483" s="48"/>
      <c r="CF1483" s="48"/>
      <c r="CG1483" s="48"/>
      <c r="CH1483" s="48"/>
      <c r="CI1483" s="98"/>
      <c r="CJ1483" s="98"/>
      <c r="CK1483" s="49">
        <f t="shared" si="392"/>
        <v>0.40606263268182885</v>
      </c>
      <c r="CL1483" s="229"/>
      <c r="CM1483" s="229"/>
      <c r="CN1483" s="229"/>
      <c r="CO1483" s="47" t="s">
        <v>2488</v>
      </c>
      <c r="CP1483" s="47" t="s">
        <v>2489</v>
      </c>
      <c r="CQ1483" s="224" t="s">
        <v>272</v>
      </c>
      <c r="CR1483" s="224"/>
      <c r="CS1483" s="230" t="s">
        <v>539</v>
      </c>
      <c r="CT1483" s="230"/>
      <c r="CU1483" s="230"/>
      <c r="CV1483" s="335">
        <f t="shared" si="380"/>
        <v>2.7785615781858128</v>
      </c>
      <c r="CW1483" s="230">
        <f t="shared" si="386"/>
        <v>1</v>
      </c>
      <c r="CX1483" s="336"/>
      <c r="CY1483" s="230" t="s">
        <v>5921</v>
      </c>
    </row>
    <row r="1484" spans="1:103" ht="11.25" customHeight="1" x14ac:dyDescent="0.2">
      <c r="A1484" s="72">
        <v>1482</v>
      </c>
      <c r="B1484" s="224">
        <v>1875</v>
      </c>
      <c r="C1484" s="46" t="s">
        <v>6669</v>
      </c>
      <c r="D1484" s="46"/>
      <c r="E1484" s="114"/>
      <c r="F1484" s="114" t="s">
        <v>1457</v>
      </c>
      <c r="G1484" s="225">
        <v>118134308</v>
      </c>
      <c r="H1484" s="47" t="s">
        <v>1458</v>
      </c>
      <c r="I1484" s="47" t="s">
        <v>1458</v>
      </c>
      <c r="J1484" s="47" t="s">
        <v>1459</v>
      </c>
      <c r="K1484" s="47" t="s">
        <v>300</v>
      </c>
      <c r="L1484" s="47"/>
      <c r="M1484" s="47"/>
      <c r="N1484" s="47"/>
      <c r="O1484" s="47"/>
      <c r="P1484" s="53"/>
      <c r="Q1484" s="53"/>
      <c r="R1484" s="53"/>
      <c r="S1484" s="53"/>
      <c r="T1484" s="48">
        <v>297.48</v>
      </c>
      <c r="U1484" s="98">
        <v>1.5799381471023262</v>
      </c>
      <c r="V1484" s="98">
        <v>8.6291515395993008E-3</v>
      </c>
      <c r="W1484" s="98">
        <v>1.4791083881682066</v>
      </c>
      <c r="X1484" s="98">
        <v>1.5799381471023262</v>
      </c>
      <c r="Y1484" s="233">
        <v>9.9600000000000009</v>
      </c>
      <c r="Z1484" s="48">
        <v>5.51</v>
      </c>
      <c r="AA1484" s="48"/>
      <c r="AB1484" s="48">
        <v>4.67</v>
      </c>
      <c r="AC1484" s="48">
        <v>0.47460000000000002</v>
      </c>
      <c r="AD1484" s="48">
        <v>4.78</v>
      </c>
      <c r="AE1484" s="48">
        <v>4.88</v>
      </c>
      <c r="AF1484" s="48">
        <f t="shared" si="388"/>
        <v>4.78</v>
      </c>
      <c r="AG1484" s="49">
        <v>3.96</v>
      </c>
      <c r="AH1484" s="98">
        <v>1.9399999999999999E-7</v>
      </c>
      <c r="AI1484" s="98">
        <v>1.0700000000000001E-7</v>
      </c>
      <c r="AJ1484" s="483">
        <f t="shared" si="389"/>
        <v>-5.100764596382426</v>
      </c>
      <c r="AK1484" s="483">
        <f>LOG10(AI1484*1000/(0.08206*298.15))</f>
        <v>-5.3591825486274418</v>
      </c>
      <c r="AL1484" s="483">
        <f t="shared" si="390"/>
        <v>-5.3591825486274418</v>
      </c>
      <c r="AM1484" s="483">
        <v>-8.4572500000000019</v>
      </c>
      <c r="AN1484" s="226">
        <v>-5.31</v>
      </c>
      <c r="AO1484" s="484"/>
      <c r="AP1484" s="484">
        <v>8.7799999999999994</v>
      </c>
      <c r="AQ1484" s="226" t="s">
        <v>6311</v>
      </c>
      <c r="AR1484" s="226" t="s">
        <v>6311</v>
      </c>
      <c r="AS1484" s="224"/>
      <c r="AT1484" s="50" t="s">
        <v>266</v>
      </c>
      <c r="AU1484" s="48">
        <v>6</v>
      </c>
      <c r="AV1484" s="48">
        <v>120</v>
      </c>
      <c r="AW1484" s="48">
        <v>114</v>
      </c>
      <c r="AX1484" s="48">
        <v>28</v>
      </c>
      <c r="AY1484" s="48" t="s">
        <v>8728</v>
      </c>
      <c r="AZ1484" s="48" t="s">
        <v>1563</v>
      </c>
      <c r="BA1484" s="48">
        <v>32</v>
      </c>
      <c r="BB1484" s="47" t="s">
        <v>2485</v>
      </c>
      <c r="BC1484" s="47" t="s">
        <v>8726</v>
      </c>
      <c r="BD1484" s="47" t="s">
        <v>8374</v>
      </c>
      <c r="BE1484" s="48" t="s">
        <v>2449</v>
      </c>
      <c r="BF1484" s="48" t="s">
        <v>272</v>
      </c>
      <c r="BG1484" s="48" t="s">
        <v>272</v>
      </c>
      <c r="BH1484" s="48" t="s">
        <v>2486</v>
      </c>
      <c r="BI1484" s="98">
        <v>6.3999999999999997E-6</v>
      </c>
      <c r="BJ1484" s="98">
        <v>6.4000000000000001E-2</v>
      </c>
      <c r="BK1484" s="48"/>
      <c r="BL1484" s="98">
        <f t="shared" si="391"/>
        <v>5.7845422834882807E-4</v>
      </c>
      <c r="BM1484" s="47" t="s">
        <v>2487</v>
      </c>
      <c r="BN1484" s="48"/>
      <c r="BO1484" s="48"/>
      <c r="BP1484" s="48"/>
      <c r="BQ1484" s="48"/>
      <c r="BR1484" s="47" t="s">
        <v>2496</v>
      </c>
      <c r="BS1484" s="48"/>
      <c r="BT1484" s="48"/>
      <c r="BU1484" s="228"/>
      <c r="BV1484" s="48"/>
      <c r="BW1484" s="48"/>
      <c r="BX1484" s="48"/>
      <c r="BY1484" s="48"/>
      <c r="BZ1484" s="48"/>
      <c r="CA1484" s="48"/>
      <c r="CB1484" s="48"/>
      <c r="CC1484" s="48"/>
      <c r="CD1484" s="48"/>
      <c r="CE1484" s="48"/>
      <c r="CF1484" s="48"/>
      <c r="CG1484" s="48"/>
      <c r="CH1484" s="48"/>
      <c r="CI1484" s="98"/>
      <c r="CJ1484" s="98"/>
      <c r="CK1484" s="49">
        <f t="shared" si="392"/>
        <v>9.0383473179504389E-3</v>
      </c>
      <c r="CL1484" s="229"/>
      <c r="CM1484" s="229"/>
      <c r="CN1484" s="229"/>
      <c r="CO1484" s="47" t="s">
        <v>2488</v>
      </c>
      <c r="CP1484" s="47" t="s">
        <v>2489</v>
      </c>
      <c r="CQ1484" s="224" t="s">
        <v>272</v>
      </c>
      <c r="CR1484" s="224"/>
      <c r="CS1484" s="230" t="s">
        <v>539</v>
      </c>
      <c r="CT1484" s="230"/>
      <c r="CU1484" s="230"/>
      <c r="CV1484" s="335">
        <f t="shared" si="380"/>
        <v>24.686533548473847</v>
      </c>
      <c r="CW1484" s="230">
        <f t="shared" si="386"/>
        <v>1</v>
      </c>
      <c r="CX1484" s="336"/>
      <c r="CY1484" s="230" t="s">
        <v>5921</v>
      </c>
    </row>
    <row r="1485" spans="1:103" ht="11.25" customHeight="1" x14ac:dyDescent="0.2">
      <c r="A1485" s="72">
        <v>1483</v>
      </c>
      <c r="B1485" s="224">
        <v>352</v>
      </c>
      <c r="C1485" s="46" t="s">
        <v>7510</v>
      </c>
      <c r="D1485" s="46"/>
      <c r="E1485" s="114"/>
      <c r="F1485" s="114" t="s">
        <v>3890</v>
      </c>
      <c r="G1485" s="225">
        <v>119515387</v>
      </c>
      <c r="H1485" s="47" t="s">
        <v>3891</v>
      </c>
      <c r="I1485" s="47" t="s">
        <v>3891</v>
      </c>
      <c r="J1485" s="47" t="s">
        <v>3892</v>
      </c>
      <c r="K1485" s="47" t="s">
        <v>1180</v>
      </c>
      <c r="L1485" s="47"/>
      <c r="M1485" s="47"/>
      <c r="N1485" s="47"/>
      <c r="O1485" s="47"/>
      <c r="P1485" s="53"/>
      <c r="Q1485" s="53"/>
      <c r="R1485" s="53"/>
      <c r="S1485" s="53"/>
      <c r="T1485" s="48">
        <v>229.32</v>
      </c>
      <c r="U1485" s="98"/>
      <c r="V1485" s="98">
        <v>0.85470085470085477</v>
      </c>
      <c r="W1485" s="98">
        <v>17.378008287493756</v>
      </c>
      <c r="X1485" s="98">
        <f>IF(W1485=0,V1485,W1485)</f>
        <v>17.378008287493756</v>
      </c>
      <c r="Y1485" s="233">
        <v>7</v>
      </c>
      <c r="Z1485" s="48">
        <v>2.57</v>
      </c>
      <c r="AA1485" s="48"/>
      <c r="AB1485" s="48">
        <v>2.11</v>
      </c>
      <c r="AC1485" s="48">
        <v>0.57999999999999996</v>
      </c>
      <c r="AD1485" s="48">
        <v>1.87</v>
      </c>
      <c r="AE1485" s="48">
        <v>1.56</v>
      </c>
      <c r="AF1485" s="48">
        <f t="shared" si="388"/>
        <v>1.87</v>
      </c>
      <c r="AG1485" s="49">
        <v>1.82</v>
      </c>
      <c r="AH1485" s="98">
        <v>2.9699999999999998E-11</v>
      </c>
      <c r="AI1485" s="98"/>
      <c r="AJ1485" s="483">
        <f t="shared" si="389"/>
        <v>-8.9158098769954393</v>
      </c>
      <c r="AK1485" s="483"/>
      <c r="AL1485" s="483">
        <f t="shared" si="390"/>
        <v>-8.9158098769954393</v>
      </c>
      <c r="AM1485" s="483">
        <v>-10.252640000000001</v>
      </c>
      <c r="AN1485" s="226">
        <v>-8.57</v>
      </c>
      <c r="AO1485" s="484">
        <v>15.15</v>
      </c>
      <c r="AP1485" s="484">
        <v>-1.71</v>
      </c>
      <c r="AQ1485" s="226" t="s">
        <v>6311</v>
      </c>
      <c r="AR1485" s="226" t="s">
        <v>6311</v>
      </c>
      <c r="AS1485" s="224" t="s">
        <v>63</v>
      </c>
      <c r="AT1485" s="50" t="s">
        <v>266</v>
      </c>
      <c r="AU1485" s="48">
        <v>8</v>
      </c>
      <c r="AV1485" s="48">
        <v>144</v>
      </c>
      <c r="AW1485" s="48">
        <v>120</v>
      </c>
      <c r="AX1485" s="48">
        <v>26</v>
      </c>
      <c r="AY1485" s="48" t="s">
        <v>267</v>
      </c>
      <c r="AZ1485" s="48" t="s">
        <v>2253</v>
      </c>
      <c r="BA1485" s="48">
        <v>3</v>
      </c>
      <c r="BB1485" s="47" t="s">
        <v>2254</v>
      </c>
      <c r="BC1485" s="47" t="s">
        <v>270</v>
      </c>
      <c r="BD1485" s="47" t="s">
        <v>8374</v>
      </c>
      <c r="BE1485" s="48" t="s">
        <v>1712</v>
      </c>
      <c r="BF1485" s="48" t="s">
        <v>272</v>
      </c>
      <c r="BG1485" s="48" t="s">
        <v>272</v>
      </c>
      <c r="BH1485" s="48" t="s">
        <v>2255</v>
      </c>
      <c r="BI1485" s="98">
        <v>9.9999999999999995E-7</v>
      </c>
      <c r="BJ1485" s="98">
        <v>0.08</v>
      </c>
      <c r="BK1485" s="48"/>
      <c r="BL1485" s="98">
        <f t="shared" si="391"/>
        <v>0.25274524862006514</v>
      </c>
      <c r="BM1485" s="48" t="s">
        <v>891</v>
      </c>
      <c r="BN1485" s="233"/>
      <c r="BO1485" s="233"/>
      <c r="BP1485" s="233"/>
      <c r="BQ1485" s="233"/>
      <c r="BR1485" s="233"/>
      <c r="BS1485" s="48"/>
      <c r="BT1485" s="233"/>
      <c r="BU1485" s="228"/>
      <c r="BV1485" s="233"/>
      <c r="BW1485" s="233"/>
      <c r="BX1485" s="233"/>
      <c r="BY1485" s="233"/>
      <c r="BZ1485" s="233"/>
      <c r="CA1485" s="233"/>
      <c r="CB1485" s="233"/>
      <c r="CC1485" s="48"/>
      <c r="CD1485" s="48"/>
      <c r="CE1485" s="48"/>
      <c r="CF1485" s="48"/>
      <c r="CG1485" s="233"/>
      <c r="CH1485" s="48"/>
      <c r="CI1485" s="98"/>
      <c r="CJ1485" s="98"/>
      <c r="CK1485" s="49">
        <f t="shared" si="392"/>
        <v>3.1593156077508144</v>
      </c>
      <c r="CL1485" s="229"/>
      <c r="CM1485" s="229"/>
      <c r="CN1485" s="229"/>
      <c r="CO1485" s="47" t="s">
        <v>892</v>
      </c>
      <c r="CP1485" s="47" t="s">
        <v>893</v>
      </c>
      <c r="CQ1485" s="224" t="s">
        <v>272</v>
      </c>
      <c r="CR1485" s="224"/>
      <c r="CS1485" s="230" t="s">
        <v>539</v>
      </c>
      <c r="CT1485" s="230"/>
      <c r="CU1485" s="230"/>
      <c r="CV1485" s="335">
        <f t="shared" si="380"/>
        <v>217.22510359367195</v>
      </c>
      <c r="CW1485" s="230">
        <f t="shared" si="386"/>
        <v>1</v>
      </c>
      <c r="CX1485" s="336" t="s">
        <v>539</v>
      </c>
      <c r="CY1485" s="230" t="s">
        <v>5921</v>
      </c>
    </row>
    <row r="1486" spans="1:103" ht="11.25" customHeight="1" x14ac:dyDescent="0.2">
      <c r="A1486" s="72">
        <v>1484</v>
      </c>
      <c r="B1486" s="224">
        <v>1700</v>
      </c>
      <c r="C1486" s="46" t="s">
        <v>7510</v>
      </c>
      <c r="D1486" s="46"/>
      <c r="E1486" s="114"/>
      <c r="F1486" s="114" t="s">
        <v>3890</v>
      </c>
      <c r="G1486" s="225">
        <v>119515387</v>
      </c>
      <c r="H1486" s="47" t="s">
        <v>3891</v>
      </c>
      <c r="I1486" s="47" t="s">
        <v>3891</v>
      </c>
      <c r="J1486" s="47" t="s">
        <v>3892</v>
      </c>
      <c r="K1486" s="47" t="s">
        <v>1180</v>
      </c>
      <c r="L1486" s="47"/>
      <c r="M1486" s="47"/>
      <c r="N1486" s="47"/>
      <c r="O1486" s="47"/>
      <c r="P1486" s="53"/>
      <c r="Q1486" s="53"/>
      <c r="R1486" s="53"/>
      <c r="S1486" s="53"/>
      <c r="T1486" s="48">
        <v>229.32</v>
      </c>
      <c r="U1486" s="98"/>
      <c r="V1486" s="98">
        <v>0.85470085470085477</v>
      </c>
      <c r="W1486" s="98">
        <v>17.378008287493756</v>
      </c>
      <c r="X1486" s="98">
        <f>IF(W1486=0,V1486,W1486)</f>
        <v>17.378008287493756</v>
      </c>
      <c r="Y1486" s="233">
        <v>7</v>
      </c>
      <c r="Z1486" s="48">
        <v>2.57</v>
      </c>
      <c r="AA1486" s="48"/>
      <c r="AB1486" s="48">
        <v>2.11</v>
      </c>
      <c r="AC1486" s="48">
        <v>0.57999999999999996</v>
      </c>
      <c r="AD1486" s="48">
        <v>1.87</v>
      </c>
      <c r="AE1486" s="48">
        <v>1.56</v>
      </c>
      <c r="AF1486" s="48">
        <f t="shared" si="388"/>
        <v>1.87</v>
      </c>
      <c r="AG1486" s="49">
        <v>1.82</v>
      </c>
      <c r="AH1486" s="98">
        <v>2.9699999999999998E-11</v>
      </c>
      <c r="AI1486" s="98"/>
      <c r="AJ1486" s="483">
        <f t="shared" si="389"/>
        <v>-8.9158098769954393</v>
      </c>
      <c r="AK1486" s="483"/>
      <c r="AL1486" s="483">
        <f t="shared" si="390"/>
        <v>-8.9158098769954393</v>
      </c>
      <c r="AM1486" s="483">
        <v>-10.252640000000001</v>
      </c>
      <c r="AN1486" s="226">
        <v>-8.57</v>
      </c>
      <c r="AO1486" s="484">
        <v>15.15</v>
      </c>
      <c r="AP1486" s="484">
        <v>-1.71</v>
      </c>
      <c r="AQ1486" s="226" t="s">
        <v>6311</v>
      </c>
      <c r="AR1486" s="226" t="s">
        <v>6311</v>
      </c>
      <c r="AS1486" s="224"/>
      <c r="AT1486" s="50" t="s">
        <v>266</v>
      </c>
      <c r="AU1486" s="48">
        <v>6</v>
      </c>
      <c r="AV1486" s="48">
        <v>120</v>
      </c>
      <c r="AW1486" s="48">
        <v>114</v>
      </c>
      <c r="AX1486" s="48">
        <v>28</v>
      </c>
      <c r="AY1486" s="48" t="s">
        <v>8728</v>
      </c>
      <c r="AZ1486" s="48" t="s">
        <v>1563</v>
      </c>
      <c r="BA1486" s="48">
        <v>32</v>
      </c>
      <c r="BB1486" s="47" t="s">
        <v>2485</v>
      </c>
      <c r="BC1486" s="47" t="s">
        <v>8726</v>
      </c>
      <c r="BD1486" s="47" t="s">
        <v>8374</v>
      </c>
      <c r="BE1486" s="48" t="s">
        <v>2449</v>
      </c>
      <c r="BF1486" s="48" t="s">
        <v>272</v>
      </c>
      <c r="BG1486" s="48" t="s">
        <v>272</v>
      </c>
      <c r="BH1486" s="48" t="s">
        <v>2486</v>
      </c>
      <c r="BI1486" s="98">
        <v>6.3999999999999997E-6</v>
      </c>
      <c r="BJ1486" s="98">
        <v>6.4000000000000001E-2</v>
      </c>
      <c r="BK1486" s="48"/>
      <c r="BL1486" s="98">
        <f t="shared" si="391"/>
        <v>0.25274524862006514</v>
      </c>
      <c r="BM1486" s="47" t="s">
        <v>2487</v>
      </c>
      <c r="BN1486" s="48"/>
      <c r="BO1486" s="48"/>
      <c r="BP1486" s="48"/>
      <c r="BQ1486" s="48"/>
      <c r="BR1486" s="47" t="s">
        <v>2496</v>
      </c>
      <c r="BS1486" s="48"/>
      <c r="BT1486" s="48"/>
      <c r="BU1486" s="228"/>
      <c r="BV1486" s="48"/>
      <c r="BW1486" s="48"/>
      <c r="BX1486" s="48"/>
      <c r="BY1486" s="48"/>
      <c r="BZ1486" s="48"/>
      <c r="CA1486" s="48"/>
      <c r="CB1486" s="48"/>
      <c r="CC1486" s="48"/>
      <c r="CD1486" s="48"/>
      <c r="CE1486" s="48"/>
      <c r="CF1486" s="48"/>
      <c r="CG1486" s="48"/>
      <c r="CH1486" s="48"/>
      <c r="CI1486" s="98"/>
      <c r="CJ1486" s="98"/>
      <c r="CK1486" s="49">
        <f t="shared" si="392"/>
        <v>3.9491445096885176</v>
      </c>
      <c r="CL1486" s="229"/>
      <c r="CM1486" s="229"/>
      <c r="CN1486" s="229"/>
      <c r="CO1486" s="47" t="s">
        <v>2488</v>
      </c>
      <c r="CP1486" s="47" t="s">
        <v>2489</v>
      </c>
      <c r="CQ1486" s="224" t="s">
        <v>272</v>
      </c>
      <c r="CR1486" s="224"/>
      <c r="CS1486" s="230" t="s">
        <v>539</v>
      </c>
      <c r="CT1486" s="230"/>
      <c r="CU1486" s="230"/>
      <c r="CV1486" s="335">
        <f t="shared" si="380"/>
        <v>271.53137949208991</v>
      </c>
      <c r="CW1486" s="230">
        <f t="shared" si="386"/>
        <v>1</v>
      </c>
      <c r="CX1486" s="336"/>
      <c r="CY1486" s="230" t="s">
        <v>5921</v>
      </c>
    </row>
    <row r="1487" spans="1:103" ht="11.25" customHeight="1" x14ac:dyDescent="0.2">
      <c r="A1487" s="72">
        <v>1485</v>
      </c>
      <c r="B1487" s="224">
        <v>1665</v>
      </c>
      <c r="C1487" s="46" t="s">
        <v>1188</v>
      </c>
      <c r="D1487" s="46" t="s">
        <v>6580</v>
      </c>
      <c r="E1487" s="114"/>
      <c r="F1487" s="114" t="s">
        <v>1189</v>
      </c>
      <c r="G1487" s="225">
        <v>120068373</v>
      </c>
      <c r="H1487" s="47" t="s">
        <v>1190</v>
      </c>
      <c r="I1487" s="47" t="s">
        <v>8163</v>
      </c>
      <c r="J1487" s="47" t="s">
        <v>1191</v>
      </c>
      <c r="K1487" s="47" t="s">
        <v>1192</v>
      </c>
      <c r="L1487" s="47" t="s">
        <v>617</v>
      </c>
      <c r="M1487" s="47" t="s">
        <v>1140</v>
      </c>
      <c r="N1487" s="47" t="s">
        <v>6376</v>
      </c>
      <c r="O1487" s="47" t="s">
        <v>918</v>
      </c>
      <c r="P1487" s="53"/>
      <c r="Q1487" s="53"/>
      <c r="R1487" s="53"/>
      <c r="S1487" s="53"/>
      <c r="T1487" s="48">
        <v>437.15</v>
      </c>
      <c r="U1487" s="98">
        <v>4.3463342102253236E-3</v>
      </c>
      <c r="V1487" s="98">
        <v>8.5622783941438879E-4</v>
      </c>
      <c r="W1487" s="98">
        <v>2.2908676527677706E-3</v>
      </c>
      <c r="X1487" s="98">
        <v>4.3463342102253236E-3</v>
      </c>
      <c r="Y1487" s="233">
        <v>7</v>
      </c>
      <c r="Z1487" s="48">
        <v>6.64</v>
      </c>
      <c r="AA1487" s="48">
        <v>4</v>
      </c>
      <c r="AB1487" s="48">
        <v>3.53</v>
      </c>
      <c r="AC1487" s="48">
        <v>0.7742</v>
      </c>
      <c r="AD1487" s="48">
        <v>3.71</v>
      </c>
      <c r="AE1487" s="48">
        <v>4.76</v>
      </c>
      <c r="AF1487" s="48">
        <f t="shared" si="388"/>
        <v>4</v>
      </c>
      <c r="AG1487" s="49">
        <v>4.26</v>
      </c>
      <c r="AH1487" s="98">
        <v>3.1700000000000001E-18</v>
      </c>
      <c r="AI1487" s="98">
        <v>8.4199999999999999E-10</v>
      </c>
      <c r="AJ1487" s="483">
        <f t="shared" si="389"/>
        <v>-15.887507064094899</v>
      </c>
      <c r="AK1487" s="483">
        <f>LOG10(AI1487*1000/(0.08206*298.15))</f>
        <v>-7.463254234813002</v>
      </c>
      <c r="AL1487" s="483">
        <f t="shared" si="390"/>
        <v>-7.463254234813002</v>
      </c>
      <c r="AM1487" s="483">
        <v>-19.078990000000005</v>
      </c>
      <c r="AN1487" s="226">
        <v>-10.3</v>
      </c>
      <c r="AO1487" s="484"/>
      <c r="AP1487" s="484">
        <v>-5.86</v>
      </c>
      <c r="AQ1487" s="226" t="s">
        <v>6311</v>
      </c>
      <c r="AR1487" s="226" t="s">
        <v>6311</v>
      </c>
      <c r="AS1487" s="224"/>
      <c r="AT1487" s="50" t="s">
        <v>266</v>
      </c>
      <c r="AU1487" s="48">
        <v>6</v>
      </c>
      <c r="AV1487" s="48">
        <v>120</v>
      </c>
      <c r="AW1487" s="48">
        <v>114</v>
      </c>
      <c r="AX1487" s="48">
        <v>28</v>
      </c>
      <c r="AY1487" s="48" t="s">
        <v>8728</v>
      </c>
      <c r="AZ1487" s="48" t="s">
        <v>1563</v>
      </c>
      <c r="BA1487" s="48">
        <v>32</v>
      </c>
      <c r="BB1487" s="47" t="s">
        <v>2485</v>
      </c>
      <c r="BC1487" s="47" t="s">
        <v>8726</v>
      </c>
      <c r="BD1487" s="47" t="s">
        <v>8374</v>
      </c>
      <c r="BE1487" s="48" t="s">
        <v>2449</v>
      </c>
      <c r="BF1487" s="48" t="s">
        <v>272</v>
      </c>
      <c r="BG1487" s="48" t="s">
        <v>272</v>
      </c>
      <c r="BH1487" s="48" t="s">
        <v>2486</v>
      </c>
      <c r="BI1487" s="98">
        <v>6.3999999999999997E-6</v>
      </c>
      <c r="BJ1487" s="98">
        <v>6.4000000000000001E-2</v>
      </c>
      <c r="BK1487" s="48"/>
      <c r="BL1487" s="98">
        <f t="shared" si="391"/>
        <v>5.5900539588435304E-5</v>
      </c>
      <c r="BM1487" s="47" t="s">
        <v>2487</v>
      </c>
      <c r="BN1487" s="48"/>
      <c r="BO1487" s="48"/>
      <c r="BP1487" s="48"/>
      <c r="BQ1487" s="48"/>
      <c r="BR1487" s="47" t="s">
        <v>2496</v>
      </c>
      <c r="BS1487" s="48"/>
      <c r="BT1487" s="48"/>
      <c r="BU1487" s="228"/>
      <c r="BV1487" s="48"/>
      <c r="BW1487" s="48"/>
      <c r="BX1487" s="48"/>
      <c r="BY1487" s="48"/>
      <c r="BZ1487" s="48"/>
      <c r="CA1487" s="48"/>
      <c r="CB1487" s="48"/>
      <c r="CC1487" s="48"/>
      <c r="CD1487" s="48"/>
      <c r="CE1487" s="48"/>
      <c r="CF1487" s="48"/>
      <c r="CG1487" s="48"/>
      <c r="CH1487" s="48"/>
      <c r="CI1487" s="98"/>
      <c r="CJ1487" s="98"/>
      <c r="CK1487" s="49">
        <f t="shared" si="392"/>
        <v>8.7344593106930156E-4</v>
      </c>
      <c r="CL1487" s="229"/>
      <c r="CM1487" s="229">
        <v>-3.7215523903483372</v>
      </c>
      <c r="CN1487" s="229">
        <f>BJ1487/(10^CM1487)</f>
        <v>337.0795180722892</v>
      </c>
      <c r="CO1487" s="47" t="s">
        <v>2488</v>
      </c>
      <c r="CP1487" s="47" t="s">
        <v>2489</v>
      </c>
      <c r="CQ1487" s="224">
        <v>-3.4513998912748654</v>
      </c>
      <c r="CR1487" s="224">
        <f>10^(CJ1487-CQ1487)</f>
        <v>2827.482276212515</v>
      </c>
      <c r="CS1487" s="230" t="s">
        <v>539</v>
      </c>
      <c r="CT1487" s="230"/>
      <c r="CU1487" s="230"/>
      <c r="CV1487" s="335">
        <f t="shared" si="380"/>
        <v>6.7911472034770673E-2</v>
      </c>
      <c r="CW1487" s="230">
        <f t="shared" si="386"/>
        <v>0</v>
      </c>
      <c r="CX1487" s="336"/>
      <c r="CY1487" s="230" t="s">
        <v>5921</v>
      </c>
    </row>
    <row r="1488" spans="1:103" ht="11.25" customHeight="1" x14ac:dyDescent="0.2">
      <c r="A1488" s="72">
        <v>1486</v>
      </c>
      <c r="B1488" s="224">
        <v>1881</v>
      </c>
      <c r="C1488" s="46" t="s">
        <v>1460</v>
      </c>
      <c r="D1488" s="46" t="s">
        <v>6582</v>
      </c>
      <c r="E1488" s="114"/>
      <c r="F1488" s="114" t="s">
        <v>1461</v>
      </c>
      <c r="G1488" s="225">
        <v>122836355</v>
      </c>
      <c r="H1488" s="47" t="s">
        <v>1462</v>
      </c>
      <c r="I1488" s="47" t="s">
        <v>8164</v>
      </c>
      <c r="J1488" s="47" t="s">
        <v>1463</v>
      </c>
      <c r="K1488" s="47" t="s">
        <v>483</v>
      </c>
      <c r="L1488" s="47" t="s">
        <v>5955</v>
      </c>
      <c r="M1488" s="47" t="s">
        <v>6166</v>
      </c>
      <c r="N1488" s="47" t="s">
        <v>6082</v>
      </c>
      <c r="O1488" s="47" t="s">
        <v>5957</v>
      </c>
      <c r="P1488" s="53"/>
      <c r="Q1488" s="53"/>
      <c r="R1488" s="53"/>
      <c r="S1488" s="53"/>
      <c r="T1488" s="48">
        <v>387.19</v>
      </c>
      <c r="U1488" s="98">
        <v>2.0145148376765931</v>
      </c>
      <c r="V1488" s="98">
        <v>1.3546320927709909</v>
      </c>
      <c r="W1488" s="98">
        <v>2.1877616239495499</v>
      </c>
      <c r="X1488" s="98">
        <v>2.0145148376765931</v>
      </c>
      <c r="Y1488" s="233">
        <v>4.67</v>
      </c>
      <c r="Z1488" s="48">
        <v>2.65</v>
      </c>
      <c r="AA1488" s="48">
        <v>0.99</v>
      </c>
      <c r="AB1488" s="48">
        <v>2.34</v>
      </c>
      <c r="AC1488" s="48">
        <v>0.54120000000000001</v>
      </c>
      <c r="AD1488" s="48">
        <v>2.29</v>
      </c>
      <c r="AE1488" s="48">
        <v>2.21</v>
      </c>
      <c r="AF1488" s="48">
        <f t="shared" si="388"/>
        <v>0.99</v>
      </c>
      <c r="AG1488" s="49">
        <v>3.27</v>
      </c>
      <c r="AH1488" s="98">
        <v>5.02E-12</v>
      </c>
      <c r="AI1488" s="98">
        <v>6.3700000000000001E-13</v>
      </c>
      <c r="AJ1488" s="483">
        <f t="shared" si="389"/>
        <v>-9.6878626091676328</v>
      </c>
      <c r="AK1488" s="483">
        <f>LOG10(AI1488*1000/(0.08206*298.15))</f>
        <v>-10.584426893977302</v>
      </c>
      <c r="AL1488" s="483">
        <f t="shared" si="390"/>
        <v>-10.584426893977302</v>
      </c>
      <c r="AM1488" s="483">
        <v>-18.46264</v>
      </c>
      <c r="AN1488" s="226">
        <v>-8.83</v>
      </c>
      <c r="AO1488" s="484">
        <v>6.68</v>
      </c>
      <c r="AP1488" s="484">
        <v>-3.21</v>
      </c>
      <c r="AQ1488" s="226" t="s">
        <v>6311</v>
      </c>
      <c r="AR1488" s="226" t="s">
        <v>6311</v>
      </c>
      <c r="AS1488" s="224"/>
      <c r="AT1488" s="50" t="s">
        <v>266</v>
      </c>
      <c r="AU1488" s="48">
        <v>6</v>
      </c>
      <c r="AV1488" s="48">
        <v>120</v>
      </c>
      <c r="AW1488" s="48">
        <v>114</v>
      </c>
      <c r="AX1488" s="48">
        <v>28</v>
      </c>
      <c r="AY1488" s="48" t="s">
        <v>8728</v>
      </c>
      <c r="AZ1488" s="48" t="s">
        <v>1563</v>
      </c>
      <c r="BA1488" s="48">
        <v>32</v>
      </c>
      <c r="BB1488" s="47" t="s">
        <v>2485</v>
      </c>
      <c r="BC1488" s="47" t="s">
        <v>8726</v>
      </c>
      <c r="BD1488" s="47" t="s">
        <v>8374</v>
      </c>
      <c r="BE1488" s="48" t="s">
        <v>2449</v>
      </c>
      <c r="BF1488" s="48" t="s">
        <v>272</v>
      </c>
      <c r="BG1488" s="48" t="s">
        <v>272</v>
      </c>
      <c r="BH1488" s="48" t="s">
        <v>2486</v>
      </c>
      <c r="BI1488" s="98">
        <v>6.3999999999999997E-6</v>
      </c>
      <c r="BJ1488" s="98">
        <v>6.4000000000000001E-2</v>
      </c>
      <c r="BK1488" s="48"/>
      <c r="BL1488" s="98">
        <f t="shared" si="391"/>
        <v>0.21420766147449449</v>
      </c>
      <c r="BM1488" s="47" t="s">
        <v>2487</v>
      </c>
      <c r="BN1488" s="48"/>
      <c r="BO1488" s="48"/>
      <c r="BP1488" s="48"/>
      <c r="BQ1488" s="48"/>
      <c r="BR1488" s="47" t="s">
        <v>2496</v>
      </c>
      <c r="BS1488" s="48"/>
      <c r="BT1488" s="48"/>
      <c r="BU1488" s="228"/>
      <c r="BV1488" s="48"/>
      <c r="BW1488" s="48"/>
      <c r="BX1488" s="48"/>
      <c r="BY1488" s="48"/>
      <c r="BZ1488" s="48"/>
      <c r="CA1488" s="48"/>
      <c r="CB1488" s="48"/>
      <c r="CC1488" s="48"/>
      <c r="CD1488" s="48"/>
      <c r="CE1488" s="48"/>
      <c r="CF1488" s="48"/>
      <c r="CG1488" s="48"/>
      <c r="CH1488" s="48"/>
      <c r="CI1488" s="98"/>
      <c r="CJ1488" s="98"/>
      <c r="CK1488" s="49">
        <f t="shared" si="392"/>
        <v>3.3469947105389766</v>
      </c>
      <c r="CL1488" s="229"/>
      <c r="CM1488" s="229">
        <v>-0.61572129382934371</v>
      </c>
      <c r="CN1488" s="229">
        <f>BJ1488/(10^CM1488)</f>
        <v>0.2641808102345416</v>
      </c>
      <c r="CO1488" s="47" t="s">
        <v>2488</v>
      </c>
      <c r="CP1488" s="47" t="s">
        <v>2489</v>
      </c>
      <c r="CQ1488" s="224">
        <v>-0.61572129382934371</v>
      </c>
      <c r="CR1488" s="224">
        <f>10^(CJ1488-CQ1488)</f>
        <v>4.1278251599147122</v>
      </c>
      <c r="CS1488" s="230" t="s">
        <v>539</v>
      </c>
      <c r="CT1488" s="230"/>
      <c r="CU1488" s="230"/>
      <c r="CV1488" s="335">
        <f t="shared" si="380"/>
        <v>31.476794338696767</v>
      </c>
      <c r="CW1488" s="230">
        <f t="shared" si="386"/>
        <v>1</v>
      </c>
      <c r="CX1488" s="336"/>
      <c r="CY1488" s="230" t="s">
        <v>5921</v>
      </c>
    </row>
    <row r="1489" spans="1:103" ht="11.25" customHeight="1" x14ac:dyDescent="0.2">
      <c r="A1489" s="72">
        <v>1487</v>
      </c>
      <c r="B1489" s="224">
        <v>469</v>
      </c>
      <c r="C1489" s="46" t="s">
        <v>7511</v>
      </c>
      <c r="D1489" s="46"/>
      <c r="E1489" s="114"/>
      <c r="F1489" s="114" t="s">
        <v>4019</v>
      </c>
      <c r="G1489" s="225">
        <v>122931480</v>
      </c>
      <c r="H1489" s="47" t="s">
        <v>4020</v>
      </c>
      <c r="I1489" s="47" t="s">
        <v>4020</v>
      </c>
      <c r="J1489" s="47" t="s">
        <v>4021</v>
      </c>
      <c r="K1489" s="47" t="s">
        <v>3615</v>
      </c>
      <c r="L1489" s="47"/>
      <c r="M1489" s="47"/>
      <c r="N1489" s="47"/>
      <c r="O1489" s="47"/>
      <c r="P1489" s="53"/>
      <c r="Q1489" s="53"/>
      <c r="R1489" s="53"/>
      <c r="S1489" s="53"/>
      <c r="T1489" s="48">
        <v>431.45</v>
      </c>
      <c r="U1489" s="98">
        <v>2.3177656738903697E-2</v>
      </c>
      <c r="V1489" s="98">
        <v>1.1127593000347666E-2</v>
      </c>
      <c r="W1489" s="98">
        <v>0.16595869074375585</v>
      </c>
      <c r="X1489" s="98">
        <v>2.3177656738903697E-2</v>
      </c>
      <c r="Y1489" s="233">
        <v>3.83</v>
      </c>
      <c r="Z1489" s="48">
        <v>0.03</v>
      </c>
      <c r="AA1489" s="48">
        <v>0.28999999999999998</v>
      </c>
      <c r="AB1489" s="48">
        <v>-0.12</v>
      </c>
      <c r="AC1489" s="48">
        <v>0.78490000000000004</v>
      </c>
      <c r="AD1489" s="48">
        <v>0.45</v>
      </c>
      <c r="AE1489" s="48">
        <v>2.2200000000000002</v>
      </c>
      <c r="AF1489" s="48">
        <f t="shared" si="388"/>
        <v>0.28999999999999998</v>
      </c>
      <c r="AG1489" s="49">
        <v>0.65</v>
      </c>
      <c r="AH1489" s="98">
        <v>2.1600000000000001E-16</v>
      </c>
      <c r="AI1489" s="98">
        <v>6.4199999999999995E-10</v>
      </c>
      <c r="AJ1489" s="483">
        <f t="shared" si="389"/>
        <v>-14.054112575161721</v>
      </c>
      <c r="AK1489" s="483">
        <f>LOG10(AI1489*1000/(0.08206*298.15))</f>
        <v>-7.5810312982437988</v>
      </c>
      <c r="AL1489" s="483">
        <f t="shared" si="390"/>
        <v>-7.5810312982437988</v>
      </c>
      <c r="AM1489" s="483">
        <v>-30.232560000000003</v>
      </c>
      <c r="AN1489" s="226">
        <v>-32.700000000000003</v>
      </c>
      <c r="AO1489" s="484">
        <v>3.48</v>
      </c>
      <c r="AP1489" s="484">
        <v>-1.17</v>
      </c>
      <c r="AQ1489" s="226" t="s">
        <v>6311</v>
      </c>
      <c r="AR1489" s="226" t="s">
        <v>6311</v>
      </c>
      <c r="AS1489" s="224" t="s">
        <v>6</v>
      </c>
      <c r="AT1489" s="50" t="s">
        <v>266</v>
      </c>
      <c r="AU1489" s="48">
        <v>8</v>
      </c>
      <c r="AV1489" s="48">
        <v>144</v>
      </c>
      <c r="AW1489" s="48">
        <v>120</v>
      </c>
      <c r="AX1489" s="48">
        <v>26</v>
      </c>
      <c r="AY1489" s="48" t="s">
        <v>267</v>
      </c>
      <c r="AZ1489" s="48" t="s">
        <v>2253</v>
      </c>
      <c r="BA1489" s="48">
        <v>3</v>
      </c>
      <c r="BB1489" s="47" t="s">
        <v>2254</v>
      </c>
      <c r="BC1489" s="47" t="s">
        <v>270</v>
      </c>
      <c r="BD1489" s="47" t="s">
        <v>8374</v>
      </c>
      <c r="BE1489" s="48" t="s">
        <v>1712</v>
      </c>
      <c r="BF1489" s="48" t="s">
        <v>272</v>
      </c>
      <c r="BG1489" s="48" t="s">
        <v>272</v>
      </c>
      <c r="BH1489" s="48" t="s">
        <v>2255</v>
      </c>
      <c r="BI1489" s="98">
        <v>9.9999999999999995E-7</v>
      </c>
      <c r="BJ1489" s="98">
        <v>0.08</v>
      </c>
      <c r="BK1489" s="48"/>
      <c r="BL1489" s="98">
        <f t="shared" si="391"/>
        <v>48.289977161164174</v>
      </c>
      <c r="BM1489" s="48" t="s">
        <v>891</v>
      </c>
      <c r="BN1489" s="233"/>
      <c r="BO1489" s="233"/>
      <c r="BP1489" s="233"/>
      <c r="BQ1489" s="233"/>
      <c r="BR1489" s="233"/>
      <c r="BS1489" s="48"/>
      <c r="BT1489" s="233"/>
      <c r="BU1489" s="228"/>
      <c r="BV1489" s="233"/>
      <c r="BW1489" s="233"/>
      <c r="BX1489" s="233"/>
      <c r="BY1489" s="233"/>
      <c r="BZ1489" s="233"/>
      <c r="CA1489" s="233"/>
      <c r="CB1489" s="233"/>
      <c r="CC1489" s="48"/>
      <c r="CD1489" s="48"/>
      <c r="CE1489" s="48"/>
      <c r="CF1489" s="48"/>
      <c r="CG1489" s="233"/>
      <c r="CH1489" s="48"/>
      <c r="CI1489" s="98"/>
      <c r="CJ1489" s="98"/>
      <c r="CK1489" s="49">
        <f t="shared" si="392"/>
        <v>603.62471451455212</v>
      </c>
      <c r="CL1489" s="229"/>
      <c r="CM1489" s="229"/>
      <c r="CN1489" s="229"/>
      <c r="CO1489" s="47" t="s">
        <v>892</v>
      </c>
      <c r="CP1489" s="47" t="s">
        <v>893</v>
      </c>
      <c r="CQ1489" s="224" t="s">
        <v>272</v>
      </c>
      <c r="CR1489" s="224"/>
      <c r="CS1489" s="230" t="s">
        <v>539</v>
      </c>
      <c r="CT1489" s="230"/>
      <c r="CU1489" s="230"/>
      <c r="CV1489" s="335">
        <f t="shared" si="380"/>
        <v>0.28972070923629623</v>
      </c>
      <c r="CW1489" s="230">
        <f t="shared" si="386"/>
        <v>0</v>
      </c>
      <c r="CX1489" s="336" t="s">
        <v>539</v>
      </c>
      <c r="CY1489" s="230" t="s">
        <v>5921</v>
      </c>
    </row>
    <row r="1490" spans="1:103" ht="11.25" customHeight="1" x14ac:dyDescent="0.2">
      <c r="A1490" s="72">
        <v>1488</v>
      </c>
      <c r="B1490" s="224">
        <v>1543</v>
      </c>
      <c r="C1490" s="46" t="s">
        <v>7512</v>
      </c>
      <c r="D1490" s="46"/>
      <c r="E1490" s="114"/>
      <c r="F1490" s="114" t="s">
        <v>4663</v>
      </c>
      <c r="G1490" s="225">
        <v>123122554</v>
      </c>
      <c r="H1490" s="47" t="s">
        <v>4664</v>
      </c>
      <c r="I1490" s="47" t="s">
        <v>7827</v>
      </c>
      <c r="J1490" s="47" t="s">
        <v>4665</v>
      </c>
      <c r="K1490" s="47" t="s">
        <v>3260</v>
      </c>
      <c r="L1490" s="47"/>
      <c r="M1490" s="47"/>
      <c r="N1490" s="47"/>
      <c r="O1490" s="47"/>
      <c r="P1490" s="53"/>
      <c r="Q1490" s="53"/>
      <c r="R1490" s="53"/>
      <c r="S1490" s="53"/>
      <c r="T1490" s="48">
        <v>515.64</v>
      </c>
      <c r="U1490" s="98"/>
      <c r="V1490" s="98"/>
      <c r="W1490" s="98">
        <v>2.4547089156850253E-2</v>
      </c>
      <c r="X1490" s="98">
        <f>IF(W1490=0,V1490,W1490)</f>
        <v>2.4547089156850253E-2</v>
      </c>
      <c r="Y1490" s="233">
        <v>4.8499999999999996</v>
      </c>
      <c r="Z1490" s="48"/>
      <c r="AA1490" s="48"/>
      <c r="AB1490" s="48"/>
      <c r="AC1490" s="48"/>
      <c r="AD1490" s="48"/>
      <c r="AE1490" s="48"/>
      <c r="AF1490" s="48"/>
      <c r="AG1490" s="49">
        <v>3.96</v>
      </c>
      <c r="AH1490" s="98">
        <v>1.21E-19</v>
      </c>
      <c r="AI1490" s="98"/>
      <c r="AJ1490" s="483">
        <f t="shared" si="389"/>
        <v>-17.305780955996202</v>
      </c>
      <c r="AK1490" s="483"/>
      <c r="AL1490" s="483">
        <f t="shared" si="390"/>
        <v>-17.305780955996202</v>
      </c>
      <c r="AM1490" s="483"/>
      <c r="AN1490" s="226">
        <v>-21.2</v>
      </c>
      <c r="AO1490" s="484">
        <v>4.7</v>
      </c>
      <c r="AP1490" s="484">
        <v>-0.97</v>
      </c>
      <c r="AQ1490" s="48" t="s">
        <v>6311</v>
      </c>
      <c r="AR1490" s="48" t="s">
        <v>6312</v>
      </c>
      <c r="AS1490" s="227"/>
      <c r="AT1490" s="50" t="s">
        <v>266</v>
      </c>
      <c r="AU1490" s="48">
        <v>6</v>
      </c>
      <c r="AV1490" s="48">
        <v>120</v>
      </c>
      <c r="AW1490" s="48">
        <v>114</v>
      </c>
      <c r="AX1490" s="48">
        <v>28</v>
      </c>
      <c r="AY1490" s="48" t="s">
        <v>8728</v>
      </c>
      <c r="AZ1490" s="48" t="s">
        <v>1563</v>
      </c>
      <c r="BA1490" s="48">
        <v>32</v>
      </c>
      <c r="BB1490" s="47" t="s">
        <v>2485</v>
      </c>
      <c r="BC1490" s="47" t="s">
        <v>8726</v>
      </c>
      <c r="BD1490" s="47" t="s">
        <v>8374</v>
      </c>
      <c r="BE1490" s="48" t="s">
        <v>2449</v>
      </c>
      <c r="BF1490" s="48" t="s">
        <v>272</v>
      </c>
      <c r="BG1490" s="48" t="s">
        <v>272</v>
      </c>
      <c r="BH1490" s="48" t="s">
        <v>2486</v>
      </c>
      <c r="BI1490" s="98">
        <v>6.3999999999999997E-6</v>
      </c>
      <c r="BJ1490" s="98">
        <v>6.4000000000000001E-2</v>
      </c>
      <c r="BK1490" s="48"/>
      <c r="BL1490" s="98"/>
      <c r="BM1490" s="47" t="s">
        <v>2487</v>
      </c>
      <c r="BN1490" s="48"/>
      <c r="BO1490" s="48"/>
      <c r="BP1490" s="48"/>
      <c r="BQ1490" s="48"/>
      <c r="BR1490" s="47" t="s">
        <v>2496</v>
      </c>
      <c r="BS1490" s="48"/>
      <c r="BT1490" s="48"/>
      <c r="BU1490" s="228"/>
      <c r="BV1490" s="48"/>
      <c r="BW1490" s="48"/>
      <c r="BX1490" s="48"/>
      <c r="BY1490" s="48"/>
      <c r="BZ1490" s="48"/>
      <c r="CA1490" s="48"/>
      <c r="CB1490" s="48"/>
      <c r="CC1490" s="48"/>
      <c r="CD1490" s="48"/>
      <c r="CE1490" s="48"/>
      <c r="CF1490" s="48"/>
      <c r="CG1490" s="48"/>
      <c r="CH1490" s="48"/>
      <c r="CI1490" s="98"/>
      <c r="CJ1490" s="98"/>
      <c r="CK1490" s="49">
        <f t="shared" si="392"/>
        <v>0</v>
      </c>
      <c r="CL1490" s="229"/>
      <c r="CM1490" s="229"/>
      <c r="CN1490" s="229"/>
      <c r="CO1490" s="47" t="s">
        <v>2488</v>
      </c>
      <c r="CP1490" s="47" t="s">
        <v>2489</v>
      </c>
      <c r="CQ1490" s="224" t="s">
        <v>272</v>
      </c>
      <c r="CR1490" s="224"/>
      <c r="CS1490" s="230" t="s">
        <v>539</v>
      </c>
      <c r="CT1490" s="230"/>
      <c r="CU1490" s="230"/>
      <c r="CV1490" s="335">
        <f t="shared" si="380"/>
        <v>0.38354826807578518</v>
      </c>
      <c r="CW1490" s="230">
        <f t="shared" si="386"/>
        <v>0</v>
      </c>
      <c r="CX1490" s="336"/>
      <c r="CY1490" s="230" t="s">
        <v>5921</v>
      </c>
    </row>
    <row r="1491" spans="1:103" ht="11.25" customHeight="1" x14ac:dyDescent="0.2">
      <c r="A1491" s="72">
        <v>1489</v>
      </c>
      <c r="B1491" s="224">
        <v>454</v>
      </c>
      <c r="C1491" s="46" t="s">
        <v>7513</v>
      </c>
      <c r="D1491" s="46"/>
      <c r="E1491" s="114"/>
      <c r="F1491" s="114" t="s">
        <v>4007</v>
      </c>
      <c r="G1491" s="225">
        <v>123312890</v>
      </c>
      <c r="H1491" s="47" t="s">
        <v>4008</v>
      </c>
      <c r="I1491" s="47" t="s">
        <v>4008</v>
      </c>
      <c r="J1491" s="47" t="s">
        <v>4009</v>
      </c>
      <c r="K1491" s="47" t="s">
        <v>2281</v>
      </c>
      <c r="L1491" s="47" t="s">
        <v>617</v>
      </c>
      <c r="M1491" s="47" t="s">
        <v>4010</v>
      </c>
      <c r="N1491" s="47"/>
      <c r="O1491" s="47" t="s">
        <v>918</v>
      </c>
      <c r="P1491" s="53"/>
      <c r="Q1491" s="53"/>
      <c r="R1491" s="53"/>
      <c r="S1491" s="53"/>
      <c r="T1491" s="48">
        <v>217.23</v>
      </c>
      <c r="U1491" s="98">
        <v>1.3349905629977443</v>
      </c>
      <c r="V1491" s="98">
        <v>228.19131795792478</v>
      </c>
      <c r="W1491" s="98">
        <v>42.657951880159239</v>
      </c>
      <c r="X1491" s="98">
        <v>1.3349905629977443</v>
      </c>
      <c r="Y1491" s="233">
        <v>7.95</v>
      </c>
      <c r="Z1491" s="48">
        <v>0.89</v>
      </c>
      <c r="AA1491" s="48">
        <v>-0.18</v>
      </c>
      <c r="AB1491" s="48">
        <v>0.77</v>
      </c>
      <c r="AC1491" s="48">
        <v>0.65590000000000004</v>
      </c>
      <c r="AD1491" s="48">
        <v>0.3</v>
      </c>
      <c r="AE1491" s="48">
        <v>-0.51</v>
      </c>
      <c r="AF1491" s="48">
        <f t="shared" ref="AF1491:AF1522" si="393">IF(AA1491=0,AD1491,AA1491)</f>
        <v>-0.18</v>
      </c>
      <c r="AG1491" s="49">
        <v>0.74</v>
      </c>
      <c r="AH1491" s="98">
        <v>3.5400000000000001E-13</v>
      </c>
      <c r="AI1491" s="98"/>
      <c r="AJ1491" s="483">
        <f t="shared" si="389"/>
        <v>-10.839563064286864</v>
      </c>
      <c r="AK1491" s="483"/>
      <c r="AL1491" s="483">
        <f t="shared" si="390"/>
        <v>-10.839563064286864</v>
      </c>
      <c r="AM1491" s="483">
        <v>-13.69971</v>
      </c>
      <c r="AN1491" s="226">
        <v>-11</v>
      </c>
      <c r="AO1491" s="484">
        <v>12.9</v>
      </c>
      <c r="AP1491" s="484">
        <v>3.71</v>
      </c>
      <c r="AQ1491" s="226" t="s">
        <v>6311</v>
      </c>
      <c r="AR1491" s="226" t="s">
        <v>6311</v>
      </c>
      <c r="AS1491" s="224" t="s">
        <v>6</v>
      </c>
      <c r="AT1491" s="50" t="s">
        <v>266</v>
      </c>
      <c r="AU1491" s="48">
        <v>8</v>
      </c>
      <c r="AV1491" s="48">
        <v>144</v>
      </c>
      <c r="AW1491" s="48">
        <v>120</v>
      </c>
      <c r="AX1491" s="48">
        <v>26</v>
      </c>
      <c r="AY1491" s="48" t="s">
        <v>267</v>
      </c>
      <c r="AZ1491" s="48" t="s">
        <v>2253</v>
      </c>
      <c r="BA1491" s="48">
        <v>2</v>
      </c>
      <c r="BB1491" s="47" t="s">
        <v>2254</v>
      </c>
      <c r="BC1491" s="47" t="s">
        <v>270</v>
      </c>
      <c r="BD1491" s="47" t="s">
        <v>8374</v>
      </c>
      <c r="BE1491" s="48" t="s">
        <v>1712</v>
      </c>
      <c r="BF1491" s="48" t="s">
        <v>272</v>
      </c>
      <c r="BG1491" s="48" t="s">
        <v>272</v>
      </c>
      <c r="BH1491" s="48" t="s">
        <v>2255</v>
      </c>
      <c r="BI1491" s="98">
        <v>9.9999999999999995E-7</v>
      </c>
      <c r="BJ1491" s="98">
        <v>0.08</v>
      </c>
      <c r="BK1491" s="48"/>
      <c r="BL1491" s="98">
        <f t="shared" ref="BL1491:BL1537" si="394">10^((-0.8981*Z1491)+1.7108)</f>
        <v>8.1562588452562093</v>
      </c>
      <c r="BM1491" s="48" t="s">
        <v>891</v>
      </c>
      <c r="BN1491" s="233"/>
      <c r="BO1491" s="233"/>
      <c r="BP1491" s="233"/>
      <c r="BQ1491" s="233"/>
      <c r="BR1491" s="233"/>
      <c r="BS1491" s="48"/>
      <c r="BT1491" s="233"/>
      <c r="BU1491" s="228"/>
      <c r="BV1491" s="233"/>
      <c r="BW1491" s="233"/>
      <c r="BX1491" s="233"/>
      <c r="BY1491" s="233"/>
      <c r="BZ1491" s="233"/>
      <c r="CA1491" s="233"/>
      <c r="CB1491" s="233"/>
      <c r="CC1491" s="48"/>
      <c r="CD1491" s="238"/>
      <c r="CE1491" s="238"/>
      <c r="CF1491" s="238"/>
      <c r="CG1491" s="233"/>
      <c r="CH1491" s="48"/>
      <c r="CI1491" s="98"/>
      <c r="CJ1491" s="98"/>
      <c r="CK1491" s="49">
        <f t="shared" si="392"/>
        <v>101.95323556570261</v>
      </c>
      <c r="CL1491" s="229"/>
      <c r="CM1491" s="229"/>
      <c r="CN1491" s="229"/>
      <c r="CO1491" s="47" t="s">
        <v>892</v>
      </c>
      <c r="CP1491" s="47" t="s">
        <v>893</v>
      </c>
      <c r="CQ1491" s="224" t="s">
        <v>272</v>
      </c>
      <c r="CR1491" s="224"/>
      <c r="CS1491" s="230" t="s">
        <v>539</v>
      </c>
      <c r="CT1491" s="230"/>
      <c r="CU1491" s="230"/>
      <c r="CV1491" s="335">
        <f t="shared" si="380"/>
        <v>16.687382037471803</v>
      </c>
      <c r="CW1491" s="230">
        <f t="shared" si="386"/>
        <v>1</v>
      </c>
      <c r="CX1491" s="336" t="s">
        <v>539</v>
      </c>
      <c r="CY1491" s="230" t="s">
        <v>5921</v>
      </c>
    </row>
    <row r="1492" spans="1:103" ht="11.25" customHeight="1" x14ac:dyDescent="0.2">
      <c r="A1492" s="72">
        <v>1490</v>
      </c>
      <c r="B1492" s="224">
        <v>1842</v>
      </c>
      <c r="C1492" s="46" t="s">
        <v>7513</v>
      </c>
      <c r="D1492" s="46"/>
      <c r="E1492" s="114"/>
      <c r="F1492" s="114" t="s">
        <v>4007</v>
      </c>
      <c r="G1492" s="225">
        <v>123312890</v>
      </c>
      <c r="H1492" s="47" t="s">
        <v>4008</v>
      </c>
      <c r="I1492" s="47" t="s">
        <v>4008</v>
      </c>
      <c r="J1492" s="47" t="s">
        <v>4009</v>
      </c>
      <c r="K1492" s="47" t="s">
        <v>2281</v>
      </c>
      <c r="L1492" s="47" t="s">
        <v>617</v>
      </c>
      <c r="M1492" s="47" t="s">
        <v>4010</v>
      </c>
      <c r="N1492" s="47"/>
      <c r="O1492" s="47" t="s">
        <v>918</v>
      </c>
      <c r="P1492" s="53"/>
      <c r="Q1492" s="53"/>
      <c r="R1492" s="53"/>
      <c r="S1492" s="53"/>
      <c r="T1492" s="48">
        <v>217.23</v>
      </c>
      <c r="U1492" s="98">
        <v>1.3349905629977443</v>
      </c>
      <c r="V1492" s="98">
        <v>228.19131795792478</v>
      </c>
      <c r="W1492" s="98">
        <v>42.657951880159239</v>
      </c>
      <c r="X1492" s="98">
        <v>1.3349905629977443</v>
      </c>
      <c r="Y1492" s="233">
        <v>7.95</v>
      </c>
      <c r="Z1492" s="48">
        <v>0.89</v>
      </c>
      <c r="AA1492" s="48">
        <v>-0.18</v>
      </c>
      <c r="AB1492" s="48">
        <v>0.77</v>
      </c>
      <c r="AC1492" s="48">
        <v>0.65590000000000004</v>
      </c>
      <c r="AD1492" s="48">
        <v>0.3</v>
      </c>
      <c r="AE1492" s="48">
        <v>-0.51</v>
      </c>
      <c r="AF1492" s="48">
        <f t="shared" si="393"/>
        <v>-0.18</v>
      </c>
      <c r="AG1492" s="49">
        <v>0.74</v>
      </c>
      <c r="AH1492" s="98">
        <v>3.5400000000000001E-13</v>
      </c>
      <c r="AI1492" s="98"/>
      <c r="AJ1492" s="483">
        <f t="shared" si="389"/>
        <v>-10.839563064286864</v>
      </c>
      <c r="AK1492" s="483"/>
      <c r="AL1492" s="483">
        <f t="shared" si="390"/>
        <v>-10.839563064286864</v>
      </c>
      <c r="AM1492" s="483">
        <v>-13.69971</v>
      </c>
      <c r="AN1492" s="226">
        <v>-11</v>
      </c>
      <c r="AO1492" s="484">
        <v>12.9</v>
      </c>
      <c r="AP1492" s="484">
        <v>3.71</v>
      </c>
      <c r="AQ1492" s="226" t="s">
        <v>6311</v>
      </c>
      <c r="AR1492" s="226" t="s">
        <v>6311</v>
      </c>
      <c r="AS1492" s="224"/>
      <c r="AT1492" s="50" t="s">
        <v>266</v>
      </c>
      <c r="AU1492" s="48">
        <v>6</v>
      </c>
      <c r="AV1492" s="48">
        <v>120</v>
      </c>
      <c r="AW1492" s="48">
        <v>114</v>
      </c>
      <c r="AX1492" s="48">
        <v>28</v>
      </c>
      <c r="AY1492" s="48" t="s">
        <v>8728</v>
      </c>
      <c r="AZ1492" s="48" t="s">
        <v>1563</v>
      </c>
      <c r="BA1492" s="48">
        <v>32</v>
      </c>
      <c r="BB1492" s="47" t="s">
        <v>2485</v>
      </c>
      <c r="BC1492" s="47" t="s">
        <v>8726</v>
      </c>
      <c r="BD1492" s="47" t="s">
        <v>8374</v>
      </c>
      <c r="BE1492" s="48" t="s">
        <v>2449</v>
      </c>
      <c r="BF1492" s="48" t="s">
        <v>272</v>
      </c>
      <c r="BG1492" s="48" t="s">
        <v>272</v>
      </c>
      <c r="BH1492" s="48" t="s">
        <v>2486</v>
      </c>
      <c r="BI1492" s="98">
        <v>6.3999999999999997E-6</v>
      </c>
      <c r="BJ1492" s="98">
        <v>6.4000000000000001E-2</v>
      </c>
      <c r="BK1492" s="48"/>
      <c r="BL1492" s="98">
        <f t="shared" si="394"/>
        <v>8.1562588452562093</v>
      </c>
      <c r="BM1492" s="47" t="s">
        <v>2487</v>
      </c>
      <c r="BN1492" s="48"/>
      <c r="BO1492" s="48"/>
      <c r="BP1492" s="48"/>
      <c r="BQ1492" s="48"/>
      <c r="BR1492" s="47" t="s">
        <v>2496</v>
      </c>
      <c r="BS1492" s="48"/>
      <c r="BT1492" s="48"/>
      <c r="BU1492" s="228"/>
      <c r="BV1492" s="48"/>
      <c r="BW1492" s="48"/>
      <c r="BX1492" s="48"/>
      <c r="BY1492" s="48"/>
      <c r="BZ1492" s="48"/>
      <c r="CA1492" s="48"/>
      <c r="CB1492" s="48"/>
      <c r="CC1492" s="48"/>
      <c r="CD1492" s="48"/>
      <c r="CE1492" s="48"/>
      <c r="CF1492" s="48"/>
      <c r="CG1492" s="48"/>
      <c r="CH1492" s="48"/>
      <c r="CI1492" s="98"/>
      <c r="CJ1492" s="98"/>
      <c r="CK1492" s="49">
        <f t="shared" si="392"/>
        <v>127.44154445712827</v>
      </c>
      <c r="CL1492" s="229"/>
      <c r="CM1492" s="229"/>
      <c r="CN1492" s="229"/>
      <c r="CO1492" s="47" t="s">
        <v>2488</v>
      </c>
      <c r="CP1492" s="47" t="s">
        <v>2489</v>
      </c>
      <c r="CQ1492" s="224" t="s">
        <v>272</v>
      </c>
      <c r="CR1492" s="224"/>
      <c r="CS1492" s="230" t="s">
        <v>539</v>
      </c>
      <c r="CT1492" s="230"/>
      <c r="CU1492" s="230"/>
      <c r="CV1492" s="335">
        <f t="shared" si="380"/>
        <v>20.859227546839755</v>
      </c>
      <c r="CW1492" s="230">
        <f t="shared" si="386"/>
        <v>1</v>
      </c>
      <c r="CX1492" s="336"/>
      <c r="CY1492" s="230" t="s">
        <v>5921</v>
      </c>
    </row>
    <row r="1493" spans="1:103" ht="11.25" customHeight="1" x14ac:dyDescent="0.2">
      <c r="A1493" s="72">
        <v>1491</v>
      </c>
      <c r="B1493" s="224">
        <v>457</v>
      </c>
      <c r="C1493" s="46" t="s">
        <v>7514</v>
      </c>
      <c r="D1493" s="46"/>
      <c r="E1493" s="114"/>
      <c r="F1493" s="114" t="s">
        <v>4011</v>
      </c>
      <c r="G1493" s="225">
        <v>123343168</v>
      </c>
      <c r="H1493" s="47" t="s">
        <v>4012</v>
      </c>
      <c r="I1493" s="47" t="s">
        <v>8165</v>
      </c>
      <c r="J1493" s="47" t="s">
        <v>4013</v>
      </c>
      <c r="K1493" s="47" t="s">
        <v>426</v>
      </c>
      <c r="L1493" s="47"/>
      <c r="M1493" s="47"/>
      <c r="N1493" s="47"/>
      <c r="O1493" s="47"/>
      <c r="P1493" s="53"/>
      <c r="Q1493" s="53"/>
      <c r="R1493" s="53"/>
      <c r="S1493" s="53"/>
      <c r="T1493" s="48">
        <v>326.76</v>
      </c>
      <c r="U1493" s="98"/>
      <c r="V1493" s="98">
        <v>0.12060839760068551</v>
      </c>
      <c r="W1493" s="98">
        <v>0.93325430079699057</v>
      </c>
      <c r="X1493" s="98">
        <f t="shared" ref="X1493:X1500" si="395">IF(W1493=0,V1493,W1493)</f>
        <v>0.93325430079699057</v>
      </c>
      <c r="Y1493" s="233">
        <v>3.06</v>
      </c>
      <c r="Z1493" s="48">
        <v>2.74</v>
      </c>
      <c r="AA1493" s="48"/>
      <c r="AB1493" s="48">
        <v>3.35</v>
      </c>
      <c r="AC1493" s="48">
        <v>0.80159999999999998</v>
      </c>
      <c r="AD1493" s="48">
        <v>3.26</v>
      </c>
      <c r="AE1493" s="48">
        <v>3</v>
      </c>
      <c r="AF1493" s="48">
        <f t="shared" si="393"/>
        <v>3.26</v>
      </c>
      <c r="AG1493" s="49">
        <v>3.26</v>
      </c>
      <c r="AH1493" s="98">
        <v>2.8700000000000001E-12</v>
      </c>
      <c r="AI1493" s="98"/>
      <c r="AJ1493" s="483">
        <f t="shared" si="389"/>
        <v>-9.93068442957866</v>
      </c>
      <c r="AK1493" s="483"/>
      <c r="AL1493" s="483">
        <f t="shared" si="390"/>
        <v>-9.93068442957866</v>
      </c>
      <c r="AM1493" s="483">
        <v>-17.042919999999999</v>
      </c>
      <c r="AN1493" s="226"/>
      <c r="AO1493" s="484">
        <v>1.91</v>
      </c>
      <c r="AP1493" s="484">
        <v>-0.71</v>
      </c>
      <c r="AQ1493" s="226" t="s">
        <v>6311</v>
      </c>
      <c r="AR1493" s="226" t="s">
        <v>6311</v>
      </c>
      <c r="AS1493" s="224" t="s">
        <v>6</v>
      </c>
      <c r="AT1493" s="50" t="s">
        <v>266</v>
      </c>
      <c r="AU1493" s="48">
        <v>8</v>
      </c>
      <c r="AV1493" s="48">
        <v>144</v>
      </c>
      <c r="AW1493" s="48">
        <v>120</v>
      </c>
      <c r="AX1493" s="48">
        <v>26</v>
      </c>
      <c r="AY1493" s="48" t="s">
        <v>267</v>
      </c>
      <c r="AZ1493" s="48" t="s">
        <v>2253</v>
      </c>
      <c r="BA1493" s="48">
        <v>2</v>
      </c>
      <c r="BB1493" s="47" t="s">
        <v>2254</v>
      </c>
      <c r="BC1493" s="47" t="s">
        <v>270</v>
      </c>
      <c r="BD1493" s="47" t="s">
        <v>8374</v>
      </c>
      <c r="BE1493" s="48" t="s">
        <v>1712</v>
      </c>
      <c r="BF1493" s="48" t="s">
        <v>272</v>
      </c>
      <c r="BG1493" s="48" t="s">
        <v>272</v>
      </c>
      <c r="BH1493" s="48" t="s">
        <v>2255</v>
      </c>
      <c r="BI1493" s="98">
        <v>9.9999999999999995E-7</v>
      </c>
      <c r="BJ1493" s="98">
        <v>0.08</v>
      </c>
      <c r="BK1493" s="48"/>
      <c r="BL1493" s="98">
        <f t="shared" si="394"/>
        <v>0.17783039780465951</v>
      </c>
      <c r="BM1493" s="48" t="s">
        <v>891</v>
      </c>
      <c r="BN1493" s="233"/>
      <c r="BO1493" s="233"/>
      <c r="BP1493" s="233"/>
      <c r="BQ1493" s="233"/>
      <c r="BR1493" s="233"/>
      <c r="BS1493" s="48"/>
      <c r="BT1493" s="233"/>
      <c r="BU1493" s="228"/>
      <c r="BV1493" s="233"/>
      <c r="BW1493" s="233"/>
      <c r="BX1493" s="233"/>
      <c r="BY1493" s="233"/>
      <c r="BZ1493" s="233"/>
      <c r="CA1493" s="233"/>
      <c r="CB1493" s="233"/>
      <c r="CC1493" s="48"/>
      <c r="CD1493" s="48"/>
      <c r="CE1493" s="48"/>
      <c r="CF1493" s="48"/>
      <c r="CG1493" s="233"/>
      <c r="CH1493" s="48"/>
      <c r="CI1493" s="98"/>
      <c r="CJ1493" s="98"/>
      <c r="CK1493" s="49">
        <f t="shared" si="392"/>
        <v>2.222879972558244</v>
      </c>
      <c r="CL1493" s="229"/>
      <c r="CM1493" s="229"/>
      <c r="CN1493" s="229"/>
      <c r="CO1493" s="47" t="s">
        <v>892</v>
      </c>
      <c r="CP1493" s="47" t="s">
        <v>893</v>
      </c>
      <c r="CQ1493" s="224" t="s">
        <v>272</v>
      </c>
      <c r="CR1493" s="224"/>
      <c r="CS1493" s="230" t="s">
        <v>539</v>
      </c>
      <c r="CT1493" s="230"/>
      <c r="CU1493" s="230"/>
      <c r="CV1493" s="335">
        <f t="shared" si="380"/>
        <v>11.665678759962383</v>
      </c>
      <c r="CW1493" s="230">
        <f t="shared" si="386"/>
        <v>1</v>
      </c>
      <c r="CX1493" s="336" t="s">
        <v>539</v>
      </c>
      <c r="CY1493" s="230" t="s">
        <v>5921</v>
      </c>
    </row>
    <row r="1494" spans="1:103" ht="11.25" customHeight="1" x14ac:dyDescent="0.2">
      <c r="A1494" s="72">
        <v>1492</v>
      </c>
      <c r="B1494" s="224">
        <v>1848</v>
      </c>
      <c r="C1494" s="46" t="s">
        <v>7514</v>
      </c>
      <c r="D1494" s="46"/>
      <c r="E1494" s="114"/>
      <c r="F1494" s="114" t="s">
        <v>4011</v>
      </c>
      <c r="G1494" s="225">
        <v>123343168</v>
      </c>
      <c r="H1494" s="47" t="s">
        <v>4012</v>
      </c>
      <c r="I1494" s="47" t="s">
        <v>8165</v>
      </c>
      <c r="J1494" s="47" t="s">
        <v>4013</v>
      </c>
      <c r="K1494" s="47" t="s">
        <v>426</v>
      </c>
      <c r="L1494" s="47"/>
      <c r="M1494" s="47"/>
      <c r="N1494" s="47"/>
      <c r="O1494" s="47"/>
      <c r="P1494" s="53"/>
      <c r="Q1494" s="53"/>
      <c r="R1494" s="53"/>
      <c r="S1494" s="53"/>
      <c r="T1494" s="48">
        <v>326.76</v>
      </c>
      <c r="U1494" s="98"/>
      <c r="V1494" s="98">
        <v>0.12060839760068551</v>
      </c>
      <c r="W1494" s="98">
        <v>0.93325430079699057</v>
      </c>
      <c r="X1494" s="98">
        <f t="shared" si="395"/>
        <v>0.93325430079699057</v>
      </c>
      <c r="Y1494" s="233">
        <v>3.06</v>
      </c>
      <c r="Z1494" s="48">
        <v>2.74</v>
      </c>
      <c r="AA1494" s="48"/>
      <c r="AB1494" s="48">
        <v>3.35</v>
      </c>
      <c r="AC1494" s="48">
        <v>0.80159999999999998</v>
      </c>
      <c r="AD1494" s="48">
        <v>3.26</v>
      </c>
      <c r="AE1494" s="48">
        <v>3</v>
      </c>
      <c r="AF1494" s="48">
        <f t="shared" si="393"/>
        <v>3.26</v>
      </c>
      <c r="AG1494" s="49">
        <v>3.26</v>
      </c>
      <c r="AH1494" s="98">
        <v>2.8700000000000001E-12</v>
      </c>
      <c r="AI1494" s="98"/>
      <c r="AJ1494" s="483">
        <f t="shared" si="389"/>
        <v>-9.93068442957866</v>
      </c>
      <c r="AK1494" s="483"/>
      <c r="AL1494" s="483">
        <f t="shared" si="390"/>
        <v>-9.93068442957866</v>
      </c>
      <c r="AM1494" s="483">
        <v>-17.042919999999999</v>
      </c>
      <c r="AN1494" s="226"/>
      <c r="AO1494" s="484">
        <v>1.91</v>
      </c>
      <c r="AP1494" s="484">
        <v>-0.71</v>
      </c>
      <c r="AQ1494" s="226" t="s">
        <v>6311</v>
      </c>
      <c r="AR1494" s="226" t="s">
        <v>6311</v>
      </c>
      <c r="AS1494" s="224"/>
      <c r="AT1494" s="50" t="s">
        <v>266</v>
      </c>
      <c r="AU1494" s="48">
        <v>6</v>
      </c>
      <c r="AV1494" s="48">
        <v>120</v>
      </c>
      <c r="AW1494" s="48">
        <v>114</v>
      </c>
      <c r="AX1494" s="48">
        <v>28</v>
      </c>
      <c r="AY1494" s="48" t="s">
        <v>8728</v>
      </c>
      <c r="AZ1494" s="48" t="s">
        <v>1563</v>
      </c>
      <c r="BA1494" s="48">
        <v>32</v>
      </c>
      <c r="BB1494" s="47" t="s">
        <v>2485</v>
      </c>
      <c r="BC1494" s="47" t="s">
        <v>8726</v>
      </c>
      <c r="BD1494" s="47" t="s">
        <v>8374</v>
      </c>
      <c r="BE1494" s="48" t="s">
        <v>2449</v>
      </c>
      <c r="BF1494" s="48" t="s">
        <v>272</v>
      </c>
      <c r="BG1494" s="48" t="s">
        <v>272</v>
      </c>
      <c r="BH1494" s="48" t="s">
        <v>2486</v>
      </c>
      <c r="BI1494" s="98">
        <v>6.3999999999999997E-6</v>
      </c>
      <c r="BJ1494" s="98">
        <v>6.4000000000000001E-2</v>
      </c>
      <c r="BK1494" s="48"/>
      <c r="BL1494" s="98">
        <f t="shared" si="394"/>
        <v>0.17783039780465951</v>
      </c>
      <c r="BM1494" s="47" t="s">
        <v>2487</v>
      </c>
      <c r="BN1494" s="48"/>
      <c r="BO1494" s="48"/>
      <c r="BP1494" s="48"/>
      <c r="BQ1494" s="48"/>
      <c r="BR1494" s="47" t="s">
        <v>2496</v>
      </c>
      <c r="BS1494" s="48"/>
      <c r="BT1494" s="48"/>
      <c r="BU1494" s="228"/>
      <c r="BV1494" s="48"/>
      <c r="BW1494" s="48"/>
      <c r="BX1494" s="48"/>
      <c r="BY1494" s="48"/>
      <c r="BZ1494" s="48"/>
      <c r="CA1494" s="48"/>
      <c r="CB1494" s="48"/>
      <c r="CC1494" s="48"/>
      <c r="CD1494" s="48"/>
      <c r="CE1494" s="48"/>
      <c r="CF1494" s="48"/>
      <c r="CG1494" s="48"/>
      <c r="CH1494" s="48"/>
      <c r="CI1494" s="98"/>
      <c r="CJ1494" s="98"/>
      <c r="CK1494" s="49">
        <f t="shared" si="392"/>
        <v>2.7785999656978047</v>
      </c>
      <c r="CL1494" s="229"/>
      <c r="CM1494" s="229"/>
      <c r="CN1494" s="229"/>
      <c r="CO1494" s="47" t="s">
        <v>2488</v>
      </c>
      <c r="CP1494" s="47" t="s">
        <v>2489</v>
      </c>
      <c r="CQ1494" s="224" t="s">
        <v>272</v>
      </c>
      <c r="CR1494" s="224"/>
      <c r="CS1494" s="230" t="s">
        <v>539</v>
      </c>
      <c r="CT1494" s="230"/>
      <c r="CU1494" s="230"/>
      <c r="CV1494" s="335">
        <f t="shared" si="380"/>
        <v>14.582098449952976</v>
      </c>
      <c r="CW1494" s="230">
        <f t="shared" si="386"/>
        <v>1</v>
      </c>
      <c r="CX1494" s="336"/>
      <c r="CY1494" s="230" t="s">
        <v>5921</v>
      </c>
    </row>
    <row r="1495" spans="1:103" ht="11.25" customHeight="1" x14ac:dyDescent="0.2">
      <c r="A1495" s="72">
        <v>1493</v>
      </c>
      <c r="B1495" s="224">
        <v>920</v>
      </c>
      <c r="C1495" s="46" t="s">
        <v>7515</v>
      </c>
      <c r="D1495" s="46"/>
      <c r="E1495" s="114"/>
      <c r="F1495" s="114" t="s">
        <v>2628</v>
      </c>
      <c r="G1495" s="225">
        <v>124378774</v>
      </c>
      <c r="H1495" s="47" t="s">
        <v>2629</v>
      </c>
      <c r="I1495" s="47" t="s">
        <v>7861</v>
      </c>
      <c r="J1495" s="47" t="s">
        <v>2630</v>
      </c>
      <c r="K1495" s="47" t="s">
        <v>2631</v>
      </c>
      <c r="L1495" s="47"/>
      <c r="M1495" s="47"/>
      <c r="N1495" s="47"/>
      <c r="O1495" s="47"/>
      <c r="P1495" s="53"/>
      <c r="Q1495" s="53"/>
      <c r="R1495" s="53"/>
      <c r="S1495" s="53"/>
      <c r="T1495" s="48">
        <v>454.4</v>
      </c>
      <c r="U1495" s="98"/>
      <c r="V1495" s="98">
        <v>9.2099471830985914E-3</v>
      </c>
      <c r="W1495" s="98">
        <v>7.4131024130091636E-2</v>
      </c>
      <c r="X1495" s="98">
        <f t="shared" si="395"/>
        <v>7.4131024130091636E-2</v>
      </c>
      <c r="Y1495" s="233">
        <v>4.18</v>
      </c>
      <c r="Z1495" s="48">
        <v>2.96</v>
      </c>
      <c r="AA1495" s="48"/>
      <c r="AB1495" s="48">
        <v>2.5099999999999998</v>
      </c>
      <c r="AC1495" s="48">
        <v>0.64400000000000002</v>
      </c>
      <c r="AD1495" s="48">
        <v>2.69</v>
      </c>
      <c r="AE1495" s="48">
        <v>3</v>
      </c>
      <c r="AF1495" s="48">
        <f t="shared" si="393"/>
        <v>2.69</v>
      </c>
      <c r="AG1495" s="49">
        <v>2.97</v>
      </c>
      <c r="AH1495" s="98">
        <v>5.75E-22</v>
      </c>
      <c r="AI1495" s="98"/>
      <c r="AJ1495" s="483">
        <f t="shared" si="389"/>
        <v>-19.628898481623022</v>
      </c>
      <c r="AK1495" s="483"/>
      <c r="AL1495" s="483">
        <f t="shared" si="390"/>
        <v>-19.628898481623022</v>
      </c>
      <c r="AM1495" s="483">
        <v>-27.615110000000001</v>
      </c>
      <c r="AN1495" s="226">
        <v>-17.8</v>
      </c>
      <c r="AO1495" s="484">
        <v>3.1</v>
      </c>
      <c r="AP1495" s="484">
        <v>1.44</v>
      </c>
      <c r="AQ1495" s="48" t="s">
        <v>6311</v>
      </c>
      <c r="AR1495" s="48" t="s">
        <v>6311</v>
      </c>
      <c r="AS1495" s="227"/>
      <c r="AT1495" s="50" t="s">
        <v>266</v>
      </c>
      <c r="AU1495" s="48">
        <v>6</v>
      </c>
      <c r="AV1495" s="48">
        <v>120</v>
      </c>
      <c r="AW1495" s="48">
        <v>114</v>
      </c>
      <c r="AX1495" s="48">
        <v>28</v>
      </c>
      <c r="AY1495" s="48" t="s">
        <v>8728</v>
      </c>
      <c r="AZ1495" s="48" t="s">
        <v>1563</v>
      </c>
      <c r="BA1495" s="48">
        <v>32</v>
      </c>
      <c r="BB1495" s="47" t="s">
        <v>2485</v>
      </c>
      <c r="BC1495" s="47" t="s">
        <v>8726</v>
      </c>
      <c r="BD1495" s="47" t="s">
        <v>8374</v>
      </c>
      <c r="BE1495" s="48" t="s">
        <v>2449</v>
      </c>
      <c r="BF1495" s="48" t="s">
        <v>272</v>
      </c>
      <c r="BG1495" s="48" t="s">
        <v>272</v>
      </c>
      <c r="BH1495" s="48" t="s">
        <v>2486</v>
      </c>
      <c r="BI1495" s="98">
        <v>6.3999999999999997E-6</v>
      </c>
      <c r="BJ1495" s="98">
        <v>6.4000000000000001E-2</v>
      </c>
      <c r="BK1495" s="48"/>
      <c r="BL1495" s="98">
        <f t="shared" si="394"/>
        <v>0.11282984720039825</v>
      </c>
      <c r="BM1495" s="47" t="s">
        <v>2487</v>
      </c>
      <c r="BN1495" s="48"/>
      <c r="BO1495" s="48"/>
      <c r="BP1495" s="48"/>
      <c r="BQ1495" s="48"/>
      <c r="BR1495" s="47" t="s">
        <v>2496</v>
      </c>
      <c r="BS1495" s="48"/>
      <c r="BT1495" s="48"/>
      <c r="BU1495" s="228">
        <v>5.7920000000000003E-3</v>
      </c>
      <c r="BV1495" s="48"/>
      <c r="BW1495" s="48"/>
      <c r="BX1495" s="48"/>
      <c r="BY1495" s="48"/>
      <c r="BZ1495" s="48"/>
      <c r="CA1495" s="48"/>
      <c r="CB1495" s="48"/>
      <c r="CC1495" s="48"/>
      <c r="CD1495" s="48"/>
      <c r="CE1495" s="48"/>
      <c r="CF1495" s="48"/>
      <c r="CG1495" s="48"/>
      <c r="CH1495" s="48"/>
      <c r="CI1495" s="98" t="s">
        <v>6345</v>
      </c>
      <c r="CJ1495" s="98"/>
      <c r="CK1495" s="49">
        <f t="shared" si="392"/>
        <v>1.7629663625062226</v>
      </c>
      <c r="CL1495" s="229"/>
      <c r="CM1495" s="229"/>
      <c r="CN1495" s="229"/>
      <c r="CO1495" s="47" t="s">
        <v>2488</v>
      </c>
      <c r="CP1495" s="47" t="s">
        <v>2489</v>
      </c>
      <c r="CQ1495" s="224" t="s">
        <v>272</v>
      </c>
      <c r="CR1495" s="224"/>
      <c r="CS1495" s="230" t="s">
        <v>539</v>
      </c>
      <c r="CT1495" s="230"/>
      <c r="CU1495" s="230"/>
      <c r="CV1495" s="335">
        <f t="shared" si="380"/>
        <v>1.1582972520326817</v>
      </c>
      <c r="CW1495" s="230">
        <f t="shared" si="386"/>
        <v>1</v>
      </c>
      <c r="CX1495" s="336"/>
      <c r="CY1495" s="230" t="s">
        <v>5921</v>
      </c>
    </row>
    <row r="1496" spans="1:103" ht="11.25" customHeight="1" x14ac:dyDescent="0.2">
      <c r="A1496" s="72">
        <v>1494</v>
      </c>
      <c r="B1496" s="224">
        <v>697</v>
      </c>
      <c r="C1496" s="46" t="s">
        <v>7516</v>
      </c>
      <c r="D1496" s="46"/>
      <c r="E1496" s="114"/>
      <c r="F1496" s="114" t="s">
        <v>4062</v>
      </c>
      <c r="G1496" s="225">
        <v>126535157</v>
      </c>
      <c r="H1496" s="47" t="s">
        <v>4063</v>
      </c>
      <c r="I1496" s="47" t="s">
        <v>4063</v>
      </c>
      <c r="J1496" s="47" t="s">
        <v>4064</v>
      </c>
      <c r="K1496" s="47" t="s">
        <v>3853</v>
      </c>
      <c r="L1496" s="47"/>
      <c r="M1496" s="47"/>
      <c r="N1496" s="47"/>
      <c r="O1496" s="47"/>
      <c r="P1496" s="53"/>
      <c r="Q1496" s="53" t="s">
        <v>6173</v>
      </c>
      <c r="R1496" s="53" t="s">
        <v>6175</v>
      </c>
      <c r="S1496" s="53" t="s">
        <v>6176</v>
      </c>
      <c r="T1496" s="48">
        <v>492.43</v>
      </c>
      <c r="U1496" s="98"/>
      <c r="V1496" s="98">
        <v>1.4820380561704201E-3</v>
      </c>
      <c r="W1496" s="98">
        <v>2.1379620895022287E-2</v>
      </c>
      <c r="X1496" s="98">
        <f t="shared" si="395"/>
        <v>2.1379620895022287E-2</v>
      </c>
      <c r="Y1496" s="233">
        <v>4.72</v>
      </c>
      <c r="Z1496" s="48">
        <v>3.94</v>
      </c>
      <c r="AA1496" s="48">
        <v>3.56</v>
      </c>
      <c r="AB1496" s="48">
        <v>2.66</v>
      </c>
      <c r="AC1496" s="48">
        <v>0.78600000000000003</v>
      </c>
      <c r="AD1496" s="48">
        <v>2.83</v>
      </c>
      <c r="AE1496" s="48">
        <v>3.57</v>
      </c>
      <c r="AF1496" s="48">
        <f t="shared" si="393"/>
        <v>3.56</v>
      </c>
      <c r="AG1496" s="49">
        <v>2.7</v>
      </c>
      <c r="AH1496" s="98">
        <v>1.25E-14</v>
      </c>
      <c r="AI1496" s="98"/>
      <c r="AJ1496" s="483">
        <f t="shared" si="389"/>
        <v>-12.291656313304596</v>
      </c>
      <c r="AK1496" s="483"/>
      <c r="AL1496" s="483">
        <f t="shared" si="390"/>
        <v>-12.291656313304596</v>
      </c>
      <c r="AM1496" s="483">
        <v>-25.929599999999997</v>
      </c>
      <c r="AN1496" s="226">
        <v>-24.9</v>
      </c>
      <c r="AO1496" s="484">
        <v>11.38</v>
      </c>
      <c r="AP1496" s="484">
        <v>4.13</v>
      </c>
      <c r="AQ1496" s="226" t="s">
        <v>6311</v>
      </c>
      <c r="AR1496" s="226" t="s">
        <v>6312</v>
      </c>
      <c r="AS1496" s="224" t="s">
        <v>63</v>
      </c>
      <c r="AT1496" s="50" t="s">
        <v>266</v>
      </c>
      <c r="AU1496" s="48">
        <v>8</v>
      </c>
      <c r="AV1496" s="48">
        <v>144</v>
      </c>
      <c r="AW1496" s="48">
        <v>120</v>
      </c>
      <c r="AX1496" s="48">
        <v>26</v>
      </c>
      <c r="AY1496" s="48" t="s">
        <v>267</v>
      </c>
      <c r="AZ1496" s="48" t="s">
        <v>2253</v>
      </c>
      <c r="BA1496" s="48">
        <v>2</v>
      </c>
      <c r="BB1496" s="47" t="s">
        <v>2254</v>
      </c>
      <c r="BC1496" s="47" t="s">
        <v>270</v>
      </c>
      <c r="BD1496" s="47" t="s">
        <v>8374</v>
      </c>
      <c r="BE1496" s="48" t="s">
        <v>1712</v>
      </c>
      <c r="BF1496" s="48" t="s">
        <v>272</v>
      </c>
      <c r="BG1496" s="48" t="s">
        <v>272</v>
      </c>
      <c r="BH1496" s="48" t="s">
        <v>2255</v>
      </c>
      <c r="BI1496" s="98">
        <v>9.9999999999999995E-7</v>
      </c>
      <c r="BJ1496" s="98">
        <v>0.08</v>
      </c>
      <c r="BK1496" s="48"/>
      <c r="BL1496" s="98">
        <f t="shared" si="394"/>
        <v>1.4869145116357126E-2</v>
      </c>
      <c r="BM1496" s="48" t="s">
        <v>891</v>
      </c>
      <c r="BN1496" s="233"/>
      <c r="BO1496" s="233"/>
      <c r="BP1496" s="233"/>
      <c r="BQ1496" s="233"/>
      <c r="BR1496" s="233"/>
      <c r="BS1496" s="48"/>
      <c r="BT1496" s="233"/>
      <c r="BU1496" s="228"/>
      <c r="BV1496" s="233"/>
      <c r="BW1496" s="233"/>
      <c r="BX1496" s="233"/>
      <c r="BY1496" s="233"/>
      <c r="BZ1496" s="233"/>
      <c r="CA1496" s="233"/>
      <c r="CB1496" s="233"/>
      <c r="CC1496" s="48"/>
      <c r="CD1496" s="48"/>
      <c r="CE1496" s="48"/>
      <c r="CF1496" s="48"/>
      <c r="CG1496" s="233"/>
      <c r="CH1496" s="48"/>
      <c r="CI1496" s="98"/>
      <c r="CJ1496" s="98"/>
      <c r="CK1496" s="49">
        <f t="shared" si="392"/>
        <v>0.18586431395446407</v>
      </c>
      <c r="CL1496" s="229"/>
      <c r="CM1496" s="229"/>
      <c r="CN1496" s="229"/>
      <c r="CO1496" s="47" t="s">
        <v>892</v>
      </c>
      <c r="CP1496" s="47" t="s">
        <v>893</v>
      </c>
      <c r="CQ1496" s="224" t="s">
        <v>272</v>
      </c>
      <c r="CR1496" s="224"/>
      <c r="CS1496" s="230" t="s">
        <v>539</v>
      </c>
      <c r="CT1496" s="230"/>
      <c r="CU1496" s="230"/>
      <c r="CV1496" s="335">
        <f t="shared" si="380"/>
        <v>0.26724526118777858</v>
      </c>
      <c r="CW1496" s="230">
        <f t="shared" si="386"/>
        <v>0</v>
      </c>
      <c r="CX1496" s="336" t="s">
        <v>539</v>
      </c>
      <c r="CY1496" s="230" t="s">
        <v>5921</v>
      </c>
    </row>
    <row r="1497" spans="1:103" ht="11.25" customHeight="1" x14ac:dyDescent="0.2">
      <c r="A1497" s="72">
        <v>1495</v>
      </c>
      <c r="B1497" s="224">
        <v>1661</v>
      </c>
      <c r="C1497" s="46" t="s">
        <v>1164</v>
      </c>
      <c r="D1497" s="46" t="s">
        <v>6657</v>
      </c>
      <c r="E1497" s="114"/>
      <c r="F1497" s="114" t="s">
        <v>1165</v>
      </c>
      <c r="G1497" s="225">
        <v>126833178</v>
      </c>
      <c r="H1497" s="47" t="s">
        <v>1166</v>
      </c>
      <c r="I1497" s="47" t="s">
        <v>8166</v>
      </c>
      <c r="J1497" s="47" t="s">
        <v>1167</v>
      </c>
      <c r="K1497" s="47" t="s">
        <v>464</v>
      </c>
      <c r="L1497" s="47" t="s">
        <v>5979</v>
      </c>
      <c r="M1497" s="47" t="s">
        <v>6082</v>
      </c>
      <c r="N1497" s="47" t="s">
        <v>6082</v>
      </c>
      <c r="O1497" s="47" t="s">
        <v>6083</v>
      </c>
      <c r="P1497" s="53"/>
      <c r="Q1497" s="53"/>
      <c r="R1497" s="53"/>
      <c r="S1497" s="53"/>
      <c r="T1497" s="48">
        <v>302.2</v>
      </c>
      <c r="U1497" s="98"/>
      <c r="V1497" s="98">
        <v>3.9675711449371279E-2</v>
      </c>
      <c r="W1497" s="98">
        <v>6.1659500186148186E-2</v>
      </c>
      <c r="X1497" s="98">
        <f t="shared" si="395"/>
        <v>6.1659500186148186E-2</v>
      </c>
      <c r="Y1497" s="233">
        <v>5.94</v>
      </c>
      <c r="Z1497" s="48">
        <v>3.72</v>
      </c>
      <c r="AA1497" s="48">
        <v>3.51</v>
      </c>
      <c r="AB1497" s="48">
        <v>4.93</v>
      </c>
      <c r="AC1497" s="48">
        <v>0.39019999999999999</v>
      </c>
      <c r="AD1497" s="48">
        <v>4.3600000000000003</v>
      </c>
      <c r="AE1497" s="48">
        <v>4.0199999999999996</v>
      </c>
      <c r="AF1497" s="48">
        <f t="shared" si="393"/>
        <v>3.51</v>
      </c>
      <c r="AG1497" s="49">
        <v>4.0199999999999996</v>
      </c>
      <c r="AH1497" s="98">
        <v>8.5100000000000001E-13</v>
      </c>
      <c r="AI1497" s="98"/>
      <c r="AJ1497" s="483">
        <f t="shared" si="389"/>
        <v>-10.458636766228064</v>
      </c>
      <c r="AK1497" s="483"/>
      <c r="AL1497" s="483">
        <f t="shared" si="390"/>
        <v>-10.458636766228064</v>
      </c>
      <c r="AM1497" s="483">
        <v>-14.288309999999999</v>
      </c>
      <c r="AN1497" s="226">
        <v>-10.199999999999999</v>
      </c>
      <c r="AO1497" s="484">
        <v>7.73</v>
      </c>
      <c r="AP1497" s="484"/>
      <c r="AQ1497" s="226" t="s">
        <v>6311</v>
      </c>
      <c r="AR1497" s="226" t="s">
        <v>6311</v>
      </c>
      <c r="AS1497" s="224"/>
      <c r="AT1497" s="50" t="s">
        <v>266</v>
      </c>
      <c r="AU1497" s="48">
        <v>6</v>
      </c>
      <c r="AV1497" s="48">
        <v>120</v>
      </c>
      <c r="AW1497" s="48">
        <v>114</v>
      </c>
      <c r="AX1497" s="48">
        <v>28</v>
      </c>
      <c r="AY1497" s="48" t="s">
        <v>8728</v>
      </c>
      <c r="AZ1497" s="48" t="s">
        <v>1563</v>
      </c>
      <c r="BA1497" s="48">
        <v>32</v>
      </c>
      <c r="BB1497" s="47" t="s">
        <v>2485</v>
      </c>
      <c r="BC1497" s="47" t="s">
        <v>8726</v>
      </c>
      <c r="BD1497" s="47" t="s">
        <v>8374</v>
      </c>
      <c r="BE1497" s="48" t="s">
        <v>2449</v>
      </c>
      <c r="BF1497" s="48" t="s">
        <v>272</v>
      </c>
      <c r="BG1497" s="48" t="s">
        <v>272</v>
      </c>
      <c r="BH1497" s="48" t="s">
        <v>2486</v>
      </c>
      <c r="BI1497" s="98">
        <v>6.3999999999999997E-6</v>
      </c>
      <c r="BJ1497" s="98">
        <v>6.4000000000000001E-2</v>
      </c>
      <c r="BK1497" s="48"/>
      <c r="BL1497" s="98">
        <f t="shared" si="394"/>
        <v>2.3435164157943375E-2</v>
      </c>
      <c r="BM1497" s="47" t="s">
        <v>2487</v>
      </c>
      <c r="BN1497" s="48"/>
      <c r="BO1497" s="48"/>
      <c r="BP1497" s="48"/>
      <c r="BQ1497" s="48"/>
      <c r="BR1497" s="47" t="s">
        <v>2496</v>
      </c>
      <c r="BS1497" s="48"/>
      <c r="BT1497" s="48"/>
      <c r="BU1497" s="228"/>
      <c r="BV1497" s="48"/>
      <c r="BW1497" s="48"/>
      <c r="BX1497" s="48"/>
      <c r="BY1497" s="48"/>
      <c r="BZ1497" s="48"/>
      <c r="CA1497" s="48"/>
      <c r="CB1497" s="48"/>
      <c r="CC1497" s="48"/>
      <c r="CD1497" s="48"/>
      <c r="CE1497" s="48"/>
      <c r="CF1497" s="48"/>
      <c r="CG1497" s="48"/>
      <c r="CH1497" s="48"/>
      <c r="CI1497" s="98"/>
      <c r="CJ1497" s="98"/>
      <c r="CK1497" s="49">
        <f t="shared" si="392"/>
        <v>0.36617443996786525</v>
      </c>
      <c r="CL1497" s="229"/>
      <c r="CM1497" s="229">
        <v>-2.2904565918867701</v>
      </c>
      <c r="CN1497" s="229">
        <f>BJ1497/(10^CM1497)</f>
        <v>12.492132035955184</v>
      </c>
      <c r="CO1497" s="47" t="s">
        <v>2488</v>
      </c>
      <c r="CP1497" s="47" t="s">
        <v>2489</v>
      </c>
      <c r="CQ1497" s="224">
        <v>-2.2216189442987901</v>
      </c>
      <c r="CR1497" s="224">
        <f>10^(CJ1497-CQ1497)</f>
        <v>166.57849894578243</v>
      </c>
      <c r="CS1497" s="230" t="s">
        <v>539</v>
      </c>
      <c r="CT1497" s="230"/>
      <c r="CU1497" s="230"/>
      <c r="CV1497" s="335">
        <f t="shared" si="380"/>
        <v>0.96342969040856541</v>
      </c>
      <c r="CW1497" s="230">
        <f t="shared" si="386"/>
        <v>0</v>
      </c>
      <c r="CX1497" s="336"/>
      <c r="CY1497" s="230" t="s">
        <v>5921</v>
      </c>
    </row>
    <row r="1498" spans="1:103" ht="11.25" customHeight="1" x14ac:dyDescent="0.2">
      <c r="A1498" s="72">
        <v>1496</v>
      </c>
      <c r="B1498" s="224">
        <v>437</v>
      </c>
      <c r="C1498" s="46" t="s">
        <v>7517</v>
      </c>
      <c r="D1498" s="46"/>
      <c r="E1498" s="114"/>
      <c r="F1498" s="114" t="s">
        <v>3988</v>
      </c>
      <c r="G1498" s="225">
        <v>127277536</v>
      </c>
      <c r="H1498" s="47" t="s">
        <v>3989</v>
      </c>
      <c r="I1498" s="47" t="s">
        <v>8167</v>
      </c>
      <c r="J1498" s="47" t="s">
        <v>3990</v>
      </c>
      <c r="K1498" s="47" t="s">
        <v>403</v>
      </c>
      <c r="L1498" s="47"/>
      <c r="M1498" s="47"/>
      <c r="N1498" s="47"/>
      <c r="O1498" s="47"/>
      <c r="P1498" s="53"/>
      <c r="Q1498" s="53"/>
      <c r="R1498" s="53"/>
      <c r="S1498" s="53"/>
      <c r="T1498" s="48">
        <v>252.28</v>
      </c>
      <c r="U1498" s="98"/>
      <c r="V1498" s="98">
        <v>3963.8496908197239</v>
      </c>
      <c r="W1498" s="98"/>
      <c r="X1498" s="98">
        <f t="shared" si="395"/>
        <v>3963.8496908197239</v>
      </c>
      <c r="Y1498" s="233"/>
      <c r="Z1498" s="48">
        <v>-2.58</v>
      </c>
      <c r="AA1498" s="48">
        <v>-2.9</v>
      </c>
      <c r="AB1498" s="48">
        <v>0</v>
      </c>
      <c r="AC1498" s="48">
        <v>0</v>
      </c>
      <c r="AD1498" s="48">
        <v>0</v>
      </c>
      <c r="AE1498" s="48">
        <v>0</v>
      </c>
      <c r="AF1498" s="48">
        <f t="shared" si="393"/>
        <v>-2.9</v>
      </c>
      <c r="AG1498" s="49" t="s">
        <v>404</v>
      </c>
      <c r="AH1498" s="98"/>
      <c r="AI1498" s="98"/>
      <c r="AJ1498" s="483"/>
      <c r="AK1498" s="483"/>
      <c r="AL1498" s="483"/>
      <c r="AM1498" s="483"/>
      <c r="AN1498" s="226"/>
      <c r="AO1498" s="484"/>
      <c r="AP1498" s="484"/>
      <c r="AQ1498" s="226" t="s">
        <v>6311</v>
      </c>
      <c r="AR1498" s="226" t="s">
        <v>6311</v>
      </c>
      <c r="AS1498" s="224" t="s">
        <v>6</v>
      </c>
      <c r="AT1498" s="50" t="s">
        <v>266</v>
      </c>
      <c r="AU1498" s="48">
        <v>8</v>
      </c>
      <c r="AV1498" s="48">
        <v>144</v>
      </c>
      <c r="AW1498" s="48">
        <v>120</v>
      </c>
      <c r="AX1498" s="48">
        <v>26</v>
      </c>
      <c r="AY1498" s="48" t="s">
        <v>267</v>
      </c>
      <c r="AZ1498" s="48" t="s">
        <v>2253</v>
      </c>
      <c r="BA1498" s="48">
        <v>3</v>
      </c>
      <c r="BB1498" s="47" t="s">
        <v>2254</v>
      </c>
      <c r="BC1498" s="47" t="s">
        <v>270</v>
      </c>
      <c r="BD1498" s="47" t="s">
        <v>8374</v>
      </c>
      <c r="BE1498" s="48" t="s">
        <v>1712</v>
      </c>
      <c r="BF1498" s="48" t="s">
        <v>272</v>
      </c>
      <c r="BG1498" s="48" t="s">
        <v>272</v>
      </c>
      <c r="BH1498" s="48" t="s">
        <v>2255</v>
      </c>
      <c r="BI1498" s="98">
        <v>9.9999999999999995E-7</v>
      </c>
      <c r="BJ1498" s="98">
        <v>0.08</v>
      </c>
      <c r="BK1498" s="48"/>
      <c r="BL1498" s="98">
        <f t="shared" si="394"/>
        <v>10663.456459556268</v>
      </c>
      <c r="BM1498" s="48" t="s">
        <v>891</v>
      </c>
      <c r="BN1498" s="233"/>
      <c r="BO1498" s="233"/>
      <c r="BP1498" s="233"/>
      <c r="BQ1498" s="233"/>
      <c r="BR1498" s="233"/>
      <c r="BS1498" s="48"/>
      <c r="BT1498" s="233"/>
      <c r="BU1498" s="228"/>
      <c r="BV1498" s="233"/>
      <c r="BW1498" s="233"/>
      <c r="BX1498" s="233"/>
      <c r="BY1498" s="233"/>
      <c r="BZ1498" s="233"/>
      <c r="CA1498" s="233"/>
      <c r="CB1498" s="233"/>
      <c r="CC1498" s="48"/>
      <c r="CD1498" s="48"/>
      <c r="CE1498" s="48"/>
      <c r="CF1498" s="48"/>
      <c r="CG1498" s="233"/>
      <c r="CH1498" s="48"/>
      <c r="CI1498" s="98"/>
      <c r="CJ1498" s="98"/>
      <c r="CK1498" s="49">
        <f t="shared" si="392"/>
        <v>133293.20574445336</v>
      </c>
      <c r="CL1498" s="229"/>
      <c r="CM1498" s="229"/>
      <c r="CN1498" s="229"/>
      <c r="CO1498" s="47" t="s">
        <v>892</v>
      </c>
      <c r="CP1498" s="47" t="s">
        <v>893</v>
      </c>
      <c r="CQ1498" s="224" t="s">
        <v>272</v>
      </c>
      <c r="CR1498" s="224"/>
      <c r="CS1498" s="230" t="s">
        <v>539</v>
      </c>
      <c r="CT1498" s="230"/>
      <c r="CU1498" s="230"/>
      <c r="CV1498" s="335">
        <f t="shared" si="380"/>
        <v>49548.121135246547</v>
      </c>
      <c r="CW1498" s="230">
        <f t="shared" si="386"/>
        <v>1</v>
      </c>
      <c r="CX1498" s="336" t="s">
        <v>539</v>
      </c>
      <c r="CY1498" s="230" t="s">
        <v>5921</v>
      </c>
    </row>
    <row r="1499" spans="1:103" ht="11.25" customHeight="1" x14ac:dyDescent="0.2">
      <c r="A1499" s="72">
        <v>1497</v>
      </c>
      <c r="B1499" s="224">
        <v>1902</v>
      </c>
      <c r="C1499" s="46" t="s">
        <v>7518</v>
      </c>
      <c r="D1499" s="46"/>
      <c r="E1499" s="114"/>
      <c r="F1499" s="114" t="s">
        <v>5366</v>
      </c>
      <c r="G1499" s="225">
        <v>129298915</v>
      </c>
      <c r="H1499" s="47" t="s">
        <v>5367</v>
      </c>
      <c r="I1499" s="47" t="s">
        <v>7774</v>
      </c>
      <c r="J1499" s="47" t="s">
        <v>5368</v>
      </c>
      <c r="K1499" s="47" t="s">
        <v>5369</v>
      </c>
      <c r="L1499" s="47"/>
      <c r="M1499" s="47"/>
      <c r="N1499" s="47"/>
      <c r="O1499" s="47"/>
      <c r="P1499" s="53"/>
      <c r="Q1499" s="53"/>
      <c r="R1499" s="53"/>
      <c r="S1499" s="53"/>
      <c r="T1499" s="48">
        <v>401.88</v>
      </c>
      <c r="U1499" s="98"/>
      <c r="V1499" s="98">
        <v>4.4913904648153681E-2</v>
      </c>
      <c r="W1499" s="98">
        <v>0.63095734448019247</v>
      </c>
      <c r="X1499" s="98">
        <f t="shared" si="395"/>
        <v>0.63095734448019247</v>
      </c>
      <c r="Y1499" s="233">
        <v>5.19</v>
      </c>
      <c r="Z1499" s="48">
        <v>2.6</v>
      </c>
      <c r="AA1499" s="48"/>
      <c r="AB1499" s="48">
        <v>2.84</v>
      </c>
      <c r="AC1499" s="48">
        <v>0.36820000000000003</v>
      </c>
      <c r="AD1499" s="48">
        <v>2.0099999999999998</v>
      </c>
      <c r="AE1499" s="48">
        <v>1.44</v>
      </c>
      <c r="AF1499" s="48">
        <f t="shared" si="393"/>
        <v>2.0099999999999998</v>
      </c>
      <c r="AG1499" s="49">
        <v>2.04</v>
      </c>
      <c r="AH1499" s="98">
        <v>9.6899999999999996E-14</v>
      </c>
      <c r="AI1499" s="98"/>
      <c r="AJ1499" s="483">
        <f t="shared" ref="AJ1499:AJ1508" si="396">LOG10(AH1499*1000/(0.08206*298.15))</f>
        <v>-11.402242549261887</v>
      </c>
      <c r="AK1499" s="483"/>
      <c r="AL1499" s="483">
        <f t="shared" ref="AL1499:AL1508" si="397">IF(AK1499=0,AJ1499,AK1499)</f>
        <v>-11.402242549261887</v>
      </c>
      <c r="AM1499" s="483">
        <v>-16.19641</v>
      </c>
      <c r="AN1499" s="226">
        <v>-10.199999999999999</v>
      </c>
      <c r="AO1499" s="484">
        <v>7.19</v>
      </c>
      <c r="AP1499" s="484">
        <v>-6.42</v>
      </c>
      <c r="AQ1499" s="226" t="s">
        <v>6312</v>
      </c>
      <c r="AR1499" s="226" t="s">
        <v>6311</v>
      </c>
      <c r="AS1499" s="224"/>
      <c r="AT1499" s="50" t="s">
        <v>266</v>
      </c>
      <c r="AU1499" s="48">
        <v>6</v>
      </c>
      <c r="AV1499" s="48">
        <v>120</v>
      </c>
      <c r="AW1499" s="48">
        <v>114</v>
      </c>
      <c r="AX1499" s="48">
        <v>28</v>
      </c>
      <c r="AY1499" s="48" t="s">
        <v>8728</v>
      </c>
      <c r="AZ1499" s="48" t="s">
        <v>1563</v>
      </c>
      <c r="BA1499" s="48">
        <v>32</v>
      </c>
      <c r="BB1499" s="47" t="s">
        <v>2485</v>
      </c>
      <c r="BC1499" s="47" t="s">
        <v>8726</v>
      </c>
      <c r="BD1499" s="47" t="s">
        <v>8374</v>
      </c>
      <c r="BE1499" s="48" t="s">
        <v>2449</v>
      </c>
      <c r="BF1499" s="48" t="s">
        <v>272</v>
      </c>
      <c r="BG1499" s="48" t="s">
        <v>272</v>
      </c>
      <c r="BH1499" s="48" t="s">
        <v>2486</v>
      </c>
      <c r="BI1499" s="98">
        <v>6.3999999999999997E-6</v>
      </c>
      <c r="BJ1499" s="98">
        <v>6.4000000000000001E-2</v>
      </c>
      <c r="BK1499" s="48"/>
      <c r="BL1499" s="98">
        <f t="shared" si="394"/>
        <v>0.23754177644563218</v>
      </c>
      <c r="BM1499" s="47" t="s">
        <v>2487</v>
      </c>
      <c r="BN1499" s="48"/>
      <c r="BO1499" s="48"/>
      <c r="BP1499" s="48"/>
      <c r="BQ1499" s="48"/>
      <c r="BR1499" s="47" t="s">
        <v>2496</v>
      </c>
      <c r="BS1499" s="48"/>
      <c r="BT1499" s="48"/>
      <c r="BU1499" s="228"/>
      <c r="BV1499" s="48"/>
      <c r="BW1499" s="48"/>
      <c r="BX1499" s="48"/>
      <c r="BY1499" s="48"/>
      <c r="BZ1499" s="48"/>
      <c r="CA1499" s="48"/>
      <c r="CB1499" s="48"/>
      <c r="CC1499" s="48"/>
      <c r="CD1499" s="48"/>
      <c r="CE1499" s="48"/>
      <c r="CF1499" s="48"/>
      <c r="CG1499" s="48"/>
      <c r="CH1499" s="48"/>
      <c r="CI1499" s="98"/>
      <c r="CJ1499" s="98"/>
      <c r="CK1499" s="49">
        <f t="shared" si="392"/>
        <v>3.7115902569630026</v>
      </c>
      <c r="CL1499" s="229"/>
      <c r="CM1499" s="229"/>
      <c r="CN1499" s="229"/>
      <c r="CO1499" s="47" t="s">
        <v>2488</v>
      </c>
      <c r="CP1499" s="47" t="s">
        <v>2489</v>
      </c>
      <c r="CQ1499" s="224" t="s">
        <v>272</v>
      </c>
      <c r="CR1499" s="224"/>
      <c r="CS1499" s="230" t="s">
        <v>539</v>
      </c>
      <c r="CT1499" s="230"/>
      <c r="CU1499" s="230"/>
      <c r="CV1499" s="335">
        <f t="shared" si="380"/>
        <v>9.8587085075030068</v>
      </c>
      <c r="CW1499" s="230">
        <f t="shared" si="386"/>
        <v>1</v>
      </c>
      <c r="CX1499" s="336"/>
      <c r="CY1499" s="230" t="s">
        <v>5921</v>
      </c>
    </row>
    <row r="1500" spans="1:103" ht="11.25" customHeight="1" x14ac:dyDescent="0.2">
      <c r="A1500" s="72">
        <v>1498</v>
      </c>
      <c r="B1500" s="224">
        <v>1129</v>
      </c>
      <c r="C1500" s="46" t="s">
        <v>7519</v>
      </c>
      <c r="D1500" s="46"/>
      <c r="E1500" s="114"/>
      <c r="F1500" s="114" t="s">
        <v>3155</v>
      </c>
      <c r="G1500" s="225">
        <v>129299907</v>
      </c>
      <c r="H1500" s="47" t="s">
        <v>3156</v>
      </c>
      <c r="I1500" s="47" t="s">
        <v>7807</v>
      </c>
      <c r="J1500" s="47" t="s">
        <v>3157</v>
      </c>
      <c r="K1500" s="47" t="s">
        <v>3158</v>
      </c>
      <c r="L1500" s="47"/>
      <c r="M1500" s="47"/>
      <c r="N1500" s="47"/>
      <c r="O1500" s="47"/>
      <c r="P1500" s="53"/>
      <c r="Q1500" s="53"/>
      <c r="R1500" s="53"/>
      <c r="S1500" s="53"/>
      <c r="T1500" s="48">
        <v>293.36</v>
      </c>
      <c r="U1500" s="98"/>
      <c r="V1500" s="98">
        <v>1.9477774747750205E-2</v>
      </c>
      <c r="W1500" s="98">
        <v>3.6307805477010069E-2</v>
      </c>
      <c r="X1500" s="98">
        <f t="shared" si="395"/>
        <v>3.6307805477010069E-2</v>
      </c>
      <c r="Y1500" s="233">
        <v>8.6999999999999993</v>
      </c>
      <c r="Z1500" s="48">
        <v>3.95</v>
      </c>
      <c r="AA1500" s="48"/>
      <c r="AB1500" s="48">
        <v>4.24</v>
      </c>
      <c r="AC1500" s="48">
        <v>0.61</v>
      </c>
      <c r="AD1500" s="48">
        <v>3.82</v>
      </c>
      <c r="AE1500" s="48">
        <v>3.23</v>
      </c>
      <c r="AF1500" s="48">
        <f t="shared" si="393"/>
        <v>3.82</v>
      </c>
      <c r="AG1500" s="49">
        <v>3.34</v>
      </c>
      <c r="AH1500" s="98">
        <v>2.3400000000000001E-11</v>
      </c>
      <c r="AI1500" s="98"/>
      <c r="AJ1500" s="483">
        <f t="shared" si="396"/>
        <v>-9.019350468902509</v>
      </c>
      <c r="AK1500" s="483"/>
      <c r="AL1500" s="483">
        <f t="shared" si="397"/>
        <v>-9.019350468902509</v>
      </c>
      <c r="AM1500" s="483">
        <v>-16.236499999999999</v>
      </c>
      <c r="AN1500" s="226">
        <v>-14.1</v>
      </c>
      <c r="AO1500" s="484">
        <v>14.71</v>
      </c>
      <c r="AP1500" s="484">
        <v>7.6</v>
      </c>
      <c r="AQ1500" s="48" t="s">
        <v>6311</v>
      </c>
      <c r="AR1500" s="48" t="s">
        <v>6311</v>
      </c>
      <c r="AS1500" s="227"/>
      <c r="AT1500" s="50" t="s">
        <v>266</v>
      </c>
      <c r="AU1500" s="48">
        <v>6</v>
      </c>
      <c r="AV1500" s="48">
        <v>120</v>
      </c>
      <c r="AW1500" s="48">
        <v>114</v>
      </c>
      <c r="AX1500" s="48">
        <v>28</v>
      </c>
      <c r="AY1500" s="48" t="s">
        <v>8728</v>
      </c>
      <c r="AZ1500" s="48" t="s">
        <v>1563</v>
      </c>
      <c r="BA1500" s="48">
        <v>32</v>
      </c>
      <c r="BB1500" s="47" t="s">
        <v>2485</v>
      </c>
      <c r="BC1500" s="47" t="s">
        <v>8726</v>
      </c>
      <c r="BD1500" s="47" t="s">
        <v>8374</v>
      </c>
      <c r="BE1500" s="48" t="s">
        <v>2449</v>
      </c>
      <c r="BF1500" s="48" t="s">
        <v>272</v>
      </c>
      <c r="BG1500" s="48" t="s">
        <v>272</v>
      </c>
      <c r="BH1500" s="48" t="s">
        <v>2486</v>
      </c>
      <c r="BI1500" s="98">
        <v>6.3999999999999997E-6</v>
      </c>
      <c r="BJ1500" s="98">
        <v>6.4000000000000001E-2</v>
      </c>
      <c r="BK1500" s="48"/>
      <c r="BL1500" s="98">
        <f t="shared" si="394"/>
        <v>1.4564815916954495E-2</v>
      </c>
      <c r="BM1500" s="47" t="s">
        <v>2487</v>
      </c>
      <c r="BN1500" s="48"/>
      <c r="BO1500" s="48"/>
      <c r="BP1500" s="48"/>
      <c r="BQ1500" s="48"/>
      <c r="BR1500" s="47" t="s">
        <v>2496</v>
      </c>
      <c r="BS1500" s="48"/>
      <c r="BT1500" s="48"/>
      <c r="BU1500" s="228">
        <v>5.7000000000000003E-5</v>
      </c>
      <c r="BV1500" s="48"/>
      <c r="BW1500" s="48"/>
      <c r="BX1500" s="48"/>
      <c r="BY1500" s="48"/>
      <c r="BZ1500" s="48"/>
      <c r="CA1500" s="48"/>
      <c r="CB1500" s="48"/>
      <c r="CC1500" s="48"/>
      <c r="CD1500" s="48"/>
      <c r="CE1500" s="48"/>
      <c r="CF1500" s="48"/>
      <c r="CG1500" s="48"/>
      <c r="CH1500" s="48"/>
      <c r="CI1500" s="98"/>
      <c r="CJ1500" s="98"/>
      <c r="CK1500" s="49">
        <f t="shared" si="392"/>
        <v>0.22757524870241397</v>
      </c>
      <c r="CL1500" s="229"/>
      <c r="CM1500" s="229"/>
      <c r="CN1500" s="229"/>
      <c r="CO1500" s="47" t="s">
        <v>2488</v>
      </c>
      <c r="CP1500" s="47" t="s">
        <v>2489</v>
      </c>
      <c r="CQ1500" s="224" t="s">
        <v>272</v>
      </c>
      <c r="CR1500" s="224"/>
      <c r="CS1500" s="230" t="s">
        <v>539</v>
      </c>
      <c r="CT1500" s="230"/>
      <c r="CU1500" s="230"/>
      <c r="CV1500" s="335">
        <f t="shared" si="380"/>
        <v>0.56730946057828235</v>
      </c>
      <c r="CW1500" s="230">
        <f t="shared" si="386"/>
        <v>0</v>
      </c>
      <c r="CX1500" s="336"/>
      <c r="CY1500" s="230" t="s">
        <v>5921</v>
      </c>
    </row>
    <row r="1501" spans="1:103" ht="11.25" customHeight="1" x14ac:dyDescent="0.2">
      <c r="A1501" s="72">
        <v>1499</v>
      </c>
      <c r="B1501" s="224">
        <v>1130</v>
      </c>
      <c r="C1501" s="46" t="s">
        <v>1145</v>
      </c>
      <c r="D1501" s="46" t="s">
        <v>6584</v>
      </c>
      <c r="E1501" s="114"/>
      <c r="F1501" s="114" t="s">
        <v>1146</v>
      </c>
      <c r="G1501" s="225">
        <v>131807573</v>
      </c>
      <c r="H1501" s="47" t="s">
        <v>1147</v>
      </c>
      <c r="I1501" s="47" t="s">
        <v>1147</v>
      </c>
      <c r="J1501" s="47" t="s">
        <v>1148</v>
      </c>
      <c r="K1501" s="47" t="s">
        <v>1149</v>
      </c>
      <c r="L1501" s="47" t="s">
        <v>5976</v>
      </c>
      <c r="M1501" s="47" t="s">
        <v>2342</v>
      </c>
      <c r="N1501" s="47" t="s">
        <v>2342</v>
      </c>
      <c r="O1501" s="47"/>
      <c r="P1501" s="53"/>
      <c r="Q1501" s="53"/>
      <c r="R1501" s="53"/>
      <c r="S1501" s="53"/>
      <c r="T1501" s="48">
        <v>374.39</v>
      </c>
      <c r="U1501" s="98">
        <v>1.3889259862710009E-4</v>
      </c>
      <c r="V1501" s="98">
        <v>1.2569780175752559E-3</v>
      </c>
      <c r="W1501" s="98">
        <v>3.4673685045253128E-3</v>
      </c>
      <c r="X1501" s="98">
        <v>1.3889259862710009E-4</v>
      </c>
      <c r="Y1501" s="233">
        <v>7</v>
      </c>
      <c r="Z1501" s="48">
        <v>4.8899999999999997</v>
      </c>
      <c r="AA1501" s="48">
        <v>4.6500000000000004</v>
      </c>
      <c r="AB1501" s="48">
        <v>4.12</v>
      </c>
      <c r="AC1501" s="48">
        <v>0.81379999999999997</v>
      </c>
      <c r="AD1501" s="48">
        <v>4.2699999999999996</v>
      </c>
      <c r="AE1501" s="48">
        <v>4.76</v>
      </c>
      <c r="AF1501" s="48">
        <f t="shared" si="393"/>
        <v>4.6500000000000004</v>
      </c>
      <c r="AG1501" s="49">
        <v>3.9</v>
      </c>
      <c r="AH1501" s="98">
        <v>2.5799999999999999E-12</v>
      </c>
      <c r="AI1501" s="98">
        <v>4.5499999999999997E-8</v>
      </c>
      <c r="AJ1501" s="483">
        <f t="shared" si="396"/>
        <v>-9.9769466203494215</v>
      </c>
      <c r="AK1501" s="483">
        <f>LOG10(AI1501*1000/(0.08206*298.15))</f>
        <v>-5.7305549296555398</v>
      </c>
      <c r="AL1501" s="483">
        <f t="shared" si="397"/>
        <v>-5.7305549296555398</v>
      </c>
      <c r="AM1501" s="483">
        <v>-19.723759999999999</v>
      </c>
      <c r="AN1501" s="226">
        <v>-12.2</v>
      </c>
      <c r="AO1501" s="484"/>
      <c r="AP1501" s="484">
        <v>0.63</v>
      </c>
      <c r="AQ1501" s="48" t="s">
        <v>6311</v>
      </c>
      <c r="AR1501" s="48" t="s">
        <v>6311</v>
      </c>
      <c r="AS1501" s="227"/>
      <c r="AT1501" s="50" t="s">
        <v>266</v>
      </c>
      <c r="AU1501" s="48">
        <v>6</v>
      </c>
      <c r="AV1501" s="48">
        <v>120</v>
      </c>
      <c r="AW1501" s="48">
        <v>114</v>
      </c>
      <c r="AX1501" s="48">
        <v>28</v>
      </c>
      <c r="AY1501" s="48" t="s">
        <v>8728</v>
      </c>
      <c r="AZ1501" s="48" t="s">
        <v>1563</v>
      </c>
      <c r="BA1501" s="48">
        <v>32</v>
      </c>
      <c r="BB1501" s="47" t="s">
        <v>2485</v>
      </c>
      <c r="BC1501" s="47" t="s">
        <v>8726</v>
      </c>
      <c r="BD1501" s="47" t="s">
        <v>8374</v>
      </c>
      <c r="BE1501" s="48" t="s">
        <v>2449</v>
      </c>
      <c r="BF1501" s="48" t="s">
        <v>272</v>
      </c>
      <c r="BG1501" s="48" t="s">
        <v>272</v>
      </c>
      <c r="BH1501" s="48" t="s">
        <v>2486</v>
      </c>
      <c r="BI1501" s="98">
        <v>6.3999999999999997E-6</v>
      </c>
      <c r="BJ1501" s="98">
        <v>6.4000000000000001E-2</v>
      </c>
      <c r="BK1501" s="48"/>
      <c r="BL1501" s="98">
        <f t="shared" si="394"/>
        <v>2.0849277031649762E-3</v>
      </c>
      <c r="BM1501" s="47" t="s">
        <v>2487</v>
      </c>
      <c r="BN1501" s="48"/>
      <c r="BO1501" s="48"/>
      <c r="BP1501" s="48"/>
      <c r="BQ1501" s="48"/>
      <c r="BR1501" s="47" t="s">
        <v>2496</v>
      </c>
      <c r="BS1501" s="48"/>
      <c r="BT1501" s="48"/>
      <c r="BU1501" s="228">
        <v>6.4320000000000002E-2</v>
      </c>
      <c r="BV1501" s="48"/>
      <c r="BW1501" s="48"/>
      <c r="BX1501" s="48"/>
      <c r="BY1501" s="48"/>
      <c r="BZ1501" s="48"/>
      <c r="CA1501" s="48"/>
      <c r="CB1501" s="48"/>
      <c r="CC1501" s="48"/>
      <c r="CD1501" s="48"/>
      <c r="CE1501" s="48"/>
      <c r="CF1501" s="48"/>
      <c r="CG1501" s="48"/>
      <c r="CH1501" s="48"/>
      <c r="CI1501" s="98"/>
      <c r="CJ1501" s="98"/>
      <c r="CK1501" s="49">
        <f t="shared" si="392"/>
        <v>3.257699536195275E-2</v>
      </c>
      <c r="CL1501" s="229"/>
      <c r="CM1501" s="229">
        <v>-4.4941429941177518</v>
      </c>
      <c r="CN1501" s="229">
        <f>BJ1501/(10^CM1501)</f>
        <v>1996.7466666666692</v>
      </c>
      <c r="CO1501" s="47" t="s">
        <v>2488</v>
      </c>
      <c r="CP1501" s="47" t="s">
        <v>2489</v>
      </c>
      <c r="CQ1501" s="224">
        <v>-4.4767619409881458</v>
      </c>
      <c r="CR1501" s="224">
        <f>10^(CJ1501-CQ1501)</f>
        <v>29975.189751543348</v>
      </c>
      <c r="CS1501" s="230" t="s">
        <v>539</v>
      </c>
      <c r="CT1501" s="230"/>
      <c r="CU1501" s="230"/>
      <c r="CV1501" s="335">
        <f t="shared" si="380"/>
        <v>2.1701968535484391E-3</v>
      </c>
      <c r="CW1501" s="230">
        <f t="shared" si="386"/>
        <v>0</v>
      </c>
      <c r="CX1501" s="336"/>
      <c r="CY1501" s="230" t="s">
        <v>5921</v>
      </c>
    </row>
    <row r="1502" spans="1:103" ht="11.25" customHeight="1" x14ac:dyDescent="0.2">
      <c r="A1502" s="72">
        <v>1500</v>
      </c>
      <c r="B1502" s="224">
        <v>1027</v>
      </c>
      <c r="C1502" s="46" t="s">
        <v>953</v>
      </c>
      <c r="D1502" s="46" t="s">
        <v>6676</v>
      </c>
      <c r="E1502" s="114"/>
      <c r="F1502" s="114" t="s">
        <v>954</v>
      </c>
      <c r="G1502" s="225">
        <v>131860338</v>
      </c>
      <c r="H1502" s="47" t="s">
        <v>955</v>
      </c>
      <c r="I1502" s="47"/>
      <c r="J1502" s="47" t="s">
        <v>956</v>
      </c>
      <c r="K1502" s="47" t="s">
        <v>957</v>
      </c>
      <c r="L1502" s="47" t="s">
        <v>5929</v>
      </c>
      <c r="M1502" s="47" t="s">
        <v>5945</v>
      </c>
      <c r="N1502" s="47" t="s">
        <v>6381</v>
      </c>
      <c r="O1502" s="47" t="s">
        <v>5944</v>
      </c>
      <c r="P1502" s="53"/>
      <c r="Q1502" s="53"/>
      <c r="R1502" s="53"/>
      <c r="S1502" s="53"/>
      <c r="T1502" s="48">
        <v>403.39</v>
      </c>
      <c r="U1502" s="98">
        <v>1.4873943330275911E-2</v>
      </c>
      <c r="V1502" s="98">
        <v>2.8781080344083887E-2</v>
      </c>
      <c r="W1502" s="98">
        <v>8.9125093813374485E-4</v>
      </c>
      <c r="X1502" s="98">
        <v>1.4873943330275911E-2</v>
      </c>
      <c r="Y1502" s="233">
        <v>7</v>
      </c>
      <c r="Z1502" s="48">
        <v>1.58</v>
      </c>
      <c r="AA1502" s="48">
        <v>2.5</v>
      </c>
      <c r="AB1502" s="48">
        <v>2.86</v>
      </c>
      <c r="AC1502" s="48">
        <v>0.7379</v>
      </c>
      <c r="AD1502" s="48">
        <v>3.54</v>
      </c>
      <c r="AE1502" s="48">
        <v>5.13</v>
      </c>
      <c r="AF1502" s="48">
        <f t="shared" si="393"/>
        <v>2.5</v>
      </c>
      <c r="AG1502" s="49">
        <v>3.32</v>
      </c>
      <c r="AH1502" s="98">
        <v>8.0099999999999994E-14</v>
      </c>
      <c r="AI1502" s="98">
        <v>7.3000000000000004E-14</v>
      </c>
      <c r="AJ1502" s="483">
        <f t="shared" si="396"/>
        <v>-11.484933810228414</v>
      </c>
      <c r="AK1502" s="483">
        <f>LOG10(AI1502*1000/(0.08206*298.15))</f>
        <v>-11.525243466192196</v>
      </c>
      <c r="AL1502" s="483">
        <f t="shared" si="397"/>
        <v>-11.525243466192196</v>
      </c>
      <c r="AM1502" s="483">
        <v>-20.836600000000001</v>
      </c>
      <c r="AN1502" s="226">
        <v>-10.4</v>
      </c>
      <c r="AO1502" s="484"/>
      <c r="AP1502" s="484">
        <v>-0.93</v>
      </c>
      <c r="AQ1502" s="48" t="s">
        <v>6311</v>
      </c>
      <c r="AR1502" s="48" t="s">
        <v>6312</v>
      </c>
      <c r="AS1502" s="227"/>
      <c r="AT1502" s="50" t="s">
        <v>266</v>
      </c>
      <c r="AU1502" s="48">
        <v>6</v>
      </c>
      <c r="AV1502" s="48">
        <v>120</v>
      </c>
      <c r="AW1502" s="48">
        <v>114</v>
      </c>
      <c r="AX1502" s="48">
        <v>28</v>
      </c>
      <c r="AY1502" s="48" t="s">
        <v>8728</v>
      </c>
      <c r="AZ1502" s="48" t="s">
        <v>1563</v>
      </c>
      <c r="BA1502" s="48">
        <v>32</v>
      </c>
      <c r="BB1502" s="47" t="s">
        <v>2485</v>
      </c>
      <c r="BC1502" s="47" t="s">
        <v>8726</v>
      </c>
      <c r="BD1502" s="47" t="s">
        <v>8374</v>
      </c>
      <c r="BE1502" s="48" t="s">
        <v>2449</v>
      </c>
      <c r="BF1502" s="48" t="s">
        <v>272</v>
      </c>
      <c r="BG1502" s="48" t="s">
        <v>272</v>
      </c>
      <c r="BH1502" s="48" t="s">
        <v>2486</v>
      </c>
      <c r="BI1502" s="98">
        <v>6.3999999999999997E-6</v>
      </c>
      <c r="BJ1502" s="98">
        <v>6.4000000000000001E-2</v>
      </c>
      <c r="BK1502" s="48"/>
      <c r="BL1502" s="98">
        <f t="shared" si="394"/>
        <v>1.9579518165576351</v>
      </c>
      <c r="BM1502" s="47" t="s">
        <v>2487</v>
      </c>
      <c r="BN1502" s="48"/>
      <c r="BO1502" s="48"/>
      <c r="BP1502" s="48"/>
      <c r="BQ1502" s="48"/>
      <c r="BR1502" s="47" t="s">
        <v>2496</v>
      </c>
      <c r="BS1502" s="48"/>
      <c r="BT1502" s="48"/>
      <c r="BU1502" s="228">
        <v>6.4000000000000003E-3</v>
      </c>
      <c r="BV1502" s="48"/>
      <c r="BW1502" s="48"/>
      <c r="BX1502" s="48"/>
      <c r="BY1502" s="48"/>
      <c r="BZ1502" s="48"/>
      <c r="CA1502" s="48"/>
      <c r="CB1502" s="48"/>
      <c r="CC1502" s="48"/>
      <c r="CD1502" s="48"/>
      <c r="CE1502" s="48"/>
      <c r="CF1502" s="48"/>
      <c r="CG1502" s="48"/>
      <c r="CH1502" s="48"/>
      <c r="CI1502" s="98"/>
      <c r="CJ1502" s="98"/>
      <c r="CK1502" s="49">
        <f t="shared" si="392"/>
        <v>30.592997133713048</v>
      </c>
      <c r="CL1502" s="229"/>
      <c r="CM1502" s="229">
        <v>-2.9336272699552848</v>
      </c>
      <c r="CN1502" s="229">
        <f>BJ1502/(10^CM1502)</f>
        <v>54.929702127659567</v>
      </c>
      <c r="CO1502" s="47" t="s">
        <v>2488</v>
      </c>
      <c r="CP1502" s="47" t="s">
        <v>2489</v>
      </c>
      <c r="CQ1502" s="224">
        <v>-2.7489798563440311</v>
      </c>
      <c r="CR1502" s="224">
        <f>10^(CJ1502-CQ1502)</f>
        <v>561.02195383833987</v>
      </c>
      <c r="CS1502" s="230" t="s">
        <v>539</v>
      </c>
      <c r="CT1502" s="230"/>
      <c r="CU1502" s="230"/>
      <c r="CV1502" s="335">
        <f t="shared" ref="CV1502:CV1565" si="398">X1502/BJ1502</f>
        <v>0.2324053645355611</v>
      </c>
      <c r="CW1502" s="230">
        <f t="shared" si="386"/>
        <v>0</v>
      </c>
      <c r="CX1502" s="336"/>
      <c r="CY1502" s="230" t="s">
        <v>5921</v>
      </c>
    </row>
    <row r="1503" spans="1:103" ht="11.25" customHeight="1" x14ac:dyDescent="0.2">
      <c r="A1503" s="72">
        <v>1501</v>
      </c>
      <c r="B1503" s="224">
        <v>699</v>
      </c>
      <c r="C1503" s="46" t="s">
        <v>7520</v>
      </c>
      <c r="D1503" s="46"/>
      <c r="E1503" s="114"/>
      <c r="F1503" s="114" t="s">
        <v>4065</v>
      </c>
      <c r="G1503" s="225">
        <v>131983727</v>
      </c>
      <c r="H1503" s="47" t="s">
        <v>4066</v>
      </c>
      <c r="I1503" s="47" t="s">
        <v>8168</v>
      </c>
      <c r="J1503" s="47" t="s">
        <v>4067</v>
      </c>
      <c r="K1503" s="47" t="s">
        <v>1122</v>
      </c>
      <c r="L1503" s="47"/>
      <c r="M1503" s="47"/>
      <c r="N1503" s="47"/>
      <c r="O1503" s="47"/>
      <c r="P1503" s="53"/>
      <c r="Q1503" s="53"/>
      <c r="R1503" s="53"/>
      <c r="S1503" s="53"/>
      <c r="T1503" s="48">
        <v>317.81</v>
      </c>
      <c r="U1503" s="98">
        <v>2.202573864887826E-2</v>
      </c>
      <c r="V1503" s="98">
        <v>0.15226078474560273</v>
      </c>
      <c r="W1503" s="98">
        <v>0.27542287033381624</v>
      </c>
      <c r="X1503" s="98">
        <v>2.202573864887826E-2</v>
      </c>
      <c r="Y1503" s="233">
        <v>7.08</v>
      </c>
      <c r="Z1503" s="48">
        <v>4.1100000000000003</v>
      </c>
      <c r="AA1503" s="48">
        <v>3.29</v>
      </c>
      <c r="AB1503" s="48">
        <v>3.42</v>
      </c>
      <c r="AC1503" s="48">
        <v>0.77929999999999999</v>
      </c>
      <c r="AD1503" s="48">
        <v>3.32</v>
      </c>
      <c r="AE1503" s="48">
        <v>3.07</v>
      </c>
      <c r="AF1503" s="48">
        <f t="shared" si="393"/>
        <v>3.29</v>
      </c>
      <c r="AG1503" s="49">
        <v>3.46</v>
      </c>
      <c r="AH1503" s="98">
        <v>1.4800000000000001E-10</v>
      </c>
      <c r="AI1503" s="98"/>
      <c r="AJ1503" s="483">
        <f t="shared" si="396"/>
        <v>-8.2183046109176949</v>
      </c>
      <c r="AK1503" s="483"/>
      <c r="AL1503" s="483">
        <f t="shared" si="397"/>
        <v>-8.2183046109176949</v>
      </c>
      <c r="AM1503" s="483">
        <v>-13.95701</v>
      </c>
      <c r="AN1503" s="226">
        <v>-8.42</v>
      </c>
      <c r="AO1503" s="484">
        <v>13.24</v>
      </c>
      <c r="AP1503" s="484">
        <v>2.98</v>
      </c>
      <c r="AQ1503" s="226" t="s">
        <v>6311</v>
      </c>
      <c r="AR1503" s="226" t="s">
        <v>6311</v>
      </c>
      <c r="AS1503" s="224" t="s">
        <v>6</v>
      </c>
      <c r="AT1503" s="50" t="s">
        <v>266</v>
      </c>
      <c r="AU1503" s="48">
        <v>8</v>
      </c>
      <c r="AV1503" s="48">
        <v>144</v>
      </c>
      <c r="AW1503" s="48">
        <v>120</v>
      </c>
      <c r="AX1503" s="48">
        <v>26</v>
      </c>
      <c r="AY1503" s="48" t="s">
        <v>267</v>
      </c>
      <c r="AZ1503" s="48" t="s">
        <v>2253</v>
      </c>
      <c r="BA1503" s="48">
        <v>2</v>
      </c>
      <c r="BB1503" s="47" t="s">
        <v>2254</v>
      </c>
      <c r="BC1503" s="47" t="s">
        <v>270</v>
      </c>
      <c r="BD1503" s="47" t="s">
        <v>8374</v>
      </c>
      <c r="BE1503" s="48" t="s">
        <v>1712</v>
      </c>
      <c r="BF1503" s="48" t="s">
        <v>272</v>
      </c>
      <c r="BG1503" s="48" t="s">
        <v>272</v>
      </c>
      <c r="BH1503" s="48" t="s">
        <v>2255</v>
      </c>
      <c r="BI1503" s="98">
        <v>9.9999999999999995E-7</v>
      </c>
      <c r="BJ1503" s="98">
        <v>0.08</v>
      </c>
      <c r="BK1503" s="48"/>
      <c r="BL1503" s="98">
        <f t="shared" si="394"/>
        <v>1.0461862311927477E-2</v>
      </c>
      <c r="BM1503" s="48" t="s">
        <v>891</v>
      </c>
      <c r="BN1503" s="233"/>
      <c r="BO1503" s="233"/>
      <c r="BP1503" s="233"/>
      <c r="BQ1503" s="233"/>
      <c r="BR1503" s="233"/>
      <c r="BS1503" s="48"/>
      <c r="BT1503" s="233"/>
      <c r="BU1503" s="228"/>
      <c r="BV1503" s="233"/>
      <c r="BW1503" s="233"/>
      <c r="BX1503" s="233"/>
      <c r="BY1503" s="233"/>
      <c r="BZ1503" s="233"/>
      <c r="CA1503" s="233"/>
      <c r="CB1503" s="233"/>
      <c r="CC1503" s="48"/>
      <c r="CD1503" s="238"/>
      <c r="CE1503" s="238"/>
      <c r="CF1503" s="238"/>
      <c r="CG1503" s="233"/>
      <c r="CH1503" s="48"/>
      <c r="CI1503" s="98"/>
      <c r="CJ1503" s="98"/>
      <c r="CK1503" s="49">
        <f t="shared" si="392"/>
        <v>0.13077327889909346</v>
      </c>
      <c r="CL1503" s="229"/>
      <c r="CM1503" s="229"/>
      <c r="CN1503" s="229"/>
      <c r="CO1503" s="47" t="s">
        <v>892</v>
      </c>
      <c r="CP1503" s="47" t="s">
        <v>893</v>
      </c>
      <c r="CQ1503" s="224" t="s">
        <v>272</v>
      </c>
      <c r="CR1503" s="224"/>
      <c r="CS1503" s="230" t="s">
        <v>539</v>
      </c>
      <c r="CT1503" s="230"/>
      <c r="CU1503" s="230"/>
      <c r="CV1503" s="335">
        <f t="shared" si="398"/>
        <v>0.27532173311097824</v>
      </c>
      <c r="CW1503" s="230">
        <f t="shared" si="386"/>
        <v>0</v>
      </c>
      <c r="CX1503" s="336" t="s">
        <v>539</v>
      </c>
      <c r="CY1503" s="230" t="s">
        <v>5921</v>
      </c>
    </row>
    <row r="1504" spans="1:103" ht="11.25" customHeight="1" x14ac:dyDescent="0.2">
      <c r="A1504" s="72">
        <v>1502</v>
      </c>
      <c r="B1504" s="224">
        <v>1928</v>
      </c>
      <c r="C1504" s="46" t="s">
        <v>7520</v>
      </c>
      <c r="D1504" s="46"/>
      <c r="E1504" s="114"/>
      <c r="F1504" s="114" t="s">
        <v>4065</v>
      </c>
      <c r="G1504" s="225">
        <v>131983727</v>
      </c>
      <c r="H1504" s="47" t="s">
        <v>4066</v>
      </c>
      <c r="I1504" s="47" t="s">
        <v>8168</v>
      </c>
      <c r="J1504" s="47" t="s">
        <v>4067</v>
      </c>
      <c r="K1504" s="47" t="s">
        <v>1122</v>
      </c>
      <c r="L1504" s="51"/>
      <c r="M1504" s="47"/>
      <c r="N1504" s="47"/>
      <c r="O1504" s="47"/>
      <c r="P1504" s="53"/>
      <c r="Q1504" s="53"/>
      <c r="R1504" s="53"/>
      <c r="S1504" s="53"/>
      <c r="T1504" s="48">
        <v>317.81</v>
      </c>
      <c r="U1504" s="98">
        <v>2.202573864887826E-2</v>
      </c>
      <c r="V1504" s="98">
        <v>0.15226078474560273</v>
      </c>
      <c r="W1504" s="98">
        <v>0.27542287033381624</v>
      </c>
      <c r="X1504" s="98">
        <v>2.202573864887826E-2</v>
      </c>
      <c r="Y1504" s="233">
        <v>7.08</v>
      </c>
      <c r="Z1504" s="48">
        <v>4.1100000000000003</v>
      </c>
      <c r="AA1504" s="48">
        <v>3.29</v>
      </c>
      <c r="AB1504" s="48">
        <v>3.42</v>
      </c>
      <c r="AC1504" s="48">
        <v>0.77929999999999999</v>
      </c>
      <c r="AD1504" s="48">
        <v>3.32</v>
      </c>
      <c r="AE1504" s="48">
        <v>3.07</v>
      </c>
      <c r="AF1504" s="48">
        <f t="shared" si="393"/>
        <v>3.29</v>
      </c>
      <c r="AG1504" s="49">
        <v>3.46</v>
      </c>
      <c r="AH1504" s="98">
        <v>1.4800000000000001E-10</v>
      </c>
      <c r="AI1504" s="98"/>
      <c r="AJ1504" s="483">
        <f t="shared" si="396"/>
        <v>-8.2183046109176949</v>
      </c>
      <c r="AK1504" s="483"/>
      <c r="AL1504" s="483">
        <f t="shared" si="397"/>
        <v>-8.2183046109176949</v>
      </c>
      <c r="AM1504" s="483">
        <v>-13.95701</v>
      </c>
      <c r="AN1504" s="226">
        <v>-8.42</v>
      </c>
      <c r="AO1504" s="484">
        <v>13.24</v>
      </c>
      <c r="AP1504" s="484">
        <v>2.98</v>
      </c>
      <c r="AQ1504" s="226" t="s">
        <v>6311</v>
      </c>
      <c r="AR1504" s="226" t="s">
        <v>6311</v>
      </c>
      <c r="AS1504" s="224"/>
      <c r="AT1504" s="50" t="s">
        <v>266</v>
      </c>
      <c r="AU1504" s="48">
        <v>6</v>
      </c>
      <c r="AV1504" s="48">
        <v>120</v>
      </c>
      <c r="AW1504" s="48">
        <v>114</v>
      </c>
      <c r="AX1504" s="48">
        <v>28</v>
      </c>
      <c r="AY1504" s="48" t="s">
        <v>8728</v>
      </c>
      <c r="AZ1504" s="48" t="s">
        <v>1563</v>
      </c>
      <c r="BA1504" s="48">
        <v>32</v>
      </c>
      <c r="BB1504" s="47" t="s">
        <v>2485</v>
      </c>
      <c r="BC1504" s="47" t="s">
        <v>8726</v>
      </c>
      <c r="BD1504" s="47" t="s">
        <v>8374</v>
      </c>
      <c r="BE1504" s="48" t="s">
        <v>2449</v>
      </c>
      <c r="BF1504" s="48" t="s">
        <v>272</v>
      </c>
      <c r="BG1504" s="48" t="s">
        <v>272</v>
      </c>
      <c r="BH1504" s="48" t="s">
        <v>2486</v>
      </c>
      <c r="BI1504" s="98">
        <v>6.3999999999999997E-6</v>
      </c>
      <c r="BJ1504" s="98">
        <v>6.4000000000000001E-2</v>
      </c>
      <c r="BK1504" s="48"/>
      <c r="BL1504" s="98">
        <f t="shared" si="394"/>
        <v>1.0461862311927477E-2</v>
      </c>
      <c r="BM1504" s="47" t="s">
        <v>2487</v>
      </c>
      <c r="BN1504" s="48"/>
      <c r="BO1504" s="48"/>
      <c r="BP1504" s="48"/>
      <c r="BQ1504" s="48"/>
      <c r="BR1504" s="47" t="s">
        <v>2496</v>
      </c>
      <c r="BS1504" s="48"/>
      <c r="BT1504" s="48"/>
      <c r="BU1504" s="228"/>
      <c r="BV1504" s="48"/>
      <c r="BW1504" s="48"/>
      <c r="BX1504" s="48"/>
      <c r="BY1504" s="48"/>
      <c r="BZ1504" s="48"/>
      <c r="CA1504" s="48"/>
      <c r="CB1504" s="48"/>
      <c r="CC1504" s="48"/>
      <c r="CD1504" s="48"/>
      <c r="CE1504" s="48"/>
      <c r="CF1504" s="48"/>
      <c r="CG1504" s="48"/>
      <c r="CH1504" s="48"/>
      <c r="CI1504" s="98"/>
      <c r="CJ1504" s="98"/>
      <c r="CK1504" s="49">
        <f t="shared" si="392"/>
        <v>0.16346659862386684</v>
      </c>
      <c r="CL1504" s="229"/>
      <c r="CM1504" s="229"/>
      <c r="CN1504" s="229"/>
      <c r="CO1504" s="47" t="s">
        <v>2488</v>
      </c>
      <c r="CP1504" s="47" t="s">
        <v>2489</v>
      </c>
      <c r="CQ1504" s="224" t="s">
        <v>272</v>
      </c>
      <c r="CR1504" s="224"/>
      <c r="CS1504" s="230" t="s">
        <v>539</v>
      </c>
      <c r="CT1504" s="230"/>
      <c r="CU1504" s="230"/>
      <c r="CV1504" s="335">
        <f t="shared" si="398"/>
        <v>0.34415216638872281</v>
      </c>
      <c r="CW1504" s="230">
        <f t="shared" si="386"/>
        <v>0</v>
      </c>
      <c r="CX1504" s="336"/>
      <c r="CY1504" s="230" t="s">
        <v>5921</v>
      </c>
    </row>
    <row r="1505" spans="1:103" ht="11.25" customHeight="1" x14ac:dyDescent="0.2">
      <c r="A1505" s="72">
        <v>1503</v>
      </c>
      <c r="B1505" s="224">
        <v>1041</v>
      </c>
      <c r="C1505" s="46" t="s">
        <v>1002</v>
      </c>
      <c r="D1505" s="46" t="s">
        <v>6585</v>
      </c>
      <c r="E1505" s="114"/>
      <c r="F1505" s="114" t="s">
        <v>1003</v>
      </c>
      <c r="G1505" s="225">
        <v>134605644</v>
      </c>
      <c r="H1505" s="47" t="s">
        <v>1004</v>
      </c>
      <c r="I1505" s="47" t="s">
        <v>7783</v>
      </c>
      <c r="J1505" s="47" t="s">
        <v>1005</v>
      </c>
      <c r="K1505" s="47" t="s">
        <v>1006</v>
      </c>
      <c r="L1505" s="47" t="s">
        <v>5955</v>
      </c>
      <c r="M1505" s="47" t="s">
        <v>5956</v>
      </c>
      <c r="N1505" s="47" t="s">
        <v>6385</v>
      </c>
      <c r="O1505" s="47" t="s">
        <v>5957</v>
      </c>
      <c r="P1505" s="53"/>
      <c r="Q1505" s="53"/>
      <c r="R1505" s="53"/>
      <c r="S1505" s="53"/>
      <c r="T1505" s="48">
        <v>474.81</v>
      </c>
      <c r="U1505" s="98"/>
      <c r="V1505" s="98">
        <v>5.3874181251447944E-3</v>
      </c>
      <c r="W1505" s="98">
        <v>1.8620871366628634E-3</v>
      </c>
      <c r="X1505" s="98">
        <f>IF(W1505=0,V1505,W1505)</f>
        <v>1.8620871366628634E-3</v>
      </c>
      <c r="Y1505" s="233">
        <v>7</v>
      </c>
      <c r="Z1505" s="48">
        <v>3.05</v>
      </c>
      <c r="AA1505" s="48"/>
      <c r="AB1505" s="48">
        <v>3.65</v>
      </c>
      <c r="AC1505" s="48">
        <v>0.56579999999999997</v>
      </c>
      <c r="AD1505" s="48">
        <v>3.64</v>
      </c>
      <c r="AE1505" s="48">
        <v>3.63</v>
      </c>
      <c r="AF1505" s="48">
        <f t="shared" si="393"/>
        <v>3.64</v>
      </c>
      <c r="AG1505" s="49">
        <v>4.2300000000000004</v>
      </c>
      <c r="AH1505" s="98">
        <v>2.2499999999999999E-12</v>
      </c>
      <c r="AI1505" s="98"/>
      <c r="AJ1505" s="483">
        <f t="shared" si="396"/>
        <v>-10.03638380820129</v>
      </c>
      <c r="AK1505" s="483"/>
      <c r="AL1505" s="483">
        <f t="shared" si="397"/>
        <v>-10.03638380820129</v>
      </c>
      <c r="AM1505" s="483">
        <v>-17.98612</v>
      </c>
      <c r="AN1505" s="226">
        <v>-11.3</v>
      </c>
      <c r="AO1505" s="484"/>
      <c r="AP1505" s="484">
        <v>-4.21</v>
      </c>
      <c r="AQ1505" s="48" t="s">
        <v>6311</v>
      </c>
      <c r="AR1505" s="48" t="s">
        <v>6312</v>
      </c>
      <c r="AS1505" s="227"/>
      <c r="AT1505" s="50" t="s">
        <v>266</v>
      </c>
      <c r="AU1505" s="48">
        <v>6</v>
      </c>
      <c r="AV1505" s="48">
        <v>120</v>
      </c>
      <c r="AW1505" s="48">
        <v>114</v>
      </c>
      <c r="AX1505" s="48">
        <v>28</v>
      </c>
      <c r="AY1505" s="48" t="s">
        <v>8728</v>
      </c>
      <c r="AZ1505" s="48" t="s">
        <v>1563</v>
      </c>
      <c r="BA1505" s="48">
        <v>32</v>
      </c>
      <c r="BB1505" s="47" t="s">
        <v>2485</v>
      </c>
      <c r="BC1505" s="47" t="s">
        <v>8726</v>
      </c>
      <c r="BD1505" s="47" t="s">
        <v>8374</v>
      </c>
      <c r="BE1505" s="48" t="s">
        <v>2449</v>
      </c>
      <c r="BF1505" s="48" t="s">
        <v>272</v>
      </c>
      <c r="BG1505" s="48" t="s">
        <v>272</v>
      </c>
      <c r="BH1505" s="48" t="s">
        <v>2486</v>
      </c>
      <c r="BI1505" s="98">
        <v>6.3999999999999997E-6</v>
      </c>
      <c r="BJ1505" s="98">
        <v>6.4000000000000001E-2</v>
      </c>
      <c r="BK1505" s="48"/>
      <c r="BL1505" s="98">
        <f t="shared" si="394"/>
        <v>9.3668809386983007E-2</v>
      </c>
      <c r="BM1505" s="47" t="s">
        <v>2487</v>
      </c>
      <c r="BN1505" s="48"/>
      <c r="BO1505" s="48"/>
      <c r="BP1505" s="48"/>
      <c r="BQ1505" s="48"/>
      <c r="BR1505" s="47" t="s">
        <v>2496</v>
      </c>
      <c r="BS1505" s="48"/>
      <c r="BT1505" s="48"/>
      <c r="BU1505" s="228">
        <v>6.4320000000000002E-2</v>
      </c>
      <c r="BV1505" s="48"/>
      <c r="BW1505" s="48"/>
      <c r="BX1505" s="48"/>
      <c r="BY1505" s="48"/>
      <c r="BZ1505" s="48"/>
      <c r="CA1505" s="48"/>
      <c r="CB1505" s="48"/>
      <c r="CC1505" s="48"/>
      <c r="CD1505" s="48"/>
      <c r="CE1505" s="48"/>
      <c r="CF1505" s="48"/>
      <c r="CG1505" s="48"/>
      <c r="CH1505" s="48"/>
      <c r="CI1505" s="98"/>
      <c r="CJ1505" s="98"/>
      <c r="CK1505" s="49">
        <f t="shared" si="392"/>
        <v>1.4635751466716094</v>
      </c>
      <c r="CL1505" s="229"/>
      <c r="CM1505" s="229">
        <v>-2.0854552500527799</v>
      </c>
      <c r="CN1505" s="229">
        <f>BJ1505/(10^CM1505)</f>
        <v>7.79175384615385</v>
      </c>
      <c r="CO1505" s="47" t="s">
        <v>2488</v>
      </c>
      <c r="CP1505" s="47" t="s">
        <v>2489</v>
      </c>
      <c r="CQ1505" s="224">
        <v>-2.0854552500527799</v>
      </c>
      <c r="CR1505" s="224">
        <f>10^(CJ1505-CQ1505)</f>
        <v>121.7461538461539</v>
      </c>
      <c r="CS1505" s="230" t="s">
        <v>539</v>
      </c>
      <c r="CT1505" s="230"/>
      <c r="CU1505" s="230"/>
      <c r="CV1505" s="335">
        <f t="shared" si="398"/>
        <v>2.9095111510357239E-2</v>
      </c>
      <c r="CW1505" s="230">
        <f t="shared" si="386"/>
        <v>0</v>
      </c>
      <c r="CX1505" s="336"/>
      <c r="CY1505" s="230" t="s">
        <v>6351</v>
      </c>
    </row>
    <row r="1506" spans="1:103" ht="11.25" customHeight="1" x14ac:dyDescent="0.2">
      <c r="A1506" s="72">
        <v>1504</v>
      </c>
      <c r="B1506" s="224">
        <v>1019</v>
      </c>
      <c r="C1506" s="46" t="s">
        <v>7521</v>
      </c>
      <c r="D1506" s="46" t="s">
        <v>6586</v>
      </c>
      <c r="E1506" s="114"/>
      <c r="F1506" s="114" t="s">
        <v>2257</v>
      </c>
      <c r="G1506" s="225">
        <v>135158542</v>
      </c>
      <c r="H1506" s="47" t="s">
        <v>2258</v>
      </c>
      <c r="I1506" s="47" t="s">
        <v>8169</v>
      </c>
      <c r="J1506" s="47" t="s">
        <v>2259</v>
      </c>
      <c r="K1506" s="47" t="s">
        <v>357</v>
      </c>
      <c r="L1506" s="47" t="s">
        <v>6024</v>
      </c>
      <c r="M1506" s="47" t="s">
        <v>5960</v>
      </c>
      <c r="N1506" s="47" t="s">
        <v>2342</v>
      </c>
      <c r="O1506" s="47"/>
      <c r="P1506" s="53"/>
      <c r="Q1506" s="53"/>
      <c r="R1506" s="53"/>
      <c r="S1506" s="53"/>
      <c r="T1506" s="48">
        <v>210.28</v>
      </c>
      <c r="U1506" s="98">
        <v>3.6617842876165117E-2</v>
      </c>
      <c r="V1506" s="98">
        <v>0.41478029294274299</v>
      </c>
      <c r="W1506" s="98">
        <v>0.25703957827688606</v>
      </c>
      <c r="X1506" s="98">
        <v>3.6617842876165117E-2</v>
      </c>
      <c r="Y1506" s="233">
        <v>7</v>
      </c>
      <c r="Z1506" s="48">
        <v>1.55</v>
      </c>
      <c r="AA1506" s="48">
        <v>3.1</v>
      </c>
      <c r="AB1506" s="48">
        <v>2</v>
      </c>
      <c r="AC1506" s="48">
        <v>0.77859999999999996</v>
      </c>
      <c r="AD1506" s="48">
        <v>2.0499999999999998</v>
      </c>
      <c r="AE1506" s="48">
        <v>2.1800000000000002</v>
      </c>
      <c r="AF1506" s="48">
        <f t="shared" si="393"/>
        <v>3.1</v>
      </c>
      <c r="AG1506" s="49">
        <v>2.62</v>
      </c>
      <c r="AH1506" s="98">
        <v>3.9000000000000002E-9</v>
      </c>
      <c r="AI1506" s="98">
        <v>1.1899999999999999E-7</v>
      </c>
      <c r="AJ1506" s="483">
        <f t="shared" si="396"/>
        <v>-6.7975017192861529</v>
      </c>
      <c r="AK1506" s="483">
        <f>LOG10(AI1506*1000/(0.08206*298.15))</f>
        <v>-5.3130193649201214</v>
      </c>
      <c r="AL1506" s="483">
        <f t="shared" si="397"/>
        <v>-5.3130193649201214</v>
      </c>
      <c r="AM1506" s="483">
        <v>-10.888459999999998</v>
      </c>
      <c r="AN1506" s="226">
        <v>-5.2</v>
      </c>
      <c r="AO1506" s="484"/>
      <c r="AP1506" s="484">
        <v>-3.9</v>
      </c>
      <c r="AQ1506" s="48" t="s">
        <v>6311</v>
      </c>
      <c r="AR1506" s="48" t="s">
        <v>6311</v>
      </c>
      <c r="AS1506" s="227"/>
      <c r="AT1506" s="50" t="s">
        <v>266</v>
      </c>
      <c r="AU1506" s="48">
        <v>6</v>
      </c>
      <c r="AV1506" s="48">
        <v>120</v>
      </c>
      <c r="AW1506" s="48">
        <v>114</v>
      </c>
      <c r="AX1506" s="48">
        <v>28</v>
      </c>
      <c r="AY1506" s="48" t="s">
        <v>8728</v>
      </c>
      <c r="AZ1506" s="48" t="s">
        <v>1563</v>
      </c>
      <c r="BA1506" s="48">
        <v>32</v>
      </c>
      <c r="BB1506" s="47" t="s">
        <v>2485</v>
      </c>
      <c r="BC1506" s="47" t="s">
        <v>8726</v>
      </c>
      <c r="BD1506" s="47" t="s">
        <v>8374</v>
      </c>
      <c r="BE1506" s="48" t="s">
        <v>2449</v>
      </c>
      <c r="BF1506" s="48" t="s">
        <v>272</v>
      </c>
      <c r="BG1506" s="48" t="s">
        <v>272</v>
      </c>
      <c r="BH1506" s="48" t="s">
        <v>2486</v>
      </c>
      <c r="BI1506" s="98">
        <v>6.3999999999999997E-6</v>
      </c>
      <c r="BJ1506" s="98">
        <v>6.4000000000000001E-2</v>
      </c>
      <c r="BK1506" s="48"/>
      <c r="BL1506" s="98">
        <f t="shared" si="394"/>
        <v>2.0832673143506195</v>
      </c>
      <c r="BM1506" s="47" t="s">
        <v>2487</v>
      </c>
      <c r="BN1506" s="48"/>
      <c r="BO1506" s="48"/>
      <c r="BP1506" s="48"/>
      <c r="BQ1506" s="48"/>
      <c r="BR1506" s="47" t="s">
        <v>2496</v>
      </c>
      <c r="BS1506" s="48"/>
      <c r="BT1506" s="48"/>
      <c r="BU1506" s="228">
        <v>6.4000000000000001E-2</v>
      </c>
      <c r="BV1506" s="48"/>
      <c r="BW1506" s="48"/>
      <c r="BX1506" s="48"/>
      <c r="BY1506" s="48"/>
      <c r="BZ1506" s="48"/>
      <c r="CA1506" s="48"/>
      <c r="CB1506" s="48"/>
      <c r="CC1506" s="48"/>
      <c r="CD1506" s="48"/>
      <c r="CE1506" s="48"/>
      <c r="CF1506" s="48"/>
      <c r="CG1506" s="48"/>
      <c r="CH1506" s="48"/>
      <c r="CI1506" s="98"/>
      <c r="CJ1506" s="98"/>
      <c r="CK1506" s="49">
        <f t="shared" si="392"/>
        <v>32.551051786728429</v>
      </c>
      <c r="CL1506" s="229"/>
      <c r="CM1506" s="229">
        <v>-2.3783152961962188</v>
      </c>
      <c r="CN1506" s="229">
        <f>BJ1506/(10^CM1506)</f>
        <v>15.293090909090918</v>
      </c>
      <c r="CO1506" s="47" t="s">
        <v>2488</v>
      </c>
      <c r="CP1506" s="47" t="s">
        <v>2489</v>
      </c>
      <c r="CQ1506" s="224">
        <v>-2.2484966409433409</v>
      </c>
      <c r="CR1506" s="224">
        <f>10^(CJ1506-CQ1506)</f>
        <v>177.21343384846332</v>
      </c>
      <c r="CS1506" s="230" t="s">
        <v>539</v>
      </c>
      <c r="CT1506" s="230"/>
      <c r="CU1506" s="230"/>
      <c r="CV1506" s="335">
        <f t="shared" si="398"/>
        <v>0.5721537949400799</v>
      </c>
      <c r="CW1506" s="230">
        <f t="shared" si="386"/>
        <v>0</v>
      </c>
      <c r="CX1506" s="336"/>
      <c r="CY1506" s="230" t="s">
        <v>5921</v>
      </c>
    </row>
    <row r="1507" spans="1:103" ht="11.25" customHeight="1" x14ac:dyDescent="0.2">
      <c r="A1507" s="72">
        <v>1505</v>
      </c>
      <c r="B1507" s="224">
        <v>219</v>
      </c>
      <c r="C1507" s="46" t="s">
        <v>7522</v>
      </c>
      <c r="D1507" s="46"/>
      <c r="E1507" s="114"/>
      <c r="F1507" s="114" t="s">
        <v>3717</v>
      </c>
      <c r="G1507" s="225">
        <v>135410207</v>
      </c>
      <c r="H1507" s="47" t="s">
        <v>3718</v>
      </c>
      <c r="I1507" s="47" t="s">
        <v>8170</v>
      </c>
      <c r="J1507" s="47" t="s">
        <v>3719</v>
      </c>
      <c r="K1507" s="47" t="s">
        <v>2432</v>
      </c>
      <c r="L1507" s="47" t="s">
        <v>617</v>
      </c>
      <c r="M1507" s="47" t="s">
        <v>2433</v>
      </c>
      <c r="N1507" s="47"/>
      <c r="O1507" s="47" t="s">
        <v>918</v>
      </c>
      <c r="P1507" s="53"/>
      <c r="Q1507" s="53"/>
      <c r="R1507" s="53"/>
      <c r="S1507" s="53"/>
      <c r="T1507" s="48">
        <v>222.67</v>
      </c>
      <c r="U1507" s="98">
        <v>18.861993083935872</v>
      </c>
      <c r="V1507" s="98">
        <v>0.99968563344860106</v>
      </c>
      <c r="W1507" s="98">
        <v>7.7624711662869155</v>
      </c>
      <c r="X1507" s="98">
        <v>18.861993083935872</v>
      </c>
      <c r="Y1507" s="233">
        <v>7</v>
      </c>
      <c r="Z1507" s="48">
        <v>2.5499999999999998</v>
      </c>
      <c r="AA1507" s="48"/>
      <c r="AB1507" s="48">
        <v>1.19</v>
      </c>
      <c r="AC1507" s="48">
        <v>0.8357</v>
      </c>
      <c r="AD1507" s="48">
        <v>1.06</v>
      </c>
      <c r="AE1507" s="48">
        <v>0.62</v>
      </c>
      <c r="AF1507" s="48">
        <f t="shared" si="393"/>
        <v>1.06</v>
      </c>
      <c r="AG1507" s="49">
        <v>2.02</v>
      </c>
      <c r="AH1507" s="98">
        <v>6.9199999999999998E-8</v>
      </c>
      <c r="AI1507" s="98"/>
      <c r="AJ1507" s="483">
        <f t="shared" si="396"/>
        <v>-5.548460231855894</v>
      </c>
      <c r="AK1507" s="483"/>
      <c r="AL1507" s="483">
        <f t="shared" si="397"/>
        <v>-5.548460231855894</v>
      </c>
      <c r="AM1507" s="483">
        <v>-11.255369999999999</v>
      </c>
      <c r="AN1507" s="226">
        <v>-9.56</v>
      </c>
      <c r="AO1507" s="484"/>
      <c r="AP1507" s="484">
        <v>-0.44</v>
      </c>
      <c r="AQ1507" s="226" t="s">
        <v>6311</v>
      </c>
      <c r="AR1507" s="226" t="s">
        <v>6311</v>
      </c>
      <c r="AS1507" s="224" t="s">
        <v>6</v>
      </c>
      <c r="AT1507" s="50" t="s">
        <v>266</v>
      </c>
      <c r="AU1507" s="48">
        <v>8</v>
      </c>
      <c r="AV1507" s="48">
        <v>144</v>
      </c>
      <c r="AW1507" s="48">
        <v>120</v>
      </c>
      <c r="AX1507" s="48">
        <v>26</v>
      </c>
      <c r="AY1507" s="48" t="s">
        <v>267</v>
      </c>
      <c r="AZ1507" s="48" t="s">
        <v>2253</v>
      </c>
      <c r="BA1507" s="48">
        <v>2</v>
      </c>
      <c r="BB1507" s="47" t="s">
        <v>2254</v>
      </c>
      <c r="BC1507" s="47" t="s">
        <v>270</v>
      </c>
      <c r="BD1507" s="47" t="s">
        <v>8374</v>
      </c>
      <c r="BE1507" s="48" t="s">
        <v>1712</v>
      </c>
      <c r="BF1507" s="48" t="s">
        <v>272</v>
      </c>
      <c r="BG1507" s="48" t="s">
        <v>272</v>
      </c>
      <c r="BH1507" s="48" t="s">
        <v>2255</v>
      </c>
      <c r="BI1507" s="98">
        <v>9.9999999999999995E-7</v>
      </c>
      <c r="BJ1507" s="98">
        <v>0.08</v>
      </c>
      <c r="BK1507" s="48"/>
      <c r="BL1507" s="98">
        <f t="shared" si="394"/>
        <v>0.26341772823875065</v>
      </c>
      <c r="BM1507" s="48" t="s">
        <v>891</v>
      </c>
      <c r="BN1507" s="233"/>
      <c r="BO1507" s="233"/>
      <c r="BP1507" s="233"/>
      <c r="BQ1507" s="233"/>
      <c r="BR1507" s="233"/>
      <c r="BS1507" s="48"/>
      <c r="BT1507" s="233"/>
      <c r="BU1507" s="228"/>
      <c r="BV1507" s="233"/>
      <c r="BW1507" s="233"/>
      <c r="BX1507" s="233"/>
      <c r="BY1507" s="233"/>
      <c r="BZ1507" s="233"/>
      <c r="CA1507" s="233"/>
      <c r="CB1507" s="233"/>
      <c r="CC1507" s="48"/>
      <c r="CD1507" s="48"/>
      <c r="CE1507" s="48"/>
      <c r="CF1507" s="48"/>
      <c r="CG1507" s="233"/>
      <c r="CH1507" s="48"/>
      <c r="CI1507" s="98"/>
      <c r="CJ1507" s="98"/>
      <c r="CK1507" s="49">
        <f t="shared" si="392"/>
        <v>3.2927216029843831</v>
      </c>
      <c r="CL1507" s="229"/>
      <c r="CM1507" s="229"/>
      <c r="CN1507" s="229"/>
      <c r="CO1507" s="47" t="s">
        <v>892</v>
      </c>
      <c r="CP1507" s="47" t="s">
        <v>893</v>
      </c>
      <c r="CQ1507" s="224" t="s">
        <v>272</v>
      </c>
      <c r="CR1507" s="224"/>
      <c r="CS1507" s="230" t="s">
        <v>539</v>
      </c>
      <c r="CT1507" s="230"/>
      <c r="CU1507" s="230"/>
      <c r="CV1507" s="335">
        <f t="shared" si="398"/>
        <v>235.7749135491984</v>
      </c>
      <c r="CW1507" s="230">
        <f t="shared" si="386"/>
        <v>1</v>
      </c>
      <c r="CX1507" s="336" t="s">
        <v>539</v>
      </c>
      <c r="CY1507" s="230" t="s">
        <v>5921</v>
      </c>
    </row>
    <row r="1508" spans="1:103" ht="11.25" customHeight="1" x14ac:dyDescent="0.2">
      <c r="A1508" s="72">
        <v>1506</v>
      </c>
      <c r="B1508" s="224">
        <v>1488</v>
      </c>
      <c r="C1508" s="46" t="s">
        <v>7522</v>
      </c>
      <c r="D1508" s="46"/>
      <c r="E1508" s="114"/>
      <c r="F1508" s="114" t="s">
        <v>3717</v>
      </c>
      <c r="G1508" s="225">
        <v>135410207</v>
      </c>
      <c r="H1508" s="47" t="s">
        <v>3718</v>
      </c>
      <c r="I1508" s="47" t="s">
        <v>8170</v>
      </c>
      <c r="J1508" s="47" t="s">
        <v>3719</v>
      </c>
      <c r="K1508" s="47" t="s">
        <v>2432</v>
      </c>
      <c r="L1508" s="47" t="s">
        <v>617</v>
      </c>
      <c r="M1508" s="47" t="s">
        <v>2433</v>
      </c>
      <c r="N1508" s="47"/>
      <c r="O1508" s="47" t="s">
        <v>918</v>
      </c>
      <c r="P1508" s="53"/>
      <c r="Q1508" s="53"/>
      <c r="R1508" s="53"/>
      <c r="S1508" s="53"/>
      <c r="T1508" s="48">
        <v>222.67</v>
      </c>
      <c r="U1508" s="98">
        <v>18.861993083935872</v>
      </c>
      <c r="V1508" s="98">
        <v>0.99968563344860106</v>
      </c>
      <c r="W1508" s="98">
        <v>7.7624711662869155</v>
      </c>
      <c r="X1508" s="98">
        <v>18.861993083935872</v>
      </c>
      <c r="Y1508" s="233">
        <v>7</v>
      </c>
      <c r="Z1508" s="48">
        <v>2.5499999999999998</v>
      </c>
      <c r="AA1508" s="48"/>
      <c r="AB1508" s="48">
        <v>1.19</v>
      </c>
      <c r="AC1508" s="48">
        <v>0.8357</v>
      </c>
      <c r="AD1508" s="48">
        <v>1.06</v>
      </c>
      <c r="AE1508" s="48">
        <v>0.62</v>
      </c>
      <c r="AF1508" s="48">
        <f t="shared" si="393"/>
        <v>1.06</v>
      </c>
      <c r="AG1508" s="49">
        <v>2.02</v>
      </c>
      <c r="AH1508" s="98">
        <v>6.9199999999999998E-8</v>
      </c>
      <c r="AI1508" s="98"/>
      <c r="AJ1508" s="483">
        <f t="shared" si="396"/>
        <v>-5.548460231855894</v>
      </c>
      <c r="AK1508" s="483"/>
      <c r="AL1508" s="483">
        <f t="shared" si="397"/>
        <v>-5.548460231855894</v>
      </c>
      <c r="AM1508" s="483">
        <v>-11.255369999999999</v>
      </c>
      <c r="AN1508" s="226">
        <v>-9.56</v>
      </c>
      <c r="AO1508" s="484"/>
      <c r="AP1508" s="484">
        <v>-0.44</v>
      </c>
      <c r="AQ1508" s="48" t="s">
        <v>6311</v>
      </c>
      <c r="AR1508" s="48" t="s">
        <v>6311</v>
      </c>
      <c r="AS1508" s="227"/>
      <c r="AT1508" s="50" t="s">
        <v>266</v>
      </c>
      <c r="AU1508" s="48">
        <v>6</v>
      </c>
      <c r="AV1508" s="48">
        <v>120</v>
      </c>
      <c r="AW1508" s="48">
        <v>114</v>
      </c>
      <c r="AX1508" s="48">
        <v>28</v>
      </c>
      <c r="AY1508" s="48" t="s">
        <v>8728</v>
      </c>
      <c r="AZ1508" s="48" t="s">
        <v>1563</v>
      </c>
      <c r="BA1508" s="48">
        <v>32</v>
      </c>
      <c r="BB1508" s="47" t="s">
        <v>2485</v>
      </c>
      <c r="BC1508" s="47" t="s">
        <v>8726</v>
      </c>
      <c r="BD1508" s="47" t="s">
        <v>8374</v>
      </c>
      <c r="BE1508" s="48" t="s">
        <v>2449</v>
      </c>
      <c r="BF1508" s="48" t="s">
        <v>272</v>
      </c>
      <c r="BG1508" s="48" t="s">
        <v>272</v>
      </c>
      <c r="BH1508" s="48" t="s">
        <v>2486</v>
      </c>
      <c r="BI1508" s="98">
        <v>6.3999999999999997E-6</v>
      </c>
      <c r="BJ1508" s="98">
        <v>6.4000000000000001E-2</v>
      </c>
      <c r="BK1508" s="48"/>
      <c r="BL1508" s="98">
        <f t="shared" si="394"/>
        <v>0.26341772823875065</v>
      </c>
      <c r="BM1508" s="47" t="s">
        <v>2487</v>
      </c>
      <c r="BN1508" s="48"/>
      <c r="BO1508" s="48"/>
      <c r="BP1508" s="48"/>
      <c r="BQ1508" s="48"/>
      <c r="BR1508" s="47" t="s">
        <v>2496</v>
      </c>
      <c r="BS1508" s="48"/>
      <c r="BT1508" s="48"/>
      <c r="BU1508" s="228"/>
      <c r="BV1508" s="48"/>
      <c r="BW1508" s="48"/>
      <c r="BX1508" s="48"/>
      <c r="BY1508" s="48"/>
      <c r="BZ1508" s="48"/>
      <c r="CA1508" s="48"/>
      <c r="CB1508" s="48"/>
      <c r="CC1508" s="48"/>
      <c r="CD1508" s="48"/>
      <c r="CE1508" s="48"/>
      <c r="CF1508" s="48"/>
      <c r="CG1508" s="48"/>
      <c r="CH1508" s="48"/>
      <c r="CI1508" s="98"/>
      <c r="CJ1508" s="98"/>
      <c r="CK1508" s="49">
        <f t="shared" si="392"/>
        <v>4.1159020037304792</v>
      </c>
      <c r="CL1508" s="229"/>
      <c r="CM1508" s="229"/>
      <c r="CN1508" s="229"/>
      <c r="CO1508" s="47" t="s">
        <v>2488</v>
      </c>
      <c r="CP1508" s="47" t="s">
        <v>2489</v>
      </c>
      <c r="CQ1508" s="224" t="s">
        <v>272</v>
      </c>
      <c r="CR1508" s="224"/>
      <c r="CS1508" s="230" t="s">
        <v>539</v>
      </c>
      <c r="CT1508" s="230"/>
      <c r="CU1508" s="230"/>
      <c r="CV1508" s="335">
        <f t="shared" si="398"/>
        <v>294.71864193649799</v>
      </c>
      <c r="CW1508" s="230">
        <f t="shared" si="386"/>
        <v>1</v>
      </c>
      <c r="CX1508" s="336"/>
      <c r="CY1508" s="230" t="s">
        <v>5921</v>
      </c>
    </row>
    <row r="1509" spans="1:103" ht="11.25" customHeight="1" x14ac:dyDescent="0.2">
      <c r="A1509" s="72">
        <v>1507</v>
      </c>
      <c r="B1509" s="224">
        <v>1863</v>
      </c>
      <c r="C1509" s="46" t="s">
        <v>7523</v>
      </c>
      <c r="D1509" s="46"/>
      <c r="E1509" s="114"/>
      <c r="F1509" s="114" t="s">
        <v>5295</v>
      </c>
      <c r="G1509" s="225">
        <v>136042198</v>
      </c>
      <c r="H1509" s="47" t="s">
        <v>5296</v>
      </c>
      <c r="I1509" s="47" t="s">
        <v>8171</v>
      </c>
      <c r="J1509" s="47" t="s">
        <v>5297</v>
      </c>
      <c r="K1509" s="47"/>
      <c r="L1509" s="47"/>
      <c r="M1509" s="47"/>
      <c r="N1509" s="47"/>
      <c r="O1509" s="47"/>
      <c r="P1509" s="53"/>
      <c r="Q1509" s="53"/>
      <c r="R1509" s="53"/>
      <c r="S1509" s="53"/>
      <c r="T1509" s="48">
        <v>390.91</v>
      </c>
      <c r="U1509" s="98"/>
      <c r="V1509" s="98">
        <v>4.8323143434550152E-3</v>
      </c>
      <c r="W1509" s="98">
        <v>6.7608297539198158E-3</v>
      </c>
      <c r="X1509" s="98">
        <f>IF(W1509=0,V1509,W1509)</f>
        <v>6.7608297539198158E-3</v>
      </c>
      <c r="Y1509" s="233">
        <v>5.43</v>
      </c>
      <c r="Z1509" s="48">
        <v>4.5199999999999996</v>
      </c>
      <c r="AA1509" s="48"/>
      <c r="AB1509" s="48">
        <v>3.9</v>
      </c>
      <c r="AC1509" s="48">
        <v>0.56040000000000001</v>
      </c>
      <c r="AD1509" s="48">
        <v>4.28</v>
      </c>
      <c r="AE1509" s="48">
        <v>4.87</v>
      </c>
      <c r="AF1509" s="48">
        <f t="shared" si="393"/>
        <v>4.28</v>
      </c>
      <c r="AG1509" s="49">
        <v>3</v>
      </c>
      <c r="AH1509" s="98"/>
      <c r="AI1509" s="98"/>
      <c r="AJ1509" s="483"/>
      <c r="AK1509" s="483"/>
      <c r="AL1509" s="483"/>
      <c r="AM1509" s="483">
        <v>-24.440459999999998</v>
      </c>
      <c r="AN1509" s="226">
        <v>-14.7</v>
      </c>
      <c r="AO1509" s="484">
        <v>4.1500000000000004</v>
      </c>
      <c r="AP1509" s="484">
        <v>5.73</v>
      </c>
      <c r="AQ1509" s="226" t="s">
        <v>6311</v>
      </c>
      <c r="AR1509" s="226" t="s">
        <v>6311</v>
      </c>
      <c r="AS1509" s="224"/>
      <c r="AT1509" s="50" t="s">
        <v>266</v>
      </c>
      <c r="AU1509" s="48">
        <v>6</v>
      </c>
      <c r="AV1509" s="48">
        <v>120</v>
      </c>
      <c r="AW1509" s="48">
        <v>114</v>
      </c>
      <c r="AX1509" s="48">
        <v>28</v>
      </c>
      <c r="AY1509" s="48" t="s">
        <v>8728</v>
      </c>
      <c r="AZ1509" s="48" t="s">
        <v>1563</v>
      </c>
      <c r="BA1509" s="48">
        <v>32</v>
      </c>
      <c r="BB1509" s="47" t="s">
        <v>2485</v>
      </c>
      <c r="BC1509" s="47" t="s">
        <v>8726</v>
      </c>
      <c r="BD1509" s="47" t="s">
        <v>8374</v>
      </c>
      <c r="BE1509" s="48" t="s">
        <v>2449</v>
      </c>
      <c r="BF1509" s="48" t="s">
        <v>272</v>
      </c>
      <c r="BG1509" s="48" t="s">
        <v>272</v>
      </c>
      <c r="BH1509" s="48" t="s">
        <v>2486</v>
      </c>
      <c r="BI1509" s="98">
        <v>6.3999999999999997E-6</v>
      </c>
      <c r="BJ1509" s="98">
        <v>6.4000000000000001E-2</v>
      </c>
      <c r="BK1509" s="48"/>
      <c r="BL1509" s="98">
        <f t="shared" si="394"/>
        <v>4.4811347132130341E-3</v>
      </c>
      <c r="BM1509" s="47" t="s">
        <v>2487</v>
      </c>
      <c r="BN1509" s="48"/>
      <c r="BO1509" s="48"/>
      <c r="BP1509" s="48"/>
      <c r="BQ1509" s="48"/>
      <c r="BR1509" s="47" t="s">
        <v>2496</v>
      </c>
      <c r="BS1509" s="48"/>
      <c r="BT1509" s="48"/>
      <c r="BU1509" s="228"/>
      <c r="BV1509" s="48"/>
      <c r="BW1509" s="48"/>
      <c r="BX1509" s="48"/>
      <c r="BY1509" s="48"/>
      <c r="BZ1509" s="48"/>
      <c r="CA1509" s="48"/>
      <c r="CB1509" s="48"/>
      <c r="CC1509" s="48"/>
      <c r="CD1509" s="48"/>
      <c r="CE1509" s="48"/>
      <c r="CF1509" s="48"/>
      <c r="CG1509" s="48"/>
      <c r="CH1509" s="48"/>
      <c r="CI1509" s="98"/>
      <c r="CJ1509" s="98"/>
      <c r="CK1509" s="49">
        <f t="shared" si="392"/>
        <v>7.0017729893953662E-2</v>
      </c>
      <c r="CL1509" s="229"/>
      <c r="CM1509" s="229"/>
      <c r="CN1509" s="229"/>
      <c r="CO1509" s="47" t="s">
        <v>2488</v>
      </c>
      <c r="CP1509" s="47" t="s">
        <v>2489</v>
      </c>
      <c r="CQ1509" s="224" t="s">
        <v>272</v>
      </c>
      <c r="CR1509" s="224"/>
      <c r="CS1509" s="230" t="s">
        <v>539</v>
      </c>
      <c r="CT1509" s="230"/>
      <c r="CU1509" s="230"/>
      <c r="CV1509" s="335">
        <f t="shared" si="398"/>
        <v>0.10563796490499712</v>
      </c>
      <c r="CW1509" s="230">
        <f t="shared" si="386"/>
        <v>0</v>
      </c>
      <c r="CX1509" s="336"/>
      <c r="CY1509" s="230" t="s">
        <v>5921</v>
      </c>
    </row>
    <row r="1510" spans="1:103" ht="11.25" customHeight="1" x14ac:dyDescent="0.2">
      <c r="A1510" s="72">
        <v>1508</v>
      </c>
      <c r="B1510" s="224">
        <v>849</v>
      </c>
      <c r="C1510" s="46" t="s">
        <v>7524</v>
      </c>
      <c r="D1510" s="46"/>
      <c r="E1510" s="114"/>
      <c r="F1510" s="114" t="s">
        <v>2429</v>
      </c>
      <c r="G1510" s="225">
        <v>138261413</v>
      </c>
      <c r="H1510" s="47" t="s">
        <v>2430</v>
      </c>
      <c r="I1510" s="47" t="s">
        <v>8172</v>
      </c>
      <c r="J1510" s="47" t="s">
        <v>2431</v>
      </c>
      <c r="K1510" s="47" t="s">
        <v>2432</v>
      </c>
      <c r="L1510" s="47" t="s">
        <v>617</v>
      </c>
      <c r="M1510" s="47" t="s">
        <v>2433</v>
      </c>
      <c r="N1510" s="47"/>
      <c r="O1510" s="47" t="s">
        <v>918</v>
      </c>
      <c r="P1510" s="53"/>
      <c r="Q1510" s="53"/>
      <c r="R1510" s="53"/>
      <c r="S1510" s="53"/>
      <c r="T1510" s="48">
        <v>255.66</v>
      </c>
      <c r="U1510" s="98">
        <v>2.3859813815223343</v>
      </c>
      <c r="V1510" s="98">
        <v>28.052882734882267</v>
      </c>
      <c r="W1510" s="98">
        <v>6.760829753919813</v>
      </c>
      <c r="X1510" s="98">
        <v>2.3859813815223343</v>
      </c>
      <c r="Y1510" s="233">
        <v>7</v>
      </c>
      <c r="Z1510" s="48">
        <v>0.56000000000000005</v>
      </c>
      <c r="AA1510" s="48">
        <v>0.56999999999999995</v>
      </c>
      <c r="AB1510" s="48">
        <v>0.42</v>
      </c>
      <c r="AC1510" s="48">
        <v>0.87409999999999999</v>
      </c>
      <c r="AD1510" s="48">
        <v>0.38</v>
      </c>
      <c r="AE1510" s="48">
        <v>0.2</v>
      </c>
      <c r="AF1510" s="48">
        <f t="shared" si="393"/>
        <v>0.56999999999999995</v>
      </c>
      <c r="AG1510" s="49">
        <v>1.49</v>
      </c>
      <c r="AH1510" s="98">
        <v>1.04E-13</v>
      </c>
      <c r="AI1510" s="98">
        <v>1.65E-15</v>
      </c>
      <c r="AJ1510" s="483">
        <f t="shared" ref="AJ1510:AK1512" si="399">LOG10(AH1510*1000/(0.08206*298.15))</f>
        <v>-11.371532987013872</v>
      </c>
      <c r="AK1510" s="483">
        <f t="shared" si="399"/>
        <v>-13.171082382098746</v>
      </c>
      <c r="AL1510" s="483">
        <f t="shared" ref="AL1510:AL1552" si="400">IF(AK1510=0,AJ1510,AK1510)</f>
        <v>-13.171082382098746</v>
      </c>
      <c r="AM1510" s="483">
        <v>-15.755459999999998</v>
      </c>
      <c r="AN1510" s="226">
        <v>-17.2</v>
      </c>
      <c r="AO1510" s="484"/>
      <c r="AP1510" s="484">
        <v>0.26</v>
      </c>
      <c r="AQ1510" s="226" t="s">
        <v>6311</v>
      </c>
      <c r="AR1510" s="226" t="s">
        <v>6311</v>
      </c>
      <c r="AS1510" s="224" t="s">
        <v>6</v>
      </c>
      <c r="AT1510" s="50" t="s">
        <v>266</v>
      </c>
      <c r="AU1510" s="48">
        <v>8</v>
      </c>
      <c r="AV1510" s="48">
        <v>96</v>
      </c>
      <c r="AW1510" s="48">
        <v>96</v>
      </c>
      <c r="AX1510" s="48" t="s">
        <v>2434</v>
      </c>
      <c r="AY1510" s="48" t="s">
        <v>647</v>
      </c>
      <c r="AZ1510" s="48" t="s">
        <v>2435</v>
      </c>
      <c r="BA1510" s="48">
        <v>10</v>
      </c>
      <c r="BB1510" s="47" t="s">
        <v>1613</v>
      </c>
      <c r="BC1510" s="47" t="s">
        <v>538</v>
      </c>
      <c r="BD1510" s="47"/>
      <c r="BE1510" s="48" t="s">
        <v>271</v>
      </c>
      <c r="BF1510" s="48" t="s">
        <v>272</v>
      </c>
      <c r="BG1510" s="48" t="s">
        <v>272</v>
      </c>
      <c r="BH1510" s="48" t="s">
        <v>272</v>
      </c>
      <c r="BI1510" s="98">
        <f>5/255.67</f>
        <v>1.955645949857238E-2</v>
      </c>
      <c r="BJ1510" s="98">
        <f>25/255.67</f>
        <v>9.7782297492861894E-2</v>
      </c>
      <c r="BK1510" s="48"/>
      <c r="BL1510" s="98">
        <f t="shared" si="394"/>
        <v>16.138530970524926</v>
      </c>
      <c r="BM1510" s="48" t="s">
        <v>2436</v>
      </c>
      <c r="BN1510" s="233"/>
      <c r="BO1510" s="233"/>
      <c r="BP1510" s="233"/>
      <c r="BQ1510" s="233"/>
      <c r="BR1510" s="233"/>
      <c r="BS1510" s="48"/>
      <c r="BT1510" s="233"/>
      <c r="BU1510" s="228"/>
      <c r="BV1510" s="233"/>
      <c r="BW1510" s="233"/>
      <c r="BX1510" s="233"/>
      <c r="BY1510" s="233"/>
      <c r="BZ1510" s="233"/>
      <c r="CA1510" s="233"/>
      <c r="CB1510" s="233"/>
      <c r="CC1510" s="48"/>
      <c r="CD1510" s="48"/>
      <c r="CE1510" s="48"/>
      <c r="CF1510" s="48"/>
      <c r="CG1510" s="233"/>
      <c r="CH1510" s="48"/>
      <c r="CI1510" s="98"/>
      <c r="CJ1510" s="98"/>
      <c r="CK1510" s="49">
        <f t="shared" si="392"/>
        <v>165.0455285293643</v>
      </c>
      <c r="CL1510" s="229"/>
      <c r="CM1510" s="229"/>
      <c r="CN1510" s="229"/>
      <c r="CO1510" s="47"/>
      <c r="CP1510" s="47" t="s">
        <v>2437</v>
      </c>
      <c r="CQ1510" s="224">
        <v>-4.9589937720760709E-2</v>
      </c>
      <c r="CR1510" s="224">
        <f>10^(CJ1510-CQ1510)</f>
        <v>1.1209595407779149</v>
      </c>
      <c r="CS1510" s="230" t="s">
        <v>539</v>
      </c>
      <c r="CT1510" s="230"/>
      <c r="CU1510" s="230"/>
      <c r="CV1510" s="335">
        <f t="shared" si="398"/>
        <v>24.40095439255261</v>
      </c>
      <c r="CW1510" s="230">
        <f t="shared" si="386"/>
        <v>1</v>
      </c>
      <c r="CX1510" s="336"/>
      <c r="CY1510" s="230" t="s">
        <v>5921</v>
      </c>
    </row>
    <row r="1511" spans="1:103" ht="11.25" customHeight="1" x14ac:dyDescent="0.2">
      <c r="A1511" s="72">
        <v>1509</v>
      </c>
      <c r="B1511" s="224">
        <v>358</v>
      </c>
      <c r="C1511" s="46" t="s">
        <v>7524</v>
      </c>
      <c r="D1511" s="46"/>
      <c r="E1511" s="114"/>
      <c r="F1511" s="114" t="s">
        <v>2429</v>
      </c>
      <c r="G1511" s="225">
        <v>138261413</v>
      </c>
      <c r="H1511" s="47" t="s">
        <v>2430</v>
      </c>
      <c r="I1511" s="47" t="s">
        <v>8172</v>
      </c>
      <c r="J1511" s="47" t="s">
        <v>3212</v>
      </c>
      <c r="K1511" s="47" t="s">
        <v>2432</v>
      </c>
      <c r="L1511" s="47" t="s">
        <v>617</v>
      </c>
      <c r="M1511" s="47" t="s">
        <v>2433</v>
      </c>
      <c r="N1511" s="47"/>
      <c r="O1511" s="47" t="s">
        <v>918</v>
      </c>
      <c r="P1511" s="53" t="s">
        <v>6178</v>
      </c>
      <c r="Q1511" s="53" t="s">
        <v>6176</v>
      </c>
      <c r="R1511" s="53" t="s">
        <v>6177</v>
      </c>
      <c r="S1511" s="53" t="s">
        <v>6173</v>
      </c>
      <c r="T1511" s="48">
        <v>255.66</v>
      </c>
      <c r="U1511" s="98">
        <v>2.3859813815223343</v>
      </c>
      <c r="V1511" s="98">
        <v>28.052882734882267</v>
      </c>
      <c r="W1511" s="98">
        <v>6.760829753919813</v>
      </c>
      <c r="X1511" s="98">
        <v>2.3859813815223343</v>
      </c>
      <c r="Y1511" s="233">
        <v>7</v>
      </c>
      <c r="Z1511" s="48">
        <v>0.56000000000000005</v>
      </c>
      <c r="AA1511" s="48">
        <v>0.56999999999999995</v>
      </c>
      <c r="AB1511" s="48">
        <v>0.42</v>
      </c>
      <c r="AC1511" s="48">
        <v>0.87409999999999999</v>
      </c>
      <c r="AD1511" s="48">
        <v>0.38</v>
      </c>
      <c r="AE1511" s="48">
        <v>0.2</v>
      </c>
      <c r="AF1511" s="48">
        <f t="shared" si="393"/>
        <v>0.56999999999999995</v>
      </c>
      <c r="AG1511" s="49">
        <v>1.21</v>
      </c>
      <c r="AH1511" s="98">
        <v>1.04E-13</v>
      </c>
      <c r="AI1511" s="98">
        <v>1.65E-15</v>
      </c>
      <c r="AJ1511" s="483">
        <f t="shared" si="399"/>
        <v>-11.371532987013872</v>
      </c>
      <c r="AK1511" s="483">
        <f t="shared" si="399"/>
        <v>-13.171082382098746</v>
      </c>
      <c r="AL1511" s="483">
        <f t="shared" si="400"/>
        <v>-13.171082382098746</v>
      </c>
      <c r="AM1511" s="483">
        <v>-15.755459999999998</v>
      </c>
      <c r="AN1511" s="226">
        <v>-12.2</v>
      </c>
      <c r="AO1511" s="484"/>
      <c r="AP1511" s="484">
        <v>0.26</v>
      </c>
      <c r="AQ1511" s="226" t="s">
        <v>6311</v>
      </c>
      <c r="AR1511" s="226" t="s">
        <v>6311</v>
      </c>
      <c r="AS1511" s="224" t="s">
        <v>6</v>
      </c>
      <c r="AT1511" s="50" t="s">
        <v>266</v>
      </c>
      <c r="AU1511" s="48">
        <v>8</v>
      </c>
      <c r="AV1511" s="48">
        <v>144</v>
      </c>
      <c r="AW1511" s="48">
        <v>120</v>
      </c>
      <c r="AX1511" s="48">
        <v>26</v>
      </c>
      <c r="AY1511" s="48" t="s">
        <v>267</v>
      </c>
      <c r="AZ1511" s="48" t="s">
        <v>2253</v>
      </c>
      <c r="BA1511" s="48">
        <v>2</v>
      </c>
      <c r="BB1511" s="47" t="s">
        <v>2254</v>
      </c>
      <c r="BC1511" s="47" t="s">
        <v>270</v>
      </c>
      <c r="BD1511" s="47" t="s">
        <v>8374</v>
      </c>
      <c r="BE1511" s="48" t="s">
        <v>1712</v>
      </c>
      <c r="BF1511" s="48" t="s">
        <v>272</v>
      </c>
      <c r="BG1511" s="48" t="s">
        <v>272</v>
      </c>
      <c r="BH1511" s="48" t="s">
        <v>2255</v>
      </c>
      <c r="BI1511" s="98">
        <v>9.9999999999999995E-7</v>
      </c>
      <c r="BJ1511" s="98">
        <v>0.08</v>
      </c>
      <c r="BK1511" s="48"/>
      <c r="BL1511" s="98">
        <f t="shared" si="394"/>
        <v>16.138530970524926</v>
      </c>
      <c r="BM1511" s="48" t="s">
        <v>891</v>
      </c>
      <c r="BN1511" s="233"/>
      <c r="BO1511" s="233"/>
      <c r="BP1511" s="233"/>
      <c r="BQ1511" s="233"/>
      <c r="BR1511" s="233"/>
      <c r="BS1511" s="48"/>
      <c r="BT1511" s="233"/>
      <c r="BU1511" s="228"/>
      <c r="BV1511" s="233"/>
      <c r="BW1511" s="233"/>
      <c r="BX1511" s="233"/>
      <c r="BY1511" s="233"/>
      <c r="BZ1511" s="233"/>
      <c r="CA1511" s="233"/>
      <c r="CB1511" s="233"/>
      <c r="CC1511" s="48"/>
      <c r="CD1511" s="48"/>
      <c r="CE1511" s="48"/>
      <c r="CF1511" s="48"/>
      <c r="CG1511" s="233"/>
      <c r="CH1511" s="48"/>
      <c r="CI1511" s="98"/>
      <c r="CJ1511" s="98"/>
      <c r="CK1511" s="49">
        <f t="shared" si="392"/>
        <v>201.73163713156157</v>
      </c>
      <c r="CL1511" s="229"/>
      <c r="CM1511" s="229"/>
      <c r="CN1511" s="229"/>
      <c r="CO1511" s="47" t="s">
        <v>892</v>
      </c>
      <c r="CP1511" s="47" t="s">
        <v>893</v>
      </c>
      <c r="CQ1511" s="224">
        <v>-4.9589937720760709E-2</v>
      </c>
      <c r="CR1511" s="224">
        <f>10^(CJ1511-CQ1511)</f>
        <v>1.1209595407779149</v>
      </c>
      <c r="CS1511" s="230" t="s">
        <v>539</v>
      </c>
      <c r="CT1511" s="230"/>
      <c r="CU1511" s="230"/>
      <c r="CV1511" s="335">
        <f t="shared" si="398"/>
        <v>29.824767269029177</v>
      </c>
      <c r="CW1511" s="230">
        <f t="shared" si="386"/>
        <v>1</v>
      </c>
      <c r="CX1511" s="336" t="s">
        <v>539</v>
      </c>
      <c r="CY1511" s="230" t="s">
        <v>5921</v>
      </c>
    </row>
    <row r="1512" spans="1:103" ht="11.25" customHeight="1" x14ac:dyDescent="0.2">
      <c r="A1512" s="72">
        <v>1510</v>
      </c>
      <c r="B1512" s="224">
        <v>1164</v>
      </c>
      <c r="C1512" s="46" t="s">
        <v>7524</v>
      </c>
      <c r="D1512" s="46"/>
      <c r="E1512" s="114"/>
      <c r="F1512" s="114" t="s">
        <v>2429</v>
      </c>
      <c r="G1512" s="225">
        <v>138261413</v>
      </c>
      <c r="H1512" s="47" t="s">
        <v>2430</v>
      </c>
      <c r="I1512" s="47" t="s">
        <v>8172</v>
      </c>
      <c r="J1512" s="47" t="s">
        <v>3212</v>
      </c>
      <c r="K1512" s="47" t="s">
        <v>2432</v>
      </c>
      <c r="L1512" s="47" t="s">
        <v>617</v>
      </c>
      <c r="M1512" s="47" t="s">
        <v>2433</v>
      </c>
      <c r="N1512" s="47"/>
      <c r="O1512" s="47" t="s">
        <v>918</v>
      </c>
      <c r="P1512" s="53"/>
      <c r="Q1512" s="53"/>
      <c r="R1512" s="53"/>
      <c r="S1512" s="53"/>
      <c r="T1512" s="48">
        <v>255.66</v>
      </c>
      <c r="U1512" s="98">
        <v>2.3859813815223343</v>
      </c>
      <c r="V1512" s="98">
        <v>28.052882734882267</v>
      </c>
      <c r="W1512" s="98">
        <v>6.760829753919813</v>
      </c>
      <c r="X1512" s="98">
        <v>2.3859813815223343</v>
      </c>
      <c r="Y1512" s="233">
        <v>7</v>
      </c>
      <c r="Z1512" s="48">
        <v>0.56000000000000005</v>
      </c>
      <c r="AA1512" s="48">
        <v>0.56999999999999995</v>
      </c>
      <c r="AB1512" s="48">
        <v>0.42</v>
      </c>
      <c r="AC1512" s="48">
        <v>0.87409999999999999</v>
      </c>
      <c r="AD1512" s="48">
        <v>0.38</v>
      </c>
      <c r="AE1512" s="48">
        <v>0.2</v>
      </c>
      <c r="AF1512" s="48">
        <f t="shared" si="393"/>
        <v>0.56999999999999995</v>
      </c>
      <c r="AG1512" s="49">
        <v>1.21</v>
      </c>
      <c r="AH1512" s="98">
        <v>1.04E-13</v>
      </c>
      <c r="AI1512" s="98">
        <v>1.65E-15</v>
      </c>
      <c r="AJ1512" s="483">
        <f t="shared" si="399"/>
        <v>-11.371532987013872</v>
      </c>
      <c r="AK1512" s="483">
        <f t="shared" si="399"/>
        <v>-13.171082382098746</v>
      </c>
      <c r="AL1512" s="483">
        <f t="shared" si="400"/>
        <v>-13.171082382098746</v>
      </c>
      <c r="AM1512" s="483">
        <v>-15.755459999999998</v>
      </c>
      <c r="AN1512" s="226">
        <v>-12.2</v>
      </c>
      <c r="AO1512" s="484"/>
      <c r="AP1512" s="484">
        <v>0.26</v>
      </c>
      <c r="AQ1512" s="48" t="s">
        <v>6311</v>
      </c>
      <c r="AR1512" s="48" t="s">
        <v>6311</v>
      </c>
      <c r="AS1512" s="227"/>
      <c r="AT1512" s="50" t="s">
        <v>266</v>
      </c>
      <c r="AU1512" s="48">
        <v>6</v>
      </c>
      <c r="AV1512" s="48">
        <v>120</v>
      </c>
      <c r="AW1512" s="48">
        <v>114</v>
      </c>
      <c r="AX1512" s="48">
        <v>28</v>
      </c>
      <c r="AY1512" s="48" t="s">
        <v>8728</v>
      </c>
      <c r="AZ1512" s="48" t="s">
        <v>1563</v>
      </c>
      <c r="BA1512" s="48">
        <v>32</v>
      </c>
      <c r="BB1512" s="47" t="s">
        <v>2485</v>
      </c>
      <c r="BC1512" s="47" t="s">
        <v>8726</v>
      </c>
      <c r="BD1512" s="47" t="s">
        <v>8374</v>
      </c>
      <c r="BE1512" s="48" t="s">
        <v>2449</v>
      </c>
      <c r="BF1512" s="48" t="s">
        <v>272</v>
      </c>
      <c r="BG1512" s="48" t="s">
        <v>272</v>
      </c>
      <c r="BH1512" s="48" t="s">
        <v>2486</v>
      </c>
      <c r="BI1512" s="98">
        <v>6.3999999999999997E-6</v>
      </c>
      <c r="BJ1512" s="98">
        <v>6.4000000000000001E-2</v>
      </c>
      <c r="BK1512" s="48"/>
      <c r="BL1512" s="98">
        <f t="shared" si="394"/>
        <v>16.138530970524926</v>
      </c>
      <c r="BM1512" s="47" t="s">
        <v>2487</v>
      </c>
      <c r="BN1512" s="48"/>
      <c r="BO1512" s="48"/>
      <c r="BP1512" s="48"/>
      <c r="BQ1512" s="48"/>
      <c r="BR1512" s="47" t="s">
        <v>2496</v>
      </c>
      <c r="BS1512" s="48"/>
      <c r="BT1512" s="48"/>
      <c r="BU1512" s="228">
        <v>6.3999999999999997E-6</v>
      </c>
      <c r="BV1512" s="48"/>
      <c r="BW1512" s="48"/>
      <c r="BX1512" s="48"/>
      <c r="BY1512" s="48"/>
      <c r="BZ1512" s="48"/>
      <c r="CA1512" s="48"/>
      <c r="CB1512" s="48"/>
      <c r="CC1512" s="48"/>
      <c r="CD1512" s="48"/>
      <c r="CE1512" s="48"/>
      <c r="CF1512" s="48"/>
      <c r="CG1512" s="48"/>
      <c r="CH1512" s="48"/>
      <c r="CI1512" s="98"/>
      <c r="CJ1512" s="98"/>
      <c r="CK1512" s="49">
        <f t="shared" si="392"/>
        <v>252.16454641445196</v>
      </c>
      <c r="CL1512" s="229"/>
      <c r="CM1512" s="229"/>
      <c r="CN1512" s="229"/>
      <c r="CO1512" s="47" t="s">
        <v>2488</v>
      </c>
      <c r="CP1512" s="47" t="s">
        <v>2489</v>
      </c>
      <c r="CQ1512" s="224">
        <v>-4.9589937720760709E-2</v>
      </c>
      <c r="CR1512" s="224">
        <f>10^(CJ1512-CQ1512)</f>
        <v>1.1209595407779149</v>
      </c>
      <c r="CS1512" s="230" t="s">
        <v>539</v>
      </c>
      <c r="CT1512" s="230"/>
      <c r="CU1512" s="230"/>
      <c r="CV1512" s="335">
        <f t="shared" si="398"/>
        <v>37.280959086286472</v>
      </c>
      <c r="CW1512" s="230">
        <f t="shared" si="386"/>
        <v>1</v>
      </c>
      <c r="CX1512" s="336"/>
      <c r="CY1512" s="230" t="s">
        <v>5921</v>
      </c>
    </row>
    <row r="1513" spans="1:103" ht="11.25" customHeight="1" x14ac:dyDescent="0.2">
      <c r="A1513" s="72">
        <v>1511</v>
      </c>
      <c r="B1513" s="224">
        <v>1336</v>
      </c>
      <c r="C1513" s="46" t="s">
        <v>7525</v>
      </c>
      <c r="D1513" s="46"/>
      <c r="E1513" s="114"/>
      <c r="F1513" s="114" t="s">
        <v>3625</v>
      </c>
      <c r="G1513" s="225">
        <v>138472012</v>
      </c>
      <c r="H1513" s="47" t="s">
        <v>3626</v>
      </c>
      <c r="I1513" s="47" t="s">
        <v>8173</v>
      </c>
      <c r="J1513" s="236" t="s">
        <v>3627</v>
      </c>
      <c r="K1513" s="236" t="s">
        <v>455</v>
      </c>
      <c r="L1513" s="47"/>
      <c r="M1513" s="47"/>
      <c r="N1513" s="47"/>
      <c r="O1513" s="52"/>
      <c r="P1513" s="53"/>
      <c r="Q1513" s="53"/>
      <c r="R1513" s="53"/>
      <c r="S1513" s="53"/>
      <c r="T1513" s="240">
        <v>154.25</v>
      </c>
      <c r="U1513" s="409"/>
      <c r="V1513" s="98">
        <v>1.3504051863857376</v>
      </c>
      <c r="W1513" s="98">
        <v>5.8884365535558896</v>
      </c>
      <c r="X1513" s="98">
        <f>IF(W1513=0,V1513,W1513)</f>
        <v>5.8884365535558896</v>
      </c>
      <c r="Y1513" s="233">
        <v>4.3499999999999996</v>
      </c>
      <c r="Z1513" s="48">
        <v>2.17</v>
      </c>
      <c r="AA1513" s="48"/>
      <c r="AB1513" s="48">
        <v>0.92</v>
      </c>
      <c r="AC1513" s="48">
        <v>0.44850000000000001</v>
      </c>
      <c r="AD1513" s="48">
        <v>1.06</v>
      </c>
      <c r="AE1513" s="48">
        <v>1.18</v>
      </c>
      <c r="AF1513" s="48">
        <f t="shared" si="393"/>
        <v>1.06</v>
      </c>
      <c r="AG1513" s="48">
        <v>2.79</v>
      </c>
      <c r="AH1513" s="98">
        <v>4.3599999999999998E-14</v>
      </c>
      <c r="AI1513" s="98"/>
      <c r="AJ1513" s="483">
        <f t="shared" ref="AJ1513:AJ1552" si="401">LOG10(AH1513*1000/(0.08206*298.15))</f>
        <v>-11.749079837044066</v>
      </c>
      <c r="AK1513" s="483"/>
      <c r="AL1513" s="483">
        <f t="shared" si="400"/>
        <v>-11.749079837044066</v>
      </c>
      <c r="AM1513" s="483">
        <v>-15.84015</v>
      </c>
      <c r="AN1513" s="48">
        <v>-3.06</v>
      </c>
      <c r="AO1513" s="484">
        <v>6.49</v>
      </c>
      <c r="AP1513" s="484">
        <v>-1.7</v>
      </c>
      <c r="AQ1513" s="48" t="s">
        <v>6311</v>
      </c>
      <c r="AR1513" s="48" t="s">
        <v>6311</v>
      </c>
      <c r="AS1513" s="227"/>
      <c r="AT1513" s="50" t="s">
        <v>266</v>
      </c>
      <c r="AU1513" s="48">
        <v>6</v>
      </c>
      <c r="AV1513" s="48">
        <v>120</v>
      </c>
      <c r="AW1513" s="48">
        <v>114</v>
      </c>
      <c r="AX1513" s="48">
        <v>28</v>
      </c>
      <c r="AY1513" s="48" t="s">
        <v>8728</v>
      </c>
      <c r="AZ1513" s="48" t="s">
        <v>1563</v>
      </c>
      <c r="BA1513" s="48">
        <v>32</v>
      </c>
      <c r="BB1513" s="47" t="s">
        <v>2485</v>
      </c>
      <c r="BC1513" s="47" t="s">
        <v>8726</v>
      </c>
      <c r="BD1513" s="47" t="s">
        <v>8374</v>
      </c>
      <c r="BE1513" s="48" t="s">
        <v>2449</v>
      </c>
      <c r="BF1513" s="48" t="s">
        <v>272</v>
      </c>
      <c r="BG1513" s="48" t="s">
        <v>272</v>
      </c>
      <c r="BH1513" s="48" t="s">
        <v>2486</v>
      </c>
      <c r="BI1513" s="98">
        <v>6.3999999999999997E-6</v>
      </c>
      <c r="BJ1513" s="98">
        <v>6.4000000000000001E-2</v>
      </c>
      <c r="BK1513" s="48"/>
      <c r="BL1513" s="98">
        <f t="shared" si="394"/>
        <v>0.57799356061012974</v>
      </c>
      <c r="BM1513" s="47" t="s">
        <v>2487</v>
      </c>
      <c r="BN1513" s="48"/>
      <c r="BO1513" s="48"/>
      <c r="BP1513" s="48"/>
      <c r="BQ1513" s="48"/>
      <c r="BR1513" s="47" t="s">
        <v>2496</v>
      </c>
      <c r="BS1513" s="48"/>
      <c r="BT1513" s="48"/>
      <c r="BU1513" s="228"/>
      <c r="BV1513" s="48"/>
      <c r="BW1513" s="48"/>
      <c r="BX1513" s="48"/>
      <c r="BY1513" s="48"/>
      <c r="BZ1513" s="48"/>
      <c r="CA1513" s="48"/>
      <c r="CB1513" s="48"/>
      <c r="CC1513" s="48"/>
      <c r="CD1513" s="48"/>
      <c r="CE1513" s="48"/>
      <c r="CF1513" s="48"/>
      <c r="CG1513" s="48"/>
      <c r="CH1513" s="48"/>
      <c r="CI1513" s="98"/>
      <c r="CJ1513" s="98"/>
      <c r="CK1513" s="49">
        <f t="shared" si="392"/>
        <v>9.0311493845332773</v>
      </c>
      <c r="CL1513" s="229"/>
      <c r="CM1513" s="229"/>
      <c r="CN1513" s="229"/>
      <c r="CO1513" s="47" t="s">
        <v>2488</v>
      </c>
      <c r="CP1513" s="47" t="s">
        <v>2489</v>
      </c>
      <c r="CQ1513" s="224" t="s">
        <v>272</v>
      </c>
      <c r="CR1513" s="224"/>
      <c r="CS1513" s="230" t="s">
        <v>539</v>
      </c>
      <c r="CT1513" s="230"/>
      <c r="CU1513" s="230"/>
      <c r="CV1513" s="335">
        <f t="shared" si="398"/>
        <v>92.006821149310767</v>
      </c>
      <c r="CW1513" s="230">
        <f t="shared" si="386"/>
        <v>1</v>
      </c>
      <c r="CX1513" s="336"/>
      <c r="CY1513" s="230" t="s">
        <v>5921</v>
      </c>
    </row>
    <row r="1514" spans="1:103" ht="11.25" customHeight="1" x14ac:dyDescent="0.2">
      <c r="A1514" s="72">
        <v>1512</v>
      </c>
      <c r="B1514" s="224">
        <v>1933</v>
      </c>
      <c r="C1514" s="46" t="s">
        <v>7526</v>
      </c>
      <c r="D1514" s="46"/>
      <c r="E1514" s="114"/>
      <c r="F1514" s="114" t="s">
        <v>5426</v>
      </c>
      <c r="G1514" s="225">
        <v>139290656</v>
      </c>
      <c r="H1514" s="47" t="s">
        <v>5293</v>
      </c>
      <c r="I1514" s="47" t="s">
        <v>7843</v>
      </c>
      <c r="J1514" s="47" t="s">
        <v>5294</v>
      </c>
      <c r="K1514" s="47" t="s">
        <v>455</v>
      </c>
      <c r="L1514" s="47"/>
      <c r="M1514" s="47"/>
      <c r="N1514" s="47"/>
      <c r="O1514" s="47"/>
      <c r="P1514" s="53"/>
      <c r="Q1514" s="53"/>
      <c r="R1514" s="53"/>
      <c r="S1514" s="53"/>
      <c r="T1514" s="48">
        <v>413.6</v>
      </c>
      <c r="U1514" s="98"/>
      <c r="V1514" s="98">
        <v>1.6327369439071565E-3</v>
      </c>
      <c r="W1514" s="98">
        <v>0.61659500186148186</v>
      </c>
      <c r="X1514" s="98">
        <f>IF(W1514=0,V1514,W1514)</f>
        <v>0.61659500186148186</v>
      </c>
      <c r="Y1514" s="233">
        <v>10.36</v>
      </c>
      <c r="Z1514" s="48">
        <v>4.18</v>
      </c>
      <c r="AA1514" s="48"/>
      <c r="AB1514" s="48">
        <v>3.33</v>
      </c>
      <c r="AC1514" s="48">
        <v>0.69640000000000002</v>
      </c>
      <c r="AD1514" s="48">
        <v>3.6</v>
      </c>
      <c r="AE1514" s="48">
        <v>4.07</v>
      </c>
      <c r="AF1514" s="48">
        <f t="shared" si="393"/>
        <v>3.6</v>
      </c>
      <c r="AG1514" s="49">
        <v>2.89</v>
      </c>
      <c r="AH1514" s="98">
        <v>4.64E-17</v>
      </c>
      <c r="AI1514" s="98"/>
      <c r="AJ1514" s="483">
        <f t="shared" si="401"/>
        <v>-14.722048345757772</v>
      </c>
      <c r="AK1514" s="483"/>
      <c r="AL1514" s="483">
        <f t="shared" si="400"/>
        <v>-14.722048345757772</v>
      </c>
      <c r="AM1514" s="483">
        <v>-19.477709999999998</v>
      </c>
      <c r="AN1514" s="226">
        <v>-18.399999999999999</v>
      </c>
      <c r="AO1514" s="484"/>
      <c r="AP1514" s="484">
        <v>10.050000000000001</v>
      </c>
      <c r="AQ1514" s="226" t="s">
        <v>6311</v>
      </c>
      <c r="AR1514" s="226" t="s">
        <v>6311</v>
      </c>
      <c r="AS1514" s="224"/>
      <c r="AT1514" s="50" t="s">
        <v>266</v>
      </c>
      <c r="AU1514" s="48">
        <v>6</v>
      </c>
      <c r="AV1514" s="48">
        <v>120</v>
      </c>
      <c r="AW1514" s="48">
        <v>114</v>
      </c>
      <c r="AX1514" s="48">
        <v>28</v>
      </c>
      <c r="AY1514" s="48" t="s">
        <v>8728</v>
      </c>
      <c r="AZ1514" s="48" t="s">
        <v>1563</v>
      </c>
      <c r="BA1514" s="48">
        <v>32</v>
      </c>
      <c r="BB1514" s="47" t="s">
        <v>2485</v>
      </c>
      <c r="BC1514" s="47" t="s">
        <v>8726</v>
      </c>
      <c r="BD1514" s="47" t="s">
        <v>8374</v>
      </c>
      <c r="BE1514" s="48" t="s">
        <v>2449</v>
      </c>
      <c r="BF1514" s="48" t="s">
        <v>272</v>
      </c>
      <c r="BG1514" s="48" t="s">
        <v>272</v>
      </c>
      <c r="BH1514" s="48" t="s">
        <v>2486</v>
      </c>
      <c r="BI1514" s="98">
        <v>6.3999999999999997E-6</v>
      </c>
      <c r="BJ1514" s="98">
        <v>6.4000000000000001E-2</v>
      </c>
      <c r="BK1514" s="48"/>
      <c r="BL1514" s="98">
        <f t="shared" si="394"/>
        <v>9.051946948827664E-3</v>
      </c>
      <c r="BM1514" s="47" t="s">
        <v>2487</v>
      </c>
      <c r="BN1514" s="48"/>
      <c r="BO1514" s="48"/>
      <c r="BP1514" s="48"/>
      <c r="BQ1514" s="48"/>
      <c r="BR1514" s="47" t="s">
        <v>2496</v>
      </c>
      <c r="BS1514" s="48"/>
      <c r="BT1514" s="48"/>
      <c r="BU1514" s="228"/>
      <c r="BV1514" s="48"/>
      <c r="BW1514" s="48"/>
      <c r="BX1514" s="48"/>
      <c r="BY1514" s="48"/>
      <c r="BZ1514" s="48"/>
      <c r="CA1514" s="48"/>
      <c r="CB1514" s="48"/>
      <c r="CC1514" s="48"/>
      <c r="CD1514" s="48"/>
      <c r="CE1514" s="48"/>
      <c r="CF1514" s="48"/>
      <c r="CG1514" s="48"/>
      <c r="CH1514" s="48"/>
      <c r="CI1514" s="98"/>
      <c r="CJ1514" s="98"/>
      <c r="CK1514" s="49">
        <f t="shared" si="392"/>
        <v>0.14143667107543226</v>
      </c>
      <c r="CL1514" s="229"/>
      <c r="CM1514" s="229"/>
      <c r="CN1514" s="229"/>
      <c r="CO1514" s="47" t="s">
        <v>2488</v>
      </c>
      <c r="CP1514" s="47" t="s">
        <v>2489</v>
      </c>
      <c r="CQ1514" s="224" t="s">
        <v>272</v>
      </c>
      <c r="CR1514" s="224"/>
      <c r="CS1514" s="230" t="s">
        <v>539</v>
      </c>
      <c r="CT1514" s="230"/>
      <c r="CU1514" s="230"/>
      <c r="CV1514" s="335">
        <f t="shared" si="398"/>
        <v>9.6342969040856534</v>
      </c>
      <c r="CW1514" s="230">
        <f t="shared" si="386"/>
        <v>1</v>
      </c>
      <c r="CX1514" s="336"/>
      <c r="CY1514" s="230" t="s">
        <v>5921</v>
      </c>
    </row>
    <row r="1515" spans="1:103" ht="11.25" customHeight="1" x14ac:dyDescent="0.2">
      <c r="A1515" s="72">
        <v>1513</v>
      </c>
      <c r="B1515" s="224">
        <v>366</v>
      </c>
      <c r="C1515" s="46" t="s">
        <v>7527</v>
      </c>
      <c r="D1515" s="46"/>
      <c r="E1515" s="114"/>
      <c r="F1515" s="114" t="s">
        <v>3910</v>
      </c>
      <c r="G1515" s="225">
        <v>141112290</v>
      </c>
      <c r="H1515" s="47" t="s">
        <v>3911</v>
      </c>
      <c r="I1515" s="47" t="s">
        <v>8174</v>
      </c>
      <c r="J1515" s="47" t="s">
        <v>3912</v>
      </c>
      <c r="K1515" s="47" t="s">
        <v>426</v>
      </c>
      <c r="L1515" s="47" t="s">
        <v>6044</v>
      </c>
      <c r="M1515" s="47" t="s">
        <v>5960</v>
      </c>
      <c r="N1515" s="47"/>
      <c r="O1515" s="47"/>
      <c r="P1515" s="53"/>
      <c r="Q1515" s="53"/>
      <c r="R1515" s="53"/>
      <c r="S1515" s="53"/>
      <c r="T1515" s="48">
        <v>359.32</v>
      </c>
      <c r="U1515" s="98">
        <v>1.7254814649894246E-2</v>
      </c>
      <c r="V1515" s="98">
        <v>0.15807636646999887</v>
      </c>
      <c r="W1515" s="98">
        <v>6.1659500186148186E-2</v>
      </c>
      <c r="X1515" s="98">
        <v>1.7254814649894246E-2</v>
      </c>
      <c r="Y1515" s="233">
        <v>7</v>
      </c>
      <c r="Z1515" s="48">
        <v>2.25</v>
      </c>
      <c r="AA1515" s="48">
        <v>2.3199999999999998</v>
      </c>
      <c r="AB1515" s="48">
        <v>2.5499999999999998</v>
      </c>
      <c r="AC1515" s="48">
        <v>0.82920000000000005</v>
      </c>
      <c r="AD1515" s="48">
        <v>2.46</v>
      </c>
      <c r="AE1515" s="48">
        <v>1.67</v>
      </c>
      <c r="AF1515" s="48">
        <f t="shared" si="393"/>
        <v>2.3199999999999998</v>
      </c>
      <c r="AG1515" s="49">
        <v>3.04</v>
      </c>
      <c r="AH1515" s="98">
        <v>3.5299999999999997E-11</v>
      </c>
      <c r="AI1515" s="98">
        <v>1.8500000000000001E-10</v>
      </c>
      <c r="AJ1515" s="483">
        <f t="shared" si="401"/>
        <v>-8.8407916209248292</v>
      </c>
      <c r="AK1515" s="483">
        <f>LOG10(AI1515*1000/(0.08206*298.15))</f>
        <v>-8.1213945979096387</v>
      </c>
      <c r="AL1515" s="483">
        <f t="shared" si="400"/>
        <v>-8.1213945979096387</v>
      </c>
      <c r="AM1515" s="483">
        <v>-13.732060000000001</v>
      </c>
      <c r="AN1515" s="226">
        <v>-17.399999999999999</v>
      </c>
      <c r="AO1515" s="484"/>
      <c r="AP1515" s="484">
        <v>-4.29</v>
      </c>
      <c r="AQ1515" s="226" t="s">
        <v>6311</v>
      </c>
      <c r="AR1515" s="226" t="s">
        <v>6311</v>
      </c>
      <c r="AS1515" s="224" t="s">
        <v>6</v>
      </c>
      <c r="AT1515" s="50" t="s">
        <v>266</v>
      </c>
      <c r="AU1515" s="48">
        <v>8</v>
      </c>
      <c r="AV1515" s="48">
        <v>144</v>
      </c>
      <c r="AW1515" s="48">
        <v>120</v>
      </c>
      <c r="AX1515" s="48">
        <v>26</v>
      </c>
      <c r="AY1515" s="48" t="s">
        <v>267</v>
      </c>
      <c r="AZ1515" s="48" t="s">
        <v>2253</v>
      </c>
      <c r="BA1515" s="48">
        <v>2</v>
      </c>
      <c r="BB1515" s="47" t="s">
        <v>2254</v>
      </c>
      <c r="BC1515" s="47" t="s">
        <v>270</v>
      </c>
      <c r="BD1515" s="47" t="s">
        <v>8374</v>
      </c>
      <c r="BE1515" s="48" t="s">
        <v>1712</v>
      </c>
      <c r="BF1515" s="48" t="s">
        <v>272</v>
      </c>
      <c r="BG1515" s="48" t="s">
        <v>272</v>
      </c>
      <c r="BH1515" s="48" t="s">
        <v>2255</v>
      </c>
      <c r="BI1515" s="98">
        <v>9.9999999999999995E-7</v>
      </c>
      <c r="BJ1515" s="98">
        <v>0.08</v>
      </c>
      <c r="BK1515" s="48"/>
      <c r="BL1515" s="98">
        <f t="shared" si="394"/>
        <v>0.48986340847787241</v>
      </c>
      <c r="BM1515" s="48" t="s">
        <v>891</v>
      </c>
      <c r="BN1515" s="233"/>
      <c r="BO1515" s="233"/>
      <c r="BP1515" s="233"/>
      <c r="BQ1515" s="233"/>
      <c r="BR1515" s="233"/>
      <c r="BS1515" s="48"/>
      <c r="BT1515" s="233"/>
      <c r="BU1515" s="228"/>
      <c r="BV1515" s="233"/>
      <c r="BW1515" s="233"/>
      <c r="BX1515" s="233"/>
      <c r="BY1515" s="233"/>
      <c r="BZ1515" s="233"/>
      <c r="CA1515" s="233"/>
      <c r="CB1515" s="233"/>
      <c r="CC1515" s="48"/>
      <c r="CD1515" s="48"/>
      <c r="CE1515" s="48"/>
      <c r="CF1515" s="48"/>
      <c r="CG1515" s="233"/>
      <c r="CH1515" s="48"/>
      <c r="CI1515" s="98"/>
      <c r="CJ1515" s="98"/>
      <c r="CK1515" s="49">
        <f t="shared" si="392"/>
        <v>6.123292605973405</v>
      </c>
      <c r="CL1515" s="229"/>
      <c r="CM1515" s="229"/>
      <c r="CN1515" s="229"/>
      <c r="CO1515" s="47" t="s">
        <v>892</v>
      </c>
      <c r="CP1515" s="47" t="s">
        <v>893</v>
      </c>
      <c r="CQ1515" s="224">
        <v>-0.35136140835307278</v>
      </c>
      <c r="CR1515" s="224">
        <f>10^(CJ1515-CQ1515)</f>
        <v>2.2457500000000001</v>
      </c>
      <c r="CS1515" s="230" t="s">
        <v>539</v>
      </c>
      <c r="CT1515" s="230"/>
      <c r="CU1515" s="230"/>
      <c r="CV1515" s="335">
        <f t="shared" si="398"/>
        <v>0.21568518312367807</v>
      </c>
      <c r="CW1515" s="230">
        <f t="shared" si="386"/>
        <v>0</v>
      </c>
      <c r="CX1515" s="336" t="s">
        <v>539</v>
      </c>
      <c r="CY1515" s="230" t="s">
        <v>5921</v>
      </c>
    </row>
    <row r="1516" spans="1:103" ht="11.25" customHeight="1" x14ac:dyDescent="0.2">
      <c r="A1516" s="72">
        <v>1514</v>
      </c>
      <c r="B1516" s="224">
        <v>1716</v>
      </c>
      <c r="C1516" s="46" t="s">
        <v>7527</v>
      </c>
      <c r="D1516" s="46"/>
      <c r="E1516" s="114"/>
      <c r="F1516" s="114" t="s">
        <v>3910</v>
      </c>
      <c r="G1516" s="225">
        <v>141112290</v>
      </c>
      <c r="H1516" s="47" t="s">
        <v>3911</v>
      </c>
      <c r="I1516" s="47" t="s">
        <v>8174</v>
      </c>
      <c r="J1516" s="47" t="s">
        <v>3912</v>
      </c>
      <c r="K1516" s="47" t="s">
        <v>426</v>
      </c>
      <c r="L1516" s="47" t="s">
        <v>6044</v>
      </c>
      <c r="M1516" s="47" t="s">
        <v>5960</v>
      </c>
      <c r="N1516" s="47"/>
      <c r="O1516" s="47"/>
      <c r="P1516" s="53"/>
      <c r="Q1516" s="53"/>
      <c r="R1516" s="53"/>
      <c r="S1516" s="53"/>
      <c r="T1516" s="48">
        <v>359.32</v>
      </c>
      <c r="U1516" s="98">
        <v>1.7254814649894246E-2</v>
      </c>
      <c r="V1516" s="98">
        <v>0.15807636646999887</v>
      </c>
      <c r="W1516" s="98">
        <v>6.1659500186148186E-2</v>
      </c>
      <c r="X1516" s="98">
        <v>1.7254814649894246E-2</v>
      </c>
      <c r="Y1516" s="233">
        <v>7</v>
      </c>
      <c r="Z1516" s="48">
        <v>2.25</v>
      </c>
      <c r="AA1516" s="48">
        <v>2.3199999999999998</v>
      </c>
      <c r="AB1516" s="48">
        <v>2.5499999999999998</v>
      </c>
      <c r="AC1516" s="48">
        <v>0.82920000000000005</v>
      </c>
      <c r="AD1516" s="48">
        <v>2.46</v>
      </c>
      <c r="AE1516" s="48">
        <v>1.67</v>
      </c>
      <c r="AF1516" s="48">
        <f t="shared" si="393"/>
        <v>2.3199999999999998</v>
      </c>
      <c r="AG1516" s="49">
        <v>3.04</v>
      </c>
      <c r="AH1516" s="98">
        <v>3.5299999999999997E-11</v>
      </c>
      <c r="AI1516" s="98">
        <v>1.8500000000000001E-10</v>
      </c>
      <c r="AJ1516" s="483">
        <f t="shared" si="401"/>
        <v>-8.8407916209248292</v>
      </c>
      <c r="AK1516" s="483">
        <f>LOG10(AI1516*1000/(0.08206*298.15))</f>
        <v>-8.1213945979096387</v>
      </c>
      <c r="AL1516" s="483">
        <f t="shared" si="400"/>
        <v>-8.1213945979096387</v>
      </c>
      <c r="AM1516" s="483">
        <v>-13.732060000000001</v>
      </c>
      <c r="AN1516" s="226">
        <v>-17.399999999999999</v>
      </c>
      <c r="AO1516" s="484"/>
      <c r="AP1516" s="484">
        <v>-4.29</v>
      </c>
      <c r="AQ1516" s="226" t="s">
        <v>6311</v>
      </c>
      <c r="AR1516" s="226" t="s">
        <v>6311</v>
      </c>
      <c r="AS1516" s="224"/>
      <c r="AT1516" s="50" t="s">
        <v>266</v>
      </c>
      <c r="AU1516" s="48">
        <v>6</v>
      </c>
      <c r="AV1516" s="48">
        <v>120</v>
      </c>
      <c r="AW1516" s="48">
        <v>114</v>
      </c>
      <c r="AX1516" s="48">
        <v>28</v>
      </c>
      <c r="AY1516" s="48" t="s">
        <v>8728</v>
      </c>
      <c r="AZ1516" s="48" t="s">
        <v>1563</v>
      </c>
      <c r="BA1516" s="48">
        <v>32</v>
      </c>
      <c r="BB1516" s="47" t="s">
        <v>2485</v>
      </c>
      <c r="BC1516" s="47" t="s">
        <v>8726</v>
      </c>
      <c r="BD1516" s="47" t="s">
        <v>8374</v>
      </c>
      <c r="BE1516" s="48" t="s">
        <v>2449</v>
      </c>
      <c r="BF1516" s="48" t="s">
        <v>272</v>
      </c>
      <c r="BG1516" s="48" t="s">
        <v>272</v>
      </c>
      <c r="BH1516" s="48" t="s">
        <v>2486</v>
      </c>
      <c r="BI1516" s="98">
        <v>6.3999999999999997E-6</v>
      </c>
      <c r="BJ1516" s="98">
        <v>6.4000000000000001E-2</v>
      </c>
      <c r="BK1516" s="48"/>
      <c r="BL1516" s="98">
        <f t="shared" si="394"/>
        <v>0.48986340847787241</v>
      </c>
      <c r="BM1516" s="47" t="s">
        <v>2487</v>
      </c>
      <c r="BN1516" s="48"/>
      <c r="BO1516" s="48"/>
      <c r="BP1516" s="48"/>
      <c r="BQ1516" s="48"/>
      <c r="BR1516" s="47" t="s">
        <v>2496</v>
      </c>
      <c r="BS1516" s="48"/>
      <c r="BT1516" s="48"/>
      <c r="BU1516" s="228"/>
      <c r="BV1516" s="48"/>
      <c r="BW1516" s="48"/>
      <c r="BX1516" s="48"/>
      <c r="BY1516" s="48"/>
      <c r="BZ1516" s="48"/>
      <c r="CA1516" s="48"/>
      <c r="CB1516" s="48"/>
      <c r="CC1516" s="48"/>
      <c r="CD1516" s="48"/>
      <c r="CE1516" s="48"/>
      <c r="CF1516" s="48"/>
      <c r="CG1516" s="48"/>
      <c r="CH1516" s="48"/>
      <c r="CI1516" s="98"/>
      <c r="CJ1516" s="98"/>
      <c r="CK1516" s="49">
        <f t="shared" si="392"/>
        <v>7.654115757466756</v>
      </c>
      <c r="CL1516" s="229"/>
      <c r="CM1516" s="229"/>
      <c r="CN1516" s="229"/>
      <c r="CO1516" s="47" t="s">
        <v>2488</v>
      </c>
      <c r="CP1516" s="47" t="s">
        <v>2489</v>
      </c>
      <c r="CQ1516" s="224">
        <v>-0.35136140835307278</v>
      </c>
      <c r="CR1516" s="224">
        <f>10^(CJ1516-CQ1516)</f>
        <v>2.2457500000000001</v>
      </c>
      <c r="CS1516" s="230" t="s">
        <v>539</v>
      </c>
      <c r="CT1516" s="230"/>
      <c r="CU1516" s="230"/>
      <c r="CV1516" s="335">
        <f t="shared" si="398"/>
        <v>0.2696064789045976</v>
      </c>
      <c r="CW1516" s="230">
        <f t="shared" si="386"/>
        <v>0</v>
      </c>
      <c r="CX1516" s="336"/>
      <c r="CY1516" s="230" t="s">
        <v>5921</v>
      </c>
    </row>
    <row r="1517" spans="1:103" ht="11.25" customHeight="1" x14ac:dyDescent="0.2">
      <c r="A1517" s="72">
        <v>1515</v>
      </c>
      <c r="B1517" s="224">
        <v>1668</v>
      </c>
      <c r="C1517" s="46" t="s">
        <v>1209</v>
      </c>
      <c r="D1517" s="46" t="s">
        <v>6588</v>
      </c>
      <c r="E1517" s="114"/>
      <c r="F1517" s="114" t="s">
        <v>1210</v>
      </c>
      <c r="G1517" s="225">
        <v>142459583</v>
      </c>
      <c r="H1517" s="47" t="s">
        <v>1211</v>
      </c>
      <c r="I1517" s="47" t="s">
        <v>8175</v>
      </c>
      <c r="J1517" s="47" t="s">
        <v>1212</v>
      </c>
      <c r="K1517" s="47" t="s">
        <v>471</v>
      </c>
      <c r="L1517" s="47" t="s">
        <v>5248</v>
      </c>
      <c r="M1517" s="47" t="s">
        <v>6157</v>
      </c>
      <c r="N1517" s="47" t="s">
        <v>6082</v>
      </c>
      <c r="O1517" s="47" t="s">
        <v>5986</v>
      </c>
      <c r="P1517" s="53"/>
      <c r="Q1517" s="53"/>
      <c r="R1517" s="53"/>
      <c r="S1517" s="53"/>
      <c r="T1517" s="48">
        <v>363.33</v>
      </c>
      <c r="U1517" s="98">
        <v>0.15412985440233398</v>
      </c>
      <c r="V1517" s="98">
        <v>2.6191065973082323E-2</v>
      </c>
      <c r="W1517" s="98">
        <v>5.8884365535558803E-3</v>
      </c>
      <c r="X1517" s="98">
        <v>0.15412985440233398</v>
      </c>
      <c r="Y1517" s="233">
        <v>7</v>
      </c>
      <c r="Z1517" s="48">
        <v>2.39</v>
      </c>
      <c r="AA1517" s="48">
        <v>3.2</v>
      </c>
      <c r="AB1517" s="48">
        <v>2.75</v>
      </c>
      <c r="AC1517" s="48">
        <v>0.77400000000000002</v>
      </c>
      <c r="AD1517" s="48">
        <v>3.01</v>
      </c>
      <c r="AE1517" s="48">
        <v>3.98</v>
      </c>
      <c r="AF1517" s="48">
        <f t="shared" si="393"/>
        <v>3.2</v>
      </c>
      <c r="AG1517" s="49">
        <v>3.86</v>
      </c>
      <c r="AH1517" s="98">
        <v>1.9999999999999999E-11</v>
      </c>
      <c r="AI1517" s="98">
        <v>5.76E-9</v>
      </c>
      <c r="AJ1517" s="483">
        <f t="shared" si="401"/>
        <v>-9.0875363306486712</v>
      </c>
      <c r="AK1517" s="483">
        <f>LOG10(AI1517*1000/(0.08206*298.15))</f>
        <v>-6.6281438428894397</v>
      </c>
      <c r="AL1517" s="483">
        <f t="shared" si="400"/>
        <v>-6.6281438428894397</v>
      </c>
      <c r="AM1517" s="483">
        <v>-13.380149999999999</v>
      </c>
      <c r="AN1517" s="226">
        <v>-8.35</v>
      </c>
      <c r="AO1517" s="484"/>
      <c r="AP1517" s="484">
        <v>0.31</v>
      </c>
      <c r="AQ1517" s="226" t="s">
        <v>6311</v>
      </c>
      <c r="AR1517" s="226" t="s">
        <v>6311</v>
      </c>
      <c r="AS1517" s="224"/>
      <c r="AT1517" s="50" t="s">
        <v>266</v>
      </c>
      <c r="AU1517" s="48">
        <v>6</v>
      </c>
      <c r="AV1517" s="48">
        <v>120</v>
      </c>
      <c r="AW1517" s="48">
        <v>114</v>
      </c>
      <c r="AX1517" s="48">
        <v>28</v>
      </c>
      <c r="AY1517" s="48" t="s">
        <v>8728</v>
      </c>
      <c r="AZ1517" s="48" t="s">
        <v>1563</v>
      </c>
      <c r="BA1517" s="48">
        <v>32</v>
      </c>
      <c r="BB1517" s="47" t="s">
        <v>2485</v>
      </c>
      <c r="BC1517" s="47" t="s">
        <v>8726</v>
      </c>
      <c r="BD1517" s="47" t="s">
        <v>8374</v>
      </c>
      <c r="BE1517" s="48" t="s">
        <v>2449</v>
      </c>
      <c r="BF1517" s="48" t="s">
        <v>272</v>
      </c>
      <c r="BG1517" s="48" t="s">
        <v>272</v>
      </c>
      <c r="BH1517" s="48" t="s">
        <v>2486</v>
      </c>
      <c r="BI1517" s="98">
        <v>6.3999999999999997E-6</v>
      </c>
      <c r="BJ1517" s="98">
        <v>6.4000000000000001E-2</v>
      </c>
      <c r="BK1517" s="48"/>
      <c r="BL1517" s="98">
        <f t="shared" si="394"/>
        <v>0.36672540764426181</v>
      </c>
      <c r="BM1517" s="47" t="s">
        <v>2487</v>
      </c>
      <c r="BN1517" s="48"/>
      <c r="BO1517" s="48"/>
      <c r="BP1517" s="48"/>
      <c r="BQ1517" s="48"/>
      <c r="BR1517" s="47" t="s">
        <v>2496</v>
      </c>
      <c r="BS1517" s="48"/>
      <c r="BT1517" s="48"/>
      <c r="BU1517" s="228"/>
      <c r="BV1517" s="48"/>
      <c r="BW1517" s="48"/>
      <c r="BX1517" s="48"/>
      <c r="BY1517" s="48"/>
      <c r="BZ1517" s="48"/>
      <c r="CA1517" s="48"/>
      <c r="CB1517" s="48"/>
      <c r="CC1517" s="48"/>
      <c r="CD1517" s="48"/>
      <c r="CE1517" s="48"/>
      <c r="CF1517" s="48"/>
      <c r="CG1517" s="48"/>
      <c r="CH1517" s="48"/>
      <c r="CI1517" s="98"/>
      <c r="CJ1517" s="98"/>
      <c r="CK1517" s="49">
        <f t="shared" si="392"/>
        <v>5.7300844944415905</v>
      </c>
      <c r="CL1517" s="229"/>
      <c r="CM1517" s="229">
        <v>-2.1931414184201357</v>
      </c>
      <c r="CN1517" s="229">
        <f>BJ1517/(10^CM1517)</f>
        <v>9.9843866841387499</v>
      </c>
      <c r="CO1517" s="47" t="s">
        <v>2488</v>
      </c>
      <c r="CP1517" s="47" t="s">
        <v>2489</v>
      </c>
      <c r="CQ1517" s="224">
        <v>-2.0494117701169925</v>
      </c>
      <c r="CR1517" s="224">
        <f>10^(CJ1517-CQ1517)</f>
        <v>112.04997658502508</v>
      </c>
      <c r="CS1517" s="230" t="s">
        <v>539</v>
      </c>
      <c r="CT1517" s="230"/>
      <c r="CU1517" s="230"/>
      <c r="CV1517" s="335">
        <f t="shared" si="398"/>
        <v>2.4082789750364686</v>
      </c>
      <c r="CW1517" s="230">
        <f t="shared" si="386"/>
        <v>1</v>
      </c>
      <c r="CX1517" s="336"/>
      <c r="CY1517" s="230" t="s">
        <v>5921</v>
      </c>
    </row>
    <row r="1518" spans="1:103" ht="11.25" customHeight="1" x14ac:dyDescent="0.2">
      <c r="A1518" s="72">
        <v>1516</v>
      </c>
      <c r="B1518" s="224">
        <v>361</v>
      </c>
      <c r="C1518" s="46" t="s">
        <v>7528</v>
      </c>
      <c r="D1518" s="46"/>
      <c r="E1518" s="114"/>
      <c r="F1518" s="114" t="s">
        <v>3904</v>
      </c>
      <c r="G1518" s="225">
        <v>144550367</v>
      </c>
      <c r="H1518" s="47" t="s">
        <v>4970</v>
      </c>
      <c r="I1518" s="47" t="s">
        <v>7768</v>
      </c>
      <c r="J1518" s="47" t="s">
        <v>3905</v>
      </c>
      <c r="K1518" s="47"/>
      <c r="L1518" s="47"/>
      <c r="M1518" s="47"/>
      <c r="N1518" s="47"/>
      <c r="O1518" s="47"/>
      <c r="P1518" s="53"/>
      <c r="Q1518" s="53"/>
      <c r="R1518" s="53"/>
      <c r="S1518" s="53"/>
      <c r="T1518" s="48">
        <v>529.24</v>
      </c>
      <c r="U1518" s="98"/>
      <c r="V1518" s="98">
        <v>4.3666389539717331E-3</v>
      </c>
      <c r="W1518" s="98">
        <v>2.4547089156850253E-2</v>
      </c>
      <c r="X1518" s="98">
        <f>IF(W1518=0,V1518,W1518)</f>
        <v>2.4547089156850253E-2</v>
      </c>
      <c r="Y1518" s="233">
        <v>4.6399999999999997</v>
      </c>
      <c r="Z1518" s="48">
        <v>2.87</v>
      </c>
      <c r="AA1518" s="48"/>
      <c r="AB1518" s="48">
        <v>2.54</v>
      </c>
      <c r="AC1518" s="48">
        <v>0.61509999999999998</v>
      </c>
      <c r="AD1518" s="48">
        <v>3.03</v>
      </c>
      <c r="AE1518" s="48">
        <v>4</v>
      </c>
      <c r="AF1518" s="48">
        <f t="shared" si="393"/>
        <v>3.03</v>
      </c>
      <c r="AG1518" s="49">
        <v>3.03</v>
      </c>
      <c r="AH1518" s="98">
        <v>4.2099999999999999E-14</v>
      </c>
      <c r="AI1518" s="98"/>
      <c r="AJ1518" s="483">
        <f t="shared" si="401"/>
        <v>-11.764284230476983</v>
      </c>
      <c r="AK1518" s="483"/>
      <c r="AL1518" s="483">
        <f t="shared" si="400"/>
        <v>-11.764284230476983</v>
      </c>
      <c r="AM1518" s="483">
        <v>-25.779900000000001</v>
      </c>
      <c r="AN1518" s="226"/>
      <c r="AO1518" s="484">
        <v>3.69</v>
      </c>
      <c r="AP1518" s="484">
        <v>1.51</v>
      </c>
      <c r="AQ1518" s="226" t="s">
        <v>6311</v>
      </c>
      <c r="AR1518" s="226" t="s">
        <v>6312</v>
      </c>
      <c r="AS1518" s="224" t="s">
        <v>120</v>
      </c>
      <c r="AT1518" s="50" t="s">
        <v>266</v>
      </c>
      <c r="AU1518" s="48">
        <v>8</v>
      </c>
      <c r="AV1518" s="48">
        <v>144</v>
      </c>
      <c r="AW1518" s="48">
        <v>120</v>
      </c>
      <c r="AX1518" s="48">
        <v>26</v>
      </c>
      <c r="AY1518" s="48" t="s">
        <v>267</v>
      </c>
      <c r="AZ1518" s="48" t="s">
        <v>2253</v>
      </c>
      <c r="BA1518" s="48">
        <v>3</v>
      </c>
      <c r="BB1518" s="47" t="s">
        <v>2254</v>
      </c>
      <c r="BC1518" s="47" t="s">
        <v>270</v>
      </c>
      <c r="BD1518" s="47" t="s">
        <v>8374</v>
      </c>
      <c r="BE1518" s="48" t="s">
        <v>1712</v>
      </c>
      <c r="BF1518" s="48" t="s">
        <v>272</v>
      </c>
      <c r="BG1518" s="48" t="s">
        <v>272</v>
      </c>
      <c r="BH1518" s="48" t="s">
        <v>2255</v>
      </c>
      <c r="BI1518" s="98">
        <v>9.9999999999999995E-7</v>
      </c>
      <c r="BJ1518" s="98">
        <v>0.08</v>
      </c>
      <c r="BK1518" s="48"/>
      <c r="BL1518" s="98">
        <f t="shared" si="394"/>
        <v>0.13591049680871009</v>
      </c>
      <c r="BM1518" s="48" t="s">
        <v>891</v>
      </c>
      <c r="BN1518" s="233"/>
      <c r="BO1518" s="233"/>
      <c r="BP1518" s="233"/>
      <c r="BQ1518" s="233"/>
      <c r="BR1518" s="233"/>
      <c r="BS1518" s="48"/>
      <c r="BT1518" s="233"/>
      <c r="BU1518" s="228"/>
      <c r="BV1518" s="233"/>
      <c r="BW1518" s="233"/>
      <c r="BX1518" s="233"/>
      <c r="BY1518" s="233"/>
      <c r="BZ1518" s="233"/>
      <c r="CA1518" s="233"/>
      <c r="CB1518" s="233"/>
      <c r="CC1518" s="48"/>
      <c r="CD1518" s="48"/>
      <c r="CE1518" s="48"/>
      <c r="CF1518" s="48"/>
      <c r="CG1518" s="233"/>
      <c r="CH1518" s="48"/>
      <c r="CI1518" s="98"/>
      <c r="CJ1518" s="98"/>
      <c r="CK1518" s="49">
        <f t="shared" si="392"/>
        <v>1.6988812101088762</v>
      </c>
      <c r="CL1518" s="229"/>
      <c r="CM1518" s="229"/>
      <c r="CN1518" s="229"/>
      <c r="CO1518" s="47" t="s">
        <v>892</v>
      </c>
      <c r="CP1518" s="47" t="s">
        <v>893</v>
      </c>
      <c r="CQ1518" s="224" t="s">
        <v>272</v>
      </c>
      <c r="CR1518" s="224"/>
      <c r="CS1518" s="230" t="s">
        <v>539</v>
      </c>
      <c r="CT1518" s="230"/>
      <c r="CU1518" s="230"/>
      <c r="CV1518" s="335">
        <f t="shared" si="398"/>
        <v>0.30683861446062816</v>
      </c>
      <c r="CW1518" s="230">
        <f t="shared" si="386"/>
        <v>0</v>
      </c>
      <c r="CX1518" s="336" t="s">
        <v>539</v>
      </c>
      <c r="CY1518" s="230" t="s">
        <v>5921</v>
      </c>
    </row>
    <row r="1519" spans="1:103" ht="11.25" customHeight="1" x14ac:dyDescent="0.2">
      <c r="A1519" s="72">
        <v>1517</v>
      </c>
      <c r="B1519" s="224">
        <v>1708</v>
      </c>
      <c r="C1519" s="46" t="s">
        <v>7528</v>
      </c>
      <c r="D1519" s="46"/>
      <c r="E1519" s="114"/>
      <c r="F1519" s="114" t="s">
        <v>3904</v>
      </c>
      <c r="G1519" s="225">
        <v>144550367</v>
      </c>
      <c r="H1519" s="47" t="s">
        <v>4970</v>
      </c>
      <c r="I1519" s="47" t="s">
        <v>7768</v>
      </c>
      <c r="J1519" s="47" t="s">
        <v>3905</v>
      </c>
      <c r="K1519" s="47" t="s">
        <v>1391</v>
      </c>
      <c r="L1519" s="47"/>
      <c r="M1519" s="47"/>
      <c r="N1519" s="47"/>
      <c r="O1519" s="47"/>
      <c r="P1519" s="53"/>
      <c r="Q1519" s="53"/>
      <c r="R1519" s="53"/>
      <c r="S1519" s="53"/>
      <c r="T1519" s="48">
        <v>506.27</v>
      </c>
      <c r="U1519" s="98"/>
      <c r="V1519" s="98">
        <v>4.3666389539717331E-3</v>
      </c>
      <c r="W1519" s="98">
        <v>2.4547089156850253E-2</v>
      </c>
      <c r="X1519" s="98">
        <f>IF(W1519=0,V1519,W1519)</f>
        <v>2.4547089156850253E-2</v>
      </c>
      <c r="Y1519" s="233">
        <v>4.6399999999999997</v>
      </c>
      <c r="Z1519" s="48">
        <v>2.87</v>
      </c>
      <c r="AA1519" s="48"/>
      <c r="AB1519" s="48">
        <v>2.54</v>
      </c>
      <c r="AC1519" s="48">
        <v>0.61509999999999998</v>
      </c>
      <c r="AD1519" s="48">
        <v>3.03</v>
      </c>
      <c r="AE1519" s="48">
        <v>4</v>
      </c>
      <c r="AF1519" s="48">
        <f t="shared" si="393"/>
        <v>3.03</v>
      </c>
      <c r="AG1519" s="49">
        <v>3.03</v>
      </c>
      <c r="AH1519" s="98">
        <v>4.2099999999999999E-14</v>
      </c>
      <c r="AI1519" s="98"/>
      <c r="AJ1519" s="483">
        <f t="shared" si="401"/>
        <v>-11.764284230476983</v>
      </c>
      <c r="AK1519" s="483"/>
      <c r="AL1519" s="483">
        <f t="shared" si="400"/>
        <v>-11.764284230476983</v>
      </c>
      <c r="AM1519" s="483">
        <v>-25.779900000000001</v>
      </c>
      <c r="AN1519" s="226"/>
      <c r="AO1519" s="484">
        <v>3.69</v>
      </c>
      <c r="AP1519" s="484">
        <v>1.51</v>
      </c>
      <c r="AQ1519" s="226" t="s">
        <v>6311</v>
      </c>
      <c r="AR1519" s="226" t="s">
        <v>6312</v>
      </c>
      <c r="AS1519" s="224"/>
      <c r="AT1519" s="50" t="s">
        <v>266</v>
      </c>
      <c r="AU1519" s="48">
        <v>6</v>
      </c>
      <c r="AV1519" s="48">
        <v>120</v>
      </c>
      <c r="AW1519" s="48">
        <v>114</v>
      </c>
      <c r="AX1519" s="48">
        <v>28</v>
      </c>
      <c r="AY1519" s="48" t="s">
        <v>8728</v>
      </c>
      <c r="AZ1519" s="48" t="s">
        <v>1563</v>
      </c>
      <c r="BA1519" s="48">
        <v>32</v>
      </c>
      <c r="BB1519" s="47" t="s">
        <v>2485</v>
      </c>
      <c r="BC1519" s="47" t="s">
        <v>8726</v>
      </c>
      <c r="BD1519" s="47" t="s">
        <v>8374</v>
      </c>
      <c r="BE1519" s="48" t="s">
        <v>2449</v>
      </c>
      <c r="BF1519" s="48" t="s">
        <v>272</v>
      </c>
      <c r="BG1519" s="48" t="s">
        <v>272</v>
      </c>
      <c r="BH1519" s="48" t="s">
        <v>2486</v>
      </c>
      <c r="BI1519" s="98">
        <v>6.3999999999999997E-6</v>
      </c>
      <c r="BJ1519" s="98">
        <v>6.4000000000000001E-2</v>
      </c>
      <c r="BK1519" s="48"/>
      <c r="BL1519" s="98">
        <f t="shared" si="394"/>
        <v>0.13591049680871009</v>
      </c>
      <c r="BM1519" s="47" t="s">
        <v>2487</v>
      </c>
      <c r="BN1519" s="48"/>
      <c r="BO1519" s="48"/>
      <c r="BP1519" s="48"/>
      <c r="BQ1519" s="48"/>
      <c r="BR1519" s="47" t="s">
        <v>2496</v>
      </c>
      <c r="BS1519" s="48"/>
      <c r="BT1519" s="48"/>
      <c r="BU1519" s="228"/>
      <c r="BV1519" s="48"/>
      <c r="BW1519" s="48"/>
      <c r="BX1519" s="48"/>
      <c r="BY1519" s="48"/>
      <c r="BZ1519" s="48"/>
      <c r="CA1519" s="48"/>
      <c r="CB1519" s="48"/>
      <c r="CC1519" s="48"/>
      <c r="CD1519" s="48"/>
      <c r="CE1519" s="48"/>
      <c r="CF1519" s="48"/>
      <c r="CG1519" s="48"/>
      <c r="CH1519" s="48"/>
      <c r="CI1519" s="98"/>
      <c r="CJ1519" s="98"/>
      <c r="CK1519" s="49">
        <f t="shared" si="392"/>
        <v>2.1236015126360952</v>
      </c>
      <c r="CL1519" s="229"/>
      <c r="CM1519" s="229"/>
      <c r="CN1519" s="229"/>
      <c r="CO1519" s="47" t="s">
        <v>2488</v>
      </c>
      <c r="CP1519" s="47" t="s">
        <v>2489</v>
      </c>
      <c r="CQ1519" s="224" t="s">
        <v>272</v>
      </c>
      <c r="CR1519" s="224"/>
      <c r="CS1519" s="230" t="s">
        <v>539</v>
      </c>
      <c r="CT1519" s="230"/>
      <c r="CU1519" s="230"/>
      <c r="CV1519" s="335">
        <f t="shared" si="398"/>
        <v>0.38354826807578518</v>
      </c>
      <c r="CW1519" s="230">
        <f t="shared" si="386"/>
        <v>0</v>
      </c>
      <c r="CX1519" s="336"/>
      <c r="CY1519" s="230" t="s">
        <v>5921</v>
      </c>
    </row>
    <row r="1520" spans="1:103" ht="11.25" customHeight="1" x14ac:dyDescent="0.2">
      <c r="A1520" s="72">
        <v>1518</v>
      </c>
      <c r="B1520" s="224">
        <v>418</v>
      </c>
      <c r="C1520" s="46" t="s">
        <v>7529</v>
      </c>
      <c r="D1520" s="46"/>
      <c r="E1520" s="114"/>
      <c r="F1520" s="114" t="s">
        <v>3966</v>
      </c>
      <c r="G1520" s="225">
        <v>144651069</v>
      </c>
      <c r="H1520" s="47" t="s">
        <v>3967</v>
      </c>
      <c r="I1520" s="47" t="s">
        <v>3967</v>
      </c>
      <c r="J1520" s="47" t="s">
        <v>3968</v>
      </c>
      <c r="K1520" s="47" t="s">
        <v>3969</v>
      </c>
      <c r="L1520" s="47"/>
      <c r="M1520" s="47"/>
      <c r="N1520" s="47"/>
      <c r="O1520" s="47"/>
      <c r="P1520" s="53"/>
      <c r="Q1520" s="53" t="s">
        <v>6173</v>
      </c>
      <c r="R1520" s="53" t="s">
        <v>6177</v>
      </c>
      <c r="S1520" s="53" t="s">
        <v>6176</v>
      </c>
      <c r="T1520" s="48">
        <v>406.41</v>
      </c>
      <c r="U1520" s="98">
        <v>0.12794960753918455</v>
      </c>
      <c r="V1520" s="98">
        <v>0.79058094042961535</v>
      </c>
      <c r="W1520" s="98">
        <v>7.0794578438413705E-2</v>
      </c>
      <c r="X1520" s="98">
        <v>0.12794960753918455</v>
      </c>
      <c r="Y1520" s="233">
        <v>4.24</v>
      </c>
      <c r="Z1520" s="48">
        <v>1.25</v>
      </c>
      <c r="AA1520" s="48">
        <v>1.1000000000000001</v>
      </c>
      <c r="AB1520" s="48">
        <v>1.54</v>
      </c>
      <c r="AC1520" s="48">
        <v>0.79649999999999999</v>
      </c>
      <c r="AD1520" s="48">
        <v>1.55</v>
      </c>
      <c r="AE1520" s="48">
        <v>1.56</v>
      </c>
      <c r="AF1520" s="48">
        <f t="shared" si="393"/>
        <v>1.1000000000000001</v>
      </c>
      <c r="AG1520" s="49">
        <v>1.54</v>
      </c>
      <c r="AH1520" s="98">
        <v>3.2000000000000002E-16</v>
      </c>
      <c r="AI1520" s="98"/>
      <c r="AJ1520" s="483">
        <f t="shared" si="401"/>
        <v>-13.883416347992746</v>
      </c>
      <c r="AK1520" s="483"/>
      <c r="AL1520" s="483">
        <f t="shared" si="400"/>
        <v>-13.883416347992746</v>
      </c>
      <c r="AM1520" s="483">
        <v>-25.526059999999998</v>
      </c>
      <c r="AN1520" s="226">
        <v>-22.3</v>
      </c>
      <c r="AO1520" s="484">
        <v>3.72</v>
      </c>
      <c r="AP1520" s="484">
        <v>0.71</v>
      </c>
      <c r="AQ1520" s="226" t="s">
        <v>6311</v>
      </c>
      <c r="AR1520" s="226" t="s">
        <v>6312</v>
      </c>
      <c r="AS1520" s="224" t="s">
        <v>6</v>
      </c>
      <c r="AT1520" s="50" t="s">
        <v>266</v>
      </c>
      <c r="AU1520" s="48">
        <v>8</v>
      </c>
      <c r="AV1520" s="48">
        <v>144</v>
      </c>
      <c r="AW1520" s="48">
        <v>120</v>
      </c>
      <c r="AX1520" s="48">
        <v>26</v>
      </c>
      <c r="AY1520" s="48" t="s">
        <v>267</v>
      </c>
      <c r="AZ1520" s="48" t="s">
        <v>2253</v>
      </c>
      <c r="BA1520" s="48">
        <v>2</v>
      </c>
      <c r="BB1520" s="47" t="s">
        <v>2254</v>
      </c>
      <c r="BC1520" s="47" t="s">
        <v>270</v>
      </c>
      <c r="BD1520" s="47" t="s">
        <v>8374</v>
      </c>
      <c r="BE1520" s="48" t="s">
        <v>1712</v>
      </c>
      <c r="BF1520" s="48" t="s">
        <v>272</v>
      </c>
      <c r="BG1520" s="48" t="s">
        <v>272</v>
      </c>
      <c r="BH1520" s="48" t="s">
        <v>2255</v>
      </c>
      <c r="BI1520" s="98">
        <v>9.9999999999999995E-7</v>
      </c>
      <c r="BJ1520" s="98">
        <v>0.08</v>
      </c>
      <c r="BK1520" s="48"/>
      <c r="BL1520" s="98">
        <f t="shared" si="394"/>
        <v>3.8741372275953481</v>
      </c>
      <c r="BM1520" s="48" t="s">
        <v>891</v>
      </c>
      <c r="BN1520" s="233"/>
      <c r="BO1520" s="233"/>
      <c r="BP1520" s="233"/>
      <c r="BQ1520" s="233"/>
      <c r="BR1520" s="233"/>
      <c r="BS1520" s="48"/>
      <c r="BT1520" s="233"/>
      <c r="BU1520" s="228"/>
      <c r="BV1520" s="233"/>
      <c r="BW1520" s="233"/>
      <c r="BX1520" s="233"/>
      <c r="BY1520" s="233"/>
      <c r="BZ1520" s="233"/>
      <c r="CA1520" s="233"/>
      <c r="CB1520" s="233"/>
      <c r="CC1520" s="48"/>
      <c r="CD1520" s="48"/>
      <c r="CE1520" s="48"/>
      <c r="CF1520" s="48"/>
      <c r="CG1520" s="233"/>
      <c r="CH1520" s="48"/>
      <c r="CI1520" s="98"/>
      <c r="CJ1520" s="98"/>
      <c r="CK1520" s="49">
        <f t="shared" si="392"/>
        <v>48.426715344941847</v>
      </c>
      <c r="CL1520" s="229"/>
      <c r="CM1520" s="229"/>
      <c r="CN1520" s="229"/>
      <c r="CO1520" s="47" t="s">
        <v>892</v>
      </c>
      <c r="CP1520" s="47" t="s">
        <v>893</v>
      </c>
      <c r="CQ1520" s="224" t="s">
        <v>272</v>
      </c>
      <c r="CR1520" s="224"/>
      <c r="CS1520" s="230" t="s">
        <v>539</v>
      </c>
      <c r="CT1520" s="230"/>
      <c r="CU1520" s="230"/>
      <c r="CV1520" s="335">
        <f t="shared" si="398"/>
        <v>1.5993700942398068</v>
      </c>
      <c r="CW1520" s="230">
        <f t="shared" si="386"/>
        <v>1</v>
      </c>
      <c r="CX1520" s="336" t="s">
        <v>539</v>
      </c>
      <c r="CY1520" s="230" t="s">
        <v>5921</v>
      </c>
    </row>
    <row r="1521" spans="1:103" ht="11.25" customHeight="1" x14ac:dyDescent="0.2">
      <c r="A1521" s="72">
        <v>1519</v>
      </c>
      <c r="B1521" s="224">
        <v>285</v>
      </c>
      <c r="C1521" s="46" t="s">
        <v>7530</v>
      </c>
      <c r="D1521" s="46"/>
      <c r="E1521" s="114"/>
      <c r="F1521" s="114" t="s">
        <v>3808</v>
      </c>
      <c r="G1521" s="225">
        <v>145701219</v>
      </c>
      <c r="H1521" s="47" t="s">
        <v>3809</v>
      </c>
      <c r="I1521" s="47" t="s">
        <v>8176</v>
      </c>
      <c r="J1521" s="47" t="s">
        <v>3810</v>
      </c>
      <c r="K1521" s="47" t="s">
        <v>3811</v>
      </c>
      <c r="L1521" s="47"/>
      <c r="M1521" s="47"/>
      <c r="N1521" s="47"/>
      <c r="O1521" s="47"/>
      <c r="P1521" s="53"/>
      <c r="Q1521" s="53"/>
      <c r="R1521" s="53"/>
      <c r="S1521" s="53"/>
      <c r="T1521" s="48">
        <v>406.22</v>
      </c>
      <c r="U1521" s="98"/>
      <c r="V1521" s="98">
        <v>6.9346659445620601E-3</v>
      </c>
      <c r="W1521" s="98">
        <v>3.0902954325135859E-2</v>
      </c>
      <c r="X1521" s="98">
        <f>IF(W1521=0,V1521,W1521)</f>
        <v>3.0902954325135859E-2</v>
      </c>
      <c r="Y1521" s="233">
        <v>4.66</v>
      </c>
      <c r="Z1521" s="48">
        <v>3.51</v>
      </c>
      <c r="AA1521" s="48"/>
      <c r="AB1521" s="48">
        <v>3.07</v>
      </c>
      <c r="AC1521" s="48">
        <v>0.57899999999999996</v>
      </c>
      <c r="AD1521" s="48">
        <v>2.99</v>
      </c>
      <c r="AE1521" s="48">
        <v>2.88</v>
      </c>
      <c r="AF1521" s="48">
        <f t="shared" si="393"/>
        <v>2.99</v>
      </c>
      <c r="AG1521" s="49">
        <v>3.18</v>
      </c>
      <c r="AH1521" s="98">
        <v>7.5499999999999994E-14</v>
      </c>
      <c r="AI1521" s="98"/>
      <c r="AJ1521" s="483">
        <f t="shared" si="401"/>
        <v>-11.510619374683463</v>
      </c>
      <c r="AK1521" s="483"/>
      <c r="AL1521" s="483">
        <f t="shared" si="400"/>
        <v>-11.510619374683463</v>
      </c>
      <c r="AM1521" s="483">
        <v>-19.684110000000004</v>
      </c>
      <c r="AN1521" s="226">
        <v>-16.8</v>
      </c>
      <c r="AO1521" s="484">
        <v>4.25</v>
      </c>
      <c r="AP1521" s="484">
        <v>-2.66</v>
      </c>
      <c r="AQ1521" s="226" t="s">
        <v>6311</v>
      </c>
      <c r="AR1521" s="226" t="s">
        <v>6311</v>
      </c>
      <c r="AS1521" s="224" t="s">
        <v>63</v>
      </c>
      <c r="AT1521" s="50" t="s">
        <v>266</v>
      </c>
      <c r="AU1521" s="48">
        <v>8</v>
      </c>
      <c r="AV1521" s="48">
        <v>144</v>
      </c>
      <c r="AW1521" s="48">
        <v>120</v>
      </c>
      <c r="AX1521" s="48">
        <v>26</v>
      </c>
      <c r="AY1521" s="48" t="s">
        <v>267</v>
      </c>
      <c r="AZ1521" s="48" t="s">
        <v>2253</v>
      </c>
      <c r="BA1521" s="48">
        <v>3</v>
      </c>
      <c r="BB1521" s="47" t="s">
        <v>2254</v>
      </c>
      <c r="BC1521" s="47" t="s">
        <v>270</v>
      </c>
      <c r="BD1521" s="47" t="s">
        <v>8374</v>
      </c>
      <c r="BE1521" s="48" t="s">
        <v>1712</v>
      </c>
      <c r="BF1521" s="48" t="s">
        <v>272</v>
      </c>
      <c r="BG1521" s="48" t="s">
        <v>272</v>
      </c>
      <c r="BH1521" s="48" t="s">
        <v>2255</v>
      </c>
      <c r="BI1521" s="98">
        <v>9.9999999999999995E-7</v>
      </c>
      <c r="BJ1521" s="98">
        <v>0.08</v>
      </c>
      <c r="BK1521" s="48"/>
      <c r="BL1521" s="98">
        <f t="shared" si="394"/>
        <v>3.6180036445079868E-2</v>
      </c>
      <c r="BM1521" s="48" t="s">
        <v>891</v>
      </c>
      <c r="BN1521" s="233"/>
      <c r="BO1521" s="233"/>
      <c r="BP1521" s="233"/>
      <c r="BQ1521" s="233"/>
      <c r="BR1521" s="233"/>
      <c r="BS1521" s="48"/>
      <c r="BT1521" s="233"/>
      <c r="BU1521" s="228"/>
      <c r="BV1521" s="233"/>
      <c r="BW1521" s="233"/>
      <c r="BX1521" s="233"/>
      <c r="BY1521" s="233"/>
      <c r="BZ1521" s="233"/>
      <c r="CA1521" s="233"/>
      <c r="CB1521" s="233"/>
      <c r="CC1521" s="48"/>
      <c r="CD1521" s="48"/>
      <c r="CE1521" s="48"/>
      <c r="CF1521" s="48"/>
      <c r="CG1521" s="233"/>
      <c r="CH1521" s="48"/>
      <c r="CI1521" s="98"/>
      <c r="CJ1521" s="98"/>
      <c r="CK1521" s="49">
        <f t="shared" si="392"/>
        <v>0.45225045556349835</v>
      </c>
      <c r="CL1521" s="229"/>
      <c r="CM1521" s="229"/>
      <c r="CN1521" s="229"/>
      <c r="CO1521" s="47" t="s">
        <v>892</v>
      </c>
      <c r="CP1521" s="47" t="s">
        <v>893</v>
      </c>
      <c r="CQ1521" s="224" t="s">
        <v>272</v>
      </c>
      <c r="CR1521" s="224"/>
      <c r="CS1521" s="230" t="s">
        <v>539</v>
      </c>
      <c r="CT1521" s="230"/>
      <c r="CU1521" s="230"/>
      <c r="CV1521" s="335">
        <f t="shared" si="398"/>
        <v>0.3862869290641982</v>
      </c>
      <c r="CW1521" s="230">
        <f t="shared" si="386"/>
        <v>0</v>
      </c>
      <c r="CX1521" s="336" t="s">
        <v>539</v>
      </c>
      <c r="CY1521" s="230" t="s">
        <v>5921</v>
      </c>
    </row>
    <row r="1522" spans="1:103" ht="11.25" customHeight="1" x14ac:dyDescent="0.2">
      <c r="A1522" s="72">
        <v>1520</v>
      </c>
      <c r="B1522" s="224">
        <v>1599</v>
      </c>
      <c r="C1522" s="46" t="s">
        <v>7530</v>
      </c>
      <c r="D1522" s="46"/>
      <c r="E1522" s="114"/>
      <c r="F1522" s="114" t="s">
        <v>3808</v>
      </c>
      <c r="G1522" s="225">
        <v>145701219</v>
      </c>
      <c r="H1522" s="47" t="s">
        <v>3809</v>
      </c>
      <c r="I1522" s="47" t="s">
        <v>8176</v>
      </c>
      <c r="J1522" s="47" t="s">
        <v>3810</v>
      </c>
      <c r="K1522" s="47" t="s">
        <v>3811</v>
      </c>
      <c r="L1522" s="47"/>
      <c r="M1522" s="47"/>
      <c r="N1522" s="47"/>
      <c r="O1522" s="47"/>
      <c r="P1522" s="53"/>
      <c r="Q1522" s="53"/>
      <c r="R1522" s="53"/>
      <c r="S1522" s="53"/>
      <c r="T1522" s="48">
        <v>406.22</v>
      </c>
      <c r="U1522" s="98"/>
      <c r="V1522" s="98">
        <v>6.9346659445620601E-3</v>
      </c>
      <c r="W1522" s="98">
        <v>3.0902954325135859E-2</v>
      </c>
      <c r="X1522" s="98">
        <f>IF(W1522=0,V1522,W1522)</f>
        <v>3.0902954325135859E-2</v>
      </c>
      <c r="Y1522" s="233">
        <v>4.66</v>
      </c>
      <c r="Z1522" s="48">
        <v>3.51</v>
      </c>
      <c r="AA1522" s="48"/>
      <c r="AB1522" s="48">
        <v>3.07</v>
      </c>
      <c r="AC1522" s="48">
        <v>0.57899999999999996</v>
      </c>
      <c r="AD1522" s="48">
        <v>2.99</v>
      </c>
      <c r="AE1522" s="48">
        <v>2.88</v>
      </c>
      <c r="AF1522" s="48">
        <f t="shared" si="393"/>
        <v>2.99</v>
      </c>
      <c r="AG1522" s="49">
        <v>3.18</v>
      </c>
      <c r="AH1522" s="98">
        <v>7.5499999999999994E-14</v>
      </c>
      <c r="AI1522" s="98"/>
      <c r="AJ1522" s="483">
        <f t="shared" si="401"/>
        <v>-11.510619374683463</v>
      </c>
      <c r="AK1522" s="483"/>
      <c r="AL1522" s="483">
        <f t="shared" si="400"/>
        <v>-11.510619374683463</v>
      </c>
      <c r="AM1522" s="483">
        <v>-19.684110000000004</v>
      </c>
      <c r="AN1522" s="226">
        <v>-16.8</v>
      </c>
      <c r="AO1522" s="484">
        <v>4.25</v>
      </c>
      <c r="AP1522" s="484">
        <v>-2.66</v>
      </c>
      <c r="AQ1522" s="48" t="s">
        <v>6311</v>
      </c>
      <c r="AR1522" s="48" t="s">
        <v>6311</v>
      </c>
      <c r="AS1522" s="227"/>
      <c r="AT1522" s="50" t="s">
        <v>266</v>
      </c>
      <c r="AU1522" s="48">
        <v>6</v>
      </c>
      <c r="AV1522" s="48">
        <v>120</v>
      </c>
      <c r="AW1522" s="48">
        <v>114</v>
      </c>
      <c r="AX1522" s="48">
        <v>28</v>
      </c>
      <c r="AY1522" s="48" t="s">
        <v>8728</v>
      </c>
      <c r="AZ1522" s="48" t="s">
        <v>1563</v>
      </c>
      <c r="BA1522" s="48">
        <v>32</v>
      </c>
      <c r="BB1522" s="47" t="s">
        <v>2485</v>
      </c>
      <c r="BC1522" s="47" t="s">
        <v>8726</v>
      </c>
      <c r="BD1522" s="47" t="s">
        <v>8374</v>
      </c>
      <c r="BE1522" s="48" t="s">
        <v>2449</v>
      </c>
      <c r="BF1522" s="48" t="s">
        <v>272</v>
      </c>
      <c r="BG1522" s="48" t="s">
        <v>272</v>
      </c>
      <c r="BH1522" s="48" t="s">
        <v>2486</v>
      </c>
      <c r="BI1522" s="98">
        <v>6.3999999999999997E-6</v>
      </c>
      <c r="BJ1522" s="98">
        <v>6.4000000000000001E-2</v>
      </c>
      <c r="BK1522" s="48"/>
      <c r="BL1522" s="98">
        <f t="shared" si="394"/>
        <v>3.6180036445079868E-2</v>
      </c>
      <c r="BM1522" s="47" t="s">
        <v>2487</v>
      </c>
      <c r="BN1522" s="48"/>
      <c r="BO1522" s="48"/>
      <c r="BP1522" s="48"/>
      <c r="BQ1522" s="48"/>
      <c r="BR1522" s="47" t="s">
        <v>2496</v>
      </c>
      <c r="BS1522" s="48"/>
      <c r="BT1522" s="48"/>
      <c r="BU1522" s="228"/>
      <c r="BV1522" s="48"/>
      <c r="BW1522" s="48"/>
      <c r="BX1522" s="48"/>
      <c r="BY1522" s="48"/>
      <c r="BZ1522" s="48"/>
      <c r="CA1522" s="48"/>
      <c r="CB1522" s="48"/>
      <c r="CC1522" s="48"/>
      <c r="CD1522" s="48"/>
      <c r="CE1522" s="48"/>
      <c r="CF1522" s="48"/>
      <c r="CG1522" s="48"/>
      <c r="CH1522" s="48"/>
      <c r="CI1522" s="98"/>
      <c r="CJ1522" s="98"/>
      <c r="CK1522" s="49">
        <f t="shared" si="392"/>
        <v>0.56531306945437287</v>
      </c>
      <c r="CL1522" s="229"/>
      <c r="CM1522" s="229"/>
      <c r="CN1522" s="229"/>
      <c r="CO1522" s="47" t="s">
        <v>2488</v>
      </c>
      <c r="CP1522" s="47" t="s">
        <v>2489</v>
      </c>
      <c r="CQ1522" s="224" t="s">
        <v>272</v>
      </c>
      <c r="CR1522" s="224"/>
      <c r="CS1522" s="230" t="s">
        <v>539</v>
      </c>
      <c r="CT1522" s="230"/>
      <c r="CU1522" s="230"/>
      <c r="CV1522" s="335">
        <f t="shared" si="398"/>
        <v>0.4828586613302478</v>
      </c>
      <c r="CW1522" s="230">
        <f t="shared" si="386"/>
        <v>0</v>
      </c>
      <c r="CX1522" s="336"/>
      <c r="CY1522" s="230" t="s">
        <v>5921</v>
      </c>
    </row>
    <row r="1523" spans="1:103" ht="11.25" customHeight="1" x14ac:dyDescent="0.2">
      <c r="A1523" s="72">
        <v>1521</v>
      </c>
      <c r="B1523" s="224">
        <v>1349</v>
      </c>
      <c r="C1523" s="46" t="s">
        <v>7531</v>
      </c>
      <c r="D1523" s="46"/>
      <c r="E1523" s="114"/>
      <c r="F1523" s="114" t="s">
        <v>4176</v>
      </c>
      <c r="G1523" s="225">
        <v>146011656</v>
      </c>
      <c r="H1523" s="47" t="s">
        <v>4177</v>
      </c>
      <c r="I1523" s="47"/>
      <c r="J1523" s="47" t="s">
        <v>4178</v>
      </c>
      <c r="K1523" s="47" t="s">
        <v>471</v>
      </c>
      <c r="L1523" s="47"/>
      <c r="M1523" s="47"/>
      <c r="N1523" s="47"/>
      <c r="O1523" s="47"/>
      <c r="P1523" s="53"/>
      <c r="Q1523" s="53"/>
      <c r="R1523" s="53"/>
      <c r="S1523" s="53"/>
      <c r="T1523" s="48">
        <v>325.20999999999998</v>
      </c>
      <c r="U1523" s="98"/>
      <c r="V1523" s="98">
        <v>9.8059715260908342E-2</v>
      </c>
      <c r="W1523" s="98">
        <v>1.5848931924611131E-2</v>
      </c>
      <c r="X1523" s="98">
        <f>IF(W1523=0,V1523,W1523)</f>
        <v>1.5848931924611131E-2</v>
      </c>
      <c r="Y1523" s="233">
        <v>7</v>
      </c>
      <c r="Z1523" s="48">
        <v>2.54</v>
      </c>
      <c r="AA1523" s="48"/>
      <c r="AB1523" s="48">
        <v>2.4300000000000002</v>
      </c>
      <c r="AC1523" s="48">
        <v>0.68310000000000004</v>
      </c>
      <c r="AD1523" s="48">
        <v>2.78</v>
      </c>
      <c r="AE1523" s="48">
        <v>3.48</v>
      </c>
      <c r="AF1523" s="48">
        <f t="shared" ref="AF1523:AF1554" si="402">IF(AA1523=0,AD1523,AA1523)</f>
        <v>2.78</v>
      </c>
      <c r="AG1523" s="49">
        <v>2.4900000000000002</v>
      </c>
      <c r="AH1523" s="98">
        <v>2.2799999999999999E-10</v>
      </c>
      <c r="AI1523" s="98"/>
      <c r="AJ1523" s="483">
        <f t="shared" si="401"/>
        <v>-8.0306314793121985</v>
      </c>
      <c r="AK1523" s="483"/>
      <c r="AL1523" s="483">
        <f t="shared" si="400"/>
        <v>-8.0306314793121985</v>
      </c>
      <c r="AM1523" s="483">
        <v>-12.6485</v>
      </c>
      <c r="AN1523" s="226">
        <v>-13.3</v>
      </c>
      <c r="AO1523" s="484">
        <v>15.52</v>
      </c>
      <c r="AP1523" s="484">
        <v>-0.85</v>
      </c>
      <c r="AQ1523" s="48" t="s">
        <v>6311</v>
      </c>
      <c r="AR1523" s="48" t="s">
        <v>6311</v>
      </c>
      <c r="AS1523" s="227"/>
      <c r="AT1523" s="50" t="s">
        <v>266</v>
      </c>
      <c r="AU1523" s="48">
        <v>6</v>
      </c>
      <c r="AV1523" s="48">
        <v>120</v>
      </c>
      <c r="AW1523" s="48">
        <v>114</v>
      </c>
      <c r="AX1523" s="48">
        <v>28</v>
      </c>
      <c r="AY1523" s="48" t="s">
        <v>8728</v>
      </c>
      <c r="AZ1523" s="48" t="s">
        <v>1563</v>
      </c>
      <c r="BA1523" s="48">
        <v>32</v>
      </c>
      <c r="BB1523" s="47" t="s">
        <v>2485</v>
      </c>
      <c r="BC1523" s="47" t="s">
        <v>8726</v>
      </c>
      <c r="BD1523" s="47" t="s">
        <v>8374</v>
      </c>
      <c r="BE1523" s="48" t="s">
        <v>2449</v>
      </c>
      <c r="BF1523" s="48" t="s">
        <v>272</v>
      </c>
      <c r="BG1523" s="48" t="s">
        <v>272</v>
      </c>
      <c r="BH1523" s="48" t="s">
        <v>2486</v>
      </c>
      <c r="BI1523" s="98">
        <v>6.3999999999999997E-6</v>
      </c>
      <c r="BJ1523" s="98">
        <v>6.4000000000000001E-2</v>
      </c>
      <c r="BK1523" s="48"/>
      <c r="BL1523" s="98">
        <f t="shared" si="394"/>
        <v>0.26892179411918804</v>
      </c>
      <c r="BM1523" s="47" t="s">
        <v>2487</v>
      </c>
      <c r="BN1523" s="48"/>
      <c r="BO1523" s="48"/>
      <c r="BP1523" s="48"/>
      <c r="BQ1523" s="48"/>
      <c r="BR1523" s="47" t="s">
        <v>2496</v>
      </c>
      <c r="BS1523" s="48"/>
      <c r="BT1523" s="48"/>
      <c r="BU1523" s="228"/>
      <c r="BV1523" s="48"/>
      <c r="BW1523" s="48"/>
      <c r="BX1523" s="48"/>
      <c r="BY1523" s="48"/>
      <c r="BZ1523" s="48"/>
      <c r="CA1523" s="48"/>
      <c r="CB1523" s="48"/>
      <c r="CC1523" s="48"/>
      <c r="CD1523" s="48"/>
      <c r="CE1523" s="48"/>
      <c r="CF1523" s="48"/>
      <c r="CG1523" s="48"/>
      <c r="CH1523" s="48"/>
      <c r="CI1523" s="98"/>
      <c r="CJ1523" s="98"/>
      <c r="CK1523" s="49">
        <f t="shared" si="392"/>
        <v>4.2019030331123126</v>
      </c>
      <c r="CL1523" s="229"/>
      <c r="CM1523" s="229"/>
      <c r="CN1523" s="229"/>
      <c r="CO1523" s="47" t="s">
        <v>2488</v>
      </c>
      <c r="CP1523" s="47" t="s">
        <v>2489</v>
      </c>
      <c r="CQ1523" s="224" t="s">
        <v>272</v>
      </c>
      <c r="CR1523" s="224"/>
      <c r="CS1523" s="230" t="s">
        <v>539</v>
      </c>
      <c r="CT1523" s="230"/>
      <c r="CU1523" s="230"/>
      <c r="CV1523" s="335">
        <f t="shared" si="398"/>
        <v>0.24763956132204892</v>
      </c>
      <c r="CW1523" s="230">
        <f t="shared" si="386"/>
        <v>0</v>
      </c>
      <c r="CX1523" s="336"/>
      <c r="CY1523" s="230" t="s">
        <v>5921</v>
      </c>
    </row>
    <row r="1524" spans="1:103" ht="11.25" customHeight="1" x14ac:dyDescent="0.2">
      <c r="A1524" s="72">
        <v>1522</v>
      </c>
      <c r="B1524" s="224">
        <v>1033</v>
      </c>
      <c r="C1524" s="46" t="s">
        <v>972</v>
      </c>
      <c r="D1524" s="46" t="s">
        <v>6646</v>
      </c>
      <c r="E1524" s="114"/>
      <c r="F1524" s="114" t="s">
        <v>973</v>
      </c>
      <c r="G1524" s="225">
        <v>149877418</v>
      </c>
      <c r="H1524" s="47" t="s">
        <v>974</v>
      </c>
      <c r="I1524" s="47" t="s">
        <v>974</v>
      </c>
      <c r="J1524" s="47" t="s">
        <v>975</v>
      </c>
      <c r="K1524" s="47" t="s">
        <v>976</v>
      </c>
      <c r="L1524" s="47" t="s">
        <v>5951</v>
      </c>
      <c r="M1524" s="47" t="s">
        <v>5950</v>
      </c>
      <c r="N1524" s="47" t="s">
        <v>6376</v>
      </c>
      <c r="O1524" s="47" t="s">
        <v>5949</v>
      </c>
      <c r="P1524" s="53"/>
      <c r="Q1524" s="53"/>
      <c r="R1524" s="53"/>
      <c r="S1524" s="53"/>
      <c r="T1524" s="48">
        <v>300.35000000000002</v>
      </c>
      <c r="U1524" s="98">
        <v>1.2518728150491092E-2</v>
      </c>
      <c r="V1524" s="98">
        <v>1.1806226069585483E-2</v>
      </c>
      <c r="W1524" s="98">
        <v>0.16982436524617422</v>
      </c>
      <c r="X1524" s="98">
        <v>1.2518728150491092E-2</v>
      </c>
      <c r="Y1524" s="233">
        <v>6.79</v>
      </c>
      <c r="Z1524" s="48">
        <v>4.1399999999999997</v>
      </c>
      <c r="AA1524" s="48"/>
      <c r="AB1524" s="48">
        <v>3.72</v>
      </c>
      <c r="AC1524" s="48">
        <v>0.85740000000000005</v>
      </c>
      <c r="AD1524" s="48">
        <v>3.57</v>
      </c>
      <c r="AE1524" s="48">
        <v>3.12</v>
      </c>
      <c r="AF1524" s="48">
        <f t="shared" si="402"/>
        <v>3.57</v>
      </c>
      <c r="AG1524" s="49">
        <v>3.87</v>
      </c>
      <c r="AH1524" s="98">
        <v>7.3000000000000002E-13</v>
      </c>
      <c r="AI1524" s="98"/>
      <c r="AJ1524" s="483">
        <f t="shared" si="401"/>
        <v>-10.525243466192196</v>
      </c>
      <c r="AK1524" s="483"/>
      <c r="AL1524" s="483">
        <f t="shared" si="400"/>
        <v>-10.525243466192196</v>
      </c>
      <c r="AM1524" s="483">
        <v>-16.03735</v>
      </c>
      <c r="AN1524" s="226">
        <v>-6.27</v>
      </c>
      <c r="AO1524" s="484">
        <v>9.84</v>
      </c>
      <c r="AP1524" s="484">
        <v>3.26</v>
      </c>
      <c r="AQ1524" s="48" t="s">
        <v>6311</v>
      </c>
      <c r="AR1524" s="48" t="s">
        <v>6311</v>
      </c>
      <c r="AS1524" s="227"/>
      <c r="AT1524" s="50" t="s">
        <v>266</v>
      </c>
      <c r="AU1524" s="48">
        <v>6</v>
      </c>
      <c r="AV1524" s="48">
        <v>120</v>
      </c>
      <c r="AW1524" s="48">
        <v>114</v>
      </c>
      <c r="AX1524" s="48">
        <v>28</v>
      </c>
      <c r="AY1524" s="48" t="s">
        <v>8728</v>
      </c>
      <c r="AZ1524" s="48" t="s">
        <v>1563</v>
      </c>
      <c r="BA1524" s="48">
        <v>32</v>
      </c>
      <c r="BB1524" s="47" t="s">
        <v>2485</v>
      </c>
      <c r="BC1524" s="47" t="s">
        <v>8726</v>
      </c>
      <c r="BD1524" s="47" t="s">
        <v>8374</v>
      </c>
      <c r="BE1524" s="48" t="s">
        <v>2449</v>
      </c>
      <c r="BF1524" s="48" t="s">
        <v>272</v>
      </c>
      <c r="BG1524" s="48" t="s">
        <v>272</v>
      </c>
      <c r="BH1524" s="48" t="s">
        <v>2486</v>
      </c>
      <c r="BI1524" s="98">
        <v>6.3999999999999997E-6</v>
      </c>
      <c r="BJ1524" s="98">
        <v>6.4000000000000001E-2</v>
      </c>
      <c r="BK1524" s="48"/>
      <c r="BL1524" s="98">
        <f t="shared" si="394"/>
        <v>9.8325462974008116E-3</v>
      </c>
      <c r="BM1524" s="47" t="s">
        <v>2487</v>
      </c>
      <c r="BN1524" s="48"/>
      <c r="BO1524" s="48"/>
      <c r="BP1524" s="48"/>
      <c r="BQ1524" s="48"/>
      <c r="BR1524" s="47" t="s">
        <v>2496</v>
      </c>
      <c r="BS1524" s="48"/>
      <c r="BT1524" s="48"/>
      <c r="BU1524" s="228">
        <v>6.3999999999999997E-6</v>
      </c>
      <c r="BV1524" s="48"/>
      <c r="BW1524" s="48"/>
      <c r="BX1524" s="48"/>
      <c r="BY1524" s="48"/>
      <c r="BZ1524" s="48"/>
      <c r="CA1524" s="48"/>
      <c r="CB1524" s="48"/>
      <c r="CC1524" s="48"/>
      <c r="CD1524" s="48"/>
      <c r="CE1524" s="48"/>
      <c r="CF1524" s="48"/>
      <c r="CG1524" s="48"/>
      <c r="CH1524" s="48"/>
      <c r="CI1524" s="98"/>
      <c r="CJ1524" s="98"/>
      <c r="CK1524" s="49">
        <f t="shared" si="392"/>
        <v>0.15363353589688769</v>
      </c>
      <c r="CL1524" s="229"/>
      <c r="CM1524" s="229">
        <v>-2.7141996427204367</v>
      </c>
      <c r="CN1524" s="229">
        <f>BJ1524/(10^CM1524)</f>
        <v>33.142068965517254</v>
      </c>
      <c r="CO1524" s="47" t="s">
        <v>2488</v>
      </c>
      <c r="CP1524" s="47" t="s">
        <v>2489</v>
      </c>
      <c r="CQ1524" s="224">
        <v>-2.6555068433615099</v>
      </c>
      <c r="CR1524" s="224">
        <f>10^(CJ1524-CQ1524)</f>
        <v>452.38359067557144</v>
      </c>
      <c r="CS1524" s="230" t="s">
        <v>539</v>
      </c>
      <c r="CT1524" s="230"/>
      <c r="CU1524" s="230"/>
      <c r="CV1524" s="335">
        <f t="shared" si="398"/>
        <v>0.1956051273514233</v>
      </c>
      <c r="CW1524" s="230">
        <f t="shared" si="386"/>
        <v>0</v>
      </c>
      <c r="CX1524" s="336"/>
      <c r="CY1524" s="230" t="s">
        <v>5921</v>
      </c>
    </row>
    <row r="1525" spans="1:103" ht="11.25" customHeight="1" x14ac:dyDescent="0.2">
      <c r="A1525" s="72">
        <v>1523</v>
      </c>
      <c r="B1525" s="224">
        <v>628</v>
      </c>
      <c r="C1525" s="46" t="s">
        <v>7532</v>
      </c>
      <c r="D1525" s="46"/>
      <c r="E1525" s="114"/>
      <c r="F1525" s="114" t="s">
        <v>3546</v>
      </c>
      <c r="G1525" s="225">
        <v>149979419</v>
      </c>
      <c r="H1525" s="47" t="s">
        <v>3547</v>
      </c>
      <c r="I1525" s="47" t="s">
        <v>8177</v>
      </c>
      <c r="J1525" s="47" t="s">
        <v>3548</v>
      </c>
      <c r="K1525" s="47" t="s">
        <v>3549</v>
      </c>
      <c r="L1525" s="47" t="s">
        <v>6053</v>
      </c>
      <c r="M1525" s="47" t="s">
        <v>6054</v>
      </c>
      <c r="N1525" s="47"/>
      <c r="O1525" s="47" t="s">
        <v>6055</v>
      </c>
      <c r="P1525" s="53" t="s">
        <v>6178</v>
      </c>
      <c r="Q1525" s="53" t="s">
        <v>6173</v>
      </c>
      <c r="R1525" s="53" t="s">
        <v>6181</v>
      </c>
      <c r="S1525" s="53" t="s">
        <v>6176</v>
      </c>
      <c r="T1525" s="48">
        <v>341.83</v>
      </c>
      <c r="U1525" s="98"/>
      <c r="V1525" s="98">
        <v>3.4110522774478541E-2</v>
      </c>
      <c r="W1525" s="98">
        <v>0.39810717055349709</v>
      </c>
      <c r="X1525" s="98">
        <f t="shared" ref="X1525:X1566" si="403">IF(W1525=0,V1525,W1525)</f>
        <v>0.39810717055349709</v>
      </c>
      <c r="Y1525" s="233">
        <v>3.68</v>
      </c>
      <c r="Z1525" s="48">
        <v>3.25</v>
      </c>
      <c r="AA1525" s="48"/>
      <c r="AB1525" s="48">
        <v>3.34</v>
      </c>
      <c r="AC1525" s="48">
        <v>0.56799999999999995</v>
      </c>
      <c r="AD1525" s="48">
        <v>3.14</v>
      </c>
      <c r="AE1525" s="48">
        <v>2.88</v>
      </c>
      <c r="AF1525" s="48">
        <f t="shared" si="402"/>
        <v>3.14</v>
      </c>
      <c r="AG1525" s="49">
        <v>2.72</v>
      </c>
      <c r="AH1525" s="98">
        <v>7.0500000000000003E-13</v>
      </c>
      <c r="AI1525" s="98"/>
      <c r="AJ1525" s="483">
        <f t="shared" si="401"/>
        <v>-10.540377209321253</v>
      </c>
      <c r="AK1525" s="483"/>
      <c r="AL1525" s="483">
        <f t="shared" si="400"/>
        <v>-10.540377209321253</v>
      </c>
      <c r="AM1525" s="483">
        <v>-14.519870000000001</v>
      </c>
      <c r="AN1525" s="226">
        <v>-11.4</v>
      </c>
      <c r="AO1525" s="484">
        <v>3.63</v>
      </c>
      <c r="AP1525" s="484"/>
      <c r="AQ1525" s="226" t="s">
        <v>6311</v>
      </c>
      <c r="AR1525" s="226" t="s">
        <v>6311</v>
      </c>
      <c r="AS1525" s="224" t="s">
        <v>63</v>
      </c>
      <c r="AT1525" s="50" t="s">
        <v>266</v>
      </c>
      <c r="AU1525" s="48">
        <v>8</v>
      </c>
      <c r="AV1525" s="48">
        <v>144</v>
      </c>
      <c r="AW1525" s="48">
        <v>120</v>
      </c>
      <c r="AX1525" s="48">
        <v>26</v>
      </c>
      <c r="AY1525" s="48" t="s">
        <v>267</v>
      </c>
      <c r="AZ1525" s="48" t="s">
        <v>2253</v>
      </c>
      <c r="BA1525" s="48">
        <v>2</v>
      </c>
      <c r="BB1525" s="47" t="s">
        <v>2254</v>
      </c>
      <c r="BC1525" s="47" t="s">
        <v>270</v>
      </c>
      <c r="BD1525" s="47" t="s">
        <v>8374</v>
      </c>
      <c r="BE1525" s="48" t="s">
        <v>1712</v>
      </c>
      <c r="BF1525" s="48" t="s">
        <v>272</v>
      </c>
      <c r="BG1525" s="48" t="s">
        <v>272</v>
      </c>
      <c r="BH1525" s="48" t="s">
        <v>2255</v>
      </c>
      <c r="BI1525" s="98">
        <v>9.9999999999999995E-7</v>
      </c>
      <c r="BJ1525" s="98">
        <v>0.08</v>
      </c>
      <c r="BK1525" s="48"/>
      <c r="BL1525" s="98">
        <f t="shared" si="394"/>
        <v>6.1940541820844193E-2</v>
      </c>
      <c r="BM1525" s="48" t="s">
        <v>891</v>
      </c>
      <c r="BN1525" s="233"/>
      <c r="BO1525" s="233"/>
      <c r="BP1525" s="233"/>
      <c r="BQ1525" s="233"/>
      <c r="BR1525" s="233"/>
      <c r="BS1525" s="48"/>
      <c r="BT1525" s="233"/>
      <c r="BU1525" s="228"/>
      <c r="BV1525" s="233"/>
      <c r="BW1525" s="233"/>
      <c r="BX1525" s="233"/>
      <c r="BY1525" s="233"/>
      <c r="BZ1525" s="233"/>
      <c r="CA1525" s="233"/>
      <c r="CB1525" s="233"/>
      <c r="CC1525" s="48"/>
      <c r="CD1525" s="48"/>
      <c r="CE1525" s="48"/>
      <c r="CF1525" s="48"/>
      <c r="CG1525" s="233"/>
      <c r="CH1525" s="48"/>
      <c r="CI1525" s="98"/>
      <c r="CJ1525" s="98"/>
      <c r="CK1525" s="49">
        <f t="shared" si="392"/>
        <v>0.77425677276055238</v>
      </c>
      <c r="CL1525" s="229"/>
      <c r="CM1525" s="229"/>
      <c r="CN1525" s="229"/>
      <c r="CO1525" s="47" t="s">
        <v>892</v>
      </c>
      <c r="CP1525" s="47" t="s">
        <v>893</v>
      </c>
      <c r="CQ1525" s="224">
        <v>-1.2638614406838216</v>
      </c>
      <c r="CR1525" s="224">
        <f>10^(CJ1525-CQ1525)</f>
        <v>18.359524991381466</v>
      </c>
      <c r="CS1525" s="230" t="s">
        <v>539</v>
      </c>
      <c r="CT1525" s="230"/>
      <c r="CU1525" s="230"/>
      <c r="CV1525" s="335">
        <f t="shared" si="398"/>
        <v>4.9763396319187132</v>
      </c>
      <c r="CW1525" s="230">
        <f t="shared" si="386"/>
        <v>1</v>
      </c>
      <c r="CX1525" s="336" t="s">
        <v>539</v>
      </c>
      <c r="CY1525" s="230" t="s">
        <v>5921</v>
      </c>
    </row>
    <row r="1526" spans="1:103" ht="11.25" customHeight="1" x14ac:dyDescent="0.2">
      <c r="A1526" s="72">
        <v>1524</v>
      </c>
      <c r="B1526" s="224">
        <v>1291</v>
      </c>
      <c r="C1526" s="46" t="s">
        <v>7532</v>
      </c>
      <c r="D1526" s="46"/>
      <c r="E1526" s="114"/>
      <c r="F1526" s="114" t="s">
        <v>3546</v>
      </c>
      <c r="G1526" s="225">
        <v>149979419</v>
      </c>
      <c r="H1526" s="47" t="s">
        <v>3547</v>
      </c>
      <c r="I1526" s="47" t="s">
        <v>8177</v>
      </c>
      <c r="J1526" s="47" t="s">
        <v>3548</v>
      </c>
      <c r="K1526" s="47" t="s">
        <v>3549</v>
      </c>
      <c r="L1526" s="47" t="s">
        <v>6053</v>
      </c>
      <c r="M1526" s="47" t="s">
        <v>6054</v>
      </c>
      <c r="N1526" s="47"/>
      <c r="O1526" s="47" t="s">
        <v>6055</v>
      </c>
      <c r="P1526" s="53"/>
      <c r="Q1526" s="53"/>
      <c r="R1526" s="53"/>
      <c r="S1526" s="53"/>
      <c r="T1526" s="48">
        <v>341.83</v>
      </c>
      <c r="U1526" s="98"/>
      <c r="V1526" s="98">
        <v>3.4110522774478541E-2</v>
      </c>
      <c r="W1526" s="98">
        <v>0.39810717055349709</v>
      </c>
      <c r="X1526" s="98">
        <f t="shared" si="403"/>
        <v>0.39810717055349709</v>
      </c>
      <c r="Y1526" s="233">
        <v>3.68</v>
      </c>
      <c r="Z1526" s="48">
        <v>3.25</v>
      </c>
      <c r="AA1526" s="48"/>
      <c r="AB1526" s="48">
        <v>3.34</v>
      </c>
      <c r="AC1526" s="48">
        <v>0.56799999999999995</v>
      </c>
      <c r="AD1526" s="48">
        <v>3.14</v>
      </c>
      <c r="AE1526" s="48">
        <v>2.88</v>
      </c>
      <c r="AF1526" s="48">
        <f t="shared" si="402"/>
        <v>3.14</v>
      </c>
      <c r="AG1526" s="49">
        <v>2.72</v>
      </c>
      <c r="AH1526" s="98">
        <v>7.0500000000000003E-13</v>
      </c>
      <c r="AI1526" s="98"/>
      <c r="AJ1526" s="483">
        <f t="shared" si="401"/>
        <v>-10.540377209321253</v>
      </c>
      <c r="AK1526" s="483"/>
      <c r="AL1526" s="483">
        <f t="shared" si="400"/>
        <v>-10.540377209321253</v>
      </c>
      <c r="AM1526" s="483">
        <v>-14.519870000000001</v>
      </c>
      <c r="AN1526" s="226">
        <v>-11.4</v>
      </c>
      <c r="AO1526" s="484">
        <v>3.63</v>
      </c>
      <c r="AP1526" s="484"/>
      <c r="AQ1526" s="48" t="s">
        <v>6311</v>
      </c>
      <c r="AR1526" s="48" t="s">
        <v>6311</v>
      </c>
      <c r="AS1526" s="227"/>
      <c r="AT1526" s="50" t="s">
        <v>266</v>
      </c>
      <c r="AU1526" s="48">
        <v>6</v>
      </c>
      <c r="AV1526" s="48">
        <v>120</v>
      </c>
      <c r="AW1526" s="48">
        <v>114</v>
      </c>
      <c r="AX1526" s="48">
        <v>28</v>
      </c>
      <c r="AY1526" s="48" t="s">
        <v>8728</v>
      </c>
      <c r="AZ1526" s="48" t="s">
        <v>1563</v>
      </c>
      <c r="BA1526" s="48">
        <v>32</v>
      </c>
      <c r="BB1526" s="47" t="s">
        <v>2485</v>
      </c>
      <c r="BC1526" s="47" t="s">
        <v>8726</v>
      </c>
      <c r="BD1526" s="47" t="s">
        <v>8374</v>
      </c>
      <c r="BE1526" s="48" t="s">
        <v>2449</v>
      </c>
      <c r="BF1526" s="48" t="s">
        <v>272</v>
      </c>
      <c r="BG1526" s="48" t="s">
        <v>272</v>
      </c>
      <c r="BH1526" s="48" t="s">
        <v>2486</v>
      </c>
      <c r="BI1526" s="98">
        <v>6.3999999999999997E-6</v>
      </c>
      <c r="BJ1526" s="98">
        <v>6.4000000000000001E-2</v>
      </c>
      <c r="BK1526" s="48"/>
      <c r="BL1526" s="98">
        <f t="shared" si="394"/>
        <v>6.1940541820844193E-2</v>
      </c>
      <c r="BM1526" s="47" t="s">
        <v>2487</v>
      </c>
      <c r="BN1526" s="48"/>
      <c r="BO1526" s="48"/>
      <c r="BP1526" s="48"/>
      <c r="BQ1526" s="48"/>
      <c r="BR1526" s="47" t="s">
        <v>2496</v>
      </c>
      <c r="BS1526" s="48"/>
      <c r="BT1526" s="48"/>
      <c r="BU1526" s="228">
        <v>6.4000000000000005E-4</v>
      </c>
      <c r="BV1526" s="48"/>
      <c r="BW1526" s="48"/>
      <c r="BX1526" s="48"/>
      <c r="BY1526" s="48"/>
      <c r="BZ1526" s="48"/>
      <c r="CA1526" s="48"/>
      <c r="CB1526" s="48"/>
      <c r="CC1526" s="48"/>
      <c r="CD1526" s="48"/>
      <c r="CE1526" s="48"/>
      <c r="CF1526" s="48"/>
      <c r="CG1526" s="48"/>
      <c r="CH1526" s="48"/>
      <c r="CI1526" s="98"/>
      <c r="CJ1526" s="98"/>
      <c r="CK1526" s="49">
        <f t="shared" si="392"/>
        <v>0.96782096595069045</v>
      </c>
      <c r="CL1526" s="229"/>
      <c r="CM1526" s="229"/>
      <c r="CN1526" s="229"/>
      <c r="CO1526" s="47" t="s">
        <v>2488</v>
      </c>
      <c r="CP1526" s="47" t="s">
        <v>2489</v>
      </c>
      <c r="CQ1526" s="224">
        <v>-1.2638614406838216</v>
      </c>
      <c r="CR1526" s="224">
        <f>10^(CJ1526-CQ1526)</f>
        <v>18.359524991381466</v>
      </c>
      <c r="CS1526" s="230" t="s">
        <v>539</v>
      </c>
      <c r="CT1526" s="230"/>
      <c r="CU1526" s="230"/>
      <c r="CV1526" s="335">
        <f t="shared" si="398"/>
        <v>6.2204245398983922</v>
      </c>
      <c r="CW1526" s="230">
        <f t="shared" si="386"/>
        <v>1</v>
      </c>
      <c r="CX1526" s="336"/>
      <c r="CY1526" s="230" t="s">
        <v>5921</v>
      </c>
    </row>
    <row r="1527" spans="1:103" ht="11.25" customHeight="1" x14ac:dyDescent="0.2">
      <c r="A1527" s="72">
        <v>1525</v>
      </c>
      <c r="B1527" s="224">
        <v>638</v>
      </c>
      <c r="C1527" s="46" t="s">
        <v>7533</v>
      </c>
      <c r="D1527" s="46"/>
      <c r="E1527" s="114"/>
      <c r="F1527" s="114" t="s">
        <v>4038</v>
      </c>
      <c r="G1527" s="225">
        <v>153719234</v>
      </c>
      <c r="H1527" s="47" t="s">
        <v>4039</v>
      </c>
      <c r="I1527" s="47" t="s">
        <v>8178</v>
      </c>
      <c r="J1527" s="47" t="s">
        <v>4040</v>
      </c>
      <c r="K1527" s="47" t="s">
        <v>3773</v>
      </c>
      <c r="L1527" s="47" t="s">
        <v>617</v>
      </c>
      <c r="M1527" s="47" t="s">
        <v>2433</v>
      </c>
      <c r="N1527" s="47"/>
      <c r="O1527" s="47" t="s">
        <v>918</v>
      </c>
      <c r="P1527" s="53" t="s">
        <v>6183</v>
      </c>
      <c r="Q1527" s="53" t="s">
        <v>6176</v>
      </c>
      <c r="R1527" s="53" t="s">
        <v>6185</v>
      </c>
      <c r="S1527" s="53" t="s">
        <v>6182</v>
      </c>
      <c r="T1527" s="48">
        <v>291.72000000000003</v>
      </c>
      <c r="U1527" s="98"/>
      <c r="V1527" s="98">
        <v>9.8107774578362807</v>
      </c>
      <c r="W1527" s="98">
        <v>8.9125093813374558</v>
      </c>
      <c r="X1527" s="98">
        <f t="shared" si="403"/>
        <v>8.9125093813374558</v>
      </c>
      <c r="Y1527" s="233">
        <v>7.02</v>
      </c>
      <c r="Z1527" s="48">
        <v>0.8</v>
      </c>
      <c r="AA1527" s="48"/>
      <c r="AB1527" s="48">
        <v>0.13</v>
      </c>
      <c r="AC1527" s="48">
        <v>0.64749999999999996</v>
      </c>
      <c r="AD1527" s="48">
        <v>-0.33</v>
      </c>
      <c r="AE1527" s="48">
        <v>-1.1599999999999999</v>
      </c>
      <c r="AF1527" s="48">
        <f t="shared" si="402"/>
        <v>-0.33</v>
      </c>
      <c r="AG1527" s="49">
        <v>2.73</v>
      </c>
      <c r="AH1527" s="98">
        <v>6.87E-15</v>
      </c>
      <c r="AI1527" s="98"/>
      <c r="AJ1527" s="483">
        <f t="shared" si="401"/>
        <v>-12.551609589253101</v>
      </c>
      <c r="AK1527" s="483"/>
      <c r="AL1527" s="483">
        <f t="shared" si="400"/>
        <v>-12.551609589253101</v>
      </c>
      <c r="AM1527" s="483">
        <v>-16.178440000000002</v>
      </c>
      <c r="AN1527" s="226">
        <v>-17.2</v>
      </c>
      <c r="AO1527" s="484"/>
      <c r="AP1527" s="484">
        <v>0.99</v>
      </c>
      <c r="AQ1527" s="226" t="s">
        <v>6311</v>
      </c>
      <c r="AR1527" s="226" t="s">
        <v>6311</v>
      </c>
      <c r="AS1527" s="224" t="s">
        <v>460</v>
      </c>
      <c r="AT1527" s="50" t="s">
        <v>266</v>
      </c>
      <c r="AU1527" s="48">
        <v>8</v>
      </c>
      <c r="AV1527" s="48">
        <v>144</v>
      </c>
      <c r="AW1527" s="48">
        <v>120</v>
      </c>
      <c r="AX1527" s="48">
        <v>26</v>
      </c>
      <c r="AY1527" s="48" t="s">
        <v>267</v>
      </c>
      <c r="AZ1527" s="48" t="s">
        <v>2253</v>
      </c>
      <c r="BA1527" s="48">
        <v>2</v>
      </c>
      <c r="BB1527" s="47" t="s">
        <v>2254</v>
      </c>
      <c r="BC1527" s="47" t="s">
        <v>270</v>
      </c>
      <c r="BD1527" s="47" t="s">
        <v>8374</v>
      </c>
      <c r="BE1527" s="48" t="s">
        <v>1712</v>
      </c>
      <c r="BF1527" s="48" t="s">
        <v>272</v>
      </c>
      <c r="BG1527" s="48" t="s">
        <v>272</v>
      </c>
      <c r="BH1527" s="48" t="s">
        <v>2255</v>
      </c>
      <c r="BI1527" s="98">
        <v>9.9999999999999995E-7</v>
      </c>
      <c r="BJ1527" s="98">
        <v>0.08</v>
      </c>
      <c r="BK1527" s="48"/>
      <c r="BL1527" s="98">
        <f t="shared" si="394"/>
        <v>9.8247158820515992</v>
      </c>
      <c r="BM1527" s="48" t="s">
        <v>891</v>
      </c>
      <c r="BN1527" s="233"/>
      <c r="BO1527" s="233"/>
      <c r="BP1527" s="233"/>
      <c r="BQ1527" s="233"/>
      <c r="BR1527" s="233"/>
      <c r="BS1527" s="48"/>
      <c r="BT1527" s="233"/>
      <c r="BU1527" s="228"/>
      <c r="BV1527" s="233"/>
      <c r="BW1527" s="233"/>
      <c r="BX1527" s="233"/>
      <c r="BY1527" s="233"/>
      <c r="BZ1527" s="233"/>
      <c r="CA1527" s="233"/>
      <c r="CB1527" s="233"/>
      <c r="CC1527" s="48"/>
      <c r="CD1527" s="238"/>
      <c r="CE1527" s="238"/>
      <c r="CF1527" s="238"/>
      <c r="CG1527" s="233"/>
      <c r="CH1527" s="48"/>
      <c r="CI1527" s="98"/>
      <c r="CJ1527" s="98"/>
      <c r="CK1527" s="49">
        <f t="shared" si="392"/>
        <v>122.80894852564499</v>
      </c>
      <c r="CL1527" s="229"/>
      <c r="CM1527" s="229"/>
      <c r="CN1527" s="229"/>
      <c r="CO1527" s="47" t="s">
        <v>892</v>
      </c>
      <c r="CP1527" s="47" t="s">
        <v>893</v>
      </c>
      <c r="CQ1527" s="224" t="s">
        <v>272</v>
      </c>
      <c r="CR1527" s="224"/>
      <c r="CS1527" s="230" t="s">
        <v>539</v>
      </c>
      <c r="CT1527" s="230"/>
      <c r="CU1527" s="230"/>
      <c r="CV1527" s="335">
        <f t="shared" si="398"/>
        <v>111.40636726671819</v>
      </c>
      <c r="CW1527" s="230">
        <f t="shared" si="386"/>
        <v>1</v>
      </c>
      <c r="CX1527" s="336" t="s">
        <v>539</v>
      </c>
      <c r="CY1527" s="230" t="s">
        <v>5921</v>
      </c>
    </row>
    <row r="1528" spans="1:103" ht="11.25" customHeight="1" x14ac:dyDescent="0.2">
      <c r="A1528" s="72">
        <v>1526</v>
      </c>
      <c r="B1528" s="224">
        <v>1895</v>
      </c>
      <c r="C1528" s="46" t="s">
        <v>7533</v>
      </c>
      <c r="D1528" s="46"/>
      <c r="E1528" s="114"/>
      <c r="F1528" s="114" t="s">
        <v>4038</v>
      </c>
      <c r="G1528" s="225">
        <v>153719234</v>
      </c>
      <c r="H1528" s="47" t="s">
        <v>4039</v>
      </c>
      <c r="I1528" s="47" t="s">
        <v>8178</v>
      </c>
      <c r="J1528" s="47" t="s">
        <v>4040</v>
      </c>
      <c r="K1528" s="47" t="s">
        <v>3773</v>
      </c>
      <c r="L1528" s="47" t="s">
        <v>617</v>
      </c>
      <c r="M1528" s="47" t="s">
        <v>2433</v>
      </c>
      <c r="N1528" s="47"/>
      <c r="O1528" s="47" t="s">
        <v>918</v>
      </c>
      <c r="P1528" s="53"/>
      <c r="Q1528" s="53"/>
      <c r="R1528" s="53"/>
      <c r="S1528" s="53"/>
      <c r="T1528" s="48">
        <v>291.72000000000003</v>
      </c>
      <c r="U1528" s="98"/>
      <c r="V1528" s="98">
        <v>9.8107774578362807</v>
      </c>
      <c r="W1528" s="98">
        <v>8.9125093813374558</v>
      </c>
      <c r="X1528" s="98">
        <f t="shared" si="403"/>
        <v>8.9125093813374558</v>
      </c>
      <c r="Y1528" s="233">
        <v>7.02</v>
      </c>
      <c r="Z1528" s="48">
        <v>0.8</v>
      </c>
      <c r="AA1528" s="48"/>
      <c r="AB1528" s="48">
        <v>0.13</v>
      </c>
      <c r="AC1528" s="48">
        <v>0.64749999999999996</v>
      </c>
      <c r="AD1528" s="48">
        <v>-0.33</v>
      </c>
      <c r="AE1528" s="48">
        <v>-1.1599999999999999</v>
      </c>
      <c r="AF1528" s="48">
        <f t="shared" si="402"/>
        <v>-0.33</v>
      </c>
      <c r="AG1528" s="49">
        <v>2.73</v>
      </c>
      <c r="AH1528" s="98">
        <v>6.87E-15</v>
      </c>
      <c r="AI1528" s="98"/>
      <c r="AJ1528" s="483">
        <f t="shared" si="401"/>
        <v>-12.551609589253101</v>
      </c>
      <c r="AK1528" s="483"/>
      <c r="AL1528" s="483">
        <f t="shared" si="400"/>
        <v>-12.551609589253101</v>
      </c>
      <c r="AM1528" s="483">
        <v>-16.178440000000002</v>
      </c>
      <c r="AN1528" s="226">
        <v>-17.2</v>
      </c>
      <c r="AO1528" s="484"/>
      <c r="AP1528" s="484">
        <v>0.99</v>
      </c>
      <c r="AQ1528" s="226" t="s">
        <v>6311</v>
      </c>
      <c r="AR1528" s="226" t="s">
        <v>6311</v>
      </c>
      <c r="AS1528" s="224"/>
      <c r="AT1528" s="50" t="s">
        <v>266</v>
      </c>
      <c r="AU1528" s="48">
        <v>6</v>
      </c>
      <c r="AV1528" s="48">
        <v>120</v>
      </c>
      <c r="AW1528" s="48">
        <v>114</v>
      </c>
      <c r="AX1528" s="48">
        <v>28</v>
      </c>
      <c r="AY1528" s="48" t="s">
        <v>8728</v>
      </c>
      <c r="AZ1528" s="48" t="s">
        <v>1563</v>
      </c>
      <c r="BA1528" s="48">
        <v>32</v>
      </c>
      <c r="BB1528" s="47" t="s">
        <v>2485</v>
      </c>
      <c r="BC1528" s="47" t="s">
        <v>8726</v>
      </c>
      <c r="BD1528" s="47" t="s">
        <v>8374</v>
      </c>
      <c r="BE1528" s="48" t="s">
        <v>2449</v>
      </c>
      <c r="BF1528" s="48" t="s">
        <v>272</v>
      </c>
      <c r="BG1528" s="48" t="s">
        <v>272</v>
      </c>
      <c r="BH1528" s="48" t="s">
        <v>2486</v>
      </c>
      <c r="BI1528" s="98">
        <v>6.3999999999999997E-6</v>
      </c>
      <c r="BJ1528" s="98">
        <v>6.4000000000000001E-2</v>
      </c>
      <c r="BK1528" s="48"/>
      <c r="BL1528" s="98">
        <f t="shared" si="394"/>
        <v>9.8247158820515992</v>
      </c>
      <c r="BM1528" s="47" t="s">
        <v>2487</v>
      </c>
      <c r="BN1528" s="48"/>
      <c r="BO1528" s="48"/>
      <c r="BP1528" s="48"/>
      <c r="BQ1528" s="48"/>
      <c r="BR1528" s="47" t="s">
        <v>2496</v>
      </c>
      <c r="BS1528" s="48"/>
      <c r="BT1528" s="48"/>
      <c r="BU1528" s="228"/>
      <c r="BV1528" s="48"/>
      <c r="BW1528" s="48"/>
      <c r="BX1528" s="48"/>
      <c r="BY1528" s="48"/>
      <c r="BZ1528" s="48"/>
      <c r="CA1528" s="48"/>
      <c r="CB1528" s="48"/>
      <c r="CC1528" s="48"/>
      <c r="CD1528" s="48"/>
      <c r="CE1528" s="48"/>
      <c r="CF1528" s="48"/>
      <c r="CG1528" s="48"/>
      <c r="CH1528" s="48"/>
      <c r="CI1528" s="98"/>
      <c r="CJ1528" s="98"/>
      <c r="CK1528" s="49">
        <f t="shared" si="392"/>
        <v>153.51118565705625</v>
      </c>
      <c r="CL1528" s="229"/>
      <c r="CM1528" s="229"/>
      <c r="CN1528" s="229"/>
      <c r="CO1528" s="47" t="s">
        <v>2488</v>
      </c>
      <c r="CP1528" s="47" t="s">
        <v>2489</v>
      </c>
      <c r="CQ1528" s="224" t="s">
        <v>272</v>
      </c>
      <c r="CR1528" s="224"/>
      <c r="CS1528" s="230" t="s">
        <v>539</v>
      </c>
      <c r="CT1528" s="230"/>
      <c r="CU1528" s="230"/>
      <c r="CV1528" s="335">
        <f t="shared" si="398"/>
        <v>139.25795908339774</v>
      </c>
      <c r="CW1528" s="230">
        <f t="shared" si="386"/>
        <v>1</v>
      </c>
      <c r="CX1528" s="336"/>
      <c r="CY1528" s="230" t="s">
        <v>5921</v>
      </c>
    </row>
    <row r="1529" spans="1:103" ht="11.25" customHeight="1" x14ac:dyDescent="0.2">
      <c r="A1529" s="72">
        <v>1527</v>
      </c>
      <c r="B1529" s="224">
        <v>1936</v>
      </c>
      <c r="C1529" s="46" t="s">
        <v>1547</v>
      </c>
      <c r="D1529" s="46" t="s">
        <v>6678</v>
      </c>
      <c r="E1529" s="114"/>
      <c r="F1529" s="114" t="s">
        <v>1548</v>
      </c>
      <c r="G1529" s="225">
        <v>156052685</v>
      </c>
      <c r="H1529" s="47" t="s">
        <v>1549</v>
      </c>
      <c r="I1529" s="47" t="s">
        <v>8179</v>
      </c>
      <c r="J1529" s="47" t="s">
        <v>1550</v>
      </c>
      <c r="K1529" s="47" t="s">
        <v>1551</v>
      </c>
      <c r="L1529" s="47" t="s">
        <v>6021</v>
      </c>
      <c r="M1529" s="47" t="s">
        <v>6082</v>
      </c>
      <c r="N1529" s="47" t="s">
        <v>6082</v>
      </c>
      <c r="O1529" s="47" t="s">
        <v>6083</v>
      </c>
      <c r="P1529" s="53"/>
      <c r="Q1529" s="53"/>
      <c r="R1529" s="53"/>
      <c r="S1529" s="53"/>
      <c r="T1529" s="48">
        <v>336.64</v>
      </c>
      <c r="U1529" s="98"/>
      <c r="V1529" s="98">
        <v>1.3619890684410647E-2</v>
      </c>
      <c r="W1529" s="98">
        <v>2.8183829312644511E-2</v>
      </c>
      <c r="X1529" s="98">
        <f t="shared" si="403"/>
        <v>2.8183829312644511E-2</v>
      </c>
      <c r="Y1529" s="233">
        <v>7</v>
      </c>
      <c r="Z1529" s="48">
        <v>4.3499999999999996</v>
      </c>
      <c r="AA1529" s="48">
        <v>3.76</v>
      </c>
      <c r="AB1529" s="48">
        <v>3.82</v>
      </c>
      <c r="AC1529" s="48">
        <v>0.6704</v>
      </c>
      <c r="AD1529" s="48">
        <v>4.21</v>
      </c>
      <c r="AE1529" s="48">
        <v>4.84</v>
      </c>
      <c r="AF1529" s="48">
        <f t="shared" si="402"/>
        <v>3.76</v>
      </c>
      <c r="AG1529" s="49">
        <v>4.3099999999999996</v>
      </c>
      <c r="AH1529" s="98">
        <v>3.2600000000000002E-11</v>
      </c>
      <c r="AI1529" s="98"/>
      <c r="AJ1529" s="483">
        <f t="shared" si="401"/>
        <v>-8.875348726244713</v>
      </c>
      <c r="AK1529" s="483"/>
      <c r="AL1529" s="483">
        <f t="shared" si="400"/>
        <v>-8.875348726244713</v>
      </c>
      <c r="AM1529" s="483">
        <v>-13.971229999999998</v>
      </c>
      <c r="AN1529" s="226">
        <v>-8.7200000000000006</v>
      </c>
      <c r="AO1529" s="484">
        <v>11.2</v>
      </c>
      <c r="AP1529" s="484">
        <v>-2.7</v>
      </c>
      <c r="AQ1529" s="226" t="s">
        <v>6311</v>
      </c>
      <c r="AR1529" s="226" t="s">
        <v>6311</v>
      </c>
      <c r="AS1529" s="224"/>
      <c r="AT1529" s="50" t="s">
        <v>266</v>
      </c>
      <c r="AU1529" s="48">
        <v>6</v>
      </c>
      <c r="AV1529" s="48">
        <v>120</v>
      </c>
      <c r="AW1529" s="48">
        <v>114</v>
      </c>
      <c r="AX1529" s="48">
        <v>28</v>
      </c>
      <c r="AY1529" s="48" t="s">
        <v>8728</v>
      </c>
      <c r="AZ1529" s="48" t="s">
        <v>1563</v>
      </c>
      <c r="BA1529" s="48">
        <v>32</v>
      </c>
      <c r="BB1529" s="47" t="s">
        <v>2485</v>
      </c>
      <c r="BC1529" s="47" t="s">
        <v>8726</v>
      </c>
      <c r="BD1529" s="47" t="s">
        <v>8374</v>
      </c>
      <c r="BE1529" s="48" t="s">
        <v>2449</v>
      </c>
      <c r="BF1529" s="48" t="s">
        <v>272</v>
      </c>
      <c r="BG1529" s="48" t="s">
        <v>272</v>
      </c>
      <c r="BH1529" s="48" t="s">
        <v>2486</v>
      </c>
      <c r="BI1529" s="98">
        <v>6.3999999999999997E-6</v>
      </c>
      <c r="BJ1529" s="98">
        <v>6.4000000000000001E-2</v>
      </c>
      <c r="BK1529" s="48"/>
      <c r="BL1529" s="98">
        <f t="shared" si="394"/>
        <v>6.3689083597233938E-3</v>
      </c>
      <c r="BM1529" s="47" t="s">
        <v>2487</v>
      </c>
      <c r="BN1529" s="48"/>
      <c r="BO1529" s="48"/>
      <c r="BP1529" s="48"/>
      <c r="BQ1529" s="48"/>
      <c r="BR1529" s="47" t="s">
        <v>2496</v>
      </c>
      <c r="BS1529" s="48"/>
      <c r="BT1529" s="48"/>
      <c r="BU1529" s="228"/>
      <c r="BV1529" s="48"/>
      <c r="BW1529" s="48"/>
      <c r="BX1529" s="48"/>
      <c r="BY1529" s="48"/>
      <c r="BZ1529" s="48"/>
      <c r="CA1529" s="48"/>
      <c r="CB1529" s="48"/>
      <c r="CC1529" s="48"/>
      <c r="CD1529" s="48"/>
      <c r="CE1529" s="48"/>
      <c r="CF1529" s="48"/>
      <c r="CG1529" s="48"/>
      <c r="CH1529" s="48"/>
      <c r="CI1529" s="98"/>
      <c r="CJ1529" s="98"/>
      <c r="CK1529" s="49">
        <f t="shared" si="392"/>
        <v>9.9514193120678024E-2</v>
      </c>
      <c r="CL1529" s="229"/>
      <c r="CM1529" s="229">
        <v>-3.3340411197831648</v>
      </c>
      <c r="CN1529" s="229">
        <f>BJ1529/(10^CM1529)</f>
        <v>138.10871794871809</v>
      </c>
      <c r="CO1529" s="47" t="s">
        <v>2488</v>
      </c>
      <c r="CP1529" s="47" t="s">
        <v>2489</v>
      </c>
      <c r="CQ1529" s="224">
        <v>-3.3340411197831648</v>
      </c>
      <c r="CR1529" s="224">
        <f>10^(CJ1529-CQ1529)</f>
        <v>2157.9487179487201</v>
      </c>
      <c r="CS1529" s="230" t="s">
        <v>539</v>
      </c>
      <c r="CT1529" s="230"/>
      <c r="CU1529" s="230"/>
      <c r="CV1529" s="335">
        <f t="shared" si="398"/>
        <v>0.4403723330100705</v>
      </c>
      <c r="CW1529" s="230">
        <f t="shared" si="386"/>
        <v>0</v>
      </c>
      <c r="CX1529" s="336"/>
      <c r="CY1529" s="230" t="s">
        <v>5921</v>
      </c>
    </row>
    <row r="1530" spans="1:103" ht="11.25" customHeight="1" x14ac:dyDescent="0.2">
      <c r="A1530" s="72">
        <v>1528</v>
      </c>
      <c r="B1530" s="224">
        <v>891</v>
      </c>
      <c r="C1530" s="46" t="s">
        <v>7534</v>
      </c>
      <c r="D1530" s="46"/>
      <c r="E1530" s="114"/>
      <c r="F1530" s="114" t="s">
        <v>2537</v>
      </c>
      <c r="G1530" s="225">
        <v>158081993</v>
      </c>
      <c r="H1530" s="47" t="s">
        <v>2538</v>
      </c>
      <c r="I1530" s="47" t="s">
        <v>7780</v>
      </c>
      <c r="J1530" s="47" t="s">
        <v>2539</v>
      </c>
      <c r="K1530" s="47" t="s">
        <v>471</v>
      </c>
      <c r="L1530" s="47"/>
      <c r="M1530" s="47"/>
      <c r="N1530" s="47"/>
      <c r="O1530" s="47"/>
      <c r="P1530" s="53"/>
      <c r="Q1530" s="53"/>
      <c r="R1530" s="53"/>
      <c r="S1530" s="53"/>
      <c r="T1530" s="48">
        <v>184.19</v>
      </c>
      <c r="U1530" s="98"/>
      <c r="V1530" s="98">
        <v>34.969325153374236</v>
      </c>
      <c r="W1530" s="98">
        <v>37.153522909717253</v>
      </c>
      <c r="X1530" s="98">
        <f t="shared" si="403"/>
        <v>37.153522909717253</v>
      </c>
      <c r="Y1530" s="233">
        <v>3.49</v>
      </c>
      <c r="Z1530" s="48">
        <v>-0.47</v>
      </c>
      <c r="AA1530" s="48"/>
      <c r="AB1530" s="48">
        <v>-0.19</v>
      </c>
      <c r="AC1530" s="48">
        <v>0.4884</v>
      </c>
      <c r="AD1530" s="48">
        <v>0.09</v>
      </c>
      <c r="AE1530" s="48">
        <v>0.37</v>
      </c>
      <c r="AF1530" s="48">
        <f t="shared" si="402"/>
        <v>0.09</v>
      </c>
      <c r="AG1530" s="49">
        <v>0.22</v>
      </c>
      <c r="AH1530" s="98">
        <v>1.43E-13</v>
      </c>
      <c r="AI1530" s="98"/>
      <c r="AJ1530" s="483">
        <f t="shared" si="401"/>
        <v>-11.23323028884759</v>
      </c>
      <c r="AK1530" s="483"/>
      <c r="AL1530" s="483">
        <f t="shared" si="400"/>
        <v>-11.23323028884759</v>
      </c>
      <c r="AM1530" s="483">
        <v>-14.821860000000001</v>
      </c>
      <c r="AN1530" s="226">
        <v>-11.8</v>
      </c>
      <c r="AO1530" s="484">
        <v>7.7</v>
      </c>
      <c r="AP1530" s="484">
        <v>-1.87</v>
      </c>
      <c r="AQ1530" s="48" t="s">
        <v>6311</v>
      </c>
      <c r="AR1530" s="48" t="s">
        <v>6311</v>
      </c>
      <c r="AS1530" s="227"/>
      <c r="AT1530" s="50" t="s">
        <v>266</v>
      </c>
      <c r="AU1530" s="48">
        <v>6</v>
      </c>
      <c r="AV1530" s="48">
        <v>120</v>
      </c>
      <c r="AW1530" s="48">
        <v>114</v>
      </c>
      <c r="AX1530" s="48">
        <v>28</v>
      </c>
      <c r="AY1530" s="48" t="s">
        <v>8728</v>
      </c>
      <c r="AZ1530" s="48" t="s">
        <v>1563</v>
      </c>
      <c r="BA1530" s="48">
        <v>32</v>
      </c>
      <c r="BB1530" s="47" t="s">
        <v>2485</v>
      </c>
      <c r="BC1530" s="47" t="s">
        <v>8726</v>
      </c>
      <c r="BD1530" s="47" t="s">
        <v>8374</v>
      </c>
      <c r="BE1530" s="48" t="s">
        <v>2449</v>
      </c>
      <c r="BF1530" s="48" t="s">
        <v>272</v>
      </c>
      <c r="BG1530" s="48" t="s">
        <v>272</v>
      </c>
      <c r="BH1530" s="48" t="s">
        <v>2486</v>
      </c>
      <c r="BI1530" s="98">
        <v>6.3999999999999997E-6</v>
      </c>
      <c r="BJ1530" s="98">
        <v>6.4000000000000001E-2</v>
      </c>
      <c r="BK1530" s="48"/>
      <c r="BL1530" s="98">
        <f t="shared" si="394"/>
        <v>135.80226079251054</v>
      </c>
      <c r="BM1530" s="47" t="s">
        <v>2487</v>
      </c>
      <c r="BN1530" s="48"/>
      <c r="BO1530" s="48"/>
      <c r="BP1530" s="48"/>
      <c r="BQ1530" s="48"/>
      <c r="BR1530" s="47" t="s">
        <v>2496</v>
      </c>
      <c r="BS1530" s="48"/>
      <c r="BT1530" s="48"/>
      <c r="BU1530" s="228">
        <v>6.4000000000000001E-2</v>
      </c>
      <c r="BV1530" s="48"/>
      <c r="BW1530" s="48"/>
      <c r="BX1530" s="48"/>
      <c r="BY1530" s="48"/>
      <c r="BZ1530" s="48"/>
      <c r="CA1530" s="48"/>
      <c r="CB1530" s="48"/>
      <c r="CC1530" s="48"/>
      <c r="CD1530" s="48"/>
      <c r="CE1530" s="48"/>
      <c r="CF1530" s="48"/>
      <c r="CG1530" s="48"/>
      <c r="CH1530" s="48"/>
      <c r="CI1530" s="98"/>
      <c r="CJ1530" s="98"/>
      <c r="CK1530" s="49">
        <f t="shared" si="392"/>
        <v>2121.910324882977</v>
      </c>
      <c r="CL1530" s="229"/>
      <c r="CM1530" s="229"/>
      <c r="CN1530" s="229"/>
      <c r="CO1530" s="47" t="s">
        <v>2488</v>
      </c>
      <c r="CP1530" s="47" t="s">
        <v>2489</v>
      </c>
      <c r="CQ1530" s="224" t="s">
        <v>272</v>
      </c>
      <c r="CR1530" s="224"/>
      <c r="CS1530" s="230" t="s">
        <v>539</v>
      </c>
      <c r="CT1530" s="230"/>
      <c r="CU1530" s="230"/>
      <c r="CV1530" s="335">
        <f t="shared" si="398"/>
        <v>580.52379546433212</v>
      </c>
      <c r="CW1530" s="230">
        <f t="shared" si="386"/>
        <v>1</v>
      </c>
      <c r="CX1530" s="336"/>
      <c r="CY1530" s="230" t="s">
        <v>5921</v>
      </c>
    </row>
    <row r="1531" spans="1:103" ht="11.25" customHeight="1" x14ac:dyDescent="0.2">
      <c r="A1531" s="72">
        <v>1529</v>
      </c>
      <c r="B1531" s="224">
        <v>1546</v>
      </c>
      <c r="C1531" s="46" t="s">
        <v>7535</v>
      </c>
      <c r="D1531" s="46"/>
      <c r="E1531" s="114"/>
      <c r="F1531" s="114" t="s">
        <v>4669</v>
      </c>
      <c r="G1531" s="225">
        <v>159138815</v>
      </c>
      <c r="H1531" s="47" t="s">
        <v>4670</v>
      </c>
      <c r="I1531" s="47" t="s">
        <v>7845</v>
      </c>
      <c r="J1531" s="47" t="s">
        <v>4671</v>
      </c>
      <c r="K1531" s="47" t="s">
        <v>2281</v>
      </c>
      <c r="L1531" s="47"/>
      <c r="M1531" s="47"/>
      <c r="N1531" s="47"/>
      <c r="O1531" s="47"/>
      <c r="P1531" s="53"/>
      <c r="Q1531" s="53"/>
      <c r="R1531" s="53"/>
      <c r="S1531" s="53"/>
      <c r="T1531" s="48">
        <v>452.46</v>
      </c>
      <c r="U1531" s="98"/>
      <c r="V1531" s="98">
        <v>4.4269106661362335E-2</v>
      </c>
      <c r="W1531" s="98">
        <v>61.659500186148222</v>
      </c>
      <c r="X1531" s="98">
        <f t="shared" si="403"/>
        <v>61.659500186148222</v>
      </c>
      <c r="Y1531" s="233">
        <v>0.94</v>
      </c>
      <c r="Z1531" s="48">
        <v>-0.17</v>
      </c>
      <c r="AA1531" s="48"/>
      <c r="AB1531" s="48">
        <v>-0.77</v>
      </c>
      <c r="AC1531" s="48">
        <v>0.49590000000000001</v>
      </c>
      <c r="AD1531" s="48">
        <v>0.36</v>
      </c>
      <c r="AE1531" s="48">
        <v>1.64</v>
      </c>
      <c r="AF1531" s="48">
        <f t="shared" si="402"/>
        <v>0.36</v>
      </c>
      <c r="AG1531" s="49">
        <v>0.36</v>
      </c>
      <c r="AH1531" s="98">
        <v>8.4299999999999993E-24</v>
      </c>
      <c r="AI1531" s="98"/>
      <c r="AJ1531" s="483">
        <f t="shared" si="401"/>
        <v>-21.462738751687908</v>
      </c>
      <c r="AK1531" s="483"/>
      <c r="AL1531" s="483">
        <f t="shared" si="400"/>
        <v>-21.462738751687908</v>
      </c>
      <c r="AM1531" s="483">
        <v>-31.242419999999999</v>
      </c>
      <c r="AN1531" s="226"/>
      <c r="AO1531" s="484">
        <v>-1.1599999999999999</v>
      </c>
      <c r="AP1531" s="484"/>
      <c r="AQ1531" s="48" t="s">
        <v>6311</v>
      </c>
      <c r="AR1531" s="48" t="s">
        <v>6311</v>
      </c>
      <c r="AS1531" s="227"/>
      <c r="AT1531" s="50" t="s">
        <v>266</v>
      </c>
      <c r="AU1531" s="48">
        <v>6</v>
      </c>
      <c r="AV1531" s="48">
        <v>120</v>
      </c>
      <c r="AW1531" s="48">
        <v>114</v>
      </c>
      <c r="AX1531" s="48">
        <v>28</v>
      </c>
      <c r="AY1531" s="48" t="s">
        <v>8728</v>
      </c>
      <c r="AZ1531" s="48" t="s">
        <v>1563</v>
      </c>
      <c r="BA1531" s="48">
        <v>32</v>
      </c>
      <c r="BB1531" s="47" t="s">
        <v>2485</v>
      </c>
      <c r="BC1531" s="47" t="s">
        <v>8726</v>
      </c>
      <c r="BD1531" s="47" t="s">
        <v>8374</v>
      </c>
      <c r="BE1531" s="48" t="s">
        <v>2449</v>
      </c>
      <c r="BF1531" s="48" t="s">
        <v>272</v>
      </c>
      <c r="BG1531" s="48" t="s">
        <v>272</v>
      </c>
      <c r="BH1531" s="48" t="s">
        <v>2486</v>
      </c>
      <c r="BI1531" s="98">
        <v>6.3999999999999997E-6</v>
      </c>
      <c r="BJ1531" s="98">
        <v>6.4000000000000001E-2</v>
      </c>
      <c r="BK1531" s="48"/>
      <c r="BL1531" s="98">
        <f t="shared" si="394"/>
        <v>73.025913772176295</v>
      </c>
      <c r="BM1531" s="47" t="s">
        <v>2487</v>
      </c>
      <c r="BN1531" s="48"/>
      <c r="BO1531" s="48"/>
      <c r="BP1531" s="48"/>
      <c r="BQ1531" s="48"/>
      <c r="BR1531" s="47" t="s">
        <v>2496</v>
      </c>
      <c r="BS1531" s="48"/>
      <c r="BT1531" s="48"/>
      <c r="BU1531" s="228"/>
      <c r="BV1531" s="48"/>
      <c r="BW1531" s="48"/>
      <c r="BX1531" s="48"/>
      <c r="BY1531" s="48"/>
      <c r="BZ1531" s="48"/>
      <c r="CA1531" s="48"/>
      <c r="CB1531" s="48"/>
      <c r="CC1531" s="48"/>
      <c r="CD1531" s="48"/>
      <c r="CE1531" s="48"/>
      <c r="CF1531" s="48"/>
      <c r="CG1531" s="48"/>
      <c r="CH1531" s="48"/>
      <c r="CI1531" s="98"/>
      <c r="CJ1531" s="98"/>
      <c r="CK1531" s="49">
        <f t="shared" si="392"/>
        <v>1141.0299026902546</v>
      </c>
      <c r="CL1531" s="229"/>
      <c r="CM1531" s="229"/>
      <c r="CN1531" s="229"/>
      <c r="CO1531" s="47" t="s">
        <v>2488</v>
      </c>
      <c r="CP1531" s="47" t="s">
        <v>2489</v>
      </c>
      <c r="CQ1531" s="224" t="s">
        <v>272</v>
      </c>
      <c r="CR1531" s="224"/>
      <c r="CS1531" s="230" t="s">
        <v>539</v>
      </c>
      <c r="CT1531" s="230"/>
      <c r="CU1531" s="230"/>
      <c r="CV1531" s="335">
        <f t="shared" si="398"/>
        <v>963.42969040856599</v>
      </c>
      <c r="CW1531" s="230">
        <f t="shared" si="386"/>
        <v>1</v>
      </c>
      <c r="CX1531" s="336"/>
      <c r="CY1531" s="230" t="s">
        <v>5921</v>
      </c>
    </row>
    <row r="1532" spans="1:103" ht="11.25" customHeight="1" x14ac:dyDescent="0.2">
      <c r="A1532" s="72">
        <v>1530</v>
      </c>
      <c r="B1532" s="224">
        <v>1000</v>
      </c>
      <c r="C1532" s="46" t="s">
        <v>7536</v>
      </c>
      <c r="D1532" s="46"/>
      <c r="E1532" s="114"/>
      <c r="F1532" s="114" t="s">
        <v>2851</v>
      </c>
      <c r="G1532" s="225">
        <v>162706141</v>
      </c>
      <c r="H1532" s="47" t="s">
        <v>2852</v>
      </c>
      <c r="I1532" s="47" t="s">
        <v>7769</v>
      </c>
      <c r="J1532" s="47" t="s">
        <v>2853</v>
      </c>
      <c r="K1532" s="47" t="s">
        <v>2854</v>
      </c>
      <c r="L1532" s="47"/>
      <c r="M1532" s="47"/>
      <c r="N1532" s="47"/>
      <c r="O1532" s="47"/>
      <c r="P1532" s="53"/>
      <c r="Q1532" s="53"/>
      <c r="R1532" s="53"/>
      <c r="S1532" s="53"/>
      <c r="T1532" s="48">
        <v>343.43</v>
      </c>
      <c r="U1532" s="98"/>
      <c r="V1532" s="98">
        <v>0.44637917479544598</v>
      </c>
      <c r="W1532" s="98">
        <v>0.74131024130091727</v>
      </c>
      <c r="X1532" s="98">
        <f t="shared" si="403"/>
        <v>0.74131024130091727</v>
      </c>
      <c r="Y1532" s="233">
        <v>8.92</v>
      </c>
      <c r="Z1532" s="48">
        <v>1.93</v>
      </c>
      <c r="AA1532" s="48"/>
      <c r="AB1532" s="48">
        <v>2.12</v>
      </c>
      <c r="AC1532" s="48">
        <v>0.47439999999999999</v>
      </c>
      <c r="AD1532" s="48">
        <v>1.73</v>
      </c>
      <c r="AE1532" s="48">
        <v>1.31</v>
      </c>
      <c r="AF1532" s="48">
        <f t="shared" si="402"/>
        <v>1.73</v>
      </c>
      <c r="AG1532" s="49">
        <v>1.97</v>
      </c>
      <c r="AH1532" s="98">
        <v>2.89E-15</v>
      </c>
      <c r="AI1532" s="98"/>
      <c r="AJ1532" s="483">
        <f t="shared" si="401"/>
        <v>-12.927668483556104</v>
      </c>
      <c r="AK1532" s="483"/>
      <c r="AL1532" s="483">
        <f t="shared" si="400"/>
        <v>-12.927668483556104</v>
      </c>
      <c r="AM1532" s="483">
        <v>-20.187829999999998</v>
      </c>
      <c r="AN1532" s="226">
        <v>-16.100000000000001</v>
      </c>
      <c r="AO1532" s="484">
        <v>13.63</v>
      </c>
      <c r="AP1532" s="484">
        <v>7.52</v>
      </c>
      <c r="AQ1532" s="48" t="s">
        <v>6311</v>
      </c>
      <c r="AR1532" s="48" t="s">
        <v>6311</v>
      </c>
      <c r="AS1532" s="227"/>
      <c r="AT1532" s="50" t="s">
        <v>266</v>
      </c>
      <c r="AU1532" s="48">
        <v>6</v>
      </c>
      <c r="AV1532" s="48">
        <v>120</v>
      </c>
      <c r="AW1532" s="48">
        <v>114</v>
      </c>
      <c r="AX1532" s="48">
        <v>28</v>
      </c>
      <c r="AY1532" s="48" t="s">
        <v>8728</v>
      </c>
      <c r="AZ1532" s="48" t="s">
        <v>1563</v>
      </c>
      <c r="BA1532" s="48">
        <v>32</v>
      </c>
      <c r="BB1532" s="47" t="s">
        <v>2485</v>
      </c>
      <c r="BC1532" s="47" t="s">
        <v>8726</v>
      </c>
      <c r="BD1532" s="47" t="s">
        <v>8374</v>
      </c>
      <c r="BE1532" s="48" t="s">
        <v>2449</v>
      </c>
      <c r="BF1532" s="48" t="s">
        <v>272</v>
      </c>
      <c r="BG1532" s="48" t="s">
        <v>272</v>
      </c>
      <c r="BH1532" s="48" t="s">
        <v>2486</v>
      </c>
      <c r="BI1532" s="98">
        <v>6.3999999999999997E-6</v>
      </c>
      <c r="BJ1532" s="98">
        <v>6.4000000000000001E-2</v>
      </c>
      <c r="BK1532" s="48"/>
      <c r="BL1532" s="98">
        <f t="shared" si="394"/>
        <v>0.94943885305746745</v>
      </c>
      <c r="BM1532" s="47" t="s">
        <v>2487</v>
      </c>
      <c r="BN1532" s="48"/>
      <c r="BO1532" s="48"/>
      <c r="BP1532" s="48"/>
      <c r="BQ1532" s="48"/>
      <c r="BR1532" s="47" t="s">
        <v>2496</v>
      </c>
      <c r="BS1532" s="48"/>
      <c r="BT1532" s="48"/>
      <c r="BU1532" s="228">
        <v>6.3999999999999997E-6</v>
      </c>
      <c r="BV1532" s="48"/>
      <c r="BW1532" s="48"/>
      <c r="BX1532" s="48"/>
      <c r="BY1532" s="48"/>
      <c r="BZ1532" s="48"/>
      <c r="CA1532" s="48"/>
      <c r="CB1532" s="48"/>
      <c r="CC1532" s="48"/>
      <c r="CD1532" s="48"/>
      <c r="CE1532" s="48"/>
      <c r="CF1532" s="48"/>
      <c r="CG1532" s="48"/>
      <c r="CH1532" s="48"/>
      <c r="CI1532" s="98"/>
      <c r="CJ1532" s="98"/>
      <c r="CK1532" s="49">
        <f t="shared" si="392"/>
        <v>14.834982079022929</v>
      </c>
      <c r="CL1532" s="229"/>
      <c r="CM1532" s="229"/>
      <c r="CN1532" s="229"/>
      <c r="CO1532" s="47" t="s">
        <v>2488</v>
      </c>
      <c r="CP1532" s="47" t="s">
        <v>2489</v>
      </c>
      <c r="CQ1532" s="224" t="s">
        <v>272</v>
      </c>
      <c r="CR1532" s="224"/>
      <c r="CS1532" s="230" t="s">
        <v>539</v>
      </c>
      <c r="CT1532" s="230"/>
      <c r="CU1532" s="230"/>
      <c r="CV1532" s="335">
        <f t="shared" si="398"/>
        <v>11.582972520326832</v>
      </c>
      <c r="CW1532" s="230">
        <f t="shared" si="386"/>
        <v>1</v>
      </c>
      <c r="CX1532" s="336"/>
      <c r="CY1532" s="230" t="s">
        <v>5921</v>
      </c>
    </row>
    <row r="1533" spans="1:103" ht="11.25" customHeight="1" x14ac:dyDescent="0.2">
      <c r="A1533" s="72">
        <v>1531</v>
      </c>
      <c r="B1533" s="224">
        <v>1548</v>
      </c>
      <c r="C1533" s="46" t="s">
        <v>7537</v>
      </c>
      <c r="D1533" s="46"/>
      <c r="E1533" s="114"/>
      <c r="F1533" s="114" t="s">
        <v>4675</v>
      </c>
      <c r="G1533" s="225">
        <v>169590425</v>
      </c>
      <c r="H1533" s="47" t="s">
        <v>4676</v>
      </c>
      <c r="I1533" s="47" t="s">
        <v>8180</v>
      </c>
      <c r="J1533" s="47" t="s">
        <v>4677</v>
      </c>
      <c r="K1533" s="47" t="s">
        <v>1473</v>
      </c>
      <c r="L1533" s="47" t="s">
        <v>279</v>
      </c>
      <c r="M1533" s="47" t="s">
        <v>4678</v>
      </c>
      <c r="N1533" s="47"/>
      <c r="O1533" s="47" t="s">
        <v>281</v>
      </c>
      <c r="P1533" s="53"/>
      <c r="Q1533" s="53"/>
      <c r="R1533" s="53"/>
      <c r="S1533" s="53"/>
      <c r="T1533" s="48">
        <v>381.37</v>
      </c>
      <c r="U1533" s="98"/>
      <c r="V1533" s="98">
        <v>1.1288250255657235E-2</v>
      </c>
      <c r="W1533" s="98">
        <v>2.3988329190194856E-2</v>
      </c>
      <c r="X1533" s="98">
        <f t="shared" si="403"/>
        <v>2.3988329190194856E-2</v>
      </c>
      <c r="Y1533" s="233">
        <v>6.91</v>
      </c>
      <c r="Z1533" s="48">
        <v>3.47</v>
      </c>
      <c r="AA1533" s="48"/>
      <c r="AB1533" s="48">
        <v>3.02</v>
      </c>
      <c r="AC1533" s="48">
        <v>0.73070000000000002</v>
      </c>
      <c r="AD1533" s="48">
        <v>3.24</v>
      </c>
      <c r="AE1533" s="48">
        <v>4.21</v>
      </c>
      <c r="AF1533" s="48">
        <f t="shared" si="402"/>
        <v>3.24</v>
      </c>
      <c r="AG1533" s="49">
        <v>3.78</v>
      </c>
      <c r="AH1533" s="98">
        <v>7.7500000000000003E-13</v>
      </c>
      <c r="AI1533" s="98"/>
      <c r="AJ1533" s="483">
        <f t="shared" si="401"/>
        <v>-10.499264623806342</v>
      </c>
      <c r="AK1533" s="483"/>
      <c r="AL1533" s="483">
        <f t="shared" si="400"/>
        <v>-10.499264623806342</v>
      </c>
      <c r="AM1533" s="483">
        <v>-17.730219999999999</v>
      </c>
      <c r="AN1533" s="226">
        <v>-14.3</v>
      </c>
      <c r="AO1533" s="484">
        <v>9.68</v>
      </c>
      <c r="AP1533" s="484">
        <v>-3.81</v>
      </c>
      <c r="AQ1533" s="48" t="s">
        <v>6311</v>
      </c>
      <c r="AR1533" s="48" t="s">
        <v>6311</v>
      </c>
      <c r="AS1533" s="227"/>
      <c r="AT1533" s="50" t="s">
        <v>266</v>
      </c>
      <c r="AU1533" s="48">
        <v>6</v>
      </c>
      <c r="AV1533" s="48">
        <v>120</v>
      </c>
      <c r="AW1533" s="48">
        <v>114</v>
      </c>
      <c r="AX1533" s="48">
        <v>28</v>
      </c>
      <c r="AY1533" s="48" t="s">
        <v>8728</v>
      </c>
      <c r="AZ1533" s="48" t="s">
        <v>1563</v>
      </c>
      <c r="BA1533" s="48">
        <v>32</v>
      </c>
      <c r="BB1533" s="47" t="s">
        <v>2485</v>
      </c>
      <c r="BC1533" s="47" t="s">
        <v>8726</v>
      </c>
      <c r="BD1533" s="47" t="s">
        <v>8374</v>
      </c>
      <c r="BE1533" s="48" t="s">
        <v>2449</v>
      </c>
      <c r="BF1533" s="48" t="s">
        <v>272</v>
      </c>
      <c r="BG1533" s="48" t="s">
        <v>272</v>
      </c>
      <c r="BH1533" s="48" t="s">
        <v>2486</v>
      </c>
      <c r="BI1533" s="98">
        <v>6.3999999999999997E-6</v>
      </c>
      <c r="BJ1533" s="98">
        <v>6.4000000000000001E-2</v>
      </c>
      <c r="BK1533" s="48"/>
      <c r="BL1533" s="98">
        <f t="shared" si="394"/>
        <v>3.9300040687265454E-2</v>
      </c>
      <c r="BM1533" s="47" t="s">
        <v>2487</v>
      </c>
      <c r="BN1533" s="48"/>
      <c r="BO1533" s="48"/>
      <c r="BP1533" s="48"/>
      <c r="BQ1533" s="48"/>
      <c r="BR1533" s="47" t="s">
        <v>2496</v>
      </c>
      <c r="BS1533" s="48"/>
      <c r="BT1533" s="48"/>
      <c r="BU1533" s="228"/>
      <c r="BV1533" s="48"/>
      <c r="BW1533" s="48"/>
      <c r="BX1533" s="48"/>
      <c r="BY1533" s="48"/>
      <c r="BZ1533" s="48"/>
      <c r="CA1533" s="48"/>
      <c r="CB1533" s="48"/>
      <c r="CC1533" s="48"/>
      <c r="CD1533" s="48"/>
      <c r="CE1533" s="48"/>
      <c r="CF1533" s="48"/>
      <c r="CG1533" s="48"/>
      <c r="CH1533" s="48"/>
      <c r="CI1533" s="52" t="s">
        <v>6347</v>
      </c>
      <c r="CJ1533" s="98"/>
      <c r="CK1533" s="49">
        <f t="shared" si="392"/>
        <v>0.61406313573852267</v>
      </c>
      <c r="CL1533" s="229"/>
      <c r="CM1533" s="229"/>
      <c r="CN1533" s="229"/>
      <c r="CO1533" s="47" t="s">
        <v>2488</v>
      </c>
      <c r="CP1533" s="47" t="s">
        <v>2489</v>
      </c>
      <c r="CQ1533" s="224" t="s">
        <v>272</v>
      </c>
      <c r="CR1533" s="224"/>
      <c r="CS1533" s="230" t="s">
        <v>539</v>
      </c>
      <c r="CT1533" s="230"/>
      <c r="CU1533" s="230"/>
      <c r="CV1533" s="335">
        <f t="shared" si="398"/>
        <v>0.37481764359679459</v>
      </c>
      <c r="CW1533" s="230">
        <f t="shared" si="386"/>
        <v>0</v>
      </c>
      <c r="CX1533" s="336"/>
      <c r="CY1533" s="230" t="s">
        <v>5921</v>
      </c>
    </row>
    <row r="1534" spans="1:103" ht="11.25" customHeight="1" x14ac:dyDescent="0.2">
      <c r="A1534" s="72">
        <v>1532</v>
      </c>
      <c r="B1534" s="224">
        <v>86</v>
      </c>
      <c r="C1534" s="46" t="s">
        <v>7538</v>
      </c>
      <c r="D1534" s="46"/>
      <c r="E1534" s="114"/>
      <c r="F1534" s="114" t="s">
        <v>3650</v>
      </c>
      <c r="G1534" s="225">
        <v>171866312</v>
      </c>
      <c r="H1534" s="236" t="s">
        <v>3651</v>
      </c>
      <c r="I1534" s="236" t="s">
        <v>8181</v>
      </c>
      <c r="J1534" s="236" t="s">
        <v>3652</v>
      </c>
      <c r="K1534" s="236" t="s">
        <v>597</v>
      </c>
      <c r="L1534" s="47"/>
      <c r="M1534" s="47"/>
      <c r="N1534" s="47"/>
      <c r="O1534" s="52"/>
      <c r="P1534" s="53"/>
      <c r="Q1534" s="53"/>
      <c r="R1534" s="53"/>
      <c r="S1534" s="53"/>
      <c r="T1534" s="226">
        <v>380.42</v>
      </c>
      <c r="U1534" s="98"/>
      <c r="V1534" s="98">
        <v>11.029914305241574</v>
      </c>
      <c r="W1534" s="98">
        <v>3.090295432513591</v>
      </c>
      <c r="X1534" s="98">
        <f t="shared" si="403"/>
        <v>3.090295432513591</v>
      </c>
      <c r="Y1534" s="233">
        <v>8.18</v>
      </c>
      <c r="Z1534" s="48">
        <v>1.99</v>
      </c>
      <c r="AA1534" s="48"/>
      <c r="AB1534" s="48">
        <v>1.59</v>
      </c>
      <c r="AC1534" s="48">
        <v>0.42830000000000001</v>
      </c>
      <c r="AD1534" s="48">
        <v>1.38</v>
      </c>
      <c r="AE1534" s="48">
        <v>1.22</v>
      </c>
      <c r="AF1534" s="48">
        <f t="shared" si="402"/>
        <v>1.38</v>
      </c>
      <c r="AG1534" s="48">
        <v>3.77</v>
      </c>
      <c r="AH1534" s="98">
        <v>1.38E-18</v>
      </c>
      <c r="AI1534" s="98"/>
      <c r="AJ1534" s="483">
        <f t="shared" si="401"/>
        <v>-16.248687239911416</v>
      </c>
      <c r="AK1534" s="483"/>
      <c r="AL1534" s="483">
        <f t="shared" si="400"/>
        <v>-16.248687239911416</v>
      </c>
      <c r="AM1534" s="483">
        <v>-23.214929999999999</v>
      </c>
      <c r="AN1534" s="48">
        <v>-13.16</v>
      </c>
      <c r="AO1534" s="484">
        <v>9.8000000000000007</v>
      </c>
      <c r="AP1534" s="484">
        <v>6.76</v>
      </c>
      <c r="AQ1534" s="48" t="s">
        <v>6311</v>
      </c>
      <c r="AR1534" s="48" t="s">
        <v>6311</v>
      </c>
      <c r="AS1534" s="227"/>
      <c r="AT1534" s="50" t="s">
        <v>266</v>
      </c>
      <c r="AU1534" s="48">
        <v>6</v>
      </c>
      <c r="AV1534" s="48">
        <v>120</v>
      </c>
      <c r="AW1534" s="48">
        <v>114</v>
      </c>
      <c r="AX1534" s="48">
        <v>28</v>
      </c>
      <c r="AY1534" s="48" t="s">
        <v>8728</v>
      </c>
      <c r="AZ1534" s="48" t="s">
        <v>1563</v>
      </c>
      <c r="BA1534" s="48">
        <v>32</v>
      </c>
      <c r="BB1534" s="47" t="s">
        <v>2485</v>
      </c>
      <c r="BC1534" s="47" t="s">
        <v>8726</v>
      </c>
      <c r="BD1534" s="47" t="s">
        <v>8374</v>
      </c>
      <c r="BE1534" s="48" t="s">
        <v>2449</v>
      </c>
      <c r="BF1534" s="48" t="s">
        <v>272</v>
      </c>
      <c r="BG1534" s="48" t="s">
        <v>272</v>
      </c>
      <c r="BH1534" s="48" t="s">
        <v>2486</v>
      </c>
      <c r="BI1534" s="98">
        <v>6.3999999999999997E-6</v>
      </c>
      <c r="BJ1534" s="98">
        <v>6.4000000000000001E-2</v>
      </c>
      <c r="BK1534" s="48"/>
      <c r="BL1534" s="98">
        <f t="shared" si="394"/>
        <v>0.83865048022778399</v>
      </c>
      <c r="BM1534" s="47" t="s">
        <v>2487</v>
      </c>
      <c r="BN1534" s="48"/>
      <c r="BO1534" s="48"/>
      <c r="BP1534" s="48"/>
      <c r="BQ1534" s="48"/>
      <c r="BR1534" s="47" t="s">
        <v>2496</v>
      </c>
      <c r="BS1534" s="48"/>
      <c r="BT1534" s="48"/>
      <c r="BU1534" s="228"/>
      <c r="BV1534" s="48"/>
      <c r="BW1534" s="48"/>
      <c r="BX1534" s="48"/>
      <c r="BY1534" s="48"/>
      <c r="BZ1534" s="48"/>
      <c r="CA1534" s="48"/>
      <c r="CB1534" s="48"/>
      <c r="CC1534" s="48"/>
      <c r="CD1534" s="48"/>
      <c r="CE1534" s="48"/>
      <c r="CF1534" s="48"/>
      <c r="CG1534" s="48"/>
      <c r="CH1534" s="48"/>
      <c r="CI1534" s="98"/>
      <c r="CJ1534" s="98"/>
      <c r="CK1534" s="49">
        <f t="shared" si="392"/>
        <v>13.103913753559125</v>
      </c>
      <c r="CL1534" s="229"/>
      <c r="CM1534" s="229"/>
      <c r="CN1534" s="229"/>
      <c r="CO1534" s="47" t="s">
        <v>2488</v>
      </c>
      <c r="CP1534" s="47" t="s">
        <v>2489</v>
      </c>
      <c r="CQ1534" s="224" t="s">
        <v>272</v>
      </c>
      <c r="CR1534" s="224"/>
      <c r="CS1534" s="230" t="s">
        <v>539</v>
      </c>
      <c r="CT1534" s="230"/>
      <c r="CU1534" s="230"/>
      <c r="CV1534" s="335">
        <f t="shared" si="398"/>
        <v>48.285866133024861</v>
      </c>
      <c r="CW1534" s="230">
        <f t="shared" si="386"/>
        <v>1</v>
      </c>
      <c r="CX1534" s="336"/>
      <c r="CY1534" s="230" t="s">
        <v>5921</v>
      </c>
    </row>
    <row r="1535" spans="1:103" ht="11.25" customHeight="1" x14ac:dyDescent="0.2">
      <c r="A1535" s="72">
        <v>1533</v>
      </c>
      <c r="B1535" s="224">
        <v>346</v>
      </c>
      <c r="C1535" s="46" t="s">
        <v>7539</v>
      </c>
      <c r="D1535" s="46"/>
      <c r="E1535" s="114"/>
      <c r="F1535" s="114" t="s">
        <v>3879</v>
      </c>
      <c r="G1535" s="225">
        <v>173159574</v>
      </c>
      <c r="H1535" s="47" t="s">
        <v>3880</v>
      </c>
      <c r="I1535" s="47" t="s">
        <v>3880</v>
      </c>
      <c r="J1535" s="47" t="s">
        <v>3881</v>
      </c>
      <c r="K1535" s="47" t="s">
        <v>3882</v>
      </c>
      <c r="L1535" s="47"/>
      <c r="M1535" s="47"/>
      <c r="N1535" s="47"/>
      <c r="O1535" s="47"/>
      <c r="P1535" s="53"/>
      <c r="Q1535" s="53"/>
      <c r="R1535" s="53"/>
      <c r="S1535" s="53"/>
      <c r="T1535" s="48">
        <v>452.44</v>
      </c>
      <c r="U1535" s="98"/>
      <c r="V1535" s="98">
        <v>0.77866678454601723</v>
      </c>
      <c r="W1535" s="98">
        <v>0.19952623149688758</v>
      </c>
      <c r="X1535" s="98">
        <f t="shared" si="403"/>
        <v>0.19952623149688758</v>
      </c>
      <c r="Y1535" s="233">
        <v>3.97</v>
      </c>
      <c r="Z1535" s="48">
        <v>-0.82</v>
      </c>
      <c r="AA1535" s="48"/>
      <c r="AB1535" s="48">
        <v>0.7</v>
      </c>
      <c r="AC1535" s="48">
        <v>0.52959999999999996</v>
      </c>
      <c r="AD1535" s="48">
        <v>0.81</v>
      </c>
      <c r="AE1535" s="48">
        <v>0.99</v>
      </c>
      <c r="AF1535" s="48">
        <f t="shared" si="402"/>
        <v>0.81</v>
      </c>
      <c r="AG1535" s="49">
        <v>0.2</v>
      </c>
      <c r="AH1535" s="98">
        <v>4.2799999999999999E-23</v>
      </c>
      <c r="AI1535" s="98"/>
      <c r="AJ1535" s="483">
        <f t="shared" si="401"/>
        <v>-20.757122557299478</v>
      </c>
      <c r="AK1535" s="483"/>
      <c r="AL1535" s="483">
        <f t="shared" si="400"/>
        <v>-20.757122557299478</v>
      </c>
      <c r="AM1535" s="483">
        <v>-36.155370000000005</v>
      </c>
      <c r="AN1535" s="226">
        <v>-30.8</v>
      </c>
      <c r="AO1535" s="484">
        <v>3.88</v>
      </c>
      <c r="AP1535" s="484">
        <v>-0.93</v>
      </c>
      <c r="AQ1535" s="226" t="s">
        <v>6311</v>
      </c>
      <c r="AR1535" s="226" t="s">
        <v>6311</v>
      </c>
      <c r="AS1535" s="224" t="s">
        <v>63</v>
      </c>
      <c r="AT1535" s="50" t="s">
        <v>266</v>
      </c>
      <c r="AU1535" s="48">
        <v>8</v>
      </c>
      <c r="AV1535" s="48">
        <v>144</v>
      </c>
      <c r="AW1535" s="48">
        <v>120</v>
      </c>
      <c r="AX1535" s="48">
        <v>26</v>
      </c>
      <c r="AY1535" s="48" t="s">
        <v>267</v>
      </c>
      <c r="AZ1535" s="48" t="s">
        <v>2253</v>
      </c>
      <c r="BA1535" s="48">
        <v>2</v>
      </c>
      <c r="BB1535" s="47" t="s">
        <v>2254</v>
      </c>
      <c r="BC1535" s="47" t="s">
        <v>270</v>
      </c>
      <c r="BD1535" s="47" t="s">
        <v>8374</v>
      </c>
      <c r="BE1535" s="48" t="s">
        <v>1712</v>
      </c>
      <c r="BF1535" s="48" t="s">
        <v>272</v>
      </c>
      <c r="BG1535" s="48" t="s">
        <v>272</v>
      </c>
      <c r="BH1535" s="48" t="s">
        <v>2255</v>
      </c>
      <c r="BI1535" s="98">
        <v>9.9999999999999995E-7</v>
      </c>
      <c r="BJ1535" s="98">
        <v>0.08</v>
      </c>
      <c r="BK1535" s="48"/>
      <c r="BL1535" s="98">
        <f t="shared" si="394"/>
        <v>280.05414182816867</v>
      </c>
      <c r="BM1535" s="48" t="s">
        <v>891</v>
      </c>
      <c r="BN1535" s="233"/>
      <c r="BO1535" s="233"/>
      <c r="BP1535" s="233"/>
      <c r="BQ1535" s="233"/>
      <c r="BR1535" s="233"/>
      <c r="BS1535" s="48"/>
      <c r="BT1535" s="233"/>
      <c r="BU1535" s="228"/>
      <c r="BV1535" s="233"/>
      <c r="BW1535" s="233"/>
      <c r="BX1535" s="233"/>
      <c r="BY1535" s="233"/>
      <c r="BZ1535" s="233"/>
      <c r="CA1535" s="233"/>
      <c r="CB1535" s="233"/>
      <c r="CC1535" s="48"/>
      <c r="CD1535" s="48"/>
      <c r="CE1535" s="48"/>
      <c r="CF1535" s="48"/>
      <c r="CG1535" s="233"/>
      <c r="CH1535" s="48"/>
      <c r="CI1535" s="98"/>
      <c r="CJ1535" s="98"/>
      <c r="CK1535" s="49">
        <f t="shared" si="392"/>
        <v>3500.6767728521081</v>
      </c>
      <c r="CL1535" s="229"/>
      <c r="CM1535" s="229"/>
      <c r="CN1535" s="229"/>
      <c r="CO1535" s="47" t="s">
        <v>892</v>
      </c>
      <c r="CP1535" s="47" t="s">
        <v>893</v>
      </c>
      <c r="CQ1535" s="224" t="s">
        <v>272</v>
      </c>
      <c r="CR1535" s="224"/>
      <c r="CS1535" s="230" t="s">
        <v>539</v>
      </c>
      <c r="CT1535" s="230"/>
      <c r="CU1535" s="230"/>
      <c r="CV1535" s="335">
        <f t="shared" si="398"/>
        <v>2.4940778937110948</v>
      </c>
      <c r="CW1535" s="230">
        <f t="shared" ref="CW1535:CW1598" si="404">IF(CV1535&lt;1,0,1)</f>
        <v>1</v>
      </c>
      <c r="CX1535" s="336" t="s">
        <v>539</v>
      </c>
      <c r="CY1535" s="230" t="s">
        <v>5921</v>
      </c>
    </row>
    <row r="1536" spans="1:103" ht="11.25" customHeight="1" x14ac:dyDescent="0.2">
      <c r="A1536" s="72">
        <v>1534</v>
      </c>
      <c r="B1536" s="224">
        <v>1166</v>
      </c>
      <c r="C1536" s="46" t="s">
        <v>3216</v>
      </c>
      <c r="D1536" s="46" t="s">
        <v>6871</v>
      </c>
      <c r="E1536" s="114"/>
      <c r="F1536" s="114" t="s">
        <v>3217</v>
      </c>
      <c r="G1536" s="225">
        <v>173584446</v>
      </c>
      <c r="H1536" s="47" t="s">
        <v>3218</v>
      </c>
      <c r="I1536" s="47" t="s">
        <v>7943</v>
      </c>
      <c r="J1536" s="47" t="s">
        <v>3219</v>
      </c>
      <c r="K1536" s="47" t="s">
        <v>3220</v>
      </c>
      <c r="L1536" s="47" t="s">
        <v>617</v>
      </c>
      <c r="M1536" s="47" t="s">
        <v>3221</v>
      </c>
      <c r="N1536" s="47" t="s">
        <v>6376</v>
      </c>
      <c r="O1536" s="47" t="s">
        <v>918</v>
      </c>
      <c r="P1536" s="53"/>
      <c r="Q1536" s="53"/>
      <c r="R1536" s="53"/>
      <c r="S1536" s="53"/>
      <c r="T1536" s="48">
        <v>527.83000000000004</v>
      </c>
      <c r="U1536" s="98"/>
      <c r="V1536" s="98">
        <v>9.5977871663224882E-5</v>
      </c>
      <c r="W1536" s="98">
        <v>1.8197008586099798E-3</v>
      </c>
      <c r="X1536" s="98">
        <f t="shared" si="403"/>
        <v>1.8197008586099798E-3</v>
      </c>
      <c r="Y1536" s="233">
        <v>7</v>
      </c>
      <c r="Z1536" s="48">
        <v>5.21</v>
      </c>
      <c r="AA1536" s="48">
        <v>4.6500000000000004</v>
      </c>
      <c r="AB1536" s="48">
        <v>4.46</v>
      </c>
      <c r="AC1536" s="48">
        <v>0.50080000000000002</v>
      </c>
      <c r="AD1536" s="48">
        <v>3.7</v>
      </c>
      <c r="AE1536" s="48">
        <v>2.77</v>
      </c>
      <c r="AF1536" s="48">
        <f t="shared" si="402"/>
        <v>4.6500000000000004</v>
      </c>
      <c r="AG1536" s="49">
        <v>4.2300000000000004</v>
      </c>
      <c r="AH1536" s="98">
        <v>2.72E-13</v>
      </c>
      <c r="AI1536" s="98"/>
      <c r="AJ1536" s="483">
        <f t="shared" si="401"/>
        <v>-10.953997422278453</v>
      </c>
      <c r="AK1536" s="483"/>
      <c r="AL1536" s="483">
        <f t="shared" si="400"/>
        <v>-10.953997422278453</v>
      </c>
      <c r="AM1536" s="483">
        <v>-19.639890000000001</v>
      </c>
      <c r="AN1536" s="226">
        <v>-6.89</v>
      </c>
      <c r="AO1536" s="484"/>
      <c r="AP1536" s="484">
        <v>-1.75</v>
      </c>
      <c r="AQ1536" s="48" t="s">
        <v>6311</v>
      </c>
      <c r="AR1536" s="48" t="s">
        <v>6312</v>
      </c>
      <c r="AS1536" s="227"/>
      <c r="AT1536" s="50" t="s">
        <v>266</v>
      </c>
      <c r="AU1536" s="48">
        <v>6</v>
      </c>
      <c r="AV1536" s="48">
        <v>120</v>
      </c>
      <c r="AW1536" s="48">
        <v>114</v>
      </c>
      <c r="AX1536" s="48">
        <v>28</v>
      </c>
      <c r="AY1536" s="48" t="s">
        <v>8728</v>
      </c>
      <c r="AZ1536" s="48" t="s">
        <v>1563</v>
      </c>
      <c r="BA1536" s="48">
        <v>32</v>
      </c>
      <c r="BB1536" s="47" t="s">
        <v>2485</v>
      </c>
      <c r="BC1536" s="47" t="s">
        <v>8726</v>
      </c>
      <c r="BD1536" s="47" t="s">
        <v>8374</v>
      </c>
      <c r="BE1536" s="48" t="s">
        <v>2449</v>
      </c>
      <c r="BF1536" s="48" t="s">
        <v>272</v>
      </c>
      <c r="BG1536" s="48" t="s">
        <v>272</v>
      </c>
      <c r="BH1536" s="48" t="s">
        <v>2486</v>
      </c>
      <c r="BI1536" s="98">
        <v>6.3999999999999997E-6</v>
      </c>
      <c r="BJ1536" s="98">
        <v>6.4000000000000001E-2</v>
      </c>
      <c r="BK1536" s="48"/>
      <c r="BL1536" s="98">
        <f t="shared" si="394"/>
        <v>1.0757193976350967E-3</v>
      </c>
      <c r="BM1536" s="47" t="s">
        <v>2487</v>
      </c>
      <c r="BN1536" s="48"/>
      <c r="BO1536" s="48"/>
      <c r="BP1536" s="48"/>
      <c r="BQ1536" s="48"/>
      <c r="BR1536" s="47" t="s">
        <v>2496</v>
      </c>
      <c r="BS1536" s="48"/>
      <c r="BT1536" s="48"/>
      <c r="BU1536" s="228">
        <v>5.1000000000000003E-6</v>
      </c>
      <c r="BV1536" s="48"/>
      <c r="BW1536" s="48"/>
      <c r="BX1536" s="48"/>
      <c r="BY1536" s="48"/>
      <c r="BZ1536" s="48"/>
      <c r="CA1536" s="48"/>
      <c r="CB1536" s="48"/>
      <c r="CC1536" s="48"/>
      <c r="CD1536" s="48"/>
      <c r="CE1536" s="48"/>
      <c r="CF1536" s="48"/>
      <c r="CG1536" s="48"/>
      <c r="CH1536" s="48"/>
      <c r="CI1536" s="98"/>
      <c r="CJ1536" s="98"/>
      <c r="CK1536" s="49">
        <f t="shared" si="392"/>
        <v>1.6808115588048386E-2</v>
      </c>
      <c r="CL1536" s="229"/>
      <c r="CM1536" s="229"/>
      <c r="CN1536" s="229"/>
      <c r="CO1536" s="47" t="s">
        <v>2488</v>
      </c>
      <c r="CP1536" s="47" t="s">
        <v>2489</v>
      </c>
      <c r="CQ1536" s="224">
        <v>-2.9158883459970237</v>
      </c>
      <c r="CR1536" s="224">
        <f>10^(CJ1536-CQ1536)</f>
        <v>823.92626223621562</v>
      </c>
      <c r="CS1536" s="230" t="s">
        <v>539</v>
      </c>
      <c r="CT1536" s="230"/>
      <c r="CU1536" s="230"/>
      <c r="CV1536" s="335">
        <f t="shared" si="398"/>
        <v>2.8432825915780936E-2</v>
      </c>
      <c r="CW1536" s="230">
        <f t="shared" si="404"/>
        <v>0</v>
      </c>
      <c r="CX1536" s="336"/>
      <c r="CY1536" s="230" t="s">
        <v>5921</v>
      </c>
    </row>
    <row r="1537" spans="1:103" ht="11.25" customHeight="1" x14ac:dyDescent="0.2">
      <c r="A1537" s="72">
        <v>1535</v>
      </c>
      <c r="B1537" s="224">
        <v>1347</v>
      </c>
      <c r="C1537" s="46" t="s">
        <v>7540</v>
      </c>
      <c r="D1537" s="46"/>
      <c r="E1537" s="114"/>
      <c r="F1537" s="114" t="s">
        <v>4170</v>
      </c>
      <c r="G1537" s="225">
        <v>179465715</v>
      </c>
      <c r="H1537" s="47" t="s">
        <v>4171</v>
      </c>
      <c r="I1537" s="47" t="s">
        <v>7853</v>
      </c>
      <c r="J1537" s="47" t="s">
        <v>4172</v>
      </c>
      <c r="K1537" s="47" t="s">
        <v>471</v>
      </c>
      <c r="L1537" s="47"/>
      <c r="M1537" s="47"/>
      <c r="N1537" s="47"/>
      <c r="O1537" s="47"/>
      <c r="P1537" s="53"/>
      <c r="Q1537" s="53"/>
      <c r="R1537" s="53"/>
      <c r="S1537" s="53"/>
      <c r="T1537" s="48">
        <v>466.48</v>
      </c>
      <c r="U1537" s="98"/>
      <c r="V1537" s="98">
        <v>1.3132395815469045E-2</v>
      </c>
      <c r="W1537" s="98">
        <v>2.1877616239495488E-2</v>
      </c>
      <c r="X1537" s="98">
        <f t="shared" si="403"/>
        <v>2.1877616239495488E-2</v>
      </c>
      <c r="Y1537" s="233">
        <v>4.7699999999999996</v>
      </c>
      <c r="Z1537" s="48">
        <v>2.67</v>
      </c>
      <c r="AA1537" s="48"/>
      <c r="AB1537" s="48">
        <v>1.39</v>
      </c>
      <c r="AC1537" s="48">
        <v>0.59060000000000001</v>
      </c>
      <c r="AD1537" s="48">
        <v>2.4900000000000002</v>
      </c>
      <c r="AE1537" s="48">
        <v>3.93</v>
      </c>
      <c r="AF1537" s="48">
        <f t="shared" si="402"/>
        <v>2.4900000000000002</v>
      </c>
      <c r="AG1537" s="49">
        <v>1.77</v>
      </c>
      <c r="AH1537" s="98">
        <v>4.2600000000000003E-21</v>
      </c>
      <c r="AI1537" s="98"/>
      <c r="AJ1537" s="483">
        <f t="shared" si="401"/>
        <v>-18.759156727209934</v>
      </c>
      <c r="AK1537" s="483"/>
      <c r="AL1537" s="483">
        <f t="shared" si="400"/>
        <v>-18.759156727209934</v>
      </c>
      <c r="AM1537" s="483">
        <v>-30.71557</v>
      </c>
      <c r="AN1537" s="226">
        <v>-32.1</v>
      </c>
      <c r="AO1537" s="484">
        <v>4.17</v>
      </c>
      <c r="AP1537" s="484">
        <v>-7.28</v>
      </c>
      <c r="AQ1537" s="48" t="s">
        <v>6311</v>
      </c>
      <c r="AR1537" s="48" t="s">
        <v>6311</v>
      </c>
      <c r="AS1537" s="227"/>
      <c r="AT1537" s="50" t="s">
        <v>266</v>
      </c>
      <c r="AU1537" s="48">
        <v>6</v>
      </c>
      <c r="AV1537" s="48">
        <v>120</v>
      </c>
      <c r="AW1537" s="48">
        <v>114</v>
      </c>
      <c r="AX1537" s="48">
        <v>28</v>
      </c>
      <c r="AY1537" s="48" t="s">
        <v>8728</v>
      </c>
      <c r="AZ1537" s="48" t="s">
        <v>1563</v>
      </c>
      <c r="BA1537" s="48">
        <v>32</v>
      </c>
      <c r="BB1537" s="47" t="s">
        <v>2485</v>
      </c>
      <c r="BC1537" s="47" t="s">
        <v>8726</v>
      </c>
      <c r="BD1537" s="47" t="s">
        <v>8374</v>
      </c>
      <c r="BE1537" s="48" t="s">
        <v>2449</v>
      </c>
      <c r="BF1537" s="48" t="s">
        <v>272</v>
      </c>
      <c r="BG1537" s="48" t="s">
        <v>272</v>
      </c>
      <c r="BH1537" s="48" t="s">
        <v>2486</v>
      </c>
      <c r="BI1537" s="98">
        <v>6.3999999999999997E-6</v>
      </c>
      <c r="BJ1537" s="98">
        <v>6.4000000000000001E-2</v>
      </c>
      <c r="BK1537" s="48"/>
      <c r="BL1537" s="98">
        <f t="shared" si="394"/>
        <v>0.20552894832736404</v>
      </c>
      <c r="BM1537" s="47" t="s">
        <v>2487</v>
      </c>
      <c r="BN1537" s="48"/>
      <c r="BO1537" s="48"/>
      <c r="BP1537" s="48"/>
      <c r="BQ1537" s="48"/>
      <c r="BR1537" s="47" t="s">
        <v>2496</v>
      </c>
      <c r="BS1537" s="48"/>
      <c r="BT1537" s="48"/>
      <c r="BU1537" s="228"/>
      <c r="BV1537" s="48"/>
      <c r="BW1537" s="48"/>
      <c r="BX1537" s="48"/>
      <c r="BY1537" s="48"/>
      <c r="BZ1537" s="48"/>
      <c r="CA1537" s="48"/>
      <c r="CB1537" s="48"/>
      <c r="CC1537" s="48"/>
      <c r="CD1537" s="48"/>
      <c r="CE1537" s="48"/>
      <c r="CF1537" s="48"/>
      <c r="CG1537" s="48"/>
      <c r="CH1537" s="48"/>
      <c r="CI1537" s="98"/>
      <c r="CJ1537" s="98"/>
      <c r="CK1537" s="49">
        <f t="shared" si="392"/>
        <v>3.2113898176150633</v>
      </c>
      <c r="CL1537" s="229"/>
      <c r="CM1537" s="229"/>
      <c r="CN1537" s="229"/>
      <c r="CO1537" s="47" t="s">
        <v>2488</v>
      </c>
      <c r="CP1537" s="47" t="s">
        <v>2489</v>
      </c>
      <c r="CQ1537" s="224" t="s">
        <v>272</v>
      </c>
      <c r="CR1537" s="224"/>
      <c r="CS1537" s="230" t="s">
        <v>539</v>
      </c>
      <c r="CT1537" s="230"/>
      <c r="CU1537" s="230"/>
      <c r="CV1537" s="335">
        <f t="shared" si="398"/>
        <v>0.341837753742117</v>
      </c>
      <c r="CW1537" s="230">
        <f t="shared" si="404"/>
        <v>0</v>
      </c>
      <c r="CX1537" s="336"/>
      <c r="CY1537" s="230" t="s">
        <v>5921</v>
      </c>
    </row>
    <row r="1538" spans="1:103" ht="11.25" customHeight="1" x14ac:dyDescent="0.2">
      <c r="A1538" s="72">
        <v>1536</v>
      </c>
      <c r="B1538" s="224">
        <v>1316</v>
      </c>
      <c r="C1538" s="46" t="s">
        <v>7541</v>
      </c>
      <c r="D1538" s="46"/>
      <c r="E1538" s="114"/>
      <c r="F1538" s="114" t="s">
        <v>3599</v>
      </c>
      <c r="G1538" s="225">
        <v>180084019</v>
      </c>
      <c r="H1538" s="236" t="s">
        <v>3600</v>
      </c>
      <c r="I1538" s="236" t="s">
        <v>8182</v>
      </c>
      <c r="J1538" s="236" t="s">
        <v>3601</v>
      </c>
      <c r="K1538" s="236"/>
      <c r="L1538" s="47"/>
      <c r="M1538" s="47"/>
      <c r="N1538" s="47"/>
      <c r="O1538" s="52"/>
      <c r="P1538" s="53"/>
      <c r="Q1538" s="53"/>
      <c r="R1538" s="53"/>
      <c r="S1538" s="53"/>
      <c r="T1538" s="226">
        <v>313.66000000000003</v>
      </c>
      <c r="U1538" s="98"/>
      <c r="V1538" s="98">
        <f>0.00001232/313.66</f>
        <v>3.9278199324108909E-8</v>
      </c>
      <c r="W1538" s="98">
        <v>2.884031503126603E-2</v>
      </c>
      <c r="X1538" s="98">
        <f t="shared" si="403"/>
        <v>2.884031503126603E-2</v>
      </c>
      <c r="Y1538" s="233">
        <v>9.15</v>
      </c>
      <c r="Z1538" s="48">
        <v>8.32</v>
      </c>
      <c r="AA1538" s="48"/>
      <c r="AB1538" s="48">
        <v>4.43</v>
      </c>
      <c r="AC1538" s="48">
        <v>0.255</v>
      </c>
      <c r="AD1538" s="48">
        <v>3.68</v>
      </c>
      <c r="AE1538" s="48">
        <v>3.32</v>
      </c>
      <c r="AF1538" s="48">
        <f t="shared" si="402"/>
        <v>3.68</v>
      </c>
      <c r="AG1538" s="48">
        <v>2.97</v>
      </c>
      <c r="AH1538" s="98">
        <v>9.2200000000000002E-18</v>
      </c>
      <c r="AI1538" s="98"/>
      <c r="AJ1538" s="483">
        <f t="shared" si="401"/>
        <v>-15.423835405259023</v>
      </c>
      <c r="AK1538" s="483"/>
      <c r="AL1538" s="483">
        <f t="shared" si="400"/>
        <v>-15.423835405259023</v>
      </c>
      <c r="AM1538" s="483">
        <v>-25.59412</v>
      </c>
      <c r="AN1538" s="48">
        <v>-9.24</v>
      </c>
      <c r="AO1538" s="484"/>
      <c r="AP1538" s="484">
        <v>9.93</v>
      </c>
      <c r="AQ1538" s="48" t="s">
        <v>6311</v>
      </c>
      <c r="AR1538" s="48" t="s">
        <v>6311</v>
      </c>
      <c r="AS1538" s="227"/>
      <c r="AT1538" s="50" t="s">
        <v>266</v>
      </c>
      <c r="AU1538" s="48">
        <v>6</v>
      </c>
      <c r="AV1538" s="48">
        <v>120</v>
      </c>
      <c r="AW1538" s="48">
        <v>114</v>
      </c>
      <c r="AX1538" s="48">
        <v>28</v>
      </c>
      <c r="AY1538" s="48" t="s">
        <v>8728</v>
      </c>
      <c r="AZ1538" s="48" t="s">
        <v>1563</v>
      </c>
      <c r="BA1538" s="48">
        <v>32</v>
      </c>
      <c r="BB1538" s="47" t="s">
        <v>2485</v>
      </c>
      <c r="BC1538" s="47" t="s">
        <v>8726</v>
      </c>
      <c r="BD1538" s="47" t="s">
        <v>8374</v>
      </c>
      <c r="BE1538" s="48" t="s">
        <v>2449</v>
      </c>
      <c r="BF1538" s="48" t="s">
        <v>272</v>
      </c>
      <c r="BG1538" s="48" t="s">
        <v>272</v>
      </c>
      <c r="BH1538" s="48" t="s">
        <v>2486</v>
      </c>
      <c r="BI1538" s="98">
        <v>6.3999999999999997E-6</v>
      </c>
      <c r="BJ1538" s="98">
        <v>6.4000000000000001E-2</v>
      </c>
      <c r="BK1538" s="48"/>
      <c r="BL1538" s="98"/>
      <c r="BM1538" s="47" t="s">
        <v>2487</v>
      </c>
      <c r="BN1538" s="48"/>
      <c r="BO1538" s="48"/>
      <c r="BP1538" s="48"/>
      <c r="BQ1538" s="48"/>
      <c r="BR1538" s="47" t="s">
        <v>2496</v>
      </c>
      <c r="BS1538" s="48"/>
      <c r="BT1538" s="48"/>
      <c r="BU1538" s="228"/>
      <c r="BV1538" s="48"/>
      <c r="BW1538" s="48"/>
      <c r="BX1538" s="48"/>
      <c r="BY1538" s="48"/>
      <c r="BZ1538" s="48"/>
      <c r="CA1538" s="48"/>
      <c r="CB1538" s="48"/>
      <c r="CC1538" s="48"/>
      <c r="CD1538" s="48"/>
      <c r="CE1538" s="48"/>
      <c r="CF1538" s="48"/>
      <c r="CG1538" s="48"/>
      <c r="CH1538" s="48"/>
      <c r="CI1538" s="98"/>
      <c r="CJ1538" s="98"/>
      <c r="CK1538" s="49">
        <f t="shared" si="392"/>
        <v>0</v>
      </c>
      <c r="CL1538" s="229"/>
      <c r="CM1538" s="229"/>
      <c r="CN1538" s="229"/>
      <c r="CO1538" s="47" t="s">
        <v>2488</v>
      </c>
      <c r="CP1538" s="47" t="s">
        <v>2489</v>
      </c>
      <c r="CQ1538" s="224" t="s">
        <v>272</v>
      </c>
      <c r="CR1538" s="224"/>
      <c r="CS1538" s="230" t="s">
        <v>539</v>
      </c>
      <c r="CT1538" s="230"/>
      <c r="CU1538" s="230"/>
      <c r="CV1538" s="335">
        <f t="shared" si="398"/>
        <v>0.45062992236353172</v>
      </c>
      <c r="CW1538" s="230">
        <f t="shared" si="404"/>
        <v>0</v>
      </c>
      <c r="CX1538" s="336"/>
      <c r="CY1538" s="230" t="s">
        <v>5921</v>
      </c>
    </row>
    <row r="1539" spans="1:103" ht="11.25" customHeight="1" x14ac:dyDescent="0.2">
      <c r="A1539" s="72">
        <v>1537</v>
      </c>
      <c r="B1539" s="224">
        <v>1838</v>
      </c>
      <c r="C1539" s="46" t="s">
        <v>6703</v>
      </c>
      <c r="D1539" s="46"/>
      <c r="E1539" s="114"/>
      <c r="F1539" s="114" t="s">
        <v>1415</v>
      </c>
      <c r="G1539" s="225">
        <v>181274157</v>
      </c>
      <c r="H1539" s="47" t="s">
        <v>1416</v>
      </c>
      <c r="I1539" s="47" t="s">
        <v>7863</v>
      </c>
      <c r="J1539" s="47" t="s">
        <v>1417</v>
      </c>
      <c r="K1539" s="47" t="s">
        <v>1418</v>
      </c>
      <c r="L1539" s="47"/>
      <c r="M1539" s="47"/>
      <c r="N1539" s="47"/>
      <c r="O1539" s="47"/>
      <c r="P1539" s="53"/>
      <c r="Q1539" s="53"/>
      <c r="R1539" s="53"/>
      <c r="S1539" s="53"/>
      <c r="T1539" s="48">
        <v>398.39</v>
      </c>
      <c r="U1539" s="98"/>
      <c r="V1539" s="98">
        <v>4.242074349255754E-2</v>
      </c>
      <c r="W1539" s="98">
        <v>0.81283051616409874</v>
      </c>
      <c r="X1539" s="98">
        <f t="shared" si="403"/>
        <v>0.81283051616409874</v>
      </c>
      <c r="Y1539" s="233">
        <v>3.63</v>
      </c>
      <c r="Z1539" s="48">
        <v>2.66</v>
      </c>
      <c r="AA1539" s="48"/>
      <c r="AB1539" s="48">
        <v>1.1000000000000001</v>
      </c>
      <c r="AC1539" s="48">
        <v>0.48370000000000002</v>
      </c>
      <c r="AD1539" s="48">
        <v>0.63</v>
      </c>
      <c r="AE1539" s="48">
        <v>0.06</v>
      </c>
      <c r="AF1539" s="48">
        <f t="shared" si="402"/>
        <v>0.63</v>
      </c>
      <c r="AG1539" s="49">
        <v>0.63</v>
      </c>
      <c r="AH1539" s="98">
        <v>1.41E-17</v>
      </c>
      <c r="AI1539" s="98"/>
      <c r="AJ1539" s="483">
        <f t="shared" si="401"/>
        <v>-15.239347213657272</v>
      </c>
      <c r="AK1539" s="483"/>
      <c r="AL1539" s="483">
        <f t="shared" si="400"/>
        <v>-15.239347213657272</v>
      </c>
      <c r="AM1539" s="483">
        <v>-24.07235</v>
      </c>
      <c r="AN1539" s="226"/>
      <c r="AO1539" s="484">
        <v>4.0199999999999996</v>
      </c>
      <c r="AP1539" s="484">
        <v>-3.75</v>
      </c>
      <c r="AQ1539" s="226" t="s">
        <v>6311</v>
      </c>
      <c r="AR1539" s="226" t="s">
        <v>6312</v>
      </c>
      <c r="AS1539" s="224"/>
      <c r="AT1539" s="50" t="s">
        <v>266</v>
      </c>
      <c r="AU1539" s="48">
        <v>6</v>
      </c>
      <c r="AV1539" s="48">
        <v>120</v>
      </c>
      <c r="AW1539" s="48">
        <v>114</v>
      </c>
      <c r="AX1539" s="48">
        <v>28</v>
      </c>
      <c r="AY1539" s="48" t="s">
        <v>8728</v>
      </c>
      <c r="AZ1539" s="48" t="s">
        <v>1563</v>
      </c>
      <c r="BA1539" s="48">
        <v>32</v>
      </c>
      <c r="BB1539" s="47" t="s">
        <v>2485</v>
      </c>
      <c r="BC1539" s="47" t="s">
        <v>8726</v>
      </c>
      <c r="BD1539" s="47" t="s">
        <v>8374</v>
      </c>
      <c r="BE1539" s="48" t="s">
        <v>2449</v>
      </c>
      <c r="BF1539" s="48" t="s">
        <v>272</v>
      </c>
      <c r="BG1539" s="48" t="s">
        <v>272</v>
      </c>
      <c r="BH1539" s="48" t="s">
        <v>2486</v>
      </c>
      <c r="BI1539" s="98">
        <v>6.3999999999999997E-6</v>
      </c>
      <c r="BJ1539" s="98">
        <v>6.4000000000000001E-2</v>
      </c>
      <c r="BK1539" s="48"/>
      <c r="BL1539" s="98">
        <f t="shared" ref="BL1539:BL1560" si="405">10^((-0.8981*Z1539)+1.7108)</f>
        <v>0.20982343860140321</v>
      </c>
      <c r="BM1539" s="47" t="s">
        <v>2487</v>
      </c>
      <c r="BN1539" s="48"/>
      <c r="BO1539" s="48"/>
      <c r="BP1539" s="48"/>
      <c r="BQ1539" s="48"/>
      <c r="BR1539" s="47" t="s">
        <v>2496</v>
      </c>
      <c r="BS1539" s="48"/>
      <c r="BT1539" s="48"/>
      <c r="BU1539" s="228"/>
      <c r="BV1539" s="48"/>
      <c r="BW1539" s="48"/>
      <c r="BX1539" s="48"/>
      <c r="BY1539" s="48"/>
      <c r="BZ1539" s="48"/>
      <c r="CA1539" s="48"/>
      <c r="CB1539" s="48"/>
      <c r="CC1539" s="48"/>
      <c r="CD1539" s="48"/>
      <c r="CE1539" s="48"/>
      <c r="CF1539" s="48"/>
      <c r="CG1539" s="48"/>
      <c r="CH1539" s="48"/>
      <c r="CI1539" s="98"/>
      <c r="CJ1539" s="98"/>
      <c r="CK1539" s="49">
        <f t="shared" si="392"/>
        <v>3.2784912281469252</v>
      </c>
      <c r="CL1539" s="229"/>
      <c r="CM1539" s="229"/>
      <c r="CN1539" s="229"/>
      <c r="CO1539" s="47" t="s">
        <v>2488</v>
      </c>
      <c r="CP1539" s="47" t="s">
        <v>2489</v>
      </c>
      <c r="CQ1539" s="224" t="s">
        <v>272</v>
      </c>
      <c r="CR1539" s="224"/>
      <c r="CS1539" s="230" t="s">
        <v>539</v>
      </c>
      <c r="CT1539" s="230"/>
      <c r="CU1539" s="230"/>
      <c r="CV1539" s="335">
        <f t="shared" si="398"/>
        <v>12.700476815064043</v>
      </c>
      <c r="CW1539" s="230">
        <f t="shared" si="404"/>
        <v>1</v>
      </c>
      <c r="CX1539" s="336"/>
      <c r="CY1539" s="230" t="s">
        <v>5921</v>
      </c>
    </row>
    <row r="1540" spans="1:103" ht="11.25" customHeight="1" x14ac:dyDescent="0.2">
      <c r="A1540" s="72">
        <v>1538</v>
      </c>
      <c r="B1540" s="224">
        <v>1049</v>
      </c>
      <c r="C1540" s="46" t="s">
        <v>7542</v>
      </c>
      <c r="D1540" s="46"/>
      <c r="E1540" s="114"/>
      <c r="F1540" s="114" t="s">
        <v>2964</v>
      </c>
      <c r="G1540" s="225">
        <v>184653847</v>
      </c>
      <c r="H1540" s="47" t="s">
        <v>2965</v>
      </c>
      <c r="I1540" s="47" t="s">
        <v>7775</v>
      </c>
      <c r="J1540" s="47" t="s">
        <v>2966</v>
      </c>
      <c r="K1540" s="47" t="s">
        <v>471</v>
      </c>
      <c r="L1540" s="47" t="s">
        <v>279</v>
      </c>
      <c r="M1540" s="47" t="s">
        <v>5961</v>
      </c>
      <c r="N1540" s="47"/>
      <c r="O1540" s="47" t="s">
        <v>5962</v>
      </c>
      <c r="P1540" s="53"/>
      <c r="Q1540" s="53"/>
      <c r="R1540" s="53"/>
      <c r="S1540" s="53"/>
      <c r="T1540" s="48">
        <v>357.38</v>
      </c>
      <c r="U1540" s="98"/>
      <c r="V1540" s="98">
        <v>0.1120096256085959</v>
      </c>
      <c r="W1540" s="98">
        <v>8.7096358995608025E-2</v>
      </c>
      <c r="X1540" s="98">
        <f t="shared" si="403"/>
        <v>8.7096358995608025E-2</v>
      </c>
      <c r="Y1540" s="233">
        <v>7</v>
      </c>
      <c r="Z1540" s="48">
        <v>2.5099999999999998</v>
      </c>
      <c r="AA1540" s="48"/>
      <c r="AB1540" s="48">
        <v>2.56</v>
      </c>
      <c r="AC1540" s="48">
        <v>0.69530000000000003</v>
      </c>
      <c r="AD1540" s="48">
        <v>2.75</v>
      </c>
      <c r="AE1540" s="48">
        <v>3.12</v>
      </c>
      <c r="AF1540" s="48">
        <f t="shared" si="402"/>
        <v>2.75</v>
      </c>
      <c r="AG1540" s="49">
        <v>2.82</v>
      </c>
      <c r="AH1540" s="98">
        <v>1.8600000000000001E-18</v>
      </c>
      <c r="AI1540" s="98"/>
      <c r="AJ1540" s="483">
        <f t="shared" si="401"/>
        <v>-16.119053382094734</v>
      </c>
      <c r="AK1540" s="483"/>
      <c r="AL1540" s="483">
        <f t="shared" si="400"/>
        <v>-16.119053382094734</v>
      </c>
      <c r="AM1540" s="483">
        <v>-21.010520000000003</v>
      </c>
      <c r="AN1540" s="226">
        <v>-14.9</v>
      </c>
      <c r="AO1540" s="484">
        <v>13.05</v>
      </c>
      <c r="AP1540" s="484">
        <v>-2.58</v>
      </c>
      <c r="AQ1540" s="48" t="s">
        <v>6311</v>
      </c>
      <c r="AR1540" s="48" t="s">
        <v>6311</v>
      </c>
      <c r="AS1540" s="227"/>
      <c r="AT1540" s="50" t="s">
        <v>266</v>
      </c>
      <c r="AU1540" s="48">
        <v>6</v>
      </c>
      <c r="AV1540" s="48">
        <v>120</v>
      </c>
      <c r="AW1540" s="48">
        <v>114</v>
      </c>
      <c r="AX1540" s="48">
        <v>28</v>
      </c>
      <c r="AY1540" s="48" t="s">
        <v>8728</v>
      </c>
      <c r="AZ1540" s="48" t="s">
        <v>1563</v>
      </c>
      <c r="BA1540" s="48">
        <v>32</v>
      </c>
      <c r="BB1540" s="47" t="s">
        <v>2485</v>
      </c>
      <c r="BC1540" s="47" t="s">
        <v>8726</v>
      </c>
      <c r="BD1540" s="47" t="s">
        <v>8374</v>
      </c>
      <c r="BE1540" s="48" t="s">
        <v>2449</v>
      </c>
      <c r="BF1540" s="48" t="s">
        <v>272</v>
      </c>
      <c r="BG1540" s="48" t="s">
        <v>272</v>
      </c>
      <c r="BH1540" s="48" t="s">
        <v>2486</v>
      </c>
      <c r="BI1540" s="98">
        <v>6.3999999999999997E-6</v>
      </c>
      <c r="BJ1540" s="98">
        <v>6.4000000000000001E-2</v>
      </c>
      <c r="BK1540" s="48"/>
      <c r="BL1540" s="98">
        <f t="shared" si="405"/>
        <v>0.28613369290670693</v>
      </c>
      <c r="BM1540" s="47" t="s">
        <v>2487</v>
      </c>
      <c r="BN1540" s="48"/>
      <c r="BO1540" s="48"/>
      <c r="BP1540" s="48"/>
      <c r="BQ1540" s="48"/>
      <c r="BR1540" s="47" t="s">
        <v>2496</v>
      </c>
      <c r="BS1540" s="48"/>
      <c r="BT1540" s="48"/>
      <c r="BU1540" s="228">
        <v>6.2399999999999997E-2</v>
      </c>
      <c r="BV1540" s="48"/>
      <c r="BW1540" s="48"/>
      <c r="BX1540" s="48"/>
      <c r="BY1540" s="48"/>
      <c r="BZ1540" s="48"/>
      <c r="CA1540" s="48"/>
      <c r="CB1540" s="48"/>
      <c r="CC1540" s="48"/>
      <c r="CD1540" s="48"/>
      <c r="CE1540" s="48"/>
      <c r="CF1540" s="48"/>
      <c r="CG1540" s="48"/>
      <c r="CH1540" s="48"/>
      <c r="CI1540" s="98"/>
      <c r="CJ1540" s="98"/>
      <c r="CK1540" s="49">
        <f t="shared" si="392"/>
        <v>4.4708389516672957</v>
      </c>
      <c r="CL1540" s="229"/>
      <c r="CM1540" s="229"/>
      <c r="CN1540" s="229"/>
      <c r="CO1540" s="47" t="s">
        <v>2488</v>
      </c>
      <c r="CP1540" s="47" t="s">
        <v>2489</v>
      </c>
      <c r="CQ1540" s="224" t="s">
        <v>272</v>
      </c>
      <c r="CR1540" s="224"/>
      <c r="CS1540" s="230" t="s">
        <v>539</v>
      </c>
      <c r="CT1540" s="230"/>
      <c r="CU1540" s="230"/>
      <c r="CV1540" s="335">
        <f t="shared" si="398"/>
        <v>1.3608806093063754</v>
      </c>
      <c r="CW1540" s="230">
        <f t="shared" si="404"/>
        <v>1</v>
      </c>
      <c r="CX1540" s="336"/>
      <c r="CY1540" s="230" t="s">
        <v>5921</v>
      </c>
    </row>
    <row r="1541" spans="1:103" ht="11.25" customHeight="1" x14ac:dyDescent="0.2">
      <c r="A1541" s="72">
        <v>1539</v>
      </c>
      <c r="B1541" s="224">
        <v>1707</v>
      </c>
      <c r="C1541" s="46" t="s">
        <v>7543</v>
      </c>
      <c r="D1541" s="46"/>
      <c r="E1541" s="114"/>
      <c r="F1541" s="114" t="s">
        <v>4967</v>
      </c>
      <c r="G1541" s="225">
        <v>186392654</v>
      </c>
      <c r="H1541" s="47" t="s">
        <v>4968</v>
      </c>
      <c r="I1541" s="47" t="s">
        <v>7826</v>
      </c>
      <c r="J1541" s="47" t="s">
        <v>4969</v>
      </c>
      <c r="K1541" s="47" t="s">
        <v>1473</v>
      </c>
      <c r="L1541" s="47"/>
      <c r="M1541" s="47"/>
      <c r="N1541" s="47"/>
      <c r="O1541" s="47"/>
      <c r="P1541" s="53"/>
      <c r="Q1541" s="53"/>
      <c r="R1541" s="53"/>
      <c r="S1541" s="53"/>
      <c r="T1541" s="48">
        <v>457.91</v>
      </c>
      <c r="U1541" s="98"/>
      <c r="V1541" s="98">
        <v>1.0567578781856695</v>
      </c>
      <c r="W1541" s="98">
        <v>7.0794578438413705E-2</v>
      </c>
      <c r="X1541" s="98">
        <f t="shared" si="403"/>
        <v>7.0794578438413705E-2</v>
      </c>
      <c r="Y1541" s="233">
        <v>7</v>
      </c>
      <c r="Z1541" s="48">
        <v>0.51</v>
      </c>
      <c r="AA1541" s="48"/>
      <c r="AB1541" s="48">
        <v>1.23</v>
      </c>
      <c r="AC1541" s="48">
        <v>0.68059999999999998</v>
      </c>
      <c r="AD1541" s="48">
        <v>1.72</v>
      </c>
      <c r="AE1541" s="48">
        <v>2.71</v>
      </c>
      <c r="AF1541" s="48">
        <f t="shared" si="402"/>
        <v>1.72</v>
      </c>
      <c r="AG1541" s="49">
        <v>1.8</v>
      </c>
      <c r="AH1541" s="98">
        <v>1.5800000000000001E-20</v>
      </c>
      <c r="AI1541" s="98"/>
      <c r="AJ1541" s="483">
        <f t="shared" si="401"/>
        <v>-18.189909239358229</v>
      </c>
      <c r="AK1541" s="483"/>
      <c r="AL1541" s="483">
        <f t="shared" si="400"/>
        <v>-18.189909239358229</v>
      </c>
      <c r="AM1541" s="483">
        <v>-33.6068</v>
      </c>
      <c r="AN1541" s="226">
        <v>-24.8</v>
      </c>
      <c r="AO1541" s="484">
        <v>12.88</v>
      </c>
      <c r="AP1541" s="484">
        <v>-1.72</v>
      </c>
      <c r="AQ1541" s="226" t="s">
        <v>6311</v>
      </c>
      <c r="AR1541" s="226" t="s">
        <v>6311</v>
      </c>
      <c r="AS1541" s="224"/>
      <c r="AT1541" s="50" t="s">
        <v>266</v>
      </c>
      <c r="AU1541" s="48">
        <v>6</v>
      </c>
      <c r="AV1541" s="48">
        <v>120</v>
      </c>
      <c r="AW1541" s="48">
        <v>114</v>
      </c>
      <c r="AX1541" s="48">
        <v>28</v>
      </c>
      <c r="AY1541" s="48" t="s">
        <v>8728</v>
      </c>
      <c r="AZ1541" s="48" t="s">
        <v>1563</v>
      </c>
      <c r="BA1541" s="48">
        <v>32</v>
      </c>
      <c r="BB1541" s="47" t="s">
        <v>2485</v>
      </c>
      <c r="BC1541" s="47" t="s">
        <v>8726</v>
      </c>
      <c r="BD1541" s="47" t="s">
        <v>8374</v>
      </c>
      <c r="BE1541" s="48" t="s">
        <v>2449</v>
      </c>
      <c r="BF1541" s="48" t="s">
        <v>272</v>
      </c>
      <c r="BG1541" s="48" t="s">
        <v>272</v>
      </c>
      <c r="BH1541" s="48" t="s">
        <v>2486</v>
      </c>
      <c r="BI1541" s="98">
        <v>6.3999999999999997E-6</v>
      </c>
      <c r="BJ1541" s="98">
        <v>6.4000000000000001E-2</v>
      </c>
      <c r="BK1541" s="48"/>
      <c r="BL1541" s="98">
        <f t="shared" si="405"/>
        <v>17.896536891225075</v>
      </c>
      <c r="BM1541" s="47" t="s">
        <v>2487</v>
      </c>
      <c r="BN1541" s="48"/>
      <c r="BO1541" s="48"/>
      <c r="BP1541" s="48"/>
      <c r="BQ1541" s="48"/>
      <c r="BR1541" s="47" t="s">
        <v>2496</v>
      </c>
      <c r="BS1541" s="48"/>
      <c r="BT1541" s="48"/>
      <c r="BU1541" s="228"/>
      <c r="BV1541" s="48"/>
      <c r="BW1541" s="48"/>
      <c r="BX1541" s="48"/>
      <c r="BY1541" s="48"/>
      <c r="BZ1541" s="48"/>
      <c r="CA1541" s="48"/>
      <c r="CB1541" s="48"/>
      <c r="CC1541" s="48"/>
      <c r="CD1541" s="48"/>
      <c r="CE1541" s="48"/>
      <c r="CF1541" s="48"/>
      <c r="CG1541" s="48"/>
      <c r="CH1541" s="48"/>
      <c r="CI1541" s="98"/>
      <c r="CJ1541" s="98"/>
      <c r="CK1541" s="49">
        <f t="shared" si="392"/>
        <v>279.63338892539178</v>
      </c>
      <c r="CL1541" s="229"/>
      <c r="CM1541" s="229"/>
      <c r="CN1541" s="229"/>
      <c r="CO1541" s="47" t="s">
        <v>2488</v>
      </c>
      <c r="CP1541" s="47" t="s">
        <v>2489</v>
      </c>
      <c r="CQ1541" s="224" t="s">
        <v>272</v>
      </c>
      <c r="CR1541" s="224"/>
      <c r="CS1541" s="230" t="s">
        <v>539</v>
      </c>
      <c r="CT1541" s="230"/>
      <c r="CU1541" s="230"/>
      <c r="CV1541" s="335">
        <f t="shared" si="398"/>
        <v>1.1061652881002142</v>
      </c>
      <c r="CW1541" s="230">
        <f t="shared" si="404"/>
        <v>1</v>
      </c>
      <c r="CX1541" s="336"/>
      <c r="CY1541" s="230" t="s">
        <v>5921</v>
      </c>
    </row>
    <row r="1542" spans="1:103" ht="11.25" customHeight="1" x14ac:dyDescent="0.2">
      <c r="A1542" s="72">
        <v>1540</v>
      </c>
      <c r="B1542" s="224">
        <v>1669</v>
      </c>
      <c r="C1542" s="46" t="s">
        <v>1213</v>
      </c>
      <c r="D1542" s="46" t="s">
        <v>6760</v>
      </c>
      <c r="E1542" s="114"/>
      <c r="F1542" s="114" t="s">
        <v>1214</v>
      </c>
      <c r="G1542" s="225">
        <v>188489078</v>
      </c>
      <c r="H1542" s="47" t="s">
        <v>1215</v>
      </c>
      <c r="I1542" s="47" t="s">
        <v>7893</v>
      </c>
      <c r="J1542" s="47" t="s">
        <v>4885</v>
      </c>
      <c r="K1542" s="47" t="s">
        <v>1217</v>
      </c>
      <c r="L1542" s="47" t="s">
        <v>5987</v>
      </c>
      <c r="M1542" s="47" t="s">
        <v>2342</v>
      </c>
      <c r="N1542" s="47" t="s">
        <v>2342</v>
      </c>
      <c r="O1542" s="47"/>
      <c r="P1542" s="53"/>
      <c r="Q1542" s="53"/>
      <c r="R1542" s="53"/>
      <c r="S1542" s="53"/>
      <c r="T1542" s="48">
        <v>408.73</v>
      </c>
      <c r="U1542" s="98"/>
      <c r="V1542" s="98">
        <v>1.8973405426565212E-3</v>
      </c>
      <c r="W1542" s="98">
        <v>2.951209226666379E-3</v>
      </c>
      <c r="X1542" s="98">
        <f t="shared" si="403"/>
        <v>2.951209226666379E-3</v>
      </c>
      <c r="Y1542" s="233">
        <v>7</v>
      </c>
      <c r="Z1542" s="48">
        <v>4.1500000000000004</v>
      </c>
      <c r="AA1542" s="48"/>
      <c r="AB1542" s="48">
        <v>3.46</v>
      </c>
      <c r="AC1542" s="48">
        <v>0.60660000000000003</v>
      </c>
      <c r="AD1542" s="48">
        <v>3.48</v>
      </c>
      <c r="AE1542" s="48">
        <v>3.53</v>
      </c>
      <c r="AF1542" s="48">
        <f t="shared" si="402"/>
        <v>3.48</v>
      </c>
      <c r="AG1542" s="49">
        <v>3.42</v>
      </c>
      <c r="AH1542" s="98">
        <v>9.3600000000000008E-10</v>
      </c>
      <c r="AI1542" s="98"/>
      <c r="AJ1542" s="483">
        <f t="shared" si="401"/>
        <v>-7.4172904775745465</v>
      </c>
      <c r="AK1542" s="483"/>
      <c r="AL1542" s="483">
        <f t="shared" si="400"/>
        <v>-7.4172904775745465</v>
      </c>
      <c r="AM1542" s="483">
        <v>-12.87222</v>
      </c>
      <c r="AN1542" s="226">
        <v>-20.5</v>
      </c>
      <c r="AO1542" s="484"/>
      <c r="AP1542" s="484">
        <v>-3.03</v>
      </c>
      <c r="AQ1542" s="226" t="s">
        <v>6311</v>
      </c>
      <c r="AR1542" s="226" t="s">
        <v>6314</v>
      </c>
      <c r="AS1542" s="224"/>
      <c r="AT1542" s="50" t="s">
        <v>266</v>
      </c>
      <c r="AU1542" s="48">
        <v>6</v>
      </c>
      <c r="AV1542" s="48">
        <v>120</v>
      </c>
      <c r="AW1542" s="48">
        <v>114</v>
      </c>
      <c r="AX1542" s="48">
        <v>28</v>
      </c>
      <c r="AY1542" s="48" t="s">
        <v>8728</v>
      </c>
      <c r="AZ1542" s="48" t="s">
        <v>1563</v>
      </c>
      <c r="BA1542" s="48">
        <v>32</v>
      </c>
      <c r="BB1542" s="47" t="s">
        <v>2485</v>
      </c>
      <c r="BC1542" s="47" t="s">
        <v>8726</v>
      </c>
      <c r="BD1542" s="47" t="s">
        <v>8374</v>
      </c>
      <c r="BE1542" s="48" t="s">
        <v>2449</v>
      </c>
      <c r="BF1542" s="48" t="s">
        <v>272</v>
      </c>
      <c r="BG1542" s="48" t="s">
        <v>272</v>
      </c>
      <c r="BH1542" s="48" t="s">
        <v>2486</v>
      </c>
      <c r="BI1542" s="98">
        <v>6.3999999999999997E-6</v>
      </c>
      <c r="BJ1542" s="98">
        <v>6.4000000000000001E-2</v>
      </c>
      <c r="BK1542" s="48"/>
      <c r="BL1542" s="98">
        <f t="shared" si="405"/>
        <v>9.6313019811094854E-3</v>
      </c>
      <c r="BM1542" s="47" t="s">
        <v>2487</v>
      </c>
      <c r="BN1542" s="48"/>
      <c r="BO1542" s="48"/>
      <c r="BP1542" s="48"/>
      <c r="BQ1542" s="48"/>
      <c r="BR1542" s="47" t="s">
        <v>2496</v>
      </c>
      <c r="BS1542" s="48"/>
      <c r="BT1542" s="48"/>
      <c r="BU1542" s="228"/>
      <c r="BV1542" s="48"/>
      <c r="BW1542" s="48"/>
      <c r="BX1542" s="48"/>
      <c r="BY1542" s="48"/>
      <c r="BZ1542" s="48"/>
      <c r="CA1542" s="48"/>
      <c r="CB1542" s="48"/>
      <c r="CC1542" s="48"/>
      <c r="CD1542" s="48"/>
      <c r="CE1542" s="48"/>
      <c r="CF1542" s="48"/>
      <c r="CG1542" s="48"/>
      <c r="CH1542" s="48"/>
      <c r="CI1542" s="98"/>
      <c r="CJ1542" s="98"/>
      <c r="CK1542" s="49">
        <f t="shared" ref="CK1542:CK1548" si="406">BL1542/BJ1542</f>
        <v>0.15048909345483572</v>
      </c>
      <c r="CL1542" s="229"/>
      <c r="CM1542" s="229">
        <v>-2.2134965065935064</v>
      </c>
      <c r="CN1542" s="229">
        <f>BJ1542/(10^CM1542)</f>
        <v>10.463488</v>
      </c>
      <c r="CO1542" s="47" t="s">
        <v>2488</v>
      </c>
      <c r="CP1542" s="47" t="s">
        <v>2489</v>
      </c>
      <c r="CQ1542" s="224">
        <v>-2.1283656488960281</v>
      </c>
      <c r="CR1542" s="224">
        <f>10^(CJ1542-CQ1542)</f>
        <v>134.38959616263753</v>
      </c>
      <c r="CS1542" s="230" t="s">
        <v>539</v>
      </c>
      <c r="CT1542" s="230"/>
      <c r="CU1542" s="230"/>
      <c r="CV1542" s="335">
        <f t="shared" si="398"/>
        <v>4.6112644166662171E-2</v>
      </c>
      <c r="CW1542" s="230">
        <f t="shared" si="404"/>
        <v>0</v>
      </c>
      <c r="CX1542" s="336"/>
      <c r="CY1542" s="230" t="s">
        <v>5921</v>
      </c>
    </row>
    <row r="1543" spans="1:103" ht="11.25" customHeight="1" x14ac:dyDescent="0.2">
      <c r="A1543" s="72">
        <v>1541</v>
      </c>
      <c r="B1543" s="224">
        <v>1302</v>
      </c>
      <c r="C1543" s="46" t="s">
        <v>7544</v>
      </c>
      <c r="D1543" s="46"/>
      <c r="E1543" s="114"/>
      <c r="F1543" s="114" t="s">
        <v>3571</v>
      </c>
      <c r="G1543" s="225">
        <v>189003927</v>
      </c>
      <c r="H1543" s="231" t="s">
        <v>6334</v>
      </c>
      <c r="I1543" s="231" t="s">
        <v>7801</v>
      </c>
      <c r="J1543" s="231" t="s">
        <v>6333</v>
      </c>
      <c r="K1543" s="47"/>
      <c r="L1543" s="47"/>
      <c r="M1543" s="47"/>
      <c r="N1543" s="47"/>
      <c r="O1543" s="47"/>
      <c r="P1543" s="53"/>
      <c r="Q1543" s="53"/>
      <c r="R1543" s="53"/>
      <c r="S1543" s="53"/>
      <c r="T1543" s="48">
        <v>465.55059999999997</v>
      </c>
      <c r="U1543" s="98"/>
      <c r="V1543" s="98">
        <v>1.4606379551068627E-2</v>
      </c>
      <c r="W1543" s="98">
        <v>8.9125093813374433E-3</v>
      </c>
      <c r="X1543" s="98">
        <f t="shared" si="403"/>
        <v>8.9125093813374433E-3</v>
      </c>
      <c r="Y1543" s="233">
        <v>8.57</v>
      </c>
      <c r="Z1543" s="48">
        <v>2.63</v>
      </c>
      <c r="AA1543" s="48"/>
      <c r="AB1543" s="48">
        <v>1.93</v>
      </c>
      <c r="AC1543" s="48">
        <v>0.71609999999999996</v>
      </c>
      <c r="AD1543" s="48">
        <v>2.31</v>
      </c>
      <c r="AE1543" s="48">
        <v>3.39</v>
      </c>
      <c r="AF1543" s="48">
        <f t="shared" si="402"/>
        <v>2.31</v>
      </c>
      <c r="AG1543" s="231"/>
      <c r="AH1543" s="98">
        <v>3.7000000000000002E-21</v>
      </c>
      <c r="AI1543" s="98"/>
      <c r="AJ1543" s="483">
        <f t="shared" si="401"/>
        <v>-18.820364602245657</v>
      </c>
      <c r="AK1543" s="483"/>
      <c r="AL1543" s="483">
        <f t="shared" si="400"/>
        <v>-18.820364602245657</v>
      </c>
      <c r="AM1543" s="483">
        <v>-29.106729999999999</v>
      </c>
      <c r="AN1543" s="226"/>
      <c r="AO1543" s="484">
        <v>15.57</v>
      </c>
      <c r="AP1543" s="484">
        <v>8.5500000000000007</v>
      </c>
      <c r="AQ1543" s="48" t="s">
        <v>6317</v>
      </c>
      <c r="AR1543" s="48" t="s">
        <v>6317</v>
      </c>
      <c r="AS1543" s="227"/>
      <c r="AT1543" s="50" t="s">
        <v>266</v>
      </c>
      <c r="AU1543" s="48">
        <v>6</v>
      </c>
      <c r="AV1543" s="48">
        <v>120</v>
      </c>
      <c r="AW1543" s="48">
        <v>114</v>
      </c>
      <c r="AX1543" s="48">
        <v>28</v>
      </c>
      <c r="AY1543" s="48" t="s">
        <v>8728</v>
      </c>
      <c r="AZ1543" s="48" t="s">
        <v>1563</v>
      </c>
      <c r="BA1543" s="48">
        <v>32</v>
      </c>
      <c r="BB1543" s="47" t="s">
        <v>2485</v>
      </c>
      <c r="BC1543" s="47" t="s">
        <v>8726</v>
      </c>
      <c r="BD1543" s="47" t="s">
        <v>8374</v>
      </c>
      <c r="BE1543" s="48" t="s">
        <v>2449</v>
      </c>
      <c r="BF1543" s="48" t="s">
        <v>272</v>
      </c>
      <c r="BG1543" s="48" t="s">
        <v>272</v>
      </c>
      <c r="BH1543" s="48" t="s">
        <v>2486</v>
      </c>
      <c r="BI1543" s="98">
        <v>6.3999999999999997E-6</v>
      </c>
      <c r="BJ1543" s="98">
        <v>6.4000000000000001E-2</v>
      </c>
      <c r="BK1543" s="48"/>
      <c r="BL1543" s="98">
        <f t="shared" si="405"/>
        <v>0.22325284398033624</v>
      </c>
      <c r="BM1543" s="47" t="s">
        <v>2487</v>
      </c>
      <c r="BN1543" s="48"/>
      <c r="BO1543" s="48"/>
      <c r="BP1543" s="48"/>
      <c r="BQ1543" s="48"/>
      <c r="BR1543" s="47" t="s">
        <v>2496</v>
      </c>
      <c r="BS1543" s="48"/>
      <c r="BT1543" s="48"/>
      <c r="BU1543" s="228">
        <v>6.4000000000000005E-4</v>
      </c>
      <c r="BV1543" s="48"/>
      <c r="BW1543" s="48"/>
      <c r="BX1543" s="48"/>
      <c r="BY1543" s="48"/>
      <c r="BZ1543" s="48"/>
      <c r="CA1543" s="48"/>
      <c r="CB1543" s="48"/>
      <c r="CC1543" s="48"/>
      <c r="CD1543" s="48"/>
      <c r="CE1543" s="48"/>
      <c r="CF1543" s="48"/>
      <c r="CG1543" s="48"/>
      <c r="CH1543" s="48"/>
      <c r="CI1543" s="98"/>
      <c r="CJ1543" s="98"/>
      <c r="CK1543" s="49">
        <f t="shared" si="406"/>
        <v>3.4883256871927535</v>
      </c>
      <c r="CL1543" s="229"/>
      <c r="CM1543" s="229"/>
      <c r="CN1543" s="229"/>
      <c r="CO1543" s="47" t="s">
        <v>2488</v>
      </c>
      <c r="CP1543" s="47" t="s">
        <v>2489</v>
      </c>
      <c r="CQ1543" s="224" t="s">
        <v>272</v>
      </c>
      <c r="CR1543" s="224"/>
      <c r="CS1543" s="230" t="s">
        <v>539</v>
      </c>
      <c r="CT1543" s="230"/>
      <c r="CU1543" s="230"/>
      <c r="CV1543" s="335">
        <f t="shared" si="398"/>
        <v>0.13925795908339755</v>
      </c>
      <c r="CW1543" s="230">
        <f t="shared" si="404"/>
        <v>0</v>
      </c>
      <c r="CX1543" s="336"/>
      <c r="CY1543" s="230" t="s">
        <v>5921</v>
      </c>
    </row>
    <row r="1544" spans="1:103" ht="11.25" customHeight="1" x14ac:dyDescent="0.2">
      <c r="A1544" s="72">
        <v>1542</v>
      </c>
      <c r="B1544" s="224">
        <v>1760</v>
      </c>
      <c r="C1544" s="46" t="s">
        <v>7545</v>
      </c>
      <c r="D1544" s="46"/>
      <c r="E1544" s="114"/>
      <c r="F1544" s="114" t="s">
        <v>5071</v>
      </c>
      <c r="G1544" s="225">
        <v>194098254</v>
      </c>
      <c r="H1544" s="47" t="s">
        <v>5072</v>
      </c>
      <c r="I1544" s="47" t="s">
        <v>7773</v>
      </c>
      <c r="J1544" s="47" t="s">
        <v>5073</v>
      </c>
      <c r="K1544" s="47" t="s">
        <v>471</v>
      </c>
      <c r="L1544" s="47"/>
      <c r="M1544" s="47"/>
      <c r="N1544" s="47"/>
      <c r="O1544" s="47"/>
      <c r="P1544" s="53"/>
      <c r="Q1544" s="53"/>
      <c r="R1544" s="53"/>
      <c r="S1544" s="53"/>
      <c r="T1544" s="48">
        <v>333.37</v>
      </c>
      <c r="U1544" s="98"/>
      <c r="V1544" s="98">
        <v>0.70612232654408014</v>
      </c>
      <c r="W1544" s="98">
        <v>0.19952623149688758</v>
      </c>
      <c r="X1544" s="98">
        <f t="shared" si="403"/>
        <v>0.19952623149688758</v>
      </c>
      <c r="Y1544" s="233">
        <v>3.79</v>
      </c>
      <c r="Z1544" s="48">
        <v>1.75</v>
      </c>
      <c r="AA1544" s="48">
        <v>1.78</v>
      </c>
      <c r="AB1544" s="48">
        <v>1.83</v>
      </c>
      <c r="AC1544" s="48">
        <v>0.8508</v>
      </c>
      <c r="AD1544" s="48">
        <v>1.92</v>
      </c>
      <c r="AE1544" s="48">
        <v>2.88</v>
      </c>
      <c r="AF1544" s="48">
        <f t="shared" si="402"/>
        <v>1.78</v>
      </c>
      <c r="AG1544" s="49">
        <v>1.92</v>
      </c>
      <c r="AH1544" s="98">
        <v>4.5400000000000002E-17</v>
      </c>
      <c r="AI1544" s="98"/>
      <c r="AJ1544" s="483">
        <f t="shared" si="401"/>
        <v>-14.731510473455549</v>
      </c>
      <c r="AK1544" s="483"/>
      <c r="AL1544" s="483">
        <f t="shared" si="400"/>
        <v>-14.731510473455549</v>
      </c>
      <c r="AM1544" s="483">
        <v>-23.234189999999998</v>
      </c>
      <c r="AN1544" s="226"/>
      <c r="AO1544" s="484">
        <v>3.09</v>
      </c>
      <c r="AP1544" s="484">
        <v>0.43</v>
      </c>
      <c r="AQ1544" s="226" t="s">
        <v>6311</v>
      </c>
      <c r="AR1544" s="226" t="s">
        <v>6311</v>
      </c>
      <c r="AS1544" s="224"/>
      <c r="AT1544" s="50" t="s">
        <v>266</v>
      </c>
      <c r="AU1544" s="48">
        <v>6</v>
      </c>
      <c r="AV1544" s="48">
        <v>120</v>
      </c>
      <c r="AW1544" s="48">
        <v>114</v>
      </c>
      <c r="AX1544" s="48">
        <v>28</v>
      </c>
      <c r="AY1544" s="48" t="s">
        <v>8728</v>
      </c>
      <c r="AZ1544" s="48" t="s">
        <v>1563</v>
      </c>
      <c r="BA1544" s="48">
        <v>32</v>
      </c>
      <c r="BB1544" s="47" t="s">
        <v>2485</v>
      </c>
      <c r="BC1544" s="47" t="s">
        <v>8726</v>
      </c>
      <c r="BD1544" s="47" t="s">
        <v>8374</v>
      </c>
      <c r="BE1544" s="48" t="s">
        <v>2449</v>
      </c>
      <c r="BF1544" s="48" t="s">
        <v>272</v>
      </c>
      <c r="BG1544" s="48" t="s">
        <v>272</v>
      </c>
      <c r="BH1544" s="48" t="s">
        <v>2486</v>
      </c>
      <c r="BI1544" s="98">
        <v>6.3999999999999997E-6</v>
      </c>
      <c r="BJ1544" s="98">
        <v>6.4000000000000001E-2</v>
      </c>
      <c r="BK1544" s="48"/>
      <c r="BL1544" s="98">
        <f t="shared" si="405"/>
        <v>1.3776059186940484</v>
      </c>
      <c r="BM1544" s="47" t="s">
        <v>2487</v>
      </c>
      <c r="BN1544" s="48"/>
      <c r="BO1544" s="48"/>
      <c r="BP1544" s="48"/>
      <c r="BQ1544" s="48"/>
      <c r="BR1544" s="47" t="s">
        <v>2496</v>
      </c>
      <c r="BS1544" s="48"/>
      <c r="BT1544" s="48"/>
      <c r="BU1544" s="228"/>
      <c r="BV1544" s="48"/>
      <c r="BW1544" s="48"/>
      <c r="BX1544" s="48"/>
      <c r="BY1544" s="48"/>
      <c r="BZ1544" s="48"/>
      <c r="CA1544" s="48"/>
      <c r="CB1544" s="48"/>
      <c r="CC1544" s="48"/>
      <c r="CD1544" s="48"/>
      <c r="CE1544" s="48"/>
      <c r="CF1544" s="48"/>
      <c r="CG1544" s="48"/>
      <c r="CH1544" s="48"/>
      <c r="CI1544" s="98"/>
      <c r="CJ1544" s="98"/>
      <c r="CK1544" s="49">
        <f t="shared" si="406"/>
        <v>21.525092479594505</v>
      </c>
      <c r="CL1544" s="229"/>
      <c r="CM1544" s="229"/>
      <c r="CN1544" s="229"/>
      <c r="CO1544" s="47" t="s">
        <v>2488</v>
      </c>
      <c r="CP1544" s="47" t="s">
        <v>2489</v>
      </c>
      <c r="CQ1544" s="224" t="s">
        <v>272</v>
      </c>
      <c r="CR1544" s="224"/>
      <c r="CS1544" s="230" t="s">
        <v>539</v>
      </c>
      <c r="CT1544" s="230"/>
      <c r="CU1544" s="230"/>
      <c r="CV1544" s="335">
        <f t="shared" si="398"/>
        <v>3.1175973671388686</v>
      </c>
      <c r="CW1544" s="230">
        <f t="shared" si="404"/>
        <v>1</v>
      </c>
      <c r="CX1544" s="336"/>
      <c r="CY1544" s="230" t="s">
        <v>5921</v>
      </c>
    </row>
    <row r="1545" spans="1:103" ht="11.25" customHeight="1" x14ac:dyDescent="0.2">
      <c r="A1545" s="72">
        <v>1543</v>
      </c>
      <c r="B1545" s="224">
        <v>1482</v>
      </c>
      <c r="C1545" s="46" t="s">
        <v>7546</v>
      </c>
      <c r="D1545" s="46"/>
      <c r="E1545" s="114"/>
      <c r="F1545" s="114" t="s">
        <v>4555</v>
      </c>
      <c r="G1545" s="225">
        <v>197077557</v>
      </c>
      <c r="H1545" s="47" t="s">
        <v>4556</v>
      </c>
      <c r="I1545" s="47" t="s">
        <v>7739</v>
      </c>
      <c r="J1545" s="47" t="s">
        <v>4557</v>
      </c>
      <c r="K1545" s="47" t="s">
        <v>300</v>
      </c>
      <c r="L1545" s="47"/>
      <c r="M1545" s="47"/>
      <c r="N1545" s="47"/>
      <c r="O1545" s="47"/>
      <c r="P1545" s="53"/>
      <c r="Q1545" s="53"/>
      <c r="R1545" s="53"/>
      <c r="S1545" s="53"/>
      <c r="T1545" s="48">
        <v>300.16000000000003</v>
      </c>
      <c r="U1545" s="98"/>
      <c r="V1545" s="98">
        <v>9.924706823027718E-2</v>
      </c>
      <c r="W1545" s="98">
        <v>1.9498445997580431E-2</v>
      </c>
      <c r="X1545" s="98">
        <f t="shared" si="403"/>
        <v>1.9498445997580431E-2</v>
      </c>
      <c r="Y1545" s="233">
        <v>9</v>
      </c>
      <c r="Z1545" s="48">
        <v>4.24</v>
      </c>
      <c r="AA1545" s="48"/>
      <c r="AB1545" s="48">
        <v>5</v>
      </c>
      <c r="AC1545" s="48">
        <v>0.8296</v>
      </c>
      <c r="AD1545" s="48">
        <v>5</v>
      </c>
      <c r="AE1545" s="48">
        <v>4.99</v>
      </c>
      <c r="AF1545" s="48">
        <f t="shared" si="402"/>
        <v>5</v>
      </c>
      <c r="AG1545" s="49">
        <v>4.25</v>
      </c>
      <c r="AH1545" s="98">
        <v>1.88E-8</v>
      </c>
      <c r="AI1545" s="98"/>
      <c r="AJ1545" s="483">
        <f t="shared" si="401"/>
        <v>-6.1144084770489719</v>
      </c>
      <c r="AK1545" s="483"/>
      <c r="AL1545" s="483">
        <f t="shared" si="400"/>
        <v>-6.1144084770489719</v>
      </c>
      <c r="AM1545" s="483">
        <v>-10.414</v>
      </c>
      <c r="AN1545" s="226">
        <v>-4.12</v>
      </c>
      <c r="AO1545" s="484"/>
      <c r="AP1545" s="484">
        <v>9.0399999999999991</v>
      </c>
      <c r="AQ1545" s="48" t="s">
        <v>6311</v>
      </c>
      <c r="AR1545" s="48" t="s">
        <v>6311</v>
      </c>
      <c r="AS1545" s="227"/>
      <c r="AT1545" s="50" t="s">
        <v>266</v>
      </c>
      <c r="AU1545" s="48">
        <v>6</v>
      </c>
      <c r="AV1545" s="48">
        <v>120</v>
      </c>
      <c r="AW1545" s="48">
        <v>114</v>
      </c>
      <c r="AX1545" s="48">
        <v>28</v>
      </c>
      <c r="AY1545" s="48" t="s">
        <v>8728</v>
      </c>
      <c r="AZ1545" s="48" t="s">
        <v>1563</v>
      </c>
      <c r="BA1545" s="48">
        <v>32</v>
      </c>
      <c r="BB1545" s="47" t="s">
        <v>2485</v>
      </c>
      <c r="BC1545" s="47" t="s">
        <v>8726</v>
      </c>
      <c r="BD1545" s="47" t="s">
        <v>8374</v>
      </c>
      <c r="BE1545" s="48" t="s">
        <v>2449</v>
      </c>
      <c r="BF1545" s="48" t="s">
        <v>272</v>
      </c>
      <c r="BG1545" s="48" t="s">
        <v>272</v>
      </c>
      <c r="BH1545" s="48" t="s">
        <v>2486</v>
      </c>
      <c r="BI1545" s="98">
        <v>6.3999999999999997E-6</v>
      </c>
      <c r="BJ1545" s="98">
        <v>6.4000000000000001E-2</v>
      </c>
      <c r="BK1545" s="48"/>
      <c r="BL1545" s="98">
        <f t="shared" si="405"/>
        <v>7.9956909612284976E-3</v>
      </c>
      <c r="BM1545" s="47" t="s">
        <v>2487</v>
      </c>
      <c r="BN1545" s="48"/>
      <c r="BO1545" s="48"/>
      <c r="BP1545" s="48"/>
      <c r="BQ1545" s="48"/>
      <c r="BR1545" s="47" t="s">
        <v>2496</v>
      </c>
      <c r="BS1545" s="48"/>
      <c r="BT1545" s="48"/>
      <c r="BU1545" s="228"/>
      <c r="BV1545" s="48"/>
      <c r="BW1545" s="48"/>
      <c r="BX1545" s="48"/>
      <c r="BY1545" s="48"/>
      <c r="BZ1545" s="48"/>
      <c r="CA1545" s="48"/>
      <c r="CB1545" s="48"/>
      <c r="CC1545" s="48"/>
      <c r="CD1545" s="48"/>
      <c r="CE1545" s="48"/>
      <c r="CF1545" s="48"/>
      <c r="CG1545" s="48"/>
      <c r="CH1545" s="48"/>
      <c r="CI1545" s="98"/>
      <c r="CJ1545" s="98"/>
      <c r="CK1545" s="49">
        <f t="shared" si="406"/>
        <v>0.12493267126919527</v>
      </c>
      <c r="CL1545" s="229"/>
      <c r="CM1545" s="229"/>
      <c r="CN1545" s="229"/>
      <c r="CO1545" s="47" t="s">
        <v>2488</v>
      </c>
      <c r="CP1545" s="47" t="s">
        <v>2489</v>
      </c>
      <c r="CQ1545" s="224" t="s">
        <v>272</v>
      </c>
      <c r="CR1545" s="224"/>
      <c r="CS1545" s="230" t="s">
        <v>539</v>
      </c>
      <c r="CT1545" s="230"/>
      <c r="CU1545" s="230"/>
      <c r="CV1545" s="335">
        <f t="shared" si="398"/>
        <v>0.30466321871219421</v>
      </c>
      <c r="CW1545" s="230">
        <f t="shared" si="404"/>
        <v>0</v>
      </c>
      <c r="CX1545" s="336"/>
      <c r="CY1545" s="230" t="s">
        <v>5921</v>
      </c>
    </row>
    <row r="1546" spans="1:103" ht="11.25" customHeight="1" x14ac:dyDescent="0.2">
      <c r="A1546" s="72">
        <v>1544</v>
      </c>
      <c r="B1546" s="224">
        <v>694</v>
      </c>
      <c r="C1546" s="46" t="s">
        <v>7547</v>
      </c>
      <c r="D1546" s="46"/>
      <c r="E1546" s="114"/>
      <c r="F1546" s="114" t="s">
        <v>3612</v>
      </c>
      <c r="G1546" s="225">
        <v>199119589</v>
      </c>
      <c r="H1546" s="236" t="s">
        <v>3613</v>
      </c>
      <c r="I1546" s="236" t="s">
        <v>8183</v>
      </c>
      <c r="J1546" s="47" t="s">
        <v>4058</v>
      </c>
      <c r="K1546" s="47"/>
      <c r="L1546" s="47"/>
      <c r="M1546" s="47"/>
      <c r="N1546" s="47"/>
      <c r="O1546" s="47"/>
      <c r="P1546" s="53" t="s">
        <v>6178</v>
      </c>
      <c r="Q1546" s="53" t="s">
        <v>6173</v>
      </c>
      <c r="R1546" s="53" t="s">
        <v>6177</v>
      </c>
      <c r="S1546" s="53" t="s">
        <v>6176</v>
      </c>
      <c r="T1546" s="48">
        <v>437.35</v>
      </c>
      <c r="U1546" s="98"/>
      <c r="V1546" s="98">
        <v>0.11830341831485081</v>
      </c>
      <c r="W1546" s="98">
        <v>0.10964781961431837</v>
      </c>
      <c r="X1546" s="98">
        <f t="shared" si="403"/>
        <v>0.10964781961431837</v>
      </c>
      <c r="Y1546" s="233">
        <v>4.03</v>
      </c>
      <c r="Z1546" s="48">
        <v>0.11</v>
      </c>
      <c r="AA1546" s="48"/>
      <c r="AB1546" s="48">
        <v>2.0299999999999998</v>
      </c>
      <c r="AC1546" s="48">
        <v>0.61890000000000001</v>
      </c>
      <c r="AD1546" s="48">
        <v>2.31</v>
      </c>
      <c r="AE1546" s="48">
        <v>2.82</v>
      </c>
      <c r="AF1546" s="48">
        <f t="shared" si="402"/>
        <v>2.31</v>
      </c>
      <c r="AG1546" s="49">
        <v>2.31</v>
      </c>
      <c r="AH1546" s="98">
        <v>3.8999999999999999E-12</v>
      </c>
      <c r="AI1546" s="98"/>
      <c r="AJ1546" s="483">
        <f t="shared" si="401"/>
        <v>-9.7975017192861529</v>
      </c>
      <c r="AK1546" s="483"/>
      <c r="AL1546" s="483">
        <f t="shared" si="400"/>
        <v>-9.7975017192861529</v>
      </c>
      <c r="AM1546" s="483">
        <v>-24.908469999999998</v>
      </c>
      <c r="AN1546" s="226"/>
      <c r="AO1546" s="484">
        <v>3.72</v>
      </c>
      <c r="AP1546" s="484">
        <v>-1.0900000000000001</v>
      </c>
      <c r="AQ1546" s="226" t="s">
        <v>6311</v>
      </c>
      <c r="AR1546" s="226" t="s">
        <v>6311</v>
      </c>
      <c r="AS1546" s="224" t="s">
        <v>63</v>
      </c>
      <c r="AT1546" s="50" t="s">
        <v>266</v>
      </c>
      <c r="AU1546" s="48">
        <v>8</v>
      </c>
      <c r="AV1546" s="48">
        <v>144</v>
      </c>
      <c r="AW1546" s="48">
        <v>120</v>
      </c>
      <c r="AX1546" s="48">
        <v>26</v>
      </c>
      <c r="AY1546" s="48" t="s">
        <v>267</v>
      </c>
      <c r="AZ1546" s="48" t="s">
        <v>2253</v>
      </c>
      <c r="BA1546" s="48">
        <v>2</v>
      </c>
      <c r="BB1546" s="47" t="s">
        <v>2254</v>
      </c>
      <c r="BC1546" s="47" t="s">
        <v>270</v>
      </c>
      <c r="BD1546" s="47" t="s">
        <v>8374</v>
      </c>
      <c r="BE1546" s="48" t="s">
        <v>1712</v>
      </c>
      <c r="BF1546" s="48" t="s">
        <v>272</v>
      </c>
      <c r="BG1546" s="48" t="s">
        <v>272</v>
      </c>
      <c r="BH1546" s="48" t="s">
        <v>2255</v>
      </c>
      <c r="BI1546" s="98">
        <v>9.9999999999999995E-7</v>
      </c>
      <c r="BJ1546" s="98">
        <v>0.08</v>
      </c>
      <c r="BK1546" s="48"/>
      <c r="BL1546" s="98">
        <f t="shared" si="405"/>
        <v>40.92691410353391</v>
      </c>
      <c r="BM1546" s="48" t="s">
        <v>891</v>
      </c>
      <c r="BN1546" s="233"/>
      <c r="BO1546" s="233"/>
      <c r="BP1546" s="233"/>
      <c r="BQ1546" s="233"/>
      <c r="BR1546" s="233"/>
      <c r="BS1546" s="48"/>
      <c r="BT1546" s="233"/>
      <c r="BU1546" s="228"/>
      <c r="BV1546" s="233"/>
      <c r="BW1546" s="233"/>
      <c r="BX1546" s="233"/>
      <c r="BY1546" s="233"/>
      <c r="BZ1546" s="233"/>
      <c r="CA1546" s="233"/>
      <c r="CB1546" s="233"/>
      <c r="CC1546" s="48"/>
      <c r="CD1546" s="48"/>
      <c r="CE1546" s="48"/>
      <c r="CF1546" s="48"/>
      <c r="CG1546" s="233"/>
      <c r="CH1546" s="48"/>
      <c r="CI1546" s="98"/>
      <c r="CJ1546" s="98"/>
      <c r="CK1546" s="49">
        <f t="shared" si="406"/>
        <v>511.58642629417386</v>
      </c>
      <c r="CL1546" s="229"/>
      <c r="CM1546" s="229"/>
      <c r="CN1546" s="229"/>
      <c r="CO1546" s="47" t="s">
        <v>892</v>
      </c>
      <c r="CP1546" s="47" t="s">
        <v>893</v>
      </c>
      <c r="CQ1546" s="224" t="s">
        <v>272</v>
      </c>
      <c r="CR1546" s="224"/>
      <c r="CS1546" s="230" t="s">
        <v>539</v>
      </c>
      <c r="CT1546" s="230"/>
      <c r="CU1546" s="230"/>
      <c r="CV1546" s="335">
        <f t="shared" si="398"/>
        <v>1.3705977451789795</v>
      </c>
      <c r="CW1546" s="230">
        <f t="shared" si="404"/>
        <v>1</v>
      </c>
      <c r="CX1546" s="336" t="s">
        <v>539</v>
      </c>
      <c r="CY1546" s="230" t="s">
        <v>6351</v>
      </c>
    </row>
    <row r="1547" spans="1:103" ht="11.25" customHeight="1" x14ac:dyDescent="0.2">
      <c r="A1547" s="72">
        <v>1545</v>
      </c>
      <c r="B1547" s="224">
        <v>1326</v>
      </c>
      <c r="C1547" s="46" t="s">
        <v>7547</v>
      </c>
      <c r="D1547" s="46"/>
      <c r="E1547" s="114"/>
      <c r="F1547" s="114" t="s">
        <v>3612</v>
      </c>
      <c r="G1547" s="225">
        <v>199119589</v>
      </c>
      <c r="H1547" s="236" t="s">
        <v>3613</v>
      </c>
      <c r="I1547" s="236" t="s">
        <v>8183</v>
      </c>
      <c r="J1547" s="236" t="s">
        <v>3614</v>
      </c>
      <c r="K1547" s="236" t="s">
        <v>3615</v>
      </c>
      <c r="L1547" s="47"/>
      <c r="M1547" s="47"/>
      <c r="N1547" s="47"/>
      <c r="O1547" s="52"/>
      <c r="P1547" s="53"/>
      <c r="Q1547" s="53"/>
      <c r="R1547" s="53"/>
      <c r="S1547" s="53"/>
      <c r="T1547" s="240">
        <v>459.34</v>
      </c>
      <c r="U1547" s="409"/>
      <c r="V1547" s="98">
        <v>0.11830341831485081</v>
      </c>
      <c r="W1547" s="98">
        <v>0.10964781961431837</v>
      </c>
      <c r="X1547" s="98">
        <f t="shared" si="403"/>
        <v>0.10964781961431837</v>
      </c>
      <c r="Y1547" s="233">
        <v>4.03</v>
      </c>
      <c r="Z1547" s="48">
        <v>0.11</v>
      </c>
      <c r="AA1547" s="48"/>
      <c r="AB1547" s="48">
        <v>2.0299999999999998</v>
      </c>
      <c r="AC1547" s="48">
        <v>0.61890000000000001</v>
      </c>
      <c r="AD1547" s="48">
        <v>2.31</v>
      </c>
      <c r="AE1547" s="48">
        <v>2.82</v>
      </c>
      <c r="AF1547" s="48">
        <f t="shared" si="402"/>
        <v>2.31</v>
      </c>
      <c r="AG1547" s="48">
        <v>2.31</v>
      </c>
      <c r="AH1547" s="98">
        <v>3.8999999999999999E-12</v>
      </c>
      <c r="AI1547" s="98"/>
      <c r="AJ1547" s="483">
        <f t="shared" si="401"/>
        <v>-9.7975017192861529</v>
      </c>
      <c r="AK1547" s="483"/>
      <c r="AL1547" s="483">
        <f t="shared" si="400"/>
        <v>-9.7975017192861529</v>
      </c>
      <c r="AM1547" s="483">
        <v>-24.908469999999998</v>
      </c>
      <c r="AN1547" s="48"/>
      <c r="AO1547" s="484">
        <v>3.72</v>
      </c>
      <c r="AP1547" s="484">
        <v>-1.0900000000000001</v>
      </c>
      <c r="AQ1547" s="48" t="s">
        <v>6311</v>
      </c>
      <c r="AR1547" s="48" t="s">
        <v>6311</v>
      </c>
      <c r="AS1547" s="227"/>
      <c r="AT1547" s="50" t="s">
        <v>266</v>
      </c>
      <c r="AU1547" s="48">
        <v>6</v>
      </c>
      <c r="AV1547" s="48">
        <v>120</v>
      </c>
      <c r="AW1547" s="48">
        <v>114</v>
      </c>
      <c r="AX1547" s="48">
        <v>28</v>
      </c>
      <c r="AY1547" s="48" t="s">
        <v>8728</v>
      </c>
      <c r="AZ1547" s="48" t="s">
        <v>1563</v>
      </c>
      <c r="BA1547" s="48">
        <v>32</v>
      </c>
      <c r="BB1547" s="47" t="s">
        <v>2485</v>
      </c>
      <c r="BC1547" s="47" t="s">
        <v>8726</v>
      </c>
      <c r="BD1547" s="47" t="s">
        <v>8374</v>
      </c>
      <c r="BE1547" s="48" t="s">
        <v>2449</v>
      </c>
      <c r="BF1547" s="48" t="s">
        <v>272</v>
      </c>
      <c r="BG1547" s="48" t="s">
        <v>272</v>
      </c>
      <c r="BH1547" s="48" t="s">
        <v>2486</v>
      </c>
      <c r="BI1547" s="98">
        <v>6.3999999999999997E-6</v>
      </c>
      <c r="BJ1547" s="98">
        <v>6.4000000000000001E-2</v>
      </c>
      <c r="BK1547" s="48"/>
      <c r="BL1547" s="98">
        <f t="shared" si="405"/>
        <v>40.92691410353391</v>
      </c>
      <c r="BM1547" s="47" t="s">
        <v>2487</v>
      </c>
      <c r="BN1547" s="48"/>
      <c r="BO1547" s="48"/>
      <c r="BP1547" s="48"/>
      <c r="BQ1547" s="48"/>
      <c r="BR1547" s="47" t="s">
        <v>2496</v>
      </c>
      <c r="BS1547" s="48"/>
      <c r="BT1547" s="48"/>
      <c r="BU1547" s="228">
        <v>6.3999999999999997E-5</v>
      </c>
      <c r="BV1547" s="48"/>
      <c r="BW1547" s="48"/>
      <c r="BX1547" s="48"/>
      <c r="BY1547" s="48"/>
      <c r="BZ1547" s="48"/>
      <c r="CA1547" s="48"/>
      <c r="CB1547" s="48"/>
      <c r="CC1547" s="48"/>
      <c r="CD1547" s="48"/>
      <c r="CE1547" s="48"/>
      <c r="CF1547" s="48"/>
      <c r="CG1547" s="48"/>
      <c r="CH1547" s="48"/>
      <c r="CI1547" s="98"/>
      <c r="CJ1547" s="98"/>
      <c r="CK1547" s="49">
        <f t="shared" si="406"/>
        <v>639.48303286771738</v>
      </c>
      <c r="CL1547" s="229"/>
      <c r="CM1547" s="229"/>
      <c r="CN1547" s="229"/>
      <c r="CO1547" s="47" t="s">
        <v>2488</v>
      </c>
      <c r="CP1547" s="47" t="s">
        <v>2489</v>
      </c>
      <c r="CQ1547" s="224" t="s">
        <v>272</v>
      </c>
      <c r="CR1547" s="224"/>
      <c r="CS1547" s="230" t="s">
        <v>539</v>
      </c>
      <c r="CT1547" s="230"/>
      <c r="CU1547" s="230"/>
      <c r="CV1547" s="335">
        <f t="shared" si="398"/>
        <v>1.7132471814737245</v>
      </c>
      <c r="CW1547" s="230">
        <f t="shared" si="404"/>
        <v>1</v>
      </c>
      <c r="CX1547" s="336"/>
      <c r="CY1547" s="230" t="s">
        <v>6351</v>
      </c>
    </row>
    <row r="1548" spans="1:103" ht="11.25" customHeight="1" x14ac:dyDescent="0.2">
      <c r="A1548" s="72">
        <v>1546</v>
      </c>
      <c r="B1548" s="224">
        <v>1476</v>
      </c>
      <c r="C1548" s="46" t="s">
        <v>7548</v>
      </c>
      <c r="D1548" s="46"/>
      <c r="E1548" s="114"/>
      <c r="F1548" s="114" t="s">
        <v>4533</v>
      </c>
      <c r="G1548" s="225">
        <v>200940234</v>
      </c>
      <c r="H1548" s="47" t="s">
        <v>4534</v>
      </c>
      <c r="I1548" s="47" t="s">
        <v>7738</v>
      </c>
      <c r="J1548" s="47" t="s">
        <v>4535</v>
      </c>
      <c r="K1548" s="47" t="s">
        <v>4536</v>
      </c>
      <c r="L1548" s="47"/>
      <c r="M1548" s="47"/>
      <c r="N1548" s="47"/>
      <c r="O1548" s="47"/>
      <c r="P1548" s="53"/>
      <c r="Q1548" s="53"/>
      <c r="R1548" s="53"/>
      <c r="S1548" s="53"/>
      <c r="T1548" s="48">
        <v>403.9</v>
      </c>
      <c r="U1548" s="98"/>
      <c r="V1548" s="98">
        <v>3.753404307997029E-2</v>
      </c>
      <c r="W1548" s="98">
        <v>0.14791083881682063</v>
      </c>
      <c r="X1548" s="98">
        <f t="shared" si="403"/>
        <v>0.14791083881682063</v>
      </c>
      <c r="Y1548" s="233">
        <v>9.44</v>
      </c>
      <c r="Z1548" s="48">
        <v>3.85</v>
      </c>
      <c r="AA1548" s="48"/>
      <c r="AB1548" s="48">
        <v>4.07</v>
      </c>
      <c r="AC1548" s="48">
        <v>0.73719999999999997</v>
      </c>
      <c r="AD1548" s="48">
        <v>3.93</v>
      </c>
      <c r="AE1548" s="48">
        <v>3.65</v>
      </c>
      <c r="AF1548" s="48">
        <f t="shared" si="402"/>
        <v>3.93</v>
      </c>
      <c r="AG1548" s="49">
        <v>4.08</v>
      </c>
      <c r="AH1548" s="98">
        <v>4.4299999999999998E-15</v>
      </c>
      <c r="AI1548" s="98"/>
      <c r="AJ1548" s="483">
        <f t="shared" si="401"/>
        <v>-12.742162600089582</v>
      </c>
      <c r="AK1548" s="483"/>
      <c r="AL1548" s="483">
        <f t="shared" si="400"/>
        <v>-12.742162600089582</v>
      </c>
      <c r="AM1548" s="483">
        <v>-18.89639</v>
      </c>
      <c r="AN1548" s="226">
        <v>-14.2</v>
      </c>
      <c r="AO1548" s="484">
        <v>13.67</v>
      </c>
      <c r="AP1548" s="484">
        <v>8.77</v>
      </c>
      <c r="AQ1548" s="48" t="s">
        <v>6311</v>
      </c>
      <c r="AR1548" s="48" t="s">
        <v>6314</v>
      </c>
      <c r="AS1548" s="227"/>
      <c r="AT1548" s="50" t="s">
        <v>266</v>
      </c>
      <c r="AU1548" s="48">
        <v>6</v>
      </c>
      <c r="AV1548" s="48">
        <v>120</v>
      </c>
      <c r="AW1548" s="48">
        <v>114</v>
      </c>
      <c r="AX1548" s="48">
        <v>28</v>
      </c>
      <c r="AY1548" s="48" t="s">
        <v>8728</v>
      </c>
      <c r="AZ1548" s="48" t="s">
        <v>1563</v>
      </c>
      <c r="BA1548" s="48">
        <v>32</v>
      </c>
      <c r="BB1548" s="47" t="s">
        <v>2485</v>
      </c>
      <c r="BC1548" s="47" t="s">
        <v>8726</v>
      </c>
      <c r="BD1548" s="47" t="s">
        <v>8374</v>
      </c>
      <c r="BE1548" s="48" t="s">
        <v>2449</v>
      </c>
      <c r="BF1548" s="48" t="s">
        <v>272</v>
      </c>
      <c r="BG1548" s="48" t="s">
        <v>272</v>
      </c>
      <c r="BH1548" s="48" t="s">
        <v>2486</v>
      </c>
      <c r="BI1548" s="98">
        <v>6.3999999999999997E-6</v>
      </c>
      <c r="BJ1548" s="98">
        <v>6.4000000000000001E-2</v>
      </c>
      <c r="BK1548" s="48"/>
      <c r="BL1548" s="98">
        <f t="shared" si="405"/>
        <v>1.7910800643872269E-2</v>
      </c>
      <c r="BM1548" s="47" t="s">
        <v>2487</v>
      </c>
      <c r="BN1548" s="48"/>
      <c r="BO1548" s="48"/>
      <c r="BP1548" s="48"/>
      <c r="BQ1548" s="48"/>
      <c r="BR1548" s="47" t="s">
        <v>2496</v>
      </c>
      <c r="BS1548" s="48"/>
      <c r="BT1548" s="48"/>
      <c r="BU1548" s="228"/>
      <c r="BV1548" s="48"/>
      <c r="BW1548" s="48"/>
      <c r="BX1548" s="48"/>
      <c r="BY1548" s="48"/>
      <c r="BZ1548" s="48"/>
      <c r="CA1548" s="48"/>
      <c r="CB1548" s="48"/>
      <c r="CC1548" s="48"/>
      <c r="CD1548" s="48"/>
      <c r="CE1548" s="48"/>
      <c r="CF1548" s="48"/>
      <c r="CG1548" s="48"/>
      <c r="CH1548" s="48"/>
      <c r="CI1548" s="98"/>
      <c r="CJ1548" s="98"/>
      <c r="CK1548" s="49">
        <f t="shared" si="406"/>
        <v>0.27985626006050418</v>
      </c>
      <c r="CL1548" s="229"/>
      <c r="CM1548" s="229"/>
      <c r="CN1548" s="229"/>
      <c r="CO1548" s="47" t="s">
        <v>2488</v>
      </c>
      <c r="CP1548" s="47" t="s">
        <v>2489</v>
      </c>
      <c r="CQ1548" s="224" t="s">
        <v>272</v>
      </c>
      <c r="CR1548" s="224"/>
      <c r="CS1548" s="230" t="s">
        <v>539</v>
      </c>
      <c r="CT1548" s="230"/>
      <c r="CU1548" s="230"/>
      <c r="CV1548" s="335">
        <f t="shared" si="398"/>
        <v>2.3111068565128221</v>
      </c>
      <c r="CW1548" s="230">
        <f t="shared" si="404"/>
        <v>1</v>
      </c>
      <c r="CX1548" s="336"/>
      <c r="CY1548" s="230" t="s">
        <v>5921</v>
      </c>
    </row>
    <row r="1549" spans="1:103" ht="11.25" customHeight="1" x14ac:dyDescent="0.2">
      <c r="A1549" s="72">
        <v>1547</v>
      </c>
      <c r="B1549" s="224">
        <v>179</v>
      </c>
      <c r="C1549" s="46" t="s">
        <v>7549</v>
      </c>
      <c r="D1549" s="46"/>
      <c r="E1549" s="114"/>
      <c r="F1549" s="114" t="s">
        <v>3669</v>
      </c>
      <c r="G1549" s="225">
        <v>207736058</v>
      </c>
      <c r="H1549" s="236" t="s">
        <v>3670</v>
      </c>
      <c r="I1549" s="236" t="s">
        <v>8184</v>
      </c>
      <c r="J1549" s="236" t="s">
        <v>3671</v>
      </c>
      <c r="K1549" s="236" t="s">
        <v>2821</v>
      </c>
      <c r="L1549" s="47"/>
      <c r="M1549" s="47"/>
      <c r="N1549" s="47"/>
      <c r="O1549" s="52"/>
      <c r="P1549" s="53"/>
      <c r="Q1549" s="53"/>
      <c r="R1549" s="53"/>
      <c r="S1549" s="53"/>
      <c r="T1549" s="226">
        <v>257.25</v>
      </c>
      <c r="U1549" s="98"/>
      <c r="V1549" s="98">
        <v>3.179008746355685E-5</v>
      </c>
      <c r="W1549" s="98">
        <v>7.585775750291826E-2</v>
      </c>
      <c r="X1549" s="98">
        <f t="shared" si="403"/>
        <v>7.585775750291826E-2</v>
      </c>
      <c r="Y1549" s="233">
        <v>4.83</v>
      </c>
      <c r="Z1549" s="48">
        <v>5.91</v>
      </c>
      <c r="AA1549" s="48"/>
      <c r="AB1549" s="48">
        <v>5.03</v>
      </c>
      <c r="AC1549" s="48">
        <v>0.60880000000000001</v>
      </c>
      <c r="AD1549" s="48">
        <v>4.7699999999999996</v>
      </c>
      <c r="AE1549" s="48">
        <v>4.4000000000000004</v>
      </c>
      <c r="AF1549" s="48">
        <f t="shared" si="402"/>
        <v>4.7699999999999996</v>
      </c>
      <c r="AG1549" s="48">
        <v>-2</v>
      </c>
      <c r="AH1549" s="98">
        <v>1.7899999999999999E-15</v>
      </c>
      <c r="AI1549" s="98"/>
      <c r="AJ1549" s="483">
        <f t="shared" si="401"/>
        <v>-13.135713295332758</v>
      </c>
      <c r="AK1549" s="483"/>
      <c r="AL1549" s="483">
        <f t="shared" si="400"/>
        <v>-13.135713295332758</v>
      </c>
      <c r="AM1549" s="483">
        <v>-23.36656</v>
      </c>
      <c r="AN1549" s="48">
        <v>-21.64</v>
      </c>
      <c r="AO1549" s="484">
        <v>4.5</v>
      </c>
      <c r="AP1549" s="484">
        <v>4.82</v>
      </c>
      <c r="AQ1549" s="48" t="s">
        <v>6311</v>
      </c>
      <c r="AR1549" s="48" t="s">
        <v>6311</v>
      </c>
      <c r="AS1549" s="227"/>
      <c r="AT1549" s="50" t="s">
        <v>266</v>
      </c>
      <c r="AU1549" s="48">
        <v>6</v>
      </c>
      <c r="AV1549" s="48">
        <v>120</v>
      </c>
      <c r="AW1549" s="48">
        <v>114</v>
      </c>
      <c r="AX1549" s="48">
        <v>28</v>
      </c>
      <c r="AY1549" s="48" t="s">
        <v>8728</v>
      </c>
      <c r="AZ1549" s="48" t="s">
        <v>1563</v>
      </c>
      <c r="BA1549" s="48">
        <v>32</v>
      </c>
      <c r="BB1549" s="47" t="s">
        <v>2485</v>
      </c>
      <c r="BC1549" s="47" t="s">
        <v>8726</v>
      </c>
      <c r="BD1549" s="47" t="s">
        <v>8374</v>
      </c>
      <c r="BE1549" s="48" t="s">
        <v>2449</v>
      </c>
      <c r="BF1549" s="48" t="s">
        <v>272</v>
      </c>
      <c r="BG1549" s="48" t="s">
        <v>272</v>
      </c>
      <c r="BH1549" s="48" t="s">
        <v>2486</v>
      </c>
      <c r="BI1549" s="98">
        <v>6.3999999999999997E-6</v>
      </c>
      <c r="BJ1549" s="98">
        <v>6.4000000000000001E-2</v>
      </c>
      <c r="BK1549" s="48"/>
      <c r="BL1549" s="98">
        <f t="shared" si="405"/>
        <v>2.5294668958772166E-4</v>
      </c>
      <c r="BM1549" s="47" t="s">
        <v>2487</v>
      </c>
      <c r="BN1549" s="48"/>
      <c r="BO1549" s="48"/>
      <c r="BP1549" s="48"/>
      <c r="BQ1549" s="48"/>
      <c r="BR1549" s="47" t="s">
        <v>2496</v>
      </c>
      <c r="BS1549" s="48"/>
      <c r="BT1549" s="48"/>
      <c r="BU1549" s="228"/>
      <c r="BV1549" s="48"/>
      <c r="BW1549" s="48"/>
      <c r="BX1549" s="48"/>
      <c r="BY1549" s="48"/>
      <c r="BZ1549" s="48"/>
      <c r="CA1549" s="48"/>
      <c r="CB1549" s="48"/>
      <c r="CC1549" s="48"/>
      <c r="CD1549" s="48"/>
      <c r="CE1549" s="48"/>
      <c r="CF1549" s="48"/>
      <c r="CG1549" s="48"/>
      <c r="CH1549" s="48"/>
      <c r="CI1549" s="98"/>
      <c r="CJ1549" s="98"/>
      <c r="CK1549" s="49">
        <f>BJ1549/BL1549</f>
        <v>253.01774102801556</v>
      </c>
      <c r="CL1549" s="229"/>
      <c r="CM1549" s="229"/>
      <c r="CN1549" s="229"/>
      <c r="CO1549" s="47" t="s">
        <v>2488</v>
      </c>
      <c r="CP1549" s="47" t="s">
        <v>2489</v>
      </c>
      <c r="CQ1549" s="224" t="s">
        <v>272</v>
      </c>
      <c r="CR1549" s="224"/>
      <c r="CS1549" s="230" t="s">
        <v>539</v>
      </c>
      <c r="CT1549" s="230"/>
      <c r="CU1549" s="230"/>
      <c r="CV1549" s="335">
        <f t="shared" si="398"/>
        <v>1.1852774609830978</v>
      </c>
      <c r="CW1549" s="230">
        <f t="shared" si="404"/>
        <v>1</v>
      </c>
      <c r="CX1549" s="336"/>
      <c r="CY1549" s="230" t="s">
        <v>5921</v>
      </c>
    </row>
    <row r="1550" spans="1:103" ht="11.25" customHeight="1" x14ac:dyDescent="0.2">
      <c r="A1550" s="72">
        <v>1548</v>
      </c>
      <c r="B1550" s="224">
        <v>378</v>
      </c>
      <c r="C1550" s="46" t="s">
        <v>7550</v>
      </c>
      <c r="D1550" s="46"/>
      <c r="E1550" s="114"/>
      <c r="F1550" s="114" t="s">
        <v>3924</v>
      </c>
      <c r="G1550" s="225">
        <v>208465218</v>
      </c>
      <c r="H1550" s="47" t="s">
        <v>3925</v>
      </c>
      <c r="I1550" s="47" t="s">
        <v>3925</v>
      </c>
      <c r="J1550" s="47" t="s">
        <v>3926</v>
      </c>
      <c r="K1550" s="47" t="s">
        <v>3927</v>
      </c>
      <c r="L1550" s="47"/>
      <c r="M1550" s="47"/>
      <c r="N1550" s="47"/>
      <c r="O1550" s="47"/>
      <c r="P1550" s="53"/>
      <c r="Q1550" s="53"/>
      <c r="R1550" s="53"/>
      <c r="S1550" s="53"/>
      <c r="T1550" s="48">
        <v>503.51</v>
      </c>
      <c r="U1550" s="98"/>
      <c r="V1550" s="98">
        <v>0.2810271891322913</v>
      </c>
      <c r="W1550" s="98">
        <v>0.13803842646028844</v>
      </c>
      <c r="X1550" s="98">
        <f t="shared" si="403"/>
        <v>0.13803842646028844</v>
      </c>
      <c r="Y1550" s="233">
        <v>4</v>
      </c>
      <c r="Z1550" s="48">
        <v>0.8</v>
      </c>
      <c r="AA1550" s="48"/>
      <c r="AB1550" s="48">
        <v>1.37</v>
      </c>
      <c r="AC1550" s="48">
        <v>0.71840000000000004</v>
      </c>
      <c r="AD1550" s="48">
        <v>1.33</v>
      </c>
      <c r="AE1550" s="48">
        <v>1.17</v>
      </c>
      <c r="AF1550" s="48">
        <f t="shared" si="402"/>
        <v>1.33</v>
      </c>
      <c r="AG1550" s="49">
        <v>0.53</v>
      </c>
      <c r="AH1550" s="98">
        <v>6.1700000000000003E-18</v>
      </c>
      <c r="AI1550" s="98"/>
      <c r="AJ1550" s="483">
        <f t="shared" si="401"/>
        <v>-15.59828116227941</v>
      </c>
      <c r="AK1550" s="483"/>
      <c r="AL1550" s="483">
        <f t="shared" si="400"/>
        <v>-15.59828116227941</v>
      </c>
      <c r="AM1550" s="483">
        <v>-34.479199999999999</v>
      </c>
      <c r="AN1550" s="226">
        <v>-23.9</v>
      </c>
      <c r="AO1550" s="484">
        <v>3.73</v>
      </c>
      <c r="AP1550" s="484">
        <v>-0.9</v>
      </c>
      <c r="AQ1550" s="226" t="s">
        <v>6311</v>
      </c>
      <c r="AR1550" s="226" t="s">
        <v>6312</v>
      </c>
      <c r="AS1550" s="224" t="s">
        <v>63</v>
      </c>
      <c r="AT1550" s="50" t="s">
        <v>266</v>
      </c>
      <c r="AU1550" s="48">
        <v>8</v>
      </c>
      <c r="AV1550" s="48">
        <v>144</v>
      </c>
      <c r="AW1550" s="48">
        <v>120</v>
      </c>
      <c r="AX1550" s="48">
        <v>26</v>
      </c>
      <c r="AY1550" s="48" t="s">
        <v>267</v>
      </c>
      <c r="AZ1550" s="48" t="s">
        <v>2253</v>
      </c>
      <c r="BA1550" s="48">
        <v>2</v>
      </c>
      <c r="BB1550" s="47" t="s">
        <v>2254</v>
      </c>
      <c r="BC1550" s="47" t="s">
        <v>270</v>
      </c>
      <c r="BD1550" s="47" t="s">
        <v>8374</v>
      </c>
      <c r="BE1550" s="48" t="s">
        <v>1712</v>
      </c>
      <c r="BF1550" s="48" t="s">
        <v>272</v>
      </c>
      <c r="BG1550" s="48" t="s">
        <v>272</v>
      </c>
      <c r="BH1550" s="48" t="s">
        <v>2255</v>
      </c>
      <c r="BI1550" s="98">
        <v>9.9999999999999995E-7</v>
      </c>
      <c r="BJ1550" s="98">
        <v>0.08</v>
      </c>
      <c r="BK1550" s="48"/>
      <c r="BL1550" s="98">
        <f t="shared" si="405"/>
        <v>9.8247158820515992</v>
      </c>
      <c r="BM1550" s="48" t="s">
        <v>891</v>
      </c>
      <c r="BN1550" s="233"/>
      <c r="BO1550" s="233"/>
      <c r="BP1550" s="233"/>
      <c r="BQ1550" s="233"/>
      <c r="BR1550" s="233"/>
      <c r="BS1550" s="48"/>
      <c r="BT1550" s="233"/>
      <c r="BU1550" s="228"/>
      <c r="BV1550" s="233"/>
      <c r="BW1550" s="233"/>
      <c r="BX1550" s="233"/>
      <c r="BY1550" s="233"/>
      <c r="BZ1550" s="233"/>
      <c r="CA1550" s="233"/>
      <c r="CB1550" s="233"/>
      <c r="CC1550" s="48"/>
      <c r="CD1550" s="48"/>
      <c r="CE1550" s="48"/>
      <c r="CF1550" s="48"/>
      <c r="CG1550" s="233"/>
      <c r="CH1550" s="48"/>
      <c r="CI1550" s="98"/>
      <c r="CJ1550" s="98"/>
      <c r="CK1550" s="49">
        <f t="shared" ref="CK1550:CK1581" si="407">BL1550/BJ1550</f>
        <v>122.80894852564499</v>
      </c>
      <c r="CL1550" s="229"/>
      <c r="CM1550" s="229"/>
      <c r="CN1550" s="229"/>
      <c r="CO1550" s="47" t="s">
        <v>892</v>
      </c>
      <c r="CP1550" s="47" t="s">
        <v>893</v>
      </c>
      <c r="CQ1550" s="224" t="s">
        <v>272</v>
      </c>
      <c r="CR1550" s="224"/>
      <c r="CS1550" s="230" t="s">
        <v>539</v>
      </c>
      <c r="CT1550" s="230"/>
      <c r="CU1550" s="230"/>
      <c r="CV1550" s="335">
        <f t="shared" si="398"/>
        <v>1.7254803307536055</v>
      </c>
      <c r="CW1550" s="230">
        <f t="shared" si="404"/>
        <v>1</v>
      </c>
      <c r="CX1550" s="336" t="s">
        <v>539</v>
      </c>
      <c r="CY1550" s="230" t="s">
        <v>5921</v>
      </c>
    </row>
    <row r="1551" spans="1:103" ht="11.25" customHeight="1" x14ac:dyDescent="0.2">
      <c r="A1551" s="72">
        <v>1549</v>
      </c>
      <c r="B1551" s="224">
        <v>261</v>
      </c>
      <c r="C1551" s="46" t="s">
        <v>7551</v>
      </c>
      <c r="D1551" s="46"/>
      <c r="E1551" s="114"/>
      <c r="F1551" s="114" t="s">
        <v>3770</v>
      </c>
      <c r="G1551" s="225">
        <v>210880925</v>
      </c>
      <c r="H1551" s="47" t="s">
        <v>3771</v>
      </c>
      <c r="I1551" s="47" t="s">
        <v>8185</v>
      </c>
      <c r="J1551" s="47" t="s">
        <v>3772</v>
      </c>
      <c r="K1551" s="47" t="s">
        <v>3773</v>
      </c>
      <c r="L1551" s="47" t="s">
        <v>617</v>
      </c>
      <c r="M1551" s="47" t="s">
        <v>2433</v>
      </c>
      <c r="N1551" s="47"/>
      <c r="O1551" s="47" t="s">
        <v>918</v>
      </c>
      <c r="P1551" s="53"/>
      <c r="Q1551" s="53"/>
      <c r="R1551" s="53"/>
      <c r="S1551" s="53"/>
      <c r="T1551" s="48">
        <v>249.68</v>
      </c>
      <c r="U1551" s="98"/>
      <c r="V1551" s="98">
        <v>24.018743992310156</v>
      </c>
      <c r="W1551" s="98">
        <v>6.1659500186148195</v>
      </c>
      <c r="X1551" s="98">
        <f t="shared" si="403"/>
        <v>6.1659500186148195</v>
      </c>
      <c r="Y1551" s="233">
        <v>7</v>
      </c>
      <c r="Z1551" s="48">
        <v>0.64</v>
      </c>
      <c r="AA1551" s="48">
        <v>0.7</v>
      </c>
      <c r="AB1551" s="48">
        <v>0.06</v>
      </c>
      <c r="AC1551" s="48">
        <v>0.62460000000000004</v>
      </c>
      <c r="AD1551" s="48">
        <v>-0.03</v>
      </c>
      <c r="AE1551" s="48">
        <v>-0.15</v>
      </c>
      <c r="AF1551" s="48">
        <f t="shared" si="402"/>
        <v>0.7</v>
      </c>
      <c r="AG1551" s="49">
        <v>1.26</v>
      </c>
      <c r="AH1551" s="98">
        <v>9.2099999999999998E-16</v>
      </c>
      <c r="AI1551" s="98"/>
      <c r="AJ1551" s="483">
        <f t="shared" si="401"/>
        <v>-13.424306696115803</v>
      </c>
      <c r="AK1551" s="483"/>
      <c r="AL1551" s="483">
        <f t="shared" si="400"/>
        <v>-13.424306696115803</v>
      </c>
      <c r="AM1551" s="483">
        <v>-15.200420000000001</v>
      </c>
      <c r="AN1551" s="226">
        <v>-14.7</v>
      </c>
      <c r="AO1551" s="484"/>
      <c r="AP1551" s="484">
        <v>0.49</v>
      </c>
      <c r="AQ1551" s="226" t="s">
        <v>6311</v>
      </c>
      <c r="AR1551" s="226" t="s">
        <v>6311</v>
      </c>
      <c r="AS1551" s="224" t="s">
        <v>63</v>
      </c>
      <c r="AT1551" s="50" t="s">
        <v>266</v>
      </c>
      <c r="AU1551" s="48">
        <v>8</v>
      </c>
      <c r="AV1551" s="48">
        <v>144</v>
      </c>
      <c r="AW1551" s="48">
        <v>120</v>
      </c>
      <c r="AX1551" s="48">
        <v>26</v>
      </c>
      <c r="AY1551" s="48" t="s">
        <v>267</v>
      </c>
      <c r="AZ1551" s="48" t="s">
        <v>2253</v>
      </c>
      <c r="BA1551" s="48">
        <v>2</v>
      </c>
      <c r="BB1551" s="47" t="s">
        <v>2254</v>
      </c>
      <c r="BC1551" s="47" t="s">
        <v>270</v>
      </c>
      <c r="BD1551" s="47" t="s">
        <v>8374</v>
      </c>
      <c r="BE1551" s="48" t="s">
        <v>1712</v>
      </c>
      <c r="BF1551" s="48" t="s">
        <v>272</v>
      </c>
      <c r="BG1551" s="48" t="s">
        <v>272</v>
      </c>
      <c r="BH1551" s="48" t="s">
        <v>2255</v>
      </c>
      <c r="BI1551" s="98">
        <v>9.9999999999999995E-7</v>
      </c>
      <c r="BJ1551" s="98">
        <v>0.08</v>
      </c>
      <c r="BK1551" s="48"/>
      <c r="BL1551" s="98">
        <f t="shared" si="405"/>
        <v>13.677792155161416</v>
      </c>
      <c r="BM1551" s="48" t="s">
        <v>891</v>
      </c>
      <c r="BN1551" s="233"/>
      <c r="BO1551" s="233"/>
      <c r="BP1551" s="233"/>
      <c r="BQ1551" s="233"/>
      <c r="BR1551" s="233"/>
      <c r="BS1551" s="48"/>
      <c r="BT1551" s="233"/>
      <c r="BU1551" s="228"/>
      <c r="BV1551" s="233"/>
      <c r="BW1551" s="233"/>
      <c r="BX1551" s="233"/>
      <c r="BY1551" s="233"/>
      <c r="BZ1551" s="233"/>
      <c r="CA1551" s="233"/>
      <c r="CB1551" s="233"/>
      <c r="CC1551" s="48"/>
      <c r="CD1551" s="48"/>
      <c r="CE1551" s="48"/>
      <c r="CF1551" s="48"/>
      <c r="CG1551" s="233"/>
      <c r="CH1551" s="48"/>
      <c r="CI1551" s="98"/>
      <c r="CJ1551" s="98"/>
      <c r="CK1551" s="49">
        <f t="shared" si="407"/>
        <v>170.97240193951771</v>
      </c>
      <c r="CL1551" s="229"/>
      <c r="CM1551" s="229"/>
      <c r="CN1551" s="229"/>
      <c r="CO1551" s="47" t="s">
        <v>892</v>
      </c>
      <c r="CP1551" s="47" t="s">
        <v>893</v>
      </c>
      <c r="CQ1551" s="224" t="s">
        <v>272</v>
      </c>
      <c r="CR1551" s="224"/>
      <c r="CS1551" s="230" t="s">
        <v>539</v>
      </c>
      <c r="CT1551" s="230"/>
      <c r="CU1551" s="230"/>
      <c r="CV1551" s="335">
        <f t="shared" si="398"/>
        <v>77.074375232685242</v>
      </c>
      <c r="CW1551" s="230">
        <f t="shared" si="404"/>
        <v>1</v>
      </c>
      <c r="CX1551" s="336" t="s">
        <v>539</v>
      </c>
      <c r="CY1551" s="230" t="s">
        <v>5921</v>
      </c>
    </row>
    <row r="1552" spans="1:103" ht="11.25" customHeight="1" x14ac:dyDescent="0.2">
      <c r="A1552" s="72">
        <v>1550</v>
      </c>
      <c r="B1552" s="224">
        <v>1562</v>
      </c>
      <c r="C1552" s="46" t="s">
        <v>7551</v>
      </c>
      <c r="D1552" s="46"/>
      <c r="E1552" s="114"/>
      <c r="F1552" s="114" t="s">
        <v>3770</v>
      </c>
      <c r="G1552" s="225">
        <v>210880925</v>
      </c>
      <c r="H1552" s="47" t="s">
        <v>3771</v>
      </c>
      <c r="I1552" s="47" t="s">
        <v>8185</v>
      </c>
      <c r="J1552" s="47" t="s">
        <v>3772</v>
      </c>
      <c r="K1552" s="47" t="s">
        <v>3773</v>
      </c>
      <c r="L1552" s="47" t="s">
        <v>617</v>
      </c>
      <c r="M1552" s="47" t="s">
        <v>2433</v>
      </c>
      <c r="N1552" s="47"/>
      <c r="O1552" s="47" t="s">
        <v>918</v>
      </c>
      <c r="P1552" s="53"/>
      <c r="Q1552" s="53"/>
      <c r="R1552" s="53"/>
      <c r="S1552" s="53"/>
      <c r="T1552" s="48">
        <v>249.68</v>
      </c>
      <c r="U1552" s="98"/>
      <c r="V1552" s="98">
        <v>24.018743992310156</v>
      </c>
      <c r="W1552" s="98">
        <v>6.1659500186148195</v>
      </c>
      <c r="X1552" s="98">
        <f t="shared" si="403"/>
        <v>6.1659500186148195</v>
      </c>
      <c r="Y1552" s="233">
        <v>7</v>
      </c>
      <c r="Z1552" s="48">
        <v>0.64</v>
      </c>
      <c r="AA1552" s="48">
        <v>0.7</v>
      </c>
      <c r="AB1552" s="48">
        <v>0.06</v>
      </c>
      <c r="AC1552" s="48">
        <v>0.62460000000000004</v>
      </c>
      <c r="AD1552" s="48">
        <v>-0.03</v>
      </c>
      <c r="AE1552" s="48">
        <v>-0.15</v>
      </c>
      <c r="AF1552" s="48">
        <f t="shared" si="402"/>
        <v>0.7</v>
      </c>
      <c r="AG1552" s="49">
        <v>1.26</v>
      </c>
      <c r="AH1552" s="98">
        <v>9.2099999999999998E-16</v>
      </c>
      <c r="AI1552" s="98"/>
      <c r="AJ1552" s="483">
        <f t="shared" si="401"/>
        <v>-13.424306696115803</v>
      </c>
      <c r="AK1552" s="483"/>
      <c r="AL1552" s="483">
        <f t="shared" si="400"/>
        <v>-13.424306696115803</v>
      </c>
      <c r="AM1552" s="483">
        <v>-15.200420000000001</v>
      </c>
      <c r="AN1552" s="226">
        <v>-14.7</v>
      </c>
      <c r="AO1552" s="484"/>
      <c r="AP1552" s="484">
        <v>0.49</v>
      </c>
      <c r="AQ1552" s="48" t="s">
        <v>6311</v>
      </c>
      <c r="AR1552" s="48" t="s">
        <v>6311</v>
      </c>
      <c r="AS1552" s="227"/>
      <c r="AT1552" s="50" t="s">
        <v>266</v>
      </c>
      <c r="AU1552" s="48">
        <v>6</v>
      </c>
      <c r="AV1552" s="48">
        <v>120</v>
      </c>
      <c r="AW1552" s="48">
        <v>114</v>
      </c>
      <c r="AX1552" s="48">
        <v>28</v>
      </c>
      <c r="AY1552" s="48" t="s">
        <v>8728</v>
      </c>
      <c r="AZ1552" s="48" t="s">
        <v>1563</v>
      </c>
      <c r="BA1552" s="48">
        <v>32</v>
      </c>
      <c r="BB1552" s="47" t="s">
        <v>2485</v>
      </c>
      <c r="BC1552" s="47" t="s">
        <v>8726</v>
      </c>
      <c r="BD1552" s="47" t="s">
        <v>8374</v>
      </c>
      <c r="BE1552" s="48" t="s">
        <v>2449</v>
      </c>
      <c r="BF1552" s="48" t="s">
        <v>272</v>
      </c>
      <c r="BG1552" s="48" t="s">
        <v>272</v>
      </c>
      <c r="BH1552" s="48" t="s">
        <v>2486</v>
      </c>
      <c r="BI1552" s="98">
        <v>6.3999999999999997E-6</v>
      </c>
      <c r="BJ1552" s="98">
        <v>6.4000000000000001E-2</v>
      </c>
      <c r="BK1552" s="48"/>
      <c r="BL1552" s="98">
        <f t="shared" si="405"/>
        <v>13.677792155161416</v>
      </c>
      <c r="BM1552" s="47" t="s">
        <v>2487</v>
      </c>
      <c r="BN1552" s="48"/>
      <c r="BO1552" s="48"/>
      <c r="BP1552" s="48"/>
      <c r="BQ1552" s="48"/>
      <c r="BR1552" s="47" t="s">
        <v>2496</v>
      </c>
      <c r="BS1552" s="48"/>
      <c r="BT1552" s="48"/>
      <c r="BU1552" s="228"/>
      <c r="BV1552" s="48"/>
      <c r="BW1552" s="48"/>
      <c r="BX1552" s="48"/>
      <c r="BY1552" s="48"/>
      <c r="BZ1552" s="48"/>
      <c r="CA1552" s="48"/>
      <c r="CB1552" s="48"/>
      <c r="CC1552" s="48"/>
      <c r="CD1552" s="48"/>
      <c r="CE1552" s="48"/>
      <c r="CF1552" s="48"/>
      <c r="CG1552" s="48"/>
      <c r="CH1552" s="48"/>
      <c r="CI1552" s="98"/>
      <c r="CJ1552" s="98"/>
      <c r="CK1552" s="49">
        <f t="shared" si="407"/>
        <v>213.71550242439713</v>
      </c>
      <c r="CL1552" s="229"/>
      <c r="CM1552" s="229"/>
      <c r="CN1552" s="229"/>
      <c r="CO1552" s="47" t="s">
        <v>2488</v>
      </c>
      <c r="CP1552" s="47" t="s">
        <v>2489</v>
      </c>
      <c r="CQ1552" s="224" t="s">
        <v>272</v>
      </c>
      <c r="CR1552" s="224"/>
      <c r="CS1552" s="230" t="s">
        <v>539</v>
      </c>
      <c r="CT1552" s="230"/>
      <c r="CU1552" s="230"/>
      <c r="CV1552" s="335">
        <f t="shared" si="398"/>
        <v>96.342969040856559</v>
      </c>
      <c r="CW1552" s="230">
        <f t="shared" si="404"/>
        <v>1</v>
      </c>
      <c r="CX1552" s="336"/>
      <c r="CY1552" s="230" t="s">
        <v>5921</v>
      </c>
    </row>
    <row r="1553" spans="1:103" ht="11.25" customHeight="1" x14ac:dyDescent="0.2">
      <c r="A1553" s="72">
        <v>1551</v>
      </c>
      <c r="B1553" s="224">
        <v>924</v>
      </c>
      <c r="C1553" s="46" t="s">
        <v>7552</v>
      </c>
      <c r="D1553" s="46"/>
      <c r="E1553" s="114"/>
      <c r="F1553" s="114" t="s">
        <v>2638</v>
      </c>
      <c r="G1553" s="225">
        <v>214535770</v>
      </c>
      <c r="H1553" s="47" t="s">
        <v>2639</v>
      </c>
      <c r="I1553" s="47" t="s">
        <v>7803</v>
      </c>
      <c r="J1553" s="47" t="s">
        <v>2640</v>
      </c>
      <c r="K1553" s="47" t="s">
        <v>426</v>
      </c>
      <c r="L1553" s="47"/>
      <c r="M1553" s="47"/>
      <c r="N1553" s="47"/>
      <c r="O1553" s="47"/>
      <c r="P1553" s="53"/>
      <c r="Q1553" s="53"/>
      <c r="R1553" s="53"/>
      <c r="S1553" s="53"/>
      <c r="T1553" s="48">
        <v>162.19999999999999</v>
      </c>
      <c r="U1553" s="98"/>
      <c r="V1553" s="98">
        <v>1.7792848335388411</v>
      </c>
      <c r="W1553" s="98">
        <v>1.3803842646028843</v>
      </c>
      <c r="X1553" s="98">
        <f t="shared" si="403"/>
        <v>1.3803842646028843</v>
      </c>
      <c r="Y1553" s="233">
        <v>7</v>
      </c>
      <c r="Z1553" s="48">
        <v>2.77</v>
      </c>
      <c r="AA1553" s="48"/>
      <c r="AB1553" s="48">
        <v>3.4</v>
      </c>
      <c r="AC1553" s="48">
        <v>0.89270000000000005</v>
      </c>
      <c r="AD1553" s="48">
        <v>3.49</v>
      </c>
      <c r="AE1553" s="48">
        <v>3.83</v>
      </c>
      <c r="AF1553" s="48">
        <f t="shared" si="402"/>
        <v>3.49</v>
      </c>
      <c r="AG1553" s="49">
        <v>2.21</v>
      </c>
      <c r="AH1553" s="98"/>
      <c r="AI1553" s="98"/>
      <c r="AJ1553" s="483"/>
      <c r="AK1553" s="483"/>
      <c r="AL1553" s="483"/>
      <c r="AM1553" s="483">
        <v>-2.8501099999999999</v>
      </c>
      <c r="AN1553" s="226"/>
      <c r="AO1553" s="484"/>
      <c r="AP1553" s="484"/>
      <c r="AQ1553" s="48" t="s">
        <v>6311</v>
      </c>
      <c r="AR1553" s="48" t="s">
        <v>6313</v>
      </c>
      <c r="AS1553" s="227"/>
      <c r="AT1553" s="50" t="s">
        <v>266</v>
      </c>
      <c r="AU1553" s="48">
        <v>6</v>
      </c>
      <c r="AV1553" s="48">
        <v>120</v>
      </c>
      <c r="AW1553" s="48">
        <v>114</v>
      </c>
      <c r="AX1553" s="48">
        <v>28</v>
      </c>
      <c r="AY1553" s="48" t="s">
        <v>8728</v>
      </c>
      <c r="AZ1553" s="48" t="s">
        <v>1563</v>
      </c>
      <c r="BA1553" s="48">
        <v>32</v>
      </c>
      <c r="BB1553" s="47" t="s">
        <v>2485</v>
      </c>
      <c r="BC1553" s="47" t="s">
        <v>8726</v>
      </c>
      <c r="BD1553" s="47" t="s">
        <v>8374</v>
      </c>
      <c r="BE1553" s="48" t="s">
        <v>2449</v>
      </c>
      <c r="BF1553" s="48" t="s">
        <v>272</v>
      </c>
      <c r="BG1553" s="48" t="s">
        <v>272</v>
      </c>
      <c r="BH1553" s="48" t="s">
        <v>2486</v>
      </c>
      <c r="BI1553" s="98">
        <v>6.3999999999999997E-6</v>
      </c>
      <c r="BJ1553" s="98">
        <v>6.4000000000000001E-2</v>
      </c>
      <c r="BK1553" s="48"/>
      <c r="BL1553" s="98">
        <f t="shared" si="405"/>
        <v>0.16713330450793987</v>
      </c>
      <c r="BM1553" s="47" t="s">
        <v>2487</v>
      </c>
      <c r="BN1553" s="48"/>
      <c r="BO1553" s="48"/>
      <c r="BP1553" s="48"/>
      <c r="BQ1553" s="48"/>
      <c r="BR1553" s="47" t="s">
        <v>2496</v>
      </c>
      <c r="BS1553" s="48"/>
      <c r="BT1553" s="48"/>
      <c r="BU1553" s="228">
        <v>6.3999999999999997E-6</v>
      </c>
      <c r="BV1553" s="48"/>
      <c r="BW1553" s="48"/>
      <c r="BX1553" s="48"/>
      <c r="BY1553" s="48"/>
      <c r="BZ1553" s="48"/>
      <c r="CA1553" s="48"/>
      <c r="CB1553" s="48"/>
      <c r="CC1553" s="48"/>
      <c r="CD1553" s="48"/>
      <c r="CE1553" s="48"/>
      <c r="CF1553" s="48"/>
      <c r="CG1553" s="48"/>
      <c r="CH1553" s="48"/>
      <c r="CI1553" s="98"/>
      <c r="CJ1553" s="98"/>
      <c r="CK1553" s="49">
        <f t="shared" si="407"/>
        <v>2.6114578829365604</v>
      </c>
      <c r="CL1553" s="229"/>
      <c r="CM1553" s="229"/>
      <c r="CN1553" s="229"/>
      <c r="CO1553" s="47" t="s">
        <v>2488</v>
      </c>
      <c r="CP1553" s="47" t="s">
        <v>2489</v>
      </c>
      <c r="CQ1553" s="224" t="s">
        <v>272</v>
      </c>
      <c r="CR1553" s="224"/>
      <c r="CS1553" s="230" t="s">
        <v>539</v>
      </c>
      <c r="CT1553" s="230"/>
      <c r="CU1553" s="230"/>
      <c r="CV1553" s="335">
        <f t="shared" si="398"/>
        <v>21.568504134420067</v>
      </c>
      <c r="CW1553" s="230">
        <f t="shared" si="404"/>
        <v>1</v>
      </c>
      <c r="CX1553" s="336"/>
      <c r="CY1553" s="230" t="s">
        <v>5921</v>
      </c>
    </row>
    <row r="1554" spans="1:103" ht="11.25" customHeight="1" x14ac:dyDescent="0.2">
      <c r="A1554" s="72">
        <v>1552</v>
      </c>
      <c r="B1554" s="224">
        <v>1433</v>
      </c>
      <c r="C1554" s="46" t="s">
        <v>7553</v>
      </c>
      <c r="D1554" s="46"/>
      <c r="E1554" s="114"/>
      <c r="F1554" s="114" t="s">
        <v>4407</v>
      </c>
      <c r="G1554" s="225">
        <v>215297271</v>
      </c>
      <c r="H1554" s="47" t="s">
        <v>4408</v>
      </c>
      <c r="I1554" s="47" t="s">
        <v>7758</v>
      </c>
      <c r="J1554" s="47" t="s">
        <v>4409</v>
      </c>
      <c r="K1554" s="47" t="s">
        <v>4166</v>
      </c>
      <c r="L1554" s="47"/>
      <c r="M1554" s="47"/>
      <c r="N1554" s="47"/>
      <c r="O1554" s="47"/>
      <c r="P1554" s="53"/>
      <c r="Q1554" s="53"/>
      <c r="R1554" s="53"/>
      <c r="S1554" s="53"/>
      <c r="T1554" s="48">
        <v>264.39</v>
      </c>
      <c r="U1554" s="98"/>
      <c r="V1554" s="98">
        <v>4.7770339271530693</v>
      </c>
      <c r="W1554" s="98">
        <v>21.37962089502232</v>
      </c>
      <c r="X1554" s="98">
        <f t="shared" si="403"/>
        <v>21.37962089502232</v>
      </c>
      <c r="Y1554" s="233">
        <v>6.97</v>
      </c>
      <c r="Z1554" s="48">
        <v>-0.14000000000000001</v>
      </c>
      <c r="AA1554" s="48"/>
      <c r="AB1554" s="48">
        <v>0.27</v>
      </c>
      <c r="AC1554" s="48">
        <v>0.58509999999999995</v>
      </c>
      <c r="AD1554" s="48">
        <v>0.52</v>
      </c>
      <c r="AE1554" s="48">
        <v>0.81</v>
      </c>
      <c r="AF1554" s="48">
        <f t="shared" si="402"/>
        <v>0.52</v>
      </c>
      <c r="AG1554" s="49">
        <v>0.85</v>
      </c>
      <c r="AH1554" s="98">
        <v>3.8899999999999998E-12</v>
      </c>
      <c r="AI1554" s="98"/>
      <c r="AJ1554" s="483">
        <f t="shared" ref="AJ1554:AJ1582" si="408">LOG10(AH1554*1000/(0.08206*298.15))</f>
        <v>-9.7986167249869442</v>
      </c>
      <c r="AK1554" s="483"/>
      <c r="AL1554" s="483">
        <f t="shared" ref="AL1554:AL1582" si="409">IF(AK1554=0,AJ1554,AK1554)</f>
        <v>-9.7986167249869442</v>
      </c>
      <c r="AM1554" s="483">
        <v>-14.186589999999999</v>
      </c>
      <c r="AN1554" s="226">
        <v>-11.9</v>
      </c>
      <c r="AO1554" s="484">
        <v>14.2</v>
      </c>
      <c r="AP1554" s="484">
        <v>-0.2</v>
      </c>
      <c r="AQ1554" s="48" t="s">
        <v>6311</v>
      </c>
      <c r="AR1554" s="48" t="s">
        <v>6311</v>
      </c>
      <c r="AS1554" s="227"/>
      <c r="AT1554" s="50" t="s">
        <v>266</v>
      </c>
      <c r="AU1554" s="48">
        <v>6</v>
      </c>
      <c r="AV1554" s="48">
        <v>120</v>
      </c>
      <c r="AW1554" s="48">
        <v>114</v>
      </c>
      <c r="AX1554" s="48">
        <v>28</v>
      </c>
      <c r="AY1554" s="48" t="s">
        <v>8728</v>
      </c>
      <c r="AZ1554" s="48" t="s">
        <v>1563</v>
      </c>
      <c r="BA1554" s="48">
        <v>32</v>
      </c>
      <c r="BB1554" s="47" t="s">
        <v>2485</v>
      </c>
      <c r="BC1554" s="47" t="s">
        <v>8726</v>
      </c>
      <c r="BD1554" s="47" t="s">
        <v>8374</v>
      </c>
      <c r="BE1554" s="48" t="s">
        <v>2449</v>
      </c>
      <c r="BF1554" s="48" t="s">
        <v>272</v>
      </c>
      <c r="BG1554" s="48" t="s">
        <v>272</v>
      </c>
      <c r="BH1554" s="48" t="s">
        <v>2486</v>
      </c>
      <c r="BI1554" s="98">
        <v>6.3999999999999997E-6</v>
      </c>
      <c r="BJ1554" s="98">
        <v>6.4000000000000001E-2</v>
      </c>
      <c r="BK1554" s="48"/>
      <c r="BL1554" s="98">
        <f t="shared" si="405"/>
        <v>68.633160776384955</v>
      </c>
      <c r="BM1554" s="47" t="s">
        <v>2487</v>
      </c>
      <c r="BN1554" s="48"/>
      <c r="BO1554" s="48"/>
      <c r="BP1554" s="48"/>
      <c r="BQ1554" s="48"/>
      <c r="BR1554" s="47" t="s">
        <v>2496</v>
      </c>
      <c r="BS1554" s="48"/>
      <c r="BT1554" s="48"/>
      <c r="BU1554" s="228"/>
      <c r="BV1554" s="48"/>
      <c r="BW1554" s="48"/>
      <c r="BX1554" s="48"/>
      <c r="BY1554" s="48"/>
      <c r="BZ1554" s="48"/>
      <c r="CA1554" s="48"/>
      <c r="CB1554" s="48"/>
      <c r="CC1554" s="48"/>
      <c r="CD1554" s="48"/>
      <c r="CE1554" s="48"/>
      <c r="CF1554" s="48"/>
      <c r="CG1554" s="48"/>
      <c r="CH1554" s="48"/>
      <c r="CI1554" s="98"/>
      <c r="CJ1554" s="98"/>
      <c r="CK1554" s="49">
        <f t="shared" si="407"/>
        <v>1072.3931371310148</v>
      </c>
      <c r="CL1554" s="229"/>
      <c r="CM1554" s="229"/>
      <c r="CN1554" s="229"/>
      <c r="CO1554" s="47" t="s">
        <v>2488</v>
      </c>
      <c r="CP1554" s="47" t="s">
        <v>2489</v>
      </c>
      <c r="CQ1554" s="224" t="s">
        <v>272</v>
      </c>
      <c r="CR1554" s="224"/>
      <c r="CS1554" s="230" t="s">
        <v>539</v>
      </c>
      <c r="CT1554" s="230"/>
      <c r="CU1554" s="230"/>
      <c r="CV1554" s="335">
        <f t="shared" si="398"/>
        <v>334.05657648472373</v>
      </c>
      <c r="CW1554" s="230">
        <f t="shared" si="404"/>
        <v>1</v>
      </c>
      <c r="CX1554" s="336"/>
      <c r="CY1554" s="230" t="s">
        <v>5921</v>
      </c>
    </row>
    <row r="1555" spans="1:103" ht="11.25" customHeight="1" x14ac:dyDescent="0.2">
      <c r="A1555" s="72">
        <v>1553</v>
      </c>
      <c r="B1555" s="224">
        <v>428</v>
      </c>
      <c r="C1555" s="46" t="s">
        <v>7554</v>
      </c>
      <c r="D1555" s="46"/>
      <c r="E1555" s="114"/>
      <c r="F1555" s="114" t="s">
        <v>3973</v>
      </c>
      <c r="G1555" s="225">
        <v>219714962</v>
      </c>
      <c r="H1555" s="47" t="s">
        <v>3974</v>
      </c>
      <c r="I1555" s="47" t="s">
        <v>3974</v>
      </c>
      <c r="J1555" s="47" t="s">
        <v>3975</v>
      </c>
      <c r="K1555" s="47" t="s">
        <v>471</v>
      </c>
      <c r="L1555" s="47"/>
      <c r="M1555" s="47"/>
      <c r="N1555" s="47"/>
      <c r="O1555" s="47"/>
      <c r="P1555" s="53"/>
      <c r="Q1555" s="53"/>
      <c r="R1555" s="53"/>
      <c r="S1555" s="53"/>
      <c r="T1555" s="48">
        <v>483.37</v>
      </c>
      <c r="U1555" s="98"/>
      <c r="V1555" s="98">
        <v>5.6871547675693569E-3</v>
      </c>
      <c r="W1555" s="98">
        <v>0.26302679918953781</v>
      </c>
      <c r="X1555" s="98">
        <f t="shared" si="403"/>
        <v>0.26302679918953781</v>
      </c>
      <c r="Y1555" s="233">
        <v>3.58</v>
      </c>
      <c r="Z1555" s="48">
        <v>2.95</v>
      </c>
      <c r="AA1555" s="48"/>
      <c r="AB1555" s="48">
        <v>2.29</v>
      </c>
      <c r="AC1555" s="48">
        <v>0.57079999999999997</v>
      </c>
      <c r="AD1555" s="48">
        <v>2.4900000000000002</v>
      </c>
      <c r="AE1555" s="48">
        <v>2.87</v>
      </c>
      <c r="AF1555" s="48">
        <f t="shared" ref="AF1555:AF1560" si="410">IF(AA1555=0,AD1555,AA1555)</f>
        <v>2.4900000000000002</v>
      </c>
      <c r="AG1555" s="49">
        <v>2.23</v>
      </c>
      <c r="AH1555" s="98">
        <v>1.42E-14</v>
      </c>
      <c r="AI1555" s="98"/>
      <c r="AJ1555" s="483">
        <f t="shared" si="408"/>
        <v>-12.236277981929595</v>
      </c>
      <c r="AK1555" s="483"/>
      <c r="AL1555" s="483">
        <f t="shared" si="409"/>
        <v>-12.236277981929595</v>
      </c>
      <c r="AM1555" s="483">
        <v>-19.675779999999996</v>
      </c>
      <c r="AN1555" s="226">
        <v>-19.5</v>
      </c>
      <c r="AO1555" s="484"/>
      <c r="AP1555" s="484"/>
      <c r="AQ1555" s="226" t="s">
        <v>6311</v>
      </c>
      <c r="AR1555" s="226" t="s">
        <v>6311</v>
      </c>
      <c r="AS1555" s="224" t="s">
        <v>63</v>
      </c>
      <c r="AT1555" s="50" t="s">
        <v>266</v>
      </c>
      <c r="AU1555" s="48">
        <v>8</v>
      </c>
      <c r="AV1555" s="48">
        <v>144</v>
      </c>
      <c r="AW1555" s="48">
        <v>120</v>
      </c>
      <c r="AX1555" s="48">
        <v>26</v>
      </c>
      <c r="AY1555" s="48" t="s">
        <v>267</v>
      </c>
      <c r="AZ1555" s="48" t="s">
        <v>2253</v>
      </c>
      <c r="BA1555" s="48">
        <v>3</v>
      </c>
      <c r="BB1555" s="47" t="s">
        <v>2254</v>
      </c>
      <c r="BC1555" s="47" t="s">
        <v>270</v>
      </c>
      <c r="BD1555" s="47" t="s">
        <v>8374</v>
      </c>
      <c r="BE1555" s="48" t="s">
        <v>1712</v>
      </c>
      <c r="BF1555" s="48" t="s">
        <v>272</v>
      </c>
      <c r="BG1555" s="48" t="s">
        <v>272</v>
      </c>
      <c r="BH1555" s="48" t="s">
        <v>2255</v>
      </c>
      <c r="BI1555" s="98">
        <v>9.9999999999999995E-7</v>
      </c>
      <c r="BJ1555" s="98">
        <v>0.08</v>
      </c>
      <c r="BK1555" s="48"/>
      <c r="BL1555" s="98">
        <f t="shared" si="405"/>
        <v>0.11518740649005926</v>
      </c>
      <c r="BM1555" s="48" t="s">
        <v>891</v>
      </c>
      <c r="BN1555" s="233"/>
      <c r="BO1555" s="233"/>
      <c r="BP1555" s="233"/>
      <c r="BQ1555" s="233"/>
      <c r="BR1555" s="233"/>
      <c r="BS1555" s="48"/>
      <c r="BT1555" s="233"/>
      <c r="BU1555" s="228"/>
      <c r="BV1555" s="233"/>
      <c r="BW1555" s="233"/>
      <c r="BX1555" s="233"/>
      <c r="BY1555" s="233"/>
      <c r="BZ1555" s="233"/>
      <c r="CA1555" s="233"/>
      <c r="CB1555" s="233"/>
      <c r="CC1555" s="48"/>
      <c r="CD1555" s="48"/>
      <c r="CE1555" s="48"/>
      <c r="CF1555" s="48"/>
      <c r="CG1555" s="233"/>
      <c r="CH1555" s="48"/>
      <c r="CI1555" s="98"/>
      <c r="CJ1555" s="98"/>
      <c r="CK1555" s="49">
        <f t="shared" si="407"/>
        <v>1.4398425811257407</v>
      </c>
      <c r="CL1555" s="229"/>
      <c r="CM1555" s="229"/>
      <c r="CN1555" s="229"/>
      <c r="CO1555" s="47" t="s">
        <v>892</v>
      </c>
      <c r="CP1555" s="47" t="s">
        <v>893</v>
      </c>
      <c r="CQ1555" s="224" t="s">
        <v>272</v>
      </c>
      <c r="CR1555" s="224"/>
      <c r="CS1555" s="230" t="s">
        <v>539</v>
      </c>
      <c r="CT1555" s="230"/>
      <c r="CU1555" s="230"/>
      <c r="CV1555" s="335">
        <f t="shared" si="398"/>
        <v>3.2878349898692227</v>
      </c>
      <c r="CW1555" s="230">
        <f t="shared" si="404"/>
        <v>1</v>
      </c>
      <c r="CX1555" s="336" t="s">
        <v>539</v>
      </c>
      <c r="CY1555" s="230" t="s">
        <v>5921</v>
      </c>
    </row>
    <row r="1556" spans="1:103" ht="11.25" customHeight="1" x14ac:dyDescent="0.2">
      <c r="A1556" s="72">
        <v>1554</v>
      </c>
      <c r="B1556" s="224">
        <v>1803</v>
      </c>
      <c r="C1556" s="46" t="s">
        <v>7554</v>
      </c>
      <c r="D1556" s="46"/>
      <c r="E1556" s="114"/>
      <c r="F1556" s="114" t="s">
        <v>3973</v>
      </c>
      <c r="G1556" s="225">
        <v>219714962</v>
      </c>
      <c r="H1556" s="47" t="s">
        <v>3974</v>
      </c>
      <c r="I1556" s="47" t="s">
        <v>3974</v>
      </c>
      <c r="J1556" s="47" t="s">
        <v>3975</v>
      </c>
      <c r="K1556" s="47" t="s">
        <v>471</v>
      </c>
      <c r="L1556" s="47"/>
      <c r="M1556" s="47"/>
      <c r="N1556" s="47"/>
      <c r="O1556" s="47"/>
      <c r="P1556" s="53"/>
      <c r="Q1556" s="53"/>
      <c r="R1556" s="53"/>
      <c r="S1556" s="53"/>
      <c r="T1556" s="48">
        <v>483.37</v>
      </c>
      <c r="U1556" s="98"/>
      <c r="V1556" s="98">
        <v>5.6871547675693569E-3</v>
      </c>
      <c r="W1556" s="98">
        <v>0.26302679918953781</v>
      </c>
      <c r="X1556" s="98">
        <f t="shared" si="403"/>
        <v>0.26302679918953781</v>
      </c>
      <c r="Y1556" s="233">
        <v>3.58</v>
      </c>
      <c r="Z1556" s="48">
        <v>2.95</v>
      </c>
      <c r="AA1556" s="48"/>
      <c r="AB1556" s="48">
        <v>2.29</v>
      </c>
      <c r="AC1556" s="48">
        <v>0.57079999999999997</v>
      </c>
      <c r="AD1556" s="48">
        <v>2.4900000000000002</v>
      </c>
      <c r="AE1556" s="48">
        <v>2.87</v>
      </c>
      <c r="AF1556" s="48">
        <f t="shared" si="410"/>
        <v>2.4900000000000002</v>
      </c>
      <c r="AG1556" s="49">
        <v>2.23</v>
      </c>
      <c r="AH1556" s="98">
        <v>1.42E-14</v>
      </c>
      <c r="AI1556" s="98"/>
      <c r="AJ1556" s="483">
        <f t="shared" si="408"/>
        <v>-12.236277981929595</v>
      </c>
      <c r="AK1556" s="483"/>
      <c r="AL1556" s="483">
        <f t="shared" si="409"/>
        <v>-12.236277981929595</v>
      </c>
      <c r="AM1556" s="483">
        <v>-19.675779999999996</v>
      </c>
      <c r="AN1556" s="226">
        <v>-19.5</v>
      </c>
      <c r="AO1556" s="484"/>
      <c r="AP1556" s="484"/>
      <c r="AQ1556" s="226" t="s">
        <v>6311</v>
      </c>
      <c r="AR1556" s="226" t="s">
        <v>6311</v>
      </c>
      <c r="AS1556" s="224"/>
      <c r="AT1556" s="50" t="s">
        <v>266</v>
      </c>
      <c r="AU1556" s="48">
        <v>6</v>
      </c>
      <c r="AV1556" s="48">
        <v>120</v>
      </c>
      <c r="AW1556" s="48">
        <v>114</v>
      </c>
      <c r="AX1556" s="48">
        <v>28</v>
      </c>
      <c r="AY1556" s="48" t="s">
        <v>8728</v>
      </c>
      <c r="AZ1556" s="48" t="s">
        <v>1563</v>
      </c>
      <c r="BA1556" s="48">
        <v>32</v>
      </c>
      <c r="BB1556" s="47" t="s">
        <v>2485</v>
      </c>
      <c r="BC1556" s="47" t="s">
        <v>8726</v>
      </c>
      <c r="BD1556" s="47" t="s">
        <v>8374</v>
      </c>
      <c r="BE1556" s="48" t="s">
        <v>2449</v>
      </c>
      <c r="BF1556" s="48" t="s">
        <v>272</v>
      </c>
      <c r="BG1556" s="48" t="s">
        <v>272</v>
      </c>
      <c r="BH1556" s="48" t="s">
        <v>2486</v>
      </c>
      <c r="BI1556" s="98">
        <v>6.3999999999999997E-6</v>
      </c>
      <c r="BJ1556" s="98">
        <v>6.4000000000000001E-2</v>
      </c>
      <c r="BK1556" s="48"/>
      <c r="BL1556" s="98">
        <f t="shared" si="405"/>
        <v>0.11518740649005926</v>
      </c>
      <c r="BM1556" s="47" t="s">
        <v>2487</v>
      </c>
      <c r="BN1556" s="48"/>
      <c r="BO1556" s="48"/>
      <c r="BP1556" s="48"/>
      <c r="BQ1556" s="48"/>
      <c r="BR1556" s="47" t="s">
        <v>2496</v>
      </c>
      <c r="BS1556" s="48"/>
      <c r="BT1556" s="48"/>
      <c r="BU1556" s="228"/>
      <c r="BV1556" s="48"/>
      <c r="BW1556" s="48"/>
      <c r="BX1556" s="48"/>
      <c r="BY1556" s="48"/>
      <c r="BZ1556" s="48"/>
      <c r="CA1556" s="48"/>
      <c r="CB1556" s="48"/>
      <c r="CC1556" s="48"/>
      <c r="CD1556" s="48"/>
      <c r="CE1556" s="48"/>
      <c r="CF1556" s="48"/>
      <c r="CG1556" s="48"/>
      <c r="CH1556" s="48"/>
      <c r="CI1556" s="98"/>
      <c r="CJ1556" s="98"/>
      <c r="CK1556" s="49">
        <f t="shared" si="407"/>
        <v>1.7998032264071759</v>
      </c>
      <c r="CL1556" s="229"/>
      <c r="CM1556" s="229"/>
      <c r="CN1556" s="229"/>
      <c r="CO1556" s="47" t="s">
        <v>2488</v>
      </c>
      <c r="CP1556" s="47" t="s">
        <v>2489</v>
      </c>
      <c r="CQ1556" s="224" t="s">
        <v>272</v>
      </c>
      <c r="CR1556" s="224"/>
      <c r="CS1556" s="230" t="s">
        <v>539</v>
      </c>
      <c r="CT1556" s="230"/>
      <c r="CU1556" s="230"/>
      <c r="CV1556" s="335">
        <f t="shared" si="398"/>
        <v>4.1097937373365285</v>
      </c>
      <c r="CW1556" s="230">
        <f t="shared" si="404"/>
        <v>1</v>
      </c>
      <c r="CX1556" s="336"/>
      <c r="CY1556" s="230" t="s">
        <v>5921</v>
      </c>
    </row>
    <row r="1557" spans="1:103" ht="11.25" customHeight="1" x14ac:dyDescent="0.2">
      <c r="A1557" s="72">
        <v>1555</v>
      </c>
      <c r="B1557" s="224">
        <v>1387</v>
      </c>
      <c r="C1557" s="46" t="s">
        <v>7555</v>
      </c>
      <c r="D1557" s="46"/>
      <c r="E1557" s="114"/>
      <c r="F1557" s="114" t="s">
        <v>4276</v>
      </c>
      <c r="G1557" s="225">
        <v>219790724</v>
      </c>
      <c r="H1557" s="47" t="s">
        <v>4277</v>
      </c>
      <c r="I1557" s="47" t="s">
        <v>7854</v>
      </c>
      <c r="J1557" s="47" t="s">
        <v>4278</v>
      </c>
      <c r="K1557" s="47" t="s">
        <v>471</v>
      </c>
      <c r="L1557" s="47"/>
      <c r="M1557" s="47"/>
      <c r="N1557" s="47"/>
      <c r="O1557" s="47"/>
      <c r="P1557" s="53"/>
      <c r="Q1557" s="53"/>
      <c r="R1557" s="53"/>
      <c r="S1557" s="53"/>
      <c r="T1557" s="48">
        <v>410.42</v>
      </c>
      <c r="U1557" s="98"/>
      <c r="V1557" s="98">
        <v>0.36523561229959556</v>
      </c>
      <c r="W1557" s="98">
        <v>3.8904514499428049E-2</v>
      </c>
      <c r="X1557" s="98">
        <f t="shared" si="403"/>
        <v>3.8904514499428049E-2</v>
      </c>
      <c r="Y1557" s="233">
        <v>6.51</v>
      </c>
      <c r="Z1557" s="48">
        <v>1.46</v>
      </c>
      <c r="AA1557" s="48"/>
      <c r="AB1557" s="48">
        <v>1.21</v>
      </c>
      <c r="AC1557" s="48">
        <v>0.59009999999999996</v>
      </c>
      <c r="AD1557" s="48">
        <v>1.73</v>
      </c>
      <c r="AE1557" s="48">
        <v>2.42</v>
      </c>
      <c r="AF1557" s="48">
        <f t="shared" si="410"/>
        <v>1.73</v>
      </c>
      <c r="AG1557" s="49">
        <v>1.17</v>
      </c>
      <c r="AH1557" s="98">
        <v>2.1800000000000001E-19</v>
      </c>
      <c r="AI1557" s="98"/>
      <c r="AJ1557" s="483">
        <f t="shared" si="408"/>
        <v>-17.050109832708046</v>
      </c>
      <c r="AK1557" s="483"/>
      <c r="AL1557" s="483">
        <f t="shared" si="409"/>
        <v>-17.050109832708046</v>
      </c>
      <c r="AM1557" s="483">
        <v>-27.667620000000003</v>
      </c>
      <c r="AN1557" s="226">
        <v>-28.2</v>
      </c>
      <c r="AO1557" s="484">
        <v>8.6999999999999993</v>
      </c>
      <c r="AP1557" s="484">
        <v>-6.68</v>
      </c>
      <c r="AQ1557" s="48" t="s">
        <v>6311</v>
      </c>
      <c r="AR1557" s="48" t="s">
        <v>6311</v>
      </c>
      <c r="AS1557" s="227"/>
      <c r="AT1557" s="50" t="s">
        <v>266</v>
      </c>
      <c r="AU1557" s="48">
        <v>6</v>
      </c>
      <c r="AV1557" s="48">
        <v>120</v>
      </c>
      <c r="AW1557" s="48">
        <v>114</v>
      </c>
      <c r="AX1557" s="48">
        <v>28</v>
      </c>
      <c r="AY1557" s="48" t="s">
        <v>8728</v>
      </c>
      <c r="AZ1557" s="48" t="s">
        <v>1563</v>
      </c>
      <c r="BA1557" s="48">
        <v>32</v>
      </c>
      <c r="BB1557" s="47" t="s">
        <v>2485</v>
      </c>
      <c r="BC1557" s="47" t="s">
        <v>8726</v>
      </c>
      <c r="BD1557" s="47" t="s">
        <v>8374</v>
      </c>
      <c r="BE1557" s="48" t="s">
        <v>2449</v>
      </c>
      <c r="BF1557" s="48" t="s">
        <v>272</v>
      </c>
      <c r="BG1557" s="48" t="s">
        <v>272</v>
      </c>
      <c r="BH1557" s="48" t="s">
        <v>2486</v>
      </c>
      <c r="BI1557" s="98">
        <v>6.3999999999999997E-6</v>
      </c>
      <c r="BJ1557" s="98">
        <v>6.4000000000000001E-2</v>
      </c>
      <c r="BK1557" s="48"/>
      <c r="BL1557" s="98">
        <f t="shared" si="405"/>
        <v>2.5094237270024462</v>
      </c>
      <c r="BM1557" s="47" t="s">
        <v>2487</v>
      </c>
      <c r="BN1557" s="48"/>
      <c r="BO1557" s="48"/>
      <c r="BP1557" s="48"/>
      <c r="BQ1557" s="48"/>
      <c r="BR1557" s="47" t="s">
        <v>2496</v>
      </c>
      <c r="BS1557" s="48"/>
      <c r="BT1557" s="48"/>
      <c r="BU1557" s="228"/>
      <c r="BV1557" s="48"/>
      <c r="BW1557" s="48"/>
      <c r="BX1557" s="48"/>
      <c r="BY1557" s="48"/>
      <c r="BZ1557" s="48"/>
      <c r="CA1557" s="48"/>
      <c r="CB1557" s="48"/>
      <c r="CC1557" s="48"/>
      <c r="CD1557" s="48"/>
      <c r="CE1557" s="48"/>
      <c r="CF1557" s="48"/>
      <c r="CG1557" s="48"/>
      <c r="CH1557" s="48"/>
      <c r="CI1557" s="98"/>
      <c r="CJ1557" s="98"/>
      <c r="CK1557" s="49">
        <f t="shared" si="407"/>
        <v>39.209745734413218</v>
      </c>
      <c r="CL1557" s="229"/>
      <c r="CM1557" s="229"/>
      <c r="CN1557" s="229"/>
      <c r="CO1557" s="47" t="s">
        <v>2488</v>
      </c>
      <c r="CP1557" s="47" t="s">
        <v>2489</v>
      </c>
      <c r="CQ1557" s="224" t="s">
        <v>272</v>
      </c>
      <c r="CR1557" s="224"/>
      <c r="CS1557" s="230" t="s">
        <v>539</v>
      </c>
      <c r="CT1557" s="230"/>
      <c r="CU1557" s="230"/>
      <c r="CV1557" s="335">
        <f t="shared" si="398"/>
        <v>0.60788303905356322</v>
      </c>
      <c r="CW1557" s="230">
        <f t="shared" si="404"/>
        <v>0</v>
      </c>
      <c r="CX1557" s="336"/>
      <c r="CY1557" s="230" t="s">
        <v>5921</v>
      </c>
    </row>
    <row r="1558" spans="1:103" ht="11.25" customHeight="1" x14ac:dyDescent="0.2">
      <c r="A1558" s="72">
        <v>1556</v>
      </c>
      <c r="B1558" s="224">
        <v>1761</v>
      </c>
      <c r="C1558" s="46" t="s">
        <v>7556</v>
      </c>
      <c r="D1558" s="46"/>
      <c r="E1558" s="114"/>
      <c r="F1558" s="114" t="s">
        <v>5074</v>
      </c>
      <c r="G1558" s="225">
        <v>220860504</v>
      </c>
      <c r="H1558" s="47" t="s">
        <v>5075</v>
      </c>
      <c r="I1558" s="47" t="s">
        <v>7756</v>
      </c>
      <c r="J1558" s="47" t="s">
        <v>5076</v>
      </c>
      <c r="K1558" s="47" t="s">
        <v>357</v>
      </c>
      <c r="L1558" s="47"/>
      <c r="M1558" s="47"/>
      <c r="N1558" s="47"/>
      <c r="O1558" s="47"/>
      <c r="P1558" s="53"/>
      <c r="Q1558" s="53"/>
      <c r="R1558" s="53"/>
      <c r="S1558" s="53"/>
      <c r="T1558" s="48">
        <v>180.16</v>
      </c>
      <c r="U1558" s="98"/>
      <c r="V1558" s="98">
        <v>33.070603907637654</v>
      </c>
      <c r="W1558" s="98">
        <v>31.622776601683785</v>
      </c>
      <c r="X1558" s="98">
        <f t="shared" si="403"/>
        <v>31.622776601683785</v>
      </c>
      <c r="Y1558" s="233">
        <v>2.44</v>
      </c>
      <c r="Z1558" s="48">
        <v>1.37</v>
      </c>
      <c r="AA1558" s="48">
        <v>1.1299999999999999</v>
      </c>
      <c r="AB1558" s="48">
        <v>1.62</v>
      </c>
      <c r="AC1558" s="48">
        <v>0.84399999999999997</v>
      </c>
      <c r="AD1558" s="48">
        <v>1.49</v>
      </c>
      <c r="AE1558" s="48">
        <v>1.1299999999999999</v>
      </c>
      <c r="AF1558" s="48">
        <f t="shared" si="410"/>
        <v>1.1299999999999999</v>
      </c>
      <c r="AG1558" s="49">
        <v>1.17</v>
      </c>
      <c r="AH1558" s="98">
        <v>6.9899999999999996E-10</v>
      </c>
      <c r="AI1558" s="98"/>
      <c r="AJ1558" s="483">
        <f t="shared" si="408"/>
        <v>-7.54408915056697</v>
      </c>
      <c r="AK1558" s="483"/>
      <c r="AL1558" s="483">
        <f t="shared" si="409"/>
        <v>-7.54408915056697</v>
      </c>
      <c r="AM1558" s="483">
        <v>-10.548029999999999</v>
      </c>
      <c r="AN1558" s="226">
        <v>-5.82</v>
      </c>
      <c r="AO1558" s="484">
        <v>3.32</v>
      </c>
      <c r="AP1558" s="484"/>
      <c r="AQ1558" s="226" t="s">
        <v>6311</v>
      </c>
      <c r="AR1558" s="226" t="s">
        <v>6312</v>
      </c>
      <c r="AS1558" s="224"/>
      <c r="AT1558" s="50" t="s">
        <v>266</v>
      </c>
      <c r="AU1558" s="48">
        <v>6</v>
      </c>
      <c r="AV1558" s="48">
        <v>120</v>
      </c>
      <c r="AW1558" s="48">
        <v>114</v>
      </c>
      <c r="AX1558" s="48">
        <v>28</v>
      </c>
      <c r="AY1558" s="48" t="s">
        <v>8728</v>
      </c>
      <c r="AZ1558" s="48" t="s">
        <v>1563</v>
      </c>
      <c r="BA1558" s="48">
        <v>32</v>
      </c>
      <c r="BB1558" s="47" t="s">
        <v>2485</v>
      </c>
      <c r="BC1558" s="47" t="s">
        <v>8726</v>
      </c>
      <c r="BD1558" s="47" t="s">
        <v>8374</v>
      </c>
      <c r="BE1558" s="48" t="s">
        <v>2449</v>
      </c>
      <c r="BF1558" s="48" t="s">
        <v>272</v>
      </c>
      <c r="BG1558" s="48" t="s">
        <v>272</v>
      </c>
      <c r="BH1558" s="48" t="s">
        <v>2486</v>
      </c>
      <c r="BI1558" s="98">
        <v>6.3999999999999997E-6</v>
      </c>
      <c r="BJ1558" s="98">
        <v>6.4000000000000001E-2</v>
      </c>
      <c r="BK1558" s="48"/>
      <c r="BL1558" s="98">
        <f t="shared" si="405"/>
        <v>3.0227553604208315</v>
      </c>
      <c r="BM1558" s="47" t="s">
        <v>2487</v>
      </c>
      <c r="BN1558" s="48"/>
      <c r="BO1558" s="48"/>
      <c r="BP1558" s="48"/>
      <c r="BQ1558" s="48"/>
      <c r="BR1558" s="47" t="s">
        <v>2496</v>
      </c>
      <c r="BS1558" s="48"/>
      <c r="BT1558" s="48"/>
      <c r="BU1558" s="228"/>
      <c r="BV1558" s="48"/>
      <c r="BW1558" s="48"/>
      <c r="BX1558" s="48"/>
      <c r="BY1558" s="48"/>
      <c r="BZ1558" s="48"/>
      <c r="CA1558" s="48"/>
      <c r="CB1558" s="48"/>
      <c r="CC1558" s="48"/>
      <c r="CD1558" s="48"/>
      <c r="CE1558" s="48"/>
      <c r="CF1558" s="48"/>
      <c r="CG1558" s="48"/>
      <c r="CH1558" s="48"/>
      <c r="CI1558" s="98"/>
      <c r="CJ1558" s="98"/>
      <c r="CK1558" s="49">
        <f t="shared" si="407"/>
        <v>47.230552506575492</v>
      </c>
      <c r="CL1558" s="229"/>
      <c r="CM1558" s="229"/>
      <c r="CN1558" s="229"/>
      <c r="CO1558" s="47" t="s">
        <v>2488</v>
      </c>
      <c r="CP1558" s="47" t="s">
        <v>2489</v>
      </c>
      <c r="CQ1558" s="224" t="s">
        <v>272</v>
      </c>
      <c r="CR1558" s="224"/>
      <c r="CS1558" s="230" t="s">
        <v>539</v>
      </c>
      <c r="CT1558" s="230"/>
      <c r="CU1558" s="230"/>
      <c r="CV1558" s="335">
        <f t="shared" si="398"/>
        <v>494.10588440130914</v>
      </c>
      <c r="CW1558" s="230">
        <f t="shared" si="404"/>
        <v>1</v>
      </c>
      <c r="CX1558" s="336"/>
      <c r="CY1558" s="230" t="s">
        <v>5921</v>
      </c>
    </row>
    <row r="1559" spans="1:103" ht="11.25" customHeight="1" x14ac:dyDescent="0.2">
      <c r="A1559" s="72">
        <v>1557</v>
      </c>
      <c r="B1559" s="224">
        <v>1444</v>
      </c>
      <c r="C1559" s="46" t="s">
        <v>7557</v>
      </c>
      <c r="D1559" s="46"/>
      <c r="E1559" s="114"/>
      <c r="F1559" s="114" t="s">
        <v>4441</v>
      </c>
      <c r="G1559" s="225">
        <v>230954093</v>
      </c>
      <c r="H1559" s="47" t="s">
        <v>4442</v>
      </c>
      <c r="I1559" s="47" t="s">
        <v>7800</v>
      </c>
      <c r="J1559" s="47" t="s">
        <v>4443</v>
      </c>
      <c r="K1559" s="47" t="s">
        <v>1473</v>
      </c>
      <c r="L1559" s="47"/>
      <c r="M1559" s="47"/>
      <c r="N1559" s="47"/>
      <c r="O1559" s="47"/>
      <c r="P1559" s="53"/>
      <c r="Q1559" s="53"/>
      <c r="R1559" s="53"/>
      <c r="S1559" s="53"/>
      <c r="T1559" s="48">
        <v>361.37</v>
      </c>
      <c r="U1559" s="98"/>
      <c r="V1559" s="98">
        <v>5.0834324930127017E-2</v>
      </c>
      <c r="W1559" s="98">
        <v>2.1877616239495488E-2</v>
      </c>
      <c r="X1559" s="98">
        <f t="shared" si="403"/>
        <v>2.1877616239495488E-2</v>
      </c>
      <c r="Y1559" s="233">
        <v>6.96</v>
      </c>
      <c r="Z1559" s="48">
        <v>2.88</v>
      </c>
      <c r="AA1559" s="48"/>
      <c r="AB1559" s="48">
        <v>2.36</v>
      </c>
      <c r="AC1559" s="48">
        <v>0.66659999999999997</v>
      </c>
      <c r="AD1559" s="48">
        <v>2.79</v>
      </c>
      <c r="AE1559" s="48">
        <v>3.74</v>
      </c>
      <c r="AF1559" s="48">
        <f t="shared" si="410"/>
        <v>2.79</v>
      </c>
      <c r="AG1559" s="49">
        <v>3.43</v>
      </c>
      <c r="AH1559" s="98">
        <v>5.9699999999999996E-20</v>
      </c>
      <c r="AI1559" s="98"/>
      <c r="AJ1559" s="483">
        <f t="shared" si="408"/>
        <v>-17.612591995183283</v>
      </c>
      <c r="AK1559" s="483"/>
      <c r="AL1559" s="483">
        <f t="shared" si="409"/>
        <v>-17.612591995183283</v>
      </c>
      <c r="AM1559" s="483">
        <v>-20.8718</v>
      </c>
      <c r="AN1559" s="226">
        <v>-19.899999999999999</v>
      </c>
      <c r="AO1559" s="484">
        <v>10.42</v>
      </c>
      <c r="AP1559" s="484">
        <v>0.76</v>
      </c>
      <c r="AQ1559" s="48" t="s">
        <v>6311</v>
      </c>
      <c r="AR1559" s="48" t="s">
        <v>6311</v>
      </c>
      <c r="AS1559" s="227"/>
      <c r="AT1559" s="50" t="s">
        <v>266</v>
      </c>
      <c r="AU1559" s="48">
        <v>6</v>
      </c>
      <c r="AV1559" s="48">
        <v>120</v>
      </c>
      <c r="AW1559" s="48">
        <v>114</v>
      </c>
      <c r="AX1559" s="48">
        <v>28</v>
      </c>
      <c r="AY1559" s="48" t="s">
        <v>8728</v>
      </c>
      <c r="AZ1559" s="48" t="s">
        <v>1563</v>
      </c>
      <c r="BA1559" s="48">
        <v>32</v>
      </c>
      <c r="BB1559" s="47" t="s">
        <v>2485</v>
      </c>
      <c r="BC1559" s="47" t="s">
        <v>8726</v>
      </c>
      <c r="BD1559" s="47" t="s">
        <v>8374</v>
      </c>
      <c r="BE1559" s="48" t="s">
        <v>2449</v>
      </c>
      <c r="BF1559" s="48" t="s">
        <v>272</v>
      </c>
      <c r="BG1559" s="48" t="s">
        <v>272</v>
      </c>
      <c r="BH1559" s="48" t="s">
        <v>2486</v>
      </c>
      <c r="BI1559" s="98">
        <v>6.3999999999999997E-6</v>
      </c>
      <c r="BJ1559" s="98">
        <v>6.4000000000000001E-2</v>
      </c>
      <c r="BK1559" s="48"/>
      <c r="BL1559" s="98">
        <f t="shared" si="405"/>
        <v>0.13312879467583441</v>
      </c>
      <c r="BM1559" s="47" t="s">
        <v>2487</v>
      </c>
      <c r="BN1559" s="48"/>
      <c r="BO1559" s="48"/>
      <c r="BP1559" s="48"/>
      <c r="BQ1559" s="48"/>
      <c r="BR1559" s="47" t="s">
        <v>2496</v>
      </c>
      <c r="BS1559" s="48"/>
      <c r="BT1559" s="48"/>
      <c r="BU1559" s="228"/>
      <c r="BV1559" s="48"/>
      <c r="BW1559" s="48"/>
      <c r="BX1559" s="48"/>
      <c r="BY1559" s="48"/>
      <c r="BZ1559" s="48"/>
      <c r="CA1559" s="48"/>
      <c r="CB1559" s="48"/>
      <c r="CC1559" s="48"/>
      <c r="CD1559" s="48"/>
      <c r="CE1559" s="48"/>
      <c r="CF1559" s="48"/>
      <c r="CG1559" s="48"/>
      <c r="CH1559" s="48"/>
      <c r="CI1559" s="98"/>
      <c r="CJ1559" s="98"/>
      <c r="CK1559" s="49">
        <f t="shared" si="407"/>
        <v>2.0801374168099125</v>
      </c>
      <c r="CL1559" s="229"/>
      <c r="CM1559" s="229"/>
      <c r="CN1559" s="229"/>
      <c r="CO1559" s="47" t="s">
        <v>2488</v>
      </c>
      <c r="CP1559" s="47" t="s">
        <v>2489</v>
      </c>
      <c r="CQ1559" s="224" t="s">
        <v>272</v>
      </c>
      <c r="CR1559" s="224"/>
      <c r="CS1559" s="230" t="s">
        <v>539</v>
      </c>
      <c r="CT1559" s="230"/>
      <c r="CU1559" s="230"/>
      <c r="CV1559" s="335">
        <f t="shared" si="398"/>
        <v>0.341837753742117</v>
      </c>
      <c r="CW1559" s="230">
        <f t="shared" si="404"/>
        <v>0</v>
      </c>
      <c r="CX1559" s="336"/>
      <c r="CY1559" s="230" t="s">
        <v>5921</v>
      </c>
    </row>
    <row r="1560" spans="1:103" ht="11.25" customHeight="1" x14ac:dyDescent="0.2">
      <c r="A1560" s="72">
        <v>1558</v>
      </c>
      <c r="B1560" s="224">
        <v>1523</v>
      </c>
      <c r="C1560" s="46" t="s">
        <v>7558</v>
      </c>
      <c r="D1560" s="46"/>
      <c r="E1560" s="114"/>
      <c r="F1560" s="114" t="s">
        <v>4620</v>
      </c>
      <c r="G1560" s="225">
        <v>253450098</v>
      </c>
      <c r="H1560" s="47" t="s">
        <v>4621</v>
      </c>
      <c r="I1560" s="47" t="s">
        <v>7847</v>
      </c>
      <c r="J1560" s="47" t="s">
        <v>4622</v>
      </c>
      <c r="K1560" s="47" t="s">
        <v>4623</v>
      </c>
      <c r="L1560" s="47"/>
      <c r="M1560" s="47"/>
      <c r="N1560" s="47"/>
      <c r="O1560" s="47"/>
      <c r="P1560" s="53"/>
      <c r="Q1560" s="53"/>
      <c r="R1560" s="53"/>
      <c r="S1560" s="53"/>
      <c r="T1560" s="48">
        <v>404.48</v>
      </c>
      <c r="U1560" s="98"/>
      <c r="V1560" s="98">
        <v>1.1224287974683543E-3</v>
      </c>
      <c r="W1560" s="98">
        <v>5.0118723362727241E-2</v>
      </c>
      <c r="X1560" s="98">
        <f t="shared" si="403"/>
        <v>5.0118723362727241E-2</v>
      </c>
      <c r="Y1560" s="233">
        <v>4.4400000000000004</v>
      </c>
      <c r="Z1560" s="48">
        <v>4.45</v>
      </c>
      <c r="AA1560" s="48"/>
      <c r="AB1560" s="48">
        <v>3.01</v>
      </c>
      <c r="AC1560" s="48">
        <v>0.39360000000000001</v>
      </c>
      <c r="AD1560" s="48">
        <v>3.13</v>
      </c>
      <c r="AE1560" s="48">
        <v>3.2</v>
      </c>
      <c r="AF1560" s="48">
        <f t="shared" si="410"/>
        <v>3.13</v>
      </c>
      <c r="AG1560" s="49">
        <v>3.58</v>
      </c>
      <c r="AH1560" s="98">
        <v>8.8800000000000003E-16</v>
      </c>
      <c r="AI1560" s="98"/>
      <c r="AJ1560" s="483">
        <f t="shared" si="408"/>
        <v>-13.440153360534051</v>
      </c>
      <c r="AK1560" s="483"/>
      <c r="AL1560" s="483">
        <f t="shared" si="409"/>
        <v>-13.440153360534051</v>
      </c>
      <c r="AM1560" s="483">
        <v>-22.751549999999998</v>
      </c>
      <c r="AN1560" s="226">
        <v>-22.3</v>
      </c>
      <c r="AO1560" s="484">
        <v>4.74</v>
      </c>
      <c r="AP1560" s="484">
        <v>1.63</v>
      </c>
      <c r="AQ1560" s="48" t="s">
        <v>6311</v>
      </c>
      <c r="AR1560" s="48" t="s">
        <v>6311</v>
      </c>
      <c r="AS1560" s="227"/>
      <c r="AT1560" s="50" t="s">
        <v>266</v>
      </c>
      <c r="AU1560" s="48">
        <v>6</v>
      </c>
      <c r="AV1560" s="48">
        <v>120</v>
      </c>
      <c r="AW1560" s="48">
        <v>114</v>
      </c>
      <c r="AX1560" s="48">
        <v>28</v>
      </c>
      <c r="AY1560" s="48" t="s">
        <v>8728</v>
      </c>
      <c r="AZ1560" s="48" t="s">
        <v>1563</v>
      </c>
      <c r="BA1560" s="48">
        <v>32</v>
      </c>
      <c r="BB1560" s="47" t="s">
        <v>2485</v>
      </c>
      <c r="BC1560" s="47" t="s">
        <v>8726</v>
      </c>
      <c r="BD1560" s="47" t="s">
        <v>8374</v>
      </c>
      <c r="BE1560" s="48" t="s">
        <v>2449</v>
      </c>
      <c r="BF1560" s="48" t="s">
        <v>272</v>
      </c>
      <c r="BG1560" s="48" t="s">
        <v>272</v>
      </c>
      <c r="BH1560" s="48" t="s">
        <v>2486</v>
      </c>
      <c r="BI1560" s="98">
        <v>6.3999999999999997E-6</v>
      </c>
      <c r="BJ1560" s="98">
        <v>6.4000000000000001E-2</v>
      </c>
      <c r="BK1560" s="48"/>
      <c r="BL1560" s="98">
        <f t="shared" si="405"/>
        <v>5.1791083880474015E-3</v>
      </c>
      <c r="BM1560" s="47" t="s">
        <v>2487</v>
      </c>
      <c r="BN1560" s="48"/>
      <c r="BO1560" s="48"/>
      <c r="BP1560" s="48"/>
      <c r="BQ1560" s="48"/>
      <c r="BR1560" s="47" t="s">
        <v>2496</v>
      </c>
      <c r="BS1560" s="48"/>
      <c r="BT1560" s="48"/>
      <c r="BU1560" s="228"/>
      <c r="BV1560" s="48"/>
      <c r="BW1560" s="48"/>
      <c r="BX1560" s="48"/>
      <c r="BY1560" s="48"/>
      <c r="BZ1560" s="48"/>
      <c r="CA1560" s="48"/>
      <c r="CB1560" s="48"/>
      <c r="CC1560" s="48"/>
      <c r="CD1560" s="48"/>
      <c r="CE1560" s="48"/>
      <c r="CF1560" s="48"/>
      <c r="CG1560" s="48"/>
      <c r="CH1560" s="48"/>
      <c r="CI1560" s="98"/>
      <c r="CJ1560" s="98"/>
      <c r="CK1560" s="49">
        <f t="shared" si="407"/>
        <v>8.092356856324065E-2</v>
      </c>
      <c r="CL1560" s="229"/>
      <c r="CM1560" s="229"/>
      <c r="CN1560" s="229"/>
      <c r="CO1560" s="47" t="s">
        <v>2488</v>
      </c>
      <c r="CP1560" s="47" t="s">
        <v>2489</v>
      </c>
      <c r="CQ1560" s="224" t="s">
        <v>272</v>
      </c>
      <c r="CR1560" s="224"/>
      <c r="CS1560" s="230" t="s">
        <v>539</v>
      </c>
      <c r="CT1560" s="230"/>
      <c r="CU1560" s="230"/>
      <c r="CV1560" s="335">
        <f t="shared" si="398"/>
        <v>0.78310505254261309</v>
      </c>
      <c r="CW1560" s="230">
        <f t="shared" si="404"/>
        <v>0</v>
      </c>
      <c r="CX1560" s="336"/>
      <c r="CY1560" s="230" t="s">
        <v>5921</v>
      </c>
    </row>
    <row r="1561" spans="1:103" ht="11.25" customHeight="1" x14ac:dyDescent="0.2">
      <c r="A1561" s="72">
        <v>1559</v>
      </c>
      <c r="B1561" s="224">
        <v>1832</v>
      </c>
      <c r="C1561" s="46" t="s">
        <v>7559</v>
      </c>
      <c r="D1561" s="46"/>
      <c r="E1561" s="114"/>
      <c r="F1561" s="114" t="s">
        <v>5245</v>
      </c>
      <c r="G1561" s="225">
        <v>261947380</v>
      </c>
      <c r="H1561" s="47" t="s">
        <v>5246</v>
      </c>
      <c r="I1561" s="47" t="s">
        <v>7828</v>
      </c>
      <c r="J1561" s="47" t="s">
        <v>5247</v>
      </c>
      <c r="K1561" s="47" t="s">
        <v>357</v>
      </c>
      <c r="L1561" s="51"/>
      <c r="M1561" s="47"/>
      <c r="N1561" s="47"/>
      <c r="O1561" s="47"/>
      <c r="P1561" s="53"/>
      <c r="Q1561" s="53"/>
      <c r="R1561" s="53"/>
      <c r="S1561" s="53"/>
      <c r="T1561" s="48">
        <v>678.59</v>
      </c>
      <c r="U1561" s="98"/>
      <c r="V1561" s="98"/>
      <c r="W1561" s="98">
        <v>2.1379620895022318</v>
      </c>
      <c r="X1561" s="98">
        <f t="shared" si="403"/>
        <v>2.1379620895022318</v>
      </c>
      <c r="Y1561" s="233">
        <v>7</v>
      </c>
      <c r="Z1561" s="48"/>
      <c r="AA1561" s="48"/>
      <c r="AB1561" s="48"/>
      <c r="AC1561" s="48"/>
      <c r="AD1561" s="48"/>
      <c r="AE1561" s="48"/>
      <c r="AF1561" s="48"/>
      <c r="AG1561" s="49">
        <v>-1.1599999999999999</v>
      </c>
      <c r="AH1561" s="98">
        <v>1.4399999999999999E-28</v>
      </c>
      <c r="AI1561" s="98"/>
      <c r="AJ1561" s="483">
        <f t="shared" si="408"/>
        <v>-26.230203834217402</v>
      </c>
      <c r="AK1561" s="483"/>
      <c r="AL1561" s="483">
        <f t="shared" si="409"/>
        <v>-26.230203834217402</v>
      </c>
      <c r="AM1561" s="483"/>
      <c r="AN1561" s="226">
        <v>-19.600000000000001</v>
      </c>
      <c r="AO1561" s="484"/>
      <c r="AP1561" s="484"/>
      <c r="AQ1561" s="226" t="s">
        <v>6311</v>
      </c>
      <c r="AR1561" s="226" t="s">
        <v>6314</v>
      </c>
      <c r="AS1561" s="224"/>
      <c r="AT1561" s="50" t="s">
        <v>266</v>
      </c>
      <c r="AU1561" s="48">
        <v>6</v>
      </c>
      <c r="AV1561" s="48">
        <v>120</v>
      </c>
      <c r="AW1561" s="48">
        <v>114</v>
      </c>
      <c r="AX1561" s="48">
        <v>28</v>
      </c>
      <c r="AY1561" s="48" t="s">
        <v>8728</v>
      </c>
      <c r="AZ1561" s="48" t="s">
        <v>1563</v>
      </c>
      <c r="BA1561" s="48">
        <v>32</v>
      </c>
      <c r="BB1561" s="47" t="s">
        <v>2485</v>
      </c>
      <c r="BC1561" s="47" t="s">
        <v>8726</v>
      </c>
      <c r="BD1561" s="47" t="s">
        <v>8374</v>
      </c>
      <c r="BE1561" s="48" t="s">
        <v>2449</v>
      </c>
      <c r="BF1561" s="48" t="s">
        <v>272</v>
      </c>
      <c r="BG1561" s="48" t="s">
        <v>272</v>
      </c>
      <c r="BH1561" s="48" t="s">
        <v>2486</v>
      </c>
      <c r="BI1561" s="98">
        <v>6.3999999999999997E-6</v>
      </c>
      <c r="BJ1561" s="98">
        <v>6.4000000000000001E-2</v>
      </c>
      <c r="BK1561" s="48"/>
      <c r="BL1561" s="98"/>
      <c r="BM1561" s="47" t="s">
        <v>2487</v>
      </c>
      <c r="BN1561" s="48"/>
      <c r="BO1561" s="48"/>
      <c r="BP1561" s="48"/>
      <c r="BQ1561" s="48"/>
      <c r="BR1561" s="47" t="s">
        <v>2496</v>
      </c>
      <c r="BS1561" s="48"/>
      <c r="BT1561" s="48"/>
      <c r="BU1561" s="228"/>
      <c r="BV1561" s="48"/>
      <c r="BW1561" s="48"/>
      <c r="BX1561" s="48"/>
      <c r="BY1561" s="48"/>
      <c r="BZ1561" s="48"/>
      <c r="CA1561" s="48"/>
      <c r="CB1561" s="48"/>
      <c r="CC1561" s="48"/>
      <c r="CD1561" s="48"/>
      <c r="CE1561" s="48"/>
      <c r="CF1561" s="48"/>
      <c r="CG1561" s="48"/>
      <c r="CH1561" s="48"/>
      <c r="CI1561" s="98"/>
      <c r="CJ1561" s="98"/>
      <c r="CK1561" s="49">
        <f t="shared" si="407"/>
        <v>0</v>
      </c>
      <c r="CL1561" s="229"/>
      <c r="CM1561" s="229"/>
      <c r="CN1561" s="229"/>
      <c r="CO1561" s="47" t="s">
        <v>2488</v>
      </c>
      <c r="CP1561" s="47" t="s">
        <v>2489</v>
      </c>
      <c r="CQ1561" s="224" t="s">
        <v>272</v>
      </c>
      <c r="CR1561" s="224"/>
      <c r="CS1561" s="230" t="s">
        <v>539</v>
      </c>
      <c r="CT1561" s="230"/>
      <c r="CU1561" s="230"/>
      <c r="CV1561" s="335">
        <f t="shared" si="398"/>
        <v>33.405657648472371</v>
      </c>
      <c r="CW1561" s="230">
        <f t="shared" si="404"/>
        <v>1</v>
      </c>
      <c r="CX1561" s="336"/>
      <c r="CY1561" s="230" t="s">
        <v>5921</v>
      </c>
    </row>
    <row r="1562" spans="1:103" ht="11.25" customHeight="1" x14ac:dyDescent="0.2">
      <c r="A1562" s="72">
        <v>1560</v>
      </c>
      <c r="B1562" s="224">
        <v>962</v>
      </c>
      <c r="C1562" s="46" t="s">
        <v>7560</v>
      </c>
      <c r="D1562" s="46"/>
      <c r="E1562" s="114"/>
      <c r="F1562" s="114" t="s">
        <v>2743</v>
      </c>
      <c r="G1562" s="225">
        <v>264618442</v>
      </c>
      <c r="H1562" s="47" t="s">
        <v>2744</v>
      </c>
      <c r="I1562" s="47" t="s">
        <v>7754</v>
      </c>
      <c r="J1562" s="47" t="s">
        <v>2745</v>
      </c>
      <c r="K1562" s="47" t="s">
        <v>357</v>
      </c>
      <c r="L1562" s="47"/>
      <c r="M1562" s="47"/>
      <c r="N1562" s="47"/>
      <c r="O1562" s="47"/>
      <c r="P1562" s="53"/>
      <c r="Q1562" s="53" t="s">
        <v>6173</v>
      </c>
      <c r="R1562" s="53" t="s">
        <v>6174</v>
      </c>
      <c r="S1562" s="53" t="s">
        <v>6176</v>
      </c>
      <c r="T1562" s="48">
        <v>312.36</v>
      </c>
      <c r="U1562" s="98"/>
      <c r="V1562" s="98">
        <v>2.7087335126136508E-3</v>
      </c>
      <c r="W1562" s="98">
        <v>1.9498445997580431E-2</v>
      </c>
      <c r="X1562" s="98">
        <f t="shared" si="403"/>
        <v>1.9498445997580431E-2</v>
      </c>
      <c r="Y1562" s="233">
        <v>7</v>
      </c>
      <c r="Z1562" s="48">
        <v>4.79</v>
      </c>
      <c r="AA1562" s="48"/>
      <c r="AB1562" s="48">
        <v>4.5599999999999996</v>
      </c>
      <c r="AC1562" s="48">
        <v>0.75609999999999999</v>
      </c>
      <c r="AD1562" s="48">
        <v>4.79</v>
      </c>
      <c r="AE1562" s="48">
        <v>5.23</v>
      </c>
      <c r="AF1562" s="48">
        <f t="shared" ref="AF1562:AF1625" si="411">IF(AA1562=0,AD1562,AA1562)</f>
        <v>4.79</v>
      </c>
      <c r="AG1562" s="49">
        <v>4.2699999999999996</v>
      </c>
      <c r="AH1562" s="98">
        <v>5.0799999999999998E-8</v>
      </c>
      <c r="AI1562" s="98"/>
      <c r="AJ1562" s="483">
        <f t="shared" si="408"/>
        <v>-5.6827026140287327</v>
      </c>
      <c r="AK1562" s="483"/>
      <c r="AL1562" s="483">
        <f t="shared" si="409"/>
        <v>-5.6827026140287327</v>
      </c>
      <c r="AM1562" s="483">
        <v>-11.576219999999999</v>
      </c>
      <c r="AN1562" s="226">
        <v>-6.63</v>
      </c>
      <c r="AO1562" s="484"/>
      <c r="AP1562" s="484"/>
      <c r="AQ1562" s="48" t="s">
        <v>6311</v>
      </c>
      <c r="AR1562" s="48" t="s">
        <v>6312</v>
      </c>
      <c r="AS1562" s="227"/>
      <c r="AT1562" s="50" t="s">
        <v>266</v>
      </c>
      <c r="AU1562" s="48">
        <v>6</v>
      </c>
      <c r="AV1562" s="48">
        <v>120</v>
      </c>
      <c r="AW1562" s="48">
        <v>114</v>
      </c>
      <c r="AX1562" s="48">
        <v>28</v>
      </c>
      <c r="AY1562" s="48" t="s">
        <v>8728</v>
      </c>
      <c r="AZ1562" s="48" t="s">
        <v>1563</v>
      </c>
      <c r="BA1562" s="48">
        <v>32</v>
      </c>
      <c r="BB1562" s="47" t="s">
        <v>2485</v>
      </c>
      <c r="BC1562" s="47" t="s">
        <v>8726</v>
      </c>
      <c r="BD1562" s="47" t="s">
        <v>8374</v>
      </c>
      <c r="BE1562" s="48" t="s">
        <v>2449</v>
      </c>
      <c r="BF1562" s="48" t="s">
        <v>272</v>
      </c>
      <c r="BG1562" s="48" t="s">
        <v>272</v>
      </c>
      <c r="BH1562" s="48" t="s">
        <v>2486</v>
      </c>
      <c r="BI1562" s="98">
        <v>6.3999999999999997E-6</v>
      </c>
      <c r="BJ1562" s="98">
        <v>6.4000000000000001E-2</v>
      </c>
      <c r="BK1562" s="48"/>
      <c r="BL1562" s="98">
        <f t="shared" ref="BL1562:BL1581" si="412">10^((-0.8981*Z1562)+1.7108)</f>
        <v>2.5638995138142985E-3</v>
      </c>
      <c r="BM1562" s="47" t="s">
        <v>2487</v>
      </c>
      <c r="BN1562" s="48"/>
      <c r="BO1562" s="48"/>
      <c r="BP1562" s="48"/>
      <c r="BQ1562" s="48"/>
      <c r="BR1562" s="47" t="s">
        <v>2496</v>
      </c>
      <c r="BS1562" s="48"/>
      <c r="BT1562" s="48"/>
      <c r="BU1562" s="228">
        <v>1.5999999999999999E-5</v>
      </c>
      <c r="BV1562" s="48"/>
      <c r="BW1562" s="48"/>
      <c r="BX1562" s="48"/>
      <c r="BY1562" s="48"/>
      <c r="BZ1562" s="48"/>
      <c r="CA1562" s="48"/>
      <c r="CB1562" s="48"/>
      <c r="CC1562" s="48"/>
      <c r="CD1562" s="48"/>
      <c r="CE1562" s="48"/>
      <c r="CF1562" s="48"/>
      <c r="CG1562" s="48"/>
      <c r="CH1562" s="48"/>
      <c r="CI1562" s="98"/>
      <c r="CJ1562" s="98"/>
      <c r="CK1562" s="49">
        <f t="shared" si="407"/>
        <v>4.0060929903348412E-2</v>
      </c>
      <c r="CL1562" s="229"/>
      <c r="CM1562" s="229"/>
      <c r="CN1562" s="229"/>
      <c r="CO1562" s="47" t="s">
        <v>2488</v>
      </c>
      <c r="CP1562" s="47" t="s">
        <v>2489</v>
      </c>
      <c r="CQ1562" s="224" t="s">
        <v>272</v>
      </c>
      <c r="CR1562" s="224"/>
      <c r="CS1562" s="230" t="s">
        <v>539</v>
      </c>
      <c r="CT1562" s="230"/>
      <c r="CU1562" s="230"/>
      <c r="CV1562" s="335">
        <f t="shared" si="398"/>
        <v>0.30466321871219421</v>
      </c>
      <c r="CW1562" s="230">
        <f t="shared" si="404"/>
        <v>0</v>
      </c>
      <c r="CX1562" s="336"/>
      <c r="CY1562" s="230" t="s">
        <v>5921</v>
      </c>
    </row>
    <row r="1563" spans="1:103" ht="11.25" customHeight="1" x14ac:dyDescent="0.2">
      <c r="A1563" s="72">
        <v>1561</v>
      </c>
      <c r="B1563" s="224">
        <v>892</v>
      </c>
      <c r="C1563" s="46" t="s">
        <v>7561</v>
      </c>
      <c r="D1563" s="46"/>
      <c r="E1563" s="114"/>
      <c r="F1563" s="114" t="s">
        <v>2540</v>
      </c>
      <c r="G1563" s="225">
        <v>289716945</v>
      </c>
      <c r="H1563" s="47" t="s">
        <v>2541</v>
      </c>
      <c r="I1563" s="47" t="s">
        <v>7741</v>
      </c>
      <c r="J1563" s="47" t="s">
        <v>2542</v>
      </c>
      <c r="K1563" s="47" t="s">
        <v>471</v>
      </c>
      <c r="L1563" s="47"/>
      <c r="M1563" s="47"/>
      <c r="N1563" s="47"/>
      <c r="O1563" s="47"/>
      <c r="P1563" s="53"/>
      <c r="Q1563" s="53"/>
      <c r="R1563" s="53"/>
      <c r="S1563" s="53"/>
      <c r="T1563" s="48">
        <v>339.77</v>
      </c>
      <c r="U1563" s="98"/>
      <c r="V1563" s="98">
        <v>1.7785560820555081E-2</v>
      </c>
      <c r="W1563" s="98">
        <v>0.57543993733715637</v>
      </c>
      <c r="X1563" s="98">
        <f t="shared" si="403"/>
        <v>0.57543993733715637</v>
      </c>
      <c r="Y1563" s="233">
        <v>3.28</v>
      </c>
      <c r="Z1563" s="48">
        <v>3.6</v>
      </c>
      <c r="AA1563" s="48"/>
      <c r="AB1563" s="48">
        <v>3.14</v>
      </c>
      <c r="AC1563" s="48">
        <v>0.66610000000000003</v>
      </c>
      <c r="AD1563" s="48">
        <v>3.13</v>
      </c>
      <c r="AE1563" s="48">
        <v>3.1</v>
      </c>
      <c r="AF1563" s="48">
        <f t="shared" si="411"/>
        <v>3.13</v>
      </c>
      <c r="AG1563" s="49">
        <v>3.13</v>
      </c>
      <c r="AH1563" s="98">
        <v>1.4700000000000001E-10</v>
      </c>
      <c r="AI1563" s="98"/>
      <c r="AJ1563" s="483">
        <f t="shared" si="408"/>
        <v>-8.221248991564476</v>
      </c>
      <c r="AK1563" s="483"/>
      <c r="AL1563" s="483">
        <f t="shared" si="409"/>
        <v>-8.221248991564476</v>
      </c>
      <c r="AM1563" s="483">
        <v>-17.853460000000002</v>
      </c>
      <c r="AN1563" s="226"/>
      <c r="AO1563" s="484">
        <v>2.2400000000000002</v>
      </c>
      <c r="AP1563" s="484">
        <v>-3.34</v>
      </c>
      <c r="AQ1563" s="48" t="s">
        <v>6311</v>
      </c>
      <c r="AR1563" s="48" t="s">
        <v>6311</v>
      </c>
      <c r="AS1563" s="227"/>
      <c r="AT1563" s="50" t="s">
        <v>266</v>
      </c>
      <c r="AU1563" s="48">
        <v>6</v>
      </c>
      <c r="AV1563" s="48">
        <v>120</v>
      </c>
      <c r="AW1563" s="48">
        <v>114</v>
      </c>
      <c r="AX1563" s="48">
        <v>28</v>
      </c>
      <c r="AY1563" s="48" t="s">
        <v>8728</v>
      </c>
      <c r="AZ1563" s="48" t="s">
        <v>1563</v>
      </c>
      <c r="BA1563" s="48">
        <v>32</v>
      </c>
      <c r="BB1563" s="47" t="s">
        <v>2485</v>
      </c>
      <c r="BC1563" s="47" t="s">
        <v>8726</v>
      </c>
      <c r="BD1563" s="47" t="s">
        <v>8374</v>
      </c>
      <c r="BE1563" s="48" t="s">
        <v>2449</v>
      </c>
      <c r="BF1563" s="48" t="s">
        <v>272</v>
      </c>
      <c r="BG1563" s="48" t="s">
        <v>272</v>
      </c>
      <c r="BH1563" s="48" t="s">
        <v>2486</v>
      </c>
      <c r="BI1563" s="98">
        <v>6.3999999999999997E-6</v>
      </c>
      <c r="BJ1563" s="98">
        <v>6.4000000000000001E-2</v>
      </c>
      <c r="BK1563" s="48"/>
      <c r="BL1563" s="98">
        <f t="shared" si="412"/>
        <v>3.0035855063856854E-2</v>
      </c>
      <c r="BM1563" s="47" t="s">
        <v>2487</v>
      </c>
      <c r="BN1563" s="48"/>
      <c r="BO1563" s="48"/>
      <c r="BP1563" s="48"/>
      <c r="BQ1563" s="48"/>
      <c r="BR1563" s="47" t="s">
        <v>2496</v>
      </c>
      <c r="BS1563" s="48"/>
      <c r="BT1563" s="48"/>
      <c r="BU1563" s="228">
        <v>6.4000000000000001E-2</v>
      </c>
      <c r="BV1563" s="48"/>
      <c r="BW1563" s="48"/>
      <c r="BX1563" s="48"/>
      <c r="BY1563" s="48"/>
      <c r="BZ1563" s="48"/>
      <c r="CA1563" s="48"/>
      <c r="CB1563" s="48"/>
      <c r="CC1563" s="48"/>
      <c r="CD1563" s="48"/>
      <c r="CE1563" s="48"/>
      <c r="CF1563" s="48"/>
      <c r="CG1563" s="48"/>
      <c r="CH1563" s="48"/>
      <c r="CI1563" s="98"/>
      <c r="CJ1563" s="98"/>
      <c r="CK1563" s="49">
        <f t="shared" si="407"/>
        <v>0.46931023537276334</v>
      </c>
      <c r="CL1563" s="229"/>
      <c r="CM1563" s="229"/>
      <c r="CN1563" s="229"/>
      <c r="CO1563" s="47" t="s">
        <v>2488</v>
      </c>
      <c r="CP1563" s="47" t="s">
        <v>2489</v>
      </c>
      <c r="CQ1563" s="224" t="s">
        <v>272</v>
      </c>
      <c r="CR1563" s="224"/>
      <c r="CS1563" s="230" t="s">
        <v>539</v>
      </c>
      <c r="CT1563" s="230"/>
      <c r="CU1563" s="230"/>
      <c r="CV1563" s="335">
        <f t="shared" si="398"/>
        <v>8.9912490208930684</v>
      </c>
      <c r="CW1563" s="230">
        <f t="shared" si="404"/>
        <v>1</v>
      </c>
      <c r="CX1563" s="336"/>
      <c r="CY1563" s="230" t="s">
        <v>5921</v>
      </c>
    </row>
    <row r="1564" spans="1:103" ht="11.25" customHeight="1" x14ac:dyDescent="0.2">
      <c r="A1564" s="72">
        <v>1562</v>
      </c>
      <c r="B1564" s="224">
        <v>1312</v>
      </c>
      <c r="C1564" s="46" t="s">
        <v>7562</v>
      </c>
      <c r="D1564" s="46"/>
      <c r="E1564" s="114"/>
      <c r="F1564" s="114" t="s">
        <v>3592</v>
      </c>
      <c r="G1564" s="225">
        <v>290352282</v>
      </c>
      <c r="H1564" s="47" t="s">
        <v>3593</v>
      </c>
      <c r="I1564" s="47" t="s">
        <v>8186</v>
      </c>
      <c r="J1564" s="236" t="s">
        <v>3594</v>
      </c>
      <c r="K1564" s="236" t="s">
        <v>3595</v>
      </c>
      <c r="L1564" s="47"/>
      <c r="M1564" s="47"/>
      <c r="N1564" s="47"/>
      <c r="O1564" s="52"/>
      <c r="P1564" s="53"/>
      <c r="Q1564" s="53"/>
      <c r="R1564" s="53"/>
      <c r="S1564" s="53"/>
      <c r="T1564" s="226">
        <v>341.36</v>
      </c>
      <c r="U1564" s="98"/>
      <c r="V1564" s="98">
        <v>0.10191586594797281</v>
      </c>
      <c r="W1564" s="98"/>
      <c r="X1564" s="98">
        <f t="shared" si="403"/>
        <v>0.10191586594797281</v>
      </c>
      <c r="Y1564" s="233"/>
      <c r="Z1564" s="48">
        <v>2.7</v>
      </c>
      <c r="AA1564" s="48"/>
      <c r="AB1564" s="48">
        <v>2.83</v>
      </c>
      <c r="AC1564" s="48">
        <v>0.53459999999999996</v>
      </c>
      <c r="AD1564" s="48">
        <v>3.24</v>
      </c>
      <c r="AE1564" s="48">
        <v>3.72</v>
      </c>
      <c r="AF1564" s="48">
        <f t="shared" si="411"/>
        <v>3.24</v>
      </c>
      <c r="AG1564" s="48">
        <v>2.31</v>
      </c>
      <c r="AH1564" s="98">
        <v>4.3300000000000002E-17</v>
      </c>
      <c r="AI1564" s="98"/>
      <c r="AJ1564" s="483">
        <f t="shared" si="408"/>
        <v>-14.752078429959287</v>
      </c>
      <c r="AK1564" s="483"/>
      <c r="AL1564" s="483">
        <f t="shared" si="409"/>
        <v>-14.752078429959287</v>
      </c>
      <c r="AM1564" s="483">
        <v>-23.632759999999998</v>
      </c>
      <c r="AN1564" s="48">
        <v>-15.85</v>
      </c>
      <c r="AO1564" s="484"/>
      <c r="AP1564" s="484"/>
      <c r="AQ1564" s="48" t="s">
        <v>6311</v>
      </c>
      <c r="AR1564" s="48" t="s">
        <v>6311</v>
      </c>
      <c r="AS1564" s="227"/>
      <c r="AT1564" s="50" t="s">
        <v>266</v>
      </c>
      <c r="AU1564" s="48">
        <v>6</v>
      </c>
      <c r="AV1564" s="48">
        <v>120</v>
      </c>
      <c r="AW1564" s="48">
        <v>114</v>
      </c>
      <c r="AX1564" s="48">
        <v>28</v>
      </c>
      <c r="AY1564" s="48" t="s">
        <v>8728</v>
      </c>
      <c r="AZ1564" s="48" t="s">
        <v>1563</v>
      </c>
      <c r="BA1564" s="48">
        <v>32</v>
      </c>
      <c r="BB1564" s="47" t="s">
        <v>2485</v>
      </c>
      <c r="BC1564" s="47" t="s">
        <v>8726</v>
      </c>
      <c r="BD1564" s="47" t="s">
        <v>8374</v>
      </c>
      <c r="BE1564" s="48" t="s">
        <v>2449</v>
      </c>
      <c r="BF1564" s="48" t="s">
        <v>272</v>
      </c>
      <c r="BG1564" s="48" t="s">
        <v>272</v>
      </c>
      <c r="BH1564" s="48" t="s">
        <v>2486</v>
      </c>
      <c r="BI1564" s="98">
        <v>6.3999999999999997E-6</v>
      </c>
      <c r="BJ1564" s="98">
        <v>6.4000000000000001E-2</v>
      </c>
      <c r="BK1564" s="48"/>
      <c r="BL1564" s="98">
        <f t="shared" si="412"/>
        <v>0.19316569456098842</v>
      </c>
      <c r="BM1564" s="47" t="s">
        <v>2487</v>
      </c>
      <c r="BN1564" s="48"/>
      <c r="BO1564" s="48"/>
      <c r="BP1564" s="48"/>
      <c r="BQ1564" s="48"/>
      <c r="BR1564" s="47" t="s">
        <v>2496</v>
      </c>
      <c r="BS1564" s="48"/>
      <c r="BT1564" s="48"/>
      <c r="BU1564" s="228"/>
      <c r="BV1564" s="48"/>
      <c r="BW1564" s="48"/>
      <c r="BX1564" s="48"/>
      <c r="BY1564" s="48"/>
      <c r="BZ1564" s="48"/>
      <c r="CA1564" s="48"/>
      <c r="CB1564" s="48"/>
      <c r="CC1564" s="48"/>
      <c r="CD1564" s="48"/>
      <c r="CE1564" s="48"/>
      <c r="CF1564" s="48"/>
      <c r="CG1564" s="48"/>
      <c r="CH1564" s="48"/>
      <c r="CI1564" s="98"/>
      <c r="CJ1564" s="98"/>
      <c r="CK1564" s="49">
        <f t="shared" si="407"/>
        <v>3.018213977515444</v>
      </c>
      <c r="CL1564" s="229"/>
      <c r="CM1564" s="229"/>
      <c r="CN1564" s="229"/>
      <c r="CO1564" s="47" t="s">
        <v>2488</v>
      </c>
      <c r="CP1564" s="47" t="s">
        <v>2489</v>
      </c>
      <c r="CQ1564" s="224" t="s">
        <v>272</v>
      </c>
      <c r="CR1564" s="224"/>
      <c r="CS1564" s="230" t="s">
        <v>539</v>
      </c>
      <c r="CT1564" s="230"/>
      <c r="CU1564" s="230"/>
      <c r="CV1564" s="335">
        <f t="shared" si="398"/>
        <v>1.5924354054370751</v>
      </c>
      <c r="CW1564" s="230">
        <f t="shared" si="404"/>
        <v>1</v>
      </c>
      <c r="CX1564" s="336"/>
      <c r="CY1564" s="230" t="s">
        <v>5921</v>
      </c>
    </row>
    <row r="1565" spans="1:103" ht="11.25" customHeight="1" x14ac:dyDescent="0.2">
      <c r="A1565" s="72">
        <v>1563</v>
      </c>
      <c r="B1565" s="224">
        <v>172</v>
      </c>
      <c r="C1565" s="46" t="s">
        <v>7563</v>
      </c>
      <c r="D1565" s="46"/>
      <c r="E1565" s="114"/>
      <c r="F1565" s="114" t="s">
        <v>3664</v>
      </c>
      <c r="G1565" s="225">
        <v>291305061</v>
      </c>
      <c r="H1565" s="236" t="s">
        <v>3658</v>
      </c>
      <c r="I1565" s="236" t="s">
        <v>8187</v>
      </c>
      <c r="J1565" s="236" t="s">
        <v>3665</v>
      </c>
      <c r="K1565" s="236" t="s">
        <v>455</v>
      </c>
      <c r="L1565" s="47"/>
      <c r="M1565" s="47"/>
      <c r="N1565" s="47"/>
      <c r="O1565" s="52"/>
      <c r="P1565" s="53"/>
      <c r="Q1565" s="53"/>
      <c r="R1565" s="53"/>
      <c r="S1565" s="53"/>
      <c r="T1565" s="240">
        <v>256.35000000000002</v>
      </c>
      <c r="U1565" s="409"/>
      <c r="V1565" s="98">
        <v>2.634289057928613E-3</v>
      </c>
      <c r="W1565" s="98">
        <v>0.61659500186148186</v>
      </c>
      <c r="X1565" s="98">
        <f t="shared" si="403"/>
        <v>0.61659500186148186</v>
      </c>
      <c r="Y1565" s="233">
        <v>10.36</v>
      </c>
      <c r="Z1565" s="48">
        <v>4.18</v>
      </c>
      <c r="AA1565" s="48"/>
      <c r="AB1565" s="48">
        <v>3.33</v>
      </c>
      <c r="AC1565" s="48">
        <v>0.69640000000000002</v>
      </c>
      <c r="AD1565" s="48">
        <v>3.6</v>
      </c>
      <c r="AE1565" s="48">
        <v>4.07</v>
      </c>
      <c r="AF1565" s="48">
        <f t="shared" si="411"/>
        <v>3.6</v>
      </c>
      <c r="AG1565" s="48">
        <v>4.33</v>
      </c>
      <c r="AH1565" s="98">
        <v>4.64E-17</v>
      </c>
      <c r="AI1565" s="98"/>
      <c r="AJ1565" s="483">
        <f t="shared" si="408"/>
        <v>-14.722048345757772</v>
      </c>
      <c r="AK1565" s="483"/>
      <c r="AL1565" s="483">
        <f t="shared" si="409"/>
        <v>-14.722048345757772</v>
      </c>
      <c r="AM1565" s="483">
        <v>-19.477709999999998</v>
      </c>
      <c r="AN1565" s="48">
        <v>-4.5999999999999996</v>
      </c>
      <c r="AO1565" s="484"/>
      <c r="AP1565" s="484">
        <v>10.050000000000001</v>
      </c>
      <c r="AQ1565" s="48" t="s">
        <v>6311</v>
      </c>
      <c r="AR1565" s="48" t="s">
        <v>6311</v>
      </c>
      <c r="AS1565" s="227"/>
      <c r="AT1565" s="50" t="s">
        <v>266</v>
      </c>
      <c r="AU1565" s="48">
        <v>6</v>
      </c>
      <c r="AV1565" s="48">
        <v>120</v>
      </c>
      <c r="AW1565" s="48">
        <v>114</v>
      </c>
      <c r="AX1565" s="48">
        <v>28</v>
      </c>
      <c r="AY1565" s="48" t="s">
        <v>8728</v>
      </c>
      <c r="AZ1565" s="48" t="s">
        <v>1563</v>
      </c>
      <c r="BA1565" s="48">
        <v>32</v>
      </c>
      <c r="BB1565" s="47" t="s">
        <v>2485</v>
      </c>
      <c r="BC1565" s="47" t="s">
        <v>8726</v>
      </c>
      <c r="BD1565" s="47" t="s">
        <v>8374</v>
      </c>
      <c r="BE1565" s="48" t="s">
        <v>2449</v>
      </c>
      <c r="BF1565" s="48" t="s">
        <v>272</v>
      </c>
      <c r="BG1565" s="48" t="s">
        <v>272</v>
      </c>
      <c r="BH1565" s="48" t="s">
        <v>2486</v>
      </c>
      <c r="BI1565" s="98">
        <v>6.3999999999999997E-6</v>
      </c>
      <c r="BJ1565" s="98">
        <v>6.4000000000000001E-2</v>
      </c>
      <c r="BK1565" s="48"/>
      <c r="BL1565" s="98">
        <f t="shared" si="412"/>
        <v>9.051946948827664E-3</v>
      </c>
      <c r="BM1565" s="47" t="s">
        <v>2487</v>
      </c>
      <c r="BN1565" s="48"/>
      <c r="BO1565" s="48"/>
      <c r="BP1565" s="48"/>
      <c r="BQ1565" s="48"/>
      <c r="BR1565" s="47" t="s">
        <v>2496</v>
      </c>
      <c r="BS1565" s="48"/>
      <c r="BT1565" s="48"/>
      <c r="BU1565" s="228"/>
      <c r="BV1565" s="48"/>
      <c r="BW1565" s="48"/>
      <c r="BX1565" s="48"/>
      <c r="BY1565" s="48"/>
      <c r="BZ1565" s="48"/>
      <c r="CA1565" s="48"/>
      <c r="CB1565" s="48"/>
      <c r="CC1565" s="48"/>
      <c r="CD1565" s="48"/>
      <c r="CE1565" s="48"/>
      <c r="CF1565" s="48"/>
      <c r="CG1565" s="48"/>
      <c r="CH1565" s="48"/>
      <c r="CI1565" s="98"/>
      <c r="CJ1565" s="98"/>
      <c r="CK1565" s="49">
        <f t="shared" si="407"/>
        <v>0.14143667107543226</v>
      </c>
      <c r="CL1565" s="229"/>
      <c r="CM1565" s="229"/>
      <c r="CN1565" s="229"/>
      <c r="CO1565" s="47" t="s">
        <v>2488</v>
      </c>
      <c r="CP1565" s="47" t="s">
        <v>2489</v>
      </c>
      <c r="CQ1565" s="224" t="s">
        <v>272</v>
      </c>
      <c r="CR1565" s="224"/>
      <c r="CS1565" s="230" t="s">
        <v>539</v>
      </c>
      <c r="CT1565" s="230"/>
      <c r="CU1565" s="230"/>
      <c r="CV1565" s="335">
        <f t="shared" si="398"/>
        <v>9.6342969040856534</v>
      </c>
      <c r="CW1565" s="230">
        <f t="shared" si="404"/>
        <v>1</v>
      </c>
      <c r="CX1565" s="336"/>
      <c r="CY1565" s="230" t="s">
        <v>5921</v>
      </c>
    </row>
    <row r="1566" spans="1:103" ht="11.25" customHeight="1" x14ac:dyDescent="0.2">
      <c r="A1566" s="72">
        <v>1564</v>
      </c>
      <c r="B1566" s="224">
        <v>1200</v>
      </c>
      <c r="C1566" s="46" t="s">
        <v>7564</v>
      </c>
      <c r="D1566" s="46"/>
      <c r="E1566" s="114"/>
      <c r="F1566" s="114" t="s">
        <v>3310</v>
      </c>
      <c r="G1566" s="225">
        <v>313994795</v>
      </c>
      <c r="H1566" s="47" t="s">
        <v>3311</v>
      </c>
      <c r="I1566" s="47" t="s">
        <v>7765</v>
      </c>
      <c r="J1566" s="47" t="s">
        <v>3312</v>
      </c>
      <c r="K1566" s="47" t="s">
        <v>1292</v>
      </c>
      <c r="L1566" s="47"/>
      <c r="M1566" s="47"/>
      <c r="N1566" s="47"/>
      <c r="O1566" s="47"/>
      <c r="P1566" s="53"/>
      <c r="Q1566" s="53"/>
      <c r="R1566" s="53"/>
      <c r="S1566" s="53"/>
      <c r="T1566" s="48">
        <v>300.31</v>
      </c>
      <c r="U1566" s="98"/>
      <c r="V1566" s="98">
        <v>0.14601578369018681</v>
      </c>
      <c r="W1566" s="98">
        <v>0.18197008586099805</v>
      </c>
      <c r="X1566" s="98">
        <f t="shared" si="403"/>
        <v>0.18197008586099805</v>
      </c>
      <c r="Y1566" s="233">
        <v>6.43</v>
      </c>
      <c r="Z1566" s="48">
        <v>2.86</v>
      </c>
      <c r="AA1566" s="48"/>
      <c r="AB1566" s="48">
        <v>1.94</v>
      </c>
      <c r="AC1566" s="48">
        <v>0.64090000000000003</v>
      </c>
      <c r="AD1566" s="48">
        <v>2.06</v>
      </c>
      <c r="AE1566" s="48">
        <v>2.2400000000000002</v>
      </c>
      <c r="AF1566" s="48">
        <f t="shared" si="411"/>
        <v>2.06</v>
      </c>
      <c r="AG1566" s="49">
        <v>1.62</v>
      </c>
      <c r="AH1566" s="98">
        <v>1.2E-15</v>
      </c>
      <c r="AI1566" s="98"/>
      <c r="AJ1566" s="483">
        <f t="shared" si="408"/>
        <v>-13.309385080265027</v>
      </c>
      <c r="AK1566" s="483"/>
      <c r="AL1566" s="483">
        <f t="shared" si="409"/>
        <v>-13.309385080265027</v>
      </c>
      <c r="AM1566" s="483">
        <v>-20.701970000000003</v>
      </c>
      <c r="AN1566" s="226">
        <v>-15.7</v>
      </c>
      <c r="AO1566" s="484">
        <v>9.68</v>
      </c>
      <c r="AP1566" s="484">
        <v>-0.57999999999999996</v>
      </c>
      <c r="AQ1566" s="48" t="s">
        <v>6311</v>
      </c>
      <c r="AR1566" s="48" t="s">
        <v>6311</v>
      </c>
      <c r="AS1566" s="227"/>
      <c r="AT1566" s="50" t="s">
        <v>266</v>
      </c>
      <c r="AU1566" s="48">
        <v>6</v>
      </c>
      <c r="AV1566" s="48">
        <v>120</v>
      </c>
      <c r="AW1566" s="48">
        <v>114</v>
      </c>
      <c r="AX1566" s="48">
        <v>28</v>
      </c>
      <c r="AY1566" s="48" t="s">
        <v>8728</v>
      </c>
      <c r="AZ1566" s="48" t="s">
        <v>1563</v>
      </c>
      <c r="BA1566" s="48">
        <v>32</v>
      </c>
      <c r="BB1566" s="47" t="s">
        <v>2485</v>
      </c>
      <c r="BC1566" s="47" t="s">
        <v>8726</v>
      </c>
      <c r="BD1566" s="47" t="s">
        <v>8374</v>
      </c>
      <c r="BE1566" s="48" t="s">
        <v>2449</v>
      </c>
      <c r="BF1566" s="48" t="s">
        <v>272</v>
      </c>
      <c r="BG1566" s="48" t="s">
        <v>272</v>
      </c>
      <c r="BH1566" s="48" t="s">
        <v>2486</v>
      </c>
      <c r="BI1566" s="98">
        <v>6.3999999999999997E-6</v>
      </c>
      <c r="BJ1566" s="98">
        <v>6.4000000000000001E-2</v>
      </c>
      <c r="BK1566" s="48"/>
      <c r="BL1566" s="98">
        <f t="shared" si="412"/>
        <v>0.13875032210551053</v>
      </c>
      <c r="BM1566" s="47" t="s">
        <v>2487</v>
      </c>
      <c r="BN1566" s="48"/>
      <c r="BO1566" s="48"/>
      <c r="BP1566" s="48"/>
      <c r="BQ1566" s="48"/>
      <c r="BR1566" s="47" t="s">
        <v>2496</v>
      </c>
      <c r="BS1566" s="48"/>
      <c r="BT1566" s="48"/>
      <c r="BU1566" s="228">
        <v>6.3999999999999997E-5</v>
      </c>
      <c r="BV1566" s="48"/>
      <c r="BW1566" s="48"/>
      <c r="BX1566" s="48"/>
      <c r="BY1566" s="48"/>
      <c r="BZ1566" s="48"/>
      <c r="CA1566" s="48"/>
      <c r="CB1566" s="48"/>
      <c r="CC1566" s="48"/>
      <c r="CD1566" s="48"/>
      <c r="CE1566" s="48"/>
      <c r="CF1566" s="48"/>
      <c r="CG1566" s="48"/>
      <c r="CH1566" s="48"/>
      <c r="CI1566" s="98"/>
      <c r="CJ1566" s="98"/>
      <c r="CK1566" s="49">
        <f t="shared" si="407"/>
        <v>2.1679737828986019</v>
      </c>
      <c r="CL1566" s="229"/>
      <c r="CM1566" s="229"/>
      <c r="CN1566" s="229"/>
      <c r="CO1566" s="47" t="s">
        <v>2488</v>
      </c>
      <c r="CP1566" s="47" t="s">
        <v>2489</v>
      </c>
      <c r="CQ1566" s="224" t="s">
        <v>272</v>
      </c>
      <c r="CR1566" s="224"/>
      <c r="CS1566" s="230" t="s">
        <v>539</v>
      </c>
      <c r="CT1566" s="230"/>
      <c r="CU1566" s="230"/>
      <c r="CV1566" s="335">
        <f t="shared" ref="CV1566:CV1631" si="413">X1566/BJ1566</f>
        <v>2.8432825915780944</v>
      </c>
      <c r="CW1566" s="230">
        <f t="shared" si="404"/>
        <v>1</v>
      </c>
      <c r="CX1566" s="336"/>
      <c r="CY1566" s="230" t="s">
        <v>5921</v>
      </c>
    </row>
    <row r="1567" spans="1:103" ht="11.25" customHeight="1" x14ac:dyDescent="0.2">
      <c r="A1567" s="72">
        <v>1565</v>
      </c>
      <c r="B1567" s="224">
        <v>1632</v>
      </c>
      <c r="C1567" s="46" t="s">
        <v>7565</v>
      </c>
      <c r="D1567" s="46"/>
      <c r="E1567" s="114"/>
      <c r="F1567" s="114" t="s">
        <v>4834</v>
      </c>
      <c r="G1567" s="225">
        <v>331623064</v>
      </c>
      <c r="H1567" s="47" t="s">
        <v>4835</v>
      </c>
      <c r="I1567" s="47" t="s">
        <v>7860</v>
      </c>
      <c r="J1567" s="47" t="s">
        <v>4836</v>
      </c>
      <c r="K1567" s="47" t="s">
        <v>376</v>
      </c>
      <c r="L1567" s="47"/>
      <c r="M1567" s="47"/>
      <c r="N1567" s="47"/>
      <c r="O1567" s="47"/>
      <c r="P1567" s="53"/>
      <c r="Q1567" s="53"/>
      <c r="R1567" s="53"/>
      <c r="S1567" s="53"/>
      <c r="T1567" s="48">
        <v>580.53</v>
      </c>
      <c r="U1567" s="98">
        <v>1.7225638640552599</v>
      </c>
      <c r="V1567" s="98">
        <v>3.3521092794515357</v>
      </c>
      <c r="W1567" s="98">
        <v>3.9810717055349637E-2</v>
      </c>
      <c r="X1567" s="98">
        <v>1.7225638640552599</v>
      </c>
      <c r="Y1567" s="233">
        <v>5.79</v>
      </c>
      <c r="Z1567" s="48">
        <v>-0.52</v>
      </c>
      <c r="AA1567" s="48">
        <v>-0.44</v>
      </c>
      <c r="AB1567" s="48">
        <v>-0.28000000000000003</v>
      </c>
      <c r="AC1567" s="48">
        <v>0.82450000000000001</v>
      </c>
      <c r="AD1567" s="48">
        <v>0.39</v>
      </c>
      <c r="AE1567" s="48">
        <v>2.73</v>
      </c>
      <c r="AF1567" s="48">
        <f t="shared" si="411"/>
        <v>-0.44</v>
      </c>
      <c r="AG1567" s="49">
        <v>-0.41</v>
      </c>
      <c r="AH1567" s="98">
        <v>7.5599999999999997E-32</v>
      </c>
      <c r="AI1567" s="98"/>
      <c r="AJ1567" s="483">
        <f t="shared" si="408"/>
        <v>-29.510044530811445</v>
      </c>
      <c r="AK1567" s="483"/>
      <c r="AL1567" s="483">
        <f t="shared" si="409"/>
        <v>-29.510044530811445</v>
      </c>
      <c r="AM1567" s="483">
        <v>-44.709600000000002</v>
      </c>
      <c r="AN1567" s="226">
        <v>-32</v>
      </c>
      <c r="AO1567" s="484">
        <v>7.17</v>
      </c>
      <c r="AP1567" s="484"/>
      <c r="AQ1567" s="226" t="s">
        <v>6311</v>
      </c>
      <c r="AR1567" s="226" t="s">
        <v>6311</v>
      </c>
      <c r="AS1567" s="224"/>
      <c r="AT1567" s="50" t="s">
        <v>266</v>
      </c>
      <c r="AU1567" s="48">
        <v>6</v>
      </c>
      <c r="AV1567" s="48">
        <v>120</v>
      </c>
      <c r="AW1567" s="48">
        <v>114</v>
      </c>
      <c r="AX1567" s="48">
        <v>28</v>
      </c>
      <c r="AY1567" s="48" t="s">
        <v>8728</v>
      </c>
      <c r="AZ1567" s="48" t="s">
        <v>1563</v>
      </c>
      <c r="BA1567" s="48">
        <v>32</v>
      </c>
      <c r="BB1567" s="47" t="s">
        <v>2485</v>
      </c>
      <c r="BC1567" s="47" t="s">
        <v>8726</v>
      </c>
      <c r="BD1567" s="47" t="s">
        <v>8374</v>
      </c>
      <c r="BE1567" s="48" t="s">
        <v>2449</v>
      </c>
      <c r="BF1567" s="48" t="s">
        <v>272</v>
      </c>
      <c r="BG1567" s="48" t="s">
        <v>272</v>
      </c>
      <c r="BH1567" s="48" t="s">
        <v>2486</v>
      </c>
      <c r="BI1567" s="98">
        <v>6.3999999999999997E-6</v>
      </c>
      <c r="BJ1567" s="98">
        <v>6.4000000000000001E-2</v>
      </c>
      <c r="BK1567" s="48"/>
      <c r="BL1567" s="98">
        <f t="shared" si="412"/>
        <v>150.59550182254813</v>
      </c>
      <c r="BM1567" s="47" t="s">
        <v>2487</v>
      </c>
      <c r="BN1567" s="48"/>
      <c r="BO1567" s="48"/>
      <c r="BP1567" s="48"/>
      <c r="BQ1567" s="48"/>
      <c r="BR1567" s="47" t="s">
        <v>2496</v>
      </c>
      <c r="BS1567" s="48"/>
      <c r="BT1567" s="48"/>
      <c r="BU1567" s="228"/>
      <c r="BV1567" s="48"/>
      <c r="BW1567" s="48"/>
      <c r="BX1567" s="48"/>
      <c r="BY1567" s="48"/>
      <c r="BZ1567" s="48"/>
      <c r="CA1567" s="48"/>
      <c r="CB1567" s="48"/>
      <c r="CC1567" s="48"/>
      <c r="CD1567" s="48"/>
      <c r="CE1567" s="48"/>
      <c r="CF1567" s="48"/>
      <c r="CG1567" s="48"/>
      <c r="CH1567" s="48"/>
      <c r="CI1567" s="98"/>
      <c r="CJ1567" s="98"/>
      <c r="CK1567" s="49">
        <f t="shared" si="407"/>
        <v>2353.0547159773146</v>
      </c>
      <c r="CL1567" s="229"/>
      <c r="CM1567" s="229"/>
      <c r="CN1567" s="229"/>
      <c r="CO1567" s="47" t="s">
        <v>2488</v>
      </c>
      <c r="CP1567" s="47" t="s">
        <v>2489</v>
      </c>
      <c r="CQ1567" s="224" t="s">
        <v>272</v>
      </c>
      <c r="CR1567" s="224"/>
      <c r="CS1567" s="230" t="s">
        <v>539</v>
      </c>
      <c r="CT1567" s="230"/>
      <c r="CU1567" s="230"/>
      <c r="CV1567" s="335">
        <f t="shared" si="413"/>
        <v>26.915060375863433</v>
      </c>
      <c r="CW1567" s="230">
        <f t="shared" si="404"/>
        <v>1</v>
      </c>
      <c r="CX1567" s="336"/>
      <c r="CY1567" s="230" t="s">
        <v>5921</v>
      </c>
    </row>
    <row r="1568" spans="1:103" ht="11.25" customHeight="1" x14ac:dyDescent="0.2">
      <c r="A1568" s="72">
        <v>1566</v>
      </c>
      <c r="B1568" s="224">
        <v>914</v>
      </c>
      <c r="C1568" s="46" t="s">
        <v>7566</v>
      </c>
      <c r="D1568" s="46"/>
      <c r="E1568" s="114"/>
      <c r="F1568" s="114" t="s">
        <v>2611</v>
      </c>
      <c r="G1568" s="225">
        <v>349495427</v>
      </c>
      <c r="H1568" s="231" t="s">
        <v>6326</v>
      </c>
      <c r="I1568" s="231" t="s">
        <v>7790</v>
      </c>
      <c r="J1568" s="47" t="s">
        <v>6327</v>
      </c>
      <c r="K1568" s="47"/>
      <c r="L1568" s="47"/>
      <c r="M1568" s="47"/>
      <c r="N1568" s="47"/>
      <c r="O1568" s="47"/>
      <c r="P1568" s="53"/>
      <c r="Q1568" s="53"/>
      <c r="R1568" s="53"/>
      <c r="S1568" s="53"/>
      <c r="T1568" s="48">
        <v>284.31740000000002</v>
      </c>
      <c r="U1568" s="98"/>
      <c r="V1568" s="98">
        <v>0.85361564434440063</v>
      </c>
      <c r="W1568" s="98">
        <v>15.488166189124804</v>
      </c>
      <c r="X1568" s="98">
        <f>IF(W1568=0,V1568,W1568)</f>
        <v>15.488166189124804</v>
      </c>
      <c r="Y1568" s="233">
        <v>5.78</v>
      </c>
      <c r="Z1568" s="48">
        <v>2.78</v>
      </c>
      <c r="AA1568" s="48"/>
      <c r="AB1568" s="48">
        <v>1.66</v>
      </c>
      <c r="AC1568" s="48">
        <v>0.66139999999999999</v>
      </c>
      <c r="AD1568" s="48">
        <v>1.01</v>
      </c>
      <c r="AE1568" s="48">
        <v>-0.98</v>
      </c>
      <c r="AF1568" s="48">
        <f t="shared" si="411"/>
        <v>1.01</v>
      </c>
      <c r="AG1568" s="49" t="s">
        <v>5921</v>
      </c>
      <c r="AH1568" s="98">
        <v>8.7299999999999996E-17</v>
      </c>
      <c r="AI1568" s="98"/>
      <c r="AJ1568" s="483">
        <f t="shared" si="408"/>
        <v>-14.447552082607082</v>
      </c>
      <c r="AK1568" s="483"/>
      <c r="AL1568" s="483">
        <f t="shared" si="409"/>
        <v>-14.447552082607082</v>
      </c>
      <c r="AM1568" s="483">
        <v>-19.106430000000003</v>
      </c>
      <c r="AN1568" s="226"/>
      <c r="AO1568" s="484">
        <v>8.6</v>
      </c>
      <c r="AP1568" s="484">
        <v>3.19</v>
      </c>
      <c r="AQ1568" s="48" t="s">
        <v>6317</v>
      </c>
      <c r="AR1568" s="48" t="s">
        <v>6317</v>
      </c>
      <c r="AS1568" s="227"/>
      <c r="AT1568" s="50" t="s">
        <v>266</v>
      </c>
      <c r="AU1568" s="48">
        <v>6</v>
      </c>
      <c r="AV1568" s="48">
        <v>120</v>
      </c>
      <c r="AW1568" s="48">
        <v>114</v>
      </c>
      <c r="AX1568" s="48">
        <v>28</v>
      </c>
      <c r="AY1568" s="48" t="s">
        <v>8728</v>
      </c>
      <c r="AZ1568" s="48" t="s">
        <v>1563</v>
      </c>
      <c r="BA1568" s="48">
        <v>32</v>
      </c>
      <c r="BB1568" s="47" t="s">
        <v>2485</v>
      </c>
      <c r="BC1568" s="47" t="s">
        <v>8726</v>
      </c>
      <c r="BD1568" s="47" t="s">
        <v>8374</v>
      </c>
      <c r="BE1568" s="48" t="s">
        <v>2449</v>
      </c>
      <c r="BF1568" s="48" t="s">
        <v>272</v>
      </c>
      <c r="BG1568" s="48" t="s">
        <v>272</v>
      </c>
      <c r="BH1568" s="48" t="s">
        <v>2486</v>
      </c>
      <c r="BI1568" s="98">
        <v>6.3999999999999997E-6</v>
      </c>
      <c r="BJ1568" s="98">
        <v>6.4000000000000001E-2</v>
      </c>
      <c r="BK1568" s="48"/>
      <c r="BL1568" s="98">
        <f t="shared" si="412"/>
        <v>0.163712560117029</v>
      </c>
      <c r="BM1568" s="47" t="s">
        <v>2487</v>
      </c>
      <c r="BN1568" s="48"/>
      <c r="BO1568" s="48"/>
      <c r="BP1568" s="48"/>
      <c r="BQ1568" s="48"/>
      <c r="BR1568" s="47" t="s">
        <v>2496</v>
      </c>
      <c r="BS1568" s="48"/>
      <c r="BT1568" s="48"/>
      <c r="BU1568" s="228">
        <v>6.4000000000000003E-3</v>
      </c>
      <c r="BV1568" s="48"/>
      <c r="BW1568" s="48"/>
      <c r="BX1568" s="48"/>
      <c r="BY1568" s="48"/>
      <c r="BZ1568" s="48"/>
      <c r="CA1568" s="48"/>
      <c r="CB1568" s="48"/>
      <c r="CC1568" s="48"/>
      <c r="CD1568" s="48"/>
      <c r="CE1568" s="48"/>
      <c r="CF1568" s="48"/>
      <c r="CG1568" s="48"/>
      <c r="CH1568" s="48"/>
      <c r="CI1568" s="98"/>
      <c r="CJ1568" s="98"/>
      <c r="CK1568" s="49">
        <f t="shared" si="407"/>
        <v>2.5580087518285781</v>
      </c>
      <c r="CL1568" s="229"/>
      <c r="CM1568" s="229"/>
      <c r="CN1568" s="229"/>
      <c r="CO1568" s="47" t="s">
        <v>2488</v>
      </c>
      <c r="CP1568" s="47" t="s">
        <v>2489</v>
      </c>
      <c r="CQ1568" s="224" t="s">
        <v>272</v>
      </c>
      <c r="CR1568" s="224"/>
      <c r="CS1568" s="230" t="s">
        <v>539</v>
      </c>
      <c r="CT1568" s="230"/>
      <c r="CU1568" s="230"/>
      <c r="CV1568" s="335">
        <f t="shared" si="413"/>
        <v>242.00259670507506</v>
      </c>
      <c r="CW1568" s="230">
        <f t="shared" si="404"/>
        <v>1</v>
      </c>
      <c r="CX1568" s="336"/>
      <c r="CY1568" s="230" t="s">
        <v>5921</v>
      </c>
    </row>
    <row r="1569" spans="1:103" ht="11.25" customHeight="1" x14ac:dyDescent="0.2">
      <c r="A1569" s="72">
        <v>1567</v>
      </c>
      <c r="B1569" s="224">
        <v>978</v>
      </c>
      <c r="C1569" s="46" t="s">
        <v>7567</v>
      </c>
      <c r="D1569" s="46"/>
      <c r="E1569" s="114"/>
      <c r="F1569" s="114" t="s">
        <v>2794</v>
      </c>
      <c r="G1569" s="225">
        <v>353280076</v>
      </c>
      <c r="H1569" s="231" t="s">
        <v>6328</v>
      </c>
      <c r="I1569" s="231" t="s">
        <v>6328</v>
      </c>
      <c r="J1569" s="231" t="s">
        <v>6329</v>
      </c>
      <c r="K1569" s="47"/>
      <c r="L1569" s="47"/>
      <c r="M1569" s="47"/>
      <c r="N1569" s="47"/>
      <c r="O1569" s="47"/>
      <c r="P1569" s="53"/>
      <c r="Q1569" s="53"/>
      <c r="R1569" s="53"/>
      <c r="S1569" s="53"/>
      <c r="T1569" s="48">
        <v>404.43</v>
      </c>
      <c r="U1569" s="98"/>
      <c r="V1569" s="98">
        <v>2.8929604628736737E-2</v>
      </c>
      <c r="W1569" s="98">
        <v>6.1659500186148186E-2</v>
      </c>
      <c r="X1569" s="98">
        <f>IF(W1569=0,V1569,W1569)</f>
        <v>6.1659500186148186E-2</v>
      </c>
      <c r="Y1569" s="233">
        <v>7</v>
      </c>
      <c r="Z1569" s="48">
        <v>2.8</v>
      </c>
      <c r="AA1569" s="48"/>
      <c r="AB1569" s="48">
        <v>2.82</v>
      </c>
      <c r="AC1569" s="48">
        <v>0.71430000000000005</v>
      </c>
      <c r="AD1569" s="48">
        <v>2.74</v>
      </c>
      <c r="AE1569" s="48">
        <v>2.5499999999999998</v>
      </c>
      <c r="AF1569" s="48">
        <f t="shared" si="411"/>
        <v>2.74</v>
      </c>
      <c r="AG1569" s="49" t="s">
        <v>5921</v>
      </c>
      <c r="AH1569" s="98">
        <v>2.4999999999999999E-20</v>
      </c>
      <c r="AI1569" s="98"/>
      <c r="AJ1569" s="483">
        <f t="shared" si="408"/>
        <v>-17.990626317640615</v>
      </c>
      <c r="AK1569" s="483"/>
      <c r="AL1569" s="483">
        <f t="shared" si="409"/>
        <v>-17.990626317640615</v>
      </c>
      <c r="AM1569" s="483">
        <v>-26.095360000000003</v>
      </c>
      <c r="AN1569" s="226"/>
      <c r="AO1569" s="484">
        <v>13.37</v>
      </c>
      <c r="AP1569" s="484"/>
      <c r="AQ1569" s="48" t="s">
        <v>6317</v>
      </c>
      <c r="AR1569" s="48" t="s">
        <v>6317</v>
      </c>
      <c r="AS1569" s="227"/>
      <c r="AT1569" s="50" t="s">
        <v>266</v>
      </c>
      <c r="AU1569" s="48">
        <v>6</v>
      </c>
      <c r="AV1569" s="48">
        <v>120</v>
      </c>
      <c r="AW1569" s="48">
        <v>114</v>
      </c>
      <c r="AX1569" s="48">
        <v>28</v>
      </c>
      <c r="AY1569" s="48" t="s">
        <v>8728</v>
      </c>
      <c r="AZ1569" s="48" t="s">
        <v>1563</v>
      </c>
      <c r="BA1569" s="48">
        <v>32</v>
      </c>
      <c r="BB1569" s="47" t="s">
        <v>2485</v>
      </c>
      <c r="BC1569" s="47" t="s">
        <v>8726</v>
      </c>
      <c r="BD1569" s="47" t="s">
        <v>8374</v>
      </c>
      <c r="BE1569" s="48" t="s">
        <v>2449</v>
      </c>
      <c r="BF1569" s="48" t="s">
        <v>272</v>
      </c>
      <c r="BG1569" s="48" t="s">
        <v>272</v>
      </c>
      <c r="BH1569" s="48" t="s">
        <v>2486</v>
      </c>
      <c r="BI1569" s="98">
        <v>6.3999999999999997E-6</v>
      </c>
      <c r="BJ1569" s="98">
        <v>6.4000000000000001E-2</v>
      </c>
      <c r="BK1569" s="48"/>
      <c r="BL1569" s="98">
        <f t="shared" si="412"/>
        <v>0.15707967715636428</v>
      </c>
      <c r="BM1569" s="47" t="s">
        <v>2487</v>
      </c>
      <c r="BN1569" s="48"/>
      <c r="BO1569" s="48"/>
      <c r="BP1569" s="48"/>
      <c r="BQ1569" s="48"/>
      <c r="BR1569" s="47" t="s">
        <v>2496</v>
      </c>
      <c r="BS1569" s="48"/>
      <c r="BT1569" s="48"/>
      <c r="BU1569" s="228">
        <v>6.3999999999999997E-5</v>
      </c>
      <c r="BV1569" s="48"/>
      <c r="BW1569" s="48"/>
      <c r="BX1569" s="48"/>
      <c r="BY1569" s="48"/>
      <c r="BZ1569" s="48"/>
      <c r="CA1569" s="48"/>
      <c r="CB1569" s="48"/>
      <c r="CC1569" s="48"/>
      <c r="CD1569" s="48"/>
      <c r="CE1569" s="48"/>
      <c r="CF1569" s="48"/>
      <c r="CG1569" s="48"/>
      <c r="CH1569" s="48"/>
      <c r="CI1569" s="98"/>
      <c r="CJ1569" s="98"/>
      <c r="CK1569" s="49">
        <f t="shared" si="407"/>
        <v>2.4543699555681919</v>
      </c>
      <c r="CL1569" s="229"/>
      <c r="CM1569" s="229"/>
      <c r="CN1569" s="229"/>
      <c r="CO1569" s="47" t="s">
        <v>2488</v>
      </c>
      <c r="CP1569" s="47" t="s">
        <v>2489</v>
      </c>
      <c r="CQ1569" s="224" t="s">
        <v>272</v>
      </c>
      <c r="CR1569" s="224"/>
      <c r="CS1569" s="230" t="s">
        <v>539</v>
      </c>
      <c r="CT1569" s="230"/>
      <c r="CU1569" s="230"/>
      <c r="CV1569" s="335">
        <f t="shared" si="413"/>
        <v>0.96342969040856541</v>
      </c>
      <c r="CW1569" s="230">
        <f t="shared" si="404"/>
        <v>0</v>
      </c>
      <c r="CX1569" s="336"/>
      <c r="CY1569" s="230" t="s">
        <v>5921</v>
      </c>
    </row>
    <row r="1570" spans="1:103" ht="11.25" customHeight="1" x14ac:dyDescent="0.2">
      <c r="A1570" s="72">
        <v>1568</v>
      </c>
      <c r="B1570" s="224">
        <v>1118</v>
      </c>
      <c r="C1570" s="46" t="s">
        <v>7568</v>
      </c>
      <c r="D1570" s="46"/>
      <c r="E1570" s="114"/>
      <c r="F1570" s="114" t="s">
        <v>3123</v>
      </c>
      <c r="G1570" s="225">
        <v>361343193</v>
      </c>
      <c r="H1570" s="47" t="s">
        <v>3124</v>
      </c>
      <c r="I1570" s="47" t="s">
        <v>7824</v>
      </c>
      <c r="J1570" s="47" t="s">
        <v>3125</v>
      </c>
      <c r="K1570" s="47" t="s">
        <v>455</v>
      </c>
      <c r="L1570" s="47"/>
      <c r="M1570" s="47"/>
      <c r="N1570" s="47"/>
      <c r="O1570" s="47"/>
      <c r="P1570" s="53"/>
      <c r="Q1570" s="53"/>
      <c r="R1570" s="53"/>
      <c r="S1570" s="53"/>
      <c r="T1570" s="48">
        <v>630.11</v>
      </c>
      <c r="U1570" s="98"/>
      <c r="V1570" s="98">
        <v>1.7219215692498135E-3</v>
      </c>
      <c r="W1570" s="98">
        <v>4.0738027780411268E-3</v>
      </c>
      <c r="X1570" s="98">
        <f>IF(W1570=0,V1570,W1570)</f>
        <v>4.0738027780411268E-3</v>
      </c>
      <c r="Y1570" s="233">
        <v>7</v>
      </c>
      <c r="Z1570" s="48">
        <v>2.31</v>
      </c>
      <c r="AA1570" s="48"/>
      <c r="AB1570" s="48">
        <v>2.93</v>
      </c>
      <c r="AC1570" s="48">
        <v>0.45950000000000002</v>
      </c>
      <c r="AD1570" s="48">
        <v>2.8</v>
      </c>
      <c r="AE1570" s="48">
        <v>2.66</v>
      </c>
      <c r="AF1570" s="48">
        <f t="shared" si="411"/>
        <v>2.8</v>
      </c>
      <c r="AG1570" s="49">
        <v>3.06</v>
      </c>
      <c r="AH1570" s="98">
        <v>2.08E-22</v>
      </c>
      <c r="AI1570" s="98"/>
      <c r="AJ1570" s="483">
        <f t="shared" si="408"/>
        <v>-20.07050299134989</v>
      </c>
      <c r="AK1570" s="483"/>
      <c r="AL1570" s="483">
        <f t="shared" si="409"/>
        <v>-20.07050299134989</v>
      </c>
      <c r="AM1570" s="483">
        <v>-37.056899999999999</v>
      </c>
      <c r="AN1570" s="226">
        <v>-35.4</v>
      </c>
      <c r="AO1570" s="484">
        <v>14.14</v>
      </c>
      <c r="AP1570" s="484">
        <v>2.2999999999999998</v>
      </c>
      <c r="AQ1570" s="48" t="s">
        <v>6311</v>
      </c>
      <c r="AR1570" s="48" t="s">
        <v>6311</v>
      </c>
      <c r="AS1570" s="227"/>
      <c r="AT1570" s="50" t="s">
        <v>266</v>
      </c>
      <c r="AU1570" s="48">
        <v>6</v>
      </c>
      <c r="AV1570" s="48">
        <v>120</v>
      </c>
      <c r="AW1570" s="48">
        <v>114</v>
      </c>
      <c r="AX1570" s="48">
        <v>28</v>
      </c>
      <c r="AY1570" s="48" t="s">
        <v>8728</v>
      </c>
      <c r="AZ1570" s="48" t="s">
        <v>1563</v>
      </c>
      <c r="BA1570" s="48">
        <v>32</v>
      </c>
      <c r="BB1570" s="47" t="s">
        <v>2485</v>
      </c>
      <c r="BC1570" s="47" t="s">
        <v>8726</v>
      </c>
      <c r="BD1570" s="47" t="s">
        <v>8374</v>
      </c>
      <c r="BE1570" s="48" t="s">
        <v>2449</v>
      </c>
      <c r="BF1570" s="48" t="s">
        <v>272</v>
      </c>
      <c r="BG1570" s="48" t="s">
        <v>272</v>
      </c>
      <c r="BH1570" s="48" t="s">
        <v>2486</v>
      </c>
      <c r="BI1570" s="98">
        <v>6.3999999999999997E-6</v>
      </c>
      <c r="BJ1570" s="98">
        <v>6.4000000000000001E-2</v>
      </c>
      <c r="BK1570" s="48"/>
      <c r="BL1570" s="98">
        <f t="shared" si="412"/>
        <v>0.43270209707872642</v>
      </c>
      <c r="BM1570" s="47" t="s">
        <v>2487</v>
      </c>
      <c r="BN1570" s="48"/>
      <c r="BO1570" s="48"/>
      <c r="BP1570" s="48"/>
      <c r="BQ1570" s="48"/>
      <c r="BR1570" s="47" t="s">
        <v>2496</v>
      </c>
      <c r="BS1570" s="48"/>
      <c r="BT1570" s="48"/>
      <c r="BU1570" s="228">
        <v>6.4000000000000001E-2</v>
      </c>
      <c r="BV1570" s="48"/>
      <c r="BW1570" s="48"/>
      <c r="BX1570" s="48"/>
      <c r="BY1570" s="48"/>
      <c r="BZ1570" s="48"/>
      <c r="CA1570" s="48"/>
      <c r="CB1570" s="48"/>
      <c r="CC1570" s="48"/>
      <c r="CD1570" s="48"/>
      <c r="CE1570" s="48"/>
      <c r="CF1570" s="48"/>
      <c r="CG1570" s="48"/>
      <c r="CH1570" s="48"/>
      <c r="CI1570" s="98"/>
      <c r="CJ1570" s="98"/>
      <c r="CK1570" s="49">
        <f t="shared" si="407"/>
        <v>6.7609702668551002</v>
      </c>
      <c r="CL1570" s="229"/>
      <c r="CM1570" s="229"/>
      <c r="CN1570" s="229"/>
      <c r="CO1570" s="47" t="s">
        <v>2488</v>
      </c>
      <c r="CP1570" s="47" t="s">
        <v>2489</v>
      </c>
      <c r="CQ1570" s="224" t="s">
        <v>272</v>
      </c>
      <c r="CR1570" s="224"/>
      <c r="CS1570" s="230" t="s">
        <v>539</v>
      </c>
      <c r="CT1570" s="230"/>
      <c r="CU1570" s="230"/>
      <c r="CV1570" s="335">
        <f t="shared" si="413"/>
        <v>6.3653168406892599E-2</v>
      </c>
      <c r="CW1570" s="230">
        <f t="shared" si="404"/>
        <v>0</v>
      </c>
      <c r="CX1570" s="336"/>
      <c r="CY1570" s="230" t="s">
        <v>5921</v>
      </c>
    </row>
    <row r="1571" spans="1:103" ht="11.25" customHeight="1" x14ac:dyDescent="0.2">
      <c r="A1571" s="72">
        <v>1569</v>
      </c>
      <c r="B1571" s="224">
        <v>1340</v>
      </c>
      <c r="C1571" s="46" t="s">
        <v>7569</v>
      </c>
      <c r="D1571" s="46"/>
      <c r="E1571" s="114"/>
      <c r="F1571" s="114" t="s">
        <v>3631</v>
      </c>
      <c r="G1571" s="225">
        <v>445295045</v>
      </c>
      <c r="H1571" s="47" t="s">
        <v>3632</v>
      </c>
      <c r="I1571" s="47" t="s">
        <v>8188</v>
      </c>
      <c r="J1571" s="236" t="s">
        <v>3633</v>
      </c>
      <c r="K1571" s="236" t="s">
        <v>2631</v>
      </c>
      <c r="L1571" s="47"/>
      <c r="M1571" s="47"/>
      <c r="N1571" s="47"/>
      <c r="O1571" s="52"/>
      <c r="P1571" s="53"/>
      <c r="Q1571" s="53"/>
      <c r="R1571" s="53"/>
      <c r="S1571" s="53"/>
      <c r="T1571" s="226">
        <v>839.97</v>
      </c>
      <c r="U1571" s="98"/>
      <c r="V1571" s="98">
        <v>4.9823207971713265E-3</v>
      </c>
      <c r="W1571" s="98">
        <v>7.4131024130091636E-2</v>
      </c>
      <c r="X1571" s="98">
        <f>IF(W1571=0,V1571,W1571)</f>
        <v>7.4131024130091636E-2</v>
      </c>
      <c r="Y1571" s="233">
        <v>4.18</v>
      </c>
      <c r="Z1571" s="48">
        <v>2.96</v>
      </c>
      <c r="AA1571" s="48"/>
      <c r="AB1571" s="48">
        <v>2.5099999999999998</v>
      </c>
      <c r="AC1571" s="48">
        <v>0.64400000000000002</v>
      </c>
      <c r="AD1571" s="48">
        <v>2.69</v>
      </c>
      <c r="AE1571" s="48">
        <v>3</v>
      </c>
      <c r="AF1571" s="48">
        <f t="shared" si="411"/>
        <v>2.69</v>
      </c>
      <c r="AG1571" s="48">
        <v>1.64</v>
      </c>
      <c r="AH1571" s="98">
        <v>5.75E-22</v>
      </c>
      <c r="AI1571" s="98"/>
      <c r="AJ1571" s="483">
        <f t="shared" si="408"/>
        <v>-19.628898481623022</v>
      </c>
      <c r="AK1571" s="483"/>
      <c r="AL1571" s="483">
        <f t="shared" si="409"/>
        <v>-19.628898481623022</v>
      </c>
      <c r="AM1571" s="483">
        <v>-27.615110000000001</v>
      </c>
      <c r="AN1571" s="48"/>
      <c r="AO1571" s="484">
        <v>3.1</v>
      </c>
      <c r="AP1571" s="484">
        <v>1.44</v>
      </c>
      <c r="AQ1571" s="48" t="s">
        <v>6311</v>
      </c>
      <c r="AR1571" s="48" t="s">
        <v>6311</v>
      </c>
      <c r="AS1571" s="227"/>
      <c r="AT1571" s="50" t="s">
        <v>266</v>
      </c>
      <c r="AU1571" s="48">
        <v>6</v>
      </c>
      <c r="AV1571" s="48">
        <v>120</v>
      </c>
      <c r="AW1571" s="48">
        <v>114</v>
      </c>
      <c r="AX1571" s="48">
        <v>28</v>
      </c>
      <c r="AY1571" s="48" t="s">
        <v>8728</v>
      </c>
      <c r="AZ1571" s="48" t="s">
        <v>1563</v>
      </c>
      <c r="BA1571" s="48">
        <v>32</v>
      </c>
      <c r="BB1571" s="47" t="s">
        <v>2485</v>
      </c>
      <c r="BC1571" s="47" t="s">
        <v>8726</v>
      </c>
      <c r="BD1571" s="47" t="s">
        <v>8374</v>
      </c>
      <c r="BE1571" s="48" t="s">
        <v>2449</v>
      </c>
      <c r="BF1571" s="48" t="s">
        <v>272</v>
      </c>
      <c r="BG1571" s="48" t="s">
        <v>272</v>
      </c>
      <c r="BH1571" s="48" t="s">
        <v>2486</v>
      </c>
      <c r="BI1571" s="98">
        <v>6.3999999999999997E-6</v>
      </c>
      <c r="BJ1571" s="98">
        <v>6.4000000000000001E-2</v>
      </c>
      <c r="BK1571" s="48"/>
      <c r="BL1571" s="98">
        <f t="shared" si="412"/>
        <v>0.11282984720039825</v>
      </c>
      <c r="BM1571" s="47" t="s">
        <v>2487</v>
      </c>
      <c r="BN1571" s="48"/>
      <c r="BO1571" s="48"/>
      <c r="BP1571" s="48"/>
      <c r="BQ1571" s="48"/>
      <c r="BR1571" s="47" t="s">
        <v>2496</v>
      </c>
      <c r="BS1571" s="48"/>
      <c r="BT1571" s="48"/>
      <c r="BU1571" s="228"/>
      <c r="BV1571" s="48"/>
      <c r="BW1571" s="48"/>
      <c r="BX1571" s="48"/>
      <c r="BY1571" s="48"/>
      <c r="BZ1571" s="48"/>
      <c r="CA1571" s="48"/>
      <c r="CB1571" s="48"/>
      <c r="CC1571" s="48"/>
      <c r="CD1571" s="48"/>
      <c r="CE1571" s="48"/>
      <c r="CF1571" s="48"/>
      <c r="CG1571" s="48"/>
      <c r="CH1571" s="48"/>
      <c r="CI1571" s="98"/>
      <c r="CJ1571" s="98"/>
      <c r="CK1571" s="49">
        <f t="shared" si="407"/>
        <v>1.7629663625062226</v>
      </c>
      <c r="CL1571" s="229"/>
      <c r="CM1571" s="229"/>
      <c r="CN1571" s="229"/>
      <c r="CO1571" s="47" t="s">
        <v>2488</v>
      </c>
      <c r="CP1571" s="47" t="s">
        <v>2489</v>
      </c>
      <c r="CQ1571" s="224" t="s">
        <v>272</v>
      </c>
      <c r="CR1571" s="224"/>
      <c r="CS1571" s="230" t="s">
        <v>539</v>
      </c>
      <c r="CT1571" s="230"/>
      <c r="CU1571" s="230"/>
      <c r="CV1571" s="335">
        <f t="shared" si="413"/>
        <v>1.1582972520326817</v>
      </c>
      <c r="CW1571" s="230">
        <f t="shared" si="404"/>
        <v>1</v>
      </c>
      <c r="CX1571" s="336"/>
      <c r="CY1571" s="230" t="s">
        <v>5921</v>
      </c>
    </row>
    <row r="1572" spans="1:103" ht="11.25" customHeight="1" x14ac:dyDescent="0.2">
      <c r="A1572" s="72">
        <v>1570</v>
      </c>
      <c r="B1572" s="224">
        <v>1430</v>
      </c>
      <c r="C1572" s="46" t="s">
        <v>7570</v>
      </c>
      <c r="D1572" s="46"/>
      <c r="E1572" s="114"/>
      <c r="F1572" s="114" t="s">
        <v>4399</v>
      </c>
      <c r="G1572" s="225">
        <v>460081996</v>
      </c>
      <c r="H1572" s="47" t="s">
        <v>4400</v>
      </c>
      <c r="I1572" s="47" t="s">
        <v>7795</v>
      </c>
      <c r="J1572" s="47" t="s">
        <v>4401</v>
      </c>
      <c r="K1572" s="47" t="s">
        <v>455</v>
      </c>
      <c r="L1572" s="47"/>
      <c r="M1572" s="47"/>
      <c r="N1572" s="47"/>
      <c r="O1572" s="47"/>
      <c r="P1572" s="53"/>
      <c r="Q1572" s="53"/>
      <c r="R1572" s="53"/>
      <c r="S1572" s="53"/>
      <c r="T1572" s="48">
        <v>376.4</v>
      </c>
      <c r="U1572" s="98"/>
      <c r="V1572" s="98">
        <v>1.2438894792773645</v>
      </c>
      <c r="W1572" s="98">
        <v>7.4131024130091636E-2</v>
      </c>
      <c r="X1572" s="98">
        <f>IF(W1572=0,V1572,W1572)</f>
        <v>7.4131024130091636E-2</v>
      </c>
      <c r="Y1572" s="233">
        <v>8.4499999999999993</v>
      </c>
      <c r="Z1572" s="48">
        <v>0.81</v>
      </c>
      <c r="AA1572" s="48"/>
      <c r="AB1572" s="48">
        <v>0.95</v>
      </c>
      <c r="AC1572" s="48">
        <v>0.4158</v>
      </c>
      <c r="AD1572" s="48">
        <v>0.75</v>
      </c>
      <c r="AE1572" s="48">
        <v>0.59</v>
      </c>
      <c r="AF1572" s="48">
        <f t="shared" si="411"/>
        <v>0.75</v>
      </c>
      <c r="AG1572" s="49">
        <v>0.56000000000000005</v>
      </c>
      <c r="AH1572" s="98">
        <v>5.5599999999999996E-16</v>
      </c>
      <c r="AI1572" s="98"/>
      <c r="AJ1572" s="483">
        <f t="shared" si="408"/>
        <v>-13.643491534730595</v>
      </c>
      <c r="AK1572" s="483"/>
      <c r="AL1572" s="483">
        <f t="shared" si="409"/>
        <v>-13.643491534730595</v>
      </c>
      <c r="AM1572" s="483">
        <v>-20.549509999999998</v>
      </c>
      <c r="AN1572" s="226">
        <v>-16.8</v>
      </c>
      <c r="AO1572" s="484"/>
      <c r="AP1572" s="484">
        <v>7.24</v>
      </c>
      <c r="AQ1572" s="48" t="s">
        <v>6311</v>
      </c>
      <c r="AR1572" s="48" t="s">
        <v>6311</v>
      </c>
      <c r="AS1572" s="227"/>
      <c r="AT1572" s="50" t="s">
        <v>266</v>
      </c>
      <c r="AU1572" s="48">
        <v>6</v>
      </c>
      <c r="AV1572" s="48">
        <v>120</v>
      </c>
      <c r="AW1572" s="48">
        <v>114</v>
      </c>
      <c r="AX1572" s="48">
        <v>28</v>
      </c>
      <c r="AY1572" s="48" t="s">
        <v>8728</v>
      </c>
      <c r="AZ1572" s="48" t="s">
        <v>1563</v>
      </c>
      <c r="BA1572" s="48">
        <v>32</v>
      </c>
      <c r="BB1572" s="47" t="s">
        <v>2485</v>
      </c>
      <c r="BC1572" s="47" t="s">
        <v>8726</v>
      </c>
      <c r="BD1572" s="47" t="s">
        <v>8374</v>
      </c>
      <c r="BE1572" s="48" t="s">
        <v>2449</v>
      </c>
      <c r="BF1572" s="48" t="s">
        <v>272</v>
      </c>
      <c r="BG1572" s="48" t="s">
        <v>272</v>
      </c>
      <c r="BH1572" s="48" t="s">
        <v>2486</v>
      </c>
      <c r="BI1572" s="98">
        <v>6.3999999999999997E-6</v>
      </c>
      <c r="BJ1572" s="98">
        <v>6.4000000000000001E-2</v>
      </c>
      <c r="BK1572" s="48"/>
      <c r="BL1572" s="98">
        <f t="shared" si="412"/>
        <v>9.6236318321384644</v>
      </c>
      <c r="BM1572" s="47" t="s">
        <v>2487</v>
      </c>
      <c r="BN1572" s="48"/>
      <c r="BO1572" s="48"/>
      <c r="BP1572" s="48"/>
      <c r="BQ1572" s="48"/>
      <c r="BR1572" s="47" t="s">
        <v>2496</v>
      </c>
      <c r="BS1572" s="48"/>
      <c r="BT1572" s="48"/>
      <c r="BU1572" s="228"/>
      <c r="BV1572" s="48"/>
      <c r="BW1572" s="48"/>
      <c r="BX1572" s="48"/>
      <c r="BY1572" s="48"/>
      <c r="BZ1572" s="48"/>
      <c r="CA1572" s="48"/>
      <c r="CB1572" s="48"/>
      <c r="CC1572" s="48"/>
      <c r="CD1572" s="48"/>
      <c r="CE1572" s="48"/>
      <c r="CF1572" s="48"/>
      <c r="CG1572" s="48"/>
      <c r="CH1572" s="48"/>
      <c r="CI1572" s="98"/>
      <c r="CJ1572" s="98"/>
      <c r="CK1572" s="49">
        <f t="shared" si="407"/>
        <v>150.3692473771635</v>
      </c>
      <c r="CL1572" s="229"/>
      <c r="CM1572" s="229"/>
      <c r="CN1572" s="229"/>
      <c r="CO1572" s="47" t="s">
        <v>2488</v>
      </c>
      <c r="CP1572" s="47" t="s">
        <v>2489</v>
      </c>
      <c r="CQ1572" s="224" t="s">
        <v>272</v>
      </c>
      <c r="CR1572" s="224"/>
      <c r="CS1572" s="230" t="s">
        <v>539</v>
      </c>
      <c r="CT1572" s="230"/>
      <c r="CU1572" s="230"/>
      <c r="CV1572" s="335">
        <f t="shared" si="413"/>
        <v>1.1582972520326817</v>
      </c>
      <c r="CW1572" s="230">
        <f t="shared" si="404"/>
        <v>1</v>
      </c>
      <c r="CX1572" s="336"/>
      <c r="CY1572" s="230" t="s">
        <v>5921</v>
      </c>
    </row>
    <row r="1573" spans="1:103" ht="11.25" customHeight="1" x14ac:dyDescent="0.2">
      <c r="A1573" s="72">
        <v>1571</v>
      </c>
      <c r="B1573" s="224">
        <v>1505</v>
      </c>
      <c r="C1573" s="46" t="s">
        <v>7571</v>
      </c>
      <c r="D1573" s="46"/>
      <c r="E1573" s="114"/>
      <c r="F1573" s="114" t="s">
        <v>4599</v>
      </c>
      <c r="G1573" s="225">
        <v>461023632</v>
      </c>
      <c r="H1573" s="47" t="s">
        <v>4600</v>
      </c>
      <c r="I1573" s="47" t="s">
        <v>7772</v>
      </c>
      <c r="J1573" s="47" t="s">
        <v>4601</v>
      </c>
      <c r="K1573" s="47" t="s">
        <v>1573</v>
      </c>
      <c r="L1573" s="47"/>
      <c r="M1573" s="47"/>
      <c r="N1573" s="47"/>
      <c r="O1573" s="47"/>
      <c r="P1573" s="53"/>
      <c r="Q1573" s="53"/>
      <c r="R1573" s="53"/>
      <c r="S1573" s="53"/>
      <c r="T1573" s="48">
        <v>244.29</v>
      </c>
      <c r="U1573" s="98">
        <v>0.24560972614515536</v>
      </c>
      <c r="V1573" s="98">
        <v>2.9632813459412994</v>
      </c>
      <c r="W1573" s="98">
        <v>1.2302687708123807</v>
      </c>
      <c r="X1573" s="98">
        <v>0.24560972614515536</v>
      </c>
      <c r="Y1573" s="233">
        <v>7.9</v>
      </c>
      <c r="Z1573" s="48">
        <v>2.08</v>
      </c>
      <c r="AA1573" s="48">
        <v>1.81</v>
      </c>
      <c r="AB1573" s="48">
        <v>2.0099999999999998</v>
      </c>
      <c r="AC1573" s="48">
        <v>0.86719999999999997</v>
      </c>
      <c r="AD1573" s="48">
        <v>1.91</v>
      </c>
      <c r="AE1573" s="48">
        <v>1.58</v>
      </c>
      <c r="AF1573" s="48">
        <f t="shared" si="411"/>
        <v>1.81</v>
      </c>
      <c r="AG1573" s="49">
        <v>3.21</v>
      </c>
      <c r="AH1573" s="98">
        <v>1.8100000000000001E-13</v>
      </c>
      <c r="AI1573" s="98"/>
      <c r="AJ1573" s="483">
        <f t="shared" si="408"/>
        <v>-11.130887751443467</v>
      </c>
      <c r="AK1573" s="483"/>
      <c r="AL1573" s="483">
        <f t="shared" si="409"/>
        <v>-11.130887751443467</v>
      </c>
      <c r="AM1573" s="483">
        <v>-15.898250000000001</v>
      </c>
      <c r="AN1573" s="226">
        <v>-10.5</v>
      </c>
      <c r="AO1573" s="484"/>
      <c r="AP1573" s="484">
        <v>4.71</v>
      </c>
      <c r="AQ1573" s="48" t="s">
        <v>6311</v>
      </c>
      <c r="AR1573" s="48" t="s">
        <v>6311</v>
      </c>
      <c r="AS1573" s="227"/>
      <c r="AT1573" s="50" t="s">
        <v>266</v>
      </c>
      <c r="AU1573" s="48">
        <v>6</v>
      </c>
      <c r="AV1573" s="48">
        <v>120</v>
      </c>
      <c r="AW1573" s="48">
        <v>114</v>
      </c>
      <c r="AX1573" s="48">
        <v>28</v>
      </c>
      <c r="AY1573" s="48" t="s">
        <v>8728</v>
      </c>
      <c r="AZ1573" s="48" t="s">
        <v>1563</v>
      </c>
      <c r="BA1573" s="48">
        <v>32</v>
      </c>
      <c r="BB1573" s="47" t="s">
        <v>2485</v>
      </c>
      <c r="BC1573" s="47" t="s">
        <v>8726</v>
      </c>
      <c r="BD1573" s="47" t="s">
        <v>8374</v>
      </c>
      <c r="BE1573" s="48" t="s">
        <v>2449</v>
      </c>
      <c r="BF1573" s="48" t="s">
        <v>272</v>
      </c>
      <c r="BG1573" s="48" t="s">
        <v>272</v>
      </c>
      <c r="BH1573" s="48" t="s">
        <v>2486</v>
      </c>
      <c r="BI1573" s="98">
        <v>6.3999999999999997E-6</v>
      </c>
      <c r="BJ1573" s="98">
        <v>6.4000000000000001E-2</v>
      </c>
      <c r="BK1573" s="48"/>
      <c r="BL1573" s="98">
        <f t="shared" si="412"/>
        <v>0.69622882529686447</v>
      </c>
      <c r="BM1573" s="47" t="s">
        <v>2487</v>
      </c>
      <c r="BN1573" s="48"/>
      <c r="BO1573" s="48"/>
      <c r="BP1573" s="48"/>
      <c r="BQ1573" s="48"/>
      <c r="BR1573" s="47" t="s">
        <v>2496</v>
      </c>
      <c r="BS1573" s="48"/>
      <c r="BT1573" s="48"/>
      <c r="BU1573" s="228"/>
      <c r="BV1573" s="48"/>
      <c r="BW1573" s="48"/>
      <c r="BX1573" s="48"/>
      <c r="BY1573" s="48"/>
      <c r="BZ1573" s="48"/>
      <c r="CA1573" s="48"/>
      <c r="CB1573" s="48"/>
      <c r="CC1573" s="48"/>
      <c r="CD1573" s="48"/>
      <c r="CE1573" s="48"/>
      <c r="CF1573" s="48"/>
      <c r="CG1573" s="48"/>
      <c r="CH1573" s="48"/>
      <c r="CI1573" s="98"/>
      <c r="CJ1573" s="98"/>
      <c r="CK1573" s="49">
        <f t="shared" si="407"/>
        <v>10.878575395263507</v>
      </c>
      <c r="CL1573" s="229"/>
      <c r="CM1573" s="229"/>
      <c r="CN1573" s="229"/>
      <c r="CO1573" s="47" t="s">
        <v>2488</v>
      </c>
      <c r="CP1573" s="47" t="s">
        <v>2489</v>
      </c>
      <c r="CQ1573" s="224" t="s">
        <v>272</v>
      </c>
      <c r="CR1573" s="224"/>
      <c r="CS1573" s="230" t="s">
        <v>539</v>
      </c>
      <c r="CT1573" s="230"/>
      <c r="CU1573" s="230"/>
      <c r="CV1573" s="335">
        <f t="shared" si="413"/>
        <v>3.8376519710180523</v>
      </c>
      <c r="CW1573" s="230">
        <f t="shared" si="404"/>
        <v>1</v>
      </c>
      <c r="CX1573" s="336"/>
      <c r="CY1573" s="230" t="s">
        <v>5921</v>
      </c>
    </row>
    <row r="1574" spans="1:103" ht="11.25" customHeight="1" x14ac:dyDescent="0.2">
      <c r="A1574" s="72">
        <v>1572</v>
      </c>
      <c r="B1574" s="224">
        <v>1701</v>
      </c>
      <c r="C1574" s="46" t="s">
        <v>7572</v>
      </c>
      <c r="D1574" s="46"/>
      <c r="E1574" s="114"/>
      <c r="F1574" s="114" t="s">
        <v>4959</v>
      </c>
      <c r="G1574" s="225">
        <v>473289622</v>
      </c>
      <c r="H1574" s="47" t="s">
        <v>4960</v>
      </c>
      <c r="I1574" s="47" t="s">
        <v>7761</v>
      </c>
      <c r="J1574" s="47" t="s">
        <v>4961</v>
      </c>
      <c r="K1574" s="47" t="s">
        <v>300</v>
      </c>
      <c r="L1574" s="47"/>
      <c r="M1574" s="47"/>
      <c r="N1574" s="47"/>
      <c r="O1574" s="47"/>
      <c r="P1574" s="53"/>
      <c r="Q1574" s="53"/>
      <c r="R1574" s="53"/>
      <c r="S1574" s="53"/>
      <c r="T1574" s="48">
        <v>325.44</v>
      </c>
      <c r="U1574" s="98"/>
      <c r="V1574" s="98">
        <v>6.8829891838741393</v>
      </c>
      <c r="W1574" s="98">
        <v>21.877616239495524</v>
      </c>
      <c r="X1574" s="98">
        <f t="shared" ref="X1574:X1612" si="414">IF(W1574=0,V1574,W1574)</f>
        <v>21.877616239495524</v>
      </c>
      <c r="Y1574" s="233">
        <v>10.92</v>
      </c>
      <c r="Z1574" s="48">
        <v>1.84</v>
      </c>
      <c r="AA1574" s="48">
        <v>1.87</v>
      </c>
      <c r="AB1574" s="48">
        <v>2.25</v>
      </c>
      <c r="AC1574" s="48">
        <v>0.70579999999999998</v>
      </c>
      <c r="AD1574" s="48">
        <v>2.21</v>
      </c>
      <c r="AE1574" s="48">
        <v>2.14</v>
      </c>
      <c r="AF1574" s="48">
        <f t="shared" si="411"/>
        <v>1.87</v>
      </c>
      <c r="AG1574" s="49">
        <v>4.07</v>
      </c>
      <c r="AH1574" s="98">
        <v>2.89E-15</v>
      </c>
      <c r="AI1574" s="98"/>
      <c r="AJ1574" s="483">
        <f t="shared" si="408"/>
        <v>-12.927668483556104</v>
      </c>
      <c r="AK1574" s="483"/>
      <c r="AL1574" s="483">
        <f t="shared" si="409"/>
        <v>-12.927668483556104</v>
      </c>
      <c r="AM1574" s="483">
        <v>-15.488090000000001</v>
      </c>
      <c r="AN1574" s="226">
        <v>-30.7</v>
      </c>
      <c r="AO1574" s="484">
        <v>13.86</v>
      </c>
      <c r="AP1574" s="484">
        <v>9.42</v>
      </c>
      <c r="AQ1574" s="226" t="s">
        <v>6311</v>
      </c>
      <c r="AR1574" s="226" t="s">
        <v>6311</v>
      </c>
      <c r="AS1574" s="224"/>
      <c r="AT1574" s="50" t="s">
        <v>266</v>
      </c>
      <c r="AU1574" s="48">
        <v>6</v>
      </c>
      <c r="AV1574" s="48">
        <v>120</v>
      </c>
      <c r="AW1574" s="48">
        <v>114</v>
      </c>
      <c r="AX1574" s="48">
        <v>28</v>
      </c>
      <c r="AY1574" s="48" t="s">
        <v>8728</v>
      </c>
      <c r="AZ1574" s="48" t="s">
        <v>1563</v>
      </c>
      <c r="BA1574" s="48">
        <v>32</v>
      </c>
      <c r="BB1574" s="47" t="s">
        <v>2485</v>
      </c>
      <c r="BC1574" s="47" t="s">
        <v>8726</v>
      </c>
      <c r="BD1574" s="47" t="s">
        <v>8374</v>
      </c>
      <c r="BE1574" s="48" t="s">
        <v>2449</v>
      </c>
      <c r="BF1574" s="48" t="s">
        <v>272</v>
      </c>
      <c r="BG1574" s="48" t="s">
        <v>272</v>
      </c>
      <c r="BH1574" s="48" t="s">
        <v>2486</v>
      </c>
      <c r="BI1574" s="98">
        <v>6.3999999999999997E-6</v>
      </c>
      <c r="BJ1574" s="98">
        <v>6.4000000000000001E-2</v>
      </c>
      <c r="BK1574" s="48"/>
      <c r="BL1574" s="98">
        <f t="shared" si="412"/>
        <v>1.1436575463879277</v>
      </c>
      <c r="BM1574" s="47" t="s">
        <v>2487</v>
      </c>
      <c r="BN1574" s="48"/>
      <c r="BO1574" s="48"/>
      <c r="BP1574" s="48"/>
      <c r="BQ1574" s="48"/>
      <c r="BR1574" s="47" t="s">
        <v>2496</v>
      </c>
      <c r="BS1574" s="48"/>
      <c r="BT1574" s="48"/>
      <c r="BU1574" s="228"/>
      <c r="BV1574" s="48"/>
      <c r="BW1574" s="48"/>
      <c r="BX1574" s="48"/>
      <c r="BY1574" s="48"/>
      <c r="BZ1574" s="48"/>
      <c r="CA1574" s="48"/>
      <c r="CB1574" s="48"/>
      <c r="CC1574" s="48"/>
      <c r="CD1574" s="48"/>
      <c r="CE1574" s="48"/>
      <c r="CF1574" s="48"/>
      <c r="CG1574" s="48"/>
      <c r="CH1574" s="48"/>
      <c r="CI1574" s="52" t="s">
        <v>6347</v>
      </c>
      <c r="CJ1574" s="98"/>
      <c r="CK1574" s="49">
        <f t="shared" si="407"/>
        <v>17.869649162311369</v>
      </c>
      <c r="CL1574" s="229"/>
      <c r="CM1574" s="229"/>
      <c r="CN1574" s="229"/>
      <c r="CO1574" s="47" t="s">
        <v>2488</v>
      </c>
      <c r="CP1574" s="47" t="s">
        <v>2489</v>
      </c>
      <c r="CQ1574" s="224" t="s">
        <v>272</v>
      </c>
      <c r="CR1574" s="224"/>
      <c r="CS1574" s="230" t="s">
        <v>539</v>
      </c>
      <c r="CT1574" s="230"/>
      <c r="CU1574" s="230"/>
      <c r="CV1574" s="335">
        <f t="shared" si="413"/>
        <v>341.83775374211757</v>
      </c>
      <c r="CW1574" s="230">
        <f t="shared" si="404"/>
        <v>1</v>
      </c>
      <c r="CX1574" s="336"/>
      <c r="CY1574" s="230" t="s">
        <v>5921</v>
      </c>
    </row>
    <row r="1575" spans="1:103" ht="11.25" customHeight="1" x14ac:dyDescent="0.2">
      <c r="A1575" s="72">
        <v>1573</v>
      </c>
      <c r="B1575" s="224">
        <v>1753</v>
      </c>
      <c r="C1575" s="46" t="s">
        <v>7573</v>
      </c>
      <c r="D1575" s="46"/>
      <c r="E1575" s="114"/>
      <c r="F1575" s="114" t="s">
        <v>5051</v>
      </c>
      <c r="G1575" s="225">
        <v>478149530</v>
      </c>
      <c r="H1575" s="47" t="s">
        <v>5052</v>
      </c>
      <c r="I1575" s="47" t="s">
        <v>7806</v>
      </c>
      <c r="J1575" s="47" t="s">
        <v>5053</v>
      </c>
      <c r="K1575" s="47" t="s">
        <v>2977</v>
      </c>
      <c r="L1575" s="47"/>
      <c r="M1575" s="47"/>
      <c r="N1575" s="47"/>
      <c r="O1575" s="47"/>
      <c r="P1575" s="53"/>
      <c r="Q1575" s="53"/>
      <c r="R1575" s="53"/>
      <c r="S1575" s="53"/>
      <c r="T1575" s="48">
        <v>325.2</v>
      </c>
      <c r="U1575" s="98"/>
      <c r="V1575" s="98">
        <v>1</v>
      </c>
      <c r="W1575" s="98">
        <v>0.10715193052376051</v>
      </c>
      <c r="X1575" s="98">
        <f t="shared" si="414"/>
        <v>0.10715193052376051</v>
      </c>
      <c r="Y1575" s="233">
        <v>9.4499999999999993</v>
      </c>
      <c r="Z1575" s="48">
        <v>2.85</v>
      </c>
      <c r="AA1575" s="48"/>
      <c r="AB1575" s="48">
        <v>2.56</v>
      </c>
      <c r="AC1575" s="48">
        <v>0.67279999999999995</v>
      </c>
      <c r="AD1575" s="48">
        <v>3.02</v>
      </c>
      <c r="AE1575" s="48">
        <v>3.8</v>
      </c>
      <c r="AF1575" s="48">
        <f t="shared" si="411"/>
        <v>3.02</v>
      </c>
      <c r="AG1575" s="49">
        <v>2.3199999999999998</v>
      </c>
      <c r="AH1575" s="98">
        <v>6.34E-12</v>
      </c>
      <c r="AI1575" s="98"/>
      <c r="AJ1575" s="483">
        <f t="shared" si="408"/>
        <v>-9.58647706843092</v>
      </c>
      <c r="AK1575" s="483"/>
      <c r="AL1575" s="483">
        <f t="shared" si="409"/>
        <v>-9.58647706843092</v>
      </c>
      <c r="AM1575" s="483">
        <v>-13.299579999999999</v>
      </c>
      <c r="AN1575" s="226">
        <v>-9.6199999999999992</v>
      </c>
      <c r="AO1575" s="484"/>
      <c r="AP1575" s="484">
        <v>8.99</v>
      </c>
      <c r="AQ1575" s="226" t="s">
        <v>6311</v>
      </c>
      <c r="AR1575" s="226" t="s">
        <v>6312</v>
      </c>
      <c r="AS1575" s="224"/>
      <c r="AT1575" s="50" t="s">
        <v>266</v>
      </c>
      <c r="AU1575" s="48">
        <v>6</v>
      </c>
      <c r="AV1575" s="48">
        <v>120</v>
      </c>
      <c r="AW1575" s="48">
        <v>114</v>
      </c>
      <c r="AX1575" s="48">
        <v>28</v>
      </c>
      <c r="AY1575" s="48" t="s">
        <v>8728</v>
      </c>
      <c r="AZ1575" s="48" t="s">
        <v>1563</v>
      </c>
      <c r="BA1575" s="48">
        <v>32</v>
      </c>
      <c r="BB1575" s="47" t="s">
        <v>2485</v>
      </c>
      <c r="BC1575" s="47" t="s">
        <v>8726</v>
      </c>
      <c r="BD1575" s="47" t="s">
        <v>8374</v>
      </c>
      <c r="BE1575" s="48" t="s">
        <v>2449</v>
      </c>
      <c r="BF1575" s="48" t="s">
        <v>272</v>
      </c>
      <c r="BG1575" s="48" t="s">
        <v>272</v>
      </c>
      <c r="BH1575" s="48" t="s">
        <v>2486</v>
      </c>
      <c r="BI1575" s="98">
        <v>6.3999999999999997E-6</v>
      </c>
      <c r="BJ1575" s="98">
        <v>6.4000000000000001E-2</v>
      </c>
      <c r="BK1575" s="48"/>
      <c r="BL1575" s="98">
        <f t="shared" si="412"/>
        <v>0.14164948503925373</v>
      </c>
      <c r="BM1575" s="47" t="s">
        <v>2487</v>
      </c>
      <c r="BN1575" s="48"/>
      <c r="BO1575" s="48"/>
      <c r="BP1575" s="48"/>
      <c r="BQ1575" s="48"/>
      <c r="BR1575" s="47" t="s">
        <v>2496</v>
      </c>
      <c r="BS1575" s="48"/>
      <c r="BT1575" s="48"/>
      <c r="BU1575" s="228"/>
      <c r="BV1575" s="48"/>
      <c r="BW1575" s="48"/>
      <c r="BX1575" s="48"/>
      <c r="BY1575" s="48"/>
      <c r="BZ1575" s="48"/>
      <c r="CA1575" s="48"/>
      <c r="CB1575" s="48"/>
      <c r="CC1575" s="48"/>
      <c r="CD1575" s="48"/>
      <c r="CE1575" s="48"/>
      <c r="CF1575" s="48"/>
      <c r="CG1575" s="48"/>
      <c r="CH1575" s="48"/>
      <c r="CI1575" s="98"/>
      <c r="CJ1575" s="98"/>
      <c r="CK1575" s="49">
        <f t="shared" si="407"/>
        <v>2.2132732037383396</v>
      </c>
      <c r="CL1575" s="229"/>
      <c r="CM1575" s="229"/>
      <c r="CN1575" s="229"/>
      <c r="CO1575" s="47" t="s">
        <v>2488</v>
      </c>
      <c r="CP1575" s="47" t="s">
        <v>2489</v>
      </c>
      <c r="CQ1575" s="224" t="s">
        <v>272</v>
      </c>
      <c r="CR1575" s="224"/>
      <c r="CS1575" s="230" t="s">
        <v>539</v>
      </c>
      <c r="CT1575" s="230"/>
      <c r="CU1575" s="230"/>
      <c r="CV1575" s="335">
        <f t="shared" si="413"/>
        <v>1.674248914433758</v>
      </c>
      <c r="CW1575" s="230">
        <f t="shared" si="404"/>
        <v>1</v>
      </c>
      <c r="CX1575" s="336"/>
      <c r="CY1575" s="230" t="s">
        <v>5921</v>
      </c>
    </row>
    <row r="1576" spans="1:103" ht="11.25" customHeight="1" x14ac:dyDescent="0.2">
      <c r="A1576" s="72">
        <v>1574</v>
      </c>
      <c r="B1576" s="224">
        <v>1273</v>
      </c>
      <c r="C1576" s="46" t="s">
        <v>7574</v>
      </c>
      <c r="D1576" s="46"/>
      <c r="E1576" s="114"/>
      <c r="F1576" s="114" t="s">
        <v>3498</v>
      </c>
      <c r="G1576" s="225">
        <v>478263988</v>
      </c>
      <c r="H1576" s="47" t="s">
        <v>3499</v>
      </c>
      <c r="I1576" s="47" t="s">
        <v>7797</v>
      </c>
      <c r="J1576" s="47" t="s">
        <v>3500</v>
      </c>
      <c r="K1576" s="47" t="s">
        <v>3501</v>
      </c>
      <c r="L1576" s="47"/>
      <c r="M1576" s="47"/>
      <c r="N1576" s="47"/>
      <c r="O1576" s="47"/>
      <c r="P1576" s="53"/>
      <c r="Q1576" s="53"/>
      <c r="R1576" s="53"/>
      <c r="S1576" s="53"/>
      <c r="T1576" s="48">
        <v>344.34</v>
      </c>
      <c r="U1576" s="98"/>
      <c r="V1576" s="98">
        <v>3.0231747691235409E-3</v>
      </c>
      <c r="W1576" s="98">
        <v>2.9512092266663827E-2</v>
      </c>
      <c r="X1576" s="98">
        <f t="shared" si="414"/>
        <v>2.9512092266663827E-2</v>
      </c>
      <c r="Y1576" s="233">
        <v>6.84</v>
      </c>
      <c r="Z1576" s="48">
        <v>4.46</v>
      </c>
      <c r="AA1576" s="48"/>
      <c r="AB1576" s="48">
        <v>1.92</v>
      </c>
      <c r="AC1576" s="48">
        <v>0.67720000000000002</v>
      </c>
      <c r="AD1576" s="48">
        <v>2.4300000000000002</v>
      </c>
      <c r="AE1576" s="48">
        <v>3.29</v>
      </c>
      <c r="AF1576" s="48">
        <f t="shared" si="411"/>
        <v>2.4300000000000002</v>
      </c>
      <c r="AG1576" s="49">
        <v>2.39</v>
      </c>
      <c r="AH1576" s="98">
        <v>1.58E-14</v>
      </c>
      <c r="AI1576" s="98"/>
      <c r="AJ1576" s="483">
        <f t="shared" si="408"/>
        <v>-12.189909239358229</v>
      </c>
      <c r="AK1576" s="483"/>
      <c r="AL1576" s="483">
        <f t="shared" si="409"/>
        <v>-12.189909239358229</v>
      </c>
      <c r="AM1576" s="483">
        <v>-21.801759999999998</v>
      </c>
      <c r="AN1576" s="226">
        <v>-17.8</v>
      </c>
      <c r="AO1576" s="484">
        <v>9.94</v>
      </c>
      <c r="AP1576" s="484">
        <v>-0.52</v>
      </c>
      <c r="AQ1576" s="48" t="s">
        <v>6311</v>
      </c>
      <c r="AR1576" s="48" t="s">
        <v>6311</v>
      </c>
      <c r="AS1576" s="227"/>
      <c r="AT1576" s="50" t="s">
        <v>266</v>
      </c>
      <c r="AU1576" s="48">
        <v>6</v>
      </c>
      <c r="AV1576" s="48">
        <v>120</v>
      </c>
      <c r="AW1576" s="48">
        <v>114</v>
      </c>
      <c r="AX1576" s="48">
        <v>28</v>
      </c>
      <c r="AY1576" s="48" t="s">
        <v>8728</v>
      </c>
      <c r="AZ1576" s="48" t="s">
        <v>1563</v>
      </c>
      <c r="BA1576" s="48">
        <v>32</v>
      </c>
      <c r="BB1576" s="47" t="s">
        <v>2485</v>
      </c>
      <c r="BC1576" s="47" t="s">
        <v>8726</v>
      </c>
      <c r="BD1576" s="47" t="s">
        <v>8374</v>
      </c>
      <c r="BE1576" s="48" t="s">
        <v>2449</v>
      </c>
      <c r="BF1576" s="48" t="s">
        <v>272</v>
      </c>
      <c r="BG1576" s="48" t="s">
        <v>272</v>
      </c>
      <c r="BH1576" s="48" t="s">
        <v>2486</v>
      </c>
      <c r="BI1576" s="98">
        <v>6.3999999999999997E-6</v>
      </c>
      <c r="BJ1576" s="98">
        <v>6.4000000000000001E-2</v>
      </c>
      <c r="BK1576" s="48"/>
      <c r="BL1576" s="98">
        <f t="shared" si="412"/>
        <v>5.0731067385228461E-3</v>
      </c>
      <c r="BM1576" s="47" t="s">
        <v>2487</v>
      </c>
      <c r="BN1576" s="48"/>
      <c r="BO1576" s="48"/>
      <c r="BP1576" s="48"/>
      <c r="BQ1576" s="48"/>
      <c r="BR1576" s="47" t="s">
        <v>2496</v>
      </c>
      <c r="BS1576" s="48"/>
      <c r="BT1576" s="48"/>
      <c r="BU1576" s="228">
        <v>6.1E-6</v>
      </c>
      <c r="BV1576" s="48"/>
      <c r="BW1576" s="48"/>
      <c r="BX1576" s="48"/>
      <c r="BY1576" s="48"/>
      <c r="BZ1576" s="48"/>
      <c r="CA1576" s="48"/>
      <c r="CB1576" s="48"/>
      <c r="CC1576" s="48"/>
      <c r="CD1576" s="48"/>
      <c r="CE1576" s="48"/>
      <c r="CF1576" s="48"/>
      <c r="CG1576" s="48"/>
      <c r="CH1576" s="48"/>
      <c r="CI1576" s="98"/>
      <c r="CJ1576" s="98"/>
      <c r="CK1576" s="49">
        <f t="shared" si="407"/>
        <v>7.9267292789419463E-2</v>
      </c>
      <c r="CL1576" s="229"/>
      <c r="CM1576" s="229"/>
      <c r="CN1576" s="229"/>
      <c r="CO1576" s="47" t="s">
        <v>2488</v>
      </c>
      <c r="CP1576" s="47" t="s">
        <v>2489</v>
      </c>
      <c r="CQ1576" s="224" t="s">
        <v>272</v>
      </c>
      <c r="CR1576" s="224"/>
      <c r="CS1576" s="230" t="s">
        <v>539</v>
      </c>
      <c r="CT1576" s="230"/>
      <c r="CU1576" s="230"/>
      <c r="CV1576" s="335">
        <f t="shared" si="413"/>
        <v>0.46112644166662226</v>
      </c>
      <c r="CW1576" s="230">
        <f t="shared" si="404"/>
        <v>0</v>
      </c>
      <c r="CX1576" s="336"/>
      <c r="CY1576" s="230" t="s">
        <v>5921</v>
      </c>
    </row>
    <row r="1577" spans="1:103" ht="11.25" customHeight="1" x14ac:dyDescent="0.2">
      <c r="A1577" s="72">
        <v>1575</v>
      </c>
      <c r="B1577" s="224">
        <v>965</v>
      </c>
      <c r="C1577" s="46" t="s">
        <v>7575</v>
      </c>
      <c r="D1577" s="46"/>
      <c r="E1577" s="114"/>
      <c r="F1577" s="114" t="s">
        <v>2753</v>
      </c>
      <c r="G1577" s="225">
        <v>501027492</v>
      </c>
      <c r="H1577" s="47" t="s">
        <v>2754</v>
      </c>
      <c r="I1577" s="47" t="s">
        <v>7839</v>
      </c>
      <c r="J1577" s="47" t="s">
        <v>2755</v>
      </c>
      <c r="K1577" s="47" t="s">
        <v>426</v>
      </c>
      <c r="L1577" s="47"/>
      <c r="M1577" s="47"/>
      <c r="N1577" s="47"/>
      <c r="O1577" s="47"/>
      <c r="P1577" s="53"/>
      <c r="Q1577" s="53"/>
      <c r="R1577" s="53"/>
      <c r="S1577" s="53"/>
      <c r="T1577" s="48">
        <v>382.5</v>
      </c>
      <c r="U1577" s="98"/>
      <c r="V1577" s="98">
        <v>6.5986928104575166E-4</v>
      </c>
      <c r="W1577" s="98">
        <v>7.0794578438413705E-2</v>
      </c>
      <c r="X1577" s="98">
        <f t="shared" si="414"/>
        <v>7.0794578438413705E-2</v>
      </c>
      <c r="Y1577" s="233">
        <v>5.89</v>
      </c>
      <c r="Z1577" s="48">
        <v>5.37</v>
      </c>
      <c r="AA1577" s="48"/>
      <c r="AB1577" s="48">
        <v>4.2300000000000004</v>
      </c>
      <c r="AC1577" s="48">
        <v>0.68230000000000002</v>
      </c>
      <c r="AD1577" s="48">
        <v>3.97</v>
      </c>
      <c r="AE1577" s="48">
        <v>3.51</v>
      </c>
      <c r="AF1577" s="48">
        <f t="shared" si="411"/>
        <v>3.97</v>
      </c>
      <c r="AG1577" s="49">
        <v>4.09</v>
      </c>
      <c r="AH1577" s="98">
        <v>1.02E-17</v>
      </c>
      <c r="AI1577" s="98"/>
      <c r="AJ1577" s="483">
        <f t="shared" si="408"/>
        <v>-15.379966154550734</v>
      </c>
      <c r="AK1577" s="483"/>
      <c r="AL1577" s="483">
        <f t="shared" si="409"/>
        <v>-15.379966154550734</v>
      </c>
      <c r="AM1577" s="483">
        <v>-18.66479</v>
      </c>
      <c r="AN1577" s="226">
        <v>-16.8</v>
      </c>
      <c r="AO1577" s="484">
        <v>4.3499999999999996</v>
      </c>
      <c r="AP1577" s="484">
        <v>7.22</v>
      </c>
      <c r="AQ1577" s="48" t="s">
        <v>6311</v>
      </c>
      <c r="AR1577" s="48" t="s">
        <v>6311</v>
      </c>
      <c r="AS1577" s="227"/>
      <c r="AT1577" s="50" t="s">
        <v>266</v>
      </c>
      <c r="AU1577" s="48">
        <v>6</v>
      </c>
      <c r="AV1577" s="48">
        <v>120</v>
      </c>
      <c r="AW1577" s="48">
        <v>114</v>
      </c>
      <c r="AX1577" s="48">
        <v>28</v>
      </c>
      <c r="AY1577" s="48" t="s">
        <v>8728</v>
      </c>
      <c r="AZ1577" s="48" t="s">
        <v>1563</v>
      </c>
      <c r="BA1577" s="48">
        <v>32</v>
      </c>
      <c r="BB1577" s="47" t="s">
        <v>2485</v>
      </c>
      <c r="BC1577" s="47" t="s">
        <v>8726</v>
      </c>
      <c r="BD1577" s="47" t="s">
        <v>8374</v>
      </c>
      <c r="BE1577" s="48" t="s">
        <v>2449</v>
      </c>
      <c r="BF1577" s="48" t="s">
        <v>272</v>
      </c>
      <c r="BG1577" s="48" t="s">
        <v>272</v>
      </c>
      <c r="BH1577" s="48" t="s">
        <v>2486</v>
      </c>
      <c r="BI1577" s="98">
        <v>6.3999999999999997E-6</v>
      </c>
      <c r="BJ1577" s="98">
        <v>6.4000000000000001E-2</v>
      </c>
      <c r="BK1577" s="48"/>
      <c r="BL1577" s="98">
        <f t="shared" si="412"/>
        <v>7.7268592260252655E-4</v>
      </c>
      <c r="BM1577" s="47" t="s">
        <v>2487</v>
      </c>
      <c r="BN1577" s="48"/>
      <c r="BO1577" s="48"/>
      <c r="BP1577" s="48"/>
      <c r="BQ1577" s="48"/>
      <c r="BR1577" s="47" t="s">
        <v>2496</v>
      </c>
      <c r="BS1577" s="48"/>
      <c r="BT1577" s="48"/>
      <c r="BU1577" s="228">
        <v>6.4000000000000005E-4</v>
      </c>
      <c r="BV1577" s="48"/>
      <c r="BW1577" s="48"/>
      <c r="BX1577" s="48"/>
      <c r="BY1577" s="48"/>
      <c r="BZ1577" s="48"/>
      <c r="CA1577" s="48"/>
      <c r="CB1577" s="48"/>
      <c r="CC1577" s="48"/>
      <c r="CD1577" s="48"/>
      <c r="CE1577" s="48"/>
      <c r="CF1577" s="48"/>
      <c r="CG1577" s="48"/>
      <c r="CH1577" s="48"/>
      <c r="CI1577" s="98"/>
      <c r="CJ1577" s="98"/>
      <c r="CK1577" s="49">
        <f t="shared" si="407"/>
        <v>1.2073217540664477E-2</v>
      </c>
      <c r="CL1577" s="229"/>
      <c r="CM1577" s="229"/>
      <c r="CN1577" s="229"/>
      <c r="CO1577" s="47" t="s">
        <v>2488</v>
      </c>
      <c r="CP1577" s="47" t="s">
        <v>2489</v>
      </c>
      <c r="CQ1577" s="224" t="s">
        <v>272</v>
      </c>
      <c r="CR1577" s="224"/>
      <c r="CS1577" s="230" t="s">
        <v>539</v>
      </c>
      <c r="CT1577" s="230"/>
      <c r="CU1577" s="230"/>
      <c r="CV1577" s="335">
        <f t="shared" si="413"/>
        <v>1.1061652881002142</v>
      </c>
      <c r="CW1577" s="230">
        <f t="shared" si="404"/>
        <v>1</v>
      </c>
      <c r="CX1577" s="336"/>
      <c r="CY1577" s="230" t="s">
        <v>5921</v>
      </c>
    </row>
    <row r="1578" spans="1:103" ht="11.25" customHeight="1" x14ac:dyDescent="0.2">
      <c r="A1578" s="72">
        <v>1576</v>
      </c>
      <c r="B1578" s="224">
        <v>1752</v>
      </c>
      <c r="C1578" s="46" t="s">
        <v>7576</v>
      </c>
      <c r="D1578" s="46"/>
      <c r="E1578" s="114"/>
      <c r="F1578" s="114" t="s">
        <v>5048</v>
      </c>
      <c r="G1578" s="225">
        <v>527680564</v>
      </c>
      <c r="H1578" s="47" t="s">
        <v>5049</v>
      </c>
      <c r="I1578" s="47" t="s">
        <v>7805</v>
      </c>
      <c r="J1578" s="47" t="s">
        <v>5050</v>
      </c>
      <c r="K1578" s="47" t="s">
        <v>1064</v>
      </c>
      <c r="L1578" s="47"/>
      <c r="M1578" s="47"/>
      <c r="N1578" s="47"/>
      <c r="O1578" s="47"/>
      <c r="P1578" s="53"/>
      <c r="Q1578" s="53"/>
      <c r="R1578" s="53"/>
      <c r="S1578" s="53"/>
      <c r="T1578" s="48">
        <v>167.19</v>
      </c>
      <c r="U1578" s="98"/>
      <c r="V1578" s="98">
        <v>217.11824869908489</v>
      </c>
      <c r="W1578" s="98">
        <v>1.6982436524617426</v>
      </c>
      <c r="X1578" s="98">
        <f t="shared" si="414"/>
        <v>1.6982436524617426</v>
      </c>
      <c r="Y1578" s="233">
        <v>4.9800000000000004</v>
      </c>
      <c r="Z1578" s="48">
        <v>-0.31</v>
      </c>
      <c r="AA1578" s="48">
        <v>-7.0000000000000007E-2</v>
      </c>
      <c r="AB1578" s="48">
        <v>-0.2</v>
      </c>
      <c r="AC1578" s="48">
        <v>0.67159999999999997</v>
      </c>
      <c r="AD1578" s="48">
        <v>-0.19</v>
      </c>
      <c r="AE1578" s="48">
        <v>-0.16</v>
      </c>
      <c r="AF1578" s="48">
        <f t="shared" si="411"/>
        <v>-7.0000000000000007E-2</v>
      </c>
      <c r="AG1578" s="49">
        <v>0.13</v>
      </c>
      <c r="AH1578" s="98">
        <v>4.6399999999999997E-15</v>
      </c>
      <c r="AI1578" s="98"/>
      <c r="AJ1578" s="483">
        <f t="shared" si="408"/>
        <v>-12.722048345757772</v>
      </c>
      <c r="AK1578" s="483"/>
      <c r="AL1578" s="483">
        <f t="shared" si="409"/>
        <v>-12.722048345757772</v>
      </c>
      <c r="AM1578" s="483">
        <v>-16.542259999999999</v>
      </c>
      <c r="AN1578" s="226">
        <v>-18.899999999999999</v>
      </c>
      <c r="AO1578" s="484">
        <v>6.57</v>
      </c>
      <c r="AP1578" s="484">
        <v>2.4500000000000002</v>
      </c>
      <c r="AQ1578" s="226" t="s">
        <v>6311</v>
      </c>
      <c r="AR1578" s="226" t="s">
        <v>6311</v>
      </c>
      <c r="AS1578" s="224"/>
      <c r="AT1578" s="50" t="s">
        <v>266</v>
      </c>
      <c r="AU1578" s="48">
        <v>6</v>
      </c>
      <c r="AV1578" s="48">
        <v>120</v>
      </c>
      <c r="AW1578" s="48">
        <v>114</v>
      </c>
      <c r="AX1578" s="48">
        <v>28</v>
      </c>
      <c r="AY1578" s="48" t="s">
        <v>8728</v>
      </c>
      <c r="AZ1578" s="48" t="s">
        <v>1563</v>
      </c>
      <c r="BA1578" s="48">
        <v>32</v>
      </c>
      <c r="BB1578" s="47" t="s">
        <v>2485</v>
      </c>
      <c r="BC1578" s="47" t="s">
        <v>8726</v>
      </c>
      <c r="BD1578" s="47" t="s">
        <v>8374</v>
      </c>
      <c r="BE1578" s="48" t="s">
        <v>2449</v>
      </c>
      <c r="BF1578" s="48" t="s">
        <v>272</v>
      </c>
      <c r="BG1578" s="48" t="s">
        <v>272</v>
      </c>
      <c r="BH1578" s="48" t="s">
        <v>2486</v>
      </c>
      <c r="BI1578" s="98">
        <v>6.3999999999999997E-6</v>
      </c>
      <c r="BJ1578" s="98">
        <v>6.4000000000000001E-2</v>
      </c>
      <c r="BK1578" s="48"/>
      <c r="BL1578" s="98">
        <f t="shared" si="412"/>
        <v>97.546344709092068</v>
      </c>
      <c r="BM1578" s="47" t="s">
        <v>2487</v>
      </c>
      <c r="BN1578" s="48"/>
      <c r="BO1578" s="48"/>
      <c r="BP1578" s="48"/>
      <c r="BQ1578" s="48"/>
      <c r="BR1578" s="47" t="s">
        <v>2496</v>
      </c>
      <c r="BS1578" s="48"/>
      <c r="BT1578" s="48"/>
      <c r="BU1578" s="228"/>
      <c r="BV1578" s="48"/>
      <c r="BW1578" s="48"/>
      <c r="BX1578" s="48"/>
      <c r="BY1578" s="48"/>
      <c r="BZ1578" s="48"/>
      <c r="CA1578" s="48"/>
      <c r="CB1578" s="48"/>
      <c r="CC1578" s="48"/>
      <c r="CD1578" s="48"/>
      <c r="CE1578" s="48"/>
      <c r="CF1578" s="48"/>
      <c r="CG1578" s="48"/>
      <c r="CH1578" s="48"/>
      <c r="CI1578" s="98"/>
      <c r="CJ1578" s="98"/>
      <c r="CK1578" s="49">
        <f t="shared" si="407"/>
        <v>1524.1616360795636</v>
      </c>
      <c r="CL1578" s="229"/>
      <c r="CM1578" s="229"/>
      <c r="CN1578" s="229"/>
      <c r="CO1578" s="47" t="s">
        <v>2488</v>
      </c>
      <c r="CP1578" s="47" t="s">
        <v>2489</v>
      </c>
      <c r="CQ1578" s="224" t="s">
        <v>272</v>
      </c>
      <c r="CR1578" s="224"/>
      <c r="CS1578" s="230" t="s">
        <v>539</v>
      </c>
      <c r="CT1578" s="230"/>
      <c r="CU1578" s="230"/>
      <c r="CV1578" s="335">
        <f t="shared" si="413"/>
        <v>26.535057069714728</v>
      </c>
      <c r="CW1578" s="230">
        <f t="shared" si="404"/>
        <v>1</v>
      </c>
      <c r="CX1578" s="336"/>
      <c r="CY1578" s="230" t="s">
        <v>5921</v>
      </c>
    </row>
    <row r="1579" spans="1:103" ht="11.25" customHeight="1" x14ac:dyDescent="0.2">
      <c r="A1579" s="72">
        <v>1577</v>
      </c>
      <c r="B1579" s="224">
        <v>879</v>
      </c>
      <c r="C1579" s="46" t="s">
        <v>7577</v>
      </c>
      <c r="D1579" s="46"/>
      <c r="E1579" s="114"/>
      <c r="F1579" s="114" t="s">
        <v>2497</v>
      </c>
      <c r="G1579" s="225">
        <v>588941451</v>
      </c>
      <c r="H1579" s="47" t="s">
        <v>2498</v>
      </c>
      <c r="I1579" s="47" t="s">
        <v>7742</v>
      </c>
      <c r="J1579" s="47" t="s">
        <v>2499</v>
      </c>
      <c r="K1579" s="47" t="s">
        <v>471</v>
      </c>
      <c r="L1579" s="47"/>
      <c r="M1579" s="47"/>
      <c r="N1579" s="47"/>
      <c r="O1579" s="47"/>
      <c r="P1579" s="53"/>
      <c r="Q1579" s="53"/>
      <c r="R1579" s="53"/>
      <c r="S1579" s="53"/>
      <c r="T1579" s="48">
        <v>365.83</v>
      </c>
      <c r="U1579" s="98"/>
      <c r="V1579" s="98">
        <v>4.9531203017795155E-3</v>
      </c>
      <c r="W1579" s="98">
        <v>0.35481338923357514</v>
      </c>
      <c r="X1579" s="98">
        <f t="shared" si="414"/>
        <v>0.35481338923357514</v>
      </c>
      <c r="Y1579" s="233">
        <v>3.48</v>
      </c>
      <c r="Z1579" s="48">
        <v>4.03</v>
      </c>
      <c r="AA1579" s="48"/>
      <c r="AB1579" s="48">
        <v>3.76</v>
      </c>
      <c r="AC1579" s="48">
        <v>0.6038</v>
      </c>
      <c r="AD1579" s="48">
        <v>3.75</v>
      </c>
      <c r="AE1579" s="48">
        <v>3.73</v>
      </c>
      <c r="AF1579" s="48">
        <f t="shared" si="411"/>
        <v>3.75</v>
      </c>
      <c r="AG1579" s="49">
        <v>3.75</v>
      </c>
      <c r="AH1579" s="98">
        <v>8.2400000000000004E-12</v>
      </c>
      <c r="AI1579" s="98"/>
      <c r="AJ1579" s="483">
        <f t="shared" si="408"/>
        <v>-9.4726391146155358</v>
      </c>
      <c r="AK1579" s="483"/>
      <c r="AL1579" s="483">
        <f t="shared" si="409"/>
        <v>-9.4726391146155358</v>
      </c>
      <c r="AM1579" s="483">
        <v>-19.844100000000001</v>
      </c>
      <c r="AN1579" s="226"/>
      <c r="AO1579" s="484">
        <v>2.0499999999999998</v>
      </c>
      <c r="AP1579" s="484">
        <v>-3.42</v>
      </c>
      <c r="AQ1579" s="48" t="s">
        <v>6311</v>
      </c>
      <c r="AR1579" s="48" t="s">
        <v>6311</v>
      </c>
      <c r="AS1579" s="227"/>
      <c r="AT1579" s="50" t="s">
        <v>266</v>
      </c>
      <c r="AU1579" s="48">
        <v>6</v>
      </c>
      <c r="AV1579" s="48">
        <v>120</v>
      </c>
      <c r="AW1579" s="48">
        <v>114</v>
      </c>
      <c r="AX1579" s="48">
        <v>28</v>
      </c>
      <c r="AY1579" s="48" t="s">
        <v>8728</v>
      </c>
      <c r="AZ1579" s="48" t="s">
        <v>1563</v>
      </c>
      <c r="BA1579" s="48">
        <v>32</v>
      </c>
      <c r="BB1579" s="47" t="s">
        <v>2485</v>
      </c>
      <c r="BC1579" s="47" t="s">
        <v>8726</v>
      </c>
      <c r="BD1579" s="47" t="s">
        <v>8374</v>
      </c>
      <c r="BE1579" s="48" t="s">
        <v>2449</v>
      </c>
      <c r="BF1579" s="48" t="s">
        <v>272</v>
      </c>
      <c r="BG1579" s="48" t="s">
        <v>272</v>
      </c>
      <c r="BH1579" s="48" t="s">
        <v>2486</v>
      </c>
      <c r="BI1579" s="98">
        <v>6.3999999999999997E-6</v>
      </c>
      <c r="BJ1579" s="98">
        <v>6.4000000000000001E-2</v>
      </c>
      <c r="BK1579" s="48"/>
      <c r="BL1579" s="98">
        <f t="shared" si="412"/>
        <v>1.2344030894393758E-2</v>
      </c>
      <c r="BM1579" s="47" t="s">
        <v>2487</v>
      </c>
      <c r="BN1579" s="48"/>
      <c r="BO1579" s="48"/>
      <c r="BP1579" s="48"/>
      <c r="BQ1579" s="48"/>
      <c r="BR1579" s="47" t="s">
        <v>2496</v>
      </c>
      <c r="BS1579" s="48"/>
      <c r="BT1579" s="48"/>
      <c r="BU1579" s="228">
        <v>6.3999999999999997E-5</v>
      </c>
      <c r="BV1579" s="48"/>
      <c r="BW1579" s="48"/>
      <c r="BX1579" s="48"/>
      <c r="BY1579" s="48"/>
      <c r="BZ1579" s="48"/>
      <c r="CA1579" s="48"/>
      <c r="CB1579" s="48"/>
      <c r="CC1579" s="48"/>
      <c r="CD1579" s="48"/>
      <c r="CE1579" s="48"/>
      <c r="CF1579" s="48"/>
      <c r="CG1579" s="48"/>
      <c r="CH1579" s="48"/>
      <c r="CI1579" s="98"/>
      <c r="CJ1579" s="98"/>
      <c r="CK1579" s="49">
        <f t="shared" si="407"/>
        <v>0.19287548272490246</v>
      </c>
      <c r="CL1579" s="229"/>
      <c r="CM1579" s="229"/>
      <c r="CN1579" s="229"/>
      <c r="CO1579" s="47" t="s">
        <v>2488</v>
      </c>
      <c r="CP1579" s="47" t="s">
        <v>2489</v>
      </c>
      <c r="CQ1579" s="224" t="s">
        <v>272</v>
      </c>
      <c r="CR1579" s="224"/>
      <c r="CS1579" s="230" t="s">
        <v>539</v>
      </c>
      <c r="CT1579" s="230"/>
      <c r="CU1579" s="230"/>
      <c r="CV1579" s="335">
        <f t="shared" si="413"/>
        <v>5.5439592067746117</v>
      </c>
      <c r="CW1579" s="230">
        <f t="shared" si="404"/>
        <v>1</v>
      </c>
      <c r="CX1579" s="336"/>
      <c r="CY1579" s="230" t="s">
        <v>5921</v>
      </c>
    </row>
    <row r="1580" spans="1:103" ht="11.25" customHeight="1" x14ac:dyDescent="0.2">
      <c r="A1580" s="72">
        <v>1578</v>
      </c>
      <c r="B1580" s="224">
        <v>1823</v>
      </c>
      <c r="C1580" s="46" t="s">
        <v>7578</v>
      </c>
      <c r="D1580" s="46"/>
      <c r="E1580" s="114"/>
      <c r="F1580" s="114" t="s">
        <v>5232</v>
      </c>
      <c r="G1580" s="225">
        <v>625114412</v>
      </c>
      <c r="H1580" s="47" t="s">
        <v>5233</v>
      </c>
      <c r="I1580" s="47" t="s">
        <v>7862</v>
      </c>
      <c r="J1580" s="47" t="s">
        <v>5234</v>
      </c>
      <c r="K1580" s="47" t="s">
        <v>455</v>
      </c>
      <c r="L1580" s="47"/>
      <c r="M1580" s="47"/>
      <c r="N1580" s="47"/>
      <c r="O1580" s="47"/>
      <c r="P1580" s="53"/>
      <c r="Q1580" s="53"/>
      <c r="R1580" s="53"/>
      <c r="S1580" s="53"/>
      <c r="T1580" s="48">
        <v>434.6</v>
      </c>
      <c r="U1580" s="98"/>
      <c r="V1580" s="98">
        <v>2.9866543948458353E-4</v>
      </c>
      <c r="W1580" s="98">
        <v>5.6234132519034832E-3</v>
      </c>
      <c r="X1580" s="98">
        <f t="shared" si="414"/>
        <v>5.6234132519034832E-3</v>
      </c>
      <c r="Y1580" s="233">
        <v>8.34</v>
      </c>
      <c r="Z1580" s="48">
        <v>4.87</v>
      </c>
      <c r="AA1580" s="48"/>
      <c r="AB1580" s="48">
        <v>4.21</v>
      </c>
      <c r="AC1580" s="48">
        <v>0.62239999999999995</v>
      </c>
      <c r="AD1580" s="48">
        <v>4.37</v>
      </c>
      <c r="AE1580" s="48">
        <v>4.67</v>
      </c>
      <c r="AF1580" s="48">
        <f t="shared" si="411"/>
        <v>4.37</v>
      </c>
      <c r="AG1580" s="49">
        <v>4.07</v>
      </c>
      <c r="AH1580" s="98">
        <v>2.24E-18</v>
      </c>
      <c r="AI1580" s="98"/>
      <c r="AJ1580" s="483">
        <f t="shared" si="408"/>
        <v>-16.038318307978489</v>
      </c>
      <c r="AK1580" s="483"/>
      <c r="AL1580" s="483">
        <f t="shared" si="409"/>
        <v>-16.038318307978489</v>
      </c>
      <c r="AM1580" s="483">
        <v>-21.599399999999999</v>
      </c>
      <c r="AN1580" s="226">
        <v>-23.6</v>
      </c>
      <c r="AO1580" s="484">
        <v>14.92</v>
      </c>
      <c r="AP1580" s="484">
        <v>8.41</v>
      </c>
      <c r="AQ1580" s="226" t="s">
        <v>6311</v>
      </c>
      <c r="AR1580" s="226" t="s">
        <v>6311</v>
      </c>
      <c r="AS1580" s="224"/>
      <c r="AT1580" s="50" t="s">
        <v>266</v>
      </c>
      <c r="AU1580" s="48">
        <v>6</v>
      </c>
      <c r="AV1580" s="48">
        <v>120</v>
      </c>
      <c r="AW1580" s="48">
        <v>114</v>
      </c>
      <c r="AX1580" s="48">
        <v>28</v>
      </c>
      <c r="AY1580" s="48" t="s">
        <v>8728</v>
      </c>
      <c r="AZ1580" s="48" t="s">
        <v>1563</v>
      </c>
      <c r="BA1580" s="48">
        <v>32</v>
      </c>
      <c r="BB1580" s="47" t="s">
        <v>2485</v>
      </c>
      <c r="BC1580" s="47" t="s">
        <v>8726</v>
      </c>
      <c r="BD1580" s="47" t="s">
        <v>8374</v>
      </c>
      <c r="BE1580" s="48" t="s">
        <v>2449</v>
      </c>
      <c r="BF1580" s="48" t="s">
        <v>272</v>
      </c>
      <c r="BG1580" s="48" t="s">
        <v>272</v>
      </c>
      <c r="BH1580" s="48" t="s">
        <v>2486</v>
      </c>
      <c r="BI1580" s="98">
        <v>6.3999999999999997E-6</v>
      </c>
      <c r="BJ1580" s="98">
        <v>6.4000000000000001E-2</v>
      </c>
      <c r="BK1580" s="48"/>
      <c r="BL1580" s="98">
        <f t="shared" si="412"/>
        <v>2.1729663449987923E-3</v>
      </c>
      <c r="BM1580" s="47" t="s">
        <v>2487</v>
      </c>
      <c r="BN1580" s="48"/>
      <c r="BO1580" s="48"/>
      <c r="BP1580" s="48"/>
      <c r="BQ1580" s="48"/>
      <c r="BR1580" s="47" t="s">
        <v>2496</v>
      </c>
      <c r="BS1580" s="48"/>
      <c r="BT1580" s="48"/>
      <c r="BU1580" s="228"/>
      <c r="BV1580" s="48"/>
      <c r="BW1580" s="48"/>
      <c r="BX1580" s="48"/>
      <c r="BY1580" s="48"/>
      <c r="BZ1580" s="48"/>
      <c r="CA1580" s="48"/>
      <c r="CB1580" s="48"/>
      <c r="CC1580" s="48"/>
      <c r="CD1580" s="48"/>
      <c r="CE1580" s="48"/>
      <c r="CF1580" s="48"/>
      <c r="CG1580" s="48"/>
      <c r="CH1580" s="48"/>
      <c r="CI1580" s="98"/>
      <c r="CJ1580" s="98"/>
      <c r="CK1580" s="49">
        <f t="shared" si="407"/>
        <v>3.3952599140606131E-2</v>
      </c>
      <c r="CL1580" s="229"/>
      <c r="CM1580" s="229"/>
      <c r="CN1580" s="229"/>
      <c r="CO1580" s="47" t="s">
        <v>2488</v>
      </c>
      <c r="CP1580" s="47" t="s">
        <v>2489</v>
      </c>
      <c r="CQ1580" s="224" t="s">
        <v>272</v>
      </c>
      <c r="CR1580" s="224"/>
      <c r="CS1580" s="230" t="s">
        <v>539</v>
      </c>
      <c r="CT1580" s="230"/>
      <c r="CU1580" s="230"/>
      <c r="CV1580" s="335">
        <f t="shared" si="413"/>
        <v>8.7865832060991925E-2</v>
      </c>
      <c r="CW1580" s="230">
        <f t="shared" si="404"/>
        <v>0</v>
      </c>
      <c r="CX1580" s="336"/>
      <c r="CY1580" s="230" t="s">
        <v>5921</v>
      </c>
    </row>
    <row r="1581" spans="1:103" ht="11.25" customHeight="1" x14ac:dyDescent="0.2">
      <c r="A1581" s="72">
        <v>1579</v>
      </c>
      <c r="B1581" s="224">
        <v>1010</v>
      </c>
      <c r="C1581" s="46" t="s">
        <v>7579</v>
      </c>
      <c r="D1581" s="46"/>
      <c r="E1581" s="114"/>
      <c r="F1581" s="114" t="s">
        <v>2888</v>
      </c>
      <c r="G1581" s="225">
        <v>668981020</v>
      </c>
      <c r="H1581" s="47" t="s">
        <v>2889</v>
      </c>
      <c r="I1581" s="47" t="s">
        <v>7796</v>
      </c>
      <c r="J1581" s="47" t="s">
        <v>2890</v>
      </c>
      <c r="K1581" s="47" t="s">
        <v>597</v>
      </c>
      <c r="L1581" s="47"/>
      <c r="M1581" s="47"/>
      <c r="N1581" s="47"/>
      <c r="O1581" s="47"/>
      <c r="P1581" s="53"/>
      <c r="Q1581" s="53"/>
      <c r="R1581" s="53"/>
      <c r="S1581" s="53"/>
      <c r="T1581" s="48">
        <v>359.39</v>
      </c>
      <c r="U1581" s="98"/>
      <c r="V1581" s="98">
        <v>11.675338768468794</v>
      </c>
      <c r="W1581" s="98">
        <v>3.090295432513591</v>
      </c>
      <c r="X1581" s="98">
        <f t="shared" si="414"/>
        <v>3.090295432513591</v>
      </c>
      <c r="Y1581" s="233">
        <v>8.18</v>
      </c>
      <c r="Z1581" s="48">
        <v>1.99</v>
      </c>
      <c r="AA1581" s="48"/>
      <c r="AB1581" s="48">
        <v>1.59</v>
      </c>
      <c r="AC1581" s="48">
        <v>0.42830000000000001</v>
      </c>
      <c r="AD1581" s="48">
        <v>1.38</v>
      </c>
      <c r="AE1581" s="48">
        <v>1.22</v>
      </c>
      <c r="AF1581" s="48">
        <f t="shared" si="411"/>
        <v>1.38</v>
      </c>
      <c r="AG1581" s="49">
        <v>2.0499999999999998</v>
      </c>
      <c r="AH1581" s="98">
        <v>1.38E-18</v>
      </c>
      <c r="AI1581" s="98"/>
      <c r="AJ1581" s="483">
        <f t="shared" si="408"/>
        <v>-16.248687239911416</v>
      </c>
      <c r="AK1581" s="483"/>
      <c r="AL1581" s="483">
        <f t="shared" si="409"/>
        <v>-16.248687239911416</v>
      </c>
      <c r="AM1581" s="483">
        <v>-23.214929999999999</v>
      </c>
      <c r="AN1581" s="226">
        <v>-18.8</v>
      </c>
      <c r="AO1581" s="484">
        <v>9.8000000000000007</v>
      </c>
      <c r="AP1581" s="484">
        <v>6.76</v>
      </c>
      <c r="AQ1581" s="48" t="s">
        <v>6311</v>
      </c>
      <c r="AR1581" s="48" t="s">
        <v>6311</v>
      </c>
      <c r="AS1581" s="227"/>
      <c r="AT1581" s="50" t="s">
        <v>266</v>
      </c>
      <c r="AU1581" s="48">
        <v>6</v>
      </c>
      <c r="AV1581" s="48">
        <v>120</v>
      </c>
      <c r="AW1581" s="48">
        <v>114</v>
      </c>
      <c r="AX1581" s="48">
        <v>28</v>
      </c>
      <c r="AY1581" s="48" t="s">
        <v>8728</v>
      </c>
      <c r="AZ1581" s="48" t="s">
        <v>1563</v>
      </c>
      <c r="BA1581" s="48">
        <v>32</v>
      </c>
      <c r="BB1581" s="47" t="s">
        <v>2485</v>
      </c>
      <c r="BC1581" s="47" t="s">
        <v>8726</v>
      </c>
      <c r="BD1581" s="47" t="s">
        <v>8374</v>
      </c>
      <c r="BE1581" s="48" t="s">
        <v>2449</v>
      </c>
      <c r="BF1581" s="48" t="s">
        <v>272</v>
      </c>
      <c r="BG1581" s="48" t="s">
        <v>272</v>
      </c>
      <c r="BH1581" s="48" t="s">
        <v>2486</v>
      </c>
      <c r="BI1581" s="98">
        <v>6.3999999999999997E-6</v>
      </c>
      <c r="BJ1581" s="98">
        <v>6.4000000000000001E-2</v>
      </c>
      <c r="BK1581" s="48"/>
      <c r="BL1581" s="98">
        <f t="shared" si="412"/>
        <v>0.83865048022778399</v>
      </c>
      <c r="BM1581" s="47" t="s">
        <v>2487</v>
      </c>
      <c r="BN1581" s="48"/>
      <c r="BO1581" s="48"/>
      <c r="BP1581" s="48"/>
      <c r="BQ1581" s="48"/>
      <c r="BR1581" s="47" t="s">
        <v>2496</v>
      </c>
      <c r="BS1581" s="48"/>
      <c r="BT1581" s="48"/>
      <c r="BU1581" s="228">
        <v>6.3999999999999997E-6</v>
      </c>
      <c r="BV1581" s="48"/>
      <c r="BW1581" s="48"/>
      <c r="BX1581" s="48"/>
      <c r="BY1581" s="48"/>
      <c r="BZ1581" s="48"/>
      <c r="CA1581" s="48"/>
      <c r="CB1581" s="48"/>
      <c r="CC1581" s="48"/>
      <c r="CD1581" s="48"/>
      <c r="CE1581" s="48"/>
      <c r="CF1581" s="48"/>
      <c r="CG1581" s="48"/>
      <c r="CH1581" s="48"/>
      <c r="CI1581" s="98"/>
      <c r="CJ1581" s="98"/>
      <c r="CK1581" s="49">
        <f t="shared" si="407"/>
        <v>13.103913753559125</v>
      </c>
      <c r="CL1581" s="229"/>
      <c r="CM1581" s="229"/>
      <c r="CN1581" s="229"/>
      <c r="CO1581" s="47" t="s">
        <v>2488</v>
      </c>
      <c r="CP1581" s="47" t="s">
        <v>2489</v>
      </c>
      <c r="CQ1581" s="224" t="s">
        <v>272</v>
      </c>
      <c r="CR1581" s="224"/>
      <c r="CS1581" s="230" t="s">
        <v>539</v>
      </c>
      <c r="CT1581" s="230"/>
      <c r="CU1581" s="230"/>
      <c r="CV1581" s="335">
        <f t="shared" si="413"/>
        <v>48.285866133024861</v>
      </c>
      <c r="CW1581" s="230">
        <f t="shared" si="404"/>
        <v>1</v>
      </c>
      <c r="CX1581" s="336"/>
      <c r="CY1581" s="230" t="s">
        <v>5921</v>
      </c>
    </row>
    <row r="1582" spans="1:103" ht="11.25" customHeight="1" x14ac:dyDescent="0.2">
      <c r="A1582" s="72">
        <v>1580</v>
      </c>
      <c r="B1582" s="224">
        <v>1378</v>
      </c>
      <c r="C1582" s="46" t="s">
        <v>7580</v>
      </c>
      <c r="D1582" s="46"/>
      <c r="E1582" s="114"/>
      <c r="F1582" s="114" t="s">
        <v>4251</v>
      </c>
      <c r="G1582" s="225">
        <v>851916422</v>
      </c>
      <c r="H1582" s="231" t="s">
        <v>6335</v>
      </c>
      <c r="I1582" s="231" t="s">
        <v>8189</v>
      </c>
      <c r="J1582" s="47" t="s">
        <v>6336</v>
      </c>
      <c r="K1582" s="47"/>
      <c r="L1582" s="47"/>
      <c r="M1582" s="47"/>
      <c r="N1582" s="47"/>
      <c r="O1582" s="47"/>
      <c r="P1582" s="53"/>
      <c r="Q1582" s="53"/>
      <c r="R1582" s="53"/>
      <c r="S1582" s="53"/>
      <c r="T1582" s="48">
        <v>469.55</v>
      </c>
      <c r="U1582" s="98"/>
      <c r="V1582" s="98">
        <f>2.168/469.55</f>
        <v>4.617186668086466E-3</v>
      </c>
      <c r="W1582" s="98">
        <v>1.9054607179632461</v>
      </c>
      <c r="X1582" s="98">
        <f t="shared" si="414"/>
        <v>1.9054607179632461</v>
      </c>
      <c r="Y1582" s="233">
        <v>9.84</v>
      </c>
      <c r="Z1582" s="49">
        <v>3.18</v>
      </c>
      <c r="AA1582" s="49"/>
      <c r="AB1582" s="49">
        <v>4.8899999999999997</v>
      </c>
      <c r="AC1582" s="49">
        <v>0.42899999999999999</v>
      </c>
      <c r="AD1582" s="49">
        <v>3.47</v>
      </c>
      <c r="AE1582" s="49">
        <v>2.37</v>
      </c>
      <c r="AF1582" s="49">
        <f t="shared" si="411"/>
        <v>3.47</v>
      </c>
      <c r="AG1582" s="49" t="s">
        <v>5921</v>
      </c>
      <c r="AH1582" s="98">
        <v>3.0999999999999998E-17</v>
      </c>
      <c r="AI1582" s="98"/>
      <c r="AJ1582" s="483">
        <f t="shared" si="408"/>
        <v>-14.897204632478379</v>
      </c>
      <c r="AK1582" s="483"/>
      <c r="AL1582" s="483">
        <f t="shared" si="409"/>
        <v>-14.897204632478379</v>
      </c>
      <c r="AM1582" s="483">
        <v>-18.335729999999998</v>
      </c>
      <c r="AN1582" s="226"/>
      <c r="AO1582" s="484"/>
      <c r="AP1582" s="484">
        <v>8.51</v>
      </c>
      <c r="AQ1582" s="48" t="s">
        <v>6317</v>
      </c>
      <c r="AR1582" s="48" t="s">
        <v>6317</v>
      </c>
      <c r="AS1582" s="227"/>
      <c r="AT1582" s="50" t="s">
        <v>266</v>
      </c>
      <c r="AU1582" s="48">
        <v>6</v>
      </c>
      <c r="AV1582" s="48">
        <v>120</v>
      </c>
      <c r="AW1582" s="48">
        <v>114</v>
      </c>
      <c r="AX1582" s="48">
        <v>28</v>
      </c>
      <c r="AY1582" s="48" t="s">
        <v>8728</v>
      </c>
      <c r="AZ1582" s="48" t="s">
        <v>1563</v>
      </c>
      <c r="BA1582" s="48">
        <v>32</v>
      </c>
      <c r="BB1582" s="47" t="s">
        <v>2485</v>
      </c>
      <c r="BC1582" s="47" t="s">
        <v>8726</v>
      </c>
      <c r="BD1582" s="47" t="s">
        <v>8374</v>
      </c>
      <c r="BE1582" s="48" t="s">
        <v>2449</v>
      </c>
      <c r="BF1582" s="48" t="s">
        <v>272</v>
      </c>
      <c r="BG1582" s="48" t="s">
        <v>272</v>
      </c>
      <c r="BH1582" s="48" t="s">
        <v>2486</v>
      </c>
      <c r="BI1582" s="98">
        <v>6.3999999999999997E-6</v>
      </c>
      <c r="BJ1582" s="98">
        <v>6.4000000000000001E-2</v>
      </c>
      <c r="BK1582" s="48"/>
      <c r="BL1582" s="98"/>
      <c r="BM1582" s="47" t="s">
        <v>2487</v>
      </c>
      <c r="BN1582" s="48"/>
      <c r="BO1582" s="48"/>
      <c r="BP1582" s="48"/>
      <c r="BQ1582" s="48"/>
      <c r="BR1582" s="47" t="s">
        <v>2496</v>
      </c>
      <c r="BS1582" s="48"/>
      <c r="BT1582" s="48"/>
      <c r="BU1582" s="228"/>
      <c r="BV1582" s="48"/>
      <c r="BW1582" s="48"/>
      <c r="BX1582" s="48"/>
      <c r="BY1582" s="48"/>
      <c r="BZ1582" s="48"/>
      <c r="CA1582" s="48"/>
      <c r="CB1582" s="48"/>
      <c r="CC1582" s="48"/>
      <c r="CD1582" s="48"/>
      <c r="CE1582" s="48"/>
      <c r="CF1582" s="48"/>
      <c r="CG1582" s="48"/>
      <c r="CH1582" s="48"/>
      <c r="CI1582" s="98"/>
      <c r="CJ1582" s="98"/>
      <c r="CK1582" s="49">
        <f t="shared" ref="CK1582:CK1613" si="415">BL1582/BJ1582</f>
        <v>0</v>
      </c>
      <c r="CL1582" s="229"/>
      <c r="CM1582" s="229"/>
      <c r="CN1582" s="229"/>
      <c r="CO1582" s="47" t="s">
        <v>2488</v>
      </c>
      <c r="CP1582" s="47" t="s">
        <v>2489</v>
      </c>
      <c r="CQ1582" s="224" t="s">
        <v>272</v>
      </c>
      <c r="CR1582" s="224"/>
      <c r="CS1582" s="230" t="s">
        <v>539</v>
      </c>
      <c r="CT1582" s="230"/>
      <c r="CU1582" s="230"/>
      <c r="CV1582" s="335">
        <f t="shared" si="413"/>
        <v>29.772823718175719</v>
      </c>
      <c r="CW1582" s="230">
        <f t="shared" si="404"/>
        <v>1</v>
      </c>
      <c r="CX1582" s="336"/>
      <c r="CY1582" s="230" t="s">
        <v>5921</v>
      </c>
    </row>
    <row r="1583" spans="1:103" ht="11.25" customHeight="1" x14ac:dyDescent="0.2">
      <c r="A1583" s="72">
        <v>1581</v>
      </c>
      <c r="B1583" s="224">
        <v>1750</v>
      </c>
      <c r="C1583" s="46" t="s">
        <v>7581</v>
      </c>
      <c r="D1583" s="46"/>
      <c r="E1583" s="114"/>
      <c r="F1583" s="114" t="s">
        <v>5042</v>
      </c>
      <c r="G1583" s="225">
        <v>1068967963</v>
      </c>
      <c r="H1583" s="47" t="s">
        <v>5043</v>
      </c>
      <c r="I1583" s="47" t="s">
        <v>7804</v>
      </c>
      <c r="J1583" s="47" t="s">
        <v>5044</v>
      </c>
      <c r="K1583" s="47" t="s">
        <v>426</v>
      </c>
      <c r="L1583" s="47"/>
      <c r="M1583" s="47"/>
      <c r="N1583" s="47"/>
      <c r="O1583" s="47"/>
      <c r="P1583" s="53"/>
      <c r="Q1583" s="53"/>
      <c r="R1583" s="53"/>
      <c r="S1583" s="53"/>
      <c r="T1583" s="48">
        <v>212.28</v>
      </c>
      <c r="U1583" s="98"/>
      <c r="V1583" s="98">
        <v>0.18777086866402865</v>
      </c>
      <c r="W1583" s="98">
        <v>0.29512092266663859</v>
      </c>
      <c r="X1583" s="98">
        <f t="shared" si="414"/>
        <v>0.29512092266663859</v>
      </c>
      <c r="Y1583" s="233">
        <v>7</v>
      </c>
      <c r="Z1583" s="48">
        <v>3.49</v>
      </c>
      <c r="AA1583" s="48"/>
      <c r="AB1583" s="48">
        <v>3.45</v>
      </c>
      <c r="AC1583" s="48">
        <v>0.55330000000000001</v>
      </c>
      <c r="AD1583" s="48">
        <v>3.77</v>
      </c>
      <c r="AE1583" s="48">
        <v>4.1399999999999997</v>
      </c>
      <c r="AF1583" s="48">
        <f t="shared" si="411"/>
        <v>3.77</v>
      </c>
      <c r="AG1583" s="49">
        <v>3.77</v>
      </c>
      <c r="AH1583" s="98"/>
      <c r="AI1583" s="98"/>
      <c r="AJ1583" s="483"/>
      <c r="AK1583" s="483"/>
      <c r="AL1583" s="483"/>
      <c r="AM1583" s="483">
        <v>-6.7462599999999995</v>
      </c>
      <c r="AN1583" s="226"/>
      <c r="AO1583" s="484"/>
      <c r="AP1583" s="484"/>
      <c r="AQ1583" s="226" t="s">
        <v>6311</v>
      </c>
      <c r="AR1583" s="226" t="s">
        <v>6311</v>
      </c>
      <c r="AS1583" s="224"/>
      <c r="AT1583" s="50" t="s">
        <v>266</v>
      </c>
      <c r="AU1583" s="48">
        <v>6</v>
      </c>
      <c r="AV1583" s="48">
        <v>120</v>
      </c>
      <c r="AW1583" s="48">
        <v>114</v>
      </c>
      <c r="AX1583" s="48">
        <v>28</v>
      </c>
      <c r="AY1583" s="48" t="s">
        <v>8728</v>
      </c>
      <c r="AZ1583" s="48" t="s">
        <v>1563</v>
      </c>
      <c r="BA1583" s="48">
        <v>32</v>
      </c>
      <c r="BB1583" s="47" t="s">
        <v>2485</v>
      </c>
      <c r="BC1583" s="47" t="s">
        <v>8726</v>
      </c>
      <c r="BD1583" s="47" t="s">
        <v>8374</v>
      </c>
      <c r="BE1583" s="48" t="s">
        <v>2449</v>
      </c>
      <c r="BF1583" s="48" t="s">
        <v>272</v>
      </c>
      <c r="BG1583" s="48" t="s">
        <v>272</v>
      </c>
      <c r="BH1583" s="48" t="s">
        <v>2486</v>
      </c>
      <c r="BI1583" s="98">
        <v>6.3999999999999997E-6</v>
      </c>
      <c r="BJ1583" s="98">
        <v>6.4000000000000001E-2</v>
      </c>
      <c r="BK1583" s="48"/>
      <c r="BL1583" s="98">
        <f t="shared" ref="BL1583:BL1589" si="416">10^((-0.8981*Z1583)+1.7108)</f>
        <v>3.7707783074033704E-2</v>
      </c>
      <c r="BM1583" s="47" t="s">
        <v>2487</v>
      </c>
      <c r="BN1583" s="48"/>
      <c r="BO1583" s="48"/>
      <c r="BP1583" s="48"/>
      <c r="BQ1583" s="48"/>
      <c r="BR1583" s="47" t="s">
        <v>2496</v>
      </c>
      <c r="BS1583" s="48"/>
      <c r="BT1583" s="48"/>
      <c r="BU1583" s="228"/>
      <c r="BV1583" s="48"/>
      <c r="BW1583" s="48"/>
      <c r="BX1583" s="48"/>
      <c r="BY1583" s="48"/>
      <c r="BZ1583" s="48"/>
      <c r="CA1583" s="48"/>
      <c r="CB1583" s="48"/>
      <c r="CC1583" s="48"/>
      <c r="CD1583" s="48"/>
      <c r="CE1583" s="48"/>
      <c r="CF1583" s="48"/>
      <c r="CG1583" s="48"/>
      <c r="CH1583" s="48"/>
      <c r="CI1583" s="98"/>
      <c r="CJ1583" s="98"/>
      <c r="CK1583" s="49">
        <f t="shared" si="415"/>
        <v>0.58918411053177666</v>
      </c>
      <c r="CL1583" s="229"/>
      <c r="CM1583" s="229"/>
      <c r="CN1583" s="229"/>
      <c r="CO1583" s="47" t="s">
        <v>2488</v>
      </c>
      <c r="CP1583" s="47" t="s">
        <v>2489</v>
      </c>
      <c r="CQ1583" s="224" t="s">
        <v>272</v>
      </c>
      <c r="CR1583" s="224"/>
      <c r="CS1583" s="230" t="s">
        <v>539</v>
      </c>
      <c r="CT1583" s="230"/>
      <c r="CU1583" s="230"/>
      <c r="CV1583" s="335">
        <f t="shared" si="413"/>
        <v>4.611264416666228</v>
      </c>
      <c r="CW1583" s="230">
        <f t="shared" si="404"/>
        <v>1</v>
      </c>
      <c r="CX1583" s="336"/>
      <c r="CY1583" s="230" t="s">
        <v>5921</v>
      </c>
    </row>
    <row r="1584" spans="1:103" ht="11.25" customHeight="1" x14ac:dyDescent="0.2">
      <c r="A1584" s="72">
        <v>1582</v>
      </c>
      <c r="B1584" s="224">
        <v>883</v>
      </c>
      <c r="C1584" s="46" t="s">
        <v>7582</v>
      </c>
      <c r="D1584" s="46"/>
      <c r="E1584" s="114"/>
      <c r="F1584" s="114" t="s">
        <v>2511</v>
      </c>
      <c r="G1584" s="225">
        <v>1191914212</v>
      </c>
      <c r="H1584" s="47" t="s">
        <v>2512</v>
      </c>
      <c r="I1584" s="47" t="s">
        <v>7762</v>
      </c>
      <c r="J1584" s="47" t="s">
        <v>2513</v>
      </c>
      <c r="K1584" s="47" t="s">
        <v>2514</v>
      </c>
      <c r="L1584" s="47"/>
      <c r="M1584" s="47"/>
      <c r="N1584" s="47"/>
      <c r="O1584" s="47"/>
      <c r="P1584" s="53"/>
      <c r="Q1584" s="53"/>
      <c r="R1584" s="53"/>
      <c r="S1584" s="53"/>
      <c r="T1584" s="48">
        <v>281.08999999999997</v>
      </c>
      <c r="U1584" s="98"/>
      <c r="V1584" s="98">
        <v>0.45038955494681421</v>
      </c>
      <c r="W1584" s="98">
        <v>0.89125093813374534</v>
      </c>
      <c r="X1584" s="98">
        <f t="shared" si="414"/>
        <v>0.89125093813374534</v>
      </c>
      <c r="Y1584" s="233">
        <v>6.91</v>
      </c>
      <c r="Z1584" s="48">
        <v>2.4500000000000002</v>
      </c>
      <c r="AA1584" s="48"/>
      <c r="AB1584" s="48">
        <v>1.95</v>
      </c>
      <c r="AC1584" s="48">
        <v>0.65110000000000001</v>
      </c>
      <c r="AD1584" s="48">
        <v>2.69</v>
      </c>
      <c r="AE1584" s="48">
        <v>3.9</v>
      </c>
      <c r="AF1584" s="48">
        <f t="shared" si="411"/>
        <v>2.69</v>
      </c>
      <c r="AG1584" s="49">
        <v>3.13</v>
      </c>
      <c r="AH1584" s="98">
        <v>3.3799999999999998E-8</v>
      </c>
      <c r="AI1584" s="98"/>
      <c r="AJ1584" s="483">
        <f t="shared" ref="AJ1584:AJ1589" si="417">LOG10(AH1584*1000/(0.08206*298.15))</f>
        <v>-5.8596496260349973</v>
      </c>
      <c r="AK1584" s="483"/>
      <c r="AL1584" s="483">
        <f t="shared" ref="AL1584:AL1589" si="418">IF(AK1584=0,AJ1584,AK1584)</f>
        <v>-5.8596496260349973</v>
      </c>
      <c r="AM1584" s="483">
        <v>-8.67258</v>
      </c>
      <c r="AN1584" s="226">
        <v>-7.59</v>
      </c>
      <c r="AO1584" s="484">
        <v>11.24</v>
      </c>
      <c r="AP1584" s="484">
        <v>-1.74</v>
      </c>
      <c r="AQ1584" s="48" t="s">
        <v>6311</v>
      </c>
      <c r="AR1584" s="48" t="s">
        <v>6313</v>
      </c>
      <c r="AS1584" s="227"/>
      <c r="AT1584" s="50" t="s">
        <v>266</v>
      </c>
      <c r="AU1584" s="48">
        <v>6</v>
      </c>
      <c r="AV1584" s="48">
        <v>120</v>
      </c>
      <c r="AW1584" s="48">
        <v>114</v>
      </c>
      <c r="AX1584" s="48">
        <v>28</v>
      </c>
      <c r="AY1584" s="48" t="s">
        <v>8728</v>
      </c>
      <c r="AZ1584" s="48" t="s">
        <v>1563</v>
      </c>
      <c r="BA1584" s="48">
        <v>32</v>
      </c>
      <c r="BB1584" s="47" t="s">
        <v>2485</v>
      </c>
      <c r="BC1584" s="47" t="s">
        <v>8726</v>
      </c>
      <c r="BD1584" s="47" t="s">
        <v>8374</v>
      </c>
      <c r="BE1584" s="48" t="s">
        <v>2449</v>
      </c>
      <c r="BF1584" s="48" t="s">
        <v>272</v>
      </c>
      <c r="BG1584" s="48" t="s">
        <v>272</v>
      </c>
      <c r="BH1584" s="48" t="s">
        <v>2486</v>
      </c>
      <c r="BI1584" s="98">
        <v>6.3999999999999997E-6</v>
      </c>
      <c r="BJ1584" s="98">
        <v>6.4000000000000001E-2</v>
      </c>
      <c r="BK1584" s="48"/>
      <c r="BL1584" s="98">
        <f t="shared" si="416"/>
        <v>0.32393285596242022</v>
      </c>
      <c r="BM1584" s="47" t="s">
        <v>2487</v>
      </c>
      <c r="BN1584" s="48"/>
      <c r="BO1584" s="48"/>
      <c r="BP1584" s="48"/>
      <c r="BQ1584" s="48"/>
      <c r="BR1584" s="47" t="s">
        <v>2496</v>
      </c>
      <c r="BS1584" s="48"/>
      <c r="BT1584" s="48"/>
      <c r="BU1584" s="228">
        <v>5.7600000000000004E-3</v>
      </c>
      <c r="BV1584" s="48"/>
      <c r="BW1584" s="48"/>
      <c r="BX1584" s="48"/>
      <c r="BY1584" s="48"/>
      <c r="BZ1584" s="48"/>
      <c r="CA1584" s="48"/>
      <c r="CB1584" s="48"/>
      <c r="CC1584" s="48"/>
      <c r="CD1584" s="48"/>
      <c r="CE1584" s="48"/>
      <c r="CF1584" s="48"/>
      <c r="CG1584" s="48"/>
      <c r="CH1584" s="48"/>
      <c r="CI1584" s="98"/>
      <c r="CJ1584" s="98"/>
      <c r="CK1584" s="49">
        <f t="shared" si="415"/>
        <v>5.0614508744128157</v>
      </c>
      <c r="CL1584" s="229"/>
      <c r="CM1584" s="229"/>
      <c r="CN1584" s="229"/>
      <c r="CO1584" s="47" t="s">
        <v>2488</v>
      </c>
      <c r="CP1584" s="47" t="s">
        <v>2489</v>
      </c>
      <c r="CQ1584" s="224" t="s">
        <v>272</v>
      </c>
      <c r="CR1584" s="224"/>
      <c r="CS1584" s="230" t="s">
        <v>539</v>
      </c>
      <c r="CT1584" s="230"/>
      <c r="CU1584" s="230"/>
      <c r="CV1584" s="335">
        <f t="shared" si="413"/>
        <v>13.92579590833977</v>
      </c>
      <c r="CW1584" s="230">
        <f t="shared" si="404"/>
        <v>1</v>
      </c>
      <c r="CX1584" s="336"/>
      <c r="CY1584" s="230" t="s">
        <v>5921</v>
      </c>
    </row>
    <row r="1585" spans="1:103" ht="11.25" customHeight="1" x14ac:dyDescent="0.2">
      <c r="A1585" s="72">
        <v>1583</v>
      </c>
      <c r="B1585" s="224">
        <v>1754</v>
      </c>
      <c r="C1585" s="46" t="s">
        <v>7583</v>
      </c>
      <c r="D1585" s="46"/>
      <c r="E1585" s="114"/>
      <c r="F1585" s="114" t="s">
        <v>5054</v>
      </c>
      <c r="G1585" s="225" t="s">
        <v>5054</v>
      </c>
      <c r="H1585" s="47" t="s">
        <v>5055</v>
      </c>
      <c r="I1585" s="47" t="s">
        <v>7787</v>
      </c>
      <c r="J1585" s="47"/>
      <c r="K1585" s="47" t="s">
        <v>471</v>
      </c>
      <c r="L1585" s="47"/>
      <c r="M1585" s="47"/>
      <c r="N1585" s="47"/>
      <c r="O1585" s="47"/>
      <c r="P1585" s="53"/>
      <c r="Q1585" s="53"/>
      <c r="R1585" s="53"/>
      <c r="S1585" s="53"/>
      <c r="T1585" s="48" t="s">
        <v>5056</v>
      </c>
      <c r="U1585" s="98"/>
      <c r="V1585" s="98">
        <v>0.1192331946020936</v>
      </c>
      <c r="W1585" s="98">
        <v>0.21877616239495512</v>
      </c>
      <c r="X1585" s="98">
        <f t="shared" si="414"/>
        <v>0.21877616239495512</v>
      </c>
      <c r="Y1585" s="233">
        <v>7.03</v>
      </c>
      <c r="Z1585" s="48">
        <v>2.15</v>
      </c>
      <c r="AA1585" s="48"/>
      <c r="AB1585" s="48">
        <v>2.4500000000000002</v>
      </c>
      <c r="AC1585" s="48">
        <v>0.6341</v>
      </c>
      <c r="AD1585" s="48">
        <v>2.2799999999999998</v>
      </c>
      <c r="AE1585" s="48">
        <v>1.94</v>
      </c>
      <c r="AF1585" s="48">
        <f t="shared" si="411"/>
        <v>2.2799999999999998</v>
      </c>
      <c r="AG1585" s="49">
        <v>2.2799999999999998</v>
      </c>
      <c r="AH1585" s="98">
        <v>1.1399999999999999E-13</v>
      </c>
      <c r="AI1585" s="98"/>
      <c r="AJ1585" s="483">
        <f t="shared" si="417"/>
        <v>-11.33166147497618</v>
      </c>
      <c r="AK1585" s="483"/>
      <c r="AL1585" s="483">
        <f t="shared" si="418"/>
        <v>-11.33166147497618</v>
      </c>
      <c r="AM1585" s="483">
        <v>-23.941079999999999</v>
      </c>
      <c r="AN1585" s="226"/>
      <c r="AO1585" s="484">
        <v>10.99</v>
      </c>
      <c r="AP1585" s="484">
        <v>4.0999999999999996</v>
      </c>
      <c r="AQ1585" s="226" t="s">
        <v>5921</v>
      </c>
      <c r="AR1585" s="226" t="s">
        <v>5921</v>
      </c>
      <c r="AS1585" s="224"/>
      <c r="AT1585" s="50" t="s">
        <v>266</v>
      </c>
      <c r="AU1585" s="48">
        <v>6</v>
      </c>
      <c r="AV1585" s="48">
        <v>120</v>
      </c>
      <c r="AW1585" s="48">
        <v>114</v>
      </c>
      <c r="AX1585" s="48">
        <v>28</v>
      </c>
      <c r="AY1585" s="48" t="s">
        <v>8728</v>
      </c>
      <c r="AZ1585" s="48" t="s">
        <v>1563</v>
      </c>
      <c r="BA1585" s="48">
        <v>32</v>
      </c>
      <c r="BB1585" s="47" t="s">
        <v>2485</v>
      </c>
      <c r="BC1585" s="47" t="s">
        <v>8726</v>
      </c>
      <c r="BD1585" s="47" t="s">
        <v>8374</v>
      </c>
      <c r="BE1585" s="48" t="s">
        <v>2449</v>
      </c>
      <c r="BF1585" s="48" t="s">
        <v>272</v>
      </c>
      <c r="BG1585" s="48" t="s">
        <v>272</v>
      </c>
      <c r="BH1585" s="48" t="s">
        <v>2486</v>
      </c>
      <c r="BI1585" s="98">
        <v>6.3999999999999997E-6</v>
      </c>
      <c r="BJ1585" s="98">
        <v>6.4000000000000001E-2</v>
      </c>
      <c r="BK1585" s="48"/>
      <c r="BL1585" s="98">
        <f t="shared" si="416"/>
        <v>0.60240005105464867</v>
      </c>
      <c r="BM1585" s="47" t="s">
        <v>2487</v>
      </c>
      <c r="BN1585" s="48"/>
      <c r="BO1585" s="48"/>
      <c r="BP1585" s="48"/>
      <c r="BQ1585" s="48"/>
      <c r="BR1585" s="47" t="s">
        <v>2496</v>
      </c>
      <c r="BS1585" s="48"/>
      <c r="BT1585" s="48"/>
      <c r="BU1585" s="228"/>
      <c r="BV1585" s="48"/>
      <c r="BW1585" s="48"/>
      <c r="BX1585" s="48"/>
      <c r="BY1585" s="48"/>
      <c r="BZ1585" s="48"/>
      <c r="CA1585" s="48"/>
      <c r="CB1585" s="48"/>
      <c r="CC1585" s="48"/>
      <c r="CD1585" s="48"/>
      <c r="CE1585" s="48"/>
      <c r="CF1585" s="48"/>
      <c r="CG1585" s="48"/>
      <c r="CH1585" s="48"/>
      <c r="CI1585" s="98"/>
      <c r="CJ1585" s="98"/>
      <c r="CK1585" s="49">
        <f t="shared" si="415"/>
        <v>9.4125007977288853</v>
      </c>
      <c r="CL1585" s="229"/>
      <c r="CM1585" s="229"/>
      <c r="CN1585" s="229"/>
      <c r="CO1585" s="47" t="s">
        <v>2488</v>
      </c>
      <c r="CP1585" s="47" t="s">
        <v>2489</v>
      </c>
      <c r="CQ1585" s="224" t="s">
        <v>272</v>
      </c>
      <c r="CR1585" s="224"/>
      <c r="CS1585" s="230" t="s">
        <v>539</v>
      </c>
      <c r="CT1585" s="230"/>
      <c r="CU1585" s="230"/>
      <c r="CV1585" s="335">
        <f t="shared" si="413"/>
        <v>3.4183775374211738</v>
      </c>
      <c r="CW1585" s="230">
        <f t="shared" si="404"/>
        <v>1</v>
      </c>
      <c r="CX1585" s="336"/>
      <c r="CY1585" s="230" t="s">
        <v>5921</v>
      </c>
    </row>
    <row r="1586" spans="1:103" ht="11.25" customHeight="1" x14ac:dyDescent="0.2">
      <c r="A1586" s="72">
        <v>1584</v>
      </c>
      <c r="B1586" s="224">
        <v>1860</v>
      </c>
      <c r="C1586" s="46" t="s">
        <v>7584</v>
      </c>
      <c r="D1586" s="46"/>
      <c r="E1586" s="114"/>
      <c r="F1586" s="114" t="s">
        <v>5286</v>
      </c>
      <c r="G1586" s="225" t="s">
        <v>5286</v>
      </c>
      <c r="H1586" s="47" t="s">
        <v>5287</v>
      </c>
      <c r="I1586" s="47" t="s">
        <v>8190</v>
      </c>
      <c r="J1586" s="47" t="s">
        <v>5288</v>
      </c>
      <c r="K1586" s="47" t="s">
        <v>4623</v>
      </c>
      <c r="L1586" s="47"/>
      <c r="M1586" s="47"/>
      <c r="N1586" s="47"/>
      <c r="O1586" s="47"/>
      <c r="P1586" s="53"/>
      <c r="Q1586" s="53"/>
      <c r="R1586" s="53"/>
      <c r="S1586" s="53"/>
      <c r="T1586" s="48">
        <v>408.51</v>
      </c>
      <c r="U1586" s="98"/>
      <c r="V1586" s="98">
        <v>1.1326528114366845E-2</v>
      </c>
      <c r="W1586" s="98">
        <v>6.6069344800759544E-2</v>
      </c>
      <c r="X1586" s="98">
        <f t="shared" si="414"/>
        <v>6.6069344800759544E-2</v>
      </c>
      <c r="Y1586" s="233">
        <v>4.3499999999999996</v>
      </c>
      <c r="Z1586" s="48">
        <v>3.08</v>
      </c>
      <c r="AA1586" s="48"/>
      <c r="AB1586" s="48">
        <v>2.84</v>
      </c>
      <c r="AC1586" s="48">
        <v>0.55289999999999995</v>
      </c>
      <c r="AD1586" s="48">
        <v>3.24</v>
      </c>
      <c r="AE1586" s="48">
        <v>3.63</v>
      </c>
      <c r="AF1586" s="48">
        <f t="shared" si="411"/>
        <v>3.24</v>
      </c>
      <c r="AG1586" s="49">
        <v>-0.03</v>
      </c>
      <c r="AH1586" s="98">
        <v>6.3699999999999998E-15</v>
      </c>
      <c r="AI1586" s="98"/>
      <c r="AJ1586" s="483">
        <f t="shared" si="417"/>
        <v>-12.584426893977302</v>
      </c>
      <c r="AK1586" s="483"/>
      <c r="AL1586" s="483">
        <f t="shared" si="418"/>
        <v>-12.584426893977302</v>
      </c>
      <c r="AM1586" s="483">
        <v>-22.481729999999999</v>
      </c>
      <c r="AN1586" s="226">
        <v>-6.58</v>
      </c>
      <c r="AO1586" s="484">
        <v>4.72</v>
      </c>
      <c r="AP1586" s="484">
        <v>1.33</v>
      </c>
      <c r="AQ1586" s="226" t="s">
        <v>5921</v>
      </c>
      <c r="AR1586" s="226" t="s">
        <v>5921</v>
      </c>
      <c r="AS1586" s="224"/>
      <c r="AT1586" s="50" t="s">
        <v>266</v>
      </c>
      <c r="AU1586" s="48">
        <v>6</v>
      </c>
      <c r="AV1586" s="48">
        <v>120</v>
      </c>
      <c r="AW1586" s="48">
        <v>114</v>
      </c>
      <c r="AX1586" s="48">
        <v>28</v>
      </c>
      <c r="AY1586" s="48" t="s">
        <v>8728</v>
      </c>
      <c r="AZ1586" s="48" t="s">
        <v>1563</v>
      </c>
      <c r="BA1586" s="48">
        <v>32</v>
      </c>
      <c r="BB1586" s="47" t="s">
        <v>2485</v>
      </c>
      <c r="BC1586" s="47" t="s">
        <v>8726</v>
      </c>
      <c r="BD1586" s="47" t="s">
        <v>8374</v>
      </c>
      <c r="BE1586" s="48" t="s">
        <v>2449</v>
      </c>
      <c r="BF1586" s="48" t="s">
        <v>272</v>
      </c>
      <c r="BG1586" s="48" t="s">
        <v>272</v>
      </c>
      <c r="BH1586" s="48" t="s">
        <v>2486</v>
      </c>
      <c r="BI1586" s="98">
        <v>6.3999999999999997E-6</v>
      </c>
      <c r="BJ1586" s="98">
        <v>6.4000000000000001E-2</v>
      </c>
      <c r="BK1586" s="48"/>
      <c r="BL1586" s="98">
        <f t="shared" si="416"/>
        <v>8.8034317166446649E-2</v>
      </c>
      <c r="BM1586" s="47" t="s">
        <v>2487</v>
      </c>
      <c r="BN1586" s="48"/>
      <c r="BO1586" s="48"/>
      <c r="BP1586" s="48"/>
      <c r="BQ1586" s="48"/>
      <c r="BR1586" s="47" t="s">
        <v>2496</v>
      </c>
      <c r="BS1586" s="48"/>
      <c r="BT1586" s="48"/>
      <c r="BU1586" s="228"/>
      <c r="BV1586" s="48"/>
      <c r="BW1586" s="48"/>
      <c r="BX1586" s="48"/>
      <c r="BY1586" s="48"/>
      <c r="BZ1586" s="48"/>
      <c r="CA1586" s="48"/>
      <c r="CB1586" s="48"/>
      <c r="CC1586" s="48"/>
      <c r="CD1586" s="48"/>
      <c r="CE1586" s="48"/>
      <c r="CF1586" s="48"/>
      <c r="CG1586" s="48"/>
      <c r="CH1586" s="48"/>
      <c r="CI1586" s="98"/>
      <c r="CJ1586" s="98"/>
      <c r="CK1586" s="49">
        <f t="shared" si="415"/>
        <v>1.3755362057257288</v>
      </c>
      <c r="CL1586" s="229"/>
      <c r="CM1586" s="229"/>
      <c r="CN1586" s="229"/>
      <c r="CO1586" s="47" t="s">
        <v>2488</v>
      </c>
      <c r="CP1586" s="47" t="s">
        <v>2489</v>
      </c>
      <c r="CQ1586" s="224" t="s">
        <v>272</v>
      </c>
      <c r="CR1586" s="224"/>
      <c r="CS1586" s="230" t="s">
        <v>539</v>
      </c>
      <c r="CT1586" s="230"/>
      <c r="CU1586" s="230"/>
      <c r="CV1586" s="335">
        <f t="shared" si="413"/>
        <v>1.0323335125118678</v>
      </c>
      <c r="CW1586" s="230">
        <f t="shared" si="404"/>
        <v>1</v>
      </c>
      <c r="CX1586" s="336"/>
      <c r="CY1586" s="230" t="s">
        <v>5921</v>
      </c>
    </row>
    <row r="1587" spans="1:103" ht="11.25" customHeight="1" x14ac:dyDescent="0.2">
      <c r="A1587" s="72">
        <v>1585</v>
      </c>
      <c r="B1587" s="224">
        <v>1759</v>
      </c>
      <c r="C1587" s="46" t="s">
        <v>7585</v>
      </c>
      <c r="D1587" s="46"/>
      <c r="E1587" s="114"/>
      <c r="F1587" s="114" t="s">
        <v>5068</v>
      </c>
      <c r="G1587" s="225" t="s">
        <v>5068</v>
      </c>
      <c r="H1587" s="47" t="s">
        <v>5069</v>
      </c>
      <c r="I1587" s="47" t="s">
        <v>5069</v>
      </c>
      <c r="J1587" s="47" t="s">
        <v>5070</v>
      </c>
      <c r="K1587" s="47" t="s">
        <v>471</v>
      </c>
      <c r="L1587" s="47"/>
      <c r="M1587" s="47"/>
      <c r="N1587" s="47"/>
      <c r="O1587" s="47"/>
      <c r="P1587" s="53"/>
      <c r="Q1587" s="53"/>
      <c r="R1587" s="53"/>
      <c r="S1587" s="53"/>
      <c r="T1587" s="48">
        <v>466.48</v>
      </c>
      <c r="U1587" s="98"/>
      <c r="V1587" s="98">
        <v>1.3132395815469045E-2</v>
      </c>
      <c r="W1587" s="98">
        <v>2.1877616239495488E-2</v>
      </c>
      <c r="X1587" s="98">
        <f t="shared" si="414"/>
        <v>2.1877616239495488E-2</v>
      </c>
      <c r="Y1587" s="233">
        <v>4.7699999999999996</v>
      </c>
      <c r="Z1587" s="48">
        <v>2.67</v>
      </c>
      <c r="AA1587" s="48"/>
      <c r="AB1587" s="48">
        <v>1.39</v>
      </c>
      <c r="AC1587" s="48">
        <v>0.59060000000000001</v>
      </c>
      <c r="AD1587" s="48">
        <v>2.4900000000000002</v>
      </c>
      <c r="AE1587" s="48">
        <v>3.93</v>
      </c>
      <c r="AF1587" s="48">
        <f t="shared" si="411"/>
        <v>2.4900000000000002</v>
      </c>
      <c r="AG1587" s="49">
        <v>2.4900000000000002</v>
      </c>
      <c r="AH1587" s="98">
        <v>4.2600000000000003E-21</v>
      </c>
      <c r="AI1587" s="98"/>
      <c r="AJ1587" s="483">
        <f t="shared" si="417"/>
        <v>-18.759156727209934</v>
      </c>
      <c r="AK1587" s="483"/>
      <c r="AL1587" s="483">
        <f t="shared" si="418"/>
        <v>-18.759156727209934</v>
      </c>
      <c r="AM1587" s="483">
        <v>-30.71557</v>
      </c>
      <c r="AN1587" s="226"/>
      <c r="AO1587" s="484">
        <v>4.17</v>
      </c>
      <c r="AP1587" s="484">
        <v>-7.28</v>
      </c>
      <c r="AQ1587" s="226" t="s">
        <v>5921</v>
      </c>
      <c r="AR1587" s="226" t="s">
        <v>5921</v>
      </c>
      <c r="AS1587" s="224"/>
      <c r="AT1587" s="50" t="s">
        <v>266</v>
      </c>
      <c r="AU1587" s="48">
        <v>6</v>
      </c>
      <c r="AV1587" s="48">
        <v>120</v>
      </c>
      <c r="AW1587" s="48">
        <v>114</v>
      </c>
      <c r="AX1587" s="48">
        <v>28</v>
      </c>
      <c r="AY1587" s="48" t="s">
        <v>8728</v>
      </c>
      <c r="AZ1587" s="48" t="s">
        <v>1563</v>
      </c>
      <c r="BA1587" s="48">
        <v>32</v>
      </c>
      <c r="BB1587" s="47" t="s">
        <v>2485</v>
      </c>
      <c r="BC1587" s="47" t="s">
        <v>8726</v>
      </c>
      <c r="BD1587" s="47" t="s">
        <v>8374</v>
      </c>
      <c r="BE1587" s="48" t="s">
        <v>2449</v>
      </c>
      <c r="BF1587" s="48" t="s">
        <v>272</v>
      </c>
      <c r="BG1587" s="48" t="s">
        <v>272</v>
      </c>
      <c r="BH1587" s="48" t="s">
        <v>2486</v>
      </c>
      <c r="BI1587" s="98">
        <v>6.3999999999999997E-6</v>
      </c>
      <c r="BJ1587" s="98">
        <v>6.4000000000000001E-2</v>
      </c>
      <c r="BK1587" s="48"/>
      <c r="BL1587" s="98">
        <f t="shared" si="416"/>
        <v>0.20552894832736404</v>
      </c>
      <c r="BM1587" s="47" t="s">
        <v>2487</v>
      </c>
      <c r="BN1587" s="48"/>
      <c r="BO1587" s="48"/>
      <c r="BP1587" s="48"/>
      <c r="BQ1587" s="48"/>
      <c r="BR1587" s="47" t="s">
        <v>2496</v>
      </c>
      <c r="BS1587" s="48"/>
      <c r="BT1587" s="48"/>
      <c r="BU1587" s="228"/>
      <c r="BV1587" s="48"/>
      <c r="BW1587" s="48"/>
      <c r="BX1587" s="48"/>
      <c r="BY1587" s="48"/>
      <c r="BZ1587" s="48"/>
      <c r="CA1587" s="48"/>
      <c r="CB1587" s="48"/>
      <c r="CC1587" s="48"/>
      <c r="CD1587" s="48"/>
      <c r="CE1587" s="48"/>
      <c r="CF1587" s="48"/>
      <c r="CG1587" s="48"/>
      <c r="CH1587" s="48"/>
      <c r="CI1587" s="52" t="s">
        <v>6347</v>
      </c>
      <c r="CJ1587" s="98"/>
      <c r="CK1587" s="49">
        <f t="shared" si="415"/>
        <v>3.2113898176150633</v>
      </c>
      <c r="CL1587" s="229"/>
      <c r="CM1587" s="229"/>
      <c r="CN1587" s="229"/>
      <c r="CO1587" s="47" t="s">
        <v>2488</v>
      </c>
      <c r="CP1587" s="47" t="s">
        <v>2489</v>
      </c>
      <c r="CQ1587" s="224" t="s">
        <v>272</v>
      </c>
      <c r="CR1587" s="224"/>
      <c r="CS1587" s="230" t="s">
        <v>539</v>
      </c>
      <c r="CT1587" s="230"/>
      <c r="CU1587" s="230"/>
      <c r="CV1587" s="335">
        <f t="shared" si="413"/>
        <v>0.341837753742117</v>
      </c>
      <c r="CW1587" s="230">
        <f t="shared" si="404"/>
        <v>0</v>
      </c>
      <c r="CX1587" s="336"/>
      <c r="CY1587" s="230" t="s">
        <v>5921</v>
      </c>
    </row>
    <row r="1588" spans="1:103" ht="11.25" customHeight="1" x14ac:dyDescent="0.2">
      <c r="A1588" s="72">
        <v>1586</v>
      </c>
      <c r="B1588" s="224">
        <v>1324</v>
      </c>
      <c r="C1588" s="46" t="s">
        <v>7586</v>
      </c>
      <c r="D1588" s="46"/>
      <c r="E1588" s="114"/>
      <c r="F1588" s="114" t="s">
        <v>3609</v>
      </c>
      <c r="G1588" s="225" t="s">
        <v>3609</v>
      </c>
      <c r="H1588" s="47" t="s">
        <v>3610</v>
      </c>
      <c r="I1588" s="47" t="s">
        <v>8191</v>
      </c>
      <c r="J1588" s="236" t="s">
        <v>3611</v>
      </c>
      <c r="K1588" s="236" t="s">
        <v>2854</v>
      </c>
      <c r="L1588" s="47"/>
      <c r="M1588" s="47"/>
      <c r="N1588" s="47"/>
      <c r="O1588" s="52"/>
      <c r="P1588" s="53"/>
      <c r="Q1588" s="53"/>
      <c r="R1588" s="53"/>
      <c r="S1588" s="53"/>
      <c r="T1588" s="226">
        <v>254.26</v>
      </c>
      <c r="U1588" s="98"/>
      <c r="V1588" s="98">
        <v>0.60292613859828526</v>
      </c>
      <c r="W1588" s="98">
        <v>0.74131024130091727</v>
      </c>
      <c r="X1588" s="98">
        <f t="shared" si="414"/>
        <v>0.74131024130091727</v>
      </c>
      <c r="Y1588" s="233">
        <v>8.92</v>
      </c>
      <c r="Z1588" s="48">
        <v>1.93</v>
      </c>
      <c r="AA1588" s="48"/>
      <c r="AB1588" s="48">
        <v>2.12</v>
      </c>
      <c r="AC1588" s="48">
        <v>0.47439999999999999</v>
      </c>
      <c r="AD1588" s="48">
        <v>1.73</v>
      </c>
      <c r="AE1588" s="48">
        <v>1.31</v>
      </c>
      <c r="AF1588" s="48">
        <f t="shared" si="411"/>
        <v>1.73</v>
      </c>
      <c r="AG1588" s="48">
        <v>0.56999999999999995</v>
      </c>
      <c r="AH1588" s="98">
        <v>2.89E-15</v>
      </c>
      <c r="AI1588" s="98"/>
      <c r="AJ1588" s="483">
        <f t="shared" si="417"/>
        <v>-12.927668483556104</v>
      </c>
      <c r="AK1588" s="483"/>
      <c r="AL1588" s="483">
        <f t="shared" si="418"/>
        <v>-12.927668483556104</v>
      </c>
      <c r="AM1588" s="483">
        <v>-20.187829999999998</v>
      </c>
      <c r="AN1588" s="48">
        <v>-12.18</v>
      </c>
      <c r="AO1588" s="484">
        <v>13.63</v>
      </c>
      <c r="AP1588" s="484">
        <v>7.52</v>
      </c>
      <c r="AQ1588" s="48" t="s">
        <v>5921</v>
      </c>
      <c r="AR1588" s="48" t="s">
        <v>5921</v>
      </c>
      <c r="AS1588" s="227"/>
      <c r="AT1588" s="50" t="s">
        <v>266</v>
      </c>
      <c r="AU1588" s="48">
        <v>6</v>
      </c>
      <c r="AV1588" s="48">
        <v>120</v>
      </c>
      <c r="AW1588" s="48">
        <v>114</v>
      </c>
      <c r="AX1588" s="48">
        <v>28</v>
      </c>
      <c r="AY1588" s="48" t="s">
        <v>8728</v>
      </c>
      <c r="AZ1588" s="48" t="s">
        <v>1563</v>
      </c>
      <c r="BA1588" s="48">
        <v>32</v>
      </c>
      <c r="BB1588" s="47" t="s">
        <v>2485</v>
      </c>
      <c r="BC1588" s="47" t="s">
        <v>8726</v>
      </c>
      <c r="BD1588" s="47" t="s">
        <v>8374</v>
      </c>
      <c r="BE1588" s="48" t="s">
        <v>2449</v>
      </c>
      <c r="BF1588" s="48" t="s">
        <v>272</v>
      </c>
      <c r="BG1588" s="48" t="s">
        <v>272</v>
      </c>
      <c r="BH1588" s="48" t="s">
        <v>2486</v>
      </c>
      <c r="BI1588" s="98">
        <v>6.3999999999999997E-6</v>
      </c>
      <c r="BJ1588" s="98">
        <v>6.4000000000000001E-2</v>
      </c>
      <c r="BK1588" s="48"/>
      <c r="BL1588" s="98">
        <f t="shared" si="416"/>
        <v>0.94943885305746745</v>
      </c>
      <c r="BM1588" s="47" t="s">
        <v>2487</v>
      </c>
      <c r="BN1588" s="48"/>
      <c r="BO1588" s="48"/>
      <c r="BP1588" s="48"/>
      <c r="BQ1588" s="48"/>
      <c r="BR1588" s="47" t="s">
        <v>2496</v>
      </c>
      <c r="BS1588" s="48"/>
      <c r="BT1588" s="48"/>
      <c r="BU1588" s="228"/>
      <c r="BV1588" s="48"/>
      <c r="BW1588" s="48"/>
      <c r="BX1588" s="48"/>
      <c r="BY1588" s="48"/>
      <c r="BZ1588" s="48"/>
      <c r="CA1588" s="48"/>
      <c r="CB1588" s="48"/>
      <c r="CC1588" s="48"/>
      <c r="CD1588" s="48"/>
      <c r="CE1588" s="48"/>
      <c r="CF1588" s="48"/>
      <c r="CG1588" s="48"/>
      <c r="CH1588" s="48"/>
      <c r="CI1588" s="98"/>
      <c r="CJ1588" s="98"/>
      <c r="CK1588" s="49">
        <f t="shared" si="415"/>
        <v>14.834982079022929</v>
      </c>
      <c r="CL1588" s="229"/>
      <c r="CM1588" s="229"/>
      <c r="CN1588" s="229"/>
      <c r="CO1588" s="47" t="s">
        <v>2488</v>
      </c>
      <c r="CP1588" s="47" t="s">
        <v>2489</v>
      </c>
      <c r="CQ1588" s="224" t="s">
        <v>272</v>
      </c>
      <c r="CR1588" s="224"/>
      <c r="CS1588" s="230" t="s">
        <v>539</v>
      </c>
      <c r="CT1588" s="230"/>
      <c r="CU1588" s="230"/>
      <c r="CV1588" s="335">
        <f t="shared" si="413"/>
        <v>11.582972520326832</v>
      </c>
      <c r="CW1588" s="230">
        <f t="shared" si="404"/>
        <v>1</v>
      </c>
      <c r="CX1588" s="336"/>
      <c r="CY1588" s="230" t="s">
        <v>5921</v>
      </c>
    </row>
    <row r="1589" spans="1:103" ht="11.25" customHeight="1" x14ac:dyDescent="0.2">
      <c r="A1589" s="72">
        <v>1587</v>
      </c>
      <c r="B1589" s="224">
        <v>1201</v>
      </c>
      <c r="C1589" s="46" t="s">
        <v>7587</v>
      </c>
      <c r="D1589" s="46"/>
      <c r="E1589" s="114"/>
      <c r="F1589" s="114" t="s">
        <v>3313</v>
      </c>
      <c r="G1589" s="225" t="s">
        <v>3313</v>
      </c>
      <c r="H1589" s="47" t="s">
        <v>3314</v>
      </c>
      <c r="I1589" s="47" t="s">
        <v>7809</v>
      </c>
      <c r="J1589" s="47"/>
      <c r="K1589" s="47" t="s">
        <v>3315</v>
      </c>
      <c r="L1589" s="51"/>
      <c r="M1589" s="47"/>
      <c r="N1589" s="47"/>
      <c r="O1589" s="47"/>
      <c r="P1589" s="53"/>
      <c r="Q1589" s="53"/>
      <c r="R1589" s="53"/>
      <c r="S1589" s="53"/>
      <c r="T1589" s="48">
        <v>397.44</v>
      </c>
      <c r="U1589" s="98"/>
      <c r="V1589" s="98">
        <v>2.0878623188405796</v>
      </c>
      <c r="W1589" s="98">
        <v>0.67608297539198126</v>
      </c>
      <c r="X1589" s="98">
        <f t="shared" si="414"/>
        <v>0.67608297539198126</v>
      </c>
      <c r="Y1589" s="233">
        <v>7.54</v>
      </c>
      <c r="Z1589" s="48">
        <v>0.68</v>
      </c>
      <c r="AA1589" s="48"/>
      <c r="AB1589" s="48">
        <v>1.43</v>
      </c>
      <c r="AC1589" s="48">
        <v>0.65100000000000002</v>
      </c>
      <c r="AD1589" s="48">
        <v>1.1000000000000001</v>
      </c>
      <c r="AE1589" s="48">
        <v>0.3</v>
      </c>
      <c r="AF1589" s="48">
        <f t="shared" si="411"/>
        <v>1.1000000000000001</v>
      </c>
      <c r="AG1589" s="49">
        <v>1.1000000000000001</v>
      </c>
      <c r="AH1589" s="98">
        <v>3.6599999999999999E-17</v>
      </c>
      <c r="AI1589" s="98"/>
      <c r="AJ1589" s="483">
        <f t="shared" si="417"/>
        <v>-14.825085240918241</v>
      </c>
      <c r="AK1589" s="483"/>
      <c r="AL1589" s="483">
        <f t="shared" si="418"/>
        <v>-14.825085240918241</v>
      </c>
      <c r="AM1589" s="483">
        <v>-27.96903</v>
      </c>
      <c r="AN1589" s="226"/>
      <c r="AO1589" s="484">
        <v>11.27</v>
      </c>
      <c r="AP1589" s="484">
        <v>4.3499999999999996</v>
      </c>
      <c r="AQ1589" s="48" t="s">
        <v>5921</v>
      </c>
      <c r="AR1589" s="48" t="s">
        <v>5921</v>
      </c>
      <c r="AS1589" s="227"/>
      <c r="AT1589" s="50" t="s">
        <v>266</v>
      </c>
      <c r="AU1589" s="48">
        <v>6</v>
      </c>
      <c r="AV1589" s="48">
        <v>120</v>
      </c>
      <c r="AW1589" s="48">
        <v>114</v>
      </c>
      <c r="AX1589" s="48">
        <v>28</v>
      </c>
      <c r="AY1589" s="48" t="s">
        <v>8728</v>
      </c>
      <c r="AZ1589" s="48" t="s">
        <v>1563</v>
      </c>
      <c r="BA1589" s="48">
        <v>32</v>
      </c>
      <c r="BB1589" s="47" t="s">
        <v>2485</v>
      </c>
      <c r="BC1589" s="47" t="s">
        <v>8726</v>
      </c>
      <c r="BD1589" s="47" t="s">
        <v>8374</v>
      </c>
      <c r="BE1589" s="48" t="s">
        <v>2449</v>
      </c>
      <c r="BF1589" s="48" t="s">
        <v>272</v>
      </c>
      <c r="BG1589" s="48" t="s">
        <v>272</v>
      </c>
      <c r="BH1589" s="48" t="s">
        <v>2486</v>
      </c>
      <c r="BI1589" s="98">
        <v>6.3999999999999997E-6</v>
      </c>
      <c r="BJ1589" s="98">
        <v>6.4000000000000001E-2</v>
      </c>
      <c r="BK1589" s="48"/>
      <c r="BL1589" s="98">
        <f t="shared" si="416"/>
        <v>12.591921280690162</v>
      </c>
      <c r="BM1589" s="47" t="s">
        <v>2487</v>
      </c>
      <c r="BN1589" s="48"/>
      <c r="BO1589" s="48"/>
      <c r="BP1589" s="48"/>
      <c r="BQ1589" s="48"/>
      <c r="BR1589" s="47" t="s">
        <v>2496</v>
      </c>
      <c r="BS1589" s="48"/>
      <c r="BT1589" s="48"/>
      <c r="BU1589" s="228">
        <v>6.4000000000000003E-3</v>
      </c>
      <c r="BV1589" s="48"/>
      <c r="BW1589" s="48"/>
      <c r="BX1589" s="48"/>
      <c r="BY1589" s="48"/>
      <c r="BZ1589" s="48"/>
      <c r="CA1589" s="48"/>
      <c r="CB1589" s="48"/>
      <c r="CC1589" s="48"/>
      <c r="CD1589" s="48"/>
      <c r="CE1589" s="48"/>
      <c r="CF1589" s="48"/>
      <c r="CG1589" s="48"/>
      <c r="CH1589" s="48"/>
      <c r="CI1589" s="98"/>
      <c r="CJ1589" s="98"/>
      <c r="CK1589" s="49">
        <f t="shared" si="415"/>
        <v>196.74877001078377</v>
      </c>
      <c r="CL1589" s="229"/>
      <c r="CM1589" s="229"/>
      <c r="CN1589" s="229"/>
      <c r="CO1589" s="47" t="s">
        <v>2488</v>
      </c>
      <c r="CP1589" s="47" t="s">
        <v>2489</v>
      </c>
      <c r="CQ1589" s="224" t="s">
        <v>272</v>
      </c>
      <c r="CR1589" s="224"/>
      <c r="CS1589" s="230" t="s">
        <v>539</v>
      </c>
      <c r="CT1589" s="230"/>
      <c r="CU1589" s="230"/>
      <c r="CV1589" s="335">
        <f t="shared" si="413"/>
        <v>10.563796490499707</v>
      </c>
      <c r="CW1589" s="230">
        <f t="shared" si="404"/>
        <v>1</v>
      </c>
      <c r="CX1589" s="336"/>
      <c r="CY1589" s="230" t="s">
        <v>5921</v>
      </c>
    </row>
    <row r="1590" spans="1:103" ht="11.25" customHeight="1" x14ac:dyDescent="0.2">
      <c r="A1590" s="72">
        <v>1588</v>
      </c>
      <c r="B1590" s="224">
        <v>1429</v>
      </c>
      <c r="C1590" s="46" t="s">
        <v>7588</v>
      </c>
      <c r="D1590" s="46"/>
      <c r="E1590" s="114"/>
      <c r="F1590" s="114" t="s">
        <v>4396</v>
      </c>
      <c r="G1590" s="225" t="s">
        <v>4396</v>
      </c>
      <c r="H1590" s="47" t="s">
        <v>4397</v>
      </c>
      <c r="I1590" s="47" t="s">
        <v>8192</v>
      </c>
      <c r="J1590" s="47" t="s">
        <v>4398</v>
      </c>
      <c r="K1590" s="47"/>
      <c r="L1590" s="47"/>
      <c r="M1590" s="47"/>
      <c r="N1590" s="47"/>
      <c r="O1590" s="47"/>
      <c r="P1590" s="53"/>
      <c r="Q1590" s="53"/>
      <c r="R1590" s="53"/>
      <c r="S1590" s="53"/>
      <c r="T1590" s="48">
        <v>211.26</v>
      </c>
      <c r="U1590" s="98"/>
      <c r="V1590" s="98">
        <f>370.7/211.26</f>
        <v>1.7547098362207707</v>
      </c>
      <c r="W1590" s="98">
        <v>27.542287033381648</v>
      </c>
      <c r="X1590" s="98">
        <f t="shared" si="414"/>
        <v>27.542287033381648</v>
      </c>
      <c r="Y1590" s="233">
        <v>9.0500000000000007</v>
      </c>
      <c r="Z1590" s="48">
        <v>2.36</v>
      </c>
      <c r="AA1590" s="48"/>
      <c r="AB1590" s="48">
        <v>0.37</v>
      </c>
      <c r="AC1590" s="48">
        <v>0.44109999999999999</v>
      </c>
      <c r="AD1590" s="48">
        <v>0.31</v>
      </c>
      <c r="AE1590" s="48">
        <v>0.27</v>
      </c>
      <c r="AF1590" s="48">
        <f t="shared" si="411"/>
        <v>0.31</v>
      </c>
      <c r="AG1590" s="49">
        <v>0.31</v>
      </c>
      <c r="AH1590" s="98"/>
      <c r="AI1590" s="98"/>
      <c r="AJ1590" s="483"/>
      <c r="AK1590" s="483"/>
      <c r="AL1590" s="483"/>
      <c r="AM1590" s="483">
        <v>-12.246499999999999</v>
      </c>
      <c r="AN1590" s="226"/>
      <c r="AO1590" s="484">
        <v>7.64</v>
      </c>
      <c r="AP1590" s="484">
        <v>10.27</v>
      </c>
      <c r="AQ1590" s="48" t="s">
        <v>5921</v>
      </c>
      <c r="AR1590" s="48" t="s">
        <v>5921</v>
      </c>
      <c r="AS1590" s="227"/>
      <c r="AT1590" s="50" t="s">
        <v>266</v>
      </c>
      <c r="AU1590" s="48">
        <v>6</v>
      </c>
      <c r="AV1590" s="48">
        <v>120</v>
      </c>
      <c r="AW1590" s="48">
        <v>114</v>
      </c>
      <c r="AX1590" s="48">
        <v>28</v>
      </c>
      <c r="AY1590" s="48" t="s">
        <v>8728</v>
      </c>
      <c r="AZ1590" s="48" t="s">
        <v>1563</v>
      </c>
      <c r="BA1590" s="48">
        <v>32</v>
      </c>
      <c r="BB1590" s="47" t="s">
        <v>2485</v>
      </c>
      <c r="BC1590" s="47" t="s">
        <v>8726</v>
      </c>
      <c r="BD1590" s="47" t="s">
        <v>8374</v>
      </c>
      <c r="BE1590" s="48" t="s">
        <v>2449</v>
      </c>
      <c r="BF1590" s="48" t="s">
        <v>272</v>
      </c>
      <c r="BG1590" s="48" t="s">
        <v>272</v>
      </c>
      <c r="BH1590" s="48" t="s">
        <v>2486</v>
      </c>
      <c r="BI1590" s="98">
        <v>6.3999999999999997E-6</v>
      </c>
      <c r="BJ1590" s="98">
        <v>6.4000000000000001E-2</v>
      </c>
      <c r="BK1590" s="48"/>
      <c r="BL1590" s="98"/>
      <c r="BM1590" s="47" t="s">
        <v>2487</v>
      </c>
      <c r="BN1590" s="48"/>
      <c r="BO1590" s="48"/>
      <c r="BP1590" s="48"/>
      <c r="BQ1590" s="48"/>
      <c r="BR1590" s="47" t="s">
        <v>2496</v>
      </c>
      <c r="BS1590" s="48"/>
      <c r="BT1590" s="48"/>
      <c r="BU1590" s="228"/>
      <c r="BV1590" s="48"/>
      <c r="BW1590" s="48"/>
      <c r="BX1590" s="48"/>
      <c r="BY1590" s="48"/>
      <c r="BZ1590" s="48"/>
      <c r="CA1590" s="48"/>
      <c r="CB1590" s="48"/>
      <c r="CC1590" s="48"/>
      <c r="CD1590" s="48"/>
      <c r="CE1590" s="48"/>
      <c r="CF1590" s="48"/>
      <c r="CG1590" s="48"/>
      <c r="CH1590" s="48"/>
      <c r="CI1590" s="98"/>
      <c r="CJ1590" s="98"/>
      <c r="CK1590" s="49">
        <f t="shared" si="415"/>
        <v>0</v>
      </c>
      <c r="CL1590" s="229"/>
      <c r="CM1590" s="229"/>
      <c r="CN1590" s="229"/>
      <c r="CO1590" s="47" t="s">
        <v>2488</v>
      </c>
      <c r="CP1590" s="47" t="s">
        <v>2489</v>
      </c>
      <c r="CQ1590" s="224" t="s">
        <v>272</v>
      </c>
      <c r="CR1590" s="224"/>
      <c r="CS1590" s="230" t="s">
        <v>539</v>
      </c>
      <c r="CT1590" s="230"/>
      <c r="CU1590" s="230"/>
      <c r="CV1590" s="335">
        <f t="shared" si="413"/>
        <v>430.34823489658822</v>
      </c>
      <c r="CW1590" s="230">
        <f t="shared" si="404"/>
        <v>1</v>
      </c>
      <c r="CX1590" s="336"/>
      <c r="CY1590" s="230" t="s">
        <v>5921</v>
      </c>
    </row>
    <row r="1591" spans="1:103" ht="11.25" customHeight="1" x14ac:dyDescent="0.2">
      <c r="A1591" s="72">
        <v>1589</v>
      </c>
      <c r="B1591" s="224">
        <v>1346</v>
      </c>
      <c r="C1591" s="46" t="s">
        <v>7589</v>
      </c>
      <c r="D1591" s="46"/>
      <c r="E1591" s="114"/>
      <c r="F1591" s="114" t="s">
        <v>4167</v>
      </c>
      <c r="G1591" s="225" t="s">
        <v>4167</v>
      </c>
      <c r="H1591" s="47" t="s">
        <v>4168</v>
      </c>
      <c r="I1591" s="47" t="s">
        <v>8193</v>
      </c>
      <c r="J1591" s="47" t="s">
        <v>4169</v>
      </c>
      <c r="K1591" s="47"/>
      <c r="L1591" s="47"/>
      <c r="M1591" s="47"/>
      <c r="N1591" s="47"/>
      <c r="O1591" s="47"/>
      <c r="P1591" s="53"/>
      <c r="Q1591" s="53"/>
      <c r="R1591" s="53"/>
      <c r="S1591" s="53"/>
      <c r="T1591" s="48">
        <v>378.55</v>
      </c>
      <c r="U1591" s="98"/>
      <c r="V1591" s="98">
        <f>0.2003/378.56</f>
        <v>5.2911031276415893E-4</v>
      </c>
      <c r="W1591" s="98">
        <v>3.5481338923357482E-2</v>
      </c>
      <c r="X1591" s="98">
        <f t="shared" si="414"/>
        <v>3.5481338923357482E-2</v>
      </c>
      <c r="Y1591" s="233">
        <v>8.25</v>
      </c>
      <c r="Z1591" s="48">
        <v>6.23</v>
      </c>
      <c r="AA1591" s="48"/>
      <c r="AB1591" s="48">
        <v>5.52</v>
      </c>
      <c r="AC1591" s="48">
        <v>0.68359999999999999</v>
      </c>
      <c r="AD1591" s="48">
        <v>5.84</v>
      </c>
      <c r="AE1591" s="48">
        <v>6.37</v>
      </c>
      <c r="AF1591" s="48">
        <f t="shared" si="411"/>
        <v>5.84</v>
      </c>
      <c r="AG1591" s="49">
        <v>3.41</v>
      </c>
      <c r="AH1591" s="98">
        <v>3.7999999999999998E-10</v>
      </c>
      <c r="AI1591" s="98"/>
      <c r="AJ1591" s="483">
        <f>LOG10(AH1591*1000/(0.08206*298.15))</f>
        <v>-7.8087827296958414</v>
      </c>
      <c r="AK1591" s="483"/>
      <c r="AL1591" s="483">
        <f>IF(AK1591=0,AJ1591,AK1591)</f>
        <v>-7.8087827296958414</v>
      </c>
      <c r="AM1591" s="483">
        <v>-14.548730000000001</v>
      </c>
      <c r="AN1591" s="226">
        <v>-19.5</v>
      </c>
      <c r="AO1591" s="484"/>
      <c r="AP1591" s="484">
        <v>7.48</v>
      </c>
      <c r="AQ1591" s="48" t="s">
        <v>5921</v>
      </c>
      <c r="AR1591" s="48" t="s">
        <v>5921</v>
      </c>
      <c r="AS1591" s="227"/>
      <c r="AT1591" s="50" t="s">
        <v>266</v>
      </c>
      <c r="AU1591" s="48">
        <v>6</v>
      </c>
      <c r="AV1591" s="48">
        <v>120</v>
      </c>
      <c r="AW1591" s="48">
        <v>114</v>
      </c>
      <c r="AX1591" s="48">
        <v>28</v>
      </c>
      <c r="AY1591" s="48" t="s">
        <v>8728</v>
      </c>
      <c r="AZ1591" s="48" t="s">
        <v>1563</v>
      </c>
      <c r="BA1591" s="48">
        <v>32</v>
      </c>
      <c r="BB1591" s="47" t="s">
        <v>2485</v>
      </c>
      <c r="BC1591" s="47" t="s">
        <v>8726</v>
      </c>
      <c r="BD1591" s="47" t="s">
        <v>8374</v>
      </c>
      <c r="BE1591" s="48" t="s">
        <v>2449</v>
      </c>
      <c r="BF1591" s="48" t="s">
        <v>272</v>
      </c>
      <c r="BG1591" s="48" t="s">
        <v>272</v>
      </c>
      <c r="BH1591" s="48" t="s">
        <v>2486</v>
      </c>
      <c r="BI1591" s="98">
        <v>6.3999999999999997E-6</v>
      </c>
      <c r="BJ1591" s="98">
        <v>6.4000000000000001E-2</v>
      </c>
      <c r="BK1591" s="48"/>
      <c r="BL1591" s="98"/>
      <c r="BM1591" s="47" t="s">
        <v>2487</v>
      </c>
      <c r="BN1591" s="48"/>
      <c r="BO1591" s="48"/>
      <c r="BP1591" s="48"/>
      <c r="BQ1591" s="48"/>
      <c r="BR1591" s="47" t="s">
        <v>2496</v>
      </c>
      <c r="BS1591" s="48"/>
      <c r="BT1591" s="48"/>
      <c r="BU1591" s="228"/>
      <c r="BV1591" s="48"/>
      <c r="BW1591" s="48"/>
      <c r="BX1591" s="48"/>
      <c r="BY1591" s="48"/>
      <c r="BZ1591" s="48"/>
      <c r="CA1591" s="48"/>
      <c r="CB1591" s="48"/>
      <c r="CC1591" s="48"/>
      <c r="CD1591" s="48"/>
      <c r="CE1591" s="48"/>
      <c r="CF1591" s="48"/>
      <c r="CG1591" s="48"/>
      <c r="CH1591" s="48"/>
      <c r="CI1591" s="98"/>
      <c r="CJ1591" s="98"/>
      <c r="CK1591" s="49">
        <f t="shared" si="415"/>
        <v>0</v>
      </c>
      <c r="CL1591" s="229"/>
      <c r="CM1591" s="229"/>
      <c r="CN1591" s="229"/>
      <c r="CO1591" s="47" t="s">
        <v>2488</v>
      </c>
      <c r="CP1591" s="47" t="s">
        <v>2489</v>
      </c>
      <c r="CQ1591" s="224" t="s">
        <v>272</v>
      </c>
      <c r="CR1591" s="224"/>
      <c r="CS1591" s="230" t="s">
        <v>539</v>
      </c>
      <c r="CT1591" s="230"/>
      <c r="CU1591" s="230"/>
      <c r="CV1591" s="335">
        <f t="shared" si="413"/>
        <v>0.55439592067746069</v>
      </c>
      <c r="CW1591" s="230">
        <f t="shared" si="404"/>
        <v>0</v>
      </c>
      <c r="CX1591" s="336"/>
      <c r="CY1591" s="230" t="s">
        <v>5921</v>
      </c>
    </row>
    <row r="1592" spans="1:103" ht="11.25" customHeight="1" x14ac:dyDescent="0.2">
      <c r="A1592" s="72">
        <v>1590</v>
      </c>
      <c r="B1592" s="224">
        <v>881</v>
      </c>
      <c r="C1592" s="46" t="s">
        <v>7590</v>
      </c>
      <c r="D1592" s="46"/>
      <c r="E1592" s="114"/>
      <c r="F1592" s="114" t="s">
        <v>2504</v>
      </c>
      <c r="G1592" s="225" t="s">
        <v>2504</v>
      </c>
      <c r="H1592" s="47" t="s">
        <v>2505</v>
      </c>
      <c r="I1592" s="47" t="s">
        <v>7788</v>
      </c>
      <c r="J1592" s="47" t="s">
        <v>2506</v>
      </c>
      <c r="K1592" s="47" t="s">
        <v>2507</v>
      </c>
      <c r="L1592" s="47"/>
      <c r="M1592" s="47"/>
      <c r="N1592" s="47"/>
      <c r="O1592" s="47"/>
      <c r="P1592" s="53"/>
      <c r="Q1592" s="53"/>
      <c r="R1592" s="53"/>
      <c r="S1592" s="53"/>
      <c r="T1592" s="48">
        <v>528.95000000000005</v>
      </c>
      <c r="U1592" s="98"/>
      <c r="V1592" s="98">
        <v>2.7318272048397766E-2</v>
      </c>
      <c r="W1592" s="98">
        <v>4.1686938347033506E-2</v>
      </c>
      <c r="X1592" s="98">
        <f t="shared" si="414"/>
        <v>4.1686938347033506E-2</v>
      </c>
      <c r="Y1592" s="233">
        <v>8.31</v>
      </c>
      <c r="Z1592" s="48">
        <v>0.23</v>
      </c>
      <c r="AA1592" s="48"/>
      <c r="AB1592" s="48">
        <v>1.22</v>
      </c>
      <c r="AC1592" s="48">
        <v>0.52690000000000003</v>
      </c>
      <c r="AD1592" s="48">
        <v>1.19</v>
      </c>
      <c r="AE1592" s="48">
        <v>1.1399999999999999</v>
      </c>
      <c r="AF1592" s="48">
        <f t="shared" si="411"/>
        <v>1.19</v>
      </c>
      <c r="AG1592" s="49">
        <v>1.27</v>
      </c>
      <c r="AH1592" s="98">
        <v>1.11E-34</v>
      </c>
      <c r="AI1592" s="98"/>
      <c r="AJ1592" s="483">
        <f>LOG10(AH1592*1000/(0.08206*298.15))</f>
        <v>-32.343243347525991</v>
      </c>
      <c r="AK1592" s="483"/>
      <c r="AL1592" s="483">
        <f>IF(AK1592=0,AJ1592,AK1592)</f>
        <v>-32.343243347525991</v>
      </c>
      <c r="AM1592" s="483">
        <v>-37.331029999999998</v>
      </c>
      <c r="AN1592" s="226">
        <v>-16.3</v>
      </c>
      <c r="AO1592" s="484">
        <v>12.91</v>
      </c>
      <c r="AP1592" s="484">
        <v>7.02</v>
      </c>
      <c r="AQ1592" s="48" t="s">
        <v>5921</v>
      </c>
      <c r="AR1592" s="48" t="s">
        <v>5921</v>
      </c>
      <c r="AS1592" s="227"/>
      <c r="AT1592" s="50" t="s">
        <v>266</v>
      </c>
      <c r="AU1592" s="48">
        <v>6</v>
      </c>
      <c r="AV1592" s="48">
        <v>120</v>
      </c>
      <c r="AW1592" s="48">
        <v>114</v>
      </c>
      <c r="AX1592" s="48">
        <v>28</v>
      </c>
      <c r="AY1592" s="48" t="s">
        <v>8728</v>
      </c>
      <c r="AZ1592" s="48" t="s">
        <v>1563</v>
      </c>
      <c r="BA1592" s="48">
        <v>32</v>
      </c>
      <c r="BB1592" s="47" t="s">
        <v>2485</v>
      </c>
      <c r="BC1592" s="47" t="s">
        <v>8726</v>
      </c>
      <c r="BD1592" s="47" t="s">
        <v>8374</v>
      </c>
      <c r="BE1592" s="48" t="s">
        <v>2449</v>
      </c>
      <c r="BF1592" s="48" t="s">
        <v>272</v>
      </c>
      <c r="BG1592" s="48" t="s">
        <v>272</v>
      </c>
      <c r="BH1592" s="48" t="s">
        <v>2486</v>
      </c>
      <c r="BI1592" s="98">
        <v>6.3999999999999997E-6</v>
      </c>
      <c r="BJ1592" s="98">
        <v>6.4000000000000001E-2</v>
      </c>
      <c r="BK1592" s="48"/>
      <c r="BL1592" s="98">
        <f>10^((-0.8981*Z1592)+1.7108)</f>
        <v>31.932799930457652</v>
      </c>
      <c r="BM1592" s="47" t="s">
        <v>2487</v>
      </c>
      <c r="BN1592" s="48"/>
      <c r="BO1592" s="48"/>
      <c r="BP1592" s="48"/>
      <c r="BQ1592" s="48"/>
      <c r="BR1592" s="47" t="s">
        <v>2496</v>
      </c>
      <c r="BS1592" s="48"/>
      <c r="BT1592" s="48"/>
      <c r="BU1592" s="228">
        <v>6.4000000000000003E-3</v>
      </c>
      <c r="BV1592" s="48"/>
      <c r="BW1592" s="48"/>
      <c r="BX1592" s="48"/>
      <c r="BY1592" s="48"/>
      <c r="BZ1592" s="48"/>
      <c r="CA1592" s="48"/>
      <c r="CB1592" s="48"/>
      <c r="CC1592" s="48"/>
      <c r="CD1592" s="48"/>
      <c r="CE1592" s="48"/>
      <c r="CF1592" s="48"/>
      <c r="CG1592" s="48"/>
      <c r="CH1592" s="48"/>
      <c r="CI1592" s="98"/>
      <c r="CJ1592" s="98"/>
      <c r="CK1592" s="49">
        <f t="shared" si="415"/>
        <v>498.9499989134008</v>
      </c>
      <c r="CL1592" s="229"/>
      <c r="CM1592" s="229"/>
      <c r="CN1592" s="229"/>
      <c r="CO1592" s="47" t="s">
        <v>2488</v>
      </c>
      <c r="CP1592" s="47" t="s">
        <v>2489</v>
      </c>
      <c r="CQ1592" s="224" t="s">
        <v>272</v>
      </c>
      <c r="CR1592" s="224"/>
      <c r="CS1592" s="230" t="s">
        <v>539</v>
      </c>
      <c r="CT1592" s="230"/>
      <c r="CU1592" s="230"/>
      <c r="CV1592" s="335">
        <f t="shared" si="413"/>
        <v>0.6513584116723985</v>
      </c>
      <c r="CW1592" s="230">
        <f t="shared" si="404"/>
        <v>0</v>
      </c>
      <c r="CX1592" s="336"/>
      <c r="CY1592" s="230" t="s">
        <v>5921</v>
      </c>
    </row>
    <row r="1593" spans="1:103" ht="11.25" customHeight="1" x14ac:dyDescent="0.2">
      <c r="A1593" s="72">
        <v>1591</v>
      </c>
      <c r="B1593" s="224">
        <v>1332</v>
      </c>
      <c r="C1593" s="46" t="s">
        <v>7591</v>
      </c>
      <c r="D1593" s="46"/>
      <c r="E1593" s="114"/>
      <c r="F1593" s="114" t="s">
        <v>3622</v>
      </c>
      <c r="G1593" s="225" t="s">
        <v>3622</v>
      </c>
      <c r="H1593" s="236" t="s">
        <v>3623</v>
      </c>
      <c r="I1593" s="236" t="s">
        <v>8194</v>
      </c>
      <c r="J1593" s="236" t="s">
        <v>3624</v>
      </c>
      <c r="K1593" s="236"/>
      <c r="L1593" s="47"/>
      <c r="M1593" s="47"/>
      <c r="N1593" s="47"/>
      <c r="O1593" s="52"/>
      <c r="P1593" s="53"/>
      <c r="Q1593" s="53"/>
      <c r="R1593" s="53"/>
      <c r="S1593" s="53"/>
      <c r="T1593" s="226">
        <v>502.64</v>
      </c>
      <c r="U1593" s="98"/>
      <c r="V1593" s="98">
        <f>0.004238/502.64</f>
        <v>8.4314817762215504E-6</v>
      </c>
      <c r="W1593" s="98">
        <v>2.3988329190194873E-3</v>
      </c>
      <c r="X1593" s="98">
        <f t="shared" si="414"/>
        <v>2.3988329190194873E-3</v>
      </c>
      <c r="Y1593" s="233">
        <v>8.14</v>
      </c>
      <c r="Z1593" s="48">
        <v>6.1</v>
      </c>
      <c r="AA1593" s="48"/>
      <c r="AB1593" s="48">
        <v>5.0999999999999996</v>
      </c>
      <c r="AC1593" s="48">
        <v>0.72609999999999997</v>
      </c>
      <c r="AD1593" s="48">
        <v>5.37</v>
      </c>
      <c r="AE1593" s="48">
        <v>5.98</v>
      </c>
      <c r="AF1593" s="48">
        <f t="shared" si="411"/>
        <v>5.37</v>
      </c>
      <c r="AG1593" s="48">
        <v>0.88</v>
      </c>
      <c r="AH1593" s="98">
        <v>2.0699999999999999E-17</v>
      </c>
      <c r="AI1593" s="98"/>
      <c r="AJ1593" s="483">
        <f>LOG10(AH1593*1000/(0.08206*298.15))</f>
        <v>-15.072595980855734</v>
      </c>
      <c r="AK1593" s="483"/>
      <c r="AL1593" s="483">
        <f>IF(AK1593=0,AJ1593,AK1593)</f>
        <v>-15.072595980855734</v>
      </c>
      <c r="AM1593" s="483">
        <v>-22.861709999999999</v>
      </c>
      <c r="AN1593" s="48">
        <v>-11.16</v>
      </c>
      <c r="AO1593" s="484">
        <v>14.17</v>
      </c>
      <c r="AP1593" s="484">
        <v>8.7200000000000006</v>
      </c>
      <c r="AQ1593" s="48" t="s">
        <v>5921</v>
      </c>
      <c r="AR1593" s="48" t="s">
        <v>5921</v>
      </c>
      <c r="AS1593" s="227"/>
      <c r="AT1593" s="50" t="s">
        <v>266</v>
      </c>
      <c r="AU1593" s="48">
        <v>6</v>
      </c>
      <c r="AV1593" s="48">
        <v>120</v>
      </c>
      <c r="AW1593" s="48">
        <v>114</v>
      </c>
      <c r="AX1593" s="48">
        <v>28</v>
      </c>
      <c r="AY1593" s="48" t="s">
        <v>8728</v>
      </c>
      <c r="AZ1593" s="48" t="s">
        <v>1563</v>
      </c>
      <c r="BA1593" s="48">
        <v>32</v>
      </c>
      <c r="BB1593" s="47" t="s">
        <v>2485</v>
      </c>
      <c r="BC1593" s="47" t="s">
        <v>8726</v>
      </c>
      <c r="BD1593" s="47" t="s">
        <v>8374</v>
      </c>
      <c r="BE1593" s="48" t="s">
        <v>2449</v>
      </c>
      <c r="BF1593" s="48" t="s">
        <v>272</v>
      </c>
      <c r="BG1593" s="48" t="s">
        <v>272</v>
      </c>
      <c r="BH1593" s="48" t="s">
        <v>2486</v>
      </c>
      <c r="BI1593" s="98">
        <v>6.3999999999999997E-6</v>
      </c>
      <c r="BJ1593" s="98">
        <v>6.4000000000000001E-2</v>
      </c>
      <c r="BK1593" s="48"/>
      <c r="BL1593" s="98"/>
      <c r="BM1593" s="47" t="s">
        <v>2487</v>
      </c>
      <c r="BN1593" s="48"/>
      <c r="BO1593" s="48"/>
      <c r="BP1593" s="48"/>
      <c r="BQ1593" s="48"/>
      <c r="BR1593" s="47" t="s">
        <v>2496</v>
      </c>
      <c r="BS1593" s="48"/>
      <c r="BT1593" s="48"/>
      <c r="BU1593" s="228"/>
      <c r="BV1593" s="48"/>
      <c r="BW1593" s="48"/>
      <c r="BX1593" s="48"/>
      <c r="BY1593" s="48"/>
      <c r="BZ1593" s="48"/>
      <c r="CA1593" s="48"/>
      <c r="CB1593" s="48"/>
      <c r="CC1593" s="48"/>
      <c r="CD1593" s="48"/>
      <c r="CE1593" s="48"/>
      <c r="CF1593" s="48"/>
      <c r="CG1593" s="48"/>
      <c r="CH1593" s="48"/>
      <c r="CI1593" s="98"/>
      <c r="CJ1593" s="98"/>
      <c r="CK1593" s="49">
        <f t="shared" si="415"/>
        <v>0</v>
      </c>
      <c r="CL1593" s="229"/>
      <c r="CM1593" s="229"/>
      <c r="CN1593" s="229"/>
      <c r="CO1593" s="47" t="s">
        <v>2488</v>
      </c>
      <c r="CP1593" s="47" t="s">
        <v>2489</v>
      </c>
      <c r="CQ1593" s="224" t="s">
        <v>272</v>
      </c>
      <c r="CR1593" s="224"/>
      <c r="CS1593" s="230" t="s">
        <v>539</v>
      </c>
      <c r="CT1593" s="230"/>
      <c r="CU1593" s="230"/>
      <c r="CV1593" s="335">
        <f t="shared" si="413"/>
        <v>3.7481764359679488E-2</v>
      </c>
      <c r="CW1593" s="230">
        <f t="shared" si="404"/>
        <v>0</v>
      </c>
      <c r="CX1593" s="336"/>
      <c r="CY1593" s="230" t="s">
        <v>5921</v>
      </c>
    </row>
    <row r="1594" spans="1:103" ht="11.25" customHeight="1" x14ac:dyDescent="0.2">
      <c r="A1594" s="72">
        <v>1592</v>
      </c>
      <c r="B1594" s="224">
        <v>1245</v>
      </c>
      <c r="C1594" s="46" t="s">
        <v>7592</v>
      </c>
      <c r="D1594" s="46"/>
      <c r="E1594" s="114"/>
      <c r="F1594" s="114" t="s">
        <v>3423</v>
      </c>
      <c r="G1594" s="225" t="s">
        <v>3423</v>
      </c>
      <c r="H1594" s="47" t="s">
        <v>3424</v>
      </c>
      <c r="I1594" s="47" t="s">
        <v>8195</v>
      </c>
      <c r="J1594" s="47" t="s">
        <v>3425</v>
      </c>
      <c r="K1594" s="47"/>
      <c r="L1594" s="47"/>
      <c r="M1594" s="47"/>
      <c r="N1594" s="47"/>
      <c r="O1594" s="47"/>
      <c r="P1594" s="53"/>
      <c r="Q1594" s="53" t="s">
        <v>6173</v>
      </c>
      <c r="R1594" s="53" t="s">
        <v>6185</v>
      </c>
      <c r="S1594" s="53" t="s">
        <v>6182</v>
      </c>
      <c r="T1594" s="48">
        <v>430.3</v>
      </c>
      <c r="U1594" s="98"/>
      <c r="V1594" s="98"/>
      <c r="W1594" s="98">
        <v>4.6773514128719738E-4</v>
      </c>
      <c r="X1594" s="98">
        <f t="shared" si="414"/>
        <v>4.6773514128719738E-4</v>
      </c>
      <c r="Y1594" s="233">
        <v>6.84</v>
      </c>
      <c r="Z1594" s="48"/>
      <c r="AA1594" s="48"/>
      <c r="AB1594" s="48">
        <v>3</v>
      </c>
      <c r="AC1594" s="48">
        <v>0.68610000000000004</v>
      </c>
      <c r="AD1594" s="48">
        <v>3.33</v>
      </c>
      <c r="AE1594" s="48">
        <v>4.1399999999999997</v>
      </c>
      <c r="AF1594" s="48">
        <f t="shared" si="411"/>
        <v>3.33</v>
      </c>
      <c r="AG1594" s="49">
        <v>3.33</v>
      </c>
      <c r="AH1594" s="98"/>
      <c r="AI1594" s="98"/>
      <c r="AJ1594" s="483"/>
      <c r="AK1594" s="483"/>
      <c r="AL1594" s="483"/>
      <c r="AM1594" s="483">
        <v>-21.506830000000001</v>
      </c>
      <c r="AN1594" s="226"/>
      <c r="AO1594" s="484">
        <v>7.9</v>
      </c>
      <c r="AP1594" s="484">
        <v>0.16</v>
      </c>
      <c r="AQ1594" s="48" t="s">
        <v>5921</v>
      </c>
      <c r="AR1594" s="48" t="s">
        <v>5921</v>
      </c>
      <c r="AS1594" s="227"/>
      <c r="AT1594" s="50" t="s">
        <v>266</v>
      </c>
      <c r="AU1594" s="48">
        <v>6</v>
      </c>
      <c r="AV1594" s="48">
        <v>120</v>
      </c>
      <c r="AW1594" s="48">
        <v>114</v>
      </c>
      <c r="AX1594" s="48">
        <v>28</v>
      </c>
      <c r="AY1594" s="48" t="s">
        <v>8728</v>
      </c>
      <c r="AZ1594" s="48" t="s">
        <v>1563</v>
      </c>
      <c r="BA1594" s="48">
        <v>32</v>
      </c>
      <c r="BB1594" s="47" t="s">
        <v>2485</v>
      </c>
      <c r="BC1594" s="47" t="s">
        <v>8726</v>
      </c>
      <c r="BD1594" s="47" t="s">
        <v>8374</v>
      </c>
      <c r="BE1594" s="48" t="s">
        <v>2449</v>
      </c>
      <c r="BF1594" s="48" t="s">
        <v>272</v>
      </c>
      <c r="BG1594" s="48" t="s">
        <v>272</v>
      </c>
      <c r="BH1594" s="48" t="s">
        <v>2486</v>
      </c>
      <c r="BI1594" s="98">
        <v>6.3999999999999997E-6</v>
      </c>
      <c r="BJ1594" s="98">
        <v>6.4000000000000001E-2</v>
      </c>
      <c r="BK1594" s="48"/>
      <c r="BL1594" s="98"/>
      <c r="BM1594" s="47" t="s">
        <v>2487</v>
      </c>
      <c r="BN1594" s="48"/>
      <c r="BO1594" s="48"/>
      <c r="BP1594" s="48"/>
      <c r="BQ1594" s="48"/>
      <c r="BR1594" s="47" t="s">
        <v>2496</v>
      </c>
      <c r="BS1594" s="48"/>
      <c r="BT1594" s="48"/>
      <c r="BU1594" s="228">
        <v>6.4000000000000001E-2</v>
      </c>
      <c r="BV1594" s="48"/>
      <c r="BW1594" s="48"/>
      <c r="BX1594" s="48"/>
      <c r="BY1594" s="48"/>
      <c r="BZ1594" s="48"/>
      <c r="CA1594" s="48"/>
      <c r="CB1594" s="48"/>
      <c r="CC1594" s="48"/>
      <c r="CD1594" s="48"/>
      <c r="CE1594" s="48"/>
      <c r="CF1594" s="48"/>
      <c r="CG1594" s="48"/>
      <c r="CH1594" s="48"/>
      <c r="CI1594" s="98"/>
      <c r="CJ1594" s="98"/>
      <c r="CK1594" s="49">
        <f t="shared" si="415"/>
        <v>0</v>
      </c>
      <c r="CL1594" s="229"/>
      <c r="CM1594" s="229"/>
      <c r="CN1594" s="229"/>
      <c r="CO1594" s="47" t="s">
        <v>2488</v>
      </c>
      <c r="CP1594" s="47" t="s">
        <v>2489</v>
      </c>
      <c r="CQ1594" s="224" t="s">
        <v>272</v>
      </c>
      <c r="CR1594" s="224"/>
      <c r="CS1594" s="230" t="s">
        <v>539</v>
      </c>
      <c r="CT1594" s="230"/>
      <c r="CU1594" s="230"/>
      <c r="CV1594" s="335">
        <f t="shared" si="413"/>
        <v>7.3083615826124585E-3</v>
      </c>
      <c r="CW1594" s="230">
        <f t="shared" si="404"/>
        <v>0</v>
      </c>
      <c r="CX1594" s="336"/>
      <c r="CY1594" s="230" t="s">
        <v>5921</v>
      </c>
    </row>
    <row r="1595" spans="1:103" ht="11.25" customHeight="1" x14ac:dyDescent="0.2">
      <c r="A1595" s="72">
        <v>1593</v>
      </c>
      <c r="B1595" s="224">
        <v>1408</v>
      </c>
      <c r="C1595" s="46" t="s">
        <v>7593</v>
      </c>
      <c r="D1595" s="46"/>
      <c r="E1595" s="114"/>
      <c r="F1595" s="114" t="s">
        <v>4336</v>
      </c>
      <c r="G1595" s="225" t="s">
        <v>4336</v>
      </c>
      <c r="H1595" s="47" t="s">
        <v>4337</v>
      </c>
      <c r="I1595" s="47" t="s">
        <v>7750</v>
      </c>
      <c r="J1595" s="47" t="s">
        <v>4338</v>
      </c>
      <c r="K1595" s="47" t="s">
        <v>2876</v>
      </c>
      <c r="L1595" s="47"/>
      <c r="M1595" s="47"/>
      <c r="N1595" s="47"/>
      <c r="O1595" s="47"/>
      <c r="P1595" s="53"/>
      <c r="Q1595" s="53"/>
      <c r="R1595" s="53"/>
      <c r="S1595" s="53"/>
      <c r="T1595" s="48">
        <v>391.37</v>
      </c>
      <c r="U1595" s="98"/>
      <c r="V1595" s="98">
        <v>1.0056979329023686E-2</v>
      </c>
      <c r="W1595" s="98">
        <v>8.3176377110266958E-2</v>
      </c>
      <c r="X1595" s="98">
        <f t="shared" si="414"/>
        <v>8.3176377110266958E-2</v>
      </c>
      <c r="Y1595" s="233">
        <v>7</v>
      </c>
      <c r="Z1595" s="48">
        <v>3.14</v>
      </c>
      <c r="AA1595" s="48"/>
      <c r="AB1595" s="48">
        <v>2.94</v>
      </c>
      <c r="AC1595" s="48">
        <v>0.52790000000000004</v>
      </c>
      <c r="AD1595" s="48">
        <v>2.2200000000000002</v>
      </c>
      <c r="AE1595" s="48">
        <v>1.36</v>
      </c>
      <c r="AF1595" s="48">
        <f t="shared" si="411"/>
        <v>2.2200000000000002</v>
      </c>
      <c r="AG1595" s="49">
        <v>2.99</v>
      </c>
      <c r="AH1595" s="98">
        <v>2.0999999999999999E-17</v>
      </c>
      <c r="AI1595" s="98"/>
      <c r="AJ1595" s="483">
        <f>LOG10(AH1595*1000/(0.08206*298.15))</f>
        <v>-15.066347031578733</v>
      </c>
      <c r="AK1595" s="483"/>
      <c r="AL1595" s="483">
        <f>IF(AK1595=0,AJ1595,AK1595)</f>
        <v>-15.066347031578733</v>
      </c>
      <c r="AM1595" s="483">
        <v>-18.72861</v>
      </c>
      <c r="AN1595" s="226">
        <v>-14.4</v>
      </c>
      <c r="AO1595" s="484">
        <v>12.33</v>
      </c>
      <c r="AP1595" s="484">
        <v>-3.77</v>
      </c>
      <c r="AQ1595" s="48" t="s">
        <v>5921</v>
      </c>
      <c r="AR1595" s="48" t="s">
        <v>5921</v>
      </c>
      <c r="AS1595" s="227"/>
      <c r="AT1595" s="50" t="s">
        <v>266</v>
      </c>
      <c r="AU1595" s="48">
        <v>6</v>
      </c>
      <c r="AV1595" s="48">
        <v>120</v>
      </c>
      <c r="AW1595" s="48">
        <v>114</v>
      </c>
      <c r="AX1595" s="48">
        <v>28</v>
      </c>
      <c r="AY1595" s="48" t="s">
        <v>8728</v>
      </c>
      <c r="AZ1595" s="48" t="s">
        <v>1563</v>
      </c>
      <c r="BA1595" s="48">
        <v>32</v>
      </c>
      <c r="BB1595" s="47" t="s">
        <v>2485</v>
      </c>
      <c r="BC1595" s="47" t="s">
        <v>8726</v>
      </c>
      <c r="BD1595" s="47" t="s">
        <v>8374</v>
      </c>
      <c r="BE1595" s="48" t="s">
        <v>2449</v>
      </c>
      <c r="BF1595" s="48" t="s">
        <v>272</v>
      </c>
      <c r="BG1595" s="48" t="s">
        <v>272</v>
      </c>
      <c r="BH1595" s="48" t="s">
        <v>2486</v>
      </c>
      <c r="BI1595" s="98">
        <v>6.3999999999999997E-6</v>
      </c>
      <c r="BJ1595" s="98">
        <v>6.4000000000000001E-2</v>
      </c>
      <c r="BK1595" s="48"/>
      <c r="BL1595" s="98">
        <f>10^((-0.8981*Z1595)+1.7108)</f>
        <v>7.7761745404047386E-2</v>
      </c>
      <c r="BM1595" s="47" t="s">
        <v>2487</v>
      </c>
      <c r="BN1595" s="48"/>
      <c r="BO1595" s="48"/>
      <c r="BP1595" s="48"/>
      <c r="BQ1595" s="48"/>
      <c r="BR1595" s="47" t="s">
        <v>2496</v>
      </c>
      <c r="BS1595" s="48"/>
      <c r="BT1595" s="48"/>
      <c r="BU1595" s="228"/>
      <c r="BV1595" s="48"/>
      <c r="BW1595" s="48"/>
      <c r="BX1595" s="48"/>
      <c r="BY1595" s="48"/>
      <c r="BZ1595" s="48"/>
      <c r="CA1595" s="48"/>
      <c r="CB1595" s="48"/>
      <c r="CC1595" s="48"/>
      <c r="CD1595" s="48"/>
      <c r="CE1595" s="48"/>
      <c r="CF1595" s="48"/>
      <c r="CG1595" s="48"/>
      <c r="CH1595" s="48"/>
      <c r="CI1595" s="98"/>
      <c r="CJ1595" s="98"/>
      <c r="CK1595" s="49">
        <f t="shared" si="415"/>
        <v>1.2150272719382404</v>
      </c>
      <c r="CL1595" s="229"/>
      <c r="CM1595" s="229"/>
      <c r="CN1595" s="229"/>
      <c r="CO1595" s="47" t="s">
        <v>2488</v>
      </c>
      <c r="CP1595" s="47" t="s">
        <v>2489</v>
      </c>
      <c r="CQ1595" s="224" t="s">
        <v>272</v>
      </c>
      <c r="CR1595" s="224"/>
      <c r="CS1595" s="230" t="s">
        <v>539</v>
      </c>
      <c r="CT1595" s="230"/>
      <c r="CU1595" s="230"/>
      <c r="CV1595" s="335">
        <f t="shared" si="413"/>
        <v>1.2996308923479212</v>
      </c>
      <c r="CW1595" s="230">
        <f t="shared" si="404"/>
        <v>1</v>
      </c>
      <c r="CX1595" s="336"/>
      <c r="CY1595" s="230" t="s">
        <v>5921</v>
      </c>
    </row>
    <row r="1596" spans="1:103" ht="11.25" customHeight="1" x14ac:dyDescent="0.2">
      <c r="A1596" s="72">
        <v>1594</v>
      </c>
      <c r="B1596" s="224">
        <v>882</v>
      </c>
      <c r="C1596" s="46" t="s">
        <v>7594</v>
      </c>
      <c r="D1596" s="46"/>
      <c r="E1596" s="114"/>
      <c r="F1596" s="114" t="s">
        <v>2508</v>
      </c>
      <c r="G1596" s="225" t="s">
        <v>2508</v>
      </c>
      <c r="H1596" s="47" t="s">
        <v>2509</v>
      </c>
      <c r="I1596" s="47" t="s">
        <v>7786</v>
      </c>
      <c r="J1596" s="47" t="s">
        <v>2510</v>
      </c>
      <c r="K1596" s="47" t="s">
        <v>426</v>
      </c>
      <c r="L1596" s="47"/>
      <c r="M1596" s="47"/>
      <c r="N1596" s="47"/>
      <c r="O1596" s="47"/>
      <c r="P1596" s="53"/>
      <c r="Q1596" s="53"/>
      <c r="R1596" s="53"/>
      <c r="S1596" s="53"/>
      <c r="T1596" s="48">
        <v>382.5</v>
      </c>
      <c r="U1596" s="98"/>
      <c r="V1596" s="98">
        <v>6.5986928104575166E-4</v>
      </c>
      <c r="W1596" s="98">
        <v>7.0794578438413705E-2</v>
      </c>
      <c r="X1596" s="98">
        <f t="shared" si="414"/>
        <v>7.0794578438413705E-2</v>
      </c>
      <c r="Y1596" s="233">
        <v>5.89</v>
      </c>
      <c r="Z1596" s="48">
        <v>5.37</v>
      </c>
      <c r="AA1596" s="48"/>
      <c r="AB1596" s="48">
        <v>4.2300000000000004</v>
      </c>
      <c r="AC1596" s="48">
        <v>0.68230000000000002</v>
      </c>
      <c r="AD1596" s="48">
        <v>3.97</v>
      </c>
      <c r="AE1596" s="48">
        <v>3.51</v>
      </c>
      <c r="AF1596" s="48">
        <f t="shared" si="411"/>
        <v>3.97</v>
      </c>
      <c r="AG1596" s="49">
        <v>0.77</v>
      </c>
      <c r="AH1596" s="98">
        <v>1.02E-17</v>
      </c>
      <c r="AI1596" s="98"/>
      <c r="AJ1596" s="483">
        <f>LOG10(AH1596*1000/(0.08206*298.15))</f>
        <v>-15.379966154550734</v>
      </c>
      <c r="AK1596" s="483"/>
      <c r="AL1596" s="483">
        <f>IF(AK1596=0,AJ1596,AK1596)</f>
        <v>-15.379966154550734</v>
      </c>
      <c r="AM1596" s="483">
        <v>-18.66479</v>
      </c>
      <c r="AN1596" s="226">
        <v>-22.1</v>
      </c>
      <c r="AO1596" s="484">
        <v>4.3499999999999996</v>
      </c>
      <c r="AP1596" s="484">
        <v>7.22</v>
      </c>
      <c r="AQ1596" s="48" t="s">
        <v>5921</v>
      </c>
      <c r="AR1596" s="48" t="s">
        <v>5921</v>
      </c>
      <c r="AS1596" s="227"/>
      <c r="AT1596" s="50" t="s">
        <v>266</v>
      </c>
      <c r="AU1596" s="48">
        <v>6</v>
      </c>
      <c r="AV1596" s="48">
        <v>120</v>
      </c>
      <c r="AW1596" s="48">
        <v>114</v>
      </c>
      <c r="AX1596" s="48">
        <v>28</v>
      </c>
      <c r="AY1596" s="48" t="s">
        <v>8728</v>
      </c>
      <c r="AZ1596" s="48" t="s">
        <v>1563</v>
      </c>
      <c r="BA1596" s="48">
        <v>32</v>
      </c>
      <c r="BB1596" s="47" t="s">
        <v>2485</v>
      </c>
      <c r="BC1596" s="47" t="s">
        <v>8726</v>
      </c>
      <c r="BD1596" s="47" t="s">
        <v>8374</v>
      </c>
      <c r="BE1596" s="48" t="s">
        <v>2449</v>
      </c>
      <c r="BF1596" s="48" t="s">
        <v>272</v>
      </c>
      <c r="BG1596" s="48" t="s">
        <v>272</v>
      </c>
      <c r="BH1596" s="48" t="s">
        <v>2486</v>
      </c>
      <c r="BI1596" s="98">
        <v>6.3999999999999997E-6</v>
      </c>
      <c r="BJ1596" s="98">
        <v>6.4000000000000001E-2</v>
      </c>
      <c r="BK1596" s="48"/>
      <c r="BL1596" s="98">
        <f>10^((-0.8981*Z1596)+1.7108)</f>
        <v>7.7268592260252655E-4</v>
      </c>
      <c r="BM1596" s="47" t="s">
        <v>2487</v>
      </c>
      <c r="BN1596" s="48"/>
      <c r="BO1596" s="48"/>
      <c r="BP1596" s="48"/>
      <c r="BQ1596" s="48"/>
      <c r="BR1596" s="47" t="s">
        <v>2496</v>
      </c>
      <c r="BS1596" s="48"/>
      <c r="BT1596" s="48"/>
      <c r="BU1596" s="228">
        <v>6.4000000000000001E-2</v>
      </c>
      <c r="BV1596" s="48"/>
      <c r="BW1596" s="48"/>
      <c r="BX1596" s="48"/>
      <c r="BY1596" s="48"/>
      <c r="BZ1596" s="48"/>
      <c r="CA1596" s="48"/>
      <c r="CB1596" s="48"/>
      <c r="CC1596" s="48"/>
      <c r="CD1596" s="48"/>
      <c r="CE1596" s="48"/>
      <c r="CF1596" s="48"/>
      <c r="CG1596" s="48"/>
      <c r="CH1596" s="48"/>
      <c r="CI1596" s="98"/>
      <c r="CJ1596" s="98"/>
      <c r="CK1596" s="49">
        <f t="shared" si="415"/>
        <v>1.2073217540664477E-2</v>
      </c>
      <c r="CL1596" s="229"/>
      <c r="CM1596" s="229"/>
      <c r="CN1596" s="229"/>
      <c r="CO1596" s="47" t="s">
        <v>2488</v>
      </c>
      <c r="CP1596" s="47" t="s">
        <v>2489</v>
      </c>
      <c r="CQ1596" s="224" t="s">
        <v>272</v>
      </c>
      <c r="CR1596" s="224"/>
      <c r="CS1596" s="230" t="s">
        <v>539</v>
      </c>
      <c r="CT1596" s="230"/>
      <c r="CU1596" s="230"/>
      <c r="CV1596" s="335">
        <f t="shared" si="413"/>
        <v>1.1061652881002142</v>
      </c>
      <c r="CW1596" s="230">
        <f t="shared" si="404"/>
        <v>1</v>
      </c>
      <c r="CX1596" s="336"/>
      <c r="CY1596" s="230" t="s">
        <v>5921</v>
      </c>
    </row>
    <row r="1597" spans="1:103" ht="11.25" customHeight="1" x14ac:dyDescent="0.2">
      <c r="A1597" s="72">
        <v>1595</v>
      </c>
      <c r="B1597" s="224">
        <v>1203</v>
      </c>
      <c r="C1597" s="46" t="s">
        <v>7595</v>
      </c>
      <c r="D1597" s="46"/>
      <c r="E1597" s="114"/>
      <c r="F1597" s="114" t="s">
        <v>3319</v>
      </c>
      <c r="G1597" s="225" t="s">
        <v>3319</v>
      </c>
      <c r="H1597" s="47" t="s">
        <v>3320</v>
      </c>
      <c r="I1597" s="47" t="s">
        <v>7802</v>
      </c>
      <c r="J1597" s="47" t="s">
        <v>3321</v>
      </c>
      <c r="K1597" s="47" t="s">
        <v>3322</v>
      </c>
      <c r="L1597" s="47"/>
      <c r="M1597" s="47"/>
      <c r="N1597" s="47"/>
      <c r="O1597" s="47"/>
      <c r="P1597" s="53"/>
      <c r="Q1597" s="53"/>
      <c r="R1597" s="53"/>
      <c r="S1597" s="53"/>
      <c r="T1597" s="48">
        <v>373.4</v>
      </c>
      <c r="U1597" s="98"/>
      <c r="V1597" s="98">
        <v>3.2485270487412968E-3</v>
      </c>
      <c r="W1597" s="98">
        <v>1.8620871366628664</v>
      </c>
      <c r="X1597" s="98">
        <f t="shared" si="414"/>
        <v>1.8620871366628664</v>
      </c>
      <c r="Y1597" s="233">
        <v>10.95</v>
      </c>
      <c r="Z1597" s="48">
        <v>4.18</v>
      </c>
      <c r="AA1597" s="48"/>
      <c r="AB1597" s="48">
        <v>3.3</v>
      </c>
      <c r="AC1597" s="48">
        <v>0.54069999999999996</v>
      </c>
      <c r="AD1597" s="48">
        <v>2.59</v>
      </c>
      <c r="AE1597" s="48">
        <v>1.55</v>
      </c>
      <c r="AF1597" s="48">
        <f t="shared" si="411"/>
        <v>2.59</v>
      </c>
      <c r="AG1597" s="49">
        <v>3.69</v>
      </c>
      <c r="AH1597" s="98"/>
      <c r="AI1597" s="98"/>
      <c r="AJ1597" s="483"/>
      <c r="AK1597" s="483"/>
      <c r="AL1597" s="483"/>
      <c r="AM1597" s="483">
        <v>-15.296099999999999</v>
      </c>
      <c r="AN1597" s="226">
        <v>-4.82</v>
      </c>
      <c r="AO1597" s="484"/>
      <c r="AP1597" s="484">
        <v>12.01</v>
      </c>
      <c r="AQ1597" s="48" t="s">
        <v>5921</v>
      </c>
      <c r="AR1597" s="48" t="s">
        <v>5921</v>
      </c>
      <c r="AS1597" s="227"/>
      <c r="AT1597" s="50" t="s">
        <v>266</v>
      </c>
      <c r="AU1597" s="48">
        <v>6</v>
      </c>
      <c r="AV1597" s="48">
        <v>120</v>
      </c>
      <c r="AW1597" s="48">
        <v>114</v>
      </c>
      <c r="AX1597" s="48">
        <v>28</v>
      </c>
      <c r="AY1597" s="48" t="s">
        <v>8728</v>
      </c>
      <c r="AZ1597" s="48" t="s">
        <v>1563</v>
      </c>
      <c r="BA1597" s="48">
        <v>32</v>
      </c>
      <c r="BB1597" s="47" t="s">
        <v>2485</v>
      </c>
      <c r="BC1597" s="47" t="s">
        <v>8726</v>
      </c>
      <c r="BD1597" s="47" t="s">
        <v>8374</v>
      </c>
      <c r="BE1597" s="48" t="s">
        <v>2449</v>
      </c>
      <c r="BF1597" s="48" t="s">
        <v>272</v>
      </c>
      <c r="BG1597" s="48" t="s">
        <v>272</v>
      </c>
      <c r="BH1597" s="48" t="s">
        <v>2486</v>
      </c>
      <c r="BI1597" s="98">
        <v>6.3999999999999997E-6</v>
      </c>
      <c r="BJ1597" s="98">
        <v>6.4000000000000001E-2</v>
      </c>
      <c r="BK1597" s="48"/>
      <c r="BL1597" s="98">
        <f>10^((-0.8981*Z1597)+1.7108)</f>
        <v>9.051946948827664E-3</v>
      </c>
      <c r="BM1597" s="47" t="s">
        <v>2487</v>
      </c>
      <c r="BN1597" s="48"/>
      <c r="BO1597" s="48"/>
      <c r="BP1597" s="48"/>
      <c r="BQ1597" s="48"/>
      <c r="BR1597" s="47" t="s">
        <v>2496</v>
      </c>
      <c r="BS1597" s="48"/>
      <c r="BT1597" s="48"/>
      <c r="BU1597" s="228">
        <v>6.4000000000000001E-2</v>
      </c>
      <c r="BV1597" s="48"/>
      <c r="BW1597" s="48"/>
      <c r="BX1597" s="48"/>
      <c r="BY1597" s="48"/>
      <c r="BZ1597" s="48"/>
      <c r="CA1597" s="48"/>
      <c r="CB1597" s="48"/>
      <c r="CC1597" s="48"/>
      <c r="CD1597" s="48"/>
      <c r="CE1597" s="48"/>
      <c r="CF1597" s="48"/>
      <c r="CG1597" s="48"/>
      <c r="CH1597" s="48"/>
      <c r="CI1597" s="98"/>
      <c r="CJ1597" s="98"/>
      <c r="CK1597" s="49">
        <f t="shared" si="415"/>
        <v>0.14143667107543226</v>
      </c>
      <c r="CL1597" s="229"/>
      <c r="CM1597" s="229"/>
      <c r="CN1597" s="229"/>
      <c r="CO1597" s="47" t="s">
        <v>2488</v>
      </c>
      <c r="CP1597" s="47" t="s">
        <v>2489</v>
      </c>
      <c r="CQ1597" s="224" t="s">
        <v>272</v>
      </c>
      <c r="CR1597" s="224"/>
      <c r="CS1597" s="230" t="s">
        <v>539</v>
      </c>
      <c r="CT1597" s="230"/>
      <c r="CU1597" s="230"/>
      <c r="CV1597" s="335">
        <f t="shared" si="413"/>
        <v>29.095111510357288</v>
      </c>
      <c r="CW1597" s="230">
        <f t="shared" si="404"/>
        <v>1</v>
      </c>
      <c r="CX1597" s="336"/>
      <c r="CY1597" s="230" t="s">
        <v>5921</v>
      </c>
    </row>
    <row r="1598" spans="1:103" ht="11.25" customHeight="1" x14ac:dyDescent="0.2">
      <c r="A1598" s="72">
        <v>1596</v>
      </c>
      <c r="B1598" s="224">
        <v>1478</v>
      </c>
      <c r="C1598" s="46" t="s">
        <v>7596</v>
      </c>
      <c r="D1598" s="46"/>
      <c r="E1598" s="114"/>
      <c r="F1598" s="114" t="s">
        <v>4540</v>
      </c>
      <c r="G1598" s="225" t="s">
        <v>4540</v>
      </c>
      <c r="H1598" s="47" t="s">
        <v>4541</v>
      </c>
      <c r="I1598" s="47" t="s">
        <v>7792</v>
      </c>
      <c r="J1598" s="47" t="s">
        <v>4542</v>
      </c>
      <c r="K1598" s="47" t="s">
        <v>306</v>
      </c>
      <c r="L1598" s="47"/>
      <c r="M1598" s="47"/>
      <c r="N1598" s="47"/>
      <c r="O1598" s="47"/>
      <c r="P1598" s="53"/>
      <c r="Q1598" s="53"/>
      <c r="R1598" s="53"/>
      <c r="S1598" s="53"/>
      <c r="T1598" s="48">
        <v>301.79000000000002</v>
      </c>
      <c r="U1598" s="98"/>
      <c r="V1598" s="98">
        <v>1.0782332085224825E-3</v>
      </c>
      <c r="W1598" s="98">
        <v>3.6307805477010069E-2</v>
      </c>
      <c r="X1598" s="98">
        <f t="shared" si="414"/>
        <v>3.6307805477010069E-2</v>
      </c>
      <c r="Y1598" s="233">
        <v>7</v>
      </c>
      <c r="Z1598" s="48">
        <v>5.35</v>
      </c>
      <c r="AA1598" s="48"/>
      <c r="AB1598" s="48">
        <v>3.79</v>
      </c>
      <c r="AC1598" s="48">
        <v>0.4133</v>
      </c>
      <c r="AD1598" s="48">
        <v>3.43</v>
      </c>
      <c r="AE1598" s="48">
        <v>3.14</v>
      </c>
      <c r="AF1598" s="48">
        <f t="shared" si="411"/>
        <v>3.43</v>
      </c>
      <c r="AG1598" s="49">
        <v>2.74</v>
      </c>
      <c r="AH1598" s="98">
        <v>3.9099999999999999E-11</v>
      </c>
      <c r="AI1598" s="98"/>
      <c r="AJ1598" s="483">
        <f t="shared" ref="AJ1598:AJ1607" si="419">LOG10(AH1598*1000/(0.08206*298.15))</f>
        <v>-8.7963895689167853</v>
      </c>
      <c r="AK1598" s="483"/>
      <c r="AL1598" s="483">
        <f t="shared" ref="AL1598:AL1607" si="420">IF(AK1598=0,AJ1598,AK1598)</f>
        <v>-8.7963895689167853</v>
      </c>
      <c r="AM1598" s="483">
        <v>-12.697209999999998</v>
      </c>
      <c r="AN1598" s="226">
        <v>-7.96</v>
      </c>
      <c r="AO1598" s="484">
        <v>11.36</v>
      </c>
      <c r="AP1598" s="484">
        <v>2.2200000000000002</v>
      </c>
      <c r="AQ1598" s="48" t="s">
        <v>5921</v>
      </c>
      <c r="AR1598" s="48" t="s">
        <v>5921</v>
      </c>
      <c r="AS1598" s="227"/>
      <c r="AT1598" s="50" t="s">
        <v>266</v>
      </c>
      <c r="AU1598" s="48">
        <v>6</v>
      </c>
      <c r="AV1598" s="48">
        <v>120</v>
      </c>
      <c r="AW1598" s="48">
        <v>114</v>
      </c>
      <c r="AX1598" s="48">
        <v>28</v>
      </c>
      <c r="AY1598" s="48" t="s">
        <v>8728</v>
      </c>
      <c r="AZ1598" s="48" t="s">
        <v>1563</v>
      </c>
      <c r="BA1598" s="48">
        <v>32</v>
      </c>
      <c r="BB1598" s="47" t="s">
        <v>2485</v>
      </c>
      <c r="BC1598" s="47" t="s">
        <v>8726</v>
      </c>
      <c r="BD1598" s="47" t="s">
        <v>8374</v>
      </c>
      <c r="BE1598" s="48" t="s">
        <v>2449</v>
      </c>
      <c r="BF1598" s="48" t="s">
        <v>272</v>
      </c>
      <c r="BG1598" s="48" t="s">
        <v>272</v>
      </c>
      <c r="BH1598" s="48" t="s">
        <v>2486</v>
      </c>
      <c r="BI1598" s="98">
        <v>6.3999999999999997E-6</v>
      </c>
      <c r="BJ1598" s="98">
        <v>6.4000000000000001E-2</v>
      </c>
      <c r="BK1598" s="48"/>
      <c r="BL1598" s="98">
        <f>10^((-0.8981*Z1598)+1.7108)</f>
        <v>8.0531353798063974E-4</v>
      </c>
      <c r="BM1598" s="47" t="s">
        <v>2487</v>
      </c>
      <c r="BN1598" s="48"/>
      <c r="BO1598" s="48"/>
      <c r="BP1598" s="48"/>
      <c r="BQ1598" s="48"/>
      <c r="BR1598" s="47" t="s">
        <v>2496</v>
      </c>
      <c r="BS1598" s="48"/>
      <c r="BT1598" s="48"/>
      <c r="BU1598" s="228"/>
      <c r="BV1598" s="48"/>
      <c r="BW1598" s="48"/>
      <c r="BX1598" s="48"/>
      <c r="BY1598" s="48"/>
      <c r="BZ1598" s="48"/>
      <c r="CA1598" s="48"/>
      <c r="CB1598" s="48"/>
      <c r="CC1598" s="48"/>
      <c r="CD1598" s="48"/>
      <c r="CE1598" s="48"/>
      <c r="CF1598" s="48"/>
      <c r="CG1598" s="48"/>
      <c r="CH1598" s="48"/>
      <c r="CI1598" s="52" t="s">
        <v>6347</v>
      </c>
      <c r="CJ1598" s="98"/>
      <c r="CK1598" s="49">
        <f t="shared" si="415"/>
        <v>1.2583024030947496E-2</v>
      </c>
      <c r="CL1598" s="229"/>
      <c r="CM1598" s="229"/>
      <c r="CN1598" s="229"/>
      <c r="CO1598" s="47" t="s">
        <v>2488</v>
      </c>
      <c r="CP1598" s="47" t="s">
        <v>2489</v>
      </c>
      <c r="CQ1598" s="224" t="s">
        <v>272</v>
      </c>
      <c r="CR1598" s="224"/>
      <c r="CS1598" s="230" t="s">
        <v>539</v>
      </c>
      <c r="CT1598" s="230"/>
      <c r="CU1598" s="230"/>
      <c r="CV1598" s="335">
        <f t="shared" si="413"/>
        <v>0.56730946057828235</v>
      </c>
      <c r="CW1598" s="230">
        <f t="shared" si="404"/>
        <v>0</v>
      </c>
      <c r="CX1598" s="336"/>
      <c r="CY1598" s="230" t="s">
        <v>5921</v>
      </c>
    </row>
    <row r="1599" spans="1:103" ht="11.25" customHeight="1" x14ac:dyDescent="0.2">
      <c r="A1599" s="72">
        <v>1597</v>
      </c>
      <c r="B1599" s="224">
        <v>68</v>
      </c>
      <c r="C1599" s="46" t="s">
        <v>7597</v>
      </c>
      <c r="D1599" s="46"/>
      <c r="E1599" s="114"/>
      <c r="F1599" s="114" t="s">
        <v>3637</v>
      </c>
      <c r="G1599" s="225" t="s">
        <v>3637</v>
      </c>
      <c r="H1599" s="236" t="s">
        <v>3638</v>
      </c>
      <c r="I1599" s="236" t="s">
        <v>8196</v>
      </c>
      <c r="J1599" s="236" t="s">
        <v>3639</v>
      </c>
      <c r="K1599" s="236" t="s">
        <v>455</v>
      </c>
      <c r="L1599" s="47"/>
      <c r="M1599" s="47"/>
      <c r="N1599" s="47"/>
      <c r="O1599" s="52"/>
      <c r="P1599" s="53"/>
      <c r="Q1599" s="53"/>
      <c r="R1599" s="53"/>
      <c r="S1599" s="53"/>
      <c r="T1599" s="226">
        <v>485.52</v>
      </c>
      <c r="U1599" s="98"/>
      <c r="V1599" s="98">
        <v>0.96432690723348169</v>
      </c>
      <c r="W1599" s="98">
        <v>7.4131024130091636E-2</v>
      </c>
      <c r="X1599" s="98">
        <f t="shared" si="414"/>
        <v>7.4131024130091636E-2</v>
      </c>
      <c r="Y1599" s="233">
        <v>8.4499999999999993</v>
      </c>
      <c r="Z1599" s="48">
        <v>0.81</v>
      </c>
      <c r="AA1599" s="48"/>
      <c r="AB1599" s="48">
        <v>0.95</v>
      </c>
      <c r="AC1599" s="48">
        <v>0.4158</v>
      </c>
      <c r="AD1599" s="48">
        <v>0.75</v>
      </c>
      <c r="AE1599" s="48">
        <v>0.59</v>
      </c>
      <c r="AF1599" s="48">
        <f t="shared" si="411"/>
        <v>0.75</v>
      </c>
      <c r="AG1599" s="48">
        <v>0.75</v>
      </c>
      <c r="AH1599" s="98">
        <v>5.5599999999999996E-16</v>
      </c>
      <c r="AI1599" s="98"/>
      <c r="AJ1599" s="483">
        <f t="shared" si="419"/>
        <v>-13.643491534730595</v>
      </c>
      <c r="AK1599" s="483"/>
      <c r="AL1599" s="483">
        <f t="shared" si="420"/>
        <v>-13.643491534730595</v>
      </c>
      <c r="AM1599" s="483">
        <v>-20.549509999999998</v>
      </c>
      <c r="AN1599" s="48"/>
      <c r="AO1599" s="484"/>
      <c r="AP1599" s="484">
        <v>7.24</v>
      </c>
      <c r="AQ1599" s="48" t="s">
        <v>5921</v>
      </c>
      <c r="AR1599" s="48" t="s">
        <v>5921</v>
      </c>
      <c r="AS1599" s="227"/>
      <c r="AT1599" s="50" t="s">
        <v>266</v>
      </c>
      <c r="AU1599" s="48">
        <v>6</v>
      </c>
      <c r="AV1599" s="48">
        <v>120</v>
      </c>
      <c r="AW1599" s="48">
        <v>114</v>
      </c>
      <c r="AX1599" s="48">
        <v>28</v>
      </c>
      <c r="AY1599" s="48" t="s">
        <v>8728</v>
      </c>
      <c r="AZ1599" s="48" t="s">
        <v>1563</v>
      </c>
      <c r="BA1599" s="48">
        <v>32</v>
      </c>
      <c r="BB1599" s="47" t="s">
        <v>2485</v>
      </c>
      <c r="BC1599" s="47" t="s">
        <v>8726</v>
      </c>
      <c r="BD1599" s="47" t="s">
        <v>8374</v>
      </c>
      <c r="BE1599" s="48" t="s">
        <v>2449</v>
      </c>
      <c r="BF1599" s="48" t="s">
        <v>272</v>
      </c>
      <c r="BG1599" s="48" t="s">
        <v>272</v>
      </c>
      <c r="BH1599" s="48" t="s">
        <v>2486</v>
      </c>
      <c r="BI1599" s="98">
        <v>6.3999999999999997E-6</v>
      </c>
      <c r="BJ1599" s="98">
        <v>6.4000000000000001E-2</v>
      </c>
      <c r="BK1599" s="48"/>
      <c r="BL1599" s="98">
        <f>10^((-0.8981*Z1599)+1.7108)</f>
        <v>9.6236318321384644</v>
      </c>
      <c r="BM1599" s="47" t="s">
        <v>2487</v>
      </c>
      <c r="BN1599" s="48"/>
      <c r="BO1599" s="48"/>
      <c r="BP1599" s="48"/>
      <c r="BQ1599" s="48"/>
      <c r="BR1599" s="47" t="s">
        <v>2496</v>
      </c>
      <c r="BS1599" s="48"/>
      <c r="BT1599" s="48"/>
      <c r="BU1599" s="228"/>
      <c r="BV1599" s="48"/>
      <c r="BW1599" s="48"/>
      <c r="BX1599" s="48"/>
      <c r="BY1599" s="48"/>
      <c r="BZ1599" s="48"/>
      <c r="CA1599" s="48"/>
      <c r="CB1599" s="48"/>
      <c r="CC1599" s="48"/>
      <c r="CD1599" s="48"/>
      <c r="CE1599" s="48"/>
      <c r="CF1599" s="48"/>
      <c r="CG1599" s="48"/>
      <c r="CH1599" s="48"/>
      <c r="CI1599" s="98"/>
      <c r="CJ1599" s="98"/>
      <c r="CK1599" s="49">
        <f t="shared" si="415"/>
        <v>150.3692473771635</v>
      </c>
      <c r="CL1599" s="229"/>
      <c r="CM1599" s="229"/>
      <c r="CN1599" s="229"/>
      <c r="CO1599" s="47" t="s">
        <v>2488</v>
      </c>
      <c r="CP1599" s="47" t="s">
        <v>2489</v>
      </c>
      <c r="CQ1599" s="224" t="s">
        <v>272</v>
      </c>
      <c r="CR1599" s="224"/>
      <c r="CS1599" s="230" t="s">
        <v>539</v>
      </c>
      <c r="CT1599" s="230"/>
      <c r="CU1599" s="230"/>
      <c r="CV1599" s="335">
        <f t="shared" si="413"/>
        <v>1.1582972520326817</v>
      </c>
      <c r="CW1599" s="230">
        <f t="shared" ref="CW1599:CW1612" si="421">IF(CV1599&lt;1,0,1)</f>
        <v>1</v>
      </c>
      <c r="CX1599" s="336"/>
      <c r="CY1599" s="230" t="s">
        <v>5921</v>
      </c>
    </row>
    <row r="1600" spans="1:103" ht="11.25" customHeight="1" x14ac:dyDescent="0.2">
      <c r="A1600" s="72">
        <v>1598</v>
      </c>
      <c r="B1600" s="224">
        <v>1009</v>
      </c>
      <c r="C1600" s="46" t="s">
        <v>7598</v>
      </c>
      <c r="D1600" s="46"/>
      <c r="E1600" s="114"/>
      <c r="F1600" s="114" t="s">
        <v>2885</v>
      </c>
      <c r="G1600" s="225" t="s">
        <v>2885</v>
      </c>
      <c r="H1600" s="47" t="s">
        <v>2886</v>
      </c>
      <c r="I1600" s="47" t="s">
        <v>8197</v>
      </c>
      <c r="J1600" s="47" t="s">
        <v>2887</v>
      </c>
      <c r="K1600" s="47"/>
      <c r="L1600" s="47"/>
      <c r="M1600" s="47"/>
      <c r="N1600" s="47"/>
      <c r="O1600" s="47"/>
      <c r="P1600" s="53"/>
      <c r="Q1600" s="53"/>
      <c r="R1600" s="53"/>
      <c r="S1600" s="53"/>
      <c r="T1600" s="48">
        <v>407.44</v>
      </c>
      <c r="U1600" s="98"/>
      <c r="V1600" s="98">
        <f>6.026/407.44</f>
        <v>1.478990771647359E-2</v>
      </c>
      <c r="W1600" s="98">
        <v>0.16982436524617422</v>
      </c>
      <c r="X1600" s="98">
        <f t="shared" si="414"/>
        <v>0.16982436524617422</v>
      </c>
      <c r="Y1600" s="233">
        <v>5.65</v>
      </c>
      <c r="Z1600" s="48">
        <v>4.29</v>
      </c>
      <c r="AA1600" s="48"/>
      <c r="AB1600" s="48">
        <v>2.84</v>
      </c>
      <c r="AC1600" s="48">
        <v>0.53849999999999998</v>
      </c>
      <c r="AD1600" s="48">
        <v>2.88</v>
      </c>
      <c r="AE1600" s="48">
        <v>2.93</v>
      </c>
      <c r="AF1600" s="48">
        <f t="shared" si="411"/>
        <v>2.88</v>
      </c>
      <c r="AG1600" s="49">
        <v>0.62</v>
      </c>
      <c r="AH1600" s="98">
        <v>8.2000000000000002E-20</v>
      </c>
      <c r="AI1600" s="98"/>
      <c r="AJ1600" s="483">
        <f t="shared" si="419"/>
        <v>-17.474752473928934</v>
      </c>
      <c r="AK1600" s="483"/>
      <c r="AL1600" s="483">
        <f t="shared" si="420"/>
        <v>-17.474752473928934</v>
      </c>
      <c r="AM1600" s="483">
        <v>-22.730329999999999</v>
      </c>
      <c r="AN1600" s="226">
        <v>-1.0900000000000001</v>
      </c>
      <c r="AO1600" s="484">
        <v>-2.17</v>
      </c>
      <c r="AP1600" s="484">
        <v>7.15</v>
      </c>
      <c r="AQ1600" s="48" t="s">
        <v>5921</v>
      </c>
      <c r="AR1600" s="48" t="s">
        <v>5921</v>
      </c>
      <c r="AS1600" s="227"/>
      <c r="AT1600" s="50" t="s">
        <v>266</v>
      </c>
      <c r="AU1600" s="48">
        <v>6</v>
      </c>
      <c r="AV1600" s="48">
        <v>120</v>
      </c>
      <c r="AW1600" s="48">
        <v>114</v>
      </c>
      <c r="AX1600" s="48">
        <v>28</v>
      </c>
      <c r="AY1600" s="48" t="s">
        <v>8728</v>
      </c>
      <c r="AZ1600" s="48" t="s">
        <v>1563</v>
      </c>
      <c r="BA1600" s="48">
        <v>32</v>
      </c>
      <c r="BB1600" s="47" t="s">
        <v>2485</v>
      </c>
      <c r="BC1600" s="47" t="s">
        <v>8726</v>
      </c>
      <c r="BD1600" s="47" t="s">
        <v>8374</v>
      </c>
      <c r="BE1600" s="48" t="s">
        <v>2449</v>
      </c>
      <c r="BF1600" s="48" t="s">
        <v>272</v>
      </c>
      <c r="BG1600" s="48" t="s">
        <v>272</v>
      </c>
      <c r="BH1600" s="48" t="s">
        <v>2486</v>
      </c>
      <c r="BI1600" s="98">
        <v>6.3999999999999997E-6</v>
      </c>
      <c r="BJ1600" s="98">
        <v>6.4000000000000001E-2</v>
      </c>
      <c r="BK1600" s="48"/>
      <c r="BL1600" s="98"/>
      <c r="BM1600" s="47" t="s">
        <v>2487</v>
      </c>
      <c r="BN1600" s="48"/>
      <c r="BO1600" s="48"/>
      <c r="BP1600" s="48"/>
      <c r="BQ1600" s="48"/>
      <c r="BR1600" s="47" t="s">
        <v>2496</v>
      </c>
      <c r="BS1600" s="48"/>
      <c r="BT1600" s="48"/>
      <c r="BU1600" s="228">
        <v>6.4000000000000001E-2</v>
      </c>
      <c r="BV1600" s="48"/>
      <c r="BW1600" s="48"/>
      <c r="BX1600" s="48"/>
      <c r="BY1600" s="48"/>
      <c r="BZ1600" s="48"/>
      <c r="CA1600" s="48"/>
      <c r="CB1600" s="48"/>
      <c r="CC1600" s="48"/>
      <c r="CD1600" s="48"/>
      <c r="CE1600" s="48"/>
      <c r="CF1600" s="48"/>
      <c r="CG1600" s="48"/>
      <c r="CH1600" s="48"/>
      <c r="CI1600" s="98"/>
      <c r="CJ1600" s="98"/>
      <c r="CK1600" s="49">
        <f t="shared" si="415"/>
        <v>0</v>
      </c>
      <c r="CL1600" s="229"/>
      <c r="CM1600" s="229"/>
      <c r="CN1600" s="229"/>
      <c r="CO1600" s="47" t="s">
        <v>2488</v>
      </c>
      <c r="CP1600" s="47" t="s">
        <v>2489</v>
      </c>
      <c r="CQ1600" s="224" t="s">
        <v>272</v>
      </c>
      <c r="CR1600" s="224"/>
      <c r="CS1600" s="230" t="s">
        <v>539</v>
      </c>
      <c r="CT1600" s="230"/>
      <c r="CU1600" s="230"/>
      <c r="CV1600" s="335">
        <f t="shared" si="413"/>
        <v>2.653505706971472</v>
      </c>
      <c r="CW1600" s="230">
        <f t="shared" si="421"/>
        <v>1</v>
      </c>
      <c r="CX1600" s="336"/>
      <c r="CY1600" s="230" t="s">
        <v>5921</v>
      </c>
    </row>
    <row r="1601" spans="1:103" ht="11.25" customHeight="1" x14ac:dyDescent="0.2">
      <c r="A1601" s="72">
        <v>1599</v>
      </c>
      <c r="B1601" s="224">
        <v>1646</v>
      </c>
      <c r="C1601" s="46" t="s">
        <v>7599</v>
      </c>
      <c r="D1601" s="46"/>
      <c r="E1601" s="114"/>
      <c r="F1601" s="114" t="s">
        <v>4848</v>
      </c>
      <c r="G1601" s="225" t="s">
        <v>4848</v>
      </c>
      <c r="H1601" s="47" t="s">
        <v>4849</v>
      </c>
      <c r="I1601" s="47" t="s">
        <v>7814</v>
      </c>
      <c r="J1601" s="47" t="s">
        <v>4850</v>
      </c>
      <c r="K1601" s="47" t="s">
        <v>264</v>
      </c>
      <c r="L1601" s="47"/>
      <c r="M1601" s="47"/>
      <c r="N1601" s="47"/>
      <c r="O1601" s="47"/>
      <c r="P1601" s="53"/>
      <c r="Q1601" s="53"/>
      <c r="R1601" s="53"/>
      <c r="S1601" s="53"/>
      <c r="T1601" s="48">
        <v>283.32</v>
      </c>
      <c r="U1601" s="98"/>
      <c r="V1601" s="98">
        <v>5.506141465480729</v>
      </c>
      <c r="W1601" s="98">
        <v>0.56234132519034852</v>
      </c>
      <c r="X1601" s="98">
        <f t="shared" si="414"/>
        <v>0.56234132519034852</v>
      </c>
      <c r="Y1601" s="233">
        <v>9.1</v>
      </c>
      <c r="Z1601" s="48">
        <v>2.34</v>
      </c>
      <c r="AA1601" s="48"/>
      <c r="AB1601" s="48">
        <v>2.44</v>
      </c>
      <c r="AC1601" s="48">
        <v>0.71950000000000003</v>
      </c>
      <c r="AD1601" s="48">
        <v>2.68</v>
      </c>
      <c r="AE1601" s="48">
        <v>3.16</v>
      </c>
      <c r="AF1601" s="48">
        <f t="shared" si="411"/>
        <v>2.68</v>
      </c>
      <c r="AG1601" s="49">
        <v>2.68</v>
      </c>
      <c r="AH1601" s="98">
        <v>2.88E-11</v>
      </c>
      <c r="AI1601" s="98"/>
      <c r="AJ1601" s="483">
        <f t="shared" si="419"/>
        <v>-8.9291738385534209</v>
      </c>
      <c r="AK1601" s="483"/>
      <c r="AL1601" s="483">
        <f t="shared" si="420"/>
        <v>-8.9291738385534209</v>
      </c>
      <c r="AM1601" s="483">
        <v>-14.89021</v>
      </c>
      <c r="AN1601" s="226"/>
      <c r="AO1601" s="484"/>
      <c r="AP1601" s="484">
        <v>7.47</v>
      </c>
      <c r="AQ1601" s="226" t="s">
        <v>5921</v>
      </c>
      <c r="AR1601" s="226" t="s">
        <v>5921</v>
      </c>
      <c r="AS1601" s="224"/>
      <c r="AT1601" s="50" t="s">
        <v>266</v>
      </c>
      <c r="AU1601" s="48">
        <v>6</v>
      </c>
      <c r="AV1601" s="48">
        <v>120</v>
      </c>
      <c r="AW1601" s="48">
        <v>114</v>
      </c>
      <c r="AX1601" s="48">
        <v>28</v>
      </c>
      <c r="AY1601" s="48" t="s">
        <v>8728</v>
      </c>
      <c r="AZ1601" s="48" t="s">
        <v>1563</v>
      </c>
      <c r="BA1601" s="48">
        <v>32</v>
      </c>
      <c r="BB1601" s="47" t="s">
        <v>2485</v>
      </c>
      <c r="BC1601" s="47" t="s">
        <v>8726</v>
      </c>
      <c r="BD1601" s="47" t="s">
        <v>8374</v>
      </c>
      <c r="BE1601" s="48" t="s">
        <v>2449</v>
      </c>
      <c r="BF1601" s="48" t="s">
        <v>272</v>
      </c>
      <c r="BG1601" s="48" t="s">
        <v>272</v>
      </c>
      <c r="BH1601" s="48" t="s">
        <v>2486</v>
      </c>
      <c r="BI1601" s="98">
        <v>6.3999999999999997E-6</v>
      </c>
      <c r="BJ1601" s="98">
        <v>6.4000000000000001E-2</v>
      </c>
      <c r="BK1601" s="48"/>
      <c r="BL1601" s="98">
        <f>10^((-0.8981*Z1601)+1.7108)</f>
        <v>0.40667361848744638</v>
      </c>
      <c r="BM1601" s="47" t="s">
        <v>2487</v>
      </c>
      <c r="BN1601" s="48"/>
      <c r="BO1601" s="48"/>
      <c r="BP1601" s="48"/>
      <c r="BQ1601" s="48"/>
      <c r="BR1601" s="47" t="s">
        <v>2496</v>
      </c>
      <c r="BS1601" s="48"/>
      <c r="BT1601" s="48"/>
      <c r="BU1601" s="228"/>
      <c r="BV1601" s="48"/>
      <c r="BW1601" s="48"/>
      <c r="BX1601" s="48"/>
      <c r="BY1601" s="48"/>
      <c r="BZ1601" s="48"/>
      <c r="CA1601" s="48"/>
      <c r="CB1601" s="48"/>
      <c r="CC1601" s="48"/>
      <c r="CD1601" s="48"/>
      <c r="CE1601" s="48"/>
      <c r="CF1601" s="48"/>
      <c r="CG1601" s="48"/>
      <c r="CH1601" s="48"/>
      <c r="CI1601" s="98"/>
      <c r="CJ1601" s="98"/>
      <c r="CK1601" s="49">
        <f t="shared" si="415"/>
        <v>6.3542752888663498</v>
      </c>
      <c r="CL1601" s="229"/>
      <c r="CM1601" s="229"/>
      <c r="CN1601" s="229"/>
      <c r="CO1601" s="47" t="s">
        <v>2488</v>
      </c>
      <c r="CP1601" s="47" t="s">
        <v>2489</v>
      </c>
      <c r="CQ1601" s="224" t="s">
        <v>272</v>
      </c>
      <c r="CR1601" s="224"/>
      <c r="CS1601" s="230" t="s">
        <v>539</v>
      </c>
      <c r="CT1601" s="230"/>
      <c r="CU1601" s="230"/>
      <c r="CV1601" s="335">
        <f t="shared" si="413"/>
        <v>8.7865832060991949</v>
      </c>
      <c r="CW1601" s="230">
        <f t="shared" si="421"/>
        <v>1</v>
      </c>
      <c r="CX1601" s="336"/>
      <c r="CY1601" s="230" t="s">
        <v>5921</v>
      </c>
    </row>
    <row r="1602" spans="1:103" ht="11.25" customHeight="1" x14ac:dyDescent="0.2">
      <c r="A1602" s="72">
        <v>1600</v>
      </c>
      <c r="B1602" s="224">
        <v>1006</v>
      </c>
      <c r="C1602" s="46" t="s">
        <v>7600</v>
      </c>
      <c r="D1602" s="46"/>
      <c r="E1602" s="114"/>
      <c r="F1602" s="114" t="s">
        <v>2873</v>
      </c>
      <c r="G1602" s="225" t="s">
        <v>2873</v>
      </c>
      <c r="H1602" s="47" t="s">
        <v>2874</v>
      </c>
      <c r="I1602" s="47" t="s">
        <v>7798</v>
      </c>
      <c r="J1602" s="47" t="s">
        <v>2875</v>
      </c>
      <c r="K1602" s="47" t="s">
        <v>2876</v>
      </c>
      <c r="L1602" s="47"/>
      <c r="M1602" s="47"/>
      <c r="N1602" s="47"/>
      <c r="O1602" s="47"/>
      <c r="P1602" s="53"/>
      <c r="Q1602" s="53"/>
      <c r="R1602" s="53"/>
      <c r="S1602" s="53"/>
      <c r="T1602" s="48">
        <v>391.37</v>
      </c>
      <c r="U1602" s="98"/>
      <c r="V1602" s="98">
        <v>1.0056979329023686E-2</v>
      </c>
      <c r="W1602" s="98">
        <v>8.3176377110266958E-2</v>
      </c>
      <c r="X1602" s="98">
        <f t="shared" si="414"/>
        <v>8.3176377110266958E-2</v>
      </c>
      <c r="Y1602" s="233">
        <v>7</v>
      </c>
      <c r="Z1602" s="48">
        <v>3.14</v>
      </c>
      <c r="AA1602" s="48"/>
      <c r="AB1602" s="48">
        <v>2.94</v>
      </c>
      <c r="AC1602" s="48">
        <v>0.52790000000000004</v>
      </c>
      <c r="AD1602" s="48">
        <v>2.2200000000000002</v>
      </c>
      <c r="AE1602" s="48">
        <v>1.36</v>
      </c>
      <c r="AF1602" s="48">
        <f t="shared" si="411"/>
        <v>2.2200000000000002</v>
      </c>
      <c r="AG1602" s="49">
        <v>4.24</v>
      </c>
      <c r="AH1602" s="98">
        <v>2.0999999999999999E-17</v>
      </c>
      <c r="AI1602" s="98"/>
      <c r="AJ1602" s="483">
        <f t="shared" si="419"/>
        <v>-15.066347031578733</v>
      </c>
      <c r="AK1602" s="483"/>
      <c r="AL1602" s="483">
        <f t="shared" si="420"/>
        <v>-15.066347031578733</v>
      </c>
      <c r="AM1602" s="483">
        <v>-18.72861</v>
      </c>
      <c r="AN1602" s="226">
        <v>-15.1</v>
      </c>
      <c r="AO1602" s="484">
        <v>12.33</v>
      </c>
      <c r="AP1602" s="484">
        <v>-3.77</v>
      </c>
      <c r="AQ1602" s="48" t="s">
        <v>5921</v>
      </c>
      <c r="AR1602" s="48" t="s">
        <v>5921</v>
      </c>
      <c r="AS1602" s="227"/>
      <c r="AT1602" s="50" t="s">
        <v>266</v>
      </c>
      <c r="AU1602" s="48">
        <v>6</v>
      </c>
      <c r="AV1602" s="48">
        <v>120</v>
      </c>
      <c r="AW1602" s="48">
        <v>114</v>
      </c>
      <c r="AX1602" s="48">
        <v>28</v>
      </c>
      <c r="AY1602" s="48" t="s">
        <v>8728</v>
      </c>
      <c r="AZ1602" s="48" t="s">
        <v>1563</v>
      </c>
      <c r="BA1602" s="48">
        <v>32</v>
      </c>
      <c r="BB1602" s="47" t="s">
        <v>2485</v>
      </c>
      <c r="BC1602" s="47" t="s">
        <v>8726</v>
      </c>
      <c r="BD1602" s="47" t="s">
        <v>8374</v>
      </c>
      <c r="BE1602" s="48" t="s">
        <v>2449</v>
      </c>
      <c r="BF1602" s="48" t="s">
        <v>272</v>
      </c>
      <c r="BG1602" s="48" t="s">
        <v>272</v>
      </c>
      <c r="BH1602" s="48" t="s">
        <v>2486</v>
      </c>
      <c r="BI1602" s="98">
        <v>6.3999999999999997E-6</v>
      </c>
      <c r="BJ1602" s="98">
        <v>6.4000000000000001E-2</v>
      </c>
      <c r="BK1602" s="48"/>
      <c r="BL1602" s="98">
        <f>10^((-0.8981*Z1602)+1.7108)</f>
        <v>7.7761745404047386E-2</v>
      </c>
      <c r="BM1602" s="47" t="s">
        <v>2487</v>
      </c>
      <c r="BN1602" s="48"/>
      <c r="BO1602" s="48"/>
      <c r="BP1602" s="48"/>
      <c r="BQ1602" s="48"/>
      <c r="BR1602" s="47" t="s">
        <v>2496</v>
      </c>
      <c r="BS1602" s="48"/>
      <c r="BT1602" s="48"/>
      <c r="BU1602" s="228">
        <v>6.3999999999999997E-5</v>
      </c>
      <c r="BV1602" s="48"/>
      <c r="BW1602" s="48"/>
      <c r="BX1602" s="48"/>
      <c r="BY1602" s="48"/>
      <c r="BZ1602" s="48"/>
      <c r="CA1602" s="48"/>
      <c r="CB1602" s="48"/>
      <c r="CC1602" s="48"/>
      <c r="CD1602" s="48"/>
      <c r="CE1602" s="48"/>
      <c r="CF1602" s="48"/>
      <c r="CG1602" s="48"/>
      <c r="CH1602" s="48"/>
      <c r="CI1602" s="98"/>
      <c r="CJ1602" s="98"/>
      <c r="CK1602" s="49">
        <f t="shared" si="415"/>
        <v>1.2150272719382404</v>
      </c>
      <c r="CL1602" s="229"/>
      <c r="CM1602" s="229"/>
      <c r="CN1602" s="229"/>
      <c r="CO1602" s="47" t="s">
        <v>2488</v>
      </c>
      <c r="CP1602" s="47" t="s">
        <v>2489</v>
      </c>
      <c r="CQ1602" s="224" t="s">
        <v>272</v>
      </c>
      <c r="CR1602" s="224"/>
      <c r="CS1602" s="230" t="s">
        <v>539</v>
      </c>
      <c r="CT1602" s="230"/>
      <c r="CU1602" s="230"/>
      <c r="CV1602" s="335">
        <f t="shared" si="413"/>
        <v>1.2996308923479212</v>
      </c>
      <c r="CW1602" s="230">
        <f t="shared" si="421"/>
        <v>1</v>
      </c>
      <c r="CX1602" s="336"/>
      <c r="CY1602" s="230" t="s">
        <v>5921</v>
      </c>
    </row>
    <row r="1603" spans="1:103" ht="11.25" customHeight="1" x14ac:dyDescent="0.2">
      <c r="A1603" s="72">
        <v>1601</v>
      </c>
      <c r="B1603" s="224">
        <v>1758</v>
      </c>
      <c r="C1603" s="46" t="s">
        <v>7601</v>
      </c>
      <c r="D1603" s="46"/>
      <c r="E1603" s="114"/>
      <c r="F1603" s="114" t="s">
        <v>5065</v>
      </c>
      <c r="G1603" s="225" t="s">
        <v>5065</v>
      </c>
      <c r="H1603" s="47" t="s">
        <v>5066</v>
      </c>
      <c r="I1603" s="47" t="s">
        <v>7793</v>
      </c>
      <c r="J1603" s="47" t="s">
        <v>5067</v>
      </c>
      <c r="K1603" s="47" t="s">
        <v>471</v>
      </c>
      <c r="L1603" s="51"/>
      <c r="M1603" s="47"/>
      <c r="N1603" s="47"/>
      <c r="O1603" s="47"/>
      <c r="P1603" s="53"/>
      <c r="Q1603" s="53"/>
      <c r="R1603" s="53"/>
      <c r="S1603" s="53"/>
      <c r="T1603" s="48">
        <v>408.45</v>
      </c>
      <c r="U1603" s="98"/>
      <c r="V1603" s="98">
        <v>1.2226710735708166E-3</v>
      </c>
      <c r="W1603" s="98">
        <v>4.3651583224016566E-5</v>
      </c>
      <c r="X1603" s="98">
        <f t="shared" si="414"/>
        <v>4.3651583224016566E-5</v>
      </c>
      <c r="Y1603" s="233">
        <v>7</v>
      </c>
      <c r="Z1603" s="48">
        <v>4.0599999999999996</v>
      </c>
      <c r="AA1603" s="48"/>
      <c r="AB1603" s="48">
        <v>4.63</v>
      </c>
      <c r="AC1603" s="48">
        <v>0.71450000000000002</v>
      </c>
      <c r="AD1603" s="48">
        <v>4.8499999999999996</v>
      </c>
      <c r="AE1603" s="48">
        <v>5.35</v>
      </c>
      <c r="AF1603" s="48">
        <f t="shared" si="411"/>
        <v>4.8499999999999996</v>
      </c>
      <c r="AG1603" s="49">
        <v>2.6</v>
      </c>
      <c r="AH1603" s="98">
        <v>5.5900000000000002E-21</v>
      </c>
      <c r="AI1603" s="98"/>
      <c r="AJ1603" s="483">
        <f t="shared" si="419"/>
        <v>-18.64115451842623</v>
      </c>
      <c r="AK1603" s="483"/>
      <c r="AL1603" s="483">
        <f t="shared" si="420"/>
        <v>-18.64115451842623</v>
      </c>
      <c r="AM1603" s="483">
        <v>-24.970479999999998</v>
      </c>
      <c r="AN1603" s="226">
        <v>-6.77</v>
      </c>
      <c r="AO1603" s="484">
        <v>10.029999999999999</v>
      </c>
      <c r="AP1603" s="484">
        <v>2.78</v>
      </c>
      <c r="AQ1603" s="226" t="s">
        <v>5921</v>
      </c>
      <c r="AR1603" s="226" t="s">
        <v>5921</v>
      </c>
      <c r="AS1603" s="224"/>
      <c r="AT1603" s="50" t="s">
        <v>266</v>
      </c>
      <c r="AU1603" s="48">
        <v>6</v>
      </c>
      <c r="AV1603" s="48">
        <v>120</v>
      </c>
      <c r="AW1603" s="48">
        <v>114</v>
      </c>
      <c r="AX1603" s="48">
        <v>28</v>
      </c>
      <c r="AY1603" s="48" t="s">
        <v>8728</v>
      </c>
      <c r="AZ1603" s="48" t="s">
        <v>1563</v>
      </c>
      <c r="BA1603" s="48">
        <v>32</v>
      </c>
      <c r="BB1603" s="47" t="s">
        <v>2485</v>
      </c>
      <c r="BC1603" s="47" t="s">
        <v>8726</v>
      </c>
      <c r="BD1603" s="47" t="s">
        <v>8374</v>
      </c>
      <c r="BE1603" s="48" t="s">
        <v>2449</v>
      </c>
      <c r="BF1603" s="48" t="s">
        <v>272</v>
      </c>
      <c r="BG1603" s="48" t="s">
        <v>272</v>
      </c>
      <c r="BH1603" s="48" t="s">
        <v>2486</v>
      </c>
      <c r="BI1603" s="98">
        <v>6.3999999999999997E-6</v>
      </c>
      <c r="BJ1603" s="98">
        <v>6.4000000000000001E-2</v>
      </c>
      <c r="BK1603" s="48"/>
      <c r="BL1603" s="98">
        <f>10^((-0.8981*Z1603)+1.7108)</f>
        <v>1.1601496143501713E-2</v>
      </c>
      <c r="BM1603" s="47" t="s">
        <v>2487</v>
      </c>
      <c r="BN1603" s="48"/>
      <c r="BO1603" s="48"/>
      <c r="BP1603" s="48"/>
      <c r="BQ1603" s="48"/>
      <c r="BR1603" s="47" t="s">
        <v>2496</v>
      </c>
      <c r="BS1603" s="48"/>
      <c r="BT1603" s="48"/>
      <c r="BU1603" s="228"/>
      <c r="BV1603" s="48"/>
      <c r="BW1603" s="48"/>
      <c r="BX1603" s="48"/>
      <c r="BY1603" s="48"/>
      <c r="BZ1603" s="48"/>
      <c r="CA1603" s="48"/>
      <c r="CB1603" s="48"/>
      <c r="CC1603" s="48"/>
      <c r="CD1603" s="48"/>
      <c r="CE1603" s="48"/>
      <c r="CF1603" s="48"/>
      <c r="CG1603" s="48"/>
      <c r="CH1603" s="48"/>
      <c r="CI1603" s="98"/>
      <c r="CJ1603" s="98"/>
      <c r="CK1603" s="49">
        <f t="shared" si="415"/>
        <v>0.18127337724221426</v>
      </c>
      <c r="CL1603" s="229"/>
      <c r="CM1603" s="229"/>
      <c r="CN1603" s="229"/>
      <c r="CO1603" s="47" t="s">
        <v>2488</v>
      </c>
      <c r="CP1603" s="47" t="s">
        <v>2489</v>
      </c>
      <c r="CQ1603" s="224" t="s">
        <v>272</v>
      </c>
      <c r="CR1603" s="224"/>
      <c r="CS1603" s="230" t="s">
        <v>539</v>
      </c>
      <c r="CT1603" s="230"/>
      <c r="CU1603" s="230"/>
      <c r="CV1603" s="335">
        <f t="shared" si="413"/>
        <v>6.820559878752588E-4</v>
      </c>
      <c r="CW1603" s="230">
        <f t="shared" si="421"/>
        <v>0</v>
      </c>
      <c r="CX1603" s="336"/>
      <c r="CY1603" s="230" t="s">
        <v>5921</v>
      </c>
    </row>
    <row r="1604" spans="1:103" ht="11.25" customHeight="1" x14ac:dyDescent="0.2">
      <c r="A1604" s="72">
        <v>1602</v>
      </c>
      <c r="B1604" s="224">
        <v>1274</v>
      </c>
      <c r="C1604" s="46" t="s">
        <v>7602</v>
      </c>
      <c r="D1604" s="46"/>
      <c r="E1604" s="114"/>
      <c r="F1604" s="114" t="s">
        <v>3502</v>
      </c>
      <c r="G1604" s="225" t="s">
        <v>3502</v>
      </c>
      <c r="H1604" s="47" t="s">
        <v>3503</v>
      </c>
      <c r="I1604" s="47" t="s">
        <v>8198</v>
      </c>
      <c r="J1604" s="47" t="s">
        <v>3504</v>
      </c>
      <c r="K1604" s="47" t="s">
        <v>3505</v>
      </c>
      <c r="L1604" s="47"/>
      <c r="M1604" s="47"/>
      <c r="N1604" s="47"/>
      <c r="O1604" s="47"/>
      <c r="P1604" s="53"/>
      <c r="Q1604" s="53"/>
      <c r="R1604" s="53"/>
      <c r="S1604" s="53"/>
      <c r="T1604" s="48">
        <v>526.01</v>
      </c>
      <c r="U1604" s="98"/>
      <c r="V1604" s="98">
        <v>0.13271610805878217</v>
      </c>
      <c r="W1604" s="98">
        <v>1.1748975549395291E-3</v>
      </c>
      <c r="X1604" s="98">
        <f t="shared" si="414"/>
        <v>1.1748975549395291E-3</v>
      </c>
      <c r="Y1604" s="233">
        <v>6.98</v>
      </c>
      <c r="Z1604" s="48">
        <v>0.82</v>
      </c>
      <c r="AA1604" s="48"/>
      <c r="AB1604" s="48">
        <v>3.8</v>
      </c>
      <c r="AC1604" s="48">
        <v>0.58160000000000001</v>
      </c>
      <c r="AD1604" s="48">
        <v>3.94</v>
      </c>
      <c r="AE1604" s="48">
        <v>4.18</v>
      </c>
      <c r="AF1604" s="48">
        <f t="shared" si="411"/>
        <v>3.94</v>
      </c>
      <c r="AG1604" s="49">
        <v>7.0000000000000007E-2</v>
      </c>
      <c r="AH1604" s="98">
        <v>1.49E-24</v>
      </c>
      <c r="AI1604" s="98"/>
      <c r="AJ1604" s="483">
        <f t="shared" si="419"/>
        <v>-22.215380057900379</v>
      </c>
      <c r="AK1604" s="483"/>
      <c r="AL1604" s="483">
        <f t="shared" si="420"/>
        <v>-22.215380057900379</v>
      </c>
      <c r="AM1604" s="483">
        <v>-30.951639999999998</v>
      </c>
      <c r="AN1604" s="226">
        <v>-7</v>
      </c>
      <c r="AO1604" s="484">
        <v>3.64</v>
      </c>
      <c r="AP1604" s="484">
        <v>8.9499999999999993</v>
      </c>
      <c r="AQ1604" s="48" t="s">
        <v>5921</v>
      </c>
      <c r="AR1604" s="48" t="s">
        <v>5921</v>
      </c>
      <c r="AS1604" s="227"/>
      <c r="AT1604" s="50" t="s">
        <v>266</v>
      </c>
      <c r="AU1604" s="48">
        <v>6</v>
      </c>
      <c r="AV1604" s="48">
        <v>120</v>
      </c>
      <c r="AW1604" s="48">
        <v>114</v>
      </c>
      <c r="AX1604" s="48">
        <v>28</v>
      </c>
      <c r="AY1604" s="48" t="s">
        <v>8728</v>
      </c>
      <c r="AZ1604" s="48" t="s">
        <v>1563</v>
      </c>
      <c r="BA1604" s="48">
        <v>32</v>
      </c>
      <c r="BB1604" s="47" t="s">
        <v>2485</v>
      </c>
      <c r="BC1604" s="47" t="s">
        <v>8726</v>
      </c>
      <c r="BD1604" s="47" t="s">
        <v>8374</v>
      </c>
      <c r="BE1604" s="48" t="s">
        <v>2449</v>
      </c>
      <c r="BF1604" s="48" t="s">
        <v>272</v>
      </c>
      <c r="BG1604" s="48" t="s">
        <v>272</v>
      </c>
      <c r="BH1604" s="48" t="s">
        <v>2486</v>
      </c>
      <c r="BI1604" s="98">
        <v>6.3999999999999997E-6</v>
      </c>
      <c r="BJ1604" s="98">
        <v>6.4000000000000001E-2</v>
      </c>
      <c r="BK1604" s="48"/>
      <c r="BL1604" s="98">
        <f>10^((-0.8981*Z1604)+1.7108)</f>
        <v>9.4266634020167821</v>
      </c>
      <c r="BM1604" s="47" t="s">
        <v>2487</v>
      </c>
      <c r="BN1604" s="48"/>
      <c r="BO1604" s="48"/>
      <c r="BP1604" s="48"/>
      <c r="BQ1604" s="48"/>
      <c r="BR1604" s="47" t="s">
        <v>2496</v>
      </c>
      <c r="BS1604" s="48"/>
      <c r="BT1604" s="48"/>
      <c r="BU1604" s="228">
        <v>1.5400000000000002E-5</v>
      </c>
      <c r="BV1604" s="48"/>
      <c r="BW1604" s="48"/>
      <c r="BX1604" s="48"/>
      <c r="BY1604" s="48"/>
      <c r="BZ1604" s="48"/>
      <c r="CA1604" s="48"/>
      <c r="CB1604" s="48"/>
      <c r="CC1604" s="48"/>
      <c r="CD1604" s="48"/>
      <c r="CE1604" s="48"/>
      <c r="CF1604" s="48"/>
      <c r="CG1604" s="48"/>
      <c r="CH1604" s="48"/>
      <c r="CI1604" s="98"/>
      <c r="CJ1604" s="98"/>
      <c r="CK1604" s="49">
        <f t="shared" si="415"/>
        <v>147.29161565651222</v>
      </c>
      <c r="CL1604" s="229"/>
      <c r="CM1604" s="229"/>
      <c r="CN1604" s="229"/>
      <c r="CO1604" s="47" t="s">
        <v>2488</v>
      </c>
      <c r="CP1604" s="47" t="s">
        <v>2489</v>
      </c>
      <c r="CQ1604" s="224" t="s">
        <v>272</v>
      </c>
      <c r="CR1604" s="224"/>
      <c r="CS1604" s="230" t="s">
        <v>539</v>
      </c>
      <c r="CT1604" s="230"/>
      <c r="CU1604" s="230"/>
      <c r="CV1604" s="335">
        <f t="shared" si="413"/>
        <v>1.8357774295930142E-2</v>
      </c>
      <c r="CW1604" s="230">
        <f t="shared" si="421"/>
        <v>0</v>
      </c>
      <c r="CX1604" s="336"/>
      <c r="CY1604" s="230" t="s">
        <v>5921</v>
      </c>
    </row>
    <row r="1605" spans="1:103" ht="11.25" customHeight="1" x14ac:dyDescent="0.2">
      <c r="A1605" s="72">
        <v>1603</v>
      </c>
      <c r="B1605" s="224">
        <v>1348</v>
      </c>
      <c r="C1605" s="46" t="s">
        <v>7603</v>
      </c>
      <c r="D1605" s="46"/>
      <c r="E1605" s="114"/>
      <c r="F1605" s="114" t="s">
        <v>4173</v>
      </c>
      <c r="G1605" s="225" t="s">
        <v>4173</v>
      </c>
      <c r="H1605" s="47" t="s">
        <v>4174</v>
      </c>
      <c r="I1605" s="47" t="s">
        <v>8199</v>
      </c>
      <c r="J1605" s="47" t="s">
        <v>4175</v>
      </c>
      <c r="K1605" s="47"/>
      <c r="L1605" s="47"/>
      <c r="M1605" s="47"/>
      <c r="N1605" s="47"/>
      <c r="O1605" s="47"/>
      <c r="P1605" s="53"/>
      <c r="Q1605" s="53" t="s">
        <v>6173</v>
      </c>
      <c r="R1605" s="53" t="s">
        <v>6175</v>
      </c>
      <c r="S1605" s="53" t="s">
        <v>6182</v>
      </c>
      <c r="T1605" s="48">
        <v>529.03</v>
      </c>
      <c r="U1605" s="98"/>
      <c r="V1605" s="98">
        <f>0.1797/529.03</f>
        <v>3.3967827911460599E-4</v>
      </c>
      <c r="W1605" s="98">
        <v>6.4565422903465383E-2</v>
      </c>
      <c r="X1605" s="98">
        <f t="shared" si="414"/>
        <v>6.4565422903465383E-2</v>
      </c>
      <c r="Y1605" s="233">
        <v>9.07</v>
      </c>
      <c r="Z1605" s="48">
        <v>4</v>
      </c>
      <c r="AA1605" s="48"/>
      <c r="AB1605" s="48">
        <v>2.64</v>
      </c>
      <c r="AC1605" s="48">
        <v>0.60170000000000001</v>
      </c>
      <c r="AD1605" s="48">
        <v>2.4300000000000002</v>
      </c>
      <c r="AE1605" s="48">
        <v>1.96</v>
      </c>
      <c r="AF1605" s="48">
        <f t="shared" si="411"/>
        <v>2.4300000000000002</v>
      </c>
      <c r="AG1605" s="49">
        <v>0.23</v>
      </c>
      <c r="AH1605" s="98">
        <v>2.1699999999999999E-26</v>
      </c>
      <c r="AI1605" s="98"/>
      <c r="AJ1605" s="483">
        <f t="shared" si="419"/>
        <v>-24.052106592464121</v>
      </c>
      <c r="AK1605" s="483"/>
      <c r="AL1605" s="483">
        <f t="shared" si="420"/>
        <v>-24.052106592464121</v>
      </c>
      <c r="AM1605" s="483">
        <v>-33.448889999999999</v>
      </c>
      <c r="AN1605" s="226">
        <v>-7.88</v>
      </c>
      <c r="AO1605" s="484">
        <v>8.84</v>
      </c>
      <c r="AP1605" s="484">
        <v>9.57</v>
      </c>
      <c r="AQ1605" s="48" t="s">
        <v>5921</v>
      </c>
      <c r="AR1605" s="48" t="s">
        <v>5921</v>
      </c>
      <c r="AS1605" s="227"/>
      <c r="AT1605" s="50" t="s">
        <v>266</v>
      </c>
      <c r="AU1605" s="48">
        <v>6</v>
      </c>
      <c r="AV1605" s="48">
        <v>120</v>
      </c>
      <c r="AW1605" s="48">
        <v>114</v>
      </c>
      <c r="AX1605" s="48">
        <v>28</v>
      </c>
      <c r="AY1605" s="48" t="s">
        <v>8728</v>
      </c>
      <c r="AZ1605" s="48" t="s">
        <v>1563</v>
      </c>
      <c r="BA1605" s="48">
        <v>32</v>
      </c>
      <c r="BB1605" s="47" t="s">
        <v>2485</v>
      </c>
      <c r="BC1605" s="47" t="s">
        <v>8726</v>
      </c>
      <c r="BD1605" s="47" t="s">
        <v>8374</v>
      </c>
      <c r="BE1605" s="48" t="s">
        <v>2449</v>
      </c>
      <c r="BF1605" s="48" t="s">
        <v>272</v>
      </c>
      <c r="BG1605" s="48" t="s">
        <v>272</v>
      </c>
      <c r="BH1605" s="48" t="s">
        <v>2486</v>
      </c>
      <c r="BI1605" s="98">
        <v>6.3999999999999997E-6</v>
      </c>
      <c r="BJ1605" s="98">
        <v>6.4000000000000001E-2</v>
      </c>
      <c r="BK1605" s="48"/>
      <c r="BL1605" s="98"/>
      <c r="BM1605" s="47" t="s">
        <v>2487</v>
      </c>
      <c r="BN1605" s="48"/>
      <c r="BO1605" s="48"/>
      <c r="BP1605" s="48"/>
      <c r="BQ1605" s="48"/>
      <c r="BR1605" s="47" t="s">
        <v>2496</v>
      </c>
      <c r="BS1605" s="48"/>
      <c r="BT1605" s="48"/>
      <c r="BU1605" s="228"/>
      <c r="BV1605" s="48"/>
      <c r="BW1605" s="48"/>
      <c r="BX1605" s="48"/>
      <c r="BY1605" s="48"/>
      <c r="BZ1605" s="48"/>
      <c r="CA1605" s="48"/>
      <c r="CB1605" s="48"/>
      <c r="CC1605" s="48"/>
      <c r="CD1605" s="48"/>
      <c r="CE1605" s="48"/>
      <c r="CF1605" s="48"/>
      <c r="CG1605" s="48"/>
      <c r="CH1605" s="48"/>
      <c r="CI1605" s="98"/>
      <c r="CJ1605" s="98"/>
      <c r="CK1605" s="49">
        <f t="shared" si="415"/>
        <v>0</v>
      </c>
      <c r="CL1605" s="229"/>
      <c r="CM1605" s="229"/>
      <c r="CN1605" s="229"/>
      <c r="CO1605" s="47" t="s">
        <v>2488</v>
      </c>
      <c r="CP1605" s="47" t="s">
        <v>2489</v>
      </c>
      <c r="CQ1605" s="224" t="s">
        <v>272</v>
      </c>
      <c r="CR1605" s="224"/>
      <c r="CS1605" s="230" t="s">
        <v>539</v>
      </c>
      <c r="CT1605" s="230"/>
      <c r="CU1605" s="230"/>
      <c r="CV1605" s="335">
        <f t="shared" si="413"/>
        <v>1.0088347328666465</v>
      </c>
      <c r="CW1605" s="230">
        <f t="shared" si="421"/>
        <v>1</v>
      </c>
      <c r="CX1605" s="336"/>
      <c r="CY1605" s="230" t="s">
        <v>5921</v>
      </c>
    </row>
    <row r="1606" spans="1:103" ht="11.25" customHeight="1" x14ac:dyDescent="0.2">
      <c r="A1606" s="72">
        <v>1604</v>
      </c>
      <c r="B1606" s="224">
        <v>1755</v>
      </c>
      <c r="C1606" s="46" t="s">
        <v>7604</v>
      </c>
      <c r="D1606" s="46"/>
      <c r="E1606" s="114"/>
      <c r="F1606" s="114" t="s">
        <v>5057</v>
      </c>
      <c r="G1606" s="225" t="s">
        <v>5057</v>
      </c>
      <c r="H1606" s="47" t="s">
        <v>5058</v>
      </c>
      <c r="I1606" s="47" t="s">
        <v>8200</v>
      </c>
      <c r="J1606" s="47" t="s">
        <v>5059</v>
      </c>
      <c r="K1606" s="47"/>
      <c r="L1606" s="47"/>
      <c r="M1606" s="47"/>
      <c r="N1606" s="47"/>
      <c r="O1606" s="47"/>
      <c r="P1606" s="53"/>
      <c r="Q1606" s="53"/>
      <c r="R1606" s="53"/>
      <c r="S1606" s="53"/>
      <c r="T1606" s="48">
        <v>584.51</v>
      </c>
      <c r="U1606" s="98"/>
      <c r="V1606" s="98">
        <f>0.006807/584.51</f>
        <v>1.1645651913568629E-5</v>
      </c>
      <c r="W1606" s="98">
        <v>9.1201083935590899E-4</v>
      </c>
      <c r="X1606" s="98">
        <f t="shared" si="414"/>
        <v>9.1201083935590899E-4</v>
      </c>
      <c r="Y1606" s="233">
        <v>7.59</v>
      </c>
      <c r="Z1606" s="48">
        <v>5.24</v>
      </c>
      <c r="AA1606" s="48"/>
      <c r="AB1606" s="48">
        <v>5.29</v>
      </c>
      <c r="AC1606" s="48">
        <v>0.68200000000000005</v>
      </c>
      <c r="AD1606" s="48">
        <v>5.48</v>
      </c>
      <c r="AE1606" s="48">
        <v>5.89</v>
      </c>
      <c r="AF1606" s="48">
        <f t="shared" si="411"/>
        <v>5.48</v>
      </c>
      <c r="AG1606" s="49">
        <v>3.78</v>
      </c>
      <c r="AH1606" s="98">
        <v>9.1899999999999996E-18</v>
      </c>
      <c r="AI1606" s="98"/>
      <c r="AJ1606" s="483">
        <f t="shared" si="419"/>
        <v>-15.425250814926541</v>
      </c>
      <c r="AK1606" s="483"/>
      <c r="AL1606" s="483">
        <f t="shared" si="420"/>
        <v>-15.425250814926541</v>
      </c>
      <c r="AM1606" s="483">
        <v>-27.993769999999998</v>
      </c>
      <c r="AN1606" s="226">
        <v>-24</v>
      </c>
      <c r="AO1606" s="484">
        <v>15.53</v>
      </c>
      <c r="AP1606" s="484">
        <v>7.55</v>
      </c>
      <c r="AQ1606" s="226" t="s">
        <v>5921</v>
      </c>
      <c r="AR1606" s="226" t="s">
        <v>5921</v>
      </c>
      <c r="AS1606" s="224"/>
      <c r="AT1606" s="50" t="s">
        <v>266</v>
      </c>
      <c r="AU1606" s="48">
        <v>6</v>
      </c>
      <c r="AV1606" s="48">
        <v>120</v>
      </c>
      <c r="AW1606" s="48">
        <v>114</v>
      </c>
      <c r="AX1606" s="48">
        <v>28</v>
      </c>
      <c r="AY1606" s="48" t="s">
        <v>8728</v>
      </c>
      <c r="AZ1606" s="48" t="s">
        <v>1563</v>
      </c>
      <c r="BA1606" s="48">
        <v>32</v>
      </c>
      <c r="BB1606" s="47" t="s">
        <v>2485</v>
      </c>
      <c r="BC1606" s="47" t="s">
        <v>8726</v>
      </c>
      <c r="BD1606" s="47" t="s">
        <v>8374</v>
      </c>
      <c r="BE1606" s="48" t="s">
        <v>2449</v>
      </c>
      <c r="BF1606" s="48" t="s">
        <v>272</v>
      </c>
      <c r="BG1606" s="48" t="s">
        <v>272</v>
      </c>
      <c r="BH1606" s="48" t="s">
        <v>2486</v>
      </c>
      <c r="BI1606" s="98">
        <v>6.3999999999999997E-6</v>
      </c>
      <c r="BJ1606" s="98">
        <v>6.4000000000000001E-2</v>
      </c>
      <c r="BK1606" s="48"/>
      <c r="BL1606" s="98"/>
      <c r="BM1606" s="47" t="s">
        <v>2487</v>
      </c>
      <c r="BN1606" s="48"/>
      <c r="BO1606" s="48"/>
      <c r="BP1606" s="48"/>
      <c r="BQ1606" s="48"/>
      <c r="BR1606" s="47" t="s">
        <v>2496</v>
      </c>
      <c r="BS1606" s="48"/>
      <c r="BT1606" s="48"/>
      <c r="BU1606" s="228"/>
      <c r="BV1606" s="48"/>
      <c r="BW1606" s="48"/>
      <c r="BX1606" s="48"/>
      <c r="BY1606" s="48"/>
      <c r="BZ1606" s="48"/>
      <c r="CA1606" s="48"/>
      <c r="CB1606" s="48"/>
      <c r="CC1606" s="48"/>
      <c r="CD1606" s="48"/>
      <c r="CE1606" s="48"/>
      <c r="CF1606" s="48"/>
      <c r="CG1606" s="48"/>
      <c r="CH1606" s="48"/>
      <c r="CI1606" s="98"/>
      <c r="CJ1606" s="98"/>
      <c r="CK1606" s="49">
        <f t="shared" si="415"/>
        <v>0</v>
      </c>
      <c r="CL1606" s="229"/>
      <c r="CM1606" s="229"/>
      <c r="CN1606" s="229"/>
      <c r="CO1606" s="47" t="s">
        <v>2488</v>
      </c>
      <c r="CP1606" s="47" t="s">
        <v>2489</v>
      </c>
      <c r="CQ1606" s="224" t="s">
        <v>272</v>
      </c>
      <c r="CR1606" s="224"/>
      <c r="CS1606" s="230" t="s">
        <v>539</v>
      </c>
      <c r="CT1606" s="230"/>
      <c r="CU1606" s="230"/>
      <c r="CV1606" s="335">
        <f t="shared" si="413"/>
        <v>1.4250169364936078E-2</v>
      </c>
      <c r="CW1606" s="230">
        <f t="shared" si="421"/>
        <v>0</v>
      </c>
      <c r="CX1606" s="336"/>
      <c r="CY1606" s="230" t="s">
        <v>5921</v>
      </c>
    </row>
    <row r="1607" spans="1:103" ht="11.25" customHeight="1" x14ac:dyDescent="0.2">
      <c r="A1607" s="72">
        <v>1605</v>
      </c>
      <c r="B1607" s="224">
        <v>921</v>
      </c>
      <c r="C1607" s="46" t="s">
        <v>7605</v>
      </c>
      <c r="D1607" s="46"/>
      <c r="E1607" s="114"/>
      <c r="F1607" s="114" t="s">
        <v>2632</v>
      </c>
      <c r="G1607" s="225" t="s">
        <v>2632</v>
      </c>
      <c r="H1607" s="47" t="s">
        <v>2633</v>
      </c>
      <c r="I1607" s="47" t="s">
        <v>8201</v>
      </c>
      <c r="J1607" s="47" t="s">
        <v>2634</v>
      </c>
      <c r="K1607" s="47"/>
      <c r="L1607" s="47"/>
      <c r="M1607" s="47"/>
      <c r="N1607" s="47"/>
      <c r="O1607" s="47"/>
      <c r="P1607" s="53"/>
      <c r="Q1607" s="53"/>
      <c r="R1607" s="53"/>
      <c r="S1607" s="53"/>
      <c r="T1607" s="48">
        <v>436.53</v>
      </c>
      <c r="U1607" s="98"/>
      <c r="V1607" s="98">
        <f>0.2027/436.53</f>
        <v>4.6434380225872222E-4</v>
      </c>
      <c r="W1607" s="98">
        <v>3.9810717055349656E-3</v>
      </c>
      <c r="X1607" s="98">
        <f t="shared" si="414"/>
        <v>3.9810717055349656E-3</v>
      </c>
      <c r="Y1607" s="233">
        <v>8.2200000000000006</v>
      </c>
      <c r="Z1607" s="48">
        <v>4.63</v>
      </c>
      <c r="AA1607" s="48"/>
      <c r="AB1607" s="48">
        <v>2.74</v>
      </c>
      <c r="AC1607" s="48">
        <v>0.5645</v>
      </c>
      <c r="AD1607" s="48">
        <v>3.43</v>
      </c>
      <c r="AE1607" s="48">
        <v>4.3099999999999996</v>
      </c>
      <c r="AF1607" s="48">
        <f t="shared" si="411"/>
        <v>3.43</v>
      </c>
      <c r="AG1607" s="49">
        <v>3.45</v>
      </c>
      <c r="AH1607" s="98">
        <v>3.28E-16</v>
      </c>
      <c r="AI1607" s="98"/>
      <c r="AJ1607" s="483">
        <f t="shared" si="419"/>
        <v>-13.872692482600973</v>
      </c>
      <c r="AK1607" s="483"/>
      <c r="AL1607" s="483">
        <f t="shared" si="420"/>
        <v>-13.872692482600973</v>
      </c>
      <c r="AM1607" s="483">
        <v>-21.338039999999999</v>
      </c>
      <c r="AN1607" s="226">
        <v>-26.9</v>
      </c>
      <c r="AO1607" s="484"/>
      <c r="AP1607" s="484">
        <v>8</v>
      </c>
      <c r="AQ1607" s="48" t="s">
        <v>5921</v>
      </c>
      <c r="AR1607" s="48" t="s">
        <v>5921</v>
      </c>
      <c r="AS1607" s="227"/>
      <c r="AT1607" s="50" t="s">
        <v>266</v>
      </c>
      <c r="AU1607" s="48">
        <v>6</v>
      </c>
      <c r="AV1607" s="48">
        <v>120</v>
      </c>
      <c r="AW1607" s="48">
        <v>114</v>
      </c>
      <c r="AX1607" s="48">
        <v>28</v>
      </c>
      <c r="AY1607" s="48" t="s">
        <v>8728</v>
      </c>
      <c r="AZ1607" s="48" t="s">
        <v>1563</v>
      </c>
      <c r="BA1607" s="48">
        <v>32</v>
      </c>
      <c r="BB1607" s="47" t="s">
        <v>2485</v>
      </c>
      <c r="BC1607" s="47" t="s">
        <v>8726</v>
      </c>
      <c r="BD1607" s="47" t="s">
        <v>8374</v>
      </c>
      <c r="BE1607" s="48" t="s">
        <v>2449</v>
      </c>
      <c r="BF1607" s="48" t="s">
        <v>272</v>
      </c>
      <c r="BG1607" s="48" t="s">
        <v>272</v>
      </c>
      <c r="BH1607" s="48" t="s">
        <v>2486</v>
      </c>
      <c r="BI1607" s="98">
        <v>6.3999999999999997E-6</v>
      </c>
      <c r="BJ1607" s="98">
        <v>6.4000000000000001E-2</v>
      </c>
      <c r="BK1607" s="48"/>
      <c r="BL1607" s="98"/>
      <c r="BM1607" s="47" t="s">
        <v>2487</v>
      </c>
      <c r="BN1607" s="48"/>
      <c r="BO1607" s="48"/>
      <c r="BP1607" s="48"/>
      <c r="BQ1607" s="48"/>
      <c r="BR1607" s="47" t="s">
        <v>2496</v>
      </c>
      <c r="BS1607" s="48"/>
      <c r="BT1607" s="48"/>
      <c r="BU1607" s="228">
        <v>5.4080000000000003E-4</v>
      </c>
      <c r="BV1607" s="48"/>
      <c r="BW1607" s="48"/>
      <c r="BX1607" s="48"/>
      <c r="BY1607" s="48"/>
      <c r="BZ1607" s="48"/>
      <c r="CA1607" s="48"/>
      <c r="CB1607" s="48"/>
      <c r="CC1607" s="48"/>
      <c r="CD1607" s="48"/>
      <c r="CE1607" s="48"/>
      <c r="CF1607" s="48"/>
      <c r="CG1607" s="48"/>
      <c r="CH1607" s="48"/>
      <c r="CI1607" s="98"/>
      <c r="CJ1607" s="98"/>
      <c r="CK1607" s="49">
        <f t="shared" si="415"/>
        <v>0</v>
      </c>
      <c r="CL1607" s="229"/>
      <c r="CM1607" s="229"/>
      <c r="CN1607" s="229"/>
      <c r="CO1607" s="47" t="s">
        <v>2488</v>
      </c>
      <c r="CP1607" s="47" t="s">
        <v>2489</v>
      </c>
      <c r="CQ1607" s="224" t="s">
        <v>272</v>
      </c>
      <c r="CR1607" s="224"/>
      <c r="CS1607" s="230" t="s">
        <v>539</v>
      </c>
      <c r="CT1607" s="230"/>
      <c r="CU1607" s="230"/>
      <c r="CV1607" s="335">
        <f t="shared" si="413"/>
        <v>6.2204245398983837E-2</v>
      </c>
      <c r="CW1607" s="230">
        <f t="shared" si="421"/>
        <v>0</v>
      </c>
      <c r="CX1607" s="336"/>
      <c r="CY1607" s="230" t="s">
        <v>5921</v>
      </c>
    </row>
    <row r="1608" spans="1:103" ht="11.25" customHeight="1" x14ac:dyDescent="0.2">
      <c r="A1608" s="72">
        <v>1606</v>
      </c>
      <c r="B1608" s="224">
        <v>1757</v>
      </c>
      <c r="C1608" s="46" t="s">
        <v>7606</v>
      </c>
      <c r="D1608" s="46"/>
      <c r="E1608" s="114"/>
      <c r="F1608" s="114" t="s">
        <v>5063</v>
      </c>
      <c r="G1608" s="225" t="s">
        <v>5063</v>
      </c>
      <c r="H1608" s="47" t="s">
        <v>5064</v>
      </c>
      <c r="I1608" s="47" t="s">
        <v>8202</v>
      </c>
      <c r="J1608" s="47"/>
      <c r="K1608" s="47"/>
      <c r="L1608" s="47"/>
      <c r="M1608" s="47"/>
      <c r="N1608" s="47"/>
      <c r="O1608" s="47"/>
      <c r="P1608" s="53"/>
      <c r="Q1608" s="53"/>
      <c r="R1608" s="53"/>
      <c r="S1608" s="53"/>
      <c r="T1608" s="48">
        <v>1348.58313</v>
      </c>
      <c r="U1608" s="98"/>
      <c r="V1608" s="98"/>
      <c r="W1608" s="98">
        <v>2.4547089156850268E-3</v>
      </c>
      <c r="X1608" s="98">
        <f t="shared" si="414"/>
        <v>2.4547089156850268E-3</v>
      </c>
      <c r="Y1608" s="233">
        <v>8.09</v>
      </c>
      <c r="Z1608" s="48"/>
      <c r="AA1608" s="48"/>
      <c r="AB1608" s="48">
        <v>3.69</v>
      </c>
      <c r="AC1608" s="48">
        <v>0.63290000000000002</v>
      </c>
      <c r="AD1608" s="48">
        <v>4.0199999999999996</v>
      </c>
      <c r="AE1608" s="48">
        <v>4.7</v>
      </c>
      <c r="AF1608" s="48">
        <f t="shared" si="411"/>
        <v>4.0199999999999996</v>
      </c>
      <c r="AG1608" s="49">
        <v>4.0199999999999996</v>
      </c>
      <c r="AH1608" s="98"/>
      <c r="AI1608" s="98"/>
      <c r="AJ1608" s="483"/>
      <c r="AK1608" s="483"/>
      <c r="AL1608" s="483"/>
      <c r="AM1608" s="483">
        <v>-31.60895</v>
      </c>
      <c r="AN1608" s="226"/>
      <c r="AO1608" s="484">
        <v>12.68</v>
      </c>
      <c r="AP1608" s="484">
        <v>9.16</v>
      </c>
      <c r="AQ1608" s="226" t="s">
        <v>5921</v>
      </c>
      <c r="AR1608" s="226" t="s">
        <v>5921</v>
      </c>
      <c r="AS1608" s="224"/>
      <c r="AT1608" s="50" t="s">
        <v>266</v>
      </c>
      <c r="AU1608" s="48">
        <v>6</v>
      </c>
      <c r="AV1608" s="48">
        <v>120</v>
      </c>
      <c r="AW1608" s="48">
        <v>114</v>
      </c>
      <c r="AX1608" s="48">
        <v>28</v>
      </c>
      <c r="AY1608" s="48" t="s">
        <v>8728</v>
      </c>
      <c r="AZ1608" s="48" t="s">
        <v>1563</v>
      </c>
      <c r="BA1608" s="48">
        <v>32</v>
      </c>
      <c r="BB1608" s="47" t="s">
        <v>2485</v>
      </c>
      <c r="BC1608" s="47" t="s">
        <v>8726</v>
      </c>
      <c r="BD1608" s="47" t="s">
        <v>8374</v>
      </c>
      <c r="BE1608" s="48" t="s">
        <v>2449</v>
      </c>
      <c r="BF1608" s="48" t="s">
        <v>272</v>
      </c>
      <c r="BG1608" s="48" t="s">
        <v>272</v>
      </c>
      <c r="BH1608" s="48" t="s">
        <v>2486</v>
      </c>
      <c r="BI1608" s="98">
        <v>6.3999999999999997E-6</v>
      </c>
      <c r="BJ1608" s="98">
        <v>6.4000000000000001E-2</v>
      </c>
      <c r="BK1608" s="48"/>
      <c r="BL1608" s="98"/>
      <c r="BM1608" s="47" t="s">
        <v>2487</v>
      </c>
      <c r="BN1608" s="48"/>
      <c r="BO1608" s="48"/>
      <c r="BP1608" s="48"/>
      <c r="BQ1608" s="48"/>
      <c r="BR1608" s="47" t="s">
        <v>2496</v>
      </c>
      <c r="BS1608" s="48"/>
      <c r="BT1608" s="48"/>
      <c r="BU1608" s="228"/>
      <c r="BV1608" s="48"/>
      <c r="BW1608" s="48"/>
      <c r="BX1608" s="48"/>
      <c r="BY1608" s="48"/>
      <c r="BZ1608" s="48"/>
      <c r="CA1608" s="48"/>
      <c r="CB1608" s="48"/>
      <c r="CC1608" s="48"/>
      <c r="CD1608" s="48"/>
      <c r="CE1608" s="48"/>
      <c r="CF1608" s="48"/>
      <c r="CG1608" s="48"/>
      <c r="CH1608" s="48"/>
      <c r="CI1608" s="98"/>
      <c r="CJ1608" s="98"/>
      <c r="CK1608" s="49">
        <f t="shared" si="415"/>
        <v>0</v>
      </c>
      <c r="CL1608" s="229"/>
      <c r="CM1608" s="229"/>
      <c r="CN1608" s="229"/>
      <c r="CO1608" s="47" t="s">
        <v>2488</v>
      </c>
      <c r="CP1608" s="47" t="s">
        <v>2489</v>
      </c>
      <c r="CQ1608" s="224" t="s">
        <v>272</v>
      </c>
      <c r="CR1608" s="224"/>
      <c r="CS1608" s="230" t="s">
        <v>539</v>
      </c>
      <c r="CT1608" s="230"/>
      <c r="CU1608" s="230"/>
      <c r="CV1608" s="335">
        <f t="shared" si="413"/>
        <v>3.835482680757854E-2</v>
      </c>
      <c r="CW1608" s="230">
        <f t="shared" si="421"/>
        <v>0</v>
      </c>
      <c r="CX1608" s="336"/>
      <c r="CY1608" s="230" t="s">
        <v>5921</v>
      </c>
    </row>
    <row r="1609" spans="1:103" ht="11.25" customHeight="1" x14ac:dyDescent="0.2">
      <c r="A1609" s="72">
        <v>1607</v>
      </c>
      <c r="B1609" s="224">
        <v>998</v>
      </c>
      <c r="C1609" s="46" t="s">
        <v>7607</v>
      </c>
      <c r="D1609" s="46"/>
      <c r="E1609" s="114"/>
      <c r="F1609" s="114" t="s">
        <v>2845</v>
      </c>
      <c r="G1609" s="225" t="s">
        <v>2845</v>
      </c>
      <c r="H1609" s="47" t="s">
        <v>2846</v>
      </c>
      <c r="I1609" s="47" t="s">
        <v>7749</v>
      </c>
      <c r="J1609" s="47" t="s">
        <v>2847</v>
      </c>
      <c r="K1609" s="47" t="s">
        <v>1594</v>
      </c>
      <c r="L1609" s="47"/>
      <c r="M1609" s="47"/>
      <c r="N1609" s="47"/>
      <c r="O1609" s="47"/>
      <c r="P1609" s="53"/>
      <c r="Q1609" s="53"/>
      <c r="R1609" s="53"/>
      <c r="S1609" s="53"/>
      <c r="T1609" s="48">
        <v>353.76</v>
      </c>
      <c r="U1609" s="98"/>
      <c r="V1609" s="98">
        <v>8.8647670737222982E-3</v>
      </c>
      <c r="W1609" s="98">
        <v>1.6595869074375578E-3</v>
      </c>
      <c r="X1609" s="98">
        <f t="shared" si="414"/>
        <v>1.6595869074375578E-3</v>
      </c>
      <c r="Y1609" s="233">
        <v>7.01</v>
      </c>
      <c r="Z1609" s="48">
        <v>2.08</v>
      </c>
      <c r="AA1609" s="48"/>
      <c r="AB1609" s="48">
        <v>2.92</v>
      </c>
      <c r="AC1609" s="48">
        <v>0.67600000000000005</v>
      </c>
      <c r="AD1609" s="48">
        <v>3.26</v>
      </c>
      <c r="AE1609" s="48">
        <v>4.28</v>
      </c>
      <c r="AF1609" s="48">
        <f t="shared" si="411"/>
        <v>3.26</v>
      </c>
      <c r="AG1609" s="49">
        <v>3.26</v>
      </c>
      <c r="AH1609" s="98">
        <v>1.5600000000000001E-14</v>
      </c>
      <c r="AI1609" s="98"/>
      <c r="AJ1609" s="483">
        <f t="shared" ref="AJ1609:AJ1640" si="422">LOG10(AH1609*1000/(0.08206*298.15))</f>
        <v>-12.19544172795819</v>
      </c>
      <c r="AK1609" s="483"/>
      <c r="AL1609" s="483">
        <f t="shared" ref="AL1609:AL1640" si="423">IF(AK1609=0,AJ1609,AK1609)</f>
        <v>-12.19544172795819</v>
      </c>
      <c r="AM1609" s="483">
        <v>-18.96162</v>
      </c>
      <c r="AN1609" s="226"/>
      <c r="AO1609" s="484">
        <v>17.53</v>
      </c>
      <c r="AP1609" s="484">
        <v>4.88</v>
      </c>
      <c r="AQ1609" s="48" t="s">
        <v>5921</v>
      </c>
      <c r="AR1609" s="48" t="s">
        <v>5921</v>
      </c>
      <c r="AS1609" s="227"/>
      <c r="AT1609" s="50" t="s">
        <v>266</v>
      </c>
      <c r="AU1609" s="48">
        <v>6</v>
      </c>
      <c r="AV1609" s="48">
        <v>120</v>
      </c>
      <c r="AW1609" s="48">
        <v>114</v>
      </c>
      <c r="AX1609" s="48">
        <v>28</v>
      </c>
      <c r="AY1609" s="48" t="s">
        <v>8728</v>
      </c>
      <c r="AZ1609" s="48" t="s">
        <v>1563</v>
      </c>
      <c r="BA1609" s="48">
        <v>32</v>
      </c>
      <c r="BB1609" s="47" t="s">
        <v>2485</v>
      </c>
      <c r="BC1609" s="47" t="s">
        <v>8726</v>
      </c>
      <c r="BD1609" s="47" t="s">
        <v>8374</v>
      </c>
      <c r="BE1609" s="48" t="s">
        <v>2449</v>
      </c>
      <c r="BF1609" s="48" t="s">
        <v>272</v>
      </c>
      <c r="BG1609" s="48" t="s">
        <v>272</v>
      </c>
      <c r="BH1609" s="48" t="s">
        <v>2486</v>
      </c>
      <c r="BI1609" s="98">
        <v>6.3999999999999997E-6</v>
      </c>
      <c r="BJ1609" s="98">
        <v>6.4000000000000001E-2</v>
      </c>
      <c r="BK1609" s="48"/>
      <c r="BL1609" s="98">
        <f t="shared" ref="BL1609:BL1638" si="424">10^((-0.8981*Z1609)+1.7108)</f>
        <v>0.69622882529686447</v>
      </c>
      <c r="BM1609" s="47" t="s">
        <v>2487</v>
      </c>
      <c r="BN1609" s="48"/>
      <c r="BO1609" s="48"/>
      <c r="BP1609" s="48"/>
      <c r="BQ1609" s="48"/>
      <c r="BR1609" s="47" t="s">
        <v>2496</v>
      </c>
      <c r="BS1609" s="48"/>
      <c r="BT1609" s="48"/>
      <c r="BU1609" s="228">
        <v>6.4000000000000003E-3</v>
      </c>
      <c r="BV1609" s="48"/>
      <c r="BW1609" s="48"/>
      <c r="BX1609" s="48"/>
      <c r="BY1609" s="48"/>
      <c r="BZ1609" s="48"/>
      <c r="CA1609" s="48"/>
      <c r="CB1609" s="48"/>
      <c r="CC1609" s="48"/>
      <c r="CD1609" s="48"/>
      <c r="CE1609" s="48"/>
      <c r="CF1609" s="48"/>
      <c r="CG1609" s="48"/>
      <c r="CH1609" s="48"/>
      <c r="CI1609" s="98"/>
      <c r="CJ1609" s="98"/>
      <c r="CK1609" s="49">
        <f t="shared" si="415"/>
        <v>10.878575395263507</v>
      </c>
      <c r="CL1609" s="229"/>
      <c r="CM1609" s="229"/>
      <c r="CN1609" s="229"/>
      <c r="CO1609" s="47" t="s">
        <v>2488</v>
      </c>
      <c r="CP1609" s="47" t="s">
        <v>2489</v>
      </c>
      <c r="CQ1609" s="224" t="s">
        <v>272</v>
      </c>
      <c r="CR1609" s="224"/>
      <c r="CS1609" s="230" t="s">
        <v>539</v>
      </c>
      <c r="CT1609" s="230"/>
      <c r="CU1609" s="230"/>
      <c r="CV1609" s="335">
        <f t="shared" si="413"/>
        <v>2.593104542871184E-2</v>
      </c>
      <c r="CW1609" s="230">
        <f t="shared" si="421"/>
        <v>0</v>
      </c>
      <c r="CX1609" s="336"/>
      <c r="CY1609" s="230" t="s">
        <v>5921</v>
      </c>
    </row>
    <row r="1610" spans="1:103" ht="11.25" customHeight="1" x14ac:dyDescent="0.2">
      <c r="A1610" s="72">
        <v>1608</v>
      </c>
      <c r="B1610" s="224">
        <v>88</v>
      </c>
      <c r="C1610" s="46" t="s">
        <v>7608</v>
      </c>
      <c r="D1610" s="46"/>
      <c r="E1610" s="114"/>
      <c r="F1610" s="114" t="s">
        <v>3657</v>
      </c>
      <c r="G1610" s="225" t="s">
        <v>3657</v>
      </c>
      <c r="H1610" s="236" t="s">
        <v>3658</v>
      </c>
      <c r="I1610" s="236" t="s">
        <v>8187</v>
      </c>
      <c r="J1610" s="236" t="s">
        <v>3659</v>
      </c>
      <c r="K1610" s="236" t="s">
        <v>455</v>
      </c>
      <c r="L1610" s="47"/>
      <c r="M1610" s="47"/>
      <c r="N1610" s="47"/>
      <c r="O1610" s="52"/>
      <c r="P1610" s="53"/>
      <c r="Q1610" s="53"/>
      <c r="R1610" s="53"/>
      <c r="S1610" s="53"/>
      <c r="T1610" s="226">
        <v>771.73</v>
      </c>
      <c r="U1610" s="98"/>
      <c r="V1610" s="98">
        <v>2.634289057928613E-3</v>
      </c>
      <c r="W1610" s="98">
        <v>0.61659500186148186</v>
      </c>
      <c r="X1610" s="98">
        <f t="shared" si="414"/>
        <v>0.61659500186148186</v>
      </c>
      <c r="Y1610" s="233">
        <v>10.36</v>
      </c>
      <c r="Z1610" s="48">
        <v>4.18</v>
      </c>
      <c r="AA1610" s="48"/>
      <c r="AB1610" s="48">
        <v>3.33</v>
      </c>
      <c r="AC1610" s="48">
        <v>0.69640000000000002</v>
      </c>
      <c r="AD1610" s="48">
        <v>3.6</v>
      </c>
      <c r="AE1610" s="48">
        <v>4.07</v>
      </c>
      <c r="AF1610" s="48">
        <f t="shared" si="411"/>
        <v>3.6</v>
      </c>
      <c r="AG1610" s="48">
        <v>3.6</v>
      </c>
      <c r="AH1610" s="98">
        <v>4.64E-17</v>
      </c>
      <c r="AI1610" s="98"/>
      <c r="AJ1610" s="483">
        <f t="shared" si="422"/>
        <v>-14.722048345757772</v>
      </c>
      <c r="AK1610" s="483"/>
      <c r="AL1610" s="483">
        <f t="shared" si="423"/>
        <v>-14.722048345757772</v>
      </c>
      <c r="AM1610" s="483">
        <v>-19.477709999999998</v>
      </c>
      <c r="AN1610" s="48"/>
      <c r="AO1610" s="484"/>
      <c r="AP1610" s="484">
        <v>10.050000000000001</v>
      </c>
      <c r="AQ1610" s="48" t="s">
        <v>5921</v>
      </c>
      <c r="AR1610" s="48" t="s">
        <v>5921</v>
      </c>
      <c r="AS1610" s="227"/>
      <c r="AT1610" s="50" t="s">
        <v>266</v>
      </c>
      <c r="AU1610" s="48">
        <v>6</v>
      </c>
      <c r="AV1610" s="48">
        <v>120</v>
      </c>
      <c r="AW1610" s="48">
        <v>114</v>
      </c>
      <c r="AX1610" s="48">
        <v>28</v>
      </c>
      <c r="AY1610" s="48" t="s">
        <v>8728</v>
      </c>
      <c r="AZ1610" s="48" t="s">
        <v>1563</v>
      </c>
      <c r="BA1610" s="48">
        <v>32</v>
      </c>
      <c r="BB1610" s="47" t="s">
        <v>2485</v>
      </c>
      <c r="BC1610" s="47" t="s">
        <v>8726</v>
      </c>
      <c r="BD1610" s="47" t="s">
        <v>8374</v>
      </c>
      <c r="BE1610" s="48" t="s">
        <v>2449</v>
      </c>
      <c r="BF1610" s="48" t="s">
        <v>272</v>
      </c>
      <c r="BG1610" s="48" t="s">
        <v>272</v>
      </c>
      <c r="BH1610" s="48" t="s">
        <v>2486</v>
      </c>
      <c r="BI1610" s="98">
        <v>6.3999999999999997E-6</v>
      </c>
      <c r="BJ1610" s="98">
        <v>6.4000000000000001E-2</v>
      </c>
      <c r="BK1610" s="48"/>
      <c r="BL1610" s="98">
        <f t="shared" si="424"/>
        <v>9.051946948827664E-3</v>
      </c>
      <c r="BM1610" s="47" t="s">
        <v>2487</v>
      </c>
      <c r="BN1610" s="48"/>
      <c r="BO1610" s="48"/>
      <c r="BP1610" s="48"/>
      <c r="BQ1610" s="48"/>
      <c r="BR1610" s="47" t="s">
        <v>2496</v>
      </c>
      <c r="BS1610" s="48"/>
      <c r="BT1610" s="48"/>
      <c r="BU1610" s="228"/>
      <c r="BV1610" s="48"/>
      <c r="BW1610" s="48"/>
      <c r="BX1610" s="48"/>
      <c r="BY1610" s="48"/>
      <c r="BZ1610" s="48"/>
      <c r="CA1610" s="48"/>
      <c r="CB1610" s="48"/>
      <c r="CC1610" s="48"/>
      <c r="CD1610" s="48"/>
      <c r="CE1610" s="48"/>
      <c r="CF1610" s="48"/>
      <c r="CG1610" s="48"/>
      <c r="CH1610" s="48"/>
      <c r="CI1610" s="98"/>
      <c r="CJ1610" s="98"/>
      <c r="CK1610" s="49">
        <f t="shared" si="415"/>
        <v>0.14143667107543226</v>
      </c>
      <c r="CL1610" s="229"/>
      <c r="CM1610" s="229"/>
      <c r="CN1610" s="229"/>
      <c r="CO1610" s="47" t="s">
        <v>2488</v>
      </c>
      <c r="CP1610" s="47" t="s">
        <v>2489</v>
      </c>
      <c r="CQ1610" s="224" t="s">
        <v>272</v>
      </c>
      <c r="CR1610" s="224"/>
      <c r="CS1610" s="230" t="s">
        <v>539</v>
      </c>
      <c r="CT1610" s="230"/>
      <c r="CU1610" s="230"/>
      <c r="CV1610" s="335">
        <f t="shared" si="413"/>
        <v>9.6342969040856534</v>
      </c>
      <c r="CW1610" s="230">
        <f t="shared" si="421"/>
        <v>1</v>
      </c>
      <c r="CX1610" s="336"/>
      <c r="CY1610" s="230" t="s">
        <v>5921</v>
      </c>
    </row>
    <row r="1611" spans="1:103" ht="11.25" customHeight="1" x14ac:dyDescent="0.2">
      <c r="A1611" s="72">
        <v>1609</v>
      </c>
      <c r="B1611" s="224">
        <v>1859</v>
      </c>
      <c r="C1611" s="46" t="s">
        <v>7609</v>
      </c>
      <c r="D1611" s="46"/>
      <c r="E1611" s="114"/>
      <c r="F1611" s="114" t="s">
        <v>5283</v>
      </c>
      <c r="G1611" s="225" t="s">
        <v>5283</v>
      </c>
      <c r="H1611" s="47" t="s">
        <v>5284</v>
      </c>
      <c r="I1611" s="47" t="s">
        <v>8203</v>
      </c>
      <c r="J1611" s="47" t="s">
        <v>5285</v>
      </c>
      <c r="K1611" s="47" t="s">
        <v>471</v>
      </c>
      <c r="L1611" s="47"/>
      <c r="M1611" s="47"/>
      <c r="N1611" s="47"/>
      <c r="O1611" s="47"/>
      <c r="P1611" s="53"/>
      <c r="Q1611" s="53"/>
      <c r="R1611" s="53"/>
      <c r="S1611" s="53"/>
      <c r="T1611" s="48">
        <v>339.77</v>
      </c>
      <c r="U1611" s="98"/>
      <c r="V1611" s="98">
        <v>0.18124025075786562</v>
      </c>
      <c r="W1611" s="98">
        <v>0.57543993733715637</v>
      </c>
      <c r="X1611" s="98">
        <f t="shared" si="414"/>
        <v>0.57543993733715637</v>
      </c>
      <c r="Y1611" s="233">
        <v>3.28</v>
      </c>
      <c r="Z1611" s="48">
        <v>2.2599999999999998</v>
      </c>
      <c r="AA1611" s="48"/>
      <c r="AB1611" s="48">
        <v>3.14</v>
      </c>
      <c r="AC1611" s="48">
        <v>0.66610000000000003</v>
      </c>
      <c r="AD1611" s="48">
        <v>3.13</v>
      </c>
      <c r="AE1611" s="48">
        <v>3.1</v>
      </c>
      <c r="AF1611" s="48">
        <f t="shared" si="411"/>
        <v>3.13</v>
      </c>
      <c r="AG1611" s="49">
        <v>3.65</v>
      </c>
      <c r="AH1611" s="98">
        <v>1.42E-10</v>
      </c>
      <c r="AI1611" s="98"/>
      <c r="AJ1611" s="483">
        <f t="shared" si="422"/>
        <v>-8.2362779819295948</v>
      </c>
      <c r="AK1611" s="483"/>
      <c r="AL1611" s="483">
        <f t="shared" si="423"/>
        <v>-8.2362779819295948</v>
      </c>
      <c r="AM1611" s="483">
        <v>-17.853460000000002</v>
      </c>
      <c r="AN1611" s="226">
        <v>-15.6</v>
      </c>
      <c r="AO1611" s="484">
        <v>2.2400000000000002</v>
      </c>
      <c r="AP1611" s="484">
        <v>-3.34</v>
      </c>
      <c r="AQ1611" s="226" t="s">
        <v>5921</v>
      </c>
      <c r="AR1611" s="226" t="s">
        <v>5921</v>
      </c>
      <c r="AS1611" s="224"/>
      <c r="AT1611" s="50" t="s">
        <v>266</v>
      </c>
      <c r="AU1611" s="48">
        <v>6</v>
      </c>
      <c r="AV1611" s="48">
        <v>120</v>
      </c>
      <c r="AW1611" s="48">
        <v>114</v>
      </c>
      <c r="AX1611" s="48">
        <v>28</v>
      </c>
      <c r="AY1611" s="48" t="s">
        <v>8728</v>
      </c>
      <c r="AZ1611" s="48" t="s">
        <v>1563</v>
      </c>
      <c r="BA1611" s="48">
        <v>32</v>
      </c>
      <c r="BB1611" s="47" t="s">
        <v>2485</v>
      </c>
      <c r="BC1611" s="47" t="s">
        <v>8726</v>
      </c>
      <c r="BD1611" s="47" t="s">
        <v>8374</v>
      </c>
      <c r="BE1611" s="48" t="s">
        <v>2449</v>
      </c>
      <c r="BF1611" s="48" t="s">
        <v>272</v>
      </c>
      <c r="BG1611" s="48" t="s">
        <v>272</v>
      </c>
      <c r="BH1611" s="48" t="s">
        <v>2486</v>
      </c>
      <c r="BI1611" s="98">
        <v>6.3999999999999997E-6</v>
      </c>
      <c r="BJ1611" s="98">
        <v>6.4000000000000001E-2</v>
      </c>
      <c r="BK1611" s="48"/>
      <c r="BL1611" s="98">
        <f t="shared" si="424"/>
        <v>0.47983729482089305</v>
      </c>
      <c r="BM1611" s="47" t="s">
        <v>2487</v>
      </c>
      <c r="BN1611" s="48"/>
      <c r="BO1611" s="48"/>
      <c r="BP1611" s="48"/>
      <c r="BQ1611" s="48"/>
      <c r="BR1611" s="47" t="s">
        <v>2496</v>
      </c>
      <c r="BS1611" s="48"/>
      <c r="BT1611" s="48"/>
      <c r="BU1611" s="228"/>
      <c r="BV1611" s="48"/>
      <c r="BW1611" s="48"/>
      <c r="BX1611" s="48"/>
      <c r="BY1611" s="48"/>
      <c r="BZ1611" s="48"/>
      <c r="CA1611" s="48"/>
      <c r="CB1611" s="48"/>
      <c r="CC1611" s="48"/>
      <c r="CD1611" s="48"/>
      <c r="CE1611" s="48"/>
      <c r="CF1611" s="48"/>
      <c r="CG1611" s="48"/>
      <c r="CH1611" s="48"/>
      <c r="CI1611" s="98"/>
      <c r="CJ1611" s="98"/>
      <c r="CK1611" s="49">
        <f t="shared" si="415"/>
        <v>7.4974577315764535</v>
      </c>
      <c r="CL1611" s="229"/>
      <c r="CM1611" s="229"/>
      <c r="CN1611" s="229"/>
      <c r="CO1611" s="47" t="s">
        <v>2488</v>
      </c>
      <c r="CP1611" s="47" t="s">
        <v>2489</v>
      </c>
      <c r="CQ1611" s="224" t="s">
        <v>272</v>
      </c>
      <c r="CR1611" s="224"/>
      <c r="CS1611" s="230" t="s">
        <v>539</v>
      </c>
      <c r="CT1611" s="230"/>
      <c r="CU1611" s="230"/>
      <c r="CV1611" s="335">
        <f t="shared" si="413"/>
        <v>8.9912490208930684</v>
      </c>
      <c r="CW1611" s="230">
        <f t="shared" si="421"/>
        <v>1</v>
      </c>
      <c r="CX1611" s="336"/>
      <c r="CY1611" s="230" t="s">
        <v>5921</v>
      </c>
    </row>
    <row r="1612" spans="1:103" ht="11.25" customHeight="1" x14ac:dyDescent="0.2">
      <c r="A1612" s="72">
        <v>1610</v>
      </c>
      <c r="B1612" s="224">
        <v>945</v>
      </c>
      <c r="C1612" s="46" t="s">
        <v>7610</v>
      </c>
      <c r="D1612" s="46"/>
      <c r="E1612" s="114"/>
      <c r="F1612" s="114" t="s">
        <v>2696</v>
      </c>
      <c r="G1612" s="225" t="s">
        <v>2696</v>
      </c>
      <c r="H1612" s="47" t="s">
        <v>2697</v>
      </c>
      <c r="I1612" s="47" t="s">
        <v>7816</v>
      </c>
      <c r="J1612" s="47" t="s">
        <v>2698</v>
      </c>
      <c r="K1612" s="47" t="s">
        <v>2699</v>
      </c>
      <c r="L1612" s="47"/>
      <c r="M1612" s="47"/>
      <c r="N1612" s="47"/>
      <c r="O1612" s="47"/>
      <c r="P1612" s="53"/>
      <c r="Q1612" s="53"/>
      <c r="R1612" s="53"/>
      <c r="S1612" s="53"/>
      <c r="T1612" s="48">
        <v>390.25</v>
      </c>
      <c r="U1612" s="98"/>
      <c r="V1612" s="98">
        <v>6.7059577194106346E-3</v>
      </c>
      <c r="W1612" s="98">
        <v>0.93325430079699057</v>
      </c>
      <c r="X1612" s="98">
        <f t="shared" si="414"/>
        <v>0.93325430079699057</v>
      </c>
      <c r="Y1612" s="233">
        <v>3.04</v>
      </c>
      <c r="Z1612" s="48">
        <v>3.66</v>
      </c>
      <c r="AA1612" s="48"/>
      <c r="AB1612" s="48">
        <v>3.25</v>
      </c>
      <c r="AC1612" s="48">
        <v>0.67610000000000003</v>
      </c>
      <c r="AD1612" s="48">
        <v>3.34</v>
      </c>
      <c r="AE1612" s="48">
        <v>3.52</v>
      </c>
      <c r="AF1612" s="48">
        <f t="shared" si="411"/>
        <v>3.34</v>
      </c>
      <c r="AG1612" s="49">
        <v>3.42</v>
      </c>
      <c r="AH1612" s="98">
        <v>4.3E-11</v>
      </c>
      <c r="AI1612" s="98"/>
      <c r="AJ1612" s="483">
        <f t="shared" si="422"/>
        <v>-8.7550978707330653</v>
      </c>
      <c r="AK1612" s="483"/>
      <c r="AL1612" s="483">
        <f t="shared" si="423"/>
        <v>-8.7550978707330653</v>
      </c>
      <c r="AM1612" s="483">
        <v>-17.765239999999999</v>
      </c>
      <c r="AN1612" s="226">
        <v>-9.34</v>
      </c>
      <c r="AO1612" s="484">
        <v>1.33</v>
      </c>
      <c r="AP1612" s="484">
        <v>-3.76</v>
      </c>
      <c r="AQ1612" s="48" t="s">
        <v>5921</v>
      </c>
      <c r="AR1612" s="48" t="s">
        <v>5921</v>
      </c>
      <c r="AS1612" s="227"/>
      <c r="AT1612" s="50" t="s">
        <v>266</v>
      </c>
      <c r="AU1612" s="48">
        <v>6</v>
      </c>
      <c r="AV1612" s="48">
        <v>120</v>
      </c>
      <c r="AW1612" s="48">
        <v>114</v>
      </c>
      <c r="AX1612" s="48">
        <v>28</v>
      </c>
      <c r="AY1612" s="48" t="s">
        <v>8728</v>
      </c>
      <c r="AZ1612" s="48" t="s">
        <v>1563</v>
      </c>
      <c r="BA1612" s="48">
        <v>32</v>
      </c>
      <c r="BB1612" s="47" t="s">
        <v>2485</v>
      </c>
      <c r="BC1612" s="47" t="s">
        <v>8726</v>
      </c>
      <c r="BD1612" s="47" t="s">
        <v>8374</v>
      </c>
      <c r="BE1612" s="48" t="s">
        <v>2449</v>
      </c>
      <c r="BF1612" s="48" t="s">
        <v>272</v>
      </c>
      <c r="BG1612" s="48" t="s">
        <v>272</v>
      </c>
      <c r="BH1612" s="48" t="s">
        <v>2486</v>
      </c>
      <c r="BI1612" s="98">
        <v>6.3999999999999997E-6</v>
      </c>
      <c r="BJ1612" s="98">
        <v>6.4000000000000001E-2</v>
      </c>
      <c r="BK1612" s="48"/>
      <c r="BL1612" s="98">
        <f t="shared" si="424"/>
        <v>2.6531023237818786E-2</v>
      </c>
      <c r="BM1612" s="47" t="s">
        <v>2487</v>
      </c>
      <c r="BN1612" s="48"/>
      <c r="BO1612" s="48"/>
      <c r="BP1612" s="48"/>
      <c r="BQ1612" s="48"/>
      <c r="BR1612" s="47" t="s">
        <v>2496</v>
      </c>
      <c r="BS1612" s="48"/>
      <c r="BT1612" s="48"/>
      <c r="BU1612" s="228">
        <v>6.3999999999999997E-5</v>
      </c>
      <c r="BV1612" s="48"/>
      <c r="BW1612" s="48"/>
      <c r="BX1612" s="48"/>
      <c r="BY1612" s="48"/>
      <c r="BZ1612" s="48"/>
      <c r="CA1612" s="48"/>
      <c r="CB1612" s="48"/>
      <c r="CC1612" s="48"/>
      <c r="CD1612" s="48"/>
      <c r="CE1612" s="48"/>
      <c r="CF1612" s="48"/>
      <c r="CG1612" s="48"/>
      <c r="CH1612" s="48"/>
      <c r="CI1612" s="98"/>
      <c r="CJ1612" s="98"/>
      <c r="CK1612" s="49">
        <f t="shared" si="415"/>
        <v>0.41454723809091854</v>
      </c>
      <c r="CL1612" s="229"/>
      <c r="CM1612" s="229"/>
      <c r="CN1612" s="229"/>
      <c r="CO1612" s="47" t="s">
        <v>2488</v>
      </c>
      <c r="CP1612" s="47" t="s">
        <v>2489</v>
      </c>
      <c r="CQ1612" s="224" t="s">
        <v>272</v>
      </c>
      <c r="CR1612" s="224"/>
      <c r="CS1612" s="230" t="s">
        <v>539</v>
      </c>
      <c r="CT1612" s="230"/>
      <c r="CU1612" s="230"/>
      <c r="CV1612" s="335">
        <f t="shared" si="413"/>
        <v>14.582098449952976</v>
      </c>
      <c r="CW1612" s="230">
        <f t="shared" si="421"/>
        <v>1</v>
      </c>
      <c r="CX1612" s="336"/>
      <c r="CY1612" s="230" t="s">
        <v>5921</v>
      </c>
    </row>
    <row r="1613" spans="1:103" ht="11.25" customHeight="1" x14ac:dyDescent="0.2">
      <c r="A1613" s="72">
        <v>1611</v>
      </c>
      <c r="B1613" s="241">
        <v>94</v>
      </c>
      <c r="C1613" s="32" t="s">
        <v>7611</v>
      </c>
      <c r="D1613" s="32"/>
      <c r="E1613" s="40"/>
      <c r="F1613" s="40" t="s">
        <v>634</v>
      </c>
      <c r="G1613" s="242">
        <v>50180</v>
      </c>
      <c r="H1613" s="36" t="s">
        <v>635</v>
      </c>
      <c r="I1613" s="36" t="s">
        <v>8204</v>
      </c>
      <c r="J1613" s="36" t="s">
        <v>636</v>
      </c>
      <c r="K1613" s="36" t="s">
        <v>637</v>
      </c>
      <c r="L1613" s="36"/>
      <c r="M1613" s="36"/>
      <c r="N1613" s="36"/>
      <c r="O1613" s="36"/>
      <c r="P1613" s="41"/>
      <c r="Q1613" s="41"/>
      <c r="R1613" s="41"/>
      <c r="S1613" s="41"/>
      <c r="T1613" s="37">
        <v>261.08999999999997</v>
      </c>
      <c r="U1613" s="243">
        <v>153.20387605806428</v>
      </c>
      <c r="V1613" s="243">
        <v>22.762265885326901</v>
      </c>
      <c r="W1613" s="243">
        <v>154.88166189124809</v>
      </c>
      <c r="X1613" s="243">
        <v>153.20387605806428</v>
      </c>
      <c r="Y1613" s="414">
        <v>8.02</v>
      </c>
      <c r="Z1613" s="37">
        <v>0.97</v>
      </c>
      <c r="AA1613" s="37">
        <v>0.63</v>
      </c>
      <c r="AB1613" s="37">
        <v>0.71</v>
      </c>
      <c r="AC1613" s="37">
        <v>0.69450000000000001</v>
      </c>
      <c r="AD1613" s="37">
        <v>0.53</v>
      </c>
      <c r="AE1613" s="37">
        <v>0.23</v>
      </c>
      <c r="AF1613" s="37">
        <f t="shared" si="411"/>
        <v>0.63</v>
      </c>
      <c r="AG1613" s="38">
        <v>0.61</v>
      </c>
      <c r="AH1613" s="243">
        <v>1.36E-11</v>
      </c>
      <c r="AI1613" s="243"/>
      <c r="AJ1613" s="34">
        <f t="shared" si="422"/>
        <v>-9.2550274179424346</v>
      </c>
      <c r="AK1613" s="34"/>
      <c r="AL1613" s="34">
        <f t="shared" si="423"/>
        <v>-9.2550274179424346</v>
      </c>
      <c r="AM1613" s="34">
        <v>-13.003439999999999</v>
      </c>
      <c r="AN1613" s="244">
        <v>-8.18</v>
      </c>
      <c r="AO1613" s="417"/>
      <c r="AP1613" s="417">
        <v>2.84</v>
      </c>
      <c r="AQ1613" s="244" t="s">
        <v>6311</v>
      </c>
      <c r="AR1613" s="244" t="s">
        <v>6311</v>
      </c>
      <c r="AS1613" s="241" t="s">
        <v>90</v>
      </c>
      <c r="AT1613" s="39" t="s">
        <v>266</v>
      </c>
      <c r="AU1613" s="37">
        <v>0</v>
      </c>
      <c r="AV1613" s="37">
        <v>48</v>
      </c>
      <c r="AW1613" s="37">
        <v>48</v>
      </c>
      <c r="AX1613" s="37">
        <v>26</v>
      </c>
      <c r="AY1613" s="37" t="s">
        <v>8722</v>
      </c>
      <c r="AZ1613" s="37" t="s">
        <v>536</v>
      </c>
      <c r="BA1613" s="37">
        <v>20</v>
      </c>
      <c r="BB1613" s="36" t="s">
        <v>537</v>
      </c>
      <c r="BC1613" s="36" t="s">
        <v>538</v>
      </c>
      <c r="BD1613" s="36"/>
      <c r="BE1613" s="245" t="s">
        <v>271</v>
      </c>
      <c r="BF1613" s="245" t="s">
        <v>539</v>
      </c>
      <c r="BG1613" s="245" t="s">
        <v>540</v>
      </c>
      <c r="BH1613" s="245" t="s">
        <v>272</v>
      </c>
      <c r="BI1613" s="243">
        <v>3.5830000000000002</v>
      </c>
      <c r="BJ1613" s="243">
        <v>57.326999999999998</v>
      </c>
      <c r="BK1613" s="37"/>
      <c r="BL1613" s="243">
        <f t="shared" si="424"/>
        <v>6.912625037115304</v>
      </c>
      <c r="BM1613" s="37" t="s">
        <v>541</v>
      </c>
      <c r="BN1613" s="37"/>
      <c r="BO1613" s="37">
        <v>11.2921</v>
      </c>
      <c r="BP1613" s="37"/>
      <c r="BQ1613" s="37"/>
      <c r="BR1613" s="37"/>
      <c r="BS1613" s="37"/>
      <c r="BT1613" s="37"/>
      <c r="BU1613" s="246"/>
      <c r="BV1613" s="37"/>
      <c r="BW1613" s="37"/>
      <c r="BX1613" s="37"/>
      <c r="BY1613" s="37"/>
      <c r="BZ1613" s="37"/>
      <c r="CA1613" s="37"/>
      <c r="CB1613" s="37"/>
      <c r="CC1613" s="37"/>
      <c r="CD1613" s="37"/>
      <c r="CE1613" s="37"/>
      <c r="CF1613" s="37"/>
      <c r="CG1613" s="37"/>
      <c r="CH1613" s="37"/>
      <c r="CI1613" s="243">
        <f>MIN(BN1613:CH1613)</f>
        <v>11.2921</v>
      </c>
      <c r="CJ1613" s="243">
        <f>LOG10(CI1613)</f>
        <v>1.0527747154947089</v>
      </c>
      <c r="CK1613" s="38">
        <f t="shared" si="415"/>
        <v>0.12058236148961753</v>
      </c>
      <c r="CL1613" s="247">
        <f>BL1613/CI1613</f>
        <v>0.61216470250133315</v>
      </c>
      <c r="CM1613" s="247"/>
      <c r="CN1613" s="247"/>
      <c r="CO1613" s="36"/>
      <c r="CP1613" s="36" t="s">
        <v>542</v>
      </c>
      <c r="CQ1613" s="241" t="s">
        <v>272</v>
      </c>
      <c r="CR1613" s="241"/>
      <c r="CS1613" s="33"/>
      <c r="CT1613" s="33"/>
      <c r="CU1613" s="250">
        <f>X1613/CI1613</f>
        <v>13.567350276570725</v>
      </c>
      <c r="CV1613" s="337">
        <f t="shared" si="413"/>
        <v>2.6724558420650704</v>
      </c>
      <c r="CW1613" s="330">
        <f>IF(CU1613&lt;2,0,1)</f>
        <v>1</v>
      </c>
      <c r="CX1613" s="330"/>
      <c r="CY1613" s="143" t="s">
        <v>5921</v>
      </c>
    </row>
    <row r="1614" spans="1:103" ht="11.25" customHeight="1" x14ac:dyDescent="0.2">
      <c r="A1614" s="72">
        <v>1612</v>
      </c>
      <c r="B1614" s="241">
        <v>713</v>
      </c>
      <c r="C1614" s="32" t="s">
        <v>7612</v>
      </c>
      <c r="D1614" s="32"/>
      <c r="E1614" s="40"/>
      <c r="F1614" s="40" t="s">
        <v>2022</v>
      </c>
      <c r="G1614" s="242">
        <v>50328</v>
      </c>
      <c r="H1614" s="36" t="s">
        <v>2023</v>
      </c>
      <c r="I1614" s="36" t="s">
        <v>2023</v>
      </c>
      <c r="J1614" s="36" t="s">
        <v>2024</v>
      </c>
      <c r="K1614" s="36" t="s">
        <v>426</v>
      </c>
      <c r="L1614" s="36"/>
      <c r="M1614" s="36"/>
      <c r="N1614" s="36"/>
      <c r="O1614" s="36"/>
      <c r="P1614" s="41"/>
      <c r="Q1614" s="41"/>
      <c r="R1614" s="41"/>
      <c r="S1614" s="41"/>
      <c r="T1614" s="37">
        <v>252.31</v>
      </c>
      <c r="U1614" s="243">
        <v>6.4206729816495577E-6</v>
      </c>
      <c r="V1614" s="243">
        <v>4.1139867623161982E-5</v>
      </c>
      <c r="W1614" s="243">
        <v>7.413102413009145E-6</v>
      </c>
      <c r="X1614" s="243">
        <v>6.4206729816495577E-6</v>
      </c>
      <c r="Y1614" s="414">
        <v>7</v>
      </c>
      <c r="Z1614" s="37">
        <v>6.11</v>
      </c>
      <c r="AA1614" s="37">
        <v>6.13</v>
      </c>
      <c r="AB1614" s="37">
        <v>6.3</v>
      </c>
      <c r="AC1614" s="37">
        <v>0.88980000000000004</v>
      </c>
      <c r="AD1614" s="37">
        <v>6.32</v>
      </c>
      <c r="AE1614" s="37">
        <v>6.4</v>
      </c>
      <c r="AF1614" s="37">
        <f t="shared" si="411"/>
        <v>6.13</v>
      </c>
      <c r="AG1614" s="38">
        <v>5.81</v>
      </c>
      <c r="AH1614" s="243">
        <v>8.0999999999999997E-7</v>
      </c>
      <c r="AI1614" s="243">
        <v>4.5699999999999998E-7</v>
      </c>
      <c r="AJ1614" s="34">
        <f t="shared" si="422"/>
        <v>-4.480081307434002</v>
      </c>
      <c r="AK1614" s="34">
        <f>LOG10(AI1614*1000/(0.08206*298.15))</f>
        <v>-4.7286501262428011</v>
      </c>
      <c r="AL1614" s="34">
        <f t="shared" si="423"/>
        <v>-4.7286501262428011</v>
      </c>
      <c r="AM1614" s="34">
        <v>-10.442740000000001</v>
      </c>
      <c r="AN1614" s="244">
        <v>-4.62</v>
      </c>
      <c r="AO1614" s="417"/>
      <c r="AP1614" s="417"/>
      <c r="AQ1614" s="244" t="s">
        <v>6311</v>
      </c>
      <c r="AR1614" s="244" t="s">
        <v>6311</v>
      </c>
      <c r="AS1614" s="241" t="s">
        <v>6</v>
      </c>
      <c r="AT1614" s="39" t="s">
        <v>266</v>
      </c>
      <c r="AU1614" s="37">
        <v>2</v>
      </c>
      <c r="AV1614" s="37">
        <v>72</v>
      </c>
      <c r="AW1614" s="37">
        <v>72</v>
      </c>
      <c r="AX1614" s="37">
        <v>26</v>
      </c>
      <c r="AY1614" s="37" t="s">
        <v>647</v>
      </c>
      <c r="AZ1614" s="37" t="s">
        <v>536</v>
      </c>
      <c r="BA1614" s="37" t="s">
        <v>8723</v>
      </c>
      <c r="BB1614" s="36" t="s">
        <v>1644</v>
      </c>
      <c r="BC1614" s="36" t="s">
        <v>2019</v>
      </c>
      <c r="BD1614" s="36" t="s">
        <v>8374</v>
      </c>
      <c r="BE1614" s="37" t="s">
        <v>649</v>
      </c>
      <c r="BF1614" s="37" t="s">
        <v>272</v>
      </c>
      <c r="BG1614" s="37" t="s">
        <v>272</v>
      </c>
      <c r="BH1614" s="37" t="s">
        <v>2020</v>
      </c>
      <c r="BI1614" s="243">
        <v>2.5000000000000001E-4</v>
      </c>
      <c r="BJ1614" s="243">
        <v>0.01</v>
      </c>
      <c r="BK1614" s="37"/>
      <c r="BL1614" s="243">
        <f t="shared" si="424"/>
        <v>1.6726651173842785E-4</v>
      </c>
      <c r="BM1614" s="37" t="s">
        <v>541</v>
      </c>
      <c r="BN1614" s="37"/>
      <c r="BO1614" s="37"/>
      <c r="BP1614" s="37">
        <v>5.1000000000000004E-3</v>
      </c>
      <c r="BQ1614" s="37"/>
      <c r="BR1614" s="37"/>
      <c r="BS1614" s="37"/>
      <c r="BT1614" s="37"/>
      <c r="BU1614" s="246"/>
      <c r="BV1614" s="37"/>
      <c r="BW1614" s="37"/>
      <c r="BX1614" s="37"/>
      <c r="BY1614" s="37"/>
      <c r="BZ1614" s="37"/>
      <c r="CA1614" s="37"/>
      <c r="CB1614" s="37"/>
      <c r="CC1614" s="37"/>
      <c r="CD1614" s="37"/>
      <c r="CE1614" s="37"/>
      <c r="CF1614" s="37"/>
      <c r="CG1614" s="37"/>
      <c r="CH1614" s="37"/>
      <c r="CI1614" s="243">
        <f>MIN(BN1614:CH1614)</f>
        <v>5.1000000000000004E-3</v>
      </c>
      <c r="CJ1614" s="243">
        <f>LOG10(CI1614)</f>
        <v>-2.2924298239020637</v>
      </c>
      <c r="CK1614" s="38">
        <f t="shared" ref="CK1614:CK1631" si="425">BL1614/BJ1614</f>
        <v>1.6726651173842783E-2</v>
      </c>
      <c r="CL1614" s="247">
        <f>BL1614/CI1614</f>
        <v>3.2797355242828986E-2</v>
      </c>
      <c r="CM1614" s="247"/>
      <c r="CN1614" s="247"/>
      <c r="CO1614" s="36"/>
      <c r="CP1614" s="36" t="s">
        <v>2021</v>
      </c>
      <c r="CQ1614" s="241" t="s">
        <v>272</v>
      </c>
      <c r="CR1614" s="241"/>
      <c r="CS1614" s="33"/>
      <c r="CT1614" s="33"/>
      <c r="CU1614" s="250">
        <f>X1614/CI1614</f>
        <v>1.2589554865979524E-3</v>
      </c>
      <c r="CV1614" s="337">
        <f t="shared" si="413"/>
        <v>6.420672981649558E-4</v>
      </c>
      <c r="CW1614" s="330">
        <f>IF(CU1614&lt;2,0,1)</f>
        <v>0</v>
      </c>
      <c r="CX1614" s="330"/>
      <c r="CY1614" s="143" t="s">
        <v>5921</v>
      </c>
    </row>
    <row r="1615" spans="1:103" ht="11.25" customHeight="1" x14ac:dyDescent="0.2">
      <c r="A1615" s="72">
        <v>1613</v>
      </c>
      <c r="B1615" s="241">
        <v>1321</v>
      </c>
      <c r="C1615" s="32" t="s">
        <v>6939</v>
      </c>
      <c r="D1615" s="32"/>
      <c r="E1615" s="40"/>
      <c r="F1615" s="40" t="s">
        <v>3560</v>
      </c>
      <c r="G1615" s="242">
        <v>50351</v>
      </c>
      <c r="H1615" s="36" t="s">
        <v>3561</v>
      </c>
      <c r="I1615" s="36" t="s">
        <v>3561</v>
      </c>
      <c r="J1615" s="36" t="s">
        <v>3562</v>
      </c>
      <c r="K1615" s="36" t="s">
        <v>1314</v>
      </c>
      <c r="L1615" s="42" t="s">
        <v>279</v>
      </c>
      <c r="M1615" s="36" t="s">
        <v>3563</v>
      </c>
      <c r="N1615" s="36"/>
      <c r="O1615" s="36" t="s">
        <v>281</v>
      </c>
      <c r="P1615" s="41"/>
      <c r="Q1615" s="41"/>
      <c r="R1615" s="41"/>
      <c r="S1615" s="41"/>
      <c r="T1615" s="37">
        <v>258.23</v>
      </c>
      <c r="U1615" s="243">
        <v>2.1105216280060408</v>
      </c>
      <c r="V1615" s="243">
        <v>2.1097471246563138</v>
      </c>
      <c r="W1615" s="243">
        <v>6.9183097091893604</v>
      </c>
      <c r="X1615" s="243">
        <v>2.1105216280060408</v>
      </c>
      <c r="Y1615" s="414">
        <v>6.41</v>
      </c>
      <c r="Z1615" s="37">
        <v>-0.24</v>
      </c>
      <c r="AA1615" s="37">
        <v>0.33</v>
      </c>
      <c r="AB1615" s="37">
        <v>0.45</v>
      </c>
      <c r="AC1615" s="37">
        <v>0.73229999999999995</v>
      </c>
      <c r="AD1615" s="37">
        <v>0.48</v>
      </c>
      <c r="AE1615" s="37">
        <v>0.54</v>
      </c>
      <c r="AF1615" s="37">
        <f t="shared" si="411"/>
        <v>0.33</v>
      </c>
      <c r="AG1615" s="38">
        <v>-0.12</v>
      </c>
      <c r="AH1615" s="243">
        <v>1.29E-16</v>
      </c>
      <c r="AI1615" s="243"/>
      <c r="AJ1615" s="34">
        <f t="shared" si="422"/>
        <v>-14.277976616013403</v>
      </c>
      <c r="AK1615" s="34"/>
      <c r="AL1615" s="34">
        <f t="shared" si="423"/>
        <v>-14.277976616013403</v>
      </c>
      <c r="AM1615" s="34">
        <v>-19.407769999999999</v>
      </c>
      <c r="AN1615" s="244">
        <v>-10.1</v>
      </c>
      <c r="AO1615" s="417">
        <v>10.7</v>
      </c>
      <c r="AP1615" s="417">
        <v>-2.5499999999999998</v>
      </c>
      <c r="AQ1615" s="37" t="s">
        <v>6311</v>
      </c>
      <c r="AR1615" s="37" t="s">
        <v>6311</v>
      </c>
      <c r="AS1615" s="245" t="s">
        <v>6</v>
      </c>
      <c r="AT1615" s="39" t="s">
        <v>266</v>
      </c>
      <c r="AU1615" s="37">
        <v>0</v>
      </c>
      <c r="AV1615" s="37">
        <v>48</v>
      </c>
      <c r="AW1615" s="37">
        <v>48</v>
      </c>
      <c r="AX1615" s="37">
        <v>26</v>
      </c>
      <c r="AY1615" s="37" t="s">
        <v>647</v>
      </c>
      <c r="AZ1615" s="37" t="s">
        <v>536</v>
      </c>
      <c r="BA1615" s="37">
        <v>20</v>
      </c>
      <c r="BB1615" s="36" t="s">
        <v>537</v>
      </c>
      <c r="BC1615" s="36" t="s">
        <v>648</v>
      </c>
      <c r="BD1615" s="36"/>
      <c r="BE1615" s="245" t="s">
        <v>649</v>
      </c>
      <c r="BF1615" s="245" t="s">
        <v>650</v>
      </c>
      <c r="BG1615" s="245" t="s">
        <v>540</v>
      </c>
      <c r="BH1615" s="245" t="s">
        <v>272</v>
      </c>
      <c r="BI1615" s="243">
        <v>1.9400000000000001E-2</v>
      </c>
      <c r="BJ1615" s="243">
        <v>0.30980000000000002</v>
      </c>
      <c r="BK1615" s="37"/>
      <c r="BL1615" s="243">
        <f t="shared" si="424"/>
        <v>84.400301880485841</v>
      </c>
      <c r="BM1615" s="37" t="s">
        <v>541</v>
      </c>
      <c r="BN1615" s="37"/>
      <c r="BO1615" s="37"/>
      <c r="BP1615" s="37"/>
      <c r="BQ1615" s="37"/>
      <c r="BR1615" s="37"/>
      <c r="BS1615" s="37"/>
      <c r="BT1615" s="37"/>
      <c r="BU1615" s="246"/>
      <c r="BV1615" s="37"/>
      <c r="BW1615" s="37"/>
      <c r="BX1615" s="37"/>
      <c r="BY1615" s="37"/>
      <c r="BZ1615" s="37"/>
      <c r="CA1615" s="37"/>
      <c r="CB1615" s="37"/>
      <c r="CC1615" s="37"/>
      <c r="CD1615" s="37"/>
      <c r="CE1615" s="37"/>
      <c r="CF1615" s="37"/>
      <c r="CG1615" s="37"/>
      <c r="CH1615" s="37"/>
      <c r="CI1615" s="243"/>
      <c r="CJ1615" s="243"/>
      <c r="CK1615" s="38">
        <f t="shared" si="425"/>
        <v>272.43480271299495</v>
      </c>
      <c r="CL1615" s="247"/>
      <c r="CM1615" s="247"/>
      <c r="CN1615" s="247"/>
      <c r="CO1615" s="36" t="s">
        <v>4127</v>
      </c>
      <c r="CP1615" s="36" t="s">
        <v>651</v>
      </c>
      <c r="CQ1615" s="241" t="s">
        <v>272</v>
      </c>
      <c r="CR1615" s="241"/>
      <c r="CS1615" s="33"/>
      <c r="CT1615" s="33"/>
      <c r="CU1615" s="250"/>
      <c r="CV1615" s="337">
        <f t="shared" si="413"/>
        <v>6.8125294641899314</v>
      </c>
      <c r="CW1615" s="330">
        <f>IF(CV1615&lt;1,0,1)</f>
        <v>1</v>
      </c>
      <c r="CX1615" s="330"/>
      <c r="CY1615" s="143" t="s">
        <v>5921</v>
      </c>
    </row>
    <row r="1616" spans="1:103" ht="11.25" customHeight="1" x14ac:dyDescent="0.2">
      <c r="A1616" s="72">
        <v>1614</v>
      </c>
      <c r="B1616" s="241">
        <v>2057</v>
      </c>
      <c r="C1616" s="32" t="s">
        <v>6939</v>
      </c>
      <c r="D1616" s="32"/>
      <c r="E1616" s="40"/>
      <c r="F1616" s="40" t="s">
        <v>3560</v>
      </c>
      <c r="G1616" s="242">
        <v>50351</v>
      </c>
      <c r="H1616" s="36" t="s">
        <v>5651</v>
      </c>
      <c r="I1616" s="36" t="s">
        <v>8205</v>
      </c>
      <c r="J1616" s="36" t="s">
        <v>5652</v>
      </c>
      <c r="K1616" s="36" t="s">
        <v>1314</v>
      </c>
      <c r="L1616" s="36" t="s">
        <v>279</v>
      </c>
      <c r="M1616" s="36" t="s">
        <v>3563</v>
      </c>
      <c r="N1616" s="36"/>
      <c r="O1616" s="36" t="s">
        <v>281</v>
      </c>
      <c r="P1616" s="41"/>
      <c r="Q1616" s="41"/>
      <c r="R1616" s="41"/>
      <c r="S1616" s="41"/>
      <c r="T1616" s="37">
        <v>258.06</v>
      </c>
      <c r="U1616" s="243">
        <v>2.1119119584592729</v>
      </c>
      <c r="V1616" s="243">
        <v>2.1111369448965354</v>
      </c>
      <c r="W1616" s="243">
        <v>6.9183097091893604</v>
      </c>
      <c r="X1616" s="243">
        <v>2.1119119584592729</v>
      </c>
      <c r="Y1616" s="414">
        <v>6.41</v>
      </c>
      <c r="Z1616" s="37">
        <v>-0.24</v>
      </c>
      <c r="AA1616" s="37">
        <v>0.33</v>
      </c>
      <c r="AB1616" s="37">
        <v>0.45</v>
      </c>
      <c r="AC1616" s="37">
        <v>0.73229999999999995</v>
      </c>
      <c r="AD1616" s="37">
        <v>0.48</v>
      </c>
      <c r="AE1616" s="37">
        <v>0.54</v>
      </c>
      <c r="AF1616" s="37">
        <f t="shared" si="411"/>
        <v>0.33</v>
      </c>
      <c r="AG1616" s="37">
        <v>-0.12</v>
      </c>
      <c r="AH1616" s="243">
        <v>1.29E-16</v>
      </c>
      <c r="AI1616" s="243"/>
      <c r="AJ1616" s="34">
        <f t="shared" si="422"/>
        <v>-14.277976616013403</v>
      </c>
      <c r="AK1616" s="34"/>
      <c r="AL1616" s="34">
        <f t="shared" si="423"/>
        <v>-14.277976616013403</v>
      </c>
      <c r="AM1616" s="34">
        <v>-19.407769999999999</v>
      </c>
      <c r="AN1616" s="244"/>
      <c r="AO1616" s="417">
        <v>10.7</v>
      </c>
      <c r="AP1616" s="417">
        <v>-2.5499999999999998</v>
      </c>
      <c r="AQ1616" s="244" t="s">
        <v>6311</v>
      </c>
      <c r="AR1616" s="244" t="s">
        <v>6311</v>
      </c>
      <c r="AS1616" s="241" t="s">
        <v>5466</v>
      </c>
      <c r="AT1616" s="39" t="s">
        <v>266</v>
      </c>
      <c r="AU1616" s="37">
        <v>72</v>
      </c>
      <c r="AV1616" s="37">
        <v>96</v>
      </c>
      <c r="AW1616" s="37">
        <v>24</v>
      </c>
      <c r="AX1616" s="37">
        <v>28.5</v>
      </c>
      <c r="AY1616" s="37" t="s">
        <v>5624</v>
      </c>
      <c r="AZ1616" s="37" t="s">
        <v>5625</v>
      </c>
      <c r="BA1616" s="37">
        <v>20</v>
      </c>
      <c r="BB1616" s="36" t="s">
        <v>5487</v>
      </c>
      <c r="BC1616" s="36" t="s">
        <v>5506</v>
      </c>
      <c r="BD1616" s="36"/>
      <c r="BE1616" s="37" t="s">
        <v>2449</v>
      </c>
      <c r="BF1616" s="37"/>
      <c r="BG1616" s="37"/>
      <c r="BH1616" s="37" t="s">
        <v>5626</v>
      </c>
      <c r="BI1616" s="243">
        <v>2.5000000000000001E-2</v>
      </c>
      <c r="BJ1616" s="243">
        <v>0.03</v>
      </c>
      <c r="BK1616" s="37"/>
      <c r="BL1616" s="243">
        <f t="shared" si="424"/>
        <v>84.400301880485841</v>
      </c>
      <c r="BM1616" s="37"/>
      <c r="BN1616" s="37"/>
      <c r="BO1616" s="37"/>
      <c r="BP1616" s="37"/>
      <c r="BQ1616" s="37"/>
      <c r="BR1616" s="37"/>
      <c r="BS1616" s="37"/>
      <c r="BT1616" s="37"/>
      <c r="BU1616" s="246"/>
      <c r="BV1616" s="37"/>
      <c r="BW1616" s="37"/>
      <c r="BX1616" s="37"/>
      <c r="BY1616" s="37"/>
      <c r="BZ1616" s="37"/>
      <c r="CA1616" s="37"/>
      <c r="CB1616" s="37"/>
      <c r="CC1616" s="37"/>
      <c r="CD1616" s="37">
        <v>2.76E-2</v>
      </c>
      <c r="CE1616" s="37"/>
      <c r="CF1616" s="37"/>
      <c r="CG1616" s="37"/>
      <c r="CH1616" s="37"/>
      <c r="CI1616" s="243">
        <f t="shared" ref="CI1616:CI1625" si="426">MIN(BN1616:CH1616)</f>
        <v>2.76E-2</v>
      </c>
      <c r="CJ1616" s="243">
        <f t="shared" ref="CJ1616:CJ1625" si="427">LOG10(CI1616)</f>
        <v>-1.5590909179347823</v>
      </c>
      <c r="CK1616" s="38">
        <f t="shared" si="425"/>
        <v>2813.3433960161947</v>
      </c>
      <c r="CL1616" s="38">
        <f t="shared" ref="CL1616:CL1625" si="428">BL1616/CI1616</f>
        <v>3057.981952191516</v>
      </c>
      <c r="CM1616" s="247"/>
      <c r="CN1616" s="247"/>
      <c r="CO1616" s="36"/>
      <c r="CP1616" s="36" t="s">
        <v>5627</v>
      </c>
      <c r="CQ1616" s="241" t="s">
        <v>272</v>
      </c>
      <c r="CR1616" s="241"/>
      <c r="CS1616" s="33"/>
      <c r="CT1616" s="33"/>
      <c r="CU1616" s="250">
        <f t="shared" ref="CU1616:CU1625" si="429">X1616/CI1616</f>
        <v>76.518549219538869</v>
      </c>
      <c r="CV1616" s="337">
        <f t="shared" si="413"/>
        <v>70.39706528197577</v>
      </c>
      <c r="CW1616" s="330">
        <f t="shared" ref="CW1616:CW1625" si="430">IF(CU1616&lt;2,0,1)</f>
        <v>1</v>
      </c>
      <c r="CX1616" s="330"/>
      <c r="CY1616" s="143" t="s">
        <v>5921</v>
      </c>
    </row>
    <row r="1617" spans="1:103" ht="11.25" customHeight="1" x14ac:dyDescent="0.2">
      <c r="A1617" s="72">
        <v>1615</v>
      </c>
      <c r="B1617" s="241">
        <v>61</v>
      </c>
      <c r="C1617" s="32" t="s">
        <v>6746</v>
      </c>
      <c r="D1617" s="32"/>
      <c r="E1617" s="40"/>
      <c r="F1617" s="40" t="s">
        <v>531</v>
      </c>
      <c r="G1617" s="242">
        <v>50782</v>
      </c>
      <c r="H1617" s="36" t="s">
        <v>532</v>
      </c>
      <c r="I1617" s="36" t="s">
        <v>532</v>
      </c>
      <c r="J1617" s="36" t="s">
        <v>533</v>
      </c>
      <c r="K1617" s="36" t="s">
        <v>357</v>
      </c>
      <c r="L1617" s="42" t="s">
        <v>279</v>
      </c>
      <c r="M1617" s="36" t="s">
        <v>534</v>
      </c>
      <c r="N1617" s="36"/>
      <c r="O1617" s="36" t="s">
        <v>281</v>
      </c>
      <c r="P1617" s="41"/>
      <c r="Q1617" s="41"/>
      <c r="R1617" s="41"/>
      <c r="S1617" s="41"/>
      <c r="T1617" s="37">
        <v>180.16</v>
      </c>
      <c r="U1617" s="243">
        <v>25.532859680284194</v>
      </c>
      <c r="V1617" s="243">
        <v>29.390541740674955</v>
      </c>
      <c r="W1617" s="243">
        <v>13.182567385564075</v>
      </c>
      <c r="X1617" s="243">
        <v>25.532859680284194</v>
      </c>
      <c r="Y1617" s="414">
        <v>2.72</v>
      </c>
      <c r="Z1617" s="37">
        <v>1.1299999999999999</v>
      </c>
      <c r="AA1617" s="37">
        <v>1.19</v>
      </c>
      <c r="AB1617" s="37">
        <v>1.44</v>
      </c>
      <c r="AC1617" s="37">
        <v>0.93910000000000005</v>
      </c>
      <c r="AD1617" s="37">
        <v>1.39</v>
      </c>
      <c r="AE1617" s="37">
        <v>1.19</v>
      </c>
      <c r="AF1617" s="37">
        <f t="shared" si="411"/>
        <v>1.19</v>
      </c>
      <c r="AG1617" s="38">
        <v>1.24</v>
      </c>
      <c r="AH1617" s="243">
        <v>1.3000000000000001E-9</v>
      </c>
      <c r="AI1617" s="243">
        <v>1.3000000000000001E-9</v>
      </c>
      <c r="AJ1617" s="34">
        <f t="shared" si="422"/>
        <v>-7.2746229740058146</v>
      </c>
      <c r="AK1617" s="34">
        <f>LOG10(AI1617*1000/(0.08206*298.15))</f>
        <v>-7.2746229740058146</v>
      </c>
      <c r="AL1617" s="34">
        <f t="shared" si="423"/>
        <v>-7.2746229740058146</v>
      </c>
      <c r="AM1617" s="34">
        <v>-10.548029999999999</v>
      </c>
      <c r="AN1617" s="244">
        <v>-7.7</v>
      </c>
      <c r="AO1617" s="417">
        <v>3.48</v>
      </c>
      <c r="AP1617" s="417"/>
      <c r="AQ1617" s="244" t="s">
        <v>6311</v>
      </c>
      <c r="AR1617" s="244" t="s">
        <v>6314</v>
      </c>
      <c r="AS1617" s="241" t="s">
        <v>6</v>
      </c>
      <c r="AT1617" s="39" t="s">
        <v>266</v>
      </c>
      <c r="AU1617" s="37">
        <v>0</v>
      </c>
      <c r="AV1617" s="37">
        <v>48</v>
      </c>
      <c r="AW1617" s="37">
        <v>48</v>
      </c>
      <c r="AX1617" s="37">
        <v>26</v>
      </c>
      <c r="AY1617" s="37" t="s">
        <v>8722</v>
      </c>
      <c r="AZ1617" s="37" t="s">
        <v>536</v>
      </c>
      <c r="BA1617" s="37">
        <v>20</v>
      </c>
      <c r="BB1617" s="36" t="s">
        <v>537</v>
      </c>
      <c r="BC1617" s="36" t="s">
        <v>538</v>
      </c>
      <c r="BD1617" s="36"/>
      <c r="BE1617" s="245" t="s">
        <v>271</v>
      </c>
      <c r="BF1617" s="245" t="s">
        <v>539</v>
      </c>
      <c r="BG1617" s="245" t="s">
        <v>540</v>
      </c>
      <c r="BH1617" s="245" t="s">
        <v>272</v>
      </c>
      <c r="BI1617" s="243">
        <v>0.155</v>
      </c>
      <c r="BJ1617" s="243">
        <v>0.59540000000000004</v>
      </c>
      <c r="BK1617" s="37"/>
      <c r="BL1617" s="243">
        <f t="shared" si="424"/>
        <v>4.9653172250600512</v>
      </c>
      <c r="BM1617" s="37" t="s">
        <v>541</v>
      </c>
      <c r="BN1617" s="37"/>
      <c r="BO1617" s="37">
        <v>0.34549999999999997</v>
      </c>
      <c r="BP1617" s="37"/>
      <c r="BQ1617" s="37"/>
      <c r="BR1617" s="37"/>
      <c r="BS1617" s="37"/>
      <c r="BT1617" s="37"/>
      <c r="BU1617" s="246"/>
      <c r="BV1617" s="37"/>
      <c r="BW1617" s="37"/>
      <c r="BX1617" s="37"/>
      <c r="BY1617" s="37"/>
      <c r="BZ1617" s="37"/>
      <c r="CA1617" s="37"/>
      <c r="CB1617" s="37"/>
      <c r="CC1617" s="37"/>
      <c r="CD1617" s="37"/>
      <c r="CE1617" s="37"/>
      <c r="CF1617" s="37"/>
      <c r="CG1617" s="37"/>
      <c r="CH1617" s="37"/>
      <c r="CI1617" s="243">
        <f t="shared" si="426"/>
        <v>0.34549999999999997</v>
      </c>
      <c r="CJ1617" s="243">
        <f t="shared" si="427"/>
        <v>-0.4615519482897828</v>
      </c>
      <c r="CK1617" s="38">
        <f t="shared" si="425"/>
        <v>8.3394646037286719</v>
      </c>
      <c r="CL1617" s="247">
        <f t="shared" si="428"/>
        <v>14.371395730998703</v>
      </c>
      <c r="CM1617" s="247"/>
      <c r="CN1617" s="247"/>
      <c r="CO1617" s="36"/>
      <c r="CP1617" s="36" t="s">
        <v>542</v>
      </c>
      <c r="CQ1617" s="241" t="s">
        <v>272</v>
      </c>
      <c r="CR1617" s="241"/>
      <c r="CS1617" s="33"/>
      <c r="CT1617" s="33"/>
      <c r="CU1617" s="250">
        <f t="shared" si="429"/>
        <v>73.901185760591019</v>
      </c>
      <c r="CV1617" s="337">
        <f t="shared" si="413"/>
        <v>42.883539940013762</v>
      </c>
      <c r="CW1617" s="330">
        <f t="shared" si="430"/>
        <v>1</v>
      </c>
      <c r="CX1617" s="330"/>
      <c r="CY1617" s="143" t="s">
        <v>6351</v>
      </c>
    </row>
    <row r="1618" spans="1:103" ht="11.25" customHeight="1" x14ac:dyDescent="0.2">
      <c r="A1618" s="72">
        <v>1616</v>
      </c>
      <c r="B1618" s="241">
        <v>794</v>
      </c>
      <c r="C1618" s="32" t="s">
        <v>1894</v>
      </c>
      <c r="D1618" s="32"/>
      <c r="E1618" s="40"/>
      <c r="F1618" s="40" t="s">
        <v>1696</v>
      </c>
      <c r="G1618" s="242">
        <v>51285</v>
      </c>
      <c r="H1618" s="36" t="s">
        <v>1697</v>
      </c>
      <c r="I1618" s="36" t="s">
        <v>1697</v>
      </c>
      <c r="J1618" s="36" t="s">
        <v>1698</v>
      </c>
      <c r="K1618" s="36" t="s">
        <v>1693</v>
      </c>
      <c r="L1618" s="36" t="s">
        <v>6110</v>
      </c>
      <c r="M1618" s="36" t="s">
        <v>497</v>
      </c>
      <c r="N1618" s="36" t="s">
        <v>6381</v>
      </c>
      <c r="O1618" s="36" t="s">
        <v>6086</v>
      </c>
      <c r="P1618" s="41"/>
      <c r="Q1618" s="41" t="s">
        <v>6179</v>
      </c>
      <c r="R1618" s="41" t="s">
        <v>6180</v>
      </c>
      <c r="S1618" s="41" t="s">
        <v>6176</v>
      </c>
      <c r="T1618" s="37">
        <v>184.11</v>
      </c>
      <c r="U1618" s="243">
        <v>15.153984031285644</v>
      </c>
      <c r="V1618" s="243">
        <v>10.70555646081147</v>
      </c>
      <c r="W1618" s="243">
        <v>6.1659500186148195</v>
      </c>
      <c r="X1618" s="243">
        <v>15.153984031285644</v>
      </c>
      <c r="Y1618" s="414">
        <v>3.15</v>
      </c>
      <c r="Z1618" s="37">
        <v>1.73</v>
      </c>
      <c r="AA1618" s="37">
        <v>1.67</v>
      </c>
      <c r="AB1618" s="37">
        <v>1.62</v>
      </c>
      <c r="AC1618" s="37">
        <v>0.79949999999999999</v>
      </c>
      <c r="AD1618" s="37">
        <v>1.66</v>
      </c>
      <c r="AE1618" s="37">
        <v>1.74</v>
      </c>
      <c r="AF1618" s="37">
        <f t="shared" si="411"/>
        <v>1.67</v>
      </c>
      <c r="AG1618" s="38">
        <v>0.7</v>
      </c>
      <c r="AH1618" s="243">
        <v>2.7599999999999999E-8</v>
      </c>
      <c r="AI1618" s="243">
        <v>8.6000000000000002E-8</v>
      </c>
      <c r="AJ1618" s="34">
        <f t="shared" si="422"/>
        <v>-5.9476572442474342</v>
      </c>
      <c r="AK1618" s="34">
        <f>LOG10(AI1618*1000/(0.08206*298.15))</f>
        <v>-5.4540678750690841</v>
      </c>
      <c r="AL1618" s="34">
        <f t="shared" si="423"/>
        <v>-5.4540678750690841</v>
      </c>
      <c r="AM1618" s="34">
        <v>-9.2873400000000004</v>
      </c>
      <c r="AN1618" s="244">
        <v>-5.58</v>
      </c>
      <c r="AO1618" s="417">
        <v>4.04</v>
      </c>
      <c r="AP1618" s="417"/>
      <c r="AQ1618" s="37" t="s">
        <v>6311</v>
      </c>
      <c r="AR1618" s="37" t="s">
        <v>6311</v>
      </c>
      <c r="AS1618" s="241" t="s">
        <v>6</v>
      </c>
      <c r="AT1618" s="39" t="s">
        <v>266</v>
      </c>
      <c r="AU1618" s="37">
        <v>2</v>
      </c>
      <c r="AV1618" s="37">
        <v>48</v>
      </c>
      <c r="AW1618" s="37">
        <v>48</v>
      </c>
      <c r="AX1618" s="37">
        <v>26</v>
      </c>
      <c r="AY1618" s="37" t="s">
        <v>647</v>
      </c>
      <c r="AZ1618" s="37" t="s">
        <v>2231</v>
      </c>
      <c r="BA1618" s="37">
        <v>50</v>
      </c>
      <c r="BB1618" s="36" t="s">
        <v>1886</v>
      </c>
      <c r="BC1618" s="36" t="s">
        <v>538</v>
      </c>
      <c r="BD1618" s="36"/>
      <c r="BE1618" s="37" t="s">
        <v>2232</v>
      </c>
      <c r="BF1618" s="37" t="s">
        <v>272</v>
      </c>
      <c r="BG1618" s="37" t="s">
        <v>272</v>
      </c>
      <c r="BH1618" s="37" t="s">
        <v>272</v>
      </c>
      <c r="BI1618" s="243">
        <v>1.357883873771115E-2</v>
      </c>
      <c r="BJ1618" s="243">
        <v>0.1629460648525338</v>
      </c>
      <c r="BK1618" s="37" t="s">
        <v>2233</v>
      </c>
      <c r="BL1618" s="243">
        <f t="shared" si="424"/>
        <v>1.4357770264403475</v>
      </c>
      <c r="BM1618" s="37" t="s">
        <v>541</v>
      </c>
      <c r="BN1618" s="37"/>
      <c r="BO1618" s="37">
        <v>0.03</v>
      </c>
      <c r="BP1618" s="37"/>
      <c r="BQ1618" s="37"/>
      <c r="BR1618" s="37"/>
      <c r="BS1618" s="37"/>
      <c r="BT1618" s="37"/>
      <c r="BU1618" s="246"/>
      <c r="BV1618" s="37"/>
      <c r="BW1618" s="37"/>
      <c r="BX1618" s="37"/>
      <c r="BY1618" s="37"/>
      <c r="BZ1618" s="37"/>
      <c r="CA1618" s="37"/>
      <c r="CB1618" s="37"/>
      <c r="CC1618" s="37"/>
      <c r="CD1618" s="37"/>
      <c r="CE1618" s="37"/>
      <c r="CF1618" s="37"/>
      <c r="CG1618" s="37"/>
      <c r="CH1618" s="37"/>
      <c r="CI1618" s="243">
        <f t="shared" si="426"/>
        <v>0.03</v>
      </c>
      <c r="CJ1618" s="243">
        <f t="shared" si="427"/>
        <v>-1.5228787452803376</v>
      </c>
      <c r="CK1618" s="38">
        <f t="shared" si="425"/>
        <v>8.8113636112644134</v>
      </c>
      <c r="CL1618" s="247">
        <f t="shared" si="428"/>
        <v>47.859234214678253</v>
      </c>
      <c r="CM1618" s="247">
        <v>-2.2096012260030591</v>
      </c>
      <c r="CN1618" s="247">
        <f>BJ1618/(10^CM1618)</f>
        <v>26.40250312633497</v>
      </c>
      <c r="CO1618" s="36"/>
      <c r="CP1618" s="36" t="s">
        <v>2234</v>
      </c>
      <c r="CQ1618" s="241">
        <v>-1.52953156925994</v>
      </c>
      <c r="CR1618" s="241">
        <f>10^(CJ1618-CQ1618)</f>
        <v>1.0154366259259049</v>
      </c>
      <c r="CS1618" s="33"/>
      <c r="CT1618" s="33" t="s">
        <v>6310</v>
      </c>
      <c r="CU1618" s="250">
        <f t="shared" si="429"/>
        <v>505.13280104285479</v>
      </c>
      <c r="CV1618" s="337">
        <f t="shared" si="413"/>
        <v>93</v>
      </c>
      <c r="CW1618" s="330">
        <f t="shared" si="430"/>
        <v>1</v>
      </c>
      <c r="CX1618" s="330" t="s">
        <v>539</v>
      </c>
      <c r="CY1618" s="143" t="s">
        <v>6351</v>
      </c>
    </row>
    <row r="1619" spans="1:103" ht="11.25" customHeight="1" x14ac:dyDescent="0.2">
      <c r="A1619" s="72">
        <v>1617</v>
      </c>
      <c r="B1619" s="241">
        <v>539</v>
      </c>
      <c r="C1619" s="32" t="s">
        <v>7613</v>
      </c>
      <c r="D1619" s="32"/>
      <c r="E1619" s="40"/>
      <c r="F1619" s="40" t="s">
        <v>1696</v>
      </c>
      <c r="G1619" s="242">
        <v>51285</v>
      </c>
      <c r="H1619" s="36" t="s">
        <v>1697</v>
      </c>
      <c r="I1619" s="36" t="s">
        <v>1697</v>
      </c>
      <c r="J1619" s="36" t="s">
        <v>1698</v>
      </c>
      <c r="K1619" s="36" t="s">
        <v>1693</v>
      </c>
      <c r="L1619" s="36" t="s">
        <v>6110</v>
      </c>
      <c r="M1619" s="36" t="s">
        <v>497</v>
      </c>
      <c r="N1619" s="36" t="s">
        <v>6381</v>
      </c>
      <c r="O1619" s="36" t="s">
        <v>6086</v>
      </c>
      <c r="P1619" s="41"/>
      <c r="Q1619" s="41" t="s">
        <v>6179</v>
      </c>
      <c r="R1619" s="41" t="s">
        <v>6180</v>
      </c>
      <c r="S1619" s="41" t="s">
        <v>6176</v>
      </c>
      <c r="T1619" s="37">
        <v>184.11</v>
      </c>
      <c r="U1619" s="243">
        <v>15.153984031285644</v>
      </c>
      <c r="V1619" s="243">
        <v>10.70555646081147</v>
      </c>
      <c r="W1619" s="243">
        <v>6.1659500186148195</v>
      </c>
      <c r="X1619" s="243">
        <v>15.153984031285644</v>
      </c>
      <c r="Y1619" s="414">
        <v>3.15</v>
      </c>
      <c r="Z1619" s="37">
        <v>1.73</v>
      </c>
      <c r="AA1619" s="37">
        <v>1.67</v>
      </c>
      <c r="AB1619" s="37">
        <v>1.62</v>
      </c>
      <c r="AC1619" s="37">
        <v>0.79949999999999999</v>
      </c>
      <c r="AD1619" s="37">
        <v>1.66</v>
      </c>
      <c r="AE1619" s="37">
        <v>1.74</v>
      </c>
      <c r="AF1619" s="37">
        <f t="shared" si="411"/>
        <v>1.67</v>
      </c>
      <c r="AG1619" s="38">
        <v>0.7</v>
      </c>
      <c r="AH1619" s="243">
        <v>2.7599999999999999E-8</v>
      </c>
      <c r="AI1619" s="243">
        <v>8.6000000000000002E-8</v>
      </c>
      <c r="AJ1619" s="34">
        <f t="shared" si="422"/>
        <v>-5.9476572442474342</v>
      </c>
      <c r="AK1619" s="34">
        <f>LOG10(AI1619*1000/(0.08206*298.15))</f>
        <v>-5.4540678750690841</v>
      </c>
      <c r="AL1619" s="34">
        <f t="shared" si="423"/>
        <v>-5.4540678750690841</v>
      </c>
      <c r="AM1619" s="34">
        <v>-9.2873400000000004</v>
      </c>
      <c r="AN1619" s="244">
        <v>-5.58</v>
      </c>
      <c r="AO1619" s="417">
        <v>4.04</v>
      </c>
      <c r="AP1619" s="417"/>
      <c r="AQ1619" s="244" t="s">
        <v>6311</v>
      </c>
      <c r="AR1619" s="244" t="s">
        <v>6311</v>
      </c>
      <c r="AS1619" s="241" t="s">
        <v>6</v>
      </c>
      <c r="AT1619" s="39" t="s">
        <v>266</v>
      </c>
      <c r="AU1619" s="37">
        <v>2</v>
      </c>
      <c r="AV1619" s="37">
        <v>48</v>
      </c>
      <c r="AW1619" s="37">
        <v>48</v>
      </c>
      <c r="AX1619" s="37">
        <v>26</v>
      </c>
      <c r="AY1619" s="37" t="s">
        <v>647</v>
      </c>
      <c r="AZ1619" s="37" t="s">
        <v>536</v>
      </c>
      <c r="BA1619" s="37">
        <v>20</v>
      </c>
      <c r="BB1619" s="36" t="s">
        <v>537</v>
      </c>
      <c r="BC1619" s="36" t="s">
        <v>538</v>
      </c>
      <c r="BD1619" s="36"/>
      <c r="BE1619" s="37" t="s">
        <v>271</v>
      </c>
      <c r="BF1619" s="37" t="s">
        <v>539</v>
      </c>
      <c r="BG1619" s="37" t="s">
        <v>272</v>
      </c>
      <c r="BH1619" s="37" t="s">
        <v>272</v>
      </c>
      <c r="BI1619" s="248">
        <v>1.357883873771115E-2</v>
      </c>
      <c r="BJ1619" s="248">
        <v>6.9523654337081089E-2</v>
      </c>
      <c r="BK1619" s="37"/>
      <c r="BL1619" s="243">
        <f t="shared" si="424"/>
        <v>1.4357770264403475</v>
      </c>
      <c r="BM1619" s="37" t="s">
        <v>541</v>
      </c>
      <c r="BN1619" s="37"/>
      <c r="BO1619" s="37">
        <v>4.888381945576014E-3</v>
      </c>
      <c r="BP1619" s="37"/>
      <c r="BQ1619" s="37"/>
      <c r="BR1619" s="37"/>
      <c r="BS1619" s="37"/>
      <c r="BT1619" s="37"/>
      <c r="BU1619" s="246"/>
      <c r="BV1619" s="37"/>
      <c r="BW1619" s="37"/>
      <c r="BX1619" s="37"/>
      <c r="BY1619" s="37"/>
      <c r="BZ1619" s="37"/>
      <c r="CA1619" s="37"/>
      <c r="CB1619" s="37"/>
      <c r="CC1619" s="37"/>
      <c r="CD1619" s="37"/>
      <c r="CE1619" s="37"/>
      <c r="CF1619" s="37"/>
      <c r="CG1619" s="37"/>
      <c r="CH1619" s="37"/>
      <c r="CI1619" s="243">
        <f t="shared" si="426"/>
        <v>4.888381945576014E-3</v>
      </c>
      <c r="CJ1619" s="243">
        <f t="shared" si="427"/>
        <v>-2.3108348685642692</v>
      </c>
      <c r="CK1619" s="38">
        <f t="shared" si="425"/>
        <v>20.651633463900968</v>
      </c>
      <c r="CL1619" s="247">
        <f t="shared" si="428"/>
        <v>293.71212037548042</v>
      </c>
      <c r="CM1619" s="247">
        <v>-2.2096012260030591</v>
      </c>
      <c r="CN1619" s="247">
        <f>BJ1619/(10^CM1619)</f>
        <v>11.265068000569588</v>
      </c>
      <c r="CO1619" s="36"/>
      <c r="CP1619" s="36" t="s">
        <v>1558</v>
      </c>
      <c r="CQ1619" s="241">
        <v>-1.52953156925994</v>
      </c>
      <c r="CR1619" s="241">
        <f>10^(CJ1619-CQ1619)</f>
        <v>0.16546140230176068</v>
      </c>
      <c r="CS1619" s="33"/>
      <c r="CT1619" s="33"/>
      <c r="CU1619" s="250">
        <f t="shared" si="429"/>
        <v>3100</v>
      </c>
      <c r="CV1619" s="337">
        <f t="shared" si="413"/>
        <v>217.96875</v>
      </c>
      <c r="CW1619" s="330">
        <f t="shared" si="430"/>
        <v>1</v>
      </c>
      <c r="CX1619" s="330"/>
      <c r="CY1619" s="143" t="s">
        <v>6351</v>
      </c>
    </row>
    <row r="1620" spans="1:103" ht="11.25" customHeight="1" x14ac:dyDescent="0.2">
      <c r="A1620" s="72">
        <v>1618</v>
      </c>
      <c r="B1620" s="241">
        <v>639</v>
      </c>
      <c r="C1620" s="32" t="s">
        <v>1894</v>
      </c>
      <c r="D1620" s="32"/>
      <c r="E1620" s="40"/>
      <c r="F1620" s="40" t="s">
        <v>1696</v>
      </c>
      <c r="G1620" s="242">
        <v>51285</v>
      </c>
      <c r="H1620" s="36" t="s">
        <v>1697</v>
      </c>
      <c r="I1620" s="36" t="s">
        <v>1697</v>
      </c>
      <c r="J1620" s="36" t="s">
        <v>1698</v>
      </c>
      <c r="K1620" s="36" t="s">
        <v>1693</v>
      </c>
      <c r="L1620" s="36" t="s">
        <v>6110</v>
      </c>
      <c r="M1620" s="36" t="s">
        <v>497</v>
      </c>
      <c r="N1620" s="36" t="s">
        <v>6381</v>
      </c>
      <c r="O1620" s="36" t="s">
        <v>6086</v>
      </c>
      <c r="P1620" s="41"/>
      <c r="Q1620" s="41" t="s">
        <v>6179</v>
      </c>
      <c r="R1620" s="41" t="s">
        <v>6180</v>
      </c>
      <c r="S1620" s="41" t="s">
        <v>6176</v>
      </c>
      <c r="T1620" s="37">
        <v>184.11</v>
      </c>
      <c r="U1620" s="243">
        <v>15.153984031285644</v>
      </c>
      <c r="V1620" s="243">
        <v>10.70555646081147</v>
      </c>
      <c r="W1620" s="243">
        <v>6.1659500186148195</v>
      </c>
      <c r="X1620" s="243">
        <v>15.153984031285644</v>
      </c>
      <c r="Y1620" s="414">
        <v>3.15</v>
      </c>
      <c r="Z1620" s="37">
        <v>1.73</v>
      </c>
      <c r="AA1620" s="37">
        <v>1.67</v>
      </c>
      <c r="AB1620" s="37">
        <v>1.62</v>
      </c>
      <c r="AC1620" s="37">
        <v>0.79949999999999999</v>
      </c>
      <c r="AD1620" s="37">
        <v>1.66</v>
      </c>
      <c r="AE1620" s="37">
        <v>1.74</v>
      </c>
      <c r="AF1620" s="37">
        <f t="shared" si="411"/>
        <v>1.67</v>
      </c>
      <c r="AG1620" s="38">
        <v>0.7</v>
      </c>
      <c r="AH1620" s="243">
        <v>2.7599999999999999E-8</v>
      </c>
      <c r="AI1620" s="243">
        <v>8.6000000000000002E-8</v>
      </c>
      <c r="AJ1620" s="34">
        <f t="shared" si="422"/>
        <v>-5.9476572442474342</v>
      </c>
      <c r="AK1620" s="34">
        <f>LOG10(AI1620*1000/(0.08206*298.15))</f>
        <v>-5.4540678750690841</v>
      </c>
      <c r="AL1620" s="34">
        <f t="shared" si="423"/>
        <v>-5.4540678750690841</v>
      </c>
      <c r="AM1620" s="34">
        <v>-9.2873400000000004</v>
      </c>
      <c r="AN1620" s="244">
        <v>-5.58</v>
      </c>
      <c r="AO1620" s="417">
        <v>4.04</v>
      </c>
      <c r="AP1620" s="417"/>
      <c r="AQ1620" s="244" t="s">
        <v>6311</v>
      </c>
      <c r="AR1620" s="244" t="s">
        <v>6311</v>
      </c>
      <c r="AS1620" s="241" t="s">
        <v>6</v>
      </c>
      <c r="AT1620" s="39" t="s">
        <v>266</v>
      </c>
      <c r="AU1620" s="37">
        <v>2</v>
      </c>
      <c r="AV1620" s="37">
        <v>48</v>
      </c>
      <c r="AW1620" s="37">
        <v>48</v>
      </c>
      <c r="AX1620" s="37">
        <v>26</v>
      </c>
      <c r="AY1620" s="37" t="s">
        <v>8722</v>
      </c>
      <c r="AZ1620" s="37" t="s">
        <v>1893</v>
      </c>
      <c r="BA1620" s="37">
        <v>15</v>
      </c>
      <c r="BB1620" s="36" t="s">
        <v>1613</v>
      </c>
      <c r="BC1620" s="36" t="s">
        <v>1887</v>
      </c>
      <c r="BD1620" s="36"/>
      <c r="BE1620" s="37" t="s">
        <v>1712</v>
      </c>
      <c r="BF1620" s="37" t="s">
        <v>540</v>
      </c>
      <c r="BG1620" s="37" t="s">
        <v>540</v>
      </c>
      <c r="BH1620" s="37" t="s">
        <v>272</v>
      </c>
      <c r="BI1620" s="248">
        <v>1.2220954863940035E-3</v>
      </c>
      <c r="BJ1620" s="248">
        <v>7.8214111129216224E-2</v>
      </c>
      <c r="BK1620" s="37"/>
      <c r="BL1620" s="243">
        <f t="shared" si="424"/>
        <v>1.4357770264403475</v>
      </c>
      <c r="BM1620" s="37" t="s">
        <v>541</v>
      </c>
      <c r="BN1620" s="37"/>
      <c r="BO1620" s="37">
        <v>2.2812449079354733E-2</v>
      </c>
      <c r="BP1620" s="37"/>
      <c r="BQ1620" s="37"/>
      <c r="BR1620" s="37"/>
      <c r="BS1620" s="37"/>
      <c r="BT1620" s="37"/>
      <c r="BU1620" s="246"/>
      <c r="BV1620" s="37"/>
      <c r="BW1620" s="37"/>
      <c r="BX1620" s="37"/>
      <c r="BY1620" s="37"/>
      <c r="BZ1620" s="37"/>
      <c r="CA1620" s="37"/>
      <c r="CB1620" s="37"/>
      <c r="CC1620" s="37"/>
      <c r="CD1620" s="37"/>
      <c r="CE1620" s="37"/>
      <c r="CF1620" s="37"/>
      <c r="CG1620" s="37"/>
      <c r="CH1620" s="37"/>
      <c r="CI1620" s="243">
        <f t="shared" si="426"/>
        <v>2.2812449079354733E-2</v>
      </c>
      <c r="CJ1620" s="243">
        <f t="shared" si="427"/>
        <v>-1.6418280876056939</v>
      </c>
      <c r="CK1620" s="38">
        <f t="shared" si="425"/>
        <v>18.357007523467527</v>
      </c>
      <c r="CL1620" s="247">
        <f t="shared" si="428"/>
        <v>62.938311509031521</v>
      </c>
      <c r="CM1620" s="247">
        <v>-2.2096012260030591</v>
      </c>
      <c r="CN1620" s="247">
        <f>BJ1620/(10^CM1620)</f>
        <v>12.673201500640786</v>
      </c>
      <c r="CO1620" s="36" t="s">
        <v>1888</v>
      </c>
      <c r="CP1620" s="36" t="s">
        <v>1889</v>
      </c>
      <c r="CQ1620" s="241">
        <v>-1.52953156925994</v>
      </c>
      <c r="CR1620" s="241">
        <f>10^(CJ1620-CQ1620)</f>
        <v>0.77215321074154941</v>
      </c>
      <c r="CS1620" s="33"/>
      <c r="CT1620" s="33"/>
      <c r="CU1620" s="250">
        <f t="shared" si="429"/>
        <v>664.28571428571422</v>
      </c>
      <c r="CV1620" s="337">
        <f t="shared" si="413"/>
        <v>193.75</v>
      </c>
      <c r="CW1620" s="330">
        <f t="shared" si="430"/>
        <v>1</v>
      </c>
      <c r="CX1620" s="330" t="s">
        <v>539</v>
      </c>
      <c r="CY1620" s="143" t="s">
        <v>6351</v>
      </c>
    </row>
    <row r="1621" spans="1:103" ht="11.25" customHeight="1" x14ac:dyDescent="0.2">
      <c r="A1621" s="72">
        <v>1619</v>
      </c>
      <c r="B1621" s="241">
        <v>74</v>
      </c>
      <c r="C1621" s="32" t="s">
        <v>275</v>
      </c>
      <c r="D1621" s="32"/>
      <c r="E1621" s="40"/>
      <c r="F1621" s="40" t="s">
        <v>276</v>
      </c>
      <c r="G1621" s="242">
        <v>51558</v>
      </c>
      <c r="H1621" s="36" t="s">
        <v>277</v>
      </c>
      <c r="I1621" s="36" t="s">
        <v>277</v>
      </c>
      <c r="J1621" s="36" t="s">
        <v>278</v>
      </c>
      <c r="K1621" s="36" t="s">
        <v>264</v>
      </c>
      <c r="L1621" s="42" t="s">
        <v>279</v>
      </c>
      <c r="M1621" s="36" t="s">
        <v>280</v>
      </c>
      <c r="N1621" s="36"/>
      <c r="O1621" s="36" t="s">
        <v>281</v>
      </c>
      <c r="P1621" s="41"/>
      <c r="Q1621" s="41"/>
      <c r="R1621" s="41"/>
      <c r="S1621" s="41"/>
      <c r="T1621" s="40">
        <v>289.37</v>
      </c>
      <c r="U1621" s="263">
        <v>12.302588381656703</v>
      </c>
      <c r="V1621" s="243">
        <v>13.629609150914055</v>
      </c>
      <c r="W1621" s="243">
        <v>9.1201083935590876</v>
      </c>
      <c r="X1621" s="263">
        <v>12.302588381656703</v>
      </c>
      <c r="Y1621" s="414">
        <v>10.95</v>
      </c>
      <c r="Z1621" s="37">
        <v>1.91</v>
      </c>
      <c r="AA1621" s="37">
        <v>1.83</v>
      </c>
      <c r="AB1621" s="37">
        <v>1.95</v>
      </c>
      <c r="AC1621" s="37">
        <v>0.89380000000000004</v>
      </c>
      <c r="AD1621" s="37">
        <v>1.86</v>
      </c>
      <c r="AE1621" s="37">
        <v>1.53</v>
      </c>
      <c r="AF1621" s="37">
        <f t="shared" si="411"/>
        <v>1.83</v>
      </c>
      <c r="AG1621" s="38">
        <v>1.91</v>
      </c>
      <c r="AH1621" s="243">
        <v>2.73E-13</v>
      </c>
      <c r="AI1621" s="243"/>
      <c r="AJ1621" s="34">
        <f t="shared" si="422"/>
        <v>-10.952403679271896</v>
      </c>
      <c r="AK1621" s="34"/>
      <c r="AL1621" s="34">
        <f t="shared" si="423"/>
        <v>-10.952403679271896</v>
      </c>
      <c r="AM1621" s="34">
        <v>-14.121339999999998</v>
      </c>
      <c r="AN1621" s="244">
        <v>-9.2200000000000006</v>
      </c>
      <c r="AO1621" s="417">
        <v>14.12</v>
      </c>
      <c r="AP1621" s="417">
        <v>9.98</v>
      </c>
      <c r="AQ1621" s="244" t="s">
        <v>6311</v>
      </c>
      <c r="AR1621" s="244" t="s">
        <v>6312</v>
      </c>
      <c r="AS1621" s="241" t="s">
        <v>282</v>
      </c>
      <c r="AT1621" s="39" t="s">
        <v>266</v>
      </c>
      <c r="AU1621" s="37">
        <v>0</v>
      </c>
      <c r="AV1621" s="37">
        <v>48</v>
      </c>
      <c r="AW1621" s="37">
        <v>48</v>
      </c>
      <c r="AX1621" s="37">
        <v>26</v>
      </c>
      <c r="AY1621" s="37" t="s">
        <v>8722</v>
      </c>
      <c r="AZ1621" s="37" t="s">
        <v>536</v>
      </c>
      <c r="BA1621" s="37">
        <v>20</v>
      </c>
      <c r="BB1621" s="36" t="s">
        <v>537</v>
      </c>
      <c r="BC1621" s="36" t="s">
        <v>538</v>
      </c>
      <c r="BD1621" s="36"/>
      <c r="BE1621" s="245" t="s">
        <v>271</v>
      </c>
      <c r="BF1621" s="245" t="s">
        <v>539</v>
      </c>
      <c r="BG1621" s="245" t="s">
        <v>540</v>
      </c>
      <c r="BH1621" s="245" t="s">
        <v>272</v>
      </c>
      <c r="BI1621" s="243">
        <v>6.4764999999999997</v>
      </c>
      <c r="BJ1621" s="243">
        <v>32.787300000000002</v>
      </c>
      <c r="BK1621" s="37"/>
      <c r="BL1621" s="243">
        <f t="shared" si="424"/>
        <v>0.98953007876306398</v>
      </c>
      <c r="BM1621" s="37" t="s">
        <v>541</v>
      </c>
      <c r="BN1621" s="37"/>
      <c r="BO1621" s="37">
        <v>22.543600000000001</v>
      </c>
      <c r="BP1621" s="37"/>
      <c r="BQ1621" s="37"/>
      <c r="BR1621" s="37"/>
      <c r="BS1621" s="37"/>
      <c r="BT1621" s="37"/>
      <c r="BU1621" s="246"/>
      <c r="BV1621" s="37"/>
      <c r="BW1621" s="37"/>
      <c r="BX1621" s="37"/>
      <c r="BY1621" s="37"/>
      <c r="BZ1621" s="37"/>
      <c r="CA1621" s="37"/>
      <c r="CB1621" s="37"/>
      <c r="CC1621" s="37"/>
      <c r="CD1621" s="37"/>
      <c r="CE1621" s="37"/>
      <c r="CF1621" s="37"/>
      <c r="CG1621" s="37"/>
      <c r="CH1621" s="37"/>
      <c r="CI1621" s="243">
        <f t="shared" si="426"/>
        <v>22.543600000000001</v>
      </c>
      <c r="CJ1621" s="243">
        <f t="shared" si="427"/>
        <v>1.3530232699750966</v>
      </c>
      <c r="CK1621" s="38">
        <f t="shared" si="425"/>
        <v>3.0180285621660335E-2</v>
      </c>
      <c r="CL1621" s="247">
        <f t="shared" si="428"/>
        <v>4.3894057682138783E-2</v>
      </c>
      <c r="CM1621" s="247"/>
      <c r="CN1621" s="247"/>
      <c r="CO1621" s="36"/>
      <c r="CP1621" s="36" t="s">
        <v>542</v>
      </c>
      <c r="CQ1621" s="241" t="s">
        <v>272</v>
      </c>
      <c r="CR1621" s="241"/>
      <c r="CS1621" s="33"/>
      <c r="CT1621" s="33"/>
      <c r="CU1621" s="250">
        <f t="shared" si="429"/>
        <v>0.54572421359750445</v>
      </c>
      <c r="CV1621" s="337">
        <f t="shared" si="413"/>
        <v>0.3752241990544114</v>
      </c>
      <c r="CW1621" s="330">
        <f t="shared" si="430"/>
        <v>0</v>
      </c>
      <c r="CX1621" s="330"/>
      <c r="CY1621" s="143" t="s">
        <v>5921</v>
      </c>
    </row>
    <row r="1622" spans="1:103" ht="11.25" customHeight="1" x14ac:dyDescent="0.2">
      <c r="A1622" s="72">
        <v>1620</v>
      </c>
      <c r="B1622" s="241">
        <v>721</v>
      </c>
      <c r="C1622" s="32" t="s">
        <v>7614</v>
      </c>
      <c r="D1622" s="32"/>
      <c r="E1622" s="40"/>
      <c r="F1622" s="40" t="s">
        <v>2040</v>
      </c>
      <c r="G1622" s="242">
        <v>52244</v>
      </c>
      <c r="H1622" s="36" t="s">
        <v>2041</v>
      </c>
      <c r="I1622" s="36" t="s">
        <v>2041</v>
      </c>
      <c r="J1622" s="36" t="s">
        <v>2042</v>
      </c>
      <c r="K1622" s="36" t="s">
        <v>2043</v>
      </c>
      <c r="L1622" s="42" t="s">
        <v>279</v>
      </c>
      <c r="M1622" s="36" t="s">
        <v>2044</v>
      </c>
      <c r="N1622" s="36"/>
      <c r="O1622" s="36" t="s">
        <v>281</v>
      </c>
      <c r="P1622" s="41"/>
      <c r="Q1622" s="41"/>
      <c r="R1622" s="41"/>
      <c r="S1622" s="41"/>
      <c r="T1622" s="37">
        <v>189.22</v>
      </c>
      <c r="U1622" s="243">
        <v>1004.1221858154529</v>
      </c>
      <c r="V1622" s="243">
        <v>92.432089631117222</v>
      </c>
      <c r="W1622" s="243">
        <v>72.443596007498982</v>
      </c>
      <c r="X1622" s="243">
        <v>1004.1221858154529</v>
      </c>
      <c r="Y1622" s="414">
        <v>7.8</v>
      </c>
      <c r="Z1622" s="37">
        <v>0.61</v>
      </c>
      <c r="AA1622" s="37">
        <v>0.53</v>
      </c>
      <c r="AB1622" s="37">
        <v>0.45</v>
      </c>
      <c r="AC1622" s="37">
        <v>0.66890000000000005</v>
      </c>
      <c r="AD1622" s="37">
        <v>0.48</v>
      </c>
      <c r="AE1622" s="37">
        <v>0.52</v>
      </c>
      <c r="AF1622" s="37">
        <f t="shared" si="411"/>
        <v>0.53</v>
      </c>
      <c r="AG1622" s="38">
        <v>-0.82</v>
      </c>
      <c r="AH1622" s="243">
        <v>2.8300000000000001E-10</v>
      </c>
      <c r="AI1622" s="243"/>
      <c r="AJ1622" s="34">
        <f t="shared" si="422"/>
        <v>-7.9367798907883618</v>
      </c>
      <c r="AK1622" s="34"/>
      <c r="AL1622" s="34">
        <f t="shared" si="423"/>
        <v>-7.9367798907883618</v>
      </c>
      <c r="AM1622" s="34">
        <v>-11.795330000000002</v>
      </c>
      <c r="AN1622" s="244">
        <v>-9.89</v>
      </c>
      <c r="AO1622" s="417"/>
      <c r="AP1622" s="417">
        <v>2.74</v>
      </c>
      <c r="AQ1622" s="244" t="s">
        <v>6311</v>
      </c>
      <c r="AR1622" s="244" t="s">
        <v>6311</v>
      </c>
      <c r="AS1622" s="241" t="s">
        <v>6</v>
      </c>
      <c r="AT1622" s="39" t="s">
        <v>266</v>
      </c>
      <c r="AU1622" s="37">
        <v>2</v>
      </c>
      <c r="AV1622" s="37">
        <v>72</v>
      </c>
      <c r="AW1622" s="37">
        <v>72</v>
      </c>
      <c r="AX1622" s="37">
        <v>26</v>
      </c>
      <c r="AY1622" s="37" t="s">
        <v>647</v>
      </c>
      <c r="AZ1622" s="37" t="s">
        <v>536</v>
      </c>
      <c r="BA1622" s="37" t="s">
        <v>8723</v>
      </c>
      <c r="BB1622" s="36" t="s">
        <v>1644</v>
      </c>
      <c r="BC1622" s="36" t="s">
        <v>2019</v>
      </c>
      <c r="BD1622" s="36" t="s">
        <v>8374</v>
      </c>
      <c r="BE1622" s="37" t="s">
        <v>649</v>
      </c>
      <c r="BF1622" s="37" t="s">
        <v>272</v>
      </c>
      <c r="BG1622" s="37" t="s">
        <v>272</v>
      </c>
      <c r="BH1622" s="37" t="s">
        <v>272</v>
      </c>
      <c r="BI1622" s="243">
        <v>9.1700000000000004E-2</v>
      </c>
      <c r="BJ1622" s="243">
        <v>0.5</v>
      </c>
      <c r="BK1622" s="37"/>
      <c r="BL1622" s="243">
        <f t="shared" si="424"/>
        <v>14.553216830139666</v>
      </c>
      <c r="BM1622" s="37" t="s">
        <v>541</v>
      </c>
      <c r="BN1622" s="37"/>
      <c r="BO1622" s="37"/>
      <c r="BP1622" s="37">
        <v>0.30599999999999999</v>
      </c>
      <c r="BQ1622" s="37"/>
      <c r="BR1622" s="37"/>
      <c r="BS1622" s="37"/>
      <c r="BT1622" s="37"/>
      <c r="BU1622" s="246"/>
      <c r="BV1622" s="37"/>
      <c r="BW1622" s="37"/>
      <c r="BX1622" s="37"/>
      <c r="BY1622" s="37"/>
      <c r="BZ1622" s="37"/>
      <c r="CA1622" s="37"/>
      <c r="CB1622" s="37"/>
      <c r="CC1622" s="37"/>
      <c r="CD1622" s="37"/>
      <c r="CE1622" s="37"/>
      <c r="CF1622" s="37"/>
      <c r="CG1622" s="37"/>
      <c r="CH1622" s="37"/>
      <c r="CI1622" s="243">
        <f t="shared" si="426"/>
        <v>0.30599999999999999</v>
      </c>
      <c r="CJ1622" s="243">
        <f t="shared" si="427"/>
        <v>-0.51427857351841999</v>
      </c>
      <c r="CK1622" s="38">
        <f t="shared" si="425"/>
        <v>29.106433660279333</v>
      </c>
      <c r="CL1622" s="247">
        <f t="shared" si="428"/>
        <v>47.559532124639432</v>
      </c>
      <c r="CM1622" s="247"/>
      <c r="CN1622" s="247"/>
      <c r="CO1622" s="36"/>
      <c r="CP1622" s="36" t="s">
        <v>2021</v>
      </c>
      <c r="CQ1622" s="241" t="s">
        <v>272</v>
      </c>
      <c r="CR1622" s="241"/>
      <c r="CS1622" s="33"/>
      <c r="CT1622" s="33"/>
      <c r="CU1622" s="250">
        <f t="shared" si="429"/>
        <v>3281.4450516844868</v>
      </c>
      <c r="CV1622" s="337">
        <f t="shared" si="413"/>
        <v>2008.2443716309058</v>
      </c>
      <c r="CW1622" s="330">
        <f t="shared" si="430"/>
        <v>1</v>
      </c>
      <c r="CX1622" s="330"/>
      <c r="CY1622" s="143" t="s">
        <v>5921</v>
      </c>
    </row>
    <row r="1623" spans="1:103" ht="11.25" customHeight="1" x14ac:dyDescent="0.2">
      <c r="A1623" s="72">
        <v>1621</v>
      </c>
      <c r="B1623" s="241">
        <v>85</v>
      </c>
      <c r="C1623" s="32" t="s">
        <v>7615</v>
      </c>
      <c r="D1623" s="32" t="s">
        <v>6428</v>
      </c>
      <c r="E1623" s="40"/>
      <c r="F1623" s="40" t="s">
        <v>607</v>
      </c>
      <c r="G1623" s="242">
        <v>52539</v>
      </c>
      <c r="H1623" s="36" t="s">
        <v>608</v>
      </c>
      <c r="I1623" s="36" t="s">
        <v>8206</v>
      </c>
      <c r="J1623" s="36" t="s">
        <v>609</v>
      </c>
      <c r="K1623" s="36" t="s">
        <v>610</v>
      </c>
      <c r="L1623" s="42" t="s">
        <v>279</v>
      </c>
      <c r="M1623" s="36" t="s">
        <v>611</v>
      </c>
      <c r="N1623" s="36" t="s">
        <v>6383</v>
      </c>
      <c r="O1623" s="36" t="s">
        <v>281</v>
      </c>
      <c r="P1623" s="41"/>
      <c r="Q1623" s="41"/>
      <c r="R1623" s="41"/>
      <c r="S1623" s="41"/>
      <c r="T1623" s="37">
        <v>454.6</v>
      </c>
      <c r="U1623" s="243"/>
      <c r="V1623" s="243">
        <v>9.8350197976242847E-3</v>
      </c>
      <c r="W1623" s="243">
        <v>4.265795188015923E-2</v>
      </c>
      <c r="X1623" s="243">
        <f>IF(W1623=0,V1623,W1623)</f>
        <v>4.265795188015923E-2</v>
      </c>
      <c r="Y1623" s="414">
        <v>9.1999999999999993</v>
      </c>
      <c r="Z1623" s="37">
        <v>4.8</v>
      </c>
      <c r="AA1623" s="37">
        <v>3.79</v>
      </c>
      <c r="AB1623" s="37">
        <v>3.97</v>
      </c>
      <c r="AC1623" s="37">
        <v>0.86899999999999999</v>
      </c>
      <c r="AD1623" s="37">
        <v>3.95</v>
      </c>
      <c r="AE1623" s="37">
        <v>3.9</v>
      </c>
      <c r="AF1623" s="37">
        <f t="shared" si="411"/>
        <v>3.79</v>
      </c>
      <c r="AG1623" s="38">
        <v>5.42</v>
      </c>
      <c r="AH1623" s="243">
        <v>8.7899999999999997E-15</v>
      </c>
      <c r="AI1623" s="243"/>
      <c r="AJ1623" s="34">
        <f t="shared" si="422"/>
        <v>-12.44457745123888</v>
      </c>
      <c r="AK1623" s="34"/>
      <c r="AL1623" s="34">
        <f t="shared" si="423"/>
        <v>-12.44457745123888</v>
      </c>
      <c r="AM1623" s="34">
        <v>-20.996379999999998</v>
      </c>
      <c r="AN1623" s="244">
        <v>-13.2</v>
      </c>
      <c r="AO1623" s="417"/>
      <c r="AP1623" s="417">
        <v>8.9700000000000006</v>
      </c>
      <c r="AQ1623" s="244" t="s">
        <v>6311</v>
      </c>
      <c r="AR1623" s="244" t="s">
        <v>6311</v>
      </c>
      <c r="AS1623" s="241" t="s">
        <v>90</v>
      </c>
      <c r="AT1623" s="39" t="s">
        <v>266</v>
      </c>
      <c r="AU1623" s="37">
        <v>0</v>
      </c>
      <c r="AV1623" s="37">
        <v>48</v>
      </c>
      <c r="AW1623" s="37">
        <v>48</v>
      </c>
      <c r="AX1623" s="37">
        <v>26</v>
      </c>
      <c r="AY1623" s="37" t="s">
        <v>8722</v>
      </c>
      <c r="AZ1623" s="37" t="s">
        <v>536</v>
      </c>
      <c r="BA1623" s="37">
        <v>20</v>
      </c>
      <c r="BB1623" s="36" t="s">
        <v>537</v>
      </c>
      <c r="BC1623" s="36" t="s">
        <v>538</v>
      </c>
      <c r="BD1623" s="36"/>
      <c r="BE1623" s="245" t="s">
        <v>271</v>
      </c>
      <c r="BF1623" s="245" t="s">
        <v>539</v>
      </c>
      <c r="BG1623" s="245" t="s">
        <v>540</v>
      </c>
      <c r="BH1623" s="245" t="s">
        <v>272</v>
      </c>
      <c r="BI1623" s="243">
        <v>0.23699999999999999</v>
      </c>
      <c r="BJ1623" s="243">
        <v>1.1998</v>
      </c>
      <c r="BK1623" s="37"/>
      <c r="BL1623" s="243">
        <f t="shared" si="424"/>
        <v>2.5114237675436129E-3</v>
      </c>
      <c r="BM1623" s="37" t="s">
        <v>541</v>
      </c>
      <c r="BN1623" s="37"/>
      <c r="BO1623" s="37">
        <v>0.58499999999999996</v>
      </c>
      <c r="BP1623" s="37"/>
      <c r="BQ1623" s="37"/>
      <c r="BR1623" s="37"/>
      <c r="BS1623" s="37"/>
      <c r="BT1623" s="37"/>
      <c r="BU1623" s="246"/>
      <c r="BV1623" s="37"/>
      <c r="BW1623" s="37"/>
      <c r="BX1623" s="37"/>
      <c r="BY1623" s="37"/>
      <c r="BZ1623" s="37"/>
      <c r="CA1623" s="37"/>
      <c r="CB1623" s="37"/>
      <c r="CC1623" s="37"/>
      <c r="CD1623" s="37"/>
      <c r="CE1623" s="37"/>
      <c r="CF1623" s="37"/>
      <c r="CG1623" s="37"/>
      <c r="CH1623" s="37"/>
      <c r="CI1623" s="243">
        <f t="shared" si="426"/>
        <v>0.58499999999999996</v>
      </c>
      <c r="CJ1623" s="243">
        <f t="shared" si="427"/>
        <v>-0.23284413391781958</v>
      </c>
      <c r="CK1623" s="38">
        <f t="shared" si="425"/>
        <v>2.0932020066207809E-3</v>
      </c>
      <c r="CL1623" s="247">
        <f t="shared" si="428"/>
        <v>4.2930320812711335E-3</v>
      </c>
      <c r="CM1623" s="247">
        <v>-2.2230605273547535</v>
      </c>
      <c r="CN1623" s="247">
        <f>BJ1623/(10^CM1623)</f>
        <v>200.52539705882361</v>
      </c>
      <c r="CO1623" s="36"/>
      <c r="CP1623" s="36" t="s">
        <v>542</v>
      </c>
      <c r="CQ1623" s="241">
        <v>-2.2230605273547535</v>
      </c>
      <c r="CR1623" s="241">
        <f>10^(CJ1623-CQ1623)</f>
        <v>97.772426470588329</v>
      </c>
      <c r="CS1623" s="33"/>
      <c r="CT1623" s="33"/>
      <c r="CU1623" s="250">
        <f t="shared" si="429"/>
        <v>7.2919575863520061E-2</v>
      </c>
      <c r="CV1623" s="337">
        <f t="shared" si="413"/>
        <v>3.5554218936622133E-2</v>
      </c>
      <c r="CW1623" s="330">
        <f t="shared" si="430"/>
        <v>0</v>
      </c>
      <c r="CX1623" s="330"/>
      <c r="CY1623" s="143" t="s">
        <v>5921</v>
      </c>
    </row>
    <row r="1624" spans="1:103" ht="11.25" customHeight="1" x14ac:dyDescent="0.2">
      <c r="A1624" s="72">
        <v>1622</v>
      </c>
      <c r="B1624" s="241">
        <v>712</v>
      </c>
      <c r="C1624" s="32" t="s">
        <v>7616</v>
      </c>
      <c r="D1624" s="32"/>
      <c r="E1624" s="40"/>
      <c r="F1624" s="40" t="s">
        <v>2016</v>
      </c>
      <c r="G1624" s="242">
        <v>53963</v>
      </c>
      <c r="H1624" s="36" t="s">
        <v>2017</v>
      </c>
      <c r="I1624" s="36" t="s">
        <v>2017</v>
      </c>
      <c r="J1624" s="36" t="s">
        <v>2018</v>
      </c>
      <c r="K1624" s="36" t="s">
        <v>471</v>
      </c>
      <c r="L1624" s="36"/>
      <c r="M1624" s="36"/>
      <c r="N1624" s="36"/>
      <c r="O1624" s="36"/>
      <c r="P1624" s="41"/>
      <c r="Q1624" s="41"/>
      <c r="R1624" s="41"/>
      <c r="S1624" s="41"/>
      <c r="T1624" s="37">
        <v>223.27</v>
      </c>
      <c r="U1624" s="243"/>
      <c r="V1624" s="243">
        <v>2.4786133381108074E-2</v>
      </c>
      <c r="W1624" s="243">
        <v>0.26915348039269166</v>
      </c>
      <c r="X1624" s="243">
        <f>IF(W1624=0,V1624,W1624)</f>
        <v>0.26915348039269166</v>
      </c>
      <c r="Y1624" s="414">
        <v>7</v>
      </c>
      <c r="Z1624" s="37">
        <v>3.12</v>
      </c>
      <c r="AA1624" s="37"/>
      <c r="AB1624" s="37">
        <v>3.36</v>
      </c>
      <c r="AC1624" s="37">
        <v>0.89739999999999998</v>
      </c>
      <c r="AD1624" s="37">
        <v>3.28</v>
      </c>
      <c r="AE1624" s="37">
        <v>3.03</v>
      </c>
      <c r="AF1624" s="37">
        <f t="shared" si="411"/>
        <v>3.28</v>
      </c>
      <c r="AG1624" s="38">
        <v>3.03</v>
      </c>
      <c r="AH1624" s="243">
        <v>1.9200000000000001E-10</v>
      </c>
      <c r="AI1624" s="243"/>
      <c r="AJ1624" s="34">
        <f t="shared" si="422"/>
        <v>-8.1052650976091023</v>
      </c>
      <c r="AK1624" s="34"/>
      <c r="AL1624" s="34">
        <f t="shared" si="423"/>
        <v>-8.1052650976091023</v>
      </c>
      <c r="AM1624" s="34">
        <v>-12.71959</v>
      </c>
      <c r="AN1624" s="244">
        <v>-9.43</v>
      </c>
      <c r="AO1624" s="417">
        <v>14.89</v>
      </c>
      <c r="AP1624" s="417">
        <v>0.62</v>
      </c>
      <c r="AQ1624" s="244" t="s">
        <v>6311</v>
      </c>
      <c r="AR1624" s="244" t="s">
        <v>6311</v>
      </c>
      <c r="AS1624" s="241" t="s">
        <v>6</v>
      </c>
      <c r="AT1624" s="39" t="s">
        <v>266</v>
      </c>
      <c r="AU1624" s="37">
        <v>2</v>
      </c>
      <c r="AV1624" s="37">
        <v>72</v>
      </c>
      <c r="AW1624" s="37">
        <v>72</v>
      </c>
      <c r="AX1624" s="37">
        <v>26</v>
      </c>
      <c r="AY1624" s="37" t="s">
        <v>647</v>
      </c>
      <c r="AZ1624" s="37" t="s">
        <v>536</v>
      </c>
      <c r="BA1624" s="37" t="s">
        <v>8723</v>
      </c>
      <c r="BB1624" s="36" t="s">
        <v>1644</v>
      </c>
      <c r="BC1624" s="36" t="s">
        <v>2019</v>
      </c>
      <c r="BD1624" s="36" t="s">
        <v>8374</v>
      </c>
      <c r="BE1624" s="37" t="s">
        <v>649</v>
      </c>
      <c r="BF1624" s="37" t="s">
        <v>272</v>
      </c>
      <c r="BG1624" s="37" t="s">
        <v>272</v>
      </c>
      <c r="BH1624" s="37" t="s">
        <v>2020</v>
      </c>
      <c r="BI1624" s="243">
        <v>5.0000000000000001E-3</v>
      </c>
      <c r="BJ1624" s="243">
        <v>0.01</v>
      </c>
      <c r="BK1624" s="37"/>
      <c r="BL1624" s="243">
        <f t="shared" si="424"/>
        <v>8.1045330941141552E-2</v>
      </c>
      <c r="BM1624" s="37" t="s">
        <v>541</v>
      </c>
      <c r="BN1624" s="37"/>
      <c r="BO1624" s="37"/>
      <c r="BP1624" s="37">
        <v>6.8999999999999999E-3</v>
      </c>
      <c r="BQ1624" s="37"/>
      <c r="BR1624" s="37"/>
      <c r="BS1624" s="37"/>
      <c r="BT1624" s="37"/>
      <c r="BU1624" s="246"/>
      <c r="BV1624" s="37"/>
      <c r="BW1624" s="37"/>
      <c r="BX1624" s="37"/>
      <c r="BY1624" s="37"/>
      <c r="BZ1624" s="37"/>
      <c r="CA1624" s="37"/>
      <c r="CB1624" s="37"/>
      <c r="CC1624" s="37"/>
      <c r="CD1624" s="37"/>
      <c r="CE1624" s="37"/>
      <c r="CF1624" s="37"/>
      <c r="CG1624" s="37"/>
      <c r="CH1624" s="37"/>
      <c r="CI1624" s="243">
        <f t="shared" si="426"/>
        <v>6.8999999999999999E-3</v>
      </c>
      <c r="CJ1624" s="243">
        <f t="shared" si="427"/>
        <v>-2.1611509092627448</v>
      </c>
      <c r="CK1624" s="38">
        <f t="shared" si="425"/>
        <v>8.1045330941141547</v>
      </c>
      <c r="CL1624" s="247">
        <f t="shared" si="428"/>
        <v>11.745700136397327</v>
      </c>
      <c r="CM1624" s="247"/>
      <c r="CN1624" s="247"/>
      <c r="CO1624" s="36"/>
      <c r="CP1624" s="36" t="s">
        <v>2021</v>
      </c>
      <c r="CQ1624" s="241" t="s">
        <v>272</v>
      </c>
      <c r="CR1624" s="241"/>
      <c r="CS1624" s="33"/>
      <c r="CT1624" s="33"/>
      <c r="CU1624" s="250">
        <f t="shared" si="429"/>
        <v>39.007750781549518</v>
      </c>
      <c r="CV1624" s="337">
        <f t="shared" si="413"/>
        <v>26.915348039269166</v>
      </c>
      <c r="CW1624" s="330">
        <f t="shared" si="430"/>
        <v>1</v>
      </c>
      <c r="CX1624" s="330"/>
      <c r="CY1624" s="143" t="s">
        <v>5921</v>
      </c>
    </row>
    <row r="1625" spans="1:103" ht="11.25" customHeight="1" x14ac:dyDescent="0.2">
      <c r="A1625" s="72">
        <v>1623</v>
      </c>
      <c r="B1625" s="241">
        <v>2036</v>
      </c>
      <c r="C1625" s="32" t="s">
        <v>312</v>
      </c>
      <c r="D1625" s="32"/>
      <c r="E1625" s="40"/>
      <c r="F1625" s="249" t="s">
        <v>5110</v>
      </c>
      <c r="G1625" s="242">
        <v>54115</v>
      </c>
      <c r="H1625" s="41" t="s">
        <v>313</v>
      </c>
      <c r="I1625" s="41" t="s">
        <v>313</v>
      </c>
      <c r="J1625" s="41" t="s">
        <v>314</v>
      </c>
      <c r="K1625" s="41" t="s">
        <v>315</v>
      </c>
      <c r="L1625" s="41" t="s">
        <v>316</v>
      </c>
      <c r="M1625" s="41" t="s">
        <v>5585</v>
      </c>
      <c r="N1625" s="36" t="s">
        <v>6376</v>
      </c>
      <c r="O1625" s="41" t="s">
        <v>2225</v>
      </c>
      <c r="P1625" s="41"/>
      <c r="Q1625" s="41" t="s">
        <v>6173</v>
      </c>
      <c r="R1625" s="41" t="s">
        <v>6185</v>
      </c>
      <c r="S1625" s="41" t="s">
        <v>6176</v>
      </c>
      <c r="T1625" s="33">
        <v>162.26</v>
      </c>
      <c r="U1625" s="250">
        <v>6164.0880231769715</v>
      </c>
      <c r="V1625" s="250">
        <v>6164.0880231769715</v>
      </c>
      <c r="W1625" s="250">
        <v>275.4228703338166</v>
      </c>
      <c r="X1625" s="250">
        <v>6164.0880231769715</v>
      </c>
      <c r="Y1625" s="415">
        <v>11</v>
      </c>
      <c r="Z1625" s="33">
        <v>1</v>
      </c>
      <c r="AA1625" s="33">
        <v>1.17</v>
      </c>
      <c r="AB1625" s="33">
        <v>0.86</v>
      </c>
      <c r="AC1625" s="33">
        <v>0.84609999999999996</v>
      </c>
      <c r="AD1625" s="33">
        <v>0.82</v>
      </c>
      <c r="AE1625" s="33">
        <v>0.72</v>
      </c>
      <c r="AF1625" s="33">
        <f t="shared" si="411"/>
        <v>1.17</v>
      </c>
      <c r="AG1625" s="34">
        <v>1.37</v>
      </c>
      <c r="AH1625" s="250">
        <v>3E-9</v>
      </c>
      <c r="AI1625" s="250"/>
      <c r="AJ1625" s="34">
        <f t="shared" si="422"/>
        <v>-6.9114450715929898</v>
      </c>
      <c r="AK1625" s="34"/>
      <c r="AL1625" s="34">
        <f t="shared" si="423"/>
        <v>-6.9114450715929898</v>
      </c>
      <c r="AM1625" s="34">
        <v>-8.0645500000000006</v>
      </c>
      <c r="AN1625" s="251">
        <v>-6.7946999999999997</v>
      </c>
      <c r="AO1625" s="417"/>
      <c r="AP1625" s="417">
        <v>8</v>
      </c>
      <c r="AQ1625" s="251" t="s">
        <v>6311</v>
      </c>
      <c r="AR1625" s="251" t="s">
        <v>6311</v>
      </c>
      <c r="AS1625" s="252" t="s">
        <v>5466</v>
      </c>
      <c r="AT1625" s="35" t="s">
        <v>266</v>
      </c>
      <c r="AU1625" s="33">
        <v>24</v>
      </c>
      <c r="AV1625" s="33">
        <v>96</v>
      </c>
      <c r="AW1625" s="33">
        <v>72</v>
      </c>
      <c r="AX1625" s="33">
        <v>28</v>
      </c>
      <c r="AY1625" s="253">
        <v>0.59027777777777779</v>
      </c>
      <c r="AZ1625" s="33" t="s">
        <v>6277</v>
      </c>
      <c r="BA1625" s="33" t="s">
        <v>6278</v>
      </c>
      <c r="BB1625" s="41" t="s">
        <v>6275</v>
      </c>
      <c r="BC1625" s="41" t="s">
        <v>6274</v>
      </c>
      <c r="BD1625" s="41"/>
      <c r="BE1625" s="41" t="s">
        <v>6273</v>
      </c>
      <c r="BF1625" s="33" t="s">
        <v>272</v>
      </c>
      <c r="BG1625" s="33" t="s">
        <v>6272</v>
      </c>
      <c r="BH1625" s="33" t="s">
        <v>5936</v>
      </c>
      <c r="BI1625" s="250">
        <v>0.01</v>
      </c>
      <c r="BJ1625" s="250">
        <v>0.04</v>
      </c>
      <c r="BK1625" s="254" t="s">
        <v>6276</v>
      </c>
      <c r="BL1625" s="250">
        <f t="shared" si="424"/>
        <v>6.4968075173879427</v>
      </c>
      <c r="BM1625" s="33">
        <v>6</v>
      </c>
      <c r="BN1625" s="33"/>
      <c r="BO1625" s="33"/>
      <c r="BP1625" s="33"/>
      <c r="BQ1625" s="33"/>
      <c r="BR1625" s="33"/>
      <c r="BS1625" s="33"/>
      <c r="BT1625" s="33"/>
      <c r="BU1625" s="246"/>
      <c r="BV1625" s="33"/>
      <c r="BW1625" s="33"/>
      <c r="BX1625" s="33"/>
      <c r="BY1625" s="33"/>
      <c r="BZ1625" s="33"/>
      <c r="CA1625" s="33">
        <v>21.4</v>
      </c>
      <c r="CB1625" s="33"/>
      <c r="CC1625" s="33"/>
      <c r="CD1625" s="33"/>
      <c r="CE1625" s="33"/>
      <c r="CF1625" s="33"/>
      <c r="CG1625" s="33"/>
      <c r="CH1625" s="33"/>
      <c r="CI1625" s="250">
        <f t="shared" si="426"/>
        <v>21.4</v>
      </c>
      <c r="CJ1625" s="243">
        <f t="shared" si="427"/>
        <v>1.3304137733491908</v>
      </c>
      <c r="CK1625" s="38">
        <f t="shared" si="425"/>
        <v>162.42018793469856</v>
      </c>
      <c r="CL1625" s="247">
        <f t="shared" si="428"/>
        <v>0.30358913632653939</v>
      </c>
      <c r="CM1625" s="247">
        <v>-1.6080711768561735</v>
      </c>
      <c r="CN1625" s="247">
        <f>BJ1625/(10^CM1625)</f>
        <v>1.6223000000000001</v>
      </c>
      <c r="CO1625" s="41" t="s">
        <v>6279</v>
      </c>
      <c r="CP1625" s="41" t="s">
        <v>6280</v>
      </c>
      <c r="CQ1625" s="241">
        <v>-1.5409029213818335</v>
      </c>
      <c r="CR1625" s="241">
        <f>10^(CJ1625-CQ1625)</f>
        <v>743.56115736218874</v>
      </c>
      <c r="CS1625" s="33"/>
      <c r="CT1625" s="33" t="s">
        <v>6310</v>
      </c>
      <c r="CU1625" s="250">
        <f t="shared" si="429"/>
        <v>288.0414964101389</v>
      </c>
      <c r="CV1625" s="337">
        <f t="shared" si="413"/>
        <v>154102.20057942427</v>
      </c>
      <c r="CW1625" s="330">
        <f t="shared" si="430"/>
        <v>1</v>
      </c>
      <c r="CX1625" s="330" t="s">
        <v>539</v>
      </c>
      <c r="CY1625" s="143" t="s">
        <v>6351</v>
      </c>
    </row>
    <row r="1626" spans="1:103" ht="11.25" customHeight="1" x14ac:dyDescent="0.2">
      <c r="A1626" s="72">
        <v>1624</v>
      </c>
      <c r="B1626" s="241">
        <v>2127</v>
      </c>
      <c r="C1626" s="32" t="s">
        <v>312</v>
      </c>
      <c r="D1626" s="32"/>
      <c r="E1626" s="40"/>
      <c r="F1626" s="40" t="s">
        <v>5110</v>
      </c>
      <c r="G1626" s="242">
        <v>54115</v>
      </c>
      <c r="H1626" s="255" t="s">
        <v>313</v>
      </c>
      <c r="I1626" s="255" t="s">
        <v>313</v>
      </c>
      <c r="J1626" s="255" t="s">
        <v>314</v>
      </c>
      <c r="K1626" s="255" t="s">
        <v>315</v>
      </c>
      <c r="L1626" s="255" t="s">
        <v>316</v>
      </c>
      <c r="M1626" s="255" t="s">
        <v>5585</v>
      </c>
      <c r="N1626" s="36" t="s">
        <v>6376</v>
      </c>
      <c r="O1626" s="255" t="s">
        <v>2225</v>
      </c>
      <c r="P1626" s="255"/>
      <c r="Q1626" s="255" t="s">
        <v>6173</v>
      </c>
      <c r="R1626" s="255" t="s">
        <v>6185</v>
      </c>
      <c r="S1626" s="255" t="s">
        <v>6176</v>
      </c>
      <c r="T1626" s="43">
        <v>162.26</v>
      </c>
      <c r="U1626" s="256">
        <v>6164.0880231769715</v>
      </c>
      <c r="V1626" s="256">
        <v>6164.0880231769715</v>
      </c>
      <c r="W1626" s="256">
        <v>275.4228703338166</v>
      </c>
      <c r="X1626" s="256">
        <v>6164.0880231769715</v>
      </c>
      <c r="Y1626" s="416">
        <v>11</v>
      </c>
      <c r="Z1626" s="43">
        <v>1</v>
      </c>
      <c r="AA1626" s="43">
        <v>1.17</v>
      </c>
      <c r="AB1626" s="43">
        <v>0.86</v>
      </c>
      <c r="AC1626" s="43">
        <v>0.84609999999999996</v>
      </c>
      <c r="AD1626" s="43">
        <v>0.82</v>
      </c>
      <c r="AE1626" s="43">
        <v>0.72</v>
      </c>
      <c r="AF1626" s="43">
        <f t="shared" ref="AF1626:AF1689" si="431">IF(AA1626=0,AD1626,AA1626)</f>
        <v>1.17</v>
      </c>
      <c r="AG1626" s="44">
        <v>1.37</v>
      </c>
      <c r="AH1626" s="256">
        <v>3E-9</v>
      </c>
      <c r="AI1626" s="256"/>
      <c r="AJ1626" s="34">
        <f t="shared" si="422"/>
        <v>-6.9114450715929898</v>
      </c>
      <c r="AK1626" s="34"/>
      <c r="AL1626" s="34">
        <f t="shared" si="423"/>
        <v>-6.9114450715929898</v>
      </c>
      <c r="AM1626" s="34">
        <v>-8.0645500000000006</v>
      </c>
      <c r="AN1626" s="257">
        <v>-6.7946999999999997</v>
      </c>
      <c r="AO1626" s="417"/>
      <c r="AP1626" s="417">
        <v>8</v>
      </c>
      <c r="AQ1626" s="257" t="s">
        <v>6311</v>
      </c>
      <c r="AR1626" s="257" t="s">
        <v>6311</v>
      </c>
      <c r="AS1626" s="252" t="s">
        <v>5466</v>
      </c>
      <c r="AT1626" s="35" t="s">
        <v>266</v>
      </c>
      <c r="AU1626" s="43">
        <v>5</v>
      </c>
      <c r="AV1626" s="43">
        <v>25</v>
      </c>
      <c r="AW1626" s="43">
        <v>20</v>
      </c>
      <c r="AX1626" s="43">
        <v>28</v>
      </c>
      <c r="AY1626" s="43" t="s">
        <v>267</v>
      </c>
      <c r="AZ1626" s="43" t="s">
        <v>5820</v>
      </c>
      <c r="BA1626" s="43"/>
      <c r="BB1626" s="255" t="s">
        <v>5821</v>
      </c>
      <c r="BC1626" s="421" t="s">
        <v>8377</v>
      </c>
      <c r="BD1626" s="255"/>
      <c r="BE1626" s="43" t="s">
        <v>2449</v>
      </c>
      <c r="BF1626" s="43"/>
      <c r="BG1626" s="43"/>
      <c r="BH1626" s="43" t="s">
        <v>5626</v>
      </c>
      <c r="BI1626" s="256"/>
      <c r="BJ1626" s="256">
        <v>0.05</v>
      </c>
      <c r="BK1626" s="258"/>
      <c r="BL1626" s="256">
        <f t="shared" si="424"/>
        <v>6.4968075173879427</v>
      </c>
      <c r="BM1626" s="43"/>
      <c r="BN1626" s="43" t="s">
        <v>5822</v>
      </c>
      <c r="BO1626" s="43"/>
      <c r="BP1626" s="43"/>
      <c r="BQ1626" s="43"/>
      <c r="BR1626" s="43"/>
      <c r="BS1626" s="43"/>
      <c r="BT1626" s="43"/>
      <c r="BU1626" s="259"/>
      <c r="BV1626" s="43"/>
      <c r="BW1626" s="43"/>
      <c r="BX1626" s="43"/>
      <c r="BY1626" s="43"/>
      <c r="BZ1626" s="43"/>
      <c r="CA1626" s="43"/>
      <c r="CB1626" s="43"/>
      <c r="CC1626" s="43"/>
      <c r="CD1626" s="43"/>
      <c r="CE1626" s="43"/>
      <c r="CF1626" s="43"/>
      <c r="CG1626" s="43"/>
      <c r="CH1626" s="43"/>
      <c r="CI1626" s="256"/>
      <c r="CJ1626" s="243"/>
      <c r="CK1626" s="260">
        <f t="shared" si="425"/>
        <v>129.93615034775885</v>
      </c>
      <c r="CL1626" s="247"/>
      <c r="CM1626" s="247">
        <v>-1.6080711768561735</v>
      </c>
      <c r="CN1626" s="247">
        <f>BJ1626/(10^CM1626)</f>
        <v>2.0278750000000003</v>
      </c>
      <c r="CO1626" s="255"/>
      <c r="CP1626" s="255" t="s">
        <v>8376</v>
      </c>
      <c r="CQ1626" s="241">
        <v>-1.5409029213818335</v>
      </c>
      <c r="CR1626" s="241">
        <f>10^(CJ1626-CQ1626)</f>
        <v>34.745848474868652</v>
      </c>
      <c r="CS1626" s="43"/>
      <c r="CT1626" s="43"/>
      <c r="CU1626" s="250"/>
      <c r="CV1626" s="337">
        <f t="shared" si="413"/>
        <v>123281.76046353942</v>
      </c>
      <c r="CW1626" s="330">
        <f>IF(CV1626&lt;1,0,1)</f>
        <v>1</v>
      </c>
      <c r="CX1626" s="330"/>
      <c r="CY1626" s="143" t="s">
        <v>6351</v>
      </c>
    </row>
    <row r="1627" spans="1:103" ht="11.25" customHeight="1" x14ac:dyDescent="0.2">
      <c r="A1627" s="72">
        <v>1625</v>
      </c>
      <c r="B1627" s="241">
        <v>127</v>
      </c>
      <c r="C1627" s="32" t="s">
        <v>479</v>
      </c>
      <c r="D1627" s="32" t="s">
        <v>8352</v>
      </c>
      <c r="E1627" s="40"/>
      <c r="F1627" s="40" t="s">
        <v>480</v>
      </c>
      <c r="G1627" s="242">
        <v>54853</v>
      </c>
      <c r="H1627" s="36" t="s">
        <v>481</v>
      </c>
      <c r="I1627" s="36" t="s">
        <v>481</v>
      </c>
      <c r="J1627" s="36" t="s">
        <v>482</v>
      </c>
      <c r="K1627" s="36" t="s">
        <v>483</v>
      </c>
      <c r="L1627" s="42" t="s">
        <v>279</v>
      </c>
      <c r="M1627" s="36" t="s">
        <v>484</v>
      </c>
      <c r="N1627" s="36"/>
      <c r="O1627" s="36" t="s">
        <v>281</v>
      </c>
      <c r="P1627" s="41"/>
      <c r="Q1627" s="41"/>
      <c r="R1627" s="41"/>
      <c r="S1627" s="41"/>
      <c r="T1627" s="37">
        <v>137.13999999999999</v>
      </c>
      <c r="U1627" s="243">
        <v>1020.8546011375238</v>
      </c>
      <c r="V1627" s="243">
        <v>121.70045209275195</v>
      </c>
      <c r="W1627" s="243"/>
      <c r="X1627" s="243">
        <v>1020.8546011375238</v>
      </c>
      <c r="Y1627" s="414">
        <v>7.32</v>
      </c>
      <c r="Z1627" s="37">
        <v>-0.81</v>
      </c>
      <c r="AA1627" s="37">
        <v>-0.7</v>
      </c>
      <c r="AB1627" s="37">
        <v>-0.52</v>
      </c>
      <c r="AC1627" s="37">
        <v>0.80269999999999997</v>
      </c>
      <c r="AD1627" s="37">
        <v>-0.63</v>
      </c>
      <c r="AE1627" s="37">
        <v>-0.89</v>
      </c>
      <c r="AF1627" s="37">
        <f t="shared" si="431"/>
        <v>-0.7</v>
      </c>
      <c r="AG1627" s="38">
        <v>-0.67</v>
      </c>
      <c r="AH1627" s="243">
        <v>1.21E-14</v>
      </c>
      <c r="AI1627" s="243"/>
      <c r="AJ1627" s="34">
        <f t="shared" si="422"/>
        <v>-12.305780955996202</v>
      </c>
      <c r="AK1627" s="34"/>
      <c r="AL1627" s="34">
        <f t="shared" si="423"/>
        <v>-12.305780955996202</v>
      </c>
      <c r="AM1627" s="34">
        <v>-14.64358</v>
      </c>
      <c r="AN1627" s="244">
        <v>-11.7</v>
      </c>
      <c r="AO1627" s="417">
        <v>11.4</v>
      </c>
      <c r="AP1627" s="417">
        <v>3.79</v>
      </c>
      <c r="AQ1627" s="244" t="s">
        <v>6311</v>
      </c>
      <c r="AR1627" s="244" t="s">
        <v>6311</v>
      </c>
      <c r="AS1627" s="241" t="s">
        <v>6</v>
      </c>
      <c r="AT1627" s="39" t="s">
        <v>266</v>
      </c>
      <c r="AU1627" s="37">
        <v>0</v>
      </c>
      <c r="AV1627" s="37" t="s">
        <v>646</v>
      </c>
      <c r="AW1627" s="37" t="s">
        <v>646</v>
      </c>
      <c r="AX1627" s="37">
        <v>26</v>
      </c>
      <c r="AY1627" s="37" t="s">
        <v>647</v>
      </c>
      <c r="AZ1627" s="37" t="s">
        <v>536</v>
      </c>
      <c r="BA1627" s="37">
        <v>20</v>
      </c>
      <c r="BB1627" s="36" t="s">
        <v>537</v>
      </c>
      <c r="BC1627" s="36" t="s">
        <v>648</v>
      </c>
      <c r="BD1627" s="36"/>
      <c r="BE1627" s="245" t="s">
        <v>649</v>
      </c>
      <c r="BF1627" s="245" t="s">
        <v>650</v>
      </c>
      <c r="BG1627" s="245" t="s">
        <v>540</v>
      </c>
      <c r="BH1627" s="245" t="s">
        <v>272</v>
      </c>
      <c r="BI1627" s="243">
        <v>160.4</v>
      </c>
      <c r="BJ1627" s="243">
        <v>457.9</v>
      </c>
      <c r="BK1627" s="37"/>
      <c r="BL1627" s="243">
        <f t="shared" si="424"/>
        <v>274.32222838559966</v>
      </c>
      <c r="BM1627" s="37" t="s">
        <v>541</v>
      </c>
      <c r="BN1627" s="37"/>
      <c r="BO1627" s="37">
        <v>309.10000000000002</v>
      </c>
      <c r="BP1627" s="37"/>
      <c r="BQ1627" s="37"/>
      <c r="BR1627" s="37"/>
      <c r="BS1627" s="37"/>
      <c r="BT1627" s="37"/>
      <c r="BU1627" s="246"/>
      <c r="BV1627" s="37"/>
      <c r="BW1627" s="37"/>
      <c r="BX1627" s="37"/>
      <c r="BY1627" s="37"/>
      <c r="BZ1627" s="37"/>
      <c r="CA1627" s="37"/>
      <c r="CB1627" s="37"/>
      <c r="CC1627" s="37"/>
      <c r="CD1627" s="37"/>
      <c r="CE1627" s="37"/>
      <c r="CF1627" s="37"/>
      <c r="CG1627" s="37"/>
      <c r="CH1627" s="37"/>
      <c r="CI1627" s="243">
        <f>MIN(BN1627:CH1627)</f>
        <v>309.10000000000002</v>
      </c>
      <c r="CJ1627" s="243">
        <f>LOG10(CI1627)</f>
        <v>2.4900990050633052</v>
      </c>
      <c r="CK1627" s="38">
        <f t="shared" si="425"/>
        <v>0.59908763569687629</v>
      </c>
      <c r="CL1627" s="247">
        <f>BL1627/CI1627</f>
        <v>0.88748698927725533</v>
      </c>
      <c r="CM1627" s="247"/>
      <c r="CN1627" s="247"/>
      <c r="CO1627" s="36"/>
      <c r="CP1627" s="36" t="s">
        <v>651</v>
      </c>
      <c r="CQ1627" s="241" t="s">
        <v>272</v>
      </c>
      <c r="CR1627" s="241"/>
      <c r="CS1627" s="33"/>
      <c r="CT1627" s="33"/>
      <c r="CU1627" s="250">
        <f>X1627/CI1627</f>
        <v>3.3026677487464373</v>
      </c>
      <c r="CV1627" s="337">
        <f t="shared" si="413"/>
        <v>2.2294269515997462</v>
      </c>
      <c r="CW1627" s="330">
        <f>IF(CU1627&lt;2,0,1)</f>
        <v>1</v>
      </c>
      <c r="CX1627" s="330"/>
      <c r="CY1627" s="143" t="s">
        <v>5921</v>
      </c>
    </row>
    <row r="1628" spans="1:103" ht="11.25" customHeight="1" x14ac:dyDescent="0.2">
      <c r="A1628" s="72">
        <v>1626</v>
      </c>
      <c r="B1628" s="241">
        <v>792</v>
      </c>
      <c r="C1628" s="32" t="s">
        <v>1349</v>
      </c>
      <c r="D1628" s="32"/>
      <c r="E1628" s="40"/>
      <c r="F1628" s="40" t="s">
        <v>1350</v>
      </c>
      <c r="G1628" s="242">
        <v>56382</v>
      </c>
      <c r="H1628" s="36" t="s">
        <v>1351</v>
      </c>
      <c r="I1628" s="36" t="s">
        <v>7980</v>
      </c>
      <c r="J1628" s="36" t="s">
        <v>1352</v>
      </c>
      <c r="K1628" s="36" t="s">
        <v>628</v>
      </c>
      <c r="L1628" s="36" t="s">
        <v>617</v>
      </c>
      <c r="M1628" s="36" t="s">
        <v>618</v>
      </c>
      <c r="N1628" s="36" t="s">
        <v>6376</v>
      </c>
      <c r="O1628" s="36" t="s">
        <v>1353</v>
      </c>
      <c r="P1628" s="41"/>
      <c r="Q1628" s="41"/>
      <c r="R1628" s="41"/>
      <c r="S1628" s="41"/>
      <c r="T1628" s="37">
        <v>291.26</v>
      </c>
      <c r="U1628" s="243">
        <v>3.7766943624253244E-2</v>
      </c>
      <c r="V1628" s="243">
        <v>1.0348142553045388E-2</v>
      </c>
      <c r="W1628" s="243">
        <v>2.3442288153199219E-2</v>
      </c>
      <c r="X1628" s="243">
        <v>3.7766943624253244E-2</v>
      </c>
      <c r="Y1628" s="414">
        <v>7</v>
      </c>
      <c r="Z1628" s="37">
        <v>3.73</v>
      </c>
      <c r="AA1628" s="37">
        <v>3.83</v>
      </c>
      <c r="AB1628" s="37">
        <v>3.48</v>
      </c>
      <c r="AC1628" s="37">
        <v>0.87450000000000006</v>
      </c>
      <c r="AD1628" s="37">
        <v>3.57</v>
      </c>
      <c r="AE1628" s="37">
        <v>3.84</v>
      </c>
      <c r="AF1628" s="37">
        <f t="shared" si="431"/>
        <v>3.83</v>
      </c>
      <c r="AG1628" s="38">
        <v>3</v>
      </c>
      <c r="AH1628" s="243">
        <v>2.96E-7</v>
      </c>
      <c r="AI1628" s="243">
        <v>2.9799999999999999E-7</v>
      </c>
      <c r="AJ1628" s="34">
        <f t="shared" si="422"/>
        <v>-4.9172746152537128</v>
      </c>
      <c r="AK1628" s="34">
        <f>LOG10(AI1628*1000/(0.08206*298.15))</f>
        <v>-4.9143500622363963</v>
      </c>
      <c r="AL1628" s="34">
        <f t="shared" si="423"/>
        <v>-4.9143500622363963</v>
      </c>
      <c r="AM1628" s="34">
        <v>-11.31479</v>
      </c>
      <c r="AN1628" s="244">
        <v>-4.29</v>
      </c>
      <c r="AO1628" s="417"/>
      <c r="AP1628" s="417"/>
      <c r="AQ1628" s="244" t="s">
        <v>6314</v>
      </c>
      <c r="AR1628" s="244" t="s">
        <v>6314</v>
      </c>
      <c r="AS1628" s="241" t="s">
        <v>6</v>
      </c>
      <c r="AT1628" s="39" t="s">
        <v>266</v>
      </c>
      <c r="AU1628" s="37">
        <v>2</v>
      </c>
      <c r="AV1628" s="37">
        <v>48</v>
      </c>
      <c r="AW1628" s="37">
        <v>48</v>
      </c>
      <c r="AX1628" s="37">
        <v>26</v>
      </c>
      <c r="AY1628" s="37" t="s">
        <v>8722</v>
      </c>
      <c r="AZ1628" s="37" t="s">
        <v>1893</v>
      </c>
      <c r="BA1628" s="37">
        <v>15</v>
      </c>
      <c r="BB1628" s="36" t="s">
        <v>1613</v>
      </c>
      <c r="BC1628" s="36" t="s">
        <v>1887</v>
      </c>
      <c r="BD1628" s="36"/>
      <c r="BE1628" s="37" t="s">
        <v>1712</v>
      </c>
      <c r="BF1628" s="37" t="s">
        <v>540</v>
      </c>
      <c r="BG1628" s="37" t="s">
        <v>540</v>
      </c>
      <c r="BH1628" s="37" t="s">
        <v>272</v>
      </c>
      <c r="BI1628" s="243">
        <v>2.0999999999999999E-3</v>
      </c>
      <c r="BJ1628" s="243">
        <v>3.4299999999999997E-2</v>
      </c>
      <c r="BK1628" s="37"/>
      <c r="BL1628" s="243">
        <f t="shared" si="424"/>
        <v>2.2955512860559066E-2</v>
      </c>
      <c r="BM1628" s="37" t="s">
        <v>541</v>
      </c>
      <c r="BN1628" s="37"/>
      <c r="BO1628" s="37"/>
      <c r="BP1628" s="37"/>
      <c r="BQ1628" s="37"/>
      <c r="BR1628" s="37"/>
      <c r="BS1628" s="37"/>
      <c r="BT1628" s="37"/>
      <c r="BU1628" s="246"/>
      <c r="BV1628" s="37"/>
      <c r="BW1628" s="37"/>
      <c r="BX1628" s="37"/>
      <c r="BY1628" s="37"/>
      <c r="BZ1628" s="37"/>
      <c r="CA1628" s="37"/>
      <c r="CB1628" s="37"/>
      <c r="CC1628" s="37"/>
      <c r="CD1628" s="37"/>
      <c r="CE1628" s="37"/>
      <c r="CF1628" s="37"/>
      <c r="CG1628" s="37"/>
      <c r="CH1628" s="37"/>
      <c r="CI1628" s="243"/>
      <c r="CJ1628" s="243"/>
      <c r="CK1628" s="38">
        <f t="shared" si="425"/>
        <v>0.66925693471017689</v>
      </c>
      <c r="CL1628" s="247"/>
      <c r="CM1628" s="247">
        <v>-3.28330914160333</v>
      </c>
      <c r="CN1628" s="247">
        <f>BJ1628/(10^CM1628)</f>
        <v>65.857199915488366</v>
      </c>
      <c r="CO1628" s="36" t="s">
        <v>1888</v>
      </c>
      <c r="CP1628" s="36" t="s">
        <v>1889</v>
      </c>
      <c r="CQ1628" s="241">
        <v>-2.6971744164506752</v>
      </c>
      <c r="CR1628" s="241">
        <f>10^(CJ1628-CQ1628)</f>
        <v>497.93702067745448</v>
      </c>
      <c r="CS1628" s="33"/>
      <c r="CT1628" s="33"/>
      <c r="CU1628" s="250"/>
      <c r="CV1628" s="337">
        <f t="shared" si="413"/>
        <v>1.101077073593389</v>
      </c>
      <c r="CW1628" s="330">
        <f>IF(CV1628&lt;1,0,1)</f>
        <v>1</v>
      </c>
      <c r="CX1628" s="330" t="s">
        <v>539</v>
      </c>
      <c r="CY1628" s="143" t="s">
        <v>5921</v>
      </c>
    </row>
    <row r="1629" spans="1:103" ht="11.25" customHeight="1" x14ac:dyDescent="0.2">
      <c r="A1629" s="72">
        <v>1627</v>
      </c>
      <c r="B1629" s="241">
        <v>1943</v>
      </c>
      <c r="C1629" s="32" t="s">
        <v>7617</v>
      </c>
      <c r="D1629" s="32"/>
      <c r="E1629" s="40"/>
      <c r="F1629" s="40" t="s">
        <v>3089</v>
      </c>
      <c r="G1629" s="242">
        <v>56531</v>
      </c>
      <c r="H1629" s="41" t="s">
        <v>3090</v>
      </c>
      <c r="I1629" s="41" t="s">
        <v>3090</v>
      </c>
      <c r="J1629" s="41" t="s">
        <v>3091</v>
      </c>
      <c r="K1629" s="41" t="s">
        <v>376</v>
      </c>
      <c r="L1629" s="41" t="s">
        <v>5509</v>
      </c>
      <c r="M1629" s="41" t="s">
        <v>3092</v>
      </c>
      <c r="N1629" s="36"/>
      <c r="O1629" s="41" t="s">
        <v>281</v>
      </c>
      <c r="P1629" s="41"/>
      <c r="Q1629" s="41"/>
      <c r="R1629" s="41"/>
      <c r="S1629" s="41"/>
      <c r="T1629" s="33">
        <v>268.36</v>
      </c>
      <c r="U1629" s="250">
        <v>4.4717719396310786E-2</v>
      </c>
      <c r="V1629" s="250">
        <v>1.2375628842929011E-2</v>
      </c>
      <c r="W1629" s="250">
        <v>1.3182567385564052E-2</v>
      </c>
      <c r="X1629" s="250">
        <v>4.4717719396310786E-2</v>
      </c>
      <c r="Y1629" s="415">
        <v>6.98</v>
      </c>
      <c r="Z1629" s="33">
        <v>5.64</v>
      </c>
      <c r="AA1629" s="33">
        <v>5.07</v>
      </c>
      <c r="AB1629" s="33">
        <v>4.07</v>
      </c>
      <c r="AC1629" s="33">
        <v>0.68459999999999999</v>
      </c>
      <c r="AD1629" s="33">
        <v>4.79</v>
      </c>
      <c r="AE1629" s="33">
        <v>5.93</v>
      </c>
      <c r="AF1629" s="33">
        <f t="shared" si="431"/>
        <v>5.07</v>
      </c>
      <c r="AG1629" s="34">
        <v>4.84</v>
      </c>
      <c r="AH1629" s="250">
        <v>5.8000000000000003E-12</v>
      </c>
      <c r="AI1629" s="250"/>
      <c r="AJ1629" s="34">
        <f t="shared" si="422"/>
        <v>-9.6251383327497138</v>
      </c>
      <c r="AK1629" s="34"/>
      <c r="AL1629" s="34">
        <f t="shared" si="423"/>
        <v>-9.6251383327497138</v>
      </c>
      <c r="AM1629" s="34">
        <v>-14.59704</v>
      </c>
      <c r="AN1629" s="251">
        <v>-10.596</v>
      </c>
      <c r="AO1629" s="417">
        <v>10.18</v>
      </c>
      <c r="AP1629" s="417"/>
      <c r="AQ1629" s="251" t="s">
        <v>6311</v>
      </c>
      <c r="AR1629" s="251" t="s">
        <v>6311</v>
      </c>
      <c r="AS1629" s="252" t="s">
        <v>5466</v>
      </c>
      <c r="AT1629" s="35" t="s">
        <v>266</v>
      </c>
      <c r="AU1629" s="33">
        <v>12</v>
      </c>
      <c r="AV1629" s="33">
        <v>48</v>
      </c>
      <c r="AW1629" s="33">
        <v>36</v>
      </c>
      <c r="AX1629" s="33">
        <v>28.5</v>
      </c>
      <c r="AY1629" s="33" t="s">
        <v>267</v>
      </c>
      <c r="AZ1629" s="33" t="s">
        <v>5504</v>
      </c>
      <c r="BA1629" s="33">
        <v>20</v>
      </c>
      <c r="BB1629" s="41" t="s">
        <v>5505</v>
      </c>
      <c r="BC1629" s="41" t="s">
        <v>5506</v>
      </c>
      <c r="BD1629" s="41"/>
      <c r="BE1629" s="33" t="s">
        <v>2449</v>
      </c>
      <c r="BF1629" s="33"/>
      <c r="BG1629" s="33"/>
      <c r="BH1629" s="33"/>
      <c r="BI1629" s="250"/>
      <c r="BJ1629" s="250">
        <v>1E-3</v>
      </c>
      <c r="BK1629" s="33"/>
      <c r="BL1629" s="250">
        <f t="shared" si="424"/>
        <v>4.4209540397220079E-4</v>
      </c>
      <c r="BM1629" s="33"/>
      <c r="BN1629" s="33"/>
      <c r="BO1629" s="33"/>
      <c r="BP1629" s="33"/>
      <c r="BQ1629" s="33"/>
      <c r="BR1629" s="33"/>
      <c r="BS1629" s="33"/>
      <c r="BT1629" s="33"/>
      <c r="BU1629" s="246"/>
      <c r="BV1629" s="33"/>
      <c r="BW1629" s="33"/>
      <c r="BX1629" s="33" t="s">
        <v>5507</v>
      </c>
      <c r="BY1629" s="33"/>
      <c r="BZ1629" s="33"/>
      <c r="CA1629" s="33"/>
      <c r="CB1629" s="33"/>
      <c r="CC1629" s="33"/>
      <c r="CD1629" s="33"/>
      <c r="CE1629" s="33"/>
      <c r="CF1629" s="33"/>
      <c r="CG1629" s="33"/>
      <c r="CH1629" s="33"/>
      <c r="CI1629" s="250"/>
      <c r="CJ1629" s="243"/>
      <c r="CK1629" s="38">
        <f t="shared" si="425"/>
        <v>0.44209540397220076</v>
      </c>
      <c r="CL1629" s="247"/>
      <c r="CM1629" s="247"/>
      <c r="CN1629" s="247"/>
      <c r="CO1629" s="41"/>
      <c r="CP1629" s="41" t="s">
        <v>5508</v>
      </c>
      <c r="CQ1629" s="241" t="s">
        <v>272</v>
      </c>
      <c r="CR1629" s="241"/>
      <c r="CS1629" s="33"/>
      <c r="CT1629" s="33"/>
      <c r="CU1629" s="250"/>
      <c r="CV1629" s="337">
        <f t="shared" si="413"/>
        <v>44.717719396310784</v>
      </c>
      <c r="CW1629" s="330">
        <f>IF(CV1629&lt;1,0,1)</f>
        <v>1</v>
      </c>
      <c r="CX1629" s="330"/>
      <c r="CY1629" s="143" t="s">
        <v>5921</v>
      </c>
    </row>
    <row r="1630" spans="1:103" ht="11.25" customHeight="1" x14ac:dyDescent="0.2">
      <c r="A1630" s="72">
        <v>1628</v>
      </c>
      <c r="B1630" s="241">
        <v>645</v>
      </c>
      <c r="C1630" s="32" t="s">
        <v>7618</v>
      </c>
      <c r="D1630" s="32"/>
      <c r="E1630" s="40"/>
      <c r="F1630" s="40" t="s">
        <v>1906</v>
      </c>
      <c r="G1630" s="242">
        <v>56575</v>
      </c>
      <c r="H1630" s="36" t="s">
        <v>1907</v>
      </c>
      <c r="I1630" s="36" t="s">
        <v>8207</v>
      </c>
      <c r="J1630" s="36" t="s">
        <v>1908</v>
      </c>
      <c r="K1630" s="36" t="s">
        <v>426</v>
      </c>
      <c r="L1630" s="36"/>
      <c r="M1630" s="36" t="s">
        <v>1909</v>
      </c>
      <c r="N1630" s="36"/>
      <c r="O1630" s="36" t="s">
        <v>1910</v>
      </c>
      <c r="P1630" s="41"/>
      <c r="Q1630" s="41"/>
      <c r="R1630" s="41"/>
      <c r="S1630" s="41"/>
      <c r="T1630" s="37">
        <v>190.16</v>
      </c>
      <c r="U1630" s="243"/>
      <c r="V1630" s="243">
        <v>12.326461926798485</v>
      </c>
      <c r="W1630" s="243">
        <v>6.0255958607435716</v>
      </c>
      <c r="X1630" s="243">
        <f>IF(W1630=0,V1630,W1630)</f>
        <v>6.0255958607435716</v>
      </c>
      <c r="Y1630" s="414">
        <v>7</v>
      </c>
      <c r="Z1630" s="37">
        <v>0.82</v>
      </c>
      <c r="AA1630" s="37">
        <v>1.0900000000000001</v>
      </c>
      <c r="AB1630" s="37">
        <v>0.49</v>
      </c>
      <c r="AC1630" s="37">
        <v>0.88819999999999999</v>
      </c>
      <c r="AD1630" s="37">
        <v>0.59</v>
      </c>
      <c r="AE1630" s="37">
        <v>0.92</v>
      </c>
      <c r="AF1630" s="37">
        <f t="shared" si="431"/>
        <v>1.0900000000000001</v>
      </c>
      <c r="AG1630" s="38">
        <v>1.92</v>
      </c>
      <c r="AH1630" s="243">
        <v>2.72E-14</v>
      </c>
      <c r="AI1630" s="243"/>
      <c r="AJ1630" s="34">
        <f t="shared" si="422"/>
        <v>-11.953997422278453</v>
      </c>
      <c r="AK1630" s="34"/>
      <c r="AL1630" s="34">
        <f t="shared" si="423"/>
        <v>-11.953997422278453</v>
      </c>
      <c r="AM1630" s="34">
        <v>-6.4452700000000007</v>
      </c>
      <c r="AN1630" s="244">
        <v>-5.37</v>
      </c>
      <c r="AO1630" s="417"/>
      <c r="AP1630" s="417">
        <v>-1.83</v>
      </c>
      <c r="AQ1630" s="244" t="s">
        <v>6311</v>
      </c>
      <c r="AR1630" s="244" t="s">
        <v>6311</v>
      </c>
      <c r="AS1630" s="241" t="s">
        <v>6</v>
      </c>
      <c r="AT1630" s="39" t="s">
        <v>266</v>
      </c>
      <c r="AU1630" s="37">
        <v>2</v>
      </c>
      <c r="AV1630" s="37">
        <v>48</v>
      </c>
      <c r="AW1630" s="37">
        <v>48</v>
      </c>
      <c r="AX1630" s="37">
        <v>26</v>
      </c>
      <c r="AY1630" s="37" t="s">
        <v>8722</v>
      </c>
      <c r="AZ1630" s="37" t="s">
        <v>1893</v>
      </c>
      <c r="BA1630" s="37">
        <v>15</v>
      </c>
      <c r="BB1630" s="36" t="s">
        <v>1613</v>
      </c>
      <c r="BC1630" s="36" t="s">
        <v>1887</v>
      </c>
      <c r="BD1630" s="36"/>
      <c r="BE1630" s="37" t="s">
        <v>1712</v>
      </c>
      <c r="BF1630" s="37" t="s">
        <v>540</v>
      </c>
      <c r="BG1630" s="37" t="s">
        <v>540</v>
      </c>
      <c r="BH1630" s="37" t="s">
        <v>272</v>
      </c>
      <c r="BI1630" s="248">
        <v>6.5734118636937315E-4</v>
      </c>
      <c r="BJ1630" s="248">
        <v>1.051745898190997E-2</v>
      </c>
      <c r="BK1630" s="37"/>
      <c r="BL1630" s="243">
        <f t="shared" si="424"/>
        <v>9.4266634020167821</v>
      </c>
      <c r="BM1630" s="37" t="s">
        <v>541</v>
      </c>
      <c r="BN1630" s="37"/>
      <c r="BO1630" s="37">
        <v>5.6268405553218347E-3</v>
      </c>
      <c r="BP1630" s="37"/>
      <c r="BQ1630" s="37"/>
      <c r="BR1630" s="37"/>
      <c r="BS1630" s="37"/>
      <c r="BT1630" s="37"/>
      <c r="BU1630" s="246"/>
      <c r="BV1630" s="37"/>
      <c r="BW1630" s="37"/>
      <c r="BX1630" s="37"/>
      <c r="BY1630" s="37"/>
      <c r="BZ1630" s="37"/>
      <c r="CA1630" s="37"/>
      <c r="CB1630" s="37"/>
      <c r="CC1630" s="37"/>
      <c r="CD1630" s="37"/>
      <c r="CE1630" s="37"/>
      <c r="CF1630" s="37"/>
      <c r="CG1630" s="37"/>
      <c r="CH1630" s="37"/>
      <c r="CI1630" s="243">
        <f>MIN(BN1630:CH1630)</f>
        <v>5.6268405553218347E-3</v>
      </c>
      <c r="CJ1630" s="243">
        <f>LOG10(CI1630)</f>
        <v>-2.249735391034914</v>
      </c>
      <c r="CK1630" s="38">
        <f t="shared" si="425"/>
        <v>896.28715626375561</v>
      </c>
      <c r="CL1630" s="247">
        <f>BL1630/CI1630</f>
        <v>1675.3030958201039</v>
      </c>
      <c r="CM1630" s="247"/>
      <c r="CN1630" s="247"/>
      <c r="CO1630" s="36" t="s">
        <v>1888</v>
      </c>
      <c r="CP1630" s="36" t="s">
        <v>1889</v>
      </c>
      <c r="CQ1630" s="241" t="s">
        <v>272</v>
      </c>
      <c r="CR1630" s="241"/>
      <c r="CS1630" s="33"/>
      <c r="CT1630" s="33"/>
      <c r="CU1630" s="250">
        <f>X1630/CI1630</f>
        <v>1070.8666438121472</v>
      </c>
      <c r="CV1630" s="337">
        <f t="shared" si="413"/>
        <v>572.91365443949883</v>
      </c>
      <c r="CW1630" s="330">
        <f>IF(CU1630&lt;2,0,1)</f>
        <v>1</v>
      </c>
      <c r="CX1630" s="330" t="s">
        <v>539</v>
      </c>
      <c r="CY1630" s="143" t="s">
        <v>5921</v>
      </c>
    </row>
    <row r="1631" spans="1:103" ht="11.25" customHeight="1" x14ac:dyDescent="0.2">
      <c r="A1631" s="72">
        <v>1629</v>
      </c>
      <c r="B1631" s="241">
        <v>66</v>
      </c>
      <c r="C1631" s="32" t="s">
        <v>417</v>
      </c>
      <c r="D1631" s="32" t="s">
        <v>8353</v>
      </c>
      <c r="E1631" s="40"/>
      <c r="F1631" s="40" t="s">
        <v>557</v>
      </c>
      <c r="G1631" s="242">
        <v>56757</v>
      </c>
      <c r="H1631" s="36" t="s">
        <v>418</v>
      </c>
      <c r="I1631" s="36" t="s">
        <v>8208</v>
      </c>
      <c r="J1631" s="36" t="s">
        <v>419</v>
      </c>
      <c r="K1631" s="36" t="s">
        <v>420</v>
      </c>
      <c r="L1631" s="42" t="s">
        <v>279</v>
      </c>
      <c r="M1631" s="36" t="s">
        <v>421</v>
      </c>
      <c r="N1631" s="36"/>
      <c r="O1631" s="36" t="s">
        <v>281</v>
      </c>
      <c r="P1631" s="41"/>
      <c r="Q1631" s="41"/>
      <c r="R1631" s="41"/>
      <c r="S1631" s="41"/>
      <c r="T1631" s="37">
        <v>323.13</v>
      </c>
      <c r="U1631" s="243">
        <v>7.7368241884071427</v>
      </c>
      <c r="V1631" s="243">
        <v>1.20230247887847</v>
      </c>
      <c r="W1631" s="243">
        <v>3.3113112148259103</v>
      </c>
      <c r="X1631" s="243">
        <v>7.7368241884071427</v>
      </c>
      <c r="Y1631" s="414">
        <v>6.58</v>
      </c>
      <c r="Z1631" s="37">
        <v>0.92</v>
      </c>
      <c r="AA1631" s="37">
        <v>1.1399999999999999</v>
      </c>
      <c r="AB1631" s="37">
        <v>1.02</v>
      </c>
      <c r="AC1631" s="37">
        <v>0.92410000000000003</v>
      </c>
      <c r="AD1631" s="37">
        <v>1.02</v>
      </c>
      <c r="AE1631" s="37">
        <v>1.02</v>
      </c>
      <c r="AF1631" s="37">
        <f t="shared" si="431"/>
        <v>1.1399999999999999</v>
      </c>
      <c r="AG1631" s="38">
        <v>0.82</v>
      </c>
      <c r="AH1631" s="243">
        <v>2.2900000000000001E-18</v>
      </c>
      <c r="AI1631" s="243"/>
      <c r="AJ1631" s="34">
        <f t="shared" si="422"/>
        <v>-16.028730843972763</v>
      </c>
      <c r="AK1631" s="34"/>
      <c r="AL1631" s="34">
        <f t="shared" si="423"/>
        <v>-16.028730843972763</v>
      </c>
      <c r="AM1631" s="34">
        <v>-21.30564</v>
      </c>
      <c r="AN1631" s="244">
        <v>-15</v>
      </c>
      <c r="AO1631" s="417">
        <v>11.03</v>
      </c>
      <c r="AP1631" s="417">
        <v>-1.73</v>
      </c>
      <c r="AQ1631" s="244" t="s">
        <v>6311</v>
      </c>
      <c r="AR1631" s="244" t="s">
        <v>6311</v>
      </c>
      <c r="AS1631" s="241" t="s">
        <v>90</v>
      </c>
      <c r="AT1631" s="39" t="s">
        <v>266</v>
      </c>
      <c r="AU1631" s="37">
        <v>0</v>
      </c>
      <c r="AV1631" s="37">
        <v>48</v>
      </c>
      <c r="AW1631" s="37">
        <v>48</v>
      </c>
      <c r="AX1631" s="37">
        <v>26</v>
      </c>
      <c r="AY1631" s="37" t="s">
        <v>8722</v>
      </c>
      <c r="AZ1631" s="37" t="s">
        <v>536</v>
      </c>
      <c r="BA1631" s="37">
        <v>20</v>
      </c>
      <c r="BB1631" s="36" t="s">
        <v>537</v>
      </c>
      <c r="BC1631" s="36" t="s">
        <v>538</v>
      </c>
      <c r="BD1631" s="36"/>
      <c r="BE1631" s="245" t="s">
        <v>271</v>
      </c>
      <c r="BF1631" s="245" t="s">
        <v>539</v>
      </c>
      <c r="BG1631" s="245" t="s">
        <v>540</v>
      </c>
      <c r="BH1631" s="245" t="s">
        <v>272</v>
      </c>
      <c r="BI1631" s="243">
        <v>3.4388999999999998</v>
      </c>
      <c r="BJ1631" s="243">
        <v>17.409500000000001</v>
      </c>
      <c r="BK1631" s="37"/>
      <c r="BL1631" s="243">
        <f t="shared" si="424"/>
        <v>7.6656325918316348</v>
      </c>
      <c r="BM1631" s="37" t="s">
        <v>541</v>
      </c>
      <c r="BN1631" s="37"/>
      <c r="BO1631" s="37">
        <v>10.0898</v>
      </c>
      <c r="BP1631" s="37"/>
      <c r="BQ1631" s="37"/>
      <c r="BR1631" s="37"/>
      <c r="BS1631" s="37"/>
      <c r="BT1631" s="37"/>
      <c r="BU1631" s="246"/>
      <c r="BV1631" s="37"/>
      <c r="BW1631" s="37"/>
      <c r="BX1631" s="37"/>
      <c r="BY1631" s="37"/>
      <c r="BZ1631" s="37"/>
      <c r="CA1631" s="37"/>
      <c r="CB1631" s="37"/>
      <c r="CC1631" s="37"/>
      <c r="CD1631" s="37"/>
      <c r="CE1631" s="37"/>
      <c r="CF1631" s="37"/>
      <c r="CG1631" s="37"/>
      <c r="CH1631" s="37"/>
      <c r="CI1631" s="243">
        <f>MIN(BN1631:CH1631)</f>
        <v>10.0898</v>
      </c>
      <c r="CJ1631" s="243">
        <f>LOG10(CI1631)</f>
        <v>1.0038825577376802</v>
      </c>
      <c r="CK1631" s="38">
        <f t="shared" si="425"/>
        <v>0.44031319634863919</v>
      </c>
      <c r="CL1631" s="247">
        <f>BL1631/CI1631</f>
        <v>0.75974078691665192</v>
      </c>
      <c r="CM1631" s="247"/>
      <c r="CN1631" s="247"/>
      <c r="CO1631" s="36"/>
      <c r="CP1631" s="36" t="s">
        <v>542</v>
      </c>
      <c r="CQ1631" s="241" t="s">
        <v>272</v>
      </c>
      <c r="CR1631" s="241"/>
      <c r="CS1631" s="33"/>
      <c r="CT1631" s="33"/>
      <c r="CU1631" s="250">
        <f>X1631/CI1631</f>
        <v>0.7667965855028982</v>
      </c>
      <c r="CV1631" s="337">
        <f t="shared" si="413"/>
        <v>0.44440243478601582</v>
      </c>
      <c r="CW1631" s="330">
        <f>IF(CU1631&lt;2,0,1)</f>
        <v>0</v>
      </c>
      <c r="CX1631" s="330"/>
      <c r="CY1631" s="143" t="s">
        <v>5921</v>
      </c>
    </row>
    <row r="1632" spans="1:103" ht="11.25" customHeight="1" x14ac:dyDescent="0.2">
      <c r="A1632" s="72">
        <v>1630</v>
      </c>
      <c r="B1632" s="241">
        <v>802</v>
      </c>
      <c r="C1632" s="32" t="s">
        <v>7619</v>
      </c>
      <c r="D1632" s="32"/>
      <c r="E1632" s="40"/>
      <c r="F1632" s="40" t="s">
        <v>2260</v>
      </c>
      <c r="G1632" s="242">
        <v>57090</v>
      </c>
      <c r="H1632" s="36" t="s">
        <v>2261</v>
      </c>
      <c r="I1632" s="36" t="s">
        <v>2261</v>
      </c>
      <c r="J1632" s="36" t="s">
        <v>2262</v>
      </c>
      <c r="K1632" s="36" t="s">
        <v>426</v>
      </c>
      <c r="L1632" s="36"/>
      <c r="M1632" s="36"/>
      <c r="N1632" s="36"/>
      <c r="O1632" s="36"/>
      <c r="P1632" s="41"/>
      <c r="Q1632" s="41"/>
      <c r="R1632" s="41"/>
      <c r="S1632" s="41"/>
      <c r="T1632" s="37">
        <v>284.54000000000002</v>
      </c>
      <c r="U1632" s="243">
        <v>351.44443663456804</v>
      </c>
      <c r="V1632" s="243">
        <v>3.3917902579602165E-2</v>
      </c>
      <c r="W1632" s="243">
        <v>229.0867652767773</v>
      </c>
      <c r="X1632" s="243">
        <v>351.44443663456804</v>
      </c>
      <c r="Y1632" s="414">
        <v>7</v>
      </c>
      <c r="Z1632" s="37">
        <v>3.18</v>
      </c>
      <c r="AA1632" s="37"/>
      <c r="AB1632" s="37">
        <v>2.8</v>
      </c>
      <c r="AC1632" s="37">
        <v>0.75680000000000003</v>
      </c>
      <c r="AD1632" s="37">
        <v>2.66</v>
      </c>
      <c r="AE1632" s="37">
        <v>2.4</v>
      </c>
      <c r="AF1632" s="37">
        <f t="shared" si="431"/>
        <v>2.66</v>
      </c>
      <c r="AG1632" s="38">
        <v>6.4</v>
      </c>
      <c r="AH1632" s="243">
        <v>2.32E-10</v>
      </c>
      <c r="AI1632" s="243"/>
      <c r="AJ1632" s="34">
        <f t="shared" si="422"/>
        <v>-8.0230783414217512</v>
      </c>
      <c r="AK1632" s="34"/>
      <c r="AL1632" s="34">
        <f t="shared" si="423"/>
        <v>-8.0230783414217512</v>
      </c>
      <c r="AM1632" s="34">
        <v>-1.3976699999999997</v>
      </c>
      <c r="AN1632" s="244">
        <v>-1.42</v>
      </c>
      <c r="AO1632" s="417"/>
      <c r="AP1632" s="417"/>
      <c r="AQ1632" s="244" t="s">
        <v>6311</v>
      </c>
      <c r="AR1632" s="244" t="s">
        <v>6311</v>
      </c>
      <c r="AS1632" s="241" t="s">
        <v>1154</v>
      </c>
      <c r="AT1632" s="39" t="s">
        <v>266</v>
      </c>
      <c r="AU1632" s="245"/>
      <c r="AV1632" s="245">
        <v>0</v>
      </c>
      <c r="AW1632" s="37">
        <v>48</v>
      </c>
      <c r="AX1632" s="37">
        <v>25</v>
      </c>
      <c r="AY1632" s="37" t="s">
        <v>8722</v>
      </c>
      <c r="AZ1632" s="37" t="s">
        <v>2263</v>
      </c>
      <c r="BA1632" s="37">
        <v>20</v>
      </c>
      <c r="BB1632" s="36" t="s">
        <v>1764</v>
      </c>
      <c r="BC1632" s="36" t="s">
        <v>2264</v>
      </c>
      <c r="BD1632" s="36"/>
      <c r="BE1632" s="37" t="s">
        <v>2265</v>
      </c>
      <c r="BF1632" s="37" t="s">
        <v>2266</v>
      </c>
      <c r="BG1632" s="37" t="s">
        <v>2266</v>
      </c>
      <c r="BH1632" s="37" t="s">
        <v>272</v>
      </c>
      <c r="BI1632" s="243" t="s">
        <v>8722</v>
      </c>
      <c r="BJ1632" s="243" t="s">
        <v>8722</v>
      </c>
      <c r="BK1632" s="37" t="s">
        <v>2267</v>
      </c>
      <c r="BL1632" s="243">
        <f t="shared" si="424"/>
        <v>7.1588291858005582E-2</v>
      </c>
      <c r="BM1632" s="37" t="s">
        <v>1584</v>
      </c>
      <c r="BN1632" s="37"/>
      <c r="BO1632" s="37">
        <v>9.8778982027712984E-4</v>
      </c>
      <c r="BP1632" s="37"/>
      <c r="BQ1632" s="37"/>
      <c r="BR1632" s="37"/>
      <c r="BS1632" s="37"/>
      <c r="BT1632" s="37"/>
      <c r="BU1632" s="246"/>
      <c r="BV1632" s="37"/>
      <c r="BW1632" s="37"/>
      <c r="BX1632" s="37"/>
      <c r="BY1632" s="37"/>
      <c r="BZ1632" s="37"/>
      <c r="CA1632" s="37"/>
      <c r="CB1632" s="37"/>
      <c r="CC1632" s="37"/>
      <c r="CD1632" s="37"/>
      <c r="CE1632" s="37"/>
      <c r="CF1632" s="37"/>
      <c r="CG1632" s="37"/>
      <c r="CH1632" s="37"/>
      <c r="CI1632" s="243">
        <f>MIN(BN1632:CH1632)</f>
        <v>9.8778982027712984E-4</v>
      </c>
      <c r="CJ1632" s="243">
        <f>LOG10(CI1632)</f>
        <v>-3.0053354537973194</v>
      </c>
      <c r="CK1632" s="38" t="s">
        <v>404</v>
      </c>
      <c r="CL1632" s="247">
        <f>BL1632/CI1632</f>
        <v>72.473202687917052</v>
      </c>
      <c r="CM1632" s="247"/>
      <c r="CN1632" s="247"/>
      <c r="CO1632" s="36"/>
      <c r="CP1632" s="36" t="s">
        <v>2268</v>
      </c>
      <c r="CQ1632" s="241">
        <v>-2.3401999748677538</v>
      </c>
      <c r="CR1632" s="241">
        <f>10^(CJ1632-CQ1632)</f>
        <v>0.21620439650896514</v>
      </c>
      <c r="CS1632" s="33"/>
      <c r="CT1632" s="33" t="s">
        <v>6310</v>
      </c>
      <c r="CU1632" s="250">
        <f>X1632/CI1632</f>
        <v>355788.68036518979</v>
      </c>
      <c r="CV1632" s="337"/>
      <c r="CW1632" s="330">
        <f>IF(CU1632&lt;2,0,1)</f>
        <v>1</v>
      </c>
      <c r="CX1632" s="330" t="s">
        <v>539</v>
      </c>
      <c r="CY1632" s="143" t="s">
        <v>6351</v>
      </c>
    </row>
    <row r="1633" spans="1:103" ht="11.25" customHeight="1" x14ac:dyDescent="0.2">
      <c r="A1633" s="72">
        <v>1631</v>
      </c>
      <c r="B1633" s="241">
        <v>856</v>
      </c>
      <c r="C1633" s="32" t="s">
        <v>6798</v>
      </c>
      <c r="D1633" s="32"/>
      <c r="E1633" s="40"/>
      <c r="F1633" s="40" t="s">
        <v>2855</v>
      </c>
      <c r="G1633" s="242">
        <v>57410</v>
      </c>
      <c r="H1633" s="36" t="s">
        <v>2856</v>
      </c>
      <c r="I1633" s="36" t="s">
        <v>2856</v>
      </c>
      <c r="J1633" s="36" t="s">
        <v>2857</v>
      </c>
      <c r="K1633" s="36" t="s">
        <v>2039</v>
      </c>
      <c r="L1633" s="42" t="s">
        <v>279</v>
      </c>
      <c r="M1633" s="36" t="s">
        <v>2858</v>
      </c>
      <c r="N1633" s="36"/>
      <c r="O1633" s="36" t="s">
        <v>281</v>
      </c>
      <c r="P1633" s="41"/>
      <c r="Q1633" s="41"/>
      <c r="R1633" s="41"/>
      <c r="S1633" s="41"/>
      <c r="T1633" s="37">
        <v>252.27</v>
      </c>
      <c r="U1633" s="243">
        <v>0.12684821817893527</v>
      </c>
      <c r="V1633" s="243">
        <v>0.70797161771118244</v>
      </c>
      <c r="W1633" s="243">
        <v>0.26915348039269166</v>
      </c>
      <c r="X1633" s="243">
        <v>0.12684821817893527</v>
      </c>
      <c r="Y1633" s="414">
        <v>6.01</v>
      </c>
      <c r="Z1633" s="37">
        <v>2.16</v>
      </c>
      <c r="AA1633" s="37">
        <v>2.4700000000000002</v>
      </c>
      <c r="AB1633" s="37">
        <v>2.38</v>
      </c>
      <c r="AC1633" s="37">
        <v>0.82340000000000002</v>
      </c>
      <c r="AD1633" s="37">
        <v>2.42</v>
      </c>
      <c r="AE1633" s="37">
        <v>2.52</v>
      </c>
      <c r="AF1633" s="37">
        <f t="shared" si="431"/>
        <v>2.4700000000000002</v>
      </c>
      <c r="AG1633" s="38">
        <v>2.2200000000000002</v>
      </c>
      <c r="AH1633" s="243">
        <v>1.0199999999999999E-11</v>
      </c>
      <c r="AI1633" s="243"/>
      <c r="AJ1633" s="34">
        <f t="shared" si="422"/>
        <v>-9.3799661545507345</v>
      </c>
      <c r="AK1633" s="34"/>
      <c r="AL1633" s="34">
        <f t="shared" si="423"/>
        <v>-9.3799661545507345</v>
      </c>
      <c r="AM1633" s="34">
        <v>-15.56823</v>
      </c>
      <c r="AN1633" s="244">
        <v>-10.1</v>
      </c>
      <c r="AO1633" s="417">
        <v>8.2799999999999994</v>
      </c>
      <c r="AP1633" s="417">
        <v>-2.81</v>
      </c>
      <c r="AQ1633" s="244" t="s">
        <v>6311</v>
      </c>
      <c r="AR1633" s="244" t="s">
        <v>6311</v>
      </c>
      <c r="AS1633" s="241" t="s">
        <v>6</v>
      </c>
      <c r="AT1633" s="39" t="s">
        <v>266</v>
      </c>
      <c r="AU1633" s="37">
        <v>2</v>
      </c>
      <c r="AV1633" s="37">
        <v>72</v>
      </c>
      <c r="AW1633" s="37">
        <v>72</v>
      </c>
      <c r="AX1633" s="37">
        <v>26</v>
      </c>
      <c r="AY1633" s="37" t="s">
        <v>647</v>
      </c>
      <c r="AZ1633" s="37" t="s">
        <v>536</v>
      </c>
      <c r="BA1633" s="37" t="s">
        <v>8723</v>
      </c>
      <c r="BB1633" s="36" t="s">
        <v>1644</v>
      </c>
      <c r="BC1633" s="36" t="s">
        <v>2019</v>
      </c>
      <c r="BD1633" s="36" t="s">
        <v>8374</v>
      </c>
      <c r="BE1633" s="37" t="s">
        <v>649</v>
      </c>
      <c r="BF1633" s="37" t="s">
        <v>272</v>
      </c>
      <c r="BG1633" s="37" t="s">
        <v>272</v>
      </c>
      <c r="BH1633" s="37" t="s">
        <v>2020</v>
      </c>
      <c r="BI1633" s="243">
        <v>3.125E-2</v>
      </c>
      <c r="BJ1633" s="243">
        <v>0.25</v>
      </c>
      <c r="BK1633" s="37"/>
      <c r="BL1633" s="243">
        <f t="shared" si="424"/>
        <v>0.59007063172200003</v>
      </c>
      <c r="BM1633" s="37" t="s">
        <v>541</v>
      </c>
      <c r="BN1633" s="37"/>
      <c r="BO1633" s="37"/>
      <c r="BP1633" s="37"/>
      <c r="BQ1633" s="37"/>
      <c r="BR1633" s="37"/>
      <c r="BS1633" s="37"/>
      <c r="BT1633" s="37"/>
      <c r="BU1633" s="246"/>
      <c r="BV1633" s="37"/>
      <c r="BW1633" s="37"/>
      <c r="BX1633" s="37"/>
      <c r="BY1633" s="37"/>
      <c r="BZ1633" s="37"/>
      <c r="CA1633" s="37"/>
      <c r="CB1633" s="37"/>
      <c r="CC1633" s="37"/>
      <c r="CD1633" s="37"/>
      <c r="CE1633" s="37"/>
      <c r="CF1633" s="37"/>
      <c r="CG1633" s="37"/>
      <c r="CH1633" s="37"/>
      <c r="CI1633" s="243"/>
      <c r="CJ1633" s="243"/>
      <c r="CK1633" s="38">
        <f>BL1633/BJ1633</f>
        <v>2.3602825268880001</v>
      </c>
      <c r="CL1633" s="247"/>
      <c r="CM1633" s="247"/>
      <c r="CN1633" s="247"/>
      <c r="CO1633" s="36" t="s">
        <v>4073</v>
      </c>
      <c r="CP1633" s="36" t="s">
        <v>2021</v>
      </c>
      <c r="CQ1633" s="241" t="s">
        <v>272</v>
      </c>
      <c r="CR1633" s="241"/>
      <c r="CS1633" s="33"/>
      <c r="CT1633" s="33"/>
      <c r="CU1633" s="250"/>
      <c r="CV1633" s="337">
        <f>X1633/BJ1633</f>
        <v>0.50739287271574107</v>
      </c>
      <c r="CW1633" s="330">
        <f>IF(CV1633&lt;1,0,1)</f>
        <v>0</v>
      </c>
      <c r="CX1633" s="330"/>
      <c r="CY1633" s="143" t="s">
        <v>5921</v>
      </c>
    </row>
    <row r="1634" spans="1:103" ht="11.25" customHeight="1" x14ac:dyDescent="0.2">
      <c r="A1634" s="72">
        <v>1632</v>
      </c>
      <c r="B1634" s="241">
        <v>83</v>
      </c>
      <c r="C1634" s="32" t="s">
        <v>7620</v>
      </c>
      <c r="D1634" s="32"/>
      <c r="E1634" s="40"/>
      <c r="F1634" s="40" t="s">
        <v>598</v>
      </c>
      <c r="G1634" s="242">
        <v>57636</v>
      </c>
      <c r="H1634" s="36" t="s">
        <v>599</v>
      </c>
      <c r="I1634" s="36" t="s">
        <v>7940</v>
      </c>
      <c r="J1634" s="36" t="s">
        <v>600</v>
      </c>
      <c r="K1634" s="36" t="s">
        <v>601</v>
      </c>
      <c r="L1634" s="42" t="s">
        <v>279</v>
      </c>
      <c r="M1634" s="36" t="s">
        <v>602</v>
      </c>
      <c r="N1634" s="36"/>
      <c r="O1634" s="36" t="s">
        <v>281</v>
      </c>
      <c r="P1634" s="41"/>
      <c r="Q1634" s="41"/>
      <c r="R1634" s="41"/>
      <c r="S1634" s="41"/>
      <c r="T1634" s="37">
        <v>296.39999999999998</v>
      </c>
      <c r="U1634" s="243">
        <v>3.8124156545209183E-2</v>
      </c>
      <c r="V1634" s="243">
        <v>0.39271255060728749</v>
      </c>
      <c r="W1634" s="243">
        <v>6.6069344800759591E-3</v>
      </c>
      <c r="X1634" s="243">
        <v>3.8124156545209183E-2</v>
      </c>
      <c r="Y1634" s="414">
        <v>6.99</v>
      </c>
      <c r="Z1634" s="37">
        <v>4.12</v>
      </c>
      <c r="AA1634" s="37">
        <v>3.67</v>
      </c>
      <c r="AB1634" s="37">
        <v>3.64</v>
      </c>
      <c r="AC1634" s="37">
        <v>0.84489999999999998</v>
      </c>
      <c r="AD1634" s="37">
        <v>3.87</v>
      </c>
      <c r="AE1634" s="37">
        <v>4.5199999999999996</v>
      </c>
      <c r="AF1634" s="37">
        <f t="shared" si="431"/>
        <v>3.67</v>
      </c>
      <c r="AG1634" s="38">
        <v>3.86</v>
      </c>
      <c r="AH1634" s="243">
        <v>7.9400000000000005E-12</v>
      </c>
      <c r="AI1634" s="243"/>
      <c r="AJ1634" s="34">
        <f t="shared" si="422"/>
        <v>-9.4887458238855551</v>
      </c>
      <c r="AK1634" s="34"/>
      <c r="AL1634" s="34">
        <f t="shared" si="423"/>
        <v>-9.4887458238855551</v>
      </c>
      <c r="AM1634" s="34">
        <v>-18.03331</v>
      </c>
      <c r="AN1634" s="244">
        <v>-9.83</v>
      </c>
      <c r="AO1634" s="417">
        <v>10.24</v>
      </c>
      <c r="AP1634" s="417"/>
      <c r="AQ1634" s="244" t="s">
        <v>6311</v>
      </c>
      <c r="AR1634" s="244" t="s">
        <v>6311</v>
      </c>
      <c r="AS1634" s="241" t="s">
        <v>90</v>
      </c>
      <c r="AT1634" s="39" t="s">
        <v>266</v>
      </c>
      <c r="AU1634" s="37">
        <v>0</v>
      </c>
      <c r="AV1634" s="37">
        <v>48</v>
      </c>
      <c r="AW1634" s="37">
        <v>48</v>
      </c>
      <c r="AX1634" s="37">
        <v>26</v>
      </c>
      <c r="AY1634" s="37" t="s">
        <v>8722</v>
      </c>
      <c r="AZ1634" s="37" t="s">
        <v>536</v>
      </c>
      <c r="BA1634" s="37">
        <v>20</v>
      </c>
      <c r="BB1634" s="36" t="s">
        <v>537</v>
      </c>
      <c r="BC1634" s="36" t="s">
        <v>538</v>
      </c>
      <c r="BD1634" s="36"/>
      <c r="BE1634" s="245" t="s">
        <v>271</v>
      </c>
      <c r="BF1634" s="245" t="s">
        <v>539</v>
      </c>
      <c r="BG1634" s="245" t="s">
        <v>540</v>
      </c>
      <c r="BH1634" s="245" t="s">
        <v>272</v>
      </c>
      <c r="BI1634" s="243">
        <v>1.9E-3</v>
      </c>
      <c r="BJ1634" s="243">
        <v>3.04E-2</v>
      </c>
      <c r="BK1634" s="37"/>
      <c r="BL1634" s="243">
        <f t="shared" si="424"/>
        <v>1.0247737682923289E-2</v>
      </c>
      <c r="BM1634" s="37" t="s">
        <v>541</v>
      </c>
      <c r="BN1634" s="37"/>
      <c r="BO1634" s="37">
        <v>5.4000000000000003E-3</v>
      </c>
      <c r="BP1634" s="37"/>
      <c r="BQ1634" s="37"/>
      <c r="BR1634" s="37"/>
      <c r="BS1634" s="37"/>
      <c r="BT1634" s="37"/>
      <c r="BU1634" s="246"/>
      <c r="BV1634" s="37"/>
      <c r="BW1634" s="37"/>
      <c r="BX1634" s="37"/>
      <c r="BY1634" s="37"/>
      <c r="BZ1634" s="37"/>
      <c r="CA1634" s="37"/>
      <c r="CB1634" s="37"/>
      <c r="CC1634" s="37"/>
      <c r="CD1634" s="37"/>
      <c r="CE1634" s="37"/>
      <c r="CF1634" s="37"/>
      <c r="CG1634" s="37"/>
      <c r="CH1634" s="37"/>
      <c r="CI1634" s="243">
        <f>MIN(BN1634:CH1634)</f>
        <v>5.4000000000000003E-3</v>
      </c>
      <c r="CJ1634" s="243">
        <f>LOG10(CI1634)</f>
        <v>-2.2676062401770314</v>
      </c>
      <c r="CK1634" s="38">
        <f>BL1634/BJ1634</f>
        <v>0.33709663430668713</v>
      </c>
      <c r="CL1634" s="247">
        <f>BL1634/CI1634</f>
        <v>1.8977292005413497</v>
      </c>
      <c r="CM1634" s="247"/>
      <c r="CN1634" s="247"/>
      <c r="CO1634" s="36"/>
      <c r="CP1634" s="36" t="s">
        <v>542</v>
      </c>
      <c r="CQ1634" s="241">
        <v>-2.2414292779290168</v>
      </c>
      <c r="CR1634" s="241">
        <f>10^(CJ1634-CQ1634)</f>
        <v>0.94150588235294186</v>
      </c>
      <c r="CS1634" s="33"/>
      <c r="CT1634" s="33"/>
      <c r="CU1634" s="250">
        <f>X1634/CI1634</f>
        <v>7.060028989853552</v>
      </c>
      <c r="CV1634" s="337">
        <f>X1634/BJ1634</f>
        <v>1.2540840968818809</v>
      </c>
      <c r="CW1634" s="330">
        <f>IF(CU1634&lt;2,0,1)</f>
        <v>1</v>
      </c>
      <c r="CX1634" s="330"/>
      <c r="CY1634" s="143" t="s">
        <v>5921</v>
      </c>
    </row>
    <row r="1635" spans="1:103" ht="11.25" customHeight="1" x14ac:dyDescent="0.2">
      <c r="A1635" s="72">
        <v>1633</v>
      </c>
      <c r="B1635" s="241">
        <v>92</v>
      </c>
      <c r="C1635" s="32" t="s">
        <v>629</v>
      </c>
      <c r="D1635" s="32"/>
      <c r="E1635" s="40"/>
      <c r="F1635" s="40" t="s">
        <v>630</v>
      </c>
      <c r="G1635" s="242">
        <v>58082</v>
      </c>
      <c r="H1635" s="36" t="s">
        <v>631</v>
      </c>
      <c r="I1635" s="36" t="s">
        <v>631</v>
      </c>
      <c r="J1635" s="36" t="s">
        <v>632</v>
      </c>
      <c r="K1635" s="36" t="s">
        <v>333</v>
      </c>
      <c r="L1635" s="42" t="s">
        <v>279</v>
      </c>
      <c r="M1635" s="36" t="s">
        <v>633</v>
      </c>
      <c r="N1635" s="36"/>
      <c r="O1635" s="36" t="s">
        <v>281</v>
      </c>
      <c r="P1635" s="41"/>
      <c r="Q1635" s="41" t="s">
        <v>6173</v>
      </c>
      <c r="R1635" s="41" t="s">
        <v>6185</v>
      </c>
      <c r="S1635" s="41" t="s">
        <v>6176</v>
      </c>
      <c r="T1635" s="37">
        <v>194.19</v>
      </c>
      <c r="U1635" s="243">
        <v>111.23126834543488</v>
      </c>
      <c r="V1635" s="243">
        <v>13.55373603172151</v>
      </c>
      <c r="W1635" s="243">
        <v>275.4228703338166</v>
      </c>
      <c r="X1635" s="243">
        <v>111.23126834543488</v>
      </c>
      <c r="Y1635" s="414">
        <v>7.14</v>
      </c>
      <c r="Z1635" s="37">
        <v>0.16</v>
      </c>
      <c r="AA1635" s="37">
        <v>-7.0000000000000007E-2</v>
      </c>
      <c r="AB1635" s="37">
        <v>0.42</v>
      </c>
      <c r="AC1635" s="37">
        <v>0.85360000000000003</v>
      </c>
      <c r="AD1635" s="37">
        <v>0.28000000000000003</v>
      </c>
      <c r="AE1635" s="37">
        <v>-0.13</v>
      </c>
      <c r="AF1635" s="37">
        <f t="shared" si="431"/>
        <v>-7.0000000000000007E-2</v>
      </c>
      <c r="AG1635" s="38">
        <v>-0.09</v>
      </c>
      <c r="AH1635" s="243">
        <v>3.5800000000000002E-11</v>
      </c>
      <c r="AI1635" s="243"/>
      <c r="AJ1635" s="34">
        <f t="shared" si="422"/>
        <v>-8.834683299668777</v>
      </c>
      <c r="AK1635" s="34"/>
      <c r="AL1635" s="34">
        <f t="shared" si="423"/>
        <v>-8.834683299668777</v>
      </c>
      <c r="AM1635" s="34">
        <v>-12.930309999999999</v>
      </c>
      <c r="AN1635" s="244">
        <v>-6.54</v>
      </c>
      <c r="AO1635" s="417"/>
      <c r="AP1635" s="417">
        <v>0.52</v>
      </c>
      <c r="AQ1635" s="244" t="s">
        <v>6311</v>
      </c>
      <c r="AR1635" s="244" t="s">
        <v>6311</v>
      </c>
      <c r="AS1635" s="241" t="s">
        <v>6</v>
      </c>
      <c r="AT1635" s="39" t="s">
        <v>266</v>
      </c>
      <c r="AU1635" s="37">
        <v>0</v>
      </c>
      <c r="AV1635" s="37">
        <v>48</v>
      </c>
      <c r="AW1635" s="37">
        <v>48</v>
      </c>
      <c r="AX1635" s="37">
        <v>26</v>
      </c>
      <c r="AY1635" s="37" t="s">
        <v>8722</v>
      </c>
      <c r="AZ1635" s="37" t="s">
        <v>536</v>
      </c>
      <c r="BA1635" s="37">
        <v>20</v>
      </c>
      <c r="BB1635" s="36" t="s">
        <v>537</v>
      </c>
      <c r="BC1635" s="36" t="s">
        <v>538</v>
      </c>
      <c r="BD1635" s="36"/>
      <c r="BE1635" s="245" t="s">
        <v>271</v>
      </c>
      <c r="BF1635" s="245" t="s">
        <v>539</v>
      </c>
      <c r="BG1635" s="245" t="s">
        <v>540</v>
      </c>
      <c r="BH1635" s="245" t="s">
        <v>272</v>
      </c>
      <c r="BI1635" s="243">
        <v>2.5747</v>
      </c>
      <c r="BJ1635" s="243">
        <v>13.0342</v>
      </c>
      <c r="BK1635" s="37"/>
      <c r="BL1635" s="243">
        <f t="shared" si="424"/>
        <v>36.906596779165021</v>
      </c>
      <c r="BM1635" s="37" t="s">
        <v>541</v>
      </c>
      <c r="BN1635" s="37"/>
      <c r="BO1635" s="37">
        <v>4.3627000000000002</v>
      </c>
      <c r="BP1635" s="37"/>
      <c r="BQ1635" s="37"/>
      <c r="BR1635" s="37"/>
      <c r="BS1635" s="37"/>
      <c r="BT1635" s="37"/>
      <c r="BU1635" s="246"/>
      <c r="BV1635" s="37"/>
      <c r="BW1635" s="37"/>
      <c r="BX1635" s="37"/>
      <c r="BY1635" s="37"/>
      <c r="BZ1635" s="37"/>
      <c r="CA1635" s="37"/>
      <c r="CB1635" s="37"/>
      <c r="CC1635" s="37"/>
      <c r="CD1635" s="37"/>
      <c r="CE1635" s="37"/>
      <c r="CF1635" s="37"/>
      <c r="CG1635" s="37"/>
      <c r="CH1635" s="37"/>
      <c r="CI1635" s="243">
        <f>MIN(BN1635:CH1635)</f>
        <v>4.3627000000000002</v>
      </c>
      <c r="CJ1635" s="243">
        <f>LOG10(CI1635)</f>
        <v>0.63975534985959315</v>
      </c>
      <c r="CK1635" s="38">
        <f>BL1635/BJ1635</f>
        <v>2.8315199075635653</v>
      </c>
      <c r="CL1635" s="247">
        <f>BL1635/CI1635</f>
        <v>8.4595770461331323</v>
      </c>
      <c r="CM1635" s="247"/>
      <c r="CN1635" s="247"/>
      <c r="CO1635" s="36"/>
      <c r="CP1635" s="36" t="s">
        <v>542</v>
      </c>
      <c r="CQ1635" s="241">
        <v>-0.10924991444442339</v>
      </c>
      <c r="CR1635" s="241">
        <f>10^(CJ1635-CQ1635)</f>
        <v>5.610547768211922</v>
      </c>
      <c r="CS1635" s="33"/>
      <c r="CT1635" s="33"/>
      <c r="CU1635" s="250">
        <f>X1635/CI1635</f>
        <v>25.495970006059292</v>
      </c>
      <c r="CV1635" s="337">
        <f>X1635/BJ1635</f>
        <v>8.5338009502259347</v>
      </c>
      <c r="CW1635" s="330">
        <f>IF(CU1635&lt;2,0,1)</f>
        <v>1</v>
      </c>
      <c r="CX1635" s="330"/>
      <c r="CY1635" s="143" t="s">
        <v>6351</v>
      </c>
    </row>
    <row r="1636" spans="1:103" ht="11.25" customHeight="1" x14ac:dyDescent="0.2">
      <c r="A1636" s="72">
        <v>1634</v>
      </c>
      <c r="B1636" s="241">
        <v>2092</v>
      </c>
      <c r="C1636" s="32" t="s">
        <v>7621</v>
      </c>
      <c r="D1636" s="32"/>
      <c r="E1636" s="40"/>
      <c r="F1636" s="40" t="s">
        <v>1848</v>
      </c>
      <c r="G1636" s="242">
        <v>58275</v>
      </c>
      <c r="H1636" s="41" t="s">
        <v>1849</v>
      </c>
      <c r="I1636" s="41" t="s">
        <v>1849</v>
      </c>
      <c r="J1636" s="41" t="s">
        <v>5783</v>
      </c>
      <c r="K1636" s="41" t="s">
        <v>1771</v>
      </c>
      <c r="L1636" s="41" t="s">
        <v>279</v>
      </c>
      <c r="M1636" s="41" t="s">
        <v>1851</v>
      </c>
      <c r="N1636" s="36"/>
      <c r="O1636" s="41" t="s">
        <v>281</v>
      </c>
      <c r="P1636" s="41" t="s">
        <v>6172</v>
      </c>
      <c r="Q1636" s="41" t="s">
        <v>6173</v>
      </c>
      <c r="R1636" s="41" t="s">
        <v>6175</v>
      </c>
      <c r="S1636" s="41" t="s">
        <v>6176</v>
      </c>
      <c r="T1636" s="33">
        <v>172.18</v>
      </c>
      <c r="U1636" s="250">
        <v>0.92926007666395627</v>
      </c>
      <c r="V1636" s="250">
        <v>4.6102915553490531</v>
      </c>
      <c r="W1636" s="250">
        <v>0.35481338923357514</v>
      </c>
      <c r="X1636" s="250">
        <v>0.92926007666395627</v>
      </c>
      <c r="Y1636" s="415">
        <v>7</v>
      </c>
      <c r="Z1636" s="33">
        <v>2.21</v>
      </c>
      <c r="AA1636" s="33">
        <v>2.2000000000000002</v>
      </c>
      <c r="AB1636" s="33">
        <v>1.9</v>
      </c>
      <c r="AC1636" s="33">
        <v>0.81189999999999996</v>
      </c>
      <c r="AD1636" s="33">
        <v>2.02</v>
      </c>
      <c r="AE1636" s="33">
        <v>2.38</v>
      </c>
      <c r="AF1636" s="33">
        <f t="shared" si="431"/>
        <v>2.2000000000000002</v>
      </c>
      <c r="AG1636" s="34">
        <v>1.68</v>
      </c>
      <c r="AH1636" s="250">
        <v>3.0899999999999999E-9</v>
      </c>
      <c r="AI1636" s="250"/>
      <c r="AJ1636" s="34">
        <f t="shared" si="422"/>
        <v>-6.8986078468878169</v>
      </c>
      <c r="AK1636" s="34"/>
      <c r="AL1636" s="34">
        <f t="shared" si="423"/>
        <v>-6.8986078468878169</v>
      </c>
      <c r="AM1636" s="34">
        <v>-9.7995200000000011</v>
      </c>
      <c r="AN1636" s="251"/>
      <c r="AO1636" s="417"/>
      <c r="AP1636" s="417"/>
      <c r="AQ1636" s="251" t="s">
        <v>6311</v>
      </c>
      <c r="AR1636" s="251" t="s">
        <v>6311</v>
      </c>
      <c r="AS1636" s="252" t="s">
        <v>5466</v>
      </c>
      <c r="AT1636" s="35" t="s">
        <v>266</v>
      </c>
      <c r="AU1636" s="33">
        <v>4</v>
      </c>
      <c r="AV1636" s="33">
        <v>80</v>
      </c>
      <c r="AW1636" s="33">
        <v>76</v>
      </c>
      <c r="AX1636" s="33">
        <v>28</v>
      </c>
      <c r="AY1636" s="33" t="s">
        <v>267</v>
      </c>
      <c r="AZ1636" s="33" t="s">
        <v>5731</v>
      </c>
      <c r="BA1636" s="33">
        <v>20</v>
      </c>
      <c r="BB1636" s="41" t="s">
        <v>5732</v>
      </c>
      <c r="BC1636" s="41" t="s">
        <v>1584</v>
      </c>
      <c r="BD1636" s="41"/>
      <c r="BE1636" s="33" t="s">
        <v>5733</v>
      </c>
      <c r="BF1636" s="33"/>
      <c r="BG1636" s="33"/>
      <c r="BH1636" s="33" t="s">
        <v>5734</v>
      </c>
      <c r="BI1636" s="250"/>
      <c r="BJ1636" s="250"/>
      <c r="BK1636" s="254"/>
      <c r="BL1636" s="250">
        <f t="shared" si="424"/>
        <v>0.53210703404365922</v>
      </c>
      <c r="BM1636" s="33"/>
      <c r="BN1636" s="33"/>
      <c r="BO1636" s="33"/>
      <c r="BP1636" s="33"/>
      <c r="BQ1636" s="33"/>
      <c r="BR1636" s="33"/>
      <c r="BS1636" s="33"/>
      <c r="BT1636" s="33"/>
      <c r="BU1636" s="246"/>
      <c r="BV1636" s="33">
        <v>3.7000000000000002E-3</v>
      </c>
      <c r="BW1636" s="33">
        <v>1.56E-3</v>
      </c>
      <c r="BX1636" s="33"/>
      <c r="BY1636" s="33"/>
      <c r="BZ1636" s="33"/>
      <c r="CA1636" s="33"/>
      <c r="CB1636" s="33"/>
      <c r="CC1636" s="33"/>
      <c r="CD1636" s="33"/>
      <c r="CE1636" s="33"/>
      <c r="CF1636" s="33"/>
      <c r="CG1636" s="33"/>
      <c r="CH1636" s="33"/>
      <c r="CI1636" s="250">
        <f>MIN(BN1636:CH1636)</f>
        <v>1.56E-3</v>
      </c>
      <c r="CJ1636" s="243">
        <f>LOG10(CI1636)</f>
        <v>-2.8068754016455384</v>
      </c>
      <c r="CK1636" s="38" t="s">
        <v>404</v>
      </c>
      <c r="CL1636" s="247">
        <f>BL1636/CI1636</f>
        <v>341.09425259208928</v>
      </c>
      <c r="CM1636" s="247"/>
      <c r="CN1636" s="247"/>
      <c r="CO1636" s="41"/>
      <c r="CP1636" s="41" t="s">
        <v>5735</v>
      </c>
      <c r="CQ1636" s="241">
        <v>-3.1926248715093979</v>
      </c>
      <c r="CR1636" s="241">
        <f>10^(CJ1636-CQ1636)</f>
        <v>2.4308013555598582</v>
      </c>
      <c r="CS1636" s="33"/>
      <c r="CT1636" s="33"/>
      <c r="CU1636" s="250">
        <f>X1636/CI1636</f>
        <v>595.67953632304886</v>
      </c>
      <c r="CV1636" s="337"/>
      <c r="CW1636" s="330">
        <f>IF(CU1636&lt;2,0,1)</f>
        <v>1</v>
      </c>
      <c r="CX1636" s="330" t="s">
        <v>539</v>
      </c>
      <c r="CY1636" s="143" t="s">
        <v>5921</v>
      </c>
    </row>
    <row r="1637" spans="1:103" ht="11.25" customHeight="1" x14ac:dyDescent="0.2">
      <c r="A1637" s="72">
        <v>1635</v>
      </c>
      <c r="B1637" s="241">
        <v>1317</v>
      </c>
      <c r="C1637" s="32" t="s">
        <v>2238</v>
      </c>
      <c r="D1637" s="32" t="s">
        <v>8354</v>
      </c>
      <c r="E1637" s="40"/>
      <c r="F1637" s="40" t="s">
        <v>2239</v>
      </c>
      <c r="G1637" s="242">
        <v>58559</v>
      </c>
      <c r="H1637" s="36" t="s">
        <v>2240</v>
      </c>
      <c r="I1637" s="36" t="s">
        <v>2240</v>
      </c>
      <c r="J1637" s="36" t="s">
        <v>2241</v>
      </c>
      <c r="K1637" s="36" t="s">
        <v>333</v>
      </c>
      <c r="L1637" s="42" t="s">
        <v>279</v>
      </c>
      <c r="M1637" s="36" t="s">
        <v>2242</v>
      </c>
      <c r="N1637" s="36"/>
      <c r="O1637" s="36" t="s">
        <v>281</v>
      </c>
      <c r="P1637" s="41"/>
      <c r="Q1637" s="41"/>
      <c r="R1637" s="41"/>
      <c r="S1637" s="41"/>
      <c r="T1637" s="37">
        <v>180.16</v>
      </c>
      <c r="U1637" s="243">
        <v>40.852575488454711</v>
      </c>
      <c r="V1637" s="243">
        <v>16.163410301953821</v>
      </c>
      <c r="W1637" s="243">
        <v>52.480746024977243</v>
      </c>
      <c r="X1637" s="243">
        <v>40.852575488454711</v>
      </c>
      <c r="Y1637" s="414">
        <v>5.28</v>
      </c>
      <c r="Z1637" s="37">
        <v>-0.39</v>
      </c>
      <c r="AA1637" s="37">
        <v>-0.04</v>
      </c>
      <c r="AB1637" s="37">
        <v>0.1</v>
      </c>
      <c r="AC1637" s="37">
        <v>0.69630000000000003</v>
      </c>
      <c r="AD1637" s="37">
        <v>0</v>
      </c>
      <c r="AE1637" s="37">
        <v>-0.17</v>
      </c>
      <c r="AF1637" s="37">
        <f t="shared" si="431"/>
        <v>-0.04</v>
      </c>
      <c r="AG1637" s="38">
        <v>-0.21</v>
      </c>
      <c r="AH1637" s="243">
        <v>1.6799999999999999E-12</v>
      </c>
      <c r="AI1637" s="243"/>
      <c r="AJ1637" s="34">
        <f t="shared" si="422"/>
        <v>-10.163257044586789</v>
      </c>
      <c r="AK1637" s="34"/>
      <c r="AL1637" s="34">
        <f t="shared" si="423"/>
        <v>-10.163257044586789</v>
      </c>
      <c r="AM1637" s="34">
        <v>-15.289169999999999</v>
      </c>
      <c r="AN1637" s="244">
        <v>-9.16</v>
      </c>
      <c r="AO1637" s="417">
        <v>8.6</v>
      </c>
      <c r="AP1637" s="417">
        <v>1.64</v>
      </c>
      <c r="AQ1637" s="37" t="s">
        <v>6311</v>
      </c>
      <c r="AR1637" s="37" t="s">
        <v>6311</v>
      </c>
      <c r="AS1637" s="245" t="s">
        <v>6</v>
      </c>
      <c r="AT1637" s="39" t="s">
        <v>266</v>
      </c>
      <c r="AU1637" s="37">
        <v>1</v>
      </c>
      <c r="AV1637" s="37">
        <v>72</v>
      </c>
      <c r="AW1637" s="37">
        <v>73</v>
      </c>
      <c r="AX1637" s="37">
        <v>28</v>
      </c>
      <c r="AY1637" s="37" t="s">
        <v>8722</v>
      </c>
      <c r="AZ1637" s="37" t="s">
        <v>4122</v>
      </c>
      <c r="BA1637" s="37">
        <v>20</v>
      </c>
      <c r="BB1637" s="36" t="s">
        <v>4107</v>
      </c>
      <c r="BC1637" s="36" t="s">
        <v>8722</v>
      </c>
      <c r="BD1637" s="36"/>
      <c r="BE1637" s="37" t="s">
        <v>271</v>
      </c>
      <c r="BF1637" s="37" t="s">
        <v>272</v>
      </c>
      <c r="BG1637" s="37" t="s">
        <v>272</v>
      </c>
      <c r="BH1637" s="37" t="s">
        <v>272</v>
      </c>
      <c r="BI1637" s="243">
        <v>0.01</v>
      </c>
      <c r="BJ1637" s="243">
        <v>2</v>
      </c>
      <c r="BK1637" s="37"/>
      <c r="BL1637" s="243">
        <f t="shared" si="424"/>
        <v>115.09567386978659</v>
      </c>
      <c r="BM1637" s="37" t="s">
        <v>2046</v>
      </c>
      <c r="BN1637" s="37"/>
      <c r="BO1637" s="37"/>
      <c r="BP1637" s="37"/>
      <c r="BQ1637" s="37"/>
      <c r="BR1637" s="37"/>
      <c r="BS1637" s="37"/>
      <c r="BT1637" s="37"/>
      <c r="BU1637" s="246"/>
      <c r="BV1637" s="37"/>
      <c r="BW1637" s="37"/>
      <c r="BX1637" s="37"/>
      <c r="BY1637" s="37"/>
      <c r="BZ1637" s="37"/>
      <c r="CA1637" s="37"/>
      <c r="CB1637" s="37"/>
      <c r="CC1637" s="37"/>
      <c r="CD1637" s="37"/>
      <c r="CE1637" s="37"/>
      <c r="CF1637" s="37"/>
      <c r="CG1637" s="37"/>
      <c r="CH1637" s="37"/>
      <c r="CI1637" s="243"/>
      <c r="CJ1637" s="243"/>
      <c r="CK1637" s="38">
        <f t="shared" ref="CK1637:CK1642" si="432">BL1637/BJ1637</f>
        <v>57.547836934893297</v>
      </c>
      <c r="CL1637" s="247"/>
      <c r="CM1637" s="247"/>
      <c r="CN1637" s="247"/>
      <c r="CO1637" s="36" t="s">
        <v>4123</v>
      </c>
      <c r="CP1637" s="36" t="s">
        <v>4124</v>
      </c>
      <c r="CQ1637" s="241" t="s">
        <v>272</v>
      </c>
      <c r="CR1637" s="241"/>
      <c r="CS1637" s="33"/>
      <c r="CT1637" s="33"/>
      <c r="CU1637" s="250"/>
      <c r="CV1637" s="337">
        <f t="shared" ref="CV1637:CV1642" si="433">X1637/BJ1637</f>
        <v>20.426287744227356</v>
      </c>
      <c r="CW1637" s="330">
        <f>IF(CV1637&lt;1,0,1)</f>
        <v>1</v>
      </c>
      <c r="CX1637" s="330"/>
      <c r="CY1637" s="143" t="s">
        <v>6351</v>
      </c>
    </row>
    <row r="1638" spans="1:103" ht="11.25" customHeight="1" x14ac:dyDescent="0.2">
      <c r="A1638" s="72">
        <v>1636</v>
      </c>
      <c r="B1638" s="241">
        <v>211</v>
      </c>
      <c r="C1638" s="32" t="s">
        <v>2238</v>
      </c>
      <c r="D1638" s="32" t="s">
        <v>8354</v>
      </c>
      <c r="E1638" s="40"/>
      <c r="F1638" s="40" t="s">
        <v>2239</v>
      </c>
      <c r="G1638" s="242">
        <v>58559</v>
      </c>
      <c r="H1638" s="36" t="s">
        <v>2240</v>
      </c>
      <c r="I1638" s="36" t="s">
        <v>2240</v>
      </c>
      <c r="J1638" s="36" t="s">
        <v>2241</v>
      </c>
      <c r="K1638" s="36" t="s">
        <v>333</v>
      </c>
      <c r="L1638" s="42" t="s">
        <v>279</v>
      </c>
      <c r="M1638" s="36" t="s">
        <v>2242</v>
      </c>
      <c r="N1638" s="36"/>
      <c r="O1638" s="36" t="s">
        <v>281</v>
      </c>
      <c r="P1638" s="41"/>
      <c r="Q1638" s="41"/>
      <c r="R1638" s="41"/>
      <c r="S1638" s="41"/>
      <c r="T1638" s="37">
        <v>180.16</v>
      </c>
      <c r="U1638" s="243">
        <v>40.852575488454711</v>
      </c>
      <c r="V1638" s="243">
        <v>16.163410301953821</v>
      </c>
      <c r="W1638" s="243">
        <v>52.480746024977243</v>
      </c>
      <c r="X1638" s="243">
        <v>40.852575488454711</v>
      </c>
      <c r="Y1638" s="414">
        <v>5.28</v>
      </c>
      <c r="Z1638" s="37">
        <v>-0.39</v>
      </c>
      <c r="AA1638" s="37">
        <v>-0.04</v>
      </c>
      <c r="AB1638" s="37">
        <v>0.1</v>
      </c>
      <c r="AC1638" s="37">
        <v>0.69630000000000003</v>
      </c>
      <c r="AD1638" s="37">
        <v>0</v>
      </c>
      <c r="AE1638" s="37">
        <v>-0.17</v>
      </c>
      <c r="AF1638" s="37">
        <f t="shared" si="431"/>
        <v>-0.04</v>
      </c>
      <c r="AG1638" s="38">
        <v>-0.21</v>
      </c>
      <c r="AH1638" s="243">
        <v>1.6799999999999999E-12</v>
      </c>
      <c r="AI1638" s="243"/>
      <c r="AJ1638" s="34">
        <f t="shared" si="422"/>
        <v>-10.163257044586789</v>
      </c>
      <c r="AK1638" s="34"/>
      <c r="AL1638" s="34">
        <f t="shared" si="423"/>
        <v>-10.163257044586789</v>
      </c>
      <c r="AM1638" s="34">
        <v>-15.289169999999999</v>
      </c>
      <c r="AN1638" s="244">
        <v>-9.16</v>
      </c>
      <c r="AO1638" s="417">
        <v>8.6</v>
      </c>
      <c r="AP1638" s="417">
        <v>1.64</v>
      </c>
      <c r="AQ1638" s="244" t="s">
        <v>6311</v>
      </c>
      <c r="AR1638" s="244" t="s">
        <v>6311</v>
      </c>
      <c r="AS1638" s="241" t="s">
        <v>6</v>
      </c>
      <c r="AT1638" s="39" t="s">
        <v>266</v>
      </c>
      <c r="AU1638" s="37">
        <v>0</v>
      </c>
      <c r="AV1638" s="37">
        <v>48</v>
      </c>
      <c r="AW1638" s="37">
        <v>48</v>
      </c>
      <c r="AX1638" s="37">
        <v>26</v>
      </c>
      <c r="AY1638" s="37" t="s">
        <v>8722</v>
      </c>
      <c r="AZ1638" s="37" t="s">
        <v>536</v>
      </c>
      <c r="BA1638" s="37">
        <v>20</v>
      </c>
      <c r="BB1638" s="36" t="s">
        <v>537</v>
      </c>
      <c r="BC1638" s="36" t="s">
        <v>538</v>
      </c>
      <c r="BD1638" s="36"/>
      <c r="BE1638" s="245" t="s">
        <v>271</v>
      </c>
      <c r="BF1638" s="245" t="s">
        <v>539</v>
      </c>
      <c r="BG1638" s="245" t="s">
        <v>540</v>
      </c>
      <c r="BH1638" s="245" t="s">
        <v>272</v>
      </c>
      <c r="BI1638" s="243">
        <v>1.43</v>
      </c>
      <c r="BJ1638" s="243">
        <v>40</v>
      </c>
      <c r="BK1638" s="37"/>
      <c r="BL1638" s="243">
        <f t="shared" si="424"/>
        <v>115.09567386978659</v>
      </c>
      <c r="BM1638" s="37" t="s">
        <v>541</v>
      </c>
      <c r="BN1638" s="37"/>
      <c r="BO1638" s="37"/>
      <c r="BP1638" s="37"/>
      <c r="BQ1638" s="37"/>
      <c r="BR1638" s="37"/>
      <c r="BS1638" s="37"/>
      <c r="BT1638" s="37"/>
      <c r="BU1638" s="246"/>
      <c r="BV1638" s="37"/>
      <c r="BW1638" s="37"/>
      <c r="BX1638" s="37"/>
      <c r="BY1638" s="37"/>
      <c r="BZ1638" s="37"/>
      <c r="CA1638" s="37"/>
      <c r="CB1638" s="37"/>
      <c r="CC1638" s="37"/>
      <c r="CD1638" s="37"/>
      <c r="CE1638" s="37"/>
      <c r="CF1638" s="37"/>
      <c r="CG1638" s="37"/>
      <c r="CH1638" s="37"/>
      <c r="CI1638" s="243"/>
      <c r="CJ1638" s="243"/>
      <c r="CK1638" s="38">
        <f t="shared" si="432"/>
        <v>2.8773918467446649</v>
      </c>
      <c r="CL1638" s="247"/>
      <c r="CM1638" s="247"/>
      <c r="CN1638" s="247"/>
      <c r="CO1638" s="36" t="s">
        <v>3683</v>
      </c>
      <c r="CP1638" s="36" t="s">
        <v>542</v>
      </c>
      <c r="CQ1638" s="241" t="s">
        <v>272</v>
      </c>
      <c r="CR1638" s="241"/>
      <c r="CS1638" s="33"/>
      <c r="CT1638" s="33"/>
      <c r="CU1638" s="250"/>
      <c r="CV1638" s="337">
        <f t="shared" si="433"/>
        <v>1.0213143872113677</v>
      </c>
      <c r="CW1638" s="330">
        <f>IF(CV1638&lt;1,0,1)</f>
        <v>1</v>
      </c>
      <c r="CX1638" s="330"/>
      <c r="CY1638" s="143" t="s">
        <v>6351</v>
      </c>
    </row>
    <row r="1639" spans="1:103" ht="11.25" customHeight="1" x14ac:dyDescent="0.2">
      <c r="A1639" s="72">
        <v>1637</v>
      </c>
      <c r="B1639" s="241">
        <v>796</v>
      </c>
      <c r="C1639" s="32" t="s">
        <v>2238</v>
      </c>
      <c r="D1639" s="32" t="s">
        <v>8354</v>
      </c>
      <c r="E1639" s="40"/>
      <c r="F1639" s="40" t="s">
        <v>2239</v>
      </c>
      <c r="G1639" s="242">
        <v>58559</v>
      </c>
      <c r="H1639" s="36" t="s">
        <v>2240</v>
      </c>
      <c r="I1639" s="36" t="s">
        <v>2240</v>
      </c>
      <c r="J1639" s="36" t="s">
        <v>2241</v>
      </c>
      <c r="K1639" s="36" t="s">
        <v>333</v>
      </c>
      <c r="L1639" s="42" t="s">
        <v>279</v>
      </c>
      <c r="M1639" s="36" t="s">
        <v>2242</v>
      </c>
      <c r="N1639" s="36"/>
      <c r="O1639" s="36" t="s">
        <v>281</v>
      </c>
      <c r="P1639" s="41"/>
      <c r="Q1639" s="41"/>
      <c r="R1639" s="41"/>
      <c r="S1639" s="41"/>
      <c r="T1639" s="37">
        <v>180.16</v>
      </c>
      <c r="U1639" s="243">
        <v>40.852575488454711</v>
      </c>
      <c r="V1639" s="243">
        <v>16.163410301953821</v>
      </c>
      <c r="W1639" s="243">
        <v>52.480746024977243</v>
      </c>
      <c r="X1639" s="243">
        <v>40.852575488454711</v>
      </c>
      <c r="Y1639" s="414">
        <v>5.28</v>
      </c>
      <c r="Z1639" s="37">
        <v>-0.39</v>
      </c>
      <c r="AA1639" s="37">
        <v>-0.04</v>
      </c>
      <c r="AB1639" s="37">
        <v>0.1</v>
      </c>
      <c r="AC1639" s="37">
        <v>0.69630000000000003</v>
      </c>
      <c r="AD1639" s="37">
        <v>0</v>
      </c>
      <c r="AE1639" s="37">
        <v>-0.17</v>
      </c>
      <c r="AF1639" s="37">
        <f t="shared" si="431"/>
        <v>-0.04</v>
      </c>
      <c r="AG1639" s="38">
        <v>-0.21</v>
      </c>
      <c r="AH1639" s="243">
        <v>1.6799999999999999E-12</v>
      </c>
      <c r="AI1639" s="243"/>
      <c r="AJ1639" s="34">
        <f t="shared" si="422"/>
        <v>-10.163257044586789</v>
      </c>
      <c r="AK1639" s="34"/>
      <c r="AL1639" s="34">
        <f t="shared" si="423"/>
        <v>-10.163257044586789</v>
      </c>
      <c r="AM1639" s="34">
        <v>-15.289169999999999</v>
      </c>
      <c r="AN1639" s="244">
        <v>-9.16</v>
      </c>
      <c r="AO1639" s="417">
        <v>8.6</v>
      </c>
      <c r="AP1639" s="417">
        <v>1.64</v>
      </c>
      <c r="AQ1639" s="37" t="s">
        <v>6311</v>
      </c>
      <c r="AR1639" s="37" t="s">
        <v>6311</v>
      </c>
      <c r="AS1639" s="245" t="s">
        <v>6</v>
      </c>
      <c r="AT1639" s="39" t="s">
        <v>266</v>
      </c>
      <c r="AU1639" s="37">
        <v>72</v>
      </c>
      <c r="AV1639" s="37">
        <v>120</v>
      </c>
      <c r="AW1639" s="37">
        <v>48</v>
      </c>
      <c r="AX1639" s="37">
        <v>26</v>
      </c>
      <c r="AY1639" s="37" t="s">
        <v>647</v>
      </c>
      <c r="AZ1639" s="37" t="s">
        <v>536</v>
      </c>
      <c r="BA1639" s="37">
        <v>10</v>
      </c>
      <c r="BB1639" s="36" t="s">
        <v>1764</v>
      </c>
      <c r="BC1639" s="36" t="s">
        <v>538</v>
      </c>
      <c r="BD1639" s="36"/>
      <c r="BE1639" s="37" t="s">
        <v>271</v>
      </c>
      <c r="BF1639" s="37" t="s">
        <v>539</v>
      </c>
      <c r="BG1639" s="37">
        <v>7.5</v>
      </c>
      <c r="BH1639" s="37" t="s">
        <v>272</v>
      </c>
      <c r="BI1639" s="243">
        <v>0.17</v>
      </c>
      <c r="BJ1639" s="243">
        <v>27.9</v>
      </c>
      <c r="BK1639" s="37" t="s">
        <v>2066</v>
      </c>
      <c r="BL1639" s="243">
        <v>53.6</v>
      </c>
      <c r="BM1639" s="37" t="s">
        <v>541</v>
      </c>
      <c r="BN1639" s="37"/>
      <c r="BO1639" s="37"/>
      <c r="BP1639" s="37"/>
      <c r="BQ1639" s="37"/>
      <c r="BR1639" s="37"/>
      <c r="BS1639" s="37"/>
      <c r="BT1639" s="37"/>
      <c r="BU1639" s="246"/>
      <c r="BV1639" s="37"/>
      <c r="BW1639" s="37"/>
      <c r="BX1639" s="37"/>
      <c r="BY1639" s="37"/>
      <c r="BZ1639" s="37"/>
      <c r="CA1639" s="37"/>
      <c r="CB1639" s="37"/>
      <c r="CC1639" s="37"/>
      <c r="CD1639" s="37">
        <v>6.99</v>
      </c>
      <c r="CE1639" s="37">
        <v>2.1</v>
      </c>
      <c r="CF1639" s="37"/>
      <c r="CG1639" s="37"/>
      <c r="CH1639" s="37"/>
      <c r="CI1639" s="243">
        <v>2.1</v>
      </c>
      <c r="CJ1639" s="243">
        <f>LOG10(CI1639)</f>
        <v>0.3222192947339193</v>
      </c>
      <c r="CK1639" s="38">
        <f t="shared" si="432"/>
        <v>1.9211469534050181</v>
      </c>
      <c r="CL1639" s="247">
        <f>BL1639/CI1639</f>
        <v>25.523809523809522</v>
      </c>
      <c r="CM1639" s="247"/>
      <c r="CN1639" s="247"/>
      <c r="CO1639" s="36"/>
      <c r="CP1639" s="36" t="s">
        <v>2244</v>
      </c>
      <c r="CQ1639" s="241" t="s">
        <v>272</v>
      </c>
      <c r="CR1639" s="241"/>
      <c r="CS1639" s="33"/>
      <c r="CT1639" s="33" t="s">
        <v>6310</v>
      </c>
      <c r="CU1639" s="250">
        <f>X1639/CI1639</f>
        <v>19.453607375454624</v>
      </c>
      <c r="CV1639" s="337">
        <f t="shared" si="433"/>
        <v>1.4642500175073374</v>
      </c>
      <c r="CW1639" s="330">
        <f>IF(CU1639&lt;2,0,1)</f>
        <v>1</v>
      </c>
      <c r="CX1639" s="330" t="s">
        <v>539</v>
      </c>
      <c r="CY1639" s="143" t="s">
        <v>6351</v>
      </c>
    </row>
    <row r="1640" spans="1:103" ht="11.25" customHeight="1" x14ac:dyDescent="0.2">
      <c r="A1640" s="72">
        <v>1638</v>
      </c>
      <c r="B1640" s="241">
        <v>550</v>
      </c>
      <c r="C1640" s="32" t="s">
        <v>1282</v>
      </c>
      <c r="D1640" s="32"/>
      <c r="E1640" s="40"/>
      <c r="F1640" s="40" t="s">
        <v>1283</v>
      </c>
      <c r="G1640" s="242">
        <v>58899</v>
      </c>
      <c r="H1640" s="36" t="s">
        <v>1284</v>
      </c>
      <c r="I1640" s="36" t="s">
        <v>7983</v>
      </c>
      <c r="J1640" s="36" t="s">
        <v>1285</v>
      </c>
      <c r="K1640" s="36" t="s">
        <v>426</v>
      </c>
      <c r="L1640" s="36"/>
      <c r="M1640" s="36" t="s">
        <v>1286</v>
      </c>
      <c r="N1640" s="36" t="s">
        <v>6376</v>
      </c>
      <c r="O1640" s="36" t="s">
        <v>1287</v>
      </c>
      <c r="P1640" s="41" t="s">
        <v>6183</v>
      </c>
      <c r="Q1640" s="41" t="s">
        <v>6176</v>
      </c>
      <c r="R1640" s="41" t="s">
        <v>6181</v>
      </c>
      <c r="S1640" s="41" t="s">
        <v>6173</v>
      </c>
      <c r="T1640" s="37">
        <v>290.83</v>
      </c>
      <c r="U1640" s="243">
        <v>2.7507478595743221E-2</v>
      </c>
      <c r="V1640" s="243">
        <v>1.3905030430148195E-2</v>
      </c>
      <c r="W1640" s="243">
        <v>2.1379620895022287E-2</v>
      </c>
      <c r="X1640" s="243">
        <v>2.7507478595743221E-2</v>
      </c>
      <c r="Y1640" s="414">
        <v>7</v>
      </c>
      <c r="Z1640" s="37">
        <v>4.26</v>
      </c>
      <c r="AA1640" s="37">
        <v>4.1399999999999997</v>
      </c>
      <c r="AB1640" s="37">
        <v>3.79</v>
      </c>
      <c r="AC1640" s="37">
        <v>0.93030000000000002</v>
      </c>
      <c r="AD1640" s="37">
        <v>3.82</v>
      </c>
      <c r="AE1640" s="37">
        <v>3.99</v>
      </c>
      <c r="AF1640" s="37">
        <f t="shared" si="431"/>
        <v>4.1399999999999997</v>
      </c>
      <c r="AG1640" s="38">
        <v>3.92</v>
      </c>
      <c r="AH1640" s="243">
        <v>2.5599999999999999E-4</v>
      </c>
      <c r="AI1640" s="243">
        <v>5.1399999999999999E-6</v>
      </c>
      <c r="AJ1640" s="34">
        <f t="shared" si="422"/>
        <v>-1.9803263610008022</v>
      </c>
      <c r="AK1640" s="34">
        <f>LOG10(AI1640*1000/(0.08206*298.15))</f>
        <v>-3.6776032073173761</v>
      </c>
      <c r="AL1640" s="34">
        <f t="shared" si="423"/>
        <v>-3.6776032073173761</v>
      </c>
      <c r="AM1640" s="34">
        <v>-6.2972599999999996</v>
      </c>
      <c r="AN1640" s="244">
        <v>-3.77</v>
      </c>
      <c r="AO1640" s="417"/>
      <c r="AP1640" s="417"/>
      <c r="AQ1640" s="244" t="s">
        <v>6311</v>
      </c>
      <c r="AR1640" s="244" t="s">
        <v>6312</v>
      </c>
      <c r="AS1640" s="241" t="s">
        <v>6</v>
      </c>
      <c r="AT1640" s="39" t="s">
        <v>266</v>
      </c>
      <c r="AU1640" s="37">
        <v>2</v>
      </c>
      <c r="AV1640" s="37">
        <v>48</v>
      </c>
      <c r="AW1640" s="37">
        <v>48</v>
      </c>
      <c r="AX1640" s="37">
        <v>26</v>
      </c>
      <c r="AY1640" s="37" t="s">
        <v>647</v>
      </c>
      <c r="AZ1640" s="37" t="s">
        <v>536</v>
      </c>
      <c r="BA1640" s="37">
        <v>20</v>
      </c>
      <c r="BB1640" s="36" t="s">
        <v>537</v>
      </c>
      <c r="BC1640" s="36" t="s">
        <v>538</v>
      </c>
      <c r="BD1640" s="36"/>
      <c r="BE1640" s="37" t="s">
        <v>271</v>
      </c>
      <c r="BF1640" s="37" t="s">
        <v>539</v>
      </c>
      <c r="BG1640" s="37" t="s">
        <v>272</v>
      </c>
      <c r="BH1640" s="37" t="s">
        <v>272</v>
      </c>
      <c r="BI1640" s="248">
        <v>2.0630608946807412E-3</v>
      </c>
      <c r="BJ1640" s="248">
        <v>2.2693669841488153E-2</v>
      </c>
      <c r="BK1640" s="37"/>
      <c r="BL1640" s="243">
        <f t="shared" ref="BL1640:BL1671" si="434">10^((-0.8981*Z1640)+1.7108)</f>
        <v>7.6717421921324528E-3</v>
      </c>
      <c r="BM1640" s="37" t="s">
        <v>541</v>
      </c>
      <c r="BN1640" s="37"/>
      <c r="BO1640" s="37">
        <v>2.7507478595743219E-3</v>
      </c>
      <c r="BP1640" s="37"/>
      <c r="BQ1640" s="37"/>
      <c r="BR1640" s="37"/>
      <c r="BS1640" s="37"/>
      <c r="BT1640" s="37"/>
      <c r="BU1640" s="246"/>
      <c r="BV1640" s="37"/>
      <c r="BW1640" s="37"/>
      <c r="BX1640" s="37"/>
      <c r="BY1640" s="37"/>
      <c r="BZ1640" s="37"/>
      <c r="CA1640" s="37"/>
      <c r="CB1640" s="37"/>
      <c r="CC1640" s="37"/>
      <c r="CD1640" s="37"/>
      <c r="CE1640" s="37"/>
      <c r="CF1640" s="37"/>
      <c r="CG1640" s="37"/>
      <c r="CH1640" s="37"/>
      <c r="CI1640" s="243">
        <f>MIN(BN1640:CH1640)</f>
        <v>2.7507478595743219E-3</v>
      </c>
      <c r="CJ1640" s="243">
        <f>LOG10(CI1640)</f>
        <v>-2.5605492163039014</v>
      </c>
      <c r="CK1640" s="38">
        <f t="shared" si="432"/>
        <v>0.33805648208149719</v>
      </c>
      <c r="CL1640" s="247">
        <f>BL1640/CI1640</f>
        <v>2.7889659771723516</v>
      </c>
      <c r="CM1640" s="247">
        <v>-3.8779488905766821</v>
      </c>
      <c r="CN1640" s="247">
        <f>BJ1640/(10^CM1640)</f>
        <v>171.33797225559917</v>
      </c>
      <c r="CO1640" s="36"/>
      <c r="CP1640" s="36" t="s">
        <v>1558</v>
      </c>
      <c r="CQ1640" s="241">
        <v>-3.5684782349238242</v>
      </c>
      <c r="CR1640" s="241">
        <f>10^(CJ1640-CQ1640)</f>
        <v>10.184249224015947</v>
      </c>
      <c r="CS1640" s="33"/>
      <c r="CT1640" s="33"/>
      <c r="CU1640" s="250">
        <f>X1640/CI1640</f>
        <v>10</v>
      </c>
      <c r="CV1640" s="337">
        <f t="shared" si="433"/>
        <v>1.2121212121212124</v>
      </c>
      <c r="CW1640" s="330">
        <f>IF(CU1640&lt;2,0,1)</f>
        <v>1</v>
      </c>
      <c r="CX1640" s="330"/>
      <c r="CY1640" s="143" t="s">
        <v>5921</v>
      </c>
    </row>
    <row r="1641" spans="1:103" ht="11.25" customHeight="1" x14ac:dyDescent="0.2">
      <c r="A1641" s="72">
        <v>1639</v>
      </c>
      <c r="B1641" s="241">
        <v>776</v>
      </c>
      <c r="C1641" s="32" t="s">
        <v>1282</v>
      </c>
      <c r="D1641" s="32"/>
      <c r="E1641" s="40"/>
      <c r="F1641" s="40" t="s">
        <v>1283</v>
      </c>
      <c r="G1641" s="242">
        <v>58899</v>
      </c>
      <c r="H1641" s="36" t="s">
        <v>1284</v>
      </c>
      <c r="I1641" s="36" t="s">
        <v>7983</v>
      </c>
      <c r="J1641" s="36" t="s">
        <v>1285</v>
      </c>
      <c r="K1641" s="36" t="s">
        <v>426</v>
      </c>
      <c r="L1641" s="36"/>
      <c r="M1641" s="36" t="s">
        <v>1286</v>
      </c>
      <c r="N1641" s="36" t="s">
        <v>6376</v>
      </c>
      <c r="O1641" s="36" t="s">
        <v>1287</v>
      </c>
      <c r="P1641" s="41"/>
      <c r="Q1641" s="41"/>
      <c r="R1641" s="41"/>
      <c r="S1641" s="41"/>
      <c r="T1641" s="37">
        <v>290.83</v>
      </c>
      <c r="U1641" s="243">
        <v>2.7507478595743221E-2</v>
      </c>
      <c r="V1641" s="243">
        <v>1.3905030430148195E-2</v>
      </c>
      <c r="W1641" s="243">
        <v>2.1379620895022287E-2</v>
      </c>
      <c r="X1641" s="243">
        <v>2.7507478595743221E-2</v>
      </c>
      <c r="Y1641" s="414">
        <v>7</v>
      </c>
      <c r="Z1641" s="37">
        <v>4.26</v>
      </c>
      <c r="AA1641" s="37">
        <v>4.1399999999999997</v>
      </c>
      <c r="AB1641" s="37">
        <v>3.79</v>
      </c>
      <c r="AC1641" s="37">
        <v>0.93030000000000002</v>
      </c>
      <c r="AD1641" s="37">
        <v>3.82</v>
      </c>
      <c r="AE1641" s="37">
        <v>3.99</v>
      </c>
      <c r="AF1641" s="37">
        <f t="shared" si="431"/>
        <v>4.1399999999999997</v>
      </c>
      <c r="AG1641" s="38">
        <v>3.92</v>
      </c>
      <c r="AH1641" s="243">
        <v>2.5599999999999999E-4</v>
      </c>
      <c r="AI1641" s="243">
        <v>5.1399999999999999E-6</v>
      </c>
      <c r="AJ1641" s="34">
        <f t="shared" ref="AJ1641:AJ1672" si="435">LOG10(AH1641*1000/(0.08206*298.15))</f>
        <v>-1.9803263610008022</v>
      </c>
      <c r="AK1641" s="34">
        <f>LOG10(AI1641*1000/(0.08206*298.15))</f>
        <v>-3.6776032073173761</v>
      </c>
      <c r="AL1641" s="34">
        <f t="shared" ref="AL1641:AL1672" si="436">IF(AK1641=0,AJ1641,AK1641)</f>
        <v>-3.6776032073173761</v>
      </c>
      <c r="AM1641" s="34">
        <v>-6.2972599999999996</v>
      </c>
      <c r="AN1641" s="244">
        <v>-3.77</v>
      </c>
      <c r="AO1641" s="417"/>
      <c r="AP1641" s="417"/>
      <c r="AQ1641" s="244" t="s">
        <v>6311</v>
      </c>
      <c r="AR1641" s="244" t="s">
        <v>6312</v>
      </c>
      <c r="AS1641" s="241" t="s">
        <v>6</v>
      </c>
      <c r="AT1641" s="39" t="s">
        <v>266</v>
      </c>
      <c r="AU1641" s="37">
        <v>2</v>
      </c>
      <c r="AV1641" s="37">
        <v>48</v>
      </c>
      <c r="AW1641" s="37">
        <v>48</v>
      </c>
      <c r="AX1641" s="37">
        <v>26</v>
      </c>
      <c r="AY1641" s="37" t="s">
        <v>8722</v>
      </c>
      <c r="AZ1641" s="37" t="s">
        <v>1893</v>
      </c>
      <c r="BA1641" s="37">
        <v>15</v>
      </c>
      <c r="BB1641" s="36" t="s">
        <v>1613</v>
      </c>
      <c r="BC1641" s="36" t="s">
        <v>1887</v>
      </c>
      <c r="BD1641" s="36"/>
      <c r="BE1641" s="37" t="s">
        <v>1712</v>
      </c>
      <c r="BF1641" s="37" t="s">
        <v>540</v>
      </c>
      <c r="BG1641" s="37" t="s">
        <v>540</v>
      </c>
      <c r="BH1641" s="37" t="s">
        <v>272</v>
      </c>
      <c r="BI1641" s="243">
        <v>1.1000000000000001E-3</v>
      </c>
      <c r="BJ1641" s="243">
        <v>1.72E-2</v>
      </c>
      <c r="BK1641" s="37"/>
      <c r="BL1641" s="243">
        <f t="shared" si="434"/>
        <v>7.6717421921324528E-3</v>
      </c>
      <c r="BM1641" s="37" t="s">
        <v>541</v>
      </c>
      <c r="BN1641" s="37"/>
      <c r="BO1641" s="37"/>
      <c r="BP1641" s="37"/>
      <c r="BQ1641" s="37"/>
      <c r="BR1641" s="37"/>
      <c r="BS1641" s="37"/>
      <c r="BT1641" s="37"/>
      <c r="BU1641" s="246"/>
      <c r="BV1641" s="37"/>
      <c r="BW1641" s="37"/>
      <c r="BX1641" s="37"/>
      <c r="BY1641" s="37"/>
      <c r="BZ1641" s="37"/>
      <c r="CA1641" s="37"/>
      <c r="CB1641" s="37"/>
      <c r="CC1641" s="37"/>
      <c r="CD1641" s="37"/>
      <c r="CE1641" s="37"/>
      <c r="CF1641" s="37"/>
      <c r="CG1641" s="37"/>
      <c r="CH1641" s="37"/>
      <c r="CI1641" s="243"/>
      <c r="CJ1641" s="243"/>
      <c r="CK1641" s="38">
        <f t="shared" si="432"/>
        <v>0.44603152279839842</v>
      </c>
      <c r="CL1641" s="247"/>
      <c r="CM1641" s="247">
        <v>-3.8779488905766821</v>
      </c>
      <c r="CN1641" s="247">
        <f>BJ1641/(10^CM1641)</f>
        <v>129.86057977315903</v>
      </c>
      <c r="CO1641" s="36" t="s">
        <v>1888</v>
      </c>
      <c r="CP1641" s="36" t="s">
        <v>1889</v>
      </c>
      <c r="CQ1641" s="241">
        <v>-3.5684782349238242</v>
      </c>
      <c r="CR1641" s="241">
        <f>10^(CJ1641-CQ1641)</f>
        <v>3702.3565022757025</v>
      </c>
      <c r="CS1641" s="33"/>
      <c r="CT1641" s="33"/>
      <c r="CU1641" s="250"/>
      <c r="CV1641" s="337">
        <f t="shared" si="433"/>
        <v>1.5992720113804197</v>
      </c>
      <c r="CW1641" s="330">
        <f>IF(CV1641&lt;1,0,1)</f>
        <v>1</v>
      </c>
      <c r="CX1641" s="330" t="s">
        <v>539</v>
      </c>
      <c r="CY1641" s="143" t="s">
        <v>5921</v>
      </c>
    </row>
    <row r="1642" spans="1:103" ht="11.25" customHeight="1" x14ac:dyDescent="0.2">
      <c r="A1642" s="72">
        <v>1640</v>
      </c>
      <c r="B1642" s="241">
        <v>853</v>
      </c>
      <c r="C1642" s="32" t="s">
        <v>2221</v>
      </c>
      <c r="D1642" s="32" t="s">
        <v>6434</v>
      </c>
      <c r="E1642" s="40"/>
      <c r="F1642" s="40" t="s">
        <v>2222</v>
      </c>
      <c r="G1642" s="242">
        <v>60571</v>
      </c>
      <c r="H1642" s="36" t="s">
        <v>1703</v>
      </c>
      <c r="I1642" s="36" t="s">
        <v>7988</v>
      </c>
      <c r="J1642" s="36" t="s">
        <v>2223</v>
      </c>
      <c r="K1642" s="36" t="s">
        <v>1705</v>
      </c>
      <c r="L1642" s="36"/>
      <c r="M1642" s="36" t="s">
        <v>1286</v>
      </c>
      <c r="N1642" s="36" t="s">
        <v>6376</v>
      </c>
      <c r="O1642" s="36" t="s">
        <v>2224</v>
      </c>
      <c r="P1642" s="41"/>
      <c r="Q1642" s="41"/>
      <c r="R1642" s="41"/>
      <c r="S1642" s="41"/>
      <c r="T1642" s="37">
        <v>380.91</v>
      </c>
      <c r="U1642" s="243">
        <v>6.5632301593552276E-4</v>
      </c>
      <c r="V1642" s="243">
        <v>3.8197999527447423E-4</v>
      </c>
      <c r="W1642" s="243">
        <v>4.2657951880159214E-4</v>
      </c>
      <c r="X1642" s="243">
        <v>6.5632301593552276E-4</v>
      </c>
      <c r="Y1642" s="414">
        <v>7</v>
      </c>
      <c r="Z1642" s="37">
        <v>5.45</v>
      </c>
      <c r="AA1642" s="37">
        <v>5.2</v>
      </c>
      <c r="AB1642" s="37">
        <v>4.97</v>
      </c>
      <c r="AC1642" s="37">
        <v>0.6804</v>
      </c>
      <c r="AD1642" s="37">
        <v>4.9400000000000004</v>
      </c>
      <c r="AE1642" s="37">
        <v>4.88</v>
      </c>
      <c r="AF1642" s="37">
        <f t="shared" si="431"/>
        <v>5.2</v>
      </c>
      <c r="AG1642" s="38">
        <v>4.05</v>
      </c>
      <c r="AH1642" s="243">
        <v>5.4099999999999999E-7</v>
      </c>
      <c r="AI1642" s="243">
        <v>1.0000000000000001E-5</v>
      </c>
      <c r="AJ1642" s="34">
        <f t="shared" si="435"/>
        <v>-4.6553690612060823</v>
      </c>
      <c r="AK1642" s="34">
        <f>LOG10(AI1642*1000/(0.08206*298.15))</f>
        <v>-3.388566326312652</v>
      </c>
      <c r="AL1642" s="34">
        <f t="shared" si="436"/>
        <v>-3.388566326312652</v>
      </c>
      <c r="AM1642" s="34">
        <v>-9.114469999999999</v>
      </c>
      <c r="AN1642" s="244">
        <v>-4.32</v>
      </c>
      <c r="AO1642" s="417"/>
      <c r="AP1642" s="417"/>
      <c r="AQ1642" s="244" t="s">
        <v>6312</v>
      </c>
      <c r="AR1642" s="244" t="s">
        <v>6311</v>
      </c>
      <c r="AS1642" s="241" t="s">
        <v>6</v>
      </c>
      <c r="AT1642" s="39" t="s">
        <v>266</v>
      </c>
      <c r="AU1642" s="37">
        <v>2</v>
      </c>
      <c r="AV1642" s="37">
        <v>48</v>
      </c>
      <c r="AW1642" s="37">
        <v>48</v>
      </c>
      <c r="AX1642" s="37">
        <v>26</v>
      </c>
      <c r="AY1642" s="37" t="s">
        <v>647</v>
      </c>
      <c r="AZ1642" s="37" t="s">
        <v>1920</v>
      </c>
      <c r="BA1642" s="37">
        <v>10</v>
      </c>
      <c r="BB1642" s="36" t="s">
        <v>1613</v>
      </c>
      <c r="BC1642" s="36" t="s">
        <v>538</v>
      </c>
      <c r="BD1642" s="36"/>
      <c r="BE1642" s="37" t="s">
        <v>271</v>
      </c>
      <c r="BF1642" s="37" t="s">
        <v>272</v>
      </c>
      <c r="BG1642" s="37" t="s">
        <v>272</v>
      </c>
      <c r="BH1642" s="37" t="s">
        <v>272</v>
      </c>
      <c r="BI1642" s="243">
        <v>4.9224226195164204E-5</v>
      </c>
      <c r="BJ1642" s="243">
        <v>2.625292063742091E-3</v>
      </c>
      <c r="BK1642" s="37"/>
      <c r="BL1642" s="243">
        <f t="shared" si="434"/>
        <v>6.5486985586723091E-4</v>
      </c>
      <c r="BM1642" s="37" t="s">
        <v>541</v>
      </c>
      <c r="BN1642" s="37"/>
      <c r="BO1642" s="37"/>
      <c r="BP1642" s="37"/>
      <c r="BQ1642" s="37"/>
      <c r="BR1642" s="37"/>
      <c r="BS1642" s="37"/>
      <c r="BT1642" s="37"/>
      <c r="BU1642" s="246"/>
      <c r="BV1642" s="37"/>
      <c r="BW1642" s="37"/>
      <c r="BX1642" s="37"/>
      <c r="BY1642" s="37"/>
      <c r="BZ1642" s="37"/>
      <c r="CA1642" s="37"/>
      <c r="CB1642" s="37"/>
      <c r="CC1642" s="37"/>
      <c r="CD1642" s="37"/>
      <c r="CE1642" s="37"/>
      <c r="CF1642" s="37"/>
      <c r="CG1642" s="37"/>
      <c r="CH1642" s="37"/>
      <c r="CI1642" s="243"/>
      <c r="CJ1642" s="243"/>
      <c r="CK1642" s="38">
        <f t="shared" si="432"/>
        <v>0.24944647679838694</v>
      </c>
      <c r="CL1642" s="247"/>
      <c r="CM1642" s="247">
        <v>-4.7442025151171459</v>
      </c>
      <c r="CN1642" s="247">
        <f>BJ1642/(10^CM1642)</f>
        <v>145.67336111807387</v>
      </c>
      <c r="CO1642" s="36" t="s">
        <v>4073</v>
      </c>
      <c r="CP1642" s="36" t="s">
        <v>1921</v>
      </c>
      <c r="CQ1642" s="241">
        <v>-4.6601848598528131</v>
      </c>
      <c r="CR1642" s="241">
        <f>10^(CJ1642-CQ1642)</f>
        <v>45728.279314978266</v>
      </c>
      <c r="CS1642" s="33"/>
      <c r="CT1642" s="33"/>
      <c r="CU1642" s="250"/>
      <c r="CV1642" s="337">
        <f t="shared" si="433"/>
        <v>0.25</v>
      </c>
      <c r="CW1642" s="330">
        <f>IF(CV1642&lt;1,0,1)</f>
        <v>0</v>
      </c>
      <c r="CX1642" s="330"/>
      <c r="CY1642" s="143" t="s">
        <v>5921</v>
      </c>
    </row>
    <row r="1643" spans="1:103" ht="11.25" customHeight="1" x14ac:dyDescent="0.2">
      <c r="A1643" s="72">
        <v>1641</v>
      </c>
      <c r="B1643" s="241">
        <v>2095</v>
      </c>
      <c r="C1643" s="32" t="s">
        <v>7622</v>
      </c>
      <c r="D1643" s="32"/>
      <c r="E1643" s="40"/>
      <c r="F1643" s="40" t="s">
        <v>1748</v>
      </c>
      <c r="G1643" s="242">
        <v>62237</v>
      </c>
      <c r="H1643" s="41" t="s">
        <v>5790</v>
      </c>
      <c r="I1643" s="41" t="s">
        <v>8209</v>
      </c>
      <c r="J1643" s="41" t="s">
        <v>5791</v>
      </c>
      <c r="K1643" s="41" t="s">
        <v>426</v>
      </c>
      <c r="L1643" s="41"/>
      <c r="M1643" s="41"/>
      <c r="N1643" s="36"/>
      <c r="O1643" s="41"/>
      <c r="P1643" s="41"/>
      <c r="Q1643" s="41"/>
      <c r="R1643" s="41"/>
      <c r="S1643" s="41"/>
      <c r="T1643" s="33">
        <v>167.12</v>
      </c>
      <c r="U1643" s="250">
        <v>1.1967448539971277</v>
      </c>
      <c r="V1643" s="250">
        <v>3.7607707036859739</v>
      </c>
      <c r="W1643" s="250">
        <v>9.7723722095581049</v>
      </c>
      <c r="X1643" s="250">
        <v>1.1967448539971277</v>
      </c>
      <c r="Y1643" s="415">
        <v>2.76</v>
      </c>
      <c r="Z1643" s="33">
        <v>1.69</v>
      </c>
      <c r="AA1643" s="33">
        <v>1.89</v>
      </c>
      <c r="AB1643" s="33">
        <v>1.96</v>
      </c>
      <c r="AC1643" s="33">
        <v>0.90569999999999995</v>
      </c>
      <c r="AD1643" s="33">
        <v>1.94</v>
      </c>
      <c r="AE1643" s="33">
        <v>1.89</v>
      </c>
      <c r="AF1643" s="33">
        <f t="shared" si="431"/>
        <v>1.89</v>
      </c>
      <c r="AG1643" s="34">
        <v>1.06</v>
      </c>
      <c r="AH1643" s="250">
        <v>4.2800000000000002E-10</v>
      </c>
      <c r="AI1643" s="250"/>
      <c r="AJ1643" s="34">
        <f t="shared" si="435"/>
        <v>-7.7571225572994793</v>
      </c>
      <c r="AK1643" s="34"/>
      <c r="AL1643" s="34">
        <f t="shared" si="436"/>
        <v>-7.7571225572994793</v>
      </c>
      <c r="AM1643" s="34">
        <v>-10.549720000000001</v>
      </c>
      <c r="AN1643" s="251"/>
      <c r="AO1643" s="417">
        <v>3.42</v>
      </c>
      <c r="AP1643" s="417"/>
      <c r="AQ1643" s="251" t="s">
        <v>6311</v>
      </c>
      <c r="AR1643" s="251" t="s">
        <v>6311</v>
      </c>
      <c r="AS1643" s="252" t="s">
        <v>5466</v>
      </c>
      <c r="AT1643" s="35" t="s">
        <v>266</v>
      </c>
      <c r="AU1643" s="33">
        <v>4</v>
      </c>
      <c r="AV1643" s="33">
        <v>80</v>
      </c>
      <c r="AW1643" s="33">
        <v>76</v>
      </c>
      <c r="AX1643" s="33">
        <v>28</v>
      </c>
      <c r="AY1643" s="33" t="s">
        <v>267</v>
      </c>
      <c r="AZ1643" s="33" t="s">
        <v>5731</v>
      </c>
      <c r="BA1643" s="33">
        <v>20</v>
      </c>
      <c r="BB1643" s="41" t="s">
        <v>5732</v>
      </c>
      <c r="BC1643" s="41" t="s">
        <v>1584</v>
      </c>
      <c r="BD1643" s="41"/>
      <c r="BE1643" s="33" t="s">
        <v>5733</v>
      </c>
      <c r="BF1643" s="33"/>
      <c r="BG1643" s="33"/>
      <c r="BH1643" s="33" t="s">
        <v>5734</v>
      </c>
      <c r="BI1643" s="250"/>
      <c r="BJ1643" s="250"/>
      <c r="BK1643" s="254"/>
      <c r="BL1643" s="250">
        <f t="shared" si="434"/>
        <v>1.5595920043529998</v>
      </c>
      <c r="BM1643" s="33"/>
      <c r="BN1643" s="33"/>
      <c r="BO1643" s="33"/>
      <c r="BP1643" s="33"/>
      <c r="BQ1643" s="33"/>
      <c r="BR1643" s="33"/>
      <c r="BS1643" s="33"/>
      <c r="BT1643" s="33"/>
      <c r="BU1643" s="246"/>
      <c r="BV1643" s="33">
        <v>39</v>
      </c>
      <c r="BW1643" s="33">
        <v>39</v>
      </c>
      <c r="BX1643" s="33"/>
      <c r="BY1643" s="33"/>
      <c r="BZ1643" s="33"/>
      <c r="CA1643" s="33"/>
      <c r="CB1643" s="33"/>
      <c r="CC1643" s="33"/>
      <c r="CD1643" s="33"/>
      <c r="CE1643" s="33"/>
      <c r="CF1643" s="33"/>
      <c r="CG1643" s="33"/>
      <c r="CH1643" s="33"/>
      <c r="CI1643" s="250">
        <f t="shared" ref="CI1643:CI1651" si="437">MIN(BN1643:CH1643)</f>
        <v>39</v>
      </c>
      <c r="CJ1643" s="243">
        <f t="shared" ref="CJ1643:CJ1651" si="438">LOG10(CI1643)</f>
        <v>1.5910646070264991</v>
      </c>
      <c r="CK1643" s="38" t="s">
        <v>404</v>
      </c>
      <c r="CL1643" s="247">
        <f t="shared" ref="CL1643:CL1651" si="439">BL1643/CI1643</f>
        <v>3.9989538573153842E-2</v>
      </c>
      <c r="CM1643" s="247"/>
      <c r="CN1643" s="247"/>
      <c r="CO1643" s="41"/>
      <c r="CP1643" s="41" t="s">
        <v>5735</v>
      </c>
      <c r="CQ1643" s="241" t="s">
        <v>272</v>
      </c>
      <c r="CR1643" s="241"/>
      <c r="CS1643" s="33"/>
      <c r="CT1643" s="33"/>
      <c r="CU1643" s="250">
        <f t="shared" ref="CU1643:CU1651" si="440">X1643/CI1643</f>
        <v>3.0685765487105839E-2</v>
      </c>
      <c r="CV1643" s="337"/>
      <c r="CW1643" s="330">
        <f t="shared" ref="CW1643:CW1651" si="441">IF(CU1643&lt;2,0,1)</f>
        <v>0</v>
      </c>
      <c r="CX1643" s="330" t="s">
        <v>539</v>
      </c>
      <c r="CY1643" s="143" t="s">
        <v>6351</v>
      </c>
    </row>
    <row r="1644" spans="1:103" ht="11.25" customHeight="1" x14ac:dyDescent="0.2">
      <c r="A1644" s="72">
        <v>1642</v>
      </c>
      <c r="B1644" s="241">
        <v>569</v>
      </c>
      <c r="C1644" s="32" t="s">
        <v>6988</v>
      </c>
      <c r="D1644" s="32"/>
      <c r="E1644" s="40"/>
      <c r="F1644" s="40" t="s">
        <v>1748</v>
      </c>
      <c r="G1644" s="242">
        <v>62237</v>
      </c>
      <c r="H1644" s="36" t="s">
        <v>1749</v>
      </c>
      <c r="I1644" s="36" t="s">
        <v>1749</v>
      </c>
      <c r="J1644" s="36" t="s">
        <v>1750</v>
      </c>
      <c r="K1644" s="36" t="s">
        <v>426</v>
      </c>
      <c r="L1644" s="36"/>
      <c r="M1644" s="36"/>
      <c r="N1644" s="36"/>
      <c r="O1644" s="36"/>
      <c r="P1644" s="41"/>
      <c r="Q1644" s="41"/>
      <c r="R1644" s="41"/>
      <c r="S1644" s="41"/>
      <c r="T1644" s="37">
        <v>167.12</v>
      </c>
      <c r="U1644" s="243">
        <v>1.1967448539971277</v>
      </c>
      <c r="V1644" s="243">
        <v>3.7607707036859739</v>
      </c>
      <c r="W1644" s="243">
        <v>9.7723722095581049</v>
      </c>
      <c r="X1644" s="243">
        <v>1.1967448539971277</v>
      </c>
      <c r="Y1644" s="414">
        <v>2.76</v>
      </c>
      <c r="Z1644" s="37">
        <v>1.69</v>
      </c>
      <c r="AA1644" s="37">
        <v>1.89</v>
      </c>
      <c r="AB1644" s="37">
        <v>1.96</v>
      </c>
      <c r="AC1644" s="37">
        <v>0.90569999999999995</v>
      </c>
      <c r="AD1644" s="37">
        <v>1.94</v>
      </c>
      <c r="AE1644" s="37">
        <v>1.89</v>
      </c>
      <c r="AF1644" s="37">
        <f t="shared" si="431"/>
        <v>1.89</v>
      </c>
      <c r="AG1644" s="38">
        <v>1.06</v>
      </c>
      <c r="AH1644" s="243">
        <v>4.2800000000000002E-10</v>
      </c>
      <c r="AI1644" s="243"/>
      <c r="AJ1644" s="34">
        <f t="shared" si="435"/>
        <v>-7.7571225572994793</v>
      </c>
      <c r="AK1644" s="34"/>
      <c r="AL1644" s="34">
        <f t="shared" si="436"/>
        <v>-7.7571225572994793</v>
      </c>
      <c r="AM1644" s="34">
        <v>-10.549720000000001</v>
      </c>
      <c r="AN1644" s="244">
        <v>-7.79</v>
      </c>
      <c r="AO1644" s="417">
        <v>3.42</v>
      </c>
      <c r="AP1644" s="417"/>
      <c r="AQ1644" s="244" t="s">
        <v>6311</v>
      </c>
      <c r="AR1644" s="244" t="s">
        <v>6311</v>
      </c>
      <c r="AS1644" s="241" t="s">
        <v>6</v>
      </c>
      <c r="AT1644" s="39" t="s">
        <v>266</v>
      </c>
      <c r="AU1644" s="37">
        <v>2</v>
      </c>
      <c r="AV1644" s="37">
        <v>48</v>
      </c>
      <c r="AW1644" s="37">
        <v>48</v>
      </c>
      <c r="AX1644" s="37">
        <v>26</v>
      </c>
      <c r="AY1644" s="37" t="s">
        <v>647</v>
      </c>
      <c r="AZ1644" s="37" t="s">
        <v>536</v>
      </c>
      <c r="BA1644" s="37">
        <v>20</v>
      </c>
      <c r="BB1644" s="36" t="s">
        <v>537</v>
      </c>
      <c r="BC1644" s="36" t="s">
        <v>538</v>
      </c>
      <c r="BD1644" s="36"/>
      <c r="BE1644" s="37" t="s">
        <v>271</v>
      </c>
      <c r="BF1644" s="37" t="s">
        <v>539</v>
      </c>
      <c r="BG1644" s="37" t="s">
        <v>272</v>
      </c>
      <c r="BH1644" s="37" t="s">
        <v>272</v>
      </c>
      <c r="BI1644" s="248">
        <v>5.9837242699856387E-2</v>
      </c>
      <c r="BJ1644" s="248">
        <v>0.30337482048827191</v>
      </c>
      <c r="BK1644" s="37"/>
      <c r="BL1644" s="243">
        <f t="shared" si="434"/>
        <v>1.5595920043529998</v>
      </c>
      <c r="BM1644" s="37" t="s">
        <v>541</v>
      </c>
      <c r="BN1644" s="37"/>
      <c r="BO1644" s="37">
        <v>0.17891335567257061</v>
      </c>
      <c r="BP1644" s="37"/>
      <c r="BQ1644" s="37"/>
      <c r="BR1644" s="37"/>
      <c r="BS1644" s="37"/>
      <c r="BT1644" s="37"/>
      <c r="BU1644" s="246"/>
      <c r="BV1644" s="37"/>
      <c r="BW1644" s="37"/>
      <c r="BX1644" s="37"/>
      <c r="BY1644" s="37"/>
      <c r="BZ1644" s="37"/>
      <c r="CA1644" s="37"/>
      <c r="CB1644" s="37"/>
      <c r="CC1644" s="37"/>
      <c r="CD1644" s="37"/>
      <c r="CE1644" s="37"/>
      <c r="CF1644" s="37"/>
      <c r="CG1644" s="37"/>
      <c r="CH1644" s="37"/>
      <c r="CI1644" s="243">
        <f t="shared" si="437"/>
        <v>0.17891335567257061</v>
      </c>
      <c r="CJ1644" s="243">
        <f t="shared" si="438"/>
        <v>-0.74735723864782255</v>
      </c>
      <c r="CK1644" s="38">
        <f>BL1644/BJ1644</f>
        <v>5.1408089894965148</v>
      </c>
      <c r="CL1644" s="247">
        <f t="shared" si="439"/>
        <v>8.717023938711483</v>
      </c>
      <c r="CM1644" s="247"/>
      <c r="CN1644" s="247"/>
      <c r="CO1644" s="36"/>
      <c r="CP1644" s="36" t="s">
        <v>1558</v>
      </c>
      <c r="CQ1644" s="241" t="s">
        <v>272</v>
      </c>
      <c r="CR1644" s="241"/>
      <c r="CS1644" s="33"/>
      <c r="CT1644" s="33"/>
      <c r="CU1644" s="250">
        <f t="shared" si="440"/>
        <v>6.6889632107023402</v>
      </c>
      <c r="CV1644" s="337">
        <f>X1644/BJ1644</f>
        <v>3.944773175542406</v>
      </c>
      <c r="CW1644" s="330">
        <f t="shared" si="441"/>
        <v>1</v>
      </c>
      <c r="CX1644" s="330"/>
      <c r="CY1644" s="143" t="s">
        <v>6351</v>
      </c>
    </row>
    <row r="1645" spans="1:103" ht="11.25" customHeight="1" x14ac:dyDescent="0.2">
      <c r="A1645" s="72">
        <v>1643</v>
      </c>
      <c r="B1645" s="241">
        <v>486</v>
      </c>
      <c r="C1645" s="32" t="s">
        <v>1569</v>
      </c>
      <c r="D1645" s="32"/>
      <c r="E1645" s="40"/>
      <c r="F1645" s="40" t="s">
        <v>1570</v>
      </c>
      <c r="G1645" s="242">
        <v>62533</v>
      </c>
      <c r="H1645" s="36" t="s">
        <v>1571</v>
      </c>
      <c r="I1645" s="36" t="s">
        <v>1571</v>
      </c>
      <c r="J1645" s="36" t="s">
        <v>1572</v>
      </c>
      <c r="K1645" s="36" t="s">
        <v>1573</v>
      </c>
      <c r="L1645" s="36"/>
      <c r="M1645" s="36" t="s">
        <v>866</v>
      </c>
      <c r="N1645" s="36" t="s">
        <v>6082</v>
      </c>
      <c r="O1645" s="36" t="s">
        <v>498</v>
      </c>
      <c r="P1645" s="41" t="s">
        <v>6184</v>
      </c>
      <c r="Q1645" s="41" t="s">
        <v>6176</v>
      </c>
      <c r="R1645" s="41" t="s">
        <v>6185</v>
      </c>
      <c r="S1645" s="41" t="s">
        <v>6176</v>
      </c>
      <c r="T1645" s="37">
        <v>93.13</v>
      </c>
      <c r="U1645" s="243">
        <v>386.55642650059059</v>
      </c>
      <c r="V1645" s="243">
        <v>223.55846665950821</v>
      </c>
      <c r="W1645" s="243">
        <v>346.73685045253166</v>
      </c>
      <c r="X1645" s="243">
        <v>386.55642650059059</v>
      </c>
      <c r="Y1645" s="414">
        <v>9.08</v>
      </c>
      <c r="Z1645" s="37">
        <v>1.08</v>
      </c>
      <c r="AA1645" s="37">
        <v>0.9</v>
      </c>
      <c r="AB1645" s="37">
        <v>1.25</v>
      </c>
      <c r="AC1645" s="37">
        <v>0.78800000000000003</v>
      </c>
      <c r="AD1645" s="37">
        <v>1.3</v>
      </c>
      <c r="AE1645" s="37">
        <v>1.4</v>
      </c>
      <c r="AF1645" s="37">
        <f t="shared" si="431"/>
        <v>0.9</v>
      </c>
      <c r="AG1645" s="38">
        <v>1.1100000000000001</v>
      </c>
      <c r="AH1645" s="243">
        <v>1.9E-6</v>
      </c>
      <c r="AI1645" s="243">
        <v>2.0200000000000001E-6</v>
      </c>
      <c r="AJ1645" s="34">
        <f t="shared" si="435"/>
        <v>-4.1098127253598227</v>
      </c>
      <c r="AK1645" s="34">
        <f t="shared" ref="AK1645:AK1656" si="442">LOG10(AI1645*1000/(0.08206*298.15))</f>
        <v>-4.0832149568660281</v>
      </c>
      <c r="AL1645" s="34">
        <f t="shared" si="436"/>
        <v>-4.0832149568660281</v>
      </c>
      <c r="AM1645" s="34">
        <v>-5.1368099999999997</v>
      </c>
      <c r="AN1645" s="244">
        <v>-3.95</v>
      </c>
      <c r="AO1645" s="417"/>
      <c r="AP1645" s="417">
        <v>4.6100000000000003</v>
      </c>
      <c r="AQ1645" s="244" t="s">
        <v>6311</v>
      </c>
      <c r="AR1645" s="244" t="s">
        <v>6311</v>
      </c>
      <c r="AS1645" s="241" t="s">
        <v>6</v>
      </c>
      <c r="AT1645" s="39" t="s">
        <v>266</v>
      </c>
      <c r="AU1645" s="37">
        <v>2</v>
      </c>
      <c r="AV1645" s="37">
        <v>48</v>
      </c>
      <c r="AW1645" s="37">
        <v>48</v>
      </c>
      <c r="AX1645" s="37">
        <v>26</v>
      </c>
      <c r="AY1645" s="37" t="s">
        <v>647</v>
      </c>
      <c r="AZ1645" s="37" t="s">
        <v>536</v>
      </c>
      <c r="BA1645" s="37">
        <v>20</v>
      </c>
      <c r="BB1645" s="36" t="s">
        <v>537</v>
      </c>
      <c r="BC1645" s="36" t="s">
        <v>538</v>
      </c>
      <c r="BD1645" s="36"/>
      <c r="BE1645" s="37" t="s">
        <v>271</v>
      </c>
      <c r="BF1645" s="37" t="s">
        <v>539</v>
      </c>
      <c r="BG1645" s="37" t="s">
        <v>272</v>
      </c>
      <c r="BH1645" s="37" t="s">
        <v>272</v>
      </c>
      <c r="BI1645" s="248">
        <v>0.5047250859106529</v>
      </c>
      <c r="BJ1645" s="248">
        <v>2.5558419243986252</v>
      </c>
      <c r="BK1645" s="37"/>
      <c r="BL1645" s="243">
        <f t="shared" si="434"/>
        <v>5.5062002270973851</v>
      </c>
      <c r="BM1645" s="37" t="s">
        <v>541</v>
      </c>
      <c r="BN1645" s="37"/>
      <c r="BO1645" s="37">
        <f>161.2/93.12</f>
        <v>1.7310996563573882</v>
      </c>
      <c r="BP1645" s="37"/>
      <c r="BQ1645" s="37"/>
      <c r="BR1645" s="37"/>
      <c r="BS1645" s="37"/>
      <c r="BT1645" s="37"/>
      <c r="BU1645" s="246"/>
      <c r="BV1645" s="37"/>
      <c r="BW1645" s="37"/>
      <c r="BX1645" s="37"/>
      <c r="BY1645" s="37"/>
      <c r="BZ1645" s="37"/>
      <c r="CA1645" s="37"/>
      <c r="CB1645" s="37"/>
      <c r="CC1645" s="37"/>
      <c r="CD1645" s="37"/>
      <c r="CE1645" s="37"/>
      <c r="CF1645" s="37"/>
      <c r="CG1645" s="37"/>
      <c r="CH1645" s="37"/>
      <c r="CI1645" s="243">
        <f t="shared" si="437"/>
        <v>1.7310996563573882</v>
      </c>
      <c r="CJ1645" s="243">
        <f t="shared" si="438"/>
        <v>0.23832207016325854</v>
      </c>
      <c r="CK1645" s="38">
        <f>BL1645/BJ1645</f>
        <v>2.1543586770895318</v>
      </c>
      <c r="CL1645" s="247">
        <f t="shared" si="439"/>
        <v>3.1807528855292095</v>
      </c>
      <c r="CM1645" s="247">
        <v>-0.5107785307757392</v>
      </c>
      <c r="CN1645" s="247">
        <f>BJ1645/(10^CM1645)</f>
        <v>8.2853816953904129</v>
      </c>
      <c r="CO1645" s="36"/>
      <c r="CP1645" s="36" t="s">
        <v>1558</v>
      </c>
      <c r="CQ1645" s="241">
        <v>-0.21034120926680783</v>
      </c>
      <c r="CR1645" s="241">
        <f t="shared" ref="CR1645:CR1666" si="443">10^(CJ1645-CQ1645)</f>
        <v>2.8097215305581815</v>
      </c>
      <c r="CS1645" s="33"/>
      <c r="CT1645" s="33"/>
      <c r="CU1645" s="250">
        <f t="shared" si="440"/>
        <v>223.30108210753721</v>
      </c>
      <c r="CV1645" s="337">
        <f>X1645/BJ1645</f>
        <v>151.24426233502101</v>
      </c>
      <c r="CW1645" s="330">
        <f t="shared" si="441"/>
        <v>1</v>
      </c>
      <c r="CX1645" s="330"/>
      <c r="CY1645" s="143" t="s">
        <v>6351</v>
      </c>
    </row>
    <row r="1646" spans="1:103" ht="11.25" customHeight="1" x14ac:dyDescent="0.2">
      <c r="A1646" s="72">
        <v>1644</v>
      </c>
      <c r="B1646" s="241">
        <v>742</v>
      </c>
      <c r="C1646" s="32" t="s">
        <v>6989</v>
      </c>
      <c r="D1646" s="32"/>
      <c r="E1646" s="40"/>
      <c r="F1646" s="40" t="s">
        <v>2105</v>
      </c>
      <c r="G1646" s="242">
        <v>62737</v>
      </c>
      <c r="H1646" s="36" t="s">
        <v>2106</v>
      </c>
      <c r="I1646" s="36" t="s">
        <v>7989</v>
      </c>
      <c r="J1646" s="36" t="s">
        <v>2107</v>
      </c>
      <c r="K1646" s="36" t="s">
        <v>2108</v>
      </c>
      <c r="L1646" s="36" t="s">
        <v>617</v>
      </c>
      <c r="M1646" s="36" t="s">
        <v>946</v>
      </c>
      <c r="N1646" s="36"/>
      <c r="O1646" s="36" t="s">
        <v>918</v>
      </c>
      <c r="P1646" s="41"/>
      <c r="Q1646" s="41"/>
      <c r="R1646" s="41"/>
      <c r="S1646" s="41"/>
      <c r="T1646" s="37">
        <v>220.98</v>
      </c>
      <c r="U1646" s="243">
        <v>36.202371255317225</v>
      </c>
      <c r="V1646" s="243">
        <v>9.2497058557335503</v>
      </c>
      <c r="W1646" s="243">
        <v>251.188643150958</v>
      </c>
      <c r="X1646" s="243">
        <v>36.202371255317225</v>
      </c>
      <c r="Y1646" s="414">
        <v>7</v>
      </c>
      <c r="Z1646" s="37">
        <v>0.6</v>
      </c>
      <c r="AA1646" s="37">
        <v>1.43</v>
      </c>
      <c r="AB1646" s="37">
        <v>1.56</v>
      </c>
      <c r="AC1646" s="37">
        <v>0.76459999999999995</v>
      </c>
      <c r="AD1646" s="37">
        <v>1.28</v>
      </c>
      <c r="AE1646" s="37">
        <v>0.71</v>
      </c>
      <c r="AF1646" s="37">
        <f t="shared" si="431"/>
        <v>1.43</v>
      </c>
      <c r="AG1646" s="38">
        <v>1.06</v>
      </c>
      <c r="AH1646" s="243">
        <v>8.5799999999999998E-7</v>
      </c>
      <c r="AI1646" s="243">
        <v>5.7400000000000003E-7</v>
      </c>
      <c r="AJ1646" s="34">
        <f t="shared" si="435"/>
        <v>-4.4550790384639463</v>
      </c>
      <c r="AK1646" s="34">
        <f t="shared" si="442"/>
        <v>-4.6296544339146779</v>
      </c>
      <c r="AL1646" s="34">
        <f t="shared" si="436"/>
        <v>-4.6296544339146779</v>
      </c>
      <c r="AM1646" s="34">
        <v>-9.5230700000000006</v>
      </c>
      <c r="AN1646" s="244">
        <v>-4.45</v>
      </c>
      <c r="AO1646" s="417"/>
      <c r="AP1646" s="417"/>
      <c r="AQ1646" s="244" t="s">
        <v>6315</v>
      </c>
      <c r="AR1646" s="244" t="s">
        <v>6315</v>
      </c>
      <c r="AS1646" s="241" t="s">
        <v>6</v>
      </c>
      <c r="AT1646" s="39" t="s">
        <v>266</v>
      </c>
      <c r="AU1646" s="37">
        <v>2</v>
      </c>
      <c r="AV1646" s="37">
        <v>24</v>
      </c>
      <c r="AW1646" s="37">
        <v>24</v>
      </c>
      <c r="AX1646" s="37">
        <v>26</v>
      </c>
      <c r="AY1646" s="37" t="s">
        <v>8722</v>
      </c>
      <c r="AZ1646" s="37" t="s">
        <v>2109</v>
      </c>
      <c r="BA1646" s="37">
        <v>10</v>
      </c>
      <c r="BB1646" s="36" t="s">
        <v>1613</v>
      </c>
      <c r="BC1646" s="36" t="s">
        <v>2110</v>
      </c>
      <c r="BD1646" s="36"/>
      <c r="BE1646" s="37" t="s">
        <v>1712</v>
      </c>
      <c r="BF1646" s="37" t="s">
        <v>272</v>
      </c>
      <c r="BG1646" s="37" t="s">
        <v>272</v>
      </c>
      <c r="BH1646" s="37" t="s">
        <v>2111</v>
      </c>
      <c r="BI1646" s="243" t="s">
        <v>8722</v>
      </c>
      <c r="BJ1646" s="243" t="s">
        <v>8722</v>
      </c>
      <c r="BK1646" s="37"/>
      <c r="BL1646" s="243">
        <f t="shared" si="434"/>
        <v>14.857303668717133</v>
      </c>
      <c r="BM1646" s="37">
        <v>0</v>
      </c>
      <c r="BN1646" s="37">
        <v>0.17988053217485747</v>
      </c>
      <c r="BO1646" s="37"/>
      <c r="BP1646" s="37"/>
      <c r="BQ1646" s="37"/>
      <c r="BR1646" s="37"/>
      <c r="BS1646" s="37"/>
      <c r="BT1646" s="37"/>
      <c r="BU1646" s="246"/>
      <c r="BV1646" s="37"/>
      <c r="BW1646" s="37"/>
      <c r="BX1646" s="37"/>
      <c r="BY1646" s="37"/>
      <c r="BZ1646" s="37"/>
      <c r="CA1646" s="37"/>
      <c r="CB1646" s="37"/>
      <c r="CC1646" s="37"/>
      <c r="CD1646" s="37"/>
      <c r="CE1646" s="37"/>
      <c r="CF1646" s="37"/>
      <c r="CG1646" s="37"/>
      <c r="CH1646" s="37"/>
      <c r="CI1646" s="243">
        <f t="shared" si="437"/>
        <v>0.17988053217485747</v>
      </c>
      <c r="CJ1646" s="243">
        <f t="shared" si="438"/>
        <v>-0.74501583624606749</v>
      </c>
      <c r="CK1646" s="38" t="s">
        <v>404</v>
      </c>
      <c r="CL1646" s="247">
        <f t="shared" si="439"/>
        <v>82.59539533869463</v>
      </c>
      <c r="CM1646" s="247"/>
      <c r="CN1646" s="247"/>
      <c r="CO1646" s="36"/>
      <c r="CP1646" s="36" t="s">
        <v>2112</v>
      </c>
      <c r="CQ1646" s="241">
        <v>-2.2068241200088741</v>
      </c>
      <c r="CR1646" s="241">
        <f t="shared" si="443"/>
        <v>28.960648580651075</v>
      </c>
      <c r="CS1646" s="33"/>
      <c r="CT1646" s="33"/>
      <c r="CU1646" s="250">
        <f t="shared" si="440"/>
        <v>201.25786163522011</v>
      </c>
      <c r="CV1646" s="337"/>
      <c r="CW1646" s="330">
        <f t="shared" si="441"/>
        <v>1</v>
      </c>
      <c r="CX1646" s="330" t="s">
        <v>539</v>
      </c>
      <c r="CY1646" s="143" t="s">
        <v>5921</v>
      </c>
    </row>
    <row r="1647" spans="1:103" ht="11.25" customHeight="1" x14ac:dyDescent="0.2">
      <c r="A1647" s="72">
        <v>1645</v>
      </c>
      <c r="B1647" s="241">
        <v>89</v>
      </c>
      <c r="C1647" s="32" t="s">
        <v>612</v>
      </c>
      <c r="D1647" s="32"/>
      <c r="E1647" s="40"/>
      <c r="F1647" s="40" t="s">
        <v>613</v>
      </c>
      <c r="G1647" s="242">
        <v>63252</v>
      </c>
      <c r="H1647" s="36" t="s">
        <v>614</v>
      </c>
      <c r="I1647" s="36" t="s">
        <v>614</v>
      </c>
      <c r="J1647" s="36" t="s">
        <v>615</v>
      </c>
      <c r="K1647" s="36" t="s">
        <v>616</v>
      </c>
      <c r="L1647" s="36" t="s">
        <v>617</v>
      </c>
      <c r="M1647" s="36" t="s">
        <v>618</v>
      </c>
      <c r="N1647" s="36" t="s">
        <v>6376</v>
      </c>
      <c r="O1647" s="36" t="s">
        <v>619</v>
      </c>
      <c r="P1647" s="41"/>
      <c r="Q1647" s="41" t="s">
        <v>6173</v>
      </c>
      <c r="R1647" s="41" t="s">
        <v>6185</v>
      </c>
      <c r="S1647" s="41" t="s">
        <v>6176</v>
      </c>
      <c r="T1647" s="37">
        <v>201.22</v>
      </c>
      <c r="U1647" s="243">
        <v>0.54666534141735412</v>
      </c>
      <c r="V1647" s="243">
        <v>2.0683828645263889</v>
      </c>
      <c r="W1647" s="243">
        <v>0.47863009232263826</v>
      </c>
      <c r="X1647" s="243">
        <v>0.54666534141735412</v>
      </c>
      <c r="Y1647" s="414">
        <v>6.99</v>
      </c>
      <c r="Z1647" s="37">
        <v>2.35</v>
      </c>
      <c r="AA1647" s="37">
        <v>2.36</v>
      </c>
      <c r="AB1647" s="37">
        <v>2.4500000000000002</v>
      </c>
      <c r="AC1647" s="37">
        <v>0.83340000000000003</v>
      </c>
      <c r="AD1647" s="37">
        <v>2.44</v>
      </c>
      <c r="AE1647" s="37">
        <v>2.4</v>
      </c>
      <c r="AF1647" s="37">
        <f t="shared" si="431"/>
        <v>2.36</v>
      </c>
      <c r="AG1647" s="38">
        <v>2.38</v>
      </c>
      <c r="AH1647" s="243">
        <v>3.1399999999999999E-9</v>
      </c>
      <c r="AI1647" s="243">
        <v>3.2700000000000001E-9</v>
      </c>
      <c r="AJ1647" s="34">
        <f t="shared" si="435"/>
        <v>-6.8916366782394372</v>
      </c>
      <c r="AK1647" s="34">
        <f t="shared" si="442"/>
        <v>-6.874018573652366</v>
      </c>
      <c r="AL1647" s="34">
        <f t="shared" si="436"/>
        <v>-6.874018573652366</v>
      </c>
      <c r="AM1647" s="34">
        <v>-10.500939999999998</v>
      </c>
      <c r="AN1647" s="244">
        <v>-6.44</v>
      </c>
      <c r="AO1647" s="417">
        <v>12.02</v>
      </c>
      <c r="AP1647" s="417">
        <v>-1.55</v>
      </c>
      <c r="AQ1647" s="244" t="s">
        <v>6311</v>
      </c>
      <c r="AR1647" s="244" t="s">
        <v>6314</v>
      </c>
      <c r="AS1647" s="241" t="s">
        <v>6</v>
      </c>
      <c r="AT1647" s="39" t="s">
        <v>266</v>
      </c>
      <c r="AU1647" s="37">
        <v>0</v>
      </c>
      <c r="AV1647" s="37">
        <v>48</v>
      </c>
      <c r="AW1647" s="37">
        <v>48</v>
      </c>
      <c r="AX1647" s="37">
        <v>26</v>
      </c>
      <c r="AY1647" s="37" t="s">
        <v>8722</v>
      </c>
      <c r="AZ1647" s="37" t="s">
        <v>536</v>
      </c>
      <c r="BA1647" s="37">
        <v>20</v>
      </c>
      <c r="BB1647" s="36" t="s">
        <v>537</v>
      </c>
      <c r="BC1647" s="36" t="s">
        <v>538</v>
      </c>
      <c r="BD1647" s="36"/>
      <c r="BE1647" s="245" t="s">
        <v>271</v>
      </c>
      <c r="BF1647" s="245" t="s">
        <v>539</v>
      </c>
      <c r="BG1647" s="245" t="s">
        <v>540</v>
      </c>
      <c r="BH1647" s="245" t="s">
        <v>272</v>
      </c>
      <c r="BI1647" s="243">
        <v>1.09E-2</v>
      </c>
      <c r="BJ1647" s="243">
        <v>5.4199999999999998E-2</v>
      </c>
      <c r="BK1647" s="37"/>
      <c r="BL1647" s="243">
        <f t="shared" si="434"/>
        <v>0.39835016372498561</v>
      </c>
      <c r="BM1647" s="37" t="s">
        <v>541</v>
      </c>
      <c r="BN1647" s="37"/>
      <c r="BO1647" s="37">
        <v>3.9399999999999998E-2</v>
      </c>
      <c r="BP1647" s="37"/>
      <c r="BQ1647" s="37"/>
      <c r="BR1647" s="37"/>
      <c r="BS1647" s="37"/>
      <c r="BT1647" s="37"/>
      <c r="BU1647" s="246"/>
      <c r="BV1647" s="37"/>
      <c r="BW1647" s="37"/>
      <c r="BX1647" s="37"/>
      <c r="BY1647" s="37"/>
      <c r="BZ1647" s="37"/>
      <c r="CA1647" s="37"/>
      <c r="CB1647" s="37"/>
      <c r="CC1647" s="37"/>
      <c r="CD1647" s="37"/>
      <c r="CE1647" s="37"/>
      <c r="CF1647" s="37"/>
      <c r="CG1647" s="37"/>
      <c r="CH1647" s="37"/>
      <c r="CI1647" s="243">
        <f t="shared" si="437"/>
        <v>3.9399999999999998E-2</v>
      </c>
      <c r="CJ1647" s="243">
        <f t="shared" si="438"/>
        <v>-1.4045037781744258</v>
      </c>
      <c r="CK1647" s="38">
        <f t="shared" ref="CK1647:CK1656" si="444">BL1647/BJ1647</f>
        <v>7.3496340170661556</v>
      </c>
      <c r="CL1647" s="247">
        <f t="shared" si="439"/>
        <v>10.110410246827046</v>
      </c>
      <c r="CM1647" s="247">
        <v>-2.0278648718219947</v>
      </c>
      <c r="CN1647" s="247">
        <f t="shared" ref="CN1647:CN1654" si="445">BJ1647/(10^CM1647)</f>
        <v>5.7791525479152357</v>
      </c>
      <c r="CO1647" s="36"/>
      <c r="CP1647" s="36" t="s">
        <v>542</v>
      </c>
      <c r="CQ1647" s="241">
        <v>-1.6875776788611627</v>
      </c>
      <c r="CR1647" s="241">
        <f t="shared" si="443"/>
        <v>1.9189952541488344</v>
      </c>
      <c r="CS1647" s="33"/>
      <c r="CT1647" s="33"/>
      <c r="CU1647" s="250">
        <f t="shared" si="440"/>
        <v>13.874754858308481</v>
      </c>
      <c r="CV1647" s="337">
        <f t="shared" ref="CV1647:CV1656" si="446">X1647/BJ1647</f>
        <v>10.086076409914282</v>
      </c>
      <c r="CW1647" s="330">
        <f t="shared" si="441"/>
        <v>1</v>
      </c>
      <c r="CX1647" s="330"/>
      <c r="CY1647" s="143" t="s">
        <v>5921</v>
      </c>
    </row>
    <row r="1648" spans="1:103" ht="11.25" customHeight="1" x14ac:dyDescent="0.2">
      <c r="A1648" s="72">
        <v>1646</v>
      </c>
      <c r="B1648" s="241">
        <v>502</v>
      </c>
      <c r="C1648" s="32" t="s">
        <v>612</v>
      </c>
      <c r="D1648" s="32"/>
      <c r="E1648" s="40"/>
      <c r="F1648" s="40" t="s">
        <v>613</v>
      </c>
      <c r="G1648" s="242">
        <v>63252</v>
      </c>
      <c r="H1648" s="36" t="s">
        <v>614</v>
      </c>
      <c r="I1648" s="36" t="s">
        <v>614</v>
      </c>
      <c r="J1648" s="36" t="s">
        <v>615</v>
      </c>
      <c r="K1648" s="36" t="s">
        <v>616</v>
      </c>
      <c r="L1648" s="36" t="s">
        <v>617</v>
      </c>
      <c r="M1648" s="36" t="s">
        <v>946</v>
      </c>
      <c r="N1648" s="36" t="s">
        <v>6376</v>
      </c>
      <c r="O1648" s="36" t="s">
        <v>918</v>
      </c>
      <c r="P1648" s="41"/>
      <c r="Q1648" s="41" t="s">
        <v>6173</v>
      </c>
      <c r="R1648" s="41" t="s">
        <v>6185</v>
      </c>
      <c r="S1648" s="41" t="s">
        <v>6176</v>
      </c>
      <c r="T1648" s="37">
        <v>201.22</v>
      </c>
      <c r="U1648" s="243">
        <v>0.54666534141735412</v>
      </c>
      <c r="V1648" s="243">
        <v>2.0683828645263889</v>
      </c>
      <c r="W1648" s="243">
        <v>0.47863009232263826</v>
      </c>
      <c r="X1648" s="243">
        <v>0.54666534141735412</v>
      </c>
      <c r="Y1648" s="414">
        <v>6.99</v>
      </c>
      <c r="Z1648" s="37">
        <v>2.35</v>
      </c>
      <c r="AA1648" s="37">
        <v>2.36</v>
      </c>
      <c r="AB1648" s="37">
        <v>2.4500000000000002</v>
      </c>
      <c r="AC1648" s="37">
        <v>0.83340000000000003</v>
      </c>
      <c r="AD1648" s="37">
        <v>2.44</v>
      </c>
      <c r="AE1648" s="37">
        <v>2.4</v>
      </c>
      <c r="AF1648" s="37">
        <f t="shared" si="431"/>
        <v>2.36</v>
      </c>
      <c r="AG1648" s="38">
        <v>2.38</v>
      </c>
      <c r="AH1648" s="243">
        <v>3.1399999999999999E-9</v>
      </c>
      <c r="AI1648" s="243">
        <v>3.2700000000000001E-9</v>
      </c>
      <c r="AJ1648" s="34">
        <f t="shared" si="435"/>
        <v>-6.8916366782394372</v>
      </c>
      <c r="AK1648" s="34">
        <f t="shared" si="442"/>
        <v>-6.874018573652366</v>
      </c>
      <c r="AL1648" s="34">
        <f t="shared" si="436"/>
        <v>-6.874018573652366</v>
      </c>
      <c r="AM1648" s="34">
        <v>-10.500939999999998</v>
      </c>
      <c r="AN1648" s="244">
        <v>-6.44</v>
      </c>
      <c r="AO1648" s="417">
        <v>12.02</v>
      </c>
      <c r="AP1648" s="417">
        <v>-1.55</v>
      </c>
      <c r="AQ1648" s="244" t="s">
        <v>6311</v>
      </c>
      <c r="AR1648" s="244" t="s">
        <v>6314</v>
      </c>
      <c r="AS1648" s="241" t="s">
        <v>6</v>
      </c>
      <c r="AT1648" s="39" t="s">
        <v>266</v>
      </c>
      <c r="AU1648" s="37">
        <v>2</v>
      </c>
      <c r="AV1648" s="37">
        <v>48</v>
      </c>
      <c r="AW1648" s="37">
        <v>48</v>
      </c>
      <c r="AX1648" s="37">
        <v>26</v>
      </c>
      <c r="AY1648" s="37" t="s">
        <v>647</v>
      </c>
      <c r="AZ1648" s="37" t="s">
        <v>536</v>
      </c>
      <c r="BA1648" s="37">
        <v>20</v>
      </c>
      <c r="BB1648" s="36" t="s">
        <v>537</v>
      </c>
      <c r="BC1648" s="36" t="s">
        <v>1618</v>
      </c>
      <c r="BD1648" s="36" t="s">
        <v>8374</v>
      </c>
      <c r="BE1648" s="37" t="s">
        <v>271</v>
      </c>
      <c r="BF1648" s="37" t="s">
        <v>539</v>
      </c>
      <c r="BG1648" s="37" t="s">
        <v>272</v>
      </c>
      <c r="BH1648" s="37" t="s">
        <v>272</v>
      </c>
      <c r="BI1648" s="248">
        <v>1.0932763504447648E-2</v>
      </c>
      <c r="BJ1648" s="248">
        <v>5.4166873726581528E-2</v>
      </c>
      <c r="BK1648" s="37"/>
      <c r="BL1648" s="243">
        <f t="shared" si="434"/>
        <v>0.39835016372498561</v>
      </c>
      <c r="BM1648" s="37" t="s">
        <v>541</v>
      </c>
      <c r="BN1648" s="37"/>
      <c r="BO1648" s="37">
        <v>2.3357519133286951E-2</v>
      </c>
      <c r="BP1648" s="37"/>
      <c r="BQ1648" s="37"/>
      <c r="BR1648" s="37"/>
      <c r="BS1648" s="37"/>
      <c r="BT1648" s="37"/>
      <c r="BU1648" s="246"/>
      <c r="BV1648" s="37"/>
      <c r="BW1648" s="37"/>
      <c r="BX1648" s="37"/>
      <c r="BY1648" s="37"/>
      <c r="BZ1648" s="37"/>
      <c r="CA1648" s="37"/>
      <c r="CB1648" s="37"/>
      <c r="CC1648" s="37"/>
      <c r="CD1648" s="37"/>
      <c r="CE1648" s="37"/>
      <c r="CF1648" s="37"/>
      <c r="CG1648" s="37"/>
      <c r="CH1648" s="37"/>
      <c r="CI1648" s="243">
        <f t="shared" si="437"/>
        <v>2.3357519133286951E-2</v>
      </c>
      <c r="CJ1648" s="243">
        <f t="shared" si="438"/>
        <v>-1.6315732867283035</v>
      </c>
      <c r="CK1648" s="38">
        <f t="shared" si="444"/>
        <v>7.3541287565485183</v>
      </c>
      <c r="CL1648" s="247">
        <f t="shared" si="439"/>
        <v>17.054472328668425</v>
      </c>
      <c r="CM1648" s="247">
        <v>-2.0278648718219947</v>
      </c>
      <c r="CN1648" s="247">
        <f t="shared" si="445"/>
        <v>5.7756204116158028</v>
      </c>
      <c r="CO1648" s="36"/>
      <c r="CP1648" s="36" t="s">
        <v>1558</v>
      </c>
      <c r="CQ1648" s="241">
        <v>-1.6875776788611627</v>
      </c>
      <c r="CR1648" s="241">
        <f t="shared" si="443"/>
        <v>1.1376387910017325</v>
      </c>
      <c r="CS1648" s="33"/>
      <c r="CT1648" s="33"/>
      <c r="CU1648" s="250">
        <f t="shared" si="440"/>
        <v>23.404255319148934</v>
      </c>
      <c r="CV1648" s="337">
        <f t="shared" si="446"/>
        <v>10.092244647102216</v>
      </c>
      <c r="CW1648" s="330">
        <f t="shared" si="441"/>
        <v>1</v>
      </c>
      <c r="CX1648" s="330"/>
      <c r="CY1648" s="143" t="s">
        <v>5921</v>
      </c>
    </row>
    <row r="1649" spans="1:103" ht="11.25" customHeight="1" x14ac:dyDescent="0.2">
      <c r="A1649" s="72">
        <v>1647</v>
      </c>
      <c r="B1649" s="241">
        <v>2028</v>
      </c>
      <c r="C1649" s="32" t="s">
        <v>422</v>
      </c>
      <c r="D1649" s="32"/>
      <c r="E1649" s="40"/>
      <c r="F1649" s="40" t="s">
        <v>423</v>
      </c>
      <c r="G1649" s="242">
        <v>64175</v>
      </c>
      <c r="H1649" s="41" t="s">
        <v>424</v>
      </c>
      <c r="I1649" s="41" t="s">
        <v>424</v>
      </c>
      <c r="J1649" s="41" t="s">
        <v>425</v>
      </c>
      <c r="K1649" s="41" t="s">
        <v>426</v>
      </c>
      <c r="L1649" s="41" t="s">
        <v>279</v>
      </c>
      <c r="M1649" s="41" t="s">
        <v>427</v>
      </c>
      <c r="N1649" s="36" t="s">
        <v>6082</v>
      </c>
      <c r="O1649" s="41" t="s">
        <v>281</v>
      </c>
      <c r="P1649" s="41" t="s">
        <v>6183</v>
      </c>
      <c r="Q1649" s="41" t="s">
        <v>6176</v>
      </c>
      <c r="R1649" s="41" t="s">
        <v>6185</v>
      </c>
      <c r="S1649" s="41" t="s">
        <v>6176</v>
      </c>
      <c r="T1649" s="33">
        <v>46.07</v>
      </c>
      <c r="U1649" s="250">
        <v>21706.099413935317</v>
      </c>
      <c r="V1649" s="250">
        <v>17193.401345778162</v>
      </c>
      <c r="W1649" s="250">
        <v>3981.0717055349728</v>
      </c>
      <c r="X1649" s="250">
        <v>21706.099413935317</v>
      </c>
      <c r="Y1649" s="415">
        <v>6.96</v>
      </c>
      <c r="Z1649" s="33">
        <v>-0.14000000000000001</v>
      </c>
      <c r="AA1649" s="33">
        <v>-0.31</v>
      </c>
      <c r="AB1649" s="33">
        <v>-0.24</v>
      </c>
      <c r="AC1649" s="33">
        <v>0.90610000000000002</v>
      </c>
      <c r="AD1649" s="33">
        <v>-0.23</v>
      </c>
      <c r="AE1649" s="33">
        <v>-0.19</v>
      </c>
      <c r="AF1649" s="33">
        <f t="shared" si="431"/>
        <v>-0.31</v>
      </c>
      <c r="AG1649" s="34">
        <v>0.09</v>
      </c>
      <c r="AH1649" s="250">
        <v>5.6699999999999999E-6</v>
      </c>
      <c r="AI1649" s="250">
        <v>5.0000000000000004E-6</v>
      </c>
      <c r="AJ1649" s="34">
        <f t="shared" si="435"/>
        <v>-3.6349832674197451</v>
      </c>
      <c r="AK1649" s="34">
        <f t="shared" si="442"/>
        <v>-3.6895963219766328</v>
      </c>
      <c r="AL1649" s="34">
        <f t="shared" si="436"/>
        <v>-3.6895963219766328</v>
      </c>
      <c r="AM1649" s="34">
        <v>-3.1772200000000002</v>
      </c>
      <c r="AN1649" s="251">
        <v>-3.5697999999999999</v>
      </c>
      <c r="AO1649" s="417">
        <v>15.24</v>
      </c>
      <c r="AP1649" s="417"/>
      <c r="AQ1649" s="251" t="s">
        <v>6311</v>
      </c>
      <c r="AR1649" s="251" t="s">
        <v>6311</v>
      </c>
      <c r="AS1649" s="252" t="s">
        <v>5466</v>
      </c>
      <c r="AT1649" s="35" t="s">
        <v>266</v>
      </c>
      <c r="AU1649" s="33">
        <v>2</v>
      </c>
      <c r="AV1649" s="33">
        <v>48</v>
      </c>
      <c r="AW1649" s="33">
        <v>46</v>
      </c>
      <c r="AX1649" s="33">
        <v>28</v>
      </c>
      <c r="AY1649" s="33" t="s">
        <v>1584</v>
      </c>
      <c r="AZ1649" s="33" t="s">
        <v>1584</v>
      </c>
      <c r="BA1649" s="33">
        <v>25</v>
      </c>
      <c r="BB1649" s="41" t="s">
        <v>6295</v>
      </c>
      <c r="BC1649" s="41" t="s">
        <v>1584</v>
      </c>
      <c r="BD1649" s="41"/>
      <c r="BE1649" s="33" t="s">
        <v>2449</v>
      </c>
      <c r="BF1649" s="33" t="s">
        <v>6203</v>
      </c>
      <c r="BG1649" s="33" t="s">
        <v>6203</v>
      </c>
      <c r="BH1649" s="33"/>
      <c r="BI1649" s="250">
        <v>50</v>
      </c>
      <c r="BJ1649" s="250">
        <v>1000</v>
      </c>
      <c r="BK1649" s="254"/>
      <c r="BL1649" s="250">
        <f t="shared" si="434"/>
        <v>68.633160776384955</v>
      </c>
      <c r="BM1649" s="33" t="s">
        <v>6296</v>
      </c>
      <c r="BN1649" s="33"/>
      <c r="BO1649" s="33">
        <v>339</v>
      </c>
      <c r="BP1649" s="33"/>
      <c r="BQ1649" s="33"/>
      <c r="BR1649" s="33"/>
      <c r="BS1649" s="33"/>
      <c r="BT1649" s="33"/>
      <c r="BU1649" s="246"/>
      <c r="BV1649" s="33"/>
      <c r="BW1649" s="33"/>
      <c r="BX1649" s="33"/>
      <c r="BY1649" s="33"/>
      <c r="BZ1649" s="33"/>
      <c r="CA1649" s="33"/>
      <c r="CB1649" s="33"/>
      <c r="CC1649" s="33"/>
      <c r="CD1649" s="33"/>
      <c r="CE1649" s="33"/>
      <c r="CF1649" s="33"/>
      <c r="CG1649" s="33"/>
      <c r="CH1649" s="33"/>
      <c r="CI1649" s="250">
        <f t="shared" si="437"/>
        <v>339</v>
      </c>
      <c r="CJ1649" s="243">
        <f t="shared" si="438"/>
        <v>2.5301996982030821</v>
      </c>
      <c r="CK1649" s="38">
        <f t="shared" si="444"/>
        <v>6.8633160776384955E-2</v>
      </c>
      <c r="CL1649" s="247">
        <f t="shared" si="439"/>
        <v>0.20245770140526537</v>
      </c>
      <c r="CM1649" s="247">
        <v>1.1537166107043992</v>
      </c>
      <c r="CN1649" s="247">
        <f t="shared" si="445"/>
        <v>70.19131669899636</v>
      </c>
      <c r="CO1649" s="41"/>
      <c r="CP1649" s="41" t="s">
        <v>8388</v>
      </c>
      <c r="CQ1649" s="241">
        <v>2.1012570051466684</v>
      </c>
      <c r="CR1649" s="241">
        <f t="shared" si="443"/>
        <v>2.6849901267887542</v>
      </c>
      <c r="CS1649" s="33"/>
      <c r="CT1649" s="33"/>
      <c r="CU1649" s="250">
        <f t="shared" si="440"/>
        <v>64.029791781520103</v>
      </c>
      <c r="CV1649" s="337">
        <f t="shared" si="446"/>
        <v>21.706099413935316</v>
      </c>
      <c r="CW1649" s="330">
        <f t="shared" si="441"/>
        <v>1</v>
      </c>
      <c r="CX1649" s="330"/>
      <c r="CY1649" s="143" t="s">
        <v>6351</v>
      </c>
    </row>
    <row r="1650" spans="1:103" ht="11.25" customHeight="1" x14ac:dyDescent="0.2">
      <c r="A1650" s="72">
        <v>1648</v>
      </c>
      <c r="B1650" s="241">
        <v>2026</v>
      </c>
      <c r="C1650" s="32" t="s">
        <v>422</v>
      </c>
      <c r="D1650" s="32"/>
      <c r="E1650" s="40"/>
      <c r="F1650" s="40" t="s">
        <v>423</v>
      </c>
      <c r="G1650" s="242">
        <v>64175</v>
      </c>
      <c r="H1650" s="41" t="s">
        <v>424</v>
      </c>
      <c r="I1650" s="41" t="s">
        <v>424</v>
      </c>
      <c r="J1650" s="41" t="s">
        <v>425</v>
      </c>
      <c r="K1650" s="41" t="s">
        <v>426</v>
      </c>
      <c r="L1650" s="41" t="s">
        <v>279</v>
      </c>
      <c r="M1650" s="41" t="s">
        <v>427</v>
      </c>
      <c r="N1650" s="36" t="s">
        <v>6082</v>
      </c>
      <c r="O1650" s="41" t="s">
        <v>281</v>
      </c>
      <c r="P1650" s="41" t="s">
        <v>6183</v>
      </c>
      <c r="Q1650" s="41" t="s">
        <v>6176</v>
      </c>
      <c r="R1650" s="41" t="s">
        <v>6185</v>
      </c>
      <c r="S1650" s="41" t="s">
        <v>6176</v>
      </c>
      <c r="T1650" s="33">
        <v>46.07</v>
      </c>
      <c r="U1650" s="250">
        <v>21706.099413935317</v>
      </c>
      <c r="V1650" s="250">
        <v>17193.401345778162</v>
      </c>
      <c r="W1650" s="250">
        <v>3981.0717055349728</v>
      </c>
      <c r="X1650" s="250">
        <v>21706.099413935317</v>
      </c>
      <c r="Y1650" s="415">
        <v>6.96</v>
      </c>
      <c r="Z1650" s="33">
        <v>-0.14000000000000001</v>
      </c>
      <c r="AA1650" s="33">
        <v>-0.31</v>
      </c>
      <c r="AB1650" s="33">
        <v>-0.24</v>
      </c>
      <c r="AC1650" s="33">
        <v>0.90610000000000002</v>
      </c>
      <c r="AD1650" s="33">
        <v>-0.23</v>
      </c>
      <c r="AE1650" s="33">
        <v>-0.19</v>
      </c>
      <c r="AF1650" s="33">
        <f t="shared" si="431"/>
        <v>-0.31</v>
      </c>
      <c r="AG1650" s="34">
        <v>0.09</v>
      </c>
      <c r="AH1650" s="250">
        <v>5.6699999999999999E-6</v>
      </c>
      <c r="AI1650" s="250">
        <v>5.0000000000000004E-6</v>
      </c>
      <c r="AJ1650" s="34">
        <f t="shared" si="435"/>
        <v>-3.6349832674197451</v>
      </c>
      <c r="AK1650" s="34">
        <f t="shared" si="442"/>
        <v>-3.6895963219766328</v>
      </c>
      <c r="AL1650" s="34">
        <f t="shared" si="436"/>
        <v>-3.6895963219766328</v>
      </c>
      <c r="AM1650" s="34">
        <v>-3.1772200000000002</v>
      </c>
      <c r="AN1650" s="251">
        <v>-3.5697999999999999</v>
      </c>
      <c r="AO1650" s="417">
        <v>15.24</v>
      </c>
      <c r="AP1650" s="417"/>
      <c r="AQ1650" s="251" t="s">
        <v>6311</v>
      </c>
      <c r="AR1650" s="251" t="s">
        <v>6311</v>
      </c>
      <c r="AS1650" s="252" t="s">
        <v>5466</v>
      </c>
      <c r="AT1650" s="35" t="s">
        <v>266</v>
      </c>
      <c r="AU1650" s="33">
        <v>2</v>
      </c>
      <c r="AV1650" s="33">
        <v>24</v>
      </c>
      <c r="AW1650" s="33">
        <v>22</v>
      </c>
      <c r="AX1650" s="33">
        <v>28</v>
      </c>
      <c r="AY1650" s="33" t="s">
        <v>1584</v>
      </c>
      <c r="AZ1650" s="33" t="s">
        <v>1584</v>
      </c>
      <c r="BA1650" s="33">
        <v>25</v>
      </c>
      <c r="BB1650" s="41" t="s">
        <v>6295</v>
      </c>
      <c r="BC1650" s="41" t="s">
        <v>1584</v>
      </c>
      <c r="BD1650" s="41"/>
      <c r="BE1650" s="33" t="s">
        <v>2449</v>
      </c>
      <c r="BF1650" s="33" t="s">
        <v>6203</v>
      </c>
      <c r="BG1650" s="33" t="s">
        <v>6203</v>
      </c>
      <c r="BH1650" s="33"/>
      <c r="BI1650" s="250">
        <v>50</v>
      </c>
      <c r="BJ1650" s="250">
        <v>1000</v>
      </c>
      <c r="BK1650" s="254"/>
      <c r="BL1650" s="250">
        <f t="shared" si="434"/>
        <v>68.633160776384955</v>
      </c>
      <c r="BM1650" s="33">
        <v>0</v>
      </c>
      <c r="BN1650" s="33">
        <v>381</v>
      </c>
      <c r="BO1650" s="33"/>
      <c r="BP1650" s="33"/>
      <c r="BQ1650" s="33"/>
      <c r="BR1650" s="33"/>
      <c r="BS1650" s="33"/>
      <c r="BT1650" s="33"/>
      <c r="BU1650" s="246"/>
      <c r="BV1650" s="33"/>
      <c r="BW1650" s="33"/>
      <c r="BX1650" s="33"/>
      <c r="BY1650" s="33"/>
      <c r="BZ1650" s="33"/>
      <c r="CA1650" s="33"/>
      <c r="CB1650" s="33"/>
      <c r="CC1650" s="33"/>
      <c r="CD1650" s="33"/>
      <c r="CE1650" s="33"/>
      <c r="CF1650" s="33"/>
      <c r="CG1650" s="33"/>
      <c r="CH1650" s="33"/>
      <c r="CI1650" s="250">
        <f t="shared" si="437"/>
        <v>381</v>
      </c>
      <c r="CJ1650" s="243">
        <f t="shared" si="438"/>
        <v>2.5809249756756194</v>
      </c>
      <c r="CK1650" s="38">
        <f t="shared" si="444"/>
        <v>6.8633160776384955E-2</v>
      </c>
      <c r="CL1650" s="247">
        <f t="shared" si="439"/>
        <v>0.1801395295968109</v>
      </c>
      <c r="CM1650" s="247">
        <v>1.1537166107043992</v>
      </c>
      <c r="CN1650" s="247">
        <f t="shared" si="445"/>
        <v>70.19131669899636</v>
      </c>
      <c r="CO1650" s="41"/>
      <c r="CP1650" s="41" t="s">
        <v>8388</v>
      </c>
      <c r="CQ1650" s="241">
        <v>2.1012570051466684</v>
      </c>
      <c r="CR1650" s="241">
        <f t="shared" si="443"/>
        <v>3.0176437708156807</v>
      </c>
      <c r="CS1650" s="33"/>
      <c r="CT1650" s="33"/>
      <c r="CU1650" s="250">
        <f t="shared" si="440"/>
        <v>56.971389537887973</v>
      </c>
      <c r="CV1650" s="337">
        <f t="shared" si="446"/>
        <v>21.706099413935316</v>
      </c>
      <c r="CW1650" s="330">
        <f t="shared" si="441"/>
        <v>1</v>
      </c>
      <c r="CX1650" s="330"/>
      <c r="CY1650" s="143" t="s">
        <v>6351</v>
      </c>
    </row>
    <row r="1651" spans="1:103" ht="11.25" customHeight="1" x14ac:dyDescent="0.2">
      <c r="A1651" s="72">
        <v>1649</v>
      </c>
      <c r="B1651" s="241">
        <v>2024</v>
      </c>
      <c r="C1651" s="32" t="s">
        <v>422</v>
      </c>
      <c r="D1651" s="32"/>
      <c r="E1651" s="40"/>
      <c r="F1651" s="40" t="s">
        <v>423</v>
      </c>
      <c r="G1651" s="242">
        <v>64175</v>
      </c>
      <c r="H1651" s="41" t="s">
        <v>424</v>
      </c>
      <c r="I1651" s="41" t="s">
        <v>424</v>
      </c>
      <c r="J1651" s="41" t="s">
        <v>425</v>
      </c>
      <c r="K1651" s="41" t="s">
        <v>426</v>
      </c>
      <c r="L1651" s="41" t="s">
        <v>279</v>
      </c>
      <c r="M1651" s="41" t="s">
        <v>427</v>
      </c>
      <c r="N1651" s="36" t="s">
        <v>6082</v>
      </c>
      <c r="O1651" s="41" t="s">
        <v>281</v>
      </c>
      <c r="P1651" s="41" t="s">
        <v>6183</v>
      </c>
      <c r="Q1651" s="41" t="s">
        <v>6176</v>
      </c>
      <c r="R1651" s="41" t="s">
        <v>6185</v>
      </c>
      <c r="S1651" s="41" t="s">
        <v>6176</v>
      </c>
      <c r="T1651" s="33">
        <v>46.07</v>
      </c>
      <c r="U1651" s="250">
        <v>21706.099413935317</v>
      </c>
      <c r="V1651" s="250">
        <v>17193.401345778162</v>
      </c>
      <c r="W1651" s="250">
        <v>3981.0717055349728</v>
      </c>
      <c r="X1651" s="250">
        <v>21706.099413935317</v>
      </c>
      <c r="Y1651" s="415">
        <v>6.96</v>
      </c>
      <c r="Z1651" s="33">
        <v>-0.14000000000000001</v>
      </c>
      <c r="AA1651" s="33">
        <v>-0.31</v>
      </c>
      <c r="AB1651" s="33">
        <v>-0.24</v>
      </c>
      <c r="AC1651" s="33">
        <v>0.90610000000000002</v>
      </c>
      <c r="AD1651" s="33">
        <v>-0.23</v>
      </c>
      <c r="AE1651" s="33">
        <v>-0.19</v>
      </c>
      <c r="AF1651" s="33">
        <f t="shared" si="431"/>
        <v>-0.31</v>
      </c>
      <c r="AG1651" s="34">
        <v>0.09</v>
      </c>
      <c r="AH1651" s="250">
        <v>5.6699999999999999E-6</v>
      </c>
      <c r="AI1651" s="250">
        <v>5.0000000000000004E-6</v>
      </c>
      <c r="AJ1651" s="34">
        <f t="shared" si="435"/>
        <v>-3.6349832674197451</v>
      </c>
      <c r="AK1651" s="34">
        <f t="shared" si="442"/>
        <v>-3.6895963219766328</v>
      </c>
      <c r="AL1651" s="34">
        <f t="shared" si="436"/>
        <v>-3.6895963219766328</v>
      </c>
      <c r="AM1651" s="34">
        <v>-3.1772200000000002</v>
      </c>
      <c r="AN1651" s="251">
        <v>-3.5697999999999999</v>
      </c>
      <c r="AO1651" s="417">
        <v>15.24</v>
      </c>
      <c r="AP1651" s="417"/>
      <c r="AQ1651" s="251" t="s">
        <v>6311</v>
      </c>
      <c r="AR1651" s="251" t="s">
        <v>6311</v>
      </c>
      <c r="AS1651" s="252" t="s">
        <v>5466</v>
      </c>
      <c r="AT1651" s="35" t="s">
        <v>266</v>
      </c>
      <c r="AU1651" s="33">
        <v>8</v>
      </c>
      <c r="AV1651" s="33">
        <v>168</v>
      </c>
      <c r="AW1651" s="33">
        <v>16</v>
      </c>
      <c r="AX1651" s="33">
        <v>28.5</v>
      </c>
      <c r="AY1651" s="262" t="s">
        <v>267</v>
      </c>
      <c r="AZ1651" s="33"/>
      <c r="BA1651" s="33" t="s">
        <v>6307</v>
      </c>
      <c r="BB1651" s="41"/>
      <c r="BC1651" s="41" t="s">
        <v>5697</v>
      </c>
      <c r="BD1651" s="41"/>
      <c r="BE1651" s="33" t="s">
        <v>2449</v>
      </c>
      <c r="BF1651" s="33" t="s">
        <v>6203</v>
      </c>
      <c r="BG1651" s="33" t="s">
        <v>6203</v>
      </c>
      <c r="BH1651" s="33"/>
      <c r="BI1651" s="250">
        <v>171</v>
      </c>
      <c r="BJ1651" s="250">
        <v>514</v>
      </c>
      <c r="BK1651" s="254"/>
      <c r="BL1651" s="250">
        <f t="shared" si="434"/>
        <v>68.633160776384955</v>
      </c>
      <c r="BM1651" s="33" t="s">
        <v>6308</v>
      </c>
      <c r="BN1651" s="33"/>
      <c r="BO1651" s="33"/>
      <c r="BP1651" s="33"/>
      <c r="BQ1651" s="33"/>
      <c r="BR1651" s="33"/>
      <c r="BS1651" s="33"/>
      <c r="BT1651" s="33">
        <v>651</v>
      </c>
      <c r="BU1651" s="246"/>
      <c r="BV1651" s="33"/>
      <c r="BW1651" s="33"/>
      <c r="BX1651" s="33"/>
      <c r="BY1651" s="33"/>
      <c r="BZ1651" s="33"/>
      <c r="CA1651" s="33"/>
      <c r="CB1651" s="33"/>
      <c r="CC1651" s="33"/>
      <c r="CD1651" s="33"/>
      <c r="CE1651" s="33"/>
      <c r="CF1651" s="33"/>
      <c r="CG1651" s="33"/>
      <c r="CH1651" s="33"/>
      <c r="CI1651" s="250">
        <f t="shared" si="437"/>
        <v>651</v>
      </c>
      <c r="CJ1651" s="243">
        <f t="shared" si="438"/>
        <v>2.8135809885681922</v>
      </c>
      <c r="CK1651" s="38">
        <f t="shared" si="444"/>
        <v>0.13352755014860887</v>
      </c>
      <c r="CL1651" s="247">
        <f t="shared" si="439"/>
        <v>0.1054272822985944</v>
      </c>
      <c r="CM1651" s="247">
        <v>1.1537166107043992</v>
      </c>
      <c r="CN1651" s="247">
        <f t="shared" si="445"/>
        <v>36.078336783284129</v>
      </c>
      <c r="CO1651" s="41"/>
      <c r="CP1651" s="41" t="s">
        <v>8381</v>
      </c>
      <c r="CQ1651" s="241">
        <v>2.1012570051466684</v>
      </c>
      <c r="CR1651" s="241">
        <f t="shared" si="443"/>
        <v>5.1561314824173463</v>
      </c>
      <c r="CS1651" s="33"/>
      <c r="CT1651" s="33"/>
      <c r="CU1651" s="250">
        <f t="shared" si="440"/>
        <v>33.342702632773147</v>
      </c>
      <c r="CV1651" s="337">
        <f t="shared" si="446"/>
        <v>42.229765396761316</v>
      </c>
      <c r="CW1651" s="330">
        <f t="shared" si="441"/>
        <v>1</v>
      </c>
      <c r="CX1651" s="330"/>
      <c r="CY1651" s="143" t="s">
        <v>6351</v>
      </c>
    </row>
    <row r="1652" spans="1:103" ht="11.25" customHeight="1" x14ac:dyDescent="0.2">
      <c r="A1652" s="72">
        <v>1650</v>
      </c>
      <c r="B1652" s="241">
        <v>2027</v>
      </c>
      <c r="C1652" s="32" t="s">
        <v>422</v>
      </c>
      <c r="D1652" s="32"/>
      <c r="E1652" s="40"/>
      <c r="F1652" s="40" t="s">
        <v>423</v>
      </c>
      <c r="G1652" s="242">
        <v>64175</v>
      </c>
      <c r="H1652" s="41" t="s">
        <v>424</v>
      </c>
      <c r="I1652" s="41" t="s">
        <v>424</v>
      </c>
      <c r="J1652" s="41" t="s">
        <v>425</v>
      </c>
      <c r="K1652" s="41" t="s">
        <v>426</v>
      </c>
      <c r="L1652" s="41" t="s">
        <v>279</v>
      </c>
      <c r="M1652" s="41" t="s">
        <v>427</v>
      </c>
      <c r="N1652" s="36" t="s">
        <v>6082</v>
      </c>
      <c r="O1652" s="41" t="s">
        <v>281</v>
      </c>
      <c r="P1652" s="41" t="s">
        <v>6183</v>
      </c>
      <c r="Q1652" s="41" t="s">
        <v>6176</v>
      </c>
      <c r="R1652" s="41" t="s">
        <v>6185</v>
      </c>
      <c r="S1652" s="41" t="s">
        <v>6176</v>
      </c>
      <c r="T1652" s="33">
        <v>46.07</v>
      </c>
      <c r="U1652" s="250">
        <v>21706.099413935317</v>
      </c>
      <c r="V1652" s="250">
        <v>17193.401345778162</v>
      </c>
      <c r="W1652" s="250">
        <v>3981.0717055349728</v>
      </c>
      <c r="X1652" s="250">
        <v>21706.099413935317</v>
      </c>
      <c r="Y1652" s="415">
        <v>6.96</v>
      </c>
      <c r="Z1652" s="33">
        <v>-0.14000000000000001</v>
      </c>
      <c r="AA1652" s="33">
        <v>-0.31</v>
      </c>
      <c r="AB1652" s="33">
        <v>-0.24</v>
      </c>
      <c r="AC1652" s="33">
        <v>0.90610000000000002</v>
      </c>
      <c r="AD1652" s="33">
        <v>-0.23</v>
      </c>
      <c r="AE1652" s="33">
        <v>-0.19</v>
      </c>
      <c r="AF1652" s="33">
        <f t="shared" si="431"/>
        <v>-0.31</v>
      </c>
      <c r="AG1652" s="34">
        <v>0.09</v>
      </c>
      <c r="AH1652" s="250">
        <v>5.6699999999999999E-6</v>
      </c>
      <c r="AI1652" s="250">
        <v>5.0000000000000004E-6</v>
      </c>
      <c r="AJ1652" s="34">
        <f t="shared" si="435"/>
        <v>-3.6349832674197451</v>
      </c>
      <c r="AK1652" s="34">
        <f t="shared" si="442"/>
        <v>-3.6895963219766328</v>
      </c>
      <c r="AL1652" s="34">
        <f t="shared" si="436"/>
        <v>-3.6895963219766328</v>
      </c>
      <c r="AM1652" s="34">
        <v>-3.1772200000000002</v>
      </c>
      <c r="AN1652" s="251">
        <v>-3.5697999999999999</v>
      </c>
      <c r="AO1652" s="417">
        <v>15.24</v>
      </c>
      <c r="AP1652" s="417"/>
      <c r="AQ1652" s="251" t="s">
        <v>6311</v>
      </c>
      <c r="AR1652" s="251" t="s">
        <v>6311</v>
      </c>
      <c r="AS1652" s="252" t="s">
        <v>5466</v>
      </c>
      <c r="AT1652" s="35" t="s">
        <v>266</v>
      </c>
      <c r="AU1652" s="33">
        <v>0</v>
      </c>
      <c r="AV1652" s="33">
        <v>48</v>
      </c>
      <c r="AW1652" s="33">
        <v>48</v>
      </c>
      <c r="AX1652" s="33">
        <v>28.5</v>
      </c>
      <c r="AY1652" s="33" t="s">
        <v>1584</v>
      </c>
      <c r="AZ1652" s="33" t="s">
        <v>1584</v>
      </c>
      <c r="BA1652" s="33" t="s">
        <v>1584</v>
      </c>
      <c r="BB1652" s="41" t="s">
        <v>1584</v>
      </c>
      <c r="BC1652" s="41" t="s">
        <v>1584</v>
      </c>
      <c r="BD1652" s="41"/>
      <c r="BE1652" s="33" t="s">
        <v>1584</v>
      </c>
      <c r="BF1652" s="33" t="s">
        <v>272</v>
      </c>
      <c r="BG1652" s="33" t="s">
        <v>272</v>
      </c>
      <c r="BH1652" s="33" t="s">
        <v>272</v>
      </c>
      <c r="BI1652" s="250">
        <f>0.25/46.07*1000*0.7889</f>
        <v>4.2809854569133927</v>
      </c>
      <c r="BJ1652" s="250">
        <f>2/46.07*1000*0.789</f>
        <v>34.252224875189931</v>
      </c>
      <c r="BK1652" s="254"/>
      <c r="BL1652" s="250">
        <f t="shared" si="434"/>
        <v>68.633160776384955</v>
      </c>
      <c r="BM1652" s="33" t="s">
        <v>1584</v>
      </c>
      <c r="BN1652" s="33"/>
      <c r="BO1652" s="33" t="s">
        <v>6291</v>
      </c>
      <c r="BP1652" s="33"/>
      <c r="BQ1652" s="33"/>
      <c r="BR1652" s="33"/>
      <c r="BS1652" s="33"/>
      <c r="BT1652" s="33"/>
      <c r="BU1652" s="246"/>
      <c r="BV1652" s="33"/>
      <c r="BW1652" s="33"/>
      <c r="BX1652" s="33"/>
      <c r="BY1652" s="33"/>
      <c r="BZ1652" s="33"/>
      <c r="CA1652" s="33"/>
      <c r="CB1652" s="33"/>
      <c r="CC1652" s="33"/>
      <c r="CD1652" s="33"/>
      <c r="CE1652" s="33"/>
      <c r="CF1652" s="33"/>
      <c r="CG1652" s="33"/>
      <c r="CH1652" s="33"/>
      <c r="CI1652" s="250"/>
      <c r="CJ1652" s="243"/>
      <c r="CK1652" s="38">
        <f t="shared" si="444"/>
        <v>2.0037577420583363</v>
      </c>
      <c r="CL1652" s="247"/>
      <c r="CM1652" s="247">
        <v>1.1537166107043992</v>
      </c>
      <c r="CN1652" s="247">
        <f t="shared" si="445"/>
        <v>2.4042087638596978</v>
      </c>
      <c r="CO1652" s="41"/>
      <c r="CP1652" s="41" t="s">
        <v>6292</v>
      </c>
      <c r="CQ1652" s="241">
        <v>2.1012570051466684</v>
      </c>
      <c r="CR1652" s="241">
        <f t="shared" si="443"/>
        <v>7.9203248577839301E-3</v>
      </c>
      <c r="CS1652" s="33"/>
      <c r="CT1652" s="33"/>
      <c r="CU1652" s="250"/>
      <c r="CV1652" s="337">
        <f t="shared" si="446"/>
        <v>633.7135614702155</v>
      </c>
      <c r="CW1652" s="330">
        <f>IF(CV1652&lt;1,0,1)</f>
        <v>1</v>
      </c>
      <c r="CX1652" s="330"/>
      <c r="CY1652" s="143" t="s">
        <v>6351</v>
      </c>
    </row>
    <row r="1653" spans="1:103" ht="11.25" customHeight="1" x14ac:dyDescent="0.2">
      <c r="A1653" s="72">
        <v>1651</v>
      </c>
      <c r="B1653" s="241">
        <v>126</v>
      </c>
      <c r="C1653" s="32" t="s">
        <v>422</v>
      </c>
      <c r="D1653" s="32"/>
      <c r="E1653" s="40"/>
      <c r="F1653" s="40" t="s">
        <v>423</v>
      </c>
      <c r="G1653" s="242">
        <v>64175</v>
      </c>
      <c r="H1653" s="36" t="s">
        <v>424</v>
      </c>
      <c r="I1653" s="36" t="s">
        <v>424</v>
      </c>
      <c r="J1653" s="36" t="s">
        <v>425</v>
      </c>
      <c r="K1653" s="36" t="s">
        <v>426</v>
      </c>
      <c r="L1653" s="42" t="s">
        <v>279</v>
      </c>
      <c r="M1653" s="36" t="s">
        <v>427</v>
      </c>
      <c r="N1653" s="36" t="s">
        <v>6082</v>
      </c>
      <c r="O1653" s="36" t="s">
        <v>281</v>
      </c>
      <c r="P1653" s="41" t="s">
        <v>6183</v>
      </c>
      <c r="Q1653" s="41" t="s">
        <v>6176</v>
      </c>
      <c r="R1653" s="41" t="s">
        <v>6185</v>
      </c>
      <c r="S1653" s="41" t="s">
        <v>6176</v>
      </c>
      <c r="T1653" s="40">
        <v>46.07</v>
      </c>
      <c r="U1653" s="263">
        <v>21706.099413935317</v>
      </c>
      <c r="V1653" s="263">
        <v>17193.401345778162</v>
      </c>
      <c r="W1653" s="263">
        <v>3981.0717055349728</v>
      </c>
      <c r="X1653" s="263">
        <v>21706.099413935317</v>
      </c>
      <c r="Y1653" s="417">
        <v>6.96</v>
      </c>
      <c r="Z1653" s="40">
        <v>-0.14000000000000001</v>
      </c>
      <c r="AA1653" s="40">
        <v>-0.31</v>
      </c>
      <c r="AB1653" s="40">
        <v>-0.24</v>
      </c>
      <c r="AC1653" s="40">
        <v>0.90610000000000002</v>
      </c>
      <c r="AD1653" s="40">
        <v>-0.23</v>
      </c>
      <c r="AE1653" s="40">
        <v>-0.19</v>
      </c>
      <c r="AF1653" s="40">
        <f t="shared" si="431"/>
        <v>-0.31</v>
      </c>
      <c r="AG1653" s="38">
        <v>0.09</v>
      </c>
      <c r="AH1653" s="243">
        <v>5.6699999999999999E-6</v>
      </c>
      <c r="AI1653" s="243">
        <v>5.0000000000000004E-6</v>
      </c>
      <c r="AJ1653" s="34">
        <f t="shared" si="435"/>
        <v>-3.6349832674197451</v>
      </c>
      <c r="AK1653" s="34">
        <f t="shared" si="442"/>
        <v>-3.6895963219766328</v>
      </c>
      <c r="AL1653" s="34">
        <f t="shared" si="436"/>
        <v>-3.6895963219766328</v>
      </c>
      <c r="AM1653" s="34">
        <v>-3.1772200000000002</v>
      </c>
      <c r="AN1653" s="244">
        <v>-3.57</v>
      </c>
      <c r="AO1653" s="417">
        <v>15.24</v>
      </c>
      <c r="AP1653" s="417"/>
      <c r="AQ1653" s="244" t="s">
        <v>6311</v>
      </c>
      <c r="AR1653" s="244" t="s">
        <v>6311</v>
      </c>
      <c r="AS1653" s="241" t="s">
        <v>282</v>
      </c>
      <c r="AT1653" s="39" t="s">
        <v>266</v>
      </c>
      <c r="AU1653" s="37">
        <v>0</v>
      </c>
      <c r="AV1653" s="37">
        <v>48</v>
      </c>
      <c r="AW1653" s="37">
        <v>48</v>
      </c>
      <c r="AX1653" s="37">
        <v>26</v>
      </c>
      <c r="AY1653" s="37" t="s">
        <v>647</v>
      </c>
      <c r="AZ1653" s="37" t="s">
        <v>536</v>
      </c>
      <c r="BA1653" s="37">
        <v>20</v>
      </c>
      <c r="BB1653" s="36" t="s">
        <v>537</v>
      </c>
      <c r="BC1653" s="36" t="s">
        <v>648</v>
      </c>
      <c r="BD1653" s="36"/>
      <c r="BE1653" s="245" t="s">
        <v>649</v>
      </c>
      <c r="BF1653" s="245" t="s">
        <v>650</v>
      </c>
      <c r="BG1653" s="245" t="s">
        <v>540</v>
      </c>
      <c r="BH1653" s="245" t="s">
        <v>272</v>
      </c>
      <c r="BI1653" s="243">
        <v>141.1</v>
      </c>
      <c r="BJ1653" s="243">
        <v>293</v>
      </c>
      <c r="BK1653" s="37"/>
      <c r="BL1653" s="243">
        <f t="shared" si="434"/>
        <v>68.633160776384955</v>
      </c>
      <c r="BM1653" s="37" t="s">
        <v>541</v>
      </c>
      <c r="BN1653" s="37"/>
      <c r="BO1653" s="37">
        <v>260.3</v>
      </c>
      <c r="BP1653" s="37"/>
      <c r="BQ1653" s="37"/>
      <c r="BR1653" s="37"/>
      <c r="BS1653" s="37"/>
      <c r="BT1653" s="37"/>
      <c r="BU1653" s="246"/>
      <c r="BV1653" s="37"/>
      <c r="BW1653" s="37"/>
      <c r="BX1653" s="37"/>
      <c r="BY1653" s="37"/>
      <c r="BZ1653" s="37"/>
      <c r="CA1653" s="37"/>
      <c r="CB1653" s="37"/>
      <c r="CC1653" s="37"/>
      <c r="CD1653" s="37"/>
      <c r="CE1653" s="37"/>
      <c r="CF1653" s="37"/>
      <c r="CG1653" s="37"/>
      <c r="CH1653" s="37"/>
      <c r="CI1653" s="243">
        <f t="shared" ref="CI1653:CI1669" si="447">MIN(BN1653:CH1653)</f>
        <v>260.3</v>
      </c>
      <c r="CJ1653" s="243">
        <f t="shared" ref="CJ1653:CJ1669" si="448">LOG10(CI1653)</f>
        <v>2.4154741681092355</v>
      </c>
      <c r="CK1653" s="38">
        <f t="shared" si="444"/>
        <v>0.23424286954397597</v>
      </c>
      <c r="CL1653" s="247">
        <f t="shared" ref="CL1653:CL1669" si="449">BL1653/CI1653</f>
        <v>0.26366946129998059</v>
      </c>
      <c r="CM1653" s="247">
        <v>1.1537166107043992</v>
      </c>
      <c r="CN1653" s="247">
        <f t="shared" si="445"/>
        <v>20.566055792805937</v>
      </c>
      <c r="CO1653" s="36"/>
      <c r="CP1653" s="36" t="s">
        <v>651</v>
      </c>
      <c r="CQ1653" s="241">
        <v>2.1012570051466684</v>
      </c>
      <c r="CR1653" s="241">
        <f t="shared" si="443"/>
        <v>2.0616605604811582</v>
      </c>
      <c r="CS1653" s="33"/>
      <c r="CT1653" s="33"/>
      <c r="CU1653" s="250">
        <f t="shared" ref="CU1653:CU1669" si="450">X1653/CI1653</f>
        <v>83.388779922917081</v>
      </c>
      <c r="CV1653" s="337">
        <f t="shared" si="446"/>
        <v>74.082250559506207</v>
      </c>
      <c r="CW1653" s="330">
        <f t="shared" ref="CW1653:CW1669" si="451">IF(CU1653&lt;2,0,1)</f>
        <v>1</v>
      </c>
      <c r="CX1653" s="330"/>
      <c r="CY1653" s="143" t="s">
        <v>6351</v>
      </c>
    </row>
    <row r="1654" spans="1:103" ht="11.25" customHeight="1" x14ac:dyDescent="0.2">
      <c r="A1654" s="72">
        <v>1652</v>
      </c>
      <c r="B1654" s="241">
        <v>543</v>
      </c>
      <c r="C1654" s="32" t="s">
        <v>422</v>
      </c>
      <c r="D1654" s="32"/>
      <c r="E1654" s="40"/>
      <c r="F1654" s="40" t="s">
        <v>423</v>
      </c>
      <c r="G1654" s="242">
        <v>64175</v>
      </c>
      <c r="H1654" s="36" t="s">
        <v>424</v>
      </c>
      <c r="I1654" s="36" t="s">
        <v>424</v>
      </c>
      <c r="J1654" s="36" t="s">
        <v>425</v>
      </c>
      <c r="K1654" s="36" t="s">
        <v>426</v>
      </c>
      <c r="L1654" s="42" t="s">
        <v>279</v>
      </c>
      <c r="M1654" s="36" t="s">
        <v>427</v>
      </c>
      <c r="N1654" s="36" t="s">
        <v>6082</v>
      </c>
      <c r="O1654" s="36" t="s">
        <v>281</v>
      </c>
      <c r="P1654" s="41" t="s">
        <v>6183</v>
      </c>
      <c r="Q1654" s="41" t="s">
        <v>6176</v>
      </c>
      <c r="R1654" s="41" t="s">
        <v>6185</v>
      </c>
      <c r="S1654" s="41" t="s">
        <v>6176</v>
      </c>
      <c r="T1654" s="40">
        <v>46.07</v>
      </c>
      <c r="U1654" s="263">
        <v>21706.099413935317</v>
      </c>
      <c r="V1654" s="263">
        <v>17193.401345778162</v>
      </c>
      <c r="W1654" s="263">
        <v>3981.0717055349728</v>
      </c>
      <c r="X1654" s="263">
        <v>21706.099413935317</v>
      </c>
      <c r="Y1654" s="417">
        <v>6.96</v>
      </c>
      <c r="Z1654" s="40">
        <v>-0.14000000000000001</v>
      </c>
      <c r="AA1654" s="40">
        <v>-0.31</v>
      </c>
      <c r="AB1654" s="40">
        <v>-0.24</v>
      </c>
      <c r="AC1654" s="40">
        <v>0.90610000000000002</v>
      </c>
      <c r="AD1654" s="40">
        <v>-0.23</v>
      </c>
      <c r="AE1654" s="40">
        <v>-0.19</v>
      </c>
      <c r="AF1654" s="40">
        <f t="shared" si="431"/>
        <v>-0.31</v>
      </c>
      <c r="AG1654" s="38">
        <v>0.09</v>
      </c>
      <c r="AH1654" s="243">
        <v>5.6699999999999999E-6</v>
      </c>
      <c r="AI1654" s="243">
        <v>5.0000000000000004E-6</v>
      </c>
      <c r="AJ1654" s="34">
        <f t="shared" si="435"/>
        <v>-3.6349832674197451</v>
      </c>
      <c r="AK1654" s="34">
        <f t="shared" si="442"/>
        <v>-3.6895963219766328</v>
      </c>
      <c r="AL1654" s="34">
        <f t="shared" si="436"/>
        <v>-3.6895963219766328</v>
      </c>
      <c r="AM1654" s="34">
        <v>-3.1772200000000002</v>
      </c>
      <c r="AN1654" s="244">
        <v>-3.57</v>
      </c>
      <c r="AO1654" s="417">
        <v>15.24</v>
      </c>
      <c r="AP1654" s="417"/>
      <c r="AQ1654" s="244" t="s">
        <v>6311</v>
      </c>
      <c r="AR1654" s="244" t="s">
        <v>6311</v>
      </c>
      <c r="AS1654" s="241" t="s">
        <v>282</v>
      </c>
      <c r="AT1654" s="39" t="s">
        <v>266</v>
      </c>
      <c r="AU1654" s="37">
        <v>2</v>
      </c>
      <c r="AV1654" s="37">
        <v>48</v>
      </c>
      <c r="AW1654" s="37">
        <v>48</v>
      </c>
      <c r="AX1654" s="37">
        <v>26</v>
      </c>
      <c r="AY1654" s="37" t="s">
        <v>647</v>
      </c>
      <c r="AZ1654" s="37" t="s">
        <v>536</v>
      </c>
      <c r="BA1654" s="37">
        <v>20</v>
      </c>
      <c r="BB1654" s="36" t="s">
        <v>537</v>
      </c>
      <c r="BC1654" s="36" t="s">
        <v>538</v>
      </c>
      <c r="BD1654" s="36"/>
      <c r="BE1654" s="37" t="s">
        <v>271</v>
      </c>
      <c r="BF1654" s="37" t="s">
        <v>539</v>
      </c>
      <c r="BG1654" s="37" t="s">
        <v>539</v>
      </c>
      <c r="BH1654" s="37" t="s">
        <v>272</v>
      </c>
      <c r="BI1654" s="248">
        <v>141.08964619057954</v>
      </c>
      <c r="BJ1654" s="248">
        <v>293.03234208812677</v>
      </c>
      <c r="BK1654" s="37"/>
      <c r="BL1654" s="243">
        <f t="shared" si="434"/>
        <v>68.633160776384955</v>
      </c>
      <c r="BM1654" s="37" t="s">
        <v>1552</v>
      </c>
      <c r="BN1654" s="37"/>
      <c r="BO1654" s="37">
        <v>240.78091106290671</v>
      </c>
      <c r="BP1654" s="37"/>
      <c r="BQ1654" s="37"/>
      <c r="BR1654" s="37"/>
      <c r="BS1654" s="37"/>
      <c r="BT1654" s="37"/>
      <c r="BU1654" s="246"/>
      <c r="BV1654" s="37"/>
      <c r="BW1654" s="37"/>
      <c r="BX1654" s="37"/>
      <c r="BY1654" s="37"/>
      <c r="BZ1654" s="37"/>
      <c r="CA1654" s="37"/>
      <c r="CB1654" s="37"/>
      <c r="CC1654" s="37"/>
      <c r="CD1654" s="37"/>
      <c r="CE1654" s="37"/>
      <c r="CF1654" s="37"/>
      <c r="CG1654" s="37"/>
      <c r="CH1654" s="37"/>
      <c r="CI1654" s="243">
        <f t="shared" si="447"/>
        <v>240.78091106290671</v>
      </c>
      <c r="CJ1654" s="243">
        <f t="shared" si="448"/>
        <v>2.3816220533970092</v>
      </c>
      <c r="CK1654" s="38">
        <f t="shared" si="444"/>
        <v>0.23421701607170775</v>
      </c>
      <c r="CL1654" s="247">
        <f t="shared" si="449"/>
        <v>0.28504402808931051</v>
      </c>
      <c r="CM1654" s="247">
        <v>1.1537166107043992</v>
      </c>
      <c r="CN1654" s="247">
        <f t="shared" si="445"/>
        <v>20.568325926556348</v>
      </c>
      <c r="CO1654" s="36"/>
      <c r="CP1654" s="36" t="s">
        <v>1553</v>
      </c>
      <c r="CQ1654" s="241">
        <v>2.1012570051466684</v>
      </c>
      <c r="CR1654" s="241">
        <f t="shared" si="443"/>
        <v>1.9070630351714031</v>
      </c>
      <c r="CS1654" s="33"/>
      <c r="CT1654" s="33"/>
      <c r="CU1654" s="250">
        <f t="shared" si="450"/>
        <v>90.148755223641274</v>
      </c>
      <c r="CV1654" s="337">
        <f t="shared" si="446"/>
        <v>74.074074074074076</v>
      </c>
      <c r="CW1654" s="330">
        <f t="shared" si="451"/>
        <v>1</v>
      </c>
      <c r="CX1654" s="330"/>
      <c r="CY1654" s="143" t="s">
        <v>6351</v>
      </c>
    </row>
    <row r="1655" spans="1:103" ht="11.25" customHeight="1" x14ac:dyDescent="0.2">
      <c r="A1655" s="72">
        <v>1653</v>
      </c>
      <c r="B1655" s="241">
        <v>105</v>
      </c>
      <c r="C1655" s="32" t="s">
        <v>6994</v>
      </c>
      <c r="D1655" s="32"/>
      <c r="E1655" s="40"/>
      <c r="F1655" s="40" t="s">
        <v>680</v>
      </c>
      <c r="G1655" s="242">
        <v>65850</v>
      </c>
      <c r="H1655" s="36" t="s">
        <v>681</v>
      </c>
      <c r="I1655" s="36" t="s">
        <v>681</v>
      </c>
      <c r="J1655" s="36" t="s">
        <v>682</v>
      </c>
      <c r="K1655" s="36" t="s">
        <v>426</v>
      </c>
      <c r="L1655" s="36" t="s">
        <v>6115</v>
      </c>
      <c r="M1655" s="36" t="s">
        <v>5960</v>
      </c>
      <c r="N1655" s="36"/>
      <c r="O1655" s="36"/>
      <c r="P1655" s="41"/>
      <c r="Q1655" s="41"/>
      <c r="R1655" s="41"/>
      <c r="S1655" s="41"/>
      <c r="T1655" s="37">
        <v>122.12</v>
      </c>
      <c r="U1655" s="243">
        <v>27.841467409105796</v>
      </c>
      <c r="V1655" s="243">
        <v>20.414346544382575</v>
      </c>
      <c r="W1655" s="243">
        <v>34.673685045253158</v>
      </c>
      <c r="X1655" s="243">
        <v>27.841467409105796</v>
      </c>
      <c r="Y1655" s="414">
        <v>2.84</v>
      </c>
      <c r="Z1655" s="37">
        <v>1.87</v>
      </c>
      <c r="AA1655" s="37">
        <v>1.87</v>
      </c>
      <c r="AB1655" s="37">
        <v>1.87</v>
      </c>
      <c r="AC1655" s="37">
        <v>0.87239999999999995</v>
      </c>
      <c r="AD1655" s="37">
        <v>1.87</v>
      </c>
      <c r="AE1655" s="37">
        <v>1.89</v>
      </c>
      <c r="AF1655" s="37">
        <f t="shared" si="431"/>
        <v>1.87</v>
      </c>
      <c r="AG1655" s="38">
        <v>1.44</v>
      </c>
      <c r="AH1655" s="243">
        <v>1.08E-7</v>
      </c>
      <c r="AI1655" s="243">
        <v>3.8099999999999997E-8</v>
      </c>
      <c r="AJ1655" s="34">
        <f t="shared" si="435"/>
        <v>-5.3551425708257021</v>
      </c>
      <c r="AK1655" s="34">
        <f t="shared" si="442"/>
        <v>-5.8076413506370326</v>
      </c>
      <c r="AL1655" s="34">
        <f t="shared" si="436"/>
        <v>-5.8076413506370326</v>
      </c>
      <c r="AM1655" s="34">
        <v>-7.6162700000000001</v>
      </c>
      <c r="AN1655" s="244">
        <v>-5.58</v>
      </c>
      <c r="AO1655" s="417">
        <v>4.2</v>
      </c>
      <c r="AP1655" s="417"/>
      <c r="AQ1655" s="244" t="s">
        <v>6311</v>
      </c>
      <c r="AR1655" s="244" t="s">
        <v>6311</v>
      </c>
      <c r="AS1655" s="241" t="s">
        <v>6</v>
      </c>
      <c r="AT1655" s="39" t="s">
        <v>266</v>
      </c>
      <c r="AU1655" s="37">
        <v>0</v>
      </c>
      <c r="AV1655" s="37">
        <v>48</v>
      </c>
      <c r="AW1655" s="37">
        <v>48</v>
      </c>
      <c r="AX1655" s="37">
        <v>26</v>
      </c>
      <c r="AY1655" s="37" t="s">
        <v>647</v>
      </c>
      <c r="AZ1655" s="37" t="s">
        <v>536</v>
      </c>
      <c r="BA1655" s="37">
        <v>20</v>
      </c>
      <c r="BB1655" s="36" t="s">
        <v>537</v>
      </c>
      <c r="BC1655" s="36" t="s">
        <v>648</v>
      </c>
      <c r="BD1655" s="36"/>
      <c r="BE1655" s="245" t="s">
        <v>649</v>
      </c>
      <c r="BF1655" s="245" t="s">
        <v>650</v>
      </c>
      <c r="BG1655" s="245" t="s">
        <v>540</v>
      </c>
      <c r="BH1655" s="245" t="s">
        <v>272</v>
      </c>
      <c r="BI1655" s="243">
        <v>0.13</v>
      </c>
      <c r="BJ1655" s="243">
        <v>0.64</v>
      </c>
      <c r="BK1655" s="37"/>
      <c r="BL1655" s="243">
        <f t="shared" si="434"/>
        <v>1.0748627192704194</v>
      </c>
      <c r="BM1655" s="37" t="s">
        <v>541</v>
      </c>
      <c r="BN1655" s="37"/>
      <c r="BO1655" s="37">
        <v>0.16</v>
      </c>
      <c r="BP1655" s="37"/>
      <c r="BQ1655" s="37"/>
      <c r="BR1655" s="37"/>
      <c r="BS1655" s="37"/>
      <c r="BT1655" s="37"/>
      <c r="BU1655" s="246"/>
      <c r="BV1655" s="37"/>
      <c r="BW1655" s="37"/>
      <c r="BX1655" s="37"/>
      <c r="BY1655" s="37"/>
      <c r="BZ1655" s="37"/>
      <c r="CA1655" s="37"/>
      <c r="CB1655" s="37"/>
      <c r="CC1655" s="37"/>
      <c r="CD1655" s="37"/>
      <c r="CE1655" s="37"/>
      <c r="CF1655" s="37"/>
      <c r="CG1655" s="37"/>
      <c r="CH1655" s="37"/>
      <c r="CI1655" s="243">
        <f t="shared" si="447"/>
        <v>0.16</v>
      </c>
      <c r="CJ1655" s="243">
        <f t="shared" si="448"/>
        <v>-0.79588001734407521</v>
      </c>
      <c r="CK1655" s="38">
        <f t="shared" si="444"/>
        <v>1.6794729988600303</v>
      </c>
      <c r="CL1655" s="247">
        <f t="shared" si="449"/>
        <v>6.7178919954401213</v>
      </c>
      <c r="CM1655" s="247"/>
      <c r="CN1655" s="247"/>
      <c r="CO1655" s="36"/>
      <c r="CP1655" s="36" t="s">
        <v>651</v>
      </c>
      <c r="CQ1655" s="241">
        <v>0.16848570947668184</v>
      </c>
      <c r="CR1655" s="241">
        <f t="shared" si="443"/>
        <v>0.10855111111111113</v>
      </c>
      <c r="CS1655" s="33"/>
      <c r="CT1655" s="33"/>
      <c r="CU1655" s="250">
        <f t="shared" si="450"/>
        <v>174.00917130691121</v>
      </c>
      <c r="CV1655" s="337">
        <f t="shared" si="446"/>
        <v>43.502292826727803</v>
      </c>
      <c r="CW1655" s="330">
        <f t="shared" si="451"/>
        <v>1</v>
      </c>
      <c r="CX1655" s="330"/>
      <c r="CY1655" s="143" t="s">
        <v>6351</v>
      </c>
    </row>
    <row r="1656" spans="1:103" ht="11.25" customHeight="1" x14ac:dyDescent="0.2">
      <c r="A1656" s="72">
        <v>1654</v>
      </c>
      <c r="B1656" s="241">
        <v>489</v>
      </c>
      <c r="C1656" s="32" t="s">
        <v>6994</v>
      </c>
      <c r="D1656" s="32"/>
      <c r="E1656" s="40"/>
      <c r="F1656" s="40" t="s">
        <v>680</v>
      </c>
      <c r="G1656" s="242">
        <v>65850</v>
      </c>
      <c r="H1656" s="36" t="s">
        <v>681</v>
      </c>
      <c r="I1656" s="36" t="s">
        <v>681</v>
      </c>
      <c r="J1656" s="36" t="s">
        <v>682</v>
      </c>
      <c r="K1656" s="36" t="s">
        <v>426</v>
      </c>
      <c r="L1656" s="36" t="s">
        <v>6115</v>
      </c>
      <c r="M1656" s="36" t="s">
        <v>5960</v>
      </c>
      <c r="N1656" s="36"/>
      <c r="O1656" s="36"/>
      <c r="P1656" s="41"/>
      <c r="Q1656" s="41"/>
      <c r="R1656" s="41"/>
      <c r="S1656" s="41"/>
      <c r="T1656" s="37">
        <v>122.12</v>
      </c>
      <c r="U1656" s="243">
        <v>27.841467409105796</v>
      </c>
      <c r="V1656" s="243">
        <v>20.414346544382575</v>
      </c>
      <c r="W1656" s="243">
        <v>34.673685045253158</v>
      </c>
      <c r="X1656" s="243">
        <v>27.841467409105796</v>
      </c>
      <c r="Y1656" s="414">
        <v>2.84</v>
      </c>
      <c r="Z1656" s="37">
        <v>1.87</v>
      </c>
      <c r="AA1656" s="37">
        <v>1.87</v>
      </c>
      <c r="AB1656" s="37">
        <v>1.87</v>
      </c>
      <c r="AC1656" s="37">
        <v>0.87239999999999995</v>
      </c>
      <c r="AD1656" s="37">
        <v>1.87</v>
      </c>
      <c r="AE1656" s="37">
        <v>1.89</v>
      </c>
      <c r="AF1656" s="37">
        <f t="shared" si="431"/>
        <v>1.87</v>
      </c>
      <c r="AG1656" s="38">
        <v>1.44</v>
      </c>
      <c r="AH1656" s="243">
        <v>1.08E-7</v>
      </c>
      <c r="AI1656" s="243">
        <v>3.8099999999999997E-8</v>
      </c>
      <c r="AJ1656" s="34">
        <f t="shared" si="435"/>
        <v>-5.3551425708257021</v>
      </c>
      <c r="AK1656" s="34">
        <f t="shared" si="442"/>
        <v>-5.8076413506370326</v>
      </c>
      <c r="AL1656" s="34">
        <f t="shared" si="436"/>
        <v>-5.8076413506370326</v>
      </c>
      <c r="AM1656" s="34">
        <v>-7.6162700000000001</v>
      </c>
      <c r="AN1656" s="244">
        <v>-5.58</v>
      </c>
      <c r="AO1656" s="417">
        <v>4.2</v>
      </c>
      <c r="AP1656" s="417"/>
      <c r="AQ1656" s="244" t="s">
        <v>6311</v>
      </c>
      <c r="AR1656" s="244" t="s">
        <v>6311</v>
      </c>
      <c r="AS1656" s="241" t="s">
        <v>6</v>
      </c>
      <c r="AT1656" s="39" t="s">
        <v>266</v>
      </c>
      <c r="AU1656" s="37">
        <v>2</v>
      </c>
      <c r="AV1656" s="37">
        <v>48</v>
      </c>
      <c r="AW1656" s="37">
        <v>48</v>
      </c>
      <c r="AX1656" s="37">
        <v>26</v>
      </c>
      <c r="AY1656" s="37" t="s">
        <v>647</v>
      </c>
      <c r="AZ1656" s="37" t="s">
        <v>536</v>
      </c>
      <c r="BA1656" s="37">
        <v>20</v>
      </c>
      <c r="BB1656" s="36" t="s">
        <v>537</v>
      </c>
      <c r="BC1656" s="36" t="s">
        <v>538</v>
      </c>
      <c r="BD1656" s="36"/>
      <c r="BE1656" s="37" t="s">
        <v>271</v>
      </c>
      <c r="BF1656" s="37" t="s">
        <v>539</v>
      </c>
      <c r="BG1656" s="37" t="s">
        <v>272</v>
      </c>
      <c r="BH1656" s="37" t="s">
        <v>272</v>
      </c>
      <c r="BI1656" s="248">
        <v>0.12610547002947919</v>
      </c>
      <c r="BJ1656" s="248">
        <v>2.8660334097608908</v>
      </c>
      <c r="BK1656" s="37"/>
      <c r="BL1656" s="243">
        <f t="shared" si="434"/>
        <v>1.0748627192704194</v>
      </c>
      <c r="BM1656" s="37" t="s">
        <v>541</v>
      </c>
      <c r="BN1656" s="37"/>
      <c r="BO1656" s="37">
        <v>0.16459220438912545</v>
      </c>
      <c r="BP1656" s="37"/>
      <c r="BQ1656" s="37"/>
      <c r="BR1656" s="37"/>
      <c r="BS1656" s="37"/>
      <c r="BT1656" s="37"/>
      <c r="BU1656" s="246"/>
      <c r="BV1656" s="37"/>
      <c r="BW1656" s="37"/>
      <c r="BX1656" s="37"/>
      <c r="BY1656" s="37"/>
      <c r="BZ1656" s="37"/>
      <c r="CA1656" s="37"/>
      <c r="CB1656" s="37"/>
      <c r="CC1656" s="37"/>
      <c r="CD1656" s="37"/>
      <c r="CE1656" s="37"/>
      <c r="CF1656" s="37"/>
      <c r="CG1656" s="37"/>
      <c r="CH1656" s="37"/>
      <c r="CI1656" s="243">
        <f t="shared" si="447"/>
        <v>0.16459220438912545</v>
      </c>
      <c r="CJ1656" s="243">
        <f t="shared" si="448"/>
        <v>-0.78359073820613534</v>
      </c>
      <c r="CK1656" s="38">
        <f t="shared" si="444"/>
        <v>0.37503495793515323</v>
      </c>
      <c r="CL1656" s="247">
        <f t="shared" si="449"/>
        <v>6.5304594665325189</v>
      </c>
      <c r="CM1656" s="247"/>
      <c r="CN1656" s="247"/>
      <c r="CO1656" s="36"/>
      <c r="CP1656" s="36" t="s">
        <v>1558</v>
      </c>
      <c r="CQ1656" s="241">
        <v>0.16848570947668184</v>
      </c>
      <c r="CR1656" s="241">
        <f t="shared" si="443"/>
        <v>0.11166666666666664</v>
      </c>
      <c r="CS1656" s="33"/>
      <c r="CT1656" s="33"/>
      <c r="CU1656" s="250">
        <f t="shared" si="450"/>
        <v>169.15422885572139</v>
      </c>
      <c r="CV1656" s="337">
        <f t="shared" si="446"/>
        <v>9.7142857142857135</v>
      </c>
      <c r="CW1656" s="330">
        <f t="shared" si="451"/>
        <v>1</v>
      </c>
      <c r="CX1656" s="330"/>
      <c r="CY1656" s="143" t="s">
        <v>6351</v>
      </c>
    </row>
    <row r="1657" spans="1:103" ht="11.25" customHeight="1" x14ac:dyDescent="0.2">
      <c r="A1657" s="72">
        <v>1655</v>
      </c>
      <c r="B1657" s="241">
        <v>2096</v>
      </c>
      <c r="C1657" s="32" t="s">
        <v>7623</v>
      </c>
      <c r="D1657" s="32"/>
      <c r="E1657" s="40"/>
      <c r="F1657" s="40" t="s">
        <v>5792</v>
      </c>
      <c r="G1657" s="242">
        <v>66762</v>
      </c>
      <c r="H1657" s="41" t="s">
        <v>5793</v>
      </c>
      <c r="I1657" s="41" t="s">
        <v>8210</v>
      </c>
      <c r="J1657" s="41" t="s">
        <v>5794</v>
      </c>
      <c r="K1657" s="41" t="s">
        <v>3440</v>
      </c>
      <c r="L1657" s="41" t="s">
        <v>279</v>
      </c>
      <c r="M1657" s="41" t="s">
        <v>5795</v>
      </c>
      <c r="N1657" s="36"/>
      <c r="O1657" s="41" t="s">
        <v>281</v>
      </c>
      <c r="P1657" s="41"/>
      <c r="Q1657" s="41"/>
      <c r="R1657" s="41"/>
      <c r="S1657" s="41"/>
      <c r="T1657" s="33">
        <v>336.3</v>
      </c>
      <c r="U1657" s="250"/>
      <c r="V1657" s="250">
        <v>0.38001784121320248</v>
      </c>
      <c r="W1657" s="250">
        <v>0.1</v>
      </c>
      <c r="X1657" s="250">
        <f>IF(W1657=0,V1657,W1657)</f>
        <v>0.1</v>
      </c>
      <c r="Y1657" s="415">
        <v>4.2699999999999996</v>
      </c>
      <c r="Z1657" s="33">
        <v>1.92</v>
      </c>
      <c r="AA1657" s="33">
        <v>2.0699999999999998</v>
      </c>
      <c r="AB1657" s="33">
        <v>1.94</v>
      </c>
      <c r="AC1657" s="33">
        <v>0.76149999999999995</v>
      </c>
      <c r="AD1657" s="33">
        <v>2.4300000000000002</v>
      </c>
      <c r="AE1657" s="33">
        <v>3.55</v>
      </c>
      <c r="AF1657" s="33">
        <f t="shared" si="431"/>
        <v>2.0699999999999998</v>
      </c>
      <c r="AG1657" s="34">
        <v>2.4300000000000002</v>
      </c>
      <c r="AH1657" s="250">
        <v>1.36E-13</v>
      </c>
      <c r="AI1657" s="250"/>
      <c r="AJ1657" s="34">
        <f t="shared" si="435"/>
        <v>-11.255027417942435</v>
      </c>
      <c r="AK1657" s="34"/>
      <c r="AL1657" s="34">
        <f t="shared" si="436"/>
        <v>-11.255027417942435</v>
      </c>
      <c r="AM1657" s="34">
        <v>-20.157349999999997</v>
      </c>
      <c r="AN1657" s="251"/>
      <c r="AO1657" s="417">
        <v>4.2</v>
      </c>
      <c r="AP1657" s="417"/>
      <c r="AQ1657" s="251" t="s">
        <v>6311</v>
      </c>
      <c r="AR1657" s="251" t="s">
        <v>6311</v>
      </c>
      <c r="AS1657" s="252" t="s">
        <v>5466</v>
      </c>
      <c r="AT1657" s="35" t="s">
        <v>266</v>
      </c>
      <c r="AU1657" s="33">
        <v>4</v>
      </c>
      <c r="AV1657" s="33">
        <v>80</v>
      </c>
      <c r="AW1657" s="33">
        <v>76</v>
      </c>
      <c r="AX1657" s="33">
        <v>28</v>
      </c>
      <c r="AY1657" s="33" t="s">
        <v>267</v>
      </c>
      <c r="AZ1657" s="33" t="s">
        <v>5731</v>
      </c>
      <c r="BA1657" s="33">
        <v>20</v>
      </c>
      <c r="BB1657" s="41" t="s">
        <v>5732</v>
      </c>
      <c r="BC1657" s="41" t="s">
        <v>1584</v>
      </c>
      <c r="BD1657" s="41"/>
      <c r="BE1657" s="33" t="s">
        <v>5733</v>
      </c>
      <c r="BF1657" s="33"/>
      <c r="BG1657" s="33"/>
      <c r="BH1657" s="33" t="s">
        <v>5734</v>
      </c>
      <c r="BI1657" s="250"/>
      <c r="BJ1657" s="250"/>
      <c r="BK1657" s="254"/>
      <c r="BL1657" s="250">
        <f t="shared" si="434"/>
        <v>0.96927720650321159</v>
      </c>
      <c r="BM1657" s="33"/>
      <c r="BN1657" s="33"/>
      <c r="BO1657" s="33"/>
      <c r="BP1657" s="33"/>
      <c r="BQ1657" s="33"/>
      <c r="BR1657" s="33"/>
      <c r="BS1657" s="33"/>
      <c r="BT1657" s="33"/>
      <c r="BU1657" s="246"/>
      <c r="BV1657" s="33">
        <v>2.342E-2</v>
      </c>
      <c r="BW1657" s="33">
        <v>2.1239999999999998E-2</v>
      </c>
      <c r="BX1657" s="33"/>
      <c r="BY1657" s="33"/>
      <c r="BZ1657" s="33"/>
      <c r="CA1657" s="33"/>
      <c r="CB1657" s="33"/>
      <c r="CC1657" s="33"/>
      <c r="CD1657" s="33"/>
      <c r="CE1657" s="33"/>
      <c r="CF1657" s="33"/>
      <c r="CG1657" s="33"/>
      <c r="CH1657" s="33"/>
      <c r="CI1657" s="250">
        <f t="shared" si="447"/>
        <v>2.1239999999999998E-2</v>
      </c>
      <c r="CJ1657" s="243">
        <f t="shared" si="448"/>
        <v>-1.6728454875905685</v>
      </c>
      <c r="CK1657" s="38" t="s">
        <v>404</v>
      </c>
      <c r="CL1657" s="247">
        <f t="shared" si="449"/>
        <v>45.634520080188871</v>
      </c>
      <c r="CM1657" s="247"/>
      <c r="CN1657" s="247"/>
      <c r="CO1657" s="41"/>
      <c r="CP1657" s="41" t="s">
        <v>5735</v>
      </c>
      <c r="CQ1657" s="241">
        <v>-1.8183059671799229</v>
      </c>
      <c r="CR1657" s="241">
        <f t="shared" si="443"/>
        <v>1.3978497064579258</v>
      </c>
      <c r="CS1657" s="33"/>
      <c r="CT1657" s="33"/>
      <c r="CU1657" s="250">
        <f t="shared" si="450"/>
        <v>4.7080979284369118</v>
      </c>
      <c r="CV1657" s="337"/>
      <c r="CW1657" s="330">
        <f t="shared" si="451"/>
        <v>1</v>
      </c>
      <c r="CX1657" s="330" t="s">
        <v>539</v>
      </c>
      <c r="CY1657" s="143" t="s">
        <v>5921</v>
      </c>
    </row>
    <row r="1658" spans="1:103" ht="11.25" customHeight="1" x14ac:dyDescent="0.2">
      <c r="A1658" s="72">
        <v>1656</v>
      </c>
      <c r="B1658" s="241">
        <v>553</v>
      </c>
      <c r="C1658" s="32" t="s">
        <v>466</v>
      </c>
      <c r="D1658" s="32"/>
      <c r="E1658" s="40"/>
      <c r="F1658" s="40" t="s">
        <v>1724</v>
      </c>
      <c r="G1658" s="242">
        <v>67561</v>
      </c>
      <c r="H1658" s="36" t="s">
        <v>1725</v>
      </c>
      <c r="I1658" s="36" t="s">
        <v>1725</v>
      </c>
      <c r="J1658" s="36" t="s">
        <v>1726</v>
      </c>
      <c r="K1658" s="36" t="s">
        <v>426</v>
      </c>
      <c r="L1658" s="36" t="s">
        <v>5527</v>
      </c>
      <c r="M1658" s="36" t="s">
        <v>8487</v>
      </c>
      <c r="N1658" s="36"/>
      <c r="O1658" s="36"/>
      <c r="P1658" s="41"/>
      <c r="Q1658" s="41" t="s">
        <v>6173</v>
      </c>
      <c r="R1658" s="41" t="s">
        <v>6185</v>
      </c>
      <c r="S1658" s="41" t="s">
        <v>6176</v>
      </c>
      <c r="T1658" s="37">
        <v>32.04</v>
      </c>
      <c r="U1658" s="243">
        <v>31210.986267166045</v>
      </c>
      <c r="V1658" s="243">
        <v>31210.986267166045</v>
      </c>
      <c r="W1658" s="243">
        <v>7585.7757502918375</v>
      </c>
      <c r="X1658" s="243">
        <v>31210.986267166045</v>
      </c>
      <c r="Y1658" s="414">
        <v>6.91</v>
      </c>
      <c r="Z1658" s="37">
        <v>-0.63</v>
      </c>
      <c r="AA1658" s="37">
        <v>-0.77</v>
      </c>
      <c r="AB1658" s="37">
        <v>-0.46</v>
      </c>
      <c r="AC1658" s="37">
        <v>0.91890000000000005</v>
      </c>
      <c r="AD1658" s="37">
        <v>-0.52</v>
      </c>
      <c r="AE1658" s="37">
        <v>-0.72</v>
      </c>
      <c r="AF1658" s="37">
        <f t="shared" si="431"/>
        <v>-0.77</v>
      </c>
      <c r="AG1658" s="38">
        <v>-0.28999999999999998</v>
      </c>
      <c r="AH1658" s="243">
        <v>4.2699999999999998E-6</v>
      </c>
      <c r="AI1658" s="243">
        <v>4.5499999999999996E-6</v>
      </c>
      <c r="AJ1658" s="34">
        <f t="shared" si="435"/>
        <v>-3.7581384512876279</v>
      </c>
      <c r="AK1658" s="34">
        <f t="shared" ref="AK1658:AK1665" si="452">LOG10(AI1658*1000/(0.08206*298.15))</f>
        <v>-3.7305549296555394</v>
      </c>
      <c r="AL1658" s="34">
        <f t="shared" si="436"/>
        <v>-3.7305549296555394</v>
      </c>
      <c r="AM1658" s="34">
        <v>-2.9972799999999999</v>
      </c>
      <c r="AN1658" s="244">
        <v>-3.7</v>
      </c>
      <c r="AO1658" s="417">
        <v>15.17</v>
      </c>
      <c r="AP1658" s="417"/>
      <c r="AQ1658" s="244" t="s">
        <v>6311</v>
      </c>
      <c r="AR1658" s="244" t="s">
        <v>6311</v>
      </c>
      <c r="AS1658" s="241" t="s">
        <v>6</v>
      </c>
      <c r="AT1658" s="39" t="s">
        <v>266</v>
      </c>
      <c r="AU1658" s="37">
        <v>2</v>
      </c>
      <c r="AV1658" s="37">
        <v>48</v>
      </c>
      <c r="AW1658" s="37">
        <v>48</v>
      </c>
      <c r="AX1658" s="33" t="s">
        <v>6240</v>
      </c>
      <c r="AY1658" s="33" t="s">
        <v>1584</v>
      </c>
      <c r="AZ1658" s="37" t="s">
        <v>1584</v>
      </c>
      <c r="BA1658" s="37" t="s">
        <v>8722</v>
      </c>
      <c r="BB1658" s="36" t="s">
        <v>8722</v>
      </c>
      <c r="BC1658" s="36" t="s">
        <v>8722</v>
      </c>
      <c r="BD1658" s="36"/>
      <c r="BE1658" s="37" t="s">
        <v>8722</v>
      </c>
      <c r="BF1658" s="37" t="s">
        <v>8722</v>
      </c>
      <c r="BG1658" s="37" t="s">
        <v>8722</v>
      </c>
      <c r="BH1658" s="37" t="s">
        <v>8722</v>
      </c>
      <c r="BI1658" s="243" t="s">
        <v>8722</v>
      </c>
      <c r="BJ1658" s="243" t="s">
        <v>8722</v>
      </c>
      <c r="BK1658" s="37"/>
      <c r="BL1658" s="243">
        <f t="shared" si="434"/>
        <v>189.06145680144678</v>
      </c>
      <c r="BM1658" s="36" t="s">
        <v>1640</v>
      </c>
      <c r="BN1658" s="37"/>
      <c r="BO1658" s="37">
        <v>689.76279650436959</v>
      </c>
      <c r="BP1658" s="37"/>
      <c r="BQ1658" s="37"/>
      <c r="BR1658" s="37"/>
      <c r="BS1658" s="37"/>
      <c r="BT1658" s="37"/>
      <c r="BU1658" s="246"/>
      <c r="BV1658" s="37"/>
      <c r="BW1658" s="37"/>
      <c r="BX1658" s="37"/>
      <c r="BY1658" s="37"/>
      <c r="BZ1658" s="37"/>
      <c r="CA1658" s="37"/>
      <c r="CB1658" s="37"/>
      <c r="CC1658" s="37"/>
      <c r="CD1658" s="37"/>
      <c r="CE1658" s="37"/>
      <c r="CF1658" s="37"/>
      <c r="CG1658" s="37"/>
      <c r="CH1658" s="37"/>
      <c r="CI1658" s="243">
        <f t="shared" si="447"/>
        <v>689.76279650436959</v>
      </c>
      <c r="CJ1658" s="243">
        <f t="shared" si="448"/>
        <v>2.8386997662729105</v>
      </c>
      <c r="CK1658" s="38" t="s">
        <v>404</v>
      </c>
      <c r="CL1658" s="247">
        <f t="shared" si="449"/>
        <v>0.27409633827684859</v>
      </c>
      <c r="CM1658" s="247"/>
      <c r="CN1658" s="247"/>
      <c r="CO1658" s="36" t="s">
        <v>1641</v>
      </c>
      <c r="CP1658" s="36" t="s">
        <v>1643</v>
      </c>
      <c r="CQ1658" s="241">
        <v>2.6724173249617289</v>
      </c>
      <c r="CR1658" s="241">
        <f t="shared" si="443"/>
        <v>1.4665012628834941</v>
      </c>
      <c r="CS1658" s="33"/>
      <c r="CT1658" s="33"/>
      <c r="CU1658" s="250">
        <f t="shared" si="450"/>
        <v>45.248868778280546</v>
      </c>
      <c r="CV1658" s="337"/>
      <c r="CW1658" s="330">
        <f t="shared" si="451"/>
        <v>1</v>
      </c>
      <c r="CX1658" s="330"/>
      <c r="CY1658" s="143" t="s">
        <v>6351</v>
      </c>
    </row>
    <row r="1659" spans="1:103" ht="11.25" customHeight="1" x14ac:dyDescent="0.2">
      <c r="A1659" s="72">
        <v>1657</v>
      </c>
      <c r="B1659" s="241">
        <v>669</v>
      </c>
      <c r="C1659" s="32" t="s">
        <v>466</v>
      </c>
      <c r="D1659" s="32"/>
      <c r="E1659" s="40"/>
      <c r="F1659" s="40" t="s">
        <v>1724</v>
      </c>
      <c r="G1659" s="242">
        <v>67561</v>
      </c>
      <c r="H1659" s="36" t="s">
        <v>1725</v>
      </c>
      <c r="I1659" s="36" t="s">
        <v>1725</v>
      </c>
      <c r="J1659" s="36" t="s">
        <v>1726</v>
      </c>
      <c r="K1659" s="36" t="s">
        <v>426</v>
      </c>
      <c r="L1659" s="36" t="s">
        <v>5527</v>
      </c>
      <c r="M1659" s="36" t="s">
        <v>8487</v>
      </c>
      <c r="N1659" s="36"/>
      <c r="O1659" s="36"/>
      <c r="P1659" s="41"/>
      <c r="Q1659" s="41" t="s">
        <v>6173</v>
      </c>
      <c r="R1659" s="41" t="s">
        <v>6185</v>
      </c>
      <c r="S1659" s="41" t="s">
        <v>6176</v>
      </c>
      <c r="T1659" s="37">
        <v>32.04</v>
      </c>
      <c r="U1659" s="243">
        <v>31210.986267166045</v>
      </c>
      <c r="V1659" s="243">
        <v>31210.986267166045</v>
      </c>
      <c r="W1659" s="243">
        <v>7585.7757502918375</v>
      </c>
      <c r="X1659" s="243">
        <v>31210.986267166045</v>
      </c>
      <c r="Y1659" s="414">
        <v>6.91</v>
      </c>
      <c r="Z1659" s="37">
        <v>-0.63</v>
      </c>
      <c r="AA1659" s="37">
        <v>-0.77</v>
      </c>
      <c r="AB1659" s="37">
        <v>-0.46</v>
      </c>
      <c r="AC1659" s="37">
        <v>0.91890000000000005</v>
      </c>
      <c r="AD1659" s="37">
        <v>-0.52</v>
      </c>
      <c r="AE1659" s="37">
        <v>-0.72</v>
      </c>
      <c r="AF1659" s="37">
        <f t="shared" si="431"/>
        <v>-0.77</v>
      </c>
      <c r="AG1659" s="38">
        <v>-0.28999999999999998</v>
      </c>
      <c r="AH1659" s="243">
        <v>4.2699999999999998E-6</v>
      </c>
      <c r="AI1659" s="243">
        <v>4.5499999999999996E-6</v>
      </c>
      <c r="AJ1659" s="34">
        <f t="shared" si="435"/>
        <v>-3.7581384512876279</v>
      </c>
      <c r="AK1659" s="34">
        <f t="shared" si="452"/>
        <v>-3.7305549296555394</v>
      </c>
      <c r="AL1659" s="34">
        <f t="shared" si="436"/>
        <v>-3.7305549296555394</v>
      </c>
      <c r="AM1659" s="34">
        <v>-2.9972799999999999</v>
      </c>
      <c r="AN1659" s="244">
        <v>-3.7</v>
      </c>
      <c r="AO1659" s="417">
        <v>15.17</v>
      </c>
      <c r="AP1659" s="417"/>
      <c r="AQ1659" s="244" t="s">
        <v>6311</v>
      </c>
      <c r="AR1659" s="244" t="s">
        <v>6311</v>
      </c>
      <c r="AS1659" s="241" t="s">
        <v>6</v>
      </c>
      <c r="AT1659" s="39" t="s">
        <v>266</v>
      </c>
      <c r="AU1659" s="37">
        <v>2</v>
      </c>
      <c r="AV1659" s="37">
        <v>48</v>
      </c>
      <c r="AW1659" s="37">
        <v>48</v>
      </c>
      <c r="AX1659" s="37">
        <v>26</v>
      </c>
      <c r="AY1659" s="37" t="s">
        <v>647</v>
      </c>
      <c r="AZ1659" s="37" t="s">
        <v>536</v>
      </c>
      <c r="BA1659" s="37">
        <v>10</v>
      </c>
      <c r="BB1659" s="36" t="s">
        <v>1764</v>
      </c>
      <c r="BC1659" s="36" t="s">
        <v>538</v>
      </c>
      <c r="BD1659" s="36"/>
      <c r="BE1659" s="37" t="s">
        <v>271</v>
      </c>
      <c r="BF1659" s="37" t="s">
        <v>272</v>
      </c>
      <c r="BG1659" s="37" t="s">
        <v>272</v>
      </c>
      <c r="BH1659" s="37" t="s">
        <v>272</v>
      </c>
      <c r="BI1659" s="243">
        <v>53.1</v>
      </c>
      <c r="BJ1659" s="243">
        <v>6866</v>
      </c>
      <c r="BK1659" s="37"/>
      <c r="BL1659" s="243">
        <f t="shared" si="434"/>
        <v>189.06145680144678</v>
      </c>
      <c r="BM1659" s="37" t="s">
        <v>541</v>
      </c>
      <c r="BN1659" s="37"/>
      <c r="BO1659" s="37">
        <v>779</v>
      </c>
      <c r="BP1659" s="37"/>
      <c r="BQ1659" s="37"/>
      <c r="BR1659" s="37"/>
      <c r="BS1659" s="37"/>
      <c r="BT1659" s="37"/>
      <c r="BU1659" s="246"/>
      <c r="BV1659" s="37"/>
      <c r="BW1659" s="37"/>
      <c r="BX1659" s="37"/>
      <c r="BY1659" s="37"/>
      <c r="BZ1659" s="37"/>
      <c r="CA1659" s="37"/>
      <c r="CB1659" s="37"/>
      <c r="CC1659" s="37"/>
      <c r="CD1659" s="37"/>
      <c r="CE1659" s="37"/>
      <c r="CF1659" s="37"/>
      <c r="CG1659" s="37"/>
      <c r="CH1659" s="37"/>
      <c r="CI1659" s="243">
        <f t="shared" si="447"/>
        <v>779</v>
      </c>
      <c r="CJ1659" s="243">
        <f t="shared" si="448"/>
        <v>2.8915374576725643</v>
      </c>
      <c r="CK1659" s="38">
        <f t="shared" ref="CK1659:CK1679" si="453">BL1659/BJ1659</f>
        <v>2.7535895252176926E-2</v>
      </c>
      <c r="CL1659" s="247">
        <f t="shared" si="449"/>
        <v>0.24269763389145929</v>
      </c>
      <c r="CM1659" s="247"/>
      <c r="CN1659" s="247"/>
      <c r="CO1659" s="36"/>
      <c r="CP1659" s="36" t="s">
        <v>1921</v>
      </c>
      <c r="CQ1659" s="241">
        <v>2.6724173249617289</v>
      </c>
      <c r="CR1659" s="241">
        <f t="shared" si="443"/>
        <v>1.6562280389371578</v>
      </c>
      <c r="CS1659" s="33"/>
      <c r="CT1659" s="33"/>
      <c r="CU1659" s="250">
        <f t="shared" si="450"/>
        <v>40.065450920623931</v>
      </c>
      <c r="CV1659" s="337">
        <f t="shared" ref="CV1659:CV1679" si="454">X1659/BJ1659</f>
        <v>4.54573059527615</v>
      </c>
      <c r="CW1659" s="330">
        <f t="shared" si="451"/>
        <v>1</v>
      </c>
      <c r="CX1659" s="330"/>
      <c r="CY1659" s="143" t="s">
        <v>6351</v>
      </c>
    </row>
    <row r="1660" spans="1:103" ht="11.25" customHeight="1" x14ac:dyDescent="0.2">
      <c r="A1660" s="72">
        <v>1658</v>
      </c>
      <c r="B1660" s="241">
        <v>125</v>
      </c>
      <c r="C1660" s="32" t="s">
        <v>7624</v>
      </c>
      <c r="D1660" s="32"/>
      <c r="E1660" s="40"/>
      <c r="F1660" s="40" t="s">
        <v>744</v>
      </c>
      <c r="G1660" s="242">
        <v>67641</v>
      </c>
      <c r="H1660" s="36" t="s">
        <v>745</v>
      </c>
      <c r="I1660" s="36" t="s">
        <v>745</v>
      </c>
      <c r="J1660" s="36" t="s">
        <v>746</v>
      </c>
      <c r="K1660" s="36" t="s">
        <v>426</v>
      </c>
      <c r="L1660" s="36" t="s">
        <v>5527</v>
      </c>
      <c r="M1660" s="36" t="s">
        <v>8487</v>
      </c>
      <c r="N1660" s="36"/>
      <c r="O1660" s="36"/>
      <c r="P1660" s="41" t="s">
        <v>6183</v>
      </c>
      <c r="Q1660" s="41" t="s">
        <v>6176</v>
      </c>
      <c r="R1660" s="41" t="s">
        <v>6185</v>
      </c>
      <c r="S1660" s="41" t="s">
        <v>6176</v>
      </c>
      <c r="T1660" s="37">
        <v>58.08</v>
      </c>
      <c r="U1660" s="243">
        <v>17217.630853994491</v>
      </c>
      <c r="V1660" s="243">
        <v>3786.1570247933887</v>
      </c>
      <c r="W1660" s="243">
        <v>1778.2794100389231</v>
      </c>
      <c r="X1660" s="243">
        <v>17217.630853994491</v>
      </c>
      <c r="Y1660" s="414">
        <v>7</v>
      </c>
      <c r="Z1660" s="37">
        <v>-0.24</v>
      </c>
      <c r="AA1660" s="37">
        <v>-0.24</v>
      </c>
      <c r="AB1660" s="37">
        <v>0.17</v>
      </c>
      <c r="AC1660" s="37">
        <v>0.90069999999999995</v>
      </c>
      <c r="AD1660" s="37">
        <v>0.09</v>
      </c>
      <c r="AE1660" s="37">
        <v>-0.16</v>
      </c>
      <c r="AF1660" s="37">
        <f t="shared" si="431"/>
        <v>-0.24</v>
      </c>
      <c r="AG1660" s="38">
        <v>0.21</v>
      </c>
      <c r="AH1660" s="243">
        <v>4.9599999999999999E-5</v>
      </c>
      <c r="AI1660" s="243">
        <v>3.4999999999999997E-5</v>
      </c>
      <c r="AJ1660" s="34">
        <f t="shared" si="435"/>
        <v>-2.6930846498224543</v>
      </c>
      <c r="AK1660" s="34">
        <f t="shared" si="452"/>
        <v>-2.8444982819623763</v>
      </c>
      <c r="AL1660" s="34">
        <f t="shared" si="436"/>
        <v>-2.8444982819623763</v>
      </c>
      <c r="AM1660" s="34">
        <v>-2.79976</v>
      </c>
      <c r="AN1660" s="244">
        <v>-2.73</v>
      </c>
      <c r="AO1660" s="417"/>
      <c r="AP1660" s="417"/>
      <c r="AQ1660" s="244" t="s">
        <v>6311</v>
      </c>
      <c r="AR1660" s="244" t="s">
        <v>6311</v>
      </c>
      <c r="AS1660" s="241" t="s">
        <v>6</v>
      </c>
      <c r="AT1660" s="39" t="s">
        <v>266</v>
      </c>
      <c r="AU1660" s="37">
        <v>0</v>
      </c>
      <c r="AV1660" s="37" t="s">
        <v>646</v>
      </c>
      <c r="AW1660" s="37" t="s">
        <v>646</v>
      </c>
      <c r="AX1660" s="37">
        <v>26</v>
      </c>
      <c r="AY1660" s="37" t="s">
        <v>647</v>
      </c>
      <c r="AZ1660" s="37" t="s">
        <v>536</v>
      </c>
      <c r="BA1660" s="37">
        <v>20</v>
      </c>
      <c r="BB1660" s="36" t="s">
        <v>537</v>
      </c>
      <c r="BC1660" s="36" t="s">
        <v>648</v>
      </c>
      <c r="BD1660" s="36"/>
      <c r="BE1660" s="245" t="s">
        <v>649</v>
      </c>
      <c r="BF1660" s="245" t="s">
        <v>650</v>
      </c>
      <c r="BG1660" s="245" t="s">
        <v>540</v>
      </c>
      <c r="BH1660" s="245" t="s">
        <v>272</v>
      </c>
      <c r="BI1660" s="243">
        <v>111.9</v>
      </c>
      <c r="BJ1660" s="243">
        <v>232.4</v>
      </c>
      <c r="BK1660" s="37"/>
      <c r="BL1660" s="243">
        <f t="shared" si="434"/>
        <v>84.400301880485841</v>
      </c>
      <c r="BM1660" s="37" t="s">
        <v>541</v>
      </c>
      <c r="BN1660" s="37"/>
      <c r="BO1660" s="37">
        <v>225.4</v>
      </c>
      <c r="BP1660" s="37"/>
      <c r="BQ1660" s="37"/>
      <c r="BR1660" s="37"/>
      <c r="BS1660" s="37"/>
      <c r="BT1660" s="37"/>
      <c r="BU1660" s="246"/>
      <c r="BV1660" s="37"/>
      <c r="BW1660" s="37"/>
      <c r="BX1660" s="37"/>
      <c r="BY1660" s="37"/>
      <c r="BZ1660" s="37"/>
      <c r="CA1660" s="37"/>
      <c r="CB1660" s="37"/>
      <c r="CC1660" s="37"/>
      <c r="CD1660" s="37"/>
      <c r="CE1660" s="37"/>
      <c r="CF1660" s="37"/>
      <c r="CG1660" s="37"/>
      <c r="CH1660" s="37"/>
      <c r="CI1660" s="243">
        <f t="shared" si="447"/>
        <v>225.4</v>
      </c>
      <c r="CJ1660" s="243">
        <f t="shared" si="448"/>
        <v>2.3529539117100877</v>
      </c>
      <c r="CK1660" s="38">
        <f t="shared" si="453"/>
        <v>0.36316825249778761</v>
      </c>
      <c r="CL1660" s="247">
        <f t="shared" si="449"/>
        <v>0.37444676965610402</v>
      </c>
      <c r="CM1660" s="247"/>
      <c r="CN1660" s="247"/>
      <c r="CO1660" s="36"/>
      <c r="CP1660" s="36" t="s">
        <v>651</v>
      </c>
      <c r="CQ1660" s="241">
        <v>2.1268344056048116</v>
      </c>
      <c r="CR1660" s="241">
        <f t="shared" si="443"/>
        <v>1.6831371512124071</v>
      </c>
      <c r="CS1660" s="33"/>
      <c r="CT1660" s="33"/>
      <c r="CU1660" s="250">
        <f t="shared" si="450"/>
        <v>76.387004676106883</v>
      </c>
      <c r="CV1660" s="337">
        <f t="shared" si="454"/>
        <v>74.086191282248237</v>
      </c>
      <c r="CW1660" s="330">
        <f t="shared" si="451"/>
        <v>1</v>
      </c>
      <c r="CX1660" s="330"/>
      <c r="CY1660" s="143" t="s">
        <v>6351</v>
      </c>
    </row>
    <row r="1661" spans="1:103" ht="11.25" customHeight="1" x14ac:dyDescent="0.2">
      <c r="A1661" s="72">
        <v>1659</v>
      </c>
      <c r="B1661" s="241">
        <v>752</v>
      </c>
      <c r="C1661" s="32" t="s">
        <v>7624</v>
      </c>
      <c r="D1661" s="32"/>
      <c r="E1661" s="40"/>
      <c r="F1661" s="40" t="s">
        <v>744</v>
      </c>
      <c r="G1661" s="242">
        <v>67641</v>
      </c>
      <c r="H1661" s="36" t="s">
        <v>745</v>
      </c>
      <c r="I1661" s="36" t="s">
        <v>745</v>
      </c>
      <c r="J1661" s="36" t="s">
        <v>746</v>
      </c>
      <c r="K1661" s="36" t="s">
        <v>426</v>
      </c>
      <c r="L1661" s="36" t="s">
        <v>5527</v>
      </c>
      <c r="M1661" s="36" t="s">
        <v>8487</v>
      </c>
      <c r="N1661" s="36"/>
      <c r="O1661" s="36"/>
      <c r="P1661" s="41" t="s">
        <v>6183</v>
      </c>
      <c r="Q1661" s="41" t="s">
        <v>6176</v>
      </c>
      <c r="R1661" s="41" t="s">
        <v>6185</v>
      </c>
      <c r="S1661" s="41" t="s">
        <v>6176</v>
      </c>
      <c r="T1661" s="37">
        <v>58.08</v>
      </c>
      <c r="U1661" s="243">
        <v>17217.630853994491</v>
      </c>
      <c r="V1661" s="243">
        <v>3786.1570247933887</v>
      </c>
      <c r="W1661" s="243">
        <v>1778.2794100389231</v>
      </c>
      <c r="X1661" s="243">
        <v>17217.630853994491</v>
      </c>
      <c r="Y1661" s="414">
        <v>7</v>
      </c>
      <c r="Z1661" s="37">
        <v>-0.24</v>
      </c>
      <c r="AA1661" s="37">
        <v>-0.24</v>
      </c>
      <c r="AB1661" s="37">
        <v>0.17</v>
      </c>
      <c r="AC1661" s="37">
        <v>0.90069999999999995</v>
      </c>
      <c r="AD1661" s="37">
        <v>0.09</v>
      </c>
      <c r="AE1661" s="37">
        <v>-0.16</v>
      </c>
      <c r="AF1661" s="37">
        <f t="shared" si="431"/>
        <v>-0.24</v>
      </c>
      <c r="AG1661" s="38">
        <v>0.21</v>
      </c>
      <c r="AH1661" s="243">
        <v>4.9599999999999999E-5</v>
      </c>
      <c r="AI1661" s="243">
        <v>3.4999999999999997E-5</v>
      </c>
      <c r="AJ1661" s="34">
        <f t="shared" si="435"/>
        <v>-2.6930846498224543</v>
      </c>
      <c r="AK1661" s="34">
        <f t="shared" si="452"/>
        <v>-2.8444982819623763</v>
      </c>
      <c r="AL1661" s="34">
        <f t="shared" si="436"/>
        <v>-2.8444982819623763</v>
      </c>
      <c r="AM1661" s="34">
        <v>-2.79976</v>
      </c>
      <c r="AN1661" s="244">
        <v>-2.73</v>
      </c>
      <c r="AO1661" s="417"/>
      <c r="AP1661" s="417"/>
      <c r="AQ1661" s="244" t="s">
        <v>6311</v>
      </c>
      <c r="AR1661" s="244" t="s">
        <v>6311</v>
      </c>
      <c r="AS1661" s="241" t="s">
        <v>6</v>
      </c>
      <c r="AT1661" s="39" t="s">
        <v>266</v>
      </c>
      <c r="AU1661" s="37">
        <v>2</v>
      </c>
      <c r="AV1661" s="37">
        <v>72</v>
      </c>
      <c r="AW1661" s="37">
        <v>72</v>
      </c>
      <c r="AX1661" s="37">
        <v>26</v>
      </c>
      <c r="AY1661" s="37" t="s">
        <v>8722</v>
      </c>
      <c r="AZ1661" s="37" t="s">
        <v>536</v>
      </c>
      <c r="BA1661" s="37">
        <v>10</v>
      </c>
      <c r="BB1661" s="36" t="s">
        <v>1764</v>
      </c>
      <c r="BC1661" s="36" t="s">
        <v>538</v>
      </c>
      <c r="BD1661" s="36"/>
      <c r="BE1661" s="37" t="s">
        <v>649</v>
      </c>
      <c r="BF1661" s="37" t="s">
        <v>272</v>
      </c>
      <c r="BG1661" s="37" t="s">
        <v>272</v>
      </c>
      <c r="BH1661" s="37" t="s">
        <v>272</v>
      </c>
      <c r="BI1661" s="248">
        <v>68.009641873278241</v>
      </c>
      <c r="BJ1661" s="248">
        <v>340.04820936639118</v>
      </c>
      <c r="BK1661" s="37"/>
      <c r="BL1661" s="243">
        <f t="shared" si="434"/>
        <v>84.400301880485841</v>
      </c>
      <c r="BM1661" s="37" t="s">
        <v>2046</v>
      </c>
      <c r="BN1661" s="37"/>
      <c r="BO1661" s="37"/>
      <c r="BP1661" s="37">
        <v>223.65702479338844</v>
      </c>
      <c r="BQ1661" s="37"/>
      <c r="BR1661" s="37"/>
      <c r="BS1661" s="37"/>
      <c r="BT1661" s="37"/>
      <c r="BU1661" s="246"/>
      <c r="BV1661" s="37"/>
      <c r="BW1661" s="37"/>
      <c r="BX1661" s="37"/>
      <c r="BY1661" s="37"/>
      <c r="BZ1661" s="37"/>
      <c r="CA1661" s="37"/>
      <c r="CB1661" s="37"/>
      <c r="CC1661" s="37"/>
      <c r="CD1661" s="37"/>
      <c r="CE1661" s="37"/>
      <c r="CF1661" s="37"/>
      <c r="CG1661" s="37"/>
      <c r="CH1661" s="37"/>
      <c r="CI1661" s="243">
        <f t="shared" si="447"/>
        <v>223.65702479338844</v>
      </c>
      <c r="CJ1661" s="243">
        <f t="shared" si="448"/>
        <v>2.3495825433809907</v>
      </c>
      <c r="CK1661" s="38">
        <f t="shared" si="453"/>
        <v>0.24820098902372748</v>
      </c>
      <c r="CL1661" s="247">
        <f t="shared" si="449"/>
        <v>0.37736486014000131</v>
      </c>
      <c r="CM1661" s="247"/>
      <c r="CN1661" s="247"/>
      <c r="CO1661" s="36"/>
      <c r="CP1661" s="36" t="s">
        <v>2130</v>
      </c>
      <c r="CQ1661" s="241">
        <v>2.1268344056048116</v>
      </c>
      <c r="CR1661" s="241">
        <f t="shared" si="443"/>
        <v>1.6701217726680861</v>
      </c>
      <c r="CS1661" s="33"/>
      <c r="CT1661" s="33"/>
      <c r="CU1661" s="250">
        <f t="shared" si="450"/>
        <v>76.982294072363359</v>
      </c>
      <c r="CV1661" s="337">
        <f t="shared" si="454"/>
        <v>50.63291139240507</v>
      </c>
      <c r="CW1661" s="330">
        <f t="shared" si="451"/>
        <v>1</v>
      </c>
      <c r="CX1661" s="330"/>
      <c r="CY1661" s="143" t="s">
        <v>6351</v>
      </c>
    </row>
    <row r="1662" spans="1:103" ht="11.25" customHeight="1" x14ac:dyDescent="0.2">
      <c r="A1662" s="72">
        <v>1660</v>
      </c>
      <c r="B1662" s="241">
        <v>480</v>
      </c>
      <c r="C1662" s="32" t="s">
        <v>7624</v>
      </c>
      <c r="D1662" s="32"/>
      <c r="E1662" s="40"/>
      <c r="F1662" s="40" t="s">
        <v>744</v>
      </c>
      <c r="G1662" s="242">
        <v>67641</v>
      </c>
      <c r="H1662" s="36" t="s">
        <v>745</v>
      </c>
      <c r="I1662" s="36" t="s">
        <v>745</v>
      </c>
      <c r="J1662" s="36" t="s">
        <v>746</v>
      </c>
      <c r="K1662" s="36" t="s">
        <v>426</v>
      </c>
      <c r="L1662" s="36" t="s">
        <v>5527</v>
      </c>
      <c r="M1662" s="36" t="s">
        <v>8487</v>
      </c>
      <c r="N1662" s="36"/>
      <c r="O1662" s="36"/>
      <c r="P1662" s="41" t="s">
        <v>6183</v>
      </c>
      <c r="Q1662" s="41" t="s">
        <v>6176</v>
      </c>
      <c r="R1662" s="41" t="s">
        <v>6185</v>
      </c>
      <c r="S1662" s="41" t="s">
        <v>6176</v>
      </c>
      <c r="T1662" s="37">
        <v>58.08</v>
      </c>
      <c r="U1662" s="243">
        <v>17217.630853994491</v>
      </c>
      <c r="V1662" s="243">
        <v>3786.1570247933887</v>
      </c>
      <c r="W1662" s="243">
        <v>1778.2794100389231</v>
      </c>
      <c r="X1662" s="243">
        <v>17217.630853994491</v>
      </c>
      <c r="Y1662" s="414">
        <v>7</v>
      </c>
      <c r="Z1662" s="37">
        <v>-0.24</v>
      </c>
      <c r="AA1662" s="37">
        <v>-0.24</v>
      </c>
      <c r="AB1662" s="37">
        <v>0.17</v>
      </c>
      <c r="AC1662" s="37">
        <v>0.90069999999999995</v>
      </c>
      <c r="AD1662" s="37">
        <v>0.09</v>
      </c>
      <c r="AE1662" s="37">
        <v>-0.16</v>
      </c>
      <c r="AF1662" s="37">
        <f t="shared" si="431"/>
        <v>-0.24</v>
      </c>
      <c r="AG1662" s="38">
        <v>0.21</v>
      </c>
      <c r="AH1662" s="243">
        <v>4.9599999999999999E-5</v>
      </c>
      <c r="AI1662" s="243">
        <v>3.4999999999999997E-5</v>
      </c>
      <c r="AJ1662" s="34">
        <f t="shared" si="435"/>
        <v>-2.6930846498224543</v>
      </c>
      <c r="AK1662" s="34">
        <f t="shared" si="452"/>
        <v>-2.8444982819623763</v>
      </c>
      <c r="AL1662" s="34">
        <f t="shared" si="436"/>
        <v>-2.8444982819623763</v>
      </c>
      <c r="AM1662" s="34">
        <v>-2.79976</v>
      </c>
      <c r="AN1662" s="244">
        <v>-2.73</v>
      </c>
      <c r="AO1662" s="417"/>
      <c r="AP1662" s="417"/>
      <c r="AQ1662" s="244" t="s">
        <v>6311</v>
      </c>
      <c r="AR1662" s="244" t="s">
        <v>6311</v>
      </c>
      <c r="AS1662" s="241" t="s">
        <v>6</v>
      </c>
      <c r="AT1662" s="39" t="s">
        <v>266</v>
      </c>
      <c r="AU1662" s="37">
        <v>0</v>
      </c>
      <c r="AV1662" s="37">
        <v>48</v>
      </c>
      <c r="AW1662" s="37">
        <v>48</v>
      </c>
      <c r="AX1662" s="37">
        <v>26</v>
      </c>
      <c r="AY1662" s="37" t="s">
        <v>647</v>
      </c>
      <c r="AZ1662" s="37" t="s">
        <v>536</v>
      </c>
      <c r="BA1662" s="37">
        <v>20</v>
      </c>
      <c r="BB1662" s="36" t="s">
        <v>537</v>
      </c>
      <c r="BC1662" s="36" t="s">
        <v>538</v>
      </c>
      <c r="BD1662" s="36"/>
      <c r="BE1662" s="37" t="s">
        <v>271</v>
      </c>
      <c r="BF1662" s="37" t="s">
        <v>539</v>
      </c>
      <c r="BG1662" s="37" t="s">
        <v>539</v>
      </c>
      <c r="BH1662" s="37" t="s">
        <v>272</v>
      </c>
      <c r="BI1662" s="248">
        <v>111.9146005509642</v>
      </c>
      <c r="BJ1662" s="248">
        <v>232.43801652892563</v>
      </c>
      <c r="BK1662" s="37"/>
      <c r="BL1662" s="243">
        <f t="shared" si="434"/>
        <v>84.400301880485841</v>
      </c>
      <c r="BM1662" s="37" t="s">
        <v>1552</v>
      </c>
      <c r="BN1662" s="37"/>
      <c r="BO1662" s="37">
        <v>180.7</v>
      </c>
      <c r="BP1662" s="37"/>
      <c r="BQ1662" s="37"/>
      <c r="BR1662" s="37"/>
      <c r="BS1662" s="37"/>
      <c r="BT1662" s="37"/>
      <c r="BU1662" s="246"/>
      <c r="BV1662" s="37"/>
      <c r="BW1662" s="37"/>
      <c r="BX1662" s="37"/>
      <c r="BY1662" s="37"/>
      <c r="BZ1662" s="37"/>
      <c r="CA1662" s="37"/>
      <c r="CB1662" s="37"/>
      <c r="CC1662" s="37"/>
      <c r="CD1662" s="37"/>
      <c r="CE1662" s="37"/>
      <c r="CF1662" s="37"/>
      <c r="CG1662" s="37"/>
      <c r="CH1662" s="37"/>
      <c r="CI1662" s="243">
        <f t="shared" si="447"/>
        <v>180.7</v>
      </c>
      <c r="CJ1662" s="243">
        <f t="shared" si="448"/>
        <v>2.2569581525609319</v>
      </c>
      <c r="CK1662" s="38">
        <f t="shared" si="453"/>
        <v>0.36310885431249018</v>
      </c>
      <c r="CL1662" s="247">
        <f t="shared" si="449"/>
        <v>0.46707416646644079</v>
      </c>
      <c r="CM1662" s="247"/>
      <c r="CN1662" s="247"/>
      <c r="CO1662" s="36"/>
      <c r="CP1662" s="36" t="s">
        <v>1553</v>
      </c>
      <c r="CQ1662" s="241">
        <v>2.1268344056048116</v>
      </c>
      <c r="CR1662" s="241">
        <f t="shared" si="443"/>
        <v>1.3493473080039131</v>
      </c>
      <c r="CS1662" s="33"/>
      <c r="CT1662" s="33"/>
      <c r="CU1662" s="250">
        <f t="shared" si="450"/>
        <v>95.2829599003569</v>
      </c>
      <c r="CV1662" s="337">
        <f t="shared" si="454"/>
        <v>74.074074074074076</v>
      </c>
      <c r="CW1662" s="330">
        <f t="shared" si="451"/>
        <v>1</v>
      </c>
      <c r="CX1662" s="330"/>
      <c r="CY1662" s="143" t="s">
        <v>6351</v>
      </c>
    </row>
    <row r="1663" spans="1:103" ht="11.25" customHeight="1" x14ac:dyDescent="0.2">
      <c r="A1663" s="72">
        <v>1661</v>
      </c>
      <c r="B1663" s="241">
        <v>535</v>
      </c>
      <c r="C1663" s="32" t="s">
        <v>504</v>
      </c>
      <c r="D1663" s="32"/>
      <c r="E1663" s="40"/>
      <c r="F1663" s="40" t="s">
        <v>1689</v>
      </c>
      <c r="G1663" s="242">
        <v>67685</v>
      </c>
      <c r="H1663" s="36" t="s">
        <v>505</v>
      </c>
      <c r="I1663" s="36" t="s">
        <v>505</v>
      </c>
      <c r="J1663" s="36" t="s">
        <v>506</v>
      </c>
      <c r="K1663" s="36" t="s">
        <v>426</v>
      </c>
      <c r="L1663" s="42" t="s">
        <v>279</v>
      </c>
      <c r="M1663" s="36" t="s">
        <v>507</v>
      </c>
      <c r="N1663" s="36" t="s">
        <v>6082</v>
      </c>
      <c r="O1663" s="36" t="s">
        <v>281</v>
      </c>
      <c r="P1663" s="41"/>
      <c r="Q1663" s="41" t="s">
        <v>6173</v>
      </c>
      <c r="R1663" s="41" t="s">
        <v>6185</v>
      </c>
      <c r="S1663" s="41" t="s">
        <v>6176</v>
      </c>
      <c r="T1663" s="40">
        <v>78.13</v>
      </c>
      <c r="U1663" s="263">
        <v>12799.180852425445</v>
      </c>
      <c r="V1663" s="263">
        <v>12799.180852425445</v>
      </c>
      <c r="W1663" s="263">
        <v>12882.495516931347</v>
      </c>
      <c r="X1663" s="263">
        <v>12799.180852425445</v>
      </c>
      <c r="Y1663" s="417">
        <v>7</v>
      </c>
      <c r="Z1663" s="40">
        <v>-1.22</v>
      </c>
      <c r="AA1663" s="40">
        <v>-1.35</v>
      </c>
      <c r="AB1663" s="40">
        <v>-0.67</v>
      </c>
      <c r="AC1663" s="40">
        <v>0.73660000000000003</v>
      </c>
      <c r="AD1663" s="40">
        <v>-0.91</v>
      </c>
      <c r="AE1663" s="40">
        <v>-1.35</v>
      </c>
      <c r="AF1663" s="40">
        <f t="shared" si="431"/>
        <v>-1.35</v>
      </c>
      <c r="AG1663" s="38">
        <v>-0.34</v>
      </c>
      <c r="AH1663" s="243">
        <v>4.9600000000000001E-8</v>
      </c>
      <c r="AI1663" s="243">
        <v>1.51E-9</v>
      </c>
      <c r="AJ1663" s="34">
        <f t="shared" si="435"/>
        <v>-5.6930846498224543</v>
      </c>
      <c r="AK1663" s="34">
        <f t="shared" si="452"/>
        <v>-7.2095893790194827</v>
      </c>
      <c r="AL1663" s="34">
        <f t="shared" si="436"/>
        <v>-7.2095893790194827</v>
      </c>
      <c r="AM1663" s="34">
        <v>-7.0543600000000009</v>
      </c>
      <c r="AN1663" s="244">
        <v>2.0099999999999998</v>
      </c>
      <c r="AO1663" s="417"/>
      <c r="AP1663" s="417"/>
      <c r="AQ1663" s="244" t="s">
        <v>6311</v>
      </c>
      <c r="AR1663" s="244" t="s">
        <v>6311</v>
      </c>
      <c r="AS1663" s="241" t="s">
        <v>282</v>
      </c>
      <c r="AT1663" s="39" t="s">
        <v>266</v>
      </c>
      <c r="AU1663" s="37">
        <v>2</v>
      </c>
      <c r="AV1663" s="37">
        <v>48</v>
      </c>
      <c r="AW1663" s="37">
        <v>48</v>
      </c>
      <c r="AX1663" s="37">
        <v>26</v>
      </c>
      <c r="AY1663" s="37" t="s">
        <v>647</v>
      </c>
      <c r="AZ1663" s="37" t="s">
        <v>536</v>
      </c>
      <c r="BA1663" s="37">
        <v>20</v>
      </c>
      <c r="BB1663" s="36" t="s">
        <v>537</v>
      </c>
      <c r="BC1663" s="36" t="s">
        <v>538</v>
      </c>
      <c r="BD1663" s="36"/>
      <c r="BE1663" s="37" t="s">
        <v>271</v>
      </c>
      <c r="BF1663" s="37" t="s">
        <v>539</v>
      </c>
      <c r="BG1663" s="37" t="s">
        <v>539</v>
      </c>
      <c r="BH1663" s="37" t="s">
        <v>272</v>
      </c>
      <c r="BI1663" s="248">
        <v>255.9836170485089</v>
      </c>
      <c r="BJ1663" s="248">
        <v>531.16600537565603</v>
      </c>
      <c r="BK1663" s="37"/>
      <c r="BL1663" s="243">
        <f t="shared" si="434"/>
        <v>640.44523678545966</v>
      </c>
      <c r="BM1663" s="37" t="s">
        <v>1552</v>
      </c>
      <c r="BN1663" s="37"/>
      <c r="BO1663" s="37">
        <v>372.45616280558045</v>
      </c>
      <c r="BP1663" s="37"/>
      <c r="BQ1663" s="37"/>
      <c r="BR1663" s="37"/>
      <c r="BS1663" s="37"/>
      <c r="BT1663" s="37"/>
      <c r="BU1663" s="246"/>
      <c r="BV1663" s="37"/>
      <c r="BW1663" s="37"/>
      <c r="BX1663" s="37"/>
      <c r="BY1663" s="37"/>
      <c r="BZ1663" s="37"/>
      <c r="CA1663" s="37"/>
      <c r="CB1663" s="37"/>
      <c r="CC1663" s="37"/>
      <c r="CD1663" s="37"/>
      <c r="CE1663" s="37"/>
      <c r="CF1663" s="37"/>
      <c r="CG1663" s="37"/>
      <c r="CH1663" s="37"/>
      <c r="CI1663" s="243">
        <f t="shared" si="447"/>
        <v>372.45616280558045</v>
      </c>
      <c r="CJ1663" s="243">
        <f t="shared" si="448"/>
        <v>2.5710751646763308</v>
      </c>
      <c r="CK1663" s="38">
        <f t="shared" si="453"/>
        <v>1.205734610844529</v>
      </c>
      <c r="CL1663" s="247">
        <f t="shared" si="449"/>
        <v>1.7195184312731258</v>
      </c>
      <c r="CM1663" s="247">
        <v>2.6392988237078003</v>
      </c>
      <c r="CN1663" s="247">
        <f>BJ1663/(10^CM1663)</f>
        <v>1.2187972024360159</v>
      </c>
      <c r="CO1663" s="36"/>
      <c r="CP1663" s="36" t="s">
        <v>1553</v>
      </c>
      <c r="CQ1663" s="241">
        <v>2.6570801842048413</v>
      </c>
      <c r="CR1663" s="241">
        <f t="shared" si="443"/>
        <v>0.82034206285045197</v>
      </c>
      <c r="CS1663" s="33"/>
      <c r="CT1663" s="33"/>
      <c r="CU1663" s="250">
        <f t="shared" si="450"/>
        <v>34.364261168384878</v>
      </c>
      <c r="CV1663" s="337">
        <f t="shared" si="454"/>
        <v>24.096385542168672</v>
      </c>
      <c r="CW1663" s="330">
        <f t="shared" si="451"/>
        <v>1</v>
      </c>
      <c r="CX1663" s="330"/>
      <c r="CY1663" s="143" t="s">
        <v>6351</v>
      </c>
    </row>
    <row r="1664" spans="1:103" ht="11.25" customHeight="1" x14ac:dyDescent="0.2">
      <c r="A1664" s="72">
        <v>1662</v>
      </c>
      <c r="B1664" s="241">
        <v>122</v>
      </c>
      <c r="C1664" s="32" t="s">
        <v>7625</v>
      </c>
      <c r="D1664" s="32"/>
      <c r="E1664" s="40"/>
      <c r="F1664" s="40" t="s">
        <v>733</v>
      </c>
      <c r="G1664" s="242">
        <v>68122</v>
      </c>
      <c r="H1664" s="36" t="s">
        <v>734</v>
      </c>
      <c r="I1664" s="36" t="s">
        <v>734</v>
      </c>
      <c r="J1664" s="36" t="s">
        <v>735</v>
      </c>
      <c r="K1664" s="36" t="s">
        <v>471</v>
      </c>
      <c r="L1664" s="36" t="s">
        <v>5527</v>
      </c>
      <c r="M1664" s="36"/>
      <c r="N1664" s="36"/>
      <c r="O1664" s="36"/>
      <c r="P1664" s="41"/>
      <c r="Q1664" s="41"/>
      <c r="R1664" s="41"/>
      <c r="S1664" s="41"/>
      <c r="T1664" s="37">
        <v>73.09</v>
      </c>
      <c r="U1664" s="243">
        <v>13681.762210972773</v>
      </c>
      <c r="V1664" s="243">
        <v>13379.395266110274</v>
      </c>
      <c r="W1664" s="243">
        <v>13803.842646028852</v>
      </c>
      <c r="X1664" s="243">
        <v>13681.762210972773</v>
      </c>
      <c r="Y1664" s="414">
        <v>7.39</v>
      </c>
      <c r="Z1664" s="37">
        <v>-0.93</v>
      </c>
      <c r="AA1664" s="37">
        <v>-1.01</v>
      </c>
      <c r="AB1664" s="37">
        <v>-0.7</v>
      </c>
      <c r="AC1664" s="37">
        <v>0.86360000000000003</v>
      </c>
      <c r="AD1664" s="37">
        <v>-0.78</v>
      </c>
      <c r="AE1664" s="37">
        <v>-1.01</v>
      </c>
      <c r="AF1664" s="37">
        <f t="shared" si="431"/>
        <v>-1.01</v>
      </c>
      <c r="AG1664" s="38">
        <v>-0.09</v>
      </c>
      <c r="AH1664" s="243">
        <v>7.3799999999999999E-8</v>
      </c>
      <c r="AI1664" s="243">
        <v>7.3900000000000007E-8</v>
      </c>
      <c r="AJ1664" s="34">
        <f t="shared" si="435"/>
        <v>-5.5205099644896105</v>
      </c>
      <c r="AK1664" s="34">
        <f t="shared" si="452"/>
        <v>-5.5199218879178265</v>
      </c>
      <c r="AL1664" s="34">
        <f t="shared" si="436"/>
        <v>-5.5199218879178265</v>
      </c>
      <c r="AM1664" s="34">
        <v>-5.7034300000000009</v>
      </c>
      <c r="AN1664" s="244">
        <v>-5.99</v>
      </c>
      <c r="AO1664" s="417"/>
      <c r="AP1664" s="417">
        <v>-0.44</v>
      </c>
      <c r="AQ1664" s="244" t="s">
        <v>6311</v>
      </c>
      <c r="AR1664" s="244" t="s">
        <v>6311</v>
      </c>
      <c r="AS1664" s="241" t="s">
        <v>87</v>
      </c>
      <c r="AT1664" s="39" t="s">
        <v>266</v>
      </c>
      <c r="AU1664" s="37">
        <v>0</v>
      </c>
      <c r="AV1664" s="37" t="s">
        <v>646</v>
      </c>
      <c r="AW1664" s="37" t="s">
        <v>646</v>
      </c>
      <c r="AX1664" s="37">
        <v>26</v>
      </c>
      <c r="AY1664" s="37" t="s">
        <v>647</v>
      </c>
      <c r="AZ1664" s="37" t="s">
        <v>536</v>
      </c>
      <c r="BA1664" s="37">
        <v>20</v>
      </c>
      <c r="BB1664" s="36" t="s">
        <v>537</v>
      </c>
      <c r="BC1664" s="36" t="s">
        <v>648</v>
      </c>
      <c r="BD1664" s="36"/>
      <c r="BE1664" s="245" t="s">
        <v>649</v>
      </c>
      <c r="BF1664" s="245" t="s">
        <v>650</v>
      </c>
      <c r="BG1664" s="245" t="s">
        <v>540</v>
      </c>
      <c r="BH1664" s="245" t="s">
        <v>272</v>
      </c>
      <c r="BI1664" s="243">
        <v>54.7</v>
      </c>
      <c r="BJ1664" s="243">
        <v>156.30000000000001</v>
      </c>
      <c r="BK1664" s="37"/>
      <c r="BL1664" s="243">
        <f t="shared" si="434"/>
        <v>351.58715497161631</v>
      </c>
      <c r="BM1664" s="37" t="s">
        <v>541</v>
      </c>
      <c r="BN1664" s="37"/>
      <c r="BO1664" s="37">
        <v>137.1</v>
      </c>
      <c r="BP1664" s="37"/>
      <c r="BQ1664" s="37"/>
      <c r="BR1664" s="37"/>
      <c r="BS1664" s="37"/>
      <c r="BT1664" s="37"/>
      <c r="BU1664" s="246"/>
      <c r="BV1664" s="37"/>
      <c r="BW1664" s="37"/>
      <c r="BX1664" s="37"/>
      <c r="BY1664" s="37"/>
      <c r="BZ1664" s="37"/>
      <c r="CA1664" s="37"/>
      <c r="CB1664" s="37"/>
      <c r="CC1664" s="37"/>
      <c r="CD1664" s="37"/>
      <c r="CE1664" s="37"/>
      <c r="CF1664" s="37"/>
      <c r="CG1664" s="37"/>
      <c r="CH1664" s="37"/>
      <c r="CI1664" s="243">
        <f t="shared" si="447"/>
        <v>137.1</v>
      </c>
      <c r="CJ1664" s="243">
        <f t="shared" si="448"/>
        <v>2.1370374547895126</v>
      </c>
      <c r="CK1664" s="38">
        <f t="shared" si="453"/>
        <v>2.2494379716674109</v>
      </c>
      <c r="CL1664" s="247">
        <f t="shared" si="449"/>
        <v>2.5644577313757573</v>
      </c>
      <c r="CM1664" s="247"/>
      <c r="CN1664" s="247"/>
      <c r="CO1664" s="36"/>
      <c r="CP1664" s="36" t="s">
        <v>651</v>
      </c>
      <c r="CQ1664" s="241">
        <v>2.1371748040844403</v>
      </c>
      <c r="CR1664" s="241">
        <f t="shared" si="443"/>
        <v>0.99968379156539477</v>
      </c>
      <c r="CS1664" s="33"/>
      <c r="CT1664" s="33"/>
      <c r="CU1664" s="250">
        <f t="shared" si="450"/>
        <v>99.79403509097574</v>
      </c>
      <c r="CV1664" s="337">
        <f t="shared" si="454"/>
        <v>87.535266864828998</v>
      </c>
      <c r="CW1664" s="330">
        <f t="shared" si="451"/>
        <v>1</v>
      </c>
      <c r="CX1664" s="330"/>
      <c r="CY1664" s="143" t="s">
        <v>6351</v>
      </c>
    </row>
    <row r="1665" spans="1:103" ht="11.25" customHeight="1" x14ac:dyDescent="0.2">
      <c r="A1665" s="72">
        <v>1663</v>
      </c>
      <c r="B1665" s="241">
        <v>532</v>
      </c>
      <c r="C1665" s="32" t="s">
        <v>7625</v>
      </c>
      <c r="D1665" s="32"/>
      <c r="E1665" s="40"/>
      <c r="F1665" s="40" t="s">
        <v>733</v>
      </c>
      <c r="G1665" s="242">
        <v>68122</v>
      </c>
      <c r="H1665" s="36" t="s">
        <v>734</v>
      </c>
      <c r="I1665" s="36" t="s">
        <v>734</v>
      </c>
      <c r="J1665" s="36" t="s">
        <v>735</v>
      </c>
      <c r="K1665" s="36" t="s">
        <v>471</v>
      </c>
      <c r="L1665" s="36" t="s">
        <v>5527</v>
      </c>
      <c r="M1665" s="36"/>
      <c r="N1665" s="36"/>
      <c r="O1665" s="36"/>
      <c r="P1665" s="41"/>
      <c r="Q1665" s="41"/>
      <c r="R1665" s="41"/>
      <c r="S1665" s="41"/>
      <c r="T1665" s="37">
        <v>73.09</v>
      </c>
      <c r="U1665" s="243">
        <v>13681.762210972773</v>
      </c>
      <c r="V1665" s="243">
        <v>13379.395266110274</v>
      </c>
      <c r="W1665" s="243">
        <v>13803.842646028852</v>
      </c>
      <c r="X1665" s="243">
        <v>13681.762210972773</v>
      </c>
      <c r="Y1665" s="414">
        <v>7.39</v>
      </c>
      <c r="Z1665" s="37">
        <v>-0.93</v>
      </c>
      <c r="AA1665" s="37">
        <v>-1.01</v>
      </c>
      <c r="AB1665" s="37">
        <v>-0.7</v>
      </c>
      <c r="AC1665" s="37">
        <v>0.86360000000000003</v>
      </c>
      <c r="AD1665" s="37">
        <v>-0.78</v>
      </c>
      <c r="AE1665" s="37">
        <v>-1.01</v>
      </c>
      <c r="AF1665" s="37">
        <f t="shared" si="431"/>
        <v>-1.01</v>
      </c>
      <c r="AG1665" s="38">
        <v>-0.09</v>
      </c>
      <c r="AH1665" s="243">
        <v>7.3799999999999999E-8</v>
      </c>
      <c r="AI1665" s="243">
        <v>7.3900000000000007E-8</v>
      </c>
      <c r="AJ1665" s="34">
        <f t="shared" si="435"/>
        <v>-5.5205099644896105</v>
      </c>
      <c r="AK1665" s="34">
        <f t="shared" si="452"/>
        <v>-5.5199218879178265</v>
      </c>
      <c r="AL1665" s="34">
        <f t="shared" si="436"/>
        <v>-5.5199218879178265</v>
      </c>
      <c r="AM1665" s="34">
        <v>-5.7034300000000009</v>
      </c>
      <c r="AN1665" s="244">
        <v>-5.99</v>
      </c>
      <c r="AO1665" s="417"/>
      <c r="AP1665" s="417">
        <v>-0.44</v>
      </c>
      <c r="AQ1665" s="244" t="s">
        <v>6311</v>
      </c>
      <c r="AR1665" s="244" t="s">
        <v>6311</v>
      </c>
      <c r="AS1665" s="241" t="s">
        <v>87</v>
      </c>
      <c r="AT1665" s="39" t="s">
        <v>266</v>
      </c>
      <c r="AU1665" s="37">
        <v>2</v>
      </c>
      <c r="AV1665" s="37">
        <v>48</v>
      </c>
      <c r="AW1665" s="37">
        <v>48</v>
      </c>
      <c r="AX1665" s="37">
        <v>25</v>
      </c>
      <c r="AY1665" s="37" t="s">
        <v>8722</v>
      </c>
      <c r="AZ1665" s="37" t="s">
        <v>1682</v>
      </c>
      <c r="BA1665" s="37">
        <v>12</v>
      </c>
      <c r="BB1665" s="36" t="s">
        <v>888</v>
      </c>
      <c r="BC1665" s="36" t="s">
        <v>538</v>
      </c>
      <c r="BD1665" s="36"/>
      <c r="BE1665" s="37" t="s">
        <v>271</v>
      </c>
      <c r="BF1665" s="37" t="s">
        <v>272</v>
      </c>
      <c r="BG1665" s="37" t="s">
        <v>1683</v>
      </c>
      <c r="BH1665" s="37" t="s">
        <v>272</v>
      </c>
      <c r="BI1665" s="243">
        <v>15</v>
      </c>
      <c r="BJ1665" s="243">
        <v>230</v>
      </c>
      <c r="BK1665" s="37"/>
      <c r="BL1665" s="243">
        <f t="shared" si="434"/>
        <v>351.58715497161631</v>
      </c>
      <c r="BM1665" s="37">
        <v>0</v>
      </c>
      <c r="BN1665" s="37"/>
      <c r="BO1665" s="37">
        <v>121</v>
      </c>
      <c r="BP1665" s="37"/>
      <c r="BQ1665" s="37"/>
      <c r="BR1665" s="37"/>
      <c r="BS1665" s="37"/>
      <c r="BT1665" s="37"/>
      <c r="BU1665" s="246"/>
      <c r="BV1665" s="37"/>
      <c r="BW1665" s="37"/>
      <c r="BX1665" s="37"/>
      <c r="BY1665" s="37"/>
      <c r="BZ1665" s="37"/>
      <c r="CA1665" s="37"/>
      <c r="CB1665" s="37"/>
      <c r="CC1665" s="37"/>
      <c r="CD1665" s="37"/>
      <c r="CE1665" s="37"/>
      <c r="CF1665" s="37"/>
      <c r="CG1665" s="37"/>
      <c r="CH1665" s="37"/>
      <c r="CI1665" s="243">
        <f t="shared" si="447"/>
        <v>121</v>
      </c>
      <c r="CJ1665" s="243">
        <f t="shared" si="448"/>
        <v>2.0827853703164503</v>
      </c>
      <c r="CK1665" s="38">
        <f t="shared" si="453"/>
        <v>1.5286398042244187</v>
      </c>
      <c r="CL1665" s="247">
        <f t="shared" si="449"/>
        <v>2.9056789667075726</v>
      </c>
      <c r="CM1665" s="247"/>
      <c r="CN1665" s="247"/>
      <c r="CO1665" s="36"/>
      <c r="CP1665" s="36" t="s">
        <v>1684</v>
      </c>
      <c r="CQ1665" s="241">
        <v>2.1371748040844403</v>
      </c>
      <c r="CR1665" s="241">
        <f t="shared" si="443"/>
        <v>0.88228839372292378</v>
      </c>
      <c r="CS1665" s="33"/>
      <c r="CT1665" s="33"/>
      <c r="CU1665" s="250">
        <f t="shared" si="450"/>
        <v>113.07241496671713</v>
      </c>
      <c r="CV1665" s="337">
        <f t="shared" si="454"/>
        <v>59.485922656403361</v>
      </c>
      <c r="CW1665" s="330">
        <f t="shared" si="451"/>
        <v>1</v>
      </c>
      <c r="CX1665" s="330"/>
      <c r="CY1665" s="143" t="s">
        <v>6351</v>
      </c>
    </row>
    <row r="1666" spans="1:103" ht="11.25" customHeight="1" x14ac:dyDescent="0.2">
      <c r="A1666" s="72">
        <v>1664</v>
      </c>
      <c r="B1666" s="241">
        <v>98</v>
      </c>
      <c r="C1666" s="32" t="s">
        <v>7626</v>
      </c>
      <c r="D1666" s="32"/>
      <c r="E1666" s="40"/>
      <c r="F1666" s="40" t="s">
        <v>656</v>
      </c>
      <c r="G1666" s="242">
        <v>68268</v>
      </c>
      <c r="H1666" s="36" t="s">
        <v>657</v>
      </c>
      <c r="I1666" s="36" t="s">
        <v>657</v>
      </c>
      <c r="J1666" s="36" t="s">
        <v>658</v>
      </c>
      <c r="K1666" s="36" t="s">
        <v>659</v>
      </c>
      <c r="L1666" s="42" t="s">
        <v>279</v>
      </c>
      <c r="M1666" s="36" t="s">
        <v>660</v>
      </c>
      <c r="N1666" s="36" t="s">
        <v>6383</v>
      </c>
      <c r="O1666" s="36" t="s">
        <v>281</v>
      </c>
      <c r="P1666" s="41"/>
      <c r="Q1666" s="41"/>
      <c r="R1666" s="41"/>
      <c r="S1666" s="41"/>
      <c r="T1666" s="37">
        <v>286.45</v>
      </c>
      <c r="U1666" s="243"/>
      <c r="V1666" s="243">
        <v>2.3435154477221155E-3</v>
      </c>
      <c r="W1666" s="243">
        <v>1.3803842646028822E-4</v>
      </c>
      <c r="X1666" s="243">
        <f>IF(W1666=0,V1666,W1666)</f>
        <v>1.3803842646028822E-4</v>
      </c>
      <c r="Y1666" s="414">
        <v>7</v>
      </c>
      <c r="Z1666" s="37">
        <v>7.62</v>
      </c>
      <c r="AA1666" s="37">
        <v>5.68</v>
      </c>
      <c r="AB1666" s="37">
        <v>5.66</v>
      </c>
      <c r="AC1666" s="37">
        <v>0.80779999999999996</v>
      </c>
      <c r="AD1666" s="37">
        <v>6.01</v>
      </c>
      <c r="AE1666" s="37">
        <v>6.84</v>
      </c>
      <c r="AF1666" s="37">
        <f t="shared" si="431"/>
        <v>5.68</v>
      </c>
      <c r="AG1666" s="38">
        <v>5.97</v>
      </c>
      <c r="AH1666" s="243">
        <v>1.16E-4</v>
      </c>
      <c r="AI1666" s="243"/>
      <c r="AJ1666" s="34">
        <f t="shared" si="435"/>
        <v>-2.3241083370857334</v>
      </c>
      <c r="AK1666" s="34"/>
      <c r="AL1666" s="34">
        <f t="shared" si="436"/>
        <v>-2.3241083370857334</v>
      </c>
      <c r="AM1666" s="34">
        <v>-8.7534200000000002</v>
      </c>
      <c r="AN1666" s="244">
        <v>-6.03</v>
      </c>
      <c r="AO1666" s="417">
        <v>14.09</v>
      </c>
      <c r="AP1666" s="417"/>
      <c r="AQ1666" s="244" t="s">
        <v>6311</v>
      </c>
      <c r="AR1666" s="244" t="s">
        <v>6311</v>
      </c>
      <c r="AS1666" s="241" t="s">
        <v>6</v>
      </c>
      <c r="AT1666" s="39" t="s">
        <v>266</v>
      </c>
      <c r="AU1666" s="37">
        <v>0</v>
      </c>
      <c r="AV1666" s="37" t="s">
        <v>646</v>
      </c>
      <c r="AW1666" s="37" t="s">
        <v>646</v>
      </c>
      <c r="AX1666" s="37">
        <v>26</v>
      </c>
      <c r="AY1666" s="37" t="s">
        <v>647</v>
      </c>
      <c r="AZ1666" s="37" t="s">
        <v>536</v>
      </c>
      <c r="BA1666" s="37">
        <v>20</v>
      </c>
      <c r="BB1666" s="36" t="s">
        <v>537</v>
      </c>
      <c r="BC1666" s="36" t="s">
        <v>648</v>
      </c>
      <c r="BD1666" s="36"/>
      <c r="BE1666" s="245" t="s">
        <v>649</v>
      </c>
      <c r="BF1666" s="245" t="s">
        <v>650</v>
      </c>
      <c r="BG1666" s="245" t="s">
        <v>540</v>
      </c>
      <c r="BH1666" s="245" t="s">
        <v>272</v>
      </c>
      <c r="BI1666" s="243">
        <v>4.1999999999999998E-5</v>
      </c>
      <c r="BJ1666" s="243">
        <v>3.4910000000000002E-3</v>
      </c>
      <c r="BK1666" s="37"/>
      <c r="BL1666" s="243">
        <f t="shared" si="434"/>
        <v>7.3667850825572683E-6</v>
      </c>
      <c r="BM1666" s="37" t="s">
        <v>541</v>
      </c>
      <c r="BN1666" s="37"/>
      <c r="BO1666" s="37">
        <v>2.0999999999999999E-3</v>
      </c>
      <c r="BP1666" s="37"/>
      <c r="BQ1666" s="37"/>
      <c r="BR1666" s="37"/>
      <c r="BS1666" s="37"/>
      <c r="BT1666" s="37"/>
      <c r="BU1666" s="246"/>
      <c r="BV1666" s="37"/>
      <c r="BW1666" s="37"/>
      <c r="BX1666" s="37"/>
      <c r="BY1666" s="37"/>
      <c r="BZ1666" s="37"/>
      <c r="CA1666" s="37"/>
      <c r="CB1666" s="37"/>
      <c r="CC1666" s="37"/>
      <c r="CD1666" s="37"/>
      <c r="CE1666" s="37"/>
      <c r="CF1666" s="37"/>
      <c r="CG1666" s="37"/>
      <c r="CH1666" s="37"/>
      <c r="CI1666" s="243">
        <f t="shared" si="447"/>
        <v>2.0999999999999999E-3</v>
      </c>
      <c r="CJ1666" s="243">
        <f t="shared" si="448"/>
        <v>-2.6777807052660809</v>
      </c>
      <c r="CK1666" s="38">
        <f t="shared" si="453"/>
        <v>2.1102220230756999E-3</v>
      </c>
      <c r="CL1666" s="247">
        <f t="shared" si="449"/>
        <v>3.5079928964558424E-3</v>
      </c>
      <c r="CM1666" s="247"/>
      <c r="CN1666" s="247"/>
      <c r="CO1666" s="36"/>
      <c r="CP1666" s="36" t="s">
        <v>651</v>
      </c>
      <c r="CQ1666" s="241">
        <v>-1.2501403663679265</v>
      </c>
      <c r="CR1666" s="241">
        <f t="shared" si="443"/>
        <v>3.7355939305171351E-2</v>
      </c>
      <c r="CS1666" s="33"/>
      <c r="CT1666" s="33"/>
      <c r="CU1666" s="250">
        <f t="shared" si="450"/>
        <v>6.5732584028708685E-2</v>
      </c>
      <c r="CV1666" s="337">
        <f t="shared" si="454"/>
        <v>3.9541227860294535E-2</v>
      </c>
      <c r="CW1666" s="330">
        <f t="shared" si="451"/>
        <v>0</v>
      </c>
      <c r="CX1666" s="330"/>
      <c r="CY1666" s="143" t="s">
        <v>6351</v>
      </c>
    </row>
    <row r="1667" spans="1:103" ht="11.25" customHeight="1" x14ac:dyDescent="0.2">
      <c r="A1667" s="72">
        <v>1665</v>
      </c>
      <c r="B1667" s="241">
        <v>116</v>
      </c>
      <c r="C1667" s="32" t="s">
        <v>7627</v>
      </c>
      <c r="D1667" s="32"/>
      <c r="E1667" s="40"/>
      <c r="F1667" s="40" t="s">
        <v>711</v>
      </c>
      <c r="G1667" s="242">
        <v>69578</v>
      </c>
      <c r="H1667" s="36" t="s">
        <v>712</v>
      </c>
      <c r="I1667" s="36" t="s">
        <v>712</v>
      </c>
      <c r="J1667" s="36" t="s">
        <v>713</v>
      </c>
      <c r="K1667" s="36" t="s">
        <v>471</v>
      </c>
      <c r="L1667" s="36"/>
      <c r="M1667" s="36"/>
      <c r="N1667" s="36"/>
      <c r="O1667" s="36"/>
      <c r="P1667" s="41"/>
      <c r="Q1667" s="41"/>
      <c r="R1667" s="41"/>
      <c r="S1667" s="41"/>
      <c r="T1667" s="37">
        <v>334.39</v>
      </c>
      <c r="U1667" s="243"/>
      <c r="V1667" s="243">
        <v>0.62920541882233327</v>
      </c>
      <c r="W1667" s="243">
        <v>2.3988329190194886</v>
      </c>
      <c r="X1667" s="243">
        <f>IF(W1667=0,V1667,W1667)</f>
        <v>2.3988329190194886</v>
      </c>
      <c r="Y1667" s="414">
        <v>2.79</v>
      </c>
      <c r="Z1667" s="37">
        <v>1.85</v>
      </c>
      <c r="AA1667" s="37">
        <v>1.83</v>
      </c>
      <c r="AB1667" s="37">
        <v>2.14</v>
      </c>
      <c r="AC1667" s="37">
        <v>0.87660000000000005</v>
      </c>
      <c r="AD1667" s="37">
        <v>2.02</v>
      </c>
      <c r="AE1667" s="37">
        <v>1.67</v>
      </c>
      <c r="AF1667" s="37">
        <f t="shared" si="431"/>
        <v>1.83</v>
      </c>
      <c r="AG1667" s="38">
        <v>2.02</v>
      </c>
      <c r="AH1667" s="243">
        <v>1.1600000000000001E-14</v>
      </c>
      <c r="AI1667" s="243"/>
      <c r="AJ1667" s="34">
        <f t="shared" si="435"/>
        <v>-12.324108337085733</v>
      </c>
      <c r="AK1667" s="34"/>
      <c r="AL1667" s="34">
        <f t="shared" si="436"/>
        <v>-12.324108337085733</v>
      </c>
      <c r="AM1667" s="34">
        <v>-24.348099999999999</v>
      </c>
      <c r="AN1667" s="244"/>
      <c r="AO1667" s="417">
        <v>2.4500000000000002</v>
      </c>
      <c r="AP1667" s="417">
        <v>-1.32</v>
      </c>
      <c r="AQ1667" s="244" t="s">
        <v>6311</v>
      </c>
      <c r="AR1667" s="244" t="s">
        <v>6311</v>
      </c>
      <c r="AS1667" s="241" t="s">
        <v>6</v>
      </c>
      <c r="AT1667" s="39" t="s">
        <v>266</v>
      </c>
      <c r="AU1667" s="37">
        <v>0</v>
      </c>
      <c r="AV1667" s="37" t="s">
        <v>646</v>
      </c>
      <c r="AW1667" s="37" t="s">
        <v>646</v>
      </c>
      <c r="AX1667" s="37">
        <v>26</v>
      </c>
      <c r="AY1667" s="37" t="s">
        <v>647</v>
      </c>
      <c r="AZ1667" s="37" t="s">
        <v>536</v>
      </c>
      <c r="BA1667" s="37">
        <v>20</v>
      </c>
      <c r="BB1667" s="36" t="s">
        <v>537</v>
      </c>
      <c r="BC1667" s="36" t="s">
        <v>648</v>
      </c>
      <c r="BD1667" s="36"/>
      <c r="BE1667" s="245" t="s">
        <v>649</v>
      </c>
      <c r="BF1667" s="245" t="s">
        <v>650</v>
      </c>
      <c r="BG1667" s="245" t="s">
        <v>540</v>
      </c>
      <c r="BH1667" s="245" t="s">
        <v>272</v>
      </c>
      <c r="BI1667" s="243">
        <v>5.5</v>
      </c>
      <c r="BJ1667" s="243">
        <v>28</v>
      </c>
      <c r="BK1667" s="37"/>
      <c r="BL1667" s="243">
        <f t="shared" si="434"/>
        <v>1.1202501223054133</v>
      </c>
      <c r="BM1667" s="37" t="s">
        <v>541</v>
      </c>
      <c r="BN1667" s="37"/>
      <c r="BO1667" s="37">
        <v>15.3</v>
      </c>
      <c r="BP1667" s="37"/>
      <c r="BQ1667" s="37"/>
      <c r="BR1667" s="37"/>
      <c r="BS1667" s="37"/>
      <c r="BT1667" s="37"/>
      <c r="BU1667" s="246"/>
      <c r="BV1667" s="37"/>
      <c r="BW1667" s="37"/>
      <c r="BX1667" s="37"/>
      <c r="BY1667" s="37"/>
      <c r="BZ1667" s="37"/>
      <c r="CA1667" s="37"/>
      <c r="CB1667" s="37"/>
      <c r="CC1667" s="37"/>
      <c r="CD1667" s="37"/>
      <c r="CE1667" s="37"/>
      <c r="CF1667" s="37"/>
      <c r="CG1667" s="37"/>
      <c r="CH1667" s="37"/>
      <c r="CI1667" s="243">
        <f t="shared" si="447"/>
        <v>15.3</v>
      </c>
      <c r="CJ1667" s="243">
        <f t="shared" si="448"/>
        <v>1.1846914308175989</v>
      </c>
      <c r="CK1667" s="38">
        <f t="shared" si="453"/>
        <v>4.0008932939479047E-2</v>
      </c>
      <c r="CL1667" s="247">
        <f t="shared" si="449"/>
        <v>7.3218962242183869E-2</v>
      </c>
      <c r="CM1667" s="247"/>
      <c r="CN1667" s="247"/>
      <c r="CO1667" s="36"/>
      <c r="CP1667" s="36" t="s">
        <v>651</v>
      </c>
      <c r="CQ1667" s="241" t="s">
        <v>272</v>
      </c>
      <c r="CR1667" s="241"/>
      <c r="CS1667" s="33"/>
      <c r="CT1667" s="33"/>
      <c r="CU1667" s="250">
        <f t="shared" si="450"/>
        <v>0.15678646529539139</v>
      </c>
      <c r="CV1667" s="337">
        <f t="shared" si="454"/>
        <v>8.5672604250696019E-2</v>
      </c>
      <c r="CW1667" s="330">
        <f t="shared" si="451"/>
        <v>0</v>
      </c>
      <c r="CX1667" s="330"/>
      <c r="CY1667" s="143" t="s">
        <v>5921</v>
      </c>
    </row>
    <row r="1668" spans="1:103" ht="11.25" customHeight="1" x14ac:dyDescent="0.2">
      <c r="A1668" s="72">
        <v>1666</v>
      </c>
      <c r="B1668" s="241">
        <v>131</v>
      </c>
      <c r="C1668" s="32" t="s">
        <v>7000</v>
      </c>
      <c r="D1668" s="32"/>
      <c r="E1668" s="40"/>
      <c r="F1668" s="40" t="s">
        <v>759</v>
      </c>
      <c r="G1668" s="242">
        <v>69658</v>
      </c>
      <c r="H1668" s="36" t="s">
        <v>760</v>
      </c>
      <c r="I1668" s="36" t="s">
        <v>760</v>
      </c>
      <c r="J1668" s="36" t="s">
        <v>761</v>
      </c>
      <c r="K1668" s="36" t="s">
        <v>426</v>
      </c>
      <c r="L1668" s="42" t="s">
        <v>279</v>
      </c>
      <c r="M1668" s="36" t="s">
        <v>762</v>
      </c>
      <c r="N1668" s="36"/>
      <c r="O1668" s="36" t="s">
        <v>281</v>
      </c>
      <c r="P1668" s="41"/>
      <c r="Q1668" s="41"/>
      <c r="R1668" s="41"/>
      <c r="S1668" s="41"/>
      <c r="T1668" s="37">
        <v>182.17</v>
      </c>
      <c r="U1668" s="243">
        <v>170.17071965746283</v>
      </c>
      <c r="V1668" s="243">
        <v>5489.378053466543</v>
      </c>
      <c r="W1668" s="243">
        <v>5495.4087385762459</v>
      </c>
      <c r="X1668" s="243">
        <v>170.17071965746283</v>
      </c>
      <c r="Y1668" s="414">
        <v>6.07</v>
      </c>
      <c r="Z1668" s="37">
        <v>-3.01</v>
      </c>
      <c r="AA1668" s="37">
        <v>-3.1</v>
      </c>
      <c r="AB1668" s="37">
        <v>-2.97</v>
      </c>
      <c r="AC1668" s="37">
        <v>0.83179999999999998</v>
      </c>
      <c r="AD1668" s="37">
        <v>-3.29</v>
      </c>
      <c r="AE1668" s="37">
        <v>-4.67</v>
      </c>
      <c r="AF1668" s="37">
        <f t="shared" si="431"/>
        <v>-3.1</v>
      </c>
      <c r="AG1668" s="38">
        <v>-3.1</v>
      </c>
      <c r="AH1668" s="243">
        <v>7.2600000000000004E-13</v>
      </c>
      <c r="AI1668" s="243"/>
      <c r="AJ1668" s="34">
        <f t="shared" si="435"/>
        <v>-10.527629705612558</v>
      </c>
      <c r="AK1668" s="34"/>
      <c r="AL1668" s="34">
        <f t="shared" si="436"/>
        <v>-10.527629705612558</v>
      </c>
      <c r="AM1668" s="34">
        <v>-21.092560000000002</v>
      </c>
      <c r="AN1668" s="244">
        <v>-16</v>
      </c>
      <c r="AO1668" s="417">
        <v>13.14</v>
      </c>
      <c r="AP1668" s="417"/>
      <c r="AQ1668" s="244" t="s">
        <v>6311</v>
      </c>
      <c r="AR1668" s="244" t="s">
        <v>6311</v>
      </c>
      <c r="AS1668" s="241" t="s">
        <v>87</v>
      </c>
      <c r="AT1668" s="39" t="s">
        <v>266</v>
      </c>
      <c r="AU1668" s="37">
        <v>0</v>
      </c>
      <c r="AV1668" s="37" t="s">
        <v>646</v>
      </c>
      <c r="AW1668" s="37" t="s">
        <v>646</v>
      </c>
      <c r="AX1668" s="37">
        <v>26</v>
      </c>
      <c r="AY1668" s="37" t="s">
        <v>647</v>
      </c>
      <c r="AZ1668" s="37" t="s">
        <v>536</v>
      </c>
      <c r="BA1668" s="37">
        <v>20</v>
      </c>
      <c r="BB1668" s="36" t="s">
        <v>537</v>
      </c>
      <c r="BC1668" s="36" t="s">
        <v>648</v>
      </c>
      <c r="BD1668" s="36"/>
      <c r="BE1668" s="245" t="s">
        <v>649</v>
      </c>
      <c r="BF1668" s="245" t="s">
        <v>650</v>
      </c>
      <c r="BG1668" s="245" t="s">
        <v>540</v>
      </c>
      <c r="BH1668" s="245" t="s">
        <v>272</v>
      </c>
      <c r="BI1668" s="243">
        <v>109.8</v>
      </c>
      <c r="BJ1668" s="243">
        <v>421.7</v>
      </c>
      <c r="BK1668" s="37"/>
      <c r="BL1668" s="243">
        <f t="shared" si="434"/>
        <v>25946.632460588153</v>
      </c>
      <c r="BM1668" s="37" t="s">
        <v>541</v>
      </c>
      <c r="BN1668" s="37"/>
      <c r="BO1668" s="37">
        <v>426.9</v>
      </c>
      <c r="BP1668" s="37"/>
      <c r="BQ1668" s="37"/>
      <c r="BR1668" s="37"/>
      <c r="BS1668" s="37"/>
      <c r="BT1668" s="37"/>
      <c r="BU1668" s="246"/>
      <c r="BV1668" s="37"/>
      <c r="BW1668" s="37"/>
      <c r="BX1668" s="37"/>
      <c r="BY1668" s="37"/>
      <c r="BZ1668" s="37"/>
      <c r="CA1668" s="37"/>
      <c r="CB1668" s="37"/>
      <c r="CC1668" s="37"/>
      <c r="CD1668" s="37"/>
      <c r="CE1668" s="37"/>
      <c r="CF1668" s="37"/>
      <c r="CG1668" s="37"/>
      <c r="CH1668" s="37"/>
      <c r="CI1668" s="243">
        <f t="shared" si="447"/>
        <v>426.9</v>
      </c>
      <c r="CJ1668" s="243">
        <f t="shared" si="448"/>
        <v>2.6303261548039467</v>
      </c>
      <c r="CK1668" s="38">
        <f t="shared" si="453"/>
        <v>61.528651791767025</v>
      </c>
      <c r="CL1668" s="247">
        <f t="shared" si="449"/>
        <v>60.779181214776656</v>
      </c>
      <c r="CM1668" s="247"/>
      <c r="CN1668" s="247"/>
      <c r="CO1668" s="36"/>
      <c r="CP1668" s="36" t="s">
        <v>651</v>
      </c>
      <c r="CQ1668" s="241" t="s">
        <v>272</v>
      </c>
      <c r="CR1668" s="241"/>
      <c r="CS1668" s="33"/>
      <c r="CT1668" s="33"/>
      <c r="CU1668" s="250">
        <f t="shared" si="450"/>
        <v>0.3986196290875213</v>
      </c>
      <c r="CV1668" s="337">
        <f t="shared" si="454"/>
        <v>0.40353502408694053</v>
      </c>
      <c r="CW1668" s="330">
        <f t="shared" si="451"/>
        <v>0</v>
      </c>
      <c r="CX1668" s="330"/>
      <c r="CY1668" s="143" t="s">
        <v>5921</v>
      </c>
    </row>
    <row r="1669" spans="1:103" ht="11.25" customHeight="1" x14ac:dyDescent="0.2">
      <c r="A1669" s="72">
        <v>1667</v>
      </c>
      <c r="B1669" s="241">
        <v>1962</v>
      </c>
      <c r="C1669" s="32" t="s">
        <v>7628</v>
      </c>
      <c r="D1669" s="32"/>
      <c r="E1669" s="40"/>
      <c r="F1669" s="40" t="s">
        <v>5528</v>
      </c>
      <c r="G1669" s="242">
        <v>71432</v>
      </c>
      <c r="H1669" s="41" t="s">
        <v>5529</v>
      </c>
      <c r="I1669" s="41" t="s">
        <v>5529</v>
      </c>
      <c r="J1669" s="41" t="s">
        <v>5530</v>
      </c>
      <c r="K1669" s="41" t="s">
        <v>426</v>
      </c>
      <c r="L1669" s="41"/>
      <c r="M1669" s="41"/>
      <c r="N1669" s="36"/>
      <c r="O1669" s="41"/>
      <c r="P1669" s="41" t="s">
        <v>6183</v>
      </c>
      <c r="Q1669" s="41" t="s">
        <v>6176</v>
      </c>
      <c r="R1669" s="41" t="s">
        <v>6185</v>
      </c>
      <c r="S1669" s="41" t="s">
        <v>6182</v>
      </c>
      <c r="T1669" s="33">
        <v>78.11</v>
      </c>
      <c r="U1669" s="250">
        <v>22.916399948790168</v>
      </c>
      <c r="V1669" s="250">
        <v>25.604916143899629</v>
      </c>
      <c r="W1669" s="250">
        <v>10.96478196143185</v>
      </c>
      <c r="X1669" s="250">
        <v>22.916399948790168</v>
      </c>
      <c r="Y1669" s="415">
        <v>7</v>
      </c>
      <c r="Z1669" s="33">
        <v>1.99</v>
      </c>
      <c r="AA1669" s="33">
        <v>2.13</v>
      </c>
      <c r="AB1669" s="33">
        <v>1.98</v>
      </c>
      <c r="AC1669" s="33">
        <v>0.89549999999999996</v>
      </c>
      <c r="AD1669" s="33">
        <v>2.04</v>
      </c>
      <c r="AE1669" s="33">
        <v>2.2200000000000002</v>
      </c>
      <c r="AF1669" s="33">
        <f t="shared" si="431"/>
        <v>2.13</v>
      </c>
      <c r="AG1669" s="34">
        <v>2.04</v>
      </c>
      <c r="AH1669" s="250">
        <v>5.3899999999999998E-3</v>
      </c>
      <c r="AI1669" s="250">
        <v>5.5500000000000002E-3</v>
      </c>
      <c r="AJ1669" s="34">
        <f t="shared" si="435"/>
        <v>-0.6569775611259131</v>
      </c>
      <c r="AK1669" s="34">
        <f t="shared" ref="AK1669:AK1677" si="455">LOG10(AI1669*1000/(0.08206*298.15))</f>
        <v>-0.64427334318997553</v>
      </c>
      <c r="AL1669" s="34">
        <f t="shared" si="436"/>
        <v>-0.64427334318997553</v>
      </c>
      <c r="AM1669" s="34">
        <v>-2.2901499999999997</v>
      </c>
      <c r="AN1669" s="251"/>
      <c r="AO1669" s="417"/>
      <c r="AP1669" s="417"/>
      <c r="AQ1669" s="251" t="s">
        <v>6311</v>
      </c>
      <c r="AR1669" s="251" t="s">
        <v>6311</v>
      </c>
      <c r="AS1669" s="252" t="s">
        <v>5466</v>
      </c>
      <c r="AT1669" s="35" t="s">
        <v>266</v>
      </c>
      <c r="AU1669" s="33">
        <v>5.25</v>
      </c>
      <c r="AV1669" s="33">
        <v>48</v>
      </c>
      <c r="AW1669" s="33">
        <v>0.5</v>
      </c>
      <c r="AX1669" s="33">
        <v>26</v>
      </c>
      <c r="AY1669" s="253" t="s">
        <v>267</v>
      </c>
      <c r="AZ1669" s="33" t="s">
        <v>6220</v>
      </c>
      <c r="BA1669" s="262" t="s">
        <v>6224</v>
      </c>
      <c r="BB1669" s="41" t="s">
        <v>6221</v>
      </c>
      <c r="BC1669" s="41" t="s">
        <v>8380</v>
      </c>
      <c r="BD1669" s="41"/>
      <c r="BE1669" s="33" t="s">
        <v>2449</v>
      </c>
      <c r="BF1669" s="33" t="s">
        <v>6203</v>
      </c>
      <c r="BG1669" s="33" t="s">
        <v>6203</v>
      </c>
      <c r="BH1669" s="33" t="s">
        <v>6222</v>
      </c>
      <c r="BI1669" s="250">
        <v>1.2802458071949816E-6</v>
      </c>
      <c r="BJ1669" s="250">
        <v>0.12802458071949815</v>
      </c>
      <c r="BK1669" s="254"/>
      <c r="BL1669" s="250">
        <f t="shared" si="434"/>
        <v>0.83865048022778399</v>
      </c>
      <c r="BM1669" s="33" t="s">
        <v>1584</v>
      </c>
      <c r="BN1669" s="33">
        <v>6.4000000000000005E-4</v>
      </c>
      <c r="BO1669" s="33">
        <v>6.4000000000000005E-4</v>
      </c>
      <c r="BP1669" s="33"/>
      <c r="BQ1669" s="33"/>
      <c r="BR1669" s="33"/>
      <c r="BS1669" s="33"/>
      <c r="BT1669" s="264"/>
      <c r="BU1669" s="246"/>
      <c r="BV1669" s="33"/>
      <c r="BW1669" s="33"/>
      <c r="BX1669" s="33"/>
      <c r="BY1669" s="33"/>
      <c r="BZ1669" s="33"/>
      <c r="CA1669" s="33"/>
      <c r="CB1669" s="33"/>
      <c r="CC1669" s="33"/>
      <c r="CD1669" s="33"/>
      <c r="CE1669" s="33"/>
      <c r="CF1669" s="33"/>
      <c r="CG1669" s="33"/>
      <c r="CH1669" s="33"/>
      <c r="CI1669" s="250">
        <f t="shared" si="447"/>
        <v>6.4000000000000005E-4</v>
      </c>
      <c r="CJ1669" s="243">
        <f t="shared" si="448"/>
        <v>-3.1938200260161129</v>
      </c>
      <c r="CK1669" s="38">
        <f t="shared" si="453"/>
        <v>6.5506989010592198</v>
      </c>
      <c r="CL1669" s="247">
        <f t="shared" si="449"/>
        <v>1310.3913753559125</v>
      </c>
      <c r="CM1669" s="247"/>
      <c r="CN1669" s="247"/>
      <c r="CO1669" s="41" t="s">
        <v>6223</v>
      </c>
      <c r="CP1669" s="41" t="s">
        <v>8379</v>
      </c>
      <c r="CQ1669" s="241">
        <v>-0.21526083088247636</v>
      </c>
      <c r="CR1669" s="241">
        <f>10^(CJ1669-CQ1669)</f>
        <v>1.0506082452770584E-3</v>
      </c>
      <c r="CS1669" s="33"/>
      <c r="CT1669" s="33"/>
      <c r="CU1669" s="250">
        <f t="shared" si="450"/>
        <v>35806.874919984635</v>
      </c>
      <c r="CV1669" s="337">
        <f t="shared" si="454"/>
        <v>179</v>
      </c>
      <c r="CW1669" s="330">
        <f t="shared" si="451"/>
        <v>1</v>
      </c>
      <c r="CX1669" s="330"/>
      <c r="CY1669" s="143" t="s">
        <v>6351</v>
      </c>
    </row>
    <row r="1670" spans="1:103" ht="11.25" customHeight="1" x14ac:dyDescent="0.2">
      <c r="A1670" s="72">
        <v>1668</v>
      </c>
      <c r="B1670" s="241">
        <v>852</v>
      </c>
      <c r="C1670" s="32" t="s">
        <v>1298</v>
      </c>
      <c r="D1670" s="32"/>
      <c r="E1670" s="40"/>
      <c r="F1670" s="40" t="s">
        <v>1299</v>
      </c>
      <c r="G1670" s="242">
        <v>72435</v>
      </c>
      <c r="H1670" s="36" t="s">
        <v>1300</v>
      </c>
      <c r="I1670" s="36" t="s">
        <v>7923</v>
      </c>
      <c r="J1670" s="36" t="s">
        <v>1301</v>
      </c>
      <c r="K1670" s="36" t="s">
        <v>426</v>
      </c>
      <c r="L1670" s="36" t="s">
        <v>617</v>
      </c>
      <c r="M1670" s="36" t="s">
        <v>1086</v>
      </c>
      <c r="N1670" s="36" t="s">
        <v>6376</v>
      </c>
      <c r="O1670" s="36" t="s">
        <v>918</v>
      </c>
      <c r="P1670" s="41"/>
      <c r="Q1670" s="41"/>
      <c r="R1670" s="41"/>
      <c r="S1670" s="41"/>
      <c r="T1670" s="37">
        <v>345.65</v>
      </c>
      <c r="U1670" s="243">
        <v>2.8930999566035008E-4</v>
      </c>
      <c r="V1670" s="243">
        <v>8.737161868942572E-4</v>
      </c>
      <c r="W1670" s="243">
        <v>1.7782794100389215E-2</v>
      </c>
      <c r="X1670" s="243">
        <v>2.8930999566035008E-4</v>
      </c>
      <c r="Y1670" s="414">
        <v>7</v>
      </c>
      <c r="Z1670" s="37">
        <v>5.67</v>
      </c>
      <c r="AA1670" s="37">
        <v>5.08</v>
      </c>
      <c r="AB1670" s="37">
        <v>5.83</v>
      </c>
      <c r="AC1670" s="37">
        <v>0.84089999999999998</v>
      </c>
      <c r="AD1670" s="37">
        <v>5.51</v>
      </c>
      <c r="AE1670" s="37">
        <v>4.5599999999999996</v>
      </c>
      <c r="AF1670" s="37">
        <f t="shared" si="431"/>
        <v>5.08</v>
      </c>
      <c r="AG1670" s="38">
        <v>5.14</v>
      </c>
      <c r="AH1670" s="243">
        <v>9.7500000000000006E-8</v>
      </c>
      <c r="AI1670" s="243">
        <v>2.03E-7</v>
      </c>
      <c r="AJ1670" s="34">
        <f t="shared" si="435"/>
        <v>-5.3995617106141154</v>
      </c>
      <c r="AK1670" s="34">
        <f t="shared" si="455"/>
        <v>-5.081070288399439</v>
      </c>
      <c r="AL1670" s="34">
        <f t="shared" si="436"/>
        <v>-5.081070288399439</v>
      </c>
      <c r="AM1670" s="34">
        <v>-9.6148900000000008</v>
      </c>
      <c r="AN1670" s="244">
        <v>-6.6</v>
      </c>
      <c r="AO1670" s="417"/>
      <c r="AP1670" s="417"/>
      <c r="AQ1670" s="244" t="s">
        <v>6311</v>
      </c>
      <c r="AR1670" s="244" t="s">
        <v>6311</v>
      </c>
      <c r="AS1670" s="241" t="s">
        <v>6</v>
      </c>
      <c r="AT1670" s="39" t="s">
        <v>266</v>
      </c>
      <c r="AU1670" s="37">
        <v>2</v>
      </c>
      <c r="AV1670" s="37">
        <v>48</v>
      </c>
      <c r="AW1670" s="37">
        <v>48</v>
      </c>
      <c r="AX1670" s="37">
        <v>26</v>
      </c>
      <c r="AY1670" s="37" t="s">
        <v>647</v>
      </c>
      <c r="AZ1670" s="37" t="s">
        <v>1920</v>
      </c>
      <c r="BA1670" s="37">
        <v>10</v>
      </c>
      <c r="BB1670" s="36" t="s">
        <v>1613</v>
      </c>
      <c r="BC1670" s="36" t="s">
        <v>538</v>
      </c>
      <c r="BD1670" s="36"/>
      <c r="BE1670" s="37" t="s">
        <v>271</v>
      </c>
      <c r="BF1670" s="37" t="s">
        <v>272</v>
      </c>
      <c r="BG1670" s="37" t="s">
        <v>272</v>
      </c>
      <c r="BH1670" s="37" t="s">
        <v>4089</v>
      </c>
      <c r="BI1670" s="243">
        <v>1.4465081293756871E-4</v>
      </c>
      <c r="BJ1670" s="243">
        <v>2.3144130070010993E-3</v>
      </c>
      <c r="BK1670" s="37"/>
      <c r="BL1670" s="243">
        <f t="shared" si="434"/>
        <v>4.1550188654928839E-4</v>
      </c>
      <c r="BM1670" s="37" t="s">
        <v>541</v>
      </c>
      <c r="BN1670" s="37"/>
      <c r="BO1670" s="37"/>
      <c r="BP1670" s="37"/>
      <c r="BQ1670" s="37"/>
      <c r="BR1670" s="37"/>
      <c r="BS1670" s="37"/>
      <c r="BT1670" s="37"/>
      <c r="BU1670" s="246"/>
      <c r="BV1670" s="37"/>
      <c r="BW1670" s="37"/>
      <c r="BX1670" s="37"/>
      <c r="BY1670" s="37"/>
      <c r="BZ1670" s="37"/>
      <c r="CA1670" s="37"/>
      <c r="CB1670" s="37"/>
      <c r="CC1670" s="37"/>
      <c r="CD1670" s="37"/>
      <c r="CE1670" s="37"/>
      <c r="CF1670" s="37"/>
      <c r="CG1670" s="37"/>
      <c r="CH1670" s="37"/>
      <c r="CI1670" s="243"/>
      <c r="CJ1670" s="243"/>
      <c r="CK1670" s="38">
        <f t="shared" si="453"/>
        <v>0.17952797763078379</v>
      </c>
      <c r="CL1670" s="247"/>
      <c r="CM1670" s="247"/>
      <c r="CN1670" s="247"/>
      <c r="CO1670" s="36" t="s">
        <v>4073</v>
      </c>
      <c r="CP1670" s="36" t="s">
        <v>4100</v>
      </c>
      <c r="CQ1670" s="241">
        <v>-4.058441922882789</v>
      </c>
      <c r="CR1670" s="241">
        <f>10^(CJ1670-CQ1670)</f>
        <v>11440.41879721626</v>
      </c>
      <c r="CS1670" s="33"/>
      <c r="CT1670" s="33"/>
      <c r="CU1670" s="250"/>
      <c r="CV1670" s="337">
        <f t="shared" si="454"/>
        <v>0.12500361637494575</v>
      </c>
      <c r="CW1670" s="330">
        <f>IF(CV1670&lt;1,0,1)</f>
        <v>0</v>
      </c>
      <c r="CX1670" s="330"/>
      <c r="CY1670" s="143" t="s">
        <v>5921</v>
      </c>
    </row>
    <row r="1671" spans="1:103" ht="11.25" customHeight="1" x14ac:dyDescent="0.2">
      <c r="A1671" s="72">
        <v>1669</v>
      </c>
      <c r="B1671" s="241">
        <v>1958</v>
      </c>
      <c r="C1671" s="32" t="s">
        <v>7629</v>
      </c>
      <c r="D1671" s="32"/>
      <c r="E1671" s="40"/>
      <c r="F1671" s="40" t="s">
        <v>1845</v>
      </c>
      <c r="G1671" s="242">
        <v>75070</v>
      </c>
      <c r="H1671" s="41" t="s">
        <v>1846</v>
      </c>
      <c r="I1671" s="41" t="s">
        <v>1846</v>
      </c>
      <c r="J1671" s="41" t="s">
        <v>1847</v>
      </c>
      <c r="K1671" s="41" t="s">
        <v>511</v>
      </c>
      <c r="L1671" s="41"/>
      <c r="M1671" s="41"/>
      <c r="N1671" s="36"/>
      <c r="O1671" s="41"/>
      <c r="P1671" s="41" t="s">
        <v>6172</v>
      </c>
      <c r="Q1671" s="41" t="s">
        <v>6176</v>
      </c>
      <c r="R1671" s="41" t="s">
        <v>6175</v>
      </c>
      <c r="S1671" s="41" t="s">
        <v>6176</v>
      </c>
      <c r="T1671" s="33">
        <v>44.05</v>
      </c>
      <c r="U1671" s="250">
        <v>22701.475595913736</v>
      </c>
      <c r="V1671" s="250">
        <v>5829.7389330306478</v>
      </c>
      <c r="W1671" s="250">
        <v>1621.8100973589301</v>
      </c>
      <c r="X1671" s="250">
        <v>22701.475595913736</v>
      </c>
      <c r="Y1671" s="415">
        <v>7</v>
      </c>
      <c r="Z1671" s="33">
        <v>-0.17</v>
      </c>
      <c r="AA1671" s="33">
        <v>-0.34</v>
      </c>
      <c r="AB1671" s="33">
        <v>0.41</v>
      </c>
      <c r="AC1671" s="33">
        <v>0.93489999999999995</v>
      </c>
      <c r="AD1671" s="33">
        <v>0.28999999999999998</v>
      </c>
      <c r="AE1671" s="33">
        <v>-0.16</v>
      </c>
      <c r="AF1671" s="33">
        <f t="shared" si="431"/>
        <v>-0.34</v>
      </c>
      <c r="AG1671" s="34">
        <v>0.05</v>
      </c>
      <c r="AH1671" s="250">
        <v>6.7799999999999995E-5</v>
      </c>
      <c r="AI1671" s="250">
        <v>6.6699999999999995E-5</v>
      </c>
      <c r="AJ1671" s="34">
        <f t="shared" si="435"/>
        <v>-2.5573366324455886</v>
      </c>
      <c r="AK1671" s="34">
        <f t="shared" si="455"/>
        <v>-2.5644404923961028</v>
      </c>
      <c r="AL1671" s="34">
        <f t="shared" si="436"/>
        <v>-2.5644404923961028</v>
      </c>
      <c r="AM1671" s="34">
        <v>-2.7803900000000001</v>
      </c>
      <c r="AN1671" s="251">
        <v>-2.4279999999999999</v>
      </c>
      <c r="AO1671" s="417"/>
      <c r="AP1671" s="417"/>
      <c r="AQ1671" s="251" t="s">
        <v>6311</v>
      </c>
      <c r="AR1671" s="251" t="s">
        <v>6311</v>
      </c>
      <c r="AS1671" s="252" t="s">
        <v>5466</v>
      </c>
      <c r="AT1671" s="35" t="s">
        <v>266</v>
      </c>
      <c r="AU1671" s="33">
        <v>3</v>
      </c>
      <c r="AV1671" s="33">
        <v>24</v>
      </c>
      <c r="AW1671" s="33">
        <v>24</v>
      </c>
      <c r="AX1671" s="33">
        <v>28</v>
      </c>
      <c r="AY1671" s="33" t="s">
        <v>1584</v>
      </c>
      <c r="AZ1671" s="33" t="s">
        <v>1584</v>
      </c>
      <c r="BA1671" s="33">
        <v>25</v>
      </c>
      <c r="BB1671" s="41" t="s">
        <v>6295</v>
      </c>
      <c r="BC1671" s="41" t="s">
        <v>1584</v>
      </c>
      <c r="BD1671" s="41"/>
      <c r="BE1671" s="33" t="s">
        <v>2449</v>
      </c>
      <c r="BF1671" s="33" t="s">
        <v>6203</v>
      </c>
      <c r="BG1671" s="33" t="s">
        <v>6203</v>
      </c>
      <c r="BH1671" s="33"/>
      <c r="BI1671" s="250">
        <v>0.05</v>
      </c>
      <c r="BJ1671" s="250">
        <v>1</v>
      </c>
      <c r="BK1671" s="254"/>
      <c r="BL1671" s="250">
        <f t="shared" si="434"/>
        <v>73.025913772176295</v>
      </c>
      <c r="BM1671" s="33" t="s">
        <v>6296</v>
      </c>
      <c r="BN1671" s="33">
        <v>0.54100000000000004</v>
      </c>
      <c r="BO1671" s="33"/>
      <c r="BP1671" s="33"/>
      <c r="BQ1671" s="33"/>
      <c r="BR1671" s="33"/>
      <c r="BS1671" s="33"/>
      <c r="BT1671" s="33"/>
      <c r="BU1671" s="246"/>
      <c r="BV1671" s="33"/>
      <c r="BW1671" s="33"/>
      <c r="BX1671" s="33"/>
      <c r="BY1671" s="33"/>
      <c r="BZ1671" s="33"/>
      <c r="CA1671" s="33"/>
      <c r="CB1671" s="33"/>
      <c r="CC1671" s="33"/>
      <c r="CD1671" s="33"/>
      <c r="CE1671" s="33"/>
      <c r="CF1671" s="33"/>
      <c r="CG1671" s="33"/>
      <c r="CH1671" s="33"/>
      <c r="CI1671" s="250">
        <f>MIN(BN1671:CH1671)</f>
        <v>0.54100000000000004</v>
      </c>
      <c r="CJ1671" s="243">
        <f>LOG10(CI1671)</f>
        <v>-0.26680273489343054</v>
      </c>
      <c r="CK1671" s="38">
        <f t="shared" si="453"/>
        <v>73.025913772176295</v>
      </c>
      <c r="CL1671" s="247">
        <f>BL1671/CI1671</f>
        <v>134.98320475448483</v>
      </c>
      <c r="CM1671" s="247"/>
      <c r="CN1671" s="247"/>
      <c r="CO1671" s="41"/>
      <c r="CP1671" s="41" t="s">
        <v>8388</v>
      </c>
      <c r="CQ1671" s="241">
        <v>-0.37115057569436155</v>
      </c>
      <c r="CR1671" s="241">
        <f>10^(CJ1671-CQ1671)</f>
        <v>1.2715921576344218</v>
      </c>
      <c r="CS1671" s="33"/>
      <c r="CT1671" s="33"/>
      <c r="CU1671" s="250">
        <f>X1671/CI1671</f>
        <v>41962.062099655705</v>
      </c>
      <c r="CV1671" s="337">
        <f t="shared" si="454"/>
        <v>22701.475595913736</v>
      </c>
      <c r="CW1671" s="330">
        <f>IF(CU1671&lt;2,0,1)</f>
        <v>1</v>
      </c>
      <c r="CX1671" s="330"/>
      <c r="CY1671" s="143" t="s">
        <v>6351</v>
      </c>
    </row>
    <row r="1672" spans="1:103" ht="11.25" customHeight="1" x14ac:dyDescent="0.2">
      <c r="A1672" s="72">
        <v>1670</v>
      </c>
      <c r="B1672" s="241">
        <v>1970</v>
      </c>
      <c r="C1672" s="32" t="s">
        <v>7630</v>
      </c>
      <c r="D1672" s="32"/>
      <c r="E1672" s="40"/>
      <c r="F1672" s="40" t="s">
        <v>5532</v>
      </c>
      <c r="G1672" s="242">
        <v>75150</v>
      </c>
      <c r="H1672" s="41" t="s">
        <v>5533</v>
      </c>
      <c r="I1672" s="41" t="s">
        <v>5533</v>
      </c>
      <c r="J1672" s="41" t="s">
        <v>5534</v>
      </c>
      <c r="K1672" s="41" t="s">
        <v>426</v>
      </c>
      <c r="L1672" s="41"/>
      <c r="M1672" s="41"/>
      <c r="N1672" s="36"/>
      <c r="O1672" s="41"/>
      <c r="P1672" s="41"/>
      <c r="Q1672" s="41"/>
      <c r="R1672" s="41"/>
      <c r="S1672" s="41"/>
      <c r="T1672" s="33">
        <v>76.13</v>
      </c>
      <c r="U1672" s="250">
        <v>28.372520688296337</v>
      </c>
      <c r="V1672" s="250">
        <v>38.460528044135032</v>
      </c>
      <c r="W1672" s="250">
        <v>5.0118723362727211</v>
      </c>
      <c r="X1672" s="250">
        <v>28.372520688296337</v>
      </c>
      <c r="Y1672" s="415">
        <v>7</v>
      </c>
      <c r="Z1672" s="33">
        <v>1.94</v>
      </c>
      <c r="AA1672" s="33">
        <v>1.94</v>
      </c>
      <c r="AB1672" s="33">
        <v>1.89</v>
      </c>
      <c r="AC1672" s="33">
        <v>0.48170000000000002</v>
      </c>
      <c r="AD1672" s="33">
        <v>1.92</v>
      </c>
      <c r="AE1672" s="33">
        <v>1.94</v>
      </c>
      <c r="AF1672" s="33">
        <f t="shared" si="431"/>
        <v>1.94</v>
      </c>
      <c r="AG1672" s="34">
        <v>1.92</v>
      </c>
      <c r="AH1672" s="250">
        <v>3.0200000000000001E-2</v>
      </c>
      <c r="AI1672" s="250">
        <v>1.44E-2</v>
      </c>
      <c r="AJ1672" s="34">
        <f t="shared" si="435"/>
        <v>9.1440616644498846E-2</v>
      </c>
      <c r="AK1672" s="34">
        <f t="shared" si="455"/>
        <v>-0.23020383421740215</v>
      </c>
      <c r="AL1672" s="34">
        <f t="shared" si="436"/>
        <v>-0.23020383421740215</v>
      </c>
      <c r="AM1672" s="34">
        <v>-2.8222700000000001</v>
      </c>
      <c r="AN1672" s="251"/>
      <c r="AO1672" s="417"/>
      <c r="AP1672" s="417"/>
      <c r="AQ1672" s="251" t="s">
        <v>6311</v>
      </c>
      <c r="AR1672" s="251" t="s">
        <v>6311</v>
      </c>
      <c r="AS1672" s="252" t="s">
        <v>5466</v>
      </c>
      <c r="AT1672" s="35" t="s">
        <v>266</v>
      </c>
      <c r="AU1672" s="33">
        <v>4</v>
      </c>
      <c r="AV1672" s="33">
        <v>24</v>
      </c>
      <c r="AW1672" s="33">
        <v>20</v>
      </c>
      <c r="AX1672" s="33">
        <v>28</v>
      </c>
      <c r="AY1672" s="262" t="s">
        <v>267</v>
      </c>
      <c r="AZ1672" s="33" t="s">
        <v>6212</v>
      </c>
      <c r="BA1672" s="33">
        <v>20</v>
      </c>
      <c r="BB1672" s="41" t="s">
        <v>6300</v>
      </c>
      <c r="BC1672" s="41" t="s">
        <v>5697</v>
      </c>
      <c r="BD1672" s="41"/>
      <c r="BE1672" s="33" t="s">
        <v>2449</v>
      </c>
      <c r="BF1672" s="33" t="s">
        <v>6203</v>
      </c>
      <c r="BG1672" s="33" t="s">
        <v>6203</v>
      </c>
      <c r="BH1672" s="33"/>
      <c r="BI1672" s="250">
        <v>5.2541704978326554E-5</v>
      </c>
      <c r="BJ1672" s="250">
        <v>5.2541704978326553E-2</v>
      </c>
      <c r="BK1672" s="254"/>
      <c r="BL1672" s="250">
        <f t="shared" ref="BL1672:BL1703" si="456">10^((-0.8981*Z1672)+1.7108)</f>
        <v>0.93000653440218206</v>
      </c>
      <c r="BM1672" s="33" t="s">
        <v>1584</v>
      </c>
      <c r="BN1672" s="33">
        <v>800</v>
      </c>
      <c r="BO1672" s="33"/>
      <c r="BP1672" s="33"/>
      <c r="BQ1672" s="33"/>
      <c r="BR1672" s="33"/>
      <c r="BS1672" s="33"/>
      <c r="BT1672" s="33"/>
      <c r="BU1672" s="246"/>
      <c r="BV1672" s="33"/>
      <c r="BW1672" s="33"/>
      <c r="BX1672" s="33"/>
      <c r="BY1672" s="33"/>
      <c r="BZ1672" s="33"/>
      <c r="CA1672" s="33"/>
      <c r="CB1672" s="33"/>
      <c r="CC1672" s="33"/>
      <c r="CD1672" s="33"/>
      <c r="CE1672" s="33"/>
      <c r="CF1672" s="33"/>
      <c r="CG1672" s="33"/>
      <c r="CH1672" s="33"/>
      <c r="CI1672" s="250">
        <f>MIN(BN1672:CH1672)</f>
        <v>800</v>
      </c>
      <c r="CJ1672" s="243">
        <f>LOG10(CI1672)</f>
        <v>2.9030899869919438</v>
      </c>
      <c r="CK1672" s="38">
        <f t="shared" si="453"/>
        <v>17.700349366009529</v>
      </c>
      <c r="CL1672" s="247">
        <f>BL1672/CI1672</f>
        <v>1.1625081680027276E-3</v>
      </c>
      <c r="CM1672" s="247"/>
      <c r="CN1672" s="247"/>
      <c r="CO1672" s="41"/>
      <c r="CP1672" s="41" t="s">
        <v>8382</v>
      </c>
      <c r="CQ1672" s="241" t="s">
        <v>272</v>
      </c>
      <c r="CR1672" s="241"/>
      <c r="CS1672" s="33"/>
      <c r="CT1672" s="33"/>
      <c r="CU1672" s="250">
        <f>X1672/CI1672</f>
        <v>3.5465650860370422E-2</v>
      </c>
      <c r="CV1672" s="337">
        <f t="shared" si="454"/>
        <v>540</v>
      </c>
      <c r="CW1672" s="330">
        <f>IF(CU1672&lt;2,0,1)</f>
        <v>0</v>
      </c>
      <c r="CX1672" s="330"/>
      <c r="CY1672" s="143" t="s">
        <v>6351</v>
      </c>
    </row>
    <row r="1673" spans="1:103" ht="11.25" customHeight="1" x14ac:dyDescent="0.2">
      <c r="A1673" s="72">
        <v>1671</v>
      </c>
      <c r="B1673" s="241">
        <v>135</v>
      </c>
      <c r="C1673" s="32" t="s">
        <v>773</v>
      </c>
      <c r="D1673" s="32" t="s">
        <v>6443</v>
      </c>
      <c r="E1673" s="40"/>
      <c r="F1673" s="40" t="s">
        <v>774</v>
      </c>
      <c r="G1673" s="242">
        <v>75310</v>
      </c>
      <c r="H1673" s="36" t="s">
        <v>775</v>
      </c>
      <c r="I1673" s="36" t="s">
        <v>775</v>
      </c>
      <c r="J1673" s="36" t="s">
        <v>776</v>
      </c>
      <c r="K1673" s="36" t="s">
        <v>300</v>
      </c>
      <c r="L1673" s="41" t="s">
        <v>6627</v>
      </c>
      <c r="M1673" s="41" t="s">
        <v>6025</v>
      </c>
      <c r="N1673" s="36" t="s">
        <v>2342</v>
      </c>
      <c r="O1673" s="41" t="s">
        <v>2342</v>
      </c>
      <c r="P1673" s="41" t="s">
        <v>1639</v>
      </c>
      <c r="Q1673" s="41" t="s">
        <v>6173</v>
      </c>
      <c r="R1673" s="41" t="s">
        <v>6082</v>
      </c>
      <c r="S1673" s="41" t="s">
        <v>6173</v>
      </c>
      <c r="T1673" s="37">
        <v>59.11</v>
      </c>
      <c r="U1673" s="243">
        <v>16917.611233293857</v>
      </c>
      <c r="V1673" s="243">
        <v>14178.649974623584</v>
      </c>
      <c r="W1673" s="243">
        <v>2041.7379446695297</v>
      </c>
      <c r="X1673" s="243">
        <v>16917.611233293857</v>
      </c>
      <c r="Y1673" s="414">
        <v>12.49</v>
      </c>
      <c r="Z1673" s="37">
        <v>0.27</v>
      </c>
      <c r="AA1673" s="37">
        <v>0.26</v>
      </c>
      <c r="AB1673" s="37">
        <v>0.37</v>
      </c>
      <c r="AC1673" s="37">
        <v>0.90820000000000001</v>
      </c>
      <c r="AD1673" s="37">
        <v>0.34</v>
      </c>
      <c r="AE1673" s="37">
        <v>0.21</v>
      </c>
      <c r="AF1673" s="37">
        <f t="shared" si="431"/>
        <v>0.26</v>
      </c>
      <c r="AG1673" s="38">
        <v>-0.03</v>
      </c>
      <c r="AH1673" s="243">
        <v>1.34E-5</v>
      </c>
      <c r="AI1673" s="243">
        <v>4.5099999999999998E-5</v>
      </c>
      <c r="AJ1673" s="34">
        <f t="shared" ref="AJ1673:AJ1704" si="457">LOG10(AH1673*1000/(0.08206*298.15))</f>
        <v>-3.2614615279478443</v>
      </c>
      <c r="AK1673" s="34">
        <f t="shared" si="455"/>
        <v>-2.7343897844346912</v>
      </c>
      <c r="AL1673" s="34">
        <f t="shared" ref="AL1673:AL1704" si="458">IF(AK1673=0,AJ1673,AK1673)</f>
        <v>-2.7343897844346912</v>
      </c>
      <c r="AM1673" s="34">
        <v>-4.3610199999999999</v>
      </c>
      <c r="AN1673" s="244">
        <v>-3.31</v>
      </c>
      <c r="AO1673" s="417"/>
      <c r="AP1673" s="417">
        <v>10.68</v>
      </c>
      <c r="AQ1673" s="244" t="s">
        <v>6311</v>
      </c>
      <c r="AR1673" s="244" t="s">
        <v>6311</v>
      </c>
      <c r="AS1673" s="241" t="s">
        <v>75</v>
      </c>
      <c r="AT1673" s="39" t="s">
        <v>266</v>
      </c>
      <c r="AU1673" s="37">
        <v>0</v>
      </c>
      <c r="AV1673" s="37">
        <v>48</v>
      </c>
      <c r="AW1673" s="37">
        <v>48</v>
      </c>
      <c r="AX1673" s="37">
        <v>26</v>
      </c>
      <c r="AY1673" s="37" t="s">
        <v>8722</v>
      </c>
      <c r="AZ1673" s="37" t="s">
        <v>536</v>
      </c>
      <c r="BA1673" s="37">
        <v>20</v>
      </c>
      <c r="BB1673" s="36" t="s">
        <v>537</v>
      </c>
      <c r="BC1673" s="36" t="s">
        <v>648</v>
      </c>
      <c r="BD1673" s="36"/>
      <c r="BE1673" s="245" t="s">
        <v>649</v>
      </c>
      <c r="BF1673" s="37" t="s">
        <v>539</v>
      </c>
      <c r="BG1673" s="37" t="s">
        <v>272</v>
      </c>
      <c r="BH1673" s="37" t="s">
        <v>272</v>
      </c>
      <c r="BI1673" s="248">
        <v>0.88140754525461007</v>
      </c>
      <c r="BJ1673" s="248">
        <v>3.3835222466587718</v>
      </c>
      <c r="BK1673" s="37"/>
      <c r="BL1673" s="243">
        <f t="shared" si="456"/>
        <v>29.397676060212504</v>
      </c>
      <c r="BM1673" s="37" t="s">
        <v>541</v>
      </c>
      <c r="BN1673" s="37"/>
      <c r="BO1673" s="37">
        <v>2.5310000000000001</v>
      </c>
      <c r="BP1673" s="37"/>
      <c r="BQ1673" s="37"/>
      <c r="BR1673" s="37"/>
      <c r="BS1673" s="37"/>
      <c r="BT1673" s="37"/>
      <c r="BU1673" s="246"/>
      <c r="BV1673" s="37"/>
      <c r="BW1673" s="37"/>
      <c r="BX1673" s="37"/>
      <c r="BY1673" s="37"/>
      <c r="BZ1673" s="37"/>
      <c r="CA1673" s="37"/>
      <c r="CB1673" s="37"/>
      <c r="CC1673" s="37"/>
      <c r="CD1673" s="37"/>
      <c r="CE1673" s="37"/>
      <c r="CF1673" s="37"/>
      <c r="CG1673" s="37"/>
      <c r="CH1673" s="37"/>
      <c r="CI1673" s="243">
        <f>MIN(BN1673:CH1673)</f>
        <v>2.5310000000000001</v>
      </c>
      <c r="CJ1673" s="243">
        <f>LOG10(CI1673)</f>
        <v>0.40329214515825423</v>
      </c>
      <c r="CK1673" s="38">
        <f t="shared" si="453"/>
        <v>8.6884831595958048</v>
      </c>
      <c r="CL1673" s="247">
        <f>BL1673/CI1673</f>
        <v>11.615043879973332</v>
      </c>
      <c r="CM1673" s="247"/>
      <c r="CN1673" s="247"/>
      <c r="CO1673" s="36"/>
      <c r="CP1673" s="36" t="s">
        <v>772</v>
      </c>
      <c r="CQ1673" s="241">
        <v>1.9599948383284163</v>
      </c>
      <c r="CR1673" s="241">
        <f>10^(CJ1673-CQ1673)</f>
        <v>2.7752192982456129E-2</v>
      </c>
      <c r="CS1673" s="33"/>
      <c r="CT1673" s="33"/>
      <c r="CU1673" s="250">
        <f>X1673/CI1673</f>
        <v>6684.1608981801091</v>
      </c>
      <c r="CV1673" s="337">
        <f t="shared" si="454"/>
        <v>5000</v>
      </c>
      <c r="CW1673" s="330">
        <f>IF(CU1673&lt;2,0,1)</f>
        <v>1</v>
      </c>
      <c r="CX1673" s="330"/>
      <c r="CY1673" s="143" t="s">
        <v>6351</v>
      </c>
    </row>
    <row r="1674" spans="1:103" ht="11.25" customHeight="1" x14ac:dyDescent="0.2">
      <c r="A1674" s="72">
        <v>1672</v>
      </c>
      <c r="B1674" s="241">
        <v>2141</v>
      </c>
      <c r="C1674" s="32" t="s">
        <v>7631</v>
      </c>
      <c r="D1674" s="32"/>
      <c r="E1674" s="40"/>
      <c r="F1674" s="40" t="s">
        <v>5853</v>
      </c>
      <c r="G1674" s="242">
        <v>76051</v>
      </c>
      <c r="H1674" s="41" t="s">
        <v>4135</v>
      </c>
      <c r="I1674" s="41" t="s">
        <v>4135</v>
      </c>
      <c r="J1674" s="41" t="s">
        <v>5854</v>
      </c>
      <c r="K1674" s="41" t="s">
        <v>426</v>
      </c>
      <c r="L1674" s="41"/>
      <c r="M1674" s="41"/>
      <c r="N1674" s="36"/>
      <c r="O1674" s="41"/>
      <c r="P1674" s="41"/>
      <c r="Q1674" s="41"/>
      <c r="R1674" s="41"/>
      <c r="S1674" s="41"/>
      <c r="T1674" s="33">
        <v>114.02</v>
      </c>
      <c r="U1674" s="250">
        <v>8770.3911594457113</v>
      </c>
      <c r="V1674" s="250">
        <v>854.67461848798462</v>
      </c>
      <c r="W1674" s="250">
        <v>912.01083935590964</v>
      </c>
      <c r="X1674" s="250">
        <v>8770.3911594457113</v>
      </c>
      <c r="Y1674" s="415">
        <v>0.25</v>
      </c>
      <c r="Z1674" s="33">
        <v>0.5</v>
      </c>
      <c r="AA1674" s="33"/>
      <c r="AB1674" s="33">
        <v>0.45</v>
      </c>
      <c r="AC1674" s="33">
        <v>0.78720000000000001</v>
      </c>
      <c r="AD1674" s="33">
        <v>0.66</v>
      </c>
      <c r="AE1674" s="33">
        <v>1.24</v>
      </c>
      <c r="AF1674" s="33">
        <f t="shared" si="431"/>
        <v>0.66</v>
      </c>
      <c r="AG1674" s="34">
        <v>0.66</v>
      </c>
      <c r="AH1674" s="250">
        <v>4.3100000000000002E-6</v>
      </c>
      <c r="AI1674" s="250">
        <v>1.11E-7</v>
      </c>
      <c r="AJ1674" s="34">
        <f t="shared" si="457"/>
        <v>-3.75408905615192</v>
      </c>
      <c r="AK1674" s="34">
        <f t="shared" si="455"/>
        <v>-5.3432433475259939</v>
      </c>
      <c r="AL1674" s="34">
        <f t="shared" si="458"/>
        <v>-5.3432433475259939</v>
      </c>
      <c r="AM1674" s="34">
        <v>-4.62622</v>
      </c>
      <c r="AN1674" s="251"/>
      <c r="AO1674" s="417">
        <v>0.05</v>
      </c>
      <c r="AP1674" s="417"/>
      <c r="AQ1674" s="251" t="s">
        <v>6311</v>
      </c>
      <c r="AR1674" s="251" t="s">
        <v>6311</v>
      </c>
      <c r="AS1674" s="252" t="s">
        <v>5466</v>
      </c>
      <c r="AT1674" s="35" t="s">
        <v>266</v>
      </c>
      <c r="AU1674" s="33">
        <v>0</v>
      </c>
      <c r="AV1674" s="33">
        <v>144</v>
      </c>
      <c r="AW1674" s="33">
        <v>144</v>
      </c>
      <c r="AX1674" s="33">
        <v>26</v>
      </c>
      <c r="AY1674" s="33" t="s">
        <v>267</v>
      </c>
      <c r="AZ1674" s="33" t="s">
        <v>5855</v>
      </c>
      <c r="BA1674" s="33">
        <v>24</v>
      </c>
      <c r="BB1674" s="41" t="s">
        <v>5856</v>
      </c>
      <c r="BC1674" s="41" t="s">
        <v>5597</v>
      </c>
      <c r="BD1674" s="41"/>
      <c r="BE1674" s="33" t="s">
        <v>2449</v>
      </c>
      <c r="BF1674" s="33"/>
      <c r="BG1674" s="33"/>
      <c r="BH1674" s="33"/>
      <c r="BI1674" s="250">
        <v>8.7703911999999995E-2</v>
      </c>
      <c r="BJ1674" s="250">
        <v>26.311173480000001</v>
      </c>
      <c r="BK1674" s="254"/>
      <c r="BL1674" s="250">
        <f t="shared" si="456"/>
        <v>18.270481798956201</v>
      </c>
      <c r="BM1674" s="33"/>
      <c r="BN1674" s="33"/>
      <c r="BO1674" s="33"/>
      <c r="BP1674" s="33"/>
      <c r="BQ1674" s="33"/>
      <c r="BR1674" s="33"/>
      <c r="BS1674" s="33"/>
      <c r="BT1674" s="33" t="s">
        <v>5857</v>
      </c>
      <c r="BU1674" s="246"/>
      <c r="BV1674" s="33"/>
      <c r="BW1674" s="33"/>
      <c r="BX1674" s="33"/>
      <c r="BY1674" s="33"/>
      <c r="BZ1674" s="33"/>
      <c r="CA1674" s="33"/>
      <c r="CB1674" s="33"/>
      <c r="CC1674" s="33"/>
      <c r="CD1674" s="33"/>
      <c r="CE1674" s="33"/>
      <c r="CF1674" s="33"/>
      <c r="CG1674" s="33"/>
      <c r="CH1674" s="33"/>
      <c r="CI1674" s="250"/>
      <c r="CJ1674" s="243"/>
      <c r="CK1674" s="38">
        <f t="shared" si="453"/>
        <v>0.69440011152844261</v>
      </c>
      <c r="CL1674" s="247"/>
      <c r="CM1674" s="247"/>
      <c r="CN1674" s="247"/>
      <c r="CO1674" s="41"/>
      <c r="CP1674" s="41" t="s">
        <v>5858</v>
      </c>
      <c r="CQ1674" s="241" t="s">
        <v>272</v>
      </c>
      <c r="CR1674" s="241"/>
      <c r="CS1674" s="33"/>
      <c r="CT1674" s="33"/>
      <c r="CU1674" s="250"/>
      <c r="CV1674" s="337">
        <f t="shared" si="454"/>
        <v>333.33333331226663</v>
      </c>
      <c r="CW1674" s="330">
        <f>IF(CV1674&lt;1,0,1)</f>
        <v>1</v>
      </c>
      <c r="CX1674" s="330"/>
      <c r="CY1674" s="143" t="s">
        <v>6351</v>
      </c>
    </row>
    <row r="1675" spans="1:103" ht="11.25" customHeight="1" x14ac:dyDescent="0.2">
      <c r="A1675" s="72">
        <v>1673</v>
      </c>
      <c r="B1675" s="241">
        <v>2133</v>
      </c>
      <c r="C1675" s="32" t="s">
        <v>6144</v>
      </c>
      <c r="D1675" s="32"/>
      <c r="E1675" s="40"/>
      <c r="F1675" s="40" t="s">
        <v>1185</v>
      </c>
      <c r="G1675" s="242">
        <v>76879</v>
      </c>
      <c r="H1675" s="41" t="s">
        <v>1186</v>
      </c>
      <c r="I1675" s="41" t="s">
        <v>1186</v>
      </c>
      <c r="J1675" s="41" t="s">
        <v>1187</v>
      </c>
      <c r="K1675" s="41" t="s">
        <v>403</v>
      </c>
      <c r="L1675" s="36" t="s">
        <v>5929</v>
      </c>
      <c r="M1675" s="265" t="s">
        <v>6079</v>
      </c>
      <c r="N1675" s="36" t="s">
        <v>6381</v>
      </c>
      <c r="O1675" s="45" t="s">
        <v>6083</v>
      </c>
      <c r="P1675" s="41"/>
      <c r="Q1675" s="41"/>
      <c r="R1675" s="41"/>
      <c r="S1675" s="41"/>
      <c r="T1675" s="33">
        <v>367.02</v>
      </c>
      <c r="U1675" s="250">
        <v>1.0898291692777158E-3</v>
      </c>
      <c r="V1675" s="250">
        <v>1.2862708770400241E-2</v>
      </c>
      <c r="W1675" s="250">
        <v>2.3442288153199219E-2</v>
      </c>
      <c r="X1675" s="250">
        <v>1.0898291692777158E-3</v>
      </c>
      <c r="Y1675" s="415">
        <v>4.71</v>
      </c>
      <c r="Z1675" s="33">
        <v>3.47</v>
      </c>
      <c r="AA1675" s="33">
        <v>3.53</v>
      </c>
      <c r="AB1675" s="33">
        <v>2.85</v>
      </c>
      <c r="AC1675" s="33">
        <v>0.71630000000000005</v>
      </c>
      <c r="AD1675" s="33">
        <v>3.09</v>
      </c>
      <c r="AE1675" s="33">
        <v>3.53</v>
      </c>
      <c r="AF1675" s="33">
        <f t="shared" si="431"/>
        <v>3.53</v>
      </c>
      <c r="AG1675" s="34">
        <v>3.09</v>
      </c>
      <c r="AH1675" s="250">
        <v>4.5900000000000001E-8</v>
      </c>
      <c r="AI1675" s="250">
        <v>4.2599999999999998E-7</v>
      </c>
      <c r="AJ1675" s="34">
        <f t="shared" si="457"/>
        <v>-5.7267536407753905</v>
      </c>
      <c r="AK1675" s="34">
        <f t="shared" si="455"/>
        <v>-4.7591567272099331</v>
      </c>
      <c r="AL1675" s="34">
        <f t="shared" si="458"/>
        <v>-4.7591567272099331</v>
      </c>
      <c r="AM1675" s="34">
        <v>-11.08738</v>
      </c>
      <c r="AN1675" s="251">
        <v>-9.7452000000000005</v>
      </c>
      <c r="AO1675" s="417">
        <v>3.98</v>
      </c>
      <c r="AP1675" s="417"/>
      <c r="AQ1675" s="251" t="s">
        <v>6311</v>
      </c>
      <c r="AR1675" s="251" t="s">
        <v>6311</v>
      </c>
      <c r="AS1675" s="252" t="s">
        <v>5466</v>
      </c>
      <c r="AT1675" s="35" t="s">
        <v>266</v>
      </c>
      <c r="AU1675" s="33">
        <v>5</v>
      </c>
      <c r="AV1675" s="33">
        <v>25</v>
      </c>
      <c r="AW1675" s="33">
        <v>20</v>
      </c>
      <c r="AX1675" s="33">
        <v>28</v>
      </c>
      <c r="AY1675" s="33" t="s">
        <v>267</v>
      </c>
      <c r="AZ1675" s="33" t="s">
        <v>5820</v>
      </c>
      <c r="BA1675" s="33"/>
      <c r="BB1675" s="41" t="s">
        <v>5821</v>
      </c>
      <c r="BC1675" s="41" t="s">
        <v>8377</v>
      </c>
      <c r="BD1675" s="41"/>
      <c r="BE1675" s="33" t="s">
        <v>2449</v>
      </c>
      <c r="BF1675" s="33"/>
      <c r="BG1675" s="33"/>
      <c r="BH1675" s="33" t="s">
        <v>5626</v>
      </c>
      <c r="BI1675" s="250"/>
      <c r="BJ1675" s="250">
        <v>0.05</v>
      </c>
      <c r="BK1675" s="254"/>
      <c r="BL1675" s="250">
        <f t="shared" si="456"/>
        <v>3.9300040687265454E-2</v>
      </c>
      <c r="BM1675" s="33"/>
      <c r="BN1675" s="33" t="s">
        <v>5822</v>
      </c>
      <c r="BO1675" s="33"/>
      <c r="BP1675" s="33"/>
      <c r="BQ1675" s="33"/>
      <c r="BR1675" s="33"/>
      <c r="BS1675" s="33"/>
      <c r="BT1675" s="33"/>
      <c r="BU1675" s="246"/>
      <c r="BV1675" s="33"/>
      <c r="BW1675" s="33"/>
      <c r="BX1675" s="33"/>
      <c r="BY1675" s="33"/>
      <c r="BZ1675" s="33"/>
      <c r="CA1675" s="33"/>
      <c r="CB1675" s="33"/>
      <c r="CC1675" s="33"/>
      <c r="CD1675" s="33"/>
      <c r="CE1675" s="33"/>
      <c r="CF1675" s="33"/>
      <c r="CG1675" s="33"/>
      <c r="CH1675" s="33"/>
      <c r="CI1675" s="250"/>
      <c r="CJ1675" s="243"/>
      <c r="CK1675" s="38">
        <f t="shared" si="453"/>
        <v>0.78600081374530906</v>
      </c>
      <c r="CL1675" s="247"/>
      <c r="CM1675" s="247">
        <v>-4.3380742496748841</v>
      </c>
      <c r="CN1675" s="247">
        <f>BJ1675/(10^CM1675)</f>
        <v>1089.0410594671011</v>
      </c>
      <c r="CO1675" s="41"/>
      <c r="CP1675" s="255" t="s">
        <v>8376</v>
      </c>
      <c r="CQ1675" s="241">
        <v>-4.2064875607472203</v>
      </c>
      <c r="CR1675" s="241">
        <f>10^(CJ1675-CQ1675)</f>
        <v>16087.46298812742</v>
      </c>
      <c r="CS1675" s="33"/>
      <c r="CT1675" s="33"/>
      <c r="CU1675" s="250"/>
      <c r="CV1675" s="337">
        <f t="shared" si="454"/>
        <v>2.1796583385554315E-2</v>
      </c>
      <c r="CW1675" s="330">
        <f>IF(CV1675&lt;1,0,1)</f>
        <v>0</v>
      </c>
      <c r="CX1675" s="330"/>
      <c r="CY1675" s="143" t="s">
        <v>5921</v>
      </c>
    </row>
    <row r="1676" spans="1:103" ht="11.25" customHeight="1" x14ac:dyDescent="0.2">
      <c r="A1676" s="72">
        <v>1674</v>
      </c>
      <c r="B1676" s="241">
        <v>2132</v>
      </c>
      <c r="C1676" s="32" t="s">
        <v>1531</v>
      </c>
      <c r="D1676" s="32"/>
      <c r="E1676" s="40"/>
      <c r="F1676" s="40" t="s">
        <v>1532</v>
      </c>
      <c r="G1676" s="242">
        <v>78488</v>
      </c>
      <c r="H1676" s="41" t="s">
        <v>1533</v>
      </c>
      <c r="I1676" s="41" t="s">
        <v>1533</v>
      </c>
      <c r="J1676" s="41" t="s">
        <v>1534</v>
      </c>
      <c r="K1676" s="41" t="s">
        <v>637</v>
      </c>
      <c r="L1676" s="36" t="s">
        <v>6018</v>
      </c>
      <c r="M1676" s="36" t="s">
        <v>6019</v>
      </c>
      <c r="N1676" s="36" t="s">
        <v>6376</v>
      </c>
      <c r="O1676" s="42" t="s">
        <v>6020</v>
      </c>
      <c r="P1676" s="41"/>
      <c r="Q1676" s="41"/>
      <c r="R1676" s="41"/>
      <c r="S1676" s="41"/>
      <c r="T1676" s="33">
        <v>314.51</v>
      </c>
      <c r="U1676" s="250">
        <v>7.3129630218435023E-3</v>
      </c>
      <c r="V1676" s="250">
        <v>4.3528027725668497E-4</v>
      </c>
      <c r="W1676" s="250">
        <v>0.40738027780411218</v>
      </c>
      <c r="X1676" s="250">
        <v>7.3129630218435023E-3</v>
      </c>
      <c r="Y1676" s="415">
        <v>7</v>
      </c>
      <c r="Z1676" s="33">
        <v>5.75</v>
      </c>
      <c r="AA1676" s="33">
        <v>5.7</v>
      </c>
      <c r="AB1676" s="33">
        <v>4.28</v>
      </c>
      <c r="AC1676" s="33">
        <v>0.81089999999999995</v>
      </c>
      <c r="AD1676" s="33">
        <v>3.95</v>
      </c>
      <c r="AE1676" s="33">
        <v>3.23</v>
      </c>
      <c r="AF1676" s="33">
        <f t="shared" si="431"/>
        <v>5.7</v>
      </c>
      <c r="AG1676" s="34">
        <v>5.3</v>
      </c>
      <c r="AH1676" s="250">
        <v>5.2799999999999996E-7</v>
      </c>
      <c r="AI1676" s="250">
        <v>2.9400000000000001E-7</v>
      </c>
      <c r="AJ1676" s="34">
        <f t="shared" si="457"/>
        <v>-4.6659324037788394</v>
      </c>
      <c r="AK1676" s="34">
        <f t="shared" si="455"/>
        <v>-4.9202189959004947</v>
      </c>
      <c r="AL1676" s="34">
        <f t="shared" si="458"/>
        <v>-4.9202189959004947</v>
      </c>
      <c r="AM1676" s="34">
        <v>-8.7748200000000001</v>
      </c>
      <c r="AN1676" s="251">
        <v>-4.3357000000000001</v>
      </c>
      <c r="AO1676" s="417"/>
      <c r="AP1676" s="417"/>
      <c r="AQ1676" s="251" t="s">
        <v>6312</v>
      </c>
      <c r="AR1676" s="251" t="s">
        <v>6312</v>
      </c>
      <c r="AS1676" s="252" t="s">
        <v>5466</v>
      </c>
      <c r="AT1676" s="35" t="s">
        <v>266</v>
      </c>
      <c r="AU1676" s="33">
        <v>5</v>
      </c>
      <c r="AV1676" s="33">
        <v>25</v>
      </c>
      <c r="AW1676" s="33">
        <v>20</v>
      </c>
      <c r="AX1676" s="33">
        <v>28</v>
      </c>
      <c r="AY1676" s="33" t="s">
        <v>267</v>
      </c>
      <c r="AZ1676" s="33" t="s">
        <v>5820</v>
      </c>
      <c r="BA1676" s="33"/>
      <c r="BB1676" s="41" t="s">
        <v>5821</v>
      </c>
      <c r="BC1676" s="41" t="s">
        <v>8377</v>
      </c>
      <c r="BD1676" s="41"/>
      <c r="BE1676" s="33" t="s">
        <v>2449</v>
      </c>
      <c r="BF1676" s="33"/>
      <c r="BG1676" s="33"/>
      <c r="BH1676" s="33" t="s">
        <v>5626</v>
      </c>
      <c r="BI1676" s="250"/>
      <c r="BJ1676" s="250">
        <v>0.05</v>
      </c>
      <c r="BK1676" s="254"/>
      <c r="BL1676" s="250">
        <f t="shared" si="456"/>
        <v>3.5214781659360505E-4</v>
      </c>
      <c r="BM1676" s="33"/>
      <c r="BN1676" s="33" t="s">
        <v>5822</v>
      </c>
      <c r="BO1676" s="33"/>
      <c r="BP1676" s="33"/>
      <c r="BQ1676" s="33"/>
      <c r="BR1676" s="33"/>
      <c r="BS1676" s="33"/>
      <c r="BT1676" s="33"/>
      <c r="BU1676" s="246"/>
      <c r="BV1676" s="33"/>
      <c r="BW1676" s="33"/>
      <c r="BX1676" s="33"/>
      <c r="BY1676" s="33"/>
      <c r="BZ1676" s="33"/>
      <c r="CA1676" s="33"/>
      <c r="CB1676" s="33"/>
      <c r="CC1676" s="33"/>
      <c r="CD1676" s="33"/>
      <c r="CE1676" s="33"/>
      <c r="CF1676" s="33"/>
      <c r="CG1676" s="33"/>
      <c r="CH1676" s="33"/>
      <c r="CI1676" s="250"/>
      <c r="CJ1676" s="243"/>
      <c r="CK1676" s="38">
        <f t="shared" si="453"/>
        <v>7.0429563318721005E-3</v>
      </c>
      <c r="CL1676" s="247"/>
      <c r="CM1676" s="247">
        <v>-2.7133947863995984</v>
      </c>
      <c r="CN1676" s="247">
        <f>BJ1676/(10^CM1676)</f>
        <v>25.844301015131634</v>
      </c>
      <c r="CO1676" s="41"/>
      <c r="CP1676" s="255" t="s">
        <v>8376</v>
      </c>
      <c r="CQ1676" s="241">
        <v>-2.6366286941465695</v>
      </c>
      <c r="CR1676" s="241">
        <f>10^(CJ1676-CQ1676)</f>
        <v>433.14040088127138</v>
      </c>
      <c r="CS1676" s="33"/>
      <c r="CT1676" s="33"/>
      <c r="CU1676" s="250"/>
      <c r="CV1676" s="337">
        <f t="shared" si="454"/>
        <v>0.14625926043687004</v>
      </c>
      <c r="CW1676" s="330">
        <f>IF(CV1676&lt;1,0,1)</f>
        <v>0</v>
      </c>
      <c r="CX1676" s="330"/>
      <c r="CY1676" s="143" t="s">
        <v>5921</v>
      </c>
    </row>
    <row r="1677" spans="1:103" ht="11.25" customHeight="1" x14ac:dyDescent="0.2">
      <c r="A1677" s="72">
        <v>1675</v>
      </c>
      <c r="B1677" s="241">
        <v>138</v>
      </c>
      <c r="C1677" s="32" t="s">
        <v>7632</v>
      </c>
      <c r="D1677" s="32"/>
      <c r="E1677" s="40"/>
      <c r="F1677" s="40" t="s">
        <v>784</v>
      </c>
      <c r="G1677" s="242">
        <v>78819</v>
      </c>
      <c r="H1677" s="36" t="s">
        <v>785</v>
      </c>
      <c r="I1677" s="36" t="s">
        <v>785</v>
      </c>
      <c r="J1677" s="36" t="s">
        <v>786</v>
      </c>
      <c r="K1677" s="36" t="s">
        <v>300</v>
      </c>
      <c r="L1677" s="36"/>
      <c r="M1677" s="36"/>
      <c r="N1677" s="36"/>
      <c r="O1677" s="36"/>
      <c r="P1677" s="41"/>
      <c r="Q1677" s="41"/>
      <c r="R1677" s="41"/>
      <c r="S1677" s="41"/>
      <c r="T1677" s="37">
        <v>73.14</v>
      </c>
      <c r="U1677" s="243">
        <v>13672.409078479628</v>
      </c>
      <c r="V1677" s="243">
        <v>4447.6346732294232</v>
      </c>
      <c r="W1677" s="243">
        <v>794.32823472428151</v>
      </c>
      <c r="X1677" s="243">
        <v>13672.409078479628</v>
      </c>
      <c r="Y1677" s="414">
        <v>12.3</v>
      </c>
      <c r="Z1677" s="37">
        <v>0.76</v>
      </c>
      <c r="AA1677" s="37">
        <v>0.73</v>
      </c>
      <c r="AB1677" s="37">
        <v>0.69</v>
      </c>
      <c r="AC1677" s="37">
        <v>0.94269999999999998</v>
      </c>
      <c r="AD1677" s="37">
        <v>0.7</v>
      </c>
      <c r="AE1677" s="37">
        <v>0.75</v>
      </c>
      <c r="AF1677" s="37">
        <f t="shared" si="431"/>
        <v>0.73</v>
      </c>
      <c r="AG1677" s="38">
        <v>0.43</v>
      </c>
      <c r="AH1677" s="243">
        <v>1.77E-5</v>
      </c>
      <c r="AI1677" s="243">
        <v>1.36E-5</v>
      </c>
      <c r="AJ1677" s="34">
        <f t="shared" si="457"/>
        <v>-3.1405930599508451</v>
      </c>
      <c r="AK1677" s="34">
        <f t="shared" si="455"/>
        <v>-3.2550274179424341</v>
      </c>
      <c r="AL1677" s="34">
        <f t="shared" si="458"/>
        <v>-3.2550274179424341</v>
      </c>
      <c r="AM1677" s="34">
        <v>-4.5409600000000001</v>
      </c>
      <c r="AN1677" s="244">
        <v>-3.18</v>
      </c>
      <c r="AO1677" s="417"/>
      <c r="AP1677" s="417">
        <v>10.72</v>
      </c>
      <c r="AQ1677" s="244" t="s">
        <v>6311</v>
      </c>
      <c r="AR1677" s="244" t="s">
        <v>6311</v>
      </c>
      <c r="AS1677" s="241" t="s">
        <v>75</v>
      </c>
      <c r="AT1677" s="39" t="s">
        <v>266</v>
      </c>
      <c r="AU1677" s="37">
        <v>0</v>
      </c>
      <c r="AV1677" s="37">
        <v>48</v>
      </c>
      <c r="AW1677" s="37">
        <v>48</v>
      </c>
      <c r="AX1677" s="37">
        <v>26</v>
      </c>
      <c r="AY1677" s="37" t="s">
        <v>8722</v>
      </c>
      <c r="AZ1677" s="37" t="s">
        <v>536</v>
      </c>
      <c r="BA1677" s="37">
        <v>20</v>
      </c>
      <c r="BB1677" s="36" t="s">
        <v>537</v>
      </c>
      <c r="BC1677" s="36" t="s">
        <v>648</v>
      </c>
      <c r="BD1677" s="36"/>
      <c r="BE1677" s="245" t="s">
        <v>649</v>
      </c>
      <c r="BF1677" s="37" t="s">
        <v>539</v>
      </c>
      <c r="BG1677" s="37" t="s">
        <v>272</v>
      </c>
      <c r="BH1677" s="37" t="s">
        <v>272</v>
      </c>
      <c r="BI1677" s="248">
        <v>0.27071369975389664</v>
      </c>
      <c r="BJ1677" s="248">
        <v>1.3672409078479628</v>
      </c>
      <c r="BK1677" s="37"/>
      <c r="BL1677" s="243">
        <f t="shared" si="456"/>
        <v>10.671955361116243</v>
      </c>
      <c r="BM1677" s="37" t="s">
        <v>541</v>
      </c>
      <c r="BN1677" s="37"/>
      <c r="BO1677" s="37">
        <v>1.2669999999999999</v>
      </c>
      <c r="BP1677" s="37"/>
      <c r="BQ1677" s="37"/>
      <c r="BR1677" s="37"/>
      <c r="BS1677" s="37"/>
      <c r="BT1677" s="37"/>
      <c r="BU1677" s="246"/>
      <c r="BV1677" s="37"/>
      <c r="BW1677" s="37"/>
      <c r="BX1677" s="37"/>
      <c r="BY1677" s="37"/>
      <c r="BZ1677" s="37"/>
      <c r="CA1677" s="37"/>
      <c r="CB1677" s="37"/>
      <c r="CC1677" s="37"/>
      <c r="CD1677" s="37"/>
      <c r="CE1677" s="37"/>
      <c r="CF1677" s="37"/>
      <c r="CG1677" s="37"/>
      <c r="CH1677" s="37"/>
      <c r="CI1677" s="243">
        <f t="shared" ref="CI1677:CI1695" si="459">MIN(BN1677:CH1677)</f>
        <v>1.2669999999999999</v>
      </c>
      <c r="CJ1677" s="243">
        <f t="shared" ref="CJ1677:CJ1695" si="460">LOG10(CI1677)</f>
        <v>0.10277661488344131</v>
      </c>
      <c r="CK1677" s="38">
        <f t="shared" si="453"/>
        <v>7.8054681511204205</v>
      </c>
      <c r="CL1677" s="247">
        <f t="shared" ref="CL1677:CL1695" si="461">BL1677/CI1677</f>
        <v>8.423011334740524</v>
      </c>
      <c r="CM1677" s="247"/>
      <c r="CN1677" s="247"/>
      <c r="CO1677" s="36"/>
      <c r="CP1677" s="36" t="s">
        <v>772</v>
      </c>
      <c r="CQ1677" s="241" t="s">
        <v>272</v>
      </c>
      <c r="CR1677" s="241"/>
      <c r="CS1677" s="33"/>
      <c r="CT1677" s="33"/>
      <c r="CU1677" s="250">
        <f t="shared" ref="CU1677:CU1695" si="462">X1677/CI1677</f>
        <v>10791.16738632962</v>
      </c>
      <c r="CV1677" s="337">
        <f t="shared" si="454"/>
        <v>10000</v>
      </c>
      <c r="CW1677" s="330">
        <f t="shared" ref="CW1677:CW1695" si="463">IF(CU1677&lt;2,0,1)</f>
        <v>1</v>
      </c>
      <c r="CX1677" s="330"/>
      <c r="CY1677" s="143" t="s">
        <v>5921</v>
      </c>
    </row>
    <row r="1678" spans="1:103" ht="11.25" customHeight="1" x14ac:dyDescent="0.2">
      <c r="A1678" s="72">
        <v>1676</v>
      </c>
      <c r="B1678" s="241">
        <v>69</v>
      </c>
      <c r="C1678" s="32" t="s">
        <v>7020</v>
      </c>
      <c r="D1678" s="32"/>
      <c r="E1678" s="40"/>
      <c r="F1678" s="40" t="s">
        <v>558</v>
      </c>
      <c r="G1678" s="242">
        <v>79572</v>
      </c>
      <c r="H1678" s="36" t="s">
        <v>559</v>
      </c>
      <c r="I1678" s="36" t="s">
        <v>8001</v>
      </c>
      <c r="J1678" s="36" t="s">
        <v>560</v>
      </c>
      <c r="K1678" s="36" t="s">
        <v>561</v>
      </c>
      <c r="L1678" s="42" t="s">
        <v>279</v>
      </c>
      <c r="M1678" s="36" t="s">
        <v>562</v>
      </c>
      <c r="N1678" s="36"/>
      <c r="O1678" s="36" t="s">
        <v>281</v>
      </c>
      <c r="P1678" s="41"/>
      <c r="Q1678" s="41"/>
      <c r="R1678" s="41"/>
      <c r="S1678" s="41"/>
      <c r="T1678" s="37">
        <v>460.43</v>
      </c>
      <c r="U1678" s="243">
        <v>0.67979931802879912</v>
      </c>
      <c r="V1678" s="243">
        <v>3.0384640444801598</v>
      </c>
      <c r="W1678" s="243">
        <v>7.2443596007498936</v>
      </c>
      <c r="X1678" s="243">
        <v>0.67979931802879912</v>
      </c>
      <c r="Y1678" s="414">
        <v>5.66</v>
      </c>
      <c r="Z1678" s="37">
        <v>-2.87</v>
      </c>
      <c r="AA1678" s="37">
        <v>-0.9</v>
      </c>
      <c r="AB1678" s="37">
        <v>-1.27</v>
      </c>
      <c r="AC1678" s="37">
        <v>0.77769999999999995</v>
      </c>
      <c r="AD1678" s="37">
        <v>-1.32</v>
      </c>
      <c r="AE1678" s="37">
        <v>-1.5</v>
      </c>
      <c r="AF1678" s="37">
        <f t="shared" si="431"/>
        <v>-0.9</v>
      </c>
      <c r="AG1678" s="38">
        <v>-2.12</v>
      </c>
      <c r="AH1678" s="243">
        <v>1.7E-25</v>
      </c>
      <c r="AI1678" s="243"/>
      <c r="AJ1678" s="34">
        <f t="shared" si="457"/>
        <v>-23.158117404934377</v>
      </c>
      <c r="AK1678" s="34"/>
      <c r="AL1678" s="34">
        <f t="shared" si="458"/>
        <v>-23.158117404934377</v>
      </c>
      <c r="AM1678" s="34">
        <v>-41.229529999999997</v>
      </c>
      <c r="AN1678" s="244">
        <v>-32.4</v>
      </c>
      <c r="AO1678" s="417">
        <v>4.5</v>
      </c>
      <c r="AP1678" s="417">
        <v>10.8</v>
      </c>
      <c r="AQ1678" s="244" t="s">
        <v>6311</v>
      </c>
      <c r="AR1678" s="244" t="s">
        <v>6311</v>
      </c>
      <c r="AS1678" s="241" t="s">
        <v>6</v>
      </c>
      <c r="AT1678" s="39" t="s">
        <v>266</v>
      </c>
      <c r="AU1678" s="37">
        <v>0</v>
      </c>
      <c r="AV1678" s="37">
        <v>48</v>
      </c>
      <c r="AW1678" s="37">
        <v>48</v>
      </c>
      <c r="AX1678" s="37">
        <v>26</v>
      </c>
      <c r="AY1678" s="37" t="s">
        <v>8722</v>
      </c>
      <c r="AZ1678" s="37" t="s">
        <v>536</v>
      </c>
      <c r="BA1678" s="37">
        <v>20</v>
      </c>
      <c r="BB1678" s="36" t="s">
        <v>537</v>
      </c>
      <c r="BC1678" s="36" t="s">
        <v>538</v>
      </c>
      <c r="BD1678" s="36"/>
      <c r="BE1678" s="245" t="s">
        <v>271</v>
      </c>
      <c r="BF1678" s="245" t="s">
        <v>539</v>
      </c>
      <c r="BG1678" s="245" t="s">
        <v>540</v>
      </c>
      <c r="BH1678" s="245" t="s">
        <v>272</v>
      </c>
      <c r="BI1678" s="243">
        <v>0.15090000000000001</v>
      </c>
      <c r="BJ1678" s="243">
        <v>8.0500000000000007</v>
      </c>
      <c r="BK1678" s="37"/>
      <c r="BL1678" s="243">
        <f t="shared" si="456"/>
        <v>19424.3725933141</v>
      </c>
      <c r="BM1678" s="37" t="s">
        <v>541</v>
      </c>
      <c r="BN1678" s="37"/>
      <c r="BO1678" s="37">
        <v>2.8460999999999999</v>
      </c>
      <c r="BP1678" s="37"/>
      <c r="BQ1678" s="37"/>
      <c r="BR1678" s="37"/>
      <c r="BS1678" s="266"/>
      <c r="BT1678" s="37"/>
      <c r="BU1678" s="267"/>
      <c r="BV1678" s="37"/>
      <c r="BW1678" s="37"/>
      <c r="BX1678" s="37"/>
      <c r="BY1678" s="37"/>
      <c r="BZ1678" s="37"/>
      <c r="CA1678" s="37"/>
      <c r="CB1678" s="37"/>
      <c r="CC1678" s="266"/>
      <c r="CD1678" s="266"/>
      <c r="CE1678" s="266"/>
      <c r="CF1678" s="266"/>
      <c r="CG1678" s="37"/>
      <c r="CH1678" s="37"/>
      <c r="CI1678" s="243">
        <f t="shared" si="459"/>
        <v>2.8460999999999999</v>
      </c>
      <c r="CJ1678" s="243">
        <f t="shared" si="460"/>
        <v>0.45425015530034463</v>
      </c>
      <c r="CK1678" s="38">
        <f t="shared" si="453"/>
        <v>2412.9655395421241</v>
      </c>
      <c r="CL1678" s="247">
        <f t="shared" si="461"/>
        <v>6824.9086797070031</v>
      </c>
      <c r="CM1678" s="247"/>
      <c r="CN1678" s="247"/>
      <c r="CO1678" s="36" t="s">
        <v>563</v>
      </c>
      <c r="CP1678" s="36" t="s">
        <v>542</v>
      </c>
      <c r="CQ1678" s="241" t="s">
        <v>272</v>
      </c>
      <c r="CR1678" s="241"/>
      <c r="CS1678" s="33"/>
      <c r="CT1678" s="33"/>
      <c r="CU1678" s="250">
        <f t="shared" si="462"/>
        <v>0.23885292787632167</v>
      </c>
      <c r="CV1678" s="337">
        <f t="shared" si="454"/>
        <v>8.4447120252024721E-2</v>
      </c>
      <c r="CW1678" s="330">
        <f t="shared" si="463"/>
        <v>0</v>
      </c>
      <c r="CX1678" s="330"/>
      <c r="CY1678" s="143" t="s">
        <v>5921</v>
      </c>
    </row>
    <row r="1679" spans="1:103" ht="11.25" customHeight="1" x14ac:dyDescent="0.2">
      <c r="A1679" s="72">
        <v>1677</v>
      </c>
      <c r="B1679" s="241">
        <v>2044</v>
      </c>
      <c r="C1679" s="32" t="s">
        <v>6674</v>
      </c>
      <c r="D1679" s="32"/>
      <c r="E1679" s="40"/>
      <c r="F1679" s="40" t="s">
        <v>2269</v>
      </c>
      <c r="G1679" s="242">
        <v>79947</v>
      </c>
      <c r="H1679" s="41" t="s">
        <v>2270</v>
      </c>
      <c r="I1679" s="41" t="s">
        <v>2270</v>
      </c>
      <c r="J1679" s="41" t="s">
        <v>2271</v>
      </c>
      <c r="K1679" s="41" t="s">
        <v>376</v>
      </c>
      <c r="L1679" s="41" t="s">
        <v>5492</v>
      </c>
      <c r="M1679" s="41" t="s">
        <v>5960</v>
      </c>
      <c r="N1679" s="36" t="s">
        <v>2342</v>
      </c>
      <c r="O1679" s="41"/>
      <c r="P1679" s="41"/>
      <c r="Q1679" s="41"/>
      <c r="R1679" s="41"/>
      <c r="S1679" s="41"/>
      <c r="T1679" s="33">
        <v>543.88</v>
      </c>
      <c r="U1679" s="250"/>
      <c r="V1679" s="250">
        <v>1.8423181584172981E-6</v>
      </c>
      <c r="W1679" s="250">
        <v>5.4954087385762412E-4</v>
      </c>
      <c r="X1679" s="250">
        <f>IF(W1679=0,V1679,W1679)</f>
        <v>5.4954087385762412E-4</v>
      </c>
      <c r="Y1679" s="415">
        <v>6.97</v>
      </c>
      <c r="Z1679" s="33">
        <v>7.2</v>
      </c>
      <c r="AA1679" s="33"/>
      <c r="AB1679" s="33">
        <v>6.4</v>
      </c>
      <c r="AC1679" s="33">
        <v>0.56699999999999995</v>
      </c>
      <c r="AD1679" s="33">
        <v>6.8</v>
      </c>
      <c r="AE1679" s="33">
        <v>7.29</v>
      </c>
      <c r="AF1679" s="33">
        <f t="shared" si="431"/>
        <v>6.8</v>
      </c>
      <c r="AG1679" s="34">
        <v>6.88</v>
      </c>
      <c r="AH1679" s="250">
        <v>2.3099999999999997E-13</v>
      </c>
      <c r="AI1679" s="250"/>
      <c r="AJ1679" s="34">
        <f t="shared" si="457"/>
        <v>-11.024954346420508</v>
      </c>
      <c r="AK1679" s="34"/>
      <c r="AL1679" s="34">
        <f t="shared" si="458"/>
        <v>-11.024954346420508</v>
      </c>
      <c r="AM1679" s="34">
        <v>-12.1549</v>
      </c>
      <c r="AN1679" s="251">
        <v>-7.9859</v>
      </c>
      <c r="AO1679" s="417">
        <v>8.5</v>
      </c>
      <c r="AP1679" s="417"/>
      <c r="AQ1679" s="251" t="s">
        <v>6311</v>
      </c>
      <c r="AR1679" s="251" t="s">
        <v>6311</v>
      </c>
      <c r="AS1679" s="252" t="s">
        <v>5466</v>
      </c>
      <c r="AT1679" s="35" t="s">
        <v>266</v>
      </c>
      <c r="AU1679" s="33">
        <v>3</v>
      </c>
      <c r="AV1679" s="33">
        <v>48</v>
      </c>
      <c r="AW1679" s="33">
        <v>45</v>
      </c>
      <c r="AX1679" s="33" t="s">
        <v>6240</v>
      </c>
      <c r="AY1679" s="33" t="s">
        <v>1584</v>
      </c>
      <c r="AZ1679" s="268" t="s">
        <v>6239</v>
      </c>
      <c r="BA1679" s="33">
        <v>20</v>
      </c>
      <c r="BB1679" s="41" t="s">
        <v>6238</v>
      </c>
      <c r="BC1679" s="41" t="s">
        <v>6241</v>
      </c>
      <c r="BD1679" s="41"/>
      <c r="BE1679" s="33" t="s">
        <v>2449</v>
      </c>
      <c r="BF1679" s="33" t="s">
        <v>272</v>
      </c>
      <c r="BG1679" s="33" t="s">
        <v>272</v>
      </c>
      <c r="BH1679" s="33" t="s">
        <v>2141</v>
      </c>
      <c r="BI1679" s="250">
        <v>5.0000000000000001E-4</v>
      </c>
      <c r="BJ1679" s="250">
        <v>3.0000000000000001E-3</v>
      </c>
      <c r="BK1679" s="254"/>
      <c r="BL1679" s="250">
        <f t="shared" si="456"/>
        <v>1.755820033836557E-5</v>
      </c>
      <c r="BM1679" s="33">
        <v>0</v>
      </c>
      <c r="BN1679" s="33"/>
      <c r="BO1679" s="33">
        <v>1.6000000000000001E-3</v>
      </c>
      <c r="BP1679" s="33"/>
      <c r="BQ1679" s="33"/>
      <c r="BR1679" s="33"/>
      <c r="BS1679" s="33"/>
      <c r="BT1679" s="33"/>
      <c r="BU1679" s="246"/>
      <c r="BV1679" s="33"/>
      <c r="BW1679" s="33"/>
      <c r="BX1679" s="33"/>
      <c r="BY1679" s="33"/>
      <c r="BZ1679" s="33"/>
      <c r="CA1679" s="33"/>
      <c r="CB1679" s="33"/>
      <c r="CC1679" s="33"/>
      <c r="CD1679" s="33"/>
      <c r="CE1679" s="33"/>
      <c r="CF1679" s="33"/>
      <c r="CG1679" s="33"/>
      <c r="CH1679" s="33"/>
      <c r="CI1679" s="250">
        <f t="shared" si="459"/>
        <v>1.6000000000000001E-3</v>
      </c>
      <c r="CJ1679" s="243">
        <f t="shared" si="460"/>
        <v>-2.795880017344075</v>
      </c>
      <c r="CK1679" s="38">
        <f t="shared" si="453"/>
        <v>5.8527334461218562E-3</v>
      </c>
      <c r="CL1679" s="247">
        <f t="shared" si="461"/>
        <v>1.0973875211478482E-2</v>
      </c>
      <c r="CM1679" s="247">
        <v>-3.1334351123598188</v>
      </c>
      <c r="CN1679" s="247">
        <f>BJ1679/(10^CM1679)</f>
        <v>4.0790250000000032</v>
      </c>
      <c r="CO1679" s="41"/>
      <c r="CP1679" s="41" t="s">
        <v>6236</v>
      </c>
      <c r="CQ1679" s="241">
        <v>-2.884571744269377</v>
      </c>
      <c r="CR1679" s="241">
        <f t="shared" ref="CR1679:CR1685" si="464">10^(CJ1679-CQ1679)</f>
        <v>1.226568273273283</v>
      </c>
      <c r="CS1679" s="33"/>
      <c r="CT1679" s="33"/>
      <c r="CU1679" s="250">
        <f t="shared" si="462"/>
        <v>0.34346304616101508</v>
      </c>
      <c r="CV1679" s="337">
        <f t="shared" si="454"/>
        <v>0.18318029128587471</v>
      </c>
      <c r="CW1679" s="330">
        <f t="shared" si="463"/>
        <v>0</v>
      </c>
      <c r="CX1679" s="330"/>
      <c r="CY1679" s="143" t="s">
        <v>6351</v>
      </c>
    </row>
    <row r="1680" spans="1:103" ht="11.25" customHeight="1" x14ac:dyDescent="0.2">
      <c r="A1680" s="72">
        <v>1678</v>
      </c>
      <c r="B1680" s="241">
        <v>803</v>
      </c>
      <c r="C1680" s="32" t="s">
        <v>7633</v>
      </c>
      <c r="D1680" s="32"/>
      <c r="E1680" s="40"/>
      <c r="F1680" s="40" t="s">
        <v>2269</v>
      </c>
      <c r="G1680" s="242">
        <v>79947</v>
      </c>
      <c r="H1680" s="36" t="s">
        <v>2270</v>
      </c>
      <c r="I1680" s="36" t="s">
        <v>2270</v>
      </c>
      <c r="J1680" s="36" t="s">
        <v>2271</v>
      </c>
      <c r="K1680" s="36" t="s">
        <v>376</v>
      </c>
      <c r="L1680" s="41" t="s">
        <v>5492</v>
      </c>
      <c r="M1680" s="41" t="s">
        <v>5960</v>
      </c>
      <c r="N1680" s="36" t="s">
        <v>2342</v>
      </c>
      <c r="O1680" s="36"/>
      <c r="P1680" s="41"/>
      <c r="Q1680" s="41"/>
      <c r="R1680" s="41"/>
      <c r="S1680" s="41"/>
      <c r="T1680" s="37">
        <v>543.87</v>
      </c>
      <c r="U1680" s="243"/>
      <c r="V1680" s="243">
        <v>1.8423181584172981E-6</v>
      </c>
      <c r="W1680" s="243">
        <v>5.4954087385762412E-4</v>
      </c>
      <c r="X1680" s="243">
        <f>IF(W1680=0,V1680,W1680)</f>
        <v>5.4954087385762412E-4</v>
      </c>
      <c r="Y1680" s="414">
        <v>6.97</v>
      </c>
      <c r="Z1680" s="37">
        <v>7.2</v>
      </c>
      <c r="AA1680" s="37"/>
      <c r="AB1680" s="37">
        <v>6.4</v>
      </c>
      <c r="AC1680" s="37">
        <v>0.56699999999999995</v>
      </c>
      <c r="AD1680" s="37">
        <v>6.8</v>
      </c>
      <c r="AE1680" s="37">
        <v>7.29</v>
      </c>
      <c r="AF1680" s="37">
        <f t="shared" si="431"/>
        <v>6.8</v>
      </c>
      <c r="AG1680" s="38">
        <v>6.88</v>
      </c>
      <c r="AH1680" s="243">
        <v>2.3099999999999997E-13</v>
      </c>
      <c r="AI1680" s="243"/>
      <c r="AJ1680" s="34">
        <f t="shared" si="457"/>
        <v>-11.024954346420508</v>
      </c>
      <c r="AK1680" s="34"/>
      <c r="AL1680" s="34">
        <f t="shared" si="458"/>
        <v>-11.024954346420508</v>
      </c>
      <c r="AM1680" s="34">
        <v>-12.1549</v>
      </c>
      <c r="AN1680" s="244">
        <v>-7.99</v>
      </c>
      <c r="AO1680" s="417">
        <v>8.5</v>
      </c>
      <c r="AP1680" s="417"/>
      <c r="AQ1680" s="244" t="s">
        <v>6311</v>
      </c>
      <c r="AR1680" s="244" t="s">
        <v>6311</v>
      </c>
      <c r="AS1680" s="241" t="s">
        <v>6</v>
      </c>
      <c r="AT1680" s="39" t="s">
        <v>266</v>
      </c>
      <c r="AU1680" s="245"/>
      <c r="AV1680" s="245">
        <v>0</v>
      </c>
      <c r="AW1680" s="37">
        <v>72</v>
      </c>
      <c r="AX1680" s="33" t="s">
        <v>6240</v>
      </c>
      <c r="AY1680" s="33" t="s">
        <v>1584</v>
      </c>
      <c r="AZ1680" s="37" t="s">
        <v>1584</v>
      </c>
      <c r="BA1680" s="37" t="s">
        <v>8722</v>
      </c>
      <c r="BB1680" s="36" t="s">
        <v>8722</v>
      </c>
      <c r="BC1680" s="36" t="s">
        <v>8722</v>
      </c>
      <c r="BD1680" s="36"/>
      <c r="BE1680" s="37" t="s">
        <v>8722</v>
      </c>
      <c r="BF1680" s="37" t="s">
        <v>8722</v>
      </c>
      <c r="BG1680" s="37" t="s">
        <v>8722</v>
      </c>
      <c r="BH1680" s="37" t="s">
        <v>8722</v>
      </c>
      <c r="BI1680" s="243" t="s">
        <v>8722</v>
      </c>
      <c r="BJ1680" s="243" t="s">
        <v>8722</v>
      </c>
      <c r="BK1680" s="37"/>
      <c r="BL1680" s="243">
        <f t="shared" si="456"/>
        <v>1.755820033836557E-5</v>
      </c>
      <c r="BM1680" s="36" t="s">
        <v>1640</v>
      </c>
      <c r="BN1680" s="37"/>
      <c r="BO1680" s="37"/>
      <c r="BP1680" s="37">
        <v>7.1706994189894835E-4</v>
      </c>
      <c r="BQ1680" s="37"/>
      <c r="BR1680" s="37"/>
      <c r="BS1680" s="37"/>
      <c r="BT1680" s="37"/>
      <c r="BU1680" s="246"/>
      <c r="BV1680" s="37"/>
      <c r="BW1680" s="37"/>
      <c r="BX1680" s="37"/>
      <c r="BY1680" s="37"/>
      <c r="BZ1680" s="37"/>
      <c r="CA1680" s="37"/>
      <c r="CB1680" s="37"/>
      <c r="CC1680" s="37"/>
      <c r="CD1680" s="37"/>
      <c r="CE1680" s="37"/>
      <c r="CF1680" s="37"/>
      <c r="CG1680" s="37"/>
      <c r="CH1680" s="37"/>
      <c r="CI1680" s="243">
        <f t="shared" si="459"/>
        <v>7.1706994189894835E-4</v>
      </c>
      <c r="CJ1680" s="243">
        <f t="shared" si="460"/>
        <v>-3.1444384818505613</v>
      </c>
      <c r="CK1680" s="38" t="s">
        <v>404</v>
      </c>
      <c r="CL1680" s="247">
        <f t="shared" si="461"/>
        <v>2.4486035897513501E-2</v>
      </c>
      <c r="CM1680" s="247">
        <v>-3.1334351123598188</v>
      </c>
      <c r="CN1680" s="247" t="s">
        <v>404</v>
      </c>
      <c r="CO1680" s="36" t="s">
        <v>1641</v>
      </c>
      <c r="CP1680" s="36" t="s">
        <v>2272</v>
      </c>
      <c r="CQ1680" s="241">
        <v>-2.884571744269377</v>
      </c>
      <c r="CR1680" s="241">
        <f t="shared" si="464"/>
        <v>0.54970952528197847</v>
      </c>
      <c r="CS1680" s="33"/>
      <c r="CT1680" s="33"/>
      <c r="CU1680" s="250">
        <f t="shared" si="462"/>
        <v>0.76636997557355024</v>
      </c>
      <c r="CV1680" s="337"/>
      <c r="CW1680" s="330">
        <f t="shared" si="463"/>
        <v>0</v>
      </c>
      <c r="CX1680" s="330"/>
      <c r="CY1680" s="143" t="s">
        <v>6351</v>
      </c>
    </row>
    <row r="1681" spans="1:103" ht="11.25" customHeight="1" x14ac:dyDescent="0.2">
      <c r="A1681" s="72">
        <v>1679</v>
      </c>
      <c r="B1681" s="241">
        <v>2020</v>
      </c>
      <c r="C1681" s="32" t="s">
        <v>977</v>
      </c>
      <c r="D1681" s="32"/>
      <c r="E1681" s="40"/>
      <c r="F1681" s="40" t="s">
        <v>978</v>
      </c>
      <c r="G1681" s="242">
        <v>80057</v>
      </c>
      <c r="H1681" s="41" t="s">
        <v>979</v>
      </c>
      <c r="I1681" s="41" t="s">
        <v>979</v>
      </c>
      <c r="J1681" s="41" t="s">
        <v>980</v>
      </c>
      <c r="K1681" s="41" t="s">
        <v>376</v>
      </c>
      <c r="L1681" s="41" t="s">
        <v>5527</v>
      </c>
      <c r="M1681" s="41" t="s">
        <v>602</v>
      </c>
      <c r="N1681" s="36" t="s">
        <v>6386</v>
      </c>
      <c r="O1681" s="41" t="s">
        <v>981</v>
      </c>
      <c r="P1681" s="41"/>
      <c r="Q1681" s="41"/>
      <c r="R1681" s="41"/>
      <c r="S1681" s="41"/>
      <c r="T1681" s="33">
        <v>228.29</v>
      </c>
      <c r="U1681" s="250">
        <v>0.52564720311884006</v>
      </c>
      <c r="V1681" s="250">
        <v>0.75649393315519731</v>
      </c>
      <c r="W1681" s="250">
        <v>0.38904514499428011</v>
      </c>
      <c r="X1681" s="250">
        <v>0.52564720311884006</v>
      </c>
      <c r="Y1681" s="415">
        <v>6.76</v>
      </c>
      <c r="Z1681" s="33">
        <v>3.64</v>
      </c>
      <c r="AA1681" s="33">
        <v>3.32</v>
      </c>
      <c r="AB1681" s="33">
        <v>3.73</v>
      </c>
      <c r="AC1681" s="33">
        <v>0.77510000000000001</v>
      </c>
      <c r="AD1681" s="33">
        <v>3.63</v>
      </c>
      <c r="AE1681" s="33">
        <v>3.43</v>
      </c>
      <c r="AF1681" s="33">
        <f t="shared" si="431"/>
        <v>3.32</v>
      </c>
      <c r="AG1681" s="34">
        <v>3.7</v>
      </c>
      <c r="AH1681" s="250">
        <v>9.1600000000000006E-12</v>
      </c>
      <c r="AI1681" s="250"/>
      <c r="AJ1681" s="34">
        <f t="shared" si="457"/>
        <v>-9.4266708526448006</v>
      </c>
      <c r="AK1681" s="34"/>
      <c r="AL1681" s="34">
        <f t="shared" si="458"/>
        <v>-9.4266708526448006</v>
      </c>
      <c r="AM1681" s="34">
        <v>-13.641390000000001</v>
      </c>
      <c r="AN1681" s="251">
        <v>-10.218999999999999</v>
      </c>
      <c r="AO1681" s="417">
        <v>10.29</v>
      </c>
      <c r="AP1681" s="417"/>
      <c r="AQ1681" s="251" t="s">
        <v>6311</v>
      </c>
      <c r="AR1681" s="251" t="s">
        <v>6311</v>
      </c>
      <c r="AS1681" s="252" t="s">
        <v>5466</v>
      </c>
      <c r="AT1681" s="35" t="s">
        <v>266</v>
      </c>
      <c r="AU1681" s="33">
        <v>0</v>
      </c>
      <c r="AV1681" s="33">
        <v>24</v>
      </c>
      <c r="AW1681" s="33">
        <v>24</v>
      </c>
      <c r="AX1681" s="33">
        <v>26</v>
      </c>
      <c r="AY1681" s="262" t="s">
        <v>267</v>
      </c>
      <c r="AZ1681" s="33" t="s">
        <v>6298</v>
      </c>
      <c r="BA1681" s="33" t="s">
        <v>1584</v>
      </c>
      <c r="BB1681" s="41" t="s">
        <v>6215</v>
      </c>
      <c r="BC1681" s="41" t="s">
        <v>6227</v>
      </c>
      <c r="BD1681" s="41"/>
      <c r="BE1681" s="33" t="s">
        <v>2449</v>
      </c>
      <c r="BF1681" s="33" t="s">
        <v>6203</v>
      </c>
      <c r="BG1681" s="33" t="s">
        <v>6203</v>
      </c>
      <c r="BH1681" s="33" t="s">
        <v>6299</v>
      </c>
      <c r="BI1681" s="250">
        <v>8.7607867186473357E-3</v>
      </c>
      <c r="BJ1681" s="250">
        <v>0.10950983398309169</v>
      </c>
      <c r="BK1681" s="254" t="s">
        <v>5681</v>
      </c>
      <c r="BL1681" s="250">
        <f t="shared" si="456"/>
        <v>2.7651328392176541E-2</v>
      </c>
      <c r="BM1681" s="33">
        <v>0</v>
      </c>
      <c r="BN1681" s="33">
        <v>0.14899999999999999</v>
      </c>
      <c r="BO1681" s="33"/>
      <c r="BP1681" s="33"/>
      <c r="BQ1681" s="33"/>
      <c r="BR1681" s="33"/>
      <c r="BS1681" s="33"/>
      <c r="BT1681" s="33"/>
      <c r="BU1681" s="246"/>
      <c r="BV1681" s="33"/>
      <c r="BW1681" s="33"/>
      <c r="BX1681" s="33"/>
      <c r="BY1681" s="33"/>
      <c r="BZ1681" s="33"/>
      <c r="CA1681" s="33"/>
      <c r="CB1681" s="33"/>
      <c r="CC1681" s="33"/>
      <c r="CD1681" s="33"/>
      <c r="CE1681" s="33"/>
      <c r="CF1681" s="33"/>
      <c r="CG1681" s="33"/>
      <c r="CH1681" s="33"/>
      <c r="CI1681" s="250">
        <f t="shared" si="459"/>
        <v>0.14899999999999999</v>
      </c>
      <c r="CJ1681" s="243">
        <f t="shared" si="460"/>
        <v>-0.82681373158772598</v>
      </c>
      <c r="CK1681" s="38">
        <f>BL1681/BJ1681</f>
        <v>0.25250087034599927</v>
      </c>
      <c r="CL1681" s="247">
        <f t="shared" si="461"/>
        <v>0.18557938518239289</v>
      </c>
      <c r="CM1681" s="247">
        <v>-1.6910590432915908</v>
      </c>
      <c r="CN1681" s="247">
        <f>BJ1681/(10^CM1681)</f>
        <v>5.376654920241756</v>
      </c>
      <c r="CO1681" s="41"/>
      <c r="CP1681" s="41" t="s">
        <v>6193</v>
      </c>
      <c r="CQ1681" s="241">
        <v>-1.5944922590022019</v>
      </c>
      <c r="CR1681" s="241">
        <f t="shared" si="464"/>
        <v>5.8570445504357389</v>
      </c>
      <c r="CS1681" s="33"/>
      <c r="CT1681" s="33" t="s">
        <v>6310</v>
      </c>
      <c r="CU1681" s="250">
        <f t="shared" si="462"/>
        <v>3.5278335779787926</v>
      </c>
      <c r="CV1681" s="337">
        <f>X1681/BJ1681</f>
        <v>4.8</v>
      </c>
      <c r="CW1681" s="330">
        <f t="shared" si="463"/>
        <v>1</v>
      </c>
      <c r="CX1681" s="330" t="s">
        <v>539</v>
      </c>
      <c r="CY1681" s="143" t="s">
        <v>6351</v>
      </c>
    </row>
    <row r="1682" spans="1:103" ht="11.25" customHeight="1" x14ac:dyDescent="0.2">
      <c r="A1682" s="72">
        <v>1680</v>
      </c>
      <c r="B1682" s="241">
        <v>579</v>
      </c>
      <c r="C1682" s="32" t="s">
        <v>7634</v>
      </c>
      <c r="D1682" s="32"/>
      <c r="E1682" s="40"/>
      <c r="F1682" s="40" t="s">
        <v>1760</v>
      </c>
      <c r="G1682" s="242">
        <v>80466</v>
      </c>
      <c r="H1682" s="36" t="s">
        <v>1761</v>
      </c>
      <c r="I1682" s="36" t="s">
        <v>1761</v>
      </c>
      <c r="J1682" s="36" t="s">
        <v>1762</v>
      </c>
      <c r="K1682" s="36" t="s">
        <v>349</v>
      </c>
      <c r="L1682" s="36"/>
      <c r="M1682" s="36" t="s">
        <v>602</v>
      </c>
      <c r="N1682" s="36" t="s">
        <v>6082</v>
      </c>
      <c r="O1682" s="36" t="s">
        <v>1763</v>
      </c>
      <c r="P1682" s="41" t="s">
        <v>6184</v>
      </c>
      <c r="Q1682" s="41" t="s">
        <v>6173</v>
      </c>
      <c r="R1682" s="41" t="s">
        <v>6185</v>
      </c>
      <c r="S1682" s="41" t="s">
        <v>6176</v>
      </c>
      <c r="T1682" s="37">
        <v>164.24</v>
      </c>
      <c r="U1682" s="243">
        <v>1.0228933268387725</v>
      </c>
      <c r="V1682" s="243">
        <v>0.68923526546517289</v>
      </c>
      <c r="W1682" s="243">
        <v>2.8183829312644524</v>
      </c>
      <c r="X1682" s="243">
        <v>1.0228933268387725</v>
      </c>
      <c r="Y1682" s="414">
        <v>6.38</v>
      </c>
      <c r="Z1682" s="37">
        <v>3.91</v>
      </c>
      <c r="AA1682" s="37"/>
      <c r="AB1682" s="37">
        <v>3.65</v>
      </c>
      <c r="AC1682" s="37">
        <v>0.90659999999999996</v>
      </c>
      <c r="AD1682" s="37">
        <v>3.66</v>
      </c>
      <c r="AE1682" s="37">
        <v>3.7</v>
      </c>
      <c r="AF1682" s="37">
        <f t="shared" si="431"/>
        <v>3.66</v>
      </c>
      <c r="AG1682" s="38">
        <v>3.54</v>
      </c>
      <c r="AH1682" s="243">
        <v>1.9199999999999998E-6</v>
      </c>
      <c r="AI1682" s="243"/>
      <c r="AJ1682" s="34">
        <f t="shared" si="457"/>
        <v>-4.1052650976091023</v>
      </c>
      <c r="AK1682" s="34"/>
      <c r="AL1682" s="34">
        <f t="shared" si="458"/>
        <v>-4.1052650976091023</v>
      </c>
      <c r="AM1682" s="34">
        <v>-6.8975099999999996</v>
      </c>
      <c r="AN1682" s="244">
        <v>-4.1500000000000004</v>
      </c>
      <c r="AO1682" s="417">
        <v>10.24</v>
      </c>
      <c r="AP1682" s="417"/>
      <c r="AQ1682" s="244" t="s">
        <v>6311</v>
      </c>
      <c r="AR1682" s="244" t="s">
        <v>6311</v>
      </c>
      <c r="AS1682" s="241" t="s">
        <v>6</v>
      </c>
      <c r="AT1682" s="39" t="s">
        <v>266</v>
      </c>
      <c r="AU1682" s="37">
        <v>2</v>
      </c>
      <c r="AV1682" s="37">
        <v>24</v>
      </c>
      <c r="AW1682" s="37">
        <v>24</v>
      </c>
      <c r="AX1682" s="37">
        <v>27</v>
      </c>
      <c r="AY1682" s="37" t="s">
        <v>8722</v>
      </c>
      <c r="AZ1682" s="37" t="s">
        <v>536</v>
      </c>
      <c r="BA1682" s="37">
        <v>20</v>
      </c>
      <c r="BB1682" s="36" t="s">
        <v>1764</v>
      </c>
      <c r="BC1682" s="36" t="s">
        <v>538</v>
      </c>
      <c r="BD1682" s="36"/>
      <c r="BE1682" s="37" t="s">
        <v>649</v>
      </c>
      <c r="BF1682" s="37" t="s">
        <v>272</v>
      </c>
      <c r="BG1682" s="37" t="s">
        <v>272</v>
      </c>
      <c r="BH1682" s="37" t="s">
        <v>1765</v>
      </c>
      <c r="BI1682" s="248">
        <v>6.0886507549926937E-4</v>
      </c>
      <c r="BJ1682" s="248">
        <v>3.0443253774963465E-2</v>
      </c>
      <c r="BK1682" s="37"/>
      <c r="BL1682" s="243">
        <f t="shared" si="456"/>
        <v>1.5820820385510807E-2</v>
      </c>
      <c r="BM1682" s="37" t="s">
        <v>541</v>
      </c>
      <c r="BN1682" s="37">
        <v>2.1310277642474427E-2</v>
      </c>
      <c r="BO1682" s="37">
        <v>2.1310277642474427E-2</v>
      </c>
      <c r="BP1682" s="37">
        <v>2.1310277642474427E-2</v>
      </c>
      <c r="BQ1682" s="37"/>
      <c r="BR1682" s="37"/>
      <c r="BS1682" s="37"/>
      <c r="BT1682" s="37"/>
      <c r="BU1682" s="246"/>
      <c r="BV1682" s="37"/>
      <c r="BW1682" s="37"/>
      <c r="BX1682" s="37"/>
      <c r="BY1682" s="37"/>
      <c r="BZ1682" s="37"/>
      <c r="CA1682" s="37"/>
      <c r="CB1682" s="37"/>
      <c r="CC1682" s="37"/>
      <c r="CD1682" s="37"/>
      <c r="CE1682" s="37"/>
      <c r="CF1682" s="37"/>
      <c r="CG1682" s="37"/>
      <c r="CH1682" s="37"/>
      <c r="CI1682" s="243">
        <f t="shared" si="459"/>
        <v>2.1310277642474427E-2</v>
      </c>
      <c r="CJ1682" s="243">
        <f t="shared" si="460"/>
        <v>-1.6714108920122599</v>
      </c>
      <c r="CK1682" s="38">
        <f>BL1682/BJ1682</f>
        <v>0.51968230802325899</v>
      </c>
      <c r="CL1682" s="247">
        <f t="shared" si="461"/>
        <v>0.74240329717608433</v>
      </c>
      <c r="CM1682" s="247">
        <v>-1.8067412294544996</v>
      </c>
      <c r="CN1682" s="247">
        <f>BJ1682/(10^CM1682)</f>
        <v>1.9508878205732381</v>
      </c>
      <c r="CO1682" s="36"/>
      <c r="CP1682" s="36" t="s">
        <v>1766</v>
      </c>
      <c r="CQ1682" s="241">
        <v>-1.8067412294544998</v>
      </c>
      <c r="CR1682" s="241">
        <f t="shared" si="464"/>
        <v>1.3656214744012665</v>
      </c>
      <c r="CS1682" s="33"/>
      <c r="CT1682" s="33"/>
      <c r="CU1682" s="250">
        <f t="shared" si="462"/>
        <v>48</v>
      </c>
      <c r="CV1682" s="337">
        <f>X1682/BJ1682</f>
        <v>33.6</v>
      </c>
      <c r="CW1682" s="330">
        <f t="shared" si="463"/>
        <v>1</v>
      </c>
      <c r="CX1682" s="330"/>
      <c r="CY1682" s="143" t="s">
        <v>6351</v>
      </c>
    </row>
    <row r="1683" spans="1:103" ht="11.25" customHeight="1" x14ac:dyDescent="0.2">
      <c r="A1683" s="72">
        <v>1681</v>
      </c>
      <c r="B1683" s="241">
        <v>2079</v>
      </c>
      <c r="C1683" s="32" t="s">
        <v>1874</v>
      </c>
      <c r="D1683" s="32"/>
      <c r="E1683" s="40"/>
      <c r="F1683" s="40" t="s">
        <v>1875</v>
      </c>
      <c r="G1683" s="242">
        <v>83794</v>
      </c>
      <c r="H1683" s="41" t="s">
        <v>1876</v>
      </c>
      <c r="I1683" s="41" t="s">
        <v>1876</v>
      </c>
      <c r="J1683" s="41" t="s">
        <v>1877</v>
      </c>
      <c r="K1683" s="41" t="s">
        <v>1878</v>
      </c>
      <c r="L1683" s="36" t="s">
        <v>617</v>
      </c>
      <c r="M1683" s="36" t="s">
        <v>6099</v>
      </c>
      <c r="N1683" s="36" t="s">
        <v>6381</v>
      </c>
      <c r="O1683" s="36" t="s">
        <v>6100</v>
      </c>
      <c r="P1683" s="41"/>
      <c r="Q1683" s="41" t="s">
        <v>6176</v>
      </c>
      <c r="R1683" s="41" t="s">
        <v>6185</v>
      </c>
      <c r="S1683" s="41" t="s">
        <v>6176</v>
      </c>
      <c r="T1683" s="33">
        <v>394.43</v>
      </c>
      <c r="U1683" s="250">
        <v>5.0707367780538509E-4</v>
      </c>
      <c r="V1683" s="250">
        <v>2.6494599665331368E-3</v>
      </c>
      <c r="W1683" s="250">
        <v>6.9183097091893536E-4</v>
      </c>
      <c r="X1683" s="250">
        <v>5.0707367780538509E-4</v>
      </c>
      <c r="Y1683" s="415">
        <v>7</v>
      </c>
      <c r="Z1683" s="33">
        <v>4.3099999999999996</v>
      </c>
      <c r="AA1683" s="33">
        <v>4.0999999999999996</v>
      </c>
      <c r="AB1683" s="33">
        <v>3.96</v>
      </c>
      <c r="AC1683" s="33">
        <v>0.64770000000000005</v>
      </c>
      <c r="AD1683" s="33">
        <v>4.24</v>
      </c>
      <c r="AE1683" s="33">
        <v>4.6500000000000004</v>
      </c>
      <c r="AF1683" s="33">
        <f t="shared" si="431"/>
        <v>4.0999999999999996</v>
      </c>
      <c r="AG1683" s="34">
        <v>3.51</v>
      </c>
      <c r="AH1683" s="250">
        <v>1.12E-13</v>
      </c>
      <c r="AI1683" s="250"/>
      <c r="AJ1683" s="34">
        <f t="shared" si="457"/>
        <v>-11.33934830364247</v>
      </c>
      <c r="AK1683" s="34"/>
      <c r="AL1683" s="34">
        <f t="shared" si="458"/>
        <v>-11.33934830364247</v>
      </c>
      <c r="AM1683" s="34">
        <v>-18.712900000000001</v>
      </c>
      <c r="AN1683" s="251"/>
      <c r="AO1683" s="417"/>
      <c r="AP1683" s="417"/>
      <c r="AQ1683" s="251" t="s">
        <v>6311</v>
      </c>
      <c r="AR1683" s="251" t="s">
        <v>6311</v>
      </c>
      <c r="AS1683" s="252" t="s">
        <v>5466</v>
      </c>
      <c r="AT1683" s="35" t="s">
        <v>266</v>
      </c>
      <c r="AU1683" s="33">
        <v>4</v>
      </c>
      <c r="AV1683" s="33">
        <v>80</v>
      </c>
      <c r="AW1683" s="33">
        <v>76</v>
      </c>
      <c r="AX1683" s="33">
        <v>28</v>
      </c>
      <c r="AY1683" s="33" t="s">
        <v>267</v>
      </c>
      <c r="AZ1683" s="33" t="s">
        <v>5731</v>
      </c>
      <c r="BA1683" s="33">
        <v>20</v>
      </c>
      <c r="BB1683" s="41" t="s">
        <v>5732</v>
      </c>
      <c r="BC1683" s="41" t="s">
        <v>1584</v>
      </c>
      <c r="BD1683" s="41"/>
      <c r="BE1683" s="33" t="s">
        <v>5733</v>
      </c>
      <c r="BF1683" s="33"/>
      <c r="BG1683" s="33"/>
      <c r="BH1683" s="33" t="s">
        <v>5734</v>
      </c>
      <c r="BI1683" s="250"/>
      <c r="BJ1683" s="250"/>
      <c r="BK1683" s="254"/>
      <c r="BL1683" s="250">
        <f t="shared" si="456"/>
        <v>6.9181344814436396E-3</v>
      </c>
      <c r="BM1683" s="33"/>
      <c r="BN1683" s="33"/>
      <c r="BO1683" s="33"/>
      <c r="BP1683" s="33"/>
      <c r="BQ1683" s="33"/>
      <c r="BR1683" s="33"/>
      <c r="BS1683" s="33"/>
      <c r="BT1683" s="33"/>
      <c r="BU1683" s="246"/>
      <c r="BV1683" s="33">
        <v>3.6000000000000002E-4</v>
      </c>
      <c r="BW1683" s="33">
        <v>2.9999999999999997E-4</v>
      </c>
      <c r="BX1683" s="33"/>
      <c r="BY1683" s="33"/>
      <c r="BZ1683" s="33"/>
      <c r="CA1683" s="33"/>
      <c r="CB1683" s="33"/>
      <c r="CC1683" s="33"/>
      <c r="CD1683" s="33"/>
      <c r="CE1683" s="33"/>
      <c r="CF1683" s="33"/>
      <c r="CG1683" s="33"/>
      <c r="CH1683" s="33"/>
      <c r="CI1683" s="250">
        <f t="shared" si="459"/>
        <v>2.9999999999999997E-4</v>
      </c>
      <c r="CJ1683" s="243">
        <f t="shared" si="460"/>
        <v>-3.5228787452803374</v>
      </c>
      <c r="CK1683" s="38" t="s">
        <v>404</v>
      </c>
      <c r="CL1683" s="247">
        <f t="shared" si="461"/>
        <v>23.060448271478801</v>
      </c>
      <c r="CM1683" s="247">
        <v>-4.6043685997444435</v>
      </c>
      <c r="CN1683" s="247"/>
      <c r="CO1683" s="41"/>
      <c r="CP1683" s="41" t="s">
        <v>5735</v>
      </c>
      <c r="CQ1683" s="241">
        <v>-4.2059349606899765</v>
      </c>
      <c r="CR1683" s="241">
        <f t="shared" si="464"/>
        <v>4.8201018535404225</v>
      </c>
      <c r="CS1683" s="33"/>
      <c r="CT1683" s="33"/>
      <c r="CU1683" s="250">
        <f t="shared" si="462"/>
        <v>1.6902455926846172</v>
      </c>
      <c r="CV1683" s="337"/>
      <c r="CW1683" s="330">
        <f t="shared" si="463"/>
        <v>0</v>
      </c>
      <c r="CX1683" s="330" t="s">
        <v>539</v>
      </c>
      <c r="CY1683" s="143" t="s">
        <v>5921</v>
      </c>
    </row>
    <row r="1684" spans="1:103" ht="11.25" customHeight="1" x14ac:dyDescent="0.2">
      <c r="A1684" s="72">
        <v>1682</v>
      </c>
      <c r="B1684" s="241">
        <v>2122</v>
      </c>
      <c r="C1684" s="32" t="s">
        <v>1874</v>
      </c>
      <c r="D1684" s="32"/>
      <c r="E1684" s="40"/>
      <c r="F1684" s="40" t="s">
        <v>1875</v>
      </c>
      <c r="G1684" s="242">
        <v>83794</v>
      </c>
      <c r="H1684" s="41" t="s">
        <v>1876</v>
      </c>
      <c r="I1684" s="41" t="s">
        <v>1876</v>
      </c>
      <c r="J1684" s="41" t="s">
        <v>1877</v>
      </c>
      <c r="K1684" s="41" t="s">
        <v>1878</v>
      </c>
      <c r="L1684" s="36" t="s">
        <v>617</v>
      </c>
      <c r="M1684" s="36" t="s">
        <v>6099</v>
      </c>
      <c r="N1684" s="36" t="s">
        <v>6381</v>
      </c>
      <c r="O1684" s="36" t="s">
        <v>6100</v>
      </c>
      <c r="P1684" s="41"/>
      <c r="Q1684" s="41" t="s">
        <v>6176</v>
      </c>
      <c r="R1684" s="41" t="s">
        <v>6185</v>
      </c>
      <c r="S1684" s="41" t="s">
        <v>6176</v>
      </c>
      <c r="T1684" s="33">
        <v>394.43</v>
      </c>
      <c r="U1684" s="250">
        <v>5.0707367780538509E-4</v>
      </c>
      <c r="V1684" s="250">
        <v>2.6494599665331368E-3</v>
      </c>
      <c r="W1684" s="250">
        <v>6.9183097091893536E-4</v>
      </c>
      <c r="X1684" s="250">
        <v>5.0707367780538509E-4</v>
      </c>
      <c r="Y1684" s="415">
        <v>7</v>
      </c>
      <c r="Z1684" s="33">
        <v>4.3099999999999996</v>
      </c>
      <c r="AA1684" s="33">
        <v>4.0999999999999996</v>
      </c>
      <c r="AB1684" s="33">
        <v>3.96</v>
      </c>
      <c r="AC1684" s="33">
        <v>0.64770000000000005</v>
      </c>
      <c r="AD1684" s="33">
        <v>4.24</v>
      </c>
      <c r="AE1684" s="33">
        <v>4.6500000000000004</v>
      </c>
      <c r="AF1684" s="33">
        <f t="shared" si="431"/>
        <v>4.0999999999999996</v>
      </c>
      <c r="AG1684" s="34">
        <v>3.51</v>
      </c>
      <c r="AH1684" s="250">
        <v>1.12E-13</v>
      </c>
      <c r="AI1684" s="250"/>
      <c r="AJ1684" s="34">
        <f t="shared" si="457"/>
        <v>-11.33934830364247</v>
      </c>
      <c r="AK1684" s="34"/>
      <c r="AL1684" s="34">
        <f t="shared" si="458"/>
        <v>-11.33934830364247</v>
      </c>
      <c r="AM1684" s="34">
        <v>-18.712900000000001</v>
      </c>
      <c r="AN1684" s="251">
        <v>-12.997</v>
      </c>
      <c r="AO1684" s="417"/>
      <c r="AP1684" s="417"/>
      <c r="AQ1684" s="251" t="s">
        <v>6311</v>
      </c>
      <c r="AR1684" s="251" t="s">
        <v>6311</v>
      </c>
      <c r="AS1684" s="252" t="s">
        <v>5466</v>
      </c>
      <c r="AT1684" s="35" t="s">
        <v>266</v>
      </c>
      <c r="AU1684" s="33">
        <v>5</v>
      </c>
      <c r="AV1684" s="33">
        <v>25</v>
      </c>
      <c r="AW1684" s="33">
        <v>20</v>
      </c>
      <c r="AX1684" s="33">
        <v>28</v>
      </c>
      <c r="AY1684" s="33" t="s">
        <v>267</v>
      </c>
      <c r="AZ1684" s="33" t="s">
        <v>5820</v>
      </c>
      <c r="BA1684" s="33"/>
      <c r="BB1684" s="41" t="s">
        <v>5821</v>
      </c>
      <c r="BC1684" s="41" t="s">
        <v>8377</v>
      </c>
      <c r="BD1684" s="41"/>
      <c r="BE1684" s="33" t="s">
        <v>2449</v>
      </c>
      <c r="BF1684" s="33"/>
      <c r="BG1684" s="33"/>
      <c r="BH1684" s="33" t="s">
        <v>5626</v>
      </c>
      <c r="BI1684" s="250"/>
      <c r="BJ1684" s="250">
        <v>0.05</v>
      </c>
      <c r="BK1684" s="254"/>
      <c r="BL1684" s="250">
        <f t="shared" si="456"/>
        <v>6.9181344814436396E-3</v>
      </c>
      <c r="BM1684" s="33"/>
      <c r="BN1684" s="33">
        <v>3.6999999999999999E-4</v>
      </c>
      <c r="BO1684" s="33"/>
      <c r="BP1684" s="33"/>
      <c r="BQ1684" s="33"/>
      <c r="BR1684" s="33"/>
      <c r="BS1684" s="33"/>
      <c r="BT1684" s="33"/>
      <c r="BU1684" s="246"/>
      <c r="BV1684" s="33"/>
      <c r="BW1684" s="33"/>
      <c r="BX1684" s="33"/>
      <c r="BY1684" s="33"/>
      <c r="BZ1684" s="33"/>
      <c r="CA1684" s="33"/>
      <c r="CB1684" s="33"/>
      <c r="CC1684" s="33"/>
      <c r="CD1684" s="33"/>
      <c r="CE1684" s="33"/>
      <c r="CF1684" s="33"/>
      <c r="CG1684" s="33"/>
      <c r="CH1684" s="33"/>
      <c r="CI1684" s="250">
        <f t="shared" si="459"/>
        <v>3.6999999999999999E-4</v>
      </c>
      <c r="CJ1684" s="243">
        <f t="shared" si="460"/>
        <v>-3.431798275933005</v>
      </c>
      <c r="CK1684" s="38">
        <f>BL1684/BJ1684</f>
        <v>0.13836268962887277</v>
      </c>
      <c r="CL1684" s="247">
        <f t="shared" si="461"/>
        <v>18.697660760658486</v>
      </c>
      <c r="CM1684" s="247">
        <v>-4.6043685997444435</v>
      </c>
      <c r="CN1684" s="247">
        <f>BJ1684/(10^CM1684)</f>
        <v>2010.6598421694589</v>
      </c>
      <c r="CO1684" s="41"/>
      <c r="CP1684" s="255" t="s">
        <v>8376</v>
      </c>
      <c r="CQ1684" s="241">
        <v>-4.2059349606899765</v>
      </c>
      <c r="CR1684" s="241">
        <f t="shared" si="464"/>
        <v>5.9447922860331852</v>
      </c>
      <c r="CS1684" s="33"/>
      <c r="CT1684" s="33"/>
      <c r="CU1684" s="250">
        <f t="shared" si="462"/>
        <v>1.3704693994740138</v>
      </c>
      <c r="CV1684" s="337">
        <f>X1684/BJ1684</f>
        <v>1.0141473556107701E-2</v>
      </c>
      <c r="CW1684" s="330">
        <f t="shared" si="463"/>
        <v>0</v>
      </c>
      <c r="CX1684" s="330"/>
      <c r="CY1684" s="143" t="s">
        <v>5921</v>
      </c>
    </row>
    <row r="1685" spans="1:103" ht="11.25" customHeight="1" x14ac:dyDescent="0.2">
      <c r="A1685" s="72">
        <v>1683</v>
      </c>
      <c r="B1685" s="241">
        <v>695</v>
      </c>
      <c r="C1685" s="32" t="s">
        <v>1095</v>
      </c>
      <c r="D1685" s="32" t="s">
        <v>6673</v>
      </c>
      <c r="E1685" s="40"/>
      <c r="F1685" s="40" t="s">
        <v>1096</v>
      </c>
      <c r="G1685" s="242">
        <v>84742</v>
      </c>
      <c r="H1685" s="36" t="s">
        <v>1097</v>
      </c>
      <c r="I1685" s="36" t="s">
        <v>1097</v>
      </c>
      <c r="J1685" s="36" t="s">
        <v>1098</v>
      </c>
      <c r="K1685" s="36" t="s">
        <v>357</v>
      </c>
      <c r="L1685" s="36" t="s">
        <v>5492</v>
      </c>
      <c r="M1685" s="36" t="s">
        <v>866</v>
      </c>
      <c r="N1685" s="36" t="s">
        <v>6082</v>
      </c>
      <c r="O1685" s="36" t="s">
        <v>6086</v>
      </c>
      <c r="P1685" s="41"/>
      <c r="Q1685" s="41" t="s">
        <v>6173</v>
      </c>
      <c r="R1685" s="41" t="s">
        <v>6174</v>
      </c>
      <c r="S1685" s="41" t="s">
        <v>6176</v>
      </c>
      <c r="T1685" s="37">
        <v>278.33999999999997</v>
      </c>
      <c r="U1685" s="243">
        <v>4.0238557160307539E-2</v>
      </c>
      <c r="V1685" s="243">
        <v>8.4465042753466991E-3</v>
      </c>
      <c r="W1685" s="243">
        <v>8.9125093813374523E-2</v>
      </c>
      <c r="X1685" s="243">
        <v>4.0238557160307539E-2</v>
      </c>
      <c r="Y1685" s="414">
        <v>7</v>
      </c>
      <c r="Z1685" s="37">
        <v>4.6100000000000003</v>
      </c>
      <c r="AA1685" s="37">
        <v>4.5</v>
      </c>
      <c r="AB1685" s="37">
        <v>4.62</v>
      </c>
      <c r="AC1685" s="37">
        <v>0.79549999999999998</v>
      </c>
      <c r="AD1685" s="37">
        <v>4.68</v>
      </c>
      <c r="AE1685" s="37">
        <v>4.83</v>
      </c>
      <c r="AF1685" s="37">
        <f t="shared" si="431"/>
        <v>4.5</v>
      </c>
      <c r="AG1685" s="38">
        <v>3.98</v>
      </c>
      <c r="AH1685" s="243">
        <v>1.22E-6</v>
      </c>
      <c r="AI1685" s="243">
        <v>1.81E-6</v>
      </c>
      <c r="AJ1685" s="34">
        <f t="shared" si="457"/>
        <v>-4.302206495637904</v>
      </c>
      <c r="AK1685" s="34">
        <f>LOG10(AI1685*1000/(0.08206*298.15))</f>
        <v>-4.130887751443467</v>
      </c>
      <c r="AL1685" s="34">
        <f t="shared" si="458"/>
        <v>-4.130887751443467</v>
      </c>
      <c r="AM1685" s="34">
        <v>-8.9484100000000009</v>
      </c>
      <c r="AN1685" s="244">
        <v>-4.67</v>
      </c>
      <c r="AO1685" s="417"/>
      <c r="AP1685" s="417"/>
      <c r="AQ1685" s="244" t="s">
        <v>6311</v>
      </c>
      <c r="AR1685" s="244" t="s">
        <v>6312</v>
      </c>
      <c r="AS1685" s="241" t="s">
        <v>6</v>
      </c>
      <c r="AT1685" s="39" t="s">
        <v>266</v>
      </c>
      <c r="AU1685" s="37">
        <v>2</v>
      </c>
      <c r="AV1685" s="37">
        <v>48</v>
      </c>
      <c r="AW1685" s="37">
        <v>48</v>
      </c>
      <c r="AX1685" s="37">
        <v>26</v>
      </c>
      <c r="AY1685" s="37" t="s">
        <v>647</v>
      </c>
      <c r="AZ1685" s="37" t="s">
        <v>1920</v>
      </c>
      <c r="BA1685" s="37">
        <v>10</v>
      </c>
      <c r="BB1685" s="36" t="s">
        <v>1613</v>
      </c>
      <c r="BC1685" s="36" t="s">
        <v>538</v>
      </c>
      <c r="BD1685" s="36"/>
      <c r="BE1685" s="37" t="s">
        <v>271</v>
      </c>
      <c r="BF1685" s="37" t="s">
        <v>272</v>
      </c>
      <c r="BG1685" s="37" t="s">
        <v>272</v>
      </c>
      <c r="BH1685" s="37" t="s">
        <v>272</v>
      </c>
      <c r="BI1685" s="248">
        <v>1.1963355487695346E-2</v>
      </c>
      <c r="BJ1685" s="248">
        <v>7.9037183402191485E-2</v>
      </c>
      <c r="BK1685" s="37"/>
      <c r="BL1685" s="243">
        <f t="shared" si="456"/>
        <v>3.7201375673569328E-3</v>
      </c>
      <c r="BM1685" s="37" t="s">
        <v>541</v>
      </c>
      <c r="BN1685" s="37"/>
      <c r="BO1685" s="37">
        <v>8.1911262798634796E-3</v>
      </c>
      <c r="BP1685" s="37"/>
      <c r="BQ1685" s="37"/>
      <c r="BR1685" s="37"/>
      <c r="BS1685" s="37"/>
      <c r="BT1685" s="37"/>
      <c r="BU1685" s="246"/>
      <c r="BV1685" s="37"/>
      <c r="BW1685" s="37"/>
      <c r="BX1685" s="37"/>
      <c r="BY1685" s="37"/>
      <c r="BZ1685" s="37"/>
      <c r="CA1685" s="37"/>
      <c r="CB1685" s="37"/>
      <c r="CC1685" s="37"/>
      <c r="CD1685" s="37"/>
      <c r="CE1685" s="37"/>
      <c r="CF1685" s="37"/>
      <c r="CG1685" s="37"/>
      <c r="CH1685" s="37"/>
      <c r="CI1685" s="243">
        <f t="shared" si="459"/>
        <v>8.1911262798634796E-3</v>
      </c>
      <c r="CJ1685" s="243">
        <f t="shared" si="460"/>
        <v>-2.0866563786425036</v>
      </c>
      <c r="CK1685" s="38">
        <f>BL1685/BJ1685</f>
        <v>4.7068195085172827E-2</v>
      </c>
      <c r="CL1685" s="247">
        <f t="shared" si="461"/>
        <v>0.45416679468149229</v>
      </c>
      <c r="CM1685" s="247">
        <v>-2.3583644594795694</v>
      </c>
      <c r="CN1685" s="247">
        <f>BJ1685/(10^CM1685)</f>
        <v>18.038312839893749</v>
      </c>
      <c r="CO1685" s="36"/>
      <c r="CP1685" s="36" t="s">
        <v>1992</v>
      </c>
      <c r="CQ1685" s="241">
        <v>-2.294003281648453</v>
      </c>
      <c r="CR1685" s="241">
        <f t="shared" si="464"/>
        <v>1.6119326905004405</v>
      </c>
      <c r="CS1685" s="33"/>
      <c r="CT1685" s="33"/>
      <c r="CU1685" s="250">
        <f t="shared" si="462"/>
        <v>4.9124571866542128</v>
      </c>
      <c r="CV1685" s="337">
        <f>X1685/BJ1685</f>
        <v>0.50910919934416377</v>
      </c>
      <c r="CW1685" s="330">
        <f t="shared" si="463"/>
        <v>1</v>
      </c>
      <c r="CX1685" s="330"/>
      <c r="CY1685" s="143" t="s">
        <v>6351</v>
      </c>
    </row>
    <row r="1686" spans="1:103" ht="11.25" customHeight="1" x14ac:dyDescent="0.2">
      <c r="A1686" s="72">
        <v>1684</v>
      </c>
      <c r="B1686" s="241">
        <v>2091</v>
      </c>
      <c r="C1686" s="32" t="s">
        <v>7635</v>
      </c>
      <c r="D1686" s="32"/>
      <c r="E1686" s="40"/>
      <c r="F1686" s="40" t="s">
        <v>5780</v>
      </c>
      <c r="G1686" s="242">
        <v>84797</v>
      </c>
      <c r="H1686" s="41" t="s">
        <v>5781</v>
      </c>
      <c r="I1686" s="41" t="s">
        <v>5781</v>
      </c>
      <c r="J1686" s="41" t="s">
        <v>5782</v>
      </c>
      <c r="K1686" s="41" t="s">
        <v>5755</v>
      </c>
      <c r="L1686" s="41"/>
      <c r="M1686" s="41"/>
      <c r="N1686" s="36"/>
      <c r="O1686" s="41"/>
      <c r="P1686" s="41"/>
      <c r="Q1686" s="41"/>
      <c r="R1686" s="41"/>
      <c r="S1686" s="41"/>
      <c r="T1686" s="33">
        <v>242.28</v>
      </c>
      <c r="U1686" s="250"/>
      <c r="V1686" s="250">
        <v>0.22948654449397393</v>
      </c>
      <c r="W1686" s="250">
        <v>3.4673685045253158E-2</v>
      </c>
      <c r="X1686" s="250">
        <f>IF(W1686=0,V1686,W1686)</f>
        <v>3.4673685045253158E-2</v>
      </c>
      <c r="Y1686" s="415">
        <v>4.78</v>
      </c>
      <c r="Z1686" s="33">
        <v>3.13</v>
      </c>
      <c r="AA1686" s="33"/>
      <c r="AB1686" s="33">
        <v>2.09</v>
      </c>
      <c r="AC1686" s="33">
        <v>0.8216</v>
      </c>
      <c r="AD1686" s="33">
        <v>2.56</v>
      </c>
      <c r="AE1686" s="33">
        <v>4.08</v>
      </c>
      <c r="AF1686" s="33">
        <f t="shared" si="431"/>
        <v>2.56</v>
      </c>
      <c r="AG1686" s="34">
        <v>2.56</v>
      </c>
      <c r="AH1686" s="250">
        <v>1.2299999999999999E-8</v>
      </c>
      <c r="AI1686" s="250"/>
      <c r="AJ1686" s="34">
        <f t="shared" si="457"/>
        <v>-6.2986612148732544</v>
      </c>
      <c r="AK1686" s="34"/>
      <c r="AL1686" s="34">
        <f t="shared" si="458"/>
        <v>-6.2986612148732544</v>
      </c>
      <c r="AM1686" s="34">
        <v>-14.40296</v>
      </c>
      <c r="AN1686" s="251"/>
      <c r="AO1686" s="417">
        <v>4.8099999999999996</v>
      </c>
      <c r="AP1686" s="417"/>
      <c r="AQ1686" s="251" t="s">
        <v>6311</v>
      </c>
      <c r="AR1686" s="251" t="s">
        <v>6311</v>
      </c>
      <c r="AS1686" s="252" t="s">
        <v>5466</v>
      </c>
      <c r="AT1686" s="35" t="s">
        <v>266</v>
      </c>
      <c r="AU1686" s="33">
        <v>4</v>
      </c>
      <c r="AV1686" s="33">
        <v>80</v>
      </c>
      <c r="AW1686" s="33">
        <v>76</v>
      </c>
      <c r="AX1686" s="33">
        <v>28</v>
      </c>
      <c r="AY1686" s="33" t="s">
        <v>267</v>
      </c>
      <c r="AZ1686" s="33" t="s">
        <v>5731</v>
      </c>
      <c r="BA1686" s="33">
        <v>20</v>
      </c>
      <c r="BB1686" s="41" t="s">
        <v>5732</v>
      </c>
      <c r="BC1686" s="41" t="s">
        <v>1584</v>
      </c>
      <c r="BD1686" s="41"/>
      <c r="BE1686" s="33" t="s">
        <v>5733</v>
      </c>
      <c r="BF1686" s="33"/>
      <c r="BG1686" s="33"/>
      <c r="BH1686" s="33" t="s">
        <v>5734</v>
      </c>
      <c r="BI1686" s="250"/>
      <c r="BJ1686" s="250"/>
      <c r="BK1686" s="254"/>
      <c r="BL1686" s="250">
        <f t="shared" si="456"/>
        <v>7.9386563037026806E-2</v>
      </c>
      <c r="BM1686" s="33"/>
      <c r="BN1686" s="33"/>
      <c r="BO1686" s="33"/>
      <c r="BP1686" s="33"/>
      <c r="BQ1686" s="33"/>
      <c r="BR1686" s="33"/>
      <c r="BS1686" s="33"/>
      <c r="BT1686" s="33"/>
      <c r="BU1686" s="246"/>
      <c r="BV1686" s="33"/>
      <c r="BW1686" s="33">
        <v>8.9499999999999996E-3</v>
      </c>
      <c r="BX1686" s="33"/>
      <c r="BY1686" s="33"/>
      <c r="BZ1686" s="33"/>
      <c r="CA1686" s="33"/>
      <c r="CB1686" s="33"/>
      <c r="CC1686" s="33"/>
      <c r="CD1686" s="33"/>
      <c r="CE1686" s="33"/>
      <c r="CF1686" s="33"/>
      <c r="CG1686" s="33"/>
      <c r="CH1686" s="33"/>
      <c r="CI1686" s="250">
        <f t="shared" si="459"/>
        <v>8.9499999999999996E-3</v>
      </c>
      <c r="CJ1686" s="243">
        <f t="shared" si="460"/>
        <v>-2.0481769646840879</v>
      </c>
      <c r="CK1686" s="38" t="s">
        <v>404</v>
      </c>
      <c r="CL1686" s="247">
        <f t="shared" si="461"/>
        <v>8.8700070432432181</v>
      </c>
      <c r="CM1686" s="247"/>
      <c r="CN1686" s="247"/>
      <c r="CO1686" s="41"/>
      <c r="CP1686" s="41" t="s">
        <v>5735</v>
      </c>
      <c r="CQ1686" s="241" t="s">
        <v>272</v>
      </c>
      <c r="CR1686" s="241"/>
      <c r="CS1686" s="33"/>
      <c r="CT1686" s="33"/>
      <c r="CU1686" s="250">
        <f t="shared" si="462"/>
        <v>3.8741547536595711</v>
      </c>
      <c r="CV1686" s="337"/>
      <c r="CW1686" s="330">
        <f t="shared" si="463"/>
        <v>1</v>
      </c>
      <c r="CX1686" s="330" t="s">
        <v>539</v>
      </c>
      <c r="CY1686" s="143" t="s">
        <v>5921</v>
      </c>
    </row>
    <row r="1687" spans="1:103" ht="11.25" customHeight="1" x14ac:dyDescent="0.2">
      <c r="A1687" s="72">
        <v>1685</v>
      </c>
      <c r="B1687" s="241">
        <v>2050</v>
      </c>
      <c r="C1687" s="32" t="s">
        <v>5208</v>
      </c>
      <c r="D1687" s="32"/>
      <c r="E1687" s="40"/>
      <c r="F1687" s="40" t="s">
        <v>5209</v>
      </c>
      <c r="G1687" s="242">
        <v>85018</v>
      </c>
      <c r="H1687" s="41" t="s">
        <v>5491</v>
      </c>
      <c r="I1687" s="41" t="s">
        <v>7888</v>
      </c>
      <c r="J1687" s="41" t="s">
        <v>5211</v>
      </c>
      <c r="K1687" s="41" t="s">
        <v>426</v>
      </c>
      <c r="L1687" s="41" t="s">
        <v>5492</v>
      </c>
      <c r="M1687" s="41" t="s">
        <v>866</v>
      </c>
      <c r="N1687" s="36" t="s">
        <v>6082</v>
      </c>
      <c r="O1687" s="41" t="s">
        <v>6086</v>
      </c>
      <c r="P1687" s="41"/>
      <c r="Q1687" s="41"/>
      <c r="R1687" s="41"/>
      <c r="S1687" s="41"/>
      <c r="T1687" s="33">
        <v>178.23</v>
      </c>
      <c r="U1687" s="250">
        <v>6.4523368680917915E-3</v>
      </c>
      <c r="V1687" s="250">
        <v>3.798462660607081E-3</v>
      </c>
      <c r="W1687" s="250">
        <v>2.5703957827688598E-3</v>
      </c>
      <c r="X1687" s="250">
        <v>6.4523368680917915E-3</v>
      </c>
      <c r="Y1687" s="415">
        <v>7</v>
      </c>
      <c r="Z1687" s="33">
        <v>4.3499999999999996</v>
      </c>
      <c r="AA1687" s="33">
        <v>4.46</v>
      </c>
      <c r="AB1687" s="33">
        <v>4.72</v>
      </c>
      <c r="AC1687" s="33">
        <v>0.88919999999999999</v>
      </c>
      <c r="AD1687" s="33">
        <v>4.71</v>
      </c>
      <c r="AE1687" s="33">
        <v>4.68</v>
      </c>
      <c r="AF1687" s="33">
        <f t="shared" si="431"/>
        <v>4.46</v>
      </c>
      <c r="AG1687" s="34">
        <v>4.09</v>
      </c>
      <c r="AH1687" s="250">
        <v>5.13E-5</v>
      </c>
      <c r="AI1687" s="250">
        <v>4.2299999999999998E-5</v>
      </c>
      <c r="AJ1687" s="34">
        <f t="shared" si="457"/>
        <v>-2.6784489612008358</v>
      </c>
      <c r="AK1687" s="34">
        <f t="shared" ref="AK1687:AK1695" si="465">LOG10(AI1687*1000/(0.08206*298.15))</f>
        <v>-2.7622259589376097</v>
      </c>
      <c r="AL1687" s="34">
        <f t="shared" si="458"/>
        <v>-2.7622259589376097</v>
      </c>
      <c r="AM1687" s="34">
        <v>-6.7898499999999995</v>
      </c>
      <c r="AN1687" s="251">
        <v>-2.7795000000000001</v>
      </c>
      <c r="AO1687" s="417"/>
      <c r="AP1687" s="417"/>
      <c r="AQ1687" s="251" t="s">
        <v>6311</v>
      </c>
      <c r="AR1687" s="251" t="s">
        <v>6311</v>
      </c>
      <c r="AS1687" s="252" t="s">
        <v>5466</v>
      </c>
      <c r="AT1687" s="35" t="s">
        <v>266</v>
      </c>
      <c r="AU1687" s="33">
        <v>1</v>
      </c>
      <c r="AV1687" s="33">
        <v>48</v>
      </c>
      <c r="AW1687" s="33">
        <v>48</v>
      </c>
      <c r="AX1687" s="33">
        <v>26</v>
      </c>
      <c r="AY1687" s="33" t="s">
        <v>267</v>
      </c>
      <c r="AZ1687" s="33" t="s">
        <v>5616</v>
      </c>
      <c r="BA1687" s="33">
        <v>2</v>
      </c>
      <c r="BB1687" s="41" t="s">
        <v>5617</v>
      </c>
      <c r="BC1687" s="41" t="s">
        <v>538</v>
      </c>
      <c r="BD1687" s="41"/>
      <c r="BE1687" s="33"/>
      <c r="BF1687" s="33"/>
      <c r="BG1687" s="33"/>
      <c r="BH1687" s="33" t="s">
        <v>5614</v>
      </c>
      <c r="BI1687" s="250"/>
      <c r="BJ1687" s="250"/>
      <c r="BK1687" s="254"/>
      <c r="BL1687" s="250">
        <f t="shared" si="456"/>
        <v>6.3689083597233938E-3</v>
      </c>
      <c r="BM1687" s="33"/>
      <c r="BN1687" s="33"/>
      <c r="BO1687" s="33">
        <v>3.7699999999999999E-3</v>
      </c>
      <c r="BP1687" s="33"/>
      <c r="BQ1687" s="33"/>
      <c r="BR1687" s="33"/>
      <c r="BS1687" s="33"/>
      <c r="BT1687" s="33"/>
      <c r="BU1687" s="246"/>
      <c r="BV1687" s="33"/>
      <c r="BW1687" s="33"/>
      <c r="BX1687" s="33"/>
      <c r="BY1687" s="33"/>
      <c r="BZ1687" s="33"/>
      <c r="CA1687" s="33"/>
      <c r="CB1687" s="33"/>
      <c r="CC1687" s="33"/>
      <c r="CD1687" s="33"/>
      <c r="CE1687" s="33"/>
      <c r="CF1687" s="33"/>
      <c r="CG1687" s="33"/>
      <c r="CH1687" s="33"/>
      <c r="CI1687" s="250">
        <f t="shared" si="459"/>
        <v>3.7699999999999999E-3</v>
      </c>
      <c r="CJ1687" s="243">
        <f t="shared" si="460"/>
        <v>-2.423658649794207</v>
      </c>
      <c r="CK1687" s="38" t="s">
        <v>404</v>
      </c>
      <c r="CL1687" s="247">
        <f t="shared" si="461"/>
        <v>1.6893656126587251</v>
      </c>
      <c r="CM1687" s="247">
        <v>-2.8817649496862066</v>
      </c>
      <c r="CN1687" s="247"/>
      <c r="CO1687" s="41"/>
      <c r="CP1687" s="41" t="s">
        <v>5615</v>
      </c>
      <c r="CQ1687" s="241">
        <v>-2.4348484392770935</v>
      </c>
      <c r="CR1687" s="241">
        <f t="shared" ref="CR1687:CR1695" si="466">10^(CJ1687-CQ1687)</f>
        <v>1.0261002406933413</v>
      </c>
      <c r="CS1687" s="33"/>
      <c r="CT1687" s="33"/>
      <c r="CU1687" s="250">
        <f t="shared" si="462"/>
        <v>1.7114951904752762</v>
      </c>
      <c r="CV1687" s="337"/>
      <c r="CW1687" s="330">
        <f t="shared" si="463"/>
        <v>0</v>
      </c>
      <c r="CX1687" s="330"/>
      <c r="CY1687" s="143" t="s">
        <v>5921</v>
      </c>
    </row>
    <row r="1688" spans="1:103" ht="11.25" customHeight="1" x14ac:dyDescent="0.2">
      <c r="A1688" s="72">
        <v>1686</v>
      </c>
      <c r="B1688" s="241">
        <v>793</v>
      </c>
      <c r="C1688" s="32" t="s">
        <v>947</v>
      </c>
      <c r="D1688" s="32"/>
      <c r="E1688" s="40"/>
      <c r="F1688" s="40" t="s">
        <v>948</v>
      </c>
      <c r="G1688" s="242">
        <v>86500</v>
      </c>
      <c r="H1688" s="36" t="s">
        <v>949</v>
      </c>
      <c r="I1688" s="36" t="s">
        <v>949</v>
      </c>
      <c r="J1688" s="36" t="s">
        <v>950</v>
      </c>
      <c r="K1688" s="36" t="s">
        <v>951</v>
      </c>
      <c r="L1688" s="36" t="s">
        <v>617</v>
      </c>
      <c r="M1688" s="36" t="s">
        <v>618</v>
      </c>
      <c r="N1688" s="36" t="s">
        <v>6376</v>
      </c>
      <c r="O1688" s="36" t="s">
        <v>952</v>
      </c>
      <c r="P1688" s="41" t="s">
        <v>6178</v>
      </c>
      <c r="Q1688" s="41" t="s">
        <v>6176</v>
      </c>
      <c r="R1688" s="41" t="s">
        <v>6177</v>
      </c>
      <c r="S1688" s="41" t="s">
        <v>6176</v>
      </c>
      <c r="T1688" s="37">
        <v>317.33</v>
      </c>
      <c r="U1688" s="243">
        <v>6.5862036365928217E-2</v>
      </c>
      <c r="V1688" s="243">
        <v>0.13720732360634041</v>
      </c>
      <c r="W1688" s="243">
        <v>0.16595869074375585</v>
      </c>
      <c r="X1688" s="243">
        <v>6.5862036365928217E-2</v>
      </c>
      <c r="Y1688" s="414">
        <v>7</v>
      </c>
      <c r="Z1688" s="37">
        <v>2.5299999999999998</v>
      </c>
      <c r="AA1688" s="37">
        <v>2.75</v>
      </c>
      <c r="AB1688" s="37">
        <v>3.17</v>
      </c>
      <c r="AC1688" s="37">
        <v>0.83950000000000002</v>
      </c>
      <c r="AD1688" s="37">
        <v>3.01</v>
      </c>
      <c r="AE1688" s="37">
        <v>2.54</v>
      </c>
      <c r="AF1688" s="37">
        <f t="shared" si="431"/>
        <v>2.75</v>
      </c>
      <c r="AG1688" s="38">
        <v>3.27</v>
      </c>
      <c r="AH1688" s="243">
        <v>2.8599999999999999E-10</v>
      </c>
      <c r="AI1688" s="243">
        <v>2.3899999999999999E-8</v>
      </c>
      <c r="AJ1688" s="34">
        <f t="shared" si="457"/>
        <v>-7.9322002931836089</v>
      </c>
      <c r="AK1688" s="34">
        <f t="shared" si="465"/>
        <v>-6.0101684253645145</v>
      </c>
      <c r="AL1688" s="34">
        <f t="shared" si="458"/>
        <v>-6.0101684253645145</v>
      </c>
      <c r="AM1688" s="34">
        <v>-15.46162</v>
      </c>
      <c r="AN1688" s="244">
        <v>-6.71</v>
      </c>
      <c r="AO1688" s="417"/>
      <c r="AP1688" s="417">
        <v>-2.6</v>
      </c>
      <c r="AQ1688" s="37" t="s">
        <v>6314</v>
      </c>
      <c r="AR1688" s="37" t="s">
        <v>6314</v>
      </c>
      <c r="AS1688" s="241" t="s">
        <v>6</v>
      </c>
      <c r="AT1688" s="39" t="s">
        <v>266</v>
      </c>
      <c r="AU1688" s="37">
        <v>2</v>
      </c>
      <c r="AV1688" s="37">
        <v>48</v>
      </c>
      <c r="AW1688" s="37">
        <v>48</v>
      </c>
      <c r="AX1688" s="37">
        <v>26</v>
      </c>
      <c r="AY1688" s="37" t="s">
        <v>647</v>
      </c>
      <c r="AZ1688" s="37" t="s">
        <v>2231</v>
      </c>
      <c r="BA1688" s="37">
        <v>50</v>
      </c>
      <c r="BB1688" s="36" t="s">
        <v>1886</v>
      </c>
      <c r="BC1688" s="36" t="s">
        <v>538</v>
      </c>
      <c r="BD1688" s="36"/>
      <c r="BE1688" s="37" t="s">
        <v>2232</v>
      </c>
      <c r="BF1688" s="37" t="s">
        <v>272</v>
      </c>
      <c r="BG1688" s="37" t="s">
        <v>272</v>
      </c>
      <c r="BH1688" s="37" t="s">
        <v>272</v>
      </c>
      <c r="BI1688" s="243">
        <v>6.3025872120505474E-3</v>
      </c>
      <c r="BJ1688" s="243">
        <v>3.1512936060252739E-2</v>
      </c>
      <c r="BK1688" s="37" t="s">
        <v>2233</v>
      </c>
      <c r="BL1688" s="243">
        <f t="shared" si="456"/>
        <v>0.27454086646262549</v>
      </c>
      <c r="BM1688" s="37" t="s">
        <v>541</v>
      </c>
      <c r="BN1688" s="37"/>
      <c r="BO1688" s="37">
        <v>1.0999999999999999E-2</v>
      </c>
      <c r="BP1688" s="37"/>
      <c r="BQ1688" s="37"/>
      <c r="BR1688" s="37"/>
      <c r="BS1688" s="37"/>
      <c r="BT1688" s="37"/>
      <c r="BU1688" s="246"/>
      <c r="BV1688" s="37"/>
      <c r="BW1688" s="37"/>
      <c r="BX1688" s="37"/>
      <c r="BY1688" s="37"/>
      <c r="BZ1688" s="37"/>
      <c r="CA1688" s="37"/>
      <c r="CB1688" s="37"/>
      <c r="CC1688" s="37"/>
      <c r="CD1688" s="37"/>
      <c r="CE1688" s="37"/>
      <c r="CF1688" s="37"/>
      <c r="CG1688" s="37"/>
      <c r="CH1688" s="37"/>
      <c r="CI1688" s="243">
        <f t="shared" si="459"/>
        <v>1.0999999999999999E-2</v>
      </c>
      <c r="CJ1688" s="243">
        <f t="shared" si="460"/>
        <v>-1.9586073148417751</v>
      </c>
      <c r="CK1688" s="38">
        <f>BL1688/BJ1688</f>
        <v>8.7120053154584927</v>
      </c>
      <c r="CL1688" s="247">
        <f t="shared" si="461"/>
        <v>24.958260587511411</v>
      </c>
      <c r="CM1688" s="247">
        <v>-4.650879177629478</v>
      </c>
      <c r="CN1688" s="247">
        <f>BJ1688/(10^CM1688)</f>
        <v>1410.4836163077605</v>
      </c>
      <c r="CO1688" s="36"/>
      <c r="CP1688" s="36" t="s">
        <v>2234</v>
      </c>
      <c r="CQ1688" s="241">
        <v>-3.5696380357924622</v>
      </c>
      <c r="CR1688" s="241">
        <f t="shared" si="466"/>
        <v>40.83482708889786</v>
      </c>
      <c r="CS1688" s="33"/>
      <c r="CT1688" s="33" t="s">
        <v>6310</v>
      </c>
      <c r="CU1688" s="250">
        <f t="shared" si="462"/>
        <v>5.9874578514480197</v>
      </c>
      <c r="CV1688" s="337">
        <f>X1688/BJ1688</f>
        <v>2.09</v>
      </c>
      <c r="CW1688" s="330">
        <f t="shared" si="463"/>
        <v>1</v>
      </c>
      <c r="CX1688" s="330" t="s">
        <v>539</v>
      </c>
      <c r="CY1688" s="143" t="s">
        <v>5921</v>
      </c>
    </row>
    <row r="1689" spans="1:103" ht="11.25" customHeight="1" x14ac:dyDescent="0.2">
      <c r="A1689" s="72">
        <v>1687</v>
      </c>
      <c r="B1689" s="241">
        <v>2040</v>
      </c>
      <c r="C1689" s="32" t="s">
        <v>1756</v>
      </c>
      <c r="D1689" s="32"/>
      <c r="E1689" s="40"/>
      <c r="F1689" s="40" t="s">
        <v>1757</v>
      </c>
      <c r="G1689" s="242">
        <v>87865</v>
      </c>
      <c r="H1689" s="41" t="s">
        <v>1758</v>
      </c>
      <c r="I1689" s="41" t="s">
        <v>7866</v>
      </c>
      <c r="J1689" s="41" t="s">
        <v>1759</v>
      </c>
      <c r="K1689" s="41" t="s">
        <v>349</v>
      </c>
      <c r="L1689" s="36" t="s">
        <v>6134</v>
      </c>
      <c r="M1689" s="36" t="s">
        <v>497</v>
      </c>
      <c r="N1689" s="36" t="s">
        <v>6381</v>
      </c>
      <c r="O1689" s="36" t="s">
        <v>6086</v>
      </c>
      <c r="P1689" s="41"/>
      <c r="Q1689" s="41" t="s">
        <v>6173</v>
      </c>
      <c r="R1689" s="41" t="s">
        <v>6180</v>
      </c>
      <c r="S1689" s="41" t="s">
        <v>6176</v>
      </c>
      <c r="T1689" s="33">
        <v>266.33999999999997</v>
      </c>
      <c r="U1689" s="250">
        <v>5.2564391379439822E-2</v>
      </c>
      <c r="V1689" s="250">
        <v>1.1601712097319217E-2</v>
      </c>
      <c r="W1689" s="250">
        <v>3.8018939632056103E-2</v>
      </c>
      <c r="X1689" s="250">
        <v>5.2564391379439822E-2</v>
      </c>
      <c r="Y1689" s="415">
        <v>4.71</v>
      </c>
      <c r="Z1689" s="33">
        <v>4.74</v>
      </c>
      <c r="AA1689" s="33">
        <v>5.12</v>
      </c>
      <c r="AB1689" s="33">
        <v>5.1100000000000003</v>
      </c>
      <c r="AC1689" s="33">
        <v>0.88800000000000001</v>
      </c>
      <c r="AD1689" s="33">
        <v>5.04</v>
      </c>
      <c r="AE1689" s="33">
        <v>4.78</v>
      </c>
      <c r="AF1689" s="33">
        <f t="shared" si="431"/>
        <v>5.12</v>
      </c>
      <c r="AG1689" s="34">
        <v>4.8499999999999996</v>
      </c>
      <c r="AH1689" s="250">
        <v>1.2499999999999999E-7</v>
      </c>
      <c r="AI1689" s="250">
        <v>2.4500000000000001E-8</v>
      </c>
      <c r="AJ1689" s="34">
        <f t="shared" si="457"/>
        <v>-5.2916563133045953</v>
      </c>
      <c r="AK1689" s="34">
        <f t="shared" si="465"/>
        <v>-5.9994002419481189</v>
      </c>
      <c r="AL1689" s="34">
        <f t="shared" si="458"/>
        <v>-5.9994002419481189</v>
      </c>
      <c r="AM1689" s="34">
        <v>-7.034559999999999</v>
      </c>
      <c r="AN1689" s="251">
        <v>-3.9674999999999998</v>
      </c>
      <c r="AO1689" s="417">
        <v>4.68</v>
      </c>
      <c r="AP1689" s="417"/>
      <c r="AQ1689" s="251" t="s">
        <v>6311</v>
      </c>
      <c r="AR1689" s="251" t="s">
        <v>6311</v>
      </c>
      <c r="AS1689" s="252" t="s">
        <v>5466</v>
      </c>
      <c r="AT1689" s="35" t="s">
        <v>266</v>
      </c>
      <c r="AU1689" s="33">
        <v>1</v>
      </c>
      <c r="AV1689" s="33">
        <v>72</v>
      </c>
      <c r="AW1689" s="33">
        <v>71</v>
      </c>
      <c r="AX1689" s="33">
        <v>26</v>
      </c>
      <c r="AY1689" s="253">
        <v>0.5083333333333333</v>
      </c>
      <c r="AZ1689" s="33" t="s">
        <v>6294</v>
      </c>
      <c r="BA1689" s="33">
        <v>30</v>
      </c>
      <c r="BB1689" s="41" t="s">
        <v>6226</v>
      </c>
      <c r="BC1689" s="41" t="s">
        <v>6227</v>
      </c>
      <c r="BD1689" s="41"/>
      <c r="BE1689" s="33" t="s">
        <v>2449</v>
      </c>
      <c r="BF1689" s="33" t="s">
        <v>6203</v>
      </c>
      <c r="BG1689" s="33" t="s">
        <v>6203</v>
      </c>
      <c r="BH1689" s="33"/>
      <c r="BI1689" s="250">
        <v>1.13E-4</v>
      </c>
      <c r="BJ1689" s="250">
        <v>7.5100000000000004E-4</v>
      </c>
      <c r="BK1689" s="254"/>
      <c r="BL1689" s="250">
        <f t="shared" si="456"/>
        <v>2.8431907661344621E-3</v>
      </c>
      <c r="BM1689" s="33" t="s">
        <v>6250</v>
      </c>
      <c r="BN1689" s="33"/>
      <c r="BO1689" s="33"/>
      <c r="BP1689" s="33">
        <v>4.6000000000000001E-4</v>
      </c>
      <c r="BQ1689" s="33"/>
      <c r="BR1689" s="33"/>
      <c r="BS1689" s="33"/>
      <c r="BT1689" s="33"/>
      <c r="BU1689" s="246"/>
      <c r="BV1689" s="33"/>
      <c r="BW1689" s="33"/>
      <c r="BX1689" s="33"/>
      <c r="BY1689" s="33"/>
      <c r="BZ1689" s="33"/>
      <c r="CA1689" s="33"/>
      <c r="CB1689" s="33"/>
      <c r="CC1689" s="33"/>
      <c r="CD1689" s="33"/>
      <c r="CE1689" s="33"/>
      <c r="CF1689" s="33"/>
      <c r="CG1689" s="33"/>
      <c r="CH1689" s="33"/>
      <c r="CI1689" s="250">
        <f t="shared" si="459"/>
        <v>4.6000000000000001E-4</v>
      </c>
      <c r="CJ1689" s="243">
        <f t="shared" si="460"/>
        <v>-3.3372421683184261</v>
      </c>
      <c r="CK1689" s="38">
        <f>BL1689/BJ1689</f>
        <v>3.7858731905918268</v>
      </c>
      <c r="CL1689" s="247">
        <f t="shared" si="461"/>
        <v>6.1808494915966561</v>
      </c>
      <c r="CM1689" s="247">
        <v>-3.2759817693598996</v>
      </c>
      <c r="CN1689" s="247">
        <f>BJ1689/(10^CM1689)</f>
        <v>1.4178219851577643</v>
      </c>
      <c r="CO1689" s="41"/>
      <c r="CP1689" s="41" t="s">
        <v>6199</v>
      </c>
      <c r="CQ1689" s="241">
        <v>-3.1473762053339587</v>
      </c>
      <c r="CR1689" s="241">
        <f t="shared" si="466"/>
        <v>0.6458535291078521</v>
      </c>
      <c r="CS1689" s="33"/>
      <c r="CT1689" s="33"/>
      <c r="CU1689" s="250">
        <f t="shared" si="462"/>
        <v>114.27041604226048</v>
      </c>
      <c r="CV1689" s="337">
        <f>X1689/BJ1689</f>
        <v>69.992531796857278</v>
      </c>
      <c r="CW1689" s="330">
        <f t="shared" si="463"/>
        <v>1</v>
      </c>
      <c r="CX1689" s="330"/>
      <c r="CY1689" s="143" t="s">
        <v>5921</v>
      </c>
    </row>
    <row r="1690" spans="1:103" ht="11.25" customHeight="1" x14ac:dyDescent="0.2">
      <c r="A1690" s="72">
        <v>1688</v>
      </c>
      <c r="B1690" s="241">
        <v>2039</v>
      </c>
      <c r="C1690" s="32" t="s">
        <v>1756</v>
      </c>
      <c r="D1690" s="32"/>
      <c r="E1690" s="40"/>
      <c r="F1690" s="40" t="s">
        <v>1757</v>
      </c>
      <c r="G1690" s="242">
        <v>87865</v>
      </c>
      <c r="H1690" s="41" t="s">
        <v>1758</v>
      </c>
      <c r="I1690" s="41" t="s">
        <v>7866</v>
      </c>
      <c r="J1690" s="41" t="s">
        <v>1759</v>
      </c>
      <c r="K1690" s="41" t="s">
        <v>349</v>
      </c>
      <c r="L1690" s="36" t="s">
        <v>6134</v>
      </c>
      <c r="M1690" s="36" t="s">
        <v>497</v>
      </c>
      <c r="N1690" s="36" t="s">
        <v>6381</v>
      </c>
      <c r="O1690" s="36" t="s">
        <v>6086</v>
      </c>
      <c r="P1690" s="41"/>
      <c r="Q1690" s="41" t="s">
        <v>6173</v>
      </c>
      <c r="R1690" s="41" t="s">
        <v>6180</v>
      </c>
      <c r="S1690" s="41" t="s">
        <v>6176</v>
      </c>
      <c r="T1690" s="33">
        <v>266.33999999999997</v>
      </c>
      <c r="U1690" s="250">
        <v>5.2564391379439822E-2</v>
      </c>
      <c r="V1690" s="250">
        <v>1.1601712097319217E-2</v>
      </c>
      <c r="W1690" s="250">
        <v>3.8018939632056103E-2</v>
      </c>
      <c r="X1690" s="250">
        <v>5.2564391379439822E-2</v>
      </c>
      <c r="Y1690" s="415">
        <v>4.71</v>
      </c>
      <c r="Z1690" s="33">
        <v>4.74</v>
      </c>
      <c r="AA1690" s="33">
        <v>5.12</v>
      </c>
      <c r="AB1690" s="33">
        <v>5.1100000000000003</v>
      </c>
      <c r="AC1690" s="33">
        <v>0.88800000000000001</v>
      </c>
      <c r="AD1690" s="33">
        <v>5.04</v>
      </c>
      <c r="AE1690" s="33">
        <v>4.78</v>
      </c>
      <c r="AF1690" s="33">
        <f t="shared" ref="AF1690:AF1753" si="467">IF(AA1690=0,AD1690,AA1690)</f>
        <v>5.12</v>
      </c>
      <c r="AG1690" s="34">
        <v>4.8499999999999996</v>
      </c>
      <c r="AH1690" s="250">
        <v>1.2499999999999999E-7</v>
      </c>
      <c r="AI1690" s="250">
        <v>2.4500000000000001E-8</v>
      </c>
      <c r="AJ1690" s="34">
        <f t="shared" si="457"/>
        <v>-5.2916563133045953</v>
      </c>
      <c r="AK1690" s="34">
        <f t="shared" si="465"/>
        <v>-5.9994002419481189</v>
      </c>
      <c r="AL1690" s="34">
        <f t="shared" si="458"/>
        <v>-5.9994002419481189</v>
      </c>
      <c r="AM1690" s="34">
        <v>-7.034559999999999</v>
      </c>
      <c r="AN1690" s="251">
        <v>-3.9674999999999998</v>
      </c>
      <c r="AO1690" s="417">
        <v>4.68</v>
      </c>
      <c r="AP1690" s="417"/>
      <c r="AQ1690" s="251" t="s">
        <v>6311</v>
      </c>
      <c r="AR1690" s="251" t="s">
        <v>6311</v>
      </c>
      <c r="AS1690" s="252" t="s">
        <v>5466</v>
      </c>
      <c r="AT1690" s="35" t="s">
        <v>266</v>
      </c>
      <c r="AU1690" s="33">
        <v>0</v>
      </c>
      <c r="AV1690" s="33">
        <v>24</v>
      </c>
      <c r="AW1690" s="33">
        <v>24</v>
      </c>
      <c r="AX1690" s="33">
        <v>26</v>
      </c>
      <c r="AY1690" s="262" t="s">
        <v>267</v>
      </c>
      <c r="AZ1690" s="33" t="s">
        <v>6298</v>
      </c>
      <c r="BA1690" s="33" t="s">
        <v>1584</v>
      </c>
      <c r="BB1690" s="41" t="s">
        <v>6215</v>
      </c>
      <c r="BC1690" s="41" t="s">
        <v>6227</v>
      </c>
      <c r="BD1690" s="41"/>
      <c r="BE1690" s="33" t="s">
        <v>2449</v>
      </c>
      <c r="BF1690" s="33" t="s">
        <v>6203</v>
      </c>
      <c r="BG1690" s="33" t="s">
        <v>6203</v>
      </c>
      <c r="BH1690" s="33" t="s">
        <v>6299</v>
      </c>
      <c r="BI1690" s="250">
        <v>3.7545993842457015E-5</v>
      </c>
      <c r="BJ1690" s="250">
        <v>3.7545993842457012E-3</v>
      </c>
      <c r="BK1690" s="254" t="s">
        <v>5681</v>
      </c>
      <c r="BL1690" s="250">
        <f t="shared" si="456"/>
        <v>2.8431907661344621E-3</v>
      </c>
      <c r="BM1690" s="33">
        <v>0</v>
      </c>
      <c r="BN1690" s="33">
        <v>2.8500000000000001E-3</v>
      </c>
      <c r="BO1690" s="33"/>
      <c r="BP1690" s="33"/>
      <c r="BQ1690" s="33"/>
      <c r="BR1690" s="33"/>
      <c r="BS1690" s="33"/>
      <c r="BT1690" s="33"/>
      <c r="BU1690" s="246"/>
      <c r="BV1690" s="33"/>
      <c r="BW1690" s="33"/>
      <c r="BX1690" s="33"/>
      <c r="BY1690" s="33"/>
      <c r="BZ1690" s="33"/>
      <c r="CA1690" s="33"/>
      <c r="CB1690" s="33"/>
      <c r="CC1690" s="33"/>
      <c r="CD1690" s="33"/>
      <c r="CE1690" s="33"/>
      <c r="CF1690" s="33"/>
      <c r="CG1690" s="33"/>
      <c r="CH1690" s="33"/>
      <c r="CI1690" s="250">
        <f t="shared" si="459"/>
        <v>2.8500000000000001E-3</v>
      </c>
      <c r="CJ1690" s="243">
        <f t="shared" si="460"/>
        <v>-2.5451551399914898</v>
      </c>
      <c r="CK1690" s="38">
        <f>BL1690/BJ1690</f>
        <v>0.75725542865225259</v>
      </c>
      <c r="CL1690" s="247">
        <f t="shared" si="461"/>
        <v>0.99761079513489892</v>
      </c>
      <c r="CM1690" s="247">
        <v>-3.2759817693598996</v>
      </c>
      <c r="CN1690" s="247">
        <f>BJ1690/(10^CM1690)</f>
        <v>7.0883535984598653</v>
      </c>
      <c r="CO1690" s="41"/>
      <c r="CP1690" s="41" t="s">
        <v>6200</v>
      </c>
      <c r="CQ1690" s="241">
        <v>-3.1473762053339587</v>
      </c>
      <c r="CR1690" s="241">
        <f t="shared" si="466"/>
        <v>4.0014838216464774</v>
      </c>
      <c r="CS1690" s="33"/>
      <c r="CT1690" s="33" t="s">
        <v>6310</v>
      </c>
      <c r="CU1690" s="250">
        <f t="shared" si="462"/>
        <v>18.443646098049058</v>
      </c>
      <c r="CV1690" s="337">
        <f>X1690/BJ1690</f>
        <v>14.000000000000002</v>
      </c>
      <c r="CW1690" s="330">
        <f t="shared" si="463"/>
        <v>1</v>
      </c>
      <c r="CX1690" s="330" t="s">
        <v>539</v>
      </c>
      <c r="CY1690" s="143" t="s">
        <v>5921</v>
      </c>
    </row>
    <row r="1691" spans="1:103" ht="11.25" customHeight="1" x14ac:dyDescent="0.2">
      <c r="A1691" s="72">
        <v>1689</v>
      </c>
      <c r="B1691" s="241">
        <v>578</v>
      </c>
      <c r="C1691" s="32" t="s">
        <v>1756</v>
      </c>
      <c r="D1691" s="32"/>
      <c r="E1691" s="40"/>
      <c r="F1691" s="40" t="s">
        <v>1757</v>
      </c>
      <c r="G1691" s="242">
        <v>87865</v>
      </c>
      <c r="H1691" s="36" t="s">
        <v>1758</v>
      </c>
      <c r="I1691" s="36" t="s">
        <v>7866</v>
      </c>
      <c r="J1691" s="36" t="s">
        <v>1759</v>
      </c>
      <c r="K1691" s="36" t="s">
        <v>349</v>
      </c>
      <c r="L1691" s="36" t="s">
        <v>6134</v>
      </c>
      <c r="M1691" s="36" t="s">
        <v>497</v>
      </c>
      <c r="N1691" s="36" t="s">
        <v>6381</v>
      </c>
      <c r="O1691" s="36" t="s">
        <v>6086</v>
      </c>
      <c r="P1691" s="41"/>
      <c r="Q1691" s="41" t="s">
        <v>6173</v>
      </c>
      <c r="R1691" s="41" t="s">
        <v>6180</v>
      </c>
      <c r="S1691" s="41" t="s">
        <v>6176</v>
      </c>
      <c r="T1691" s="37">
        <v>266.33999999999997</v>
      </c>
      <c r="U1691" s="243">
        <v>5.2564391379439822E-2</v>
      </c>
      <c r="V1691" s="243">
        <v>1.1601712097319217E-2</v>
      </c>
      <c r="W1691" s="243">
        <v>3.8018939632056103E-2</v>
      </c>
      <c r="X1691" s="243">
        <v>5.2564391379439822E-2</v>
      </c>
      <c r="Y1691" s="414">
        <v>4.71</v>
      </c>
      <c r="Z1691" s="37">
        <v>4.74</v>
      </c>
      <c r="AA1691" s="37">
        <v>5.12</v>
      </c>
      <c r="AB1691" s="37">
        <v>5.1100000000000003</v>
      </c>
      <c r="AC1691" s="37">
        <v>0.88800000000000001</v>
      </c>
      <c r="AD1691" s="37">
        <v>5.04</v>
      </c>
      <c r="AE1691" s="37">
        <v>4.78</v>
      </c>
      <c r="AF1691" s="37">
        <f t="shared" si="467"/>
        <v>5.12</v>
      </c>
      <c r="AG1691" s="38">
        <v>4.8499999999999996</v>
      </c>
      <c r="AH1691" s="243">
        <v>1.2499999999999999E-7</v>
      </c>
      <c r="AI1691" s="243">
        <v>2.4500000000000001E-8</v>
      </c>
      <c r="AJ1691" s="34">
        <f t="shared" si="457"/>
        <v>-5.2916563133045953</v>
      </c>
      <c r="AK1691" s="34">
        <f t="shared" si="465"/>
        <v>-5.9994002419481189</v>
      </c>
      <c r="AL1691" s="34">
        <f t="shared" si="458"/>
        <v>-5.9994002419481189</v>
      </c>
      <c r="AM1691" s="34">
        <v>-7.034559999999999</v>
      </c>
      <c r="AN1691" s="244">
        <v>-3.97</v>
      </c>
      <c r="AO1691" s="417">
        <v>4.68</v>
      </c>
      <c r="AP1691" s="417"/>
      <c r="AQ1691" s="244" t="s">
        <v>6311</v>
      </c>
      <c r="AR1691" s="244" t="s">
        <v>6311</v>
      </c>
      <c r="AS1691" s="241" t="s">
        <v>6</v>
      </c>
      <c r="AT1691" s="39" t="s">
        <v>266</v>
      </c>
      <c r="AU1691" s="37">
        <v>2</v>
      </c>
      <c r="AV1691" s="37">
        <v>48</v>
      </c>
      <c r="AW1691" s="37">
        <v>48</v>
      </c>
      <c r="AX1691" s="33" t="s">
        <v>6240</v>
      </c>
      <c r="AY1691" s="33" t="s">
        <v>1584</v>
      </c>
      <c r="AZ1691" s="37" t="s">
        <v>1584</v>
      </c>
      <c r="BA1691" s="37" t="s">
        <v>8722</v>
      </c>
      <c r="BB1691" s="36" t="s">
        <v>8722</v>
      </c>
      <c r="BC1691" s="36" t="s">
        <v>8722</v>
      </c>
      <c r="BD1691" s="36"/>
      <c r="BE1691" s="37" t="s">
        <v>8722</v>
      </c>
      <c r="BF1691" s="37" t="s">
        <v>8722</v>
      </c>
      <c r="BG1691" s="37" t="s">
        <v>8722</v>
      </c>
      <c r="BH1691" s="37" t="s">
        <v>8722</v>
      </c>
      <c r="BI1691" s="243" t="s">
        <v>8722</v>
      </c>
      <c r="BJ1691" s="243" t="s">
        <v>8722</v>
      </c>
      <c r="BK1691" s="37"/>
      <c r="BL1691" s="243">
        <f t="shared" si="456"/>
        <v>2.8431907661344621E-3</v>
      </c>
      <c r="BM1691" s="36" t="s">
        <v>1640</v>
      </c>
      <c r="BN1691" s="37"/>
      <c r="BO1691" s="37">
        <v>1.4267477660133666E-3</v>
      </c>
      <c r="BP1691" s="37"/>
      <c r="BQ1691" s="37"/>
      <c r="BR1691" s="37"/>
      <c r="BS1691" s="37"/>
      <c r="BT1691" s="37"/>
      <c r="BU1691" s="246"/>
      <c r="BV1691" s="37"/>
      <c r="BW1691" s="37"/>
      <c r="BX1691" s="37"/>
      <c r="BY1691" s="37"/>
      <c r="BZ1691" s="37"/>
      <c r="CA1691" s="37"/>
      <c r="CB1691" s="37"/>
      <c r="CC1691" s="37"/>
      <c r="CD1691" s="37"/>
      <c r="CE1691" s="37"/>
      <c r="CF1691" s="37"/>
      <c r="CG1691" s="37"/>
      <c r="CH1691" s="37"/>
      <c r="CI1691" s="243">
        <f t="shared" si="459"/>
        <v>1.4267477660133666E-3</v>
      </c>
      <c r="CJ1691" s="243">
        <f t="shared" si="460"/>
        <v>-2.8456527987922002</v>
      </c>
      <c r="CK1691" s="38" t="s">
        <v>404</v>
      </c>
      <c r="CL1691" s="247">
        <f t="shared" si="461"/>
        <v>1.9927774438217172</v>
      </c>
      <c r="CM1691" s="247">
        <v>-3.2759817693598996</v>
      </c>
      <c r="CN1691" s="247" t="s">
        <v>404</v>
      </c>
      <c r="CO1691" s="36" t="s">
        <v>1641</v>
      </c>
      <c r="CP1691" s="36" t="s">
        <v>1643</v>
      </c>
      <c r="CQ1691" s="241">
        <v>-3.1473762053339587</v>
      </c>
      <c r="CR1691" s="241">
        <f t="shared" si="466"/>
        <v>2.0031958257097324</v>
      </c>
      <c r="CS1691" s="33"/>
      <c r="CT1691" s="33"/>
      <c r="CU1691" s="250">
        <f t="shared" si="462"/>
        <v>36.842105263157897</v>
      </c>
      <c r="CV1691" s="337"/>
      <c r="CW1691" s="330">
        <f t="shared" si="463"/>
        <v>1</v>
      </c>
      <c r="CX1691" s="330"/>
      <c r="CY1691" s="143" t="s">
        <v>5921</v>
      </c>
    </row>
    <row r="1692" spans="1:103" ht="11.25" customHeight="1" x14ac:dyDescent="0.2">
      <c r="A1692" s="72">
        <v>1690</v>
      </c>
      <c r="B1692" s="241">
        <v>574</v>
      </c>
      <c r="C1692" s="32" t="s">
        <v>1756</v>
      </c>
      <c r="D1692" s="32"/>
      <c r="E1692" s="40"/>
      <c r="F1692" s="40" t="s">
        <v>1757</v>
      </c>
      <c r="G1692" s="242">
        <v>87865</v>
      </c>
      <c r="H1692" s="36" t="s">
        <v>1758</v>
      </c>
      <c r="I1692" s="36" t="s">
        <v>7866</v>
      </c>
      <c r="J1692" s="36" t="s">
        <v>1759</v>
      </c>
      <c r="K1692" s="36" t="s">
        <v>349</v>
      </c>
      <c r="L1692" s="36" t="s">
        <v>6134</v>
      </c>
      <c r="M1692" s="36" t="s">
        <v>497</v>
      </c>
      <c r="N1692" s="36" t="s">
        <v>6381</v>
      </c>
      <c r="O1692" s="36" t="s">
        <v>6086</v>
      </c>
      <c r="P1692" s="41"/>
      <c r="Q1692" s="41" t="s">
        <v>6173</v>
      </c>
      <c r="R1692" s="41" t="s">
        <v>6180</v>
      </c>
      <c r="S1692" s="41" t="s">
        <v>6176</v>
      </c>
      <c r="T1692" s="37">
        <v>266.33999999999997</v>
      </c>
      <c r="U1692" s="243">
        <v>5.2564391379439822E-2</v>
      </c>
      <c r="V1692" s="243">
        <v>1.1601712097319217E-2</v>
      </c>
      <c r="W1692" s="243">
        <v>3.8018939632056103E-2</v>
      </c>
      <c r="X1692" s="243">
        <v>5.2564391379439822E-2</v>
      </c>
      <c r="Y1692" s="414">
        <v>4.71</v>
      </c>
      <c r="Z1692" s="37">
        <v>4.74</v>
      </c>
      <c r="AA1692" s="37">
        <v>5.12</v>
      </c>
      <c r="AB1692" s="37">
        <v>5.1100000000000003</v>
      </c>
      <c r="AC1692" s="37">
        <v>0.88800000000000001</v>
      </c>
      <c r="AD1692" s="37">
        <v>5.04</v>
      </c>
      <c r="AE1692" s="37">
        <v>4.78</v>
      </c>
      <c r="AF1692" s="37">
        <f t="shared" si="467"/>
        <v>5.12</v>
      </c>
      <c r="AG1692" s="38">
        <v>4.8499999999999996</v>
      </c>
      <c r="AH1692" s="243">
        <v>1.2499999999999999E-7</v>
      </c>
      <c r="AI1692" s="243">
        <v>2.4500000000000001E-8</v>
      </c>
      <c r="AJ1692" s="34">
        <f t="shared" si="457"/>
        <v>-5.2916563133045953</v>
      </c>
      <c r="AK1692" s="34">
        <f t="shared" si="465"/>
        <v>-5.9994002419481189</v>
      </c>
      <c r="AL1692" s="34">
        <f t="shared" si="458"/>
        <v>-5.9994002419481189</v>
      </c>
      <c r="AM1692" s="34">
        <v>-7.034559999999999</v>
      </c>
      <c r="AN1692" s="244">
        <v>-3.97</v>
      </c>
      <c r="AO1692" s="417">
        <v>4.68</v>
      </c>
      <c r="AP1692" s="417"/>
      <c r="AQ1692" s="244" t="s">
        <v>6311</v>
      </c>
      <c r="AR1692" s="244" t="s">
        <v>6311</v>
      </c>
      <c r="AS1692" s="241" t="s">
        <v>6</v>
      </c>
      <c r="AT1692" s="39" t="s">
        <v>266</v>
      </c>
      <c r="AU1692" s="37">
        <v>2</v>
      </c>
      <c r="AV1692" s="37">
        <v>48</v>
      </c>
      <c r="AW1692" s="37">
        <v>48</v>
      </c>
      <c r="AX1692" s="37">
        <v>26</v>
      </c>
      <c r="AY1692" s="37" t="s">
        <v>647</v>
      </c>
      <c r="AZ1692" s="37" t="s">
        <v>536</v>
      </c>
      <c r="BA1692" s="37">
        <v>20</v>
      </c>
      <c r="BB1692" s="36" t="s">
        <v>1644</v>
      </c>
      <c r="BC1692" s="36" t="s">
        <v>538</v>
      </c>
      <c r="BD1692" s="36"/>
      <c r="BE1692" s="37" t="s">
        <v>271</v>
      </c>
      <c r="BF1692" s="37" t="s">
        <v>272</v>
      </c>
      <c r="BG1692" s="37" t="s">
        <v>272</v>
      </c>
      <c r="BH1692" s="37" t="s">
        <v>272</v>
      </c>
      <c r="BI1692" s="248">
        <v>1.8772996921228509E-4</v>
      </c>
      <c r="BJ1692" s="248">
        <v>3.0036795073965614E-3</v>
      </c>
      <c r="BK1692" s="37"/>
      <c r="BL1692" s="243">
        <f t="shared" si="456"/>
        <v>2.8431907661344621E-3</v>
      </c>
      <c r="BM1692" s="37" t="s">
        <v>1552</v>
      </c>
      <c r="BN1692" s="37"/>
      <c r="BO1692" s="37">
        <v>3.3791394458211312E-4</v>
      </c>
      <c r="BP1692" s="37"/>
      <c r="BQ1692" s="37"/>
      <c r="BR1692" s="37"/>
      <c r="BS1692" s="37"/>
      <c r="BT1692" s="37"/>
      <c r="BU1692" s="246"/>
      <c r="BV1692" s="37"/>
      <c r="BW1692" s="37"/>
      <c r="BX1692" s="37"/>
      <c r="BY1692" s="37"/>
      <c r="BZ1692" s="37"/>
      <c r="CA1692" s="37"/>
      <c r="CB1692" s="37"/>
      <c r="CC1692" s="37"/>
      <c r="CD1692" s="37"/>
      <c r="CE1692" s="37"/>
      <c r="CF1692" s="37"/>
      <c r="CG1692" s="37"/>
      <c r="CH1692" s="37"/>
      <c r="CI1692" s="243">
        <f t="shared" si="459"/>
        <v>3.3791394458211312E-4</v>
      </c>
      <c r="CJ1692" s="243">
        <f t="shared" si="460"/>
        <v>-3.4711938859696851</v>
      </c>
      <c r="CK1692" s="38">
        <f t="shared" ref="CK1692:CK1698" si="468">BL1692/BJ1692</f>
        <v>0.94656928581531563</v>
      </c>
      <c r="CL1692" s="247">
        <f t="shared" si="461"/>
        <v>8.413949207247251</v>
      </c>
      <c r="CM1692" s="247">
        <v>-3.2759817693598996</v>
      </c>
      <c r="CN1692" s="247">
        <f>BJ1692/(10^CM1692)</f>
        <v>5.6706828787678933</v>
      </c>
      <c r="CO1692" s="36"/>
      <c r="CP1692" s="36" t="s">
        <v>1553</v>
      </c>
      <c r="CQ1692" s="241">
        <v>-3.1473762053339587</v>
      </c>
      <c r="CR1692" s="241">
        <f t="shared" si="466"/>
        <v>0.4744411166154634</v>
      </c>
      <c r="CS1692" s="33"/>
      <c r="CT1692" s="33"/>
      <c r="CU1692" s="250">
        <f t="shared" si="462"/>
        <v>155.55555555555557</v>
      </c>
      <c r="CV1692" s="337">
        <f t="shared" ref="CV1692:CV1698" si="469">X1692/BJ1692</f>
        <v>17.5</v>
      </c>
      <c r="CW1692" s="330">
        <f t="shared" si="463"/>
        <v>1</v>
      </c>
      <c r="CX1692" s="330"/>
      <c r="CY1692" s="143" t="s">
        <v>5921</v>
      </c>
    </row>
    <row r="1693" spans="1:103" ht="11.25" customHeight="1" x14ac:dyDescent="0.2">
      <c r="A1693" s="72">
        <v>1691</v>
      </c>
      <c r="B1693" s="241">
        <v>663</v>
      </c>
      <c r="C1693" s="32" t="s">
        <v>1756</v>
      </c>
      <c r="D1693" s="32"/>
      <c r="E1693" s="40"/>
      <c r="F1693" s="40" t="s">
        <v>1757</v>
      </c>
      <c r="G1693" s="242">
        <v>87865</v>
      </c>
      <c r="H1693" s="36" t="s">
        <v>1758</v>
      </c>
      <c r="I1693" s="36" t="s">
        <v>7866</v>
      </c>
      <c r="J1693" s="36" t="s">
        <v>1759</v>
      </c>
      <c r="K1693" s="36" t="s">
        <v>349</v>
      </c>
      <c r="L1693" s="36" t="s">
        <v>6134</v>
      </c>
      <c r="M1693" s="36" t="s">
        <v>497</v>
      </c>
      <c r="N1693" s="36" t="s">
        <v>6381</v>
      </c>
      <c r="O1693" s="36" t="s">
        <v>6086</v>
      </c>
      <c r="P1693" s="41"/>
      <c r="Q1693" s="41" t="s">
        <v>6173</v>
      </c>
      <c r="R1693" s="41" t="s">
        <v>6180</v>
      </c>
      <c r="S1693" s="41" t="s">
        <v>6176</v>
      </c>
      <c r="T1693" s="37">
        <v>266.33999999999997</v>
      </c>
      <c r="U1693" s="243">
        <v>5.2564391379439822E-2</v>
      </c>
      <c r="V1693" s="243">
        <v>1.1601712097319217E-2</v>
      </c>
      <c r="W1693" s="243">
        <v>3.8018939632056103E-2</v>
      </c>
      <c r="X1693" s="243">
        <v>5.2564391379439822E-2</v>
      </c>
      <c r="Y1693" s="414">
        <v>4.71</v>
      </c>
      <c r="Z1693" s="37">
        <v>4.74</v>
      </c>
      <c r="AA1693" s="37">
        <v>5.12</v>
      </c>
      <c r="AB1693" s="37">
        <v>5.1100000000000003</v>
      </c>
      <c r="AC1693" s="37">
        <v>0.88800000000000001</v>
      </c>
      <c r="AD1693" s="37">
        <v>5.04</v>
      </c>
      <c r="AE1693" s="37">
        <v>4.78</v>
      </c>
      <c r="AF1693" s="37">
        <f t="shared" si="467"/>
        <v>5.12</v>
      </c>
      <c r="AG1693" s="38">
        <v>4.8499999999999996</v>
      </c>
      <c r="AH1693" s="243">
        <v>1.2499999999999999E-7</v>
      </c>
      <c r="AI1693" s="243">
        <v>2.4500000000000001E-8</v>
      </c>
      <c r="AJ1693" s="34">
        <f t="shared" si="457"/>
        <v>-5.2916563133045953</v>
      </c>
      <c r="AK1693" s="34">
        <f t="shared" si="465"/>
        <v>-5.9994002419481189</v>
      </c>
      <c r="AL1693" s="34">
        <f t="shared" si="458"/>
        <v>-5.9994002419481189</v>
      </c>
      <c r="AM1693" s="34">
        <v>-7.034559999999999</v>
      </c>
      <c r="AN1693" s="244">
        <v>-3.97</v>
      </c>
      <c r="AO1693" s="417">
        <v>4.68</v>
      </c>
      <c r="AP1693" s="417"/>
      <c r="AQ1693" s="244" t="s">
        <v>6311</v>
      </c>
      <c r="AR1693" s="244" t="s">
        <v>6311</v>
      </c>
      <c r="AS1693" s="241" t="s">
        <v>6</v>
      </c>
      <c r="AT1693" s="39" t="s">
        <v>266</v>
      </c>
      <c r="AU1693" s="37">
        <v>2</v>
      </c>
      <c r="AV1693" s="37">
        <v>48</v>
      </c>
      <c r="AW1693" s="37">
        <v>48</v>
      </c>
      <c r="AX1693" s="37">
        <v>26</v>
      </c>
      <c r="AY1693" s="37" t="s">
        <v>647</v>
      </c>
      <c r="AZ1693" s="37" t="s">
        <v>1920</v>
      </c>
      <c r="BA1693" s="37">
        <v>10</v>
      </c>
      <c r="BB1693" s="36" t="s">
        <v>1613</v>
      </c>
      <c r="BC1693" s="36" t="s">
        <v>538</v>
      </c>
      <c r="BD1693" s="36"/>
      <c r="BE1693" s="37" t="s">
        <v>271</v>
      </c>
      <c r="BF1693" s="37" t="s">
        <v>272</v>
      </c>
      <c r="BG1693" s="37" t="s">
        <v>272</v>
      </c>
      <c r="BH1693" s="37" t="s">
        <v>272</v>
      </c>
      <c r="BI1693" s="248">
        <v>4.6932492303071265E-4</v>
      </c>
      <c r="BJ1693" s="248">
        <v>7.5091987684914024E-3</v>
      </c>
      <c r="BK1693" s="37"/>
      <c r="BL1693" s="243">
        <f t="shared" si="456"/>
        <v>2.8431907661344621E-3</v>
      </c>
      <c r="BM1693" s="37" t="s">
        <v>541</v>
      </c>
      <c r="BN1693" s="37"/>
      <c r="BO1693" s="37">
        <v>4.5430652549372983E-4</v>
      </c>
      <c r="BP1693" s="37"/>
      <c r="BQ1693" s="37"/>
      <c r="BR1693" s="37"/>
      <c r="BS1693" s="37"/>
      <c r="BT1693" s="37"/>
      <c r="BU1693" s="246"/>
      <c r="BV1693" s="37"/>
      <c r="BW1693" s="37"/>
      <c r="BX1693" s="37"/>
      <c r="BY1693" s="37"/>
      <c r="BZ1693" s="37"/>
      <c r="CA1693" s="37"/>
      <c r="CB1693" s="37"/>
      <c r="CC1693" s="37"/>
      <c r="CD1693" s="37"/>
      <c r="CE1693" s="37"/>
      <c r="CF1693" s="37"/>
      <c r="CG1693" s="37"/>
      <c r="CH1693" s="37"/>
      <c r="CI1693" s="243">
        <f t="shared" si="459"/>
        <v>4.5430652549372983E-4</v>
      </c>
      <c r="CJ1693" s="243">
        <f t="shared" si="460"/>
        <v>-3.3426510250925601</v>
      </c>
      <c r="CK1693" s="38">
        <f t="shared" si="468"/>
        <v>0.3786277143261263</v>
      </c>
      <c r="CL1693" s="247">
        <f t="shared" si="461"/>
        <v>6.2583093277045672</v>
      </c>
      <c r="CM1693" s="247">
        <v>-3.2759817693598996</v>
      </c>
      <c r="CN1693" s="247">
        <f>BJ1693/(10^CM1693)</f>
        <v>14.176707196919731</v>
      </c>
      <c r="CO1693" s="36"/>
      <c r="CP1693" s="36" t="s">
        <v>1921</v>
      </c>
      <c r="CQ1693" s="241">
        <v>-3.1473762053339587</v>
      </c>
      <c r="CR1693" s="241">
        <f t="shared" si="466"/>
        <v>0.63785972344967834</v>
      </c>
      <c r="CS1693" s="33"/>
      <c r="CT1693" s="33"/>
      <c r="CU1693" s="250">
        <f t="shared" si="462"/>
        <v>115.70247933884299</v>
      </c>
      <c r="CV1693" s="337">
        <f t="shared" si="469"/>
        <v>7.0000000000000009</v>
      </c>
      <c r="CW1693" s="330">
        <f t="shared" si="463"/>
        <v>1</v>
      </c>
      <c r="CX1693" s="330"/>
      <c r="CY1693" s="143" t="s">
        <v>5921</v>
      </c>
    </row>
    <row r="1694" spans="1:103" ht="11.25" customHeight="1" x14ac:dyDescent="0.2">
      <c r="A1694" s="72">
        <v>1692</v>
      </c>
      <c r="B1694" s="241">
        <v>567</v>
      </c>
      <c r="C1694" s="32" t="s">
        <v>7636</v>
      </c>
      <c r="D1694" s="32"/>
      <c r="E1694" s="40"/>
      <c r="F1694" s="40" t="s">
        <v>1742</v>
      </c>
      <c r="G1694" s="242">
        <v>88744</v>
      </c>
      <c r="H1694" s="36" t="s">
        <v>1743</v>
      </c>
      <c r="I1694" s="36" t="s">
        <v>1743</v>
      </c>
      <c r="J1694" s="36" t="s">
        <v>1744</v>
      </c>
      <c r="K1694" s="36" t="s">
        <v>1573</v>
      </c>
      <c r="L1694" s="36"/>
      <c r="M1694" s="36"/>
      <c r="N1694" s="36"/>
      <c r="O1694" s="36"/>
      <c r="P1694" s="41" t="s">
        <v>6184</v>
      </c>
      <c r="Q1694" s="41" t="s">
        <v>6176</v>
      </c>
      <c r="R1694" s="41" t="s">
        <v>6185</v>
      </c>
      <c r="S1694" s="41" t="s">
        <v>6182</v>
      </c>
      <c r="T1694" s="37">
        <v>138.12</v>
      </c>
      <c r="U1694" s="243">
        <v>10.642919200695047</v>
      </c>
      <c r="V1694" s="243">
        <v>16.239501882421081</v>
      </c>
      <c r="W1694" s="243">
        <v>8.7096358995608014</v>
      </c>
      <c r="X1694" s="243">
        <v>10.642919200695047</v>
      </c>
      <c r="Y1694" s="414">
        <v>7</v>
      </c>
      <c r="Z1694" s="37">
        <v>2.02</v>
      </c>
      <c r="AA1694" s="37">
        <v>1.85</v>
      </c>
      <c r="AB1694" s="37">
        <v>1.81</v>
      </c>
      <c r="AC1694" s="37">
        <v>0.9173</v>
      </c>
      <c r="AD1694" s="37">
        <v>1.81</v>
      </c>
      <c r="AE1694" s="37">
        <v>1.83</v>
      </c>
      <c r="AF1694" s="37">
        <f t="shared" si="467"/>
        <v>1.85</v>
      </c>
      <c r="AG1694" s="38">
        <v>0.73</v>
      </c>
      <c r="AH1694" s="243">
        <v>1.6400000000000001E-7</v>
      </c>
      <c r="AI1694" s="243">
        <v>5.8999999999999999E-8</v>
      </c>
      <c r="AJ1694" s="34">
        <f t="shared" si="457"/>
        <v>-5.1737224782649536</v>
      </c>
      <c r="AK1694" s="34">
        <f t="shared" si="465"/>
        <v>-5.6177143146705077</v>
      </c>
      <c r="AL1694" s="34">
        <f t="shared" si="458"/>
        <v>-5.6177143146705077</v>
      </c>
      <c r="AM1694" s="34">
        <v>-7.8386800000000001</v>
      </c>
      <c r="AN1694" s="244">
        <v>-4.43</v>
      </c>
      <c r="AO1694" s="417"/>
      <c r="AP1694" s="417">
        <v>-0.23</v>
      </c>
      <c r="AQ1694" s="244" t="s">
        <v>6311</v>
      </c>
      <c r="AR1694" s="244" t="s">
        <v>6311</v>
      </c>
      <c r="AS1694" s="241" t="s">
        <v>6</v>
      </c>
      <c r="AT1694" s="39" t="s">
        <v>266</v>
      </c>
      <c r="AU1694" s="37">
        <v>2</v>
      </c>
      <c r="AV1694" s="37">
        <v>48</v>
      </c>
      <c r="AW1694" s="37">
        <v>48</v>
      </c>
      <c r="AX1694" s="37">
        <v>26</v>
      </c>
      <c r="AY1694" s="37" t="s">
        <v>647</v>
      </c>
      <c r="AZ1694" s="37" t="s">
        <v>536</v>
      </c>
      <c r="BA1694" s="37">
        <v>20</v>
      </c>
      <c r="BB1694" s="36" t="s">
        <v>537</v>
      </c>
      <c r="BC1694" s="36" t="s">
        <v>538</v>
      </c>
      <c r="BD1694" s="36"/>
      <c r="BE1694" s="37" t="s">
        <v>271</v>
      </c>
      <c r="BF1694" s="37" t="s">
        <v>539</v>
      </c>
      <c r="BG1694" s="37" t="s">
        <v>272</v>
      </c>
      <c r="BH1694" s="37" t="s">
        <v>272</v>
      </c>
      <c r="BI1694" s="248">
        <v>4.5619116582186821E-2</v>
      </c>
      <c r="BJ1694" s="248">
        <v>0.23171614771904417</v>
      </c>
      <c r="BK1694" s="37"/>
      <c r="BL1694" s="243">
        <f t="shared" si="456"/>
        <v>0.78820284843319122</v>
      </c>
      <c r="BM1694" s="37" t="s">
        <v>541</v>
      </c>
      <c r="BN1694" s="37"/>
      <c r="BO1694" s="37">
        <v>0.1556842867487328</v>
      </c>
      <c r="BP1694" s="37"/>
      <c r="BQ1694" s="37"/>
      <c r="BR1694" s="37"/>
      <c r="BS1694" s="37"/>
      <c r="BT1694" s="37"/>
      <c r="BU1694" s="246"/>
      <c r="BV1694" s="37"/>
      <c r="BW1694" s="37"/>
      <c r="BX1694" s="37"/>
      <c r="BY1694" s="37"/>
      <c r="BZ1694" s="37"/>
      <c r="CA1694" s="37"/>
      <c r="CB1694" s="37"/>
      <c r="CC1694" s="37"/>
      <c r="CD1694" s="37"/>
      <c r="CE1694" s="37"/>
      <c r="CF1694" s="37"/>
      <c r="CG1694" s="37"/>
      <c r="CH1694" s="37"/>
      <c r="CI1694" s="243">
        <f t="shared" si="459"/>
        <v>0.1556842867487328</v>
      </c>
      <c r="CJ1694" s="243">
        <f t="shared" si="460"/>
        <v>-0.80775521866302591</v>
      </c>
      <c r="CK1694" s="38">
        <f t="shared" si="468"/>
        <v>3.4015879177694908</v>
      </c>
      <c r="CL1694" s="247">
        <f t="shared" si="461"/>
        <v>5.0628285287731956</v>
      </c>
      <c r="CM1694" s="247"/>
      <c r="CN1694" s="247"/>
      <c r="CO1694" s="36"/>
      <c r="CP1694" s="36" t="s">
        <v>1558</v>
      </c>
      <c r="CQ1694" s="241">
        <v>-0.85059398299744449</v>
      </c>
      <c r="CR1694" s="241">
        <f t="shared" si="466"/>
        <v>1.1036687970342385</v>
      </c>
      <c r="CS1694" s="33"/>
      <c r="CT1694" s="33"/>
      <c r="CU1694" s="250">
        <f t="shared" si="462"/>
        <v>68.362192633301675</v>
      </c>
      <c r="CV1694" s="337">
        <f t="shared" si="469"/>
        <v>45.930848175499563</v>
      </c>
      <c r="CW1694" s="330">
        <f t="shared" si="463"/>
        <v>1</v>
      </c>
      <c r="CX1694" s="330"/>
      <c r="CY1694" s="143" t="s">
        <v>6351</v>
      </c>
    </row>
    <row r="1695" spans="1:103" ht="11.25" customHeight="1" x14ac:dyDescent="0.2">
      <c r="A1695" s="72">
        <v>1693</v>
      </c>
      <c r="B1695" s="241">
        <v>568</v>
      </c>
      <c r="C1695" s="32" t="s">
        <v>7637</v>
      </c>
      <c r="D1695" s="32"/>
      <c r="E1695" s="40"/>
      <c r="F1695" s="40" t="s">
        <v>1745</v>
      </c>
      <c r="G1695" s="242">
        <v>91236</v>
      </c>
      <c r="H1695" s="36" t="s">
        <v>1746</v>
      </c>
      <c r="I1695" s="36" t="s">
        <v>8211</v>
      </c>
      <c r="J1695" s="36" t="s">
        <v>1747</v>
      </c>
      <c r="K1695" s="36" t="s">
        <v>426</v>
      </c>
      <c r="L1695" s="36"/>
      <c r="M1695" s="36"/>
      <c r="N1695" s="36"/>
      <c r="O1695" s="36"/>
      <c r="P1695" s="41"/>
      <c r="Q1695" s="41" t="s">
        <v>6173</v>
      </c>
      <c r="R1695" s="41" t="s">
        <v>6185</v>
      </c>
      <c r="S1695" s="41" t="s">
        <v>6182</v>
      </c>
      <c r="T1695" s="37">
        <v>153.13999999999999</v>
      </c>
      <c r="U1695" s="243">
        <v>11.03565365025467</v>
      </c>
      <c r="V1695" s="243">
        <v>6.5123416481650782</v>
      </c>
      <c r="W1695" s="243">
        <v>10</v>
      </c>
      <c r="X1695" s="243">
        <v>11.03565365025467</v>
      </c>
      <c r="Y1695" s="414">
        <v>7</v>
      </c>
      <c r="Z1695" s="37">
        <v>1.89</v>
      </c>
      <c r="AA1695" s="37">
        <v>1.73</v>
      </c>
      <c r="AB1695" s="37">
        <v>2.06</v>
      </c>
      <c r="AC1695" s="37">
        <v>0.91830000000000001</v>
      </c>
      <c r="AD1695" s="37">
        <v>1.98</v>
      </c>
      <c r="AE1695" s="37">
        <v>1.73</v>
      </c>
      <c r="AF1695" s="37">
        <f t="shared" si="467"/>
        <v>1.73</v>
      </c>
      <c r="AG1695" s="38">
        <v>1.4</v>
      </c>
      <c r="AH1695" s="243">
        <v>1.26E-6</v>
      </c>
      <c r="AI1695" s="243">
        <v>4.2899999999999999E-7</v>
      </c>
      <c r="AJ1695" s="34">
        <f t="shared" si="457"/>
        <v>-4.288195781195089</v>
      </c>
      <c r="AK1695" s="34">
        <f t="shared" si="465"/>
        <v>-4.7561090341279275</v>
      </c>
      <c r="AL1695" s="34">
        <f t="shared" si="458"/>
        <v>-4.7561090341279275</v>
      </c>
      <c r="AM1695" s="34">
        <v>-6.3857200000000001</v>
      </c>
      <c r="AN1695" s="244">
        <v>-4.09</v>
      </c>
      <c r="AO1695" s="417"/>
      <c r="AP1695" s="417"/>
      <c r="AQ1695" s="244" t="s">
        <v>6311</v>
      </c>
      <c r="AR1695" s="244" t="s">
        <v>6311</v>
      </c>
      <c r="AS1695" s="241" t="s">
        <v>6</v>
      </c>
      <c r="AT1695" s="39" t="s">
        <v>266</v>
      </c>
      <c r="AU1695" s="37">
        <v>2</v>
      </c>
      <c r="AV1695" s="37">
        <v>48</v>
      </c>
      <c r="AW1695" s="37">
        <v>48</v>
      </c>
      <c r="AX1695" s="37">
        <v>26</v>
      </c>
      <c r="AY1695" s="37" t="s">
        <v>8722</v>
      </c>
      <c r="AZ1695" s="37" t="s">
        <v>536</v>
      </c>
      <c r="BA1695" s="37">
        <v>20</v>
      </c>
      <c r="BB1695" s="36" t="s">
        <v>1644</v>
      </c>
      <c r="BC1695" s="36" t="s">
        <v>8722</v>
      </c>
      <c r="BD1695" s="36"/>
      <c r="BE1695" s="37" t="s">
        <v>271</v>
      </c>
      <c r="BF1695" s="37" t="s">
        <v>272</v>
      </c>
      <c r="BG1695" s="37" t="s">
        <v>272</v>
      </c>
      <c r="BH1695" s="37" t="s">
        <v>272</v>
      </c>
      <c r="BI1695" s="243">
        <v>2.5000000000000001E-2</v>
      </c>
      <c r="BJ1695" s="243">
        <v>0.4</v>
      </c>
      <c r="BK1695" s="37"/>
      <c r="BL1695" s="243">
        <f t="shared" si="456"/>
        <v>1.031314205884482</v>
      </c>
      <c r="BM1695" s="37" t="s">
        <v>1584</v>
      </c>
      <c r="BN1695" s="37"/>
      <c r="BO1695" s="37">
        <v>0.2</v>
      </c>
      <c r="BP1695" s="37"/>
      <c r="BQ1695" s="37"/>
      <c r="BR1695" s="37"/>
      <c r="BS1695" s="37"/>
      <c r="BT1695" s="37"/>
      <c r="BU1695" s="246"/>
      <c r="BV1695" s="37"/>
      <c r="BW1695" s="37"/>
      <c r="BX1695" s="37"/>
      <c r="BY1695" s="37"/>
      <c r="BZ1695" s="37"/>
      <c r="CA1695" s="37"/>
      <c r="CB1695" s="37"/>
      <c r="CC1695" s="37"/>
      <c r="CD1695" s="37"/>
      <c r="CE1695" s="37"/>
      <c r="CF1695" s="37"/>
      <c r="CG1695" s="37"/>
      <c r="CH1695" s="37"/>
      <c r="CI1695" s="243">
        <f t="shared" si="459"/>
        <v>0.2</v>
      </c>
      <c r="CJ1695" s="243">
        <f t="shared" si="460"/>
        <v>-0.69897000433601875</v>
      </c>
      <c r="CK1695" s="38">
        <f t="shared" si="468"/>
        <v>2.5782855147112049</v>
      </c>
      <c r="CL1695" s="247">
        <f t="shared" si="461"/>
        <v>5.1565710294224099</v>
      </c>
      <c r="CM1695" s="247"/>
      <c r="CN1695" s="247"/>
      <c r="CO1695" s="36"/>
      <c r="CP1695" s="36" t="s">
        <v>1673</v>
      </c>
      <c r="CQ1695" s="241">
        <v>9.6003273476450948E-2</v>
      </c>
      <c r="CR1695" s="241">
        <f t="shared" si="466"/>
        <v>0.16033440415913142</v>
      </c>
      <c r="CS1695" s="33"/>
      <c r="CT1695" s="33"/>
      <c r="CU1695" s="250">
        <f t="shared" si="462"/>
        <v>55.178268251273344</v>
      </c>
      <c r="CV1695" s="337">
        <f t="shared" si="469"/>
        <v>27.589134125636672</v>
      </c>
      <c r="CW1695" s="330">
        <f t="shared" si="463"/>
        <v>1</v>
      </c>
      <c r="CX1695" s="330"/>
      <c r="CY1695" s="143" t="s">
        <v>5921</v>
      </c>
    </row>
    <row r="1696" spans="1:103" ht="11.25" customHeight="1" x14ac:dyDescent="0.2">
      <c r="A1696" s="72">
        <v>1694</v>
      </c>
      <c r="B1696" s="241">
        <v>2048</v>
      </c>
      <c r="C1696" s="32" t="s">
        <v>7638</v>
      </c>
      <c r="D1696" s="32"/>
      <c r="E1696" s="40"/>
      <c r="F1696" s="40" t="s">
        <v>4218</v>
      </c>
      <c r="G1696" s="242">
        <v>95147</v>
      </c>
      <c r="H1696" s="41" t="s">
        <v>4219</v>
      </c>
      <c r="I1696" s="41" t="s">
        <v>4219</v>
      </c>
      <c r="J1696" s="41" t="s">
        <v>5607</v>
      </c>
      <c r="K1696" s="41" t="s">
        <v>4221</v>
      </c>
      <c r="L1696" s="41"/>
      <c r="M1696" s="41"/>
      <c r="N1696" s="36"/>
      <c r="O1696" s="41"/>
      <c r="P1696" s="41"/>
      <c r="Q1696" s="41"/>
      <c r="R1696" s="41"/>
      <c r="S1696" s="41"/>
      <c r="T1696" s="33">
        <v>119.12</v>
      </c>
      <c r="U1696" s="250">
        <v>166.21893888515783</v>
      </c>
      <c r="V1696" s="250">
        <v>50.008394895903287</v>
      </c>
      <c r="W1696" s="250">
        <v>154.88166189124809</v>
      </c>
      <c r="X1696" s="250">
        <v>166.21893888515783</v>
      </c>
      <c r="Y1696" s="415">
        <v>4.97</v>
      </c>
      <c r="Z1696" s="33">
        <v>1.17</v>
      </c>
      <c r="AA1696" s="33">
        <v>1.44</v>
      </c>
      <c r="AB1696" s="33">
        <v>1.61</v>
      </c>
      <c r="AC1696" s="33">
        <v>0.86890000000000001</v>
      </c>
      <c r="AD1696" s="33">
        <v>1.54</v>
      </c>
      <c r="AE1696" s="33">
        <v>1.34</v>
      </c>
      <c r="AF1696" s="33">
        <f t="shared" si="467"/>
        <v>1.44</v>
      </c>
      <c r="AG1696" s="34">
        <v>1.54</v>
      </c>
      <c r="AH1696" s="250">
        <v>1.4700000000000001E-7</v>
      </c>
      <c r="AI1696" s="250"/>
      <c r="AJ1696" s="34">
        <f t="shared" si="457"/>
        <v>-5.221248991564476</v>
      </c>
      <c r="AK1696" s="34"/>
      <c r="AL1696" s="34">
        <f t="shared" si="458"/>
        <v>-5.221248991564476</v>
      </c>
      <c r="AM1696" s="34">
        <v>-9.7054899999999993</v>
      </c>
      <c r="AN1696" s="251"/>
      <c r="AO1696" s="417">
        <v>8.3800000000000008</v>
      </c>
      <c r="AP1696" s="417">
        <v>1.17</v>
      </c>
      <c r="AQ1696" s="251" t="s">
        <v>6311</v>
      </c>
      <c r="AR1696" s="251" t="s">
        <v>6311</v>
      </c>
      <c r="AS1696" s="252" t="s">
        <v>5466</v>
      </c>
      <c r="AT1696" s="35" t="s">
        <v>266</v>
      </c>
      <c r="AU1696" s="33">
        <v>2</v>
      </c>
      <c r="AV1696" s="33">
        <v>144</v>
      </c>
      <c r="AW1696" s="33">
        <v>142</v>
      </c>
      <c r="AX1696" s="33">
        <v>27</v>
      </c>
      <c r="AY1696" s="33"/>
      <c r="AZ1696" s="33" t="s">
        <v>5595</v>
      </c>
      <c r="BA1696" s="33">
        <v>100</v>
      </c>
      <c r="BB1696" s="41" t="s">
        <v>5596</v>
      </c>
      <c r="BC1696" s="41" t="s">
        <v>5597</v>
      </c>
      <c r="BD1696" s="41"/>
      <c r="BE1696" s="33" t="s">
        <v>5598</v>
      </c>
      <c r="BF1696" s="33"/>
      <c r="BG1696" s="33"/>
      <c r="BH1696" s="33" t="s">
        <v>1820</v>
      </c>
      <c r="BI1696" s="250">
        <v>8.3900000000000006E-5</v>
      </c>
      <c r="BJ1696" s="250">
        <v>8.3899999999999999E-3</v>
      </c>
      <c r="BK1696" s="254" t="s">
        <v>5599</v>
      </c>
      <c r="BL1696" s="250">
        <f t="shared" si="456"/>
        <v>4.5711239739827185</v>
      </c>
      <c r="BM1696" s="33"/>
      <c r="BN1696" s="33"/>
      <c r="BO1696" s="33"/>
      <c r="BP1696" s="33"/>
      <c r="BQ1696" s="33"/>
      <c r="BR1696" s="33"/>
      <c r="BS1696" s="33"/>
      <c r="BT1696" s="33" t="s">
        <v>5608</v>
      </c>
      <c r="BU1696" s="246"/>
      <c r="BV1696" s="33"/>
      <c r="BW1696" s="33"/>
      <c r="BX1696" s="33"/>
      <c r="BY1696" s="33"/>
      <c r="BZ1696" s="33"/>
      <c r="CA1696" s="33"/>
      <c r="CB1696" s="33"/>
      <c r="CC1696" s="33"/>
      <c r="CD1696" s="33"/>
      <c r="CE1696" s="33"/>
      <c r="CF1696" s="33"/>
      <c r="CG1696" s="33"/>
      <c r="CH1696" s="33"/>
      <c r="CI1696" s="250"/>
      <c r="CJ1696" s="243"/>
      <c r="CK1696" s="38">
        <f t="shared" si="468"/>
        <v>544.83003265586638</v>
      </c>
      <c r="CL1696" s="247"/>
      <c r="CM1696" s="247"/>
      <c r="CN1696" s="247"/>
      <c r="CO1696" s="41"/>
      <c r="CP1696" s="41" t="s">
        <v>5601</v>
      </c>
      <c r="CQ1696" s="241" t="s">
        <v>272</v>
      </c>
      <c r="CR1696" s="241"/>
      <c r="CS1696" s="33"/>
      <c r="CT1696" s="33" t="s">
        <v>6310</v>
      </c>
      <c r="CU1696" s="250"/>
      <c r="CV1696" s="337">
        <f t="shared" si="469"/>
        <v>19811.55409835016</v>
      </c>
      <c r="CW1696" s="330">
        <f>IF(CV1696&lt;1,0,1)</f>
        <v>1</v>
      </c>
      <c r="CX1696" s="330" t="s">
        <v>539</v>
      </c>
      <c r="CY1696" s="143" t="s">
        <v>6351</v>
      </c>
    </row>
    <row r="1697" spans="1:103" ht="11.25" customHeight="1" x14ac:dyDescent="0.2">
      <c r="A1697" s="72">
        <v>1695</v>
      </c>
      <c r="B1697" s="241">
        <v>648</v>
      </c>
      <c r="C1697" s="32" t="s">
        <v>7639</v>
      </c>
      <c r="D1697" s="32"/>
      <c r="E1697" s="40"/>
      <c r="F1697" s="40" t="s">
        <v>1623</v>
      </c>
      <c r="G1697" s="242">
        <v>95512</v>
      </c>
      <c r="H1697" s="36" t="s">
        <v>1624</v>
      </c>
      <c r="I1697" s="36" t="s">
        <v>8212</v>
      </c>
      <c r="J1697" s="36" t="s">
        <v>1625</v>
      </c>
      <c r="K1697" s="36" t="s">
        <v>1573</v>
      </c>
      <c r="L1697" s="36"/>
      <c r="M1697" s="36"/>
      <c r="N1697" s="36"/>
      <c r="O1697" s="36"/>
      <c r="P1697" s="41" t="s">
        <v>6184</v>
      </c>
      <c r="Q1697" s="41" t="s">
        <v>6176</v>
      </c>
      <c r="R1697" s="41" t="s">
        <v>6185</v>
      </c>
      <c r="S1697" s="41" t="s">
        <v>6176</v>
      </c>
      <c r="T1697" s="37">
        <v>127.57</v>
      </c>
      <c r="U1697" s="243">
        <v>63.964882025554601</v>
      </c>
      <c r="V1697" s="243">
        <v>17.566826056282824</v>
      </c>
      <c r="W1697" s="243">
        <v>10.232929922807536</v>
      </c>
      <c r="X1697" s="243">
        <v>63.964882025554601</v>
      </c>
      <c r="Y1697" s="414">
        <v>7.37</v>
      </c>
      <c r="Z1697" s="37">
        <v>1.72</v>
      </c>
      <c r="AA1697" s="37">
        <v>1.9</v>
      </c>
      <c r="AB1697" s="37">
        <v>2.11</v>
      </c>
      <c r="AC1697" s="37">
        <v>0.91159999999999997</v>
      </c>
      <c r="AD1697" s="37">
        <v>2.06</v>
      </c>
      <c r="AE1697" s="37">
        <v>1.91</v>
      </c>
      <c r="AF1697" s="37">
        <f t="shared" si="467"/>
        <v>1.9</v>
      </c>
      <c r="AG1697" s="38">
        <v>1.79</v>
      </c>
      <c r="AH1697" s="243">
        <v>1.4100000000000001E-6</v>
      </c>
      <c r="AI1697" s="243">
        <v>5.3900000000000001E-6</v>
      </c>
      <c r="AJ1697" s="34">
        <f t="shared" si="457"/>
        <v>-4.2393472136572719</v>
      </c>
      <c r="AK1697" s="34">
        <f>LOG10(AI1697*1000/(0.08206*298.15))</f>
        <v>-3.6569775611259132</v>
      </c>
      <c r="AL1697" s="34">
        <f t="shared" si="458"/>
        <v>-3.6569775611259132</v>
      </c>
      <c r="AM1697" s="34">
        <v>-6.6838999999999995</v>
      </c>
      <c r="AN1697" s="244">
        <v>-2.79</v>
      </c>
      <c r="AO1697" s="417"/>
      <c r="AP1697" s="417">
        <v>2.65</v>
      </c>
      <c r="AQ1697" s="244" t="s">
        <v>6311</v>
      </c>
      <c r="AR1697" s="244" t="s">
        <v>6311</v>
      </c>
      <c r="AS1697" s="241" t="s">
        <v>6</v>
      </c>
      <c r="AT1697" s="39" t="s">
        <v>266</v>
      </c>
      <c r="AU1697" s="37">
        <v>2</v>
      </c>
      <c r="AV1697" s="37">
        <v>48</v>
      </c>
      <c r="AW1697" s="37">
        <v>48</v>
      </c>
      <c r="AX1697" s="37">
        <v>26</v>
      </c>
      <c r="AY1697" s="37" t="s">
        <v>647</v>
      </c>
      <c r="AZ1697" s="37" t="s">
        <v>1912</v>
      </c>
      <c r="BA1697" s="37">
        <v>25</v>
      </c>
      <c r="BB1697" s="36" t="s">
        <v>1613</v>
      </c>
      <c r="BC1697" s="36" t="s">
        <v>538</v>
      </c>
      <c r="BD1697" s="36"/>
      <c r="BE1697" s="37" t="s">
        <v>271</v>
      </c>
      <c r="BF1697" s="37" t="s">
        <v>272</v>
      </c>
      <c r="BG1697" s="37" t="s">
        <v>272</v>
      </c>
      <c r="BH1697" s="37" t="s">
        <v>272</v>
      </c>
      <c r="BI1697" s="243">
        <v>1.4499999999999999E-3</v>
      </c>
      <c r="BJ1697" s="243">
        <v>0.79</v>
      </c>
      <c r="BK1697" s="37"/>
      <c r="BL1697" s="243">
        <f t="shared" si="456"/>
        <v>1.4657773282271105</v>
      </c>
      <c r="BM1697" s="37" t="s">
        <v>541</v>
      </c>
      <c r="BN1697" s="37"/>
      <c r="BO1697" s="37">
        <v>0.11700000000000001</v>
      </c>
      <c r="BP1697" s="37"/>
      <c r="BQ1697" s="37"/>
      <c r="BR1697" s="37"/>
      <c r="BS1697" s="37"/>
      <c r="BT1697" s="37"/>
      <c r="BU1697" s="246"/>
      <c r="BV1697" s="37"/>
      <c r="BW1697" s="37"/>
      <c r="BX1697" s="37"/>
      <c r="BY1697" s="37"/>
      <c r="BZ1697" s="37"/>
      <c r="CA1697" s="37"/>
      <c r="CB1697" s="37"/>
      <c r="CC1697" s="37"/>
      <c r="CD1697" s="37"/>
      <c r="CE1697" s="37"/>
      <c r="CF1697" s="37"/>
      <c r="CG1697" s="37"/>
      <c r="CH1697" s="37"/>
      <c r="CI1697" s="243">
        <f t="shared" ref="CI1697:CI1717" si="470">MIN(BN1697:CH1697)</f>
        <v>0.11700000000000001</v>
      </c>
      <c r="CJ1697" s="243">
        <f t="shared" ref="CJ1697:CJ1717" si="471">LOG10(CI1697)</f>
        <v>-0.9318141382538383</v>
      </c>
      <c r="CK1697" s="38">
        <f t="shared" si="468"/>
        <v>1.8554143395279878</v>
      </c>
      <c r="CL1697" s="247">
        <f t="shared" ref="CL1697:CL1717" si="472">BL1697/CI1697</f>
        <v>12.528011352368464</v>
      </c>
      <c r="CM1697" s="247"/>
      <c r="CN1697" s="247"/>
      <c r="CO1697" s="36"/>
      <c r="CP1697" s="36" t="s">
        <v>1913</v>
      </c>
      <c r="CQ1697" s="241">
        <v>-1.3666629501242646</v>
      </c>
      <c r="CR1697" s="241">
        <f>10^(CJ1697-CQ1697)</f>
        <v>2.7217536366411035</v>
      </c>
      <c r="CS1697" s="33"/>
      <c r="CT1697" s="33"/>
      <c r="CU1697" s="250">
        <f t="shared" ref="CU1697:CU1717" si="473">X1697/CI1697</f>
        <v>546.7083933808085</v>
      </c>
      <c r="CV1697" s="337">
        <f t="shared" si="469"/>
        <v>80.968205095638737</v>
      </c>
      <c r="CW1697" s="330">
        <f t="shared" ref="CW1697:CW1717" si="474">IF(CU1697&lt;2,0,1)</f>
        <v>1</v>
      </c>
      <c r="CX1697" s="330"/>
      <c r="CY1697" s="143" t="s">
        <v>6351</v>
      </c>
    </row>
    <row r="1698" spans="1:103" ht="11.25" customHeight="1" x14ac:dyDescent="0.2">
      <c r="A1698" s="72">
        <v>1696</v>
      </c>
      <c r="B1698" s="241">
        <v>504</v>
      </c>
      <c r="C1698" s="32" t="s">
        <v>7639</v>
      </c>
      <c r="D1698" s="32"/>
      <c r="E1698" s="40"/>
      <c r="F1698" s="40" t="s">
        <v>1623</v>
      </c>
      <c r="G1698" s="242">
        <v>95512</v>
      </c>
      <c r="H1698" s="36" t="s">
        <v>1624</v>
      </c>
      <c r="I1698" s="36" t="s">
        <v>8212</v>
      </c>
      <c r="J1698" s="36" t="s">
        <v>1625</v>
      </c>
      <c r="K1698" s="36" t="s">
        <v>1573</v>
      </c>
      <c r="L1698" s="36"/>
      <c r="M1698" s="36"/>
      <c r="N1698" s="36"/>
      <c r="O1698" s="36"/>
      <c r="P1698" s="41" t="s">
        <v>6184</v>
      </c>
      <c r="Q1698" s="41" t="s">
        <v>6176</v>
      </c>
      <c r="R1698" s="41" t="s">
        <v>6185</v>
      </c>
      <c r="S1698" s="41" t="s">
        <v>6176</v>
      </c>
      <c r="T1698" s="37">
        <v>127.57</v>
      </c>
      <c r="U1698" s="243">
        <v>63.964882025554601</v>
      </c>
      <c r="V1698" s="243">
        <v>17.566826056282824</v>
      </c>
      <c r="W1698" s="243">
        <v>10.232929922807536</v>
      </c>
      <c r="X1698" s="243">
        <v>63.964882025554601</v>
      </c>
      <c r="Y1698" s="414">
        <v>7.37</v>
      </c>
      <c r="Z1698" s="37">
        <v>1.72</v>
      </c>
      <c r="AA1698" s="37">
        <v>1.9</v>
      </c>
      <c r="AB1698" s="37">
        <v>2.11</v>
      </c>
      <c r="AC1698" s="37">
        <v>0.91159999999999997</v>
      </c>
      <c r="AD1698" s="37">
        <v>2.06</v>
      </c>
      <c r="AE1698" s="37">
        <v>1.91</v>
      </c>
      <c r="AF1698" s="37">
        <f t="shared" si="467"/>
        <v>1.9</v>
      </c>
      <c r="AG1698" s="38">
        <v>1.79</v>
      </c>
      <c r="AH1698" s="243">
        <v>1.4100000000000001E-6</v>
      </c>
      <c r="AI1698" s="243">
        <v>5.3900000000000001E-6</v>
      </c>
      <c r="AJ1698" s="34">
        <f t="shared" si="457"/>
        <v>-4.2393472136572719</v>
      </c>
      <c r="AK1698" s="34">
        <f>LOG10(AI1698*1000/(0.08206*298.15))</f>
        <v>-3.6569775611259132</v>
      </c>
      <c r="AL1698" s="34">
        <f t="shared" si="458"/>
        <v>-3.6569775611259132</v>
      </c>
      <c r="AM1698" s="34">
        <v>-6.6838999999999995</v>
      </c>
      <c r="AN1698" s="244">
        <v>-2.79</v>
      </c>
      <c r="AO1698" s="417"/>
      <c r="AP1698" s="417">
        <v>2.65</v>
      </c>
      <c r="AQ1698" s="244" t="s">
        <v>6311</v>
      </c>
      <c r="AR1698" s="244" t="s">
        <v>6311</v>
      </c>
      <c r="AS1698" s="241" t="s">
        <v>6</v>
      </c>
      <c r="AT1698" s="39" t="s">
        <v>266</v>
      </c>
      <c r="AU1698" s="37">
        <v>2</v>
      </c>
      <c r="AV1698" s="37">
        <v>48</v>
      </c>
      <c r="AW1698" s="37">
        <v>48</v>
      </c>
      <c r="AX1698" s="37">
        <v>26</v>
      </c>
      <c r="AY1698" s="37" t="s">
        <v>647</v>
      </c>
      <c r="AZ1698" s="37" t="s">
        <v>536</v>
      </c>
      <c r="BA1698" s="37">
        <v>20</v>
      </c>
      <c r="BB1698" s="36" t="s">
        <v>537</v>
      </c>
      <c r="BC1698" s="36" t="s">
        <v>538</v>
      </c>
      <c r="BD1698" s="36"/>
      <c r="BE1698" s="37" t="s">
        <v>271</v>
      </c>
      <c r="BF1698" s="37" t="s">
        <v>539</v>
      </c>
      <c r="BG1698" s="37" t="s">
        <v>272</v>
      </c>
      <c r="BH1698" s="37" t="s">
        <v>272</v>
      </c>
      <c r="BI1698" s="248">
        <v>5.7210031347962383E-2</v>
      </c>
      <c r="BJ1698" s="248">
        <v>0.29153605015673983</v>
      </c>
      <c r="BK1698" s="37"/>
      <c r="BL1698" s="243">
        <f t="shared" si="456"/>
        <v>1.4657773282271105</v>
      </c>
      <c r="BM1698" s="37" t="s">
        <v>541</v>
      </c>
      <c r="BN1698" s="37"/>
      <c r="BO1698" s="37">
        <v>0.22178683385579939</v>
      </c>
      <c r="BP1698" s="37"/>
      <c r="BQ1698" s="37"/>
      <c r="BR1698" s="37"/>
      <c r="BS1698" s="37"/>
      <c r="BT1698" s="37"/>
      <c r="BU1698" s="246"/>
      <c r="BV1698" s="37"/>
      <c r="BW1698" s="37"/>
      <c r="BX1698" s="37"/>
      <c r="BY1698" s="37"/>
      <c r="BZ1698" s="37"/>
      <c r="CA1698" s="37"/>
      <c r="CB1698" s="37"/>
      <c r="CC1698" s="37"/>
      <c r="CD1698" s="37"/>
      <c r="CE1698" s="37"/>
      <c r="CF1698" s="37"/>
      <c r="CG1698" s="37"/>
      <c r="CH1698" s="37"/>
      <c r="CI1698" s="243">
        <f t="shared" si="470"/>
        <v>0.22178683385579939</v>
      </c>
      <c r="CJ1698" s="243">
        <f t="shared" si="471"/>
        <v>-0.6540642388608533</v>
      </c>
      <c r="CK1698" s="38">
        <f t="shared" si="468"/>
        <v>5.0277738462843891</v>
      </c>
      <c r="CL1698" s="247">
        <f t="shared" si="472"/>
        <v>6.6089465399922007</v>
      </c>
      <c r="CM1698" s="247"/>
      <c r="CN1698" s="247"/>
      <c r="CO1698" s="36"/>
      <c r="CP1698" s="36" t="s">
        <v>1558</v>
      </c>
      <c r="CQ1698" s="241">
        <v>-1.3666629501242646</v>
      </c>
      <c r="CR1698" s="241">
        <f>10^(CJ1698-CQ1698)</f>
        <v>5.1593942017618639</v>
      </c>
      <c r="CS1698" s="33"/>
      <c r="CT1698" s="33"/>
      <c r="CU1698" s="250">
        <f t="shared" si="473"/>
        <v>288.40702991027445</v>
      </c>
      <c r="CV1698" s="337">
        <f t="shared" si="469"/>
        <v>219.40642329195609</v>
      </c>
      <c r="CW1698" s="330">
        <f t="shared" si="474"/>
        <v>1</v>
      </c>
      <c r="CX1698" s="330"/>
      <c r="CY1698" s="143" t="s">
        <v>6351</v>
      </c>
    </row>
    <row r="1699" spans="1:103" ht="11.25" customHeight="1" x14ac:dyDescent="0.2">
      <c r="A1699" s="72">
        <v>1697</v>
      </c>
      <c r="B1699" s="241">
        <v>1995</v>
      </c>
      <c r="C1699" s="32" t="s">
        <v>7640</v>
      </c>
      <c r="D1699" s="32"/>
      <c r="E1699" s="40"/>
      <c r="F1699" s="40" t="s">
        <v>5558</v>
      </c>
      <c r="G1699" s="242">
        <v>95556</v>
      </c>
      <c r="H1699" s="255" t="s">
        <v>5559</v>
      </c>
      <c r="I1699" s="255" t="s">
        <v>5559</v>
      </c>
      <c r="J1699" s="255" t="s">
        <v>5560</v>
      </c>
      <c r="K1699" s="255" t="s">
        <v>1568</v>
      </c>
      <c r="L1699" s="41"/>
      <c r="M1699" s="41"/>
      <c r="N1699" s="36"/>
      <c r="O1699" s="41"/>
      <c r="P1699" s="41"/>
      <c r="Q1699" s="41"/>
      <c r="R1699" s="41"/>
      <c r="S1699" s="41"/>
      <c r="T1699" s="33">
        <v>109.13</v>
      </c>
      <c r="U1699" s="250">
        <v>183.26766242096582</v>
      </c>
      <c r="V1699" s="250">
        <v>296.52707779712273</v>
      </c>
      <c r="W1699" s="250">
        <v>181.97008586099832</v>
      </c>
      <c r="X1699" s="250">
        <v>183.26766242096582</v>
      </c>
      <c r="Y1699" s="415">
        <v>7.21</v>
      </c>
      <c r="Z1699" s="33">
        <v>0.6</v>
      </c>
      <c r="AA1699" s="33">
        <v>0.62</v>
      </c>
      <c r="AB1699" s="33">
        <v>0.73</v>
      </c>
      <c r="AC1699" s="33">
        <v>0.83409999999999995</v>
      </c>
      <c r="AD1699" s="33">
        <v>0.65</v>
      </c>
      <c r="AE1699" s="33">
        <v>0.44</v>
      </c>
      <c r="AF1699" s="33">
        <f t="shared" si="467"/>
        <v>0.62</v>
      </c>
      <c r="AG1699" s="34">
        <v>0.65</v>
      </c>
      <c r="AH1699" s="250">
        <v>1.9799999999999999E-10</v>
      </c>
      <c r="AI1699" s="250"/>
      <c r="AJ1699" s="34">
        <f t="shared" si="457"/>
        <v>-8.0919011360511206</v>
      </c>
      <c r="AK1699" s="34"/>
      <c r="AL1699" s="34">
        <f t="shared" si="458"/>
        <v>-8.0919011360511206</v>
      </c>
      <c r="AM1699" s="34">
        <v>-8.5509699999999995</v>
      </c>
      <c r="AN1699" s="251"/>
      <c r="AO1699" s="417">
        <v>9.76</v>
      </c>
      <c r="AP1699" s="417">
        <v>4.74</v>
      </c>
      <c r="AQ1699" s="251" t="s">
        <v>6311</v>
      </c>
      <c r="AR1699" s="251" t="s">
        <v>6311</v>
      </c>
      <c r="AS1699" s="252" t="s">
        <v>5466</v>
      </c>
      <c r="AT1699" s="35" t="s">
        <v>266</v>
      </c>
      <c r="AU1699" s="33">
        <v>0</v>
      </c>
      <c r="AV1699" s="33">
        <v>72</v>
      </c>
      <c r="AW1699" s="33">
        <v>72</v>
      </c>
      <c r="AX1699" s="33">
        <v>26</v>
      </c>
      <c r="AY1699" s="253">
        <v>0.59027777777777779</v>
      </c>
      <c r="AZ1699" s="33" t="s">
        <v>536</v>
      </c>
      <c r="BA1699" s="33">
        <v>20</v>
      </c>
      <c r="BB1699" s="41" t="s">
        <v>1764</v>
      </c>
      <c r="BC1699" s="41" t="s">
        <v>6288</v>
      </c>
      <c r="BD1699" s="41"/>
      <c r="BE1699" s="41"/>
      <c r="BF1699" s="33" t="s">
        <v>272</v>
      </c>
      <c r="BG1699" s="33" t="s">
        <v>272</v>
      </c>
      <c r="BH1699" s="33" t="s">
        <v>4089</v>
      </c>
      <c r="BI1699" s="250" t="s">
        <v>1584</v>
      </c>
      <c r="BJ1699" s="250" t="s">
        <v>1584</v>
      </c>
      <c r="BK1699" s="254"/>
      <c r="BL1699" s="250">
        <f t="shared" si="456"/>
        <v>14.857303668717133</v>
      </c>
      <c r="BM1699" s="33" t="s">
        <v>6250</v>
      </c>
      <c r="BN1699" s="33"/>
      <c r="BO1699" s="33"/>
      <c r="BP1699" s="33">
        <v>3.0200000000000002E-4</v>
      </c>
      <c r="BQ1699" s="33"/>
      <c r="BR1699" s="33"/>
      <c r="BS1699" s="33"/>
      <c r="BT1699" s="33"/>
      <c r="BU1699" s="246"/>
      <c r="BV1699" s="33"/>
      <c r="BW1699" s="33"/>
      <c r="BX1699" s="33"/>
      <c r="BY1699" s="33"/>
      <c r="BZ1699" s="33"/>
      <c r="CA1699" s="33"/>
      <c r="CB1699" s="33"/>
      <c r="CC1699" s="33"/>
      <c r="CD1699" s="33"/>
      <c r="CE1699" s="33"/>
      <c r="CF1699" s="33"/>
      <c r="CG1699" s="33"/>
      <c r="CH1699" s="33"/>
      <c r="CI1699" s="250">
        <f t="shared" si="470"/>
        <v>3.0200000000000002E-4</v>
      </c>
      <c r="CJ1699" s="243">
        <f t="shared" si="471"/>
        <v>-3.5199930570428495</v>
      </c>
      <c r="CK1699" s="38" t="s">
        <v>404</v>
      </c>
      <c r="CL1699" s="247">
        <f t="shared" si="472"/>
        <v>49196.369763964016</v>
      </c>
      <c r="CM1699" s="247"/>
      <c r="CN1699" s="247"/>
      <c r="CO1699" s="41"/>
      <c r="CP1699" s="41" t="s">
        <v>6289</v>
      </c>
      <c r="CQ1699" s="241" t="s">
        <v>272</v>
      </c>
      <c r="CR1699" s="241"/>
      <c r="CS1699" s="33"/>
      <c r="CT1699" s="33"/>
      <c r="CU1699" s="250">
        <f t="shared" si="473"/>
        <v>606846.56430783379</v>
      </c>
      <c r="CV1699" s="337"/>
      <c r="CW1699" s="330">
        <f t="shared" si="474"/>
        <v>1</v>
      </c>
      <c r="CX1699" s="330"/>
      <c r="CY1699" s="143" t="s">
        <v>6351</v>
      </c>
    </row>
    <row r="1700" spans="1:103" ht="11.25" customHeight="1" x14ac:dyDescent="0.2">
      <c r="A1700" s="72">
        <v>1698</v>
      </c>
      <c r="B1700" s="241">
        <v>496</v>
      </c>
      <c r="C1700" s="32" t="s">
        <v>7641</v>
      </c>
      <c r="D1700" s="32"/>
      <c r="E1700" s="40"/>
      <c r="F1700" s="40" t="s">
        <v>1599</v>
      </c>
      <c r="G1700" s="242">
        <v>95567</v>
      </c>
      <c r="H1700" s="36" t="s">
        <v>1600</v>
      </c>
      <c r="I1700" s="36" t="s">
        <v>1600</v>
      </c>
      <c r="J1700" s="36" t="s">
        <v>1601</v>
      </c>
      <c r="K1700" s="36" t="s">
        <v>349</v>
      </c>
      <c r="L1700" s="36"/>
      <c r="M1700" s="36"/>
      <c r="N1700" s="36"/>
      <c r="O1700" s="36"/>
      <c r="P1700" s="41"/>
      <c r="Q1700" s="41"/>
      <c r="R1700" s="41"/>
      <c r="S1700" s="41"/>
      <c r="T1700" s="37">
        <v>173.01</v>
      </c>
      <c r="U1700" s="243"/>
      <c r="V1700" s="243">
        <v>12.872088318594301</v>
      </c>
      <c r="W1700" s="243">
        <v>16.98243652461743</v>
      </c>
      <c r="X1700" s="243">
        <f>IF(W1700=0,V1700,W1700)</f>
        <v>16.98243652461743</v>
      </c>
      <c r="Y1700" s="414">
        <v>5.0999999999999996</v>
      </c>
      <c r="Z1700" s="37">
        <v>2.4</v>
      </c>
      <c r="AA1700" s="37">
        <v>2.35</v>
      </c>
      <c r="AB1700" s="37">
        <v>2.38</v>
      </c>
      <c r="AC1700" s="37">
        <v>0.85870000000000002</v>
      </c>
      <c r="AD1700" s="37">
        <v>2.4</v>
      </c>
      <c r="AE1700" s="37">
        <v>2.4700000000000002</v>
      </c>
      <c r="AF1700" s="37">
        <f t="shared" si="467"/>
        <v>2.35</v>
      </c>
      <c r="AG1700" s="38">
        <v>2.2599999999999998</v>
      </c>
      <c r="AH1700" s="243">
        <v>2.23E-7</v>
      </c>
      <c r="AI1700" s="243"/>
      <c r="AJ1700" s="34">
        <f t="shared" si="457"/>
        <v>-5.0402614632644909</v>
      </c>
      <c r="AK1700" s="34"/>
      <c r="AL1700" s="34">
        <f t="shared" si="458"/>
        <v>-5.0402614632644909</v>
      </c>
      <c r="AM1700" s="34">
        <v>-5.9052600000000002</v>
      </c>
      <c r="AN1700" s="244">
        <v>-3.21</v>
      </c>
      <c r="AO1700" s="417">
        <v>8.43</v>
      </c>
      <c r="AP1700" s="417"/>
      <c r="AQ1700" s="244" t="s">
        <v>6311</v>
      </c>
      <c r="AR1700" s="244" t="s">
        <v>6311</v>
      </c>
      <c r="AS1700" s="241" t="s">
        <v>6</v>
      </c>
      <c r="AT1700" s="39" t="s">
        <v>266</v>
      </c>
      <c r="AU1700" s="37">
        <v>2</v>
      </c>
      <c r="AV1700" s="37">
        <v>48</v>
      </c>
      <c r="AW1700" s="37">
        <v>48</v>
      </c>
      <c r="AX1700" s="37">
        <v>26</v>
      </c>
      <c r="AY1700" s="37" t="s">
        <v>8722</v>
      </c>
      <c r="AZ1700" s="37" t="s">
        <v>1586</v>
      </c>
      <c r="BA1700" s="37">
        <v>60</v>
      </c>
      <c r="BB1700" s="36" t="s">
        <v>537</v>
      </c>
      <c r="BC1700" s="36" t="s">
        <v>538</v>
      </c>
      <c r="BD1700" s="36"/>
      <c r="BE1700" s="37" t="s">
        <v>271</v>
      </c>
      <c r="BF1700" s="37" t="s">
        <v>272</v>
      </c>
      <c r="BG1700" s="37" t="s">
        <v>272</v>
      </c>
      <c r="BH1700" s="37" t="s">
        <v>1587</v>
      </c>
      <c r="BI1700" s="243" t="s">
        <v>8722</v>
      </c>
      <c r="BJ1700" s="243" t="s">
        <v>8722</v>
      </c>
      <c r="BK1700" s="37"/>
      <c r="BL1700" s="243">
        <f t="shared" si="456"/>
        <v>0.35921957937803489</v>
      </c>
      <c r="BM1700" s="37" t="s">
        <v>1588</v>
      </c>
      <c r="BN1700" s="37"/>
      <c r="BO1700" s="37">
        <v>0.26079417374718222</v>
      </c>
      <c r="BP1700" s="37"/>
      <c r="BQ1700" s="37"/>
      <c r="BR1700" s="37"/>
      <c r="BS1700" s="37"/>
      <c r="BT1700" s="37"/>
      <c r="BU1700" s="246"/>
      <c r="BV1700" s="37"/>
      <c r="BW1700" s="37"/>
      <c r="BX1700" s="37"/>
      <c r="BY1700" s="37"/>
      <c r="BZ1700" s="37"/>
      <c r="CA1700" s="37"/>
      <c r="CB1700" s="37"/>
      <c r="CC1700" s="37"/>
      <c r="CD1700" s="37"/>
      <c r="CE1700" s="37"/>
      <c r="CF1700" s="37"/>
      <c r="CG1700" s="37"/>
      <c r="CH1700" s="37"/>
      <c r="CI1700" s="243">
        <f t="shared" si="470"/>
        <v>0.26079417374718222</v>
      </c>
      <c r="CJ1700" s="243">
        <f t="shared" si="471"/>
        <v>-0.58370211515527393</v>
      </c>
      <c r="CK1700" s="38" t="s">
        <v>404</v>
      </c>
      <c r="CL1700" s="247">
        <f t="shared" si="472"/>
        <v>1.3774064589581965</v>
      </c>
      <c r="CM1700" s="247"/>
      <c r="CN1700" s="247"/>
      <c r="CO1700" s="36"/>
      <c r="CP1700" s="36" t="s">
        <v>1589</v>
      </c>
      <c r="CQ1700" s="241" t="s">
        <v>272</v>
      </c>
      <c r="CR1700" s="241"/>
      <c r="CS1700" s="33"/>
      <c r="CT1700" s="33"/>
      <c r="CU1700" s="250">
        <f t="shared" si="473"/>
        <v>65.118159200444637</v>
      </c>
      <c r="CV1700" s="337"/>
      <c r="CW1700" s="330">
        <f t="shared" si="474"/>
        <v>1</v>
      </c>
      <c r="CX1700" s="330"/>
      <c r="CY1700" s="143" t="s">
        <v>5921</v>
      </c>
    </row>
    <row r="1701" spans="1:103" ht="11.25" customHeight="1" x14ac:dyDescent="0.2">
      <c r="A1701" s="72">
        <v>1699</v>
      </c>
      <c r="B1701" s="241">
        <v>1956</v>
      </c>
      <c r="C1701" s="32" t="s">
        <v>7642</v>
      </c>
      <c r="D1701" s="32"/>
      <c r="E1701" s="40"/>
      <c r="F1701" s="40" t="s">
        <v>1670</v>
      </c>
      <c r="G1701" s="242">
        <v>95761</v>
      </c>
      <c r="H1701" s="41" t="s">
        <v>1671</v>
      </c>
      <c r="I1701" s="41" t="s">
        <v>8213</v>
      </c>
      <c r="J1701" s="41" t="s">
        <v>1672</v>
      </c>
      <c r="K1701" s="41" t="s">
        <v>1573</v>
      </c>
      <c r="L1701" s="41" t="s">
        <v>5521</v>
      </c>
      <c r="M1701" s="41" t="s">
        <v>1629</v>
      </c>
      <c r="N1701" s="36" t="s">
        <v>6385</v>
      </c>
      <c r="O1701" s="41" t="s">
        <v>498</v>
      </c>
      <c r="P1701" s="41" t="s">
        <v>6184</v>
      </c>
      <c r="Q1701" s="41" t="s">
        <v>6176</v>
      </c>
      <c r="R1701" s="41" t="s">
        <v>6185</v>
      </c>
      <c r="S1701" s="41" t="s">
        <v>6176</v>
      </c>
      <c r="T1701" s="33">
        <v>162.02000000000001</v>
      </c>
      <c r="U1701" s="250">
        <v>0.56783113195901735</v>
      </c>
      <c r="V1701" s="250">
        <v>2.0855449944451299</v>
      </c>
      <c r="W1701" s="250">
        <v>1.819700858609981</v>
      </c>
      <c r="X1701" s="250">
        <v>0.56783113195901735</v>
      </c>
      <c r="Y1701" s="415">
        <v>7.2</v>
      </c>
      <c r="Z1701" s="33">
        <v>2.37</v>
      </c>
      <c r="AA1701" s="33">
        <v>2.69</v>
      </c>
      <c r="AB1701" s="33">
        <v>2.62</v>
      </c>
      <c r="AC1701" s="33">
        <v>0.89139999999999997</v>
      </c>
      <c r="AD1701" s="33">
        <v>2.6</v>
      </c>
      <c r="AE1701" s="33">
        <v>2.5099999999999998</v>
      </c>
      <c r="AF1701" s="33">
        <f t="shared" si="467"/>
        <v>2.69</v>
      </c>
      <c r="AG1701" s="34">
        <v>2.4700000000000002</v>
      </c>
      <c r="AH1701" s="250">
        <v>1.0499999999999999E-6</v>
      </c>
      <c r="AI1701" s="250">
        <v>1.4600000000000001E-5</v>
      </c>
      <c r="AJ1701" s="34">
        <f t="shared" si="457"/>
        <v>-4.3673770272427141</v>
      </c>
      <c r="AK1701" s="34">
        <f t="shared" ref="AK1701:AK1707" si="475">LOG10(AI1701*1000/(0.08206*298.15))</f>
        <v>-3.2242134705282148</v>
      </c>
      <c r="AL1701" s="34">
        <f t="shared" si="458"/>
        <v>-3.2242134705282148</v>
      </c>
      <c r="AM1701" s="34">
        <v>-7.2924100000000003</v>
      </c>
      <c r="AN1701" s="251">
        <v>-4.3684000000000003</v>
      </c>
      <c r="AO1701" s="417"/>
      <c r="AP1701" s="417">
        <v>2.9</v>
      </c>
      <c r="AQ1701" s="251" t="s">
        <v>6311</v>
      </c>
      <c r="AR1701" s="251" t="s">
        <v>6311</v>
      </c>
      <c r="AS1701" s="252" t="s">
        <v>5466</v>
      </c>
      <c r="AT1701" s="35" t="s">
        <v>266</v>
      </c>
      <c r="AU1701" s="33">
        <v>1</v>
      </c>
      <c r="AV1701" s="33">
        <v>168</v>
      </c>
      <c r="AW1701" s="33" t="s">
        <v>5522</v>
      </c>
      <c r="AX1701" s="33">
        <v>26</v>
      </c>
      <c r="AY1701" s="253">
        <v>0.5083333333333333</v>
      </c>
      <c r="AZ1701" s="33" t="s">
        <v>1584</v>
      </c>
      <c r="BA1701" s="33">
        <v>10</v>
      </c>
      <c r="BB1701" s="41" t="s">
        <v>6229</v>
      </c>
      <c r="BC1701" s="41" t="s">
        <v>6227</v>
      </c>
      <c r="BD1701" s="41"/>
      <c r="BE1701" s="33" t="s">
        <v>2449</v>
      </c>
      <c r="BF1701" s="33" t="s">
        <v>6203</v>
      </c>
      <c r="BG1701" s="33" t="s">
        <v>6203</v>
      </c>
      <c r="BH1701" s="33"/>
      <c r="BI1701" s="250">
        <v>3.0860387606468334E-3</v>
      </c>
      <c r="BJ1701" s="250">
        <v>1.5430193803234168E-2</v>
      </c>
      <c r="BK1701" s="254"/>
      <c r="BL1701" s="250">
        <f t="shared" si="456"/>
        <v>0.38221083995251059</v>
      </c>
      <c r="BM1701" s="33">
        <v>0</v>
      </c>
      <c r="BN1701" s="33"/>
      <c r="BO1701" s="33"/>
      <c r="BP1701" s="33"/>
      <c r="BQ1701" s="33"/>
      <c r="BR1701" s="33"/>
      <c r="BS1701" s="33"/>
      <c r="BT1701" s="33">
        <v>6.1700000000000001E-3</v>
      </c>
      <c r="BU1701" s="246"/>
      <c r="BV1701" s="33"/>
      <c r="BW1701" s="33"/>
      <c r="BX1701" s="33"/>
      <c r="BY1701" s="33"/>
      <c r="BZ1701" s="33"/>
      <c r="CA1701" s="33"/>
      <c r="CB1701" s="33"/>
      <c r="CC1701" s="33"/>
      <c r="CD1701" s="33"/>
      <c r="CE1701" s="33"/>
      <c r="CF1701" s="33"/>
      <c r="CG1701" s="33"/>
      <c r="CH1701" s="33"/>
      <c r="CI1701" s="250">
        <f t="shared" si="470"/>
        <v>6.1700000000000001E-3</v>
      </c>
      <c r="CJ1701" s="243">
        <f t="shared" si="471"/>
        <v>-2.2097148359667584</v>
      </c>
      <c r="CK1701" s="38">
        <f t="shared" ref="CK1701:CK1709" si="476">BL1701/BJ1701</f>
        <v>24.770320115642306</v>
      </c>
      <c r="CL1701" s="247">
        <f t="shared" si="472"/>
        <v>61.946651532011437</v>
      </c>
      <c r="CM1701" s="247">
        <v>-1.8594468109488289</v>
      </c>
      <c r="CN1701" s="247">
        <f t="shared" ref="CN1701:CN1706" si="477">BJ1701/(10^CM1701)</f>
        <v>1.1163957944151046</v>
      </c>
      <c r="CO1701" s="41"/>
      <c r="CP1701" s="41" t="s">
        <v>6228</v>
      </c>
      <c r="CQ1701" s="241">
        <v>-1.4618243103116244</v>
      </c>
      <c r="CR1701" s="241">
        <f t="shared" ref="CR1701:CR1707" si="478">10^(CJ1701-CQ1701)</f>
        <v>0.17869379586739034</v>
      </c>
      <c r="CS1701" s="33"/>
      <c r="CT1701" s="33"/>
      <c r="CU1701" s="250">
        <f t="shared" si="473"/>
        <v>92.030977627069262</v>
      </c>
      <c r="CV1701" s="337">
        <f t="shared" ref="CV1701:CV1709" si="479">X1701/BJ1701</f>
        <v>36.799999999999997</v>
      </c>
      <c r="CW1701" s="330">
        <f t="shared" si="474"/>
        <v>1</v>
      </c>
      <c r="CX1701" s="330"/>
      <c r="CY1701" s="143" t="s">
        <v>6351</v>
      </c>
    </row>
    <row r="1702" spans="1:103" ht="11.25" customHeight="1" x14ac:dyDescent="0.2">
      <c r="A1702" s="72">
        <v>1700</v>
      </c>
      <c r="B1702" s="241">
        <v>526</v>
      </c>
      <c r="C1702" s="32" t="s">
        <v>7643</v>
      </c>
      <c r="D1702" s="32"/>
      <c r="E1702" s="40"/>
      <c r="F1702" s="40" t="s">
        <v>1670</v>
      </c>
      <c r="G1702" s="242">
        <v>95761</v>
      </c>
      <c r="H1702" s="36" t="s">
        <v>1671</v>
      </c>
      <c r="I1702" s="36" t="s">
        <v>8213</v>
      </c>
      <c r="J1702" s="36" t="s">
        <v>1672</v>
      </c>
      <c r="K1702" s="36" t="s">
        <v>1573</v>
      </c>
      <c r="L1702" s="36"/>
      <c r="M1702" s="36" t="s">
        <v>1629</v>
      </c>
      <c r="N1702" s="36" t="s">
        <v>6385</v>
      </c>
      <c r="O1702" s="36" t="s">
        <v>498</v>
      </c>
      <c r="P1702" s="41" t="s">
        <v>6184</v>
      </c>
      <c r="Q1702" s="41" t="s">
        <v>6176</v>
      </c>
      <c r="R1702" s="41" t="s">
        <v>6185</v>
      </c>
      <c r="S1702" s="41" t="s">
        <v>6176</v>
      </c>
      <c r="T1702" s="37">
        <v>162.02000000000001</v>
      </c>
      <c r="U1702" s="243">
        <v>0.56783113195901735</v>
      </c>
      <c r="V1702" s="243">
        <v>2.0855449944451299</v>
      </c>
      <c r="W1702" s="243">
        <v>1.819700858609981</v>
      </c>
      <c r="X1702" s="243">
        <v>0.56783113195901735</v>
      </c>
      <c r="Y1702" s="414">
        <v>7.2</v>
      </c>
      <c r="Z1702" s="37">
        <v>2.37</v>
      </c>
      <c r="AA1702" s="37">
        <v>2.69</v>
      </c>
      <c r="AB1702" s="37">
        <v>2.62</v>
      </c>
      <c r="AC1702" s="37">
        <v>0.89139999999999997</v>
      </c>
      <c r="AD1702" s="37">
        <v>2.6</v>
      </c>
      <c r="AE1702" s="37">
        <v>2.5099999999999998</v>
      </c>
      <c r="AF1702" s="37">
        <f t="shared" si="467"/>
        <v>2.69</v>
      </c>
      <c r="AG1702" s="38">
        <v>2.4700000000000002</v>
      </c>
      <c r="AH1702" s="243">
        <v>1.0499999999999999E-6</v>
      </c>
      <c r="AI1702" s="243">
        <v>1.4600000000000001E-5</v>
      </c>
      <c r="AJ1702" s="34">
        <f t="shared" si="457"/>
        <v>-4.3673770272427141</v>
      </c>
      <c r="AK1702" s="34">
        <f t="shared" si="475"/>
        <v>-3.2242134705282148</v>
      </c>
      <c r="AL1702" s="34">
        <f t="shared" si="458"/>
        <v>-3.2242134705282148</v>
      </c>
      <c r="AM1702" s="34">
        <v>-7.2924100000000003</v>
      </c>
      <c r="AN1702" s="244">
        <v>-4.37</v>
      </c>
      <c r="AO1702" s="417"/>
      <c r="AP1702" s="417">
        <v>2.9</v>
      </c>
      <c r="AQ1702" s="244" t="s">
        <v>6311</v>
      </c>
      <c r="AR1702" s="244" t="s">
        <v>6311</v>
      </c>
      <c r="AS1702" s="241" t="s">
        <v>6</v>
      </c>
      <c r="AT1702" s="39" t="s">
        <v>266</v>
      </c>
      <c r="AU1702" s="37">
        <v>2</v>
      </c>
      <c r="AV1702" s="37">
        <v>48</v>
      </c>
      <c r="AW1702" s="37">
        <v>48</v>
      </c>
      <c r="AX1702" s="37">
        <v>26</v>
      </c>
      <c r="AY1702" s="37" t="s">
        <v>8722</v>
      </c>
      <c r="AZ1702" s="37" t="s">
        <v>536</v>
      </c>
      <c r="BA1702" s="37">
        <v>20</v>
      </c>
      <c r="BB1702" s="36" t="s">
        <v>1644</v>
      </c>
      <c r="BC1702" s="36" t="s">
        <v>8722</v>
      </c>
      <c r="BD1702" s="36"/>
      <c r="BE1702" s="37" t="s">
        <v>271</v>
      </c>
      <c r="BF1702" s="37" t="s">
        <v>272</v>
      </c>
      <c r="BG1702" s="37" t="s">
        <v>272</v>
      </c>
      <c r="BH1702" s="37" t="s">
        <v>272</v>
      </c>
      <c r="BI1702" s="243">
        <v>6.0000000000000001E-3</v>
      </c>
      <c r="BJ1702" s="243">
        <v>2.5000000000000001E-2</v>
      </c>
      <c r="BK1702" s="37"/>
      <c r="BL1702" s="243">
        <f t="shared" si="456"/>
        <v>0.38221083995251059</v>
      </c>
      <c r="BM1702" s="37" t="s">
        <v>1584</v>
      </c>
      <c r="BN1702" s="37"/>
      <c r="BO1702" s="37">
        <v>9.9987655844957415E-3</v>
      </c>
      <c r="BP1702" s="37"/>
      <c r="BQ1702" s="37"/>
      <c r="BR1702" s="37"/>
      <c r="BS1702" s="37"/>
      <c r="BT1702" s="37"/>
      <c r="BU1702" s="246"/>
      <c r="BV1702" s="37"/>
      <c r="BW1702" s="37"/>
      <c r="BX1702" s="37"/>
      <c r="BY1702" s="37"/>
      <c r="BZ1702" s="37"/>
      <c r="CA1702" s="37"/>
      <c r="CB1702" s="37"/>
      <c r="CC1702" s="37"/>
      <c r="CD1702" s="37"/>
      <c r="CE1702" s="37"/>
      <c r="CF1702" s="37"/>
      <c r="CG1702" s="37"/>
      <c r="CH1702" s="37"/>
      <c r="CI1702" s="243">
        <f t="shared" si="470"/>
        <v>9.9987655844957415E-3</v>
      </c>
      <c r="CJ1702" s="243">
        <f t="shared" si="471"/>
        <v>-2.0000536132933098</v>
      </c>
      <c r="CK1702" s="38">
        <f t="shared" si="476"/>
        <v>15.288433598100424</v>
      </c>
      <c r="CL1702" s="247">
        <f t="shared" si="472"/>
        <v>38.225802647596154</v>
      </c>
      <c r="CM1702" s="247">
        <v>-1.8594468109488289</v>
      </c>
      <c r="CN1702" s="247">
        <f t="shared" si="477"/>
        <v>1.8087844661113526</v>
      </c>
      <c r="CO1702" s="36"/>
      <c r="CP1702" s="36" t="s">
        <v>1673</v>
      </c>
      <c r="CQ1702" s="241">
        <v>-1.4618243103116244</v>
      </c>
      <c r="CR1702" s="241">
        <f t="shared" si="478"/>
        <v>0.28958142241195628</v>
      </c>
      <c r="CS1702" s="33"/>
      <c r="CT1702" s="33"/>
      <c r="CU1702" s="250">
        <f t="shared" si="473"/>
        <v>56.79012345679012</v>
      </c>
      <c r="CV1702" s="337">
        <f t="shared" si="479"/>
        <v>22.713245278360692</v>
      </c>
      <c r="CW1702" s="330">
        <f t="shared" si="474"/>
        <v>1</v>
      </c>
      <c r="CX1702" s="330"/>
      <c r="CY1702" s="143" t="s">
        <v>6351</v>
      </c>
    </row>
    <row r="1703" spans="1:103" ht="11.25" customHeight="1" x14ac:dyDescent="0.2">
      <c r="A1703" s="72">
        <v>1701</v>
      </c>
      <c r="B1703" s="241">
        <v>657</v>
      </c>
      <c r="C1703" s="32" t="s">
        <v>7644</v>
      </c>
      <c r="D1703" s="32"/>
      <c r="E1703" s="40"/>
      <c r="F1703" s="40" t="s">
        <v>1670</v>
      </c>
      <c r="G1703" s="242">
        <v>95761</v>
      </c>
      <c r="H1703" s="36" t="s">
        <v>1671</v>
      </c>
      <c r="I1703" s="36" t="s">
        <v>8213</v>
      </c>
      <c r="J1703" s="36" t="s">
        <v>1672</v>
      </c>
      <c r="K1703" s="36" t="s">
        <v>1573</v>
      </c>
      <c r="L1703" s="36"/>
      <c r="M1703" s="36" t="s">
        <v>1629</v>
      </c>
      <c r="N1703" s="36" t="s">
        <v>6385</v>
      </c>
      <c r="O1703" s="36" t="s">
        <v>498</v>
      </c>
      <c r="P1703" s="41" t="s">
        <v>6184</v>
      </c>
      <c r="Q1703" s="41" t="s">
        <v>6176</v>
      </c>
      <c r="R1703" s="41" t="s">
        <v>6185</v>
      </c>
      <c r="S1703" s="41" t="s">
        <v>6176</v>
      </c>
      <c r="T1703" s="37">
        <v>162.02000000000001</v>
      </c>
      <c r="U1703" s="243">
        <v>0.56783113195901735</v>
      </c>
      <c r="V1703" s="243">
        <v>2.0855449944451299</v>
      </c>
      <c r="W1703" s="243">
        <v>1.819700858609981</v>
      </c>
      <c r="X1703" s="243">
        <v>0.56783113195901735</v>
      </c>
      <c r="Y1703" s="414">
        <v>7.2</v>
      </c>
      <c r="Z1703" s="37">
        <v>2.37</v>
      </c>
      <c r="AA1703" s="37">
        <v>2.69</v>
      </c>
      <c r="AB1703" s="37">
        <v>2.62</v>
      </c>
      <c r="AC1703" s="37">
        <v>0.89139999999999997</v>
      </c>
      <c r="AD1703" s="37">
        <v>2.6</v>
      </c>
      <c r="AE1703" s="37">
        <v>2.5099999999999998</v>
      </c>
      <c r="AF1703" s="37">
        <f t="shared" si="467"/>
        <v>2.69</v>
      </c>
      <c r="AG1703" s="38">
        <v>2.4700000000000002</v>
      </c>
      <c r="AH1703" s="243">
        <v>1.0499999999999999E-6</v>
      </c>
      <c r="AI1703" s="243">
        <v>1.4600000000000001E-5</v>
      </c>
      <c r="AJ1703" s="34">
        <f t="shared" si="457"/>
        <v>-4.3673770272427141</v>
      </c>
      <c r="AK1703" s="34">
        <f t="shared" si="475"/>
        <v>-3.2242134705282148</v>
      </c>
      <c r="AL1703" s="34">
        <f t="shared" si="458"/>
        <v>-3.2242134705282148</v>
      </c>
      <c r="AM1703" s="34">
        <v>-7.2924100000000003</v>
      </c>
      <c r="AN1703" s="244">
        <v>-4.37</v>
      </c>
      <c r="AO1703" s="417"/>
      <c r="AP1703" s="417">
        <v>2.9</v>
      </c>
      <c r="AQ1703" s="244" t="s">
        <v>6311</v>
      </c>
      <c r="AR1703" s="244" t="s">
        <v>6311</v>
      </c>
      <c r="AS1703" s="241" t="s">
        <v>6</v>
      </c>
      <c r="AT1703" s="39" t="s">
        <v>266</v>
      </c>
      <c r="AU1703" s="37">
        <v>2</v>
      </c>
      <c r="AV1703" s="37">
        <v>48</v>
      </c>
      <c r="AW1703" s="37">
        <v>48</v>
      </c>
      <c r="AX1703" s="37">
        <v>26</v>
      </c>
      <c r="AY1703" s="37" t="s">
        <v>647</v>
      </c>
      <c r="AZ1703" s="37" t="s">
        <v>1912</v>
      </c>
      <c r="BA1703" s="37">
        <v>25</v>
      </c>
      <c r="BB1703" s="36" t="s">
        <v>1613</v>
      </c>
      <c r="BC1703" s="36" t="s">
        <v>538</v>
      </c>
      <c r="BD1703" s="36"/>
      <c r="BE1703" s="37" t="s">
        <v>271</v>
      </c>
      <c r="BF1703" s="37" t="s">
        <v>272</v>
      </c>
      <c r="BG1703" s="37" t="s">
        <v>272</v>
      </c>
      <c r="BH1703" s="37" t="s">
        <v>272</v>
      </c>
      <c r="BI1703" s="243">
        <v>1.4499999999999999E-3</v>
      </c>
      <c r="BJ1703" s="243">
        <v>4.9399999999999999E-2</v>
      </c>
      <c r="BK1703" s="37"/>
      <c r="BL1703" s="243">
        <f t="shared" si="456"/>
        <v>0.38221083995251059</v>
      </c>
      <c r="BM1703" s="37" t="s">
        <v>541</v>
      </c>
      <c r="BN1703" s="37"/>
      <c r="BO1703" s="37">
        <v>1.09E-2</v>
      </c>
      <c r="BP1703" s="37"/>
      <c r="BQ1703" s="37"/>
      <c r="BR1703" s="37"/>
      <c r="BS1703" s="37"/>
      <c r="BT1703" s="37"/>
      <c r="BU1703" s="246"/>
      <c r="BV1703" s="37"/>
      <c r="BW1703" s="37"/>
      <c r="BX1703" s="37"/>
      <c r="BY1703" s="37"/>
      <c r="BZ1703" s="37"/>
      <c r="CA1703" s="37"/>
      <c r="CB1703" s="37"/>
      <c r="CC1703" s="37"/>
      <c r="CD1703" s="37"/>
      <c r="CE1703" s="37"/>
      <c r="CF1703" s="37"/>
      <c r="CG1703" s="37"/>
      <c r="CH1703" s="37"/>
      <c r="CI1703" s="243">
        <f t="shared" si="470"/>
        <v>1.09E-2</v>
      </c>
      <c r="CJ1703" s="243">
        <f t="shared" si="471"/>
        <v>-1.9625735020593764</v>
      </c>
      <c r="CK1703" s="38">
        <f t="shared" si="476"/>
        <v>7.7370615375002147</v>
      </c>
      <c r="CL1703" s="247">
        <f t="shared" si="472"/>
        <v>35.065214674542254</v>
      </c>
      <c r="CM1703" s="247">
        <v>-1.8594468109488289</v>
      </c>
      <c r="CN1703" s="247">
        <f t="shared" si="477"/>
        <v>3.5741581050360325</v>
      </c>
      <c r="CO1703" s="36"/>
      <c r="CP1703" s="36" t="s">
        <v>1913</v>
      </c>
      <c r="CQ1703" s="241">
        <v>-1.4618243103116244</v>
      </c>
      <c r="CR1703" s="241">
        <f t="shared" si="478"/>
        <v>0.31568271879328286</v>
      </c>
      <c r="CS1703" s="33"/>
      <c r="CT1703" s="33"/>
      <c r="CU1703" s="250">
        <f t="shared" si="473"/>
        <v>52.094599262295169</v>
      </c>
      <c r="CV1703" s="337">
        <f t="shared" si="479"/>
        <v>11.494557327105614</v>
      </c>
      <c r="CW1703" s="330">
        <f t="shared" si="474"/>
        <v>1</v>
      </c>
      <c r="CX1703" s="330"/>
      <c r="CY1703" s="143" t="s">
        <v>6351</v>
      </c>
    </row>
    <row r="1704" spans="1:103" ht="11.25" customHeight="1" x14ac:dyDescent="0.2">
      <c r="A1704" s="72">
        <v>1702</v>
      </c>
      <c r="B1704" s="241">
        <v>525</v>
      </c>
      <c r="C1704" s="32" t="s">
        <v>1669</v>
      </c>
      <c r="D1704" s="32"/>
      <c r="E1704" s="40"/>
      <c r="F1704" s="40" t="s">
        <v>1670</v>
      </c>
      <c r="G1704" s="242">
        <v>95761</v>
      </c>
      <c r="H1704" s="36" t="s">
        <v>1671</v>
      </c>
      <c r="I1704" s="36" t="s">
        <v>8213</v>
      </c>
      <c r="J1704" s="36" t="s">
        <v>1672</v>
      </c>
      <c r="K1704" s="36" t="s">
        <v>1573</v>
      </c>
      <c r="L1704" s="36"/>
      <c r="M1704" s="36" t="s">
        <v>1629</v>
      </c>
      <c r="N1704" s="36" t="s">
        <v>6385</v>
      </c>
      <c r="O1704" s="36" t="s">
        <v>498</v>
      </c>
      <c r="P1704" s="41" t="s">
        <v>6184</v>
      </c>
      <c r="Q1704" s="41" t="s">
        <v>6176</v>
      </c>
      <c r="R1704" s="41" t="s">
        <v>6185</v>
      </c>
      <c r="S1704" s="41" t="s">
        <v>6176</v>
      </c>
      <c r="T1704" s="37">
        <v>162.02000000000001</v>
      </c>
      <c r="U1704" s="243">
        <v>0.56783113195901735</v>
      </c>
      <c r="V1704" s="243">
        <v>2.0855449944451299</v>
      </c>
      <c r="W1704" s="243">
        <v>1.819700858609981</v>
      </c>
      <c r="X1704" s="243">
        <v>0.56783113195901735</v>
      </c>
      <c r="Y1704" s="414">
        <v>7.2</v>
      </c>
      <c r="Z1704" s="37">
        <v>2.37</v>
      </c>
      <c r="AA1704" s="37">
        <v>2.69</v>
      </c>
      <c r="AB1704" s="37">
        <v>2.62</v>
      </c>
      <c r="AC1704" s="37">
        <v>0.89139999999999997</v>
      </c>
      <c r="AD1704" s="37">
        <v>2.6</v>
      </c>
      <c r="AE1704" s="37">
        <v>2.5099999999999998</v>
      </c>
      <c r="AF1704" s="37">
        <f t="shared" si="467"/>
        <v>2.69</v>
      </c>
      <c r="AG1704" s="38">
        <v>2.4700000000000002</v>
      </c>
      <c r="AH1704" s="243">
        <v>1.0499999999999999E-6</v>
      </c>
      <c r="AI1704" s="243">
        <v>1.4600000000000001E-5</v>
      </c>
      <c r="AJ1704" s="34">
        <f t="shared" si="457"/>
        <v>-4.3673770272427141</v>
      </c>
      <c r="AK1704" s="34">
        <f t="shared" si="475"/>
        <v>-3.2242134705282148</v>
      </c>
      <c r="AL1704" s="34">
        <f t="shared" si="458"/>
        <v>-3.2242134705282148</v>
      </c>
      <c r="AM1704" s="34">
        <v>-7.2924100000000003</v>
      </c>
      <c r="AN1704" s="244">
        <v>-4.37</v>
      </c>
      <c r="AO1704" s="417"/>
      <c r="AP1704" s="417">
        <v>2.9</v>
      </c>
      <c r="AQ1704" s="244" t="s">
        <v>6311</v>
      </c>
      <c r="AR1704" s="244" t="s">
        <v>6311</v>
      </c>
      <c r="AS1704" s="241" t="s">
        <v>6</v>
      </c>
      <c r="AT1704" s="39" t="s">
        <v>266</v>
      </c>
      <c r="AU1704" s="37">
        <v>2</v>
      </c>
      <c r="AV1704" s="37">
        <v>48</v>
      </c>
      <c r="AW1704" s="37">
        <v>48</v>
      </c>
      <c r="AX1704" s="37">
        <v>26</v>
      </c>
      <c r="AY1704" s="37" t="s">
        <v>647</v>
      </c>
      <c r="AZ1704" s="37" t="s">
        <v>536</v>
      </c>
      <c r="BA1704" s="37">
        <v>20</v>
      </c>
      <c r="BB1704" s="36" t="s">
        <v>537</v>
      </c>
      <c r="BC1704" s="36" t="s">
        <v>538</v>
      </c>
      <c r="BD1704" s="36"/>
      <c r="BE1704" s="37" t="s">
        <v>271</v>
      </c>
      <c r="BF1704" s="37" t="s">
        <v>539</v>
      </c>
      <c r="BG1704" s="37" t="s">
        <v>272</v>
      </c>
      <c r="BH1704" s="37" t="s">
        <v>272</v>
      </c>
      <c r="BI1704" s="248">
        <v>4.3204542649055667E-3</v>
      </c>
      <c r="BJ1704" s="248">
        <v>2.2836686828786569E-2</v>
      </c>
      <c r="BK1704" s="37"/>
      <c r="BL1704" s="243">
        <f t="shared" ref="BL1704:BL1735" si="480">10^((-0.8981*Z1704)+1.7108)</f>
        <v>0.38221083995251059</v>
      </c>
      <c r="BM1704" s="37" t="s">
        <v>541</v>
      </c>
      <c r="BN1704" s="37"/>
      <c r="BO1704" s="37">
        <v>1.4812986051104801E-2</v>
      </c>
      <c r="BP1704" s="37"/>
      <c r="BQ1704" s="37"/>
      <c r="BR1704" s="37"/>
      <c r="BS1704" s="37"/>
      <c r="BT1704" s="37"/>
      <c r="BU1704" s="246"/>
      <c r="BV1704" s="37"/>
      <c r="BW1704" s="37"/>
      <c r="BX1704" s="37"/>
      <c r="BY1704" s="37"/>
      <c r="BZ1704" s="37"/>
      <c r="CA1704" s="37"/>
      <c r="CB1704" s="37"/>
      <c r="CC1704" s="37"/>
      <c r="CD1704" s="37"/>
      <c r="CE1704" s="37"/>
      <c r="CF1704" s="37"/>
      <c r="CG1704" s="37"/>
      <c r="CH1704" s="37"/>
      <c r="CI1704" s="243">
        <f t="shared" si="470"/>
        <v>1.4812986051104801E-2</v>
      </c>
      <c r="CJ1704" s="243">
        <f t="shared" si="471"/>
        <v>-1.8293573861243346</v>
      </c>
      <c r="CK1704" s="38">
        <f t="shared" si="476"/>
        <v>16.736702780839398</v>
      </c>
      <c r="CL1704" s="247">
        <f t="shared" si="472"/>
        <v>25.802416787127402</v>
      </c>
      <c r="CM1704" s="247">
        <v>-1.8594468109488289</v>
      </c>
      <c r="CN1704" s="247">
        <f t="shared" si="477"/>
        <v>1.6522657757343548</v>
      </c>
      <c r="CO1704" s="36"/>
      <c r="CP1704" s="36" t="s">
        <v>1558</v>
      </c>
      <c r="CQ1704" s="241">
        <v>-1.4618243103116244</v>
      </c>
      <c r="CR1704" s="241">
        <f t="shared" si="478"/>
        <v>0.42900951468437976</v>
      </c>
      <c r="CS1704" s="33"/>
      <c r="CT1704" s="33"/>
      <c r="CU1704" s="250">
        <f t="shared" si="473"/>
        <v>38.333333333333329</v>
      </c>
      <c r="CV1704" s="337">
        <f t="shared" si="479"/>
        <v>24.864864864864863</v>
      </c>
      <c r="CW1704" s="330">
        <f t="shared" si="474"/>
        <v>1</v>
      </c>
      <c r="CX1704" s="330"/>
      <c r="CY1704" s="143" t="s">
        <v>6351</v>
      </c>
    </row>
    <row r="1705" spans="1:103" ht="11.25" customHeight="1" x14ac:dyDescent="0.2">
      <c r="A1705" s="72">
        <v>1703</v>
      </c>
      <c r="B1705" s="241">
        <v>634</v>
      </c>
      <c r="C1705" s="32" t="s">
        <v>7643</v>
      </c>
      <c r="D1705" s="32"/>
      <c r="E1705" s="40"/>
      <c r="F1705" s="40" t="s">
        <v>1670</v>
      </c>
      <c r="G1705" s="242">
        <v>95761</v>
      </c>
      <c r="H1705" s="36" t="s">
        <v>1671</v>
      </c>
      <c r="I1705" s="36" t="s">
        <v>8213</v>
      </c>
      <c r="J1705" s="36" t="s">
        <v>1672</v>
      </c>
      <c r="K1705" s="36" t="s">
        <v>1573</v>
      </c>
      <c r="L1705" s="36"/>
      <c r="M1705" s="36" t="s">
        <v>1629</v>
      </c>
      <c r="N1705" s="36" t="s">
        <v>6385</v>
      </c>
      <c r="O1705" s="36" t="s">
        <v>498</v>
      </c>
      <c r="P1705" s="41" t="s">
        <v>6184</v>
      </c>
      <c r="Q1705" s="41" t="s">
        <v>6176</v>
      </c>
      <c r="R1705" s="41" t="s">
        <v>6185</v>
      </c>
      <c r="S1705" s="41" t="s">
        <v>6176</v>
      </c>
      <c r="T1705" s="37">
        <v>162.02000000000001</v>
      </c>
      <c r="U1705" s="243">
        <v>0.56783113195901735</v>
      </c>
      <c r="V1705" s="243">
        <v>2.0855449944451299</v>
      </c>
      <c r="W1705" s="243">
        <v>1.819700858609981</v>
      </c>
      <c r="X1705" s="243">
        <v>0.56783113195901735</v>
      </c>
      <c r="Y1705" s="414">
        <v>7.2</v>
      </c>
      <c r="Z1705" s="37">
        <v>2.37</v>
      </c>
      <c r="AA1705" s="37">
        <v>2.69</v>
      </c>
      <c r="AB1705" s="37">
        <v>2.62</v>
      </c>
      <c r="AC1705" s="37">
        <v>0.89139999999999997</v>
      </c>
      <c r="AD1705" s="37">
        <v>2.6</v>
      </c>
      <c r="AE1705" s="37">
        <v>2.5099999999999998</v>
      </c>
      <c r="AF1705" s="37">
        <f t="shared" si="467"/>
        <v>2.69</v>
      </c>
      <c r="AG1705" s="38">
        <v>2.4700000000000002</v>
      </c>
      <c r="AH1705" s="243">
        <v>1.0499999999999999E-6</v>
      </c>
      <c r="AI1705" s="243">
        <v>1.4600000000000001E-5</v>
      </c>
      <c r="AJ1705" s="34">
        <f t="shared" ref="AJ1705:AJ1736" si="481">LOG10(AH1705*1000/(0.08206*298.15))</f>
        <v>-4.3673770272427141</v>
      </c>
      <c r="AK1705" s="34">
        <f t="shared" si="475"/>
        <v>-3.2242134705282148</v>
      </c>
      <c r="AL1705" s="34">
        <f t="shared" ref="AL1705:AL1736" si="482">IF(AK1705=0,AJ1705,AK1705)</f>
        <v>-3.2242134705282148</v>
      </c>
      <c r="AM1705" s="34">
        <v>-7.2924100000000003</v>
      </c>
      <c r="AN1705" s="244">
        <v>-4.37</v>
      </c>
      <c r="AO1705" s="417"/>
      <c r="AP1705" s="417">
        <v>2.9</v>
      </c>
      <c r="AQ1705" s="244" t="s">
        <v>6311</v>
      </c>
      <c r="AR1705" s="244" t="s">
        <v>6311</v>
      </c>
      <c r="AS1705" s="241" t="s">
        <v>6</v>
      </c>
      <c r="AT1705" s="39" t="s">
        <v>266</v>
      </c>
      <c r="AU1705" s="37">
        <v>2</v>
      </c>
      <c r="AV1705" s="37">
        <v>48</v>
      </c>
      <c r="AW1705" s="37">
        <v>48</v>
      </c>
      <c r="AX1705" s="37">
        <v>26</v>
      </c>
      <c r="AY1705" s="37" t="s">
        <v>8722</v>
      </c>
      <c r="AZ1705" s="37" t="s">
        <v>1885</v>
      </c>
      <c r="BA1705" s="37">
        <v>10</v>
      </c>
      <c r="BB1705" s="36" t="s">
        <v>1886</v>
      </c>
      <c r="BC1705" s="36" t="s">
        <v>1887</v>
      </c>
      <c r="BD1705" s="36"/>
      <c r="BE1705" s="37" t="s">
        <v>1712</v>
      </c>
      <c r="BF1705" s="37" t="s">
        <v>540</v>
      </c>
      <c r="BG1705" s="37" t="s">
        <v>540</v>
      </c>
      <c r="BH1705" s="37" t="s">
        <v>272</v>
      </c>
      <c r="BI1705" s="243">
        <v>6.2E-4</v>
      </c>
      <c r="BJ1705" s="243">
        <v>6.1719999999999997E-2</v>
      </c>
      <c r="BK1705" s="37"/>
      <c r="BL1705" s="243">
        <f t="shared" si="480"/>
        <v>0.38221083995251059</v>
      </c>
      <c r="BM1705" s="37" t="s">
        <v>541</v>
      </c>
      <c r="BN1705" s="37"/>
      <c r="BO1705" s="37">
        <v>1.2529317368226142E-2</v>
      </c>
      <c r="BP1705" s="37"/>
      <c r="BQ1705" s="37"/>
      <c r="BR1705" s="37"/>
      <c r="BS1705" s="37"/>
      <c r="BT1705" s="37"/>
      <c r="BU1705" s="246"/>
      <c r="BV1705" s="37"/>
      <c r="BW1705" s="37"/>
      <c r="BX1705" s="37"/>
      <c r="BY1705" s="37"/>
      <c r="BZ1705" s="37"/>
      <c r="CA1705" s="37"/>
      <c r="CB1705" s="37"/>
      <c r="CC1705" s="37"/>
      <c r="CD1705" s="37"/>
      <c r="CE1705" s="37"/>
      <c r="CF1705" s="37"/>
      <c r="CG1705" s="37"/>
      <c r="CH1705" s="37"/>
      <c r="CI1705" s="243">
        <f t="shared" si="470"/>
        <v>1.2529317368226142E-2</v>
      </c>
      <c r="CJ1705" s="243">
        <f t="shared" si="471"/>
        <v>-1.9020725899227278</v>
      </c>
      <c r="CK1705" s="38">
        <f t="shared" si="476"/>
        <v>6.1926578086926538</v>
      </c>
      <c r="CL1705" s="247">
        <f t="shared" si="472"/>
        <v>30.505320339460976</v>
      </c>
      <c r="CM1705" s="247">
        <v>-1.8594468109488289</v>
      </c>
      <c r="CN1705" s="247">
        <f t="shared" si="477"/>
        <v>4.4655270899357067</v>
      </c>
      <c r="CO1705" s="36" t="s">
        <v>1888</v>
      </c>
      <c r="CP1705" s="36" t="s">
        <v>1889</v>
      </c>
      <c r="CQ1705" s="241">
        <v>-1.4618243103116244</v>
      </c>
      <c r="CR1705" s="241">
        <f t="shared" si="478"/>
        <v>0.36287054783720452</v>
      </c>
      <c r="CS1705" s="33"/>
      <c r="CT1705" s="33"/>
      <c r="CU1705" s="250">
        <f t="shared" si="473"/>
        <v>45.320197044334982</v>
      </c>
      <c r="CV1705" s="337">
        <f t="shared" si="479"/>
        <v>9.2001155534513508</v>
      </c>
      <c r="CW1705" s="330">
        <f t="shared" si="474"/>
        <v>1</v>
      </c>
      <c r="CX1705" s="330" t="s">
        <v>539</v>
      </c>
      <c r="CY1705" s="143" t="s">
        <v>6351</v>
      </c>
    </row>
    <row r="1706" spans="1:103" ht="11.25" customHeight="1" x14ac:dyDescent="0.2">
      <c r="A1706" s="72">
        <v>1704</v>
      </c>
      <c r="B1706" s="241">
        <v>500</v>
      </c>
      <c r="C1706" s="32" t="s">
        <v>7645</v>
      </c>
      <c r="D1706" s="32"/>
      <c r="E1706" s="40"/>
      <c r="F1706" s="40" t="s">
        <v>1608</v>
      </c>
      <c r="G1706" s="242">
        <v>98544</v>
      </c>
      <c r="H1706" s="36" t="s">
        <v>1609</v>
      </c>
      <c r="I1706" s="36" t="s">
        <v>1609</v>
      </c>
      <c r="J1706" s="36" t="s">
        <v>1610</v>
      </c>
      <c r="K1706" s="36" t="s">
        <v>349</v>
      </c>
      <c r="L1706" s="36"/>
      <c r="M1706" s="36"/>
      <c r="N1706" s="36" t="s">
        <v>6082</v>
      </c>
      <c r="O1706" s="36"/>
      <c r="P1706" s="41" t="s">
        <v>6184</v>
      </c>
      <c r="Q1706" s="41" t="s">
        <v>6173</v>
      </c>
      <c r="R1706" s="41" t="s">
        <v>6185</v>
      </c>
      <c r="S1706" s="41" t="s">
        <v>6176</v>
      </c>
      <c r="T1706" s="37">
        <v>150.22</v>
      </c>
      <c r="U1706" s="243">
        <v>3.8610038610038608</v>
      </c>
      <c r="V1706" s="243">
        <v>2.8551457861802687</v>
      </c>
      <c r="W1706" s="243">
        <v>7.9432823472428122</v>
      </c>
      <c r="X1706" s="243">
        <v>3.8610038610038608</v>
      </c>
      <c r="Y1706" s="414">
        <v>6.11</v>
      </c>
      <c r="Z1706" s="37">
        <v>3.42</v>
      </c>
      <c r="AA1706" s="37">
        <v>3.31</v>
      </c>
      <c r="AB1706" s="37">
        <v>3.4</v>
      </c>
      <c r="AC1706" s="37">
        <v>0.93430000000000002</v>
      </c>
      <c r="AD1706" s="37">
        <v>3.36</v>
      </c>
      <c r="AE1706" s="37">
        <v>3.17</v>
      </c>
      <c r="AF1706" s="37">
        <f t="shared" si="467"/>
        <v>3.31</v>
      </c>
      <c r="AG1706" s="38">
        <v>3.12</v>
      </c>
      <c r="AH1706" s="243">
        <v>1.4500000000000001E-6</v>
      </c>
      <c r="AI1706" s="243">
        <v>1.19E-6</v>
      </c>
      <c r="AJ1706" s="34">
        <f t="shared" si="481"/>
        <v>-4.2271983240776771</v>
      </c>
      <c r="AK1706" s="34">
        <f t="shared" si="475"/>
        <v>-4.3130193649201214</v>
      </c>
      <c r="AL1706" s="34">
        <f t="shared" si="482"/>
        <v>-4.3130193649201214</v>
      </c>
      <c r="AM1706" s="34">
        <v>-6.7175700000000003</v>
      </c>
      <c r="AN1706" s="244">
        <v>-4.28</v>
      </c>
      <c r="AO1706" s="417">
        <v>10.130000000000001</v>
      </c>
      <c r="AP1706" s="417"/>
      <c r="AQ1706" s="244" t="s">
        <v>6311</v>
      </c>
      <c r="AR1706" s="244" t="s">
        <v>6311</v>
      </c>
      <c r="AS1706" s="241" t="s">
        <v>6</v>
      </c>
      <c r="AT1706" s="39" t="s">
        <v>266</v>
      </c>
      <c r="AU1706" s="37">
        <v>2</v>
      </c>
      <c r="AV1706" s="37">
        <v>48</v>
      </c>
      <c r="AW1706" s="37">
        <v>48</v>
      </c>
      <c r="AX1706" s="37">
        <v>26</v>
      </c>
      <c r="AY1706" s="37" t="s">
        <v>647</v>
      </c>
      <c r="AZ1706" s="37" t="s">
        <v>536</v>
      </c>
      <c r="BA1706" s="37">
        <v>20</v>
      </c>
      <c r="BB1706" s="36" t="s">
        <v>537</v>
      </c>
      <c r="BC1706" s="36" t="s">
        <v>538</v>
      </c>
      <c r="BD1706" s="36"/>
      <c r="BE1706" s="37" t="s">
        <v>271</v>
      </c>
      <c r="BF1706" s="37" t="s">
        <v>539</v>
      </c>
      <c r="BG1706" s="37" t="s">
        <v>539</v>
      </c>
      <c r="BH1706" s="37" t="s">
        <v>272</v>
      </c>
      <c r="BI1706" s="248">
        <v>1.9970709625882041E-3</v>
      </c>
      <c r="BJ1706" s="248">
        <v>3.1953135401411266E-2</v>
      </c>
      <c r="BK1706" s="37"/>
      <c r="BL1706" s="243">
        <f t="shared" si="480"/>
        <v>4.3581081157315266E-2</v>
      </c>
      <c r="BM1706" s="37" t="s">
        <v>1552</v>
      </c>
      <c r="BN1706" s="37"/>
      <c r="BO1706" s="37">
        <v>1.1516442550925309E-2</v>
      </c>
      <c r="BP1706" s="37"/>
      <c r="BQ1706" s="37"/>
      <c r="BR1706" s="37"/>
      <c r="BS1706" s="37"/>
      <c r="BT1706" s="37"/>
      <c r="BU1706" s="246"/>
      <c r="BV1706" s="37"/>
      <c r="BW1706" s="37"/>
      <c r="BX1706" s="37"/>
      <c r="BY1706" s="37"/>
      <c r="BZ1706" s="37"/>
      <c r="CA1706" s="37"/>
      <c r="CB1706" s="37"/>
      <c r="CC1706" s="37"/>
      <c r="CD1706" s="37"/>
      <c r="CE1706" s="37"/>
      <c r="CF1706" s="37"/>
      <c r="CG1706" s="37"/>
      <c r="CH1706" s="37"/>
      <c r="CI1706" s="243">
        <f t="shared" si="470"/>
        <v>1.1516442550925309E-2</v>
      </c>
      <c r="CJ1706" s="243">
        <f t="shared" si="471"/>
        <v>-1.9386816545153938</v>
      </c>
      <c r="CK1706" s="38">
        <f t="shared" si="476"/>
        <v>1.3639062523858123</v>
      </c>
      <c r="CL1706" s="247">
        <f t="shared" si="472"/>
        <v>3.7842485615328898</v>
      </c>
      <c r="CM1706" s="247">
        <v>-1.4635250671988587</v>
      </c>
      <c r="CN1706" s="247">
        <f t="shared" si="477"/>
        <v>0.92904884325408688</v>
      </c>
      <c r="CO1706" s="36"/>
      <c r="CP1706" s="36" t="s">
        <v>1553</v>
      </c>
      <c r="CQ1706" s="241">
        <v>-1.4635250671988587</v>
      </c>
      <c r="CR1706" s="241">
        <f t="shared" si="478"/>
        <v>0.33484468725616018</v>
      </c>
      <c r="CS1706" s="33"/>
      <c r="CT1706" s="33"/>
      <c r="CU1706" s="250">
        <f t="shared" si="473"/>
        <v>335.26011560693644</v>
      </c>
      <c r="CV1706" s="337">
        <f t="shared" si="479"/>
        <v>120.83333333333331</v>
      </c>
      <c r="CW1706" s="330">
        <f t="shared" si="474"/>
        <v>1</v>
      </c>
      <c r="CX1706" s="330"/>
      <c r="CY1706" s="143" t="s">
        <v>6351</v>
      </c>
    </row>
    <row r="1707" spans="1:103" ht="11.25" customHeight="1" x14ac:dyDescent="0.2">
      <c r="A1707" s="72">
        <v>1705</v>
      </c>
      <c r="B1707" s="241">
        <v>166</v>
      </c>
      <c r="C1707" s="32" t="s">
        <v>7646</v>
      </c>
      <c r="D1707" s="32"/>
      <c r="E1707" s="40"/>
      <c r="F1707" s="40" t="s">
        <v>870</v>
      </c>
      <c r="G1707" s="242">
        <v>98942</v>
      </c>
      <c r="H1707" s="36" t="s">
        <v>871</v>
      </c>
      <c r="I1707" s="36" t="s">
        <v>871</v>
      </c>
      <c r="J1707" s="36" t="s">
        <v>872</v>
      </c>
      <c r="K1707" s="36" t="s">
        <v>300</v>
      </c>
      <c r="L1707" s="36"/>
      <c r="M1707" s="36"/>
      <c r="N1707" s="36"/>
      <c r="O1707" s="36"/>
      <c r="P1707" s="41"/>
      <c r="Q1707" s="41"/>
      <c r="R1707" s="41"/>
      <c r="S1707" s="41"/>
      <c r="T1707" s="37">
        <v>127.23</v>
      </c>
      <c r="U1707" s="243">
        <v>11.965670902789238</v>
      </c>
      <c r="V1707" s="243">
        <v>8.7308136656213886</v>
      </c>
      <c r="W1707" s="243">
        <v>85.113803820237621</v>
      </c>
      <c r="X1707" s="243">
        <v>11.965670902789238</v>
      </c>
      <c r="Y1707" s="414">
        <v>11.81</v>
      </c>
      <c r="Z1707" s="37">
        <v>2.17</v>
      </c>
      <c r="AA1707" s="37">
        <v>2.31</v>
      </c>
      <c r="AB1707" s="37">
        <v>2.37</v>
      </c>
      <c r="AC1707" s="37">
        <v>0.7359</v>
      </c>
      <c r="AD1707" s="37">
        <v>2.2799999999999998</v>
      </c>
      <c r="AE1707" s="37">
        <v>2.12</v>
      </c>
      <c r="AF1707" s="37">
        <f t="shared" si="467"/>
        <v>2.31</v>
      </c>
      <c r="AG1707" s="38">
        <v>1.75</v>
      </c>
      <c r="AH1707" s="243">
        <v>6.6400000000000001E-5</v>
      </c>
      <c r="AI1707" s="243">
        <v>2.3499999999999999E-5</v>
      </c>
      <c r="AJ1707" s="34">
        <f t="shared" si="481"/>
        <v>-2.5663982469446345</v>
      </c>
      <c r="AK1707" s="34">
        <f t="shared" si="475"/>
        <v>-3.0174984640409157</v>
      </c>
      <c r="AL1707" s="34">
        <f t="shared" si="482"/>
        <v>-3.0174984640409157</v>
      </c>
      <c r="AM1707" s="34">
        <v>-3.7972600000000005</v>
      </c>
      <c r="AN1707" s="244">
        <v>-2.5099999999999998</v>
      </c>
      <c r="AO1707" s="417"/>
      <c r="AP1707" s="417">
        <v>10.72</v>
      </c>
      <c r="AQ1707" s="244" t="s">
        <v>6311</v>
      </c>
      <c r="AR1707" s="244" t="s">
        <v>6311</v>
      </c>
      <c r="AS1707" s="241" t="s">
        <v>81</v>
      </c>
      <c r="AT1707" s="39" t="s">
        <v>266</v>
      </c>
      <c r="AU1707" s="37">
        <v>0</v>
      </c>
      <c r="AV1707" s="37">
        <v>48</v>
      </c>
      <c r="AW1707" s="37">
        <v>48</v>
      </c>
      <c r="AX1707" s="37">
        <v>26</v>
      </c>
      <c r="AY1707" s="37" t="s">
        <v>8722</v>
      </c>
      <c r="AZ1707" s="37" t="s">
        <v>536</v>
      </c>
      <c r="BA1707" s="37">
        <v>20</v>
      </c>
      <c r="BB1707" s="36" t="s">
        <v>537</v>
      </c>
      <c r="BC1707" s="36" t="s">
        <v>648</v>
      </c>
      <c r="BD1707" s="36"/>
      <c r="BE1707" s="245" t="s">
        <v>649</v>
      </c>
      <c r="BF1707" s="37" t="s">
        <v>539</v>
      </c>
      <c r="BG1707" s="37" t="s">
        <v>272</v>
      </c>
      <c r="BH1707" s="37" t="s">
        <v>272</v>
      </c>
      <c r="BI1707" s="248">
        <v>0.17277939213068405</v>
      </c>
      <c r="BJ1707" s="248">
        <v>0.66755674232309747</v>
      </c>
      <c r="BK1707" s="37"/>
      <c r="BL1707" s="243">
        <f t="shared" si="480"/>
        <v>0.57799356061012974</v>
      </c>
      <c r="BM1707" s="37" t="s">
        <v>541</v>
      </c>
      <c r="BN1707" s="37"/>
      <c r="BO1707" s="37">
        <v>0.41699999999999998</v>
      </c>
      <c r="BP1707" s="37"/>
      <c r="BQ1707" s="37"/>
      <c r="BR1707" s="37"/>
      <c r="BS1707" s="37"/>
      <c r="BT1707" s="37"/>
      <c r="BU1707" s="246"/>
      <c r="BV1707" s="37"/>
      <c r="BW1707" s="37"/>
      <c r="BX1707" s="37"/>
      <c r="BY1707" s="37"/>
      <c r="BZ1707" s="37"/>
      <c r="CA1707" s="37"/>
      <c r="CB1707" s="37"/>
      <c r="CC1707" s="37"/>
      <c r="CD1707" s="37"/>
      <c r="CE1707" s="37"/>
      <c r="CF1707" s="37"/>
      <c r="CG1707" s="37"/>
      <c r="CH1707" s="37"/>
      <c r="CI1707" s="243">
        <f t="shared" si="470"/>
        <v>0.41699999999999998</v>
      </c>
      <c r="CJ1707" s="243">
        <f t="shared" si="471"/>
        <v>-0.37986394502624249</v>
      </c>
      <c r="CK1707" s="38">
        <f t="shared" si="476"/>
        <v>0.86583435379397433</v>
      </c>
      <c r="CL1707" s="247">
        <f t="shared" si="472"/>
        <v>1.3860756849163784</v>
      </c>
      <c r="CM1707" s="247"/>
      <c r="CN1707" s="247"/>
      <c r="CO1707" s="36"/>
      <c r="CP1707" s="36" t="s">
        <v>772</v>
      </c>
      <c r="CQ1707" s="241">
        <v>-0.65588320727429217</v>
      </c>
      <c r="CR1707" s="241">
        <f t="shared" si="478"/>
        <v>1.8880750889679716</v>
      </c>
      <c r="CS1707" s="33"/>
      <c r="CT1707" s="33"/>
      <c r="CU1707" s="250">
        <f t="shared" si="473"/>
        <v>28.694654443139662</v>
      </c>
      <c r="CV1707" s="337">
        <f t="shared" si="479"/>
        <v>17.924575012378277</v>
      </c>
      <c r="CW1707" s="330">
        <f t="shared" si="474"/>
        <v>1</v>
      </c>
      <c r="CX1707" s="330"/>
      <c r="CY1707" s="143" t="s">
        <v>6351</v>
      </c>
    </row>
    <row r="1708" spans="1:103" ht="11.25" customHeight="1" x14ac:dyDescent="0.2">
      <c r="A1708" s="72">
        <v>1706</v>
      </c>
      <c r="B1708" s="241">
        <v>605</v>
      </c>
      <c r="C1708" s="32" t="s">
        <v>7094</v>
      </c>
      <c r="D1708" s="32"/>
      <c r="E1708" s="40"/>
      <c r="F1708" s="40" t="s">
        <v>569</v>
      </c>
      <c r="G1708" s="242">
        <v>99661</v>
      </c>
      <c r="H1708" s="36" t="s">
        <v>570</v>
      </c>
      <c r="I1708" s="36" t="s">
        <v>8021</v>
      </c>
      <c r="J1708" s="36" t="s">
        <v>571</v>
      </c>
      <c r="K1708" s="36" t="s">
        <v>426</v>
      </c>
      <c r="L1708" s="42" t="s">
        <v>279</v>
      </c>
      <c r="M1708" s="36" t="s">
        <v>572</v>
      </c>
      <c r="N1708" s="36"/>
      <c r="O1708" s="36" t="s">
        <v>281</v>
      </c>
      <c r="P1708" s="41"/>
      <c r="Q1708" s="41"/>
      <c r="R1708" s="41"/>
      <c r="S1708" s="41"/>
      <c r="T1708" s="37">
        <v>144.21</v>
      </c>
      <c r="U1708" s="243">
        <v>13.868663754247278</v>
      </c>
      <c r="V1708" s="243">
        <v>6.2034532972748071</v>
      </c>
      <c r="W1708" s="243">
        <v>14.454397707459272</v>
      </c>
      <c r="X1708" s="243">
        <v>13.868663754247278</v>
      </c>
      <c r="Y1708" s="414">
        <v>3.33</v>
      </c>
      <c r="Z1708" s="37">
        <v>2.96</v>
      </c>
      <c r="AA1708" s="37">
        <v>2.75</v>
      </c>
      <c r="AB1708" s="37">
        <v>2.64</v>
      </c>
      <c r="AC1708" s="37">
        <v>0.93820000000000003</v>
      </c>
      <c r="AD1708" s="37">
        <v>2.65</v>
      </c>
      <c r="AE1708" s="37">
        <v>2.72</v>
      </c>
      <c r="AF1708" s="37">
        <f t="shared" si="467"/>
        <v>2.75</v>
      </c>
      <c r="AG1708" s="38">
        <v>2.3199999999999998</v>
      </c>
      <c r="AH1708" s="243">
        <v>3.0000000000000001E-6</v>
      </c>
      <c r="AI1708" s="243"/>
      <c r="AJ1708" s="34">
        <f t="shared" si="481"/>
        <v>-3.9114450715929894</v>
      </c>
      <c r="AK1708" s="34"/>
      <c r="AL1708" s="34">
        <f t="shared" si="482"/>
        <v>-3.9114450715929894</v>
      </c>
      <c r="AM1708" s="34">
        <v>-5.7235100000000001</v>
      </c>
      <c r="AN1708" s="244">
        <v>-3.88</v>
      </c>
      <c r="AO1708" s="417">
        <v>4.82</v>
      </c>
      <c r="AP1708" s="417"/>
      <c r="AQ1708" s="244" t="s">
        <v>6311</v>
      </c>
      <c r="AR1708" s="244" t="s">
        <v>6311</v>
      </c>
      <c r="AS1708" s="241" t="s">
        <v>90</v>
      </c>
      <c r="AT1708" s="39" t="s">
        <v>266</v>
      </c>
      <c r="AU1708" s="37">
        <v>2</v>
      </c>
      <c r="AV1708" s="37">
        <v>48</v>
      </c>
      <c r="AW1708" s="37">
        <v>48</v>
      </c>
      <c r="AX1708" s="37">
        <v>26</v>
      </c>
      <c r="AY1708" s="37" t="s">
        <v>647</v>
      </c>
      <c r="AZ1708" s="37" t="s">
        <v>536</v>
      </c>
      <c r="BA1708" s="37">
        <v>20</v>
      </c>
      <c r="BB1708" s="36" t="s">
        <v>537</v>
      </c>
      <c r="BC1708" s="36" t="s">
        <v>648</v>
      </c>
      <c r="BD1708" s="36"/>
      <c r="BE1708" s="245" t="s">
        <v>649</v>
      </c>
      <c r="BF1708" s="245" t="s">
        <v>650</v>
      </c>
      <c r="BG1708" s="245" t="s">
        <v>540</v>
      </c>
      <c r="BH1708" s="245" t="s">
        <v>272</v>
      </c>
      <c r="BI1708" s="243">
        <v>5.6000000000000001E-2</v>
      </c>
      <c r="BJ1708" s="243">
        <v>0.159</v>
      </c>
      <c r="BK1708" s="37"/>
      <c r="BL1708" s="243">
        <f t="shared" si="480"/>
        <v>0.11282984720039825</v>
      </c>
      <c r="BM1708" s="37" t="s">
        <v>541</v>
      </c>
      <c r="BN1708" s="37"/>
      <c r="BO1708" s="37">
        <v>0.13999722626724914</v>
      </c>
      <c r="BP1708" s="37"/>
      <c r="BQ1708" s="37"/>
      <c r="BR1708" s="37"/>
      <c r="BS1708" s="37"/>
      <c r="BT1708" s="37"/>
      <c r="BU1708" s="246"/>
      <c r="BV1708" s="37"/>
      <c r="BW1708" s="37"/>
      <c r="BX1708" s="37"/>
      <c r="BY1708" s="37"/>
      <c r="BZ1708" s="37"/>
      <c r="CA1708" s="37"/>
      <c r="CB1708" s="37"/>
      <c r="CC1708" s="37"/>
      <c r="CD1708" s="37"/>
      <c r="CE1708" s="37"/>
      <c r="CF1708" s="37"/>
      <c r="CG1708" s="37"/>
      <c r="CH1708" s="37"/>
      <c r="CI1708" s="243">
        <f t="shared" si="470"/>
        <v>0.13999722626724914</v>
      </c>
      <c r="CJ1708" s="243">
        <f t="shared" si="471"/>
        <v>-0.85388056881291408</v>
      </c>
      <c r="CK1708" s="38">
        <f t="shared" si="476"/>
        <v>0.70962168050564933</v>
      </c>
      <c r="CL1708" s="247">
        <f t="shared" si="472"/>
        <v>0.80594344765810255</v>
      </c>
      <c r="CM1708" s="247"/>
      <c r="CN1708" s="247"/>
      <c r="CO1708" s="36"/>
      <c r="CP1708" s="36" t="s">
        <v>651</v>
      </c>
      <c r="CQ1708" s="241" t="s">
        <v>272</v>
      </c>
      <c r="CR1708" s="241"/>
      <c r="CS1708" s="33"/>
      <c r="CT1708" s="33"/>
      <c r="CU1708" s="250">
        <f t="shared" si="473"/>
        <v>99.063846649165384</v>
      </c>
      <c r="CV1708" s="337">
        <f t="shared" si="479"/>
        <v>87.224300341177852</v>
      </c>
      <c r="CW1708" s="330">
        <f t="shared" si="474"/>
        <v>1</v>
      </c>
      <c r="CX1708" s="330"/>
      <c r="CY1708" s="143" t="s">
        <v>6351</v>
      </c>
    </row>
    <row r="1709" spans="1:103" ht="11.25" customHeight="1" x14ac:dyDescent="0.2">
      <c r="A1709" s="72">
        <v>1707</v>
      </c>
      <c r="B1709" s="241">
        <v>76</v>
      </c>
      <c r="C1709" s="32" t="s">
        <v>7094</v>
      </c>
      <c r="D1709" s="32"/>
      <c r="E1709" s="40"/>
      <c r="F1709" s="40" t="s">
        <v>569</v>
      </c>
      <c r="G1709" s="242">
        <v>99661</v>
      </c>
      <c r="H1709" s="36" t="s">
        <v>570</v>
      </c>
      <c r="I1709" s="36" t="s">
        <v>8021</v>
      </c>
      <c r="J1709" s="36" t="s">
        <v>571</v>
      </c>
      <c r="K1709" s="36" t="s">
        <v>426</v>
      </c>
      <c r="L1709" s="42" t="s">
        <v>279</v>
      </c>
      <c r="M1709" s="36" t="s">
        <v>572</v>
      </c>
      <c r="N1709" s="36"/>
      <c r="O1709" s="36" t="s">
        <v>281</v>
      </c>
      <c r="P1709" s="41"/>
      <c r="Q1709" s="41"/>
      <c r="R1709" s="41"/>
      <c r="S1709" s="41"/>
      <c r="T1709" s="37">
        <v>144.21</v>
      </c>
      <c r="U1709" s="243">
        <v>13.868663754247278</v>
      </c>
      <c r="V1709" s="243">
        <v>6.2034532972748071</v>
      </c>
      <c r="W1709" s="243">
        <v>14.454397707459272</v>
      </c>
      <c r="X1709" s="243">
        <v>13.868663754247278</v>
      </c>
      <c r="Y1709" s="414">
        <v>3.33</v>
      </c>
      <c r="Z1709" s="37">
        <v>2.96</v>
      </c>
      <c r="AA1709" s="37">
        <v>2.75</v>
      </c>
      <c r="AB1709" s="37">
        <v>2.64</v>
      </c>
      <c r="AC1709" s="37">
        <v>0.93820000000000003</v>
      </c>
      <c r="AD1709" s="37">
        <v>2.65</v>
      </c>
      <c r="AE1709" s="37">
        <v>2.72</v>
      </c>
      <c r="AF1709" s="37">
        <f t="shared" si="467"/>
        <v>2.75</v>
      </c>
      <c r="AG1709" s="38">
        <v>2.3199999999999998</v>
      </c>
      <c r="AH1709" s="243">
        <v>3.0000000000000001E-6</v>
      </c>
      <c r="AI1709" s="243"/>
      <c r="AJ1709" s="34">
        <f t="shared" si="481"/>
        <v>-3.9114450715929894</v>
      </c>
      <c r="AK1709" s="34"/>
      <c r="AL1709" s="34">
        <f t="shared" si="482"/>
        <v>-3.9114450715929894</v>
      </c>
      <c r="AM1709" s="34">
        <v>-5.7235100000000001</v>
      </c>
      <c r="AN1709" s="244">
        <v>-3.88</v>
      </c>
      <c r="AO1709" s="417">
        <v>4.82</v>
      </c>
      <c r="AP1709" s="417"/>
      <c r="AQ1709" s="244" t="s">
        <v>6311</v>
      </c>
      <c r="AR1709" s="244" t="s">
        <v>6311</v>
      </c>
      <c r="AS1709" s="241" t="s">
        <v>90</v>
      </c>
      <c r="AT1709" s="39" t="s">
        <v>266</v>
      </c>
      <c r="AU1709" s="37">
        <v>0</v>
      </c>
      <c r="AV1709" s="37">
        <v>48</v>
      </c>
      <c r="AW1709" s="37">
        <v>48</v>
      </c>
      <c r="AX1709" s="37">
        <v>26</v>
      </c>
      <c r="AY1709" s="37" t="s">
        <v>8722</v>
      </c>
      <c r="AZ1709" s="37" t="s">
        <v>536</v>
      </c>
      <c r="BA1709" s="37">
        <v>20</v>
      </c>
      <c r="BB1709" s="36" t="s">
        <v>537</v>
      </c>
      <c r="BC1709" s="36" t="s">
        <v>538</v>
      </c>
      <c r="BD1709" s="36"/>
      <c r="BE1709" s="245" t="s">
        <v>271</v>
      </c>
      <c r="BF1709" s="245" t="s">
        <v>539</v>
      </c>
      <c r="BG1709" s="245" t="s">
        <v>540</v>
      </c>
      <c r="BH1709" s="245" t="s">
        <v>272</v>
      </c>
      <c r="BI1709" s="243">
        <v>4.3900000000000002E-2</v>
      </c>
      <c r="BJ1709" s="243">
        <v>0.13869999999999999</v>
      </c>
      <c r="BK1709" s="37"/>
      <c r="BL1709" s="243">
        <f t="shared" si="480"/>
        <v>0.11282984720039825</v>
      </c>
      <c r="BM1709" s="37" t="s">
        <v>541</v>
      </c>
      <c r="BN1709" s="37"/>
      <c r="BO1709" s="37">
        <v>9.1499999999999998E-2</v>
      </c>
      <c r="BP1709" s="37"/>
      <c r="BQ1709" s="37"/>
      <c r="BR1709" s="37"/>
      <c r="BS1709" s="37"/>
      <c r="BT1709" s="37"/>
      <c r="BU1709" s="246"/>
      <c r="BV1709" s="37"/>
      <c r="BW1709" s="37"/>
      <c r="BX1709" s="37"/>
      <c r="BY1709" s="37"/>
      <c r="BZ1709" s="37"/>
      <c r="CA1709" s="37"/>
      <c r="CB1709" s="37"/>
      <c r="CC1709" s="37"/>
      <c r="CD1709" s="37"/>
      <c r="CE1709" s="37"/>
      <c r="CF1709" s="37"/>
      <c r="CG1709" s="37"/>
      <c r="CH1709" s="37"/>
      <c r="CI1709" s="243">
        <f t="shared" si="470"/>
        <v>9.1499999999999998E-2</v>
      </c>
      <c r="CJ1709" s="243">
        <f t="shared" si="471"/>
        <v>-1.0385789059335517</v>
      </c>
      <c r="CK1709" s="38">
        <f t="shared" si="476"/>
        <v>0.81348123432154473</v>
      </c>
      <c r="CL1709" s="247">
        <f t="shared" si="472"/>
        <v>1.2331130841573579</v>
      </c>
      <c r="CM1709" s="247"/>
      <c r="CN1709" s="247"/>
      <c r="CO1709" s="36"/>
      <c r="CP1709" s="36" t="s">
        <v>542</v>
      </c>
      <c r="CQ1709" s="241" t="s">
        <v>272</v>
      </c>
      <c r="CR1709" s="241"/>
      <c r="CS1709" s="33"/>
      <c r="CT1709" s="33"/>
      <c r="CU1709" s="250">
        <f t="shared" si="473"/>
        <v>151.57009567483365</v>
      </c>
      <c r="CV1709" s="337">
        <f t="shared" si="479"/>
        <v>99.990365928242824</v>
      </c>
      <c r="CW1709" s="330">
        <f t="shared" si="474"/>
        <v>1</v>
      </c>
      <c r="CX1709" s="330"/>
      <c r="CY1709" s="143" t="s">
        <v>6351</v>
      </c>
    </row>
    <row r="1710" spans="1:103" ht="11.25" customHeight="1" x14ac:dyDescent="0.2">
      <c r="A1710" s="72">
        <v>1708</v>
      </c>
      <c r="B1710" s="241">
        <v>572</v>
      </c>
      <c r="C1710" s="32" t="s">
        <v>1751</v>
      </c>
      <c r="D1710" s="32"/>
      <c r="E1710" s="40"/>
      <c r="F1710" s="40" t="s">
        <v>1752</v>
      </c>
      <c r="G1710" s="242">
        <v>100027</v>
      </c>
      <c r="H1710" s="36" t="s">
        <v>1753</v>
      </c>
      <c r="I1710" s="36" t="s">
        <v>1753</v>
      </c>
      <c r="J1710" s="36" t="s">
        <v>1754</v>
      </c>
      <c r="K1710" s="36" t="s">
        <v>349</v>
      </c>
      <c r="L1710" s="36"/>
      <c r="M1710" s="36" t="s">
        <v>1694</v>
      </c>
      <c r="N1710" s="36" t="s">
        <v>6381</v>
      </c>
      <c r="O1710" s="36" t="s">
        <v>1755</v>
      </c>
      <c r="P1710" s="41" t="s">
        <v>6184</v>
      </c>
      <c r="Q1710" s="41" t="s">
        <v>6182</v>
      </c>
      <c r="R1710" s="41" t="s">
        <v>6185</v>
      </c>
      <c r="S1710" s="41" t="s">
        <v>6176</v>
      </c>
      <c r="T1710" s="37">
        <v>139.11000000000001</v>
      </c>
      <c r="U1710" s="243">
        <v>83.387247501976844</v>
      </c>
      <c r="V1710" s="243">
        <v>53.964488534253462</v>
      </c>
      <c r="W1710" s="243">
        <v>26.915348039269141</v>
      </c>
      <c r="X1710" s="243">
        <v>83.387247501976844</v>
      </c>
      <c r="Y1710" s="414">
        <v>4.4000000000000004</v>
      </c>
      <c r="Z1710" s="37">
        <v>1.91</v>
      </c>
      <c r="AA1710" s="37">
        <v>1.91</v>
      </c>
      <c r="AB1710" s="37">
        <v>1.74</v>
      </c>
      <c r="AC1710" s="37">
        <v>0.92979999999999996</v>
      </c>
      <c r="AD1710" s="37">
        <v>1.71</v>
      </c>
      <c r="AE1710" s="37">
        <v>1.57</v>
      </c>
      <c r="AF1710" s="37">
        <f t="shared" si="467"/>
        <v>1.91</v>
      </c>
      <c r="AG1710" s="38">
        <v>1.08</v>
      </c>
      <c r="AH1710" s="243">
        <v>2.21E-9</v>
      </c>
      <c r="AI1710" s="243">
        <v>4.1500000000000001E-10</v>
      </c>
      <c r="AJ1710" s="34">
        <f t="shared" si="481"/>
        <v>-7.0441740526275414</v>
      </c>
      <c r="AK1710" s="34">
        <f>LOG10(AI1710*1000/(0.08206*298.15))</f>
        <v>-7.770518229600559</v>
      </c>
      <c r="AL1710" s="34">
        <f t="shared" si="482"/>
        <v>-7.770518229600559</v>
      </c>
      <c r="AM1710" s="34">
        <v>-9.7192299999999996</v>
      </c>
      <c r="AN1710" s="244">
        <v>-6.89</v>
      </c>
      <c r="AO1710" s="417">
        <v>7.23</v>
      </c>
      <c r="AP1710" s="417"/>
      <c r="AQ1710" s="244" t="s">
        <v>6311</v>
      </c>
      <c r="AR1710" s="244" t="s">
        <v>6311</v>
      </c>
      <c r="AS1710" s="241" t="s">
        <v>6</v>
      </c>
      <c r="AT1710" s="39" t="s">
        <v>266</v>
      </c>
      <c r="AU1710" s="37">
        <v>2</v>
      </c>
      <c r="AV1710" s="37">
        <v>48</v>
      </c>
      <c r="AW1710" s="37">
        <v>48</v>
      </c>
      <c r="AX1710" s="33" t="s">
        <v>6240</v>
      </c>
      <c r="AY1710" s="33" t="s">
        <v>1584</v>
      </c>
      <c r="AZ1710" s="37" t="s">
        <v>1584</v>
      </c>
      <c r="BA1710" s="37" t="s">
        <v>8722</v>
      </c>
      <c r="BB1710" s="36" t="s">
        <v>8722</v>
      </c>
      <c r="BC1710" s="36" t="s">
        <v>8722</v>
      </c>
      <c r="BD1710" s="36"/>
      <c r="BE1710" s="37" t="s">
        <v>8722</v>
      </c>
      <c r="BF1710" s="37" t="s">
        <v>8722</v>
      </c>
      <c r="BG1710" s="37" t="s">
        <v>8722</v>
      </c>
      <c r="BH1710" s="37" t="s">
        <v>8722</v>
      </c>
      <c r="BI1710" s="243" t="s">
        <v>8722</v>
      </c>
      <c r="BJ1710" s="243" t="s">
        <v>8722</v>
      </c>
      <c r="BK1710" s="37"/>
      <c r="BL1710" s="243">
        <f t="shared" si="480"/>
        <v>0.98953007876306398</v>
      </c>
      <c r="BM1710" s="36" t="s">
        <v>1640</v>
      </c>
      <c r="BN1710" s="37"/>
      <c r="BO1710" s="37">
        <v>0.4111853928545755</v>
      </c>
      <c r="BP1710" s="37"/>
      <c r="BQ1710" s="37"/>
      <c r="BR1710" s="37"/>
      <c r="BS1710" s="37"/>
      <c r="BT1710" s="37"/>
      <c r="BU1710" s="246"/>
      <c r="BV1710" s="37"/>
      <c r="BW1710" s="37"/>
      <c r="BX1710" s="37"/>
      <c r="BY1710" s="37"/>
      <c r="BZ1710" s="37"/>
      <c r="CA1710" s="37"/>
      <c r="CB1710" s="37"/>
      <c r="CC1710" s="37"/>
      <c r="CD1710" s="37"/>
      <c r="CE1710" s="37"/>
      <c r="CF1710" s="37"/>
      <c r="CG1710" s="37"/>
      <c r="CH1710" s="37"/>
      <c r="CI1710" s="243">
        <f t="shared" si="470"/>
        <v>0.4111853928545755</v>
      </c>
      <c r="CJ1710" s="243">
        <f t="shared" si="471"/>
        <v>-0.38596232182244267</v>
      </c>
      <c r="CK1710" s="38" t="s">
        <v>404</v>
      </c>
      <c r="CL1710" s="247">
        <f t="shared" si="472"/>
        <v>2.4065302317610109</v>
      </c>
      <c r="CM1710" s="247"/>
      <c r="CN1710" s="247"/>
      <c r="CO1710" s="36" t="s">
        <v>1641</v>
      </c>
      <c r="CP1710" s="36" t="s">
        <v>1643</v>
      </c>
      <c r="CQ1710" s="241">
        <v>-0.91109746337974884</v>
      </c>
      <c r="CR1710" s="241">
        <f>10^(CJ1710-CQ1710)</f>
        <v>3.3506968822569174</v>
      </c>
      <c r="CS1710" s="33"/>
      <c r="CT1710" s="33"/>
      <c r="CU1710" s="250">
        <f t="shared" si="473"/>
        <v>202.79720279720277</v>
      </c>
      <c r="CV1710" s="337"/>
      <c r="CW1710" s="330">
        <f t="shared" si="474"/>
        <v>1</v>
      </c>
      <c r="CX1710" s="330"/>
      <c r="CY1710" s="143" t="s">
        <v>6351</v>
      </c>
    </row>
    <row r="1711" spans="1:103" ht="11.25" customHeight="1" x14ac:dyDescent="0.2">
      <c r="A1711" s="72">
        <v>1709</v>
      </c>
      <c r="B1711" s="241">
        <v>570</v>
      </c>
      <c r="C1711" s="32" t="s">
        <v>1751</v>
      </c>
      <c r="D1711" s="32"/>
      <c r="E1711" s="40"/>
      <c r="F1711" s="40" t="s">
        <v>1752</v>
      </c>
      <c r="G1711" s="242">
        <v>100027</v>
      </c>
      <c r="H1711" s="36" t="s">
        <v>1753</v>
      </c>
      <c r="I1711" s="36" t="s">
        <v>1753</v>
      </c>
      <c r="J1711" s="36" t="s">
        <v>1754</v>
      </c>
      <c r="K1711" s="36" t="s">
        <v>349</v>
      </c>
      <c r="L1711" s="36"/>
      <c r="M1711" s="36" t="s">
        <v>1694</v>
      </c>
      <c r="N1711" s="36" t="s">
        <v>6381</v>
      </c>
      <c r="O1711" s="36" t="s">
        <v>1755</v>
      </c>
      <c r="P1711" s="41" t="s">
        <v>6184</v>
      </c>
      <c r="Q1711" s="41" t="s">
        <v>6182</v>
      </c>
      <c r="R1711" s="41" t="s">
        <v>6185</v>
      </c>
      <c r="S1711" s="41" t="s">
        <v>6176</v>
      </c>
      <c r="T1711" s="37">
        <v>139.11000000000001</v>
      </c>
      <c r="U1711" s="243">
        <v>83.387247501976844</v>
      </c>
      <c r="V1711" s="243">
        <v>53.964488534253462</v>
      </c>
      <c r="W1711" s="243">
        <v>26.915348039269141</v>
      </c>
      <c r="X1711" s="243">
        <v>83.387247501976844</v>
      </c>
      <c r="Y1711" s="414">
        <v>4.4000000000000004</v>
      </c>
      <c r="Z1711" s="37">
        <v>1.91</v>
      </c>
      <c r="AA1711" s="37">
        <v>1.91</v>
      </c>
      <c r="AB1711" s="37">
        <v>1.74</v>
      </c>
      <c r="AC1711" s="37">
        <v>0.92979999999999996</v>
      </c>
      <c r="AD1711" s="37">
        <v>1.71</v>
      </c>
      <c r="AE1711" s="37">
        <v>1.57</v>
      </c>
      <c r="AF1711" s="37">
        <f t="shared" si="467"/>
        <v>1.91</v>
      </c>
      <c r="AG1711" s="38">
        <v>1.08</v>
      </c>
      <c r="AH1711" s="243">
        <v>2.21E-9</v>
      </c>
      <c r="AI1711" s="243">
        <v>4.1500000000000001E-10</v>
      </c>
      <c r="AJ1711" s="34">
        <f t="shared" si="481"/>
        <v>-7.0441740526275414</v>
      </c>
      <c r="AK1711" s="34">
        <f>LOG10(AI1711*1000/(0.08206*298.15))</f>
        <v>-7.770518229600559</v>
      </c>
      <c r="AL1711" s="34">
        <f t="shared" si="482"/>
        <v>-7.770518229600559</v>
      </c>
      <c r="AM1711" s="34">
        <v>-9.7192299999999996</v>
      </c>
      <c r="AN1711" s="244">
        <v>-6.89</v>
      </c>
      <c r="AO1711" s="417">
        <v>7.23</v>
      </c>
      <c r="AP1711" s="417"/>
      <c r="AQ1711" s="244" t="s">
        <v>6311</v>
      </c>
      <c r="AR1711" s="244" t="s">
        <v>6311</v>
      </c>
      <c r="AS1711" s="241" t="s">
        <v>6</v>
      </c>
      <c r="AT1711" s="39" t="s">
        <v>266</v>
      </c>
      <c r="AU1711" s="37">
        <v>2</v>
      </c>
      <c r="AV1711" s="37">
        <v>48</v>
      </c>
      <c r="AW1711" s="37">
        <v>48</v>
      </c>
      <c r="AX1711" s="37">
        <v>26</v>
      </c>
      <c r="AY1711" s="37" t="s">
        <v>647</v>
      </c>
      <c r="AZ1711" s="37" t="s">
        <v>536</v>
      </c>
      <c r="BA1711" s="37">
        <v>20</v>
      </c>
      <c r="BB1711" s="36" t="s">
        <v>537</v>
      </c>
      <c r="BC1711" s="36" t="s">
        <v>538</v>
      </c>
      <c r="BD1711" s="36"/>
      <c r="BE1711" s="37" t="s">
        <v>271</v>
      </c>
      <c r="BF1711" s="37" t="s">
        <v>539</v>
      </c>
      <c r="BG1711" s="37" t="s">
        <v>272</v>
      </c>
      <c r="BH1711" s="37" t="s">
        <v>272</v>
      </c>
      <c r="BI1711" s="248">
        <v>2.3003378621234992E-2</v>
      </c>
      <c r="BJ1711" s="248">
        <v>0.16893106174969447</v>
      </c>
      <c r="BK1711" s="37"/>
      <c r="BL1711" s="243">
        <f t="shared" si="480"/>
        <v>0.98953007876306398</v>
      </c>
      <c r="BM1711" s="37" t="s">
        <v>541</v>
      </c>
      <c r="BN1711" s="37"/>
      <c r="BO1711" s="37">
        <f>4.9/T1711</f>
        <v>3.5223923513766082E-2</v>
      </c>
      <c r="BP1711" s="37"/>
      <c r="BQ1711" s="37"/>
      <c r="BR1711" s="37"/>
      <c r="BS1711" s="37"/>
      <c r="BT1711" s="37"/>
      <c r="BU1711" s="246"/>
      <c r="BV1711" s="37"/>
      <c r="BW1711" s="37"/>
      <c r="BX1711" s="37"/>
      <c r="BY1711" s="37"/>
      <c r="BZ1711" s="37"/>
      <c r="CA1711" s="37"/>
      <c r="CB1711" s="37"/>
      <c r="CC1711" s="37"/>
      <c r="CD1711" s="37"/>
      <c r="CE1711" s="37"/>
      <c r="CF1711" s="37"/>
      <c r="CG1711" s="37"/>
      <c r="CH1711" s="37"/>
      <c r="CI1711" s="243">
        <f t="shared" si="470"/>
        <v>3.5223923513766082E-2</v>
      </c>
      <c r="CJ1711" s="243">
        <f t="shared" si="471"/>
        <v>-1.4531622705869531</v>
      </c>
      <c r="CK1711" s="38">
        <f t="shared" ref="CK1711:CK1716" si="483">BL1711/BJ1711</f>
        <v>5.8575969896480782</v>
      </c>
      <c r="CL1711" s="247">
        <f t="shared" si="472"/>
        <v>28.092556991169353</v>
      </c>
      <c r="CM1711" s="247"/>
      <c r="CN1711" s="247"/>
      <c r="CO1711" s="36"/>
      <c r="CP1711" s="36" t="s">
        <v>1558</v>
      </c>
      <c r="CQ1711" s="241">
        <v>-0.91109746337974884</v>
      </c>
      <c r="CR1711" s="241">
        <f>10^(CJ1711-CQ1711)</f>
        <v>0.28703522243109952</v>
      </c>
      <c r="CS1711" s="33"/>
      <c r="CT1711" s="33"/>
      <c r="CU1711" s="250">
        <f t="shared" si="473"/>
        <v>2367.3469387755099</v>
      </c>
      <c r="CV1711" s="337">
        <f t="shared" ref="CV1711:CV1716" si="484">X1711/BJ1711</f>
        <v>493.61702127659578</v>
      </c>
      <c r="CW1711" s="330">
        <f t="shared" si="474"/>
        <v>1</v>
      </c>
      <c r="CX1711" s="330"/>
      <c r="CY1711" s="143" t="s">
        <v>6351</v>
      </c>
    </row>
    <row r="1712" spans="1:103" ht="11.25" customHeight="1" x14ac:dyDescent="0.2">
      <c r="A1712" s="72">
        <v>1710</v>
      </c>
      <c r="B1712" s="241">
        <v>159</v>
      </c>
      <c r="C1712" s="32" t="s">
        <v>7647</v>
      </c>
      <c r="D1712" s="32"/>
      <c r="E1712" s="40"/>
      <c r="F1712" s="40" t="s">
        <v>848</v>
      </c>
      <c r="G1712" s="242">
        <v>101837</v>
      </c>
      <c r="H1712" s="36" t="s">
        <v>849</v>
      </c>
      <c r="I1712" s="36" t="s">
        <v>849</v>
      </c>
      <c r="J1712" s="36" t="s">
        <v>850</v>
      </c>
      <c r="K1712" s="36" t="s">
        <v>300</v>
      </c>
      <c r="L1712" s="36"/>
      <c r="M1712" s="36"/>
      <c r="N1712" s="36"/>
      <c r="O1712" s="36"/>
      <c r="P1712" s="41"/>
      <c r="Q1712" s="41"/>
      <c r="R1712" s="41"/>
      <c r="S1712" s="41"/>
      <c r="T1712" s="37">
        <v>181.32</v>
      </c>
      <c r="U1712" s="243">
        <v>0.31320174920222194</v>
      </c>
      <c r="V1712" s="243">
        <v>0.37590119371232716</v>
      </c>
      <c r="W1712" s="243">
        <v>6.9183097091893604</v>
      </c>
      <c r="X1712" s="243">
        <v>0.31320174920222194</v>
      </c>
      <c r="Y1712" s="414">
        <v>11.5</v>
      </c>
      <c r="Z1712" s="37">
        <v>3.29</v>
      </c>
      <c r="AA1712" s="37">
        <v>3.5</v>
      </c>
      <c r="AB1712" s="37">
        <v>3.67</v>
      </c>
      <c r="AC1712" s="37">
        <v>0.84609999999999996</v>
      </c>
      <c r="AD1712" s="37">
        <v>3.68</v>
      </c>
      <c r="AE1712" s="37">
        <v>3.69</v>
      </c>
      <c r="AF1712" s="37">
        <f t="shared" si="467"/>
        <v>3.5</v>
      </c>
      <c r="AG1712" s="38">
        <v>2.84</v>
      </c>
      <c r="AH1712" s="243">
        <v>5.5000000000000002E-5</v>
      </c>
      <c r="AI1712" s="243"/>
      <c r="AJ1712" s="34">
        <f t="shared" si="481"/>
        <v>-2.6482036368184079</v>
      </c>
      <c r="AK1712" s="34"/>
      <c r="AL1712" s="34">
        <f t="shared" si="482"/>
        <v>-2.6482036368184079</v>
      </c>
      <c r="AM1712" s="34">
        <v>-5.0706100000000003</v>
      </c>
      <c r="AN1712" s="244">
        <v>-3.52</v>
      </c>
      <c r="AO1712" s="417"/>
      <c r="AP1712" s="417">
        <v>11.43</v>
      </c>
      <c r="AQ1712" s="244" t="s">
        <v>6311</v>
      </c>
      <c r="AR1712" s="244" t="s">
        <v>6311</v>
      </c>
      <c r="AS1712" s="241" t="s">
        <v>81</v>
      </c>
      <c r="AT1712" s="39" t="s">
        <v>266</v>
      </c>
      <c r="AU1712" s="37">
        <v>0</v>
      </c>
      <c r="AV1712" s="37">
        <v>48</v>
      </c>
      <c r="AW1712" s="37">
        <v>48</v>
      </c>
      <c r="AX1712" s="37">
        <v>26</v>
      </c>
      <c r="AY1712" s="37" t="s">
        <v>8722</v>
      </c>
      <c r="AZ1712" s="37" t="s">
        <v>536</v>
      </c>
      <c r="BA1712" s="37">
        <v>20</v>
      </c>
      <c r="BB1712" s="36" t="s">
        <v>537</v>
      </c>
      <c r="BC1712" s="36" t="s">
        <v>648</v>
      </c>
      <c r="BD1712" s="36"/>
      <c r="BE1712" s="245" t="s">
        <v>649</v>
      </c>
      <c r="BF1712" s="37" t="s">
        <v>539</v>
      </c>
      <c r="BG1712" s="37" t="s">
        <v>272</v>
      </c>
      <c r="BH1712" s="37" t="s">
        <v>272</v>
      </c>
      <c r="BI1712" s="248">
        <v>0.10919920582395765</v>
      </c>
      <c r="BJ1712" s="248">
        <v>0.55151114052503858</v>
      </c>
      <c r="BK1712" s="37"/>
      <c r="BL1712" s="243">
        <f t="shared" si="480"/>
        <v>5.7023123165170088E-2</v>
      </c>
      <c r="BM1712" s="37" t="s">
        <v>541</v>
      </c>
      <c r="BN1712" s="37"/>
      <c r="BO1712" s="37">
        <v>0.17199999999999999</v>
      </c>
      <c r="BP1712" s="37"/>
      <c r="BQ1712" s="37"/>
      <c r="BR1712" s="37"/>
      <c r="BS1712" s="37"/>
      <c r="BT1712" s="37"/>
      <c r="BU1712" s="246"/>
      <c r="BV1712" s="37"/>
      <c r="BW1712" s="37"/>
      <c r="BX1712" s="37"/>
      <c r="BY1712" s="37"/>
      <c r="BZ1712" s="37"/>
      <c r="CA1712" s="37"/>
      <c r="CB1712" s="37"/>
      <c r="CC1712" s="37"/>
      <c r="CD1712" s="37"/>
      <c r="CE1712" s="37"/>
      <c r="CF1712" s="37"/>
      <c r="CG1712" s="37"/>
      <c r="CH1712" s="37"/>
      <c r="CI1712" s="243">
        <f t="shared" si="470"/>
        <v>0.17199999999999999</v>
      </c>
      <c r="CJ1712" s="243">
        <f t="shared" si="471"/>
        <v>-0.76447155309245107</v>
      </c>
      <c r="CK1712" s="38">
        <f t="shared" si="483"/>
        <v>0.10339432692308641</v>
      </c>
      <c r="CL1712" s="247">
        <f t="shared" si="472"/>
        <v>0.33152978584401216</v>
      </c>
      <c r="CM1712" s="247"/>
      <c r="CN1712" s="247"/>
      <c r="CO1712" s="36"/>
      <c r="CP1712" s="36" t="s">
        <v>772</v>
      </c>
      <c r="CQ1712" s="241">
        <v>-0.46605402088839631</v>
      </c>
      <c r="CR1712" s="241">
        <f>10^(CJ1712-CQ1712)</f>
        <v>0.5030167741935484</v>
      </c>
      <c r="CS1712" s="33"/>
      <c r="CT1712" s="33"/>
      <c r="CU1712" s="250">
        <f t="shared" si="473"/>
        <v>1.8209404023384999</v>
      </c>
      <c r="CV1712" s="337">
        <f t="shared" si="484"/>
        <v>0.56789741165346885</v>
      </c>
      <c r="CW1712" s="330">
        <f t="shared" si="474"/>
        <v>0</v>
      </c>
      <c r="CX1712" s="330"/>
      <c r="CY1712" s="143" t="s">
        <v>6351</v>
      </c>
    </row>
    <row r="1713" spans="1:103" ht="11.25" customHeight="1" x14ac:dyDescent="0.2">
      <c r="A1713" s="72">
        <v>1711</v>
      </c>
      <c r="B1713" s="241">
        <v>168</v>
      </c>
      <c r="C1713" s="32" t="s">
        <v>7648</v>
      </c>
      <c r="D1713" s="32"/>
      <c r="E1713" s="40"/>
      <c r="F1713" s="40" t="s">
        <v>877</v>
      </c>
      <c r="G1713" s="242">
        <v>102692</v>
      </c>
      <c r="H1713" s="36" t="s">
        <v>878</v>
      </c>
      <c r="I1713" s="36" t="s">
        <v>878</v>
      </c>
      <c r="J1713" s="36" t="s">
        <v>879</v>
      </c>
      <c r="K1713" s="36" t="s">
        <v>300</v>
      </c>
      <c r="L1713" s="36"/>
      <c r="M1713" s="36"/>
      <c r="N1713" s="36"/>
      <c r="O1713" s="36"/>
      <c r="P1713" s="41"/>
      <c r="Q1713" s="41"/>
      <c r="R1713" s="41"/>
      <c r="S1713" s="41"/>
      <c r="T1713" s="37">
        <v>143.27000000000001</v>
      </c>
      <c r="U1713" s="243">
        <v>5.2209115655754861</v>
      </c>
      <c r="V1713" s="243">
        <v>23.891952257974452</v>
      </c>
      <c r="W1713" s="243">
        <v>21.877616239495524</v>
      </c>
      <c r="X1713" s="243">
        <v>5.2209115655754861</v>
      </c>
      <c r="Y1713" s="414">
        <v>11.15</v>
      </c>
      <c r="Z1713" s="37">
        <v>2.99</v>
      </c>
      <c r="AA1713" s="37">
        <v>2.79</v>
      </c>
      <c r="AB1713" s="37">
        <v>2.91</v>
      </c>
      <c r="AC1713" s="37">
        <v>0.88800000000000001</v>
      </c>
      <c r="AD1713" s="37">
        <v>3</v>
      </c>
      <c r="AE1713" s="37">
        <v>3.25</v>
      </c>
      <c r="AF1713" s="37">
        <f t="shared" si="467"/>
        <v>2.79</v>
      </c>
      <c r="AG1713" s="38">
        <v>2.66</v>
      </c>
      <c r="AH1713" s="243">
        <v>2.0000000000000001E-4</v>
      </c>
      <c r="AI1713" s="243">
        <v>3.8099999999999999E-4</v>
      </c>
      <c r="AJ1713" s="34">
        <f t="shared" si="481"/>
        <v>-2.0875363306486707</v>
      </c>
      <c r="AK1713" s="34">
        <f>LOG10(AI1713*1000/(0.08206*298.15))</f>
        <v>-1.8076413506370326</v>
      </c>
      <c r="AL1713" s="34">
        <f t="shared" si="482"/>
        <v>-1.8076413506370326</v>
      </c>
      <c r="AM1713" s="34">
        <v>-3.4843500000000009</v>
      </c>
      <c r="AN1713" s="244">
        <v>-1.51</v>
      </c>
      <c r="AO1713" s="417"/>
      <c r="AP1713" s="417">
        <v>9.99</v>
      </c>
      <c r="AQ1713" s="244" t="s">
        <v>6311</v>
      </c>
      <c r="AR1713" s="244" t="s">
        <v>6311</v>
      </c>
      <c r="AS1713" s="241" t="s">
        <v>72</v>
      </c>
      <c r="AT1713" s="39" t="s">
        <v>266</v>
      </c>
      <c r="AU1713" s="37">
        <v>0</v>
      </c>
      <c r="AV1713" s="37">
        <v>48</v>
      </c>
      <c r="AW1713" s="37">
        <v>48</v>
      </c>
      <c r="AX1713" s="37">
        <v>26</v>
      </c>
      <c r="AY1713" s="37" t="s">
        <v>8722</v>
      </c>
      <c r="AZ1713" s="37" t="s">
        <v>536</v>
      </c>
      <c r="BA1713" s="37">
        <v>20</v>
      </c>
      <c r="BB1713" s="36" t="s">
        <v>537</v>
      </c>
      <c r="BC1713" s="36" t="s">
        <v>648</v>
      </c>
      <c r="BD1713" s="36"/>
      <c r="BE1713" s="245" t="s">
        <v>649</v>
      </c>
      <c r="BF1713" s="37" t="s">
        <v>539</v>
      </c>
      <c r="BG1713" s="37" t="s">
        <v>272</v>
      </c>
      <c r="BH1713" s="37" t="s">
        <v>272</v>
      </c>
      <c r="BI1713" s="248">
        <v>0.413903817966078</v>
      </c>
      <c r="BJ1713" s="248">
        <v>2.0939484888671736</v>
      </c>
      <c r="BK1713" s="37"/>
      <c r="BL1713" s="243">
        <f t="shared" si="480"/>
        <v>0.10604275445890249</v>
      </c>
      <c r="BM1713" s="37" t="s">
        <v>541</v>
      </c>
      <c r="BN1713" s="37"/>
      <c r="BO1713" s="37">
        <v>1.3180000000000001</v>
      </c>
      <c r="BP1713" s="37"/>
      <c r="BQ1713" s="37"/>
      <c r="BR1713" s="37"/>
      <c r="BS1713" s="37"/>
      <c r="BT1713" s="37"/>
      <c r="BU1713" s="246"/>
      <c r="BV1713" s="37"/>
      <c r="BW1713" s="37"/>
      <c r="BX1713" s="37"/>
      <c r="BY1713" s="37"/>
      <c r="BZ1713" s="37"/>
      <c r="CA1713" s="37"/>
      <c r="CB1713" s="37"/>
      <c r="CC1713" s="37"/>
      <c r="CD1713" s="37"/>
      <c r="CE1713" s="37"/>
      <c r="CF1713" s="37"/>
      <c r="CG1713" s="37"/>
      <c r="CH1713" s="37"/>
      <c r="CI1713" s="243">
        <f t="shared" si="470"/>
        <v>1.3180000000000001</v>
      </c>
      <c r="CJ1713" s="243">
        <f t="shared" si="471"/>
        <v>0.11991541025799107</v>
      </c>
      <c r="CK1713" s="38">
        <f t="shared" si="483"/>
        <v>5.0642484771089874E-2</v>
      </c>
      <c r="CL1713" s="247">
        <f t="shared" si="472"/>
        <v>8.0457325082627068E-2</v>
      </c>
      <c r="CM1713" s="247"/>
      <c r="CN1713" s="247"/>
      <c r="CO1713" s="36"/>
      <c r="CP1713" s="36" t="s">
        <v>772</v>
      </c>
      <c r="CQ1713" s="241">
        <v>-0.44986451357934809</v>
      </c>
      <c r="CR1713" s="241">
        <f>10^(CJ1713-CQ1713)</f>
        <v>3.7134700351018588</v>
      </c>
      <c r="CS1713" s="33"/>
      <c r="CT1713" s="33"/>
      <c r="CU1713" s="250">
        <f t="shared" si="473"/>
        <v>3.9612379101483199</v>
      </c>
      <c r="CV1713" s="337">
        <f t="shared" si="484"/>
        <v>2.4933333333333332</v>
      </c>
      <c r="CW1713" s="330">
        <f t="shared" si="474"/>
        <v>1</v>
      </c>
      <c r="CX1713" s="330"/>
      <c r="CY1713" s="143" t="s">
        <v>6351</v>
      </c>
    </row>
    <row r="1714" spans="1:103" ht="11.25" customHeight="1" x14ac:dyDescent="0.2">
      <c r="A1714" s="72">
        <v>1712</v>
      </c>
      <c r="B1714" s="241">
        <v>169</v>
      </c>
      <c r="C1714" s="32" t="s">
        <v>7119</v>
      </c>
      <c r="D1714" s="32"/>
      <c r="E1714" s="40"/>
      <c r="F1714" s="40" t="s">
        <v>880</v>
      </c>
      <c r="G1714" s="242">
        <v>102829</v>
      </c>
      <c r="H1714" s="36" t="s">
        <v>881</v>
      </c>
      <c r="I1714" s="36" t="s">
        <v>881</v>
      </c>
      <c r="J1714" s="36" t="s">
        <v>882</v>
      </c>
      <c r="K1714" s="36" t="s">
        <v>300</v>
      </c>
      <c r="L1714" s="36" t="s">
        <v>5527</v>
      </c>
      <c r="M1714" s="36" t="s">
        <v>5960</v>
      </c>
      <c r="N1714" s="36"/>
      <c r="O1714" s="36"/>
      <c r="P1714" s="41"/>
      <c r="Q1714" s="41"/>
      <c r="R1714" s="41"/>
      <c r="S1714" s="41"/>
      <c r="T1714" s="37">
        <v>185.35</v>
      </c>
      <c r="U1714" s="243">
        <v>0.76611815484219048</v>
      </c>
      <c r="V1714" s="243">
        <v>0.44364715403291072</v>
      </c>
      <c r="W1714" s="243">
        <v>1.995262314968878</v>
      </c>
      <c r="X1714" s="243">
        <v>0.76611815484219048</v>
      </c>
      <c r="Y1714" s="414">
        <v>10.59</v>
      </c>
      <c r="Z1714" s="37">
        <v>4.46</v>
      </c>
      <c r="AA1714" s="37"/>
      <c r="AB1714" s="37">
        <v>3.88</v>
      </c>
      <c r="AC1714" s="37">
        <v>0.83279999999999998</v>
      </c>
      <c r="AD1714" s="37">
        <v>4.16</v>
      </c>
      <c r="AE1714" s="37">
        <v>4.84</v>
      </c>
      <c r="AF1714" s="37">
        <f t="shared" si="467"/>
        <v>4.16</v>
      </c>
      <c r="AG1714" s="38">
        <v>3.83</v>
      </c>
      <c r="AH1714" s="243">
        <v>4.6799999999999999E-4</v>
      </c>
      <c r="AI1714" s="243">
        <v>1.6000000000000001E-4</v>
      </c>
      <c r="AJ1714" s="34">
        <f t="shared" si="481"/>
        <v>-1.7183204732385278</v>
      </c>
      <c r="AK1714" s="34">
        <f>LOG10(AI1714*1000/(0.08206*298.15))</f>
        <v>-2.184446343656727</v>
      </c>
      <c r="AL1714" s="34">
        <f t="shared" si="482"/>
        <v>-2.184446343656727</v>
      </c>
      <c r="AM1714" s="34">
        <v>-3.9047200000000002</v>
      </c>
      <c r="AN1714" s="244">
        <v>-1.1100000000000001</v>
      </c>
      <c r="AO1714" s="417"/>
      <c r="AP1714" s="417">
        <v>9.99</v>
      </c>
      <c r="AQ1714" s="244" t="s">
        <v>6311</v>
      </c>
      <c r="AR1714" s="244" t="s">
        <v>6311</v>
      </c>
      <c r="AS1714" s="241" t="s">
        <v>81</v>
      </c>
      <c r="AT1714" s="39" t="s">
        <v>266</v>
      </c>
      <c r="AU1714" s="37">
        <v>0</v>
      </c>
      <c r="AV1714" s="37">
        <v>48</v>
      </c>
      <c r="AW1714" s="37">
        <v>48</v>
      </c>
      <c r="AX1714" s="37">
        <v>26</v>
      </c>
      <c r="AY1714" s="37" t="s">
        <v>8722</v>
      </c>
      <c r="AZ1714" s="37" t="s">
        <v>536</v>
      </c>
      <c r="BA1714" s="37">
        <v>20</v>
      </c>
      <c r="BB1714" s="36" t="s">
        <v>537</v>
      </c>
      <c r="BC1714" s="36" t="s">
        <v>648</v>
      </c>
      <c r="BD1714" s="36"/>
      <c r="BE1714" s="245" t="s">
        <v>649</v>
      </c>
      <c r="BF1714" s="37" t="s">
        <v>539</v>
      </c>
      <c r="BG1714" s="37" t="s">
        <v>272</v>
      </c>
      <c r="BH1714" s="37" t="s">
        <v>272</v>
      </c>
      <c r="BI1714" s="248">
        <v>0.32908933966335774</v>
      </c>
      <c r="BJ1714" s="248">
        <v>2.1579628830384117</v>
      </c>
      <c r="BK1714" s="37"/>
      <c r="BL1714" s="243">
        <f t="shared" si="480"/>
        <v>5.0731067385228461E-3</v>
      </c>
      <c r="BM1714" s="37" t="s">
        <v>541</v>
      </c>
      <c r="BN1714" s="37"/>
      <c r="BO1714" s="37">
        <v>1.625</v>
      </c>
      <c r="BP1714" s="37"/>
      <c r="BQ1714" s="37"/>
      <c r="BR1714" s="37"/>
      <c r="BS1714" s="37"/>
      <c r="BT1714" s="37"/>
      <c r="BU1714" s="246"/>
      <c r="BV1714" s="37"/>
      <c r="BW1714" s="37"/>
      <c r="BX1714" s="37"/>
      <c r="BY1714" s="37"/>
      <c r="BZ1714" s="37"/>
      <c r="CA1714" s="37"/>
      <c r="CB1714" s="37"/>
      <c r="CC1714" s="37"/>
      <c r="CD1714" s="37"/>
      <c r="CE1714" s="37"/>
      <c r="CF1714" s="37"/>
      <c r="CG1714" s="37"/>
      <c r="CH1714" s="37"/>
      <c r="CI1714" s="243">
        <f t="shared" si="470"/>
        <v>1.625</v>
      </c>
      <c r="CJ1714" s="243">
        <f t="shared" si="471"/>
        <v>0.21085336531489318</v>
      </c>
      <c r="CK1714" s="38">
        <f t="shared" si="483"/>
        <v>2.3508776626314869E-3</v>
      </c>
      <c r="CL1714" s="247">
        <f t="shared" si="472"/>
        <v>3.1219118390909822E-3</v>
      </c>
      <c r="CM1714" s="247"/>
      <c r="CN1714" s="247"/>
      <c r="CO1714" s="36"/>
      <c r="CP1714" s="36" t="s">
        <v>772</v>
      </c>
      <c r="CQ1714" s="241" t="s">
        <v>272</v>
      </c>
      <c r="CR1714" s="241"/>
      <c r="CS1714" s="33"/>
      <c r="CT1714" s="33"/>
      <c r="CU1714" s="250">
        <f t="shared" si="473"/>
        <v>0.47145732605673263</v>
      </c>
      <c r="CV1714" s="337">
        <f t="shared" si="484"/>
        <v>0.3550191529538711</v>
      </c>
      <c r="CW1714" s="330">
        <f t="shared" si="474"/>
        <v>0</v>
      </c>
      <c r="CX1714" s="330"/>
      <c r="CY1714" s="143" t="s">
        <v>6351</v>
      </c>
    </row>
    <row r="1715" spans="1:103" ht="11.25" customHeight="1" x14ac:dyDescent="0.2">
      <c r="A1715" s="72">
        <v>1713</v>
      </c>
      <c r="B1715" s="241">
        <v>65</v>
      </c>
      <c r="C1715" s="32" t="s">
        <v>7649</v>
      </c>
      <c r="D1715" s="32"/>
      <c r="E1715" s="40"/>
      <c r="F1715" s="40" t="s">
        <v>556</v>
      </c>
      <c r="G1715" s="242">
        <v>103902</v>
      </c>
      <c r="H1715" s="36" t="s">
        <v>462</v>
      </c>
      <c r="I1715" s="36" t="s">
        <v>462</v>
      </c>
      <c r="J1715" s="36" t="s">
        <v>463</v>
      </c>
      <c r="K1715" s="36" t="s">
        <v>464</v>
      </c>
      <c r="L1715" s="42" t="s">
        <v>279</v>
      </c>
      <c r="M1715" s="36" t="s">
        <v>465</v>
      </c>
      <c r="N1715" s="36" t="s">
        <v>6384</v>
      </c>
      <c r="O1715" s="36" t="s">
        <v>281</v>
      </c>
      <c r="P1715" s="41"/>
      <c r="Q1715" s="41" t="s">
        <v>6173</v>
      </c>
      <c r="R1715" s="41" t="s">
        <v>6175</v>
      </c>
      <c r="S1715" s="41" t="s">
        <v>6182</v>
      </c>
      <c r="T1715" s="37">
        <v>151.16</v>
      </c>
      <c r="U1715" s="243">
        <v>92.617094469436367</v>
      </c>
      <c r="V1715" s="243">
        <v>200.78062979624241</v>
      </c>
      <c r="W1715" s="243">
        <v>117.48975549395291</v>
      </c>
      <c r="X1715" s="243">
        <v>92.617094469436367</v>
      </c>
      <c r="Y1715" s="414">
        <v>5.7</v>
      </c>
      <c r="Z1715" s="37">
        <v>0.27</v>
      </c>
      <c r="AA1715" s="37">
        <v>0.46</v>
      </c>
      <c r="AB1715" s="37">
        <v>0.43</v>
      </c>
      <c r="AC1715" s="37">
        <v>0.85150000000000003</v>
      </c>
      <c r="AD1715" s="37">
        <v>0.4</v>
      </c>
      <c r="AE1715" s="37">
        <v>0.34</v>
      </c>
      <c r="AF1715" s="37">
        <f t="shared" si="467"/>
        <v>0.46</v>
      </c>
      <c r="AG1715" s="38">
        <v>0.91</v>
      </c>
      <c r="AH1715" s="243">
        <v>6.4199999999999999E-13</v>
      </c>
      <c r="AI1715" s="243"/>
      <c r="AJ1715" s="34">
        <f t="shared" si="481"/>
        <v>-10.581031298243799</v>
      </c>
      <c r="AK1715" s="34"/>
      <c r="AL1715" s="34">
        <f t="shared" si="482"/>
        <v>-10.581031298243799</v>
      </c>
      <c r="AM1715" s="34">
        <v>-13.617180000000001</v>
      </c>
      <c r="AN1715" s="244">
        <v>-11.6</v>
      </c>
      <c r="AO1715" s="417">
        <v>9.86</v>
      </c>
      <c r="AP1715" s="417">
        <v>1.72</v>
      </c>
      <c r="AQ1715" s="244" t="s">
        <v>6311</v>
      </c>
      <c r="AR1715" s="244" t="s">
        <v>6311</v>
      </c>
      <c r="AS1715" s="241" t="s">
        <v>90</v>
      </c>
      <c r="AT1715" s="39" t="s">
        <v>266</v>
      </c>
      <c r="AU1715" s="37">
        <v>0</v>
      </c>
      <c r="AV1715" s="37">
        <v>48</v>
      </c>
      <c r="AW1715" s="37">
        <v>48</v>
      </c>
      <c r="AX1715" s="37">
        <v>26</v>
      </c>
      <c r="AY1715" s="37" t="s">
        <v>8722</v>
      </c>
      <c r="AZ1715" s="37" t="s">
        <v>536</v>
      </c>
      <c r="BA1715" s="37">
        <v>20</v>
      </c>
      <c r="BB1715" s="36" t="s">
        <v>537</v>
      </c>
      <c r="BC1715" s="36" t="s">
        <v>538</v>
      </c>
      <c r="BD1715" s="36"/>
      <c r="BE1715" s="245" t="s">
        <v>271</v>
      </c>
      <c r="BF1715" s="245" t="s">
        <v>539</v>
      </c>
      <c r="BG1715" s="245" t="s">
        <v>540</v>
      </c>
      <c r="BH1715" s="245" t="s">
        <v>272</v>
      </c>
      <c r="BI1715" s="243">
        <v>0.47510000000000002</v>
      </c>
      <c r="BJ1715" s="243">
        <v>42.11</v>
      </c>
      <c r="BK1715" s="37"/>
      <c r="BL1715" s="243">
        <f t="shared" si="480"/>
        <v>29.397676060212504</v>
      </c>
      <c r="BM1715" s="37" t="s">
        <v>541</v>
      </c>
      <c r="BN1715" s="37"/>
      <c r="BO1715" s="37">
        <v>12.0716</v>
      </c>
      <c r="BP1715" s="37"/>
      <c r="BQ1715" s="37"/>
      <c r="BR1715" s="37"/>
      <c r="BS1715" s="37"/>
      <c r="BT1715" s="37"/>
      <c r="BU1715" s="246"/>
      <c r="BV1715" s="37"/>
      <c r="BW1715" s="37"/>
      <c r="BX1715" s="37"/>
      <c r="BY1715" s="37"/>
      <c r="BZ1715" s="37"/>
      <c r="CA1715" s="37"/>
      <c r="CB1715" s="37"/>
      <c r="CC1715" s="37"/>
      <c r="CD1715" s="37"/>
      <c r="CE1715" s="37"/>
      <c r="CF1715" s="37"/>
      <c r="CG1715" s="37"/>
      <c r="CH1715" s="37"/>
      <c r="CI1715" s="243">
        <f t="shared" si="470"/>
        <v>12.0716</v>
      </c>
      <c r="CJ1715" s="243">
        <f t="shared" si="471"/>
        <v>1.0817648363872441</v>
      </c>
      <c r="CK1715" s="38">
        <f t="shared" si="483"/>
        <v>0.69811626834985763</v>
      </c>
      <c r="CL1715" s="247">
        <f t="shared" si="472"/>
        <v>2.4352758590586587</v>
      </c>
      <c r="CM1715" s="247">
        <v>0.73065333382021147</v>
      </c>
      <c r="CN1715" s="247">
        <f>BJ1715/(10^CM1715)</f>
        <v>7.8294617652754681</v>
      </c>
      <c r="CO1715" s="36"/>
      <c r="CP1715" s="36" t="s">
        <v>542</v>
      </c>
      <c r="CQ1715" s="241">
        <v>0.73065333382021147</v>
      </c>
      <c r="CR1715" s="241">
        <f>10^(CJ1715-CQ1715)</f>
        <v>2.2444581012989642</v>
      </c>
      <c r="CS1715" s="33"/>
      <c r="CT1715" s="33"/>
      <c r="CU1715" s="250">
        <f t="shared" si="473"/>
        <v>7.67231307112863</v>
      </c>
      <c r="CV1715" s="337">
        <f t="shared" si="484"/>
        <v>2.1994085601860927</v>
      </c>
      <c r="CW1715" s="330">
        <f t="shared" si="474"/>
        <v>1</v>
      </c>
      <c r="CX1715" s="330"/>
      <c r="CY1715" s="143" t="s">
        <v>6351</v>
      </c>
    </row>
    <row r="1716" spans="1:103" ht="11.25" customHeight="1" x14ac:dyDescent="0.2">
      <c r="A1716" s="72">
        <v>1714</v>
      </c>
      <c r="B1716" s="241">
        <v>692</v>
      </c>
      <c r="C1716" s="32" t="s">
        <v>1993</v>
      </c>
      <c r="D1716" s="32"/>
      <c r="E1716" s="40"/>
      <c r="F1716" s="40" t="s">
        <v>1994</v>
      </c>
      <c r="G1716" s="242">
        <v>105679</v>
      </c>
      <c r="H1716" s="36" t="s">
        <v>1995</v>
      </c>
      <c r="I1716" s="36" t="s">
        <v>1995</v>
      </c>
      <c r="J1716" s="36" t="s">
        <v>1996</v>
      </c>
      <c r="K1716" s="36" t="s">
        <v>349</v>
      </c>
      <c r="L1716" s="36" t="s">
        <v>5527</v>
      </c>
      <c r="M1716" s="36" t="s">
        <v>866</v>
      </c>
      <c r="N1716" s="36" t="s">
        <v>6082</v>
      </c>
      <c r="O1716" s="36" t="s">
        <v>6086</v>
      </c>
      <c r="P1716" s="41" t="s">
        <v>6184</v>
      </c>
      <c r="Q1716" s="41" t="s">
        <v>6179</v>
      </c>
      <c r="R1716" s="41" t="s">
        <v>6185</v>
      </c>
      <c r="S1716" s="41" t="s">
        <v>6176</v>
      </c>
      <c r="T1716" s="37">
        <v>122.16</v>
      </c>
      <c r="U1716" s="243">
        <v>64.423706614276355</v>
      </c>
      <c r="V1716" s="243">
        <v>33.300589390962671</v>
      </c>
      <c r="W1716" s="243"/>
      <c r="X1716" s="243">
        <v>64.423706614276355</v>
      </c>
      <c r="Y1716" s="414"/>
      <c r="Z1716" s="37">
        <v>2.61</v>
      </c>
      <c r="AA1716" s="37">
        <v>2.2999999999999998</v>
      </c>
      <c r="AB1716" s="37">
        <v>2.35</v>
      </c>
      <c r="AC1716" s="37">
        <v>0.97360000000000002</v>
      </c>
      <c r="AD1716" s="37">
        <v>2.36</v>
      </c>
      <c r="AE1716" s="37">
        <v>2.4</v>
      </c>
      <c r="AF1716" s="37">
        <f t="shared" si="467"/>
        <v>2.2999999999999998</v>
      </c>
      <c r="AG1716" s="38">
        <v>2.39</v>
      </c>
      <c r="AH1716" s="243">
        <v>6.8299999999999996E-7</v>
      </c>
      <c r="AI1716" s="243">
        <v>9.5099999999999998E-7</v>
      </c>
      <c r="AJ1716" s="34">
        <f t="shared" si="481"/>
        <v>-4.5541456226311192</v>
      </c>
      <c r="AK1716" s="34">
        <f t="shared" ref="AK1716:AK1732" si="485">LOG10(AI1716*1000/(0.08206*298.15))</f>
        <v>-4.4103858093752377</v>
      </c>
      <c r="AL1716" s="34">
        <f t="shared" si="482"/>
        <v>-4.4103858093752377</v>
      </c>
      <c r="AM1716" s="34">
        <v>-6.4130500000000001</v>
      </c>
      <c r="AN1716" s="244">
        <v>-4.17</v>
      </c>
      <c r="AO1716" s="417"/>
      <c r="AP1716" s="417"/>
      <c r="AQ1716" s="244" t="s">
        <v>6311</v>
      </c>
      <c r="AR1716" s="244" t="s">
        <v>6311</v>
      </c>
      <c r="AS1716" s="241" t="s">
        <v>6</v>
      </c>
      <c r="AT1716" s="39" t="s">
        <v>266</v>
      </c>
      <c r="AU1716" s="37">
        <v>2</v>
      </c>
      <c r="AV1716" s="37">
        <v>48</v>
      </c>
      <c r="AW1716" s="37">
        <v>48</v>
      </c>
      <c r="AX1716" s="37">
        <v>26</v>
      </c>
      <c r="AY1716" s="37" t="s">
        <v>647</v>
      </c>
      <c r="AZ1716" s="37" t="s">
        <v>1920</v>
      </c>
      <c r="BA1716" s="37">
        <v>10</v>
      </c>
      <c r="BB1716" s="36" t="s">
        <v>1613</v>
      </c>
      <c r="BC1716" s="36" t="s">
        <v>538</v>
      </c>
      <c r="BD1716" s="36"/>
      <c r="BE1716" s="37" t="s">
        <v>271</v>
      </c>
      <c r="BF1716" s="37" t="s">
        <v>272</v>
      </c>
      <c r="BG1716" s="37" t="s">
        <v>272</v>
      </c>
      <c r="BH1716" s="37" t="s">
        <v>272</v>
      </c>
      <c r="BI1716" s="248">
        <v>2.71576774754223E-2</v>
      </c>
      <c r="BJ1716" s="248">
        <v>0.1901037423279561</v>
      </c>
      <c r="BK1716" s="37"/>
      <c r="BL1716" s="243">
        <f t="shared" si="480"/>
        <v>0.23267997046521618</v>
      </c>
      <c r="BM1716" s="37" t="s">
        <v>541</v>
      </c>
      <c r="BN1716" s="37"/>
      <c r="BO1716" s="37">
        <v>8.8479713214925843E-2</v>
      </c>
      <c r="BP1716" s="37"/>
      <c r="BQ1716" s="37"/>
      <c r="BR1716" s="37"/>
      <c r="BS1716" s="37"/>
      <c r="BT1716" s="37"/>
      <c r="BU1716" s="246"/>
      <c r="BV1716" s="37"/>
      <c r="BW1716" s="37"/>
      <c r="BX1716" s="37"/>
      <c r="BY1716" s="37"/>
      <c r="BZ1716" s="37"/>
      <c r="CA1716" s="37"/>
      <c r="CB1716" s="37"/>
      <c r="CC1716" s="37"/>
      <c r="CD1716" s="37"/>
      <c r="CE1716" s="37"/>
      <c r="CF1716" s="37"/>
      <c r="CG1716" s="37"/>
      <c r="CH1716" s="37"/>
      <c r="CI1716" s="243">
        <f t="shared" si="470"/>
        <v>8.8479713214925843E-2</v>
      </c>
      <c r="CJ1716" s="243">
        <f t="shared" si="471"/>
        <v>-1.0531562936950849</v>
      </c>
      <c r="CK1716" s="38">
        <f t="shared" si="483"/>
        <v>1.2239631246385987</v>
      </c>
      <c r="CL1716" s="247">
        <f t="shared" si="472"/>
        <v>2.6297550253131345</v>
      </c>
      <c r="CM1716" s="247"/>
      <c r="CN1716" s="247"/>
      <c r="CO1716" s="36"/>
      <c r="CP1716" s="36" t="s">
        <v>1992</v>
      </c>
      <c r="CQ1716" s="241">
        <v>-1.0324470931098879</v>
      </c>
      <c r="CR1716" s="241">
        <f>10^(CJ1716-CQ1716)</f>
        <v>0.95343436082731114</v>
      </c>
      <c r="CS1716" s="33"/>
      <c r="CT1716" s="33"/>
      <c r="CU1716" s="250">
        <f t="shared" si="473"/>
        <v>728.11839317092836</v>
      </c>
      <c r="CV1716" s="337">
        <f t="shared" si="484"/>
        <v>338.88710356441203</v>
      </c>
      <c r="CW1716" s="330">
        <f t="shared" si="474"/>
        <v>1</v>
      </c>
      <c r="CX1716" s="330"/>
      <c r="CY1716" s="143" t="s">
        <v>6351</v>
      </c>
    </row>
    <row r="1717" spans="1:103" ht="11.25" customHeight="1" x14ac:dyDescent="0.2">
      <c r="A1717" s="72">
        <v>1715</v>
      </c>
      <c r="B1717" s="241">
        <v>498</v>
      </c>
      <c r="C1717" s="32" t="s">
        <v>7650</v>
      </c>
      <c r="D1717" s="32"/>
      <c r="E1717" s="40"/>
      <c r="F1717" s="40" t="s">
        <v>1605</v>
      </c>
      <c r="G1717" s="242">
        <v>106412</v>
      </c>
      <c r="H1717" s="36" t="s">
        <v>1606</v>
      </c>
      <c r="I1717" s="36" t="s">
        <v>1606</v>
      </c>
      <c r="J1717" s="36" t="s">
        <v>1607</v>
      </c>
      <c r="K1717" s="36" t="s">
        <v>349</v>
      </c>
      <c r="L1717" s="36"/>
      <c r="M1717" s="36"/>
      <c r="N1717" s="36"/>
      <c r="O1717" s="36"/>
      <c r="P1717" s="41"/>
      <c r="Q1717" s="41" t="s">
        <v>6173</v>
      </c>
      <c r="R1717" s="41" t="s">
        <v>6185</v>
      </c>
      <c r="S1717" s="41" t="s">
        <v>6176</v>
      </c>
      <c r="T1717" s="37">
        <v>173.01</v>
      </c>
      <c r="U1717" s="243">
        <v>80.92017802439166</v>
      </c>
      <c r="V1717" s="243">
        <v>8.0284376625628582</v>
      </c>
      <c r="W1717" s="243">
        <v>16.595869074375592</v>
      </c>
      <c r="X1717" s="243">
        <v>80.92017802439166</v>
      </c>
      <c r="Y1717" s="414">
        <v>5.56</v>
      </c>
      <c r="Z1717" s="37">
        <v>2.4</v>
      </c>
      <c r="AA1717" s="37">
        <v>2.59</v>
      </c>
      <c r="AB1717" s="37">
        <v>2.57</v>
      </c>
      <c r="AC1717" s="37">
        <v>0.87290000000000001</v>
      </c>
      <c r="AD1717" s="37">
        <v>2.5499999999999998</v>
      </c>
      <c r="AE1717" s="37">
        <v>2.4900000000000002</v>
      </c>
      <c r="AF1717" s="37">
        <f t="shared" si="467"/>
        <v>2.59</v>
      </c>
      <c r="AG1717" s="38">
        <v>2.27</v>
      </c>
      <c r="AH1717" s="243">
        <v>2.23E-7</v>
      </c>
      <c r="AI1717" s="243">
        <v>1.5099999999999999E-7</v>
      </c>
      <c r="AJ1717" s="34">
        <f t="shared" si="481"/>
        <v>-5.0402614632644909</v>
      </c>
      <c r="AK1717" s="34">
        <f t="shared" si="485"/>
        <v>-5.2095893790194827</v>
      </c>
      <c r="AL1717" s="34">
        <f t="shared" si="482"/>
        <v>-5.2095893790194827</v>
      </c>
      <c r="AM1717" s="34">
        <v>-8.1513799999999996</v>
      </c>
      <c r="AN1717" s="244">
        <v>-5.04</v>
      </c>
      <c r="AO1717" s="417">
        <v>9.34</v>
      </c>
      <c r="AP1717" s="417"/>
      <c r="AQ1717" s="244" t="s">
        <v>6311</v>
      </c>
      <c r="AR1717" s="244" t="s">
        <v>6311</v>
      </c>
      <c r="AS1717" s="241" t="s">
        <v>6</v>
      </c>
      <c r="AT1717" s="39" t="s">
        <v>266</v>
      </c>
      <c r="AU1717" s="37">
        <v>2</v>
      </c>
      <c r="AV1717" s="37">
        <v>48</v>
      </c>
      <c r="AW1717" s="37">
        <v>48</v>
      </c>
      <c r="AX1717" s="37">
        <v>26</v>
      </c>
      <c r="AY1717" s="37" t="s">
        <v>8722</v>
      </c>
      <c r="AZ1717" s="37" t="s">
        <v>1586</v>
      </c>
      <c r="BA1717" s="37">
        <v>60</v>
      </c>
      <c r="BB1717" s="36" t="s">
        <v>537</v>
      </c>
      <c r="BC1717" s="36" t="s">
        <v>538</v>
      </c>
      <c r="BD1717" s="36"/>
      <c r="BE1717" s="37" t="s">
        <v>271</v>
      </c>
      <c r="BF1717" s="37" t="s">
        <v>272</v>
      </c>
      <c r="BG1717" s="37" t="s">
        <v>272</v>
      </c>
      <c r="BH1717" s="37" t="s">
        <v>1587</v>
      </c>
      <c r="BI1717" s="243" t="s">
        <v>8722</v>
      </c>
      <c r="BJ1717" s="243" t="s">
        <v>8722</v>
      </c>
      <c r="BK1717" s="37"/>
      <c r="BL1717" s="243">
        <f t="shared" si="480"/>
        <v>0.35921957937803489</v>
      </c>
      <c r="BM1717" s="37" t="s">
        <v>1588</v>
      </c>
      <c r="BN1717" s="37"/>
      <c r="BO1717" s="37">
        <v>0.26773018900641582</v>
      </c>
      <c r="BP1717" s="37"/>
      <c r="BQ1717" s="37"/>
      <c r="BR1717" s="37"/>
      <c r="BS1717" s="37"/>
      <c r="BT1717" s="37"/>
      <c r="BU1717" s="246"/>
      <c r="BV1717" s="37"/>
      <c r="BW1717" s="37"/>
      <c r="BX1717" s="37"/>
      <c r="BY1717" s="37"/>
      <c r="BZ1717" s="37"/>
      <c r="CA1717" s="37"/>
      <c r="CB1717" s="37"/>
      <c r="CC1717" s="37"/>
      <c r="CD1717" s="37"/>
      <c r="CE1717" s="37"/>
      <c r="CF1717" s="37"/>
      <c r="CG1717" s="37"/>
      <c r="CH1717" s="37"/>
      <c r="CI1717" s="243">
        <f t="shared" si="470"/>
        <v>0.26773018900641582</v>
      </c>
      <c r="CJ1717" s="243">
        <f t="shared" si="471"/>
        <v>-0.57230265541117997</v>
      </c>
      <c r="CK1717" s="38" t="s">
        <v>404</v>
      </c>
      <c r="CL1717" s="247">
        <f t="shared" si="472"/>
        <v>1.3417223538038388</v>
      </c>
      <c r="CM1717" s="247"/>
      <c r="CN1717" s="247"/>
      <c r="CO1717" s="36"/>
      <c r="CP1717" s="36" t="s">
        <v>1589</v>
      </c>
      <c r="CQ1717" s="241" t="s">
        <v>272</v>
      </c>
      <c r="CR1717" s="241"/>
      <c r="CS1717" s="33"/>
      <c r="CT1717" s="33"/>
      <c r="CU1717" s="250">
        <f t="shared" si="473"/>
        <v>302.24525043177897</v>
      </c>
      <c r="CV1717" s="337"/>
      <c r="CW1717" s="330">
        <f t="shared" si="474"/>
        <v>1</v>
      </c>
      <c r="CX1717" s="330"/>
      <c r="CY1717" s="143" t="s">
        <v>5921</v>
      </c>
    </row>
    <row r="1718" spans="1:103" ht="11.25" customHeight="1" x14ac:dyDescent="0.2">
      <c r="A1718" s="72">
        <v>1716</v>
      </c>
      <c r="B1718" s="241">
        <v>729</v>
      </c>
      <c r="C1718" s="32" t="s">
        <v>7651</v>
      </c>
      <c r="D1718" s="32"/>
      <c r="E1718" s="40"/>
      <c r="F1718" s="40" t="s">
        <v>4077</v>
      </c>
      <c r="G1718" s="242">
        <v>106467</v>
      </c>
      <c r="H1718" s="36" t="s">
        <v>4078</v>
      </c>
      <c r="I1718" s="36" t="s">
        <v>8028</v>
      </c>
      <c r="J1718" s="36" t="s">
        <v>4079</v>
      </c>
      <c r="K1718" s="36" t="s">
        <v>426</v>
      </c>
      <c r="L1718" s="42" t="s">
        <v>5527</v>
      </c>
      <c r="M1718" s="36" t="s">
        <v>866</v>
      </c>
      <c r="N1718" s="36" t="s">
        <v>6082</v>
      </c>
      <c r="O1718" s="36" t="s">
        <v>6086</v>
      </c>
      <c r="P1718" s="41"/>
      <c r="Q1718" s="41"/>
      <c r="R1718" s="41"/>
      <c r="S1718" s="41"/>
      <c r="T1718" s="37">
        <v>147</v>
      </c>
      <c r="U1718" s="243">
        <v>0.55306122448979589</v>
      </c>
      <c r="V1718" s="243">
        <v>0.61387755102040809</v>
      </c>
      <c r="W1718" s="243">
        <v>0.14454397707459266</v>
      </c>
      <c r="X1718" s="243">
        <v>0.55306122448979589</v>
      </c>
      <c r="Y1718" s="414">
        <v>7</v>
      </c>
      <c r="Z1718" s="37">
        <v>3.28</v>
      </c>
      <c r="AA1718" s="37">
        <v>3.44</v>
      </c>
      <c r="AB1718" s="37">
        <v>3.28</v>
      </c>
      <c r="AC1718" s="37">
        <v>0.92520000000000002</v>
      </c>
      <c r="AD1718" s="37">
        <v>3.29</v>
      </c>
      <c r="AE1718" s="37">
        <v>3.34</v>
      </c>
      <c r="AF1718" s="37">
        <f t="shared" si="467"/>
        <v>3.44</v>
      </c>
      <c r="AG1718" s="38">
        <v>3.17</v>
      </c>
      <c r="AH1718" s="243">
        <v>2.96E-3</v>
      </c>
      <c r="AI1718" s="243">
        <v>2.4099999999999998E-3</v>
      </c>
      <c r="AJ1718" s="34">
        <f t="shared" si="481"/>
        <v>-0.91727461525371323</v>
      </c>
      <c r="AK1718" s="34">
        <f t="shared" si="485"/>
        <v>-1.0065492837377834</v>
      </c>
      <c r="AL1718" s="34">
        <f t="shared" si="482"/>
        <v>-1.0065492837377834</v>
      </c>
      <c r="AM1718" s="34">
        <v>-3.2108500000000002</v>
      </c>
      <c r="AN1718" s="244">
        <v>-0.93100000000000005</v>
      </c>
      <c r="AO1718" s="417"/>
      <c r="AP1718" s="417"/>
      <c r="AQ1718" s="244" t="s">
        <v>6311</v>
      </c>
      <c r="AR1718" s="244" t="s">
        <v>6311</v>
      </c>
      <c r="AS1718" s="241" t="s">
        <v>6</v>
      </c>
      <c r="AT1718" s="39" t="s">
        <v>266</v>
      </c>
      <c r="AU1718" s="37">
        <v>2</v>
      </c>
      <c r="AV1718" s="37">
        <v>48</v>
      </c>
      <c r="AW1718" s="37">
        <v>48</v>
      </c>
      <c r="AX1718" s="37">
        <v>26</v>
      </c>
      <c r="AY1718" s="37" t="s">
        <v>8722</v>
      </c>
      <c r="AZ1718" s="37" t="s">
        <v>4080</v>
      </c>
      <c r="BA1718" s="37">
        <v>10</v>
      </c>
      <c r="BB1718" s="36" t="s">
        <v>4081</v>
      </c>
      <c r="BC1718" s="36" t="s">
        <v>1887</v>
      </c>
      <c r="BD1718" s="36"/>
      <c r="BE1718" s="37" t="s">
        <v>1712</v>
      </c>
      <c r="BF1718" s="37" t="s">
        <v>540</v>
      </c>
      <c r="BG1718" s="37" t="s">
        <v>540</v>
      </c>
      <c r="BH1718" s="37" t="s">
        <v>272</v>
      </c>
      <c r="BI1718" s="248">
        <v>3.4013605442176874E-4</v>
      </c>
      <c r="BJ1718" s="248">
        <v>8.1632653061224483E-2</v>
      </c>
      <c r="BK1718" s="37"/>
      <c r="BL1718" s="243">
        <f t="shared" si="480"/>
        <v>5.8214611030121002E-2</v>
      </c>
      <c r="BM1718" s="37" t="s">
        <v>541</v>
      </c>
      <c r="BN1718" s="37"/>
      <c r="BO1718" s="37"/>
      <c r="BP1718" s="37"/>
      <c r="BQ1718" s="37"/>
      <c r="BR1718" s="37"/>
      <c r="BS1718" s="37"/>
      <c r="BT1718" s="37"/>
      <c r="BU1718" s="246"/>
      <c r="BV1718" s="37"/>
      <c r="BW1718" s="37"/>
      <c r="BX1718" s="37"/>
      <c r="BY1718" s="37"/>
      <c r="BZ1718" s="37"/>
      <c r="CA1718" s="37"/>
      <c r="CB1718" s="37"/>
      <c r="CC1718" s="37"/>
      <c r="CD1718" s="37"/>
      <c r="CE1718" s="37"/>
      <c r="CF1718" s="37"/>
      <c r="CG1718" s="37"/>
      <c r="CH1718" s="37"/>
      <c r="CI1718" s="243"/>
      <c r="CJ1718" s="243"/>
      <c r="CK1718" s="38">
        <f>BL1718/BJ1718</f>
        <v>0.71312898511898237</v>
      </c>
      <c r="CL1718" s="247"/>
      <c r="CM1718" s="247"/>
      <c r="CN1718" s="247"/>
      <c r="CO1718" s="36" t="s">
        <v>1888</v>
      </c>
      <c r="CP1718" s="36" t="s">
        <v>1889</v>
      </c>
      <c r="CQ1718" s="241">
        <v>-1.4523349428925374</v>
      </c>
      <c r="CR1718" s="241">
        <f t="shared" ref="CR1718:CR1732" si="486">10^(CJ1718-CQ1718)</f>
        <v>28.335765052980101</v>
      </c>
      <c r="CS1718" s="33"/>
      <c r="CT1718" s="33"/>
      <c r="CU1718" s="250"/>
      <c r="CV1718" s="337">
        <f>X1718/BJ1718</f>
        <v>6.7750000000000004</v>
      </c>
      <c r="CW1718" s="330">
        <f>IF(CV1718&lt;1,0,1)</f>
        <v>1</v>
      </c>
      <c r="CX1718" s="330" t="s">
        <v>539</v>
      </c>
      <c r="CY1718" s="143" t="s">
        <v>6351</v>
      </c>
    </row>
    <row r="1719" spans="1:103" ht="11.25" customHeight="1" x14ac:dyDescent="0.2">
      <c r="A1719" s="72">
        <v>1717</v>
      </c>
      <c r="B1719" s="241">
        <v>650</v>
      </c>
      <c r="C1719" s="32" t="s">
        <v>1631</v>
      </c>
      <c r="D1719" s="32"/>
      <c r="E1719" s="40"/>
      <c r="F1719" s="40" t="s">
        <v>1632</v>
      </c>
      <c r="G1719" s="242">
        <v>106478</v>
      </c>
      <c r="H1719" s="36" t="s">
        <v>1633</v>
      </c>
      <c r="I1719" s="36" t="s">
        <v>8029</v>
      </c>
      <c r="J1719" s="36" t="s">
        <v>1634</v>
      </c>
      <c r="K1719" s="36" t="s">
        <v>1573</v>
      </c>
      <c r="L1719" s="36" t="s">
        <v>5527</v>
      </c>
      <c r="M1719" s="36" t="s">
        <v>866</v>
      </c>
      <c r="N1719" s="36" t="s">
        <v>6082</v>
      </c>
      <c r="O1719" s="36" t="s">
        <v>6086</v>
      </c>
      <c r="P1719" s="41" t="s">
        <v>6184</v>
      </c>
      <c r="Q1719" s="41" t="s">
        <v>6176</v>
      </c>
      <c r="R1719" s="41" t="s">
        <v>6185</v>
      </c>
      <c r="S1719" s="41" t="s">
        <v>6176</v>
      </c>
      <c r="T1719" s="37">
        <v>127.57</v>
      </c>
      <c r="U1719" s="243">
        <v>30.564263322884013</v>
      </c>
      <c r="V1719" s="243">
        <v>20.156739811912228</v>
      </c>
      <c r="W1719" s="243">
        <v>11.481536214968827</v>
      </c>
      <c r="X1719" s="243">
        <v>30.564263322884013</v>
      </c>
      <c r="Y1719" s="414">
        <v>8.02</v>
      </c>
      <c r="Z1719" s="37">
        <v>1.72</v>
      </c>
      <c r="AA1719" s="37">
        <v>1.83</v>
      </c>
      <c r="AB1719" s="37">
        <v>1.8</v>
      </c>
      <c r="AC1719" s="37">
        <v>0.91020000000000001</v>
      </c>
      <c r="AD1719" s="37">
        <v>1.79</v>
      </c>
      <c r="AE1719" s="37">
        <v>1.76</v>
      </c>
      <c r="AF1719" s="37">
        <f t="shared" si="467"/>
        <v>1.83</v>
      </c>
      <c r="AG1719" s="38">
        <v>1.8</v>
      </c>
      <c r="AH1719" s="243">
        <v>1.4100000000000001E-6</v>
      </c>
      <c r="AI1719" s="243">
        <v>1.1599999999999999E-6</v>
      </c>
      <c r="AJ1719" s="34">
        <f t="shared" si="481"/>
        <v>-4.2393472136572719</v>
      </c>
      <c r="AK1719" s="34">
        <f t="shared" si="485"/>
        <v>-4.3241083370857334</v>
      </c>
      <c r="AL1719" s="34">
        <f t="shared" si="482"/>
        <v>-4.3241083370857334</v>
      </c>
      <c r="AM1719" s="34">
        <v>-6.9352299999999998</v>
      </c>
      <c r="AN1719" s="244">
        <v>-4.13</v>
      </c>
      <c r="AO1719" s="417"/>
      <c r="AP1719" s="417">
        <v>3.97</v>
      </c>
      <c r="AQ1719" s="244" t="s">
        <v>6311</v>
      </c>
      <c r="AR1719" s="244" t="s">
        <v>6311</v>
      </c>
      <c r="AS1719" s="241" t="s">
        <v>6</v>
      </c>
      <c r="AT1719" s="39" t="s">
        <v>266</v>
      </c>
      <c r="AU1719" s="37">
        <v>2</v>
      </c>
      <c r="AV1719" s="37">
        <v>48</v>
      </c>
      <c r="AW1719" s="37">
        <v>48</v>
      </c>
      <c r="AX1719" s="37">
        <v>26</v>
      </c>
      <c r="AY1719" s="37" t="s">
        <v>647</v>
      </c>
      <c r="AZ1719" s="37" t="s">
        <v>1912</v>
      </c>
      <c r="BA1719" s="37">
        <v>25</v>
      </c>
      <c r="BB1719" s="36" t="s">
        <v>1613</v>
      </c>
      <c r="BC1719" s="36" t="s">
        <v>538</v>
      </c>
      <c r="BD1719" s="36"/>
      <c r="BE1719" s="37" t="s">
        <v>271</v>
      </c>
      <c r="BF1719" s="37" t="s">
        <v>272</v>
      </c>
      <c r="BG1719" s="37" t="s">
        <v>272</v>
      </c>
      <c r="BH1719" s="37" t="s">
        <v>272</v>
      </c>
      <c r="BI1719" s="243">
        <v>1.4499999999999999E-3</v>
      </c>
      <c r="BJ1719" s="243">
        <v>0.79</v>
      </c>
      <c r="BK1719" s="37"/>
      <c r="BL1719" s="243">
        <f t="shared" si="480"/>
        <v>1.4657773282271105</v>
      </c>
      <c r="BM1719" s="37" t="s">
        <v>541</v>
      </c>
      <c r="BN1719" s="37"/>
      <c r="BO1719" s="37">
        <v>9.8299999999999998E-2</v>
      </c>
      <c r="BP1719" s="37"/>
      <c r="BQ1719" s="37"/>
      <c r="BR1719" s="37"/>
      <c r="BS1719" s="37"/>
      <c r="BT1719" s="37"/>
      <c r="BU1719" s="246"/>
      <c r="BV1719" s="37"/>
      <c r="BW1719" s="37"/>
      <c r="BX1719" s="37"/>
      <c r="BY1719" s="37"/>
      <c r="BZ1719" s="37"/>
      <c r="CA1719" s="37"/>
      <c r="CB1719" s="37"/>
      <c r="CC1719" s="37"/>
      <c r="CD1719" s="37"/>
      <c r="CE1719" s="37"/>
      <c r="CF1719" s="37"/>
      <c r="CG1719" s="37"/>
      <c r="CH1719" s="37"/>
      <c r="CI1719" s="243">
        <f t="shared" ref="CI1719:CI1760" si="487">MIN(BN1719:CH1719)</f>
        <v>9.8299999999999998E-2</v>
      </c>
      <c r="CJ1719" s="243">
        <f t="shared" ref="CJ1719:CJ1760" si="488">LOG10(CI1719)</f>
        <v>-1.0074464821678644</v>
      </c>
      <c r="CK1719" s="38">
        <f>BL1719/BJ1719</f>
        <v>1.8554143395279878</v>
      </c>
      <c r="CL1719" s="247">
        <f t="shared" ref="CL1719:CL1760" si="489">BL1719/CI1719</f>
        <v>14.911264783592172</v>
      </c>
      <c r="CM1719" s="247">
        <v>-1.7255373138153871</v>
      </c>
      <c r="CN1719" s="247">
        <f>BJ1719/(10^CM1719)</f>
        <v>41.991791666666693</v>
      </c>
      <c r="CO1719" s="36"/>
      <c r="CP1719" s="36" t="s">
        <v>1913</v>
      </c>
      <c r="CQ1719" s="241">
        <v>-0.86695605670763687</v>
      </c>
      <c r="CR1719" s="241">
        <f t="shared" si="486"/>
        <v>0.72361835513399231</v>
      </c>
      <c r="CS1719" s="33"/>
      <c r="CT1719" s="33"/>
      <c r="CU1719" s="250">
        <f t="shared" ref="CU1719:CU1760" si="490">X1719/CI1719</f>
        <v>310.92841630604289</v>
      </c>
      <c r="CV1719" s="337">
        <f>X1719/BJ1719</f>
        <v>38.688940915043055</v>
      </c>
      <c r="CW1719" s="330">
        <f t="shared" ref="CW1719:CW1760" si="491">IF(CU1719&lt;2,0,1)</f>
        <v>1</v>
      </c>
      <c r="CX1719" s="330"/>
      <c r="CY1719" s="143" t="s">
        <v>6351</v>
      </c>
    </row>
    <row r="1720" spans="1:103" ht="11.25" customHeight="1" x14ac:dyDescent="0.2">
      <c r="A1720" s="72">
        <v>1718</v>
      </c>
      <c r="B1720" s="241">
        <v>506</v>
      </c>
      <c r="C1720" s="32" t="s">
        <v>1631</v>
      </c>
      <c r="D1720" s="32"/>
      <c r="E1720" s="40"/>
      <c r="F1720" s="40" t="s">
        <v>1632</v>
      </c>
      <c r="G1720" s="242">
        <v>106478</v>
      </c>
      <c r="H1720" s="36" t="s">
        <v>1633</v>
      </c>
      <c r="I1720" s="36" t="s">
        <v>8029</v>
      </c>
      <c r="J1720" s="36" t="s">
        <v>1634</v>
      </c>
      <c r="K1720" s="36" t="s">
        <v>1573</v>
      </c>
      <c r="L1720" s="36" t="s">
        <v>5527</v>
      </c>
      <c r="M1720" s="36" t="s">
        <v>866</v>
      </c>
      <c r="N1720" s="36" t="s">
        <v>6082</v>
      </c>
      <c r="O1720" s="36" t="s">
        <v>6086</v>
      </c>
      <c r="P1720" s="41" t="s">
        <v>6184</v>
      </c>
      <c r="Q1720" s="41" t="s">
        <v>6176</v>
      </c>
      <c r="R1720" s="41" t="s">
        <v>6185</v>
      </c>
      <c r="S1720" s="41" t="s">
        <v>6176</v>
      </c>
      <c r="T1720" s="37">
        <v>127.57</v>
      </c>
      <c r="U1720" s="243">
        <v>30.564263322884013</v>
      </c>
      <c r="V1720" s="243">
        <v>20.156739811912228</v>
      </c>
      <c r="W1720" s="243">
        <v>11.481536214968827</v>
      </c>
      <c r="X1720" s="243">
        <v>30.564263322884013</v>
      </c>
      <c r="Y1720" s="414">
        <v>8.02</v>
      </c>
      <c r="Z1720" s="37">
        <v>1.72</v>
      </c>
      <c r="AA1720" s="37">
        <v>1.83</v>
      </c>
      <c r="AB1720" s="37">
        <v>1.8</v>
      </c>
      <c r="AC1720" s="37">
        <v>0.91020000000000001</v>
      </c>
      <c r="AD1720" s="37">
        <v>1.79</v>
      </c>
      <c r="AE1720" s="37">
        <v>1.76</v>
      </c>
      <c r="AF1720" s="37">
        <f t="shared" si="467"/>
        <v>1.83</v>
      </c>
      <c r="AG1720" s="38">
        <v>1.8</v>
      </c>
      <c r="AH1720" s="243">
        <v>1.4100000000000001E-6</v>
      </c>
      <c r="AI1720" s="243">
        <v>1.1599999999999999E-6</v>
      </c>
      <c r="AJ1720" s="34">
        <f t="shared" si="481"/>
        <v>-4.2393472136572719</v>
      </c>
      <c r="AK1720" s="34">
        <f t="shared" si="485"/>
        <v>-4.3241083370857334</v>
      </c>
      <c r="AL1720" s="34">
        <f t="shared" si="482"/>
        <v>-4.3241083370857334</v>
      </c>
      <c r="AM1720" s="34">
        <v>-6.9352299999999998</v>
      </c>
      <c r="AN1720" s="244">
        <v>-4.13</v>
      </c>
      <c r="AO1720" s="417"/>
      <c r="AP1720" s="417">
        <v>3.97</v>
      </c>
      <c r="AQ1720" s="244" t="s">
        <v>6311</v>
      </c>
      <c r="AR1720" s="244" t="s">
        <v>6311</v>
      </c>
      <c r="AS1720" s="241" t="s">
        <v>6</v>
      </c>
      <c r="AT1720" s="39" t="s">
        <v>266</v>
      </c>
      <c r="AU1720" s="37">
        <v>2</v>
      </c>
      <c r="AV1720" s="37">
        <v>48</v>
      </c>
      <c r="AW1720" s="37">
        <v>48</v>
      </c>
      <c r="AX1720" s="37">
        <v>26</v>
      </c>
      <c r="AY1720" s="37" t="s">
        <v>647</v>
      </c>
      <c r="AZ1720" s="37" t="s">
        <v>536</v>
      </c>
      <c r="BA1720" s="37">
        <v>20</v>
      </c>
      <c r="BB1720" s="36" t="s">
        <v>537</v>
      </c>
      <c r="BC1720" s="36" t="s">
        <v>538</v>
      </c>
      <c r="BD1720" s="36"/>
      <c r="BE1720" s="37" t="s">
        <v>271</v>
      </c>
      <c r="BF1720" s="37" t="s">
        <v>539</v>
      </c>
      <c r="BG1720" s="37" t="s">
        <v>272</v>
      </c>
      <c r="BH1720" s="37" t="s">
        <v>272</v>
      </c>
      <c r="BI1720" s="248">
        <v>6.0344827586206899E-2</v>
      </c>
      <c r="BJ1720" s="248">
        <v>0.30485893416927901</v>
      </c>
      <c r="BK1720" s="37"/>
      <c r="BL1720" s="243">
        <f t="shared" si="480"/>
        <v>1.4657773282271105</v>
      </c>
      <c r="BM1720" s="37" t="s">
        <v>541</v>
      </c>
      <c r="BN1720" s="37"/>
      <c r="BO1720" s="37">
        <v>0.16692789968652039</v>
      </c>
      <c r="BP1720" s="37"/>
      <c r="BQ1720" s="37"/>
      <c r="BR1720" s="37"/>
      <c r="BS1720" s="37"/>
      <c r="BT1720" s="37"/>
      <c r="BU1720" s="246"/>
      <c r="BV1720" s="37"/>
      <c r="BW1720" s="37"/>
      <c r="BX1720" s="37"/>
      <c r="BY1720" s="37"/>
      <c r="BZ1720" s="37"/>
      <c r="CA1720" s="37"/>
      <c r="CB1720" s="37"/>
      <c r="CC1720" s="37"/>
      <c r="CD1720" s="37"/>
      <c r="CE1720" s="37"/>
      <c r="CF1720" s="37"/>
      <c r="CG1720" s="37"/>
      <c r="CH1720" s="37"/>
      <c r="CI1720" s="243">
        <f t="shared" si="487"/>
        <v>0.16692789968652039</v>
      </c>
      <c r="CJ1720" s="243">
        <f t="shared" si="488"/>
        <v>-0.77747107094640577</v>
      </c>
      <c r="CK1720" s="38">
        <f>BL1720/BJ1720</f>
        <v>4.8080510817938125</v>
      </c>
      <c r="CL1720" s="247">
        <f t="shared" si="489"/>
        <v>8.7809008019614687</v>
      </c>
      <c r="CM1720" s="247">
        <v>-1.7255373138153871</v>
      </c>
      <c r="CN1720" s="247">
        <f>BJ1720/(10^CM1720)</f>
        <v>16.204522596656226</v>
      </c>
      <c r="CO1720" s="36"/>
      <c r="CP1720" s="36" t="s">
        <v>1558</v>
      </c>
      <c r="CQ1720" s="241">
        <v>-0.86695605670763687</v>
      </c>
      <c r="CR1720" s="241">
        <f t="shared" si="486"/>
        <v>1.2288107039382701</v>
      </c>
      <c r="CS1720" s="33"/>
      <c r="CT1720" s="33"/>
      <c r="CU1720" s="250">
        <f t="shared" si="490"/>
        <v>183.09859154929578</v>
      </c>
      <c r="CV1720" s="337">
        <f>X1720/BJ1720</f>
        <v>100.25706940874036</v>
      </c>
      <c r="CW1720" s="330">
        <f t="shared" si="491"/>
        <v>1</v>
      </c>
      <c r="CX1720" s="330"/>
      <c r="CY1720" s="143" t="s">
        <v>6351</v>
      </c>
    </row>
    <row r="1721" spans="1:103" ht="11.25" customHeight="1" x14ac:dyDescent="0.2">
      <c r="A1721" s="72">
        <v>1719</v>
      </c>
      <c r="B1721" s="241">
        <v>511</v>
      </c>
      <c r="C1721" s="32" t="s">
        <v>1635</v>
      </c>
      <c r="D1721" s="32"/>
      <c r="E1721" s="40"/>
      <c r="F1721" s="40" t="s">
        <v>1636</v>
      </c>
      <c r="G1721" s="242">
        <v>106489</v>
      </c>
      <c r="H1721" s="36" t="s">
        <v>1637</v>
      </c>
      <c r="I1721" s="36" t="s">
        <v>8214</v>
      </c>
      <c r="J1721" s="36" t="s">
        <v>1638</v>
      </c>
      <c r="K1721" s="36" t="s">
        <v>349</v>
      </c>
      <c r="L1721" s="36" t="s">
        <v>5527</v>
      </c>
      <c r="M1721" s="36" t="s">
        <v>497</v>
      </c>
      <c r="N1721" s="36" t="s">
        <v>6381</v>
      </c>
      <c r="O1721" s="36" t="s">
        <v>498</v>
      </c>
      <c r="P1721" s="41" t="s">
        <v>6184</v>
      </c>
      <c r="Q1721" s="41" t="s">
        <v>6182</v>
      </c>
      <c r="R1721" s="41" t="s">
        <v>6185</v>
      </c>
      <c r="S1721" s="41" t="s">
        <v>6176</v>
      </c>
      <c r="T1721" s="37">
        <v>128.56</v>
      </c>
      <c r="U1721" s="243">
        <v>186.6832607342875</v>
      </c>
      <c r="V1721" s="243">
        <v>25.062227753578096</v>
      </c>
      <c r="W1721" s="243">
        <v>16.218100973589287</v>
      </c>
      <c r="X1721" s="243">
        <v>186.6832607342875</v>
      </c>
      <c r="Y1721" s="414">
        <v>5.63</v>
      </c>
      <c r="Z1721" s="37">
        <v>2.16</v>
      </c>
      <c r="AA1721" s="37">
        <v>2.39</v>
      </c>
      <c r="AB1721" s="37">
        <v>2.5099999999999998</v>
      </c>
      <c r="AC1721" s="37">
        <v>0.89249999999999996</v>
      </c>
      <c r="AD1721" s="37">
        <v>2.4900000000000002</v>
      </c>
      <c r="AE1721" s="37">
        <v>2.4300000000000002</v>
      </c>
      <c r="AF1721" s="37">
        <f t="shared" si="467"/>
        <v>2.39</v>
      </c>
      <c r="AG1721" s="38">
        <v>2.15</v>
      </c>
      <c r="AH1721" s="243">
        <v>4.15E-7</v>
      </c>
      <c r="AI1721" s="243">
        <v>6.2699999999999999E-7</v>
      </c>
      <c r="AJ1721" s="34">
        <f t="shared" si="481"/>
        <v>-4.770518229600559</v>
      </c>
      <c r="AK1721" s="34">
        <f t="shared" si="485"/>
        <v>-4.5912987854819356</v>
      </c>
      <c r="AL1721" s="34">
        <f t="shared" si="482"/>
        <v>-4.5912987854819356</v>
      </c>
      <c r="AM1721" s="34">
        <v>-7.63727</v>
      </c>
      <c r="AN1721" s="244">
        <v>-4.8600000000000003</v>
      </c>
      <c r="AO1721" s="417">
        <v>9.4700000000000006</v>
      </c>
      <c r="AP1721" s="417"/>
      <c r="AQ1721" s="244" t="s">
        <v>6311</v>
      </c>
      <c r="AR1721" s="244" t="s">
        <v>6311</v>
      </c>
      <c r="AS1721" s="241" t="s">
        <v>6</v>
      </c>
      <c r="AT1721" s="39" t="s">
        <v>266</v>
      </c>
      <c r="AU1721" s="37">
        <v>2</v>
      </c>
      <c r="AV1721" s="37">
        <v>48</v>
      </c>
      <c r="AW1721" s="37">
        <v>48</v>
      </c>
      <c r="AX1721" s="33" t="s">
        <v>6240</v>
      </c>
      <c r="AY1721" s="33" t="s">
        <v>1584</v>
      </c>
      <c r="AZ1721" s="37" t="s">
        <v>1584</v>
      </c>
      <c r="BA1721" s="37" t="s">
        <v>8722</v>
      </c>
      <c r="BB1721" s="36" t="s">
        <v>8722</v>
      </c>
      <c r="BC1721" s="36" t="s">
        <v>8722</v>
      </c>
      <c r="BD1721" s="36"/>
      <c r="BE1721" s="37" t="s">
        <v>8722</v>
      </c>
      <c r="BF1721" s="37" t="s">
        <v>8722</v>
      </c>
      <c r="BG1721" s="37" t="s">
        <v>8722</v>
      </c>
      <c r="BH1721" s="37" t="s">
        <v>8722</v>
      </c>
      <c r="BI1721" s="243" t="s">
        <v>8722</v>
      </c>
      <c r="BJ1721" s="243" t="s">
        <v>8722</v>
      </c>
      <c r="BK1721" s="37"/>
      <c r="BL1721" s="243">
        <f t="shared" si="480"/>
        <v>0.59007063172200003</v>
      </c>
      <c r="BM1721" s="36" t="s">
        <v>1640</v>
      </c>
      <c r="BN1721" s="37"/>
      <c r="BO1721" s="37">
        <v>0.29402613565650276</v>
      </c>
      <c r="BP1721" s="37"/>
      <c r="BQ1721" s="37"/>
      <c r="BR1721" s="37"/>
      <c r="BS1721" s="37"/>
      <c r="BT1721" s="37"/>
      <c r="BU1721" s="246"/>
      <c r="BV1721" s="37"/>
      <c r="BW1721" s="37"/>
      <c r="BX1721" s="37"/>
      <c r="BY1721" s="37"/>
      <c r="BZ1721" s="37"/>
      <c r="CA1721" s="37"/>
      <c r="CB1721" s="37"/>
      <c r="CC1721" s="37"/>
      <c r="CD1721" s="37"/>
      <c r="CE1721" s="37"/>
      <c r="CF1721" s="37"/>
      <c r="CG1721" s="37"/>
      <c r="CH1721" s="37"/>
      <c r="CI1721" s="243">
        <f t="shared" si="487"/>
        <v>0.29402613565650276</v>
      </c>
      <c r="CJ1721" s="243">
        <f t="shared" si="488"/>
        <v>-0.53161406391806287</v>
      </c>
      <c r="CK1721" s="38" t="s">
        <v>404</v>
      </c>
      <c r="CL1721" s="247">
        <f t="shared" si="489"/>
        <v>2.0068645612217018</v>
      </c>
      <c r="CM1721" s="247">
        <v>-1.8293876813050207</v>
      </c>
      <c r="CN1721" s="247" t="s">
        <v>404</v>
      </c>
      <c r="CO1721" s="36" t="s">
        <v>1641</v>
      </c>
      <c r="CP1721" s="36" t="s">
        <v>1643</v>
      </c>
      <c r="CQ1721" s="241">
        <v>-1.5637751365318433</v>
      </c>
      <c r="CR1721" s="241">
        <f t="shared" si="486"/>
        <v>10.768645307530495</v>
      </c>
      <c r="CS1721" s="33"/>
      <c r="CT1721" s="33"/>
      <c r="CU1721" s="250">
        <f t="shared" si="490"/>
        <v>634.92063492063505</v>
      </c>
      <c r="CV1721" s="337"/>
      <c r="CW1721" s="330">
        <f t="shared" si="491"/>
        <v>1</v>
      </c>
      <c r="CX1721" s="330"/>
      <c r="CY1721" s="143" t="s">
        <v>6351</v>
      </c>
    </row>
    <row r="1722" spans="1:103" ht="11.25" customHeight="1" x14ac:dyDescent="0.2">
      <c r="A1722" s="72">
        <v>1720</v>
      </c>
      <c r="B1722" s="241">
        <v>691</v>
      </c>
      <c r="C1722" s="32" t="s">
        <v>1635</v>
      </c>
      <c r="D1722" s="32"/>
      <c r="E1722" s="40"/>
      <c r="F1722" s="40" t="s">
        <v>1636</v>
      </c>
      <c r="G1722" s="242">
        <v>106489</v>
      </c>
      <c r="H1722" s="36" t="s">
        <v>1637</v>
      </c>
      <c r="I1722" s="36" t="s">
        <v>8214</v>
      </c>
      <c r="J1722" s="36" t="s">
        <v>1638</v>
      </c>
      <c r="K1722" s="36" t="s">
        <v>349</v>
      </c>
      <c r="L1722" s="36" t="s">
        <v>5527</v>
      </c>
      <c r="M1722" s="36" t="s">
        <v>497</v>
      </c>
      <c r="N1722" s="36" t="s">
        <v>6381</v>
      </c>
      <c r="O1722" s="36" t="s">
        <v>498</v>
      </c>
      <c r="P1722" s="41" t="s">
        <v>6184</v>
      </c>
      <c r="Q1722" s="41" t="s">
        <v>6182</v>
      </c>
      <c r="R1722" s="41" t="s">
        <v>6185</v>
      </c>
      <c r="S1722" s="41" t="s">
        <v>6176</v>
      </c>
      <c r="T1722" s="37">
        <v>128.56</v>
      </c>
      <c r="U1722" s="243">
        <v>186.6832607342875</v>
      </c>
      <c r="V1722" s="243">
        <v>25.062227753578096</v>
      </c>
      <c r="W1722" s="243">
        <v>16.218100973589287</v>
      </c>
      <c r="X1722" s="243">
        <v>186.6832607342875</v>
      </c>
      <c r="Y1722" s="414">
        <v>5.63</v>
      </c>
      <c r="Z1722" s="37">
        <v>2.16</v>
      </c>
      <c r="AA1722" s="37">
        <v>2.39</v>
      </c>
      <c r="AB1722" s="37">
        <v>2.5099999999999998</v>
      </c>
      <c r="AC1722" s="37">
        <v>0.89249999999999996</v>
      </c>
      <c r="AD1722" s="37">
        <v>2.4900000000000002</v>
      </c>
      <c r="AE1722" s="37">
        <v>2.4300000000000002</v>
      </c>
      <c r="AF1722" s="37">
        <f t="shared" si="467"/>
        <v>2.39</v>
      </c>
      <c r="AG1722" s="38">
        <v>2.15</v>
      </c>
      <c r="AH1722" s="243">
        <v>4.15E-7</v>
      </c>
      <c r="AI1722" s="243">
        <v>6.2699999999999999E-7</v>
      </c>
      <c r="AJ1722" s="34">
        <f t="shared" si="481"/>
        <v>-4.770518229600559</v>
      </c>
      <c r="AK1722" s="34">
        <f t="shared" si="485"/>
        <v>-4.5912987854819356</v>
      </c>
      <c r="AL1722" s="34">
        <f t="shared" si="482"/>
        <v>-4.5912987854819356</v>
      </c>
      <c r="AM1722" s="34">
        <v>-7.63727</v>
      </c>
      <c r="AN1722" s="244">
        <v>-4.8600000000000003</v>
      </c>
      <c r="AO1722" s="417">
        <v>9.4700000000000006</v>
      </c>
      <c r="AP1722" s="417"/>
      <c r="AQ1722" s="244" t="s">
        <v>6311</v>
      </c>
      <c r="AR1722" s="244" t="s">
        <v>6311</v>
      </c>
      <c r="AS1722" s="241" t="s">
        <v>6</v>
      </c>
      <c r="AT1722" s="39" t="s">
        <v>266</v>
      </c>
      <c r="AU1722" s="37">
        <v>2</v>
      </c>
      <c r="AV1722" s="37">
        <v>48</v>
      </c>
      <c r="AW1722" s="37">
        <v>48</v>
      </c>
      <c r="AX1722" s="37">
        <v>26</v>
      </c>
      <c r="AY1722" s="37" t="s">
        <v>647</v>
      </c>
      <c r="AZ1722" s="37" t="s">
        <v>1920</v>
      </c>
      <c r="BA1722" s="37">
        <v>10</v>
      </c>
      <c r="BB1722" s="36" t="s">
        <v>1613</v>
      </c>
      <c r="BC1722" s="36" t="s">
        <v>538</v>
      </c>
      <c r="BD1722" s="36"/>
      <c r="BE1722" s="37" t="s">
        <v>271</v>
      </c>
      <c r="BF1722" s="37" t="s">
        <v>272</v>
      </c>
      <c r="BG1722" s="37" t="s">
        <v>272</v>
      </c>
      <c r="BH1722" s="37" t="s">
        <v>272</v>
      </c>
      <c r="BI1722" s="248">
        <v>3.8892345986309897E-2</v>
      </c>
      <c r="BJ1722" s="248">
        <v>0.38892345986309895</v>
      </c>
      <c r="BK1722" s="37"/>
      <c r="BL1722" s="243">
        <f t="shared" si="480"/>
        <v>0.59007063172200003</v>
      </c>
      <c r="BM1722" s="37" t="s">
        <v>541</v>
      </c>
      <c r="BN1722" s="37"/>
      <c r="BO1722" s="37">
        <v>0.24463285625388922</v>
      </c>
      <c r="BP1722" s="37"/>
      <c r="BQ1722" s="37"/>
      <c r="BR1722" s="37"/>
      <c r="BS1722" s="37"/>
      <c r="BT1722" s="37"/>
      <c r="BU1722" s="246"/>
      <c r="BV1722" s="37"/>
      <c r="BW1722" s="37"/>
      <c r="BX1722" s="37"/>
      <c r="BY1722" s="37"/>
      <c r="BZ1722" s="37"/>
      <c r="CA1722" s="37"/>
      <c r="CB1722" s="37"/>
      <c r="CC1722" s="37"/>
      <c r="CD1722" s="37"/>
      <c r="CE1722" s="37"/>
      <c r="CF1722" s="37"/>
      <c r="CG1722" s="37"/>
      <c r="CH1722" s="37"/>
      <c r="CI1722" s="243">
        <f t="shared" si="487"/>
        <v>0.24463285625388922</v>
      </c>
      <c r="CJ1722" s="243">
        <f t="shared" si="488"/>
        <v>-0.61148521397400046</v>
      </c>
      <c r="CK1722" s="38">
        <f t="shared" ref="CK1722:CK1738" si="492">BL1722/BJ1722</f>
        <v>1.5171896082836065</v>
      </c>
      <c r="CL1722" s="247">
        <f t="shared" si="489"/>
        <v>2.412066149894446</v>
      </c>
      <c r="CM1722" s="247">
        <v>-1.8293876813050207</v>
      </c>
      <c r="CN1722" s="247">
        <f>BJ1722/(10^CM1722)</f>
        <v>26.257406149665378</v>
      </c>
      <c r="CO1722" s="36"/>
      <c r="CP1722" s="36" t="s">
        <v>1992</v>
      </c>
      <c r="CQ1722" s="241">
        <v>-1.5637751365318433</v>
      </c>
      <c r="CR1722" s="241">
        <f t="shared" si="486"/>
        <v>8.9596268497839713</v>
      </c>
      <c r="CS1722" s="33"/>
      <c r="CT1722" s="33"/>
      <c r="CU1722" s="250">
        <f t="shared" si="490"/>
        <v>763.1160572337044</v>
      </c>
      <c r="CV1722" s="337">
        <f t="shared" ref="CV1722:CV1738" si="493">X1722/BJ1722</f>
        <v>480</v>
      </c>
      <c r="CW1722" s="330">
        <f t="shared" si="491"/>
        <v>1</v>
      </c>
      <c r="CX1722" s="330"/>
      <c r="CY1722" s="143" t="s">
        <v>6351</v>
      </c>
    </row>
    <row r="1723" spans="1:103" ht="11.25" customHeight="1" x14ac:dyDescent="0.2">
      <c r="A1723" s="72">
        <v>1721</v>
      </c>
      <c r="B1723" s="241">
        <v>507</v>
      </c>
      <c r="C1723" s="32" t="s">
        <v>1635</v>
      </c>
      <c r="D1723" s="32"/>
      <c r="E1723" s="40"/>
      <c r="F1723" s="40" t="s">
        <v>1636</v>
      </c>
      <c r="G1723" s="242">
        <v>106489</v>
      </c>
      <c r="H1723" s="36" t="s">
        <v>1637</v>
      </c>
      <c r="I1723" s="36" t="s">
        <v>8214</v>
      </c>
      <c r="J1723" s="36" t="s">
        <v>1638</v>
      </c>
      <c r="K1723" s="36" t="s">
        <v>349</v>
      </c>
      <c r="L1723" s="36" t="s">
        <v>5527</v>
      </c>
      <c r="M1723" s="36" t="s">
        <v>497</v>
      </c>
      <c r="N1723" s="36" t="s">
        <v>6381</v>
      </c>
      <c r="O1723" s="36" t="s">
        <v>498</v>
      </c>
      <c r="P1723" s="41" t="s">
        <v>6184</v>
      </c>
      <c r="Q1723" s="41" t="s">
        <v>6182</v>
      </c>
      <c r="R1723" s="41" t="s">
        <v>6185</v>
      </c>
      <c r="S1723" s="41" t="s">
        <v>6176</v>
      </c>
      <c r="T1723" s="37">
        <v>128.56</v>
      </c>
      <c r="U1723" s="243">
        <v>186.6832607342875</v>
      </c>
      <c r="V1723" s="243">
        <v>25.062227753578096</v>
      </c>
      <c r="W1723" s="243">
        <v>16.218100973589287</v>
      </c>
      <c r="X1723" s="243">
        <v>186.6832607342875</v>
      </c>
      <c r="Y1723" s="414">
        <v>5.63</v>
      </c>
      <c r="Z1723" s="37">
        <v>2.16</v>
      </c>
      <c r="AA1723" s="37">
        <v>2.39</v>
      </c>
      <c r="AB1723" s="37">
        <v>2.5099999999999998</v>
      </c>
      <c r="AC1723" s="37">
        <v>0.89249999999999996</v>
      </c>
      <c r="AD1723" s="37">
        <v>2.4900000000000002</v>
      </c>
      <c r="AE1723" s="37">
        <v>2.4300000000000002</v>
      </c>
      <c r="AF1723" s="37">
        <f t="shared" si="467"/>
        <v>2.39</v>
      </c>
      <c r="AG1723" s="38">
        <v>2.15</v>
      </c>
      <c r="AH1723" s="243">
        <v>4.15E-7</v>
      </c>
      <c r="AI1723" s="243">
        <v>6.2699999999999999E-7</v>
      </c>
      <c r="AJ1723" s="34">
        <f t="shared" si="481"/>
        <v>-4.770518229600559</v>
      </c>
      <c r="AK1723" s="34">
        <f t="shared" si="485"/>
        <v>-4.5912987854819356</v>
      </c>
      <c r="AL1723" s="34">
        <f t="shared" si="482"/>
        <v>-4.5912987854819356</v>
      </c>
      <c r="AM1723" s="34">
        <v>-7.63727</v>
      </c>
      <c r="AN1723" s="244">
        <v>-4.8600000000000003</v>
      </c>
      <c r="AO1723" s="417">
        <v>9.4700000000000006</v>
      </c>
      <c r="AP1723" s="417"/>
      <c r="AQ1723" s="244" t="s">
        <v>6311</v>
      </c>
      <c r="AR1723" s="244" t="s">
        <v>6311</v>
      </c>
      <c r="AS1723" s="241" t="s">
        <v>6</v>
      </c>
      <c r="AT1723" s="39" t="s">
        <v>266</v>
      </c>
      <c r="AU1723" s="37">
        <v>2</v>
      </c>
      <c r="AV1723" s="37">
        <v>48</v>
      </c>
      <c r="AW1723" s="37">
        <v>48</v>
      </c>
      <c r="AX1723" s="37">
        <v>26</v>
      </c>
      <c r="AY1723" s="37" t="s">
        <v>647</v>
      </c>
      <c r="AZ1723" s="37" t="s">
        <v>536</v>
      </c>
      <c r="BA1723" s="37">
        <v>20</v>
      </c>
      <c r="BB1723" s="36" t="s">
        <v>537</v>
      </c>
      <c r="BC1723" s="36" t="s">
        <v>538</v>
      </c>
      <c r="BD1723" s="36"/>
      <c r="BE1723" s="37" t="s">
        <v>271</v>
      </c>
      <c r="BF1723" s="37" t="s">
        <v>539</v>
      </c>
      <c r="BG1723" s="37" t="s">
        <v>272</v>
      </c>
      <c r="BH1723" s="37" t="s">
        <v>272</v>
      </c>
      <c r="BI1723" s="248">
        <v>1.8668326073428748E-2</v>
      </c>
      <c r="BJ1723" s="248">
        <v>0.46670815183571873</v>
      </c>
      <c r="BK1723" s="37"/>
      <c r="BL1723" s="243">
        <f t="shared" si="480"/>
        <v>0.59007063172200003</v>
      </c>
      <c r="BM1723" s="37" t="s">
        <v>541</v>
      </c>
      <c r="BN1723" s="37"/>
      <c r="BO1723" s="37">
        <v>0.35469819539514624</v>
      </c>
      <c r="BP1723" s="37"/>
      <c r="BQ1723" s="37"/>
      <c r="BR1723" s="37"/>
      <c r="BS1723" s="37"/>
      <c r="BT1723" s="37"/>
      <c r="BU1723" s="246"/>
      <c r="BV1723" s="37"/>
      <c r="BW1723" s="37"/>
      <c r="BX1723" s="37"/>
      <c r="BY1723" s="37"/>
      <c r="BZ1723" s="37"/>
      <c r="CA1723" s="37"/>
      <c r="CB1723" s="37"/>
      <c r="CC1723" s="37"/>
      <c r="CD1723" s="37"/>
      <c r="CE1723" s="37"/>
      <c r="CF1723" s="37"/>
      <c r="CG1723" s="37"/>
      <c r="CH1723" s="37"/>
      <c r="CI1723" s="243">
        <f t="shared" si="487"/>
        <v>0.35469819539514624</v>
      </c>
      <c r="CJ1723" s="243">
        <f t="shared" si="488"/>
        <v>-0.45014102109085313</v>
      </c>
      <c r="CK1723" s="38">
        <f t="shared" si="492"/>
        <v>1.264324673569672</v>
      </c>
      <c r="CL1723" s="247">
        <f t="shared" si="489"/>
        <v>1.6635850968022001</v>
      </c>
      <c r="CM1723" s="247">
        <v>-1.8293876813050207</v>
      </c>
      <c r="CN1723" s="247">
        <f>BJ1723/(10^CM1723)</f>
        <v>31.508887379598455</v>
      </c>
      <c r="CO1723" s="36"/>
      <c r="CP1723" s="36" t="s">
        <v>1558</v>
      </c>
      <c r="CQ1723" s="241">
        <v>-1.5637751365318433</v>
      </c>
      <c r="CR1723" s="241">
        <f t="shared" si="486"/>
        <v>12.990746720195519</v>
      </c>
      <c r="CS1723" s="33"/>
      <c r="CT1723" s="33"/>
      <c r="CU1723" s="250">
        <f t="shared" si="490"/>
        <v>526.31578947368428</v>
      </c>
      <c r="CV1723" s="337">
        <f t="shared" si="493"/>
        <v>400</v>
      </c>
      <c r="CW1723" s="330">
        <f t="shared" si="491"/>
        <v>1</v>
      </c>
      <c r="CX1723" s="330"/>
      <c r="CY1723" s="143" t="s">
        <v>6351</v>
      </c>
    </row>
    <row r="1724" spans="1:103" ht="11.25" customHeight="1" x14ac:dyDescent="0.2">
      <c r="A1724" s="72">
        <v>1722</v>
      </c>
      <c r="B1724" s="241">
        <v>590</v>
      </c>
      <c r="C1724" s="32" t="s">
        <v>7652</v>
      </c>
      <c r="D1724" s="32"/>
      <c r="E1724" s="40"/>
      <c r="F1724" s="40" t="s">
        <v>1768</v>
      </c>
      <c r="G1724" s="242">
        <v>106514</v>
      </c>
      <c r="H1724" s="36" t="s">
        <v>1769</v>
      </c>
      <c r="I1724" s="36" t="s">
        <v>8215</v>
      </c>
      <c r="J1724" s="36" t="s">
        <v>1770</v>
      </c>
      <c r="K1724" s="36" t="s">
        <v>1771</v>
      </c>
      <c r="L1724" s="41" t="s">
        <v>5527</v>
      </c>
      <c r="M1724" s="41" t="s">
        <v>5960</v>
      </c>
      <c r="N1724" s="36"/>
      <c r="O1724" s="41"/>
      <c r="P1724" s="41"/>
      <c r="Q1724" s="41"/>
      <c r="R1724" s="41"/>
      <c r="S1724" s="41"/>
      <c r="T1724" s="37">
        <v>108.09</v>
      </c>
      <c r="U1724" s="243">
        <v>102.69220094365807</v>
      </c>
      <c r="V1724" s="243">
        <v>689.055416782311</v>
      </c>
      <c r="W1724" s="243">
        <v>95.499258602143556</v>
      </c>
      <c r="X1724" s="243">
        <v>102.69220094365807</v>
      </c>
      <c r="Y1724" s="414">
        <v>7</v>
      </c>
      <c r="Z1724" s="37">
        <v>0.25</v>
      </c>
      <c r="AA1724" s="37">
        <v>0.2</v>
      </c>
      <c r="AB1724" s="37">
        <v>0.08</v>
      </c>
      <c r="AC1724" s="37">
        <v>0.83720000000000006</v>
      </c>
      <c r="AD1724" s="37">
        <v>0.13</v>
      </c>
      <c r="AE1724" s="37">
        <v>0.27</v>
      </c>
      <c r="AF1724" s="37">
        <f t="shared" si="467"/>
        <v>0.2</v>
      </c>
      <c r="AG1724" s="38">
        <v>0.38</v>
      </c>
      <c r="AH1724" s="243">
        <v>1.2199999999999999E-9</v>
      </c>
      <c r="AI1724" s="243">
        <v>4.7899999999999999E-4</v>
      </c>
      <c r="AJ1724" s="34">
        <f t="shared" si="481"/>
        <v>-7.3022064956379031</v>
      </c>
      <c r="AK1724" s="34">
        <f t="shared" si="485"/>
        <v>-1.7082308128980885</v>
      </c>
      <c r="AL1724" s="34">
        <f t="shared" si="482"/>
        <v>-1.7082308128980885</v>
      </c>
      <c r="AM1724" s="34">
        <v>-5.0524300000000002</v>
      </c>
      <c r="AN1724" s="244">
        <v>-6.93</v>
      </c>
      <c r="AO1724" s="417"/>
      <c r="AP1724" s="417"/>
      <c r="AQ1724" s="244" t="s">
        <v>6311</v>
      </c>
      <c r="AR1724" s="244" t="s">
        <v>6311</v>
      </c>
      <c r="AS1724" s="241" t="s">
        <v>6</v>
      </c>
      <c r="AT1724" s="39" t="s">
        <v>266</v>
      </c>
      <c r="AU1724" s="37">
        <v>2</v>
      </c>
      <c r="AV1724" s="37">
        <v>48</v>
      </c>
      <c r="AW1724" s="37">
        <v>48</v>
      </c>
      <c r="AX1724" s="37">
        <v>25</v>
      </c>
      <c r="AY1724" s="37" t="s">
        <v>8722</v>
      </c>
      <c r="AZ1724" s="37" t="s">
        <v>1563</v>
      </c>
      <c r="BA1724" s="37">
        <v>12</v>
      </c>
      <c r="BB1724" s="36" t="s">
        <v>888</v>
      </c>
      <c r="BC1724" s="36" t="s">
        <v>538</v>
      </c>
      <c r="BD1724" s="36"/>
      <c r="BE1724" s="37" t="s">
        <v>271</v>
      </c>
      <c r="BF1724" s="37" t="s">
        <v>272</v>
      </c>
      <c r="BG1724" s="37" t="s">
        <v>539</v>
      </c>
      <c r="BH1724" s="37" t="s">
        <v>272</v>
      </c>
      <c r="BI1724" s="243">
        <v>5.0000000000000001E-4</v>
      </c>
      <c r="BJ1724" s="243">
        <v>0.01</v>
      </c>
      <c r="BK1724" s="37"/>
      <c r="BL1724" s="243">
        <f t="shared" si="480"/>
        <v>30.639029163000096</v>
      </c>
      <c r="BM1724" s="37">
        <v>0</v>
      </c>
      <c r="BN1724" s="37"/>
      <c r="BO1724" s="37">
        <v>4.3663274745605919E-3</v>
      </c>
      <c r="BP1724" s="37"/>
      <c r="BQ1724" s="37"/>
      <c r="BR1724" s="37"/>
      <c r="BS1724" s="37"/>
      <c r="BT1724" s="37"/>
      <c r="BU1724" s="246"/>
      <c r="BV1724" s="37"/>
      <c r="BW1724" s="37"/>
      <c r="BX1724" s="37"/>
      <c r="BY1724" s="37"/>
      <c r="BZ1724" s="37"/>
      <c r="CA1724" s="37"/>
      <c r="CB1724" s="37"/>
      <c r="CC1724" s="37"/>
      <c r="CD1724" s="37"/>
      <c r="CE1724" s="37"/>
      <c r="CF1724" s="37"/>
      <c r="CG1724" s="37"/>
      <c r="CH1724" s="37"/>
      <c r="CI1724" s="243">
        <f t="shared" si="487"/>
        <v>4.3663274745605919E-3</v>
      </c>
      <c r="CJ1724" s="243">
        <f t="shared" si="488"/>
        <v>-2.3598836953192226</v>
      </c>
      <c r="CK1724" s="38">
        <f t="shared" si="492"/>
        <v>3063.9029163000096</v>
      </c>
      <c r="CL1724" s="247">
        <f t="shared" si="489"/>
        <v>7017.1166366955731</v>
      </c>
      <c r="CM1724" s="247">
        <v>-3.3796089749642704</v>
      </c>
      <c r="CN1724" s="247">
        <f>BJ1724/(10^CM1724)</f>
        <v>23.966740576496697</v>
      </c>
      <c r="CO1724" s="36"/>
      <c r="CP1724" s="36" t="s">
        <v>1564</v>
      </c>
      <c r="CQ1724" s="241">
        <v>-3.0141440112237277</v>
      </c>
      <c r="CR1724" s="241">
        <f t="shared" si="486"/>
        <v>4.5108700485915119</v>
      </c>
      <c r="CS1724" s="33"/>
      <c r="CT1724" s="33"/>
      <c r="CU1724" s="250">
        <f t="shared" si="490"/>
        <v>23519.124834765757</v>
      </c>
      <c r="CV1724" s="337">
        <f t="shared" si="493"/>
        <v>10269.220094365806</v>
      </c>
      <c r="CW1724" s="330">
        <f t="shared" si="491"/>
        <v>1</v>
      </c>
      <c r="CX1724" s="330"/>
      <c r="CY1724" s="143" t="s">
        <v>6351</v>
      </c>
    </row>
    <row r="1725" spans="1:103" ht="11.25" customHeight="1" x14ac:dyDescent="0.2">
      <c r="A1725" s="72">
        <v>1723</v>
      </c>
      <c r="B1725" s="241">
        <v>689</v>
      </c>
      <c r="C1725" s="32" t="s">
        <v>7653</v>
      </c>
      <c r="D1725" s="32"/>
      <c r="E1725" s="40"/>
      <c r="F1725" s="40" t="s">
        <v>1989</v>
      </c>
      <c r="G1725" s="242">
        <v>106934</v>
      </c>
      <c r="H1725" s="36" t="s">
        <v>1990</v>
      </c>
      <c r="I1725" s="36" t="s">
        <v>1990</v>
      </c>
      <c r="J1725" s="36" t="s">
        <v>1991</v>
      </c>
      <c r="K1725" s="36" t="s">
        <v>426</v>
      </c>
      <c r="L1725" s="36"/>
      <c r="M1725" s="36"/>
      <c r="N1725" s="36"/>
      <c r="O1725" s="36"/>
      <c r="P1725" s="41" t="s">
        <v>6183</v>
      </c>
      <c r="Q1725" s="41" t="s">
        <v>6176</v>
      </c>
      <c r="R1725" s="41" t="s">
        <v>6185</v>
      </c>
      <c r="S1725" s="41" t="s">
        <v>6176</v>
      </c>
      <c r="T1725" s="37">
        <v>187.86</v>
      </c>
      <c r="U1725" s="243">
        <v>20.813371659746618</v>
      </c>
      <c r="V1725" s="243">
        <v>5.6797615245395505</v>
      </c>
      <c r="W1725" s="243">
        <v>7.5857757502918295</v>
      </c>
      <c r="X1725" s="243">
        <v>20.813371659746618</v>
      </c>
      <c r="Y1725" s="414">
        <v>7</v>
      </c>
      <c r="Z1725" s="37">
        <v>2.0099999999999998</v>
      </c>
      <c r="AA1725" s="37">
        <v>1.96</v>
      </c>
      <c r="AB1725" s="37">
        <v>2.2000000000000002</v>
      </c>
      <c r="AC1725" s="37">
        <v>0.88219999999999998</v>
      </c>
      <c r="AD1725" s="37">
        <v>2.17</v>
      </c>
      <c r="AE1725" s="37">
        <v>2.08</v>
      </c>
      <c r="AF1725" s="37">
        <f t="shared" si="467"/>
        <v>1.96</v>
      </c>
      <c r="AG1725" s="38">
        <v>1.92</v>
      </c>
      <c r="AH1725" s="243">
        <v>1.2999999999999999E-3</v>
      </c>
      <c r="AI1725" s="243">
        <v>6.4999999999999997E-4</v>
      </c>
      <c r="AJ1725" s="34">
        <f t="shared" si="481"/>
        <v>-1.274622974005815</v>
      </c>
      <c r="AK1725" s="34">
        <f t="shared" si="485"/>
        <v>-1.5756529696697963</v>
      </c>
      <c r="AL1725" s="34">
        <f t="shared" si="482"/>
        <v>-1.5756529696697963</v>
      </c>
      <c r="AM1725" s="34">
        <v>-2.3047900000000001</v>
      </c>
      <c r="AN1725" s="244">
        <v>-1.82</v>
      </c>
      <c r="AO1725" s="417"/>
      <c r="AP1725" s="417"/>
      <c r="AQ1725" s="244" t="s">
        <v>6311</v>
      </c>
      <c r="AR1725" s="244" t="s">
        <v>6312</v>
      </c>
      <c r="AS1725" s="241" t="s">
        <v>6</v>
      </c>
      <c r="AT1725" s="39" t="s">
        <v>266</v>
      </c>
      <c r="AU1725" s="37">
        <v>2</v>
      </c>
      <c r="AV1725" s="37">
        <v>48</v>
      </c>
      <c r="AW1725" s="37">
        <v>48</v>
      </c>
      <c r="AX1725" s="37">
        <v>26</v>
      </c>
      <c r="AY1725" s="37" t="s">
        <v>647</v>
      </c>
      <c r="AZ1725" s="37" t="s">
        <v>1920</v>
      </c>
      <c r="BA1725" s="37">
        <v>10</v>
      </c>
      <c r="BB1725" s="36" t="s">
        <v>1613</v>
      </c>
      <c r="BC1725" s="36" t="s">
        <v>538</v>
      </c>
      <c r="BD1725" s="36"/>
      <c r="BE1725" s="37" t="s">
        <v>271</v>
      </c>
      <c r="BF1725" s="37" t="s">
        <v>272</v>
      </c>
      <c r="BG1725" s="37" t="s">
        <v>272</v>
      </c>
      <c r="BH1725" s="37" t="s">
        <v>272</v>
      </c>
      <c r="BI1725" s="248">
        <v>5.3231129564569359E-2</v>
      </c>
      <c r="BJ1725" s="248">
        <v>1.8630895347599274</v>
      </c>
      <c r="BK1725" s="37"/>
      <c r="BL1725" s="243">
        <f t="shared" si="480"/>
        <v>0.8046722046679875</v>
      </c>
      <c r="BM1725" s="37" t="s">
        <v>541</v>
      </c>
      <c r="BN1725" s="37"/>
      <c r="BO1725" s="37">
        <v>0.73139572021718302</v>
      </c>
      <c r="BP1725" s="37"/>
      <c r="BQ1725" s="37"/>
      <c r="BR1725" s="37"/>
      <c r="BS1725" s="37"/>
      <c r="BT1725" s="37"/>
      <c r="BU1725" s="246"/>
      <c r="BV1725" s="37"/>
      <c r="BW1725" s="37"/>
      <c r="BX1725" s="37"/>
      <c r="BY1725" s="37"/>
      <c r="BZ1725" s="37"/>
      <c r="CA1725" s="37"/>
      <c r="CB1725" s="37"/>
      <c r="CC1725" s="37"/>
      <c r="CD1725" s="37"/>
      <c r="CE1725" s="37"/>
      <c r="CF1725" s="37"/>
      <c r="CG1725" s="37"/>
      <c r="CH1725" s="37"/>
      <c r="CI1725" s="243">
        <f t="shared" si="487"/>
        <v>0.73139572021718302</v>
      </c>
      <c r="CJ1725" s="243">
        <f t="shared" si="488"/>
        <v>-0.13584758527702726</v>
      </c>
      <c r="CK1725" s="38">
        <f t="shared" si="492"/>
        <v>0.43190205819693755</v>
      </c>
      <c r="CL1725" s="247">
        <f t="shared" si="489"/>
        <v>1.1001871933692005</v>
      </c>
      <c r="CM1725" s="247"/>
      <c r="CN1725" s="247"/>
      <c r="CO1725" s="36"/>
      <c r="CP1725" s="36" t="s">
        <v>1992</v>
      </c>
      <c r="CQ1725" s="241">
        <v>-1.6403658624209725</v>
      </c>
      <c r="CR1725" s="241">
        <f t="shared" si="486"/>
        <v>31.953488372093034</v>
      </c>
      <c r="CS1725" s="33"/>
      <c r="CT1725" s="33"/>
      <c r="CU1725" s="250">
        <f t="shared" si="490"/>
        <v>28.457059679767102</v>
      </c>
      <c r="CV1725" s="337">
        <f t="shared" si="493"/>
        <v>11.171428571428571</v>
      </c>
      <c r="CW1725" s="330">
        <f t="shared" si="491"/>
        <v>1</v>
      </c>
      <c r="CX1725" s="330"/>
      <c r="CY1725" s="143" t="s">
        <v>6351</v>
      </c>
    </row>
    <row r="1726" spans="1:103" ht="11.25" customHeight="1" x14ac:dyDescent="0.2">
      <c r="A1726" s="72">
        <v>1724</v>
      </c>
      <c r="B1726" s="241">
        <v>2065</v>
      </c>
      <c r="C1726" s="32" t="s">
        <v>7654</v>
      </c>
      <c r="D1726" s="32"/>
      <c r="E1726" s="40"/>
      <c r="F1726" s="40" t="s">
        <v>1554</v>
      </c>
      <c r="G1726" s="242">
        <v>107028</v>
      </c>
      <c r="H1726" s="41" t="s">
        <v>1555</v>
      </c>
      <c r="I1726" s="41" t="s">
        <v>1555</v>
      </c>
      <c r="J1726" s="41" t="s">
        <v>1556</v>
      </c>
      <c r="K1726" s="41" t="s">
        <v>1557</v>
      </c>
      <c r="L1726" s="41"/>
      <c r="M1726" s="41" t="s">
        <v>6088</v>
      </c>
      <c r="N1726" s="36" t="s">
        <v>6088</v>
      </c>
      <c r="O1726" s="41" t="s">
        <v>6063</v>
      </c>
      <c r="P1726" s="41" t="s">
        <v>6172</v>
      </c>
      <c r="Q1726" s="41" t="s">
        <v>6173</v>
      </c>
      <c r="R1726" s="41" t="s">
        <v>6175</v>
      </c>
      <c r="S1726" s="41" t="s">
        <v>6176</v>
      </c>
      <c r="T1726" s="33">
        <v>56.06</v>
      </c>
      <c r="U1726" s="250">
        <v>3781.6625044595075</v>
      </c>
      <c r="V1726" s="250">
        <v>2491.972886193364</v>
      </c>
      <c r="W1726" s="250">
        <v>1258.9254117941673</v>
      </c>
      <c r="X1726" s="250">
        <v>3781.6625044595075</v>
      </c>
      <c r="Y1726" s="415">
        <v>7</v>
      </c>
      <c r="Z1726" s="33">
        <v>0.19</v>
      </c>
      <c r="AA1726" s="33">
        <v>-0.01</v>
      </c>
      <c r="AB1726" s="33">
        <v>0.44</v>
      </c>
      <c r="AC1726" s="33">
        <v>0.82410000000000005</v>
      </c>
      <c r="AD1726" s="33">
        <v>0.31</v>
      </c>
      <c r="AE1726" s="33">
        <v>-0.01</v>
      </c>
      <c r="AF1726" s="33">
        <f t="shared" si="467"/>
        <v>-0.01</v>
      </c>
      <c r="AG1726" s="34">
        <v>0.4</v>
      </c>
      <c r="AH1726" s="250">
        <v>3.5800000000000003E-5</v>
      </c>
      <c r="AI1726" s="250">
        <v>1.22E-4</v>
      </c>
      <c r="AJ1726" s="34">
        <f t="shared" si="481"/>
        <v>-2.8346832996687774</v>
      </c>
      <c r="AK1726" s="34">
        <f t="shared" si="485"/>
        <v>-2.3022064956379036</v>
      </c>
      <c r="AL1726" s="34">
        <f t="shared" si="482"/>
        <v>-2.3022064956379036</v>
      </c>
      <c r="AM1726" s="34">
        <v>-3.3780299999999999</v>
      </c>
      <c r="AN1726" s="251">
        <v>-2.6764000000000001</v>
      </c>
      <c r="AO1726" s="417"/>
      <c r="AP1726" s="417"/>
      <c r="AQ1726" s="251" t="s">
        <v>6311</v>
      </c>
      <c r="AR1726" s="251" t="s">
        <v>6311</v>
      </c>
      <c r="AS1726" s="252" t="s">
        <v>5466</v>
      </c>
      <c r="AT1726" s="35" t="s">
        <v>266</v>
      </c>
      <c r="AU1726" s="33">
        <v>2</v>
      </c>
      <c r="AV1726" s="33">
        <v>50</v>
      </c>
      <c r="AW1726" s="33">
        <v>48</v>
      </c>
      <c r="AX1726" s="33">
        <v>26</v>
      </c>
      <c r="AY1726" s="33" t="s">
        <v>267</v>
      </c>
      <c r="AZ1726" s="33" t="s">
        <v>3666</v>
      </c>
      <c r="BA1726" s="33" t="s">
        <v>5683</v>
      </c>
      <c r="BB1726" s="41" t="s">
        <v>5684</v>
      </c>
      <c r="BC1726" s="41" t="s">
        <v>538</v>
      </c>
      <c r="BD1726" s="41"/>
      <c r="BE1726" s="33" t="s">
        <v>2449</v>
      </c>
      <c r="BF1726" s="33"/>
      <c r="BG1726" s="33"/>
      <c r="BH1726" s="33"/>
      <c r="BI1726" s="250">
        <v>1.65E-3</v>
      </c>
      <c r="BJ1726" s="250">
        <v>2.64E-2</v>
      </c>
      <c r="BK1726" s="254"/>
      <c r="BL1726" s="250">
        <f t="shared" si="480"/>
        <v>34.686541524917601</v>
      </c>
      <c r="BM1726" s="33"/>
      <c r="BN1726" s="33"/>
      <c r="BO1726" s="33">
        <v>7.4919729999999999E-3</v>
      </c>
      <c r="BP1726" s="33"/>
      <c r="BQ1726" s="33"/>
      <c r="BR1726" s="33"/>
      <c r="BS1726" s="33"/>
      <c r="BT1726" s="33"/>
      <c r="BU1726" s="246"/>
      <c r="BV1726" s="33"/>
      <c r="BW1726" s="33"/>
      <c r="BX1726" s="33"/>
      <c r="BY1726" s="33"/>
      <c r="BZ1726" s="33"/>
      <c r="CA1726" s="33"/>
      <c r="CB1726" s="33"/>
      <c r="CC1726" s="33"/>
      <c r="CD1726" s="33"/>
      <c r="CE1726" s="33"/>
      <c r="CF1726" s="33"/>
      <c r="CG1726" s="33"/>
      <c r="CH1726" s="33"/>
      <c r="CI1726" s="250">
        <f t="shared" si="487"/>
        <v>7.4919729999999999E-3</v>
      </c>
      <c r="CJ1726" s="243">
        <f t="shared" si="488"/>
        <v>-2.1254037964292269</v>
      </c>
      <c r="CK1726" s="38">
        <f t="shared" si="492"/>
        <v>1313.8841486711212</v>
      </c>
      <c r="CL1726" s="247">
        <f t="shared" si="489"/>
        <v>4629.8273532109097</v>
      </c>
      <c r="CM1726" s="247"/>
      <c r="CN1726" s="247"/>
      <c r="CO1726" s="41" t="s">
        <v>5685</v>
      </c>
      <c r="CP1726" s="41" t="s">
        <v>5686</v>
      </c>
      <c r="CQ1726" s="241">
        <v>-3.161140797493494</v>
      </c>
      <c r="CR1726" s="241">
        <f t="shared" si="486"/>
        <v>10.857679079502145</v>
      </c>
      <c r="CS1726" s="33"/>
      <c r="CT1726" s="33"/>
      <c r="CU1726" s="250">
        <f t="shared" si="490"/>
        <v>504761.89709433116</v>
      </c>
      <c r="CV1726" s="337">
        <f t="shared" si="493"/>
        <v>143244.79183558741</v>
      </c>
      <c r="CW1726" s="330">
        <f t="shared" si="491"/>
        <v>1</v>
      </c>
      <c r="CX1726" s="330"/>
      <c r="CY1726" s="143" t="s">
        <v>6351</v>
      </c>
    </row>
    <row r="1727" spans="1:103" ht="11.25" customHeight="1" x14ac:dyDescent="0.2">
      <c r="A1727" s="72">
        <v>1725</v>
      </c>
      <c r="B1727" s="241">
        <v>482</v>
      </c>
      <c r="C1727" s="32" t="s">
        <v>7654</v>
      </c>
      <c r="D1727" s="32"/>
      <c r="E1727" s="40"/>
      <c r="F1727" s="40" t="s">
        <v>1554</v>
      </c>
      <c r="G1727" s="242">
        <v>107028</v>
      </c>
      <c r="H1727" s="36" t="s">
        <v>1555</v>
      </c>
      <c r="I1727" s="36" t="s">
        <v>1555</v>
      </c>
      <c r="J1727" s="36" t="s">
        <v>1556</v>
      </c>
      <c r="K1727" s="36" t="s">
        <v>1557</v>
      </c>
      <c r="L1727" s="36"/>
      <c r="M1727" s="36" t="s">
        <v>6088</v>
      </c>
      <c r="N1727" s="36" t="s">
        <v>6088</v>
      </c>
      <c r="O1727" s="36" t="s">
        <v>6063</v>
      </c>
      <c r="P1727" s="41" t="s">
        <v>6172</v>
      </c>
      <c r="Q1727" s="41" t="s">
        <v>6173</v>
      </c>
      <c r="R1727" s="41" t="s">
        <v>6175</v>
      </c>
      <c r="S1727" s="41" t="s">
        <v>6176</v>
      </c>
      <c r="T1727" s="37">
        <v>56.06</v>
      </c>
      <c r="U1727" s="243">
        <v>3781.6625044595075</v>
      </c>
      <c r="V1727" s="243">
        <v>2491.972886193364</v>
      </c>
      <c r="W1727" s="243">
        <v>1258.9254117941673</v>
      </c>
      <c r="X1727" s="243">
        <v>3781.6625044595075</v>
      </c>
      <c r="Y1727" s="414">
        <v>7</v>
      </c>
      <c r="Z1727" s="37">
        <v>0.19</v>
      </c>
      <c r="AA1727" s="37">
        <v>-0.01</v>
      </c>
      <c r="AB1727" s="37">
        <v>0.44</v>
      </c>
      <c r="AC1727" s="37">
        <v>0.82410000000000005</v>
      </c>
      <c r="AD1727" s="37">
        <v>0.31</v>
      </c>
      <c r="AE1727" s="37">
        <v>-0.01</v>
      </c>
      <c r="AF1727" s="37">
        <f t="shared" si="467"/>
        <v>-0.01</v>
      </c>
      <c r="AG1727" s="38">
        <v>0.4</v>
      </c>
      <c r="AH1727" s="243">
        <v>3.5800000000000003E-5</v>
      </c>
      <c r="AI1727" s="243">
        <v>1.22E-4</v>
      </c>
      <c r="AJ1727" s="34">
        <f t="shared" si="481"/>
        <v>-2.8346832996687774</v>
      </c>
      <c r="AK1727" s="34">
        <f t="shared" si="485"/>
        <v>-2.3022064956379036</v>
      </c>
      <c r="AL1727" s="34">
        <f t="shared" si="482"/>
        <v>-2.3022064956379036</v>
      </c>
      <c r="AM1727" s="34">
        <v>-3.3780299999999999</v>
      </c>
      <c r="AN1727" s="244">
        <v>-2.68</v>
      </c>
      <c r="AO1727" s="417"/>
      <c r="AP1727" s="417"/>
      <c r="AQ1727" s="244" t="s">
        <v>6311</v>
      </c>
      <c r="AR1727" s="244" t="s">
        <v>6311</v>
      </c>
      <c r="AS1727" s="241" t="s">
        <v>6</v>
      </c>
      <c r="AT1727" s="39" t="s">
        <v>266</v>
      </c>
      <c r="AU1727" s="37">
        <v>2</v>
      </c>
      <c r="AV1727" s="37">
        <v>48</v>
      </c>
      <c r="AW1727" s="37">
        <v>48</v>
      </c>
      <c r="AX1727" s="37">
        <v>26</v>
      </c>
      <c r="AY1727" s="37" t="s">
        <v>647</v>
      </c>
      <c r="AZ1727" s="37" t="s">
        <v>536</v>
      </c>
      <c r="BA1727" s="37">
        <v>20</v>
      </c>
      <c r="BB1727" s="36" t="s">
        <v>537</v>
      </c>
      <c r="BC1727" s="36" t="s">
        <v>538</v>
      </c>
      <c r="BD1727" s="36"/>
      <c r="BE1727" s="37" t="s">
        <v>271</v>
      </c>
      <c r="BF1727" s="37" t="s">
        <v>539</v>
      </c>
      <c r="BG1727" s="37" t="s">
        <v>272</v>
      </c>
      <c r="BH1727" s="37" t="s">
        <v>272</v>
      </c>
      <c r="BI1727" s="248">
        <v>5.3514092044238308E-3</v>
      </c>
      <c r="BJ1727" s="248">
        <v>2.4973242953977879E-2</v>
      </c>
      <c r="BK1727" s="37"/>
      <c r="BL1727" s="243">
        <f t="shared" si="480"/>
        <v>34.686541524917601</v>
      </c>
      <c r="BM1727" s="37" t="s">
        <v>541</v>
      </c>
      <c r="BN1727" s="37"/>
      <c r="BO1727" s="37">
        <v>6.600071352122725E-3</v>
      </c>
      <c r="BP1727" s="37"/>
      <c r="BQ1727" s="37"/>
      <c r="BR1727" s="37"/>
      <c r="BS1727" s="37"/>
      <c r="BT1727" s="37"/>
      <c r="BU1727" s="246"/>
      <c r="BV1727" s="37"/>
      <c r="BW1727" s="37"/>
      <c r="BX1727" s="37"/>
      <c r="BY1727" s="37"/>
      <c r="BZ1727" s="37"/>
      <c r="CA1727" s="37"/>
      <c r="CB1727" s="37"/>
      <c r="CC1727" s="37"/>
      <c r="CD1727" s="37"/>
      <c r="CE1727" s="37"/>
      <c r="CF1727" s="37"/>
      <c r="CG1727" s="37"/>
      <c r="CH1727" s="37"/>
      <c r="CI1727" s="243">
        <f t="shared" si="487"/>
        <v>6.600071352122725E-3</v>
      </c>
      <c r="CJ1727" s="243">
        <f t="shared" si="488"/>
        <v>-2.1804513693572725</v>
      </c>
      <c r="CK1727" s="38">
        <f t="shared" si="492"/>
        <v>1388.9482270620579</v>
      </c>
      <c r="CL1727" s="247">
        <f t="shared" si="489"/>
        <v>5255.4797780726512</v>
      </c>
      <c r="CM1727" s="247"/>
      <c r="CN1727" s="247"/>
      <c r="CO1727" s="36"/>
      <c r="CP1727" s="36" t="s">
        <v>1558</v>
      </c>
      <c r="CQ1727" s="241">
        <v>-3.161140797493494</v>
      </c>
      <c r="CR1727" s="241">
        <f t="shared" si="486"/>
        <v>9.5650980914058739</v>
      </c>
      <c r="CS1727" s="33"/>
      <c r="CT1727" s="33"/>
      <c r="CU1727" s="250">
        <f t="shared" si="490"/>
        <v>572972.97297297302</v>
      </c>
      <c r="CV1727" s="337">
        <f t="shared" si="493"/>
        <v>151428.57142857142</v>
      </c>
      <c r="CW1727" s="330">
        <f t="shared" si="491"/>
        <v>1</v>
      </c>
      <c r="CX1727" s="330"/>
      <c r="CY1727" s="143" t="s">
        <v>6351</v>
      </c>
    </row>
    <row r="1728" spans="1:103" ht="11.25" customHeight="1" x14ac:dyDescent="0.2">
      <c r="A1728" s="72">
        <v>1726</v>
      </c>
      <c r="B1728" s="241">
        <v>134</v>
      </c>
      <c r="C1728" s="32" t="s">
        <v>7655</v>
      </c>
      <c r="D1728" s="32"/>
      <c r="E1728" s="40"/>
      <c r="F1728" s="40" t="s">
        <v>769</v>
      </c>
      <c r="G1728" s="242">
        <v>107108</v>
      </c>
      <c r="H1728" s="36" t="s">
        <v>770</v>
      </c>
      <c r="I1728" s="36" t="s">
        <v>770</v>
      </c>
      <c r="J1728" s="36" t="s">
        <v>771</v>
      </c>
      <c r="K1728" s="36" t="s">
        <v>300</v>
      </c>
      <c r="L1728" s="36"/>
      <c r="M1728" s="36"/>
      <c r="N1728" s="36"/>
      <c r="O1728" s="36"/>
      <c r="P1728" s="41"/>
      <c r="Q1728" s="41"/>
      <c r="R1728" s="41"/>
      <c r="S1728" s="41"/>
      <c r="T1728" s="37">
        <v>59.11</v>
      </c>
      <c r="U1728" s="243">
        <v>16917.611233293857</v>
      </c>
      <c r="V1728" s="243">
        <v>9199.7969886652008</v>
      </c>
      <c r="W1728" s="243">
        <v>1862.0871366628676</v>
      </c>
      <c r="X1728" s="243">
        <v>16917.611233293857</v>
      </c>
      <c r="Y1728" s="414">
        <v>12.46</v>
      </c>
      <c r="Z1728" s="37">
        <v>0.34</v>
      </c>
      <c r="AA1728" s="37">
        <v>0.48</v>
      </c>
      <c r="AB1728" s="37">
        <v>0.42</v>
      </c>
      <c r="AC1728" s="37">
        <v>0.90149999999999997</v>
      </c>
      <c r="AD1728" s="37">
        <v>0.42</v>
      </c>
      <c r="AE1728" s="37">
        <v>0.4</v>
      </c>
      <c r="AF1728" s="37">
        <f t="shared" si="467"/>
        <v>0.48</v>
      </c>
      <c r="AG1728" s="38">
        <v>0.13</v>
      </c>
      <c r="AH1728" s="243">
        <v>1.34E-5</v>
      </c>
      <c r="AI1728" s="243">
        <v>1.4800000000000001E-5</v>
      </c>
      <c r="AJ1728" s="34">
        <f t="shared" si="481"/>
        <v>-3.2614615279478443</v>
      </c>
      <c r="AK1728" s="34">
        <f t="shared" si="485"/>
        <v>-3.2183046109176945</v>
      </c>
      <c r="AL1728" s="34">
        <f t="shared" si="482"/>
        <v>-3.2183046109176945</v>
      </c>
      <c r="AM1728" s="34">
        <v>-4.3348100000000001</v>
      </c>
      <c r="AN1728" s="244">
        <v>-3.31</v>
      </c>
      <c r="AO1728" s="417"/>
      <c r="AP1728" s="417">
        <v>10.66</v>
      </c>
      <c r="AQ1728" s="244" t="s">
        <v>6311</v>
      </c>
      <c r="AR1728" s="244" t="s">
        <v>6311</v>
      </c>
      <c r="AS1728" s="241" t="s">
        <v>72</v>
      </c>
      <c r="AT1728" s="39" t="s">
        <v>266</v>
      </c>
      <c r="AU1728" s="37">
        <v>0</v>
      </c>
      <c r="AV1728" s="37">
        <v>48</v>
      </c>
      <c r="AW1728" s="37">
        <v>48</v>
      </c>
      <c r="AX1728" s="37">
        <v>26</v>
      </c>
      <c r="AY1728" s="37" t="s">
        <v>8722</v>
      </c>
      <c r="AZ1728" s="37" t="s">
        <v>536</v>
      </c>
      <c r="BA1728" s="37">
        <v>20</v>
      </c>
      <c r="BB1728" s="36" t="s">
        <v>537</v>
      </c>
      <c r="BC1728" s="36" t="s">
        <v>648</v>
      </c>
      <c r="BD1728" s="36"/>
      <c r="BE1728" s="245" t="s">
        <v>649</v>
      </c>
      <c r="BF1728" s="37" t="s">
        <v>539</v>
      </c>
      <c r="BG1728" s="37" t="s">
        <v>272</v>
      </c>
      <c r="BH1728" s="37" t="s">
        <v>272</v>
      </c>
      <c r="BI1728" s="248">
        <v>0.65132803248181359</v>
      </c>
      <c r="BJ1728" s="248">
        <v>1.8609372356623246</v>
      </c>
      <c r="BK1728" s="37"/>
      <c r="BL1728" s="243">
        <f t="shared" si="480"/>
        <v>25.435835053237014</v>
      </c>
      <c r="BM1728" s="37" t="s">
        <v>541</v>
      </c>
      <c r="BN1728" s="37"/>
      <c r="BO1728" s="37">
        <v>1.339</v>
      </c>
      <c r="BP1728" s="37"/>
      <c r="BQ1728" s="37"/>
      <c r="BR1728" s="37"/>
      <c r="BS1728" s="37"/>
      <c r="BT1728" s="37"/>
      <c r="BU1728" s="246"/>
      <c r="BV1728" s="37"/>
      <c r="BW1728" s="37"/>
      <c r="BX1728" s="37"/>
      <c r="BY1728" s="37"/>
      <c r="BZ1728" s="37"/>
      <c r="CA1728" s="37"/>
      <c r="CB1728" s="37"/>
      <c r="CC1728" s="37"/>
      <c r="CD1728" s="37"/>
      <c r="CE1728" s="37"/>
      <c r="CF1728" s="37"/>
      <c r="CG1728" s="37"/>
      <c r="CH1728" s="37"/>
      <c r="CI1728" s="243">
        <f t="shared" si="487"/>
        <v>1.339</v>
      </c>
      <c r="CJ1728" s="243">
        <f t="shared" si="488"/>
        <v>0.12678057701200895</v>
      </c>
      <c r="CK1728" s="38">
        <f t="shared" si="492"/>
        <v>13.668292818153089</v>
      </c>
      <c r="CL1728" s="247">
        <f t="shared" si="489"/>
        <v>18.996142683522788</v>
      </c>
      <c r="CM1728" s="247"/>
      <c r="CN1728" s="247"/>
      <c r="CO1728" s="36"/>
      <c r="CP1728" s="36" t="s">
        <v>772</v>
      </c>
      <c r="CQ1728" s="241">
        <v>0.71829524581847104</v>
      </c>
      <c r="CR1728" s="241">
        <f t="shared" si="486"/>
        <v>0.25614467467530366</v>
      </c>
      <c r="CS1728" s="33"/>
      <c r="CT1728" s="33"/>
      <c r="CU1728" s="250">
        <f t="shared" si="490"/>
        <v>12634.511750032754</v>
      </c>
      <c r="CV1728" s="337">
        <f t="shared" si="493"/>
        <v>9090.9090909090901</v>
      </c>
      <c r="CW1728" s="330">
        <f t="shared" si="491"/>
        <v>1</v>
      </c>
      <c r="CX1728" s="330"/>
      <c r="CY1728" s="143" t="s">
        <v>6351</v>
      </c>
    </row>
    <row r="1729" spans="1:103" ht="11.25" customHeight="1" x14ac:dyDescent="0.2">
      <c r="A1729" s="72">
        <v>1727</v>
      </c>
      <c r="B1729" s="241">
        <v>112</v>
      </c>
      <c r="C1729" s="32" t="s">
        <v>7656</v>
      </c>
      <c r="D1729" s="32"/>
      <c r="E1729" s="40"/>
      <c r="F1729" s="40" t="s">
        <v>697</v>
      </c>
      <c r="G1729" s="242">
        <v>107153</v>
      </c>
      <c r="H1729" s="36" t="s">
        <v>698</v>
      </c>
      <c r="I1729" s="36" t="s">
        <v>698</v>
      </c>
      <c r="J1729" s="36" t="s">
        <v>699</v>
      </c>
      <c r="K1729" s="36" t="s">
        <v>300</v>
      </c>
      <c r="L1729" s="36"/>
      <c r="M1729" s="36"/>
      <c r="N1729" s="36"/>
      <c r="O1729" s="36"/>
      <c r="P1729" s="41"/>
      <c r="Q1729" s="41"/>
      <c r="R1729" s="41"/>
      <c r="S1729" s="41"/>
      <c r="T1729" s="37">
        <v>60.1</v>
      </c>
      <c r="U1729" s="243">
        <v>16638.935108153077</v>
      </c>
      <c r="V1729" s="243">
        <v>16638.935108153077</v>
      </c>
      <c r="W1729" s="243">
        <v>16595.869074375612</v>
      </c>
      <c r="X1729" s="243">
        <v>16638.935108153077</v>
      </c>
      <c r="Y1729" s="414">
        <v>12.56</v>
      </c>
      <c r="Z1729" s="37">
        <v>-1.62</v>
      </c>
      <c r="AA1729" s="37">
        <v>-2.04</v>
      </c>
      <c r="AB1729" s="37">
        <v>-1.55</v>
      </c>
      <c r="AC1729" s="37">
        <v>0.84570000000000001</v>
      </c>
      <c r="AD1729" s="37">
        <v>-1.67</v>
      </c>
      <c r="AE1729" s="37">
        <v>-2.04</v>
      </c>
      <c r="AF1729" s="37">
        <f t="shared" si="467"/>
        <v>-2.04</v>
      </c>
      <c r="AG1729" s="38">
        <v>-1.53</v>
      </c>
      <c r="AH1729" s="243">
        <v>1.03E-9</v>
      </c>
      <c r="AI1729" s="243">
        <v>1.73E-9</v>
      </c>
      <c r="AJ1729" s="34">
        <f t="shared" si="481"/>
        <v>-7.3757291016074795</v>
      </c>
      <c r="AK1729" s="34">
        <f t="shared" si="485"/>
        <v>-7.1505202231838565</v>
      </c>
      <c r="AL1729" s="34">
        <f t="shared" si="482"/>
        <v>-7.1505202231838565</v>
      </c>
      <c r="AM1729" s="34">
        <v>-8.9075900000000008</v>
      </c>
      <c r="AN1729" s="244">
        <v>-8.16</v>
      </c>
      <c r="AO1729" s="417"/>
      <c r="AP1729" s="417">
        <v>9.89</v>
      </c>
      <c r="AQ1729" s="244" t="s">
        <v>6311</v>
      </c>
      <c r="AR1729" s="244" t="s">
        <v>6311</v>
      </c>
      <c r="AS1729" s="241" t="s">
        <v>6</v>
      </c>
      <c r="AT1729" s="39" t="s">
        <v>266</v>
      </c>
      <c r="AU1729" s="37">
        <v>0</v>
      </c>
      <c r="AV1729" s="37" t="s">
        <v>646</v>
      </c>
      <c r="AW1729" s="37" t="s">
        <v>646</v>
      </c>
      <c r="AX1729" s="37">
        <v>26</v>
      </c>
      <c r="AY1729" s="37" t="s">
        <v>647</v>
      </c>
      <c r="AZ1729" s="37" t="s">
        <v>536</v>
      </c>
      <c r="BA1729" s="37">
        <v>20</v>
      </c>
      <c r="BB1729" s="36" t="s">
        <v>537</v>
      </c>
      <c r="BC1729" s="36" t="s">
        <v>648</v>
      </c>
      <c r="BD1729" s="36"/>
      <c r="BE1729" s="245" t="s">
        <v>649</v>
      </c>
      <c r="BF1729" s="245" t="s">
        <v>650</v>
      </c>
      <c r="BG1729" s="245" t="s">
        <v>540</v>
      </c>
      <c r="BH1729" s="245" t="s">
        <v>272</v>
      </c>
      <c r="BI1729" s="243">
        <v>4.4000000000000004</v>
      </c>
      <c r="BJ1729" s="243">
        <v>12.5</v>
      </c>
      <c r="BK1729" s="37"/>
      <c r="BL1729" s="243">
        <f t="shared" si="480"/>
        <v>1464.6100166333183</v>
      </c>
      <c r="BM1729" s="37" t="s">
        <v>541</v>
      </c>
      <c r="BN1729" s="37"/>
      <c r="BO1729" s="37">
        <v>6.6</v>
      </c>
      <c r="BP1729" s="37"/>
      <c r="BQ1729" s="37"/>
      <c r="BR1729" s="37"/>
      <c r="BS1729" s="37"/>
      <c r="BT1729" s="37"/>
      <c r="BU1729" s="246"/>
      <c r="BV1729" s="37"/>
      <c r="BW1729" s="37"/>
      <c r="BX1729" s="37"/>
      <c r="BY1729" s="37"/>
      <c r="BZ1729" s="37"/>
      <c r="CA1729" s="37"/>
      <c r="CB1729" s="37"/>
      <c r="CC1729" s="37"/>
      <c r="CD1729" s="37"/>
      <c r="CE1729" s="37"/>
      <c r="CF1729" s="37"/>
      <c r="CG1729" s="37"/>
      <c r="CH1729" s="37"/>
      <c r="CI1729" s="243">
        <f t="shared" si="487"/>
        <v>6.6</v>
      </c>
      <c r="CJ1729" s="243">
        <f t="shared" si="488"/>
        <v>0.81954393554186866</v>
      </c>
      <c r="CK1729" s="38">
        <f t="shared" si="492"/>
        <v>117.16880133066546</v>
      </c>
      <c r="CL1729" s="247">
        <f t="shared" si="489"/>
        <v>221.91060858080581</v>
      </c>
      <c r="CM1729" s="247"/>
      <c r="CN1729" s="247"/>
      <c r="CO1729" s="36"/>
      <c r="CP1729" s="36" t="s">
        <v>651</v>
      </c>
      <c r="CQ1729" s="241">
        <v>0.42329315864863021</v>
      </c>
      <c r="CR1729" s="241">
        <f t="shared" si="486"/>
        <v>2.4902948869579409</v>
      </c>
      <c r="CS1729" s="33"/>
      <c r="CT1729" s="33"/>
      <c r="CU1729" s="250">
        <f t="shared" si="490"/>
        <v>2521.0507739625873</v>
      </c>
      <c r="CV1729" s="337">
        <f t="shared" si="493"/>
        <v>1331.1148086522462</v>
      </c>
      <c r="CW1729" s="330">
        <f t="shared" si="491"/>
        <v>1</v>
      </c>
      <c r="CX1729" s="330"/>
      <c r="CY1729" s="143" t="s">
        <v>6351</v>
      </c>
    </row>
    <row r="1730" spans="1:103" ht="11.25" customHeight="1" x14ac:dyDescent="0.2">
      <c r="A1730" s="72">
        <v>1728</v>
      </c>
      <c r="B1730" s="241">
        <v>2066</v>
      </c>
      <c r="C1730" s="32" t="s">
        <v>1839</v>
      </c>
      <c r="D1730" s="32"/>
      <c r="E1730" s="40"/>
      <c r="F1730" s="40" t="s">
        <v>1840</v>
      </c>
      <c r="G1730" s="242">
        <v>107186</v>
      </c>
      <c r="H1730" s="41" t="s">
        <v>1841</v>
      </c>
      <c r="I1730" s="41" t="s">
        <v>1841</v>
      </c>
      <c r="J1730" s="41" t="s">
        <v>1842</v>
      </c>
      <c r="K1730" s="41" t="s">
        <v>659</v>
      </c>
      <c r="L1730" s="41" t="s">
        <v>5527</v>
      </c>
      <c r="M1730" s="41" t="s">
        <v>6624</v>
      </c>
      <c r="N1730" s="36" t="s">
        <v>6088</v>
      </c>
      <c r="O1730" s="41"/>
      <c r="P1730" s="41" t="s">
        <v>6172</v>
      </c>
      <c r="Q1730" s="41" t="s">
        <v>6176</v>
      </c>
      <c r="R1730" s="41" t="s">
        <v>6175</v>
      </c>
      <c r="S1730" s="41" t="s">
        <v>6176</v>
      </c>
      <c r="T1730" s="33">
        <v>58.08</v>
      </c>
      <c r="U1730" s="250">
        <v>17217.630853994491</v>
      </c>
      <c r="V1730" s="250">
        <v>5470.0413223140495</v>
      </c>
      <c r="W1730" s="250">
        <v>2041.7379446695297</v>
      </c>
      <c r="X1730" s="250">
        <v>17217.630853994491</v>
      </c>
      <c r="Y1730" s="415">
        <v>6.88</v>
      </c>
      <c r="Z1730" s="33">
        <v>0.21</v>
      </c>
      <c r="AA1730" s="33">
        <v>0.17</v>
      </c>
      <c r="AB1730" s="33">
        <v>0.08</v>
      </c>
      <c r="AC1730" s="33">
        <v>0.84809999999999997</v>
      </c>
      <c r="AD1730" s="33">
        <v>0.1</v>
      </c>
      <c r="AE1730" s="33">
        <v>0.17</v>
      </c>
      <c r="AF1730" s="33">
        <f t="shared" si="467"/>
        <v>0.17</v>
      </c>
      <c r="AG1730" s="34">
        <v>0.41</v>
      </c>
      <c r="AH1730" s="250">
        <v>5.5999999999999997E-6</v>
      </c>
      <c r="AI1730" s="250">
        <v>4.9899999999999997E-6</v>
      </c>
      <c r="AJ1730" s="34">
        <f t="shared" si="481"/>
        <v>-3.6403782993064513</v>
      </c>
      <c r="AK1730" s="34">
        <f t="shared" si="485"/>
        <v>-3.6904657806892618</v>
      </c>
      <c r="AL1730" s="34">
        <f t="shared" si="482"/>
        <v>-3.6904657806892618</v>
      </c>
      <c r="AM1730" s="34">
        <v>-3.7748599999999999</v>
      </c>
      <c r="AN1730" s="251">
        <v>-3.8182</v>
      </c>
      <c r="AO1730" s="417">
        <v>14.43</v>
      </c>
      <c r="AP1730" s="417"/>
      <c r="AQ1730" s="33" t="s">
        <v>6311</v>
      </c>
      <c r="AR1730" s="33" t="s">
        <v>6311</v>
      </c>
      <c r="AS1730" s="252" t="s">
        <v>5466</v>
      </c>
      <c r="AT1730" s="35" t="s">
        <v>266</v>
      </c>
      <c r="AU1730" s="33">
        <v>72</v>
      </c>
      <c r="AV1730" s="33">
        <v>120</v>
      </c>
      <c r="AW1730" s="33">
        <v>48</v>
      </c>
      <c r="AX1730" s="33">
        <v>26</v>
      </c>
      <c r="AY1730" s="33" t="s">
        <v>267</v>
      </c>
      <c r="AZ1730" s="33" t="s">
        <v>3666</v>
      </c>
      <c r="BA1730" s="33" t="s">
        <v>5683</v>
      </c>
      <c r="BB1730" s="41" t="s">
        <v>5684</v>
      </c>
      <c r="BC1730" s="41" t="s">
        <v>538</v>
      </c>
      <c r="BD1730" s="41"/>
      <c r="BE1730" s="33" t="s">
        <v>2449</v>
      </c>
      <c r="BF1730" s="33"/>
      <c r="BG1730" s="33"/>
      <c r="BH1730" s="33"/>
      <c r="BI1730" s="250">
        <v>0.40300000000000002</v>
      </c>
      <c r="BJ1730" s="250">
        <v>12.9</v>
      </c>
      <c r="BK1730" s="254"/>
      <c r="BL1730" s="250">
        <f t="shared" si="480"/>
        <v>33.281201763077981</v>
      </c>
      <c r="BM1730" s="33"/>
      <c r="BN1730" s="33"/>
      <c r="BO1730" s="33"/>
      <c r="BP1730" s="33"/>
      <c r="BQ1730" s="33"/>
      <c r="BR1730" s="33"/>
      <c r="BS1730" s="33"/>
      <c r="BT1730" s="33"/>
      <c r="BU1730" s="246"/>
      <c r="BV1730" s="33"/>
      <c r="BW1730" s="33"/>
      <c r="BX1730" s="33"/>
      <c r="BY1730" s="33"/>
      <c r="BZ1730" s="33"/>
      <c r="CA1730" s="33"/>
      <c r="CB1730" s="33"/>
      <c r="CC1730" s="33"/>
      <c r="CD1730" s="33"/>
      <c r="CE1730" s="33">
        <v>2.737603306</v>
      </c>
      <c r="CF1730" s="33"/>
      <c r="CG1730" s="33"/>
      <c r="CH1730" s="33"/>
      <c r="CI1730" s="250">
        <f t="shared" si="487"/>
        <v>2.737603306</v>
      </c>
      <c r="CJ1730" s="243">
        <f t="shared" si="488"/>
        <v>0.43737051666250221</v>
      </c>
      <c r="CK1730" s="38">
        <f t="shared" si="492"/>
        <v>2.5799381211688357</v>
      </c>
      <c r="CL1730" s="247">
        <f t="shared" si="489"/>
        <v>12.157057850615402</v>
      </c>
      <c r="CM1730" s="247"/>
      <c r="CN1730" s="247"/>
      <c r="CO1730" s="41"/>
      <c r="CP1730" s="41" t="s">
        <v>5686</v>
      </c>
      <c r="CQ1730" s="241">
        <v>-1.9290505573367021</v>
      </c>
      <c r="CR1730" s="241">
        <f t="shared" si="486"/>
        <v>232.49899181478804</v>
      </c>
      <c r="CS1730" s="33"/>
      <c r="CT1730" s="33"/>
      <c r="CU1730" s="250">
        <f t="shared" si="490"/>
        <v>6289.3081756069778</v>
      </c>
      <c r="CV1730" s="337">
        <f t="shared" si="493"/>
        <v>1334.7000662011233</v>
      </c>
      <c r="CW1730" s="330">
        <f t="shared" si="491"/>
        <v>1</v>
      </c>
      <c r="CX1730" s="330"/>
      <c r="CY1730" s="143" t="s">
        <v>6351</v>
      </c>
    </row>
    <row r="1731" spans="1:103" ht="11.25" customHeight="1" x14ac:dyDescent="0.2">
      <c r="A1731" s="72">
        <v>1729</v>
      </c>
      <c r="B1731" s="241">
        <v>2066</v>
      </c>
      <c r="C1731" s="32" t="s">
        <v>1839</v>
      </c>
      <c r="D1731" s="32"/>
      <c r="E1731" s="40"/>
      <c r="F1731" s="40" t="s">
        <v>1840</v>
      </c>
      <c r="G1731" s="242">
        <v>107186</v>
      </c>
      <c r="H1731" s="41" t="s">
        <v>1841</v>
      </c>
      <c r="I1731" s="41" t="s">
        <v>1841</v>
      </c>
      <c r="J1731" s="41" t="s">
        <v>1842</v>
      </c>
      <c r="K1731" s="41" t="s">
        <v>659</v>
      </c>
      <c r="L1731" s="41" t="s">
        <v>5527</v>
      </c>
      <c r="M1731" s="41" t="s">
        <v>6624</v>
      </c>
      <c r="N1731" s="36" t="s">
        <v>6088</v>
      </c>
      <c r="O1731" s="41"/>
      <c r="P1731" s="41" t="s">
        <v>6172</v>
      </c>
      <c r="Q1731" s="41" t="s">
        <v>6176</v>
      </c>
      <c r="R1731" s="41" t="s">
        <v>6175</v>
      </c>
      <c r="S1731" s="41" t="s">
        <v>6176</v>
      </c>
      <c r="T1731" s="33">
        <v>58.08</v>
      </c>
      <c r="U1731" s="250">
        <v>17217.630853994491</v>
      </c>
      <c r="V1731" s="250">
        <v>5470.0413223140495</v>
      </c>
      <c r="W1731" s="250">
        <v>2041.7379446695297</v>
      </c>
      <c r="X1731" s="250">
        <v>17217.630853994491</v>
      </c>
      <c r="Y1731" s="415">
        <v>6.88</v>
      </c>
      <c r="Z1731" s="33">
        <v>0.21</v>
      </c>
      <c r="AA1731" s="33">
        <v>0.17</v>
      </c>
      <c r="AB1731" s="33">
        <v>0.08</v>
      </c>
      <c r="AC1731" s="33">
        <v>0.84809999999999997</v>
      </c>
      <c r="AD1731" s="33">
        <v>0.1</v>
      </c>
      <c r="AE1731" s="33">
        <v>0.17</v>
      </c>
      <c r="AF1731" s="33">
        <f t="shared" si="467"/>
        <v>0.17</v>
      </c>
      <c r="AG1731" s="34">
        <v>0.41</v>
      </c>
      <c r="AH1731" s="250">
        <v>5.5999999999999997E-6</v>
      </c>
      <c r="AI1731" s="250">
        <v>4.9899999999999997E-6</v>
      </c>
      <c r="AJ1731" s="34">
        <f t="shared" si="481"/>
        <v>-3.6403782993064513</v>
      </c>
      <c r="AK1731" s="34">
        <f t="shared" si="485"/>
        <v>-3.6904657806892618</v>
      </c>
      <c r="AL1731" s="34">
        <f t="shared" si="482"/>
        <v>-3.6904657806892618</v>
      </c>
      <c r="AM1731" s="34">
        <v>-3.7748599999999999</v>
      </c>
      <c r="AN1731" s="251">
        <v>-3.8182</v>
      </c>
      <c r="AO1731" s="417">
        <v>14.43</v>
      </c>
      <c r="AP1731" s="417"/>
      <c r="AQ1731" s="33" t="s">
        <v>6311</v>
      </c>
      <c r="AR1731" s="33" t="s">
        <v>6311</v>
      </c>
      <c r="AS1731" s="252" t="s">
        <v>5466</v>
      </c>
      <c r="AT1731" s="35" t="s">
        <v>266</v>
      </c>
      <c r="AU1731" s="33">
        <v>24</v>
      </c>
      <c r="AV1731" s="33">
        <v>72</v>
      </c>
      <c r="AW1731" s="33">
        <v>48</v>
      </c>
      <c r="AX1731" s="33">
        <v>26</v>
      </c>
      <c r="AY1731" s="33" t="s">
        <v>267</v>
      </c>
      <c r="AZ1731" s="33" t="s">
        <v>3666</v>
      </c>
      <c r="BA1731" s="33" t="s">
        <v>5683</v>
      </c>
      <c r="BB1731" s="41" t="s">
        <v>5684</v>
      </c>
      <c r="BC1731" s="41" t="s">
        <v>538</v>
      </c>
      <c r="BD1731" s="41"/>
      <c r="BE1731" s="33" t="s">
        <v>2449</v>
      </c>
      <c r="BF1731" s="33"/>
      <c r="BG1731" s="33"/>
      <c r="BH1731" s="33"/>
      <c r="BI1731" s="250">
        <v>0.40300000000000002</v>
      </c>
      <c r="BJ1731" s="250">
        <v>12.9</v>
      </c>
      <c r="BK1731" s="254"/>
      <c r="BL1731" s="250">
        <f t="shared" si="480"/>
        <v>33.281201763077981</v>
      </c>
      <c r="BM1731" s="33"/>
      <c r="BN1731" s="33"/>
      <c r="BO1731" s="33"/>
      <c r="BP1731" s="33"/>
      <c r="BQ1731" s="33"/>
      <c r="BR1731" s="33"/>
      <c r="BS1731" s="33"/>
      <c r="BT1731" s="33"/>
      <c r="BU1731" s="246"/>
      <c r="BV1731" s="33"/>
      <c r="BW1731" s="33"/>
      <c r="BX1731" s="33"/>
      <c r="BY1731" s="33"/>
      <c r="BZ1731" s="33">
        <v>7.7651515150000003</v>
      </c>
      <c r="CA1731" s="33"/>
      <c r="CB1731" s="33"/>
      <c r="CC1731" s="33"/>
      <c r="CD1731" s="33"/>
      <c r="CE1731" s="33"/>
      <c r="CF1731" s="33"/>
      <c r="CG1731" s="33"/>
      <c r="CH1731" s="33"/>
      <c r="CI1731" s="250">
        <f t="shared" si="487"/>
        <v>7.7651515150000003</v>
      </c>
      <c r="CJ1731" s="243">
        <f t="shared" si="488"/>
        <v>0.89014993417744925</v>
      </c>
      <c r="CK1731" s="38">
        <f t="shared" si="492"/>
        <v>2.5799381211688357</v>
      </c>
      <c r="CL1731" s="247">
        <f t="shared" si="489"/>
        <v>4.2859693978653786</v>
      </c>
      <c r="CM1731" s="247"/>
      <c r="CN1731" s="247"/>
      <c r="CO1731" s="41"/>
      <c r="CP1731" s="41" t="s">
        <v>5686</v>
      </c>
      <c r="CQ1731" s="241">
        <v>-1.9290505573367021</v>
      </c>
      <c r="CR1731" s="241">
        <f t="shared" si="486"/>
        <v>659.47827231568044</v>
      </c>
      <c r="CS1731" s="33"/>
      <c r="CT1731" s="33"/>
      <c r="CU1731" s="250">
        <f t="shared" si="490"/>
        <v>2217.2949002649939</v>
      </c>
      <c r="CV1731" s="337">
        <f t="shared" si="493"/>
        <v>1334.7000662011233</v>
      </c>
      <c r="CW1731" s="330">
        <f t="shared" si="491"/>
        <v>1</v>
      </c>
      <c r="CX1731" s="330"/>
      <c r="CY1731" s="143" t="s">
        <v>6351</v>
      </c>
    </row>
    <row r="1732" spans="1:103" ht="11.25" customHeight="1" x14ac:dyDescent="0.2">
      <c r="A1732" s="72">
        <v>1730</v>
      </c>
      <c r="B1732" s="241">
        <v>2066</v>
      </c>
      <c r="C1732" s="32" t="s">
        <v>1839</v>
      </c>
      <c r="D1732" s="32"/>
      <c r="E1732" s="40"/>
      <c r="F1732" s="40" t="s">
        <v>1840</v>
      </c>
      <c r="G1732" s="242">
        <v>107186</v>
      </c>
      <c r="H1732" s="41" t="s">
        <v>1841</v>
      </c>
      <c r="I1732" s="41" t="s">
        <v>1841</v>
      </c>
      <c r="J1732" s="41" t="s">
        <v>1842</v>
      </c>
      <c r="K1732" s="41" t="s">
        <v>659</v>
      </c>
      <c r="L1732" s="41" t="s">
        <v>5527</v>
      </c>
      <c r="M1732" s="41" t="s">
        <v>6624</v>
      </c>
      <c r="N1732" s="36" t="s">
        <v>6088</v>
      </c>
      <c r="O1732" s="41"/>
      <c r="P1732" s="41" t="s">
        <v>6172</v>
      </c>
      <c r="Q1732" s="41" t="s">
        <v>6176</v>
      </c>
      <c r="R1732" s="41" t="s">
        <v>6175</v>
      </c>
      <c r="S1732" s="41" t="s">
        <v>6176</v>
      </c>
      <c r="T1732" s="33">
        <v>58.08</v>
      </c>
      <c r="U1732" s="250">
        <v>17217.630853994491</v>
      </c>
      <c r="V1732" s="250">
        <v>5470.0413223140495</v>
      </c>
      <c r="W1732" s="250">
        <v>2041.7379446695297</v>
      </c>
      <c r="X1732" s="250">
        <v>17217.630853994491</v>
      </c>
      <c r="Y1732" s="415">
        <v>6.88</v>
      </c>
      <c r="Z1732" s="33">
        <v>0.21</v>
      </c>
      <c r="AA1732" s="33">
        <v>0.17</v>
      </c>
      <c r="AB1732" s="33">
        <v>0.08</v>
      </c>
      <c r="AC1732" s="33">
        <v>0.84809999999999997</v>
      </c>
      <c r="AD1732" s="33">
        <v>0.1</v>
      </c>
      <c r="AE1732" s="33">
        <v>0.17</v>
      </c>
      <c r="AF1732" s="33">
        <f t="shared" si="467"/>
        <v>0.17</v>
      </c>
      <c r="AG1732" s="34">
        <v>0.41</v>
      </c>
      <c r="AH1732" s="250">
        <v>5.5999999999999997E-6</v>
      </c>
      <c r="AI1732" s="250">
        <v>4.9899999999999997E-6</v>
      </c>
      <c r="AJ1732" s="34">
        <f t="shared" si="481"/>
        <v>-3.6403782993064513</v>
      </c>
      <c r="AK1732" s="34">
        <f t="shared" si="485"/>
        <v>-3.6904657806892618</v>
      </c>
      <c r="AL1732" s="34">
        <f t="shared" si="482"/>
        <v>-3.6904657806892618</v>
      </c>
      <c r="AM1732" s="34">
        <v>-3.7748599999999999</v>
      </c>
      <c r="AN1732" s="251">
        <v>-3.8182</v>
      </c>
      <c r="AO1732" s="417">
        <v>14.43</v>
      </c>
      <c r="AP1732" s="417"/>
      <c r="AQ1732" s="33" t="s">
        <v>6311</v>
      </c>
      <c r="AR1732" s="33" t="s">
        <v>6311</v>
      </c>
      <c r="AS1732" s="252" t="s">
        <v>5466</v>
      </c>
      <c r="AT1732" s="35" t="s">
        <v>266</v>
      </c>
      <c r="AU1732" s="33">
        <v>2</v>
      </c>
      <c r="AV1732" s="33">
        <v>50</v>
      </c>
      <c r="AW1732" s="33">
        <v>48</v>
      </c>
      <c r="AX1732" s="33">
        <v>26</v>
      </c>
      <c r="AY1732" s="33" t="s">
        <v>267</v>
      </c>
      <c r="AZ1732" s="33" t="s">
        <v>3666</v>
      </c>
      <c r="BA1732" s="33" t="s">
        <v>5683</v>
      </c>
      <c r="BB1732" s="41" t="s">
        <v>5684</v>
      </c>
      <c r="BC1732" s="41" t="s">
        <v>538</v>
      </c>
      <c r="BD1732" s="41"/>
      <c r="BE1732" s="33" t="s">
        <v>2449</v>
      </c>
      <c r="BF1732" s="33"/>
      <c r="BG1732" s="33"/>
      <c r="BH1732" s="33"/>
      <c r="BI1732" s="250">
        <v>0.40300000000000002</v>
      </c>
      <c r="BJ1732" s="250">
        <v>12.9</v>
      </c>
      <c r="BK1732" s="254"/>
      <c r="BL1732" s="250">
        <f t="shared" si="480"/>
        <v>33.281201763077981</v>
      </c>
      <c r="BM1732" s="33"/>
      <c r="BN1732" s="33"/>
      <c r="BO1732" s="33">
        <v>8.2300275480000007</v>
      </c>
      <c r="BP1732" s="33"/>
      <c r="BQ1732" s="33"/>
      <c r="BR1732" s="33"/>
      <c r="BS1732" s="33"/>
      <c r="BT1732" s="33"/>
      <c r="BU1732" s="246"/>
      <c r="BV1732" s="33"/>
      <c r="BW1732" s="33"/>
      <c r="BX1732" s="33"/>
      <c r="BY1732" s="33"/>
      <c r="BZ1732" s="33"/>
      <c r="CA1732" s="33"/>
      <c r="CB1732" s="33"/>
      <c r="CC1732" s="33"/>
      <c r="CD1732" s="33"/>
      <c r="CE1732" s="33"/>
      <c r="CF1732" s="33"/>
      <c r="CG1732" s="33"/>
      <c r="CH1732" s="33"/>
      <c r="CI1732" s="250">
        <f t="shared" si="487"/>
        <v>8.2300275480000007</v>
      </c>
      <c r="CJ1732" s="243">
        <f t="shared" si="488"/>
        <v>0.91540128890903349</v>
      </c>
      <c r="CK1732" s="38">
        <f t="shared" si="492"/>
        <v>2.5799381211688357</v>
      </c>
      <c r="CL1732" s="247">
        <f t="shared" si="489"/>
        <v>4.0438748921521812</v>
      </c>
      <c r="CM1732" s="247"/>
      <c r="CN1732" s="247"/>
      <c r="CO1732" s="41"/>
      <c r="CP1732" s="41" t="s">
        <v>5686</v>
      </c>
      <c r="CQ1732" s="241">
        <v>-1.9290505573367021</v>
      </c>
      <c r="CR1732" s="241">
        <f t="shared" si="486"/>
        <v>698.95923318187738</v>
      </c>
      <c r="CS1732" s="33"/>
      <c r="CT1732" s="33"/>
      <c r="CU1732" s="250">
        <f t="shared" si="490"/>
        <v>2092.050209258241</v>
      </c>
      <c r="CV1732" s="337">
        <f t="shared" si="493"/>
        <v>1334.7000662011233</v>
      </c>
      <c r="CW1732" s="330">
        <f t="shared" si="491"/>
        <v>1</v>
      </c>
      <c r="CX1732" s="330"/>
      <c r="CY1732" s="143" t="s">
        <v>6351</v>
      </c>
    </row>
    <row r="1733" spans="1:103" ht="11.25" customHeight="1" x14ac:dyDescent="0.2">
      <c r="A1733" s="72">
        <v>1731</v>
      </c>
      <c r="B1733" s="241">
        <v>140</v>
      </c>
      <c r="C1733" s="32" t="s">
        <v>7657</v>
      </c>
      <c r="D1733" s="32"/>
      <c r="E1733" s="40"/>
      <c r="F1733" s="40" t="s">
        <v>790</v>
      </c>
      <c r="G1733" s="242">
        <v>107857</v>
      </c>
      <c r="H1733" s="36" t="s">
        <v>791</v>
      </c>
      <c r="I1733" s="36" t="s">
        <v>791</v>
      </c>
      <c r="J1733" s="36" t="s">
        <v>792</v>
      </c>
      <c r="K1733" s="36" t="s">
        <v>300</v>
      </c>
      <c r="L1733" s="36"/>
      <c r="M1733" s="36"/>
      <c r="N1733" s="36"/>
      <c r="O1733" s="36"/>
      <c r="P1733" s="41"/>
      <c r="Q1733" s="41"/>
      <c r="R1733" s="41"/>
      <c r="S1733" s="41"/>
      <c r="T1733" s="37">
        <v>87.16</v>
      </c>
      <c r="U1733" s="243"/>
      <c r="V1733" s="243">
        <v>1258.6048646167967</v>
      </c>
      <c r="W1733" s="243">
        <v>323.59365692962825</v>
      </c>
      <c r="X1733" s="243">
        <f>IF(W1733=0,V1733,W1733)</f>
        <v>323.59365692962825</v>
      </c>
      <c r="Y1733" s="414">
        <v>12.11</v>
      </c>
      <c r="Z1733" s="37">
        <v>1.25</v>
      </c>
      <c r="AA1733" s="37"/>
      <c r="AB1733" s="37">
        <v>0.92</v>
      </c>
      <c r="AC1733" s="37">
        <v>0.92579999999999996</v>
      </c>
      <c r="AD1733" s="37">
        <v>1</v>
      </c>
      <c r="AE1733" s="37">
        <v>1.28</v>
      </c>
      <c r="AF1733" s="37">
        <f t="shared" si="467"/>
        <v>1</v>
      </c>
      <c r="AG1733" s="38">
        <v>0.8</v>
      </c>
      <c r="AH1733" s="243">
        <v>2.3499999999999999E-5</v>
      </c>
      <c r="AI1733" s="243"/>
      <c r="AJ1733" s="34">
        <f t="shared" si="481"/>
        <v>-3.0174984640409157</v>
      </c>
      <c r="AK1733" s="34"/>
      <c r="AL1733" s="34">
        <f t="shared" si="482"/>
        <v>-3.0174984640409157</v>
      </c>
      <c r="AM1733" s="34">
        <v>-4.6474599999999997</v>
      </c>
      <c r="AN1733" s="244">
        <v>-3.05</v>
      </c>
      <c r="AO1733" s="417"/>
      <c r="AP1733" s="417">
        <v>10.72</v>
      </c>
      <c r="AQ1733" s="244" t="s">
        <v>6311</v>
      </c>
      <c r="AR1733" s="244" t="s">
        <v>6311</v>
      </c>
      <c r="AS1733" s="241" t="s">
        <v>81</v>
      </c>
      <c r="AT1733" s="39" t="s">
        <v>266</v>
      </c>
      <c r="AU1733" s="37">
        <v>0</v>
      </c>
      <c r="AV1733" s="37">
        <v>48</v>
      </c>
      <c r="AW1733" s="37">
        <v>48</v>
      </c>
      <c r="AX1733" s="37">
        <v>26</v>
      </c>
      <c r="AY1733" s="37" t="s">
        <v>8722</v>
      </c>
      <c r="AZ1733" s="37" t="s">
        <v>536</v>
      </c>
      <c r="BA1733" s="37">
        <v>20</v>
      </c>
      <c r="BB1733" s="36" t="s">
        <v>537</v>
      </c>
      <c r="BC1733" s="36" t="s">
        <v>648</v>
      </c>
      <c r="BD1733" s="36"/>
      <c r="BE1733" s="245" t="s">
        <v>649</v>
      </c>
      <c r="BF1733" s="37" t="s">
        <v>539</v>
      </c>
      <c r="BG1733" s="37" t="s">
        <v>272</v>
      </c>
      <c r="BH1733" s="37" t="s">
        <v>272</v>
      </c>
      <c r="BI1733" s="248">
        <v>0.34186073190317767</v>
      </c>
      <c r="BJ1733" s="248">
        <v>0.9751061144889297</v>
      </c>
      <c r="BK1733" s="37"/>
      <c r="BL1733" s="243">
        <f t="shared" si="480"/>
        <v>3.8741372275953481</v>
      </c>
      <c r="BM1733" s="37" t="s">
        <v>541</v>
      </c>
      <c r="BN1733" s="37"/>
      <c r="BO1733" s="37">
        <v>0.67800000000000005</v>
      </c>
      <c r="BP1733" s="37"/>
      <c r="BQ1733" s="37"/>
      <c r="BR1733" s="37"/>
      <c r="BS1733" s="37"/>
      <c r="BT1733" s="37"/>
      <c r="BU1733" s="246"/>
      <c r="BV1733" s="37"/>
      <c r="BW1733" s="37"/>
      <c r="BX1733" s="37"/>
      <c r="BY1733" s="37"/>
      <c r="BZ1733" s="37"/>
      <c r="CA1733" s="37"/>
      <c r="CB1733" s="37"/>
      <c r="CC1733" s="37"/>
      <c r="CD1733" s="37"/>
      <c r="CE1733" s="37"/>
      <c r="CF1733" s="37"/>
      <c r="CG1733" s="37"/>
      <c r="CH1733" s="37"/>
      <c r="CI1733" s="243">
        <f t="shared" si="487"/>
        <v>0.67800000000000005</v>
      </c>
      <c r="CJ1733" s="243">
        <f t="shared" si="488"/>
        <v>-0.16877030613293661</v>
      </c>
      <c r="CK1733" s="38">
        <f t="shared" si="492"/>
        <v>3.9730416721116057</v>
      </c>
      <c r="CL1733" s="247">
        <f t="shared" si="489"/>
        <v>5.7140667073677696</v>
      </c>
      <c r="CM1733" s="247"/>
      <c r="CN1733" s="247"/>
      <c r="CO1733" s="36"/>
      <c r="CP1733" s="36" t="s">
        <v>772</v>
      </c>
      <c r="CQ1733" s="241" t="s">
        <v>272</v>
      </c>
      <c r="CR1733" s="241"/>
      <c r="CS1733" s="33"/>
      <c r="CT1733" s="33"/>
      <c r="CU1733" s="250">
        <f t="shared" si="490"/>
        <v>477.27678013219503</v>
      </c>
      <c r="CV1733" s="337">
        <f t="shared" si="493"/>
        <v>331.8548126418317</v>
      </c>
      <c r="CW1733" s="330">
        <f t="shared" si="491"/>
        <v>1</v>
      </c>
      <c r="CX1733" s="330"/>
      <c r="CY1733" s="143" t="s">
        <v>6351</v>
      </c>
    </row>
    <row r="1734" spans="1:103" ht="11.25" customHeight="1" x14ac:dyDescent="0.2">
      <c r="A1734" s="72">
        <v>1732</v>
      </c>
      <c r="B1734" s="241">
        <v>153</v>
      </c>
      <c r="C1734" s="32" t="s">
        <v>7658</v>
      </c>
      <c r="D1734" s="32"/>
      <c r="E1734" s="40"/>
      <c r="F1734" s="40" t="s">
        <v>829</v>
      </c>
      <c r="G1734" s="242">
        <v>108189</v>
      </c>
      <c r="H1734" s="36" t="s">
        <v>830</v>
      </c>
      <c r="I1734" s="36" t="s">
        <v>830</v>
      </c>
      <c r="J1734" s="36" t="s">
        <v>831</v>
      </c>
      <c r="K1734" s="36" t="s">
        <v>300</v>
      </c>
      <c r="L1734" s="36"/>
      <c r="M1734" s="36"/>
      <c r="N1734" s="36"/>
      <c r="O1734" s="36"/>
      <c r="P1734" s="41"/>
      <c r="Q1734" s="41"/>
      <c r="R1734" s="41"/>
      <c r="S1734" s="41"/>
      <c r="T1734" s="37">
        <v>101.19</v>
      </c>
      <c r="U1734" s="243">
        <v>1087.0639391244194</v>
      </c>
      <c r="V1734" s="243">
        <v>744.24350232236384</v>
      </c>
      <c r="W1734" s="243">
        <v>338.84415613920254</v>
      </c>
      <c r="X1734" s="243">
        <v>1087.0639391244194</v>
      </c>
      <c r="Y1734" s="414">
        <v>12.14</v>
      </c>
      <c r="Z1734" s="37">
        <v>1.64</v>
      </c>
      <c r="AA1734" s="37">
        <v>1.4</v>
      </c>
      <c r="AB1734" s="37">
        <v>1.51</v>
      </c>
      <c r="AC1734" s="37">
        <v>0.86470000000000002</v>
      </c>
      <c r="AD1734" s="37">
        <v>1.46</v>
      </c>
      <c r="AE1734" s="37">
        <v>1.33</v>
      </c>
      <c r="AF1734" s="37">
        <f t="shared" si="467"/>
        <v>1.4</v>
      </c>
      <c r="AG1734" s="38">
        <v>1.52</v>
      </c>
      <c r="AH1734" s="243">
        <v>5.1700000000000003E-5</v>
      </c>
      <c r="AI1734" s="243">
        <v>9.6000000000000002E-5</v>
      </c>
      <c r="AJ1734" s="34">
        <f t="shared" si="481"/>
        <v>-2.6750757832187091</v>
      </c>
      <c r="AK1734" s="34">
        <f t="shared" ref="AK1734:AK1740" si="494">LOG10(AI1734*1000/(0.08206*298.15))</f>
        <v>-2.4062950932730836</v>
      </c>
      <c r="AL1734" s="34">
        <f t="shared" si="482"/>
        <v>-2.4062950932730836</v>
      </c>
      <c r="AM1734" s="34">
        <v>-3.5732600000000003</v>
      </c>
      <c r="AN1734" s="244">
        <v>-2.57</v>
      </c>
      <c r="AO1734" s="417"/>
      <c r="AP1734" s="417">
        <v>10.76</v>
      </c>
      <c r="AQ1734" s="244" t="s">
        <v>6311</v>
      </c>
      <c r="AR1734" s="244" t="s">
        <v>6311</v>
      </c>
      <c r="AS1734" s="241" t="s">
        <v>78</v>
      </c>
      <c r="AT1734" s="39" t="s">
        <v>266</v>
      </c>
      <c r="AU1734" s="37">
        <v>0</v>
      </c>
      <c r="AV1734" s="37">
        <v>48</v>
      </c>
      <c r="AW1734" s="37">
        <v>48</v>
      </c>
      <c r="AX1734" s="37">
        <v>26</v>
      </c>
      <c r="AY1734" s="37" t="s">
        <v>8722</v>
      </c>
      <c r="AZ1734" s="37" t="s">
        <v>536</v>
      </c>
      <c r="BA1734" s="37">
        <v>20</v>
      </c>
      <c r="BB1734" s="36" t="s">
        <v>537</v>
      </c>
      <c r="BC1734" s="36" t="s">
        <v>648</v>
      </c>
      <c r="BD1734" s="36"/>
      <c r="BE1734" s="245" t="s">
        <v>649</v>
      </c>
      <c r="BF1734" s="37" t="s">
        <v>539</v>
      </c>
      <c r="BG1734" s="37" t="s">
        <v>272</v>
      </c>
      <c r="BH1734" s="37" t="s">
        <v>272</v>
      </c>
      <c r="BI1734" s="248">
        <v>0.41506077675659653</v>
      </c>
      <c r="BJ1734" s="248">
        <v>1.1858879335902757</v>
      </c>
      <c r="BK1734" s="37"/>
      <c r="BL1734" s="243">
        <f t="shared" si="480"/>
        <v>1.7294818154229614</v>
      </c>
      <c r="BM1734" s="37" t="s">
        <v>541</v>
      </c>
      <c r="BN1734" s="37"/>
      <c r="BO1734" s="37">
        <v>0.90400000000000003</v>
      </c>
      <c r="BP1734" s="37"/>
      <c r="BQ1734" s="37"/>
      <c r="BR1734" s="37"/>
      <c r="BS1734" s="37"/>
      <c r="BT1734" s="37"/>
      <c r="BU1734" s="246"/>
      <c r="BV1734" s="37"/>
      <c r="BW1734" s="37"/>
      <c r="BX1734" s="37"/>
      <c r="BY1734" s="37"/>
      <c r="BZ1734" s="37"/>
      <c r="CA1734" s="37"/>
      <c r="CB1734" s="37"/>
      <c r="CC1734" s="37"/>
      <c r="CD1734" s="37"/>
      <c r="CE1734" s="37"/>
      <c r="CF1734" s="37"/>
      <c r="CG1734" s="37"/>
      <c r="CH1734" s="37"/>
      <c r="CI1734" s="243">
        <f t="shared" si="487"/>
        <v>0.90400000000000003</v>
      </c>
      <c r="CJ1734" s="243">
        <f t="shared" si="488"/>
        <v>-4.3831569524636682E-2</v>
      </c>
      <c r="CK1734" s="38">
        <f t="shared" si="492"/>
        <v>1.4583855408554123</v>
      </c>
      <c r="CL1734" s="247">
        <f t="shared" si="489"/>
        <v>1.9131436011315945</v>
      </c>
      <c r="CM1734" s="247"/>
      <c r="CN1734" s="247"/>
      <c r="CO1734" s="36"/>
      <c r="CP1734" s="36" t="s">
        <v>772</v>
      </c>
      <c r="CQ1734" s="241">
        <v>0.34768480380729427</v>
      </c>
      <c r="CR1734" s="241">
        <f t="shared" ref="CR1734:CR1740" si="495">10^(CJ1734-CQ1734)</f>
        <v>0.40596035785565304</v>
      </c>
      <c r="CS1734" s="33"/>
      <c r="CT1734" s="33"/>
      <c r="CU1734" s="250">
        <f t="shared" si="490"/>
        <v>1202.504357438517</v>
      </c>
      <c r="CV1734" s="337">
        <f t="shared" si="493"/>
        <v>916.66666666666674</v>
      </c>
      <c r="CW1734" s="330">
        <f t="shared" si="491"/>
        <v>1</v>
      </c>
      <c r="CX1734" s="330"/>
      <c r="CY1734" s="143" t="s">
        <v>6351</v>
      </c>
    </row>
    <row r="1735" spans="1:103" ht="11.25" customHeight="1" x14ac:dyDescent="0.2">
      <c r="A1735" s="72">
        <v>1733</v>
      </c>
      <c r="B1735" s="241">
        <v>649</v>
      </c>
      <c r="C1735" s="32" t="s">
        <v>7659</v>
      </c>
      <c r="D1735" s="32"/>
      <c r="E1735" s="40"/>
      <c r="F1735" s="40" t="s">
        <v>1626</v>
      </c>
      <c r="G1735" s="242">
        <v>108429</v>
      </c>
      <c r="H1735" s="36" t="s">
        <v>1627</v>
      </c>
      <c r="I1735" s="36" t="s">
        <v>8216</v>
      </c>
      <c r="J1735" s="36" t="s">
        <v>1628</v>
      </c>
      <c r="K1735" s="36" t="s">
        <v>1573</v>
      </c>
      <c r="L1735" s="36"/>
      <c r="M1735" s="36" t="s">
        <v>1629</v>
      </c>
      <c r="N1735" s="36"/>
      <c r="O1735" s="36" t="s">
        <v>1630</v>
      </c>
      <c r="P1735" s="41" t="s">
        <v>6184</v>
      </c>
      <c r="Q1735" s="41" t="s">
        <v>6176</v>
      </c>
      <c r="R1735" s="41" t="s">
        <v>6185</v>
      </c>
      <c r="S1735" s="41" t="s">
        <v>6182</v>
      </c>
      <c r="T1735" s="37">
        <v>127.57</v>
      </c>
      <c r="U1735" s="243">
        <v>42.329701340440543</v>
      </c>
      <c r="V1735" s="243">
        <v>18.272321078623502</v>
      </c>
      <c r="W1735" s="243">
        <v>10.96478196143185</v>
      </c>
      <c r="X1735" s="243">
        <v>42.329701340440543</v>
      </c>
      <c r="Y1735" s="414">
        <v>7.79</v>
      </c>
      <c r="Z1735" s="37">
        <v>1.72</v>
      </c>
      <c r="AA1735" s="37">
        <v>1.88</v>
      </c>
      <c r="AB1735" s="37">
        <v>2.02</v>
      </c>
      <c r="AC1735" s="37">
        <v>0.90820000000000001</v>
      </c>
      <c r="AD1735" s="37">
        <v>1.97</v>
      </c>
      <c r="AE1735" s="37">
        <v>1.81</v>
      </c>
      <c r="AF1735" s="37">
        <f t="shared" si="467"/>
        <v>1.88</v>
      </c>
      <c r="AG1735" s="38">
        <v>1.8</v>
      </c>
      <c r="AH1735" s="243">
        <v>1.4100000000000001E-6</v>
      </c>
      <c r="AI1735" s="243">
        <v>9.9999999999999995E-7</v>
      </c>
      <c r="AJ1735" s="34">
        <f t="shared" si="481"/>
        <v>-4.2393472136572719</v>
      </c>
      <c r="AK1735" s="34">
        <f t="shared" si="494"/>
        <v>-4.3885663263126515</v>
      </c>
      <c r="AL1735" s="34">
        <f t="shared" si="482"/>
        <v>-4.3885663263126515</v>
      </c>
      <c r="AM1735" s="34">
        <v>-6.6443200000000004</v>
      </c>
      <c r="AN1735" s="244">
        <v>-4.13</v>
      </c>
      <c r="AO1735" s="417"/>
      <c r="AP1735" s="417">
        <v>3.54</v>
      </c>
      <c r="AQ1735" s="244" t="s">
        <v>6311</v>
      </c>
      <c r="AR1735" s="244" t="s">
        <v>6311</v>
      </c>
      <c r="AS1735" s="241" t="s">
        <v>6</v>
      </c>
      <c r="AT1735" s="39" t="s">
        <v>266</v>
      </c>
      <c r="AU1735" s="37">
        <v>2</v>
      </c>
      <c r="AV1735" s="37">
        <v>48</v>
      </c>
      <c r="AW1735" s="37">
        <v>48</v>
      </c>
      <c r="AX1735" s="37">
        <v>26</v>
      </c>
      <c r="AY1735" s="37" t="s">
        <v>647</v>
      </c>
      <c r="AZ1735" s="37" t="s">
        <v>1912</v>
      </c>
      <c r="BA1735" s="37">
        <v>25</v>
      </c>
      <c r="BB1735" s="36" t="s">
        <v>1613</v>
      </c>
      <c r="BC1735" s="36" t="s">
        <v>538</v>
      </c>
      <c r="BD1735" s="36"/>
      <c r="BE1735" s="37" t="s">
        <v>271</v>
      </c>
      <c r="BF1735" s="37" t="s">
        <v>272</v>
      </c>
      <c r="BG1735" s="37" t="s">
        <v>272</v>
      </c>
      <c r="BH1735" s="37" t="s">
        <v>272</v>
      </c>
      <c r="BI1735" s="243">
        <v>1.4499999999999999E-3</v>
      </c>
      <c r="BJ1735" s="243">
        <v>0.79</v>
      </c>
      <c r="BK1735" s="37"/>
      <c r="BL1735" s="243">
        <f t="shared" si="480"/>
        <v>1.4657773282271105</v>
      </c>
      <c r="BM1735" s="37" t="s">
        <v>541</v>
      </c>
      <c r="BN1735" s="37"/>
      <c r="BO1735" s="37">
        <v>0.128</v>
      </c>
      <c r="BP1735" s="37"/>
      <c r="BQ1735" s="37"/>
      <c r="BR1735" s="37"/>
      <c r="BS1735" s="37"/>
      <c r="BT1735" s="37"/>
      <c r="BU1735" s="246"/>
      <c r="BV1735" s="37"/>
      <c r="BW1735" s="37"/>
      <c r="BX1735" s="37"/>
      <c r="BY1735" s="37"/>
      <c r="BZ1735" s="37"/>
      <c r="CA1735" s="37"/>
      <c r="CB1735" s="37"/>
      <c r="CC1735" s="37"/>
      <c r="CD1735" s="37"/>
      <c r="CE1735" s="37"/>
      <c r="CF1735" s="37"/>
      <c r="CG1735" s="37"/>
      <c r="CH1735" s="37"/>
      <c r="CI1735" s="243">
        <f t="shared" si="487"/>
        <v>0.128</v>
      </c>
      <c r="CJ1735" s="243">
        <f t="shared" si="488"/>
        <v>-0.89279003035213167</v>
      </c>
      <c r="CK1735" s="38">
        <f t="shared" si="492"/>
        <v>1.8554143395279878</v>
      </c>
      <c r="CL1735" s="247">
        <f t="shared" si="489"/>
        <v>11.451385376774301</v>
      </c>
      <c r="CM1735" s="247"/>
      <c r="CN1735" s="247"/>
      <c r="CO1735" s="36"/>
      <c r="CP1735" s="36" t="s">
        <v>1913</v>
      </c>
      <c r="CQ1735" s="241">
        <v>-0.86889873264546247</v>
      </c>
      <c r="CR1735" s="241">
        <f t="shared" si="495"/>
        <v>0.94647403064998148</v>
      </c>
      <c r="CS1735" s="33"/>
      <c r="CT1735" s="33"/>
      <c r="CU1735" s="250">
        <f t="shared" si="490"/>
        <v>330.70079172219175</v>
      </c>
      <c r="CV1735" s="337">
        <f t="shared" si="493"/>
        <v>53.581900430937395</v>
      </c>
      <c r="CW1735" s="330">
        <f t="shared" si="491"/>
        <v>1</v>
      </c>
      <c r="CX1735" s="330"/>
      <c r="CY1735" s="143" t="s">
        <v>6351</v>
      </c>
    </row>
    <row r="1736" spans="1:103" ht="11.25" customHeight="1" x14ac:dyDescent="0.2">
      <c r="A1736" s="72">
        <v>1734</v>
      </c>
      <c r="B1736" s="241">
        <v>505</v>
      </c>
      <c r="C1736" s="32" t="s">
        <v>7659</v>
      </c>
      <c r="D1736" s="32"/>
      <c r="E1736" s="40"/>
      <c r="F1736" s="40" t="s">
        <v>1626</v>
      </c>
      <c r="G1736" s="242">
        <v>108429</v>
      </c>
      <c r="H1736" s="36" t="s">
        <v>1627</v>
      </c>
      <c r="I1736" s="36" t="s">
        <v>8216</v>
      </c>
      <c r="J1736" s="36" t="s">
        <v>1628</v>
      </c>
      <c r="K1736" s="36" t="s">
        <v>1573</v>
      </c>
      <c r="L1736" s="36"/>
      <c r="M1736" s="36" t="s">
        <v>1629</v>
      </c>
      <c r="N1736" s="36"/>
      <c r="O1736" s="36" t="s">
        <v>1630</v>
      </c>
      <c r="P1736" s="41" t="s">
        <v>6184</v>
      </c>
      <c r="Q1736" s="41" t="s">
        <v>6176</v>
      </c>
      <c r="R1736" s="41" t="s">
        <v>6185</v>
      </c>
      <c r="S1736" s="41" t="s">
        <v>6182</v>
      </c>
      <c r="T1736" s="37">
        <v>127.57</v>
      </c>
      <c r="U1736" s="243">
        <v>42.329701340440543</v>
      </c>
      <c r="V1736" s="243">
        <v>18.272321078623502</v>
      </c>
      <c r="W1736" s="243">
        <v>10.96478196143185</v>
      </c>
      <c r="X1736" s="243">
        <v>42.329701340440543</v>
      </c>
      <c r="Y1736" s="414">
        <v>7.79</v>
      </c>
      <c r="Z1736" s="37">
        <v>1.72</v>
      </c>
      <c r="AA1736" s="37">
        <v>1.88</v>
      </c>
      <c r="AB1736" s="37">
        <v>2.02</v>
      </c>
      <c r="AC1736" s="37">
        <v>0.90820000000000001</v>
      </c>
      <c r="AD1736" s="37">
        <v>1.97</v>
      </c>
      <c r="AE1736" s="37">
        <v>1.81</v>
      </c>
      <c r="AF1736" s="37">
        <f t="shared" si="467"/>
        <v>1.88</v>
      </c>
      <c r="AG1736" s="38">
        <v>1.8</v>
      </c>
      <c r="AH1736" s="243">
        <v>1.4100000000000001E-6</v>
      </c>
      <c r="AI1736" s="243">
        <v>9.9999999999999995E-7</v>
      </c>
      <c r="AJ1736" s="34">
        <f t="shared" si="481"/>
        <v>-4.2393472136572719</v>
      </c>
      <c r="AK1736" s="34">
        <f t="shared" si="494"/>
        <v>-4.3885663263126515</v>
      </c>
      <c r="AL1736" s="34">
        <f t="shared" si="482"/>
        <v>-4.3885663263126515</v>
      </c>
      <c r="AM1736" s="34">
        <v>-6.6443200000000004</v>
      </c>
      <c r="AN1736" s="244">
        <v>-4.13</v>
      </c>
      <c r="AO1736" s="417"/>
      <c r="AP1736" s="417">
        <v>3.54</v>
      </c>
      <c r="AQ1736" s="244" t="s">
        <v>6311</v>
      </c>
      <c r="AR1736" s="244" t="s">
        <v>6311</v>
      </c>
      <c r="AS1736" s="241" t="s">
        <v>6</v>
      </c>
      <c r="AT1736" s="39" t="s">
        <v>266</v>
      </c>
      <c r="AU1736" s="37">
        <v>2</v>
      </c>
      <c r="AV1736" s="37">
        <v>48</v>
      </c>
      <c r="AW1736" s="37">
        <v>48</v>
      </c>
      <c r="AX1736" s="37">
        <v>26</v>
      </c>
      <c r="AY1736" s="37" t="s">
        <v>647</v>
      </c>
      <c r="AZ1736" s="37" t="s">
        <v>536</v>
      </c>
      <c r="BA1736" s="37">
        <v>20</v>
      </c>
      <c r="BB1736" s="36" t="s">
        <v>537</v>
      </c>
      <c r="BC1736" s="36" t="s">
        <v>538</v>
      </c>
      <c r="BD1736" s="36"/>
      <c r="BE1736" s="37" t="s">
        <v>271</v>
      </c>
      <c r="BF1736" s="37" t="s">
        <v>539</v>
      </c>
      <c r="BG1736" s="37" t="s">
        <v>272</v>
      </c>
      <c r="BH1736" s="37" t="s">
        <v>272</v>
      </c>
      <c r="BI1736" s="248">
        <v>4.0752351097178688E-2</v>
      </c>
      <c r="BJ1736" s="248">
        <v>0.20454545454545456</v>
      </c>
      <c r="BK1736" s="37"/>
      <c r="BL1736" s="243">
        <f t="shared" ref="BL1736:BL1767" si="496">10^((-0.8981*Z1736)+1.7108)</f>
        <v>1.4657773282271105</v>
      </c>
      <c r="BM1736" s="37" t="s">
        <v>541</v>
      </c>
      <c r="BN1736" s="37"/>
      <c r="BO1736" s="37">
        <v>0.16457680250783699</v>
      </c>
      <c r="BP1736" s="37"/>
      <c r="BQ1736" s="37"/>
      <c r="BR1736" s="37"/>
      <c r="BS1736" s="37"/>
      <c r="BT1736" s="37"/>
      <c r="BU1736" s="246"/>
      <c r="BV1736" s="37"/>
      <c r="BW1736" s="37"/>
      <c r="BX1736" s="37"/>
      <c r="BY1736" s="37"/>
      <c r="BZ1736" s="37"/>
      <c r="CA1736" s="37"/>
      <c r="CB1736" s="37"/>
      <c r="CC1736" s="37"/>
      <c r="CD1736" s="37"/>
      <c r="CE1736" s="37"/>
      <c r="CF1736" s="37"/>
      <c r="CG1736" s="37"/>
      <c r="CH1736" s="37"/>
      <c r="CI1736" s="243">
        <f t="shared" si="487"/>
        <v>0.16457680250783699</v>
      </c>
      <c r="CJ1736" s="243">
        <f t="shared" si="488"/>
        <v>-0.7836313796512242</v>
      </c>
      <c r="CK1736" s="38">
        <f t="shared" si="492"/>
        <v>7.1660224935547623</v>
      </c>
      <c r="CL1736" s="247">
        <f t="shared" si="489"/>
        <v>8.9063422419894902</v>
      </c>
      <c r="CM1736" s="247"/>
      <c r="CN1736" s="247"/>
      <c r="CO1736" s="36"/>
      <c r="CP1736" s="36" t="s">
        <v>1558</v>
      </c>
      <c r="CQ1736" s="241">
        <v>-0.86889873264546247</v>
      </c>
      <c r="CR1736" s="241">
        <f t="shared" si="495"/>
        <v>1.2169349189146756</v>
      </c>
      <c r="CS1736" s="33"/>
      <c r="CT1736" s="33"/>
      <c r="CU1736" s="250">
        <f t="shared" si="490"/>
        <v>257.20332814477206</v>
      </c>
      <c r="CV1736" s="337">
        <f t="shared" si="493"/>
        <v>206.94520655326485</v>
      </c>
      <c r="CW1736" s="330">
        <f t="shared" si="491"/>
        <v>1</v>
      </c>
      <c r="CX1736" s="330"/>
      <c r="CY1736" s="143" t="s">
        <v>6351</v>
      </c>
    </row>
    <row r="1737" spans="1:103" ht="11.25" customHeight="1" x14ac:dyDescent="0.2">
      <c r="A1737" s="72">
        <v>1735</v>
      </c>
      <c r="B1737" s="241">
        <v>2010</v>
      </c>
      <c r="C1737" s="32" t="s">
        <v>2282</v>
      </c>
      <c r="D1737" s="32"/>
      <c r="E1737" s="40"/>
      <c r="F1737" s="40" t="s">
        <v>2283</v>
      </c>
      <c r="G1737" s="242">
        <v>108883</v>
      </c>
      <c r="H1737" s="41" t="s">
        <v>2284</v>
      </c>
      <c r="I1737" s="41" t="s">
        <v>2284</v>
      </c>
      <c r="J1737" s="41" t="s">
        <v>2285</v>
      </c>
      <c r="K1737" s="41" t="s">
        <v>426</v>
      </c>
      <c r="L1737" s="41" t="s">
        <v>5527</v>
      </c>
      <c r="M1737" s="41" t="s">
        <v>866</v>
      </c>
      <c r="N1737" s="36"/>
      <c r="O1737" s="41" t="s">
        <v>498</v>
      </c>
      <c r="P1737" s="41" t="s">
        <v>6183</v>
      </c>
      <c r="Q1737" s="41" t="s">
        <v>6176</v>
      </c>
      <c r="R1737" s="41" t="s">
        <v>6185</v>
      </c>
      <c r="S1737" s="41" t="s">
        <v>6182</v>
      </c>
      <c r="T1737" s="33">
        <v>92.149199999999993</v>
      </c>
      <c r="U1737" s="250">
        <v>5.708134199754312</v>
      </c>
      <c r="V1737" s="250">
        <v>6.2192618058539857</v>
      </c>
      <c r="W1737" s="250">
        <v>3.8904514499428022</v>
      </c>
      <c r="X1737" s="250">
        <v>5.708134199754312</v>
      </c>
      <c r="Y1737" s="415">
        <v>7</v>
      </c>
      <c r="Z1737" s="33">
        <v>2.54</v>
      </c>
      <c r="AA1737" s="33">
        <v>2.73</v>
      </c>
      <c r="AB1737" s="33">
        <v>2.58</v>
      </c>
      <c r="AC1737" s="33">
        <v>0.89580000000000004</v>
      </c>
      <c r="AD1737" s="33">
        <v>2.61</v>
      </c>
      <c r="AE1737" s="33">
        <v>2.68</v>
      </c>
      <c r="AF1737" s="33">
        <f t="shared" si="467"/>
        <v>2.73</v>
      </c>
      <c r="AG1737" s="34">
        <v>2.27</v>
      </c>
      <c r="AH1737" s="250">
        <v>5.9500000000000004E-3</v>
      </c>
      <c r="AI1737" s="250">
        <v>6.6400000000000001E-3</v>
      </c>
      <c r="AJ1737" s="34">
        <f t="shared" ref="AJ1737:AJ1772" si="497">LOG10(AH1737*1000/(0.08206*298.15))</f>
        <v>-0.6140493605841022</v>
      </c>
      <c r="AK1737" s="34">
        <f t="shared" si="494"/>
        <v>-0.56639824694463436</v>
      </c>
      <c r="AL1737" s="34">
        <f t="shared" ref="AL1737:AL1768" si="498">IF(AK1737=0,AJ1737,AK1737)</f>
        <v>-0.56639824694463436</v>
      </c>
      <c r="AM1737" s="34">
        <v>-2.2421199999999999</v>
      </c>
      <c r="AN1737" s="251">
        <v>-0.56525000000000003</v>
      </c>
      <c r="AO1737" s="417"/>
      <c r="AP1737" s="417"/>
      <c r="AQ1737" s="251" t="s">
        <v>6311</v>
      </c>
      <c r="AR1737" s="251" t="s">
        <v>6311</v>
      </c>
      <c r="AS1737" s="252" t="s">
        <v>5466</v>
      </c>
      <c r="AT1737" s="35" t="s">
        <v>266</v>
      </c>
      <c r="AU1737" s="33">
        <v>5.25</v>
      </c>
      <c r="AV1737" s="33">
        <v>48</v>
      </c>
      <c r="AW1737" s="33">
        <v>0.5</v>
      </c>
      <c r="AX1737" s="33">
        <v>26</v>
      </c>
      <c r="AY1737" s="253" t="s">
        <v>267</v>
      </c>
      <c r="AZ1737" s="33" t="s">
        <v>6220</v>
      </c>
      <c r="BA1737" s="262" t="s">
        <v>6225</v>
      </c>
      <c r="BB1737" s="41" t="s">
        <v>6221</v>
      </c>
      <c r="BC1737" s="41" t="s">
        <v>8380</v>
      </c>
      <c r="BD1737" s="41"/>
      <c r="BE1737" s="33" t="s">
        <v>2449</v>
      </c>
      <c r="BF1737" s="33" t="s">
        <v>6203</v>
      </c>
      <c r="BG1737" s="33" t="s">
        <v>6203</v>
      </c>
      <c r="BH1737" s="33" t="s">
        <v>6222</v>
      </c>
      <c r="BI1737" s="250">
        <v>1.085196615922873E-6</v>
      </c>
      <c r="BJ1737" s="250">
        <v>1.085196615922873</v>
      </c>
      <c r="BK1737" s="254"/>
      <c r="BL1737" s="250">
        <f t="shared" si="496"/>
        <v>0.26892179411918804</v>
      </c>
      <c r="BM1737" s="33" t="s">
        <v>1584</v>
      </c>
      <c r="BN1737" s="269">
        <v>5.4259830796143646E-2</v>
      </c>
      <c r="BO1737" s="33">
        <v>1.09E-3</v>
      </c>
      <c r="BP1737" s="33"/>
      <c r="BQ1737" s="33"/>
      <c r="BR1737" s="33"/>
      <c r="BS1737" s="33"/>
      <c r="BT1737" s="33"/>
      <c r="BU1737" s="246"/>
      <c r="BV1737" s="33"/>
      <c r="BW1737" s="33"/>
      <c r="BX1737" s="33"/>
      <c r="BY1737" s="33"/>
      <c r="BZ1737" s="33"/>
      <c r="CA1737" s="33"/>
      <c r="CB1737" s="33"/>
      <c r="CC1737" s="33"/>
      <c r="CD1737" s="33"/>
      <c r="CE1737" s="33"/>
      <c r="CF1737" s="33"/>
      <c r="CG1737" s="33"/>
      <c r="CH1737" s="33"/>
      <c r="CI1737" s="250">
        <f t="shared" si="487"/>
        <v>1.09E-3</v>
      </c>
      <c r="CJ1737" s="243">
        <f t="shared" si="488"/>
        <v>-2.9625735020593762</v>
      </c>
      <c r="CK1737" s="38">
        <f t="shared" si="492"/>
        <v>0.2478092819064788</v>
      </c>
      <c r="CL1737" s="247">
        <f t="shared" si="489"/>
        <v>246.71724231118168</v>
      </c>
      <c r="CM1737" s="247"/>
      <c r="CN1737" s="247"/>
      <c r="CO1737" s="41" t="s">
        <v>6223</v>
      </c>
      <c r="CP1737" s="41" t="s">
        <v>8379</v>
      </c>
      <c r="CQ1737" s="241">
        <v>-0.33575050044211036</v>
      </c>
      <c r="CR1737" s="241">
        <f t="shared" si="495"/>
        <v>2.3614404512075104E-3</v>
      </c>
      <c r="CS1737" s="33"/>
      <c r="CT1737" s="33"/>
      <c r="CU1737" s="250">
        <f t="shared" si="490"/>
        <v>5236.8203667470752</v>
      </c>
      <c r="CV1737" s="337">
        <f t="shared" si="493"/>
        <v>5.26</v>
      </c>
      <c r="CW1737" s="330">
        <f t="shared" si="491"/>
        <v>1</v>
      </c>
      <c r="CX1737" s="330"/>
      <c r="CY1737" s="143" t="s">
        <v>6351</v>
      </c>
    </row>
    <row r="1738" spans="1:103" ht="11.25" customHeight="1" x14ac:dyDescent="0.2">
      <c r="A1738" s="72">
        <v>1736</v>
      </c>
      <c r="B1738" s="241">
        <v>141</v>
      </c>
      <c r="C1738" s="32" t="s">
        <v>7152</v>
      </c>
      <c r="D1738" s="32"/>
      <c r="E1738" s="40"/>
      <c r="F1738" s="40" t="s">
        <v>793</v>
      </c>
      <c r="G1738" s="242">
        <v>108918</v>
      </c>
      <c r="H1738" s="36" t="s">
        <v>794</v>
      </c>
      <c r="I1738" s="36" t="s">
        <v>794</v>
      </c>
      <c r="J1738" s="36" t="s">
        <v>795</v>
      </c>
      <c r="K1738" s="36" t="s">
        <v>300</v>
      </c>
      <c r="L1738" s="36"/>
      <c r="M1738" s="36"/>
      <c r="N1738" s="36"/>
      <c r="O1738" s="36"/>
      <c r="P1738" s="41"/>
      <c r="Q1738" s="41"/>
      <c r="R1738" s="41"/>
      <c r="S1738" s="41"/>
      <c r="T1738" s="37">
        <v>99.17</v>
      </c>
      <c r="U1738" s="243">
        <v>386.55642650059059</v>
      </c>
      <c r="V1738" s="243">
        <v>223.55846665950821</v>
      </c>
      <c r="W1738" s="243">
        <v>199.52623149688796</v>
      </c>
      <c r="X1738" s="243">
        <v>386.55642650059059</v>
      </c>
      <c r="Y1738" s="414">
        <v>11.93</v>
      </c>
      <c r="Z1738" s="37">
        <v>1.08</v>
      </c>
      <c r="AA1738" s="37">
        <v>0.9</v>
      </c>
      <c r="AB1738" s="37">
        <v>1.25</v>
      </c>
      <c r="AC1738" s="37">
        <v>0.78800000000000003</v>
      </c>
      <c r="AD1738" s="37">
        <v>1.3</v>
      </c>
      <c r="AE1738" s="37">
        <v>1.4</v>
      </c>
      <c r="AF1738" s="37">
        <f t="shared" si="467"/>
        <v>0.9</v>
      </c>
      <c r="AG1738" s="38">
        <v>0.9</v>
      </c>
      <c r="AH1738" s="243">
        <v>1.38E-5</v>
      </c>
      <c r="AI1738" s="243">
        <v>4.16E-6</v>
      </c>
      <c r="AJ1738" s="34">
        <f t="shared" si="497"/>
        <v>-3.2486872399114155</v>
      </c>
      <c r="AK1738" s="34">
        <f t="shared" si="494"/>
        <v>-3.7694729956859092</v>
      </c>
      <c r="AL1738" s="34">
        <f t="shared" si="498"/>
        <v>-3.7694729956859092</v>
      </c>
      <c r="AM1738" s="34">
        <v>-5.1368099999999997</v>
      </c>
      <c r="AN1738" s="244">
        <v>-3.79</v>
      </c>
      <c r="AO1738" s="417"/>
      <c r="AP1738" s="417">
        <v>10.57</v>
      </c>
      <c r="AQ1738" s="244" t="s">
        <v>6311</v>
      </c>
      <c r="AR1738" s="244" t="s">
        <v>6311</v>
      </c>
      <c r="AS1738" s="241" t="s">
        <v>75</v>
      </c>
      <c r="AT1738" s="39" t="s">
        <v>266</v>
      </c>
      <c r="AU1738" s="37">
        <v>0</v>
      </c>
      <c r="AV1738" s="37">
        <v>48</v>
      </c>
      <c r="AW1738" s="37">
        <v>48</v>
      </c>
      <c r="AX1738" s="37">
        <v>26</v>
      </c>
      <c r="AY1738" s="37" t="s">
        <v>8722</v>
      </c>
      <c r="AZ1738" s="37" t="s">
        <v>536</v>
      </c>
      <c r="BA1738" s="37">
        <v>20</v>
      </c>
      <c r="BB1738" s="36" t="s">
        <v>537</v>
      </c>
      <c r="BC1738" s="36" t="s">
        <v>648</v>
      </c>
      <c r="BD1738" s="36"/>
      <c r="BE1738" s="245" t="s">
        <v>649</v>
      </c>
      <c r="BF1738" s="37" t="s">
        <v>539</v>
      </c>
      <c r="BG1738" s="37" t="s">
        <v>272</v>
      </c>
      <c r="BH1738" s="37" t="s">
        <v>272</v>
      </c>
      <c r="BI1738" s="248">
        <v>0.35289372857430934</v>
      </c>
      <c r="BJ1738" s="248">
        <v>1.008267795926598</v>
      </c>
      <c r="BK1738" s="37"/>
      <c r="BL1738" s="243">
        <f t="shared" si="496"/>
        <v>5.5062002270973851</v>
      </c>
      <c r="BM1738" s="37" t="s">
        <v>541</v>
      </c>
      <c r="BN1738" s="37"/>
      <c r="BO1738" s="37">
        <v>0.63900000000000001</v>
      </c>
      <c r="BP1738" s="37"/>
      <c r="BQ1738" s="37"/>
      <c r="BR1738" s="37"/>
      <c r="BS1738" s="37"/>
      <c r="BT1738" s="37"/>
      <c r="BU1738" s="246"/>
      <c r="BV1738" s="37"/>
      <c r="BW1738" s="37"/>
      <c r="BX1738" s="37"/>
      <c r="BY1738" s="37"/>
      <c r="BZ1738" s="37"/>
      <c r="CA1738" s="37"/>
      <c r="CB1738" s="37"/>
      <c r="CC1738" s="37"/>
      <c r="CD1738" s="37"/>
      <c r="CE1738" s="37"/>
      <c r="CF1738" s="37"/>
      <c r="CG1738" s="37"/>
      <c r="CH1738" s="37"/>
      <c r="CI1738" s="243">
        <f t="shared" si="487"/>
        <v>0.63900000000000001</v>
      </c>
      <c r="CJ1738" s="243">
        <f t="shared" si="488"/>
        <v>-0.19449914184159983</v>
      </c>
      <c r="CK1738" s="38">
        <f t="shared" si="492"/>
        <v>5.4610493852351869</v>
      </c>
      <c r="CL1738" s="247">
        <f t="shared" si="489"/>
        <v>8.6169017638456733</v>
      </c>
      <c r="CM1738" s="247"/>
      <c r="CN1738" s="247"/>
      <c r="CO1738" s="36"/>
      <c r="CP1738" s="36" t="s">
        <v>772</v>
      </c>
      <c r="CQ1738" s="241">
        <v>9.3550701386999641E-2</v>
      </c>
      <c r="CR1738" s="241">
        <f t="shared" si="495"/>
        <v>0.51516951607200823</v>
      </c>
      <c r="CS1738" s="33"/>
      <c r="CT1738" s="33"/>
      <c r="CU1738" s="250">
        <f t="shared" si="490"/>
        <v>604.93963458621374</v>
      </c>
      <c r="CV1738" s="337">
        <f t="shared" si="493"/>
        <v>383.38666380328578</v>
      </c>
      <c r="CW1738" s="330">
        <f t="shared" si="491"/>
        <v>1</v>
      </c>
      <c r="CX1738" s="330"/>
      <c r="CY1738" s="143" t="s">
        <v>6351</v>
      </c>
    </row>
    <row r="1739" spans="1:103" ht="11.25" customHeight="1" x14ac:dyDescent="0.2">
      <c r="A1739" s="72">
        <v>1737</v>
      </c>
      <c r="B1739" s="241">
        <v>583</v>
      </c>
      <c r="C1739" s="32" t="s">
        <v>494</v>
      </c>
      <c r="D1739" s="32"/>
      <c r="E1739" s="40"/>
      <c r="F1739" s="40" t="s">
        <v>1767</v>
      </c>
      <c r="G1739" s="242">
        <v>108952</v>
      </c>
      <c r="H1739" s="36" t="s">
        <v>495</v>
      </c>
      <c r="I1739" s="36" t="s">
        <v>495</v>
      </c>
      <c r="J1739" s="36" t="s">
        <v>496</v>
      </c>
      <c r="K1739" s="36" t="s">
        <v>349</v>
      </c>
      <c r="L1739" s="42" t="s">
        <v>5527</v>
      </c>
      <c r="M1739" s="36" t="s">
        <v>497</v>
      </c>
      <c r="N1739" s="36" t="s">
        <v>6381</v>
      </c>
      <c r="O1739" s="36" t="s">
        <v>6086</v>
      </c>
      <c r="P1739" s="41" t="s">
        <v>6184</v>
      </c>
      <c r="Q1739" s="41" t="s">
        <v>6176</v>
      </c>
      <c r="R1739" s="41" t="s">
        <v>6185</v>
      </c>
      <c r="S1739" s="41" t="s">
        <v>6176</v>
      </c>
      <c r="T1739" s="37">
        <v>94.11</v>
      </c>
      <c r="U1739" s="243">
        <v>419.32907348242816</v>
      </c>
      <c r="V1739" s="263">
        <v>336.06230031948883</v>
      </c>
      <c r="W1739" s="263">
        <v>1096.4781961431852</v>
      </c>
      <c r="X1739" s="243">
        <v>419.32907348242816</v>
      </c>
      <c r="Y1739" s="417">
        <v>4.91</v>
      </c>
      <c r="Z1739" s="40">
        <v>1.64</v>
      </c>
      <c r="AA1739" s="40">
        <v>1.23</v>
      </c>
      <c r="AB1739" s="40">
        <v>1.67</v>
      </c>
      <c r="AC1739" s="40">
        <v>0.93669999999999998</v>
      </c>
      <c r="AD1739" s="40">
        <v>1.63</v>
      </c>
      <c r="AE1739" s="40">
        <v>1.48</v>
      </c>
      <c r="AF1739" s="40">
        <f t="shared" si="467"/>
        <v>1.23</v>
      </c>
      <c r="AG1739" s="38">
        <v>1.46</v>
      </c>
      <c r="AH1739" s="243">
        <v>5.6100000000000001E-7</v>
      </c>
      <c r="AI1739" s="243">
        <v>3.3299999999999998E-7</v>
      </c>
      <c r="AJ1739" s="34">
        <f t="shared" si="497"/>
        <v>-4.6396034650564904</v>
      </c>
      <c r="AK1739" s="34">
        <f t="shared" si="494"/>
        <v>-4.8661220928063322</v>
      </c>
      <c r="AL1739" s="34">
        <f t="shared" si="498"/>
        <v>-4.8661220928063322</v>
      </c>
      <c r="AM1739" s="34">
        <v>-6.4734600000000002</v>
      </c>
      <c r="AN1739" s="244">
        <v>-4.68</v>
      </c>
      <c r="AO1739" s="417">
        <v>9.86</v>
      </c>
      <c r="AP1739" s="417"/>
      <c r="AQ1739" s="244" t="s">
        <v>6311</v>
      </c>
      <c r="AR1739" s="244" t="s">
        <v>6311</v>
      </c>
      <c r="AS1739" s="241" t="s">
        <v>282</v>
      </c>
      <c r="AT1739" s="39" t="s">
        <v>266</v>
      </c>
      <c r="AU1739" s="37">
        <v>2</v>
      </c>
      <c r="AV1739" s="37">
        <v>48</v>
      </c>
      <c r="AW1739" s="37">
        <v>48</v>
      </c>
      <c r="AX1739" s="33" t="s">
        <v>6240</v>
      </c>
      <c r="AY1739" s="33" t="s">
        <v>1584</v>
      </c>
      <c r="AZ1739" s="37" t="s">
        <v>1584</v>
      </c>
      <c r="BA1739" s="37" t="s">
        <v>8722</v>
      </c>
      <c r="BB1739" s="36" t="s">
        <v>8722</v>
      </c>
      <c r="BC1739" s="36" t="s">
        <v>8722</v>
      </c>
      <c r="BD1739" s="36"/>
      <c r="BE1739" s="37" t="s">
        <v>8722</v>
      </c>
      <c r="BF1739" s="37" t="s">
        <v>8722</v>
      </c>
      <c r="BG1739" s="37" t="s">
        <v>8722</v>
      </c>
      <c r="BH1739" s="37" t="s">
        <v>8722</v>
      </c>
      <c r="BI1739" s="243" t="s">
        <v>8722</v>
      </c>
      <c r="BJ1739" s="243" t="s">
        <v>8722</v>
      </c>
      <c r="BK1739" s="37"/>
      <c r="BL1739" s="243">
        <f t="shared" si="496"/>
        <v>1.7294818154229614</v>
      </c>
      <c r="BM1739" s="36" t="s">
        <v>1640</v>
      </c>
      <c r="BN1739" s="37"/>
      <c r="BO1739" s="37">
        <v>0.52916799489958555</v>
      </c>
      <c r="BP1739" s="37"/>
      <c r="BQ1739" s="37"/>
      <c r="BR1739" s="37"/>
      <c r="BS1739" s="37"/>
      <c r="BT1739" s="37"/>
      <c r="BU1739" s="246"/>
      <c r="BV1739" s="37"/>
      <c r="BW1739" s="37"/>
      <c r="BX1739" s="37"/>
      <c r="BY1739" s="37"/>
      <c r="BZ1739" s="37"/>
      <c r="CA1739" s="37"/>
      <c r="CB1739" s="37"/>
      <c r="CC1739" s="37"/>
      <c r="CD1739" s="37"/>
      <c r="CE1739" s="37"/>
      <c r="CF1739" s="37"/>
      <c r="CG1739" s="37"/>
      <c r="CH1739" s="37"/>
      <c r="CI1739" s="243">
        <f t="shared" si="487"/>
        <v>0.52916799489958555</v>
      </c>
      <c r="CJ1739" s="243">
        <f t="shared" si="488"/>
        <v>-0.27640643065768999</v>
      </c>
      <c r="CK1739" s="38" t="s">
        <v>404</v>
      </c>
      <c r="CL1739" s="247">
        <f t="shared" si="489"/>
        <v>3.2683038885432714</v>
      </c>
      <c r="CM1739" s="247">
        <v>-1.0131937010876495</v>
      </c>
      <c r="CN1739" s="247" t="s">
        <v>404</v>
      </c>
      <c r="CO1739" s="36" t="s">
        <v>1641</v>
      </c>
      <c r="CP1739" s="36" t="s">
        <v>1643</v>
      </c>
      <c r="CQ1739" s="241">
        <v>-0.67773917825679619</v>
      </c>
      <c r="CR1739" s="241">
        <f t="shared" si="495"/>
        <v>2.5196066597812723</v>
      </c>
      <c r="CS1739" s="33"/>
      <c r="CT1739" s="33"/>
      <c r="CU1739" s="250">
        <f t="shared" si="490"/>
        <v>792.43090573155257</v>
      </c>
      <c r="CV1739" s="337"/>
      <c r="CW1739" s="330">
        <f t="shared" si="491"/>
        <v>1</v>
      </c>
      <c r="CX1739" s="330"/>
      <c r="CY1739" s="143" t="s">
        <v>6351</v>
      </c>
    </row>
    <row r="1740" spans="1:103" ht="11.25" customHeight="1" x14ac:dyDescent="0.2">
      <c r="A1740" s="72">
        <v>1738</v>
      </c>
      <c r="B1740" s="241">
        <v>582</v>
      </c>
      <c r="C1740" s="32" t="s">
        <v>494</v>
      </c>
      <c r="D1740" s="32"/>
      <c r="E1740" s="40"/>
      <c r="F1740" s="40" t="s">
        <v>1767</v>
      </c>
      <c r="G1740" s="242">
        <v>108952</v>
      </c>
      <c r="H1740" s="36" t="s">
        <v>495</v>
      </c>
      <c r="I1740" s="36" t="s">
        <v>495</v>
      </c>
      <c r="J1740" s="36" t="s">
        <v>496</v>
      </c>
      <c r="K1740" s="36" t="s">
        <v>349</v>
      </c>
      <c r="L1740" s="42" t="s">
        <v>5527</v>
      </c>
      <c r="M1740" s="36" t="s">
        <v>497</v>
      </c>
      <c r="N1740" s="36" t="s">
        <v>6381</v>
      </c>
      <c r="O1740" s="36" t="s">
        <v>6086</v>
      </c>
      <c r="P1740" s="41" t="s">
        <v>6184</v>
      </c>
      <c r="Q1740" s="41" t="s">
        <v>6176</v>
      </c>
      <c r="R1740" s="41" t="s">
        <v>6185</v>
      </c>
      <c r="S1740" s="41" t="s">
        <v>6176</v>
      </c>
      <c r="T1740" s="37">
        <v>94.11</v>
      </c>
      <c r="U1740" s="243">
        <v>419.32907348242816</v>
      </c>
      <c r="V1740" s="263">
        <v>336.06230031948883</v>
      </c>
      <c r="W1740" s="263">
        <v>1096.4781961431852</v>
      </c>
      <c r="X1740" s="243">
        <v>419.32907348242816</v>
      </c>
      <c r="Y1740" s="417">
        <v>4.91</v>
      </c>
      <c r="Z1740" s="40">
        <v>1.64</v>
      </c>
      <c r="AA1740" s="40">
        <v>1.23</v>
      </c>
      <c r="AB1740" s="40">
        <v>1.67</v>
      </c>
      <c r="AC1740" s="40">
        <v>0.93669999999999998</v>
      </c>
      <c r="AD1740" s="40">
        <v>1.63</v>
      </c>
      <c r="AE1740" s="40">
        <v>1.48</v>
      </c>
      <c r="AF1740" s="40">
        <f t="shared" si="467"/>
        <v>1.23</v>
      </c>
      <c r="AG1740" s="38">
        <v>1.46</v>
      </c>
      <c r="AH1740" s="243">
        <v>5.6100000000000001E-7</v>
      </c>
      <c r="AI1740" s="243">
        <v>3.3299999999999998E-7</v>
      </c>
      <c r="AJ1740" s="34">
        <f t="shared" si="497"/>
        <v>-4.6396034650564904</v>
      </c>
      <c r="AK1740" s="34">
        <f t="shared" si="494"/>
        <v>-4.8661220928063322</v>
      </c>
      <c r="AL1740" s="34">
        <f t="shared" si="498"/>
        <v>-4.8661220928063322</v>
      </c>
      <c r="AM1740" s="34">
        <v>-6.4734600000000002</v>
      </c>
      <c r="AN1740" s="244">
        <v>-4.68</v>
      </c>
      <c r="AO1740" s="417">
        <v>9.86</v>
      </c>
      <c r="AP1740" s="417"/>
      <c r="AQ1740" s="244" t="s">
        <v>6311</v>
      </c>
      <c r="AR1740" s="244" t="s">
        <v>6311</v>
      </c>
      <c r="AS1740" s="241" t="s">
        <v>282</v>
      </c>
      <c r="AT1740" s="39" t="s">
        <v>266</v>
      </c>
      <c r="AU1740" s="37">
        <v>2</v>
      </c>
      <c r="AV1740" s="37">
        <v>48</v>
      </c>
      <c r="AW1740" s="37">
        <v>48</v>
      </c>
      <c r="AX1740" s="37">
        <v>26</v>
      </c>
      <c r="AY1740" s="37" t="s">
        <v>647</v>
      </c>
      <c r="AZ1740" s="37" t="s">
        <v>536</v>
      </c>
      <c r="BA1740" s="37">
        <v>20</v>
      </c>
      <c r="BB1740" s="36" t="s">
        <v>537</v>
      </c>
      <c r="BC1740" s="36" t="s">
        <v>538</v>
      </c>
      <c r="BD1740" s="36"/>
      <c r="BE1740" s="37" t="s">
        <v>271</v>
      </c>
      <c r="BF1740" s="37" t="s">
        <v>539</v>
      </c>
      <c r="BG1740" s="37" t="s">
        <v>272</v>
      </c>
      <c r="BH1740" s="37" t="s">
        <v>272</v>
      </c>
      <c r="BI1740" s="248">
        <v>0.12219742854106896</v>
      </c>
      <c r="BJ1740" s="248">
        <v>0.62055041972160241</v>
      </c>
      <c r="BK1740" s="37"/>
      <c r="BL1740" s="243">
        <f t="shared" si="496"/>
        <v>1.7294818154229614</v>
      </c>
      <c r="BM1740" s="37" t="s">
        <v>541</v>
      </c>
      <c r="BN1740" s="37"/>
      <c r="BO1740" s="37">
        <v>0.52172989055360752</v>
      </c>
      <c r="BP1740" s="37"/>
      <c r="BQ1740" s="37"/>
      <c r="BR1740" s="37"/>
      <c r="BS1740" s="37"/>
      <c r="BT1740" s="37"/>
      <c r="BU1740" s="246"/>
      <c r="BV1740" s="37"/>
      <c r="BW1740" s="37"/>
      <c r="BX1740" s="37"/>
      <c r="BY1740" s="37"/>
      <c r="BZ1740" s="37"/>
      <c r="CA1740" s="37"/>
      <c r="CB1740" s="37"/>
      <c r="CC1740" s="37"/>
      <c r="CD1740" s="37"/>
      <c r="CE1740" s="37"/>
      <c r="CF1740" s="37"/>
      <c r="CG1740" s="37"/>
      <c r="CH1740" s="37"/>
      <c r="CI1740" s="243">
        <f t="shared" si="487"/>
        <v>0.52172989055360752</v>
      </c>
      <c r="CJ1740" s="243">
        <f t="shared" si="488"/>
        <v>-0.28255428129443899</v>
      </c>
      <c r="CK1740" s="38">
        <f t="shared" ref="CK1740:CK1762" si="499">BL1740/BJ1740</f>
        <v>2.7870125624906659</v>
      </c>
      <c r="CL1740" s="247">
        <f t="shared" si="489"/>
        <v>3.3148988523310567</v>
      </c>
      <c r="CM1740" s="247">
        <v>-1.0131937010876495</v>
      </c>
      <c r="CN1740" s="247">
        <f>BJ1740/(10^CM1740)</f>
        <v>6.3969178690308155</v>
      </c>
      <c r="CO1740" s="36"/>
      <c r="CP1740" s="36" t="s">
        <v>1558</v>
      </c>
      <c r="CQ1740" s="241">
        <v>-0.67773917825679619</v>
      </c>
      <c r="CR1740" s="241">
        <f t="shared" si="495"/>
        <v>2.4841905019128614</v>
      </c>
      <c r="CS1740" s="33"/>
      <c r="CT1740" s="33"/>
      <c r="CU1740" s="250">
        <f t="shared" si="490"/>
        <v>803.7282913529798</v>
      </c>
      <c r="CV1740" s="337">
        <f t="shared" ref="CV1740:CV1762" si="500">X1740/BJ1740</f>
        <v>675.73731344916632</v>
      </c>
      <c r="CW1740" s="330">
        <f t="shared" si="491"/>
        <v>1</v>
      </c>
      <c r="CX1740" s="330"/>
      <c r="CY1740" s="143" t="s">
        <v>6351</v>
      </c>
    </row>
    <row r="1741" spans="1:103" ht="11.25" customHeight="1" x14ac:dyDescent="0.2">
      <c r="A1741" s="72">
        <v>1739</v>
      </c>
      <c r="B1741" s="241">
        <v>150</v>
      </c>
      <c r="C1741" s="32" t="s">
        <v>7660</v>
      </c>
      <c r="D1741" s="32"/>
      <c r="E1741" s="40"/>
      <c r="F1741" s="40" t="s">
        <v>820</v>
      </c>
      <c r="G1741" s="242">
        <v>109057</v>
      </c>
      <c r="H1741" s="36" t="s">
        <v>821</v>
      </c>
      <c r="I1741" s="36" t="s">
        <v>821</v>
      </c>
      <c r="J1741" s="36" t="s">
        <v>822</v>
      </c>
      <c r="K1741" s="36" t="s">
        <v>300</v>
      </c>
      <c r="L1741" s="36"/>
      <c r="M1741" s="36"/>
      <c r="N1741" s="36"/>
      <c r="O1741" s="36"/>
      <c r="P1741" s="41"/>
      <c r="Q1741" s="41"/>
      <c r="R1741" s="41"/>
      <c r="S1741" s="41"/>
      <c r="T1741" s="37">
        <v>99.17</v>
      </c>
      <c r="U1741" s="243"/>
      <c r="V1741" s="243">
        <v>513.56256932540077</v>
      </c>
      <c r="W1741" s="243">
        <v>380.18939632056117</v>
      </c>
      <c r="X1741" s="243">
        <f>IF(W1741=0,V1741,W1741)</f>
        <v>380.18939632056117</v>
      </c>
      <c r="Y1741" s="414">
        <v>12.1</v>
      </c>
      <c r="Z1741" s="37">
        <v>1.61</v>
      </c>
      <c r="AA1741" s="37"/>
      <c r="AB1741" s="37">
        <v>1.4</v>
      </c>
      <c r="AC1741" s="37">
        <v>0.85260000000000002</v>
      </c>
      <c r="AD1741" s="37">
        <v>1.41</v>
      </c>
      <c r="AE1741" s="37">
        <v>1.42</v>
      </c>
      <c r="AF1741" s="37">
        <f t="shared" si="467"/>
        <v>1.41</v>
      </c>
      <c r="AG1741" s="38">
        <v>1.1200000000000001</v>
      </c>
      <c r="AH1741" s="243">
        <v>2.2799999999999999E-5</v>
      </c>
      <c r="AI1741" s="243"/>
      <c r="AJ1741" s="34">
        <f t="shared" si="497"/>
        <v>-3.030631479312198</v>
      </c>
      <c r="AK1741" s="34"/>
      <c r="AL1741" s="34">
        <f t="shared" si="498"/>
        <v>-3.030631479312198</v>
      </c>
      <c r="AM1741" s="34">
        <v>-3.85859</v>
      </c>
      <c r="AN1741" s="244">
        <v>-3.58</v>
      </c>
      <c r="AO1741" s="417"/>
      <c r="AP1741" s="417">
        <v>10.63</v>
      </c>
      <c r="AQ1741" s="244" t="s">
        <v>6311</v>
      </c>
      <c r="AR1741" s="244" t="s">
        <v>6311</v>
      </c>
      <c r="AS1741" s="241" t="s">
        <v>81</v>
      </c>
      <c r="AT1741" s="39" t="s">
        <v>266</v>
      </c>
      <c r="AU1741" s="37">
        <v>0</v>
      </c>
      <c r="AV1741" s="37">
        <v>48</v>
      </c>
      <c r="AW1741" s="37">
        <v>48</v>
      </c>
      <c r="AX1741" s="37">
        <v>26</v>
      </c>
      <c r="AY1741" s="37" t="s">
        <v>8722</v>
      </c>
      <c r="AZ1741" s="37" t="s">
        <v>536</v>
      </c>
      <c r="BA1741" s="37">
        <v>20</v>
      </c>
      <c r="BB1741" s="36" t="s">
        <v>537</v>
      </c>
      <c r="BC1741" s="36" t="s">
        <v>648</v>
      </c>
      <c r="BD1741" s="36"/>
      <c r="BE1741" s="245" t="s">
        <v>649</v>
      </c>
      <c r="BF1741" s="37" t="s">
        <v>539</v>
      </c>
      <c r="BG1741" s="37" t="s">
        <v>272</v>
      </c>
      <c r="BH1741" s="37" t="s">
        <v>272</v>
      </c>
      <c r="BI1741" s="248">
        <v>0.52934059286146395</v>
      </c>
      <c r="BJ1741" s="248">
        <v>1.512401693889897</v>
      </c>
      <c r="BK1741" s="37"/>
      <c r="BL1741" s="243">
        <f t="shared" si="496"/>
        <v>1.8401744651556222</v>
      </c>
      <c r="BM1741" s="37" t="s">
        <v>541</v>
      </c>
      <c r="BN1741" s="37"/>
      <c r="BO1741" s="37">
        <v>1.032</v>
      </c>
      <c r="BP1741" s="37"/>
      <c r="BQ1741" s="37"/>
      <c r="BR1741" s="37"/>
      <c r="BS1741" s="37"/>
      <c r="BT1741" s="37"/>
      <c r="BU1741" s="246"/>
      <c r="BV1741" s="37"/>
      <c r="BW1741" s="37"/>
      <c r="BX1741" s="37"/>
      <c r="BY1741" s="37"/>
      <c r="BZ1741" s="37"/>
      <c r="CA1741" s="37"/>
      <c r="CB1741" s="37"/>
      <c r="CC1741" s="37"/>
      <c r="CD1741" s="37"/>
      <c r="CE1741" s="37"/>
      <c r="CF1741" s="37"/>
      <c r="CG1741" s="37"/>
      <c r="CH1741" s="37"/>
      <c r="CI1741" s="243">
        <f t="shared" si="487"/>
        <v>1.032</v>
      </c>
      <c r="CJ1741" s="243">
        <f t="shared" si="488"/>
        <v>1.3679697291192561E-2</v>
      </c>
      <c r="CK1741" s="38">
        <f t="shared" si="499"/>
        <v>1.2167233563608975</v>
      </c>
      <c r="CL1741" s="247">
        <f t="shared" si="489"/>
        <v>1.7831147918174632</v>
      </c>
      <c r="CM1741" s="247"/>
      <c r="CN1741" s="247"/>
      <c r="CO1741" s="36"/>
      <c r="CP1741" s="36" t="s">
        <v>772</v>
      </c>
      <c r="CQ1741" s="241" t="s">
        <v>272</v>
      </c>
      <c r="CR1741" s="241"/>
      <c r="CS1741" s="33"/>
      <c r="CT1741" s="33"/>
      <c r="CU1741" s="250">
        <f t="shared" si="490"/>
        <v>368.40057783000111</v>
      </c>
      <c r="CV1741" s="337">
        <f t="shared" si="500"/>
        <v>251.38122884715509</v>
      </c>
      <c r="CW1741" s="330">
        <f t="shared" si="491"/>
        <v>1</v>
      </c>
      <c r="CX1741" s="330"/>
      <c r="CY1741" s="143" t="s">
        <v>5921</v>
      </c>
    </row>
    <row r="1742" spans="1:103" ht="11.25" customHeight="1" x14ac:dyDescent="0.2">
      <c r="A1742" s="72">
        <v>1740</v>
      </c>
      <c r="B1742" s="241">
        <v>136</v>
      </c>
      <c r="C1742" s="32" t="s">
        <v>7661</v>
      </c>
      <c r="D1742" s="32"/>
      <c r="E1742" s="40"/>
      <c r="F1742" s="40" t="s">
        <v>777</v>
      </c>
      <c r="G1742" s="242">
        <v>109739</v>
      </c>
      <c r="H1742" s="36" t="s">
        <v>778</v>
      </c>
      <c r="I1742" s="36" t="s">
        <v>778</v>
      </c>
      <c r="J1742" s="36" t="s">
        <v>779</v>
      </c>
      <c r="K1742" s="36" t="s">
        <v>300</v>
      </c>
      <c r="L1742" s="36"/>
      <c r="M1742" s="36"/>
      <c r="N1742" s="36"/>
      <c r="O1742" s="36"/>
      <c r="P1742" s="41"/>
      <c r="Q1742" s="41"/>
      <c r="R1742" s="41"/>
      <c r="S1742" s="41"/>
      <c r="T1742" s="37">
        <v>73.14</v>
      </c>
      <c r="U1742" s="243">
        <v>13672.409078479628</v>
      </c>
      <c r="V1742" s="243">
        <v>2774.1318020235167</v>
      </c>
      <c r="W1742" s="243">
        <v>724.43596007499002</v>
      </c>
      <c r="X1742" s="243">
        <v>13672.409078479628</v>
      </c>
      <c r="Y1742" s="414">
        <v>12.27</v>
      </c>
      <c r="Z1742" s="37">
        <v>0.83</v>
      </c>
      <c r="AA1742" s="37">
        <v>0.97</v>
      </c>
      <c r="AB1742" s="37">
        <v>0.73</v>
      </c>
      <c r="AC1742" s="37">
        <v>0.94399999999999995</v>
      </c>
      <c r="AD1742" s="37">
        <v>0.77</v>
      </c>
      <c r="AE1742" s="37">
        <v>0.93</v>
      </c>
      <c r="AF1742" s="37">
        <f t="shared" si="467"/>
        <v>0.97</v>
      </c>
      <c r="AG1742" s="38">
        <v>0.52</v>
      </c>
      <c r="AH1742" s="243">
        <v>1.77E-5</v>
      </c>
      <c r="AI1742" s="243">
        <v>1.7399999999999999E-5</v>
      </c>
      <c r="AJ1742" s="34">
        <f t="shared" si="497"/>
        <v>-3.1405930599508451</v>
      </c>
      <c r="AK1742" s="34">
        <f>LOG10(AI1742*1000/(0.08206*298.15))</f>
        <v>-3.148017078030052</v>
      </c>
      <c r="AL1742" s="34">
        <f t="shared" si="498"/>
        <v>-3.148017078030052</v>
      </c>
      <c r="AM1742" s="34">
        <v>-4.4413099999999996</v>
      </c>
      <c r="AN1742" s="244">
        <v>-3.18</v>
      </c>
      <c r="AO1742" s="417"/>
      <c r="AP1742" s="417">
        <v>10.69</v>
      </c>
      <c r="AQ1742" s="244" t="s">
        <v>6311</v>
      </c>
      <c r="AR1742" s="244" t="s">
        <v>6311</v>
      </c>
      <c r="AS1742" s="241" t="s">
        <v>72</v>
      </c>
      <c r="AT1742" s="39" t="s">
        <v>266</v>
      </c>
      <c r="AU1742" s="37">
        <v>0</v>
      </c>
      <c r="AV1742" s="37">
        <v>48</v>
      </c>
      <c r="AW1742" s="37">
        <v>48</v>
      </c>
      <c r="AX1742" s="37">
        <v>26</v>
      </c>
      <c r="AY1742" s="37" t="s">
        <v>8722</v>
      </c>
      <c r="AZ1742" s="37" t="s">
        <v>536</v>
      </c>
      <c r="BA1742" s="37">
        <v>20</v>
      </c>
      <c r="BB1742" s="36" t="s">
        <v>537</v>
      </c>
      <c r="BC1742" s="36" t="s">
        <v>648</v>
      </c>
      <c r="BD1742" s="36"/>
      <c r="BE1742" s="245" t="s">
        <v>649</v>
      </c>
      <c r="BF1742" s="37" t="s">
        <v>539</v>
      </c>
      <c r="BG1742" s="37" t="s">
        <v>272</v>
      </c>
      <c r="BH1742" s="37" t="s">
        <v>272</v>
      </c>
      <c r="BI1742" s="248">
        <v>130.8176100628931</v>
      </c>
      <c r="BJ1742" s="248">
        <v>503.14465408805029</v>
      </c>
      <c r="BK1742" s="37"/>
      <c r="BL1742" s="243">
        <f t="shared" si="496"/>
        <v>9.2337263566302212</v>
      </c>
      <c r="BM1742" s="37" t="s">
        <v>541</v>
      </c>
      <c r="BN1742" s="37"/>
      <c r="BO1742" s="37">
        <v>0.49099999999999999</v>
      </c>
      <c r="BP1742" s="37"/>
      <c r="BQ1742" s="37"/>
      <c r="BR1742" s="37"/>
      <c r="BS1742" s="37"/>
      <c r="BT1742" s="37"/>
      <c r="BU1742" s="246"/>
      <c r="BV1742" s="37"/>
      <c r="BW1742" s="37"/>
      <c r="BX1742" s="37"/>
      <c r="BY1742" s="37"/>
      <c r="BZ1742" s="37"/>
      <c r="CA1742" s="37"/>
      <c r="CB1742" s="37"/>
      <c r="CC1742" s="37"/>
      <c r="CD1742" s="37"/>
      <c r="CE1742" s="37"/>
      <c r="CF1742" s="37"/>
      <c r="CG1742" s="37"/>
      <c r="CH1742" s="37"/>
      <c r="CI1742" s="243">
        <f t="shared" si="487"/>
        <v>0.49099999999999999</v>
      </c>
      <c r="CJ1742" s="243">
        <f t="shared" si="488"/>
        <v>-0.30891850787703151</v>
      </c>
      <c r="CK1742" s="38">
        <f t="shared" si="499"/>
        <v>1.8352031133802564E-2</v>
      </c>
      <c r="CL1742" s="247">
        <f t="shared" si="489"/>
        <v>18.805959993136906</v>
      </c>
      <c r="CM1742" s="247"/>
      <c r="CN1742" s="247"/>
      <c r="CO1742" s="36"/>
      <c r="CP1742" s="36" t="s">
        <v>772</v>
      </c>
      <c r="CQ1742" s="241">
        <v>0.25523384699122831</v>
      </c>
      <c r="CR1742" s="241">
        <f>10^(CJ1742-CQ1742)</f>
        <v>0.27280205978845584</v>
      </c>
      <c r="CS1742" s="33"/>
      <c r="CT1742" s="33"/>
      <c r="CU1742" s="250">
        <f t="shared" si="490"/>
        <v>27846.0470030135</v>
      </c>
      <c r="CV1742" s="337">
        <f t="shared" si="500"/>
        <v>27.173913043478262</v>
      </c>
      <c r="CW1742" s="330">
        <f t="shared" si="491"/>
        <v>1</v>
      </c>
      <c r="CX1742" s="330"/>
      <c r="CY1742" s="143" t="s">
        <v>6351</v>
      </c>
    </row>
    <row r="1743" spans="1:103" ht="11.25" customHeight="1" x14ac:dyDescent="0.2">
      <c r="A1743" s="72">
        <v>1741</v>
      </c>
      <c r="B1743" s="241">
        <v>147</v>
      </c>
      <c r="C1743" s="32" t="s">
        <v>7662</v>
      </c>
      <c r="D1743" s="32"/>
      <c r="E1743" s="40"/>
      <c r="F1743" s="40" t="s">
        <v>811</v>
      </c>
      <c r="G1743" s="242">
        <v>109897</v>
      </c>
      <c r="H1743" s="36" t="s">
        <v>812</v>
      </c>
      <c r="I1743" s="36" t="s">
        <v>812</v>
      </c>
      <c r="J1743" s="36" t="s">
        <v>813</v>
      </c>
      <c r="K1743" s="36" t="s">
        <v>300</v>
      </c>
      <c r="L1743" s="36"/>
      <c r="M1743" s="36"/>
      <c r="N1743" s="36"/>
      <c r="O1743" s="36"/>
      <c r="P1743" s="41" t="s">
        <v>6183</v>
      </c>
      <c r="Q1743" s="41" t="s">
        <v>6173</v>
      </c>
      <c r="R1743" s="41" t="s">
        <v>6185</v>
      </c>
      <c r="S1743" s="41" t="s">
        <v>6182</v>
      </c>
      <c r="T1743" s="37">
        <v>73.14</v>
      </c>
      <c r="U1743" s="243">
        <v>13672.409078479628</v>
      </c>
      <c r="V1743" s="243">
        <v>5973.4755263877496</v>
      </c>
      <c r="W1743" s="243">
        <v>1698.2436524617444</v>
      </c>
      <c r="X1743" s="243">
        <v>13672.409078479628</v>
      </c>
      <c r="Y1743" s="414">
        <v>12.49</v>
      </c>
      <c r="Z1743" s="37">
        <v>0.81</v>
      </c>
      <c r="AA1743" s="37">
        <v>0.57999999999999996</v>
      </c>
      <c r="AB1743" s="37">
        <v>0.73</v>
      </c>
      <c r="AC1743" s="37">
        <v>0.89100000000000001</v>
      </c>
      <c r="AD1743" s="37">
        <v>0.7</v>
      </c>
      <c r="AE1743" s="37">
        <v>0.63</v>
      </c>
      <c r="AF1743" s="37">
        <f t="shared" si="467"/>
        <v>0.57999999999999996</v>
      </c>
      <c r="AG1743" s="38">
        <v>0.6</v>
      </c>
      <c r="AH1743" s="243">
        <v>2.9300000000000001E-5</v>
      </c>
      <c r="AI1743" s="243">
        <v>2.55E-5</v>
      </c>
      <c r="AJ1743" s="34">
        <f t="shared" si="497"/>
        <v>-2.9216987059585424</v>
      </c>
      <c r="AK1743" s="34">
        <f>LOG10(AI1743*1000/(0.08206*298.15))</f>
        <v>-2.9820261458786965</v>
      </c>
      <c r="AL1743" s="34">
        <f t="shared" si="498"/>
        <v>-2.9820261458786965</v>
      </c>
      <c r="AM1743" s="34">
        <v>-3.1630899999999995</v>
      </c>
      <c r="AN1743" s="244">
        <v>-2.83</v>
      </c>
      <c r="AO1743" s="417"/>
      <c r="AP1743" s="417">
        <v>10.76</v>
      </c>
      <c r="AQ1743" s="244" t="s">
        <v>6311</v>
      </c>
      <c r="AR1743" s="244" t="s">
        <v>6311</v>
      </c>
      <c r="AS1743" s="241" t="s">
        <v>72</v>
      </c>
      <c r="AT1743" s="39" t="s">
        <v>266</v>
      </c>
      <c r="AU1743" s="37">
        <v>0</v>
      </c>
      <c r="AV1743" s="37">
        <v>48</v>
      </c>
      <c r="AW1743" s="37">
        <v>48</v>
      </c>
      <c r="AX1743" s="37">
        <v>26</v>
      </c>
      <c r="AY1743" s="37" t="s">
        <v>8722</v>
      </c>
      <c r="AZ1743" s="37" t="s">
        <v>536</v>
      </c>
      <c r="BA1743" s="37">
        <v>20</v>
      </c>
      <c r="BB1743" s="36" t="s">
        <v>537</v>
      </c>
      <c r="BC1743" s="36" t="s">
        <v>648</v>
      </c>
      <c r="BD1743" s="36"/>
      <c r="BE1743" s="245" t="s">
        <v>649</v>
      </c>
      <c r="BF1743" s="37" t="s">
        <v>539</v>
      </c>
      <c r="BG1743" s="37" t="s">
        <v>272</v>
      </c>
      <c r="BH1743" s="37" t="s">
        <v>272</v>
      </c>
      <c r="BI1743" s="248">
        <v>0.52638774952146572</v>
      </c>
      <c r="BJ1743" s="248">
        <v>1.503964998632759</v>
      </c>
      <c r="BK1743" s="37"/>
      <c r="BL1743" s="243">
        <f t="shared" si="496"/>
        <v>9.6236318321384644</v>
      </c>
      <c r="BM1743" s="37" t="s">
        <v>541</v>
      </c>
      <c r="BN1743" s="37"/>
      <c r="BO1743" s="37">
        <v>1.2749999999999999</v>
      </c>
      <c r="BP1743" s="37"/>
      <c r="BQ1743" s="37"/>
      <c r="BR1743" s="37"/>
      <c r="BS1743" s="37"/>
      <c r="BT1743" s="37"/>
      <c r="BU1743" s="246"/>
      <c r="BV1743" s="37"/>
      <c r="BW1743" s="37"/>
      <c r="BX1743" s="37"/>
      <c r="BY1743" s="37"/>
      <c r="BZ1743" s="37"/>
      <c r="CA1743" s="37"/>
      <c r="CB1743" s="37"/>
      <c r="CC1743" s="37"/>
      <c r="CD1743" s="37"/>
      <c r="CE1743" s="37"/>
      <c r="CF1743" s="37"/>
      <c r="CG1743" s="37"/>
      <c r="CH1743" s="37"/>
      <c r="CI1743" s="243">
        <f t="shared" si="487"/>
        <v>1.2749999999999999</v>
      </c>
      <c r="CJ1743" s="243">
        <f t="shared" si="488"/>
        <v>0.10551018476997394</v>
      </c>
      <c r="CK1743" s="38">
        <f t="shared" si="499"/>
        <v>6.3988402927509753</v>
      </c>
      <c r="CL1743" s="247">
        <f t="shared" si="489"/>
        <v>7.5479465350105608</v>
      </c>
      <c r="CM1743" s="247"/>
      <c r="CN1743" s="247"/>
      <c r="CO1743" s="36"/>
      <c r="CP1743" s="36" t="s">
        <v>772</v>
      </c>
      <c r="CQ1743" s="241">
        <v>0.51683771280210622</v>
      </c>
      <c r="CR1743" s="241">
        <f>10^(CJ1743-CQ1743)</f>
        <v>0.38785774841297499</v>
      </c>
      <c r="CS1743" s="33"/>
      <c r="CT1743" s="33"/>
      <c r="CU1743" s="250">
        <f t="shared" si="490"/>
        <v>10723.458100768337</v>
      </c>
      <c r="CV1743" s="337">
        <f t="shared" si="500"/>
        <v>9090.9090909090919</v>
      </c>
      <c r="CW1743" s="330">
        <f t="shared" si="491"/>
        <v>1</v>
      </c>
      <c r="CX1743" s="330"/>
      <c r="CY1743" s="143" t="s">
        <v>6351</v>
      </c>
    </row>
    <row r="1744" spans="1:103" ht="11.25" customHeight="1" x14ac:dyDescent="0.2">
      <c r="A1744" s="72">
        <v>1742</v>
      </c>
      <c r="B1744" s="241">
        <v>119</v>
      </c>
      <c r="C1744" s="32" t="s">
        <v>7663</v>
      </c>
      <c r="D1744" s="32"/>
      <c r="E1744" s="40"/>
      <c r="F1744" s="40" t="s">
        <v>721</v>
      </c>
      <c r="G1744" s="242">
        <v>110134</v>
      </c>
      <c r="H1744" s="36" t="s">
        <v>722</v>
      </c>
      <c r="I1744" s="36" t="s">
        <v>722</v>
      </c>
      <c r="J1744" s="36" t="s">
        <v>723</v>
      </c>
      <c r="K1744" s="36" t="s">
        <v>426</v>
      </c>
      <c r="L1744" s="36"/>
      <c r="M1744" s="36"/>
      <c r="N1744" s="36"/>
      <c r="O1744" s="36"/>
      <c r="P1744" s="41"/>
      <c r="Q1744" s="41"/>
      <c r="R1744" s="41"/>
      <c r="S1744" s="41"/>
      <c r="T1744" s="37">
        <v>114.14</v>
      </c>
      <c r="U1744" s="243"/>
      <c r="V1744" s="243">
        <v>1569.1256351848606</v>
      </c>
      <c r="W1744" s="243">
        <v>707.94578438413794</v>
      </c>
      <c r="X1744" s="243">
        <f>IF(W1744=0,V1744,W1744)</f>
        <v>707.94578438413794</v>
      </c>
      <c r="Y1744" s="414">
        <v>7</v>
      </c>
      <c r="Z1744" s="37">
        <v>-0.81</v>
      </c>
      <c r="AA1744" s="37">
        <v>-0.27</v>
      </c>
      <c r="AB1744" s="37">
        <v>-0.11</v>
      </c>
      <c r="AC1744" s="37">
        <v>0.87050000000000005</v>
      </c>
      <c r="AD1744" s="37">
        <v>-0.15</v>
      </c>
      <c r="AE1744" s="37">
        <v>-0.27</v>
      </c>
      <c r="AF1744" s="37">
        <f t="shared" si="467"/>
        <v>-0.27</v>
      </c>
      <c r="AG1744" s="38">
        <v>0.11</v>
      </c>
      <c r="AH1744" s="243">
        <v>4.43E-8</v>
      </c>
      <c r="AI1744" s="243"/>
      <c r="AJ1744" s="34">
        <f t="shared" si="497"/>
        <v>-5.742162600089582</v>
      </c>
      <c r="AK1744" s="34"/>
      <c r="AL1744" s="34">
        <f t="shared" si="498"/>
        <v>-5.742162600089582</v>
      </c>
      <c r="AM1744" s="34">
        <v>-6.3219000000000003</v>
      </c>
      <c r="AN1744" s="244">
        <v>-5.71</v>
      </c>
      <c r="AO1744" s="417"/>
      <c r="AP1744" s="417"/>
      <c r="AQ1744" s="244" t="s">
        <v>6311</v>
      </c>
      <c r="AR1744" s="244" t="s">
        <v>6311</v>
      </c>
      <c r="AS1744" s="241" t="s">
        <v>6</v>
      </c>
      <c r="AT1744" s="39" t="s">
        <v>266</v>
      </c>
      <c r="AU1744" s="37">
        <v>0</v>
      </c>
      <c r="AV1744" s="37" t="s">
        <v>646</v>
      </c>
      <c r="AW1744" s="37" t="s">
        <v>646</v>
      </c>
      <c r="AX1744" s="37">
        <v>26</v>
      </c>
      <c r="AY1744" s="37" t="s">
        <v>647</v>
      </c>
      <c r="AZ1744" s="37" t="s">
        <v>536</v>
      </c>
      <c r="BA1744" s="37">
        <v>20</v>
      </c>
      <c r="BB1744" s="36" t="s">
        <v>537</v>
      </c>
      <c r="BC1744" s="36" t="s">
        <v>648</v>
      </c>
      <c r="BD1744" s="36"/>
      <c r="BE1744" s="245" t="s">
        <v>649</v>
      </c>
      <c r="BF1744" s="245" t="s">
        <v>650</v>
      </c>
      <c r="BG1744" s="245" t="s">
        <v>540</v>
      </c>
      <c r="BH1744" s="245" t="s">
        <v>272</v>
      </c>
      <c r="BI1744" s="243">
        <v>10.5</v>
      </c>
      <c r="BJ1744" s="243">
        <v>53.2</v>
      </c>
      <c r="BK1744" s="37"/>
      <c r="BL1744" s="243">
        <f t="shared" si="496"/>
        <v>274.32222838559966</v>
      </c>
      <c r="BM1744" s="37" t="s">
        <v>541</v>
      </c>
      <c r="BN1744" s="37"/>
      <c r="BO1744" s="37">
        <v>40.9</v>
      </c>
      <c r="BP1744" s="37"/>
      <c r="BQ1744" s="37"/>
      <c r="BR1744" s="37"/>
      <c r="BS1744" s="37"/>
      <c r="BT1744" s="37"/>
      <c r="BU1744" s="246"/>
      <c r="BV1744" s="37"/>
      <c r="BW1744" s="37"/>
      <c r="BX1744" s="37"/>
      <c r="BY1744" s="37"/>
      <c r="BZ1744" s="37"/>
      <c r="CA1744" s="37"/>
      <c r="CB1744" s="37"/>
      <c r="CC1744" s="37"/>
      <c r="CD1744" s="37"/>
      <c r="CE1744" s="37"/>
      <c r="CF1744" s="37"/>
      <c r="CG1744" s="37"/>
      <c r="CH1744" s="37"/>
      <c r="CI1744" s="243">
        <f t="shared" si="487"/>
        <v>40.9</v>
      </c>
      <c r="CJ1744" s="243">
        <f t="shared" si="488"/>
        <v>1.6117233080073419</v>
      </c>
      <c r="CK1744" s="38">
        <f t="shared" si="499"/>
        <v>5.1564328643909709</v>
      </c>
      <c r="CL1744" s="247">
        <f t="shared" si="489"/>
        <v>6.7071449483031707</v>
      </c>
      <c r="CM1744" s="247"/>
      <c r="CN1744" s="247"/>
      <c r="CO1744" s="36"/>
      <c r="CP1744" s="36" t="s">
        <v>651</v>
      </c>
      <c r="CQ1744" s="241" t="s">
        <v>272</v>
      </c>
      <c r="CR1744" s="241"/>
      <c r="CS1744" s="33"/>
      <c r="CT1744" s="33"/>
      <c r="CU1744" s="250">
        <f t="shared" si="490"/>
        <v>17.309187882252761</v>
      </c>
      <c r="CV1744" s="337">
        <f t="shared" si="500"/>
        <v>13.307251586168006</v>
      </c>
      <c r="CW1744" s="330">
        <f t="shared" si="491"/>
        <v>1</v>
      </c>
      <c r="CX1744" s="330"/>
      <c r="CY1744" s="143" t="s">
        <v>5921</v>
      </c>
    </row>
    <row r="1745" spans="1:103" ht="11.25" customHeight="1" x14ac:dyDescent="0.2">
      <c r="A1745" s="72">
        <v>1743</v>
      </c>
      <c r="B1745" s="241">
        <v>139</v>
      </c>
      <c r="C1745" s="32" t="s">
        <v>7664</v>
      </c>
      <c r="D1745" s="32"/>
      <c r="E1745" s="40"/>
      <c r="F1745" s="40" t="s">
        <v>787</v>
      </c>
      <c r="G1745" s="242">
        <v>110587</v>
      </c>
      <c r="H1745" s="36" t="s">
        <v>788</v>
      </c>
      <c r="I1745" s="36" t="s">
        <v>788</v>
      </c>
      <c r="J1745" s="36" t="s">
        <v>789</v>
      </c>
      <c r="K1745" s="36" t="s">
        <v>300</v>
      </c>
      <c r="L1745" s="36"/>
      <c r="M1745" s="36"/>
      <c r="N1745" s="36"/>
      <c r="O1745" s="36"/>
      <c r="P1745" s="41"/>
      <c r="Q1745" s="41"/>
      <c r="R1745" s="41"/>
      <c r="S1745" s="41"/>
      <c r="T1745" s="37">
        <v>87.16</v>
      </c>
      <c r="U1745" s="243">
        <v>11473.152822395596</v>
      </c>
      <c r="V1745" s="243">
        <v>788.8939880679211</v>
      </c>
      <c r="W1745" s="243">
        <v>295.12092266663848</v>
      </c>
      <c r="X1745" s="243">
        <v>11473.152822395596</v>
      </c>
      <c r="Y1745" s="414">
        <v>12.07</v>
      </c>
      <c r="Z1745" s="37">
        <v>1.33</v>
      </c>
      <c r="AA1745" s="37">
        <v>1.49</v>
      </c>
      <c r="AB1745" s="37">
        <v>1.58</v>
      </c>
      <c r="AC1745" s="37">
        <v>0.8649</v>
      </c>
      <c r="AD1745" s="37">
        <v>1.55</v>
      </c>
      <c r="AE1745" s="37">
        <v>1.46</v>
      </c>
      <c r="AF1745" s="37">
        <f t="shared" si="467"/>
        <v>1.49</v>
      </c>
      <c r="AG1745" s="38">
        <v>0.96</v>
      </c>
      <c r="AH1745" s="243">
        <v>2.3499999999999999E-5</v>
      </c>
      <c r="AI1745" s="243">
        <v>2.4300000000000001E-5</v>
      </c>
      <c r="AJ1745" s="34">
        <f t="shared" si="497"/>
        <v>-3.0174984640409157</v>
      </c>
      <c r="AK1745" s="34">
        <f t="shared" ref="AK1745:AK1750" si="501">LOG10(AI1745*1000/(0.08206*298.15))</f>
        <v>-3.0029600527143394</v>
      </c>
      <c r="AL1745" s="34">
        <f t="shared" si="498"/>
        <v>-3.0029600527143394</v>
      </c>
      <c r="AM1745" s="34">
        <v>-4.5731099999999998</v>
      </c>
      <c r="AN1745" s="244">
        <v>-3.05</v>
      </c>
      <c r="AO1745" s="417"/>
      <c r="AP1745" s="417">
        <v>10.69</v>
      </c>
      <c r="AQ1745" s="244" t="s">
        <v>6311</v>
      </c>
      <c r="AR1745" s="244" t="s">
        <v>6311</v>
      </c>
      <c r="AS1745" s="241" t="s">
        <v>72</v>
      </c>
      <c r="AT1745" s="39" t="s">
        <v>266</v>
      </c>
      <c r="AU1745" s="37">
        <v>0</v>
      </c>
      <c r="AV1745" s="37">
        <v>48</v>
      </c>
      <c r="AW1745" s="37">
        <v>48</v>
      </c>
      <c r="AX1745" s="37">
        <v>26</v>
      </c>
      <c r="AY1745" s="37" t="s">
        <v>8722</v>
      </c>
      <c r="AZ1745" s="37" t="s">
        <v>536</v>
      </c>
      <c r="BA1745" s="37">
        <v>20</v>
      </c>
      <c r="BB1745" s="36" t="s">
        <v>537</v>
      </c>
      <c r="BC1745" s="36" t="s">
        <v>648</v>
      </c>
      <c r="BD1745" s="36"/>
      <c r="BE1745" s="245" t="s">
        <v>649</v>
      </c>
      <c r="BF1745" s="37" t="s">
        <v>539</v>
      </c>
      <c r="BG1745" s="37" t="s">
        <v>272</v>
      </c>
      <c r="BH1745" s="37" t="s">
        <v>272</v>
      </c>
      <c r="BI1745" s="248">
        <v>0.30170930365951587</v>
      </c>
      <c r="BJ1745" s="248">
        <v>0.8603877480784673</v>
      </c>
      <c r="BK1745" s="37"/>
      <c r="BL1745" s="243">
        <f t="shared" si="496"/>
        <v>3.283424239566886</v>
      </c>
      <c r="BM1745" s="37" t="s">
        <v>541</v>
      </c>
      <c r="BN1745" s="37"/>
      <c r="BO1745" s="37">
        <v>0.35399999999999998</v>
      </c>
      <c r="BP1745" s="37"/>
      <c r="BQ1745" s="37"/>
      <c r="BR1745" s="37"/>
      <c r="BS1745" s="37"/>
      <c r="BT1745" s="37"/>
      <c r="BU1745" s="246"/>
      <c r="BV1745" s="37"/>
      <c r="BW1745" s="37"/>
      <c r="BX1745" s="37"/>
      <c r="BY1745" s="37"/>
      <c r="BZ1745" s="37"/>
      <c r="CA1745" s="37"/>
      <c r="CB1745" s="37"/>
      <c r="CC1745" s="37"/>
      <c r="CD1745" s="37"/>
      <c r="CE1745" s="37"/>
      <c r="CF1745" s="37"/>
      <c r="CG1745" s="37"/>
      <c r="CH1745" s="37"/>
      <c r="CI1745" s="243">
        <f t="shared" si="487"/>
        <v>0.35399999999999998</v>
      </c>
      <c r="CJ1745" s="243">
        <f t="shared" si="488"/>
        <v>-0.45099673797421219</v>
      </c>
      <c r="CK1745" s="38">
        <f t="shared" si="499"/>
        <v>3.8162145461739398</v>
      </c>
      <c r="CL1745" s="247">
        <f t="shared" si="489"/>
        <v>9.2752097162906395</v>
      </c>
      <c r="CM1745" s="247"/>
      <c r="CN1745" s="247"/>
      <c r="CO1745" s="36"/>
      <c r="CP1745" s="36" t="s">
        <v>772</v>
      </c>
      <c r="CQ1745" s="241">
        <v>0.30887941276113229</v>
      </c>
      <c r="CR1745" s="241">
        <f>10^(CJ1745-CQ1745)</f>
        <v>0.17382964741119711</v>
      </c>
      <c r="CS1745" s="33"/>
      <c r="CT1745" s="33"/>
      <c r="CU1745" s="250">
        <f t="shared" si="490"/>
        <v>32410.036221456485</v>
      </c>
      <c r="CV1745" s="337">
        <f t="shared" si="500"/>
        <v>13334.863087042988</v>
      </c>
      <c r="CW1745" s="330">
        <f t="shared" si="491"/>
        <v>1</v>
      </c>
      <c r="CX1745" s="330"/>
      <c r="CY1745" s="143" t="s">
        <v>5921</v>
      </c>
    </row>
    <row r="1746" spans="1:103" ht="11.25" customHeight="1" x14ac:dyDescent="0.2">
      <c r="A1746" s="72">
        <v>1744</v>
      </c>
      <c r="B1746" s="241">
        <v>807</v>
      </c>
      <c r="C1746" s="32" t="s">
        <v>7665</v>
      </c>
      <c r="D1746" s="32"/>
      <c r="E1746" s="40"/>
      <c r="F1746" s="40" t="s">
        <v>2292</v>
      </c>
      <c r="G1746" s="242">
        <v>110827</v>
      </c>
      <c r="H1746" s="36" t="s">
        <v>2293</v>
      </c>
      <c r="I1746" s="36" t="s">
        <v>2293</v>
      </c>
      <c r="J1746" s="36" t="s">
        <v>2294</v>
      </c>
      <c r="K1746" s="36" t="s">
        <v>426</v>
      </c>
      <c r="L1746" s="36"/>
      <c r="M1746" s="36"/>
      <c r="N1746" s="36"/>
      <c r="O1746" s="36"/>
      <c r="P1746" s="41" t="s">
        <v>6183</v>
      </c>
      <c r="Q1746" s="41" t="s">
        <v>6182</v>
      </c>
      <c r="R1746" s="41" t="s">
        <v>6185</v>
      </c>
      <c r="S1746" s="41" t="s">
        <v>6176</v>
      </c>
      <c r="T1746" s="37">
        <v>84.16</v>
      </c>
      <c r="U1746" s="243">
        <v>22.916399948790168</v>
      </c>
      <c r="V1746" s="243">
        <v>25.604916143899629</v>
      </c>
      <c r="W1746" s="243">
        <v>0.63095734448019247</v>
      </c>
      <c r="X1746" s="243">
        <v>22.916399948790168</v>
      </c>
      <c r="Y1746" s="414">
        <v>7</v>
      </c>
      <c r="Z1746" s="37">
        <v>1.99</v>
      </c>
      <c r="AA1746" s="37">
        <v>2.13</v>
      </c>
      <c r="AB1746" s="37">
        <v>1.98</v>
      </c>
      <c r="AC1746" s="37">
        <v>0.89549999999999996</v>
      </c>
      <c r="AD1746" s="37">
        <v>2.04</v>
      </c>
      <c r="AE1746" s="37">
        <v>2.2200000000000002</v>
      </c>
      <c r="AF1746" s="37">
        <f t="shared" si="467"/>
        <v>2.13</v>
      </c>
      <c r="AG1746" s="38">
        <v>2.36</v>
      </c>
      <c r="AH1746" s="243">
        <v>0.255</v>
      </c>
      <c r="AI1746" s="243">
        <v>0.15</v>
      </c>
      <c r="AJ1746" s="34">
        <f t="shared" si="497"/>
        <v>1.0179738541213035</v>
      </c>
      <c r="AK1746" s="34">
        <f t="shared" si="501"/>
        <v>0.78752493274302948</v>
      </c>
      <c r="AL1746" s="34">
        <f t="shared" si="498"/>
        <v>0.78752493274302948</v>
      </c>
      <c r="AM1746" s="34">
        <v>-2.2901499999999997</v>
      </c>
      <c r="AN1746" s="244">
        <v>0.83799999999999997</v>
      </c>
      <c r="AO1746" s="417"/>
      <c r="AP1746" s="417"/>
      <c r="AQ1746" s="244" t="s">
        <v>6311</v>
      </c>
      <c r="AR1746" s="244" t="s">
        <v>6311</v>
      </c>
      <c r="AS1746" s="241" t="s">
        <v>6</v>
      </c>
      <c r="AT1746" s="39" t="s">
        <v>266</v>
      </c>
      <c r="AU1746" s="245"/>
      <c r="AV1746" s="245">
        <v>0</v>
      </c>
      <c r="AW1746" s="37">
        <v>48</v>
      </c>
      <c r="AX1746" s="37">
        <v>27</v>
      </c>
      <c r="AY1746" s="37" t="s">
        <v>8722</v>
      </c>
      <c r="AZ1746" s="37" t="s">
        <v>536</v>
      </c>
      <c r="BA1746" s="37">
        <v>20</v>
      </c>
      <c r="BB1746" s="36" t="s">
        <v>1764</v>
      </c>
      <c r="BC1746" s="36" t="s">
        <v>538</v>
      </c>
      <c r="BD1746" s="36"/>
      <c r="BE1746" s="37" t="s">
        <v>271</v>
      </c>
      <c r="BF1746" s="37" t="s">
        <v>8722</v>
      </c>
      <c r="BG1746" s="37" t="s">
        <v>8722</v>
      </c>
      <c r="BH1746" s="37" t="s">
        <v>272</v>
      </c>
      <c r="BI1746" s="248">
        <v>0.77233840304182511</v>
      </c>
      <c r="BJ1746" s="248">
        <v>4.6340304182509504</v>
      </c>
      <c r="BK1746" s="37"/>
      <c r="BL1746" s="243">
        <f t="shared" si="496"/>
        <v>0.83865048022778399</v>
      </c>
      <c r="BM1746" s="37">
        <v>0</v>
      </c>
      <c r="BN1746" s="37"/>
      <c r="BO1746" s="37">
        <v>29.348859315589355</v>
      </c>
      <c r="BP1746" s="37"/>
      <c r="BQ1746" s="37"/>
      <c r="BR1746" s="37"/>
      <c r="BS1746" s="37"/>
      <c r="BT1746" s="37"/>
      <c r="BU1746" s="246"/>
      <c r="BV1746" s="37"/>
      <c r="BW1746" s="37"/>
      <c r="BX1746" s="37"/>
      <c r="BY1746" s="37"/>
      <c r="BZ1746" s="37"/>
      <c r="CA1746" s="37"/>
      <c r="CB1746" s="37"/>
      <c r="CC1746" s="37"/>
      <c r="CD1746" s="37"/>
      <c r="CE1746" s="37"/>
      <c r="CF1746" s="37"/>
      <c r="CG1746" s="37"/>
      <c r="CH1746" s="37"/>
      <c r="CI1746" s="243">
        <f t="shared" si="487"/>
        <v>29.348859315589355</v>
      </c>
      <c r="CJ1746" s="243">
        <f t="shared" si="488"/>
        <v>1.467591226450002</v>
      </c>
      <c r="CK1746" s="38">
        <f t="shared" si="499"/>
        <v>0.18097647286146232</v>
      </c>
      <c r="CL1746" s="247">
        <f t="shared" si="489"/>
        <v>2.8575232557072994E-2</v>
      </c>
      <c r="CM1746" s="247"/>
      <c r="CN1746" s="247"/>
      <c r="CO1746" s="36"/>
      <c r="CP1746" s="36" t="s">
        <v>2295</v>
      </c>
      <c r="CQ1746" s="241">
        <v>-0.72661488047958045</v>
      </c>
      <c r="CR1746" s="241">
        <f>10^(CJ1746-CQ1746)</f>
        <v>156.38896553430916</v>
      </c>
      <c r="CS1746" s="33"/>
      <c r="CT1746" s="33"/>
      <c r="CU1746" s="250">
        <f t="shared" si="490"/>
        <v>0.78082761930776534</v>
      </c>
      <c r="CV1746" s="337">
        <f t="shared" si="500"/>
        <v>4.9452415889491812</v>
      </c>
      <c r="CW1746" s="330">
        <f t="shared" si="491"/>
        <v>0</v>
      </c>
      <c r="CX1746" s="330"/>
      <c r="CY1746" s="143" t="s">
        <v>6351</v>
      </c>
    </row>
    <row r="1747" spans="1:103" ht="11.25" customHeight="1" x14ac:dyDescent="0.2">
      <c r="A1747" s="72">
        <v>1745</v>
      </c>
      <c r="B1747" s="241">
        <v>149</v>
      </c>
      <c r="C1747" s="32" t="s">
        <v>7666</v>
      </c>
      <c r="D1747" s="32"/>
      <c r="E1747" s="40"/>
      <c r="F1747" s="40" t="s">
        <v>817</v>
      </c>
      <c r="G1747" s="242">
        <v>110894</v>
      </c>
      <c r="H1747" s="36" t="s">
        <v>818</v>
      </c>
      <c r="I1747" s="36" t="s">
        <v>818</v>
      </c>
      <c r="J1747" s="36" t="s">
        <v>819</v>
      </c>
      <c r="K1747" s="36" t="s">
        <v>300</v>
      </c>
      <c r="L1747" s="36"/>
      <c r="M1747" s="36"/>
      <c r="N1747" s="36"/>
      <c r="O1747" s="36"/>
      <c r="P1747" s="41"/>
      <c r="Q1747" s="41"/>
      <c r="R1747" s="41"/>
      <c r="S1747" s="41"/>
      <c r="T1747" s="37">
        <v>85.15</v>
      </c>
      <c r="U1747" s="243">
        <v>11743.981209630063</v>
      </c>
      <c r="V1747" s="243">
        <v>2928.9489136817378</v>
      </c>
      <c r="W1747" s="243">
        <v>812.83051616409921</v>
      </c>
      <c r="X1747" s="243">
        <v>11743.981209630063</v>
      </c>
      <c r="Y1747" s="414">
        <v>12.18</v>
      </c>
      <c r="Z1747" s="37">
        <v>1.19</v>
      </c>
      <c r="AA1747" s="37">
        <v>0.84</v>
      </c>
      <c r="AB1747" s="37">
        <v>1.03</v>
      </c>
      <c r="AC1747" s="37">
        <v>0.87309999999999999</v>
      </c>
      <c r="AD1747" s="37">
        <v>1.01</v>
      </c>
      <c r="AE1747" s="37">
        <v>0.93</v>
      </c>
      <c r="AF1747" s="37">
        <f t="shared" si="467"/>
        <v>0.84</v>
      </c>
      <c r="AG1747" s="38">
        <v>0.72</v>
      </c>
      <c r="AH1747" s="243">
        <v>1.7200000000000001E-5</v>
      </c>
      <c r="AI1747" s="243">
        <v>4.4499999999999997E-6</v>
      </c>
      <c r="AJ1747" s="34">
        <f t="shared" si="497"/>
        <v>-3.1530378794051028</v>
      </c>
      <c r="AK1747" s="34">
        <f t="shared" si="501"/>
        <v>-3.7402063153317204</v>
      </c>
      <c r="AL1747" s="34">
        <f t="shared" si="498"/>
        <v>-3.7402063153317204</v>
      </c>
      <c r="AM1747" s="34">
        <v>-3.6524400000000004</v>
      </c>
      <c r="AN1747" s="244">
        <v>-3.8</v>
      </c>
      <c r="AO1747" s="417"/>
      <c r="AP1747" s="417">
        <v>10.45</v>
      </c>
      <c r="AQ1747" s="244" t="s">
        <v>6311</v>
      </c>
      <c r="AR1747" s="244" t="s">
        <v>6311</v>
      </c>
      <c r="AS1747" s="241" t="s">
        <v>72</v>
      </c>
      <c r="AT1747" s="39" t="s">
        <v>266</v>
      </c>
      <c r="AU1747" s="37">
        <v>0</v>
      </c>
      <c r="AV1747" s="37">
        <v>48</v>
      </c>
      <c r="AW1747" s="37">
        <v>48</v>
      </c>
      <c r="AX1747" s="37">
        <v>26</v>
      </c>
      <c r="AY1747" s="37" t="s">
        <v>8722</v>
      </c>
      <c r="AZ1747" s="37" t="s">
        <v>536</v>
      </c>
      <c r="BA1747" s="37">
        <v>20</v>
      </c>
      <c r="BB1747" s="36" t="s">
        <v>537</v>
      </c>
      <c r="BC1747" s="36" t="s">
        <v>648</v>
      </c>
      <c r="BD1747" s="36"/>
      <c r="BE1747" s="245" t="s">
        <v>649</v>
      </c>
      <c r="BF1747" s="37" t="s">
        <v>539</v>
      </c>
      <c r="BG1747" s="37" t="s">
        <v>272</v>
      </c>
      <c r="BH1747" s="37" t="s">
        <v>272</v>
      </c>
      <c r="BI1747" s="248">
        <v>0.57545507927187312</v>
      </c>
      <c r="BJ1747" s="248">
        <v>1.644157369348209</v>
      </c>
      <c r="BK1747" s="37"/>
      <c r="BL1747" s="243">
        <f t="shared" si="496"/>
        <v>4.3859229711003342</v>
      </c>
      <c r="BM1747" s="37" t="s">
        <v>541</v>
      </c>
      <c r="BN1747" s="37"/>
      <c r="BO1747" s="37">
        <v>1.2969999999999999</v>
      </c>
      <c r="BP1747" s="37"/>
      <c r="BQ1747" s="37"/>
      <c r="BR1747" s="37"/>
      <c r="BS1747" s="37"/>
      <c r="BT1747" s="37"/>
      <c r="BU1747" s="246"/>
      <c r="BV1747" s="37"/>
      <c r="BW1747" s="37"/>
      <c r="BX1747" s="37"/>
      <c r="BY1747" s="37"/>
      <c r="BZ1747" s="37"/>
      <c r="CA1747" s="37"/>
      <c r="CB1747" s="37"/>
      <c r="CC1747" s="37"/>
      <c r="CD1747" s="37"/>
      <c r="CE1747" s="37"/>
      <c r="CF1747" s="37"/>
      <c r="CG1747" s="37"/>
      <c r="CH1747" s="37"/>
      <c r="CI1747" s="243">
        <f t="shared" si="487"/>
        <v>1.2969999999999999</v>
      </c>
      <c r="CJ1747" s="243">
        <f t="shared" si="488"/>
        <v>0.11293997608408006</v>
      </c>
      <c r="CK1747" s="38">
        <f t="shared" si="499"/>
        <v>2.6675810070656678</v>
      </c>
      <c r="CL1747" s="247">
        <f t="shared" si="489"/>
        <v>3.3815905713957859</v>
      </c>
      <c r="CM1747" s="247"/>
      <c r="CN1747" s="247"/>
      <c r="CO1747" s="36"/>
      <c r="CP1747" s="36" t="s">
        <v>772</v>
      </c>
      <c r="CQ1747" s="241" t="s">
        <v>272</v>
      </c>
      <c r="CR1747" s="241"/>
      <c r="CS1747" s="33"/>
      <c r="CT1747" s="33"/>
      <c r="CU1747" s="250">
        <f t="shared" si="490"/>
        <v>9054.7272240786915</v>
      </c>
      <c r="CV1747" s="337">
        <f t="shared" si="500"/>
        <v>7142.8571428571422</v>
      </c>
      <c r="CW1747" s="330">
        <f t="shared" si="491"/>
        <v>1</v>
      </c>
      <c r="CX1747" s="330"/>
      <c r="CY1747" s="143" t="s">
        <v>6351</v>
      </c>
    </row>
    <row r="1748" spans="1:103" ht="11.25" customHeight="1" x14ac:dyDescent="0.2">
      <c r="A1748" s="72">
        <v>1746</v>
      </c>
      <c r="B1748" s="241">
        <v>148</v>
      </c>
      <c r="C1748" s="32" t="s">
        <v>7667</v>
      </c>
      <c r="D1748" s="32"/>
      <c r="E1748" s="40"/>
      <c r="F1748" s="40" t="s">
        <v>814</v>
      </c>
      <c r="G1748" s="242">
        <v>110918</v>
      </c>
      <c r="H1748" s="36" t="s">
        <v>815</v>
      </c>
      <c r="I1748" s="36" t="s">
        <v>815</v>
      </c>
      <c r="J1748" s="36" t="s">
        <v>816</v>
      </c>
      <c r="K1748" s="36" t="s">
        <v>300</v>
      </c>
      <c r="L1748" s="36" t="s">
        <v>5527</v>
      </c>
      <c r="M1748" s="36" t="s">
        <v>8487</v>
      </c>
      <c r="N1748" s="36"/>
      <c r="O1748" s="36"/>
      <c r="P1748" s="41"/>
      <c r="Q1748" s="41"/>
      <c r="R1748" s="41"/>
      <c r="S1748" s="41"/>
      <c r="T1748" s="37">
        <v>87.12</v>
      </c>
      <c r="U1748" s="243">
        <v>11478.420569329659</v>
      </c>
      <c r="V1748" s="243">
        <v>11478.420569329659</v>
      </c>
      <c r="W1748" s="243">
        <v>10232.929922807543</v>
      </c>
      <c r="X1748" s="243">
        <v>11478.420569329659</v>
      </c>
      <c r="Y1748" s="414">
        <v>11.99</v>
      </c>
      <c r="Z1748" s="37">
        <v>-0.56000000000000005</v>
      </c>
      <c r="AA1748" s="37">
        <v>-0.86</v>
      </c>
      <c r="AB1748" s="37">
        <v>-0.42</v>
      </c>
      <c r="AC1748" s="37">
        <v>0.878</v>
      </c>
      <c r="AD1748" s="37">
        <v>-0.57999999999999996</v>
      </c>
      <c r="AE1748" s="37">
        <v>-1.08</v>
      </c>
      <c r="AF1748" s="37">
        <f t="shared" si="467"/>
        <v>-0.86</v>
      </c>
      <c r="AG1748" s="38">
        <v>-0.23</v>
      </c>
      <c r="AH1748" s="243">
        <v>1.14E-7</v>
      </c>
      <c r="AI1748" s="243">
        <v>1.1599999999999999E-6</v>
      </c>
      <c r="AJ1748" s="34">
        <f t="shared" si="497"/>
        <v>-5.3316614749761788</v>
      </c>
      <c r="AK1748" s="34">
        <f t="shared" si="501"/>
        <v>-4.3241083370857334</v>
      </c>
      <c r="AL1748" s="34">
        <f t="shared" si="498"/>
        <v>-4.3241083370857334</v>
      </c>
      <c r="AM1748" s="34">
        <v>-5.1810700000000001</v>
      </c>
      <c r="AN1748" s="244">
        <v>-4.8</v>
      </c>
      <c r="AO1748" s="417"/>
      <c r="AP1748" s="417">
        <v>8.9700000000000006</v>
      </c>
      <c r="AQ1748" s="244" t="s">
        <v>6311</v>
      </c>
      <c r="AR1748" s="244" t="s">
        <v>6311</v>
      </c>
      <c r="AS1748" s="241" t="s">
        <v>85</v>
      </c>
      <c r="AT1748" s="39" t="s">
        <v>266</v>
      </c>
      <c r="AU1748" s="37">
        <v>0</v>
      </c>
      <c r="AV1748" s="37">
        <v>48</v>
      </c>
      <c r="AW1748" s="37">
        <v>48</v>
      </c>
      <c r="AX1748" s="37">
        <v>26</v>
      </c>
      <c r="AY1748" s="37" t="s">
        <v>8722</v>
      </c>
      <c r="AZ1748" s="37" t="s">
        <v>536</v>
      </c>
      <c r="BA1748" s="37">
        <v>20</v>
      </c>
      <c r="BB1748" s="36" t="s">
        <v>537</v>
      </c>
      <c r="BC1748" s="36" t="s">
        <v>648</v>
      </c>
      <c r="BD1748" s="36"/>
      <c r="BE1748" s="245" t="s">
        <v>649</v>
      </c>
      <c r="BF1748" s="37" t="s">
        <v>539</v>
      </c>
      <c r="BG1748" s="37" t="s">
        <v>272</v>
      </c>
      <c r="BH1748" s="37" t="s">
        <v>272</v>
      </c>
      <c r="BI1748" s="248">
        <v>2.8696051423324147</v>
      </c>
      <c r="BJ1748" s="248">
        <v>18.806244260789715</v>
      </c>
      <c r="BK1748" s="37"/>
      <c r="BL1748" s="243">
        <f t="shared" si="496"/>
        <v>163.58218317245903</v>
      </c>
      <c r="BM1748" s="37" t="s">
        <v>541</v>
      </c>
      <c r="BN1748" s="37"/>
      <c r="BO1748" s="37">
        <v>6.9009999999999998</v>
      </c>
      <c r="BP1748" s="37"/>
      <c r="BQ1748" s="37"/>
      <c r="BR1748" s="37"/>
      <c r="BS1748" s="37"/>
      <c r="BT1748" s="37"/>
      <c r="BU1748" s="246"/>
      <c r="BV1748" s="37"/>
      <c r="BW1748" s="37"/>
      <c r="BX1748" s="37"/>
      <c r="BY1748" s="37"/>
      <c r="BZ1748" s="37"/>
      <c r="CA1748" s="37"/>
      <c r="CB1748" s="37"/>
      <c r="CC1748" s="37"/>
      <c r="CD1748" s="37"/>
      <c r="CE1748" s="37"/>
      <c r="CF1748" s="37"/>
      <c r="CG1748" s="37"/>
      <c r="CH1748" s="37"/>
      <c r="CI1748" s="243">
        <f t="shared" si="487"/>
        <v>6.9009999999999998</v>
      </c>
      <c r="CJ1748" s="243">
        <f t="shared" si="488"/>
        <v>0.83891202740599857</v>
      </c>
      <c r="CK1748" s="38">
        <f t="shared" si="499"/>
        <v>8.6982908923246036</v>
      </c>
      <c r="CL1748" s="247">
        <f t="shared" si="489"/>
        <v>23.704127397834956</v>
      </c>
      <c r="CM1748" s="247"/>
      <c r="CN1748" s="247"/>
      <c r="CO1748" s="36"/>
      <c r="CP1748" s="36" t="s">
        <v>772</v>
      </c>
      <c r="CQ1748" s="241">
        <v>0.51959018194241191</v>
      </c>
      <c r="CR1748" s="241">
        <f>10^(CJ1748-CQ1748)</f>
        <v>2.0860362229811207</v>
      </c>
      <c r="CS1748" s="33"/>
      <c r="CT1748" s="33"/>
      <c r="CU1748" s="250">
        <f t="shared" si="490"/>
        <v>1663.2981552426691</v>
      </c>
      <c r="CV1748" s="337">
        <f t="shared" si="500"/>
        <v>610.3515625</v>
      </c>
      <c r="CW1748" s="330">
        <f t="shared" si="491"/>
        <v>1</v>
      </c>
      <c r="CX1748" s="330"/>
      <c r="CY1748" s="143" t="s">
        <v>6351</v>
      </c>
    </row>
    <row r="1749" spans="1:103" ht="11.25" customHeight="1" x14ac:dyDescent="0.2">
      <c r="A1749" s="72">
        <v>1747</v>
      </c>
      <c r="B1749" s="241">
        <v>156</v>
      </c>
      <c r="C1749" s="32" t="s">
        <v>7668</v>
      </c>
      <c r="D1749" s="32"/>
      <c r="E1749" s="40"/>
      <c r="F1749" s="40" t="s">
        <v>839</v>
      </c>
      <c r="G1749" s="242">
        <v>110963</v>
      </c>
      <c r="H1749" s="36" t="s">
        <v>840</v>
      </c>
      <c r="I1749" s="36" t="s">
        <v>840</v>
      </c>
      <c r="J1749" s="36" t="s">
        <v>841</v>
      </c>
      <c r="K1749" s="36" t="s">
        <v>300</v>
      </c>
      <c r="L1749" s="36"/>
      <c r="M1749" s="36"/>
      <c r="N1749" s="36"/>
      <c r="O1749" s="36"/>
      <c r="P1749" s="41"/>
      <c r="Q1749" s="41"/>
      <c r="R1749" s="41"/>
      <c r="S1749" s="41"/>
      <c r="T1749" s="37">
        <v>129.24</v>
      </c>
      <c r="U1749" s="243">
        <v>17.022593624264932</v>
      </c>
      <c r="V1749" s="243">
        <v>41.651191581553697</v>
      </c>
      <c r="W1749" s="243">
        <v>63.095734448019314</v>
      </c>
      <c r="X1749" s="243">
        <v>17.022593624264932</v>
      </c>
      <c r="Y1749" s="414">
        <v>11.91</v>
      </c>
      <c r="Z1749" s="37">
        <v>2.63</v>
      </c>
      <c r="AA1749" s="37"/>
      <c r="AB1749" s="37">
        <v>2.39</v>
      </c>
      <c r="AC1749" s="37">
        <v>0.76929999999999998</v>
      </c>
      <c r="AD1749" s="37">
        <v>2.39</v>
      </c>
      <c r="AE1749" s="37">
        <v>2.39</v>
      </c>
      <c r="AF1749" s="37">
        <f t="shared" si="467"/>
        <v>2.39</v>
      </c>
      <c r="AG1749" s="38">
        <v>2.02</v>
      </c>
      <c r="AH1749" s="243">
        <v>9.1100000000000005E-5</v>
      </c>
      <c r="AI1749" s="243">
        <v>5.62E-4</v>
      </c>
      <c r="AJ1749" s="34">
        <f t="shared" si="497"/>
        <v>-2.4290479493396537</v>
      </c>
      <c r="AK1749" s="34">
        <f t="shared" si="501"/>
        <v>-1.6388300107435907</v>
      </c>
      <c r="AL1749" s="34">
        <f t="shared" si="498"/>
        <v>-1.6388300107435907</v>
      </c>
      <c r="AM1749" s="34">
        <v>-3.8115600000000005</v>
      </c>
      <c r="AN1749" s="244">
        <v>-2.2999999999999998</v>
      </c>
      <c r="AO1749" s="417"/>
      <c r="AP1749" s="417">
        <v>11.07</v>
      </c>
      <c r="AQ1749" s="244" t="s">
        <v>6311</v>
      </c>
      <c r="AR1749" s="244" t="s">
        <v>6311</v>
      </c>
      <c r="AS1749" s="241" t="s">
        <v>72</v>
      </c>
      <c r="AT1749" s="39" t="s">
        <v>266</v>
      </c>
      <c r="AU1749" s="37">
        <v>0</v>
      </c>
      <c r="AV1749" s="37">
        <v>48</v>
      </c>
      <c r="AW1749" s="37">
        <v>48</v>
      </c>
      <c r="AX1749" s="37">
        <v>26</v>
      </c>
      <c r="AY1749" s="37" t="s">
        <v>8722</v>
      </c>
      <c r="AZ1749" s="37" t="s">
        <v>536</v>
      </c>
      <c r="BA1749" s="37">
        <v>20</v>
      </c>
      <c r="BB1749" s="36" t="s">
        <v>537</v>
      </c>
      <c r="BC1749" s="36" t="s">
        <v>648</v>
      </c>
      <c r="BD1749" s="36"/>
      <c r="BE1749" s="245" t="s">
        <v>649</v>
      </c>
      <c r="BF1749" s="37" t="s">
        <v>539</v>
      </c>
      <c r="BG1749" s="37" t="s">
        <v>272</v>
      </c>
      <c r="BH1749" s="37" t="s">
        <v>272</v>
      </c>
      <c r="BI1749" s="248">
        <v>0.27079303675048355</v>
      </c>
      <c r="BJ1749" s="248">
        <v>0.77369439071566726</v>
      </c>
      <c r="BK1749" s="37"/>
      <c r="BL1749" s="243">
        <f t="shared" si="496"/>
        <v>0.22325284398033624</v>
      </c>
      <c r="BM1749" s="37" t="s">
        <v>541</v>
      </c>
      <c r="BN1749" s="37"/>
      <c r="BO1749" s="37">
        <v>0.36499999999999999</v>
      </c>
      <c r="BP1749" s="37"/>
      <c r="BQ1749" s="37"/>
      <c r="BR1749" s="37"/>
      <c r="BS1749" s="37"/>
      <c r="BT1749" s="37"/>
      <c r="BU1749" s="246"/>
      <c r="BV1749" s="37"/>
      <c r="BW1749" s="37"/>
      <c r="BX1749" s="37"/>
      <c r="BY1749" s="37"/>
      <c r="BZ1749" s="37"/>
      <c r="CA1749" s="37"/>
      <c r="CB1749" s="37"/>
      <c r="CC1749" s="37"/>
      <c r="CD1749" s="37"/>
      <c r="CE1749" s="37"/>
      <c r="CF1749" s="37"/>
      <c r="CG1749" s="37"/>
      <c r="CH1749" s="37"/>
      <c r="CI1749" s="243">
        <f t="shared" si="487"/>
        <v>0.36499999999999999</v>
      </c>
      <c r="CJ1749" s="243">
        <f t="shared" si="488"/>
        <v>-0.43770713554352531</v>
      </c>
      <c r="CK1749" s="38">
        <f t="shared" si="499"/>
        <v>0.28855430084458461</v>
      </c>
      <c r="CL1749" s="247">
        <f t="shared" si="489"/>
        <v>0.61165162734338696</v>
      </c>
      <c r="CM1749" s="247"/>
      <c r="CN1749" s="247"/>
      <c r="CO1749" s="36"/>
      <c r="CP1749" s="36" t="s">
        <v>772</v>
      </c>
      <c r="CQ1749" s="241" t="s">
        <v>272</v>
      </c>
      <c r="CR1749" s="241"/>
      <c r="CS1749" s="33"/>
      <c r="CT1749" s="33"/>
      <c r="CU1749" s="250">
        <f t="shared" si="490"/>
        <v>46.637242806205293</v>
      </c>
      <c r="CV1749" s="337">
        <f t="shared" si="500"/>
        <v>22.001702259362425</v>
      </c>
      <c r="CW1749" s="330">
        <f t="shared" si="491"/>
        <v>1</v>
      </c>
      <c r="CX1749" s="330"/>
      <c r="CY1749" s="143" t="s">
        <v>5921</v>
      </c>
    </row>
    <row r="1750" spans="1:103" ht="11.25" customHeight="1" x14ac:dyDescent="0.2">
      <c r="A1750" s="72">
        <v>1748</v>
      </c>
      <c r="B1750" s="241">
        <v>142</v>
      </c>
      <c r="C1750" s="32" t="s">
        <v>7669</v>
      </c>
      <c r="D1750" s="32"/>
      <c r="E1750" s="40"/>
      <c r="F1750" s="40" t="s">
        <v>796</v>
      </c>
      <c r="G1750" s="242">
        <v>111262</v>
      </c>
      <c r="H1750" s="36" t="s">
        <v>797</v>
      </c>
      <c r="I1750" s="36" t="s">
        <v>797</v>
      </c>
      <c r="J1750" s="36" t="s">
        <v>798</v>
      </c>
      <c r="K1750" s="36" t="s">
        <v>300</v>
      </c>
      <c r="L1750" s="36"/>
      <c r="M1750" s="36"/>
      <c r="N1750" s="36"/>
      <c r="O1750" s="36"/>
      <c r="P1750" s="41"/>
      <c r="Q1750" s="41"/>
      <c r="R1750" s="41"/>
      <c r="S1750" s="41"/>
      <c r="T1750" s="37">
        <v>101.19</v>
      </c>
      <c r="U1750" s="243">
        <v>118.58879335902758</v>
      </c>
      <c r="V1750" s="243">
        <v>203.28095661626642</v>
      </c>
      <c r="W1750" s="243">
        <v>120.22644346174128</v>
      </c>
      <c r="X1750" s="243">
        <v>118.58879335902758</v>
      </c>
      <c r="Y1750" s="414">
        <v>11.87</v>
      </c>
      <c r="Z1750" s="37">
        <v>1.82</v>
      </c>
      <c r="AA1750" s="37">
        <v>2.06</v>
      </c>
      <c r="AB1750" s="37">
        <v>1.82</v>
      </c>
      <c r="AC1750" s="37">
        <v>0.87109999999999999</v>
      </c>
      <c r="AD1750" s="37">
        <v>1.87</v>
      </c>
      <c r="AE1750" s="37">
        <v>1.99</v>
      </c>
      <c r="AF1750" s="37">
        <f t="shared" si="467"/>
        <v>2.06</v>
      </c>
      <c r="AG1750" s="38">
        <v>1.4</v>
      </c>
      <c r="AH1750" s="243">
        <v>3.1199999999999999E-5</v>
      </c>
      <c r="AI1750" s="243">
        <v>2.6800000000000001E-5</v>
      </c>
      <c r="AJ1750" s="34">
        <f t="shared" si="497"/>
        <v>-2.8944117322942091</v>
      </c>
      <c r="AK1750" s="34">
        <f t="shared" si="501"/>
        <v>-2.960431532283863</v>
      </c>
      <c r="AL1750" s="34">
        <f t="shared" si="498"/>
        <v>-2.960431532283863</v>
      </c>
      <c r="AM1750" s="34">
        <v>-4.7277499999999995</v>
      </c>
      <c r="AN1750" s="244">
        <v>-2.92</v>
      </c>
      <c r="AO1750" s="417"/>
      <c r="AP1750" s="417">
        <v>10.69</v>
      </c>
      <c r="AQ1750" s="244" t="s">
        <v>6311</v>
      </c>
      <c r="AR1750" s="244" t="s">
        <v>6311</v>
      </c>
      <c r="AS1750" s="241" t="s">
        <v>72</v>
      </c>
      <c r="AT1750" s="39" t="s">
        <v>266</v>
      </c>
      <c r="AU1750" s="37">
        <v>0</v>
      </c>
      <c r="AV1750" s="37">
        <v>48</v>
      </c>
      <c r="AW1750" s="37">
        <v>48</v>
      </c>
      <c r="AX1750" s="37">
        <v>26</v>
      </c>
      <c r="AY1750" s="37" t="s">
        <v>8722</v>
      </c>
      <c r="AZ1750" s="37" t="s">
        <v>536</v>
      </c>
      <c r="BA1750" s="37">
        <v>20</v>
      </c>
      <c r="BB1750" s="36" t="s">
        <v>537</v>
      </c>
      <c r="BC1750" s="36" t="s">
        <v>648</v>
      </c>
      <c r="BD1750" s="36"/>
      <c r="BE1750" s="245" t="s">
        <v>649</v>
      </c>
      <c r="BF1750" s="37" t="s">
        <v>539</v>
      </c>
      <c r="BG1750" s="37" t="s">
        <v>272</v>
      </c>
      <c r="BH1750" s="37" t="s">
        <v>272</v>
      </c>
      <c r="BI1750" s="248">
        <v>0.24211878644134796</v>
      </c>
      <c r="BJ1750" s="248">
        <v>0.69176796126099416</v>
      </c>
      <c r="BK1750" s="37"/>
      <c r="BL1750" s="243">
        <f t="shared" si="496"/>
        <v>1.1919498957840944</v>
      </c>
      <c r="BM1750" s="37" t="s">
        <v>541</v>
      </c>
      <c r="BN1750" s="37"/>
      <c r="BO1750" s="37">
        <v>0.41799999999999998</v>
      </c>
      <c r="BP1750" s="37"/>
      <c r="BQ1750" s="37"/>
      <c r="BR1750" s="37"/>
      <c r="BS1750" s="37"/>
      <c r="BT1750" s="37"/>
      <c r="BU1750" s="246"/>
      <c r="BV1750" s="37"/>
      <c r="BW1750" s="37"/>
      <c r="BX1750" s="37"/>
      <c r="BY1750" s="37"/>
      <c r="BZ1750" s="37"/>
      <c r="CA1750" s="37"/>
      <c r="CB1750" s="37"/>
      <c r="CC1750" s="37"/>
      <c r="CD1750" s="37"/>
      <c r="CE1750" s="37"/>
      <c r="CF1750" s="37"/>
      <c r="CG1750" s="37"/>
      <c r="CH1750" s="37"/>
      <c r="CI1750" s="243">
        <f t="shared" si="487"/>
        <v>0.41799999999999998</v>
      </c>
      <c r="CJ1750" s="243">
        <f t="shared" si="488"/>
        <v>-0.3788237182249648</v>
      </c>
      <c r="CK1750" s="38">
        <f t="shared" si="499"/>
        <v>1.7230487136341788</v>
      </c>
      <c r="CL1750" s="247">
        <f t="shared" si="489"/>
        <v>2.8515547746030969</v>
      </c>
      <c r="CM1750" s="247"/>
      <c r="CN1750" s="247"/>
      <c r="CO1750" s="36"/>
      <c r="CP1750" s="36" t="s">
        <v>772</v>
      </c>
      <c r="CQ1750" s="241">
        <v>-0.25117324711719258</v>
      </c>
      <c r="CR1750" s="241">
        <f>10^(CJ1750-CQ1750)</f>
        <v>0.74533159036504859</v>
      </c>
      <c r="CS1750" s="33"/>
      <c r="CT1750" s="33"/>
      <c r="CU1750" s="250">
        <f t="shared" si="490"/>
        <v>283.70524727040089</v>
      </c>
      <c r="CV1750" s="337">
        <f t="shared" si="500"/>
        <v>171.42857142857144</v>
      </c>
      <c r="CW1750" s="330">
        <f t="shared" si="491"/>
        <v>1</v>
      </c>
      <c r="CX1750" s="330"/>
      <c r="CY1750" s="143" t="s">
        <v>5921</v>
      </c>
    </row>
    <row r="1751" spans="1:103" ht="11.25" customHeight="1" x14ac:dyDescent="0.2">
      <c r="A1751" s="72">
        <v>1749</v>
      </c>
      <c r="B1751" s="241">
        <v>133</v>
      </c>
      <c r="C1751" s="32" t="s">
        <v>7670</v>
      </c>
      <c r="D1751" s="32"/>
      <c r="E1751" s="40"/>
      <c r="F1751" s="40" t="s">
        <v>766</v>
      </c>
      <c r="G1751" s="242">
        <v>111466</v>
      </c>
      <c r="H1751" s="36" t="s">
        <v>767</v>
      </c>
      <c r="I1751" s="36" t="s">
        <v>767</v>
      </c>
      <c r="J1751" s="36" t="s">
        <v>768</v>
      </c>
      <c r="K1751" s="36" t="s">
        <v>426</v>
      </c>
      <c r="L1751" s="36" t="s">
        <v>5527</v>
      </c>
      <c r="M1751" s="36" t="s">
        <v>6082</v>
      </c>
      <c r="N1751" s="36"/>
      <c r="O1751" s="36" t="s">
        <v>6083</v>
      </c>
      <c r="P1751" s="41"/>
      <c r="Q1751" s="41" t="s">
        <v>6176</v>
      </c>
      <c r="R1751" s="41" t="s">
        <v>6185</v>
      </c>
      <c r="S1751" s="41" t="s">
        <v>6176</v>
      </c>
      <c r="T1751" s="37">
        <v>106.12</v>
      </c>
      <c r="U1751" s="243">
        <v>9423.2943837165476</v>
      </c>
      <c r="V1751" s="243">
        <v>9423.2943837165476</v>
      </c>
      <c r="W1751" s="243">
        <v>9332.5430079699108</v>
      </c>
      <c r="X1751" s="243">
        <v>9423.2943837165476</v>
      </c>
      <c r="Y1751" s="414">
        <v>6.51</v>
      </c>
      <c r="Z1751" s="37">
        <v>-1.47</v>
      </c>
      <c r="AA1751" s="37"/>
      <c r="AB1751" s="37">
        <v>-0.94</v>
      </c>
      <c r="AC1751" s="37">
        <v>0.85299999999999998</v>
      </c>
      <c r="AD1751" s="37">
        <v>-1.0900000000000001</v>
      </c>
      <c r="AE1751" s="37">
        <v>-1.51</v>
      </c>
      <c r="AF1751" s="37">
        <f t="shared" si="467"/>
        <v>-1.0900000000000001</v>
      </c>
      <c r="AG1751" s="38">
        <v>-0.89</v>
      </c>
      <c r="AH1751" s="243">
        <v>2.0299999999999998E-9</v>
      </c>
      <c r="AI1751" s="243"/>
      <c r="AJ1751" s="34">
        <f t="shared" si="497"/>
        <v>-7.081070288399439</v>
      </c>
      <c r="AK1751" s="34"/>
      <c r="AL1751" s="34">
        <f t="shared" si="498"/>
        <v>-7.081070288399439</v>
      </c>
      <c r="AM1751" s="34">
        <v>-8.6747399999999999</v>
      </c>
      <c r="AN1751" s="244">
        <v>-7.67</v>
      </c>
      <c r="AO1751" s="417">
        <v>14.03</v>
      </c>
      <c r="AP1751" s="417"/>
      <c r="AQ1751" s="244" t="s">
        <v>6311</v>
      </c>
      <c r="AR1751" s="244" t="s">
        <v>6311</v>
      </c>
      <c r="AS1751" s="241" t="s">
        <v>87</v>
      </c>
      <c r="AT1751" s="39" t="s">
        <v>266</v>
      </c>
      <c r="AU1751" s="37">
        <v>0</v>
      </c>
      <c r="AV1751" s="37" t="s">
        <v>646</v>
      </c>
      <c r="AW1751" s="37" t="s">
        <v>646</v>
      </c>
      <c r="AX1751" s="37">
        <v>26</v>
      </c>
      <c r="AY1751" s="37" t="s">
        <v>647</v>
      </c>
      <c r="AZ1751" s="37" t="s">
        <v>536</v>
      </c>
      <c r="BA1751" s="37">
        <v>20</v>
      </c>
      <c r="BB1751" s="36" t="s">
        <v>537</v>
      </c>
      <c r="BC1751" s="36" t="s">
        <v>648</v>
      </c>
      <c r="BD1751" s="36"/>
      <c r="BE1751" s="245" t="s">
        <v>649</v>
      </c>
      <c r="BF1751" s="245" t="s">
        <v>650</v>
      </c>
      <c r="BG1751" s="245" t="s">
        <v>540</v>
      </c>
      <c r="BH1751" s="245" t="s">
        <v>272</v>
      </c>
      <c r="BI1751" s="243">
        <v>362.4</v>
      </c>
      <c r="BJ1751" s="243">
        <v>1035.0999999999999</v>
      </c>
      <c r="BK1751" s="37"/>
      <c r="BL1751" s="243">
        <f t="shared" si="496"/>
        <v>1074.0067231448295</v>
      </c>
      <c r="BM1751" s="37" t="s">
        <v>541</v>
      </c>
      <c r="BN1751" s="37"/>
      <c r="BO1751" s="37">
        <v>478.7</v>
      </c>
      <c r="BP1751" s="37"/>
      <c r="BQ1751" s="37"/>
      <c r="BR1751" s="37"/>
      <c r="BS1751" s="37"/>
      <c r="BT1751" s="37"/>
      <c r="BU1751" s="246"/>
      <c r="BV1751" s="37"/>
      <c r="BW1751" s="37"/>
      <c r="BX1751" s="37"/>
      <c r="BY1751" s="37"/>
      <c r="BZ1751" s="37"/>
      <c r="CA1751" s="37"/>
      <c r="CB1751" s="37"/>
      <c r="CC1751" s="37"/>
      <c r="CD1751" s="37"/>
      <c r="CE1751" s="37"/>
      <c r="CF1751" s="37"/>
      <c r="CG1751" s="37"/>
      <c r="CH1751" s="37"/>
      <c r="CI1751" s="243">
        <f t="shared" si="487"/>
        <v>478.7</v>
      </c>
      <c r="CJ1751" s="243">
        <f t="shared" si="488"/>
        <v>2.6800634274819486</v>
      </c>
      <c r="CK1751" s="38">
        <f t="shared" si="499"/>
        <v>1.037587405221553</v>
      </c>
      <c r="CL1751" s="247">
        <f t="shared" si="489"/>
        <v>2.2435903972108409</v>
      </c>
      <c r="CM1751" s="247"/>
      <c r="CN1751" s="247"/>
      <c r="CO1751" s="36"/>
      <c r="CP1751" s="36" t="s">
        <v>651</v>
      </c>
      <c r="CQ1751" s="241">
        <v>2.8501316474876139</v>
      </c>
      <c r="CR1751" s="241">
        <f>10^(CJ1751-CQ1751)</f>
        <v>0.67597678301787567</v>
      </c>
      <c r="CS1751" s="33"/>
      <c r="CT1751" s="33"/>
      <c r="CU1751" s="250">
        <f t="shared" si="490"/>
        <v>19.685177321321387</v>
      </c>
      <c r="CV1751" s="337">
        <f t="shared" si="500"/>
        <v>9.1037526651691127</v>
      </c>
      <c r="CW1751" s="330">
        <f t="shared" si="491"/>
        <v>1</v>
      </c>
      <c r="CX1751" s="330"/>
      <c r="CY1751" s="143" t="s">
        <v>6351</v>
      </c>
    </row>
    <row r="1752" spans="1:103" ht="11.25" customHeight="1" x14ac:dyDescent="0.2">
      <c r="A1752" s="72">
        <v>1750</v>
      </c>
      <c r="B1752" s="241">
        <v>152</v>
      </c>
      <c r="C1752" s="32" t="s">
        <v>7671</v>
      </c>
      <c r="D1752" s="32"/>
      <c r="E1752" s="40"/>
      <c r="F1752" s="40" t="s">
        <v>826</v>
      </c>
      <c r="G1752" s="242">
        <v>111499</v>
      </c>
      <c r="H1752" s="36" t="s">
        <v>827</v>
      </c>
      <c r="I1752" s="36" t="s">
        <v>827</v>
      </c>
      <c r="J1752" s="36" t="s">
        <v>828</v>
      </c>
      <c r="K1752" s="36" t="s">
        <v>300</v>
      </c>
      <c r="L1752" s="36"/>
      <c r="M1752" s="36"/>
      <c r="N1752" s="36"/>
      <c r="O1752" s="36"/>
      <c r="P1752" s="41"/>
      <c r="Q1752" s="41"/>
      <c r="R1752" s="41"/>
      <c r="S1752" s="41"/>
      <c r="T1752" s="37">
        <v>99.17</v>
      </c>
      <c r="U1752" s="243">
        <v>1714.2280931733387</v>
      </c>
      <c r="V1752" s="243">
        <v>444.489260865181</v>
      </c>
      <c r="W1752" s="243">
        <v>426.57951880159266</v>
      </c>
      <c r="X1752" s="243">
        <v>1714.2280931733387</v>
      </c>
      <c r="Y1752" s="414">
        <v>12.42</v>
      </c>
      <c r="Z1752" s="37">
        <v>1.68</v>
      </c>
      <c r="AA1752" s="37"/>
      <c r="AB1752" s="37">
        <v>1.1299999999999999</v>
      </c>
      <c r="AC1752" s="37">
        <v>0.78710000000000002</v>
      </c>
      <c r="AD1752" s="37">
        <v>1.25</v>
      </c>
      <c r="AE1752" s="37">
        <v>1.5</v>
      </c>
      <c r="AF1752" s="37">
        <f t="shared" si="467"/>
        <v>1.25</v>
      </c>
      <c r="AG1752" s="38">
        <v>1.04</v>
      </c>
      <c r="AH1752" s="243">
        <v>2.2799999999999999E-5</v>
      </c>
      <c r="AI1752" s="243">
        <v>6.1399999999999997E-6</v>
      </c>
      <c r="AJ1752" s="34">
        <f t="shared" si="497"/>
        <v>-3.030631479312198</v>
      </c>
      <c r="AK1752" s="34">
        <f>LOG10(AI1752*1000/(0.08206*298.15))</f>
        <v>-3.6003979551714842</v>
      </c>
      <c r="AL1752" s="34">
        <f t="shared" si="498"/>
        <v>-3.6003979551714842</v>
      </c>
      <c r="AM1752" s="34">
        <v>-3.78424</v>
      </c>
      <c r="AN1752" s="244">
        <v>-3.75</v>
      </c>
      <c r="AO1752" s="417"/>
      <c r="AP1752" s="417">
        <v>11.24</v>
      </c>
      <c r="AQ1752" s="244" t="s">
        <v>6311</v>
      </c>
      <c r="AR1752" s="244" t="s">
        <v>6311</v>
      </c>
      <c r="AS1752" s="241" t="s">
        <v>81</v>
      </c>
      <c r="AT1752" s="39" t="s">
        <v>266</v>
      </c>
      <c r="AU1752" s="37">
        <v>0</v>
      </c>
      <c r="AV1752" s="37">
        <v>48</v>
      </c>
      <c r="AW1752" s="37">
        <v>48</v>
      </c>
      <c r="AX1752" s="37">
        <v>26</v>
      </c>
      <c r="AY1752" s="37" t="s">
        <v>8722</v>
      </c>
      <c r="AZ1752" s="37" t="s">
        <v>536</v>
      </c>
      <c r="BA1752" s="37">
        <v>20</v>
      </c>
      <c r="BB1752" s="36" t="s">
        <v>537</v>
      </c>
      <c r="BC1752" s="36" t="s">
        <v>648</v>
      </c>
      <c r="BD1752" s="36"/>
      <c r="BE1752" s="245" t="s">
        <v>649</v>
      </c>
      <c r="BF1752" s="37" t="s">
        <v>539</v>
      </c>
      <c r="BG1752" s="37" t="s">
        <v>272</v>
      </c>
      <c r="BH1752" s="37" t="s">
        <v>272</v>
      </c>
      <c r="BI1752" s="248">
        <v>0.52934059286146395</v>
      </c>
      <c r="BJ1752" s="248">
        <v>1.512401693889897</v>
      </c>
      <c r="BK1752" s="37"/>
      <c r="BL1752" s="243">
        <f t="shared" si="496"/>
        <v>1.5921793977526657</v>
      </c>
      <c r="BM1752" s="37" t="s">
        <v>541</v>
      </c>
      <c r="BN1752" s="37"/>
      <c r="BO1752" s="37">
        <v>1.163</v>
      </c>
      <c r="BP1752" s="37"/>
      <c r="BQ1752" s="37"/>
      <c r="BR1752" s="37"/>
      <c r="BS1752" s="37"/>
      <c r="BT1752" s="37"/>
      <c r="BU1752" s="246"/>
      <c r="BV1752" s="37"/>
      <c r="BW1752" s="37"/>
      <c r="BX1752" s="37"/>
      <c r="BY1752" s="37"/>
      <c r="BZ1752" s="37"/>
      <c r="CA1752" s="37"/>
      <c r="CB1752" s="37"/>
      <c r="CC1752" s="37"/>
      <c r="CD1752" s="37"/>
      <c r="CE1752" s="37"/>
      <c r="CF1752" s="37"/>
      <c r="CG1752" s="37"/>
      <c r="CH1752" s="37"/>
      <c r="CI1752" s="243">
        <f t="shared" si="487"/>
        <v>1.163</v>
      </c>
      <c r="CJ1752" s="243">
        <f t="shared" si="488"/>
        <v>6.5579714728448424E-2</v>
      </c>
      <c r="CK1752" s="38">
        <f t="shared" si="499"/>
        <v>1.0527490177940626</v>
      </c>
      <c r="CL1752" s="247">
        <f t="shared" si="489"/>
        <v>1.369027857053023</v>
      </c>
      <c r="CM1752" s="247"/>
      <c r="CN1752" s="247"/>
      <c r="CO1752" s="36"/>
      <c r="CP1752" s="36" t="s">
        <v>772</v>
      </c>
      <c r="CQ1752" s="241" t="s">
        <v>272</v>
      </c>
      <c r="CR1752" s="241"/>
      <c r="CS1752" s="33"/>
      <c r="CT1752" s="33"/>
      <c r="CU1752" s="250">
        <f t="shared" si="490"/>
        <v>1473.9708453769035</v>
      </c>
      <c r="CV1752" s="337">
        <f t="shared" si="500"/>
        <v>1133.4476152062116</v>
      </c>
      <c r="CW1752" s="330">
        <f t="shared" si="491"/>
        <v>1</v>
      </c>
      <c r="CX1752" s="330"/>
      <c r="CY1752" s="143" t="s">
        <v>6351</v>
      </c>
    </row>
    <row r="1753" spans="1:103" ht="11.25" customHeight="1" x14ac:dyDescent="0.2">
      <c r="A1753" s="72">
        <v>1751</v>
      </c>
      <c r="B1753" s="241">
        <v>143</v>
      </c>
      <c r="C1753" s="32" t="s">
        <v>7672</v>
      </c>
      <c r="D1753" s="32"/>
      <c r="E1753" s="40"/>
      <c r="F1753" s="40" t="s">
        <v>799</v>
      </c>
      <c r="G1753" s="242">
        <v>111682</v>
      </c>
      <c r="H1753" s="36" t="s">
        <v>800</v>
      </c>
      <c r="I1753" s="36" t="s">
        <v>800</v>
      </c>
      <c r="J1753" s="36" t="s">
        <v>801</v>
      </c>
      <c r="K1753" s="36" t="s">
        <v>300</v>
      </c>
      <c r="L1753" s="36"/>
      <c r="M1753" s="36"/>
      <c r="N1753" s="36"/>
      <c r="O1753" s="36"/>
      <c r="P1753" s="41"/>
      <c r="Q1753" s="41"/>
      <c r="R1753" s="41"/>
      <c r="S1753" s="41"/>
      <c r="T1753" s="37">
        <v>115.22</v>
      </c>
      <c r="U1753" s="243"/>
      <c r="V1753" s="243">
        <v>58.939420239541747</v>
      </c>
      <c r="W1753" s="243">
        <v>50.118723362727209</v>
      </c>
      <c r="X1753" s="243">
        <f>IF(W1753=0,V1753,W1753)</f>
        <v>50.118723362727209</v>
      </c>
      <c r="Y1753" s="414">
        <v>11.67</v>
      </c>
      <c r="Z1753" s="37">
        <v>2.31</v>
      </c>
      <c r="AA1753" s="37">
        <v>2.57</v>
      </c>
      <c r="AB1753" s="37">
        <v>2.48</v>
      </c>
      <c r="AC1753" s="37">
        <v>0.86770000000000003</v>
      </c>
      <c r="AD1753" s="37">
        <v>2.4900000000000002</v>
      </c>
      <c r="AE1753" s="37">
        <v>2.52</v>
      </c>
      <c r="AF1753" s="37">
        <f t="shared" si="467"/>
        <v>2.57</v>
      </c>
      <c r="AG1753" s="38">
        <v>1.84</v>
      </c>
      <c r="AH1753" s="243">
        <v>4.1499999999999999E-5</v>
      </c>
      <c r="AI1753" s="243"/>
      <c r="AJ1753" s="34">
        <f t="shared" si="497"/>
        <v>-2.770518229600559</v>
      </c>
      <c r="AK1753" s="34"/>
      <c r="AL1753" s="34">
        <f t="shared" si="498"/>
        <v>-2.770518229600559</v>
      </c>
      <c r="AM1753" s="34">
        <v>-4.8595499999999996</v>
      </c>
      <c r="AN1753" s="244">
        <v>-2.79</v>
      </c>
      <c r="AO1753" s="417"/>
      <c r="AP1753" s="417">
        <v>10.69</v>
      </c>
      <c r="AQ1753" s="244" t="s">
        <v>6311</v>
      </c>
      <c r="AR1753" s="244" t="s">
        <v>6311</v>
      </c>
      <c r="AS1753" s="241" t="s">
        <v>72</v>
      </c>
      <c r="AT1753" s="39" t="s">
        <v>266</v>
      </c>
      <c r="AU1753" s="37">
        <v>0</v>
      </c>
      <c r="AV1753" s="37">
        <v>48</v>
      </c>
      <c r="AW1753" s="37">
        <v>48</v>
      </c>
      <c r="AX1753" s="37">
        <v>26</v>
      </c>
      <c r="AY1753" s="37" t="s">
        <v>8722</v>
      </c>
      <c r="AZ1753" s="37" t="s">
        <v>536</v>
      </c>
      <c r="BA1753" s="37">
        <v>20</v>
      </c>
      <c r="BB1753" s="36" t="s">
        <v>537</v>
      </c>
      <c r="BC1753" s="36" t="s">
        <v>648</v>
      </c>
      <c r="BD1753" s="36"/>
      <c r="BE1753" s="245" t="s">
        <v>649</v>
      </c>
      <c r="BF1753" s="37" t="s">
        <v>539</v>
      </c>
      <c r="BG1753" s="37" t="s">
        <v>272</v>
      </c>
      <c r="BH1753" s="37" t="s">
        <v>272</v>
      </c>
      <c r="BI1753" s="248">
        <v>0.15188335358444716</v>
      </c>
      <c r="BJ1753" s="248">
        <v>0.43395243881270612</v>
      </c>
      <c r="BK1753" s="37"/>
      <c r="BL1753" s="243">
        <f t="shared" si="496"/>
        <v>0.43270209707872642</v>
      </c>
      <c r="BM1753" s="37" t="s">
        <v>541</v>
      </c>
      <c r="BN1753" s="37"/>
      <c r="BO1753" s="37">
        <v>0.247</v>
      </c>
      <c r="BP1753" s="37"/>
      <c r="BQ1753" s="37"/>
      <c r="BR1753" s="37"/>
      <c r="BS1753" s="37"/>
      <c r="BT1753" s="37"/>
      <c r="BU1753" s="246"/>
      <c r="BV1753" s="37"/>
      <c r="BW1753" s="37"/>
      <c r="BX1753" s="37"/>
      <c r="BY1753" s="37"/>
      <c r="BZ1753" s="37"/>
      <c r="CA1753" s="37"/>
      <c r="CB1753" s="37"/>
      <c r="CC1753" s="37"/>
      <c r="CD1753" s="37"/>
      <c r="CE1753" s="37"/>
      <c r="CF1753" s="37"/>
      <c r="CG1753" s="37"/>
      <c r="CH1753" s="37"/>
      <c r="CI1753" s="243">
        <f t="shared" si="487"/>
        <v>0.247</v>
      </c>
      <c r="CJ1753" s="243">
        <f t="shared" si="488"/>
        <v>-0.60730304674033431</v>
      </c>
      <c r="CK1753" s="38">
        <f t="shared" si="499"/>
        <v>0.99711871250821715</v>
      </c>
      <c r="CL1753" s="247">
        <f t="shared" si="489"/>
        <v>1.7518303525454511</v>
      </c>
      <c r="CM1753" s="247"/>
      <c r="CN1753" s="247"/>
      <c r="CO1753" s="36"/>
      <c r="CP1753" s="36" t="s">
        <v>772</v>
      </c>
      <c r="CQ1753" s="241">
        <v>-0.72108828367710243</v>
      </c>
      <c r="CR1753" s="241">
        <f>10^(CJ1753-CQ1753)</f>
        <v>1.2995267898246887</v>
      </c>
      <c r="CS1753" s="33"/>
      <c r="CT1753" s="33"/>
      <c r="CU1753" s="250">
        <f t="shared" si="490"/>
        <v>202.90981118513039</v>
      </c>
      <c r="CV1753" s="337">
        <f t="shared" si="500"/>
        <v>115.49358611706859</v>
      </c>
      <c r="CW1753" s="330">
        <f t="shared" si="491"/>
        <v>1</v>
      </c>
      <c r="CX1753" s="330"/>
      <c r="CY1753" s="143" t="s">
        <v>5921</v>
      </c>
    </row>
    <row r="1754" spans="1:103" ht="11.25" customHeight="1" x14ac:dyDescent="0.2">
      <c r="A1754" s="72">
        <v>1752</v>
      </c>
      <c r="B1754" s="241">
        <v>144</v>
      </c>
      <c r="C1754" s="32" t="s">
        <v>7673</v>
      </c>
      <c r="D1754" s="32"/>
      <c r="E1754" s="40"/>
      <c r="F1754" s="40" t="s">
        <v>802</v>
      </c>
      <c r="G1754" s="242">
        <v>111864</v>
      </c>
      <c r="H1754" s="36" t="s">
        <v>803</v>
      </c>
      <c r="I1754" s="36" t="s">
        <v>803</v>
      </c>
      <c r="J1754" s="36" t="s">
        <v>804</v>
      </c>
      <c r="K1754" s="36" t="s">
        <v>300</v>
      </c>
      <c r="L1754" s="36"/>
      <c r="M1754" s="36"/>
      <c r="N1754" s="36"/>
      <c r="O1754" s="36"/>
      <c r="P1754" s="41"/>
      <c r="Q1754" s="41"/>
      <c r="R1754" s="41"/>
      <c r="S1754" s="41"/>
      <c r="T1754" s="37">
        <v>129.24</v>
      </c>
      <c r="U1754" s="243">
        <v>1.5475085112968121</v>
      </c>
      <c r="V1754" s="243">
        <v>24.350046425255336</v>
      </c>
      <c r="W1754" s="243">
        <v>22.38721138568339</v>
      </c>
      <c r="X1754" s="243">
        <v>1.5475085112968121</v>
      </c>
      <c r="Y1754" s="414">
        <v>11.52</v>
      </c>
      <c r="Z1754" s="37">
        <v>2.8</v>
      </c>
      <c r="AA1754" s="37">
        <v>2.9</v>
      </c>
      <c r="AB1754" s="37">
        <v>2.76</v>
      </c>
      <c r="AC1754" s="37">
        <v>0.87229999999999996</v>
      </c>
      <c r="AD1754" s="37">
        <v>2.83</v>
      </c>
      <c r="AE1754" s="37">
        <v>3.06</v>
      </c>
      <c r="AF1754" s="37">
        <f t="shared" ref="AF1754:AF1772" si="502">IF(AA1754=0,AD1754,AA1754)</f>
        <v>2.9</v>
      </c>
      <c r="AG1754" s="38">
        <v>2.2799999999999998</v>
      </c>
      <c r="AH1754" s="243">
        <v>5.5099999999999998E-5</v>
      </c>
      <c r="AI1754" s="243">
        <v>8.2399999999999997E-4</v>
      </c>
      <c r="AJ1754" s="34">
        <f t="shared" si="497"/>
        <v>-2.6474147274608666</v>
      </c>
      <c r="AK1754" s="34">
        <f>LOG10(AI1754*1000/(0.08206*298.15))</f>
        <v>-1.472639114615536</v>
      </c>
      <c r="AL1754" s="34">
        <f t="shared" si="498"/>
        <v>-1.472639114615536</v>
      </c>
      <c r="AM1754" s="34">
        <v>-4.9578299999999995</v>
      </c>
      <c r="AN1754" s="244">
        <v>-2.65</v>
      </c>
      <c r="AO1754" s="417"/>
      <c r="AP1754" s="417">
        <v>10.75</v>
      </c>
      <c r="AQ1754" s="244" t="s">
        <v>6311</v>
      </c>
      <c r="AR1754" s="244" t="s">
        <v>6311</v>
      </c>
      <c r="AS1754" s="241" t="s">
        <v>72</v>
      </c>
      <c r="AT1754" s="39" t="s">
        <v>266</v>
      </c>
      <c r="AU1754" s="37">
        <v>0</v>
      </c>
      <c r="AV1754" s="37">
        <v>48</v>
      </c>
      <c r="AW1754" s="37">
        <v>48</v>
      </c>
      <c r="AX1754" s="37">
        <v>26</v>
      </c>
      <c r="AY1754" s="37" t="s">
        <v>8722</v>
      </c>
      <c r="AZ1754" s="37" t="s">
        <v>536</v>
      </c>
      <c r="BA1754" s="37">
        <v>20</v>
      </c>
      <c r="BB1754" s="36" t="s">
        <v>537</v>
      </c>
      <c r="BC1754" s="36" t="s">
        <v>648</v>
      </c>
      <c r="BD1754" s="36"/>
      <c r="BE1754" s="245" t="s">
        <v>649</v>
      </c>
      <c r="BF1754" s="37" t="s">
        <v>539</v>
      </c>
      <c r="BG1754" s="37" t="s">
        <v>272</v>
      </c>
      <c r="BH1754" s="37" t="s">
        <v>272</v>
      </c>
      <c r="BI1754" s="248">
        <v>0.16247582205029013</v>
      </c>
      <c r="BJ1754" s="248">
        <v>0.46421663442940037</v>
      </c>
      <c r="BK1754" s="37"/>
      <c r="BL1754" s="243">
        <f t="shared" si="496"/>
        <v>0.15707967715636428</v>
      </c>
      <c r="BM1754" s="37" t="s">
        <v>541</v>
      </c>
      <c r="BN1754" s="37"/>
      <c r="BO1754" s="37">
        <v>0.19700000000000001</v>
      </c>
      <c r="BP1754" s="37"/>
      <c r="BQ1754" s="37"/>
      <c r="BR1754" s="37"/>
      <c r="BS1754" s="37"/>
      <c r="BT1754" s="37"/>
      <c r="BU1754" s="246"/>
      <c r="BV1754" s="37"/>
      <c r="BW1754" s="37"/>
      <c r="BX1754" s="37"/>
      <c r="BY1754" s="37"/>
      <c r="BZ1754" s="37"/>
      <c r="CA1754" s="37"/>
      <c r="CB1754" s="37"/>
      <c r="CC1754" s="37"/>
      <c r="CD1754" s="37"/>
      <c r="CE1754" s="37"/>
      <c r="CF1754" s="37"/>
      <c r="CG1754" s="37"/>
      <c r="CH1754" s="37"/>
      <c r="CI1754" s="243">
        <f t="shared" si="487"/>
        <v>0.19700000000000001</v>
      </c>
      <c r="CJ1754" s="243">
        <f t="shared" si="488"/>
        <v>-0.7055337738384071</v>
      </c>
      <c r="CK1754" s="38">
        <f t="shared" si="499"/>
        <v>0.33837580454100141</v>
      </c>
      <c r="CL1754" s="247">
        <f t="shared" si="489"/>
        <v>0.79735876729118926</v>
      </c>
      <c r="CM1754" s="247"/>
      <c r="CN1754" s="247"/>
      <c r="CO1754" s="36"/>
      <c r="CP1754" s="36" t="s">
        <v>772</v>
      </c>
      <c r="CQ1754" s="241">
        <v>-1.397909655900782</v>
      </c>
      <c r="CR1754" s="241">
        <f>10^(CJ1754-CQ1754)</f>
        <v>4.9246558045727973</v>
      </c>
      <c r="CS1754" s="33"/>
      <c r="CT1754" s="33"/>
      <c r="CU1754" s="250">
        <f t="shared" si="490"/>
        <v>7.8553731537909242</v>
      </c>
      <c r="CV1754" s="337">
        <f t="shared" si="500"/>
        <v>3.3335912514185497</v>
      </c>
      <c r="CW1754" s="330">
        <f t="shared" si="491"/>
        <v>1</v>
      </c>
      <c r="CX1754" s="330"/>
      <c r="CY1754" s="143" t="s">
        <v>6351</v>
      </c>
    </row>
    <row r="1755" spans="1:103" ht="11.25" customHeight="1" x14ac:dyDescent="0.2">
      <c r="A1755" s="72">
        <v>1753</v>
      </c>
      <c r="B1755" s="241">
        <v>103</v>
      </c>
      <c r="C1755" s="32" t="s">
        <v>676</v>
      </c>
      <c r="D1755" s="32"/>
      <c r="E1755" s="40"/>
      <c r="F1755" s="40" t="s">
        <v>677</v>
      </c>
      <c r="G1755" s="242">
        <v>111875</v>
      </c>
      <c r="H1755" s="36" t="s">
        <v>678</v>
      </c>
      <c r="I1755" s="36" t="s">
        <v>678</v>
      </c>
      <c r="J1755" s="36" t="s">
        <v>679</v>
      </c>
      <c r="K1755" s="36" t="s">
        <v>426</v>
      </c>
      <c r="L1755" s="36" t="s">
        <v>5527</v>
      </c>
      <c r="M1755" s="36" t="s">
        <v>6082</v>
      </c>
      <c r="N1755" s="36"/>
      <c r="O1755" s="36" t="s">
        <v>6083</v>
      </c>
      <c r="P1755" s="41" t="s">
        <v>6183</v>
      </c>
      <c r="Q1755" s="41" t="s">
        <v>6179</v>
      </c>
      <c r="R1755" s="41" t="s">
        <v>6185</v>
      </c>
      <c r="S1755" s="41" t="s">
        <v>6176</v>
      </c>
      <c r="T1755" s="37">
        <v>130.22999999999999</v>
      </c>
      <c r="U1755" s="243">
        <v>4.14651002073255</v>
      </c>
      <c r="V1755" s="243">
        <v>6.2504799201412888</v>
      </c>
      <c r="W1755" s="243">
        <v>8.1283051616409896</v>
      </c>
      <c r="X1755" s="243">
        <v>4.14651002073255</v>
      </c>
      <c r="Y1755" s="414">
        <v>7</v>
      </c>
      <c r="Z1755" s="37">
        <v>2.81</v>
      </c>
      <c r="AA1755" s="37">
        <v>3</v>
      </c>
      <c r="AB1755" s="37">
        <v>2.99</v>
      </c>
      <c r="AC1755" s="37">
        <v>0.92889999999999995</v>
      </c>
      <c r="AD1755" s="37">
        <v>2.99</v>
      </c>
      <c r="AE1755" s="37">
        <v>3</v>
      </c>
      <c r="AF1755" s="37">
        <f t="shared" si="502"/>
        <v>3</v>
      </c>
      <c r="AG1755" s="38">
        <v>2.65</v>
      </c>
      <c r="AH1755" s="243">
        <v>3.1000000000000001E-5</v>
      </c>
      <c r="AI1755" s="243">
        <v>2.4499999999999999E-5</v>
      </c>
      <c r="AJ1755" s="34">
        <f t="shared" si="497"/>
        <v>-2.8972046324783789</v>
      </c>
      <c r="AK1755" s="34">
        <f>LOG10(AI1755*1000/(0.08206*298.15))</f>
        <v>-2.9994002419481194</v>
      </c>
      <c r="AL1755" s="34">
        <f t="shared" si="498"/>
        <v>-2.9994002419481194</v>
      </c>
      <c r="AM1755" s="34">
        <v>-3.9046099999999999</v>
      </c>
      <c r="AN1755" s="244">
        <v>-2.78</v>
      </c>
      <c r="AO1755" s="417">
        <v>15.27</v>
      </c>
      <c r="AP1755" s="417"/>
      <c r="AQ1755" s="244" t="s">
        <v>6311</v>
      </c>
      <c r="AR1755" s="244" t="s">
        <v>6311</v>
      </c>
      <c r="AS1755" s="241" t="s">
        <v>6</v>
      </c>
      <c r="AT1755" s="39" t="s">
        <v>266</v>
      </c>
      <c r="AU1755" s="37">
        <v>0</v>
      </c>
      <c r="AV1755" s="37" t="s">
        <v>646</v>
      </c>
      <c r="AW1755" s="37" t="s">
        <v>646</v>
      </c>
      <c r="AX1755" s="37">
        <v>26</v>
      </c>
      <c r="AY1755" s="37" t="s">
        <v>647</v>
      </c>
      <c r="AZ1755" s="37" t="s">
        <v>536</v>
      </c>
      <c r="BA1755" s="37">
        <v>20</v>
      </c>
      <c r="BB1755" s="36" t="s">
        <v>537</v>
      </c>
      <c r="BC1755" s="36" t="s">
        <v>648</v>
      </c>
      <c r="BD1755" s="36"/>
      <c r="BE1755" s="245" t="s">
        <v>649</v>
      </c>
      <c r="BF1755" s="245" t="s">
        <v>650</v>
      </c>
      <c r="BG1755" s="245" t="s">
        <v>540</v>
      </c>
      <c r="BH1755" s="245" t="s">
        <v>272</v>
      </c>
      <c r="BI1755" s="243">
        <v>0.05</v>
      </c>
      <c r="BJ1755" s="243">
        <v>0.26</v>
      </c>
      <c r="BK1755" s="37"/>
      <c r="BL1755" s="243">
        <f t="shared" si="496"/>
        <v>0.15386470198345839</v>
      </c>
      <c r="BM1755" s="37" t="s">
        <v>541</v>
      </c>
      <c r="BN1755" s="37"/>
      <c r="BO1755" s="37">
        <v>0.12</v>
      </c>
      <c r="BP1755" s="37"/>
      <c r="BQ1755" s="37"/>
      <c r="BR1755" s="37"/>
      <c r="BS1755" s="37"/>
      <c r="BT1755" s="37"/>
      <c r="BU1755" s="246"/>
      <c r="BV1755" s="37"/>
      <c r="BW1755" s="37"/>
      <c r="BX1755" s="37"/>
      <c r="BY1755" s="37"/>
      <c r="BZ1755" s="37"/>
      <c r="CA1755" s="37"/>
      <c r="CB1755" s="37"/>
      <c r="CC1755" s="37"/>
      <c r="CD1755" s="37"/>
      <c r="CE1755" s="37"/>
      <c r="CF1755" s="37"/>
      <c r="CG1755" s="37"/>
      <c r="CH1755" s="37"/>
      <c r="CI1755" s="243">
        <f t="shared" si="487"/>
        <v>0.12</v>
      </c>
      <c r="CJ1755" s="243">
        <f t="shared" si="488"/>
        <v>-0.92081875395237522</v>
      </c>
      <c r="CK1755" s="38">
        <f t="shared" si="499"/>
        <v>0.59178731532099382</v>
      </c>
      <c r="CL1755" s="247">
        <f t="shared" si="489"/>
        <v>1.2822058498621534</v>
      </c>
      <c r="CM1755" s="247"/>
      <c r="CN1755" s="247"/>
      <c r="CO1755" s="36"/>
      <c r="CP1755" s="36" t="s">
        <v>651</v>
      </c>
      <c r="CQ1755" s="241">
        <v>-0.96912743923144595</v>
      </c>
      <c r="CR1755" s="241">
        <f>10^(CJ1755-CQ1755)</f>
        <v>1.1176573674613401</v>
      </c>
      <c r="CS1755" s="33"/>
      <c r="CT1755" s="33"/>
      <c r="CU1755" s="250">
        <f t="shared" si="490"/>
        <v>34.554250172771255</v>
      </c>
      <c r="CV1755" s="337">
        <f t="shared" si="500"/>
        <v>15.948115464355961</v>
      </c>
      <c r="CW1755" s="330">
        <f t="shared" si="491"/>
        <v>1</v>
      </c>
      <c r="CX1755" s="330"/>
      <c r="CY1755" s="143" t="s">
        <v>6351</v>
      </c>
    </row>
    <row r="1756" spans="1:103" ht="11.25" customHeight="1" x14ac:dyDescent="0.2">
      <c r="A1756" s="72">
        <v>1754</v>
      </c>
      <c r="B1756" s="241">
        <v>573</v>
      </c>
      <c r="C1756" s="32" t="s">
        <v>676</v>
      </c>
      <c r="D1756" s="32"/>
      <c r="E1756" s="40"/>
      <c r="F1756" s="40" t="s">
        <v>677</v>
      </c>
      <c r="G1756" s="242">
        <v>111875</v>
      </c>
      <c r="H1756" s="36" t="s">
        <v>678</v>
      </c>
      <c r="I1756" s="36" t="s">
        <v>678</v>
      </c>
      <c r="J1756" s="36" t="s">
        <v>679</v>
      </c>
      <c r="K1756" s="36" t="s">
        <v>426</v>
      </c>
      <c r="L1756" s="36" t="s">
        <v>5527</v>
      </c>
      <c r="M1756" s="36" t="s">
        <v>6082</v>
      </c>
      <c r="N1756" s="36"/>
      <c r="O1756" s="36" t="s">
        <v>6083</v>
      </c>
      <c r="P1756" s="41" t="s">
        <v>6183</v>
      </c>
      <c r="Q1756" s="41" t="s">
        <v>6179</v>
      </c>
      <c r="R1756" s="41" t="s">
        <v>6185</v>
      </c>
      <c r="S1756" s="41" t="s">
        <v>6176</v>
      </c>
      <c r="T1756" s="37">
        <v>130.22999999999999</v>
      </c>
      <c r="U1756" s="243">
        <v>4.14651002073255</v>
      </c>
      <c r="V1756" s="243">
        <v>6.2504799201412888</v>
      </c>
      <c r="W1756" s="243">
        <v>8.1283051616409896</v>
      </c>
      <c r="X1756" s="243">
        <v>4.14651002073255</v>
      </c>
      <c r="Y1756" s="414">
        <v>7</v>
      </c>
      <c r="Z1756" s="37">
        <v>2.81</v>
      </c>
      <c r="AA1756" s="37">
        <v>3</v>
      </c>
      <c r="AB1756" s="37">
        <v>2.99</v>
      </c>
      <c r="AC1756" s="37">
        <v>0.92889999999999995</v>
      </c>
      <c r="AD1756" s="37">
        <v>2.99</v>
      </c>
      <c r="AE1756" s="37">
        <v>3</v>
      </c>
      <c r="AF1756" s="37">
        <f t="shared" si="502"/>
        <v>3</v>
      </c>
      <c r="AG1756" s="38">
        <v>2.65</v>
      </c>
      <c r="AH1756" s="243">
        <v>3.1000000000000001E-5</v>
      </c>
      <c r="AI1756" s="243">
        <v>2.4499999999999999E-5</v>
      </c>
      <c r="AJ1756" s="34">
        <f t="shared" si="497"/>
        <v>-2.8972046324783789</v>
      </c>
      <c r="AK1756" s="34">
        <f>LOG10(AI1756*1000/(0.08206*298.15))</f>
        <v>-2.9994002419481194</v>
      </c>
      <c r="AL1756" s="34">
        <f t="shared" si="498"/>
        <v>-2.9994002419481194</v>
      </c>
      <c r="AM1756" s="34">
        <v>-3.9046099999999999</v>
      </c>
      <c r="AN1756" s="244">
        <v>-2.78</v>
      </c>
      <c r="AO1756" s="417">
        <v>15.27</v>
      </c>
      <c r="AP1756" s="417"/>
      <c r="AQ1756" s="244" t="s">
        <v>6311</v>
      </c>
      <c r="AR1756" s="244" t="s">
        <v>6311</v>
      </c>
      <c r="AS1756" s="241" t="s">
        <v>6</v>
      </c>
      <c r="AT1756" s="39" t="s">
        <v>266</v>
      </c>
      <c r="AU1756" s="37">
        <v>2</v>
      </c>
      <c r="AV1756" s="37">
        <v>48</v>
      </c>
      <c r="AW1756" s="37">
        <v>48</v>
      </c>
      <c r="AX1756" s="37">
        <v>26</v>
      </c>
      <c r="AY1756" s="37" t="s">
        <v>647</v>
      </c>
      <c r="AZ1756" s="37" t="s">
        <v>536</v>
      </c>
      <c r="BA1756" s="37">
        <v>20</v>
      </c>
      <c r="BB1756" s="36" t="s">
        <v>537</v>
      </c>
      <c r="BC1756" s="36" t="s">
        <v>538</v>
      </c>
      <c r="BD1756" s="36"/>
      <c r="BE1756" s="37" t="s">
        <v>271</v>
      </c>
      <c r="BF1756" s="37" t="s">
        <v>539</v>
      </c>
      <c r="BG1756" s="37" t="s">
        <v>272</v>
      </c>
      <c r="BH1756" s="37" t="s">
        <v>272</v>
      </c>
      <c r="BI1756" s="248">
        <v>5.221531137218767E-2</v>
      </c>
      <c r="BJ1756" s="248">
        <v>0.26414804576518469</v>
      </c>
      <c r="BK1756" s="37"/>
      <c r="BL1756" s="243">
        <f t="shared" si="496"/>
        <v>0.15386470198345839</v>
      </c>
      <c r="BM1756" s="37" t="s">
        <v>541</v>
      </c>
      <c r="BN1756" s="37"/>
      <c r="BO1756" s="37">
        <v>0.11825232281348384</v>
      </c>
      <c r="BP1756" s="37"/>
      <c r="BQ1756" s="37"/>
      <c r="BR1756" s="37"/>
      <c r="BS1756" s="37"/>
      <c r="BT1756" s="37"/>
      <c r="BU1756" s="246"/>
      <c r="BV1756" s="37"/>
      <c r="BW1756" s="37"/>
      <c r="BX1756" s="37"/>
      <c r="BY1756" s="37"/>
      <c r="BZ1756" s="37"/>
      <c r="CA1756" s="37"/>
      <c r="CB1756" s="37"/>
      <c r="CC1756" s="37"/>
      <c r="CD1756" s="37"/>
      <c r="CE1756" s="37"/>
      <c r="CF1756" s="37"/>
      <c r="CG1756" s="37"/>
      <c r="CH1756" s="37"/>
      <c r="CI1756" s="243">
        <f t="shared" si="487"/>
        <v>0.11825232281348384</v>
      </c>
      <c r="CJ1756" s="243">
        <f t="shared" si="488"/>
        <v>-0.92719031972189925</v>
      </c>
      <c r="CK1756" s="38">
        <f t="shared" si="499"/>
        <v>0.58249419009609837</v>
      </c>
      <c r="CL1756" s="247">
        <f t="shared" si="489"/>
        <v>1.3011558532016743</v>
      </c>
      <c r="CM1756" s="247"/>
      <c r="CN1756" s="247"/>
      <c r="CO1756" s="36"/>
      <c r="CP1756" s="36" t="s">
        <v>1558</v>
      </c>
      <c r="CQ1756" s="241">
        <v>-0.96912743923144595</v>
      </c>
      <c r="CR1756" s="241">
        <f>10^(CJ1756-CQ1756)</f>
        <v>1.1013798317658912</v>
      </c>
      <c r="CS1756" s="33"/>
      <c r="CT1756" s="33"/>
      <c r="CU1756" s="250">
        <f t="shared" si="490"/>
        <v>35.064935064935064</v>
      </c>
      <c r="CV1756" s="337">
        <f t="shared" si="500"/>
        <v>15.697674418604651</v>
      </c>
      <c r="CW1756" s="330">
        <f t="shared" si="491"/>
        <v>1</v>
      </c>
      <c r="CX1756" s="330"/>
      <c r="CY1756" s="143" t="s">
        <v>6351</v>
      </c>
    </row>
    <row r="1757" spans="1:103" ht="11.25" customHeight="1" x14ac:dyDescent="0.2">
      <c r="A1757" s="72">
        <v>1755</v>
      </c>
      <c r="B1757" s="241">
        <v>157</v>
      </c>
      <c r="C1757" s="32" t="s">
        <v>7674</v>
      </c>
      <c r="D1757" s="32"/>
      <c r="E1757" s="40"/>
      <c r="F1757" s="40" t="s">
        <v>842</v>
      </c>
      <c r="G1757" s="242">
        <v>111922</v>
      </c>
      <c r="H1757" s="36" t="s">
        <v>843</v>
      </c>
      <c r="I1757" s="36" t="s">
        <v>843</v>
      </c>
      <c r="J1757" s="36" t="s">
        <v>844</v>
      </c>
      <c r="K1757" s="36" t="s">
        <v>300</v>
      </c>
      <c r="L1757" s="36"/>
      <c r="M1757" s="36"/>
      <c r="N1757" s="36"/>
      <c r="O1757" s="36"/>
      <c r="P1757" s="41"/>
      <c r="Q1757" s="41"/>
      <c r="R1757" s="41"/>
      <c r="S1757" s="41"/>
      <c r="T1757" s="37">
        <v>129.24</v>
      </c>
      <c r="U1757" s="243">
        <v>27.081398947694211</v>
      </c>
      <c r="V1757" s="243">
        <v>27.940266171463939</v>
      </c>
      <c r="W1757" s="243">
        <v>52.480746024977243</v>
      </c>
      <c r="X1757" s="243">
        <v>27.081398947694211</v>
      </c>
      <c r="Y1757" s="414">
        <v>11.85</v>
      </c>
      <c r="Z1757" s="37">
        <v>2.77</v>
      </c>
      <c r="AA1757" s="37">
        <v>2.83</v>
      </c>
      <c r="AB1757" s="37">
        <v>2.4900000000000002</v>
      </c>
      <c r="AC1757" s="37">
        <v>0.87190000000000001</v>
      </c>
      <c r="AD1757" s="37">
        <v>2.56</v>
      </c>
      <c r="AE1757" s="37">
        <v>2.76</v>
      </c>
      <c r="AF1757" s="37">
        <f t="shared" si="502"/>
        <v>2.83</v>
      </c>
      <c r="AG1757" s="38">
        <v>2.2000000000000002</v>
      </c>
      <c r="AH1757" s="243">
        <v>9.1100000000000005E-5</v>
      </c>
      <c r="AI1757" s="243">
        <v>8.8999999999999995E-5</v>
      </c>
      <c r="AJ1757" s="34">
        <f t="shared" si="497"/>
        <v>-2.4290479493396537</v>
      </c>
      <c r="AK1757" s="34">
        <f>LOG10(AI1757*1000/(0.08206*298.15))</f>
        <v>-2.4391763196677392</v>
      </c>
      <c r="AL1757" s="34">
        <f t="shared" si="498"/>
        <v>-2.4391763196677392</v>
      </c>
      <c r="AM1757" s="34">
        <v>-3.6856999999999998</v>
      </c>
      <c r="AN1757" s="244">
        <v>-2.2999999999999998</v>
      </c>
      <c r="AO1757" s="417"/>
      <c r="AP1757" s="417">
        <v>11.03</v>
      </c>
      <c r="AQ1757" s="244" t="s">
        <v>6311</v>
      </c>
      <c r="AR1757" s="244" t="s">
        <v>6311</v>
      </c>
      <c r="AS1757" s="241" t="s">
        <v>81</v>
      </c>
      <c r="AT1757" s="39" t="s">
        <v>266</v>
      </c>
      <c r="AU1757" s="37">
        <v>0</v>
      </c>
      <c r="AV1757" s="37">
        <v>48</v>
      </c>
      <c r="AW1757" s="37">
        <v>48</v>
      </c>
      <c r="AX1757" s="37">
        <v>26</v>
      </c>
      <c r="AY1757" s="37" t="s">
        <v>8722</v>
      </c>
      <c r="AZ1757" s="37" t="s">
        <v>536</v>
      </c>
      <c r="BA1757" s="37">
        <v>20</v>
      </c>
      <c r="BB1757" s="36" t="s">
        <v>537</v>
      </c>
      <c r="BC1757" s="36" t="s">
        <v>648</v>
      </c>
      <c r="BD1757" s="36"/>
      <c r="BE1757" s="245" t="s">
        <v>649</v>
      </c>
      <c r="BF1757" s="37" t="s">
        <v>539</v>
      </c>
      <c r="BG1757" s="37" t="s">
        <v>272</v>
      </c>
      <c r="BH1757" s="37" t="s">
        <v>272</v>
      </c>
      <c r="BI1757" s="248">
        <v>0.21663442940038685</v>
      </c>
      <c r="BJ1757" s="248">
        <v>0.61895551257253389</v>
      </c>
      <c r="BK1757" s="37"/>
      <c r="BL1757" s="243">
        <f t="shared" si="496"/>
        <v>0.16713330450793987</v>
      </c>
      <c r="BM1757" s="37" t="s">
        <v>541</v>
      </c>
      <c r="BN1757" s="37"/>
      <c r="BO1757" s="37">
        <v>0.313</v>
      </c>
      <c r="BP1757" s="37"/>
      <c r="BQ1757" s="37"/>
      <c r="BR1757" s="37"/>
      <c r="BS1757" s="37"/>
      <c r="BT1757" s="37"/>
      <c r="BU1757" s="246"/>
      <c r="BV1757" s="37"/>
      <c r="BW1757" s="37"/>
      <c r="BX1757" s="37"/>
      <c r="BY1757" s="37"/>
      <c r="BZ1757" s="37"/>
      <c r="CA1757" s="37"/>
      <c r="CB1757" s="37"/>
      <c r="CC1757" s="37"/>
      <c r="CD1757" s="37"/>
      <c r="CE1757" s="37"/>
      <c r="CF1757" s="37"/>
      <c r="CG1757" s="37"/>
      <c r="CH1757" s="37"/>
      <c r="CI1757" s="243">
        <f t="shared" si="487"/>
        <v>0.313</v>
      </c>
      <c r="CJ1757" s="243">
        <f t="shared" si="488"/>
        <v>-0.50445566245355156</v>
      </c>
      <c r="CK1757" s="38">
        <f t="shared" si="499"/>
        <v>0.27002474509564034</v>
      </c>
      <c r="CL1757" s="247">
        <f t="shared" si="489"/>
        <v>0.53397221887520729</v>
      </c>
      <c r="CM1757" s="247"/>
      <c r="CN1757" s="247"/>
      <c r="CO1757" s="36"/>
      <c r="CP1757" s="36" t="s">
        <v>772</v>
      </c>
      <c r="CQ1757" s="241">
        <v>-0.95711474256498696</v>
      </c>
      <c r="CR1757" s="241">
        <f>10^(CJ1757-CQ1757)</f>
        <v>2.8356921445296943</v>
      </c>
      <c r="CS1757" s="33"/>
      <c r="CT1757" s="33"/>
      <c r="CU1757" s="250">
        <f t="shared" si="490"/>
        <v>86.522041366435175</v>
      </c>
      <c r="CV1757" s="337">
        <f t="shared" si="500"/>
        <v>43.753385174868455</v>
      </c>
      <c r="CW1757" s="330">
        <f t="shared" si="491"/>
        <v>1</v>
      </c>
      <c r="CX1757" s="330"/>
      <c r="CY1757" s="143" t="s">
        <v>6351</v>
      </c>
    </row>
    <row r="1758" spans="1:103" ht="11.25" customHeight="1" x14ac:dyDescent="0.2">
      <c r="A1758" s="72">
        <v>1756</v>
      </c>
      <c r="B1758" s="241">
        <v>120</v>
      </c>
      <c r="C1758" s="32" t="s">
        <v>7675</v>
      </c>
      <c r="D1758" s="32"/>
      <c r="E1758" s="40"/>
      <c r="F1758" s="40" t="s">
        <v>724</v>
      </c>
      <c r="G1758" s="242">
        <v>111966</v>
      </c>
      <c r="H1758" s="36" t="s">
        <v>725</v>
      </c>
      <c r="I1758" s="36" t="s">
        <v>725</v>
      </c>
      <c r="J1758" s="36" t="s">
        <v>726</v>
      </c>
      <c r="K1758" s="36" t="s">
        <v>426</v>
      </c>
      <c r="L1758" s="36"/>
      <c r="M1758" s="36"/>
      <c r="N1758" s="36"/>
      <c r="O1758" s="36"/>
      <c r="P1758" s="41"/>
      <c r="Q1758" s="41"/>
      <c r="R1758" s="41"/>
      <c r="S1758" s="41"/>
      <c r="T1758" s="37">
        <v>134.16999999999999</v>
      </c>
      <c r="U1758" s="243">
        <v>7453.2309756279355</v>
      </c>
      <c r="V1758" s="243">
        <v>1338.6002832227773</v>
      </c>
      <c r="W1758" s="243">
        <v>3981.0717055349728</v>
      </c>
      <c r="X1758" s="243">
        <v>7453.2309756279355</v>
      </c>
      <c r="Y1758" s="414">
        <v>7</v>
      </c>
      <c r="Z1758" s="37">
        <v>-0.48</v>
      </c>
      <c r="AA1758" s="37">
        <v>-0.36</v>
      </c>
      <c r="AB1758" s="37">
        <v>-0.04</v>
      </c>
      <c r="AC1758" s="37">
        <v>0.92410000000000003</v>
      </c>
      <c r="AD1758" s="37">
        <v>-0.18</v>
      </c>
      <c r="AE1758" s="37">
        <v>-0.8</v>
      </c>
      <c r="AF1758" s="37">
        <f t="shared" si="502"/>
        <v>-0.36</v>
      </c>
      <c r="AG1758" s="38">
        <v>0.37</v>
      </c>
      <c r="AH1758" s="243">
        <v>2.0800000000000001E-7</v>
      </c>
      <c r="AI1758" s="243">
        <v>5.2300000000000001E-7</v>
      </c>
      <c r="AJ1758" s="34">
        <f t="shared" si="497"/>
        <v>-5.0705029913498905</v>
      </c>
      <c r="AK1758" s="34">
        <f>LOG10(AI1758*1000/(0.08206*298.15))</f>
        <v>-4.6700646374453774</v>
      </c>
      <c r="AL1758" s="34">
        <f t="shared" si="498"/>
        <v>-4.6700646374453774</v>
      </c>
      <c r="AM1758" s="34">
        <v>-4.7041600000000008</v>
      </c>
      <c r="AN1758" s="244">
        <v>-4.71</v>
      </c>
      <c r="AO1758" s="417"/>
      <c r="AP1758" s="417"/>
      <c r="AQ1758" s="244" t="s">
        <v>6311</v>
      </c>
      <c r="AR1758" s="244" t="s">
        <v>6311</v>
      </c>
      <c r="AS1758" s="241" t="s">
        <v>6</v>
      </c>
      <c r="AT1758" s="39" t="s">
        <v>266</v>
      </c>
      <c r="AU1758" s="37">
        <v>0</v>
      </c>
      <c r="AV1758" s="37" t="s">
        <v>646</v>
      </c>
      <c r="AW1758" s="37" t="s">
        <v>646</v>
      </c>
      <c r="AX1758" s="37">
        <v>26</v>
      </c>
      <c r="AY1758" s="37" t="s">
        <v>647</v>
      </c>
      <c r="AZ1758" s="37" t="s">
        <v>536</v>
      </c>
      <c r="BA1758" s="37">
        <v>20</v>
      </c>
      <c r="BB1758" s="36" t="s">
        <v>537</v>
      </c>
      <c r="BC1758" s="36" t="s">
        <v>648</v>
      </c>
      <c r="BD1758" s="36"/>
      <c r="BE1758" s="245" t="s">
        <v>649</v>
      </c>
      <c r="BF1758" s="245" t="s">
        <v>650</v>
      </c>
      <c r="BG1758" s="245" t="s">
        <v>540</v>
      </c>
      <c r="BH1758" s="245" t="s">
        <v>272</v>
      </c>
      <c r="BI1758" s="243">
        <v>29.8</v>
      </c>
      <c r="BJ1758" s="243">
        <v>114.5</v>
      </c>
      <c r="BK1758" s="37"/>
      <c r="BL1758" s="243">
        <f t="shared" si="496"/>
        <v>138.63982451729089</v>
      </c>
      <c r="BM1758" s="37" t="s">
        <v>541</v>
      </c>
      <c r="BN1758" s="37"/>
      <c r="BO1758" s="37">
        <v>82.4</v>
      </c>
      <c r="BP1758" s="37"/>
      <c r="BQ1758" s="37"/>
      <c r="BR1758" s="37"/>
      <c r="BS1758" s="37"/>
      <c r="BT1758" s="37"/>
      <c r="BU1758" s="246"/>
      <c r="BV1758" s="37"/>
      <c r="BW1758" s="37"/>
      <c r="BX1758" s="37"/>
      <c r="BY1758" s="37"/>
      <c r="BZ1758" s="37"/>
      <c r="CA1758" s="37"/>
      <c r="CB1758" s="37"/>
      <c r="CC1758" s="37"/>
      <c r="CD1758" s="37"/>
      <c r="CE1758" s="37"/>
      <c r="CF1758" s="37"/>
      <c r="CG1758" s="37"/>
      <c r="CH1758" s="37"/>
      <c r="CI1758" s="243">
        <f t="shared" si="487"/>
        <v>82.4</v>
      </c>
      <c r="CJ1758" s="243">
        <f t="shared" si="488"/>
        <v>1.9159272116971158</v>
      </c>
      <c r="CK1758" s="38">
        <f t="shared" si="499"/>
        <v>1.2108281617230645</v>
      </c>
      <c r="CL1758" s="247">
        <f t="shared" si="489"/>
        <v>1.682522142200132</v>
      </c>
      <c r="CM1758" s="247"/>
      <c r="CN1758" s="247"/>
      <c r="CO1758" s="36"/>
      <c r="CP1758" s="36" t="s">
        <v>651</v>
      </c>
      <c r="CQ1758" s="241" t="s">
        <v>272</v>
      </c>
      <c r="CR1758" s="241"/>
      <c r="CS1758" s="33"/>
      <c r="CT1758" s="33"/>
      <c r="CU1758" s="250">
        <f t="shared" si="490"/>
        <v>90.451832228494354</v>
      </c>
      <c r="CV1758" s="337">
        <f t="shared" si="500"/>
        <v>65.093720311161007</v>
      </c>
      <c r="CW1758" s="330">
        <f t="shared" si="491"/>
        <v>1</v>
      </c>
      <c r="CX1758" s="330"/>
      <c r="CY1758" s="143" t="s">
        <v>6351</v>
      </c>
    </row>
    <row r="1759" spans="1:103" ht="11.25" customHeight="1" x14ac:dyDescent="0.2">
      <c r="A1759" s="72">
        <v>1757</v>
      </c>
      <c r="B1759" s="241">
        <v>145</v>
      </c>
      <c r="C1759" s="32" t="s">
        <v>7676</v>
      </c>
      <c r="D1759" s="32"/>
      <c r="E1759" s="40"/>
      <c r="F1759" s="40" t="s">
        <v>805</v>
      </c>
      <c r="G1759" s="242">
        <v>112209</v>
      </c>
      <c r="H1759" s="36" t="s">
        <v>806</v>
      </c>
      <c r="I1759" s="36" t="s">
        <v>806</v>
      </c>
      <c r="J1759" s="36" t="s">
        <v>807</v>
      </c>
      <c r="K1759" s="36" t="s">
        <v>300</v>
      </c>
      <c r="L1759" s="36"/>
      <c r="M1759" s="36"/>
      <c r="N1759" s="36"/>
      <c r="O1759" s="36"/>
      <c r="P1759" s="41"/>
      <c r="Q1759" s="41"/>
      <c r="R1759" s="41"/>
      <c r="S1759" s="41"/>
      <c r="T1759" s="37">
        <v>143.27000000000001</v>
      </c>
      <c r="U1759" s="243"/>
      <c r="V1759" s="243">
        <v>8.934180219166608</v>
      </c>
      <c r="W1759" s="243">
        <v>10</v>
      </c>
      <c r="X1759" s="243">
        <f>IF(W1759=0,V1759,W1759)</f>
        <v>10</v>
      </c>
      <c r="Y1759" s="414">
        <v>11.32</v>
      </c>
      <c r="Z1759" s="37">
        <v>3.29</v>
      </c>
      <c r="AA1759" s="37"/>
      <c r="AB1759" s="37">
        <v>3.58</v>
      </c>
      <c r="AC1759" s="37">
        <v>0.86890000000000001</v>
      </c>
      <c r="AD1759" s="37">
        <v>3.58</v>
      </c>
      <c r="AE1759" s="37">
        <v>3.59</v>
      </c>
      <c r="AF1759" s="37">
        <f t="shared" si="502"/>
        <v>3.58</v>
      </c>
      <c r="AG1759" s="38">
        <v>2.72</v>
      </c>
      <c r="AH1759" s="243">
        <v>7.3100000000000001E-5</v>
      </c>
      <c r="AI1759" s="243"/>
      <c r="AJ1759" s="34">
        <f t="shared" si="497"/>
        <v>-2.5246489493547912</v>
      </c>
      <c r="AK1759" s="34"/>
      <c r="AL1759" s="34">
        <f t="shared" si="498"/>
        <v>-2.5246489493547912</v>
      </c>
      <c r="AM1759" s="34">
        <v>-5.0621999999999998</v>
      </c>
      <c r="AN1759" s="244">
        <v>-2.52</v>
      </c>
      <c r="AO1759" s="417"/>
      <c r="AP1759" s="417">
        <v>10.75</v>
      </c>
      <c r="AQ1759" s="244" t="s">
        <v>6311</v>
      </c>
      <c r="AR1759" s="244" t="s">
        <v>6311</v>
      </c>
      <c r="AS1759" s="241" t="s">
        <v>81</v>
      </c>
      <c r="AT1759" s="39" t="s">
        <v>266</v>
      </c>
      <c r="AU1759" s="37">
        <v>0</v>
      </c>
      <c r="AV1759" s="37">
        <v>48</v>
      </c>
      <c r="AW1759" s="37">
        <v>48</v>
      </c>
      <c r="AX1759" s="37">
        <v>26</v>
      </c>
      <c r="AY1759" s="37" t="s">
        <v>8722</v>
      </c>
      <c r="AZ1759" s="37" t="s">
        <v>536</v>
      </c>
      <c r="BA1759" s="37">
        <v>20</v>
      </c>
      <c r="BB1759" s="36" t="s">
        <v>537</v>
      </c>
      <c r="BC1759" s="36" t="s">
        <v>648</v>
      </c>
      <c r="BD1759" s="36"/>
      <c r="BE1759" s="245" t="s">
        <v>649</v>
      </c>
      <c r="BF1759" s="37" t="s">
        <v>539</v>
      </c>
      <c r="BG1759" s="37" t="s">
        <v>272</v>
      </c>
      <c r="BH1759" s="37" t="s">
        <v>272</v>
      </c>
      <c r="BI1759" s="248">
        <v>7.5382145599218256E-2</v>
      </c>
      <c r="BJ1759" s="248">
        <v>0.21497871152369652</v>
      </c>
      <c r="BK1759" s="37"/>
      <c r="BL1759" s="243">
        <f t="shared" si="496"/>
        <v>5.7023123165170088E-2</v>
      </c>
      <c r="BM1759" s="37" t="s">
        <v>541</v>
      </c>
      <c r="BN1759" s="37"/>
      <c r="BO1759" s="37">
        <v>0.08</v>
      </c>
      <c r="BP1759" s="37"/>
      <c r="BQ1759" s="37"/>
      <c r="BR1759" s="37"/>
      <c r="BS1759" s="37"/>
      <c r="BT1759" s="37"/>
      <c r="BU1759" s="246"/>
      <c r="BV1759" s="37"/>
      <c r="BW1759" s="37"/>
      <c r="BX1759" s="37"/>
      <c r="BY1759" s="37"/>
      <c r="BZ1759" s="37"/>
      <c r="CA1759" s="37"/>
      <c r="CB1759" s="37"/>
      <c r="CC1759" s="37"/>
      <c r="CD1759" s="37"/>
      <c r="CE1759" s="37"/>
      <c r="CF1759" s="37"/>
      <c r="CG1759" s="37"/>
      <c r="CH1759" s="37"/>
      <c r="CI1759" s="243">
        <f t="shared" si="487"/>
        <v>0.08</v>
      </c>
      <c r="CJ1759" s="243">
        <f t="shared" si="488"/>
        <v>-1.0969100130080565</v>
      </c>
      <c r="CK1759" s="38">
        <f t="shared" si="499"/>
        <v>0.26525009272317918</v>
      </c>
      <c r="CL1759" s="247">
        <f t="shared" si="489"/>
        <v>0.71278903956462614</v>
      </c>
      <c r="CM1759" s="247"/>
      <c r="CN1759" s="247"/>
      <c r="CO1759" s="36"/>
      <c r="CP1759" s="36" t="s">
        <v>772</v>
      </c>
      <c r="CQ1759" s="241">
        <v>-1.8206985183899569</v>
      </c>
      <c r="CR1759" s="241">
        <f>10^(CJ1759-CQ1759)</f>
        <v>5.2940556887677364</v>
      </c>
      <c r="CS1759" s="33"/>
      <c r="CT1759" s="33"/>
      <c r="CU1759" s="250">
        <f t="shared" si="490"/>
        <v>125</v>
      </c>
      <c r="CV1759" s="337">
        <f t="shared" si="500"/>
        <v>46.516233766233768</v>
      </c>
      <c r="CW1759" s="330">
        <f t="shared" si="491"/>
        <v>1</v>
      </c>
      <c r="CX1759" s="330"/>
      <c r="CY1759" s="143" t="s">
        <v>5921</v>
      </c>
    </row>
    <row r="1760" spans="1:103" ht="11.25" customHeight="1" x14ac:dyDescent="0.2">
      <c r="A1760" s="72">
        <v>1758</v>
      </c>
      <c r="B1760" s="241">
        <v>600</v>
      </c>
      <c r="C1760" s="32" t="s">
        <v>1795</v>
      </c>
      <c r="D1760" s="32"/>
      <c r="E1760" s="40"/>
      <c r="F1760" s="40" t="s">
        <v>1796</v>
      </c>
      <c r="G1760" s="242">
        <v>112276</v>
      </c>
      <c r="H1760" s="36" t="s">
        <v>1797</v>
      </c>
      <c r="I1760" s="36" t="s">
        <v>1797</v>
      </c>
      <c r="J1760" s="36" t="s">
        <v>1798</v>
      </c>
      <c r="K1760" s="36" t="s">
        <v>426</v>
      </c>
      <c r="L1760" s="36"/>
      <c r="M1760" s="36"/>
      <c r="N1760" s="36"/>
      <c r="O1760" s="36"/>
      <c r="P1760" s="41"/>
      <c r="Q1760" s="41" t="s">
        <v>6176</v>
      </c>
      <c r="R1760" s="41" t="s">
        <v>6185</v>
      </c>
      <c r="S1760" s="41" t="s">
        <v>6176</v>
      </c>
      <c r="T1760" s="37">
        <v>150.16999999999999</v>
      </c>
      <c r="U1760" s="243">
        <v>6659.1196643803696</v>
      </c>
      <c r="V1760" s="243">
        <v>6659.1196643803696</v>
      </c>
      <c r="W1760" s="243">
        <v>6606.9344800759609</v>
      </c>
      <c r="X1760" s="243">
        <v>6659.1196643803696</v>
      </c>
      <c r="Y1760" s="414">
        <v>6.58</v>
      </c>
      <c r="Z1760" s="37">
        <v>-1.75</v>
      </c>
      <c r="AA1760" s="37">
        <v>-1.75</v>
      </c>
      <c r="AB1760" s="37">
        <v>-1.01</v>
      </c>
      <c r="AC1760" s="37">
        <v>0.8387</v>
      </c>
      <c r="AD1760" s="37">
        <v>-1.24</v>
      </c>
      <c r="AE1760" s="37">
        <v>-1.87</v>
      </c>
      <c r="AF1760" s="37">
        <f t="shared" si="502"/>
        <v>-1.75</v>
      </c>
      <c r="AG1760" s="38">
        <v>-0.93</v>
      </c>
      <c r="AH1760" s="243">
        <v>3.1599999999999999E-11</v>
      </c>
      <c r="AI1760" s="243"/>
      <c r="AJ1760" s="34">
        <f t="shared" si="497"/>
        <v>-8.8888792436942481</v>
      </c>
      <c r="AK1760" s="34"/>
      <c r="AL1760" s="34">
        <f t="shared" si="498"/>
        <v>-8.8888792436942481</v>
      </c>
      <c r="AM1760" s="34">
        <v>-10.47321</v>
      </c>
      <c r="AN1760" s="244">
        <v>-9.2100000000000009</v>
      </c>
      <c r="AO1760" s="417">
        <v>14.06</v>
      </c>
      <c r="AP1760" s="417"/>
      <c r="AQ1760" s="244" t="s">
        <v>6311</v>
      </c>
      <c r="AR1760" s="244" t="s">
        <v>6311</v>
      </c>
      <c r="AS1760" s="241" t="s">
        <v>6</v>
      </c>
      <c r="AT1760" s="39" t="s">
        <v>266</v>
      </c>
      <c r="AU1760" s="37">
        <v>2</v>
      </c>
      <c r="AV1760" s="37">
        <v>48</v>
      </c>
      <c r="AW1760" s="37">
        <v>48</v>
      </c>
      <c r="AX1760" s="37">
        <v>26</v>
      </c>
      <c r="AY1760" s="37" t="s">
        <v>647</v>
      </c>
      <c r="AZ1760" s="37" t="s">
        <v>536</v>
      </c>
      <c r="BA1760" s="37">
        <v>20</v>
      </c>
      <c r="BB1760" s="36" t="s">
        <v>1644</v>
      </c>
      <c r="BC1760" s="36" t="s">
        <v>538</v>
      </c>
      <c r="BD1760" s="36"/>
      <c r="BE1760" s="37" t="s">
        <v>271</v>
      </c>
      <c r="BF1760" s="37" t="s">
        <v>272</v>
      </c>
      <c r="BG1760" s="37" t="s">
        <v>272</v>
      </c>
      <c r="BH1760" s="37" t="s">
        <v>272</v>
      </c>
      <c r="BI1760" s="248">
        <v>186.41810918774968</v>
      </c>
      <c r="BJ1760" s="248">
        <v>532.62316910785626</v>
      </c>
      <c r="BK1760" s="37"/>
      <c r="BL1760" s="243">
        <f t="shared" si="496"/>
        <v>1916.3507455437423</v>
      </c>
      <c r="BM1760" s="37" t="s">
        <v>1552</v>
      </c>
      <c r="BN1760" s="37"/>
      <c r="BO1760" s="37">
        <v>358.85486018641814</v>
      </c>
      <c r="BP1760" s="37"/>
      <c r="BQ1760" s="37"/>
      <c r="BR1760" s="37"/>
      <c r="BS1760" s="37"/>
      <c r="BT1760" s="37"/>
      <c r="BU1760" s="246"/>
      <c r="BV1760" s="37"/>
      <c r="BW1760" s="37"/>
      <c r="BX1760" s="37"/>
      <c r="BY1760" s="37"/>
      <c r="BZ1760" s="37"/>
      <c r="CA1760" s="37"/>
      <c r="CB1760" s="37"/>
      <c r="CC1760" s="37"/>
      <c r="CD1760" s="37"/>
      <c r="CE1760" s="37"/>
      <c r="CF1760" s="37"/>
      <c r="CG1760" s="37"/>
      <c r="CH1760" s="37"/>
      <c r="CI1760" s="243">
        <f t="shared" si="487"/>
        <v>358.85486018641814</v>
      </c>
      <c r="CJ1760" s="243">
        <f t="shared" si="488"/>
        <v>2.554918832518589</v>
      </c>
      <c r="CK1760" s="38">
        <f t="shared" si="499"/>
        <v>3.5979485247583756</v>
      </c>
      <c r="CL1760" s="247">
        <f t="shared" si="489"/>
        <v>5.3401833391589992</v>
      </c>
      <c r="CM1760" s="247"/>
      <c r="CN1760" s="247"/>
      <c r="CO1760" s="36"/>
      <c r="CP1760" s="36" t="s">
        <v>1553</v>
      </c>
      <c r="CQ1760" s="241">
        <v>2.6864109679640658</v>
      </c>
      <c r="CR1760" s="241">
        <f>10^(CJ1760-CQ1760)</f>
        <v>0.73876764107240289</v>
      </c>
      <c r="CS1760" s="33"/>
      <c r="CT1760" s="33"/>
      <c r="CU1760" s="250">
        <f t="shared" si="490"/>
        <v>18.556582070314128</v>
      </c>
      <c r="CV1760" s="337">
        <f t="shared" si="500"/>
        <v>12.502497169874143</v>
      </c>
      <c r="CW1760" s="330">
        <f t="shared" si="491"/>
        <v>1</v>
      </c>
      <c r="CX1760" s="330"/>
      <c r="CY1760" s="143" t="s">
        <v>6351</v>
      </c>
    </row>
    <row r="1761" spans="1:103" ht="11.25" customHeight="1" x14ac:dyDescent="0.2">
      <c r="A1761" s="72">
        <v>1759</v>
      </c>
      <c r="B1761" s="241">
        <v>186</v>
      </c>
      <c r="C1761" s="32" t="s">
        <v>7182</v>
      </c>
      <c r="D1761" s="32"/>
      <c r="E1761" s="40"/>
      <c r="F1761" s="40" t="s">
        <v>3684</v>
      </c>
      <c r="G1761" s="242">
        <v>114078</v>
      </c>
      <c r="H1761" s="36" t="s">
        <v>3685</v>
      </c>
      <c r="I1761" s="36" t="s">
        <v>8033</v>
      </c>
      <c r="J1761" s="36" t="s">
        <v>3686</v>
      </c>
      <c r="K1761" s="36" t="s">
        <v>3680</v>
      </c>
      <c r="L1761" s="42" t="s">
        <v>279</v>
      </c>
      <c r="M1761" s="36" t="s">
        <v>3687</v>
      </c>
      <c r="N1761" s="36"/>
      <c r="O1761" s="36" t="s">
        <v>281</v>
      </c>
      <c r="P1761" s="41"/>
      <c r="Q1761" s="41"/>
      <c r="R1761" s="41"/>
      <c r="S1761" s="41"/>
      <c r="T1761" s="37">
        <v>733.93</v>
      </c>
      <c r="U1761" s="243"/>
      <c r="V1761" s="243">
        <v>7.0415434714482322E-4</v>
      </c>
      <c r="W1761" s="243">
        <v>37.153522909717253</v>
      </c>
      <c r="X1761" s="243">
        <f>IF(W1761=0,V1761,W1761)</f>
        <v>37.153522909717253</v>
      </c>
      <c r="Y1761" s="414">
        <v>10.19</v>
      </c>
      <c r="Z1761" s="37">
        <v>2.48</v>
      </c>
      <c r="AA1761" s="37">
        <v>3.06</v>
      </c>
      <c r="AB1761" s="37">
        <v>2.37</v>
      </c>
      <c r="AC1761" s="37">
        <v>0.91320000000000001</v>
      </c>
      <c r="AD1761" s="37">
        <v>2.44</v>
      </c>
      <c r="AE1761" s="37">
        <v>2.83</v>
      </c>
      <c r="AF1761" s="37">
        <f t="shared" si="502"/>
        <v>3.06</v>
      </c>
      <c r="AG1761" s="37">
        <v>2.33</v>
      </c>
      <c r="AH1761" s="243">
        <v>5.4199999999999999E-29</v>
      </c>
      <c r="AI1761" s="243"/>
      <c r="AJ1761" s="34">
        <f t="shared" si="497"/>
        <v>-26.654567039774264</v>
      </c>
      <c r="AK1761" s="34"/>
      <c r="AL1761" s="34">
        <f t="shared" si="498"/>
        <v>-26.654567039774264</v>
      </c>
      <c r="AM1761" s="34">
        <v>-40.716160000000002</v>
      </c>
      <c r="AN1761" s="37">
        <v>-30.6</v>
      </c>
      <c r="AO1761" s="417">
        <v>13.09</v>
      </c>
      <c r="AP1761" s="417">
        <v>8.16</v>
      </c>
      <c r="AQ1761" s="37" t="s">
        <v>6311</v>
      </c>
      <c r="AR1761" s="37" t="s">
        <v>6311</v>
      </c>
      <c r="AS1761" s="241" t="s">
        <v>115</v>
      </c>
      <c r="AT1761" s="39" t="s">
        <v>266</v>
      </c>
      <c r="AU1761" s="37">
        <v>0</v>
      </c>
      <c r="AV1761" s="37">
        <v>48</v>
      </c>
      <c r="AW1761" s="37">
        <v>48</v>
      </c>
      <c r="AX1761" s="37">
        <v>26</v>
      </c>
      <c r="AY1761" s="37" t="s">
        <v>8722</v>
      </c>
      <c r="AZ1761" s="37" t="s">
        <v>536</v>
      </c>
      <c r="BA1761" s="37">
        <v>20</v>
      </c>
      <c r="BB1761" s="36" t="s">
        <v>537</v>
      </c>
      <c r="BC1761" s="36" t="s">
        <v>538</v>
      </c>
      <c r="BD1761" s="36"/>
      <c r="BE1761" s="245" t="s">
        <v>271</v>
      </c>
      <c r="BF1761" s="245" t="s">
        <v>539</v>
      </c>
      <c r="BG1761" s="245" t="s">
        <v>540</v>
      </c>
      <c r="BH1761" s="245" t="s">
        <v>272</v>
      </c>
      <c r="BI1761" s="243">
        <v>8.9999999999999998E-4</v>
      </c>
      <c r="BJ1761" s="243">
        <v>1.3599999999999999E-2</v>
      </c>
      <c r="BK1761" s="37"/>
      <c r="BL1761" s="243">
        <f t="shared" si="496"/>
        <v>0.30444721107335437</v>
      </c>
      <c r="BM1761" s="37" t="s">
        <v>541</v>
      </c>
      <c r="BN1761" s="37"/>
      <c r="BO1761" s="37"/>
      <c r="BP1761" s="37"/>
      <c r="BQ1761" s="37"/>
      <c r="BR1761" s="37"/>
      <c r="BS1761" s="37"/>
      <c r="BT1761" s="37"/>
      <c r="BU1761" s="246"/>
      <c r="BV1761" s="37"/>
      <c r="BW1761" s="37"/>
      <c r="BX1761" s="37"/>
      <c r="BY1761" s="37"/>
      <c r="BZ1761" s="37"/>
      <c r="CA1761" s="37"/>
      <c r="CB1761" s="37"/>
      <c r="CC1761" s="37"/>
      <c r="CD1761" s="37"/>
      <c r="CE1761" s="37"/>
      <c r="CF1761" s="37"/>
      <c r="CG1761" s="37"/>
      <c r="CH1761" s="37"/>
      <c r="CI1761" s="243"/>
      <c r="CJ1761" s="243"/>
      <c r="CK1761" s="38">
        <f t="shared" si="499"/>
        <v>22.385824343629</v>
      </c>
      <c r="CL1761" s="247"/>
      <c r="CM1761" s="247"/>
      <c r="CN1761" s="247"/>
      <c r="CO1761" s="36" t="s">
        <v>3683</v>
      </c>
      <c r="CP1761" s="36" t="s">
        <v>542</v>
      </c>
      <c r="CQ1761" s="241" t="s">
        <v>272</v>
      </c>
      <c r="CR1761" s="241"/>
      <c r="CS1761" s="33"/>
      <c r="CT1761" s="33"/>
      <c r="CU1761" s="250"/>
      <c r="CV1761" s="337">
        <f t="shared" si="500"/>
        <v>2731.8766845380333</v>
      </c>
      <c r="CW1761" s="330">
        <f>IF(CV1761&lt;1,0,1)</f>
        <v>1</v>
      </c>
      <c r="CX1761" s="330"/>
      <c r="CY1761" s="143" t="s">
        <v>6351</v>
      </c>
    </row>
    <row r="1762" spans="1:103" ht="11.25" customHeight="1" x14ac:dyDescent="0.2">
      <c r="A1762" s="72">
        <v>1760</v>
      </c>
      <c r="B1762" s="241">
        <v>698</v>
      </c>
      <c r="C1762" s="32" t="s">
        <v>1997</v>
      </c>
      <c r="D1762" s="32"/>
      <c r="E1762" s="40"/>
      <c r="F1762" s="40" t="s">
        <v>1998</v>
      </c>
      <c r="G1762" s="242">
        <v>114261</v>
      </c>
      <c r="H1762" s="36" t="s">
        <v>1999</v>
      </c>
      <c r="I1762" s="36" t="s">
        <v>1999</v>
      </c>
      <c r="J1762" s="36" t="s">
        <v>2000</v>
      </c>
      <c r="K1762" s="36" t="s">
        <v>616</v>
      </c>
      <c r="L1762" s="36" t="s">
        <v>617</v>
      </c>
      <c r="M1762" s="36" t="s">
        <v>618</v>
      </c>
      <c r="N1762" s="36" t="s">
        <v>6376</v>
      </c>
      <c r="O1762" s="36" t="s">
        <v>2001</v>
      </c>
      <c r="P1762" s="41"/>
      <c r="Q1762" s="41" t="s">
        <v>6173</v>
      </c>
      <c r="R1762" s="41" t="s">
        <v>6177</v>
      </c>
      <c r="S1762" s="41" t="s">
        <v>6176</v>
      </c>
      <c r="T1762" s="37">
        <v>209.24</v>
      </c>
      <c r="U1762" s="243">
        <v>8.8888888888888893</v>
      </c>
      <c r="V1762" s="243">
        <v>9.4336917562724008</v>
      </c>
      <c r="W1762" s="243">
        <v>3.3884415613920211</v>
      </c>
      <c r="X1762" s="243">
        <v>8.8888888888888893</v>
      </c>
      <c r="Y1762" s="414">
        <v>6.96</v>
      </c>
      <c r="Z1762" s="37">
        <v>1.9</v>
      </c>
      <c r="AA1762" s="37">
        <v>1.52</v>
      </c>
      <c r="AB1762" s="37">
        <v>1.54</v>
      </c>
      <c r="AC1762" s="37">
        <v>0.89239999999999997</v>
      </c>
      <c r="AD1762" s="37">
        <v>1.56</v>
      </c>
      <c r="AE1762" s="37">
        <v>1.6</v>
      </c>
      <c r="AF1762" s="37">
        <f t="shared" si="502"/>
        <v>1.52</v>
      </c>
      <c r="AG1762" s="38">
        <v>1.99</v>
      </c>
      <c r="AH1762" s="243">
        <v>3.3499999999999998E-9</v>
      </c>
      <c r="AI1762" s="243">
        <v>1.43E-9</v>
      </c>
      <c r="AJ1762" s="34">
        <f t="shared" si="497"/>
        <v>-6.8635215192758068</v>
      </c>
      <c r="AK1762" s="34">
        <f>LOG10(AI1762*1000/(0.08206*298.15))</f>
        <v>-7.2332302888475901</v>
      </c>
      <c r="AL1762" s="34">
        <f t="shared" si="498"/>
        <v>-7.2332302888475901</v>
      </c>
      <c r="AM1762" s="34">
        <v>-10.072940000000001</v>
      </c>
      <c r="AN1762" s="244">
        <v>-6.19</v>
      </c>
      <c r="AO1762" s="417">
        <v>12.28</v>
      </c>
      <c r="AP1762" s="417">
        <v>-1.49</v>
      </c>
      <c r="AQ1762" s="244" t="s">
        <v>6311</v>
      </c>
      <c r="AR1762" s="244" t="s">
        <v>6314</v>
      </c>
      <c r="AS1762" s="241" t="s">
        <v>6</v>
      </c>
      <c r="AT1762" s="39" t="s">
        <v>266</v>
      </c>
      <c r="AU1762" s="37">
        <v>2</v>
      </c>
      <c r="AV1762" s="37">
        <v>48</v>
      </c>
      <c r="AW1762" s="37">
        <v>48</v>
      </c>
      <c r="AX1762" s="37">
        <v>26</v>
      </c>
      <c r="AY1762" s="37" t="s">
        <v>647</v>
      </c>
      <c r="AZ1762" s="37" t="s">
        <v>1920</v>
      </c>
      <c r="BA1762" s="37">
        <v>10</v>
      </c>
      <c r="BB1762" s="36" t="s">
        <v>1613</v>
      </c>
      <c r="BC1762" s="36" t="s">
        <v>538</v>
      </c>
      <c r="BD1762" s="36"/>
      <c r="BE1762" s="37" t="s">
        <v>271</v>
      </c>
      <c r="BF1762" s="37" t="s">
        <v>272</v>
      </c>
      <c r="BG1762" s="37" t="s">
        <v>272</v>
      </c>
      <c r="BH1762" s="37" t="s">
        <v>272</v>
      </c>
      <c r="BI1762" s="248">
        <v>2.3894862604540025E-2</v>
      </c>
      <c r="BJ1762" s="248">
        <v>9.55794504181601E-2</v>
      </c>
      <c r="BK1762" s="37"/>
      <c r="BL1762" s="243">
        <f t="shared" si="496"/>
        <v>1.0102061311328192</v>
      </c>
      <c r="BM1762" s="37" t="s">
        <v>541</v>
      </c>
      <c r="BN1762" s="37"/>
      <c r="BO1762" s="37">
        <v>0.13433691756272401</v>
      </c>
      <c r="BP1762" s="37"/>
      <c r="BQ1762" s="37"/>
      <c r="BR1762" s="37"/>
      <c r="BS1762" s="37"/>
      <c r="BT1762" s="37"/>
      <c r="BU1762" s="246"/>
      <c r="BV1762" s="37"/>
      <c r="BW1762" s="37"/>
      <c r="BX1762" s="37"/>
      <c r="BY1762" s="37"/>
      <c r="BZ1762" s="37"/>
      <c r="CA1762" s="37"/>
      <c r="CB1762" s="37"/>
      <c r="CC1762" s="37"/>
      <c r="CD1762" s="37"/>
      <c r="CE1762" s="37"/>
      <c r="CF1762" s="37"/>
      <c r="CG1762" s="37"/>
      <c r="CH1762" s="37"/>
      <c r="CI1762" s="243">
        <f t="shared" ref="CI1762:CI1783" si="503">MIN(BN1762:CH1762)</f>
        <v>0.13433691756272401</v>
      </c>
      <c r="CJ1762" s="243">
        <f t="shared" ref="CJ1762:CJ1783" si="504">LOG10(CI1762)</f>
        <v>-0.87180462105785694</v>
      </c>
      <c r="CK1762" s="38">
        <f t="shared" si="499"/>
        <v>10.569281646977121</v>
      </c>
      <c r="CL1762" s="247">
        <f t="shared" ref="CL1762:CL1783" si="505">BL1762/CI1762</f>
        <v>7.5199442525628752</v>
      </c>
      <c r="CM1762" s="247">
        <v>-1.2726410926938805</v>
      </c>
      <c r="CN1762" s="247">
        <f>BJ1762/(10^CM1762)</f>
        <v>1.7906290325493801</v>
      </c>
      <c r="CO1762" s="36"/>
      <c r="CP1762" s="36" t="s">
        <v>1992</v>
      </c>
      <c r="CQ1762" s="241">
        <v>-1.247986945597461</v>
      </c>
      <c r="CR1762" s="241">
        <f>10^(CJ1762-CQ1762)</f>
        <v>2.377838335891223</v>
      </c>
      <c r="CS1762" s="33"/>
      <c r="CT1762" s="33"/>
      <c r="CU1762" s="250">
        <f t="shared" ref="CU1762:CU1778" si="506">X1762/CI1762</f>
        <v>66.168623265741729</v>
      </c>
      <c r="CV1762" s="337">
        <f t="shared" si="500"/>
        <v>93</v>
      </c>
      <c r="CW1762" s="330">
        <f t="shared" ref="CW1762:CW1783" si="507">IF(CU1762&lt;2,0,1)</f>
        <v>1</v>
      </c>
      <c r="CX1762" s="330"/>
      <c r="CY1762" s="143" t="s">
        <v>5921</v>
      </c>
    </row>
    <row r="1763" spans="1:103" ht="11.25" customHeight="1" x14ac:dyDescent="0.2">
      <c r="A1763" s="72">
        <v>1761</v>
      </c>
      <c r="B1763" s="241">
        <v>859</v>
      </c>
      <c r="C1763" s="32" t="s">
        <v>1997</v>
      </c>
      <c r="D1763" s="32"/>
      <c r="E1763" s="40"/>
      <c r="F1763" s="40" t="s">
        <v>1998</v>
      </c>
      <c r="G1763" s="242">
        <v>114261</v>
      </c>
      <c r="H1763" s="36" t="s">
        <v>1999</v>
      </c>
      <c r="I1763" s="36" t="s">
        <v>1999</v>
      </c>
      <c r="J1763" s="36" t="s">
        <v>2000</v>
      </c>
      <c r="K1763" s="36" t="s">
        <v>616</v>
      </c>
      <c r="L1763" s="270" t="s">
        <v>617</v>
      </c>
      <c r="M1763" s="270" t="s">
        <v>618</v>
      </c>
      <c r="N1763" s="36" t="s">
        <v>6376</v>
      </c>
      <c r="O1763" s="270" t="s">
        <v>2001</v>
      </c>
      <c r="P1763" s="41"/>
      <c r="Q1763" s="41" t="s">
        <v>6173</v>
      </c>
      <c r="R1763" s="41" t="s">
        <v>6177</v>
      </c>
      <c r="S1763" s="41" t="s">
        <v>6176</v>
      </c>
      <c r="T1763" s="244">
        <v>209.24</v>
      </c>
      <c r="U1763" s="243">
        <v>8.8888888888888893</v>
      </c>
      <c r="V1763" s="243">
        <v>9.4336917562724008</v>
      </c>
      <c r="W1763" s="243">
        <v>3.3884415613920211</v>
      </c>
      <c r="X1763" s="243">
        <v>8.8888888888888893</v>
      </c>
      <c r="Y1763" s="414">
        <v>6.96</v>
      </c>
      <c r="Z1763" s="37">
        <v>1.9</v>
      </c>
      <c r="AA1763" s="37">
        <v>1.52</v>
      </c>
      <c r="AB1763" s="37">
        <v>1.54</v>
      </c>
      <c r="AC1763" s="37">
        <v>0.89239999999999997</v>
      </c>
      <c r="AD1763" s="37">
        <v>1.56</v>
      </c>
      <c r="AE1763" s="37">
        <v>1.6</v>
      </c>
      <c r="AF1763" s="37">
        <f t="shared" si="502"/>
        <v>1.52</v>
      </c>
      <c r="AG1763" s="38">
        <v>1.99</v>
      </c>
      <c r="AH1763" s="243">
        <v>3.3499999999999998E-9</v>
      </c>
      <c r="AI1763" s="243">
        <v>1.43E-9</v>
      </c>
      <c r="AJ1763" s="34">
        <f t="shared" si="497"/>
        <v>-6.8635215192758068</v>
      </c>
      <c r="AK1763" s="34">
        <f>LOG10(AI1763*1000/(0.08206*298.15))</f>
        <v>-7.2332302888475901</v>
      </c>
      <c r="AL1763" s="34">
        <f t="shared" si="498"/>
        <v>-7.2332302888475901</v>
      </c>
      <c r="AM1763" s="34">
        <v>-10.072940000000001</v>
      </c>
      <c r="AN1763" s="244">
        <v>-6.19</v>
      </c>
      <c r="AO1763" s="417">
        <v>12.28</v>
      </c>
      <c r="AP1763" s="417">
        <v>-1.49</v>
      </c>
      <c r="AQ1763" s="244" t="s">
        <v>6311</v>
      </c>
      <c r="AR1763" s="244" t="s">
        <v>6314</v>
      </c>
      <c r="AS1763" s="241" t="s">
        <v>6</v>
      </c>
      <c r="AT1763" s="39" t="s">
        <v>266</v>
      </c>
      <c r="AU1763" s="37">
        <v>0</v>
      </c>
      <c r="AV1763" s="37">
        <v>48</v>
      </c>
      <c r="AW1763" s="37">
        <v>48</v>
      </c>
      <c r="AX1763" s="37">
        <v>26</v>
      </c>
      <c r="AY1763" s="37" t="s">
        <v>267</v>
      </c>
      <c r="AZ1763" s="37" t="s">
        <v>536</v>
      </c>
      <c r="BA1763" s="37">
        <v>10</v>
      </c>
      <c r="BB1763" s="36"/>
      <c r="BC1763" s="36" t="s">
        <v>538</v>
      </c>
      <c r="BD1763" s="36"/>
      <c r="BE1763" s="37"/>
      <c r="BF1763" s="37"/>
      <c r="BG1763" s="37"/>
      <c r="BH1763" s="37"/>
      <c r="BI1763" s="243"/>
      <c r="BJ1763" s="243"/>
      <c r="BK1763" s="37"/>
      <c r="BL1763" s="243">
        <f t="shared" si="496"/>
        <v>1.0102061311328192</v>
      </c>
      <c r="BM1763" s="37" t="s">
        <v>541</v>
      </c>
      <c r="BN1763" s="37"/>
      <c r="BO1763" s="37">
        <v>0.67900000000000005</v>
      </c>
      <c r="BP1763" s="37"/>
      <c r="BQ1763" s="37"/>
      <c r="BR1763" s="37"/>
      <c r="BS1763" s="37"/>
      <c r="BT1763" s="37"/>
      <c r="BU1763" s="246"/>
      <c r="BV1763" s="37"/>
      <c r="BW1763" s="37"/>
      <c r="BX1763" s="37"/>
      <c r="BY1763" s="37"/>
      <c r="BZ1763" s="37"/>
      <c r="CA1763" s="37"/>
      <c r="CB1763" s="37"/>
      <c r="CC1763" s="37"/>
      <c r="CD1763" s="37"/>
      <c r="CE1763" s="37"/>
      <c r="CF1763" s="37"/>
      <c r="CG1763" s="37"/>
      <c r="CH1763" s="37"/>
      <c r="CI1763" s="243">
        <f t="shared" si="503"/>
        <v>0.67900000000000005</v>
      </c>
      <c r="CJ1763" s="243">
        <f t="shared" si="504"/>
        <v>-0.16813022571949829</v>
      </c>
      <c r="CK1763" s="38" t="s">
        <v>404</v>
      </c>
      <c r="CL1763" s="247">
        <f t="shared" si="505"/>
        <v>1.4877851710350798</v>
      </c>
      <c r="CM1763" s="247">
        <v>-1.2726410926938805</v>
      </c>
      <c r="CN1763" s="247"/>
      <c r="CO1763" s="36"/>
      <c r="CP1763" s="36" t="s">
        <v>2443</v>
      </c>
      <c r="CQ1763" s="241">
        <v>-1.247986945597461</v>
      </c>
      <c r="CR1763" s="241">
        <f>10^(CJ1763-CQ1763)</f>
        <v>12.018678553617109</v>
      </c>
      <c r="CS1763" s="33"/>
      <c r="CT1763" s="33"/>
      <c r="CU1763" s="250">
        <f t="shared" si="506"/>
        <v>13.091147111765668</v>
      </c>
      <c r="CV1763" s="337"/>
      <c r="CW1763" s="330">
        <f t="shared" si="507"/>
        <v>1</v>
      </c>
      <c r="CX1763" s="330"/>
      <c r="CY1763" s="143" t="s">
        <v>5921</v>
      </c>
    </row>
    <row r="1764" spans="1:103" ht="11.25" customHeight="1" x14ac:dyDescent="0.2">
      <c r="A1764" s="72">
        <v>1762</v>
      </c>
      <c r="B1764" s="241">
        <v>96</v>
      </c>
      <c r="C1764" s="32" t="s">
        <v>6778</v>
      </c>
      <c r="D1764" s="32"/>
      <c r="E1764" s="40"/>
      <c r="F1764" s="40" t="s">
        <v>643</v>
      </c>
      <c r="G1764" s="242">
        <v>115093</v>
      </c>
      <c r="H1764" s="36" t="s">
        <v>644</v>
      </c>
      <c r="I1764" s="36" t="s">
        <v>7907</v>
      </c>
      <c r="J1764" s="36" t="s">
        <v>645</v>
      </c>
      <c r="K1764" s="36" t="s">
        <v>403</v>
      </c>
      <c r="L1764" s="36"/>
      <c r="M1764" s="36" t="s">
        <v>2342</v>
      </c>
      <c r="N1764" s="36" t="s">
        <v>2342</v>
      </c>
      <c r="O1764" s="36"/>
      <c r="P1764" s="41"/>
      <c r="Q1764" s="41"/>
      <c r="R1764" s="41"/>
      <c r="S1764" s="41"/>
      <c r="T1764" s="37">
        <v>251.08</v>
      </c>
      <c r="U1764" s="243"/>
      <c r="V1764" s="243">
        <v>41.500716902979129</v>
      </c>
      <c r="W1764" s="243"/>
      <c r="X1764" s="243">
        <f>IF(W1764=0,V1764,W1764)</f>
        <v>41.500716902979129</v>
      </c>
      <c r="Y1764" s="414"/>
      <c r="Z1764" s="37">
        <v>0.39</v>
      </c>
      <c r="AA1764" s="37">
        <v>0.41</v>
      </c>
      <c r="AB1764" s="37">
        <v>0</v>
      </c>
      <c r="AC1764" s="37">
        <v>0</v>
      </c>
      <c r="AD1764" s="37">
        <v>0</v>
      </c>
      <c r="AE1764" s="37">
        <v>0</v>
      </c>
      <c r="AF1764" s="37">
        <f t="shared" si="502"/>
        <v>0.41</v>
      </c>
      <c r="AG1764" s="38" t="s">
        <v>404</v>
      </c>
      <c r="AH1764" s="243">
        <v>3.6099999999999999E-4</v>
      </c>
      <c r="AI1764" s="243">
        <v>3.6699999999999999E-7</v>
      </c>
      <c r="AJ1764" s="34">
        <f t="shared" si="497"/>
        <v>-1.8310591244069938</v>
      </c>
      <c r="AK1764" s="34">
        <f>LOG10(AI1764*1000/(0.08206*298.15))</f>
        <v>-4.8239002620605627</v>
      </c>
      <c r="AL1764" s="34">
        <f t="shared" si="498"/>
        <v>-4.8239002620605627</v>
      </c>
      <c r="AM1764" s="34"/>
      <c r="AN1764" s="244"/>
      <c r="AO1764" s="417"/>
      <c r="AP1764" s="417"/>
      <c r="AQ1764" s="244" t="s">
        <v>6311</v>
      </c>
      <c r="AR1764" s="244" t="s">
        <v>6311</v>
      </c>
      <c r="AS1764" s="241" t="s">
        <v>6</v>
      </c>
      <c r="AT1764" s="39" t="s">
        <v>266</v>
      </c>
      <c r="AU1764" s="37">
        <v>0</v>
      </c>
      <c r="AV1764" s="37" t="s">
        <v>646</v>
      </c>
      <c r="AW1764" s="37" t="s">
        <v>646</v>
      </c>
      <c r="AX1764" s="37">
        <v>26</v>
      </c>
      <c r="AY1764" s="37" t="s">
        <v>647</v>
      </c>
      <c r="AZ1764" s="37" t="s">
        <v>536</v>
      </c>
      <c r="BA1764" s="37">
        <v>20</v>
      </c>
      <c r="BB1764" s="36" t="s">
        <v>537</v>
      </c>
      <c r="BC1764" s="36" t="s">
        <v>648</v>
      </c>
      <c r="BD1764" s="36"/>
      <c r="BE1764" s="245" t="s">
        <v>649</v>
      </c>
      <c r="BF1764" s="245" t="s">
        <v>650</v>
      </c>
      <c r="BG1764" s="245" t="s">
        <v>540</v>
      </c>
      <c r="BH1764" s="245" t="s">
        <v>272</v>
      </c>
      <c r="BI1764" s="243">
        <v>1.3899999999999999E-4</v>
      </c>
      <c r="BJ1764" s="243">
        <v>1.1950000000000001E-3</v>
      </c>
      <c r="BK1764" s="37"/>
      <c r="BL1764" s="243">
        <f t="shared" si="496"/>
        <v>22.937231614296369</v>
      </c>
      <c r="BM1764" s="37" t="s">
        <v>541</v>
      </c>
      <c r="BN1764" s="37"/>
      <c r="BO1764" s="37">
        <v>5.9999999999999995E-4</v>
      </c>
      <c r="BP1764" s="37"/>
      <c r="BQ1764" s="37"/>
      <c r="BR1764" s="37"/>
      <c r="BS1764" s="37"/>
      <c r="BT1764" s="37"/>
      <c r="BU1764" s="246"/>
      <c r="BV1764" s="37"/>
      <c r="BW1764" s="37"/>
      <c r="BX1764" s="37"/>
      <c r="BY1764" s="37"/>
      <c r="BZ1764" s="37"/>
      <c r="CA1764" s="37"/>
      <c r="CB1764" s="37"/>
      <c r="CC1764" s="37"/>
      <c r="CD1764" s="37"/>
      <c r="CE1764" s="37"/>
      <c r="CF1764" s="37"/>
      <c r="CG1764" s="37"/>
      <c r="CH1764" s="37"/>
      <c r="CI1764" s="243">
        <f t="shared" si="503"/>
        <v>5.9999999999999995E-4</v>
      </c>
      <c r="CJ1764" s="243">
        <f t="shared" si="504"/>
        <v>-3.2218487496163566</v>
      </c>
      <c r="CK1764" s="38">
        <f>BL1764/BJ1764</f>
        <v>19194.336078909095</v>
      </c>
      <c r="CL1764" s="247">
        <f t="shared" si="505"/>
        <v>38228.719357160619</v>
      </c>
      <c r="CM1764" s="247"/>
      <c r="CN1764" s="247"/>
      <c r="CO1764" s="36"/>
      <c r="CP1764" s="36" t="s">
        <v>651</v>
      </c>
      <c r="CQ1764" s="241">
        <v>-3.8425066278625866</v>
      </c>
      <c r="CR1764" s="241">
        <f>10^(CJ1764-CQ1764)</f>
        <v>4.1750134435060451</v>
      </c>
      <c r="CS1764" s="33"/>
      <c r="CT1764" s="33"/>
      <c r="CU1764" s="250">
        <f t="shared" si="506"/>
        <v>69167.861504965214</v>
      </c>
      <c r="CV1764" s="337">
        <f>X1764/BJ1764</f>
        <v>34728.633391614334</v>
      </c>
      <c r="CW1764" s="330">
        <f t="shared" si="507"/>
        <v>1</v>
      </c>
      <c r="CX1764" s="330"/>
      <c r="CY1764" s="143" t="s">
        <v>5921</v>
      </c>
    </row>
    <row r="1765" spans="1:103" ht="11.25" customHeight="1" x14ac:dyDescent="0.2">
      <c r="A1765" s="72">
        <v>1763</v>
      </c>
      <c r="B1765" s="241">
        <v>594</v>
      </c>
      <c r="C1765" s="32" t="s">
        <v>7677</v>
      </c>
      <c r="D1765" s="32"/>
      <c r="E1765" s="40"/>
      <c r="F1765" s="40" t="s">
        <v>1785</v>
      </c>
      <c r="G1765" s="242">
        <v>118796</v>
      </c>
      <c r="H1765" s="36" t="s">
        <v>1786</v>
      </c>
      <c r="I1765" s="36" t="s">
        <v>1786</v>
      </c>
      <c r="J1765" s="36" t="s">
        <v>1787</v>
      </c>
      <c r="K1765" s="36" t="s">
        <v>349</v>
      </c>
      <c r="L1765" s="36"/>
      <c r="M1765" s="36"/>
      <c r="N1765" s="36"/>
      <c r="O1765" s="36"/>
      <c r="P1765" s="41"/>
      <c r="Q1765" s="41" t="s">
        <v>6173</v>
      </c>
      <c r="R1765" s="41" t="s">
        <v>6185</v>
      </c>
      <c r="S1765" s="41" t="s">
        <v>6176</v>
      </c>
      <c r="T1765" s="37">
        <v>330.8</v>
      </c>
      <c r="U1765" s="243">
        <v>0.21160822249093106</v>
      </c>
      <c r="V1765" s="243">
        <v>2.7590689238210401E-2</v>
      </c>
      <c r="W1765" s="243">
        <v>0.38904514499428011</v>
      </c>
      <c r="X1765" s="243">
        <v>0.21160822249093106</v>
      </c>
      <c r="Y1765" s="414">
        <v>4.88</v>
      </c>
      <c r="Z1765" s="37">
        <v>4.18</v>
      </c>
      <c r="AA1765" s="37">
        <v>4.13</v>
      </c>
      <c r="AB1765" s="37">
        <v>4</v>
      </c>
      <c r="AC1765" s="37">
        <v>0.86329999999999996</v>
      </c>
      <c r="AD1765" s="37">
        <v>4.08</v>
      </c>
      <c r="AE1765" s="37">
        <v>4.33</v>
      </c>
      <c r="AF1765" s="37">
        <f t="shared" si="502"/>
        <v>4.13</v>
      </c>
      <c r="AG1765" s="38">
        <v>3.85</v>
      </c>
      <c r="AH1765" s="243">
        <v>3.55E-8</v>
      </c>
      <c r="AI1765" s="243"/>
      <c r="AJ1765" s="34">
        <f t="shared" si="497"/>
        <v>-5.8383379732575573</v>
      </c>
      <c r="AK1765" s="34"/>
      <c r="AL1765" s="34">
        <f t="shared" si="498"/>
        <v>-5.8383379732575573</v>
      </c>
      <c r="AM1765" s="34">
        <v>-7.1991499999999995</v>
      </c>
      <c r="AN1765" s="244">
        <v>-3.92</v>
      </c>
      <c r="AO1765" s="417">
        <v>6.34</v>
      </c>
      <c r="AP1765" s="417"/>
      <c r="AQ1765" s="244" t="s">
        <v>6311</v>
      </c>
      <c r="AR1765" s="244" t="s">
        <v>6311</v>
      </c>
      <c r="AS1765" s="241" t="s">
        <v>6</v>
      </c>
      <c r="AT1765" s="39" t="s">
        <v>266</v>
      </c>
      <c r="AU1765" s="37">
        <v>2</v>
      </c>
      <c r="AV1765" s="37">
        <v>48</v>
      </c>
      <c r="AW1765" s="37">
        <v>48</v>
      </c>
      <c r="AX1765" s="37">
        <v>26</v>
      </c>
      <c r="AY1765" s="37" t="s">
        <v>8722</v>
      </c>
      <c r="AZ1765" s="37" t="s">
        <v>1586</v>
      </c>
      <c r="BA1765" s="37">
        <v>60</v>
      </c>
      <c r="BB1765" s="36" t="s">
        <v>537</v>
      </c>
      <c r="BC1765" s="36" t="s">
        <v>538</v>
      </c>
      <c r="BD1765" s="36"/>
      <c r="BE1765" s="37" t="s">
        <v>271</v>
      </c>
      <c r="BF1765" s="37" t="s">
        <v>272</v>
      </c>
      <c r="BG1765" s="37" t="s">
        <v>272</v>
      </c>
      <c r="BH1765" s="37" t="s">
        <v>1587</v>
      </c>
      <c r="BI1765" s="243" t="s">
        <v>8722</v>
      </c>
      <c r="BJ1765" s="243" t="s">
        <v>8722</v>
      </c>
      <c r="BK1765" s="37"/>
      <c r="BL1765" s="243">
        <f t="shared" si="496"/>
        <v>9.051946948827664E-3</v>
      </c>
      <c r="BM1765" s="37" t="s">
        <v>1588</v>
      </c>
      <c r="BN1765" s="37"/>
      <c r="BO1765" s="37">
        <v>1.3361547762998791E-2</v>
      </c>
      <c r="BP1765" s="37"/>
      <c r="BQ1765" s="37"/>
      <c r="BR1765" s="37"/>
      <c r="BS1765" s="37"/>
      <c r="BT1765" s="37"/>
      <c r="BU1765" s="246"/>
      <c r="BV1765" s="37"/>
      <c r="BW1765" s="37"/>
      <c r="BX1765" s="37"/>
      <c r="BY1765" s="37"/>
      <c r="BZ1765" s="37"/>
      <c r="CA1765" s="37"/>
      <c r="CB1765" s="37"/>
      <c r="CC1765" s="37"/>
      <c r="CD1765" s="37"/>
      <c r="CE1765" s="37"/>
      <c r="CF1765" s="37"/>
      <c r="CG1765" s="37"/>
      <c r="CH1765" s="37"/>
      <c r="CI1765" s="243">
        <f t="shared" si="503"/>
        <v>1.3361547762998791E-2</v>
      </c>
      <c r="CJ1765" s="243">
        <f t="shared" si="504"/>
        <v>-1.8741432315314173</v>
      </c>
      <c r="CK1765" s="38" t="s">
        <v>404</v>
      </c>
      <c r="CL1765" s="247">
        <f t="shared" si="505"/>
        <v>0.67746245490321066</v>
      </c>
      <c r="CM1765" s="247"/>
      <c r="CN1765" s="247"/>
      <c r="CO1765" s="36"/>
      <c r="CP1765" s="36" t="s">
        <v>1589</v>
      </c>
      <c r="CQ1765" s="241">
        <v>-1.7042807067686485</v>
      </c>
      <c r="CR1765" s="241">
        <f>10^(CJ1765-CQ1765)</f>
        <v>0.67629702227399446</v>
      </c>
      <c r="CS1765" s="33"/>
      <c r="CT1765" s="33"/>
      <c r="CU1765" s="250">
        <f t="shared" si="506"/>
        <v>15.837104072398189</v>
      </c>
      <c r="CV1765" s="337"/>
      <c r="CW1765" s="330">
        <f t="shared" si="507"/>
        <v>1</v>
      </c>
      <c r="CX1765" s="330"/>
      <c r="CY1765" s="143" t="s">
        <v>6351</v>
      </c>
    </row>
    <row r="1766" spans="1:103" ht="11.25" customHeight="1" x14ac:dyDescent="0.2">
      <c r="A1766" s="72">
        <v>1764</v>
      </c>
      <c r="B1766" s="241">
        <v>1952</v>
      </c>
      <c r="C1766" s="32" t="s">
        <v>7678</v>
      </c>
      <c r="D1766" s="32"/>
      <c r="E1766" s="40"/>
      <c r="F1766" s="40" t="s">
        <v>2297</v>
      </c>
      <c r="G1766" s="242">
        <v>120832</v>
      </c>
      <c r="H1766" s="41" t="s">
        <v>2298</v>
      </c>
      <c r="I1766" s="41" t="s">
        <v>8039</v>
      </c>
      <c r="J1766" s="41" t="s">
        <v>2299</v>
      </c>
      <c r="K1766" s="41" t="s">
        <v>349</v>
      </c>
      <c r="L1766" s="36" t="s">
        <v>5527</v>
      </c>
      <c r="M1766" s="36" t="s">
        <v>6109</v>
      </c>
      <c r="N1766" s="36"/>
      <c r="O1766" s="36" t="s">
        <v>6086</v>
      </c>
      <c r="P1766" s="41" t="s">
        <v>6184</v>
      </c>
      <c r="Q1766" s="41" t="s">
        <v>6176</v>
      </c>
      <c r="R1766" s="41" t="s">
        <v>6185</v>
      </c>
      <c r="S1766" s="41" t="s">
        <v>6176</v>
      </c>
      <c r="T1766" s="33">
        <v>163</v>
      </c>
      <c r="U1766" s="250">
        <v>27.607361963190183</v>
      </c>
      <c r="V1766" s="250">
        <v>3.7680981595092029</v>
      </c>
      <c r="W1766" s="250">
        <v>3.0199517204020134</v>
      </c>
      <c r="X1766" s="250">
        <v>27.607361963190183</v>
      </c>
      <c r="Y1766" s="415">
        <v>5.28</v>
      </c>
      <c r="Z1766" s="33">
        <v>2.8</v>
      </c>
      <c r="AA1766" s="33">
        <v>3.06</v>
      </c>
      <c r="AB1766" s="33">
        <v>3.2</v>
      </c>
      <c r="AC1766" s="33">
        <v>0.86060000000000003</v>
      </c>
      <c r="AD1766" s="33">
        <v>3.14</v>
      </c>
      <c r="AE1766" s="33">
        <v>2.99</v>
      </c>
      <c r="AF1766" s="33">
        <f t="shared" si="502"/>
        <v>3.06</v>
      </c>
      <c r="AG1766" s="34">
        <v>2.82</v>
      </c>
      <c r="AH1766" s="250">
        <v>3.0800000000000001E-7</v>
      </c>
      <c r="AI1766" s="250">
        <v>4.2899999999999996E-6</v>
      </c>
      <c r="AJ1766" s="34">
        <f t="shared" si="497"/>
        <v>-4.9000156098122076</v>
      </c>
      <c r="AK1766" s="34">
        <f t="shared" ref="AK1766:AK1771" si="508">LOG10(AI1766*1000/(0.08206*298.15))</f>
        <v>-3.7561090341279275</v>
      </c>
      <c r="AL1766" s="34">
        <f t="shared" si="498"/>
        <v>-3.7561090341279275</v>
      </c>
      <c r="AM1766" s="34">
        <v>-6.1948599999999994</v>
      </c>
      <c r="AN1766" s="251">
        <v>-3.2084999999999999</v>
      </c>
      <c r="AO1766" s="417">
        <v>8.0500000000000007</v>
      </c>
      <c r="AP1766" s="417"/>
      <c r="AQ1766" s="251" t="s">
        <v>6311</v>
      </c>
      <c r="AR1766" s="251" t="s">
        <v>6311</v>
      </c>
      <c r="AS1766" s="252" t="s">
        <v>5466</v>
      </c>
      <c r="AT1766" s="35" t="s">
        <v>266</v>
      </c>
      <c r="AU1766" s="33">
        <v>2</v>
      </c>
      <c r="AV1766" s="33">
        <v>72</v>
      </c>
      <c r="AW1766" s="33">
        <v>70</v>
      </c>
      <c r="AX1766" s="33">
        <v>26</v>
      </c>
      <c r="AY1766" s="253">
        <v>0.5083333333333333</v>
      </c>
      <c r="AZ1766" s="33" t="s">
        <v>6294</v>
      </c>
      <c r="BA1766" s="33">
        <v>30</v>
      </c>
      <c r="BB1766" s="41" t="s">
        <v>6226</v>
      </c>
      <c r="BC1766" s="41" t="s">
        <v>6227</v>
      </c>
      <c r="BD1766" s="41"/>
      <c r="BE1766" s="33" t="s">
        <v>2449</v>
      </c>
      <c r="BF1766" s="33" t="s">
        <v>6203</v>
      </c>
      <c r="BG1766" s="33" t="s">
        <v>6203</v>
      </c>
      <c r="BH1766" s="33"/>
      <c r="BI1766" s="250">
        <v>1.5299999999999999E-3</v>
      </c>
      <c r="BJ1766" s="250">
        <v>0.92</v>
      </c>
      <c r="BK1766" s="254"/>
      <c r="BL1766" s="250">
        <f t="shared" si="496"/>
        <v>0.15707967715636428</v>
      </c>
      <c r="BM1766" s="33" t="s">
        <v>6250</v>
      </c>
      <c r="BN1766" s="33"/>
      <c r="BO1766" s="33"/>
      <c r="BP1766" s="33">
        <v>3.8899999999999997E-2</v>
      </c>
      <c r="BQ1766" s="33"/>
      <c r="BR1766" s="33"/>
      <c r="BS1766" s="33"/>
      <c r="BT1766" s="33"/>
      <c r="BU1766" s="246"/>
      <c r="BV1766" s="33"/>
      <c r="BW1766" s="33"/>
      <c r="BX1766" s="33"/>
      <c r="BY1766" s="33"/>
      <c r="BZ1766" s="33"/>
      <c r="CA1766" s="33"/>
      <c r="CB1766" s="33"/>
      <c r="CC1766" s="33"/>
      <c r="CD1766" s="33"/>
      <c r="CE1766" s="33"/>
      <c r="CF1766" s="33"/>
      <c r="CG1766" s="33"/>
      <c r="CH1766" s="33"/>
      <c r="CI1766" s="250">
        <f t="shared" si="503"/>
        <v>3.8899999999999997E-2</v>
      </c>
      <c r="CJ1766" s="243">
        <f t="shared" si="504"/>
        <v>-1.4100503986742923</v>
      </c>
      <c r="CK1766" s="38">
        <f t="shared" ref="CK1766:CK1777" si="509">BL1766/BJ1766</f>
        <v>0.17073877951778726</v>
      </c>
      <c r="CL1766" s="247">
        <f t="shared" si="505"/>
        <v>4.0380379731713187</v>
      </c>
      <c r="CM1766" s="247"/>
      <c r="CN1766" s="247"/>
      <c r="CO1766" s="41"/>
      <c r="CP1766" s="41" t="s">
        <v>6196</v>
      </c>
      <c r="CQ1766" s="241">
        <v>-1.5836947635578571</v>
      </c>
      <c r="CR1766" s="241">
        <f>10^(CJ1766-CQ1766)</f>
        <v>1.4915724902882423</v>
      </c>
      <c r="CS1766" s="33"/>
      <c r="CT1766" s="33"/>
      <c r="CU1766" s="250">
        <f t="shared" si="506"/>
        <v>709.70082167584019</v>
      </c>
      <c r="CV1766" s="337">
        <f t="shared" ref="CV1766:CV1777" si="510">X1766/BJ1766</f>
        <v>30.008002133902373</v>
      </c>
      <c r="CW1766" s="330">
        <f t="shared" si="507"/>
        <v>1</v>
      </c>
      <c r="CX1766" s="330"/>
      <c r="CY1766" s="143" t="s">
        <v>6351</v>
      </c>
    </row>
    <row r="1767" spans="1:103" ht="11.25" customHeight="1" x14ac:dyDescent="0.2">
      <c r="A1767" s="72">
        <v>1765</v>
      </c>
      <c r="B1767" s="241">
        <v>164</v>
      </c>
      <c r="C1767" s="32" t="s">
        <v>7679</v>
      </c>
      <c r="D1767" s="32"/>
      <c r="E1767" s="40"/>
      <c r="F1767" s="40" t="s">
        <v>863</v>
      </c>
      <c r="G1767" s="242">
        <v>121448</v>
      </c>
      <c r="H1767" s="36" t="s">
        <v>864</v>
      </c>
      <c r="I1767" s="36" t="s">
        <v>864</v>
      </c>
      <c r="J1767" s="36" t="s">
        <v>865</v>
      </c>
      <c r="K1767" s="36" t="s">
        <v>300</v>
      </c>
      <c r="L1767" s="36"/>
      <c r="M1767" s="36" t="s">
        <v>866</v>
      </c>
      <c r="N1767" s="36"/>
      <c r="O1767" s="36" t="s">
        <v>498</v>
      </c>
      <c r="P1767" s="41" t="s">
        <v>6183</v>
      </c>
      <c r="Q1767" s="41" t="s">
        <v>6173</v>
      </c>
      <c r="R1767" s="41" t="s">
        <v>6185</v>
      </c>
      <c r="S1767" s="41" t="s">
        <v>6182</v>
      </c>
      <c r="T1767" s="37">
        <v>101.19</v>
      </c>
      <c r="U1767" s="243">
        <v>677.93260203577427</v>
      </c>
      <c r="V1767" s="243">
        <v>674.57258622393522</v>
      </c>
      <c r="W1767" s="243">
        <v>301.99517204020157</v>
      </c>
      <c r="X1767" s="243">
        <v>677.93260203577427</v>
      </c>
      <c r="Y1767" s="414">
        <v>12.04</v>
      </c>
      <c r="Z1767" s="37">
        <v>1.51</v>
      </c>
      <c r="AA1767" s="37">
        <v>1.45</v>
      </c>
      <c r="AB1767" s="37">
        <v>1.68</v>
      </c>
      <c r="AC1767" s="37">
        <v>0.88290000000000002</v>
      </c>
      <c r="AD1767" s="37">
        <v>1.68</v>
      </c>
      <c r="AE1767" s="37">
        <v>1.66</v>
      </c>
      <c r="AF1767" s="37">
        <f t="shared" si="502"/>
        <v>1.45</v>
      </c>
      <c r="AG1767" s="38">
        <v>1.43</v>
      </c>
      <c r="AH1767" s="243">
        <v>8.5400000000000002E-5</v>
      </c>
      <c r="AI1767" s="243">
        <v>1.4899999999999999E-4</v>
      </c>
      <c r="AJ1767" s="34">
        <f t="shared" si="497"/>
        <v>-2.4571084556236467</v>
      </c>
      <c r="AK1767" s="34">
        <f t="shared" si="508"/>
        <v>-2.215380057900378</v>
      </c>
      <c r="AL1767" s="34">
        <f t="shared" si="498"/>
        <v>-2.215380057900378</v>
      </c>
      <c r="AM1767" s="34">
        <v>-3.1017600000000005</v>
      </c>
      <c r="AN1767" s="244">
        <v>-1.9</v>
      </c>
      <c r="AO1767" s="417"/>
      <c r="AP1767" s="417">
        <v>10.62</v>
      </c>
      <c r="AQ1767" s="244" t="s">
        <v>6311</v>
      </c>
      <c r="AR1767" s="244" t="s">
        <v>6311</v>
      </c>
      <c r="AS1767" s="241" t="s">
        <v>72</v>
      </c>
      <c r="AT1767" s="39" t="s">
        <v>266</v>
      </c>
      <c r="AU1767" s="37">
        <v>0</v>
      </c>
      <c r="AV1767" s="37">
        <v>48</v>
      </c>
      <c r="AW1767" s="37">
        <v>48</v>
      </c>
      <c r="AX1767" s="37">
        <v>26</v>
      </c>
      <c r="AY1767" s="37" t="s">
        <v>8722</v>
      </c>
      <c r="AZ1767" s="37" t="s">
        <v>536</v>
      </c>
      <c r="BA1767" s="37">
        <v>20</v>
      </c>
      <c r="BB1767" s="36" t="s">
        <v>537</v>
      </c>
      <c r="BC1767" s="36" t="s">
        <v>648</v>
      </c>
      <c r="BD1767" s="36"/>
      <c r="BE1767" s="245" t="s">
        <v>649</v>
      </c>
      <c r="BF1767" s="37" t="s">
        <v>539</v>
      </c>
      <c r="BG1767" s="37" t="s">
        <v>272</v>
      </c>
      <c r="BH1767" s="37" t="s">
        <v>272</v>
      </c>
      <c r="BI1767" s="248">
        <v>0.13538887241822314</v>
      </c>
      <c r="BJ1767" s="248">
        <v>0.88941595019270681</v>
      </c>
      <c r="BK1767" s="37"/>
      <c r="BL1767" s="243">
        <f t="shared" si="496"/>
        <v>2.2629189536806984</v>
      </c>
      <c r="BM1767" s="37" t="s">
        <v>541</v>
      </c>
      <c r="BN1767" s="37"/>
      <c r="BO1767" s="37">
        <v>0.59799999999999998</v>
      </c>
      <c r="BP1767" s="37"/>
      <c r="BQ1767" s="37"/>
      <c r="BR1767" s="37"/>
      <c r="BS1767" s="37"/>
      <c r="BT1767" s="37"/>
      <c r="BU1767" s="246"/>
      <c r="BV1767" s="37"/>
      <c r="BW1767" s="37"/>
      <c r="BX1767" s="37"/>
      <c r="BY1767" s="37"/>
      <c r="BZ1767" s="37"/>
      <c r="CA1767" s="37"/>
      <c r="CB1767" s="37"/>
      <c r="CC1767" s="37"/>
      <c r="CD1767" s="37"/>
      <c r="CE1767" s="37"/>
      <c r="CF1767" s="37"/>
      <c r="CG1767" s="37"/>
      <c r="CH1767" s="37"/>
      <c r="CI1767" s="243">
        <f t="shared" si="503"/>
        <v>0.59799999999999998</v>
      </c>
      <c r="CJ1767" s="243">
        <f t="shared" si="504"/>
        <v>-0.22329881601158919</v>
      </c>
      <c r="CK1767" s="38">
        <f t="shared" si="509"/>
        <v>2.5442752102549986</v>
      </c>
      <c r="CL1767" s="247">
        <f t="shared" si="505"/>
        <v>3.7841454074928067</v>
      </c>
      <c r="CM1767" s="247"/>
      <c r="CN1767" s="247"/>
      <c r="CO1767" s="36"/>
      <c r="CP1767" s="36" t="s">
        <v>772</v>
      </c>
      <c r="CQ1767" s="241" t="s">
        <v>272</v>
      </c>
      <c r="CR1767" s="241"/>
      <c r="CS1767" s="33"/>
      <c r="CT1767" s="33"/>
      <c r="CU1767" s="250">
        <f t="shared" si="506"/>
        <v>1133.6665585882513</v>
      </c>
      <c r="CV1767" s="337">
        <f t="shared" si="510"/>
        <v>762.22222222222217</v>
      </c>
      <c r="CW1767" s="330">
        <f t="shared" si="507"/>
        <v>1</v>
      </c>
      <c r="CX1767" s="330"/>
      <c r="CY1767" s="143" t="s">
        <v>6351</v>
      </c>
    </row>
    <row r="1768" spans="1:103" ht="11.25" customHeight="1" x14ac:dyDescent="0.2">
      <c r="A1768" s="72">
        <v>1766</v>
      </c>
      <c r="B1768" s="241">
        <v>90</v>
      </c>
      <c r="C1768" s="32" t="s">
        <v>620</v>
      </c>
      <c r="D1768" s="32"/>
      <c r="E1768" s="40"/>
      <c r="F1768" s="40" t="s">
        <v>621</v>
      </c>
      <c r="G1768" s="242">
        <v>121755</v>
      </c>
      <c r="H1768" s="36" t="s">
        <v>622</v>
      </c>
      <c r="I1768" s="36" t="s">
        <v>622</v>
      </c>
      <c r="J1768" s="36" t="s">
        <v>623</v>
      </c>
      <c r="K1768" s="36" t="s">
        <v>624</v>
      </c>
      <c r="L1768" s="36" t="s">
        <v>617</v>
      </c>
      <c r="M1768" s="36" t="s">
        <v>618</v>
      </c>
      <c r="N1768" s="36" t="s">
        <v>6376</v>
      </c>
      <c r="O1768" s="36"/>
      <c r="P1768" s="41" t="s">
        <v>6178</v>
      </c>
      <c r="Q1768" s="41" t="s">
        <v>6176</v>
      </c>
      <c r="R1768" s="41" t="s">
        <v>6177</v>
      </c>
      <c r="S1768" s="41" t="s">
        <v>6176</v>
      </c>
      <c r="T1768" s="37">
        <v>330.36</v>
      </c>
      <c r="U1768" s="243">
        <v>0.43286112120111392</v>
      </c>
      <c r="V1768" s="243">
        <v>0.23746821649110061</v>
      </c>
      <c r="W1768" s="243">
        <v>0.56234132519034852</v>
      </c>
      <c r="X1768" s="243">
        <v>0.43286112120111392</v>
      </c>
      <c r="Y1768" s="414">
        <v>7</v>
      </c>
      <c r="Z1768" s="37">
        <v>2.29</v>
      </c>
      <c r="AA1768" s="37">
        <v>2.36</v>
      </c>
      <c r="AB1768" s="37">
        <v>2.69</v>
      </c>
      <c r="AC1768" s="37">
        <v>0.8125</v>
      </c>
      <c r="AD1768" s="37">
        <v>2.76</v>
      </c>
      <c r="AE1768" s="37">
        <v>2.93</v>
      </c>
      <c r="AF1768" s="37">
        <f t="shared" si="502"/>
        <v>2.36</v>
      </c>
      <c r="AG1768" s="38">
        <v>2.3199999999999998</v>
      </c>
      <c r="AH1768" s="243">
        <v>8.39E-10</v>
      </c>
      <c r="AI1768" s="243">
        <v>4.8900000000000003E-9</v>
      </c>
      <c r="AJ1768" s="34">
        <f t="shared" si="497"/>
        <v>-7.4648043654839515</v>
      </c>
      <c r="AK1768" s="34">
        <f t="shared" si="508"/>
        <v>-6.6992574671890317</v>
      </c>
      <c r="AL1768" s="34">
        <f t="shared" si="498"/>
        <v>-6.6992574671890317</v>
      </c>
      <c r="AM1768" s="34">
        <v>-12.449109999999999</v>
      </c>
      <c r="AN1768" s="244">
        <v>-5.94</v>
      </c>
      <c r="AO1768" s="417"/>
      <c r="AP1768" s="417"/>
      <c r="AQ1768" s="244" t="s">
        <v>6312</v>
      </c>
      <c r="AR1768" s="244" t="s">
        <v>6312</v>
      </c>
      <c r="AS1768" s="241" t="s">
        <v>90</v>
      </c>
      <c r="AT1768" s="39" t="s">
        <v>266</v>
      </c>
      <c r="AU1768" s="37">
        <v>0</v>
      </c>
      <c r="AV1768" s="37">
        <v>48</v>
      </c>
      <c r="AW1768" s="37">
        <v>48</v>
      </c>
      <c r="AX1768" s="37">
        <v>26</v>
      </c>
      <c r="AY1768" s="37" t="s">
        <v>8722</v>
      </c>
      <c r="AZ1768" s="37" t="s">
        <v>536</v>
      </c>
      <c r="BA1768" s="37">
        <v>20</v>
      </c>
      <c r="BB1768" s="36" t="s">
        <v>537</v>
      </c>
      <c r="BC1768" s="36" t="s">
        <v>538</v>
      </c>
      <c r="BD1768" s="36"/>
      <c r="BE1768" s="245" t="s">
        <v>271</v>
      </c>
      <c r="BF1768" s="245" t="s">
        <v>539</v>
      </c>
      <c r="BG1768" s="245" t="s">
        <v>540</v>
      </c>
      <c r="BH1768" s="245" t="s">
        <v>272</v>
      </c>
      <c r="BI1768" s="243">
        <v>9.1000000000000004E-3</v>
      </c>
      <c r="BJ1768" s="243">
        <v>0.29060000000000002</v>
      </c>
      <c r="BK1768" s="37"/>
      <c r="BL1768" s="243">
        <f t="shared" ref="BL1768:BL1778" si="511">10^((-0.8981*Z1768)+1.7108)</f>
        <v>0.45097347641126984</v>
      </c>
      <c r="BM1768" s="37" t="s">
        <v>541</v>
      </c>
      <c r="BN1768" s="37"/>
      <c r="BO1768" s="37">
        <v>2.5499999999999998E-2</v>
      </c>
      <c r="BP1768" s="37"/>
      <c r="BQ1768" s="37"/>
      <c r="BR1768" s="37"/>
      <c r="BS1768" s="37"/>
      <c r="BT1768" s="37"/>
      <c r="BU1768" s="246"/>
      <c r="BV1768" s="37"/>
      <c r="BW1768" s="37"/>
      <c r="BX1768" s="37"/>
      <c r="BY1768" s="37"/>
      <c r="BZ1768" s="37"/>
      <c r="CA1768" s="37"/>
      <c r="CB1768" s="37"/>
      <c r="CC1768" s="37"/>
      <c r="CD1768" s="37"/>
      <c r="CE1768" s="37"/>
      <c r="CF1768" s="37"/>
      <c r="CG1768" s="37"/>
      <c r="CH1768" s="37"/>
      <c r="CI1768" s="243">
        <f t="shared" si="503"/>
        <v>2.5499999999999998E-2</v>
      </c>
      <c r="CJ1768" s="243">
        <f t="shared" si="504"/>
        <v>-1.5934598195660448</v>
      </c>
      <c r="CK1768" s="38">
        <f t="shared" si="509"/>
        <v>1.5518701872376799</v>
      </c>
      <c r="CL1768" s="247">
        <f t="shared" si="505"/>
        <v>17.685234369069406</v>
      </c>
      <c r="CM1768" s="247">
        <v>-3.5360029785502594</v>
      </c>
      <c r="CN1768" s="247">
        <f>BJ1768/(10^CM1768)</f>
        <v>998.38624387125242</v>
      </c>
      <c r="CO1768" s="36"/>
      <c r="CP1768" s="36" t="s">
        <v>542</v>
      </c>
      <c r="CQ1768" s="241">
        <v>-3.1259652426230411</v>
      </c>
      <c r="CR1768" s="241">
        <f>10^(CJ1768-CQ1768)</f>
        <v>34.080458041769852</v>
      </c>
      <c r="CS1768" s="33"/>
      <c r="CT1768" s="33"/>
      <c r="CU1768" s="250">
        <f t="shared" si="506"/>
        <v>16.974945929455448</v>
      </c>
      <c r="CV1768" s="337">
        <f t="shared" si="510"/>
        <v>1.4895427432935784</v>
      </c>
      <c r="CW1768" s="330">
        <f t="shared" si="507"/>
        <v>1</v>
      </c>
      <c r="CX1768" s="330"/>
      <c r="CY1768" s="143" t="s">
        <v>5921</v>
      </c>
    </row>
    <row r="1769" spans="1:103" ht="11.25" customHeight="1" x14ac:dyDescent="0.2">
      <c r="A1769" s="72">
        <v>1767</v>
      </c>
      <c r="B1769" s="241">
        <v>551</v>
      </c>
      <c r="C1769" s="32" t="s">
        <v>620</v>
      </c>
      <c r="D1769" s="32"/>
      <c r="E1769" s="40"/>
      <c r="F1769" s="40" t="s">
        <v>621</v>
      </c>
      <c r="G1769" s="242">
        <v>121755</v>
      </c>
      <c r="H1769" s="36" t="s">
        <v>622</v>
      </c>
      <c r="I1769" s="36" t="s">
        <v>622</v>
      </c>
      <c r="J1769" s="36" t="s">
        <v>623</v>
      </c>
      <c r="K1769" s="36" t="s">
        <v>624</v>
      </c>
      <c r="L1769" s="36" t="s">
        <v>617</v>
      </c>
      <c r="M1769" s="36" t="s">
        <v>946</v>
      </c>
      <c r="N1769" s="36" t="s">
        <v>6376</v>
      </c>
      <c r="O1769" s="36" t="s">
        <v>918</v>
      </c>
      <c r="P1769" s="41" t="s">
        <v>6178</v>
      </c>
      <c r="Q1769" s="41" t="s">
        <v>6176</v>
      </c>
      <c r="R1769" s="41" t="s">
        <v>6177</v>
      </c>
      <c r="S1769" s="41" t="s">
        <v>6176</v>
      </c>
      <c r="T1769" s="37">
        <v>330.36</v>
      </c>
      <c r="U1769" s="243">
        <v>0.43286112120111392</v>
      </c>
      <c r="V1769" s="243">
        <v>0.23746821649110061</v>
      </c>
      <c r="W1769" s="243">
        <v>0.56234132519034852</v>
      </c>
      <c r="X1769" s="243">
        <v>0.43286112120111392</v>
      </c>
      <c r="Y1769" s="414">
        <v>7</v>
      </c>
      <c r="Z1769" s="37">
        <v>2.29</v>
      </c>
      <c r="AA1769" s="37">
        <v>2.36</v>
      </c>
      <c r="AB1769" s="37">
        <v>2.69</v>
      </c>
      <c r="AC1769" s="37">
        <v>0.8125</v>
      </c>
      <c r="AD1769" s="37">
        <v>2.76</v>
      </c>
      <c r="AE1769" s="37">
        <v>2.93</v>
      </c>
      <c r="AF1769" s="37">
        <f t="shared" si="502"/>
        <v>2.36</v>
      </c>
      <c r="AG1769" s="38">
        <v>2.3199999999999998</v>
      </c>
      <c r="AH1769" s="243">
        <v>8.39E-10</v>
      </c>
      <c r="AI1769" s="243">
        <v>4.8900000000000003E-9</v>
      </c>
      <c r="AJ1769" s="34">
        <f t="shared" si="497"/>
        <v>-7.4648043654839515</v>
      </c>
      <c r="AK1769" s="34">
        <f t="shared" si="508"/>
        <v>-6.6992574671890317</v>
      </c>
      <c r="AL1769" s="34">
        <f t="shared" ref="AL1769:AL1772" si="512">IF(AK1769=0,AJ1769,AK1769)</f>
        <v>-6.6992574671890317</v>
      </c>
      <c r="AM1769" s="34">
        <v>-12.449109999999999</v>
      </c>
      <c r="AN1769" s="244">
        <v>-5.94</v>
      </c>
      <c r="AO1769" s="417"/>
      <c r="AP1769" s="417"/>
      <c r="AQ1769" s="244" t="s">
        <v>6312</v>
      </c>
      <c r="AR1769" s="244" t="s">
        <v>6312</v>
      </c>
      <c r="AS1769" s="241" t="s">
        <v>6</v>
      </c>
      <c r="AT1769" s="39" t="s">
        <v>266</v>
      </c>
      <c r="AU1769" s="37">
        <v>2</v>
      </c>
      <c r="AV1769" s="37">
        <v>48</v>
      </c>
      <c r="AW1769" s="37">
        <v>48</v>
      </c>
      <c r="AX1769" s="37">
        <v>26</v>
      </c>
      <c r="AY1769" s="37" t="s">
        <v>647</v>
      </c>
      <c r="AZ1769" s="37" t="s">
        <v>536</v>
      </c>
      <c r="BA1769" s="37">
        <v>20</v>
      </c>
      <c r="BB1769" s="36" t="s">
        <v>537</v>
      </c>
      <c r="BC1769" s="36" t="s">
        <v>538</v>
      </c>
      <c r="BD1769" s="36"/>
      <c r="BE1769" s="37" t="s">
        <v>271</v>
      </c>
      <c r="BF1769" s="37" t="s">
        <v>539</v>
      </c>
      <c r="BG1769" s="37" t="s">
        <v>272</v>
      </c>
      <c r="BH1769" s="37" t="s">
        <v>272</v>
      </c>
      <c r="BI1769" s="248">
        <v>3.0266343825665863E-3</v>
      </c>
      <c r="BJ1769" s="248">
        <v>1.4527845036319613E-2</v>
      </c>
      <c r="BK1769" s="37"/>
      <c r="BL1769" s="243">
        <f t="shared" si="511"/>
        <v>0.45097347641126984</v>
      </c>
      <c r="BM1769" s="37" t="s">
        <v>541</v>
      </c>
      <c r="BN1769" s="37"/>
      <c r="BO1769" s="37">
        <f>6.2/330.4</f>
        <v>1.8765133171912834E-2</v>
      </c>
      <c r="BP1769" s="37"/>
      <c r="BQ1769" s="37"/>
      <c r="BR1769" s="37"/>
      <c r="BS1769" s="37"/>
      <c r="BT1769" s="37"/>
      <c r="BU1769" s="246"/>
      <c r="BV1769" s="37"/>
      <c r="BW1769" s="37"/>
      <c r="BX1769" s="37"/>
      <c r="BY1769" s="37"/>
      <c r="BZ1769" s="37"/>
      <c r="CA1769" s="37"/>
      <c r="CB1769" s="37"/>
      <c r="CC1769" s="37"/>
      <c r="CD1769" s="37"/>
      <c r="CE1769" s="37"/>
      <c r="CF1769" s="37"/>
      <c r="CG1769" s="37"/>
      <c r="CH1769" s="37"/>
      <c r="CI1769" s="243">
        <f t="shared" si="503"/>
        <v>1.8765133171912834E-2</v>
      </c>
      <c r="CJ1769" s="243">
        <f t="shared" si="504"/>
        <v>-1.7266483491500908</v>
      </c>
      <c r="CK1769" s="38">
        <f t="shared" si="509"/>
        <v>31.042007626309072</v>
      </c>
      <c r="CL1769" s="247">
        <f t="shared" si="505"/>
        <v>24.03252203327154</v>
      </c>
      <c r="CM1769" s="247">
        <v>-3.5360029785502594</v>
      </c>
      <c r="CN1769" s="247">
        <f>BJ1769/(10^CM1769)</f>
        <v>49.911908593787878</v>
      </c>
      <c r="CO1769" s="36"/>
      <c r="CP1769" s="36" t="s">
        <v>1558</v>
      </c>
      <c r="CQ1769" s="241">
        <v>-3.1259652426230411</v>
      </c>
      <c r="CR1769" s="241">
        <f>10^(CJ1769-CQ1769)</f>
        <v>25.079385635827393</v>
      </c>
      <c r="CS1769" s="33"/>
      <c r="CT1769" s="33"/>
      <c r="CU1769" s="250">
        <f t="shared" si="506"/>
        <v>23.067308781427101</v>
      </c>
      <c r="CV1769" s="337">
        <f t="shared" si="510"/>
        <v>29.795273842676675</v>
      </c>
      <c r="CW1769" s="330">
        <f t="shared" si="507"/>
        <v>1</v>
      </c>
      <c r="CX1769" s="330"/>
      <c r="CY1769" s="143" t="s">
        <v>5921</v>
      </c>
    </row>
    <row r="1770" spans="1:103" ht="11.25" customHeight="1" x14ac:dyDescent="0.2">
      <c r="A1770" s="72">
        <v>1768</v>
      </c>
      <c r="B1770" s="241">
        <v>484</v>
      </c>
      <c r="C1770" s="32" t="s">
        <v>7680</v>
      </c>
      <c r="D1770" s="32"/>
      <c r="E1770" s="40"/>
      <c r="F1770" s="40" t="s">
        <v>1565</v>
      </c>
      <c r="G1770" s="242">
        <v>123308</v>
      </c>
      <c r="H1770" s="36" t="s">
        <v>1566</v>
      </c>
      <c r="I1770" s="36" t="s">
        <v>1566</v>
      </c>
      <c r="J1770" s="36" t="s">
        <v>1567</v>
      </c>
      <c r="K1770" s="36" t="s">
        <v>1568</v>
      </c>
      <c r="L1770" s="36"/>
      <c r="M1770" s="36"/>
      <c r="N1770" s="36"/>
      <c r="O1770" s="36"/>
      <c r="P1770" s="41"/>
      <c r="Q1770" s="41" t="s">
        <v>6182</v>
      </c>
      <c r="R1770" s="41" t="s">
        <v>6185</v>
      </c>
      <c r="S1770" s="41" t="s">
        <v>6176</v>
      </c>
      <c r="T1770" s="37">
        <v>109.13</v>
      </c>
      <c r="U1770" s="243">
        <v>146.61412993677266</v>
      </c>
      <c r="V1770" s="243">
        <v>927.33437185008711</v>
      </c>
      <c r="W1770" s="243">
        <v>331.13112148259103</v>
      </c>
      <c r="X1770" s="243">
        <v>146.61412993677266</v>
      </c>
      <c r="Y1770" s="414">
        <v>7.74</v>
      </c>
      <c r="Z1770" s="37">
        <v>0.24</v>
      </c>
      <c r="AA1770" s="37">
        <v>0.04</v>
      </c>
      <c r="AB1770" s="37">
        <v>0.34</v>
      </c>
      <c r="AC1770" s="37">
        <v>0.84719999999999995</v>
      </c>
      <c r="AD1770" s="37">
        <v>0.16</v>
      </c>
      <c r="AE1770" s="37">
        <v>-0.28999999999999998</v>
      </c>
      <c r="AF1770" s="37">
        <f t="shared" si="502"/>
        <v>0.04</v>
      </c>
      <c r="AG1770" s="38">
        <v>0.78</v>
      </c>
      <c r="AH1770" s="243">
        <v>1.9799999999999999E-10</v>
      </c>
      <c r="AI1770" s="243">
        <v>3.59E-10</v>
      </c>
      <c r="AJ1770" s="34">
        <f t="shared" si="497"/>
        <v>-8.0919011360511206</v>
      </c>
      <c r="AK1770" s="34">
        <f t="shared" si="508"/>
        <v>-7.8334718777343326</v>
      </c>
      <c r="AL1770" s="34">
        <f t="shared" si="512"/>
        <v>-7.8334718777343326</v>
      </c>
      <c r="AM1770" s="34">
        <v>-10.45463</v>
      </c>
      <c r="AN1770" s="244">
        <v>-8.06</v>
      </c>
      <c r="AO1770" s="417">
        <v>10.17</v>
      </c>
      <c r="AP1770" s="417">
        <v>5.28</v>
      </c>
      <c r="AQ1770" s="244" t="s">
        <v>6311</v>
      </c>
      <c r="AR1770" s="244" t="s">
        <v>6311</v>
      </c>
      <c r="AS1770" s="241" t="s">
        <v>6</v>
      </c>
      <c r="AT1770" s="39" t="s">
        <v>266</v>
      </c>
      <c r="AU1770" s="37">
        <v>2</v>
      </c>
      <c r="AV1770" s="37">
        <v>48</v>
      </c>
      <c r="AW1770" s="37">
        <v>48</v>
      </c>
      <c r="AX1770" s="37">
        <v>26</v>
      </c>
      <c r="AY1770" s="37" t="s">
        <v>647</v>
      </c>
      <c r="AZ1770" s="37" t="s">
        <v>536</v>
      </c>
      <c r="BA1770" s="37">
        <v>20</v>
      </c>
      <c r="BB1770" s="36" t="s">
        <v>537</v>
      </c>
      <c r="BC1770" s="36" t="s">
        <v>538</v>
      </c>
      <c r="BD1770" s="36"/>
      <c r="BE1770" s="37" t="s">
        <v>271</v>
      </c>
      <c r="BF1770" s="37" t="s">
        <v>539</v>
      </c>
      <c r="BG1770" s="37" t="s">
        <v>272</v>
      </c>
      <c r="BH1770" s="37" t="s">
        <v>272</v>
      </c>
      <c r="BI1770" s="248">
        <v>1.8326766242096585E-3</v>
      </c>
      <c r="BJ1770" s="248">
        <v>1.6494089617886926E-2</v>
      </c>
      <c r="BK1770" s="37"/>
      <c r="BL1770" s="243">
        <f t="shared" si="511"/>
        <v>31.279226146526391</v>
      </c>
      <c r="BM1770" s="37" t="s">
        <v>541</v>
      </c>
      <c r="BN1770" s="37"/>
      <c r="BO1770" s="37">
        <v>4.3067900668926967E-3</v>
      </c>
      <c r="BP1770" s="37"/>
      <c r="BQ1770" s="37"/>
      <c r="BR1770" s="37"/>
      <c r="BS1770" s="37"/>
      <c r="BT1770" s="37"/>
      <c r="BU1770" s="246"/>
      <c r="BV1770" s="37"/>
      <c r="BW1770" s="37"/>
      <c r="BX1770" s="37"/>
      <c r="BY1770" s="37"/>
      <c r="BZ1770" s="37"/>
      <c r="CA1770" s="37"/>
      <c r="CB1770" s="37"/>
      <c r="CC1770" s="37"/>
      <c r="CD1770" s="37"/>
      <c r="CE1770" s="37"/>
      <c r="CF1770" s="37"/>
      <c r="CG1770" s="37"/>
      <c r="CH1770" s="37"/>
      <c r="CI1770" s="243">
        <f t="shared" si="503"/>
        <v>4.3067900668926967E-3</v>
      </c>
      <c r="CJ1770" s="243">
        <f t="shared" si="504"/>
        <v>-2.3658462972673813</v>
      </c>
      <c r="CK1770" s="38">
        <f t="shared" si="509"/>
        <v>1896.3899718724581</v>
      </c>
      <c r="CL1770" s="247">
        <f t="shared" si="505"/>
        <v>7262.770105043458</v>
      </c>
      <c r="CM1770" s="247"/>
      <c r="CN1770" s="247"/>
      <c r="CO1770" s="36"/>
      <c r="CP1770" s="36" t="s">
        <v>1558</v>
      </c>
      <c r="CQ1770" s="241">
        <v>-1.9586851119986244</v>
      </c>
      <c r="CR1770" s="241">
        <f>10^(CJ1770-CQ1770)</f>
        <v>0.39159651190908357</v>
      </c>
      <c r="CS1770" s="33"/>
      <c r="CT1770" s="33"/>
      <c r="CU1770" s="250">
        <f t="shared" si="506"/>
        <v>34042.553191489365</v>
      </c>
      <c r="CV1770" s="337">
        <f t="shared" si="510"/>
        <v>8888.8888888888887</v>
      </c>
      <c r="CW1770" s="330">
        <f t="shared" si="507"/>
        <v>1</v>
      </c>
      <c r="CX1770" s="330"/>
      <c r="CY1770" s="143" t="s">
        <v>6351</v>
      </c>
    </row>
    <row r="1771" spans="1:103" ht="11.25" customHeight="1" x14ac:dyDescent="0.2">
      <c r="A1771" s="72">
        <v>1769</v>
      </c>
      <c r="B1771" s="241">
        <v>547</v>
      </c>
      <c r="C1771" s="32" t="s">
        <v>1719</v>
      </c>
      <c r="D1771" s="32"/>
      <c r="E1771" s="40"/>
      <c r="F1771" s="40" t="s">
        <v>1720</v>
      </c>
      <c r="G1771" s="242">
        <v>123319</v>
      </c>
      <c r="H1771" s="36" t="s">
        <v>1721</v>
      </c>
      <c r="I1771" s="36" t="s">
        <v>1721</v>
      </c>
      <c r="J1771" s="36" t="s">
        <v>1722</v>
      </c>
      <c r="K1771" s="36" t="s">
        <v>1723</v>
      </c>
      <c r="L1771" s="36" t="s">
        <v>5527</v>
      </c>
      <c r="M1771" s="36" t="s">
        <v>6129</v>
      </c>
      <c r="N1771" s="36" t="s">
        <v>6383</v>
      </c>
      <c r="O1771" s="36"/>
      <c r="P1771" s="41"/>
      <c r="Q1771" s="41" t="s">
        <v>6182</v>
      </c>
      <c r="R1771" s="41" t="s">
        <v>6185</v>
      </c>
      <c r="S1771" s="41" t="s">
        <v>6176</v>
      </c>
      <c r="T1771" s="37">
        <v>110.11</v>
      </c>
      <c r="U1771" s="243">
        <v>653.89156298247212</v>
      </c>
      <c r="V1771" s="243">
        <v>1176.0966306420853</v>
      </c>
      <c r="W1771" s="243">
        <v>1778.2794100389231</v>
      </c>
      <c r="X1771" s="243">
        <v>653.89156298247212</v>
      </c>
      <c r="Y1771" s="414">
        <v>5.04</v>
      </c>
      <c r="Z1771" s="37">
        <v>1.03</v>
      </c>
      <c r="AA1771" s="37">
        <v>0.59</v>
      </c>
      <c r="AB1771" s="37">
        <v>0.48</v>
      </c>
      <c r="AC1771" s="37">
        <v>0.82310000000000005</v>
      </c>
      <c r="AD1771" s="37">
        <v>0.53</v>
      </c>
      <c r="AE1771" s="37">
        <v>0.64</v>
      </c>
      <c r="AF1771" s="37">
        <f t="shared" si="502"/>
        <v>0.59</v>
      </c>
      <c r="AG1771" s="38">
        <v>1.1200000000000001</v>
      </c>
      <c r="AH1771" s="243">
        <v>5.8299999999999995E-11</v>
      </c>
      <c r="AI1771" s="243">
        <v>4.7300000000000001E-11</v>
      </c>
      <c r="AJ1771" s="34">
        <f t="shared" si="497"/>
        <v>-8.622897771553637</v>
      </c>
      <c r="AK1771" s="34">
        <f t="shared" si="508"/>
        <v>-8.71370518557484</v>
      </c>
      <c r="AL1771" s="34">
        <f t="shared" si="512"/>
        <v>-8.71370518557484</v>
      </c>
      <c r="AM1771" s="34">
        <v>-10.688190000000001</v>
      </c>
      <c r="AN1771" s="244">
        <v>-8.7899999999999991</v>
      </c>
      <c r="AO1771" s="417">
        <v>10.33</v>
      </c>
      <c r="AP1771" s="417"/>
      <c r="AQ1771" s="244" t="s">
        <v>6311</v>
      </c>
      <c r="AR1771" s="244" t="s">
        <v>6311</v>
      </c>
      <c r="AS1771" s="241" t="s">
        <v>6</v>
      </c>
      <c r="AT1771" s="39" t="s">
        <v>266</v>
      </c>
      <c r="AU1771" s="37">
        <v>2</v>
      </c>
      <c r="AV1771" s="37">
        <v>48</v>
      </c>
      <c r="AW1771" s="37">
        <v>48</v>
      </c>
      <c r="AX1771" s="37">
        <v>26</v>
      </c>
      <c r="AY1771" s="37" t="s">
        <v>647</v>
      </c>
      <c r="AZ1771" s="37" t="s">
        <v>536</v>
      </c>
      <c r="BA1771" s="37">
        <v>20</v>
      </c>
      <c r="BB1771" s="36" t="s">
        <v>537</v>
      </c>
      <c r="BC1771" s="36" t="s">
        <v>538</v>
      </c>
      <c r="BD1771" s="36"/>
      <c r="BE1771" s="37" t="s">
        <v>271</v>
      </c>
      <c r="BF1771" s="37" t="s">
        <v>539</v>
      </c>
      <c r="BG1771" s="37" t="s">
        <v>272</v>
      </c>
      <c r="BH1771" s="37" t="s">
        <v>272</v>
      </c>
      <c r="BI1771" s="248">
        <v>2.2704568159113613E-2</v>
      </c>
      <c r="BJ1771" s="248">
        <v>0.11715557170102625</v>
      </c>
      <c r="BK1771" s="37"/>
      <c r="BL1771" s="243">
        <f t="shared" si="511"/>
        <v>6.1060028124427888</v>
      </c>
      <c r="BM1771" s="37" t="s">
        <v>541</v>
      </c>
      <c r="BN1771" s="37"/>
      <c r="BO1771" s="37">
        <v>7.1746435382799026E-2</v>
      </c>
      <c r="BP1771" s="37"/>
      <c r="BQ1771" s="37"/>
      <c r="BR1771" s="37"/>
      <c r="BS1771" s="37"/>
      <c r="BT1771" s="37"/>
      <c r="BU1771" s="246"/>
      <c r="BV1771" s="37"/>
      <c r="BW1771" s="37"/>
      <c r="BX1771" s="37"/>
      <c r="BY1771" s="37"/>
      <c r="BZ1771" s="37"/>
      <c r="CA1771" s="37"/>
      <c r="CB1771" s="37"/>
      <c r="CC1771" s="37"/>
      <c r="CD1771" s="37"/>
      <c r="CE1771" s="37"/>
      <c r="CF1771" s="37"/>
      <c r="CG1771" s="37"/>
      <c r="CH1771" s="37"/>
      <c r="CI1771" s="243">
        <f t="shared" si="503"/>
        <v>7.1746435382799026E-2</v>
      </c>
      <c r="CJ1771" s="243">
        <f t="shared" si="504"/>
        <v>-1.1441996713471023</v>
      </c>
      <c r="CK1771" s="38">
        <f t="shared" si="509"/>
        <v>52.118757339385695</v>
      </c>
      <c r="CL1771" s="247">
        <f t="shared" si="505"/>
        <v>85.105312617477907</v>
      </c>
      <c r="CM1771" s="247">
        <v>-3.400352652133444</v>
      </c>
      <c r="CN1771" s="247">
        <f>BJ1771/(10^CM1771)</f>
        <v>294.52054794520558</v>
      </c>
      <c r="CO1771" s="36"/>
      <c r="CP1771" s="36" t="s">
        <v>1558</v>
      </c>
      <c r="CQ1771" s="241">
        <v>-2.7678662289639937</v>
      </c>
      <c r="CR1771" s="241">
        <f>10^(CJ1771-CQ1771)</f>
        <v>42.040372709494441</v>
      </c>
      <c r="CS1771" s="33"/>
      <c r="CT1771" s="33"/>
      <c r="CU1771" s="250">
        <f t="shared" si="506"/>
        <v>9113.9240506329115</v>
      </c>
      <c r="CV1771" s="337">
        <f t="shared" si="510"/>
        <v>5581.3953488372099</v>
      </c>
      <c r="CW1771" s="330">
        <f t="shared" si="507"/>
        <v>1</v>
      </c>
      <c r="CX1771" s="330"/>
      <c r="CY1771" s="143" t="s">
        <v>6351</v>
      </c>
    </row>
    <row r="1772" spans="1:103" ht="11.25" customHeight="1" x14ac:dyDescent="0.2">
      <c r="A1772" s="72">
        <v>1770</v>
      </c>
      <c r="B1772" s="241">
        <v>717</v>
      </c>
      <c r="C1772" s="32" t="s">
        <v>7681</v>
      </c>
      <c r="D1772" s="32"/>
      <c r="E1772" s="40"/>
      <c r="F1772" s="40" t="s">
        <v>2029</v>
      </c>
      <c r="G1772" s="242">
        <v>127480</v>
      </c>
      <c r="H1772" s="36" t="s">
        <v>2030</v>
      </c>
      <c r="I1772" s="36" t="s">
        <v>2030</v>
      </c>
      <c r="J1772" s="36" t="s">
        <v>2031</v>
      </c>
      <c r="K1772" s="36" t="s">
        <v>1180</v>
      </c>
      <c r="L1772" s="42" t="s">
        <v>279</v>
      </c>
      <c r="M1772" s="36" t="s">
        <v>2032</v>
      </c>
      <c r="N1772" s="36"/>
      <c r="O1772" s="36" t="s">
        <v>281</v>
      </c>
      <c r="P1772" s="41"/>
      <c r="Q1772" s="41"/>
      <c r="R1772" s="41"/>
      <c r="S1772" s="41"/>
      <c r="T1772" s="37">
        <v>143.13999999999999</v>
      </c>
      <c r="U1772" s="243">
        <v>349.30836942853153</v>
      </c>
      <c r="V1772" s="243">
        <v>177.65823669135114</v>
      </c>
      <c r="W1772" s="243">
        <v>338.84415613920254</v>
      </c>
      <c r="X1772" s="243">
        <v>349.30836942853153</v>
      </c>
      <c r="Y1772" s="414">
        <v>7</v>
      </c>
      <c r="Z1772" s="37">
        <v>0.59</v>
      </c>
      <c r="AA1772" s="37"/>
      <c r="AB1772" s="37">
        <v>0.32</v>
      </c>
      <c r="AC1772" s="37">
        <v>0.78990000000000005</v>
      </c>
      <c r="AD1772" s="37">
        <v>0.32</v>
      </c>
      <c r="AE1772" s="37">
        <v>0.31</v>
      </c>
      <c r="AF1772" s="37">
        <f t="shared" si="502"/>
        <v>0.32</v>
      </c>
      <c r="AG1772" s="38">
        <v>0.22</v>
      </c>
      <c r="AH1772" s="243">
        <v>1.8500000000000001E-6</v>
      </c>
      <c r="AI1772" s="243"/>
      <c r="AJ1772" s="34">
        <f t="shared" si="497"/>
        <v>-4.1213945979096378</v>
      </c>
      <c r="AK1772" s="34"/>
      <c r="AL1772" s="34">
        <f t="shared" si="512"/>
        <v>-4.1213945979096378</v>
      </c>
      <c r="AM1772" s="34">
        <v>-7.0296500000000002</v>
      </c>
      <c r="AN1772" s="244">
        <v>-4.99</v>
      </c>
      <c r="AO1772" s="417"/>
      <c r="AP1772" s="417">
        <v>-2.1800000000000002</v>
      </c>
      <c r="AQ1772" s="244" t="s">
        <v>6311</v>
      </c>
      <c r="AR1772" s="244" t="s">
        <v>6311</v>
      </c>
      <c r="AS1772" s="241" t="s">
        <v>6</v>
      </c>
      <c r="AT1772" s="39" t="s">
        <v>266</v>
      </c>
      <c r="AU1772" s="37">
        <v>2</v>
      </c>
      <c r="AV1772" s="37">
        <v>72</v>
      </c>
      <c r="AW1772" s="37">
        <v>72</v>
      </c>
      <c r="AX1772" s="37">
        <v>26</v>
      </c>
      <c r="AY1772" s="37" t="s">
        <v>647</v>
      </c>
      <c r="AZ1772" s="37" t="s">
        <v>536</v>
      </c>
      <c r="BA1772" s="37" t="s">
        <v>8723</v>
      </c>
      <c r="BB1772" s="36" t="s">
        <v>1644</v>
      </c>
      <c r="BC1772" s="36" t="s">
        <v>2019</v>
      </c>
      <c r="BD1772" s="36" t="s">
        <v>8374</v>
      </c>
      <c r="BE1772" s="37" t="s">
        <v>649</v>
      </c>
      <c r="BF1772" s="37" t="s">
        <v>272</v>
      </c>
      <c r="BG1772" s="37" t="s">
        <v>272</v>
      </c>
      <c r="BH1772" s="37" t="s">
        <v>272</v>
      </c>
      <c r="BI1772" s="243">
        <v>10</v>
      </c>
      <c r="BJ1772" s="243">
        <v>60</v>
      </c>
      <c r="BK1772" s="37"/>
      <c r="BL1772" s="243">
        <f t="shared" si="511"/>
        <v>15.167744346894127</v>
      </c>
      <c r="BM1772" s="37" t="s">
        <v>541</v>
      </c>
      <c r="BN1772" s="37"/>
      <c r="BO1772" s="37"/>
      <c r="BP1772" s="37">
        <v>45.7</v>
      </c>
      <c r="BQ1772" s="37"/>
      <c r="BR1772" s="37"/>
      <c r="BS1772" s="37"/>
      <c r="BT1772" s="37"/>
      <c r="BU1772" s="246"/>
      <c r="BV1772" s="37"/>
      <c r="BW1772" s="37"/>
      <c r="BX1772" s="37"/>
      <c r="BY1772" s="37"/>
      <c r="BZ1772" s="37"/>
      <c r="CA1772" s="37"/>
      <c r="CB1772" s="37"/>
      <c r="CC1772" s="37"/>
      <c r="CD1772" s="37"/>
      <c r="CE1772" s="37"/>
      <c r="CF1772" s="37"/>
      <c r="CG1772" s="37"/>
      <c r="CH1772" s="37"/>
      <c r="CI1772" s="243">
        <f t="shared" si="503"/>
        <v>45.7</v>
      </c>
      <c r="CJ1772" s="243">
        <f t="shared" si="504"/>
        <v>1.6599162000698502</v>
      </c>
      <c r="CK1772" s="38">
        <f t="shared" si="509"/>
        <v>0.25279573911490211</v>
      </c>
      <c r="CL1772" s="247">
        <f t="shared" si="505"/>
        <v>0.33189812575260669</v>
      </c>
      <c r="CM1772" s="247"/>
      <c r="CN1772" s="247"/>
      <c r="CO1772" s="36"/>
      <c r="CP1772" s="36" t="s">
        <v>2021</v>
      </c>
      <c r="CQ1772" s="241" t="s">
        <v>272</v>
      </c>
      <c r="CR1772" s="241"/>
      <c r="CS1772" s="33"/>
      <c r="CT1772" s="33"/>
      <c r="CU1772" s="250">
        <f t="shared" si="506"/>
        <v>7.6435091778672106</v>
      </c>
      <c r="CV1772" s="337">
        <f t="shared" si="510"/>
        <v>5.8218061571421922</v>
      </c>
      <c r="CW1772" s="330">
        <f t="shared" si="507"/>
        <v>1</v>
      </c>
      <c r="CX1772" s="330"/>
      <c r="CY1772" s="143" t="s">
        <v>5921</v>
      </c>
    </row>
    <row r="1773" spans="1:103" ht="11.25" customHeight="1" x14ac:dyDescent="0.2">
      <c r="A1773" s="72">
        <v>1771</v>
      </c>
      <c r="B1773" s="241">
        <v>1985</v>
      </c>
      <c r="C1773" s="32" t="s">
        <v>7682</v>
      </c>
      <c r="D1773" s="32"/>
      <c r="E1773" s="40"/>
      <c r="F1773" s="40" t="s">
        <v>3510</v>
      </c>
      <c r="G1773" s="242">
        <v>128041</v>
      </c>
      <c r="H1773" s="41" t="s">
        <v>5550</v>
      </c>
      <c r="I1773" s="41" t="s">
        <v>8217</v>
      </c>
      <c r="J1773" s="41"/>
      <c r="K1773" s="41" t="s">
        <v>1297</v>
      </c>
      <c r="L1773" s="41" t="s">
        <v>617</v>
      </c>
      <c r="M1773" s="41" t="s">
        <v>1515</v>
      </c>
      <c r="N1773" s="36"/>
      <c r="O1773" s="41" t="s">
        <v>1516</v>
      </c>
      <c r="P1773" s="41"/>
      <c r="Q1773" s="41"/>
      <c r="R1773" s="41"/>
      <c r="S1773" s="41"/>
      <c r="T1773" s="33">
        <v>143.19999999999999</v>
      </c>
      <c r="U1773" s="250"/>
      <c r="V1773" s="250">
        <v>6983.2402234636875</v>
      </c>
      <c r="W1773" s="250">
        <v>67.60829753919819</v>
      </c>
      <c r="X1773" s="250">
        <f>IF(W1773=0,V1773,W1773)</f>
        <v>67.60829753919819</v>
      </c>
      <c r="Y1773" s="415">
        <v>2.48</v>
      </c>
      <c r="Z1773" s="33">
        <v>-2.41</v>
      </c>
      <c r="AA1773" s="33"/>
      <c r="AB1773" s="33">
        <v>0</v>
      </c>
      <c r="AC1773" s="33">
        <v>0</v>
      </c>
      <c r="AD1773" s="33">
        <v>0</v>
      </c>
      <c r="AE1773" s="33">
        <v>0</v>
      </c>
      <c r="AF1773" s="33"/>
      <c r="AG1773" s="34">
        <v>0.93</v>
      </c>
      <c r="AH1773" s="250"/>
      <c r="AI1773" s="250"/>
      <c r="AJ1773" s="34"/>
      <c r="AK1773" s="34"/>
      <c r="AL1773" s="34"/>
      <c r="AM1773" s="34"/>
      <c r="AN1773" s="251"/>
      <c r="AO1773" s="417">
        <v>4.21</v>
      </c>
      <c r="AP1773" s="417">
        <v>0.9</v>
      </c>
      <c r="AQ1773" s="251" t="s">
        <v>6311</v>
      </c>
      <c r="AR1773" s="251" t="s">
        <v>6311</v>
      </c>
      <c r="AS1773" s="252" t="s">
        <v>5466</v>
      </c>
      <c r="AT1773" s="35" t="s">
        <v>266</v>
      </c>
      <c r="AU1773" s="33">
        <v>4</v>
      </c>
      <c r="AV1773" s="33">
        <v>24</v>
      </c>
      <c r="AW1773" s="33">
        <v>20</v>
      </c>
      <c r="AX1773" s="33">
        <v>28</v>
      </c>
      <c r="AY1773" s="262" t="s">
        <v>267</v>
      </c>
      <c r="AZ1773" s="33" t="s">
        <v>6212</v>
      </c>
      <c r="BA1773" s="33">
        <v>20</v>
      </c>
      <c r="BB1773" s="41" t="s">
        <v>6300</v>
      </c>
      <c r="BC1773" s="41" t="s">
        <v>5697</v>
      </c>
      <c r="BD1773" s="41"/>
      <c r="BE1773" s="33" t="s">
        <v>2449</v>
      </c>
      <c r="BF1773" s="33" t="s">
        <v>6203</v>
      </c>
      <c r="BG1773" s="33" t="s">
        <v>6203</v>
      </c>
      <c r="BH1773" s="33"/>
      <c r="BI1773" s="250">
        <v>2.7932960893854752E-5</v>
      </c>
      <c r="BJ1773" s="250">
        <v>2.793296089385475E-2</v>
      </c>
      <c r="BK1773" s="254"/>
      <c r="BL1773" s="250">
        <f t="shared" si="511"/>
        <v>7502.7590608681121</v>
      </c>
      <c r="BM1773" s="33" t="s">
        <v>1584</v>
      </c>
      <c r="BN1773" s="33">
        <v>27.9</v>
      </c>
      <c r="BO1773" s="33"/>
      <c r="BP1773" s="33"/>
      <c r="BQ1773" s="33"/>
      <c r="BR1773" s="33"/>
      <c r="BS1773" s="33"/>
      <c r="BT1773" s="33"/>
      <c r="BU1773" s="246"/>
      <c r="BV1773" s="33"/>
      <c r="BW1773" s="33"/>
      <c r="BX1773" s="33"/>
      <c r="BY1773" s="33"/>
      <c r="BZ1773" s="33"/>
      <c r="CA1773" s="33"/>
      <c r="CB1773" s="33"/>
      <c r="CC1773" s="33"/>
      <c r="CD1773" s="33"/>
      <c r="CE1773" s="33"/>
      <c r="CF1773" s="33"/>
      <c r="CG1773" s="33"/>
      <c r="CH1773" s="33"/>
      <c r="CI1773" s="250">
        <f t="shared" si="503"/>
        <v>27.9</v>
      </c>
      <c r="CJ1773" s="243">
        <f t="shared" si="504"/>
        <v>1.4456042032735976</v>
      </c>
      <c r="CK1773" s="38">
        <f t="shared" si="509"/>
        <v>268598.77437907842</v>
      </c>
      <c r="CL1773" s="247">
        <f t="shared" si="505"/>
        <v>268.91609537161696</v>
      </c>
      <c r="CM1773" s="247"/>
      <c r="CN1773" s="247"/>
      <c r="CO1773" s="41"/>
      <c r="CP1773" s="41" t="s">
        <v>8382</v>
      </c>
      <c r="CQ1773" s="241">
        <v>-0.87784233905764697</v>
      </c>
      <c r="CR1773" s="241">
        <f>10^(CJ1773-CQ1773)</f>
        <v>210.59426608041096</v>
      </c>
      <c r="CS1773" s="33"/>
      <c r="CT1773" s="33"/>
      <c r="CU1773" s="250">
        <f t="shared" si="506"/>
        <v>2.4232364709390035</v>
      </c>
      <c r="CV1773" s="337">
        <f t="shared" si="510"/>
        <v>2420.3770519032951</v>
      </c>
      <c r="CW1773" s="330">
        <f t="shared" si="507"/>
        <v>1</v>
      </c>
      <c r="CX1773" s="330"/>
      <c r="CY1773" s="143" t="s">
        <v>6351</v>
      </c>
    </row>
    <row r="1774" spans="1:103" ht="11.25" customHeight="1" x14ac:dyDescent="0.2">
      <c r="A1774" s="72">
        <v>1772</v>
      </c>
      <c r="B1774" s="241">
        <v>2131</v>
      </c>
      <c r="C1774" s="32" t="s">
        <v>1510</v>
      </c>
      <c r="D1774" s="32"/>
      <c r="E1774" s="40"/>
      <c r="F1774" s="40" t="s">
        <v>1511</v>
      </c>
      <c r="G1774" s="242">
        <v>137268</v>
      </c>
      <c r="H1774" s="41" t="s">
        <v>1512</v>
      </c>
      <c r="I1774" s="41" t="s">
        <v>1512</v>
      </c>
      <c r="J1774" s="41" t="s">
        <v>1513</v>
      </c>
      <c r="K1774" s="41" t="s">
        <v>1514</v>
      </c>
      <c r="L1774" s="36" t="s">
        <v>6092</v>
      </c>
      <c r="M1774" s="36" t="s">
        <v>1515</v>
      </c>
      <c r="N1774" s="36" t="s">
        <v>6382</v>
      </c>
      <c r="O1774" s="36" t="s">
        <v>1516</v>
      </c>
      <c r="P1774" s="41"/>
      <c r="Q1774" s="41"/>
      <c r="R1774" s="41"/>
      <c r="S1774" s="41"/>
      <c r="T1774" s="33">
        <v>240.43</v>
      </c>
      <c r="U1774" s="250">
        <v>0.12477125270337715</v>
      </c>
      <c r="V1774" s="250">
        <v>37.697554483447014</v>
      </c>
      <c r="W1774" s="250">
        <v>0.22387211385683381</v>
      </c>
      <c r="X1774" s="250">
        <v>0.12477125270337715</v>
      </c>
      <c r="Y1774" s="415">
        <v>7</v>
      </c>
      <c r="Z1774" s="33">
        <v>1.7</v>
      </c>
      <c r="AA1774" s="33">
        <v>1.73</v>
      </c>
      <c r="AB1774" s="33">
        <v>2.02</v>
      </c>
      <c r="AC1774" s="33">
        <v>0.82899999999999996</v>
      </c>
      <c r="AD1774" s="33">
        <v>1.94</v>
      </c>
      <c r="AE1774" s="33">
        <v>1.75</v>
      </c>
      <c r="AF1774" s="33">
        <f t="shared" ref="AF1774:AF1805" si="513">IF(AA1774=0,AD1774,AA1774)</f>
        <v>1.73</v>
      </c>
      <c r="AG1774" s="34">
        <v>3.34</v>
      </c>
      <c r="AH1774" s="250">
        <v>2.6800000000000001E-5</v>
      </c>
      <c r="AI1774" s="250">
        <v>1.8199999999999999E-7</v>
      </c>
      <c r="AJ1774" s="34">
        <f t="shared" ref="AJ1774:AK1777" si="514">LOG10(AH1774*1000/(0.08206*298.15))</f>
        <v>-2.960431532283863</v>
      </c>
      <c r="AK1774" s="34">
        <f t="shared" si="514"/>
        <v>-5.1284949383275773</v>
      </c>
      <c r="AL1774" s="34">
        <f t="shared" ref="AL1774:AL1805" si="515">IF(AK1774=0,AJ1774,AK1774)</f>
        <v>-5.1284949383275773</v>
      </c>
      <c r="AM1774" s="34">
        <v>-12.009799999999998</v>
      </c>
      <c r="AN1774" s="251">
        <v>-6.0525000000000002</v>
      </c>
      <c r="AO1774" s="417"/>
      <c r="AP1774" s="417">
        <v>0.87</v>
      </c>
      <c r="AQ1774" s="251" t="s">
        <v>6311</v>
      </c>
      <c r="AR1774" s="251" t="s">
        <v>6311</v>
      </c>
      <c r="AS1774" s="252" t="s">
        <v>5466</v>
      </c>
      <c r="AT1774" s="35" t="s">
        <v>266</v>
      </c>
      <c r="AU1774" s="33">
        <v>5</v>
      </c>
      <c r="AV1774" s="33">
        <v>25</v>
      </c>
      <c r="AW1774" s="33">
        <v>20</v>
      </c>
      <c r="AX1774" s="33">
        <v>28</v>
      </c>
      <c r="AY1774" s="33" t="s">
        <v>267</v>
      </c>
      <c r="AZ1774" s="33" t="s">
        <v>5820</v>
      </c>
      <c r="BA1774" s="33"/>
      <c r="BB1774" s="41" t="s">
        <v>5821</v>
      </c>
      <c r="BC1774" s="41" t="s">
        <v>8377</v>
      </c>
      <c r="BD1774" s="41"/>
      <c r="BE1774" s="33" t="s">
        <v>2449</v>
      </c>
      <c r="BF1774" s="33"/>
      <c r="BG1774" s="33"/>
      <c r="BH1774" s="33" t="s">
        <v>5626</v>
      </c>
      <c r="BI1774" s="250"/>
      <c r="BJ1774" s="250">
        <v>0.05</v>
      </c>
      <c r="BK1774" s="254"/>
      <c r="BL1774" s="250">
        <f t="shared" si="511"/>
        <v>1.5276715824077349</v>
      </c>
      <c r="BM1774" s="33"/>
      <c r="BN1774" s="33">
        <v>1.4E-2</v>
      </c>
      <c r="BO1774" s="33"/>
      <c r="BP1774" s="33"/>
      <c r="BQ1774" s="33"/>
      <c r="BR1774" s="33"/>
      <c r="BS1774" s="33"/>
      <c r="BT1774" s="33"/>
      <c r="BU1774" s="246"/>
      <c r="BV1774" s="33"/>
      <c r="BW1774" s="33"/>
      <c r="BX1774" s="33"/>
      <c r="BY1774" s="33"/>
      <c r="BZ1774" s="33"/>
      <c r="CA1774" s="33"/>
      <c r="CB1774" s="33"/>
      <c r="CC1774" s="33"/>
      <c r="CD1774" s="33"/>
      <c r="CE1774" s="33"/>
      <c r="CF1774" s="33"/>
      <c r="CG1774" s="33"/>
      <c r="CH1774" s="33"/>
      <c r="CI1774" s="250">
        <f t="shared" si="503"/>
        <v>1.4E-2</v>
      </c>
      <c r="CJ1774" s="243">
        <f t="shared" si="504"/>
        <v>-1.853871964321762</v>
      </c>
      <c r="CK1774" s="38">
        <f t="shared" si="509"/>
        <v>30.553431648154696</v>
      </c>
      <c r="CL1774" s="247">
        <f t="shared" si="505"/>
        <v>109.11939874340963</v>
      </c>
      <c r="CM1774" s="247">
        <v>-4.0454833814184958</v>
      </c>
      <c r="CN1774" s="247">
        <f>BJ1774/(10^CM1774)</f>
        <v>555.20502195261292</v>
      </c>
      <c r="CO1774" s="41"/>
      <c r="CP1774" s="255" t="s">
        <v>8376</v>
      </c>
      <c r="CQ1774" s="241">
        <v>-3.6786492426503892</v>
      </c>
      <c r="CR1774" s="241">
        <f>10^(CJ1774-CQ1774)</f>
        <v>66.800125488670304</v>
      </c>
      <c r="CS1774" s="33"/>
      <c r="CT1774" s="33"/>
      <c r="CU1774" s="250">
        <f t="shared" si="506"/>
        <v>8.91223233595551</v>
      </c>
      <c r="CV1774" s="337">
        <f t="shared" si="510"/>
        <v>2.4954250540675429</v>
      </c>
      <c r="CW1774" s="330">
        <f t="shared" si="507"/>
        <v>1</v>
      </c>
      <c r="CX1774" s="330"/>
      <c r="CY1774" s="143" t="s">
        <v>6351</v>
      </c>
    </row>
    <row r="1775" spans="1:103" ht="11.25" customHeight="1" x14ac:dyDescent="0.2">
      <c r="A1775" s="72">
        <v>1773</v>
      </c>
      <c r="B1775" s="241">
        <v>670</v>
      </c>
      <c r="C1775" s="32" t="s">
        <v>1510</v>
      </c>
      <c r="D1775" s="32"/>
      <c r="E1775" s="40"/>
      <c r="F1775" s="40" t="s">
        <v>1511</v>
      </c>
      <c r="G1775" s="242">
        <v>137268</v>
      </c>
      <c r="H1775" s="36" t="s">
        <v>1512</v>
      </c>
      <c r="I1775" s="36" t="s">
        <v>1512</v>
      </c>
      <c r="J1775" s="36" t="s">
        <v>1513</v>
      </c>
      <c r="K1775" s="36" t="s">
        <v>1514</v>
      </c>
      <c r="L1775" s="36" t="s">
        <v>6092</v>
      </c>
      <c r="M1775" s="36" t="s">
        <v>1515</v>
      </c>
      <c r="N1775" s="36" t="s">
        <v>6382</v>
      </c>
      <c r="O1775" s="36" t="s">
        <v>1516</v>
      </c>
      <c r="P1775" s="41"/>
      <c r="Q1775" s="41"/>
      <c r="R1775" s="41"/>
      <c r="S1775" s="41"/>
      <c r="T1775" s="37">
        <v>240.44</v>
      </c>
      <c r="U1775" s="243">
        <v>0.12477125270337715</v>
      </c>
      <c r="V1775" s="243">
        <v>37.697554483447014</v>
      </c>
      <c r="W1775" s="243">
        <v>0.22387211385683381</v>
      </c>
      <c r="X1775" s="243">
        <v>0.12477125270337715</v>
      </c>
      <c r="Y1775" s="414">
        <v>7</v>
      </c>
      <c r="Z1775" s="37">
        <v>1.7</v>
      </c>
      <c r="AA1775" s="37">
        <v>1.73</v>
      </c>
      <c r="AB1775" s="37">
        <v>2.02</v>
      </c>
      <c r="AC1775" s="37">
        <v>0.82899999999999996</v>
      </c>
      <c r="AD1775" s="37">
        <v>1.94</v>
      </c>
      <c r="AE1775" s="37">
        <v>1.75</v>
      </c>
      <c r="AF1775" s="37">
        <f t="shared" si="513"/>
        <v>1.73</v>
      </c>
      <c r="AG1775" s="38">
        <v>3.34</v>
      </c>
      <c r="AH1775" s="243">
        <v>2.6800000000000001E-5</v>
      </c>
      <c r="AI1775" s="243">
        <v>1.8199999999999999E-7</v>
      </c>
      <c r="AJ1775" s="34">
        <f t="shared" si="514"/>
        <v>-2.960431532283863</v>
      </c>
      <c r="AK1775" s="34">
        <f t="shared" si="514"/>
        <v>-5.1284949383275773</v>
      </c>
      <c r="AL1775" s="34">
        <f t="shared" si="515"/>
        <v>-5.1284949383275773</v>
      </c>
      <c r="AM1775" s="34">
        <v>-12.009799999999998</v>
      </c>
      <c r="AN1775" s="244">
        <v>-6.05</v>
      </c>
      <c r="AO1775" s="417"/>
      <c r="AP1775" s="417">
        <v>0.87</v>
      </c>
      <c r="AQ1775" s="244" t="s">
        <v>6311</v>
      </c>
      <c r="AR1775" s="244" t="s">
        <v>6311</v>
      </c>
      <c r="AS1775" s="241" t="s">
        <v>6</v>
      </c>
      <c r="AT1775" s="39" t="s">
        <v>266</v>
      </c>
      <c r="AU1775" s="37">
        <v>2</v>
      </c>
      <c r="AV1775" s="37">
        <v>48</v>
      </c>
      <c r="AW1775" s="37">
        <v>48</v>
      </c>
      <c r="AX1775" s="37">
        <v>26</v>
      </c>
      <c r="AY1775" s="37" t="s">
        <v>647</v>
      </c>
      <c r="AZ1775" s="37" t="s">
        <v>536</v>
      </c>
      <c r="BA1775" s="37">
        <v>10</v>
      </c>
      <c r="BB1775" s="36" t="s">
        <v>1764</v>
      </c>
      <c r="BC1775" s="36" t="s">
        <v>538</v>
      </c>
      <c r="BD1775" s="36"/>
      <c r="BE1775" s="37" t="s">
        <v>271</v>
      </c>
      <c r="BF1775" s="37" t="s">
        <v>272</v>
      </c>
      <c r="BG1775" s="37" t="s">
        <v>272</v>
      </c>
      <c r="BH1775" s="37" t="s">
        <v>272</v>
      </c>
      <c r="BI1775" s="248">
        <v>8.1104687435012267E-3</v>
      </c>
      <c r="BJ1775" s="248">
        <v>4.1592147402570392</v>
      </c>
      <c r="BK1775" s="37"/>
      <c r="BL1775" s="243">
        <f t="shared" si="511"/>
        <v>1.5276715824077349</v>
      </c>
      <c r="BM1775" s="37" t="s">
        <v>541</v>
      </c>
      <c r="BN1775" s="37"/>
      <c r="BO1775" s="37">
        <v>0.47198768872436886</v>
      </c>
      <c r="BP1775" s="37"/>
      <c r="BQ1775" s="37"/>
      <c r="BR1775" s="37"/>
      <c r="BS1775" s="37"/>
      <c r="BT1775" s="37"/>
      <c r="BU1775" s="246"/>
      <c r="BV1775" s="37"/>
      <c r="BW1775" s="37"/>
      <c r="BX1775" s="37"/>
      <c r="BY1775" s="37"/>
      <c r="BZ1775" s="37"/>
      <c r="CA1775" s="37"/>
      <c r="CB1775" s="37"/>
      <c r="CC1775" s="37"/>
      <c r="CD1775" s="37"/>
      <c r="CE1775" s="37"/>
      <c r="CF1775" s="37"/>
      <c r="CG1775" s="37"/>
      <c r="CH1775" s="37"/>
      <c r="CI1775" s="243">
        <f t="shared" si="503"/>
        <v>0.47198768872436886</v>
      </c>
      <c r="CJ1775" s="243">
        <f t="shared" si="504"/>
        <v>-0.32606932930829108</v>
      </c>
      <c r="CK1775" s="38">
        <f t="shared" si="509"/>
        <v>0.36729807855829172</v>
      </c>
      <c r="CL1775" s="247">
        <f t="shared" si="505"/>
        <v>3.2366767585327079</v>
      </c>
      <c r="CM1775" s="247">
        <v>-4.0454833814184958</v>
      </c>
      <c r="CN1775" s="247">
        <f>BJ1775/(10^CM1775)</f>
        <v>46184.33822340081</v>
      </c>
      <c r="CO1775" s="36"/>
      <c r="CP1775" s="36" t="s">
        <v>1921</v>
      </c>
      <c r="CQ1775" s="241">
        <v>-3.6786492426503892</v>
      </c>
      <c r="CR1775" s="241">
        <f>10^(CJ1775-CQ1775)</f>
        <v>2252.0597739925201</v>
      </c>
      <c r="CS1775" s="33"/>
      <c r="CT1775" s="33"/>
      <c r="CU1775" s="250">
        <f t="shared" si="506"/>
        <v>0.26435276954065001</v>
      </c>
      <c r="CV1775" s="337">
        <f t="shared" si="510"/>
        <v>2.9998752287472969E-2</v>
      </c>
      <c r="CW1775" s="330">
        <f t="shared" si="507"/>
        <v>0</v>
      </c>
      <c r="CX1775" s="330"/>
      <c r="CY1775" s="143" t="s">
        <v>6351</v>
      </c>
    </row>
    <row r="1776" spans="1:103" ht="11.25" customHeight="1" x14ac:dyDescent="0.2">
      <c r="A1776" s="72">
        <v>1774</v>
      </c>
      <c r="B1776" s="241">
        <v>117</v>
      </c>
      <c r="C1776" s="32" t="s">
        <v>7683</v>
      </c>
      <c r="D1776" s="32"/>
      <c r="E1776" s="40"/>
      <c r="F1776" s="40" t="s">
        <v>714</v>
      </c>
      <c r="G1776" s="242">
        <v>141786</v>
      </c>
      <c r="H1776" s="36" t="s">
        <v>715</v>
      </c>
      <c r="I1776" s="36" t="s">
        <v>715</v>
      </c>
      <c r="J1776" s="36" t="s">
        <v>716</v>
      </c>
      <c r="K1776" s="36" t="s">
        <v>357</v>
      </c>
      <c r="L1776" s="36"/>
      <c r="M1776" s="36"/>
      <c r="N1776" s="36"/>
      <c r="O1776" s="36"/>
      <c r="P1776" s="41"/>
      <c r="Q1776" s="41" t="s">
        <v>6173</v>
      </c>
      <c r="R1776" s="41" t="s">
        <v>6174</v>
      </c>
      <c r="S1776" s="41" t="s">
        <v>6176</v>
      </c>
      <c r="T1776" s="37">
        <v>88.11</v>
      </c>
      <c r="U1776" s="243">
        <v>907.95596413573946</v>
      </c>
      <c r="V1776" s="243">
        <v>339.68902508228354</v>
      </c>
      <c r="W1776" s="243">
        <v>457.08818961487503</v>
      </c>
      <c r="X1776" s="243">
        <v>907.95596413573946</v>
      </c>
      <c r="Y1776" s="414">
        <v>7</v>
      </c>
      <c r="Z1776" s="37">
        <v>0.86</v>
      </c>
      <c r="AA1776" s="37">
        <v>0.73</v>
      </c>
      <c r="AB1776" s="37">
        <v>0.9</v>
      </c>
      <c r="AC1776" s="37">
        <v>0.94299999999999995</v>
      </c>
      <c r="AD1776" s="37">
        <v>0.87</v>
      </c>
      <c r="AE1776" s="37">
        <v>0.71</v>
      </c>
      <c r="AF1776" s="37">
        <f t="shared" si="513"/>
        <v>0.73</v>
      </c>
      <c r="AG1776" s="38">
        <v>0.57999999999999996</v>
      </c>
      <c r="AH1776" s="243">
        <v>2.33E-4</v>
      </c>
      <c r="AI1776" s="243">
        <v>1.34E-4</v>
      </c>
      <c r="AJ1776" s="34">
        <f t="shared" si="514"/>
        <v>-2.0212104052866326</v>
      </c>
      <c r="AK1776" s="34">
        <f t="shared" si="514"/>
        <v>-2.2614615279478443</v>
      </c>
      <c r="AL1776" s="34">
        <f t="shared" si="515"/>
        <v>-2.2614615279478443</v>
      </c>
      <c r="AM1776" s="34">
        <v>-2.6110699999999998</v>
      </c>
      <c r="AN1776" s="244">
        <v>-2.3199999999999998</v>
      </c>
      <c r="AO1776" s="417"/>
      <c r="AP1776" s="417"/>
      <c r="AQ1776" s="244" t="s">
        <v>6311</v>
      </c>
      <c r="AR1776" s="244" t="s">
        <v>6312</v>
      </c>
      <c r="AS1776" s="241" t="s">
        <v>87</v>
      </c>
      <c r="AT1776" s="39" t="s">
        <v>266</v>
      </c>
      <c r="AU1776" s="37">
        <v>0</v>
      </c>
      <c r="AV1776" s="37" t="s">
        <v>646</v>
      </c>
      <c r="AW1776" s="37" t="s">
        <v>646</v>
      </c>
      <c r="AX1776" s="37">
        <v>26</v>
      </c>
      <c r="AY1776" s="37" t="s">
        <v>647</v>
      </c>
      <c r="AZ1776" s="37" t="s">
        <v>536</v>
      </c>
      <c r="BA1776" s="37">
        <v>20</v>
      </c>
      <c r="BB1776" s="36" t="s">
        <v>537</v>
      </c>
      <c r="BC1776" s="36" t="s">
        <v>648</v>
      </c>
      <c r="BD1776" s="36"/>
      <c r="BE1776" s="245" t="s">
        <v>649</v>
      </c>
      <c r="BF1776" s="245" t="s">
        <v>650</v>
      </c>
      <c r="BG1776" s="245" t="s">
        <v>540</v>
      </c>
      <c r="BH1776" s="245" t="s">
        <v>272</v>
      </c>
      <c r="BI1776" s="243">
        <v>12.5</v>
      </c>
      <c r="BJ1776" s="243">
        <v>63.1</v>
      </c>
      <c r="BK1776" s="37"/>
      <c r="BL1776" s="243">
        <f t="shared" si="511"/>
        <v>8.6782868281096022</v>
      </c>
      <c r="BM1776" s="37" t="s">
        <v>541</v>
      </c>
      <c r="BN1776" s="37"/>
      <c r="BO1776" s="37">
        <v>21.1</v>
      </c>
      <c r="BP1776" s="37"/>
      <c r="BQ1776" s="37"/>
      <c r="BR1776" s="37"/>
      <c r="BS1776" s="37"/>
      <c r="BT1776" s="37"/>
      <c r="BU1776" s="246"/>
      <c r="BV1776" s="37"/>
      <c r="BW1776" s="37"/>
      <c r="BX1776" s="37"/>
      <c r="BY1776" s="37"/>
      <c r="BZ1776" s="37"/>
      <c r="CA1776" s="37"/>
      <c r="CB1776" s="37"/>
      <c r="CC1776" s="37"/>
      <c r="CD1776" s="37"/>
      <c r="CE1776" s="37"/>
      <c r="CF1776" s="37"/>
      <c r="CG1776" s="37"/>
      <c r="CH1776" s="37"/>
      <c r="CI1776" s="243">
        <f t="shared" si="503"/>
        <v>21.1</v>
      </c>
      <c r="CJ1776" s="243">
        <f t="shared" si="504"/>
        <v>1.3242824552976926</v>
      </c>
      <c r="CK1776" s="38">
        <f t="shared" si="509"/>
        <v>0.13753227936782253</v>
      </c>
      <c r="CL1776" s="247">
        <f t="shared" si="505"/>
        <v>0.4112932146023508</v>
      </c>
      <c r="CM1776" s="247"/>
      <c r="CN1776" s="247"/>
      <c r="CO1776" s="36"/>
      <c r="CP1776" s="36" t="s">
        <v>651</v>
      </c>
      <c r="CQ1776" s="241">
        <v>0.5651639400742694</v>
      </c>
      <c r="CR1776" s="241">
        <f>10^(CJ1776-CQ1776)</f>
        <v>5.7427315502394141</v>
      </c>
      <c r="CS1776" s="33"/>
      <c r="CT1776" s="33"/>
      <c r="CU1776" s="250">
        <f t="shared" si="506"/>
        <v>43.031088347665374</v>
      </c>
      <c r="CV1776" s="337">
        <f t="shared" si="510"/>
        <v>14.389159495019642</v>
      </c>
      <c r="CW1776" s="330">
        <f t="shared" si="507"/>
        <v>1</v>
      </c>
      <c r="CX1776" s="330"/>
      <c r="CY1776" s="143" t="s">
        <v>6351</v>
      </c>
    </row>
    <row r="1777" spans="1:103" ht="11.25" customHeight="1" x14ac:dyDescent="0.2">
      <c r="A1777" s="72">
        <v>1775</v>
      </c>
      <c r="B1777" s="241">
        <v>154</v>
      </c>
      <c r="C1777" s="32" t="s">
        <v>7684</v>
      </c>
      <c r="D1777" s="32"/>
      <c r="E1777" s="40"/>
      <c r="F1777" s="40" t="s">
        <v>832</v>
      </c>
      <c r="G1777" s="242">
        <v>142847</v>
      </c>
      <c r="H1777" s="36" t="s">
        <v>833</v>
      </c>
      <c r="I1777" s="36" t="s">
        <v>833</v>
      </c>
      <c r="J1777" s="36" t="s">
        <v>834</v>
      </c>
      <c r="K1777" s="36" t="s">
        <v>300</v>
      </c>
      <c r="L1777" s="36"/>
      <c r="M1777" s="36"/>
      <c r="N1777" s="36"/>
      <c r="O1777" s="36"/>
      <c r="P1777" s="41"/>
      <c r="Q1777" s="41"/>
      <c r="R1777" s="41"/>
      <c r="S1777" s="41"/>
      <c r="T1777" s="37">
        <v>101.19</v>
      </c>
      <c r="U1777" s="243">
        <v>346.87222057515567</v>
      </c>
      <c r="V1777" s="243">
        <v>437.6914714892776</v>
      </c>
      <c r="W1777" s="243">
        <v>281.83829312644531</v>
      </c>
      <c r="X1777" s="243">
        <v>346.87222057515567</v>
      </c>
      <c r="Y1777" s="414">
        <v>12.19</v>
      </c>
      <c r="Z1777" s="37">
        <v>1.79</v>
      </c>
      <c r="AA1777" s="37">
        <v>1.67</v>
      </c>
      <c r="AB1777" s="37">
        <v>1.73</v>
      </c>
      <c r="AC1777" s="37">
        <v>0.92459999999999998</v>
      </c>
      <c r="AD1777" s="37">
        <v>1.72</v>
      </c>
      <c r="AE1777" s="37">
        <v>1.7</v>
      </c>
      <c r="AF1777" s="37">
        <f t="shared" si="513"/>
        <v>1.67</v>
      </c>
      <c r="AG1777" s="38">
        <v>1.42</v>
      </c>
      <c r="AH1777" s="243">
        <v>5.1700000000000003E-5</v>
      </c>
      <c r="AI1777" s="243">
        <v>5.1E-5</v>
      </c>
      <c r="AJ1777" s="34">
        <f t="shared" si="514"/>
        <v>-2.6750757832187091</v>
      </c>
      <c r="AK1777" s="34">
        <f t="shared" si="514"/>
        <v>-2.6809961502147157</v>
      </c>
      <c r="AL1777" s="34">
        <f t="shared" si="515"/>
        <v>-2.6809961502147157</v>
      </c>
      <c r="AM1777" s="34">
        <v>-3.3992599999999995</v>
      </c>
      <c r="AN1777" s="244">
        <v>-2.57</v>
      </c>
      <c r="AO1777" s="417"/>
      <c r="AP1777" s="417">
        <v>10.94</v>
      </c>
      <c r="AQ1777" s="244" t="s">
        <v>6311</v>
      </c>
      <c r="AR1777" s="244" t="s">
        <v>6311</v>
      </c>
      <c r="AS1777" s="241" t="s">
        <v>835</v>
      </c>
      <c r="AT1777" s="39" t="s">
        <v>266</v>
      </c>
      <c r="AU1777" s="37">
        <v>0</v>
      </c>
      <c r="AV1777" s="37">
        <v>48</v>
      </c>
      <c r="AW1777" s="37">
        <v>48</v>
      </c>
      <c r="AX1777" s="37">
        <v>26</v>
      </c>
      <c r="AY1777" s="37" t="s">
        <v>8722</v>
      </c>
      <c r="AZ1777" s="37" t="s">
        <v>536</v>
      </c>
      <c r="BA1777" s="37">
        <v>20</v>
      </c>
      <c r="BB1777" s="36" t="s">
        <v>537</v>
      </c>
      <c r="BC1777" s="36" t="s">
        <v>648</v>
      </c>
      <c r="BD1777" s="36"/>
      <c r="BE1777" s="245" t="s">
        <v>649</v>
      </c>
      <c r="BF1777" s="37" t="s">
        <v>539</v>
      </c>
      <c r="BG1777" s="37" t="s">
        <v>272</v>
      </c>
      <c r="BH1777" s="37" t="s">
        <v>272</v>
      </c>
      <c r="BI1777" s="248">
        <v>0.20753038837829826</v>
      </c>
      <c r="BJ1777" s="248">
        <v>0.59294396679513783</v>
      </c>
      <c r="BK1777" s="37"/>
      <c r="BL1777" s="243">
        <f t="shared" si="511"/>
        <v>1.2682386957797422</v>
      </c>
      <c r="BM1777" s="37" t="s">
        <v>541</v>
      </c>
      <c r="BN1777" s="37"/>
      <c r="BO1777" s="37">
        <v>0.308</v>
      </c>
      <c r="BP1777" s="37"/>
      <c r="BQ1777" s="37"/>
      <c r="BR1777" s="37"/>
      <c r="BS1777" s="37"/>
      <c r="BT1777" s="37"/>
      <c r="BU1777" s="246"/>
      <c r="BV1777" s="37"/>
      <c r="BW1777" s="37"/>
      <c r="BX1777" s="37"/>
      <c r="BY1777" s="37"/>
      <c r="BZ1777" s="37"/>
      <c r="CA1777" s="37"/>
      <c r="CB1777" s="37"/>
      <c r="CC1777" s="37"/>
      <c r="CD1777" s="37"/>
      <c r="CE1777" s="37"/>
      <c r="CF1777" s="37"/>
      <c r="CG1777" s="37"/>
      <c r="CH1777" s="37"/>
      <c r="CI1777" s="243">
        <f t="shared" si="503"/>
        <v>0.308</v>
      </c>
      <c r="CJ1777" s="243">
        <f t="shared" si="504"/>
        <v>-0.51144928349955576</v>
      </c>
      <c r="CK1777" s="38">
        <f t="shared" si="509"/>
        <v>2.1388845604325355</v>
      </c>
      <c r="CL1777" s="247">
        <f t="shared" si="505"/>
        <v>4.1176581031809816</v>
      </c>
      <c r="CM1777" s="247"/>
      <c r="CN1777" s="247"/>
      <c r="CO1777" s="36"/>
      <c r="CP1777" s="36" t="s">
        <v>772</v>
      </c>
      <c r="CQ1777" s="241" t="s">
        <v>272</v>
      </c>
      <c r="CR1777" s="241"/>
      <c r="CS1777" s="33"/>
      <c r="CT1777" s="33"/>
      <c r="CU1777" s="250">
        <f t="shared" si="506"/>
        <v>1126.2085083608949</v>
      </c>
      <c r="CV1777" s="337">
        <f t="shared" si="510"/>
        <v>585</v>
      </c>
      <c r="CW1777" s="330">
        <f t="shared" si="507"/>
        <v>1</v>
      </c>
      <c r="CX1777" s="330"/>
      <c r="CY1777" s="143" t="s">
        <v>6351</v>
      </c>
    </row>
    <row r="1778" spans="1:103" ht="11.25" customHeight="1" x14ac:dyDescent="0.2">
      <c r="A1778" s="72">
        <v>1776</v>
      </c>
      <c r="B1778" s="241">
        <v>2049</v>
      </c>
      <c r="C1778" s="32" t="s">
        <v>7685</v>
      </c>
      <c r="D1778" s="32"/>
      <c r="E1778" s="40"/>
      <c r="F1778" s="40" t="s">
        <v>5609</v>
      </c>
      <c r="G1778" s="242">
        <v>143679</v>
      </c>
      <c r="H1778" s="41" t="s">
        <v>5610</v>
      </c>
      <c r="I1778" s="41" t="s">
        <v>8218</v>
      </c>
      <c r="J1778" s="41" t="s">
        <v>5611</v>
      </c>
      <c r="K1778" s="41" t="s">
        <v>5270</v>
      </c>
      <c r="L1778" s="41"/>
      <c r="M1778" s="41"/>
      <c r="N1778" s="36"/>
      <c r="O1778" s="41"/>
      <c r="P1778" s="41"/>
      <c r="Q1778" s="41"/>
      <c r="R1778" s="41"/>
      <c r="S1778" s="41"/>
      <c r="T1778" s="33">
        <v>811</v>
      </c>
      <c r="U1778" s="250"/>
      <c r="V1778" s="250">
        <v>5.49691738594328E-5</v>
      </c>
      <c r="W1778" s="250">
        <v>0.15135612484362068</v>
      </c>
      <c r="X1778" s="250">
        <f>IF(W1778=0,V1778,W1778)</f>
        <v>0.15135612484362068</v>
      </c>
      <c r="Y1778" s="415">
        <v>8.92</v>
      </c>
      <c r="Z1778" s="33">
        <v>4.32</v>
      </c>
      <c r="AA1778" s="33">
        <v>3.7</v>
      </c>
      <c r="AB1778" s="33">
        <v>4.1500000000000004</v>
      </c>
      <c r="AC1778" s="33">
        <v>0.64670000000000005</v>
      </c>
      <c r="AD1778" s="33">
        <v>4.16</v>
      </c>
      <c r="AE1778" s="33">
        <v>4.18</v>
      </c>
      <c r="AF1778" s="33">
        <f t="shared" si="513"/>
        <v>3.7</v>
      </c>
      <c r="AG1778" s="34">
        <v>4.16</v>
      </c>
      <c r="AH1778" s="250">
        <v>1.0299999999999999E-27</v>
      </c>
      <c r="AI1778" s="250"/>
      <c r="AJ1778" s="34">
        <f t="shared" ref="AJ1778:AJ1809" si="516">LOG10(AH1778*1000/(0.08206*298.15))</f>
        <v>-25.37572910160748</v>
      </c>
      <c r="AK1778" s="34"/>
      <c r="AL1778" s="34">
        <f t="shared" si="515"/>
        <v>-25.37572910160748</v>
      </c>
      <c r="AM1778" s="34">
        <v>-40.175600000000003</v>
      </c>
      <c r="AN1778" s="251"/>
      <c r="AO1778" s="417">
        <v>11.36</v>
      </c>
      <c r="AP1778" s="417">
        <v>7.9</v>
      </c>
      <c r="AQ1778" s="251" t="s">
        <v>6311</v>
      </c>
      <c r="AR1778" s="251" t="s">
        <v>6312</v>
      </c>
      <c r="AS1778" s="252" t="s">
        <v>5466</v>
      </c>
      <c r="AT1778" s="35" t="s">
        <v>266</v>
      </c>
      <c r="AU1778" s="33">
        <v>1</v>
      </c>
      <c r="AV1778" s="33">
        <v>48</v>
      </c>
      <c r="AW1778" s="33">
        <v>48</v>
      </c>
      <c r="AX1778" s="33">
        <v>26</v>
      </c>
      <c r="AY1778" s="33" t="s">
        <v>267</v>
      </c>
      <c r="AZ1778" s="33" t="s">
        <v>5612</v>
      </c>
      <c r="BA1778" s="33">
        <v>10</v>
      </c>
      <c r="BB1778" s="41" t="s">
        <v>5613</v>
      </c>
      <c r="BC1778" s="41" t="s">
        <v>538</v>
      </c>
      <c r="BD1778" s="41"/>
      <c r="BE1778" s="33"/>
      <c r="BF1778" s="33"/>
      <c r="BG1778" s="33"/>
      <c r="BH1778" s="33" t="s">
        <v>5614</v>
      </c>
      <c r="BI1778" s="250"/>
      <c r="BJ1778" s="250"/>
      <c r="BK1778" s="254"/>
      <c r="BL1778" s="250">
        <f t="shared" si="511"/>
        <v>6.776539903435146E-3</v>
      </c>
      <c r="BM1778" s="33"/>
      <c r="BN1778" s="33"/>
      <c r="BO1778" s="33">
        <v>3.0500000000000002E-3</v>
      </c>
      <c r="BP1778" s="33"/>
      <c r="BQ1778" s="33"/>
      <c r="BR1778" s="33"/>
      <c r="BS1778" s="33"/>
      <c r="BT1778" s="33"/>
      <c r="BU1778" s="246"/>
      <c r="BV1778" s="33"/>
      <c r="BW1778" s="33"/>
      <c r="BX1778" s="33"/>
      <c r="BY1778" s="33"/>
      <c r="BZ1778" s="33"/>
      <c r="CA1778" s="33"/>
      <c r="CB1778" s="33"/>
      <c r="CC1778" s="33"/>
      <c r="CD1778" s="33"/>
      <c r="CE1778" s="33"/>
      <c r="CF1778" s="33"/>
      <c r="CG1778" s="33"/>
      <c r="CH1778" s="33"/>
      <c r="CI1778" s="250">
        <f t="shared" si="503"/>
        <v>3.0500000000000002E-3</v>
      </c>
      <c r="CJ1778" s="243">
        <f t="shared" si="504"/>
        <v>-2.5157001606532141</v>
      </c>
      <c r="CK1778" s="38" t="s">
        <v>404</v>
      </c>
      <c r="CL1778" s="247">
        <f t="shared" si="505"/>
        <v>2.221816361782015</v>
      </c>
      <c r="CM1778" s="247"/>
      <c r="CN1778" s="247"/>
      <c r="CO1778" s="41"/>
      <c r="CP1778" s="41" t="s">
        <v>5615</v>
      </c>
      <c r="CQ1778" s="241" t="s">
        <v>272</v>
      </c>
      <c r="CR1778" s="241"/>
      <c r="CS1778" s="33"/>
      <c r="CT1778" s="33"/>
      <c r="CU1778" s="250">
        <f t="shared" si="506"/>
        <v>49.624958965121529</v>
      </c>
      <c r="CV1778" s="337"/>
      <c r="CW1778" s="330">
        <f t="shared" si="507"/>
        <v>1</v>
      </c>
      <c r="CX1778" s="330"/>
      <c r="CY1778" s="143" t="s">
        <v>5921</v>
      </c>
    </row>
    <row r="1779" spans="1:103" ht="11.25" customHeight="1" x14ac:dyDescent="0.2">
      <c r="A1779" s="72">
        <v>1777</v>
      </c>
      <c r="B1779" s="241">
        <v>2067</v>
      </c>
      <c r="C1779" s="32" t="s">
        <v>6838</v>
      </c>
      <c r="D1779" s="32"/>
      <c r="E1779" s="40"/>
      <c r="F1779" s="40" t="s">
        <v>4822</v>
      </c>
      <c r="G1779" s="242">
        <v>147240</v>
      </c>
      <c r="H1779" s="41" t="s">
        <v>5687</v>
      </c>
      <c r="I1779" s="41" t="s">
        <v>8219</v>
      </c>
      <c r="J1779" s="41" t="s">
        <v>5688</v>
      </c>
      <c r="K1779" s="41"/>
      <c r="L1779" s="41"/>
      <c r="M1779" s="41"/>
      <c r="N1779" s="36"/>
      <c r="O1779" s="41"/>
      <c r="P1779" s="41"/>
      <c r="Q1779" s="41"/>
      <c r="R1779" s="41"/>
      <c r="S1779" s="41"/>
      <c r="T1779" s="33">
        <v>255.36</v>
      </c>
      <c r="U1779" s="250"/>
      <c r="V1779" s="250">
        <f>362.7/255.36</f>
        <v>1.4203477443609021</v>
      </c>
      <c r="W1779" s="250"/>
      <c r="X1779" s="250"/>
      <c r="Y1779" s="415"/>
      <c r="Z1779" s="34">
        <v>3.27</v>
      </c>
      <c r="AA1779" s="34"/>
      <c r="AB1779" s="34">
        <v>3.72</v>
      </c>
      <c r="AC1779" s="34">
        <v>0.86529999999999996</v>
      </c>
      <c r="AD1779" s="34">
        <v>3.71</v>
      </c>
      <c r="AE1779" s="34">
        <v>3.66</v>
      </c>
      <c r="AF1779" s="34">
        <f t="shared" si="513"/>
        <v>3.71</v>
      </c>
      <c r="AG1779" s="34">
        <v>3.71</v>
      </c>
      <c r="AH1779" s="250">
        <v>3.7E-9</v>
      </c>
      <c r="AI1779" s="250"/>
      <c r="AJ1779" s="34">
        <f t="shared" si="516"/>
        <v>-6.8203646022456565</v>
      </c>
      <c r="AK1779" s="34"/>
      <c r="AL1779" s="34">
        <f t="shared" si="515"/>
        <v>-6.8203646022456565</v>
      </c>
      <c r="AM1779" s="34">
        <v>-10.310830000000001</v>
      </c>
      <c r="AN1779" s="251"/>
      <c r="AO1779" s="417"/>
      <c r="AP1779" s="417"/>
      <c r="AQ1779" s="251" t="s">
        <v>6311</v>
      </c>
      <c r="AR1779" s="251" t="s">
        <v>6316</v>
      </c>
      <c r="AS1779" s="252" t="s">
        <v>5466</v>
      </c>
      <c r="AT1779" s="35" t="s">
        <v>266</v>
      </c>
      <c r="AU1779" s="33">
        <v>168</v>
      </c>
      <c r="AV1779" s="33">
        <v>240</v>
      </c>
      <c r="AW1779" s="33">
        <v>72</v>
      </c>
      <c r="AX1779" s="33">
        <v>26</v>
      </c>
      <c r="AY1779" s="33" t="s">
        <v>5670</v>
      </c>
      <c r="AZ1779" s="33" t="s">
        <v>5689</v>
      </c>
      <c r="BA1779" s="33">
        <v>200</v>
      </c>
      <c r="BB1779" s="41" t="s">
        <v>5690</v>
      </c>
      <c r="BC1779" s="41" t="s">
        <v>5494</v>
      </c>
      <c r="BD1779" s="41"/>
      <c r="BE1779" s="33" t="s">
        <v>5598</v>
      </c>
      <c r="BF1779" s="33"/>
      <c r="BG1779" s="33"/>
      <c r="BH1779" s="33"/>
      <c r="BI1779" s="250"/>
      <c r="BJ1779" s="250"/>
      <c r="BK1779" s="254" t="s">
        <v>5691</v>
      </c>
      <c r="BL1779" s="250"/>
      <c r="BM1779" s="33"/>
      <c r="BN1779" s="33"/>
      <c r="BO1779" s="33"/>
      <c r="BP1779" s="33"/>
      <c r="BQ1779" s="33"/>
      <c r="BR1779" s="33"/>
      <c r="BS1779" s="33"/>
      <c r="BT1779" s="33"/>
      <c r="BU1779" s="246"/>
      <c r="BV1779" s="33"/>
      <c r="BW1779" s="33"/>
      <c r="BX1779" s="33"/>
      <c r="BY1779" s="33"/>
      <c r="BZ1779" s="33"/>
      <c r="CA1779" s="33"/>
      <c r="CB1779" s="33"/>
      <c r="CC1779" s="33"/>
      <c r="CD1779" s="33"/>
      <c r="CE1779" s="33"/>
      <c r="CF1779" s="33"/>
      <c r="CG1779" s="33"/>
      <c r="CH1779" s="33">
        <v>0.15591803166335413</v>
      </c>
      <c r="CI1779" s="250">
        <f t="shared" si="503"/>
        <v>0.15591803166335413</v>
      </c>
      <c r="CJ1779" s="243">
        <f t="shared" si="504"/>
        <v>-0.80710365646572757</v>
      </c>
      <c r="CK1779" s="38" t="s">
        <v>404</v>
      </c>
      <c r="CL1779" s="247">
        <f t="shared" si="505"/>
        <v>0</v>
      </c>
      <c r="CM1779" s="247"/>
      <c r="CN1779" s="247"/>
      <c r="CO1779" s="41" t="s">
        <v>5494</v>
      </c>
      <c r="CP1779" s="41" t="s">
        <v>5692</v>
      </c>
      <c r="CQ1779" s="241" t="s">
        <v>272</v>
      </c>
      <c r="CR1779" s="241"/>
      <c r="CS1779" s="33"/>
      <c r="CT1779" s="33" t="s">
        <v>6310</v>
      </c>
      <c r="CU1779" s="250" t="s">
        <v>6310</v>
      </c>
      <c r="CV1779" s="337"/>
      <c r="CW1779" s="330">
        <f t="shared" si="507"/>
        <v>1</v>
      </c>
      <c r="CX1779" s="330" t="s">
        <v>539</v>
      </c>
      <c r="CY1779" s="143" t="s">
        <v>5921</v>
      </c>
    </row>
    <row r="1780" spans="1:103" ht="11.25" customHeight="1" x14ac:dyDescent="0.2">
      <c r="A1780" s="72">
        <v>1778</v>
      </c>
      <c r="B1780" s="241">
        <v>2067</v>
      </c>
      <c r="C1780" s="32" t="s">
        <v>6838</v>
      </c>
      <c r="D1780" s="32"/>
      <c r="E1780" s="40"/>
      <c r="F1780" s="40" t="s">
        <v>4822</v>
      </c>
      <c r="G1780" s="242">
        <v>147240</v>
      </c>
      <c r="H1780" s="41" t="s">
        <v>5687</v>
      </c>
      <c r="I1780" s="41" t="s">
        <v>8219</v>
      </c>
      <c r="J1780" s="41" t="s">
        <v>5688</v>
      </c>
      <c r="K1780" s="41"/>
      <c r="L1780" s="41"/>
      <c r="M1780" s="41"/>
      <c r="N1780" s="36"/>
      <c r="O1780" s="41"/>
      <c r="P1780" s="41"/>
      <c r="Q1780" s="41"/>
      <c r="R1780" s="41"/>
      <c r="S1780" s="41"/>
      <c r="T1780" s="33">
        <v>255.36</v>
      </c>
      <c r="U1780" s="250"/>
      <c r="V1780" s="250">
        <f>362.7/255.36</f>
        <v>1.4203477443609021</v>
      </c>
      <c r="W1780" s="250"/>
      <c r="X1780" s="250"/>
      <c r="Y1780" s="415"/>
      <c r="Z1780" s="34">
        <v>3.27</v>
      </c>
      <c r="AA1780" s="34"/>
      <c r="AB1780" s="34">
        <v>3.72</v>
      </c>
      <c r="AC1780" s="34">
        <v>0.86529999999999996</v>
      </c>
      <c r="AD1780" s="34">
        <v>3.71</v>
      </c>
      <c r="AE1780" s="34">
        <v>3.66</v>
      </c>
      <c r="AF1780" s="34">
        <f t="shared" si="513"/>
        <v>3.71</v>
      </c>
      <c r="AG1780" s="34">
        <v>3.71</v>
      </c>
      <c r="AH1780" s="250">
        <v>3.7E-9</v>
      </c>
      <c r="AI1780" s="250"/>
      <c r="AJ1780" s="34">
        <f t="shared" si="516"/>
        <v>-6.8203646022456565</v>
      </c>
      <c r="AK1780" s="34"/>
      <c r="AL1780" s="34">
        <f t="shared" si="515"/>
        <v>-6.8203646022456565</v>
      </c>
      <c r="AM1780" s="34">
        <v>-10.310830000000001</v>
      </c>
      <c r="AN1780" s="251"/>
      <c r="AO1780" s="417"/>
      <c r="AP1780" s="417"/>
      <c r="AQ1780" s="251" t="s">
        <v>6311</v>
      </c>
      <c r="AR1780" s="251" t="s">
        <v>6316</v>
      </c>
      <c r="AS1780" s="252" t="s">
        <v>5466</v>
      </c>
      <c r="AT1780" s="35" t="s">
        <v>266</v>
      </c>
      <c r="AU1780" s="33">
        <v>72</v>
      </c>
      <c r="AV1780" s="33">
        <v>144</v>
      </c>
      <c r="AW1780" s="33">
        <v>72</v>
      </c>
      <c r="AX1780" s="33">
        <v>26</v>
      </c>
      <c r="AY1780" s="33" t="s">
        <v>5670</v>
      </c>
      <c r="AZ1780" s="33" t="s">
        <v>5689</v>
      </c>
      <c r="BA1780" s="33">
        <v>200</v>
      </c>
      <c r="BB1780" s="41" t="s">
        <v>5690</v>
      </c>
      <c r="BC1780" s="41" t="s">
        <v>5494</v>
      </c>
      <c r="BD1780" s="41"/>
      <c r="BE1780" s="33" t="s">
        <v>5598</v>
      </c>
      <c r="BF1780" s="33"/>
      <c r="BG1780" s="33"/>
      <c r="BH1780" s="33"/>
      <c r="BI1780" s="250"/>
      <c r="BJ1780" s="250"/>
      <c r="BK1780" s="254" t="s">
        <v>5691</v>
      </c>
      <c r="BL1780" s="250"/>
      <c r="BM1780" s="33"/>
      <c r="BN1780" s="33"/>
      <c r="BO1780" s="33"/>
      <c r="BP1780" s="33"/>
      <c r="BQ1780" s="33"/>
      <c r="BR1780" s="33"/>
      <c r="BS1780" s="33"/>
      <c r="BT1780" s="33"/>
      <c r="BU1780" s="246"/>
      <c r="BV1780" s="33"/>
      <c r="BW1780" s="33"/>
      <c r="BX1780" s="33"/>
      <c r="BY1780" s="33"/>
      <c r="BZ1780" s="33"/>
      <c r="CA1780" s="33"/>
      <c r="CB1780" s="33"/>
      <c r="CC1780" s="33"/>
      <c r="CD1780" s="33"/>
      <c r="CE1780" s="33"/>
      <c r="CF1780" s="33">
        <v>0.89781372078678645</v>
      </c>
      <c r="CG1780" s="33"/>
      <c r="CH1780" s="33"/>
      <c r="CI1780" s="250">
        <f t="shared" si="503"/>
        <v>0.89781372078678645</v>
      </c>
      <c r="CJ1780" s="243">
        <f t="shared" si="504"/>
        <v>-4.6813761803094482E-2</v>
      </c>
      <c r="CK1780" s="38" t="s">
        <v>404</v>
      </c>
      <c r="CL1780" s="247">
        <f t="shared" si="505"/>
        <v>0</v>
      </c>
      <c r="CM1780" s="247"/>
      <c r="CN1780" s="247"/>
      <c r="CO1780" s="41" t="s">
        <v>5494</v>
      </c>
      <c r="CP1780" s="41" t="s">
        <v>5692</v>
      </c>
      <c r="CQ1780" s="241" t="s">
        <v>272</v>
      </c>
      <c r="CR1780" s="241"/>
      <c r="CS1780" s="33"/>
      <c r="CT1780" s="33" t="s">
        <v>6310</v>
      </c>
      <c r="CU1780" s="250" t="s">
        <v>6310</v>
      </c>
      <c r="CV1780" s="337"/>
      <c r="CW1780" s="330">
        <f t="shared" si="507"/>
        <v>1</v>
      </c>
      <c r="CX1780" s="330" t="s">
        <v>539</v>
      </c>
      <c r="CY1780" s="143" t="s">
        <v>5921</v>
      </c>
    </row>
    <row r="1781" spans="1:103" ht="11.25" customHeight="1" x14ac:dyDescent="0.2">
      <c r="A1781" s="72">
        <v>1779</v>
      </c>
      <c r="B1781" s="241">
        <v>2067</v>
      </c>
      <c r="C1781" s="32" t="s">
        <v>6838</v>
      </c>
      <c r="D1781" s="32"/>
      <c r="E1781" s="40"/>
      <c r="F1781" s="40" t="s">
        <v>4822</v>
      </c>
      <c r="G1781" s="242">
        <v>147240</v>
      </c>
      <c r="H1781" s="36" t="s">
        <v>5687</v>
      </c>
      <c r="I1781" s="36" t="s">
        <v>8220</v>
      </c>
      <c r="J1781" s="41" t="s">
        <v>5688</v>
      </c>
      <c r="K1781" s="41"/>
      <c r="L1781" s="41"/>
      <c r="M1781" s="41"/>
      <c r="N1781" s="36"/>
      <c r="O1781" s="41"/>
      <c r="P1781" s="41"/>
      <c r="Q1781" s="41"/>
      <c r="R1781" s="41"/>
      <c r="S1781" s="41"/>
      <c r="T1781" s="33">
        <v>255.36</v>
      </c>
      <c r="U1781" s="250"/>
      <c r="V1781" s="250">
        <f>362.7/255.36</f>
        <v>1.4203477443609021</v>
      </c>
      <c r="W1781" s="250"/>
      <c r="X1781" s="250"/>
      <c r="Y1781" s="415"/>
      <c r="Z1781" s="34">
        <v>3.27</v>
      </c>
      <c r="AA1781" s="34"/>
      <c r="AB1781" s="34">
        <v>3.72</v>
      </c>
      <c r="AC1781" s="34">
        <v>0.86529999999999996</v>
      </c>
      <c r="AD1781" s="34">
        <v>3.71</v>
      </c>
      <c r="AE1781" s="34">
        <v>3.66</v>
      </c>
      <c r="AF1781" s="34">
        <f t="shared" si="513"/>
        <v>3.71</v>
      </c>
      <c r="AG1781" s="34">
        <v>3.71</v>
      </c>
      <c r="AH1781" s="250">
        <v>3.7E-9</v>
      </c>
      <c r="AI1781" s="250"/>
      <c r="AJ1781" s="34">
        <f t="shared" si="516"/>
        <v>-6.8203646022456565</v>
      </c>
      <c r="AK1781" s="34"/>
      <c r="AL1781" s="34">
        <f t="shared" si="515"/>
        <v>-6.8203646022456565</v>
      </c>
      <c r="AM1781" s="34">
        <v>-10.310830000000001</v>
      </c>
      <c r="AN1781" s="251"/>
      <c r="AO1781" s="417"/>
      <c r="AP1781" s="417"/>
      <c r="AQ1781" s="251" t="s">
        <v>6311</v>
      </c>
      <c r="AR1781" s="251" t="s">
        <v>6316</v>
      </c>
      <c r="AS1781" s="252" t="s">
        <v>5466</v>
      </c>
      <c r="AT1781" s="35" t="s">
        <v>266</v>
      </c>
      <c r="AU1781" s="33">
        <v>0</v>
      </c>
      <c r="AV1781" s="33">
        <v>72</v>
      </c>
      <c r="AW1781" s="33">
        <v>72</v>
      </c>
      <c r="AX1781" s="33">
        <v>26</v>
      </c>
      <c r="AY1781" s="33" t="s">
        <v>5670</v>
      </c>
      <c r="AZ1781" s="33" t="s">
        <v>5689</v>
      </c>
      <c r="BA1781" s="33">
        <v>200</v>
      </c>
      <c r="BB1781" s="41" t="s">
        <v>5690</v>
      </c>
      <c r="BC1781" s="41" t="s">
        <v>5494</v>
      </c>
      <c r="BD1781" s="41"/>
      <c r="BE1781" s="33" t="s">
        <v>5598</v>
      </c>
      <c r="BF1781" s="33"/>
      <c r="BG1781" s="33"/>
      <c r="BH1781" s="33"/>
      <c r="BI1781" s="250"/>
      <c r="BJ1781" s="250"/>
      <c r="BK1781" s="254" t="s">
        <v>5691</v>
      </c>
      <c r="BL1781" s="250"/>
      <c r="BM1781" s="33"/>
      <c r="BN1781" s="33"/>
      <c r="BO1781" s="33"/>
      <c r="BP1781" s="33">
        <v>2.3713247892536495</v>
      </c>
      <c r="BQ1781" s="33"/>
      <c r="BR1781" s="33"/>
      <c r="BS1781" s="33"/>
      <c r="BT1781" s="33"/>
      <c r="BU1781" s="246"/>
      <c r="BV1781" s="33"/>
      <c r="BW1781" s="33"/>
      <c r="BX1781" s="33"/>
      <c r="BY1781" s="33"/>
      <c r="BZ1781" s="33"/>
      <c r="CA1781" s="33"/>
      <c r="CB1781" s="33"/>
      <c r="CC1781" s="33"/>
      <c r="CD1781" s="33"/>
      <c r="CE1781" s="33"/>
      <c r="CF1781" s="33"/>
      <c r="CG1781" s="33"/>
      <c r="CH1781" s="33"/>
      <c r="CI1781" s="250">
        <f t="shared" si="503"/>
        <v>2.3713247892536495</v>
      </c>
      <c r="CJ1781" s="243">
        <f t="shared" si="504"/>
        <v>0.37499104133391781</v>
      </c>
      <c r="CK1781" s="38" t="s">
        <v>404</v>
      </c>
      <c r="CL1781" s="247">
        <f t="shared" si="505"/>
        <v>0</v>
      </c>
      <c r="CM1781" s="247"/>
      <c r="CN1781" s="247"/>
      <c r="CO1781" s="41" t="s">
        <v>5494</v>
      </c>
      <c r="CP1781" s="41" t="s">
        <v>5692</v>
      </c>
      <c r="CQ1781" s="241" t="s">
        <v>272</v>
      </c>
      <c r="CR1781" s="241"/>
      <c r="CS1781" s="33"/>
      <c r="CT1781" s="33" t="s">
        <v>6310</v>
      </c>
      <c r="CU1781" s="250" t="s">
        <v>6310</v>
      </c>
      <c r="CV1781" s="337"/>
      <c r="CW1781" s="330">
        <f t="shared" si="507"/>
        <v>1</v>
      </c>
      <c r="CX1781" s="330" t="s">
        <v>539</v>
      </c>
      <c r="CY1781" s="143" t="s">
        <v>5921</v>
      </c>
    </row>
    <row r="1782" spans="1:103" ht="11.25" customHeight="1" x14ac:dyDescent="0.2">
      <c r="A1782" s="72">
        <v>1780</v>
      </c>
      <c r="B1782" s="241">
        <v>795</v>
      </c>
      <c r="C1782" s="32" t="s">
        <v>7686</v>
      </c>
      <c r="D1782" s="32"/>
      <c r="E1782" s="40"/>
      <c r="F1782" s="40" t="s">
        <v>2235</v>
      </c>
      <c r="G1782" s="242">
        <v>150787</v>
      </c>
      <c r="H1782" s="36" t="s">
        <v>2236</v>
      </c>
      <c r="I1782" s="36" t="s">
        <v>2236</v>
      </c>
      <c r="J1782" s="36" t="s">
        <v>2237</v>
      </c>
      <c r="K1782" s="36" t="s">
        <v>426</v>
      </c>
      <c r="L1782" s="36"/>
      <c r="M1782" s="36" t="s">
        <v>866</v>
      </c>
      <c r="N1782" s="36"/>
      <c r="O1782" s="36" t="s">
        <v>498</v>
      </c>
      <c r="P1782" s="41"/>
      <c r="Q1782" s="41" t="s">
        <v>6179</v>
      </c>
      <c r="R1782" s="41" t="s">
        <v>6185</v>
      </c>
      <c r="S1782" s="41" t="s">
        <v>6176</v>
      </c>
      <c r="T1782" s="37">
        <v>138.16</v>
      </c>
      <c r="U1782" s="243"/>
      <c r="V1782" s="243">
        <v>11.168210770121599</v>
      </c>
      <c r="W1782" s="243">
        <v>20.892961308540386</v>
      </c>
      <c r="X1782" s="243">
        <f>IF(W1782=0,V1782,W1782)</f>
        <v>20.892961308540386</v>
      </c>
      <c r="Y1782" s="414">
        <v>7</v>
      </c>
      <c r="Z1782" s="37">
        <v>2.15</v>
      </c>
      <c r="AA1782" s="37">
        <v>2.04</v>
      </c>
      <c r="AB1782" s="37">
        <v>1.86</v>
      </c>
      <c r="AC1782" s="37">
        <v>0.78849999999999998</v>
      </c>
      <c r="AD1782" s="37">
        <v>1.93</v>
      </c>
      <c r="AE1782" s="37">
        <v>2.1</v>
      </c>
      <c r="AF1782" s="37">
        <f t="shared" si="513"/>
        <v>2.04</v>
      </c>
      <c r="AG1782" s="38">
        <v>1.76</v>
      </c>
      <c r="AH1782" s="243">
        <v>1.8899999999999999E-5</v>
      </c>
      <c r="AI1782" s="243"/>
      <c r="AJ1782" s="34">
        <f t="shared" si="516"/>
        <v>-3.1121045221394077</v>
      </c>
      <c r="AK1782" s="34"/>
      <c r="AL1782" s="34">
        <f t="shared" si="515"/>
        <v>-3.1121045221394077</v>
      </c>
      <c r="AM1782" s="34">
        <v>-5.3424399999999999</v>
      </c>
      <c r="AN1782" s="244">
        <v>-3.18</v>
      </c>
      <c r="AO1782" s="417"/>
      <c r="AP1782" s="417"/>
      <c r="AQ1782" s="37" t="s">
        <v>6311</v>
      </c>
      <c r="AR1782" s="37" t="s">
        <v>6311</v>
      </c>
      <c r="AS1782" s="241" t="s">
        <v>6</v>
      </c>
      <c r="AT1782" s="39" t="s">
        <v>266</v>
      </c>
      <c r="AU1782" s="37">
        <v>2</v>
      </c>
      <c r="AV1782" s="37">
        <v>48</v>
      </c>
      <c r="AW1782" s="37">
        <v>48</v>
      </c>
      <c r="AX1782" s="37">
        <v>26</v>
      </c>
      <c r="AY1782" s="37" t="s">
        <v>647</v>
      </c>
      <c r="AZ1782" s="37" t="s">
        <v>2231</v>
      </c>
      <c r="BA1782" s="37">
        <v>50</v>
      </c>
      <c r="BB1782" s="36" t="s">
        <v>1886</v>
      </c>
      <c r="BC1782" s="36" t="s">
        <v>538</v>
      </c>
      <c r="BD1782" s="36"/>
      <c r="BE1782" s="37" t="s">
        <v>2232</v>
      </c>
      <c r="BF1782" s="37" t="s">
        <v>272</v>
      </c>
      <c r="BG1782" s="37" t="s">
        <v>272</v>
      </c>
      <c r="BH1782" s="37" t="s">
        <v>272</v>
      </c>
      <c r="BI1782" s="243">
        <v>0.29873445222964529</v>
      </c>
      <c r="BJ1782" s="243">
        <v>1.357883873771115</v>
      </c>
      <c r="BK1782" s="37" t="s">
        <v>2233</v>
      </c>
      <c r="BL1782" s="243">
        <f t="shared" ref="BL1782:BL1813" si="517">10^((-0.8981*Z1782)+1.7108)</f>
        <v>0.60240005105464867</v>
      </c>
      <c r="BM1782" s="37" t="s">
        <v>541</v>
      </c>
      <c r="BN1782" s="37"/>
      <c r="BO1782" s="37">
        <v>0.751</v>
      </c>
      <c r="BP1782" s="37"/>
      <c r="BQ1782" s="37"/>
      <c r="BR1782" s="37"/>
      <c r="BS1782" s="37"/>
      <c r="BT1782" s="37"/>
      <c r="BU1782" s="246"/>
      <c r="BV1782" s="37"/>
      <c r="BW1782" s="37"/>
      <c r="BX1782" s="37"/>
      <c r="BY1782" s="37"/>
      <c r="BZ1782" s="37"/>
      <c r="CA1782" s="37"/>
      <c r="CB1782" s="37"/>
      <c r="CC1782" s="37"/>
      <c r="CD1782" s="37"/>
      <c r="CE1782" s="37"/>
      <c r="CF1782" s="37"/>
      <c r="CG1782" s="37"/>
      <c r="CH1782" s="37"/>
      <c r="CI1782" s="243">
        <f t="shared" si="503"/>
        <v>0.751</v>
      </c>
      <c r="CJ1782" s="243">
        <f t="shared" si="504"/>
        <v>-0.12436006299583161</v>
      </c>
      <c r="CK1782" s="38">
        <f>BL1782/BJ1782</f>
        <v>0.44363149359868548</v>
      </c>
      <c r="CL1782" s="247">
        <f t="shared" si="505"/>
        <v>0.8021305606586534</v>
      </c>
      <c r="CM1782" s="247"/>
      <c r="CN1782" s="247"/>
      <c r="CO1782" s="36"/>
      <c r="CP1782" s="36" t="s">
        <v>2234</v>
      </c>
      <c r="CQ1782" s="241">
        <v>-7.0348390033258879E-2</v>
      </c>
      <c r="CR1782" s="241">
        <f t="shared" ref="CR1782:CR1787" si="518">10^(CJ1782-CQ1782)</f>
        <v>0.88305616532515085</v>
      </c>
      <c r="CS1782" s="33"/>
      <c r="CT1782" s="33" t="s">
        <v>6310</v>
      </c>
      <c r="CU1782" s="250">
        <f>X1782/CI1782</f>
        <v>27.820188160506504</v>
      </c>
      <c r="CV1782" s="337">
        <f>X1782/BJ1782</f>
        <v>15.386412426061483</v>
      </c>
      <c r="CW1782" s="330">
        <f t="shared" si="507"/>
        <v>1</v>
      </c>
      <c r="CX1782" s="330" t="s">
        <v>539</v>
      </c>
      <c r="CY1782" s="143" t="s">
        <v>6351</v>
      </c>
    </row>
    <row r="1783" spans="1:103" ht="11.25" customHeight="1" x14ac:dyDescent="0.2">
      <c r="A1783" s="72">
        <v>1781</v>
      </c>
      <c r="B1783" s="241">
        <v>91</v>
      </c>
      <c r="C1783" s="32" t="s">
        <v>7254</v>
      </c>
      <c r="D1783" s="32"/>
      <c r="E1783" s="40"/>
      <c r="F1783" s="40" t="s">
        <v>625</v>
      </c>
      <c r="G1783" s="242">
        <v>298000</v>
      </c>
      <c r="H1783" s="36" t="s">
        <v>626</v>
      </c>
      <c r="I1783" s="36" t="s">
        <v>8047</v>
      </c>
      <c r="J1783" s="36" t="s">
        <v>627</v>
      </c>
      <c r="K1783" s="36" t="s">
        <v>628</v>
      </c>
      <c r="L1783" s="36" t="s">
        <v>617</v>
      </c>
      <c r="M1783" s="36" t="s">
        <v>618</v>
      </c>
      <c r="N1783" s="36"/>
      <c r="O1783" s="36"/>
      <c r="P1783" s="41" t="s">
        <v>6178</v>
      </c>
      <c r="Q1783" s="41" t="s">
        <v>6176</v>
      </c>
      <c r="R1783" s="41" t="s">
        <v>6177</v>
      </c>
      <c r="S1783" s="41" t="s">
        <v>6179</v>
      </c>
      <c r="T1783" s="37">
        <v>263.20999999999998</v>
      </c>
      <c r="U1783" s="243">
        <v>0.14323164013525325</v>
      </c>
      <c r="V1783" s="243">
        <v>0.11154591390904602</v>
      </c>
      <c r="W1783" s="243">
        <v>0.12882495516931314</v>
      </c>
      <c r="X1783" s="243">
        <v>0.14323164013525325</v>
      </c>
      <c r="Y1783" s="414">
        <v>7</v>
      </c>
      <c r="Z1783" s="37">
        <v>2.75</v>
      </c>
      <c r="AA1783" s="37">
        <v>2.86</v>
      </c>
      <c r="AB1783" s="37">
        <v>2.99</v>
      </c>
      <c r="AC1783" s="37">
        <v>0.88990000000000002</v>
      </c>
      <c r="AD1783" s="37">
        <v>2.94</v>
      </c>
      <c r="AE1783" s="37">
        <v>2.78</v>
      </c>
      <c r="AF1783" s="37">
        <f t="shared" si="513"/>
        <v>2.86</v>
      </c>
      <c r="AG1783" s="38">
        <v>2.27</v>
      </c>
      <c r="AH1783" s="243">
        <v>1.68E-7</v>
      </c>
      <c r="AI1783" s="243">
        <v>9.9999999999999995E-8</v>
      </c>
      <c r="AJ1783" s="34">
        <f t="shared" si="516"/>
        <v>-5.1632570445867891</v>
      </c>
      <c r="AK1783" s="34">
        <f>LOG10(AI1783*1000/(0.08206*298.15))</f>
        <v>-5.3885663263126515</v>
      </c>
      <c r="AL1783" s="34">
        <f t="shared" si="515"/>
        <v>-5.3885663263126515</v>
      </c>
      <c r="AM1783" s="34">
        <v>-11.07649</v>
      </c>
      <c r="AN1783" s="244">
        <v>-4.5599999999999996</v>
      </c>
      <c r="AO1783" s="417"/>
      <c r="AP1783" s="417"/>
      <c r="AQ1783" s="244" t="s">
        <v>6314</v>
      </c>
      <c r="AR1783" s="244" t="s">
        <v>6314</v>
      </c>
      <c r="AS1783" s="241" t="s">
        <v>90</v>
      </c>
      <c r="AT1783" s="39" t="s">
        <v>266</v>
      </c>
      <c r="AU1783" s="37">
        <v>0</v>
      </c>
      <c r="AV1783" s="37">
        <v>48</v>
      </c>
      <c r="AW1783" s="37">
        <v>48</v>
      </c>
      <c r="AX1783" s="37">
        <v>26</v>
      </c>
      <c r="AY1783" s="37" t="s">
        <v>8722</v>
      </c>
      <c r="AZ1783" s="37" t="s">
        <v>536</v>
      </c>
      <c r="BA1783" s="37">
        <v>20</v>
      </c>
      <c r="BB1783" s="36" t="s">
        <v>537</v>
      </c>
      <c r="BC1783" s="36" t="s">
        <v>538</v>
      </c>
      <c r="BD1783" s="36"/>
      <c r="BE1783" s="245" t="s">
        <v>271</v>
      </c>
      <c r="BF1783" s="245" t="s">
        <v>539</v>
      </c>
      <c r="BG1783" s="245" t="s">
        <v>540</v>
      </c>
      <c r="BH1783" s="245" t="s">
        <v>272</v>
      </c>
      <c r="BI1783" s="243">
        <v>1.9E-2</v>
      </c>
      <c r="BJ1783" s="243">
        <v>9.6199999999999994E-2</v>
      </c>
      <c r="BK1783" s="37"/>
      <c r="BL1783" s="243">
        <f t="shared" si="517"/>
        <v>0.17419071427411098</v>
      </c>
      <c r="BM1783" s="37" t="s">
        <v>541</v>
      </c>
      <c r="BN1783" s="37"/>
      <c r="BO1783" s="37">
        <v>3.2500000000000001E-2</v>
      </c>
      <c r="BP1783" s="37"/>
      <c r="BQ1783" s="37"/>
      <c r="BR1783" s="37"/>
      <c r="BS1783" s="37"/>
      <c r="BT1783" s="37"/>
      <c r="BU1783" s="246"/>
      <c r="BV1783" s="37"/>
      <c r="BW1783" s="37"/>
      <c r="BX1783" s="37"/>
      <c r="BY1783" s="37"/>
      <c r="BZ1783" s="37"/>
      <c r="CA1783" s="37"/>
      <c r="CB1783" s="37"/>
      <c r="CC1783" s="37"/>
      <c r="CD1783" s="37"/>
      <c r="CE1783" s="37"/>
      <c r="CF1783" s="37"/>
      <c r="CG1783" s="37"/>
      <c r="CH1783" s="37"/>
      <c r="CI1783" s="243">
        <f t="shared" si="503"/>
        <v>3.2500000000000001E-2</v>
      </c>
      <c r="CJ1783" s="243">
        <f t="shared" si="504"/>
        <v>-1.4881166390211256</v>
      </c>
      <c r="CK1783" s="38">
        <f>BL1783/BJ1783</f>
        <v>1.8107142855936693</v>
      </c>
      <c r="CL1783" s="247">
        <f t="shared" si="505"/>
        <v>5.3597142853572608</v>
      </c>
      <c r="CM1783" s="247"/>
      <c r="CN1783" s="247"/>
      <c r="CO1783" s="36"/>
      <c r="CP1783" s="36" t="s">
        <v>542</v>
      </c>
      <c r="CQ1783" s="241">
        <v>-1.6656365883546269</v>
      </c>
      <c r="CR1783" s="241">
        <f t="shared" si="518"/>
        <v>1.5049426468123746</v>
      </c>
      <c r="CS1783" s="33"/>
      <c r="CT1783" s="33"/>
      <c r="CU1783" s="250">
        <f>X1783/CI1783</f>
        <v>4.407127388777023</v>
      </c>
      <c r="CV1783" s="337">
        <f>X1783/BJ1783</f>
        <v>1.4888943881003458</v>
      </c>
      <c r="CW1783" s="330">
        <f t="shared" si="507"/>
        <v>1</v>
      </c>
      <c r="CX1783" s="330"/>
      <c r="CY1783" s="143" t="s">
        <v>5921</v>
      </c>
    </row>
    <row r="1784" spans="1:103" ht="11.25" customHeight="1" x14ac:dyDescent="0.2">
      <c r="A1784" s="72">
        <v>1782</v>
      </c>
      <c r="B1784" s="241">
        <v>197</v>
      </c>
      <c r="C1784" s="32" t="s">
        <v>1923</v>
      </c>
      <c r="D1784" s="32"/>
      <c r="E1784" s="40"/>
      <c r="F1784" s="40" t="s">
        <v>1924</v>
      </c>
      <c r="G1784" s="242">
        <v>298464</v>
      </c>
      <c r="H1784" s="36" t="s">
        <v>1925</v>
      </c>
      <c r="I1784" s="36" t="s">
        <v>1925</v>
      </c>
      <c r="J1784" s="36" t="s">
        <v>1926</v>
      </c>
      <c r="K1784" s="36" t="s">
        <v>1292</v>
      </c>
      <c r="L1784" s="42" t="s">
        <v>279</v>
      </c>
      <c r="M1784" s="36" t="s">
        <v>1927</v>
      </c>
      <c r="N1784" s="36"/>
      <c r="O1784" s="36" t="s">
        <v>281</v>
      </c>
      <c r="P1784" s="41"/>
      <c r="Q1784" s="41"/>
      <c r="R1784" s="41"/>
      <c r="S1784" s="41"/>
      <c r="T1784" s="37">
        <v>236.27</v>
      </c>
      <c r="U1784" s="243">
        <v>0.47403394421636263</v>
      </c>
      <c r="V1784" s="243">
        <v>7.4744995132687175E-2</v>
      </c>
      <c r="W1784" s="243">
        <v>0.33113112148259094</v>
      </c>
      <c r="X1784" s="243">
        <v>0.47403394421636263</v>
      </c>
      <c r="Y1784" s="414">
        <v>7</v>
      </c>
      <c r="Z1784" s="37">
        <v>2.25</v>
      </c>
      <c r="AA1784" s="37">
        <v>2.4500000000000002</v>
      </c>
      <c r="AB1784" s="37">
        <v>2.17</v>
      </c>
      <c r="AC1784" s="37">
        <v>0.88529999999999998</v>
      </c>
      <c r="AD1784" s="37">
        <v>2.2799999999999998</v>
      </c>
      <c r="AE1784" s="37">
        <v>2.67</v>
      </c>
      <c r="AF1784" s="37">
        <f t="shared" si="513"/>
        <v>2.4500000000000002</v>
      </c>
      <c r="AG1784" s="38">
        <v>2.52</v>
      </c>
      <c r="AH1784" s="243">
        <v>1.08E-10</v>
      </c>
      <c r="AI1784" s="243"/>
      <c r="AJ1784" s="34">
        <f t="shared" si="516"/>
        <v>-8.3551425708257021</v>
      </c>
      <c r="AK1784" s="34"/>
      <c r="AL1784" s="34">
        <f t="shared" si="515"/>
        <v>-8.3551425708257021</v>
      </c>
      <c r="AM1784" s="34">
        <v>-14.371929999999999</v>
      </c>
      <c r="AN1784" s="244">
        <v>-9.82</v>
      </c>
      <c r="AO1784" s="417">
        <v>13.94</v>
      </c>
      <c r="AP1784" s="417">
        <v>-0.49</v>
      </c>
      <c r="AQ1784" s="244" t="s">
        <v>6311</v>
      </c>
      <c r="AR1784" s="244" t="s">
        <v>6311</v>
      </c>
      <c r="AS1784" s="241" t="s">
        <v>90</v>
      </c>
      <c r="AT1784" s="39" t="s">
        <v>266</v>
      </c>
      <c r="AU1784" s="37">
        <v>0</v>
      </c>
      <c r="AV1784" s="37">
        <v>48</v>
      </c>
      <c r="AW1784" s="37">
        <v>48</v>
      </c>
      <c r="AX1784" s="37">
        <v>26</v>
      </c>
      <c r="AY1784" s="37" t="s">
        <v>8722</v>
      </c>
      <c r="AZ1784" s="37" t="s">
        <v>536</v>
      </c>
      <c r="BA1784" s="37">
        <v>20</v>
      </c>
      <c r="BB1784" s="36" t="s">
        <v>537</v>
      </c>
      <c r="BC1784" s="36" t="s">
        <v>538</v>
      </c>
      <c r="BD1784" s="36"/>
      <c r="BE1784" s="245" t="s">
        <v>271</v>
      </c>
      <c r="BF1784" s="245" t="s">
        <v>539</v>
      </c>
      <c r="BG1784" s="245" t="s">
        <v>540</v>
      </c>
      <c r="BH1784" s="245" t="s">
        <v>272</v>
      </c>
      <c r="BI1784" s="243">
        <v>5.2900000000000003E-2</v>
      </c>
      <c r="BJ1784" s="243">
        <v>0.84650000000000003</v>
      </c>
      <c r="BK1784" s="37"/>
      <c r="BL1784" s="243">
        <f t="shared" si="517"/>
        <v>0.48986340847787241</v>
      </c>
      <c r="BM1784" s="37" t="s">
        <v>541</v>
      </c>
      <c r="BN1784" s="37"/>
      <c r="BO1784" s="37"/>
      <c r="BP1784" s="37"/>
      <c r="BQ1784" s="37"/>
      <c r="BR1784" s="37"/>
      <c r="BS1784" s="37"/>
      <c r="BT1784" s="37"/>
      <c r="BU1784" s="246"/>
      <c r="BV1784" s="37"/>
      <c r="BW1784" s="37"/>
      <c r="BX1784" s="37"/>
      <c r="BY1784" s="37"/>
      <c r="BZ1784" s="37"/>
      <c r="CA1784" s="37"/>
      <c r="CB1784" s="37"/>
      <c r="CC1784" s="37"/>
      <c r="CD1784" s="37"/>
      <c r="CE1784" s="37"/>
      <c r="CF1784" s="37"/>
      <c r="CG1784" s="37"/>
      <c r="CH1784" s="37"/>
      <c r="CI1784" s="243"/>
      <c r="CJ1784" s="243"/>
      <c r="CK1784" s="38">
        <f>BL1784/BJ1784</f>
        <v>0.57869274480551969</v>
      </c>
      <c r="CL1784" s="247"/>
      <c r="CM1784" s="247"/>
      <c r="CN1784" s="247"/>
      <c r="CO1784" s="36" t="s">
        <v>3683</v>
      </c>
      <c r="CP1784" s="36" t="s">
        <v>542</v>
      </c>
      <c r="CQ1784" s="241">
        <v>-0.90724781530094856</v>
      </c>
      <c r="CR1784" s="241">
        <f t="shared" si="518"/>
        <v>8.0769578276960097</v>
      </c>
      <c r="CS1784" s="33"/>
      <c r="CT1784" s="33"/>
      <c r="CU1784" s="250"/>
      <c r="CV1784" s="337">
        <f>X1784/BJ1784</f>
        <v>0.55999284609139122</v>
      </c>
      <c r="CW1784" s="330">
        <f>IF(CV1784&lt;1,0,1)</f>
        <v>0</v>
      </c>
      <c r="CX1784" s="330"/>
      <c r="CY1784" s="143" t="s">
        <v>5921</v>
      </c>
    </row>
    <row r="1785" spans="1:103" ht="11.25" customHeight="1" x14ac:dyDescent="0.2">
      <c r="A1785" s="72">
        <v>1783</v>
      </c>
      <c r="B1785" s="241">
        <v>662</v>
      </c>
      <c r="C1785" s="32" t="s">
        <v>1923</v>
      </c>
      <c r="D1785" s="32"/>
      <c r="E1785" s="40"/>
      <c r="F1785" s="40" t="s">
        <v>1924</v>
      </c>
      <c r="G1785" s="242">
        <v>298464</v>
      </c>
      <c r="H1785" s="36" t="s">
        <v>1925</v>
      </c>
      <c r="I1785" s="36" t="s">
        <v>1925</v>
      </c>
      <c r="J1785" s="36" t="s">
        <v>1926</v>
      </c>
      <c r="K1785" s="36" t="s">
        <v>1292</v>
      </c>
      <c r="L1785" s="42" t="s">
        <v>279</v>
      </c>
      <c r="M1785" s="36" t="s">
        <v>1927</v>
      </c>
      <c r="N1785" s="36"/>
      <c r="O1785" s="36" t="s">
        <v>281</v>
      </c>
      <c r="P1785" s="41"/>
      <c r="Q1785" s="41"/>
      <c r="R1785" s="41"/>
      <c r="S1785" s="41"/>
      <c r="T1785" s="37">
        <v>236.27</v>
      </c>
      <c r="U1785" s="243">
        <v>0.47403394421636263</v>
      </c>
      <c r="V1785" s="243">
        <v>7.4744995132687175E-2</v>
      </c>
      <c r="W1785" s="243">
        <v>0.33113112148259094</v>
      </c>
      <c r="X1785" s="243">
        <v>0.47403394421636263</v>
      </c>
      <c r="Y1785" s="414">
        <v>7</v>
      </c>
      <c r="Z1785" s="37">
        <v>2.25</v>
      </c>
      <c r="AA1785" s="37">
        <v>2.4500000000000002</v>
      </c>
      <c r="AB1785" s="37">
        <v>2.17</v>
      </c>
      <c r="AC1785" s="37">
        <v>0.88529999999999998</v>
      </c>
      <c r="AD1785" s="37">
        <v>2.2799999999999998</v>
      </c>
      <c r="AE1785" s="37">
        <v>2.67</v>
      </c>
      <c r="AF1785" s="37">
        <f t="shared" si="513"/>
        <v>2.4500000000000002</v>
      </c>
      <c r="AG1785" s="38">
        <v>2.52</v>
      </c>
      <c r="AH1785" s="243">
        <v>1.08E-10</v>
      </c>
      <c r="AI1785" s="243"/>
      <c r="AJ1785" s="34">
        <f t="shared" si="516"/>
        <v>-8.3551425708257021</v>
      </c>
      <c r="AK1785" s="34"/>
      <c r="AL1785" s="34">
        <f t="shared" si="515"/>
        <v>-8.3551425708257021</v>
      </c>
      <c r="AM1785" s="34">
        <v>-14.371929999999999</v>
      </c>
      <c r="AN1785" s="244">
        <v>-9.82</v>
      </c>
      <c r="AO1785" s="417">
        <v>13.94</v>
      </c>
      <c r="AP1785" s="417">
        <v>-0.49</v>
      </c>
      <c r="AQ1785" s="244" t="s">
        <v>6311</v>
      </c>
      <c r="AR1785" s="244" t="s">
        <v>6311</v>
      </c>
      <c r="AS1785" s="241" t="s">
        <v>6</v>
      </c>
      <c r="AT1785" s="39" t="s">
        <v>266</v>
      </c>
      <c r="AU1785" s="37">
        <v>2</v>
      </c>
      <c r="AV1785" s="37">
        <v>48</v>
      </c>
      <c r="AW1785" s="37">
        <v>48</v>
      </c>
      <c r="AX1785" s="37">
        <v>26</v>
      </c>
      <c r="AY1785" s="37" t="s">
        <v>647</v>
      </c>
      <c r="AZ1785" s="37" t="s">
        <v>1920</v>
      </c>
      <c r="BA1785" s="37">
        <v>10</v>
      </c>
      <c r="BB1785" s="36" t="s">
        <v>1613</v>
      </c>
      <c r="BC1785" s="36" t="s">
        <v>538</v>
      </c>
      <c r="BD1785" s="36"/>
      <c r="BE1785" s="37" t="s">
        <v>271</v>
      </c>
      <c r="BF1785" s="37" t="s">
        <v>272</v>
      </c>
      <c r="BG1785" s="37" t="s">
        <v>272</v>
      </c>
      <c r="BH1785" s="37" t="s">
        <v>272</v>
      </c>
      <c r="BI1785" s="243" t="s">
        <v>8722</v>
      </c>
      <c r="BJ1785" s="243" t="s">
        <v>8722</v>
      </c>
      <c r="BK1785" s="37"/>
      <c r="BL1785" s="243">
        <f t="shared" si="517"/>
        <v>0.48986340847787241</v>
      </c>
      <c r="BM1785" s="37" t="s">
        <v>541</v>
      </c>
      <c r="BN1785" s="37"/>
      <c r="BO1785" s="37">
        <v>0.26347999999999999</v>
      </c>
      <c r="BP1785" s="37"/>
      <c r="BQ1785" s="37"/>
      <c r="BR1785" s="37"/>
      <c r="BS1785" s="37"/>
      <c r="BT1785" s="37"/>
      <c r="BU1785" s="246"/>
      <c r="BV1785" s="37"/>
      <c r="BW1785" s="37"/>
      <c r="BX1785" s="37"/>
      <c r="BY1785" s="37"/>
      <c r="BZ1785" s="37"/>
      <c r="CA1785" s="37"/>
      <c r="CB1785" s="37"/>
      <c r="CC1785" s="37"/>
      <c r="CD1785" s="37"/>
      <c r="CE1785" s="37"/>
      <c r="CF1785" s="37"/>
      <c r="CG1785" s="37"/>
      <c r="CH1785" s="37"/>
      <c r="CI1785" s="243">
        <f>MIN(BN1785:CH1785)</f>
        <v>0.26347999999999999</v>
      </c>
      <c r="CJ1785" s="243">
        <f>LOG10(CI1785)</f>
        <v>-0.57925234523052394</v>
      </c>
      <c r="CK1785" s="38" t="s">
        <v>404</v>
      </c>
      <c r="CL1785" s="247">
        <f>BL1785/CI1785</f>
        <v>1.8592052849471399</v>
      </c>
      <c r="CM1785" s="247"/>
      <c r="CN1785" s="247"/>
      <c r="CO1785" s="36"/>
      <c r="CP1785" s="36" t="s">
        <v>1921</v>
      </c>
      <c r="CQ1785" s="241">
        <v>-0.90724781530094856</v>
      </c>
      <c r="CR1785" s="241">
        <f t="shared" si="518"/>
        <v>2.1281168484413437</v>
      </c>
      <c r="CS1785" s="33"/>
      <c r="CT1785" s="33"/>
      <c r="CU1785" s="250">
        <f>X1785/CI1785</f>
        <v>1.7991268567495167</v>
      </c>
      <c r="CV1785" s="337"/>
      <c r="CW1785" s="330">
        <f>IF(CU1785&lt;2,0,1)</f>
        <v>0</v>
      </c>
      <c r="CX1785" s="330"/>
      <c r="CY1785" s="143" t="s">
        <v>5921</v>
      </c>
    </row>
    <row r="1786" spans="1:103" ht="11.25" customHeight="1" x14ac:dyDescent="0.2">
      <c r="A1786" s="72">
        <v>1784</v>
      </c>
      <c r="B1786" s="241">
        <v>857</v>
      </c>
      <c r="C1786" s="32" t="s">
        <v>1923</v>
      </c>
      <c r="D1786" s="32"/>
      <c r="E1786" s="40"/>
      <c r="F1786" s="40" t="s">
        <v>1924</v>
      </c>
      <c r="G1786" s="242">
        <v>298464</v>
      </c>
      <c r="H1786" s="36" t="s">
        <v>1925</v>
      </c>
      <c r="I1786" s="36" t="s">
        <v>1925</v>
      </c>
      <c r="J1786" s="36" t="s">
        <v>1926</v>
      </c>
      <c r="K1786" s="36" t="s">
        <v>1292</v>
      </c>
      <c r="L1786" s="42" t="s">
        <v>279</v>
      </c>
      <c r="M1786" s="36" t="s">
        <v>1927</v>
      </c>
      <c r="N1786" s="36"/>
      <c r="O1786" s="36" t="s">
        <v>281</v>
      </c>
      <c r="P1786" s="41"/>
      <c r="Q1786" s="41"/>
      <c r="R1786" s="41"/>
      <c r="S1786" s="41"/>
      <c r="T1786" s="37">
        <v>236.27</v>
      </c>
      <c r="U1786" s="243">
        <v>0.47403394421636263</v>
      </c>
      <c r="V1786" s="243">
        <v>7.4744995132687175E-2</v>
      </c>
      <c r="W1786" s="243">
        <v>0.33113112148259094</v>
      </c>
      <c r="X1786" s="243">
        <v>0.47403394421636263</v>
      </c>
      <c r="Y1786" s="414">
        <v>7</v>
      </c>
      <c r="Z1786" s="37">
        <v>2.25</v>
      </c>
      <c r="AA1786" s="37">
        <v>2.4500000000000002</v>
      </c>
      <c r="AB1786" s="37">
        <v>2.17</v>
      </c>
      <c r="AC1786" s="37">
        <v>0.88529999999999998</v>
      </c>
      <c r="AD1786" s="37">
        <v>2.2799999999999998</v>
      </c>
      <c r="AE1786" s="37">
        <v>2.67</v>
      </c>
      <c r="AF1786" s="37">
        <f t="shared" si="513"/>
        <v>2.4500000000000002</v>
      </c>
      <c r="AG1786" s="38">
        <v>2.52</v>
      </c>
      <c r="AH1786" s="243">
        <v>1.08E-10</v>
      </c>
      <c r="AI1786" s="243"/>
      <c r="AJ1786" s="34">
        <f t="shared" si="516"/>
        <v>-8.3551425708257021</v>
      </c>
      <c r="AK1786" s="34"/>
      <c r="AL1786" s="34">
        <f t="shared" si="515"/>
        <v>-8.3551425708257021</v>
      </c>
      <c r="AM1786" s="34">
        <v>-14.371929999999999</v>
      </c>
      <c r="AN1786" s="244">
        <v>-9.82</v>
      </c>
      <c r="AO1786" s="417">
        <v>13.94</v>
      </c>
      <c r="AP1786" s="417">
        <v>-0.49</v>
      </c>
      <c r="AQ1786" s="244" t="s">
        <v>6311</v>
      </c>
      <c r="AR1786" s="244" t="s">
        <v>6311</v>
      </c>
      <c r="AS1786" s="241" t="s">
        <v>6</v>
      </c>
      <c r="AT1786" s="39" t="s">
        <v>266</v>
      </c>
      <c r="AU1786" s="37">
        <v>2</v>
      </c>
      <c r="AV1786" s="37">
        <v>72</v>
      </c>
      <c r="AW1786" s="37">
        <v>72</v>
      </c>
      <c r="AX1786" s="37">
        <v>26</v>
      </c>
      <c r="AY1786" s="37" t="s">
        <v>8722</v>
      </c>
      <c r="AZ1786" s="37" t="s">
        <v>536</v>
      </c>
      <c r="BA1786" s="37">
        <v>20</v>
      </c>
      <c r="BB1786" s="36" t="s">
        <v>1764</v>
      </c>
      <c r="BC1786" s="36" t="s">
        <v>2064</v>
      </c>
      <c r="BD1786" s="36"/>
      <c r="BE1786" s="37" t="s">
        <v>271</v>
      </c>
      <c r="BF1786" s="37" t="s">
        <v>2065</v>
      </c>
      <c r="BG1786" s="37">
        <v>7.8</v>
      </c>
      <c r="BH1786" s="37" t="s">
        <v>272</v>
      </c>
      <c r="BI1786" s="248">
        <v>5.2903335026240055E-2</v>
      </c>
      <c r="BJ1786" s="248">
        <v>0.84645336041984087</v>
      </c>
      <c r="BK1786" s="37" t="s">
        <v>2066</v>
      </c>
      <c r="BL1786" s="243">
        <f t="shared" si="517"/>
        <v>0.48986340847787241</v>
      </c>
      <c r="BM1786" s="37" t="s">
        <v>1552</v>
      </c>
      <c r="BN1786" s="37"/>
      <c r="BO1786" s="37"/>
      <c r="BP1786" s="37"/>
      <c r="BQ1786" s="37"/>
      <c r="BR1786" s="37"/>
      <c r="BS1786" s="37"/>
      <c r="BT1786" s="37"/>
      <c r="BU1786" s="246"/>
      <c r="BV1786" s="37"/>
      <c r="BW1786" s="37"/>
      <c r="BX1786" s="37"/>
      <c r="BY1786" s="37"/>
      <c r="BZ1786" s="37"/>
      <c r="CA1786" s="37"/>
      <c r="CB1786" s="37"/>
      <c r="CC1786" s="37"/>
      <c r="CD1786" s="37"/>
      <c r="CE1786" s="37"/>
      <c r="CF1786" s="37"/>
      <c r="CG1786" s="37"/>
      <c r="CH1786" s="37"/>
      <c r="CI1786" s="243"/>
      <c r="CJ1786" s="243"/>
      <c r="CK1786" s="38">
        <f>BL1786/BJ1786</f>
        <v>0.57872463077575842</v>
      </c>
      <c r="CL1786" s="247"/>
      <c r="CM1786" s="247"/>
      <c r="CN1786" s="247"/>
      <c r="CO1786" s="36"/>
      <c r="CP1786" s="36" t="s">
        <v>2067</v>
      </c>
      <c r="CQ1786" s="241">
        <v>-0.90724781530094856</v>
      </c>
      <c r="CR1786" s="241">
        <f t="shared" si="518"/>
        <v>8.0769578276960097</v>
      </c>
      <c r="CS1786" s="33"/>
      <c r="CT1786" s="33" t="s">
        <v>6310</v>
      </c>
      <c r="CU1786" s="250"/>
      <c r="CV1786" s="337">
        <f>X1786/BJ1786</f>
        <v>0.56002370169721083</v>
      </c>
      <c r="CW1786" s="330">
        <f>IF(CV1786&lt;1,0,1)</f>
        <v>0</v>
      </c>
      <c r="CX1786" s="330" t="s">
        <v>539</v>
      </c>
      <c r="CY1786" s="143" t="s">
        <v>5921</v>
      </c>
    </row>
    <row r="1787" spans="1:103" ht="11.25" customHeight="1" x14ac:dyDescent="0.2">
      <c r="A1787" s="72">
        <v>1785</v>
      </c>
      <c r="B1787" s="241">
        <v>855</v>
      </c>
      <c r="C1787" s="32" t="s">
        <v>1923</v>
      </c>
      <c r="D1787" s="32"/>
      <c r="E1787" s="40"/>
      <c r="F1787" s="40" t="s">
        <v>1924</v>
      </c>
      <c r="G1787" s="242">
        <v>298464</v>
      </c>
      <c r="H1787" s="36" t="s">
        <v>1925</v>
      </c>
      <c r="I1787" s="36" t="s">
        <v>1925</v>
      </c>
      <c r="J1787" s="36" t="s">
        <v>1926</v>
      </c>
      <c r="K1787" s="36" t="s">
        <v>1292</v>
      </c>
      <c r="L1787" s="42" t="s">
        <v>279</v>
      </c>
      <c r="M1787" s="36" t="s">
        <v>1927</v>
      </c>
      <c r="N1787" s="36"/>
      <c r="O1787" s="36" t="s">
        <v>281</v>
      </c>
      <c r="P1787" s="41"/>
      <c r="Q1787" s="41"/>
      <c r="R1787" s="41"/>
      <c r="S1787" s="41"/>
      <c r="T1787" s="37">
        <v>236.27</v>
      </c>
      <c r="U1787" s="243">
        <v>0.47403394421636263</v>
      </c>
      <c r="V1787" s="243">
        <v>7.4744995132687175E-2</v>
      </c>
      <c r="W1787" s="243">
        <v>0.33113112148259094</v>
      </c>
      <c r="X1787" s="243">
        <v>0.47403394421636263</v>
      </c>
      <c r="Y1787" s="414">
        <v>7</v>
      </c>
      <c r="Z1787" s="37">
        <v>2.25</v>
      </c>
      <c r="AA1787" s="37">
        <v>2.4500000000000002</v>
      </c>
      <c r="AB1787" s="37">
        <v>2.17</v>
      </c>
      <c r="AC1787" s="37">
        <v>0.88529999999999998</v>
      </c>
      <c r="AD1787" s="37">
        <v>2.2799999999999998</v>
      </c>
      <c r="AE1787" s="37">
        <v>2.67</v>
      </c>
      <c r="AF1787" s="37">
        <f t="shared" si="513"/>
        <v>2.4500000000000002</v>
      </c>
      <c r="AG1787" s="38">
        <v>2.52</v>
      </c>
      <c r="AH1787" s="243">
        <v>1.08E-10</v>
      </c>
      <c r="AI1787" s="243"/>
      <c r="AJ1787" s="34">
        <f t="shared" si="516"/>
        <v>-8.3551425708257021</v>
      </c>
      <c r="AK1787" s="34"/>
      <c r="AL1787" s="34">
        <f t="shared" si="515"/>
        <v>-8.3551425708257021</v>
      </c>
      <c r="AM1787" s="34">
        <v>-14.371929999999999</v>
      </c>
      <c r="AN1787" s="244">
        <v>-9.82</v>
      </c>
      <c r="AO1787" s="417">
        <v>13.94</v>
      </c>
      <c r="AP1787" s="417">
        <v>-0.49</v>
      </c>
      <c r="AQ1787" s="244" t="s">
        <v>6311</v>
      </c>
      <c r="AR1787" s="244" t="s">
        <v>6311</v>
      </c>
      <c r="AS1787" s="241" t="s">
        <v>6</v>
      </c>
      <c r="AT1787" s="39" t="s">
        <v>266</v>
      </c>
      <c r="AU1787" s="37">
        <v>2</v>
      </c>
      <c r="AV1787" s="37">
        <v>72</v>
      </c>
      <c r="AW1787" s="37">
        <v>72</v>
      </c>
      <c r="AX1787" s="37">
        <v>26</v>
      </c>
      <c r="AY1787" s="37" t="s">
        <v>647</v>
      </c>
      <c r="AZ1787" s="37" t="s">
        <v>536</v>
      </c>
      <c r="BA1787" s="37" t="s">
        <v>8723</v>
      </c>
      <c r="BB1787" s="36" t="s">
        <v>1644</v>
      </c>
      <c r="BC1787" s="36" t="s">
        <v>2019</v>
      </c>
      <c r="BD1787" s="36" t="s">
        <v>8374</v>
      </c>
      <c r="BE1787" s="37" t="s">
        <v>649</v>
      </c>
      <c r="BF1787" s="37" t="s">
        <v>272</v>
      </c>
      <c r="BG1787" s="37" t="s">
        <v>272</v>
      </c>
      <c r="BH1787" s="37" t="s">
        <v>272</v>
      </c>
      <c r="BI1787" s="243">
        <v>3.125E-2</v>
      </c>
      <c r="BJ1787" s="243">
        <v>0.5</v>
      </c>
      <c r="BK1787" s="37"/>
      <c r="BL1787" s="243">
        <f t="shared" si="517"/>
        <v>0.48986340847787241</v>
      </c>
      <c r="BM1787" s="37" t="s">
        <v>541</v>
      </c>
      <c r="BN1787" s="37"/>
      <c r="BO1787" s="37"/>
      <c r="BP1787" s="37"/>
      <c r="BQ1787" s="37"/>
      <c r="BR1787" s="37"/>
      <c r="BS1787" s="37"/>
      <c r="BT1787" s="37"/>
      <c r="BU1787" s="246"/>
      <c r="BV1787" s="37"/>
      <c r="BW1787" s="37"/>
      <c r="BX1787" s="37"/>
      <c r="BY1787" s="37"/>
      <c r="BZ1787" s="37"/>
      <c r="CA1787" s="37"/>
      <c r="CB1787" s="37"/>
      <c r="CC1787" s="37"/>
      <c r="CD1787" s="37"/>
      <c r="CE1787" s="37"/>
      <c r="CF1787" s="37"/>
      <c r="CG1787" s="37"/>
      <c r="CH1787" s="37"/>
      <c r="CI1787" s="243"/>
      <c r="CJ1787" s="243"/>
      <c r="CK1787" s="38">
        <f>BL1787/BJ1787</f>
        <v>0.97972681695574482</v>
      </c>
      <c r="CL1787" s="247"/>
      <c r="CM1787" s="247"/>
      <c r="CN1787" s="247"/>
      <c r="CO1787" s="36" t="s">
        <v>4073</v>
      </c>
      <c r="CP1787" s="36" t="s">
        <v>2021</v>
      </c>
      <c r="CQ1787" s="241">
        <v>-0.90724781530094856</v>
      </c>
      <c r="CR1787" s="241">
        <f t="shared" si="518"/>
        <v>8.0769578276960097</v>
      </c>
      <c r="CS1787" s="271"/>
      <c r="CT1787" s="271"/>
      <c r="CU1787" s="250"/>
      <c r="CV1787" s="337">
        <f>X1787/BJ1787</f>
        <v>0.94806788843272527</v>
      </c>
      <c r="CW1787" s="330">
        <f>IF(CV1787&lt;1,0,1)</f>
        <v>0</v>
      </c>
      <c r="CX1787" s="330"/>
      <c r="CY1787" s="143" t="s">
        <v>5921</v>
      </c>
    </row>
    <row r="1788" spans="1:103" ht="11.25" customHeight="1" x14ac:dyDescent="0.2">
      <c r="A1788" s="72">
        <v>1786</v>
      </c>
      <c r="B1788" s="241">
        <v>99</v>
      </c>
      <c r="C1788" s="32" t="s">
        <v>6782</v>
      </c>
      <c r="D1788" s="32"/>
      <c r="E1788" s="40"/>
      <c r="F1788" s="40" t="s">
        <v>661</v>
      </c>
      <c r="G1788" s="242">
        <v>302794</v>
      </c>
      <c r="H1788" s="36" t="s">
        <v>662</v>
      </c>
      <c r="I1788" s="36" t="s">
        <v>662</v>
      </c>
      <c r="J1788" s="36" t="s">
        <v>663</v>
      </c>
      <c r="K1788" s="36" t="s">
        <v>426</v>
      </c>
      <c r="L1788" s="42" t="s">
        <v>279</v>
      </c>
      <c r="M1788" s="36" t="s">
        <v>664</v>
      </c>
      <c r="N1788" s="36"/>
      <c r="O1788" s="36" t="s">
        <v>281</v>
      </c>
      <c r="P1788" s="41"/>
      <c r="Q1788" s="41"/>
      <c r="R1788" s="41"/>
      <c r="S1788" s="41"/>
      <c r="T1788" s="37">
        <v>300.44</v>
      </c>
      <c r="U1788" s="243"/>
      <c r="V1788" s="243">
        <v>4.2038343762481695E-4</v>
      </c>
      <c r="W1788" s="243">
        <v>4.8977881936844637E-2</v>
      </c>
      <c r="X1788" s="243">
        <f>IF(W1788=0,V1788,W1788)</f>
        <v>4.8977881936844637E-2</v>
      </c>
      <c r="Y1788" s="414">
        <v>4.6500000000000004</v>
      </c>
      <c r="Z1788" s="37">
        <v>7.85</v>
      </c>
      <c r="AA1788" s="37">
        <v>6.3</v>
      </c>
      <c r="AB1788" s="37">
        <v>5.52</v>
      </c>
      <c r="AC1788" s="37">
        <v>0.80679999999999996</v>
      </c>
      <c r="AD1788" s="37">
        <v>5.9</v>
      </c>
      <c r="AE1788" s="37">
        <v>6.83</v>
      </c>
      <c r="AF1788" s="37">
        <f t="shared" si="513"/>
        <v>6.3</v>
      </c>
      <c r="AG1788" s="38">
        <v>5.9</v>
      </c>
      <c r="AH1788" s="243">
        <v>9.5000000000000005E-6</v>
      </c>
      <c r="AI1788" s="243"/>
      <c r="AJ1788" s="34">
        <f t="shared" si="516"/>
        <v>-3.4108427210238039</v>
      </c>
      <c r="AK1788" s="34"/>
      <c r="AL1788" s="34">
        <f t="shared" si="515"/>
        <v>-3.4108427210238039</v>
      </c>
      <c r="AM1788" s="34">
        <v>-10.49797</v>
      </c>
      <c r="AN1788" s="244">
        <v>-7.02</v>
      </c>
      <c r="AO1788" s="417">
        <v>4.7300000000000004</v>
      </c>
      <c r="AP1788" s="417"/>
      <c r="AQ1788" s="244" t="s">
        <v>6311</v>
      </c>
      <c r="AR1788" s="244" t="s">
        <v>6311</v>
      </c>
      <c r="AS1788" s="241" t="s">
        <v>6</v>
      </c>
      <c r="AT1788" s="39" t="s">
        <v>266</v>
      </c>
      <c r="AU1788" s="37">
        <v>0</v>
      </c>
      <c r="AV1788" s="37" t="s">
        <v>646</v>
      </c>
      <c r="AW1788" s="37" t="s">
        <v>646</v>
      </c>
      <c r="AX1788" s="37">
        <v>26</v>
      </c>
      <c r="AY1788" s="37" t="s">
        <v>647</v>
      </c>
      <c r="AZ1788" s="37" t="s">
        <v>536</v>
      </c>
      <c r="BA1788" s="37">
        <v>20</v>
      </c>
      <c r="BB1788" s="36" t="s">
        <v>537</v>
      </c>
      <c r="BC1788" s="36" t="s">
        <v>648</v>
      </c>
      <c r="BD1788" s="36"/>
      <c r="BE1788" s="245" t="s">
        <v>649</v>
      </c>
      <c r="BF1788" s="245" t="s">
        <v>650</v>
      </c>
      <c r="BG1788" s="245" t="s">
        <v>540</v>
      </c>
      <c r="BH1788" s="245" t="s">
        <v>272</v>
      </c>
      <c r="BI1788" s="243">
        <v>2.0799999999999998E-3</v>
      </c>
      <c r="BJ1788" s="243">
        <v>3.3285000000000002E-2</v>
      </c>
      <c r="BK1788" s="37"/>
      <c r="BL1788" s="243">
        <f t="shared" si="517"/>
        <v>4.5784133579813217E-6</v>
      </c>
      <c r="BM1788" s="37" t="s">
        <v>541</v>
      </c>
      <c r="BN1788" s="37"/>
      <c r="BO1788" s="37">
        <v>3.5999999999999999E-3</v>
      </c>
      <c r="BP1788" s="37"/>
      <c r="BQ1788" s="37"/>
      <c r="BR1788" s="37"/>
      <c r="BS1788" s="37"/>
      <c r="BT1788" s="37"/>
      <c r="BU1788" s="246"/>
      <c r="BV1788" s="37"/>
      <c r="BW1788" s="37"/>
      <c r="BX1788" s="37"/>
      <c r="BY1788" s="37"/>
      <c r="BZ1788" s="37"/>
      <c r="CA1788" s="37"/>
      <c r="CB1788" s="37"/>
      <c r="CC1788" s="37"/>
      <c r="CD1788" s="37"/>
      <c r="CE1788" s="37"/>
      <c r="CF1788" s="37"/>
      <c r="CG1788" s="37"/>
      <c r="CH1788" s="37"/>
      <c r="CI1788" s="243">
        <f>MIN(BN1788:CH1788)</f>
        <v>3.5999999999999999E-3</v>
      </c>
      <c r="CJ1788" s="243">
        <f>LOG10(CI1788)</f>
        <v>-2.4436974992327127</v>
      </c>
      <c r="CK1788" s="38">
        <f>BL1788/BJ1788</f>
        <v>1.375518509232784E-4</v>
      </c>
      <c r="CL1788" s="247">
        <f>BL1788/CI1788</f>
        <v>1.2717814883281449E-3</v>
      </c>
      <c r="CM1788" s="247"/>
      <c r="CN1788" s="247"/>
      <c r="CO1788" s="36"/>
      <c r="CP1788" s="36" t="s">
        <v>651</v>
      </c>
      <c r="CQ1788" s="241" t="s">
        <v>272</v>
      </c>
      <c r="CR1788" s="241"/>
      <c r="CS1788" s="33"/>
      <c r="CT1788" s="33"/>
      <c r="CU1788" s="250">
        <f>X1788/CI1788</f>
        <v>13.604967204679067</v>
      </c>
      <c r="CV1788" s="337">
        <f>X1788/BJ1788</f>
        <v>1.4714700897354553</v>
      </c>
      <c r="CW1788" s="330">
        <f>IF(CU1788&lt;2,0,1)</f>
        <v>1</v>
      </c>
      <c r="CX1788" s="330"/>
      <c r="CY1788" s="143" t="s">
        <v>5921</v>
      </c>
    </row>
    <row r="1789" spans="1:103" ht="11.25" customHeight="1" x14ac:dyDescent="0.2">
      <c r="A1789" s="72">
        <v>1787</v>
      </c>
      <c r="B1789" s="241">
        <v>2124</v>
      </c>
      <c r="C1789" s="32" t="s">
        <v>7687</v>
      </c>
      <c r="D1789" s="32"/>
      <c r="E1789" s="40"/>
      <c r="F1789" s="40" t="s">
        <v>5827</v>
      </c>
      <c r="G1789" s="242">
        <v>311455</v>
      </c>
      <c r="H1789" s="41" t="s">
        <v>5828</v>
      </c>
      <c r="I1789" s="41" t="s">
        <v>5828</v>
      </c>
      <c r="J1789" s="41" t="s">
        <v>5829</v>
      </c>
      <c r="K1789" s="41" t="s">
        <v>637</v>
      </c>
      <c r="L1789" s="41"/>
      <c r="M1789" s="41"/>
      <c r="N1789" s="36"/>
      <c r="O1789" s="41"/>
      <c r="P1789" s="41"/>
      <c r="Q1789" s="41"/>
      <c r="R1789" s="41"/>
      <c r="S1789" s="41"/>
      <c r="T1789" s="33">
        <v>275.2</v>
      </c>
      <c r="U1789" s="250">
        <v>13.226744186046512</v>
      </c>
      <c r="V1789" s="250">
        <v>0.51489825581395343</v>
      </c>
      <c r="W1789" s="250">
        <v>3.090295432513591</v>
      </c>
      <c r="X1789" s="250">
        <v>13.226744186046512</v>
      </c>
      <c r="Y1789" s="415">
        <v>7</v>
      </c>
      <c r="Z1789" s="33">
        <v>1.97</v>
      </c>
      <c r="AA1789" s="33">
        <v>1.98</v>
      </c>
      <c r="AB1789" s="33">
        <v>1.82</v>
      </c>
      <c r="AC1789" s="33">
        <v>0.87560000000000004</v>
      </c>
      <c r="AD1789" s="33">
        <v>1.94</v>
      </c>
      <c r="AE1789" s="33">
        <v>2.31</v>
      </c>
      <c r="AF1789" s="33">
        <f t="shared" si="513"/>
        <v>1.98</v>
      </c>
      <c r="AG1789" s="34">
        <v>1.94</v>
      </c>
      <c r="AH1789" s="250">
        <v>6.4099999999999996E-10</v>
      </c>
      <c r="AI1789" s="250">
        <v>1.09E-10</v>
      </c>
      <c r="AJ1789" s="34">
        <f t="shared" si="516"/>
        <v>-7.5817082967938347</v>
      </c>
      <c r="AK1789" s="34">
        <f>LOG10(AI1789*1000/(0.08206*298.15))</f>
        <v>-8.3511398283720286</v>
      </c>
      <c r="AL1789" s="34">
        <f t="shared" si="515"/>
        <v>-8.3511398283720286</v>
      </c>
      <c r="AM1789" s="34">
        <v>-13.123759999999999</v>
      </c>
      <c r="AN1789" s="251"/>
      <c r="AO1789" s="417"/>
      <c r="AP1789" s="417"/>
      <c r="AQ1789" s="251" t="s">
        <v>6314</v>
      </c>
      <c r="AR1789" s="251" t="s">
        <v>6314</v>
      </c>
      <c r="AS1789" s="252" t="s">
        <v>5466</v>
      </c>
      <c r="AT1789" s="35" t="s">
        <v>266</v>
      </c>
      <c r="AU1789" s="33">
        <v>5</v>
      </c>
      <c r="AV1789" s="33">
        <v>25</v>
      </c>
      <c r="AW1789" s="33">
        <v>20</v>
      </c>
      <c r="AX1789" s="33">
        <v>28</v>
      </c>
      <c r="AY1789" s="33" t="s">
        <v>267</v>
      </c>
      <c r="AZ1789" s="33" t="s">
        <v>5820</v>
      </c>
      <c r="BA1789" s="33"/>
      <c r="BB1789" s="41" t="s">
        <v>5821</v>
      </c>
      <c r="BC1789" s="41" t="s">
        <v>8377</v>
      </c>
      <c r="BD1789" s="41"/>
      <c r="BE1789" s="33" t="s">
        <v>2449</v>
      </c>
      <c r="BF1789" s="33"/>
      <c r="BG1789" s="33"/>
      <c r="BH1789" s="33" t="s">
        <v>5626</v>
      </c>
      <c r="BI1789" s="250"/>
      <c r="BJ1789" s="250">
        <v>0.05</v>
      </c>
      <c r="BK1789" s="254"/>
      <c r="BL1789" s="250">
        <f t="shared" si="517"/>
        <v>0.87406353034959505</v>
      </c>
      <c r="BM1789" s="33"/>
      <c r="BN1789" s="33" t="s">
        <v>5822</v>
      </c>
      <c r="BO1789" s="33"/>
      <c r="BP1789" s="33"/>
      <c r="BQ1789" s="33"/>
      <c r="BR1789" s="33"/>
      <c r="BS1789" s="33"/>
      <c r="BT1789" s="33"/>
      <c r="BU1789" s="246"/>
      <c r="BV1789" s="33"/>
      <c r="BW1789" s="33"/>
      <c r="BX1789" s="33"/>
      <c r="BY1789" s="33"/>
      <c r="BZ1789" s="33"/>
      <c r="CA1789" s="33"/>
      <c r="CB1789" s="33"/>
      <c r="CC1789" s="33"/>
      <c r="CD1789" s="33"/>
      <c r="CE1789" s="33"/>
      <c r="CF1789" s="33"/>
      <c r="CG1789" s="33"/>
      <c r="CH1789" s="33"/>
      <c r="CI1789" s="250"/>
      <c r="CJ1789" s="243"/>
      <c r="CK1789" s="38">
        <f>BL1789/BJ1789</f>
        <v>17.481270606991899</v>
      </c>
      <c r="CL1789" s="247"/>
      <c r="CM1789" s="247"/>
      <c r="CN1789" s="247"/>
      <c r="CO1789" s="41"/>
      <c r="CP1789" s="255" t="s">
        <v>8376</v>
      </c>
      <c r="CQ1789" s="241">
        <v>-2.981421455288511</v>
      </c>
      <c r="CR1789" s="241">
        <f>10^(CJ1789-CQ1789)</f>
        <v>958.1234183801613</v>
      </c>
      <c r="CS1789" s="33"/>
      <c r="CT1789" s="33"/>
      <c r="CU1789" s="250"/>
      <c r="CV1789" s="337">
        <f>X1789/BJ1789</f>
        <v>264.53488372093022</v>
      </c>
      <c r="CW1789" s="330">
        <f>IF(CV1789&lt;1,0,1)</f>
        <v>1</v>
      </c>
      <c r="CX1789" s="330"/>
      <c r="CY1789" s="143" t="s">
        <v>5921</v>
      </c>
    </row>
    <row r="1790" spans="1:103" ht="11.25" customHeight="1" x14ac:dyDescent="0.2">
      <c r="A1790" s="72">
        <v>1788</v>
      </c>
      <c r="B1790" s="241">
        <v>2022</v>
      </c>
      <c r="C1790" s="32" t="s">
        <v>1087</v>
      </c>
      <c r="D1790" s="32"/>
      <c r="E1790" s="40"/>
      <c r="F1790" s="249" t="s">
        <v>1088</v>
      </c>
      <c r="G1790" s="242">
        <v>333415</v>
      </c>
      <c r="H1790" s="41" t="s">
        <v>1089</v>
      </c>
      <c r="I1790" s="41" t="s">
        <v>1089</v>
      </c>
      <c r="J1790" s="41" t="s">
        <v>1090</v>
      </c>
      <c r="K1790" s="41" t="s">
        <v>628</v>
      </c>
      <c r="L1790" s="41" t="s">
        <v>617</v>
      </c>
      <c r="M1790" s="41" t="s">
        <v>946</v>
      </c>
      <c r="N1790" s="36" t="s">
        <v>6376</v>
      </c>
      <c r="O1790" s="41" t="s">
        <v>918</v>
      </c>
      <c r="P1790" s="41" t="s">
        <v>6178</v>
      </c>
      <c r="Q1790" s="41" t="s">
        <v>6173</v>
      </c>
      <c r="R1790" s="41" t="s">
        <v>6177</v>
      </c>
      <c r="S1790" s="41" t="s">
        <v>6176</v>
      </c>
      <c r="T1790" s="33">
        <v>304.35000000000002</v>
      </c>
      <c r="U1790" s="250">
        <v>0.1314276326597667</v>
      </c>
      <c r="V1790" s="250">
        <v>2.1212419911286348E-2</v>
      </c>
      <c r="W1790" s="250">
        <v>5.370317963702527E-2</v>
      </c>
      <c r="X1790" s="250">
        <v>0.1314276326597667</v>
      </c>
      <c r="Y1790" s="415">
        <v>7</v>
      </c>
      <c r="Z1790" s="33">
        <v>3.86</v>
      </c>
      <c r="AA1790" s="33">
        <v>3.81</v>
      </c>
      <c r="AB1790" s="33">
        <v>3.79</v>
      </c>
      <c r="AC1790" s="33">
        <v>0.7823</v>
      </c>
      <c r="AD1790" s="33">
        <v>3.8</v>
      </c>
      <c r="AE1790" s="33">
        <v>3.81</v>
      </c>
      <c r="AF1790" s="33">
        <f t="shared" si="513"/>
        <v>3.81</v>
      </c>
      <c r="AG1790" s="34">
        <v>4.32</v>
      </c>
      <c r="AH1790" s="250">
        <v>8.7299999999999994E-8</v>
      </c>
      <c r="AI1790" s="250">
        <v>1.1300000000000001E-7</v>
      </c>
      <c r="AJ1790" s="34">
        <f t="shared" si="516"/>
        <v>-5.447552082607082</v>
      </c>
      <c r="AK1790" s="34">
        <f>LOG10(AI1790*1000/(0.08206*298.15))</f>
        <v>-5.3354878828292325</v>
      </c>
      <c r="AL1790" s="34">
        <f t="shared" si="515"/>
        <v>-5.3354878828292325</v>
      </c>
      <c r="AM1790" s="34">
        <v>-11.566619999999999</v>
      </c>
      <c r="AN1790" s="251">
        <v>-2.7926000000000002</v>
      </c>
      <c r="AO1790" s="417"/>
      <c r="AP1790" s="417">
        <v>1.21</v>
      </c>
      <c r="AQ1790" s="251" t="s">
        <v>6312</v>
      </c>
      <c r="AR1790" s="251" t="s">
        <v>6312</v>
      </c>
      <c r="AS1790" s="252" t="s">
        <v>5466</v>
      </c>
      <c r="AT1790" s="35" t="s">
        <v>266</v>
      </c>
      <c r="AU1790" s="33">
        <v>0</v>
      </c>
      <c r="AV1790" s="33">
        <v>144</v>
      </c>
      <c r="AW1790" s="33" t="s">
        <v>5584</v>
      </c>
      <c r="AX1790" s="33">
        <v>26</v>
      </c>
      <c r="AY1790" s="253">
        <v>0.5083333333333333</v>
      </c>
      <c r="AZ1790" s="33" t="s">
        <v>1584</v>
      </c>
      <c r="BA1790" s="33">
        <v>10</v>
      </c>
      <c r="BB1790" s="41" t="s">
        <v>6229</v>
      </c>
      <c r="BC1790" s="41" t="s">
        <v>6227</v>
      </c>
      <c r="BD1790" s="41"/>
      <c r="BE1790" s="33" t="s">
        <v>2449</v>
      </c>
      <c r="BF1790" s="33" t="s">
        <v>6203</v>
      </c>
      <c r="BG1790" s="33" t="s">
        <v>6203</v>
      </c>
      <c r="BH1790" s="33"/>
      <c r="BI1790" s="250">
        <v>3.2856908164941679E-4</v>
      </c>
      <c r="BJ1790" s="250">
        <v>9.857072449482503E-3</v>
      </c>
      <c r="BK1790" s="254"/>
      <c r="BL1790" s="250">
        <f t="shared" si="517"/>
        <v>1.7544217388550231E-2</v>
      </c>
      <c r="BM1790" s="33">
        <v>0</v>
      </c>
      <c r="BN1790" s="33"/>
      <c r="BO1790" s="33"/>
      <c r="BP1790" s="33"/>
      <c r="BQ1790" s="33"/>
      <c r="BR1790" s="33"/>
      <c r="BS1790" s="33"/>
      <c r="BT1790" s="33">
        <v>1.6400000000000001E-2</v>
      </c>
      <c r="BU1790" s="246"/>
      <c r="BV1790" s="33"/>
      <c r="BW1790" s="33"/>
      <c r="BX1790" s="33"/>
      <c r="BY1790" s="33"/>
      <c r="BZ1790" s="33"/>
      <c r="CA1790" s="33"/>
      <c r="CB1790" s="33"/>
      <c r="CC1790" s="33"/>
      <c r="CD1790" s="33"/>
      <c r="CE1790" s="33"/>
      <c r="CF1790" s="33"/>
      <c r="CG1790" s="33"/>
      <c r="CH1790" s="33"/>
      <c r="CI1790" s="250">
        <f>MIN(BN1790:CH1790)</f>
        <v>1.6400000000000001E-2</v>
      </c>
      <c r="CJ1790" s="243">
        <f>LOG10(CI1790)</f>
        <v>-1.785156151952302</v>
      </c>
      <c r="CK1790" s="38">
        <f>BL1790/BJ1790</f>
        <v>1.7798608540684211</v>
      </c>
      <c r="CL1790" s="247">
        <f>BL1790/CI1790</f>
        <v>1.0697693529603798</v>
      </c>
      <c r="CM1790" s="247">
        <v>-3.2351961258107615</v>
      </c>
      <c r="CN1790" s="247">
        <f>BJ1790/(10^CM1790)</f>
        <v>16.941196289275712</v>
      </c>
      <c r="CO1790" s="41"/>
      <c r="CP1790" s="41" t="s">
        <v>6198</v>
      </c>
      <c r="CQ1790" s="241">
        <v>-2.4603145290714736</v>
      </c>
      <c r="CR1790" s="241">
        <f>10^(CJ1790-CQ1790)</f>
        <v>4.7332383771134232</v>
      </c>
      <c r="CS1790" s="33"/>
      <c r="CT1790" s="33"/>
      <c r="CU1790" s="250">
        <f>X1790/CI1790</f>
        <v>8.0138800402296759</v>
      </c>
      <c r="CV1790" s="337">
        <f>X1790/BJ1790</f>
        <v>13.333333333333332</v>
      </c>
      <c r="CW1790" s="330">
        <f>IF(CU1790&lt;2,0,1)</f>
        <v>1</v>
      </c>
      <c r="CX1790" s="330"/>
      <c r="CY1790" s="143" t="s">
        <v>5921</v>
      </c>
    </row>
    <row r="1791" spans="1:103" ht="11.25" customHeight="1" x14ac:dyDescent="0.2">
      <c r="A1791" s="72">
        <v>1789</v>
      </c>
      <c r="B1791" s="241">
        <v>2068</v>
      </c>
      <c r="C1791" s="32" t="s">
        <v>7688</v>
      </c>
      <c r="D1791" s="32"/>
      <c r="E1791" s="40"/>
      <c r="F1791" s="40" t="s">
        <v>1088</v>
      </c>
      <c r="G1791" s="242">
        <v>333415</v>
      </c>
      <c r="H1791" s="41" t="s">
        <v>1089</v>
      </c>
      <c r="I1791" s="41" t="s">
        <v>1089</v>
      </c>
      <c r="J1791" s="41" t="s">
        <v>1090</v>
      </c>
      <c r="K1791" s="41" t="s">
        <v>628</v>
      </c>
      <c r="L1791" s="41" t="s">
        <v>617</v>
      </c>
      <c r="M1791" s="41" t="s">
        <v>946</v>
      </c>
      <c r="N1791" s="36" t="s">
        <v>6376</v>
      </c>
      <c r="O1791" s="41" t="s">
        <v>918</v>
      </c>
      <c r="P1791" s="41" t="s">
        <v>6178</v>
      </c>
      <c r="Q1791" s="41" t="s">
        <v>6173</v>
      </c>
      <c r="R1791" s="41" t="s">
        <v>6177</v>
      </c>
      <c r="S1791" s="41" t="s">
        <v>6176</v>
      </c>
      <c r="T1791" s="33">
        <v>304.35000000000002</v>
      </c>
      <c r="U1791" s="250">
        <v>0.1314276326597667</v>
      </c>
      <c r="V1791" s="250">
        <v>2.1212419911286348E-2</v>
      </c>
      <c r="W1791" s="250">
        <v>5.370317963702527E-2</v>
      </c>
      <c r="X1791" s="250">
        <v>0.1314276326597667</v>
      </c>
      <c r="Y1791" s="415">
        <v>7</v>
      </c>
      <c r="Z1791" s="33">
        <v>3.86</v>
      </c>
      <c r="AA1791" s="33">
        <v>3.81</v>
      </c>
      <c r="AB1791" s="33">
        <v>3.79</v>
      </c>
      <c r="AC1791" s="33">
        <v>0.7823</v>
      </c>
      <c r="AD1791" s="33">
        <v>3.8</v>
      </c>
      <c r="AE1791" s="33">
        <v>3.81</v>
      </c>
      <c r="AF1791" s="33">
        <f t="shared" si="513"/>
        <v>3.81</v>
      </c>
      <c r="AG1791" s="34">
        <v>4.32</v>
      </c>
      <c r="AH1791" s="250">
        <v>8.7299999999999994E-8</v>
      </c>
      <c r="AI1791" s="250">
        <v>1.1300000000000001E-7</v>
      </c>
      <c r="AJ1791" s="34">
        <f t="shared" si="516"/>
        <v>-5.447552082607082</v>
      </c>
      <c r="AK1791" s="34">
        <f>LOG10(AI1791*1000/(0.08206*298.15))</f>
        <v>-5.3354878828292325</v>
      </c>
      <c r="AL1791" s="34">
        <f t="shared" si="515"/>
        <v>-5.3354878828292325</v>
      </c>
      <c r="AM1791" s="34">
        <v>-11.566619999999999</v>
      </c>
      <c r="AN1791" s="251">
        <v>-2.7926000000000002</v>
      </c>
      <c r="AO1791" s="417"/>
      <c r="AP1791" s="417">
        <v>1.21</v>
      </c>
      <c r="AQ1791" s="251" t="s">
        <v>6312</v>
      </c>
      <c r="AR1791" s="251" t="s">
        <v>6312</v>
      </c>
      <c r="AS1791" s="252" t="s">
        <v>5466</v>
      </c>
      <c r="AT1791" s="35" t="s">
        <v>266</v>
      </c>
      <c r="AU1791" s="33">
        <v>0</v>
      </c>
      <c r="AV1791" s="33">
        <v>72</v>
      </c>
      <c r="AW1791" s="33">
        <v>72</v>
      </c>
      <c r="AX1791" s="33">
        <v>26</v>
      </c>
      <c r="AY1791" s="33" t="s">
        <v>5670</v>
      </c>
      <c r="AZ1791" s="33" t="s">
        <v>5689</v>
      </c>
      <c r="BA1791" s="33">
        <v>200</v>
      </c>
      <c r="BB1791" s="41" t="s">
        <v>5690</v>
      </c>
      <c r="BC1791" s="41" t="s">
        <v>5494</v>
      </c>
      <c r="BD1791" s="41"/>
      <c r="BE1791" s="33" t="s">
        <v>5598</v>
      </c>
      <c r="BF1791" s="33"/>
      <c r="BG1791" s="33"/>
      <c r="BH1791" s="33" t="s">
        <v>5693</v>
      </c>
      <c r="BI1791" s="250"/>
      <c r="BJ1791" s="250"/>
      <c r="BK1791" s="254" t="s">
        <v>5691</v>
      </c>
      <c r="BL1791" s="250">
        <f t="shared" si="517"/>
        <v>1.7544217388550231E-2</v>
      </c>
      <c r="BM1791" s="33"/>
      <c r="BN1791" s="33"/>
      <c r="BO1791" s="33"/>
      <c r="BP1791" s="33">
        <f>14.7/T1791</f>
        <v>4.8299655002464262E-2</v>
      </c>
      <c r="BQ1791" s="33"/>
      <c r="BR1791" s="33"/>
      <c r="BS1791" s="33"/>
      <c r="BT1791" s="33"/>
      <c r="BU1791" s="246"/>
      <c r="BV1791" s="33"/>
      <c r="BW1791" s="33"/>
      <c r="BX1791" s="33"/>
      <c r="BY1791" s="33"/>
      <c r="BZ1791" s="33"/>
      <c r="CA1791" s="33"/>
      <c r="CB1791" s="33"/>
      <c r="CC1791" s="33"/>
      <c r="CD1791" s="33"/>
      <c r="CE1791" s="33"/>
      <c r="CF1791" s="33"/>
      <c r="CG1791" s="33"/>
      <c r="CH1791" s="33"/>
      <c r="CI1791" s="250">
        <f>MIN(BN1791:CH1791)</f>
        <v>4.8299655002464262E-2</v>
      </c>
      <c r="CJ1791" s="243">
        <f>LOG10(CI1791)</f>
        <v>-1.3160559713408513</v>
      </c>
      <c r="CK1791" s="38" t="s">
        <v>404</v>
      </c>
      <c r="CL1791" s="247">
        <f>BL1791/CI1791</f>
        <v>0.36323690899355532</v>
      </c>
      <c r="CM1791" s="247">
        <v>-3.2351961258107615</v>
      </c>
      <c r="CN1791" s="247"/>
      <c r="CO1791" s="41" t="s">
        <v>5494</v>
      </c>
      <c r="CP1791" s="41" t="s">
        <v>5692</v>
      </c>
      <c r="CQ1791" s="241">
        <v>-2.4603145290714736</v>
      </c>
      <c r="CR1791" s="241">
        <f>10^(CJ1791-CQ1791)</f>
        <v>13.939864674329394</v>
      </c>
      <c r="CS1791" s="33"/>
      <c r="CT1791" s="33" t="s">
        <v>6310</v>
      </c>
      <c r="CU1791" s="250">
        <f>X1791/CI1791</f>
        <v>2.7210884353741496</v>
      </c>
      <c r="CV1791" s="337"/>
      <c r="CW1791" s="330">
        <f>IF(CU1791&lt;2,0,1)</f>
        <v>1</v>
      </c>
      <c r="CX1791" s="330" t="s">
        <v>539</v>
      </c>
      <c r="CY1791" s="143" t="s">
        <v>5921</v>
      </c>
    </row>
    <row r="1792" spans="1:103" ht="11.25" customHeight="1" x14ac:dyDescent="0.2">
      <c r="A1792" s="72">
        <v>1790</v>
      </c>
      <c r="B1792" s="241">
        <v>2068</v>
      </c>
      <c r="C1792" s="32" t="s">
        <v>7688</v>
      </c>
      <c r="D1792" s="32"/>
      <c r="E1792" s="40"/>
      <c r="F1792" s="40" t="s">
        <v>1088</v>
      </c>
      <c r="G1792" s="242">
        <v>333415</v>
      </c>
      <c r="H1792" s="41" t="s">
        <v>1089</v>
      </c>
      <c r="I1792" s="41" t="s">
        <v>1089</v>
      </c>
      <c r="J1792" s="41" t="s">
        <v>1090</v>
      </c>
      <c r="K1792" s="41" t="s">
        <v>628</v>
      </c>
      <c r="L1792" s="41" t="s">
        <v>617</v>
      </c>
      <c r="M1792" s="41" t="s">
        <v>618</v>
      </c>
      <c r="N1792" s="36" t="s">
        <v>6376</v>
      </c>
      <c r="O1792" s="41" t="s">
        <v>918</v>
      </c>
      <c r="P1792" s="41" t="s">
        <v>6178</v>
      </c>
      <c r="Q1792" s="41" t="s">
        <v>6173</v>
      </c>
      <c r="R1792" s="41" t="s">
        <v>6177</v>
      </c>
      <c r="S1792" s="41" t="s">
        <v>6176</v>
      </c>
      <c r="T1792" s="33">
        <v>304.35000000000002</v>
      </c>
      <c r="U1792" s="250">
        <v>0.1314276326597667</v>
      </c>
      <c r="V1792" s="250">
        <v>2.1212419911286348E-2</v>
      </c>
      <c r="W1792" s="250">
        <v>5.370317963702527E-2</v>
      </c>
      <c r="X1792" s="250">
        <v>0.1314276326597667</v>
      </c>
      <c r="Y1792" s="415">
        <v>7</v>
      </c>
      <c r="Z1792" s="34">
        <v>3.86</v>
      </c>
      <c r="AA1792" s="34">
        <v>3.81</v>
      </c>
      <c r="AB1792" s="34">
        <v>3.79</v>
      </c>
      <c r="AC1792" s="34">
        <v>0.7823</v>
      </c>
      <c r="AD1792" s="34">
        <v>3.8</v>
      </c>
      <c r="AE1792" s="34">
        <v>3.81</v>
      </c>
      <c r="AF1792" s="34">
        <f t="shared" si="513"/>
        <v>3.81</v>
      </c>
      <c r="AG1792" s="34">
        <v>4.32</v>
      </c>
      <c r="AH1792" s="250">
        <v>8.7299999999999994E-8</v>
      </c>
      <c r="AI1792" s="250">
        <v>1.1300000000000001E-7</v>
      </c>
      <c r="AJ1792" s="34">
        <f t="shared" si="516"/>
        <v>-5.447552082607082</v>
      </c>
      <c r="AK1792" s="34">
        <f>LOG10(AI1792*1000/(0.08206*298.15))</f>
        <v>-5.3354878828292325</v>
      </c>
      <c r="AL1792" s="34">
        <f t="shared" si="515"/>
        <v>-5.3354878828292325</v>
      </c>
      <c r="AM1792" s="34">
        <v>-11.566619999999999</v>
      </c>
      <c r="AN1792" s="251"/>
      <c r="AO1792" s="417"/>
      <c r="AP1792" s="417">
        <v>1.21</v>
      </c>
      <c r="AQ1792" s="251" t="s">
        <v>6312</v>
      </c>
      <c r="AR1792" s="251" t="s">
        <v>6312</v>
      </c>
      <c r="AS1792" s="252" t="s">
        <v>5466</v>
      </c>
      <c r="AT1792" s="35" t="s">
        <v>266</v>
      </c>
      <c r="AU1792" s="33">
        <v>168</v>
      </c>
      <c r="AV1792" s="33">
        <v>240</v>
      </c>
      <c r="AW1792" s="33">
        <v>72</v>
      </c>
      <c r="AX1792" s="33">
        <v>26</v>
      </c>
      <c r="AY1792" s="33" t="s">
        <v>5670</v>
      </c>
      <c r="AZ1792" s="33" t="s">
        <v>5694</v>
      </c>
      <c r="BA1792" s="33">
        <v>200</v>
      </c>
      <c r="BB1792" s="41" t="s">
        <v>5690</v>
      </c>
      <c r="BC1792" s="41" t="s">
        <v>5494</v>
      </c>
      <c r="BD1792" s="41"/>
      <c r="BE1792" s="33" t="s">
        <v>5598</v>
      </c>
      <c r="BF1792" s="33"/>
      <c r="BG1792" s="33"/>
      <c r="BH1792" s="33" t="s">
        <v>5693</v>
      </c>
      <c r="BI1792" s="250"/>
      <c r="BJ1792" s="250"/>
      <c r="BK1792" s="254" t="s">
        <v>5691</v>
      </c>
      <c r="BL1792" s="250">
        <f t="shared" si="517"/>
        <v>1.7544217388550231E-2</v>
      </c>
      <c r="BM1792" s="33"/>
      <c r="BN1792" s="33"/>
      <c r="BO1792" s="33"/>
      <c r="BP1792" s="33"/>
      <c r="BQ1792" s="33"/>
      <c r="BR1792" s="33"/>
      <c r="BS1792" s="33"/>
      <c r="BT1792" s="33"/>
      <c r="BU1792" s="246"/>
      <c r="BV1792" s="33"/>
      <c r="BW1792" s="33"/>
      <c r="BX1792" s="33"/>
      <c r="BY1792" s="33"/>
      <c r="BZ1792" s="33"/>
      <c r="CA1792" s="33"/>
      <c r="CB1792" s="33"/>
      <c r="CC1792" s="33"/>
      <c r="CD1792" s="33"/>
      <c r="CE1792" s="33"/>
      <c r="CF1792" s="33"/>
      <c r="CG1792" s="33"/>
      <c r="CH1792" s="33">
        <v>1.7775587317233447E-2</v>
      </c>
      <c r="CI1792" s="250">
        <f>MIN(BN1792:CH1792)</f>
        <v>1.7775587317233447E-2</v>
      </c>
      <c r="CJ1792" s="243">
        <f>LOG10(CI1792)</f>
        <v>-1.7501760409824578</v>
      </c>
      <c r="CK1792" s="38" t="s">
        <v>404</v>
      </c>
      <c r="CL1792" s="247">
        <f>BL1792/CI1792</f>
        <v>0.98698383774588971</v>
      </c>
      <c r="CM1792" s="247">
        <v>-3.2351961258107615</v>
      </c>
      <c r="CN1792" s="247"/>
      <c r="CO1792" s="41" t="s">
        <v>5494</v>
      </c>
      <c r="CP1792" s="41" t="s">
        <v>5692</v>
      </c>
      <c r="CQ1792" s="241">
        <v>-2.4603145290714736</v>
      </c>
      <c r="CR1792" s="241">
        <f>10^(CJ1792-CQ1792)</f>
        <v>5.1302495161987789</v>
      </c>
      <c r="CS1792" s="33"/>
      <c r="CT1792" s="33" t="s">
        <v>6310</v>
      </c>
      <c r="CU1792" s="250">
        <f>X1792/CI1792</f>
        <v>7.393715341959334</v>
      </c>
      <c r="CV1792" s="337"/>
      <c r="CW1792" s="330">
        <f>IF(CU1792&lt;2,0,1)</f>
        <v>1</v>
      </c>
      <c r="CX1792" s="330" t="s">
        <v>539</v>
      </c>
      <c r="CY1792" s="143" t="s">
        <v>5921</v>
      </c>
    </row>
    <row r="1793" spans="1:103" ht="11.25" customHeight="1" x14ac:dyDescent="0.2">
      <c r="A1793" s="72">
        <v>1791</v>
      </c>
      <c r="B1793" s="241">
        <v>2068</v>
      </c>
      <c r="C1793" s="32" t="s">
        <v>7688</v>
      </c>
      <c r="D1793" s="32"/>
      <c r="E1793" s="40"/>
      <c r="F1793" s="40" t="s">
        <v>1088</v>
      </c>
      <c r="G1793" s="242">
        <v>333415</v>
      </c>
      <c r="H1793" s="41" t="s">
        <v>1089</v>
      </c>
      <c r="I1793" s="41" t="s">
        <v>1089</v>
      </c>
      <c r="J1793" s="41" t="s">
        <v>1090</v>
      </c>
      <c r="K1793" s="41" t="s">
        <v>628</v>
      </c>
      <c r="L1793" s="41" t="s">
        <v>617</v>
      </c>
      <c r="M1793" s="41" t="s">
        <v>618</v>
      </c>
      <c r="N1793" s="36" t="s">
        <v>6376</v>
      </c>
      <c r="O1793" s="41" t="s">
        <v>918</v>
      </c>
      <c r="P1793" s="41" t="s">
        <v>6178</v>
      </c>
      <c r="Q1793" s="41" t="s">
        <v>6173</v>
      </c>
      <c r="R1793" s="41" t="s">
        <v>6177</v>
      </c>
      <c r="S1793" s="41" t="s">
        <v>6176</v>
      </c>
      <c r="T1793" s="33">
        <v>304.35000000000002</v>
      </c>
      <c r="U1793" s="250">
        <v>0.1314276326597667</v>
      </c>
      <c r="V1793" s="250">
        <v>2.1212419911286348E-2</v>
      </c>
      <c r="W1793" s="250">
        <v>5.370317963702527E-2</v>
      </c>
      <c r="X1793" s="250">
        <v>0.1314276326597667</v>
      </c>
      <c r="Y1793" s="415">
        <v>7</v>
      </c>
      <c r="Z1793" s="34">
        <v>3.86</v>
      </c>
      <c r="AA1793" s="34">
        <v>3.81</v>
      </c>
      <c r="AB1793" s="34">
        <v>3.79</v>
      </c>
      <c r="AC1793" s="34">
        <v>0.7823</v>
      </c>
      <c r="AD1793" s="34">
        <v>3.8</v>
      </c>
      <c r="AE1793" s="34">
        <v>3.81</v>
      </c>
      <c r="AF1793" s="34">
        <f t="shared" si="513"/>
        <v>3.81</v>
      </c>
      <c r="AG1793" s="34">
        <v>4.32</v>
      </c>
      <c r="AH1793" s="250">
        <v>8.7299999999999994E-8</v>
      </c>
      <c r="AI1793" s="250">
        <v>1.1300000000000001E-7</v>
      </c>
      <c r="AJ1793" s="34">
        <f t="shared" si="516"/>
        <v>-5.447552082607082</v>
      </c>
      <c r="AK1793" s="34">
        <f>LOG10(AI1793*1000/(0.08206*298.15))</f>
        <v>-5.3354878828292325</v>
      </c>
      <c r="AL1793" s="34">
        <f t="shared" si="515"/>
        <v>-5.3354878828292325</v>
      </c>
      <c r="AM1793" s="34">
        <v>-11.566619999999999</v>
      </c>
      <c r="AN1793" s="251"/>
      <c r="AO1793" s="417"/>
      <c r="AP1793" s="417">
        <v>1.21</v>
      </c>
      <c r="AQ1793" s="251" t="s">
        <v>6312</v>
      </c>
      <c r="AR1793" s="251" t="s">
        <v>6312</v>
      </c>
      <c r="AS1793" s="252" t="s">
        <v>5466</v>
      </c>
      <c r="AT1793" s="35" t="s">
        <v>266</v>
      </c>
      <c r="AU1793" s="33">
        <v>72</v>
      </c>
      <c r="AV1793" s="33">
        <v>144</v>
      </c>
      <c r="AW1793" s="33">
        <v>72</v>
      </c>
      <c r="AX1793" s="33">
        <v>26</v>
      </c>
      <c r="AY1793" s="33" t="s">
        <v>5670</v>
      </c>
      <c r="AZ1793" s="33" t="s">
        <v>5689</v>
      </c>
      <c r="BA1793" s="33">
        <v>200</v>
      </c>
      <c r="BB1793" s="41" t="s">
        <v>5690</v>
      </c>
      <c r="BC1793" s="41" t="s">
        <v>5494</v>
      </c>
      <c r="BD1793" s="41"/>
      <c r="BE1793" s="33"/>
      <c r="BF1793" s="33"/>
      <c r="BG1793" s="33"/>
      <c r="BH1793" s="33" t="s">
        <v>5693</v>
      </c>
      <c r="BI1793" s="250"/>
      <c r="BJ1793" s="250"/>
      <c r="BK1793" s="254" t="s">
        <v>5691</v>
      </c>
      <c r="BL1793" s="250">
        <f t="shared" si="517"/>
        <v>1.7544217388550231E-2</v>
      </c>
      <c r="BM1793" s="33"/>
      <c r="BN1793" s="33"/>
      <c r="BO1793" s="33"/>
      <c r="BP1793" s="33"/>
      <c r="BQ1793" s="33"/>
      <c r="BR1793" s="33"/>
      <c r="BS1793" s="33"/>
      <c r="BT1793" s="33"/>
      <c r="BU1793" s="246"/>
      <c r="BV1793" s="33"/>
      <c r="BW1793" s="33"/>
      <c r="BX1793" s="33"/>
      <c r="BY1793" s="33"/>
      <c r="BZ1793" s="33"/>
      <c r="CA1793" s="33"/>
      <c r="CB1793" s="33"/>
      <c r="CC1793" s="33"/>
      <c r="CD1793" s="33"/>
      <c r="CE1793" s="33"/>
      <c r="CF1793" s="33">
        <v>4.0085427961228846E-2</v>
      </c>
      <c r="CG1793" s="33"/>
      <c r="CH1793" s="33"/>
      <c r="CI1793" s="250">
        <f>MIN(BN1793:CH1793)</f>
        <v>4.0085427961228846E-2</v>
      </c>
      <c r="CJ1793" s="243">
        <f>LOG10(CI1793)</f>
        <v>-1.3970134754142791</v>
      </c>
      <c r="CK1793" s="38" t="s">
        <v>404</v>
      </c>
      <c r="CL1793" s="247">
        <f>BL1793/CI1793</f>
        <v>0.43767070182010354</v>
      </c>
      <c r="CM1793" s="247">
        <v>-3.2351961258107615</v>
      </c>
      <c r="CN1793" s="247"/>
      <c r="CO1793" s="41" t="s">
        <v>5494</v>
      </c>
      <c r="CP1793" s="41" t="s">
        <v>5692</v>
      </c>
      <c r="CQ1793" s="241">
        <v>-2.4603145290714736</v>
      </c>
      <c r="CR1793" s="241">
        <f>10^(CJ1793-CQ1793)</f>
        <v>11.569139389579497</v>
      </c>
      <c r="CS1793" s="33"/>
      <c r="CT1793" s="33" t="s">
        <v>6310</v>
      </c>
      <c r="CU1793" s="250">
        <f>X1793/CI1793</f>
        <v>3.2786885245901636</v>
      </c>
      <c r="CV1793" s="337"/>
      <c r="CW1793" s="330">
        <f>IF(CU1793&lt;2,0,1)</f>
        <v>1</v>
      </c>
      <c r="CX1793" s="330" t="s">
        <v>539</v>
      </c>
      <c r="CY1793" s="143" t="s">
        <v>5921</v>
      </c>
    </row>
    <row r="1794" spans="1:103" ht="11.25" customHeight="1" x14ac:dyDescent="0.2">
      <c r="A1794" s="72">
        <v>1792</v>
      </c>
      <c r="B1794" s="241">
        <v>2143</v>
      </c>
      <c r="C1794" s="32" t="s">
        <v>7689</v>
      </c>
      <c r="D1794" s="32"/>
      <c r="E1794" s="40"/>
      <c r="F1794" s="40" t="s">
        <v>2050</v>
      </c>
      <c r="G1794" s="242">
        <v>335671</v>
      </c>
      <c r="H1794" s="41" t="s">
        <v>5863</v>
      </c>
      <c r="I1794" s="41" t="s">
        <v>8221</v>
      </c>
      <c r="J1794" s="41" t="s">
        <v>5864</v>
      </c>
      <c r="K1794" s="41" t="s">
        <v>426</v>
      </c>
      <c r="L1794" s="41"/>
      <c r="M1794" s="41"/>
      <c r="N1794" s="36"/>
      <c r="O1794" s="41"/>
      <c r="P1794" s="41"/>
      <c r="Q1794" s="41"/>
      <c r="R1794" s="41"/>
      <c r="S1794" s="41"/>
      <c r="T1794" s="33">
        <v>414.07</v>
      </c>
      <c r="U1794" s="250"/>
      <c r="V1794" s="250">
        <v>1.1623638515226894E-3</v>
      </c>
      <c r="W1794" s="250">
        <v>1.0715193052376053</v>
      </c>
      <c r="X1794" s="250">
        <f t="shared" ref="X1794:X1801" si="519">IF(W1794=0,V1794,W1794)</f>
        <v>1.0715193052376053</v>
      </c>
      <c r="Y1794" s="415">
        <v>2.98</v>
      </c>
      <c r="Z1794" s="33">
        <v>4.8099999999999996</v>
      </c>
      <c r="AA1794" s="33"/>
      <c r="AB1794" s="33">
        <v>4.2</v>
      </c>
      <c r="AC1794" s="33">
        <v>0.57179999999999997</v>
      </c>
      <c r="AD1794" s="33">
        <v>5.57</v>
      </c>
      <c r="AE1794" s="33">
        <v>7.75</v>
      </c>
      <c r="AF1794" s="33">
        <f t="shared" si="513"/>
        <v>5.57</v>
      </c>
      <c r="AG1794" s="34">
        <v>3.71</v>
      </c>
      <c r="AH1794" s="250">
        <v>9.0800000000000006E-2</v>
      </c>
      <c r="AI1794" s="250"/>
      <c r="AJ1794" s="34">
        <f t="shared" si="516"/>
        <v>0.56951952220843338</v>
      </c>
      <c r="AK1794" s="34"/>
      <c r="AL1794" s="34">
        <f t="shared" si="515"/>
        <v>0.56951952220843338</v>
      </c>
      <c r="AM1794" s="34">
        <v>-2.2879299999999998</v>
      </c>
      <c r="AN1794" s="251"/>
      <c r="AO1794" s="417">
        <v>0.5</v>
      </c>
      <c r="AP1794" s="417"/>
      <c r="AQ1794" s="251" t="s">
        <v>6311</v>
      </c>
      <c r="AR1794" s="251" t="s">
        <v>6311</v>
      </c>
      <c r="AS1794" s="252" t="s">
        <v>5466</v>
      </c>
      <c r="AT1794" s="35" t="s">
        <v>266</v>
      </c>
      <c r="AU1794" s="33">
        <v>0</v>
      </c>
      <c r="AV1794" s="33">
        <v>144</v>
      </c>
      <c r="AW1794" s="33">
        <v>144</v>
      </c>
      <c r="AX1794" s="33">
        <v>26</v>
      </c>
      <c r="AY1794" s="33" t="s">
        <v>267</v>
      </c>
      <c r="AZ1794" s="33" t="s">
        <v>5855</v>
      </c>
      <c r="BA1794" s="33">
        <v>24</v>
      </c>
      <c r="BB1794" s="41" t="s">
        <v>5856</v>
      </c>
      <c r="BC1794" s="41" t="s">
        <v>5597</v>
      </c>
      <c r="BD1794" s="41"/>
      <c r="BE1794" s="33" t="s">
        <v>2449</v>
      </c>
      <c r="BF1794" s="33"/>
      <c r="BG1794" s="33"/>
      <c r="BH1794" s="33"/>
      <c r="BI1794" s="250">
        <v>7.2451520000000004E-3</v>
      </c>
      <c r="BJ1794" s="250">
        <v>2.4150505949999999</v>
      </c>
      <c r="BK1794" s="254"/>
      <c r="BL1794" s="250">
        <f t="shared" si="517"/>
        <v>2.4600220508641203E-3</v>
      </c>
      <c r="BM1794" s="33"/>
      <c r="BN1794" s="33"/>
      <c r="BO1794" s="33"/>
      <c r="BP1794" s="33"/>
      <c r="BQ1794" s="33"/>
      <c r="BR1794" s="33"/>
      <c r="BS1794" s="33"/>
      <c r="BT1794" s="33">
        <v>1.0384717560000001</v>
      </c>
      <c r="BU1794" s="246"/>
      <c r="BV1794" s="33"/>
      <c r="BW1794" s="33"/>
      <c r="BX1794" s="33"/>
      <c r="BY1794" s="33"/>
      <c r="BZ1794" s="33"/>
      <c r="CA1794" s="33"/>
      <c r="CB1794" s="33"/>
      <c r="CC1794" s="33"/>
      <c r="CD1794" s="33"/>
      <c r="CE1794" s="33"/>
      <c r="CF1794" s="33"/>
      <c r="CG1794" s="33"/>
      <c r="CH1794" s="33"/>
      <c r="CI1794" s="250">
        <f>MIN(BN1794:CH1794)</f>
        <v>1.0384717560000001</v>
      </c>
      <c r="CJ1794" s="243">
        <f>LOG10(CI1794)</f>
        <v>1.6394689238810295E-2</v>
      </c>
      <c r="CK1794" s="38">
        <f t="shared" ref="CK1794:CK1799" si="520">BL1794/BJ1794</f>
        <v>1.0186213307320463E-3</v>
      </c>
      <c r="CL1794" s="247">
        <f>BL1794/CI1794</f>
        <v>2.3688868153137524E-3</v>
      </c>
      <c r="CM1794" s="247"/>
      <c r="CN1794" s="247"/>
      <c r="CO1794" s="41"/>
      <c r="CP1794" s="41" t="s">
        <v>5858</v>
      </c>
      <c r="CQ1794" s="241" t="s">
        <v>272</v>
      </c>
      <c r="CR1794" s="241"/>
      <c r="CS1794" s="33"/>
      <c r="CT1794" s="33"/>
      <c r="CU1794" s="250">
        <f>X1794/CI1794</f>
        <v>1.0318232528199882</v>
      </c>
      <c r="CV1794" s="337">
        <f t="shared" ref="CV1794:CV1799" si="521">X1794/BJ1794</f>
        <v>0.44368399877668208</v>
      </c>
      <c r="CW1794" s="330">
        <f>IF(CU1794&lt;2,0,1)</f>
        <v>0</v>
      </c>
      <c r="CX1794" s="330"/>
      <c r="CY1794" s="143" t="s">
        <v>5921</v>
      </c>
    </row>
    <row r="1795" spans="1:103" ht="11.25" customHeight="1" x14ac:dyDescent="0.2">
      <c r="A1795" s="72">
        <v>1793</v>
      </c>
      <c r="B1795" s="241">
        <v>2142</v>
      </c>
      <c r="C1795" s="32" t="s">
        <v>7690</v>
      </c>
      <c r="D1795" s="32"/>
      <c r="E1795" s="40"/>
      <c r="F1795" s="40" t="s">
        <v>5859</v>
      </c>
      <c r="G1795" s="242">
        <v>375224</v>
      </c>
      <c r="H1795" s="41" t="s">
        <v>5860</v>
      </c>
      <c r="I1795" s="41" t="s">
        <v>8222</v>
      </c>
      <c r="J1795" s="41" t="s">
        <v>5861</v>
      </c>
      <c r="K1795" s="41" t="s">
        <v>426</v>
      </c>
      <c r="L1795" s="41"/>
      <c r="M1795" s="41"/>
      <c r="N1795" s="36"/>
      <c r="O1795" s="41"/>
      <c r="P1795" s="41"/>
      <c r="Q1795" s="41"/>
      <c r="R1795" s="41"/>
      <c r="S1795" s="41"/>
      <c r="T1795" s="33">
        <v>214.04</v>
      </c>
      <c r="U1795" s="250"/>
      <c r="V1795" s="250">
        <v>6.4146888432068776</v>
      </c>
      <c r="W1795" s="250">
        <v>47.863009232263828</v>
      </c>
      <c r="X1795" s="250">
        <f t="shared" si="519"/>
        <v>47.863009232263828</v>
      </c>
      <c r="Y1795" s="415">
        <v>1.37</v>
      </c>
      <c r="Z1795" s="33">
        <v>2.14</v>
      </c>
      <c r="AA1795" s="33"/>
      <c r="AB1795" s="33">
        <v>1.71</v>
      </c>
      <c r="AC1795" s="33">
        <v>0.56689999999999996</v>
      </c>
      <c r="AD1795" s="33">
        <v>2.62</v>
      </c>
      <c r="AE1795" s="33">
        <v>3.93</v>
      </c>
      <c r="AF1795" s="33">
        <f t="shared" si="513"/>
        <v>2.62</v>
      </c>
      <c r="AG1795" s="34">
        <v>2.62</v>
      </c>
      <c r="AH1795" s="250">
        <v>1.1900000000000001E-4</v>
      </c>
      <c r="AI1795" s="250"/>
      <c r="AJ1795" s="34">
        <f t="shared" si="516"/>
        <v>-2.3130193649201209</v>
      </c>
      <c r="AK1795" s="34"/>
      <c r="AL1795" s="34">
        <f t="shared" si="515"/>
        <v>-2.3130193649201209</v>
      </c>
      <c r="AM1795" s="34">
        <v>-4.2505699999999997</v>
      </c>
      <c r="AN1795" s="251"/>
      <c r="AO1795" s="417">
        <v>0.37</v>
      </c>
      <c r="AP1795" s="417"/>
      <c r="AQ1795" s="251" t="s">
        <v>6311</v>
      </c>
      <c r="AR1795" s="251" t="s">
        <v>6311</v>
      </c>
      <c r="AS1795" s="252" t="s">
        <v>5466</v>
      </c>
      <c r="AT1795" s="35" t="s">
        <v>266</v>
      </c>
      <c r="AU1795" s="33">
        <v>0</v>
      </c>
      <c r="AV1795" s="33">
        <v>144</v>
      </c>
      <c r="AW1795" s="33">
        <v>144</v>
      </c>
      <c r="AX1795" s="33">
        <v>26</v>
      </c>
      <c r="AY1795" s="33" t="s">
        <v>267</v>
      </c>
      <c r="AZ1795" s="33" t="s">
        <v>5855</v>
      </c>
      <c r="BA1795" s="33">
        <v>24</v>
      </c>
      <c r="BB1795" s="41" t="s">
        <v>5856</v>
      </c>
      <c r="BC1795" s="41" t="s">
        <v>5597</v>
      </c>
      <c r="BD1795" s="41"/>
      <c r="BE1795" s="33" t="s">
        <v>2449</v>
      </c>
      <c r="BF1795" s="33"/>
      <c r="BG1795" s="33"/>
      <c r="BH1795" s="33"/>
      <c r="BI1795" s="250">
        <v>4.6720238999999997E-2</v>
      </c>
      <c r="BJ1795" s="250">
        <v>14.016071760000001</v>
      </c>
      <c r="BK1795" s="254"/>
      <c r="BL1795" s="250">
        <f t="shared" si="517"/>
        <v>0.61498709137859531</v>
      </c>
      <c r="BM1795" s="33"/>
      <c r="BN1795" s="33"/>
      <c r="BO1795" s="33"/>
      <c r="BP1795" s="33"/>
      <c r="BQ1795" s="33"/>
      <c r="BR1795" s="33"/>
      <c r="BS1795" s="33"/>
      <c r="BT1795" s="33" t="s">
        <v>5862</v>
      </c>
      <c r="BU1795" s="246"/>
      <c r="BV1795" s="33"/>
      <c r="BW1795" s="33"/>
      <c r="BX1795" s="33"/>
      <c r="BY1795" s="33"/>
      <c r="BZ1795" s="33"/>
      <c r="CA1795" s="33"/>
      <c r="CB1795" s="33"/>
      <c r="CC1795" s="33"/>
      <c r="CD1795" s="33"/>
      <c r="CE1795" s="33"/>
      <c r="CF1795" s="33"/>
      <c r="CG1795" s="33"/>
      <c r="CH1795" s="33"/>
      <c r="CI1795" s="250"/>
      <c r="CJ1795" s="243"/>
      <c r="CK1795" s="38">
        <f t="shared" si="520"/>
        <v>4.3877279020052284E-2</v>
      </c>
      <c r="CL1795" s="247"/>
      <c r="CM1795" s="247"/>
      <c r="CN1795" s="247"/>
      <c r="CO1795" s="41"/>
      <c r="CP1795" s="41" t="s">
        <v>5858</v>
      </c>
      <c r="CQ1795" s="241" t="s">
        <v>272</v>
      </c>
      <c r="CR1795" s="241"/>
      <c r="CS1795" s="33"/>
      <c r="CT1795" s="33"/>
      <c r="CU1795" s="250"/>
      <c r="CV1795" s="337">
        <f t="shared" si="521"/>
        <v>3.4148661659152224</v>
      </c>
      <c r="CW1795" s="330">
        <f>IF(CV1795&lt;1,0,1)</f>
        <v>1</v>
      </c>
      <c r="CX1795" s="330"/>
      <c r="CY1795" s="143" t="s">
        <v>5921</v>
      </c>
    </row>
    <row r="1796" spans="1:103" ht="11.25" customHeight="1" x14ac:dyDescent="0.2">
      <c r="A1796" s="72">
        <v>1794</v>
      </c>
      <c r="B1796" s="241">
        <v>2146</v>
      </c>
      <c r="C1796" s="32" t="s">
        <v>7691</v>
      </c>
      <c r="D1796" s="32"/>
      <c r="E1796" s="40"/>
      <c r="F1796" s="40" t="s">
        <v>5869</v>
      </c>
      <c r="G1796" s="242">
        <v>375735</v>
      </c>
      <c r="H1796" s="41" t="s">
        <v>5870</v>
      </c>
      <c r="I1796" s="41" t="s">
        <v>5870</v>
      </c>
      <c r="J1796" s="41" t="s">
        <v>5871</v>
      </c>
      <c r="K1796" s="41" t="s">
        <v>426</v>
      </c>
      <c r="L1796" s="41"/>
      <c r="M1796" s="41"/>
      <c r="N1796" s="36"/>
      <c r="O1796" s="41"/>
      <c r="P1796" s="41"/>
      <c r="Q1796" s="41"/>
      <c r="R1796" s="41"/>
      <c r="S1796" s="41"/>
      <c r="T1796" s="33">
        <v>300.10000000000002</v>
      </c>
      <c r="U1796" s="250"/>
      <c r="V1796" s="250">
        <v>1.1462845718093968</v>
      </c>
      <c r="W1796" s="250">
        <v>3311.3112148259115</v>
      </c>
      <c r="X1796" s="250">
        <f t="shared" si="519"/>
        <v>3311.3112148259115</v>
      </c>
      <c r="Y1796" s="415">
        <v>-0.52</v>
      </c>
      <c r="Z1796" s="33">
        <v>1.82</v>
      </c>
      <c r="AA1796" s="33"/>
      <c r="AB1796" s="33">
        <v>0.19</v>
      </c>
      <c r="AC1796" s="33">
        <v>0.44590000000000002</v>
      </c>
      <c r="AD1796" s="33">
        <v>1.94</v>
      </c>
      <c r="AE1796" s="33">
        <v>3.68</v>
      </c>
      <c r="AF1796" s="33">
        <f t="shared" si="513"/>
        <v>1.94</v>
      </c>
      <c r="AG1796" s="34">
        <v>1.94</v>
      </c>
      <c r="AH1796" s="250">
        <v>1.4399999999999999E-5</v>
      </c>
      <c r="AI1796" s="250"/>
      <c r="AJ1796" s="34">
        <f t="shared" si="516"/>
        <v>-3.2302038342174022</v>
      </c>
      <c r="AK1796" s="34"/>
      <c r="AL1796" s="34">
        <f t="shared" si="515"/>
        <v>-3.2302038342174022</v>
      </c>
      <c r="AM1796" s="34">
        <v>-5.9927100000000006</v>
      </c>
      <c r="AN1796" s="251"/>
      <c r="AO1796" s="417">
        <v>-3.57</v>
      </c>
      <c r="AP1796" s="417"/>
      <c r="AQ1796" s="251" t="s">
        <v>6311</v>
      </c>
      <c r="AR1796" s="251" t="s">
        <v>6311</v>
      </c>
      <c r="AS1796" s="252" t="s">
        <v>5466</v>
      </c>
      <c r="AT1796" s="35" t="s">
        <v>266</v>
      </c>
      <c r="AU1796" s="33">
        <v>0</v>
      </c>
      <c r="AV1796" s="33">
        <v>144</v>
      </c>
      <c r="AW1796" s="33">
        <v>144</v>
      </c>
      <c r="AX1796" s="33">
        <v>26</v>
      </c>
      <c r="AY1796" s="33" t="s">
        <v>267</v>
      </c>
      <c r="AZ1796" s="33" t="s">
        <v>5855</v>
      </c>
      <c r="BA1796" s="33">
        <v>24</v>
      </c>
      <c r="BB1796" s="41" t="s">
        <v>5856</v>
      </c>
      <c r="BC1796" s="41" t="s">
        <v>5597</v>
      </c>
      <c r="BD1796" s="41"/>
      <c r="BE1796" s="33" t="s">
        <v>2449</v>
      </c>
      <c r="BF1796" s="33"/>
      <c r="BG1796" s="33"/>
      <c r="BH1796" s="33"/>
      <c r="BI1796" s="250">
        <v>3.3322226000000003E-2</v>
      </c>
      <c r="BJ1796" s="250">
        <v>9.9966677770000008</v>
      </c>
      <c r="BK1796" s="254"/>
      <c r="BL1796" s="250">
        <f t="shared" si="517"/>
        <v>1.1919498957840944</v>
      </c>
      <c r="BM1796" s="33"/>
      <c r="BN1796" s="33"/>
      <c r="BO1796" s="33"/>
      <c r="BP1796" s="33"/>
      <c r="BQ1796" s="33"/>
      <c r="BR1796" s="33"/>
      <c r="BS1796" s="33"/>
      <c r="BT1796" s="33">
        <v>4.9983338890000004</v>
      </c>
      <c r="BU1796" s="246"/>
      <c r="BV1796" s="33"/>
      <c r="BW1796" s="33"/>
      <c r="BX1796" s="33"/>
      <c r="BY1796" s="33"/>
      <c r="BZ1796" s="33"/>
      <c r="CA1796" s="33"/>
      <c r="CB1796" s="33"/>
      <c r="CC1796" s="33"/>
      <c r="CD1796" s="33"/>
      <c r="CE1796" s="33"/>
      <c r="CF1796" s="33"/>
      <c r="CG1796" s="33"/>
      <c r="CH1796" s="33"/>
      <c r="CI1796" s="250">
        <f>MIN(BN1796:CH1796)</f>
        <v>4.9983338890000004</v>
      </c>
      <c r="CJ1796" s="243">
        <f>LOG10(CI1796)</f>
        <v>0.69882526365656783</v>
      </c>
      <c r="CK1796" s="38">
        <f t="shared" si="520"/>
        <v>0.11923472124646303</v>
      </c>
      <c r="CL1796" s="247">
        <f>BL1796/CI1796</f>
        <v>0.23846944246907117</v>
      </c>
      <c r="CM1796" s="247"/>
      <c r="CN1796" s="247"/>
      <c r="CO1796" s="41"/>
      <c r="CP1796" s="41" t="s">
        <v>5858</v>
      </c>
      <c r="CQ1796" s="241" t="s">
        <v>272</v>
      </c>
      <c r="CR1796" s="241"/>
      <c r="CS1796" s="33"/>
      <c r="CT1796" s="33"/>
      <c r="CU1796" s="250">
        <f>X1796/CI1796</f>
        <v>662.48299700690745</v>
      </c>
      <c r="CV1796" s="337">
        <f t="shared" si="521"/>
        <v>331.24149853658895</v>
      </c>
      <c r="CW1796" s="330">
        <f>IF(CU1796&lt;2,0,1)</f>
        <v>1</v>
      </c>
      <c r="CX1796" s="330"/>
      <c r="CY1796" s="143" t="s">
        <v>5921</v>
      </c>
    </row>
    <row r="1797" spans="1:103" ht="11.25" customHeight="1" x14ac:dyDescent="0.2">
      <c r="A1797" s="72">
        <v>1795</v>
      </c>
      <c r="B1797" s="241">
        <v>2144</v>
      </c>
      <c r="C1797" s="32" t="s">
        <v>7692</v>
      </c>
      <c r="D1797" s="32"/>
      <c r="E1797" s="40"/>
      <c r="F1797" s="40" t="s">
        <v>3397</v>
      </c>
      <c r="G1797" s="242">
        <v>375951</v>
      </c>
      <c r="H1797" s="41" t="s">
        <v>3398</v>
      </c>
      <c r="I1797" s="41" t="s">
        <v>3398</v>
      </c>
      <c r="J1797" s="41" t="s">
        <v>5865</v>
      </c>
      <c r="K1797" s="41" t="s">
        <v>426</v>
      </c>
      <c r="L1797" s="41"/>
      <c r="M1797" s="41"/>
      <c r="N1797" s="36"/>
      <c r="O1797" s="41"/>
      <c r="P1797" s="41"/>
      <c r="Q1797" s="41"/>
      <c r="R1797" s="41"/>
      <c r="S1797" s="41"/>
      <c r="T1797" s="33">
        <v>464.08</v>
      </c>
      <c r="U1797" s="250"/>
      <c r="V1797" s="250">
        <v>1.3484744009653507E-4</v>
      </c>
      <c r="W1797" s="250">
        <v>0.45708818961487496</v>
      </c>
      <c r="X1797" s="250">
        <f t="shared" si="519"/>
        <v>0.45708818961487496</v>
      </c>
      <c r="Y1797" s="415">
        <v>3.35</v>
      </c>
      <c r="Z1797" s="33">
        <v>5.48</v>
      </c>
      <c r="AA1797" s="33"/>
      <c r="AB1797" s="33">
        <v>4.82</v>
      </c>
      <c r="AC1797" s="33">
        <v>0.4753</v>
      </c>
      <c r="AD1797" s="33">
        <v>6.59</v>
      </c>
      <c r="AE1797" s="33">
        <v>8.64</v>
      </c>
      <c r="AF1797" s="33">
        <f t="shared" si="513"/>
        <v>6.59</v>
      </c>
      <c r="AG1797" s="34">
        <v>6.59</v>
      </c>
      <c r="AH1797" s="250">
        <v>0.47699999999999998</v>
      </c>
      <c r="AI1797" s="250"/>
      <c r="AJ1797" s="34">
        <f t="shared" si="516"/>
        <v>1.2899520527274622</v>
      </c>
      <c r="AK1797" s="34"/>
      <c r="AL1797" s="34">
        <f t="shared" si="515"/>
        <v>1.2899520527274622</v>
      </c>
      <c r="AM1797" s="34">
        <v>-1.7607900000000001</v>
      </c>
      <c r="AN1797" s="251"/>
      <c r="AO1797" s="417">
        <v>0.52</v>
      </c>
      <c r="AP1797" s="417"/>
      <c r="AQ1797" s="251" t="s">
        <v>6311</v>
      </c>
      <c r="AR1797" s="251" t="s">
        <v>6311</v>
      </c>
      <c r="AS1797" s="252" t="s">
        <v>5466</v>
      </c>
      <c r="AT1797" s="35" t="s">
        <v>266</v>
      </c>
      <c r="AU1797" s="33">
        <v>0</v>
      </c>
      <c r="AV1797" s="33">
        <v>144</v>
      </c>
      <c r="AW1797" s="33">
        <v>144</v>
      </c>
      <c r="AX1797" s="33">
        <v>26</v>
      </c>
      <c r="AY1797" s="33" t="s">
        <v>267</v>
      </c>
      <c r="AZ1797" s="33" t="s">
        <v>5855</v>
      </c>
      <c r="BA1797" s="33">
        <v>24</v>
      </c>
      <c r="BB1797" s="41" t="s">
        <v>5856</v>
      </c>
      <c r="BC1797" s="41" t="s">
        <v>5597</v>
      </c>
      <c r="BD1797" s="41"/>
      <c r="BE1797" s="33" t="s">
        <v>2449</v>
      </c>
      <c r="BF1797" s="33"/>
      <c r="BG1797" s="33"/>
      <c r="BH1797" s="33"/>
      <c r="BI1797" s="250">
        <v>6.4644E-5</v>
      </c>
      <c r="BJ1797" s="250">
        <v>2.1548009E-2</v>
      </c>
      <c r="BK1797" s="254"/>
      <c r="BL1797" s="250">
        <f t="shared" si="517"/>
        <v>6.1547724340107492E-4</v>
      </c>
      <c r="BM1797" s="33"/>
      <c r="BN1797" s="33"/>
      <c r="BO1797" s="33"/>
      <c r="BP1797" s="33"/>
      <c r="BQ1797" s="33"/>
      <c r="BR1797" s="33"/>
      <c r="BS1797" s="33"/>
      <c r="BT1797" s="33" t="s">
        <v>5866</v>
      </c>
      <c r="BU1797" s="246"/>
      <c r="BV1797" s="33"/>
      <c r="BW1797" s="33"/>
      <c r="BX1797" s="33"/>
      <c r="BY1797" s="33"/>
      <c r="BZ1797" s="33"/>
      <c r="CA1797" s="33"/>
      <c r="CB1797" s="33"/>
      <c r="CC1797" s="33"/>
      <c r="CD1797" s="33"/>
      <c r="CE1797" s="33"/>
      <c r="CF1797" s="33"/>
      <c r="CG1797" s="33"/>
      <c r="CH1797" s="33"/>
      <c r="CI1797" s="250"/>
      <c r="CJ1797" s="243"/>
      <c r="CK1797" s="38">
        <f t="shared" si="520"/>
        <v>2.8563067863999637E-2</v>
      </c>
      <c r="CL1797" s="247"/>
      <c r="CM1797" s="247"/>
      <c r="CN1797" s="247"/>
      <c r="CO1797" s="41"/>
      <c r="CP1797" s="41" t="s">
        <v>5858</v>
      </c>
      <c r="CQ1797" s="241" t="s">
        <v>272</v>
      </c>
      <c r="CR1797" s="241"/>
      <c r="CS1797" s="33"/>
      <c r="CT1797" s="33"/>
      <c r="CU1797" s="250"/>
      <c r="CV1797" s="337">
        <f t="shared" si="521"/>
        <v>21.212548668179736</v>
      </c>
      <c r="CW1797" s="330">
        <f>IF(CV1797&lt;1,0,1)</f>
        <v>1</v>
      </c>
      <c r="CX1797" s="330"/>
      <c r="CY1797" s="143" t="s">
        <v>5921</v>
      </c>
    </row>
    <row r="1798" spans="1:103" ht="11.25" customHeight="1" x14ac:dyDescent="0.2">
      <c r="A1798" s="72">
        <v>1796</v>
      </c>
      <c r="B1798" s="241">
        <v>644</v>
      </c>
      <c r="C1798" s="32" t="s">
        <v>1899</v>
      </c>
      <c r="D1798" s="32"/>
      <c r="E1798" s="40"/>
      <c r="F1798" s="40" t="s">
        <v>1900</v>
      </c>
      <c r="G1798" s="242">
        <v>446720</v>
      </c>
      <c r="H1798" s="36" t="s">
        <v>1901</v>
      </c>
      <c r="I1798" s="36" t="s">
        <v>1901</v>
      </c>
      <c r="J1798" s="36" t="s">
        <v>1902</v>
      </c>
      <c r="K1798" s="36" t="s">
        <v>1903</v>
      </c>
      <c r="L1798" s="36"/>
      <c r="M1798" s="36" t="s">
        <v>1904</v>
      </c>
      <c r="N1798" s="36"/>
      <c r="O1798" s="36" t="s">
        <v>1905</v>
      </c>
      <c r="P1798" s="41"/>
      <c r="Q1798" s="41"/>
      <c r="R1798" s="41"/>
      <c r="S1798" s="41"/>
      <c r="T1798" s="37">
        <v>270.24</v>
      </c>
      <c r="U1798" s="243"/>
      <c r="V1798" s="243">
        <v>0.95359680284191817</v>
      </c>
      <c r="W1798" s="243">
        <v>0.67608297539198126</v>
      </c>
      <c r="X1798" s="243">
        <f t="shared" si="519"/>
        <v>0.67608297539198126</v>
      </c>
      <c r="Y1798" s="414">
        <v>4.7699999999999996</v>
      </c>
      <c r="Z1798" s="37">
        <v>2.84</v>
      </c>
      <c r="AA1798" s="37"/>
      <c r="AB1798" s="37">
        <v>2.57</v>
      </c>
      <c r="AC1798" s="37">
        <v>0.76629999999999998</v>
      </c>
      <c r="AD1798" s="37">
        <v>2.63</v>
      </c>
      <c r="AE1798" s="37">
        <v>2.96</v>
      </c>
      <c r="AF1798" s="37">
        <f t="shared" si="513"/>
        <v>2.63</v>
      </c>
      <c r="AG1798" s="38">
        <v>2.31</v>
      </c>
      <c r="AH1798" s="243">
        <v>5.1199999999999999E-17</v>
      </c>
      <c r="AI1798" s="243"/>
      <c r="AJ1798" s="34">
        <f t="shared" si="516"/>
        <v>-14.679296365336821</v>
      </c>
      <c r="AK1798" s="34"/>
      <c r="AL1798" s="34">
        <f t="shared" si="515"/>
        <v>-14.679296365336821</v>
      </c>
      <c r="AM1798" s="34">
        <v>-20.039929999999998</v>
      </c>
      <c r="AN1798" s="244">
        <v>-15.5</v>
      </c>
      <c r="AO1798" s="417">
        <v>6.51</v>
      </c>
      <c r="AP1798" s="417"/>
      <c r="AQ1798" s="244" t="s">
        <v>6311</v>
      </c>
      <c r="AR1798" s="244" t="s">
        <v>6311</v>
      </c>
      <c r="AS1798" s="241" t="s">
        <v>6</v>
      </c>
      <c r="AT1798" s="39" t="s">
        <v>266</v>
      </c>
      <c r="AU1798" s="37">
        <v>2</v>
      </c>
      <c r="AV1798" s="37">
        <v>48</v>
      </c>
      <c r="AW1798" s="37">
        <v>48</v>
      </c>
      <c r="AX1798" s="37">
        <v>26</v>
      </c>
      <c r="AY1798" s="37" t="s">
        <v>8722</v>
      </c>
      <c r="AZ1798" s="37" t="s">
        <v>1893</v>
      </c>
      <c r="BA1798" s="37">
        <v>15</v>
      </c>
      <c r="BB1798" s="36" t="s">
        <v>1613</v>
      </c>
      <c r="BC1798" s="36" t="s">
        <v>1887</v>
      </c>
      <c r="BD1798" s="36"/>
      <c r="BE1798" s="37" t="s">
        <v>1712</v>
      </c>
      <c r="BF1798" s="37" t="s">
        <v>540</v>
      </c>
      <c r="BG1798" s="37" t="s">
        <v>540</v>
      </c>
      <c r="BH1798" s="37" t="s">
        <v>272</v>
      </c>
      <c r="BI1798" s="248">
        <v>2.1462403789224392E-3</v>
      </c>
      <c r="BJ1798" s="248">
        <v>3.4413854351687388E-2</v>
      </c>
      <c r="BK1798" s="37"/>
      <c r="BL1798" s="243">
        <f t="shared" si="517"/>
        <v>0.14460922545915242</v>
      </c>
      <c r="BM1798" s="37" t="s">
        <v>541</v>
      </c>
      <c r="BN1798" s="37"/>
      <c r="BO1798" s="37">
        <v>2.0796329188869152E-2</v>
      </c>
      <c r="BP1798" s="37"/>
      <c r="BQ1798" s="37"/>
      <c r="BR1798" s="37"/>
      <c r="BS1798" s="37"/>
      <c r="BT1798" s="37"/>
      <c r="BU1798" s="246"/>
      <c r="BV1798" s="37"/>
      <c r="BW1798" s="37"/>
      <c r="BX1798" s="37"/>
      <c r="BY1798" s="37"/>
      <c r="BZ1798" s="37"/>
      <c r="CA1798" s="37"/>
      <c r="CB1798" s="37"/>
      <c r="CC1798" s="37"/>
      <c r="CD1798" s="37"/>
      <c r="CE1798" s="37"/>
      <c r="CF1798" s="37"/>
      <c r="CG1798" s="37"/>
      <c r="CH1798" s="37"/>
      <c r="CI1798" s="243">
        <f t="shared" ref="CI1798:CI1805" si="522">MIN(BN1798:CH1798)</f>
        <v>2.0796329188869152E-2</v>
      </c>
      <c r="CJ1798" s="243">
        <f t="shared" ref="CJ1798:CJ1805" si="523">LOG10(CI1798)</f>
        <v>-1.6820133166578723</v>
      </c>
      <c r="CK1798" s="38">
        <f t="shared" si="520"/>
        <v>4.2020642030194999</v>
      </c>
      <c r="CL1798" s="247">
        <f t="shared" ref="CL1798:CL1805" si="524">BL1798/CI1798</f>
        <v>6.9535937879148317</v>
      </c>
      <c r="CM1798" s="247"/>
      <c r="CN1798" s="247"/>
      <c r="CO1798" s="36" t="s">
        <v>1888</v>
      </c>
      <c r="CP1798" s="36" t="s">
        <v>1889</v>
      </c>
      <c r="CQ1798" s="241" t="s">
        <v>272</v>
      </c>
      <c r="CR1798" s="241"/>
      <c r="CS1798" s="33"/>
      <c r="CT1798" s="33"/>
      <c r="CU1798" s="250">
        <f t="shared" ref="CU1798:CU1805" si="525">X1798/CI1798</f>
        <v>32.509726560485589</v>
      </c>
      <c r="CV1798" s="337">
        <f t="shared" si="521"/>
        <v>19.645662717196668</v>
      </c>
      <c r="CW1798" s="330">
        <f t="shared" ref="CW1798:CW1805" si="526">IF(CU1798&lt;2,0,1)</f>
        <v>1</v>
      </c>
      <c r="CX1798" s="330" t="s">
        <v>539</v>
      </c>
      <c r="CY1798" s="143" t="s">
        <v>5921</v>
      </c>
    </row>
    <row r="1799" spans="1:103" ht="11.25" customHeight="1" x14ac:dyDescent="0.2">
      <c r="A1799" s="72">
        <v>1797</v>
      </c>
      <c r="B1799" s="241">
        <v>2056</v>
      </c>
      <c r="C1799" s="32" t="s">
        <v>7693</v>
      </c>
      <c r="D1799" s="32"/>
      <c r="E1799" s="40"/>
      <c r="F1799" s="40" t="s">
        <v>5647</v>
      </c>
      <c r="G1799" s="242">
        <v>458377</v>
      </c>
      <c r="H1799" s="36" t="s">
        <v>5648</v>
      </c>
      <c r="I1799" s="36" t="s">
        <v>5648</v>
      </c>
      <c r="J1799" s="36" t="s">
        <v>5649</v>
      </c>
      <c r="K1799" s="36" t="s">
        <v>5650</v>
      </c>
      <c r="L1799" s="36"/>
      <c r="M1799" s="36"/>
      <c r="N1799" s="36"/>
      <c r="O1799" s="36"/>
      <c r="P1799" s="41"/>
      <c r="Q1799" s="41"/>
      <c r="R1799" s="41"/>
      <c r="S1799" s="41"/>
      <c r="T1799" s="37">
        <v>368.39</v>
      </c>
      <c r="U1799" s="243"/>
      <c r="V1799" s="243">
        <v>2.029099595537338E-2</v>
      </c>
      <c r="W1799" s="243">
        <v>0.26915348039269166</v>
      </c>
      <c r="X1799" s="243">
        <f t="shared" si="519"/>
        <v>0.26915348039269166</v>
      </c>
      <c r="Y1799" s="414">
        <v>5.75</v>
      </c>
      <c r="Z1799" s="37">
        <v>3.29</v>
      </c>
      <c r="AA1799" s="37"/>
      <c r="AB1799" s="37">
        <v>2.39</v>
      </c>
      <c r="AC1799" s="37">
        <v>0.73240000000000005</v>
      </c>
      <c r="AD1799" s="37">
        <v>2.56</v>
      </c>
      <c r="AE1799" s="37">
        <v>2.92</v>
      </c>
      <c r="AF1799" s="37">
        <f t="shared" si="513"/>
        <v>2.56</v>
      </c>
      <c r="AG1799" s="37">
        <v>2.56</v>
      </c>
      <c r="AH1799" s="243">
        <v>7.0399999999999998E-22</v>
      </c>
      <c r="AI1799" s="243"/>
      <c r="AJ1799" s="34">
        <f t="shared" si="516"/>
        <v>-19.54099366717054</v>
      </c>
      <c r="AK1799" s="34"/>
      <c r="AL1799" s="34">
        <f t="shared" si="515"/>
        <v>-19.54099366717054</v>
      </c>
      <c r="AM1799" s="34">
        <v>-21.635549999999999</v>
      </c>
      <c r="AN1799" s="244"/>
      <c r="AO1799" s="417">
        <v>8.11</v>
      </c>
      <c r="AP1799" s="417"/>
      <c r="AQ1799" s="244" t="s">
        <v>6311</v>
      </c>
      <c r="AR1799" s="244" t="s">
        <v>6311</v>
      </c>
      <c r="AS1799" s="241" t="s">
        <v>5466</v>
      </c>
      <c r="AT1799" s="39" t="s">
        <v>266</v>
      </c>
      <c r="AU1799" s="37">
        <v>72</v>
      </c>
      <c r="AV1799" s="37">
        <v>96</v>
      </c>
      <c r="AW1799" s="37">
        <v>24</v>
      </c>
      <c r="AX1799" s="37">
        <v>28.5</v>
      </c>
      <c r="AY1799" s="37" t="s">
        <v>5624</v>
      </c>
      <c r="AZ1799" s="37" t="s">
        <v>5625</v>
      </c>
      <c r="BA1799" s="37">
        <v>20</v>
      </c>
      <c r="BB1799" s="36" t="s">
        <v>5487</v>
      </c>
      <c r="BC1799" s="36" t="s">
        <v>5506</v>
      </c>
      <c r="BD1799" s="36"/>
      <c r="BE1799" s="37" t="s">
        <v>2449</v>
      </c>
      <c r="BF1799" s="37"/>
      <c r="BG1799" s="37"/>
      <c r="BH1799" s="37" t="s">
        <v>5626</v>
      </c>
      <c r="BI1799" s="243">
        <v>0.01</v>
      </c>
      <c r="BJ1799" s="243">
        <v>1.7999999999999999E-2</v>
      </c>
      <c r="BK1799" s="37"/>
      <c r="BL1799" s="243">
        <f t="shared" si="517"/>
        <v>5.7023123165170088E-2</v>
      </c>
      <c r="BM1799" s="37"/>
      <c r="BN1799" s="37"/>
      <c r="BO1799" s="37"/>
      <c r="BP1799" s="37"/>
      <c r="BQ1799" s="37"/>
      <c r="BR1799" s="37"/>
      <c r="BS1799" s="37"/>
      <c r="BT1799" s="37"/>
      <c r="BU1799" s="246"/>
      <c r="BV1799" s="37"/>
      <c r="BW1799" s="37"/>
      <c r="BX1799" s="37"/>
      <c r="BY1799" s="37"/>
      <c r="BZ1799" s="37"/>
      <c r="CA1799" s="37"/>
      <c r="CB1799" s="37"/>
      <c r="CC1799" s="37"/>
      <c r="CD1799" s="37">
        <v>1.18E-2</v>
      </c>
      <c r="CE1799" s="37"/>
      <c r="CF1799" s="37"/>
      <c r="CG1799" s="37"/>
      <c r="CH1799" s="37"/>
      <c r="CI1799" s="243">
        <f t="shared" si="522"/>
        <v>1.18E-2</v>
      </c>
      <c r="CJ1799" s="243">
        <f t="shared" si="523"/>
        <v>-1.9281179926938745</v>
      </c>
      <c r="CK1799" s="38">
        <f t="shared" si="520"/>
        <v>3.1679512869538939</v>
      </c>
      <c r="CL1799" s="38">
        <f t="shared" si="524"/>
        <v>4.8324680648449228</v>
      </c>
      <c r="CM1799" s="247"/>
      <c r="CN1799" s="247"/>
      <c r="CO1799" s="36"/>
      <c r="CP1799" s="36" t="s">
        <v>5627</v>
      </c>
      <c r="CQ1799" s="241" t="s">
        <v>272</v>
      </c>
      <c r="CR1799" s="241"/>
      <c r="CS1799" s="33"/>
      <c r="CT1799" s="33"/>
      <c r="CU1799" s="250">
        <f t="shared" si="525"/>
        <v>22.809616982431496</v>
      </c>
      <c r="CV1799" s="337">
        <f t="shared" si="521"/>
        <v>14.952971132927315</v>
      </c>
      <c r="CW1799" s="330">
        <f t="shared" si="526"/>
        <v>1</v>
      </c>
      <c r="CX1799" s="330"/>
      <c r="CY1799" s="143" t="s">
        <v>5921</v>
      </c>
    </row>
    <row r="1800" spans="1:103" ht="11.25" customHeight="1" x14ac:dyDescent="0.2">
      <c r="A1800" s="72">
        <v>1798</v>
      </c>
      <c r="B1800" s="241">
        <v>2093</v>
      </c>
      <c r="C1800" s="32" t="s">
        <v>7694</v>
      </c>
      <c r="D1800" s="32"/>
      <c r="E1800" s="40"/>
      <c r="F1800" s="40" t="s">
        <v>5784</v>
      </c>
      <c r="G1800" s="242">
        <v>475387</v>
      </c>
      <c r="H1800" s="41" t="s">
        <v>5785</v>
      </c>
      <c r="I1800" s="41" t="s">
        <v>8223</v>
      </c>
      <c r="J1800" s="41" t="s">
        <v>5786</v>
      </c>
      <c r="K1800" s="41" t="s">
        <v>5787</v>
      </c>
      <c r="L1800" s="41"/>
      <c r="M1800" s="41"/>
      <c r="N1800" s="36"/>
      <c r="O1800" s="41"/>
      <c r="P1800" s="41"/>
      <c r="Q1800" s="41"/>
      <c r="R1800" s="41"/>
      <c r="S1800" s="41"/>
      <c r="T1800" s="33">
        <v>190.16</v>
      </c>
      <c r="U1800" s="250"/>
      <c r="V1800" s="250">
        <v>29.038704249053428</v>
      </c>
      <c r="W1800" s="250">
        <v>1.7378008287493749</v>
      </c>
      <c r="X1800" s="250">
        <f t="shared" si="519"/>
        <v>1.7378008287493749</v>
      </c>
      <c r="Y1800" s="415">
        <v>4.87</v>
      </c>
      <c r="Z1800" s="33">
        <v>2.25</v>
      </c>
      <c r="AA1800" s="33">
        <v>1.79</v>
      </c>
      <c r="AB1800" s="33">
        <v>2</v>
      </c>
      <c r="AC1800" s="33">
        <v>0.79279999999999995</v>
      </c>
      <c r="AD1800" s="33">
        <v>1.96</v>
      </c>
      <c r="AE1800" s="33">
        <v>1.82</v>
      </c>
      <c r="AF1800" s="33">
        <f t="shared" si="513"/>
        <v>1.79</v>
      </c>
      <c r="AG1800" s="34">
        <v>1.96</v>
      </c>
      <c r="AH1800" s="250">
        <v>3.3800000000000002E-11</v>
      </c>
      <c r="AI1800" s="250"/>
      <c r="AJ1800" s="34">
        <f t="shared" si="516"/>
        <v>-8.8596496260349973</v>
      </c>
      <c r="AK1800" s="34"/>
      <c r="AL1800" s="34">
        <f t="shared" si="515"/>
        <v>-8.8596496260349973</v>
      </c>
      <c r="AM1800" s="34">
        <v>-11.58311</v>
      </c>
      <c r="AN1800" s="251"/>
      <c r="AO1800" s="417">
        <v>6.98</v>
      </c>
      <c r="AP1800" s="417"/>
      <c r="AQ1800" s="251" t="s">
        <v>6311</v>
      </c>
      <c r="AR1800" s="251" t="s">
        <v>6311</v>
      </c>
      <c r="AS1800" s="252" t="s">
        <v>5466</v>
      </c>
      <c r="AT1800" s="35" t="s">
        <v>266</v>
      </c>
      <c r="AU1800" s="33">
        <v>4</v>
      </c>
      <c r="AV1800" s="33">
        <v>80</v>
      </c>
      <c r="AW1800" s="33">
        <v>76</v>
      </c>
      <c r="AX1800" s="33">
        <v>28</v>
      </c>
      <c r="AY1800" s="33" t="s">
        <v>267</v>
      </c>
      <c r="AZ1800" s="33" t="s">
        <v>5731</v>
      </c>
      <c r="BA1800" s="33">
        <v>20</v>
      </c>
      <c r="BB1800" s="41" t="s">
        <v>5732</v>
      </c>
      <c r="BC1800" s="41" t="s">
        <v>1584</v>
      </c>
      <c r="BD1800" s="41"/>
      <c r="BE1800" s="33" t="s">
        <v>5733</v>
      </c>
      <c r="BF1800" s="33"/>
      <c r="BG1800" s="33"/>
      <c r="BH1800" s="33" t="s">
        <v>5734</v>
      </c>
      <c r="BI1800" s="250"/>
      <c r="BJ1800" s="250"/>
      <c r="BK1800" s="254"/>
      <c r="BL1800" s="250">
        <f t="shared" si="517"/>
        <v>0.48986340847787241</v>
      </c>
      <c r="BM1800" s="33"/>
      <c r="BN1800" s="33"/>
      <c r="BO1800" s="33"/>
      <c r="BP1800" s="33"/>
      <c r="BQ1800" s="33"/>
      <c r="BR1800" s="33"/>
      <c r="BS1800" s="33"/>
      <c r="BT1800" s="33"/>
      <c r="BU1800" s="246"/>
      <c r="BV1800" s="33">
        <v>5.0200000000000002E-3</v>
      </c>
      <c r="BW1800" s="33">
        <v>4.8500000000000001E-3</v>
      </c>
      <c r="BX1800" s="33"/>
      <c r="BY1800" s="33"/>
      <c r="BZ1800" s="33"/>
      <c r="CA1800" s="33"/>
      <c r="CB1800" s="33"/>
      <c r="CC1800" s="33"/>
      <c r="CD1800" s="33"/>
      <c r="CE1800" s="33"/>
      <c r="CF1800" s="33"/>
      <c r="CG1800" s="33"/>
      <c r="CH1800" s="33"/>
      <c r="CI1800" s="250">
        <f t="shared" si="522"/>
        <v>4.8500000000000001E-3</v>
      </c>
      <c r="CJ1800" s="243">
        <f t="shared" si="523"/>
        <v>-2.3142582613977365</v>
      </c>
      <c r="CK1800" s="38" t="s">
        <v>404</v>
      </c>
      <c r="CL1800" s="247">
        <f t="shared" si="524"/>
        <v>101.00276463461286</v>
      </c>
      <c r="CM1800" s="247"/>
      <c r="CN1800" s="247"/>
      <c r="CO1800" s="41"/>
      <c r="CP1800" s="41" t="s">
        <v>5735</v>
      </c>
      <c r="CQ1800" s="241" t="s">
        <v>272</v>
      </c>
      <c r="CR1800" s="241"/>
      <c r="CS1800" s="33"/>
      <c r="CT1800" s="33"/>
      <c r="CU1800" s="250">
        <f t="shared" si="525"/>
        <v>358.30944922667521</v>
      </c>
      <c r="CV1800" s="337"/>
      <c r="CW1800" s="330">
        <f t="shared" si="526"/>
        <v>1</v>
      </c>
      <c r="CX1800" s="330" t="s">
        <v>539</v>
      </c>
      <c r="CY1800" s="143" t="s">
        <v>5921</v>
      </c>
    </row>
    <row r="1801" spans="1:103" ht="11.25" customHeight="1" x14ac:dyDescent="0.2">
      <c r="A1801" s="72">
        <v>1799</v>
      </c>
      <c r="B1801" s="241">
        <v>2090</v>
      </c>
      <c r="C1801" s="32" t="s">
        <v>6767</v>
      </c>
      <c r="D1801" s="32" t="s">
        <v>6768</v>
      </c>
      <c r="E1801" s="40"/>
      <c r="F1801" s="40" t="s">
        <v>2307</v>
      </c>
      <c r="G1801" s="242">
        <v>481390</v>
      </c>
      <c r="H1801" s="41" t="s">
        <v>2308</v>
      </c>
      <c r="I1801" s="41" t="s">
        <v>2308</v>
      </c>
      <c r="J1801" s="41" t="s">
        <v>2309</v>
      </c>
      <c r="K1801" s="41" t="s">
        <v>2310</v>
      </c>
      <c r="L1801" s="41" t="s">
        <v>6619</v>
      </c>
      <c r="M1801" s="41" t="s">
        <v>6025</v>
      </c>
      <c r="N1801" s="36" t="s">
        <v>2342</v>
      </c>
      <c r="O1801" s="41"/>
      <c r="P1801" s="41" t="s">
        <v>6631</v>
      </c>
      <c r="Q1801" s="41" t="s">
        <v>6173</v>
      </c>
      <c r="R1801" s="41" t="s">
        <v>6175</v>
      </c>
      <c r="S1801" s="41" t="s">
        <v>6173</v>
      </c>
      <c r="T1801" s="33">
        <v>174.16</v>
      </c>
      <c r="U1801" s="250"/>
      <c r="V1801" s="250">
        <v>29.405684754521964</v>
      </c>
      <c r="W1801" s="250">
        <v>1.1220184543019622</v>
      </c>
      <c r="X1801" s="250">
        <f t="shared" si="519"/>
        <v>1.1220184543019622</v>
      </c>
      <c r="Y1801" s="415">
        <v>4.7699999999999996</v>
      </c>
      <c r="Z1801" s="33">
        <v>1.96</v>
      </c>
      <c r="AA1801" s="33">
        <v>1.92</v>
      </c>
      <c r="AB1801" s="33">
        <v>1.83</v>
      </c>
      <c r="AC1801" s="33">
        <v>0.87329999999999997</v>
      </c>
      <c r="AD1801" s="33">
        <v>1.84</v>
      </c>
      <c r="AE1801" s="33">
        <v>1.86</v>
      </c>
      <c r="AF1801" s="33">
        <f t="shared" si="513"/>
        <v>1.92</v>
      </c>
      <c r="AG1801" s="34">
        <v>1.27</v>
      </c>
      <c r="AH1801" s="250">
        <v>2.5799999999999999E-10</v>
      </c>
      <c r="AI1801" s="250"/>
      <c r="AJ1801" s="34">
        <f t="shared" si="516"/>
        <v>-7.9769466203494215</v>
      </c>
      <c r="AK1801" s="34"/>
      <c r="AL1801" s="34">
        <f t="shared" si="515"/>
        <v>-7.9769466203494215</v>
      </c>
      <c r="AM1801" s="34">
        <v>-10.650509999999999</v>
      </c>
      <c r="AN1801" s="251">
        <v>-6.3758999999999997</v>
      </c>
      <c r="AO1801" s="417">
        <v>6.59</v>
      </c>
      <c r="AP1801" s="417"/>
      <c r="AQ1801" s="251" t="s">
        <v>6311</v>
      </c>
      <c r="AR1801" s="251" t="s">
        <v>6311</v>
      </c>
      <c r="AS1801" s="252" t="s">
        <v>5466</v>
      </c>
      <c r="AT1801" s="35" t="s">
        <v>266</v>
      </c>
      <c r="AU1801" s="33">
        <v>4</v>
      </c>
      <c r="AV1801" s="33">
        <v>80</v>
      </c>
      <c r="AW1801" s="33">
        <v>76</v>
      </c>
      <c r="AX1801" s="33">
        <v>28</v>
      </c>
      <c r="AY1801" s="33" t="s">
        <v>267</v>
      </c>
      <c r="AZ1801" s="33" t="s">
        <v>5731</v>
      </c>
      <c r="BA1801" s="33">
        <v>20</v>
      </c>
      <c r="BB1801" s="41" t="s">
        <v>5732</v>
      </c>
      <c r="BC1801" s="41" t="s">
        <v>1584</v>
      </c>
      <c r="BD1801" s="41"/>
      <c r="BE1801" s="33" t="s">
        <v>5733</v>
      </c>
      <c r="BF1801" s="33"/>
      <c r="BG1801" s="33"/>
      <c r="BH1801" s="33" t="s">
        <v>5734</v>
      </c>
      <c r="BI1801" s="250"/>
      <c r="BJ1801" s="250"/>
      <c r="BK1801" s="254"/>
      <c r="BL1801" s="250">
        <f t="shared" si="517"/>
        <v>0.89232693003380892</v>
      </c>
      <c r="BM1801" s="33"/>
      <c r="BN1801" s="33"/>
      <c r="BO1801" s="33"/>
      <c r="BP1801" s="33"/>
      <c r="BQ1801" s="33"/>
      <c r="BR1801" s="33"/>
      <c r="BS1801" s="33"/>
      <c r="BT1801" s="33"/>
      <c r="BU1801" s="246"/>
      <c r="BV1801" s="33">
        <v>6.2E-4</v>
      </c>
      <c r="BW1801" s="33">
        <v>6.2E-4</v>
      </c>
      <c r="BX1801" s="33"/>
      <c r="BY1801" s="33"/>
      <c r="BZ1801" s="33"/>
      <c r="CA1801" s="33"/>
      <c r="CB1801" s="33"/>
      <c r="CC1801" s="33"/>
      <c r="CD1801" s="33"/>
      <c r="CE1801" s="33"/>
      <c r="CF1801" s="33"/>
      <c r="CG1801" s="33"/>
      <c r="CH1801" s="33"/>
      <c r="CI1801" s="250">
        <f t="shared" si="522"/>
        <v>6.2E-4</v>
      </c>
      <c r="CJ1801" s="243">
        <f t="shared" si="523"/>
        <v>-3.2076083105017461</v>
      </c>
      <c r="CK1801" s="38" t="s">
        <v>404</v>
      </c>
      <c r="CL1801" s="247">
        <f t="shared" si="524"/>
        <v>1439.2369839254982</v>
      </c>
      <c r="CM1801" s="247"/>
      <c r="CN1801" s="247"/>
      <c r="CO1801" s="41"/>
      <c r="CP1801" s="41" t="s">
        <v>5735</v>
      </c>
      <c r="CQ1801" s="241">
        <v>-3.6076354686720427</v>
      </c>
      <c r="CR1801" s="241">
        <f>10^(CJ1801-CQ1801)</f>
        <v>2.5120435147223295</v>
      </c>
      <c r="CS1801" s="33"/>
      <c r="CT1801" s="33"/>
      <c r="CU1801" s="250">
        <f t="shared" si="525"/>
        <v>1809.7071843580036</v>
      </c>
      <c r="CV1801" s="337"/>
      <c r="CW1801" s="330">
        <f t="shared" si="526"/>
        <v>1</v>
      </c>
      <c r="CX1801" s="330" t="s">
        <v>539</v>
      </c>
      <c r="CY1801" s="143" t="s">
        <v>5921</v>
      </c>
    </row>
    <row r="1802" spans="1:103" ht="11.25" customHeight="1" x14ac:dyDescent="0.2">
      <c r="A1802" s="72">
        <v>1800</v>
      </c>
      <c r="B1802" s="241">
        <v>2094</v>
      </c>
      <c r="C1802" s="32" t="s">
        <v>7695</v>
      </c>
      <c r="D1802" s="32"/>
      <c r="E1802" s="40"/>
      <c r="F1802" s="40" t="s">
        <v>5788</v>
      </c>
      <c r="G1802" s="242">
        <v>481425</v>
      </c>
      <c r="H1802" s="41" t="s">
        <v>5789</v>
      </c>
      <c r="I1802" s="41" t="s">
        <v>5789</v>
      </c>
      <c r="J1802" s="41"/>
      <c r="K1802" s="41" t="s">
        <v>2310</v>
      </c>
      <c r="L1802" s="41"/>
      <c r="M1802" s="41"/>
      <c r="N1802" s="36"/>
      <c r="O1802" s="41"/>
      <c r="P1802" s="41"/>
      <c r="Q1802" s="41"/>
      <c r="R1802" s="41"/>
      <c r="S1802" s="41"/>
      <c r="T1802" s="33">
        <v>188.18</v>
      </c>
      <c r="U1802" s="250">
        <v>1.5942183016261027</v>
      </c>
      <c r="V1802" s="250">
        <v>7.3599744925071739</v>
      </c>
      <c r="W1802" s="250"/>
      <c r="X1802" s="250">
        <v>1.5942183016261027</v>
      </c>
      <c r="Y1802" s="415"/>
      <c r="Z1802" s="33">
        <v>2.5</v>
      </c>
      <c r="AA1802" s="33"/>
      <c r="AB1802" s="33">
        <v>2.23</v>
      </c>
      <c r="AC1802" s="33">
        <v>0.82410000000000005</v>
      </c>
      <c r="AD1802" s="33">
        <v>2.27</v>
      </c>
      <c r="AE1802" s="33">
        <v>2.4500000000000002</v>
      </c>
      <c r="AF1802" s="33">
        <f t="shared" si="513"/>
        <v>2.27</v>
      </c>
      <c r="AG1802" s="34">
        <v>2.27</v>
      </c>
      <c r="AH1802" s="250">
        <v>4.04E-10</v>
      </c>
      <c r="AI1802" s="250"/>
      <c r="AJ1802" s="34">
        <f t="shared" si="516"/>
        <v>-7.7821849612020468</v>
      </c>
      <c r="AK1802" s="34"/>
      <c r="AL1802" s="34">
        <f t="shared" si="515"/>
        <v>-7.7821849612020468</v>
      </c>
      <c r="AM1802" s="34">
        <v>-10.669879999999999</v>
      </c>
      <c r="AN1802" s="251"/>
      <c r="AO1802" s="417"/>
      <c r="AP1802" s="417"/>
      <c r="AQ1802" s="251" t="s">
        <v>6311</v>
      </c>
      <c r="AR1802" s="251" t="s">
        <v>6311</v>
      </c>
      <c r="AS1802" s="252" t="s">
        <v>5466</v>
      </c>
      <c r="AT1802" s="35" t="s">
        <v>266</v>
      </c>
      <c r="AU1802" s="33">
        <v>4</v>
      </c>
      <c r="AV1802" s="33">
        <v>80</v>
      </c>
      <c r="AW1802" s="33">
        <v>76</v>
      </c>
      <c r="AX1802" s="33">
        <v>28</v>
      </c>
      <c r="AY1802" s="33" t="s">
        <v>267</v>
      </c>
      <c r="AZ1802" s="33" t="s">
        <v>5731</v>
      </c>
      <c r="BA1802" s="33">
        <v>20</v>
      </c>
      <c r="BB1802" s="41" t="s">
        <v>5732</v>
      </c>
      <c r="BC1802" s="41" t="s">
        <v>1584</v>
      </c>
      <c r="BD1802" s="41"/>
      <c r="BE1802" s="33" t="s">
        <v>5733</v>
      </c>
      <c r="BF1802" s="33"/>
      <c r="BG1802" s="33"/>
      <c r="BH1802" s="33" t="s">
        <v>5734</v>
      </c>
      <c r="BI1802" s="250"/>
      <c r="BJ1802" s="250"/>
      <c r="BK1802" s="254"/>
      <c r="BL1802" s="250">
        <f t="shared" si="517"/>
        <v>0.29211240476828637</v>
      </c>
      <c r="BM1802" s="33"/>
      <c r="BN1802" s="33"/>
      <c r="BO1802" s="33"/>
      <c r="BP1802" s="33"/>
      <c r="BQ1802" s="33"/>
      <c r="BR1802" s="33"/>
      <c r="BS1802" s="33"/>
      <c r="BT1802" s="33"/>
      <c r="BU1802" s="246"/>
      <c r="BV1802" s="33">
        <v>4.6999999999999999E-4</v>
      </c>
      <c r="BW1802" s="33">
        <v>5.1000000000000004E-4</v>
      </c>
      <c r="BX1802" s="33"/>
      <c r="BY1802" s="33"/>
      <c r="BZ1802" s="33"/>
      <c r="CA1802" s="33"/>
      <c r="CB1802" s="33"/>
      <c r="CC1802" s="33"/>
      <c r="CD1802" s="33"/>
      <c r="CE1802" s="33"/>
      <c r="CF1802" s="33"/>
      <c r="CG1802" s="33"/>
      <c r="CH1802" s="33"/>
      <c r="CI1802" s="250">
        <f t="shared" si="522"/>
        <v>4.6999999999999999E-4</v>
      </c>
      <c r="CJ1802" s="243">
        <f t="shared" si="523"/>
        <v>-3.3279021420642825</v>
      </c>
      <c r="CK1802" s="38" t="s">
        <v>404</v>
      </c>
      <c r="CL1802" s="247">
        <f t="shared" si="524"/>
        <v>621.51575482614123</v>
      </c>
      <c r="CM1802" s="247"/>
      <c r="CN1802" s="247"/>
      <c r="CO1802" s="41"/>
      <c r="CP1802" s="41" t="s">
        <v>5735</v>
      </c>
      <c r="CQ1802" s="241" t="s">
        <v>272</v>
      </c>
      <c r="CR1802" s="241"/>
      <c r="CS1802" s="33"/>
      <c r="CT1802" s="33"/>
      <c r="CU1802" s="250">
        <f t="shared" si="525"/>
        <v>3391.953833247027</v>
      </c>
      <c r="CV1802" s="337"/>
      <c r="CW1802" s="330">
        <f t="shared" si="526"/>
        <v>1</v>
      </c>
      <c r="CX1802" s="330" t="s">
        <v>539</v>
      </c>
      <c r="CY1802" s="143" t="s">
        <v>5921</v>
      </c>
    </row>
    <row r="1803" spans="1:103" ht="11.25" customHeight="1" x14ac:dyDescent="0.2">
      <c r="A1803" s="72">
        <v>1801</v>
      </c>
      <c r="B1803" s="241">
        <v>1993</v>
      </c>
      <c r="C1803" s="32" t="s">
        <v>7696</v>
      </c>
      <c r="D1803" s="32"/>
      <c r="E1803" s="40"/>
      <c r="F1803" s="40" t="s">
        <v>5555</v>
      </c>
      <c r="G1803" s="242">
        <v>484117</v>
      </c>
      <c r="H1803" s="41" t="s">
        <v>5556</v>
      </c>
      <c r="I1803" s="41" t="s">
        <v>5556</v>
      </c>
      <c r="J1803" s="41" t="s">
        <v>5557</v>
      </c>
      <c r="K1803" s="41" t="s">
        <v>426</v>
      </c>
      <c r="L1803" s="41"/>
      <c r="M1803" s="41"/>
      <c r="N1803" s="36"/>
      <c r="O1803" s="41"/>
      <c r="P1803" s="41"/>
      <c r="Q1803" s="41"/>
      <c r="R1803" s="41"/>
      <c r="S1803" s="41"/>
      <c r="T1803" s="33">
        <v>208.26</v>
      </c>
      <c r="U1803" s="250"/>
      <c r="V1803" s="250">
        <v>1.8947469509267265E-2</v>
      </c>
      <c r="W1803" s="250">
        <v>1.0715193052376053</v>
      </c>
      <c r="X1803" s="250">
        <f>IF(W1803=0,V1803,W1803)</f>
        <v>1.0715193052376053</v>
      </c>
      <c r="Y1803" s="415">
        <v>8.52</v>
      </c>
      <c r="Z1803" s="33">
        <v>3.39</v>
      </c>
      <c r="AA1803" s="33"/>
      <c r="AB1803" s="33">
        <v>3.37</v>
      </c>
      <c r="AC1803" s="33">
        <v>0.68359999999999999</v>
      </c>
      <c r="AD1803" s="33">
        <v>3.1</v>
      </c>
      <c r="AE1803" s="33">
        <v>2.7</v>
      </c>
      <c r="AF1803" s="33">
        <f t="shared" si="513"/>
        <v>3.1</v>
      </c>
      <c r="AG1803" s="34">
        <v>3.1</v>
      </c>
      <c r="AH1803" s="250">
        <v>1.0700000000000001E-10</v>
      </c>
      <c r="AI1803" s="250"/>
      <c r="AJ1803" s="34">
        <f t="shared" si="516"/>
        <v>-8.3591825486274427</v>
      </c>
      <c r="AK1803" s="34"/>
      <c r="AL1803" s="34">
        <f t="shared" si="515"/>
        <v>-8.3591825486274427</v>
      </c>
      <c r="AM1803" s="34">
        <v>-9.4469799999999999</v>
      </c>
      <c r="AN1803" s="251"/>
      <c r="AO1803" s="417"/>
      <c r="AP1803" s="417">
        <v>6.01</v>
      </c>
      <c r="AQ1803" s="251" t="s">
        <v>6311</v>
      </c>
      <c r="AR1803" s="251" t="s">
        <v>6311</v>
      </c>
      <c r="AS1803" s="252" t="s">
        <v>5466</v>
      </c>
      <c r="AT1803" s="35" t="s">
        <v>266</v>
      </c>
      <c r="AU1803" s="33">
        <v>4</v>
      </c>
      <c r="AV1803" s="33">
        <v>24</v>
      </c>
      <c r="AW1803" s="33">
        <v>20</v>
      </c>
      <c r="AX1803" s="33">
        <v>28</v>
      </c>
      <c r="AY1803" s="262" t="s">
        <v>267</v>
      </c>
      <c r="AZ1803" s="33" t="s">
        <v>6212</v>
      </c>
      <c r="BA1803" s="33">
        <v>20</v>
      </c>
      <c r="BB1803" s="41" t="s">
        <v>6300</v>
      </c>
      <c r="BC1803" s="41" t="s">
        <v>5697</v>
      </c>
      <c r="BD1803" s="41"/>
      <c r="BE1803" s="33" t="s">
        <v>2449</v>
      </c>
      <c r="BF1803" s="33" t="s">
        <v>6203</v>
      </c>
      <c r="BG1803" s="33" t="s">
        <v>6203</v>
      </c>
      <c r="BH1803" s="33"/>
      <c r="BI1803" s="250">
        <v>1.920676077979449E-5</v>
      </c>
      <c r="BJ1803" s="250">
        <v>1.9206760779794489E-2</v>
      </c>
      <c r="BK1803" s="254"/>
      <c r="BL1803" s="250">
        <f t="shared" si="517"/>
        <v>4.6370416846478135E-2</v>
      </c>
      <c r="BM1803" s="33" t="s">
        <v>1584</v>
      </c>
      <c r="BN1803" s="33">
        <v>3.7999999999999999E-2</v>
      </c>
      <c r="BO1803" s="33"/>
      <c r="BP1803" s="33"/>
      <c r="BQ1803" s="33"/>
      <c r="BR1803" s="33"/>
      <c r="BS1803" s="33"/>
      <c r="BT1803" s="33"/>
      <c r="BU1803" s="246"/>
      <c r="BV1803" s="33"/>
      <c r="BW1803" s="33"/>
      <c r="BX1803" s="33"/>
      <c r="BY1803" s="33"/>
      <c r="BZ1803" s="33"/>
      <c r="CA1803" s="33"/>
      <c r="CB1803" s="33"/>
      <c r="CC1803" s="33"/>
      <c r="CD1803" s="33"/>
      <c r="CE1803" s="33"/>
      <c r="CF1803" s="33"/>
      <c r="CG1803" s="33"/>
      <c r="CH1803" s="33"/>
      <c r="CI1803" s="250">
        <f t="shared" si="522"/>
        <v>3.7999999999999999E-2</v>
      </c>
      <c r="CJ1803" s="243">
        <f t="shared" si="523"/>
        <v>-1.4202164033831899</v>
      </c>
      <c r="CK1803" s="38">
        <f>BL1803/BJ1803</f>
        <v>2.4142757531118839</v>
      </c>
      <c r="CL1803" s="247">
        <f t="shared" si="524"/>
        <v>1.2202741275388984</v>
      </c>
      <c r="CM1803" s="247"/>
      <c r="CN1803" s="247"/>
      <c r="CO1803" s="41"/>
      <c r="CP1803" s="41" t="s">
        <v>8382</v>
      </c>
      <c r="CQ1803" s="241" t="s">
        <v>272</v>
      </c>
      <c r="CR1803" s="241"/>
      <c r="CS1803" s="33"/>
      <c r="CT1803" s="33"/>
      <c r="CU1803" s="250">
        <f t="shared" si="525"/>
        <v>28.197876453621191</v>
      </c>
      <c r="CV1803" s="337">
        <f>X1803/BJ1803</f>
        <v>55.788652627195916</v>
      </c>
      <c r="CW1803" s="330">
        <f t="shared" si="526"/>
        <v>1</v>
      </c>
      <c r="CX1803" s="330"/>
      <c r="CY1803" s="143" t="s">
        <v>5921</v>
      </c>
    </row>
    <row r="1804" spans="1:103" ht="11.25" customHeight="1" x14ac:dyDescent="0.2">
      <c r="A1804" s="72">
        <v>1802</v>
      </c>
      <c r="B1804" s="241">
        <v>132</v>
      </c>
      <c r="C1804" s="32" t="s">
        <v>7697</v>
      </c>
      <c r="D1804" s="32"/>
      <c r="E1804" s="40"/>
      <c r="F1804" s="40" t="s">
        <v>763</v>
      </c>
      <c r="G1804" s="242">
        <v>492626</v>
      </c>
      <c r="H1804" s="36" t="s">
        <v>764</v>
      </c>
      <c r="I1804" s="36" t="s">
        <v>764</v>
      </c>
      <c r="J1804" s="36" t="s">
        <v>765</v>
      </c>
      <c r="K1804" s="36" t="s">
        <v>426</v>
      </c>
      <c r="L1804" s="36"/>
      <c r="M1804" s="36"/>
      <c r="N1804" s="36"/>
      <c r="O1804" s="36"/>
      <c r="P1804" s="41"/>
      <c r="Q1804" s="41"/>
      <c r="R1804" s="41"/>
      <c r="S1804" s="41"/>
      <c r="T1804" s="37">
        <v>180.16</v>
      </c>
      <c r="U1804" s="243">
        <v>2775.3108348134992</v>
      </c>
      <c r="V1804" s="243">
        <v>5550.6216696269985</v>
      </c>
      <c r="W1804" s="243">
        <v>3311.3112148259115</v>
      </c>
      <c r="X1804" s="243">
        <v>2775.3108348134992</v>
      </c>
      <c r="Y1804" s="414">
        <v>5.77</v>
      </c>
      <c r="Z1804" s="37">
        <v>-2.89</v>
      </c>
      <c r="AA1804" s="37">
        <v>-3.24</v>
      </c>
      <c r="AB1804" s="37">
        <v>-3.07</v>
      </c>
      <c r="AC1804" s="37">
        <v>0.88200000000000001</v>
      </c>
      <c r="AD1804" s="37">
        <v>-2.79</v>
      </c>
      <c r="AE1804" s="37">
        <v>-1.88</v>
      </c>
      <c r="AF1804" s="37">
        <f t="shared" si="513"/>
        <v>-3.24</v>
      </c>
      <c r="AG1804" s="38">
        <v>-2.75</v>
      </c>
      <c r="AH1804" s="243">
        <v>9.7200000000000002E-15</v>
      </c>
      <c r="AI1804" s="243"/>
      <c r="AJ1804" s="34">
        <f t="shared" si="516"/>
        <v>-12.400900061386377</v>
      </c>
      <c r="AK1804" s="34"/>
      <c r="AL1804" s="34">
        <f t="shared" si="515"/>
        <v>-12.400900061386377</v>
      </c>
      <c r="AM1804" s="34">
        <v>-19.83588</v>
      </c>
      <c r="AN1804" s="244">
        <v>-13.7</v>
      </c>
      <c r="AO1804" s="417">
        <v>12.12</v>
      </c>
      <c r="AP1804" s="417"/>
      <c r="AQ1804" s="244" t="s">
        <v>6311</v>
      </c>
      <c r="AR1804" s="244" t="s">
        <v>6311</v>
      </c>
      <c r="AS1804" s="241" t="s">
        <v>87</v>
      </c>
      <c r="AT1804" s="39" t="s">
        <v>266</v>
      </c>
      <c r="AU1804" s="37">
        <v>0</v>
      </c>
      <c r="AV1804" s="37" t="s">
        <v>646</v>
      </c>
      <c r="AW1804" s="37" t="s">
        <v>646</v>
      </c>
      <c r="AX1804" s="37">
        <v>26</v>
      </c>
      <c r="AY1804" s="37" t="s">
        <v>647</v>
      </c>
      <c r="AZ1804" s="37" t="s">
        <v>536</v>
      </c>
      <c r="BA1804" s="37">
        <v>20</v>
      </c>
      <c r="BB1804" s="36" t="s">
        <v>537</v>
      </c>
      <c r="BC1804" s="36" t="s">
        <v>648</v>
      </c>
      <c r="BD1804" s="36"/>
      <c r="BE1804" s="245" t="s">
        <v>649</v>
      </c>
      <c r="BF1804" s="245" t="s">
        <v>650</v>
      </c>
      <c r="BG1804" s="245" t="s">
        <v>540</v>
      </c>
      <c r="BH1804" s="245" t="s">
        <v>272</v>
      </c>
      <c r="BI1804" s="243">
        <v>222</v>
      </c>
      <c r="BJ1804" s="243">
        <v>634.1</v>
      </c>
      <c r="BK1804" s="37"/>
      <c r="BL1804" s="243">
        <f t="shared" si="517"/>
        <v>20244.590665621137</v>
      </c>
      <c r="BM1804" s="37" t="s">
        <v>541</v>
      </c>
      <c r="BN1804" s="37"/>
      <c r="BO1804" s="37">
        <v>427.8</v>
      </c>
      <c r="BP1804" s="37"/>
      <c r="BQ1804" s="37"/>
      <c r="BR1804" s="37"/>
      <c r="BS1804" s="37"/>
      <c r="BT1804" s="37"/>
      <c r="BU1804" s="246"/>
      <c r="BV1804" s="37"/>
      <c r="BW1804" s="37"/>
      <c r="BX1804" s="37"/>
      <c r="BY1804" s="37"/>
      <c r="BZ1804" s="37"/>
      <c r="CA1804" s="37"/>
      <c r="CB1804" s="37"/>
      <c r="CC1804" s="37"/>
      <c r="CD1804" s="37"/>
      <c r="CE1804" s="37"/>
      <c r="CF1804" s="37"/>
      <c r="CG1804" s="37"/>
      <c r="CH1804" s="37"/>
      <c r="CI1804" s="243">
        <f t="shared" si="522"/>
        <v>427.8</v>
      </c>
      <c r="CJ1804" s="243">
        <f t="shared" si="523"/>
        <v>2.6312407802355091</v>
      </c>
      <c r="CK1804" s="38">
        <f>BL1804/BJ1804</f>
        <v>31.926495293520166</v>
      </c>
      <c r="CL1804" s="247">
        <f t="shared" si="524"/>
        <v>47.322558825668857</v>
      </c>
      <c r="CM1804" s="247"/>
      <c r="CN1804" s="247"/>
      <c r="CO1804" s="36"/>
      <c r="CP1804" s="36" t="s">
        <v>651</v>
      </c>
      <c r="CQ1804" s="241" t="s">
        <v>272</v>
      </c>
      <c r="CR1804" s="241"/>
      <c r="CS1804" s="33"/>
      <c r="CT1804" s="33"/>
      <c r="CU1804" s="250">
        <f t="shared" si="525"/>
        <v>6.4874026059221581</v>
      </c>
      <c r="CV1804" s="337">
        <f>X1804/BJ1804</f>
        <v>4.3767715420493598</v>
      </c>
      <c r="CW1804" s="330">
        <f t="shared" si="526"/>
        <v>1</v>
      </c>
      <c r="CX1804" s="330"/>
      <c r="CY1804" s="143" t="s">
        <v>5921</v>
      </c>
    </row>
    <row r="1805" spans="1:103" ht="11.25" customHeight="1" x14ac:dyDescent="0.2">
      <c r="A1805" s="72">
        <v>1803</v>
      </c>
      <c r="B1805" s="241">
        <v>2080</v>
      </c>
      <c r="C1805" s="32" t="s">
        <v>7698</v>
      </c>
      <c r="D1805" s="32"/>
      <c r="E1805" s="40"/>
      <c r="F1805" s="40" t="s">
        <v>5736</v>
      </c>
      <c r="G1805" s="242">
        <v>504881</v>
      </c>
      <c r="H1805" s="41" t="s">
        <v>5737</v>
      </c>
      <c r="I1805" s="41" t="s">
        <v>8224</v>
      </c>
      <c r="J1805" s="41" t="s">
        <v>5738</v>
      </c>
      <c r="K1805" s="41" t="s">
        <v>426</v>
      </c>
      <c r="L1805" s="41"/>
      <c r="M1805" s="41"/>
      <c r="N1805" s="36"/>
      <c r="O1805" s="41"/>
      <c r="P1805" s="41"/>
      <c r="Q1805" s="41"/>
      <c r="R1805" s="41"/>
      <c r="S1805" s="41"/>
      <c r="T1805" s="33">
        <v>119.08</v>
      </c>
      <c r="U1805" s="250"/>
      <c r="V1805" s="250">
        <v>1524.1854215653343</v>
      </c>
      <c r="W1805" s="250">
        <v>3311.3112148259115</v>
      </c>
      <c r="X1805" s="250">
        <f>IF(W1805=0,V1805,W1805)</f>
        <v>3311.3112148259115</v>
      </c>
      <c r="Y1805" s="415">
        <v>1.64</v>
      </c>
      <c r="Z1805" s="33">
        <v>-0.28999999999999998</v>
      </c>
      <c r="AA1805" s="33"/>
      <c r="AB1805" s="33">
        <v>-0.09</v>
      </c>
      <c r="AC1805" s="33">
        <v>0.78290000000000004</v>
      </c>
      <c r="AD1805" s="33">
        <v>-0.09</v>
      </c>
      <c r="AE1805" s="33">
        <v>-0.08</v>
      </c>
      <c r="AF1805" s="33">
        <f t="shared" si="513"/>
        <v>-0.09</v>
      </c>
      <c r="AG1805" s="34">
        <v>-0.09</v>
      </c>
      <c r="AH1805" s="250">
        <v>4.1600000000000001E-10</v>
      </c>
      <c r="AI1805" s="250"/>
      <c r="AJ1805" s="34">
        <f t="shared" si="516"/>
        <v>-7.7694729956859092</v>
      </c>
      <c r="AK1805" s="34"/>
      <c r="AL1805" s="34">
        <f t="shared" si="515"/>
        <v>-7.7694729956859092</v>
      </c>
      <c r="AM1805" s="34">
        <v>-8.019919999999999</v>
      </c>
      <c r="AN1805" s="251"/>
      <c r="AO1805" s="417">
        <v>3.66</v>
      </c>
      <c r="AP1805" s="417"/>
      <c r="AQ1805" s="251" t="s">
        <v>6311</v>
      </c>
      <c r="AR1805" s="251" t="s">
        <v>6311</v>
      </c>
      <c r="AS1805" s="252" t="s">
        <v>5466</v>
      </c>
      <c r="AT1805" s="35" t="s">
        <v>266</v>
      </c>
      <c r="AU1805" s="33">
        <v>4</v>
      </c>
      <c r="AV1805" s="33">
        <v>80</v>
      </c>
      <c r="AW1805" s="33">
        <v>76</v>
      </c>
      <c r="AX1805" s="33">
        <v>28</v>
      </c>
      <c r="AY1805" s="33" t="s">
        <v>267</v>
      </c>
      <c r="AZ1805" s="33" t="s">
        <v>5731</v>
      </c>
      <c r="BA1805" s="33">
        <v>20</v>
      </c>
      <c r="BB1805" s="41" t="s">
        <v>5732</v>
      </c>
      <c r="BC1805" s="41" t="s">
        <v>1584</v>
      </c>
      <c r="BD1805" s="41"/>
      <c r="BE1805" s="33" t="s">
        <v>5733</v>
      </c>
      <c r="BF1805" s="33"/>
      <c r="BG1805" s="33"/>
      <c r="BH1805" s="33" t="s">
        <v>5734</v>
      </c>
      <c r="BI1805" s="250"/>
      <c r="BJ1805" s="250"/>
      <c r="BK1805" s="254"/>
      <c r="BL1805" s="250">
        <f t="shared" si="517"/>
        <v>93.594213686074937</v>
      </c>
      <c r="BM1805" s="33"/>
      <c r="BN1805" s="33"/>
      <c r="BO1805" s="33"/>
      <c r="BP1805" s="33"/>
      <c r="BQ1805" s="33"/>
      <c r="BR1805" s="33"/>
      <c r="BS1805" s="33"/>
      <c r="BT1805" s="33"/>
      <c r="BU1805" s="246"/>
      <c r="BV1805" s="33">
        <v>49</v>
      </c>
      <c r="BW1805" s="33">
        <v>37</v>
      </c>
      <c r="BX1805" s="33"/>
      <c r="BY1805" s="33"/>
      <c r="BZ1805" s="33"/>
      <c r="CA1805" s="33"/>
      <c r="CB1805" s="33"/>
      <c r="CC1805" s="33"/>
      <c r="CD1805" s="33"/>
      <c r="CE1805" s="33"/>
      <c r="CF1805" s="33"/>
      <c r="CG1805" s="33"/>
      <c r="CH1805" s="33"/>
      <c r="CI1805" s="250">
        <f t="shared" si="522"/>
        <v>37</v>
      </c>
      <c r="CJ1805" s="243">
        <f t="shared" si="523"/>
        <v>1.568201724066995</v>
      </c>
      <c r="CK1805" s="38" t="s">
        <v>404</v>
      </c>
      <c r="CL1805" s="247">
        <f t="shared" si="524"/>
        <v>2.5295733428668901</v>
      </c>
      <c r="CM1805" s="247"/>
      <c r="CN1805" s="247"/>
      <c r="CO1805" s="41"/>
      <c r="CP1805" s="41" t="s">
        <v>5735</v>
      </c>
      <c r="CQ1805" s="241" t="s">
        <v>272</v>
      </c>
      <c r="CR1805" s="241"/>
      <c r="CS1805" s="33"/>
      <c r="CT1805" s="33"/>
      <c r="CU1805" s="250">
        <f t="shared" si="525"/>
        <v>89.494897697997615</v>
      </c>
      <c r="CV1805" s="337"/>
      <c r="CW1805" s="330">
        <f t="shared" si="526"/>
        <v>1</v>
      </c>
      <c r="CX1805" s="330" t="s">
        <v>539</v>
      </c>
      <c r="CY1805" s="143" t="s">
        <v>5921</v>
      </c>
    </row>
    <row r="1806" spans="1:103" ht="11.25" customHeight="1" x14ac:dyDescent="0.2">
      <c r="A1806" s="72">
        <v>1804</v>
      </c>
      <c r="B1806" s="241">
        <v>716</v>
      </c>
      <c r="C1806" s="32" t="s">
        <v>7699</v>
      </c>
      <c r="D1806" s="32"/>
      <c r="E1806" s="40"/>
      <c r="F1806" s="40" t="s">
        <v>4074</v>
      </c>
      <c r="G1806" s="242">
        <v>527208</v>
      </c>
      <c r="H1806" s="36" t="s">
        <v>4075</v>
      </c>
      <c r="I1806" s="36" t="s">
        <v>8225</v>
      </c>
      <c r="J1806" s="36" t="s">
        <v>4076</v>
      </c>
      <c r="K1806" s="36" t="s">
        <v>1573</v>
      </c>
      <c r="L1806" s="36"/>
      <c r="M1806" s="36" t="s">
        <v>866</v>
      </c>
      <c r="N1806" s="36"/>
      <c r="O1806" s="36" t="s">
        <v>498</v>
      </c>
      <c r="P1806" s="41"/>
      <c r="Q1806" s="41"/>
      <c r="R1806" s="41"/>
      <c r="S1806" s="41"/>
      <c r="T1806" s="37">
        <v>265.35000000000002</v>
      </c>
      <c r="U1806" s="243"/>
      <c r="V1806" s="243">
        <v>5.5963821368004525E-3</v>
      </c>
      <c r="W1806" s="243">
        <v>6.9183097091893497E-3</v>
      </c>
      <c r="X1806" s="243">
        <f>IF(W1806=0,V1806,W1806)</f>
        <v>6.9183097091893497E-3</v>
      </c>
      <c r="Y1806" s="414">
        <v>7</v>
      </c>
      <c r="Z1806" s="37">
        <v>4.3</v>
      </c>
      <c r="AA1806" s="37">
        <v>4.82</v>
      </c>
      <c r="AB1806" s="37">
        <v>4.68</v>
      </c>
      <c r="AC1806" s="37">
        <v>0.88529999999999998</v>
      </c>
      <c r="AD1806" s="37">
        <v>4.72</v>
      </c>
      <c r="AE1806" s="37">
        <v>4.8600000000000003</v>
      </c>
      <c r="AF1806" s="37">
        <f t="shared" ref="AF1806:AF1822" si="527">IF(AA1806=0,AD1806,AA1806)</f>
        <v>4.82</v>
      </c>
      <c r="AG1806" s="38">
        <v>4.5</v>
      </c>
      <c r="AH1806" s="243">
        <v>4.2500000000000001E-7</v>
      </c>
      <c r="AI1806" s="243"/>
      <c r="AJ1806" s="34">
        <f t="shared" si="516"/>
        <v>-4.7601773962623399</v>
      </c>
      <c r="AK1806" s="34"/>
      <c r="AL1806" s="34">
        <f t="shared" ref="AL1806:AL1837" si="528">IF(AK1806=0,AJ1806,AK1806)</f>
        <v>-4.7601773962623399</v>
      </c>
      <c r="AM1806" s="34">
        <v>-7.7284000000000006</v>
      </c>
      <c r="AN1806" s="244">
        <v>-2.38</v>
      </c>
      <c r="AO1806" s="417"/>
      <c r="AP1806" s="417">
        <v>-2.04</v>
      </c>
      <c r="AQ1806" s="244" t="s">
        <v>6311</v>
      </c>
      <c r="AR1806" s="244" t="s">
        <v>6311</v>
      </c>
      <c r="AS1806" s="241" t="s">
        <v>6</v>
      </c>
      <c r="AT1806" s="39" t="s">
        <v>266</v>
      </c>
      <c r="AU1806" s="37">
        <v>2</v>
      </c>
      <c r="AV1806" s="37">
        <v>48</v>
      </c>
      <c r="AW1806" s="37">
        <v>48</v>
      </c>
      <c r="AX1806" s="37">
        <v>26</v>
      </c>
      <c r="AY1806" s="37" t="s">
        <v>8722</v>
      </c>
      <c r="AZ1806" s="37" t="s">
        <v>1893</v>
      </c>
      <c r="BA1806" s="37">
        <v>15</v>
      </c>
      <c r="BB1806" s="36" t="s">
        <v>1613</v>
      </c>
      <c r="BC1806" s="36" t="s">
        <v>1887</v>
      </c>
      <c r="BD1806" s="36"/>
      <c r="BE1806" s="37" t="s">
        <v>1712</v>
      </c>
      <c r="BF1806" s="37" t="s">
        <v>540</v>
      </c>
      <c r="BG1806" s="37" t="s">
        <v>540</v>
      </c>
      <c r="BH1806" s="37" t="s">
        <v>272</v>
      </c>
      <c r="BI1806" s="248">
        <v>5.6529112492933861E-6</v>
      </c>
      <c r="BJ1806" s="248">
        <v>9.4215187488223099E-6</v>
      </c>
      <c r="BK1806" s="37"/>
      <c r="BL1806" s="243">
        <f t="shared" si="517"/>
        <v>7.0626876525995306E-3</v>
      </c>
      <c r="BM1806" s="37" t="s">
        <v>541</v>
      </c>
      <c r="BN1806" s="37"/>
      <c r="BO1806" s="37"/>
      <c r="BP1806" s="37"/>
      <c r="BQ1806" s="37"/>
      <c r="BR1806" s="37"/>
      <c r="BS1806" s="37"/>
      <c r="BT1806" s="37"/>
      <c r="BU1806" s="246"/>
      <c r="BV1806" s="37"/>
      <c r="BW1806" s="37"/>
      <c r="BX1806" s="37"/>
      <c r="BY1806" s="37"/>
      <c r="BZ1806" s="37"/>
      <c r="CA1806" s="37"/>
      <c r="CB1806" s="37"/>
      <c r="CC1806" s="37"/>
      <c r="CD1806" s="37"/>
      <c r="CE1806" s="37"/>
      <c r="CF1806" s="37"/>
      <c r="CG1806" s="37"/>
      <c r="CH1806" s="37"/>
      <c r="CI1806" s="243"/>
      <c r="CJ1806" s="243"/>
      <c r="CK1806" s="38">
        <f t="shared" ref="CK1806:CK1812" si="529">BL1806/BJ1806</f>
        <v>749.63366744691416</v>
      </c>
      <c r="CL1806" s="247"/>
      <c r="CM1806" s="247"/>
      <c r="CN1806" s="247"/>
      <c r="CO1806" s="36" t="s">
        <v>1888</v>
      </c>
      <c r="CP1806" s="36" t="s">
        <v>1889</v>
      </c>
      <c r="CQ1806" s="241" t="s">
        <v>272</v>
      </c>
      <c r="CR1806" s="241"/>
      <c r="CS1806" s="271"/>
      <c r="CT1806" s="271"/>
      <c r="CU1806" s="250"/>
      <c r="CV1806" s="337">
        <f t="shared" ref="CV1806:CV1812" si="530">X1806/BJ1806</f>
        <v>734.3093925333576</v>
      </c>
      <c r="CW1806" s="330">
        <f>IF(CV1806&lt;1,0,1)</f>
        <v>1</v>
      </c>
      <c r="CX1806" s="330" t="s">
        <v>539</v>
      </c>
      <c r="CY1806" s="143" t="s">
        <v>5921</v>
      </c>
    </row>
    <row r="1807" spans="1:103" ht="11.25" customHeight="1" x14ac:dyDescent="0.2">
      <c r="A1807" s="72">
        <v>1805</v>
      </c>
      <c r="B1807" s="241">
        <v>2004</v>
      </c>
      <c r="C1807" s="32" t="s">
        <v>7274</v>
      </c>
      <c r="D1807" s="32"/>
      <c r="E1807" s="40"/>
      <c r="F1807" s="40" t="s">
        <v>5298</v>
      </c>
      <c r="G1807" s="242">
        <v>532321</v>
      </c>
      <c r="H1807" s="41" t="s">
        <v>5567</v>
      </c>
      <c r="I1807" s="41" t="s">
        <v>8226</v>
      </c>
      <c r="J1807" s="41" t="s">
        <v>5568</v>
      </c>
      <c r="K1807" s="41" t="s">
        <v>426</v>
      </c>
      <c r="L1807" s="36" t="s">
        <v>6165</v>
      </c>
      <c r="M1807" s="36" t="s">
        <v>5960</v>
      </c>
      <c r="N1807" s="36"/>
      <c r="O1807" s="36"/>
      <c r="P1807" s="41"/>
      <c r="Q1807" s="41"/>
      <c r="R1807" s="41"/>
      <c r="S1807" s="41"/>
      <c r="T1807" s="33">
        <v>144.1</v>
      </c>
      <c r="U1807" s="250">
        <v>3858.4316446911866</v>
      </c>
      <c r="V1807" s="250">
        <v>6939.6252602359473</v>
      </c>
      <c r="W1807" s="250">
        <v>34.673685045253158</v>
      </c>
      <c r="X1807" s="250">
        <v>3858.4316446911866</v>
      </c>
      <c r="Y1807" s="415">
        <v>2.84</v>
      </c>
      <c r="Z1807" s="33">
        <v>-2.27</v>
      </c>
      <c r="AA1807" s="33"/>
      <c r="AB1807" s="33">
        <v>1.87</v>
      </c>
      <c r="AC1807" s="33">
        <v>0.87239999999999995</v>
      </c>
      <c r="AD1807" s="33">
        <v>1.87</v>
      </c>
      <c r="AE1807" s="33">
        <v>1.89</v>
      </c>
      <c r="AF1807" s="33">
        <f t="shared" si="527"/>
        <v>1.87</v>
      </c>
      <c r="AG1807" s="34">
        <v>1.87</v>
      </c>
      <c r="AH1807" s="250">
        <v>1.09E-7</v>
      </c>
      <c r="AI1807" s="250"/>
      <c r="AJ1807" s="34">
        <f t="shared" si="516"/>
        <v>-5.3511398283720286</v>
      </c>
      <c r="AK1807" s="34"/>
      <c r="AL1807" s="34">
        <f t="shared" si="528"/>
        <v>-5.3511398283720286</v>
      </c>
      <c r="AM1807" s="34">
        <v>-7.6162700000000001</v>
      </c>
      <c r="AN1807" s="251"/>
      <c r="AO1807" s="417">
        <v>4.2</v>
      </c>
      <c r="AP1807" s="417"/>
      <c r="AQ1807" s="251" t="s">
        <v>6311</v>
      </c>
      <c r="AR1807" s="251" t="s">
        <v>6311</v>
      </c>
      <c r="AS1807" s="252" t="s">
        <v>5466</v>
      </c>
      <c r="AT1807" s="35" t="s">
        <v>266</v>
      </c>
      <c r="AU1807" s="33">
        <v>48</v>
      </c>
      <c r="AV1807" s="33">
        <v>72</v>
      </c>
      <c r="AW1807" s="33">
        <v>24</v>
      </c>
      <c r="AX1807" s="33" t="s">
        <v>6240</v>
      </c>
      <c r="AY1807" s="33" t="s">
        <v>1584</v>
      </c>
      <c r="AZ1807" s="33" t="s">
        <v>6239</v>
      </c>
      <c r="BA1807" s="33">
        <v>20</v>
      </c>
      <c r="BB1807" s="41" t="s">
        <v>1764</v>
      </c>
      <c r="BC1807" s="41" t="s">
        <v>6260</v>
      </c>
      <c r="BD1807" s="41"/>
      <c r="BE1807" s="33" t="s">
        <v>271</v>
      </c>
      <c r="BF1807" s="33" t="s">
        <v>272</v>
      </c>
      <c r="BG1807" s="33" t="s">
        <v>272</v>
      </c>
      <c r="BH1807" s="33" t="s">
        <v>6261</v>
      </c>
      <c r="BI1807" s="250">
        <f>1/144.1</f>
        <v>6.9396252602359479E-3</v>
      </c>
      <c r="BJ1807" s="250">
        <f>2000/144.1</f>
        <v>13.879250520471896</v>
      </c>
      <c r="BK1807" s="254"/>
      <c r="BL1807" s="250">
        <f t="shared" si="517"/>
        <v>5616.7746507194443</v>
      </c>
      <c r="BM1807" s="33" t="s">
        <v>6250</v>
      </c>
      <c r="BN1807" s="33"/>
      <c r="BO1807" s="33"/>
      <c r="BP1807" s="33"/>
      <c r="BQ1807" s="33"/>
      <c r="BR1807" s="33"/>
      <c r="BS1807" s="33"/>
      <c r="BT1807" s="33"/>
      <c r="BU1807" s="246"/>
      <c r="BV1807" s="33"/>
      <c r="BW1807" s="33"/>
      <c r="BX1807" s="33"/>
      <c r="BY1807" s="33"/>
      <c r="BZ1807" s="33"/>
      <c r="CA1807" s="33"/>
      <c r="CB1807" s="33"/>
      <c r="CC1807" s="33">
        <v>10.8</v>
      </c>
      <c r="CD1807" s="33"/>
      <c r="CE1807" s="33"/>
      <c r="CF1807" s="33"/>
      <c r="CG1807" s="33"/>
      <c r="CH1807" s="33"/>
      <c r="CI1807" s="250">
        <f t="shared" ref="CI1807:CI1817" si="531">MIN(BN1807:CH1807)</f>
        <v>10.8</v>
      </c>
      <c r="CJ1807" s="243">
        <f t="shared" ref="CJ1807:CJ1817" si="532">LOG10(CI1807)</f>
        <v>1.0334237554869496</v>
      </c>
      <c r="CK1807" s="38">
        <f t="shared" si="529"/>
        <v>404.68861358433594</v>
      </c>
      <c r="CL1807" s="247">
        <f t="shared" ref="CL1807:CL1817" si="533">BL1807/CI1807</f>
        <v>520.07172691846699</v>
      </c>
      <c r="CM1807" s="247"/>
      <c r="CN1807" s="247"/>
      <c r="CO1807" s="41"/>
      <c r="CP1807" s="41" t="s">
        <v>6262</v>
      </c>
      <c r="CQ1807" s="241">
        <v>0.63509183139456871</v>
      </c>
      <c r="CR1807" s="241">
        <f t="shared" ref="CR1807:CR1813" si="534">10^(CJ1807-CQ1807)</f>
        <v>2.5022570647669395</v>
      </c>
      <c r="CS1807" s="33"/>
      <c r="CT1807" s="33"/>
      <c r="CU1807" s="250">
        <f t="shared" ref="CU1807:CU1817" si="535">X1807/CI1807</f>
        <v>357.26218932325799</v>
      </c>
      <c r="CV1807" s="337">
        <f t="shared" si="530"/>
        <v>278</v>
      </c>
      <c r="CW1807" s="330">
        <f t="shared" ref="CW1807:CW1817" si="536">IF(CU1807&lt;2,0,1)</f>
        <v>1</v>
      </c>
      <c r="CX1807" s="330"/>
      <c r="CY1807" s="143" t="s">
        <v>6351</v>
      </c>
    </row>
    <row r="1808" spans="1:103" ht="11.25" customHeight="1" x14ac:dyDescent="0.2">
      <c r="A1808" s="72">
        <v>1806</v>
      </c>
      <c r="B1808" s="241">
        <v>664</v>
      </c>
      <c r="C1808" s="32" t="s">
        <v>6701</v>
      </c>
      <c r="D1808" s="32"/>
      <c r="E1808" s="40"/>
      <c r="F1808" s="40" t="s">
        <v>1690</v>
      </c>
      <c r="G1808" s="242">
        <v>534521</v>
      </c>
      <c r="H1808" s="36" t="s">
        <v>1691</v>
      </c>
      <c r="I1808" s="36" t="s">
        <v>1691</v>
      </c>
      <c r="J1808" s="36" t="s">
        <v>1692</v>
      </c>
      <c r="K1808" s="36" t="s">
        <v>1693</v>
      </c>
      <c r="L1808" s="36" t="s">
        <v>617</v>
      </c>
      <c r="M1808" s="36" t="s">
        <v>1694</v>
      </c>
      <c r="N1808" s="36" t="s">
        <v>6381</v>
      </c>
      <c r="O1808" s="36" t="s">
        <v>1695</v>
      </c>
      <c r="P1808" s="41"/>
      <c r="Q1808" s="41" t="s">
        <v>6173</v>
      </c>
      <c r="R1808" s="41" t="s">
        <v>6180</v>
      </c>
      <c r="S1808" s="41" t="s">
        <v>6176</v>
      </c>
      <c r="T1808" s="37">
        <v>198.13</v>
      </c>
      <c r="U1808" s="243">
        <v>0.99934386513905016</v>
      </c>
      <c r="V1808" s="243">
        <v>3.4240145359107657</v>
      </c>
      <c r="W1808" s="243">
        <v>2.8840315031266042</v>
      </c>
      <c r="X1808" s="243">
        <v>0.99934386513905016</v>
      </c>
      <c r="Y1808" s="414">
        <v>3.5</v>
      </c>
      <c r="Z1808" s="37">
        <v>2.27</v>
      </c>
      <c r="AA1808" s="37">
        <v>2.13</v>
      </c>
      <c r="AB1808" s="37">
        <v>2.29</v>
      </c>
      <c r="AC1808" s="37">
        <v>0.86</v>
      </c>
      <c r="AD1808" s="37">
        <v>2.27</v>
      </c>
      <c r="AE1808" s="37">
        <v>2.2000000000000002</v>
      </c>
      <c r="AF1808" s="37">
        <f t="shared" si="527"/>
        <v>2.13</v>
      </c>
      <c r="AG1808" s="38">
        <v>1.1499999999999999</v>
      </c>
      <c r="AH1808" s="243">
        <v>3.0500000000000002E-8</v>
      </c>
      <c r="AI1808" s="243">
        <v>1.3999999999999999E-6</v>
      </c>
      <c r="AJ1808" s="34">
        <f t="shared" si="516"/>
        <v>-5.9042664869658656</v>
      </c>
      <c r="AK1808" s="34">
        <f>LOG10(AI1808*1000/(0.08206*298.15))</f>
        <v>-4.2424382906344134</v>
      </c>
      <c r="AL1808" s="34">
        <f t="shared" si="528"/>
        <v>-4.2424382906344134</v>
      </c>
      <c r="AM1808" s="34">
        <v>-9.2475299999999994</v>
      </c>
      <c r="AN1808" s="244">
        <v>-5.07</v>
      </c>
      <c r="AO1808" s="417">
        <v>4.42</v>
      </c>
      <c r="AP1808" s="417"/>
      <c r="AQ1808" s="244" t="s">
        <v>6311</v>
      </c>
      <c r="AR1808" s="244" t="s">
        <v>6311</v>
      </c>
      <c r="AS1808" s="241" t="s">
        <v>6</v>
      </c>
      <c r="AT1808" s="39" t="s">
        <v>266</v>
      </c>
      <c r="AU1808" s="37">
        <v>2</v>
      </c>
      <c r="AV1808" s="37">
        <v>48</v>
      </c>
      <c r="AW1808" s="37">
        <v>48</v>
      </c>
      <c r="AX1808" s="37">
        <v>26</v>
      </c>
      <c r="AY1808" s="37" t="s">
        <v>647</v>
      </c>
      <c r="AZ1808" s="37" t="s">
        <v>1920</v>
      </c>
      <c r="BA1808" s="37">
        <v>10</v>
      </c>
      <c r="BB1808" s="36" t="s">
        <v>1613</v>
      </c>
      <c r="BC1808" s="36" t="s">
        <v>538</v>
      </c>
      <c r="BD1808" s="36"/>
      <c r="BE1808" s="37" t="s">
        <v>271</v>
      </c>
      <c r="BF1808" s="37" t="s">
        <v>272</v>
      </c>
      <c r="BG1808" s="37" t="s">
        <v>272</v>
      </c>
      <c r="BH1808" s="37" t="s">
        <v>272</v>
      </c>
      <c r="BI1808" s="248">
        <v>5.0469365095387103E-5</v>
      </c>
      <c r="BJ1808" s="248">
        <v>0.10093873019077421</v>
      </c>
      <c r="BK1808" s="37"/>
      <c r="BL1808" s="243">
        <f t="shared" si="517"/>
        <v>0.47001638725467887</v>
      </c>
      <c r="BM1808" s="37" t="s">
        <v>541</v>
      </c>
      <c r="BN1808" s="37"/>
      <c r="BO1808" s="37">
        <v>3.0281619057232262E-3</v>
      </c>
      <c r="BP1808" s="37"/>
      <c r="BQ1808" s="37"/>
      <c r="BR1808" s="37"/>
      <c r="BS1808" s="37"/>
      <c r="BT1808" s="37"/>
      <c r="BU1808" s="246"/>
      <c r="BV1808" s="37"/>
      <c r="BW1808" s="37"/>
      <c r="BX1808" s="37"/>
      <c r="BY1808" s="37"/>
      <c r="BZ1808" s="37"/>
      <c r="CA1808" s="37"/>
      <c r="CB1808" s="37"/>
      <c r="CC1808" s="37"/>
      <c r="CD1808" s="37"/>
      <c r="CE1808" s="37"/>
      <c r="CF1808" s="37"/>
      <c r="CG1808" s="37"/>
      <c r="CH1808" s="37"/>
      <c r="CI1808" s="243">
        <f t="shared" si="531"/>
        <v>3.0281619057232262E-3</v>
      </c>
      <c r="CJ1808" s="243">
        <f t="shared" si="532"/>
        <v>-2.5188209082728883</v>
      </c>
      <c r="CK1808" s="38">
        <f t="shared" si="529"/>
        <v>4.6564523485321034</v>
      </c>
      <c r="CL1808" s="247">
        <f t="shared" si="533"/>
        <v>155.21507828440343</v>
      </c>
      <c r="CM1808" s="247"/>
      <c r="CN1808" s="247"/>
      <c r="CO1808" s="36"/>
      <c r="CP1808" s="36" t="s">
        <v>1921</v>
      </c>
      <c r="CQ1808" s="241">
        <v>-2.4104555644709507</v>
      </c>
      <c r="CR1808" s="241">
        <f t="shared" si="534"/>
        <v>0.77917436584680178</v>
      </c>
      <c r="CS1808" s="33"/>
      <c r="CT1808" s="33"/>
      <c r="CU1808" s="250">
        <f t="shared" si="535"/>
        <v>330.01665573108562</v>
      </c>
      <c r="CV1808" s="337">
        <f t="shared" si="530"/>
        <v>9.90049967193257</v>
      </c>
      <c r="CW1808" s="330">
        <f t="shared" si="536"/>
        <v>1</v>
      </c>
      <c r="CX1808" s="330"/>
      <c r="CY1808" s="143" t="s">
        <v>6351</v>
      </c>
    </row>
    <row r="1809" spans="1:103" ht="11.25" customHeight="1" x14ac:dyDescent="0.2">
      <c r="A1809" s="72">
        <v>1807</v>
      </c>
      <c r="B1809" s="241">
        <v>651</v>
      </c>
      <c r="C1809" s="32" t="s">
        <v>7700</v>
      </c>
      <c r="D1809" s="32"/>
      <c r="E1809" s="40"/>
      <c r="F1809" s="40" t="s">
        <v>1666</v>
      </c>
      <c r="G1809" s="242">
        <v>554007</v>
      </c>
      <c r="H1809" s="36" t="s">
        <v>1667</v>
      </c>
      <c r="I1809" s="36" t="s">
        <v>8227</v>
      </c>
      <c r="J1809" s="36" t="s">
        <v>1668</v>
      </c>
      <c r="K1809" s="36" t="s">
        <v>1573</v>
      </c>
      <c r="L1809" s="36"/>
      <c r="M1809" s="36" t="s">
        <v>1629</v>
      </c>
      <c r="N1809" s="36"/>
      <c r="O1809" s="36" t="s">
        <v>1630</v>
      </c>
      <c r="P1809" s="41" t="s">
        <v>6184</v>
      </c>
      <c r="Q1809" s="41" t="s">
        <v>6176</v>
      </c>
      <c r="R1809" s="41" t="s">
        <v>6185</v>
      </c>
      <c r="S1809" s="41" t="s">
        <v>6176</v>
      </c>
      <c r="T1809" s="37">
        <v>162.02000000000001</v>
      </c>
      <c r="U1809" s="243">
        <v>3.8266880632020737</v>
      </c>
      <c r="V1809" s="243">
        <v>1.7473151462782373</v>
      </c>
      <c r="W1809" s="243">
        <v>1.5135612484362073</v>
      </c>
      <c r="X1809" s="243">
        <v>3.8266880632020737</v>
      </c>
      <c r="Y1809" s="414">
        <v>7.03</v>
      </c>
      <c r="Z1809" s="37">
        <v>2.37</v>
      </c>
      <c r="AA1809" s="37">
        <v>2.78</v>
      </c>
      <c r="AB1809" s="37">
        <v>2.77</v>
      </c>
      <c r="AC1809" s="37">
        <v>0.91710000000000003</v>
      </c>
      <c r="AD1809" s="37">
        <v>2.76</v>
      </c>
      <c r="AE1809" s="37">
        <v>2.74</v>
      </c>
      <c r="AF1809" s="37">
        <f t="shared" si="527"/>
        <v>2.78</v>
      </c>
      <c r="AG1809" s="38">
        <v>2.4700000000000002</v>
      </c>
      <c r="AH1809" s="243">
        <v>1.0499999999999999E-6</v>
      </c>
      <c r="AI1809" s="243"/>
      <c r="AJ1809" s="34">
        <f t="shared" si="516"/>
        <v>-4.3673770272427141</v>
      </c>
      <c r="AK1809" s="34"/>
      <c r="AL1809" s="34">
        <f t="shared" si="528"/>
        <v>-4.3673770272427141</v>
      </c>
      <c r="AM1809" s="34">
        <v>-7.0191300000000005</v>
      </c>
      <c r="AN1809" s="244">
        <v>-2.97</v>
      </c>
      <c r="AO1809" s="417"/>
      <c r="AP1809" s="417">
        <v>2.02</v>
      </c>
      <c r="AQ1809" s="244" t="s">
        <v>6311</v>
      </c>
      <c r="AR1809" s="244" t="s">
        <v>6311</v>
      </c>
      <c r="AS1809" s="241" t="s">
        <v>6</v>
      </c>
      <c r="AT1809" s="39" t="s">
        <v>266</v>
      </c>
      <c r="AU1809" s="37">
        <v>2</v>
      </c>
      <c r="AV1809" s="37">
        <v>48</v>
      </c>
      <c r="AW1809" s="37">
        <v>48</v>
      </c>
      <c r="AX1809" s="37">
        <v>26</v>
      </c>
      <c r="AY1809" s="37" t="s">
        <v>647</v>
      </c>
      <c r="AZ1809" s="37" t="s">
        <v>1912</v>
      </c>
      <c r="BA1809" s="37">
        <v>25</v>
      </c>
      <c r="BB1809" s="36" t="s">
        <v>1613</v>
      </c>
      <c r="BC1809" s="36" t="s">
        <v>538</v>
      </c>
      <c r="BD1809" s="36"/>
      <c r="BE1809" s="37" t="s">
        <v>271</v>
      </c>
      <c r="BF1809" s="37" t="s">
        <v>272</v>
      </c>
      <c r="BG1809" s="37" t="s">
        <v>272</v>
      </c>
      <c r="BH1809" s="37" t="s">
        <v>272</v>
      </c>
      <c r="BI1809" s="243">
        <v>1.4499999999999999E-3</v>
      </c>
      <c r="BJ1809" s="243">
        <v>0.79</v>
      </c>
      <c r="BK1809" s="37"/>
      <c r="BL1809" s="243">
        <f t="shared" si="517"/>
        <v>0.38221083995251059</v>
      </c>
      <c r="BM1809" s="37" t="s">
        <v>541</v>
      </c>
      <c r="BN1809" s="37"/>
      <c r="BO1809" s="37">
        <v>6.7699999999999996E-2</v>
      </c>
      <c r="BP1809" s="37"/>
      <c r="BQ1809" s="37"/>
      <c r="BR1809" s="37"/>
      <c r="BS1809" s="37"/>
      <c r="BT1809" s="37"/>
      <c r="BU1809" s="246"/>
      <c r="BV1809" s="37"/>
      <c r="BW1809" s="37"/>
      <c r="BX1809" s="37"/>
      <c r="BY1809" s="37"/>
      <c r="BZ1809" s="37"/>
      <c r="CA1809" s="37"/>
      <c r="CB1809" s="37"/>
      <c r="CC1809" s="37"/>
      <c r="CD1809" s="37"/>
      <c r="CE1809" s="37"/>
      <c r="CF1809" s="37"/>
      <c r="CG1809" s="37"/>
      <c r="CH1809" s="37"/>
      <c r="CI1809" s="243">
        <f t="shared" si="531"/>
        <v>6.7699999999999996E-2</v>
      </c>
      <c r="CJ1809" s="243">
        <f t="shared" si="532"/>
        <v>-1.1694113313148558</v>
      </c>
      <c r="CK1809" s="38">
        <f t="shared" si="529"/>
        <v>0.48381118981330451</v>
      </c>
      <c r="CL1809" s="247">
        <f t="shared" si="533"/>
        <v>5.6456549475998612</v>
      </c>
      <c r="CM1809" s="247"/>
      <c r="CN1809" s="247"/>
      <c r="CO1809" s="36"/>
      <c r="CP1809" s="36" t="s">
        <v>1913</v>
      </c>
      <c r="CQ1809" s="241">
        <v>-1.2248752200136421</v>
      </c>
      <c r="CR1809" s="241">
        <f t="shared" si="534"/>
        <v>1.1362238174744772</v>
      </c>
      <c r="CS1809" s="33"/>
      <c r="CT1809" s="33"/>
      <c r="CU1809" s="250">
        <f t="shared" si="535"/>
        <v>56.524195911404341</v>
      </c>
      <c r="CV1809" s="337">
        <f t="shared" si="530"/>
        <v>4.8439089407621188</v>
      </c>
      <c r="CW1809" s="330">
        <f t="shared" si="536"/>
        <v>1</v>
      </c>
      <c r="CX1809" s="330"/>
      <c r="CY1809" s="143" t="s">
        <v>6351</v>
      </c>
    </row>
    <row r="1810" spans="1:103" ht="11.25" customHeight="1" x14ac:dyDescent="0.2">
      <c r="A1810" s="72">
        <v>1808</v>
      </c>
      <c r="B1810" s="241">
        <v>524</v>
      </c>
      <c r="C1810" s="32" t="s">
        <v>7700</v>
      </c>
      <c r="D1810" s="32"/>
      <c r="E1810" s="40"/>
      <c r="F1810" s="40" t="s">
        <v>1666</v>
      </c>
      <c r="G1810" s="242">
        <v>554007</v>
      </c>
      <c r="H1810" s="36" t="s">
        <v>1667</v>
      </c>
      <c r="I1810" s="36" t="s">
        <v>8227</v>
      </c>
      <c r="J1810" s="36" t="s">
        <v>1668</v>
      </c>
      <c r="K1810" s="36" t="s">
        <v>1573</v>
      </c>
      <c r="L1810" s="36"/>
      <c r="M1810" s="36" t="s">
        <v>1629</v>
      </c>
      <c r="N1810" s="36"/>
      <c r="O1810" s="36" t="s">
        <v>1630</v>
      </c>
      <c r="P1810" s="41" t="s">
        <v>6184</v>
      </c>
      <c r="Q1810" s="41" t="s">
        <v>6176</v>
      </c>
      <c r="R1810" s="41" t="s">
        <v>6185</v>
      </c>
      <c r="S1810" s="41" t="s">
        <v>6176</v>
      </c>
      <c r="T1810" s="37">
        <v>162.02000000000001</v>
      </c>
      <c r="U1810" s="243">
        <v>3.8266880632020737</v>
      </c>
      <c r="V1810" s="243">
        <v>1.7473151462782373</v>
      </c>
      <c r="W1810" s="243">
        <v>1.5135612484362073</v>
      </c>
      <c r="X1810" s="243">
        <v>3.8266880632020737</v>
      </c>
      <c r="Y1810" s="414">
        <v>7.03</v>
      </c>
      <c r="Z1810" s="37">
        <v>2.37</v>
      </c>
      <c r="AA1810" s="37">
        <v>2.78</v>
      </c>
      <c r="AB1810" s="37">
        <v>2.77</v>
      </c>
      <c r="AC1810" s="37">
        <v>0.91710000000000003</v>
      </c>
      <c r="AD1810" s="37">
        <v>2.76</v>
      </c>
      <c r="AE1810" s="37">
        <v>2.74</v>
      </c>
      <c r="AF1810" s="37">
        <f t="shared" si="527"/>
        <v>2.78</v>
      </c>
      <c r="AG1810" s="38">
        <v>2.4700000000000002</v>
      </c>
      <c r="AH1810" s="243">
        <v>1.0499999999999999E-6</v>
      </c>
      <c r="AI1810" s="243"/>
      <c r="AJ1810" s="34">
        <f t="shared" ref="AJ1810:AJ1841" si="537">LOG10(AH1810*1000/(0.08206*298.15))</f>
        <v>-4.3673770272427141</v>
      </c>
      <c r="AK1810" s="34"/>
      <c r="AL1810" s="34">
        <f t="shared" si="528"/>
        <v>-4.3673770272427141</v>
      </c>
      <c r="AM1810" s="34">
        <v>-7.0191300000000005</v>
      </c>
      <c r="AN1810" s="244">
        <v>-2.97</v>
      </c>
      <c r="AO1810" s="417"/>
      <c r="AP1810" s="417">
        <v>2.02</v>
      </c>
      <c r="AQ1810" s="244" t="s">
        <v>6311</v>
      </c>
      <c r="AR1810" s="244" t="s">
        <v>6311</v>
      </c>
      <c r="AS1810" s="241" t="s">
        <v>6</v>
      </c>
      <c r="AT1810" s="39" t="s">
        <v>266</v>
      </c>
      <c r="AU1810" s="37">
        <v>2</v>
      </c>
      <c r="AV1810" s="37">
        <v>48</v>
      </c>
      <c r="AW1810" s="37">
        <v>48</v>
      </c>
      <c r="AX1810" s="37">
        <v>26</v>
      </c>
      <c r="AY1810" s="37" t="s">
        <v>647</v>
      </c>
      <c r="AZ1810" s="37" t="s">
        <v>536</v>
      </c>
      <c r="BA1810" s="37">
        <v>20</v>
      </c>
      <c r="BB1810" s="36" t="s">
        <v>537</v>
      </c>
      <c r="BC1810" s="36" t="s">
        <v>538</v>
      </c>
      <c r="BD1810" s="36"/>
      <c r="BE1810" s="37" t="s">
        <v>271</v>
      </c>
      <c r="BF1810" s="37" t="s">
        <v>539</v>
      </c>
      <c r="BG1810" s="37" t="s">
        <v>272</v>
      </c>
      <c r="BH1810" s="37" t="s">
        <v>272</v>
      </c>
      <c r="BI1810" s="248">
        <v>2.2219479076657202E-2</v>
      </c>
      <c r="BJ1810" s="248">
        <v>0.111097395383286</v>
      </c>
      <c r="BK1810" s="37"/>
      <c r="BL1810" s="243">
        <f t="shared" si="517"/>
        <v>0.38221083995251059</v>
      </c>
      <c r="BM1810" s="37" t="s">
        <v>541</v>
      </c>
      <c r="BN1810" s="37"/>
      <c r="BO1810" s="37">
        <v>0.13269966670781383</v>
      </c>
      <c r="BP1810" s="37"/>
      <c r="BQ1810" s="37"/>
      <c r="BR1810" s="37"/>
      <c r="BS1810" s="37"/>
      <c r="BT1810" s="37"/>
      <c r="BU1810" s="246"/>
      <c r="BV1810" s="37"/>
      <c r="BW1810" s="37"/>
      <c r="BX1810" s="37"/>
      <c r="BY1810" s="37"/>
      <c r="BZ1810" s="37"/>
      <c r="CA1810" s="37"/>
      <c r="CB1810" s="37"/>
      <c r="CC1810" s="37"/>
      <c r="CD1810" s="37"/>
      <c r="CE1810" s="37"/>
      <c r="CF1810" s="37"/>
      <c r="CG1810" s="37"/>
      <c r="CH1810" s="37"/>
      <c r="CI1810" s="243">
        <f t="shared" si="531"/>
        <v>0.13269966670781383</v>
      </c>
      <c r="CJ1810" s="243">
        <f t="shared" si="532"/>
        <v>-0.87713016792033538</v>
      </c>
      <c r="CK1810" s="38">
        <f t="shared" si="529"/>
        <v>3.4403222382836542</v>
      </c>
      <c r="CL1810" s="247">
        <f t="shared" si="533"/>
        <v>2.8802697808886406</v>
      </c>
      <c r="CM1810" s="247"/>
      <c r="CN1810" s="247"/>
      <c r="CO1810" s="36"/>
      <c r="CP1810" s="36" t="s">
        <v>1558</v>
      </c>
      <c r="CQ1810" s="241">
        <v>-1.2248752200136421</v>
      </c>
      <c r="CR1810" s="241">
        <f t="shared" si="534"/>
        <v>2.2271273542739003</v>
      </c>
      <c r="CS1810" s="33"/>
      <c r="CT1810" s="33"/>
      <c r="CU1810" s="250">
        <f t="shared" si="535"/>
        <v>28.837209302325586</v>
      </c>
      <c r="CV1810" s="337">
        <f t="shared" si="530"/>
        <v>34.44444444444445</v>
      </c>
      <c r="CW1810" s="330">
        <f t="shared" si="536"/>
        <v>1</v>
      </c>
      <c r="CX1810" s="330"/>
      <c r="CY1810" s="143" t="s">
        <v>6351</v>
      </c>
    </row>
    <row r="1811" spans="1:103" ht="11.25" customHeight="1" x14ac:dyDescent="0.2">
      <c r="A1811" s="72">
        <v>1809</v>
      </c>
      <c r="B1811" s="241">
        <v>2031</v>
      </c>
      <c r="C1811" s="32" t="s">
        <v>2249</v>
      </c>
      <c r="D1811" s="32"/>
      <c r="E1811" s="40"/>
      <c r="F1811" s="40" t="s">
        <v>2250</v>
      </c>
      <c r="G1811" s="242">
        <v>556616</v>
      </c>
      <c r="H1811" s="41" t="s">
        <v>2251</v>
      </c>
      <c r="I1811" s="41" t="s">
        <v>2251</v>
      </c>
      <c r="J1811" s="41" t="s">
        <v>2252</v>
      </c>
      <c r="K1811" s="41" t="s">
        <v>1468</v>
      </c>
      <c r="L1811" s="36" t="s">
        <v>6022</v>
      </c>
      <c r="M1811" s="36" t="s">
        <v>6023</v>
      </c>
      <c r="N1811" s="36" t="s">
        <v>6382</v>
      </c>
      <c r="O1811" s="42" t="s">
        <v>5943</v>
      </c>
      <c r="P1811" s="41"/>
      <c r="Q1811" s="41"/>
      <c r="R1811" s="41"/>
      <c r="S1811" s="41"/>
      <c r="T1811" s="33">
        <v>73.118700000000004</v>
      </c>
      <c r="U1811" s="250">
        <v>103.93873085339168</v>
      </c>
      <c r="V1811" s="250">
        <v>288.97702407002186</v>
      </c>
      <c r="W1811" s="250">
        <v>53.703179637025258</v>
      </c>
      <c r="X1811" s="250">
        <v>103.93873085339168</v>
      </c>
      <c r="Y1811" s="415">
        <v>7</v>
      </c>
      <c r="Z1811" s="33">
        <v>1.3</v>
      </c>
      <c r="AA1811" s="33">
        <v>0.94</v>
      </c>
      <c r="AB1811" s="33">
        <v>1.6</v>
      </c>
      <c r="AC1811" s="33">
        <v>0.87309999999999999</v>
      </c>
      <c r="AD1811" s="33">
        <v>1.44</v>
      </c>
      <c r="AE1811" s="33">
        <v>0.94</v>
      </c>
      <c r="AF1811" s="33">
        <f t="shared" si="527"/>
        <v>0.94</v>
      </c>
      <c r="AG1811" s="34">
        <v>1.53</v>
      </c>
      <c r="AH1811" s="250">
        <v>3.1099999999999999E-3</v>
      </c>
      <c r="AI1811" s="250">
        <v>4.4799999999999998E-5</v>
      </c>
      <c r="AJ1811" s="34">
        <f t="shared" si="537"/>
        <v>-0.89580593728581437</v>
      </c>
      <c r="AK1811" s="34">
        <f>LOG10(AI1811*1000/(0.08206*298.15))</f>
        <v>-2.737288312314508</v>
      </c>
      <c r="AL1811" s="34">
        <f t="shared" si="528"/>
        <v>-2.737288312314508</v>
      </c>
      <c r="AM1811" s="34">
        <v>-1.2832599999999998</v>
      </c>
      <c r="AN1811" s="251">
        <v>-2.3068</v>
      </c>
      <c r="AO1811" s="417"/>
      <c r="AP1811" s="417"/>
      <c r="AQ1811" s="251" t="s">
        <v>6311</v>
      </c>
      <c r="AR1811" s="251" t="s">
        <v>6311</v>
      </c>
      <c r="AS1811" s="252" t="s">
        <v>5466</v>
      </c>
      <c r="AT1811" s="35" t="s">
        <v>266</v>
      </c>
      <c r="AU1811" s="33">
        <v>4</v>
      </c>
      <c r="AV1811" s="33">
        <v>24</v>
      </c>
      <c r="AW1811" s="33">
        <v>20</v>
      </c>
      <c r="AX1811" s="33">
        <v>28</v>
      </c>
      <c r="AY1811" s="262" t="s">
        <v>267</v>
      </c>
      <c r="AZ1811" s="33" t="s">
        <v>6212</v>
      </c>
      <c r="BA1811" s="33">
        <v>20</v>
      </c>
      <c r="BB1811" s="41" t="s">
        <v>6300</v>
      </c>
      <c r="BC1811" s="41" t="s">
        <v>5697</v>
      </c>
      <c r="BD1811" s="41"/>
      <c r="BE1811" s="33" t="s">
        <v>2449</v>
      </c>
      <c r="BF1811" s="33" t="s">
        <v>6203</v>
      </c>
      <c r="BG1811" s="33" t="s">
        <v>6203</v>
      </c>
      <c r="BH1811" s="33"/>
      <c r="BI1811" s="250">
        <v>5.470556779592635E-5</v>
      </c>
      <c r="BJ1811" s="250">
        <v>5.4705567795926349E-2</v>
      </c>
      <c r="BK1811" s="254"/>
      <c r="BL1811" s="250">
        <f t="shared" si="517"/>
        <v>3.4935744279256031</v>
      </c>
      <c r="BM1811" s="33" t="s">
        <v>1584</v>
      </c>
      <c r="BN1811" s="33">
        <v>1.8699999999999999E-3</v>
      </c>
      <c r="BO1811" s="33"/>
      <c r="BP1811" s="33"/>
      <c r="BQ1811" s="33"/>
      <c r="BR1811" s="33"/>
      <c r="BS1811" s="33"/>
      <c r="BT1811" s="33"/>
      <c r="BU1811" s="246"/>
      <c r="BV1811" s="33"/>
      <c r="BW1811" s="33"/>
      <c r="BX1811" s="33"/>
      <c r="BY1811" s="33"/>
      <c r="BZ1811" s="33"/>
      <c r="CA1811" s="33"/>
      <c r="CB1811" s="33"/>
      <c r="CC1811" s="33"/>
      <c r="CD1811" s="33"/>
      <c r="CE1811" s="33"/>
      <c r="CF1811" s="33"/>
      <c r="CG1811" s="33"/>
      <c r="CH1811" s="33"/>
      <c r="CI1811" s="250">
        <f t="shared" si="531"/>
        <v>1.8699999999999999E-3</v>
      </c>
      <c r="CJ1811" s="243">
        <f t="shared" si="532"/>
        <v>-2.728158393463501</v>
      </c>
      <c r="CK1811" s="38">
        <f t="shared" si="529"/>
        <v>63.861405130790949</v>
      </c>
      <c r="CL1811" s="247">
        <f t="shared" si="533"/>
        <v>1868.2216192115525</v>
      </c>
      <c r="CM1811" s="247">
        <v>-3.0228372754380102</v>
      </c>
      <c r="CN1811" s="247">
        <f>BJ1811/(10^CM1811)</f>
        <v>57.659225624799227</v>
      </c>
      <c r="CO1811" s="41"/>
      <c r="CP1811" s="41" t="s">
        <v>8382</v>
      </c>
      <c r="CQ1811" s="241">
        <v>-2.9191407964062464</v>
      </c>
      <c r="CR1811" s="241">
        <f t="shared" si="534"/>
        <v>1.5523241104951433</v>
      </c>
      <c r="CS1811" s="33"/>
      <c r="CT1811" s="33"/>
      <c r="CU1811" s="250">
        <f t="shared" si="535"/>
        <v>55582.209012508916</v>
      </c>
      <c r="CV1811" s="337">
        <f t="shared" si="530"/>
        <v>1899.9662199124725</v>
      </c>
      <c r="CW1811" s="330">
        <f t="shared" si="536"/>
        <v>1</v>
      </c>
      <c r="CX1811" s="330"/>
      <c r="CY1811" s="143" t="s">
        <v>6351</v>
      </c>
    </row>
    <row r="1812" spans="1:103" ht="11.25" customHeight="1" x14ac:dyDescent="0.2">
      <c r="A1812" s="72">
        <v>1810</v>
      </c>
      <c r="B1812" s="241">
        <v>2032</v>
      </c>
      <c r="C1812" s="32" t="s">
        <v>2249</v>
      </c>
      <c r="D1812" s="32"/>
      <c r="E1812" s="40"/>
      <c r="F1812" s="40" t="s">
        <v>2250</v>
      </c>
      <c r="G1812" s="242">
        <v>556616</v>
      </c>
      <c r="H1812" s="41" t="s">
        <v>2251</v>
      </c>
      <c r="I1812" s="41" t="s">
        <v>2251</v>
      </c>
      <c r="J1812" s="41" t="s">
        <v>2252</v>
      </c>
      <c r="K1812" s="41" t="s">
        <v>1468</v>
      </c>
      <c r="L1812" s="36" t="s">
        <v>6022</v>
      </c>
      <c r="M1812" s="36" t="s">
        <v>6023</v>
      </c>
      <c r="N1812" s="36" t="s">
        <v>6382</v>
      </c>
      <c r="O1812" s="42" t="s">
        <v>5943</v>
      </c>
      <c r="P1812" s="41"/>
      <c r="Q1812" s="41"/>
      <c r="R1812" s="41"/>
      <c r="S1812" s="41"/>
      <c r="T1812" s="33">
        <v>73.118700000000004</v>
      </c>
      <c r="U1812" s="250">
        <v>103.93873085339168</v>
      </c>
      <c r="V1812" s="250">
        <v>288.97702407002186</v>
      </c>
      <c r="W1812" s="250">
        <v>53.703179637025258</v>
      </c>
      <c r="X1812" s="250">
        <v>103.93873085339168</v>
      </c>
      <c r="Y1812" s="415">
        <v>7</v>
      </c>
      <c r="Z1812" s="33">
        <v>1.3</v>
      </c>
      <c r="AA1812" s="33">
        <v>0.94</v>
      </c>
      <c r="AB1812" s="33">
        <v>1.6</v>
      </c>
      <c r="AC1812" s="33">
        <v>0.87309999999999999</v>
      </c>
      <c r="AD1812" s="33">
        <v>1.44</v>
      </c>
      <c r="AE1812" s="33">
        <v>0.94</v>
      </c>
      <c r="AF1812" s="33">
        <f t="shared" si="527"/>
        <v>0.94</v>
      </c>
      <c r="AG1812" s="34">
        <v>1.53</v>
      </c>
      <c r="AH1812" s="250">
        <v>3.1099999999999999E-3</v>
      </c>
      <c r="AI1812" s="250">
        <v>4.4799999999999998E-5</v>
      </c>
      <c r="AJ1812" s="34">
        <f t="shared" si="537"/>
        <v>-0.89580593728581437</v>
      </c>
      <c r="AK1812" s="34">
        <f>LOG10(AI1812*1000/(0.08206*298.15))</f>
        <v>-2.737288312314508</v>
      </c>
      <c r="AL1812" s="34">
        <f t="shared" si="528"/>
        <v>-2.737288312314508</v>
      </c>
      <c r="AM1812" s="34">
        <v>-1.2832599999999998</v>
      </c>
      <c r="AN1812" s="251">
        <v>-2.3068</v>
      </c>
      <c r="AO1812" s="417"/>
      <c r="AP1812" s="417"/>
      <c r="AQ1812" s="251" t="s">
        <v>6311</v>
      </c>
      <c r="AR1812" s="251" t="s">
        <v>6311</v>
      </c>
      <c r="AS1812" s="252" t="s">
        <v>5466</v>
      </c>
      <c r="AT1812" s="35" t="s">
        <v>266</v>
      </c>
      <c r="AU1812" s="33">
        <v>4</v>
      </c>
      <c r="AV1812" s="33">
        <v>24</v>
      </c>
      <c r="AW1812" s="33">
        <v>20</v>
      </c>
      <c r="AX1812" s="33">
        <v>28</v>
      </c>
      <c r="AY1812" s="253">
        <v>0.59027777777777779</v>
      </c>
      <c r="AZ1812" s="33" t="s">
        <v>6282</v>
      </c>
      <c r="BA1812" s="33">
        <v>20</v>
      </c>
      <c r="BB1812" s="41" t="s">
        <v>6283</v>
      </c>
      <c r="BC1812" s="41" t="s">
        <v>6284</v>
      </c>
      <c r="BD1812" s="41"/>
      <c r="BE1812" s="41" t="s">
        <v>6285</v>
      </c>
      <c r="BF1812" s="33" t="s">
        <v>272</v>
      </c>
      <c r="BG1812" s="33" t="s">
        <v>272</v>
      </c>
      <c r="BH1812" s="33" t="s">
        <v>5936</v>
      </c>
      <c r="BI1812" s="250">
        <v>4.6E-5</v>
      </c>
      <c r="BJ1812" s="250">
        <v>3.2000000000000002E-3</v>
      </c>
      <c r="BK1812" s="254"/>
      <c r="BL1812" s="250">
        <f t="shared" si="517"/>
        <v>3.4935744279256031</v>
      </c>
      <c r="BM1812" s="33" t="s">
        <v>6250</v>
      </c>
      <c r="BN1812" s="33">
        <v>1.8699999999999999E-3</v>
      </c>
      <c r="BO1812" s="33"/>
      <c r="BP1812" s="33"/>
      <c r="BQ1812" s="33"/>
      <c r="BR1812" s="33"/>
      <c r="BS1812" s="33"/>
      <c r="BT1812" s="33"/>
      <c r="BU1812" s="246"/>
      <c r="BV1812" s="33"/>
      <c r="BW1812" s="33"/>
      <c r="BX1812" s="33"/>
      <c r="BY1812" s="33"/>
      <c r="BZ1812" s="33"/>
      <c r="CA1812" s="33"/>
      <c r="CB1812" s="33"/>
      <c r="CC1812" s="33"/>
      <c r="CD1812" s="33"/>
      <c r="CE1812" s="33"/>
      <c r="CF1812" s="33"/>
      <c r="CG1812" s="33"/>
      <c r="CH1812" s="33"/>
      <c r="CI1812" s="250">
        <f t="shared" si="531"/>
        <v>1.8699999999999999E-3</v>
      </c>
      <c r="CJ1812" s="243">
        <f t="shared" si="532"/>
        <v>-2.728158393463501</v>
      </c>
      <c r="CK1812" s="38">
        <f t="shared" si="529"/>
        <v>1091.742008726751</v>
      </c>
      <c r="CL1812" s="247">
        <f t="shared" si="533"/>
        <v>1868.2216192115525</v>
      </c>
      <c r="CM1812" s="247">
        <v>-3.0228372754380102</v>
      </c>
      <c r="CN1812" s="247">
        <f>BJ1812/(10^CM1812)</f>
        <v>3.3727740965536062</v>
      </c>
      <c r="CO1812" s="41"/>
      <c r="CP1812" s="41" t="s">
        <v>6286</v>
      </c>
      <c r="CQ1812" s="241">
        <v>-2.9191407964062464</v>
      </c>
      <c r="CR1812" s="241">
        <f t="shared" si="534"/>
        <v>1.5523241104951433</v>
      </c>
      <c r="CS1812" s="33"/>
      <c r="CT1812" s="33"/>
      <c r="CU1812" s="250">
        <f t="shared" si="535"/>
        <v>55582.209012508916</v>
      </c>
      <c r="CV1812" s="337">
        <f t="shared" si="530"/>
        <v>32480.853391684897</v>
      </c>
      <c r="CW1812" s="330">
        <f t="shared" si="536"/>
        <v>1</v>
      </c>
      <c r="CX1812" s="330"/>
      <c r="CY1812" s="143" t="s">
        <v>6351</v>
      </c>
    </row>
    <row r="1813" spans="1:103" ht="11.25" customHeight="1" x14ac:dyDescent="0.2">
      <c r="A1813" s="72">
        <v>1811</v>
      </c>
      <c r="B1813" s="241">
        <v>813</v>
      </c>
      <c r="C1813" s="32" t="s">
        <v>7701</v>
      </c>
      <c r="D1813" s="32"/>
      <c r="E1813" s="40"/>
      <c r="F1813" s="40" t="s">
        <v>2311</v>
      </c>
      <c r="G1813" s="242">
        <v>577117</v>
      </c>
      <c r="H1813" s="36" t="s">
        <v>2312</v>
      </c>
      <c r="I1813" s="36" t="s">
        <v>2312</v>
      </c>
      <c r="J1813" s="36" t="s">
        <v>2313</v>
      </c>
      <c r="K1813" s="36" t="s">
        <v>357</v>
      </c>
      <c r="L1813" s="36" t="s">
        <v>6156</v>
      </c>
      <c r="M1813" s="36" t="s">
        <v>5960</v>
      </c>
      <c r="N1813" s="36" t="s">
        <v>2342</v>
      </c>
      <c r="O1813" s="36"/>
      <c r="P1813" s="41"/>
      <c r="Q1813" s="41"/>
      <c r="R1813" s="41"/>
      <c r="S1813" s="41"/>
      <c r="T1813" s="37">
        <v>422.58</v>
      </c>
      <c r="U1813" s="243"/>
      <c r="V1813" s="243">
        <v>2.9035922192247622E-6</v>
      </c>
      <c r="W1813" s="243">
        <v>2.6915348039269147</v>
      </c>
      <c r="X1813" s="243">
        <f>IF(W1813=0,V1813,W1813)</f>
        <v>2.6915348039269147</v>
      </c>
      <c r="Y1813" s="414">
        <v>2.57</v>
      </c>
      <c r="Z1813" s="37">
        <v>6.1</v>
      </c>
      <c r="AA1813" s="37"/>
      <c r="AB1813" s="37">
        <v>1.96</v>
      </c>
      <c r="AC1813" s="37">
        <v>0.34920000000000001</v>
      </c>
      <c r="AD1813" s="37">
        <v>4.51</v>
      </c>
      <c r="AE1813" s="37">
        <v>5.96</v>
      </c>
      <c r="AF1813" s="37">
        <f t="shared" si="527"/>
        <v>4.51</v>
      </c>
      <c r="AG1813" s="38">
        <v>4.51</v>
      </c>
      <c r="AH1813" s="243">
        <v>4.9999999999999997E-12</v>
      </c>
      <c r="AI1813" s="243"/>
      <c r="AJ1813" s="34">
        <f t="shared" si="537"/>
        <v>-9.6895963219766337</v>
      </c>
      <c r="AK1813" s="34"/>
      <c r="AL1813" s="34">
        <f t="shared" si="528"/>
        <v>-9.6895963219766337</v>
      </c>
      <c r="AM1813" s="34">
        <v>-16.545809999999999</v>
      </c>
      <c r="AN1813" s="244"/>
      <c r="AO1813" s="417">
        <v>0.08</v>
      </c>
      <c r="AP1813" s="417"/>
      <c r="AQ1813" s="244" t="s">
        <v>6311</v>
      </c>
      <c r="AR1813" s="244" t="s">
        <v>6312</v>
      </c>
      <c r="AS1813" s="241" t="s">
        <v>6</v>
      </c>
      <c r="AT1813" s="39" t="s">
        <v>266</v>
      </c>
      <c r="AU1813" s="245"/>
      <c r="AV1813" s="245">
        <v>0</v>
      </c>
      <c r="AW1813" s="37">
        <v>48</v>
      </c>
      <c r="AX1813" s="37">
        <v>25</v>
      </c>
      <c r="AY1813" s="37" t="s">
        <v>8722</v>
      </c>
      <c r="AZ1813" s="37" t="s">
        <v>2263</v>
      </c>
      <c r="BA1813" s="37">
        <v>20</v>
      </c>
      <c r="BB1813" s="36" t="s">
        <v>1764</v>
      </c>
      <c r="BC1813" s="36" t="s">
        <v>2264</v>
      </c>
      <c r="BD1813" s="36"/>
      <c r="BE1813" s="37" t="s">
        <v>2265</v>
      </c>
      <c r="BF1813" s="37" t="s">
        <v>2266</v>
      </c>
      <c r="BG1813" s="37" t="s">
        <v>2266</v>
      </c>
      <c r="BH1813" s="37" t="s">
        <v>272</v>
      </c>
      <c r="BI1813" s="243" t="s">
        <v>8722</v>
      </c>
      <c r="BJ1813" s="243" t="s">
        <v>8722</v>
      </c>
      <c r="BK1813" s="37" t="s">
        <v>2267</v>
      </c>
      <c r="BL1813" s="243">
        <f t="shared" si="517"/>
        <v>1.7076151530692331E-4</v>
      </c>
      <c r="BM1813" s="37" t="s">
        <v>1584</v>
      </c>
      <c r="BN1813" s="37"/>
      <c r="BO1813" s="37"/>
      <c r="BP1813" s="37">
        <v>2.46107245965261E-2</v>
      </c>
      <c r="BQ1813" s="37"/>
      <c r="BR1813" s="37"/>
      <c r="BS1813" s="37"/>
      <c r="BT1813" s="37"/>
      <c r="BU1813" s="246"/>
      <c r="BV1813" s="37"/>
      <c r="BW1813" s="37"/>
      <c r="BX1813" s="37"/>
      <c r="BY1813" s="37"/>
      <c r="BZ1813" s="37"/>
      <c r="CA1813" s="37"/>
      <c r="CB1813" s="37"/>
      <c r="CC1813" s="37"/>
      <c r="CD1813" s="37"/>
      <c r="CE1813" s="37"/>
      <c r="CF1813" s="37"/>
      <c r="CG1813" s="37"/>
      <c r="CH1813" s="37"/>
      <c r="CI1813" s="243">
        <f t="shared" si="531"/>
        <v>2.46107245965261E-2</v>
      </c>
      <c r="CJ1813" s="243">
        <f t="shared" si="532"/>
        <v>-1.6088755994771946</v>
      </c>
      <c r="CK1813" s="38" t="s">
        <v>404</v>
      </c>
      <c r="CL1813" s="247">
        <f t="shared" si="533"/>
        <v>6.9385001094615061E-3</v>
      </c>
      <c r="CM1813" s="247"/>
      <c r="CN1813" s="247"/>
      <c r="CO1813" s="36"/>
      <c r="CP1813" s="36" t="s">
        <v>2268</v>
      </c>
      <c r="CQ1813" s="241">
        <v>-1.1787509074337557</v>
      </c>
      <c r="CR1813" s="241">
        <f t="shared" si="534"/>
        <v>0.37142857142857133</v>
      </c>
      <c r="CS1813" s="33"/>
      <c r="CT1813" s="33" t="s">
        <v>6310</v>
      </c>
      <c r="CU1813" s="250">
        <f t="shared" si="535"/>
        <v>109.36430552340728</v>
      </c>
      <c r="CV1813" s="337"/>
      <c r="CW1813" s="330">
        <f t="shared" si="536"/>
        <v>1</v>
      </c>
      <c r="CX1813" s="330" t="s">
        <v>539</v>
      </c>
      <c r="CY1813" s="143" t="s">
        <v>6351</v>
      </c>
    </row>
    <row r="1814" spans="1:103" ht="11.25" customHeight="1" x14ac:dyDescent="0.2">
      <c r="A1814" s="72">
        <v>1812</v>
      </c>
      <c r="B1814" s="241">
        <v>497</v>
      </c>
      <c r="C1814" s="32" t="s">
        <v>7702</v>
      </c>
      <c r="D1814" s="32"/>
      <c r="E1814" s="40"/>
      <c r="F1814" s="40" t="s">
        <v>1602</v>
      </c>
      <c r="G1814" s="242">
        <v>591208</v>
      </c>
      <c r="H1814" s="36" t="s">
        <v>1603</v>
      </c>
      <c r="I1814" s="36" t="s">
        <v>1603</v>
      </c>
      <c r="J1814" s="36" t="s">
        <v>1604</v>
      </c>
      <c r="K1814" s="36" t="s">
        <v>349</v>
      </c>
      <c r="L1814" s="36"/>
      <c r="M1814" s="36"/>
      <c r="N1814" s="36"/>
      <c r="O1814" s="36"/>
      <c r="P1814" s="41"/>
      <c r="Q1814" s="41" t="s">
        <v>6173</v>
      </c>
      <c r="R1814" s="41" t="s">
        <v>6185</v>
      </c>
      <c r="S1814" s="41" t="s">
        <v>6182</v>
      </c>
      <c r="T1814" s="37">
        <v>173.01</v>
      </c>
      <c r="U1814" s="243">
        <v>132.94029246864343</v>
      </c>
      <c r="V1814" s="243">
        <v>7.4215363273799202</v>
      </c>
      <c r="W1814" s="243">
        <v>14.791083881682072</v>
      </c>
      <c r="X1814" s="243">
        <v>132.94029246864343</v>
      </c>
      <c r="Y1814" s="414">
        <v>5.41</v>
      </c>
      <c r="Z1814" s="37">
        <v>2.4</v>
      </c>
      <c r="AA1814" s="37">
        <v>2.63</v>
      </c>
      <c r="AB1814" s="37">
        <v>2.6</v>
      </c>
      <c r="AC1814" s="37">
        <v>0.89929999999999999</v>
      </c>
      <c r="AD1814" s="37">
        <v>2.6</v>
      </c>
      <c r="AE1814" s="37">
        <v>2.63</v>
      </c>
      <c r="AF1814" s="37">
        <f t="shared" si="527"/>
        <v>2.63</v>
      </c>
      <c r="AG1814" s="38">
        <v>2.2799999999999998</v>
      </c>
      <c r="AH1814" s="243">
        <v>2.23E-7</v>
      </c>
      <c r="AI1814" s="243"/>
      <c r="AJ1814" s="34">
        <f t="shared" si="537"/>
        <v>-5.0402614632644909</v>
      </c>
      <c r="AK1814" s="34"/>
      <c r="AL1814" s="34">
        <f t="shared" si="528"/>
        <v>-5.0402614632644909</v>
      </c>
      <c r="AM1814" s="34">
        <v>-7.8248200000000008</v>
      </c>
      <c r="AN1814" s="244">
        <v>-5.04</v>
      </c>
      <c r="AO1814" s="417">
        <v>9</v>
      </c>
      <c r="AP1814" s="417"/>
      <c r="AQ1814" s="244" t="s">
        <v>6311</v>
      </c>
      <c r="AR1814" s="244" t="s">
        <v>6311</v>
      </c>
      <c r="AS1814" s="241" t="s">
        <v>6</v>
      </c>
      <c r="AT1814" s="39" t="s">
        <v>266</v>
      </c>
      <c r="AU1814" s="37">
        <v>2</v>
      </c>
      <c r="AV1814" s="37">
        <v>48</v>
      </c>
      <c r="AW1814" s="37">
        <v>48</v>
      </c>
      <c r="AX1814" s="37">
        <v>26</v>
      </c>
      <c r="AY1814" s="37" t="s">
        <v>8722</v>
      </c>
      <c r="AZ1814" s="37" t="s">
        <v>1586</v>
      </c>
      <c r="BA1814" s="37">
        <v>60</v>
      </c>
      <c r="BB1814" s="36" t="s">
        <v>537</v>
      </c>
      <c r="BC1814" s="36" t="s">
        <v>538</v>
      </c>
      <c r="BD1814" s="36"/>
      <c r="BE1814" s="37" t="s">
        <v>271</v>
      </c>
      <c r="BF1814" s="37" t="s">
        <v>272</v>
      </c>
      <c r="BG1814" s="37" t="s">
        <v>272</v>
      </c>
      <c r="BH1814" s="37" t="s">
        <v>1587</v>
      </c>
      <c r="BI1814" s="243" t="s">
        <v>8722</v>
      </c>
      <c r="BJ1814" s="243" t="s">
        <v>8722</v>
      </c>
      <c r="BK1814" s="37"/>
      <c r="BL1814" s="243">
        <f t="shared" ref="BL1814:BL1845" si="538">10^((-0.8981*Z1814)+1.7108)</f>
        <v>0.35921957937803489</v>
      </c>
      <c r="BM1814" s="37" t="s">
        <v>1588</v>
      </c>
      <c r="BN1814" s="37"/>
      <c r="BO1814" s="37">
        <v>0.35061557135425697</v>
      </c>
      <c r="BP1814" s="37"/>
      <c r="BQ1814" s="37"/>
      <c r="BR1814" s="37"/>
      <c r="BS1814" s="37"/>
      <c r="BT1814" s="37"/>
      <c r="BU1814" s="246"/>
      <c r="BV1814" s="37"/>
      <c r="BW1814" s="37"/>
      <c r="BX1814" s="37"/>
      <c r="BY1814" s="37"/>
      <c r="BZ1814" s="37"/>
      <c r="CA1814" s="37"/>
      <c r="CB1814" s="37"/>
      <c r="CC1814" s="37"/>
      <c r="CD1814" s="37"/>
      <c r="CE1814" s="37"/>
      <c r="CF1814" s="37"/>
      <c r="CG1814" s="37"/>
      <c r="CH1814" s="37"/>
      <c r="CI1814" s="243">
        <f t="shared" si="531"/>
        <v>0.35061557135425697</v>
      </c>
      <c r="CJ1814" s="243">
        <f t="shared" si="532"/>
        <v>-0.4551688001559151</v>
      </c>
      <c r="CK1814" s="38" t="s">
        <v>404</v>
      </c>
      <c r="CL1814" s="247">
        <f t="shared" si="533"/>
        <v>1.0245397202142073</v>
      </c>
      <c r="CM1814" s="247"/>
      <c r="CN1814" s="247"/>
      <c r="CO1814" s="36"/>
      <c r="CP1814" s="36" t="s">
        <v>1589</v>
      </c>
      <c r="CQ1814" s="241" t="s">
        <v>272</v>
      </c>
      <c r="CR1814" s="241"/>
      <c r="CS1814" s="33"/>
      <c r="CT1814" s="33"/>
      <c r="CU1814" s="250">
        <f t="shared" si="535"/>
        <v>379.16254533465218</v>
      </c>
      <c r="CV1814" s="337"/>
      <c r="CW1814" s="330">
        <f t="shared" si="536"/>
        <v>1</v>
      </c>
      <c r="CX1814" s="330"/>
      <c r="CY1814" s="143" t="s">
        <v>5921</v>
      </c>
    </row>
    <row r="1815" spans="1:103" ht="11.25" customHeight="1" x14ac:dyDescent="0.2">
      <c r="A1815" s="72">
        <v>1813</v>
      </c>
      <c r="B1815" s="241">
        <v>1996</v>
      </c>
      <c r="C1815" s="32" t="s">
        <v>7703</v>
      </c>
      <c r="D1815" s="32"/>
      <c r="E1815" s="40"/>
      <c r="F1815" s="40" t="s">
        <v>5551</v>
      </c>
      <c r="G1815" s="242">
        <v>591275</v>
      </c>
      <c r="H1815" s="41" t="s">
        <v>5561</v>
      </c>
      <c r="I1815" s="41" t="s">
        <v>5561</v>
      </c>
      <c r="J1815" s="41" t="s">
        <v>5562</v>
      </c>
      <c r="K1815" s="41" t="s">
        <v>1568</v>
      </c>
      <c r="L1815" s="41"/>
      <c r="M1815" s="41"/>
      <c r="N1815" s="36"/>
      <c r="O1815" s="41"/>
      <c r="P1815" s="41"/>
      <c r="Q1815" s="41" t="s">
        <v>6182</v>
      </c>
      <c r="R1815" s="41" t="s">
        <v>6185</v>
      </c>
      <c r="S1815" s="41" t="s">
        <v>6182</v>
      </c>
      <c r="T1815" s="33">
        <v>109.13</v>
      </c>
      <c r="U1815" s="250">
        <v>247.41134426830388</v>
      </c>
      <c r="V1815" s="250">
        <v>664.07037478236964</v>
      </c>
      <c r="W1815" s="250">
        <v>194.9844599758045</v>
      </c>
      <c r="X1815" s="250">
        <v>247.41134426830388</v>
      </c>
      <c r="Y1815" s="415">
        <v>7.08</v>
      </c>
      <c r="Z1815" s="33">
        <v>0.24</v>
      </c>
      <c r="AA1815" s="33">
        <v>0.21</v>
      </c>
      <c r="AB1815" s="33">
        <v>0.54</v>
      </c>
      <c r="AC1815" s="33">
        <v>0.81179999999999997</v>
      </c>
      <c r="AD1815" s="33">
        <v>0.48</v>
      </c>
      <c r="AE1815" s="33">
        <v>0.34</v>
      </c>
      <c r="AF1815" s="33">
        <f t="shared" si="527"/>
        <v>0.21</v>
      </c>
      <c r="AG1815" s="34">
        <v>0.48</v>
      </c>
      <c r="AH1815" s="250">
        <v>1.9799999999999999E-10</v>
      </c>
      <c r="AI1815" s="250"/>
      <c r="AJ1815" s="34">
        <f t="shared" si="537"/>
        <v>-8.0919011360511206</v>
      </c>
      <c r="AK1815" s="34"/>
      <c r="AL1815" s="34">
        <f t="shared" si="528"/>
        <v>-8.0919011360511206</v>
      </c>
      <c r="AM1815" s="34">
        <v>-10.133780000000002</v>
      </c>
      <c r="AN1815" s="251"/>
      <c r="AO1815" s="417">
        <v>10.01</v>
      </c>
      <c r="AP1815" s="417">
        <v>4.3</v>
      </c>
      <c r="AQ1815" s="251" t="s">
        <v>6311</v>
      </c>
      <c r="AR1815" s="251" t="s">
        <v>6311</v>
      </c>
      <c r="AS1815" s="252" t="s">
        <v>5466</v>
      </c>
      <c r="AT1815" s="35" t="s">
        <v>266</v>
      </c>
      <c r="AU1815" s="33">
        <v>0</v>
      </c>
      <c r="AV1815" s="33">
        <v>72</v>
      </c>
      <c r="AW1815" s="33">
        <v>72</v>
      </c>
      <c r="AX1815" s="33">
        <v>26</v>
      </c>
      <c r="AY1815" s="253">
        <v>0.59027777777777779</v>
      </c>
      <c r="AZ1815" s="33" t="s">
        <v>536</v>
      </c>
      <c r="BA1815" s="33">
        <v>20</v>
      </c>
      <c r="BB1815" s="41" t="s">
        <v>1764</v>
      </c>
      <c r="BC1815" s="41" t="s">
        <v>6288</v>
      </c>
      <c r="BD1815" s="41"/>
      <c r="BE1815" s="41"/>
      <c r="BF1815" s="33" t="s">
        <v>272</v>
      </c>
      <c r="BG1815" s="33" t="s">
        <v>272</v>
      </c>
      <c r="BH1815" s="33" t="s">
        <v>4089</v>
      </c>
      <c r="BI1815" s="250" t="s">
        <v>1584</v>
      </c>
      <c r="BJ1815" s="250" t="s">
        <v>1584</v>
      </c>
      <c r="BK1815" s="254"/>
      <c r="BL1815" s="250">
        <f t="shared" si="538"/>
        <v>31.279226146526391</v>
      </c>
      <c r="BM1815" s="33" t="s">
        <v>6250</v>
      </c>
      <c r="BN1815" s="33"/>
      <c r="BO1815" s="33"/>
      <c r="BP1815" s="33">
        <v>1.2999999999999999E-2</v>
      </c>
      <c r="BQ1815" s="33"/>
      <c r="BR1815" s="33"/>
      <c r="BS1815" s="33"/>
      <c r="BT1815" s="33"/>
      <c r="BU1815" s="246"/>
      <c r="BV1815" s="33"/>
      <c r="BW1815" s="33"/>
      <c r="BX1815" s="33"/>
      <c r="BY1815" s="33"/>
      <c r="BZ1815" s="33"/>
      <c r="CA1815" s="33"/>
      <c r="CB1815" s="33"/>
      <c r="CC1815" s="33"/>
      <c r="CD1815" s="33"/>
      <c r="CE1815" s="33"/>
      <c r="CF1815" s="33"/>
      <c r="CG1815" s="33"/>
      <c r="CH1815" s="33"/>
      <c r="CI1815" s="250">
        <f t="shared" si="531"/>
        <v>1.2999999999999999E-2</v>
      </c>
      <c r="CJ1815" s="243">
        <f t="shared" si="532"/>
        <v>-1.8860566476931633</v>
      </c>
      <c r="CK1815" s="38" t="s">
        <v>404</v>
      </c>
      <c r="CL1815" s="247">
        <f t="shared" si="533"/>
        <v>2406.0943189635686</v>
      </c>
      <c r="CM1815" s="247"/>
      <c r="CN1815" s="247"/>
      <c r="CO1815" s="41"/>
      <c r="CP1815" s="41" t="s">
        <v>6289</v>
      </c>
      <c r="CQ1815" s="241" t="s">
        <v>272</v>
      </c>
      <c r="CR1815" s="241"/>
      <c r="CS1815" s="33"/>
      <c r="CT1815" s="33"/>
      <c r="CU1815" s="250">
        <f t="shared" si="535"/>
        <v>19031.641866792608</v>
      </c>
      <c r="CV1815" s="337"/>
      <c r="CW1815" s="330">
        <f t="shared" si="536"/>
        <v>1</v>
      </c>
      <c r="CX1815" s="330"/>
      <c r="CY1815" s="143" t="s">
        <v>6351</v>
      </c>
    </row>
    <row r="1816" spans="1:103" ht="11.25" customHeight="1" x14ac:dyDescent="0.2">
      <c r="A1816" s="72">
        <v>1814</v>
      </c>
      <c r="B1816" s="241">
        <v>1991</v>
      </c>
      <c r="C1816" s="32" t="s">
        <v>7704</v>
      </c>
      <c r="D1816" s="32"/>
      <c r="E1816" s="40"/>
      <c r="F1816" s="40" t="s">
        <v>5551</v>
      </c>
      <c r="G1816" s="242">
        <v>591275</v>
      </c>
      <c r="H1816" s="41" t="s">
        <v>5552</v>
      </c>
      <c r="I1816" s="41" t="s">
        <v>5552</v>
      </c>
      <c r="J1816" s="41" t="s">
        <v>5553</v>
      </c>
      <c r="K1816" s="41" t="s">
        <v>1568</v>
      </c>
      <c r="L1816" s="41"/>
      <c r="M1816" s="41"/>
      <c r="N1816" s="36"/>
      <c r="O1816" s="41"/>
      <c r="P1816" s="41"/>
      <c r="Q1816" s="41" t="s">
        <v>6182</v>
      </c>
      <c r="R1816" s="41" t="s">
        <v>6185</v>
      </c>
      <c r="S1816" s="41" t="s">
        <v>6182</v>
      </c>
      <c r="T1816" s="33">
        <v>109.13</v>
      </c>
      <c r="U1816" s="250">
        <v>247.41134426830388</v>
      </c>
      <c r="V1816" s="250">
        <v>664.07037478236964</v>
      </c>
      <c r="W1816" s="250">
        <v>194.9844599758045</v>
      </c>
      <c r="X1816" s="250">
        <v>247.41134426830388</v>
      </c>
      <c r="Y1816" s="415">
        <v>7.08</v>
      </c>
      <c r="Z1816" s="33">
        <v>0.24</v>
      </c>
      <c r="AA1816" s="33">
        <v>0.21</v>
      </c>
      <c r="AB1816" s="33">
        <v>0.54</v>
      </c>
      <c r="AC1816" s="33">
        <v>0.81179999999999997</v>
      </c>
      <c r="AD1816" s="33">
        <v>0.48</v>
      </c>
      <c r="AE1816" s="33">
        <v>0.34</v>
      </c>
      <c r="AF1816" s="33">
        <f t="shared" si="527"/>
        <v>0.21</v>
      </c>
      <c r="AG1816" s="34">
        <v>0.48</v>
      </c>
      <c r="AH1816" s="250">
        <v>1.9799999999999999E-10</v>
      </c>
      <c r="AI1816" s="250"/>
      <c r="AJ1816" s="34">
        <f t="shared" si="537"/>
        <v>-8.0919011360511206</v>
      </c>
      <c r="AK1816" s="34"/>
      <c r="AL1816" s="34">
        <f t="shared" si="528"/>
        <v>-8.0919011360511206</v>
      </c>
      <c r="AM1816" s="34">
        <v>-10.133780000000002</v>
      </c>
      <c r="AN1816" s="251"/>
      <c r="AO1816" s="417">
        <v>10.01</v>
      </c>
      <c r="AP1816" s="417">
        <v>4.3</v>
      </c>
      <c r="AQ1816" s="251" t="s">
        <v>6311</v>
      </c>
      <c r="AR1816" s="251" t="s">
        <v>6311</v>
      </c>
      <c r="AS1816" s="252" t="s">
        <v>5466</v>
      </c>
      <c r="AT1816" s="35" t="s">
        <v>266</v>
      </c>
      <c r="AU1816" s="33">
        <v>0</v>
      </c>
      <c r="AV1816" s="33">
        <v>72</v>
      </c>
      <c r="AW1816" s="33">
        <v>72</v>
      </c>
      <c r="AX1816" s="33">
        <v>26</v>
      </c>
      <c r="AY1816" s="253">
        <v>0.59027777777777779</v>
      </c>
      <c r="AZ1816" s="33" t="s">
        <v>536</v>
      </c>
      <c r="BA1816" s="33">
        <v>20</v>
      </c>
      <c r="BB1816" s="41" t="s">
        <v>1764</v>
      </c>
      <c r="BC1816" s="41" t="s">
        <v>6288</v>
      </c>
      <c r="BD1816" s="41"/>
      <c r="BE1816" s="41"/>
      <c r="BF1816" s="33" t="s">
        <v>272</v>
      </c>
      <c r="BG1816" s="33" t="s">
        <v>272</v>
      </c>
      <c r="BH1816" s="33" t="s">
        <v>4089</v>
      </c>
      <c r="BI1816" s="250" t="s">
        <v>1584</v>
      </c>
      <c r="BJ1816" s="250" t="s">
        <v>1584</v>
      </c>
      <c r="BK1816" s="254"/>
      <c r="BL1816" s="250">
        <f t="shared" si="538"/>
        <v>31.279226146526391</v>
      </c>
      <c r="BM1816" s="33" t="s">
        <v>6250</v>
      </c>
      <c r="BN1816" s="33"/>
      <c r="BO1816" s="33"/>
      <c r="BP1816" s="33">
        <v>0.20499999999999999</v>
      </c>
      <c r="BQ1816" s="33"/>
      <c r="BR1816" s="33"/>
      <c r="BS1816" s="33"/>
      <c r="BT1816" s="33"/>
      <c r="BU1816" s="246"/>
      <c r="BV1816" s="33"/>
      <c r="BW1816" s="33"/>
      <c r="BX1816" s="33"/>
      <c r="BY1816" s="33"/>
      <c r="BZ1816" s="33"/>
      <c r="CA1816" s="33"/>
      <c r="CB1816" s="33"/>
      <c r="CC1816" s="33"/>
      <c r="CD1816" s="33"/>
      <c r="CE1816" s="33"/>
      <c r="CF1816" s="33"/>
      <c r="CG1816" s="33"/>
      <c r="CH1816" s="33"/>
      <c r="CI1816" s="250">
        <f t="shared" si="531"/>
        <v>0.20499999999999999</v>
      </c>
      <c r="CJ1816" s="243">
        <f t="shared" si="532"/>
        <v>-0.68824613894424569</v>
      </c>
      <c r="CK1816" s="38" t="s">
        <v>404</v>
      </c>
      <c r="CL1816" s="247">
        <f t="shared" si="533"/>
        <v>152.58159095866532</v>
      </c>
      <c r="CM1816" s="247"/>
      <c r="CN1816" s="247"/>
      <c r="CO1816" s="41"/>
      <c r="CP1816" s="41" t="s">
        <v>6289</v>
      </c>
      <c r="CQ1816" s="241" t="s">
        <v>272</v>
      </c>
      <c r="CR1816" s="241"/>
      <c r="CS1816" s="33"/>
      <c r="CT1816" s="33"/>
      <c r="CU1816" s="250">
        <f t="shared" si="535"/>
        <v>1206.8846061868483</v>
      </c>
      <c r="CV1816" s="337"/>
      <c r="CW1816" s="330">
        <f t="shared" si="536"/>
        <v>1</v>
      </c>
      <c r="CX1816" s="330"/>
      <c r="CY1816" s="143" t="s">
        <v>6351</v>
      </c>
    </row>
    <row r="1817" spans="1:103" ht="11.25" customHeight="1" x14ac:dyDescent="0.2">
      <c r="A1817" s="72">
        <v>1815</v>
      </c>
      <c r="B1817" s="241">
        <v>160</v>
      </c>
      <c r="C1817" s="32" t="s">
        <v>7705</v>
      </c>
      <c r="D1817" s="32"/>
      <c r="E1817" s="40"/>
      <c r="F1817" s="40" t="s">
        <v>851</v>
      </c>
      <c r="G1817" s="242">
        <v>598561</v>
      </c>
      <c r="H1817" s="36" t="s">
        <v>852</v>
      </c>
      <c r="I1817" s="36" t="s">
        <v>852</v>
      </c>
      <c r="J1817" s="36" t="s">
        <v>853</v>
      </c>
      <c r="K1817" s="36" t="s">
        <v>300</v>
      </c>
      <c r="L1817" s="36"/>
      <c r="M1817" s="36"/>
      <c r="N1817" s="36"/>
      <c r="O1817" s="36"/>
      <c r="P1817" s="41"/>
      <c r="Q1817" s="41"/>
      <c r="R1817" s="41"/>
      <c r="S1817" s="41"/>
      <c r="T1817" s="37">
        <v>73.14</v>
      </c>
      <c r="U1817" s="243"/>
      <c r="V1817" s="243">
        <v>4718.3483729833197</v>
      </c>
      <c r="W1817" s="243">
        <v>1778.2794100389231</v>
      </c>
      <c r="X1817" s="243">
        <f>IF(W1817=0,V1817,W1817)</f>
        <v>1778.2794100389231</v>
      </c>
      <c r="Y1817" s="414">
        <v>12.04</v>
      </c>
      <c r="Z1817" s="37">
        <v>0.53</v>
      </c>
      <c r="AA1817" s="37">
        <v>0.7</v>
      </c>
      <c r="AB1817" s="37">
        <v>0.57999999999999996</v>
      </c>
      <c r="AC1817" s="37">
        <v>0.89590000000000003</v>
      </c>
      <c r="AD1817" s="37">
        <v>0.57999999999999996</v>
      </c>
      <c r="AE1817" s="37">
        <v>0.59</v>
      </c>
      <c r="AF1817" s="37">
        <f t="shared" si="527"/>
        <v>0.7</v>
      </c>
      <c r="AG1817" s="38">
        <v>0.74</v>
      </c>
      <c r="AH1817" s="243">
        <v>4.85E-5</v>
      </c>
      <c r="AI1817" s="243"/>
      <c r="AJ1817" s="34">
        <f t="shared" si="537"/>
        <v>-2.702824587710388</v>
      </c>
      <c r="AK1817" s="34"/>
      <c r="AL1817" s="34">
        <f t="shared" si="528"/>
        <v>-2.702824587710388</v>
      </c>
      <c r="AM1817" s="34">
        <v>-2.8634600000000003</v>
      </c>
      <c r="AN1817" s="244">
        <v>-2.17</v>
      </c>
      <c r="AO1817" s="417"/>
      <c r="AP1817" s="417">
        <v>9.83</v>
      </c>
      <c r="AQ1817" s="244" t="s">
        <v>6311</v>
      </c>
      <c r="AR1817" s="244" t="s">
        <v>6311</v>
      </c>
      <c r="AS1817" s="241" t="s">
        <v>72</v>
      </c>
      <c r="AT1817" s="39" t="s">
        <v>266</v>
      </c>
      <c r="AU1817" s="37">
        <v>0</v>
      </c>
      <c r="AV1817" s="37">
        <v>48</v>
      </c>
      <c r="AW1817" s="37">
        <v>48</v>
      </c>
      <c r="AX1817" s="37">
        <v>26</v>
      </c>
      <c r="AY1817" s="37" t="s">
        <v>8722</v>
      </c>
      <c r="AZ1817" s="37" t="s">
        <v>536</v>
      </c>
      <c r="BA1817" s="37">
        <v>20</v>
      </c>
      <c r="BB1817" s="36" t="s">
        <v>537</v>
      </c>
      <c r="BC1817" s="36" t="s">
        <v>648</v>
      </c>
      <c r="BD1817" s="36"/>
      <c r="BE1817" s="245" t="s">
        <v>649</v>
      </c>
      <c r="BF1817" s="37" t="s">
        <v>539</v>
      </c>
      <c r="BG1817" s="37" t="s">
        <v>272</v>
      </c>
      <c r="BH1817" s="37" t="s">
        <v>272</v>
      </c>
      <c r="BI1817" s="248">
        <v>0.40475864898126629</v>
      </c>
      <c r="BJ1817" s="248">
        <v>2.0511418022699304</v>
      </c>
      <c r="BK1817" s="37"/>
      <c r="BL1817" s="243">
        <f t="shared" si="538"/>
        <v>17.171451201306962</v>
      </c>
      <c r="BM1817" s="37" t="s">
        <v>541</v>
      </c>
      <c r="BN1817" s="37"/>
      <c r="BO1817" s="37">
        <v>1.133</v>
      </c>
      <c r="BP1817" s="37"/>
      <c r="BQ1817" s="37"/>
      <c r="BR1817" s="37"/>
      <c r="BS1817" s="37"/>
      <c r="BT1817" s="37"/>
      <c r="BU1817" s="246"/>
      <c r="BV1817" s="37"/>
      <c r="BW1817" s="37"/>
      <c r="BX1817" s="37"/>
      <c r="BY1817" s="37"/>
      <c r="BZ1817" s="37"/>
      <c r="CA1817" s="37"/>
      <c r="CB1817" s="37"/>
      <c r="CC1817" s="37"/>
      <c r="CD1817" s="37"/>
      <c r="CE1817" s="37"/>
      <c r="CF1817" s="37"/>
      <c r="CG1817" s="37"/>
      <c r="CH1817" s="37"/>
      <c r="CI1817" s="243">
        <f t="shared" si="531"/>
        <v>1.133</v>
      </c>
      <c r="CJ1817" s="243">
        <f t="shared" si="532"/>
        <v>5.4229909863397249E-2</v>
      </c>
      <c r="CK1817" s="38">
        <f>BL1817/BJ1817</f>
        <v>8.3716548423438528</v>
      </c>
      <c r="CL1817" s="247">
        <f t="shared" si="533"/>
        <v>15.155738041753716</v>
      </c>
      <c r="CM1817" s="247"/>
      <c r="CN1817" s="247"/>
      <c r="CO1817" s="36"/>
      <c r="CP1817" s="36" t="s">
        <v>772</v>
      </c>
      <c r="CQ1817" s="241" t="s">
        <v>272</v>
      </c>
      <c r="CR1817" s="241"/>
      <c r="CS1817" s="33"/>
      <c r="CT1817" s="33"/>
      <c r="CU1817" s="250">
        <f t="shared" si="535"/>
        <v>1569.5316946504174</v>
      </c>
      <c r="CV1817" s="337">
        <f>X1817/BJ1817</f>
        <v>866.97048837430953</v>
      </c>
      <c r="CW1817" s="330">
        <f t="shared" si="536"/>
        <v>1</v>
      </c>
      <c r="CX1817" s="330"/>
      <c r="CY1817" s="143" t="s">
        <v>6351</v>
      </c>
    </row>
    <row r="1818" spans="1:103" ht="11.25" customHeight="1" x14ac:dyDescent="0.2">
      <c r="A1818" s="72">
        <v>1816</v>
      </c>
      <c r="B1818" s="241">
        <v>845</v>
      </c>
      <c r="C1818" s="32" t="s">
        <v>7706</v>
      </c>
      <c r="D1818" s="32"/>
      <c r="E1818" s="40"/>
      <c r="F1818" s="40" t="s">
        <v>4090</v>
      </c>
      <c r="G1818" s="242">
        <v>608311</v>
      </c>
      <c r="H1818" s="36" t="s">
        <v>4091</v>
      </c>
      <c r="I1818" s="36" t="s">
        <v>8228</v>
      </c>
      <c r="J1818" s="36" t="s">
        <v>4092</v>
      </c>
      <c r="K1818" s="36" t="s">
        <v>1573</v>
      </c>
      <c r="L1818" s="36"/>
      <c r="M1818" s="36"/>
      <c r="N1818" s="36"/>
      <c r="O1818" s="36"/>
      <c r="P1818" s="41"/>
      <c r="Q1818" s="41"/>
      <c r="R1818" s="41"/>
      <c r="S1818" s="41"/>
      <c r="T1818" s="37">
        <v>162.02000000000001</v>
      </c>
      <c r="U1818" s="243"/>
      <c r="V1818" s="243">
        <v>1.8176768300209849</v>
      </c>
      <c r="W1818" s="243">
        <v>1.318256738556407</v>
      </c>
      <c r="X1818" s="243">
        <f>IF(W1818=0,V1818,W1818)</f>
        <v>1.318256738556407</v>
      </c>
      <c r="Y1818" s="414">
        <v>7</v>
      </c>
      <c r="Z1818" s="37">
        <v>2.37</v>
      </c>
      <c r="AA1818" s="37">
        <v>2.76</v>
      </c>
      <c r="AB1818" s="37">
        <v>2.83</v>
      </c>
      <c r="AC1818" s="37">
        <v>0.92949999999999999</v>
      </c>
      <c r="AD1818" s="37">
        <v>2.85</v>
      </c>
      <c r="AE1818" s="37">
        <v>2.9</v>
      </c>
      <c r="AF1818" s="37">
        <f t="shared" si="527"/>
        <v>2.76</v>
      </c>
      <c r="AG1818" s="38">
        <v>2.4700000000000002</v>
      </c>
      <c r="AH1818" s="243">
        <v>1.0499999999999999E-6</v>
      </c>
      <c r="AI1818" s="243"/>
      <c r="AJ1818" s="34">
        <f t="shared" si="537"/>
        <v>-4.3673770272427141</v>
      </c>
      <c r="AK1818" s="34"/>
      <c r="AL1818" s="34">
        <f t="shared" si="528"/>
        <v>-4.3673770272427141</v>
      </c>
      <c r="AM1818" s="34">
        <v>-6.7571499999999993</v>
      </c>
      <c r="AN1818" s="244">
        <v>-1.62</v>
      </c>
      <c r="AO1818" s="417"/>
      <c r="AP1818" s="417">
        <v>0.71</v>
      </c>
      <c r="AQ1818" s="244" t="s">
        <v>6311</v>
      </c>
      <c r="AR1818" s="244" t="s">
        <v>6311</v>
      </c>
      <c r="AS1818" s="241" t="s">
        <v>6</v>
      </c>
      <c r="AT1818" s="39" t="s">
        <v>266</v>
      </c>
      <c r="AU1818" s="37">
        <v>2</v>
      </c>
      <c r="AV1818" s="37">
        <v>48</v>
      </c>
      <c r="AW1818" s="37">
        <v>48</v>
      </c>
      <c r="AX1818" s="37">
        <v>26</v>
      </c>
      <c r="AY1818" s="37" t="s">
        <v>8722</v>
      </c>
      <c r="AZ1818" s="37" t="s">
        <v>536</v>
      </c>
      <c r="BA1818" s="37" t="s">
        <v>2351</v>
      </c>
      <c r="BB1818" s="36" t="s">
        <v>1764</v>
      </c>
      <c r="BC1818" s="36" t="s">
        <v>538</v>
      </c>
      <c r="BD1818" s="36"/>
      <c r="BE1818" s="37" t="s">
        <v>271</v>
      </c>
      <c r="BF1818" s="37" t="s">
        <v>8722</v>
      </c>
      <c r="BG1818" s="37" t="s">
        <v>8722</v>
      </c>
      <c r="BH1818" s="37" t="s">
        <v>272</v>
      </c>
      <c r="BI1818" s="243">
        <v>6.1999999999999998E-3</v>
      </c>
      <c r="BJ1818" s="243">
        <v>2.41E-2</v>
      </c>
      <c r="BK1818" s="37"/>
      <c r="BL1818" s="243">
        <f t="shared" si="538"/>
        <v>0.38221083995251059</v>
      </c>
      <c r="BM1818" s="37" t="s">
        <v>541</v>
      </c>
      <c r="BN1818" s="37"/>
      <c r="BO1818" s="37"/>
      <c r="BP1818" s="37"/>
      <c r="BQ1818" s="37"/>
      <c r="BR1818" s="37"/>
      <c r="BS1818" s="37"/>
      <c r="BT1818" s="37"/>
      <c r="BU1818" s="246"/>
      <c r="BV1818" s="37"/>
      <c r="BW1818" s="37"/>
      <c r="BX1818" s="37"/>
      <c r="BY1818" s="37"/>
      <c r="BZ1818" s="37"/>
      <c r="CA1818" s="37"/>
      <c r="CB1818" s="37"/>
      <c r="CC1818" s="37"/>
      <c r="CD1818" s="37"/>
      <c r="CE1818" s="37"/>
      <c r="CF1818" s="37"/>
      <c r="CG1818" s="37"/>
      <c r="CH1818" s="37"/>
      <c r="CI1818" s="243"/>
      <c r="CJ1818" s="243"/>
      <c r="CK1818" s="38">
        <f>BL1818/BJ1818</f>
        <v>15.859370952386332</v>
      </c>
      <c r="CL1818" s="247"/>
      <c r="CM1818" s="247"/>
      <c r="CN1818" s="247"/>
      <c r="CO1818" s="36" t="s">
        <v>4073</v>
      </c>
      <c r="CP1818" s="36" t="s">
        <v>4093</v>
      </c>
      <c r="CQ1818" s="241" t="s">
        <v>272</v>
      </c>
      <c r="CR1818" s="241"/>
      <c r="CS1818" s="33"/>
      <c r="CT1818" s="33"/>
      <c r="CU1818" s="250"/>
      <c r="CV1818" s="337">
        <f>X1818/BJ1818</f>
        <v>54.699449732630995</v>
      </c>
      <c r="CW1818" s="330">
        <f>IF(CV1818&lt;1,0,1)</f>
        <v>1</v>
      </c>
      <c r="CX1818" s="330"/>
      <c r="CY1818" s="143" t="s">
        <v>5921</v>
      </c>
    </row>
    <row r="1819" spans="1:103" ht="11.25" customHeight="1" x14ac:dyDescent="0.2">
      <c r="A1819" s="72">
        <v>1817</v>
      </c>
      <c r="B1819" s="241">
        <v>523</v>
      </c>
      <c r="C1819" s="32" t="s">
        <v>7707</v>
      </c>
      <c r="D1819" s="32"/>
      <c r="E1819" s="40"/>
      <c r="F1819" s="40" t="s">
        <v>1663</v>
      </c>
      <c r="G1819" s="242">
        <v>608333</v>
      </c>
      <c r="H1819" s="36" t="s">
        <v>1664</v>
      </c>
      <c r="I1819" s="36" t="s">
        <v>1664</v>
      </c>
      <c r="J1819" s="36" t="s">
        <v>1665</v>
      </c>
      <c r="K1819" s="36" t="s">
        <v>349</v>
      </c>
      <c r="L1819" s="36"/>
      <c r="M1819" s="36"/>
      <c r="N1819" s="36"/>
      <c r="O1819" s="36"/>
      <c r="P1819" s="41"/>
      <c r="Q1819" s="41"/>
      <c r="R1819" s="41"/>
      <c r="S1819" s="41"/>
      <c r="T1819" s="37">
        <v>251.9</v>
      </c>
      <c r="U1819" s="243"/>
      <c r="V1819" s="243">
        <v>0.4708217546645494</v>
      </c>
      <c r="W1819" s="243">
        <v>2.4547089156850301</v>
      </c>
      <c r="X1819" s="243">
        <f>IF(W1819=0,V1819,W1819)</f>
        <v>2.4547089156850301</v>
      </c>
      <c r="Y1819" s="414">
        <v>4.75</v>
      </c>
      <c r="Z1819" s="37">
        <v>3.29</v>
      </c>
      <c r="AA1819" s="37">
        <v>3.36</v>
      </c>
      <c r="AB1819" s="37">
        <v>3.16</v>
      </c>
      <c r="AC1819" s="37">
        <v>0.82299999999999995</v>
      </c>
      <c r="AD1819" s="37">
        <v>3.23</v>
      </c>
      <c r="AE1819" s="37">
        <v>3.41</v>
      </c>
      <c r="AF1819" s="37">
        <f t="shared" si="527"/>
        <v>3.36</v>
      </c>
      <c r="AG1819" s="38">
        <v>3.06</v>
      </c>
      <c r="AH1819" s="243">
        <v>8.9000000000000003E-8</v>
      </c>
      <c r="AI1819" s="243"/>
      <c r="AJ1819" s="34">
        <f t="shared" si="537"/>
        <v>-5.4391763196677392</v>
      </c>
      <c r="AK1819" s="34"/>
      <c r="AL1819" s="34">
        <f t="shared" si="528"/>
        <v>-5.4391763196677392</v>
      </c>
      <c r="AM1819" s="34">
        <v>-5.7098199999999997</v>
      </c>
      <c r="AN1819" s="244">
        <v>-3.56</v>
      </c>
      <c r="AO1819" s="417">
        <v>6.89</v>
      </c>
      <c r="AP1819" s="417"/>
      <c r="AQ1819" s="244" t="s">
        <v>6311</v>
      </c>
      <c r="AR1819" s="244" t="s">
        <v>6311</v>
      </c>
      <c r="AS1819" s="241" t="s">
        <v>6</v>
      </c>
      <c r="AT1819" s="39" t="s">
        <v>266</v>
      </c>
      <c r="AU1819" s="37">
        <v>2</v>
      </c>
      <c r="AV1819" s="37">
        <v>48</v>
      </c>
      <c r="AW1819" s="37">
        <v>48</v>
      </c>
      <c r="AX1819" s="37">
        <v>26</v>
      </c>
      <c r="AY1819" s="37" t="s">
        <v>8722</v>
      </c>
      <c r="AZ1819" s="37" t="s">
        <v>1586</v>
      </c>
      <c r="BA1819" s="37">
        <v>60</v>
      </c>
      <c r="BB1819" s="36" t="s">
        <v>537</v>
      </c>
      <c r="BC1819" s="36" t="s">
        <v>538</v>
      </c>
      <c r="BD1819" s="36"/>
      <c r="BE1819" s="37" t="s">
        <v>271</v>
      </c>
      <c r="BF1819" s="37" t="s">
        <v>272</v>
      </c>
      <c r="BG1819" s="37" t="s">
        <v>272</v>
      </c>
      <c r="BH1819" s="37" t="s">
        <v>1587</v>
      </c>
      <c r="BI1819" s="248" t="s">
        <v>8722</v>
      </c>
      <c r="BJ1819" s="248">
        <v>0.39698292973402144</v>
      </c>
      <c r="BK1819" s="37"/>
      <c r="BL1819" s="243">
        <f t="shared" si="538"/>
        <v>5.7023123165170088E-2</v>
      </c>
      <c r="BM1819" s="37" t="s">
        <v>1588</v>
      </c>
      <c r="BN1819" s="37"/>
      <c r="BO1819" s="37">
        <v>0.16581976974990076</v>
      </c>
      <c r="BP1819" s="37"/>
      <c r="BQ1819" s="37"/>
      <c r="BR1819" s="37"/>
      <c r="BS1819" s="37"/>
      <c r="BT1819" s="37"/>
      <c r="BU1819" s="246"/>
      <c r="BV1819" s="37"/>
      <c r="BW1819" s="37"/>
      <c r="BX1819" s="37"/>
      <c r="BY1819" s="37"/>
      <c r="BZ1819" s="37"/>
      <c r="CA1819" s="37"/>
      <c r="CB1819" s="37"/>
      <c r="CC1819" s="37"/>
      <c r="CD1819" s="37"/>
      <c r="CE1819" s="37"/>
      <c r="CF1819" s="37"/>
      <c r="CG1819" s="37"/>
      <c r="CH1819" s="37"/>
      <c r="CI1819" s="243">
        <f>MIN(BN1819:CH1819)</f>
        <v>0.16581976974990076</v>
      </c>
      <c r="CJ1819" s="243">
        <f>LOG10(CI1819)</f>
        <v>-0.78036369223299196</v>
      </c>
      <c r="CK1819" s="38">
        <f>BL1819/BJ1819</f>
        <v>0.14364124725306346</v>
      </c>
      <c r="CL1819" s="247">
        <f>BL1819/CI1819</f>
        <v>0.34388615574111431</v>
      </c>
      <c r="CM1819" s="247"/>
      <c r="CN1819" s="247"/>
      <c r="CO1819" s="36"/>
      <c r="CP1819" s="36" t="s">
        <v>1589</v>
      </c>
      <c r="CQ1819" s="241" t="s">
        <v>272</v>
      </c>
      <c r="CR1819" s="241"/>
      <c r="CS1819" s="33"/>
      <c r="CT1819" s="33"/>
      <c r="CU1819" s="250">
        <f>X1819/CI1819</f>
        <v>14.803475601174505</v>
      </c>
      <c r="CV1819" s="337">
        <f>X1819/BJ1819</f>
        <v>6.1834117586105908</v>
      </c>
      <c r="CW1819" s="330">
        <f>IF(CU1819&lt;2,0,1)</f>
        <v>1</v>
      </c>
      <c r="CX1819" s="330"/>
      <c r="CY1819" s="143" t="s">
        <v>5921</v>
      </c>
    </row>
    <row r="1820" spans="1:103" ht="11.25" customHeight="1" x14ac:dyDescent="0.2">
      <c r="A1820" s="72">
        <v>1818</v>
      </c>
      <c r="B1820" s="241">
        <v>731</v>
      </c>
      <c r="C1820" s="32" t="s">
        <v>7708</v>
      </c>
      <c r="D1820" s="32"/>
      <c r="E1820" s="40"/>
      <c r="F1820" s="40" t="s">
        <v>4082</v>
      </c>
      <c r="G1820" s="242">
        <v>608935</v>
      </c>
      <c r="H1820" s="36" t="s">
        <v>4083</v>
      </c>
      <c r="I1820" s="36" t="s">
        <v>8229</v>
      </c>
      <c r="J1820" s="36" t="s">
        <v>4084</v>
      </c>
      <c r="K1820" s="36" t="s">
        <v>426</v>
      </c>
      <c r="L1820" s="36"/>
      <c r="M1820" s="36" t="s">
        <v>866</v>
      </c>
      <c r="N1820" s="36"/>
      <c r="O1820" s="36" t="s">
        <v>498</v>
      </c>
      <c r="P1820" s="41"/>
      <c r="Q1820" s="41"/>
      <c r="R1820" s="41"/>
      <c r="S1820" s="41"/>
      <c r="T1820" s="37">
        <v>250.34</v>
      </c>
      <c r="U1820" s="243">
        <v>3.3194854997203802E-3</v>
      </c>
      <c r="V1820" s="243">
        <v>3.6170807701525923E-3</v>
      </c>
      <c r="W1820" s="243">
        <v>1.8620871366628634E-3</v>
      </c>
      <c r="X1820" s="243">
        <v>3.3194854997203802E-3</v>
      </c>
      <c r="Y1820" s="414">
        <v>7</v>
      </c>
      <c r="Z1820" s="37">
        <v>5.22</v>
      </c>
      <c r="AA1820" s="37">
        <v>5.17</v>
      </c>
      <c r="AB1820" s="37">
        <v>4.97</v>
      </c>
      <c r="AC1820" s="37">
        <v>0.87390000000000001</v>
      </c>
      <c r="AD1820" s="37">
        <v>4.88</v>
      </c>
      <c r="AE1820" s="37">
        <v>4.5999999999999996</v>
      </c>
      <c r="AF1820" s="37">
        <f t="shared" si="527"/>
        <v>5.17</v>
      </c>
      <c r="AG1820" s="38">
        <v>5.19</v>
      </c>
      <c r="AH1820" s="243">
        <v>1.1999999999999999E-3</v>
      </c>
      <c r="AI1820" s="243">
        <v>7.0299999999999996E-4</v>
      </c>
      <c r="AJ1820" s="34">
        <f t="shared" si="537"/>
        <v>-1.3093850802650269</v>
      </c>
      <c r="AK1820" s="34">
        <f>LOG10(AI1820*1000/(0.08206*298.15))</f>
        <v>-1.5416110012928279</v>
      </c>
      <c r="AL1820" s="34">
        <f t="shared" si="528"/>
        <v>-1.5416110012928279</v>
      </c>
      <c r="AM1820" s="34">
        <v>-4.0929900000000004</v>
      </c>
      <c r="AN1820" s="244">
        <v>-1.69</v>
      </c>
      <c r="AO1820" s="417"/>
      <c r="AP1820" s="417"/>
      <c r="AQ1820" s="244" t="s">
        <v>6311</v>
      </c>
      <c r="AR1820" s="244" t="s">
        <v>6311</v>
      </c>
      <c r="AS1820" s="241" t="s">
        <v>6</v>
      </c>
      <c r="AT1820" s="39" t="s">
        <v>266</v>
      </c>
      <c r="AU1820" s="37">
        <v>2</v>
      </c>
      <c r="AV1820" s="37">
        <v>48</v>
      </c>
      <c r="AW1820" s="37">
        <v>48</v>
      </c>
      <c r="AX1820" s="37">
        <v>26</v>
      </c>
      <c r="AY1820" s="37" t="s">
        <v>8722</v>
      </c>
      <c r="AZ1820" s="37" t="s">
        <v>1893</v>
      </c>
      <c r="BA1820" s="37">
        <v>15</v>
      </c>
      <c r="BB1820" s="36" t="s">
        <v>1613</v>
      </c>
      <c r="BC1820" s="36" t="s">
        <v>1887</v>
      </c>
      <c r="BD1820" s="36"/>
      <c r="BE1820" s="37" t="s">
        <v>1712</v>
      </c>
      <c r="BF1820" s="37" t="s">
        <v>540</v>
      </c>
      <c r="BG1820" s="37" t="s">
        <v>540</v>
      </c>
      <c r="BH1820" s="37" t="s">
        <v>272</v>
      </c>
      <c r="BI1820" s="248">
        <v>1.9972836941759209E-4</v>
      </c>
      <c r="BJ1820" s="248">
        <v>3.1956539106814735E-3</v>
      </c>
      <c r="BK1820" s="37"/>
      <c r="BL1820" s="243">
        <f t="shared" si="538"/>
        <v>1.0537024746376854E-3</v>
      </c>
      <c r="BM1820" s="37" t="s">
        <v>541</v>
      </c>
      <c r="BN1820" s="37"/>
      <c r="BO1820" s="37"/>
      <c r="BP1820" s="37"/>
      <c r="BQ1820" s="37"/>
      <c r="BR1820" s="37"/>
      <c r="BS1820" s="37"/>
      <c r="BT1820" s="37"/>
      <c r="BU1820" s="246"/>
      <c r="BV1820" s="37"/>
      <c r="BW1820" s="37"/>
      <c r="BX1820" s="37"/>
      <c r="BY1820" s="37"/>
      <c r="BZ1820" s="37"/>
      <c r="CA1820" s="37"/>
      <c r="CB1820" s="37"/>
      <c r="CC1820" s="37"/>
      <c r="CD1820" s="37"/>
      <c r="CE1820" s="37"/>
      <c r="CF1820" s="37"/>
      <c r="CG1820" s="37"/>
      <c r="CH1820" s="37"/>
      <c r="CI1820" s="243"/>
      <c r="CJ1820" s="243"/>
      <c r="CK1820" s="38">
        <f>BL1820/BJ1820</f>
        <v>0.32972984687599766</v>
      </c>
      <c r="CL1820" s="247"/>
      <c r="CM1820" s="247"/>
      <c r="CN1820" s="247"/>
      <c r="CO1820" s="36" t="s">
        <v>1888</v>
      </c>
      <c r="CP1820" s="36" t="s">
        <v>1889</v>
      </c>
      <c r="CQ1820" s="241">
        <v>-3.0049772013773826</v>
      </c>
      <c r="CR1820" s="241">
        <f>10^(CJ1820-CQ1820)</f>
        <v>1011.5263520128026</v>
      </c>
      <c r="CS1820" s="33"/>
      <c r="CT1820" s="33"/>
      <c r="CU1820" s="250"/>
      <c r="CV1820" s="337">
        <f>X1820/BJ1820</f>
        <v>1.0387499999999998</v>
      </c>
      <c r="CW1820" s="330">
        <f>IF(CV1820&lt;1,0,1)</f>
        <v>1</v>
      </c>
      <c r="CX1820" s="330" t="s">
        <v>539</v>
      </c>
      <c r="CY1820" s="143" t="s">
        <v>5921</v>
      </c>
    </row>
    <row r="1821" spans="1:103" ht="11.25" customHeight="1" x14ac:dyDescent="0.2">
      <c r="A1821" s="72">
        <v>1819</v>
      </c>
      <c r="B1821" s="241">
        <v>522</v>
      </c>
      <c r="C1821" s="32" t="s">
        <v>7709</v>
      </c>
      <c r="D1821" s="32"/>
      <c r="E1821" s="40"/>
      <c r="F1821" s="40" t="s">
        <v>1660</v>
      </c>
      <c r="G1821" s="242">
        <v>615587</v>
      </c>
      <c r="H1821" s="36" t="s">
        <v>1661</v>
      </c>
      <c r="I1821" s="36" t="s">
        <v>1661</v>
      </c>
      <c r="J1821" s="36" t="s">
        <v>1662</v>
      </c>
      <c r="K1821" s="36" t="s">
        <v>349</v>
      </c>
      <c r="L1821" s="36"/>
      <c r="M1821" s="36"/>
      <c r="N1821" s="36"/>
      <c r="O1821" s="36"/>
      <c r="P1821" s="41"/>
      <c r="Q1821" s="41"/>
      <c r="R1821" s="41"/>
      <c r="S1821" s="41"/>
      <c r="T1821" s="37">
        <v>251.9</v>
      </c>
      <c r="U1821" s="243">
        <v>7.5426756649464073</v>
      </c>
      <c r="V1821" s="243">
        <v>0.61969035331480737</v>
      </c>
      <c r="W1821" s="243">
        <v>2.4547089156850301</v>
      </c>
      <c r="X1821" s="243">
        <v>7.5426756649464073</v>
      </c>
      <c r="Y1821" s="414">
        <v>5.23</v>
      </c>
      <c r="Z1821" s="37">
        <v>3.29</v>
      </c>
      <c r="AA1821" s="37">
        <v>3.22</v>
      </c>
      <c r="AB1821" s="37">
        <v>3.26</v>
      </c>
      <c r="AC1821" s="37">
        <v>0.86639999999999995</v>
      </c>
      <c r="AD1821" s="37">
        <v>3.3</v>
      </c>
      <c r="AE1821" s="37">
        <v>3.43</v>
      </c>
      <c r="AF1821" s="37">
        <f t="shared" si="527"/>
        <v>3.22</v>
      </c>
      <c r="AG1821" s="38">
        <v>3.06</v>
      </c>
      <c r="AH1821" s="243">
        <v>8.9000000000000003E-8</v>
      </c>
      <c r="AI1821" s="243"/>
      <c r="AJ1821" s="34">
        <f t="shared" si="537"/>
        <v>-5.4391763196677392</v>
      </c>
      <c r="AK1821" s="34"/>
      <c r="AL1821" s="34">
        <f t="shared" si="528"/>
        <v>-5.4391763196677392</v>
      </c>
      <c r="AM1821" s="34">
        <v>-7.1956499999999997</v>
      </c>
      <c r="AN1821" s="244">
        <v>-3.56</v>
      </c>
      <c r="AO1821" s="417">
        <v>7.86</v>
      </c>
      <c r="AP1821" s="417"/>
      <c r="AQ1821" s="244" t="s">
        <v>6311</v>
      </c>
      <c r="AR1821" s="244" t="s">
        <v>6311</v>
      </c>
      <c r="AS1821" s="241" t="s">
        <v>6</v>
      </c>
      <c r="AT1821" s="39" t="s">
        <v>266</v>
      </c>
      <c r="AU1821" s="37">
        <v>2</v>
      </c>
      <c r="AV1821" s="37">
        <v>48</v>
      </c>
      <c r="AW1821" s="37">
        <v>48</v>
      </c>
      <c r="AX1821" s="37">
        <v>26</v>
      </c>
      <c r="AY1821" s="37" t="s">
        <v>8722</v>
      </c>
      <c r="AZ1821" s="37" t="s">
        <v>1586</v>
      </c>
      <c r="BA1821" s="37">
        <v>60</v>
      </c>
      <c r="BB1821" s="36" t="s">
        <v>537</v>
      </c>
      <c r="BC1821" s="36" t="s">
        <v>538</v>
      </c>
      <c r="BD1821" s="36"/>
      <c r="BE1821" s="37" t="s">
        <v>271</v>
      </c>
      <c r="BF1821" s="37" t="s">
        <v>272</v>
      </c>
      <c r="BG1821" s="37" t="s">
        <v>272</v>
      </c>
      <c r="BH1821" s="37" t="s">
        <v>1587</v>
      </c>
      <c r="BI1821" s="243" t="s">
        <v>8722</v>
      </c>
      <c r="BJ1821" s="243" t="s">
        <v>8722</v>
      </c>
      <c r="BK1821" s="37"/>
      <c r="BL1821" s="243">
        <f t="shared" si="538"/>
        <v>5.7023123165170088E-2</v>
      </c>
      <c r="BM1821" s="37" t="s">
        <v>1588</v>
      </c>
      <c r="BN1821" s="37"/>
      <c r="BO1821" s="37">
        <v>3.1560142913854707E-2</v>
      </c>
      <c r="BP1821" s="37"/>
      <c r="BQ1821" s="37"/>
      <c r="BR1821" s="37"/>
      <c r="BS1821" s="37"/>
      <c r="BT1821" s="37"/>
      <c r="BU1821" s="246"/>
      <c r="BV1821" s="37"/>
      <c r="BW1821" s="37"/>
      <c r="BX1821" s="37"/>
      <c r="BY1821" s="37"/>
      <c r="BZ1821" s="37"/>
      <c r="CA1821" s="37"/>
      <c r="CB1821" s="37"/>
      <c r="CC1821" s="37"/>
      <c r="CD1821" s="37"/>
      <c r="CE1821" s="37"/>
      <c r="CF1821" s="37"/>
      <c r="CG1821" s="37"/>
      <c r="CH1821" s="37"/>
      <c r="CI1821" s="243">
        <f t="shared" ref="CI1821:CI1831" si="539">MIN(BN1821:CH1821)</f>
        <v>3.1560142913854707E-2</v>
      </c>
      <c r="CJ1821" s="243">
        <f t="shared" ref="CJ1821:CJ1831" si="540">LOG10(CI1821)</f>
        <v>-1.5008610388416428</v>
      </c>
      <c r="CK1821" s="38" t="s">
        <v>404</v>
      </c>
      <c r="CL1821" s="247">
        <f t="shared" ref="CL1821:CL1831" si="541">BL1821/CI1821</f>
        <v>1.8068081415479678</v>
      </c>
      <c r="CM1821" s="247"/>
      <c r="CN1821" s="247"/>
      <c r="CO1821" s="36"/>
      <c r="CP1821" s="36" t="s">
        <v>1589</v>
      </c>
      <c r="CQ1821" s="241" t="s">
        <v>272</v>
      </c>
      <c r="CR1821" s="241"/>
      <c r="CS1821" s="33"/>
      <c r="CT1821" s="33"/>
      <c r="CU1821" s="250">
        <f t="shared" ref="CU1821:CU1831" si="542">X1821/CI1821</f>
        <v>238.99371069182388</v>
      </c>
      <c r="CV1821" s="337"/>
      <c r="CW1821" s="330">
        <f t="shared" ref="CW1821:CW1831" si="543">IF(CU1821&lt;2,0,1)</f>
        <v>1</v>
      </c>
      <c r="CX1821" s="330"/>
      <c r="CY1821" s="143" t="s">
        <v>5921</v>
      </c>
    </row>
    <row r="1822" spans="1:103" ht="11.25" customHeight="1" x14ac:dyDescent="0.2">
      <c r="A1822" s="72">
        <v>1820</v>
      </c>
      <c r="B1822" s="241">
        <v>161</v>
      </c>
      <c r="C1822" s="32" t="s">
        <v>7710</v>
      </c>
      <c r="D1822" s="32"/>
      <c r="E1822" s="40"/>
      <c r="F1822" s="40" t="s">
        <v>854</v>
      </c>
      <c r="G1822" s="242">
        <v>616397</v>
      </c>
      <c r="H1822" s="36" t="s">
        <v>855</v>
      </c>
      <c r="I1822" s="36" t="s">
        <v>855</v>
      </c>
      <c r="J1822" s="36" t="s">
        <v>856</v>
      </c>
      <c r="K1822" s="36" t="s">
        <v>300</v>
      </c>
      <c r="L1822" s="36"/>
      <c r="M1822" s="36"/>
      <c r="N1822" s="36"/>
      <c r="O1822" s="36"/>
      <c r="P1822" s="41"/>
      <c r="Q1822" s="41"/>
      <c r="R1822" s="41"/>
      <c r="S1822" s="41"/>
      <c r="T1822" s="37">
        <v>87.16</v>
      </c>
      <c r="U1822" s="243">
        <v>11473.152822395596</v>
      </c>
      <c r="V1822" s="243">
        <v>1984.8554382744378</v>
      </c>
      <c r="W1822" s="243">
        <v>724.43596007499002</v>
      </c>
      <c r="X1822" s="243">
        <v>11473.152822395596</v>
      </c>
      <c r="Y1822" s="414">
        <v>12.2</v>
      </c>
      <c r="Z1822" s="37">
        <v>1.02</v>
      </c>
      <c r="AA1822" s="37"/>
      <c r="AB1822" s="37">
        <v>1.18</v>
      </c>
      <c r="AC1822" s="37">
        <v>0.87419999999999998</v>
      </c>
      <c r="AD1822" s="37">
        <v>1.1599999999999999</v>
      </c>
      <c r="AE1822" s="37">
        <v>1.1299999999999999</v>
      </c>
      <c r="AF1822" s="37">
        <f t="shared" si="527"/>
        <v>1.1599999999999999</v>
      </c>
      <c r="AG1822" s="38">
        <v>1.1299999999999999</v>
      </c>
      <c r="AH1822" s="243">
        <v>6.4399999999999993E-5</v>
      </c>
      <c r="AI1822" s="243"/>
      <c r="AJ1822" s="34">
        <f t="shared" si="537"/>
        <v>-2.5796804589528399</v>
      </c>
      <c r="AK1822" s="34"/>
      <c r="AL1822" s="34">
        <f t="shared" si="528"/>
        <v>-2.5796804589528399</v>
      </c>
      <c r="AM1822" s="34">
        <v>-2.9699600000000004</v>
      </c>
      <c r="AN1822" s="244">
        <v>-2.04</v>
      </c>
      <c r="AO1822" s="417"/>
      <c r="AP1822" s="417">
        <v>10.55</v>
      </c>
      <c r="AQ1822" s="244" t="s">
        <v>6311</v>
      </c>
      <c r="AR1822" s="244" t="s">
        <v>6311</v>
      </c>
      <c r="AS1822" s="241" t="s">
        <v>81</v>
      </c>
      <c r="AT1822" s="39" t="s">
        <v>266</v>
      </c>
      <c r="AU1822" s="37">
        <v>0</v>
      </c>
      <c r="AV1822" s="37">
        <v>48</v>
      </c>
      <c r="AW1822" s="37">
        <v>48</v>
      </c>
      <c r="AX1822" s="37">
        <v>26</v>
      </c>
      <c r="AY1822" s="37" t="s">
        <v>8722</v>
      </c>
      <c r="AZ1822" s="37" t="s">
        <v>536</v>
      </c>
      <c r="BA1822" s="37">
        <v>20</v>
      </c>
      <c r="BB1822" s="36" t="s">
        <v>537</v>
      </c>
      <c r="BC1822" s="36" t="s">
        <v>648</v>
      </c>
      <c r="BD1822" s="36"/>
      <c r="BE1822" s="245" t="s">
        <v>649</v>
      </c>
      <c r="BF1822" s="37" t="s">
        <v>539</v>
      </c>
      <c r="BG1822" s="37" t="s">
        <v>272</v>
      </c>
      <c r="BH1822" s="37" t="s">
        <v>272</v>
      </c>
      <c r="BI1822" s="248">
        <v>0.33964429145152036</v>
      </c>
      <c r="BJ1822" s="248">
        <v>1.7211703958691909</v>
      </c>
      <c r="BK1822" s="37"/>
      <c r="BL1822" s="243">
        <f t="shared" si="538"/>
        <v>6.2335866389776546</v>
      </c>
      <c r="BM1822" s="37" t="s">
        <v>541</v>
      </c>
      <c r="BN1822" s="37"/>
      <c r="BO1822" s="37">
        <v>0.80300000000000005</v>
      </c>
      <c r="BP1822" s="37"/>
      <c r="BQ1822" s="37"/>
      <c r="BR1822" s="37"/>
      <c r="BS1822" s="37"/>
      <c r="BT1822" s="37"/>
      <c r="BU1822" s="246"/>
      <c r="BV1822" s="37"/>
      <c r="BW1822" s="37"/>
      <c r="BX1822" s="37"/>
      <c r="BY1822" s="37"/>
      <c r="BZ1822" s="37"/>
      <c r="CA1822" s="37"/>
      <c r="CB1822" s="37"/>
      <c r="CC1822" s="37"/>
      <c r="CD1822" s="37"/>
      <c r="CE1822" s="37"/>
      <c r="CF1822" s="37"/>
      <c r="CG1822" s="37"/>
      <c r="CH1822" s="37"/>
      <c r="CI1822" s="243">
        <f t="shared" si="539"/>
        <v>0.80300000000000005</v>
      </c>
      <c r="CJ1822" s="243">
        <f t="shared" si="540"/>
        <v>-9.5284454721319037E-2</v>
      </c>
      <c r="CK1822" s="38">
        <f t="shared" ref="CK1822:CK1828" si="544">BL1822/BJ1822</f>
        <v>3.6217138372460176</v>
      </c>
      <c r="CL1822" s="247">
        <f t="shared" si="541"/>
        <v>7.7628725267467678</v>
      </c>
      <c r="CM1822" s="247"/>
      <c r="CN1822" s="247"/>
      <c r="CO1822" s="36"/>
      <c r="CP1822" s="36" t="s">
        <v>772</v>
      </c>
      <c r="CQ1822" s="241" t="s">
        <v>272</v>
      </c>
      <c r="CR1822" s="241"/>
      <c r="CS1822" s="33"/>
      <c r="CT1822" s="33"/>
      <c r="CU1822" s="250">
        <f t="shared" si="542"/>
        <v>14287.861547192522</v>
      </c>
      <c r="CV1822" s="337">
        <f t="shared" ref="CV1822:CV1828" si="545">X1822/BJ1822</f>
        <v>6665.9017898118418</v>
      </c>
      <c r="CW1822" s="330">
        <f t="shared" si="543"/>
        <v>1</v>
      </c>
      <c r="CX1822" s="330"/>
      <c r="CY1822" s="143" t="s">
        <v>5921</v>
      </c>
    </row>
    <row r="1823" spans="1:103" ht="11.25" customHeight="1" x14ac:dyDescent="0.2">
      <c r="A1823" s="72">
        <v>1821</v>
      </c>
      <c r="B1823" s="241">
        <v>73</v>
      </c>
      <c r="C1823" s="32" t="s">
        <v>7711</v>
      </c>
      <c r="D1823" s="32"/>
      <c r="E1823" s="40"/>
      <c r="F1823" s="40" t="s">
        <v>564</v>
      </c>
      <c r="G1823" s="242">
        <v>616911</v>
      </c>
      <c r="H1823" s="36" t="s">
        <v>565</v>
      </c>
      <c r="I1823" s="36" t="s">
        <v>565</v>
      </c>
      <c r="J1823" s="36" t="s">
        <v>566</v>
      </c>
      <c r="K1823" s="36" t="s">
        <v>567</v>
      </c>
      <c r="L1823" s="42" t="s">
        <v>279</v>
      </c>
      <c r="M1823" s="36" t="s">
        <v>568</v>
      </c>
      <c r="N1823" s="36"/>
      <c r="O1823" s="36" t="s">
        <v>281</v>
      </c>
      <c r="P1823" s="41"/>
      <c r="Q1823" s="41"/>
      <c r="R1823" s="41"/>
      <c r="S1823" s="41"/>
      <c r="T1823" s="37">
        <v>163.19999999999999</v>
      </c>
      <c r="U1823" s="243"/>
      <c r="V1823" s="243">
        <v>1488.357843137255</v>
      </c>
      <c r="W1823" s="243">
        <v>354.81338923357544</v>
      </c>
      <c r="X1823" s="243">
        <f>IF(W1823=0,V1823,W1823)</f>
        <v>354.81338923357544</v>
      </c>
      <c r="Y1823" s="414">
        <v>1.65</v>
      </c>
      <c r="Z1823" s="37">
        <v>-0.66</v>
      </c>
      <c r="AA1823" s="37"/>
      <c r="AB1823" s="37">
        <v>0.09</v>
      </c>
      <c r="AC1823" s="37">
        <v>0.67149999999999999</v>
      </c>
      <c r="AD1823" s="37">
        <v>0</v>
      </c>
      <c r="AE1823" s="37">
        <v>-0.15</v>
      </c>
      <c r="AF1823" s="37"/>
      <c r="AG1823" s="38">
        <v>-0.53</v>
      </c>
      <c r="AH1823" s="243">
        <v>1.72E-13</v>
      </c>
      <c r="AI1823" s="243"/>
      <c r="AJ1823" s="34">
        <f t="shared" si="537"/>
        <v>-11.153037879405103</v>
      </c>
      <c r="AK1823" s="34"/>
      <c r="AL1823" s="34">
        <f t="shared" si="528"/>
        <v>-11.153037879405103</v>
      </c>
      <c r="AM1823" s="34">
        <v>-13.868679999999999</v>
      </c>
      <c r="AN1823" s="244">
        <v>-11.7</v>
      </c>
      <c r="AO1823" s="417">
        <v>3.25</v>
      </c>
      <c r="AP1823" s="417">
        <v>-0.91</v>
      </c>
      <c r="AQ1823" s="244" t="s">
        <v>6311</v>
      </c>
      <c r="AR1823" s="244" t="s">
        <v>6311</v>
      </c>
      <c r="AS1823" s="241" t="s">
        <v>90</v>
      </c>
      <c r="AT1823" s="39" t="s">
        <v>266</v>
      </c>
      <c r="AU1823" s="37">
        <v>0</v>
      </c>
      <c r="AV1823" s="37">
        <v>48</v>
      </c>
      <c r="AW1823" s="37">
        <v>48</v>
      </c>
      <c r="AX1823" s="37">
        <v>26</v>
      </c>
      <c r="AY1823" s="37" t="s">
        <v>8722</v>
      </c>
      <c r="AZ1823" s="37" t="s">
        <v>536</v>
      </c>
      <c r="BA1823" s="37">
        <v>20</v>
      </c>
      <c r="BB1823" s="36" t="s">
        <v>537</v>
      </c>
      <c r="BC1823" s="36" t="s">
        <v>538</v>
      </c>
      <c r="BD1823" s="36"/>
      <c r="BE1823" s="245" t="s">
        <v>271</v>
      </c>
      <c r="BF1823" s="245" t="s">
        <v>539</v>
      </c>
      <c r="BG1823" s="245" t="s">
        <v>540</v>
      </c>
      <c r="BH1823" s="245" t="s">
        <v>272</v>
      </c>
      <c r="BI1823" s="243">
        <v>0.1915</v>
      </c>
      <c r="BJ1823" s="243">
        <v>54.072000000000003</v>
      </c>
      <c r="BK1823" s="37"/>
      <c r="BL1823" s="243">
        <f t="shared" si="538"/>
        <v>201.16202555507141</v>
      </c>
      <c r="BM1823" s="37" t="s">
        <v>541</v>
      </c>
      <c r="BN1823" s="37"/>
      <c r="BO1823" s="37">
        <v>51.024799999999999</v>
      </c>
      <c r="BP1823" s="37"/>
      <c r="BQ1823" s="37"/>
      <c r="BR1823" s="37"/>
      <c r="BS1823" s="37"/>
      <c r="BT1823" s="37"/>
      <c r="BU1823" s="246"/>
      <c r="BV1823" s="37"/>
      <c r="BW1823" s="37"/>
      <c r="BX1823" s="37"/>
      <c r="BY1823" s="37"/>
      <c r="BZ1823" s="37"/>
      <c r="CA1823" s="37"/>
      <c r="CB1823" s="37"/>
      <c r="CC1823" s="37"/>
      <c r="CD1823" s="37"/>
      <c r="CE1823" s="37"/>
      <c r="CF1823" s="37"/>
      <c r="CG1823" s="37"/>
      <c r="CH1823" s="37"/>
      <c r="CI1823" s="243">
        <f t="shared" si="539"/>
        <v>51.024799999999999</v>
      </c>
      <c r="CJ1823" s="243">
        <f t="shared" si="540"/>
        <v>1.7077813111036082</v>
      </c>
      <c r="CK1823" s="38">
        <f t="shared" si="544"/>
        <v>3.7202623456700583</v>
      </c>
      <c r="CL1823" s="247">
        <f t="shared" si="541"/>
        <v>3.9424363359596004</v>
      </c>
      <c r="CM1823" s="247"/>
      <c r="CN1823" s="247"/>
      <c r="CO1823" s="36" t="s">
        <v>563</v>
      </c>
      <c r="CP1823" s="36" t="s">
        <v>542</v>
      </c>
      <c r="CQ1823" s="241" t="s">
        <v>272</v>
      </c>
      <c r="CR1823" s="241"/>
      <c r="CS1823" s="33"/>
      <c r="CT1823" s="33"/>
      <c r="CU1823" s="250">
        <f t="shared" si="542"/>
        <v>6.9537438507074096</v>
      </c>
      <c r="CV1823" s="337">
        <f t="shared" si="545"/>
        <v>6.5618691602599393</v>
      </c>
      <c r="CW1823" s="330">
        <f t="shared" si="543"/>
        <v>1</v>
      </c>
      <c r="CX1823" s="330"/>
      <c r="CY1823" s="143" t="s">
        <v>5921</v>
      </c>
    </row>
    <row r="1824" spans="1:103" ht="11.25" customHeight="1" x14ac:dyDescent="0.2">
      <c r="A1824" s="72">
        <v>1822</v>
      </c>
      <c r="B1824" s="241">
        <v>108</v>
      </c>
      <c r="C1824" s="32" t="s">
        <v>7712</v>
      </c>
      <c r="D1824" s="32"/>
      <c r="E1824" s="40"/>
      <c r="F1824" s="40" t="s">
        <v>683</v>
      </c>
      <c r="G1824" s="242">
        <v>625456</v>
      </c>
      <c r="H1824" s="36" t="s">
        <v>684</v>
      </c>
      <c r="I1824" s="36" t="s">
        <v>684</v>
      </c>
      <c r="J1824" s="36" t="s">
        <v>685</v>
      </c>
      <c r="K1824" s="36" t="s">
        <v>426</v>
      </c>
      <c r="L1824" s="36"/>
      <c r="M1824" s="36"/>
      <c r="N1824" s="36"/>
      <c r="O1824" s="36"/>
      <c r="P1824" s="41"/>
      <c r="Q1824" s="41"/>
      <c r="R1824" s="41"/>
      <c r="S1824" s="41"/>
      <c r="T1824" s="37">
        <v>90.08</v>
      </c>
      <c r="U1824" s="243">
        <v>11101.243339253997</v>
      </c>
      <c r="V1824" s="243">
        <v>11101.243339253997</v>
      </c>
      <c r="W1824" s="243">
        <v>7079.4578438413791</v>
      </c>
      <c r="X1824" s="243">
        <v>11101.243339253997</v>
      </c>
      <c r="Y1824" s="414">
        <v>1.35</v>
      </c>
      <c r="Z1824" s="37">
        <v>-0.68</v>
      </c>
      <c r="AA1824" s="37"/>
      <c r="AB1824" s="37">
        <v>-0.56999999999999995</v>
      </c>
      <c r="AC1824" s="37">
        <v>0.80059999999999998</v>
      </c>
      <c r="AD1824" s="37">
        <v>-0.69</v>
      </c>
      <c r="AE1824" s="37">
        <v>-0.96</v>
      </c>
      <c r="AF1824" s="37">
        <f t="shared" ref="AF1824:AF1837" si="546">IF(AA1824=0,AD1824,AA1824)</f>
        <v>-0.69</v>
      </c>
      <c r="AG1824" s="38">
        <v>-0.31</v>
      </c>
      <c r="AH1824" s="243">
        <v>4.5400000000000003E-8</v>
      </c>
      <c r="AI1824" s="243">
        <v>6.4199999999999998E-9</v>
      </c>
      <c r="AJ1824" s="34">
        <f t="shared" si="537"/>
        <v>-5.7315104734555478</v>
      </c>
      <c r="AK1824" s="34">
        <f>LOG10(AI1824*1000/(0.08206*298.15))</f>
        <v>-6.5810312982437988</v>
      </c>
      <c r="AL1824" s="34">
        <f t="shared" si="528"/>
        <v>-6.5810312982437988</v>
      </c>
      <c r="AM1824" s="34">
        <v>-6.5623499999999995</v>
      </c>
      <c r="AN1824" s="244">
        <v>-7.78</v>
      </c>
      <c r="AO1824" s="417">
        <v>3.55</v>
      </c>
      <c r="AP1824" s="417"/>
      <c r="AQ1824" s="244" t="s">
        <v>6311</v>
      </c>
      <c r="AR1824" s="244" t="s">
        <v>6311</v>
      </c>
      <c r="AS1824" s="241" t="s">
        <v>6</v>
      </c>
      <c r="AT1824" s="39" t="s">
        <v>266</v>
      </c>
      <c r="AU1824" s="37">
        <v>0</v>
      </c>
      <c r="AV1824" s="37" t="s">
        <v>646</v>
      </c>
      <c r="AW1824" s="37" t="s">
        <v>646</v>
      </c>
      <c r="AX1824" s="37">
        <v>26</v>
      </c>
      <c r="AY1824" s="37" t="s">
        <v>647</v>
      </c>
      <c r="AZ1824" s="37" t="s">
        <v>536</v>
      </c>
      <c r="BA1824" s="37">
        <v>20</v>
      </c>
      <c r="BB1824" s="36" t="s">
        <v>537</v>
      </c>
      <c r="BC1824" s="36" t="s">
        <v>648</v>
      </c>
      <c r="BD1824" s="36"/>
      <c r="BE1824" s="245" t="s">
        <v>649</v>
      </c>
      <c r="BF1824" s="245" t="s">
        <v>650</v>
      </c>
      <c r="BG1824" s="245" t="s">
        <v>540</v>
      </c>
      <c r="BH1824" s="245" t="s">
        <v>272</v>
      </c>
      <c r="BI1824" s="243">
        <v>0.111</v>
      </c>
      <c r="BJ1824" s="243">
        <v>0.92700000000000005</v>
      </c>
      <c r="BK1824" s="37"/>
      <c r="BL1824" s="243">
        <f t="shared" si="538"/>
        <v>209.65634000613093</v>
      </c>
      <c r="BM1824" s="37" t="s">
        <v>541</v>
      </c>
      <c r="BN1824" s="37"/>
      <c r="BO1824" s="37">
        <v>0.59599999999999997</v>
      </c>
      <c r="BP1824" s="37"/>
      <c r="BQ1824" s="37"/>
      <c r="BR1824" s="37"/>
      <c r="BS1824" s="37"/>
      <c r="BT1824" s="37"/>
      <c r="BU1824" s="246"/>
      <c r="BV1824" s="37"/>
      <c r="BW1824" s="37"/>
      <c r="BX1824" s="37"/>
      <c r="BY1824" s="37"/>
      <c r="BZ1824" s="37"/>
      <c r="CA1824" s="37"/>
      <c r="CB1824" s="37"/>
      <c r="CC1824" s="37"/>
      <c r="CD1824" s="37"/>
      <c r="CE1824" s="37"/>
      <c r="CF1824" s="37"/>
      <c r="CG1824" s="37"/>
      <c r="CH1824" s="37"/>
      <c r="CI1824" s="243">
        <f t="shared" si="539"/>
        <v>0.59599999999999997</v>
      </c>
      <c r="CJ1824" s="243">
        <f t="shared" si="540"/>
        <v>-0.22475374025976358</v>
      </c>
      <c r="CK1824" s="38">
        <f t="shared" si="544"/>
        <v>226.16649407349615</v>
      </c>
      <c r="CL1824" s="247">
        <f t="shared" si="541"/>
        <v>351.77238256062236</v>
      </c>
      <c r="CM1824" s="247"/>
      <c r="CN1824" s="247"/>
      <c r="CO1824" s="36"/>
      <c r="CP1824" s="36" t="s">
        <v>651</v>
      </c>
      <c r="CQ1824" s="241">
        <v>0.21159149521551349</v>
      </c>
      <c r="CR1824" s="241">
        <f>10^(CJ1824-CQ1824)</f>
        <v>0.36614639668824028</v>
      </c>
      <c r="CS1824" s="33"/>
      <c r="CT1824" s="33"/>
      <c r="CU1824" s="250">
        <f t="shared" si="542"/>
        <v>18626.247213513419</v>
      </c>
      <c r="CV1824" s="337">
        <f t="shared" si="545"/>
        <v>11975.451282906144</v>
      </c>
      <c r="CW1824" s="330">
        <f t="shared" si="543"/>
        <v>1</v>
      </c>
      <c r="CX1824" s="330"/>
      <c r="CY1824" s="143" t="s">
        <v>6351</v>
      </c>
    </row>
    <row r="1825" spans="1:103" ht="11.25" customHeight="1" x14ac:dyDescent="0.2">
      <c r="A1825" s="72">
        <v>1823</v>
      </c>
      <c r="B1825" s="241">
        <v>658</v>
      </c>
      <c r="C1825" s="32" t="s">
        <v>7713</v>
      </c>
      <c r="D1825" s="32"/>
      <c r="E1825" s="40"/>
      <c r="F1825" s="40" t="s">
        <v>1890</v>
      </c>
      <c r="G1825" s="242">
        <v>626437</v>
      </c>
      <c r="H1825" s="36" t="s">
        <v>1891</v>
      </c>
      <c r="I1825" s="36" t="s">
        <v>8230</v>
      </c>
      <c r="J1825" s="36" t="s">
        <v>1892</v>
      </c>
      <c r="K1825" s="36" t="s">
        <v>1573</v>
      </c>
      <c r="L1825" s="36"/>
      <c r="M1825" s="36" t="s">
        <v>1629</v>
      </c>
      <c r="N1825" s="36"/>
      <c r="O1825" s="36" t="s">
        <v>1630</v>
      </c>
      <c r="P1825" s="41" t="s">
        <v>6184</v>
      </c>
      <c r="Q1825" s="41" t="s">
        <v>6176</v>
      </c>
      <c r="R1825" s="41" t="s">
        <v>6185</v>
      </c>
      <c r="S1825" s="41" t="s">
        <v>6179</v>
      </c>
      <c r="T1825" s="37">
        <v>162.02000000000001</v>
      </c>
      <c r="U1825" s="243">
        <v>4.8389087766942351</v>
      </c>
      <c r="V1825" s="243">
        <v>1.3800765337612639</v>
      </c>
      <c r="W1825" s="243">
        <v>1.5488166189124803</v>
      </c>
      <c r="X1825" s="243">
        <v>4.8389087766942351</v>
      </c>
      <c r="Y1825" s="414">
        <v>7.08</v>
      </c>
      <c r="Z1825" s="37">
        <v>2.37</v>
      </c>
      <c r="AA1825" s="37">
        <v>2.9</v>
      </c>
      <c r="AB1825" s="37">
        <v>2.81</v>
      </c>
      <c r="AC1825" s="37">
        <v>0.89510000000000001</v>
      </c>
      <c r="AD1825" s="37">
        <v>2.79</v>
      </c>
      <c r="AE1825" s="37">
        <v>2.7</v>
      </c>
      <c r="AF1825" s="37">
        <f t="shared" si="546"/>
        <v>2.9</v>
      </c>
      <c r="AG1825" s="38">
        <v>2.5099999999999998</v>
      </c>
      <c r="AH1825" s="243">
        <v>1.0499999999999999E-6</v>
      </c>
      <c r="AI1825" s="243"/>
      <c r="AJ1825" s="34">
        <f t="shared" si="537"/>
        <v>-4.3673770272427141</v>
      </c>
      <c r="AK1825" s="34"/>
      <c r="AL1825" s="34">
        <f t="shared" si="528"/>
        <v>-4.3673770272427141</v>
      </c>
      <c r="AM1825" s="34">
        <v>-6.6875499999999999</v>
      </c>
      <c r="AN1825" s="244">
        <v>-4.3099999999999996</v>
      </c>
      <c r="AO1825" s="417"/>
      <c r="AP1825" s="417">
        <v>2.48</v>
      </c>
      <c r="AQ1825" s="244" t="s">
        <v>6311</v>
      </c>
      <c r="AR1825" s="244" t="s">
        <v>6311</v>
      </c>
      <c r="AS1825" s="241" t="s">
        <v>6</v>
      </c>
      <c r="AT1825" s="39" t="s">
        <v>266</v>
      </c>
      <c r="AU1825" s="37">
        <v>2</v>
      </c>
      <c r="AV1825" s="37">
        <v>48</v>
      </c>
      <c r="AW1825" s="37">
        <v>48</v>
      </c>
      <c r="AX1825" s="37">
        <v>26</v>
      </c>
      <c r="AY1825" s="37" t="s">
        <v>647</v>
      </c>
      <c r="AZ1825" s="37" t="s">
        <v>1912</v>
      </c>
      <c r="BA1825" s="37">
        <v>25</v>
      </c>
      <c r="BB1825" s="36" t="s">
        <v>1613</v>
      </c>
      <c r="BC1825" s="36" t="s">
        <v>538</v>
      </c>
      <c r="BD1825" s="36"/>
      <c r="BE1825" s="37" t="s">
        <v>271</v>
      </c>
      <c r="BF1825" s="37" t="s">
        <v>272</v>
      </c>
      <c r="BG1825" s="37" t="s">
        <v>272</v>
      </c>
      <c r="BH1825" s="37" t="s">
        <v>272</v>
      </c>
      <c r="BI1825" s="243">
        <v>1.4499999999999999E-3</v>
      </c>
      <c r="BJ1825" s="243">
        <v>0.19750000000000001</v>
      </c>
      <c r="BK1825" s="37"/>
      <c r="BL1825" s="243">
        <f t="shared" si="538"/>
        <v>0.38221083995251059</v>
      </c>
      <c r="BM1825" s="37" t="s">
        <v>541</v>
      </c>
      <c r="BN1825" s="37"/>
      <c r="BO1825" s="37">
        <v>2.2599999999999999E-2</v>
      </c>
      <c r="BP1825" s="37"/>
      <c r="BQ1825" s="37"/>
      <c r="BR1825" s="37"/>
      <c r="BS1825" s="37"/>
      <c r="BT1825" s="37"/>
      <c r="BU1825" s="246"/>
      <c r="BV1825" s="37"/>
      <c r="BW1825" s="37"/>
      <c r="BX1825" s="37"/>
      <c r="BY1825" s="37"/>
      <c r="BZ1825" s="37"/>
      <c r="CA1825" s="37"/>
      <c r="CB1825" s="37"/>
      <c r="CC1825" s="37"/>
      <c r="CD1825" s="37"/>
      <c r="CE1825" s="37"/>
      <c r="CF1825" s="37"/>
      <c r="CG1825" s="37"/>
      <c r="CH1825" s="37"/>
      <c r="CI1825" s="243">
        <f t="shared" si="539"/>
        <v>2.2599999999999999E-2</v>
      </c>
      <c r="CJ1825" s="243">
        <f t="shared" si="540"/>
        <v>-1.645891560852599</v>
      </c>
      <c r="CK1825" s="38">
        <f t="shared" si="544"/>
        <v>1.935244759253218</v>
      </c>
      <c r="CL1825" s="247">
        <f t="shared" si="541"/>
        <v>16.911984068695162</v>
      </c>
      <c r="CM1825" s="247"/>
      <c r="CN1825" s="247"/>
      <c r="CO1825" s="36"/>
      <c r="CP1825" s="36" t="s">
        <v>1913</v>
      </c>
      <c r="CQ1825" s="241">
        <v>-1.1767491904840055</v>
      </c>
      <c r="CR1825" s="241">
        <f>10^(CJ1825-CQ1825)</f>
        <v>0.33951395491851771</v>
      </c>
      <c r="CS1825" s="33"/>
      <c r="CT1825" s="33"/>
      <c r="CU1825" s="250">
        <f t="shared" si="542"/>
        <v>214.111007818329</v>
      </c>
      <c r="CV1825" s="337">
        <f t="shared" si="545"/>
        <v>24.500803932629037</v>
      </c>
      <c r="CW1825" s="330">
        <f t="shared" si="543"/>
        <v>1</v>
      </c>
      <c r="CX1825" s="330"/>
      <c r="CY1825" s="143" t="s">
        <v>6351</v>
      </c>
    </row>
    <row r="1826" spans="1:103" ht="11.25" customHeight="1" x14ac:dyDescent="0.2">
      <c r="A1826" s="72">
        <v>1824</v>
      </c>
      <c r="B1826" s="241">
        <v>635</v>
      </c>
      <c r="C1826" s="32" t="s">
        <v>7713</v>
      </c>
      <c r="D1826" s="32"/>
      <c r="E1826" s="40"/>
      <c r="F1826" s="40" t="s">
        <v>1890</v>
      </c>
      <c r="G1826" s="242">
        <v>626437</v>
      </c>
      <c r="H1826" s="36" t="s">
        <v>1891</v>
      </c>
      <c r="I1826" s="36" t="s">
        <v>8230</v>
      </c>
      <c r="J1826" s="36" t="s">
        <v>1892</v>
      </c>
      <c r="K1826" s="36" t="s">
        <v>1573</v>
      </c>
      <c r="L1826" s="36"/>
      <c r="M1826" s="36" t="s">
        <v>1629</v>
      </c>
      <c r="N1826" s="36"/>
      <c r="O1826" s="36" t="s">
        <v>1630</v>
      </c>
      <c r="P1826" s="41" t="s">
        <v>6184</v>
      </c>
      <c r="Q1826" s="41" t="s">
        <v>6176</v>
      </c>
      <c r="R1826" s="41" t="s">
        <v>6185</v>
      </c>
      <c r="S1826" s="41" t="s">
        <v>6179</v>
      </c>
      <c r="T1826" s="37">
        <v>162.02000000000001</v>
      </c>
      <c r="U1826" s="243">
        <v>4.8389087766942351</v>
      </c>
      <c r="V1826" s="243">
        <v>1.3800765337612639</v>
      </c>
      <c r="W1826" s="243">
        <v>1.5488166189124803</v>
      </c>
      <c r="X1826" s="243">
        <v>4.8389087766942351</v>
      </c>
      <c r="Y1826" s="414">
        <v>7.08</v>
      </c>
      <c r="Z1826" s="37">
        <v>2.37</v>
      </c>
      <c r="AA1826" s="37">
        <v>2.9</v>
      </c>
      <c r="AB1826" s="37">
        <v>2.81</v>
      </c>
      <c r="AC1826" s="37">
        <v>0.89510000000000001</v>
      </c>
      <c r="AD1826" s="37">
        <v>2.79</v>
      </c>
      <c r="AE1826" s="37">
        <v>2.7</v>
      </c>
      <c r="AF1826" s="37">
        <f t="shared" si="546"/>
        <v>2.9</v>
      </c>
      <c r="AG1826" s="38">
        <v>2.5099999999999998</v>
      </c>
      <c r="AH1826" s="243">
        <v>1.0499999999999999E-6</v>
      </c>
      <c r="AI1826" s="243"/>
      <c r="AJ1826" s="34">
        <f t="shared" si="537"/>
        <v>-4.3673770272427141</v>
      </c>
      <c r="AK1826" s="34"/>
      <c r="AL1826" s="34">
        <f t="shared" si="528"/>
        <v>-4.3673770272427141</v>
      </c>
      <c r="AM1826" s="34">
        <v>-6.6875499999999999</v>
      </c>
      <c r="AN1826" s="244">
        <v>-4.3099999999999996</v>
      </c>
      <c r="AO1826" s="417"/>
      <c r="AP1826" s="417">
        <v>2.48</v>
      </c>
      <c r="AQ1826" s="244" t="s">
        <v>6311</v>
      </c>
      <c r="AR1826" s="244" t="s">
        <v>6311</v>
      </c>
      <c r="AS1826" s="241" t="s">
        <v>6</v>
      </c>
      <c r="AT1826" s="39" t="s">
        <v>266</v>
      </c>
      <c r="AU1826" s="37">
        <v>2</v>
      </c>
      <c r="AV1826" s="37">
        <v>48</v>
      </c>
      <c r="AW1826" s="37">
        <v>48</v>
      </c>
      <c r="AX1826" s="37">
        <v>26</v>
      </c>
      <c r="AY1826" s="37" t="s">
        <v>8722</v>
      </c>
      <c r="AZ1826" s="37" t="s">
        <v>1893</v>
      </c>
      <c r="BA1826" s="37">
        <v>15</v>
      </c>
      <c r="BB1826" s="36" t="s">
        <v>1613</v>
      </c>
      <c r="BC1826" s="36" t="s">
        <v>1887</v>
      </c>
      <c r="BD1826" s="36"/>
      <c r="BE1826" s="37" t="s">
        <v>1712</v>
      </c>
      <c r="BF1826" s="37" t="s">
        <v>540</v>
      </c>
      <c r="BG1826" s="37" t="s">
        <v>540</v>
      </c>
      <c r="BH1826" s="37" t="s">
        <v>272</v>
      </c>
      <c r="BI1826" s="248">
        <v>1.1109739538328601E-2</v>
      </c>
      <c r="BJ1826" s="248">
        <v>0.222194790766572</v>
      </c>
      <c r="BK1826" s="37"/>
      <c r="BL1826" s="243">
        <f t="shared" si="538"/>
        <v>0.38221083995251059</v>
      </c>
      <c r="BM1826" s="37" t="s">
        <v>541</v>
      </c>
      <c r="BN1826" s="37"/>
      <c r="BO1826" s="37">
        <v>5.0549314899395133E-2</v>
      </c>
      <c r="BP1826" s="37"/>
      <c r="BQ1826" s="37"/>
      <c r="BR1826" s="37"/>
      <c r="BS1826" s="37"/>
      <c r="BT1826" s="37"/>
      <c r="BU1826" s="246"/>
      <c r="BV1826" s="37"/>
      <c r="BW1826" s="37"/>
      <c r="BX1826" s="37"/>
      <c r="BY1826" s="37"/>
      <c r="BZ1826" s="37"/>
      <c r="CA1826" s="37"/>
      <c r="CB1826" s="37"/>
      <c r="CC1826" s="37"/>
      <c r="CD1826" s="37"/>
      <c r="CE1826" s="37"/>
      <c r="CF1826" s="37"/>
      <c r="CG1826" s="37"/>
      <c r="CH1826" s="37"/>
      <c r="CI1826" s="243">
        <f t="shared" si="539"/>
        <v>5.0549314899395133E-2</v>
      </c>
      <c r="CJ1826" s="243">
        <f t="shared" si="540"/>
        <v>-1.2962847260755221</v>
      </c>
      <c r="CK1826" s="38">
        <f t="shared" si="544"/>
        <v>1.7201611191418271</v>
      </c>
      <c r="CL1826" s="247">
        <f t="shared" si="541"/>
        <v>7.5611477764475907</v>
      </c>
      <c r="CM1826" s="247"/>
      <c r="CN1826" s="247"/>
      <c r="CO1826" s="36" t="s">
        <v>1888</v>
      </c>
      <c r="CP1826" s="36" t="s">
        <v>1889</v>
      </c>
      <c r="CQ1826" s="241">
        <v>-1.1767491904840055</v>
      </c>
      <c r="CR1826" s="241">
        <f>10^(CJ1826-CQ1826)</f>
        <v>0.75938928406704398</v>
      </c>
      <c r="CS1826" s="33"/>
      <c r="CT1826" s="33"/>
      <c r="CU1826" s="250">
        <f t="shared" si="542"/>
        <v>95.726495726495727</v>
      </c>
      <c r="CV1826" s="337">
        <f t="shared" si="545"/>
        <v>21.777777777777779</v>
      </c>
      <c r="CW1826" s="330">
        <f t="shared" si="543"/>
        <v>1</v>
      </c>
      <c r="CX1826" s="330" t="s">
        <v>539</v>
      </c>
      <c r="CY1826" s="143" t="s">
        <v>6351</v>
      </c>
    </row>
    <row r="1827" spans="1:103" ht="11.25" customHeight="1" x14ac:dyDescent="0.2">
      <c r="A1827" s="72">
        <v>1825</v>
      </c>
      <c r="B1827" s="241">
        <v>151</v>
      </c>
      <c r="C1827" s="32" t="s">
        <v>7714</v>
      </c>
      <c r="D1827" s="32"/>
      <c r="E1827" s="40"/>
      <c r="F1827" s="40" t="s">
        <v>823</v>
      </c>
      <c r="G1827" s="242">
        <v>626584</v>
      </c>
      <c r="H1827" s="36" t="s">
        <v>824</v>
      </c>
      <c r="I1827" s="36" t="s">
        <v>824</v>
      </c>
      <c r="J1827" s="36" t="s">
        <v>825</v>
      </c>
      <c r="K1827" s="36" t="s">
        <v>300</v>
      </c>
      <c r="L1827" s="36"/>
      <c r="M1827" s="36"/>
      <c r="N1827" s="36"/>
      <c r="O1827" s="36"/>
      <c r="P1827" s="41"/>
      <c r="Q1827" s="41"/>
      <c r="R1827" s="41"/>
      <c r="S1827" s="41"/>
      <c r="T1827" s="37">
        <v>99.17</v>
      </c>
      <c r="U1827" s="243"/>
      <c r="V1827" s="243">
        <v>513.56256932540077</v>
      </c>
      <c r="W1827" s="243">
        <v>389.04514499428058</v>
      </c>
      <c r="X1827" s="243">
        <f>IF(W1827=0,V1827,W1827)</f>
        <v>389.04514499428058</v>
      </c>
      <c r="Y1827" s="414">
        <v>12.13</v>
      </c>
      <c r="Z1827" s="37">
        <v>1.61</v>
      </c>
      <c r="AA1827" s="37"/>
      <c r="AB1827" s="37">
        <v>1.4</v>
      </c>
      <c r="AC1827" s="37">
        <v>0.84950000000000003</v>
      </c>
      <c r="AD1827" s="37">
        <v>1.41</v>
      </c>
      <c r="AE1827" s="37">
        <v>1.42</v>
      </c>
      <c r="AF1827" s="37">
        <f t="shared" si="546"/>
        <v>1.41</v>
      </c>
      <c r="AG1827" s="38">
        <v>1.02</v>
      </c>
      <c r="AH1827" s="243">
        <v>2.2799999999999999E-5</v>
      </c>
      <c r="AI1827" s="243"/>
      <c r="AJ1827" s="34">
        <f t="shared" si="537"/>
        <v>-3.030631479312198</v>
      </c>
      <c r="AK1827" s="34"/>
      <c r="AL1827" s="34">
        <f t="shared" si="528"/>
        <v>-3.030631479312198</v>
      </c>
      <c r="AM1827" s="34">
        <v>-3.85859</v>
      </c>
      <c r="AN1827" s="244">
        <v>-3.58</v>
      </c>
      <c r="AO1827" s="417"/>
      <c r="AP1827" s="417">
        <v>10.69</v>
      </c>
      <c r="AQ1827" s="244" t="s">
        <v>6311</v>
      </c>
      <c r="AR1827" s="244" t="s">
        <v>6311</v>
      </c>
      <c r="AS1827" s="241" t="s">
        <v>81</v>
      </c>
      <c r="AT1827" s="39" t="s">
        <v>266</v>
      </c>
      <c r="AU1827" s="37">
        <v>0</v>
      </c>
      <c r="AV1827" s="37">
        <v>48</v>
      </c>
      <c r="AW1827" s="37">
        <v>48</v>
      </c>
      <c r="AX1827" s="37">
        <v>26</v>
      </c>
      <c r="AY1827" s="37" t="s">
        <v>8722</v>
      </c>
      <c r="AZ1827" s="37" t="s">
        <v>536</v>
      </c>
      <c r="BA1827" s="37">
        <v>20</v>
      </c>
      <c r="BB1827" s="36" t="s">
        <v>537</v>
      </c>
      <c r="BC1827" s="36" t="s">
        <v>648</v>
      </c>
      <c r="BD1827" s="36"/>
      <c r="BE1827" s="245" t="s">
        <v>649</v>
      </c>
      <c r="BF1827" s="37" t="s">
        <v>539</v>
      </c>
      <c r="BG1827" s="37" t="s">
        <v>272</v>
      </c>
      <c r="BH1827" s="37" t="s">
        <v>272</v>
      </c>
      <c r="BI1827" s="248">
        <v>0.42347247428917117</v>
      </c>
      <c r="BJ1827" s="248">
        <v>1.2099213551119177</v>
      </c>
      <c r="BK1827" s="37"/>
      <c r="BL1827" s="243">
        <f t="shared" si="538"/>
        <v>1.8401744651556222</v>
      </c>
      <c r="BM1827" s="37" t="s">
        <v>541</v>
      </c>
      <c r="BN1827" s="37"/>
      <c r="BO1827" s="37">
        <v>0.93700000000000006</v>
      </c>
      <c r="BP1827" s="37"/>
      <c r="BQ1827" s="37"/>
      <c r="BR1827" s="37"/>
      <c r="BS1827" s="37"/>
      <c r="BT1827" s="37"/>
      <c r="BU1827" s="246"/>
      <c r="BV1827" s="37"/>
      <c r="BW1827" s="37"/>
      <c r="BX1827" s="37"/>
      <c r="BY1827" s="37"/>
      <c r="BZ1827" s="37"/>
      <c r="CA1827" s="37"/>
      <c r="CB1827" s="37"/>
      <c r="CC1827" s="37"/>
      <c r="CD1827" s="37"/>
      <c r="CE1827" s="37"/>
      <c r="CF1827" s="37"/>
      <c r="CG1827" s="37"/>
      <c r="CH1827" s="37"/>
      <c r="CI1827" s="243">
        <f t="shared" si="539"/>
        <v>0.93700000000000006</v>
      </c>
      <c r="CJ1827" s="243">
        <f t="shared" si="540"/>
        <v>-2.8260409112221711E-2</v>
      </c>
      <c r="CK1827" s="38">
        <f t="shared" si="544"/>
        <v>1.5209041954511218</v>
      </c>
      <c r="CL1827" s="247">
        <f t="shared" si="541"/>
        <v>1.9639001762600024</v>
      </c>
      <c r="CM1827" s="247"/>
      <c r="CN1827" s="247"/>
      <c r="CO1827" s="36"/>
      <c r="CP1827" s="36" t="s">
        <v>772</v>
      </c>
      <c r="CQ1827" s="241" t="s">
        <v>272</v>
      </c>
      <c r="CR1827" s="241"/>
      <c r="CS1827" s="33"/>
      <c r="CT1827" s="33"/>
      <c r="CU1827" s="250">
        <f t="shared" si="542"/>
        <v>415.20292955632931</v>
      </c>
      <c r="CV1827" s="337">
        <f t="shared" si="545"/>
        <v>321.54581233777293</v>
      </c>
      <c r="CW1827" s="330">
        <f t="shared" si="543"/>
        <v>1</v>
      </c>
      <c r="CX1827" s="330"/>
      <c r="CY1827" s="143" t="s">
        <v>5921</v>
      </c>
    </row>
    <row r="1828" spans="1:103" ht="11.25" customHeight="1" x14ac:dyDescent="0.2">
      <c r="A1828" s="72">
        <v>1826</v>
      </c>
      <c r="B1828" s="241">
        <v>162</v>
      </c>
      <c r="C1828" s="32" t="s">
        <v>7715</v>
      </c>
      <c r="D1828" s="32"/>
      <c r="E1828" s="40"/>
      <c r="F1828" s="40" t="s">
        <v>857</v>
      </c>
      <c r="G1828" s="242">
        <v>626675</v>
      </c>
      <c r="H1828" s="36" t="s">
        <v>858</v>
      </c>
      <c r="I1828" s="36" t="s">
        <v>858</v>
      </c>
      <c r="J1828" s="36" t="s">
        <v>859</v>
      </c>
      <c r="K1828" s="36" t="s">
        <v>300</v>
      </c>
      <c r="L1828" s="36"/>
      <c r="M1828" s="36"/>
      <c r="N1828" s="36"/>
      <c r="O1828" s="36"/>
      <c r="P1828" s="41"/>
      <c r="Q1828" s="41"/>
      <c r="R1828" s="41"/>
      <c r="S1828" s="41"/>
      <c r="T1828" s="37">
        <v>99.17</v>
      </c>
      <c r="U1828" s="243">
        <v>1683.977009176162</v>
      </c>
      <c r="V1828" s="243">
        <v>937.17858223252995</v>
      </c>
      <c r="W1828" s="243">
        <v>489.77881936844614</v>
      </c>
      <c r="X1828" s="243">
        <v>1683.977009176162</v>
      </c>
      <c r="Y1828" s="414">
        <v>11.64</v>
      </c>
      <c r="Z1828" s="37">
        <v>1.4</v>
      </c>
      <c r="AA1828" s="37">
        <v>1.3</v>
      </c>
      <c r="AB1828" s="37">
        <v>1.33</v>
      </c>
      <c r="AC1828" s="37">
        <v>0.8911</v>
      </c>
      <c r="AD1828" s="37">
        <v>1.33</v>
      </c>
      <c r="AE1828" s="37">
        <v>1.32</v>
      </c>
      <c r="AF1828" s="37">
        <f t="shared" si="546"/>
        <v>1.3</v>
      </c>
      <c r="AG1828" s="38">
        <v>1.01</v>
      </c>
      <c r="AH1828" s="243">
        <v>3.7700000000000002E-5</v>
      </c>
      <c r="AI1828" s="243">
        <v>3.4600000000000001E-5</v>
      </c>
      <c r="AJ1828" s="34">
        <f t="shared" si="537"/>
        <v>-2.812224976106859</v>
      </c>
      <c r="AK1828" s="34">
        <f>LOG10(AI1828*1000/(0.08206*298.15))</f>
        <v>-2.8494902275198752</v>
      </c>
      <c r="AL1828" s="34">
        <f t="shared" si="528"/>
        <v>-2.8494902275198752</v>
      </c>
      <c r="AM1828" s="34">
        <v>-3.4867400000000002</v>
      </c>
      <c r="AN1828" s="244">
        <v>-3</v>
      </c>
      <c r="AO1828" s="417"/>
      <c r="AP1828" s="417">
        <v>9.59</v>
      </c>
      <c r="AQ1828" s="244" t="s">
        <v>6311</v>
      </c>
      <c r="AR1828" s="244" t="s">
        <v>6311</v>
      </c>
      <c r="AS1828" s="241" t="s">
        <v>72</v>
      </c>
      <c r="AT1828" s="39" t="s">
        <v>266</v>
      </c>
      <c r="AU1828" s="37">
        <v>0</v>
      </c>
      <c r="AV1828" s="37">
        <v>48</v>
      </c>
      <c r="AW1828" s="37">
        <v>48</v>
      </c>
      <c r="AX1828" s="37">
        <v>26</v>
      </c>
      <c r="AY1828" s="37" t="s">
        <v>8722</v>
      </c>
      <c r="AZ1828" s="37" t="s">
        <v>536</v>
      </c>
      <c r="BA1828" s="37">
        <v>20</v>
      </c>
      <c r="BB1828" s="36" t="s">
        <v>537</v>
      </c>
      <c r="BC1828" s="36" t="s">
        <v>648</v>
      </c>
      <c r="BD1828" s="36"/>
      <c r="BE1828" s="245" t="s">
        <v>649</v>
      </c>
      <c r="BF1828" s="37" t="s">
        <v>539</v>
      </c>
      <c r="BG1828" s="37" t="s">
        <v>272</v>
      </c>
      <c r="BH1828" s="37" t="s">
        <v>272</v>
      </c>
      <c r="BI1828" s="248">
        <v>0.27525710828796129</v>
      </c>
      <c r="BJ1828" s="248">
        <v>0.78644888082274644</v>
      </c>
      <c r="BK1828" s="37"/>
      <c r="BL1828" s="243">
        <f t="shared" si="538"/>
        <v>2.8409265139313828</v>
      </c>
      <c r="BM1828" s="37" t="s">
        <v>541</v>
      </c>
      <c r="BN1828" s="37"/>
      <c r="BO1828" s="37">
        <v>0.68899999999999995</v>
      </c>
      <c r="BP1828" s="37"/>
      <c r="BQ1828" s="37"/>
      <c r="BR1828" s="37"/>
      <c r="BS1828" s="37"/>
      <c r="BT1828" s="37"/>
      <c r="BU1828" s="246"/>
      <c r="BV1828" s="37"/>
      <c r="BW1828" s="37"/>
      <c r="BX1828" s="37"/>
      <c r="BY1828" s="37"/>
      <c r="BZ1828" s="37"/>
      <c r="CA1828" s="37"/>
      <c r="CB1828" s="37"/>
      <c r="CC1828" s="37"/>
      <c r="CD1828" s="37"/>
      <c r="CE1828" s="37"/>
      <c r="CF1828" s="37"/>
      <c r="CG1828" s="37"/>
      <c r="CH1828" s="37"/>
      <c r="CI1828" s="243">
        <f t="shared" si="539"/>
        <v>0.68899999999999995</v>
      </c>
      <c r="CJ1828" s="243">
        <f t="shared" si="540"/>
        <v>-0.16178077809237421</v>
      </c>
      <c r="CK1828" s="38">
        <f t="shared" si="544"/>
        <v>3.6123473288681356</v>
      </c>
      <c r="CL1828" s="247">
        <f t="shared" si="541"/>
        <v>4.1232605427160856</v>
      </c>
      <c r="CM1828" s="247"/>
      <c r="CN1828" s="247"/>
      <c r="CO1828" s="36"/>
      <c r="CP1828" s="36" t="s">
        <v>772</v>
      </c>
      <c r="CQ1828" s="241" t="s">
        <v>272</v>
      </c>
      <c r="CR1828" s="241"/>
      <c r="CS1828" s="33"/>
      <c r="CT1828" s="33"/>
      <c r="CU1828" s="250">
        <f t="shared" si="542"/>
        <v>2444.0885474254892</v>
      </c>
      <c r="CV1828" s="337">
        <f t="shared" si="545"/>
        <v>2141.241535513997</v>
      </c>
      <c r="CW1828" s="330">
        <f t="shared" si="543"/>
        <v>1</v>
      </c>
      <c r="CX1828" s="330"/>
      <c r="CY1828" s="143" t="s">
        <v>6351</v>
      </c>
    </row>
    <row r="1829" spans="1:103" ht="11.25" customHeight="1" x14ac:dyDescent="0.2">
      <c r="A1829" s="72">
        <v>1827</v>
      </c>
      <c r="B1829" s="241">
        <v>815</v>
      </c>
      <c r="C1829" s="32" t="s">
        <v>7716</v>
      </c>
      <c r="D1829" s="32"/>
      <c r="E1829" s="40"/>
      <c r="F1829" s="40" t="s">
        <v>2317</v>
      </c>
      <c r="G1829" s="242">
        <v>629254</v>
      </c>
      <c r="H1829" s="36" t="s">
        <v>2318</v>
      </c>
      <c r="I1829" s="36" t="s">
        <v>2318</v>
      </c>
      <c r="J1829" s="36" t="s">
        <v>2319</v>
      </c>
      <c r="K1829" s="36" t="s">
        <v>426</v>
      </c>
      <c r="L1829" s="36"/>
      <c r="M1829" s="36" t="s">
        <v>526</v>
      </c>
      <c r="N1829" s="36"/>
      <c r="O1829" s="36" t="s">
        <v>2320</v>
      </c>
      <c r="P1829" s="41"/>
      <c r="Q1829" s="41"/>
      <c r="R1829" s="41"/>
      <c r="S1829" s="41"/>
      <c r="T1829" s="37">
        <v>200.32</v>
      </c>
      <c r="U1829" s="243">
        <v>2.401158146964856E-2</v>
      </c>
      <c r="V1829" s="243">
        <v>6.3698083067092653E-2</v>
      </c>
      <c r="W1829" s="243">
        <v>0.48977881936844564</v>
      </c>
      <c r="X1829" s="243">
        <v>2.401158146964856E-2</v>
      </c>
      <c r="Y1829" s="414">
        <v>4.09</v>
      </c>
      <c r="Z1829" s="37">
        <v>5</v>
      </c>
      <c r="AA1829" s="37">
        <v>4.5999999999999996</v>
      </c>
      <c r="AB1829" s="37">
        <v>4.59</v>
      </c>
      <c r="AC1829" s="37">
        <v>0.94610000000000005</v>
      </c>
      <c r="AD1829" s="37">
        <v>4.68</v>
      </c>
      <c r="AE1829" s="37">
        <v>5.03</v>
      </c>
      <c r="AF1829" s="37">
        <f t="shared" si="546"/>
        <v>4.5999999999999996</v>
      </c>
      <c r="AG1829" s="38">
        <v>4.68</v>
      </c>
      <c r="AH1829" s="243">
        <v>9.3100000000000006E-6</v>
      </c>
      <c r="AI1829" s="243"/>
      <c r="AJ1829" s="34">
        <f t="shared" si="537"/>
        <v>-3.4196166453313093</v>
      </c>
      <c r="AK1829" s="34"/>
      <c r="AL1829" s="34">
        <f t="shared" si="528"/>
        <v>-3.4196166453313093</v>
      </c>
      <c r="AM1829" s="34">
        <v>-6.2220399999999998</v>
      </c>
      <c r="AN1829" s="244"/>
      <c r="AO1829" s="417">
        <v>4.78</v>
      </c>
      <c r="AP1829" s="417"/>
      <c r="AQ1829" s="244" t="s">
        <v>6311</v>
      </c>
      <c r="AR1829" s="244" t="s">
        <v>6311</v>
      </c>
      <c r="AS1829" s="241" t="s">
        <v>6</v>
      </c>
      <c r="AT1829" s="39" t="s">
        <v>266</v>
      </c>
      <c r="AU1829" s="245"/>
      <c r="AV1829" s="245">
        <v>0</v>
      </c>
      <c r="AW1829" s="37">
        <v>48</v>
      </c>
      <c r="AX1829" s="37">
        <v>25</v>
      </c>
      <c r="AY1829" s="37" t="s">
        <v>8722</v>
      </c>
      <c r="AZ1829" s="37" t="s">
        <v>2263</v>
      </c>
      <c r="BA1829" s="37">
        <v>20</v>
      </c>
      <c r="BB1829" s="36" t="s">
        <v>1764</v>
      </c>
      <c r="BC1829" s="36" t="s">
        <v>2264</v>
      </c>
      <c r="BD1829" s="36"/>
      <c r="BE1829" s="37" t="s">
        <v>2265</v>
      </c>
      <c r="BF1829" s="37" t="s">
        <v>2266</v>
      </c>
      <c r="BG1829" s="37" t="s">
        <v>2266</v>
      </c>
      <c r="BH1829" s="37" t="s">
        <v>272</v>
      </c>
      <c r="BI1829" s="243" t="s">
        <v>8722</v>
      </c>
      <c r="BJ1829" s="243" t="s">
        <v>8722</v>
      </c>
      <c r="BK1829" s="37" t="s">
        <v>2267</v>
      </c>
      <c r="BL1829" s="243">
        <f t="shared" si="538"/>
        <v>1.6607337055040557E-3</v>
      </c>
      <c r="BM1829" s="37" t="s">
        <v>1584</v>
      </c>
      <c r="BN1829" s="37"/>
      <c r="BO1829" s="37"/>
      <c r="BP1829" s="37">
        <v>4.992012779552716E-2</v>
      </c>
      <c r="BQ1829" s="37"/>
      <c r="BR1829" s="37"/>
      <c r="BS1829" s="37"/>
      <c r="BT1829" s="37"/>
      <c r="BU1829" s="246"/>
      <c r="BV1829" s="37"/>
      <c r="BW1829" s="37"/>
      <c r="BX1829" s="37"/>
      <c r="BY1829" s="37"/>
      <c r="BZ1829" s="37"/>
      <c r="CA1829" s="37"/>
      <c r="CB1829" s="37"/>
      <c r="CC1829" s="37"/>
      <c r="CD1829" s="37"/>
      <c r="CE1829" s="37"/>
      <c r="CF1829" s="37"/>
      <c r="CG1829" s="37"/>
      <c r="CH1829" s="37"/>
      <c r="CI1829" s="243">
        <f t="shared" si="539"/>
        <v>4.992012779552716E-2</v>
      </c>
      <c r="CJ1829" s="243">
        <f t="shared" si="540"/>
        <v>-1.3017243115303356</v>
      </c>
      <c r="CK1829" s="38" t="s">
        <v>404</v>
      </c>
      <c r="CL1829" s="247">
        <f t="shared" si="541"/>
        <v>3.3267817588657239E-2</v>
      </c>
      <c r="CM1829" s="247"/>
      <c r="CN1829" s="247"/>
      <c r="CO1829" s="36"/>
      <c r="CP1829" s="36" t="s">
        <v>2268</v>
      </c>
      <c r="CQ1829" s="241" t="s">
        <v>272</v>
      </c>
      <c r="CR1829" s="241"/>
      <c r="CS1829" s="33"/>
      <c r="CT1829" s="33" t="s">
        <v>6310</v>
      </c>
      <c r="CU1829" s="250">
        <f t="shared" si="542"/>
        <v>0.48099999999999993</v>
      </c>
      <c r="CV1829" s="337"/>
      <c r="CW1829" s="330">
        <f t="shared" si="543"/>
        <v>0</v>
      </c>
      <c r="CX1829" s="330" t="s">
        <v>539</v>
      </c>
      <c r="CY1829" s="143" t="s">
        <v>5921</v>
      </c>
    </row>
    <row r="1830" spans="1:103" ht="11.25" customHeight="1" x14ac:dyDescent="0.2">
      <c r="A1830" s="72">
        <v>1828</v>
      </c>
      <c r="B1830" s="241">
        <v>653</v>
      </c>
      <c r="C1830" s="32" t="s">
        <v>7717</v>
      </c>
      <c r="D1830" s="32"/>
      <c r="E1830" s="40"/>
      <c r="F1830" s="40" t="s">
        <v>1914</v>
      </c>
      <c r="G1830" s="242">
        <v>634935</v>
      </c>
      <c r="H1830" s="36" t="s">
        <v>1915</v>
      </c>
      <c r="I1830" s="36" t="s">
        <v>8231</v>
      </c>
      <c r="J1830" s="36" t="s">
        <v>1916</v>
      </c>
      <c r="K1830" s="36" t="s">
        <v>1573</v>
      </c>
      <c r="L1830" s="36"/>
      <c r="M1830" s="36"/>
      <c r="N1830" s="36"/>
      <c r="O1830" s="36"/>
      <c r="P1830" s="41"/>
      <c r="Q1830" s="41"/>
      <c r="R1830" s="41"/>
      <c r="S1830" s="41"/>
      <c r="T1830" s="37">
        <v>196.46</v>
      </c>
      <c r="U1830" s="243">
        <v>0.20360378703043877</v>
      </c>
      <c r="V1830" s="243">
        <v>0.22890155756897076</v>
      </c>
      <c r="W1830" s="243">
        <v>0.19498445997580452</v>
      </c>
      <c r="X1830" s="243">
        <v>0.20360378703043877</v>
      </c>
      <c r="Y1830" s="414">
        <v>7</v>
      </c>
      <c r="Z1830" s="37">
        <v>3.01</v>
      </c>
      <c r="AA1830" s="37">
        <v>3.52</v>
      </c>
      <c r="AB1830" s="37">
        <v>3.34</v>
      </c>
      <c r="AC1830" s="37">
        <v>0.91200000000000003</v>
      </c>
      <c r="AD1830" s="37">
        <v>3.42</v>
      </c>
      <c r="AE1830" s="37">
        <v>3.74</v>
      </c>
      <c r="AF1830" s="37">
        <f t="shared" si="546"/>
        <v>3.52</v>
      </c>
      <c r="AG1830" s="38">
        <v>3.14</v>
      </c>
      <c r="AH1830" s="243">
        <v>7.7499999999999999E-7</v>
      </c>
      <c r="AI1830" s="243"/>
      <c r="AJ1830" s="34">
        <f t="shared" si="537"/>
        <v>-4.4992646238063418</v>
      </c>
      <c r="AK1830" s="34"/>
      <c r="AL1830" s="34">
        <f t="shared" si="528"/>
        <v>-4.4992646238063418</v>
      </c>
      <c r="AM1830" s="34">
        <v>-7.2830999999999992</v>
      </c>
      <c r="AN1830" s="244">
        <v>-1.8</v>
      </c>
      <c r="AO1830" s="417"/>
      <c r="AP1830" s="417">
        <v>7.0000000000000007E-2</v>
      </c>
      <c r="AQ1830" s="244" t="s">
        <v>6311</v>
      </c>
      <c r="AR1830" s="244" t="s">
        <v>6311</v>
      </c>
      <c r="AS1830" s="241" t="s">
        <v>6</v>
      </c>
      <c r="AT1830" s="39" t="s">
        <v>266</v>
      </c>
      <c r="AU1830" s="37">
        <v>2</v>
      </c>
      <c r="AV1830" s="37">
        <v>48</v>
      </c>
      <c r="AW1830" s="37">
        <v>48</v>
      </c>
      <c r="AX1830" s="37">
        <v>26</v>
      </c>
      <c r="AY1830" s="37" t="s">
        <v>647</v>
      </c>
      <c r="AZ1830" s="37" t="s">
        <v>1912</v>
      </c>
      <c r="BA1830" s="37">
        <v>25</v>
      </c>
      <c r="BB1830" s="36" t="s">
        <v>1613</v>
      </c>
      <c r="BC1830" s="36" t="s">
        <v>538</v>
      </c>
      <c r="BD1830" s="36"/>
      <c r="BE1830" s="37" t="s">
        <v>271</v>
      </c>
      <c r="BF1830" s="37" t="s">
        <v>272</v>
      </c>
      <c r="BG1830" s="37" t="s">
        <v>272</v>
      </c>
      <c r="BH1830" s="37" t="s">
        <v>272</v>
      </c>
      <c r="BI1830" s="243">
        <v>1.4499999999999999E-3</v>
      </c>
      <c r="BJ1830" s="243">
        <v>0.19750000000000001</v>
      </c>
      <c r="BK1830" s="37"/>
      <c r="BL1830" s="243">
        <f t="shared" si="538"/>
        <v>0.10174638783529338</v>
      </c>
      <c r="BM1830" s="37" t="s">
        <v>541</v>
      </c>
      <c r="BN1830" s="37"/>
      <c r="BO1830" s="37">
        <v>6.9900000000000004E-2</v>
      </c>
      <c r="BP1830" s="37"/>
      <c r="BQ1830" s="37"/>
      <c r="BR1830" s="37"/>
      <c r="BS1830" s="37"/>
      <c r="BT1830" s="37"/>
      <c r="BU1830" s="246"/>
      <c r="BV1830" s="37"/>
      <c r="BW1830" s="37"/>
      <c r="BX1830" s="37"/>
      <c r="BY1830" s="37"/>
      <c r="BZ1830" s="37"/>
      <c r="CA1830" s="37"/>
      <c r="CB1830" s="37"/>
      <c r="CC1830" s="37"/>
      <c r="CD1830" s="37"/>
      <c r="CE1830" s="37"/>
      <c r="CF1830" s="37"/>
      <c r="CG1830" s="37"/>
      <c r="CH1830" s="37"/>
      <c r="CI1830" s="243">
        <f t="shared" si="539"/>
        <v>6.9900000000000004E-2</v>
      </c>
      <c r="CJ1830" s="243">
        <f t="shared" si="540"/>
        <v>-1.1555228242543185</v>
      </c>
      <c r="CK1830" s="38">
        <f>BL1830/BJ1830</f>
        <v>0.51517158397616902</v>
      </c>
      <c r="CL1830" s="247">
        <f t="shared" si="541"/>
        <v>1.4555992537237965</v>
      </c>
      <c r="CM1830" s="247"/>
      <c r="CN1830" s="247"/>
      <c r="CO1830" s="36"/>
      <c r="CP1830" s="36" t="s">
        <v>1913</v>
      </c>
      <c r="CQ1830" s="241" t="s">
        <v>272</v>
      </c>
      <c r="CR1830" s="241"/>
      <c r="CS1830" s="33"/>
      <c r="CT1830" s="33"/>
      <c r="CU1830" s="250">
        <f t="shared" si="542"/>
        <v>2.9127866527959765</v>
      </c>
      <c r="CV1830" s="337">
        <f>X1830/BJ1830</f>
        <v>1.0309052507870318</v>
      </c>
      <c r="CW1830" s="330">
        <f t="shared" si="543"/>
        <v>1</v>
      </c>
      <c r="CX1830" s="330"/>
      <c r="CY1830" s="143" t="s">
        <v>5921</v>
      </c>
    </row>
    <row r="1831" spans="1:103" ht="11.25" customHeight="1" x14ac:dyDescent="0.2">
      <c r="A1831" s="72">
        <v>1829</v>
      </c>
      <c r="B1831" s="241">
        <v>2082</v>
      </c>
      <c r="C1831" s="32" t="s">
        <v>7718</v>
      </c>
      <c r="D1831" s="32"/>
      <c r="E1831" s="40"/>
      <c r="F1831" s="40" t="s">
        <v>5743</v>
      </c>
      <c r="G1831" s="242">
        <v>642159</v>
      </c>
      <c r="H1831" s="41" t="s">
        <v>5744</v>
      </c>
      <c r="I1831" s="41" t="s">
        <v>8232</v>
      </c>
      <c r="J1831" s="41" t="s">
        <v>5745</v>
      </c>
      <c r="K1831" s="41" t="s">
        <v>5746</v>
      </c>
      <c r="L1831" s="41"/>
      <c r="M1831" s="41"/>
      <c r="N1831" s="36"/>
      <c r="O1831" s="41"/>
      <c r="P1831" s="41"/>
      <c r="Q1831" s="41"/>
      <c r="R1831" s="41"/>
      <c r="S1831" s="41"/>
      <c r="T1831" s="33">
        <v>548.64</v>
      </c>
      <c r="U1831" s="250"/>
      <c r="V1831" s="250">
        <v>2.8361038203557886E-5</v>
      </c>
      <c r="W1831" s="250">
        <v>7.5857757502918325E-3</v>
      </c>
      <c r="X1831" s="250">
        <f>IF(W1831=0,V1831,W1831)</f>
        <v>7.5857757502918325E-3</v>
      </c>
      <c r="Y1831" s="415">
        <v>6.3</v>
      </c>
      <c r="Z1831" s="33">
        <v>5.09</v>
      </c>
      <c r="AA1831" s="33"/>
      <c r="AB1831" s="33">
        <v>4.18</v>
      </c>
      <c r="AC1831" s="33">
        <v>0.38869999999999999</v>
      </c>
      <c r="AD1831" s="33">
        <v>4.47</v>
      </c>
      <c r="AE1831" s="33">
        <v>4.68</v>
      </c>
      <c r="AF1831" s="33">
        <f t="shared" si="546"/>
        <v>4.47</v>
      </c>
      <c r="AG1831" s="34">
        <v>4.47</v>
      </c>
      <c r="AH1831" s="250">
        <v>7.4699999999999995E-18</v>
      </c>
      <c r="AI1831" s="250"/>
      <c r="AJ1831" s="34">
        <f t="shared" si="537"/>
        <v>-15.515245724497253</v>
      </c>
      <c r="AK1831" s="34"/>
      <c r="AL1831" s="34">
        <f t="shared" si="528"/>
        <v>-15.515245724497253</v>
      </c>
      <c r="AM1831" s="34">
        <v>-26.7956</v>
      </c>
      <c r="AN1831" s="251"/>
      <c r="AO1831" s="417">
        <v>7.28</v>
      </c>
      <c r="AP1831" s="417">
        <v>1.29</v>
      </c>
      <c r="AQ1831" s="251" t="s">
        <v>6311</v>
      </c>
      <c r="AR1831" s="251" t="s">
        <v>6312</v>
      </c>
      <c r="AS1831" s="252" t="s">
        <v>5466</v>
      </c>
      <c r="AT1831" s="35" t="s">
        <v>266</v>
      </c>
      <c r="AU1831" s="33">
        <v>4</v>
      </c>
      <c r="AV1831" s="33">
        <v>80</v>
      </c>
      <c r="AW1831" s="33">
        <v>76</v>
      </c>
      <c r="AX1831" s="33">
        <v>28</v>
      </c>
      <c r="AY1831" s="33" t="s">
        <v>267</v>
      </c>
      <c r="AZ1831" s="33" t="s">
        <v>5731</v>
      </c>
      <c r="BA1831" s="33">
        <v>20</v>
      </c>
      <c r="BB1831" s="41" t="s">
        <v>5732</v>
      </c>
      <c r="BC1831" s="41" t="s">
        <v>1584</v>
      </c>
      <c r="BD1831" s="41"/>
      <c r="BE1831" s="33" t="s">
        <v>5733</v>
      </c>
      <c r="BF1831" s="33"/>
      <c r="BG1831" s="33"/>
      <c r="BH1831" s="33" t="s">
        <v>5734</v>
      </c>
      <c r="BI1831" s="250"/>
      <c r="BJ1831" s="250"/>
      <c r="BK1831" s="254"/>
      <c r="BL1831" s="250">
        <f t="shared" si="538"/>
        <v>1.378703886987524E-3</v>
      </c>
      <c r="BM1831" s="33"/>
      <c r="BN1831" s="33"/>
      <c r="BO1831" s="33"/>
      <c r="BP1831" s="33"/>
      <c r="BQ1831" s="33"/>
      <c r="BR1831" s="33"/>
      <c r="BS1831" s="33"/>
      <c r="BT1831" s="33"/>
      <c r="BU1831" s="246"/>
      <c r="BV1831" s="33">
        <v>5.4E-6</v>
      </c>
      <c r="BW1831" s="33">
        <v>2.9000000000000002E-6</v>
      </c>
      <c r="BX1831" s="33"/>
      <c r="BY1831" s="33"/>
      <c r="BZ1831" s="33"/>
      <c r="CA1831" s="33"/>
      <c r="CB1831" s="33"/>
      <c r="CC1831" s="33"/>
      <c r="CD1831" s="33"/>
      <c r="CE1831" s="33"/>
      <c r="CF1831" s="33"/>
      <c r="CG1831" s="33"/>
      <c r="CH1831" s="33"/>
      <c r="CI1831" s="250">
        <f t="shared" si="539"/>
        <v>2.9000000000000002E-6</v>
      </c>
      <c r="CJ1831" s="243">
        <f t="shared" si="540"/>
        <v>-5.5376020021010435</v>
      </c>
      <c r="CK1831" s="38" t="s">
        <v>404</v>
      </c>
      <c r="CL1831" s="247">
        <f t="shared" si="541"/>
        <v>475.41513344397379</v>
      </c>
      <c r="CM1831" s="247"/>
      <c r="CN1831" s="247"/>
      <c r="CO1831" s="41"/>
      <c r="CP1831" s="41" t="s">
        <v>5735</v>
      </c>
      <c r="CQ1831" s="241" t="s">
        <v>272</v>
      </c>
      <c r="CR1831" s="241"/>
      <c r="CS1831" s="33"/>
      <c r="CT1831" s="33"/>
      <c r="CU1831" s="250">
        <f t="shared" si="542"/>
        <v>2615.7847414799421</v>
      </c>
      <c r="CV1831" s="337"/>
      <c r="CW1831" s="330">
        <f t="shared" si="543"/>
        <v>1</v>
      </c>
      <c r="CX1831" s="330" t="s">
        <v>539</v>
      </c>
      <c r="CY1831" s="143" t="s">
        <v>5921</v>
      </c>
    </row>
    <row r="1832" spans="1:103" ht="11.25" customHeight="1" x14ac:dyDescent="0.2">
      <c r="A1832" s="72">
        <v>1830</v>
      </c>
      <c r="B1832" s="241">
        <v>190</v>
      </c>
      <c r="C1832" s="32" t="s">
        <v>7719</v>
      </c>
      <c r="D1832" s="32"/>
      <c r="E1832" s="40"/>
      <c r="F1832" s="40" t="s">
        <v>3693</v>
      </c>
      <c r="G1832" s="242">
        <v>723466</v>
      </c>
      <c r="H1832" s="36" t="s">
        <v>3694</v>
      </c>
      <c r="I1832" s="36" t="s">
        <v>3694</v>
      </c>
      <c r="J1832" s="36" t="s">
        <v>3695</v>
      </c>
      <c r="K1832" s="36" t="s">
        <v>3315</v>
      </c>
      <c r="L1832" s="42" t="s">
        <v>279</v>
      </c>
      <c r="M1832" s="36" t="s">
        <v>3696</v>
      </c>
      <c r="N1832" s="36"/>
      <c r="O1832" s="36" t="s">
        <v>281</v>
      </c>
      <c r="P1832" s="41"/>
      <c r="Q1832" s="41"/>
      <c r="R1832" s="41"/>
      <c r="S1832" s="41"/>
      <c r="T1832" s="37">
        <v>253.28</v>
      </c>
      <c r="U1832" s="243">
        <v>2.4084017687934303</v>
      </c>
      <c r="V1832" s="243">
        <v>15.563802905874921</v>
      </c>
      <c r="W1832" s="243">
        <v>1.174897554939528</v>
      </c>
      <c r="X1832" s="243">
        <v>2.4084017687934303</v>
      </c>
      <c r="Y1832" s="414">
        <v>4.5599999999999996</v>
      </c>
      <c r="Z1832" s="37">
        <v>0.48</v>
      </c>
      <c r="AA1832" s="37">
        <v>0.89</v>
      </c>
      <c r="AB1832" s="37">
        <v>0.57999999999999996</v>
      </c>
      <c r="AC1832" s="37">
        <v>0.88390000000000002</v>
      </c>
      <c r="AD1832" s="37">
        <v>0.65</v>
      </c>
      <c r="AE1832" s="37">
        <v>0.89</v>
      </c>
      <c r="AF1832" s="37">
        <f t="shared" si="546"/>
        <v>0.89</v>
      </c>
      <c r="AG1832" s="37">
        <v>1.17</v>
      </c>
      <c r="AH1832" s="243">
        <v>9.5599999999999997E-13</v>
      </c>
      <c r="AI1832" s="243"/>
      <c r="AJ1832" s="34">
        <f t="shared" si="537"/>
        <v>-10.408108434036551</v>
      </c>
      <c r="AK1832" s="34"/>
      <c r="AL1832" s="34">
        <f t="shared" si="528"/>
        <v>-10.408108434036551</v>
      </c>
      <c r="AM1832" s="34">
        <v>-17.286439999999999</v>
      </c>
      <c r="AN1832" s="37">
        <v>-17.3</v>
      </c>
      <c r="AO1832" s="417">
        <v>5.81</v>
      </c>
      <c r="AP1832" s="417">
        <v>1.39</v>
      </c>
      <c r="AQ1832" s="37" t="s">
        <v>6311</v>
      </c>
      <c r="AR1832" s="37" t="s">
        <v>6311</v>
      </c>
      <c r="AS1832" s="241" t="s">
        <v>90</v>
      </c>
      <c r="AT1832" s="39" t="s">
        <v>266</v>
      </c>
      <c r="AU1832" s="37">
        <v>0</v>
      </c>
      <c r="AV1832" s="37">
        <v>48</v>
      </c>
      <c r="AW1832" s="37">
        <v>48</v>
      </c>
      <c r="AX1832" s="37">
        <v>26</v>
      </c>
      <c r="AY1832" s="37" t="s">
        <v>8722</v>
      </c>
      <c r="AZ1832" s="37" t="s">
        <v>536</v>
      </c>
      <c r="BA1832" s="37">
        <v>20</v>
      </c>
      <c r="BB1832" s="36" t="s">
        <v>537</v>
      </c>
      <c r="BC1832" s="36" t="s">
        <v>538</v>
      </c>
      <c r="BD1832" s="36"/>
      <c r="BE1832" s="245" t="s">
        <v>271</v>
      </c>
      <c r="BF1832" s="245" t="s">
        <v>539</v>
      </c>
      <c r="BG1832" s="245" t="s">
        <v>540</v>
      </c>
      <c r="BH1832" s="245" t="s">
        <v>272</v>
      </c>
      <c r="BI1832" s="243">
        <v>0.19739999999999999</v>
      </c>
      <c r="BJ1832" s="243">
        <v>3.1581999999999999</v>
      </c>
      <c r="BK1832" s="37"/>
      <c r="BL1832" s="243">
        <f t="shared" si="538"/>
        <v>19.04197541035953</v>
      </c>
      <c r="BM1832" s="37" t="s">
        <v>541</v>
      </c>
      <c r="BN1832" s="37"/>
      <c r="BO1832" s="37"/>
      <c r="BP1832" s="37"/>
      <c r="BQ1832" s="37"/>
      <c r="BR1832" s="37"/>
      <c r="BS1832" s="266"/>
      <c r="BT1832" s="37"/>
      <c r="BU1832" s="267"/>
      <c r="BV1832" s="37"/>
      <c r="BW1832" s="37"/>
      <c r="BX1832" s="37"/>
      <c r="BY1832" s="37"/>
      <c r="BZ1832" s="37"/>
      <c r="CA1832" s="37"/>
      <c r="CB1832" s="37"/>
      <c r="CC1832" s="266"/>
      <c r="CD1832" s="266"/>
      <c r="CE1832" s="266"/>
      <c r="CF1832" s="266"/>
      <c r="CG1832" s="37"/>
      <c r="CH1832" s="37"/>
      <c r="CI1832" s="243"/>
      <c r="CJ1832" s="243"/>
      <c r="CK1832" s="38">
        <f t="shared" ref="CK1832:CK1837" si="547">BL1832/BJ1832</f>
        <v>6.0293760402632923</v>
      </c>
      <c r="CL1832" s="247"/>
      <c r="CM1832" s="247"/>
      <c r="CN1832" s="247"/>
      <c r="CO1832" s="36" t="s">
        <v>3683</v>
      </c>
      <c r="CP1832" s="36" t="s">
        <v>542</v>
      </c>
      <c r="CQ1832" s="241" t="s">
        <v>272</v>
      </c>
      <c r="CR1832" s="241"/>
      <c r="CS1832" s="33"/>
      <c r="CT1832" s="33"/>
      <c r="CU1832" s="250"/>
      <c r="CV1832" s="337">
        <f t="shared" ref="CV1832:CV1837" si="548">X1832/BJ1832</f>
        <v>0.76258684338972527</v>
      </c>
      <c r="CW1832" s="330">
        <f>IF(CV1832&lt;1,0,1)</f>
        <v>0</v>
      </c>
      <c r="CX1832" s="330"/>
      <c r="CY1832" s="143" t="s">
        <v>5921</v>
      </c>
    </row>
    <row r="1833" spans="1:103" ht="11.25" customHeight="1" x14ac:dyDescent="0.2">
      <c r="A1833" s="72">
        <v>1831</v>
      </c>
      <c r="B1833" s="241">
        <v>195</v>
      </c>
      <c r="C1833" s="32" t="s">
        <v>7298</v>
      </c>
      <c r="D1833" s="32"/>
      <c r="E1833" s="40"/>
      <c r="F1833" s="40" t="s">
        <v>3697</v>
      </c>
      <c r="G1833" s="242">
        <v>738705</v>
      </c>
      <c r="H1833" s="36" t="s">
        <v>3698</v>
      </c>
      <c r="I1833" s="36" t="s">
        <v>3698</v>
      </c>
      <c r="J1833" s="36" t="s">
        <v>3699</v>
      </c>
      <c r="K1833" s="36" t="s">
        <v>3700</v>
      </c>
      <c r="L1833" s="42" t="s">
        <v>279</v>
      </c>
      <c r="M1833" s="36" t="s">
        <v>3701</v>
      </c>
      <c r="N1833" s="36"/>
      <c r="O1833" s="36" t="s">
        <v>281</v>
      </c>
      <c r="P1833" s="41"/>
      <c r="Q1833" s="41"/>
      <c r="R1833" s="41"/>
      <c r="S1833" s="41"/>
      <c r="T1833" s="37">
        <v>290.32</v>
      </c>
      <c r="U1833" s="243">
        <v>1.3777900248002204</v>
      </c>
      <c r="V1833" s="243">
        <v>8.0394047947092862</v>
      </c>
      <c r="W1833" s="243">
        <v>2.0417379446695292</v>
      </c>
      <c r="X1833" s="243">
        <v>1.3777900248002204</v>
      </c>
      <c r="Y1833" s="414">
        <v>9.11</v>
      </c>
      <c r="Z1833" s="37">
        <v>0.73</v>
      </c>
      <c r="AA1833" s="37">
        <v>0.91</v>
      </c>
      <c r="AB1833" s="37">
        <v>1.22</v>
      </c>
      <c r="AC1833" s="37">
        <v>0.85780000000000001</v>
      </c>
      <c r="AD1833" s="37">
        <v>1.1200000000000001</v>
      </c>
      <c r="AE1833" s="37">
        <v>0.79</v>
      </c>
      <c r="AF1833" s="37">
        <f t="shared" si="546"/>
        <v>0.91</v>
      </c>
      <c r="AG1833" s="38">
        <v>1.18</v>
      </c>
      <c r="AH1833" s="243">
        <v>2.3900000000000001E-14</v>
      </c>
      <c r="AI1833" s="243"/>
      <c r="AJ1833" s="34">
        <f t="shared" si="537"/>
        <v>-12.010168425364514</v>
      </c>
      <c r="AK1833" s="34"/>
      <c r="AL1833" s="34">
        <f t="shared" si="528"/>
        <v>-12.010168425364514</v>
      </c>
      <c r="AM1833" s="34">
        <v>-20.178329999999999</v>
      </c>
      <c r="AN1833" s="244">
        <v>-14.6</v>
      </c>
      <c r="AO1833" s="417"/>
      <c r="AP1833" s="417">
        <v>6.9</v>
      </c>
      <c r="AQ1833" s="244" t="s">
        <v>6311</v>
      </c>
      <c r="AR1833" s="244" t="s">
        <v>6311</v>
      </c>
      <c r="AS1833" s="241" t="s">
        <v>90</v>
      </c>
      <c r="AT1833" s="39" t="s">
        <v>266</v>
      </c>
      <c r="AU1833" s="37">
        <v>0</v>
      </c>
      <c r="AV1833" s="37">
        <v>48</v>
      </c>
      <c r="AW1833" s="37">
        <v>48</v>
      </c>
      <c r="AX1833" s="37">
        <v>26</v>
      </c>
      <c r="AY1833" s="37" t="s">
        <v>8722</v>
      </c>
      <c r="AZ1833" s="37" t="s">
        <v>536</v>
      </c>
      <c r="BA1833" s="37">
        <v>20</v>
      </c>
      <c r="BB1833" s="36" t="s">
        <v>537</v>
      </c>
      <c r="BC1833" s="36" t="s">
        <v>538</v>
      </c>
      <c r="BD1833" s="36"/>
      <c r="BE1833" s="245" t="s">
        <v>271</v>
      </c>
      <c r="BF1833" s="245" t="s">
        <v>539</v>
      </c>
      <c r="BG1833" s="245" t="s">
        <v>540</v>
      </c>
      <c r="BH1833" s="245" t="s">
        <v>272</v>
      </c>
      <c r="BI1833" s="243">
        <v>6.4600000000000005E-2</v>
      </c>
      <c r="BJ1833" s="243">
        <v>1.0333000000000001</v>
      </c>
      <c r="BK1833" s="37"/>
      <c r="BL1833" s="243">
        <f t="shared" si="538"/>
        <v>11.354996377342104</v>
      </c>
      <c r="BM1833" s="37" t="s">
        <v>541</v>
      </c>
      <c r="BN1833" s="37"/>
      <c r="BO1833" s="37"/>
      <c r="BP1833" s="37"/>
      <c r="BQ1833" s="37"/>
      <c r="BR1833" s="37"/>
      <c r="BS1833" s="266"/>
      <c r="BT1833" s="37"/>
      <c r="BU1833" s="267"/>
      <c r="BV1833" s="37"/>
      <c r="BW1833" s="37"/>
      <c r="BX1833" s="37"/>
      <c r="BY1833" s="37"/>
      <c r="BZ1833" s="37"/>
      <c r="CA1833" s="37"/>
      <c r="CB1833" s="37"/>
      <c r="CC1833" s="266"/>
      <c r="CD1833" s="266"/>
      <c r="CE1833" s="266"/>
      <c r="CF1833" s="266"/>
      <c r="CG1833" s="37"/>
      <c r="CH1833" s="37"/>
      <c r="CI1833" s="243"/>
      <c r="CJ1833" s="243"/>
      <c r="CK1833" s="38">
        <f t="shared" si="547"/>
        <v>10.98906065744905</v>
      </c>
      <c r="CL1833" s="247"/>
      <c r="CM1833" s="247"/>
      <c r="CN1833" s="247"/>
      <c r="CO1833" s="36" t="s">
        <v>3683</v>
      </c>
      <c r="CP1833" s="36" t="s">
        <v>542</v>
      </c>
      <c r="CQ1833" s="241" t="s">
        <v>272</v>
      </c>
      <c r="CR1833" s="241"/>
      <c r="CS1833" s="33"/>
      <c r="CT1833" s="33"/>
      <c r="CU1833" s="250"/>
      <c r="CV1833" s="337">
        <f t="shared" si="548"/>
        <v>1.3333881978130457</v>
      </c>
      <c r="CW1833" s="330">
        <f>IF(CV1833&lt;1,0,1)</f>
        <v>1</v>
      </c>
      <c r="CX1833" s="330"/>
      <c r="CY1833" s="143" t="s">
        <v>5921</v>
      </c>
    </row>
    <row r="1834" spans="1:103" ht="11.25" customHeight="1" x14ac:dyDescent="0.2">
      <c r="A1834" s="72">
        <v>1832</v>
      </c>
      <c r="B1834" s="241">
        <v>165</v>
      </c>
      <c r="C1834" s="32" t="s">
        <v>7720</v>
      </c>
      <c r="D1834" s="32"/>
      <c r="E1834" s="40"/>
      <c r="F1834" s="40" t="s">
        <v>867</v>
      </c>
      <c r="G1834" s="242">
        <v>766096</v>
      </c>
      <c r="H1834" s="36" t="s">
        <v>868</v>
      </c>
      <c r="I1834" s="36" t="s">
        <v>868</v>
      </c>
      <c r="J1834" s="36" t="s">
        <v>869</v>
      </c>
      <c r="K1834" s="36" t="s">
        <v>300</v>
      </c>
      <c r="L1834" s="36"/>
      <c r="M1834" s="36"/>
      <c r="N1834" s="36"/>
      <c r="O1834" s="36"/>
      <c r="P1834" s="41"/>
      <c r="Q1834" s="41"/>
      <c r="R1834" s="41"/>
      <c r="S1834" s="41"/>
      <c r="T1834" s="37">
        <v>113.2</v>
      </c>
      <c r="U1834" s="243"/>
      <c r="V1834" s="243">
        <v>305.74204946996468</v>
      </c>
      <c r="W1834" s="243">
        <v>204.1737944669529</v>
      </c>
      <c r="X1834" s="243">
        <f t="shared" ref="X1834:X1841" si="549">IF(W1834=0,V1834,W1834)</f>
        <v>204.1737944669529</v>
      </c>
      <c r="Y1834" s="414">
        <v>11.46</v>
      </c>
      <c r="Z1834" s="37">
        <v>1.89</v>
      </c>
      <c r="AA1834" s="37">
        <v>1.75</v>
      </c>
      <c r="AB1834" s="37">
        <v>1.77</v>
      </c>
      <c r="AC1834" s="37">
        <v>0.82599999999999996</v>
      </c>
      <c r="AD1834" s="37">
        <v>1.79</v>
      </c>
      <c r="AE1834" s="37">
        <v>1.86</v>
      </c>
      <c r="AF1834" s="37">
        <f t="shared" si="546"/>
        <v>1.75</v>
      </c>
      <c r="AG1834" s="38">
        <v>1.42</v>
      </c>
      <c r="AH1834" s="243">
        <v>5.0000000000000002E-5</v>
      </c>
      <c r="AI1834" s="243"/>
      <c r="AJ1834" s="34">
        <f t="shared" si="537"/>
        <v>-2.6895963219766328</v>
      </c>
      <c r="AK1834" s="34"/>
      <c r="AL1834" s="34">
        <f t="shared" si="528"/>
        <v>-2.6895963219766328</v>
      </c>
      <c r="AM1834" s="34">
        <v>-3.59111</v>
      </c>
      <c r="AN1834" s="244">
        <v>-2.87</v>
      </c>
      <c r="AO1834" s="417"/>
      <c r="AP1834" s="417">
        <v>9.6199999999999992</v>
      </c>
      <c r="AQ1834" s="244" t="s">
        <v>6311</v>
      </c>
      <c r="AR1834" s="244" t="s">
        <v>6311</v>
      </c>
      <c r="AS1834" s="241" t="s">
        <v>72</v>
      </c>
      <c r="AT1834" s="39" t="s">
        <v>266</v>
      </c>
      <c r="AU1834" s="37">
        <v>0</v>
      </c>
      <c r="AV1834" s="37">
        <v>48</v>
      </c>
      <c r="AW1834" s="37">
        <v>48</v>
      </c>
      <c r="AX1834" s="37">
        <v>26</v>
      </c>
      <c r="AY1834" s="37" t="s">
        <v>8722</v>
      </c>
      <c r="AZ1834" s="37" t="s">
        <v>536</v>
      </c>
      <c r="BA1834" s="37">
        <v>20</v>
      </c>
      <c r="BB1834" s="36" t="s">
        <v>537</v>
      </c>
      <c r="BC1834" s="36" t="s">
        <v>648</v>
      </c>
      <c r="BD1834" s="36"/>
      <c r="BE1834" s="245" t="s">
        <v>649</v>
      </c>
      <c r="BF1834" s="37" t="s">
        <v>539</v>
      </c>
      <c r="BG1834" s="37" t="s">
        <v>272</v>
      </c>
      <c r="BH1834" s="37" t="s">
        <v>272</v>
      </c>
      <c r="BI1834" s="248">
        <v>0.30918727915194344</v>
      </c>
      <c r="BJ1834" s="248">
        <v>0.88339222614840984</v>
      </c>
      <c r="BK1834" s="37"/>
      <c r="BL1834" s="243">
        <f t="shared" si="538"/>
        <v>1.031314205884482</v>
      </c>
      <c r="BM1834" s="37" t="s">
        <v>541</v>
      </c>
      <c r="BN1834" s="37"/>
      <c r="BO1834" s="37">
        <v>0.63</v>
      </c>
      <c r="BP1834" s="37"/>
      <c r="BQ1834" s="37"/>
      <c r="BR1834" s="37"/>
      <c r="BS1834" s="37"/>
      <c r="BT1834" s="37"/>
      <c r="BU1834" s="246"/>
      <c r="BV1834" s="37"/>
      <c r="BW1834" s="37"/>
      <c r="BX1834" s="37"/>
      <c r="BY1834" s="37"/>
      <c r="BZ1834" s="37"/>
      <c r="CA1834" s="37"/>
      <c r="CB1834" s="37"/>
      <c r="CC1834" s="37"/>
      <c r="CD1834" s="37"/>
      <c r="CE1834" s="37"/>
      <c r="CF1834" s="37"/>
      <c r="CG1834" s="37"/>
      <c r="CH1834" s="37"/>
      <c r="CI1834" s="243">
        <f>MIN(BN1834:CH1834)</f>
        <v>0.63</v>
      </c>
      <c r="CJ1834" s="243">
        <f>LOG10(CI1834)</f>
        <v>-0.20065945054641829</v>
      </c>
      <c r="CK1834" s="38">
        <f t="shared" si="547"/>
        <v>1.1674476810612338</v>
      </c>
      <c r="CL1834" s="247">
        <f>BL1834/CI1834</f>
        <v>1.6370066760071142</v>
      </c>
      <c r="CM1834" s="247"/>
      <c r="CN1834" s="247"/>
      <c r="CO1834" s="36"/>
      <c r="CP1834" s="36" t="s">
        <v>772</v>
      </c>
      <c r="CQ1834" s="241" t="s">
        <v>272</v>
      </c>
      <c r="CR1834" s="241"/>
      <c r="CS1834" s="33"/>
      <c r="CT1834" s="33"/>
      <c r="CU1834" s="250">
        <f>X1834/CI1834</f>
        <v>324.08538804278237</v>
      </c>
      <c r="CV1834" s="337">
        <f t="shared" si="548"/>
        <v>231.1247353365907</v>
      </c>
      <c r="CW1834" s="330">
        <f>IF(CU1834&lt;2,0,1)</f>
        <v>1</v>
      </c>
      <c r="CX1834" s="330"/>
      <c r="CY1834" s="143" t="s">
        <v>6351</v>
      </c>
    </row>
    <row r="1835" spans="1:103" ht="11.25" customHeight="1" x14ac:dyDescent="0.2">
      <c r="A1835" s="72">
        <v>1833</v>
      </c>
      <c r="B1835" s="241">
        <v>203</v>
      </c>
      <c r="C1835" s="32" t="s">
        <v>7721</v>
      </c>
      <c r="D1835" s="32"/>
      <c r="E1835" s="40"/>
      <c r="F1835" s="40" t="s">
        <v>3712</v>
      </c>
      <c r="G1835" s="242">
        <v>882097</v>
      </c>
      <c r="H1835" s="36" t="s">
        <v>3713</v>
      </c>
      <c r="I1835" s="36" t="s">
        <v>8233</v>
      </c>
      <c r="J1835" s="36" t="s">
        <v>3714</v>
      </c>
      <c r="K1835" s="36" t="s">
        <v>426</v>
      </c>
      <c r="L1835" s="36"/>
      <c r="M1835" s="36"/>
      <c r="N1835" s="36"/>
      <c r="O1835" s="36"/>
      <c r="P1835" s="41"/>
      <c r="Q1835" s="41"/>
      <c r="R1835" s="41"/>
      <c r="S1835" s="41"/>
      <c r="T1835" s="37">
        <v>214.65</v>
      </c>
      <c r="U1835" s="243"/>
      <c r="V1835" s="243">
        <v>2.7137200093174934</v>
      </c>
      <c r="W1835" s="243">
        <v>3.5481338923357528</v>
      </c>
      <c r="X1835" s="243">
        <f t="shared" si="549"/>
        <v>3.5481338923357528</v>
      </c>
      <c r="Y1835" s="414">
        <v>2.91</v>
      </c>
      <c r="Z1835" s="37">
        <v>2.84</v>
      </c>
      <c r="AA1835" s="37">
        <v>2.57</v>
      </c>
      <c r="AB1835" s="37">
        <v>2.74</v>
      </c>
      <c r="AC1835" s="37">
        <v>0.89339999999999997</v>
      </c>
      <c r="AD1835" s="37">
        <v>2.74</v>
      </c>
      <c r="AE1835" s="37">
        <v>2.72</v>
      </c>
      <c r="AF1835" s="37">
        <f t="shared" si="546"/>
        <v>2.57</v>
      </c>
      <c r="AG1835" s="38">
        <v>2.61</v>
      </c>
      <c r="AH1835" s="243">
        <v>2.1900000000000001E-8</v>
      </c>
      <c r="AI1835" s="243"/>
      <c r="AJ1835" s="34">
        <f t="shared" si="537"/>
        <v>-6.048122211472533</v>
      </c>
      <c r="AK1835" s="34"/>
      <c r="AL1835" s="34">
        <f t="shared" si="528"/>
        <v>-6.048122211472533</v>
      </c>
      <c r="AM1835" s="34">
        <v>-9.976449999999998</v>
      </c>
      <c r="AN1835" s="244">
        <v>-7.59</v>
      </c>
      <c r="AO1835" s="417">
        <v>3.18</v>
      </c>
      <c r="AP1835" s="417"/>
      <c r="AQ1835" s="244" t="s">
        <v>6311</v>
      </c>
      <c r="AR1835" s="244" t="s">
        <v>6311</v>
      </c>
      <c r="AS1835" s="241" t="s">
        <v>6</v>
      </c>
      <c r="AT1835" s="39" t="s">
        <v>266</v>
      </c>
      <c r="AU1835" s="37">
        <v>0</v>
      </c>
      <c r="AV1835" s="37">
        <v>48</v>
      </c>
      <c r="AW1835" s="37">
        <v>48</v>
      </c>
      <c r="AX1835" s="37">
        <v>26</v>
      </c>
      <c r="AY1835" s="37" t="s">
        <v>8722</v>
      </c>
      <c r="AZ1835" s="37" t="s">
        <v>536</v>
      </c>
      <c r="BA1835" s="37">
        <v>20</v>
      </c>
      <c r="BB1835" s="36" t="s">
        <v>537</v>
      </c>
      <c r="BC1835" s="36" t="s">
        <v>538</v>
      </c>
      <c r="BD1835" s="36"/>
      <c r="BE1835" s="245" t="s">
        <v>271</v>
      </c>
      <c r="BF1835" s="245" t="s">
        <v>539</v>
      </c>
      <c r="BG1835" s="245" t="s">
        <v>540</v>
      </c>
      <c r="BH1835" s="245" t="s">
        <v>272</v>
      </c>
      <c r="BI1835" s="243">
        <v>0.13109999999999999</v>
      </c>
      <c r="BJ1835" s="243">
        <v>2.7959999999999998</v>
      </c>
      <c r="BK1835" s="37"/>
      <c r="BL1835" s="243">
        <f t="shared" si="538"/>
        <v>0.14460922545915242</v>
      </c>
      <c r="BM1835" s="37" t="s">
        <v>541</v>
      </c>
      <c r="BN1835" s="37"/>
      <c r="BO1835" s="37"/>
      <c r="BP1835" s="37"/>
      <c r="BQ1835" s="37"/>
      <c r="BR1835" s="37"/>
      <c r="BS1835" s="37"/>
      <c r="BT1835" s="37"/>
      <c r="BU1835" s="246"/>
      <c r="BV1835" s="37"/>
      <c r="BW1835" s="37"/>
      <c r="BX1835" s="37"/>
      <c r="BY1835" s="37"/>
      <c r="BZ1835" s="37"/>
      <c r="CA1835" s="37"/>
      <c r="CB1835" s="37"/>
      <c r="CC1835" s="37"/>
      <c r="CD1835" s="37"/>
      <c r="CE1835" s="37"/>
      <c r="CF1835" s="37"/>
      <c r="CG1835" s="37"/>
      <c r="CH1835" s="37"/>
      <c r="CI1835" s="243"/>
      <c r="CJ1835" s="243"/>
      <c r="CK1835" s="38">
        <f t="shared" si="547"/>
        <v>5.1720037717865673E-2</v>
      </c>
      <c r="CL1835" s="247"/>
      <c r="CM1835" s="247"/>
      <c r="CN1835" s="247"/>
      <c r="CO1835" s="36" t="s">
        <v>563</v>
      </c>
      <c r="CP1835" s="36" t="s">
        <v>542</v>
      </c>
      <c r="CQ1835" s="241" t="s">
        <v>272</v>
      </c>
      <c r="CR1835" s="241"/>
      <c r="CS1835" s="33"/>
      <c r="CT1835" s="33"/>
      <c r="CU1835" s="250"/>
      <c r="CV1835" s="337">
        <f t="shared" si="548"/>
        <v>1.2690035380313851</v>
      </c>
      <c r="CW1835" s="330">
        <f>IF(CV1835&lt;1,0,1)</f>
        <v>1</v>
      </c>
      <c r="CX1835" s="330"/>
      <c r="CY1835" s="143" t="s">
        <v>5921</v>
      </c>
    </row>
    <row r="1836" spans="1:103" ht="11.25" customHeight="1" x14ac:dyDescent="0.2">
      <c r="A1836" s="72">
        <v>1834</v>
      </c>
      <c r="B1836" s="241">
        <v>163</v>
      </c>
      <c r="C1836" s="32" t="s">
        <v>7722</v>
      </c>
      <c r="D1836" s="32"/>
      <c r="E1836" s="40"/>
      <c r="F1836" s="40" t="s">
        <v>860</v>
      </c>
      <c r="G1836" s="242">
        <v>927628</v>
      </c>
      <c r="H1836" s="36" t="s">
        <v>861</v>
      </c>
      <c r="I1836" s="36" t="s">
        <v>861</v>
      </c>
      <c r="J1836" s="36" t="s">
        <v>862</v>
      </c>
      <c r="K1836" s="36" t="s">
        <v>300</v>
      </c>
      <c r="L1836" s="36"/>
      <c r="M1836" s="36"/>
      <c r="N1836" s="36"/>
      <c r="O1836" s="36"/>
      <c r="P1836" s="41"/>
      <c r="Q1836" s="41"/>
      <c r="R1836" s="41"/>
      <c r="S1836" s="41"/>
      <c r="T1836" s="37">
        <v>101.19</v>
      </c>
      <c r="U1836" s="243"/>
      <c r="V1836" s="243">
        <v>412.5901768949501</v>
      </c>
      <c r="W1836" s="243">
        <v>295.12092266663848</v>
      </c>
      <c r="X1836" s="243">
        <f t="shared" si="549"/>
        <v>295.12092266663848</v>
      </c>
      <c r="Y1836" s="414">
        <v>11.64</v>
      </c>
      <c r="Z1836" s="37">
        <v>1.51</v>
      </c>
      <c r="AA1836" s="37">
        <v>1.7</v>
      </c>
      <c r="AB1836" s="37">
        <v>1.68</v>
      </c>
      <c r="AC1836" s="37">
        <v>0.88290000000000002</v>
      </c>
      <c r="AD1836" s="37">
        <v>1.68</v>
      </c>
      <c r="AE1836" s="37">
        <v>1.66</v>
      </c>
      <c r="AF1836" s="37">
        <f t="shared" si="546"/>
        <v>1.7</v>
      </c>
      <c r="AG1836" s="38">
        <v>1.54</v>
      </c>
      <c r="AH1836" s="243">
        <v>8.5400000000000002E-5</v>
      </c>
      <c r="AI1836" s="243"/>
      <c r="AJ1836" s="34">
        <f t="shared" si="537"/>
        <v>-2.4571084556236467</v>
      </c>
      <c r="AK1836" s="34"/>
      <c r="AL1836" s="34">
        <f t="shared" si="528"/>
        <v>-2.4571084556236467</v>
      </c>
      <c r="AM1836" s="34">
        <v>-3.1017600000000005</v>
      </c>
      <c r="AN1836" s="244">
        <v>-1.9</v>
      </c>
      <c r="AO1836" s="417"/>
      <c r="AP1836" s="417">
        <v>9.83</v>
      </c>
      <c r="AQ1836" s="244" t="s">
        <v>6311</v>
      </c>
      <c r="AR1836" s="244" t="s">
        <v>6311</v>
      </c>
      <c r="AS1836" s="241" t="s">
        <v>72</v>
      </c>
      <c r="AT1836" s="39" t="s">
        <v>266</v>
      </c>
      <c r="AU1836" s="37">
        <v>0</v>
      </c>
      <c r="AV1836" s="37">
        <v>48</v>
      </c>
      <c r="AW1836" s="37">
        <v>48</v>
      </c>
      <c r="AX1836" s="37">
        <v>26</v>
      </c>
      <c r="AY1836" s="37" t="s">
        <v>8722</v>
      </c>
      <c r="AZ1836" s="37" t="s">
        <v>536</v>
      </c>
      <c r="BA1836" s="37">
        <v>20</v>
      </c>
      <c r="BB1836" s="36" t="s">
        <v>537</v>
      </c>
      <c r="BC1836" s="36" t="s">
        <v>648</v>
      </c>
      <c r="BD1836" s="36"/>
      <c r="BE1836" s="245" t="s">
        <v>649</v>
      </c>
      <c r="BF1836" s="37" t="s">
        <v>539</v>
      </c>
      <c r="BG1836" s="37" t="s">
        <v>272</v>
      </c>
      <c r="BH1836" s="37" t="s">
        <v>272</v>
      </c>
      <c r="BI1836" s="248">
        <v>0.1956715090423955</v>
      </c>
      <c r="BJ1836" s="248">
        <v>0.98823994465856313</v>
      </c>
      <c r="BK1836" s="37"/>
      <c r="BL1836" s="243">
        <f t="shared" si="538"/>
        <v>2.2629189536806984</v>
      </c>
      <c r="BM1836" s="37" t="s">
        <v>541</v>
      </c>
      <c r="BN1836" s="37"/>
      <c r="BO1836" s="37">
        <v>0.504</v>
      </c>
      <c r="BP1836" s="37"/>
      <c r="BQ1836" s="37"/>
      <c r="BR1836" s="37"/>
      <c r="BS1836" s="37"/>
      <c r="BT1836" s="37"/>
      <c r="BU1836" s="246"/>
      <c r="BV1836" s="37"/>
      <c r="BW1836" s="37"/>
      <c r="BX1836" s="37"/>
      <c r="BY1836" s="37"/>
      <c r="BZ1836" s="37"/>
      <c r="CA1836" s="37"/>
      <c r="CB1836" s="37"/>
      <c r="CC1836" s="37"/>
      <c r="CD1836" s="37"/>
      <c r="CE1836" s="37"/>
      <c r="CF1836" s="37"/>
      <c r="CG1836" s="37"/>
      <c r="CH1836" s="37"/>
      <c r="CI1836" s="243">
        <f t="shared" ref="CI1836:CI1842" si="550">MIN(BN1836:CH1836)</f>
        <v>0.504</v>
      </c>
      <c r="CJ1836" s="243">
        <f t="shared" ref="CJ1836:CJ1842" si="551">LOG10(CI1836)</f>
        <v>-0.29756946355447472</v>
      </c>
      <c r="CK1836" s="38">
        <f t="shared" si="547"/>
        <v>2.2898476892294988</v>
      </c>
      <c r="CL1836" s="247">
        <f t="shared" ref="CL1836:CL1842" si="552">BL1836/CI1836</f>
        <v>4.4899185588902748</v>
      </c>
      <c r="CM1836" s="247"/>
      <c r="CN1836" s="247"/>
      <c r="CO1836" s="36"/>
      <c r="CP1836" s="36" t="s">
        <v>772</v>
      </c>
      <c r="CQ1836" s="241" t="s">
        <v>272</v>
      </c>
      <c r="CR1836" s="241"/>
      <c r="CS1836" s="33"/>
      <c r="CT1836" s="33"/>
      <c r="CU1836" s="250">
        <f t="shared" ref="CU1836:CU1842" si="553">X1836/CI1836</f>
        <v>585.55738624333026</v>
      </c>
      <c r="CV1836" s="337">
        <f t="shared" si="548"/>
        <v>298.63286164637145</v>
      </c>
      <c r="CW1836" s="330">
        <f t="shared" ref="CW1836:CW1842" si="554">IF(CU1836&lt;2,0,1)</f>
        <v>1</v>
      </c>
      <c r="CX1836" s="330"/>
      <c r="CY1836" s="143" t="s">
        <v>6351</v>
      </c>
    </row>
    <row r="1837" spans="1:103" ht="11.25" customHeight="1" x14ac:dyDescent="0.2">
      <c r="A1837" s="72">
        <v>1835</v>
      </c>
      <c r="B1837" s="241">
        <v>858</v>
      </c>
      <c r="C1837" s="32" t="s">
        <v>7723</v>
      </c>
      <c r="D1837" s="32"/>
      <c r="E1837" s="40"/>
      <c r="F1837" s="40" t="s">
        <v>2438</v>
      </c>
      <c r="G1837" s="242">
        <v>950356</v>
      </c>
      <c r="H1837" s="36" t="s">
        <v>2439</v>
      </c>
      <c r="I1837" s="36" t="s">
        <v>8234</v>
      </c>
      <c r="J1837" s="36" t="s">
        <v>2440</v>
      </c>
      <c r="K1837" s="36" t="s">
        <v>637</v>
      </c>
      <c r="L1837" s="270"/>
      <c r="M1837" s="270"/>
      <c r="N1837" s="36"/>
      <c r="O1837" s="270"/>
      <c r="P1837" s="41"/>
      <c r="Q1837" s="41"/>
      <c r="R1837" s="41"/>
      <c r="S1837" s="41"/>
      <c r="T1837" s="244">
        <v>247.14</v>
      </c>
      <c r="U1837" s="243"/>
      <c r="V1837" s="243">
        <v>2.9578376628631546</v>
      </c>
      <c r="W1837" s="243">
        <v>17.378008287493756</v>
      </c>
      <c r="X1837" s="243">
        <f t="shared" si="549"/>
        <v>17.378008287493756</v>
      </c>
      <c r="Y1837" s="414">
        <v>7</v>
      </c>
      <c r="Z1837" s="37">
        <v>0.98</v>
      </c>
      <c r="AA1837" s="37">
        <v>1.33</v>
      </c>
      <c r="AB1837" s="37">
        <v>1.27</v>
      </c>
      <c r="AC1837" s="37">
        <v>0.88109999999999999</v>
      </c>
      <c r="AD1837" s="37">
        <v>1.26</v>
      </c>
      <c r="AE1837" s="37">
        <v>1.25</v>
      </c>
      <c r="AF1837" s="37">
        <f t="shared" si="546"/>
        <v>1.33</v>
      </c>
      <c r="AG1837" s="38">
        <v>1.07</v>
      </c>
      <c r="AH1837" s="243">
        <v>3.6399999999999998E-10</v>
      </c>
      <c r="AI1837" s="243"/>
      <c r="AJ1837" s="34">
        <f t="shared" si="537"/>
        <v>-7.827464942663596</v>
      </c>
      <c r="AK1837" s="34"/>
      <c r="AL1837" s="34">
        <f t="shared" si="528"/>
        <v>-7.827464942663596</v>
      </c>
      <c r="AM1837" s="34">
        <v>-12.837319999999998</v>
      </c>
      <c r="AN1837" s="244">
        <v>-6.37</v>
      </c>
      <c r="AO1837" s="417"/>
      <c r="AP1837" s="417"/>
      <c r="AQ1837" s="244" t="s">
        <v>6314</v>
      </c>
      <c r="AR1837" s="244" t="s">
        <v>6314</v>
      </c>
      <c r="AS1837" s="241" t="s">
        <v>6</v>
      </c>
      <c r="AT1837" s="39" t="s">
        <v>266</v>
      </c>
      <c r="AU1837" s="245">
        <v>0</v>
      </c>
      <c r="AV1837" s="245">
        <v>48</v>
      </c>
      <c r="AW1837" s="37">
        <v>48</v>
      </c>
      <c r="AX1837" s="37">
        <v>27.5</v>
      </c>
      <c r="AY1837" s="37" t="s">
        <v>647</v>
      </c>
      <c r="AZ1837" s="37" t="s">
        <v>536</v>
      </c>
      <c r="BA1837" s="37">
        <v>10</v>
      </c>
      <c r="BB1837" s="36" t="s">
        <v>1764</v>
      </c>
      <c r="BC1837" s="36" t="s">
        <v>538</v>
      </c>
      <c r="BD1837" s="36"/>
      <c r="BE1837" s="37" t="s">
        <v>271</v>
      </c>
      <c r="BF1837" s="37" t="s">
        <v>272</v>
      </c>
      <c r="BG1837" s="37" t="s">
        <v>272</v>
      </c>
      <c r="BH1837" s="37" t="s">
        <v>272</v>
      </c>
      <c r="BI1837" s="243">
        <v>0.01</v>
      </c>
      <c r="BJ1837" s="243">
        <v>0.2</v>
      </c>
      <c r="BK1837" s="37" t="s">
        <v>1843</v>
      </c>
      <c r="BL1837" s="243">
        <f t="shared" si="538"/>
        <v>6.7711432217954908</v>
      </c>
      <c r="BM1837" s="37">
        <v>0</v>
      </c>
      <c r="BN1837" s="37" t="s">
        <v>2441</v>
      </c>
      <c r="BO1837" s="37">
        <v>0.2</v>
      </c>
      <c r="BP1837" s="37"/>
      <c r="BQ1837" s="37"/>
      <c r="BR1837" s="37"/>
      <c r="BS1837" s="37"/>
      <c r="BT1837" s="37"/>
      <c r="BU1837" s="246"/>
      <c r="BV1837" s="37"/>
      <c r="BW1837" s="37"/>
      <c r="BX1837" s="37"/>
      <c r="BY1837" s="37"/>
      <c r="BZ1837" s="37"/>
      <c r="CA1837" s="37"/>
      <c r="CB1837" s="37"/>
      <c r="CC1837" s="37"/>
      <c r="CD1837" s="37"/>
      <c r="CE1837" s="37"/>
      <c r="CF1837" s="37"/>
      <c r="CG1837" s="37"/>
      <c r="CH1837" s="37"/>
      <c r="CI1837" s="243">
        <f t="shared" si="550"/>
        <v>0.2</v>
      </c>
      <c r="CJ1837" s="243">
        <f t="shared" si="551"/>
        <v>-0.69897000433601875</v>
      </c>
      <c r="CK1837" s="38">
        <f t="shared" si="547"/>
        <v>33.855716108977454</v>
      </c>
      <c r="CL1837" s="247">
        <f t="shared" si="552"/>
        <v>33.855716108977454</v>
      </c>
      <c r="CM1837" s="247"/>
      <c r="CN1837" s="247"/>
      <c r="CO1837" s="36"/>
      <c r="CP1837" s="36" t="s">
        <v>2442</v>
      </c>
      <c r="CQ1837" s="241" t="s">
        <v>272</v>
      </c>
      <c r="CR1837" s="241"/>
      <c r="CS1837" s="33"/>
      <c r="CT1837" s="33" t="s">
        <v>6310</v>
      </c>
      <c r="CU1837" s="250">
        <f t="shared" si="553"/>
        <v>86.890041437468781</v>
      </c>
      <c r="CV1837" s="337">
        <f t="shared" si="548"/>
        <v>86.890041437468781</v>
      </c>
      <c r="CW1837" s="330">
        <f t="shared" si="554"/>
        <v>1</v>
      </c>
      <c r="CX1837" s="330" t="s">
        <v>539</v>
      </c>
      <c r="CY1837" s="143" t="s">
        <v>5921</v>
      </c>
    </row>
    <row r="1838" spans="1:103" ht="11.25" customHeight="1" x14ac:dyDescent="0.2">
      <c r="A1838" s="72">
        <v>1836</v>
      </c>
      <c r="B1838" s="241">
        <v>2097</v>
      </c>
      <c r="C1838" s="32" t="s">
        <v>7724</v>
      </c>
      <c r="D1838" s="32"/>
      <c r="E1838" s="40"/>
      <c r="F1838" s="40" t="s">
        <v>2127</v>
      </c>
      <c r="G1838" s="242">
        <v>1069665</v>
      </c>
      <c r="H1838" s="41" t="s">
        <v>5796</v>
      </c>
      <c r="I1838" s="41" t="s">
        <v>8235</v>
      </c>
      <c r="J1838" s="41" t="s">
        <v>5797</v>
      </c>
      <c r="K1838" s="41" t="s">
        <v>426</v>
      </c>
      <c r="L1838" s="41"/>
      <c r="M1838" s="41"/>
      <c r="N1838" s="36"/>
      <c r="O1838" s="41"/>
      <c r="P1838" s="41"/>
      <c r="Q1838" s="41"/>
      <c r="R1838" s="41"/>
      <c r="S1838" s="41"/>
      <c r="T1838" s="33">
        <v>166.19</v>
      </c>
      <c r="U1838" s="250"/>
      <c r="V1838" s="250">
        <v>2055.4786689933208</v>
      </c>
      <c r="W1838" s="250">
        <v>14.454397707459272</v>
      </c>
      <c r="X1838" s="250">
        <f t="shared" si="549"/>
        <v>14.454397707459272</v>
      </c>
      <c r="Y1838" s="415">
        <v>3.33</v>
      </c>
      <c r="Z1838" s="33">
        <v>-0.85</v>
      </c>
      <c r="AA1838" s="33"/>
      <c r="AB1838" s="33">
        <v>0</v>
      </c>
      <c r="AC1838" s="33">
        <v>0</v>
      </c>
      <c r="AD1838" s="33">
        <v>0</v>
      </c>
      <c r="AE1838" s="33">
        <v>0</v>
      </c>
      <c r="AF1838" s="33"/>
      <c r="AG1838" s="34">
        <v>7.25</v>
      </c>
      <c r="AH1838" s="250">
        <v>3.01E-6</v>
      </c>
      <c r="AI1838" s="250"/>
      <c r="AJ1838" s="34">
        <f t="shared" si="537"/>
        <v>-3.9099998307188084</v>
      </c>
      <c r="AK1838" s="34"/>
      <c r="AL1838" s="34">
        <f t="shared" ref="AL1838:AL1869" si="555">IF(AK1838=0,AJ1838,AK1838)</f>
        <v>-3.9099998307188084</v>
      </c>
      <c r="AM1838" s="34"/>
      <c r="AN1838" s="251"/>
      <c r="AO1838" s="417">
        <v>4.82</v>
      </c>
      <c r="AP1838" s="417"/>
      <c r="AQ1838" s="251" t="s">
        <v>6311</v>
      </c>
      <c r="AR1838" s="251" t="s">
        <v>6311</v>
      </c>
      <c r="AS1838" s="252" t="s">
        <v>5466</v>
      </c>
      <c r="AT1838" s="35" t="s">
        <v>266</v>
      </c>
      <c r="AU1838" s="33">
        <v>4</v>
      </c>
      <c r="AV1838" s="33">
        <v>80</v>
      </c>
      <c r="AW1838" s="33">
        <v>76</v>
      </c>
      <c r="AX1838" s="33">
        <v>28</v>
      </c>
      <c r="AY1838" s="33" t="s">
        <v>267</v>
      </c>
      <c r="AZ1838" s="33" t="s">
        <v>5731</v>
      </c>
      <c r="BA1838" s="33">
        <v>20</v>
      </c>
      <c r="BB1838" s="41" t="s">
        <v>5732</v>
      </c>
      <c r="BC1838" s="41" t="s">
        <v>1584</v>
      </c>
      <c r="BD1838" s="41"/>
      <c r="BE1838" s="33" t="s">
        <v>5733</v>
      </c>
      <c r="BF1838" s="33"/>
      <c r="BG1838" s="33"/>
      <c r="BH1838" s="33" t="s">
        <v>5734</v>
      </c>
      <c r="BI1838" s="250"/>
      <c r="BJ1838" s="250"/>
      <c r="BK1838" s="254"/>
      <c r="BL1838" s="250">
        <f t="shared" si="538"/>
        <v>297.97854828975693</v>
      </c>
      <c r="BM1838" s="33"/>
      <c r="BN1838" s="33"/>
      <c r="BO1838" s="33"/>
      <c r="BP1838" s="33"/>
      <c r="BQ1838" s="33"/>
      <c r="BR1838" s="33"/>
      <c r="BS1838" s="33"/>
      <c r="BT1838" s="33"/>
      <c r="BU1838" s="246"/>
      <c r="BV1838" s="33">
        <v>4.5999999999999996</v>
      </c>
      <c r="BW1838" s="33">
        <v>3.1</v>
      </c>
      <c r="BX1838" s="33"/>
      <c r="BY1838" s="33"/>
      <c r="BZ1838" s="33"/>
      <c r="CA1838" s="33"/>
      <c r="CB1838" s="33"/>
      <c r="CC1838" s="33"/>
      <c r="CD1838" s="33"/>
      <c r="CE1838" s="33"/>
      <c r="CF1838" s="33"/>
      <c r="CG1838" s="33"/>
      <c r="CH1838" s="33"/>
      <c r="CI1838" s="250">
        <f t="shared" si="550"/>
        <v>3.1</v>
      </c>
      <c r="CJ1838" s="243">
        <f t="shared" si="551"/>
        <v>0.49136169383427269</v>
      </c>
      <c r="CK1838" s="38" t="s">
        <v>404</v>
      </c>
      <c r="CL1838" s="247">
        <f t="shared" si="552"/>
        <v>96.122112351534497</v>
      </c>
      <c r="CM1838" s="247"/>
      <c r="CN1838" s="247"/>
      <c r="CO1838" s="41"/>
      <c r="CP1838" s="41" t="s">
        <v>5735</v>
      </c>
      <c r="CQ1838" s="241" t="s">
        <v>272</v>
      </c>
      <c r="CR1838" s="241"/>
      <c r="CS1838" s="33"/>
      <c r="CT1838" s="33"/>
      <c r="CU1838" s="250">
        <f t="shared" si="553"/>
        <v>4.6627089378900877</v>
      </c>
      <c r="CV1838" s="337"/>
      <c r="CW1838" s="330">
        <f t="shared" si="554"/>
        <v>1</v>
      </c>
      <c r="CX1838" s="330" t="s">
        <v>539</v>
      </c>
      <c r="CY1838" s="143" t="s">
        <v>5921</v>
      </c>
    </row>
    <row r="1839" spans="1:103" ht="11.25" customHeight="1" x14ac:dyDescent="0.2">
      <c r="A1839" s="72">
        <v>1837</v>
      </c>
      <c r="B1839" s="241">
        <v>680</v>
      </c>
      <c r="C1839" s="32" t="s">
        <v>7725</v>
      </c>
      <c r="D1839" s="32"/>
      <c r="E1839" s="40"/>
      <c r="F1839" s="40" t="s">
        <v>1963</v>
      </c>
      <c r="G1839" s="242">
        <v>1124330</v>
      </c>
      <c r="H1839" s="36" t="s">
        <v>1964</v>
      </c>
      <c r="I1839" s="36" t="s">
        <v>8236</v>
      </c>
      <c r="J1839" s="36" t="s">
        <v>1965</v>
      </c>
      <c r="K1839" s="36" t="s">
        <v>426</v>
      </c>
      <c r="L1839" s="36"/>
      <c r="M1839" s="36"/>
      <c r="N1839" s="36"/>
      <c r="O1839" s="36"/>
      <c r="P1839" s="41"/>
      <c r="Q1839" s="41"/>
      <c r="R1839" s="41"/>
      <c r="S1839" s="41"/>
      <c r="T1839" s="37">
        <v>140.1</v>
      </c>
      <c r="U1839" s="243"/>
      <c r="V1839" s="243">
        <v>717.34475374732335</v>
      </c>
      <c r="W1839" s="243">
        <v>257.03957827688635</v>
      </c>
      <c r="X1839" s="243">
        <f t="shared" si="549"/>
        <v>257.03957827688635</v>
      </c>
      <c r="Y1839" s="414">
        <v>7</v>
      </c>
      <c r="Z1839" s="37">
        <v>-0.92</v>
      </c>
      <c r="AA1839" s="37">
        <v>-0.55000000000000004</v>
      </c>
      <c r="AB1839" s="37">
        <v>-0.93</v>
      </c>
      <c r="AC1839" s="37">
        <v>0.86519999999999997</v>
      </c>
      <c r="AD1839" s="37">
        <v>-0.83</v>
      </c>
      <c r="AE1839" s="37">
        <v>-0.55000000000000004</v>
      </c>
      <c r="AF1839" s="37">
        <f t="shared" ref="AF1839:AF1869" si="556">IF(AA1839=0,AD1839,AA1839)</f>
        <v>-0.55000000000000004</v>
      </c>
      <c r="AG1839" s="38">
        <v>0.56000000000000005</v>
      </c>
      <c r="AH1839" s="243">
        <v>2.7799999999999998E-13</v>
      </c>
      <c r="AI1839" s="243"/>
      <c r="AJ1839" s="34">
        <f t="shared" si="537"/>
        <v>-10.944521530394576</v>
      </c>
      <c r="AK1839" s="34"/>
      <c r="AL1839" s="34">
        <f t="shared" si="555"/>
        <v>-10.944521530394576</v>
      </c>
      <c r="AM1839" s="34">
        <v>-4.3821199999999996</v>
      </c>
      <c r="AN1839" s="244">
        <v>-4.57</v>
      </c>
      <c r="AO1839" s="417"/>
      <c r="AP1839" s="417">
        <v>-1.37</v>
      </c>
      <c r="AQ1839" s="244" t="s">
        <v>6311</v>
      </c>
      <c r="AR1839" s="244" t="s">
        <v>6311</v>
      </c>
      <c r="AS1839" s="241"/>
      <c r="AT1839" s="39" t="s">
        <v>266</v>
      </c>
      <c r="AU1839" s="37">
        <v>2</v>
      </c>
      <c r="AV1839" s="37">
        <v>48</v>
      </c>
      <c r="AW1839" s="37">
        <v>48</v>
      </c>
      <c r="AX1839" s="37">
        <v>26</v>
      </c>
      <c r="AY1839" s="37" t="s">
        <v>647</v>
      </c>
      <c r="AZ1839" s="37" t="s">
        <v>536</v>
      </c>
      <c r="BA1839" s="37">
        <v>10</v>
      </c>
      <c r="BB1839" s="36" t="s">
        <v>1764</v>
      </c>
      <c r="BC1839" s="36" t="s">
        <v>538</v>
      </c>
      <c r="BD1839" s="36"/>
      <c r="BE1839" s="37" t="s">
        <v>271</v>
      </c>
      <c r="BF1839" s="37" t="s">
        <v>272</v>
      </c>
      <c r="BG1839" s="37" t="s">
        <v>272</v>
      </c>
      <c r="BH1839" s="37" t="s">
        <v>272</v>
      </c>
      <c r="BI1839" s="243">
        <v>5.4899999999999997E-2</v>
      </c>
      <c r="BJ1839" s="243">
        <v>14.0726</v>
      </c>
      <c r="BK1839" s="37"/>
      <c r="BL1839" s="243">
        <f t="shared" si="538"/>
        <v>344.39116377269698</v>
      </c>
      <c r="BM1839" s="37" t="s">
        <v>541</v>
      </c>
      <c r="BN1839" s="37"/>
      <c r="BO1839" s="37">
        <v>0.19937694704049844</v>
      </c>
      <c r="BP1839" s="37"/>
      <c r="BQ1839" s="37"/>
      <c r="BR1839" s="37"/>
      <c r="BS1839" s="37"/>
      <c r="BT1839" s="37"/>
      <c r="BU1839" s="246"/>
      <c r="BV1839" s="37"/>
      <c r="BW1839" s="37"/>
      <c r="BX1839" s="37"/>
      <c r="BY1839" s="37"/>
      <c r="BZ1839" s="37"/>
      <c r="CA1839" s="37"/>
      <c r="CB1839" s="37"/>
      <c r="CC1839" s="37"/>
      <c r="CD1839" s="37"/>
      <c r="CE1839" s="37"/>
      <c r="CF1839" s="37"/>
      <c r="CG1839" s="37"/>
      <c r="CH1839" s="37"/>
      <c r="CI1839" s="243">
        <f t="shared" si="550"/>
        <v>0.19937694704049844</v>
      </c>
      <c r="CJ1839" s="243">
        <f t="shared" si="551"/>
        <v>-0.70032505842098491</v>
      </c>
      <c r="CK1839" s="38">
        <f>BL1839/BJ1839</f>
        <v>24.472461646937809</v>
      </c>
      <c r="CL1839" s="247">
        <f t="shared" si="552"/>
        <v>1727.3369307974333</v>
      </c>
      <c r="CM1839" s="247"/>
      <c r="CN1839" s="247"/>
      <c r="CO1839" s="36"/>
      <c r="CP1839" s="36" t="s">
        <v>1921</v>
      </c>
      <c r="CQ1839" s="241" t="s">
        <v>272</v>
      </c>
      <c r="CR1839" s="241"/>
      <c r="CS1839" s="33"/>
      <c r="CT1839" s="33"/>
      <c r="CU1839" s="250">
        <f t="shared" si="553"/>
        <v>1289.214134795008</v>
      </c>
      <c r="CV1839" s="337">
        <f>X1839/BJ1839</f>
        <v>18.265251501278112</v>
      </c>
      <c r="CW1839" s="330">
        <f t="shared" si="554"/>
        <v>1</v>
      </c>
      <c r="CX1839" s="330"/>
      <c r="CY1839" s="143" t="s">
        <v>5921</v>
      </c>
    </row>
    <row r="1840" spans="1:103" ht="11.25" customHeight="1" x14ac:dyDescent="0.2">
      <c r="A1840" s="72">
        <v>1838</v>
      </c>
      <c r="B1840" s="241">
        <v>714</v>
      </c>
      <c r="C1840" s="32" t="s">
        <v>7726</v>
      </c>
      <c r="D1840" s="32"/>
      <c r="E1840" s="40"/>
      <c r="F1840" s="40" t="s">
        <v>2025</v>
      </c>
      <c r="G1840" s="242">
        <v>1162658</v>
      </c>
      <c r="H1840" s="36" t="s">
        <v>2026</v>
      </c>
      <c r="I1840" s="36" t="s">
        <v>2026</v>
      </c>
      <c r="J1840" s="36" t="s">
        <v>2027</v>
      </c>
      <c r="K1840" s="36" t="s">
        <v>2028</v>
      </c>
      <c r="L1840" s="36"/>
      <c r="M1840" s="36"/>
      <c r="N1840" s="36"/>
      <c r="O1840" s="36"/>
      <c r="P1840" s="41"/>
      <c r="Q1840" s="41"/>
      <c r="R1840" s="41"/>
      <c r="S1840" s="41"/>
      <c r="T1840" s="37">
        <v>312.27</v>
      </c>
      <c r="U1840" s="243"/>
      <c r="V1840" s="243">
        <v>2.9407243731386301</v>
      </c>
      <c r="W1840" s="243">
        <v>1.1220184543019622</v>
      </c>
      <c r="X1840" s="243">
        <f t="shared" si="549"/>
        <v>1.1220184543019622</v>
      </c>
      <c r="Y1840" s="414">
        <v>7</v>
      </c>
      <c r="Z1840" s="37">
        <v>1.23</v>
      </c>
      <c r="AA1840" s="37"/>
      <c r="AB1840" s="37">
        <v>2.0099999999999998</v>
      </c>
      <c r="AC1840" s="37">
        <v>0.36180000000000001</v>
      </c>
      <c r="AD1840" s="37">
        <v>1.08</v>
      </c>
      <c r="AE1840" s="37">
        <v>0.45</v>
      </c>
      <c r="AF1840" s="37">
        <f t="shared" si="556"/>
        <v>1.08</v>
      </c>
      <c r="AG1840" s="38">
        <v>1.87</v>
      </c>
      <c r="AH1840" s="243">
        <v>1.4000000000000001E-13</v>
      </c>
      <c r="AI1840" s="243"/>
      <c r="AJ1840" s="34">
        <f t="shared" si="537"/>
        <v>-11.242438290634414</v>
      </c>
      <c r="AK1840" s="34"/>
      <c r="AL1840" s="34">
        <f t="shared" si="555"/>
        <v>-11.242438290634414</v>
      </c>
      <c r="AM1840" s="34">
        <v>-15.751420000000001</v>
      </c>
      <c r="AN1840" s="244">
        <v>-11.8</v>
      </c>
      <c r="AO1840" s="417"/>
      <c r="AP1840" s="417"/>
      <c r="AQ1840" s="244" t="s">
        <v>6311</v>
      </c>
      <c r="AR1840" s="244" t="s">
        <v>6311</v>
      </c>
      <c r="AS1840" s="241" t="s">
        <v>6</v>
      </c>
      <c r="AT1840" s="39" t="s">
        <v>266</v>
      </c>
      <c r="AU1840" s="37">
        <v>2</v>
      </c>
      <c r="AV1840" s="37">
        <v>72</v>
      </c>
      <c r="AW1840" s="37">
        <v>72</v>
      </c>
      <c r="AX1840" s="37">
        <v>26</v>
      </c>
      <c r="AY1840" s="37" t="s">
        <v>647</v>
      </c>
      <c r="AZ1840" s="37" t="s">
        <v>536</v>
      </c>
      <c r="BA1840" s="37" t="s">
        <v>8723</v>
      </c>
      <c r="BB1840" s="36" t="s">
        <v>1644</v>
      </c>
      <c r="BC1840" s="36" t="s">
        <v>2019</v>
      </c>
      <c r="BD1840" s="36" t="s">
        <v>8374</v>
      </c>
      <c r="BE1840" s="37" t="s">
        <v>649</v>
      </c>
      <c r="BF1840" s="37" t="s">
        <v>272</v>
      </c>
      <c r="BG1840" s="37" t="s">
        <v>272</v>
      </c>
      <c r="BH1840" s="37" t="s">
        <v>2020</v>
      </c>
      <c r="BI1840" s="243">
        <v>5.0000000000000001E-4</v>
      </c>
      <c r="BJ1840" s="243">
        <v>4.0000000000000001E-3</v>
      </c>
      <c r="BK1840" s="37"/>
      <c r="BL1840" s="243">
        <f t="shared" si="538"/>
        <v>4.0377274467082547</v>
      </c>
      <c r="BM1840" s="37" t="s">
        <v>541</v>
      </c>
      <c r="BN1840" s="37"/>
      <c r="BO1840" s="37"/>
      <c r="BP1840" s="37">
        <v>2.3E-3</v>
      </c>
      <c r="BQ1840" s="37"/>
      <c r="BR1840" s="37"/>
      <c r="BS1840" s="37"/>
      <c r="BT1840" s="37"/>
      <c r="BU1840" s="246"/>
      <c r="BV1840" s="37"/>
      <c r="BW1840" s="37"/>
      <c r="BX1840" s="37"/>
      <c r="BY1840" s="37"/>
      <c r="BZ1840" s="37"/>
      <c r="CA1840" s="37"/>
      <c r="CB1840" s="37"/>
      <c r="CC1840" s="37"/>
      <c r="CD1840" s="37"/>
      <c r="CE1840" s="37"/>
      <c r="CF1840" s="37"/>
      <c r="CG1840" s="37"/>
      <c r="CH1840" s="37"/>
      <c r="CI1840" s="243">
        <f t="shared" si="550"/>
        <v>2.3E-3</v>
      </c>
      <c r="CJ1840" s="243">
        <f t="shared" si="551"/>
        <v>-2.6382721639824069</v>
      </c>
      <c r="CK1840" s="38">
        <f>BL1840/BJ1840</f>
        <v>1009.4318616770637</v>
      </c>
      <c r="CL1840" s="247">
        <f t="shared" si="552"/>
        <v>1755.5336724818499</v>
      </c>
      <c r="CM1840" s="247"/>
      <c r="CN1840" s="247"/>
      <c r="CO1840" s="36"/>
      <c r="CP1840" s="36" t="s">
        <v>2021</v>
      </c>
      <c r="CQ1840" s="241" t="s">
        <v>272</v>
      </c>
      <c r="CR1840" s="241"/>
      <c r="CS1840" s="33"/>
      <c r="CT1840" s="33"/>
      <c r="CU1840" s="250">
        <f t="shared" si="553"/>
        <v>487.83411056607054</v>
      </c>
      <c r="CV1840" s="337">
        <f>X1840/BJ1840</f>
        <v>280.50461357549057</v>
      </c>
      <c r="CW1840" s="330">
        <f t="shared" si="554"/>
        <v>1</v>
      </c>
      <c r="CX1840" s="330"/>
      <c r="CY1840" s="143" t="s">
        <v>5921</v>
      </c>
    </row>
    <row r="1841" spans="1:103" ht="11.25" customHeight="1" x14ac:dyDescent="0.2">
      <c r="A1841" s="72">
        <v>1839</v>
      </c>
      <c r="B1841" s="241">
        <v>2083</v>
      </c>
      <c r="C1841" s="32" t="s">
        <v>7727</v>
      </c>
      <c r="D1841" s="32"/>
      <c r="E1841" s="40"/>
      <c r="F1841" s="40" t="s">
        <v>5747</v>
      </c>
      <c r="G1841" s="242">
        <v>1404199</v>
      </c>
      <c r="H1841" s="41" t="s">
        <v>5748</v>
      </c>
      <c r="I1841" s="41" t="s">
        <v>8237</v>
      </c>
      <c r="J1841" s="41" t="s">
        <v>5749</v>
      </c>
      <c r="K1841" s="41" t="s">
        <v>5750</v>
      </c>
      <c r="L1841" s="41"/>
      <c r="M1841" s="41"/>
      <c r="N1841" s="36"/>
      <c r="O1841" s="41"/>
      <c r="P1841" s="41"/>
      <c r="Q1841" s="41"/>
      <c r="R1841" s="41"/>
      <c r="S1841" s="41"/>
      <c r="T1841" s="33">
        <v>791.08</v>
      </c>
      <c r="U1841" s="250"/>
      <c r="V1841" s="250">
        <v>1.1979825049299691E-8</v>
      </c>
      <c r="W1841" s="250">
        <v>1.0964781961431849</v>
      </c>
      <c r="X1841" s="250">
        <f t="shared" si="549"/>
        <v>1.0964781961431849</v>
      </c>
      <c r="Y1841" s="415">
        <v>6.99</v>
      </c>
      <c r="Z1841" s="33">
        <v>6.98</v>
      </c>
      <c r="AA1841" s="33"/>
      <c r="AB1841" s="33">
        <v>5.1100000000000003</v>
      </c>
      <c r="AC1841" s="33">
        <v>0.47289999999999999</v>
      </c>
      <c r="AD1841" s="33">
        <v>5.64</v>
      </c>
      <c r="AE1841" s="33">
        <v>6.17</v>
      </c>
      <c r="AF1841" s="33">
        <f t="shared" si="556"/>
        <v>5.64</v>
      </c>
      <c r="AG1841" s="34">
        <v>5.64</v>
      </c>
      <c r="AH1841" s="250">
        <v>1.3E-18</v>
      </c>
      <c r="AI1841" s="250"/>
      <c r="AJ1841" s="34">
        <f t="shared" si="537"/>
        <v>-16.274622974005815</v>
      </c>
      <c r="AK1841" s="34"/>
      <c r="AL1841" s="34">
        <f t="shared" si="555"/>
        <v>-16.274622974005815</v>
      </c>
      <c r="AM1841" s="34">
        <v>-38.02075</v>
      </c>
      <c r="AN1841" s="251"/>
      <c r="AO1841" s="417">
        <v>12.52</v>
      </c>
      <c r="AP1841" s="417"/>
      <c r="AQ1841" s="251" t="s">
        <v>6311</v>
      </c>
      <c r="AR1841" s="251" t="s">
        <v>6311</v>
      </c>
      <c r="AS1841" s="252" t="s">
        <v>5466</v>
      </c>
      <c r="AT1841" s="35" t="s">
        <v>266</v>
      </c>
      <c r="AU1841" s="33">
        <v>4</v>
      </c>
      <c r="AV1841" s="33">
        <v>80</v>
      </c>
      <c r="AW1841" s="33">
        <v>76</v>
      </c>
      <c r="AX1841" s="33">
        <v>28</v>
      </c>
      <c r="AY1841" s="33" t="s">
        <v>267</v>
      </c>
      <c r="AZ1841" s="33" t="s">
        <v>5731</v>
      </c>
      <c r="BA1841" s="33">
        <v>20</v>
      </c>
      <c r="BB1841" s="41" t="s">
        <v>5732</v>
      </c>
      <c r="BC1841" s="41" t="s">
        <v>1584</v>
      </c>
      <c r="BD1841" s="41"/>
      <c r="BE1841" s="33" t="s">
        <v>5733</v>
      </c>
      <c r="BF1841" s="33"/>
      <c r="BG1841" s="33"/>
      <c r="BH1841" s="33" t="s">
        <v>5734</v>
      </c>
      <c r="BI1841" s="250"/>
      <c r="BJ1841" s="250"/>
      <c r="BK1841" s="254"/>
      <c r="BL1841" s="250">
        <f t="shared" si="538"/>
        <v>2.7673366829609949E-5</v>
      </c>
      <c r="BM1841" s="33"/>
      <c r="BN1841" s="33"/>
      <c r="BO1841" s="33"/>
      <c r="BP1841" s="33"/>
      <c r="BQ1841" s="33"/>
      <c r="BR1841" s="33"/>
      <c r="BS1841" s="33"/>
      <c r="BT1841" s="33"/>
      <c r="BU1841" s="246"/>
      <c r="BV1841" s="33"/>
      <c r="BW1841" s="33">
        <v>1.23E-3</v>
      </c>
      <c r="BX1841" s="33"/>
      <c r="BY1841" s="33"/>
      <c r="BZ1841" s="33"/>
      <c r="CA1841" s="33"/>
      <c r="CB1841" s="33"/>
      <c r="CC1841" s="33"/>
      <c r="CD1841" s="33"/>
      <c r="CE1841" s="33"/>
      <c r="CF1841" s="33"/>
      <c r="CG1841" s="33"/>
      <c r="CH1841" s="33"/>
      <c r="CI1841" s="250">
        <f t="shared" si="550"/>
        <v>1.23E-3</v>
      </c>
      <c r="CJ1841" s="243">
        <f t="shared" si="551"/>
        <v>-2.9100948885606019</v>
      </c>
      <c r="CK1841" s="38" t="s">
        <v>404</v>
      </c>
      <c r="CL1841" s="247">
        <f t="shared" si="552"/>
        <v>2.249867221919508E-2</v>
      </c>
      <c r="CM1841" s="247"/>
      <c r="CN1841" s="247"/>
      <c r="CO1841" s="41"/>
      <c r="CP1841" s="41" t="s">
        <v>5735</v>
      </c>
      <c r="CQ1841" s="241" t="s">
        <v>272</v>
      </c>
      <c r="CR1841" s="241"/>
      <c r="CS1841" s="33"/>
      <c r="CT1841" s="33"/>
      <c r="CU1841" s="250">
        <f t="shared" si="553"/>
        <v>891.44568792128848</v>
      </c>
      <c r="CV1841" s="337"/>
      <c r="CW1841" s="330">
        <f t="shared" si="554"/>
        <v>1</v>
      </c>
      <c r="CX1841" s="330" t="s">
        <v>539</v>
      </c>
      <c r="CY1841" s="143" t="s">
        <v>5921</v>
      </c>
    </row>
    <row r="1842" spans="1:103" ht="11.25" customHeight="1" x14ac:dyDescent="0.2">
      <c r="A1842" s="72">
        <v>1840</v>
      </c>
      <c r="B1842" s="241">
        <v>155</v>
      </c>
      <c r="C1842" s="32" t="s">
        <v>7728</v>
      </c>
      <c r="D1842" s="32"/>
      <c r="E1842" s="40"/>
      <c r="F1842" s="40" t="s">
        <v>836</v>
      </c>
      <c r="G1842" s="242">
        <v>1484806</v>
      </c>
      <c r="H1842" s="36" t="s">
        <v>837</v>
      </c>
      <c r="I1842" s="36" t="s">
        <v>837</v>
      </c>
      <c r="J1842" s="36" t="s">
        <v>838</v>
      </c>
      <c r="K1842" s="36" t="s">
        <v>300</v>
      </c>
      <c r="L1842" s="36"/>
      <c r="M1842" s="36"/>
      <c r="N1842" s="36"/>
      <c r="O1842" s="36"/>
      <c r="P1842" s="41"/>
      <c r="Q1842" s="41"/>
      <c r="R1842" s="41"/>
      <c r="S1842" s="41"/>
      <c r="T1842" s="37">
        <v>113.2</v>
      </c>
      <c r="U1842" s="243">
        <v>450.53003533568904</v>
      </c>
      <c r="V1842" s="243">
        <v>154.50530035335689</v>
      </c>
      <c r="W1842" s="243">
        <v>158.48931924611131</v>
      </c>
      <c r="X1842" s="243">
        <v>450.53003533568904</v>
      </c>
      <c r="Y1842" s="414">
        <v>11.9</v>
      </c>
      <c r="Z1842" s="37">
        <v>2.1</v>
      </c>
      <c r="AA1842" s="37"/>
      <c r="AB1842" s="37">
        <v>2</v>
      </c>
      <c r="AC1842" s="37">
        <v>0.76939999999999997</v>
      </c>
      <c r="AD1842" s="37">
        <v>1.98</v>
      </c>
      <c r="AE1842" s="37">
        <v>1.96</v>
      </c>
      <c r="AF1842" s="37">
        <f t="shared" si="556"/>
        <v>1.98</v>
      </c>
      <c r="AG1842" s="38">
        <v>1.54</v>
      </c>
      <c r="AH1842" s="243">
        <v>3.0199999999999999E-5</v>
      </c>
      <c r="AI1842" s="243"/>
      <c r="AJ1842" s="34">
        <f t="shared" ref="AJ1842:AJ1869" si="557">LOG10(AH1842*1000/(0.08206*298.15))</f>
        <v>-2.908559383355501</v>
      </c>
      <c r="AK1842" s="34"/>
      <c r="AL1842" s="34">
        <f t="shared" si="555"/>
        <v>-2.908559383355501</v>
      </c>
      <c r="AM1842" s="34">
        <v>-3.9903900000000001</v>
      </c>
      <c r="AN1842" s="244">
        <v>-3.45</v>
      </c>
      <c r="AO1842" s="417"/>
      <c r="AP1842" s="417">
        <v>10.62</v>
      </c>
      <c r="AQ1842" s="244" t="s">
        <v>6311</v>
      </c>
      <c r="AR1842" s="244" t="s">
        <v>6311</v>
      </c>
      <c r="AS1842" s="241" t="s">
        <v>81</v>
      </c>
      <c r="AT1842" s="39" t="s">
        <v>266</v>
      </c>
      <c r="AU1842" s="37">
        <v>0</v>
      </c>
      <c r="AV1842" s="37">
        <v>48</v>
      </c>
      <c r="AW1842" s="37">
        <v>48</v>
      </c>
      <c r="AX1842" s="37">
        <v>26</v>
      </c>
      <c r="AY1842" s="37" t="s">
        <v>8722</v>
      </c>
      <c r="AZ1842" s="37" t="s">
        <v>536</v>
      </c>
      <c r="BA1842" s="37">
        <v>20</v>
      </c>
      <c r="BB1842" s="36" t="s">
        <v>537</v>
      </c>
      <c r="BC1842" s="36" t="s">
        <v>648</v>
      </c>
      <c r="BD1842" s="36"/>
      <c r="BE1842" s="245" t="s">
        <v>649</v>
      </c>
      <c r="BF1842" s="37" t="s">
        <v>539</v>
      </c>
      <c r="BG1842" s="37" t="s">
        <v>272</v>
      </c>
      <c r="BH1842" s="37" t="s">
        <v>272</v>
      </c>
      <c r="BI1842" s="248">
        <v>0.30918727915194344</v>
      </c>
      <c r="BJ1842" s="248">
        <v>0.88339222614840984</v>
      </c>
      <c r="BK1842" s="37"/>
      <c r="BL1842" s="243">
        <f t="shared" si="538"/>
        <v>0.66802082275427344</v>
      </c>
      <c r="BM1842" s="37" t="s">
        <v>541</v>
      </c>
      <c r="BN1842" s="37"/>
      <c r="BO1842" s="37">
        <v>0.83</v>
      </c>
      <c r="BP1842" s="37"/>
      <c r="BQ1842" s="37"/>
      <c r="BR1842" s="37"/>
      <c r="BS1842" s="37"/>
      <c r="BT1842" s="37"/>
      <c r="BU1842" s="246"/>
      <c r="BV1842" s="37"/>
      <c r="BW1842" s="37"/>
      <c r="BX1842" s="37"/>
      <c r="BY1842" s="37"/>
      <c r="BZ1842" s="37"/>
      <c r="CA1842" s="37"/>
      <c r="CB1842" s="37"/>
      <c r="CC1842" s="37"/>
      <c r="CD1842" s="37"/>
      <c r="CE1842" s="37"/>
      <c r="CF1842" s="37"/>
      <c r="CG1842" s="37"/>
      <c r="CH1842" s="37"/>
      <c r="CI1842" s="243">
        <f t="shared" si="550"/>
        <v>0.83</v>
      </c>
      <c r="CJ1842" s="243">
        <f t="shared" si="551"/>
        <v>-8.092190762392612E-2</v>
      </c>
      <c r="CK1842" s="38">
        <f t="shared" ref="CK1842:CK1858" si="558">BL1842/BJ1842</f>
        <v>0.75619957135783755</v>
      </c>
      <c r="CL1842" s="247">
        <f t="shared" si="552"/>
        <v>0.80484436476418486</v>
      </c>
      <c r="CM1842" s="247"/>
      <c r="CN1842" s="247"/>
      <c r="CO1842" s="36"/>
      <c r="CP1842" s="36" t="s">
        <v>772</v>
      </c>
      <c r="CQ1842" s="241" t="s">
        <v>272</v>
      </c>
      <c r="CR1842" s="241"/>
      <c r="CS1842" s="33"/>
      <c r="CT1842" s="33"/>
      <c r="CU1842" s="250">
        <f t="shared" si="553"/>
        <v>542.80727148878202</v>
      </c>
      <c r="CV1842" s="337">
        <f t="shared" ref="CV1842:CV1858" si="559">X1842/BJ1842</f>
        <v>510</v>
      </c>
      <c r="CW1842" s="330">
        <f t="shared" si="554"/>
        <v>1</v>
      </c>
      <c r="CX1842" s="330"/>
      <c r="CY1842" s="143" t="s">
        <v>5921</v>
      </c>
    </row>
    <row r="1843" spans="1:103" ht="11.25" customHeight="1" x14ac:dyDescent="0.2">
      <c r="A1843" s="72">
        <v>1841</v>
      </c>
      <c r="B1843" s="241">
        <v>1942</v>
      </c>
      <c r="C1843" s="32" t="s">
        <v>7729</v>
      </c>
      <c r="D1843" s="32"/>
      <c r="E1843" s="40"/>
      <c r="F1843" s="40" t="s">
        <v>5500</v>
      </c>
      <c r="G1843" s="242">
        <v>1689834</v>
      </c>
      <c r="H1843" s="41" t="s">
        <v>5501</v>
      </c>
      <c r="I1843" s="41" t="s">
        <v>8238</v>
      </c>
      <c r="J1843" s="41" t="s">
        <v>5502</v>
      </c>
      <c r="K1843" s="41" t="s">
        <v>349</v>
      </c>
      <c r="L1843" s="41" t="s">
        <v>5503</v>
      </c>
      <c r="M1843" s="41"/>
      <c r="N1843" s="36"/>
      <c r="O1843" s="41"/>
      <c r="P1843" s="41"/>
      <c r="Q1843" s="41" t="s">
        <v>6173</v>
      </c>
      <c r="R1843" s="41" t="s">
        <v>6180</v>
      </c>
      <c r="S1843" s="41" t="s">
        <v>6176</v>
      </c>
      <c r="T1843" s="33">
        <v>370.92</v>
      </c>
      <c r="U1843" s="250">
        <v>0.1347999568640138</v>
      </c>
      <c r="V1843" s="250">
        <v>3.0303030303030304E-2</v>
      </c>
      <c r="W1843" s="250">
        <v>0.45708818961487496</v>
      </c>
      <c r="X1843" s="250">
        <v>0.1347999568640138</v>
      </c>
      <c r="Y1843" s="415">
        <v>4.18</v>
      </c>
      <c r="Z1843" s="33">
        <v>3.94</v>
      </c>
      <c r="AA1843" s="33">
        <v>3.43</v>
      </c>
      <c r="AB1843" s="33">
        <v>3.66</v>
      </c>
      <c r="AC1843" s="33">
        <v>0.82569999999999999</v>
      </c>
      <c r="AD1843" s="33">
        <v>3.65</v>
      </c>
      <c r="AE1843" s="33">
        <v>3.6</v>
      </c>
      <c r="AF1843" s="33">
        <f t="shared" si="556"/>
        <v>3.43</v>
      </c>
      <c r="AG1843" s="34">
        <v>3.65</v>
      </c>
      <c r="AH1843" s="250">
        <v>2.9099999999999998E-10</v>
      </c>
      <c r="AI1843" s="250"/>
      <c r="AJ1843" s="34">
        <f t="shared" si="557"/>
        <v>-7.9246733373267446</v>
      </c>
      <c r="AK1843" s="34"/>
      <c r="AL1843" s="34">
        <f t="shared" si="555"/>
        <v>-7.9246733373267446</v>
      </c>
      <c r="AM1843" s="34">
        <v>-10.13049</v>
      </c>
      <c r="AN1843" s="251"/>
      <c r="AO1843" s="417">
        <v>4.95</v>
      </c>
      <c r="AP1843" s="417"/>
      <c r="AQ1843" s="251" t="s">
        <v>6311</v>
      </c>
      <c r="AR1843" s="251" t="s">
        <v>6311</v>
      </c>
      <c r="AS1843" s="252" t="s">
        <v>5466</v>
      </c>
      <c r="AT1843" s="35" t="s">
        <v>266</v>
      </c>
      <c r="AU1843" s="33">
        <v>12</v>
      </c>
      <c r="AV1843" s="33">
        <v>48</v>
      </c>
      <c r="AW1843" s="33">
        <v>36</v>
      </c>
      <c r="AX1843" s="33">
        <v>28.5</v>
      </c>
      <c r="AY1843" s="33" t="s">
        <v>267</v>
      </c>
      <c r="AZ1843" s="33" t="s">
        <v>5504</v>
      </c>
      <c r="BA1843" s="33">
        <v>20</v>
      </c>
      <c r="BB1843" s="41" t="s">
        <v>5505</v>
      </c>
      <c r="BC1843" s="41" t="s">
        <v>5506</v>
      </c>
      <c r="BD1843" s="41"/>
      <c r="BE1843" s="33" t="s">
        <v>2449</v>
      </c>
      <c r="BF1843" s="33"/>
      <c r="BG1843" s="33"/>
      <c r="BH1843" s="33"/>
      <c r="BI1843" s="250"/>
      <c r="BJ1843" s="250">
        <v>1E-3</v>
      </c>
      <c r="BK1843" s="33"/>
      <c r="BL1843" s="250">
        <f t="shared" si="538"/>
        <v>1.4869145116357126E-2</v>
      </c>
      <c r="BM1843" s="33"/>
      <c r="BN1843" s="33"/>
      <c r="BO1843" s="33"/>
      <c r="BP1843" s="33"/>
      <c r="BQ1843" s="33"/>
      <c r="BR1843" s="33"/>
      <c r="BS1843" s="33"/>
      <c r="BT1843" s="33"/>
      <c r="BU1843" s="246"/>
      <c r="BV1843" s="33"/>
      <c r="BW1843" s="33"/>
      <c r="BX1843" s="33" t="s">
        <v>5507</v>
      </c>
      <c r="BY1843" s="33"/>
      <c r="BZ1843" s="33"/>
      <c r="CA1843" s="33"/>
      <c r="CB1843" s="33"/>
      <c r="CC1843" s="33"/>
      <c r="CD1843" s="33"/>
      <c r="CE1843" s="33"/>
      <c r="CF1843" s="33"/>
      <c r="CG1843" s="33"/>
      <c r="CH1843" s="33"/>
      <c r="CI1843" s="250"/>
      <c r="CJ1843" s="243"/>
      <c r="CK1843" s="38">
        <f t="shared" si="558"/>
        <v>14.869145116357124</v>
      </c>
      <c r="CL1843" s="247"/>
      <c r="CM1843" s="247"/>
      <c r="CN1843" s="247"/>
      <c r="CO1843" s="41"/>
      <c r="CP1843" s="41" t="s">
        <v>5508</v>
      </c>
      <c r="CQ1843" s="241">
        <v>-1.7399764782799048</v>
      </c>
      <c r="CR1843" s="241">
        <f>10^(CJ1843-CQ1843)</f>
        <v>54.951111111111111</v>
      </c>
      <c r="CS1843" s="33"/>
      <c r="CT1843" s="33"/>
      <c r="CU1843" s="250"/>
      <c r="CV1843" s="337">
        <f t="shared" si="559"/>
        <v>134.79995686401381</v>
      </c>
      <c r="CW1843" s="330">
        <f>IF(CV1843&lt;1,0,1)</f>
        <v>1</v>
      </c>
      <c r="CX1843" s="330"/>
      <c r="CY1843" s="143" t="s">
        <v>5921</v>
      </c>
    </row>
    <row r="1844" spans="1:103" ht="11.25" customHeight="1" x14ac:dyDescent="0.2">
      <c r="A1844" s="72">
        <v>1842</v>
      </c>
      <c r="B1844" s="241">
        <v>1950</v>
      </c>
      <c r="C1844" s="272" t="s">
        <v>7730</v>
      </c>
      <c r="D1844" s="272"/>
      <c r="E1844" s="241"/>
      <c r="F1844" s="40" t="s">
        <v>2227</v>
      </c>
      <c r="G1844" s="40">
        <v>1746016</v>
      </c>
      <c r="H1844" s="242" t="s">
        <v>5519</v>
      </c>
      <c r="I1844" s="242" t="s">
        <v>5519</v>
      </c>
      <c r="J1844" s="41" t="s">
        <v>5520</v>
      </c>
      <c r="K1844" s="41" t="s">
        <v>426</v>
      </c>
      <c r="L1844" s="41"/>
      <c r="M1844" s="41"/>
      <c r="N1844" s="36"/>
      <c r="O1844" s="41"/>
      <c r="P1844" s="41"/>
      <c r="Q1844" s="41"/>
      <c r="R1844" s="41"/>
      <c r="S1844" s="41"/>
      <c r="T1844" s="41">
        <v>321.98</v>
      </c>
      <c r="U1844" s="273">
        <v>6.2117588595210734E-7</v>
      </c>
      <c r="V1844" s="250">
        <v>3.4257850110258716E-6</v>
      </c>
      <c r="W1844" s="250">
        <v>1.380384264602884E-6</v>
      </c>
      <c r="X1844" s="273">
        <v>6.2117588595210734E-7</v>
      </c>
      <c r="Y1844" s="415">
        <v>7</v>
      </c>
      <c r="Z1844" s="33">
        <v>6.92</v>
      </c>
      <c r="AA1844" s="33">
        <v>6.8</v>
      </c>
      <c r="AB1844" s="33">
        <v>0</v>
      </c>
      <c r="AC1844" s="33">
        <v>0</v>
      </c>
      <c r="AD1844" s="33">
        <v>0</v>
      </c>
      <c r="AE1844" s="33">
        <v>0</v>
      </c>
      <c r="AF1844" s="33">
        <f t="shared" si="556"/>
        <v>6.8</v>
      </c>
      <c r="AG1844" s="34">
        <v>5.56</v>
      </c>
      <c r="AH1844" s="250">
        <v>3.5300000000000001E-6</v>
      </c>
      <c r="AI1844" s="250">
        <v>5.0000000000000002E-5</v>
      </c>
      <c r="AJ1844" s="34">
        <f t="shared" si="557"/>
        <v>-3.8407916209248292</v>
      </c>
      <c r="AK1844" s="34">
        <f>LOG10(AI1844*1000/(0.08206*298.15))</f>
        <v>-2.6895963219766328</v>
      </c>
      <c r="AL1844" s="34">
        <f t="shared" si="555"/>
        <v>-2.6895963219766328</v>
      </c>
      <c r="AM1844" s="34"/>
      <c r="AN1844" s="34">
        <v>-3.2486000000000002</v>
      </c>
      <c r="AO1844" s="417"/>
      <c r="AP1844" s="417"/>
      <c r="AQ1844" s="251" t="s">
        <v>6311</v>
      </c>
      <c r="AR1844" s="251" t="s">
        <v>6311</v>
      </c>
      <c r="AS1844" s="251" t="s">
        <v>5466</v>
      </c>
      <c r="AT1844" s="252" t="s">
        <v>266</v>
      </c>
      <c r="AU1844" s="35">
        <v>5.25</v>
      </c>
      <c r="AV1844" s="33">
        <v>48</v>
      </c>
      <c r="AW1844" s="33">
        <v>0.5</v>
      </c>
      <c r="AX1844" s="33">
        <v>26</v>
      </c>
      <c r="AY1844" s="33" t="s">
        <v>267</v>
      </c>
      <c r="AZ1844" s="33" t="s">
        <v>6220</v>
      </c>
      <c r="BA1844" s="33" t="s">
        <v>6225</v>
      </c>
      <c r="BB1844" s="33" t="s">
        <v>6221</v>
      </c>
      <c r="BC1844" s="41" t="s">
        <v>8380</v>
      </c>
      <c r="BD1844" s="41"/>
      <c r="BE1844" s="33" t="s">
        <v>2449</v>
      </c>
      <c r="BF1844" s="33" t="s">
        <v>6203</v>
      </c>
      <c r="BG1844" s="33" t="s">
        <v>6203</v>
      </c>
      <c r="BH1844" s="33" t="s">
        <v>6222</v>
      </c>
      <c r="BI1844" s="250">
        <v>3.1057829678862042E-7</v>
      </c>
      <c r="BJ1844" s="250">
        <v>3.105782967886204E-3</v>
      </c>
      <c r="BK1844" s="273"/>
      <c r="BL1844" s="250">
        <f t="shared" si="538"/>
        <v>3.1329105846105539E-5</v>
      </c>
      <c r="BM1844" s="250" t="s">
        <v>1584</v>
      </c>
      <c r="BN1844" s="33"/>
      <c r="BO1844" s="33">
        <v>3.1100000000000002E-4</v>
      </c>
      <c r="BP1844" s="33"/>
      <c r="BQ1844" s="33"/>
      <c r="BR1844" s="33"/>
      <c r="BS1844" s="33"/>
      <c r="BT1844" s="33"/>
      <c r="BU1844" s="246"/>
      <c r="BV1844" s="33"/>
      <c r="BW1844" s="33"/>
      <c r="BX1844" s="33"/>
      <c r="BY1844" s="33"/>
      <c r="BZ1844" s="33"/>
      <c r="CA1844" s="33"/>
      <c r="CB1844" s="33"/>
      <c r="CC1844" s="33"/>
      <c r="CD1844" s="33"/>
      <c r="CE1844" s="33"/>
      <c r="CF1844" s="33"/>
      <c r="CG1844" s="33"/>
      <c r="CH1844" s="33"/>
      <c r="CI1844" s="250">
        <f>MIN(BN1844:CH1844)</f>
        <v>3.1100000000000002E-4</v>
      </c>
      <c r="CJ1844" s="243">
        <f>LOG10(CI1844)</f>
        <v>-3.5072396109731625</v>
      </c>
      <c r="CK1844" s="38">
        <f t="shared" si="558"/>
        <v>1.0087345500329062E-2</v>
      </c>
      <c r="CL1844" s="247">
        <f>BL1844/CI1844</f>
        <v>0.10073667474632006</v>
      </c>
      <c r="CM1844" s="247"/>
      <c r="CN1844" s="247"/>
      <c r="CO1844" s="41" t="s">
        <v>6223</v>
      </c>
      <c r="CP1844" s="41" t="s">
        <v>8379</v>
      </c>
      <c r="CQ1844" s="241" t="s">
        <v>272</v>
      </c>
      <c r="CR1844" s="241"/>
      <c r="CS1844" s="33"/>
      <c r="CT1844" s="33"/>
      <c r="CU1844" s="250">
        <f>X1844/CI1844</f>
        <v>1.9973501156016313E-3</v>
      </c>
      <c r="CV1844" s="337">
        <f t="shared" si="559"/>
        <v>2.0000621175885952E-4</v>
      </c>
      <c r="CW1844" s="330">
        <f>IF(CU1844&lt;2,0,1)</f>
        <v>0</v>
      </c>
      <c r="CX1844" s="330"/>
      <c r="CY1844" s="143" t="s">
        <v>5921</v>
      </c>
    </row>
    <row r="1845" spans="1:103" ht="11.25" customHeight="1" x14ac:dyDescent="0.2">
      <c r="A1845" s="72">
        <v>1843</v>
      </c>
      <c r="B1845" s="241">
        <v>2147</v>
      </c>
      <c r="C1845" s="32" t="s">
        <v>7731</v>
      </c>
      <c r="D1845" s="32"/>
      <c r="E1845" s="40"/>
      <c r="F1845" s="40" t="s">
        <v>1355</v>
      </c>
      <c r="G1845" s="242">
        <v>1763231</v>
      </c>
      <c r="H1845" s="41" t="s">
        <v>1356</v>
      </c>
      <c r="I1845" s="41" t="s">
        <v>1356</v>
      </c>
      <c r="J1845" s="41" t="s">
        <v>5872</v>
      </c>
      <c r="K1845" s="41" t="s">
        <v>426</v>
      </c>
      <c r="L1845" s="41"/>
      <c r="M1845" s="41"/>
      <c r="N1845" s="36"/>
      <c r="O1845" s="41"/>
      <c r="P1845" s="41"/>
      <c r="Q1845" s="41"/>
      <c r="R1845" s="41"/>
      <c r="S1845" s="41"/>
      <c r="T1845" s="33">
        <v>500.13</v>
      </c>
      <c r="U1845" s="250"/>
      <c r="V1845" s="250">
        <v>2.0774598604362868E-4</v>
      </c>
      <c r="W1845" s="250">
        <v>5.370317963702524</v>
      </c>
      <c r="X1845" s="250">
        <f>IF(W1845=0,V1845,W1845)</f>
        <v>5.370317963702524</v>
      </c>
      <c r="Y1845" s="415">
        <v>2.27</v>
      </c>
      <c r="Z1845" s="33">
        <v>4.49</v>
      </c>
      <c r="AA1845" s="33"/>
      <c r="AB1845" s="33">
        <v>2.3199999999999998</v>
      </c>
      <c r="AC1845" s="33">
        <v>0.56120000000000003</v>
      </c>
      <c r="AD1845" s="33">
        <v>4.16</v>
      </c>
      <c r="AE1845" s="33">
        <v>7.03</v>
      </c>
      <c r="AF1845" s="33">
        <f t="shared" si="556"/>
        <v>4.16</v>
      </c>
      <c r="AG1845" s="34">
        <v>4.3899999999999997</v>
      </c>
      <c r="AH1845" s="250">
        <v>1.0999999999999999E-2</v>
      </c>
      <c r="AI1845" s="250"/>
      <c r="AJ1845" s="34">
        <f t="shared" si="557"/>
        <v>-0.34717364115442678</v>
      </c>
      <c r="AK1845" s="34"/>
      <c r="AL1845" s="34">
        <f t="shared" si="555"/>
        <v>-0.34717364115442678</v>
      </c>
      <c r="AM1845" s="34">
        <v>-3.9819300000000002</v>
      </c>
      <c r="AN1845" s="251"/>
      <c r="AO1845" s="417">
        <v>-3.27</v>
      </c>
      <c r="AP1845" s="417"/>
      <c r="AQ1845" s="251" t="s">
        <v>6311</v>
      </c>
      <c r="AR1845" s="251" t="s">
        <v>6311</v>
      </c>
      <c r="AS1845" s="252" t="s">
        <v>5466</v>
      </c>
      <c r="AT1845" s="35" t="s">
        <v>266</v>
      </c>
      <c r="AU1845" s="33">
        <v>0</v>
      </c>
      <c r="AV1845" s="33">
        <v>144</v>
      </c>
      <c r="AW1845" s="33">
        <v>144</v>
      </c>
      <c r="AX1845" s="33">
        <v>26</v>
      </c>
      <c r="AY1845" s="33" t="s">
        <v>267</v>
      </c>
      <c r="AZ1845" s="33" t="s">
        <v>5855</v>
      </c>
      <c r="BA1845" s="33">
        <v>24</v>
      </c>
      <c r="BB1845" s="41" t="s">
        <v>5856</v>
      </c>
      <c r="BC1845" s="41" t="s">
        <v>5597</v>
      </c>
      <c r="BD1845" s="41"/>
      <c r="BE1845" s="33" t="s">
        <v>2449</v>
      </c>
      <c r="BF1845" s="33"/>
      <c r="BG1845" s="33"/>
      <c r="BH1845" s="33"/>
      <c r="BI1845" s="250">
        <v>5.9984400000000001E-5</v>
      </c>
      <c r="BJ1845" s="250">
        <v>1.9994801E-2</v>
      </c>
      <c r="BK1845" s="254"/>
      <c r="BL1845" s="250">
        <f t="shared" si="538"/>
        <v>4.7679423979143983E-3</v>
      </c>
      <c r="BM1845" s="33"/>
      <c r="BN1845" s="33"/>
      <c r="BO1845" s="33"/>
      <c r="BP1845" s="33"/>
      <c r="BQ1845" s="33"/>
      <c r="BR1845" s="33"/>
      <c r="BS1845" s="33"/>
      <c r="BT1845" s="33" t="s">
        <v>5698</v>
      </c>
      <c r="BU1845" s="246"/>
      <c r="BV1845" s="33"/>
      <c r="BW1845" s="33"/>
      <c r="BX1845" s="33"/>
      <c r="BY1845" s="33"/>
      <c r="BZ1845" s="33"/>
      <c r="CA1845" s="33"/>
      <c r="CB1845" s="33"/>
      <c r="CC1845" s="33"/>
      <c r="CD1845" s="33"/>
      <c r="CE1845" s="33"/>
      <c r="CF1845" s="33"/>
      <c r="CG1845" s="33"/>
      <c r="CH1845" s="33"/>
      <c r="CI1845" s="250"/>
      <c r="CJ1845" s="243"/>
      <c r="CK1845" s="38">
        <f t="shared" si="558"/>
        <v>0.23845910734067313</v>
      </c>
      <c r="CL1845" s="247"/>
      <c r="CM1845" s="247"/>
      <c r="CN1845" s="247"/>
      <c r="CO1845" s="41"/>
      <c r="CP1845" s="41" t="s">
        <v>5858</v>
      </c>
      <c r="CQ1845" s="241" t="s">
        <v>272</v>
      </c>
      <c r="CR1845" s="241"/>
      <c r="CS1845" s="33"/>
      <c r="CT1845" s="33"/>
      <c r="CU1845" s="250"/>
      <c r="CV1845" s="337">
        <f t="shared" si="559"/>
        <v>268.58571704227137</v>
      </c>
      <c r="CW1845" s="330">
        <f>IF(CV1845&lt;1,0,1)</f>
        <v>1</v>
      </c>
      <c r="CX1845" s="330"/>
      <c r="CY1845" s="143" t="s">
        <v>5921</v>
      </c>
    </row>
    <row r="1846" spans="1:103" ht="11.25" customHeight="1" x14ac:dyDescent="0.2">
      <c r="A1846" s="72">
        <v>1844</v>
      </c>
      <c r="B1846" s="241">
        <v>693</v>
      </c>
      <c r="C1846" s="32" t="s">
        <v>1031</v>
      </c>
      <c r="D1846" s="32"/>
      <c r="E1846" s="40"/>
      <c r="F1846" s="40" t="s">
        <v>1032</v>
      </c>
      <c r="G1846" s="242">
        <v>1897456</v>
      </c>
      <c r="H1846" s="36" t="s">
        <v>1033</v>
      </c>
      <c r="I1846" s="36" t="s">
        <v>7750</v>
      </c>
      <c r="J1846" s="36" t="s">
        <v>1034</v>
      </c>
      <c r="K1846" s="36" t="s">
        <v>426</v>
      </c>
      <c r="L1846" s="36" t="s">
        <v>5929</v>
      </c>
      <c r="M1846" s="36" t="s">
        <v>6085</v>
      </c>
      <c r="N1846" s="36" t="s">
        <v>6383</v>
      </c>
      <c r="O1846" s="36" t="s">
        <v>1035</v>
      </c>
      <c r="P1846" s="41"/>
      <c r="Q1846" s="41"/>
      <c r="R1846" s="41"/>
      <c r="S1846" s="41"/>
      <c r="T1846" s="37">
        <v>265.91000000000003</v>
      </c>
      <c r="U1846" s="243">
        <v>3.0461434319882666E-3</v>
      </c>
      <c r="V1846" s="243">
        <v>9.7815050204956566E-2</v>
      </c>
      <c r="W1846" s="243">
        <v>6.9183097091893497E-3</v>
      </c>
      <c r="X1846" s="243">
        <v>3.0461434319882666E-3</v>
      </c>
      <c r="Y1846" s="414">
        <v>7</v>
      </c>
      <c r="Z1846" s="37">
        <v>3.66</v>
      </c>
      <c r="AA1846" s="37">
        <v>3.05</v>
      </c>
      <c r="AB1846" s="37">
        <v>3.2</v>
      </c>
      <c r="AC1846" s="37">
        <v>0.76400000000000001</v>
      </c>
      <c r="AD1846" s="37">
        <v>3.12</v>
      </c>
      <c r="AE1846" s="37">
        <v>2.88</v>
      </c>
      <c r="AF1846" s="37">
        <f t="shared" si="556"/>
        <v>3.05</v>
      </c>
      <c r="AG1846" s="38">
        <v>4.17</v>
      </c>
      <c r="AH1846" s="243">
        <v>1.5200000000000001E-7</v>
      </c>
      <c r="AI1846" s="243">
        <v>1.9999999999999999E-6</v>
      </c>
      <c r="AJ1846" s="34">
        <f t="shared" si="557"/>
        <v>-5.2067227383678789</v>
      </c>
      <c r="AK1846" s="34">
        <f>LOG10(AI1846*1000/(0.08206*298.15))</f>
        <v>-4.0875363306486703</v>
      </c>
      <c r="AL1846" s="34">
        <f t="shared" si="555"/>
        <v>-4.0875363306486703</v>
      </c>
      <c r="AM1846" s="34">
        <v>-8.3957800000000002</v>
      </c>
      <c r="AN1846" s="244">
        <v>-5.47</v>
      </c>
      <c r="AO1846" s="417"/>
      <c r="AP1846" s="417"/>
      <c r="AQ1846" s="244" t="s">
        <v>6311</v>
      </c>
      <c r="AR1846" s="244" t="s">
        <v>6311</v>
      </c>
      <c r="AS1846" s="241" t="s">
        <v>6</v>
      </c>
      <c r="AT1846" s="39" t="s">
        <v>266</v>
      </c>
      <c r="AU1846" s="37">
        <v>2</v>
      </c>
      <c r="AV1846" s="37">
        <v>48</v>
      </c>
      <c r="AW1846" s="37">
        <v>48</v>
      </c>
      <c r="AX1846" s="37">
        <v>26</v>
      </c>
      <c r="AY1846" s="37" t="s">
        <v>647</v>
      </c>
      <c r="AZ1846" s="37" t="s">
        <v>1920</v>
      </c>
      <c r="BA1846" s="37">
        <v>10</v>
      </c>
      <c r="BB1846" s="36" t="s">
        <v>1613</v>
      </c>
      <c r="BC1846" s="36" t="s">
        <v>538</v>
      </c>
      <c r="BD1846" s="36"/>
      <c r="BE1846" s="37" t="s">
        <v>271</v>
      </c>
      <c r="BF1846" s="37" t="s">
        <v>272</v>
      </c>
      <c r="BG1846" s="37" t="s">
        <v>272</v>
      </c>
      <c r="BH1846" s="37" t="s">
        <v>272</v>
      </c>
      <c r="BI1846" s="248">
        <v>3.7606709036892179E-5</v>
      </c>
      <c r="BJ1846" s="248">
        <v>5.6410063555338268E-3</v>
      </c>
      <c r="BK1846" s="37"/>
      <c r="BL1846" s="243">
        <f t="shared" ref="BL1846:BL1864" si="560">10^((-0.8981*Z1846)+1.7108)</f>
        <v>2.6531023237818786E-2</v>
      </c>
      <c r="BM1846" s="37" t="s">
        <v>541</v>
      </c>
      <c r="BN1846" s="37"/>
      <c r="BO1846" s="37">
        <v>0.16467977887255084</v>
      </c>
      <c r="BP1846" s="37"/>
      <c r="BQ1846" s="37"/>
      <c r="BR1846" s="37"/>
      <c r="BS1846" s="37"/>
      <c r="BT1846" s="37"/>
      <c r="BU1846" s="246"/>
      <c r="BV1846" s="37"/>
      <c r="BW1846" s="37"/>
      <c r="BX1846" s="37"/>
      <c r="BY1846" s="37"/>
      <c r="BZ1846" s="37"/>
      <c r="CA1846" s="37"/>
      <c r="CB1846" s="37"/>
      <c r="CC1846" s="37"/>
      <c r="CD1846" s="37"/>
      <c r="CE1846" s="37"/>
      <c r="CF1846" s="37"/>
      <c r="CG1846" s="37"/>
      <c r="CH1846" s="37"/>
      <c r="CI1846" s="243">
        <f>MIN(BN1846:CH1846)</f>
        <v>0.16467977887255084</v>
      </c>
      <c r="CJ1846" s="243">
        <f>LOG10(CI1846)</f>
        <v>-0.78335972483277017</v>
      </c>
      <c r="CK1846" s="38">
        <f t="shared" si="558"/>
        <v>4.7032429261122628</v>
      </c>
      <c r="CL1846" s="247">
        <f>BL1846/CI1846</f>
        <v>0.16110674558502841</v>
      </c>
      <c r="CM1846" s="247">
        <v>-4.0706262308774948</v>
      </c>
      <c r="CN1846" s="247">
        <f>BJ1846/(10^CM1846)</f>
        <v>66.371681415929203</v>
      </c>
      <c r="CO1846" s="36"/>
      <c r="CP1846" s="36" t="s">
        <v>1992</v>
      </c>
      <c r="CQ1846" s="241">
        <v>-3.5519439697905129</v>
      </c>
      <c r="CR1846" s="241">
        <f>10^(CJ1846-CQ1846)</f>
        <v>586.92721141214167</v>
      </c>
      <c r="CS1846" s="33"/>
      <c r="CT1846" s="33"/>
      <c r="CU1846" s="250">
        <f>X1846/CI1846</f>
        <v>1.8497373829641475E-2</v>
      </c>
      <c r="CV1846" s="337">
        <f t="shared" si="559"/>
        <v>0.54</v>
      </c>
      <c r="CW1846" s="330">
        <f>IF(CU1846&lt;2,0,1)</f>
        <v>0</v>
      </c>
      <c r="CX1846" s="330"/>
      <c r="CY1846" s="143" t="s">
        <v>5921</v>
      </c>
    </row>
    <row r="1847" spans="1:103" ht="11.25" customHeight="1" x14ac:dyDescent="0.2">
      <c r="A1847" s="72">
        <v>1845</v>
      </c>
      <c r="B1847" s="241">
        <v>741</v>
      </c>
      <c r="C1847" s="32" t="s">
        <v>1574</v>
      </c>
      <c r="D1847" s="32"/>
      <c r="E1847" s="40"/>
      <c r="F1847" s="40" t="s">
        <v>1575</v>
      </c>
      <c r="G1847" s="242">
        <v>1912249</v>
      </c>
      <c r="H1847" s="36" t="s">
        <v>1576</v>
      </c>
      <c r="I1847" s="36" t="s">
        <v>8076</v>
      </c>
      <c r="J1847" s="36" t="s">
        <v>1577</v>
      </c>
      <c r="K1847" s="36" t="s">
        <v>940</v>
      </c>
      <c r="L1847" s="36" t="s">
        <v>6152</v>
      </c>
      <c r="M1847" s="36" t="s">
        <v>6082</v>
      </c>
      <c r="N1847" s="36" t="s">
        <v>6082</v>
      </c>
      <c r="O1847" s="36" t="s">
        <v>6083</v>
      </c>
      <c r="P1847" s="41" t="s">
        <v>6178</v>
      </c>
      <c r="Q1847" s="41" t="s">
        <v>6173</v>
      </c>
      <c r="R1847" s="41" t="s">
        <v>6181</v>
      </c>
      <c r="S1847" s="41" t="s">
        <v>6176</v>
      </c>
      <c r="T1847" s="37">
        <v>215.68</v>
      </c>
      <c r="U1847" s="243">
        <v>0.16088649851632048</v>
      </c>
      <c r="V1847" s="243">
        <v>0.99267433234421354</v>
      </c>
      <c r="W1847" s="243">
        <v>0.3235936569296281</v>
      </c>
      <c r="X1847" s="243">
        <v>0.16088649851632048</v>
      </c>
      <c r="Y1847" s="414">
        <v>7.03</v>
      </c>
      <c r="Z1847" s="37">
        <v>2.82</v>
      </c>
      <c r="AA1847" s="37">
        <v>2.61</v>
      </c>
      <c r="AB1847" s="37">
        <v>2.67</v>
      </c>
      <c r="AC1847" s="37">
        <v>0.91020000000000001</v>
      </c>
      <c r="AD1847" s="37">
        <v>2.66</v>
      </c>
      <c r="AE1847" s="37">
        <v>2.63</v>
      </c>
      <c r="AF1847" s="37">
        <f t="shared" si="556"/>
        <v>2.61</v>
      </c>
      <c r="AG1847" s="38">
        <v>2.41</v>
      </c>
      <c r="AH1847" s="243">
        <v>4.4699999999999997E-9</v>
      </c>
      <c r="AI1847" s="243">
        <v>2.3600000000000001E-9</v>
      </c>
      <c r="AJ1847" s="34">
        <f t="shared" si="557"/>
        <v>-6.7382588031807158</v>
      </c>
      <c r="AK1847" s="34">
        <f>LOG10(AI1847*1000/(0.08206*298.15))</f>
        <v>-7.0156543233425452</v>
      </c>
      <c r="AL1847" s="34">
        <f t="shared" si="555"/>
        <v>-7.0156543233425452</v>
      </c>
      <c r="AM1847" s="34">
        <v>-10.46622</v>
      </c>
      <c r="AN1847" s="244">
        <v>-8.32</v>
      </c>
      <c r="AO1847" s="417"/>
      <c r="AP1847" s="417">
        <v>2.27</v>
      </c>
      <c r="AQ1847" s="244" t="s">
        <v>6311</v>
      </c>
      <c r="AR1847" s="244" t="s">
        <v>6311</v>
      </c>
      <c r="AS1847" s="241" t="s">
        <v>6</v>
      </c>
      <c r="AT1847" s="39" t="s">
        <v>266</v>
      </c>
      <c r="AU1847" s="37">
        <v>2</v>
      </c>
      <c r="AV1847" s="37">
        <v>48</v>
      </c>
      <c r="AW1847" s="37">
        <v>48</v>
      </c>
      <c r="AX1847" s="37">
        <v>26</v>
      </c>
      <c r="AY1847" s="37" t="s">
        <v>8722</v>
      </c>
      <c r="AZ1847" s="37" t="s">
        <v>1893</v>
      </c>
      <c r="BA1847" s="37">
        <v>15</v>
      </c>
      <c r="BB1847" s="36" t="s">
        <v>1613</v>
      </c>
      <c r="BC1847" s="36" t="s">
        <v>1887</v>
      </c>
      <c r="BD1847" s="36"/>
      <c r="BE1847" s="37" t="s">
        <v>1712</v>
      </c>
      <c r="BF1847" s="37" t="s">
        <v>540</v>
      </c>
      <c r="BG1847" s="37" t="s">
        <v>540</v>
      </c>
      <c r="BH1847" s="37" t="s">
        <v>272</v>
      </c>
      <c r="BI1847" s="248">
        <v>1.0431637998980017E-2</v>
      </c>
      <c r="BJ1847" s="248">
        <v>0.16690620798368028</v>
      </c>
      <c r="BK1847" s="37"/>
      <c r="BL1847" s="243">
        <f t="shared" si="560"/>
        <v>0.15071552822770298</v>
      </c>
      <c r="BM1847" s="37" t="s">
        <v>541</v>
      </c>
      <c r="BN1847" s="37"/>
      <c r="BO1847" s="37"/>
      <c r="BP1847" s="37"/>
      <c r="BQ1847" s="37"/>
      <c r="BR1847" s="37"/>
      <c r="BS1847" s="37"/>
      <c r="BT1847" s="37"/>
      <c r="BU1847" s="246"/>
      <c r="BV1847" s="37"/>
      <c r="BW1847" s="37"/>
      <c r="BX1847" s="37"/>
      <c r="BY1847" s="37"/>
      <c r="BZ1847" s="37"/>
      <c r="CA1847" s="37"/>
      <c r="CB1847" s="37"/>
      <c r="CC1847" s="37"/>
      <c r="CD1847" s="37"/>
      <c r="CE1847" s="37"/>
      <c r="CF1847" s="37"/>
      <c r="CG1847" s="37"/>
      <c r="CH1847" s="37"/>
      <c r="CI1847" s="243"/>
      <c r="CJ1847" s="243"/>
      <c r="CK1847" s="38">
        <f t="shared" si="558"/>
        <v>0.9029953412064794</v>
      </c>
      <c r="CL1847" s="247"/>
      <c r="CM1847" s="247">
        <v>-1.3009357260238847</v>
      </c>
      <c r="CN1847" s="247">
        <f>BJ1847/(10^CM1847)</f>
        <v>3.3373996521666629</v>
      </c>
      <c r="CO1847" s="36" t="s">
        <v>1888</v>
      </c>
      <c r="CP1847" s="36" t="s">
        <v>1889</v>
      </c>
      <c r="CQ1847" s="241">
        <v>-1.1103572322397883</v>
      </c>
      <c r="CR1847" s="241">
        <f>10^(CJ1847-CQ1847)</f>
        <v>12.893096471263398</v>
      </c>
      <c r="CS1847" s="33"/>
      <c r="CT1847" s="33"/>
      <c r="CU1847" s="250"/>
      <c r="CV1847" s="337">
        <f t="shared" si="559"/>
        <v>0.96393357958292125</v>
      </c>
      <c r="CW1847" s="330">
        <f>IF(CV1847&lt;1,0,1)</f>
        <v>0</v>
      </c>
      <c r="CX1847" s="330" t="s">
        <v>539</v>
      </c>
      <c r="CY1847" s="143" t="s">
        <v>6351</v>
      </c>
    </row>
    <row r="1848" spans="1:103" ht="11.25" customHeight="1" x14ac:dyDescent="0.2">
      <c r="A1848" s="72">
        <v>1846</v>
      </c>
      <c r="B1848" s="241">
        <v>488</v>
      </c>
      <c r="C1848" s="32" t="s">
        <v>1574</v>
      </c>
      <c r="D1848" s="32"/>
      <c r="E1848" s="40"/>
      <c r="F1848" s="40" t="s">
        <v>1575</v>
      </c>
      <c r="G1848" s="242">
        <v>1912249</v>
      </c>
      <c r="H1848" s="36" t="s">
        <v>1576</v>
      </c>
      <c r="I1848" s="36" t="s">
        <v>8076</v>
      </c>
      <c r="J1848" s="36" t="s">
        <v>1577</v>
      </c>
      <c r="K1848" s="36" t="s">
        <v>940</v>
      </c>
      <c r="L1848" s="36" t="s">
        <v>6152</v>
      </c>
      <c r="M1848" s="36" t="s">
        <v>6082</v>
      </c>
      <c r="N1848" s="36" t="s">
        <v>6082</v>
      </c>
      <c r="O1848" s="36" t="s">
        <v>6083</v>
      </c>
      <c r="P1848" s="41"/>
      <c r="Q1848" s="41"/>
      <c r="R1848" s="41"/>
      <c r="S1848" s="41"/>
      <c r="T1848" s="37">
        <v>215.68</v>
      </c>
      <c r="U1848" s="243">
        <v>0.16088649851632048</v>
      </c>
      <c r="V1848" s="243">
        <v>0.99267433234421354</v>
      </c>
      <c r="W1848" s="243">
        <v>0.3235936569296281</v>
      </c>
      <c r="X1848" s="243">
        <v>0.16088649851632048</v>
      </c>
      <c r="Y1848" s="414">
        <v>7.03</v>
      </c>
      <c r="Z1848" s="37">
        <v>2.82</v>
      </c>
      <c r="AA1848" s="37">
        <v>2.61</v>
      </c>
      <c r="AB1848" s="37">
        <v>2.67</v>
      </c>
      <c r="AC1848" s="37">
        <v>0.91020000000000001</v>
      </c>
      <c r="AD1848" s="37">
        <v>2.66</v>
      </c>
      <c r="AE1848" s="37">
        <v>2.63</v>
      </c>
      <c r="AF1848" s="37">
        <f t="shared" si="556"/>
        <v>2.61</v>
      </c>
      <c r="AG1848" s="38">
        <v>2.41</v>
      </c>
      <c r="AH1848" s="243">
        <v>4.4699999999999997E-9</v>
      </c>
      <c r="AI1848" s="243">
        <v>2.3600000000000001E-9</v>
      </c>
      <c r="AJ1848" s="34">
        <f t="shared" si="557"/>
        <v>-6.7382588031807158</v>
      </c>
      <c r="AK1848" s="34">
        <f>LOG10(AI1848*1000/(0.08206*298.15))</f>
        <v>-7.0156543233425452</v>
      </c>
      <c r="AL1848" s="34">
        <f t="shared" si="555"/>
        <v>-7.0156543233425452</v>
      </c>
      <c r="AM1848" s="34">
        <v>-10.46622</v>
      </c>
      <c r="AN1848" s="244">
        <v>-8.32</v>
      </c>
      <c r="AO1848" s="417"/>
      <c r="AP1848" s="417">
        <v>2.27</v>
      </c>
      <c r="AQ1848" s="244" t="s">
        <v>6311</v>
      </c>
      <c r="AR1848" s="244" t="s">
        <v>6311</v>
      </c>
      <c r="AS1848" s="241" t="s">
        <v>6</v>
      </c>
      <c r="AT1848" s="39" t="s">
        <v>266</v>
      </c>
      <c r="AU1848" s="37">
        <v>2</v>
      </c>
      <c r="AV1848" s="37">
        <v>48</v>
      </c>
      <c r="AW1848" s="37">
        <v>48</v>
      </c>
      <c r="AX1848" s="37">
        <v>26</v>
      </c>
      <c r="AY1848" s="37" t="s">
        <v>8722</v>
      </c>
      <c r="AZ1848" s="37" t="s">
        <v>536</v>
      </c>
      <c r="BA1848" s="37">
        <v>20</v>
      </c>
      <c r="BB1848" s="36" t="s">
        <v>1578</v>
      </c>
      <c r="BC1848" s="36" t="s">
        <v>538</v>
      </c>
      <c r="BD1848" s="36"/>
      <c r="BE1848" s="37" t="s">
        <v>271</v>
      </c>
      <c r="BF1848" s="37" t="s">
        <v>272</v>
      </c>
      <c r="BG1848" s="37" t="s">
        <v>539</v>
      </c>
      <c r="BH1848" s="37" t="s">
        <v>272</v>
      </c>
      <c r="BI1848" s="248" t="s">
        <v>8722</v>
      </c>
      <c r="BJ1848" s="248">
        <v>0.18545134220408921</v>
      </c>
      <c r="BK1848" s="37"/>
      <c r="BL1848" s="243">
        <f t="shared" si="560"/>
        <v>0.15071552822770298</v>
      </c>
      <c r="BM1848" s="37" t="s">
        <v>1579</v>
      </c>
      <c r="BN1848" s="37"/>
      <c r="BO1848" s="37">
        <v>0.17061523482776206</v>
      </c>
      <c r="BP1848" s="37"/>
      <c r="BQ1848" s="37"/>
      <c r="BR1848" s="37"/>
      <c r="BS1848" s="37"/>
      <c r="BT1848" s="37"/>
      <c r="BU1848" s="246"/>
      <c r="BV1848" s="37"/>
      <c r="BW1848" s="37"/>
      <c r="BX1848" s="37"/>
      <c r="BY1848" s="37"/>
      <c r="BZ1848" s="37"/>
      <c r="CA1848" s="37"/>
      <c r="CB1848" s="37"/>
      <c r="CC1848" s="37"/>
      <c r="CD1848" s="37"/>
      <c r="CE1848" s="37"/>
      <c r="CF1848" s="37"/>
      <c r="CG1848" s="37"/>
      <c r="CH1848" s="37"/>
      <c r="CI1848" s="243">
        <f>MIN(BN1848:CH1848)</f>
        <v>0.17061523482776206</v>
      </c>
      <c r="CJ1848" s="243">
        <f>LOG10(CI1848)</f>
        <v>-0.76798219177212845</v>
      </c>
      <c r="CK1848" s="38">
        <f t="shared" si="558"/>
        <v>0.81269580708583133</v>
      </c>
      <c r="CL1848" s="247">
        <f>BL1848/CI1848</f>
        <v>0.88336500770199067</v>
      </c>
      <c r="CM1848" s="247">
        <v>-1.3009357260238847</v>
      </c>
      <c r="CN1848" s="247">
        <f>BJ1848/(10^CM1848)</f>
        <v>3.708221835740737</v>
      </c>
      <c r="CO1848" s="36"/>
      <c r="CP1848" s="36" t="s">
        <v>1580</v>
      </c>
      <c r="CQ1848" s="241">
        <v>-1.1103572322397883</v>
      </c>
      <c r="CR1848" s="241">
        <f>10^(CJ1848-CQ1848)</f>
        <v>2.1997586821015953</v>
      </c>
      <c r="CS1848" s="33"/>
      <c r="CT1848" s="33"/>
      <c r="CU1848" s="250">
        <f>X1848/CI1848</f>
        <v>0.94297850176590126</v>
      </c>
      <c r="CV1848" s="337">
        <f t="shared" si="559"/>
        <v>0.86754022162462907</v>
      </c>
      <c r="CW1848" s="330">
        <f>IF(CU1848&lt;2,0,1)</f>
        <v>0</v>
      </c>
      <c r="CX1848" s="330"/>
      <c r="CY1848" s="143" t="s">
        <v>6351</v>
      </c>
    </row>
    <row r="1849" spans="1:103" ht="11.25" customHeight="1" x14ac:dyDescent="0.2">
      <c r="A1849" s="72">
        <v>1847</v>
      </c>
      <c r="B1849" s="241">
        <v>146</v>
      </c>
      <c r="C1849" s="32" t="s">
        <v>7732</v>
      </c>
      <c r="D1849" s="32"/>
      <c r="E1849" s="40"/>
      <c r="F1849" s="40" t="s">
        <v>808</v>
      </c>
      <c r="G1849" s="242">
        <v>2016571</v>
      </c>
      <c r="H1849" s="36" t="s">
        <v>809</v>
      </c>
      <c r="I1849" s="36" t="s">
        <v>809</v>
      </c>
      <c r="J1849" s="36" t="s">
        <v>810</v>
      </c>
      <c r="K1849" s="36" t="s">
        <v>300</v>
      </c>
      <c r="L1849" s="36"/>
      <c r="M1849" s="36"/>
      <c r="N1849" s="36"/>
      <c r="O1849" s="36"/>
      <c r="P1849" s="41"/>
      <c r="Q1849" s="41"/>
      <c r="R1849" s="41"/>
      <c r="S1849" s="41"/>
      <c r="T1849" s="37">
        <v>157.30000000000001</v>
      </c>
      <c r="U1849" s="243">
        <v>3.4965034965034962</v>
      </c>
      <c r="V1849" s="243">
        <v>2.6884933248569607</v>
      </c>
      <c r="W1849" s="243">
        <v>4.5708818961487507</v>
      </c>
      <c r="X1849" s="243">
        <v>3.4965034965034962</v>
      </c>
      <c r="Y1849" s="414">
        <v>11.11</v>
      </c>
      <c r="Z1849" s="37">
        <v>3.78</v>
      </c>
      <c r="AA1849" s="37"/>
      <c r="AB1849" s="37">
        <v>3.9</v>
      </c>
      <c r="AC1849" s="37">
        <v>0.85129999999999995</v>
      </c>
      <c r="AD1849" s="37">
        <v>3.96</v>
      </c>
      <c r="AE1849" s="37">
        <v>4.12</v>
      </c>
      <c r="AF1849" s="37">
        <f t="shared" si="556"/>
        <v>3.96</v>
      </c>
      <c r="AG1849" s="38">
        <v>3.16</v>
      </c>
      <c r="AH1849" s="243">
        <v>9.7E-5</v>
      </c>
      <c r="AI1849" s="243">
        <v>3.7599999999999999E-5</v>
      </c>
      <c r="AJ1849" s="34">
        <f t="shared" si="557"/>
        <v>-2.4017945920464068</v>
      </c>
      <c r="AK1849" s="34">
        <f>LOG10(AI1849*1000/(0.08206*298.15))</f>
        <v>-2.8133784813849907</v>
      </c>
      <c r="AL1849" s="34">
        <f t="shared" si="555"/>
        <v>-2.8133784813849907</v>
      </c>
      <c r="AM1849" s="34">
        <v>-5.2442700000000002</v>
      </c>
      <c r="AN1849" s="244">
        <v>-2.39</v>
      </c>
      <c r="AO1849" s="417"/>
      <c r="AP1849" s="417">
        <v>10.7</v>
      </c>
      <c r="AQ1849" s="244" t="s">
        <v>6311</v>
      </c>
      <c r="AR1849" s="244" t="s">
        <v>6311</v>
      </c>
      <c r="AS1849" s="241" t="s">
        <v>81</v>
      </c>
      <c r="AT1849" s="39" t="s">
        <v>266</v>
      </c>
      <c r="AU1849" s="37">
        <v>0</v>
      </c>
      <c r="AV1849" s="37">
        <v>48</v>
      </c>
      <c r="AW1849" s="37">
        <v>48</v>
      </c>
      <c r="AX1849" s="37">
        <v>26</v>
      </c>
      <c r="AY1849" s="37" t="s">
        <v>8722</v>
      </c>
      <c r="AZ1849" s="37" t="s">
        <v>536</v>
      </c>
      <c r="BA1849" s="37">
        <v>20</v>
      </c>
      <c r="BB1849" s="36" t="s">
        <v>537</v>
      </c>
      <c r="BC1849" s="36" t="s">
        <v>648</v>
      </c>
      <c r="BD1849" s="36"/>
      <c r="BE1849" s="245" t="s">
        <v>649</v>
      </c>
      <c r="BF1849" s="37" t="s">
        <v>539</v>
      </c>
      <c r="BG1849" s="37" t="s">
        <v>272</v>
      </c>
      <c r="BH1849" s="37" t="s">
        <v>272</v>
      </c>
      <c r="BI1849" s="248">
        <v>1.3350286077558804E-2</v>
      </c>
      <c r="BJ1849" s="248">
        <v>5.085823267641449E-2</v>
      </c>
      <c r="BK1849" s="37"/>
      <c r="BL1849" s="243">
        <f t="shared" si="560"/>
        <v>2.0700555503900951E-2</v>
      </c>
      <c r="BM1849" s="37" t="s">
        <v>541</v>
      </c>
      <c r="BN1849" s="37"/>
      <c r="BO1849" s="37">
        <v>0.02</v>
      </c>
      <c r="BP1849" s="37"/>
      <c r="BQ1849" s="37"/>
      <c r="BR1849" s="37"/>
      <c r="BS1849" s="37"/>
      <c r="BT1849" s="37"/>
      <c r="BU1849" s="246"/>
      <c r="BV1849" s="37"/>
      <c r="BW1849" s="37"/>
      <c r="BX1849" s="37"/>
      <c r="BY1849" s="37"/>
      <c r="BZ1849" s="37"/>
      <c r="CA1849" s="37"/>
      <c r="CB1849" s="37"/>
      <c r="CC1849" s="37"/>
      <c r="CD1849" s="37"/>
      <c r="CE1849" s="37"/>
      <c r="CF1849" s="37"/>
      <c r="CG1849" s="37"/>
      <c r="CH1849" s="37"/>
      <c r="CI1849" s="243">
        <f>MIN(BN1849:CH1849)</f>
        <v>0.02</v>
      </c>
      <c r="CJ1849" s="243">
        <f>LOG10(CI1849)</f>
        <v>-1.6989700043360187</v>
      </c>
      <c r="CK1849" s="38">
        <f t="shared" si="558"/>
        <v>0.4070246725954525</v>
      </c>
      <c r="CL1849" s="247">
        <f>BL1849/CI1849</f>
        <v>1.0350277751950476</v>
      </c>
      <c r="CM1849" s="247"/>
      <c r="CN1849" s="247"/>
      <c r="CO1849" s="36"/>
      <c r="CP1849" s="36" t="s">
        <v>772</v>
      </c>
      <c r="CQ1849" s="241">
        <v>-2.1796953833245065</v>
      </c>
      <c r="CR1849" s="241">
        <f>10^(CJ1849-CQ1849)</f>
        <v>3.0250000000000008</v>
      </c>
      <c r="CS1849" s="33"/>
      <c r="CT1849" s="33"/>
      <c r="CU1849" s="250">
        <f>X1849/CI1849</f>
        <v>174.8251748251748</v>
      </c>
      <c r="CV1849" s="337">
        <f t="shared" si="559"/>
        <v>68.75</v>
      </c>
      <c r="CW1849" s="330">
        <f>IF(CU1849&lt;2,0,1)</f>
        <v>1</v>
      </c>
      <c r="CX1849" s="330"/>
      <c r="CY1849" s="143" t="s">
        <v>5921</v>
      </c>
    </row>
    <row r="1850" spans="1:103" ht="11.25" customHeight="1" x14ac:dyDescent="0.2">
      <c r="A1850" s="72">
        <v>1848</v>
      </c>
      <c r="B1850" s="241">
        <v>158</v>
      </c>
      <c r="C1850" s="32" t="s">
        <v>7733</v>
      </c>
      <c r="D1850" s="32"/>
      <c r="E1850" s="40"/>
      <c r="F1850" s="40" t="s">
        <v>845</v>
      </c>
      <c r="G1850" s="242">
        <v>2050922</v>
      </c>
      <c r="H1850" s="36" t="s">
        <v>846</v>
      </c>
      <c r="I1850" s="36" t="s">
        <v>846</v>
      </c>
      <c r="J1850" s="36" t="s">
        <v>847</v>
      </c>
      <c r="K1850" s="36" t="s">
        <v>300</v>
      </c>
      <c r="L1850" s="36"/>
      <c r="M1850" s="36"/>
      <c r="N1850" s="36"/>
      <c r="O1850" s="36"/>
      <c r="P1850" s="41"/>
      <c r="Q1850" s="41"/>
      <c r="R1850" s="41"/>
      <c r="S1850" s="41"/>
      <c r="T1850" s="37">
        <v>157.30000000000001</v>
      </c>
      <c r="U1850" s="243"/>
      <c r="V1850" s="243">
        <v>2.825174825174825</v>
      </c>
      <c r="W1850" s="243">
        <v>12.022644346174125</v>
      </c>
      <c r="X1850" s="243">
        <f>IF(W1850=0,V1850,W1850)</f>
        <v>12.022644346174125</v>
      </c>
      <c r="Y1850" s="414">
        <v>11.58</v>
      </c>
      <c r="Z1850" s="37">
        <v>3.76</v>
      </c>
      <c r="AA1850" s="37"/>
      <c r="AB1850" s="37">
        <v>3.5</v>
      </c>
      <c r="AC1850" s="37">
        <v>0.50870000000000004</v>
      </c>
      <c r="AD1850" s="37">
        <v>3.68</v>
      </c>
      <c r="AE1850" s="37">
        <v>3.82</v>
      </c>
      <c r="AF1850" s="37">
        <f t="shared" si="556"/>
        <v>3.68</v>
      </c>
      <c r="AG1850" s="38">
        <v>3.08</v>
      </c>
      <c r="AH1850" s="243">
        <v>1.6000000000000001E-4</v>
      </c>
      <c r="AI1850" s="243"/>
      <c r="AJ1850" s="34">
        <f t="shared" si="557"/>
        <v>-2.184446343656727</v>
      </c>
      <c r="AK1850" s="34"/>
      <c r="AL1850" s="34">
        <f t="shared" si="555"/>
        <v>-2.184446343656727</v>
      </c>
      <c r="AM1850" s="34">
        <v>-3.9639199999999999</v>
      </c>
      <c r="AN1850" s="244">
        <v>-2.04</v>
      </c>
      <c r="AO1850" s="417"/>
      <c r="AP1850" s="417">
        <v>11.25</v>
      </c>
      <c r="AQ1850" s="244" t="s">
        <v>6311</v>
      </c>
      <c r="AR1850" s="244" t="s">
        <v>6311</v>
      </c>
      <c r="AS1850" s="241" t="s">
        <v>81</v>
      </c>
      <c r="AT1850" s="39" t="s">
        <v>266</v>
      </c>
      <c r="AU1850" s="37">
        <v>0</v>
      </c>
      <c r="AV1850" s="37">
        <v>48</v>
      </c>
      <c r="AW1850" s="37">
        <v>48</v>
      </c>
      <c r="AX1850" s="37">
        <v>26</v>
      </c>
      <c r="AY1850" s="37" t="s">
        <v>8722</v>
      </c>
      <c r="AZ1850" s="37" t="s">
        <v>536</v>
      </c>
      <c r="BA1850" s="37">
        <v>20</v>
      </c>
      <c r="BB1850" s="36" t="s">
        <v>537</v>
      </c>
      <c r="BC1850" s="36" t="s">
        <v>648</v>
      </c>
      <c r="BD1850" s="36"/>
      <c r="BE1850" s="245" t="s">
        <v>649</v>
      </c>
      <c r="BF1850" s="37" t="s">
        <v>539</v>
      </c>
      <c r="BG1850" s="37" t="s">
        <v>272</v>
      </c>
      <c r="BH1850" s="37" t="s">
        <v>272</v>
      </c>
      <c r="BI1850" s="248">
        <v>0.17800381436745072</v>
      </c>
      <c r="BJ1850" s="248">
        <v>0.50858232676414494</v>
      </c>
      <c r="BK1850" s="37"/>
      <c r="BL1850" s="243">
        <f t="shared" si="560"/>
        <v>2.1574661972438215E-2</v>
      </c>
      <c r="BM1850" s="37" t="s">
        <v>541</v>
      </c>
      <c r="BN1850" s="37"/>
      <c r="BO1850" s="37">
        <v>0.27200000000000002</v>
      </c>
      <c r="BP1850" s="37"/>
      <c r="BQ1850" s="37"/>
      <c r="BR1850" s="37"/>
      <c r="BS1850" s="37"/>
      <c r="BT1850" s="37"/>
      <c r="BU1850" s="246"/>
      <c r="BV1850" s="37"/>
      <c r="BW1850" s="37"/>
      <c r="BX1850" s="37"/>
      <c r="BY1850" s="37"/>
      <c r="BZ1850" s="37"/>
      <c r="CA1850" s="37"/>
      <c r="CB1850" s="37"/>
      <c r="CC1850" s="37"/>
      <c r="CD1850" s="37"/>
      <c r="CE1850" s="37"/>
      <c r="CF1850" s="37"/>
      <c r="CG1850" s="37"/>
      <c r="CH1850" s="37"/>
      <c r="CI1850" s="243">
        <f>MIN(BN1850:CH1850)</f>
        <v>0.27200000000000002</v>
      </c>
      <c r="CJ1850" s="243">
        <f>LOG10(CI1850)</f>
        <v>-0.56543109596580121</v>
      </c>
      <c r="CK1850" s="38">
        <f t="shared" si="558"/>
        <v>4.2421179103306644E-2</v>
      </c>
      <c r="CL1850" s="247">
        <f>BL1850/CI1850</f>
        <v>7.9318610192787548E-2</v>
      </c>
      <c r="CM1850" s="247"/>
      <c r="CN1850" s="247"/>
      <c r="CO1850" s="36"/>
      <c r="CP1850" s="36" t="s">
        <v>772</v>
      </c>
      <c r="CQ1850" s="241" t="s">
        <v>272</v>
      </c>
      <c r="CR1850" s="241"/>
      <c r="CS1850" s="33"/>
      <c r="CT1850" s="33"/>
      <c r="CU1850" s="250">
        <f>X1850/CI1850</f>
        <v>44.200898331522517</v>
      </c>
      <c r="CV1850" s="337">
        <f t="shared" si="559"/>
        <v>23.639524445664875</v>
      </c>
      <c r="CW1850" s="330">
        <f>IF(CU1850&lt;2,0,1)</f>
        <v>1</v>
      </c>
      <c r="CX1850" s="330"/>
      <c r="CY1850" s="143" t="s">
        <v>5921</v>
      </c>
    </row>
    <row r="1851" spans="1:103" ht="11.25" customHeight="1" x14ac:dyDescent="0.2">
      <c r="A1851" s="72">
        <v>1849</v>
      </c>
      <c r="B1851" s="241">
        <v>2128</v>
      </c>
      <c r="C1851" s="32" t="s">
        <v>1406</v>
      </c>
      <c r="D1851" s="32"/>
      <c r="E1851" s="40"/>
      <c r="F1851" s="40" t="s">
        <v>1407</v>
      </c>
      <c r="G1851" s="242">
        <v>2312358</v>
      </c>
      <c r="H1851" s="41" t="s">
        <v>1408</v>
      </c>
      <c r="I1851" s="41" t="s">
        <v>7902</v>
      </c>
      <c r="J1851" s="41" t="s">
        <v>1409</v>
      </c>
      <c r="K1851" s="41" t="s">
        <v>426</v>
      </c>
      <c r="L1851" s="41" t="s">
        <v>617</v>
      </c>
      <c r="M1851" s="41" t="s">
        <v>1410</v>
      </c>
      <c r="N1851" s="36" t="s">
        <v>6381</v>
      </c>
      <c r="O1851" s="41" t="s">
        <v>918</v>
      </c>
      <c r="P1851" s="41"/>
      <c r="Q1851" s="41"/>
      <c r="R1851" s="41"/>
      <c r="S1851" s="41"/>
      <c r="T1851" s="33">
        <v>350.48</v>
      </c>
      <c r="U1851" s="250">
        <v>6.1346192256113213E-4</v>
      </c>
      <c r="V1851" s="250">
        <v>9.4301937398350781E-4</v>
      </c>
      <c r="W1851" s="250">
        <v>5.3703179637025304E-3</v>
      </c>
      <c r="X1851" s="250">
        <v>6.1346192256113213E-4</v>
      </c>
      <c r="Y1851" s="415">
        <v>7</v>
      </c>
      <c r="Z1851" s="33">
        <v>5.57</v>
      </c>
      <c r="AA1851" s="33">
        <v>5</v>
      </c>
      <c r="AB1851" s="33">
        <v>4.05</v>
      </c>
      <c r="AC1851" s="33">
        <v>0.67020000000000002</v>
      </c>
      <c r="AD1851" s="33">
        <v>4.33</v>
      </c>
      <c r="AE1851" s="33">
        <v>4.8099999999999996</v>
      </c>
      <c r="AF1851" s="33">
        <f t="shared" si="556"/>
        <v>5</v>
      </c>
      <c r="AG1851" s="34">
        <v>4.45</v>
      </c>
      <c r="AH1851" s="250">
        <v>9.1699999999999994E-8</v>
      </c>
      <c r="AI1851" s="250">
        <v>6.4000000000000001E-7</v>
      </c>
      <c r="AJ1851" s="34">
        <f t="shared" si="557"/>
        <v>-5.4261969906426311</v>
      </c>
      <c r="AK1851" s="34">
        <f>LOG10(AI1851*1000/(0.08206*298.15))</f>
        <v>-4.5823863523287649</v>
      </c>
      <c r="AL1851" s="34">
        <f t="shared" si="555"/>
        <v>-4.5823863523287649</v>
      </c>
      <c r="AM1851" s="34">
        <v>-17.54712</v>
      </c>
      <c r="AN1851" s="251">
        <v>-6.2981999999999996E-2</v>
      </c>
      <c r="AO1851" s="417"/>
      <c r="AP1851" s="417"/>
      <c r="AQ1851" s="251" t="s">
        <v>6311</v>
      </c>
      <c r="AR1851" s="251" t="s">
        <v>6311</v>
      </c>
      <c r="AS1851" s="252" t="s">
        <v>5466</v>
      </c>
      <c r="AT1851" s="35" t="s">
        <v>266</v>
      </c>
      <c r="AU1851" s="33">
        <v>5</v>
      </c>
      <c r="AV1851" s="33">
        <v>25</v>
      </c>
      <c r="AW1851" s="33">
        <v>20</v>
      </c>
      <c r="AX1851" s="33">
        <v>28</v>
      </c>
      <c r="AY1851" s="33" t="s">
        <v>267</v>
      </c>
      <c r="AZ1851" s="33" t="s">
        <v>5820</v>
      </c>
      <c r="BA1851" s="33"/>
      <c r="BB1851" s="41" t="s">
        <v>5821</v>
      </c>
      <c r="BC1851" s="41" t="s">
        <v>8377</v>
      </c>
      <c r="BD1851" s="41"/>
      <c r="BE1851" s="33" t="s">
        <v>2449</v>
      </c>
      <c r="BF1851" s="33"/>
      <c r="BG1851" s="33"/>
      <c r="BH1851" s="33" t="s">
        <v>5626</v>
      </c>
      <c r="BI1851" s="250"/>
      <c r="BJ1851" s="250">
        <v>0.05</v>
      </c>
      <c r="BK1851" s="254"/>
      <c r="BL1851" s="250">
        <f t="shared" si="560"/>
        <v>5.1095540785202418E-4</v>
      </c>
      <c r="BM1851" s="33"/>
      <c r="BN1851" s="33" t="s">
        <v>5822</v>
      </c>
      <c r="BO1851" s="33"/>
      <c r="BP1851" s="33"/>
      <c r="BQ1851" s="33"/>
      <c r="BR1851" s="33"/>
      <c r="BS1851" s="33"/>
      <c r="BT1851" s="33"/>
      <c r="BU1851" s="246"/>
      <c r="BV1851" s="33"/>
      <c r="BW1851" s="33"/>
      <c r="BX1851" s="33"/>
      <c r="BY1851" s="33"/>
      <c r="BZ1851" s="33"/>
      <c r="CA1851" s="33"/>
      <c r="CB1851" s="33"/>
      <c r="CC1851" s="33"/>
      <c r="CD1851" s="33"/>
      <c r="CE1851" s="33"/>
      <c r="CF1851" s="33"/>
      <c r="CG1851" s="33"/>
      <c r="CH1851" s="33"/>
      <c r="CI1851" s="250"/>
      <c r="CJ1851" s="243"/>
      <c r="CK1851" s="38">
        <f t="shared" si="558"/>
        <v>1.0219108157040482E-2</v>
      </c>
      <c r="CL1851" s="247"/>
      <c r="CM1851" s="247">
        <v>-3.6876117660825884</v>
      </c>
      <c r="CN1851" s="247">
        <f>BJ1851/(10^CM1851)</f>
        <v>243.54643141577833</v>
      </c>
      <c r="CO1851" s="41"/>
      <c r="CP1851" s="255" t="s">
        <v>8376</v>
      </c>
      <c r="CQ1851" s="241">
        <v>-3.4247893272914851</v>
      </c>
      <c r="CR1851" s="241">
        <f>10^(CJ1851-CQ1851)</f>
        <v>2659.4346767912389</v>
      </c>
      <c r="CS1851" s="33"/>
      <c r="CT1851" s="33"/>
      <c r="CU1851" s="250"/>
      <c r="CV1851" s="337">
        <f t="shared" si="559"/>
        <v>1.2269238451222643E-2</v>
      </c>
      <c r="CW1851" s="330">
        <f>IF(CV1851&lt;1,0,1)</f>
        <v>0</v>
      </c>
      <c r="CX1851" s="330"/>
      <c r="CY1851" s="143" t="s">
        <v>6351</v>
      </c>
    </row>
    <row r="1852" spans="1:103" ht="11.25" customHeight="1" x14ac:dyDescent="0.2">
      <c r="A1852" s="72">
        <v>1850</v>
      </c>
      <c r="B1852" s="241">
        <v>2046</v>
      </c>
      <c r="C1852" s="32" t="s">
        <v>7734</v>
      </c>
      <c r="D1852" s="32"/>
      <c r="E1852" s="40"/>
      <c r="F1852" s="40" t="s">
        <v>5592</v>
      </c>
      <c r="G1852" s="242">
        <v>2440224</v>
      </c>
      <c r="H1852" s="36" t="s">
        <v>5593</v>
      </c>
      <c r="I1852" s="36" t="s">
        <v>5593</v>
      </c>
      <c r="J1852" s="41" t="s">
        <v>5594</v>
      </c>
      <c r="K1852" s="41" t="s">
        <v>3051</v>
      </c>
      <c r="L1852" s="41"/>
      <c r="M1852" s="41"/>
      <c r="N1852" s="36"/>
      <c r="O1852" s="41"/>
      <c r="P1852" s="41"/>
      <c r="Q1852" s="41"/>
      <c r="R1852" s="41"/>
      <c r="S1852" s="41"/>
      <c r="T1852" s="33">
        <v>225.25</v>
      </c>
      <c r="U1852" s="250"/>
      <c r="V1852" s="250">
        <v>0.11360710321864595</v>
      </c>
      <c r="W1852" s="250">
        <v>7.4131024130091636E-2</v>
      </c>
      <c r="X1852" s="250">
        <f>IF(W1852=0,V1852,W1852)</f>
        <v>7.4131024130091636E-2</v>
      </c>
      <c r="Y1852" s="415">
        <v>6.01</v>
      </c>
      <c r="Z1852" s="33">
        <v>3</v>
      </c>
      <c r="AA1852" s="33">
        <v>4.3099999999999996</v>
      </c>
      <c r="AB1852" s="33">
        <v>3.27</v>
      </c>
      <c r="AC1852" s="33">
        <v>0.84440000000000004</v>
      </c>
      <c r="AD1852" s="33">
        <v>3.5</v>
      </c>
      <c r="AE1852" s="33">
        <v>4.3</v>
      </c>
      <c r="AF1852" s="33">
        <f t="shared" si="556"/>
        <v>4.3099999999999996</v>
      </c>
      <c r="AG1852" s="34">
        <v>3.5</v>
      </c>
      <c r="AH1852" s="250">
        <v>6.1199999999999994E-14</v>
      </c>
      <c r="AI1852" s="250"/>
      <c r="AJ1852" s="34">
        <f t="shared" si="557"/>
        <v>-11.601814904167091</v>
      </c>
      <c r="AK1852" s="34"/>
      <c r="AL1852" s="34">
        <f t="shared" si="555"/>
        <v>-11.601814904167091</v>
      </c>
      <c r="AM1852" s="34">
        <v>-12.74907</v>
      </c>
      <c r="AN1852" s="251"/>
      <c r="AO1852" s="417">
        <v>8.15</v>
      </c>
      <c r="AP1852" s="417">
        <v>0.74</v>
      </c>
      <c r="AQ1852" s="251" t="s">
        <v>6311</v>
      </c>
      <c r="AR1852" s="251" t="s">
        <v>6311</v>
      </c>
      <c r="AS1852" s="252" t="s">
        <v>5466</v>
      </c>
      <c r="AT1852" s="35" t="s">
        <v>266</v>
      </c>
      <c r="AU1852" s="33">
        <v>2</v>
      </c>
      <c r="AV1852" s="33">
        <v>144</v>
      </c>
      <c r="AW1852" s="33">
        <v>142</v>
      </c>
      <c r="AX1852" s="33">
        <v>27</v>
      </c>
      <c r="AY1852" s="33"/>
      <c r="AZ1852" s="33" t="s">
        <v>5595</v>
      </c>
      <c r="BA1852" s="33">
        <v>100</v>
      </c>
      <c r="BB1852" s="41" t="s">
        <v>5596</v>
      </c>
      <c r="BC1852" s="41" t="s">
        <v>5597</v>
      </c>
      <c r="BD1852" s="41"/>
      <c r="BE1852" s="33" t="s">
        <v>5598</v>
      </c>
      <c r="BF1852" s="33"/>
      <c r="BG1852" s="33"/>
      <c r="BH1852" s="33" t="s">
        <v>1820</v>
      </c>
      <c r="BI1852" s="250">
        <v>4.4400000000000002E-5</v>
      </c>
      <c r="BJ1852" s="250">
        <v>4.4400000000000004E-3</v>
      </c>
      <c r="BK1852" s="254" t="s">
        <v>5599</v>
      </c>
      <c r="BL1852" s="250">
        <f t="shared" si="560"/>
        <v>0.10387236024226217</v>
      </c>
      <c r="BM1852" s="33"/>
      <c r="BN1852" s="33"/>
      <c r="BO1852" s="33"/>
      <c r="BP1852" s="33"/>
      <c r="BQ1852" s="33"/>
      <c r="BR1852" s="33"/>
      <c r="BS1852" s="33"/>
      <c r="BT1852" s="33" t="s">
        <v>5600</v>
      </c>
      <c r="BU1852" s="246"/>
      <c r="BV1852" s="33"/>
      <c r="BW1852" s="33"/>
      <c r="BX1852" s="33"/>
      <c r="BY1852" s="33"/>
      <c r="BZ1852" s="33"/>
      <c r="CA1852" s="33"/>
      <c r="CB1852" s="33"/>
      <c r="CC1852" s="33"/>
      <c r="CD1852" s="33"/>
      <c r="CE1852" s="33"/>
      <c r="CF1852" s="33"/>
      <c r="CG1852" s="33"/>
      <c r="CH1852" s="33"/>
      <c r="CI1852" s="250"/>
      <c r="CJ1852" s="243"/>
      <c r="CK1852" s="38">
        <f t="shared" si="558"/>
        <v>23.394675730239225</v>
      </c>
      <c r="CL1852" s="247"/>
      <c r="CM1852" s="247"/>
      <c r="CN1852" s="247"/>
      <c r="CO1852" s="41"/>
      <c r="CP1852" s="41" t="s">
        <v>5601</v>
      </c>
      <c r="CQ1852" s="241" t="s">
        <v>272</v>
      </c>
      <c r="CR1852" s="241"/>
      <c r="CS1852" s="33"/>
      <c r="CT1852" s="33" t="s">
        <v>6310</v>
      </c>
      <c r="CU1852" s="250"/>
      <c r="CV1852" s="337">
        <f t="shared" si="559"/>
        <v>16.696176605876492</v>
      </c>
      <c r="CW1852" s="330">
        <f>IF(CV1852&lt;1,0,1)</f>
        <v>1</v>
      </c>
      <c r="CX1852" s="330" t="s">
        <v>539</v>
      </c>
      <c r="CY1852" s="143" t="s">
        <v>6351</v>
      </c>
    </row>
    <row r="1853" spans="1:103" ht="11.25" customHeight="1" x14ac:dyDescent="0.2">
      <c r="A1853" s="72">
        <v>1851</v>
      </c>
      <c r="B1853" s="241">
        <v>677</v>
      </c>
      <c r="C1853" s="32" t="s">
        <v>7735</v>
      </c>
      <c r="D1853" s="32"/>
      <c r="E1853" s="40"/>
      <c r="F1853" s="40" t="s">
        <v>1951</v>
      </c>
      <c r="G1853" s="242">
        <v>2530269</v>
      </c>
      <c r="H1853" s="36" t="s">
        <v>1952</v>
      </c>
      <c r="I1853" s="36" t="s">
        <v>1952</v>
      </c>
      <c r="J1853" s="36" t="s">
        <v>1953</v>
      </c>
      <c r="K1853" s="36" t="s">
        <v>426</v>
      </c>
      <c r="L1853" s="36"/>
      <c r="M1853" s="36"/>
      <c r="N1853" s="36"/>
      <c r="O1853" s="36"/>
      <c r="P1853" s="41"/>
      <c r="Q1853" s="41"/>
      <c r="R1853" s="41"/>
      <c r="S1853" s="41"/>
      <c r="T1853" s="37">
        <v>124.1</v>
      </c>
      <c r="U1853" s="243"/>
      <c r="V1853" s="243">
        <v>97.743755036261078</v>
      </c>
      <c r="W1853" s="243">
        <v>128.82495516931337</v>
      </c>
      <c r="X1853" s="243">
        <f>IF(W1853=0,V1853,W1853)</f>
        <v>128.82495516931337</v>
      </c>
      <c r="Y1853" s="414">
        <v>7.24</v>
      </c>
      <c r="Z1853" s="37">
        <v>0.62</v>
      </c>
      <c r="AA1853" s="37">
        <v>0.6</v>
      </c>
      <c r="AB1853" s="37">
        <v>0.54</v>
      </c>
      <c r="AC1853" s="37">
        <v>0.93789999999999996</v>
      </c>
      <c r="AD1853" s="37">
        <v>0.54</v>
      </c>
      <c r="AE1853" s="37">
        <v>0.56000000000000005</v>
      </c>
      <c r="AF1853" s="37">
        <f t="shared" si="556"/>
        <v>0.6</v>
      </c>
      <c r="AG1853" s="38">
        <v>0.42</v>
      </c>
      <c r="AH1853" s="243">
        <v>2.7800000000000001E-8</v>
      </c>
      <c r="AI1853" s="243"/>
      <c r="AJ1853" s="34">
        <f t="shared" si="557"/>
        <v>-5.9445215303945753</v>
      </c>
      <c r="AK1853" s="34"/>
      <c r="AL1853" s="34">
        <f t="shared" si="555"/>
        <v>-5.9445215303945753</v>
      </c>
      <c r="AM1853" s="34">
        <v>-6.6330599999999995</v>
      </c>
      <c r="AN1853" s="244">
        <v>-5.65</v>
      </c>
      <c r="AO1853" s="417"/>
      <c r="AP1853" s="417">
        <v>1.2</v>
      </c>
      <c r="AQ1853" s="244" t="s">
        <v>6311</v>
      </c>
      <c r="AR1853" s="244" t="s">
        <v>6311</v>
      </c>
      <c r="AS1853" s="241"/>
      <c r="AT1853" s="39" t="s">
        <v>266</v>
      </c>
      <c r="AU1853" s="37">
        <v>2</v>
      </c>
      <c r="AV1853" s="37">
        <v>48</v>
      </c>
      <c r="AW1853" s="37">
        <v>48</v>
      </c>
      <c r="AX1853" s="37">
        <v>26</v>
      </c>
      <c r="AY1853" s="37" t="s">
        <v>647</v>
      </c>
      <c r="AZ1853" s="37" t="s">
        <v>536</v>
      </c>
      <c r="BA1853" s="37">
        <v>10</v>
      </c>
      <c r="BB1853" s="36" t="s">
        <v>1764</v>
      </c>
      <c r="BC1853" s="36" t="s">
        <v>538</v>
      </c>
      <c r="BD1853" s="36"/>
      <c r="BE1853" s="37" t="s">
        <v>271</v>
      </c>
      <c r="BF1853" s="37" t="s">
        <v>272</v>
      </c>
      <c r="BG1853" s="37" t="s">
        <v>272</v>
      </c>
      <c r="BH1853" s="37" t="s">
        <v>272</v>
      </c>
      <c r="BI1853" s="243">
        <v>6.2899999999999998E-2</v>
      </c>
      <c r="BJ1853" s="243">
        <v>80.580200000000005</v>
      </c>
      <c r="BK1853" s="37"/>
      <c r="BL1853" s="243">
        <f t="shared" si="560"/>
        <v>14.255353786098398</v>
      </c>
      <c r="BM1853" s="37" t="s">
        <v>541</v>
      </c>
      <c r="BN1853" s="37"/>
      <c r="BO1853" s="37">
        <v>0.61240934730056407</v>
      </c>
      <c r="BP1853" s="37"/>
      <c r="BQ1853" s="37"/>
      <c r="BR1853" s="37"/>
      <c r="BS1853" s="37"/>
      <c r="BT1853" s="37"/>
      <c r="BU1853" s="246"/>
      <c r="BV1853" s="37"/>
      <c r="BW1853" s="37"/>
      <c r="BX1853" s="37"/>
      <c r="BY1853" s="37"/>
      <c r="BZ1853" s="37"/>
      <c r="CA1853" s="37"/>
      <c r="CB1853" s="37"/>
      <c r="CC1853" s="37"/>
      <c r="CD1853" s="37"/>
      <c r="CE1853" s="37"/>
      <c r="CF1853" s="37"/>
      <c r="CG1853" s="37"/>
      <c r="CH1853" s="37"/>
      <c r="CI1853" s="243">
        <f>MIN(BN1853:CH1853)</f>
        <v>0.61240934730056407</v>
      </c>
      <c r="CJ1853" s="243">
        <f>LOG10(CI1853)</f>
        <v>-0.21295818921793847</v>
      </c>
      <c r="CK1853" s="38">
        <f t="shared" si="558"/>
        <v>0.17690889059717396</v>
      </c>
      <c r="CL1853" s="247">
        <f>BL1853/CI1853</f>
        <v>23.277492169142253</v>
      </c>
      <c r="CM1853" s="247"/>
      <c r="CN1853" s="247"/>
      <c r="CO1853" s="36"/>
      <c r="CP1853" s="36" t="s">
        <v>1921</v>
      </c>
      <c r="CQ1853" s="241" t="s">
        <v>272</v>
      </c>
      <c r="CR1853" s="241"/>
      <c r="CS1853" s="33"/>
      <c r="CT1853" s="33"/>
      <c r="CU1853" s="250">
        <f>X1853/CI1853</f>
        <v>210.35759126989197</v>
      </c>
      <c r="CV1853" s="337">
        <f t="shared" si="559"/>
        <v>1.5987172428129164</v>
      </c>
      <c r="CW1853" s="330">
        <f>IF(CU1853&lt;2,0,1)</f>
        <v>1</v>
      </c>
      <c r="CX1853" s="330"/>
      <c r="CY1853" s="143" t="s">
        <v>5921</v>
      </c>
    </row>
    <row r="1854" spans="1:103" ht="11.25" customHeight="1" x14ac:dyDescent="0.2">
      <c r="A1854" s="72">
        <v>1852</v>
      </c>
      <c r="B1854" s="241">
        <v>2052</v>
      </c>
      <c r="C1854" s="32" t="s">
        <v>7736</v>
      </c>
      <c r="D1854" s="32"/>
      <c r="E1854" s="40"/>
      <c r="F1854" s="40" t="s">
        <v>5628</v>
      </c>
      <c r="G1854" s="242">
        <v>2752650</v>
      </c>
      <c r="H1854" s="41" t="s">
        <v>5629</v>
      </c>
      <c r="I1854" s="41" t="s">
        <v>8239</v>
      </c>
      <c r="J1854" s="41" t="s">
        <v>5630</v>
      </c>
      <c r="K1854" s="41" t="s">
        <v>5631</v>
      </c>
      <c r="L1854" s="41"/>
      <c r="M1854" s="41"/>
      <c r="N1854" s="36"/>
      <c r="O1854" s="41"/>
      <c r="P1854" s="41"/>
      <c r="Q1854" s="41"/>
      <c r="R1854" s="41"/>
      <c r="S1854" s="41"/>
      <c r="T1854" s="33">
        <v>628.77</v>
      </c>
      <c r="U1854" s="250"/>
      <c r="V1854" s="250">
        <v>3.5927286607185457E-10</v>
      </c>
      <c r="W1854" s="250">
        <v>1.9498445997580421E-4</v>
      </c>
      <c r="X1854" s="250">
        <f>IF(W1854=0,V1854,W1854)</f>
        <v>1.9498445997580421E-4</v>
      </c>
      <c r="Y1854" s="415">
        <v>6.54</v>
      </c>
      <c r="Z1854" s="33">
        <v>11.29</v>
      </c>
      <c r="AA1854" s="33"/>
      <c r="AB1854" s="33">
        <v>6.52</v>
      </c>
      <c r="AC1854" s="33">
        <v>0.29349999999999998</v>
      </c>
      <c r="AD1854" s="33">
        <v>8.6</v>
      </c>
      <c r="AE1854" s="33">
        <v>10.3</v>
      </c>
      <c r="AF1854" s="33">
        <f t="shared" si="556"/>
        <v>8.6</v>
      </c>
      <c r="AG1854" s="34">
        <v>8.6</v>
      </c>
      <c r="AH1854" s="250">
        <v>3.3100000000000001E-19</v>
      </c>
      <c r="AI1854" s="250"/>
      <c r="AJ1854" s="34">
        <f t="shared" si="557"/>
        <v>-16.868738332536932</v>
      </c>
      <c r="AK1854" s="34"/>
      <c r="AL1854" s="34">
        <f t="shared" si="555"/>
        <v>-16.868738332536932</v>
      </c>
      <c r="AM1854" s="34">
        <v>-26.646889999999999</v>
      </c>
      <c r="AN1854" s="251"/>
      <c r="AO1854" s="417">
        <v>4.58</v>
      </c>
      <c r="AP1854" s="417"/>
      <c r="AQ1854" s="251" t="s">
        <v>6311</v>
      </c>
      <c r="AR1854" s="251" t="s">
        <v>6311</v>
      </c>
      <c r="AS1854" s="252" t="s">
        <v>5466</v>
      </c>
      <c r="AT1854" s="35" t="s">
        <v>266</v>
      </c>
      <c r="AU1854" s="33">
        <v>72</v>
      </c>
      <c r="AV1854" s="33">
        <v>96</v>
      </c>
      <c r="AW1854" s="33">
        <v>24</v>
      </c>
      <c r="AX1854" s="33">
        <v>28.5</v>
      </c>
      <c r="AY1854" s="33" t="s">
        <v>5624</v>
      </c>
      <c r="AZ1854" s="33" t="s">
        <v>5625</v>
      </c>
      <c r="BA1854" s="33">
        <v>20</v>
      </c>
      <c r="BB1854" s="41" t="s">
        <v>5487</v>
      </c>
      <c r="BC1854" s="41" t="s">
        <v>5506</v>
      </c>
      <c r="BD1854" s="41"/>
      <c r="BE1854" s="33" t="s">
        <v>2449</v>
      </c>
      <c r="BF1854" s="33"/>
      <c r="BG1854" s="33"/>
      <c r="BH1854" s="33" t="s">
        <v>5626</v>
      </c>
      <c r="BI1854" s="250">
        <v>1E-4</v>
      </c>
      <c r="BJ1854" s="250">
        <v>8.0000000000000004E-4</v>
      </c>
      <c r="BK1854" s="254"/>
      <c r="BL1854" s="250">
        <f t="shared" si="560"/>
        <v>3.7260699182208728E-9</v>
      </c>
      <c r="BM1854" s="33"/>
      <c r="BN1854" s="33"/>
      <c r="BO1854" s="33"/>
      <c r="BP1854" s="33"/>
      <c r="BQ1854" s="33"/>
      <c r="BR1854" s="33"/>
      <c r="BS1854" s="33"/>
      <c r="BT1854" s="33"/>
      <c r="BU1854" s="246"/>
      <c r="BV1854" s="33"/>
      <c r="BW1854" s="33"/>
      <c r="BX1854" s="33"/>
      <c r="BY1854" s="33"/>
      <c r="BZ1854" s="33"/>
      <c r="CA1854" s="33"/>
      <c r="CB1854" s="33"/>
      <c r="CC1854" s="33"/>
      <c r="CD1854" s="33">
        <v>3.7599999999999998E-4</v>
      </c>
      <c r="CE1854" s="33"/>
      <c r="CF1854" s="33"/>
      <c r="CG1854" s="33"/>
      <c r="CH1854" s="33"/>
      <c r="CI1854" s="250">
        <f>MIN(BN1854:CH1854)</f>
        <v>3.7599999999999998E-4</v>
      </c>
      <c r="CJ1854" s="243">
        <f>LOG10(CI1854)</f>
        <v>-3.4248121550723392</v>
      </c>
      <c r="CK1854" s="38">
        <f t="shared" si="558"/>
        <v>4.6575873977760906E-6</v>
      </c>
      <c r="CL1854" s="247">
        <f>BL1854/CI1854</f>
        <v>9.909760420800195E-6</v>
      </c>
      <c r="CM1854" s="247"/>
      <c r="CN1854" s="247"/>
      <c r="CO1854" s="41"/>
      <c r="CP1854" s="41" t="s">
        <v>5627</v>
      </c>
      <c r="CQ1854" s="241" t="s">
        <v>272</v>
      </c>
      <c r="CR1854" s="241"/>
      <c r="CS1854" s="33"/>
      <c r="CT1854" s="33"/>
      <c r="CU1854" s="250">
        <f>X1854/CI1854</f>
        <v>0.51857569142501125</v>
      </c>
      <c r="CV1854" s="337">
        <f t="shared" si="559"/>
        <v>0.24373057496975525</v>
      </c>
      <c r="CW1854" s="330">
        <f>IF(CU1854&lt;2,0,1)</f>
        <v>0</v>
      </c>
      <c r="CX1854" s="330"/>
      <c r="CY1854" s="143" t="s">
        <v>5921</v>
      </c>
    </row>
    <row r="1855" spans="1:103" ht="11.25" customHeight="1" x14ac:dyDescent="0.2">
      <c r="A1855" s="72">
        <v>1853</v>
      </c>
      <c r="B1855" s="241">
        <v>847</v>
      </c>
      <c r="C1855" s="32" t="s">
        <v>1036</v>
      </c>
      <c r="D1855" s="32" t="s">
        <v>6644</v>
      </c>
      <c r="E1855" s="40"/>
      <c r="F1855" s="40" t="s">
        <v>4099</v>
      </c>
      <c r="G1855" s="242">
        <v>2921882</v>
      </c>
      <c r="H1855" s="36" t="s">
        <v>1038</v>
      </c>
      <c r="I1855" s="36" t="s">
        <v>7929</v>
      </c>
      <c r="J1855" s="36" t="s">
        <v>1039</v>
      </c>
      <c r="K1855" s="36" t="s">
        <v>1040</v>
      </c>
      <c r="L1855" s="36" t="s">
        <v>617</v>
      </c>
      <c r="M1855" s="36" t="s">
        <v>946</v>
      </c>
      <c r="N1855" s="36" t="s">
        <v>6376</v>
      </c>
      <c r="O1855" s="36" t="s">
        <v>918</v>
      </c>
      <c r="P1855" s="41" t="s">
        <v>6178</v>
      </c>
      <c r="Q1855" s="41" t="s">
        <v>6173</v>
      </c>
      <c r="R1855" s="41" t="s">
        <v>6177</v>
      </c>
      <c r="S1855" s="41" t="s">
        <v>6176</v>
      </c>
      <c r="T1855" s="37">
        <v>350.59</v>
      </c>
      <c r="U1855" s="243">
        <v>3.1946147922074222E-3</v>
      </c>
      <c r="V1855" s="243">
        <v>1.0182834650161157E-3</v>
      </c>
      <c r="W1855" s="243"/>
      <c r="X1855" s="243">
        <v>3.1946147922074222E-3</v>
      </c>
      <c r="Y1855" s="414"/>
      <c r="Z1855" s="37">
        <v>5.1100000000000003</v>
      </c>
      <c r="AA1855" s="37">
        <v>4.96</v>
      </c>
      <c r="AB1855" s="37">
        <v>4.79</v>
      </c>
      <c r="AC1855" s="37">
        <v>0.86860000000000004</v>
      </c>
      <c r="AD1855" s="37">
        <v>4.78</v>
      </c>
      <c r="AE1855" s="37">
        <v>4.7699999999999996</v>
      </c>
      <c r="AF1855" s="37">
        <f t="shared" si="556"/>
        <v>4.96</v>
      </c>
      <c r="AG1855" s="38">
        <v>5.16</v>
      </c>
      <c r="AH1855" s="243">
        <v>2.52E-6</v>
      </c>
      <c r="AI1855" s="243">
        <v>2.9299999999999999E-6</v>
      </c>
      <c r="AJ1855" s="34">
        <f t="shared" si="557"/>
        <v>-3.9871657855311078</v>
      </c>
      <c r="AK1855" s="34">
        <f>LOG10(AI1855*1000/(0.08206*298.15))</f>
        <v>-3.9216987059585424</v>
      </c>
      <c r="AL1855" s="34">
        <f t="shared" si="555"/>
        <v>-3.9216987059585424</v>
      </c>
      <c r="AM1855" s="34">
        <v>-11.220610000000001</v>
      </c>
      <c r="AN1855" s="244">
        <v>-2.64</v>
      </c>
      <c r="AO1855" s="417"/>
      <c r="AP1855" s="417"/>
      <c r="AQ1855" s="244" t="s">
        <v>6312</v>
      </c>
      <c r="AR1855" s="244" t="s">
        <v>6312</v>
      </c>
      <c r="AS1855" s="241" t="s">
        <v>6</v>
      </c>
      <c r="AT1855" s="39" t="s">
        <v>266</v>
      </c>
      <c r="AU1855" s="37">
        <v>2</v>
      </c>
      <c r="AV1855" s="37">
        <v>48</v>
      </c>
      <c r="AW1855" s="37">
        <v>48</v>
      </c>
      <c r="AX1855" s="37">
        <v>26</v>
      </c>
      <c r="AY1855" s="37" t="s">
        <v>647</v>
      </c>
      <c r="AZ1855" s="37" t="s">
        <v>1920</v>
      </c>
      <c r="BA1855" s="37">
        <v>10</v>
      </c>
      <c r="BB1855" s="36" t="s">
        <v>1613</v>
      </c>
      <c r="BC1855" s="36" t="s">
        <v>538</v>
      </c>
      <c r="BD1855" s="36"/>
      <c r="BE1855" s="37" t="s">
        <v>271</v>
      </c>
      <c r="BF1855" s="37" t="s">
        <v>272</v>
      </c>
      <c r="BG1855" s="37" t="s">
        <v>272</v>
      </c>
      <c r="BH1855" s="37" t="s">
        <v>4089</v>
      </c>
      <c r="BI1855" s="243">
        <v>5.7046692717989679E-6</v>
      </c>
      <c r="BJ1855" s="243">
        <v>5.7046692717989678E-3</v>
      </c>
      <c r="BK1855" s="37"/>
      <c r="BL1855" s="243">
        <f t="shared" si="560"/>
        <v>1.3228451213969966E-3</v>
      </c>
      <c r="BM1855" s="37" t="s">
        <v>541</v>
      </c>
      <c r="BN1855" s="37"/>
      <c r="BO1855" s="37"/>
      <c r="BP1855" s="37"/>
      <c r="BQ1855" s="37"/>
      <c r="BR1855" s="37"/>
      <c r="BS1855" s="37"/>
      <c r="BT1855" s="37"/>
      <c r="BU1855" s="246"/>
      <c r="BV1855" s="37"/>
      <c r="BW1855" s="37"/>
      <c r="BX1855" s="37"/>
      <c r="BY1855" s="37"/>
      <c r="BZ1855" s="37"/>
      <c r="CA1855" s="37"/>
      <c r="CB1855" s="37"/>
      <c r="CC1855" s="37"/>
      <c r="CD1855" s="37"/>
      <c r="CE1855" s="37"/>
      <c r="CF1855" s="37"/>
      <c r="CG1855" s="37"/>
      <c r="CH1855" s="37"/>
      <c r="CI1855" s="243"/>
      <c r="CJ1855" s="243"/>
      <c r="CK1855" s="38">
        <f t="shared" si="558"/>
        <v>0.23188813555528651</v>
      </c>
      <c r="CL1855" s="247"/>
      <c r="CM1855" s="247">
        <v>-4.7871813037708</v>
      </c>
      <c r="CN1855" s="247">
        <f>BJ1855/(10^CM1855)</f>
        <v>349.47150882426899</v>
      </c>
      <c r="CO1855" s="36" t="s">
        <v>4073</v>
      </c>
      <c r="CP1855" s="36" t="s">
        <v>4100</v>
      </c>
      <c r="CQ1855" s="241">
        <v>-4.1215484689214863</v>
      </c>
      <c r="CR1855" s="241">
        <f>10^(CJ1855-CQ1855)</f>
        <v>13229.653477525637</v>
      </c>
      <c r="CS1855" s="33"/>
      <c r="CT1855" s="33"/>
      <c r="CU1855" s="250"/>
      <c r="CV1855" s="337">
        <f t="shared" si="559"/>
        <v>0.56000000000000005</v>
      </c>
      <c r="CW1855" s="330">
        <f>IF(CV1855&lt;1,0,1)</f>
        <v>0</v>
      </c>
      <c r="CX1855" s="330"/>
      <c r="CY1855" s="143" t="s">
        <v>5921</v>
      </c>
    </row>
    <row r="1856" spans="1:103" ht="11.25" customHeight="1" x14ac:dyDescent="0.2">
      <c r="A1856" s="72">
        <v>1854</v>
      </c>
      <c r="B1856" s="241">
        <v>95</v>
      </c>
      <c r="C1856" s="32" t="s">
        <v>638</v>
      </c>
      <c r="D1856" s="32"/>
      <c r="E1856" s="40"/>
      <c r="F1856" s="40" t="s">
        <v>639</v>
      </c>
      <c r="G1856" s="242">
        <v>3778732</v>
      </c>
      <c r="H1856" s="36" t="s">
        <v>640</v>
      </c>
      <c r="I1856" s="36" t="s">
        <v>8240</v>
      </c>
      <c r="J1856" s="36" t="s">
        <v>641</v>
      </c>
      <c r="K1856" s="36" t="s">
        <v>637</v>
      </c>
      <c r="L1856" s="42" t="s">
        <v>279</v>
      </c>
      <c r="M1856" s="36" t="s">
        <v>642</v>
      </c>
      <c r="N1856" s="36"/>
      <c r="O1856" s="36" t="s">
        <v>281</v>
      </c>
      <c r="P1856" s="41"/>
      <c r="Q1856" s="41"/>
      <c r="R1856" s="41"/>
      <c r="S1856" s="41"/>
      <c r="T1856" s="37">
        <v>261.08999999999997</v>
      </c>
      <c r="U1856" s="243"/>
      <c r="V1856" s="243">
        <v>14.481596384388526</v>
      </c>
      <c r="W1856" s="243">
        <v>154.88166189124809</v>
      </c>
      <c r="X1856" s="243">
        <f t="shared" ref="X1856:X1866" si="561">IF(W1856=0,V1856,W1856)</f>
        <v>154.88166189124809</v>
      </c>
      <c r="Y1856" s="414">
        <v>7.36</v>
      </c>
      <c r="Z1856" s="37">
        <v>0.97</v>
      </c>
      <c r="AA1856" s="37">
        <v>0.86</v>
      </c>
      <c r="AB1856" s="37">
        <v>0.9</v>
      </c>
      <c r="AC1856" s="37">
        <v>0.74919999999999998</v>
      </c>
      <c r="AD1856" s="37">
        <v>0.68</v>
      </c>
      <c r="AE1856" s="37">
        <v>0.23</v>
      </c>
      <c r="AF1856" s="37">
        <f t="shared" si="556"/>
        <v>0.86</v>
      </c>
      <c r="AG1856" s="38">
        <v>0.61</v>
      </c>
      <c r="AH1856" s="243">
        <v>1.36E-11</v>
      </c>
      <c r="AI1856" s="243"/>
      <c r="AJ1856" s="34">
        <f t="shared" si="557"/>
        <v>-9.2550274179424346</v>
      </c>
      <c r="AK1856" s="34"/>
      <c r="AL1856" s="34">
        <f t="shared" si="555"/>
        <v>-9.2550274179424346</v>
      </c>
      <c r="AM1856" s="34">
        <v>-13.003439999999999</v>
      </c>
      <c r="AN1856" s="244">
        <v>-8.18</v>
      </c>
      <c r="AO1856" s="417"/>
      <c r="AP1856" s="417">
        <v>1.44</v>
      </c>
      <c r="AQ1856" s="244" t="s">
        <v>6311</v>
      </c>
      <c r="AR1856" s="244" t="s">
        <v>6311</v>
      </c>
      <c r="AS1856" s="241" t="s">
        <v>90</v>
      </c>
      <c r="AT1856" s="39" t="s">
        <v>266</v>
      </c>
      <c r="AU1856" s="37">
        <v>0</v>
      </c>
      <c r="AV1856" s="37">
        <v>48</v>
      </c>
      <c r="AW1856" s="37">
        <v>48</v>
      </c>
      <c r="AX1856" s="37">
        <v>26</v>
      </c>
      <c r="AY1856" s="37" t="s">
        <v>8722</v>
      </c>
      <c r="AZ1856" s="37" t="s">
        <v>536</v>
      </c>
      <c r="BA1856" s="37">
        <v>20</v>
      </c>
      <c r="BB1856" s="36" t="s">
        <v>537</v>
      </c>
      <c r="BC1856" s="36" t="s">
        <v>538</v>
      </c>
      <c r="BD1856" s="36"/>
      <c r="BE1856" s="245" t="s">
        <v>271</v>
      </c>
      <c r="BF1856" s="245" t="s">
        <v>539</v>
      </c>
      <c r="BG1856" s="245" t="s">
        <v>540</v>
      </c>
      <c r="BH1856" s="245" t="s">
        <v>272</v>
      </c>
      <c r="BI1856" s="243">
        <v>4.7873999999999999</v>
      </c>
      <c r="BJ1856" s="243">
        <v>76.599999999999994</v>
      </c>
      <c r="BK1856" s="37"/>
      <c r="BL1856" s="243">
        <f t="shared" si="560"/>
        <v>6.912625037115304</v>
      </c>
      <c r="BM1856" s="37" t="s">
        <v>541</v>
      </c>
      <c r="BN1856" s="37"/>
      <c r="BO1856" s="37">
        <v>54.163699999999999</v>
      </c>
      <c r="BP1856" s="37"/>
      <c r="BQ1856" s="37"/>
      <c r="BR1856" s="37"/>
      <c r="BS1856" s="37"/>
      <c r="BT1856" s="37"/>
      <c r="BU1856" s="246"/>
      <c r="BV1856" s="37"/>
      <c r="BW1856" s="37"/>
      <c r="BX1856" s="37"/>
      <c r="BY1856" s="37"/>
      <c r="BZ1856" s="37"/>
      <c r="CA1856" s="37"/>
      <c r="CB1856" s="37"/>
      <c r="CC1856" s="37"/>
      <c r="CD1856" s="37"/>
      <c r="CE1856" s="37"/>
      <c r="CF1856" s="37"/>
      <c r="CG1856" s="37"/>
      <c r="CH1856" s="37"/>
      <c r="CI1856" s="243">
        <f>MIN(BN1856:CH1856)</f>
        <v>54.163699999999999</v>
      </c>
      <c r="CJ1856" s="243">
        <f>LOG10(CI1856)</f>
        <v>1.733708323969136</v>
      </c>
      <c r="CK1856" s="38">
        <f t="shared" si="558"/>
        <v>9.0243146698633217E-2</v>
      </c>
      <c r="CL1856" s="247">
        <f>BL1856/CI1856</f>
        <v>0.12762468289860746</v>
      </c>
      <c r="CM1856" s="247"/>
      <c r="CN1856" s="247"/>
      <c r="CO1856" s="36"/>
      <c r="CP1856" s="36" t="s">
        <v>542</v>
      </c>
      <c r="CQ1856" s="241" t="s">
        <v>272</v>
      </c>
      <c r="CR1856" s="241"/>
      <c r="CS1856" s="33"/>
      <c r="CT1856" s="33"/>
      <c r="CU1856" s="250">
        <f>X1856/CI1856</f>
        <v>2.8595103711756784</v>
      </c>
      <c r="CV1856" s="337">
        <f t="shared" si="559"/>
        <v>2.0219538105907064</v>
      </c>
      <c r="CW1856" s="330">
        <f>IF(CU1856&lt;2,0,1)</f>
        <v>1</v>
      </c>
      <c r="CX1856" s="330"/>
      <c r="CY1856" s="143" t="s">
        <v>5921</v>
      </c>
    </row>
    <row r="1857" spans="1:103" ht="11.25" customHeight="1" x14ac:dyDescent="0.2">
      <c r="A1857" s="72">
        <v>1855</v>
      </c>
      <c r="B1857" s="241">
        <v>719</v>
      </c>
      <c r="C1857" s="32" t="s">
        <v>638</v>
      </c>
      <c r="D1857" s="32"/>
      <c r="E1857" s="40"/>
      <c r="F1857" s="40" t="s">
        <v>639</v>
      </c>
      <c r="G1857" s="242">
        <v>3778732</v>
      </c>
      <c r="H1857" s="36" t="s">
        <v>640</v>
      </c>
      <c r="I1857" s="36" t="s">
        <v>8240</v>
      </c>
      <c r="J1857" s="36" t="s">
        <v>641</v>
      </c>
      <c r="K1857" s="36" t="s">
        <v>637</v>
      </c>
      <c r="L1857" s="42" t="s">
        <v>279</v>
      </c>
      <c r="M1857" s="36" t="s">
        <v>642</v>
      </c>
      <c r="N1857" s="36"/>
      <c r="O1857" s="36" t="s">
        <v>281</v>
      </c>
      <c r="P1857" s="41"/>
      <c r="Q1857" s="41"/>
      <c r="R1857" s="41"/>
      <c r="S1857" s="41"/>
      <c r="T1857" s="37">
        <v>261.08999999999997</v>
      </c>
      <c r="U1857" s="243"/>
      <c r="V1857" s="243">
        <v>14.481596384388526</v>
      </c>
      <c r="W1857" s="243">
        <v>154.88166189124809</v>
      </c>
      <c r="X1857" s="243">
        <f t="shared" si="561"/>
        <v>154.88166189124809</v>
      </c>
      <c r="Y1857" s="414">
        <v>7.36</v>
      </c>
      <c r="Z1857" s="37">
        <v>0.97</v>
      </c>
      <c r="AA1857" s="37">
        <v>0.86</v>
      </c>
      <c r="AB1857" s="37">
        <v>0.9</v>
      </c>
      <c r="AC1857" s="37">
        <v>0.74919999999999998</v>
      </c>
      <c r="AD1857" s="37">
        <v>0.68</v>
      </c>
      <c r="AE1857" s="37">
        <v>0.23</v>
      </c>
      <c r="AF1857" s="37">
        <f t="shared" si="556"/>
        <v>0.86</v>
      </c>
      <c r="AG1857" s="38">
        <v>0.61</v>
      </c>
      <c r="AH1857" s="243">
        <v>1.36E-11</v>
      </c>
      <c r="AI1857" s="243"/>
      <c r="AJ1857" s="34">
        <f t="shared" si="557"/>
        <v>-9.2550274179424346</v>
      </c>
      <c r="AK1857" s="34"/>
      <c r="AL1857" s="34">
        <f t="shared" si="555"/>
        <v>-9.2550274179424346</v>
      </c>
      <c r="AM1857" s="34">
        <v>-13.003439999999999</v>
      </c>
      <c r="AN1857" s="244">
        <v>-8.18</v>
      </c>
      <c r="AO1857" s="417"/>
      <c r="AP1857" s="417">
        <v>1.44</v>
      </c>
      <c r="AQ1857" s="244" t="s">
        <v>6311</v>
      </c>
      <c r="AR1857" s="244" t="s">
        <v>6311</v>
      </c>
      <c r="AS1857" s="241" t="s">
        <v>6</v>
      </c>
      <c r="AT1857" s="39" t="s">
        <v>266</v>
      </c>
      <c r="AU1857" s="37">
        <v>2</v>
      </c>
      <c r="AV1857" s="37">
        <v>72</v>
      </c>
      <c r="AW1857" s="37">
        <v>72</v>
      </c>
      <c r="AX1857" s="37">
        <v>26</v>
      </c>
      <c r="AY1857" s="37" t="s">
        <v>647</v>
      </c>
      <c r="AZ1857" s="37" t="s">
        <v>536</v>
      </c>
      <c r="BA1857" s="37" t="s">
        <v>8723</v>
      </c>
      <c r="BB1857" s="36" t="s">
        <v>1644</v>
      </c>
      <c r="BC1857" s="36" t="s">
        <v>2019</v>
      </c>
      <c r="BD1857" s="36" t="s">
        <v>8374</v>
      </c>
      <c r="BE1857" s="37" t="s">
        <v>649</v>
      </c>
      <c r="BF1857" s="37" t="s">
        <v>272</v>
      </c>
      <c r="BG1857" s="37" t="s">
        <v>272</v>
      </c>
      <c r="BH1857" s="37" t="s">
        <v>272</v>
      </c>
      <c r="BI1857" s="243">
        <v>0.25</v>
      </c>
      <c r="BJ1857" s="243">
        <v>4</v>
      </c>
      <c r="BK1857" s="37"/>
      <c r="BL1857" s="243">
        <f t="shared" si="560"/>
        <v>6.912625037115304</v>
      </c>
      <c r="BM1857" s="37" t="s">
        <v>541</v>
      </c>
      <c r="BN1857" s="37"/>
      <c r="BO1857" s="37"/>
      <c r="BP1857" s="37">
        <v>3.2</v>
      </c>
      <c r="BQ1857" s="37"/>
      <c r="BR1857" s="37"/>
      <c r="BS1857" s="37"/>
      <c r="BT1857" s="37"/>
      <c r="BU1857" s="246"/>
      <c r="BV1857" s="37"/>
      <c r="BW1857" s="37"/>
      <c r="BX1857" s="37"/>
      <c r="BY1857" s="37"/>
      <c r="BZ1857" s="37"/>
      <c r="CA1857" s="37"/>
      <c r="CB1857" s="37"/>
      <c r="CC1857" s="37"/>
      <c r="CD1857" s="37"/>
      <c r="CE1857" s="37"/>
      <c r="CF1857" s="37"/>
      <c r="CG1857" s="37"/>
      <c r="CH1857" s="37"/>
      <c r="CI1857" s="243">
        <f>MIN(BN1857:CH1857)</f>
        <v>3.2</v>
      </c>
      <c r="CJ1857" s="243">
        <f>LOG10(CI1857)</f>
        <v>0.50514997831990605</v>
      </c>
      <c r="CK1857" s="38">
        <f t="shared" si="558"/>
        <v>1.728156259278826</v>
      </c>
      <c r="CL1857" s="247">
        <f>BL1857/CI1857</f>
        <v>2.1601953240985323</v>
      </c>
      <c r="CM1857" s="247"/>
      <c r="CN1857" s="247"/>
      <c r="CO1857" s="36"/>
      <c r="CP1857" s="36" t="s">
        <v>2021</v>
      </c>
      <c r="CQ1857" s="241" t="s">
        <v>272</v>
      </c>
      <c r="CR1857" s="241"/>
      <c r="CS1857" s="33"/>
      <c r="CT1857" s="33"/>
      <c r="CU1857" s="250">
        <f>X1857/CI1857</f>
        <v>48.400519341015027</v>
      </c>
      <c r="CV1857" s="337">
        <f t="shared" si="559"/>
        <v>38.720415472812022</v>
      </c>
      <c r="CW1857" s="330">
        <f>IF(CU1857&lt;2,0,1)</f>
        <v>1</v>
      </c>
      <c r="CX1857" s="330"/>
      <c r="CY1857" s="143" t="s">
        <v>5921</v>
      </c>
    </row>
    <row r="1858" spans="1:103" ht="11.25" customHeight="1" x14ac:dyDescent="0.2">
      <c r="A1858" s="72">
        <v>1856</v>
      </c>
      <c r="B1858" s="241">
        <v>2047</v>
      </c>
      <c r="C1858" s="32" t="s">
        <v>5602</v>
      </c>
      <c r="D1858" s="32"/>
      <c r="E1858" s="40"/>
      <c r="F1858" s="40" t="s">
        <v>5603</v>
      </c>
      <c r="G1858" s="242">
        <v>3896115</v>
      </c>
      <c r="H1858" s="36" t="s">
        <v>5604</v>
      </c>
      <c r="I1858" s="36" t="s">
        <v>8241</v>
      </c>
      <c r="J1858" s="41" t="s">
        <v>5605</v>
      </c>
      <c r="K1858" s="41" t="s">
        <v>3051</v>
      </c>
      <c r="L1858" s="41"/>
      <c r="M1858" s="41"/>
      <c r="N1858" s="36"/>
      <c r="O1858" s="41"/>
      <c r="P1858" s="41"/>
      <c r="Q1858" s="41"/>
      <c r="R1858" s="41"/>
      <c r="S1858" s="41"/>
      <c r="T1858" s="33">
        <v>315.8</v>
      </c>
      <c r="U1858" s="250"/>
      <c r="V1858" s="250">
        <v>2.1652944901836605E-3</v>
      </c>
      <c r="W1858" s="250">
        <v>1.4791083881682055E-3</v>
      </c>
      <c r="X1858" s="250">
        <f t="shared" si="561"/>
        <v>1.4791083881682055E-3</v>
      </c>
      <c r="Y1858" s="415">
        <v>6.97</v>
      </c>
      <c r="Z1858" s="33">
        <v>5.55</v>
      </c>
      <c r="AA1858" s="33"/>
      <c r="AB1858" s="33">
        <v>4.47</v>
      </c>
      <c r="AC1858" s="33">
        <v>0.58909999999999996</v>
      </c>
      <c r="AD1858" s="33">
        <v>5.38</v>
      </c>
      <c r="AE1858" s="33">
        <v>6.58</v>
      </c>
      <c r="AF1858" s="33">
        <f t="shared" si="556"/>
        <v>5.38</v>
      </c>
      <c r="AG1858" s="34">
        <v>5.38</v>
      </c>
      <c r="AH1858" s="250">
        <v>1.1700000000000001E-13</v>
      </c>
      <c r="AI1858" s="250"/>
      <c r="AJ1858" s="34">
        <f t="shared" si="557"/>
        <v>-11.32038046456649</v>
      </c>
      <c r="AK1858" s="34"/>
      <c r="AL1858" s="34">
        <f t="shared" si="555"/>
        <v>-11.32038046456649</v>
      </c>
      <c r="AM1858" s="34">
        <v>-13.510029999999997</v>
      </c>
      <c r="AN1858" s="251"/>
      <c r="AO1858" s="417">
        <v>9.31</v>
      </c>
      <c r="AP1858" s="417">
        <v>-0.76</v>
      </c>
      <c r="AQ1858" s="251" t="s">
        <v>5921</v>
      </c>
      <c r="AR1858" s="251" t="s">
        <v>5921</v>
      </c>
      <c r="AS1858" s="252" t="s">
        <v>5466</v>
      </c>
      <c r="AT1858" s="35" t="s">
        <v>266</v>
      </c>
      <c r="AU1858" s="33">
        <v>2</v>
      </c>
      <c r="AV1858" s="33">
        <v>144</v>
      </c>
      <c r="AW1858" s="33">
        <v>142</v>
      </c>
      <c r="AX1858" s="33">
        <v>27</v>
      </c>
      <c r="AY1858" s="33"/>
      <c r="AZ1858" s="33" t="s">
        <v>5595</v>
      </c>
      <c r="BA1858" s="33">
        <v>100</v>
      </c>
      <c r="BB1858" s="41" t="s">
        <v>5596</v>
      </c>
      <c r="BC1858" s="41" t="s">
        <v>5597</v>
      </c>
      <c r="BD1858" s="41"/>
      <c r="BE1858" s="33" t="s">
        <v>5598</v>
      </c>
      <c r="BF1858" s="33"/>
      <c r="BG1858" s="33"/>
      <c r="BH1858" s="33" t="s">
        <v>1820</v>
      </c>
      <c r="BI1858" s="250">
        <v>3.1699999999999998E-5</v>
      </c>
      <c r="BJ1858" s="250">
        <v>1.58E-3</v>
      </c>
      <c r="BK1858" s="254" t="s">
        <v>5599</v>
      </c>
      <c r="BL1858" s="250">
        <f t="shared" si="560"/>
        <v>5.3253112967520876E-4</v>
      </c>
      <c r="BM1858" s="33"/>
      <c r="BN1858" s="33"/>
      <c r="BO1858" s="33"/>
      <c r="BP1858" s="33"/>
      <c r="BQ1858" s="33"/>
      <c r="BR1858" s="33"/>
      <c r="BS1858" s="33"/>
      <c r="BT1858" s="33" t="s">
        <v>5606</v>
      </c>
      <c r="BU1858" s="246"/>
      <c r="BV1858" s="33"/>
      <c r="BW1858" s="33"/>
      <c r="BX1858" s="33"/>
      <c r="BY1858" s="33"/>
      <c r="BZ1858" s="33"/>
      <c r="CA1858" s="33"/>
      <c r="CB1858" s="33"/>
      <c r="CC1858" s="33"/>
      <c r="CD1858" s="33"/>
      <c r="CE1858" s="33"/>
      <c r="CF1858" s="33"/>
      <c r="CG1858" s="33"/>
      <c r="CH1858" s="33"/>
      <c r="CI1858" s="250"/>
      <c r="CJ1858" s="243"/>
      <c r="CK1858" s="38">
        <f t="shared" si="558"/>
        <v>0.33704501878177767</v>
      </c>
      <c r="CL1858" s="247"/>
      <c r="CM1858" s="247"/>
      <c r="CN1858" s="247"/>
      <c r="CO1858" s="41"/>
      <c r="CP1858" s="41" t="s">
        <v>5601</v>
      </c>
      <c r="CQ1858" s="241" t="s">
        <v>272</v>
      </c>
      <c r="CR1858" s="241"/>
      <c r="CS1858" s="33"/>
      <c r="CT1858" s="33" t="s">
        <v>6310</v>
      </c>
      <c r="CU1858" s="250"/>
      <c r="CV1858" s="337">
        <f t="shared" si="559"/>
        <v>0.93614454947354775</v>
      </c>
      <c r="CW1858" s="330">
        <f>IF(CV1858&lt;1,0,1)</f>
        <v>0</v>
      </c>
      <c r="CX1858" s="330" t="s">
        <v>539</v>
      </c>
      <c r="CY1858" s="143" t="s">
        <v>6351</v>
      </c>
    </row>
    <row r="1859" spans="1:103" ht="11.25" customHeight="1" x14ac:dyDescent="0.2">
      <c r="A1859" s="72">
        <v>1857</v>
      </c>
      <c r="B1859" s="241">
        <v>817</v>
      </c>
      <c r="C1859" s="32" t="s">
        <v>2325</v>
      </c>
      <c r="D1859" s="32"/>
      <c r="E1859" s="40"/>
      <c r="F1859" s="40" t="s">
        <v>2326</v>
      </c>
      <c r="G1859" s="242">
        <v>4016222</v>
      </c>
      <c r="H1859" s="36" t="s">
        <v>2327</v>
      </c>
      <c r="I1859" s="36" t="s">
        <v>2327</v>
      </c>
      <c r="J1859" s="36"/>
      <c r="K1859" s="36" t="s">
        <v>357</v>
      </c>
      <c r="L1859" s="36"/>
      <c r="M1859" s="36"/>
      <c r="N1859" s="36"/>
      <c r="O1859" s="36"/>
      <c r="P1859" s="41"/>
      <c r="Q1859" s="41"/>
      <c r="R1859" s="41"/>
      <c r="S1859" s="41"/>
      <c r="T1859" s="37">
        <v>322.45999999999998</v>
      </c>
      <c r="U1859" s="243"/>
      <c r="V1859" s="243">
        <v>8.5560999813930419E-5</v>
      </c>
      <c r="W1859" s="243"/>
      <c r="X1859" s="243">
        <f t="shared" si="561"/>
        <v>8.5560999813930419E-5</v>
      </c>
      <c r="Y1859" s="414"/>
      <c r="Z1859" s="37">
        <v>5.23</v>
      </c>
      <c r="AA1859" s="37"/>
      <c r="AB1859" s="37">
        <v>2.76</v>
      </c>
      <c r="AC1859" s="37">
        <v>0.38719999999999999</v>
      </c>
      <c r="AD1859" s="37">
        <v>3.77</v>
      </c>
      <c r="AE1859" s="37">
        <v>4.4000000000000004</v>
      </c>
      <c r="AF1859" s="37">
        <f t="shared" si="556"/>
        <v>3.77</v>
      </c>
      <c r="AG1859" s="38">
        <v>3.77</v>
      </c>
      <c r="AH1859" s="243">
        <v>8.98E-10</v>
      </c>
      <c r="AI1859" s="243"/>
      <c r="AJ1859" s="34">
        <f t="shared" si="557"/>
        <v>-7.435289989645347</v>
      </c>
      <c r="AK1859" s="34"/>
      <c r="AL1859" s="34">
        <f t="shared" si="555"/>
        <v>-7.435289989645347</v>
      </c>
      <c r="AM1859" s="34">
        <v>-12.953199999999999</v>
      </c>
      <c r="AN1859" s="244"/>
      <c r="AO1859" s="417"/>
      <c r="AP1859" s="417"/>
      <c r="AQ1859" s="244" t="s">
        <v>6311</v>
      </c>
      <c r="AR1859" s="244" t="s">
        <v>6312</v>
      </c>
      <c r="AS1859" s="241" t="s">
        <v>6</v>
      </c>
      <c r="AT1859" s="39" t="s">
        <v>266</v>
      </c>
      <c r="AU1859" s="245"/>
      <c r="AV1859" s="245">
        <v>0</v>
      </c>
      <c r="AW1859" s="37">
        <v>48</v>
      </c>
      <c r="AX1859" s="37">
        <v>25</v>
      </c>
      <c r="AY1859" s="37" t="s">
        <v>8722</v>
      </c>
      <c r="AZ1859" s="37" t="s">
        <v>2263</v>
      </c>
      <c r="BA1859" s="37">
        <v>20</v>
      </c>
      <c r="BB1859" s="36" t="s">
        <v>1764</v>
      </c>
      <c r="BC1859" s="36" t="s">
        <v>2264</v>
      </c>
      <c r="BD1859" s="36"/>
      <c r="BE1859" s="37" t="s">
        <v>2265</v>
      </c>
      <c r="BF1859" s="37" t="s">
        <v>2266</v>
      </c>
      <c r="BG1859" s="37" t="s">
        <v>2266</v>
      </c>
      <c r="BH1859" s="37" t="s">
        <v>272</v>
      </c>
      <c r="BI1859" s="243" t="s">
        <v>8722</v>
      </c>
      <c r="BJ1859" s="243" t="s">
        <v>8722</v>
      </c>
      <c r="BK1859" s="37" t="s">
        <v>2267</v>
      </c>
      <c r="BL1859" s="243">
        <f t="shared" si="560"/>
        <v>1.0321361755663079E-3</v>
      </c>
      <c r="BM1859" s="37" t="s">
        <v>1584</v>
      </c>
      <c r="BN1859" s="37"/>
      <c r="BO1859" s="37">
        <v>1.7366495069155864E-2</v>
      </c>
      <c r="BP1859" s="37"/>
      <c r="BQ1859" s="37"/>
      <c r="BR1859" s="37"/>
      <c r="BS1859" s="37"/>
      <c r="BT1859" s="37"/>
      <c r="BU1859" s="246"/>
      <c r="BV1859" s="37"/>
      <c r="BW1859" s="37"/>
      <c r="BX1859" s="37"/>
      <c r="BY1859" s="37"/>
      <c r="BZ1859" s="37"/>
      <c r="CA1859" s="37"/>
      <c r="CB1859" s="37"/>
      <c r="CC1859" s="37"/>
      <c r="CD1859" s="37"/>
      <c r="CE1859" s="37"/>
      <c r="CF1859" s="37"/>
      <c r="CG1859" s="37"/>
      <c r="CH1859" s="37"/>
      <c r="CI1859" s="243">
        <f t="shared" ref="CI1859:CI1871" si="562">MIN(BN1859:CH1859)</f>
        <v>1.7366495069155864E-2</v>
      </c>
      <c r="CJ1859" s="243">
        <f t="shared" ref="CJ1859:CJ1871" si="563">LOG10(CI1859)</f>
        <v>-1.7602878226420322</v>
      </c>
      <c r="CK1859" s="38" t="s">
        <v>404</v>
      </c>
      <c r="CL1859" s="247">
        <f t="shared" ref="CL1859:CL1871" si="564">BL1859/CI1859</f>
        <v>5.9432612709484224E-2</v>
      </c>
      <c r="CM1859" s="247"/>
      <c r="CN1859" s="247"/>
      <c r="CO1859" s="36"/>
      <c r="CP1859" s="36" t="s">
        <v>2268</v>
      </c>
      <c r="CQ1859" s="241" t="s">
        <v>272</v>
      </c>
      <c r="CR1859" s="241"/>
      <c r="CS1859" s="33"/>
      <c r="CT1859" s="33" t="s">
        <v>6310</v>
      </c>
      <c r="CU1859" s="250">
        <f t="shared" ref="CU1859:CU1871" si="565">X1859/CI1859</f>
        <v>4.9267857142857151E-3</v>
      </c>
      <c r="CV1859" s="337"/>
      <c r="CW1859" s="330">
        <f t="shared" ref="CW1859:CW1871" si="566">IF(CU1859&lt;2,0,1)</f>
        <v>0</v>
      </c>
      <c r="CX1859" s="330" t="s">
        <v>539</v>
      </c>
      <c r="CY1859" s="143" t="s">
        <v>5921</v>
      </c>
    </row>
    <row r="1860" spans="1:103" ht="11.25" customHeight="1" x14ac:dyDescent="0.2">
      <c r="A1860" s="72">
        <v>1858</v>
      </c>
      <c r="B1860" s="241">
        <v>679</v>
      </c>
      <c r="C1860" s="32" t="s">
        <v>1959</v>
      </c>
      <c r="D1860" s="32"/>
      <c r="E1860" s="40"/>
      <c r="F1860" s="40" t="s">
        <v>1960</v>
      </c>
      <c r="G1860" s="242">
        <v>4214760</v>
      </c>
      <c r="H1860" s="36" t="s">
        <v>1961</v>
      </c>
      <c r="I1860" s="36" t="s">
        <v>8242</v>
      </c>
      <c r="J1860" s="36" t="s">
        <v>1962</v>
      </c>
      <c r="K1860" s="36" t="s">
        <v>1573</v>
      </c>
      <c r="L1860" s="36"/>
      <c r="M1860" s="36"/>
      <c r="N1860" s="36"/>
      <c r="O1860" s="36"/>
      <c r="P1860" s="41"/>
      <c r="Q1860" s="41"/>
      <c r="R1860" s="41"/>
      <c r="S1860" s="41"/>
      <c r="T1860" s="37">
        <v>139.11000000000001</v>
      </c>
      <c r="U1860" s="243"/>
      <c r="V1860" s="243">
        <v>169.0748328660772</v>
      </c>
      <c r="W1860" s="243">
        <v>46.773514128719789</v>
      </c>
      <c r="X1860" s="243">
        <f t="shared" si="561"/>
        <v>46.773514128719789</v>
      </c>
      <c r="Y1860" s="414">
        <v>7.75</v>
      </c>
      <c r="Z1860" s="37">
        <v>0.93</v>
      </c>
      <c r="AA1860" s="37">
        <v>0.65</v>
      </c>
      <c r="AB1860" s="37">
        <v>0.56000000000000005</v>
      </c>
      <c r="AC1860" s="37">
        <v>0.85870000000000002</v>
      </c>
      <c r="AD1860" s="37">
        <v>0.72</v>
      </c>
      <c r="AE1860" s="37">
        <v>1.18</v>
      </c>
      <c r="AF1860" s="37">
        <f t="shared" si="556"/>
        <v>0.65</v>
      </c>
      <c r="AG1860" s="38">
        <v>0.09</v>
      </c>
      <c r="AH1860" s="243">
        <v>9.8299999999999999E-12</v>
      </c>
      <c r="AI1860" s="243"/>
      <c r="AJ1860" s="34">
        <f t="shared" si="557"/>
        <v>-9.396012808480517</v>
      </c>
      <c r="AK1860" s="34"/>
      <c r="AL1860" s="34">
        <f t="shared" si="555"/>
        <v>-9.396012808480517</v>
      </c>
      <c r="AM1860" s="34">
        <v>-10.11009</v>
      </c>
      <c r="AN1860" s="244">
        <v>-5.84</v>
      </c>
      <c r="AO1860" s="417"/>
      <c r="AP1860" s="417">
        <v>2.82</v>
      </c>
      <c r="AQ1860" s="244" t="s">
        <v>6311</v>
      </c>
      <c r="AR1860" s="244" t="s">
        <v>6311</v>
      </c>
      <c r="AS1860" s="241" t="s">
        <v>6</v>
      </c>
      <c r="AT1860" s="39" t="s">
        <v>266</v>
      </c>
      <c r="AU1860" s="37">
        <v>2</v>
      </c>
      <c r="AV1860" s="37">
        <v>48</v>
      </c>
      <c r="AW1860" s="37">
        <v>48</v>
      </c>
      <c r="AX1860" s="37">
        <v>26</v>
      </c>
      <c r="AY1860" s="37" t="s">
        <v>647</v>
      </c>
      <c r="AZ1860" s="37" t="s">
        <v>536</v>
      </c>
      <c r="BA1860" s="37">
        <v>10</v>
      </c>
      <c r="BB1860" s="36" t="s">
        <v>1764</v>
      </c>
      <c r="BC1860" s="36" t="s">
        <v>538</v>
      </c>
      <c r="BD1860" s="36"/>
      <c r="BE1860" s="37" t="s">
        <v>271</v>
      </c>
      <c r="BF1860" s="37" t="s">
        <v>272</v>
      </c>
      <c r="BG1860" s="37" t="s">
        <v>272</v>
      </c>
      <c r="BH1860" s="37" t="s">
        <v>272</v>
      </c>
      <c r="BI1860" s="243">
        <v>5.6071000000000003E-3</v>
      </c>
      <c r="BJ1860" s="243">
        <v>14.3771</v>
      </c>
      <c r="BK1860" s="37"/>
      <c r="BL1860" s="243">
        <f t="shared" si="560"/>
        <v>7.5087388490285942</v>
      </c>
      <c r="BM1860" s="37" t="s">
        <v>541</v>
      </c>
      <c r="BN1860" s="37"/>
      <c r="BO1860" s="37">
        <v>1.5095967220185462</v>
      </c>
      <c r="BP1860" s="37"/>
      <c r="BQ1860" s="37"/>
      <c r="BR1860" s="37"/>
      <c r="BS1860" s="37"/>
      <c r="BT1860" s="37"/>
      <c r="BU1860" s="246"/>
      <c r="BV1860" s="37"/>
      <c r="BW1860" s="37"/>
      <c r="BX1860" s="37"/>
      <c r="BY1860" s="37"/>
      <c r="BZ1860" s="37"/>
      <c r="CA1860" s="37"/>
      <c r="CB1860" s="37"/>
      <c r="CC1860" s="37"/>
      <c r="CD1860" s="37"/>
      <c r="CE1860" s="37"/>
      <c r="CF1860" s="37"/>
      <c r="CG1860" s="37"/>
      <c r="CH1860" s="37"/>
      <c r="CI1860" s="243">
        <f t="shared" si="562"/>
        <v>1.5095967220185462</v>
      </c>
      <c r="CJ1860" s="243">
        <f t="shared" si="563"/>
        <v>0.17886094411845233</v>
      </c>
      <c r="CK1860" s="38">
        <f>BL1860/BJ1860</f>
        <v>0.52227075342235874</v>
      </c>
      <c r="CL1860" s="247">
        <f t="shared" si="564"/>
        <v>4.9740031489922281</v>
      </c>
      <c r="CM1860" s="247"/>
      <c r="CN1860" s="247"/>
      <c r="CO1860" s="36"/>
      <c r="CP1860" s="36" t="s">
        <v>1921</v>
      </c>
      <c r="CQ1860" s="241" t="s">
        <v>272</v>
      </c>
      <c r="CR1860" s="241"/>
      <c r="CS1860" s="33"/>
      <c r="CT1860" s="33"/>
      <c r="CU1860" s="250">
        <f t="shared" si="565"/>
        <v>30.984112144981957</v>
      </c>
      <c r="CV1860" s="337">
        <f>X1860/BJ1860</f>
        <v>3.2533344087973086</v>
      </c>
      <c r="CW1860" s="330">
        <f t="shared" si="566"/>
        <v>1</v>
      </c>
      <c r="CX1860" s="330"/>
      <c r="CY1860" s="143" t="s">
        <v>5921</v>
      </c>
    </row>
    <row r="1861" spans="1:103" ht="11.25" customHeight="1" x14ac:dyDescent="0.2">
      <c r="A1861" s="72">
        <v>1859</v>
      </c>
      <c r="B1861" s="241">
        <v>678</v>
      </c>
      <c r="C1861" s="32" t="s">
        <v>1954</v>
      </c>
      <c r="D1861" s="32"/>
      <c r="E1861" s="40"/>
      <c r="F1861" s="40" t="s">
        <v>1955</v>
      </c>
      <c r="G1861" s="242">
        <v>4548452</v>
      </c>
      <c r="H1861" s="36" t="s">
        <v>1956</v>
      </c>
      <c r="I1861" s="36" t="s">
        <v>8243</v>
      </c>
      <c r="J1861" s="36" t="s">
        <v>1957</v>
      </c>
      <c r="K1861" s="36" t="s">
        <v>1958</v>
      </c>
      <c r="L1861" s="36"/>
      <c r="M1861" s="36"/>
      <c r="N1861" s="36"/>
      <c r="O1861" s="36"/>
      <c r="P1861" s="41"/>
      <c r="Q1861" s="41"/>
      <c r="R1861" s="41"/>
      <c r="S1861" s="41"/>
      <c r="T1861" s="37">
        <v>158.54</v>
      </c>
      <c r="U1861" s="243"/>
      <c r="V1861" s="243">
        <v>14.791219881417939</v>
      </c>
      <c r="W1861" s="243">
        <v>20.417379446695289</v>
      </c>
      <c r="X1861" s="243">
        <f t="shared" si="561"/>
        <v>20.417379446695289</v>
      </c>
      <c r="Y1861" s="414">
        <v>7</v>
      </c>
      <c r="Z1861" s="37">
        <v>1.27</v>
      </c>
      <c r="AA1861" s="37"/>
      <c r="AB1861" s="37">
        <v>1.59</v>
      </c>
      <c r="AC1861" s="37">
        <v>0.85409999999999997</v>
      </c>
      <c r="AD1861" s="37">
        <v>1.51</v>
      </c>
      <c r="AE1861" s="37">
        <v>1.29</v>
      </c>
      <c r="AF1861" s="37">
        <f t="shared" si="556"/>
        <v>1.51</v>
      </c>
      <c r="AG1861" s="38">
        <v>1.24</v>
      </c>
      <c r="AH1861" s="243">
        <v>1.3E-6</v>
      </c>
      <c r="AI1861" s="243"/>
      <c r="AJ1861" s="34">
        <f t="shared" si="557"/>
        <v>-4.2746229740058155</v>
      </c>
      <c r="AK1861" s="34"/>
      <c r="AL1861" s="34">
        <f t="shared" si="555"/>
        <v>-4.2746229740058155</v>
      </c>
      <c r="AM1861" s="34">
        <v>-7.0618500000000006</v>
      </c>
      <c r="AN1861" s="244">
        <v>-4.75</v>
      </c>
      <c r="AO1861" s="417"/>
      <c r="AP1861" s="417">
        <v>-4.22</v>
      </c>
      <c r="AQ1861" s="244" t="s">
        <v>6311</v>
      </c>
      <c r="AR1861" s="244" t="s">
        <v>6311</v>
      </c>
      <c r="AS1861" s="241"/>
      <c r="AT1861" s="39" t="s">
        <v>266</v>
      </c>
      <c r="AU1861" s="37">
        <v>2</v>
      </c>
      <c r="AV1861" s="37">
        <v>48</v>
      </c>
      <c r="AW1861" s="37">
        <v>48</v>
      </c>
      <c r="AX1861" s="37">
        <v>26</v>
      </c>
      <c r="AY1861" s="37" t="s">
        <v>647</v>
      </c>
      <c r="AZ1861" s="37" t="s">
        <v>536</v>
      </c>
      <c r="BA1861" s="37">
        <v>10</v>
      </c>
      <c r="BB1861" s="36" t="s">
        <v>1764</v>
      </c>
      <c r="BC1861" s="36" t="s">
        <v>538</v>
      </c>
      <c r="BD1861" s="36"/>
      <c r="BE1861" s="37" t="s">
        <v>271</v>
      </c>
      <c r="BF1861" s="37" t="s">
        <v>272</v>
      </c>
      <c r="BG1861" s="37" t="s">
        <v>272</v>
      </c>
      <c r="BH1861" s="37" t="s">
        <v>272</v>
      </c>
      <c r="BI1861" s="243">
        <v>1.5678999999999999E-3</v>
      </c>
      <c r="BJ1861" s="243">
        <v>0.3785</v>
      </c>
      <c r="BK1861" s="37"/>
      <c r="BL1861" s="243">
        <f t="shared" si="560"/>
        <v>3.7171749347460685</v>
      </c>
      <c r="BM1861" s="37" t="s">
        <v>541</v>
      </c>
      <c r="BN1861" s="37"/>
      <c r="BO1861" s="37">
        <v>1.703040242210168E-3</v>
      </c>
      <c r="BP1861" s="37"/>
      <c r="BQ1861" s="37"/>
      <c r="BR1861" s="37"/>
      <c r="BS1861" s="37"/>
      <c r="BT1861" s="37"/>
      <c r="BU1861" s="246"/>
      <c r="BV1861" s="37"/>
      <c r="BW1861" s="37"/>
      <c r="BX1861" s="37"/>
      <c r="BY1861" s="37"/>
      <c r="BZ1861" s="37"/>
      <c r="CA1861" s="37"/>
      <c r="CB1861" s="37"/>
      <c r="CC1861" s="37"/>
      <c r="CD1861" s="37"/>
      <c r="CE1861" s="37"/>
      <c r="CF1861" s="37"/>
      <c r="CG1861" s="37"/>
      <c r="CH1861" s="37"/>
      <c r="CI1861" s="243">
        <f t="shared" si="562"/>
        <v>1.703040242210168E-3</v>
      </c>
      <c r="CJ1861" s="243">
        <f t="shared" si="563"/>
        <v>-2.7687750896983934</v>
      </c>
      <c r="CK1861" s="38">
        <f>BL1861/BJ1861</f>
        <v>9.8208056400160331</v>
      </c>
      <c r="CL1861" s="247">
        <f t="shared" si="564"/>
        <v>2182.6700524245985</v>
      </c>
      <c r="CM1861" s="247"/>
      <c r="CN1861" s="247"/>
      <c r="CO1861" s="36"/>
      <c r="CP1861" s="36" t="s">
        <v>1921</v>
      </c>
      <c r="CQ1861" s="241" t="s">
        <v>272</v>
      </c>
      <c r="CR1861" s="241"/>
      <c r="CS1861" s="33"/>
      <c r="CT1861" s="33"/>
      <c r="CU1861" s="250">
        <f t="shared" si="565"/>
        <v>11988.782731403966</v>
      </c>
      <c r="CV1861" s="337">
        <f>X1861/BJ1861</f>
        <v>53.942878326803935</v>
      </c>
      <c r="CW1861" s="330">
        <f t="shared" si="566"/>
        <v>1</v>
      </c>
      <c r="CX1861" s="330"/>
      <c r="CY1861" s="143" t="s">
        <v>5921</v>
      </c>
    </row>
    <row r="1862" spans="1:103" ht="11.25" customHeight="1" x14ac:dyDescent="0.2">
      <c r="A1862" s="72">
        <v>1860</v>
      </c>
      <c r="B1862" s="241">
        <v>2085</v>
      </c>
      <c r="C1862" s="32" t="s">
        <v>5757</v>
      </c>
      <c r="D1862" s="32"/>
      <c r="E1862" s="40"/>
      <c r="F1862" s="40" t="s">
        <v>5758</v>
      </c>
      <c r="G1862" s="242">
        <v>4707328</v>
      </c>
      <c r="H1862" s="41" t="s">
        <v>5759</v>
      </c>
      <c r="I1862" s="41" t="s">
        <v>8244</v>
      </c>
      <c r="J1862" s="41" t="s">
        <v>5760</v>
      </c>
      <c r="K1862" s="41" t="s">
        <v>1878</v>
      </c>
      <c r="L1862" s="41"/>
      <c r="M1862" s="41"/>
      <c r="N1862" s="36"/>
      <c r="O1862" s="41"/>
      <c r="P1862" s="41"/>
      <c r="Q1862" s="41"/>
      <c r="R1862" s="41"/>
      <c r="S1862" s="41"/>
      <c r="T1862" s="33">
        <v>242.27</v>
      </c>
      <c r="U1862" s="250"/>
      <c r="V1862" s="250">
        <v>0.20006604201923472</v>
      </c>
      <c r="W1862" s="250">
        <v>0.37153522909717218</v>
      </c>
      <c r="X1862" s="250">
        <f t="shared" si="561"/>
        <v>0.37153522909717218</v>
      </c>
      <c r="Y1862" s="415">
        <v>7</v>
      </c>
      <c r="Z1862" s="33">
        <v>3.2</v>
      </c>
      <c r="AA1862" s="33"/>
      <c r="AB1862" s="33">
        <v>2.74</v>
      </c>
      <c r="AC1862" s="33">
        <v>0.62370000000000003</v>
      </c>
      <c r="AD1862" s="33">
        <v>2.77</v>
      </c>
      <c r="AE1862" s="33">
        <v>2.81</v>
      </c>
      <c r="AF1862" s="33">
        <f t="shared" si="556"/>
        <v>2.77</v>
      </c>
      <c r="AG1862" s="34">
        <v>2.77</v>
      </c>
      <c r="AH1862" s="250">
        <v>6.29E-10</v>
      </c>
      <c r="AI1862" s="250"/>
      <c r="AJ1862" s="34">
        <f t="shared" si="557"/>
        <v>-7.5899156808673824</v>
      </c>
      <c r="AK1862" s="34"/>
      <c r="AL1862" s="34">
        <f t="shared" si="555"/>
        <v>-7.5899156808673824</v>
      </c>
      <c r="AM1862" s="34">
        <v>-12.02187</v>
      </c>
      <c r="AN1862" s="251"/>
      <c r="AO1862" s="417"/>
      <c r="AP1862" s="417"/>
      <c r="AQ1862" s="251" t="s">
        <v>6311</v>
      </c>
      <c r="AR1862" s="251" t="s">
        <v>6311</v>
      </c>
      <c r="AS1862" s="252" t="s">
        <v>5466</v>
      </c>
      <c r="AT1862" s="35" t="s">
        <v>266</v>
      </c>
      <c r="AU1862" s="33">
        <v>4</v>
      </c>
      <c r="AV1862" s="33">
        <v>80</v>
      </c>
      <c r="AW1862" s="33">
        <v>76</v>
      </c>
      <c r="AX1862" s="33">
        <v>28</v>
      </c>
      <c r="AY1862" s="33" t="s">
        <v>267</v>
      </c>
      <c r="AZ1862" s="33" t="s">
        <v>5731</v>
      </c>
      <c r="BA1862" s="33">
        <v>20</v>
      </c>
      <c r="BB1862" s="41" t="s">
        <v>5732</v>
      </c>
      <c r="BC1862" s="41" t="s">
        <v>1584</v>
      </c>
      <c r="BD1862" s="41"/>
      <c r="BE1862" s="33" t="s">
        <v>5733</v>
      </c>
      <c r="BF1862" s="33"/>
      <c r="BG1862" s="33"/>
      <c r="BH1862" s="33" t="s">
        <v>5734</v>
      </c>
      <c r="BI1862" s="250"/>
      <c r="BJ1862" s="250"/>
      <c r="BK1862" s="254"/>
      <c r="BL1862" s="250">
        <f t="shared" si="560"/>
        <v>6.8687862221399679E-2</v>
      </c>
      <c r="BM1862" s="33"/>
      <c r="BN1862" s="33"/>
      <c r="BO1862" s="33"/>
      <c r="BP1862" s="33"/>
      <c r="BQ1862" s="33"/>
      <c r="BR1862" s="33"/>
      <c r="BS1862" s="33"/>
      <c r="BT1862" s="33"/>
      <c r="BU1862" s="246"/>
      <c r="BV1862" s="33">
        <v>1.92E-3</v>
      </c>
      <c r="BW1862" s="33">
        <v>1.8699999999999999E-3</v>
      </c>
      <c r="BX1862" s="33"/>
      <c r="BY1862" s="33"/>
      <c r="BZ1862" s="33"/>
      <c r="CA1862" s="33"/>
      <c r="CB1862" s="33"/>
      <c r="CC1862" s="33"/>
      <c r="CD1862" s="33"/>
      <c r="CE1862" s="33"/>
      <c r="CF1862" s="33"/>
      <c r="CG1862" s="33"/>
      <c r="CH1862" s="33"/>
      <c r="CI1862" s="250">
        <f t="shared" si="562"/>
        <v>1.8699999999999999E-3</v>
      </c>
      <c r="CJ1862" s="243">
        <f t="shared" si="563"/>
        <v>-2.728158393463501</v>
      </c>
      <c r="CK1862" s="38" t="s">
        <v>404</v>
      </c>
      <c r="CL1862" s="247">
        <f t="shared" si="564"/>
        <v>36.731477123743147</v>
      </c>
      <c r="CM1862" s="247"/>
      <c r="CN1862" s="247"/>
      <c r="CO1862" s="41"/>
      <c r="CP1862" s="41" t="s">
        <v>5735</v>
      </c>
      <c r="CQ1862" s="241" t="s">
        <v>272</v>
      </c>
      <c r="CR1862" s="241"/>
      <c r="CS1862" s="33"/>
      <c r="CT1862" s="33"/>
      <c r="CU1862" s="250">
        <f t="shared" si="565"/>
        <v>198.68194069367496</v>
      </c>
      <c r="CV1862" s="337"/>
      <c r="CW1862" s="330">
        <f t="shared" si="566"/>
        <v>1</v>
      </c>
      <c r="CX1862" s="330" t="s">
        <v>539</v>
      </c>
      <c r="CY1862" s="143" t="s">
        <v>5921</v>
      </c>
    </row>
    <row r="1863" spans="1:103" ht="11.25" customHeight="1" x14ac:dyDescent="0.2">
      <c r="A1863" s="72">
        <v>1861</v>
      </c>
      <c r="B1863" s="241">
        <v>1949</v>
      </c>
      <c r="C1863" s="32" t="s">
        <v>5516</v>
      </c>
      <c r="D1863" s="32"/>
      <c r="E1863" s="40"/>
      <c r="F1863" s="40" t="s">
        <v>5455</v>
      </c>
      <c r="G1863" s="242">
        <v>5436431</v>
      </c>
      <c r="H1863" s="41" t="s">
        <v>5456</v>
      </c>
      <c r="I1863" s="41" t="s">
        <v>8245</v>
      </c>
      <c r="J1863" s="41" t="s">
        <v>5517</v>
      </c>
      <c r="K1863" s="41" t="s">
        <v>426</v>
      </c>
      <c r="L1863" s="41" t="s">
        <v>5492</v>
      </c>
      <c r="M1863" s="41"/>
      <c r="N1863" s="36"/>
      <c r="O1863" s="41"/>
      <c r="P1863" s="41"/>
      <c r="Q1863" s="41"/>
      <c r="R1863" s="41"/>
      <c r="S1863" s="41"/>
      <c r="T1863" s="33">
        <v>485.8</v>
      </c>
      <c r="U1863" s="250"/>
      <c r="V1863" s="250">
        <v>3.0074104569781804E-6</v>
      </c>
      <c r="W1863" s="250">
        <v>2.2387211385683345E-4</v>
      </c>
      <c r="X1863" s="250">
        <f t="shared" si="561"/>
        <v>2.2387211385683345E-4</v>
      </c>
      <c r="Y1863" s="415">
        <v>7</v>
      </c>
      <c r="Z1863" s="33">
        <v>6.77</v>
      </c>
      <c r="AA1863" s="33"/>
      <c r="AB1863" s="33">
        <v>6.3</v>
      </c>
      <c r="AC1863" s="33">
        <v>0.86460000000000004</v>
      </c>
      <c r="AD1863" s="33">
        <v>6.51</v>
      </c>
      <c r="AE1863" s="33">
        <v>7.39</v>
      </c>
      <c r="AF1863" s="33">
        <f t="shared" si="556"/>
        <v>6.51</v>
      </c>
      <c r="AG1863" s="34">
        <v>6.36</v>
      </c>
      <c r="AH1863" s="250">
        <v>2.9699999999999999E-6</v>
      </c>
      <c r="AI1863" s="250"/>
      <c r="AJ1863" s="34">
        <f t="shared" si="557"/>
        <v>-3.9158098769954393</v>
      </c>
      <c r="AK1863" s="34"/>
      <c r="AL1863" s="34">
        <f t="shared" si="555"/>
        <v>-3.9158098769954393</v>
      </c>
      <c r="AM1863" s="34">
        <v>-9.6528299999999998</v>
      </c>
      <c r="AN1863" s="251">
        <v>-2.7378999999999998</v>
      </c>
      <c r="AO1863" s="417"/>
      <c r="AP1863" s="417"/>
      <c r="AQ1863" s="251" t="s">
        <v>6311</v>
      </c>
      <c r="AR1863" s="251" t="s">
        <v>6311</v>
      </c>
      <c r="AS1863" s="252" t="s">
        <v>5466</v>
      </c>
      <c r="AT1863" s="35" t="s">
        <v>266</v>
      </c>
      <c r="AU1863" s="33">
        <v>3</v>
      </c>
      <c r="AV1863" s="33">
        <v>1668</v>
      </c>
      <c r="AW1863" s="33" t="s">
        <v>5518</v>
      </c>
      <c r="AX1863" s="33">
        <v>28.5</v>
      </c>
      <c r="AY1863" s="253" t="s">
        <v>267</v>
      </c>
      <c r="AZ1863" s="33" t="s">
        <v>6219</v>
      </c>
      <c r="BA1863" s="262"/>
      <c r="BB1863" s="41" t="s">
        <v>6215</v>
      </c>
      <c r="BC1863" s="41" t="s">
        <v>5697</v>
      </c>
      <c r="BD1863" s="41"/>
      <c r="BE1863" s="41" t="s">
        <v>6217</v>
      </c>
      <c r="BF1863" s="33"/>
      <c r="BG1863" s="33"/>
      <c r="BH1863" s="33" t="s">
        <v>6218</v>
      </c>
      <c r="BI1863" s="250">
        <v>2.0584602717167559E-4</v>
      </c>
      <c r="BJ1863" s="250">
        <v>1.0292301358583779E-2</v>
      </c>
      <c r="BK1863" s="254"/>
      <c r="BL1863" s="250">
        <f t="shared" si="560"/>
        <v>4.2723123836706247E-5</v>
      </c>
      <c r="BM1863" s="33" t="s">
        <v>6250</v>
      </c>
      <c r="BN1863" s="33"/>
      <c r="BO1863" s="33"/>
      <c r="BP1863" s="33"/>
      <c r="BQ1863" s="33"/>
      <c r="BR1863" s="33"/>
      <c r="BS1863" s="33"/>
      <c r="BT1863" s="33">
        <v>1.03E-2</v>
      </c>
      <c r="BU1863" s="246"/>
      <c r="BV1863" s="33"/>
      <c r="BW1863" s="33"/>
      <c r="BX1863" s="33"/>
      <c r="BY1863" s="33"/>
      <c r="BZ1863" s="33"/>
      <c r="CA1863" s="33"/>
      <c r="CB1863" s="33"/>
      <c r="CC1863" s="33"/>
      <c r="CD1863" s="33"/>
      <c r="CE1863" s="33"/>
      <c r="CF1863" s="33"/>
      <c r="CG1863" s="33"/>
      <c r="CH1863" s="33"/>
      <c r="CI1863" s="250">
        <f t="shared" si="562"/>
        <v>1.03E-2</v>
      </c>
      <c r="CJ1863" s="243">
        <f t="shared" si="563"/>
        <v>-1.9871627752948278</v>
      </c>
      <c r="CK1863" s="250">
        <f t="shared" ref="CK1863:CK1870" si="567">BL1863/BJ1863</f>
        <v>4.1509787119743792E-3</v>
      </c>
      <c r="CL1863" s="247">
        <f t="shared" si="564"/>
        <v>4.1478761006510916E-3</v>
      </c>
      <c r="CM1863" s="247"/>
      <c r="CN1863" s="247"/>
      <c r="CO1863" s="41"/>
      <c r="CP1863" s="41" t="s">
        <v>8383</v>
      </c>
      <c r="CQ1863" s="241" t="s">
        <v>272</v>
      </c>
      <c r="CR1863" s="241"/>
      <c r="CS1863" s="33"/>
      <c r="CT1863" s="33"/>
      <c r="CU1863" s="250">
        <f t="shared" si="565"/>
        <v>2.1735156685129462E-2</v>
      </c>
      <c r="CV1863" s="337">
        <f t="shared" ref="CV1863:CV1870" si="568">X1863/BJ1863</f>
        <v>2.1751414582329938E-2</v>
      </c>
      <c r="CW1863" s="330">
        <f t="shared" si="566"/>
        <v>0</v>
      </c>
      <c r="CX1863" s="330"/>
      <c r="CY1863" s="143" t="s">
        <v>5921</v>
      </c>
    </row>
    <row r="1864" spans="1:103" ht="11.25" customHeight="1" x14ac:dyDescent="0.2">
      <c r="A1864" s="72">
        <v>1862</v>
      </c>
      <c r="B1864" s="241">
        <v>1974</v>
      </c>
      <c r="C1864" s="32" t="s">
        <v>5540</v>
      </c>
      <c r="D1864" s="32" t="s">
        <v>6628</v>
      </c>
      <c r="E1864" s="40"/>
      <c r="F1864" s="40" t="s">
        <v>1043</v>
      </c>
      <c r="G1864" s="242">
        <v>5598152</v>
      </c>
      <c r="H1864" s="41" t="s">
        <v>5541</v>
      </c>
      <c r="I1864" s="41" t="s">
        <v>8246</v>
      </c>
      <c r="J1864" s="41" t="s">
        <v>5542</v>
      </c>
      <c r="K1864" s="41" t="s">
        <v>1046</v>
      </c>
      <c r="L1864" s="41" t="s">
        <v>617</v>
      </c>
      <c r="M1864" s="41" t="s">
        <v>618</v>
      </c>
      <c r="N1864" s="36"/>
      <c r="O1864" s="41" t="s">
        <v>918</v>
      </c>
      <c r="P1864" s="41"/>
      <c r="Q1864" s="41"/>
      <c r="R1864" s="41"/>
      <c r="S1864" s="41"/>
      <c r="T1864" s="33">
        <v>334.52</v>
      </c>
      <c r="U1864" s="250"/>
      <c r="V1864" s="250">
        <v>7.7633624297500897E-2</v>
      </c>
      <c r="W1864" s="250">
        <v>0.35481338923357514</v>
      </c>
      <c r="X1864" s="250">
        <f t="shared" si="561"/>
        <v>0.35481338923357514</v>
      </c>
      <c r="Y1864" s="415">
        <v>7</v>
      </c>
      <c r="Z1864" s="33">
        <v>2.89</v>
      </c>
      <c r="AA1864" s="33"/>
      <c r="AB1864" s="33">
        <v>3.25</v>
      </c>
      <c r="AC1864" s="33">
        <v>0.68079999999999996</v>
      </c>
      <c r="AD1864" s="33">
        <v>3.43</v>
      </c>
      <c r="AE1864" s="33">
        <v>3.73</v>
      </c>
      <c r="AF1864" s="33">
        <f t="shared" si="556"/>
        <v>3.43</v>
      </c>
      <c r="AG1864" s="34">
        <v>3.81</v>
      </c>
      <c r="AH1864" s="250">
        <v>5.4599999999999998E-9</v>
      </c>
      <c r="AI1864" s="250"/>
      <c r="AJ1864" s="34">
        <f t="shared" si="557"/>
        <v>-6.6513736836079147</v>
      </c>
      <c r="AK1864" s="34"/>
      <c r="AL1864" s="34">
        <f t="shared" si="555"/>
        <v>-6.6513736836079147</v>
      </c>
      <c r="AM1864" s="34">
        <v>-12.981439999999999</v>
      </c>
      <c r="AN1864" s="251">
        <v>-4.4558</v>
      </c>
      <c r="AO1864" s="417"/>
      <c r="AP1864" s="417">
        <v>-5.28</v>
      </c>
      <c r="AQ1864" s="251" t="s">
        <v>6312</v>
      </c>
      <c r="AR1864" s="251" t="s">
        <v>6312</v>
      </c>
      <c r="AS1864" s="252" t="s">
        <v>5466</v>
      </c>
      <c r="AT1864" s="35" t="s">
        <v>266</v>
      </c>
      <c r="AU1864" s="33">
        <v>3</v>
      </c>
      <c r="AV1864" s="33">
        <v>48</v>
      </c>
      <c r="AW1864" s="33">
        <v>45</v>
      </c>
      <c r="AX1864" s="33">
        <v>28.5</v>
      </c>
      <c r="AY1864" s="262" t="s">
        <v>267</v>
      </c>
      <c r="AZ1864" s="33" t="s">
        <v>6305</v>
      </c>
      <c r="BA1864" s="33">
        <v>24</v>
      </c>
      <c r="BB1864" s="41" t="s">
        <v>6304</v>
      </c>
      <c r="BC1864" s="41" t="s">
        <v>5697</v>
      </c>
      <c r="BD1864" s="41"/>
      <c r="BE1864" s="33" t="s">
        <v>2449</v>
      </c>
      <c r="BF1864" s="33" t="s">
        <v>6203</v>
      </c>
      <c r="BG1864" s="33" t="s">
        <v>6203</v>
      </c>
      <c r="BH1864" s="33" t="s">
        <v>5890</v>
      </c>
      <c r="BI1864" s="250">
        <v>2.0000000000000002E-5</v>
      </c>
      <c r="BJ1864" s="250">
        <v>3.0000000000000001E-3</v>
      </c>
      <c r="BK1864" s="254"/>
      <c r="BL1864" s="250">
        <f t="shared" si="560"/>
        <v>0.130404026090681</v>
      </c>
      <c r="BM1864" s="33">
        <v>0</v>
      </c>
      <c r="BN1864" s="33"/>
      <c r="BO1864" s="33">
        <v>1.5E-3</v>
      </c>
      <c r="BP1864" s="33"/>
      <c r="BQ1864" s="33"/>
      <c r="BR1864" s="33"/>
      <c r="BS1864" s="33"/>
      <c r="BT1864" s="33"/>
      <c r="BU1864" s="246"/>
      <c r="BV1864" s="33"/>
      <c r="BW1864" s="33"/>
      <c r="BX1864" s="33"/>
      <c r="BY1864" s="33"/>
      <c r="BZ1864" s="33"/>
      <c r="CA1864" s="33"/>
      <c r="CB1864" s="33"/>
      <c r="CC1864" s="33"/>
      <c r="CD1864" s="33"/>
      <c r="CE1864" s="33"/>
      <c r="CF1864" s="33"/>
      <c r="CG1864" s="33"/>
      <c r="CH1864" s="33"/>
      <c r="CI1864" s="250">
        <f t="shared" si="562"/>
        <v>1.5E-3</v>
      </c>
      <c r="CJ1864" s="243">
        <f t="shared" si="563"/>
        <v>-2.8239087409443187</v>
      </c>
      <c r="CK1864" s="38">
        <f t="shared" si="567"/>
        <v>43.468008696893662</v>
      </c>
      <c r="CL1864" s="247">
        <f t="shared" si="564"/>
        <v>86.936017393787324</v>
      </c>
      <c r="CM1864" s="247"/>
      <c r="CN1864" s="247"/>
      <c r="CO1864" s="41"/>
      <c r="CP1864" s="41" t="s">
        <v>8384</v>
      </c>
      <c r="CQ1864" s="241" t="s">
        <v>272</v>
      </c>
      <c r="CR1864" s="241"/>
      <c r="CS1864" s="33"/>
      <c r="CT1864" s="33"/>
      <c r="CU1864" s="250">
        <f t="shared" si="565"/>
        <v>236.54225948905008</v>
      </c>
      <c r="CV1864" s="337">
        <f t="shared" si="568"/>
        <v>118.27112974452504</v>
      </c>
      <c r="CW1864" s="330">
        <f t="shared" si="566"/>
        <v>1</v>
      </c>
      <c r="CX1864" s="330"/>
      <c r="CY1864" s="143" t="s">
        <v>5921</v>
      </c>
    </row>
    <row r="1865" spans="1:103" ht="11.25" customHeight="1" x14ac:dyDescent="0.2">
      <c r="A1865" s="72">
        <v>1863</v>
      </c>
      <c r="B1865" s="241">
        <v>718</v>
      </c>
      <c r="C1865" s="32" t="s">
        <v>456</v>
      </c>
      <c r="D1865" s="32"/>
      <c r="E1865" s="40"/>
      <c r="F1865" s="40" t="s">
        <v>2033</v>
      </c>
      <c r="G1865" s="242">
        <v>6055192</v>
      </c>
      <c r="H1865" s="36" t="s">
        <v>457</v>
      </c>
      <c r="I1865" s="36" t="s">
        <v>8247</v>
      </c>
      <c r="J1865" s="36" t="s">
        <v>2034</v>
      </c>
      <c r="K1865" s="36"/>
      <c r="L1865" s="42" t="s">
        <v>279</v>
      </c>
      <c r="M1865" s="36" t="s">
        <v>459</v>
      </c>
      <c r="N1865" s="36"/>
      <c r="O1865" s="36" t="s">
        <v>281</v>
      </c>
      <c r="P1865" s="41"/>
      <c r="Q1865" s="41"/>
      <c r="R1865" s="41"/>
      <c r="S1865" s="41"/>
      <c r="T1865" s="37">
        <v>261.08999999999997</v>
      </c>
      <c r="U1865" s="243"/>
      <c r="V1865" s="263">
        <f>5943/261.09</f>
        <v>22.762265885326901</v>
      </c>
      <c r="W1865" s="263">
        <v>154.88166189124809</v>
      </c>
      <c r="X1865" s="263">
        <f t="shared" si="561"/>
        <v>154.88166189124809</v>
      </c>
      <c r="Y1865" s="417">
        <v>8.02</v>
      </c>
      <c r="Z1865" s="40">
        <v>0.97</v>
      </c>
      <c r="AA1865" s="40">
        <v>9.6300000000000008</v>
      </c>
      <c r="AB1865" s="40">
        <v>0.71</v>
      </c>
      <c r="AC1865" s="40">
        <v>0.69450000000000001</v>
      </c>
      <c r="AD1865" s="40">
        <v>0.53</v>
      </c>
      <c r="AE1865" s="40">
        <v>0.23</v>
      </c>
      <c r="AF1865" s="40">
        <f t="shared" si="556"/>
        <v>9.6300000000000008</v>
      </c>
      <c r="AG1865" s="38">
        <v>2.73</v>
      </c>
      <c r="AH1865" s="243">
        <v>1.36E-11</v>
      </c>
      <c r="AI1865" s="243"/>
      <c r="AJ1865" s="34">
        <f t="shared" si="557"/>
        <v>-9.2550274179424346</v>
      </c>
      <c r="AK1865" s="34"/>
      <c r="AL1865" s="34">
        <f t="shared" si="555"/>
        <v>-9.2550274179424346</v>
      </c>
      <c r="AM1865" s="34">
        <v>-13.003439999999999</v>
      </c>
      <c r="AN1865" s="244">
        <v>-17.7</v>
      </c>
      <c r="AO1865" s="417"/>
      <c r="AP1865" s="417">
        <v>2.84</v>
      </c>
      <c r="AQ1865" s="244" t="s">
        <v>6311</v>
      </c>
      <c r="AR1865" s="244" t="s">
        <v>6311</v>
      </c>
      <c r="AS1865" s="241" t="s">
        <v>460</v>
      </c>
      <c r="AT1865" s="39" t="s">
        <v>266</v>
      </c>
      <c r="AU1865" s="37">
        <v>2</v>
      </c>
      <c r="AV1865" s="37">
        <v>72</v>
      </c>
      <c r="AW1865" s="37">
        <v>72</v>
      </c>
      <c r="AX1865" s="37">
        <v>26</v>
      </c>
      <c r="AY1865" s="37" t="s">
        <v>647</v>
      </c>
      <c r="AZ1865" s="37" t="s">
        <v>536</v>
      </c>
      <c r="BA1865" s="37" t="s">
        <v>8723</v>
      </c>
      <c r="BB1865" s="36" t="s">
        <v>1644</v>
      </c>
      <c r="BC1865" s="36" t="s">
        <v>2019</v>
      </c>
      <c r="BD1865" s="36" t="s">
        <v>8374</v>
      </c>
      <c r="BE1865" s="37" t="s">
        <v>649</v>
      </c>
      <c r="BF1865" s="37" t="s">
        <v>272</v>
      </c>
      <c r="BG1865" s="37" t="s">
        <v>272</v>
      </c>
      <c r="BH1865" s="37" t="s">
        <v>2020</v>
      </c>
      <c r="BI1865" s="243">
        <v>1</v>
      </c>
      <c r="BJ1865" s="243">
        <v>10</v>
      </c>
      <c r="BK1865" s="37"/>
      <c r="BL1865" s="243"/>
      <c r="BM1865" s="37" t="s">
        <v>541</v>
      </c>
      <c r="BN1865" s="37"/>
      <c r="BO1865" s="37"/>
      <c r="BP1865" s="37">
        <v>8.4</v>
      </c>
      <c r="BQ1865" s="37"/>
      <c r="BR1865" s="37"/>
      <c r="BS1865" s="37"/>
      <c r="BT1865" s="37"/>
      <c r="BU1865" s="246"/>
      <c r="BV1865" s="37"/>
      <c r="BW1865" s="37"/>
      <c r="BX1865" s="37"/>
      <c r="BY1865" s="37"/>
      <c r="BZ1865" s="37"/>
      <c r="CA1865" s="37"/>
      <c r="CB1865" s="37"/>
      <c r="CC1865" s="37"/>
      <c r="CD1865" s="37"/>
      <c r="CE1865" s="37"/>
      <c r="CF1865" s="37"/>
      <c r="CG1865" s="37"/>
      <c r="CH1865" s="37"/>
      <c r="CI1865" s="243">
        <f t="shared" si="562"/>
        <v>8.4</v>
      </c>
      <c r="CJ1865" s="243">
        <f t="shared" si="563"/>
        <v>0.9242792860618817</v>
      </c>
      <c r="CK1865" s="38">
        <f t="shared" si="567"/>
        <v>0</v>
      </c>
      <c r="CL1865" s="247">
        <f t="shared" si="564"/>
        <v>0</v>
      </c>
      <c r="CM1865" s="247"/>
      <c r="CN1865" s="247"/>
      <c r="CO1865" s="36"/>
      <c r="CP1865" s="36" t="s">
        <v>2021</v>
      </c>
      <c r="CQ1865" s="241" t="s">
        <v>272</v>
      </c>
      <c r="CR1865" s="241"/>
      <c r="CS1865" s="33"/>
      <c r="CT1865" s="33"/>
      <c r="CU1865" s="250">
        <f t="shared" si="565"/>
        <v>18.438293082291437</v>
      </c>
      <c r="CV1865" s="337">
        <f t="shared" si="568"/>
        <v>15.488166189124808</v>
      </c>
      <c r="CW1865" s="330">
        <f t="shared" si="566"/>
        <v>1</v>
      </c>
      <c r="CX1865" s="330"/>
      <c r="CY1865" s="143" t="s">
        <v>5921</v>
      </c>
    </row>
    <row r="1866" spans="1:103" ht="11.25" customHeight="1" x14ac:dyDescent="0.2">
      <c r="A1866" s="72">
        <v>1864</v>
      </c>
      <c r="B1866" s="241">
        <v>682</v>
      </c>
      <c r="C1866" s="32" t="s">
        <v>1970</v>
      </c>
      <c r="D1866" s="32"/>
      <c r="E1866" s="40"/>
      <c r="F1866" s="40" t="s">
        <v>1971</v>
      </c>
      <c r="G1866" s="242">
        <v>6635865</v>
      </c>
      <c r="H1866" s="36" t="s">
        <v>1972</v>
      </c>
      <c r="I1866" s="36" t="s">
        <v>7785</v>
      </c>
      <c r="J1866" s="36" t="s">
        <v>1973</v>
      </c>
      <c r="K1866" s="36" t="s">
        <v>1573</v>
      </c>
      <c r="L1866" s="36"/>
      <c r="M1866" s="36"/>
      <c r="N1866" s="36"/>
      <c r="O1866" s="36"/>
      <c r="P1866" s="41"/>
      <c r="Q1866" s="41"/>
      <c r="R1866" s="41"/>
      <c r="S1866" s="41"/>
      <c r="T1866" s="37">
        <v>153.13999999999999</v>
      </c>
      <c r="U1866" s="243"/>
      <c r="V1866" s="243">
        <v>9.050541987723653</v>
      </c>
      <c r="W1866" s="243">
        <v>14.791083881682072</v>
      </c>
      <c r="X1866" s="243">
        <f t="shared" si="561"/>
        <v>14.791083881682072</v>
      </c>
      <c r="Y1866" s="414">
        <v>7.58</v>
      </c>
      <c r="Z1866" s="37">
        <v>2.02</v>
      </c>
      <c r="AA1866" s="37"/>
      <c r="AB1866" s="37">
        <v>1.06</v>
      </c>
      <c r="AC1866" s="37">
        <v>0.64380000000000004</v>
      </c>
      <c r="AD1866" s="37">
        <v>1.5</v>
      </c>
      <c r="AE1866" s="37">
        <v>2.08</v>
      </c>
      <c r="AF1866" s="37">
        <f t="shared" si="556"/>
        <v>1.5</v>
      </c>
      <c r="AG1866" s="38">
        <v>0.56999999999999995</v>
      </c>
      <c r="AH1866" s="243">
        <v>2.3700000000000001E-10</v>
      </c>
      <c r="AI1866" s="243"/>
      <c r="AJ1866" s="34">
        <f t="shared" si="557"/>
        <v>-8.013817980302548</v>
      </c>
      <c r="AK1866" s="34"/>
      <c r="AL1866" s="34">
        <f t="shared" si="555"/>
        <v>-8.013817980302548</v>
      </c>
      <c r="AM1866" s="34">
        <v>-8.9612499999999997</v>
      </c>
      <c r="AN1866" s="244">
        <v>-7.29</v>
      </c>
      <c r="AO1866" s="417"/>
      <c r="AP1866" s="417">
        <v>2.97</v>
      </c>
      <c r="AQ1866" s="244" t="s">
        <v>6311</v>
      </c>
      <c r="AR1866" s="244" t="s">
        <v>6311</v>
      </c>
      <c r="AS1866" s="241" t="s">
        <v>120</v>
      </c>
      <c r="AT1866" s="39" t="s">
        <v>266</v>
      </c>
      <c r="AU1866" s="37">
        <v>2</v>
      </c>
      <c r="AV1866" s="37">
        <v>48</v>
      </c>
      <c r="AW1866" s="37">
        <v>48</v>
      </c>
      <c r="AX1866" s="37">
        <v>26</v>
      </c>
      <c r="AY1866" s="37" t="s">
        <v>647</v>
      </c>
      <c r="AZ1866" s="37" t="s">
        <v>536</v>
      </c>
      <c r="BA1866" s="37">
        <v>10</v>
      </c>
      <c r="BB1866" s="36" t="s">
        <v>1764</v>
      </c>
      <c r="BC1866" s="36" t="s">
        <v>538</v>
      </c>
      <c r="BD1866" s="36"/>
      <c r="BE1866" s="37" t="s">
        <v>271</v>
      </c>
      <c r="BF1866" s="37" t="s">
        <v>272</v>
      </c>
      <c r="BG1866" s="37" t="s">
        <v>272</v>
      </c>
      <c r="BH1866" s="37" t="s">
        <v>272</v>
      </c>
      <c r="BI1866" s="243">
        <v>6.5300000000000004E-4</v>
      </c>
      <c r="BJ1866" s="243">
        <v>0.65300000000000002</v>
      </c>
      <c r="BK1866" s="37"/>
      <c r="BL1866" s="243">
        <f>10^((-0.8981*Z1866)+1.7108)</f>
        <v>0.78820284843319122</v>
      </c>
      <c r="BM1866" s="37" t="s">
        <v>541</v>
      </c>
      <c r="BN1866" s="37"/>
      <c r="BO1866" s="37">
        <v>0.25466893039049238</v>
      </c>
      <c r="BP1866" s="37"/>
      <c r="BQ1866" s="37"/>
      <c r="BR1866" s="37"/>
      <c r="BS1866" s="37"/>
      <c r="BT1866" s="37"/>
      <c r="BU1866" s="246"/>
      <c r="BV1866" s="37"/>
      <c r="BW1866" s="37"/>
      <c r="BX1866" s="37"/>
      <c r="BY1866" s="37"/>
      <c r="BZ1866" s="37"/>
      <c r="CA1866" s="37"/>
      <c r="CB1866" s="37"/>
      <c r="CC1866" s="37"/>
      <c r="CD1866" s="37"/>
      <c r="CE1866" s="37"/>
      <c r="CF1866" s="37"/>
      <c r="CG1866" s="37"/>
      <c r="CH1866" s="37"/>
      <c r="CI1866" s="243">
        <f t="shared" si="562"/>
        <v>0.25466893039049238</v>
      </c>
      <c r="CJ1866" s="243">
        <f t="shared" si="563"/>
        <v>-0.59402403573142037</v>
      </c>
      <c r="CK1866" s="38">
        <f t="shared" si="567"/>
        <v>1.2070487724857446</v>
      </c>
      <c r="CL1866" s="247">
        <f t="shared" si="564"/>
        <v>3.0950098515143307</v>
      </c>
      <c r="CM1866" s="247"/>
      <c r="CN1866" s="247"/>
      <c r="CO1866" s="36"/>
      <c r="CP1866" s="36" t="s">
        <v>1921</v>
      </c>
      <c r="CQ1866" s="241" t="s">
        <v>272</v>
      </c>
      <c r="CR1866" s="241"/>
      <c r="CS1866" s="33"/>
      <c r="CT1866" s="33"/>
      <c r="CU1866" s="250">
        <f t="shared" si="565"/>
        <v>58.079656042071598</v>
      </c>
      <c r="CV1866" s="337">
        <f t="shared" si="568"/>
        <v>22.650970722330889</v>
      </c>
      <c r="CW1866" s="330">
        <f t="shared" si="566"/>
        <v>1</v>
      </c>
      <c r="CX1866" s="330"/>
      <c r="CY1866" s="143" t="s">
        <v>5921</v>
      </c>
    </row>
    <row r="1867" spans="1:103" ht="11.25" customHeight="1" x14ac:dyDescent="0.2">
      <c r="A1867" s="72">
        <v>1865</v>
      </c>
      <c r="B1867" s="241">
        <v>2006</v>
      </c>
      <c r="C1867" s="32" t="s">
        <v>5569</v>
      </c>
      <c r="D1867" s="32"/>
      <c r="E1867" s="40"/>
      <c r="F1867" s="40" t="s">
        <v>1294</v>
      </c>
      <c r="G1867" s="242">
        <v>6734801</v>
      </c>
      <c r="H1867" s="41" t="s">
        <v>5001</v>
      </c>
      <c r="I1867" s="41" t="s">
        <v>8095</v>
      </c>
      <c r="J1867" s="41" t="s">
        <v>5570</v>
      </c>
      <c r="K1867" s="41" t="s">
        <v>1297</v>
      </c>
      <c r="L1867" s="41"/>
      <c r="M1867" s="41"/>
      <c r="N1867" s="36"/>
      <c r="O1867" s="41"/>
      <c r="P1867" s="41"/>
      <c r="Q1867" s="41"/>
      <c r="R1867" s="41"/>
      <c r="S1867" s="41"/>
      <c r="T1867" s="33">
        <v>129.16999999999999</v>
      </c>
      <c r="U1867" s="250">
        <v>5589.1004799504562</v>
      </c>
      <c r="V1867" s="250">
        <v>7741.136398823347</v>
      </c>
      <c r="W1867" s="250">
        <v>177.82794100389225</v>
      </c>
      <c r="X1867" s="250">
        <v>5589.1004799504562</v>
      </c>
      <c r="Y1867" s="415">
        <v>1.98</v>
      </c>
      <c r="Z1867" s="33">
        <v>-2.62</v>
      </c>
      <c r="AA1867" s="33"/>
      <c r="AB1867" s="33">
        <v>0.78</v>
      </c>
      <c r="AC1867" s="33">
        <v>0.66080000000000005</v>
      </c>
      <c r="AD1867" s="33">
        <v>0.78</v>
      </c>
      <c r="AE1867" s="33">
        <v>0.78</v>
      </c>
      <c r="AF1867" s="33">
        <f t="shared" si="556"/>
        <v>0.78</v>
      </c>
      <c r="AG1867" s="34">
        <v>0.78</v>
      </c>
      <c r="AH1867" s="250">
        <v>1.36E-11</v>
      </c>
      <c r="AI1867" s="250"/>
      <c r="AJ1867" s="34">
        <f t="shared" si="557"/>
        <v>-9.2550274179424346</v>
      </c>
      <c r="AK1867" s="34"/>
      <c r="AL1867" s="34">
        <f t="shared" si="555"/>
        <v>-9.2550274179424346</v>
      </c>
      <c r="AM1867" s="34">
        <v>-6.0241499999999997</v>
      </c>
      <c r="AN1867" s="251"/>
      <c r="AO1867" s="417">
        <v>4.63</v>
      </c>
      <c r="AP1867" s="417">
        <v>0.87</v>
      </c>
      <c r="AQ1867" s="251" t="s">
        <v>6311</v>
      </c>
      <c r="AR1867" s="251" t="s">
        <v>6311</v>
      </c>
      <c r="AS1867" s="252" t="s">
        <v>5466</v>
      </c>
      <c r="AT1867" s="35" t="s">
        <v>266</v>
      </c>
      <c r="AU1867" s="33">
        <v>4</v>
      </c>
      <c r="AV1867" s="33">
        <v>24</v>
      </c>
      <c r="AW1867" s="33">
        <v>20</v>
      </c>
      <c r="AX1867" s="33">
        <v>28</v>
      </c>
      <c r="AY1867" s="262" t="s">
        <v>267</v>
      </c>
      <c r="AZ1867" s="33" t="s">
        <v>6212</v>
      </c>
      <c r="BA1867" s="33">
        <v>20</v>
      </c>
      <c r="BB1867" s="41" t="s">
        <v>6300</v>
      </c>
      <c r="BC1867" s="41" t="s">
        <v>5697</v>
      </c>
      <c r="BD1867" s="41"/>
      <c r="BE1867" s="33" t="s">
        <v>2449</v>
      </c>
      <c r="BF1867" s="33" t="s">
        <v>6203</v>
      </c>
      <c r="BG1867" s="33" t="s">
        <v>6203</v>
      </c>
      <c r="BH1867" s="33"/>
      <c r="BI1867" s="250">
        <v>3.0966942788573205E-5</v>
      </c>
      <c r="BJ1867" s="250">
        <v>3.0966942788573201E-2</v>
      </c>
      <c r="BK1867" s="254"/>
      <c r="BL1867" s="250">
        <f>10^((-0.8981*Z1867)+1.7108)</f>
        <v>11583.025168136202</v>
      </c>
      <c r="BM1867" s="33" t="s">
        <v>1584</v>
      </c>
      <c r="BN1867" s="33">
        <v>2E-3</v>
      </c>
      <c r="BO1867" s="33"/>
      <c r="BP1867" s="33"/>
      <c r="BQ1867" s="33"/>
      <c r="BR1867" s="33"/>
      <c r="BS1867" s="33"/>
      <c r="BT1867" s="33"/>
      <c r="BU1867" s="246"/>
      <c r="BV1867" s="33"/>
      <c r="BW1867" s="33"/>
      <c r="BX1867" s="33"/>
      <c r="BY1867" s="33"/>
      <c r="BZ1867" s="33"/>
      <c r="CA1867" s="33"/>
      <c r="CB1867" s="33"/>
      <c r="CC1867" s="33"/>
      <c r="CD1867" s="33"/>
      <c r="CE1867" s="33"/>
      <c r="CF1867" s="33"/>
      <c r="CG1867" s="33"/>
      <c r="CH1867" s="33"/>
      <c r="CI1867" s="250">
        <f t="shared" si="562"/>
        <v>2E-3</v>
      </c>
      <c r="CJ1867" s="243">
        <f t="shared" si="563"/>
        <v>-2.6989700043360187</v>
      </c>
      <c r="CK1867" s="38">
        <f t="shared" si="567"/>
        <v>374044.84024203831</v>
      </c>
      <c r="CL1867" s="247">
        <f t="shared" si="564"/>
        <v>5791512.5840681009</v>
      </c>
      <c r="CM1867" s="247"/>
      <c r="CN1867" s="247"/>
      <c r="CO1867" s="41"/>
      <c r="CP1867" s="41" t="s">
        <v>8382</v>
      </c>
      <c r="CQ1867" s="241" t="s">
        <v>272</v>
      </c>
      <c r="CR1867" s="241"/>
      <c r="CS1867" s="33"/>
      <c r="CT1867" s="33"/>
      <c r="CU1867" s="250">
        <f t="shared" si="565"/>
        <v>2794550.239975228</v>
      </c>
      <c r="CV1867" s="337">
        <f t="shared" si="568"/>
        <v>180486.02724880009</v>
      </c>
      <c r="CW1867" s="330">
        <f t="shared" si="566"/>
        <v>1</v>
      </c>
      <c r="CX1867" s="330"/>
      <c r="CY1867" s="143" t="s">
        <v>5921</v>
      </c>
    </row>
    <row r="1868" spans="1:103" ht="11.25" customHeight="1" x14ac:dyDescent="0.2">
      <c r="A1868" s="72">
        <v>1866</v>
      </c>
      <c r="B1868" s="241">
        <v>2005</v>
      </c>
      <c r="C1868" s="32" t="s">
        <v>5569</v>
      </c>
      <c r="D1868" s="32"/>
      <c r="E1868" s="40"/>
      <c r="F1868" s="40" t="s">
        <v>1294</v>
      </c>
      <c r="G1868" s="242">
        <v>6734801</v>
      </c>
      <c r="H1868" s="41" t="s">
        <v>5001</v>
      </c>
      <c r="I1868" s="41" t="s">
        <v>8095</v>
      </c>
      <c r="J1868" s="41" t="s">
        <v>5570</v>
      </c>
      <c r="K1868" s="41" t="s">
        <v>1297</v>
      </c>
      <c r="L1868" s="41"/>
      <c r="M1868" s="41"/>
      <c r="N1868" s="36"/>
      <c r="O1868" s="41"/>
      <c r="P1868" s="41"/>
      <c r="Q1868" s="41"/>
      <c r="R1868" s="41"/>
      <c r="S1868" s="41"/>
      <c r="T1868" s="33">
        <v>129.16999999999999</v>
      </c>
      <c r="U1868" s="250">
        <v>5589.1004799504562</v>
      </c>
      <c r="V1868" s="250">
        <v>7741.136398823347</v>
      </c>
      <c r="W1868" s="250">
        <v>177.82794100389225</v>
      </c>
      <c r="X1868" s="250">
        <v>5589.1004799504562</v>
      </c>
      <c r="Y1868" s="415">
        <v>1.98</v>
      </c>
      <c r="Z1868" s="33">
        <v>-2.62</v>
      </c>
      <c r="AA1868" s="33"/>
      <c r="AB1868" s="33">
        <v>0.78</v>
      </c>
      <c r="AC1868" s="33">
        <v>0.66080000000000005</v>
      </c>
      <c r="AD1868" s="33">
        <v>0.78</v>
      </c>
      <c r="AE1868" s="33">
        <v>0.78</v>
      </c>
      <c r="AF1868" s="33">
        <f t="shared" si="556"/>
        <v>0.78</v>
      </c>
      <c r="AG1868" s="34">
        <v>0.78</v>
      </c>
      <c r="AH1868" s="250">
        <v>1.36E-11</v>
      </c>
      <c r="AI1868" s="250"/>
      <c r="AJ1868" s="34">
        <f t="shared" si="557"/>
        <v>-9.2550274179424346</v>
      </c>
      <c r="AK1868" s="34"/>
      <c r="AL1868" s="34">
        <f t="shared" si="555"/>
        <v>-9.2550274179424346</v>
      </c>
      <c r="AM1868" s="34">
        <v>-6.0241499999999997</v>
      </c>
      <c r="AN1868" s="251"/>
      <c r="AO1868" s="417">
        <v>4.63</v>
      </c>
      <c r="AP1868" s="417">
        <v>0.87</v>
      </c>
      <c r="AQ1868" s="251" t="s">
        <v>6311</v>
      </c>
      <c r="AR1868" s="251" t="s">
        <v>6311</v>
      </c>
      <c r="AS1868" s="252" t="s">
        <v>5466</v>
      </c>
      <c r="AT1868" s="35" t="s">
        <v>266</v>
      </c>
      <c r="AU1868" s="33">
        <v>4</v>
      </c>
      <c r="AV1868" s="33">
        <v>24</v>
      </c>
      <c r="AW1868" s="33">
        <v>20</v>
      </c>
      <c r="AX1868" s="33">
        <v>28</v>
      </c>
      <c r="AY1868" s="253">
        <v>0.59027777777777779</v>
      </c>
      <c r="AZ1868" s="33" t="s">
        <v>6282</v>
      </c>
      <c r="BA1868" s="33">
        <v>20</v>
      </c>
      <c r="BB1868" s="41" t="s">
        <v>6283</v>
      </c>
      <c r="BC1868" s="41" t="s">
        <v>6284</v>
      </c>
      <c r="BD1868" s="41"/>
      <c r="BE1868" s="41" t="s">
        <v>6285</v>
      </c>
      <c r="BF1868" s="33" t="s">
        <v>272</v>
      </c>
      <c r="BG1868" s="33" t="s">
        <v>272</v>
      </c>
      <c r="BH1868" s="33" t="s">
        <v>5936</v>
      </c>
      <c r="BI1868" s="250">
        <v>4.6E-5</v>
      </c>
      <c r="BJ1868" s="250">
        <v>4.0000000000000001E-3</v>
      </c>
      <c r="BK1868" s="254"/>
      <c r="BL1868" s="250">
        <f>10^((-0.8981*Z1868)+1.7108)</f>
        <v>11583.025168136202</v>
      </c>
      <c r="BM1868" s="33" t="s">
        <v>6250</v>
      </c>
      <c r="BN1868" s="33">
        <v>1.9499999999999999E-3</v>
      </c>
      <c r="BO1868" s="33"/>
      <c r="BP1868" s="33"/>
      <c r="BQ1868" s="33"/>
      <c r="BR1868" s="33"/>
      <c r="BS1868" s="33"/>
      <c r="BT1868" s="33"/>
      <c r="BU1868" s="246"/>
      <c r="BV1868" s="33"/>
      <c r="BW1868" s="33"/>
      <c r="BX1868" s="33"/>
      <c r="BY1868" s="33"/>
      <c r="BZ1868" s="33"/>
      <c r="CA1868" s="33"/>
      <c r="CB1868" s="33"/>
      <c r="CC1868" s="33"/>
      <c r="CD1868" s="33"/>
      <c r="CE1868" s="33"/>
      <c r="CF1868" s="33"/>
      <c r="CG1868" s="33"/>
      <c r="CH1868" s="33"/>
      <c r="CI1868" s="250">
        <f t="shared" si="562"/>
        <v>1.9499999999999999E-3</v>
      </c>
      <c r="CJ1868" s="243">
        <f t="shared" si="563"/>
        <v>-2.7099653886374822</v>
      </c>
      <c r="CK1868" s="38">
        <f t="shared" si="567"/>
        <v>2895756.2920340504</v>
      </c>
      <c r="CL1868" s="247">
        <f t="shared" si="564"/>
        <v>5940012.9067365145</v>
      </c>
      <c r="CM1868" s="247"/>
      <c r="CN1868" s="247"/>
      <c r="CO1868" s="41"/>
      <c r="CP1868" s="41" t="s">
        <v>6286</v>
      </c>
      <c r="CQ1868" s="241" t="s">
        <v>272</v>
      </c>
      <c r="CR1868" s="241"/>
      <c r="CS1868" s="33"/>
      <c r="CT1868" s="33"/>
      <c r="CU1868" s="250">
        <f t="shared" si="565"/>
        <v>2866205.3743335675</v>
      </c>
      <c r="CV1868" s="337">
        <f t="shared" si="568"/>
        <v>1397275.119987614</v>
      </c>
      <c r="CW1868" s="330">
        <f t="shared" si="566"/>
        <v>1</v>
      </c>
      <c r="CX1868" s="330"/>
      <c r="CY1868" s="143" t="s">
        <v>5921</v>
      </c>
    </row>
    <row r="1869" spans="1:103" ht="11.25" customHeight="1" x14ac:dyDescent="0.2">
      <c r="A1869" s="72">
        <v>1867</v>
      </c>
      <c r="B1869" s="241">
        <v>167</v>
      </c>
      <c r="C1869" s="32" t="s">
        <v>873</v>
      </c>
      <c r="D1869" s="32"/>
      <c r="E1869" s="40"/>
      <c r="F1869" s="40" t="s">
        <v>874</v>
      </c>
      <c r="G1869" s="242">
        <v>7087685</v>
      </c>
      <c r="H1869" s="36" t="s">
        <v>875</v>
      </c>
      <c r="I1869" s="36" t="s">
        <v>875</v>
      </c>
      <c r="J1869" s="36" t="s">
        <v>876</v>
      </c>
      <c r="K1869" s="36" t="s">
        <v>300</v>
      </c>
      <c r="L1869" s="36"/>
      <c r="M1869" s="36"/>
      <c r="N1869" s="36"/>
      <c r="O1869" s="36"/>
      <c r="P1869" s="41"/>
      <c r="Q1869" s="41"/>
      <c r="R1869" s="41"/>
      <c r="S1869" s="41"/>
      <c r="T1869" s="37">
        <v>129.24</v>
      </c>
      <c r="U1869" s="243"/>
      <c r="V1869" s="243">
        <v>72.222222222222214</v>
      </c>
      <c r="W1869" s="243">
        <v>66.06934480075958</v>
      </c>
      <c r="X1869" s="243">
        <f>IF(W1869=0,V1869,W1869)</f>
        <v>66.06934480075958</v>
      </c>
      <c r="Y1869" s="414">
        <v>11.87</v>
      </c>
      <c r="Z1869" s="37">
        <v>2.35</v>
      </c>
      <c r="AA1869" s="37"/>
      <c r="AB1869" s="37">
        <v>2.4700000000000002</v>
      </c>
      <c r="AC1869" s="37">
        <v>0.70730000000000004</v>
      </c>
      <c r="AD1869" s="37">
        <v>2.42</v>
      </c>
      <c r="AE1869" s="37">
        <v>2.35</v>
      </c>
      <c r="AF1869" s="37">
        <f t="shared" si="556"/>
        <v>2.42</v>
      </c>
      <c r="AG1869" s="38">
        <v>2.19</v>
      </c>
      <c r="AH1869" s="243">
        <v>1.5100000000000001E-4</v>
      </c>
      <c r="AI1869" s="243"/>
      <c r="AJ1869" s="34">
        <f t="shared" si="557"/>
        <v>-2.2095893790194823</v>
      </c>
      <c r="AK1869" s="34"/>
      <c r="AL1869" s="34">
        <f t="shared" si="555"/>
        <v>-2.2095893790194823</v>
      </c>
      <c r="AM1869" s="34">
        <v>-3.5539799999999997</v>
      </c>
      <c r="AN1869" s="244">
        <v>-1.64</v>
      </c>
      <c r="AO1869" s="417"/>
      <c r="AP1869" s="417">
        <v>10.98</v>
      </c>
      <c r="AQ1869" s="244" t="s">
        <v>6311</v>
      </c>
      <c r="AR1869" s="244" t="s">
        <v>6311</v>
      </c>
      <c r="AS1869" s="241" t="s">
        <v>81</v>
      </c>
      <c r="AT1869" s="39" t="s">
        <v>266</v>
      </c>
      <c r="AU1869" s="37">
        <v>0</v>
      </c>
      <c r="AV1869" s="37">
        <v>48</v>
      </c>
      <c r="AW1869" s="37">
        <v>48</v>
      </c>
      <c r="AX1869" s="37">
        <v>26</v>
      </c>
      <c r="AY1869" s="37" t="s">
        <v>8722</v>
      </c>
      <c r="AZ1869" s="37" t="s">
        <v>536</v>
      </c>
      <c r="BA1869" s="37">
        <v>20</v>
      </c>
      <c r="BB1869" s="36" t="s">
        <v>537</v>
      </c>
      <c r="BC1869" s="36" t="s">
        <v>648</v>
      </c>
      <c r="BD1869" s="36"/>
      <c r="BE1869" s="245" t="s">
        <v>649</v>
      </c>
      <c r="BF1869" s="37" t="s">
        <v>539</v>
      </c>
      <c r="BG1869" s="37" t="s">
        <v>272</v>
      </c>
      <c r="BH1869" s="37" t="s">
        <v>272</v>
      </c>
      <c r="BI1869" s="248">
        <v>0.44719535783365566</v>
      </c>
      <c r="BJ1869" s="248">
        <v>1.2765957446808511</v>
      </c>
      <c r="BK1869" s="37"/>
      <c r="BL1869" s="243">
        <f>10^((-0.8981*Z1869)+1.7108)</f>
        <v>0.39835016372498561</v>
      </c>
      <c r="BM1869" s="37" t="s">
        <v>541</v>
      </c>
      <c r="BN1869" s="37"/>
      <c r="BO1869" s="37">
        <v>0.80900000000000005</v>
      </c>
      <c r="BP1869" s="37"/>
      <c r="BQ1869" s="37"/>
      <c r="BR1869" s="37"/>
      <c r="BS1869" s="37"/>
      <c r="BT1869" s="37"/>
      <c r="BU1869" s="246"/>
      <c r="BV1869" s="37"/>
      <c r="BW1869" s="37"/>
      <c r="BX1869" s="37"/>
      <c r="BY1869" s="37"/>
      <c r="BZ1869" s="37"/>
      <c r="CA1869" s="37"/>
      <c r="CB1869" s="37"/>
      <c r="CC1869" s="37"/>
      <c r="CD1869" s="37"/>
      <c r="CE1869" s="37"/>
      <c r="CF1869" s="37"/>
      <c r="CG1869" s="37"/>
      <c r="CH1869" s="37"/>
      <c r="CI1869" s="243">
        <f t="shared" si="562"/>
        <v>0.80900000000000005</v>
      </c>
      <c r="CJ1869" s="243">
        <f t="shared" si="563"/>
        <v>-9.2051478387727662E-2</v>
      </c>
      <c r="CK1869" s="38">
        <f t="shared" si="567"/>
        <v>0.31204096158457206</v>
      </c>
      <c r="CL1869" s="247">
        <f t="shared" si="564"/>
        <v>0.492398224629154</v>
      </c>
      <c r="CM1869" s="247"/>
      <c r="CN1869" s="247"/>
      <c r="CO1869" s="36"/>
      <c r="CP1869" s="36" t="s">
        <v>772</v>
      </c>
      <c r="CQ1869" s="241" t="s">
        <v>272</v>
      </c>
      <c r="CR1869" s="241"/>
      <c r="CS1869" s="33"/>
      <c r="CT1869" s="33"/>
      <c r="CU1869" s="250">
        <f t="shared" si="565"/>
        <v>81.667916935425922</v>
      </c>
      <c r="CV1869" s="337">
        <f t="shared" si="568"/>
        <v>51.754320093928335</v>
      </c>
      <c r="CW1869" s="330">
        <f t="shared" si="566"/>
        <v>1</v>
      </c>
      <c r="CX1869" s="330"/>
      <c r="CY1869" s="143" t="s">
        <v>6351</v>
      </c>
    </row>
    <row r="1870" spans="1:103" ht="11.25" customHeight="1" x14ac:dyDescent="0.2">
      <c r="A1870" s="72">
        <v>1868</v>
      </c>
      <c r="B1870" s="241">
        <v>110</v>
      </c>
      <c r="C1870" s="32" t="s">
        <v>691</v>
      </c>
      <c r="D1870" s="32"/>
      <c r="E1870" s="40"/>
      <c r="F1870" s="40" t="s">
        <v>692</v>
      </c>
      <c r="G1870" s="242">
        <v>7324176</v>
      </c>
      <c r="H1870" s="36"/>
      <c r="I1870" s="36" t="s">
        <v>7877</v>
      </c>
      <c r="J1870" s="36" t="s">
        <v>693</v>
      </c>
      <c r="K1870" s="36"/>
      <c r="L1870" s="36"/>
      <c r="M1870" s="36"/>
      <c r="N1870" s="36"/>
      <c r="O1870" s="36"/>
      <c r="P1870" s="41"/>
      <c r="Q1870" s="41"/>
      <c r="R1870" s="41"/>
      <c r="S1870" s="41"/>
      <c r="T1870" s="37">
        <v>178.21</v>
      </c>
      <c r="U1870" s="243"/>
      <c r="V1870" s="243"/>
      <c r="W1870" s="243">
        <v>36.307805477010135</v>
      </c>
      <c r="X1870" s="243">
        <f>IF(W1870=0,V1870,W1870)</f>
        <v>36.307805477010135</v>
      </c>
      <c r="Y1870" s="414">
        <v>4.82</v>
      </c>
      <c r="Z1870" s="37"/>
      <c r="AA1870" s="37"/>
      <c r="AB1870" s="37"/>
      <c r="AC1870" s="37"/>
      <c r="AD1870" s="37"/>
      <c r="AE1870" s="37"/>
      <c r="AF1870" s="37"/>
      <c r="AG1870" s="38">
        <v>4.92</v>
      </c>
      <c r="AH1870" s="243"/>
      <c r="AI1870" s="243"/>
      <c r="AJ1870" s="34"/>
      <c r="AK1870" s="34"/>
      <c r="AL1870" s="34"/>
      <c r="AM1870" s="34"/>
      <c r="AN1870" s="244">
        <v>-30.5</v>
      </c>
      <c r="AO1870" s="417">
        <v>1.95</v>
      </c>
      <c r="AP1870" s="417">
        <v>8.02</v>
      </c>
      <c r="AQ1870" s="244" t="s">
        <v>6317</v>
      </c>
      <c r="AR1870" s="244" t="s">
        <v>6317</v>
      </c>
      <c r="AS1870" s="241" t="s">
        <v>63</v>
      </c>
      <c r="AT1870" s="39" t="s">
        <v>266</v>
      </c>
      <c r="AU1870" s="37">
        <v>0</v>
      </c>
      <c r="AV1870" s="37" t="s">
        <v>646</v>
      </c>
      <c r="AW1870" s="37" t="s">
        <v>646</v>
      </c>
      <c r="AX1870" s="37">
        <v>26</v>
      </c>
      <c r="AY1870" s="37" t="s">
        <v>647</v>
      </c>
      <c r="AZ1870" s="37" t="s">
        <v>536</v>
      </c>
      <c r="BA1870" s="37">
        <v>20</v>
      </c>
      <c r="BB1870" s="36" t="s">
        <v>537</v>
      </c>
      <c r="BC1870" s="36" t="s">
        <v>648</v>
      </c>
      <c r="BD1870" s="36"/>
      <c r="BE1870" s="245" t="s">
        <v>649</v>
      </c>
      <c r="BF1870" s="245" t="s">
        <v>650</v>
      </c>
      <c r="BG1870" s="245" t="s">
        <v>540</v>
      </c>
      <c r="BH1870" s="245" t="s">
        <v>272</v>
      </c>
      <c r="BI1870" s="243">
        <v>0.85899999999999999</v>
      </c>
      <c r="BJ1870" s="243">
        <v>4.3600000000000003</v>
      </c>
      <c r="BK1870" s="37"/>
      <c r="BL1870" s="243"/>
      <c r="BM1870" s="37" t="s">
        <v>541</v>
      </c>
      <c r="BN1870" s="37"/>
      <c r="BO1870" s="37">
        <v>1.7589999999999999</v>
      </c>
      <c r="BP1870" s="37"/>
      <c r="BQ1870" s="37"/>
      <c r="BR1870" s="37"/>
      <c r="BS1870" s="37"/>
      <c r="BT1870" s="37"/>
      <c r="BU1870" s="246"/>
      <c r="BV1870" s="37"/>
      <c r="BW1870" s="37"/>
      <c r="BX1870" s="37"/>
      <c r="BY1870" s="37"/>
      <c r="BZ1870" s="37"/>
      <c r="CA1870" s="37"/>
      <c r="CB1870" s="37"/>
      <c r="CC1870" s="37"/>
      <c r="CD1870" s="37"/>
      <c r="CE1870" s="37"/>
      <c r="CF1870" s="37"/>
      <c r="CG1870" s="37"/>
      <c r="CH1870" s="37"/>
      <c r="CI1870" s="243">
        <f t="shared" si="562"/>
        <v>1.7589999999999999</v>
      </c>
      <c r="CJ1870" s="243">
        <f t="shared" si="563"/>
        <v>0.24526583945746125</v>
      </c>
      <c r="CK1870" s="38">
        <f t="shared" si="567"/>
        <v>0</v>
      </c>
      <c r="CL1870" s="247">
        <f t="shared" si="564"/>
        <v>0</v>
      </c>
      <c r="CM1870" s="247"/>
      <c r="CN1870" s="247"/>
      <c r="CO1870" s="36"/>
      <c r="CP1870" s="36" t="s">
        <v>651</v>
      </c>
      <c r="CQ1870" s="241" t="s">
        <v>272</v>
      </c>
      <c r="CR1870" s="241"/>
      <c r="CS1870" s="33"/>
      <c r="CT1870" s="33"/>
      <c r="CU1870" s="250">
        <f t="shared" si="565"/>
        <v>20.641162863564603</v>
      </c>
      <c r="CV1870" s="337">
        <f t="shared" si="568"/>
        <v>8.3274783204151674</v>
      </c>
      <c r="CW1870" s="330">
        <f t="shared" si="566"/>
        <v>1</v>
      </c>
      <c r="CX1870" s="330"/>
      <c r="CY1870" s="143" t="s">
        <v>5921</v>
      </c>
    </row>
    <row r="1871" spans="1:103" ht="11.25" customHeight="1" x14ac:dyDescent="0.2">
      <c r="A1871" s="72">
        <v>1869</v>
      </c>
      <c r="B1871" s="241">
        <v>825</v>
      </c>
      <c r="C1871" s="32" t="s">
        <v>2344</v>
      </c>
      <c r="D1871" s="32"/>
      <c r="E1871" s="40"/>
      <c r="F1871" s="40" t="s">
        <v>2345</v>
      </c>
      <c r="G1871" s="242">
        <v>8001545</v>
      </c>
      <c r="H1871" s="36" t="s">
        <v>2346</v>
      </c>
      <c r="I1871" s="36" t="s">
        <v>8248</v>
      </c>
      <c r="J1871" s="36"/>
      <c r="K1871" s="36" t="s">
        <v>426</v>
      </c>
      <c r="L1871" s="36"/>
      <c r="M1871" s="36"/>
      <c r="N1871" s="36"/>
      <c r="O1871" s="36"/>
      <c r="P1871" s="41"/>
      <c r="Q1871" s="41"/>
      <c r="R1871" s="41"/>
      <c r="S1871" s="41"/>
      <c r="T1871" s="37">
        <v>340</v>
      </c>
      <c r="U1871" s="243"/>
      <c r="V1871" s="243">
        <v>6.6088235294117642E-2</v>
      </c>
      <c r="W1871" s="243">
        <v>251.188643150958</v>
      </c>
      <c r="X1871" s="243">
        <f>IF(W1871=0,V1871,W1871)</f>
        <v>251.188643150958</v>
      </c>
      <c r="Y1871" s="414">
        <v>7</v>
      </c>
      <c r="Z1871" s="37">
        <v>2.93</v>
      </c>
      <c r="AA1871" s="37"/>
      <c r="AB1871" s="37">
        <v>2.88</v>
      </c>
      <c r="AC1871" s="37">
        <v>0.71089999999999998</v>
      </c>
      <c r="AD1871" s="37">
        <v>2.4300000000000002</v>
      </c>
      <c r="AE1871" s="37">
        <v>1.69</v>
      </c>
      <c r="AF1871" s="37">
        <f>IF(AA1871=0,AD1871,AA1871)</f>
        <v>2.4300000000000002</v>
      </c>
      <c r="AG1871" s="38">
        <v>2.4300000000000002</v>
      </c>
      <c r="AH1871" s="243">
        <v>7.6100000000000001E-12</v>
      </c>
      <c r="AI1871" s="243"/>
      <c r="AJ1871" s="34">
        <f>LOG10(AH1871*1000/(0.08206*298.15))</f>
        <v>-9.5071816695420797</v>
      </c>
      <c r="AK1871" s="34"/>
      <c r="AL1871" s="34">
        <f>IF(AK1871=0,AJ1871,AK1871)</f>
        <v>-9.5071816695420797</v>
      </c>
      <c r="AM1871" s="34">
        <v>-3.6910100000000003</v>
      </c>
      <c r="AN1871" s="244"/>
      <c r="AO1871" s="417"/>
      <c r="AP1871" s="417"/>
      <c r="AQ1871" s="37" t="s">
        <v>6311</v>
      </c>
      <c r="AR1871" s="37" t="s">
        <v>6311</v>
      </c>
      <c r="AS1871" s="241" t="s">
        <v>1154</v>
      </c>
      <c r="AT1871" s="39" t="s">
        <v>266</v>
      </c>
      <c r="AU1871" s="245"/>
      <c r="AV1871" s="245">
        <v>0</v>
      </c>
      <c r="AW1871" s="37">
        <v>48</v>
      </c>
      <c r="AX1871" s="37">
        <v>25</v>
      </c>
      <c r="AY1871" s="37" t="s">
        <v>8722</v>
      </c>
      <c r="AZ1871" s="37" t="s">
        <v>2263</v>
      </c>
      <c r="BA1871" s="37">
        <v>20</v>
      </c>
      <c r="BB1871" s="36" t="s">
        <v>1764</v>
      </c>
      <c r="BC1871" s="36" t="s">
        <v>2264</v>
      </c>
      <c r="BD1871" s="36"/>
      <c r="BE1871" s="37" t="s">
        <v>2265</v>
      </c>
      <c r="BF1871" s="37" t="s">
        <v>2266</v>
      </c>
      <c r="BG1871" s="37" t="s">
        <v>2266</v>
      </c>
      <c r="BH1871" s="37" t="s">
        <v>272</v>
      </c>
      <c r="BI1871" s="243" t="s">
        <v>8722</v>
      </c>
      <c r="BJ1871" s="243" t="s">
        <v>8722</v>
      </c>
      <c r="BK1871" s="37" t="s">
        <v>2267</v>
      </c>
      <c r="BL1871" s="243">
        <f>10^((-0.8981*Z1871)+1.7108)</f>
        <v>0.12005133669173984</v>
      </c>
      <c r="BM1871" s="37" t="s">
        <v>1584</v>
      </c>
      <c r="BN1871" s="37"/>
      <c r="BO1871" s="37">
        <v>2.8529411764705885E-3</v>
      </c>
      <c r="BP1871" s="37"/>
      <c r="BQ1871" s="37"/>
      <c r="BR1871" s="37"/>
      <c r="BS1871" s="37"/>
      <c r="BT1871" s="37"/>
      <c r="BU1871" s="246"/>
      <c r="BV1871" s="37"/>
      <c r="BW1871" s="37"/>
      <c r="BX1871" s="37"/>
      <c r="BY1871" s="37"/>
      <c r="BZ1871" s="37"/>
      <c r="CA1871" s="37"/>
      <c r="CB1871" s="37"/>
      <c r="CC1871" s="37"/>
      <c r="CD1871" s="37"/>
      <c r="CE1871" s="37"/>
      <c r="CF1871" s="37"/>
      <c r="CG1871" s="37"/>
      <c r="CH1871" s="37"/>
      <c r="CI1871" s="243">
        <f t="shared" si="562"/>
        <v>2.8529411764705885E-3</v>
      </c>
      <c r="CJ1871" s="243">
        <f t="shared" si="563"/>
        <v>-2.5447071827760102</v>
      </c>
      <c r="CK1871" s="38" t="s">
        <v>404</v>
      </c>
      <c r="CL1871" s="247">
        <f t="shared" si="564"/>
        <v>42.07984997442427</v>
      </c>
      <c r="CM1871" s="247"/>
      <c r="CN1871" s="247"/>
      <c r="CO1871" s="36"/>
      <c r="CP1871" s="36" t="s">
        <v>2268</v>
      </c>
      <c r="CQ1871" s="241">
        <v>-2.7485550077054963</v>
      </c>
      <c r="CR1871" s="241">
        <f>10^(CJ1871-CQ1871)</f>
        <v>1.5989976479847841</v>
      </c>
      <c r="CS1871" s="33"/>
      <c r="CT1871" s="33" t="s">
        <v>6310</v>
      </c>
      <c r="CU1871" s="250">
        <f t="shared" si="565"/>
        <v>88045.503784871864</v>
      </c>
      <c r="CV1871" s="337"/>
      <c r="CW1871" s="330">
        <f t="shared" si="566"/>
        <v>1</v>
      </c>
      <c r="CX1871" s="330" t="s">
        <v>539</v>
      </c>
      <c r="CY1871" s="143" t="s">
        <v>5921</v>
      </c>
    </row>
    <row r="1872" spans="1:103" ht="11.25" customHeight="1" x14ac:dyDescent="0.2">
      <c r="A1872" s="72">
        <v>1870</v>
      </c>
      <c r="B1872" s="241">
        <v>826</v>
      </c>
      <c r="C1872" s="32" t="s">
        <v>2347</v>
      </c>
      <c r="D1872" s="32"/>
      <c r="E1872" s="40"/>
      <c r="F1872" s="40" t="s">
        <v>2348</v>
      </c>
      <c r="G1872" s="242">
        <v>8047152</v>
      </c>
      <c r="H1872" s="36"/>
      <c r="I1872" s="36" t="s">
        <v>7877</v>
      </c>
      <c r="J1872" s="36"/>
      <c r="K1872" s="36"/>
      <c r="L1872" s="36"/>
      <c r="M1872" s="36"/>
      <c r="N1872" s="36"/>
      <c r="O1872" s="36"/>
      <c r="P1872" s="41"/>
      <c r="Q1872" s="41"/>
      <c r="R1872" s="41"/>
      <c r="S1872" s="41"/>
      <c r="T1872" s="37" t="s">
        <v>404</v>
      </c>
      <c r="U1872" s="243"/>
      <c r="V1872" s="243"/>
      <c r="W1872" s="243"/>
      <c r="X1872" s="243"/>
      <c r="Y1872" s="414"/>
      <c r="Z1872" s="37"/>
      <c r="AA1872" s="37"/>
      <c r="AB1872" s="37"/>
      <c r="AC1872" s="37"/>
      <c r="AD1872" s="37"/>
      <c r="AE1872" s="37"/>
      <c r="AF1872" s="37"/>
      <c r="AG1872" s="38" t="s">
        <v>5921</v>
      </c>
      <c r="AH1872" s="243"/>
      <c r="AI1872" s="243"/>
      <c r="AJ1872" s="34"/>
      <c r="AK1872" s="34"/>
      <c r="AL1872" s="34"/>
      <c r="AM1872" s="34"/>
      <c r="AN1872" s="244"/>
      <c r="AO1872" s="417"/>
      <c r="AP1872" s="417"/>
      <c r="AQ1872" s="37" t="s">
        <v>6317</v>
      </c>
      <c r="AR1872" s="37" t="s">
        <v>6317</v>
      </c>
      <c r="AS1872" s="241" t="s">
        <v>2349</v>
      </c>
      <c r="AT1872" s="39" t="s">
        <v>266</v>
      </c>
      <c r="AU1872" s="245"/>
      <c r="AV1872" s="245">
        <v>0</v>
      </c>
      <c r="AW1872" s="37">
        <v>48</v>
      </c>
      <c r="AX1872" s="37">
        <v>28.5</v>
      </c>
      <c r="AY1872" s="37" t="s">
        <v>8722</v>
      </c>
      <c r="AZ1872" s="37" t="s">
        <v>2350</v>
      </c>
      <c r="BA1872" s="37" t="s">
        <v>2351</v>
      </c>
      <c r="BB1872" s="36" t="s">
        <v>1764</v>
      </c>
      <c r="BC1872" s="36" t="s">
        <v>8722</v>
      </c>
      <c r="BD1872" s="36"/>
      <c r="BE1872" s="37" t="s">
        <v>271</v>
      </c>
      <c r="BF1872" s="37" t="s">
        <v>8722</v>
      </c>
      <c r="BG1872" s="37" t="s">
        <v>8722</v>
      </c>
      <c r="BH1872" s="37" t="s">
        <v>2352</v>
      </c>
      <c r="BI1872" s="243" t="s">
        <v>8722</v>
      </c>
      <c r="BJ1872" s="243" t="s">
        <v>8722</v>
      </c>
      <c r="BK1872" s="37"/>
      <c r="BL1872" s="243"/>
      <c r="BM1872" s="37">
        <v>0</v>
      </c>
      <c r="BN1872" s="37"/>
      <c r="BO1872" s="37" t="s">
        <v>2353</v>
      </c>
      <c r="BP1872" s="37"/>
      <c r="BQ1872" s="37"/>
      <c r="BR1872" s="37"/>
      <c r="BS1872" s="37"/>
      <c r="BT1872" s="37"/>
      <c r="BU1872" s="246"/>
      <c r="BV1872" s="37"/>
      <c r="BW1872" s="37"/>
      <c r="BX1872" s="37"/>
      <c r="BY1872" s="37"/>
      <c r="BZ1872" s="37"/>
      <c r="CA1872" s="37"/>
      <c r="CB1872" s="37"/>
      <c r="CC1872" s="37"/>
      <c r="CD1872" s="37"/>
      <c r="CE1872" s="37"/>
      <c r="CF1872" s="37"/>
      <c r="CG1872" s="37"/>
      <c r="CH1872" s="37"/>
      <c r="CI1872" s="243"/>
      <c r="CJ1872" s="243"/>
      <c r="CK1872" s="38" t="s">
        <v>404</v>
      </c>
      <c r="CL1872" s="247"/>
      <c r="CM1872" s="247"/>
      <c r="CN1872" s="247"/>
      <c r="CO1872" s="36"/>
      <c r="CP1872" s="36" t="s">
        <v>2354</v>
      </c>
      <c r="CQ1872" s="241" t="s">
        <v>272</v>
      </c>
      <c r="CR1872" s="241"/>
      <c r="CS1872" s="33"/>
      <c r="CT1872" s="33"/>
      <c r="CU1872" s="250" t="s">
        <v>6310</v>
      </c>
      <c r="CV1872" s="337" t="s">
        <v>6310</v>
      </c>
      <c r="CW1872" s="330">
        <f>IF(CV1872&lt;1,0,1)</f>
        <v>1</v>
      </c>
      <c r="CX1872" s="330"/>
      <c r="CY1872" s="143" t="s">
        <v>5921</v>
      </c>
    </row>
    <row r="1873" spans="1:103" ht="11.25" customHeight="1" x14ac:dyDescent="0.2">
      <c r="A1873" s="72">
        <v>1871</v>
      </c>
      <c r="B1873" s="241">
        <v>492</v>
      </c>
      <c r="C1873" s="32" t="s">
        <v>1590</v>
      </c>
      <c r="D1873" s="32"/>
      <c r="E1873" s="40"/>
      <c r="F1873" s="40" t="s">
        <v>1591</v>
      </c>
      <c r="G1873" s="242">
        <v>10075500</v>
      </c>
      <c r="H1873" s="36" t="s">
        <v>1592</v>
      </c>
      <c r="I1873" s="36" t="s">
        <v>1592</v>
      </c>
      <c r="J1873" s="36" t="s">
        <v>1593</v>
      </c>
      <c r="K1873" s="36" t="s">
        <v>1594</v>
      </c>
      <c r="L1873" s="36"/>
      <c r="M1873" s="36"/>
      <c r="N1873" s="36"/>
      <c r="O1873" s="36"/>
      <c r="P1873" s="41"/>
      <c r="Q1873" s="41"/>
      <c r="R1873" s="41"/>
      <c r="S1873" s="41"/>
      <c r="T1873" s="37">
        <v>196.04</v>
      </c>
      <c r="U1873" s="243"/>
      <c r="V1873" s="243">
        <v>0.640685574372577</v>
      </c>
      <c r="W1873" s="243">
        <v>2.3442288153199202</v>
      </c>
      <c r="X1873" s="243">
        <f>IF(W1873=0,V1873,W1873)</f>
        <v>2.3442288153199202</v>
      </c>
      <c r="Y1873" s="414">
        <v>7</v>
      </c>
      <c r="Z1873" s="37">
        <v>2.94</v>
      </c>
      <c r="AA1873" s="37">
        <v>3</v>
      </c>
      <c r="AB1873" s="37">
        <v>3.22</v>
      </c>
      <c r="AC1873" s="37">
        <v>0.89200000000000002</v>
      </c>
      <c r="AD1873" s="37">
        <v>3.17</v>
      </c>
      <c r="AE1873" s="37">
        <v>3</v>
      </c>
      <c r="AF1873" s="37">
        <f t="shared" ref="AF1873:AF1886" si="569">IF(AA1873=0,AD1873,AA1873)</f>
        <v>3</v>
      </c>
      <c r="AG1873" s="38">
        <v>2.88</v>
      </c>
      <c r="AH1873" s="243">
        <v>3.53E-7</v>
      </c>
      <c r="AI1873" s="243"/>
      <c r="AJ1873" s="34">
        <f t="shared" ref="AJ1873:AJ1878" si="570">LOG10(AH1873*1000/(0.08206*298.15))</f>
        <v>-4.8407916209248292</v>
      </c>
      <c r="AK1873" s="34"/>
      <c r="AL1873" s="34">
        <f t="shared" ref="AL1873:AL1878" si="571">IF(AK1873=0,AJ1873,AK1873)</f>
        <v>-4.8407916209248292</v>
      </c>
      <c r="AM1873" s="34">
        <v>-7.7084099999999998</v>
      </c>
      <c r="AN1873" s="244">
        <v>-4.8600000000000003</v>
      </c>
      <c r="AO1873" s="417">
        <v>16.04</v>
      </c>
      <c r="AP1873" s="417">
        <v>-5.0999999999999996</v>
      </c>
      <c r="AQ1873" s="244" t="s">
        <v>6311</v>
      </c>
      <c r="AR1873" s="244" t="s">
        <v>6311</v>
      </c>
      <c r="AS1873" s="241" t="s">
        <v>6</v>
      </c>
      <c r="AT1873" s="39" t="s">
        <v>266</v>
      </c>
      <c r="AU1873" s="37">
        <v>2</v>
      </c>
      <c r="AV1873" s="37">
        <v>48</v>
      </c>
      <c r="AW1873" s="37">
        <v>48</v>
      </c>
      <c r="AX1873" s="37">
        <v>26</v>
      </c>
      <c r="AY1873" s="37" t="s">
        <v>8722</v>
      </c>
      <c r="AZ1873" s="37" t="s">
        <v>536</v>
      </c>
      <c r="BA1873" s="37">
        <v>10</v>
      </c>
      <c r="BB1873" s="36" t="s">
        <v>537</v>
      </c>
      <c r="BC1873" s="36" t="s">
        <v>538</v>
      </c>
      <c r="BD1873" s="36"/>
      <c r="BE1873" s="37" t="s">
        <v>649</v>
      </c>
      <c r="BF1873" s="37" t="s">
        <v>539</v>
      </c>
      <c r="BG1873" s="37" t="s">
        <v>539</v>
      </c>
      <c r="BH1873" s="37" t="s">
        <v>8722</v>
      </c>
      <c r="BI1873" s="243" t="s">
        <v>8722</v>
      </c>
      <c r="BJ1873" s="243" t="s">
        <v>8722</v>
      </c>
      <c r="BK1873" s="37"/>
      <c r="BL1873" s="243">
        <f t="shared" ref="BL1873:BL1886" si="572">10^((-0.8981*Z1873)+1.7108)</f>
        <v>0.11759422655550075</v>
      </c>
      <c r="BM1873" s="37" t="s">
        <v>1584</v>
      </c>
      <c r="BN1873" s="37"/>
      <c r="BO1873" s="37">
        <v>2.8054067839836775E-2</v>
      </c>
      <c r="BP1873" s="37"/>
      <c r="BQ1873" s="37"/>
      <c r="BR1873" s="37"/>
      <c r="BS1873" s="37"/>
      <c r="BT1873" s="37"/>
      <c r="BU1873" s="246"/>
      <c r="BV1873" s="37"/>
      <c r="BW1873" s="37"/>
      <c r="BX1873" s="37"/>
      <c r="BY1873" s="37"/>
      <c r="BZ1873" s="37"/>
      <c r="CA1873" s="37"/>
      <c r="CB1873" s="37"/>
      <c r="CC1873" s="37"/>
      <c r="CD1873" s="37"/>
      <c r="CE1873" s="37"/>
      <c r="CF1873" s="37"/>
      <c r="CG1873" s="37"/>
      <c r="CH1873" s="37"/>
      <c r="CI1873" s="243">
        <f>MIN(BN1873:CH1873)</f>
        <v>2.8054067839836775E-2</v>
      </c>
      <c r="CJ1873" s="243">
        <f>LOG10(CI1873)</f>
        <v>-1.5520041571419818</v>
      </c>
      <c r="CK1873" s="38" t="s">
        <v>404</v>
      </c>
      <c r="CL1873" s="247">
        <f>BL1873/CI1873</f>
        <v>4.191699657491986</v>
      </c>
      <c r="CM1873" s="247"/>
      <c r="CN1873" s="247"/>
      <c r="CO1873" s="36"/>
      <c r="CP1873" s="36" t="s">
        <v>1585</v>
      </c>
      <c r="CQ1873" s="241" t="s">
        <v>272</v>
      </c>
      <c r="CR1873" s="241"/>
      <c r="CS1873" s="33"/>
      <c r="CT1873" s="33"/>
      <c r="CU1873" s="250">
        <f>X1873/CI1873</f>
        <v>83.561101680630983</v>
      </c>
      <c r="CV1873" s="337"/>
      <c r="CW1873" s="330">
        <f>IF(CU1873&lt;2,0,1)</f>
        <v>1</v>
      </c>
      <c r="CX1873" s="330"/>
      <c r="CY1873" s="143" t="s">
        <v>5921</v>
      </c>
    </row>
    <row r="1874" spans="1:103" ht="11.25" customHeight="1" x14ac:dyDescent="0.2">
      <c r="A1874" s="72">
        <v>1872</v>
      </c>
      <c r="B1874" s="241">
        <v>493</v>
      </c>
      <c r="C1874" s="32" t="s">
        <v>1590</v>
      </c>
      <c r="D1874" s="32"/>
      <c r="E1874" s="40"/>
      <c r="F1874" s="40" t="s">
        <v>1591</v>
      </c>
      <c r="G1874" s="242">
        <v>10075500</v>
      </c>
      <c r="H1874" s="36" t="s">
        <v>1592</v>
      </c>
      <c r="I1874" s="36" t="s">
        <v>1592</v>
      </c>
      <c r="J1874" s="36" t="s">
        <v>1593</v>
      </c>
      <c r="K1874" s="36" t="s">
        <v>1594</v>
      </c>
      <c r="L1874" s="36"/>
      <c r="M1874" s="36"/>
      <c r="N1874" s="36"/>
      <c r="O1874" s="36"/>
      <c r="P1874" s="41"/>
      <c r="Q1874" s="41"/>
      <c r="R1874" s="41"/>
      <c r="S1874" s="41"/>
      <c r="T1874" s="37">
        <v>196.04</v>
      </c>
      <c r="U1874" s="243"/>
      <c r="V1874" s="243">
        <v>0.640685574372577</v>
      </c>
      <c r="W1874" s="243">
        <v>2.3442288153199202</v>
      </c>
      <c r="X1874" s="243">
        <f>IF(W1874=0,V1874,W1874)</f>
        <v>2.3442288153199202</v>
      </c>
      <c r="Y1874" s="414">
        <v>7</v>
      </c>
      <c r="Z1874" s="37">
        <v>2.94</v>
      </c>
      <c r="AA1874" s="37">
        <v>3</v>
      </c>
      <c r="AB1874" s="37">
        <v>3.22</v>
      </c>
      <c r="AC1874" s="37">
        <v>0.89200000000000002</v>
      </c>
      <c r="AD1874" s="37">
        <v>3.17</v>
      </c>
      <c r="AE1874" s="37">
        <v>3</v>
      </c>
      <c r="AF1874" s="37">
        <f t="shared" si="569"/>
        <v>3</v>
      </c>
      <c r="AG1874" s="38">
        <v>2.88</v>
      </c>
      <c r="AH1874" s="243">
        <v>3.53E-7</v>
      </c>
      <c r="AI1874" s="243"/>
      <c r="AJ1874" s="34">
        <f t="shared" si="570"/>
        <v>-4.8407916209248292</v>
      </c>
      <c r="AK1874" s="34"/>
      <c r="AL1874" s="34">
        <f t="shared" si="571"/>
        <v>-4.8407916209248292</v>
      </c>
      <c r="AM1874" s="34">
        <v>-7.7084099999999998</v>
      </c>
      <c r="AN1874" s="244">
        <v>-4.8600000000000003</v>
      </c>
      <c r="AO1874" s="417">
        <v>16.04</v>
      </c>
      <c r="AP1874" s="417">
        <v>-5.0999999999999996</v>
      </c>
      <c r="AQ1874" s="244" t="s">
        <v>6311</v>
      </c>
      <c r="AR1874" s="244" t="s">
        <v>6311</v>
      </c>
      <c r="AS1874" s="241" t="s">
        <v>6</v>
      </c>
      <c r="AT1874" s="39" t="s">
        <v>266</v>
      </c>
      <c r="AU1874" s="37">
        <v>2</v>
      </c>
      <c r="AV1874" s="37">
        <v>48</v>
      </c>
      <c r="AW1874" s="37">
        <v>48</v>
      </c>
      <c r="AX1874" s="37">
        <v>26</v>
      </c>
      <c r="AY1874" s="37" t="s">
        <v>8722</v>
      </c>
      <c r="AZ1874" s="37" t="s">
        <v>1586</v>
      </c>
      <c r="BA1874" s="37">
        <v>60</v>
      </c>
      <c r="BB1874" s="36" t="s">
        <v>537</v>
      </c>
      <c r="BC1874" s="36" t="s">
        <v>538</v>
      </c>
      <c r="BD1874" s="36"/>
      <c r="BE1874" s="37" t="s">
        <v>271</v>
      </c>
      <c r="BF1874" s="37" t="s">
        <v>272</v>
      </c>
      <c r="BG1874" s="37" t="s">
        <v>272</v>
      </c>
      <c r="BH1874" s="37" t="s">
        <v>1587</v>
      </c>
      <c r="BI1874" s="243" t="s">
        <v>8722</v>
      </c>
      <c r="BJ1874" s="243" t="s">
        <v>8722</v>
      </c>
      <c r="BK1874" s="37"/>
      <c r="BL1874" s="243">
        <f t="shared" si="572"/>
        <v>0.11759422655550075</v>
      </c>
      <c r="BM1874" s="37" t="s">
        <v>1588</v>
      </c>
      <c r="BN1874" s="37"/>
      <c r="BO1874" s="37">
        <v>2.7084927314460595E-2</v>
      </c>
      <c r="BP1874" s="37"/>
      <c r="BQ1874" s="37"/>
      <c r="BR1874" s="37"/>
      <c r="BS1874" s="37"/>
      <c r="BT1874" s="37"/>
      <c r="BU1874" s="246"/>
      <c r="BV1874" s="37"/>
      <c r="BW1874" s="37"/>
      <c r="BX1874" s="37"/>
      <c r="BY1874" s="37"/>
      <c r="BZ1874" s="37"/>
      <c r="CA1874" s="37"/>
      <c r="CB1874" s="37"/>
      <c r="CC1874" s="37"/>
      <c r="CD1874" s="37"/>
      <c r="CE1874" s="37"/>
      <c r="CF1874" s="37"/>
      <c r="CG1874" s="37"/>
      <c r="CH1874" s="37"/>
      <c r="CI1874" s="243">
        <f>MIN(BN1874:CH1874)</f>
        <v>2.7084927314460595E-2</v>
      </c>
      <c r="CJ1874" s="243">
        <f>LOG10(CI1874)</f>
        <v>-1.5672723255547565</v>
      </c>
      <c r="CK1874" s="38" t="s">
        <v>404</v>
      </c>
      <c r="CL1874" s="247">
        <f>BL1874/CI1874</f>
        <v>4.3416851442949014</v>
      </c>
      <c r="CM1874" s="247"/>
      <c r="CN1874" s="247"/>
      <c r="CO1874" s="36"/>
      <c r="CP1874" s="36" t="s">
        <v>1589</v>
      </c>
      <c r="CQ1874" s="241" t="s">
        <v>272</v>
      </c>
      <c r="CR1874" s="241"/>
      <c r="CS1874" s="33"/>
      <c r="CT1874" s="33"/>
      <c r="CU1874" s="250">
        <f>X1874/CI1874</f>
        <v>86.551046938506673</v>
      </c>
      <c r="CV1874" s="337"/>
      <c r="CW1874" s="330">
        <f>IF(CU1874&lt;2,0,1)</f>
        <v>1</v>
      </c>
      <c r="CX1874" s="330"/>
      <c r="CY1874" s="143" t="s">
        <v>5921</v>
      </c>
    </row>
    <row r="1875" spans="1:103" ht="11.25" customHeight="1" x14ac:dyDescent="0.2">
      <c r="A1875" s="72">
        <v>1873</v>
      </c>
      <c r="B1875" s="241">
        <v>1313</v>
      </c>
      <c r="C1875" s="32" t="s">
        <v>4014</v>
      </c>
      <c r="D1875" s="32"/>
      <c r="E1875" s="40"/>
      <c r="F1875" s="40" t="s">
        <v>4015</v>
      </c>
      <c r="G1875" s="242">
        <v>10453868</v>
      </c>
      <c r="H1875" s="36" t="s">
        <v>4016</v>
      </c>
      <c r="I1875" s="36" t="s">
        <v>4016</v>
      </c>
      <c r="J1875" s="36" t="s">
        <v>4017</v>
      </c>
      <c r="K1875" s="36" t="s">
        <v>4018</v>
      </c>
      <c r="L1875" s="36" t="s">
        <v>617</v>
      </c>
      <c r="M1875" s="36" t="s">
        <v>1086</v>
      </c>
      <c r="N1875" s="36" t="s">
        <v>6376</v>
      </c>
      <c r="O1875" s="36" t="s">
        <v>918</v>
      </c>
      <c r="P1875" s="41"/>
      <c r="Q1875" s="41"/>
      <c r="R1875" s="41"/>
      <c r="S1875" s="41"/>
      <c r="T1875" s="37">
        <v>338.44</v>
      </c>
      <c r="U1875" s="243">
        <v>8.864200449119489E-4</v>
      </c>
      <c r="V1875" s="243">
        <v>1.2262143954615295E-4</v>
      </c>
      <c r="W1875" s="243">
        <v>2.4547089156850268E-3</v>
      </c>
      <c r="X1875" s="243">
        <v>8.864200449119489E-4</v>
      </c>
      <c r="Y1875" s="414">
        <v>7</v>
      </c>
      <c r="Z1875" s="37">
        <v>7.11</v>
      </c>
      <c r="AA1875" s="37">
        <v>6.14</v>
      </c>
      <c r="AB1875" s="37">
        <v>6.42</v>
      </c>
      <c r="AC1875" s="37">
        <v>0.85070000000000001</v>
      </c>
      <c r="AD1875" s="37">
        <v>6.47</v>
      </c>
      <c r="AE1875" s="37">
        <v>6.63</v>
      </c>
      <c r="AF1875" s="37">
        <f t="shared" si="569"/>
        <v>6.14</v>
      </c>
      <c r="AG1875" s="38">
        <v>5.17</v>
      </c>
      <c r="AH1875" s="243">
        <v>5.5600000000000001E-6</v>
      </c>
      <c r="AI1875" s="243">
        <v>1.3300000000000001E-7</v>
      </c>
      <c r="AJ1875" s="34">
        <f t="shared" si="570"/>
        <v>-3.6434915347305945</v>
      </c>
      <c r="AK1875" s="34">
        <f>LOG10(AI1875*1000/(0.08206*298.15))</f>
        <v>-5.2647146853455657</v>
      </c>
      <c r="AL1875" s="34">
        <f t="shared" si="571"/>
        <v>-5.2647146853455657</v>
      </c>
      <c r="AM1875" s="34">
        <v>-9.6268199999999986</v>
      </c>
      <c r="AN1875" s="244">
        <v>-4.79</v>
      </c>
      <c r="AO1875" s="417"/>
      <c r="AP1875" s="417"/>
      <c r="AQ1875" s="244" t="s">
        <v>6311</v>
      </c>
      <c r="AR1875" s="244" t="s">
        <v>6312</v>
      </c>
      <c r="AS1875" s="241" t="s">
        <v>6</v>
      </c>
      <c r="AT1875" s="39" t="s">
        <v>266</v>
      </c>
      <c r="AU1875" s="37">
        <v>2</v>
      </c>
      <c r="AV1875" s="37">
        <v>120</v>
      </c>
      <c r="AW1875" s="37">
        <v>120</v>
      </c>
      <c r="AX1875" s="37">
        <v>28</v>
      </c>
      <c r="AY1875" s="37" t="s">
        <v>8722</v>
      </c>
      <c r="AZ1875" s="37" t="s">
        <v>536</v>
      </c>
      <c r="BA1875" s="37" t="s">
        <v>8722</v>
      </c>
      <c r="BB1875" s="36" t="s">
        <v>2087</v>
      </c>
      <c r="BC1875" s="36" t="s">
        <v>2088</v>
      </c>
      <c r="BD1875" s="36"/>
      <c r="BE1875" s="37" t="s">
        <v>271</v>
      </c>
      <c r="BF1875" s="37" t="s">
        <v>272</v>
      </c>
      <c r="BG1875" s="37" t="s">
        <v>272</v>
      </c>
      <c r="BH1875" s="37" t="s">
        <v>2089</v>
      </c>
      <c r="BI1875" s="243">
        <v>1.4773230905599057E-4</v>
      </c>
      <c r="BJ1875" s="243">
        <v>8.8639385433594332E-4</v>
      </c>
      <c r="BK1875" s="37"/>
      <c r="BL1875" s="243">
        <f t="shared" si="572"/>
        <v>2.1149933198222998E-5</v>
      </c>
      <c r="BM1875" s="37" t="s">
        <v>2090</v>
      </c>
      <c r="BN1875" s="37"/>
      <c r="BO1875" s="37"/>
      <c r="BP1875" s="37"/>
      <c r="BQ1875" s="37"/>
      <c r="BR1875" s="37"/>
      <c r="BS1875" s="37"/>
      <c r="BT1875" s="37"/>
      <c r="BU1875" s="246"/>
      <c r="BV1875" s="37"/>
      <c r="BW1875" s="37"/>
      <c r="BX1875" s="37"/>
      <c r="BY1875" s="37"/>
      <c r="BZ1875" s="37"/>
      <c r="CA1875" s="37"/>
      <c r="CB1875" s="37"/>
      <c r="CC1875" s="37"/>
      <c r="CD1875" s="37"/>
      <c r="CE1875" s="37"/>
      <c r="CF1875" s="37"/>
      <c r="CG1875" s="37"/>
      <c r="CH1875" s="37"/>
      <c r="CI1875" s="243"/>
      <c r="CJ1875" s="243"/>
      <c r="CK1875" s="38">
        <f t="shared" ref="CK1875:CK1885" si="573">BL1875/BJ1875</f>
        <v>2.3860649636461912E-2</v>
      </c>
      <c r="CL1875" s="247"/>
      <c r="CM1875" s="247"/>
      <c r="CN1875" s="247"/>
      <c r="CO1875" s="36" t="s">
        <v>2096</v>
      </c>
      <c r="CP1875" s="36" t="s">
        <v>2091</v>
      </c>
      <c r="CQ1875" s="241">
        <v>-5.1580896558449911</v>
      </c>
      <c r="CR1875" s="241">
        <f>10^(CJ1875-CQ1875)</f>
        <v>143909.5634800774</v>
      </c>
      <c r="CS1875" s="33"/>
      <c r="CT1875" s="33"/>
      <c r="CU1875" s="250"/>
      <c r="CV1875" s="337">
        <f t="shared" ref="CV1875:CV1885" si="574">X1875/BJ1875</f>
        <v>1.0000295473348304</v>
      </c>
      <c r="CW1875" s="330">
        <f>IF(CV1875&lt;1,0,1)</f>
        <v>1</v>
      </c>
      <c r="CX1875" s="330"/>
      <c r="CY1875" s="143" t="s">
        <v>5921</v>
      </c>
    </row>
    <row r="1876" spans="1:103" ht="11.25" customHeight="1" x14ac:dyDescent="0.2">
      <c r="A1876" s="72">
        <v>1874</v>
      </c>
      <c r="B1876" s="241">
        <v>137</v>
      </c>
      <c r="C1876" s="32" t="s">
        <v>780</v>
      </c>
      <c r="D1876" s="32"/>
      <c r="E1876" s="40"/>
      <c r="F1876" s="40" t="s">
        <v>781</v>
      </c>
      <c r="G1876" s="242">
        <v>13952846</v>
      </c>
      <c r="H1876" s="36" t="s">
        <v>782</v>
      </c>
      <c r="I1876" s="36" t="s">
        <v>782</v>
      </c>
      <c r="J1876" s="36" t="s">
        <v>783</v>
      </c>
      <c r="K1876" s="36" t="s">
        <v>300</v>
      </c>
      <c r="L1876" s="36"/>
      <c r="M1876" s="36"/>
      <c r="N1876" s="36"/>
      <c r="O1876" s="36"/>
      <c r="P1876" s="41"/>
      <c r="Q1876" s="41"/>
      <c r="R1876" s="41"/>
      <c r="S1876" s="41"/>
      <c r="T1876" s="37">
        <v>73.14</v>
      </c>
      <c r="U1876" s="243">
        <v>1531.3098167897183</v>
      </c>
      <c r="V1876" s="243">
        <v>4361.4984960350012</v>
      </c>
      <c r="W1876" s="243">
        <v>794.32823472428151</v>
      </c>
      <c r="X1876" s="243">
        <v>1531.3098167897183</v>
      </c>
      <c r="Y1876" s="414">
        <v>12.31</v>
      </c>
      <c r="Z1876" s="37">
        <v>0.76</v>
      </c>
      <c r="AA1876" s="37">
        <v>0.74</v>
      </c>
      <c r="AB1876" s="37">
        <v>0.69</v>
      </c>
      <c r="AC1876" s="37">
        <v>0.94269999999999998</v>
      </c>
      <c r="AD1876" s="37">
        <v>0.7</v>
      </c>
      <c r="AE1876" s="37">
        <v>0.75</v>
      </c>
      <c r="AF1876" s="37">
        <f t="shared" si="569"/>
        <v>0.74</v>
      </c>
      <c r="AG1876" s="38">
        <v>0.37</v>
      </c>
      <c r="AH1876" s="243">
        <v>1.77E-5</v>
      </c>
      <c r="AI1876" s="243">
        <v>1.5300000000000001E-4</v>
      </c>
      <c r="AJ1876" s="34">
        <f t="shared" si="570"/>
        <v>-3.1405930599508451</v>
      </c>
      <c r="AK1876" s="34">
        <f>LOG10(AI1876*1000/(0.08206*298.15))</f>
        <v>-2.2038748954950531</v>
      </c>
      <c r="AL1876" s="34">
        <f t="shared" si="571"/>
        <v>-2.2038748954950531</v>
      </c>
      <c r="AM1876" s="34">
        <v>-4.5409600000000001</v>
      </c>
      <c r="AN1876" s="244">
        <v>-3.18</v>
      </c>
      <c r="AO1876" s="417"/>
      <c r="AP1876" s="417">
        <v>10.74</v>
      </c>
      <c r="AQ1876" s="244" t="s">
        <v>6311</v>
      </c>
      <c r="AR1876" s="244" t="s">
        <v>6311</v>
      </c>
      <c r="AS1876" s="241" t="s">
        <v>78</v>
      </c>
      <c r="AT1876" s="39" t="s">
        <v>266</v>
      </c>
      <c r="AU1876" s="37">
        <v>0</v>
      </c>
      <c r="AV1876" s="37">
        <v>48</v>
      </c>
      <c r="AW1876" s="37">
        <v>48</v>
      </c>
      <c r="AX1876" s="37">
        <v>26</v>
      </c>
      <c r="AY1876" s="37" t="s">
        <v>8722</v>
      </c>
      <c r="AZ1876" s="37" t="s">
        <v>536</v>
      </c>
      <c r="BA1876" s="37">
        <v>20</v>
      </c>
      <c r="BB1876" s="36" t="s">
        <v>537</v>
      </c>
      <c r="BC1876" s="36" t="s">
        <v>648</v>
      </c>
      <c r="BD1876" s="36"/>
      <c r="BE1876" s="245" t="s">
        <v>649</v>
      </c>
      <c r="BF1876" s="37" t="s">
        <v>539</v>
      </c>
      <c r="BG1876" s="37" t="s">
        <v>272</v>
      </c>
      <c r="BH1876" s="37" t="s">
        <v>272</v>
      </c>
      <c r="BI1876" s="248">
        <v>0.53322395406070544</v>
      </c>
      <c r="BJ1876" s="248">
        <v>2.0508613617719442</v>
      </c>
      <c r="BK1876" s="37"/>
      <c r="BL1876" s="243">
        <f t="shared" si="572"/>
        <v>10.671955361116243</v>
      </c>
      <c r="BM1876" s="37" t="s">
        <v>541</v>
      </c>
      <c r="BN1876" s="37"/>
      <c r="BO1876" s="37">
        <v>1.3009999999999999</v>
      </c>
      <c r="BP1876" s="37"/>
      <c r="BQ1876" s="37"/>
      <c r="BR1876" s="37"/>
      <c r="BS1876" s="37"/>
      <c r="BT1876" s="37"/>
      <c r="BU1876" s="246"/>
      <c r="BV1876" s="37"/>
      <c r="BW1876" s="37"/>
      <c r="BX1876" s="37"/>
      <c r="BY1876" s="37"/>
      <c r="BZ1876" s="37"/>
      <c r="CA1876" s="37"/>
      <c r="CB1876" s="37"/>
      <c r="CC1876" s="37"/>
      <c r="CD1876" s="37"/>
      <c r="CE1876" s="37"/>
      <c r="CF1876" s="37"/>
      <c r="CG1876" s="37"/>
      <c r="CH1876" s="37"/>
      <c r="CI1876" s="243">
        <f>MIN(BN1876:CH1876)</f>
        <v>1.3009999999999999</v>
      </c>
      <c r="CJ1876" s="243">
        <f>LOG10(CI1876)</f>
        <v>0.11427729656158624</v>
      </c>
      <c r="CK1876" s="38">
        <f t="shared" si="573"/>
        <v>5.20364543408028</v>
      </c>
      <c r="CL1876" s="247">
        <f>BL1876/CI1876</f>
        <v>8.2028865189210176</v>
      </c>
      <c r="CM1876" s="247"/>
      <c r="CN1876" s="247"/>
      <c r="CO1876" s="36"/>
      <c r="CP1876" s="36" t="s">
        <v>772</v>
      </c>
      <c r="CQ1876" s="241">
        <v>0.57517773782823711</v>
      </c>
      <c r="CR1876" s="241">
        <f>10^(CJ1876-CQ1876)</f>
        <v>0.34601869090909082</v>
      </c>
      <c r="CS1876" s="33"/>
      <c r="CT1876" s="33"/>
      <c r="CU1876" s="250">
        <f>X1876/CI1876</f>
        <v>1177.0252242811057</v>
      </c>
      <c r="CV1876" s="337">
        <f t="shared" si="574"/>
        <v>746.66666666666663</v>
      </c>
      <c r="CW1876" s="330">
        <f>IF(CU1876&lt;2,0,1)</f>
        <v>1</v>
      </c>
      <c r="CX1876" s="330"/>
      <c r="CY1876" s="143" t="s">
        <v>5921</v>
      </c>
    </row>
    <row r="1877" spans="1:103" ht="11.25" customHeight="1" x14ac:dyDescent="0.2">
      <c r="A1877" s="72">
        <v>1875</v>
      </c>
      <c r="B1877" s="241">
        <v>681</v>
      </c>
      <c r="C1877" s="32" t="s">
        <v>1966</v>
      </c>
      <c r="D1877" s="32"/>
      <c r="E1877" s="40"/>
      <c r="F1877" s="40" t="s">
        <v>1967</v>
      </c>
      <c r="G1877" s="242">
        <v>14432167</v>
      </c>
      <c r="H1877" s="36" t="s">
        <v>1968</v>
      </c>
      <c r="I1877" s="36" t="s">
        <v>8249</v>
      </c>
      <c r="J1877" s="36" t="s">
        <v>1969</v>
      </c>
      <c r="K1877" s="36" t="s">
        <v>1958</v>
      </c>
      <c r="L1877" s="36"/>
      <c r="M1877" s="36"/>
      <c r="N1877" s="36"/>
      <c r="O1877" s="36"/>
      <c r="P1877" s="41"/>
      <c r="Q1877" s="41"/>
      <c r="R1877" s="41"/>
      <c r="S1877" s="41"/>
      <c r="T1877" s="37">
        <v>174.54</v>
      </c>
      <c r="U1877" s="243"/>
      <c r="V1877" s="243">
        <v>234.21565257247624</v>
      </c>
      <c r="W1877" s="243">
        <v>41.686938347033532</v>
      </c>
      <c r="X1877" s="243">
        <f>IF(W1877=0,V1877,W1877)</f>
        <v>41.686938347033532</v>
      </c>
      <c r="Y1877" s="414">
        <v>7</v>
      </c>
      <c r="Z1877" s="37">
        <v>-0.27</v>
      </c>
      <c r="AA1877" s="37"/>
      <c r="AB1877" s="37">
        <v>-0.24</v>
      </c>
      <c r="AC1877" s="37">
        <v>0.84789999999999999</v>
      </c>
      <c r="AD1877" s="37">
        <v>-0.14000000000000001</v>
      </c>
      <c r="AE1877" s="37">
        <v>0.14000000000000001</v>
      </c>
      <c r="AF1877" s="37">
        <f t="shared" si="569"/>
        <v>-0.14000000000000001</v>
      </c>
      <c r="AG1877" s="38">
        <v>1.32</v>
      </c>
      <c r="AH1877" s="243">
        <v>1.3E-11</v>
      </c>
      <c r="AI1877" s="243"/>
      <c r="AJ1877" s="34">
        <f t="shared" si="570"/>
        <v>-9.2746229740058155</v>
      </c>
      <c r="AK1877" s="34"/>
      <c r="AL1877" s="34">
        <f t="shared" si="571"/>
        <v>-9.2746229740058155</v>
      </c>
      <c r="AM1877" s="34">
        <v>-4.8590499999999999</v>
      </c>
      <c r="AN1877" s="244">
        <v>-14.4</v>
      </c>
      <c r="AO1877" s="417"/>
      <c r="AP1877" s="417">
        <v>-2.5299999999999998</v>
      </c>
      <c r="AQ1877" s="244" t="s">
        <v>6311</v>
      </c>
      <c r="AR1877" s="244" t="s">
        <v>6311</v>
      </c>
      <c r="AS1877" s="241"/>
      <c r="AT1877" s="39" t="s">
        <v>266</v>
      </c>
      <c r="AU1877" s="37">
        <v>2</v>
      </c>
      <c r="AV1877" s="37">
        <v>48</v>
      </c>
      <c r="AW1877" s="37">
        <v>48</v>
      </c>
      <c r="AX1877" s="37">
        <v>26</v>
      </c>
      <c r="AY1877" s="37" t="s">
        <v>647</v>
      </c>
      <c r="AZ1877" s="37" t="s">
        <v>536</v>
      </c>
      <c r="BA1877" s="37">
        <v>10</v>
      </c>
      <c r="BB1877" s="36" t="s">
        <v>1764</v>
      </c>
      <c r="BC1877" s="36" t="s">
        <v>538</v>
      </c>
      <c r="BD1877" s="36"/>
      <c r="BE1877" s="37" t="s">
        <v>271</v>
      </c>
      <c r="BF1877" s="37" t="s">
        <v>272</v>
      </c>
      <c r="BG1877" s="37" t="s">
        <v>272</v>
      </c>
      <c r="BH1877" s="37" t="s">
        <v>272</v>
      </c>
      <c r="BI1877" s="243">
        <v>4.4688999999999999E-5</v>
      </c>
      <c r="BJ1877" s="243">
        <v>11.4587</v>
      </c>
      <c r="BK1877" s="37"/>
      <c r="BL1877" s="243">
        <f t="shared" si="572"/>
        <v>89.802204907204157</v>
      </c>
      <c r="BM1877" s="37" t="s">
        <v>541</v>
      </c>
      <c r="BN1877" s="37"/>
      <c r="BO1877" s="37">
        <v>3.9532485390168445E-2</v>
      </c>
      <c r="BP1877" s="37"/>
      <c r="BQ1877" s="37"/>
      <c r="BR1877" s="37"/>
      <c r="BS1877" s="37"/>
      <c r="BT1877" s="37"/>
      <c r="BU1877" s="246"/>
      <c r="BV1877" s="37"/>
      <c r="BW1877" s="37"/>
      <c r="BX1877" s="37"/>
      <c r="BY1877" s="37"/>
      <c r="BZ1877" s="37"/>
      <c r="CA1877" s="37"/>
      <c r="CB1877" s="37"/>
      <c r="CC1877" s="37"/>
      <c r="CD1877" s="37"/>
      <c r="CE1877" s="37"/>
      <c r="CF1877" s="37"/>
      <c r="CG1877" s="37"/>
      <c r="CH1877" s="37"/>
      <c r="CI1877" s="243">
        <f>MIN(BN1877:CH1877)</f>
        <v>3.9532485390168445E-2</v>
      </c>
      <c r="CJ1877" s="243">
        <f>LOG10(CI1877)</f>
        <v>-1.4030458808934474</v>
      </c>
      <c r="CK1877" s="38">
        <f t="shared" si="573"/>
        <v>7.8370325523143247</v>
      </c>
      <c r="CL1877" s="247">
        <f>BL1877/CI1877</f>
        <v>2271.6053397831033</v>
      </c>
      <c r="CM1877" s="247"/>
      <c r="CN1877" s="247"/>
      <c r="CO1877" s="36"/>
      <c r="CP1877" s="36" t="s">
        <v>1921</v>
      </c>
      <c r="CQ1877" s="241" t="s">
        <v>272</v>
      </c>
      <c r="CR1877" s="241"/>
      <c r="CS1877" s="33"/>
      <c r="CT1877" s="33"/>
      <c r="CU1877" s="250">
        <f>X1877/CI1877</f>
        <v>1054.4982926219177</v>
      </c>
      <c r="CV1877" s="337">
        <f t="shared" si="574"/>
        <v>3.638016384671344</v>
      </c>
      <c r="CW1877" s="330">
        <f>IF(CU1877&lt;2,0,1)</f>
        <v>1</v>
      </c>
      <c r="CX1877" s="330"/>
      <c r="CY1877" s="143" t="s">
        <v>5921</v>
      </c>
    </row>
    <row r="1878" spans="1:103" ht="11.25" customHeight="1" x14ac:dyDescent="0.2">
      <c r="A1878" s="72">
        <v>1876</v>
      </c>
      <c r="B1878" s="241">
        <v>1327</v>
      </c>
      <c r="C1878" s="32" t="s">
        <v>4133</v>
      </c>
      <c r="D1878" s="32"/>
      <c r="E1878" s="40"/>
      <c r="F1878" s="40" t="s">
        <v>4134</v>
      </c>
      <c r="G1878" s="242">
        <v>14477726</v>
      </c>
      <c r="H1878" s="36" t="s">
        <v>4135</v>
      </c>
      <c r="I1878" s="36" t="s">
        <v>4135</v>
      </c>
      <c r="J1878" s="36" t="s">
        <v>4136</v>
      </c>
      <c r="K1878" s="36" t="s">
        <v>426</v>
      </c>
      <c r="L1878" s="36"/>
      <c r="M1878" s="36"/>
      <c r="N1878" s="36"/>
      <c r="O1878" s="36"/>
      <c r="P1878" s="41"/>
      <c r="Q1878" s="41"/>
      <c r="R1878" s="41"/>
      <c r="S1878" s="41"/>
      <c r="T1878" s="37">
        <v>114.02</v>
      </c>
      <c r="U1878" s="243">
        <v>8770.3911594457113</v>
      </c>
      <c r="V1878" s="243">
        <v>854.67461848798462</v>
      </c>
      <c r="W1878" s="243">
        <v>912.01083935590964</v>
      </c>
      <c r="X1878" s="243">
        <v>8770.3911594457113</v>
      </c>
      <c r="Y1878" s="414">
        <v>0.25</v>
      </c>
      <c r="Z1878" s="37">
        <v>0.5</v>
      </c>
      <c r="AA1878" s="37"/>
      <c r="AB1878" s="37">
        <v>0.45</v>
      </c>
      <c r="AC1878" s="37">
        <v>0.78720000000000001</v>
      </c>
      <c r="AD1878" s="37">
        <v>0.66</v>
      </c>
      <c r="AE1878" s="37">
        <v>1.24</v>
      </c>
      <c r="AF1878" s="37">
        <f t="shared" si="569"/>
        <v>0.66</v>
      </c>
      <c r="AG1878" s="38">
        <v>6.15</v>
      </c>
      <c r="AH1878" s="243">
        <v>4.3100000000000002E-6</v>
      </c>
      <c r="AI1878" s="243">
        <v>1.11E-7</v>
      </c>
      <c r="AJ1878" s="34">
        <f t="shared" si="570"/>
        <v>-3.75408905615192</v>
      </c>
      <c r="AK1878" s="34">
        <f>LOG10(AI1878*1000/(0.08206*298.15))</f>
        <v>-5.3432433475259939</v>
      </c>
      <c r="AL1878" s="34">
        <f t="shared" si="571"/>
        <v>-5.3432433475259939</v>
      </c>
      <c r="AM1878" s="34">
        <v>-4.62622</v>
      </c>
      <c r="AN1878" s="244">
        <v>-21.6</v>
      </c>
      <c r="AO1878" s="417">
        <v>0.05</v>
      </c>
      <c r="AP1878" s="417"/>
      <c r="AQ1878" s="37" t="s">
        <v>6311</v>
      </c>
      <c r="AR1878" s="37" t="s">
        <v>6311</v>
      </c>
      <c r="AS1878" s="245" t="s">
        <v>63</v>
      </c>
      <c r="AT1878" s="39" t="s">
        <v>266</v>
      </c>
      <c r="AU1878" s="37">
        <v>0</v>
      </c>
      <c r="AV1878" s="37">
        <v>48</v>
      </c>
      <c r="AW1878" s="37">
        <v>48</v>
      </c>
      <c r="AX1878" s="37">
        <v>26</v>
      </c>
      <c r="AY1878" s="37" t="s">
        <v>8722</v>
      </c>
      <c r="AZ1878" s="37" t="s">
        <v>536</v>
      </c>
      <c r="BA1878" s="37">
        <v>20</v>
      </c>
      <c r="BB1878" s="36" t="s">
        <v>1578</v>
      </c>
      <c r="BC1878" s="36" t="s">
        <v>538</v>
      </c>
      <c r="BD1878" s="36"/>
      <c r="BE1878" s="37" t="s">
        <v>271</v>
      </c>
      <c r="BF1878" s="37" t="s">
        <v>272</v>
      </c>
      <c r="BG1878" s="37" t="s">
        <v>539</v>
      </c>
      <c r="BH1878" s="37" t="s">
        <v>272</v>
      </c>
      <c r="BI1878" s="243" t="s">
        <v>8722</v>
      </c>
      <c r="BJ1878" s="243">
        <f>4000/113.014</f>
        <v>35.393845010352699</v>
      </c>
      <c r="BK1878" s="37"/>
      <c r="BL1878" s="243">
        <f t="shared" si="572"/>
        <v>18.270481798956201</v>
      </c>
      <c r="BM1878" s="37" t="s">
        <v>1579</v>
      </c>
      <c r="BN1878" s="37"/>
      <c r="BO1878" s="37"/>
      <c r="BP1878" s="37"/>
      <c r="BQ1878" s="37"/>
      <c r="BR1878" s="37"/>
      <c r="BS1878" s="37"/>
      <c r="BT1878" s="37"/>
      <c r="BU1878" s="246"/>
      <c r="BV1878" s="37"/>
      <c r="BW1878" s="37"/>
      <c r="BX1878" s="37"/>
      <c r="BY1878" s="37"/>
      <c r="BZ1878" s="37"/>
      <c r="CA1878" s="37"/>
      <c r="CB1878" s="37"/>
      <c r="CC1878" s="37"/>
      <c r="CD1878" s="37"/>
      <c r="CE1878" s="37"/>
      <c r="CF1878" s="37"/>
      <c r="CG1878" s="37"/>
      <c r="CH1878" s="37"/>
      <c r="CI1878" s="243"/>
      <c r="CJ1878" s="243"/>
      <c r="CK1878" s="38">
        <f t="shared" si="573"/>
        <v>0.51620505750680901</v>
      </c>
      <c r="CL1878" s="247"/>
      <c r="CM1878" s="247"/>
      <c r="CN1878" s="247"/>
      <c r="CO1878" s="36"/>
      <c r="CP1878" s="36" t="s">
        <v>1580</v>
      </c>
      <c r="CQ1878" s="241" t="s">
        <v>272</v>
      </c>
      <c r="CR1878" s="241"/>
      <c r="CS1878" s="33"/>
      <c r="CT1878" s="33"/>
      <c r="CU1878" s="250"/>
      <c r="CV1878" s="337">
        <f t="shared" si="574"/>
        <v>247.7942466233994</v>
      </c>
      <c r="CW1878" s="330">
        <f>IF(CV1878&lt;1,0,1)</f>
        <v>1</v>
      </c>
      <c r="CX1878" s="330"/>
      <c r="CY1878" s="143" t="s">
        <v>5921</v>
      </c>
    </row>
    <row r="1879" spans="1:103" ht="11.25" customHeight="1" x14ac:dyDescent="0.2">
      <c r="A1879" s="72">
        <v>1877</v>
      </c>
      <c r="B1879" s="241">
        <v>1999</v>
      </c>
      <c r="C1879" s="32" t="s">
        <v>5563</v>
      </c>
      <c r="D1879" s="32"/>
      <c r="E1879" s="40"/>
      <c r="F1879" s="249" t="s">
        <v>5564</v>
      </c>
      <c r="G1879" s="242">
        <v>14484641</v>
      </c>
      <c r="H1879" s="41" t="s">
        <v>5565</v>
      </c>
      <c r="I1879" s="41" t="s">
        <v>5565</v>
      </c>
      <c r="J1879" s="41"/>
      <c r="K1879" s="41" t="s">
        <v>403</v>
      </c>
      <c r="L1879" s="41" t="s">
        <v>617</v>
      </c>
      <c r="M1879" s="41" t="s">
        <v>1515</v>
      </c>
      <c r="N1879" s="36"/>
      <c r="O1879" s="41" t="s">
        <v>1516</v>
      </c>
      <c r="P1879" s="41"/>
      <c r="Q1879" s="41"/>
      <c r="R1879" s="41"/>
      <c r="S1879" s="41"/>
      <c r="T1879" s="33">
        <v>416.47</v>
      </c>
      <c r="U1879" s="250">
        <v>0.31214733354143154</v>
      </c>
      <c r="V1879" s="250">
        <v>67.375801378250529</v>
      </c>
      <c r="W1879" s="250"/>
      <c r="X1879" s="250">
        <v>0.31214733354143154</v>
      </c>
      <c r="Y1879" s="415"/>
      <c r="Z1879" s="34">
        <v>-0.6</v>
      </c>
      <c r="AA1879" s="34">
        <v>-1.6</v>
      </c>
      <c r="AB1879" s="34">
        <v>0</v>
      </c>
      <c r="AC1879" s="34">
        <v>0</v>
      </c>
      <c r="AD1879" s="34">
        <v>0</v>
      </c>
      <c r="AE1879" s="34">
        <v>0</v>
      </c>
      <c r="AF1879" s="34">
        <f t="shared" si="569"/>
        <v>-1.6</v>
      </c>
      <c r="AG1879" s="37" t="s">
        <v>404</v>
      </c>
      <c r="AH1879" s="250"/>
      <c r="AI1879" s="250"/>
      <c r="AJ1879" s="34"/>
      <c r="AK1879" s="34"/>
      <c r="AL1879" s="34"/>
      <c r="AM1879" s="34"/>
      <c r="AN1879" s="251"/>
      <c r="AO1879" s="417"/>
      <c r="AP1879" s="417"/>
      <c r="AQ1879" s="251" t="s">
        <v>6311</v>
      </c>
      <c r="AR1879" s="251" t="s">
        <v>6311</v>
      </c>
      <c r="AS1879" s="252" t="s">
        <v>5466</v>
      </c>
      <c r="AT1879" s="35" t="s">
        <v>266</v>
      </c>
      <c r="AU1879" s="33">
        <v>4</v>
      </c>
      <c r="AV1879" s="33">
        <v>24</v>
      </c>
      <c r="AW1879" s="33">
        <v>20</v>
      </c>
      <c r="AX1879" s="33">
        <v>28</v>
      </c>
      <c r="AY1879" s="262" t="s">
        <v>267</v>
      </c>
      <c r="AZ1879" s="33" t="s">
        <v>6212</v>
      </c>
      <c r="BA1879" s="33">
        <v>20</v>
      </c>
      <c r="BB1879" s="41" t="s">
        <v>6300</v>
      </c>
      <c r="BC1879" s="41" t="s">
        <v>5697</v>
      </c>
      <c r="BD1879" s="41"/>
      <c r="BE1879" s="33" t="s">
        <v>2449</v>
      </c>
      <c r="BF1879" s="33" t="s">
        <v>6203</v>
      </c>
      <c r="BG1879" s="33" t="s">
        <v>6203</v>
      </c>
      <c r="BH1879" s="33"/>
      <c r="BI1879" s="250">
        <v>9.6045333397363546E-6</v>
      </c>
      <c r="BJ1879" s="250">
        <v>9.6045333397363555E-3</v>
      </c>
      <c r="BK1879" s="254"/>
      <c r="BL1879" s="250">
        <f t="shared" si="572"/>
        <v>177.6887777365302</v>
      </c>
      <c r="BM1879" s="33" t="s">
        <v>1584</v>
      </c>
      <c r="BN1879" s="33">
        <v>9.6000000000000002E-4</v>
      </c>
      <c r="BO1879" s="33"/>
      <c r="BP1879" s="33"/>
      <c r="BQ1879" s="33"/>
      <c r="BR1879" s="33"/>
      <c r="BS1879" s="33"/>
      <c r="BT1879" s="33"/>
      <c r="BU1879" s="246"/>
      <c r="BV1879" s="33"/>
      <c r="BW1879" s="33"/>
      <c r="BX1879" s="33"/>
      <c r="BY1879" s="33"/>
      <c r="BZ1879" s="33"/>
      <c r="CA1879" s="33"/>
      <c r="CB1879" s="33"/>
      <c r="CC1879" s="33"/>
      <c r="CD1879" s="33"/>
      <c r="CE1879" s="33"/>
      <c r="CF1879" s="33"/>
      <c r="CG1879" s="33"/>
      <c r="CH1879" s="33"/>
      <c r="CI1879" s="250">
        <f t="shared" ref="CI1879:CI1890" si="575">MIN(BN1879:CH1879)</f>
        <v>9.6000000000000002E-4</v>
      </c>
      <c r="CJ1879" s="243">
        <f t="shared" ref="CJ1879:CJ1890" si="576">LOG10(CI1879)</f>
        <v>-3.0177287669604316</v>
      </c>
      <c r="CK1879" s="38">
        <f t="shared" si="573"/>
        <v>18500.511315983182</v>
      </c>
      <c r="CL1879" s="247">
        <f t="shared" ref="CL1879:CL1890" si="577">BL1879/CI1879</f>
        <v>185092.47680888561</v>
      </c>
      <c r="CM1879" s="247"/>
      <c r="CN1879" s="247"/>
      <c r="CO1879" s="41"/>
      <c r="CP1879" s="41" t="s">
        <v>8382</v>
      </c>
      <c r="CQ1879" s="241" t="s">
        <v>272</v>
      </c>
      <c r="CR1879" s="241"/>
      <c r="CS1879" s="33"/>
      <c r="CT1879" s="33"/>
      <c r="CU1879" s="250">
        <f t="shared" ref="CU1879:CU1890" si="578">X1879/CI1879</f>
        <v>325.15347243899117</v>
      </c>
      <c r="CV1879" s="337">
        <f t="shared" si="574"/>
        <v>32.5</v>
      </c>
      <c r="CW1879" s="330">
        <f t="shared" ref="CW1879:CW1890" si="579">IF(CU1879&lt;2,0,1)</f>
        <v>1</v>
      </c>
      <c r="CX1879" s="330"/>
      <c r="CY1879" s="143" t="s">
        <v>5921</v>
      </c>
    </row>
    <row r="1880" spans="1:103" ht="11.25" customHeight="1" x14ac:dyDescent="0.2">
      <c r="A1880" s="72">
        <v>1878</v>
      </c>
      <c r="B1880" s="241">
        <v>1971</v>
      </c>
      <c r="C1880" s="32" t="s">
        <v>5535</v>
      </c>
      <c r="D1880" s="32"/>
      <c r="E1880" s="40"/>
      <c r="F1880" s="40" t="s">
        <v>5536</v>
      </c>
      <c r="G1880" s="242">
        <v>15263533</v>
      </c>
      <c r="H1880" s="41" t="s">
        <v>5537</v>
      </c>
      <c r="I1880" s="41" t="s">
        <v>5537</v>
      </c>
      <c r="J1880" s="41" t="s">
        <v>5538</v>
      </c>
      <c r="K1880" s="41" t="s">
        <v>5539</v>
      </c>
      <c r="L1880" s="41"/>
      <c r="M1880" s="41"/>
      <c r="N1880" s="36"/>
      <c r="O1880" s="41"/>
      <c r="P1880" s="41"/>
      <c r="Q1880" s="41"/>
      <c r="R1880" s="41"/>
      <c r="S1880" s="41"/>
      <c r="T1880" s="33">
        <v>237.34</v>
      </c>
      <c r="U1880" s="250">
        <v>842.67295862475771</v>
      </c>
      <c r="V1880" s="250">
        <v>375.53720401112326</v>
      </c>
      <c r="W1880" s="250">
        <v>8.1283051616409896</v>
      </c>
      <c r="X1880" s="250">
        <v>842.67295862475771</v>
      </c>
      <c r="Y1880" s="415">
        <v>9.68</v>
      </c>
      <c r="Z1880" s="33">
        <v>-0.95</v>
      </c>
      <c r="AA1880" s="33"/>
      <c r="AB1880" s="33">
        <v>-0.94</v>
      </c>
      <c r="AC1880" s="33">
        <v>0.68679999999999997</v>
      </c>
      <c r="AD1880" s="33">
        <v>-0.43</v>
      </c>
      <c r="AE1880" s="33">
        <v>0.53</v>
      </c>
      <c r="AF1880" s="33">
        <f t="shared" si="569"/>
        <v>-0.43</v>
      </c>
      <c r="AG1880" s="34">
        <v>-0.43</v>
      </c>
      <c r="AH1880" s="250">
        <v>2.0500000000000001E-13</v>
      </c>
      <c r="AI1880" s="250"/>
      <c r="AJ1880" s="34">
        <f t="shared" ref="AJ1880:AJ1886" si="580">LOG10(AH1880*1000/(0.08206*298.15))</f>
        <v>-11.076812465256898</v>
      </c>
      <c r="AK1880" s="34"/>
      <c r="AL1880" s="34">
        <f t="shared" ref="AL1880:AL1886" si="581">IF(AK1880=0,AJ1880,AK1880)</f>
        <v>-11.076812465256898</v>
      </c>
      <c r="AM1880" s="34">
        <v>-22.048919999999999</v>
      </c>
      <c r="AN1880" s="251"/>
      <c r="AO1880" s="417">
        <v>13.39</v>
      </c>
      <c r="AP1880" s="417">
        <v>7.72</v>
      </c>
      <c r="AQ1880" s="251" t="s">
        <v>6311</v>
      </c>
      <c r="AR1880" s="251" t="s">
        <v>6311</v>
      </c>
      <c r="AS1880" s="252" t="s">
        <v>5466</v>
      </c>
      <c r="AT1880" s="35" t="s">
        <v>266</v>
      </c>
      <c r="AU1880" s="33">
        <v>0</v>
      </c>
      <c r="AV1880" s="33">
        <v>144</v>
      </c>
      <c r="AW1880" s="33">
        <v>144</v>
      </c>
      <c r="AX1880" s="33">
        <v>28</v>
      </c>
      <c r="AY1880" s="262" t="s">
        <v>267</v>
      </c>
      <c r="AZ1880" s="33" t="s">
        <v>6301</v>
      </c>
      <c r="BA1880" s="33">
        <v>25</v>
      </c>
      <c r="BB1880" s="41" t="s">
        <v>6302</v>
      </c>
      <c r="BC1880" s="41" t="s">
        <v>6303</v>
      </c>
      <c r="BD1880" s="41"/>
      <c r="BE1880" s="33" t="s">
        <v>2449</v>
      </c>
      <c r="BF1880" s="33" t="s">
        <v>6203</v>
      </c>
      <c r="BG1880" s="33" t="s">
        <v>6203</v>
      </c>
      <c r="BH1880" s="33"/>
      <c r="BI1880" s="250">
        <v>1.0533411982809472E-4</v>
      </c>
      <c r="BJ1880" s="250">
        <v>4.2133647931237887E-3</v>
      </c>
      <c r="BK1880" s="254"/>
      <c r="BL1880" s="250">
        <f t="shared" si="572"/>
        <v>366.43335590363426</v>
      </c>
      <c r="BM1880" s="33" t="s">
        <v>6250</v>
      </c>
      <c r="BN1880" s="33"/>
      <c r="BO1880" s="33"/>
      <c r="BP1880" s="33"/>
      <c r="BQ1880" s="33"/>
      <c r="BR1880" s="33"/>
      <c r="BS1880" s="33"/>
      <c r="BT1880" s="33">
        <v>1.2600000000000001E-3</v>
      </c>
      <c r="BU1880" s="246"/>
      <c r="BV1880" s="33"/>
      <c r="BW1880" s="33"/>
      <c r="BX1880" s="33"/>
      <c r="BY1880" s="33"/>
      <c r="BZ1880" s="33"/>
      <c r="CA1880" s="33"/>
      <c r="CB1880" s="33"/>
      <c r="CC1880" s="33"/>
      <c r="CD1880" s="33"/>
      <c r="CE1880" s="33"/>
      <c r="CF1880" s="33"/>
      <c r="CG1880" s="33"/>
      <c r="CH1880" s="33"/>
      <c r="CI1880" s="250">
        <f t="shared" si="575"/>
        <v>1.2600000000000001E-3</v>
      </c>
      <c r="CJ1880" s="243">
        <f t="shared" si="576"/>
        <v>-2.8996294548824371</v>
      </c>
      <c r="CK1880" s="38">
        <f t="shared" si="573"/>
        <v>86969.292690168557</v>
      </c>
      <c r="CL1880" s="247">
        <f t="shared" si="577"/>
        <v>290820.12373304303</v>
      </c>
      <c r="CM1880" s="247"/>
      <c r="CN1880" s="247"/>
      <c r="CO1880" s="41"/>
      <c r="CP1880" s="41" t="s">
        <v>6195</v>
      </c>
      <c r="CQ1880" s="241" t="s">
        <v>272</v>
      </c>
      <c r="CR1880" s="241"/>
      <c r="CS1880" s="33"/>
      <c r="CT1880" s="33"/>
      <c r="CU1880" s="250">
        <f t="shared" si="578"/>
        <v>668788.06240060134</v>
      </c>
      <c r="CV1880" s="337">
        <f t="shared" si="574"/>
        <v>200000</v>
      </c>
      <c r="CW1880" s="330">
        <f t="shared" si="579"/>
        <v>1</v>
      </c>
      <c r="CX1880" s="330"/>
      <c r="CY1880" s="143" t="s">
        <v>5921</v>
      </c>
    </row>
    <row r="1881" spans="1:103" ht="11.25" customHeight="1" x14ac:dyDescent="0.2">
      <c r="A1881" s="72">
        <v>1879</v>
      </c>
      <c r="B1881" s="241">
        <v>62</v>
      </c>
      <c r="C1881" s="32" t="s">
        <v>543</v>
      </c>
      <c r="D1881" s="32"/>
      <c r="E1881" s="40"/>
      <c r="F1881" s="40" t="s">
        <v>544</v>
      </c>
      <c r="G1881" s="242">
        <v>15307796</v>
      </c>
      <c r="H1881" s="36" t="s">
        <v>545</v>
      </c>
      <c r="I1881" s="36" t="s">
        <v>8250</v>
      </c>
      <c r="J1881" s="36" t="s">
        <v>546</v>
      </c>
      <c r="K1881" s="36" t="s">
        <v>426</v>
      </c>
      <c r="L1881" s="36" t="s">
        <v>279</v>
      </c>
      <c r="M1881" s="36" t="s">
        <v>6116</v>
      </c>
      <c r="N1881" s="36"/>
      <c r="O1881" s="36" t="s">
        <v>6117</v>
      </c>
      <c r="P1881" s="41"/>
      <c r="Q1881" s="41"/>
      <c r="R1881" s="41"/>
      <c r="S1881" s="41"/>
      <c r="T1881" s="37">
        <v>296.14999999999998</v>
      </c>
      <c r="U1881" s="243">
        <v>8.0027013337835573E-3</v>
      </c>
      <c r="V1881" s="243">
        <v>1.5255782542630424E-2</v>
      </c>
      <c r="W1881" s="243">
        <v>7.585775750291826E-2</v>
      </c>
      <c r="X1881" s="243">
        <v>8.0027013337835573E-3</v>
      </c>
      <c r="Y1881" s="414">
        <v>4.34</v>
      </c>
      <c r="Z1881" s="37">
        <v>4.0199999999999996</v>
      </c>
      <c r="AA1881" s="37">
        <v>4.51</v>
      </c>
      <c r="AB1881" s="37">
        <v>4.6100000000000003</v>
      </c>
      <c r="AC1881" s="37">
        <v>0.87739999999999996</v>
      </c>
      <c r="AD1881" s="37">
        <v>4.4800000000000004</v>
      </c>
      <c r="AE1881" s="37">
        <v>4.0599999999999996</v>
      </c>
      <c r="AF1881" s="37">
        <f t="shared" si="569"/>
        <v>4.51</v>
      </c>
      <c r="AG1881" s="38">
        <v>4.4800000000000004</v>
      </c>
      <c r="AH1881" s="243">
        <v>4.7300000000000002E-12</v>
      </c>
      <c r="AI1881" s="243"/>
      <c r="AJ1881" s="34">
        <f t="shared" si="580"/>
        <v>-9.71370518557484</v>
      </c>
      <c r="AK1881" s="34"/>
      <c r="AL1881" s="34">
        <f t="shared" si="581"/>
        <v>-9.71370518557484</v>
      </c>
      <c r="AM1881" s="34">
        <v>-13.81147</v>
      </c>
      <c r="AN1881" s="244"/>
      <c r="AO1881" s="417">
        <v>4.18</v>
      </c>
      <c r="AP1881" s="417">
        <v>-2.2599999999999998</v>
      </c>
      <c r="AQ1881" s="244" t="s">
        <v>6311</v>
      </c>
      <c r="AR1881" s="244" t="s">
        <v>6311</v>
      </c>
      <c r="AS1881" s="241" t="s">
        <v>90</v>
      </c>
      <c r="AT1881" s="39" t="s">
        <v>266</v>
      </c>
      <c r="AU1881" s="37">
        <v>0</v>
      </c>
      <c r="AV1881" s="37">
        <v>48</v>
      </c>
      <c r="AW1881" s="37">
        <v>48</v>
      </c>
      <c r="AX1881" s="37">
        <v>26</v>
      </c>
      <c r="AY1881" s="37" t="s">
        <v>8722</v>
      </c>
      <c r="AZ1881" s="37" t="s">
        <v>536</v>
      </c>
      <c r="BA1881" s="37">
        <v>20</v>
      </c>
      <c r="BB1881" s="36" t="s">
        <v>537</v>
      </c>
      <c r="BC1881" s="36" t="s">
        <v>538</v>
      </c>
      <c r="BD1881" s="36"/>
      <c r="BE1881" s="245" t="s">
        <v>271</v>
      </c>
      <c r="BF1881" s="245" t="s">
        <v>539</v>
      </c>
      <c r="BG1881" s="245" t="s">
        <v>540</v>
      </c>
      <c r="BH1881" s="245" t="s">
        <v>272</v>
      </c>
      <c r="BI1881" s="243">
        <v>2.8000000000000001E-2</v>
      </c>
      <c r="BJ1881" s="243">
        <v>0.39789999999999998</v>
      </c>
      <c r="BK1881" s="37"/>
      <c r="BL1881" s="243">
        <f t="shared" si="572"/>
        <v>1.2601957191637207E-2</v>
      </c>
      <c r="BM1881" s="37" t="s">
        <v>541</v>
      </c>
      <c r="BN1881" s="37"/>
      <c r="BO1881" s="37">
        <v>0.19259999999999999</v>
      </c>
      <c r="BP1881" s="37"/>
      <c r="BQ1881" s="37"/>
      <c r="BR1881" s="37"/>
      <c r="BS1881" s="37"/>
      <c r="BT1881" s="37"/>
      <c r="BU1881" s="246"/>
      <c r="BV1881" s="37"/>
      <c r="BW1881" s="37"/>
      <c r="BX1881" s="37"/>
      <c r="BY1881" s="37"/>
      <c r="BZ1881" s="37"/>
      <c r="CA1881" s="37"/>
      <c r="CB1881" s="37"/>
      <c r="CC1881" s="37"/>
      <c r="CD1881" s="37"/>
      <c r="CE1881" s="37"/>
      <c r="CF1881" s="37"/>
      <c r="CG1881" s="37"/>
      <c r="CH1881" s="37"/>
      <c r="CI1881" s="243">
        <f t="shared" si="575"/>
        <v>0.19259999999999999</v>
      </c>
      <c r="CJ1881" s="243">
        <f t="shared" si="576"/>
        <v>-0.71534371721148426</v>
      </c>
      <c r="CK1881" s="38">
        <f t="shared" si="573"/>
        <v>3.167116660376277E-2</v>
      </c>
      <c r="CL1881" s="247">
        <f t="shared" si="577"/>
        <v>6.5430722698012492E-2</v>
      </c>
      <c r="CM1881" s="247"/>
      <c r="CN1881" s="247"/>
      <c r="CO1881" s="36"/>
      <c r="CP1881" s="36" t="s">
        <v>542</v>
      </c>
      <c r="CQ1881" s="241" t="s">
        <v>272</v>
      </c>
      <c r="CR1881" s="241"/>
      <c r="CS1881" s="33"/>
      <c r="CT1881" s="33"/>
      <c r="CU1881" s="250">
        <f t="shared" si="578"/>
        <v>4.1550889583507569E-2</v>
      </c>
      <c r="CV1881" s="337">
        <f t="shared" si="574"/>
        <v>2.0112343135922486E-2</v>
      </c>
      <c r="CW1881" s="330">
        <f t="shared" si="579"/>
        <v>0</v>
      </c>
      <c r="CX1881" s="330"/>
      <c r="CY1881" s="143" t="s">
        <v>6351</v>
      </c>
    </row>
    <row r="1882" spans="1:103" ht="11.25" customHeight="1" x14ac:dyDescent="0.2">
      <c r="A1882" s="72">
        <v>1880</v>
      </c>
      <c r="B1882" s="241">
        <v>660</v>
      </c>
      <c r="C1882" s="32" t="s">
        <v>543</v>
      </c>
      <c r="D1882" s="32"/>
      <c r="E1882" s="40"/>
      <c r="F1882" s="40" t="s">
        <v>544</v>
      </c>
      <c r="G1882" s="242">
        <v>15307796</v>
      </c>
      <c r="H1882" s="36" t="s">
        <v>545</v>
      </c>
      <c r="I1882" s="36" t="s">
        <v>8250</v>
      </c>
      <c r="J1882" s="36" t="s">
        <v>546</v>
      </c>
      <c r="K1882" s="36" t="s">
        <v>426</v>
      </c>
      <c r="L1882" s="36" t="s">
        <v>279</v>
      </c>
      <c r="M1882" s="36" t="s">
        <v>6116</v>
      </c>
      <c r="N1882" s="36"/>
      <c r="O1882" s="36" t="s">
        <v>6117</v>
      </c>
      <c r="P1882" s="41"/>
      <c r="Q1882" s="41"/>
      <c r="R1882" s="41"/>
      <c r="S1882" s="41"/>
      <c r="T1882" s="37">
        <v>296.14999999999998</v>
      </c>
      <c r="U1882" s="243">
        <v>8.0027013337835573E-3</v>
      </c>
      <c r="V1882" s="243">
        <v>1.5255782542630424E-2</v>
      </c>
      <c r="W1882" s="243">
        <v>7.585775750291826E-2</v>
      </c>
      <c r="X1882" s="243">
        <v>8.0027013337835573E-3</v>
      </c>
      <c r="Y1882" s="414">
        <v>4.34</v>
      </c>
      <c r="Z1882" s="37">
        <v>4.0199999999999996</v>
      </c>
      <c r="AA1882" s="37">
        <v>4.51</v>
      </c>
      <c r="AB1882" s="37">
        <v>4.6100000000000003</v>
      </c>
      <c r="AC1882" s="37">
        <v>0.87739999999999996</v>
      </c>
      <c r="AD1882" s="37">
        <v>4.4800000000000004</v>
      </c>
      <c r="AE1882" s="37">
        <v>4.0599999999999996</v>
      </c>
      <c r="AF1882" s="37">
        <f t="shared" si="569"/>
        <v>4.51</v>
      </c>
      <c r="AG1882" s="38">
        <v>4.4800000000000004</v>
      </c>
      <c r="AH1882" s="243">
        <v>4.7300000000000002E-12</v>
      </c>
      <c r="AI1882" s="243"/>
      <c r="AJ1882" s="34">
        <f t="shared" si="580"/>
        <v>-9.71370518557484</v>
      </c>
      <c r="AK1882" s="34"/>
      <c r="AL1882" s="34">
        <f t="shared" si="581"/>
        <v>-9.71370518557484</v>
      </c>
      <c r="AM1882" s="34">
        <v>-13.81147</v>
      </c>
      <c r="AN1882" s="244"/>
      <c r="AO1882" s="417">
        <v>4.18</v>
      </c>
      <c r="AP1882" s="417">
        <v>-2.2599999999999998</v>
      </c>
      <c r="AQ1882" s="244" t="s">
        <v>6311</v>
      </c>
      <c r="AR1882" s="244" t="s">
        <v>6311</v>
      </c>
      <c r="AS1882" s="241" t="s">
        <v>6</v>
      </c>
      <c r="AT1882" s="39" t="s">
        <v>266</v>
      </c>
      <c r="AU1882" s="37">
        <v>2</v>
      </c>
      <c r="AV1882" s="37">
        <v>48</v>
      </c>
      <c r="AW1882" s="37">
        <v>48</v>
      </c>
      <c r="AX1882" s="37">
        <v>26</v>
      </c>
      <c r="AY1882" s="37" t="s">
        <v>647</v>
      </c>
      <c r="AZ1882" s="37" t="s">
        <v>1920</v>
      </c>
      <c r="BA1882" s="37">
        <v>10</v>
      </c>
      <c r="BB1882" s="36" t="s">
        <v>1613</v>
      </c>
      <c r="BC1882" s="36" t="s">
        <v>538</v>
      </c>
      <c r="BD1882" s="36"/>
      <c r="BE1882" s="37" t="s">
        <v>271</v>
      </c>
      <c r="BF1882" s="37" t="s">
        <v>272</v>
      </c>
      <c r="BG1882" s="37" t="s">
        <v>272</v>
      </c>
      <c r="BH1882" s="37" t="s">
        <v>272</v>
      </c>
      <c r="BI1882" s="248">
        <v>1.4144716162695669E-3</v>
      </c>
      <c r="BJ1882" s="248">
        <v>0.36776262023008738</v>
      </c>
      <c r="BK1882" s="37"/>
      <c r="BL1882" s="243">
        <f t="shared" si="572"/>
        <v>1.2601957191637207E-2</v>
      </c>
      <c r="BM1882" s="37" t="s">
        <v>541</v>
      </c>
      <c r="BN1882" s="37"/>
      <c r="BO1882" s="37">
        <v>6.4800000000000005E-3</v>
      </c>
      <c r="BP1882" s="37"/>
      <c r="BQ1882" s="37"/>
      <c r="BR1882" s="37"/>
      <c r="BS1882" s="37"/>
      <c r="BT1882" s="37"/>
      <c r="BU1882" s="246"/>
      <c r="BV1882" s="37"/>
      <c r="BW1882" s="37"/>
      <c r="BX1882" s="37"/>
      <c r="BY1882" s="37"/>
      <c r="BZ1882" s="37"/>
      <c r="CA1882" s="37"/>
      <c r="CB1882" s="37"/>
      <c r="CC1882" s="37"/>
      <c r="CD1882" s="37"/>
      <c r="CE1882" s="37"/>
      <c r="CF1882" s="37"/>
      <c r="CG1882" s="37"/>
      <c r="CH1882" s="37"/>
      <c r="CI1882" s="243">
        <f t="shared" si="575"/>
        <v>6.4800000000000005E-3</v>
      </c>
      <c r="CJ1882" s="243">
        <f t="shared" si="576"/>
        <v>-2.1884249941294067</v>
      </c>
      <c r="CK1882" s="38">
        <f t="shared" si="573"/>
        <v>3.4266552657670604E-2</v>
      </c>
      <c r="CL1882" s="247">
        <f t="shared" si="577"/>
        <v>1.9447464801909269</v>
      </c>
      <c r="CM1882" s="247"/>
      <c r="CN1882" s="247"/>
      <c r="CO1882" s="36"/>
      <c r="CP1882" s="36" t="s">
        <v>1921</v>
      </c>
      <c r="CQ1882" s="241" t="s">
        <v>272</v>
      </c>
      <c r="CR1882" s="241"/>
      <c r="CS1882" s="33"/>
      <c r="CT1882" s="33"/>
      <c r="CU1882" s="250">
        <f t="shared" si="578"/>
        <v>1.2349847737320303</v>
      </c>
      <c r="CV1882" s="337">
        <f t="shared" si="574"/>
        <v>2.1760507712221374E-2</v>
      </c>
      <c r="CW1882" s="330">
        <f t="shared" si="579"/>
        <v>0</v>
      </c>
      <c r="CX1882" s="330"/>
      <c r="CY1882" s="143" t="s">
        <v>6351</v>
      </c>
    </row>
    <row r="1883" spans="1:103" ht="11.25" customHeight="1" x14ac:dyDescent="0.2">
      <c r="A1883" s="72">
        <v>1881</v>
      </c>
      <c r="B1883" s="241">
        <v>730</v>
      </c>
      <c r="C1883" s="32" t="s">
        <v>2063</v>
      </c>
      <c r="D1883" s="32"/>
      <c r="E1883" s="40"/>
      <c r="F1883" s="40" t="s">
        <v>544</v>
      </c>
      <c r="G1883" s="242">
        <v>15307796</v>
      </c>
      <c r="H1883" s="36" t="s">
        <v>545</v>
      </c>
      <c r="I1883" s="36" t="s">
        <v>8250</v>
      </c>
      <c r="J1883" s="36" t="s">
        <v>546</v>
      </c>
      <c r="K1883" s="36" t="s">
        <v>426</v>
      </c>
      <c r="L1883" s="36" t="s">
        <v>279</v>
      </c>
      <c r="M1883" s="36" t="s">
        <v>6116</v>
      </c>
      <c r="N1883" s="36"/>
      <c r="O1883" s="36" t="s">
        <v>6117</v>
      </c>
      <c r="P1883" s="41"/>
      <c r="Q1883" s="41"/>
      <c r="R1883" s="41"/>
      <c r="S1883" s="41"/>
      <c r="T1883" s="37">
        <v>296.14999999999998</v>
      </c>
      <c r="U1883" s="243">
        <v>8.0027013337835573E-3</v>
      </c>
      <c r="V1883" s="243">
        <v>1.5255782542630424E-2</v>
      </c>
      <c r="W1883" s="243">
        <v>7.585775750291826E-2</v>
      </c>
      <c r="X1883" s="243">
        <v>8.0027013337835573E-3</v>
      </c>
      <c r="Y1883" s="414">
        <v>4.34</v>
      </c>
      <c r="Z1883" s="37">
        <v>4.0199999999999996</v>
      </c>
      <c r="AA1883" s="37">
        <v>4.51</v>
      </c>
      <c r="AB1883" s="37">
        <v>4.6100000000000003</v>
      </c>
      <c r="AC1883" s="37">
        <v>0.87739999999999996</v>
      </c>
      <c r="AD1883" s="37">
        <v>4.4800000000000004</v>
      </c>
      <c r="AE1883" s="37">
        <v>4.0599999999999996</v>
      </c>
      <c r="AF1883" s="37">
        <f t="shared" si="569"/>
        <v>4.51</v>
      </c>
      <c r="AG1883" s="38">
        <v>4.4800000000000004</v>
      </c>
      <c r="AH1883" s="243">
        <v>4.7300000000000002E-12</v>
      </c>
      <c r="AI1883" s="243"/>
      <c r="AJ1883" s="34">
        <f t="shared" si="580"/>
        <v>-9.71370518557484</v>
      </c>
      <c r="AK1883" s="34"/>
      <c r="AL1883" s="34">
        <f t="shared" si="581"/>
        <v>-9.71370518557484</v>
      </c>
      <c r="AM1883" s="34">
        <v>-13.81147</v>
      </c>
      <c r="AN1883" s="244"/>
      <c r="AO1883" s="417">
        <v>4.18</v>
      </c>
      <c r="AP1883" s="417">
        <v>-2.2599999999999998</v>
      </c>
      <c r="AQ1883" s="244" t="s">
        <v>6311</v>
      </c>
      <c r="AR1883" s="244" t="s">
        <v>6311</v>
      </c>
      <c r="AS1883" s="241" t="s">
        <v>6</v>
      </c>
      <c r="AT1883" s="39" t="s">
        <v>266</v>
      </c>
      <c r="AU1883" s="37">
        <v>2</v>
      </c>
      <c r="AV1883" s="37">
        <v>72</v>
      </c>
      <c r="AW1883" s="37">
        <v>72</v>
      </c>
      <c r="AX1883" s="37">
        <v>26</v>
      </c>
      <c r="AY1883" s="37" t="s">
        <v>8722</v>
      </c>
      <c r="AZ1883" s="37" t="s">
        <v>536</v>
      </c>
      <c r="BA1883" s="37">
        <v>20</v>
      </c>
      <c r="BB1883" s="36" t="s">
        <v>1764</v>
      </c>
      <c r="BC1883" s="36" t="s">
        <v>2064</v>
      </c>
      <c r="BD1883" s="36"/>
      <c r="BE1883" s="37" t="s">
        <v>271</v>
      </c>
      <c r="BF1883" s="37" t="s">
        <v>2065</v>
      </c>
      <c r="BG1883" s="37">
        <v>7.8</v>
      </c>
      <c r="BH1883" s="37" t="s">
        <v>272</v>
      </c>
      <c r="BI1883" s="248">
        <v>9.1154837492927639E-3</v>
      </c>
      <c r="BJ1883" s="248">
        <v>8.3296661846985601E-2</v>
      </c>
      <c r="BK1883" s="37" t="s">
        <v>2066</v>
      </c>
      <c r="BL1883" s="243">
        <f t="shared" si="572"/>
        <v>1.2601957191637207E-2</v>
      </c>
      <c r="BM1883" s="37" t="s">
        <v>1552</v>
      </c>
      <c r="BN1883" s="37"/>
      <c r="BO1883" s="37"/>
      <c r="BP1883" s="37">
        <v>2.4517508015339161E-2</v>
      </c>
      <c r="BQ1883" s="37"/>
      <c r="BR1883" s="37"/>
      <c r="BS1883" s="37"/>
      <c r="BT1883" s="37"/>
      <c r="BU1883" s="246"/>
      <c r="BV1883" s="37"/>
      <c r="BW1883" s="37"/>
      <c r="BX1883" s="37"/>
      <c r="BY1883" s="37"/>
      <c r="BZ1883" s="37"/>
      <c r="CA1883" s="37"/>
      <c r="CB1883" s="37"/>
      <c r="CC1883" s="37"/>
      <c r="CD1883" s="37"/>
      <c r="CE1883" s="37"/>
      <c r="CF1883" s="37"/>
      <c r="CG1883" s="37"/>
      <c r="CH1883" s="37"/>
      <c r="CI1883" s="243">
        <f t="shared" si="575"/>
        <v>2.4517508015339161E-2</v>
      </c>
      <c r="CJ1883" s="243">
        <f t="shared" si="576"/>
        <v>-1.6105236740470195</v>
      </c>
      <c r="CK1883" s="38">
        <f t="shared" si="573"/>
        <v>0.15129006267726269</v>
      </c>
      <c r="CL1883" s="247">
        <f t="shared" si="577"/>
        <v>0.51399828986505902</v>
      </c>
      <c r="CM1883" s="247"/>
      <c r="CN1883" s="247"/>
      <c r="CO1883" s="36"/>
      <c r="CP1883" s="36" t="s">
        <v>2067</v>
      </c>
      <c r="CQ1883" s="241" t="s">
        <v>272</v>
      </c>
      <c r="CR1883" s="241"/>
      <c r="CS1883" s="33"/>
      <c r="CT1883" s="33" t="s">
        <v>6310</v>
      </c>
      <c r="CU1883" s="250">
        <f t="shared" si="578"/>
        <v>0.32640761568332061</v>
      </c>
      <c r="CV1883" s="337">
        <f t="shared" si="574"/>
        <v>9.6074694427543433E-2</v>
      </c>
      <c r="CW1883" s="330">
        <f t="shared" si="579"/>
        <v>0</v>
      </c>
      <c r="CX1883" s="330" t="s">
        <v>539</v>
      </c>
      <c r="CY1883" s="143" t="s">
        <v>6351</v>
      </c>
    </row>
    <row r="1884" spans="1:103" ht="11.25" customHeight="1" x14ac:dyDescent="0.2">
      <c r="A1884" s="72">
        <v>1882</v>
      </c>
      <c r="B1884" s="241">
        <v>643</v>
      </c>
      <c r="C1884" s="32" t="s">
        <v>1895</v>
      </c>
      <c r="D1884" s="32"/>
      <c r="E1884" s="40"/>
      <c r="F1884" s="40" t="s">
        <v>1896</v>
      </c>
      <c r="G1884" s="242">
        <v>15545489</v>
      </c>
      <c r="H1884" s="36" t="s">
        <v>1897</v>
      </c>
      <c r="I1884" s="36" t="s">
        <v>8251</v>
      </c>
      <c r="J1884" s="36" t="s">
        <v>1898</v>
      </c>
      <c r="K1884" s="36" t="s">
        <v>1292</v>
      </c>
      <c r="L1884" s="36" t="s">
        <v>8491</v>
      </c>
      <c r="M1884" s="36" t="s">
        <v>8487</v>
      </c>
      <c r="N1884" s="36"/>
      <c r="O1884" s="36"/>
      <c r="P1884" s="41"/>
      <c r="Q1884" s="41"/>
      <c r="R1884" s="41"/>
      <c r="S1884" s="41"/>
      <c r="T1884" s="37">
        <v>212.68</v>
      </c>
      <c r="U1884" s="243">
        <v>0.3291329697197668</v>
      </c>
      <c r="V1884" s="243">
        <v>1.5473951476396466</v>
      </c>
      <c r="W1884" s="243">
        <v>0.63095734448019247</v>
      </c>
      <c r="X1884" s="243">
        <v>0.3291329697197668</v>
      </c>
      <c r="Y1884" s="414">
        <v>7</v>
      </c>
      <c r="Z1884" s="37">
        <v>2.58</v>
      </c>
      <c r="AA1884" s="37">
        <v>2.41</v>
      </c>
      <c r="AB1884" s="37">
        <v>2.48</v>
      </c>
      <c r="AC1884" s="37">
        <v>0.81240000000000001</v>
      </c>
      <c r="AD1884" s="37">
        <v>2.48</v>
      </c>
      <c r="AE1884" s="37">
        <v>2.46</v>
      </c>
      <c r="AF1884" s="37">
        <f t="shared" si="569"/>
        <v>2.41</v>
      </c>
      <c r="AG1884" s="38">
        <v>2.3199999999999998</v>
      </c>
      <c r="AH1884" s="243">
        <v>7.9400000000000005E-10</v>
      </c>
      <c r="AI1884" s="243">
        <v>1.4399999999999999E-10</v>
      </c>
      <c r="AJ1884" s="34">
        <f t="shared" si="580"/>
        <v>-7.4887458238855551</v>
      </c>
      <c r="AK1884" s="34">
        <f>LOG10(AI1884*1000/(0.08206*298.15))</f>
        <v>-8.2302038342174022</v>
      </c>
      <c r="AL1884" s="34">
        <f t="shared" si="581"/>
        <v>-8.2302038342174022</v>
      </c>
      <c r="AM1884" s="34">
        <v>-10.79425</v>
      </c>
      <c r="AN1884" s="244">
        <v>-7.78</v>
      </c>
      <c r="AO1884" s="417">
        <v>14.43</v>
      </c>
      <c r="AP1884" s="417">
        <v>0.09</v>
      </c>
      <c r="AQ1884" s="244" t="s">
        <v>6311</v>
      </c>
      <c r="AR1884" s="244" t="s">
        <v>6311</v>
      </c>
      <c r="AS1884" s="241" t="s">
        <v>6</v>
      </c>
      <c r="AT1884" s="39" t="s">
        <v>266</v>
      </c>
      <c r="AU1884" s="37">
        <v>2</v>
      </c>
      <c r="AV1884" s="37">
        <v>48</v>
      </c>
      <c r="AW1884" s="37">
        <v>48</v>
      </c>
      <c r="AX1884" s="37">
        <v>26</v>
      </c>
      <c r="AY1884" s="37" t="s">
        <v>8722</v>
      </c>
      <c r="AZ1884" s="37" t="s">
        <v>1893</v>
      </c>
      <c r="BA1884" s="37">
        <v>15</v>
      </c>
      <c r="BB1884" s="36" t="s">
        <v>1613</v>
      </c>
      <c r="BC1884" s="36" t="s">
        <v>1887</v>
      </c>
      <c r="BD1884" s="36"/>
      <c r="BE1884" s="37" t="s">
        <v>1712</v>
      </c>
      <c r="BF1884" s="37" t="s">
        <v>540</v>
      </c>
      <c r="BG1884" s="37" t="s">
        <v>540</v>
      </c>
      <c r="BH1884" s="37" t="s">
        <v>272</v>
      </c>
      <c r="BI1884" s="248">
        <v>9.2627421478277214E-3</v>
      </c>
      <c r="BJ1884" s="248">
        <v>4.7018995674252398E-2</v>
      </c>
      <c r="BK1884" s="37"/>
      <c r="BL1884" s="243">
        <f t="shared" si="572"/>
        <v>0.24757227071424373</v>
      </c>
      <c r="BM1884" s="37" t="s">
        <v>541</v>
      </c>
      <c r="BN1884" s="37"/>
      <c r="BO1884" s="37">
        <v>2.9010720331013727E-2</v>
      </c>
      <c r="BP1884" s="37"/>
      <c r="BQ1884" s="37"/>
      <c r="BR1884" s="37"/>
      <c r="BS1884" s="37"/>
      <c r="BT1884" s="37"/>
      <c r="BU1884" s="246"/>
      <c r="BV1884" s="37"/>
      <c r="BW1884" s="37"/>
      <c r="BX1884" s="37"/>
      <c r="BY1884" s="37"/>
      <c r="BZ1884" s="37"/>
      <c r="CA1884" s="37"/>
      <c r="CB1884" s="37"/>
      <c r="CC1884" s="37"/>
      <c r="CD1884" s="37"/>
      <c r="CE1884" s="37"/>
      <c r="CF1884" s="37"/>
      <c r="CG1884" s="37"/>
      <c r="CH1884" s="37"/>
      <c r="CI1884" s="243">
        <f t="shared" si="575"/>
        <v>2.9010720331013727E-2</v>
      </c>
      <c r="CJ1884" s="243">
        <f t="shared" si="576"/>
        <v>-1.5374414876088993</v>
      </c>
      <c r="CK1884" s="38">
        <f t="shared" si="573"/>
        <v>5.2653670535505359</v>
      </c>
      <c r="CL1884" s="247">
        <f t="shared" si="577"/>
        <v>8.5338201840365251</v>
      </c>
      <c r="CM1884" s="247"/>
      <c r="CN1884" s="247"/>
      <c r="CO1884" s="36" t="s">
        <v>1888</v>
      </c>
      <c r="CP1884" s="36" t="s">
        <v>1889</v>
      </c>
      <c r="CQ1884" s="241">
        <v>-0.69564313082159501</v>
      </c>
      <c r="CR1884" s="241">
        <f>10^(CJ1884-CQ1884)</f>
        <v>0.14394667684876647</v>
      </c>
      <c r="CS1884" s="33"/>
      <c r="CT1884" s="33"/>
      <c r="CU1884" s="250">
        <f t="shared" si="578"/>
        <v>11.345218800648299</v>
      </c>
      <c r="CV1884" s="337">
        <f t="shared" si="574"/>
        <v>7</v>
      </c>
      <c r="CW1884" s="330">
        <f t="shared" si="579"/>
        <v>1</v>
      </c>
      <c r="CX1884" s="330" t="s">
        <v>539</v>
      </c>
      <c r="CY1884" s="143" t="s">
        <v>5921</v>
      </c>
    </row>
    <row r="1885" spans="1:103" ht="11.25" customHeight="1" x14ac:dyDescent="0.2">
      <c r="A1885" s="72">
        <v>1883</v>
      </c>
      <c r="B1885" s="241">
        <v>63</v>
      </c>
      <c r="C1885" s="32" t="s">
        <v>548</v>
      </c>
      <c r="D1885" s="32"/>
      <c r="E1885" s="40"/>
      <c r="F1885" s="40" t="s">
        <v>549</v>
      </c>
      <c r="G1885" s="242">
        <v>15687271</v>
      </c>
      <c r="H1885" s="36" t="s">
        <v>550</v>
      </c>
      <c r="I1885" s="36" t="s">
        <v>550</v>
      </c>
      <c r="J1885" s="36" t="s">
        <v>551</v>
      </c>
      <c r="K1885" s="36" t="s">
        <v>426</v>
      </c>
      <c r="L1885" s="42" t="s">
        <v>279</v>
      </c>
      <c r="M1885" s="36" t="s">
        <v>547</v>
      </c>
      <c r="N1885" s="36"/>
      <c r="O1885" s="36" t="s">
        <v>281</v>
      </c>
      <c r="P1885" s="41"/>
      <c r="Q1885" s="41"/>
      <c r="R1885" s="41"/>
      <c r="S1885" s="41"/>
      <c r="T1885" s="37">
        <v>206.28</v>
      </c>
      <c r="U1885" s="243">
        <v>0.10180337405468295</v>
      </c>
      <c r="V1885" s="243">
        <v>0.19900135737832073</v>
      </c>
      <c r="W1885" s="243">
        <v>1.0232929922807532</v>
      </c>
      <c r="X1885" s="243">
        <v>0.10180337405468295</v>
      </c>
      <c r="Y1885" s="414">
        <v>3.75</v>
      </c>
      <c r="Z1885" s="37">
        <v>3.79</v>
      </c>
      <c r="AA1885" s="37">
        <v>3.97</v>
      </c>
      <c r="AB1885" s="37">
        <v>3.21</v>
      </c>
      <c r="AC1885" s="37">
        <v>0.8014</v>
      </c>
      <c r="AD1885" s="37">
        <v>3.37</v>
      </c>
      <c r="AE1885" s="37">
        <v>3.72</v>
      </c>
      <c r="AF1885" s="37">
        <f t="shared" si="569"/>
        <v>3.97</v>
      </c>
      <c r="AG1885" s="38">
        <v>3.35</v>
      </c>
      <c r="AH1885" s="243">
        <v>1.5200000000000001E-7</v>
      </c>
      <c r="AI1885" s="243"/>
      <c r="AJ1885" s="34">
        <f t="shared" si="580"/>
        <v>-5.2067227383678789</v>
      </c>
      <c r="AK1885" s="34"/>
      <c r="AL1885" s="34">
        <f t="shared" si="581"/>
        <v>-5.2067227383678789</v>
      </c>
      <c r="AM1885" s="34">
        <v>-8.3652599999999993</v>
      </c>
      <c r="AN1885" s="244">
        <v>-6.18</v>
      </c>
      <c r="AO1885" s="417">
        <v>4.41</v>
      </c>
      <c r="AP1885" s="417"/>
      <c r="AQ1885" s="244" t="s">
        <v>6311</v>
      </c>
      <c r="AR1885" s="244" t="s">
        <v>6311</v>
      </c>
      <c r="AS1885" s="241" t="s">
        <v>90</v>
      </c>
      <c r="AT1885" s="39" t="s">
        <v>266</v>
      </c>
      <c r="AU1885" s="37">
        <v>0</v>
      </c>
      <c r="AV1885" s="37">
        <v>48</v>
      </c>
      <c r="AW1885" s="37">
        <v>48</v>
      </c>
      <c r="AX1885" s="37">
        <v>26</v>
      </c>
      <c r="AY1885" s="37" t="s">
        <v>8722</v>
      </c>
      <c r="AZ1885" s="37" t="s">
        <v>536</v>
      </c>
      <c r="BA1885" s="37">
        <v>20</v>
      </c>
      <c r="BB1885" s="36" t="s">
        <v>537</v>
      </c>
      <c r="BC1885" s="36" t="s">
        <v>538</v>
      </c>
      <c r="BD1885" s="36"/>
      <c r="BE1885" s="245" t="s">
        <v>271</v>
      </c>
      <c r="BF1885" s="245" t="s">
        <v>539</v>
      </c>
      <c r="BG1885" s="245" t="s">
        <v>540</v>
      </c>
      <c r="BH1885" s="245" t="s">
        <v>272</v>
      </c>
      <c r="BI1885" s="243">
        <v>2.3699999999999999E-2</v>
      </c>
      <c r="BJ1885" s="243">
        <v>0.56879999999999997</v>
      </c>
      <c r="BK1885" s="37"/>
      <c r="BL1885" s="243">
        <f t="shared" si="572"/>
        <v>2.0276873884386589E-2</v>
      </c>
      <c r="BM1885" s="37" t="s">
        <v>541</v>
      </c>
      <c r="BN1885" s="37"/>
      <c r="BO1885" s="37">
        <v>0.20050000000000001</v>
      </c>
      <c r="BP1885" s="37"/>
      <c r="BQ1885" s="37"/>
      <c r="BR1885" s="37"/>
      <c r="BS1885" s="37"/>
      <c r="BT1885" s="37"/>
      <c r="BU1885" s="246"/>
      <c r="BV1885" s="37"/>
      <c r="BW1885" s="37"/>
      <c r="BX1885" s="37"/>
      <c r="BY1885" s="37"/>
      <c r="BZ1885" s="37"/>
      <c r="CA1885" s="37"/>
      <c r="CB1885" s="37"/>
      <c r="CC1885" s="37"/>
      <c r="CD1885" s="37"/>
      <c r="CE1885" s="37"/>
      <c r="CF1885" s="37"/>
      <c r="CG1885" s="37"/>
      <c r="CH1885" s="37"/>
      <c r="CI1885" s="243">
        <f t="shared" si="575"/>
        <v>0.20050000000000001</v>
      </c>
      <c r="CJ1885" s="243">
        <f t="shared" si="576"/>
        <v>-0.69788562304379886</v>
      </c>
      <c r="CK1885" s="38">
        <f t="shared" si="573"/>
        <v>3.5648512454969389E-2</v>
      </c>
      <c r="CL1885" s="247">
        <f t="shared" si="577"/>
        <v>0.10113154057050668</v>
      </c>
      <c r="CM1885" s="247"/>
      <c r="CN1885" s="247"/>
      <c r="CO1885" s="36"/>
      <c r="CP1885" s="36" t="s">
        <v>542</v>
      </c>
      <c r="CQ1885" s="241">
        <v>-7.6411019605881855E-2</v>
      </c>
      <c r="CR1885" s="241">
        <f>10^(CJ1885-CQ1885)</f>
        <v>0.2390701734104046</v>
      </c>
      <c r="CS1885" s="33"/>
      <c r="CT1885" s="33"/>
      <c r="CU1885" s="250">
        <f t="shared" si="578"/>
        <v>0.50774750151961567</v>
      </c>
      <c r="CV1885" s="337">
        <f t="shared" si="574"/>
        <v>0.1789792089568969</v>
      </c>
      <c r="CW1885" s="330">
        <f t="shared" si="579"/>
        <v>0</v>
      </c>
      <c r="CX1885" s="330"/>
      <c r="CY1885" s="143" t="s">
        <v>6351</v>
      </c>
    </row>
    <row r="1886" spans="1:103" ht="11.25" customHeight="1" x14ac:dyDescent="0.2">
      <c r="A1886" s="72">
        <v>1884</v>
      </c>
      <c r="B1886" s="241">
        <v>661</v>
      </c>
      <c r="C1886" s="32" t="s">
        <v>548</v>
      </c>
      <c r="D1886" s="32"/>
      <c r="E1886" s="40"/>
      <c r="F1886" s="40" t="s">
        <v>549</v>
      </c>
      <c r="G1886" s="242">
        <v>15687271</v>
      </c>
      <c r="H1886" s="36" t="s">
        <v>550</v>
      </c>
      <c r="I1886" s="36" t="s">
        <v>550</v>
      </c>
      <c r="J1886" s="36" t="s">
        <v>551</v>
      </c>
      <c r="K1886" s="36" t="s">
        <v>426</v>
      </c>
      <c r="L1886" s="42" t="s">
        <v>279</v>
      </c>
      <c r="M1886" s="36" t="s">
        <v>1922</v>
      </c>
      <c r="N1886" s="36"/>
      <c r="O1886" s="36" t="s">
        <v>281</v>
      </c>
      <c r="P1886" s="41"/>
      <c r="Q1886" s="41"/>
      <c r="R1886" s="41"/>
      <c r="S1886" s="41"/>
      <c r="T1886" s="37">
        <v>206.28</v>
      </c>
      <c r="U1886" s="243">
        <v>0.10180337405468295</v>
      </c>
      <c r="V1886" s="243">
        <v>0.19900135737832073</v>
      </c>
      <c r="W1886" s="243">
        <v>1.0232929922807532</v>
      </c>
      <c r="X1886" s="243">
        <v>0.10180337405468295</v>
      </c>
      <c r="Y1886" s="414">
        <v>3.75</v>
      </c>
      <c r="Z1886" s="37">
        <v>3.79</v>
      </c>
      <c r="AA1886" s="37">
        <v>3.97</v>
      </c>
      <c r="AB1886" s="37">
        <v>3.21</v>
      </c>
      <c r="AC1886" s="37">
        <v>0.8014</v>
      </c>
      <c r="AD1886" s="37">
        <v>3.37</v>
      </c>
      <c r="AE1886" s="37">
        <v>3.72</v>
      </c>
      <c r="AF1886" s="37">
        <f t="shared" si="569"/>
        <v>3.97</v>
      </c>
      <c r="AG1886" s="38">
        <v>3.35</v>
      </c>
      <c r="AH1886" s="243">
        <v>1.5200000000000001E-7</v>
      </c>
      <c r="AI1886" s="243"/>
      <c r="AJ1886" s="34">
        <f t="shared" si="580"/>
        <v>-5.2067227383678789</v>
      </c>
      <c r="AK1886" s="34"/>
      <c r="AL1886" s="34">
        <f t="shared" si="581"/>
        <v>-5.2067227383678789</v>
      </c>
      <c r="AM1886" s="34">
        <v>-8.3652599999999993</v>
      </c>
      <c r="AN1886" s="244">
        <v>-6.18</v>
      </c>
      <c r="AO1886" s="417">
        <v>4.41</v>
      </c>
      <c r="AP1886" s="417"/>
      <c r="AQ1886" s="244" t="s">
        <v>6311</v>
      </c>
      <c r="AR1886" s="244" t="s">
        <v>6311</v>
      </c>
      <c r="AS1886" s="241" t="s">
        <v>6</v>
      </c>
      <c r="AT1886" s="39" t="s">
        <v>266</v>
      </c>
      <c r="AU1886" s="37">
        <v>2</v>
      </c>
      <c r="AV1886" s="37">
        <v>48</v>
      </c>
      <c r="AW1886" s="37">
        <v>48</v>
      </c>
      <c r="AX1886" s="37">
        <v>26</v>
      </c>
      <c r="AY1886" s="37" t="s">
        <v>647</v>
      </c>
      <c r="AZ1886" s="37" t="s">
        <v>1920</v>
      </c>
      <c r="BA1886" s="37">
        <v>10</v>
      </c>
      <c r="BB1886" s="36" t="s">
        <v>1613</v>
      </c>
      <c r="BC1886" s="36" t="s">
        <v>538</v>
      </c>
      <c r="BD1886" s="36"/>
      <c r="BE1886" s="37" t="s">
        <v>271</v>
      </c>
      <c r="BF1886" s="37" t="s">
        <v>272</v>
      </c>
      <c r="BG1886" s="37" t="s">
        <v>272</v>
      </c>
      <c r="BH1886" s="37" t="s">
        <v>272</v>
      </c>
      <c r="BI1886" s="243" t="s">
        <v>8722</v>
      </c>
      <c r="BJ1886" s="243" t="s">
        <v>8722</v>
      </c>
      <c r="BK1886" s="37"/>
      <c r="BL1886" s="243">
        <f t="shared" si="572"/>
        <v>2.0276873884386589E-2</v>
      </c>
      <c r="BM1886" s="37" t="s">
        <v>541</v>
      </c>
      <c r="BN1886" s="37"/>
      <c r="BO1886" s="37">
        <v>3.8030000000000001E-2</v>
      </c>
      <c r="BP1886" s="37"/>
      <c r="BQ1886" s="37"/>
      <c r="BR1886" s="37"/>
      <c r="BS1886" s="37"/>
      <c r="BT1886" s="37"/>
      <c r="BU1886" s="246"/>
      <c r="BV1886" s="37"/>
      <c r="BW1886" s="37"/>
      <c r="BX1886" s="37"/>
      <c r="BY1886" s="37"/>
      <c r="BZ1886" s="37"/>
      <c r="CA1886" s="37"/>
      <c r="CB1886" s="37"/>
      <c r="CC1886" s="37"/>
      <c r="CD1886" s="37"/>
      <c r="CE1886" s="37"/>
      <c r="CF1886" s="37"/>
      <c r="CG1886" s="37"/>
      <c r="CH1886" s="37"/>
      <c r="CI1886" s="243">
        <f t="shared" si="575"/>
        <v>3.8030000000000001E-2</v>
      </c>
      <c r="CJ1886" s="243">
        <f t="shared" si="576"/>
        <v>-1.4198736745884175</v>
      </c>
      <c r="CK1886" s="38" t="s">
        <v>404</v>
      </c>
      <c r="CL1886" s="247">
        <f t="shared" si="577"/>
        <v>0.53318101194810907</v>
      </c>
      <c r="CM1886" s="247"/>
      <c r="CN1886" s="247"/>
      <c r="CO1886" s="36"/>
      <c r="CP1886" s="36" t="s">
        <v>1921</v>
      </c>
      <c r="CQ1886" s="241">
        <v>-7.6411019605881855E-2</v>
      </c>
      <c r="CR1886" s="241">
        <f>10^(CJ1886-CQ1886)</f>
        <v>4.5345828901734088E-2</v>
      </c>
      <c r="CS1886" s="33"/>
      <c r="CT1886" s="33"/>
      <c r="CU1886" s="250">
        <f t="shared" si="578"/>
        <v>2.6769227992291071</v>
      </c>
      <c r="CV1886" s="337"/>
      <c r="CW1886" s="330">
        <f t="shared" si="579"/>
        <v>1</v>
      </c>
      <c r="CX1886" s="330"/>
      <c r="CY1886" s="143" t="s">
        <v>6351</v>
      </c>
    </row>
    <row r="1887" spans="1:103" ht="11.25" customHeight="1" x14ac:dyDescent="0.2">
      <c r="A1887" s="72">
        <v>1885</v>
      </c>
      <c r="B1887" s="241">
        <v>102</v>
      </c>
      <c r="C1887" s="32" t="s">
        <v>673</v>
      </c>
      <c r="D1887" s="32"/>
      <c r="E1887" s="40"/>
      <c r="F1887" s="40" t="s">
        <v>674</v>
      </c>
      <c r="G1887" s="242">
        <v>17640210</v>
      </c>
      <c r="H1887" s="36"/>
      <c r="I1887" s="36" t="s">
        <v>7877</v>
      </c>
      <c r="J1887" s="36" t="s">
        <v>675</v>
      </c>
      <c r="K1887" s="36"/>
      <c r="L1887" s="36"/>
      <c r="M1887" s="36"/>
      <c r="N1887" s="36"/>
      <c r="O1887" s="36"/>
      <c r="P1887" s="41"/>
      <c r="Q1887" s="41"/>
      <c r="R1887" s="41"/>
      <c r="S1887" s="41"/>
      <c r="T1887" s="37">
        <v>132.16</v>
      </c>
      <c r="U1887" s="243"/>
      <c r="V1887" s="243"/>
      <c r="W1887" s="243">
        <v>295.12092266663848</v>
      </c>
      <c r="X1887" s="243">
        <f t="shared" ref="X1887:X1892" si="582">IF(W1887=0,V1887,W1887)</f>
        <v>295.12092266663848</v>
      </c>
      <c r="Y1887" s="414">
        <v>7</v>
      </c>
      <c r="Z1887" s="37"/>
      <c r="AA1887" s="37"/>
      <c r="AB1887" s="37"/>
      <c r="AC1887" s="37"/>
      <c r="AD1887" s="37"/>
      <c r="AE1887" s="37"/>
      <c r="AF1887" s="37"/>
      <c r="AG1887" s="38">
        <v>0.76</v>
      </c>
      <c r="AH1887" s="243"/>
      <c r="AI1887" s="243"/>
      <c r="AJ1887" s="34"/>
      <c r="AK1887" s="34"/>
      <c r="AL1887" s="34"/>
      <c r="AM1887" s="34"/>
      <c r="AN1887" s="244">
        <v>-3.19</v>
      </c>
      <c r="AO1887" s="417"/>
      <c r="AP1887" s="417"/>
      <c r="AQ1887" s="244" t="s">
        <v>6311</v>
      </c>
      <c r="AR1887" s="244" t="s">
        <v>6314</v>
      </c>
      <c r="AS1887" s="241" t="s">
        <v>63</v>
      </c>
      <c r="AT1887" s="39" t="s">
        <v>266</v>
      </c>
      <c r="AU1887" s="37">
        <v>0</v>
      </c>
      <c r="AV1887" s="37" t="s">
        <v>646</v>
      </c>
      <c r="AW1887" s="37" t="s">
        <v>646</v>
      </c>
      <c r="AX1887" s="37">
        <v>26</v>
      </c>
      <c r="AY1887" s="37" t="s">
        <v>647</v>
      </c>
      <c r="AZ1887" s="37" t="s">
        <v>536</v>
      </c>
      <c r="BA1887" s="37">
        <v>20</v>
      </c>
      <c r="BB1887" s="36" t="s">
        <v>537</v>
      </c>
      <c r="BC1887" s="36" t="s">
        <v>648</v>
      </c>
      <c r="BD1887" s="36"/>
      <c r="BE1887" s="245" t="s">
        <v>649</v>
      </c>
      <c r="BF1887" s="245" t="s">
        <v>650</v>
      </c>
      <c r="BG1887" s="245" t="s">
        <v>540</v>
      </c>
      <c r="BH1887" s="245" t="s">
        <v>272</v>
      </c>
      <c r="BI1887" s="243">
        <v>3.5000000000000003E-2</v>
      </c>
      <c r="BJ1887" s="243">
        <v>0.13500000000000001</v>
      </c>
      <c r="BK1887" s="37"/>
      <c r="BL1887" s="243"/>
      <c r="BM1887" s="37" t="s">
        <v>541</v>
      </c>
      <c r="BN1887" s="37"/>
      <c r="BO1887" s="37">
        <v>7.5999999999999998E-2</v>
      </c>
      <c r="BP1887" s="37"/>
      <c r="BQ1887" s="37"/>
      <c r="BR1887" s="37"/>
      <c r="BS1887" s="37"/>
      <c r="BT1887" s="37"/>
      <c r="BU1887" s="246"/>
      <c r="BV1887" s="37"/>
      <c r="BW1887" s="37"/>
      <c r="BX1887" s="37"/>
      <c r="BY1887" s="37"/>
      <c r="BZ1887" s="37"/>
      <c r="CA1887" s="37"/>
      <c r="CB1887" s="37"/>
      <c r="CC1887" s="37"/>
      <c r="CD1887" s="37"/>
      <c r="CE1887" s="37"/>
      <c r="CF1887" s="37"/>
      <c r="CG1887" s="37"/>
      <c r="CH1887" s="37"/>
      <c r="CI1887" s="243">
        <f t="shared" si="575"/>
        <v>7.5999999999999998E-2</v>
      </c>
      <c r="CJ1887" s="243">
        <f t="shared" si="576"/>
        <v>-1.1191864077192086</v>
      </c>
      <c r="CK1887" s="38">
        <f t="shared" ref="CK1887:CK1895" si="583">BL1887/BJ1887</f>
        <v>0</v>
      </c>
      <c r="CL1887" s="247">
        <f t="shared" si="577"/>
        <v>0</v>
      </c>
      <c r="CM1887" s="247"/>
      <c r="CN1887" s="247"/>
      <c r="CO1887" s="36"/>
      <c r="CP1887" s="36" t="s">
        <v>651</v>
      </c>
      <c r="CQ1887" s="241" t="s">
        <v>272</v>
      </c>
      <c r="CR1887" s="241"/>
      <c r="CS1887" s="33"/>
      <c r="CT1887" s="33"/>
      <c r="CU1887" s="250">
        <f t="shared" si="578"/>
        <v>3883.1700350873484</v>
      </c>
      <c r="CV1887" s="337">
        <f t="shared" ref="CV1887:CV1895" si="584">X1887/BJ1887</f>
        <v>2186.0809086417662</v>
      </c>
      <c r="CW1887" s="330">
        <f t="shared" si="579"/>
        <v>1</v>
      </c>
      <c r="CX1887" s="330"/>
      <c r="CY1887" s="143" t="s">
        <v>5921</v>
      </c>
    </row>
    <row r="1888" spans="1:103" ht="11.25" customHeight="1" x14ac:dyDescent="0.2">
      <c r="A1888" s="72">
        <v>1886</v>
      </c>
      <c r="B1888" s="241">
        <v>720</v>
      </c>
      <c r="C1888" s="32" t="s">
        <v>2035</v>
      </c>
      <c r="D1888" s="32"/>
      <c r="E1888" s="40"/>
      <c r="F1888" s="40" t="s">
        <v>2036</v>
      </c>
      <c r="G1888" s="242">
        <v>17902237</v>
      </c>
      <c r="H1888" s="36" t="s">
        <v>2037</v>
      </c>
      <c r="I1888" s="36" t="s">
        <v>8252</v>
      </c>
      <c r="J1888" s="36" t="s">
        <v>2038</v>
      </c>
      <c r="K1888" s="36" t="s">
        <v>2039</v>
      </c>
      <c r="L1888" s="36"/>
      <c r="M1888" s="36"/>
      <c r="N1888" s="36"/>
      <c r="O1888" s="36"/>
      <c r="P1888" s="41"/>
      <c r="Q1888" s="41"/>
      <c r="R1888" s="41"/>
      <c r="S1888" s="41"/>
      <c r="T1888" s="37">
        <v>200.17</v>
      </c>
      <c r="U1888" s="243"/>
      <c r="V1888" s="243">
        <v>18.169555877504123</v>
      </c>
      <c r="W1888" s="243">
        <v>114.8153621496883</v>
      </c>
      <c r="X1888" s="243">
        <f t="shared" si="582"/>
        <v>114.8153621496883</v>
      </c>
      <c r="Y1888" s="414">
        <v>4.28</v>
      </c>
      <c r="Z1888" s="37">
        <v>-0.02</v>
      </c>
      <c r="AA1888" s="37">
        <v>-0.27</v>
      </c>
      <c r="AB1888" s="37">
        <v>-0.27</v>
      </c>
      <c r="AC1888" s="37">
        <v>0.83730000000000004</v>
      </c>
      <c r="AD1888" s="37">
        <v>-0.4</v>
      </c>
      <c r="AE1888" s="37">
        <v>-0.77</v>
      </c>
      <c r="AF1888" s="37">
        <f>IF(AA1888=0,AD1888,AA1888)</f>
        <v>-0.27</v>
      </c>
      <c r="AG1888" s="38">
        <v>0.41</v>
      </c>
      <c r="AH1888" s="243">
        <v>8.3200000000000001E-12</v>
      </c>
      <c r="AI1888" s="243"/>
      <c r="AJ1888" s="34">
        <f>LOG10(AH1888*1000/(0.08206*298.15))</f>
        <v>-9.468443000021928</v>
      </c>
      <c r="AK1888" s="34"/>
      <c r="AL1888" s="34">
        <f>IF(AK1888=0,AJ1888,AK1888)</f>
        <v>-9.468443000021928</v>
      </c>
      <c r="AM1888" s="34">
        <v>-12.078439999999999</v>
      </c>
      <c r="AN1888" s="244">
        <v>-8.7899999999999991</v>
      </c>
      <c r="AO1888" s="417">
        <v>7.63</v>
      </c>
      <c r="AP1888" s="417"/>
      <c r="AQ1888" s="244" t="s">
        <v>6311</v>
      </c>
      <c r="AR1888" s="244" t="s">
        <v>6311</v>
      </c>
      <c r="AS1888" s="241" t="s">
        <v>6</v>
      </c>
      <c r="AT1888" s="39" t="s">
        <v>266</v>
      </c>
      <c r="AU1888" s="37">
        <v>2</v>
      </c>
      <c r="AV1888" s="37">
        <v>72</v>
      </c>
      <c r="AW1888" s="37">
        <v>72</v>
      </c>
      <c r="AX1888" s="37">
        <v>26</v>
      </c>
      <c r="AY1888" s="37" t="s">
        <v>647</v>
      </c>
      <c r="AZ1888" s="37" t="s">
        <v>536</v>
      </c>
      <c r="BA1888" s="37" t="s">
        <v>8723</v>
      </c>
      <c r="BB1888" s="36" t="s">
        <v>1644</v>
      </c>
      <c r="BC1888" s="36" t="s">
        <v>2019</v>
      </c>
      <c r="BD1888" s="36" t="s">
        <v>8374</v>
      </c>
      <c r="BE1888" s="37" t="s">
        <v>649</v>
      </c>
      <c r="BF1888" s="37" t="s">
        <v>272</v>
      </c>
      <c r="BG1888" s="37" t="s">
        <v>272</v>
      </c>
      <c r="BH1888" s="37" t="s">
        <v>272</v>
      </c>
      <c r="BI1888" s="243">
        <v>1.25</v>
      </c>
      <c r="BJ1888" s="243">
        <v>40</v>
      </c>
      <c r="BK1888" s="37"/>
      <c r="BL1888" s="243">
        <f>10^((-0.8981*Z1888)+1.7108)</f>
        <v>53.5503113213706</v>
      </c>
      <c r="BM1888" s="37" t="s">
        <v>541</v>
      </c>
      <c r="BN1888" s="37"/>
      <c r="BO1888" s="37"/>
      <c r="BP1888" s="37">
        <v>30.3</v>
      </c>
      <c r="BQ1888" s="37"/>
      <c r="BR1888" s="37"/>
      <c r="BS1888" s="37"/>
      <c r="BT1888" s="37"/>
      <c r="BU1888" s="246"/>
      <c r="BV1888" s="37"/>
      <c r="BW1888" s="37"/>
      <c r="BX1888" s="37"/>
      <c r="BY1888" s="37"/>
      <c r="BZ1888" s="37"/>
      <c r="CA1888" s="37"/>
      <c r="CB1888" s="37"/>
      <c r="CC1888" s="37"/>
      <c r="CD1888" s="37"/>
      <c r="CE1888" s="37"/>
      <c r="CF1888" s="37"/>
      <c r="CG1888" s="37"/>
      <c r="CH1888" s="37"/>
      <c r="CI1888" s="243">
        <f t="shared" si="575"/>
        <v>30.3</v>
      </c>
      <c r="CJ1888" s="243">
        <f t="shared" si="576"/>
        <v>1.481442628502305</v>
      </c>
      <c r="CK1888" s="38">
        <f t="shared" si="583"/>
        <v>1.338757783034265</v>
      </c>
      <c r="CL1888" s="247">
        <f t="shared" si="577"/>
        <v>1.7673370073059604</v>
      </c>
      <c r="CM1888" s="247"/>
      <c r="CN1888" s="247"/>
      <c r="CO1888" s="36"/>
      <c r="CP1888" s="36" t="s">
        <v>2021</v>
      </c>
      <c r="CQ1888" s="241" t="s">
        <v>272</v>
      </c>
      <c r="CR1888" s="241"/>
      <c r="CS1888" s="33"/>
      <c r="CT1888" s="33"/>
      <c r="CU1888" s="250">
        <f t="shared" si="578"/>
        <v>3.7892858795276667</v>
      </c>
      <c r="CV1888" s="337">
        <f t="shared" si="584"/>
        <v>2.8703840537422076</v>
      </c>
      <c r="CW1888" s="330">
        <f t="shared" si="579"/>
        <v>1</v>
      </c>
      <c r="CX1888" s="330"/>
      <c r="CY1888" s="143" t="s">
        <v>5921</v>
      </c>
    </row>
    <row r="1889" spans="1:103" ht="11.25" customHeight="1" x14ac:dyDescent="0.2">
      <c r="A1889" s="72">
        <v>1887</v>
      </c>
      <c r="B1889" s="241">
        <v>828</v>
      </c>
      <c r="C1889" s="32" t="s">
        <v>2365</v>
      </c>
      <c r="D1889" s="32"/>
      <c r="E1889" s="40"/>
      <c r="F1889" s="40" t="s">
        <v>2366</v>
      </c>
      <c r="G1889" s="242">
        <v>20546321</v>
      </c>
      <c r="H1889" s="36"/>
      <c r="I1889" s="36" t="s">
        <v>7877</v>
      </c>
      <c r="J1889" s="36" t="s">
        <v>2367</v>
      </c>
      <c r="K1889" s="36"/>
      <c r="L1889" s="36"/>
      <c r="M1889" s="36"/>
      <c r="N1889" s="36"/>
      <c r="O1889" s="36"/>
      <c r="P1889" s="41"/>
      <c r="Q1889" s="41"/>
      <c r="R1889" s="41"/>
      <c r="S1889" s="41"/>
      <c r="T1889" s="37">
        <v>89.09</v>
      </c>
      <c r="U1889" s="243"/>
      <c r="V1889" s="243"/>
      <c r="W1889" s="243">
        <v>11220.184543019635</v>
      </c>
      <c r="X1889" s="243">
        <f t="shared" si="582"/>
        <v>11220.184543019635</v>
      </c>
      <c r="Y1889" s="414">
        <v>5.78</v>
      </c>
      <c r="Z1889" s="37"/>
      <c r="AA1889" s="37"/>
      <c r="AB1889" s="37"/>
      <c r="AC1889" s="37"/>
      <c r="AD1889" s="37"/>
      <c r="AE1889" s="37"/>
      <c r="AF1889" s="37"/>
      <c r="AG1889" s="38">
        <v>-1.4</v>
      </c>
      <c r="AH1889" s="243"/>
      <c r="AI1889" s="243"/>
      <c r="AJ1889" s="34"/>
      <c r="AK1889" s="34"/>
      <c r="AL1889" s="34"/>
      <c r="AM1889" s="34"/>
      <c r="AN1889" s="244"/>
      <c r="AO1889" s="417">
        <v>13.23</v>
      </c>
      <c r="AP1889" s="417">
        <v>-0.8</v>
      </c>
      <c r="AQ1889" s="37" t="s">
        <v>6311</v>
      </c>
      <c r="AR1889" s="37" t="s">
        <v>6311</v>
      </c>
      <c r="AS1889" s="241" t="s">
        <v>6</v>
      </c>
      <c r="AT1889" s="39" t="s">
        <v>266</v>
      </c>
      <c r="AU1889" s="245"/>
      <c r="AV1889" s="245">
        <v>0</v>
      </c>
      <c r="AW1889" s="37">
        <v>96</v>
      </c>
      <c r="AX1889" s="37">
        <v>25</v>
      </c>
      <c r="AY1889" s="37" t="s">
        <v>8722</v>
      </c>
      <c r="AZ1889" s="37" t="s">
        <v>1682</v>
      </c>
      <c r="BA1889" s="37">
        <v>12</v>
      </c>
      <c r="BB1889" s="36" t="s">
        <v>888</v>
      </c>
      <c r="BC1889" s="36" t="s">
        <v>538</v>
      </c>
      <c r="BD1889" s="36"/>
      <c r="BE1889" s="37" t="s">
        <v>271</v>
      </c>
      <c r="BF1889" s="37" t="s">
        <v>272</v>
      </c>
      <c r="BG1889" s="37" t="s">
        <v>1683</v>
      </c>
      <c r="BH1889" s="37" t="s">
        <v>272</v>
      </c>
      <c r="BI1889" s="243">
        <v>12</v>
      </c>
      <c r="BJ1889" s="243">
        <v>37</v>
      </c>
      <c r="BK1889" s="37"/>
      <c r="BL1889" s="243"/>
      <c r="BM1889" s="37">
        <v>0</v>
      </c>
      <c r="BN1889" s="37"/>
      <c r="BO1889" s="37"/>
      <c r="BP1889" s="37">
        <v>14.767313952183185</v>
      </c>
      <c r="BQ1889" s="37"/>
      <c r="BR1889" s="37"/>
      <c r="BS1889" s="37"/>
      <c r="BT1889" s="37"/>
      <c r="BU1889" s="246"/>
      <c r="BV1889" s="37"/>
      <c r="BW1889" s="37"/>
      <c r="BX1889" s="37"/>
      <c r="BY1889" s="37"/>
      <c r="BZ1889" s="37"/>
      <c r="CA1889" s="37"/>
      <c r="CB1889" s="37"/>
      <c r="CC1889" s="37"/>
      <c r="CD1889" s="37"/>
      <c r="CE1889" s="37"/>
      <c r="CF1889" s="37"/>
      <c r="CG1889" s="37"/>
      <c r="CH1889" s="37"/>
      <c r="CI1889" s="243">
        <f t="shared" si="575"/>
        <v>14.767313952183185</v>
      </c>
      <c r="CJ1889" s="243">
        <f t="shared" si="576"/>
        <v>1.1693015080519653</v>
      </c>
      <c r="CK1889" s="38">
        <f t="shared" si="583"/>
        <v>0</v>
      </c>
      <c r="CL1889" s="247">
        <f t="shared" si="577"/>
        <v>0</v>
      </c>
      <c r="CM1889" s="247"/>
      <c r="CN1889" s="247"/>
      <c r="CO1889" s="36"/>
      <c r="CP1889" s="36" t="s">
        <v>1684</v>
      </c>
      <c r="CQ1889" s="241" t="s">
        <v>272</v>
      </c>
      <c r="CR1889" s="241"/>
      <c r="CS1889" s="33"/>
      <c r="CT1889" s="33"/>
      <c r="CU1889" s="250">
        <f t="shared" si="578"/>
        <v>759.79860517293696</v>
      </c>
      <c r="CV1889" s="337">
        <f t="shared" si="584"/>
        <v>303.24823089242255</v>
      </c>
      <c r="CW1889" s="330">
        <f t="shared" si="579"/>
        <v>1</v>
      </c>
      <c r="CX1889" s="330"/>
      <c r="CY1889" s="143" t="s">
        <v>5921</v>
      </c>
    </row>
    <row r="1890" spans="1:103" ht="11.25" customHeight="1" x14ac:dyDescent="0.2">
      <c r="A1890" s="72">
        <v>1888</v>
      </c>
      <c r="B1890" s="241">
        <v>2154</v>
      </c>
      <c r="C1890" s="32" t="s">
        <v>5894</v>
      </c>
      <c r="D1890" s="32"/>
      <c r="E1890" s="40"/>
      <c r="F1890" s="40" t="s">
        <v>5895</v>
      </c>
      <c r="G1890" s="242">
        <v>21259201</v>
      </c>
      <c r="H1890" s="41" t="s">
        <v>5896</v>
      </c>
      <c r="I1890" s="41" t="s">
        <v>5896</v>
      </c>
      <c r="J1890" s="41" t="s">
        <v>5897</v>
      </c>
      <c r="K1890" s="41" t="s">
        <v>5898</v>
      </c>
      <c r="L1890" s="41"/>
      <c r="M1890" s="41"/>
      <c r="N1890" s="36"/>
      <c r="O1890" s="41"/>
      <c r="P1890" s="41"/>
      <c r="Q1890" s="41"/>
      <c r="R1890" s="41"/>
      <c r="S1890" s="41"/>
      <c r="T1890" s="33">
        <v>466.52</v>
      </c>
      <c r="U1890" s="250"/>
      <c r="V1890" s="250">
        <v>9.4293920946583218E-2</v>
      </c>
      <c r="W1890" s="250">
        <v>1.2302687708123807</v>
      </c>
      <c r="X1890" s="250">
        <f t="shared" si="582"/>
        <v>1.2302687708123807</v>
      </c>
      <c r="Y1890" s="415">
        <v>7</v>
      </c>
      <c r="Z1890" s="33">
        <v>2.27</v>
      </c>
      <c r="AA1890" s="33"/>
      <c r="AB1890" s="33">
        <v>2</v>
      </c>
      <c r="AC1890" s="33">
        <v>0.62409999999999999</v>
      </c>
      <c r="AD1890" s="33">
        <v>2.1</v>
      </c>
      <c r="AE1890" s="33">
        <v>2.25</v>
      </c>
      <c r="AF1890" s="33">
        <f t="shared" ref="AF1890:AF1898" si="585">IF(AA1890=0,AD1890,AA1890)</f>
        <v>2.1</v>
      </c>
      <c r="AG1890" s="34">
        <v>2.1</v>
      </c>
      <c r="AH1890" s="250">
        <v>5.4499999999999999E-19</v>
      </c>
      <c r="AI1890" s="250"/>
      <c r="AJ1890" s="34">
        <f t="shared" ref="AJ1890:AJ1898" si="586">LOG10(AH1890*1000/(0.08206*298.15))</f>
        <v>-16.652169824036008</v>
      </c>
      <c r="AK1890" s="34"/>
      <c r="AL1890" s="34">
        <f t="shared" ref="AL1890:AL1898" si="587">IF(AK1890=0,AJ1890,AK1890)</f>
        <v>-16.652169824036008</v>
      </c>
      <c r="AM1890" s="34">
        <v>-19.878540000000001</v>
      </c>
      <c r="AN1890" s="251"/>
      <c r="AO1890" s="417">
        <v>13.24</v>
      </c>
      <c r="AP1890" s="417"/>
      <c r="AQ1890" s="251" t="s">
        <v>6312</v>
      </c>
      <c r="AR1890" s="251" t="s">
        <v>6312</v>
      </c>
      <c r="AS1890" s="252" t="s">
        <v>5466</v>
      </c>
      <c r="AT1890" s="35" t="s">
        <v>266</v>
      </c>
      <c r="AU1890" s="33">
        <v>4</v>
      </c>
      <c r="AV1890" s="33">
        <v>144</v>
      </c>
      <c r="AW1890" s="33">
        <v>140</v>
      </c>
      <c r="AX1890" s="33">
        <v>28</v>
      </c>
      <c r="AY1890" s="33" t="s">
        <v>267</v>
      </c>
      <c r="AZ1890" s="33" t="s">
        <v>5671</v>
      </c>
      <c r="BA1890" s="33">
        <v>12</v>
      </c>
      <c r="BB1890" s="41" t="s">
        <v>5487</v>
      </c>
      <c r="BC1890" s="41" t="s">
        <v>5597</v>
      </c>
      <c r="BD1890" s="41"/>
      <c r="BE1890" s="33"/>
      <c r="BF1890" s="33" t="s">
        <v>5681</v>
      </c>
      <c r="BG1890" s="33" t="s">
        <v>5899</v>
      </c>
      <c r="BH1890" s="33"/>
      <c r="BI1890" s="250">
        <v>5.0000000000000002E-5</v>
      </c>
      <c r="BJ1890" s="250">
        <v>8.0000000000000004E-4</v>
      </c>
      <c r="BK1890" s="254"/>
      <c r="BL1890" s="250">
        <f t="shared" ref="BL1890:BL1912" si="588">10^((-0.8981*Z1890)+1.7108)</f>
        <v>0.47001638725467887</v>
      </c>
      <c r="BM1890" s="33"/>
      <c r="BN1890" s="33">
        <v>3.3E-4</v>
      </c>
      <c r="BO1890" s="33">
        <v>3.1E-4</v>
      </c>
      <c r="BP1890" s="33">
        <v>3.1E-4</v>
      </c>
      <c r="BQ1890" s="33"/>
      <c r="BR1890" s="33"/>
      <c r="BS1890" s="33"/>
      <c r="BT1890" s="33">
        <v>2.7999999999999998E-4</v>
      </c>
      <c r="BU1890" s="246"/>
      <c r="BV1890" s="33"/>
      <c r="BW1890" s="33"/>
      <c r="BX1890" s="33"/>
      <c r="BY1890" s="33"/>
      <c r="BZ1890" s="33"/>
      <c r="CA1890" s="33"/>
      <c r="CB1890" s="33"/>
      <c r="CC1890" s="33"/>
      <c r="CD1890" s="33"/>
      <c r="CE1890" s="33"/>
      <c r="CF1890" s="33"/>
      <c r="CG1890" s="33"/>
      <c r="CH1890" s="33"/>
      <c r="CI1890" s="250">
        <f t="shared" si="575"/>
        <v>2.7999999999999998E-4</v>
      </c>
      <c r="CJ1890" s="243">
        <f t="shared" si="576"/>
        <v>-3.552841968657781</v>
      </c>
      <c r="CK1890" s="38">
        <f t="shared" si="583"/>
        <v>587.52048406834854</v>
      </c>
      <c r="CL1890" s="247">
        <f t="shared" si="577"/>
        <v>1678.629954480996</v>
      </c>
      <c r="CM1890" s="247"/>
      <c r="CN1890" s="247"/>
      <c r="CO1890" s="41"/>
      <c r="CP1890" s="41" t="s">
        <v>5900</v>
      </c>
      <c r="CQ1890" s="241" t="s">
        <v>272</v>
      </c>
      <c r="CR1890" s="241"/>
      <c r="CS1890" s="33"/>
      <c r="CT1890" s="33"/>
      <c r="CU1890" s="250">
        <f t="shared" si="578"/>
        <v>4393.8170386156462</v>
      </c>
      <c r="CV1890" s="337">
        <f t="shared" si="584"/>
        <v>1537.8359635154759</v>
      </c>
      <c r="CW1890" s="330">
        <f t="shared" si="579"/>
        <v>1</v>
      </c>
      <c r="CX1890" s="330"/>
      <c r="CY1890" s="143" t="s">
        <v>5921</v>
      </c>
    </row>
    <row r="1891" spans="1:103" ht="11.25" customHeight="1" x14ac:dyDescent="0.2">
      <c r="A1891" s="72">
        <v>1889</v>
      </c>
      <c r="B1891" s="241">
        <v>199</v>
      </c>
      <c r="C1891" s="32" t="s">
        <v>3702</v>
      </c>
      <c r="D1891" s="32"/>
      <c r="E1891" s="40"/>
      <c r="F1891" s="40" t="s">
        <v>3703</v>
      </c>
      <c r="G1891" s="242">
        <v>23031325</v>
      </c>
      <c r="H1891" s="36" t="s">
        <v>3704</v>
      </c>
      <c r="I1891" s="36" t="s">
        <v>3704</v>
      </c>
      <c r="J1891" s="36" t="s">
        <v>3705</v>
      </c>
      <c r="K1891" s="36" t="s">
        <v>3706</v>
      </c>
      <c r="L1891" s="36"/>
      <c r="M1891" s="36"/>
      <c r="N1891" s="36"/>
      <c r="O1891" s="36"/>
      <c r="P1891" s="41"/>
      <c r="Q1891" s="41"/>
      <c r="R1891" s="41"/>
      <c r="S1891" s="41"/>
      <c r="T1891" s="37">
        <v>225.28</v>
      </c>
      <c r="U1891" s="243"/>
      <c r="V1891" s="243">
        <v>944.60227272727275</v>
      </c>
      <c r="W1891" s="243">
        <v>47.863009232263828</v>
      </c>
      <c r="X1891" s="243">
        <f t="shared" si="582"/>
        <v>47.863009232263828</v>
      </c>
      <c r="Y1891" s="414">
        <v>9.3699999999999992</v>
      </c>
      <c r="Z1891" s="37">
        <v>0.67</v>
      </c>
      <c r="AA1891" s="37">
        <v>0.9</v>
      </c>
      <c r="AB1891" s="37">
        <v>0.55000000000000004</v>
      </c>
      <c r="AC1891" s="37">
        <v>0.73699999999999999</v>
      </c>
      <c r="AD1891" s="37">
        <v>0.52</v>
      </c>
      <c r="AE1891" s="37">
        <v>0.48</v>
      </c>
      <c r="AF1891" s="37">
        <f t="shared" si="585"/>
        <v>0.9</v>
      </c>
      <c r="AG1891" s="38">
        <v>1.23</v>
      </c>
      <c r="AH1891" s="243">
        <v>1.6500000000000001E-18</v>
      </c>
      <c r="AI1891" s="243"/>
      <c r="AJ1891" s="34">
        <f t="shared" si="586"/>
        <v>-16.171082382098746</v>
      </c>
      <c r="AK1891" s="34"/>
      <c r="AL1891" s="34">
        <f t="shared" si="587"/>
        <v>-16.171082382098746</v>
      </c>
      <c r="AM1891" s="34">
        <v>-18.533179999999998</v>
      </c>
      <c r="AN1891" s="244">
        <v>-15</v>
      </c>
      <c r="AO1891" s="417">
        <v>9.11</v>
      </c>
      <c r="AP1891" s="417">
        <v>9.65</v>
      </c>
      <c r="AQ1891" s="244" t="s">
        <v>6311</v>
      </c>
      <c r="AR1891" s="244" t="s">
        <v>6311</v>
      </c>
      <c r="AS1891" s="241" t="s">
        <v>6</v>
      </c>
      <c r="AT1891" s="39" t="s">
        <v>266</v>
      </c>
      <c r="AU1891" s="37">
        <v>0</v>
      </c>
      <c r="AV1891" s="37">
        <v>48</v>
      </c>
      <c r="AW1891" s="37">
        <v>48</v>
      </c>
      <c r="AX1891" s="37">
        <v>26</v>
      </c>
      <c r="AY1891" s="37" t="s">
        <v>8722</v>
      </c>
      <c r="AZ1891" s="37" t="s">
        <v>536</v>
      </c>
      <c r="BA1891" s="37">
        <v>20</v>
      </c>
      <c r="BB1891" s="36" t="s">
        <v>537</v>
      </c>
      <c r="BC1891" s="36" t="s">
        <v>538</v>
      </c>
      <c r="BD1891" s="36"/>
      <c r="BE1891" s="245" t="s">
        <v>271</v>
      </c>
      <c r="BF1891" s="245" t="s">
        <v>539</v>
      </c>
      <c r="BG1891" s="245" t="s">
        <v>540</v>
      </c>
      <c r="BH1891" s="245" t="s">
        <v>272</v>
      </c>
      <c r="BI1891" s="243">
        <v>44.294670000000004</v>
      </c>
      <c r="BJ1891" s="243">
        <v>72.913899999999998</v>
      </c>
      <c r="BK1891" s="37"/>
      <c r="BL1891" s="243">
        <f t="shared" si="588"/>
        <v>12.855027202807078</v>
      </c>
      <c r="BM1891" s="37" t="s">
        <v>541</v>
      </c>
      <c r="BN1891" s="37"/>
      <c r="BO1891" s="37"/>
      <c r="BP1891" s="37"/>
      <c r="BQ1891" s="37"/>
      <c r="BR1891" s="37"/>
      <c r="BS1891" s="37"/>
      <c r="BT1891" s="37"/>
      <c r="BU1891" s="246"/>
      <c r="BV1891" s="37"/>
      <c r="BW1891" s="37"/>
      <c r="BX1891" s="37"/>
      <c r="BY1891" s="37"/>
      <c r="BZ1891" s="37"/>
      <c r="CA1891" s="37"/>
      <c r="CB1891" s="37"/>
      <c r="CC1891" s="37"/>
      <c r="CD1891" s="37"/>
      <c r="CE1891" s="37"/>
      <c r="CF1891" s="37"/>
      <c r="CG1891" s="37"/>
      <c r="CH1891" s="37"/>
      <c r="CI1891" s="243"/>
      <c r="CJ1891" s="243"/>
      <c r="CK1891" s="38">
        <f t="shared" si="583"/>
        <v>0.17630420540949088</v>
      </c>
      <c r="CL1891" s="247"/>
      <c r="CM1891" s="247"/>
      <c r="CN1891" s="247"/>
      <c r="CO1891" s="36" t="s">
        <v>3683</v>
      </c>
      <c r="CP1891" s="36" t="s">
        <v>542</v>
      </c>
      <c r="CQ1891" s="241" t="s">
        <v>272</v>
      </c>
      <c r="CR1891" s="241"/>
      <c r="CS1891" s="33"/>
      <c r="CT1891" s="33"/>
      <c r="CU1891" s="250"/>
      <c r="CV1891" s="337">
        <f t="shared" si="584"/>
        <v>0.65643189065821239</v>
      </c>
      <c r="CW1891" s="330">
        <f>IF(CV1891&lt;1,0,1)</f>
        <v>0</v>
      </c>
      <c r="CX1891" s="330"/>
      <c r="CY1891" s="143" t="s">
        <v>5921</v>
      </c>
    </row>
    <row r="1892" spans="1:103" ht="11.25" customHeight="1" x14ac:dyDescent="0.2">
      <c r="A1892" s="72">
        <v>1890</v>
      </c>
      <c r="B1892" s="241">
        <v>2055</v>
      </c>
      <c r="C1892" s="32" t="s">
        <v>5642</v>
      </c>
      <c r="D1892" s="32"/>
      <c r="E1892" s="40"/>
      <c r="F1892" s="40" t="s">
        <v>5643</v>
      </c>
      <c r="G1892" s="242">
        <v>24280931</v>
      </c>
      <c r="H1892" s="36" t="s">
        <v>5644</v>
      </c>
      <c r="I1892" s="36" t="s">
        <v>8253</v>
      </c>
      <c r="J1892" s="36" t="s">
        <v>5645</v>
      </c>
      <c r="K1892" s="36" t="s">
        <v>2962</v>
      </c>
      <c r="L1892" s="36" t="s">
        <v>279</v>
      </c>
      <c r="M1892" s="36" t="s">
        <v>5646</v>
      </c>
      <c r="N1892" s="36"/>
      <c r="O1892" s="36" t="s">
        <v>281</v>
      </c>
      <c r="P1892" s="41"/>
      <c r="Q1892" s="41"/>
      <c r="R1892" s="41"/>
      <c r="S1892" s="41"/>
      <c r="T1892" s="37">
        <v>320.35000000000002</v>
      </c>
      <c r="U1892" s="243"/>
      <c r="V1892" s="243">
        <v>6.8893397846105819E-2</v>
      </c>
      <c r="W1892" s="243">
        <v>0.7079457843841378</v>
      </c>
      <c r="X1892" s="243">
        <f t="shared" si="582"/>
        <v>0.7079457843841378</v>
      </c>
      <c r="Y1892" s="414">
        <v>3.96</v>
      </c>
      <c r="Z1892" s="37">
        <v>4.22</v>
      </c>
      <c r="AA1892" s="37"/>
      <c r="AB1892" s="37">
        <v>3.8</v>
      </c>
      <c r="AC1892" s="37">
        <v>0.61650000000000005</v>
      </c>
      <c r="AD1892" s="37">
        <v>3.43</v>
      </c>
      <c r="AE1892" s="37">
        <v>2.92</v>
      </c>
      <c r="AF1892" s="37">
        <f t="shared" si="585"/>
        <v>3.43</v>
      </c>
      <c r="AG1892" s="37">
        <v>3.43</v>
      </c>
      <c r="AH1892" s="243">
        <v>3.8200000000000003E-12</v>
      </c>
      <c r="AI1892" s="243"/>
      <c r="AJ1892" s="34">
        <f t="shared" si="586"/>
        <v>-9.8065029634009431</v>
      </c>
      <c r="AK1892" s="34"/>
      <c r="AL1892" s="34">
        <f t="shared" si="587"/>
        <v>-9.8065029634009431</v>
      </c>
      <c r="AM1892" s="34">
        <v>-13.914859999999999</v>
      </c>
      <c r="AN1892" s="244"/>
      <c r="AO1892" s="417">
        <v>4.71</v>
      </c>
      <c r="AP1892" s="417"/>
      <c r="AQ1892" s="244" t="s">
        <v>6311</v>
      </c>
      <c r="AR1892" s="244" t="s">
        <v>6311</v>
      </c>
      <c r="AS1892" s="241" t="s">
        <v>5466</v>
      </c>
      <c r="AT1892" s="39" t="s">
        <v>266</v>
      </c>
      <c r="AU1892" s="37">
        <v>72</v>
      </c>
      <c r="AV1892" s="37">
        <v>96</v>
      </c>
      <c r="AW1892" s="37">
        <v>24</v>
      </c>
      <c r="AX1892" s="37">
        <v>28.5</v>
      </c>
      <c r="AY1892" s="37" t="s">
        <v>5624</v>
      </c>
      <c r="AZ1892" s="37" t="s">
        <v>5625</v>
      </c>
      <c r="BA1892" s="37">
        <v>20</v>
      </c>
      <c r="BB1892" s="36" t="s">
        <v>5487</v>
      </c>
      <c r="BC1892" s="36" t="s">
        <v>5506</v>
      </c>
      <c r="BD1892" s="36"/>
      <c r="BE1892" s="37" t="s">
        <v>2449</v>
      </c>
      <c r="BF1892" s="37"/>
      <c r="BG1892" s="37"/>
      <c r="BH1892" s="37" t="s">
        <v>5626</v>
      </c>
      <c r="BI1892" s="243">
        <v>3.7000000000000002E-3</v>
      </c>
      <c r="BJ1892" s="243">
        <v>7.4999999999999997E-2</v>
      </c>
      <c r="BK1892" s="37"/>
      <c r="BL1892" s="243">
        <f t="shared" si="588"/>
        <v>8.3333188663500691E-3</v>
      </c>
      <c r="BM1892" s="37"/>
      <c r="BN1892" s="37"/>
      <c r="BO1892" s="37"/>
      <c r="BP1892" s="37"/>
      <c r="BQ1892" s="37"/>
      <c r="BR1892" s="37"/>
      <c r="BS1892" s="37"/>
      <c r="BT1892" s="37"/>
      <c r="BU1892" s="246"/>
      <c r="BV1892" s="37"/>
      <c r="BW1892" s="37"/>
      <c r="BX1892" s="37"/>
      <c r="BY1892" s="37"/>
      <c r="BZ1892" s="37"/>
      <c r="CA1892" s="37"/>
      <c r="CB1892" s="37"/>
      <c r="CC1892" s="37"/>
      <c r="CD1892" s="37">
        <v>5.5500000000000001E-2</v>
      </c>
      <c r="CE1892" s="37"/>
      <c r="CF1892" s="37"/>
      <c r="CG1892" s="37"/>
      <c r="CH1892" s="37"/>
      <c r="CI1892" s="243">
        <f>MIN(BN1892:CH1892)</f>
        <v>5.5500000000000001E-2</v>
      </c>
      <c r="CJ1892" s="243">
        <f>LOG10(CI1892)</f>
        <v>-1.2557070168773237</v>
      </c>
      <c r="CK1892" s="38">
        <f t="shared" si="583"/>
        <v>0.11111091821800093</v>
      </c>
      <c r="CL1892" s="38">
        <f>BL1892/CI1892</f>
        <v>0.15014988948378502</v>
      </c>
      <c r="CM1892" s="247"/>
      <c r="CN1892" s="247"/>
      <c r="CO1892" s="36"/>
      <c r="CP1892" s="36" t="s">
        <v>5627</v>
      </c>
      <c r="CQ1892" s="241" t="s">
        <v>272</v>
      </c>
      <c r="CR1892" s="241"/>
      <c r="CS1892" s="33"/>
      <c r="CT1892" s="33"/>
      <c r="CU1892" s="250">
        <f>X1892/CI1892</f>
        <v>12.755779898813293</v>
      </c>
      <c r="CV1892" s="337">
        <f t="shared" si="584"/>
        <v>9.439277125121837</v>
      </c>
      <c r="CW1892" s="330">
        <f>IF(CU1892&lt;2,0,1)</f>
        <v>1</v>
      </c>
      <c r="CX1892" s="330"/>
      <c r="CY1892" s="143" t="s">
        <v>6351</v>
      </c>
    </row>
    <row r="1893" spans="1:103" ht="11.25" customHeight="1" x14ac:dyDescent="0.2">
      <c r="A1893" s="72">
        <v>1891</v>
      </c>
      <c r="B1893" s="241">
        <v>830</v>
      </c>
      <c r="C1893" s="32" t="s">
        <v>2372</v>
      </c>
      <c r="D1893" s="32"/>
      <c r="E1893" s="40"/>
      <c r="F1893" s="40" t="s">
        <v>2373</v>
      </c>
      <c r="G1893" s="242">
        <v>25154523</v>
      </c>
      <c r="H1893" s="36" t="s">
        <v>2374</v>
      </c>
      <c r="I1893" s="36" t="s">
        <v>2374</v>
      </c>
      <c r="J1893" s="36"/>
      <c r="K1893" s="36" t="s">
        <v>349</v>
      </c>
      <c r="L1893" s="36" t="s">
        <v>5527</v>
      </c>
      <c r="M1893" s="36" t="s">
        <v>602</v>
      </c>
      <c r="N1893" s="36" t="s">
        <v>6386</v>
      </c>
      <c r="O1893" s="36" t="s">
        <v>2081</v>
      </c>
      <c r="P1893" s="41"/>
      <c r="Q1893" s="41"/>
      <c r="R1893" s="41"/>
      <c r="S1893" s="41"/>
      <c r="T1893" s="37">
        <v>220.35050000000001</v>
      </c>
      <c r="U1893" s="243">
        <v>2.8817724488939208E-2</v>
      </c>
      <c r="V1893" s="243">
        <v>7.1250121964778843E-3</v>
      </c>
      <c r="W1893" s="243">
        <v>8.7096358995608025E-2</v>
      </c>
      <c r="X1893" s="243">
        <v>2.8817724488939208E-2</v>
      </c>
      <c r="Y1893" s="414">
        <v>6.89</v>
      </c>
      <c r="Z1893" s="37">
        <v>5.99</v>
      </c>
      <c r="AA1893" s="37">
        <v>5.76</v>
      </c>
      <c r="AB1893" s="37">
        <v>6.1</v>
      </c>
      <c r="AC1893" s="37">
        <v>0.8236</v>
      </c>
      <c r="AD1893" s="37">
        <v>6.13</v>
      </c>
      <c r="AE1893" s="37">
        <v>6.19</v>
      </c>
      <c r="AF1893" s="37">
        <f t="shared" si="585"/>
        <v>5.76</v>
      </c>
      <c r="AG1893" s="38">
        <v>6.13</v>
      </c>
      <c r="AH1893" s="243">
        <v>5.9699999999999996E-6</v>
      </c>
      <c r="AI1893" s="243">
        <v>3.4E-5</v>
      </c>
      <c r="AJ1893" s="34">
        <f t="shared" si="586"/>
        <v>-3.6125919951832826</v>
      </c>
      <c r="AK1893" s="34">
        <f>LOG10(AI1893*1000/(0.08206*298.15))</f>
        <v>-2.8570874092703966</v>
      </c>
      <c r="AL1893" s="34">
        <f t="shared" si="587"/>
        <v>-2.8570874092703966</v>
      </c>
      <c r="AM1893" s="34">
        <v>-7.4645599999999996</v>
      </c>
      <c r="AN1893" s="244"/>
      <c r="AO1893" s="417">
        <v>10.15</v>
      </c>
      <c r="AP1893" s="417"/>
      <c r="AQ1893" s="37" t="s">
        <v>6311</v>
      </c>
      <c r="AR1893" s="37" t="s">
        <v>6311</v>
      </c>
      <c r="AS1893" s="241" t="s">
        <v>6</v>
      </c>
      <c r="AT1893" s="39" t="s">
        <v>266</v>
      </c>
      <c r="AU1893" s="245"/>
      <c r="AV1893" s="245">
        <v>0</v>
      </c>
      <c r="AW1893" s="37">
        <v>48</v>
      </c>
      <c r="AX1893" s="37">
        <v>27</v>
      </c>
      <c r="AY1893" s="37" t="s">
        <v>8722</v>
      </c>
      <c r="AZ1893" s="37" t="s">
        <v>536</v>
      </c>
      <c r="BA1893" s="37">
        <v>20</v>
      </c>
      <c r="BB1893" s="36" t="s">
        <v>1764</v>
      </c>
      <c r="BC1893" s="36" t="s">
        <v>538</v>
      </c>
      <c r="BD1893" s="36"/>
      <c r="BE1893" s="37" t="s">
        <v>271</v>
      </c>
      <c r="BF1893" s="37" t="s">
        <v>8722</v>
      </c>
      <c r="BG1893" s="37" t="s">
        <v>8722</v>
      </c>
      <c r="BH1893" s="37" t="s">
        <v>272</v>
      </c>
      <c r="BI1893" s="248">
        <v>3.5398149765941076E-4</v>
      </c>
      <c r="BJ1893" s="248">
        <v>3.4036682467251035E-2</v>
      </c>
      <c r="BK1893" s="37"/>
      <c r="BL1893" s="243">
        <f t="shared" si="588"/>
        <v>2.1437838752708072E-4</v>
      </c>
      <c r="BM1893" s="37">
        <v>0</v>
      </c>
      <c r="BN1893" s="37"/>
      <c r="BO1893" s="37"/>
      <c r="BP1893" s="37">
        <v>9.0764486579336095E-3</v>
      </c>
      <c r="BQ1893" s="37"/>
      <c r="BR1893" s="37"/>
      <c r="BS1893" s="37"/>
      <c r="BT1893" s="37"/>
      <c r="BU1893" s="246"/>
      <c r="BV1893" s="37"/>
      <c r="BW1893" s="37"/>
      <c r="BX1893" s="37"/>
      <c r="BY1893" s="37"/>
      <c r="BZ1893" s="37"/>
      <c r="CA1893" s="37"/>
      <c r="CB1893" s="37"/>
      <c r="CC1893" s="37"/>
      <c r="CD1893" s="37"/>
      <c r="CE1893" s="37"/>
      <c r="CF1893" s="37"/>
      <c r="CG1893" s="37"/>
      <c r="CH1893" s="37"/>
      <c r="CI1893" s="243">
        <f>MIN(BN1893:CH1893)</f>
        <v>9.0764486579336095E-3</v>
      </c>
      <c r="CJ1893" s="243">
        <f>LOG10(CI1893)</f>
        <v>-2.0420840446459665</v>
      </c>
      <c r="CK1893" s="38">
        <f t="shared" si="583"/>
        <v>6.298451317438134E-3</v>
      </c>
      <c r="CL1893" s="247">
        <f>BL1893/CI1893</f>
        <v>2.3619192440393004E-2</v>
      </c>
      <c r="CM1893" s="247"/>
      <c r="CN1893" s="247"/>
      <c r="CO1893" s="36"/>
      <c r="CP1893" s="36" t="s">
        <v>2295</v>
      </c>
      <c r="CQ1893" s="241">
        <v>-3.023944754232696</v>
      </c>
      <c r="CR1893" s="241">
        <f>10^(CJ1893-CQ1893)</f>
        <v>9.5909297418198278</v>
      </c>
      <c r="CS1893" s="33"/>
      <c r="CT1893" s="33"/>
      <c r="CU1893" s="250">
        <f>X1893/CI1893</f>
        <v>3.1749999999999998</v>
      </c>
      <c r="CV1893" s="337">
        <f t="shared" si="584"/>
        <v>0.84666666666666657</v>
      </c>
      <c r="CW1893" s="330">
        <f>IF(CU1893&lt;2,0,1)</f>
        <v>1</v>
      </c>
      <c r="CX1893" s="330"/>
      <c r="CY1893" s="143" t="s">
        <v>5921</v>
      </c>
    </row>
    <row r="1894" spans="1:103" ht="11.25" customHeight="1" x14ac:dyDescent="0.2">
      <c r="A1894" s="72">
        <v>1892</v>
      </c>
      <c r="B1894" s="241">
        <v>64</v>
      </c>
      <c r="C1894" s="32" t="s">
        <v>552</v>
      </c>
      <c r="D1894" s="32"/>
      <c r="E1894" s="40"/>
      <c r="F1894" s="40" t="s">
        <v>553</v>
      </c>
      <c r="G1894" s="242">
        <v>26159342</v>
      </c>
      <c r="H1894" s="36" t="s">
        <v>554</v>
      </c>
      <c r="I1894" s="36" t="s">
        <v>8254</v>
      </c>
      <c r="J1894" s="36" t="s">
        <v>555</v>
      </c>
      <c r="K1894" s="36" t="s">
        <v>426</v>
      </c>
      <c r="L1894" s="36"/>
      <c r="M1894" s="36"/>
      <c r="N1894" s="36"/>
      <c r="O1894" s="36"/>
      <c r="P1894" s="41"/>
      <c r="Q1894" s="41"/>
      <c r="R1894" s="41"/>
      <c r="S1894" s="41"/>
      <c r="T1894" s="37">
        <v>230.26</v>
      </c>
      <c r="U1894" s="243">
        <v>6.9052375575436462E-2</v>
      </c>
      <c r="V1894" s="243">
        <v>0.629288630244072</v>
      </c>
      <c r="W1894" s="243">
        <v>0.53703179637025245</v>
      </c>
      <c r="X1894" s="243">
        <v>6.9052375575436462E-2</v>
      </c>
      <c r="Y1894" s="414">
        <v>4.09</v>
      </c>
      <c r="Z1894" s="37">
        <v>3.1</v>
      </c>
      <c r="AA1894" s="37">
        <v>3.18</v>
      </c>
      <c r="AB1894" s="37">
        <v>2.98</v>
      </c>
      <c r="AC1894" s="37">
        <v>0.86229999999999996</v>
      </c>
      <c r="AD1894" s="37">
        <v>2.98</v>
      </c>
      <c r="AE1894" s="37">
        <v>3</v>
      </c>
      <c r="AF1894" s="37">
        <f t="shared" si="585"/>
        <v>3.18</v>
      </c>
      <c r="AG1894" s="38">
        <v>2.98</v>
      </c>
      <c r="AH1894" s="243">
        <v>3.3900000000000002E-10</v>
      </c>
      <c r="AI1894" s="243"/>
      <c r="AJ1894" s="34">
        <f t="shared" si="586"/>
        <v>-7.8583666281095699</v>
      </c>
      <c r="AK1894" s="34"/>
      <c r="AL1894" s="34">
        <f t="shared" si="587"/>
        <v>-7.8583666281095699</v>
      </c>
      <c r="AM1894" s="34">
        <v>-11.75592</v>
      </c>
      <c r="AN1894" s="244"/>
      <c r="AO1894" s="417">
        <v>4.8499999999999996</v>
      </c>
      <c r="AP1894" s="417"/>
      <c r="AQ1894" s="244" t="s">
        <v>6311</v>
      </c>
      <c r="AR1894" s="244" t="s">
        <v>6311</v>
      </c>
      <c r="AS1894" s="241" t="s">
        <v>90</v>
      </c>
      <c r="AT1894" s="39" t="s">
        <v>266</v>
      </c>
      <c r="AU1894" s="37">
        <v>0</v>
      </c>
      <c r="AV1894" s="37">
        <v>48</v>
      </c>
      <c r="AW1894" s="37">
        <v>48</v>
      </c>
      <c r="AX1894" s="37">
        <v>26</v>
      </c>
      <c r="AY1894" s="37" t="s">
        <v>8722</v>
      </c>
      <c r="AZ1894" s="37" t="s">
        <v>536</v>
      </c>
      <c r="BA1894" s="37">
        <v>20</v>
      </c>
      <c r="BB1894" s="36" t="s">
        <v>537</v>
      </c>
      <c r="BC1894" s="36" t="s">
        <v>538</v>
      </c>
      <c r="BD1894" s="36"/>
      <c r="BE1894" s="245" t="s">
        <v>271</v>
      </c>
      <c r="BF1894" s="245" t="s">
        <v>539</v>
      </c>
      <c r="BG1894" s="245" t="s">
        <v>540</v>
      </c>
      <c r="BH1894" s="245" t="s">
        <v>272</v>
      </c>
      <c r="BI1894" s="243">
        <v>4.0300000000000002E-2</v>
      </c>
      <c r="BJ1894" s="243">
        <v>0.64429999999999998</v>
      </c>
      <c r="BK1894" s="37"/>
      <c r="BL1894" s="243">
        <f t="shared" si="588"/>
        <v>8.4467569924392277E-2</v>
      </c>
      <c r="BM1894" s="37" t="s">
        <v>541</v>
      </c>
      <c r="BN1894" s="37"/>
      <c r="BO1894" s="37">
        <v>0.23710000000000001</v>
      </c>
      <c r="BP1894" s="37"/>
      <c r="BQ1894" s="37"/>
      <c r="BR1894" s="37"/>
      <c r="BS1894" s="37"/>
      <c r="BT1894" s="37"/>
      <c r="BU1894" s="246"/>
      <c r="BV1894" s="37"/>
      <c r="BW1894" s="37"/>
      <c r="BX1894" s="37"/>
      <c r="BY1894" s="37"/>
      <c r="BZ1894" s="37"/>
      <c r="CA1894" s="37"/>
      <c r="CB1894" s="37"/>
      <c r="CC1894" s="37"/>
      <c r="CD1894" s="37"/>
      <c r="CE1894" s="37"/>
      <c r="CF1894" s="37"/>
      <c r="CG1894" s="37"/>
      <c r="CH1894" s="37"/>
      <c r="CI1894" s="243">
        <f>MIN(BN1894:CH1894)</f>
        <v>0.23710000000000001</v>
      </c>
      <c r="CJ1894" s="243">
        <f>LOG10(CI1894)</f>
        <v>-0.62506844602181189</v>
      </c>
      <c r="CK1894" s="38">
        <f t="shared" si="583"/>
        <v>0.1310997515511288</v>
      </c>
      <c r="CL1894" s="247">
        <f>BL1894/CI1894</f>
        <v>0.35625293093375066</v>
      </c>
      <c r="CM1894" s="247"/>
      <c r="CN1894" s="247"/>
      <c r="CO1894" s="36"/>
      <c r="CP1894" s="36" t="s">
        <v>542</v>
      </c>
      <c r="CQ1894" s="241" t="s">
        <v>272</v>
      </c>
      <c r="CR1894" s="241"/>
      <c r="CS1894" s="33"/>
      <c r="CT1894" s="33"/>
      <c r="CU1894" s="250">
        <f>X1894/CI1894</f>
        <v>0.29123734953790154</v>
      </c>
      <c r="CV1894" s="337">
        <f t="shared" si="584"/>
        <v>0.10717425977873113</v>
      </c>
      <c r="CW1894" s="330">
        <f>IF(CU1894&lt;2,0,1)</f>
        <v>0</v>
      </c>
      <c r="CX1894" s="330"/>
      <c r="CY1894" s="143" t="s">
        <v>5921</v>
      </c>
    </row>
    <row r="1895" spans="1:103" ht="11.25" customHeight="1" x14ac:dyDescent="0.2">
      <c r="A1895" s="72">
        <v>1893</v>
      </c>
      <c r="B1895" s="241">
        <v>1323</v>
      </c>
      <c r="C1895" s="32" t="s">
        <v>4128</v>
      </c>
      <c r="D1895" s="32"/>
      <c r="E1895" s="40"/>
      <c r="F1895" s="40" t="s">
        <v>4129</v>
      </c>
      <c r="G1895" s="242">
        <v>26581817</v>
      </c>
      <c r="H1895" s="36" t="s">
        <v>4130</v>
      </c>
      <c r="I1895" s="36" t="s">
        <v>4130</v>
      </c>
      <c r="J1895" s="36" t="s">
        <v>4131</v>
      </c>
      <c r="K1895" s="36" t="s">
        <v>1314</v>
      </c>
      <c r="L1895" s="36"/>
      <c r="M1895" s="36"/>
      <c r="N1895" s="36"/>
      <c r="O1895" s="36"/>
      <c r="P1895" s="41"/>
      <c r="Q1895" s="41"/>
      <c r="R1895" s="41"/>
      <c r="S1895" s="41"/>
      <c r="T1895" s="37">
        <v>256.20999999999998</v>
      </c>
      <c r="U1895" s="243"/>
      <c r="V1895" s="243">
        <v>10.179149916084462</v>
      </c>
      <c r="W1895" s="243">
        <v>2.2387211385683385</v>
      </c>
      <c r="X1895" s="243">
        <f t="shared" ref="X1895:X1905" si="589">IF(W1895=0,V1895,W1895)</f>
        <v>2.2387211385683385</v>
      </c>
      <c r="Y1895" s="414">
        <v>5.6</v>
      </c>
      <c r="Z1895" s="37">
        <v>-0.45</v>
      </c>
      <c r="AA1895" s="37"/>
      <c r="AB1895" s="37">
        <v>0.35</v>
      </c>
      <c r="AC1895" s="37">
        <v>0.69840000000000002</v>
      </c>
      <c r="AD1895" s="37">
        <v>0.35</v>
      </c>
      <c r="AE1895" s="37">
        <v>0.35</v>
      </c>
      <c r="AF1895" s="37">
        <f t="shared" si="585"/>
        <v>0.35</v>
      </c>
      <c r="AG1895" s="38">
        <v>3.39</v>
      </c>
      <c r="AH1895" s="243">
        <v>6.0499999999999997E-17</v>
      </c>
      <c r="AI1895" s="243"/>
      <c r="AJ1895" s="34">
        <f t="shared" si="586"/>
        <v>-14.606810951660183</v>
      </c>
      <c r="AK1895" s="34"/>
      <c r="AL1895" s="34">
        <f t="shared" si="587"/>
        <v>-14.606810951660183</v>
      </c>
      <c r="AM1895" s="34">
        <v>-19.932430000000004</v>
      </c>
      <c r="AN1895" s="244">
        <v>-12.8</v>
      </c>
      <c r="AO1895" s="417">
        <v>8.56</v>
      </c>
      <c r="AP1895" s="417">
        <v>-2.7</v>
      </c>
      <c r="AQ1895" s="37" t="s">
        <v>6311</v>
      </c>
      <c r="AR1895" s="37" t="s">
        <v>6311</v>
      </c>
      <c r="AS1895" s="245" t="s">
        <v>63</v>
      </c>
      <c r="AT1895" s="39" t="s">
        <v>266</v>
      </c>
      <c r="AU1895" s="37">
        <v>0</v>
      </c>
      <c r="AV1895" s="37">
        <v>48</v>
      </c>
      <c r="AW1895" s="37">
        <v>48</v>
      </c>
      <c r="AX1895" s="37">
        <v>26</v>
      </c>
      <c r="AY1895" s="37" t="s">
        <v>647</v>
      </c>
      <c r="AZ1895" s="37" t="s">
        <v>536</v>
      </c>
      <c r="BA1895" s="37">
        <v>20</v>
      </c>
      <c r="BB1895" s="36" t="s">
        <v>537</v>
      </c>
      <c r="BC1895" s="36" t="s">
        <v>648</v>
      </c>
      <c r="BD1895" s="36"/>
      <c r="BE1895" s="245" t="s">
        <v>649</v>
      </c>
      <c r="BF1895" s="245" t="s">
        <v>650</v>
      </c>
      <c r="BG1895" s="245" t="s">
        <v>540</v>
      </c>
      <c r="BH1895" s="245" t="s">
        <v>272</v>
      </c>
      <c r="BI1895" s="243">
        <v>2.5899999999999999E-2</v>
      </c>
      <c r="BJ1895" s="243">
        <v>0.41449999999999998</v>
      </c>
      <c r="BK1895" s="37"/>
      <c r="BL1895" s="243">
        <f t="shared" si="588"/>
        <v>130.30017530202349</v>
      </c>
      <c r="BM1895" s="37" t="s">
        <v>541</v>
      </c>
      <c r="BN1895" s="37"/>
      <c r="BO1895" s="37"/>
      <c r="BP1895" s="37"/>
      <c r="BQ1895" s="37"/>
      <c r="BR1895" s="37"/>
      <c r="BS1895" s="37"/>
      <c r="BT1895" s="37"/>
      <c r="BU1895" s="246"/>
      <c r="BV1895" s="37"/>
      <c r="BW1895" s="37"/>
      <c r="BX1895" s="37"/>
      <c r="BY1895" s="37"/>
      <c r="BZ1895" s="37"/>
      <c r="CA1895" s="37"/>
      <c r="CB1895" s="37"/>
      <c r="CC1895" s="37"/>
      <c r="CD1895" s="37"/>
      <c r="CE1895" s="37"/>
      <c r="CF1895" s="37"/>
      <c r="CG1895" s="37"/>
      <c r="CH1895" s="37"/>
      <c r="CI1895" s="243"/>
      <c r="CJ1895" s="243"/>
      <c r="CK1895" s="38">
        <f t="shared" si="583"/>
        <v>314.3550670736393</v>
      </c>
      <c r="CL1895" s="247"/>
      <c r="CM1895" s="247"/>
      <c r="CN1895" s="247"/>
      <c r="CO1895" s="36" t="s">
        <v>4132</v>
      </c>
      <c r="CP1895" s="36" t="s">
        <v>651</v>
      </c>
      <c r="CQ1895" s="241" t="s">
        <v>272</v>
      </c>
      <c r="CR1895" s="241"/>
      <c r="CS1895" s="33"/>
      <c r="CT1895" s="33"/>
      <c r="CU1895" s="250"/>
      <c r="CV1895" s="337">
        <f t="shared" si="584"/>
        <v>5.4010160158464142</v>
      </c>
      <c r="CW1895" s="330">
        <f>IF(CV1895&lt;1,0,1)</f>
        <v>1</v>
      </c>
      <c r="CX1895" s="330"/>
      <c r="CY1895" s="143" t="s">
        <v>5921</v>
      </c>
    </row>
    <row r="1896" spans="1:103" ht="11.25" customHeight="1" x14ac:dyDescent="0.2">
      <c r="A1896" s="72">
        <v>1894</v>
      </c>
      <c r="B1896" s="241">
        <v>2087</v>
      </c>
      <c r="C1896" s="32" t="s">
        <v>5766</v>
      </c>
      <c r="D1896" s="32"/>
      <c r="E1896" s="40"/>
      <c r="F1896" s="40" t="s">
        <v>5767</v>
      </c>
      <c r="G1896" s="242">
        <v>28164570</v>
      </c>
      <c r="H1896" s="41" t="s">
        <v>5768</v>
      </c>
      <c r="I1896" s="41" t="s">
        <v>8255</v>
      </c>
      <c r="J1896" s="41" t="s">
        <v>5769</v>
      </c>
      <c r="K1896" s="41" t="s">
        <v>5770</v>
      </c>
      <c r="L1896" s="41"/>
      <c r="M1896" s="41"/>
      <c r="N1896" s="36"/>
      <c r="O1896" s="41"/>
      <c r="P1896" s="41"/>
      <c r="Q1896" s="41"/>
      <c r="R1896" s="41"/>
      <c r="S1896" s="41"/>
      <c r="T1896" s="33">
        <v>374.35</v>
      </c>
      <c r="U1896" s="250"/>
      <c r="V1896" s="250">
        <v>3.6970749298784553E-3</v>
      </c>
      <c r="W1896" s="250">
        <v>1.1748975549395291E-3</v>
      </c>
      <c r="X1896" s="250">
        <f t="shared" si="589"/>
        <v>1.1748975549395291E-3</v>
      </c>
      <c r="Y1896" s="415">
        <v>5.88</v>
      </c>
      <c r="Z1896" s="33">
        <v>4.78</v>
      </c>
      <c r="AA1896" s="33"/>
      <c r="AB1896" s="33">
        <v>3.3</v>
      </c>
      <c r="AC1896" s="33">
        <v>0.65769999999999995</v>
      </c>
      <c r="AD1896" s="33">
        <v>3.98</v>
      </c>
      <c r="AE1896" s="33">
        <v>5.37</v>
      </c>
      <c r="AF1896" s="33">
        <f t="shared" si="585"/>
        <v>3.98</v>
      </c>
      <c r="AG1896" s="34">
        <v>3.98</v>
      </c>
      <c r="AH1896" s="250">
        <v>6.73E-19</v>
      </c>
      <c r="AI1896" s="250"/>
      <c r="AJ1896" s="34">
        <f t="shared" si="586"/>
        <v>-16.560551262088676</v>
      </c>
      <c r="AK1896" s="34"/>
      <c r="AL1896" s="34">
        <f t="shared" si="587"/>
        <v>-16.560551262088676</v>
      </c>
      <c r="AM1896" s="34">
        <v>-21.772219999999997</v>
      </c>
      <c r="AN1896" s="251"/>
      <c r="AO1896" s="417">
        <v>4.78</v>
      </c>
      <c r="AP1896" s="417"/>
      <c r="AQ1896" s="251" t="s">
        <v>6311</v>
      </c>
      <c r="AR1896" s="251" t="s">
        <v>6311</v>
      </c>
      <c r="AS1896" s="252" t="s">
        <v>5466</v>
      </c>
      <c r="AT1896" s="35" t="s">
        <v>266</v>
      </c>
      <c r="AU1896" s="33">
        <v>4</v>
      </c>
      <c r="AV1896" s="33">
        <v>80</v>
      </c>
      <c r="AW1896" s="33">
        <v>76</v>
      </c>
      <c r="AX1896" s="33">
        <v>28</v>
      </c>
      <c r="AY1896" s="33" t="s">
        <v>267</v>
      </c>
      <c r="AZ1896" s="33" t="s">
        <v>5731</v>
      </c>
      <c r="BA1896" s="33">
        <v>20</v>
      </c>
      <c r="BB1896" s="41" t="s">
        <v>5732</v>
      </c>
      <c r="BC1896" s="41" t="s">
        <v>1584</v>
      </c>
      <c r="BD1896" s="41"/>
      <c r="BE1896" s="33" t="s">
        <v>5733</v>
      </c>
      <c r="BF1896" s="33"/>
      <c r="BG1896" s="33"/>
      <c r="BH1896" s="33" t="s">
        <v>5734</v>
      </c>
      <c r="BI1896" s="250"/>
      <c r="BJ1896" s="250"/>
      <c r="BK1896" s="254"/>
      <c r="BL1896" s="250">
        <f t="shared" si="588"/>
        <v>2.6174717313305926E-3</v>
      </c>
      <c r="BM1896" s="33"/>
      <c r="BN1896" s="33"/>
      <c r="BO1896" s="33"/>
      <c r="BP1896" s="33"/>
      <c r="BQ1896" s="33"/>
      <c r="BR1896" s="33"/>
      <c r="BS1896" s="33"/>
      <c r="BT1896" s="33"/>
      <c r="BU1896" s="246"/>
      <c r="BV1896" s="33">
        <v>2.0400000000000001E-3</v>
      </c>
      <c r="BW1896" s="33">
        <v>2E-3</v>
      </c>
      <c r="BX1896" s="33"/>
      <c r="BY1896" s="33"/>
      <c r="BZ1896" s="33"/>
      <c r="CA1896" s="33"/>
      <c r="CB1896" s="33"/>
      <c r="CC1896" s="33"/>
      <c r="CD1896" s="33"/>
      <c r="CE1896" s="33"/>
      <c r="CF1896" s="33"/>
      <c r="CG1896" s="33"/>
      <c r="CH1896" s="33"/>
      <c r="CI1896" s="250">
        <f>MIN(BN1896:CH1896)</f>
        <v>2E-3</v>
      </c>
      <c r="CJ1896" s="243">
        <f>LOG10(CI1896)</f>
        <v>-2.6989700043360187</v>
      </c>
      <c r="CK1896" s="38" t="s">
        <v>404</v>
      </c>
      <c r="CL1896" s="247">
        <f>BL1896/CI1896</f>
        <v>1.3087358656652963</v>
      </c>
      <c r="CM1896" s="247"/>
      <c r="CN1896" s="247"/>
      <c r="CO1896" s="41"/>
      <c r="CP1896" s="41" t="s">
        <v>5735</v>
      </c>
      <c r="CQ1896" s="241" t="s">
        <v>272</v>
      </c>
      <c r="CR1896" s="241"/>
      <c r="CS1896" s="33"/>
      <c r="CT1896" s="33"/>
      <c r="CU1896" s="250">
        <f>X1896/CI1896</f>
        <v>0.58744877746976454</v>
      </c>
      <c r="CV1896" s="337"/>
      <c r="CW1896" s="330">
        <f>IF(CU1896&lt;2,0,1)</f>
        <v>0</v>
      </c>
      <c r="CX1896" s="330" t="s">
        <v>539</v>
      </c>
      <c r="CY1896" s="143" t="s">
        <v>5921</v>
      </c>
    </row>
    <row r="1897" spans="1:103" ht="11.25" customHeight="1" x14ac:dyDescent="0.25">
      <c r="A1897" s="72">
        <v>1895</v>
      </c>
      <c r="B1897" s="252">
        <v>2162</v>
      </c>
      <c r="C1897" s="274" t="s">
        <v>6267</v>
      </c>
      <c r="D1897" s="274"/>
      <c r="E1897" s="249"/>
      <c r="F1897" s="249" t="s">
        <v>5235</v>
      </c>
      <c r="G1897" s="249">
        <v>29420493</v>
      </c>
      <c r="H1897" s="275" t="s">
        <v>5236</v>
      </c>
      <c r="I1897" s="275" t="s">
        <v>5236</v>
      </c>
      <c r="J1897" s="41"/>
      <c r="K1897" s="41" t="s">
        <v>6268</v>
      </c>
      <c r="L1897" s="41" t="s">
        <v>5527</v>
      </c>
      <c r="M1897" s="41"/>
      <c r="N1897" s="36"/>
      <c r="O1897" s="41"/>
      <c r="P1897" s="41"/>
      <c r="Q1897" s="41"/>
      <c r="R1897" s="41"/>
      <c r="S1897" s="41"/>
      <c r="T1897" s="33">
        <v>300.10000000000002</v>
      </c>
      <c r="U1897" s="250"/>
      <c r="V1897" s="243">
        <v>1.1462845718093968</v>
      </c>
      <c r="W1897" s="243">
        <v>3311.3112148259115</v>
      </c>
      <c r="X1897" s="243">
        <f t="shared" si="589"/>
        <v>3311.3112148259115</v>
      </c>
      <c r="Y1897" s="415">
        <v>-0.52</v>
      </c>
      <c r="Z1897" s="33">
        <v>1.82</v>
      </c>
      <c r="AA1897" s="33"/>
      <c r="AB1897" s="33">
        <v>0.19</v>
      </c>
      <c r="AC1897" s="33">
        <v>0.44590000000000002</v>
      </c>
      <c r="AD1897" s="33">
        <v>1.94</v>
      </c>
      <c r="AE1897" s="33">
        <v>3.68</v>
      </c>
      <c r="AF1897" s="33">
        <f t="shared" si="585"/>
        <v>1.94</v>
      </c>
      <c r="AG1897" s="34">
        <v>5.34</v>
      </c>
      <c r="AH1897" s="250">
        <v>1.4399999999999999E-5</v>
      </c>
      <c r="AI1897" s="250"/>
      <c r="AJ1897" s="34">
        <f t="shared" si="586"/>
        <v>-3.2302038342174022</v>
      </c>
      <c r="AK1897" s="34"/>
      <c r="AL1897" s="34">
        <f t="shared" si="587"/>
        <v>-3.2302038342174022</v>
      </c>
      <c r="AM1897" s="34">
        <v>-5.9927100000000006</v>
      </c>
      <c r="AN1897" s="251">
        <v>-12.8</v>
      </c>
      <c r="AO1897" s="417">
        <v>-3.57</v>
      </c>
      <c r="AP1897" s="417"/>
      <c r="AQ1897" s="251" t="s">
        <v>6311</v>
      </c>
      <c r="AR1897" s="251" t="s">
        <v>6311</v>
      </c>
      <c r="AS1897" s="252" t="s">
        <v>5466</v>
      </c>
      <c r="AT1897" s="35" t="s">
        <v>266</v>
      </c>
      <c r="AU1897" s="33">
        <v>1</v>
      </c>
      <c r="AV1897" s="33">
        <v>96</v>
      </c>
      <c r="AW1897" s="33">
        <v>95</v>
      </c>
      <c r="AX1897" s="33">
        <v>26</v>
      </c>
      <c r="AY1897" s="253">
        <v>0.59027777777777779</v>
      </c>
      <c r="AZ1897" s="268" t="s">
        <v>536</v>
      </c>
      <c r="BA1897" s="33">
        <v>20</v>
      </c>
      <c r="BB1897" s="41" t="s">
        <v>1764</v>
      </c>
      <c r="BC1897" s="41" t="s">
        <v>6264</v>
      </c>
      <c r="BD1897" s="41"/>
      <c r="BE1897" s="41" t="s">
        <v>6265</v>
      </c>
      <c r="BF1897" s="33" t="s">
        <v>272</v>
      </c>
      <c r="BG1897" s="33" t="s">
        <v>272</v>
      </c>
      <c r="BH1897" s="33" t="s">
        <v>5936</v>
      </c>
      <c r="BI1897" s="250">
        <f>(10^(1.68))/300.1</f>
        <v>0.1594902007073104</v>
      </c>
      <c r="BJ1897" s="250">
        <f>3000/300.1</f>
        <v>9.9966677774075308</v>
      </c>
      <c r="BK1897" s="254"/>
      <c r="BL1897" s="250">
        <f t="shared" si="588"/>
        <v>1.1919498957840944</v>
      </c>
      <c r="BM1897" s="33" t="s">
        <v>6266</v>
      </c>
      <c r="BN1897" s="33"/>
      <c r="BO1897" s="33"/>
      <c r="BP1897" s="33"/>
      <c r="BQ1897" s="33"/>
      <c r="BR1897" s="33"/>
      <c r="BS1897" s="33"/>
      <c r="BT1897" s="33"/>
      <c r="BU1897" s="33"/>
      <c r="BV1897" s="33"/>
      <c r="BW1897" s="33"/>
      <c r="BX1897" s="33"/>
      <c r="BY1897" s="33"/>
      <c r="BZ1897" s="33"/>
      <c r="CA1897" s="33"/>
      <c r="CB1897" s="33"/>
      <c r="CC1897" s="33"/>
      <c r="CD1897" s="33"/>
      <c r="CE1897" s="33"/>
      <c r="CF1897" s="33"/>
      <c r="CG1897" s="33"/>
      <c r="CH1897" s="33"/>
      <c r="CI1897" s="250"/>
      <c r="CJ1897" s="243"/>
      <c r="CK1897" s="34">
        <f>BL1897/BJ1897</f>
        <v>0.11923472124160224</v>
      </c>
      <c r="CL1897" s="247"/>
      <c r="CM1897" s="247"/>
      <c r="CN1897" s="247"/>
      <c r="CO1897" s="41"/>
      <c r="CP1897" s="41" t="s">
        <v>6270</v>
      </c>
      <c r="CQ1897" s="241" t="s">
        <v>272</v>
      </c>
      <c r="CR1897" s="241"/>
      <c r="CS1897" s="33"/>
      <c r="CT1897" s="33"/>
      <c r="CU1897" s="250"/>
      <c r="CV1897" s="337">
        <f>X1897/BJ1897</f>
        <v>331.24149852308534</v>
      </c>
      <c r="CW1897" s="330">
        <f>IF(CV1897&lt;1,0,1)</f>
        <v>1</v>
      </c>
      <c r="CX1897" s="330"/>
      <c r="CY1897" s="143" t="s">
        <v>5921</v>
      </c>
    </row>
    <row r="1898" spans="1:103" ht="11.25" customHeight="1" x14ac:dyDescent="0.2">
      <c r="A1898" s="72">
        <v>1896</v>
      </c>
      <c r="B1898" s="241">
        <v>2051</v>
      </c>
      <c r="C1898" s="32" t="s">
        <v>5618</v>
      </c>
      <c r="D1898" s="32"/>
      <c r="E1898" s="40"/>
      <c r="F1898" s="40" t="s">
        <v>5619</v>
      </c>
      <c r="G1898" s="242">
        <v>33069624</v>
      </c>
      <c r="H1898" s="41" t="s">
        <v>5620</v>
      </c>
      <c r="I1898" s="41" t="s">
        <v>8256</v>
      </c>
      <c r="J1898" s="41" t="s">
        <v>5621</v>
      </c>
      <c r="K1898" s="41" t="s">
        <v>5622</v>
      </c>
      <c r="L1898" s="41" t="s">
        <v>279</v>
      </c>
      <c r="M1898" s="41" t="s">
        <v>5623</v>
      </c>
      <c r="N1898" s="36"/>
      <c r="O1898" s="41" t="s">
        <v>281</v>
      </c>
      <c r="P1898" s="41"/>
      <c r="Q1898" s="41"/>
      <c r="R1898" s="41"/>
      <c r="S1898" s="41"/>
      <c r="T1898" s="33">
        <v>853.93</v>
      </c>
      <c r="U1898" s="250"/>
      <c r="V1898" s="250">
        <v>5.6761092829623041E-6</v>
      </c>
      <c r="W1898" s="250">
        <v>5.6234132519034805E-5</v>
      </c>
      <c r="X1898" s="250">
        <f t="shared" si="589"/>
        <v>5.6234132519034805E-5</v>
      </c>
      <c r="Y1898" s="415">
        <v>7</v>
      </c>
      <c r="Z1898" s="33">
        <v>3.31</v>
      </c>
      <c r="AA1898" s="33"/>
      <c r="AB1898" s="33">
        <v>3.18</v>
      </c>
      <c r="AC1898" s="33">
        <v>0.86709999999999998</v>
      </c>
      <c r="AD1898" s="33">
        <v>3.89</v>
      </c>
      <c r="AE1898" s="33">
        <v>7.38</v>
      </c>
      <c r="AF1898" s="33">
        <f t="shared" si="585"/>
        <v>3.89</v>
      </c>
      <c r="AG1898" s="34">
        <v>3.89</v>
      </c>
      <c r="AH1898" s="250">
        <v>2.0899999999999999E-29</v>
      </c>
      <c r="AI1898" s="250"/>
      <c r="AJ1898" s="34">
        <f t="shared" si="586"/>
        <v>-27.068420040201598</v>
      </c>
      <c r="AK1898" s="34"/>
      <c r="AL1898" s="34">
        <f t="shared" si="587"/>
        <v>-27.068420040201598</v>
      </c>
      <c r="AM1898" s="34">
        <v>-46.076779999999999</v>
      </c>
      <c r="AN1898" s="251"/>
      <c r="AO1898" s="417">
        <v>11.9</v>
      </c>
      <c r="AP1898" s="417">
        <v>-2.19</v>
      </c>
      <c r="AQ1898" s="251" t="s">
        <v>6311</v>
      </c>
      <c r="AR1898" s="251" t="s">
        <v>6312</v>
      </c>
      <c r="AS1898" s="252" t="s">
        <v>5466</v>
      </c>
      <c r="AT1898" s="35" t="s">
        <v>266</v>
      </c>
      <c r="AU1898" s="33">
        <v>72</v>
      </c>
      <c r="AV1898" s="33">
        <v>96</v>
      </c>
      <c r="AW1898" s="33">
        <v>24</v>
      </c>
      <c r="AX1898" s="33">
        <v>28.5</v>
      </c>
      <c r="AY1898" s="33" t="s">
        <v>5624</v>
      </c>
      <c r="AZ1898" s="33" t="s">
        <v>5625</v>
      </c>
      <c r="BA1898" s="33">
        <v>20</v>
      </c>
      <c r="BB1898" s="41" t="s">
        <v>5487</v>
      </c>
      <c r="BC1898" s="41" t="s">
        <v>5506</v>
      </c>
      <c r="BD1898" s="41"/>
      <c r="BE1898" s="33" t="s">
        <v>2449</v>
      </c>
      <c r="BF1898" s="33"/>
      <c r="BG1898" s="33"/>
      <c r="BH1898" s="33" t="s">
        <v>5626</v>
      </c>
      <c r="BI1898" s="250">
        <v>5.0000000000000001E-4</v>
      </c>
      <c r="BJ1898" s="250">
        <v>0.01</v>
      </c>
      <c r="BK1898" s="254"/>
      <c r="BL1898" s="250">
        <f t="shared" si="588"/>
        <v>5.4712807440244843E-2</v>
      </c>
      <c r="BM1898" s="33"/>
      <c r="BN1898" s="33"/>
      <c r="BO1898" s="33"/>
      <c r="BP1898" s="33"/>
      <c r="BQ1898" s="33"/>
      <c r="BR1898" s="33"/>
      <c r="BS1898" s="33"/>
      <c r="BT1898" s="33"/>
      <c r="BU1898" s="246"/>
      <c r="BV1898" s="33"/>
      <c r="BW1898" s="33"/>
      <c r="BX1898" s="33"/>
      <c r="BY1898" s="33"/>
      <c r="BZ1898" s="33"/>
      <c r="CA1898" s="33"/>
      <c r="CB1898" s="33"/>
      <c r="CC1898" s="33"/>
      <c r="CD1898" s="33">
        <v>1.23E-3</v>
      </c>
      <c r="CE1898" s="33"/>
      <c r="CF1898" s="33"/>
      <c r="CG1898" s="33"/>
      <c r="CH1898" s="33"/>
      <c r="CI1898" s="250">
        <f>MIN(BN1898:CH1898)</f>
        <v>1.23E-3</v>
      </c>
      <c r="CJ1898" s="243">
        <f>LOG10(CI1898)</f>
        <v>-2.9100948885606019</v>
      </c>
      <c r="CK1898" s="38">
        <f>BL1898/BJ1898</f>
        <v>5.4712807440244839</v>
      </c>
      <c r="CL1898" s="247">
        <f>BL1898/CI1898</f>
        <v>44.48195726849174</v>
      </c>
      <c r="CM1898" s="247"/>
      <c r="CN1898" s="247"/>
      <c r="CO1898" s="41"/>
      <c r="CP1898" s="41" t="s">
        <v>5627</v>
      </c>
      <c r="CQ1898" s="241" t="s">
        <v>272</v>
      </c>
      <c r="CR1898" s="241"/>
      <c r="CS1898" s="33"/>
      <c r="CT1898" s="33"/>
      <c r="CU1898" s="250">
        <f>X1898/CI1898</f>
        <v>4.5718806926044561E-2</v>
      </c>
      <c r="CV1898" s="337">
        <f>X1898/BJ1898</f>
        <v>5.6234132519034806E-3</v>
      </c>
      <c r="CW1898" s="330">
        <f>IF(CU1898&lt;2,0,1)</f>
        <v>0</v>
      </c>
      <c r="CX1898" s="330"/>
      <c r="CY1898" s="143" t="s">
        <v>5921</v>
      </c>
    </row>
    <row r="1899" spans="1:103" ht="11.25" customHeight="1" x14ac:dyDescent="0.2">
      <c r="A1899" s="72">
        <v>1897</v>
      </c>
      <c r="B1899" s="241">
        <v>2054</v>
      </c>
      <c r="C1899" s="32" t="s">
        <v>5637</v>
      </c>
      <c r="D1899" s="32"/>
      <c r="E1899" s="40"/>
      <c r="F1899" s="40" t="s">
        <v>5638</v>
      </c>
      <c r="G1899" s="242">
        <v>34031328</v>
      </c>
      <c r="H1899" s="36" t="s">
        <v>5639</v>
      </c>
      <c r="I1899" s="36" t="s">
        <v>8257</v>
      </c>
      <c r="J1899" s="36" t="s">
        <v>5640</v>
      </c>
      <c r="K1899" s="36" t="s">
        <v>403</v>
      </c>
      <c r="L1899" s="36" t="s">
        <v>279</v>
      </c>
      <c r="M1899" s="36" t="s">
        <v>5641</v>
      </c>
      <c r="N1899" s="36"/>
      <c r="O1899" s="36" t="s">
        <v>281</v>
      </c>
      <c r="P1899" s="41"/>
      <c r="Q1899" s="41"/>
      <c r="R1899" s="41"/>
      <c r="S1899" s="41"/>
      <c r="T1899" s="37">
        <v>678.49</v>
      </c>
      <c r="U1899" s="243"/>
      <c r="V1899" s="243">
        <v>0.24893513537413964</v>
      </c>
      <c r="W1899" s="243"/>
      <c r="X1899" s="243">
        <f t="shared" si="589"/>
        <v>0.24893513537413964</v>
      </c>
      <c r="Y1899" s="414"/>
      <c r="Z1899" s="37">
        <v>-0.63</v>
      </c>
      <c r="AA1899" s="37"/>
      <c r="AB1899" s="37">
        <v>0</v>
      </c>
      <c r="AC1899" s="37">
        <v>0</v>
      </c>
      <c r="AD1899" s="37">
        <v>0</v>
      </c>
      <c r="AE1899" s="37">
        <v>0</v>
      </c>
      <c r="AF1899" s="37"/>
      <c r="AG1899" s="37" t="s">
        <v>404</v>
      </c>
      <c r="AH1899" s="243"/>
      <c r="AI1899" s="243"/>
      <c r="AJ1899" s="34"/>
      <c r="AK1899" s="34"/>
      <c r="AL1899" s="34"/>
      <c r="AM1899" s="34"/>
      <c r="AN1899" s="244"/>
      <c r="AO1899" s="417"/>
      <c r="AP1899" s="417"/>
      <c r="AQ1899" s="244" t="s">
        <v>6311</v>
      </c>
      <c r="AR1899" s="244" t="s">
        <v>6312</v>
      </c>
      <c r="AS1899" s="241" t="s">
        <v>5466</v>
      </c>
      <c r="AT1899" s="39" t="s">
        <v>266</v>
      </c>
      <c r="AU1899" s="37">
        <v>72</v>
      </c>
      <c r="AV1899" s="37">
        <v>96</v>
      </c>
      <c r="AW1899" s="37">
        <v>24</v>
      </c>
      <c r="AX1899" s="37">
        <v>28.5</v>
      </c>
      <c r="AY1899" s="37" t="s">
        <v>5624</v>
      </c>
      <c r="AZ1899" s="37" t="s">
        <v>5625</v>
      </c>
      <c r="BA1899" s="37">
        <v>20</v>
      </c>
      <c r="BB1899" s="36" t="s">
        <v>5487</v>
      </c>
      <c r="BC1899" s="36" t="s">
        <v>5506</v>
      </c>
      <c r="BD1899" s="36"/>
      <c r="BE1899" s="37" t="s">
        <v>2449</v>
      </c>
      <c r="BF1899" s="37"/>
      <c r="BG1899" s="37"/>
      <c r="BH1899" s="37" t="s">
        <v>5626</v>
      </c>
      <c r="BI1899" s="243">
        <v>1.56E-3</v>
      </c>
      <c r="BJ1899" s="243">
        <v>2.5000000000000001E-2</v>
      </c>
      <c r="BK1899" s="37"/>
      <c r="BL1899" s="243">
        <f t="shared" si="588"/>
        <v>189.06145680144678</v>
      </c>
      <c r="BM1899" s="37"/>
      <c r="BN1899" s="37"/>
      <c r="BO1899" s="37"/>
      <c r="BP1899" s="37"/>
      <c r="BQ1899" s="37"/>
      <c r="BR1899" s="37"/>
      <c r="BS1899" s="37"/>
      <c r="BT1899" s="37"/>
      <c r="BU1899" s="246"/>
      <c r="BV1899" s="37"/>
      <c r="BW1899" s="37"/>
      <c r="BX1899" s="37"/>
      <c r="BY1899" s="37"/>
      <c r="BZ1899" s="37"/>
      <c r="CA1899" s="37"/>
      <c r="CB1899" s="37"/>
      <c r="CC1899" s="37"/>
      <c r="CD1899" s="37">
        <v>1.24E-2</v>
      </c>
      <c r="CE1899" s="37"/>
      <c r="CF1899" s="37"/>
      <c r="CG1899" s="37"/>
      <c r="CH1899" s="37"/>
      <c r="CI1899" s="243">
        <f>MIN(BN1899:CH1899)</f>
        <v>1.24E-2</v>
      </c>
      <c r="CJ1899" s="243">
        <f>LOG10(CI1899)</f>
        <v>-1.9065783148377649</v>
      </c>
      <c r="CK1899" s="38">
        <f>BL1899/BJ1899</f>
        <v>7562.458272057871</v>
      </c>
      <c r="CL1899" s="38">
        <f>BL1899/CI1899</f>
        <v>15246.89167753603</v>
      </c>
      <c r="CM1899" s="247"/>
      <c r="CN1899" s="247"/>
      <c r="CO1899" s="36"/>
      <c r="CP1899" s="36" t="s">
        <v>5627</v>
      </c>
      <c r="CQ1899" s="241" t="s">
        <v>272</v>
      </c>
      <c r="CR1899" s="241"/>
      <c r="CS1899" s="33"/>
      <c r="CT1899" s="33"/>
      <c r="CU1899" s="250">
        <f>X1899/CI1899</f>
        <v>20.075414143075779</v>
      </c>
      <c r="CV1899" s="337">
        <f>X1899/BJ1899</f>
        <v>9.9574054149655851</v>
      </c>
      <c r="CW1899" s="330">
        <f>IF(CU1899&lt;2,0,1)</f>
        <v>1</v>
      </c>
      <c r="CX1899" s="330"/>
      <c r="CY1899" s="143" t="s">
        <v>5921</v>
      </c>
    </row>
    <row r="1900" spans="1:103" ht="11.25" customHeight="1" x14ac:dyDescent="0.2">
      <c r="A1900" s="72">
        <v>1898</v>
      </c>
      <c r="B1900" s="241">
        <v>703</v>
      </c>
      <c r="C1900" s="32" t="s">
        <v>4068</v>
      </c>
      <c r="D1900" s="32"/>
      <c r="E1900" s="40"/>
      <c r="F1900" s="40" t="s">
        <v>4069</v>
      </c>
      <c r="G1900" s="242">
        <v>37529309</v>
      </c>
      <c r="H1900" s="36" t="s">
        <v>4070</v>
      </c>
      <c r="I1900" s="36" t="s">
        <v>4070</v>
      </c>
      <c r="J1900" s="36" t="s">
        <v>4071</v>
      </c>
      <c r="K1900" s="36" t="s">
        <v>1573</v>
      </c>
      <c r="L1900" s="36"/>
      <c r="M1900" s="36"/>
      <c r="N1900" s="36"/>
      <c r="O1900" s="36"/>
      <c r="P1900" s="41"/>
      <c r="Q1900" s="41"/>
      <c r="R1900" s="41"/>
      <c r="S1900" s="41"/>
      <c r="T1900" s="37">
        <v>233.39</v>
      </c>
      <c r="U1900" s="243"/>
      <c r="V1900" s="243">
        <v>8.6293328763014699E-4</v>
      </c>
      <c r="W1900" s="243">
        <v>2.238721138568333E-3</v>
      </c>
      <c r="X1900" s="243">
        <f t="shared" si="589"/>
        <v>2.238721138568333E-3</v>
      </c>
      <c r="Y1900" s="414">
        <v>7.04</v>
      </c>
      <c r="Z1900" s="37">
        <v>6.04</v>
      </c>
      <c r="AA1900" s="37"/>
      <c r="AB1900" s="37">
        <v>5.98</v>
      </c>
      <c r="AC1900" s="37">
        <v>0.748</v>
      </c>
      <c r="AD1900" s="37">
        <v>6.05</v>
      </c>
      <c r="AE1900" s="37">
        <v>6.18</v>
      </c>
      <c r="AF1900" s="37">
        <f t="shared" ref="AF1900:AF1912" si="590">IF(AA1900=0,AD1900,AA1900)</f>
        <v>6.05</v>
      </c>
      <c r="AG1900" s="38">
        <v>5.46</v>
      </c>
      <c r="AH1900" s="243">
        <v>2.69E-5</v>
      </c>
      <c r="AI1900" s="243"/>
      <c r="AJ1900" s="34">
        <f t="shared" ref="AJ1900:AJ1912" si="591">LOG10(AH1900*1000/(0.08206*298.15))</f>
        <v>-2.9588140463102439</v>
      </c>
      <c r="AK1900" s="34"/>
      <c r="AL1900" s="34">
        <f t="shared" ref="AL1900:AL1912" si="592">IF(AK1900=0,AJ1900,AK1900)</f>
        <v>-2.9588140463102439</v>
      </c>
      <c r="AM1900" s="34">
        <v>-7.3938600000000001</v>
      </c>
      <c r="AN1900" s="244">
        <v>-2.76</v>
      </c>
      <c r="AO1900" s="417"/>
      <c r="AP1900" s="417">
        <v>4.96</v>
      </c>
      <c r="AQ1900" s="244" t="s">
        <v>6311</v>
      </c>
      <c r="AR1900" s="244" t="s">
        <v>6311</v>
      </c>
      <c r="AS1900" s="241" t="s">
        <v>6</v>
      </c>
      <c r="AT1900" s="39" t="s">
        <v>266</v>
      </c>
      <c r="AU1900" s="37">
        <v>2</v>
      </c>
      <c r="AV1900" s="37">
        <v>48</v>
      </c>
      <c r="AW1900" s="37">
        <v>48</v>
      </c>
      <c r="AX1900" s="37">
        <v>26</v>
      </c>
      <c r="AY1900" s="37" t="s">
        <v>647</v>
      </c>
      <c r="AZ1900" s="37" t="s">
        <v>536</v>
      </c>
      <c r="BA1900" s="37">
        <v>10</v>
      </c>
      <c r="BB1900" s="36" t="s">
        <v>1764</v>
      </c>
      <c r="BC1900" s="36" t="s">
        <v>538</v>
      </c>
      <c r="BD1900" s="36"/>
      <c r="BE1900" s="37" t="s">
        <v>1809</v>
      </c>
      <c r="BF1900" s="37" t="s">
        <v>539</v>
      </c>
      <c r="BG1900" s="37" t="s">
        <v>272</v>
      </c>
      <c r="BH1900" s="37" t="s">
        <v>4072</v>
      </c>
      <c r="BI1900" s="243" t="s">
        <v>8722</v>
      </c>
      <c r="BJ1900" s="243" t="s">
        <v>8722</v>
      </c>
      <c r="BK1900" s="37"/>
      <c r="BL1900" s="243">
        <f t="shared" si="588"/>
        <v>1.9331964991580887E-4</v>
      </c>
      <c r="BM1900" s="37" t="s">
        <v>541</v>
      </c>
      <c r="BN1900" s="37"/>
      <c r="BO1900" s="37"/>
      <c r="BP1900" s="37"/>
      <c r="BQ1900" s="37"/>
      <c r="BR1900" s="37"/>
      <c r="BS1900" s="37"/>
      <c r="BT1900" s="37"/>
      <c r="BU1900" s="246"/>
      <c r="BV1900" s="37"/>
      <c r="BW1900" s="37"/>
      <c r="BX1900" s="37"/>
      <c r="BY1900" s="37"/>
      <c r="BZ1900" s="37"/>
      <c r="CA1900" s="37"/>
      <c r="CB1900" s="37"/>
      <c r="CC1900" s="37"/>
      <c r="CD1900" s="37"/>
      <c r="CE1900" s="37"/>
      <c r="CF1900" s="37"/>
      <c r="CG1900" s="37"/>
      <c r="CH1900" s="37"/>
      <c r="CI1900" s="243"/>
      <c r="CJ1900" s="243"/>
      <c r="CK1900" s="38" t="s">
        <v>404</v>
      </c>
      <c r="CL1900" s="247"/>
      <c r="CM1900" s="247"/>
      <c r="CN1900" s="247"/>
      <c r="CO1900" s="36" t="s">
        <v>4073</v>
      </c>
      <c r="CP1900" s="36" t="s">
        <v>1811</v>
      </c>
      <c r="CQ1900" s="241">
        <v>-3.5799138728652777</v>
      </c>
      <c r="CR1900" s="241">
        <f>10^(CJ1900-CQ1900)</f>
        <v>3801.1400651465847</v>
      </c>
      <c r="CS1900" s="33"/>
      <c r="CT1900" s="33"/>
      <c r="CU1900" s="250" t="s">
        <v>6310</v>
      </c>
      <c r="CV1900" s="337" t="s">
        <v>6310</v>
      </c>
      <c r="CW1900" s="330">
        <f>IF(CV1900&lt;1,0,1)</f>
        <v>1</v>
      </c>
      <c r="CX1900" s="330"/>
      <c r="CY1900" s="143" t="s">
        <v>5921</v>
      </c>
    </row>
    <row r="1901" spans="1:103" ht="11.25" customHeight="1" x14ac:dyDescent="0.2">
      <c r="A1901" s="72">
        <v>1899</v>
      </c>
      <c r="B1901" s="241">
        <v>109</v>
      </c>
      <c r="C1901" s="32" t="s">
        <v>686</v>
      </c>
      <c r="D1901" s="32"/>
      <c r="E1901" s="40"/>
      <c r="F1901" s="40" t="s">
        <v>687</v>
      </c>
      <c r="G1901" s="242">
        <v>38126737</v>
      </c>
      <c r="H1901" s="36" t="s">
        <v>688</v>
      </c>
      <c r="I1901" s="36" t="s">
        <v>8258</v>
      </c>
      <c r="J1901" s="36" t="s">
        <v>689</v>
      </c>
      <c r="K1901" s="36" t="s">
        <v>690</v>
      </c>
      <c r="L1901" s="36"/>
      <c r="M1901" s="36"/>
      <c r="N1901" s="36"/>
      <c r="O1901" s="36"/>
      <c r="P1901" s="41"/>
      <c r="Q1901" s="41"/>
      <c r="R1901" s="41"/>
      <c r="S1901" s="41"/>
      <c r="T1901" s="37">
        <v>364.38</v>
      </c>
      <c r="U1901" s="243"/>
      <c r="V1901" s="243">
        <v>555.73851473736215</v>
      </c>
      <c r="W1901" s="243">
        <v>5.6234132519034867</v>
      </c>
      <c r="X1901" s="243">
        <f t="shared" si="589"/>
        <v>5.6234132519034867</v>
      </c>
      <c r="Y1901" s="414">
        <v>2.95</v>
      </c>
      <c r="Z1901" s="37">
        <v>-5.83</v>
      </c>
      <c r="AA1901" s="37"/>
      <c r="AB1901" s="37">
        <v>-2.41</v>
      </c>
      <c r="AC1901" s="37">
        <v>0.43990000000000001</v>
      </c>
      <c r="AD1901" s="37">
        <v>-1.71</v>
      </c>
      <c r="AE1901" s="37">
        <v>-1.05</v>
      </c>
      <c r="AF1901" s="37">
        <f t="shared" si="590"/>
        <v>-1.71</v>
      </c>
      <c r="AG1901" s="38">
        <v>2.2999999999999998</v>
      </c>
      <c r="AH1901" s="243">
        <v>3.1700000000000002E-26</v>
      </c>
      <c r="AI1901" s="243"/>
      <c r="AJ1901" s="34">
        <f t="shared" si="591"/>
        <v>-23.887507064094901</v>
      </c>
      <c r="AK1901" s="34"/>
      <c r="AL1901" s="34">
        <f t="shared" si="592"/>
        <v>-23.887507064094901</v>
      </c>
      <c r="AM1901" s="34">
        <v>-38.113280000000003</v>
      </c>
      <c r="AN1901" s="244">
        <v>-58.3</v>
      </c>
      <c r="AO1901" s="417">
        <v>2.21</v>
      </c>
      <c r="AP1901" s="417">
        <v>9.2899999999999991</v>
      </c>
      <c r="AQ1901" s="244" t="s">
        <v>6311</v>
      </c>
      <c r="AR1901" s="244" t="s">
        <v>6311</v>
      </c>
      <c r="AS1901" s="241" t="s">
        <v>63</v>
      </c>
      <c r="AT1901" s="39" t="s">
        <v>266</v>
      </c>
      <c r="AU1901" s="37">
        <v>0</v>
      </c>
      <c r="AV1901" s="37" t="s">
        <v>646</v>
      </c>
      <c r="AW1901" s="37" t="s">
        <v>646</v>
      </c>
      <c r="AX1901" s="37">
        <v>26</v>
      </c>
      <c r="AY1901" s="37" t="s">
        <v>647</v>
      </c>
      <c r="AZ1901" s="37" t="s">
        <v>536</v>
      </c>
      <c r="BA1901" s="37">
        <v>20</v>
      </c>
      <c r="BB1901" s="36" t="s">
        <v>537</v>
      </c>
      <c r="BC1901" s="36" t="s">
        <v>648</v>
      </c>
      <c r="BD1901" s="36"/>
      <c r="BE1901" s="245" t="s">
        <v>649</v>
      </c>
      <c r="BF1901" s="245" t="s">
        <v>650</v>
      </c>
      <c r="BG1901" s="245" t="s">
        <v>540</v>
      </c>
      <c r="BH1901" s="245" t="s">
        <v>272</v>
      </c>
      <c r="BI1901" s="243">
        <v>0.41199999999999998</v>
      </c>
      <c r="BJ1901" s="243">
        <v>2.089</v>
      </c>
      <c r="BK1901" s="37"/>
      <c r="BL1901" s="243">
        <f t="shared" si="588"/>
        <v>8845512.4886878617</v>
      </c>
      <c r="BM1901" s="37" t="s">
        <v>541</v>
      </c>
      <c r="BN1901" s="37"/>
      <c r="BO1901" s="37">
        <v>0.75700000000000001</v>
      </c>
      <c r="BP1901" s="37"/>
      <c r="BQ1901" s="37"/>
      <c r="BR1901" s="37"/>
      <c r="BS1901" s="37"/>
      <c r="BT1901" s="37"/>
      <c r="BU1901" s="246"/>
      <c r="BV1901" s="37"/>
      <c r="BW1901" s="37"/>
      <c r="BX1901" s="37"/>
      <c r="BY1901" s="37"/>
      <c r="BZ1901" s="37"/>
      <c r="CA1901" s="37"/>
      <c r="CB1901" s="37"/>
      <c r="CC1901" s="37"/>
      <c r="CD1901" s="37"/>
      <c r="CE1901" s="37"/>
      <c r="CF1901" s="37"/>
      <c r="CG1901" s="37"/>
      <c r="CH1901" s="37"/>
      <c r="CI1901" s="243">
        <f>MIN(BN1901:CH1901)</f>
        <v>0.75700000000000001</v>
      </c>
      <c r="CJ1901" s="243">
        <f>LOG10(CI1901)</f>
        <v>-0.12090412049992724</v>
      </c>
      <c r="CK1901" s="38">
        <f>BL1901/BJ1901</f>
        <v>4234328.6207218105</v>
      </c>
      <c r="CL1901" s="247">
        <f>BL1901/CI1901</f>
        <v>11684957.052427823</v>
      </c>
      <c r="CM1901" s="247"/>
      <c r="CN1901" s="247"/>
      <c r="CO1901" s="36"/>
      <c r="CP1901" s="36" t="s">
        <v>651</v>
      </c>
      <c r="CQ1901" s="241" t="s">
        <v>272</v>
      </c>
      <c r="CR1901" s="241"/>
      <c r="CS1901" s="33"/>
      <c r="CT1901" s="33"/>
      <c r="CU1901" s="250">
        <f>X1901/CI1901</f>
        <v>7.4285511914180802</v>
      </c>
      <c r="CV1901" s="337">
        <f>X1901/BJ1901</f>
        <v>2.691916348445901</v>
      </c>
      <c r="CW1901" s="330">
        <f>IF(CU1901&lt;2,0,1)</f>
        <v>1</v>
      </c>
      <c r="CX1901" s="330"/>
      <c r="CY1901" s="143" t="s">
        <v>5921</v>
      </c>
    </row>
    <row r="1902" spans="1:103" ht="11.25" customHeight="1" x14ac:dyDescent="0.2">
      <c r="A1902" s="72">
        <v>1900</v>
      </c>
      <c r="B1902" s="241">
        <v>2053</v>
      </c>
      <c r="C1902" s="32" t="s">
        <v>5632</v>
      </c>
      <c r="D1902" s="32"/>
      <c r="E1902" s="40"/>
      <c r="F1902" s="40" t="s">
        <v>5633</v>
      </c>
      <c r="G1902" s="242">
        <v>38748322</v>
      </c>
      <c r="H1902" s="41" t="s">
        <v>5634</v>
      </c>
      <c r="I1902" s="41" t="s">
        <v>8259</v>
      </c>
      <c r="J1902" s="41" t="s">
        <v>5635</v>
      </c>
      <c r="K1902" s="41" t="s">
        <v>5636</v>
      </c>
      <c r="L1902" s="41"/>
      <c r="M1902" s="41"/>
      <c r="N1902" s="36"/>
      <c r="O1902" s="41"/>
      <c r="P1902" s="41"/>
      <c r="Q1902" s="41"/>
      <c r="R1902" s="41"/>
      <c r="S1902" s="41"/>
      <c r="T1902" s="33">
        <v>360.41</v>
      </c>
      <c r="U1902" s="250"/>
      <c r="V1902" s="250">
        <v>6.9171221664215752</v>
      </c>
      <c r="W1902" s="250">
        <v>1.7782794100389223</v>
      </c>
      <c r="X1902" s="250">
        <f t="shared" si="589"/>
        <v>1.7782794100389223</v>
      </c>
      <c r="Y1902" s="415">
        <v>7</v>
      </c>
      <c r="Z1902" s="33">
        <v>0.99</v>
      </c>
      <c r="AA1902" s="33"/>
      <c r="AB1902" s="33">
        <v>-0.21</v>
      </c>
      <c r="AC1902" s="33">
        <v>0.35049999999999998</v>
      </c>
      <c r="AD1902" s="33">
        <v>0.67</v>
      </c>
      <c r="AE1902" s="33">
        <v>1.27</v>
      </c>
      <c r="AF1902" s="33">
        <f t="shared" si="590"/>
        <v>0.67</v>
      </c>
      <c r="AG1902" s="34">
        <v>0.67</v>
      </c>
      <c r="AH1902" s="250">
        <v>4.58E-17</v>
      </c>
      <c r="AI1902" s="250"/>
      <c r="AJ1902" s="34">
        <f t="shared" si="591"/>
        <v>-14.727700848308782</v>
      </c>
      <c r="AK1902" s="34"/>
      <c r="AL1902" s="34">
        <f t="shared" si="592"/>
        <v>-14.727700848308782</v>
      </c>
      <c r="AM1902" s="34">
        <v>-20.118249999999996</v>
      </c>
      <c r="AN1902" s="251"/>
      <c r="AO1902" s="417">
        <v>14.25</v>
      </c>
      <c r="AP1902" s="417"/>
      <c r="AQ1902" s="251" t="s">
        <v>6312</v>
      </c>
      <c r="AR1902" s="251" t="s">
        <v>6311</v>
      </c>
      <c r="AS1902" s="252" t="s">
        <v>5466</v>
      </c>
      <c r="AT1902" s="35" t="s">
        <v>266</v>
      </c>
      <c r="AU1902" s="33">
        <v>72</v>
      </c>
      <c r="AV1902" s="33">
        <v>96</v>
      </c>
      <c r="AW1902" s="33">
        <v>24</v>
      </c>
      <c r="AX1902" s="33">
        <v>28.5</v>
      </c>
      <c r="AY1902" s="33" t="s">
        <v>5624</v>
      </c>
      <c r="AZ1902" s="33" t="s">
        <v>5625</v>
      </c>
      <c r="BA1902" s="33">
        <v>20</v>
      </c>
      <c r="BB1902" s="41" t="s">
        <v>5487</v>
      </c>
      <c r="BC1902" s="41" t="s">
        <v>5506</v>
      </c>
      <c r="BD1902" s="41"/>
      <c r="BE1902" s="33" t="s">
        <v>2449</v>
      </c>
      <c r="BF1902" s="33"/>
      <c r="BG1902" s="33"/>
      <c r="BH1902" s="33" t="s">
        <v>5626</v>
      </c>
      <c r="BI1902" s="250">
        <v>4.0999999999999999E-4</v>
      </c>
      <c r="BJ1902" s="250">
        <v>3.7000000000000002E-3</v>
      </c>
      <c r="BK1902" s="254"/>
      <c r="BL1902" s="250">
        <f t="shared" si="588"/>
        <v>6.6325571376861401</v>
      </c>
      <c r="BM1902" s="33"/>
      <c r="BN1902" s="33"/>
      <c r="BO1902" s="33"/>
      <c r="BP1902" s="33"/>
      <c r="BQ1902" s="33"/>
      <c r="BR1902" s="33"/>
      <c r="BS1902" s="33"/>
      <c r="BT1902" s="33"/>
      <c r="BU1902" s="246"/>
      <c r="BV1902" s="33"/>
      <c r="BW1902" s="33"/>
      <c r="BX1902" s="33"/>
      <c r="BY1902" s="33"/>
      <c r="BZ1902" s="33"/>
      <c r="CA1902" s="33"/>
      <c r="CB1902" s="33"/>
      <c r="CC1902" s="33"/>
      <c r="CD1902" s="33">
        <v>1E-3</v>
      </c>
      <c r="CE1902" s="33"/>
      <c r="CF1902" s="33"/>
      <c r="CG1902" s="33"/>
      <c r="CH1902" s="33"/>
      <c r="CI1902" s="250">
        <f>MIN(BN1902:CH1902)</f>
        <v>1E-3</v>
      </c>
      <c r="CJ1902" s="243">
        <f>LOG10(CI1902)</f>
        <v>-3</v>
      </c>
      <c r="CK1902" s="38">
        <f>BL1902/BJ1902</f>
        <v>1792.5830101854431</v>
      </c>
      <c r="CL1902" s="247">
        <f>BL1902/CI1902</f>
        <v>6632.5571376861399</v>
      </c>
      <c r="CM1902" s="247"/>
      <c r="CN1902" s="247"/>
      <c r="CO1902" s="41"/>
      <c r="CP1902" s="41" t="s">
        <v>5627</v>
      </c>
      <c r="CQ1902" s="241" t="s">
        <v>272</v>
      </c>
      <c r="CR1902" s="241"/>
      <c r="CS1902" s="33"/>
      <c r="CT1902" s="33"/>
      <c r="CU1902" s="250">
        <f>X1902/CI1902</f>
        <v>1778.2794100389224</v>
      </c>
      <c r="CV1902" s="337">
        <f>X1902/BJ1902</f>
        <v>480.61605676727629</v>
      </c>
      <c r="CW1902" s="330">
        <f>IF(CU1902&lt;2,0,1)</f>
        <v>1</v>
      </c>
      <c r="CX1902" s="330"/>
      <c r="CY1902" s="143" t="s">
        <v>5921</v>
      </c>
    </row>
    <row r="1903" spans="1:103" ht="11.25" customHeight="1" x14ac:dyDescent="0.2">
      <c r="A1903" s="72">
        <v>1901</v>
      </c>
      <c r="B1903" s="241">
        <v>201</v>
      </c>
      <c r="C1903" s="32" t="s">
        <v>3707</v>
      </c>
      <c r="D1903" s="32"/>
      <c r="E1903" s="40"/>
      <c r="F1903" s="40" t="s">
        <v>3708</v>
      </c>
      <c r="G1903" s="242">
        <v>41859670</v>
      </c>
      <c r="H1903" s="36" t="s">
        <v>3709</v>
      </c>
      <c r="I1903" s="36" t="s">
        <v>8260</v>
      </c>
      <c r="J1903" s="36" t="s">
        <v>3710</v>
      </c>
      <c r="K1903" s="36" t="s">
        <v>471</v>
      </c>
      <c r="L1903" s="42" t="s">
        <v>279</v>
      </c>
      <c r="M1903" s="36" t="s">
        <v>3711</v>
      </c>
      <c r="N1903" s="36"/>
      <c r="O1903" s="36" t="s">
        <v>281</v>
      </c>
      <c r="P1903" s="41"/>
      <c r="Q1903" s="41"/>
      <c r="R1903" s="41"/>
      <c r="S1903" s="41"/>
      <c r="T1903" s="37">
        <v>361.82</v>
      </c>
      <c r="U1903" s="243"/>
      <c r="V1903" s="243">
        <v>3.3828975733790284E-3</v>
      </c>
      <c r="W1903" s="243">
        <v>0.29512092266663859</v>
      </c>
      <c r="X1903" s="243">
        <f t="shared" si="589"/>
        <v>0.29512092266663859</v>
      </c>
      <c r="Y1903" s="414">
        <v>3.68</v>
      </c>
      <c r="Z1903" s="37">
        <v>4.25</v>
      </c>
      <c r="AA1903" s="37"/>
      <c r="AB1903" s="37">
        <v>3.5</v>
      </c>
      <c r="AC1903" s="37">
        <v>0.62629999999999997</v>
      </c>
      <c r="AD1903" s="37">
        <v>3.48</v>
      </c>
      <c r="AE1903" s="37">
        <v>3.46</v>
      </c>
      <c r="AF1903" s="37">
        <f t="shared" si="590"/>
        <v>3.48</v>
      </c>
      <c r="AG1903" s="38">
        <v>3.82</v>
      </c>
      <c r="AH1903" s="243">
        <v>2.1200000000000001E-15</v>
      </c>
      <c r="AI1903" s="243"/>
      <c r="AJ1903" s="34">
        <f t="shared" si="591"/>
        <v>-13.0622304653839</v>
      </c>
      <c r="AK1903" s="34"/>
      <c r="AL1903" s="34">
        <f t="shared" si="592"/>
        <v>-13.0622304653839</v>
      </c>
      <c r="AM1903" s="34">
        <v>-19.732430000000001</v>
      </c>
      <c r="AN1903" s="244">
        <v>-16.2</v>
      </c>
      <c r="AO1903" s="417">
        <v>3.29</v>
      </c>
      <c r="AP1903" s="417">
        <v>-2.06</v>
      </c>
      <c r="AQ1903" s="244" t="s">
        <v>6311</v>
      </c>
      <c r="AR1903" s="244" t="s">
        <v>6311</v>
      </c>
      <c r="AS1903" s="241" t="s">
        <v>90</v>
      </c>
      <c r="AT1903" s="39" t="s">
        <v>266</v>
      </c>
      <c r="AU1903" s="37">
        <v>0</v>
      </c>
      <c r="AV1903" s="37">
        <v>48</v>
      </c>
      <c r="AW1903" s="37">
        <v>48</v>
      </c>
      <c r="AX1903" s="37">
        <v>26</v>
      </c>
      <c r="AY1903" s="37" t="s">
        <v>8722</v>
      </c>
      <c r="AZ1903" s="37" t="s">
        <v>536</v>
      </c>
      <c r="BA1903" s="37">
        <v>20</v>
      </c>
      <c r="BB1903" s="36" t="s">
        <v>537</v>
      </c>
      <c r="BC1903" s="36" t="s">
        <v>538</v>
      </c>
      <c r="BD1903" s="36"/>
      <c r="BE1903" s="245" t="s">
        <v>271</v>
      </c>
      <c r="BF1903" s="245" t="s">
        <v>539</v>
      </c>
      <c r="BG1903" s="245" t="s">
        <v>540</v>
      </c>
      <c r="BH1903" s="245" t="s">
        <v>272</v>
      </c>
      <c r="BI1903" s="243">
        <v>1.7299999999999999E-2</v>
      </c>
      <c r="BJ1903" s="243">
        <v>0.27639999999999998</v>
      </c>
      <c r="BK1903" s="37"/>
      <c r="BL1903" s="243">
        <f t="shared" si="588"/>
        <v>7.8320418603649456E-3</v>
      </c>
      <c r="BM1903" s="37" t="s">
        <v>541</v>
      </c>
      <c r="BN1903" s="37"/>
      <c r="BO1903" s="37"/>
      <c r="BP1903" s="37"/>
      <c r="BQ1903" s="37"/>
      <c r="BR1903" s="37"/>
      <c r="BS1903" s="37"/>
      <c r="BT1903" s="37"/>
      <c r="BU1903" s="246"/>
      <c r="BV1903" s="37"/>
      <c r="BW1903" s="37"/>
      <c r="BX1903" s="37"/>
      <c r="BY1903" s="37"/>
      <c r="BZ1903" s="37"/>
      <c r="CA1903" s="37"/>
      <c r="CB1903" s="37"/>
      <c r="CC1903" s="37"/>
      <c r="CD1903" s="37"/>
      <c r="CE1903" s="37"/>
      <c r="CF1903" s="37"/>
      <c r="CG1903" s="37"/>
      <c r="CH1903" s="37"/>
      <c r="CI1903" s="243"/>
      <c r="CJ1903" s="243"/>
      <c r="CK1903" s="38">
        <f>BL1903/BJ1903</f>
        <v>2.8335896745169849E-2</v>
      </c>
      <c r="CL1903" s="247"/>
      <c r="CM1903" s="247"/>
      <c r="CN1903" s="247"/>
      <c r="CO1903" s="36" t="s">
        <v>3683</v>
      </c>
      <c r="CP1903" s="36" t="s">
        <v>542</v>
      </c>
      <c r="CQ1903" s="241" t="s">
        <v>272</v>
      </c>
      <c r="CR1903" s="241"/>
      <c r="CS1903" s="33"/>
      <c r="CT1903" s="33"/>
      <c r="CU1903" s="250"/>
      <c r="CV1903" s="337">
        <f>X1903/BJ1903</f>
        <v>1.0677312686926144</v>
      </c>
      <c r="CW1903" s="330">
        <f>IF(CV1903&lt;1,0,1)</f>
        <v>1</v>
      </c>
      <c r="CX1903" s="330"/>
      <c r="CY1903" s="143" t="s">
        <v>5921</v>
      </c>
    </row>
    <row r="1904" spans="1:103" ht="11.25" customHeight="1" x14ac:dyDescent="0.2">
      <c r="A1904" s="72">
        <v>1902</v>
      </c>
      <c r="B1904" s="241">
        <v>205</v>
      </c>
      <c r="C1904" s="32" t="s">
        <v>3715</v>
      </c>
      <c r="D1904" s="32"/>
      <c r="E1904" s="40"/>
      <c r="F1904" s="40" t="s">
        <v>3166</v>
      </c>
      <c r="G1904" s="242">
        <v>49562289</v>
      </c>
      <c r="H1904" s="36" t="s">
        <v>3167</v>
      </c>
      <c r="I1904" s="36" t="s">
        <v>7950</v>
      </c>
      <c r="J1904" s="36" t="s">
        <v>3168</v>
      </c>
      <c r="K1904" s="36" t="s">
        <v>357</v>
      </c>
      <c r="L1904" s="42" t="s">
        <v>279</v>
      </c>
      <c r="M1904" s="36" t="s">
        <v>3169</v>
      </c>
      <c r="N1904" s="36"/>
      <c r="O1904" s="36" t="s">
        <v>281</v>
      </c>
      <c r="P1904" s="41"/>
      <c r="Q1904" s="41" t="s">
        <v>6173</v>
      </c>
      <c r="R1904" s="41" t="s">
        <v>6175</v>
      </c>
      <c r="S1904" s="41" t="s">
        <v>6176</v>
      </c>
      <c r="T1904" s="37">
        <v>360.83</v>
      </c>
      <c r="U1904" s="243"/>
      <c r="V1904" s="243">
        <v>5.4236066845883113E-4</v>
      </c>
      <c r="W1904" s="243">
        <v>6.3095734448019216E-3</v>
      </c>
      <c r="X1904" s="243">
        <f t="shared" si="589"/>
        <v>6.3095734448019216E-3</v>
      </c>
      <c r="Y1904" s="414">
        <v>7</v>
      </c>
      <c r="Z1904" s="37">
        <v>5.19</v>
      </c>
      <c r="AA1904" s="37"/>
      <c r="AB1904" s="37">
        <v>5.0999999999999996</v>
      </c>
      <c r="AC1904" s="37">
        <v>0.7853</v>
      </c>
      <c r="AD1904" s="37">
        <v>5.01</v>
      </c>
      <c r="AE1904" s="37">
        <v>4.8</v>
      </c>
      <c r="AF1904" s="37">
        <f t="shared" si="590"/>
        <v>5.01</v>
      </c>
      <c r="AG1904" s="38">
        <v>5.01</v>
      </c>
      <c r="AH1904" s="243">
        <v>4.4599999999999999E-9</v>
      </c>
      <c r="AI1904" s="243"/>
      <c r="AJ1904" s="34">
        <f t="shared" si="591"/>
        <v>-6.7392314676005096</v>
      </c>
      <c r="AK1904" s="34"/>
      <c r="AL1904" s="34">
        <f t="shared" si="592"/>
        <v>-6.7392314676005096</v>
      </c>
      <c r="AM1904" s="34">
        <v>-13.82502</v>
      </c>
      <c r="AN1904" s="244">
        <v>-6.28</v>
      </c>
      <c r="AO1904" s="417"/>
      <c r="AP1904" s="417"/>
      <c r="AQ1904" s="244" t="s">
        <v>6311</v>
      </c>
      <c r="AR1904" s="244" t="s">
        <v>6312</v>
      </c>
      <c r="AS1904" s="241" t="s">
        <v>90</v>
      </c>
      <c r="AT1904" s="39" t="s">
        <v>266</v>
      </c>
      <c r="AU1904" s="37">
        <v>0</v>
      </c>
      <c r="AV1904" s="37">
        <v>48</v>
      </c>
      <c r="AW1904" s="37">
        <v>48</v>
      </c>
      <c r="AX1904" s="37">
        <v>26</v>
      </c>
      <c r="AY1904" s="37" t="s">
        <v>8722</v>
      </c>
      <c r="AZ1904" s="37" t="s">
        <v>536</v>
      </c>
      <c r="BA1904" s="37">
        <v>20</v>
      </c>
      <c r="BB1904" s="36" t="s">
        <v>537</v>
      </c>
      <c r="BC1904" s="36" t="s">
        <v>538</v>
      </c>
      <c r="BD1904" s="36"/>
      <c r="BE1904" s="245" t="s">
        <v>271</v>
      </c>
      <c r="BF1904" s="245" t="s">
        <v>539</v>
      </c>
      <c r="BG1904" s="245" t="s">
        <v>540</v>
      </c>
      <c r="BH1904" s="245" t="s">
        <v>272</v>
      </c>
      <c r="BI1904" s="243">
        <v>4.1000000000000002E-2</v>
      </c>
      <c r="BJ1904" s="243">
        <v>0.2079</v>
      </c>
      <c r="BK1904" s="37"/>
      <c r="BL1904" s="243">
        <f t="shared" si="588"/>
        <v>1.1211429749698502E-3</v>
      </c>
      <c r="BM1904" s="37" t="s">
        <v>541</v>
      </c>
      <c r="BN1904" s="37"/>
      <c r="BO1904" s="37"/>
      <c r="BP1904" s="37"/>
      <c r="BQ1904" s="37"/>
      <c r="BR1904" s="37"/>
      <c r="BS1904" s="37"/>
      <c r="BT1904" s="37"/>
      <c r="BU1904" s="246"/>
      <c r="BV1904" s="37"/>
      <c r="BW1904" s="37"/>
      <c r="BX1904" s="37"/>
      <c r="BY1904" s="37"/>
      <c r="BZ1904" s="37"/>
      <c r="CA1904" s="37"/>
      <c r="CB1904" s="37"/>
      <c r="CC1904" s="37"/>
      <c r="CD1904" s="37"/>
      <c r="CE1904" s="37"/>
      <c r="CF1904" s="37"/>
      <c r="CG1904" s="37"/>
      <c r="CH1904" s="37"/>
      <c r="CI1904" s="243"/>
      <c r="CJ1904" s="243"/>
      <c r="CK1904" s="38">
        <f>BL1904/BJ1904</f>
        <v>5.3927031023080817E-3</v>
      </c>
      <c r="CL1904" s="247"/>
      <c r="CM1904" s="247"/>
      <c r="CN1904" s="247"/>
      <c r="CO1904" s="36" t="s">
        <v>3683</v>
      </c>
      <c r="CP1904" s="36" t="s">
        <v>542</v>
      </c>
      <c r="CQ1904" s="241" t="s">
        <v>272</v>
      </c>
      <c r="CR1904" s="241"/>
      <c r="CS1904" s="33"/>
      <c r="CT1904" s="33"/>
      <c r="CU1904" s="250"/>
      <c r="CV1904" s="337">
        <f>X1904/BJ1904</f>
        <v>3.0349078618575862E-2</v>
      </c>
      <c r="CW1904" s="330">
        <f>IF(CV1904&lt;1,0,1)</f>
        <v>0</v>
      </c>
      <c r="CX1904" s="330"/>
      <c r="CY1904" s="143" t="s">
        <v>6351</v>
      </c>
    </row>
    <row r="1905" spans="1:103" ht="11.25" customHeight="1" x14ac:dyDescent="0.2">
      <c r="A1905" s="72">
        <v>1903</v>
      </c>
      <c r="B1905" s="241">
        <v>2088</v>
      </c>
      <c r="C1905" s="32" t="s">
        <v>5771</v>
      </c>
      <c r="D1905" s="32"/>
      <c r="E1905" s="40"/>
      <c r="F1905" s="40" t="s">
        <v>5772</v>
      </c>
      <c r="G1905" s="242">
        <v>50886696</v>
      </c>
      <c r="H1905" s="41" t="s">
        <v>5773</v>
      </c>
      <c r="I1905" s="41" t="s">
        <v>8261</v>
      </c>
      <c r="J1905" s="41" t="s">
        <v>5774</v>
      </c>
      <c r="K1905" s="41" t="s">
        <v>5775</v>
      </c>
      <c r="L1905" s="41"/>
      <c r="M1905" s="41"/>
      <c r="N1905" s="36"/>
      <c r="O1905" s="41"/>
      <c r="P1905" s="41"/>
      <c r="Q1905" s="41"/>
      <c r="R1905" s="41"/>
      <c r="S1905" s="41"/>
      <c r="T1905" s="33">
        <v>390.35</v>
      </c>
      <c r="U1905" s="250"/>
      <c r="V1905" s="250">
        <v>1.7778916357115409E-2</v>
      </c>
      <c r="W1905" s="250">
        <v>1.0964781961431832E-3</v>
      </c>
      <c r="X1905" s="250">
        <f t="shared" si="589"/>
        <v>1.0964781961431832E-3</v>
      </c>
      <c r="Y1905" s="415">
        <v>5.91</v>
      </c>
      <c r="Z1905" s="33">
        <v>3.85</v>
      </c>
      <c r="AA1905" s="33"/>
      <c r="AB1905" s="33">
        <v>2.66</v>
      </c>
      <c r="AC1905" s="33">
        <v>0.48770000000000002</v>
      </c>
      <c r="AD1905" s="33">
        <v>3.73</v>
      </c>
      <c r="AE1905" s="33">
        <v>5.27</v>
      </c>
      <c r="AF1905" s="33">
        <f t="shared" si="590"/>
        <v>3.73</v>
      </c>
      <c r="AG1905" s="34">
        <v>3.73</v>
      </c>
      <c r="AH1905" s="250">
        <v>1.66E-19</v>
      </c>
      <c r="AI1905" s="250"/>
      <c r="AJ1905" s="34">
        <f t="shared" si="591"/>
        <v>-17.168458238272596</v>
      </c>
      <c r="AK1905" s="34"/>
      <c r="AL1905" s="34">
        <f t="shared" si="592"/>
        <v>-17.168458238272596</v>
      </c>
      <c r="AM1905" s="34">
        <v>-23.132830000000002</v>
      </c>
      <c r="AN1905" s="251"/>
      <c r="AO1905" s="417">
        <v>4.96</v>
      </c>
      <c r="AP1905" s="417"/>
      <c r="AQ1905" s="251" t="s">
        <v>6312</v>
      </c>
      <c r="AR1905" s="251" t="s">
        <v>6311</v>
      </c>
      <c r="AS1905" s="252" t="s">
        <v>5466</v>
      </c>
      <c r="AT1905" s="35" t="s">
        <v>266</v>
      </c>
      <c r="AU1905" s="33">
        <v>4</v>
      </c>
      <c r="AV1905" s="33">
        <v>80</v>
      </c>
      <c r="AW1905" s="33">
        <v>76</v>
      </c>
      <c r="AX1905" s="33">
        <v>28</v>
      </c>
      <c r="AY1905" s="33" t="s">
        <v>267</v>
      </c>
      <c r="AZ1905" s="33" t="s">
        <v>5731</v>
      </c>
      <c r="BA1905" s="33">
        <v>20</v>
      </c>
      <c r="BB1905" s="41" t="s">
        <v>5732</v>
      </c>
      <c r="BC1905" s="41" t="s">
        <v>1584</v>
      </c>
      <c r="BD1905" s="41"/>
      <c r="BE1905" s="33" t="s">
        <v>5733</v>
      </c>
      <c r="BF1905" s="33"/>
      <c r="BG1905" s="33"/>
      <c r="BH1905" s="33" t="s">
        <v>5734</v>
      </c>
      <c r="BI1905" s="250"/>
      <c r="BJ1905" s="250"/>
      <c r="BK1905" s="254"/>
      <c r="BL1905" s="250">
        <f t="shared" si="588"/>
        <v>1.7910800643872269E-2</v>
      </c>
      <c r="BM1905" s="33"/>
      <c r="BN1905" s="33"/>
      <c r="BO1905" s="33"/>
      <c r="BP1905" s="33"/>
      <c r="BQ1905" s="33"/>
      <c r="BR1905" s="33"/>
      <c r="BS1905" s="33"/>
      <c r="BT1905" s="33"/>
      <c r="BU1905" s="246"/>
      <c r="BV1905" s="33">
        <v>5.6999999999999998E-4</v>
      </c>
      <c r="BW1905" s="33">
        <v>5.4000000000000001E-4</v>
      </c>
      <c r="BX1905" s="33"/>
      <c r="BY1905" s="33"/>
      <c r="BZ1905" s="33"/>
      <c r="CA1905" s="33"/>
      <c r="CB1905" s="33"/>
      <c r="CC1905" s="33"/>
      <c r="CD1905" s="33"/>
      <c r="CE1905" s="33"/>
      <c r="CF1905" s="33"/>
      <c r="CG1905" s="33"/>
      <c r="CH1905" s="33"/>
      <c r="CI1905" s="250">
        <f>MIN(BN1905:CH1905)</f>
        <v>5.4000000000000001E-4</v>
      </c>
      <c r="CJ1905" s="243">
        <f>LOG10(CI1905)</f>
        <v>-3.2676062401770314</v>
      </c>
      <c r="CK1905" s="38" t="s">
        <v>404</v>
      </c>
      <c r="CL1905" s="247">
        <f>BL1905/CI1905</f>
        <v>33.1681493405042</v>
      </c>
      <c r="CM1905" s="247"/>
      <c r="CN1905" s="247"/>
      <c r="CO1905" s="41"/>
      <c r="CP1905" s="41" t="s">
        <v>5735</v>
      </c>
      <c r="CQ1905" s="241" t="s">
        <v>272</v>
      </c>
      <c r="CR1905" s="241"/>
      <c r="CS1905" s="33"/>
      <c r="CT1905" s="33"/>
      <c r="CU1905" s="250">
        <f>X1905/CI1905</f>
        <v>2.0305151780429318</v>
      </c>
      <c r="CV1905" s="337"/>
      <c r="CW1905" s="330">
        <f>IF(CU1905&lt;2,0,1)</f>
        <v>1</v>
      </c>
      <c r="CX1905" s="330" t="s">
        <v>539</v>
      </c>
      <c r="CY1905" s="143" t="s">
        <v>5921</v>
      </c>
    </row>
    <row r="1906" spans="1:103" ht="11.25" customHeight="1" x14ac:dyDescent="0.2">
      <c r="A1906" s="72">
        <v>1904</v>
      </c>
      <c r="B1906" s="241">
        <v>81</v>
      </c>
      <c r="C1906" s="32" t="s">
        <v>593</v>
      </c>
      <c r="D1906" s="32"/>
      <c r="E1906" s="40"/>
      <c r="F1906" s="40" t="s">
        <v>594</v>
      </c>
      <c r="G1906" s="242">
        <v>51022709</v>
      </c>
      <c r="H1906" s="36" t="s">
        <v>595</v>
      </c>
      <c r="I1906" s="36" t="s">
        <v>595</v>
      </c>
      <c r="J1906" s="36" t="s">
        <v>596</v>
      </c>
      <c r="K1906" s="36" t="s">
        <v>597</v>
      </c>
      <c r="L1906" s="36"/>
      <c r="M1906" s="36"/>
      <c r="N1906" s="36"/>
      <c r="O1906" s="36"/>
      <c r="P1906" s="41"/>
      <c r="Q1906" s="41"/>
      <c r="R1906" s="41"/>
      <c r="S1906" s="41"/>
      <c r="T1906" s="37">
        <v>239.31</v>
      </c>
      <c r="U1906" s="243">
        <v>58.919393255609876</v>
      </c>
      <c r="V1906" s="243">
        <v>1254.4398478960345</v>
      </c>
      <c r="W1906" s="243">
        <v>223.87211385683392</v>
      </c>
      <c r="X1906" s="243">
        <v>58.919393255609876</v>
      </c>
      <c r="Y1906" s="414">
        <v>9.81</v>
      </c>
      <c r="Z1906" s="37">
        <v>0.64</v>
      </c>
      <c r="AA1906" s="37"/>
      <c r="AB1906" s="37">
        <v>1.1399999999999999</v>
      </c>
      <c r="AC1906" s="37">
        <v>0.58960000000000001</v>
      </c>
      <c r="AD1906" s="37">
        <v>0.61</v>
      </c>
      <c r="AE1906" s="37">
        <v>0.01</v>
      </c>
      <c r="AF1906" s="37">
        <f t="shared" si="590"/>
        <v>0.61</v>
      </c>
      <c r="AG1906" s="38">
        <v>0.89</v>
      </c>
      <c r="AH1906" s="243">
        <v>6.4000000000000005E-16</v>
      </c>
      <c r="AI1906" s="243"/>
      <c r="AJ1906" s="34">
        <f t="shared" si="591"/>
        <v>-13.582386352328765</v>
      </c>
      <c r="AK1906" s="34"/>
      <c r="AL1906" s="34">
        <f t="shared" si="592"/>
        <v>-13.582386352328765</v>
      </c>
      <c r="AM1906" s="34">
        <v>-18.729609999999997</v>
      </c>
      <c r="AN1906" s="244">
        <v>-11</v>
      </c>
      <c r="AO1906" s="417">
        <v>9.99</v>
      </c>
      <c r="AP1906" s="417">
        <v>9.6199999999999992</v>
      </c>
      <c r="AQ1906" s="244" t="s">
        <v>6311</v>
      </c>
      <c r="AR1906" s="244" t="s">
        <v>6311</v>
      </c>
      <c r="AS1906" s="241" t="s">
        <v>105</v>
      </c>
      <c r="AT1906" s="39" t="s">
        <v>266</v>
      </c>
      <c r="AU1906" s="37">
        <v>0</v>
      </c>
      <c r="AV1906" s="37">
        <v>48</v>
      </c>
      <c r="AW1906" s="37">
        <v>48</v>
      </c>
      <c r="AX1906" s="37">
        <v>26</v>
      </c>
      <c r="AY1906" s="37" t="s">
        <v>8722</v>
      </c>
      <c r="AZ1906" s="37" t="s">
        <v>536</v>
      </c>
      <c r="BA1906" s="37">
        <v>20</v>
      </c>
      <c r="BB1906" s="36" t="s">
        <v>537</v>
      </c>
      <c r="BC1906" s="36" t="s">
        <v>538</v>
      </c>
      <c r="BD1906" s="36"/>
      <c r="BE1906" s="245" t="s">
        <v>271</v>
      </c>
      <c r="BF1906" s="245" t="s">
        <v>539</v>
      </c>
      <c r="BG1906" s="245" t="s">
        <v>540</v>
      </c>
      <c r="BH1906" s="245" t="s">
        <v>272</v>
      </c>
      <c r="BI1906" s="243">
        <v>4.335</v>
      </c>
      <c r="BJ1906" s="243">
        <v>69.360200000000006</v>
      </c>
      <c r="BK1906" s="37"/>
      <c r="BL1906" s="243">
        <f t="shared" si="588"/>
        <v>13.677792155161416</v>
      </c>
      <c r="BM1906" s="37" t="s">
        <v>541</v>
      </c>
      <c r="BN1906" s="37"/>
      <c r="BO1906" s="37">
        <v>47.280099999999997</v>
      </c>
      <c r="BP1906" s="37"/>
      <c r="BQ1906" s="37"/>
      <c r="BR1906" s="37"/>
      <c r="BS1906" s="37"/>
      <c r="BT1906" s="37"/>
      <c r="BU1906" s="246"/>
      <c r="BV1906" s="37"/>
      <c r="BW1906" s="37"/>
      <c r="BX1906" s="37"/>
      <c r="BY1906" s="37"/>
      <c r="BZ1906" s="37"/>
      <c r="CA1906" s="37"/>
      <c r="CB1906" s="37"/>
      <c r="CC1906" s="37"/>
      <c r="CD1906" s="37"/>
      <c r="CE1906" s="37"/>
      <c r="CF1906" s="37"/>
      <c r="CG1906" s="37"/>
      <c r="CH1906" s="37"/>
      <c r="CI1906" s="243">
        <f>MIN(BN1906:CH1906)</f>
        <v>47.280099999999997</v>
      </c>
      <c r="CJ1906" s="243">
        <f>LOG10(CI1906)</f>
        <v>1.6746783864307764</v>
      </c>
      <c r="CK1906" s="38">
        <f>BL1906/BJ1906</f>
        <v>0.19719943361122683</v>
      </c>
      <c r="CL1906" s="247">
        <f>BL1906/CI1906</f>
        <v>0.28929279242559591</v>
      </c>
      <c r="CM1906" s="247"/>
      <c r="CN1906" s="247"/>
      <c r="CO1906" s="36"/>
      <c r="CP1906" s="36" t="s">
        <v>542</v>
      </c>
      <c r="CQ1906" s="241" t="s">
        <v>272</v>
      </c>
      <c r="CR1906" s="241"/>
      <c r="CS1906" s="33"/>
      <c r="CT1906" s="33"/>
      <c r="CU1906" s="250">
        <f>X1906/CI1906</f>
        <v>1.2461774246587862</v>
      </c>
      <c r="CV1906" s="337">
        <f>X1906/BJ1906</f>
        <v>0.84946977165016635</v>
      </c>
      <c r="CW1906" s="330">
        <f>IF(CU1906&lt;2,0,1)</f>
        <v>0</v>
      </c>
      <c r="CX1906" s="330"/>
      <c r="CY1906" s="143" t="s">
        <v>5921</v>
      </c>
    </row>
    <row r="1907" spans="1:103" ht="11.25" customHeight="1" x14ac:dyDescent="0.2">
      <c r="A1907" s="72">
        <v>1905</v>
      </c>
      <c r="B1907" s="241">
        <v>78</v>
      </c>
      <c r="C1907" s="32" t="s">
        <v>578</v>
      </c>
      <c r="D1907" s="32" t="s">
        <v>6629</v>
      </c>
      <c r="E1907" s="40"/>
      <c r="F1907" s="40" t="s">
        <v>579</v>
      </c>
      <c r="G1907" s="242">
        <v>51384511</v>
      </c>
      <c r="H1907" s="36" t="s">
        <v>580</v>
      </c>
      <c r="I1907" s="36" t="s">
        <v>580</v>
      </c>
      <c r="J1907" s="36" t="s">
        <v>581</v>
      </c>
      <c r="K1907" s="36" t="s">
        <v>300</v>
      </c>
      <c r="L1907" s="36"/>
      <c r="M1907" s="36"/>
      <c r="N1907" s="36"/>
      <c r="O1907" s="36"/>
      <c r="P1907" s="41"/>
      <c r="Q1907" s="41"/>
      <c r="R1907" s="41"/>
      <c r="S1907" s="41"/>
      <c r="T1907" s="37">
        <v>267.36</v>
      </c>
      <c r="U1907" s="243">
        <v>63.210652304009571</v>
      </c>
      <c r="V1907" s="243">
        <v>17.86729503291442</v>
      </c>
      <c r="W1907" s="243">
        <v>39.810717055349727</v>
      </c>
      <c r="X1907" s="243">
        <v>63.210652304009571</v>
      </c>
      <c r="Y1907" s="414">
        <v>11.06</v>
      </c>
      <c r="Z1907" s="37">
        <v>1.69</v>
      </c>
      <c r="AA1907" s="37">
        <v>1.88</v>
      </c>
      <c r="AB1907" s="37">
        <v>1.88</v>
      </c>
      <c r="AC1907" s="37">
        <v>0.79749999999999999</v>
      </c>
      <c r="AD1907" s="37">
        <v>1.85</v>
      </c>
      <c r="AE1907" s="37">
        <v>1.79</v>
      </c>
      <c r="AF1907" s="37">
        <f t="shared" si="590"/>
        <v>1.88</v>
      </c>
      <c r="AG1907" s="38">
        <v>1.87</v>
      </c>
      <c r="AH1907" s="243">
        <v>1.4000000000000001E-13</v>
      </c>
      <c r="AI1907" s="243"/>
      <c r="AJ1907" s="34">
        <f t="shared" si="591"/>
        <v>-11.242438290634414</v>
      </c>
      <c r="AK1907" s="34"/>
      <c r="AL1907" s="34">
        <f t="shared" si="592"/>
        <v>-11.242438290634414</v>
      </c>
      <c r="AM1907" s="34">
        <v>-13.46964</v>
      </c>
      <c r="AN1907" s="244">
        <v>-9.1999999999999993</v>
      </c>
      <c r="AO1907" s="417">
        <v>13.89</v>
      </c>
      <c r="AP1907" s="417">
        <v>9.43</v>
      </c>
      <c r="AQ1907" s="244" t="s">
        <v>6311</v>
      </c>
      <c r="AR1907" s="244" t="s">
        <v>6311</v>
      </c>
      <c r="AS1907" s="241" t="s">
        <v>102</v>
      </c>
      <c r="AT1907" s="39" t="s">
        <v>266</v>
      </c>
      <c r="AU1907" s="37">
        <v>0</v>
      </c>
      <c r="AV1907" s="37">
        <v>48</v>
      </c>
      <c r="AW1907" s="37">
        <v>48</v>
      </c>
      <c r="AX1907" s="37">
        <v>26</v>
      </c>
      <c r="AY1907" s="37" t="s">
        <v>8722</v>
      </c>
      <c r="AZ1907" s="37" t="s">
        <v>536</v>
      </c>
      <c r="BA1907" s="37">
        <v>20</v>
      </c>
      <c r="BB1907" s="36" t="s">
        <v>537</v>
      </c>
      <c r="BC1907" s="36" t="s">
        <v>538</v>
      </c>
      <c r="BD1907" s="36"/>
      <c r="BE1907" s="245" t="s">
        <v>271</v>
      </c>
      <c r="BF1907" s="245" t="s">
        <v>539</v>
      </c>
      <c r="BG1907" s="245" t="s">
        <v>540</v>
      </c>
      <c r="BH1907" s="245" t="s">
        <v>272</v>
      </c>
      <c r="BI1907" s="243">
        <v>2.1903999999999999</v>
      </c>
      <c r="BJ1907" s="243">
        <v>11.088800000000001</v>
      </c>
      <c r="BK1907" s="37"/>
      <c r="BL1907" s="243">
        <f t="shared" si="588"/>
        <v>1.5595920043529998</v>
      </c>
      <c r="BM1907" s="37" t="s">
        <v>541</v>
      </c>
      <c r="BN1907" s="37"/>
      <c r="BO1907" s="37">
        <v>10.6564</v>
      </c>
      <c r="BP1907" s="37"/>
      <c r="BQ1907" s="37"/>
      <c r="BR1907" s="37"/>
      <c r="BS1907" s="37"/>
      <c r="BT1907" s="37"/>
      <c r="BU1907" s="246"/>
      <c r="BV1907" s="37"/>
      <c r="BW1907" s="37"/>
      <c r="BX1907" s="37"/>
      <c r="BY1907" s="37"/>
      <c r="BZ1907" s="37"/>
      <c r="CA1907" s="37"/>
      <c r="CB1907" s="37"/>
      <c r="CC1907" s="37"/>
      <c r="CD1907" s="37"/>
      <c r="CE1907" s="37"/>
      <c r="CF1907" s="37"/>
      <c r="CG1907" s="37"/>
      <c r="CH1907" s="37"/>
      <c r="CI1907" s="243">
        <f>MIN(BN1907:CH1907)</f>
        <v>10.6564</v>
      </c>
      <c r="CJ1907" s="243">
        <f>LOG10(CI1907)</f>
        <v>1.0276105138656753</v>
      </c>
      <c r="CK1907" s="38">
        <f>BL1907/BJ1907</f>
        <v>0.14064569695124807</v>
      </c>
      <c r="CL1907" s="247">
        <f>BL1907/CI1907</f>
        <v>0.14635261479983858</v>
      </c>
      <c r="CM1907" s="247"/>
      <c r="CN1907" s="247"/>
      <c r="CO1907" s="36"/>
      <c r="CP1907" s="36" t="s">
        <v>542</v>
      </c>
      <c r="CQ1907" s="241" t="s">
        <v>272</v>
      </c>
      <c r="CR1907" s="241"/>
      <c r="CS1907" s="33"/>
      <c r="CT1907" s="33"/>
      <c r="CU1907" s="250">
        <f>X1907/CI1907</f>
        <v>5.9317079223761846</v>
      </c>
      <c r="CV1907" s="337">
        <f>X1907/BJ1907</f>
        <v>5.7004051208435147</v>
      </c>
      <c r="CW1907" s="330">
        <f>IF(CU1907&lt;2,0,1)</f>
        <v>1</v>
      </c>
      <c r="CX1907" s="330"/>
      <c r="CY1907" s="143" t="s">
        <v>5921</v>
      </c>
    </row>
    <row r="1908" spans="1:103" ht="11.25" customHeight="1" x14ac:dyDescent="0.2">
      <c r="A1908" s="72">
        <v>1906</v>
      </c>
      <c r="B1908" s="241">
        <v>1311</v>
      </c>
      <c r="C1908" s="32" t="s">
        <v>578</v>
      </c>
      <c r="D1908" s="32" t="s">
        <v>6629</v>
      </c>
      <c r="E1908" s="40"/>
      <c r="F1908" s="40" t="s">
        <v>579</v>
      </c>
      <c r="G1908" s="242">
        <v>51384511</v>
      </c>
      <c r="H1908" s="36" t="s">
        <v>580</v>
      </c>
      <c r="I1908" s="36" t="s">
        <v>580</v>
      </c>
      <c r="J1908" s="36" t="s">
        <v>581</v>
      </c>
      <c r="K1908" s="36" t="s">
        <v>300</v>
      </c>
      <c r="L1908" s="36"/>
      <c r="M1908" s="36"/>
      <c r="N1908" s="36"/>
      <c r="O1908" s="36"/>
      <c r="P1908" s="41"/>
      <c r="Q1908" s="41"/>
      <c r="R1908" s="41"/>
      <c r="S1908" s="41"/>
      <c r="T1908" s="37">
        <v>267.36</v>
      </c>
      <c r="U1908" s="243">
        <v>63.210652304009571</v>
      </c>
      <c r="V1908" s="243">
        <v>17.86729503291442</v>
      </c>
      <c r="W1908" s="243">
        <v>39.810717055349727</v>
      </c>
      <c r="X1908" s="243">
        <v>63.210652304009571</v>
      </c>
      <c r="Y1908" s="414">
        <v>11.06</v>
      </c>
      <c r="Z1908" s="37">
        <v>1.69</v>
      </c>
      <c r="AA1908" s="37">
        <v>1.88</v>
      </c>
      <c r="AB1908" s="37">
        <v>1.88</v>
      </c>
      <c r="AC1908" s="37">
        <v>0.79749999999999999</v>
      </c>
      <c r="AD1908" s="37">
        <v>1.85</v>
      </c>
      <c r="AE1908" s="37">
        <v>1.79</v>
      </c>
      <c r="AF1908" s="37">
        <f t="shared" si="590"/>
        <v>1.88</v>
      </c>
      <c r="AG1908" s="38">
        <v>1.87</v>
      </c>
      <c r="AH1908" s="243">
        <v>1.4000000000000001E-13</v>
      </c>
      <c r="AI1908" s="243"/>
      <c r="AJ1908" s="34">
        <f t="shared" si="591"/>
        <v>-11.242438290634414</v>
      </c>
      <c r="AK1908" s="34"/>
      <c r="AL1908" s="34">
        <f t="shared" si="592"/>
        <v>-11.242438290634414</v>
      </c>
      <c r="AM1908" s="34">
        <v>-13.46964</v>
      </c>
      <c r="AN1908" s="244">
        <v>-9.1999999999999993</v>
      </c>
      <c r="AO1908" s="417">
        <v>13.89</v>
      </c>
      <c r="AP1908" s="417">
        <v>9.43</v>
      </c>
      <c r="AQ1908" s="244" t="s">
        <v>6311</v>
      </c>
      <c r="AR1908" s="244" t="s">
        <v>6311</v>
      </c>
      <c r="AS1908" s="241" t="s">
        <v>6</v>
      </c>
      <c r="AT1908" s="39" t="s">
        <v>266</v>
      </c>
      <c r="AU1908" s="37">
        <v>2</v>
      </c>
      <c r="AV1908" s="37">
        <v>72</v>
      </c>
      <c r="AW1908" s="37">
        <v>72</v>
      </c>
      <c r="AX1908" s="37">
        <v>26</v>
      </c>
      <c r="AY1908" s="37" t="s">
        <v>8722</v>
      </c>
      <c r="AZ1908" s="37" t="s">
        <v>536</v>
      </c>
      <c r="BA1908" s="37">
        <v>20</v>
      </c>
      <c r="BB1908" s="36" t="s">
        <v>1764</v>
      </c>
      <c r="BC1908" s="36" t="s">
        <v>2064</v>
      </c>
      <c r="BD1908" s="36"/>
      <c r="BE1908" s="37" t="s">
        <v>271</v>
      </c>
      <c r="BF1908" s="37" t="s">
        <v>2065</v>
      </c>
      <c r="BG1908" s="37">
        <v>7.8</v>
      </c>
      <c r="BH1908" s="37" t="s">
        <v>272</v>
      </c>
      <c r="BI1908" s="248">
        <v>2.3375846205632645E-2</v>
      </c>
      <c r="BJ1908" s="248">
        <v>0.37401353929012232</v>
      </c>
      <c r="BK1908" s="37" t="s">
        <v>2066</v>
      </c>
      <c r="BL1908" s="243">
        <f t="shared" si="588"/>
        <v>1.5595920043529998</v>
      </c>
      <c r="BM1908" s="37" t="s">
        <v>1552</v>
      </c>
      <c r="BN1908" s="37"/>
      <c r="BO1908" s="37"/>
      <c r="BP1908" s="37"/>
      <c r="BQ1908" s="37"/>
      <c r="BR1908" s="37"/>
      <c r="BS1908" s="37"/>
      <c r="BT1908" s="37"/>
      <c r="BU1908" s="246"/>
      <c r="BV1908" s="37"/>
      <c r="BW1908" s="37"/>
      <c r="BX1908" s="37"/>
      <c r="BY1908" s="37"/>
      <c r="BZ1908" s="37"/>
      <c r="CA1908" s="37"/>
      <c r="CB1908" s="37"/>
      <c r="CC1908" s="37"/>
      <c r="CD1908" s="37"/>
      <c r="CE1908" s="37"/>
      <c r="CF1908" s="37"/>
      <c r="CG1908" s="37"/>
      <c r="CH1908" s="37"/>
      <c r="CI1908" s="243"/>
      <c r="CJ1908" s="243"/>
      <c r="CK1908" s="38">
        <f>BL1908/BJ1908</f>
        <v>4.1698811420386157</v>
      </c>
      <c r="CL1908" s="247"/>
      <c r="CM1908" s="247"/>
      <c r="CN1908" s="247"/>
      <c r="CO1908" s="36"/>
      <c r="CP1908" s="36" t="s">
        <v>2067</v>
      </c>
      <c r="CQ1908" s="241" t="s">
        <v>272</v>
      </c>
      <c r="CR1908" s="241"/>
      <c r="CS1908" s="33"/>
      <c r="CT1908" s="33" t="s">
        <v>6310</v>
      </c>
      <c r="CU1908" s="250"/>
      <c r="CV1908" s="337">
        <f>X1908/BJ1908</f>
        <v>169.0063210652304</v>
      </c>
      <c r="CW1908" s="330">
        <f>IF(CV1908&lt;1,0,1)</f>
        <v>1</v>
      </c>
      <c r="CX1908" s="330" t="s">
        <v>539</v>
      </c>
      <c r="CY1908" s="143" t="s">
        <v>5921</v>
      </c>
    </row>
    <row r="1909" spans="1:103" ht="11.25" customHeight="1" x14ac:dyDescent="0.2">
      <c r="A1909" s="72">
        <v>1907</v>
      </c>
      <c r="B1909" s="241">
        <v>2121</v>
      </c>
      <c r="C1909" s="32" t="s">
        <v>5825</v>
      </c>
      <c r="D1909" s="32" t="s">
        <v>6522</v>
      </c>
      <c r="E1909" s="40"/>
      <c r="F1909" s="242" t="s">
        <v>1316</v>
      </c>
      <c r="G1909" s="242">
        <v>51596102</v>
      </c>
      <c r="H1909" s="41" t="s">
        <v>1317</v>
      </c>
      <c r="I1909" s="41" t="s">
        <v>7882</v>
      </c>
      <c r="J1909" s="41" t="s">
        <v>5826</v>
      </c>
      <c r="K1909" s="41" t="s">
        <v>1318</v>
      </c>
      <c r="L1909" s="41"/>
      <c r="M1909" s="41"/>
      <c r="N1909" s="36" t="s">
        <v>6376</v>
      </c>
      <c r="O1909" s="41"/>
      <c r="P1909" s="41"/>
      <c r="Q1909" s="41"/>
      <c r="R1909" s="41"/>
      <c r="S1909" s="41"/>
      <c r="T1909" s="33">
        <v>528.69000000000005</v>
      </c>
      <c r="U1909" s="250">
        <v>1.6644914789385081E-3</v>
      </c>
      <c r="V1909" s="250">
        <v>2.6367058200457732E-5</v>
      </c>
      <c r="W1909" s="250">
        <v>5.4954087385762448E-2</v>
      </c>
      <c r="X1909" s="250">
        <v>1.6644914789385081E-3</v>
      </c>
      <c r="Y1909" s="415">
        <v>7</v>
      </c>
      <c r="Z1909" s="33">
        <v>5.21</v>
      </c>
      <c r="AA1909" s="33">
        <v>5.3</v>
      </c>
      <c r="AB1909" s="33">
        <v>5.1100000000000003</v>
      </c>
      <c r="AC1909" s="33">
        <v>0.64639999999999997</v>
      </c>
      <c r="AD1909" s="33">
        <v>5.39</v>
      </c>
      <c r="AE1909" s="33">
        <v>5.85</v>
      </c>
      <c r="AF1909" s="33">
        <f t="shared" si="590"/>
        <v>5.3</v>
      </c>
      <c r="AG1909" s="34">
        <v>5.39</v>
      </c>
      <c r="AH1909" s="250">
        <v>3.7799999999999999E-15</v>
      </c>
      <c r="AI1909" s="250"/>
      <c r="AJ1909" s="34">
        <f t="shared" si="591"/>
        <v>-12.811074526475426</v>
      </c>
      <c r="AK1909" s="34"/>
      <c r="AL1909" s="34">
        <f t="shared" si="592"/>
        <v>-12.811074526475426</v>
      </c>
      <c r="AM1909" s="34">
        <v>-22.732559999999999</v>
      </c>
      <c r="AN1909" s="251"/>
      <c r="AO1909" s="417">
        <v>12.46</v>
      </c>
      <c r="AP1909" s="417"/>
      <c r="AQ1909" s="251" t="s">
        <v>6311</v>
      </c>
      <c r="AR1909" s="251" t="s">
        <v>6311</v>
      </c>
      <c r="AS1909" s="252" t="s">
        <v>5466</v>
      </c>
      <c r="AT1909" s="35" t="s">
        <v>266</v>
      </c>
      <c r="AU1909" s="33">
        <v>5</v>
      </c>
      <c r="AV1909" s="33">
        <v>25</v>
      </c>
      <c r="AW1909" s="33">
        <v>20</v>
      </c>
      <c r="AX1909" s="33">
        <v>28</v>
      </c>
      <c r="AY1909" s="33" t="s">
        <v>267</v>
      </c>
      <c r="AZ1909" s="33" t="s">
        <v>5820</v>
      </c>
      <c r="BA1909" s="33"/>
      <c r="BB1909" s="41" t="s">
        <v>5821</v>
      </c>
      <c r="BC1909" s="41" t="s">
        <v>8377</v>
      </c>
      <c r="BD1909" s="41"/>
      <c r="BE1909" s="33" t="s">
        <v>2449</v>
      </c>
      <c r="BF1909" s="33"/>
      <c r="BG1909" s="33"/>
      <c r="BH1909" s="33" t="s">
        <v>5626</v>
      </c>
      <c r="BI1909" s="250"/>
      <c r="BJ1909" s="250">
        <v>0.05</v>
      </c>
      <c r="BK1909" s="254"/>
      <c r="BL1909" s="250">
        <f t="shared" si="588"/>
        <v>1.0757193976350967E-3</v>
      </c>
      <c r="BM1909" s="33"/>
      <c r="BN1909" s="33" t="s">
        <v>5822</v>
      </c>
      <c r="BO1909" s="33"/>
      <c r="BP1909" s="33"/>
      <c r="BQ1909" s="33"/>
      <c r="BR1909" s="33"/>
      <c r="BS1909" s="33"/>
      <c r="BT1909" s="33"/>
      <c r="BU1909" s="246"/>
      <c r="BV1909" s="33"/>
      <c r="BW1909" s="33"/>
      <c r="BX1909" s="33"/>
      <c r="BY1909" s="33"/>
      <c r="BZ1909" s="33"/>
      <c r="CA1909" s="33"/>
      <c r="CB1909" s="33"/>
      <c r="CC1909" s="33"/>
      <c r="CD1909" s="33"/>
      <c r="CE1909" s="33"/>
      <c r="CF1909" s="33"/>
      <c r="CG1909" s="33"/>
      <c r="CH1909" s="33"/>
      <c r="CI1909" s="250"/>
      <c r="CJ1909" s="243"/>
      <c r="CK1909" s="38">
        <f>BL1909/BJ1909</f>
        <v>2.1514387952701931E-2</v>
      </c>
      <c r="CL1909" s="247"/>
      <c r="CM1909" s="247">
        <v>-4.2760430646012102</v>
      </c>
      <c r="CN1909" s="247">
        <f>BJ1909/(10^CM1909)</f>
        <v>944.08928571428692</v>
      </c>
      <c r="CO1909" s="41"/>
      <c r="CP1909" s="255" t="s">
        <v>8376</v>
      </c>
      <c r="CQ1909" s="241">
        <v>-4.1487883201326339</v>
      </c>
      <c r="CR1909" s="241">
        <f>10^(CJ1909-CQ1909)</f>
        <v>14086.020630650404</v>
      </c>
      <c r="CS1909" s="33"/>
      <c r="CT1909" s="33"/>
      <c r="CU1909" s="250"/>
      <c r="CV1909" s="337">
        <f>X1909/BJ1909</f>
        <v>3.3289829578770164E-2</v>
      </c>
      <c r="CW1909" s="330">
        <f>IF(CV1909&lt;1,0,1)</f>
        <v>0</v>
      </c>
      <c r="CX1909" s="330"/>
      <c r="CY1909" s="143" t="s">
        <v>5921</v>
      </c>
    </row>
    <row r="1910" spans="1:103" ht="11.25" customHeight="1" x14ac:dyDescent="0.2">
      <c r="A1910" s="72">
        <v>1908</v>
      </c>
      <c r="B1910" s="241">
        <v>2153</v>
      </c>
      <c r="C1910" s="32" t="s">
        <v>5893</v>
      </c>
      <c r="D1910" s="32" t="s">
        <v>6594</v>
      </c>
      <c r="E1910" s="40"/>
      <c r="F1910" s="40" t="s">
        <v>2093</v>
      </c>
      <c r="G1910" s="242">
        <v>52315078</v>
      </c>
      <c r="H1910" s="41" t="s">
        <v>2094</v>
      </c>
      <c r="I1910" s="41" t="s">
        <v>7906</v>
      </c>
      <c r="J1910" s="41" t="s">
        <v>2095</v>
      </c>
      <c r="K1910" s="41" t="s">
        <v>2086</v>
      </c>
      <c r="L1910" s="41"/>
      <c r="M1910" s="41"/>
      <c r="N1910" s="36" t="s">
        <v>6376</v>
      </c>
      <c r="O1910" s="41"/>
      <c r="P1910" s="41"/>
      <c r="Q1910" s="41"/>
      <c r="R1910" s="41"/>
      <c r="S1910" s="41"/>
      <c r="T1910" s="33">
        <v>416.31</v>
      </c>
      <c r="U1910" s="250">
        <v>2.7624309392265195E-4</v>
      </c>
      <c r="V1910" s="250">
        <v>3.7448955080470816E-6</v>
      </c>
      <c r="W1910" s="250">
        <v>1.1220184543019621E-4</v>
      </c>
      <c r="X1910" s="250">
        <v>2.7624309392265195E-4</v>
      </c>
      <c r="Y1910" s="415">
        <v>7</v>
      </c>
      <c r="Z1910" s="33">
        <v>6.38</v>
      </c>
      <c r="AA1910" s="33">
        <v>6.94</v>
      </c>
      <c r="AB1910" s="33">
        <v>6.02</v>
      </c>
      <c r="AC1910" s="33">
        <v>0.95830000000000004</v>
      </c>
      <c r="AD1910" s="33">
        <v>6.05</v>
      </c>
      <c r="AE1910" s="33">
        <v>6.27</v>
      </c>
      <c r="AF1910" s="33">
        <f t="shared" si="590"/>
        <v>6.94</v>
      </c>
      <c r="AG1910" s="34">
        <v>5.09</v>
      </c>
      <c r="AH1910" s="250">
        <v>7.8899999999999998E-7</v>
      </c>
      <c r="AI1910" s="250">
        <v>4.2E-7</v>
      </c>
      <c r="AJ1910" s="34">
        <f t="shared" si="591"/>
        <v>-4.4914893231032318</v>
      </c>
      <c r="AK1910" s="34">
        <f>LOG10(AI1910*1000/(0.08206*298.15))</f>
        <v>-4.7653170359147516</v>
      </c>
      <c r="AL1910" s="34">
        <f t="shared" si="592"/>
        <v>-4.7653170359147516</v>
      </c>
      <c r="AM1910" s="34">
        <v>-15.410480000000002</v>
      </c>
      <c r="AN1910" s="251">
        <v>-4.5606</v>
      </c>
      <c r="AO1910" s="417"/>
      <c r="AP1910" s="417"/>
      <c r="AQ1910" s="251" t="s">
        <v>6311</v>
      </c>
      <c r="AR1910" s="251" t="s">
        <v>6312</v>
      </c>
      <c r="AS1910" s="252" t="s">
        <v>5466</v>
      </c>
      <c r="AT1910" s="35" t="s">
        <v>266</v>
      </c>
      <c r="AU1910" s="33">
        <v>4</v>
      </c>
      <c r="AV1910" s="33">
        <v>144</v>
      </c>
      <c r="AW1910" s="33">
        <v>140</v>
      </c>
      <c r="AX1910" s="33">
        <v>28</v>
      </c>
      <c r="AY1910" s="33" t="s">
        <v>267</v>
      </c>
      <c r="AZ1910" s="33" t="s">
        <v>5888</v>
      </c>
      <c r="BA1910" s="33">
        <v>20</v>
      </c>
      <c r="BB1910" s="41" t="s">
        <v>5487</v>
      </c>
      <c r="BC1910" s="41" t="s">
        <v>5889</v>
      </c>
      <c r="BD1910" s="41" t="s">
        <v>8374</v>
      </c>
      <c r="BE1910" s="33" t="s">
        <v>5733</v>
      </c>
      <c r="BF1910" s="33"/>
      <c r="BG1910" s="33"/>
      <c r="BH1910" s="33" t="s">
        <v>5890</v>
      </c>
      <c r="BI1910" s="250">
        <v>2.4020561999999999E-2</v>
      </c>
      <c r="BJ1910" s="250">
        <v>0.36030842400000002</v>
      </c>
      <c r="BK1910" s="254" t="s">
        <v>5891</v>
      </c>
      <c r="BL1910" s="250">
        <f t="shared" si="588"/>
        <v>9.570221731095291E-5</v>
      </c>
      <c r="BM1910" s="33"/>
      <c r="BN1910" s="33"/>
      <c r="BO1910" s="33"/>
      <c r="BP1910" s="33"/>
      <c r="BQ1910" s="33"/>
      <c r="BR1910" s="33"/>
      <c r="BS1910" s="33"/>
      <c r="BT1910" s="33">
        <v>1.7535000000000001E-4</v>
      </c>
      <c r="BU1910" s="246"/>
      <c r="BV1910" s="33"/>
      <c r="BW1910" s="33"/>
      <c r="BX1910" s="33"/>
      <c r="BY1910" s="33"/>
      <c r="BZ1910" s="33"/>
      <c r="CA1910" s="33"/>
      <c r="CB1910" s="33"/>
      <c r="CC1910" s="33"/>
      <c r="CD1910" s="33"/>
      <c r="CE1910" s="33"/>
      <c r="CF1910" s="33"/>
      <c r="CG1910" s="33"/>
      <c r="CH1910" s="33"/>
      <c r="CI1910" s="250">
        <f>MIN(BN1910:CH1910)</f>
        <v>1.7535000000000001E-4</v>
      </c>
      <c r="CJ1910" s="243">
        <f>LOG10(CI1910)</f>
        <v>-3.7560942297824784</v>
      </c>
      <c r="CK1910" s="38">
        <f>BL1910/BJ1910</f>
        <v>2.6561193393289328E-4</v>
      </c>
      <c r="CL1910" s="247">
        <f>BL1910/CI1910</f>
        <v>0.54577825669206104</v>
      </c>
      <c r="CM1910" s="247">
        <v>-5.3911759078850627</v>
      </c>
      <c r="CN1910" s="247">
        <f>BJ1910/(10^CM1910)</f>
        <v>88685.031357241431</v>
      </c>
      <c r="CO1910" s="41"/>
      <c r="CP1910" s="41" t="s">
        <v>5892</v>
      </c>
      <c r="CQ1910" s="241">
        <v>-5.3240904654321648</v>
      </c>
      <c r="CR1910" s="241">
        <f>10^(CJ1910-CQ1910)</f>
        <v>36.982497422079199</v>
      </c>
      <c r="CS1910" s="33"/>
      <c r="CT1910" s="33" t="s">
        <v>6310</v>
      </c>
      <c r="CU1910" s="250">
        <f>X1910/CI1910</f>
        <v>1.5753812028665637</v>
      </c>
      <c r="CV1910" s="337">
        <f>X1910/BJ1910</f>
        <v>7.6668508289623547E-4</v>
      </c>
      <c r="CW1910" s="330">
        <f>IF(CU1910&lt;2,0,1)</f>
        <v>0</v>
      </c>
      <c r="CX1910" s="330" t="s">
        <v>539</v>
      </c>
      <c r="CY1910" s="143" t="s">
        <v>5921</v>
      </c>
    </row>
    <row r="1911" spans="1:103" ht="11.25" customHeight="1" x14ac:dyDescent="0.2">
      <c r="A1911" s="72">
        <v>1909</v>
      </c>
      <c r="B1911" s="241">
        <v>494</v>
      </c>
      <c r="C1911" s="32" t="s">
        <v>1595</v>
      </c>
      <c r="D1911" s="32"/>
      <c r="E1911" s="40"/>
      <c r="F1911" s="40" t="s">
        <v>1596</v>
      </c>
      <c r="G1911" s="242">
        <v>52415299</v>
      </c>
      <c r="H1911" s="36" t="s">
        <v>1597</v>
      </c>
      <c r="I1911" s="36" t="s">
        <v>7782</v>
      </c>
      <c r="J1911" s="36" t="s">
        <v>1598</v>
      </c>
      <c r="K1911" s="36" t="s">
        <v>1594</v>
      </c>
      <c r="L1911" s="36"/>
      <c r="M1911" s="36"/>
      <c r="N1911" s="36"/>
      <c r="O1911" s="36"/>
      <c r="P1911" s="41"/>
      <c r="Q1911" s="41"/>
      <c r="R1911" s="41"/>
      <c r="S1911" s="41"/>
      <c r="T1911" s="37">
        <v>196.04</v>
      </c>
      <c r="U1911" s="243"/>
      <c r="V1911" s="243">
        <v>0.640685574372577</v>
      </c>
      <c r="W1911" s="243">
        <v>2.5118864315095779</v>
      </c>
      <c r="X1911" s="243">
        <f>IF(W1911=0,V1911,W1911)</f>
        <v>2.5118864315095779</v>
      </c>
      <c r="Y1911" s="414">
        <v>7</v>
      </c>
      <c r="Z1911" s="37">
        <v>2.94</v>
      </c>
      <c r="AA1911" s="37">
        <v>3</v>
      </c>
      <c r="AB1911" s="37">
        <v>3.22</v>
      </c>
      <c r="AC1911" s="37">
        <v>0.89200000000000002</v>
      </c>
      <c r="AD1911" s="37">
        <v>3.15</v>
      </c>
      <c r="AE1911" s="37">
        <v>2.91</v>
      </c>
      <c r="AF1911" s="37">
        <f t="shared" si="590"/>
        <v>3</v>
      </c>
      <c r="AG1911" s="38">
        <v>2.88</v>
      </c>
      <c r="AH1911" s="243">
        <v>3.53E-7</v>
      </c>
      <c r="AI1911" s="243"/>
      <c r="AJ1911" s="34">
        <f t="shared" si="591"/>
        <v>-4.8407916209248292</v>
      </c>
      <c r="AK1911" s="34"/>
      <c r="AL1911" s="34">
        <f t="shared" si="592"/>
        <v>-4.8407916209248292</v>
      </c>
      <c r="AM1911" s="34">
        <v>-7.7084099999999998</v>
      </c>
      <c r="AN1911" s="244">
        <v>-4.8600000000000003</v>
      </c>
      <c r="AO1911" s="417">
        <v>16.07</v>
      </c>
      <c r="AP1911" s="417">
        <v>-5.01</v>
      </c>
      <c r="AQ1911" s="244" t="s">
        <v>6311</v>
      </c>
      <c r="AR1911" s="244" t="s">
        <v>6311</v>
      </c>
      <c r="AS1911" s="241" t="s">
        <v>120</v>
      </c>
      <c r="AT1911" s="39" t="s">
        <v>266</v>
      </c>
      <c r="AU1911" s="37">
        <v>2</v>
      </c>
      <c r="AV1911" s="37">
        <v>48</v>
      </c>
      <c r="AW1911" s="37">
        <v>48</v>
      </c>
      <c r="AX1911" s="37">
        <v>26</v>
      </c>
      <c r="AY1911" s="37" t="s">
        <v>8722</v>
      </c>
      <c r="AZ1911" s="37" t="s">
        <v>536</v>
      </c>
      <c r="BA1911" s="37">
        <v>10</v>
      </c>
      <c r="BB1911" s="36" t="s">
        <v>537</v>
      </c>
      <c r="BC1911" s="36" t="s">
        <v>538</v>
      </c>
      <c r="BD1911" s="36"/>
      <c r="BE1911" s="37" t="s">
        <v>649</v>
      </c>
      <c r="BF1911" s="37" t="s">
        <v>539</v>
      </c>
      <c r="BG1911" s="37" t="s">
        <v>539</v>
      </c>
      <c r="BH1911" s="37" t="s">
        <v>8722</v>
      </c>
      <c r="BI1911" s="243" t="s">
        <v>8722</v>
      </c>
      <c r="BJ1911" s="243" t="s">
        <v>8722</v>
      </c>
      <c r="BK1911" s="37"/>
      <c r="BL1911" s="243">
        <f t="shared" si="588"/>
        <v>0.11759422655550075</v>
      </c>
      <c r="BM1911" s="37" t="s">
        <v>1584</v>
      </c>
      <c r="BN1911" s="37"/>
      <c r="BO1911" s="37">
        <v>2.7223788772109712E-2</v>
      </c>
      <c r="BP1911" s="37"/>
      <c r="BQ1911" s="37"/>
      <c r="BR1911" s="37"/>
      <c r="BS1911" s="37"/>
      <c r="BT1911" s="37"/>
      <c r="BU1911" s="246"/>
      <c r="BV1911" s="37"/>
      <c r="BW1911" s="37"/>
      <c r="BX1911" s="37"/>
      <c r="BY1911" s="37"/>
      <c r="BZ1911" s="37"/>
      <c r="CA1911" s="37"/>
      <c r="CB1911" s="37"/>
      <c r="CC1911" s="37"/>
      <c r="CD1911" s="37"/>
      <c r="CE1911" s="37"/>
      <c r="CF1911" s="37"/>
      <c r="CG1911" s="37"/>
      <c r="CH1911" s="37"/>
      <c r="CI1911" s="243">
        <f>MIN(BN1911:CH1911)</f>
        <v>2.7223788772109712E-2</v>
      </c>
      <c r="CJ1911" s="243">
        <f>LOG10(CI1911)</f>
        <v>-1.5650514335663412</v>
      </c>
      <c r="CK1911" s="38" t="s">
        <v>404</v>
      </c>
      <c r="CL1911" s="247">
        <f>BL1911/CI1911</f>
        <v>4.3195393389172176</v>
      </c>
      <c r="CM1911" s="247"/>
      <c r="CN1911" s="247"/>
      <c r="CO1911" s="36"/>
      <c r="CP1911" s="36" t="s">
        <v>1585</v>
      </c>
      <c r="CQ1911" s="241" t="s">
        <v>272</v>
      </c>
      <c r="CR1911" s="241"/>
      <c r="CS1911" s="33"/>
      <c r="CT1911" s="33"/>
      <c r="CU1911" s="250">
        <f>X1911/CI1911</f>
        <v>92.268069390949762</v>
      </c>
      <c r="CV1911" s="337"/>
      <c r="CW1911" s="330">
        <f>IF(CU1911&lt;2,0,1)</f>
        <v>1</v>
      </c>
      <c r="CX1911" s="330"/>
      <c r="CY1911" s="143" t="s">
        <v>5921</v>
      </c>
    </row>
    <row r="1912" spans="1:103" ht="11.25" customHeight="1" x14ac:dyDescent="0.2">
      <c r="A1912" s="72">
        <v>1910</v>
      </c>
      <c r="B1912" s="241">
        <v>495</v>
      </c>
      <c r="C1912" s="32" t="s">
        <v>1595</v>
      </c>
      <c r="D1912" s="32"/>
      <c r="E1912" s="40"/>
      <c r="F1912" s="40" t="s">
        <v>1596</v>
      </c>
      <c r="G1912" s="242">
        <v>52415299</v>
      </c>
      <c r="H1912" s="36" t="s">
        <v>1597</v>
      </c>
      <c r="I1912" s="36" t="s">
        <v>7782</v>
      </c>
      <c r="J1912" s="36" t="s">
        <v>1598</v>
      </c>
      <c r="K1912" s="36" t="s">
        <v>1594</v>
      </c>
      <c r="L1912" s="36"/>
      <c r="M1912" s="36"/>
      <c r="N1912" s="36"/>
      <c r="O1912" s="36"/>
      <c r="P1912" s="41"/>
      <c r="Q1912" s="41"/>
      <c r="R1912" s="41"/>
      <c r="S1912" s="41"/>
      <c r="T1912" s="37">
        <v>196.04</v>
      </c>
      <c r="U1912" s="243"/>
      <c r="V1912" s="243">
        <v>0.640685574372577</v>
      </c>
      <c r="W1912" s="243">
        <v>2.5118864315095779</v>
      </c>
      <c r="X1912" s="243">
        <f>IF(W1912=0,V1912,W1912)</f>
        <v>2.5118864315095779</v>
      </c>
      <c r="Y1912" s="414">
        <v>7</v>
      </c>
      <c r="Z1912" s="37">
        <v>2.94</v>
      </c>
      <c r="AA1912" s="37">
        <v>3</v>
      </c>
      <c r="AB1912" s="37">
        <v>3.22</v>
      </c>
      <c r="AC1912" s="37">
        <v>0.89200000000000002</v>
      </c>
      <c r="AD1912" s="37">
        <v>3.15</v>
      </c>
      <c r="AE1912" s="37">
        <v>2.91</v>
      </c>
      <c r="AF1912" s="37">
        <f t="shared" si="590"/>
        <v>3</v>
      </c>
      <c r="AG1912" s="38">
        <v>2.88</v>
      </c>
      <c r="AH1912" s="243">
        <v>3.53E-7</v>
      </c>
      <c r="AI1912" s="243"/>
      <c r="AJ1912" s="34">
        <f t="shared" si="591"/>
        <v>-4.8407916209248292</v>
      </c>
      <c r="AK1912" s="34"/>
      <c r="AL1912" s="34">
        <f t="shared" si="592"/>
        <v>-4.8407916209248292</v>
      </c>
      <c r="AM1912" s="34">
        <v>-7.7084099999999998</v>
      </c>
      <c r="AN1912" s="244">
        <v>-4.8600000000000003</v>
      </c>
      <c r="AO1912" s="417">
        <v>16.07</v>
      </c>
      <c r="AP1912" s="417">
        <v>-5.01</v>
      </c>
      <c r="AQ1912" s="244" t="s">
        <v>6311</v>
      </c>
      <c r="AR1912" s="244" t="s">
        <v>6311</v>
      </c>
      <c r="AS1912" s="241" t="s">
        <v>120</v>
      </c>
      <c r="AT1912" s="39" t="s">
        <v>266</v>
      </c>
      <c r="AU1912" s="37">
        <v>2</v>
      </c>
      <c r="AV1912" s="37">
        <v>48</v>
      </c>
      <c r="AW1912" s="37">
        <v>48</v>
      </c>
      <c r="AX1912" s="37">
        <v>26</v>
      </c>
      <c r="AY1912" s="37" t="s">
        <v>8722</v>
      </c>
      <c r="AZ1912" s="37" t="s">
        <v>1586</v>
      </c>
      <c r="BA1912" s="37">
        <v>60</v>
      </c>
      <c r="BB1912" s="36" t="s">
        <v>537</v>
      </c>
      <c r="BC1912" s="36" t="s">
        <v>538</v>
      </c>
      <c r="BD1912" s="36"/>
      <c r="BE1912" s="37" t="s">
        <v>271</v>
      </c>
      <c r="BF1912" s="37" t="s">
        <v>272</v>
      </c>
      <c r="BG1912" s="37" t="s">
        <v>272</v>
      </c>
      <c r="BH1912" s="37" t="s">
        <v>1587</v>
      </c>
      <c r="BI1912" s="243" t="s">
        <v>8722</v>
      </c>
      <c r="BJ1912" s="243" t="s">
        <v>8722</v>
      </c>
      <c r="BK1912" s="37"/>
      <c r="BL1912" s="243">
        <f t="shared" si="588"/>
        <v>0.11759422655550075</v>
      </c>
      <c r="BM1912" s="37" t="s">
        <v>1588</v>
      </c>
      <c r="BN1912" s="37"/>
      <c r="BO1912" s="37">
        <v>4.7218661881568827E-2</v>
      </c>
      <c r="BP1912" s="37"/>
      <c r="BQ1912" s="37"/>
      <c r="BR1912" s="37"/>
      <c r="BS1912" s="37"/>
      <c r="BT1912" s="37"/>
      <c r="BU1912" s="246"/>
      <c r="BV1912" s="37"/>
      <c r="BW1912" s="37"/>
      <c r="BX1912" s="37"/>
      <c r="BY1912" s="37"/>
      <c r="BZ1912" s="37"/>
      <c r="CA1912" s="37"/>
      <c r="CB1912" s="37"/>
      <c r="CC1912" s="37"/>
      <c r="CD1912" s="37"/>
      <c r="CE1912" s="37"/>
      <c r="CF1912" s="37"/>
      <c r="CG1912" s="37"/>
      <c r="CH1912" s="37"/>
      <c r="CI1912" s="243">
        <f>MIN(BN1912:CH1912)</f>
        <v>4.7218661881568827E-2</v>
      </c>
      <c r="CJ1912" s="243">
        <f>LOG10(CI1912)</f>
        <v>-1.3258863244509613</v>
      </c>
      <c r="CK1912" s="38" t="s">
        <v>404</v>
      </c>
      <c r="CL1912" s="247">
        <f>BL1912/CI1912</f>
        <v>2.4904184462161152</v>
      </c>
      <c r="CM1912" s="247"/>
      <c r="CN1912" s="247"/>
      <c r="CO1912" s="36"/>
      <c r="CP1912" s="36" t="s">
        <v>1589</v>
      </c>
      <c r="CQ1912" s="241" t="s">
        <v>272</v>
      </c>
      <c r="CR1912" s="241"/>
      <c r="CS1912" s="33"/>
      <c r="CT1912" s="33"/>
      <c r="CU1912" s="250">
        <f>X1912/CI1912</f>
        <v>53.196899942013374</v>
      </c>
      <c r="CV1912" s="337"/>
      <c r="CW1912" s="330">
        <f>IF(CU1912&lt;2,0,1)</f>
        <v>1</v>
      </c>
      <c r="CX1912" s="330"/>
      <c r="CY1912" s="143" t="s">
        <v>5921</v>
      </c>
    </row>
    <row r="1913" spans="1:103" ht="11.25" customHeight="1" x14ac:dyDescent="0.2">
      <c r="A1913" s="72">
        <v>1911</v>
      </c>
      <c r="B1913" s="241">
        <v>490</v>
      </c>
      <c r="C1913" s="32" t="s">
        <v>1581</v>
      </c>
      <c r="D1913" s="32"/>
      <c r="E1913" s="40"/>
      <c r="F1913" s="40" t="s">
        <v>1582</v>
      </c>
      <c r="G1913" s="242">
        <v>52488365</v>
      </c>
      <c r="H1913" s="36"/>
      <c r="I1913" s="36" t="s">
        <v>8262</v>
      </c>
      <c r="J1913" s="36" t="s">
        <v>1583</v>
      </c>
      <c r="K1913" s="36"/>
      <c r="L1913" s="36"/>
      <c r="M1913" s="36"/>
      <c r="N1913" s="36"/>
      <c r="O1913" s="36"/>
      <c r="P1913" s="41"/>
      <c r="Q1913" s="41"/>
      <c r="R1913" s="41"/>
      <c r="S1913" s="41"/>
      <c r="T1913" s="37">
        <v>195.95</v>
      </c>
      <c r="U1913" s="243"/>
      <c r="V1913" s="243"/>
      <c r="W1913" s="243">
        <v>2.5118864315095779</v>
      </c>
      <c r="X1913" s="243">
        <f>IF(W1913=0,V1913,W1913)</f>
        <v>2.5118864315095779</v>
      </c>
      <c r="Y1913" s="414">
        <v>7</v>
      </c>
      <c r="Z1913" s="37"/>
      <c r="AA1913" s="37"/>
      <c r="AB1913" s="37"/>
      <c r="AC1913" s="37"/>
      <c r="AD1913" s="37"/>
      <c r="AE1913" s="37"/>
      <c r="AF1913" s="37"/>
      <c r="AG1913" s="38">
        <v>2.89</v>
      </c>
      <c r="AH1913" s="243"/>
      <c r="AI1913" s="243"/>
      <c r="AJ1913" s="34"/>
      <c r="AK1913" s="34"/>
      <c r="AL1913" s="34"/>
      <c r="AM1913" s="34"/>
      <c r="AN1913" s="244">
        <v>-4.74</v>
      </c>
      <c r="AO1913" s="417">
        <v>16.07</v>
      </c>
      <c r="AP1913" s="417">
        <v>-5.01</v>
      </c>
      <c r="AQ1913" s="244" t="s">
        <v>6311</v>
      </c>
      <c r="AR1913" s="244" t="s">
        <v>6311</v>
      </c>
      <c r="AS1913" s="241" t="s">
        <v>120</v>
      </c>
      <c r="AT1913" s="39" t="s">
        <v>266</v>
      </c>
      <c r="AU1913" s="37">
        <v>2</v>
      </c>
      <c r="AV1913" s="37">
        <v>48</v>
      </c>
      <c r="AW1913" s="37">
        <v>48</v>
      </c>
      <c r="AX1913" s="37">
        <v>26</v>
      </c>
      <c r="AY1913" s="37" t="s">
        <v>8722</v>
      </c>
      <c r="AZ1913" s="37" t="s">
        <v>536</v>
      </c>
      <c r="BA1913" s="37">
        <v>10</v>
      </c>
      <c r="BB1913" s="36" t="s">
        <v>537</v>
      </c>
      <c r="BC1913" s="36" t="s">
        <v>538</v>
      </c>
      <c r="BD1913" s="36"/>
      <c r="BE1913" s="37" t="s">
        <v>649</v>
      </c>
      <c r="BF1913" s="37" t="s">
        <v>539</v>
      </c>
      <c r="BG1913" s="37" t="s">
        <v>539</v>
      </c>
      <c r="BH1913" s="37" t="s">
        <v>8722</v>
      </c>
      <c r="BI1913" s="248" t="s">
        <v>8722</v>
      </c>
      <c r="BJ1913" s="248" t="s">
        <v>8722</v>
      </c>
      <c r="BK1913" s="37"/>
      <c r="BL1913" s="243"/>
      <c r="BM1913" s="37" t="s">
        <v>1584</v>
      </c>
      <c r="BN1913" s="37"/>
      <c r="BO1913" s="37">
        <v>2.6027047716254147E-2</v>
      </c>
      <c r="BP1913" s="37"/>
      <c r="BQ1913" s="37"/>
      <c r="BR1913" s="37"/>
      <c r="BS1913" s="37"/>
      <c r="BT1913" s="37"/>
      <c r="BU1913" s="246"/>
      <c r="BV1913" s="37"/>
      <c r="BW1913" s="37"/>
      <c r="BX1913" s="37"/>
      <c r="BY1913" s="37"/>
      <c r="BZ1913" s="37"/>
      <c r="CA1913" s="37"/>
      <c r="CB1913" s="37"/>
      <c r="CC1913" s="37"/>
      <c r="CD1913" s="37"/>
      <c r="CE1913" s="37"/>
      <c r="CF1913" s="37"/>
      <c r="CG1913" s="37"/>
      <c r="CH1913" s="37"/>
      <c r="CI1913" s="243">
        <f>MIN(BN1913:CH1913)</f>
        <v>2.6027047716254147E-2</v>
      </c>
      <c r="CJ1913" s="243">
        <f>LOG10(CI1913)</f>
        <v>-1.5845750917161849</v>
      </c>
      <c r="CK1913" s="38" t="s">
        <v>404</v>
      </c>
      <c r="CL1913" s="247">
        <f>BL1913/CI1913</f>
        <v>0</v>
      </c>
      <c r="CM1913" s="247"/>
      <c r="CN1913" s="247"/>
      <c r="CO1913" s="36"/>
      <c r="CP1913" s="36" t="s">
        <v>1585</v>
      </c>
      <c r="CQ1913" s="241" t="s">
        <v>272</v>
      </c>
      <c r="CR1913" s="241"/>
      <c r="CS1913" s="33"/>
      <c r="CT1913" s="33"/>
      <c r="CU1913" s="250">
        <f>X1913/CI1913</f>
        <v>96.510616912608185</v>
      </c>
      <c r="CV1913" s="337"/>
      <c r="CW1913" s="330">
        <f>IF(CU1913&lt;2,0,1)</f>
        <v>1</v>
      </c>
      <c r="CX1913" s="330"/>
      <c r="CY1913" s="143" t="s">
        <v>5921</v>
      </c>
    </row>
    <row r="1914" spans="1:103" ht="11.25" customHeight="1" x14ac:dyDescent="0.2">
      <c r="A1914" s="72">
        <v>1912</v>
      </c>
      <c r="B1914" s="241">
        <v>491</v>
      </c>
      <c r="C1914" s="32" t="s">
        <v>1581</v>
      </c>
      <c r="D1914" s="32"/>
      <c r="E1914" s="40"/>
      <c r="F1914" s="40" t="s">
        <v>1582</v>
      </c>
      <c r="G1914" s="242">
        <v>52488365</v>
      </c>
      <c r="H1914" s="36"/>
      <c r="I1914" s="36" t="s">
        <v>7877</v>
      </c>
      <c r="J1914" s="36" t="s">
        <v>1583</v>
      </c>
      <c r="K1914" s="36"/>
      <c r="L1914" s="36"/>
      <c r="M1914" s="36"/>
      <c r="N1914" s="36"/>
      <c r="O1914" s="36"/>
      <c r="P1914" s="41"/>
      <c r="Q1914" s="41"/>
      <c r="R1914" s="41"/>
      <c r="S1914" s="41"/>
      <c r="T1914" s="37">
        <v>195.95</v>
      </c>
      <c r="U1914" s="243"/>
      <c r="V1914" s="243"/>
      <c r="W1914" s="243">
        <v>2.5118864315095779</v>
      </c>
      <c r="X1914" s="243">
        <f>IF(W1914=0,V1914,W1914)</f>
        <v>2.5118864315095779</v>
      </c>
      <c r="Y1914" s="414">
        <v>7</v>
      </c>
      <c r="Z1914" s="37"/>
      <c r="AA1914" s="37"/>
      <c r="AB1914" s="37"/>
      <c r="AC1914" s="37"/>
      <c r="AD1914" s="37"/>
      <c r="AE1914" s="37"/>
      <c r="AF1914" s="37"/>
      <c r="AG1914" s="38">
        <v>2.89</v>
      </c>
      <c r="AH1914" s="243"/>
      <c r="AI1914" s="243"/>
      <c r="AJ1914" s="34"/>
      <c r="AK1914" s="34"/>
      <c r="AL1914" s="34"/>
      <c r="AM1914" s="34"/>
      <c r="AN1914" s="244">
        <v>-4.74</v>
      </c>
      <c r="AO1914" s="417">
        <v>16.07</v>
      </c>
      <c r="AP1914" s="417">
        <v>-5.01</v>
      </c>
      <c r="AQ1914" s="244" t="s">
        <v>6311</v>
      </c>
      <c r="AR1914" s="244" t="s">
        <v>6311</v>
      </c>
      <c r="AS1914" s="241" t="s">
        <v>120</v>
      </c>
      <c r="AT1914" s="39" t="s">
        <v>266</v>
      </c>
      <c r="AU1914" s="37">
        <v>2</v>
      </c>
      <c r="AV1914" s="37">
        <v>48</v>
      </c>
      <c r="AW1914" s="37">
        <v>48</v>
      </c>
      <c r="AX1914" s="37">
        <v>26</v>
      </c>
      <c r="AY1914" s="37" t="s">
        <v>8722</v>
      </c>
      <c r="AZ1914" s="37" t="s">
        <v>1586</v>
      </c>
      <c r="BA1914" s="37">
        <v>60</v>
      </c>
      <c r="BB1914" s="36" t="s">
        <v>537</v>
      </c>
      <c r="BC1914" s="36" t="s">
        <v>538</v>
      </c>
      <c r="BD1914" s="36"/>
      <c r="BE1914" s="37" t="s">
        <v>271</v>
      </c>
      <c r="BF1914" s="37" t="s">
        <v>272</v>
      </c>
      <c r="BG1914" s="37" t="s">
        <v>272</v>
      </c>
      <c r="BH1914" s="37" t="s">
        <v>1587</v>
      </c>
      <c r="BI1914" s="248">
        <v>2.5516713447307987E-3</v>
      </c>
      <c r="BJ1914" s="248">
        <v>5.1033426894615978E-2</v>
      </c>
      <c r="BK1914" s="37"/>
      <c r="BL1914" s="243"/>
      <c r="BM1914" s="37" t="s">
        <v>1588</v>
      </c>
      <c r="BN1914" s="37"/>
      <c r="BO1914" s="37">
        <v>2.1944373564684868E-2</v>
      </c>
      <c r="BP1914" s="37"/>
      <c r="BQ1914" s="37"/>
      <c r="BR1914" s="37"/>
      <c r="BS1914" s="37"/>
      <c r="BT1914" s="37"/>
      <c r="BU1914" s="246"/>
      <c r="BV1914" s="37"/>
      <c r="BW1914" s="37"/>
      <c r="BX1914" s="37"/>
      <c r="BY1914" s="37"/>
      <c r="BZ1914" s="37"/>
      <c r="CA1914" s="37"/>
      <c r="CB1914" s="37"/>
      <c r="CC1914" s="37"/>
      <c r="CD1914" s="37"/>
      <c r="CE1914" s="37"/>
      <c r="CF1914" s="37"/>
      <c r="CG1914" s="37"/>
      <c r="CH1914" s="37"/>
      <c r="CI1914" s="243">
        <f>MIN(BN1914:CH1914)</f>
        <v>2.1944373564684868E-2</v>
      </c>
      <c r="CJ1914" s="243">
        <f>LOG10(CI1914)</f>
        <v>-1.6586768122345348</v>
      </c>
      <c r="CK1914" s="38">
        <f>BL1914/BJ1914</f>
        <v>0</v>
      </c>
      <c r="CL1914" s="247">
        <f>BL1914/CI1914</f>
        <v>0</v>
      </c>
      <c r="CM1914" s="247"/>
      <c r="CN1914" s="247"/>
      <c r="CO1914" s="36"/>
      <c r="CP1914" s="36" t="s">
        <v>1589</v>
      </c>
      <c r="CQ1914" s="241" t="s">
        <v>272</v>
      </c>
      <c r="CR1914" s="241"/>
      <c r="CS1914" s="33"/>
      <c r="CT1914" s="33"/>
      <c r="CU1914" s="250">
        <f>X1914/CI1914</f>
        <v>114.46608052425623</v>
      </c>
      <c r="CV1914" s="337">
        <f>X1914/BJ1914</f>
        <v>49.220414625430173</v>
      </c>
      <c r="CW1914" s="330">
        <f>IF(CU1914&lt;2,0,1)</f>
        <v>1</v>
      </c>
      <c r="CX1914" s="330"/>
      <c r="CY1914" s="143" t="s">
        <v>5921</v>
      </c>
    </row>
    <row r="1915" spans="1:103" ht="11.25" customHeight="1" x14ac:dyDescent="0.2">
      <c r="A1915" s="72">
        <v>1913</v>
      </c>
      <c r="B1915" s="241">
        <v>715</v>
      </c>
      <c r="C1915" s="32" t="s">
        <v>1359</v>
      </c>
      <c r="D1915" s="32"/>
      <c r="E1915" s="40"/>
      <c r="F1915" s="40" t="s">
        <v>1360</v>
      </c>
      <c r="G1915" s="242">
        <v>52645531</v>
      </c>
      <c r="H1915" s="36" t="s">
        <v>1361</v>
      </c>
      <c r="I1915" s="36" t="s">
        <v>7889</v>
      </c>
      <c r="J1915" s="36" t="s">
        <v>1362</v>
      </c>
      <c r="K1915" s="36" t="s">
        <v>1363</v>
      </c>
      <c r="L1915" s="36" t="s">
        <v>617</v>
      </c>
      <c r="M1915" s="36" t="s">
        <v>1364</v>
      </c>
      <c r="N1915" s="36" t="s">
        <v>6376</v>
      </c>
      <c r="O1915" s="36" t="s">
        <v>1365</v>
      </c>
      <c r="P1915" s="41"/>
      <c r="Q1915" s="41"/>
      <c r="R1915" s="41"/>
      <c r="S1915" s="41"/>
      <c r="T1915" s="37">
        <v>391.29</v>
      </c>
      <c r="U1915" s="243">
        <v>1.5333895576171125E-5</v>
      </c>
      <c r="V1915" s="243">
        <v>2.4909913363489995E-5</v>
      </c>
      <c r="W1915" s="243">
        <v>1.3182567385564047E-4</v>
      </c>
      <c r="X1915" s="243">
        <v>1.5333895576171125E-5</v>
      </c>
      <c r="Y1915" s="414">
        <v>7</v>
      </c>
      <c r="Z1915" s="37">
        <v>7.43</v>
      </c>
      <c r="AA1915" s="37">
        <v>6.5</v>
      </c>
      <c r="AB1915" s="37">
        <v>6.33</v>
      </c>
      <c r="AC1915" s="37">
        <v>0.93520000000000003</v>
      </c>
      <c r="AD1915" s="37">
        <v>6.47</v>
      </c>
      <c r="AE1915" s="37">
        <v>7.15</v>
      </c>
      <c r="AF1915" s="37">
        <f>IF(AA1915=0,AD1915,AA1915)</f>
        <v>6.5</v>
      </c>
      <c r="AG1915" s="38">
        <v>5.3</v>
      </c>
      <c r="AH1915" s="243">
        <v>2.8799999999999998E-7</v>
      </c>
      <c r="AI1915" s="243">
        <v>1.8700000000000001E-6</v>
      </c>
      <c r="AJ1915" s="34">
        <f>LOG10(AH1915*1000/(0.08206*298.15))</f>
        <v>-4.9291738385534209</v>
      </c>
      <c r="AK1915" s="34">
        <f>LOG10(AI1915*1000/(0.08206*298.15))</f>
        <v>-4.116724719776153</v>
      </c>
      <c r="AL1915" s="34">
        <f>IF(AK1915=0,AJ1915,AK1915)</f>
        <v>-4.116724719776153</v>
      </c>
      <c r="AM1915" s="34">
        <v>-12.603410000000002</v>
      </c>
      <c r="AN1915" s="244">
        <v>-4.92</v>
      </c>
      <c r="AO1915" s="417"/>
      <c r="AP1915" s="417"/>
      <c r="AQ1915" s="244" t="s">
        <v>6311</v>
      </c>
      <c r="AR1915" s="244" t="s">
        <v>6312</v>
      </c>
      <c r="AS1915" s="241" t="s">
        <v>6</v>
      </c>
      <c r="AT1915" s="39" t="s">
        <v>266</v>
      </c>
      <c r="AU1915" s="37">
        <v>2</v>
      </c>
      <c r="AV1915" s="37">
        <v>48</v>
      </c>
      <c r="AW1915" s="37">
        <v>48</v>
      </c>
      <c r="AX1915" s="37">
        <v>26</v>
      </c>
      <c r="AY1915" s="37" t="s">
        <v>647</v>
      </c>
      <c r="AZ1915" s="37" t="s">
        <v>536</v>
      </c>
      <c r="BA1915" s="37">
        <v>10</v>
      </c>
      <c r="BB1915" s="36" t="s">
        <v>1764</v>
      </c>
      <c r="BC1915" s="36" t="s">
        <v>538</v>
      </c>
      <c r="BD1915" s="36"/>
      <c r="BE1915" s="37" t="s">
        <v>1809</v>
      </c>
      <c r="BF1915" s="37" t="s">
        <v>539</v>
      </c>
      <c r="BG1915" s="37" t="s">
        <v>272</v>
      </c>
      <c r="BH1915" s="37" t="s">
        <v>4072</v>
      </c>
      <c r="BI1915" s="248">
        <v>2.5555839509327881E-4</v>
      </c>
      <c r="BJ1915" s="248">
        <v>5.1111679018655765E-2</v>
      </c>
      <c r="BK1915" s="37"/>
      <c r="BL1915" s="243">
        <f>10^((-0.8981*Z1915)+1.7108)</f>
        <v>1.0912317662371588E-5</v>
      </c>
      <c r="BM1915" s="37" t="s">
        <v>541</v>
      </c>
      <c r="BN1915" s="37"/>
      <c r="BO1915" s="37"/>
      <c r="BP1915" s="37"/>
      <c r="BQ1915" s="37"/>
      <c r="BR1915" s="37"/>
      <c r="BS1915" s="37"/>
      <c r="BT1915" s="37"/>
      <c r="BU1915" s="246"/>
      <c r="BV1915" s="37"/>
      <c r="BW1915" s="37"/>
      <c r="BX1915" s="37"/>
      <c r="BY1915" s="37"/>
      <c r="BZ1915" s="37"/>
      <c r="CA1915" s="37"/>
      <c r="CB1915" s="37"/>
      <c r="CC1915" s="37"/>
      <c r="CD1915" s="37"/>
      <c r="CE1915" s="37"/>
      <c r="CF1915" s="37"/>
      <c r="CG1915" s="37"/>
      <c r="CH1915" s="37"/>
      <c r="CI1915" s="243"/>
      <c r="CJ1915" s="243"/>
      <c r="CK1915" s="38">
        <f>BL1915/BJ1915</f>
        <v>2.134994950643001E-4</v>
      </c>
      <c r="CL1915" s="247"/>
      <c r="CM1915" s="247">
        <v>-5.1945587403267419</v>
      </c>
      <c r="CN1915" s="247">
        <f>BJ1915/(10^CM1915)</f>
        <v>7999.7955532839314</v>
      </c>
      <c r="CO1915" s="36" t="s">
        <v>4073</v>
      </c>
      <c r="CP1915" s="36" t="s">
        <v>1811</v>
      </c>
      <c r="CQ1915" s="241">
        <v>-4.6793572938459178</v>
      </c>
      <c r="CR1915" s="241">
        <f>10^(CJ1915-CQ1915)</f>
        <v>47792.229839290718</v>
      </c>
      <c r="CS1915" s="33"/>
      <c r="CT1915" s="33"/>
      <c r="CU1915" s="250"/>
      <c r="CV1915" s="337">
        <f>X1915/BJ1915</f>
        <v>3.0000766694778804E-4</v>
      </c>
      <c r="CW1915" s="330">
        <f>IF(CV1915&lt;1,0,1)</f>
        <v>0</v>
      </c>
      <c r="CX1915" s="330"/>
      <c r="CY1915" s="143" t="s">
        <v>5921</v>
      </c>
    </row>
    <row r="1916" spans="1:103" ht="11.25" customHeight="1" x14ac:dyDescent="0.2">
      <c r="A1916" s="72">
        <v>1914</v>
      </c>
      <c r="B1916" s="241">
        <v>2152</v>
      </c>
      <c r="C1916" s="32" t="s">
        <v>1359</v>
      </c>
      <c r="D1916" s="32"/>
      <c r="E1916" s="40"/>
      <c r="F1916" s="40" t="s">
        <v>1360</v>
      </c>
      <c r="G1916" s="242">
        <v>52645531</v>
      </c>
      <c r="H1916" s="41" t="s">
        <v>1361</v>
      </c>
      <c r="I1916" s="41" t="s">
        <v>7889</v>
      </c>
      <c r="J1916" s="41" t="s">
        <v>1362</v>
      </c>
      <c r="K1916" s="41" t="s">
        <v>1363</v>
      </c>
      <c r="L1916" s="41" t="s">
        <v>279</v>
      </c>
      <c r="M1916" s="41" t="s">
        <v>5887</v>
      </c>
      <c r="N1916" s="36" t="s">
        <v>6376</v>
      </c>
      <c r="O1916" s="41" t="s">
        <v>281</v>
      </c>
      <c r="P1916" s="41" t="s">
        <v>6178</v>
      </c>
      <c r="Q1916" s="41" t="s">
        <v>6173</v>
      </c>
      <c r="R1916" s="41" t="s">
        <v>6181</v>
      </c>
      <c r="S1916" s="41" t="s">
        <v>6176</v>
      </c>
      <c r="T1916" s="33">
        <v>391.3</v>
      </c>
      <c r="U1916" s="250">
        <v>1.5333895576171125E-5</v>
      </c>
      <c r="V1916" s="250">
        <v>2.4909913363489995E-5</v>
      </c>
      <c r="W1916" s="250">
        <v>1.3182567385564047E-4</v>
      </c>
      <c r="X1916" s="250">
        <v>1.5333895576171125E-5</v>
      </c>
      <c r="Y1916" s="415">
        <v>7</v>
      </c>
      <c r="Z1916" s="33">
        <v>7.43</v>
      </c>
      <c r="AA1916" s="33">
        <v>6.5</v>
      </c>
      <c r="AB1916" s="33">
        <v>6.33</v>
      </c>
      <c r="AC1916" s="33">
        <v>0.93520000000000003</v>
      </c>
      <c r="AD1916" s="33">
        <v>6.47</v>
      </c>
      <c r="AE1916" s="33">
        <v>7.15</v>
      </c>
      <c r="AF1916" s="33">
        <f>IF(AA1916=0,AD1916,AA1916)</f>
        <v>6.5</v>
      </c>
      <c r="AG1916" s="34">
        <v>5.3</v>
      </c>
      <c r="AH1916" s="250">
        <v>2.8799999999999998E-7</v>
      </c>
      <c r="AI1916" s="250">
        <v>1.8700000000000001E-6</v>
      </c>
      <c r="AJ1916" s="34">
        <f>LOG10(AH1916*1000/(0.08206*298.15))</f>
        <v>-4.9291738385534209</v>
      </c>
      <c r="AK1916" s="34">
        <f>LOG10(AI1916*1000/(0.08206*298.15))</f>
        <v>-4.116724719776153</v>
      </c>
      <c r="AL1916" s="34">
        <f>IF(AK1916=0,AJ1916,AK1916)</f>
        <v>-4.116724719776153</v>
      </c>
      <c r="AM1916" s="34">
        <v>-12.603410000000002</v>
      </c>
      <c r="AN1916" s="251">
        <v>-4.9192</v>
      </c>
      <c r="AO1916" s="417"/>
      <c r="AP1916" s="417"/>
      <c r="AQ1916" s="251" t="s">
        <v>6311</v>
      </c>
      <c r="AR1916" s="251" t="s">
        <v>6312</v>
      </c>
      <c r="AS1916" s="252" t="s">
        <v>5466</v>
      </c>
      <c r="AT1916" s="35" t="s">
        <v>266</v>
      </c>
      <c r="AU1916" s="33">
        <v>4</v>
      </c>
      <c r="AV1916" s="33">
        <v>144</v>
      </c>
      <c r="AW1916" s="33">
        <v>140</v>
      </c>
      <c r="AX1916" s="33">
        <v>28</v>
      </c>
      <c r="AY1916" s="33" t="s">
        <v>267</v>
      </c>
      <c r="AZ1916" s="33" t="s">
        <v>5888</v>
      </c>
      <c r="BA1916" s="33">
        <v>20</v>
      </c>
      <c r="BB1916" s="41" t="s">
        <v>5487</v>
      </c>
      <c r="BC1916" s="41" t="s">
        <v>5889</v>
      </c>
      <c r="BD1916" s="41" t="s">
        <v>8374</v>
      </c>
      <c r="BE1916" s="33" t="s">
        <v>5733</v>
      </c>
      <c r="BF1916" s="33"/>
      <c r="BG1916" s="33"/>
      <c r="BH1916" s="33" t="s">
        <v>5890</v>
      </c>
      <c r="BI1916" s="250">
        <v>0.25555839499999999</v>
      </c>
      <c r="BJ1916" s="250">
        <v>2.044467161</v>
      </c>
      <c r="BK1916" s="254" t="s">
        <v>5891</v>
      </c>
      <c r="BL1916" s="250">
        <f>10^((-0.8981*Z1916)+1.7108)</f>
        <v>1.0912317662371588E-5</v>
      </c>
      <c r="BM1916" s="33"/>
      <c r="BN1916" s="33"/>
      <c r="BO1916" s="33"/>
      <c r="BP1916" s="33"/>
      <c r="BQ1916" s="33"/>
      <c r="BR1916" s="33"/>
      <c r="BS1916" s="33"/>
      <c r="BT1916" s="33">
        <v>1.1947349999999999E-3</v>
      </c>
      <c r="BU1916" s="246"/>
      <c r="BV1916" s="33"/>
      <c r="BW1916" s="33"/>
      <c r="BX1916" s="33"/>
      <c r="BY1916" s="33"/>
      <c r="BZ1916" s="33"/>
      <c r="CA1916" s="33"/>
      <c r="CB1916" s="33"/>
      <c r="CC1916" s="33"/>
      <c r="CD1916" s="33"/>
      <c r="CE1916" s="33"/>
      <c r="CF1916" s="33"/>
      <c r="CG1916" s="33"/>
      <c r="CH1916" s="33"/>
      <c r="CI1916" s="250">
        <f t="shared" ref="CI1916:CI1922" si="593">MIN(BN1916:CH1916)</f>
        <v>1.1947349999999999E-3</v>
      </c>
      <c r="CJ1916" s="243">
        <f t="shared" ref="CJ1916:CJ1922" si="594">LOG10(CI1916)</f>
        <v>-2.9227284133772651</v>
      </c>
      <c r="CK1916" s="38">
        <f>BL1916/BJ1916</f>
        <v>5.337487375944987E-6</v>
      </c>
      <c r="CL1916" s="247">
        <f t="shared" ref="CL1916:CL1922" si="595">BL1916/CI1916</f>
        <v>9.1336720380432376E-3</v>
      </c>
      <c r="CM1916" s="247">
        <v>-5.1945587403267419</v>
      </c>
      <c r="CN1916" s="247">
        <f>BJ1916/(10^CM1916)</f>
        <v>319991.8221710762</v>
      </c>
      <c r="CO1916" s="41"/>
      <c r="CP1916" s="41" t="s">
        <v>5892</v>
      </c>
      <c r="CQ1916" s="241">
        <v>-4.6793572938459178</v>
      </c>
      <c r="CR1916" s="241">
        <f>10^(CJ1916-CQ1916)</f>
        <v>57.099049717044956</v>
      </c>
      <c r="CS1916" s="33"/>
      <c r="CT1916" s="33" t="s">
        <v>6310</v>
      </c>
      <c r="CU1916" s="250">
        <f t="shared" ref="CU1916:CU1922" si="596">X1916/CI1916</f>
        <v>1.283455793642199E-2</v>
      </c>
      <c r="CV1916" s="337">
        <f>X1916/BJ1916</f>
        <v>7.50019167276374E-6</v>
      </c>
      <c r="CW1916" s="330">
        <f t="shared" ref="CW1916:CW1922" si="597">IF(CU1916&lt;2,0,1)</f>
        <v>0</v>
      </c>
      <c r="CX1916" s="330" t="s">
        <v>539</v>
      </c>
      <c r="CY1916" s="143" t="s">
        <v>5921</v>
      </c>
    </row>
    <row r="1917" spans="1:103" ht="11.25" customHeight="1" x14ac:dyDescent="0.2">
      <c r="A1917" s="72">
        <v>1915</v>
      </c>
      <c r="B1917" s="241">
        <v>832</v>
      </c>
      <c r="C1917" s="32" t="s">
        <v>2378</v>
      </c>
      <c r="D1917" s="32"/>
      <c r="E1917" s="40"/>
      <c r="F1917" s="40" t="s">
        <v>2379</v>
      </c>
      <c r="G1917" s="242">
        <v>52722380</v>
      </c>
      <c r="H1917" s="36"/>
      <c r="I1917" s="36" t="s">
        <v>7877</v>
      </c>
      <c r="J1917" s="36" t="s">
        <v>2380</v>
      </c>
      <c r="K1917" s="36"/>
      <c r="L1917" s="36"/>
      <c r="M1917" s="36"/>
      <c r="N1917" s="36"/>
      <c r="O1917" s="36"/>
      <c r="P1917" s="41"/>
      <c r="Q1917" s="41"/>
      <c r="R1917" s="41"/>
      <c r="S1917" s="41"/>
      <c r="T1917" s="37">
        <v>154.63800000000001</v>
      </c>
      <c r="U1917" s="243"/>
      <c r="V1917" s="243"/>
      <c r="W1917" s="243">
        <v>239.88329190194901</v>
      </c>
      <c r="X1917" s="243">
        <f t="shared" ref="X1917:X1923" si="598">IF(W1917=0,V1917,W1917)</f>
        <v>239.88329190194901</v>
      </c>
      <c r="Y1917" s="414">
        <v>7</v>
      </c>
      <c r="Z1917" s="37"/>
      <c r="AA1917" s="37"/>
      <c r="AB1917" s="37"/>
      <c r="AC1917" s="37"/>
      <c r="AD1917" s="37"/>
      <c r="AE1917" s="37"/>
      <c r="AF1917" s="37"/>
      <c r="AG1917" s="38">
        <v>1.31</v>
      </c>
      <c r="AH1917" s="243"/>
      <c r="AI1917" s="243"/>
      <c r="AJ1917" s="34"/>
      <c r="AK1917" s="34"/>
      <c r="AL1917" s="34"/>
      <c r="AM1917" s="34"/>
      <c r="AN1917" s="244">
        <v>-3.67</v>
      </c>
      <c r="AO1917" s="417"/>
      <c r="AP1917" s="417"/>
      <c r="AQ1917" s="37" t="s">
        <v>6317</v>
      </c>
      <c r="AR1917" s="37" t="s">
        <v>6317</v>
      </c>
      <c r="AS1917" s="241" t="s">
        <v>6</v>
      </c>
      <c r="AT1917" s="39" t="s">
        <v>266</v>
      </c>
      <c r="AU1917" s="245" t="s">
        <v>2381</v>
      </c>
      <c r="AV1917" s="37">
        <v>48</v>
      </c>
      <c r="AW1917" s="37">
        <v>48</v>
      </c>
      <c r="AX1917" s="37">
        <v>26</v>
      </c>
      <c r="AY1917" s="37" t="s">
        <v>647</v>
      </c>
      <c r="AZ1917" s="37" t="s">
        <v>8722</v>
      </c>
      <c r="BA1917" s="37" t="s">
        <v>8722</v>
      </c>
      <c r="BB1917" s="36" t="s">
        <v>2382</v>
      </c>
      <c r="BC1917" s="36" t="s">
        <v>8722</v>
      </c>
      <c r="BD1917" s="36"/>
      <c r="BE1917" s="37" t="s">
        <v>1712</v>
      </c>
      <c r="BF1917" s="37" t="s">
        <v>2383</v>
      </c>
      <c r="BG1917" s="261" t="s">
        <v>2384</v>
      </c>
      <c r="BH1917" s="37" t="s">
        <v>272</v>
      </c>
      <c r="BI1917" s="243" t="s">
        <v>8722</v>
      </c>
      <c r="BJ1917" s="243" t="s">
        <v>8722</v>
      </c>
      <c r="BK1917" s="37"/>
      <c r="BL1917" s="243"/>
      <c r="BM1917" s="37" t="s">
        <v>1584</v>
      </c>
      <c r="BN1917" s="37"/>
      <c r="BO1917" s="276"/>
      <c r="BP1917" s="37"/>
      <c r="BQ1917" s="37"/>
      <c r="BR1917" s="37"/>
      <c r="BS1917" s="37"/>
      <c r="BT1917" s="37"/>
      <c r="BU1917" s="246"/>
      <c r="BV1917" s="37"/>
      <c r="BW1917" s="37"/>
      <c r="BX1917" s="37"/>
      <c r="BY1917" s="37"/>
      <c r="BZ1917" s="37"/>
      <c r="CA1917" s="37"/>
      <c r="CB1917" s="37"/>
      <c r="CC1917" s="37">
        <v>1.2933431627413701E-2</v>
      </c>
      <c r="CD1917" s="37"/>
      <c r="CE1917" s="37"/>
      <c r="CF1917" s="37"/>
      <c r="CG1917" s="37"/>
      <c r="CH1917" s="37"/>
      <c r="CI1917" s="243">
        <f t="shared" si="593"/>
        <v>1.2933431627413701E-2</v>
      </c>
      <c r="CJ1917" s="243">
        <f t="shared" si="594"/>
        <v>-1.8882862284748503</v>
      </c>
      <c r="CK1917" s="38" t="s">
        <v>404</v>
      </c>
      <c r="CL1917" s="247">
        <f t="shared" si="595"/>
        <v>0</v>
      </c>
      <c r="CM1917" s="247"/>
      <c r="CN1917" s="247"/>
      <c r="CO1917" s="36"/>
      <c r="CP1917" s="36" t="s">
        <v>2385</v>
      </c>
      <c r="CQ1917" s="241">
        <v>-2.2115926188499837</v>
      </c>
      <c r="CR1917" s="241">
        <f>10^(CJ1917-CQ1917)</f>
        <v>2.1052631578947367</v>
      </c>
      <c r="CS1917" s="33"/>
      <c r="CT1917" s="33"/>
      <c r="CU1917" s="250">
        <f t="shared" si="596"/>
        <v>18547.536246566797</v>
      </c>
      <c r="CV1917" s="337"/>
      <c r="CW1917" s="330">
        <f t="shared" si="597"/>
        <v>1</v>
      </c>
      <c r="CX1917" s="330" t="s">
        <v>539</v>
      </c>
      <c r="CY1917" s="143" t="s">
        <v>5921</v>
      </c>
    </row>
    <row r="1918" spans="1:103" ht="11.25" customHeight="1" x14ac:dyDescent="0.2">
      <c r="A1918" s="72">
        <v>1916</v>
      </c>
      <c r="B1918" s="241">
        <v>565</v>
      </c>
      <c r="C1918" s="32" t="s">
        <v>1735</v>
      </c>
      <c r="D1918" s="32"/>
      <c r="E1918" s="40"/>
      <c r="F1918" s="40" t="s">
        <v>1736</v>
      </c>
      <c r="G1918" s="242">
        <v>54381087</v>
      </c>
      <c r="H1918" s="36" t="s">
        <v>1737</v>
      </c>
      <c r="I1918" s="36" t="s">
        <v>8263</v>
      </c>
      <c r="J1918" s="36" t="s">
        <v>1738</v>
      </c>
      <c r="K1918" s="36" t="s">
        <v>349</v>
      </c>
      <c r="L1918" s="36"/>
      <c r="M1918" s="36"/>
      <c r="N1918" s="36"/>
      <c r="O1918" s="36"/>
      <c r="P1918" s="41"/>
      <c r="Q1918" s="41"/>
      <c r="R1918" s="41"/>
      <c r="S1918" s="41"/>
      <c r="T1918" s="37">
        <v>230.22</v>
      </c>
      <c r="U1918" s="243"/>
      <c r="V1918" s="243">
        <v>0.47997567544088265</v>
      </c>
      <c r="W1918" s="243">
        <v>0.33113112148259094</v>
      </c>
      <c r="X1918" s="243">
        <f t="shared" si="598"/>
        <v>0.33113112148259094</v>
      </c>
      <c r="Y1918" s="414">
        <v>6.84</v>
      </c>
      <c r="Z1918" s="37">
        <v>2.86</v>
      </c>
      <c r="AA1918" s="37"/>
      <c r="AB1918" s="37">
        <v>2.99</v>
      </c>
      <c r="AC1918" s="37">
        <v>0.81759999999999999</v>
      </c>
      <c r="AD1918" s="37">
        <v>3.06</v>
      </c>
      <c r="AE1918" s="37">
        <v>3.25</v>
      </c>
      <c r="AF1918" s="37">
        <f t="shared" ref="AF1918:AF1923" si="599">IF(AA1918=0,AD1918,AA1918)</f>
        <v>3.06</v>
      </c>
      <c r="AG1918" s="38">
        <v>2.48</v>
      </c>
      <c r="AH1918" s="243">
        <v>9.4400000000000002E-12</v>
      </c>
      <c r="AI1918" s="243"/>
      <c r="AJ1918" s="34">
        <f t="shared" ref="AJ1918:AJ1923" si="600">LOG10(AH1918*1000/(0.08206*298.15))</f>
        <v>-9.4135943320145827</v>
      </c>
      <c r="AK1918" s="34"/>
      <c r="AL1918" s="34">
        <f t="shared" ref="AL1918:AL1923" si="601">IF(AK1918=0,AJ1918,AK1918)</f>
        <v>-9.4135943320145827</v>
      </c>
      <c r="AM1918" s="34">
        <v>-13.618749999999999</v>
      </c>
      <c r="AN1918" s="244">
        <v>-8.43</v>
      </c>
      <c r="AO1918" s="417">
        <v>10.5</v>
      </c>
      <c r="AP1918" s="417">
        <v>-2.41</v>
      </c>
      <c r="AQ1918" s="244" t="s">
        <v>6311</v>
      </c>
      <c r="AR1918" s="244" t="s">
        <v>6311</v>
      </c>
      <c r="AS1918" s="241" t="s">
        <v>1154</v>
      </c>
      <c r="AT1918" s="39" t="s">
        <v>266</v>
      </c>
      <c r="AU1918" s="37">
        <v>2</v>
      </c>
      <c r="AV1918" s="37">
        <v>48</v>
      </c>
      <c r="AW1918" s="37">
        <v>48</v>
      </c>
      <c r="AX1918" s="37">
        <v>26.5</v>
      </c>
      <c r="AY1918" s="37" t="s">
        <v>8722</v>
      </c>
      <c r="AZ1918" s="37" t="s">
        <v>536</v>
      </c>
      <c r="BA1918" s="37">
        <v>20</v>
      </c>
      <c r="BB1918" s="36" t="s">
        <v>1644</v>
      </c>
      <c r="BC1918" s="36" t="s">
        <v>1584</v>
      </c>
      <c r="BD1918" s="36"/>
      <c r="BE1918" s="37" t="s">
        <v>649</v>
      </c>
      <c r="BF1918" s="37" t="s">
        <v>272</v>
      </c>
      <c r="BG1918" s="37" t="s">
        <v>272</v>
      </c>
      <c r="BH1918" s="37" t="s">
        <v>1739</v>
      </c>
      <c r="BI1918" s="248">
        <v>4.3436712709582143E-5</v>
      </c>
      <c r="BJ1918" s="248">
        <v>3.4749370167665709E-2</v>
      </c>
      <c r="BK1918" s="37"/>
      <c r="BL1918" s="243">
        <f t="shared" ref="BL1918:BL1923" si="602">10^((-0.8981*Z1918)+1.7108)</f>
        <v>0.13875032210551053</v>
      </c>
      <c r="BM1918" s="37" t="s">
        <v>1740</v>
      </c>
      <c r="BN1918" s="37"/>
      <c r="BO1918" s="37">
        <v>2.3455824863174357E-3</v>
      </c>
      <c r="BP1918" s="37">
        <v>8.252975414820607E-4</v>
      </c>
      <c r="BQ1918" s="37"/>
      <c r="BR1918" s="37"/>
      <c r="BS1918" s="37"/>
      <c r="BT1918" s="37"/>
      <c r="BU1918" s="246"/>
      <c r="BV1918" s="37"/>
      <c r="BW1918" s="37"/>
      <c r="BX1918" s="37"/>
      <c r="BY1918" s="37"/>
      <c r="BZ1918" s="37"/>
      <c r="CA1918" s="37"/>
      <c r="CB1918" s="37"/>
      <c r="CC1918" s="37"/>
      <c r="CD1918" s="37"/>
      <c r="CE1918" s="37"/>
      <c r="CF1918" s="37"/>
      <c r="CG1918" s="37"/>
      <c r="CH1918" s="37"/>
      <c r="CI1918" s="243">
        <f t="shared" si="593"/>
        <v>8.252975414820607E-4</v>
      </c>
      <c r="CJ1918" s="243">
        <f t="shared" si="594"/>
        <v>-3.0833894486291311</v>
      </c>
      <c r="CK1918" s="38">
        <f>BL1918/BJ1918</f>
        <v>3.9928873943913294</v>
      </c>
      <c r="CL1918" s="247">
        <f t="shared" si="595"/>
        <v>168.12157450068753</v>
      </c>
      <c r="CM1918" s="247"/>
      <c r="CN1918" s="247"/>
      <c r="CO1918" s="36"/>
      <c r="CP1918" s="36" t="s">
        <v>1741</v>
      </c>
      <c r="CQ1918" s="241" t="s">
        <v>272</v>
      </c>
      <c r="CR1918" s="241"/>
      <c r="CS1918" s="33"/>
      <c r="CT1918" s="33"/>
      <c r="CU1918" s="250">
        <f t="shared" si="596"/>
        <v>401.22635151432672</v>
      </c>
      <c r="CV1918" s="337">
        <f>X1918/BJ1918</f>
        <v>9.5291258484652612</v>
      </c>
      <c r="CW1918" s="330">
        <f t="shared" si="597"/>
        <v>1</v>
      </c>
      <c r="CX1918" s="330"/>
      <c r="CY1918" s="143" t="s">
        <v>5921</v>
      </c>
    </row>
    <row r="1919" spans="1:103" ht="11.25" customHeight="1" x14ac:dyDescent="0.2">
      <c r="A1919" s="72">
        <v>1917</v>
      </c>
      <c r="B1919" s="241">
        <v>2086</v>
      </c>
      <c r="C1919" s="32" t="s">
        <v>5761</v>
      </c>
      <c r="D1919" s="32"/>
      <c r="E1919" s="40"/>
      <c r="F1919" s="40" t="s">
        <v>5762</v>
      </c>
      <c r="G1919" s="242">
        <v>55486005</v>
      </c>
      <c r="H1919" s="41" t="s">
        <v>5763</v>
      </c>
      <c r="I1919" s="41" t="s">
        <v>8264</v>
      </c>
      <c r="J1919" s="41" t="s">
        <v>5764</v>
      </c>
      <c r="K1919" s="41" t="s">
        <v>5765</v>
      </c>
      <c r="L1919" s="41"/>
      <c r="M1919" s="41"/>
      <c r="N1919" s="36"/>
      <c r="O1919" s="41"/>
      <c r="P1919" s="41" t="s">
        <v>6184</v>
      </c>
      <c r="Q1919" s="41" t="s">
        <v>6179</v>
      </c>
      <c r="R1919" s="41" t="s">
        <v>6185</v>
      </c>
      <c r="S1919" s="41" t="s">
        <v>6176</v>
      </c>
      <c r="T1919" s="33">
        <v>322.45</v>
      </c>
      <c r="U1919" s="250"/>
      <c r="V1919" s="250">
        <v>7.6880136455264388E-4</v>
      </c>
      <c r="W1919" s="250">
        <v>3.3884415613920256E-2</v>
      </c>
      <c r="X1919" s="250">
        <f t="shared" si="598"/>
        <v>3.3884415613920256E-2</v>
      </c>
      <c r="Y1919" s="415">
        <v>7</v>
      </c>
      <c r="Z1919" s="33">
        <v>5.34</v>
      </c>
      <c r="AA1919" s="33"/>
      <c r="AB1919" s="33">
        <v>5.55</v>
      </c>
      <c r="AC1919" s="33">
        <v>0.51859999999999995</v>
      </c>
      <c r="AD1919" s="33">
        <v>5.53</v>
      </c>
      <c r="AE1919" s="33">
        <v>5.5</v>
      </c>
      <c r="AF1919" s="33">
        <f t="shared" si="599"/>
        <v>5.53</v>
      </c>
      <c r="AG1919" s="34">
        <v>5.53</v>
      </c>
      <c r="AH1919" s="250">
        <v>1.66E-8</v>
      </c>
      <c r="AI1919" s="250"/>
      <c r="AJ1919" s="34">
        <f t="shared" si="600"/>
        <v>-6.1684582382725965</v>
      </c>
      <c r="AK1919" s="34"/>
      <c r="AL1919" s="34">
        <f t="shared" si="601"/>
        <v>-6.1684582382725965</v>
      </c>
      <c r="AM1919" s="34">
        <v>-9.3272600000000008</v>
      </c>
      <c r="AN1919" s="251"/>
      <c r="AO1919" s="417"/>
      <c r="AP1919" s="417"/>
      <c r="AQ1919" s="251" t="s">
        <v>6311</v>
      </c>
      <c r="AR1919" s="251" t="s">
        <v>6311</v>
      </c>
      <c r="AS1919" s="252" t="s">
        <v>5466</v>
      </c>
      <c r="AT1919" s="35" t="s">
        <v>266</v>
      </c>
      <c r="AU1919" s="33">
        <v>4</v>
      </c>
      <c r="AV1919" s="33">
        <v>80</v>
      </c>
      <c r="AW1919" s="33">
        <v>76</v>
      </c>
      <c r="AX1919" s="33">
        <v>28</v>
      </c>
      <c r="AY1919" s="33" t="s">
        <v>267</v>
      </c>
      <c r="AZ1919" s="33" t="s">
        <v>5731</v>
      </c>
      <c r="BA1919" s="33">
        <v>20</v>
      </c>
      <c r="BB1919" s="41" t="s">
        <v>5732</v>
      </c>
      <c r="BC1919" s="41" t="s">
        <v>1584</v>
      </c>
      <c r="BD1919" s="41"/>
      <c r="BE1919" s="33" t="s">
        <v>5733</v>
      </c>
      <c r="BF1919" s="33"/>
      <c r="BG1919" s="33"/>
      <c r="BH1919" s="33" t="s">
        <v>5734</v>
      </c>
      <c r="BI1919" s="250"/>
      <c r="BJ1919" s="250"/>
      <c r="BK1919" s="254"/>
      <c r="BL1919" s="250">
        <f t="shared" si="602"/>
        <v>8.2214041898477554E-4</v>
      </c>
      <c r="BM1919" s="33"/>
      <c r="BN1919" s="33"/>
      <c r="BO1919" s="33"/>
      <c r="BP1919" s="33"/>
      <c r="BQ1919" s="33"/>
      <c r="BR1919" s="33"/>
      <c r="BS1919" s="33"/>
      <c r="BT1919" s="33"/>
      <c r="BU1919" s="246"/>
      <c r="BV1919" s="33"/>
      <c r="BW1919" s="33">
        <v>2.01E-2</v>
      </c>
      <c r="BX1919" s="33"/>
      <c r="BY1919" s="33"/>
      <c r="BZ1919" s="33"/>
      <c r="CA1919" s="33"/>
      <c r="CB1919" s="33"/>
      <c r="CC1919" s="33"/>
      <c r="CD1919" s="33"/>
      <c r="CE1919" s="33"/>
      <c r="CF1919" s="33"/>
      <c r="CG1919" s="33"/>
      <c r="CH1919" s="33"/>
      <c r="CI1919" s="250">
        <f t="shared" si="593"/>
        <v>2.01E-2</v>
      </c>
      <c r="CJ1919" s="243">
        <f t="shared" si="594"/>
        <v>-1.6968039425795112</v>
      </c>
      <c r="CK1919" s="38" t="s">
        <v>404</v>
      </c>
      <c r="CL1919" s="247">
        <f t="shared" si="595"/>
        <v>4.0902508407202762E-2</v>
      </c>
      <c r="CM1919" s="247"/>
      <c r="CN1919" s="247"/>
      <c r="CO1919" s="41"/>
      <c r="CP1919" s="41" t="s">
        <v>5735</v>
      </c>
      <c r="CQ1919" s="241" t="s">
        <v>272</v>
      </c>
      <c r="CR1919" s="241"/>
      <c r="CS1919" s="33"/>
      <c r="CT1919" s="33"/>
      <c r="CU1919" s="250">
        <f t="shared" si="596"/>
        <v>1.6857918215880725</v>
      </c>
      <c r="CV1919" s="337"/>
      <c r="CW1919" s="330">
        <f t="shared" si="597"/>
        <v>0</v>
      </c>
      <c r="CX1919" s="330" t="s">
        <v>539</v>
      </c>
      <c r="CY1919" s="143" t="s">
        <v>5921</v>
      </c>
    </row>
    <row r="1920" spans="1:103" ht="11.25" customHeight="1" x14ac:dyDescent="0.2">
      <c r="A1920" s="72">
        <v>1918</v>
      </c>
      <c r="B1920" s="241">
        <v>671</v>
      </c>
      <c r="C1920" s="32" t="s">
        <v>1928</v>
      </c>
      <c r="D1920" s="32"/>
      <c r="E1920" s="40"/>
      <c r="F1920" s="40" t="s">
        <v>1929</v>
      </c>
      <c r="G1920" s="242">
        <v>56296787</v>
      </c>
      <c r="H1920" s="36" t="s">
        <v>1930</v>
      </c>
      <c r="I1920" s="36" t="s">
        <v>1930</v>
      </c>
      <c r="J1920" s="36" t="s">
        <v>1931</v>
      </c>
      <c r="K1920" s="36" t="s">
        <v>300</v>
      </c>
      <c r="L1920" s="36" t="s">
        <v>279</v>
      </c>
      <c r="M1920" s="36" t="s">
        <v>6615</v>
      </c>
      <c r="N1920" s="36" t="s">
        <v>6376</v>
      </c>
      <c r="O1920" s="42" t="s">
        <v>6614</v>
      </c>
      <c r="P1920" s="41"/>
      <c r="Q1920" s="41"/>
      <c r="R1920" s="41"/>
      <c r="S1920" s="41"/>
      <c r="T1920" s="37">
        <v>309.33</v>
      </c>
      <c r="U1920" s="243"/>
      <c r="V1920" s="243">
        <v>0.19487278957747392</v>
      </c>
      <c r="W1920" s="243">
        <v>0.38018939632056115</v>
      </c>
      <c r="X1920" s="243">
        <f t="shared" si="598"/>
        <v>0.38018939632056115</v>
      </c>
      <c r="Y1920" s="414">
        <v>10.199999999999999</v>
      </c>
      <c r="Z1920" s="37">
        <v>4.6500000000000004</v>
      </c>
      <c r="AA1920" s="37">
        <v>3.82</v>
      </c>
      <c r="AB1920" s="37">
        <v>4.3499999999999996</v>
      </c>
      <c r="AC1920" s="37">
        <v>0.75390000000000001</v>
      </c>
      <c r="AD1920" s="37">
        <v>4.2699999999999996</v>
      </c>
      <c r="AE1920" s="37">
        <v>4.09</v>
      </c>
      <c r="AF1920" s="37">
        <f t="shared" si="599"/>
        <v>3.82</v>
      </c>
      <c r="AG1920" s="38">
        <v>3.94</v>
      </c>
      <c r="AH1920" s="243">
        <v>8.9000000000000003E-8</v>
      </c>
      <c r="AI1920" s="243"/>
      <c r="AJ1920" s="34">
        <f t="shared" si="600"/>
        <v>-5.4391763196677392</v>
      </c>
      <c r="AK1920" s="34"/>
      <c r="AL1920" s="34">
        <f t="shared" si="601"/>
        <v>-5.4391763196677392</v>
      </c>
      <c r="AM1920" s="34">
        <v>-8.9857899999999997</v>
      </c>
      <c r="AN1920" s="244">
        <v>-4.7</v>
      </c>
      <c r="AO1920" s="417"/>
      <c r="AP1920" s="417">
        <v>10.050000000000001</v>
      </c>
      <c r="AQ1920" s="244" t="s">
        <v>6311</v>
      </c>
      <c r="AR1920" s="244" t="s">
        <v>6311</v>
      </c>
      <c r="AS1920" s="241" t="s">
        <v>6</v>
      </c>
      <c r="AT1920" s="39" t="s">
        <v>266</v>
      </c>
      <c r="AU1920" s="37">
        <v>2</v>
      </c>
      <c r="AV1920" s="37">
        <v>48</v>
      </c>
      <c r="AW1920" s="37">
        <v>48</v>
      </c>
      <c r="AX1920" s="37">
        <v>26</v>
      </c>
      <c r="AY1920" s="37" t="s">
        <v>647</v>
      </c>
      <c r="AZ1920" s="37" t="s">
        <v>536</v>
      </c>
      <c r="BA1920" s="37">
        <v>10</v>
      </c>
      <c r="BB1920" s="36" t="s">
        <v>1764</v>
      </c>
      <c r="BC1920" s="36" t="s">
        <v>538</v>
      </c>
      <c r="BD1920" s="36"/>
      <c r="BE1920" s="37" t="s">
        <v>271</v>
      </c>
      <c r="BF1920" s="37" t="s">
        <v>272</v>
      </c>
      <c r="BG1920" s="37" t="s">
        <v>272</v>
      </c>
      <c r="BH1920" s="37" t="s">
        <v>272</v>
      </c>
      <c r="BI1920" s="248">
        <v>1.0102479552581386E-2</v>
      </c>
      <c r="BJ1920" s="248">
        <v>1.2931173827304174</v>
      </c>
      <c r="BK1920" s="37"/>
      <c r="BL1920" s="243">
        <f t="shared" si="602"/>
        <v>3.4247983059034789E-3</v>
      </c>
      <c r="BM1920" s="37" t="s">
        <v>541</v>
      </c>
      <c r="BN1920" s="37"/>
      <c r="BO1920" s="37">
        <v>7.6487893188504186E-2</v>
      </c>
      <c r="BP1920" s="37"/>
      <c r="BQ1920" s="37"/>
      <c r="BR1920" s="37"/>
      <c r="BS1920" s="37"/>
      <c r="BT1920" s="37"/>
      <c r="BU1920" s="246"/>
      <c r="BV1920" s="37"/>
      <c r="BW1920" s="37"/>
      <c r="BX1920" s="37"/>
      <c r="BY1920" s="37"/>
      <c r="BZ1920" s="37"/>
      <c r="CA1920" s="37"/>
      <c r="CB1920" s="37"/>
      <c r="CC1920" s="37"/>
      <c r="CD1920" s="37"/>
      <c r="CE1920" s="37"/>
      <c r="CF1920" s="37"/>
      <c r="CG1920" s="37"/>
      <c r="CH1920" s="37"/>
      <c r="CI1920" s="243">
        <f t="shared" si="593"/>
        <v>7.6487893188504186E-2</v>
      </c>
      <c r="CJ1920" s="243">
        <f t="shared" si="594"/>
        <v>-1.1164073012846387</v>
      </c>
      <c r="CK1920" s="38">
        <f>BL1920/BJ1920</f>
        <v>2.6484821499128076E-3</v>
      </c>
      <c r="CL1920" s="247">
        <f t="shared" si="595"/>
        <v>4.4775691460909685E-2</v>
      </c>
      <c r="CM1920" s="247"/>
      <c r="CN1920" s="247"/>
      <c r="CO1920" s="36"/>
      <c r="CP1920" s="36" t="s">
        <v>1921</v>
      </c>
      <c r="CQ1920" s="241">
        <v>-2.8231959451951756</v>
      </c>
      <c r="CR1920" s="241">
        <f>10^(CJ1920-CQ1920)</f>
        <v>50.908305766081419</v>
      </c>
      <c r="CS1920" s="33"/>
      <c r="CT1920" s="33"/>
      <c r="CU1920" s="250">
        <f t="shared" si="596"/>
        <v>4.9705826696466264</v>
      </c>
      <c r="CV1920" s="337">
        <f>X1920/BJ1920</f>
        <v>0.29400996490959791</v>
      </c>
      <c r="CW1920" s="330">
        <f t="shared" si="597"/>
        <v>1</v>
      </c>
      <c r="CX1920" s="330"/>
      <c r="CY1920" s="143" t="s">
        <v>5921</v>
      </c>
    </row>
    <row r="1921" spans="1:103" ht="11.25" customHeight="1" x14ac:dyDescent="0.2">
      <c r="A1921" s="72">
        <v>1919</v>
      </c>
      <c r="B1921" s="241">
        <v>673</v>
      </c>
      <c r="C1921" s="32" t="s">
        <v>1932</v>
      </c>
      <c r="D1921" s="32"/>
      <c r="E1921" s="40"/>
      <c r="F1921" s="40" t="s">
        <v>1933</v>
      </c>
      <c r="G1921" s="242">
        <v>56775883</v>
      </c>
      <c r="H1921" s="36" t="s">
        <v>1934</v>
      </c>
      <c r="I1921" s="36" t="s">
        <v>1934</v>
      </c>
      <c r="J1921" s="36" t="s">
        <v>1935</v>
      </c>
      <c r="K1921" s="36" t="s">
        <v>300</v>
      </c>
      <c r="L1921" s="36"/>
      <c r="M1921" s="36"/>
      <c r="N1921" s="36"/>
      <c r="O1921" s="36"/>
      <c r="P1921" s="41"/>
      <c r="Q1921" s="41"/>
      <c r="R1921" s="41"/>
      <c r="S1921" s="41"/>
      <c r="T1921" s="37">
        <v>317.22000000000003</v>
      </c>
      <c r="U1921" s="243"/>
      <c r="V1921" s="243">
        <v>0.60462770317130066</v>
      </c>
      <c r="W1921" s="243">
        <v>0.7079457843841378</v>
      </c>
      <c r="X1921" s="243">
        <f t="shared" si="598"/>
        <v>0.7079457843841378</v>
      </c>
      <c r="Y1921" s="414">
        <v>9.3800000000000008</v>
      </c>
      <c r="Z1921" s="37">
        <v>3.18</v>
      </c>
      <c r="AA1921" s="37"/>
      <c r="AB1921" s="37">
        <v>3.22</v>
      </c>
      <c r="AC1921" s="37">
        <v>0.70730000000000004</v>
      </c>
      <c r="AD1921" s="37">
        <v>3.69</v>
      </c>
      <c r="AE1921" s="37">
        <v>4.63</v>
      </c>
      <c r="AF1921" s="37">
        <f t="shared" si="599"/>
        <v>3.69</v>
      </c>
      <c r="AG1921" s="38">
        <v>-3.36</v>
      </c>
      <c r="AH1921" s="243">
        <v>5.01E-11</v>
      </c>
      <c r="AI1921" s="243"/>
      <c r="AJ1921" s="34">
        <f t="shared" si="600"/>
        <v>-8.6887286004454065</v>
      </c>
      <c r="AK1921" s="34"/>
      <c r="AL1921" s="34">
        <f t="shared" si="601"/>
        <v>-8.6887286004454065</v>
      </c>
      <c r="AM1921" s="34">
        <v>-12.006930000000001</v>
      </c>
      <c r="AN1921" s="244">
        <v>-28.8</v>
      </c>
      <c r="AO1921" s="417"/>
      <c r="AP1921" s="417">
        <v>7.91</v>
      </c>
      <c r="AQ1921" s="244" t="s">
        <v>6311</v>
      </c>
      <c r="AR1921" s="244" t="s">
        <v>6311</v>
      </c>
      <c r="AS1921" s="241" t="s">
        <v>6</v>
      </c>
      <c r="AT1921" s="39" t="s">
        <v>266</v>
      </c>
      <c r="AU1921" s="37">
        <v>2</v>
      </c>
      <c r="AV1921" s="37">
        <v>48</v>
      </c>
      <c r="AW1921" s="37">
        <v>48</v>
      </c>
      <c r="AX1921" s="37">
        <v>26</v>
      </c>
      <c r="AY1921" s="37" t="s">
        <v>647</v>
      </c>
      <c r="AZ1921" s="37" t="s">
        <v>536</v>
      </c>
      <c r="BA1921" s="37">
        <v>10</v>
      </c>
      <c r="BB1921" s="36" t="s">
        <v>1764</v>
      </c>
      <c r="BC1921" s="36" t="s">
        <v>538</v>
      </c>
      <c r="BD1921" s="36"/>
      <c r="BE1921" s="37" t="s">
        <v>271</v>
      </c>
      <c r="BF1921" s="37" t="s">
        <v>272</v>
      </c>
      <c r="BG1921" s="37" t="s">
        <v>272</v>
      </c>
      <c r="BH1921" s="37" t="s">
        <v>272</v>
      </c>
      <c r="BI1921" s="248">
        <v>1.4777921381962612E-2</v>
      </c>
      <c r="BJ1921" s="248">
        <v>1.8913721905242251</v>
      </c>
      <c r="BK1921" s="37"/>
      <c r="BL1921" s="243">
        <f t="shared" si="602"/>
        <v>7.1588291858005582E-2</v>
      </c>
      <c r="BM1921" s="37" t="s">
        <v>541</v>
      </c>
      <c r="BN1921" s="37"/>
      <c r="BO1921" s="37">
        <v>0.10096775210415156</v>
      </c>
      <c r="BP1921" s="37"/>
      <c r="BQ1921" s="37"/>
      <c r="BR1921" s="37"/>
      <c r="BS1921" s="37"/>
      <c r="BT1921" s="37"/>
      <c r="BU1921" s="246"/>
      <c r="BV1921" s="37"/>
      <c r="BW1921" s="37"/>
      <c r="BX1921" s="37"/>
      <c r="BY1921" s="37"/>
      <c r="BZ1921" s="37"/>
      <c r="CA1921" s="37"/>
      <c r="CB1921" s="37"/>
      <c r="CC1921" s="37"/>
      <c r="CD1921" s="37"/>
      <c r="CE1921" s="37"/>
      <c r="CF1921" s="37"/>
      <c r="CG1921" s="37"/>
      <c r="CH1921" s="37"/>
      <c r="CI1921" s="243">
        <f t="shared" si="593"/>
        <v>0.10096775210415156</v>
      </c>
      <c r="CJ1921" s="243">
        <f t="shared" si="594"/>
        <v>-0.99581731254914141</v>
      </c>
      <c r="CK1921" s="38">
        <f>BL1921/BJ1921</f>
        <v>3.7849923043525191E-2</v>
      </c>
      <c r="CL1921" s="247">
        <f t="shared" si="595"/>
        <v>0.70902134955089324</v>
      </c>
      <c r="CM1921" s="247"/>
      <c r="CN1921" s="247"/>
      <c r="CO1921" s="36"/>
      <c r="CP1921" s="36" t="s">
        <v>1921</v>
      </c>
      <c r="CQ1921" s="241" t="s">
        <v>272</v>
      </c>
      <c r="CR1921" s="241"/>
      <c r="CS1921" s="33"/>
      <c r="CT1921" s="33"/>
      <c r="CU1921" s="250">
        <f t="shared" si="596"/>
        <v>7.0116029091532956</v>
      </c>
      <c r="CV1921" s="337">
        <f>X1921/BJ1921</f>
        <v>0.37430273530030012</v>
      </c>
      <c r="CW1921" s="330">
        <f t="shared" si="597"/>
        <v>1</v>
      </c>
      <c r="CX1921" s="330"/>
      <c r="CY1921" s="143" t="s">
        <v>5921</v>
      </c>
    </row>
    <row r="1922" spans="1:103" ht="11.25" customHeight="1" x14ac:dyDescent="0.2">
      <c r="A1922" s="72">
        <v>1920</v>
      </c>
      <c r="B1922" s="241">
        <v>2089</v>
      </c>
      <c r="C1922" s="32" t="s">
        <v>5776</v>
      </c>
      <c r="D1922" s="32"/>
      <c r="E1922" s="40"/>
      <c r="F1922" s="40" t="s">
        <v>5777</v>
      </c>
      <c r="G1922" s="242">
        <v>58186279</v>
      </c>
      <c r="H1922" s="41" t="s">
        <v>5778</v>
      </c>
      <c r="I1922" s="41" t="s">
        <v>8265</v>
      </c>
      <c r="J1922" s="41" t="s">
        <v>5779</v>
      </c>
      <c r="K1922" s="41" t="s">
        <v>5765</v>
      </c>
      <c r="L1922" s="41"/>
      <c r="M1922" s="41"/>
      <c r="N1922" s="36"/>
      <c r="O1922" s="41"/>
      <c r="P1922" s="41"/>
      <c r="Q1922" s="41"/>
      <c r="R1922" s="41"/>
      <c r="S1922" s="41"/>
      <c r="T1922" s="33">
        <v>338.21</v>
      </c>
      <c r="U1922" s="250"/>
      <c r="V1922" s="250">
        <v>3.3943407941811304E-2</v>
      </c>
      <c r="W1922" s="250">
        <v>0.50118723362727213</v>
      </c>
      <c r="X1922" s="250">
        <f t="shared" si="598"/>
        <v>0.50118723362727213</v>
      </c>
      <c r="Y1922" s="415">
        <v>7</v>
      </c>
      <c r="Z1922" s="33">
        <v>3.88</v>
      </c>
      <c r="AA1922" s="33"/>
      <c r="AB1922" s="33">
        <v>3.34</v>
      </c>
      <c r="AC1922" s="33">
        <v>0.47620000000000001</v>
      </c>
      <c r="AD1922" s="33">
        <v>3.41</v>
      </c>
      <c r="AE1922" s="33">
        <v>3.49</v>
      </c>
      <c r="AF1922" s="33">
        <f t="shared" si="599"/>
        <v>3.41</v>
      </c>
      <c r="AG1922" s="34">
        <v>3.41</v>
      </c>
      <c r="AH1922" s="250">
        <v>6.0700000000000004E-13</v>
      </c>
      <c r="AI1922" s="250"/>
      <c r="AJ1922" s="34">
        <f t="shared" si="600"/>
        <v>-10.605377635237394</v>
      </c>
      <c r="AK1922" s="34"/>
      <c r="AL1922" s="34">
        <f t="shared" si="601"/>
        <v>-10.605377635237394</v>
      </c>
      <c r="AM1922" s="34">
        <v>-12.96935</v>
      </c>
      <c r="AN1922" s="251"/>
      <c r="AO1922" s="417">
        <v>15.2</v>
      </c>
      <c r="AP1922" s="417"/>
      <c r="AQ1922" s="251" t="s">
        <v>6311</v>
      </c>
      <c r="AR1922" s="251" t="s">
        <v>6311</v>
      </c>
      <c r="AS1922" s="252" t="s">
        <v>5466</v>
      </c>
      <c r="AT1922" s="35" t="s">
        <v>266</v>
      </c>
      <c r="AU1922" s="33">
        <v>4</v>
      </c>
      <c r="AV1922" s="33">
        <v>80</v>
      </c>
      <c r="AW1922" s="33">
        <v>76</v>
      </c>
      <c r="AX1922" s="33">
        <v>28</v>
      </c>
      <c r="AY1922" s="33" t="s">
        <v>267</v>
      </c>
      <c r="AZ1922" s="33" t="s">
        <v>5731</v>
      </c>
      <c r="BA1922" s="33">
        <v>20</v>
      </c>
      <c r="BB1922" s="41" t="s">
        <v>5732</v>
      </c>
      <c r="BC1922" s="41" t="s">
        <v>1584</v>
      </c>
      <c r="BD1922" s="41"/>
      <c r="BE1922" s="33" t="s">
        <v>5733</v>
      </c>
      <c r="BF1922" s="33"/>
      <c r="BG1922" s="33"/>
      <c r="BH1922" s="33" t="s">
        <v>5734</v>
      </c>
      <c r="BI1922" s="250"/>
      <c r="BJ1922" s="250"/>
      <c r="BK1922" s="254"/>
      <c r="BL1922" s="250">
        <f t="shared" si="602"/>
        <v>1.6833406070887583E-2</v>
      </c>
      <c r="BM1922" s="33"/>
      <c r="BN1922" s="33"/>
      <c r="BO1922" s="33"/>
      <c r="BP1922" s="33"/>
      <c r="BQ1922" s="33"/>
      <c r="BR1922" s="33"/>
      <c r="BS1922" s="33"/>
      <c r="BT1922" s="33"/>
      <c r="BU1922" s="246"/>
      <c r="BV1922" s="33">
        <v>7.3600000000000002E-3</v>
      </c>
      <c r="BW1922" s="33">
        <v>5.6499999999999996E-3</v>
      </c>
      <c r="BX1922" s="33"/>
      <c r="BY1922" s="33"/>
      <c r="BZ1922" s="33"/>
      <c r="CA1922" s="33"/>
      <c r="CB1922" s="33"/>
      <c r="CC1922" s="33"/>
      <c r="CD1922" s="33"/>
      <c r="CE1922" s="33"/>
      <c r="CF1922" s="33"/>
      <c r="CG1922" s="33"/>
      <c r="CH1922" s="33"/>
      <c r="CI1922" s="250">
        <f t="shared" si="593"/>
        <v>5.6499999999999996E-3</v>
      </c>
      <c r="CJ1922" s="243">
        <f t="shared" si="594"/>
        <v>-2.2479515521805613</v>
      </c>
      <c r="CK1922" s="38" t="s">
        <v>404</v>
      </c>
      <c r="CL1922" s="247">
        <f t="shared" si="595"/>
        <v>2.9793639063517849</v>
      </c>
      <c r="CM1922" s="247"/>
      <c r="CN1922" s="247"/>
      <c r="CO1922" s="41"/>
      <c r="CP1922" s="41" t="s">
        <v>5735</v>
      </c>
      <c r="CQ1922" s="241" t="s">
        <v>272</v>
      </c>
      <c r="CR1922" s="241"/>
      <c r="CS1922" s="33"/>
      <c r="CT1922" s="33"/>
      <c r="CU1922" s="250">
        <f t="shared" si="596"/>
        <v>88.705705066773831</v>
      </c>
      <c r="CV1922" s="337"/>
      <c r="CW1922" s="330">
        <f t="shared" si="597"/>
        <v>1</v>
      </c>
      <c r="CX1922" s="330" t="s">
        <v>539</v>
      </c>
      <c r="CY1922" s="143" t="s">
        <v>5921</v>
      </c>
    </row>
    <row r="1923" spans="1:103" ht="11.25" customHeight="1" x14ac:dyDescent="0.2">
      <c r="A1923" s="72">
        <v>1921</v>
      </c>
      <c r="B1923" s="241">
        <v>846</v>
      </c>
      <c r="C1923" s="32" t="s">
        <v>4094</v>
      </c>
      <c r="D1923" s="32"/>
      <c r="E1923" s="40"/>
      <c r="F1923" s="40" t="s">
        <v>4095</v>
      </c>
      <c r="G1923" s="242">
        <v>59729338</v>
      </c>
      <c r="H1923" s="36" t="s">
        <v>4096</v>
      </c>
      <c r="I1923" s="36" t="s">
        <v>8266</v>
      </c>
      <c r="J1923" s="36" t="s">
        <v>4097</v>
      </c>
      <c r="K1923" s="36" t="s">
        <v>300</v>
      </c>
      <c r="L1923" s="42" t="s">
        <v>279</v>
      </c>
      <c r="M1923" s="36" t="s">
        <v>4098</v>
      </c>
      <c r="N1923" s="36"/>
      <c r="O1923" s="36" t="s">
        <v>281</v>
      </c>
      <c r="P1923" s="41"/>
      <c r="Q1923" s="41"/>
      <c r="R1923" s="41"/>
      <c r="S1923" s="41"/>
      <c r="T1923" s="37">
        <v>324.39</v>
      </c>
      <c r="U1923" s="243"/>
      <c r="V1923" s="243">
        <v>9.5841425444680786E-2</v>
      </c>
      <c r="W1923" s="243">
        <v>0.14454397707459266</v>
      </c>
      <c r="X1923" s="243">
        <f t="shared" si="598"/>
        <v>0.14454397707459266</v>
      </c>
      <c r="Y1923" s="414">
        <v>9.75</v>
      </c>
      <c r="Z1923" s="37">
        <v>3.74</v>
      </c>
      <c r="AA1923" s="37"/>
      <c r="AB1923" s="37">
        <v>3.72</v>
      </c>
      <c r="AC1923" s="37">
        <v>0.75970000000000004</v>
      </c>
      <c r="AD1923" s="37">
        <v>3.39</v>
      </c>
      <c r="AE1923" s="37">
        <v>2.5099999999999998</v>
      </c>
      <c r="AF1923" s="37">
        <f t="shared" si="599"/>
        <v>3.39</v>
      </c>
      <c r="AG1923" s="38">
        <v>3.98</v>
      </c>
      <c r="AH1923" s="243">
        <v>2.6899999999999999E-11</v>
      </c>
      <c r="AI1923" s="243"/>
      <c r="AJ1923" s="34">
        <f t="shared" si="600"/>
        <v>-8.958814046310243</v>
      </c>
      <c r="AK1923" s="34"/>
      <c r="AL1923" s="34">
        <f t="shared" si="601"/>
        <v>-8.958814046310243</v>
      </c>
      <c r="AM1923" s="34">
        <v>-12.860900000000001</v>
      </c>
      <c r="AN1923" s="244">
        <v>-8.5500000000000007</v>
      </c>
      <c r="AO1923" s="417"/>
      <c r="AP1923" s="417">
        <v>9.57</v>
      </c>
      <c r="AQ1923" s="244" t="s">
        <v>6311</v>
      </c>
      <c r="AR1923" s="244" t="s">
        <v>6311</v>
      </c>
      <c r="AS1923" s="241" t="s">
        <v>6</v>
      </c>
      <c r="AT1923" s="39" t="s">
        <v>266</v>
      </c>
      <c r="AU1923" s="37">
        <v>2</v>
      </c>
      <c r="AV1923" s="37">
        <v>48</v>
      </c>
      <c r="AW1923" s="37">
        <v>48</v>
      </c>
      <c r="AX1923" s="37">
        <v>26</v>
      </c>
      <c r="AY1923" s="37" t="s">
        <v>647</v>
      </c>
      <c r="AZ1923" s="37" t="s">
        <v>536</v>
      </c>
      <c r="BA1923" s="37">
        <v>10</v>
      </c>
      <c r="BB1923" s="36" t="s">
        <v>1764</v>
      </c>
      <c r="BC1923" s="36" t="s">
        <v>538</v>
      </c>
      <c r="BD1923" s="36"/>
      <c r="BE1923" s="37" t="s">
        <v>271</v>
      </c>
      <c r="BF1923" s="37" t="s">
        <v>272</v>
      </c>
      <c r="BG1923" s="37" t="s">
        <v>272</v>
      </c>
      <c r="BH1923" s="37" t="s">
        <v>272</v>
      </c>
      <c r="BI1923" s="243" t="s">
        <v>8722</v>
      </c>
      <c r="BJ1923" s="243" t="s">
        <v>8722</v>
      </c>
      <c r="BK1923" s="37"/>
      <c r="BL1923" s="243">
        <f t="shared" si="602"/>
        <v>2.2485678663901314E-2</v>
      </c>
      <c r="BM1923" s="37" t="s">
        <v>541</v>
      </c>
      <c r="BN1923" s="37"/>
      <c r="BO1923" s="37"/>
      <c r="BP1923" s="37"/>
      <c r="BQ1923" s="37"/>
      <c r="BR1923" s="37"/>
      <c r="BS1923" s="37"/>
      <c r="BT1923" s="37"/>
      <c r="BU1923" s="246"/>
      <c r="BV1923" s="37"/>
      <c r="BW1923" s="37"/>
      <c r="BX1923" s="37"/>
      <c r="BY1923" s="37"/>
      <c r="BZ1923" s="37"/>
      <c r="CA1923" s="37"/>
      <c r="CB1923" s="37"/>
      <c r="CC1923" s="37"/>
      <c r="CD1923" s="37"/>
      <c r="CE1923" s="37"/>
      <c r="CF1923" s="37"/>
      <c r="CG1923" s="37"/>
      <c r="CH1923" s="37"/>
      <c r="CI1923" s="243"/>
      <c r="CJ1923" s="243"/>
      <c r="CK1923" s="38" t="s">
        <v>404</v>
      </c>
      <c r="CL1923" s="247"/>
      <c r="CM1923" s="247"/>
      <c r="CN1923" s="247"/>
      <c r="CO1923" s="36" t="s">
        <v>4073</v>
      </c>
      <c r="CP1923" s="36" t="s">
        <v>1921</v>
      </c>
      <c r="CQ1923" s="241" t="s">
        <v>272</v>
      </c>
      <c r="CR1923" s="241"/>
      <c r="CS1923" s="33"/>
      <c r="CT1923" s="33"/>
      <c r="CU1923" s="250" t="s">
        <v>6310</v>
      </c>
      <c r="CV1923" s="337" t="s">
        <v>6310</v>
      </c>
      <c r="CW1923" s="330">
        <f>IF(CV1923&lt;1,0,1)</f>
        <v>1</v>
      </c>
      <c r="CX1923" s="330"/>
      <c r="CY1923" s="143" t="s">
        <v>5921</v>
      </c>
    </row>
    <row r="1924" spans="1:103" ht="11.25" customHeight="1" x14ac:dyDescent="0.2">
      <c r="A1924" s="72">
        <v>1922</v>
      </c>
      <c r="B1924" s="241">
        <v>833</v>
      </c>
      <c r="C1924" s="32" t="s">
        <v>2386</v>
      </c>
      <c r="D1924" s="32"/>
      <c r="E1924" s="40"/>
      <c r="F1924" s="40" t="s">
        <v>2387</v>
      </c>
      <c r="G1924" s="242">
        <v>61711259</v>
      </c>
      <c r="H1924" s="36"/>
      <c r="I1924" s="36"/>
      <c r="J1924" s="36"/>
      <c r="K1924" s="36"/>
      <c r="L1924" s="36"/>
      <c r="M1924" s="36" t="s">
        <v>8487</v>
      </c>
      <c r="N1924" s="36"/>
      <c r="O1924" s="36"/>
      <c r="P1924" s="41"/>
      <c r="Q1924" s="41"/>
      <c r="R1924" s="41"/>
      <c r="S1924" s="41"/>
      <c r="T1924" s="37" t="s">
        <v>404</v>
      </c>
      <c r="U1924" s="243"/>
      <c r="V1924" s="243"/>
      <c r="W1924" s="243"/>
      <c r="X1924" s="243"/>
      <c r="Y1924" s="414"/>
      <c r="Z1924" s="37"/>
      <c r="AA1924" s="37"/>
      <c r="AB1924" s="37"/>
      <c r="AC1924" s="37"/>
      <c r="AD1924" s="37"/>
      <c r="AE1924" s="37"/>
      <c r="AF1924" s="37"/>
      <c r="AG1924" s="38" t="s">
        <v>5921</v>
      </c>
      <c r="AH1924" s="243"/>
      <c r="AI1924" s="243"/>
      <c r="AJ1924" s="34"/>
      <c r="AK1924" s="34"/>
      <c r="AL1924" s="34"/>
      <c r="AM1924" s="34"/>
      <c r="AN1924" s="244"/>
      <c r="AO1924" s="417"/>
      <c r="AP1924" s="417"/>
      <c r="AQ1924" s="37" t="s">
        <v>6317</v>
      </c>
      <c r="AR1924" s="37" t="s">
        <v>6317</v>
      </c>
      <c r="AS1924" s="241" t="s">
        <v>6</v>
      </c>
      <c r="AT1924" s="39" t="s">
        <v>266</v>
      </c>
      <c r="AU1924" s="245"/>
      <c r="AV1924" s="245">
        <v>0</v>
      </c>
      <c r="AW1924" s="37">
        <v>48</v>
      </c>
      <c r="AX1924" s="37">
        <v>25</v>
      </c>
      <c r="AY1924" s="37" t="s">
        <v>8722</v>
      </c>
      <c r="AZ1924" s="37" t="s">
        <v>2263</v>
      </c>
      <c r="BA1924" s="37">
        <v>20</v>
      </c>
      <c r="BB1924" s="36" t="s">
        <v>1764</v>
      </c>
      <c r="BC1924" s="36" t="s">
        <v>2264</v>
      </c>
      <c r="BD1924" s="36"/>
      <c r="BE1924" s="37" t="s">
        <v>2265</v>
      </c>
      <c r="BF1924" s="37" t="s">
        <v>2266</v>
      </c>
      <c r="BG1924" s="37" t="s">
        <v>2266</v>
      </c>
      <c r="BH1924" s="37" t="s">
        <v>272</v>
      </c>
      <c r="BI1924" s="243" t="s">
        <v>8722</v>
      </c>
      <c r="BJ1924" s="243" t="s">
        <v>8722</v>
      </c>
      <c r="BK1924" s="37" t="s">
        <v>2267</v>
      </c>
      <c r="BL1924" s="243"/>
      <c r="BM1924" s="37" t="s">
        <v>1584</v>
      </c>
      <c r="BN1924" s="37"/>
      <c r="BO1924" s="37" t="s">
        <v>2388</v>
      </c>
      <c r="BP1924" s="37"/>
      <c r="BQ1924" s="37"/>
      <c r="BR1924" s="37"/>
      <c r="BS1924" s="37"/>
      <c r="BT1924" s="37"/>
      <c r="BU1924" s="246"/>
      <c r="BV1924" s="37"/>
      <c r="BW1924" s="37"/>
      <c r="BX1924" s="37"/>
      <c r="BY1924" s="37"/>
      <c r="BZ1924" s="37"/>
      <c r="CA1924" s="37"/>
      <c r="CB1924" s="37"/>
      <c r="CC1924" s="37"/>
      <c r="CD1924" s="37"/>
      <c r="CE1924" s="37"/>
      <c r="CF1924" s="37"/>
      <c r="CG1924" s="37"/>
      <c r="CH1924" s="37"/>
      <c r="CI1924" s="243"/>
      <c r="CJ1924" s="243"/>
      <c r="CK1924" s="38" t="s">
        <v>404</v>
      </c>
      <c r="CL1924" s="247"/>
      <c r="CM1924" s="247"/>
      <c r="CN1924" s="247"/>
      <c r="CO1924" s="36"/>
      <c r="CP1924" s="36" t="s">
        <v>2268</v>
      </c>
      <c r="CQ1924" s="241">
        <v>0</v>
      </c>
      <c r="CR1924" s="241">
        <f>10^(CJ1924-CQ1924)</f>
        <v>1</v>
      </c>
      <c r="CS1924" s="33"/>
      <c r="CT1924" s="33" t="s">
        <v>6310</v>
      </c>
      <c r="CU1924" s="250" t="s">
        <v>6310</v>
      </c>
      <c r="CV1924" s="337" t="s">
        <v>6310</v>
      </c>
      <c r="CW1924" s="330">
        <f>IF(CV1924&lt;1,0,1)</f>
        <v>1</v>
      </c>
      <c r="CX1924" s="330" t="s">
        <v>539</v>
      </c>
      <c r="CY1924" s="143" t="s">
        <v>5921</v>
      </c>
    </row>
    <row r="1925" spans="1:103" ht="11.25" customHeight="1" x14ac:dyDescent="0.2">
      <c r="A1925" s="72">
        <v>1923</v>
      </c>
      <c r="B1925" s="241">
        <v>834</v>
      </c>
      <c r="C1925" s="32" t="s">
        <v>2389</v>
      </c>
      <c r="D1925" s="32"/>
      <c r="E1925" s="40"/>
      <c r="F1925" s="40" t="s">
        <v>2390</v>
      </c>
      <c r="G1925" s="242">
        <v>61791660</v>
      </c>
      <c r="H1925" s="36"/>
      <c r="I1925" s="36"/>
      <c r="J1925" s="36"/>
      <c r="K1925" s="36"/>
      <c r="L1925" s="36"/>
      <c r="M1925" s="36"/>
      <c r="N1925" s="36"/>
      <c r="O1925" s="36"/>
      <c r="P1925" s="41"/>
      <c r="Q1925" s="41"/>
      <c r="R1925" s="41"/>
      <c r="S1925" s="41"/>
      <c r="T1925" s="37" t="s">
        <v>404</v>
      </c>
      <c r="U1925" s="243"/>
      <c r="V1925" s="243"/>
      <c r="W1925" s="243"/>
      <c r="X1925" s="243"/>
      <c r="Y1925" s="414"/>
      <c r="Z1925" s="37"/>
      <c r="AA1925" s="37"/>
      <c r="AB1925" s="37"/>
      <c r="AC1925" s="37"/>
      <c r="AD1925" s="37"/>
      <c r="AE1925" s="37"/>
      <c r="AF1925" s="37"/>
      <c r="AG1925" s="38" t="s">
        <v>5921</v>
      </c>
      <c r="AH1925" s="243"/>
      <c r="AI1925" s="243"/>
      <c r="AJ1925" s="34"/>
      <c r="AK1925" s="34"/>
      <c r="AL1925" s="34"/>
      <c r="AM1925" s="34"/>
      <c r="AN1925" s="244"/>
      <c r="AO1925" s="417"/>
      <c r="AP1925" s="417"/>
      <c r="AQ1925" s="37" t="s">
        <v>6317</v>
      </c>
      <c r="AR1925" s="37" t="s">
        <v>6317</v>
      </c>
      <c r="AS1925" s="241" t="s">
        <v>6</v>
      </c>
      <c r="AT1925" s="39" t="s">
        <v>266</v>
      </c>
      <c r="AU1925" s="245"/>
      <c r="AV1925" s="245">
        <v>0</v>
      </c>
      <c r="AW1925" s="37">
        <v>48</v>
      </c>
      <c r="AX1925" s="37">
        <v>25</v>
      </c>
      <c r="AY1925" s="37" t="s">
        <v>8722</v>
      </c>
      <c r="AZ1925" s="37" t="s">
        <v>2263</v>
      </c>
      <c r="BA1925" s="37">
        <v>20</v>
      </c>
      <c r="BB1925" s="36" t="s">
        <v>1764</v>
      </c>
      <c r="BC1925" s="36" t="s">
        <v>2264</v>
      </c>
      <c r="BD1925" s="36"/>
      <c r="BE1925" s="37" t="s">
        <v>2265</v>
      </c>
      <c r="BF1925" s="37" t="s">
        <v>2266</v>
      </c>
      <c r="BG1925" s="37" t="s">
        <v>2266</v>
      </c>
      <c r="BH1925" s="37" t="s">
        <v>272</v>
      </c>
      <c r="BI1925" s="243" t="s">
        <v>8722</v>
      </c>
      <c r="BJ1925" s="243" t="s">
        <v>8722</v>
      </c>
      <c r="BK1925" s="37" t="s">
        <v>2267</v>
      </c>
      <c r="BL1925" s="243"/>
      <c r="BM1925" s="37" t="s">
        <v>1584</v>
      </c>
      <c r="BN1925" s="37"/>
      <c r="BO1925" s="37" t="s">
        <v>2391</v>
      </c>
      <c r="BP1925" s="37"/>
      <c r="BQ1925" s="37"/>
      <c r="BR1925" s="37"/>
      <c r="BS1925" s="37"/>
      <c r="BT1925" s="37"/>
      <c r="BU1925" s="246"/>
      <c r="BV1925" s="37"/>
      <c r="BW1925" s="37"/>
      <c r="BX1925" s="37"/>
      <c r="BY1925" s="37"/>
      <c r="BZ1925" s="37"/>
      <c r="CA1925" s="37"/>
      <c r="CB1925" s="37"/>
      <c r="CC1925" s="37"/>
      <c r="CD1925" s="37"/>
      <c r="CE1925" s="37"/>
      <c r="CF1925" s="37"/>
      <c r="CG1925" s="37"/>
      <c r="CH1925" s="37"/>
      <c r="CI1925" s="243"/>
      <c r="CJ1925" s="243"/>
      <c r="CK1925" s="38" t="s">
        <v>404</v>
      </c>
      <c r="CL1925" s="247"/>
      <c r="CM1925" s="247"/>
      <c r="CN1925" s="247"/>
      <c r="CO1925" s="36"/>
      <c r="CP1925" s="36" t="s">
        <v>2268</v>
      </c>
      <c r="CQ1925" s="241" t="s">
        <v>272</v>
      </c>
      <c r="CR1925" s="241"/>
      <c r="CS1925" s="33"/>
      <c r="CT1925" s="33" t="s">
        <v>6310</v>
      </c>
      <c r="CU1925" s="250" t="s">
        <v>6310</v>
      </c>
      <c r="CV1925" s="337" t="s">
        <v>6310</v>
      </c>
      <c r="CW1925" s="330">
        <f>IF(CV1925&lt;1,0,1)</f>
        <v>1</v>
      </c>
      <c r="CX1925" s="330" t="s">
        <v>539</v>
      </c>
      <c r="CY1925" s="143" t="s">
        <v>5921</v>
      </c>
    </row>
    <row r="1926" spans="1:103" ht="11.25" customHeight="1" x14ac:dyDescent="0.2">
      <c r="A1926" s="72">
        <v>1924</v>
      </c>
      <c r="B1926" s="241">
        <v>674</v>
      </c>
      <c r="C1926" s="32" t="s">
        <v>1936</v>
      </c>
      <c r="D1926" s="32"/>
      <c r="E1926" s="40"/>
      <c r="F1926" s="40" t="s">
        <v>1937</v>
      </c>
      <c r="G1926" s="242">
        <v>61869087</v>
      </c>
      <c r="H1926" s="36" t="s">
        <v>1938</v>
      </c>
      <c r="I1926" s="36" t="s">
        <v>1938</v>
      </c>
      <c r="J1926" s="36" t="s">
        <v>1939</v>
      </c>
      <c r="K1926" s="36" t="s">
        <v>1940</v>
      </c>
      <c r="L1926" s="42" t="s">
        <v>279</v>
      </c>
      <c r="M1926" s="36" t="s">
        <v>1941</v>
      </c>
      <c r="N1926" s="36"/>
      <c r="O1926" s="36" t="s">
        <v>281</v>
      </c>
      <c r="P1926" s="41"/>
      <c r="Q1926" s="41"/>
      <c r="R1926" s="41"/>
      <c r="S1926" s="41"/>
      <c r="T1926" s="37">
        <v>329.37</v>
      </c>
      <c r="U1926" s="243"/>
      <c r="V1926" s="243">
        <v>0.10708321947961261</v>
      </c>
      <c r="W1926" s="243">
        <v>8.5113803820237491E-2</v>
      </c>
      <c r="X1926" s="243">
        <f>IF(W1926=0,V1926,W1926)</f>
        <v>8.5113803820237491E-2</v>
      </c>
      <c r="Y1926" s="414">
        <v>9.41</v>
      </c>
      <c r="Z1926" s="37">
        <v>3.95</v>
      </c>
      <c r="AA1926" s="37"/>
      <c r="AB1926" s="37">
        <v>3.42</v>
      </c>
      <c r="AC1926" s="37">
        <v>0.56479999999999997</v>
      </c>
      <c r="AD1926" s="37">
        <v>3.52</v>
      </c>
      <c r="AE1926" s="37">
        <v>3.63</v>
      </c>
      <c r="AF1926" s="37">
        <f>IF(AA1926=0,AD1926,AA1926)</f>
        <v>3.52</v>
      </c>
      <c r="AG1926" s="38">
        <v>3.4</v>
      </c>
      <c r="AH1926" s="243">
        <v>1.7800000000000001E-12</v>
      </c>
      <c r="AI1926" s="243"/>
      <c r="AJ1926" s="34">
        <f>LOG10(AH1926*1000/(0.08206*298.15))</f>
        <v>-10.138146324003758</v>
      </c>
      <c r="AK1926" s="34"/>
      <c r="AL1926" s="34">
        <f>IF(AK1926=0,AJ1926,AK1926)</f>
        <v>-10.138146324003758</v>
      </c>
      <c r="AM1926" s="34">
        <v>-14.30973</v>
      </c>
      <c r="AN1926" s="244">
        <v>-9.19</v>
      </c>
      <c r="AO1926" s="417"/>
      <c r="AP1926" s="417">
        <v>9.0500000000000007</v>
      </c>
      <c r="AQ1926" s="244" t="s">
        <v>6311</v>
      </c>
      <c r="AR1926" s="244" t="s">
        <v>6311</v>
      </c>
      <c r="AS1926" s="241" t="s">
        <v>6</v>
      </c>
      <c r="AT1926" s="39" t="s">
        <v>266</v>
      </c>
      <c r="AU1926" s="37">
        <v>2</v>
      </c>
      <c r="AV1926" s="37">
        <v>48</v>
      </c>
      <c r="AW1926" s="37">
        <v>48</v>
      </c>
      <c r="AX1926" s="37">
        <v>26</v>
      </c>
      <c r="AY1926" s="37" t="s">
        <v>647</v>
      </c>
      <c r="AZ1926" s="37" t="s">
        <v>536</v>
      </c>
      <c r="BA1926" s="37">
        <v>10</v>
      </c>
      <c r="BB1926" s="36" t="s">
        <v>1764</v>
      </c>
      <c r="BC1926" s="36" t="s">
        <v>538</v>
      </c>
      <c r="BD1926" s="36"/>
      <c r="BE1926" s="37" t="s">
        <v>271</v>
      </c>
      <c r="BF1926" s="37" t="s">
        <v>272</v>
      </c>
      <c r="BG1926" s="37" t="s">
        <v>272</v>
      </c>
      <c r="BH1926" s="37" t="s">
        <v>272</v>
      </c>
      <c r="BI1926" s="248">
        <v>4.7454230804262684E-3</v>
      </c>
      <c r="BJ1926" s="248">
        <v>0.30360992197225006</v>
      </c>
      <c r="BK1926" s="37"/>
      <c r="BL1926" s="243">
        <f>10^((-0.8981*Z1926)+1.7108)</f>
        <v>1.4564815916954495E-2</v>
      </c>
      <c r="BM1926" s="37" t="s">
        <v>541</v>
      </c>
      <c r="BN1926" s="37"/>
      <c r="BO1926" s="37">
        <v>7.5052372711540208E-2</v>
      </c>
      <c r="BP1926" s="37"/>
      <c r="BQ1926" s="37"/>
      <c r="BR1926" s="37"/>
      <c r="BS1926" s="37"/>
      <c r="BT1926" s="37"/>
      <c r="BU1926" s="246"/>
      <c r="BV1926" s="37"/>
      <c r="BW1926" s="37"/>
      <c r="BX1926" s="37"/>
      <c r="BY1926" s="37"/>
      <c r="BZ1926" s="37"/>
      <c r="CA1926" s="37"/>
      <c r="CB1926" s="37"/>
      <c r="CC1926" s="37"/>
      <c r="CD1926" s="37"/>
      <c r="CE1926" s="37"/>
      <c r="CF1926" s="37"/>
      <c r="CG1926" s="37"/>
      <c r="CH1926" s="37"/>
      <c r="CI1926" s="243">
        <f>MIN(BN1926:CH1926)</f>
        <v>7.5052372711540208E-2</v>
      </c>
      <c r="CJ1926" s="243">
        <f>LOG10(CI1926)</f>
        <v>-1.124635573384196</v>
      </c>
      <c r="CK1926" s="38">
        <f>BL1926/BJ1926</f>
        <v>4.7972134185673018E-2</v>
      </c>
      <c r="CL1926" s="247">
        <f>BL1926/CI1926</f>
        <v>0.19406203149544105</v>
      </c>
      <c r="CM1926" s="247"/>
      <c r="CN1926" s="247"/>
      <c r="CO1926" s="36"/>
      <c r="CP1926" s="36" t="s">
        <v>1921</v>
      </c>
      <c r="CQ1926" s="241" t="s">
        <v>272</v>
      </c>
      <c r="CR1926" s="241"/>
      <c r="CS1926" s="33"/>
      <c r="CT1926" s="33"/>
      <c r="CU1926" s="250">
        <f>X1926/CI1926</f>
        <v>1.1340588011436741</v>
      </c>
      <c r="CV1926" s="337">
        <f>X1926/BJ1926</f>
        <v>0.28033933564271624</v>
      </c>
      <c r="CW1926" s="330">
        <f>IF(CU1926&lt;2,0,1)</f>
        <v>0</v>
      </c>
      <c r="CX1926" s="330"/>
      <c r="CY1926" s="143" t="s">
        <v>5921</v>
      </c>
    </row>
    <row r="1927" spans="1:103" ht="11.25" customHeight="1" x14ac:dyDescent="0.2">
      <c r="A1927" s="72">
        <v>1925</v>
      </c>
      <c r="B1927" s="241">
        <v>2134</v>
      </c>
      <c r="C1927" s="32" t="s">
        <v>3174</v>
      </c>
      <c r="D1927" s="32"/>
      <c r="E1927" s="40"/>
      <c r="F1927" s="40" t="s">
        <v>3175</v>
      </c>
      <c r="G1927" s="242">
        <v>62924703</v>
      </c>
      <c r="H1927" s="41" t="s">
        <v>3176</v>
      </c>
      <c r="I1927" s="41" t="s">
        <v>7962</v>
      </c>
      <c r="J1927" s="41" t="s">
        <v>5830</v>
      </c>
      <c r="K1927" s="41" t="s">
        <v>1011</v>
      </c>
      <c r="L1927" s="36" t="s">
        <v>6040</v>
      </c>
      <c r="M1927" s="36" t="s">
        <v>5960</v>
      </c>
      <c r="N1927" s="36" t="s">
        <v>6082</v>
      </c>
      <c r="O1927" s="41"/>
      <c r="P1927" s="41"/>
      <c r="Q1927" s="41"/>
      <c r="R1927" s="41"/>
      <c r="S1927" s="41"/>
      <c r="T1927" s="33">
        <v>421.74</v>
      </c>
      <c r="U1927" s="250">
        <v>1.659829748891471E-4</v>
      </c>
      <c r="V1927" s="250">
        <v>1.1789533587840561E-4</v>
      </c>
      <c r="W1927" s="250">
        <v>5.6234132519034805E-5</v>
      </c>
      <c r="X1927" s="250">
        <v>1.659829748891471E-4</v>
      </c>
      <c r="Y1927" s="415">
        <v>7</v>
      </c>
      <c r="Z1927" s="33">
        <v>6.09</v>
      </c>
      <c r="AA1927" s="33">
        <v>5.45</v>
      </c>
      <c r="AB1927" s="33">
        <v>5.26</v>
      </c>
      <c r="AC1927" s="33">
        <v>0.81359999999999999</v>
      </c>
      <c r="AD1927" s="33">
        <v>5.42</v>
      </c>
      <c r="AE1927" s="33">
        <v>5.91</v>
      </c>
      <c r="AF1927" s="33">
        <f>IF(AA1927=0,AD1927,AA1927)</f>
        <v>5.45</v>
      </c>
      <c r="AG1927" s="34">
        <v>4.76</v>
      </c>
      <c r="AH1927" s="250">
        <v>6.3199999999999996E-6</v>
      </c>
      <c r="AI1927" s="250">
        <v>1.9E-6</v>
      </c>
      <c r="AJ1927" s="34">
        <f>LOG10(AH1927*1000/(0.08206*298.15))</f>
        <v>-3.5878492480302668</v>
      </c>
      <c r="AK1927" s="34">
        <f>LOG10(AI1927*1000/(0.08206*298.15))</f>
        <v>-4.1098127253598227</v>
      </c>
      <c r="AL1927" s="34">
        <f>IF(AK1927=0,AJ1927,AK1927)</f>
        <v>-4.1098127253598227</v>
      </c>
      <c r="AM1927" s="34">
        <v>-11.695880000000001</v>
      </c>
      <c r="AN1927" s="251">
        <v>-2.8483000000000001</v>
      </c>
      <c r="AO1927" s="417"/>
      <c r="AP1927" s="417">
        <v>-2.63</v>
      </c>
      <c r="AQ1927" s="251" t="s">
        <v>6311</v>
      </c>
      <c r="AR1927" s="251" t="s">
        <v>6311</v>
      </c>
      <c r="AS1927" s="252" t="s">
        <v>5466</v>
      </c>
      <c r="AT1927" s="35" t="s">
        <v>266</v>
      </c>
      <c r="AU1927" s="33">
        <v>5</v>
      </c>
      <c r="AV1927" s="33">
        <v>25</v>
      </c>
      <c r="AW1927" s="33">
        <v>20</v>
      </c>
      <c r="AX1927" s="33">
        <v>28</v>
      </c>
      <c r="AY1927" s="33" t="s">
        <v>267</v>
      </c>
      <c r="AZ1927" s="33" t="s">
        <v>5820</v>
      </c>
      <c r="BA1927" s="33"/>
      <c r="BB1927" s="41" t="s">
        <v>5821</v>
      </c>
      <c r="BC1927" s="41" t="s">
        <v>8377</v>
      </c>
      <c r="BD1927" s="41"/>
      <c r="BE1927" s="33" t="s">
        <v>2449</v>
      </c>
      <c r="BF1927" s="33"/>
      <c r="BG1927" s="33"/>
      <c r="BH1927" s="33" t="s">
        <v>5626</v>
      </c>
      <c r="BI1927" s="250"/>
      <c r="BJ1927" s="250">
        <v>0.05</v>
      </c>
      <c r="BK1927" s="254"/>
      <c r="BL1927" s="250">
        <f>10^((-0.8981*Z1927)+1.7108)</f>
        <v>1.7432954634407751E-4</v>
      </c>
      <c r="BM1927" s="33"/>
      <c r="BN1927" s="33" t="s">
        <v>5822</v>
      </c>
      <c r="BO1927" s="33"/>
      <c r="BP1927" s="33"/>
      <c r="BQ1927" s="33"/>
      <c r="BR1927" s="33"/>
      <c r="BS1927" s="33"/>
      <c r="BT1927" s="33"/>
      <c r="BU1927" s="246"/>
      <c r="BV1927" s="33"/>
      <c r="BW1927" s="33"/>
      <c r="BX1927" s="33"/>
      <c r="BY1927" s="33"/>
      <c r="BZ1927" s="33"/>
      <c r="CA1927" s="33"/>
      <c r="CB1927" s="33"/>
      <c r="CC1927" s="33"/>
      <c r="CD1927" s="33"/>
      <c r="CE1927" s="33"/>
      <c r="CF1927" s="33"/>
      <c r="CG1927" s="33"/>
      <c r="CH1927" s="33"/>
      <c r="CI1927" s="250"/>
      <c r="CJ1927" s="243"/>
      <c r="CK1927" s="38">
        <f>BL1927/BJ1927</f>
        <v>3.4865909268815502E-3</v>
      </c>
      <c r="CL1927" s="247"/>
      <c r="CM1927" s="247"/>
      <c r="CN1927" s="247"/>
      <c r="CO1927" s="41"/>
      <c r="CP1927" s="255" t="s">
        <v>8376</v>
      </c>
      <c r="CQ1927" s="241">
        <v>-4.2934371263255056</v>
      </c>
      <c r="CR1927" s="241">
        <f t="shared" ref="CR1927:CR1934" si="603">10^(CJ1927-CQ1927)</f>
        <v>19653.374341809107</v>
      </c>
      <c r="CS1927" s="33"/>
      <c r="CT1927" s="33"/>
      <c r="CU1927" s="250"/>
      <c r="CV1927" s="337">
        <f>X1927/BJ1927</f>
        <v>3.3196594977829416E-3</v>
      </c>
      <c r="CW1927" s="330">
        <f>IF(CV1927&lt;1,0,1)</f>
        <v>0</v>
      </c>
      <c r="CX1927" s="330"/>
      <c r="CY1927" s="143" t="s">
        <v>5921</v>
      </c>
    </row>
    <row r="1928" spans="1:103" ht="11.25" customHeight="1" x14ac:dyDescent="0.2">
      <c r="A1928" s="72">
        <v>1926</v>
      </c>
      <c r="B1928" s="241">
        <v>835</v>
      </c>
      <c r="C1928" s="32" t="s">
        <v>2392</v>
      </c>
      <c r="D1928" s="32"/>
      <c r="E1928" s="40"/>
      <c r="F1928" s="40" t="s">
        <v>2393</v>
      </c>
      <c r="G1928" s="242">
        <v>63798367</v>
      </c>
      <c r="H1928" s="36"/>
      <c r="I1928" s="36" t="s">
        <v>7877</v>
      </c>
      <c r="J1928" s="36"/>
      <c r="K1928" s="36"/>
      <c r="L1928" s="36"/>
      <c r="M1928" s="36"/>
      <c r="N1928" s="36"/>
      <c r="O1928" s="36"/>
      <c r="P1928" s="41"/>
      <c r="Q1928" s="41"/>
      <c r="R1928" s="41"/>
      <c r="S1928" s="41"/>
      <c r="T1928" s="37" t="s">
        <v>404</v>
      </c>
      <c r="U1928" s="243"/>
      <c r="V1928" s="243"/>
      <c r="W1928" s="243"/>
      <c r="X1928" s="243"/>
      <c r="Y1928" s="414"/>
      <c r="Z1928" s="37"/>
      <c r="AA1928" s="37"/>
      <c r="AB1928" s="37"/>
      <c r="AC1928" s="37"/>
      <c r="AD1928" s="37"/>
      <c r="AE1928" s="37"/>
      <c r="AF1928" s="37"/>
      <c r="AG1928" s="38" t="s">
        <v>5921</v>
      </c>
      <c r="AH1928" s="243"/>
      <c r="AI1928" s="243"/>
      <c r="AJ1928" s="34"/>
      <c r="AK1928" s="34"/>
      <c r="AL1928" s="34"/>
      <c r="AM1928" s="34"/>
      <c r="AN1928" s="244"/>
      <c r="AO1928" s="417"/>
      <c r="AP1928" s="417"/>
      <c r="AQ1928" s="37" t="s">
        <v>6317</v>
      </c>
      <c r="AR1928" s="37" t="s">
        <v>6317</v>
      </c>
      <c r="AS1928" s="241"/>
      <c r="AT1928" s="39" t="s">
        <v>266</v>
      </c>
      <c r="AU1928" s="245" t="s">
        <v>2381</v>
      </c>
      <c r="AV1928" s="37">
        <v>48</v>
      </c>
      <c r="AW1928" s="37">
        <v>48</v>
      </c>
      <c r="AX1928" s="37">
        <v>26</v>
      </c>
      <c r="AY1928" s="37" t="s">
        <v>647</v>
      </c>
      <c r="AZ1928" s="37" t="s">
        <v>8722</v>
      </c>
      <c r="BA1928" s="37" t="s">
        <v>8722</v>
      </c>
      <c r="BB1928" s="36" t="s">
        <v>2382</v>
      </c>
      <c r="BC1928" s="36" t="s">
        <v>8722</v>
      </c>
      <c r="BD1928" s="36"/>
      <c r="BE1928" s="37" t="s">
        <v>1712</v>
      </c>
      <c r="BF1928" s="37" t="s">
        <v>2383</v>
      </c>
      <c r="BG1928" s="261" t="s">
        <v>2384</v>
      </c>
      <c r="BH1928" s="37" t="s">
        <v>272</v>
      </c>
      <c r="BI1928" s="243" t="s">
        <v>8722</v>
      </c>
      <c r="BJ1928" s="243" t="s">
        <v>8722</v>
      </c>
      <c r="BK1928" s="37"/>
      <c r="BL1928" s="243"/>
      <c r="BM1928" s="37" t="s">
        <v>1584</v>
      </c>
      <c r="BN1928" s="37"/>
      <c r="BO1928" s="276"/>
      <c r="BP1928" s="37"/>
      <c r="BQ1928" s="37"/>
      <c r="BR1928" s="37"/>
      <c r="BS1928" s="37"/>
      <c r="BT1928" s="37"/>
      <c r="BU1928" s="246"/>
      <c r="BV1928" s="37"/>
      <c r="BW1928" s="37"/>
      <c r="BX1928" s="37"/>
      <c r="BY1928" s="37"/>
      <c r="BZ1928" s="37"/>
      <c r="CA1928" s="37"/>
      <c r="CB1928" s="37"/>
      <c r="CC1928" s="37" t="s">
        <v>2394</v>
      </c>
      <c r="CD1928" s="37"/>
      <c r="CE1928" s="37"/>
      <c r="CF1928" s="37"/>
      <c r="CG1928" s="37"/>
      <c r="CH1928" s="37"/>
      <c r="CI1928" s="243"/>
      <c r="CJ1928" s="243"/>
      <c r="CK1928" s="38" t="s">
        <v>404</v>
      </c>
      <c r="CL1928" s="247"/>
      <c r="CM1928" s="247"/>
      <c r="CN1928" s="247"/>
      <c r="CO1928" s="36"/>
      <c r="CP1928" s="36" t="s">
        <v>2385</v>
      </c>
      <c r="CQ1928" s="241">
        <v>0</v>
      </c>
      <c r="CR1928" s="241">
        <f t="shared" si="603"/>
        <v>1</v>
      </c>
      <c r="CS1928" s="33"/>
      <c r="CT1928" s="33"/>
      <c r="CU1928" s="250" t="s">
        <v>6310</v>
      </c>
      <c r="CV1928" s="337" t="s">
        <v>6310</v>
      </c>
      <c r="CW1928" s="330">
        <f>IF(CV1928&lt;1,0,1)</f>
        <v>1</v>
      </c>
      <c r="CX1928" s="330" t="s">
        <v>539</v>
      </c>
      <c r="CY1928" s="143" t="s">
        <v>5921</v>
      </c>
    </row>
    <row r="1929" spans="1:103" ht="11.25" customHeight="1" x14ac:dyDescent="0.2">
      <c r="A1929" s="72">
        <v>1927</v>
      </c>
      <c r="B1929" s="241">
        <v>850</v>
      </c>
      <c r="C1929" s="32" t="s">
        <v>2461</v>
      </c>
      <c r="D1929" s="32" t="s">
        <v>6563</v>
      </c>
      <c r="E1929" s="40"/>
      <c r="F1929" s="40" t="s">
        <v>3131</v>
      </c>
      <c r="G1929" s="242">
        <v>66230044</v>
      </c>
      <c r="H1929" s="36" t="s">
        <v>2462</v>
      </c>
      <c r="I1929" s="36" t="s">
        <v>7958</v>
      </c>
      <c r="J1929" s="36" t="s">
        <v>2463</v>
      </c>
      <c r="K1929" s="36" t="s">
        <v>1711</v>
      </c>
      <c r="L1929" s="36" t="s">
        <v>617</v>
      </c>
      <c r="M1929" s="36" t="s">
        <v>1086</v>
      </c>
      <c r="N1929" s="36" t="s">
        <v>6376</v>
      </c>
      <c r="O1929" s="36" t="s">
        <v>918</v>
      </c>
      <c r="P1929" s="41"/>
      <c r="Q1929" s="41"/>
      <c r="R1929" s="41"/>
      <c r="S1929" s="41"/>
      <c r="T1929" s="37">
        <v>419.9</v>
      </c>
      <c r="U1929" s="243">
        <v>4.7630388187663733E-6</v>
      </c>
      <c r="V1929" s="243">
        <v>1.4527268397237439E-5</v>
      </c>
      <c r="W1929" s="243">
        <v>6.1659500186148089E-5</v>
      </c>
      <c r="X1929" s="243">
        <v>4.7630388187663733E-6</v>
      </c>
      <c r="Y1929" s="414">
        <v>7</v>
      </c>
      <c r="Z1929" s="37">
        <v>6.76</v>
      </c>
      <c r="AA1929" s="37">
        <v>6.22</v>
      </c>
      <c r="AB1929" s="37">
        <v>5.98</v>
      </c>
      <c r="AC1929" s="37">
        <v>0.58919999999999995</v>
      </c>
      <c r="AD1929" s="37">
        <v>6.28</v>
      </c>
      <c r="AE1929" s="37">
        <v>6.67</v>
      </c>
      <c r="AF1929" s="37">
        <f>IF(AA1929=0,AD1929,AA1929)</f>
        <v>6.22</v>
      </c>
      <c r="AG1929" s="38">
        <v>6.03</v>
      </c>
      <c r="AH1929" s="243">
        <v>1.1899999999999999E-7</v>
      </c>
      <c r="AI1929" s="243">
        <v>3.4499999999999998E-8</v>
      </c>
      <c r="AJ1929" s="34">
        <f>LOG10(AH1929*1000/(0.08206*298.15))</f>
        <v>-5.3130193649201214</v>
      </c>
      <c r="AK1929" s="34">
        <f>LOG10(AI1929*1000/(0.08206*298.15))</f>
        <v>-5.850747231239378</v>
      </c>
      <c r="AL1929" s="34">
        <f>IF(AK1929=0,AJ1929,AK1929)</f>
        <v>-5.850747231239378</v>
      </c>
      <c r="AM1929" s="34">
        <v>-16.262410000000003</v>
      </c>
      <c r="AN1929" s="244">
        <v>-6.07</v>
      </c>
      <c r="AO1929" s="417"/>
      <c r="AP1929" s="417"/>
      <c r="AQ1929" s="244" t="s">
        <v>6311</v>
      </c>
      <c r="AR1929" s="244" t="s">
        <v>6312</v>
      </c>
      <c r="AS1929" s="241" t="s">
        <v>6</v>
      </c>
      <c r="AT1929" s="39" t="s">
        <v>266</v>
      </c>
      <c r="AU1929" s="37">
        <v>2</v>
      </c>
      <c r="AV1929" s="37">
        <v>48</v>
      </c>
      <c r="AW1929" s="37">
        <v>48</v>
      </c>
      <c r="AX1929" s="37">
        <v>26</v>
      </c>
      <c r="AY1929" s="37" t="s">
        <v>647</v>
      </c>
      <c r="AZ1929" s="37" t="s">
        <v>1920</v>
      </c>
      <c r="BA1929" s="37">
        <v>10</v>
      </c>
      <c r="BB1929" s="36" t="s">
        <v>1613</v>
      </c>
      <c r="BC1929" s="36" t="s">
        <v>538</v>
      </c>
      <c r="BD1929" s="36"/>
      <c r="BE1929" s="37" t="s">
        <v>271</v>
      </c>
      <c r="BF1929" s="37" t="s">
        <v>272</v>
      </c>
      <c r="BG1929" s="37" t="s">
        <v>272</v>
      </c>
      <c r="BH1929" s="37" t="s">
        <v>4089</v>
      </c>
      <c r="BI1929" s="243">
        <v>1.1907313471934462E-6</v>
      </c>
      <c r="BJ1929" s="243">
        <v>1.1431020933057082E-5</v>
      </c>
      <c r="BK1929" s="37"/>
      <c r="BL1929" s="243">
        <f>10^((-0.8981*Z1929)+1.7108)</f>
        <v>4.3615815797067237E-5</v>
      </c>
      <c r="BM1929" s="37" t="s">
        <v>541</v>
      </c>
      <c r="BN1929" s="37"/>
      <c r="BO1929" s="37"/>
      <c r="BP1929" s="37"/>
      <c r="BQ1929" s="37"/>
      <c r="BR1929" s="37"/>
      <c r="BS1929" s="37"/>
      <c r="BT1929" s="37"/>
      <c r="BU1929" s="246"/>
      <c r="BV1929" s="37"/>
      <c r="BW1929" s="37"/>
      <c r="BX1929" s="37"/>
      <c r="BY1929" s="37"/>
      <c r="BZ1929" s="37"/>
      <c r="CA1929" s="37"/>
      <c r="CB1929" s="37"/>
      <c r="CC1929" s="37"/>
      <c r="CD1929" s="37"/>
      <c r="CE1929" s="37"/>
      <c r="CF1929" s="37"/>
      <c r="CG1929" s="37"/>
      <c r="CH1929" s="37"/>
      <c r="CI1929" s="243"/>
      <c r="CJ1929" s="243"/>
      <c r="CK1929" s="38">
        <f>BL1929/BJ1929</f>
        <v>3.8155660856971885</v>
      </c>
      <c r="CL1929" s="247"/>
      <c r="CM1929" s="247"/>
      <c r="CN1929" s="247"/>
      <c r="CO1929" s="36" t="s">
        <v>4073</v>
      </c>
      <c r="CP1929" s="36" t="s">
        <v>4101</v>
      </c>
      <c r="CQ1929" s="241">
        <v>-6.2086421552494002</v>
      </c>
      <c r="CR1929" s="241">
        <f t="shared" si="603"/>
        <v>1616747.3406147261</v>
      </c>
      <c r="CS1929" s="33"/>
      <c r="CT1929" s="33"/>
      <c r="CU1929" s="250"/>
      <c r="CV1929" s="337">
        <f>X1929/BJ1929</f>
        <v>0.41667658966420584</v>
      </c>
      <c r="CW1929" s="330">
        <f>IF(CV1929&lt;1,0,1)</f>
        <v>0</v>
      </c>
      <c r="CX1929" s="330"/>
      <c r="CY1929" s="143" t="s">
        <v>5921</v>
      </c>
    </row>
    <row r="1930" spans="1:103" ht="11.25" customHeight="1" x14ac:dyDescent="0.2">
      <c r="A1930" s="72">
        <v>1928</v>
      </c>
      <c r="B1930" s="241">
        <v>836</v>
      </c>
      <c r="C1930" s="32" t="s">
        <v>2395</v>
      </c>
      <c r="D1930" s="32"/>
      <c r="E1930" s="40"/>
      <c r="F1930" s="40" t="s">
        <v>2396</v>
      </c>
      <c r="G1930" s="242">
        <v>66455149</v>
      </c>
      <c r="H1930" s="36" t="s">
        <v>2397</v>
      </c>
      <c r="I1930" s="36" t="s">
        <v>2397</v>
      </c>
      <c r="J1930" s="36"/>
      <c r="K1930" s="36" t="s">
        <v>426</v>
      </c>
      <c r="L1930" s="36" t="s">
        <v>5527</v>
      </c>
      <c r="M1930" s="36" t="s">
        <v>526</v>
      </c>
      <c r="N1930" s="36" t="s">
        <v>2342</v>
      </c>
      <c r="O1930" s="36" t="s">
        <v>2398</v>
      </c>
      <c r="P1930" s="41"/>
      <c r="Q1930" s="41"/>
      <c r="R1930" s="41"/>
      <c r="S1930" s="41"/>
      <c r="T1930" s="37">
        <v>214.39</v>
      </c>
      <c r="U1930" s="243"/>
      <c r="V1930" s="243">
        <v>1.3969867997574515E-3</v>
      </c>
      <c r="W1930" s="243"/>
      <c r="X1930" s="243">
        <f>IF(W1930=0,V1930,W1930)</f>
        <v>1.3969867997574515E-3</v>
      </c>
      <c r="Y1930" s="414"/>
      <c r="Z1930" s="37">
        <v>5.96</v>
      </c>
      <c r="AA1930" s="37"/>
      <c r="AB1930" s="37">
        <v>6.07</v>
      </c>
      <c r="AC1930" s="37">
        <v>0.8216</v>
      </c>
      <c r="AD1930" s="37">
        <v>6.13</v>
      </c>
      <c r="AE1930" s="37">
        <v>6.29</v>
      </c>
      <c r="AF1930" s="37">
        <f>IF(AA1930=0,AD1930,AA1930)</f>
        <v>6.13</v>
      </c>
      <c r="AG1930" s="38">
        <v>6.13</v>
      </c>
      <c r="AH1930" s="243">
        <v>2.58E-2</v>
      </c>
      <c r="AI1930" s="243"/>
      <c r="AJ1930" s="34">
        <f>LOG10(AH1930*1000/(0.08206*298.15))</f>
        <v>2.3053379650578385E-2</v>
      </c>
      <c r="AK1930" s="34"/>
      <c r="AL1930" s="34">
        <f>IF(AK1930=0,AJ1930,AK1930)</f>
        <v>2.3053379650578385E-2</v>
      </c>
      <c r="AM1930" s="34">
        <v>-2.6394800000000003</v>
      </c>
      <c r="AN1930" s="244"/>
      <c r="AO1930" s="417"/>
      <c r="AP1930" s="417"/>
      <c r="AQ1930" s="37" t="s">
        <v>6311</v>
      </c>
      <c r="AR1930" s="37" t="s">
        <v>6311</v>
      </c>
      <c r="AS1930" s="241" t="s">
        <v>6</v>
      </c>
      <c r="AT1930" s="39" t="s">
        <v>266</v>
      </c>
      <c r="AU1930" s="245">
        <v>0</v>
      </c>
      <c r="AV1930" s="37">
        <v>48</v>
      </c>
      <c r="AW1930" s="37">
        <v>48</v>
      </c>
      <c r="AX1930" s="37">
        <v>25</v>
      </c>
      <c r="AY1930" s="37" t="s">
        <v>8722</v>
      </c>
      <c r="AZ1930" s="37" t="s">
        <v>2263</v>
      </c>
      <c r="BA1930" s="37">
        <v>20</v>
      </c>
      <c r="BB1930" s="36" t="s">
        <v>1764</v>
      </c>
      <c r="BC1930" s="36" t="s">
        <v>2264</v>
      </c>
      <c r="BD1930" s="36"/>
      <c r="BE1930" s="37" t="s">
        <v>2265</v>
      </c>
      <c r="BF1930" s="37" t="s">
        <v>2266</v>
      </c>
      <c r="BG1930" s="37" t="s">
        <v>2266</v>
      </c>
      <c r="BH1930" s="37" t="s">
        <v>272</v>
      </c>
      <c r="BI1930" s="243" t="s">
        <v>8722</v>
      </c>
      <c r="BJ1930" s="243" t="s">
        <v>8722</v>
      </c>
      <c r="BK1930" s="37" t="s">
        <v>2267</v>
      </c>
      <c r="BL1930" s="243">
        <f>10^((-0.8981*Z1930)+1.7108)</f>
        <v>2.2809932494843467E-4</v>
      </c>
      <c r="BM1930" s="37" t="s">
        <v>1584</v>
      </c>
      <c r="BN1930" s="37"/>
      <c r="BO1930" s="37"/>
      <c r="BP1930" s="37">
        <v>1.119455198470078E-2</v>
      </c>
      <c r="BQ1930" s="37"/>
      <c r="BR1930" s="37"/>
      <c r="BS1930" s="37"/>
      <c r="BT1930" s="37"/>
      <c r="BU1930" s="246"/>
      <c r="BV1930" s="37"/>
      <c r="BW1930" s="37"/>
      <c r="BX1930" s="37"/>
      <c r="BY1930" s="37"/>
      <c r="BZ1930" s="37"/>
      <c r="CA1930" s="37"/>
      <c r="CB1930" s="37"/>
      <c r="CC1930" s="37"/>
      <c r="CD1930" s="37"/>
      <c r="CE1930" s="37"/>
      <c r="CF1930" s="37"/>
      <c r="CG1930" s="37"/>
      <c r="CH1930" s="37"/>
      <c r="CI1930" s="243">
        <f t="shared" ref="CI1930:CI1935" si="604">MIN(BN1930:CH1930)</f>
        <v>1.119455198470078E-2</v>
      </c>
      <c r="CJ1930" s="243">
        <f t="shared" ref="CJ1930:CJ1935" si="605">LOG10(CI1930)</f>
        <v>-1.9509932825642404</v>
      </c>
      <c r="CK1930" s="38" t="s">
        <v>404</v>
      </c>
      <c r="CL1930" s="247">
        <f t="shared" ref="CL1930:CL1935" si="606">BL1930/CI1930</f>
        <v>2.0375922614872876E-2</v>
      </c>
      <c r="CM1930" s="247"/>
      <c r="CN1930" s="247"/>
      <c r="CO1930" s="36"/>
      <c r="CP1930" s="36" t="s">
        <v>2268</v>
      </c>
      <c r="CQ1930" s="241">
        <v>-1.3141711849770661</v>
      </c>
      <c r="CR1930" s="241">
        <f t="shared" si="603"/>
        <v>0.23076923076923073</v>
      </c>
      <c r="CS1930" s="33"/>
      <c r="CT1930" s="33" t="s">
        <v>6310</v>
      </c>
      <c r="CU1930" s="250">
        <f>X1930/CI1930</f>
        <v>0.12479166666666666</v>
      </c>
      <c r="CV1930" s="337"/>
      <c r="CW1930" s="330">
        <f t="shared" ref="CW1930:CW1935" si="607">IF(CU1930&lt;2,0,1)</f>
        <v>0</v>
      </c>
      <c r="CX1930" s="330" t="s">
        <v>539</v>
      </c>
      <c r="CY1930" s="143" t="s">
        <v>6351</v>
      </c>
    </row>
    <row r="1931" spans="1:103" ht="11.25" customHeight="1" x14ac:dyDescent="0.2">
      <c r="A1931" s="72">
        <v>1929</v>
      </c>
      <c r="B1931" s="241">
        <v>586</v>
      </c>
      <c r="C1931" s="32" t="s">
        <v>1392</v>
      </c>
      <c r="D1931" s="32"/>
      <c r="E1931" s="40"/>
      <c r="F1931" s="40" t="s">
        <v>1393</v>
      </c>
      <c r="G1931" s="242">
        <v>67747095</v>
      </c>
      <c r="H1931" s="36" t="s">
        <v>1394</v>
      </c>
      <c r="I1931" s="36" t="s">
        <v>7941</v>
      </c>
      <c r="J1931" s="36" t="s">
        <v>1395</v>
      </c>
      <c r="K1931" s="36" t="s">
        <v>1064</v>
      </c>
      <c r="L1931" s="36" t="s">
        <v>6007</v>
      </c>
      <c r="M1931" s="36" t="s">
        <v>6008</v>
      </c>
      <c r="N1931" s="36" t="s">
        <v>6386</v>
      </c>
      <c r="O1931" s="36" t="s">
        <v>6009</v>
      </c>
      <c r="P1931" s="41"/>
      <c r="Q1931" s="41"/>
      <c r="R1931" s="41"/>
      <c r="S1931" s="41"/>
      <c r="T1931" s="37">
        <v>376.66</v>
      </c>
      <c r="U1931" s="243">
        <v>9.0264687923115719E-2</v>
      </c>
      <c r="V1931" s="243">
        <v>3.5681100167255157E-3</v>
      </c>
      <c r="W1931" s="243">
        <v>6.6069344800759544E-2</v>
      </c>
      <c r="X1931" s="243">
        <v>9.0264687923115719E-2</v>
      </c>
      <c r="Y1931" s="414">
        <v>7.37</v>
      </c>
      <c r="Z1931" s="37">
        <v>4.13</v>
      </c>
      <c r="AA1931" s="37">
        <v>4.0999999999999996</v>
      </c>
      <c r="AB1931" s="37">
        <v>4.1100000000000003</v>
      </c>
      <c r="AC1931" s="37">
        <v>0.85909999999999997</v>
      </c>
      <c r="AD1931" s="37">
        <v>4.08</v>
      </c>
      <c r="AE1931" s="37">
        <v>3.98</v>
      </c>
      <c r="AF1931" s="37">
        <f>IF(AA1931=0,AD1931,AA1931)</f>
        <v>4.0999999999999996</v>
      </c>
      <c r="AG1931" s="38">
        <v>4.18</v>
      </c>
      <c r="AH1931" s="243">
        <v>7.5799999999999996E-12</v>
      </c>
      <c r="AI1931" s="243">
        <v>1.6400000000000001E-8</v>
      </c>
      <c r="AJ1931" s="34">
        <f>LOG10(AH1931*1000/(0.08206*298.15))</f>
        <v>-9.508897120680599</v>
      </c>
      <c r="AK1931" s="34">
        <f>LOG10(AI1931*1000/(0.08206*298.15))</f>
        <v>-6.1737224782649536</v>
      </c>
      <c r="AL1931" s="34">
        <f>IF(AK1931=0,AJ1931,AK1931)</f>
        <v>-6.1737224782649536</v>
      </c>
      <c r="AM1931" s="34">
        <v>-16.703500000000002</v>
      </c>
      <c r="AN1931" s="244">
        <v>-6.14</v>
      </c>
      <c r="AO1931" s="417"/>
      <c r="AP1931" s="417">
        <v>4.84</v>
      </c>
      <c r="AQ1931" s="244" t="s">
        <v>6311</v>
      </c>
      <c r="AR1931" s="244" t="s">
        <v>6311</v>
      </c>
      <c r="AS1931" s="241" t="s">
        <v>6</v>
      </c>
      <c r="AT1931" s="39" t="s">
        <v>266</v>
      </c>
      <c r="AU1931" s="37">
        <v>2</v>
      </c>
      <c r="AV1931" s="37">
        <v>24</v>
      </c>
      <c r="AW1931" s="37">
        <v>24</v>
      </c>
      <c r="AX1931" s="37">
        <v>27</v>
      </c>
      <c r="AY1931" s="37" t="s">
        <v>8722</v>
      </c>
      <c r="AZ1931" s="37" t="s">
        <v>536</v>
      </c>
      <c r="BA1931" s="37">
        <v>20</v>
      </c>
      <c r="BB1931" s="36" t="s">
        <v>1764</v>
      </c>
      <c r="BC1931" s="36" t="s">
        <v>538</v>
      </c>
      <c r="BD1931" s="36"/>
      <c r="BE1931" s="37" t="s">
        <v>649</v>
      </c>
      <c r="BF1931" s="37" t="s">
        <v>272</v>
      </c>
      <c r="BG1931" s="37" t="s">
        <v>272</v>
      </c>
      <c r="BH1931" s="37" t="s">
        <v>1765</v>
      </c>
      <c r="BI1931" s="248">
        <v>1.3274218812222901E-3</v>
      </c>
      <c r="BJ1931" s="248">
        <v>1.3274218812222901E-2</v>
      </c>
      <c r="BK1931" s="37"/>
      <c r="BL1931" s="243">
        <f>10^((-0.8981*Z1931)+1.7108)</f>
        <v>1.0037995577353173E-2</v>
      </c>
      <c r="BM1931" s="37" t="s">
        <v>541</v>
      </c>
      <c r="BN1931" s="37">
        <v>7.6990469110892815E-3</v>
      </c>
      <c r="BO1931" s="37">
        <v>7.6990469110892815E-3</v>
      </c>
      <c r="BP1931" s="37">
        <v>7.6990469110892815E-3</v>
      </c>
      <c r="BQ1931" s="37"/>
      <c r="BR1931" s="37"/>
      <c r="BS1931" s="37"/>
      <c r="BT1931" s="37"/>
      <c r="BU1931" s="246"/>
      <c r="BV1931" s="37"/>
      <c r="BW1931" s="37"/>
      <c r="BX1931" s="37"/>
      <c r="BY1931" s="37"/>
      <c r="BZ1931" s="37"/>
      <c r="CA1931" s="37"/>
      <c r="CB1931" s="37"/>
      <c r="CC1931" s="37"/>
      <c r="CD1931" s="37"/>
      <c r="CE1931" s="37"/>
      <c r="CF1931" s="37"/>
      <c r="CG1931" s="37"/>
      <c r="CH1931" s="37"/>
      <c r="CI1931" s="243">
        <f t="shared" si="604"/>
        <v>7.6990469110892815E-3</v>
      </c>
      <c r="CJ1931" s="243">
        <f t="shared" si="605"/>
        <v>-2.1135630341617948</v>
      </c>
      <c r="CK1931" s="38">
        <f>BL1931/BJ1931</f>
        <v>0.75620235882432396</v>
      </c>
      <c r="CL1931" s="247">
        <f t="shared" si="606"/>
        <v>1.3037971703867657</v>
      </c>
      <c r="CM1931" s="247">
        <v>-2.8102336781339785</v>
      </c>
      <c r="CN1931" s="247">
        <f>BJ1931/(10^CM1931)</f>
        <v>8.5751682596712211</v>
      </c>
      <c r="CO1931" s="36"/>
      <c r="CP1931" s="36" t="s">
        <v>1766</v>
      </c>
      <c r="CQ1931" s="241">
        <v>-2.8102336781339785</v>
      </c>
      <c r="CR1931" s="241">
        <f t="shared" si="603"/>
        <v>4.9735975906093053</v>
      </c>
      <c r="CS1931" s="33"/>
      <c r="CT1931" s="33"/>
      <c r="CU1931" s="250">
        <f>X1931/CI1931</f>
        <v>11.724137931034484</v>
      </c>
      <c r="CV1931" s="337">
        <f>X1931/BJ1931</f>
        <v>6.8</v>
      </c>
      <c r="CW1931" s="330">
        <f t="shared" si="607"/>
        <v>1</v>
      </c>
      <c r="CX1931" s="330"/>
      <c r="CY1931" s="143" t="s">
        <v>5921</v>
      </c>
    </row>
    <row r="1932" spans="1:103" ht="11.25" customHeight="1" x14ac:dyDescent="0.2">
      <c r="A1932" s="72">
        <v>1930</v>
      </c>
      <c r="B1932" s="241">
        <v>837</v>
      </c>
      <c r="C1932" s="32" t="s">
        <v>2399</v>
      </c>
      <c r="D1932" s="32"/>
      <c r="E1932" s="40"/>
      <c r="F1932" s="40" t="s">
        <v>2400</v>
      </c>
      <c r="G1932" s="242">
        <v>68007971</v>
      </c>
      <c r="H1932" s="36"/>
      <c r="I1932" s="36"/>
      <c r="J1932" s="36"/>
      <c r="K1932" s="36"/>
      <c r="L1932" s="36"/>
      <c r="M1932" s="36"/>
      <c r="N1932" s="36"/>
      <c r="O1932" s="36"/>
      <c r="P1932" s="41"/>
      <c r="Q1932" s="41"/>
      <c r="R1932" s="41"/>
      <c r="S1932" s="41"/>
      <c r="T1932" s="37" t="s">
        <v>404</v>
      </c>
      <c r="U1932" s="243"/>
      <c r="V1932" s="243"/>
      <c r="W1932" s="243"/>
      <c r="X1932" s="243"/>
      <c r="Y1932" s="414"/>
      <c r="Z1932" s="37"/>
      <c r="AA1932" s="37"/>
      <c r="AB1932" s="37"/>
      <c r="AC1932" s="37"/>
      <c r="AD1932" s="37"/>
      <c r="AE1932" s="37"/>
      <c r="AF1932" s="37"/>
      <c r="AG1932" s="38" t="s">
        <v>5921</v>
      </c>
      <c r="AH1932" s="243"/>
      <c r="AI1932" s="243"/>
      <c r="AJ1932" s="34"/>
      <c r="AK1932" s="34"/>
      <c r="AL1932" s="34"/>
      <c r="AM1932" s="34"/>
      <c r="AN1932" s="244"/>
      <c r="AO1932" s="417"/>
      <c r="AP1932" s="417"/>
      <c r="AQ1932" s="37" t="s">
        <v>5921</v>
      </c>
      <c r="AR1932" s="37" t="s">
        <v>5921</v>
      </c>
      <c r="AS1932" s="241"/>
      <c r="AT1932" s="39" t="s">
        <v>266</v>
      </c>
      <c r="AU1932" s="245">
        <v>0</v>
      </c>
      <c r="AV1932" s="245">
        <v>48</v>
      </c>
      <c r="AW1932" s="37">
        <v>48</v>
      </c>
      <c r="AX1932" s="37">
        <v>25</v>
      </c>
      <c r="AY1932" s="37" t="s">
        <v>8722</v>
      </c>
      <c r="AZ1932" s="37" t="s">
        <v>2263</v>
      </c>
      <c r="BA1932" s="37">
        <v>20</v>
      </c>
      <c r="BB1932" s="36" t="s">
        <v>1764</v>
      </c>
      <c r="BC1932" s="36" t="s">
        <v>2264</v>
      </c>
      <c r="BD1932" s="36"/>
      <c r="BE1932" s="37" t="s">
        <v>2265</v>
      </c>
      <c r="BF1932" s="37" t="s">
        <v>2266</v>
      </c>
      <c r="BG1932" s="37" t="s">
        <v>2266</v>
      </c>
      <c r="BH1932" s="37" t="s">
        <v>272</v>
      </c>
      <c r="BI1932" s="243" t="s">
        <v>8722</v>
      </c>
      <c r="BJ1932" s="243" t="s">
        <v>8722</v>
      </c>
      <c r="BK1932" s="37" t="s">
        <v>2267</v>
      </c>
      <c r="BL1932" s="243"/>
      <c r="BM1932" s="37" t="s">
        <v>1584</v>
      </c>
      <c r="BN1932" s="37"/>
      <c r="BO1932" s="37">
        <v>1300</v>
      </c>
      <c r="BP1932" s="37" t="s">
        <v>2401</v>
      </c>
      <c r="BQ1932" s="37"/>
      <c r="BR1932" s="37"/>
      <c r="BS1932" s="37"/>
      <c r="BT1932" s="37"/>
      <c r="BU1932" s="246"/>
      <c r="BV1932" s="37"/>
      <c r="BW1932" s="37"/>
      <c r="BX1932" s="37"/>
      <c r="BY1932" s="37"/>
      <c r="BZ1932" s="37"/>
      <c r="CA1932" s="37"/>
      <c r="CB1932" s="37"/>
      <c r="CC1932" s="37"/>
      <c r="CD1932" s="37"/>
      <c r="CE1932" s="37"/>
      <c r="CF1932" s="37"/>
      <c r="CG1932" s="37"/>
      <c r="CH1932" s="37"/>
      <c r="CI1932" s="243">
        <f t="shared" si="604"/>
        <v>1300</v>
      </c>
      <c r="CJ1932" s="243">
        <f t="shared" si="605"/>
        <v>3.1139433523068369</v>
      </c>
      <c r="CK1932" s="38" t="s">
        <v>404</v>
      </c>
      <c r="CL1932" s="247">
        <f t="shared" si="606"/>
        <v>0</v>
      </c>
      <c r="CM1932" s="247"/>
      <c r="CN1932" s="247"/>
      <c r="CO1932" s="36"/>
      <c r="CP1932" s="36" t="s">
        <v>2268</v>
      </c>
      <c r="CQ1932" s="241">
        <v>0</v>
      </c>
      <c r="CR1932" s="241">
        <f t="shared" si="603"/>
        <v>1300.0000000000011</v>
      </c>
      <c r="CS1932" s="33"/>
      <c r="CT1932" s="33" t="s">
        <v>6310</v>
      </c>
      <c r="CU1932" s="250" t="s">
        <v>6310</v>
      </c>
      <c r="CV1932" s="337" t="s">
        <v>6310</v>
      </c>
      <c r="CW1932" s="330">
        <f t="shared" si="607"/>
        <v>1</v>
      </c>
      <c r="CX1932" s="330" t="s">
        <v>539</v>
      </c>
      <c r="CY1932" s="143" t="s">
        <v>5921</v>
      </c>
    </row>
    <row r="1933" spans="1:103" ht="11.25" customHeight="1" x14ac:dyDescent="0.2">
      <c r="A1933" s="72">
        <v>1931</v>
      </c>
      <c r="B1933" s="241">
        <v>838</v>
      </c>
      <c r="C1933" s="32" t="s">
        <v>2402</v>
      </c>
      <c r="D1933" s="32"/>
      <c r="E1933" s="40"/>
      <c r="F1933" s="40" t="s">
        <v>2403</v>
      </c>
      <c r="G1933" s="242">
        <v>68411303</v>
      </c>
      <c r="H1933" s="36" t="s">
        <v>2404</v>
      </c>
      <c r="I1933" s="36" t="s">
        <v>2404</v>
      </c>
      <c r="J1933" s="36"/>
      <c r="K1933" s="36" t="s">
        <v>426</v>
      </c>
      <c r="L1933" s="36"/>
      <c r="M1933" s="36"/>
      <c r="N1933" s="36"/>
      <c r="O1933" s="36"/>
      <c r="P1933" s="41"/>
      <c r="Q1933" s="41"/>
      <c r="R1933" s="41"/>
      <c r="S1933" s="41"/>
      <c r="T1933" s="37">
        <v>298.44</v>
      </c>
      <c r="U1933" s="243"/>
      <c r="V1933" s="243">
        <v>2.3783675110574991E-2</v>
      </c>
      <c r="W1933" s="243"/>
      <c r="X1933" s="243">
        <f>IF(W1933=0,V1933,W1933)</f>
        <v>2.3783675110574991E-2</v>
      </c>
      <c r="Y1933" s="414"/>
      <c r="Z1933" s="37">
        <v>3.8</v>
      </c>
      <c r="AA1933" s="37"/>
      <c r="AB1933" s="37">
        <v>3.61</v>
      </c>
      <c r="AC1933" s="37">
        <v>0.43240000000000001</v>
      </c>
      <c r="AD1933" s="37">
        <v>4.91</v>
      </c>
      <c r="AE1933" s="37">
        <v>5.71</v>
      </c>
      <c r="AF1933" s="37">
        <f>IF(AA1933=0,AD1933,AA1933)</f>
        <v>4.91</v>
      </c>
      <c r="AG1933" s="38">
        <v>4.91</v>
      </c>
      <c r="AH1933" s="243">
        <v>3.5600000000000001E-8</v>
      </c>
      <c r="AI1933" s="243"/>
      <c r="AJ1933" s="34">
        <f>LOG10(AH1933*1000/(0.08206*298.15))</f>
        <v>-5.8371163283397767</v>
      </c>
      <c r="AK1933" s="34"/>
      <c r="AL1933" s="34">
        <f>IF(AK1933=0,AJ1933,AK1933)</f>
        <v>-5.8371163283397767</v>
      </c>
      <c r="AM1933" s="34">
        <v>-12.031140000000001</v>
      </c>
      <c r="AN1933" s="244"/>
      <c r="AO1933" s="417"/>
      <c r="AP1933" s="417"/>
      <c r="AQ1933" s="37" t="s">
        <v>6311</v>
      </c>
      <c r="AR1933" s="37" t="s">
        <v>6311</v>
      </c>
      <c r="AS1933" s="241" t="s">
        <v>1154</v>
      </c>
      <c r="AT1933" s="39" t="s">
        <v>266</v>
      </c>
      <c r="AU1933" s="245">
        <v>0</v>
      </c>
      <c r="AV1933" s="37">
        <v>48</v>
      </c>
      <c r="AW1933" s="37">
        <v>48</v>
      </c>
      <c r="AX1933" s="37">
        <v>25</v>
      </c>
      <c r="AY1933" s="37" t="s">
        <v>8722</v>
      </c>
      <c r="AZ1933" s="37" t="s">
        <v>2263</v>
      </c>
      <c r="BA1933" s="37">
        <v>20</v>
      </c>
      <c r="BB1933" s="36" t="s">
        <v>1764</v>
      </c>
      <c r="BC1933" s="36" t="s">
        <v>2264</v>
      </c>
      <c r="BD1933" s="36"/>
      <c r="BE1933" s="37" t="s">
        <v>2265</v>
      </c>
      <c r="BF1933" s="37" t="s">
        <v>2266</v>
      </c>
      <c r="BG1933" s="37" t="s">
        <v>2266</v>
      </c>
      <c r="BH1933" s="37" t="s">
        <v>272</v>
      </c>
      <c r="BI1933" s="243" t="s">
        <v>8722</v>
      </c>
      <c r="BJ1933" s="243" t="s">
        <v>8722</v>
      </c>
      <c r="BK1933" s="37" t="s">
        <v>2267</v>
      </c>
      <c r="BL1933" s="243">
        <f>10^((-0.8981*Z1933)+1.7108)</f>
        <v>1.9861863825144193E-2</v>
      </c>
      <c r="BM1933" s="37" t="s">
        <v>1584</v>
      </c>
      <c r="BN1933" s="37"/>
      <c r="BO1933" s="37"/>
      <c r="BP1933" s="37">
        <v>1.9434392172631015E-2</v>
      </c>
      <c r="BQ1933" s="37"/>
      <c r="BR1933" s="37"/>
      <c r="BS1933" s="37"/>
      <c r="BT1933" s="37"/>
      <c r="BU1933" s="246"/>
      <c r="BV1933" s="37"/>
      <c r="BW1933" s="37"/>
      <c r="BX1933" s="37"/>
      <c r="BY1933" s="37"/>
      <c r="BZ1933" s="37"/>
      <c r="CA1933" s="37"/>
      <c r="CB1933" s="37"/>
      <c r="CC1933" s="37"/>
      <c r="CD1933" s="37"/>
      <c r="CE1933" s="37"/>
      <c r="CF1933" s="37"/>
      <c r="CG1933" s="37"/>
      <c r="CH1933" s="37"/>
      <c r="CI1933" s="243">
        <f t="shared" si="604"/>
        <v>1.9434392172631015E-2</v>
      </c>
      <c r="CJ1933" s="243">
        <f t="shared" si="605"/>
        <v>-1.7114290377546235</v>
      </c>
      <c r="CK1933" s="38" t="s">
        <v>404</v>
      </c>
      <c r="CL1933" s="247">
        <f t="shared" si="606"/>
        <v>1.0219956275820745</v>
      </c>
      <c r="CM1933" s="247"/>
      <c r="CN1933" s="247"/>
      <c r="CO1933" s="36"/>
      <c r="CP1933" s="36" t="s">
        <v>2268</v>
      </c>
      <c r="CQ1933" s="241">
        <v>-1.7672868552196246</v>
      </c>
      <c r="CR1933" s="241">
        <f t="shared" si="603"/>
        <v>1.1372549019607847</v>
      </c>
      <c r="CS1933" s="33"/>
      <c r="CT1933" s="33" t="s">
        <v>6310</v>
      </c>
      <c r="CU1933" s="250">
        <f>X1933/CI1933</f>
        <v>1.2237931034482759</v>
      </c>
      <c r="CV1933" s="337"/>
      <c r="CW1933" s="330">
        <f t="shared" si="607"/>
        <v>0</v>
      </c>
      <c r="CX1933" s="330" t="s">
        <v>539</v>
      </c>
      <c r="CY1933" s="143" t="s">
        <v>6351</v>
      </c>
    </row>
    <row r="1934" spans="1:103" ht="11.25" customHeight="1" x14ac:dyDescent="0.2">
      <c r="A1934" s="72">
        <v>1932</v>
      </c>
      <c r="B1934" s="241">
        <v>839</v>
      </c>
      <c r="C1934" s="32" t="s">
        <v>2405</v>
      </c>
      <c r="D1934" s="32"/>
      <c r="E1934" s="40"/>
      <c r="F1934" s="40" t="s">
        <v>2406</v>
      </c>
      <c r="G1934" s="242">
        <v>68439509</v>
      </c>
      <c r="H1934" s="36" t="s">
        <v>2397</v>
      </c>
      <c r="I1934" s="36" t="s">
        <v>2397</v>
      </c>
      <c r="J1934" s="36"/>
      <c r="K1934" s="36" t="s">
        <v>426</v>
      </c>
      <c r="L1934" s="36"/>
      <c r="M1934" s="36"/>
      <c r="N1934" s="36"/>
      <c r="O1934" s="36"/>
      <c r="P1934" s="41"/>
      <c r="Q1934" s="41"/>
      <c r="R1934" s="41"/>
      <c r="S1934" s="41"/>
      <c r="T1934" s="37">
        <v>214.39</v>
      </c>
      <c r="U1934" s="243"/>
      <c r="V1934" s="243">
        <v>1.3969867997574515E-3</v>
      </c>
      <c r="W1934" s="243"/>
      <c r="X1934" s="243">
        <f>IF(W1934=0,V1934,W1934)</f>
        <v>1.3969867997574515E-3</v>
      </c>
      <c r="Y1934" s="414"/>
      <c r="Z1934" s="37">
        <v>5.96</v>
      </c>
      <c r="AA1934" s="37"/>
      <c r="AB1934" s="37">
        <v>6.07</v>
      </c>
      <c r="AC1934" s="37">
        <v>0.8216</v>
      </c>
      <c r="AD1934" s="37">
        <v>6.13</v>
      </c>
      <c r="AE1934" s="37">
        <v>6.29</v>
      </c>
      <c r="AF1934" s="37">
        <f>IF(AA1934=0,AD1934,AA1934)</f>
        <v>6.13</v>
      </c>
      <c r="AG1934" s="38">
        <v>6.13</v>
      </c>
      <c r="AH1934" s="243">
        <v>2.58E-2</v>
      </c>
      <c r="AI1934" s="243"/>
      <c r="AJ1934" s="34">
        <f>LOG10(AH1934*1000/(0.08206*298.15))</f>
        <v>2.3053379650578385E-2</v>
      </c>
      <c r="AK1934" s="34"/>
      <c r="AL1934" s="34">
        <f>IF(AK1934=0,AJ1934,AK1934)</f>
        <v>2.3053379650578385E-2</v>
      </c>
      <c r="AM1934" s="34">
        <v>-2.6394800000000003</v>
      </c>
      <c r="AN1934" s="244"/>
      <c r="AO1934" s="417"/>
      <c r="AP1934" s="417"/>
      <c r="AQ1934" s="37" t="s">
        <v>6311</v>
      </c>
      <c r="AR1934" s="37" t="s">
        <v>6311</v>
      </c>
      <c r="AS1934" s="241" t="s">
        <v>1154</v>
      </c>
      <c r="AT1934" s="39" t="s">
        <v>266</v>
      </c>
      <c r="AU1934" s="245">
        <v>0</v>
      </c>
      <c r="AV1934" s="37">
        <v>48</v>
      </c>
      <c r="AW1934" s="37">
        <v>48</v>
      </c>
      <c r="AX1934" s="37">
        <v>25</v>
      </c>
      <c r="AY1934" s="37" t="s">
        <v>8722</v>
      </c>
      <c r="AZ1934" s="37" t="s">
        <v>2263</v>
      </c>
      <c r="BA1934" s="37">
        <v>20</v>
      </c>
      <c r="BB1934" s="36" t="s">
        <v>1764</v>
      </c>
      <c r="BC1934" s="36" t="s">
        <v>2264</v>
      </c>
      <c r="BD1934" s="36"/>
      <c r="BE1934" s="37" t="s">
        <v>2265</v>
      </c>
      <c r="BF1934" s="37" t="s">
        <v>2266</v>
      </c>
      <c r="BG1934" s="37" t="s">
        <v>2266</v>
      </c>
      <c r="BH1934" s="37" t="s">
        <v>272</v>
      </c>
      <c r="BI1934" s="243" t="s">
        <v>8722</v>
      </c>
      <c r="BJ1934" s="243" t="s">
        <v>8722</v>
      </c>
      <c r="BK1934" s="37" t="s">
        <v>2267</v>
      </c>
      <c r="BL1934" s="243">
        <f>10^((-0.8981*Z1934)+1.7108)</f>
        <v>2.2809932494843467E-4</v>
      </c>
      <c r="BM1934" s="37" t="s">
        <v>1584</v>
      </c>
      <c r="BN1934" s="37"/>
      <c r="BO1934" s="37"/>
      <c r="BP1934" s="37">
        <v>1.4459629646905175E-2</v>
      </c>
      <c r="BQ1934" s="37"/>
      <c r="BR1934" s="37"/>
      <c r="BS1934" s="37"/>
      <c r="BT1934" s="37"/>
      <c r="BU1934" s="246"/>
      <c r="BV1934" s="37"/>
      <c r="BW1934" s="37"/>
      <c r="BX1934" s="37"/>
      <c r="BY1934" s="37"/>
      <c r="BZ1934" s="37"/>
      <c r="CA1934" s="37"/>
      <c r="CB1934" s="37"/>
      <c r="CC1934" s="37"/>
      <c r="CD1934" s="37"/>
      <c r="CE1934" s="37"/>
      <c r="CF1934" s="37"/>
      <c r="CG1934" s="37"/>
      <c r="CH1934" s="37"/>
      <c r="CI1934" s="243">
        <f t="shared" si="604"/>
        <v>1.4459629646905175E-2</v>
      </c>
      <c r="CJ1934" s="243">
        <f t="shared" si="605"/>
        <v>-1.8398428304415737</v>
      </c>
      <c r="CK1934" s="38" t="s">
        <v>404</v>
      </c>
      <c r="CL1934" s="247">
        <f t="shared" si="606"/>
        <v>1.5774907830869322E-2</v>
      </c>
      <c r="CM1934" s="247"/>
      <c r="CN1934" s="247"/>
      <c r="CO1934" s="36"/>
      <c r="CP1934" s="36" t="s">
        <v>2268</v>
      </c>
      <c r="CQ1934" s="241">
        <v>-2.1850764885976086</v>
      </c>
      <c r="CR1934" s="241">
        <f t="shared" si="603"/>
        <v>2.2142857142857157</v>
      </c>
      <c r="CS1934" s="33"/>
      <c r="CT1934" s="33" t="s">
        <v>6310</v>
      </c>
      <c r="CU1934" s="250">
        <f>X1934/CI1934</f>
        <v>9.6612903225806443E-2</v>
      </c>
      <c r="CV1934" s="337"/>
      <c r="CW1934" s="330">
        <f t="shared" si="607"/>
        <v>0</v>
      </c>
      <c r="CX1934" s="330" t="s">
        <v>539</v>
      </c>
      <c r="CY1934" s="143" t="s">
        <v>6351</v>
      </c>
    </row>
    <row r="1935" spans="1:103" ht="11.25" customHeight="1" x14ac:dyDescent="0.2">
      <c r="A1935" s="72">
        <v>1933</v>
      </c>
      <c r="B1935" s="241">
        <v>840</v>
      </c>
      <c r="C1935" s="32" t="s">
        <v>2407</v>
      </c>
      <c r="D1935" s="32"/>
      <c r="E1935" s="40"/>
      <c r="F1935" s="40" t="s">
        <v>2408</v>
      </c>
      <c r="G1935" s="242">
        <v>68989037</v>
      </c>
      <c r="H1935" s="36" t="s">
        <v>2409</v>
      </c>
      <c r="I1935" s="36" t="s">
        <v>2409</v>
      </c>
      <c r="J1935" s="36"/>
      <c r="K1935" s="36" t="s">
        <v>426</v>
      </c>
      <c r="L1935" s="36"/>
      <c r="M1935" s="36"/>
      <c r="N1935" s="36"/>
      <c r="O1935" s="36"/>
      <c r="P1935" s="41"/>
      <c r="Q1935" s="41"/>
      <c r="R1935" s="41"/>
      <c r="S1935" s="41"/>
      <c r="T1935" s="37">
        <v>619.86</v>
      </c>
      <c r="U1935" s="243"/>
      <c r="V1935" s="243">
        <v>4.8672280837608495E-2</v>
      </c>
      <c r="W1935" s="243"/>
      <c r="X1935" s="243">
        <f>IF(W1935=0,V1935,W1935)</f>
        <v>4.8672280837608495E-2</v>
      </c>
      <c r="Y1935" s="414"/>
      <c r="Z1935" s="37">
        <v>0.7</v>
      </c>
      <c r="AA1935" s="37"/>
      <c r="AB1935" s="37">
        <v>0</v>
      </c>
      <c r="AC1935" s="37">
        <v>0</v>
      </c>
      <c r="AD1935" s="37">
        <v>0</v>
      </c>
      <c r="AE1935" s="37">
        <v>0</v>
      </c>
      <c r="AF1935" s="37"/>
      <c r="AG1935" s="38" t="s">
        <v>5921</v>
      </c>
      <c r="AH1935" s="243">
        <v>2.0299999999999999E-29</v>
      </c>
      <c r="AI1935" s="243"/>
      <c r="AJ1935" s="34">
        <f>LOG10(AH1935*1000/(0.08206*298.15))</f>
        <v>-27.081070288399438</v>
      </c>
      <c r="AK1935" s="34"/>
      <c r="AL1935" s="34">
        <f>IF(AK1935=0,AJ1935,AK1935)</f>
        <v>-27.081070288399438</v>
      </c>
      <c r="AM1935" s="34"/>
      <c r="AN1935" s="244"/>
      <c r="AO1935" s="417"/>
      <c r="AP1935" s="417"/>
      <c r="AQ1935" s="37" t="s">
        <v>6311</v>
      </c>
      <c r="AR1935" s="37" t="s">
        <v>6311</v>
      </c>
      <c r="AS1935" s="241" t="s">
        <v>1154</v>
      </c>
      <c r="AT1935" s="39" t="s">
        <v>266</v>
      </c>
      <c r="AU1935" s="245">
        <v>0</v>
      </c>
      <c r="AV1935" s="37">
        <v>48</v>
      </c>
      <c r="AW1935" s="37">
        <v>48</v>
      </c>
      <c r="AX1935" s="37">
        <v>25</v>
      </c>
      <c r="AY1935" s="37" t="s">
        <v>8722</v>
      </c>
      <c r="AZ1935" s="37" t="s">
        <v>2263</v>
      </c>
      <c r="BA1935" s="37">
        <v>20</v>
      </c>
      <c r="BB1935" s="36" t="s">
        <v>1764</v>
      </c>
      <c r="BC1935" s="36" t="s">
        <v>2264</v>
      </c>
      <c r="BD1935" s="36"/>
      <c r="BE1935" s="37" t="s">
        <v>2265</v>
      </c>
      <c r="BF1935" s="37" t="s">
        <v>2266</v>
      </c>
      <c r="BG1935" s="37" t="s">
        <v>2266</v>
      </c>
      <c r="BH1935" s="37" t="s">
        <v>272</v>
      </c>
      <c r="BI1935" s="243" t="s">
        <v>8722</v>
      </c>
      <c r="BJ1935" s="243" t="s">
        <v>8722</v>
      </c>
      <c r="BK1935" s="37" t="s">
        <v>2267</v>
      </c>
      <c r="BL1935" s="243">
        <f>10^((-0.8981*Z1935)+1.7108)</f>
        <v>12.081754314606334</v>
      </c>
      <c r="BM1935" s="37" t="s">
        <v>1584</v>
      </c>
      <c r="BN1935" s="37"/>
      <c r="BO1935" s="37"/>
      <c r="BP1935" s="37">
        <v>1.0324912076920595E-2</v>
      </c>
      <c r="BQ1935" s="37"/>
      <c r="BR1935" s="37"/>
      <c r="BS1935" s="37"/>
      <c r="BT1935" s="37"/>
      <c r="BU1935" s="246"/>
      <c r="BV1935" s="37"/>
      <c r="BW1935" s="37"/>
      <c r="BX1935" s="37"/>
      <c r="BY1935" s="37"/>
      <c r="BZ1935" s="37"/>
      <c r="CA1935" s="37"/>
      <c r="CB1935" s="37"/>
      <c r="CC1935" s="37"/>
      <c r="CD1935" s="37"/>
      <c r="CE1935" s="37"/>
      <c r="CF1935" s="37"/>
      <c r="CG1935" s="37"/>
      <c r="CH1935" s="37"/>
      <c r="CI1935" s="243">
        <f t="shared" si="604"/>
        <v>1.0324912076920595E-2</v>
      </c>
      <c r="CJ1935" s="243">
        <f t="shared" si="605"/>
        <v>-1.9861136379447624</v>
      </c>
      <c r="CK1935" s="38" t="s">
        <v>404</v>
      </c>
      <c r="CL1935" s="247">
        <f t="shared" si="606"/>
        <v>1170.1556608518565</v>
      </c>
      <c r="CM1935" s="247"/>
      <c r="CN1935" s="247"/>
      <c r="CO1935" s="36"/>
      <c r="CP1935" s="36" t="s">
        <v>2268</v>
      </c>
      <c r="CQ1935" s="241" t="s">
        <v>272</v>
      </c>
      <c r="CR1935" s="241"/>
      <c r="CS1935" s="33"/>
      <c r="CT1935" s="33" t="s">
        <v>6310</v>
      </c>
      <c r="CU1935" s="250">
        <f>X1935/CI1935</f>
        <v>4.7140624999999998</v>
      </c>
      <c r="CV1935" s="337"/>
      <c r="CW1935" s="330">
        <f t="shared" si="607"/>
        <v>1</v>
      </c>
      <c r="CX1935" s="330" t="s">
        <v>539</v>
      </c>
      <c r="CY1935" s="143" t="s">
        <v>5921</v>
      </c>
    </row>
    <row r="1936" spans="1:103" ht="11.25" customHeight="1" x14ac:dyDescent="0.2">
      <c r="A1936" s="72">
        <v>1934</v>
      </c>
      <c r="B1936" s="241">
        <v>851</v>
      </c>
      <c r="C1936" s="32" t="s">
        <v>4102</v>
      </c>
      <c r="D1936" s="32" t="s">
        <v>6610</v>
      </c>
      <c r="E1936" s="40"/>
      <c r="F1936" s="40" t="s">
        <v>4103</v>
      </c>
      <c r="G1936" s="242">
        <v>70124775</v>
      </c>
      <c r="H1936" s="36" t="s">
        <v>4104</v>
      </c>
      <c r="I1936" s="36" t="s">
        <v>7913</v>
      </c>
      <c r="J1936" s="36" t="s">
        <v>4105</v>
      </c>
      <c r="K1936" s="36" t="s">
        <v>1711</v>
      </c>
      <c r="L1936" s="36" t="s">
        <v>617</v>
      </c>
      <c r="M1936" s="36" t="s">
        <v>1086</v>
      </c>
      <c r="N1936" s="36"/>
      <c r="O1936" s="36" t="s">
        <v>918</v>
      </c>
      <c r="P1936" s="41"/>
      <c r="Q1936" s="41"/>
      <c r="R1936" s="41"/>
      <c r="S1936" s="41"/>
      <c r="T1936" s="37">
        <v>451.46</v>
      </c>
      <c r="U1936" s="243">
        <v>1.3290213972444958E-4</v>
      </c>
      <c r="V1936" s="243">
        <v>8.9022283258760474E-6</v>
      </c>
      <c r="W1936" s="243">
        <v>1.3489628825916512E-4</v>
      </c>
      <c r="X1936" s="243">
        <v>1.3290213972444958E-4</v>
      </c>
      <c r="Y1936" s="414">
        <v>7</v>
      </c>
      <c r="Z1936" s="37">
        <v>6.56</v>
      </c>
      <c r="AA1936" s="37">
        <v>6.2</v>
      </c>
      <c r="AB1936" s="37">
        <v>6</v>
      </c>
      <c r="AC1936" s="37">
        <v>0.81779999999999997</v>
      </c>
      <c r="AD1936" s="37">
        <v>6.04</v>
      </c>
      <c r="AE1936" s="37">
        <v>6.17</v>
      </c>
      <c r="AF1936" s="37">
        <f>IF(AA1936=0,AD1936,AA1936)</f>
        <v>6.2</v>
      </c>
      <c r="AG1936" s="38">
        <v>6.24</v>
      </c>
      <c r="AH1936" s="243">
        <v>3.7499999999999998E-8</v>
      </c>
      <c r="AI1936" s="243">
        <v>8.6099999999999997E-8</v>
      </c>
      <c r="AJ1936" s="34">
        <f>LOG10(AH1936*1000/(0.08206*298.15))</f>
        <v>-5.8145350585849327</v>
      </c>
      <c r="AK1936" s="34">
        <f>LOG10(AI1936*1000/(0.08206*298.15))</f>
        <v>-5.4535631748589974</v>
      </c>
      <c r="AL1936" s="34">
        <f>IF(AK1936=0,AJ1936,AK1936)</f>
        <v>-5.4535631748589974</v>
      </c>
      <c r="AM1936" s="34">
        <v>-16.798259999999999</v>
      </c>
      <c r="AN1936" s="244">
        <v>-6.32</v>
      </c>
      <c r="AO1936" s="417"/>
      <c r="AP1936" s="417"/>
      <c r="AQ1936" s="244" t="s">
        <v>6311</v>
      </c>
      <c r="AR1936" s="244" t="s">
        <v>6312</v>
      </c>
      <c r="AS1936" s="241" t="s">
        <v>6</v>
      </c>
      <c r="AT1936" s="39" t="s">
        <v>266</v>
      </c>
      <c r="AU1936" s="37">
        <v>2</v>
      </c>
      <c r="AV1936" s="37">
        <v>48</v>
      </c>
      <c r="AW1936" s="37">
        <v>48</v>
      </c>
      <c r="AX1936" s="37">
        <v>26</v>
      </c>
      <c r="AY1936" s="37" t="s">
        <v>647</v>
      </c>
      <c r="AZ1936" s="37" t="s">
        <v>1920</v>
      </c>
      <c r="BA1936" s="37">
        <v>10</v>
      </c>
      <c r="BB1936" s="36" t="s">
        <v>1613</v>
      </c>
      <c r="BC1936" s="36" t="s">
        <v>538</v>
      </c>
      <c r="BD1936" s="36"/>
      <c r="BE1936" s="37" t="s">
        <v>271</v>
      </c>
      <c r="BF1936" s="37" t="s">
        <v>272</v>
      </c>
      <c r="BG1936" s="37" t="s">
        <v>272</v>
      </c>
      <c r="BH1936" s="37" t="s">
        <v>4089</v>
      </c>
      <c r="BI1936" s="243">
        <v>2.2150356620741596E-7</v>
      </c>
      <c r="BJ1936" s="243">
        <v>3.544057059318655E-5</v>
      </c>
      <c r="BK1936" s="37"/>
      <c r="BL1936" s="243">
        <f>10^((-0.8981*Z1936)+1.7108)</f>
        <v>6.5957471731033961E-5</v>
      </c>
      <c r="BM1936" s="37" t="s">
        <v>541</v>
      </c>
      <c r="BN1936" s="37"/>
      <c r="BO1936" s="37"/>
      <c r="BP1936" s="37"/>
      <c r="BQ1936" s="37"/>
      <c r="BR1936" s="37"/>
      <c r="BS1936" s="37"/>
      <c r="BT1936" s="37"/>
      <c r="BU1936" s="246"/>
      <c r="BV1936" s="37"/>
      <c r="BW1936" s="37"/>
      <c r="BX1936" s="37"/>
      <c r="BY1936" s="37"/>
      <c r="BZ1936" s="37"/>
      <c r="CA1936" s="37"/>
      <c r="CB1936" s="37"/>
      <c r="CC1936" s="37"/>
      <c r="CD1936" s="37"/>
      <c r="CE1936" s="37"/>
      <c r="CF1936" s="37"/>
      <c r="CG1936" s="37"/>
      <c r="CH1936" s="37"/>
      <c r="CI1936" s="243"/>
      <c r="CJ1936" s="243"/>
      <c r="CK1936" s="38">
        <f>BL1936/BJ1936</f>
        <v>1.8610725117307869</v>
      </c>
      <c r="CL1936" s="247"/>
      <c r="CM1936" s="247"/>
      <c r="CN1936" s="247"/>
      <c r="CO1936" s="36" t="s">
        <v>4073</v>
      </c>
      <c r="CP1936" s="36" t="s">
        <v>4101</v>
      </c>
      <c r="CQ1936" s="241">
        <v>-6.0377966470998574</v>
      </c>
      <c r="CR1936" s="241">
        <f>10^(CJ1936-CQ1936)</f>
        <v>1090929.4029392698</v>
      </c>
      <c r="CS1936" s="33"/>
      <c r="CT1936" s="33"/>
      <c r="CU1936" s="250"/>
      <c r="CV1936" s="337">
        <f>X1936/BJ1936</f>
        <v>3.7500000000000004</v>
      </c>
      <c r="CW1936" s="330">
        <f>IF(CV1936&lt;1,0,1)</f>
        <v>1</v>
      </c>
      <c r="CX1936" s="330"/>
      <c r="CY1936" s="143" t="s">
        <v>5921</v>
      </c>
    </row>
    <row r="1937" spans="1:103" ht="11.25" customHeight="1" x14ac:dyDescent="0.2">
      <c r="A1937" s="72">
        <v>1935</v>
      </c>
      <c r="B1937" s="241">
        <v>798</v>
      </c>
      <c r="C1937" s="32" t="s">
        <v>4085</v>
      </c>
      <c r="D1937" s="32"/>
      <c r="E1937" s="40"/>
      <c r="F1937" s="40" t="s">
        <v>4086</v>
      </c>
      <c r="G1937" s="242">
        <v>70161114</v>
      </c>
      <c r="H1937" s="36"/>
      <c r="I1937" s="36"/>
      <c r="J1937" s="36" t="s">
        <v>4087</v>
      </c>
      <c r="K1937" s="36"/>
      <c r="L1937" s="36"/>
      <c r="M1937" s="36"/>
      <c r="N1937" s="36"/>
      <c r="O1937" s="36"/>
      <c r="P1937" s="41"/>
      <c r="Q1937" s="41"/>
      <c r="R1937" s="41"/>
      <c r="S1937" s="41"/>
      <c r="T1937" s="37">
        <v>875.1</v>
      </c>
      <c r="U1937" s="243"/>
      <c r="V1937" s="243"/>
      <c r="W1937" s="243">
        <v>0.21877616239495512</v>
      </c>
      <c r="X1937" s="243">
        <f>IF(W1937=0,V1937,W1937)</f>
        <v>0.21877616239495512</v>
      </c>
      <c r="Y1937" s="414">
        <v>7</v>
      </c>
      <c r="Z1937" s="37"/>
      <c r="AA1937" s="37"/>
      <c r="AB1937" s="37"/>
      <c r="AC1937" s="37"/>
      <c r="AD1937" s="37"/>
      <c r="AE1937" s="37"/>
      <c r="AF1937" s="37"/>
      <c r="AG1937" s="38">
        <v>4.6399999999999997</v>
      </c>
      <c r="AH1937" s="243"/>
      <c r="AI1937" s="243"/>
      <c r="AJ1937" s="34"/>
      <c r="AK1937" s="34"/>
      <c r="AL1937" s="34"/>
      <c r="AM1937" s="34"/>
      <c r="AN1937" s="244">
        <v>-29.4</v>
      </c>
      <c r="AO1937" s="417">
        <v>12.42</v>
      </c>
      <c r="AP1937" s="417"/>
      <c r="AQ1937" s="244" t="s">
        <v>6311</v>
      </c>
      <c r="AR1937" s="244" t="s">
        <v>6311</v>
      </c>
      <c r="AS1937" s="241" t="s">
        <v>63</v>
      </c>
      <c r="AT1937" s="39" t="s">
        <v>266</v>
      </c>
      <c r="AU1937" s="37">
        <v>2</v>
      </c>
      <c r="AV1937" s="37">
        <v>48</v>
      </c>
      <c r="AW1937" s="37">
        <v>48</v>
      </c>
      <c r="AX1937" s="37">
        <v>26</v>
      </c>
      <c r="AY1937" s="37" t="s">
        <v>8722</v>
      </c>
      <c r="AZ1937" s="37" t="s">
        <v>4080</v>
      </c>
      <c r="BA1937" s="37">
        <v>10</v>
      </c>
      <c r="BB1937" s="36" t="s">
        <v>4088</v>
      </c>
      <c r="BC1937" s="36" t="s">
        <v>1887</v>
      </c>
      <c r="BD1937" s="36"/>
      <c r="BE1937" s="37" t="s">
        <v>1712</v>
      </c>
      <c r="BF1937" s="37" t="s">
        <v>540</v>
      </c>
      <c r="BG1937" s="37" t="s">
        <v>540</v>
      </c>
      <c r="BH1937" s="37" t="s">
        <v>4089</v>
      </c>
      <c r="BI1937" s="248">
        <v>2.2854530910753056E-7</v>
      </c>
      <c r="BJ1937" s="248">
        <v>4.570906182150611E-3</v>
      </c>
      <c r="BK1937" s="37"/>
      <c r="BL1937" s="243"/>
      <c r="BM1937" s="37" t="s">
        <v>541</v>
      </c>
      <c r="BN1937" s="37"/>
      <c r="BO1937" s="37"/>
      <c r="BP1937" s="37"/>
      <c r="BQ1937" s="37"/>
      <c r="BR1937" s="37"/>
      <c r="BS1937" s="37"/>
      <c r="BT1937" s="37"/>
      <c r="BU1937" s="246"/>
      <c r="BV1937" s="37"/>
      <c r="BW1937" s="37"/>
      <c r="BX1937" s="37"/>
      <c r="BY1937" s="37"/>
      <c r="BZ1937" s="37"/>
      <c r="CA1937" s="37"/>
      <c r="CB1937" s="37"/>
      <c r="CC1937" s="37"/>
      <c r="CD1937" s="37"/>
      <c r="CE1937" s="37"/>
      <c r="CF1937" s="37"/>
      <c r="CG1937" s="37"/>
      <c r="CH1937" s="37"/>
      <c r="CI1937" s="243"/>
      <c r="CJ1937" s="243"/>
      <c r="CK1937" s="38">
        <f>BL1937/BJ1937</f>
        <v>0</v>
      </c>
      <c r="CL1937" s="247"/>
      <c r="CM1937" s="247"/>
      <c r="CN1937" s="247"/>
      <c r="CO1937" s="36" t="s">
        <v>1888</v>
      </c>
      <c r="CP1937" s="36" t="s">
        <v>1889</v>
      </c>
      <c r="CQ1937" s="241" t="s">
        <v>272</v>
      </c>
      <c r="CR1937" s="241"/>
      <c r="CS1937" s="271"/>
      <c r="CT1937" s="271"/>
      <c r="CU1937" s="250"/>
      <c r="CV1937" s="337">
        <f>X1937/BJ1937</f>
        <v>47.86275492795631</v>
      </c>
      <c r="CW1937" s="330">
        <f>IF(CV1937&lt;1,0,1)</f>
        <v>1</v>
      </c>
      <c r="CX1937" s="330" t="s">
        <v>539</v>
      </c>
      <c r="CY1937" s="143" t="s">
        <v>5921</v>
      </c>
    </row>
    <row r="1938" spans="1:103" ht="11.25" customHeight="1" x14ac:dyDescent="0.2">
      <c r="A1938" s="72">
        <v>1936</v>
      </c>
      <c r="B1938" s="241">
        <v>2119</v>
      </c>
      <c r="C1938" s="32" t="s">
        <v>5823</v>
      </c>
      <c r="D1938" s="32" t="s">
        <v>6532</v>
      </c>
      <c r="E1938" s="40"/>
      <c r="F1938" s="40" t="s">
        <v>914</v>
      </c>
      <c r="G1938" s="242">
        <v>71751412</v>
      </c>
      <c r="H1938" s="41" t="s">
        <v>915</v>
      </c>
      <c r="I1938" s="41"/>
      <c r="J1938" s="41" t="s">
        <v>916</v>
      </c>
      <c r="K1938" s="41"/>
      <c r="L1938" s="41" t="s">
        <v>617</v>
      </c>
      <c r="M1938" s="41" t="s">
        <v>917</v>
      </c>
      <c r="N1938" s="36"/>
      <c r="O1938" s="41" t="s">
        <v>918</v>
      </c>
      <c r="P1938" s="41"/>
      <c r="Q1938" s="41"/>
      <c r="R1938" s="41"/>
      <c r="S1938" s="41"/>
      <c r="T1938" s="33" t="s">
        <v>5824</v>
      </c>
      <c r="U1938" s="250"/>
      <c r="V1938" s="243"/>
      <c r="W1938" s="243">
        <v>0.22387211385683381</v>
      </c>
      <c r="X1938" s="243">
        <f>IF(W1938=0,V1938,W1938)</f>
        <v>0.22387211385683381</v>
      </c>
      <c r="Y1938" s="415">
        <v>7</v>
      </c>
      <c r="Z1938" s="33"/>
      <c r="AA1938" s="33"/>
      <c r="AB1938" s="33"/>
      <c r="AC1938" s="33"/>
      <c r="AD1938" s="33"/>
      <c r="AE1938" s="33"/>
      <c r="AF1938" s="33"/>
      <c r="AG1938" s="34">
        <v>4.5199999999999996</v>
      </c>
      <c r="AH1938" s="250"/>
      <c r="AI1938" s="250"/>
      <c r="AJ1938" s="34"/>
      <c r="AK1938" s="34"/>
      <c r="AL1938" s="34"/>
      <c r="AM1938" s="34"/>
      <c r="AN1938" s="251">
        <v>-29.896000000000001</v>
      </c>
      <c r="AO1938" s="417">
        <v>12.42</v>
      </c>
      <c r="AP1938" s="417"/>
      <c r="AQ1938" s="251" t="s">
        <v>6311</v>
      </c>
      <c r="AR1938" s="251" t="s">
        <v>6311</v>
      </c>
      <c r="AS1938" s="252" t="s">
        <v>5466</v>
      </c>
      <c r="AT1938" s="35" t="s">
        <v>266</v>
      </c>
      <c r="AU1938" s="33">
        <v>5</v>
      </c>
      <c r="AV1938" s="33">
        <v>25</v>
      </c>
      <c r="AW1938" s="33">
        <v>20</v>
      </c>
      <c r="AX1938" s="33">
        <v>28</v>
      </c>
      <c r="AY1938" s="33" t="s">
        <v>267</v>
      </c>
      <c r="AZ1938" s="33" t="s">
        <v>5820</v>
      </c>
      <c r="BA1938" s="33"/>
      <c r="BB1938" s="41" t="s">
        <v>5821</v>
      </c>
      <c r="BC1938" s="41" t="s">
        <v>8377</v>
      </c>
      <c r="BD1938" s="41"/>
      <c r="BE1938" s="33" t="s">
        <v>2449</v>
      </c>
      <c r="BF1938" s="33"/>
      <c r="BG1938" s="33"/>
      <c r="BH1938" s="33" t="s">
        <v>5626</v>
      </c>
      <c r="BI1938" s="250"/>
      <c r="BJ1938" s="250">
        <v>0.05</v>
      </c>
      <c r="BK1938" s="254"/>
      <c r="BL1938" s="250"/>
      <c r="BM1938" s="33"/>
      <c r="BN1938" s="33" t="s">
        <v>5822</v>
      </c>
      <c r="BO1938" s="33"/>
      <c r="BP1938" s="33"/>
      <c r="BQ1938" s="33"/>
      <c r="BR1938" s="33"/>
      <c r="BS1938" s="33"/>
      <c r="BT1938" s="33"/>
      <c r="BU1938" s="246"/>
      <c r="BV1938" s="33"/>
      <c r="BW1938" s="33"/>
      <c r="BX1938" s="33"/>
      <c r="BY1938" s="33"/>
      <c r="BZ1938" s="33"/>
      <c r="CA1938" s="33"/>
      <c r="CB1938" s="33"/>
      <c r="CC1938" s="33"/>
      <c r="CD1938" s="33"/>
      <c r="CE1938" s="33"/>
      <c r="CF1938" s="33"/>
      <c r="CG1938" s="33"/>
      <c r="CH1938" s="33"/>
      <c r="CI1938" s="250"/>
      <c r="CJ1938" s="243"/>
      <c r="CK1938" s="38">
        <f>BL1938/BJ1938</f>
        <v>0</v>
      </c>
      <c r="CL1938" s="247"/>
      <c r="CM1938" s="247"/>
      <c r="CN1938" s="247"/>
      <c r="CO1938" s="41"/>
      <c r="CP1938" s="255" t="s">
        <v>8376</v>
      </c>
      <c r="CQ1938" s="241">
        <v>-3.1122353103240314</v>
      </c>
      <c r="CR1938" s="241">
        <f>10^(CJ1938-CQ1938)</f>
        <v>1294.8972552901616</v>
      </c>
      <c r="CS1938" s="33"/>
      <c r="CT1938" s="33"/>
      <c r="CU1938" s="250"/>
      <c r="CV1938" s="337">
        <f>X1938/BJ1938</f>
        <v>4.4774422771366762</v>
      </c>
      <c r="CW1938" s="330">
        <f>IF(CV1938&lt;1,0,1)</f>
        <v>1</v>
      </c>
      <c r="CX1938" s="330"/>
      <c r="CY1938" s="143" t="s">
        <v>5921</v>
      </c>
    </row>
    <row r="1939" spans="1:103" ht="11.25" customHeight="1" x14ac:dyDescent="0.2">
      <c r="A1939" s="72">
        <v>1937</v>
      </c>
      <c r="B1939" s="241">
        <v>841</v>
      </c>
      <c r="C1939" s="32" t="s">
        <v>2410</v>
      </c>
      <c r="D1939" s="32"/>
      <c r="E1939" s="40"/>
      <c r="F1939" s="40" t="s">
        <v>2411</v>
      </c>
      <c r="G1939" s="242">
        <v>72674056</v>
      </c>
      <c r="H1939" s="36"/>
      <c r="I1939" s="36"/>
      <c r="J1939" s="36"/>
      <c r="K1939" s="36"/>
      <c r="L1939" s="36"/>
      <c r="M1939" s="36"/>
      <c r="N1939" s="36"/>
      <c r="O1939" s="36"/>
      <c r="P1939" s="41"/>
      <c r="Q1939" s="41"/>
      <c r="R1939" s="41"/>
      <c r="S1939" s="41"/>
      <c r="T1939" s="37" t="s">
        <v>404</v>
      </c>
      <c r="U1939" s="243"/>
      <c r="V1939" s="243"/>
      <c r="W1939" s="243"/>
      <c r="X1939" s="243"/>
      <c r="Y1939" s="414"/>
      <c r="Z1939" s="37"/>
      <c r="AA1939" s="37"/>
      <c r="AB1939" s="37"/>
      <c r="AC1939" s="37"/>
      <c r="AD1939" s="37"/>
      <c r="AE1939" s="37"/>
      <c r="AF1939" s="37"/>
      <c r="AG1939" s="38" t="s">
        <v>5921</v>
      </c>
      <c r="AH1939" s="243"/>
      <c r="AI1939" s="243"/>
      <c r="AJ1939" s="34"/>
      <c r="AK1939" s="34"/>
      <c r="AL1939" s="34"/>
      <c r="AM1939" s="34"/>
      <c r="AN1939" s="244"/>
      <c r="AO1939" s="417"/>
      <c r="AP1939" s="417"/>
      <c r="AQ1939" s="37" t="s">
        <v>6317</v>
      </c>
      <c r="AR1939" s="37" t="s">
        <v>6317</v>
      </c>
      <c r="AS1939" s="241" t="s">
        <v>6</v>
      </c>
      <c r="AT1939" s="39" t="s">
        <v>266</v>
      </c>
      <c r="AU1939" s="245">
        <v>0</v>
      </c>
      <c r="AV1939" s="37">
        <v>48</v>
      </c>
      <c r="AW1939" s="37">
        <v>48</v>
      </c>
      <c r="AX1939" s="37">
        <v>25</v>
      </c>
      <c r="AY1939" s="37" t="s">
        <v>8722</v>
      </c>
      <c r="AZ1939" s="37" t="s">
        <v>2263</v>
      </c>
      <c r="BA1939" s="37">
        <v>20</v>
      </c>
      <c r="BB1939" s="36" t="s">
        <v>1764</v>
      </c>
      <c r="BC1939" s="36" t="s">
        <v>2264</v>
      </c>
      <c r="BD1939" s="36"/>
      <c r="BE1939" s="37" t="s">
        <v>2265</v>
      </c>
      <c r="BF1939" s="37" t="s">
        <v>2266</v>
      </c>
      <c r="BG1939" s="37" t="s">
        <v>2266</v>
      </c>
      <c r="BH1939" s="37" t="s">
        <v>272</v>
      </c>
      <c r="BI1939" s="243" t="s">
        <v>8722</v>
      </c>
      <c r="BJ1939" s="243" t="s">
        <v>8722</v>
      </c>
      <c r="BK1939" s="37" t="s">
        <v>2267</v>
      </c>
      <c r="BL1939" s="243"/>
      <c r="BM1939" s="37" t="s">
        <v>1584</v>
      </c>
      <c r="BN1939" s="37"/>
      <c r="BO1939" s="37" t="s">
        <v>2412</v>
      </c>
      <c r="BP1939" s="37"/>
      <c r="BQ1939" s="37"/>
      <c r="BR1939" s="37"/>
      <c r="BS1939" s="37"/>
      <c r="BT1939" s="37"/>
      <c r="BU1939" s="246"/>
      <c r="BV1939" s="37"/>
      <c r="BW1939" s="37"/>
      <c r="BX1939" s="37"/>
      <c r="BY1939" s="37"/>
      <c r="BZ1939" s="37"/>
      <c r="CA1939" s="37"/>
      <c r="CB1939" s="37"/>
      <c r="CC1939" s="37"/>
      <c r="CD1939" s="37"/>
      <c r="CE1939" s="37"/>
      <c r="CF1939" s="37"/>
      <c r="CG1939" s="37"/>
      <c r="CH1939" s="37"/>
      <c r="CI1939" s="243"/>
      <c r="CJ1939" s="243"/>
      <c r="CK1939" s="38" t="s">
        <v>404</v>
      </c>
      <c r="CL1939" s="247"/>
      <c r="CM1939" s="247"/>
      <c r="CN1939" s="247"/>
      <c r="CO1939" s="36"/>
      <c r="CP1939" s="36" t="s">
        <v>2268</v>
      </c>
      <c r="CQ1939" s="241">
        <v>0</v>
      </c>
      <c r="CR1939" s="241">
        <f>10^(CJ1939-CQ1939)</f>
        <v>1</v>
      </c>
      <c r="CS1939" s="33"/>
      <c r="CT1939" s="33" t="s">
        <v>6310</v>
      </c>
      <c r="CU1939" s="250" t="s">
        <v>6310</v>
      </c>
      <c r="CV1939" s="337" t="s">
        <v>6310</v>
      </c>
      <c r="CW1939" s="330">
        <f>IF(CV1939&lt;1,0,1)</f>
        <v>1</v>
      </c>
      <c r="CX1939" s="330" t="s">
        <v>539</v>
      </c>
      <c r="CY1939" s="143" t="s">
        <v>5921</v>
      </c>
    </row>
    <row r="1940" spans="1:103" ht="11.25" customHeight="1" x14ac:dyDescent="0.2">
      <c r="A1940" s="72">
        <v>1938</v>
      </c>
      <c r="B1940" s="241">
        <v>2081</v>
      </c>
      <c r="C1940" s="32" t="s">
        <v>5739</v>
      </c>
      <c r="D1940" s="32"/>
      <c r="E1940" s="40"/>
      <c r="F1940" s="40" t="s">
        <v>5740</v>
      </c>
      <c r="G1940" s="242">
        <v>76706553</v>
      </c>
      <c r="H1940" s="41" t="s">
        <v>5741</v>
      </c>
      <c r="I1940" s="41" t="s">
        <v>8267</v>
      </c>
      <c r="J1940" s="41" t="s">
        <v>5742</v>
      </c>
      <c r="K1940" s="41" t="s">
        <v>1025</v>
      </c>
      <c r="L1940" s="41"/>
      <c r="M1940" s="41"/>
      <c r="N1940" s="36"/>
      <c r="O1940" s="41"/>
      <c r="P1940" s="41"/>
      <c r="Q1940" s="41"/>
      <c r="R1940" s="41"/>
      <c r="S1940" s="41"/>
      <c r="T1940" s="33">
        <v>487.68</v>
      </c>
      <c r="U1940" s="250"/>
      <c r="V1940" s="250">
        <v>7.7120242782152232E-5</v>
      </c>
      <c r="W1940" s="250">
        <v>5.8884365535558742E-4</v>
      </c>
      <c r="X1940" s="250">
        <f>IF(W1940=0,V1940,W1940)</f>
        <v>5.8884365535558742E-4</v>
      </c>
      <c r="Y1940" s="415">
        <v>7</v>
      </c>
      <c r="Z1940" s="33">
        <v>5.0999999999999996</v>
      </c>
      <c r="AA1940" s="33"/>
      <c r="AB1940" s="33">
        <v>3.97</v>
      </c>
      <c r="AC1940" s="33">
        <v>0.59340000000000004</v>
      </c>
      <c r="AD1940" s="33">
        <v>4.58</v>
      </c>
      <c r="AE1940" s="33">
        <v>5.6</v>
      </c>
      <c r="AF1940" s="33">
        <f>IF(AA1940=0,AD1940,AA1940)</f>
        <v>4.58</v>
      </c>
      <c r="AG1940" s="34">
        <v>4.58</v>
      </c>
      <c r="AH1940" s="250">
        <v>2.7099999999999999E-19</v>
      </c>
      <c r="AI1940" s="250"/>
      <c r="AJ1940" s="34">
        <f t="shared" ref="AJ1940:AJ1946" si="608">LOG10(AH1940*1000/(0.08206*298.15))</f>
        <v>-16.955597035438245</v>
      </c>
      <c r="AK1940" s="34"/>
      <c r="AL1940" s="34">
        <f t="shared" ref="AL1940:AL1946" si="609">IF(AK1940=0,AJ1940,AK1940)</f>
        <v>-16.955597035438245</v>
      </c>
      <c r="AM1940" s="34">
        <v>-23.440049999999999</v>
      </c>
      <c r="AN1940" s="251"/>
      <c r="AO1940" s="417">
        <v>14.07</v>
      </c>
      <c r="AP1940" s="417">
        <v>0.36</v>
      </c>
      <c r="AQ1940" s="251" t="s">
        <v>6311</v>
      </c>
      <c r="AR1940" s="251" t="s">
        <v>6311</v>
      </c>
      <c r="AS1940" s="252" t="s">
        <v>5466</v>
      </c>
      <c r="AT1940" s="35" t="s">
        <v>266</v>
      </c>
      <c r="AU1940" s="33">
        <v>4</v>
      </c>
      <c r="AV1940" s="33">
        <v>80</v>
      </c>
      <c r="AW1940" s="33">
        <v>76</v>
      </c>
      <c r="AX1940" s="33">
        <v>28</v>
      </c>
      <c r="AY1940" s="33" t="s">
        <v>267</v>
      </c>
      <c r="AZ1940" s="33" t="s">
        <v>5731</v>
      </c>
      <c r="BA1940" s="33">
        <v>20</v>
      </c>
      <c r="BB1940" s="41" t="s">
        <v>5732</v>
      </c>
      <c r="BC1940" s="41" t="s">
        <v>1584</v>
      </c>
      <c r="BD1940" s="41"/>
      <c r="BE1940" s="33" t="s">
        <v>5733</v>
      </c>
      <c r="BF1940" s="33"/>
      <c r="BG1940" s="33"/>
      <c r="BH1940" s="33" t="s">
        <v>5734</v>
      </c>
      <c r="BI1940" s="250"/>
      <c r="BJ1940" s="250"/>
      <c r="BK1940" s="254"/>
      <c r="BL1940" s="250">
        <f t="shared" ref="BL1940:BL1946" si="610">10^((-0.8981*Z1940)+1.7108)</f>
        <v>1.3504857314138943E-3</v>
      </c>
      <c r="BM1940" s="33"/>
      <c r="BN1940" s="33"/>
      <c r="BO1940" s="33"/>
      <c r="BP1940" s="33"/>
      <c r="BQ1940" s="33"/>
      <c r="BR1940" s="33"/>
      <c r="BS1940" s="33"/>
      <c r="BT1940" s="33"/>
      <c r="BU1940" s="246"/>
      <c r="BV1940" s="33">
        <v>6.0000000000000002E-5</v>
      </c>
      <c r="BW1940" s="33">
        <v>4.0000000000000003E-5</v>
      </c>
      <c r="BX1940" s="33"/>
      <c r="BY1940" s="33"/>
      <c r="BZ1940" s="33"/>
      <c r="CA1940" s="33"/>
      <c r="CB1940" s="33"/>
      <c r="CC1940" s="33"/>
      <c r="CD1940" s="33"/>
      <c r="CE1940" s="33"/>
      <c r="CF1940" s="33"/>
      <c r="CG1940" s="33"/>
      <c r="CH1940" s="33"/>
      <c r="CI1940" s="250">
        <f>MIN(BN1940:CH1940)</f>
        <v>4.0000000000000003E-5</v>
      </c>
      <c r="CJ1940" s="243">
        <f>LOG10(CI1940)</f>
        <v>-4.3979400086720375</v>
      </c>
      <c r="CK1940" s="38" t="s">
        <v>404</v>
      </c>
      <c r="CL1940" s="247">
        <f>BL1940/CI1940</f>
        <v>33.762143285347356</v>
      </c>
      <c r="CM1940" s="247"/>
      <c r="CN1940" s="247"/>
      <c r="CO1940" s="41"/>
      <c r="CP1940" s="41" t="s">
        <v>5735</v>
      </c>
      <c r="CQ1940" s="241" t="s">
        <v>272</v>
      </c>
      <c r="CR1940" s="241"/>
      <c r="CS1940" s="33"/>
      <c r="CT1940" s="33"/>
      <c r="CU1940" s="250">
        <f>X1940/CI1940</f>
        <v>14.721091383889684</v>
      </c>
      <c r="CV1940" s="337"/>
      <c r="CW1940" s="330">
        <f>IF(CU1940&lt;2,0,1)</f>
        <v>1</v>
      </c>
      <c r="CX1940" s="330" t="s">
        <v>539</v>
      </c>
      <c r="CY1940" s="143" t="s">
        <v>5921</v>
      </c>
    </row>
    <row r="1941" spans="1:103" ht="11.25" customHeight="1" x14ac:dyDescent="0.2">
      <c r="A1941" s="72">
        <v>1939</v>
      </c>
      <c r="B1941" s="241">
        <v>675</v>
      </c>
      <c r="C1941" s="32" t="s">
        <v>1942</v>
      </c>
      <c r="D1941" s="32" t="s">
        <v>6609</v>
      </c>
      <c r="E1941" s="40"/>
      <c r="F1941" s="40" t="s">
        <v>1943</v>
      </c>
      <c r="G1941" s="242">
        <v>79559970</v>
      </c>
      <c r="H1941" s="36" t="s">
        <v>1944</v>
      </c>
      <c r="I1941" s="36" t="s">
        <v>8268</v>
      </c>
      <c r="J1941" s="36" t="s">
        <v>1945</v>
      </c>
      <c r="K1941" s="36" t="s">
        <v>426</v>
      </c>
      <c r="L1941" s="36"/>
      <c r="M1941" s="36"/>
      <c r="N1941" s="36"/>
      <c r="O1941" s="36"/>
      <c r="P1941" s="41"/>
      <c r="Q1941" s="41"/>
      <c r="R1941" s="41"/>
      <c r="S1941" s="41"/>
      <c r="T1941" s="37">
        <v>342.7</v>
      </c>
      <c r="U1941" s="243"/>
      <c r="V1941" s="243">
        <v>0.27365042311059234</v>
      </c>
      <c r="W1941" s="243">
        <v>6.456542290346535E-4</v>
      </c>
      <c r="X1941" s="243">
        <f>IF(W1941=0,V1941,W1941)</f>
        <v>6.456542290346535E-4</v>
      </c>
      <c r="Y1941" s="414">
        <v>7</v>
      </c>
      <c r="Z1941" s="37">
        <v>2.1800000000000002</v>
      </c>
      <c r="AA1941" s="37"/>
      <c r="AB1941" s="37">
        <v>0</v>
      </c>
      <c r="AC1941" s="37">
        <v>0</v>
      </c>
      <c r="AD1941" s="37">
        <v>0</v>
      </c>
      <c r="AE1941" s="37">
        <v>0</v>
      </c>
      <c r="AF1941" s="37"/>
      <c r="AG1941" s="38">
        <v>5.51</v>
      </c>
      <c r="AH1941" s="243">
        <v>3.9000000000000003E-15</v>
      </c>
      <c r="AI1941" s="243"/>
      <c r="AJ1941" s="34">
        <f t="shared" si="608"/>
        <v>-12.797501719286153</v>
      </c>
      <c r="AK1941" s="34"/>
      <c r="AL1941" s="34">
        <f t="shared" si="609"/>
        <v>-12.797501719286153</v>
      </c>
      <c r="AM1941" s="34"/>
      <c r="AN1941" s="244">
        <v>-7.89</v>
      </c>
      <c r="AO1941" s="417"/>
      <c r="AP1941" s="417">
        <v>-2.78</v>
      </c>
      <c r="AQ1941" s="244" t="s">
        <v>6311</v>
      </c>
      <c r="AR1941" s="244" t="s">
        <v>6311</v>
      </c>
      <c r="AS1941" s="241" t="s">
        <v>6</v>
      </c>
      <c r="AT1941" s="39" t="s">
        <v>266</v>
      </c>
      <c r="AU1941" s="37">
        <v>2</v>
      </c>
      <c r="AV1941" s="37">
        <v>48</v>
      </c>
      <c r="AW1941" s="37">
        <v>48</v>
      </c>
      <c r="AX1941" s="37">
        <v>26</v>
      </c>
      <c r="AY1941" s="37" t="s">
        <v>647</v>
      </c>
      <c r="AZ1941" s="37" t="s">
        <v>536</v>
      </c>
      <c r="BA1941" s="37">
        <v>10</v>
      </c>
      <c r="BB1941" s="36" t="s">
        <v>1764</v>
      </c>
      <c r="BC1941" s="36" t="s">
        <v>538</v>
      </c>
      <c r="BD1941" s="36"/>
      <c r="BE1941" s="37" t="s">
        <v>271</v>
      </c>
      <c r="BF1941" s="37" t="s">
        <v>272</v>
      </c>
      <c r="BG1941" s="37" t="s">
        <v>272</v>
      </c>
      <c r="BH1941" s="37" t="s">
        <v>272</v>
      </c>
      <c r="BI1941" s="248">
        <v>4.5608403851765391E-3</v>
      </c>
      <c r="BJ1941" s="248">
        <v>0.29180040852057193</v>
      </c>
      <c r="BK1941" s="37"/>
      <c r="BL1941" s="243">
        <f t="shared" si="610"/>
        <v>0.56616367286716462</v>
      </c>
      <c r="BM1941" s="37" t="s">
        <v>541</v>
      </c>
      <c r="BN1941" s="37"/>
      <c r="BO1941" s="37">
        <v>5.5733878027429242E-3</v>
      </c>
      <c r="BP1941" s="37"/>
      <c r="BQ1941" s="37"/>
      <c r="BR1941" s="37"/>
      <c r="BS1941" s="37"/>
      <c r="BT1941" s="37"/>
      <c r="BU1941" s="246"/>
      <c r="BV1941" s="37"/>
      <c r="BW1941" s="37"/>
      <c r="BX1941" s="37"/>
      <c r="BY1941" s="37"/>
      <c r="BZ1941" s="37"/>
      <c r="CA1941" s="37"/>
      <c r="CB1941" s="37"/>
      <c r="CC1941" s="37"/>
      <c r="CD1941" s="37"/>
      <c r="CE1941" s="37"/>
      <c r="CF1941" s="37"/>
      <c r="CG1941" s="37"/>
      <c r="CH1941" s="37"/>
      <c r="CI1941" s="243">
        <f>MIN(BN1941:CH1941)</f>
        <v>5.5733878027429242E-3</v>
      </c>
      <c r="CJ1941" s="243">
        <f>LOG10(CI1941)</f>
        <v>-2.2538807371821394</v>
      </c>
      <c r="CK1941" s="38">
        <f>BL1941/BJ1941</f>
        <v>1.9402429069157732</v>
      </c>
      <c r="CL1941" s="247">
        <f>BL1941/CI1941</f>
        <v>101.58339826784152</v>
      </c>
      <c r="CM1941" s="247"/>
      <c r="CN1941" s="247"/>
      <c r="CO1941" s="36"/>
      <c r="CP1941" s="36" t="s">
        <v>1921</v>
      </c>
      <c r="CQ1941" s="241">
        <v>-2.955130507813057</v>
      </c>
      <c r="CR1941" s="241">
        <f>10^(CJ1941-CQ1941)</f>
        <v>5.0263157894736867</v>
      </c>
      <c r="CS1941" s="33"/>
      <c r="CT1941" s="33"/>
      <c r="CU1941" s="250">
        <f>X1941/CI1941</f>
        <v>0.11584591847653181</v>
      </c>
      <c r="CV1941" s="337">
        <f>X1941/BJ1941</f>
        <v>2.2126570429017575E-3</v>
      </c>
      <c r="CW1941" s="330">
        <f>IF(CU1941&lt;2,0,1)</f>
        <v>0</v>
      </c>
      <c r="CX1941" s="330"/>
      <c r="CY1941" s="143" t="s">
        <v>5921</v>
      </c>
    </row>
    <row r="1942" spans="1:103" ht="18.75" customHeight="1" x14ac:dyDescent="0.2">
      <c r="A1942" s="72">
        <v>1940</v>
      </c>
      <c r="B1942" s="241">
        <v>189</v>
      </c>
      <c r="C1942" s="32" t="s">
        <v>3688</v>
      </c>
      <c r="D1942" s="32"/>
      <c r="E1942" s="40"/>
      <c r="F1942" s="40" t="s">
        <v>3689</v>
      </c>
      <c r="G1942" s="242">
        <v>80214831</v>
      </c>
      <c r="H1942" s="36" t="s">
        <v>3690</v>
      </c>
      <c r="I1942" s="36" t="s">
        <v>8269</v>
      </c>
      <c r="J1942" s="36" t="s">
        <v>3691</v>
      </c>
      <c r="K1942" s="36" t="s">
        <v>264</v>
      </c>
      <c r="L1942" s="42" t="s">
        <v>279</v>
      </c>
      <c r="M1942" s="36" t="s">
        <v>3692</v>
      </c>
      <c r="N1942" s="36"/>
      <c r="O1942" s="36" t="s">
        <v>281</v>
      </c>
      <c r="P1942" s="41"/>
      <c r="Q1942" s="41"/>
      <c r="R1942" s="41"/>
      <c r="S1942" s="41"/>
      <c r="T1942" s="37">
        <v>837.05</v>
      </c>
      <c r="U1942" s="243"/>
      <c r="V1942" s="243">
        <v>2.2543456185413061E-5</v>
      </c>
      <c r="W1942" s="243">
        <v>0.22908676527677713</v>
      </c>
      <c r="X1942" s="243">
        <f>IF(W1942=0,V1942,W1942)</f>
        <v>0.22908676527677713</v>
      </c>
      <c r="Y1942" s="414">
        <v>9.19</v>
      </c>
      <c r="Z1942" s="37">
        <v>2.75</v>
      </c>
      <c r="AA1942" s="37"/>
      <c r="AB1942" s="37">
        <v>3.48</v>
      </c>
      <c r="AC1942" s="37">
        <v>0.72209999999999996</v>
      </c>
      <c r="AD1942" s="37">
        <v>3.55</v>
      </c>
      <c r="AE1942" s="37">
        <v>3.73</v>
      </c>
      <c r="AF1942" s="37">
        <f>IF(AA1942=0,AD1942,AA1942)</f>
        <v>3.55</v>
      </c>
      <c r="AG1942" s="37">
        <v>2.97</v>
      </c>
      <c r="AH1942" s="243">
        <v>4.9699999999999996E-31</v>
      </c>
      <c r="AI1942" s="243"/>
      <c r="AJ1942" s="34">
        <f t="shared" si="608"/>
        <v>-28.692209937579321</v>
      </c>
      <c r="AK1942" s="34"/>
      <c r="AL1942" s="34">
        <f t="shared" si="609"/>
        <v>-28.692209937579321</v>
      </c>
      <c r="AM1942" s="34">
        <v>-43.251219999999996</v>
      </c>
      <c r="AN1942" s="37">
        <v>-30.6</v>
      </c>
      <c r="AO1942" s="417">
        <v>13</v>
      </c>
      <c r="AP1942" s="417">
        <v>8.16</v>
      </c>
      <c r="AQ1942" s="37" t="s">
        <v>6311</v>
      </c>
      <c r="AR1942" s="37" t="s">
        <v>6311</v>
      </c>
      <c r="AS1942" s="241" t="s">
        <v>90</v>
      </c>
      <c r="AT1942" s="39" t="s">
        <v>266</v>
      </c>
      <c r="AU1942" s="37">
        <v>0</v>
      </c>
      <c r="AV1942" s="37">
        <v>48</v>
      </c>
      <c r="AW1942" s="37">
        <v>48</v>
      </c>
      <c r="AX1942" s="37">
        <v>26</v>
      </c>
      <c r="AY1942" s="37" t="s">
        <v>8722</v>
      </c>
      <c r="AZ1942" s="37" t="s">
        <v>536</v>
      </c>
      <c r="BA1942" s="37">
        <v>20</v>
      </c>
      <c r="BB1942" s="36" t="s">
        <v>537</v>
      </c>
      <c r="BC1942" s="36" t="s">
        <v>538</v>
      </c>
      <c r="BD1942" s="36"/>
      <c r="BE1942" s="245" t="s">
        <v>271</v>
      </c>
      <c r="BF1942" s="245" t="s">
        <v>539</v>
      </c>
      <c r="BG1942" s="245" t="s">
        <v>540</v>
      </c>
      <c r="BH1942" s="245" t="s">
        <v>272</v>
      </c>
      <c r="BI1942" s="243">
        <v>8.0000000000000004E-4</v>
      </c>
      <c r="BJ1942" s="243">
        <v>1.2E-2</v>
      </c>
      <c r="BK1942" s="37"/>
      <c r="BL1942" s="243">
        <f t="shared" si="610"/>
        <v>0.17419071427411098</v>
      </c>
      <c r="BM1942" s="37" t="s">
        <v>541</v>
      </c>
      <c r="BN1942" s="37"/>
      <c r="BO1942" s="37"/>
      <c r="BP1942" s="37"/>
      <c r="BQ1942" s="37"/>
      <c r="BR1942" s="37"/>
      <c r="BS1942" s="37"/>
      <c r="BT1942" s="37"/>
      <c r="BU1942" s="246"/>
      <c r="BV1942" s="37"/>
      <c r="BW1942" s="37"/>
      <c r="BX1942" s="37"/>
      <c r="BY1942" s="37"/>
      <c r="BZ1942" s="37"/>
      <c r="CA1942" s="37"/>
      <c r="CB1942" s="37"/>
      <c r="CC1942" s="37"/>
      <c r="CD1942" s="37"/>
      <c r="CE1942" s="37"/>
      <c r="CF1942" s="37"/>
      <c r="CG1942" s="37"/>
      <c r="CH1942" s="37"/>
      <c r="CI1942" s="243"/>
      <c r="CJ1942" s="243"/>
      <c r="CK1942" s="38">
        <f>BL1942/BJ1942</f>
        <v>14.515892856175915</v>
      </c>
      <c r="CL1942" s="247"/>
      <c r="CM1942" s="247"/>
      <c r="CN1942" s="247"/>
      <c r="CO1942" s="36" t="s">
        <v>3683</v>
      </c>
      <c r="CP1942" s="36" t="s">
        <v>542</v>
      </c>
      <c r="CQ1942" s="241" t="s">
        <v>272</v>
      </c>
      <c r="CR1942" s="241"/>
      <c r="CS1942" s="33"/>
      <c r="CT1942" s="33"/>
      <c r="CU1942" s="250"/>
      <c r="CV1942" s="337">
        <f>X1942/BJ1942</f>
        <v>19.090563773064762</v>
      </c>
      <c r="CW1942" s="330">
        <f>IF(CV1942&lt;1,0,1)</f>
        <v>1</v>
      </c>
      <c r="CX1942" s="330"/>
      <c r="CY1942" s="143" t="s">
        <v>5921</v>
      </c>
    </row>
    <row r="1943" spans="1:103" ht="11.25" customHeight="1" x14ac:dyDescent="0.2">
      <c r="A1943" s="72">
        <v>1941</v>
      </c>
      <c r="B1943" s="241">
        <v>185</v>
      </c>
      <c r="C1943" s="32" t="s">
        <v>3676</v>
      </c>
      <c r="D1943" s="32"/>
      <c r="E1943" s="40"/>
      <c r="F1943" s="40" t="s">
        <v>3677</v>
      </c>
      <c r="G1943" s="242">
        <v>81103119</v>
      </c>
      <c r="H1943" s="36" t="s">
        <v>3678</v>
      </c>
      <c r="I1943" s="36" t="s">
        <v>8270</v>
      </c>
      <c r="J1943" s="36" t="s">
        <v>3679</v>
      </c>
      <c r="K1943" s="36" t="s">
        <v>3680</v>
      </c>
      <c r="L1943" s="42" t="s">
        <v>279</v>
      </c>
      <c r="M1943" s="36" t="s">
        <v>3681</v>
      </c>
      <c r="N1943" s="36"/>
      <c r="O1943" s="36" t="s">
        <v>281</v>
      </c>
      <c r="P1943" s="41"/>
      <c r="Q1943" s="41"/>
      <c r="R1943" s="41"/>
      <c r="S1943" s="41"/>
      <c r="T1943" s="37">
        <v>747.95</v>
      </c>
      <c r="U1943" s="243"/>
      <c r="V1943" s="243">
        <v>4.5724981616418209E-4</v>
      </c>
      <c r="W1943" s="243">
        <v>48.977881936844604</v>
      </c>
      <c r="X1943" s="243">
        <f>IF(W1943=0,V1943,W1943)</f>
        <v>48.977881936844604</v>
      </c>
      <c r="Y1943" s="414">
        <v>10.23</v>
      </c>
      <c r="Z1943" s="37">
        <v>3.18</v>
      </c>
      <c r="AA1943" s="37">
        <v>3.16</v>
      </c>
      <c r="AB1943" s="37">
        <v>3.11</v>
      </c>
      <c r="AC1943" s="37">
        <v>0.78539999999999999</v>
      </c>
      <c r="AD1943" s="37">
        <v>3.12</v>
      </c>
      <c r="AE1943" s="37">
        <v>3.16</v>
      </c>
      <c r="AF1943" s="37">
        <f>IF(AA1943=0,AD1943,AA1943)</f>
        <v>3.16</v>
      </c>
      <c r="AG1943" s="37">
        <v>2.75</v>
      </c>
      <c r="AH1943" s="243">
        <v>1.7299999999999999E-29</v>
      </c>
      <c r="AI1943" s="243"/>
      <c r="AJ1943" s="34">
        <f t="shared" si="608"/>
        <v>-27.150520223183857</v>
      </c>
      <c r="AK1943" s="34"/>
      <c r="AL1943" s="34">
        <f t="shared" si="609"/>
        <v>-27.150520223183857</v>
      </c>
      <c r="AM1943" s="34">
        <v>-38.709489999999995</v>
      </c>
      <c r="AN1943" s="37">
        <v>-29.5</v>
      </c>
      <c r="AO1943" s="417">
        <v>13.08</v>
      </c>
      <c r="AP1943" s="417">
        <v>8.16</v>
      </c>
      <c r="AQ1943" s="37" t="s">
        <v>6311</v>
      </c>
      <c r="AR1943" s="37" t="s">
        <v>6311</v>
      </c>
      <c r="AS1943" s="241" t="s">
        <v>90</v>
      </c>
      <c r="AT1943" s="39" t="s">
        <v>266</v>
      </c>
      <c r="AU1943" s="37">
        <v>0</v>
      </c>
      <c r="AV1943" s="37">
        <v>48</v>
      </c>
      <c r="AW1943" s="37">
        <v>48</v>
      </c>
      <c r="AX1943" s="37">
        <v>26</v>
      </c>
      <c r="AY1943" s="37" t="s">
        <v>8722</v>
      </c>
      <c r="AZ1943" s="37" t="s">
        <v>536</v>
      </c>
      <c r="BA1943" s="37">
        <v>20</v>
      </c>
      <c r="BB1943" s="36" t="s">
        <v>537</v>
      </c>
      <c r="BC1943" s="36" t="s">
        <v>538</v>
      </c>
      <c r="BD1943" s="36"/>
      <c r="BE1943" s="245" t="s">
        <v>271</v>
      </c>
      <c r="BF1943" s="245" t="s">
        <v>539</v>
      </c>
      <c r="BG1943" s="245" t="s">
        <v>540</v>
      </c>
      <c r="BH1943" s="245" t="s">
        <v>272</v>
      </c>
      <c r="BI1943" s="243">
        <v>8.0000000000000004E-4</v>
      </c>
      <c r="BJ1943" s="243">
        <v>1.34E-2</v>
      </c>
      <c r="BK1943" s="37"/>
      <c r="BL1943" s="243">
        <f t="shared" si="610"/>
        <v>7.1588291858005582E-2</v>
      </c>
      <c r="BM1943" s="37" t="s">
        <v>3682</v>
      </c>
      <c r="BN1943" s="37"/>
      <c r="BO1943" s="37"/>
      <c r="BP1943" s="37"/>
      <c r="BQ1943" s="37"/>
      <c r="BR1943" s="37"/>
      <c r="BS1943" s="37"/>
      <c r="BT1943" s="37"/>
      <c r="BU1943" s="246"/>
      <c r="BV1943" s="37"/>
      <c r="BW1943" s="37"/>
      <c r="BX1943" s="37"/>
      <c r="BY1943" s="37"/>
      <c r="BZ1943" s="37"/>
      <c r="CA1943" s="37"/>
      <c r="CB1943" s="37"/>
      <c r="CC1943" s="37"/>
      <c r="CD1943" s="37"/>
      <c r="CE1943" s="37"/>
      <c r="CF1943" s="37"/>
      <c r="CG1943" s="37"/>
      <c r="CH1943" s="37"/>
      <c r="CI1943" s="243"/>
      <c r="CJ1943" s="243"/>
      <c r="CK1943" s="38">
        <f>BL1943/BJ1943</f>
        <v>5.3424098401496698</v>
      </c>
      <c r="CL1943" s="247"/>
      <c r="CM1943" s="247"/>
      <c r="CN1943" s="247"/>
      <c r="CO1943" s="36" t="s">
        <v>3683</v>
      </c>
      <c r="CP1943" s="36" t="s">
        <v>542</v>
      </c>
      <c r="CQ1943" s="241" t="s">
        <v>272</v>
      </c>
      <c r="CR1943" s="241"/>
      <c r="CS1943" s="33"/>
      <c r="CT1943" s="33"/>
      <c r="CU1943" s="250"/>
      <c r="CV1943" s="337">
        <f>X1943/BJ1943</f>
        <v>3655.0658161824331</v>
      </c>
      <c r="CW1943" s="330">
        <f>IF(CV1943&lt;1,0,1)</f>
        <v>1</v>
      </c>
      <c r="CX1943" s="330"/>
      <c r="CY1943" s="143" t="s">
        <v>5921</v>
      </c>
    </row>
    <row r="1944" spans="1:103" ht="11.25" customHeight="1" x14ac:dyDescent="0.2">
      <c r="A1944" s="72">
        <v>1942</v>
      </c>
      <c r="B1944" s="241">
        <v>121</v>
      </c>
      <c r="C1944" s="32" t="s">
        <v>727</v>
      </c>
      <c r="D1944" s="32"/>
      <c r="E1944" s="40"/>
      <c r="F1944" s="40" t="s">
        <v>728</v>
      </c>
      <c r="G1944" s="242">
        <v>82385420</v>
      </c>
      <c r="H1944" s="36" t="s">
        <v>729</v>
      </c>
      <c r="I1944" s="36" t="s">
        <v>8271</v>
      </c>
      <c r="J1944" s="36" t="s">
        <v>730</v>
      </c>
      <c r="K1944" s="36" t="s">
        <v>731</v>
      </c>
      <c r="L1944" s="36"/>
      <c r="M1944" s="36"/>
      <c r="N1944" s="36"/>
      <c r="O1944" s="36"/>
      <c r="P1944" s="41"/>
      <c r="Q1944" s="41"/>
      <c r="R1944" s="41"/>
      <c r="S1944" s="41"/>
      <c r="T1944" s="37">
        <v>183.19</v>
      </c>
      <c r="U1944" s="243"/>
      <c r="V1944" s="243">
        <v>114.36213767127026</v>
      </c>
      <c r="W1944" s="243">
        <v>33.113112148259106</v>
      </c>
      <c r="X1944" s="243">
        <f>IF(W1944=0,V1944,W1944)</f>
        <v>33.113112148259106</v>
      </c>
      <c r="Y1944" s="414">
        <v>1.63</v>
      </c>
      <c r="Z1944" s="37">
        <v>-0.89</v>
      </c>
      <c r="AA1944" s="37"/>
      <c r="AB1944" s="37">
        <v>0.61</v>
      </c>
      <c r="AC1944" s="37">
        <v>0.80649999999999999</v>
      </c>
      <c r="AD1944" s="37">
        <v>0.7</v>
      </c>
      <c r="AE1944" s="37">
        <v>0.91</v>
      </c>
      <c r="AF1944" s="37">
        <f>IF(AA1944=0,AD1944,AA1944)</f>
        <v>0.7</v>
      </c>
      <c r="AG1944" s="38">
        <v>3.93</v>
      </c>
      <c r="AH1944" s="243">
        <v>1.1800000000000001E-9</v>
      </c>
      <c r="AI1944" s="243"/>
      <c r="AJ1944" s="34">
        <f t="shared" si="608"/>
        <v>-7.3166843190065265</v>
      </c>
      <c r="AK1944" s="34"/>
      <c r="AL1944" s="34">
        <f t="shared" si="609"/>
        <v>-7.3166843190065265</v>
      </c>
      <c r="AM1944" s="34">
        <v>-14.266269999999999</v>
      </c>
      <c r="AN1944" s="244"/>
      <c r="AO1944" s="417">
        <v>1.1599999999999999</v>
      </c>
      <c r="AP1944" s="417">
        <v>-6.9</v>
      </c>
      <c r="AQ1944" s="244" t="s">
        <v>6311</v>
      </c>
      <c r="AR1944" s="244" t="s">
        <v>6311</v>
      </c>
      <c r="AS1944" s="241" t="s">
        <v>732</v>
      </c>
      <c r="AT1944" s="39" t="s">
        <v>266</v>
      </c>
      <c r="AU1944" s="37">
        <v>0</v>
      </c>
      <c r="AV1944" s="37" t="s">
        <v>646</v>
      </c>
      <c r="AW1944" s="37" t="s">
        <v>646</v>
      </c>
      <c r="AX1944" s="37">
        <v>26</v>
      </c>
      <c r="AY1944" s="37" t="s">
        <v>647</v>
      </c>
      <c r="AZ1944" s="37" t="s">
        <v>536</v>
      </c>
      <c r="BA1944" s="37">
        <v>20</v>
      </c>
      <c r="BB1944" s="36" t="s">
        <v>537</v>
      </c>
      <c r="BC1944" s="36" t="s">
        <v>648</v>
      </c>
      <c r="BD1944" s="36"/>
      <c r="BE1944" s="245" t="s">
        <v>649</v>
      </c>
      <c r="BF1944" s="245" t="s">
        <v>650</v>
      </c>
      <c r="BG1944" s="245" t="s">
        <v>540</v>
      </c>
      <c r="BH1944" s="245" t="s">
        <v>272</v>
      </c>
      <c r="BI1944" s="243">
        <v>46.5</v>
      </c>
      <c r="BJ1944" s="243">
        <v>132.69999999999999</v>
      </c>
      <c r="BK1944" s="37"/>
      <c r="BL1944" s="243">
        <f t="shared" si="610"/>
        <v>323.67488323280207</v>
      </c>
      <c r="BM1944" s="37" t="s">
        <v>541</v>
      </c>
      <c r="BN1944" s="37"/>
      <c r="BO1944" s="37">
        <v>102.1</v>
      </c>
      <c r="BP1944" s="37"/>
      <c r="BQ1944" s="37"/>
      <c r="BR1944" s="37"/>
      <c r="BS1944" s="37"/>
      <c r="BT1944" s="37"/>
      <c r="BU1944" s="246"/>
      <c r="BV1944" s="37"/>
      <c r="BW1944" s="37"/>
      <c r="BX1944" s="37"/>
      <c r="BY1944" s="37"/>
      <c r="BZ1944" s="37"/>
      <c r="CA1944" s="37"/>
      <c r="CB1944" s="37"/>
      <c r="CC1944" s="37"/>
      <c r="CD1944" s="37"/>
      <c r="CE1944" s="37"/>
      <c r="CF1944" s="37"/>
      <c r="CG1944" s="37"/>
      <c r="CH1944" s="37"/>
      <c r="CI1944" s="243">
        <f>MIN(BN1944:CH1944)</f>
        <v>102.1</v>
      </c>
      <c r="CJ1944" s="243">
        <f>LOG10(CI1944)</f>
        <v>2.0090257420869104</v>
      </c>
      <c r="CK1944" s="38">
        <f>BL1944/BJ1944</f>
        <v>2.4391475752283505</v>
      </c>
      <c r="CL1944" s="247">
        <f>BL1944/CI1944</f>
        <v>3.1701751540920871</v>
      </c>
      <c r="CM1944" s="247"/>
      <c r="CN1944" s="247"/>
      <c r="CO1944" s="36"/>
      <c r="CP1944" s="36" t="s">
        <v>651</v>
      </c>
      <c r="CQ1944" s="241" t="s">
        <v>272</v>
      </c>
      <c r="CR1944" s="241"/>
      <c r="CS1944" s="33"/>
      <c r="CT1944" s="33"/>
      <c r="CU1944" s="250">
        <f>X1944/CI1944</f>
        <v>0.32432039322486883</v>
      </c>
      <c r="CV1944" s="337">
        <f>X1944/BJ1944</f>
        <v>0.24953362583465794</v>
      </c>
      <c r="CW1944" s="330">
        <f>IF(CU1944&lt;2,0,1)</f>
        <v>0</v>
      </c>
      <c r="CX1944" s="330"/>
      <c r="CY1944" s="143" t="s">
        <v>5921</v>
      </c>
    </row>
    <row r="1945" spans="1:103" ht="11.25" customHeight="1" x14ac:dyDescent="0.2">
      <c r="A1945" s="72">
        <v>1943</v>
      </c>
      <c r="B1945" s="241">
        <v>854</v>
      </c>
      <c r="C1945" s="32" t="s">
        <v>2101</v>
      </c>
      <c r="D1945" s="32" t="s">
        <v>6567</v>
      </c>
      <c r="E1945" s="40"/>
      <c r="F1945" s="40" t="s">
        <v>2102</v>
      </c>
      <c r="G1945" s="242">
        <v>82657043</v>
      </c>
      <c r="H1945" s="36" t="s">
        <v>2103</v>
      </c>
      <c r="I1945" s="36" t="s">
        <v>7896</v>
      </c>
      <c r="J1945" s="36" t="s">
        <v>2104</v>
      </c>
      <c r="K1945" s="36" t="s">
        <v>1363</v>
      </c>
      <c r="L1945" s="36" t="s">
        <v>617</v>
      </c>
      <c r="M1945" s="36" t="s">
        <v>1086</v>
      </c>
      <c r="N1945" s="36" t="s">
        <v>6376</v>
      </c>
      <c r="O1945" s="36" t="s">
        <v>918</v>
      </c>
      <c r="P1945" s="41"/>
      <c r="Q1945" s="41"/>
      <c r="R1945" s="41"/>
      <c r="S1945" s="41"/>
      <c r="T1945" s="37">
        <v>422.87</v>
      </c>
      <c r="U1945" s="243">
        <v>2.3647929623761441E-4</v>
      </c>
      <c r="V1945" s="243">
        <v>5.6920566604393782E-7</v>
      </c>
      <c r="W1945" s="243">
        <v>2.9512092266663814E-4</v>
      </c>
      <c r="X1945" s="243">
        <v>2.3647929623761441E-4</v>
      </c>
      <c r="Y1945" s="414">
        <v>7</v>
      </c>
      <c r="Z1945" s="37">
        <v>8.15</v>
      </c>
      <c r="AA1945" s="37"/>
      <c r="AB1945" s="37">
        <v>6.84</v>
      </c>
      <c r="AC1945" s="37">
        <v>0.85719999999999996</v>
      </c>
      <c r="AD1945" s="37">
        <v>6.93</v>
      </c>
      <c r="AE1945" s="37">
        <v>7.3</v>
      </c>
      <c r="AF1945" s="37">
        <f>IF(AA1945=0,AD1945,AA1945)</f>
        <v>6.93</v>
      </c>
      <c r="AG1945" s="38">
        <v>6.43</v>
      </c>
      <c r="AH1945" s="243">
        <v>1.91E-5</v>
      </c>
      <c r="AI1945" s="243">
        <v>9.9999999999999995E-7</v>
      </c>
      <c r="AJ1945" s="34">
        <f t="shared" si="608"/>
        <v>-3.1075329590649243</v>
      </c>
      <c r="AK1945" s="34">
        <f>LOG10(AI1945*1000/(0.08206*298.15))</f>
        <v>-4.3885663263126515</v>
      </c>
      <c r="AL1945" s="34">
        <f t="shared" si="609"/>
        <v>-4.3885663263126515</v>
      </c>
      <c r="AM1945" s="34">
        <v>-9.5165900000000008</v>
      </c>
      <c r="AN1945" s="244">
        <v>-4.72</v>
      </c>
      <c r="AO1945" s="417"/>
      <c r="AP1945" s="417"/>
      <c r="AQ1945" s="244" t="s">
        <v>6311</v>
      </c>
      <c r="AR1945" s="244" t="s">
        <v>6312</v>
      </c>
      <c r="AS1945" s="241" t="s">
        <v>46</v>
      </c>
      <c r="AT1945" s="39" t="s">
        <v>266</v>
      </c>
      <c r="AU1945" s="37">
        <v>2</v>
      </c>
      <c r="AV1945" s="37">
        <v>48</v>
      </c>
      <c r="AW1945" s="37">
        <v>48</v>
      </c>
      <c r="AX1945" s="37">
        <v>28</v>
      </c>
      <c r="AY1945" s="37" t="s">
        <v>267</v>
      </c>
      <c r="AZ1945" s="37" t="s">
        <v>4106</v>
      </c>
      <c r="BA1945" s="37">
        <v>10</v>
      </c>
      <c r="BB1945" s="36" t="s">
        <v>4107</v>
      </c>
      <c r="BC1945" s="36" t="s">
        <v>4108</v>
      </c>
      <c r="BD1945" s="36" t="s">
        <v>8374</v>
      </c>
      <c r="BE1945" s="37" t="s">
        <v>1712</v>
      </c>
      <c r="BF1945" s="37" t="s">
        <v>272</v>
      </c>
      <c r="BG1945" s="37" t="s">
        <v>4109</v>
      </c>
      <c r="BH1945" s="37" t="s">
        <v>4089</v>
      </c>
      <c r="BI1945" s="248">
        <v>1.182396481188072E-4</v>
      </c>
      <c r="BJ1945" s="248">
        <v>4.7295859247522881E-4</v>
      </c>
      <c r="BK1945" s="37"/>
      <c r="BL1945" s="243">
        <f t="shared" si="610"/>
        <v>2.4619827176821421E-6</v>
      </c>
      <c r="BM1945" s="37">
        <v>0</v>
      </c>
      <c r="BN1945" s="37"/>
      <c r="BO1945" s="37"/>
      <c r="BP1945" s="37"/>
      <c r="BQ1945" s="37"/>
      <c r="BR1945" s="37"/>
      <c r="BS1945" s="37"/>
      <c r="BT1945" s="37"/>
      <c r="BU1945" s="246"/>
      <c r="BV1945" s="37"/>
      <c r="BW1945" s="37"/>
      <c r="BX1945" s="37"/>
      <c r="BY1945" s="37"/>
      <c r="BZ1945" s="37"/>
      <c r="CA1945" s="37"/>
      <c r="CB1945" s="37"/>
      <c r="CC1945" s="37"/>
      <c r="CD1945" s="37"/>
      <c r="CE1945" s="37"/>
      <c r="CF1945" s="37"/>
      <c r="CG1945" s="37"/>
      <c r="CH1945" s="37"/>
      <c r="CI1945" s="243"/>
      <c r="CJ1945" s="243"/>
      <c r="CK1945" s="38">
        <f>BL1945/BJ1945</f>
        <v>5.2054931591312371E-3</v>
      </c>
      <c r="CL1945" s="247"/>
      <c r="CM1945" s="247">
        <v>-6.0896484331721936</v>
      </c>
      <c r="CN1945" s="247">
        <f>BJ1945/(10^CM1945)</f>
        <v>581.39534883721103</v>
      </c>
      <c r="CO1945" s="36"/>
      <c r="CP1945" s="36" t="s">
        <v>4110</v>
      </c>
      <c r="CQ1945" s="241">
        <v>-5.5299276220699003</v>
      </c>
      <c r="CR1945" s="241">
        <f>10^(CJ1945-CQ1945)</f>
        <v>338787.69031664886</v>
      </c>
      <c r="CS1945" s="33"/>
      <c r="CT1945" s="33"/>
      <c r="CU1945" s="250"/>
      <c r="CV1945" s="337">
        <f>X1945/BJ1945</f>
        <v>0.5</v>
      </c>
      <c r="CW1945" s="330">
        <f>IF(CV1945&lt;1,0,1)</f>
        <v>0</v>
      </c>
      <c r="CX1945" s="330" t="s">
        <v>539</v>
      </c>
      <c r="CY1945" s="143" t="s">
        <v>5921</v>
      </c>
    </row>
    <row r="1946" spans="1:103" ht="11.25" customHeight="1" x14ac:dyDescent="0.2">
      <c r="A1946" s="72">
        <v>1944</v>
      </c>
      <c r="B1946" s="241">
        <v>735</v>
      </c>
      <c r="C1946" s="32" t="s">
        <v>2078</v>
      </c>
      <c r="D1946" s="32" t="s">
        <v>6568</v>
      </c>
      <c r="E1946" s="40"/>
      <c r="F1946" s="40" t="s">
        <v>2079</v>
      </c>
      <c r="G1946" s="242">
        <v>84852153</v>
      </c>
      <c r="H1946" s="36" t="s">
        <v>2080</v>
      </c>
      <c r="I1946" s="36" t="s">
        <v>2080</v>
      </c>
      <c r="J1946" s="36"/>
      <c r="K1946" s="36" t="s">
        <v>349</v>
      </c>
      <c r="L1946" s="36"/>
      <c r="M1946" s="36" t="s">
        <v>602</v>
      </c>
      <c r="N1946" s="36" t="s">
        <v>6386</v>
      </c>
      <c r="O1946" s="36" t="s">
        <v>2081</v>
      </c>
      <c r="P1946" s="41"/>
      <c r="Q1946" s="41"/>
      <c r="R1946" s="41"/>
      <c r="S1946" s="41"/>
      <c r="T1946" s="37">
        <v>220.36</v>
      </c>
      <c r="U1946" s="243">
        <v>22.690143401706298</v>
      </c>
      <c r="V1946" s="243">
        <v>7.0067162824469049E-3</v>
      </c>
      <c r="W1946" s="243">
        <v>0.16595869074375585</v>
      </c>
      <c r="X1946" s="243">
        <v>22.690143401706298</v>
      </c>
      <c r="Y1946" s="414">
        <v>6.83</v>
      </c>
      <c r="Z1946" s="37">
        <v>5.77</v>
      </c>
      <c r="AA1946" s="37"/>
      <c r="AB1946" s="37">
        <v>5.2</v>
      </c>
      <c r="AC1946" s="37">
        <v>0.65349999999999997</v>
      </c>
      <c r="AD1946" s="37">
        <v>5.39</v>
      </c>
      <c r="AE1946" s="37">
        <v>5.64</v>
      </c>
      <c r="AF1946" s="37">
        <f>IF(AA1946=0,AD1946,AA1946)</f>
        <v>5.39</v>
      </c>
      <c r="AG1946" s="38">
        <v>5.39</v>
      </c>
      <c r="AH1946" s="243">
        <v>5.9699999999999996E-6</v>
      </c>
      <c r="AI1946" s="243">
        <v>4.3000000000000003E-6</v>
      </c>
      <c r="AJ1946" s="34">
        <f t="shared" si="608"/>
        <v>-3.6125919951832826</v>
      </c>
      <c r="AK1946" s="34">
        <f>LOG10(AI1946*1000/(0.08206*298.15))</f>
        <v>-3.7550978707330653</v>
      </c>
      <c r="AL1946" s="34">
        <f t="shared" si="609"/>
        <v>-3.7550978707330653</v>
      </c>
      <c r="AM1946" s="34">
        <v>-7.7129099999999999</v>
      </c>
      <c r="AN1946" s="244"/>
      <c r="AO1946" s="417">
        <v>10.15</v>
      </c>
      <c r="AP1946" s="417"/>
      <c r="AQ1946" s="244" t="s">
        <v>6311</v>
      </c>
      <c r="AR1946" s="244" t="s">
        <v>6311</v>
      </c>
      <c r="AS1946" s="241" t="s">
        <v>6</v>
      </c>
      <c r="AT1946" s="39" t="s">
        <v>266</v>
      </c>
      <c r="AU1946" s="37">
        <v>2</v>
      </c>
      <c r="AV1946" s="37">
        <v>48</v>
      </c>
      <c r="AW1946" s="37">
        <v>48</v>
      </c>
      <c r="AX1946" s="37">
        <v>26</v>
      </c>
      <c r="AY1946" s="37" t="s">
        <v>8722</v>
      </c>
      <c r="AZ1946" s="37" t="s">
        <v>1586</v>
      </c>
      <c r="BA1946" s="37">
        <v>60</v>
      </c>
      <c r="BB1946" s="36" t="s">
        <v>537</v>
      </c>
      <c r="BC1946" s="36" t="s">
        <v>538</v>
      </c>
      <c r="BD1946" s="36"/>
      <c r="BE1946" s="37" t="s">
        <v>271</v>
      </c>
      <c r="BF1946" s="37" t="s">
        <v>272</v>
      </c>
      <c r="BG1946" s="37" t="s">
        <v>272</v>
      </c>
      <c r="BH1946" s="37" t="s">
        <v>1587</v>
      </c>
      <c r="BI1946" s="243" t="s">
        <v>8722</v>
      </c>
      <c r="BJ1946" s="243" t="s">
        <v>8722</v>
      </c>
      <c r="BK1946" s="37"/>
      <c r="BL1946" s="243">
        <f t="shared" si="610"/>
        <v>3.3788040027167332E-4</v>
      </c>
      <c r="BM1946" s="37" t="s">
        <v>1588</v>
      </c>
      <c r="BN1946" s="37"/>
      <c r="BO1946" s="37">
        <v>4.4000000000000004</v>
      </c>
      <c r="BP1946" s="37"/>
      <c r="BQ1946" s="37"/>
      <c r="BR1946" s="37"/>
      <c r="BS1946" s="37"/>
      <c r="BT1946" s="37"/>
      <c r="BU1946" s="246"/>
      <c r="BV1946" s="37"/>
      <c r="BW1946" s="37"/>
      <c r="BX1946" s="37"/>
      <c r="BY1946" s="37"/>
      <c r="BZ1946" s="37"/>
      <c r="CA1946" s="37"/>
      <c r="CB1946" s="37"/>
      <c r="CC1946" s="37"/>
      <c r="CD1946" s="37"/>
      <c r="CE1946" s="37"/>
      <c r="CF1946" s="37"/>
      <c r="CG1946" s="37"/>
      <c r="CH1946" s="37"/>
      <c r="CI1946" s="243">
        <f>MIN(BN1946:CH1946)</f>
        <v>4.4000000000000004</v>
      </c>
      <c r="CJ1946" s="243">
        <f>LOG10(CI1946)</f>
        <v>0.64345267648618742</v>
      </c>
      <c r="CK1946" s="38" t="s">
        <v>404</v>
      </c>
      <c r="CL1946" s="247">
        <f>BL1946/CI1946</f>
        <v>7.6791000061743935E-5</v>
      </c>
      <c r="CM1946" s="247"/>
      <c r="CN1946" s="247"/>
      <c r="CO1946" s="36"/>
      <c r="CP1946" s="36" t="s">
        <v>1589</v>
      </c>
      <c r="CQ1946" s="241">
        <v>-3.02298647759023</v>
      </c>
      <c r="CR1946" s="241">
        <f>10^(CJ1946-CQ1946)</f>
        <v>4639.1578947368453</v>
      </c>
      <c r="CS1946" s="33"/>
      <c r="CT1946" s="33"/>
      <c r="CU1946" s="250">
        <f>X1946/CI1946</f>
        <v>5.1568507731150675</v>
      </c>
      <c r="CV1946" s="337"/>
      <c r="CW1946" s="330">
        <f>IF(CU1946&lt;2,0,1)</f>
        <v>1</v>
      </c>
      <c r="CX1946" s="330"/>
      <c r="CY1946" s="143" t="s">
        <v>6351</v>
      </c>
    </row>
    <row r="1947" spans="1:103" ht="11.25" customHeight="1" x14ac:dyDescent="0.2">
      <c r="A1947" s="72">
        <v>1945</v>
      </c>
      <c r="B1947" s="241">
        <v>842</v>
      </c>
      <c r="C1947" s="32" t="s">
        <v>2413</v>
      </c>
      <c r="D1947" s="32"/>
      <c r="E1947" s="40"/>
      <c r="F1947" s="40" t="s">
        <v>2414</v>
      </c>
      <c r="G1947" s="242">
        <v>85736636</v>
      </c>
      <c r="H1947" s="36"/>
      <c r="I1947" s="36" t="s">
        <v>7877</v>
      </c>
      <c r="J1947" s="36"/>
      <c r="K1947" s="36"/>
      <c r="L1947" s="36"/>
      <c r="M1947" s="36"/>
      <c r="N1947" s="36"/>
      <c r="O1947" s="36"/>
      <c r="P1947" s="41"/>
      <c r="Q1947" s="41"/>
      <c r="R1947" s="41"/>
      <c r="S1947" s="41"/>
      <c r="T1947" s="37" t="s">
        <v>404</v>
      </c>
      <c r="U1947" s="243"/>
      <c r="V1947" s="243"/>
      <c r="W1947" s="243"/>
      <c r="X1947" s="243"/>
      <c r="Y1947" s="414"/>
      <c r="Z1947" s="37"/>
      <c r="AA1947" s="37"/>
      <c r="AB1947" s="37"/>
      <c r="AC1947" s="37"/>
      <c r="AD1947" s="37"/>
      <c r="AE1947" s="37"/>
      <c r="AF1947" s="37"/>
      <c r="AG1947" s="38" t="s">
        <v>5921</v>
      </c>
      <c r="AH1947" s="243"/>
      <c r="AI1947" s="243"/>
      <c r="AJ1947" s="34"/>
      <c r="AK1947" s="34"/>
      <c r="AL1947" s="34"/>
      <c r="AM1947" s="34"/>
      <c r="AN1947" s="244"/>
      <c r="AO1947" s="417"/>
      <c r="AP1947" s="417"/>
      <c r="AQ1947" s="37" t="s">
        <v>6317</v>
      </c>
      <c r="AR1947" s="37" t="s">
        <v>6317</v>
      </c>
      <c r="AS1947" s="241" t="s">
        <v>6</v>
      </c>
      <c r="AT1947" s="39" t="s">
        <v>266</v>
      </c>
      <c r="AU1947" s="245">
        <v>0</v>
      </c>
      <c r="AV1947" s="37">
        <v>48</v>
      </c>
      <c r="AW1947" s="37">
        <v>48</v>
      </c>
      <c r="AX1947" s="37">
        <v>25</v>
      </c>
      <c r="AY1947" s="37" t="s">
        <v>8722</v>
      </c>
      <c r="AZ1947" s="37" t="s">
        <v>2263</v>
      </c>
      <c r="BA1947" s="37">
        <v>20</v>
      </c>
      <c r="BB1947" s="36" t="s">
        <v>1764</v>
      </c>
      <c r="BC1947" s="36" t="s">
        <v>2264</v>
      </c>
      <c r="BD1947" s="36"/>
      <c r="BE1947" s="37" t="s">
        <v>2265</v>
      </c>
      <c r="BF1947" s="37" t="s">
        <v>2266</v>
      </c>
      <c r="BG1947" s="37" t="s">
        <v>2266</v>
      </c>
      <c r="BH1947" s="37" t="s">
        <v>272</v>
      </c>
      <c r="BI1947" s="243" t="s">
        <v>8722</v>
      </c>
      <c r="BJ1947" s="243" t="s">
        <v>8722</v>
      </c>
      <c r="BK1947" s="37" t="s">
        <v>2267</v>
      </c>
      <c r="BL1947" s="243"/>
      <c r="BM1947" s="37" t="s">
        <v>1584</v>
      </c>
      <c r="BN1947" s="37"/>
      <c r="BO1947" s="37" t="s">
        <v>2415</v>
      </c>
      <c r="BP1947" s="37"/>
      <c r="BQ1947" s="37"/>
      <c r="BR1947" s="37"/>
      <c r="BS1947" s="37"/>
      <c r="BT1947" s="37"/>
      <c r="BU1947" s="246"/>
      <c r="BV1947" s="37"/>
      <c r="BW1947" s="37"/>
      <c r="BX1947" s="37"/>
      <c r="BY1947" s="37"/>
      <c r="BZ1947" s="37"/>
      <c r="CA1947" s="37"/>
      <c r="CB1947" s="37"/>
      <c r="CC1947" s="37"/>
      <c r="CD1947" s="37"/>
      <c r="CE1947" s="37"/>
      <c r="CF1947" s="37"/>
      <c r="CG1947" s="37"/>
      <c r="CH1947" s="37"/>
      <c r="CI1947" s="243"/>
      <c r="CJ1947" s="243"/>
      <c r="CK1947" s="38" t="s">
        <v>404</v>
      </c>
      <c r="CL1947" s="247"/>
      <c r="CM1947" s="247"/>
      <c r="CN1947" s="247"/>
      <c r="CO1947" s="36"/>
      <c r="CP1947" s="36" t="s">
        <v>2268</v>
      </c>
      <c r="CQ1947" s="241" t="s">
        <v>272</v>
      </c>
      <c r="CR1947" s="241"/>
      <c r="CS1947" s="33"/>
      <c r="CT1947" s="33" t="s">
        <v>6310</v>
      </c>
      <c r="CU1947" s="250" t="s">
        <v>6310</v>
      </c>
      <c r="CV1947" s="337" t="s">
        <v>6310</v>
      </c>
      <c r="CW1947" s="330">
        <f>IF(CV1947&lt;1,0,1)</f>
        <v>1</v>
      </c>
      <c r="CX1947" s="330" t="s">
        <v>539</v>
      </c>
      <c r="CY1947" s="143" t="s">
        <v>5921</v>
      </c>
    </row>
    <row r="1948" spans="1:103" ht="11.25" customHeight="1" x14ac:dyDescent="0.2">
      <c r="A1948" s="72">
        <v>1946</v>
      </c>
      <c r="B1948" s="241">
        <v>2084</v>
      </c>
      <c r="C1948" s="32" t="s">
        <v>5751</v>
      </c>
      <c r="D1948" s="32"/>
      <c r="E1948" s="40"/>
      <c r="F1948" s="40" t="s">
        <v>5752</v>
      </c>
      <c r="G1948" s="242">
        <v>95233184</v>
      </c>
      <c r="H1948" s="41" t="s">
        <v>5753</v>
      </c>
      <c r="I1948" s="41" t="s">
        <v>8272</v>
      </c>
      <c r="J1948" s="41" t="s">
        <v>5754</v>
      </c>
      <c r="K1948" s="41" t="s">
        <v>5755</v>
      </c>
      <c r="L1948" s="41" t="s">
        <v>279</v>
      </c>
      <c r="M1948" s="41" t="s">
        <v>5756</v>
      </c>
      <c r="N1948" s="36"/>
      <c r="O1948" s="41" t="s">
        <v>281</v>
      </c>
      <c r="P1948" s="41"/>
      <c r="Q1948" s="41"/>
      <c r="R1948" s="41"/>
      <c r="S1948" s="41"/>
      <c r="T1948" s="33">
        <v>366.85</v>
      </c>
      <c r="U1948" s="250"/>
      <c r="V1948" s="250">
        <v>1.2926264140656943E-4</v>
      </c>
      <c r="W1948" s="250">
        <v>6.0255958607435725E-4</v>
      </c>
      <c r="X1948" s="250">
        <f>IF(W1948=0,V1948,W1948)</f>
        <v>6.0255958607435725E-4</v>
      </c>
      <c r="Y1948" s="415">
        <v>6.24</v>
      </c>
      <c r="Z1948" s="33">
        <v>5.87</v>
      </c>
      <c r="AA1948" s="33"/>
      <c r="AB1948" s="33">
        <v>4.38</v>
      </c>
      <c r="AC1948" s="33">
        <v>0.79039999999999999</v>
      </c>
      <c r="AD1948" s="33">
        <v>4.8499999999999996</v>
      </c>
      <c r="AE1948" s="33">
        <v>6.17</v>
      </c>
      <c r="AF1948" s="33">
        <f t="shared" ref="AF1948:AF1956" si="611">IF(AA1948=0,AD1948,AA1948)</f>
        <v>4.8499999999999996</v>
      </c>
      <c r="AG1948" s="34">
        <v>4.8499999999999996</v>
      </c>
      <c r="AH1948" s="250">
        <v>4.1500000000000001E-10</v>
      </c>
      <c r="AI1948" s="250"/>
      <c r="AJ1948" s="34">
        <f>LOG10(AH1948*1000/(0.08206*298.15))</f>
        <v>-7.770518229600559</v>
      </c>
      <c r="AK1948" s="34"/>
      <c r="AL1948" s="34">
        <f>IF(AK1948=0,AJ1948,AK1948)</f>
        <v>-7.770518229600559</v>
      </c>
      <c r="AM1948" s="34">
        <v>-17.75592</v>
      </c>
      <c r="AN1948" s="251"/>
      <c r="AO1948" s="417">
        <v>5.01</v>
      </c>
      <c r="AP1948" s="417"/>
      <c r="AQ1948" s="251" t="s">
        <v>6311</v>
      </c>
      <c r="AR1948" s="251" t="s">
        <v>6311</v>
      </c>
      <c r="AS1948" s="252" t="s">
        <v>5466</v>
      </c>
      <c r="AT1948" s="35" t="s">
        <v>266</v>
      </c>
      <c r="AU1948" s="33">
        <v>4</v>
      </c>
      <c r="AV1948" s="33">
        <v>80</v>
      </c>
      <c r="AW1948" s="33">
        <v>76</v>
      </c>
      <c r="AX1948" s="33">
        <v>28</v>
      </c>
      <c r="AY1948" s="33" t="s">
        <v>267</v>
      </c>
      <c r="AZ1948" s="33" t="s">
        <v>5731</v>
      </c>
      <c r="BA1948" s="33">
        <v>20</v>
      </c>
      <c r="BB1948" s="41" t="s">
        <v>5732</v>
      </c>
      <c r="BC1948" s="41" t="s">
        <v>1584</v>
      </c>
      <c r="BD1948" s="41"/>
      <c r="BE1948" s="33" t="s">
        <v>5733</v>
      </c>
      <c r="BF1948" s="33"/>
      <c r="BG1948" s="33"/>
      <c r="BH1948" s="33" t="s">
        <v>5734</v>
      </c>
      <c r="BI1948" s="250"/>
      <c r="BJ1948" s="250"/>
      <c r="BK1948" s="254"/>
      <c r="BL1948" s="250">
        <f t="shared" ref="BL1948:BL1956" si="612">10^((-0.8981*Z1948)+1.7108)</f>
        <v>2.7475967879679705E-4</v>
      </c>
      <c r="BM1948" s="33"/>
      <c r="BN1948" s="33"/>
      <c r="BO1948" s="33"/>
      <c r="BP1948" s="33"/>
      <c r="BQ1948" s="33"/>
      <c r="BR1948" s="33"/>
      <c r="BS1948" s="33"/>
      <c r="BT1948" s="33"/>
      <c r="BU1948" s="246"/>
      <c r="BV1948" s="33">
        <v>1.7600000000000001E-3</v>
      </c>
      <c r="BW1948" s="33">
        <v>8.8000000000000003E-4</v>
      </c>
      <c r="BX1948" s="33"/>
      <c r="BY1948" s="33"/>
      <c r="BZ1948" s="33"/>
      <c r="CA1948" s="33"/>
      <c r="CB1948" s="33"/>
      <c r="CC1948" s="33"/>
      <c r="CD1948" s="33"/>
      <c r="CE1948" s="33"/>
      <c r="CF1948" s="33"/>
      <c r="CG1948" s="33"/>
      <c r="CH1948" s="33"/>
      <c r="CI1948" s="250">
        <f>MIN(BN1948:CH1948)</f>
        <v>8.8000000000000003E-4</v>
      </c>
      <c r="CJ1948" s="243">
        <f>LOG10(CI1948)</f>
        <v>-3.0555173278498313</v>
      </c>
      <c r="CK1948" s="38" t="s">
        <v>404</v>
      </c>
      <c r="CL1948" s="247">
        <f>BL1948/CI1948</f>
        <v>0.31222690772363298</v>
      </c>
      <c r="CM1948" s="247"/>
      <c r="CN1948" s="247"/>
      <c r="CO1948" s="41"/>
      <c r="CP1948" s="41" t="s">
        <v>5735</v>
      </c>
      <c r="CQ1948" s="241" t="s">
        <v>272</v>
      </c>
      <c r="CR1948" s="241"/>
      <c r="CS1948" s="33"/>
      <c r="CT1948" s="33"/>
      <c r="CU1948" s="250">
        <f>X1948/CI1948</f>
        <v>0.68472680235722416</v>
      </c>
      <c r="CV1948" s="337"/>
      <c r="CW1948" s="330">
        <f>IF(CU1948&lt;2,0,1)</f>
        <v>0</v>
      </c>
      <c r="CX1948" s="330" t="s">
        <v>539</v>
      </c>
      <c r="CY1948" s="143" t="s">
        <v>5921</v>
      </c>
    </row>
    <row r="1949" spans="1:103" ht="11.25" customHeight="1" x14ac:dyDescent="0.2">
      <c r="A1949" s="72">
        <v>1947</v>
      </c>
      <c r="B1949" s="241">
        <v>2135</v>
      </c>
      <c r="C1949" s="32" t="s">
        <v>1432</v>
      </c>
      <c r="D1949" s="32" t="s">
        <v>6574</v>
      </c>
      <c r="E1949" s="40"/>
      <c r="F1949" s="40" t="s">
        <v>1433</v>
      </c>
      <c r="G1949" s="242">
        <v>96489713</v>
      </c>
      <c r="H1949" s="41" t="s">
        <v>1434</v>
      </c>
      <c r="I1949" s="41" t="s">
        <v>7915</v>
      </c>
      <c r="J1949" s="41" t="s">
        <v>1435</v>
      </c>
      <c r="K1949" s="41" t="s">
        <v>1436</v>
      </c>
      <c r="L1949" s="36" t="s">
        <v>5951</v>
      </c>
      <c r="M1949" s="36" t="s">
        <v>6011</v>
      </c>
      <c r="N1949" s="36" t="s">
        <v>6381</v>
      </c>
      <c r="O1949" s="36" t="s">
        <v>918</v>
      </c>
      <c r="P1949" s="41"/>
      <c r="Q1949" s="41"/>
      <c r="R1949" s="41"/>
      <c r="S1949" s="41"/>
      <c r="T1949" s="33">
        <v>364.94</v>
      </c>
      <c r="U1949" s="250">
        <v>3.2883018661113091E-5</v>
      </c>
      <c r="V1949" s="250">
        <v>5.0036993395993747E-5</v>
      </c>
      <c r="W1949" s="250">
        <v>1.5848931924611131E-2</v>
      </c>
      <c r="X1949" s="250">
        <v>3.2883018661113091E-5</v>
      </c>
      <c r="Y1949" s="415">
        <v>7</v>
      </c>
      <c r="Z1949" s="33">
        <v>5.47</v>
      </c>
      <c r="AA1949" s="33">
        <v>6.37</v>
      </c>
      <c r="AB1949" s="33">
        <v>5.73</v>
      </c>
      <c r="AC1949" s="33">
        <v>0.73460000000000003</v>
      </c>
      <c r="AD1949" s="33">
        <v>5.44</v>
      </c>
      <c r="AE1949" s="33">
        <v>4.7300000000000004</v>
      </c>
      <c r="AF1949" s="33">
        <f t="shared" si="611"/>
        <v>6.37</v>
      </c>
      <c r="AG1949" s="34">
        <v>5.59</v>
      </c>
      <c r="AH1949" s="250">
        <v>2.26E-10</v>
      </c>
      <c r="AI1949" s="250">
        <v>4.7200000000000002E-5</v>
      </c>
      <c r="AJ1949" s="34">
        <f>LOG10(AH1949*1000/(0.08206*298.15))</f>
        <v>-8.0344578871652512</v>
      </c>
      <c r="AK1949" s="34">
        <f>LOG10(AI1949*1000/(0.08206*298.15))</f>
        <v>-2.714624327678564</v>
      </c>
      <c r="AL1949" s="34">
        <f>IF(AK1949=0,AJ1949,AK1949)</f>
        <v>-2.714624327678564</v>
      </c>
      <c r="AM1949" s="34">
        <v>-12.987449999999999</v>
      </c>
      <c r="AN1949" s="251">
        <v>-7.0762</v>
      </c>
      <c r="AO1949" s="417"/>
      <c r="AP1949" s="417">
        <v>-2.69</v>
      </c>
      <c r="AQ1949" s="251" t="s">
        <v>6311</v>
      </c>
      <c r="AR1949" s="251" t="s">
        <v>6311</v>
      </c>
      <c r="AS1949" s="252" t="s">
        <v>5466</v>
      </c>
      <c r="AT1949" s="35" t="s">
        <v>266</v>
      </c>
      <c r="AU1949" s="33">
        <v>5</v>
      </c>
      <c r="AV1949" s="33">
        <v>25</v>
      </c>
      <c r="AW1949" s="33">
        <v>20</v>
      </c>
      <c r="AX1949" s="33">
        <v>28</v>
      </c>
      <c r="AY1949" s="33" t="s">
        <v>267</v>
      </c>
      <c r="AZ1949" s="33" t="s">
        <v>5820</v>
      </c>
      <c r="BA1949" s="33"/>
      <c r="BB1949" s="41" t="s">
        <v>5821</v>
      </c>
      <c r="BC1949" s="41" t="s">
        <v>8377</v>
      </c>
      <c r="BD1949" s="41"/>
      <c r="BE1949" s="33" t="s">
        <v>2449</v>
      </c>
      <c r="BF1949" s="33"/>
      <c r="BG1949" s="33"/>
      <c r="BH1949" s="33" t="s">
        <v>5626</v>
      </c>
      <c r="BI1949" s="250"/>
      <c r="BJ1949" s="250">
        <v>0.05</v>
      </c>
      <c r="BK1949" s="254"/>
      <c r="BL1949" s="250">
        <f t="shared" si="612"/>
        <v>6.2833752929845985E-4</v>
      </c>
      <c r="BM1949" s="33"/>
      <c r="BN1949" s="33">
        <v>1.1000000000000001E-3</v>
      </c>
      <c r="BO1949" s="33"/>
      <c r="BP1949" s="33"/>
      <c r="BQ1949" s="33"/>
      <c r="BR1949" s="33"/>
      <c r="BS1949" s="33"/>
      <c r="BT1949" s="33"/>
      <c r="BU1949" s="246"/>
      <c r="BV1949" s="33"/>
      <c r="BW1949" s="33"/>
      <c r="BX1949" s="33"/>
      <c r="BY1949" s="33"/>
      <c r="BZ1949" s="33"/>
      <c r="CA1949" s="33"/>
      <c r="CB1949" s="33"/>
      <c r="CC1949" s="33"/>
      <c r="CD1949" s="33"/>
      <c r="CE1949" s="33"/>
      <c r="CF1949" s="33"/>
      <c r="CG1949" s="33"/>
      <c r="CH1949" s="33"/>
      <c r="CI1949" s="250">
        <f>MIN(BN1949:CH1949)</f>
        <v>1.1000000000000001E-3</v>
      </c>
      <c r="CJ1949" s="243">
        <f>LOG10(CI1949)</f>
        <v>-2.9586073148417751</v>
      </c>
      <c r="CK1949" s="38">
        <f t="shared" ref="CK1949:CK1958" si="613">BL1949/BJ1949</f>
        <v>1.2566750585969197E-2</v>
      </c>
      <c r="CL1949" s="247">
        <f>BL1949/CI1949</f>
        <v>0.57121593572587259</v>
      </c>
      <c r="CM1949" s="247">
        <v>-5.5772806448659633</v>
      </c>
      <c r="CN1949" s="247">
        <f>BJ1949/(10^CM1949)</f>
        <v>18890.813010283971</v>
      </c>
      <c r="CO1949" s="41"/>
      <c r="CP1949" s="255" t="s">
        <v>8376</v>
      </c>
      <c r="CQ1949" s="241">
        <v>-4.9764127266621649</v>
      </c>
      <c r="CR1949" s="241">
        <f>10^(CJ1949-CQ1949)</f>
        <v>104.18505175893098</v>
      </c>
      <c r="CS1949" s="33"/>
      <c r="CT1949" s="33"/>
      <c r="CU1949" s="250">
        <f>X1949/CI1949</f>
        <v>2.9893653328284624E-2</v>
      </c>
      <c r="CV1949" s="337">
        <f t="shared" ref="CV1949:CV1958" si="614">X1949/BJ1949</f>
        <v>6.5766037322226181E-4</v>
      </c>
      <c r="CW1949" s="330">
        <f>IF(CU1949&lt;2,0,1)</f>
        <v>0</v>
      </c>
      <c r="CX1949" s="330"/>
      <c r="CY1949" s="143" t="s">
        <v>5921</v>
      </c>
    </row>
    <row r="1950" spans="1:103" ht="11.25" customHeight="1" x14ac:dyDescent="0.2">
      <c r="A1950" s="72">
        <v>1948</v>
      </c>
      <c r="B1950" s="241">
        <v>701</v>
      </c>
      <c r="C1950" s="32" t="s">
        <v>2002</v>
      </c>
      <c r="D1950" s="32"/>
      <c r="E1950" s="40"/>
      <c r="F1950" s="40" t="s">
        <v>2003</v>
      </c>
      <c r="G1950" s="242">
        <v>101043372</v>
      </c>
      <c r="H1950" s="36" t="s">
        <v>2004</v>
      </c>
      <c r="I1950" s="36" t="s">
        <v>8273</v>
      </c>
      <c r="J1950" s="36" t="s">
        <v>2005</v>
      </c>
      <c r="K1950" s="36" t="s">
        <v>2006</v>
      </c>
      <c r="L1950" s="36"/>
      <c r="M1950" s="36"/>
      <c r="N1950" s="36"/>
      <c r="O1950" s="36"/>
      <c r="P1950" s="41"/>
      <c r="Q1950" s="41"/>
      <c r="R1950" s="41"/>
      <c r="S1950" s="41"/>
      <c r="T1950" s="37">
        <v>995.17</v>
      </c>
      <c r="U1950" s="243"/>
      <c r="V1950" s="243">
        <v>1.050071847021112E-4</v>
      </c>
      <c r="W1950" s="243">
        <v>16.98243652461743</v>
      </c>
      <c r="X1950" s="243">
        <f>IF(W1950=0,V1950,W1950)</f>
        <v>16.98243652461743</v>
      </c>
      <c r="Y1950" s="414">
        <v>3.24</v>
      </c>
      <c r="Z1950" s="37">
        <v>0.62</v>
      </c>
      <c r="AA1950" s="37"/>
      <c r="AB1950" s="37">
        <v>-0.62</v>
      </c>
      <c r="AC1950" s="37">
        <v>0.28079999999999999</v>
      </c>
      <c r="AD1950" s="37">
        <v>-1.21</v>
      </c>
      <c r="AE1950" s="37">
        <v>-1.54</v>
      </c>
      <c r="AF1950" s="37">
        <f t="shared" si="611"/>
        <v>-1.21</v>
      </c>
      <c r="AG1950" s="38">
        <v>3.85</v>
      </c>
      <c r="AH1950" s="243"/>
      <c r="AI1950" s="243"/>
      <c r="AJ1950" s="34"/>
      <c r="AK1950" s="34"/>
      <c r="AL1950" s="34"/>
      <c r="AM1950" s="34">
        <v>-77.495259999999988</v>
      </c>
      <c r="AN1950" s="244">
        <v>-9.07</v>
      </c>
      <c r="AO1950" s="417">
        <v>3.03</v>
      </c>
      <c r="AP1950" s="417">
        <v>13.35</v>
      </c>
      <c r="AQ1950" s="244" t="s">
        <v>6311</v>
      </c>
      <c r="AR1950" s="244" t="s">
        <v>6311</v>
      </c>
      <c r="AS1950" s="241" t="s">
        <v>2007</v>
      </c>
      <c r="AT1950" s="39" t="s">
        <v>266</v>
      </c>
      <c r="AU1950" s="37">
        <v>2</v>
      </c>
      <c r="AV1950" s="37">
        <v>48</v>
      </c>
      <c r="AW1950" s="37">
        <v>48</v>
      </c>
      <c r="AX1950" s="37">
        <v>26</v>
      </c>
      <c r="AY1950" s="37" t="s">
        <v>8722</v>
      </c>
      <c r="AZ1950" s="37" t="s">
        <v>2008</v>
      </c>
      <c r="BA1950" s="37">
        <v>10</v>
      </c>
      <c r="BB1950" s="36" t="s">
        <v>8722</v>
      </c>
      <c r="BC1950" s="36" t="s">
        <v>538</v>
      </c>
      <c r="BD1950" s="36"/>
      <c r="BE1950" s="37" t="s">
        <v>271</v>
      </c>
      <c r="BF1950" s="37" t="s">
        <v>272</v>
      </c>
      <c r="BG1950" s="37" t="s">
        <v>272</v>
      </c>
      <c r="BH1950" s="37" t="s">
        <v>272</v>
      </c>
      <c r="BI1950" s="243">
        <v>1.6E-2</v>
      </c>
      <c r="BJ1950" s="243">
        <v>1.024</v>
      </c>
      <c r="BK1950" s="37"/>
      <c r="BL1950" s="243">
        <f t="shared" si="612"/>
        <v>14.255353786098398</v>
      </c>
      <c r="BM1950" s="37" t="s">
        <v>1584</v>
      </c>
      <c r="BN1950" s="37"/>
      <c r="BO1950" s="37">
        <v>0.27300000000000002</v>
      </c>
      <c r="BP1950" s="37"/>
      <c r="BQ1950" s="37"/>
      <c r="BR1950" s="37"/>
      <c r="BS1950" s="37"/>
      <c r="BT1950" s="37"/>
      <c r="BU1950" s="246"/>
      <c r="BV1950" s="37"/>
      <c r="BW1950" s="37"/>
      <c r="BX1950" s="37"/>
      <c r="BY1950" s="37"/>
      <c r="BZ1950" s="37"/>
      <c r="CA1950" s="37"/>
      <c r="CB1950" s="37"/>
      <c r="CC1950" s="37"/>
      <c r="CD1950" s="37"/>
      <c r="CE1950" s="37"/>
      <c r="CF1950" s="37"/>
      <c r="CG1950" s="37"/>
      <c r="CH1950" s="37"/>
      <c r="CI1950" s="243">
        <f>MIN(BN1950:CH1950)</f>
        <v>0.27300000000000002</v>
      </c>
      <c r="CJ1950" s="243">
        <f>LOG10(CI1950)</f>
        <v>-0.56383735295924398</v>
      </c>
      <c r="CK1950" s="38">
        <f t="shared" si="613"/>
        <v>13.921243931736717</v>
      </c>
      <c r="CL1950" s="247">
        <f>BL1950/CI1950</f>
        <v>52.217413135891562</v>
      </c>
      <c r="CM1950" s="247"/>
      <c r="CN1950" s="247"/>
      <c r="CO1950" s="36"/>
      <c r="CP1950" s="36" t="s">
        <v>2009</v>
      </c>
      <c r="CQ1950" s="241" t="s">
        <v>272</v>
      </c>
      <c r="CR1950" s="241"/>
      <c r="CS1950" s="33"/>
      <c r="CT1950" s="33"/>
      <c r="CU1950" s="250">
        <f>X1950/CI1950</f>
        <v>62.206727196400841</v>
      </c>
      <c r="CV1950" s="337">
        <f t="shared" si="614"/>
        <v>16.58441066857171</v>
      </c>
      <c r="CW1950" s="330">
        <f>IF(CU1950&lt;2,0,1)</f>
        <v>1</v>
      </c>
      <c r="CX1950" s="330"/>
      <c r="CY1950" s="143" t="s">
        <v>5921</v>
      </c>
    </row>
    <row r="1951" spans="1:103" ht="11.25" customHeight="1" x14ac:dyDescent="0.2">
      <c r="A1951" s="72">
        <v>1949</v>
      </c>
      <c r="B1951" s="241">
        <v>2126</v>
      </c>
      <c r="C1951" s="32" t="s">
        <v>1239</v>
      </c>
      <c r="D1951" s="32" t="s">
        <v>6578</v>
      </c>
      <c r="E1951" s="40"/>
      <c r="F1951" s="40" t="s">
        <v>1240</v>
      </c>
      <c r="G1951" s="242">
        <v>117337196</v>
      </c>
      <c r="H1951" s="41" t="s">
        <v>1241</v>
      </c>
      <c r="I1951" s="41" t="s">
        <v>7911</v>
      </c>
      <c r="J1951" s="41" t="s">
        <v>1242</v>
      </c>
      <c r="K1951" s="41" t="s">
        <v>1243</v>
      </c>
      <c r="L1951" s="36" t="s">
        <v>5994</v>
      </c>
      <c r="M1951" s="36" t="s">
        <v>6082</v>
      </c>
      <c r="N1951" s="36" t="s">
        <v>6082</v>
      </c>
      <c r="O1951" s="41"/>
      <c r="P1951" s="41"/>
      <c r="Q1951" s="41"/>
      <c r="R1951" s="41"/>
      <c r="S1951" s="41"/>
      <c r="T1951" s="33">
        <v>403.88</v>
      </c>
      <c r="U1951" s="250">
        <v>2.1045855204516193E-3</v>
      </c>
      <c r="V1951" s="250">
        <v>4.3280182232346238E-3</v>
      </c>
      <c r="W1951" s="250">
        <v>0.10715193052376051</v>
      </c>
      <c r="X1951" s="250">
        <v>2.1045855204516193E-3</v>
      </c>
      <c r="Y1951" s="415">
        <v>7</v>
      </c>
      <c r="Z1951" s="33">
        <v>2.59</v>
      </c>
      <c r="AA1951" s="33">
        <v>3.77</v>
      </c>
      <c r="AB1951" s="33">
        <v>3.8</v>
      </c>
      <c r="AC1951" s="33">
        <v>0.71419999999999995</v>
      </c>
      <c r="AD1951" s="33">
        <v>3.16</v>
      </c>
      <c r="AE1951" s="33">
        <v>1.4</v>
      </c>
      <c r="AF1951" s="33">
        <f t="shared" si="611"/>
        <v>3.77</v>
      </c>
      <c r="AG1951" s="34">
        <v>3.89</v>
      </c>
      <c r="AH1951" s="250">
        <v>8.7700000000000001E-15</v>
      </c>
      <c r="AI1951" s="250">
        <v>2.0700000000000001E-9</v>
      </c>
      <c r="AJ1951" s="34">
        <f>LOG10(AH1951*1000/(0.08206*298.15))</f>
        <v>-12.445566732946611</v>
      </c>
      <c r="AK1951" s="34">
        <f>LOG10(AI1951*1000/(0.08206*298.15))</f>
        <v>-7.0725959808557342</v>
      </c>
      <c r="AL1951" s="34">
        <f t="shared" ref="AL1951:AL1956" si="615">IF(AK1951=0,AJ1951,AK1951)</f>
        <v>-7.0725959808557342</v>
      </c>
      <c r="AM1951" s="34">
        <v>-18.93338</v>
      </c>
      <c r="AN1951" s="251">
        <v>-11.395</v>
      </c>
      <c r="AO1951" s="417"/>
      <c r="AP1951" s="417">
        <v>-2.86</v>
      </c>
      <c r="AQ1951" s="251" t="s">
        <v>6311</v>
      </c>
      <c r="AR1951" s="251" t="s">
        <v>6314</v>
      </c>
      <c r="AS1951" s="252" t="s">
        <v>5466</v>
      </c>
      <c r="AT1951" s="35" t="s">
        <v>266</v>
      </c>
      <c r="AU1951" s="33">
        <v>5</v>
      </c>
      <c r="AV1951" s="33">
        <v>25</v>
      </c>
      <c r="AW1951" s="33">
        <v>20</v>
      </c>
      <c r="AX1951" s="33">
        <v>28</v>
      </c>
      <c r="AY1951" s="33" t="s">
        <v>267</v>
      </c>
      <c r="AZ1951" s="33" t="s">
        <v>5820</v>
      </c>
      <c r="BA1951" s="33"/>
      <c r="BB1951" s="41" t="s">
        <v>5821</v>
      </c>
      <c r="BC1951" s="41" t="s">
        <v>8377</v>
      </c>
      <c r="BD1951" s="41"/>
      <c r="BE1951" s="33" t="s">
        <v>2449</v>
      </c>
      <c r="BF1951" s="33"/>
      <c r="BG1951" s="33"/>
      <c r="BH1951" s="33" t="s">
        <v>5626</v>
      </c>
      <c r="BI1951" s="250"/>
      <c r="BJ1951" s="250">
        <v>0.05</v>
      </c>
      <c r="BK1951" s="254"/>
      <c r="BL1951" s="250">
        <f t="shared" si="612"/>
        <v>0.2425051689843753</v>
      </c>
      <c r="BM1951" s="33"/>
      <c r="BN1951" s="33">
        <v>3.0099999999999998E-2</v>
      </c>
      <c r="BO1951" s="33"/>
      <c r="BP1951" s="33"/>
      <c r="BQ1951" s="33"/>
      <c r="BR1951" s="33"/>
      <c r="BS1951" s="33"/>
      <c r="BT1951" s="33"/>
      <c r="BU1951" s="246"/>
      <c r="BV1951" s="33"/>
      <c r="BW1951" s="33"/>
      <c r="BX1951" s="33"/>
      <c r="BY1951" s="33"/>
      <c r="BZ1951" s="33"/>
      <c r="CA1951" s="33"/>
      <c r="CB1951" s="33"/>
      <c r="CC1951" s="33"/>
      <c r="CD1951" s="33"/>
      <c r="CE1951" s="33"/>
      <c r="CF1951" s="33"/>
      <c r="CG1951" s="33"/>
      <c r="CH1951" s="33"/>
      <c r="CI1951" s="250">
        <f>MIN(BN1951:CH1951)</f>
        <v>3.0099999999999998E-2</v>
      </c>
      <c r="CJ1951" s="243">
        <f>LOG10(CI1951)</f>
        <v>-1.5214335044061567</v>
      </c>
      <c r="CK1951" s="38">
        <f t="shared" si="613"/>
        <v>4.8501033796875053</v>
      </c>
      <c r="CL1951" s="247">
        <f>BL1951/CI1951</f>
        <v>8.0566501323712725</v>
      </c>
      <c r="CM1951" s="247">
        <v>-3.9727838920080902</v>
      </c>
      <c r="CN1951" s="247">
        <f>BJ1951/(10^CM1951)</f>
        <v>469.62790697674512</v>
      </c>
      <c r="CO1951" s="41"/>
      <c r="CP1951" s="255" t="s">
        <v>8376</v>
      </c>
      <c r="CQ1951" s="241">
        <v>-3.7164541019587642</v>
      </c>
      <c r="CR1951" s="241">
        <f>10^(CJ1951-CQ1951)</f>
        <v>156.68253791408929</v>
      </c>
      <c r="CS1951" s="33"/>
      <c r="CT1951" s="33"/>
      <c r="CU1951" s="250">
        <f>X1951/CI1951</f>
        <v>6.9919784732611942E-2</v>
      </c>
      <c r="CV1951" s="337">
        <f t="shared" si="614"/>
        <v>4.2091710409032382E-2</v>
      </c>
      <c r="CW1951" s="330">
        <f>IF(CU1951&lt;2,0,1)</f>
        <v>0</v>
      </c>
      <c r="CX1951" s="330"/>
      <c r="CY1951" s="143" t="s">
        <v>5921</v>
      </c>
    </row>
    <row r="1952" spans="1:103" ht="11.25" customHeight="1" x14ac:dyDescent="0.2">
      <c r="A1952" s="72">
        <v>1950</v>
      </c>
      <c r="B1952" s="241">
        <v>2125</v>
      </c>
      <c r="C1952" s="32" t="s">
        <v>1428</v>
      </c>
      <c r="D1952" s="32" t="s">
        <v>6584</v>
      </c>
      <c r="E1952" s="40"/>
      <c r="F1952" s="40" t="s">
        <v>1429</v>
      </c>
      <c r="G1952" s="242">
        <v>129630199</v>
      </c>
      <c r="H1952" s="41" t="s">
        <v>1430</v>
      </c>
      <c r="I1952" s="41" t="s">
        <v>7903</v>
      </c>
      <c r="J1952" s="41" t="s">
        <v>1431</v>
      </c>
      <c r="K1952" s="41" t="s">
        <v>341</v>
      </c>
      <c r="L1952" s="36" t="s">
        <v>6010</v>
      </c>
      <c r="M1952" s="36" t="s">
        <v>2342</v>
      </c>
      <c r="N1952" s="36" t="s">
        <v>2342</v>
      </c>
      <c r="O1952" s="41"/>
      <c r="P1952" s="41"/>
      <c r="Q1952" s="41"/>
      <c r="R1952" s="41"/>
      <c r="S1952" s="41"/>
      <c r="T1952" s="33">
        <v>413.17</v>
      </c>
      <c r="U1952" s="250">
        <v>2.4202526743792052E-3</v>
      </c>
      <c r="V1952" s="250">
        <v>6.4209303451280312E-3</v>
      </c>
      <c r="W1952" s="250">
        <v>5.6234132519034832E-3</v>
      </c>
      <c r="X1952" s="250">
        <v>2.4202526743792052E-3</v>
      </c>
      <c r="Y1952" s="415">
        <v>7</v>
      </c>
      <c r="Z1952" s="33">
        <v>4.87</v>
      </c>
      <c r="AA1952" s="33">
        <v>3.49</v>
      </c>
      <c r="AB1952" s="33">
        <v>3.89</v>
      </c>
      <c r="AC1952" s="33">
        <v>0.6179</v>
      </c>
      <c r="AD1952" s="33">
        <v>3.68</v>
      </c>
      <c r="AE1952" s="33">
        <v>3.33</v>
      </c>
      <c r="AF1952" s="33">
        <f t="shared" si="611"/>
        <v>3.49</v>
      </c>
      <c r="AG1952" s="34">
        <v>4.82</v>
      </c>
      <c r="AH1952" s="250">
        <v>1.2E-9</v>
      </c>
      <c r="AI1952" s="250"/>
      <c r="AJ1952" s="34">
        <f>LOG10(AH1952*1000/(0.08206*298.15))</f>
        <v>-7.3093850802650273</v>
      </c>
      <c r="AK1952" s="34"/>
      <c r="AL1952" s="34">
        <f t="shared" si="615"/>
        <v>-7.3093850802650273</v>
      </c>
      <c r="AM1952" s="34">
        <v>-13.619489999999999</v>
      </c>
      <c r="AN1952" s="251">
        <v>-2.1351</v>
      </c>
      <c r="AO1952" s="417"/>
      <c r="AP1952" s="417">
        <v>-2.79</v>
      </c>
      <c r="AQ1952" s="251" t="s">
        <v>6311</v>
      </c>
      <c r="AR1952" s="251" t="s">
        <v>6314</v>
      </c>
      <c r="AS1952" s="252" t="s">
        <v>5466</v>
      </c>
      <c r="AT1952" s="35" t="s">
        <v>266</v>
      </c>
      <c r="AU1952" s="33">
        <v>5</v>
      </c>
      <c r="AV1952" s="33">
        <v>25</v>
      </c>
      <c r="AW1952" s="33">
        <v>20</v>
      </c>
      <c r="AX1952" s="33">
        <v>28</v>
      </c>
      <c r="AY1952" s="33" t="s">
        <v>267</v>
      </c>
      <c r="AZ1952" s="33" t="s">
        <v>5820</v>
      </c>
      <c r="BA1952" s="33"/>
      <c r="BB1952" s="41" t="s">
        <v>5821</v>
      </c>
      <c r="BC1952" s="41" t="s">
        <v>8377</v>
      </c>
      <c r="BD1952" s="41"/>
      <c r="BE1952" s="33" t="s">
        <v>2449</v>
      </c>
      <c r="BF1952" s="33"/>
      <c r="BG1952" s="33"/>
      <c r="BH1952" s="33" t="s">
        <v>5626</v>
      </c>
      <c r="BI1952" s="250"/>
      <c r="BJ1952" s="250">
        <v>0.05</v>
      </c>
      <c r="BK1952" s="254"/>
      <c r="BL1952" s="250">
        <f t="shared" si="612"/>
        <v>2.1729663449987923E-3</v>
      </c>
      <c r="BM1952" s="33"/>
      <c r="BN1952" s="33" t="s">
        <v>5822</v>
      </c>
      <c r="BO1952" s="33"/>
      <c r="BP1952" s="33"/>
      <c r="BQ1952" s="33"/>
      <c r="BR1952" s="33"/>
      <c r="BS1952" s="33"/>
      <c r="BT1952" s="33"/>
      <c r="BU1952" s="246"/>
      <c r="BV1952" s="33"/>
      <c r="BW1952" s="33"/>
      <c r="BX1952" s="33"/>
      <c r="BY1952" s="33"/>
      <c r="BZ1952" s="33"/>
      <c r="CA1952" s="33"/>
      <c r="CB1952" s="33"/>
      <c r="CC1952" s="33"/>
      <c r="CD1952" s="33"/>
      <c r="CE1952" s="33"/>
      <c r="CF1952" s="33"/>
      <c r="CG1952" s="33"/>
      <c r="CH1952" s="33"/>
      <c r="CI1952" s="250"/>
      <c r="CJ1952" s="243"/>
      <c r="CK1952" s="38">
        <f t="shared" si="613"/>
        <v>4.3459326899975843E-2</v>
      </c>
      <c r="CL1952" s="247"/>
      <c r="CM1952" s="247">
        <v>-2.4120193086528023</v>
      </c>
      <c r="CN1952" s="247">
        <f>BJ1952/(10^CM1952)</f>
        <v>12.911875000000004</v>
      </c>
      <c r="CO1952" s="41"/>
      <c r="CP1952" s="255" t="s">
        <v>8376</v>
      </c>
      <c r="CQ1952" s="241">
        <v>-2.2548223300418213</v>
      </c>
      <c r="CR1952" s="241">
        <f>10^(CJ1952-CQ1952)</f>
        <v>179.81351471943822</v>
      </c>
      <c r="CS1952" s="33"/>
      <c r="CT1952" s="33"/>
      <c r="CU1952" s="250"/>
      <c r="CV1952" s="337">
        <f t="shared" si="614"/>
        <v>4.8405053487584102E-2</v>
      </c>
      <c r="CW1952" s="330">
        <f>IF(CV1952&lt;1,0,1)</f>
        <v>0</v>
      </c>
      <c r="CX1952" s="330"/>
      <c r="CY1952" s="143" t="s">
        <v>5921</v>
      </c>
    </row>
    <row r="1953" spans="1:103" ht="11.25" customHeight="1" x14ac:dyDescent="0.2">
      <c r="A1953" s="72">
        <v>1951</v>
      </c>
      <c r="B1953" s="241">
        <v>2129</v>
      </c>
      <c r="C1953" s="32" t="s">
        <v>1145</v>
      </c>
      <c r="D1953" s="32"/>
      <c r="E1953" s="40"/>
      <c r="F1953" s="40" t="s">
        <v>1146</v>
      </c>
      <c r="G1953" s="242">
        <v>131807573</v>
      </c>
      <c r="H1953" s="41" t="s">
        <v>1147</v>
      </c>
      <c r="I1953" s="41" t="s">
        <v>1147</v>
      </c>
      <c r="J1953" s="41" t="s">
        <v>1148</v>
      </c>
      <c r="K1953" s="41" t="s">
        <v>1149</v>
      </c>
      <c r="L1953" s="36" t="s">
        <v>5976</v>
      </c>
      <c r="M1953" s="36" t="s">
        <v>2342</v>
      </c>
      <c r="N1953" s="36" t="s">
        <v>2342</v>
      </c>
      <c r="O1953" s="41"/>
      <c r="P1953" s="41"/>
      <c r="Q1953" s="41"/>
      <c r="R1953" s="41"/>
      <c r="S1953" s="41"/>
      <c r="T1953" s="33">
        <v>374.4</v>
      </c>
      <c r="U1953" s="250">
        <v>1.3889259862710009E-4</v>
      </c>
      <c r="V1953" s="250">
        <v>1.2569780175752559E-3</v>
      </c>
      <c r="W1953" s="250">
        <v>3.4673685045253128E-3</v>
      </c>
      <c r="X1953" s="250">
        <v>1.3889259862710009E-4</v>
      </c>
      <c r="Y1953" s="415">
        <v>7</v>
      </c>
      <c r="Z1953" s="33">
        <v>4.8899999999999997</v>
      </c>
      <c r="AA1953" s="33">
        <v>4.6500000000000004</v>
      </c>
      <c r="AB1953" s="33">
        <v>4.12</v>
      </c>
      <c r="AC1953" s="33">
        <v>0.81379999999999997</v>
      </c>
      <c r="AD1953" s="33">
        <v>4.2699999999999996</v>
      </c>
      <c r="AE1953" s="33">
        <v>4.76</v>
      </c>
      <c r="AF1953" s="33">
        <f t="shared" si="611"/>
        <v>4.6500000000000004</v>
      </c>
      <c r="AG1953" s="34">
        <v>3.9</v>
      </c>
      <c r="AH1953" s="250">
        <v>2.5799999999999999E-12</v>
      </c>
      <c r="AI1953" s="250">
        <v>4.5499999999999997E-8</v>
      </c>
      <c r="AJ1953" s="34">
        <f>LOG10(AH1953*1000/(0.08206*298.15))</f>
        <v>-9.9769466203494215</v>
      </c>
      <c r="AK1953" s="34">
        <f>LOG10(AI1953*1000/(0.08206*298.15))</f>
        <v>-5.7305549296555398</v>
      </c>
      <c r="AL1953" s="34">
        <f t="shared" si="615"/>
        <v>-5.7305549296555398</v>
      </c>
      <c r="AM1953" s="34">
        <v>-19.723759999999999</v>
      </c>
      <c r="AN1953" s="251">
        <v>-12.24</v>
      </c>
      <c r="AO1953" s="417"/>
      <c r="AP1953" s="417">
        <v>0.63</v>
      </c>
      <c r="AQ1953" s="251" t="s">
        <v>6311</v>
      </c>
      <c r="AR1953" s="251" t="s">
        <v>6311</v>
      </c>
      <c r="AS1953" s="252" t="s">
        <v>5466</v>
      </c>
      <c r="AT1953" s="35" t="s">
        <v>266</v>
      </c>
      <c r="AU1953" s="33">
        <v>5</v>
      </c>
      <c r="AV1953" s="33">
        <v>25</v>
      </c>
      <c r="AW1953" s="33">
        <v>20</v>
      </c>
      <c r="AX1953" s="33">
        <v>28</v>
      </c>
      <c r="AY1953" s="33" t="s">
        <v>267</v>
      </c>
      <c r="AZ1953" s="33" t="s">
        <v>5820</v>
      </c>
      <c r="BA1953" s="33"/>
      <c r="BB1953" s="41" t="s">
        <v>5821</v>
      </c>
      <c r="BC1953" s="41" t="s">
        <v>8377</v>
      </c>
      <c r="BD1953" s="41"/>
      <c r="BE1953" s="33" t="s">
        <v>2449</v>
      </c>
      <c r="BF1953" s="33"/>
      <c r="BG1953" s="33"/>
      <c r="BH1953" s="33" t="s">
        <v>5626</v>
      </c>
      <c r="BI1953" s="250"/>
      <c r="BJ1953" s="250">
        <v>0.05</v>
      </c>
      <c r="BK1953" s="254"/>
      <c r="BL1953" s="250">
        <f t="shared" si="612"/>
        <v>2.0849277031649762E-3</v>
      </c>
      <c r="BM1953" s="33"/>
      <c r="BN1953" s="33">
        <v>3.3E-3</v>
      </c>
      <c r="BO1953" s="33"/>
      <c r="BP1953" s="33"/>
      <c r="BQ1953" s="33"/>
      <c r="BR1953" s="33"/>
      <c r="BS1953" s="33"/>
      <c r="BT1953" s="33"/>
      <c r="BU1953" s="246"/>
      <c r="BV1953" s="33"/>
      <c r="BW1953" s="33"/>
      <c r="BX1953" s="33"/>
      <c r="BY1953" s="33"/>
      <c r="BZ1953" s="33"/>
      <c r="CA1953" s="33"/>
      <c r="CB1953" s="33"/>
      <c r="CC1953" s="33"/>
      <c r="CD1953" s="33"/>
      <c r="CE1953" s="33"/>
      <c r="CF1953" s="33"/>
      <c r="CG1953" s="33"/>
      <c r="CH1953" s="33"/>
      <c r="CI1953" s="250">
        <f>MIN(BN1953:CH1953)</f>
        <v>3.3E-3</v>
      </c>
      <c r="CJ1953" s="243">
        <f>LOG10(CI1953)</f>
        <v>-2.4814860601221125</v>
      </c>
      <c r="CK1953" s="38">
        <f t="shared" si="613"/>
        <v>4.1698554063299524E-2</v>
      </c>
      <c r="CL1953" s="247">
        <f>BL1953/CI1953</f>
        <v>0.63179627368635638</v>
      </c>
      <c r="CM1953" s="247">
        <v>-4.4941429941177518</v>
      </c>
      <c r="CN1953" s="247">
        <f>BJ1953/(10^CM1953)</f>
        <v>1559.9583333333353</v>
      </c>
      <c r="CO1953" s="41"/>
      <c r="CP1953" s="255" t="s">
        <v>8376</v>
      </c>
      <c r="CQ1953" s="241">
        <v>-4.4767619409881458</v>
      </c>
      <c r="CR1953" s="241">
        <f>10^(CJ1953-CQ1953)</f>
        <v>98.918126180092912</v>
      </c>
      <c r="CS1953" s="33"/>
      <c r="CT1953" s="33"/>
      <c r="CU1953" s="250">
        <f>X1953/CI1953</f>
        <v>4.208866625063639E-2</v>
      </c>
      <c r="CV1953" s="337">
        <f t="shared" si="614"/>
        <v>2.7778519725420018E-3</v>
      </c>
      <c r="CW1953" s="330">
        <f>IF(CU1953&lt;2,0,1)</f>
        <v>0</v>
      </c>
      <c r="CX1953" s="330"/>
      <c r="CY1953" s="143" t="s">
        <v>5921</v>
      </c>
    </row>
    <row r="1954" spans="1:103" ht="11.25" customHeight="1" x14ac:dyDescent="0.2">
      <c r="A1954" s="72">
        <v>1952</v>
      </c>
      <c r="B1954" s="241">
        <v>2136</v>
      </c>
      <c r="C1954" s="32" t="s">
        <v>883</v>
      </c>
      <c r="D1954" s="32" t="s">
        <v>6630</v>
      </c>
      <c r="E1954" s="40"/>
      <c r="F1954" s="40" t="s">
        <v>884</v>
      </c>
      <c r="G1954" s="40">
        <v>111812589</v>
      </c>
      <c r="H1954" s="41" t="s">
        <v>5831</v>
      </c>
      <c r="I1954" s="41" t="s">
        <v>5831</v>
      </c>
      <c r="J1954" s="41" t="s">
        <v>5832</v>
      </c>
      <c r="K1954" s="41" t="s">
        <v>887</v>
      </c>
      <c r="L1954" s="41" t="s">
        <v>617</v>
      </c>
      <c r="M1954" s="41" t="s">
        <v>6611</v>
      </c>
      <c r="N1954" s="36" t="s">
        <v>6381</v>
      </c>
      <c r="O1954" s="41"/>
      <c r="P1954" s="41"/>
      <c r="Q1954" s="41"/>
      <c r="R1954" s="41"/>
      <c r="S1954" s="41"/>
      <c r="T1954" s="33">
        <v>421.49</v>
      </c>
      <c r="U1954" s="250">
        <v>3.463901871930532E-5</v>
      </c>
      <c r="V1954" s="250">
        <v>2.8114546015326576E-4</v>
      </c>
      <c r="W1954" s="250">
        <v>4.7863009232263745E-4</v>
      </c>
      <c r="X1954" s="250">
        <v>3.463901871930532E-5</v>
      </c>
      <c r="Y1954" s="415">
        <v>7</v>
      </c>
      <c r="Z1954" s="33">
        <v>5.57</v>
      </c>
      <c r="AA1954" s="33">
        <v>5.01</v>
      </c>
      <c r="AB1954" s="33">
        <v>4.72</v>
      </c>
      <c r="AC1954" s="33">
        <v>0.85519999999999996</v>
      </c>
      <c r="AD1954" s="33">
        <v>5.09</v>
      </c>
      <c r="AE1954" s="33">
        <v>6.44</v>
      </c>
      <c r="AF1954" s="33">
        <f t="shared" si="611"/>
        <v>5.01</v>
      </c>
      <c r="AG1954" s="34">
        <v>5.09</v>
      </c>
      <c r="AH1954" s="250">
        <v>4.9099999999999997E-11</v>
      </c>
      <c r="AI1954" s="250">
        <v>2.1399999999999998E-6</v>
      </c>
      <c r="AJ1954" s="34">
        <f>LOG10(AH1954*1000/(0.08206*298.15))</f>
        <v>-8.6974848341896838</v>
      </c>
      <c r="AK1954" s="34">
        <f>LOG10(AI1954*1000/(0.08206*298.15))</f>
        <v>-4.0581525529634606</v>
      </c>
      <c r="AL1954" s="34">
        <f t="shared" si="615"/>
        <v>-4.0581525529634606</v>
      </c>
      <c r="AM1954" s="34">
        <v>-16.903649999999999</v>
      </c>
      <c r="AN1954" s="251"/>
      <c r="AO1954" s="417"/>
      <c r="AP1954" s="417">
        <v>1.58</v>
      </c>
      <c r="AQ1954" s="251" t="s">
        <v>6311</v>
      </c>
      <c r="AR1954" s="251" t="s">
        <v>6312</v>
      </c>
      <c r="AS1954" s="252" t="s">
        <v>5466</v>
      </c>
      <c r="AT1954" s="35" t="s">
        <v>266</v>
      </c>
      <c r="AU1954" s="33">
        <v>5</v>
      </c>
      <c r="AV1954" s="33">
        <v>25</v>
      </c>
      <c r="AW1954" s="33">
        <v>20</v>
      </c>
      <c r="AX1954" s="33">
        <v>28</v>
      </c>
      <c r="AY1954" s="33" t="s">
        <v>267</v>
      </c>
      <c r="AZ1954" s="33" t="s">
        <v>5820</v>
      </c>
      <c r="BA1954" s="33"/>
      <c r="BB1954" s="41" t="s">
        <v>5821</v>
      </c>
      <c r="BC1954" s="41" t="s">
        <v>8377</v>
      </c>
      <c r="BD1954" s="41"/>
      <c r="BE1954" s="33" t="s">
        <v>2449</v>
      </c>
      <c r="BF1954" s="33"/>
      <c r="BG1954" s="33"/>
      <c r="BH1954" s="33" t="s">
        <v>5626</v>
      </c>
      <c r="BI1954" s="250"/>
      <c r="BJ1954" s="250">
        <v>0.05</v>
      </c>
      <c r="BK1954" s="254"/>
      <c r="BL1954" s="250">
        <f t="shared" si="612"/>
        <v>5.1095540785202418E-4</v>
      </c>
      <c r="BM1954" s="33"/>
      <c r="BN1954" s="33">
        <v>8.0000000000000004E-4</v>
      </c>
      <c r="BO1954" s="33"/>
      <c r="BP1954" s="33"/>
      <c r="BQ1954" s="33"/>
      <c r="BR1954" s="33"/>
      <c r="BS1954" s="33"/>
      <c r="BT1954" s="33"/>
      <c r="BU1954" s="246"/>
      <c r="BV1954" s="33"/>
      <c r="BW1954" s="33"/>
      <c r="BX1954" s="33"/>
      <c r="BY1954" s="33"/>
      <c r="BZ1954" s="33"/>
      <c r="CA1954" s="33"/>
      <c r="CB1954" s="33"/>
      <c r="CC1954" s="33"/>
      <c r="CD1954" s="33"/>
      <c r="CE1954" s="33"/>
      <c r="CF1954" s="33"/>
      <c r="CG1954" s="33"/>
      <c r="CH1954" s="33"/>
      <c r="CI1954" s="250">
        <f>MIN(BN1954:CH1954)</f>
        <v>8.0000000000000004E-4</v>
      </c>
      <c r="CJ1954" s="243">
        <f>LOG10(CI1954)</f>
        <v>-3.0969100130080562</v>
      </c>
      <c r="CK1954" s="38">
        <f t="shared" si="613"/>
        <v>1.0219108157040482E-2</v>
      </c>
      <c r="CL1954" s="247">
        <f>BL1954/CI1954</f>
        <v>0.63869425981503025</v>
      </c>
      <c r="CM1954" s="247"/>
      <c r="CN1954" s="247"/>
      <c r="CO1954" s="41"/>
      <c r="CP1954" s="255" t="s">
        <v>8376</v>
      </c>
      <c r="CQ1954" s="241" t="s">
        <v>272</v>
      </c>
      <c r="CR1954" s="241"/>
      <c r="CS1954" s="33"/>
      <c r="CT1954" s="33"/>
      <c r="CU1954" s="250">
        <f>X1954/CI1954</f>
        <v>4.329877339913165E-2</v>
      </c>
      <c r="CV1954" s="337">
        <f t="shared" si="614"/>
        <v>6.9278037438610636E-4</v>
      </c>
      <c r="CW1954" s="330">
        <f>IF(CU1954&lt;2,0,1)</f>
        <v>0</v>
      </c>
      <c r="CX1954" s="330"/>
      <c r="CY1954" s="143" t="s">
        <v>5921</v>
      </c>
    </row>
    <row r="1955" spans="1:103" ht="11.25" customHeight="1" x14ac:dyDescent="0.2">
      <c r="A1955" s="72">
        <v>1953</v>
      </c>
      <c r="B1955" s="241">
        <v>2118</v>
      </c>
      <c r="C1955" s="32" t="s">
        <v>1002</v>
      </c>
      <c r="D1955" s="32" t="s">
        <v>6585</v>
      </c>
      <c r="E1955" s="40"/>
      <c r="F1955" s="40" t="s">
        <v>1003</v>
      </c>
      <c r="G1955" s="242">
        <v>134605644</v>
      </c>
      <c r="H1955" s="41" t="s">
        <v>1004</v>
      </c>
      <c r="I1955" s="41" t="s">
        <v>7783</v>
      </c>
      <c r="J1955" s="41" t="s">
        <v>1005</v>
      </c>
      <c r="K1955" s="41" t="s">
        <v>1006</v>
      </c>
      <c r="L1955" s="36" t="s">
        <v>5955</v>
      </c>
      <c r="M1955" s="36" t="s">
        <v>5956</v>
      </c>
      <c r="N1955" s="36" t="s">
        <v>6385</v>
      </c>
      <c r="O1955" s="36" t="s">
        <v>5957</v>
      </c>
      <c r="P1955" s="41"/>
      <c r="Q1955" s="41"/>
      <c r="R1955" s="41"/>
      <c r="S1955" s="41"/>
      <c r="T1955" s="33">
        <v>474.81</v>
      </c>
      <c r="U1955" s="250"/>
      <c r="V1955" s="250">
        <v>5.3874181251447944E-3</v>
      </c>
      <c r="W1955" s="250">
        <v>1.8620871366628634E-3</v>
      </c>
      <c r="X1955" s="250">
        <f>IF(W1955=0,V1955,W1955)</f>
        <v>1.8620871366628634E-3</v>
      </c>
      <c r="Y1955" s="415">
        <v>7</v>
      </c>
      <c r="Z1955" s="33">
        <v>3.05</v>
      </c>
      <c r="AA1955" s="33"/>
      <c r="AB1955" s="33">
        <v>3.65</v>
      </c>
      <c r="AC1955" s="33">
        <v>0.56579999999999997</v>
      </c>
      <c r="AD1955" s="33">
        <v>3.64</v>
      </c>
      <c r="AE1955" s="33">
        <v>3.63</v>
      </c>
      <c r="AF1955" s="33">
        <f t="shared" si="611"/>
        <v>3.64</v>
      </c>
      <c r="AG1955" s="34">
        <v>4.2300000000000004</v>
      </c>
      <c r="AH1955" s="250">
        <v>2.2499999999999999E-12</v>
      </c>
      <c r="AI1955" s="250"/>
      <c r="AJ1955" s="34">
        <f>LOG10(AH1955*1000/(0.08206*298.15))</f>
        <v>-10.03638380820129</v>
      </c>
      <c r="AK1955" s="34"/>
      <c r="AL1955" s="34">
        <f t="shared" si="615"/>
        <v>-10.03638380820129</v>
      </c>
      <c r="AM1955" s="34">
        <v>-17.98612</v>
      </c>
      <c r="AN1955" s="251">
        <v>-11.28</v>
      </c>
      <c r="AO1955" s="417"/>
      <c r="AP1955" s="417">
        <v>-4.21</v>
      </c>
      <c r="AQ1955" s="251" t="s">
        <v>6311</v>
      </c>
      <c r="AR1955" s="251" t="s">
        <v>6312</v>
      </c>
      <c r="AS1955" s="252" t="s">
        <v>5466</v>
      </c>
      <c r="AT1955" s="35" t="s">
        <v>266</v>
      </c>
      <c r="AU1955" s="33">
        <v>5</v>
      </c>
      <c r="AV1955" s="33">
        <v>25</v>
      </c>
      <c r="AW1955" s="33">
        <v>20</v>
      </c>
      <c r="AX1955" s="33">
        <v>28</v>
      </c>
      <c r="AY1955" s="33" t="s">
        <v>267</v>
      </c>
      <c r="AZ1955" s="33" t="s">
        <v>5820</v>
      </c>
      <c r="BA1955" s="33"/>
      <c r="BB1955" s="41" t="s">
        <v>5821</v>
      </c>
      <c r="BC1955" s="41" t="s">
        <v>8377</v>
      </c>
      <c r="BD1955" s="41"/>
      <c r="BE1955" s="33" t="s">
        <v>2449</v>
      </c>
      <c r="BF1955" s="33"/>
      <c r="BG1955" s="33"/>
      <c r="BH1955" s="33" t="s">
        <v>5626</v>
      </c>
      <c r="BI1955" s="250"/>
      <c r="BJ1955" s="250">
        <v>0.05</v>
      </c>
      <c r="BK1955" s="254"/>
      <c r="BL1955" s="250">
        <f t="shared" si="612"/>
        <v>9.3668809386983007E-2</v>
      </c>
      <c r="BM1955" s="33"/>
      <c r="BN1955" s="33" t="s">
        <v>5822</v>
      </c>
      <c r="BO1955" s="33"/>
      <c r="BP1955" s="33"/>
      <c r="BQ1955" s="33"/>
      <c r="BR1955" s="33"/>
      <c r="BS1955" s="33"/>
      <c r="BT1955" s="33"/>
      <c r="BU1955" s="246"/>
      <c r="BV1955" s="33"/>
      <c r="BW1955" s="33"/>
      <c r="BX1955" s="33"/>
      <c r="BY1955" s="33"/>
      <c r="BZ1955" s="33"/>
      <c r="CA1955" s="33"/>
      <c r="CB1955" s="33"/>
      <c r="CC1955" s="33"/>
      <c r="CD1955" s="33"/>
      <c r="CE1955" s="33"/>
      <c r="CF1955" s="33"/>
      <c r="CG1955" s="33"/>
      <c r="CH1955" s="33"/>
      <c r="CI1955" s="250"/>
      <c r="CJ1955" s="243"/>
      <c r="CK1955" s="38">
        <f t="shared" si="613"/>
        <v>1.87337618773966</v>
      </c>
      <c r="CL1955" s="247"/>
      <c r="CM1955" s="247">
        <v>-2.0854552500527799</v>
      </c>
      <c r="CN1955" s="247">
        <f>BJ1955/(10^CM1955)</f>
        <v>6.0873076923076956</v>
      </c>
      <c r="CO1955" s="41"/>
      <c r="CP1955" s="255" t="s">
        <v>8376</v>
      </c>
      <c r="CQ1955" s="241">
        <v>-2.0854552500527799</v>
      </c>
      <c r="CR1955" s="241">
        <f>10^(CJ1955-CQ1955)</f>
        <v>121.7461538461539</v>
      </c>
      <c r="CS1955" s="33"/>
      <c r="CT1955" s="33"/>
      <c r="CU1955" s="250"/>
      <c r="CV1955" s="337">
        <f t="shared" si="614"/>
        <v>3.7241742733257269E-2</v>
      </c>
      <c r="CW1955" s="330">
        <f>IF(CV1955&lt;1,0,1)</f>
        <v>0</v>
      </c>
      <c r="CX1955" s="330"/>
      <c r="CY1955" s="143" t="s">
        <v>6351</v>
      </c>
    </row>
    <row r="1956" spans="1:103" ht="11.25" customHeight="1" x14ac:dyDescent="0.2">
      <c r="A1956" s="72">
        <v>1954</v>
      </c>
      <c r="B1956" s="241">
        <v>2130</v>
      </c>
      <c r="C1956" s="32" t="s">
        <v>1539</v>
      </c>
      <c r="D1956" s="32" t="s">
        <v>6587</v>
      </c>
      <c r="E1956" s="40"/>
      <c r="F1956" s="40" t="s">
        <v>1540</v>
      </c>
      <c r="G1956" s="242">
        <v>141517217</v>
      </c>
      <c r="H1956" s="41" t="s">
        <v>1541</v>
      </c>
      <c r="I1956" s="41" t="s">
        <v>1541</v>
      </c>
      <c r="J1956" s="41" t="s">
        <v>1542</v>
      </c>
      <c r="K1956" s="41" t="s">
        <v>300</v>
      </c>
      <c r="L1956" s="41"/>
      <c r="M1956" s="41" t="s">
        <v>6082</v>
      </c>
      <c r="N1956" s="36" t="s">
        <v>6082</v>
      </c>
      <c r="O1956" s="41"/>
      <c r="P1956" s="41"/>
      <c r="Q1956" s="41"/>
      <c r="R1956" s="41"/>
      <c r="S1956" s="41"/>
      <c r="T1956" s="33">
        <v>408.37</v>
      </c>
      <c r="U1956" s="250"/>
      <c r="V1956" s="250">
        <v>9.5501628425202637E-4</v>
      </c>
      <c r="W1956" s="250">
        <v>1.0232929922807527E-3</v>
      </c>
      <c r="X1956" s="250">
        <f>IF(W1956=0,V1956,W1956)</f>
        <v>1.0232929922807527E-3</v>
      </c>
      <c r="Y1956" s="415">
        <v>7</v>
      </c>
      <c r="Z1956" s="33">
        <v>6.62</v>
      </c>
      <c r="AA1956" s="33">
        <v>4.5</v>
      </c>
      <c r="AB1956" s="33">
        <v>4.7300000000000004</v>
      </c>
      <c r="AC1956" s="33">
        <v>0.70989999999999998</v>
      </c>
      <c r="AD1956" s="33">
        <v>4.8499999999999996</v>
      </c>
      <c r="AE1956" s="33">
        <v>5.1100000000000003</v>
      </c>
      <c r="AF1956" s="33">
        <f t="shared" si="611"/>
        <v>4.5</v>
      </c>
      <c r="AG1956" s="34">
        <v>5.04</v>
      </c>
      <c r="AH1956" s="250">
        <v>1.0700000000000001E-7</v>
      </c>
      <c r="AI1956" s="250"/>
      <c r="AJ1956" s="34">
        <f>LOG10(AH1956*1000/(0.08206*298.15))</f>
        <v>-5.3591825486274418</v>
      </c>
      <c r="AK1956" s="34"/>
      <c r="AL1956" s="34">
        <f t="shared" si="615"/>
        <v>-5.3591825486274418</v>
      </c>
      <c r="AM1956" s="34">
        <v>-11.2052</v>
      </c>
      <c r="AN1956" s="251">
        <v>-5.9367000000000001</v>
      </c>
      <c r="AO1956" s="417"/>
      <c r="AP1956" s="417"/>
      <c r="AQ1956" s="251" t="s">
        <v>6311</v>
      </c>
      <c r="AR1956" s="251" t="s">
        <v>6312</v>
      </c>
      <c r="AS1956" s="252" t="s">
        <v>5466</v>
      </c>
      <c r="AT1956" s="35" t="s">
        <v>266</v>
      </c>
      <c r="AU1956" s="33">
        <v>5</v>
      </c>
      <c r="AV1956" s="33">
        <v>25</v>
      </c>
      <c r="AW1956" s="33">
        <v>20</v>
      </c>
      <c r="AX1956" s="33">
        <v>28</v>
      </c>
      <c r="AY1956" s="33" t="s">
        <v>267</v>
      </c>
      <c r="AZ1956" s="33" t="s">
        <v>5820</v>
      </c>
      <c r="BA1956" s="33"/>
      <c r="BB1956" s="41" t="s">
        <v>5821</v>
      </c>
      <c r="BC1956" s="41" t="s">
        <v>8377</v>
      </c>
      <c r="BD1956" s="41"/>
      <c r="BE1956" s="33" t="s">
        <v>2449</v>
      </c>
      <c r="BF1956" s="33"/>
      <c r="BG1956" s="33"/>
      <c r="BH1956" s="33" t="s">
        <v>5626</v>
      </c>
      <c r="BI1956" s="250"/>
      <c r="BJ1956" s="250">
        <v>0.05</v>
      </c>
      <c r="BK1956" s="254"/>
      <c r="BL1956" s="250">
        <f t="shared" si="612"/>
        <v>5.8261008767137519E-5</v>
      </c>
      <c r="BM1956" s="33"/>
      <c r="BN1956" s="33">
        <v>2.5999999999999999E-3</v>
      </c>
      <c r="BO1956" s="33"/>
      <c r="BP1956" s="33"/>
      <c r="BQ1956" s="33"/>
      <c r="BR1956" s="33"/>
      <c r="BS1956" s="33"/>
      <c r="BT1956" s="33"/>
      <c r="BU1956" s="246"/>
      <c r="BV1956" s="33"/>
      <c r="BW1956" s="33"/>
      <c r="BX1956" s="33"/>
      <c r="BY1956" s="33"/>
      <c r="BZ1956" s="33"/>
      <c r="CA1956" s="33"/>
      <c r="CB1956" s="33"/>
      <c r="CC1956" s="33"/>
      <c r="CD1956" s="33"/>
      <c r="CE1956" s="33"/>
      <c r="CF1956" s="33"/>
      <c r="CG1956" s="33"/>
      <c r="CH1956" s="33"/>
      <c r="CI1956" s="250">
        <f>MIN(BN1956:CH1956)</f>
        <v>2.5999999999999999E-3</v>
      </c>
      <c r="CJ1956" s="243">
        <f>LOG10(CI1956)</f>
        <v>-2.5850266520291822</v>
      </c>
      <c r="CK1956" s="38">
        <f t="shared" si="613"/>
        <v>1.1652201753427503E-3</v>
      </c>
      <c r="CL1956" s="247">
        <f>BL1956/CI1956</f>
        <v>2.2408080295052892E-2</v>
      </c>
      <c r="CM1956" s="247">
        <v>-4.4649257944236753</v>
      </c>
      <c r="CN1956" s="247">
        <f>BJ1956/(10^CM1956)</f>
        <v>1458.4642857142867</v>
      </c>
      <c r="CO1956" s="41"/>
      <c r="CP1956" s="255" t="s">
        <v>8376</v>
      </c>
      <c r="CQ1956" s="241">
        <v>-4.1717929323513099</v>
      </c>
      <c r="CR1956" s="241">
        <f>10^(CJ1956-CQ1956)</f>
        <v>38.615910595457954</v>
      </c>
      <c r="CS1956" s="33"/>
      <c r="CT1956" s="33"/>
      <c r="CU1956" s="250">
        <f>X1956/CI1956</f>
        <v>0.3935742278002895</v>
      </c>
      <c r="CV1956" s="337">
        <f t="shared" si="614"/>
        <v>2.0465859845615053E-2</v>
      </c>
      <c r="CW1956" s="330">
        <f>IF(CU1956&lt;2,0,1)</f>
        <v>0</v>
      </c>
      <c r="CX1956" s="330"/>
      <c r="CY1956" s="143" t="s">
        <v>5921</v>
      </c>
    </row>
    <row r="1957" spans="1:103" ht="11.25" customHeight="1" x14ac:dyDescent="0.2">
      <c r="A1957" s="72">
        <v>1955</v>
      </c>
      <c r="B1957" s="241">
        <v>2137</v>
      </c>
      <c r="C1957" s="32" t="s">
        <v>3126</v>
      </c>
      <c r="D1957" s="32" t="s">
        <v>6589</v>
      </c>
      <c r="E1957" s="40"/>
      <c r="F1957" s="40" t="s">
        <v>3127</v>
      </c>
      <c r="G1957" s="242">
        <v>155569918</v>
      </c>
      <c r="H1957" s="41" t="s">
        <v>1133</v>
      </c>
      <c r="I1957" s="41"/>
      <c r="J1957" s="41" t="s">
        <v>5833</v>
      </c>
      <c r="K1957" s="41"/>
      <c r="L1957" s="41" t="s">
        <v>617</v>
      </c>
      <c r="M1957" s="41" t="s">
        <v>917</v>
      </c>
      <c r="N1957" s="36" t="s">
        <v>6376</v>
      </c>
      <c r="O1957" s="41" t="s">
        <v>918</v>
      </c>
      <c r="P1957" s="41"/>
      <c r="Q1957" s="41"/>
      <c r="R1957" s="41"/>
      <c r="S1957" s="41"/>
      <c r="T1957" s="33">
        <v>1008.3</v>
      </c>
      <c r="U1957" s="250"/>
      <c r="V1957" s="250"/>
      <c r="W1957" s="250">
        <v>9.1201083935590926E-2</v>
      </c>
      <c r="X1957" s="250">
        <f>IF(W1957=0,V1957,W1957)</f>
        <v>9.1201083935590926E-2</v>
      </c>
      <c r="Y1957" s="415">
        <v>9.2799999999999994</v>
      </c>
      <c r="Z1957" s="33"/>
      <c r="AA1957" s="33"/>
      <c r="AB1957" s="33"/>
      <c r="AC1957" s="33"/>
      <c r="AD1957" s="33"/>
      <c r="AE1957" s="33"/>
      <c r="AF1957" s="33"/>
      <c r="AG1957" s="34">
        <v>4.72</v>
      </c>
      <c r="AH1957" s="250"/>
      <c r="AI1957" s="250"/>
      <c r="AJ1957" s="34"/>
      <c r="AK1957" s="34"/>
      <c r="AL1957" s="34"/>
      <c r="AM1957" s="34"/>
      <c r="AN1957" s="251">
        <v>-34.192</v>
      </c>
      <c r="AO1957" s="417">
        <v>12.42</v>
      </c>
      <c r="AP1957" s="417">
        <v>8.7100000000000009</v>
      </c>
      <c r="AQ1957" s="251" t="s">
        <v>6311</v>
      </c>
      <c r="AR1957" s="251" t="s">
        <v>6311</v>
      </c>
      <c r="AS1957" s="252" t="s">
        <v>5466</v>
      </c>
      <c r="AT1957" s="35" t="s">
        <v>266</v>
      </c>
      <c r="AU1957" s="33">
        <v>5</v>
      </c>
      <c r="AV1957" s="33">
        <v>25</v>
      </c>
      <c r="AW1957" s="33">
        <v>20</v>
      </c>
      <c r="AX1957" s="33">
        <v>28</v>
      </c>
      <c r="AY1957" s="33" t="s">
        <v>267</v>
      </c>
      <c r="AZ1957" s="33" t="s">
        <v>5820</v>
      </c>
      <c r="BA1957" s="33"/>
      <c r="BB1957" s="41" t="s">
        <v>5821</v>
      </c>
      <c r="BC1957" s="41" t="s">
        <v>8377</v>
      </c>
      <c r="BD1957" s="41"/>
      <c r="BE1957" s="33" t="s">
        <v>2449</v>
      </c>
      <c r="BF1957" s="33"/>
      <c r="BG1957" s="33"/>
      <c r="BH1957" s="33" t="s">
        <v>5626</v>
      </c>
      <c r="BI1957" s="250"/>
      <c r="BJ1957" s="250">
        <v>0.05</v>
      </c>
      <c r="BK1957" s="254"/>
      <c r="BL1957" s="250"/>
      <c r="BM1957" s="33"/>
      <c r="BN1957" s="33" t="s">
        <v>5822</v>
      </c>
      <c r="BO1957" s="33"/>
      <c r="BP1957" s="33"/>
      <c r="BQ1957" s="33"/>
      <c r="BR1957" s="33"/>
      <c r="BS1957" s="33"/>
      <c r="BT1957" s="33"/>
      <c r="BU1957" s="246"/>
      <c r="BV1957" s="33"/>
      <c r="BW1957" s="33"/>
      <c r="BX1957" s="33"/>
      <c r="BY1957" s="33"/>
      <c r="BZ1957" s="33"/>
      <c r="CA1957" s="33"/>
      <c r="CB1957" s="33"/>
      <c r="CC1957" s="33"/>
      <c r="CD1957" s="33"/>
      <c r="CE1957" s="33"/>
      <c r="CF1957" s="33"/>
      <c r="CG1957" s="33"/>
      <c r="CH1957" s="33"/>
      <c r="CI1957" s="250"/>
      <c r="CJ1957" s="243"/>
      <c r="CK1957" s="38">
        <f t="shared" si="613"/>
        <v>0</v>
      </c>
      <c r="CL1957" s="247"/>
      <c r="CM1957" s="247"/>
      <c r="CN1957" s="247"/>
      <c r="CO1957" s="41"/>
      <c r="CP1957" s="255" t="s">
        <v>8376</v>
      </c>
      <c r="CQ1957" s="241">
        <v>-3.6862847110550652</v>
      </c>
      <c r="CR1957" s="241">
        <f>10^(CJ1957-CQ1957)</f>
        <v>4856.0674574367704</v>
      </c>
      <c r="CS1957" s="33"/>
      <c r="CT1957" s="33"/>
      <c r="CU1957" s="250"/>
      <c r="CV1957" s="337">
        <f t="shared" si="614"/>
        <v>1.8240216787118184</v>
      </c>
      <c r="CW1957" s="330">
        <f>IF(CV1957&lt;1,0,1)</f>
        <v>1</v>
      </c>
      <c r="CX1957" s="330"/>
      <c r="CY1957" s="143" t="s">
        <v>5921</v>
      </c>
    </row>
    <row r="1958" spans="1:103" ht="11.25" customHeight="1" x14ac:dyDescent="0.2">
      <c r="A1958" s="72">
        <v>1956</v>
      </c>
      <c r="B1958" s="241">
        <v>2120</v>
      </c>
      <c r="C1958" s="32" t="s">
        <v>1423</v>
      </c>
      <c r="D1958" s="32" t="s">
        <v>6590</v>
      </c>
      <c r="E1958" s="40"/>
      <c r="F1958" s="40" t="s">
        <v>1424</v>
      </c>
      <c r="G1958" s="242">
        <v>175013180</v>
      </c>
      <c r="H1958" s="41" t="s">
        <v>1425</v>
      </c>
      <c r="I1958" s="41" t="s">
        <v>7895</v>
      </c>
      <c r="J1958" s="41" t="s">
        <v>1426</v>
      </c>
      <c r="K1958" s="41" t="s">
        <v>1427</v>
      </c>
      <c r="L1958" s="36" t="s">
        <v>6090</v>
      </c>
      <c r="M1958" s="36" t="s">
        <v>6082</v>
      </c>
      <c r="N1958" s="36" t="s">
        <v>6082</v>
      </c>
      <c r="O1958" s="36" t="s">
        <v>6083</v>
      </c>
      <c r="P1958" s="41"/>
      <c r="Q1958" s="41"/>
      <c r="R1958" s="41"/>
      <c r="S1958" s="41"/>
      <c r="T1958" s="33">
        <v>387.82</v>
      </c>
      <c r="U1958" s="250"/>
      <c r="V1958" s="250">
        <v>3.6743850239801972E-3</v>
      </c>
      <c r="W1958" s="250">
        <v>6.7608297539198158E-3</v>
      </c>
      <c r="X1958" s="250">
        <f>IF(W1958=0,V1958,W1958)</f>
        <v>6.7608297539198158E-3</v>
      </c>
      <c r="Y1958" s="415">
        <v>7</v>
      </c>
      <c r="Z1958" s="33">
        <v>5.45</v>
      </c>
      <c r="AA1958" s="33">
        <v>3.99</v>
      </c>
      <c r="AB1958" s="33">
        <v>3.95</v>
      </c>
      <c r="AC1958" s="33">
        <v>0.61850000000000005</v>
      </c>
      <c r="AD1958" s="33">
        <v>4.07</v>
      </c>
      <c r="AE1958" s="33">
        <v>4.25</v>
      </c>
      <c r="AF1958" s="33">
        <f>IF(AA1958=0,AD1958,AA1958)</f>
        <v>3.99</v>
      </c>
      <c r="AG1958" s="34">
        <v>4.0199999999999996</v>
      </c>
      <c r="AH1958" s="250">
        <v>1.15E-15</v>
      </c>
      <c r="AI1958" s="250"/>
      <c r="AJ1958" s="34">
        <f>LOG10(AH1958*1000/(0.08206*298.15))</f>
        <v>-13.327868485959041</v>
      </c>
      <c r="AK1958" s="34"/>
      <c r="AL1958" s="34">
        <f>IF(AK1958=0,AJ1958,AK1958)</f>
        <v>-13.327868485959041</v>
      </c>
      <c r="AM1958" s="34">
        <v>-18.93666</v>
      </c>
      <c r="AN1958" s="251">
        <v>-9.9609000000000005</v>
      </c>
      <c r="AO1958" s="417"/>
      <c r="AP1958" s="417">
        <v>-0.23</v>
      </c>
      <c r="AQ1958" s="251" t="s">
        <v>6311</v>
      </c>
      <c r="AR1958" s="251" t="s">
        <v>6311</v>
      </c>
      <c r="AS1958" s="252" t="s">
        <v>5466</v>
      </c>
      <c r="AT1958" s="35" t="s">
        <v>266</v>
      </c>
      <c r="AU1958" s="33">
        <v>5</v>
      </c>
      <c r="AV1958" s="33">
        <v>25</v>
      </c>
      <c r="AW1958" s="33">
        <v>20</v>
      </c>
      <c r="AX1958" s="33">
        <v>28</v>
      </c>
      <c r="AY1958" s="33" t="s">
        <v>267</v>
      </c>
      <c r="AZ1958" s="33" t="s">
        <v>5820</v>
      </c>
      <c r="BA1958" s="33"/>
      <c r="BB1958" s="41" t="s">
        <v>5821</v>
      </c>
      <c r="BC1958" s="41" t="s">
        <v>8377</v>
      </c>
      <c r="BD1958" s="41"/>
      <c r="BE1958" s="33" t="s">
        <v>2449</v>
      </c>
      <c r="BF1958" s="33"/>
      <c r="BG1958" s="33"/>
      <c r="BH1958" s="33" t="s">
        <v>5626</v>
      </c>
      <c r="BI1958" s="250"/>
      <c r="BJ1958" s="250">
        <v>0.05</v>
      </c>
      <c r="BK1958" s="254"/>
      <c r="BL1958" s="250">
        <f>10^((-0.8981*Z1958)+1.7108)</f>
        <v>6.5486985586723091E-4</v>
      </c>
      <c r="BM1958" s="33"/>
      <c r="BN1958" s="33">
        <v>1.8E-3</v>
      </c>
      <c r="BO1958" s="33"/>
      <c r="BP1958" s="33"/>
      <c r="BQ1958" s="33"/>
      <c r="BR1958" s="33"/>
      <c r="BS1958" s="33"/>
      <c r="BT1958" s="33"/>
      <c r="BU1958" s="246"/>
      <c r="BV1958" s="33"/>
      <c r="BW1958" s="33"/>
      <c r="BX1958" s="33"/>
      <c r="BY1958" s="33"/>
      <c r="BZ1958" s="33"/>
      <c r="CA1958" s="33"/>
      <c r="CB1958" s="33"/>
      <c r="CC1958" s="33"/>
      <c r="CD1958" s="33"/>
      <c r="CE1958" s="33"/>
      <c r="CF1958" s="33"/>
      <c r="CG1958" s="33"/>
      <c r="CH1958" s="33"/>
      <c r="CI1958" s="250">
        <f>MIN(BN1958:CH1958)</f>
        <v>1.8E-3</v>
      </c>
      <c r="CJ1958" s="243">
        <f>LOG10(CI1958)</f>
        <v>-2.744727494896694</v>
      </c>
      <c r="CK1958" s="38">
        <f t="shared" si="613"/>
        <v>1.3097397117344617E-2</v>
      </c>
      <c r="CL1958" s="247">
        <f>BL1958/CI1958</f>
        <v>0.36381658659290605</v>
      </c>
      <c r="CM1958" s="247">
        <v>-4.7962385125256786</v>
      </c>
      <c r="CN1958" s="247">
        <f>BJ1958/(10^CM1958)</f>
        <v>3127.5806451612916</v>
      </c>
      <c r="CO1958" s="41"/>
      <c r="CP1958" s="255" t="s">
        <v>8376</v>
      </c>
      <c r="CQ1958" s="241">
        <v>-4.6639819316065694</v>
      </c>
      <c r="CR1958" s="241">
        <f>10^(CJ1958-CQ1958)</f>
        <v>83.033708813474561</v>
      </c>
      <c r="CS1958" s="33"/>
      <c r="CT1958" s="33"/>
      <c r="CU1958" s="250">
        <f>X1958/CI1958</f>
        <v>3.7560165299554531</v>
      </c>
      <c r="CV1958" s="337">
        <f t="shared" si="614"/>
        <v>0.13521659507839631</v>
      </c>
      <c r="CW1958" s="330">
        <f>IF(CU1958&lt;2,0,1)</f>
        <v>1</v>
      </c>
      <c r="CX1958" s="330"/>
      <c r="CY1958" s="143" t="s">
        <v>5921</v>
      </c>
    </row>
    <row r="1959" spans="1:103" ht="11.25" customHeight="1" x14ac:dyDescent="0.2">
      <c r="A1959" s="72">
        <v>1957</v>
      </c>
      <c r="B1959" s="241">
        <v>843</v>
      </c>
      <c r="C1959" s="32" t="s">
        <v>2416</v>
      </c>
      <c r="D1959" s="32"/>
      <c r="E1959" s="40"/>
      <c r="F1959" s="40" t="s">
        <v>2417</v>
      </c>
      <c r="G1959" s="242">
        <v>181314885</v>
      </c>
      <c r="H1959" s="254"/>
      <c r="I1959" s="254"/>
      <c r="J1959" s="36"/>
      <c r="K1959" s="36"/>
      <c r="L1959" s="36"/>
      <c r="M1959" s="36"/>
      <c r="N1959" s="36"/>
      <c r="O1959" s="36"/>
      <c r="P1959" s="41"/>
      <c r="Q1959" s="41"/>
      <c r="R1959" s="41"/>
      <c r="S1959" s="41"/>
      <c r="T1959" s="37" t="s">
        <v>404</v>
      </c>
      <c r="U1959" s="243"/>
      <c r="V1959" s="243"/>
      <c r="W1959" s="243"/>
      <c r="X1959" s="243"/>
      <c r="Y1959" s="414"/>
      <c r="Z1959" s="37"/>
      <c r="AA1959" s="37"/>
      <c r="AB1959" s="37"/>
      <c r="AC1959" s="37"/>
      <c r="AD1959" s="37"/>
      <c r="AE1959" s="37"/>
      <c r="AF1959" s="37"/>
      <c r="AG1959" s="38" t="s">
        <v>5921</v>
      </c>
      <c r="AH1959" s="243"/>
      <c r="AI1959" s="243"/>
      <c r="AJ1959" s="34"/>
      <c r="AK1959" s="34"/>
      <c r="AL1959" s="34"/>
      <c r="AM1959" s="34"/>
      <c r="AN1959" s="244"/>
      <c r="AO1959" s="417"/>
      <c r="AP1959" s="417"/>
      <c r="AQ1959" s="37" t="s">
        <v>6317</v>
      </c>
      <c r="AR1959" s="37" t="s">
        <v>6317</v>
      </c>
      <c r="AS1959" s="241"/>
      <c r="AT1959" s="39" t="s">
        <v>266</v>
      </c>
      <c r="AU1959" s="245" t="s">
        <v>2381</v>
      </c>
      <c r="AV1959" s="37">
        <v>48</v>
      </c>
      <c r="AW1959" s="37">
        <v>48</v>
      </c>
      <c r="AX1959" s="37">
        <v>26</v>
      </c>
      <c r="AY1959" s="37" t="s">
        <v>647</v>
      </c>
      <c r="AZ1959" s="37" t="s">
        <v>8722</v>
      </c>
      <c r="BA1959" s="37" t="s">
        <v>8722</v>
      </c>
      <c r="BB1959" s="36" t="s">
        <v>2382</v>
      </c>
      <c r="BC1959" s="36" t="s">
        <v>8722</v>
      </c>
      <c r="BD1959" s="36"/>
      <c r="BE1959" s="37" t="s">
        <v>1712</v>
      </c>
      <c r="BF1959" s="37" t="s">
        <v>2383</v>
      </c>
      <c r="BG1959" s="261" t="s">
        <v>2384</v>
      </c>
      <c r="BH1959" s="37" t="s">
        <v>272</v>
      </c>
      <c r="BI1959" s="243" t="s">
        <v>8722</v>
      </c>
      <c r="BJ1959" s="243" t="s">
        <v>8722</v>
      </c>
      <c r="BK1959" s="37"/>
      <c r="BL1959" s="243"/>
      <c r="BM1959" s="37" t="s">
        <v>1584</v>
      </c>
      <c r="BN1959" s="37"/>
      <c r="BO1959" s="276"/>
      <c r="BP1959" s="37"/>
      <c r="BQ1959" s="37"/>
      <c r="BR1959" s="37"/>
      <c r="BS1959" s="37"/>
      <c r="BT1959" s="37"/>
      <c r="BU1959" s="246"/>
      <c r="BV1959" s="37"/>
      <c r="BW1959" s="37"/>
      <c r="BX1959" s="37"/>
      <c r="BY1959" s="37"/>
      <c r="BZ1959" s="37"/>
      <c r="CA1959" s="37"/>
      <c r="CB1959" s="37"/>
      <c r="CC1959" s="37" t="s">
        <v>2418</v>
      </c>
      <c r="CD1959" s="37"/>
      <c r="CE1959" s="37"/>
      <c r="CF1959" s="37"/>
      <c r="CG1959" s="37"/>
      <c r="CH1959" s="37"/>
      <c r="CI1959" s="243"/>
      <c r="CJ1959" s="243"/>
      <c r="CK1959" s="38" t="s">
        <v>404</v>
      </c>
      <c r="CL1959" s="247"/>
      <c r="CM1959" s="247"/>
      <c r="CN1959" s="247"/>
      <c r="CO1959" s="36"/>
      <c r="CP1959" s="36" t="s">
        <v>2385</v>
      </c>
      <c r="CQ1959" s="241">
        <v>0</v>
      </c>
      <c r="CR1959" s="241">
        <f>10^(CJ1959-CQ1959)</f>
        <v>1</v>
      </c>
      <c r="CS1959" s="33"/>
      <c r="CT1959" s="33"/>
      <c r="CU1959" s="250" t="s">
        <v>6310</v>
      </c>
      <c r="CV1959" s="337" t="s">
        <v>6310</v>
      </c>
      <c r="CW1959" s="330">
        <f>IF(CV1959&lt;1,0,1)</f>
        <v>1</v>
      </c>
      <c r="CX1959" s="330" t="s">
        <v>539</v>
      </c>
      <c r="CY1959" s="143" t="s">
        <v>5921</v>
      </c>
    </row>
    <row r="1960" spans="1:103" ht="11.25" customHeight="1" x14ac:dyDescent="0.2">
      <c r="A1960" s="72">
        <v>1958</v>
      </c>
      <c r="B1960" s="241">
        <v>844</v>
      </c>
      <c r="C1960" s="32" t="s">
        <v>2419</v>
      </c>
      <c r="D1960" s="32"/>
      <c r="E1960" s="40"/>
      <c r="F1960" s="40" t="s">
        <v>2420</v>
      </c>
      <c r="G1960" s="242">
        <v>181314954</v>
      </c>
      <c r="H1960" s="36"/>
      <c r="I1960" s="36"/>
      <c r="J1960" s="36"/>
      <c r="K1960" s="36"/>
      <c r="L1960" s="36" t="s">
        <v>6025</v>
      </c>
      <c r="M1960" s="36" t="s">
        <v>5960</v>
      </c>
      <c r="N1960" s="36"/>
      <c r="O1960" s="36"/>
      <c r="P1960" s="41"/>
      <c r="Q1960" s="41"/>
      <c r="R1960" s="41"/>
      <c r="S1960" s="41"/>
      <c r="T1960" s="37" t="s">
        <v>404</v>
      </c>
      <c r="U1960" s="243"/>
      <c r="V1960" s="243"/>
      <c r="W1960" s="243"/>
      <c r="X1960" s="243"/>
      <c r="Y1960" s="414"/>
      <c r="Z1960" s="37"/>
      <c r="AA1960" s="37"/>
      <c r="AB1960" s="37"/>
      <c r="AC1960" s="37"/>
      <c r="AD1960" s="37"/>
      <c r="AE1960" s="37"/>
      <c r="AF1960" s="37"/>
      <c r="AG1960" s="38" t="s">
        <v>5921</v>
      </c>
      <c r="AH1960" s="243"/>
      <c r="AI1960" s="243"/>
      <c r="AJ1960" s="34"/>
      <c r="AK1960" s="34"/>
      <c r="AL1960" s="34"/>
      <c r="AM1960" s="34"/>
      <c r="AN1960" s="244"/>
      <c r="AO1960" s="417"/>
      <c r="AP1960" s="417"/>
      <c r="AQ1960" s="37" t="s">
        <v>6317</v>
      </c>
      <c r="AR1960" s="37" t="s">
        <v>6317</v>
      </c>
      <c r="AS1960" s="241"/>
      <c r="AT1960" s="39" t="s">
        <v>266</v>
      </c>
      <c r="AU1960" s="245" t="s">
        <v>2381</v>
      </c>
      <c r="AV1960" s="37">
        <v>96</v>
      </c>
      <c r="AW1960" s="37">
        <v>96</v>
      </c>
      <c r="AX1960" s="37">
        <v>26</v>
      </c>
      <c r="AY1960" s="37" t="s">
        <v>647</v>
      </c>
      <c r="AZ1960" s="37" t="s">
        <v>8722</v>
      </c>
      <c r="BA1960" s="37" t="s">
        <v>8722</v>
      </c>
      <c r="BB1960" s="36" t="s">
        <v>2382</v>
      </c>
      <c r="BC1960" s="36" t="s">
        <v>8722</v>
      </c>
      <c r="BD1960" s="36"/>
      <c r="BE1960" s="37" t="s">
        <v>1712</v>
      </c>
      <c r="BF1960" s="37" t="s">
        <v>2383</v>
      </c>
      <c r="BG1960" s="261" t="s">
        <v>2384</v>
      </c>
      <c r="BH1960" s="37" t="s">
        <v>272</v>
      </c>
      <c r="BI1960" s="243" t="s">
        <v>8722</v>
      </c>
      <c r="BJ1960" s="243" t="s">
        <v>8722</v>
      </c>
      <c r="BK1960" s="37"/>
      <c r="BL1960" s="243"/>
      <c r="BM1960" s="37" t="s">
        <v>1584</v>
      </c>
      <c r="BN1960" s="37"/>
      <c r="BO1960" s="276"/>
      <c r="BP1960" s="37"/>
      <c r="BQ1960" s="37"/>
      <c r="BR1960" s="37"/>
      <c r="BS1960" s="37"/>
      <c r="BT1960" s="37"/>
      <c r="BU1960" s="246"/>
      <c r="BV1960" s="37"/>
      <c r="BW1960" s="37"/>
      <c r="BX1960" s="37"/>
      <c r="BY1960" s="37"/>
      <c r="BZ1960" s="37"/>
      <c r="CA1960" s="37"/>
      <c r="CB1960" s="37"/>
      <c r="CC1960" s="37" t="s">
        <v>2421</v>
      </c>
      <c r="CD1960" s="37"/>
      <c r="CE1960" s="37"/>
      <c r="CF1960" s="37"/>
      <c r="CG1960" s="37"/>
      <c r="CH1960" s="37"/>
      <c r="CI1960" s="243"/>
      <c r="CJ1960" s="243"/>
      <c r="CK1960" s="38" t="s">
        <v>404</v>
      </c>
      <c r="CL1960" s="247"/>
      <c r="CM1960" s="247"/>
      <c r="CN1960" s="247"/>
      <c r="CO1960" s="36"/>
      <c r="CP1960" s="36" t="s">
        <v>2385</v>
      </c>
      <c r="CQ1960" s="241" t="s">
        <v>272</v>
      </c>
      <c r="CR1960" s="241"/>
      <c r="CS1960" s="33"/>
      <c r="CT1960" s="33"/>
      <c r="CU1960" s="250" t="s">
        <v>6310</v>
      </c>
      <c r="CV1960" s="337" t="s">
        <v>6310</v>
      </c>
      <c r="CW1960" s="330">
        <f>IF(CV1960&lt;1,0,1)</f>
        <v>1</v>
      </c>
      <c r="CX1960" s="330" t="s">
        <v>539</v>
      </c>
      <c r="CY1960" s="143" t="s">
        <v>5921</v>
      </c>
    </row>
    <row r="1961" spans="1:103" ht="11.25" customHeight="1" x14ac:dyDescent="0.2">
      <c r="A1961" s="72">
        <v>1959</v>
      </c>
      <c r="B1961" s="241">
        <v>734</v>
      </c>
      <c r="C1961" s="32" t="s">
        <v>2074</v>
      </c>
      <c r="D1961" s="32"/>
      <c r="E1961" s="40"/>
      <c r="F1961" s="40" t="s">
        <v>2075</v>
      </c>
      <c r="G1961" s="242">
        <v>186825365</v>
      </c>
      <c r="H1961" s="36" t="s">
        <v>2076</v>
      </c>
      <c r="I1961" s="36" t="s">
        <v>7834</v>
      </c>
      <c r="J1961" s="36" t="s">
        <v>2077</v>
      </c>
      <c r="K1961" s="36" t="s">
        <v>300</v>
      </c>
      <c r="L1961" s="36"/>
      <c r="M1961" s="36"/>
      <c r="N1961" s="36"/>
      <c r="O1961" s="36"/>
      <c r="P1961" s="41"/>
      <c r="Q1961" s="41"/>
      <c r="R1961" s="41"/>
      <c r="S1961" s="41"/>
      <c r="T1961" s="37">
        <v>645.30999999999995</v>
      </c>
      <c r="U1961" s="243"/>
      <c r="V1961" s="243">
        <v>4.3777409307154703E-7</v>
      </c>
      <c r="W1961" s="243">
        <v>1.6595869074375578E-3</v>
      </c>
      <c r="X1961" s="243">
        <f t="shared" ref="X1961:X1968" si="616">IF(W1961=0,V1961,W1961)</f>
        <v>1.6595869074375578E-3</v>
      </c>
      <c r="Y1961" s="414">
        <v>7.5</v>
      </c>
      <c r="Z1961" s="37">
        <v>8.81</v>
      </c>
      <c r="AA1961" s="37">
        <v>7.57</v>
      </c>
      <c r="AB1961" s="37">
        <v>6.92</v>
      </c>
      <c r="AC1961" s="37">
        <v>0.75929999999999997</v>
      </c>
      <c r="AD1961" s="37">
        <v>7.36</v>
      </c>
      <c r="AE1961" s="37">
        <v>8.89</v>
      </c>
      <c r="AF1961" s="37">
        <f>IF(AA1961=0,AD1961,AA1961)</f>
        <v>7.57</v>
      </c>
      <c r="AG1961" s="38">
        <v>8.24</v>
      </c>
      <c r="AH1961" s="243">
        <v>1.8E-12</v>
      </c>
      <c r="AI1961" s="243"/>
      <c r="AJ1961" s="34">
        <f t="shared" ref="AJ1961:AJ1968" si="617">LOG10(AH1961*1000/(0.08206*298.15))</f>
        <v>-10.133293821209346</v>
      </c>
      <c r="AK1961" s="34"/>
      <c r="AL1961" s="34">
        <f t="shared" ref="AL1961:AL1968" si="618">IF(AK1961=0,AJ1961,AK1961)</f>
        <v>-10.133293821209346</v>
      </c>
      <c r="AM1961" s="34">
        <v>-18.407700000000002</v>
      </c>
      <c r="AN1961" s="244">
        <v>-10.5</v>
      </c>
      <c r="AO1961" s="417"/>
      <c r="AP1961" s="417">
        <v>9.3699999999999992</v>
      </c>
      <c r="AQ1961" s="244" t="s">
        <v>6311</v>
      </c>
      <c r="AR1961" s="244" t="s">
        <v>6311</v>
      </c>
      <c r="AS1961" s="241"/>
      <c r="AT1961" s="39" t="s">
        <v>266</v>
      </c>
      <c r="AU1961" s="37">
        <v>2</v>
      </c>
      <c r="AV1961" s="37">
        <v>48</v>
      </c>
      <c r="AW1961" s="37">
        <v>48</v>
      </c>
      <c r="AX1961" s="37">
        <v>26</v>
      </c>
      <c r="AY1961" s="37" t="s">
        <v>8722</v>
      </c>
      <c r="AZ1961" s="37" t="s">
        <v>1586</v>
      </c>
      <c r="BA1961" s="37">
        <v>60</v>
      </c>
      <c r="BB1961" s="36" t="s">
        <v>537</v>
      </c>
      <c r="BC1961" s="36" t="s">
        <v>538</v>
      </c>
      <c r="BD1961" s="36"/>
      <c r="BE1961" s="37" t="s">
        <v>271</v>
      </c>
      <c r="BF1961" s="37" t="s">
        <v>272</v>
      </c>
      <c r="BG1961" s="37" t="s">
        <v>272</v>
      </c>
      <c r="BH1961" s="37" t="s">
        <v>1587</v>
      </c>
      <c r="BI1961" s="243" t="s">
        <v>8722</v>
      </c>
      <c r="BJ1961" s="243" t="s">
        <v>8722</v>
      </c>
      <c r="BK1961" s="37"/>
      <c r="BL1961" s="243">
        <f t="shared" ref="BL1961:BL1968" si="619">10^((-0.8981*Z1961)+1.7108)</f>
        <v>6.2883832177866406E-7</v>
      </c>
      <c r="BM1961" s="37" t="s">
        <v>1588</v>
      </c>
      <c r="BN1961" s="37"/>
      <c r="BO1961" s="37">
        <v>6.7</v>
      </c>
      <c r="BP1961" s="37"/>
      <c r="BQ1961" s="37"/>
      <c r="BR1961" s="37"/>
      <c r="BS1961" s="37"/>
      <c r="BT1961" s="37"/>
      <c r="BU1961" s="246"/>
      <c r="BV1961" s="37"/>
      <c r="BW1961" s="37"/>
      <c r="BX1961" s="37"/>
      <c r="BY1961" s="37"/>
      <c r="BZ1961" s="37"/>
      <c r="CA1961" s="37"/>
      <c r="CB1961" s="37"/>
      <c r="CC1961" s="37"/>
      <c r="CD1961" s="37"/>
      <c r="CE1961" s="37"/>
      <c r="CF1961" s="37"/>
      <c r="CG1961" s="37"/>
      <c r="CH1961" s="37"/>
      <c r="CI1961" s="243">
        <f>MIN(BN1961:CH1961)</f>
        <v>6.7</v>
      </c>
      <c r="CJ1961" s="243">
        <f>LOG10(CI1961)</f>
        <v>0.82607480270082645</v>
      </c>
      <c r="CK1961" s="38" t="s">
        <v>404</v>
      </c>
      <c r="CL1961" s="247">
        <f>BL1961/CI1961</f>
        <v>9.3856465937114037E-8</v>
      </c>
      <c r="CM1961" s="247"/>
      <c r="CN1961" s="247"/>
      <c r="CO1961" s="36"/>
      <c r="CP1961" s="36" t="s">
        <v>1589</v>
      </c>
      <c r="CQ1961" s="241" t="s">
        <v>272</v>
      </c>
      <c r="CR1961" s="241"/>
      <c r="CS1961" s="33"/>
      <c r="CT1961" s="33"/>
      <c r="CU1961" s="250">
        <f>X1961/CI1961</f>
        <v>2.476995384235161E-4</v>
      </c>
      <c r="CV1961" s="337"/>
      <c r="CW1961" s="330">
        <f>IF(CU1961&lt;2,0,1)</f>
        <v>0</v>
      </c>
      <c r="CX1961" s="330"/>
      <c r="CY1961" s="143" t="s">
        <v>5921</v>
      </c>
    </row>
    <row r="1962" spans="1:103" ht="11.25" customHeight="1" x14ac:dyDescent="0.2">
      <c r="A1962" s="72">
        <v>1960</v>
      </c>
      <c r="B1962" s="241">
        <v>676</v>
      </c>
      <c r="C1962" s="32" t="s">
        <v>1946</v>
      </c>
      <c r="D1962" s="32"/>
      <c r="E1962" s="40"/>
      <c r="F1962" s="40" t="s">
        <v>1947</v>
      </c>
      <c r="G1962" s="242">
        <v>196618130</v>
      </c>
      <c r="H1962" s="36" t="s">
        <v>1948</v>
      </c>
      <c r="I1962" s="36" t="s">
        <v>8274</v>
      </c>
      <c r="J1962" s="36" t="s">
        <v>1949</v>
      </c>
      <c r="K1962" s="36" t="s">
        <v>1950</v>
      </c>
      <c r="L1962" s="36"/>
      <c r="M1962" s="36"/>
      <c r="N1962" s="36"/>
      <c r="O1962" s="36"/>
      <c r="P1962" s="41"/>
      <c r="Q1962" s="41"/>
      <c r="R1962" s="41"/>
      <c r="S1962" s="41"/>
      <c r="T1962" s="37">
        <v>312.39999999999998</v>
      </c>
      <c r="U1962" s="243"/>
      <c r="V1962" s="243">
        <v>5.0960307298335472</v>
      </c>
      <c r="W1962" s="243">
        <v>15.135612484362076</v>
      </c>
      <c r="X1962" s="243">
        <f t="shared" si="616"/>
        <v>15.135612484362076</v>
      </c>
      <c r="Y1962" s="414">
        <v>10.16</v>
      </c>
      <c r="Z1962" s="37">
        <v>0.95</v>
      </c>
      <c r="AA1962" s="37"/>
      <c r="AB1962" s="37">
        <v>1.39</v>
      </c>
      <c r="AC1962" s="37">
        <v>0.54759999999999998</v>
      </c>
      <c r="AD1962" s="37">
        <v>1.44</v>
      </c>
      <c r="AE1962" s="37">
        <v>1.5</v>
      </c>
      <c r="AF1962" s="37">
        <f>IF(AA1962=0,AD1962,AA1962)</f>
        <v>1.44</v>
      </c>
      <c r="AG1962" s="38">
        <v>5.3</v>
      </c>
      <c r="AH1962" s="243">
        <v>2.9200000000000001E-16</v>
      </c>
      <c r="AI1962" s="243"/>
      <c r="AJ1962" s="34">
        <f t="shared" si="617"/>
        <v>-13.923183474864233</v>
      </c>
      <c r="AK1962" s="34"/>
      <c r="AL1962" s="34">
        <f t="shared" si="618"/>
        <v>-13.923183474864233</v>
      </c>
      <c r="AM1962" s="34">
        <v>-18.457700000000003</v>
      </c>
      <c r="AN1962" s="244">
        <v>-12.8</v>
      </c>
      <c r="AO1962" s="417">
        <v>14.68</v>
      </c>
      <c r="AP1962" s="417">
        <v>8.81</v>
      </c>
      <c r="AQ1962" s="244" t="s">
        <v>6311</v>
      </c>
      <c r="AR1962" s="244" t="s">
        <v>6312</v>
      </c>
      <c r="AS1962" s="241" t="s">
        <v>63</v>
      </c>
      <c r="AT1962" s="39" t="s">
        <v>266</v>
      </c>
      <c r="AU1962" s="37">
        <v>2</v>
      </c>
      <c r="AV1962" s="37">
        <v>48</v>
      </c>
      <c r="AW1962" s="37">
        <v>48</v>
      </c>
      <c r="AX1962" s="37">
        <v>26</v>
      </c>
      <c r="AY1962" s="37" t="s">
        <v>647</v>
      </c>
      <c r="AZ1962" s="37" t="s">
        <v>536</v>
      </c>
      <c r="BA1962" s="37">
        <v>10</v>
      </c>
      <c r="BB1962" s="36" t="s">
        <v>1764</v>
      </c>
      <c r="BC1962" s="36" t="s">
        <v>538</v>
      </c>
      <c r="BD1962" s="36"/>
      <c r="BE1962" s="37" t="s">
        <v>271</v>
      </c>
      <c r="BF1962" s="37" t="s">
        <v>272</v>
      </c>
      <c r="BG1962" s="37" t="s">
        <v>272</v>
      </c>
      <c r="BH1962" s="37" t="s">
        <v>272</v>
      </c>
      <c r="BI1962" s="248"/>
      <c r="BJ1962" s="248"/>
      <c r="BK1962" s="37"/>
      <c r="BL1962" s="243">
        <f t="shared" si="619"/>
        <v>7.204519148767349</v>
      </c>
      <c r="BM1962" s="37" t="s">
        <v>541</v>
      </c>
      <c r="BN1962" s="37"/>
      <c r="BO1962" s="37">
        <v>0.44811139564660696</v>
      </c>
      <c r="BP1962" s="37"/>
      <c r="BQ1962" s="37"/>
      <c r="BR1962" s="37"/>
      <c r="BS1962" s="37"/>
      <c r="BT1962" s="37"/>
      <c r="BU1962" s="246"/>
      <c r="BV1962" s="37"/>
      <c r="BW1962" s="37"/>
      <c r="BX1962" s="37"/>
      <c r="BY1962" s="37"/>
      <c r="BZ1962" s="37"/>
      <c r="CA1962" s="37"/>
      <c r="CB1962" s="37"/>
      <c r="CC1962" s="37"/>
      <c r="CD1962" s="37"/>
      <c r="CE1962" s="37"/>
      <c r="CF1962" s="37"/>
      <c r="CG1962" s="37"/>
      <c r="CH1962" s="37"/>
      <c r="CI1962" s="243">
        <f>MIN(BN1962:CH1962)</f>
        <v>0.44811139564660696</v>
      </c>
      <c r="CJ1962" s="243">
        <f>LOG10(CI1962)</f>
        <v>-0.34861401166939315</v>
      </c>
      <c r="CK1962" s="38" t="s">
        <v>404</v>
      </c>
      <c r="CL1962" s="247">
        <f>BL1962/CI1962</f>
        <v>16.077518266125576</v>
      </c>
      <c r="CM1962" s="247"/>
      <c r="CN1962" s="247"/>
      <c r="CO1962" s="36"/>
      <c r="CP1962" s="36" t="s">
        <v>1921</v>
      </c>
      <c r="CQ1962" s="241" t="s">
        <v>272</v>
      </c>
      <c r="CR1962" s="241"/>
      <c r="CS1962" s="33"/>
      <c r="CT1962" s="33"/>
      <c r="CU1962" s="250">
        <f>X1962/CI1962</f>
        <v>33.776450747301318</v>
      </c>
      <c r="CV1962" s="337"/>
      <c r="CW1962" s="330">
        <f>IF(CU1962&lt;2,0,1)</f>
        <v>1</v>
      </c>
      <c r="CX1962" s="330"/>
      <c r="CY1962" s="143" t="s">
        <v>5921</v>
      </c>
    </row>
    <row r="1963" spans="1:103" ht="11.25" customHeight="1" x14ac:dyDescent="0.2">
      <c r="A1963" s="72">
        <v>1961</v>
      </c>
      <c r="B1963" s="241">
        <v>2123</v>
      </c>
      <c r="C1963" s="32" t="s">
        <v>1227</v>
      </c>
      <c r="D1963" s="32" t="s">
        <v>6592</v>
      </c>
      <c r="E1963" s="40"/>
      <c r="F1963" s="40" t="s">
        <v>1228</v>
      </c>
      <c r="G1963" s="242">
        <v>361377299</v>
      </c>
      <c r="H1963" s="41" t="s">
        <v>1229</v>
      </c>
      <c r="I1963" s="41" t="s">
        <v>7904</v>
      </c>
      <c r="J1963" s="41" t="s">
        <v>1230</v>
      </c>
      <c r="K1963" s="41" t="s">
        <v>300</v>
      </c>
      <c r="L1963" s="36" t="s">
        <v>5989</v>
      </c>
      <c r="M1963" s="36" t="s">
        <v>6082</v>
      </c>
      <c r="N1963" s="36" t="s">
        <v>6082</v>
      </c>
      <c r="O1963" s="41"/>
      <c r="P1963" s="41"/>
      <c r="Q1963" s="41"/>
      <c r="R1963" s="41"/>
      <c r="S1963" s="41"/>
      <c r="T1963" s="33">
        <v>458.84</v>
      </c>
      <c r="U1963" s="250"/>
      <c r="V1963" s="250">
        <v>5.54453719242421E-2</v>
      </c>
      <c r="W1963" s="250">
        <v>5.7543993733715545E-4</v>
      </c>
      <c r="X1963" s="250">
        <f t="shared" si="616"/>
        <v>5.7543993733715545E-4</v>
      </c>
      <c r="Y1963" s="415">
        <v>7</v>
      </c>
      <c r="Z1963" s="33">
        <v>2</v>
      </c>
      <c r="AA1963" s="33"/>
      <c r="AB1963" s="33">
        <v>3.78</v>
      </c>
      <c r="AC1963" s="33">
        <v>0.67889999999999995</v>
      </c>
      <c r="AD1963" s="33">
        <v>4.28</v>
      </c>
      <c r="AE1963" s="33">
        <v>5.34</v>
      </c>
      <c r="AF1963" s="33">
        <f>IF(AA1963=0,AD1963,AA1963)</f>
        <v>4.28</v>
      </c>
      <c r="AG1963" s="34">
        <v>5.04</v>
      </c>
      <c r="AH1963" s="250">
        <v>2.8100000000000001E-13</v>
      </c>
      <c r="AI1963" s="250"/>
      <c r="AJ1963" s="34">
        <f t="shared" si="617"/>
        <v>-10.939860006407573</v>
      </c>
      <c r="AK1963" s="34"/>
      <c r="AL1963" s="34">
        <f t="shared" si="618"/>
        <v>-10.939860006407573</v>
      </c>
      <c r="AM1963" s="34">
        <v>-19.734660000000002</v>
      </c>
      <c r="AN1963" s="251">
        <v>-0.62205999999999995</v>
      </c>
      <c r="AO1963" s="417"/>
      <c r="AP1963" s="417">
        <v>-2.1</v>
      </c>
      <c r="AQ1963" s="251" t="s">
        <v>6311</v>
      </c>
      <c r="AR1963" s="251" t="s">
        <v>6311</v>
      </c>
      <c r="AS1963" s="252" t="s">
        <v>5466</v>
      </c>
      <c r="AT1963" s="35" t="s">
        <v>266</v>
      </c>
      <c r="AU1963" s="33">
        <v>5</v>
      </c>
      <c r="AV1963" s="33">
        <v>25</v>
      </c>
      <c r="AW1963" s="33">
        <v>20</v>
      </c>
      <c r="AX1963" s="33">
        <v>28</v>
      </c>
      <c r="AY1963" s="33" t="s">
        <v>267</v>
      </c>
      <c r="AZ1963" s="33" t="s">
        <v>5820</v>
      </c>
      <c r="BA1963" s="33"/>
      <c r="BB1963" s="41" t="s">
        <v>5821</v>
      </c>
      <c r="BC1963" s="41" t="s">
        <v>8377</v>
      </c>
      <c r="BD1963" s="41"/>
      <c r="BE1963" s="33" t="s">
        <v>2449</v>
      </c>
      <c r="BF1963" s="33"/>
      <c r="BG1963" s="33"/>
      <c r="BH1963" s="33" t="s">
        <v>5626</v>
      </c>
      <c r="BI1963" s="250"/>
      <c r="BJ1963" s="250">
        <v>0.05</v>
      </c>
      <c r="BK1963" s="254"/>
      <c r="BL1963" s="250">
        <f t="shared" si="619"/>
        <v>0.82148568512832731</v>
      </c>
      <c r="BM1963" s="33"/>
      <c r="BN1963" s="33" t="s">
        <v>5822</v>
      </c>
      <c r="BO1963" s="33"/>
      <c r="BP1963" s="33"/>
      <c r="BQ1963" s="33"/>
      <c r="BR1963" s="33"/>
      <c r="BS1963" s="33"/>
      <c r="BT1963" s="33"/>
      <c r="BU1963" s="246"/>
      <c r="BV1963" s="33"/>
      <c r="BW1963" s="33"/>
      <c r="BX1963" s="33"/>
      <c r="BY1963" s="33"/>
      <c r="BZ1963" s="33"/>
      <c r="CA1963" s="33"/>
      <c r="CB1963" s="33"/>
      <c r="CC1963" s="33"/>
      <c r="CD1963" s="33"/>
      <c r="CE1963" s="33"/>
      <c r="CF1963" s="33"/>
      <c r="CG1963" s="33"/>
      <c r="CH1963" s="33"/>
      <c r="CI1963" s="250"/>
      <c r="CJ1963" s="243"/>
      <c r="CK1963" s="38">
        <f t="shared" ref="CK1963:CK1968" si="620">BL1963/BJ1963</f>
        <v>16.429713702566545</v>
      </c>
      <c r="CL1963" s="247"/>
      <c r="CM1963" s="247">
        <v>-3.0231625489801535</v>
      </c>
      <c r="CN1963" s="247">
        <f>BJ1963/(10^CM1963)</f>
        <v>52.739080459770186</v>
      </c>
      <c r="CO1963" s="41"/>
      <c r="CP1963" s="255" t="s">
        <v>8376</v>
      </c>
      <c r="CQ1963" s="241">
        <v>-2.8490213103243494</v>
      </c>
      <c r="CR1963" s="241">
        <f>10^(CJ1963-CQ1963)</f>
        <v>706.35221329294495</v>
      </c>
      <c r="CS1963" s="33"/>
      <c r="CT1963" s="33"/>
      <c r="CU1963" s="250"/>
      <c r="CV1963" s="337">
        <f t="shared" ref="CV1963:CV1968" si="621">X1963/BJ1963</f>
        <v>1.1508798746743109E-2</v>
      </c>
      <c r="CW1963" s="330">
        <f>IF(CV1963&lt;1,0,1)</f>
        <v>0</v>
      </c>
      <c r="CX1963" s="330"/>
      <c r="CY1963" s="143" t="s">
        <v>5921</v>
      </c>
    </row>
    <row r="1964" spans="1:103" ht="11.25" customHeight="1" x14ac:dyDescent="0.2">
      <c r="A1964" s="72">
        <v>1962</v>
      </c>
      <c r="B1964" s="241">
        <v>77</v>
      </c>
      <c r="C1964" s="32" t="s">
        <v>573</v>
      </c>
      <c r="D1964" s="32"/>
      <c r="E1964" s="40"/>
      <c r="F1964" s="40" t="s">
        <v>574</v>
      </c>
      <c r="G1964" s="242" t="s">
        <v>575</v>
      </c>
      <c r="H1964" s="36" t="s">
        <v>576</v>
      </c>
      <c r="I1964" s="36" t="s">
        <v>576</v>
      </c>
      <c r="J1964" s="36" t="s">
        <v>577</v>
      </c>
      <c r="K1964" s="36" t="s">
        <v>300</v>
      </c>
      <c r="L1964" s="36"/>
      <c r="M1964" s="36"/>
      <c r="N1964" s="36"/>
      <c r="O1964" s="36"/>
      <c r="P1964" s="41"/>
      <c r="Q1964" s="41"/>
      <c r="R1964" s="41"/>
      <c r="S1964" s="41"/>
      <c r="T1964" s="37">
        <v>325.44</v>
      </c>
      <c r="U1964" s="243"/>
      <c r="V1964" s="243">
        <v>6.8829891838741393</v>
      </c>
      <c r="W1964" s="243">
        <v>21.877616239495524</v>
      </c>
      <c r="X1964" s="243">
        <f t="shared" si="616"/>
        <v>21.877616239495524</v>
      </c>
      <c r="Y1964" s="414">
        <v>10.92</v>
      </c>
      <c r="Z1964" s="37">
        <v>1.84</v>
      </c>
      <c r="AA1964" s="37">
        <v>1.87</v>
      </c>
      <c r="AB1964" s="37">
        <v>2.25</v>
      </c>
      <c r="AC1964" s="37">
        <v>0.70579999999999998</v>
      </c>
      <c r="AD1964" s="37">
        <v>2.21</v>
      </c>
      <c r="AE1964" s="37">
        <v>2.14</v>
      </c>
      <c r="AF1964" s="37">
        <f>IF(AA1964=0,AD1964,AA1964)</f>
        <v>1.87</v>
      </c>
      <c r="AG1964" s="38">
        <v>4.26</v>
      </c>
      <c r="AH1964" s="243">
        <v>2.89E-15</v>
      </c>
      <c r="AI1964" s="243"/>
      <c r="AJ1964" s="34">
        <f t="shared" si="617"/>
        <v>-12.927668483556104</v>
      </c>
      <c r="AK1964" s="34"/>
      <c r="AL1964" s="34">
        <f t="shared" si="618"/>
        <v>-12.927668483556104</v>
      </c>
      <c r="AM1964" s="34">
        <v>-15.488090000000001</v>
      </c>
      <c r="AN1964" s="244">
        <v>-26.7</v>
      </c>
      <c r="AO1964" s="417">
        <v>13.86</v>
      </c>
      <c r="AP1964" s="417">
        <v>9.42</v>
      </c>
      <c r="AQ1964" s="244" t="s">
        <v>5921</v>
      </c>
      <c r="AR1964" s="244" t="s">
        <v>5921</v>
      </c>
      <c r="AS1964" s="241" t="s">
        <v>6</v>
      </c>
      <c r="AT1964" s="39" t="s">
        <v>266</v>
      </c>
      <c r="AU1964" s="37">
        <v>0</v>
      </c>
      <c r="AV1964" s="37">
        <v>48</v>
      </c>
      <c r="AW1964" s="37">
        <v>48</v>
      </c>
      <c r="AX1964" s="37">
        <v>26</v>
      </c>
      <c r="AY1964" s="37" t="s">
        <v>8722</v>
      </c>
      <c r="AZ1964" s="37" t="s">
        <v>536</v>
      </c>
      <c r="BA1964" s="37">
        <v>20</v>
      </c>
      <c r="BB1964" s="36" t="s">
        <v>537</v>
      </c>
      <c r="BC1964" s="36" t="s">
        <v>538</v>
      </c>
      <c r="BD1964" s="36"/>
      <c r="BE1964" s="245" t="s">
        <v>271</v>
      </c>
      <c r="BF1964" s="245" t="s">
        <v>539</v>
      </c>
      <c r="BG1964" s="245" t="s">
        <v>540</v>
      </c>
      <c r="BH1964" s="245" t="s">
        <v>272</v>
      </c>
      <c r="BI1964" s="243">
        <v>10.4308</v>
      </c>
      <c r="BJ1964" s="243">
        <v>26.077000000000002</v>
      </c>
      <c r="BK1964" s="37"/>
      <c r="BL1964" s="243">
        <f t="shared" si="619"/>
        <v>1.1436575463879277</v>
      </c>
      <c r="BM1964" s="37" t="s">
        <v>541</v>
      </c>
      <c r="BN1964" s="37"/>
      <c r="BO1964" s="37">
        <v>19.134599999999999</v>
      </c>
      <c r="BP1964" s="37"/>
      <c r="BQ1964" s="37"/>
      <c r="BR1964" s="37"/>
      <c r="BS1964" s="37"/>
      <c r="BT1964" s="37"/>
      <c r="BU1964" s="246"/>
      <c r="BV1964" s="37"/>
      <c r="BW1964" s="37"/>
      <c r="BX1964" s="37"/>
      <c r="BY1964" s="37"/>
      <c r="BZ1964" s="37"/>
      <c r="CA1964" s="37"/>
      <c r="CB1964" s="37"/>
      <c r="CC1964" s="37"/>
      <c r="CD1964" s="37"/>
      <c r="CE1964" s="37"/>
      <c r="CF1964" s="37"/>
      <c r="CG1964" s="37"/>
      <c r="CH1964" s="37"/>
      <c r="CI1964" s="243">
        <f t="shared" ref="CI1964:CI1995" si="622">MIN(BN1964:CH1964)</f>
        <v>19.134599999999999</v>
      </c>
      <c r="CJ1964" s="243">
        <f t="shared" ref="CJ1964:CJ1995" si="623">LOG10(CI1964)</f>
        <v>1.281819387929293</v>
      </c>
      <c r="CK1964" s="38">
        <f t="shared" si="620"/>
        <v>4.3856944678756282E-2</v>
      </c>
      <c r="CL1964" s="247">
        <f t="shared" ref="CL1964:CL1995" si="624">BL1964/CI1964</f>
        <v>5.9769085655719367E-2</v>
      </c>
      <c r="CM1964" s="247"/>
      <c r="CN1964" s="247"/>
      <c r="CO1964" s="36"/>
      <c r="CP1964" s="36" t="s">
        <v>542</v>
      </c>
      <c r="CQ1964" s="241" t="s">
        <v>272</v>
      </c>
      <c r="CR1964" s="241"/>
      <c r="CS1964" s="33"/>
      <c r="CT1964" s="33"/>
      <c r="CU1964" s="250">
        <f>X1964/CI1964</f>
        <v>1.1433537277756276</v>
      </c>
      <c r="CV1964" s="337">
        <f t="shared" si="621"/>
        <v>0.83896215973829513</v>
      </c>
      <c r="CW1964" s="330">
        <f t="shared" ref="CW1964:CW1995" si="625">IF(CU1964&lt;2,0,1)</f>
        <v>0</v>
      </c>
      <c r="CX1964" s="330"/>
      <c r="CY1964" s="143" t="s">
        <v>5921</v>
      </c>
    </row>
    <row r="1965" spans="1:103" ht="11.25" customHeight="1" x14ac:dyDescent="0.2">
      <c r="A1965" s="72">
        <v>1963</v>
      </c>
      <c r="B1965" s="241">
        <v>80</v>
      </c>
      <c r="C1965" s="32" t="s">
        <v>587</v>
      </c>
      <c r="D1965" s="32"/>
      <c r="E1965" s="40"/>
      <c r="F1965" s="40" t="s">
        <v>588</v>
      </c>
      <c r="G1965" s="242" t="s">
        <v>589</v>
      </c>
      <c r="H1965" s="36" t="s">
        <v>590</v>
      </c>
      <c r="I1965" s="36" t="s">
        <v>8275</v>
      </c>
      <c r="J1965" s="36" t="s">
        <v>591</v>
      </c>
      <c r="K1965" s="36" t="s">
        <v>592</v>
      </c>
      <c r="L1965" s="36"/>
      <c r="M1965" s="36"/>
      <c r="N1965" s="36"/>
      <c r="O1965" s="36"/>
      <c r="P1965" s="41"/>
      <c r="Q1965" s="41"/>
      <c r="R1965" s="41"/>
      <c r="S1965" s="41"/>
      <c r="T1965" s="37">
        <v>277.2</v>
      </c>
      <c r="U1965" s="243"/>
      <c r="V1965" s="243">
        <v>17.846320346320347</v>
      </c>
      <c r="W1965" s="243">
        <v>7.585775750291826E-2</v>
      </c>
      <c r="X1965" s="243">
        <f t="shared" si="616"/>
        <v>7.585775750291826E-2</v>
      </c>
      <c r="Y1965" s="414">
        <v>7</v>
      </c>
      <c r="Z1965" s="37">
        <v>0.37</v>
      </c>
      <c r="AA1965" s="37"/>
      <c r="AB1965" s="37">
        <v>0</v>
      </c>
      <c r="AC1965" s="37">
        <v>0</v>
      </c>
      <c r="AD1965" s="37">
        <v>0</v>
      </c>
      <c r="AE1965" s="37">
        <v>0</v>
      </c>
      <c r="AF1965" s="37"/>
      <c r="AG1965" s="38">
        <v>6.31</v>
      </c>
      <c r="AH1965" s="243">
        <v>2.2600000000000001E-21</v>
      </c>
      <c r="AI1965" s="243"/>
      <c r="AJ1965" s="34">
        <f t="shared" si="617"/>
        <v>-19.034457887165249</v>
      </c>
      <c r="AK1965" s="34"/>
      <c r="AL1965" s="34">
        <f t="shared" si="618"/>
        <v>-19.034457887165249</v>
      </c>
      <c r="AM1965" s="34"/>
      <c r="AN1965" s="244">
        <v>-24.3</v>
      </c>
      <c r="AO1965" s="417">
        <v>13.04</v>
      </c>
      <c r="AP1965" s="417">
        <v>0.63</v>
      </c>
      <c r="AQ1965" s="244" t="s">
        <v>5921</v>
      </c>
      <c r="AR1965" s="244" t="s">
        <v>5921</v>
      </c>
      <c r="AS1965" s="241" t="s">
        <v>6</v>
      </c>
      <c r="AT1965" s="39" t="s">
        <v>266</v>
      </c>
      <c r="AU1965" s="37">
        <v>0</v>
      </c>
      <c r="AV1965" s="37">
        <v>48</v>
      </c>
      <c r="AW1965" s="37">
        <v>48</v>
      </c>
      <c r="AX1965" s="37">
        <v>26</v>
      </c>
      <c r="AY1965" s="37" t="s">
        <v>8722</v>
      </c>
      <c r="AZ1965" s="37" t="s">
        <v>536</v>
      </c>
      <c r="BA1965" s="37">
        <v>20</v>
      </c>
      <c r="BB1965" s="36" t="s">
        <v>537</v>
      </c>
      <c r="BC1965" s="36" t="s">
        <v>538</v>
      </c>
      <c r="BD1965" s="36"/>
      <c r="BE1965" s="245" t="s">
        <v>271</v>
      </c>
      <c r="BF1965" s="245" t="s">
        <v>539</v>
      </c>
      <c r="BG1965" s="245" t="s">
        <v>540</v>
      </c>
      <c r="BH1965" s="245" t="s">
        <v>272</v>
      </c>
      <c r="BI1965" s="243">
        <v>4.3034999999999997</v>
      </c>
      <c r="BJ1965" s="243">
        <v>21.7864</v>
      </c>
      <c r="BK1965" s="37"/>
      <c r="BL1965" s="243">
        <f t="shared" si="619"/>
        <v>23.905784488184963</v>
      </c>
      <c r="BM1965" s="37" t="s">
        <v>541</v>
      </c>
      <c r="BN1965" s="37"/>
      <c r="BO1965" s="37">
        <v>4.7476000000000003</v>
      </c>
      <c r="BP1965" s="37"/>
      <c r="BQ1965" s="37"/>
      <c r="BR1965" s="37"/>
      <c r="BS1965" s="37"/>
      <c r="BT1965" s="37"/>
      <c r="BU1965" s="246"/>
      <c r="BV1965" s="37"/>
      <c r="BW1965" s="37"/>
      <c r="BX1965" s="37"/>
      <c r="BY1965" s="37"/>
      <c r="BZ1965" s="37"/>
      <c r="CA1965" s="37"/>
      <c r="CB1965" s="37"/>
      <c r="CC1965" s="37"/>
      <c r="CD1965" s="37"/>
      <c r="CE1965" s="37"/>
      <c r="CF1965" s="37"/>
      <c r="CG1965" s="37"/>
      <c r="CH1965" s="37"/>
      <c r="CI1965" s="243">
        <f t="shared" si="622"/>
        <v>4.7476000000000003</v>
      </c>
      <c r="CJ1965" s="243">
        <f t="shared" si="623"/>
        <v>0.67647412116909811</v>
      </c>
      <c r="CK1965" s="38">
        <f t="shared" si="620"/>
        <v>1.0972801604755702</v>
      </c>
      <c r="CL1965" s="247">
        <f t="shared" si="624"/>
        <v>5.0353409066022756</v>
      </c>
      <c r="CM1965" s="247"/>
      <c r="CN1965" s="247"/>
      <c r="CO1965" s="36"/>
      <c r="CP1965" s="36" t="s">
        <v>542</v>
      </c>
      <c r="CQ1965" s="241" t="s">
        <v>272</v>
      </c>
      <c r="CR1965" s="241"/>
      <c r="CS1965" s="33"/>
      <c r="CT1965" s="33"/>
      <c r="CU1965" s="250">
        <f>X1965/CI1965</f>
        <v>1.5978127370233013E-2</v>
      </c>
      <c r="CV1965" s="337">
        <f t="shared" si="621"/>
        <v>3.4818858325798784E-3</v>
      </c>
      <c r="CW1965" s="330">
        <f t="shared" si="625"/>
        <v>0</v>
      </c>
      <c r="CX1965" s="330"/>
      <c r="CY1965" s="143" t="s">
        <v>5921</v>
      </c>
    </row>
    <row r="1966" spans="1:103" ht="11.25" customHeight="1" x14ac:dyDescent="0.2">
      <c r="A1966" s="72">
        <v>1964</v>
      </c>
      <c r="B1966" s="241">
        <v>79</v>
      </c>
      <c r="C1966" s="32" t="s">
        <v>582</v>
      </c>
      <c r="D1966" s="32"/>
      <c r="E1966" s="40"/>
      <c r="F1966" s="40" t="s">
        <v>583</v>
      </c>
      <c r="G1966" s="242" t="s">
        <v>584</v>
      </c>
      <c r="H1966" s="36" t="s">
        <v>585</v>
      </c>
      <c r="I1966" s="36" t="s">
        <v>8276</v>
      </c>
      <c r="J1966" s="36" t="s">
        <v>586</v>
      </c>
      <c r="K1966" s="36" t="s">
        <v>426</v>
      </c>
      <c r="L1966" s="36"/>
      <c r="M1966" s="36"/>
      <c r="N1966" s="36"/>
      <c r="O1966" s="36"/>
      <c r="P1966" s="41"/>
      <c r="Q1966" s="41"/>
      <c r="R1966" s="41"/>
      <c r="S1966" s="41"/>
      <c r="T1966" s="37">
        <v>257.33999999999997</v>
      </c>
      <c r="U1966" s="243"/>
      <c r="V1966" s="243">
        <v>11.692702261599441</v>
      </c>
      <c r="W1966" s="243">
        <v>5.1286138399136399E-2</v>
      </c>
      <c r="X1966" s="243">
        <f t="shared" si="616"/>
        <v>5.1286138399136399E-2</v>
      </c>
      <c r="Y1966" s="414">
        <v>7</v>
      </c>
      <c r="Z1966" s="37">
        <v>0.74</v>
      </c>
      <c r="AA1966" s="37"/>
      <c r="AB1966" s="37">
        <v>0</v>
      </c>
      <c r="AC1966" s="37">
        <v>0</v>
      </c>
      <c r="AD1966" s="37">
        <v>0</v>
      </c>
      <c r="AE1966" s="37">
        <v>0</v>
      </c>
      <c r="AF1966" s="37"/>
      <c r="AG1966" s="38">
        <v>6.96</v>
      </c>
      <c r="AH1966" s="243">
        <v>6.1000000000000003E-20</v>
      </c>
      <c r="AI1966" s="243"/>
      <c r="AJ1966" s="34">
        <f t="shared" si="617"/>
        <v>-17.603236491301885</v>
      </c>
      <c r="AK1966" s="34"/>
      <c r="AL1966" s="34">
        <f t="shared" si="618"/>
        <v>-17.603236491301885</v>
      </c>
      <c r="AM1966" s="34"/>
      <c r="AN1966" s="244">
        <v>-6.04</v>
      </c>
      <c r="AO1966" s="417">
        <v>13.59</v>
      </c>
      <c r="AP1966" s="417">
        <v>-2.29</v>
      </c>
      <c r="AQ1966" s="244" t="s">
        <v>5921</v>
      </c>
      <c r="AR1966" s="244" t="s">
        <v>5921</v>
      </c>
      <c r="AS1966" s="241" t="s">
        <v>6</v>
      </c>
      <c r="AT1966" s="39" t="s">
        <v>266</v>
      </c>
      <c r="AU1966" s="37">
        <v>0</v>
      </c>
      <c r="AV1966" s="37">
        <v>48</v>
      </c>
      <c r="AW1966" s="37">
        <v>48</v>
      </c>
      <c r="AX1966" s="37">
        <v>26</v>
      </c>
      <c r="AY1966" s="37" t="s">
        <v>8722</v>
      </c>
      <c r="AZ1966" s="37" t="s">
        <v>536</v>
      </c>
      <c r="BA1966" s="37">
        <v>20</v>
      </c>
      <c r="BB1966" s="36" t="s">
        <v>537</v>
      </c>
      <c r="BC1966" s="36" t="s">
        <v>538</v>
      </c>
      <c r="BD1966" s="36"/>
      <c r="BE1966" s="245" t="s">
        <v>271</v>
      </c>
      <c r="BF1966" s="245" t="s">
        <v>539</v>
      </c>
      <c r="BG1966" s="245" t="s">
        <v>540</v>
      </c>
      <c r="BH1966" s="245" t="s">
        <v>272</v>
      </c>
      <c r="BI1966" s="243">
        <v>0.125</v>
      </c>
      <c r="BJ1966" s="243">
        <v>2</v>
      </c>
      <c r="BK1966" s="37"/>
      <c r="BL1966" s="243">
        <f t="shared" si="619"/>
        <v>11.122591828883237</v>
      </c>
      <c r="BM1966" s="37" t="s">
        <v>541</v>
      </c>
      <c r="BN1966" s="37"/>
      <c r="BO1966" s="37">
        <v>0.36809999999999998</v>
      </c>
      <c r="BP1966" s="37"/>
      <c r="BQ1966" s="37"/>
      <c r="BR1966" s="37"/>
      <c r="BS1966" s="37"/>
      <c r="BT1966" s="37"/>
      <c r="BU1966" s="246"/>
      <c r="BV1966" s="37"/>
      <c r="BW1966" s="37"/>
      <c r="BX1966" s="37"/>
      <c r="BY1966" s="37"/>
      <c r="BZ1966" s="37"/>
      <c r="CA1966" s="37"/>
      <c r="CB1966" s="37"/>
      <c r="CC1966" s="37"/>
      <c r="CD1966" s="37"/>
      <c r="CE1966" s="37"/>
      <c r="CF1966" s="37"/>
      <c r="CG1966" s="37"/>
      <c r="CH1966" s="37"/>
      <c r="CI1966" s="243">
        <f t="shared" si="622"/>
        <v>0.36809999999999998</v>
      </c>
      <c r="CJ1966" s="243">
        <f t="shared" si="623"/>
        <v>-0.43403418255333337</v>
      </c>
      <c r="CK1966" s="38">
        <f t="shared" si="620"/>
        <v>5.5612959144416187</v>
      </c>
      <c r="CL1966" s="247">
        <f t="shared" si="624"/>
        <v>30.216223387349192</v>
      </c>
      <c r="CM1966" s="247"/>
      <c r="CN1966" s="247"/>
      <c r="CO1966" s="36"/>
      <c r="CP1966" s="36" t="s">
        <v>542</v>
      </c>
      <c r="CQ1966" s="241" t="s">
        <v>272</v>
      </c>
      <c r="CR1966" s="241"/>
      <c r="CS1966" s="33"/>
      <c r="CT1966" s="33"/>
      <c r="CU1966" s="250">
        <f>X1966/CI1966</f>
        <v>0.13932664601775713</v>
      </c>
      <c r="CV1966" s="337">
        <f t="shared" si="621"/>
        <v>2.56430691995682E-2</v>
      </c>
      <c r="CW1966" s="330">
        <f t="shared" si="625"/>
        <v>0</v>
      </c>
      <c r="CX1966" s="330"/>
      <c r="CY1966" s="143" t="s">
        <v>5921</v>
      </c>
    </row>
    <row r="1967" spans="1:103" ht="11.25" customHeight="1" x14ac:dyDescent="0.2">
      <c r="A1967" s="72">
        <v>1965</v>
      </c>
      <c r="B1967" s="241">
        <v>84</v>
      </c>
      <c r="C1967" s="32" t="s">
        <v>603</v>
      </c>
      <c r="D1967" s="32"/>
      <c r="E1967" s="40"/>
      <c r="F1967" s="40" t="s">
        <v>3538</v>
      </c>
      <c r="G1967" s="242">
        <v>10540291</v>
      </c>
      <c r="H1967" s="36" t="s">
        <v>604</v>
      </c>
      <c r="I1967" s="36" t="s">
        <v>7942</v>
      </c>
      <c r="J1967" s="36" t="s">
        <v>605</v>
      </c>
      <c r="K1967" s="36" t="s">
        <v>300</v>
      </c>
      <c r="L1967" s="36"/>
      <c r="M1967" s="36" t="s">
        <v>606</v>
      </c>
      <c r="N1967" s="36"/>
      <c r="O1967" s="36"/>
      <c r="P1967" s="41"/>
      <c r="Q1967" s="41"/>
      <c r="R1967" s="41"/>
      <c r="S1967" s="41"/>
      <c r="T1967" s="37">
        <v>371.51</v>
      </c>
      <c r="U1967" s="243"/>
      <c r="V1967" s="243">
        <v>5.2111652445425429E-4</v>
      </c>
      <c r="W1967" s="243">
        <v>7.7624711662868957E-3</v>
      </c>
      <c r="X1967" s="243">
        <f t="shared" si="616"/>
        <v>7.7624711662868957E-3</v>
      </c>
      <c r="Y1967" s="414">
        <v>8.6199999999999992</v>
      </c>
      <c r="Z1967" s="37">
        <v>6.3</v>
      </c>
      <c r="AA1967" s="37"/>
      <c r="AB1967" s="37">
        <v>6.31</v>
      </c>
      <c r="AC1967" s="37">
        <v>0.68869999999999998</v>
      </c>
      <c r="AD1967" s="37">
        <v>6.82</v>
      </c>
      <c r="AE1967" s="37">
        <v>7.88</v>
      </c>
      <c r="AF1967" s="37">
        <f t="shared" ref="AF1967:AF1973" si="626">IF(AA1967=0,AD1967,AA1967)</f>
        <v>6.82</v>
      </c>
      <c r="AG1967" s="38">
        <v>6.16</v>
      </c>
      <c r="AH1967" s="243">
        <v>4.49E-10</v>
      </c>
      <c r="AI1967" s="243"/>
      <c r="AJ1967" s="34">
        <f t="shared" si="617"/>
        <v>-7.7363199853093283</v>
      </c>
      <c r="AK1967" s="34"/>
      <c r="AL1967" s="34">
        <f t="shared" si="618"/>
        <v>-7.7363199853093283</v>
      </c>
      <c r="AM1967" s="34">
        <v>-13.760640000000002</v>
      </c>
      <c r="AN1967" s="244">
        <v>-8.94</v>
      </c>
      <c r="AO1967" s="417"/>
      <c r="AP1967" s="417">
        <v>8.69</v>
      </c>
      <c r="AQ1967" s="244" t="s">
        <v>5921</v>
      </c>
      <c r="AR1967" s="244" t="s">
        <v>5921</v>
      </c>
      <c r="AS1967" s="241" t="s">
        <v>109</v>
      </c>
      <c r="AT1967" s="39" t="s">
        <v>266</v>
      </c>
      <c r="AU1967" s="37">
        <v>0</v>
      </c>
      <c r="AV1967" s="37">
        <v>48</v>
      </c>
      <c r="AW1967" s="37">
        <v>48</v>
      </c>
      <c r="AX1967" s="37">
        <v>26</v>
      </c>
      <c r="AY1967" s="37" t="s">
        <v>8722</v>
      </c>
      <c r="AZ1967" s="37" t="s">
        <v>536</v>
      </c>
      <c r="BA1967" s="37">
        <v>20</v>
      </c>
      <c r="BB1967" s="36" t="s">
        <v>537</v>
      </c>
      <c r="BC1967" s="36" t="s">
        <v>538</v>
      </c>
      <c r="BD1967" s="36"/>
      <c r="BE1967" s="245" t="s">
        <v>271</v>
      </c>
      <c r="BF1967" s="245" t="s">
        <v>539</v>
      </c>
      <c r="BG1967" s="245" t="s">
        <v>540</v>
      </c>
      <c r="BH1967" s="245" t="s">
        <v>272</v>
      </c>
      <c r="BI1967" s="243">
        <v>5.4999999999999997E-3</v>
      </c>
      <c r="BJ1967" s="243">
        <v>8.8700000000000001E-2</v>
      </c>
      <c r="BK1967" s="37"/>
      <c r="BL1967" s="243">
        <f t="shared" si="619"/>
        <v>1.1291977392988041E-4</v>
      </c>
      <c r="BM1967" s="37" t="s">
        <v>541</v>
      </c>
      <c r="BN1967" s="37"/>
      <c r="BO1967" s="37">
        <v>5.6800000000000003E-2</v>
      </c>
      <c r="BP1967" s="37"/>
      <c r="BQ1967" s="37"/>
      <c r="BR1967" s="37"/>
      <c r="BS1967" s="37"/>
      <c r="BT1967" s="37"/>
      <c r="BU1967" s="246"/>
      <c r="BV1967" s="37"/>
      <c r="BW1967" s="37"/>
      <c r="BX1967" s="37"/>
      <c r="BY1967" s="37"/>
      <c r="BZ1967" s="37"/>
      <c r="CA1967" s="37"/>
      <c r="CB1967" s="37"/>
      <c r="CC1967" s="37"/>
      <c r="CD1967" s="37"/>
      <c r="CE1967" s="37"/>
      <c r="CF1967" s="37"/>
      <c r="CG1967" s="37"/>
      <c r="CH1967" s="37"/>
      <c r="CI1967" s="243">
        <f t="shared" si="622"/>
        <v>5.6800000000000003E-2</v>
      </c>
      <c r="CJ1967" s="243">
        <f t="shared" si="623"/>
        <v>-1.245651664288981</v>
      </c>
      <c r="CK1967" s="38">
        <f t="shared" si="620"/>
        <v>1.2730526936852358E-3</v>
      </c>
      <c r="CL1967" s="247">
        <f t="shared" si="624"/>
        <v>1.9880241889063451E-3</v>
      </c>
      <c r="CM1967" s="247"/>
      <c r="CN1967" s="247"/>
      <c r="CO1967" s="36"/>
      <c r="CP1967" s="36" t="s">
        <v>542</v>
      </c>
      <c r="CQ1967" s="241" t="s">
        <v>272</v>
      </c>
      <c r="CR1967" s="241"/>
      <c r="CS1967" s="33"/>
      <c r="CT1967" s="33"/>
      <c r="CU1967" s="250">
        <f>X1967/CI1967</f>
        <v>0.13666322475857209</v>
      </c>
      <c r="CV1967" s="337">
        <f t="shared" si="621"/>
        <v>8.7513767376402429E-2</v>
      </c>
      <c r="CW1967" s="330">
        <f t="shared" si="625"/>
        <v>0</v>
      </c>
      <c r="CX1967" s="330"/>
      <c r="CY1967" s="143" t="s">
        <v>5921</v>
      </c>
    </row>
    <row r="1968" spans="1:103" ht="11.25" customHeight="1" x14ac:dyDescent="0.2">
      <c r="A1968" s="72">
        <v>1966</v>
      </c>
      <c r="B1968" s="241">
        <v>1982</v>
      </c>
      <c r="C1968" s="32" t="s">
        <v>5546</v>
      </c>
      <c r="D1968" s="32"/>
      <c r="E1968" s="40"/>
      <c r="F1968" s="241" t="s">
        <v>6393</v>
      </c>
      <c r="G1968" s="241" t="s">
        <v>6393</v>
      </c>
      <c r="H1968" s="41" t="s">
        <v>5547</v>
      </c>
      <c r="I1968" s="41" t="s">
        <v>5547</v>
      </c>
      <c r="J1968" s="41" t="s">
        <v>5548</v>
      </c>
      <c r="K1968" s="41" t="s">
        <v>1297</v>
      </c>
      <c r="L1968" s="41"/>
      <c r="M1968" s="41"/>
      <c r="N1968" s="36"/>
      <c r="O1968" s="41"/>
      <c r="P1968" s="41"/>
      <c r="Q1968" s="41"/>
      <c r="R1968" s="41"/>
      <c r="S1968" s="41"/>
      <c r="T1968" s="33">
        <v>184.92</v>
      </c>
      <c r="U1968" s="250"/>
      <c r="V1968" s="250">
        <v>71.219987021414667</v>
      </c>
      <c r="W1968" s="250">
        <v>1.5488166189124803</v>
      </c>
      <c r="X1968" s="250">
        <f t="shared" si="616"/>
        <v>1.5488166189124803</v>
      </c>
      <c r="Y1968" s="415">
        <v>6.87</v>
      </c>
      <c r="Z1968" s="33">
        <v>0.35</v>
      </c>
      <c r="AA1968" s="33"/>
      <c r="AB1968" s="33">
        <v>0.57999999999999996</v>
      </c>
      <c r="AC1968" s="33">
        <v>0.66479999999999995</v>
      </c>
      <c r="AD1968" s="33">
        <v>0.84</v>
      </c>
      <c r="AE1968" s="33">
        <v>1.31</v>
      </c>
      <c r="AF1968" s="33">
        <f t="shared" si="626"/>
        <v>0.84</v>
      </c>
      <c r="AG1968" s="34">
        <v>0.84</v>
      </c>
      <c r="AH1968" s="250">
        <v>1.15E-6</v>
      </c>
      <c r="AI1968" s="250"/>
      <c r="AJ1968" s="34">
        <f t="shared" si="617"/>
        <v>-4.3278684859590397</v>
      </c>
      <c r="AK1968" s="34"/>
      <c r="AL1968" s="34">
        <f t="shared" si="618"/>
        <v>-4.3278684859590397</v>
      </c>
      <c r="AM1968" s="34">
        <v>-13.087539999999999</v>
      </c>
      <c r="AN1968" s="251"/>
      <c r="AO1968" s="417">
        <v>11.36</v>
      </c>
      <c r="AP1968" s="417">
        <v>0.83</v>
      </c>
      <c r="AQ1968" s="251" t="s">
        <v>6311</v>
      </c>
      <c r="AR1968" s="251" t="s">
        <v>6311</v>
      </c>
      <c r="AS1968" s="252" t="s">
        <v>5466</v>
      </c>
      <c r="AT1968" s="35" t="s">
        <v>266</v>
      </c>
      <c r="AU1968" s="33">
        <v>4</v>
      </c>
      <c r="AV1968" s="33">
        <v>24</v>
      </c>
      <c r="AW1968" s="33">
        <v>20</v>
      </c>
      <c r="AX1968" s="33">
        <v>28</v>
      </c>
      <c r="AY1968" s="262" t="s">
        <v>267</v>
      </c>
      <c r="AZ1968" s="33" t="s">
        <v>6212</v>
      </c>
      <c r="BA1968" s="33">
        <v>20</v>
      </c>
      <c r="BB1968" s="41" t="s">
        <v>6300</v>
      </c>
      <c r="BC1968" s="41" t="s">
        <v>5697</v>
      </c>
      <c r="BD1968" s="41"/>
      <c r="BE1968" s="33" t="s">
        <v>2449</v>
      </c>
      <c r="BF1968" s="33" t="s">
        <v>6203</v>
      </c>
      <c r="BG1968" s="33" t="s">
        <v>6203</v>
      </c>
      <c r="BH1968" s="33"/>
      <c r="BI1968" s="250">
        <v>2.1630975556997623E-5</v>
      </c>
      <c r="BJ1968" s="250">
        <v>2.1630975556997622E-2</v>
      </c>
      <c r="BK1968" s="254"/>
      <c r="BL1968" s="250">
        <f t="shared" si="619"/>
        <v>24.915235700865811</v>
      </c>
      <c r="BM1968" s="33" t="s">
        <v>1584</v>
      </c>
      <c r="BN1968" s="33">
        <v>13.5</v>
      </c>
      <c r="BO1968" s="33"/>
      <c r="BP1968" s="33"/>
      <c r="BQ1968" s="33"/>
      <c r="BR1968" s="33"/>
      <c r="BS1968" s="33"/>
      <c r="BT1968" s="33"/>
      <c r="BU1968" s="246"/>
      <c r="BV1968" s="33"/>
      <c r="BW1968" s="33"/>
      <c r="BX1968" s="33"/>
      <c r="BY1968" s="33"/>
      <c r="BZ1968" s="33"/>
      <c r="CA1968" s="33"/>
      <c r="CB1968" s="33"/>
      <c r="CC1968" s="33"/>
      <c r="CD1968" s="33"/>
      <c r="CE1968" s="33"/>
      <c r="CF1968" s="33"/>
      <c r="CG1968" s="33"/>
      <c r="CH1968" s="33"/>
      <c r="CI1968" s="250">
        <f t="shared" si="622"/>
        <v>13.5</v>
      </c>
      <c r="CJ1968" s="243">
        <f t="shared" si="623"/>
        <v>1.1303337684950061</v>
      </c>
      <c r="CK1968" s="38">
        <f t="shared" si="620"/>
        <v>1151.8313464510263</v>
      </c>
      <c r="CL1968" s="247">
        <f t="shared" si="624"/>
        <v>1.8455730148789489</v>
      </c>
      <c r="CM1968" s="247"/>
      <c r="CN1968" s="247"/>
      <c r="CO1968" s="41"/>
      <c r="CP1968" s="41" t="s">
        <v>8382</v>
      </c>
      <c r="CQ1968" s="241" t="s">
        <v>272</v>
      </c>
      <c r="CR1968" s="241"/>
      <c r="CS1968" s="33"/>
      <c r="CT1968" s="33"/>
      <c r="CU1968" s="250">
        <f>X1968/CI1968</f>
        <v>0.11472715695648003</v>
      </c>
      <c r="CV1968" s="337">
        <f t="shared" si="621"/>
        <v>71.601792292323964</v>
      </c>
      <c r="CW1968" s="330">
        <f t="shared" si="625"/>
        <v>0</v>
      </c>
      <c r="CX1968" s="330"/>
      <c r="CY1968" s="143" t="s">
        <v>5921</v>
      </c>
    </row>
    <row r="1969" spans="1:103" ht="11.25" customHeight="1" x14ac:dyDescent="0.2">
      <c r="A1969" s="72">
        <v>1967</v>
      </c>
      <c r="B1969" s="241">
        <v>1992</v>
      </c>
      <c r="C1969" s="32" t="s">
        <v>5554</v>
      </c>
      <c r="D1969" s="32"/>
      <c r="E1969" s="40"/>
      <c r="F1969" s="241" t="s">
        <v>6394</v>
      </c>
      <c r="G1969" s="241" t="s">
        <v>6394</v>
      </c>
      <c r="H1969" s="41"/>
      <c r="I1969" s="41"/>
      <c r="J1969" s="41"/>
      <c r="K1969" s="41"/>
      <c r="L1969" s="41"/>
      <c r="M1969" s="41"/>
      <c r="N1969" s="36"/>
      <c r="O1969" s="41"/>
      <c r="P1969" s="41"/>
      <c r="Q1969" s="41"/>
      <c r="R1969" s="41"/>
      <c r="S1969" s="41"/>
      <c r="T1969" s="37" t="s">
        <v>404</v>
      </c>
      <c r="U1969" s="250"/>
      <c r="V1969" s="243"/>
      <c r="W1969" s="243"/>
      <c r="X1969" s="243"/>
      <c r="Y1969" s="415"/>
      <c r="Z1969" s="34"/>
      <c r="AA1969" s="34"/>
      <c r="AB1969" s="34"/>
      <c r="AC1969" s="34"/>
      <c r="AD1969" s="34"/>
      <c r="AE1969" s="34"/>
      <c r="AF1969" s="34">
        <f t="shared" si="626"/>
        <v>0</v>
      </c>
      <c r="AG1969" s="34" t="s">
        <v>404</v>
      </c>
      <c r="AH1969" s="250"/>
      <c r="AI1969" s="250"/>
      <c r="AJ1969" s="34"/>
      <c r="AK1969" s="34"/>
      <c r="AL1969" s="34"/>
      <c r="AM1969" s="34"/>
      <c r="AN1969" s="251"/>
      <c r="AO1969" s="417"/>
      <c r="AP1969" s="417"/>
      <c r="AQ1969" s="251" t="s">
        <v>6311</v>
      </c>
      <c r="AR1969" s="251" t="s">
        <v>6311</v>
      </c>
      <c r="AS1969" s="252" t="s">
        <v>5466</v>
      </c>
      <c r="AT1969" s="35" t="s">
        <v>266</v>
      </c>
      <c r="AU1969" s="33">
        <v>4</v>
      </c>
      <c r="AV1969" s="33">
        <v>24</v>
      </c>
      <c r="AW1969" s="33">
        <v>20</v>
      </c>
      <c r="AX1969" s="33">
        <v>28</v>
      </c>
      <c r="AY1969" s="262" t="s">
        <v>267</v>
      </c>
      <c r="AZ1969" s="33" t="s">
        <v>6212</v>
      </c>
      <c r="BA1969" s="33">
        <v>20</v>
      </c>
      <c r="BB1969" s="41" t="s">
        <v>6300</v>
      </c>
      <c r="BC1969" s="41" t="s">
        <v>5697</v>
      </c>
      <c r="BD1969" s="41"/>
      <c r="BE1969" s="33" t="s">
        <v>2449</v>
      </c>
      <c r="BF1969" s="33" t="s">
        <v>6203</v>
      </c>
      <c r="BG1969" s="33" t="s">
        <v>6203</v>
      </c>
      <c r="BH1969" s="33"/>
      <c r="BI1969" s="250"/>
      <c r="BJ1969" s="250"/>
      <c r="BK1969" s="254"/>
      <c r="BL1969" s="250"/>
      <c r="BM1969" s="33" t="s">
        <v>1584</v>
      </c>
      <c r="BN1969" s="33">
        <v>1.8799999999999999E-3</v>
      </c>
      <c r="BO1969" s="33"/>
      <c r="BP1969" s="33"/>
      <c r="BQ1969" s="33"/>
      <c r="BR1969" s="33"/>
      <c r="BS1969" s="33"/>
      <c r="BT1969" s="33"/>
      <c r="BU1969" s="246"/>
      <c r="BV1969" s="33"/>
      <c r="BW1969" s="33"/>
      <c r="BX1969" s="33"/>
      <c r="BY1969" s="33"/>
      <c r="BZ1969" s="33"/>
      <c r="CA1969" s="33"/>
      <c r="CB1969" s="33"/>
      <c r="CC1969" s="33"/>
      <c r="CD1969" s="33"/>
      <c r="CE1969" s="33"/>
      <c r="CF1969" s="33"/>
      <c r="CG1969" s="33"/>
      <c r="CH1969" s="33"/>
      <c r="CI1969" s="250">
        <f t="shared" si="622"/>
        <v>1.8799999999999999E-3</v>
      </c>
      <c r="CJ1969" s="243">
        <f t="shared" si="623"/>
        <v>-2.72584215073632</v>
      </c>
      <c r="CK1969" s="38" t="s">
        <v>404</v>
      </c>
      <c r="CL1969" s="247">
        <f t="shared" si="624"/>
        <v>0</v>
      </c>
      <c r="CM1969" s="247"/>
      <c r="CN1969" s="247"/>
      <c r="CO1969" s="41"/>
      <c r="CP1969" s="41" t="s">
        <v>8382</v>
      </c>
      <c r="CQ1969" s="241" t="s">
        <v>272</v>
      </c>
      <c r="CR1969" s="241"/>
      <c r="CS1969" s="33"/>
      <c r="CT1969" s="33"/>
      <c r="CU1969" s="250" t="s">
        <v>6310</v>
      </c>
      <c r="CV1969" s="337" t="s">
        <v>6310</v>
      </c>
      <c r="CW1969" s="330">
        <f t="shared" si="625"/>
        <v>1</v>
      </c>
      <c r="CX1969" s="330"/>
      <c r="CY1969" s="143" t="s">
        <v>5921</v>
      </c>
    </row>
    <row r="1970" spans="1:103" ht="11.25" customHeight="1" x14ac:dyDescent="0.2">
      <c r="A1970" s="72">
        <v>1968</v>
      </c>
      <c r="B1970" s="241">
        <v>2007</v>
      </c>
      <c r="C1970" s="32" t="s">
        <v>5571</v>
      </c>
      <c r="D1970" s="32"/>
      <c r="E1970" s="40"/>
      <c r="F1970" s="241" t="s">
        <v>6396</v>
      </c>
      <c r="G1970" s="241" t="s">
        <v>6396</v>
      </c>
      <c r="H1970" s="255"/>
      <c r="I1970" s="255"/>
      <c r="J1970" s="255"/>
      <c r="K1970" s="255"/>
      <c r="L1970" s="41"/>
      <c r="M1970" s="41"/>
      <c r="N1970" s="36"/>
      <c r="O1970" s="41"/>
      <c r="P1970" s="41"/>
      <c r="Q1970" s="41"/>
      <c r="R1970" s="41"/>
      <c r="S1970" s="41"/>
      <c r="T1970" s="37" t="s">
        <v>404</v>
      </c>
      <c r="U1970" s="250"/>
      <c r="V1970" s="243"/>
      <c r="W1970" s="243"/>
      <c r="X1970" s="243"/>
      <c r="Y1970" s="415"/>
      <c r="Z1970" s="34"/>
      <c r="AA1970" s="34"/>
      <c r="AB1970" s="34"/>
      <c r="AC1970" s="34"/>
      <c r="AD1970" s="34"/>
      <c r="AE1970" s="34"/>
      <c r="AF1970" s="34">
        <f t="shared" si="626"/>
        <v>0</v>
      </c>
      <c r="AG1970" s="34" t="s">
        <v>404</v>
      </c>
      <c r="AH1970" s="250"/>
      <c r="AI1970" s="250"/>
      <c r="AJ1970" s="34"/>
      <c r="AK1970" s="34"/>
      <c r="AL1970" s="34"/>
      <c r="AM1970" s="34"/>
      <c r="AN1970" s="251"/>
      <c r="AO1970" s="417"/>
      <c r="AP1970" s="417"/>
      <c r="AQ1970" s="251" t="s">
        <v>6311</v>
      </c>
      <c r="AR1970" s="251" t="s">
        <v>6311</v>
      </c>
      <c r="AS1970" s="252" t="s">
        <v>5466</v>
      </c>
      <c r="AT1970" s="35" t="s">
        <v>266</v>
      </c>
      <c r="AU1970" s="33">
        <v>4</v>
      </c>
      <c r="AV1970" s="33">
        <v>24</v>
      </c>
      <c r="AW1970" s="33">
        <v>20</v>
      </c>
      <c r="AX1970" s="33">
        <v>28</v>
      </c>
      <c r="AY1970" s="262" t="s">
        <v>267</v>
      </c>
      <c r="AZ1970" s="33" t="s">
        <v>6212</v>
      </c>
      <c r="BA1970" s="33">
        <v>20</v>
      </c>
      <c r="BB1970" s="41" t="s">
        <v>6300</v>
      </c>
      <c r="BC1970" s="41" t="s">
        <v>5697</v>
      </c>
      <c r="BD1970" s="41"/>
      <c r="BE1970" s="33" t="s">
        <v>2449</v>
      </c>
      <c r="BF1970" s="33" t="s">
        <v>6203</v>
      </c>
      <c r="BG1970" s="33" t="s">
        <v>6203</v>
      </c>
      <c r="BH1970" s="33"/>
      <c r="BI1970" s="250"/>
      <c r="BJ1970" s="250"/>
      <c r="BK1970" s="254"/>
      <c r="BL1970" s="250"/>
      <c r="BM1970" s="33" t="s">
        <v>1584</v>
      </c>
      <c r="BN1970" s="33">
        <v>2E-3</v>
      </c>
      <c r="BO1970" s="33"/>
      <c r="BP1970" s="33"/>
      <c r="BQ1970" s="33"/>
      <c r="BR1970" s="33"/>
      <c r="BS1970" s="33"/>
      <c r="BT1970" s="33"/>
      <c r="BU1970" s="246"/>
      <c r="BV1970" s="33"/>
      <c r="BW1970" s="33"/>
      <c r="BX1970" s="33"/>
      <c r="BY1970" s="33"/>
      <c r="BZ1970" s="33"/>
      <c r="CA1970" s="33"/>
      <c r="CB1970" s="33"/>
      <c r="CC1970" s="33"/>
      <c r="CD1970" s="33"/>
      <c r="CE1970" s="33"/>
      <c r="CF1970" s="33"/>
      <c r="CG1970" s="33"/>
      <c r="CH1970" s="33"/>
      <c r="CI1970" s="250">
        <f t="shared" si="622"/>
        <v>2E-3</v>
      </c>
      <c r="CJ1970" s="243">
        <f t="shared" si="623"/>
        <v>-2.6989700043360187</v>
      </c>
      <c r="CK1970" s="38" t="s">
        <v>404</v>
      </c>
      <c r="CL1970" s="247">
        <f t="shared" si="624"/>
        <v>0</v>
      </c>
      <c r="CM1970" s="247"/>
      <c r="CN1970" s="247"/>
      <c r="CO1970" s="41"/>
      <c r="CP1970" s="41" t="s">
        <v>8382</v>
      </c>
      <c r="CQ1970" s="241" t="s">
        <v>272</v>
      </c>
      <c r="CR1970" s="241"/>
      <c r="CS1970" s="33"/>
      <c r="CT1970" s="33"/>
      <c r="CU1970" s="250" t="s">
        <v>6310</v>
      </c>
      <c r="CV1970" s="337" t="s">
        <v>6310</v>
      </c>
      <c r="CW1970" s="330">
        <f t="shared" si="625"/>
        <v>1</v>
      </c>
      <c r="CX1970" s="330"/>
      <c r="CY1970" s="143" t="s">
        <v>5921</v>
      </c>
    </row>
    <row r="1971" spans="1:103" ht="11.25" customHeight="1" x14ac:dyDescent="0.2">
      <c r="A1971" s="72">
        <v>1969</v>
      </c>
      <c r="B1971" s="241">
        <v>2001</v>
      </c>
      <c r="C1971" s="32" t="s">
        <v>5566</v>
      </c>
      <c r="D1971" s="32"/>
      <c r="E1971" s="40"/>
      <c r="F1971" s="241" t="s">
        <v>6395</v>
      </c>
      <c r="G1971" s="241" t="s">
        <v>6395</v>
      </c>
      <c r="H1971" s="41"/>
      <c r="I1971" s="41"/>
      <c r="J1971" s="41"/>
      <c r="K1971" s="41"/>
      <c r="L1971" s="41"/>
      <c r="M1971" s="41"/>
      <c r="N1971" s="36"/>
      <c r="O1971" s="41"/>
      <c r="P1971" s="41"/>
      <c r="Q1971" s="41"/>
      <c r="R1971" s="41"/>
      <c r="S1971" s="41"/>
      <c r="T1971" s="37" t="s">
        <v>404</v>
      </c>
      <c r="U1971" s="250"/>
      <c r="V1971" s="243"/>
      <c r="W1971" s="243"/>
      <c r="X1971" s="243"/>
      <c r="Y1971" s="415"/>
      <c r="Z1971" s="34"/>
      <c r="AA1971" s="34"/>
      <c r="AB1971" s="34"/>
      <c r="AC1971" s="34"/>
      <c r="AD1971" s="34"/>
      <c r="AE1971" s="34"/>
      <c r="AF1971" s="34">
        <f t="shared" si="626"/>
        <v>0</v>
      </c>
      <c r="AG1971" s="34" t="s">
        <v>404</v>
      </c>
      <c r="AH1971" s="250"/>
      <c r="AI1971" s="250"/>
      <c r="AJ1971" s="34"/>
      <c r="AK1971" s="34"/>
      <c r="AL1971" s="34"/>
      <c r="AM1971" s="34"/>
      <c r="AN1971" s="251"/>
      <c r="AO1971" s="417"/>
      <c r="AP1971" s="417"/>
      <c r="AQ1971" s="251" t="s">
        <v>6311</v>
      </c>
      <c r="AR1971" s="251" t="s">
        <v>6311</v>
      </c>
      <c r="AS1971" s="252" t="s">
        <v>5466</v>
      </c>
      <c r="AT1971" s="35" t="s">
        <v>266</v>
      </c>
      <c r="AU1971" s="33">
        <v>4</v>
      </c>
      <c r="AV1971" s="33">
        <v>24</v>
      </c>
      <c r="AW1971" s="33">
        <v>20</v>
      </c>
      <c r="AX1971" s="33">
        <v>28</v>
      </c>
      <c r="AY1971" s="262" t="s">
        <v>267</v>
      </c>
      <c r="AZ1971" s="33" t="s">
        <v>6212</v>
      </c>
      <c r="BA1971" s="33">
        <v>20</v>
      </c>
      <c r="BB1971" s="41" t="s">
        <v>6300</v>
      </c>
      <c r="BC1971" s="41" t="s">
        <v>5697</v>
      </c>
      <c r="BD1971" s="41"/>
      <c r="BE1971" s="33" t="s">
        <v>2449</v>
      </c>
      <c r="BF1971" s="33" t="s">
        <v>6203</v>
      </c>
      <c r="BG1971" s="33" t="s">
        <v>6203</v>
      </c>
      <c r="BH1971" s="33"/>
      <c r="BI1971" s="250"/>
      <c r="BJ1971" s="250"/>
      <c r="BK1971" s="254"/>
      <c r="BL1971" s="250"/>
      <c r="BM1971" s="33" t="s">
        <v>1584</v>
      </c>
      <c r="BN1971" s="33">
        <v>2.3599999999999999E-2</v>
      </c>
      <c r="BO1971" s="33"/>
      <c r="BP1971" s="33"/>
      <c r="BQ1971" s="33"/>
      <c r="BR1971" s="33"/>
      <c r="BS1971" s="33"/>
      <c r="BT1971" s="33"/>
      <c r="BU1971" s="246"/>
      <c r="BV1971" s="33"/>
      <c r="BW1971" s="33"/>
      <c r="BX1971" s="33"/>
      <c r="BY1971" s="33"/>
      <c r="BZ1971" s="33"/>
      <c r="CA1971" s="33"/>
      <c r="CB1971" s="33"/>
      <c r="CC1971" s="33"/>
      <c r="CD1971" s="33"/>
      <c r="CE1971" s="33"/>
      <c r="CF1971" s="33"/>
      <c r="CG1971" s="33"/>
      <c r="CH1971" s="33"/>
      <c r="CI1971" s="250">
        <f t="shared" si="622"/>
        <v>2.3599999999999999E-2</v>
      </c>
      <c r="CJ1971" s="243">
        <f t="shared" si="623"/>
        <v>-1.6270879970298935</v>
      </c>
      <c r="CK1971" s="38" t="s">
        <v>404</v>
      </c>
      <c r="CL1971" s="247">
        <f t="shared" si="624"/>
        <v>0</v>
      </c>
      <c r="CM1971" s="247"/>
      <c r="CN1971" s="247"/>
      <c r="CO1971" s="41"/>
      <c r="CP1971" s="41" t="s">
        <v>8382</v>
      </c>
      <c r="CQ1971" s="241" t="s">
        <v>272</v>
      </c>
      <c r="CR1971" s="241"/>
      <c r="CS1971" s="33"/>
      <c r="CT1971" s="33"/>
      <c r="CU1971" s="250" t="s">
        <v>6310</v>
      </c>
      <c r="CV1971" s="337" t="s">
        <v>6310</v>
      </c>
      <c r="CW1971" s="330">
        <f t="shared" si="625"/>
        <v>1</v>
      </c>
      <c r="CX1971" s="330"/>
      <c r="CY1971" s="143" t="s">
        <v>5921</v>
      </c>
    </row>
    <row r="1972" spans="1:103" ht="11.25" customHeight="1" x14ac:dyDescent="0.2">
      <c r="A1972" s="72">
        <v>1970</v>
      </c>
      <c r="B1972" s="241">
        <v>1983</v>
      </c>
      <c r="C1972" s="32" t="s">
        <v>5549</v>
      </c>
      <c r="D1972" s="32"/>
      <c r="E1972" s="40"/>
      <c r="F1972" s="241" t="s">
        <v>6397</v>
      </c>
      <c r="G1972" s="241" t="s">
        <v>6397</v>
      </c>
      <c r="H1972" s="41"/>
      <c r="I1972" s="41"/>
      <c r="J1972" s="41"/>
      <c r="K1972" s="41"/>
      <c r="L1972" s="41"/>
      <c r="M1972" s="41"/>
      <c r="N1972" s="36"/>
      <c r="O1972" s="41"/>
      <c r="P1972" s="41"/>
      <c r="Q1972" s="41"/>
      <c r="R1972" s="41"/>
      <c r="S1972" s="41"/>
      <c r="T1972" s="37" t="s">
        <v>404</v>
      </c>
      <c r="U1972" s="250"/>
      <c r="V1972" s="243"/>
      <c r="W1972" s="243"/>
      <c r="X1972" s="243"/>
      <c r="Y1972" s="415"/>
      <c r="Z1972" s="34"/>
      <c r="AA1972" s="34"/>
      <c r="AB1972" s="34"/>
      <c r="AC1972" s="34"/>
      <c r="AD1972" s="34"/>
      <c r="AE1972" s="34"/>
      <c r="AF1972" s="34">
        <f t="shared" si="626"/>
        <v>0</v>
      </c>
      <c r="AG1972" s="34" t="s">
        <v>404</v>
      </c>
      <c r="AH1972" s="250"/>
      <c r="AI1972" s="250"/>
      <c r="AJ1972" s="34"/>
      <c r="AK1972" s="34"/>
      <c r="AL1972" s="34"/>
      <c r="AM1972" s="34"/>
      <c r="AN1972" s="251"/>
      <c r="AO1972" s="417"/>
      <c r="AP1972" s="417"/>
      <c r="AQ1972" s="251" t="s">
        <v>6311</v>
      </c>
      <c r="AR1972" s="251" t="s">
        <v>6311</v>
      </c>
      <c r="AS1972" s="252" t="s">
        <v>5466</v>
      </c>
      <c r="AT1972" s="35" t="s">
        <v>266</v>
      </c>
      <c r="AU1972" s="33">
        <v>4</v>
      </c>
      <c r="AV1972" s="33">
        <v>24</v>
      </c>
      <c r="AW1972" s="33">
        <v>20</v>
      </c>
      <c r="AX1972" s="33">
        <v>28</v>
      </c>
      <c r="AY1972" s="262" t="s">
        <v>267</v>
      </c>
      <c r="AZ1972" s="33" t="s">
        <v>6212</v>
      </c>
      <c r="BA1972" s="33">
        <v>20</v>
      </c>
      <c r="BB1972" s="41" t="s">
        <v>6300</v>
      </c>
      <c r="BC1972" s="41" t="s">
        <v>5697</v>
      </c>
      <c r="BD1972" s="41"/>
      <c r="BE1972" s="33" t="s">
        <v>2449</v>
      </c>
      <c r="BF1972" s="33" t="s">
        <v>6203</v>
      </c>
      <c r="BG1972" s="33" t="s">
        <v>6203</v>
      </c>
      <c r="BH1972" s="33"/>
      <c r="BI1972" s="250"/>
      <c r="BJ1972" s="250"/>
      <c r="BK1972" s="254"/>
      <c r="BL1972" s="250"/>
      <c r="BM1972" s="33" t="s">
        <v>1584</v>
      </c>
      <c r="BN1972" s="33">
        <v>1.66</v>
      </c>
      <c r="BO1972" s="33"/>
      <c r="BP1972" s="33"/>
      <c r="BQ1972" s="33"/>
      <c r="BR1972" s="33"/>
      <c r="BS1972" s="33"/>
      <c r="BT1972" s="33"/>
      <c r="BU1972" s="246"/>
      <c r="BV1972" s="33"/>
      <c r="BW1972" s="33"/>
      <c r="BX1972" s="33"/>
      <c r="BY1972" s="33"/>
      <c r="BZ1972" s="33"/>
      <c r="CA1972" s="33"/>
      <c r="CB1972" s="33"/>
      <c r="CC1972" s="33"/>
      <c r="CD1972" s="33"/>
      <c r="CE1972" s="33"/>
      <c r="CF1972" s="33"/>
      <c r="CG1972" s="33"/>
      <c r="CH1972" s="33"/>
      <c r="CI1972" s="250">
        <f t="shared" si="622"/>
        <v>1.66</v>
      </c>
      <c r="CJ1972" s="243">
        <f t="shared" si="623"/>
        <v>0.22010808804005508</v>
      </c>
      <c r="CK1972" s="38" t="s">
        <v>404</v>
      </c>
      <c r="CL1972" s="247">
        <f t="shared" si="624"/>
        <v>0</v>
      </c>
      <c r="CM1972" s="247"/>
      <c r="CN1972" s="247"/>
      <c r="CO1972" s="41"/>
      <c r="CP1972" s="41" t="s">
        <v>8382</v>
      </c>
      <c r="CQ1972" s="241" t="s">
        <v>272</v>
      </c>
      <c r="CR1972" s="241"/>
      <c r="CS1972" s="33"/>
      <c r="CT1972" s="33"/>
      <c r="CU1972" s="250" t="s">
        <v>6310</v>
      </c>
      <c r="CV1972" s="337" t="s">
        <v>6310</v>
      </c>
      <c r="CW1972" s="330">
        <f t="shared" si="625"/>
        <v>1</v>
      </c>
      <c r="CX1972" s="330"/>
      <c r="CY1972" s="143" t="s">
        <v>5921</v>
      </c>
    </row>
    <row r="1973" spans="1:103" ht="14.45" customHeight="1" x14ac:dyDescent="0.2">
      <c r="A1973" s="72">
        <v>1971</v>
      </c>
      <c r="B1973" s="241">
        <v>111</v>
      </c>
      <c r="C1973" s="32" t="s">
        <v>694</v>
      </c>
      <c r="D1973" s="32"/>
      <c r="E1973" s="40"/>
      <c r="F1973" s="241" t="s">
        <v>6398</v>
      </c>
      <c r="G1973" s="241" t="s">
        <v>6398</v>
      </c>
      <c r="H1973" s="36" t="s">
        <v>695</v>
      </c>
      <c r="I1973" s="36" t="s">
        <v>7752</v>
      </c>
      <c r="J1973" s="36" t="s">
        <v>696</v>
      </c>
      <c r="K1973" s="36" t="s">
        <v>357</v>
      </c>
      <c r="L1973" s="36"/>
      <c r="M1973" s="36"/>
      <c r="N1973" s="36"/>
      <c r="O1973" s="36"/>
      <c r="P1973" s="41"/>
      <c r="Q1973" s="41"/>
      <c r="R1973" s="41"/>
      <c r="S1973" s="41"/>
      <c r="T1973" s="37">
        <v>318.32</v>
      </c>
      <c r="U1973" s="243"/>
      <c r="V1973" s="243">
        <v>2.1619753706961551</v>
      </c>
      <c r="W1973" s="243">
        <v>1.5488166189124803</v>
      </c>
      <c r="X1973" s="243">
        <f>IF(W1973=0,V1973,W1973)</f>
        <v>1.5488166189124803</v>
      </c>
      <c r="Y1973" s="414">
        <v>7</v>
      </c>
      <c r="Z1973" s="37">
        <v>1.34</v>
      </c>
      <c r="AA1973" s="37"/>
      <c r="AB1973" s="37">
        <v>1.51</v>
      </c>
      <c r="AC1973" s="37">
        <v>0.75149999999999995</v>
      </c>
      <c r="AD1973" s="37">
        <v>2.16</v>
      </c>
      <c r="AE1973" s="37">
        <v>3.73</v>
      </c>
      <c r="AF1973" s="37">
        <f t="shared" si="626"/>
        <v>2.16</v>
      </c>
      <c r="AG1973" s="38">
        <v>0.97</v>
      </c>
      <c r="AH1973" s="243">
        <v>6.9099999999999999E-11</v>
      </c>
      <c r="AI1973" s="243"/>
      <c r="AJ1973" s="34">
        <f>LOG10(AH1973*1000/(0.08206*298.15))</f>
        <v>-8.5490882789384539</v>
      </c>
      <c r="AK1973" s="34"/>
      <c r="AL1973" s="34">
        <f>IF(AK1973=0,AJ1973,AK1973)</f>
        <v>-8.5490882789384539</v>
      </c>
      <c r="AM1973" s="34">
        <v>-12.35515</v>
      </c>
      <c r="AN1973" s="244">
        <v>-10</v>
      </c>
      <c r="AO1973" s="417"/>
      <c r="AP1973" s="417"/>
      <c r="AQ1973" s="244" t="s">
        <v>6311</v>
      </c>
      <c r="AR1973" s="244" t="s">
        <v>6311</v>
      </c>
      <c r="AS1973" s="241" t="s">
        <v>63</v>
      </c>
      <c r="AT1973" s="39" t="s">
        <v>266</v>
      </c>
      <c r="AU1973" s="37">
        <v>0</v>
      </c>
      <c r="AV1973" s="37" t="s">
        <v>646</v>
      </c>
      <c r="AW1973" s="37" t="s">
        <v>646</v>
      </c>
      <c r="AX1973" s="37">
        <v>26</v>
      </c>
      <c r="AY1973" s="37" t="s">
        <v>647</v>
      </c>
      <c r="AZ1973" s="37" t="s">
        <v>536</v>
      </c>
      <c r="BA1973" s="37">
        <v>20</v>
      </c>
      <c r="BB1973" s="36" t="s">
        <v>537</v>
      </c>
      <c r="BC1973" s="36" t="s">
        <v>648</v>
      </c>
      <c r="BD1973" s="36"/>
      <c r="BE1973" s="245" t="s">
        <v>649</v>
      </c>
      <c r="BF1973" s="245" t="s">
        <v>650</v>
      </c>
      <c r="BG1973" s="245" t="s">
        <v>540</v>
      </c>
      <c r="BH1973" s="245" t="s">
        <v>272</v>
      </c>
      <c r="BI1973" s="243">
        <v>2.5089999999999999</v>
      </c>
      <c r="BJ1973" s="243">
        <v>7.93</v>
      </c>
      <c r="BK1973" s="37"/>
      <c r="BL1973" s="243">
        <f>10^((-0.8981*Z1973)+1.7108)</f>
        <v>3.2162218642919709</v>
      </c>
      <c r="BM1973" s="37" t="s">
        <v>541</v>
      </c>
      <c r="BN1973" s="37"/>
      <c r="BO1973" s="37">
        <v>4.01</v>
      </c>
      <c r="BP1973" s="37"/>
      <c r="BQ1973" s="37"/>
      <c r="BR1973" s="37"/>
      <c r="BS1973" s="37"/>
      <c r="BT1973" s="37"/>
      <c r="BU1973" s="246"/>
      <c r="BV1973" s="37"/>
      <c r="BW1973" s="37"/>
      <c r="BX1973" s="37"/>
      <c r="BY1973" s="37"/>
      <c r="BZ1973" s="37"/>
      <c r="CA1973" s="37"/>
      <c r="CB1973" s="37"/>
      <c r="CC1973" s="37"/>
      <c r="CD1973" s="37"/>
      <c r="CE1973" s="37"/>
      <c r="CF1973" s="37"/>
      <c r="CG1973" s="37"/>
      <c r="CH1973" s="37"/>
      <c r="CI1973" s="243">
        <f t="shared" si="622"/>
        <v>4.01</v>
      </c>
      <c r="CJ1973" s="243">
        <f t="shared" si="623"/>
        <v>0.60314437262018228</v>
      </c>
      <c r="CK1973" s="38">
        <f t="shared" ref="CK1973:CK1993" si="627">BL1973/BJ1973</f>
        <v>0.40557652765346419</v>
      </c>
      <c r="CL1973" s="247">
        <f t="shared" si="624"/>
        <v>0.80205034022243671</v>
      </c>
      <c r="CM1973" s="247"/>
      <c r="CN1973" s="247"/>
      <c r="CO1973" s="36"/>
      <c r="CP1973" s="36" t="s">
        <v>651</v>
      </c>
      <c r="CQ1973" s="241" t="s">
        <v>272</v>
      </c>
      <c r="CR1973" s="241"/>
      <c r="CS1973" s="33"/>
      <c r="CT1973" s="33"/>
      <c r="CU1973" s="250">
        <f>X1973/CI1973</f>
        <v>0.38623855833228937</v>
      </c>
      <c r="CV1973" s="337">
        <f>X1973/BJ1973</f>
        <v>0.19531104904318794</v>
      </c>
      <c r="CW1973" s="330">
        <f t="shared" si="625"/>
        <v>0</v>
      </c>
      <c r="CX1973" s="330"/>
      <c r="CY1973" s="143" t="s">
        <v>5921</v>
      </c>
    </row>
    <row r="1974" spans="1:103" ht="12.75" customHeight="1" x14ac:dyDescent="0.2">
      <c r="A1974" s="72">
        <v>1972</v>
      </c>
      <c r="B1974" s="241">
        <v>2116</v>
      </c>
      <c r="C1974" s="32" t="s">
        <v>5818</v>
      </c>
      <c r="D1974" s="32"/>
      <c r="E1974" s="40"/>
      <c r="F1974" s="241" t="s">
        <v>6399</v>
      </c>
      <c r="G1974" s="241" t="s">
        <v>6399</v>
      </c>
      <c r="H1974" s="36"/>
      <c r="I1974" s="36"/>
      <c r="J1974" s="36"/>
      <c r="K1974" s="36"/>
      <c r="L1974" s="36"/>
      <c r="M1974" s="36"/>
      <c r="N1974" s="36"/>
      <c r="O1974" s="36"/>
      <c r="P1974" s="41"/>
      <c r="Q1974" s="41"/>
      <c r="R1974" s="41"/>
      <c r="S1974" s="41"/>
      <c r="T1974" s="37">
        <v>514</v>
      </c>
      <c r="U1974" s="243"/>
      <c r="V1974" s="243"/>
      <c r="W1974" s="243"/>
      <c r="X1974" s="243"/>
      <c r="Y1974" s="414"/>
      <c r="Z1974" s="37"/>
      <c r="AA1974" s="37"/>
      <c r="AB1974" s="37"/>
      <c r="AC1974" s="37"/>
      <c r="AD1974" s="37"/>
      <c r="AE1974" s="37"/>
      <c r="AF1974" s="37"/>
      <c r="AG1974" s="37">
        <v>1.972</v>
      </c>
      <c r="AH1974" s="243"/>
      <c r="AI1974" s="243"/>
      <c r="AJ1974" s="34"/>
      <c r="AK1974" s="34"/>
      <c r="AL1974" s="34"/>
      <c r="AM1974" s="34"/>
      <c r="AN1974" s="244"/>
      <c r="AO1974" s="417"/>
      <c r="AP1974" s="417"/>
      <c r="AQ1974" s="244" t="s">
        <v>6311</v>
      </c>
      <c r="AR1974" s="244" t="s">
        <v>6311</v>
      </c>
      <c r="AS1974" s="241" t="s">
        <v>5466</v>
      </c>
      <c r="AT1974" s="39" t="s">
        <v>266</v>
      </c>
      <c r="AU1974" s="37">
        <v>24</v>
      </c>
      <c r="AV1974" s="37">
        <v>96</v>
      </c>
      <c r="AW1974" s="37">
        <v>72</v>
      </c>
      <c r="AX1974" s="37">
        <v>26</v>
      </c>
      <c r="AY1974" s="37" t="s">
        <v>5799</v>
      </c>
      <c r="AZ1974" s="37" t="s">
        <v>5717</v>
      </c>
      <c r="BA1974" s="37">
        <v>72</v>
      </c>
      <c r="BB1974" s="36" t="s">
        <v>5666</v>
      </c>
      <c r="BC1974" s="36" t="s">
        <v>5721</v>
      </c>
      <c r="BD1974" s="36"/>
      <c r="BE1974" s="37" t="s">
        <v>1584</v>
      </c>
      <c r="BF1974" s="37"/>
      <c r="BG1974" s="37"/>
      <c r="BH1974" s="37"/>
      <c r="BI1974" s="243">
        <v>1.2500000000000001E-2</v>
      </c>
      <c r="BJ1974" s="243">
        <v>1.25</v>
      </c>
      <c r="BK1974" s="37"/>
      <c r="BL1974" s="243"/>
      <c r="BM1974" s="37"/>
      <c r="BN1974" s="37"/>
      <c r="BO1974" s="37"/>
      <c r="BP1974" s="37"/>
      <c r="BQ1974" s="37"/>
      <c r="BR1974" s="37"/>
      <c r="BS1974" s="37"/>
      <c r="BT1974" s="37"/>
      <c r="BU1974" s="246"/>
      <c r="BV1974" s="37"/>
      <c r="BW1974" s="37"/>
      <c r="BX1974" s="37"/>
      <c r="BY1974" s="37"/>
      <c r="BZ1974" s="37"/>
      <c r="CA1974" s="37">
        <v>0.21992</v>
      </c>
      <c r="CB1974" s="37"/>
      <c r="CC1974" s="37"/>
      <c r="CD1974" s="37"/>
      <c r="CE1974" s="37"/>
      <c r="CF1974" s="37"/>
      <c r="CG1974" s="37"/>
      <c r="CH1974" s="37"/>
      <c r="CI1974" s="243">
        <f t="shared" si="622"/>
        <v>0.21992</v>
      </c>
      <c r="CJ1974" s="243">
        <f t="shared" si="623"/>
        <v>-0.65773527316458791</v>
      </c>
      <c r="CK1974" s="38">
        <f t="shared" si="627"/>
        <v>0</v>
      </c>
      <c r="CL1974" s="38">
        <f t="shared" si="624"/>
        <v>0</v>
      </c>
      <c r="CM1974" s="247"/>
      <c r="CN1974" s="247"/>
      <c r="CO1974" s="36"/>
      <c r="CP1974" s="36" t="s">
        <v>5800</v>
      </c>
      <c r="CQ1974" s="241" t="s">
        <v>272</v>
      </c>
      <c r="CR1974" s="241"/>
      <c r="CS1974" s="33"/>
      <c r="CT1974" s="33"/>
      <c r="CU1974" s="250" t="s">
        <v>6310</v>
      </c>
      <c r="CV1974" s="337" t="s">
        <v>6310</v>
      </c>
      <c r="CW1974" s="330">
        <f t="shared" si="625"/>
        <v>1</v>
      </c>
      <c r="CX1974" s="330"/>
      <c r="CY1974" s="143" t="s">
        <v>5921</v>
      </c>
    </row>
    <row r="1975" spans="1:103" ht="12.6" customHeight="1" x14ac:dyDescent="0.2">
      <c r="A1975" s="72">
        <v>1973</v>
      </c>
      <c r="B1975" s="241">
        <v>2104</v>
      </c>
      <c r="C1975" s="32" t="s">
        <v>5806</v>
      </c>
      <c r="D1975" s="32"/>
      <c r="E1975" s="40"/>
      <c r="F1975" s="241" t="s">
        <v>6400</v>
      </c>
      <c r="G1975" s="241" t="s">
        <v>6400</v>
      </c>
      <c r="H1975" s="36"/>
      <c r="I1975" s="36"/>
      <c r="J1975" s="36"/>
      <c r="K1975" s="36"/>
      <c r="L1975" s="36"/>
      <c r="M1975" s="36"/>
      <c r="N1975" s="36"/>
      <c r="O1975" s="36"/>
      <c r="P1975" s="41"/>
      <c r="Q1975" s="41"/>
      <c r="R1975" s="41"/>
      <c r="S1975" s="41"/>
      <c r="T1975" s="37">
        <v>469</v>
      </c>
      <c r="U1975" s="243"/>
      <c r="V1975" s="243"/>
      <c r="W1975" s="243"/>
      <c r="X1975" s="243"/>
      <c r="Y1975" s="414"/>
      <c r="Z1975" s="37"/>
      <c r="AA1975" s="37"/>
      <c r="AB1975" s="37"/>
      <c r="AC1975" s="37"/>
      <c r="AD1975" s="37"/>
      <c r="AE1975" s="37"/>
      <c r="AF1975" s="37"/>
      <c r="AG1975" s="37">
        <v>2.0369999999999999</v>
      </c>
      <c r="AH1975" s="243"/>
      <c r="AI1975" s="243"/>
      <c r="AJ1975" s="34"/>
      <c r="AK1975" s="34"/>
      <c r="AL1975" s="34"/>
      <c r="AM1975" s="34"/>
      <c r="AN1975" s="244"/>
      <c r="AO1975" s="417"/>
      <c r="AP1975" s="417"/>
      <c r="AQ1975" s="244" t="s">
        <v>6311</v>
      </c>
      <c r="AR1975" s="244" t="s">
        <v>6311</v>
      </c>
      <c r="AS1975" s="241" t="s">
        <v>5466</v>
      </c>
      <c r="AT1975" s="39" t="s">
        <v>266</v>
      </c>
      <c r="AU1975" s="37">
        <v>24</v>
      </c>
      <c r="AV1975" s="37">
        <v>96</v>
      </c>
      <c r="AW1975" s="37">
        <v>72</v>
      </c>
      <c r="AX1975" s="37">
        <v>26</v>
      </c>
      <c r="AY1975" s="37" t="s">
        <v>5799</v>
      </c>
      <c r="AZ1975" s="37" t="s">
        <v>5717</v>
      </c>
      <c r="BA1975" s="37">
        <v>72</v>
      </c>
      <c r="BB1975" s="36" t="s">
        <v>5666</v>
      </c>
      <c r="BC1975" s="36" t="s">
        <v>5721</v>
      </c>
      <c r="BD1975" s="36"/>
      <c r="BE1975" s="37" t="s">
        <v>1584</v>
      </c>
      <c r="BF1975" s="37"/>
      <c r="BG1975" s="37"/>
      <c r="BH1975" s="37"/>
      <c r="BI1975" s="243">
        <v>1.2500000000000001E-2</v>
      </c>
      <c r="BJ1975" s="243">
        <v>1.25</v>
      </c>
      <c r="BK1975" s="37"/>
      <c r="BL1975" s="243"/>
      <c r="BM1975" s="37"/>
      <c r="BN1975" s="37"/>
      <c r="BO1975" s="37"/>
      <c r="BP1975" s="37"/>
      <c r="BQ1975" s="37"/>
      <c r="BR1975" s="37"/>
      <c r="BS1975" s="37"/>
      <c r="BT1975" s="37"/>
      <c r="BU1975" s="246"/>
      <c r="BV1975" s="37"/>
      <c r="BW1975" s="37"/>
      <c r="BX1975" s="37"/>
      <c r="BY1975" s="37"/>
      <c r="BZ1975" s="37"/>
      <c r="CA1975" s="37">
        <v>0.21951999999999999</v>
      </c>
      <c r="CB1975" s="37"/>
      <c r="CC1975" s="37"/>
      <c r="CD1975" s="37"/>
      <c r="CE1975" s="37"/>
      <c r="CF1975" s="37"/>
      <c r="CG1975" s="37"/>
      <c r="CH1975" s="37"/>
      <c r="CI1975" s="243">
        <f t="shared" si="622"/>
        <v>0.21951999999999999</v>
      </c>
      <c r="CJ1975" s="243">
        <f t="shared" si="623"/>
        <v>-0.65852590597334237</v>
      </c>
      <c r="CK1975" s="38">
        <f t="shared" si="627"/>
        <v>0</v>
      </c>
      <c r="CL1975" s="38">
        <f t="shared" si="624"/>
        <v>0</v>
      </c>
      <c r="CM1975" s="247"/>
      <c r="CN1975" s="247"/>
      <c r="CO1975" s="36"/>
      <c r="CP1975" s="36" t="s">
        <v>5800</v>
      </c>
      <c r="CQ1975" s="241" t="s">
        <v>272</v>
      </c>
      <c r="CR1975" s="241"/>
      <c r="CS1975" s="33"/>
      <c r="CT1975" s="33"/>
      <c r="CU1975" s="250" t="s">
        <v>6310</v>
      </c>
      <c r="CV1975" s="337" t="s">
        <v>6310</v>
      </c>
      <c r="CW1975" s="330">
        <f t="shared" si="625"/>
        <v>1</v>
      </c>
      <c r="CX1975" s="330"/>
      <c r="CY1975" s="143" t="s">
        <v>5921</v>
      </c>
    </row>
    <row r="1976" spans="1:103" ht="12.6" customHeight="1" x14ac:dyDescent="0.2">
      <c r="A1976" s="72">
        <v>1974</v>
      </c>
      <c r="B1976" s="241">
        <v>2105</v>
      </c>
      <c r="C1976" s="32" t="s">
        <v>5807</v>
      </c>
      <c r="D1976" s="32"/>
      <c r="E1976" s="40"/>
      <c r="F1976" s="241" t="s">
        <v>6401</v>
      </c>
      <c r="G1976" s="241" t="s">
        <v>6401</v>
      </c>
      <c r="H1976" s="36"/>
      <c r="I1976" s="36"/>
      <c r="J1976" s="36"/>
      <c r="K1976" s="36"/>
      <c r="L1976" s="36"/>
      <c r="M1976" s="36"/>
      <c r="N1976" s="36"/>
      <c r="O1976" s="36"/>
      <c r="P1976" s="41"/>
      <c r="Q1976" s="41"/>
      <c r="R1976" s="41"/>
      <c r="S1976" s="41"/>
      <c r="T1976" s="37">
        <v>439</v>
      </c>
      <c r="U1976" s="243"/>
      <c r="V1976" s="243"/>
      <c r="W1976" s="243"/>
      <c r="X1976" s="243"/>
      <c r="Y1976" s="414"/>
      <c r="Z1976" s="37"/>
      <c r="AA1976" s="37"/>
      <c r="AB1976" s="37"/>
      <c r="AC1976" s="37"/>
      <c r="AD1976" s="37"/>
      <c r="AE1976" s="37"/>
      <c r="AF1976" s="37"/>
      <c r="AG1976" s="37">
        <v>2.052</v>
      </c>
      <c r="AH1976" s="243"/>
      <c r="AI1976" s="243"/>
      <c r="AJ1976" s="34"/>
      <c r="AK1976" s="34"/>
      <c r="AL1976" s="34"/>
      <c r="AM1976" s="34"/>
      <c r="AN1976" s="244"/>
      <c r="AO1976" s="417"/>
      <c r="AP1976" s="417"/>
      <c r="AQ1976" s="244" t="s">
        <v>6311</v>
      </c>
      <c r="AR1976" s="244" t="s">
        <v>6311</v>
      </c>
      <c r="AS1976" s="241" t="s">
        <v>5466</v>
      </c>
      <c r="AT1976" s="39" t="s">
        <v>266</v>
      </c>
      <c r="AU1976" s="37">
        <v>24</v>
      </c>
      <c r="AV1976" s="37">
        <v>96</v>
      </c>
      <c r="AW1976" s="37">
        <v>72</v>
      </c>
      <c r="AX1976" s="37">
        <v>26</v>
      </c>
      <c r="AY1976" s="37" t="s">
        <v>5799</v>
      </c>
      <c r="AZ1976" s="37" t="s">
        <v>5717</v>
      </c>
      <c r="BA1976" s="37">
        <v>72</v>
      </c>
      <c r="BB1976" s="36" t="s">
        <v>5666</v>
      </c>
      <c r="BC1976" s="36" t="s">
        <v>5721</v>
      </c>
      <c r="BD1976" s="36"/>
      <c r="BE1976" s="37" t="s">
        <v>1584</v>
      </c>
      <c r="BF1976" s="37"/>
      <c r="BG1976" s="37"/>
      <c r="BH1976" s="37"/>
      <c r="BI1976" s="243">
        <v>1.2500000000000001E-2</v>
      </c>
      <c r="BJ1976" s="243">
        <v>1.25</v>
      </c>
      <c r="BK1976" s="37"/>
      <c r="BL1976" s="243"/>
      <c r="BM1976" s="37"/>
      <c r="BN1976" s="37"/>
      <c r="BO1976" s="37"/>
      <c r="BP1976" s="37"/>
      <c r="BQ1976" s="37"/>
      <c r="BR1976" s="37"/>
      <c r="BS1976" s="37"/>
      <c r="BT1976" s="37"/>
      <c r="BU1976" s="246"/>
      <c r="BV1976" s="37"/>
      <c r="BW1976" s="37"/>
      <c r="BX1976" s="37"/>
      <c r="BY1976" s="37"/>
      <c r="BZ1976" s="37"/>
      <c r="CA1976" s="37">
        <v>0.28045999999999999</v>
      </c>
      <c r="CB1976" s="37"/>
      <c r="CC1976" s="37"/>
      <c r="CD1976" s="37"/>
      <c r="CE1976" s="37"/>
      <c r="CF1976" s="37"/>
      <c r="CG1976" s="37"/>
      <c r="CH1976" s="37"/>
      <c r="CI1976" s="243">
        <f t="shared" si="622"/>
        <v>0.28045999999999999</v>
      </c>
      <c r="CJ1976" s="243">
        <f t="shared" si="623"/>
        <v>-0.55212907030095149</v>
      </c>
      <c r="CK1976" s="38">
        <f t="shared" si="627"/>
        <v>0</v>
      </c>
      <c r="CL1976" s="38">
        <f t="shared" si="624"/>
        <v>0</v>
      </c>
      <c r="CM1976" s="247"/>
      <c r="CN1976" s="247"/>
      <c r="CO1976" s="36"/>
      <c r="CP1976" s="36" t="s">
        <v>5800</v>
      </c>
      <c r="CQ1976" s="241" t="s">
        <v>272</v>
      </c>
      <c r="CR1976" s="241"/>
      <c r="CS1976" s="33"/>
      <c r="CT1976" s="33"/>
      <c r="CU1976" s="250" t="s">
        <v>6310</v>
      </c>
      <c r="CV1976" s="337" t="s">
        <v>6310</v>
      </c>
      <c r="CW1976" s="330">
        <f t="shared" si="625"/>
        <v>1</v>
      </c>
      <c r="CX1976" s="330"/>
      <c r="CY1976" s="143" t="s">
        <v>5921</v>
      </c>
    </row>
    <row r="1977" spans="1:103" ht="12.6" customHeight="1" x14ac:dyDescent="0.2">
      <c r="A1977" s="72">
        <v>1975</v>
      </c>
      <c r="B1977" s="241">
        <v>2098</v>
      </c>
      <c r="C1977" s="32" t="s">
        <v>5798</v>
      </c>
      <c r="D1977" s="32"/>
      <c r="E1977" s="40"/>
      <c r="F1977" s="241" t="s">
        <v>6402</v>
      </c>
      <c r="G1977" s="241" t="s">
        <v>6402</v>
      </c>
      <c r="H1977" s="36"/>
      <c r="I1977" s="36"/>
      <c r="J1977" s="36"/>
      <c r="K1977" s="36"/>
      <c r="L1977" s="36"/>
      <c r="M1977" s="36"/>
      <c r="N1977" s="36"/>
      <c r="O1977" s="36"/>
      <c r="P1977" s="41"/>
      <c r="Q1977" s="41"/>
      <c r="R1977" s="41"/>
      <c r="S1977" s="41"/>
      <c r="T1977" s="37">
        <v>439</v>
      </c>
      <c r="U1977" s="243"/>
      <c r="V1977" s="243"/>
      <c r="W1977" s="243"/>
      <c r="X1977" s="243"/>
      <c r="Y1977" s="414"/>
      <c r="Z1977" s="37"/>
      <c r="AA1977" s="37"/>
      <c r="AB1977" s="37"/>
      <c r="AC1977" s="37"/>
      <c r="AD1977" s="37"/>
      <c r="AE1977" s="37"/>
      <c r="AF1977" s="37"/>
      <c r="AG1977" s="37">
        <v>2.0779999999999998</v>
      </c>
      <c r="AH1977" s="243"/>
      <c r="AI1977" s="243"/>
      <c r="AJ1977" s="34"/>
      <c r="AK1977" s="34"/>
      <c r="AL1977" s="34"/>
      <c r="AM1977" s="34"/>
      <c r="AN1977" s="244"/>
      <c r="AO1977" s="417"/>
      <c r="AP1977" s="417"/>
      <c r="AQ1977" s="244" t="s">
        <v>6311</v>
      </c>
      <c r="AR1977" s="244" t="s">
        <v>6311</v>
      </c>
      <c r="AS1977" s="241" t="s">
        <v>5466</v>
      </c>
      <c r="AT1977" s="39" t="s">
        <v>266</v>
      </c>
      <c r="AU1977" s="37">
        <v>24</v>
      </c>
      <c r="AV1977" s="37">
        <v>96</v>
      </c>
      <c r="AW1977" s="37">
        <v>72</v>
      </c>
      <c r="AX1977" s="37">
        <v>26</v>
      </c>
      <c r="AY1977" s="37" t="s">
        <v>5799</v>
      </c>
      <c r="AZ1977" s="37" t="s">
        <v>5717</v>
      </c>
      <c r="BA1977" s="37">
        <v>72</v>
      </c>
      <c r="BB1977" s="36" t="s">
        <v>5666</v>
      </c>
      <c r="BC1977" s="36" t="s">
        <v>5721</v>
      </c>
      <c r="BD1977" s="36"/>
      <c r="BE1977" s="37" t="s">
        <v>1584</v>
      </c>
      <c r="BF1977" s="37"/>
      <c r="BG1977" s="37"/>
      <c r="BH1977" s="37"/>
      <c r="BI1977" s="243">
        <v>1.2500000000000001E-2</v>
      </c>
      <c r="BJ1977" s="243">
        <v>1.25</v>
      </c>
      <c r="BK1977" s="37"/>
      <c r="BL1977" s="243"/>
      <c r="BM1977" s="37"/>
      <c r="BN1977" s="37"/>
      <c r="BO1977" s="37"/>
      <c r="BP1977" s="37"/>
      <c r="BQ1977" s="37"/>
      <c r="BR1977" s="37"/>
      <c r="BS1977" s="37"/>
      <c r="BT1977" s="37"/>
      <c r="BU1977" s="246"/>
      <c r="BV1977" s="37"/>
      <c r="BW1977" s="37"/>
      <c r="BX1977" s="37"/>
      <c r="BY1977" s="37"/>
      <c r="BZ1977" s="37"/>
      <c r="CA1977" s="37">
        <v>0.11083</v>
      </c>
      <c r="CB1977" s="37"/>
      <c r="CC1977" s="37"/>
      <c r="CD1977" s="37"/>
      <c r="CE1977" s="37"/>
      <c r="CF1977" s="37"/>
      <c r="CG1977" s="37"/>
      <c r="CH1977" s="37"/>
      <c r="CI1977" s="243">
        <f t="shared" si="622"/>
        <v>0.11083</v>
      </c>
      <c r="CJ1977" s="243">
        <f t="shared" si="623"/>
        <v>-0.95534266676513391</v>
      </c>
      <c r="CK1977" s="38">
        <f t="shared" si="627"/>
        <v>0</v>
      </c>
      <c r="CL1977" s="38">
        <f t="shared" si="624"/>
        <v>0</v>
      </c>
      <c r="CM1977" s="247"/>
      <c r="CN1977" s="247"/>
      <c r="CO1977" s="36"/>
      <c r="CP1977" s="36" t="s">
        <v>5800</v>
      </c>
      <c r="CQ1977" s="241" t="s">
        <v>272</v>
      </c>
      <c r="CR1977" s="241"/>
      <c r="CS1977" s="33"/>
      <c r="CT1977" s="33"/>
      <c r="CU1977" s="250" t="s">
        <v>6310</v>
      </c>
      <c r="CV1977" s="337" t="s">
        <v>6310</v>
      </c>
      <c r="CW1977" s="330">
        <f t="shared" si="625"/>
        <v>1</v>
      </c>
      <c r="CX1977" s="330"/>
      <c r="CY1977" s="143" t="s">
        <v>5921</v>
      </c>
    </row>
    <row r="1978" spans="1:103" ht="12.6" customHeight="1" x14ac:dyDescent="0.2">
      <c r="A1978" s="72">
        <v>1976</v>
      </c>
      <c r="B1978" s="241">
        <v>2117</v>
      </c>
      <c r="C1978" s="32" t="s">
        <v>5819</v>
      </c>
      <c r="D1978" s="32"/>
      <c r="E1978" s="40"/>
      <c r="F1978" s="241" t="s">
        <v>6403</v>
      </c>
      <c r="G1978" s="241" t="s">
        <v>6403</v>
      </c>
      <c r="H1978" s="36"/>
      <c r="I1978" s="36"/>
      <c r="J1978" s="36"/>
      <c r="K1978" s="36"/>
      <c r="L1978" s="36"/>
      <c r="M1978" s="36"/>
      <c r="N1978" s="36"/>
      <c r="O1978" s="36"/>
      <c r="P1978" s="41"/>
      <c r="Q1978" s="41"/>
      <c r="R1978" s="41"/>
      <c r="S1978" s="41"/>
      <c r="T1978" s="37">
        <v>468</v>
      </c>
      <c r="U1978" s="243"/>
      <c r="V1978" s="243"/>
      <c r="W1978" s="243"/>
      <c r="X1978" s="243"/>
      <c r="Y1978" s="414"/>
      <c r="Z1978" s="37"/>
      <c r="AA1978" s="37"/>
      <c r="AB1978" s="37"/>
      <c r="AC1978" s="37"/>
      <c r="AD1978" s="37"/>
      <c r="AE1978" s="37"/>
      <c r="AF1978" s="37"/>
      <c r="AG1978" s="37">
        <v>2.2309999999999999</v>
      </c>
      <c r="AH1978" s="243"/>
      <c r="AI1978" s="243"/>
      <c r="AJ1978" s="34"/>
      <c r="AK1978" s="34"/>
      <c r="AL1978" s="34"/>
      <c r="AM1978" s="34"/>
      <c r="AN1978" s="244"/>
      <c r="AO1978" s="417"/>
      <c r="AP1978" s="417"/>
      <c r="AQ1978" s="244" t="s">
        <v>6311</v>
      </c>
      <c r="AR1978" s="244" t="s">
        <v>6311</v>
      </c>
      <c r="AS1978" s="241" t="s">
        <v>5466</v>
      </c>
      <c r="AT1978" s="39" t="s">
        <v>266</v>
      </c>
      <c r="AU1978" s="37">
        <v>24</v>
      </c>
      <c r="AV1978" s="37">
        <v>96</v>
      </c>
      <c r="AW1978" s="37">
        <v>72</v>
      </c>
      <c r="AX1978" s="37">
        <v>26</v>
      </c>
      <c r="AY1978" s="37" t="s">
        <v>5799</v>
      </c>
      <c r="AZ1978" s="37" t="s">
        <v>5717</v>
      </c>
      <c r="BA1978" s="37">
        <v>72</v>
      </c>
      <c r="BB1978" s="36" t="s">
        <v>5666</v>
      </c>
      <c r="BC1978" s="36" t="s">
        <v>5721</v>
      </c>
      <c r="BD1978" s="36"/>
      <c r="BE1978" s="37" t="s">
        <v>1584</v>
      </c>
      <c r="BF1978" s="37"/>
      <c r="BG1978" s="37"/>
      <c r="BH1978" s="37"/>
      <c r="BI1978" s="243">
        <v>1.2500000000000001E-2</v>
      </c>
      <c r="BJ1978" s="243">
        <v>1.25</v>
      </c>
      <c r="BK1978" s="37"/>
      <c r="BL1978" s="243"/>
      <c r="BM1978" s="37"/>
      <c r="BN1978" s="37"/>
      <c r="BO1978" s="37"/>
      <c r="BP1978" s="37"/>
      <c r="BQ1978" s="37"/>
      <c r="BR1978" s="37"/>
      <c r="BS1978" s="37"/>
      <c r="BT1978" s="37"/>
      <c r="BU1978" s="246"/>
      <c r="BV1978" s="37"/>
      <c r="BW1978" s="37"/>
      <c r="BX1978" s="37"/>
      <c r="BY1978" s="37"/>
      <c r="BZ1978" s="37"/>
      <c r="CA1978" s="37">
        <v>0.29255999999999999</v>
      </c>
      <c r="CB1978" s="37"/>
      <c r="CC1978" s="37"/>
      <c r="CD1978" s="37"/>
      <c r="CE1978" s="37"/>
      <c r="CF1978" s="37"/>
      <c r="CG1978" s="37"/>
      <c r="CH1978" s="37"/>
      <c r="CI1978" s="243">
        <f t="shared" si="622"/>
        <v>0.29255999999999999</v>
      </c>
      <c r="CJ1978" s="243">
        <f t="shared" si="623"/>
        <v>-0.53378505267001208</v>
      </c>
      <c r="CK1978" s="38">
        <f t="shared" si="627"/>
        <v>0</v>
      </c>
      <c r="CL1978" s="38">
        <f t="shared" si="624"/>
        <v>0</v>
      </c>
      <c r="CM1978" s="247"/>
      <c r="CN1978" s="247"/>
      <c r="CO1978" s="36"/>
      <c r="CP1978" s="36" t="s">
        <v>5800</v>
      </c>
      <c r="CQ1978" s="241" t="s">
        <v>272</v>
      </c>
      <c r="CR1978" s="241"/>
      <c r="CS1978" s="33"/>
      <c r="CT1978" s="33"/>
      <c r="CU1978" s="250" t="s">
        <v>6310</v>
      </c>
      <c r="CV1978" s="337" t="s">
        <v>6310</v>
      </c>
      <c r="CW1978" s="330">
        <f t="shared" si="625"/>
        <v>1</v>
      </c>
      <c r="CX1978" s="330"/>
      <c r="CY1978" s="143" t="s">
        <v>5921</v>
      </c>
    </row>
    <row r="1979" spans="1:103" ht="12.6" customHeight="1" x14ac:dyDescent="0.2">
      <c r="A1979" s="72">
        <v>1977</v>
      </c>
      <c r="B1979" s="241">
        <v>2106</v>
      </c>
      <c r="C1979" s="32" t="s">
        <v>5808</v>
      </c>
      <c r="D1979" s="32"/>
      <c r="E1979" s="40"/>
      <c r="F1979" s="241" t="s">
        <v>6406</v>
      </c>
      <c r="G1979" s="241" t="s">
        <v>6406</v>
      </c>
      <c r="H1979" s="36"/>
      <c r="I1979" s="36"/>
      <c r="J1979" s="36"/>
      <c r="K1979" s="36"/>
      <c r="L1979" s="36"/>
      <c r="M1979" s="36"/>
      <c r="N1979" s="36"/>
      <c r="O1979" s="36"/>
      <c r="P1979" s="41"/>
      <c r="Q1979" s="41"/>
      <c r="R1979" s="41"/>
      <c r="S1979" s="41"/>
      <c r="T1979" s="37">
        <v>423</v>
      </c>
      <c r="U1979" s="243"/>
      <c r="V1979" s="243"/>
      <c r="W1979" s="243"/>
      <c r="X1979" s="243"/>
      <c r="Y1979" s="414"/>
      <c r="Z1979" s="37"/>
      <c r="AA1979" s="37"/>
      <c r="AB1979" s="37"/>
      <c r="AC1979" s="37"/>
      <c r="AD1979" s="37"/>
      <c r="AE1979" s="37"/>
      <c r="AF1979" s="37"/>
      <c r="AG1979" s="37">
        <v>2.2959999999999998</v>
      </c>
      <c r="AH1979" s="243"/>
      <c r="AI1979" s="243"/>
      <c r="AJ1979" s="34"/>
      <c r="AK1979" s="34"/>
      <c r="AL1979" s="34"/>
      <c r="AM1979" s="34"/>
      <c r="AN1979" s="244"/>
      <c r="AO1979" s="417"/>
      <c r="AP1979" s="417"/>
      <c r="AQ1979" s="244" t="s">
        <v>6311</v>
      </c>
      <c r="AR1979" s="244" t="s">
        <v>6311</v>
      </c>
      <c r="AS1979" s="241" t="s">
        <v>5466</v>
      </c>
      <c r="AT1979" s="39" t="s">
        <v>266</v>
      </c>
      <c r="AU1979" s="37">
        <v>24</v>
      </c>
      <c r="AV1979" s="37">
        <v>96</v>
      </c>
      <c r="AW1979" s="37">
        <v>72</v>
      </c>
      <c r="AX1979" s="37">
        <v>26</v>
      </c>
      <c r="AY1979" s="37" t="s">
        <v>5799</v>
      </c>
      <c r="AZ1979" s="37" t="s">
        <v>5717</v>
      </c>
      <c r="BA1979" s="37">
        <v>72</v>
      </c>
      <c r="BB1979" s="36" t="s">
        <v>5666</v>
      </c>
      <c r="BC1979" s="36" t="s">
        <v>5721</v>
      </c>
      <c r="BD1979" s="36"/>
      <c r="BE1979" s="37" t="s">
        <v>1584</v>
      </c>
      <c r="BF1979" s="37"/>
      <c r="BG1979" s="37"/>
      <c r="BH1979" s="37"/>
      <c r="BI1979" s="243">
        <v>1.2500000000000001E-2</v>
      </c>
      <c r="BJ1979" s="243">
        <v>1.25</v>
      </c>
      <c r="BK1979" s="37"/>
      <c r="BL1979" s="243"/>
      <c r="BM1979" s="37"/>
      <c r="BN1979" s="37"/>
      <c r="BO1979" s="37"/>
      <c r="BP1979" s="37"/>
      <c r="BQ1979" s="37"/>
      <c r="BR1979" s="37"/>
      <c r="BS1979" s="37"/>
      <c r="BT1979" s="37"/>
      <c r="BU1979" s="246"/>
      <c r="BV1979" s="37"/>
      <c r="BW1979" s="37"/>
      <c r="BX1979" s="37"/>
      <c r="BY1979" s="37"/>
      <c r="BZ1979" s="37"/>
      <c r="CA1979" s="37">
        <v>0.22277</v>
      </c>
      <c r="CB1979" s="37"/>
      <c r="CC1979" s="37"/>
      <c r="CD1979" s="37"/>
      <c r="CE1979" s="37"/>
      <c r="CF1979" s="37"/>
      <c r="CG1979" s="37"/>
      <c r="CH1979" s="37"/>
      <c r="CI1979" s="243">
        <f t="shared" si="622"/>
        <v>0.22277</v>
      </c>
      <c r="CJ1979" s="243">
        <f t="shared" si="623"/>
        <v>-0.65214329514867475</v>
      </c>
      <c r="CK1979" s="38">
        <f t="shared" si="627"/>
        <v>0</v>
      </c>
      <c r="CL1979" s="38">
        <f t="shared" si="624"/>
        <v>0</v>
      </c>
      <c r="CM1979" s="247"/>
      <c r="CN1979" s="247"/>
      <c r="CO1979" s="36"/>
      <c r="CP1979" s="36" t="s">
        <v>5800</v>
      </c>
      <c r="CQ1979" s="241" t="s">
        <v>272</v>
      </c>
      <c r="CR1979" s="241"/>
      <c r="CS1979" s="33"/>
      <c r="CT1979" s="33"/>
      <c r="CU1979" s="250" t="s">
        <v>6310</v>
      </c>
      <c r="CV1979" s="337" t="s">
        <v>6310</v>
      </c>
      <c r="CW1979" s="330">
        <f t="shared" si="625"/>
        <v>1</v>
      </c>
      <c r="CX1979" s="330"/>
      <c r="CY1979" s="143" t="s">
        <v>5921</v>
      </c>
    </row>
    <row r="1980" spans="1:103" ht="12.6" customHeight="1" x14ac:dyDescent="0.2">
      <c r="A1980" s="72">
        <v>1978</v>
      </c>
      <c r="B1980" s="241">
        <v>2110</v>
      </c>
      <c r="C1980" s="32" t="s">
        <v>5812</v>
      </c>
      <c r="D1980" s="32"/>
      <c r="E1980" s="40"/>
      <c r="F1980" s="241" t="s">
        <v>6404</v>
      </c>
      <c r="G1980" s="241" t="s">
        <v>6404</v>
      </c>
      <c r="H1980" s="36"/>
      <c r="I1980" s="36"/>
      <c r="J1980" s="36"/>
      <c r="K1980" s="36"/>
      <c r="L1980" s="36"/>
      <c r="M1980" s="36"/>
      <c r="N1980" s="36"/>
      <c r="O1980" s="36"/>
      <c r="P1980" s="41"/>
      <c r="Q1980" s="41"/>
      <c r="R1980" s="41"/>
      <c r="S1980" s="41"/>
      <c r="T1980" s="37">
        <v>503</v>
      </c>
      <c r="U1980" s="243"/>
      <c r="V1980" s="243"/>
      <c r="W1980" s="243"/>
      <c r="X1980" s="243"/>
      <c r="Y1980" s="414"/>
      <c r="Z1980" s="37"/>
      <c r="AA1980" s="37"/>
      <c r="AB1980" s="37"/>
      <c r="AC1980" s="37"/>
      <c r="AD1980" s="37"/>
      <c r="AE1980" s="37"/>
      <c r="AF1980" s="37"/>
      <c r="AG1980" s="37">
        <v>2.6909999999999998</v>
      </c>
      <c r="AH1980" s="243"/>
      <c r="AI1980" s="243"/>
      <c r="AJ1980" s="34"/>
      <c r="AK1980" s="34"/>
      <c r="AL1980" s="34"/>
      <c r="AM1980" s="34"/>
      <c r="AN1980" s="244"/>
      <c r="AO1980" s="417"/>
      <c r="AP1980" s="417"/>
      <c r="AQ1980" s="244" t="s">
        <v>6311</v>
      </c>
      <c r="AR1980" s="244" t="s">
        <v>6311</v>
      </c>
      <c r="AS1980" s="241" t="s">
        <v>5466</v>
      </c>
      <c r="AT1980" s="39" t="s">
        <v>266</v>
      </c>
      <c r="AU1980" s="37">
        <v>24</v>
      </c>
      <c r="AV1980" s="37">
        <v>96</v>
      </c>
      <c r="AW1980" s="37">
        <v>72</v>
      </c>
      <c r="AX1980" s="37">
        <v>26</v>
      </c>
      <c r="AY1980" s="37" t="s">
        <v>5799</v>
      </c>
      <c r="AZ1980" s="37" t="s">
        <v>5717</v>
      </c>
      <c r="BA1980" s="37">
        <v>72</v>
      </c>
      <c r="BB1980" s="36" t="s">
        <v>5666</v>
      </c>
      <c r="BC1980" s="36" t="s">
        <v>5721</v>
      </c>
      <c r="BD1980" s="36"/>
      <c r="BE1980" s="37" t="s">
        <v>1584</v>
      </c>
      <c r="BF1980" s="37"/>
      <c r="BG1980" s="37"/>
      <c r="BH1980" s="37"/>
      <c r="BI1980" s="243">
        <v>1.2500000000000001E-2</v>
      </c>
      <c r="BJ1980" s="243">
        <v>1.25</v>
      </c>
      <c r="BK1980" s="37"/>
      <c r="BL1980" s="243"/>
      <c r="BM1980" s="37"/>
      <c r="BN1980" s="37"/>
      <c r="BO1980" s="37"/>
      <c r="BP1980" s="37"/>
      <c r="BQ1980" s="37"/>
      <c r="BR1980" s="37"/>
      <c r="BS1980" s="37"/>
      <c r="BT1980" s="37"/>
      <c r="BU1980" s="246"/>
      <c r="BV1980" s="37"/>
      <c r="BW1980" s="37"/>
      <c r="BX1980" s="37"/>
      <c r="BY1980" s="37"/>
      <c r="BZ1980" s="37"/>
      <c r="CA1980" s="37">
        <v>0.21109</v>
      </c>
      <c r="CB1980" s="37"/>
      <c r="CC1980" s="37"/>
      <c r="CD1980" s="37"/>
      <c r="CE1980" s="37"/>
      <c r="CF1980" s="37"/>
      <c r="CG1980" s="37"/>
      <c r="CH1980" s="37"/>
      <c r="CI1980" s="243">
        <f t="shared" si="622"/>
        <v>0.21109</v>
      </c>
      <c r="CJ1980" s="243">
        <f t="shared" si="623"/>
        <v>-0.67553234010630347</v>
      </c>
      <c r="CK1980" s="38">
        <f t="shared" si="627"/>
        <v>0</v>
      </c>
      <c r="CL1980" s="38">
        <f t="shared" si="624"/>
        <v>0</v>
      </c>
      <c r="CM1980" s="247"/>
      <c r="CN1980" s="247"/>
      <c r="CO1980" s="36"/>
      <c r="CP1980" s="36" t="s">
        <v>5800</v>
      </c>
      <c r="CQ1980" s="241" t="s">
        <v>272</v>
      </c>
      <c r="CR1980" s="241"/>
      <c r="CS1980" s="33"/>
      <c r="CT1980" s="33"/>
      <c r="CU1980" s="250" t="s">
        <v>6310</v>
      </c>
      <c r="CV1980" s="337" t="s">
        <v>6310</v>
      </c>
      <c r="CW1980" s="330">
        <f t="shared" si="625"/>
        <v>1</v>
      </c>
      <c r="CX1980" s="330"/>
      <c r="CY1980" s="143" t="s">
        <v>5921</v>
      </c>
    </row>
    <row r="1981" spans="1:103" ht="12.6" customHeight="1" x14ac:dyDescent="0.2">
      <c r="A1981" s="72">
        <v>1979</v>
      </c>
      <c r="B1981" s="241">
        <v>2111</v>
      </c>
      <c r="C1981" s="32" t="s">
        <v>5813</v>
      </c>
      <c r="D1981" s="32"/>
      <c r="E1981" s="40"/>
      <c r="F1981" s="241" t="s">
        <v>6407</v>
      </c>
      <c r="G1981" s="241" t="s">
        <v>6407</v>
      </c>
      <c r="H1981" s="36"/>
      <c r="I1981" s="36"/>
      <c r="J1981" s="36"/>
      <c r="K1981" s="36"/>
      <c r="L1981" s="36"/>
      <c r="M1981" s="36"/>
      <c r="N1981" s="36"/>
      <c r="O1981" s="36"/>
      <c r="P1981" s="41"/>
      <c r="Q1981" s="41"/>
      <c r="R1981" s="41"/>
      <c r="S1981" s="41"/>
      <c r="T1981" s="37">
        <v>473</v>
      </c>
      <c r="U1981" s="243"/>
      <c r="V1981" s="243"/>
      <c r="W1981" s="243"/>
      <c r="X1981" s="243"/>
      <c r="Y1981" s="414"/>
      <c r="Z1981" s="37"/>
      <c r="AA1981" s="37"/>
      <c r="AB1981" s="37"/>
      <c r="AC1981" s="37"/>
      <c r="AD1981" s="37"/>
      <c r="AE1981" s="37"/>
      <c r="AF1981" s="37"/>
      <c r="AG1981" s="37">
        <v>2.706</v>
      </c>
      <c r="AH1981" s="243"/>
      <c r="AI1981" s="243"/>
      <c r="AJ1981" s="34"/>
      <c r="AK1981" s="34"/>
      <c r="AL1981" s="34"/>
      <c r="AM1981" s="34"/>
      <c r="AN1981" s="244"/>
      <c r="AO1981" s="417"/>
      <c r="AP1981" s="417"/>
      <c r="AQ1981" s="244" t="s">
        <v>6311</v>
      </c>
      <c r="AR1981" s="244" t="s">
        <v>6311</v>
      </c>
      <c r="AS1981" s="241" t="s">
        <v>5466</v>
      </c>
      <c r="AT1981" s="39" t="s">
        <v>266</v>
      </c>
      <c r="AU1981" s="37">
        <v>24</v>
      </c>
      <c r="AV1981" s="37">
        <v>96</v>
      </c>
      <c r="AW1981" s="37">
        <v>72</v>
      </c>
      <c r="AX1981" s="37">
        <v>26</v>
      </c>
      <c r="AY1981" s="37" t="s">
        <v>5799</v>
      </c>
      <c r="AZ1981" s="37" t="s">
        <v>5717</v>
      </c>
      <c r="BA1981" s="37">
        <v>72</v>
      </c>
      <c r="BB1981" s="36" t="s">
        <v>5666</v>
      </c>
      <c r="BC1981" s="36" t="s">
        <v>5721</v>
      </c>
      <c r="BD1981" s="36"/>
      <c r="BE1981" s="37" t="s">
        <v>1584</v>
      </c>
      <c r="BF1981" s="37"/>
      <c r="BG1981" s="37"/>
      <c r="BH1981" s="37"/>
      <c r="BI1981" s="243">
        <v>1.2500000000000001E-2</v>
      </c>
      <c r="BJ1981" s="243">
        <v>1.25</v>
      </c>
      <c r="BK1981" s="37"/>
      <c r="BL1981" s="243"/>
      <c r="BM1981" s="37"/>
      <c r="BN1981" s="37"/>
      <c r="BO1981" s="37"/>
      <c r="BP1981" s="37"/>
      <c r="BQ1981" s="37"/>
      <c r="BR1981" s="37"/>
      <c r="BS1981" s="37"/>
      <c r="BT1981" s="37"/>
      <c r="BU1981" s="246"/>
      <c r="BV1981" s="37"/>
      <c r="BW1981" s="37"/>
      <c r="BX1981" s="37"/>
      <c r="BY1981" s="37"/>
      <c r="BZ1981" s="37"/>
      <c r="CA1981" s="37">
        <v>0.21953</v>
      </c>
      <c r="CB1981" s="37"/>
      <c r="CC1981" s="37"/>
      <c r="CD1981" s="37"/>
      <c r="CE1981" s="37"/>
      <c r="CF1981" s="37"/>
      <c r="CG1981" s="37"/>
      <c r="CH1981" s="37"/>
      <c r="CI1981" s="243">
        <f t="shared" si="622"/>
        <v>0.21953</v>
      </c>
      <c r="CJ1981" s="243">
        <f t="shared" si="623"/>
        <v>-0.65850612260097119</v>
      </c>
      <c r="CK1981" s="38">
        <f t="shared" si="627"/>
        <v>0</v>
      </c>
      <c r="CL1981" s="38">
        <f t="shared" si="624"/>
        <v>0</v>
      </c>
      <c r="CM1981" s="247"/>
      <c r="CN1981" s="247"/>
      <c r="CO1981" s="36"/>
      <c r="CP1981" s="36" t="s">
        <v>5800</v>
      </c>
      <c r="CQ1981" s="241" t="s">
        <v>272</v>
      </c>
      <c r="CR1981" s="241"/>
      <c r="CS1981" s="33"/>
      <c r="CT1981" s="33"/>
      <c r="CU1981" s="250" t="s">
        <v>6310</v>
      </c>
      <c r="CV1981" s="337" t="s">
        <v>6310</v>
      </c>
      <c r="CW1981" s="330">
        <f t="shared" si="625"/>
        <v>1</v>
      </c>
      <c r="CX1981" s="330"/>
      <c r="CY1981" s="143" t="s">
        <v>5921</v>
      </c>
    </row>
    <row r="1982" spans="1:103" ht="12.6" customHeight="1" x14ac:dyDescent="0.2">
      <c r="A1982" s="72">
        <v>1980</v>
      </c>
      <c r="B1982" s="241">
        <v>2099</v>
      </c>
      <c r="C1982" s="32" t="s">
        <v>5801</v>
      </c>
      <c r="D1982" s="32"/>
      <c r="E1982" s="40"/>
      <c r="F1982" s="241" t="s">
        <v>6405</v>
      </c>
      <c r="G1982" s="241" t="s">
        <v>6405</v>
      </c>
      <c r="H1982" s="36"/>
      <c r="I1982" s="36"/>
      <c r="J1982" s="36"/>
      <c r="K1982" s="36"/>
      <c r="L1982" s="36"/>
      <c r="M1982" s="36"/>
      <c r="N1982" s="36"/>
      <c r="O1982" s="36"/>
      <c r="P1982" s="41"/>
      <c r="Q1982" s="41"/>
      <c r="R1982" s="41"/>
      <c r="S1982" s="41"/>
      <c r="T1982" s="37">
        <v>409</v>
      </c>
      <c r="U1982" s="243"/>
      <c r="V1982" s="243"/>
      <c r="W1982" s="243"/>
      <c r="X1982" s="243"/>
      <c r="Y1982" s="414"/>
      <c r="Z1982" s="37"/>
      <c r="AA1982" s="37"/>
      <c r="AB1982" s="37"/>
      <c r="AC1982" s="37"/>
      <c r="AD1982" s="37"/>
      <c r="AE1982" s="37"/>
      <c r="AF1982" s="37"/>
      <c r="AG1982" s="37">
        <v>2.7229999999999999</v>
      </c>
      <c r="AH1982" s="243"/>
      <c r="AI1982" s="243"/>
      <c r="AJ1982" s="34"/>
      <c r="AK1982" s="34"/>
      <c r="AL1982" s="34"/>
      <c r="AM1982" s="34"/>
      <c r="AN1982" s="244"/>
      <c r="AO1982" s="417"/>
      <c r="AP1982" s="417"/>
      <c r="AQ1982" s="244" t="s">
        <v>6311</v>
      </c>
      <c r="AR1982" s="244" t="s">
        <v>6311</v>
      </c>
      <c r="AS1982" s="241" t="s">
        <v>5466</v>
      </c>
      <c r="AT1982" s="39" t="s">
        <v>266</v>
      </c>
      <c r="AU1982" s="37">
        <v>24</v>
      </c>
      <c r="AV1982" s="37">
        <v>96</v>
      </c>
      <c r="AW1982" s="37">
        <v>72</v>
      </c>
      <c r="AX1982" s="37">
        <v>26</v>
      </c>
      <c r="AY1982" s="37" t="s">
        <v>5799</v>
      </c>
      <c r="AZ1982" s="37" t="s">
        <v>5717</v>
      </c>
      <c r="BA1982" s="37">
        <v>72</v>
      </c>
      <c r="BB1982" s="36" t="s">
        <v>5666</v>
      </c>
      <c r="BC1982" s="36" t="s">
        <v>5721</v>
      </c>
      <c r="BD1982" s="36"/>
      <c r="BE1982" s="37" t="s">
        <v>1584</v>
      </c>
      <c r="BF1982" s="37"/>
      <c r="BG1982" s="37"/>
      <c r="BH1982" s="37"/>
      <c r="BI1982" s="243">
        <v>1.2500000000000001E-2</v>
      </c>
      <c r="BJ1982" s="243">
        <v>1.25</v>
      </c>
      <c r="BK1982" s="37"/>
      <c r="BL1982" s="243"/>
      <c r="BM1982" s="37"/>
      <c r="BN1982" s="37"/>
      <c r="BO1982" s="37"/>
      <c r="BP1982" s="37"/>
      <c r="BQ1982" s="37"/>
      <c r="BR1982" s="37"/>
      <c r="BS1982" s="37"/>
      <c r="BT1982" s="37"/>
      <c r="BU1982" s="246"/>
      <c r="BV1982" s="37"/>
      <c r="BW1982" s="37"/>
      <c r="BX1982" s="37"/>
      <c r="BY1982" s="37"/>
      <c r="BZ1982" s="37"/>
      <c r="CA1982" s="37">
        <v>8.4430000000000005E-2</v>
      </c>
      <c r="CB1982" s="37"/>
      <c r="CC1982" s="37"/>
      <c r="CD1982" s="37"/>
      <c r="CE1982" s="37"/>
      <c r="CF1982" s="37"/>
      <c r="CG1982" s="37"/>
      <c r="CH1982" s="37"/>
      <c r="CI1982" s="243">
        <f t="shared" si="622"/>
        <v>8.4430000000000005E-2</v>
      </c>
      <c r="CJ1982" s="243">
        <f t="shared" si="623"/>
        <v>-1.0735032107267797</v>
      </c>
      <c r="CK1982" s="38">
        <f t="shared" si="627"/>
        <v>0</v>
      </c>
      <c r="CL1982" s="38">
        <f t="shared" si="624"/>
        <v>0</v>
      </c>
      <c r="CM1982" s="247"/>
      <c r="CN1982" s="247"/>
      <c r="CO1982" s="36"/>
      <c r="CP1982" s="36" t="s">
        <v>5800</v>
      </c>
      <c r="CQ1982" s="241" t="s">
        <v>272</v>
      </c>
      <c r="CR1982" s="241"/>
      <c r="CS1982" s="33"/>
      <c r="CT1982" s="33"/>
      <c r="CU1982" s="250" t="s">
        <v>6310</v>
      </c>
      <c r="CV1982" s="337" t="s">
        <v>6310</v>
      </c>
      <c r="CW1982" s="330">
        <f t="shared" si="625"/>
        <v>1</v>
      </c>
      <c r="CX1982" s="330"/>
      <c r="CY1982" s="143" t="s">
        <v>5921</v>
      </c>
    </row>
    <row r="1983" spans="1:103" ht="12.6" customHeight="1" x14ac:dyDescent="0.2">
      <c r="A1983" s="72">
        <v>1981</v>
      </c>
      <c r="B1983" s="241">
        <v>2113</v>
      </c>
      <c r="C1983" s="32" t="s">
        <v>5815</v>
      </c>
      <c r="D1983" s="32"/>
      <c r="E1983" s="40"/>
      <c r="F1983" s="241" t="s">
        <v>6408</v>
      </c>
      <c r="G1983" s="241" t="s">
        <v>6408</v>
      </c>
      <c r="H1983" s="36"/>
      <c r="I1983" s="36"/>
      <c r="J1983" s="36"/>
      <c r="K1983" s="36"/>
      <c r="L1983" s="36"/>
      <c r="M1983" s="36"/>
      <c r="N1983" s="36"/>
      <c r="O1983" s="36"/>
      <c r="P1983" s="41"/>
      <c r="Q1983" s="41"/>
      <c r="R1983" s="41"/>
      <c r="S1983" s="41"/>
      <c r="T1983" s="37">
        <v>498</v>
      </c>
      <c r="U1983" s="243"/>
      <c r="V1983" s="243"/>
      <c r="W1983" s="243"/>
      <c r="X1983" s="243"/>
      <c r="Y1983" s="414"/>
      <c r="Z1983" s="37"/>
      <c r="AA1983" s="37"/>
      <c r="AB1983" s="37"/>
      <c r="AC1983" s="37"/>
      <c r="AD1983" s="37"/>
      <c r="AE1983" s="37"/>
      <c r="AF1983" s="37"/>
      <c r="AG1983" s="37">
        <v>2.8879999999999999</v>
      </c>
      <c r="AH1983" s="243"/>
      <c r="AI1983" s="243"/>
      <c r="AJ1983" s="34"/>
      <c r="AK1983" s="34"/>
      <c r="AL1983" s="34"/>
      <c r="AM1983" s="34"/>
      <c r="AN1983" s="244"/>
      <c r="AO1983" s="417"/>
      <c r="AP1983" s="417"/>
      <c r="AQ1983" s="244" t="s">
        <v>6311</v>
      </c>
      <c r="AR1983" s="244" t="s">
        <v>6311</v>
      </c>
      <c r="AS1983" s="241" t="s">
        <v>5466</v>
      </c>
      <c r="AT1983" s="39" t="s">
        <v>266</v>
      </c>
      <c r="AU1983" s="37">
        <v>24</v>
      </c>
      <c r="AV1983" s="37">
        <v>96</v>
      </c>
      <c r="AW1983" s="37">
        <v>72</v>
      </c>
      <c r="AX1983" s="37">
        <v>26</v>
      </c>
      <c r="AY1983" s="37" t="s">
        <v>5799</v>
      </c>
      <c r="AZ1983" s="37" t="s">
        <v>5717</v>
      </c>
      <c r="BA1983" s="37">
        <v>72</v>
      </c>
      <c r="BB1983" s="36" t="s">
        <v>5666</v>
      </c>
      <c r="BC1983" s="36" t="s">
        <v>5721</v>
      </c>
      <c r="BD1983" s="36"/>
      <c r="BE1983" s="37" t="s">
        <v>1584</v>
      </c>
      <c r="BF1983" s="37"/>
      <c r="BG1983" s="37"/>
      <c r="BH1983" s="37"/>
      <c r="BI1983" s="243">
        <v>1.2500000000000001E-2</v>
      </c>
      <c r="BJ1983" s="243">
        <v>1.25</v>
      </c>
      <c r="BK1983" s="37"/>
      <c r="BL1983" s="243"/>
      <c r="BM1983" s="37"/>
      <c r="BN1983" s="37"/>
      <c r="BO1983" s="37"/>
      <c r="BP1983" s="37"/>
      <c r="BQ1983" s="37"/>
      <c r="BR1983" s="37"/>
      <c r="BS1983" s="37"/>
      <c r="BT1983" s="37"/>
      <c r="BU1983" s="246"/>
      <c r="BV1983" s="37"/>
      <c r="BW1983" s="37"/>
      <c r="BX1983" s="37"/>
      <c r="BY1983" s="37"/>
      <c r="BZ1983" s="37"/>
      <c r="CA1983" s="37">
        <v>5.6239999999999998E-2</v>
      </c>
      <c r="CB1983" s="37"/>
      <c r="CC1983" s="37"/>
      <c r="CD1983" s="37"/>
      <c r="CE1983" s="37"/>
      <c r="CF1983" s="37"/>
      <c r="CG1983" s="37"/>
      <c r="CH1983" s="37"/>
      <c r="CI1983" s="243">
        <f t="shared" si="622"/>
        <v>5.6239999999999998E-2</v>
      </c>
      <c r="CJ1983" s="243">
        <f t="shared" si="623"/>
        <v>-1.2499546879882324</v>
      </c>
      <c r="CK1983" s="38">
        <f t="shared" si="627"/>
        <v>0</v>
      </c>
      <c r="CL1983" s="38">
        <f t="shared" si="624"/>
        <v>0</v>
      </c>
      <c r="CM1983" s="247"/>
      <c r="CN1983" s="247"/>
      <c r="CO1983" s="36"/>
      <c r="CP1983" s="36" t="s">
        <v>5800</v>
      </c>
      <c r="CQ1983" s="241" t="s">
        <v>272</v>
      </c>
      <c r="CR1983" s="241"/>
      <c r="CS1983" s="33"/>
      <c r="CT1983" s="33"/>
      <c r="CU1983" s="250" t="s">
        <v>6310</v>
      </c>
      <c r="CV1983" s="337" t="s">
        <v>6310</v>
      </c>
      <c r="CW1983" s="330">
        <f t="shared" si="625"/>
        <v>1</v>
      </c>
      <c r="CX1983" s="330"/>
      <c r="CY1983" s="143" t="s">
        <v>5921</v>
      </c>
    </row>
    <row r="1984" spans="1:103" ht="12.6" customHeight="1" x14ac:dyDescent="0.2">
      <c r="A1984" s="72">
        <v>1982</v>
      </c>
      <c r="B1984" s="241">
        <v>2114</v>
      </c>
      <c r="C1984" s="32" t="s">
        <v>5816</v>
      </c>
      <c r="D1984" s="32"/>
      <c r="E1984" s="40"/>
      <c r="F1984" s="241" t="s">
        <v>6410</v>
      </c>
      <c r="G1984" s="241" t="s">
        <v>6410</v>
      </c>
      <c r="H1984" s="36"/>
      <c r="I1984" s="36"/>
      <c r="J1984" s="36"/>
      <c r="K1984" s="36"/>
      <c r="L1984" s="36"/>
      <c r="M1984" s="36"/>
      <c r="N1984" s="36"/>
      <c r="O1984" s="36"/>
      <c r="P1984" s="41"/>
      <c r="Q1984" s="41"/>
      <c r="R1984" s="41"/>
      <c r="S1984" s="41"/>
      <c r="T1984" s="37">
        <v>468</v>
      </c>
      <c r="U1984" s="243"/>
      <c r="V1984" s="243"/>
      <c r="W1984" s="243"/>
      <c r="X1984" s="243"/>
      <c r="Y1984" s="414"/>
      <c r="Z1984" s="37"/>
      <c r="AA1984" s="37"/>
      <c r="AB1984" s="37"/>
      <c r="AC1984" s="37"/>
      <c r="AD1984" s="37"/>
      <c r="AE1984" s="37"/>
      <c r="AF1984" s="37"/>
      <c r="AG1984" s="37">
        <v>2.903</v>
      </c>
      <c r="AH1984" s="243"/>
      <c r="AI1984" s="243"/>
      <c r="AJ1984" s="34"/>
      <c r="AK1984" s="34"/>
      <c r="AL1984" s="34"/>
      <c r="AM1984" s="34"/>
      <c r="AN1984" s="244"/>
      <c r="AO1984" s="417"/>
      <c r="AP1984" s="417"/>
      <c r="AQ1984" s="244" t="s">
        <v>6311</v>
      </c>
      <c r="AR1984" s="244" t="s">
        <v>6311</v>
      </c>
      <c r="AS1984" s="241" t="s">
        <v>5466</v>
      </c>
      <c r="AT1984" s="39" t="s">
        <v>266</v>
      </c>
      <c r="AU1984" s="37">
        <v>24</v>
      </c>
      <c r="AV1984" s="37">
        <v>96</v>
      </c>
      <c r="AW1984" s="37">
        <v>72</v>
      </c>
      <c r="AX1984" s="37">
        <v>26</v>
      </c>
      <c r="AY1984" s="37" t="s">
        <v>5799</v>
      </c>
      <c r="AZ1984" s="37" t="s">
        <v>5717</v>
      </c>
      <c r="BA1984" s="37">
        <v>72</v>
      </c>
      <c r="BB1984" s="36" t="s">
        <v>5666</v>
      </c>
      <c r="BC1984" s="36" t="s">
        <v>5721</v>
      </c>
      <c r="BD1984" s="36"/>
      <c r="BE1984" s="37" t="s">
        <v>1584</v>
      </c>
      <c r="BF1984" s="37"/>
      <c r="BG1984" s="37"/>
      <c r="BH1984" s="37"/>
      <c r="BI1984" s="243">
        <v>1.2500000000000001E-2</v>
      </c>
      <c r="BJ1984" s="243">
        <v>1.25</v>
      </c>
      <c r="BK1984" s="37"/>
      <c r="BL1984" s="243"/>
      <c r="BM1984" s="37"/>
      <c r="BN1984" s="37"/>
      <c r="BO1984" s="37"/>
      <c r="BP1984" s="37"/>
      <c r="BQ1984" s="37"/>
      <c r="BR1984" s="37"/>
      <c r="BS1984" s="37"/>
      <c r="BT1984" s="37"/>
      <c r="BU1984" s="246"/>
      <c r="BV1984" s="37"/>
      <c r="BW1984" s="37"/>
      <c r="BX1984" s="37"/>
      <c r="BY1984" s="37"/>
      <c r="BZ1984" s="37"/>
      <c r="CA1984" s="37">
        <v>9.4769999999999993E-2</v>
      </c>
      <c r="CB1984" s="37"/>
      <c r="CC1984" s="37"/>
      <c r="CD1984" s="37"/>
      <c r="CE1984" s="37"/>
      <c r="CF1984" s="37"/>
      <c r="CG1984" s="37"/>
      <c r="CH1984" s="37"/>
      <c r="CI1984" s="243">
        <f t="shared" si="622"/>
        <v>9.4769999999999993E-2</v>
      </c>
      <c r="CJ1984" s="243">
        <f t="shared" si="623"/>
        <v>-1.0233291193751886</v>
      </c>
      <c r="CK1984" s="38">
        <f t="shared" si="627"/>
        <v>0</v>
      </c>
      <c r="CL1984" s="38">
        <f t="shared" si="624"/>
        <v>0</v>
      </c>
      <c r="CM1984" s="247"/>
      <c r="CN1984" s="247"/>
      <c r="CO1984" s="36"/>
      <c r="CP1984" s="36" t="s">
        <v>5800</v>
      </c>
      <c r="CQ1984" s="241" t="s">
        <v>272</v>
      </c>
      <c r="CR1984" s="241"/>
      <c r="CS1984" s="33"/>
      <c r="CT1984" s="33"/>
      <c r="CU1984" s="250" t="s">
        <v>6310</v>
      </c>
      <c r="CV1984" s="337" t="s">
        <v>6310</v>
      </c>
      <c r="CW1984" s="330">
        <f t="shared" si="625"/>
        <v>1</v>
      </c>
      <c r="CX1984" s="330"/>
      <c r="CY1984" s="143" t="s">
        <v>5921</v>
      </c>
    </row>
    <row r="1985" spans="1:103" ht="12.6" customHeight="1" x14ac:dyDescent="0.2">
      <c r="A1985" s="72">
        <v>1983</v>
      </c>
      <c r="B1985" s="241">
        <v>2112</v>
      </c>
      <c r="C1985" s="32" t="s">
        <v>5814</v>
      </c>
      <c r="D1985" s="32"/>
      <c r="E1985" s="40"/>
      <c r="F1985" s="241" t="s">
        <v>6409</v>
      </c>
      <c r="G1985" s="241" t="s">
        <v>6409</v>
      </c>
      <c r="H1985" s="36"/>
      <c r="I1985" s="36"/>
      <c r="J1985" s="36"/>
      <c r="K1985" s="36"/>
      <c r="L1985" s="36"/>
      <c r="M1985" s="36"/>
      <c r="N1985" s="36"/>
      <c r="O1985" s="36"/>
      <c r="P1985" s="41"/>
      <c r="Q1985" s="41"/>
      <c r="R1985" s="41"/>
      <c r="S1985" s="41"/>
      <c r="T1985" s="37">
        <v>457</v>
      </c>
      <c r="U1985" s="243"/>
      <c r="V1985" s="243"/>
      <c r="W1985" s="243"/>
      <c r="X1985" s="243"/>
      <c r="Y1985" s="414"/>
      <c r="Z1985" s="37"/>
      <c r="AA1985" s="37"/>
      <c r="AB1985" s="37"/>
      <c r="AC1985" s="37"/>
      <c r="AD1985" s="37"/>
      <c r="AE1985" s="37"/>
      <c r="AF1985" s="37"/>
      <c r="AG1985" s="37">
        <v>2.95</v>
      </c>
      <c r="AH1985" s="243"/>
      <c r="AI1985" s="243"/>
      <c r="AJ1985" s="34"/>
      <c r="AK1985" s="34"/>
      <c r="AL1985" s="34"/>
      <c r="AM1985" s="34"/>
      <c r="AN1985" s="244"/>
      <c r="AO1985" s="417"/>
      <c r="AP1985" s="417"/>
      <c r="AQ1985" s="244" t="s">
        <v>6311</v>
      </c>
      <c r="AR1985" s="244" t="s">
        <v>6311</v>
      </c>
      <c r="AS1985" s="241" t="s">
        <v>5466</v>
      </c>
      <c r="AT1985" s="39" t="s">
        <v>266</v>
      </c>
      <c r="AU1985" s="37">
        <v>24</v>
      </c>
      <c r="AV1985" s="37">
        <v>96</v>
      </c>
      <c r="AW1985" s="37">
        <v>72</v>
      </c>
      <c r="AX1985" s="37">
        <v>26</v>
      </c>
      <c r="AY1985" s="37" t="s">
        <v>5799</v>
      </c>
      <c r="AZ1985" s="37" t="s">
        <v>5717</v>
      </c>
      <c r="BA1985" s="37">
        <v>72</v>
      </c>
      <c r="BB1985" s="36" t="s">
        <v>5666</v>
      </c>
      <c r="BC1985" s="36" t="s">
        <v>5721</v>
      </c>
      <c r="BD1985" s="36"/>
      <c r="BE1985" s="37" t="s">
        <v>1584</v>
      </c>
      <c r="BF1985" s="37"/>
      <c r="BG1985" s="37"/>
      <c r="BH1985" s="37"/>
      <c r="BI1985" s="243">
        <v>1.2500000000000001E-2</v>
      </c>
      <c r="BJ1985" s="243">
        <v>1.25</v>
      </c>
      <c r="BK1985" s="37"/>
      <c r="BL1985" s="243"/>
      <c r="BM1985" s="37"/>
      <c r="BN1985" s="37"/>
      <c r="BO1985" s="37"/>
      <c r="BP1985" s="37"/>
      <c r="BQ1985" s="37"/>
      <c r="BR1985" s="37"/>
      <c r="BS1985" s="37"/>
      <c r="BT1985" s="37"/>
      <c r="BU1985" s="246"/>
      <c r="BV1985" s="37"/>
      <c r="BW1985" s="37"/>
      <c r="BX1985" s="37"/>
      <c r="BY1985" s="37"/>
      <c r="BZ1985" s="37"/>
      <c r="CA1985" s="37">
        <v>0.41450999999999999</v>
      </c>
      <c r="CB1985" s="37"/>
      <c r="CC1985" s="37"/>
      <c r="CD1985" s="37"/>
      <c r="CE1985" s="37"/>
      <c r="CF1985" s="37"/>
      <c r="CG1985" s="37"/>
      <c r="CH1985" s="37"/>
      <c r="CI1985" s="243">
        <f t="shared" si="622"/>
        <v>0.41450999999999999</v>
      </c>
      <c r="CJ1985" s="243">
        <f t="shared" si="623"/>
        <v>-0.38246498768926346</v>
      </c>
      <c r="CK1985" s="38">
        <f t="shared" si="627"/>
        <v>0</v>
      </c>
      <c r="CL1985" s="38">
        <f t="shared" si="624"/>
        <v>0</v>
      </c>
      <c r="CM1985" s="247"/>
      <c r="CN1985" s="247"/>
      <c r="CO1985" s="36"/>
      <c r="CP1985" s="36" t="s">
        <v>5800</v>
      </c>
      <c r="CQ1985" s="241" t="s">
        <v>272</v>
      </c>
      <c r="CR1985" s="241"/>
      <c r="CS1985" s="33"/>
      <c r="CT1985" s="33"/>
      <c r="CU1985" s="250" t="s">
        <v>6310</v>
      </c>
      <c r="CV1985" s="337" t="s">
        <v>6310</v>
      </c>
      <c r="CW1985" s="330">
        <f t="shared" si="625"/>
        <v>1</v>
      </c>
      <c r="CX1985" s="330"/>
      <c r="CY1985" s="143" t="s">
        <v>5921</v>
      </c>
    </row>
    <row r="1986" spans="1:103" ht="12.6" customHeight="1" x14ac:dyDescent="0.2">
      <c r="A1986" s="72">
        <v>1984</v>
      </c>
      <c r="B1986" s="241">
        <v>2101</v>
      </c>
      <c r="C1986" s="32" t="s">
        <v>5803</v>
      </c>
      <c r="D1986" s="32"/>
      <c r="E1986" s="40"/>
      <c r="F1986" s="241" t="s">
        <v>6411</v>
      </c>
      <c r="G1986" s="241" t="s">
        <v>6411</v>
      </c>
      <c r="H1986" s="36"/>
      <c r="I1986" s="36"/>
      <c r="J1986" s="36"/>
      <c r="K1986" s="36"/>
      <c r="L1986" s="36"/>
      <c r="M1986" s="36"/>
      <c r="N1986" s="36"/>
      <c r="O1986" s="36"/>
      <c r="P1986" s="41"/>
      <c r="Q1986" s="41"/>
      <c r="R1986" s="41"/>
      <c r="S1986" s="41"/>
      <c r="T1986" s="37">
        <v>453</v>
      </c>
      <c r="U1986" s="243"/>
      <c r="V1986" s="243"/>
      <c r="W1986" s="243"/>
      <c r="X1986" s="243"/>
      <c r="Y1986" s="414"/>
      <c r="Z1986" s="37"/>
      <c r="AA1986" s="37"/>
      <c r="AB1986" s="37"/>
      <c r="AC1986" s="37"/>
      <c r="AD1986" s="37"/>
      <c r="AE1986" s="37"/>
      <c r="AF1986" s="37"/>
      <c r="AG1986" s="37">
        <v>2.9529999999999998</v>
      </c>
      <c r="AH1986" s="243"/>
      <c r="AI1986" s="243"/>
      <c r="AJ1986" s="34"/>
      <c r="AK1986" s="34"/>
      <c r="AL1986" s="34"/>
      <c r="AM1986" s="34"/>
      <c r="AN1986" s="244"/>
      <c r="AO1986" s="417"/>
      <c r="AP1986" s="417"/>
      <c r="AQ1986" s="244" t="s">
        <v>6311</v>
      </c>
      <c r="AR1986" s="244" t="s">
        <v>6311</v>
      </c>
      <c r="AS1986" s="241" t="s">
        <v>5466</v>
      </c>
      <c r="AT1986" s="39" t="s">
        <v>266</v>
      </c>
      <c r="AU1986" s="37">
        <v>24</v>
      </c>
      <c r="AV1986" s="37">
        <v>96</v>
      </c>
      <c r="AW1986" s="37">
        <v>72</v>
      </c>
      <c r="AX1986" s="37">
        <v>26</v>
      </c>
      <c r="AY1986" s="37" t="s">
        <v>5799</v>
      </c>
      <c r="AZ1986" s="37" t="s">
        <v>5717</v>
      </c>
      <c r="BA1986" s="37">
        <v>72</v>
      </c>
      <c r="BB1986" s="36" t="s">
        <v>5666</v>
      </c>
      <c r="BC1986" s="36" t="s">
        <v>5721</v>
      </c>
      <c r="BD1986" s="36"/>
      <c r="BE1986" s="37" t="s">
        <v>1584</v>
      </c>
      <c r="BF1986" s="37"/>
      <c r="BG1986" s="37"/>
      <c r="BH1986" s="37"/>
      <c r="BI1986" s="243">
        <v>1.2500000000000001E-2</v>
      </c>
      <c r="BJ1986" s="243">
        <v>1.25</v>
      </c>
      <c r="BK1986" s="37"/>
      <c r="BL1986" s="243"/>
      <c r="BM1986" s="37"/>
      <c r="BN1986" s="37"/>
      <c r="BO1986" s="37"/>
      <c r="BP1986" s="37"/>
      <c r="BQ1986" s="37"/>
      <c r="BR1986" s="37"/>
      <c r="BS1986" s="37"/>
      <c r="BT1986" s="37"/>
      <c r="BU1986" s="246"/>
      <c r="BV1986" s="37"/>
      <c r="BW1986" s="37"/>
      <c r="BX1986" s="37"/>
      <c r="BY1986" s="37"/>
      <c r="BZ1986" s="37"/>
      <c r="CA1986" s="37">
        <v>7.1679999999999994E-2</v>
      </c>
      <c r="CB1986" s="37"/>
      <c r="CC1986" s="37"/>
      <c r="CD1986" s="37"/>
      <c r="CE1986" s="37"/>
      <c r="CF1986" s="37"/>
      <c r="CG1986" s="37"/>
      <c r="CH1986" s="37"/>
      <c r="CI1986" s="243">
        <f t="shared" si="622"/>
        <v>7.1679999999999994E-2</v>
      </c>
      <c r="CJ1986" s="243">
        <f t="shared" si="623"/>
        <v>-1.1446020033459312</v>
      </c>
      <c r="CK1986" s="38">
        <f t="shared" si="627"/>
        <v>0</v>
      </c>
      <c r="CL1986" s="38">
        <f t="shared" si="624"/>
        <v>0</v>
      </c>
      <c r="CM1986" s="247"/>
      <c r="CN1986" s="247"/>
      <c r="CO1986" s="36"/>
      <c r="CP1986" s="36" t="s">
        <v>5800</v>
      </c>
      <c r="CQ1986" s="241" t="s">
        <v>272</v>
      </c>
      <c r="CR1986" s="241"/>
      <c r="CS1986" s="33"/>
      <c r="CT1986" s="33"/>
      <c r="CU1986" s="250" t="s">
        <v>6310</v>
      </c>
      <c r="CV1986" s="337" t="s">
        <v>6310</v>
      </c>
      <c r="CW1986" s="330">
        <f t="shared" si="625"/>
        <v>1</v>
      </c>
      <c r="CX1986" s="330"/>
      <c r="CY1986" s="143" t="s">
        <v>5921</v>
      </c>
    </row>
    <row r="1987" spans="1:103" ht="12.6" customHeight="1" x14ac:dyDescent="0.2">
      <c r="A1987" s="72">
        <v>1985</v>
      </c>
      <c r="B1987" s="241">
        <v>2100</v>
      </c>
      <c r="C1987" s="32" t="s">
        <v>5802</v>
      </c>
      <c r="D1987" s="32"/>
      <c r="E1987" s="40"/>
      <c r="F1987" s="241" t="s">
        <v>6412</v>
      </c>
      <c r="G1987" s="241" t="s">
        <v>6412</v>
      </c>
      <c r="H1987" s="36"/>
      <c r="I1987" s="36"/>
      <c r="J1987" s="36"/>
      <c r="K1987" s="36"/>
      <c r="L1987" s="36"/>
      <c r="M1987" s="36"/>
      <c r="N1987" s="36"/>
      <c r="O1987" s="36"/>
      <c r="P1987" s="41"/>
      <c r="Q1987" s="41"/>
      <c r="R1987" s="41"/>
      <c r="S1987" s="41"/>
      <c r="T1987" s="37">
        <v>393</v>
      </c>
      <c r="U1987" s="243"/>
      <c r="V1987" s="243"/>
      <c r="W1987" s="243"/>
      <c r="X1987" s="243"/>
      <c r="Y1987" s="414"/>
      <c r="Z1987" s="37"/>
      <c r="AA1987" s="37"/>
      <c r="AB1987" s="37"/>
      <c r="AC1987" s="37"/>
      <c r="AD1987" s="37"/>
      <c r="AE1987" s="37"/>
      <c r="AF1987" s="37"/>
      <c r="AG1987" s="37">
        <v>2.9670000000000001</v>
      </c>
      <c r="AH1987" s="243"/>
      <c r="AI1987" s="243"/>
      <c r="AJ1987" s="34"/>
      <c r="AK1987" s="34"/>
      <c r="AL1987" s="34"/>
      <c r="AM1987" s="34"/>
      <c r="AN1987" s="244"/>
      <c r="AO1987" s="417"/>
      <c r="AP1987" s="417"/>
      <c r="AQ1987" s="244" t="s">
        <v>6311</v>
      </c>
      <c r="AR1987" s="244" t="s">
        <v>6311</v>
      </c>
      <c r="AS1987" s="241" t="s">
        <v>5466</v>
      </c>
      <c r="AT1987" s="39" t="s">
        <v>266</v>
      </c>
      <c r="AU1987" s="37">
        <v>24</v>
      </c>
      <c r="AV1987" s="37">
        <v>96</v>
      </c>
      <c r="AW1987" s="37">
        <v>72</v>
      </c>
      <c r="AX1987" s="37">
        <v>26</v>
      </c>
      <c r="AY1987" s="37" t="s">
        <v>5799</v>
      </c>
      <c r="AZ1987" s="37" t="s">
        <v>5717</v>
      </c>
      <c r="BA1987" s="37">
        <v>72</v>
      </c>
      <c r="BB1987" s="36" t="s">
        <v>5666</v>
      </c>
      <c r="BC1987" s="36" t="s">
        <v>5721</v>
      </c>
      <c r="BD1987" s="36"/>
      <c r="BE1987" s="37" t="s">
        <v>1584</v>
      </c>
      <c r="BF1987" s="37"/>
      <c r="BG1987" s="37"/>
      <c r="BH1987" s="37"/>
      <c r="BI1987" s="243">
        <v>1.2500000000000001E-2</v>
      </c>
      <c r="BJ1987" s="243">
        <v>1.25</v>
      </c>
      <c r="BK1987" s="37"/>
      <c r="BL1987" s="243"/>
      <c r="BM1987" s="37"/>
      <c r="BN1987" s="37"/>
      <c r="BO1987" s="37"/>
      <c r="BP1987" s="37"/>
      <c r="BQ1987" s="37"/>
      <c r="BR1987" s="37"/>
      <c r="BS1987" s="37"/>
      <c r="BT1987" s="37"/>
      <c r="BU1987" s="246"/>
      <c r="BV1987" s="37"/>
      <c r="BW1987" s="37"/>
      <c r="BX1987" s="37"/>
      <c r="BY1987" s="37"/>
      <c r="BZ1987" s="37"/>
      <c r="CA1987" s="37">
        <v>7.0959999999999995E-2</v>
      </c>
      <c r="CB1987" s="37"/>
      <c r="CC1987" s="37"/>
      <c r="CD1987" s="37"/>
      <c r="CE1987" s="37"/>
      <c r="CF1987" s="37"/>
      <c r="CG1987" s="37"/>
      <c r="CH1987" s="37"/>
      <c r="CI1987" s="243">
        <f t="shared" si="622"/>
        <v>7.0959999999999995E-2</v>
      </c>
      <c r="CJ1987" s="243">
        <f t="shared" si="623"/>
        <v>-1.14898639317633</v>
      </c>
      <c r="CK1987" s="38">
        <f t="shared" si="627"/>
        <v>0</v>
      </c>
      <c r="CL1987" s="38">
        <f t="shared" si="624"/>
        <v>0</v>
      </c>
      <c r="CM1987" s="247"/>
      <c r="CN1987" s="247"/>
      <c r="CO1987" s="36"/>
      <c r="CP1987" s="36" t="s">
        <v>5800</v>
      </c>
      <c r="CQ1987" s="241" t="s">
        <v>272</v>
      </c>
      <c r="CR1987" s="241"/>
      <c r="CS1987" s="33"/>
      <c r="CT1987" s="33"/>
      <c r="CU1987" s="250" t="s">
        <v>6310</v>
      </c>
      <c r="CV1987" s="337" t="s">
        <v>6310</v>
      </c>
      <c r="CW1987" s="330">
        <f t="shared" si="625"/>
        <v>1</v>
      </c>
      <c r="CX1987" s="330"/>
      <c r="CY1987" s="143" t="s">
        <v>5921</v>
      </c>
    </row>
    <row r="1988" spans="1:103" ht="12.6" customHeight="1" x14ac:dyDescent="0.2">
      <c r="A1988" s="72">
        <v>1986</v>
      </c>
      <c r="B1988" s="241">
        <v>2102</v>
      </c>
      <c r="C1988" s="32" t="s">
        <v>5804</v>
      </c>
      <c r="D1988" s="32"/>
      <c r="E1988" s="40"/>
      <c r="F1988" s="241" t="s">
        <v>6413</v>
      </c>
      <c r="G1988" s="241" t="s">
        <v>6413</v>
      </c>
      <c r="H1988" s="36"/>
      <c r="I1988" s="36"/>
      <c r="J1988" s="36"/>
      <c r="K1988" s="36"/>
      <c r="L1988" s="36"/>
      <c r="M1988" s="36"/>
      <c r="N1988" s="36"/>
      <c r="O1988" s="36"/>
      <c r="P1988" s="41"/>
      <c r="Q1988" s="41"/>
      <c r="R1988" s="41"/>
      <c r="S1988" s="41"/>
      <c r="T1988" s="37">
        <v>423</v>
      </c>
      <c r="U1988" s="243"/>
      <c r="V1988" s="243"/>
      <c r="W1988" s="243"/>
      <c r="X1988" s="243"/>
      <c r="Y1988" s="414"/>
      <c r="Z1988" s="37"/>
      <c r="AA1988" s="37"/>
      <c r="AB1988" s="37"/>
      <c r="AC1988" s="37"/>
      <c r="AD1988" s="37"/>
      <c r="AE1988" s="37"/>
      <c r="AF1988" s="37"/>
      <c r="AG1988" s="37">
        <v>2.968</v>
      </c>
      <c r="AH1988" s="243"/>
      <c r="AI1988" s="243"/>
      <c r="AJ1988" s="34"/>
      <c r="AK1988" s="34"/>
      <c r="AL1988" s="34"/>
      <c r="AM1988" s="34"/>
      <c r="AN1988" s="244"/>
      <c r="AO1988" s="417"/>
      <c r="AP1988" s="417"/>
      <c r="AQ1988" s="244" t="s">
        <v>6311</v>
      </c>
      <c r="AR1988" s="244" t="s">
        <v>6311</v>
      </c>
      <c r="AS1988" s="241" t="s">
        <v>5466</v>
      </c>
      <c r="AT1988" s="39" t="s">
        <v>266</v>
      </c>
      <c r="AU1988" s="37">
        <v>24</v>
      </c>
      <c r="AV1988" s="37">
        <v>96</v>
      </c>
      <c r="AW1988" s="37">
        <v>72</v>
      </c>
      <c r="AX1988" s="37">
        <v>26</v>
      </c>
      <c r="AY1988" s="37" t="s">
        <v>5799</v>
      </c>
      <c r="AZ1988" s="37" t="s">
        <v>5717</v>
      </c>
      <c r="BA1988" s="37">
        <v>72</v>
      </c>
      <c r="BB1988" s="36" t="s">
        <v>5666</v>
      </c>
      <c r="BC1988" s="36" t="s">
        <v>5721</v>
      </c>
      <c r="BD1988" s="36"/>
      <c r="BE1988" s="37" t="s">
        <v>1584</v>
      </c>
      <c r="BF1988" s="37"/>
      <c r="BG1988" s="37"/>
      <c r="BH1988" s="37"/>
      <c r="BI1988" s="243">
        <v>1.2500000000000001E-2</v>
      </c>
      <c r="BJ1988" s="243">
        <v>1.25</v>
      </c>
      <c r="BK1988" s="37"/>
      <c r="BL1988" s="243"/>
      <c r="BM1988" s="37"/>
      <c r="BN1988" s="37"/>
      <c r="BO1988" s="37"/>
      <c r="BP1988" s="37"/>
      <c r="BQ1988" s="37"/>
      <c r="BR1988" s="37"/>
      <c r="BS1988" s="37"/>
      <c r="BT1988" s="37"/>
      <c r="BU1988" s="246"/>
      <c r="BV1988" s="37"/>
      <c r="BW1988" s="37"/>
      <c r="BX1988" s="37"/>
      <c r="BY1988" s="37"/>
      <c r="BZ1988" s="37"/>
      <c r="CA1988" s="37">
        <v>9.4820000000000002E-2</v>
      </c>
      <c r="CB1988" s="37"/>
      <c r="CC1988" s="37"/>
      <c r="CD1988" s="37"/>
      <c r="CE1988" s="37"/>
      <c r="CF1988" s="37"/>
      <c r="CG1988" s="37"/>
      <c r="CH1988" s="37"/>
      <c r="CI1988" s="243">
        <f t="shared" si="622"/>
        <v>9.4820000000000002E-2</v>
      </c>
      <c r="CJ1988" s="243">
        <f t="shared" si="623"/>
        <v>-1.0231000490170621</v>
      </c>
      <c r="CK1988" s="38">
        <f t="shared" si="627"/>
        <v>0</v>
      </c>
      <c r="CL1988" s="38">
        <f t="shared" si="624"/>
        <v>0</v>
      </c>
      <c r="CM1988" s="247"/>
      <c r="CN1988" s="247"/>
      <c r="CO1988" s="36"/>
      <c r="CP1988" s="36" t="s">
        <v>5800</v>
      </c>
      <c r="CQ1988" s="241" t="s">
        <v>272</v>
      </c>
      <c r="CR1988" s="241"/>
      <c r="CS1988" s="33"/>
      <c r="CT1988" s="33"/>
      <c r="CU1988" s="250" t="s">
        <v>6310</v>
      </c>
      <c r="CV1988" s="337" t="s">
        <v>6310</v>
      </c>
      <c r="CW1988" s="330">
        <f t="shared" si="625"/>
        <v>1</v>
      </c>
      <c r="CX1988" s="330"/>
      <c r="CY1988" s="143" t="s">
        <v>5921</v>
      </c>
    </row>
    <row r="1989" spans="1:103" ht="12.6" customHeight="1" x14ac:dyDescent="0.2">
      <c r="A1989" s="72">
        <v>1987</v>
      </c>
      <c r="B1989" s="241">
        <v>2115</v>
      </c>
      <c r="C1989" s="32" t="s">
        <v>5817</v>
      </c>
      <c r="D1989" s="32"/>
      <c r="E1989" s="40"/>
      <c r="F1989" s="241" t="s">
        <v>6415</v>
      </c>
      <c r="G1989" s="241" t="s">
        <v>6415</v>
      </c>
      <c r="H1989" s="36"/>
      <c r="I1989" s="36"/>
      <c r="J1989" s="36"/>
      <c r="K1989" s="36"/>
      <c r="L1989" s="36"/>
      <c r="M1989" s="36"/>
      <c r="N1989" s="36"/>
      <c r="O1989" s="36"/>
      <c r="P1989" s="41"/>
      <c r="Q1989" s="41"/>
      <c r="R1989" s="41"/>
      <c r="S1989" s="41"/>
      <c r="T1989" s="37">
        <v>452</v>
      </c>
      <c r="U1989" s="243"/>
      <c r="V1989" s="243"/>
      <c r="W1989" s="243"/>
      <c r="X1989" s="243"/>
      <c r="Y1989" s="414"/>
      <c r="Z1989" s="37"/>
      <c r="AA1989" s="37"/>
      <c r="AB1989" s="37"/>
      <c r="AC1989" s="37"/>
      <c r="AD1989" s="37"/>
      <c r="AE1989" s="37"/>
      <c r="AF1989" s="37"/>
      <c r="AG1989" s="37">
        <v>3.1459999999999999</v>
      </c>
      <c r="AH1989" s="243"/>
      <c r="AI1989" s="243"/>
      <c r="AJ1989" s="34"/>
      <c r="AK1989" s="34"/>
      <c r="AL1989" s="34"/>
      <c r="AM1989" s="34"/>
      <c r="AN1989" s="244"/>
      <c r="AO1989" s="417"/>
      <c r="AP1989" s="417"/>
      <c r="AQ1989" s="244" t="s">
        <v>6311</v>
      </c>
      <c r="AR1989" s="244" t="s">
        <v>6311</v>
      </c>
      <c r="AS1989" s="241" t="s">
        <v>5466</v>
      </c>
      <c r="AT1989" s="39" t="s">
        <v>266</v>
      </c>
      <c r="AU1989" s="37">
        <v>24</v>
      </c>
      <c r="AV1989" s="37">
        <v>96</v>
      </c>
      <c r="AW1989" s="37">
        <v>72</v>
      </c>
      <c r="AX1989" s="37">
        <v>26</v>
      </c>
      <c r="AY1989" s="37" t="s">
        <v>5799</v>
      </c>
      <c r="AZ1989" s="37" t="s">
        <v>5717</v>
      </c>
      <c r="BA1989" s="37">
        <v>72</v>
      </c>
      <c r="BB1989" s="36" t="s">
        <v>5666</v>
      </c>
      <c r="BC1989" s="36" t="s">
        <v>5721</v>
      </c>
      <c r="BD1989" s="36"/>
      <c r="BE1989" s="37" t="s">
        <v>1584</v>
      </c>
      <c r="BF1989" s="37"/>
      <c r="BG1989" s="37"/>
      <c r="BH1989" s="37"/>
      <c r="BI1989" s="243">
        <v>1.2500000000000001E-2</v>
      </c>
      <c r="BJ1989" s="243">
        <v>1.25</v>
      </c>
      <c r="BK1989" s="37"/>
      <c r="BL1989" s="243"/>
      <c r="BM1989" s="37"/>
      <c r="BN1989" s="37"/>
      <c r="BO1989" s="37"/>
      <c r="BP1989" s="37"/>
      <c r="BQ1989" s="37"/>
      <c r="BR1989" s="37"/>
      <c r="BS1989" s="37"/>
      <c r="BT1989" s="37"/>
      <c r="BU1989" s="246"/>
      <c r="BV1989" s="37"/>
      <c r="BW1989" s="37"/>
      <c r="BX1989" s="37"/>
      <c r="BY1989" s="37"/>
      <c r="BZ1989" s="37"/>
      <c r="CA1989" s="37">
        <v>0.29710999999999999</v>
      </c>
      <c r="CB1989" s="37"/>
      <c r="CC1989" s="37"/>
      <c r="CD1989" s="37"/>
      <c r="CE1989" s="37"/>
      <c r="CF1989" s="37"/>
      <c r="CG1989" s="37"/>
      <c r="CH1989" s="37"/>
      <c r="CI1989" s="243">
        <f t="shared" si="622"/>
        <v>0.29710999999999999</v>
      </c>
      <c r="CJ1989" s="243">
        <f t="shared" si="623"/>
        <v>-0.52708273065432409</v>
      </c>
      <c r="CK1989" s="38">
        <f t="shared" si="627"/>
        <v>0</v>
      </c>
      <c r="CL1989" s="38">
        <f t="shared" si="624"/>
        <v>0</v>
      </c>
      <c r="CM1989" s="247"/>
      <c r="CN1989" s="247"/>
      <c r="CO1989" s="36"/>
      <c r="CP1989" s="36" t="s">
        <v>5800</v>
      </c>
      <c r="CQ1989" s="241" t="s">
        <v>272</v>
      </c>
      <c r="CR1989" s="241"/>
      <c r="CS1989" s="33"/>
      <c r="CT1989" s="33"/>
      <c r="CU1989" s="250" t="s">
        <v>6310</v>
      </c>
      <c r="CV1989" s="337" t="s">
        <v>6310</v>
      </c>
      <c r="CW1989" s="330">
        <f t="shared" si="625"/>
        <v>1</v>
      </c>
      <c r="CX1989" s="330"/>
      <c r="CY1989" s="143" t="s">
        <v>5921</v>
      </c>
    </row>
    <row r="1990" spans="1:103" ht="12.6" customHeight="1" x14ac:dyDescent="0.2">
      <c r="A1990" s="72">
        <v>1988</v>
      </c>
      <c r="B1990" s="241">
        <v>2103</v>
      </c>
      <c r="C1990" s="32" t="s">
        <v>5805</v>
      </c>
      <c r="D1990" s="32"/>
      <c r="E1990" s="40"/>
      <c r="F1990" s="241" t="s">
        <v>6414</v>
      </c>
      <c r="G1990" s="241" t="s">
        <v>6414</v>
      </c>
      <c r="H1990" s="36"/>
      <c r="I1990" s="36"/>
      <c r="J1990" s="36"/>
      <c r="K1990" s="36"/>
      <c r="L1990" s="36"/>
      <c r="M1990" s="36"/>
      <c r="N1990" s="36"/>
      <c r="O1990" s="36"/>
      <c r="P1990" s="41"/>
      <c r="Q1990" s="41"/>
      <c r="R1990" s="41"/>
      <c r="S1990" s="41"/>
      <c r="T1990" s="37">
        <v>407</v>
      </c>
      <c r="U1990" s="243"/>
      <c r="V1990" s="243"/>
      <c r="W1990" s="243"/>
      <c r="X1990" s="243"/>
      <c r="Y1990" s="414"/>
      <c r="Z1990" s="37"/>
      <c r="AA1990" s="37"/>
      <c r="AB1990" s="37"/>
      <c r="AC1990" s="37"/>
      <c r="AD1990" s="37"/>
      <c r="AE1990" s="37"/>
      <c r="AF1990" s="37"/>
      <c r="AG1990" s="37">
        <v>3.2120000000000002</v>
      </c>
      <c r="AH1990" s="243"/>
      <c r="AI1990" s="243"/>
      <c r="AJ1990" s="34"/>
      <c r="AK1990" s="34"/>
      <c r="AL1990" s="34"/>
      <c r="AM1990" s="34"/>
      <c r="AN1990" s="244"/>
      <c r="AO1990" s="417"/>
      <c r="AP1990" s="417"/>
      <c r="AQ1990" s="244" t="s">
        <v>6311</v>
      </c>
      <c r="AR1990" s="244" t="s">
        <v>6311</v>
      </c>
      <c r="AS1990" s="241" t="s">
        <v>5466</v>
      </c>
      <c r="AT1990" s="39" t="s">
        <v>266</v>
      </c>
      <c r="AU1990" s="37">
        <v>24</v>
      </c>
      <c r="AV1990" s="37">
        <v>96</v>
      </c>
      <c r="AW1990" s="37">
        <v>72</v>
      </c>
      <c r="AX1990" s="37">
        <v>26</v>
      </c>
      <c r="AY1990" s="37" t="s">
        <v>5799</v>
      </c>
      <c r="AZ1990" s="37" t="s">
        <v>5717</v>
      </c>
      <c r="BA1990" s="37">
        <v>72</v>
      </c>
      <c r="BB1990" s="36" t="s">
        <v>5666</v>
      </c>
      <c r="BC1990" s="36" t="s">
        <v>5721</v>
      </c>
      <c r="BD1990" s="36"/>
      <c r="BE1990" s="37" t="s">
        <v>1584</v>
      </c>
      <c r="BF1990" s="37"/>
      <c r="BG1990" s="37"/>
      <c r="BH1990" s="37"/>
      <c r="BI1990" s="243">
        <v>1.2500000000000001E-2</v>
      </c>
      <c r="BJ1990" s="243">
        <v>1.25</v>
      </c>
      <c r="BK1990" s="37"/>
      <c r="BL1990" s="243"/>
      <c r="BM1990" s="37"/>
      <c r="BN1990" s="37"/>
      <c r="BO1990" s="37"/>
      <c r="BP1990" s="37"/>
      <c r="BQ1990" s="37"/>
      <c r="BR1990" s="37"/>
      <c r="BS1990" s="37"/>
      <c r="BT1990" s="37"/>
      <c r="BU1990" s="246"/>
      <c r="BV1990" s="37"/>
      <c r="BW1990" s="37"/>
      <c r="BX1990" s="37"/>
      <c r="BY1990" s="37"/>
      <c r="BZ1990" s="37"/>
      <c r="CA1990" s="37">
        <v>0.43230000000000002</v>
      </c>
      <c r="CB1990" s="37"/>
      <c r="CC1990" s="37"/>
      <c r="CD1990" s="37"/>
      <c r="CE1990" s="37"/>
      <c r="CF1990" s="37"/>
      <c r="CG1990" s="37"/>
      <c r="CH1990" s="37"/>
      <c r="CI1990" s="243">
        <f t="shared" si="622"/>
        <v>0.43230000000000002</v>
      </c>
      <c r="CJ1990" s="243">
        <f t="shared" si="623"/>
        <v>-0.36421476446634826</v>
      </c>
      <c r="CK1990" s="38">
        <f t="shared" si="627"/>
        <v>0</v>
      </c>
      <c r="CL1990" s="38">
        <f t="shared" si="624"/>
        <v>0</v>
      </c>
      <c r="CM1990" s="247"/>
      <c r="CN1990" s="247"/>
      <c r="CO1990" s="36"/>
      <c r="CP1990" s="36" t="s">
        <v>5800</v>
      </c>
      <c r="CQ1990" s="241" t="s">
        <v>272</v>
      </c>
      <c r="CR1990" s="241"/>
      <c r="CS1990" s="33"/>
      <c r="CT1990" s="33"/>
      <c r="CU1990" s="250" t="s">
        <v>6310</v>
      </c>
      <c r="CV1990" s="337" t="s">
        <v>6310</v>
      </c>
      <c r="CW1990" s="330">
        <f t="shared" si="625"/>
        <v>1</v>
      </c>
      <c r="CX1990" s="330"/>
      <c r="CY1990" s="143" t="s">
        <v>5921</v>
      </c>
    </row>
    <row r="1991" spans="1:103" ht="12.6" customHeight="1" x14ac:dyDescent="0.2">
      <c r="A1991" s="72">
        <v>1989</v>
      </c>
      <c r="B1991" s="241">
        <v>2107</v>
      </c>
      <c r="C1991" s="32" t="s">
        <v>5809</v>
      </c>
      <c r="D1991" s="32"/>
      <c r="E1991" s="40"/>
      <c r="F1991" s="241" t="s">
        <v>6416</v>
      </c>
      <c r="G1991" s="241" t="s">
        <v>6416</v>
      </c>
      <c r="H1991" s="36"/>
      <c r="I1991" s="36"/>
      <c r="J1991" s="36"/>
      <c r="K1991" s="36"/>
      <c r="L1991" s="36"/>
      <c r="M1991" s="36"/>
      <c r="N1991" s="36"/>
      <c r="O1991" s="36"/>
      <c r="P1991" s="41"/>
      <c r="Q1991" s="41"/>
      <c r="R1991" s="41"/>
      <c r="S1991" s="41"/>
      <c r="T1991" s="37">
        <v>487</v>
      </c>
      <c r="U1991" s="243"/>
      <c r="V1991" s="243"/>
      <c r="W1991" s="243"/>
      <c r="X1991" s="243"/>
      <c r="Y1991" s="414"/>
      <c r="Z1991" s="37"/>
      <c r="AA1991" s="37"/>
      <c r="AB1991" s="37"/>
      <c r="AC1991" s="37"/>
      <c r="AD1991" s="37"/>
      <c r="AE1991" s="37"/>
      <c r="AF1991" s="37"/>
      <c r="AG1991" s="37">
        <v>3.6070000000000002</v>
      </c>
      <c r="AH1991" s="243"/>
      <c r="AI1991" s="243"/>
      <c r="AJ1991" s="34"/>
      <c r="AK1991" s="34"/>
      <c r="AL1991" s="34"/>
      <c r="AM1991" s="34"/>
      <c r="AN1991" s="244"/>
      <c r="AO1991" s="417"/>
      <c r="AP1991" s="417"/>
      <c r="AQ1991" s="244" t="s">
        <v>6311</v>
      </c>
      <c r="AR1991" s="244" t="s">
        <v>6311</v>
      </c>
      <c r="AS1991" s="241" t="s">
        <v>5466</v>
      </c>
      <c r="AT1991" s="39" t="s">
        <v>266</v>
      </c>
      <c r="AU1991" s="37">
        <v>24</v>
      </c>
      <c r="AV1991" s="37">
        <v>96</v>
      </c>
      <c r="AW1991" s="37">
        <v>72</v>
      </c>
      <c r="AX1991" s="37">
        <v>26</v>
      </c>
      <c r="AY1991" s="37" t="s">
        <v>5799</v>
      </c>
      <c r="AZ1991" s="37" t="s">
        <v>5717</v>
      </c>
      <c r="BA1991" s="37">
        <v>72</v>
      </c>
      <c r="BB1991" s="36" t="s">
        <v>5666</v>
      </c>
      <c r="BC1991" s="36" t="s">
        <v>5721</v>
      </c>
      <c r="BD1991" s="36"/>
      <c r="BE1991" s="37" t="s">
        <v>1584</v>
      </c>
      <c r="BF1991" s="37"/>
      <c r="BG1991" s="37"/>
      <c r="BH1991" s="37"/>
      <c r="BI1991" s="243">
        <v>1.2500000000000001E-2</v>
      </c>
      <c r="BJ1991" s="243">
        <v>1.25</v>
      </c>
      <c r="BK1991" s="37"/>
      <c r="BL1991" s="243"/>
      <c r="BM1991" s="37"/>
      <c r="BN1991" s="37"/>
      <c r="BO1991" s="37"/>
      <c r="BP1991" s="37"/>
      <c r="BQ1991" s="37"/>
      <c r="BR1991" s="37"/>
      <c r="BS1991" s="37"/>
      <c r="BT1991" s="37"/>
      <c r="BU1991" s="246"/>
      <c r="BV1991" s="37"/>
      <c r="BW1991" s="37"/>
      <c r="BX1991" s="37"/>
      <c r="BY1991" s="37"/>
      <c r="BZ1991" s="37"/>
      <c r="CA1991" s="37">
        <v>5.3100000000000001E-2</v>
      </c>
      <c r="CB1991" s="37"/>
      <c r="CC1991" s="37"/>
      <c r="CD1991" s="37"/>
      <c r="CE1991" s="37"/>
      <c r="CF1991" s="37"/>
      <c r="CG1991" s="37"/>
      <c r="CH1991" s="37"/>
      <c r="CI1991" s="243">
        <f t="shared" si="622"/>
        <v>5.3100000000000001E-2</v>
      </c>
      <c r="CJ1991" s="243">
        <f t="shared" si="623"/>
        <v>-1.274905478918531</v>
      </c>
      <c r="CK1991" s="38">
        <f t="shared" si="627"/>
        <v>0</v>
      </c>
      <c r="CL1991" s="38">
        <f t="shared" si="624"/>
        <v>0</v>
      </c>
      <c r="CM1991" s="247"/>
      <c r="CN1991" s="247"/>
      <c r="CO1991" s="36"/>
      <c r="CP1991" s="36" t="s">
        <v>5800</v>
      </c>
      <c r="CQ1991" s="241" t="s">
        <v>272</v>
      </c>
      <c r="CR1991" s="241"/>
      <c r="CS1991" s="33"/>
      <c r="CT1991" s="33"/>
      <c r="CU1991" s="250" t="s">
        <v>6310</v>
      </c>
      <c r="CV1991" s="337" t="s">
        <v>6310</v>
      </c>
      <c r="CW1991" s="330">
        <f t="shared" si="625"/>
        <v>1</v>
      </c>
      <c r="CX1991" s="330"/>
      <c r="CY1991" s="143" t="s">
        <v>5921</v>
      </c>
    </row>
    <row r="1992" spans="1:103" ht="12.6" customHeight="1" x14ac:dyDescent="0.2">
      <c r="A1992" s="72">
        <v>1990</v>
      </c>
      <c r="B1992" s="241">
        <v>2108</v>
      </c>
      <c r="C1992" s="32" t="s">
        <v>5810</v>
      </c>
      <c r="D1992" s="32"/>
      <c r="E1992" s="40"/>
      <c r="F1992" s="241" t="s">
        <v>6418</v>
      </c>
      <c r="G1992" s="241" t="s">
        <v>6418</v>
      </c>
      <c r="H1992" s="36"/>
      <c r="I1992" s="36"/>
      <c r="J1992" s="36"/>
      <c r="K1992" s="36"/>
      <c r="L1992" s="36"/>
      <c r="M1992" s="36"/>
      <c r="N1992" s="36"/>
      <c r="O1992" s="36"/>
      <c r="P1992" s="41"/>
      <c r="Q1992" s="41"/>
      <c r="R1992" s="41"/>
      <c r="S1992" s="41"/>
      <c r="T1992" s="37">
        <v>457</v>
      </c>
      <c r="U1992" s="243"/>
      <c r="V1992" s="243"/>
      <c r="W1992" s="243"/>
      <c r="X1992" s="243"/>
      <c r="Y1992" s="414"/>
      <c r="Z1992" s="37"/>
      <c r="AA1992" s="37"/>
      <c r="AB1992" s="37"/>
      <c r="AC1992" s="37"/>
      <c r="AD1992" s="37"/>
      <c r="AE1992" s="37"/>
      <c r="AF1992" s="37"/>
      <c r="AG1992" s="37">
        <v>3.6219999999999999</v>
      </c>
      <c r="AH1992" s="243"/>
      <c r="AI1992" s="243"/>
      <c r="AJ1992" s="34"/>
      <c r="AK1992" s="34"/>
      <c r="AL1992" s="34"/>
      <c r="AM1992" s="34"/>
      <c r="AN1992" s="244"/>
      <c r="AO1992" s="417"/>
      <c r="AP1992" s="417"/>
      <c r="AQ1992" s="244" t="s">
        <v>6311</v>
      </c>
      <c r="AR1992" s="244" t="s">
        <v>6311</v>
      </c>
      <c r="AS1992" s="241" t="s">
        <v>5466</v>
      </c>
      <c r="AT1992" s="39" t="s">
        <v>266</v>
      </c>
      <c r="AU1992" s="37">
        <v>24</v>
      </c>
      <c r="AV1992" s="37">
        <v>96</v>
      </c>
      <c r="AW1992" s="37">
        <v>72</v>
      </c>
      <c r="AX1992" s="37">
        <v>26</v>
      </c>
      <c r="AY1992" s="37" t="s">
        <v>5799</v>
      </c>
      <c r="AZ1992" s="37" t="s">
        <v>5717</v>
      </c>
      <c r="BA1992" s="37">
        <v>72</v>
      </c>
      <c r="BB1992" s="36" t="s">
        <v>5666</v>
      </c>
      <c r="BC1992" s="36" t="s">
        <v>5721</v>
      </c>
      <c r="BD1992" s="36"/>
      <c r="BE1992" s="37" t="s">
        <v>1584</v>
      </c>
      <c r="BF1992" s="37"/>
      <c r="BG1992" s="37"/>
      <c r="BH1992" s="37"/>
      <c r="BI1992" s="243">
        <v>1.2500000000000001E-2</v>
      </c>
      <c r="BJ1992" s="243">
        <v>1.25</v>
      </c>
      <c r="BK1992" s="37"/>
      <c r="BL1992" s="243"/>
      <c r="BM1992" s="37"/>
      <c r="BN1992" s="37"/>
      <c r="BO1992" s="37"/>
      <c r="BP1992" s="37"/>
      <c r="BQ1992" s="37"/>
      <c r="BR1992" s="37"/>
      <c r="BS1992" s="37"/>
      <c r="BT1992" s="37"/>
      <c r="BU1992" s="246"/>
      <c r="BV1992" s="37"/>
      <c r="BW1992" s="37"/>
      <c r="BX1992" s="37"/>
      <c r="BY1992" s="37"/>
      <c r="BZ1992" s="37"/>
      <c r="CA1992" s="37">
        <v>5.6120000000000003E-2</v>
      </c>
      <c r="CB1992" s="37"/>
      <c r="CC1992" s="37"/>
      <c r="CD1992" s="37"/>
      <c r="CE1992" s="37"/>
      <c r="CF1992" s="37"/>
      <c r="CG1992" s="37"/>
      <c r="CH1992" s="37"/>
      <c r="CI1992" s="243">
        <f t="shared" si="622"/>
        <v>5.6120000000000003E-2</v>
      </c>
      <c r="CJ1992" s="243">
        <f t="shared" si="623"/>
        <v>-1.2508823376436777</v>
      </c>
      <c r="CK1992" s="38">
        <f t="shared" si="627"/>
        <v>0</v>
      </c>
      <c r="CL1992" s="38">
        <f t="shared" si="624"/>
        <v>0</v>
      </c>
      <c r="CM1992" s="247"/>
      <c r="CN1992" s="247"/>
      <c r="CO1992" s="36"/>
      <c r="CP1992" s="36" t="s">
        <v>5800</v>
      </c>
      <c r="CQ1992" s="241" t="s">
        <v>272</v>
      </c>
      <c r="CR1992" s="241"/>
      <c r="CS1992" s="33"/>
      <c r="CT1992" s="33"/>
      <c r="CU1992" s="250" t="s">
        <v>6310</v>
      </c>
      <c r="CV1992" s="337" t="s">
        <v>6310</v>
      </c>
      <c r="CW1992" s="330">
        <f t="shared" si="625"/>
        <v>1</v>
      </c>
      <c r="CX1992" s="330"/>
      <c r="CY1992" s="143" t="s">
        <v>5921</v>
      </c>
    </row>
    <row r="1993" spans="1:103" ht="12.6" customHeight="1" x14ac:dyDescent="0.2">
      <c r="A1993" s="72">
        <v>1991</v>
      </c>
      <c r="B1993" s="241">
        <v>2109</v>
      </c>
      <c r="C1993" s="32" t="s">
        <v>5811</v>
      </c>
      <c r="D1993" s="32"/>
      <c r="E1993" s="40"/>
      <c r="F1993" s="241" t="s">
        <v>6417</v>
      </c>
      <c r="G1993" s="241" t="s">
        <v>6417</v>
      </c>
      <c r="H1993" s="36"/>
      <c r="I1993" s="36"/>
      <c r="J1993" s="36"/>
      <c r="K1993" s="36"/>
      <c r="L1993" s="36"/>
      <c r="M1993" s="36"/>
      <c r="N1993" s="36"/>
      <c r="O1993" s="36"/>
      <c r="P1993" s="41"/>
      <c r="Q1993" s="41"/>
      <c r="R1993" s="41"/>
      <c r="S1993" s="41"/>
      <c r="T1993" s="37">
        <v>441</v>
      </c>
      <c r="U1993" s="243"/>
      <c r="V1993" s="243"/>
      <c r="W1993" s="243"/>
      <c r="X1993" s="243"/>
      <c r="Y1993" s="414"/>
      <c r="Z1993" s="37"/>
      <c r="AA1993" s="37"/>
      <c r="AB1993" s="37"/>
      <c r="AC1993" s="37"/>
      <c r="AD1993" s="37"/>
      <c r="AE1993" s="37"/>
      <c r="AF1993" s="37"/>
      <c r="AG1993" s="37">
        <v>3.8660000000000001</v>
      </c>
      <c r="AH1993" s="243"/>
      <c r="AI1993" s="243"/>
      <c r="AJ1993" s="34"/>
      <c r="AK1993" s="34"/>
      <c r="AL1993" s="34"/>
      <c r="AM1993" s="34"/>
      <c r="AN1993" s="244"/>
      <c r="AO1993" s="417"/>
      <c r="AP1993" s="417"/>
      <c r="AQ1993" s="244" t="s">
        <v>6311</v>
      </c>
      <c r="AR1993" s="244" t="s">
        <v>6311</v>
      </c>
      <c r="AS1993" s="241" t="s">
        <v>5466</v>
      </c>
      <c r="AT1993" s="39" t="s">
        <v>266</v>
      </c>
      <c r="AU1993" s="37">
        <v>24</v>
      </c>
      <c r="AV1993" s="37">
        <v>96</v>
      </c>
      <c r="AW1993" s="37">
        <v>72</v>
      </c>
      <c r="AX1993" s="37">
        <v>26</v>
      </c>
      <c r="AY1993" s="37" t="s">
        <v>5799</v>
      </c>
      <c r="AZ1993" s="37" t="s">
        <v>5717</v>
      </c>
      <c r="BA1993" s="37">
        <v>72</v>
      </c>
      <c r="BB1993" s="36" t="s">
        <v>5666</v>
      </c>
      <c r="BC1993" s="36" t="s">
        <v>5721</v>
      </c>
      <c r="BD1993" s="36"/>
      <c r="BE1993" s="37" t="s">
        <v>1584</v>
      </c>
      <c r="BF1993" s="37"/>
      <c r="BG1993" s="37"/>
      <c r="BH1993" s="37"/>
      <c r="BI1993" s="243">
        <v>1.2500000000000001E-2</v>
      </c>
      <c r="BJ1993" s="243">
        <v>1.25</v>
      </c>
      <c r="BK1993" s="37"/>
      <c r="BL1993" s="243"/>
      <c r="BM1993" s="37"/>
      <c r="BN1993" s="37"/>
      <c r="BO1993" s="37"/>
      <c r="BP1993" s="37"/>
      <c r="BQ1993" s="37"/>
      <c r="BR1993" s="37"/>
      <c r="BS1993" s="37"/>
      <c r="BT1993" s="37"/>
      <c r="BU1993" s="246"/>
      <c r="BV1993" s="37"/>
      <c r="BW1993" s="37"/>
      <c r="BX1993" s="37"/>
      <c r="BY1993" s="37"/>
      <c r="BZ1993" s="37"/>
      <c r="CA1993" s="37">
        <v>0.41959000000000002</v>
      </c>
      <c r="CB1993" s="37"/>
      <c r="CC1993" s="37"/>
      <c r="CD1993" s="37"/>
      <c r="CE1993" s="37"/>
      <c r="CF1993" s="37"/>
      <c r="CG1993" s="37"/>
      <c r="CH1993" s="37"/>
      <c r="CI1993" s="243">
        <f t="shared" si="622"/>
        <v>0.41959000000000002</v>
      </c>
      <c r="CJ1993" s="243">
        <f t="shared" si="623"/>
        <v>-0.37717487080395845</v>
      </c>
      <c r="CK1993" s="38">
        <f t="shared" si="627"/>
        <v>0</v>
      </c>
      <c r="CL1993" s="38">
        <f t="shared" si="624"/>
        <v>0</v>
      </c>
      <c r="CM1993" s="247"/>
      <c r="CN1993" s="247"/>
      <c r="CO1993" s="36"/>
      <c r="CP1993" s="36" t="s">
        <v>5800</v>
      </c>
      <c r="CQ1993" s="241" t="s">
        <v>272</v>
      </c>
      <c r="CR1993" s="241"/>
      <c r="CS1993" s="33"/>
      <c r="CT1993" s="33"/>
      <c r="CU1993" s="250" t="s">
        <v>6310</v>
      </c>
      <c r="CV1993" s="337" t="s">
        <v>6310</v>
      </c>
      <c r="CW1993" s="330">
        <f t="shared" si="625"/>
        <v>1</v>
      </c>
      <c r="CX1993" s="330"/>
      <c r="CY1993" s="143" t="s">
        <v>5921</v>
      </c>
    </row>
    <row r="1994" spans="1:103" ht="12.6" customHeight="1" x14ac:dyDescent="0.2">
      <c r="A1994" s="72">
        <v>1992</v>
      </c>
      <c r="B1994" s="241">
        <v>733</v>
      </c>
      <c r="C1994" s="32" t="s">
        <v>2071</v>
      </c>
      <c r="D1994" s="32"/>
      <c r="E1994" s="40"/>
      <c r="F1994" s="241" t="s">
        <v>6419</v>
      </c>
      <c r="G1994" s="241" t="s">
        <v>6419</v>
      </c>
      <c r="H1994" s="36" t="s">
        <v>2072</v>
      </c>
      <c r="I1994" s="36" t="s">
        <v>7748</v>
      </c>
      <c r="J1994" s="36" t="s">
        <v>2073</v>
      </c>
      <c r="K1994" s="36" t="s">
        <v>349</v>
      </c>
      <c r="L1994" s="36"/>
      <c r="M1994" s="36"/>
      <c r="N1994" s="36"/>
      <c r="O1994" s="36"/>
      <c r="P1994" s="41"/>
      <c r="Q1994" s="41"/>
      <c r="R1994" s="41"/>
      <c r="S1994" s="41"/>
      <c r="T1994" s="37">
        <v>265.35000000000002</v>
      </c>
      <c r="U1994" s="243"/>
      <c r="V1994" s="243">
        <v>3.7124552477859431E-4</v>
      </c>
      <c r="W1994" s="243">
        <v>1.7782794100389215E-2</v>
      </c>
      <c r="X1994" s="243">
        <f>IF(W1994=0,V1994,W1994)</f>
        <v>1.7782794100389215E-2</v>
      </c>
      <c r="Y1994" s="414">
        <v>6.07</v>
      </c>
      <c r="Z1994" s="37">
        <v>6.2</v>
      </c>
      <c r="AA1994" s="37"/>
      <c r="AB1994" s="37">
        <v>5.0199999999999996</v>
      </c>
      <c r="AC1994" s="37">
        <v>0.49590000000000001</v>
      </c>
      <c r="AD1994" s="37">
        <v>5.5</v>
      </c>
      <c r="AE1994" s="37">
        <v>5.87</v>
      </c>
      <c r="AF1994" s="37">
        <f>IF(AA1994=0,AD1994,AA1994)</f>
        <v>5.5</v>
      </c>
      <c r="AG1994" s="38">
        <v>4.79</v>
      </c>
      <c r="AH1994" s="243">
        <v>7.4499999999999995E-5</v>
      </c>
      <c r="AI1994" s="243"/>
      <c r="AJ1994" s="34">
        <f>LOG10(AH1994*1000/(0.08206*298.15))</f>
        <v>-2.5164100535643588</v>
      </c>
      <c r="AK1994" s="34"/>
      <c r="AL1994" s="34">
        <f>IF(AK1994=0,AJ1994,AK1994)</f>
        <v>-2.5164100535643588</v>
      </c>
      <c r="AM1994" s="34">
        <v>-7.0290599999999994</v>
      </c>
      <c r="AN1994" s="244">
        <v>-2.2999999999999998</v>
      </c>
      <c r="AO1994" s="417">
        <v>7.38</v>
      </c>
      <c r="AP1994" s="417"/>
      <c r="AQ1994" s="244" t="s">
        <v>5921</v>
      </c>
      <c r="AR1994" s="244" t="s">
        <v>5921</v>
      </c>
      <c r="AS1994" s="241" t="s">
        <v>1687</v>
      </c>
      <c r="AT1994" s="39" t="s">
        <v>266</v>
      </c>
      <c r="AU1994" s="37">
        <v>2</v>
      </c>
      <c r="AV1994" s="37">
        <v>48</v>
      </c>
      <c r="AW1994" s="37">
        <v>48</v>
      </c>
      <c r="AX1994" s="37">
        <v>26</v>
      </c>
      <c r="AY1994" s="37" t="s">
        <v>8722</v>
      </c>
      <c r="AZ1994" s="37" t="s">
        <v>1586</v>
      </c>
      <c r="BA1994" s="37">
        <v>60</v>
      </c>
      <c r="BB1994" s="36" t="s">
        <v>537</v>
      </c>
      <c r="BC1994" s="36" t="s">
        <v>538</v>
      </c>
      <c r="BD1994" s="36"/>
      <c r="BE1994" s="37" t="s">
        <v>271</v>
      </c>
      <c r="BF1994" s="37" t="s">
        <v>272</v>
      </c>
      <c r="BG1994" s="37" t="s">
        <v>272</v>
      </c>
      <c r="BH1994" s="37" t="s">
        <v>1587</v>
      </c>
      <c r="BI1994" s="243" t="s">
        <v>8722</v>
      </c>
      <c r="BJ1994" s="243" t="s">
        <v>8722</v>
      </c>
      <c r="BK1994" s="37"/>
      <c r="BL1994" s="243">
        <f>10^((-0.8981*Z1994)+1.7108)</f>
        <v>1.3886090776162139E-4</v>
      </c>
      <c r="BM1994" s="37" t="s">
        <v>1588</v>
      </c>
      <c r="BN1994" s="37"/>
      <c r="BO1994" s="37">
        <v>13.3</v>
      </c>
      <c r="BP1994" s="37"/>
      <c r="BQ1994" s="37"/>
      <c r="BR1994" s="37"/>
      <c r="BS1994" s="37"/>
      <c r="BT1994" s="37"/>
      <c r="BU1994" s="246"/>
      <c r="BV1994" s="37"/>
      <c r="BW1994" s="37"/>
      <c r="BX1994" s="37"/>
      <c r="BY1994" s="37"/>
      <c r="BZ1994" s="37"/>
      <c r="CA1994" s="37"/>
      <c r="CB1994" s="37"/>
      <c r="CC1994" s="37"/>
      <c r="CD1994" s="37"/>
      <c r="CE1994" s="37"/>
      <c r="CF1994" s="37"/>
      <c r="CG1994" s="37"/>
      <c r="CH1994" s="37"/>
      <c r="CI1994" s="243">
        <f t="shared" si="622"/>
        <v>13.3</v>
      </c>
      <c r="CJ1994" s="243">
        <f t="shared" si="623"/>
        <v>1.1238516409670858</v>
      </c>
      <c r="CK1994" s="38" t="s">
        <v>404</v>
      </c>
      <c r="CL1994" s="247">
        <f t="shared" si="624"/>
        <v>1.0440669756512886E-5</v>
      </c>
      <c r="CM1994" s="247"/>
      <c r="CN1994" s="247"/>
      <c r="CO1994" s="36"/>
      <c r="CP1994" s="36" t="s">
        <v>1589</v>
      </c>
      <c r="CQ1994" s="241" t="s">
        <v>272</v>
      </c>
      <c r="CR1994" s="241"/>
      <c r="CS1994" s="33"/>
      <c r="CT1994" s="33"/>
      <c r="CU1994" s="250">
        <f>X1994/CI1994</f>
        <v>1.3370521879991889E-3</v>
      </c>
      <c r="CV1994" s="337"/>
      <c r="CW1994" s="330">
        <f t="shared" si="625"/>
        <v>0</v>
      </c>
      <c r="CX1994" s="330"/>
      <c r="CY1994" s="143" t="s">
        <v>5921</v>
      </c>
    </row>
    <row r="1995" spans="1:103" ht="12.6" customHeight="1" x14ac:dyDescent="0.2">
      <c r="A1995" s="72">
        <v>1993</v>
      </c>
      <c r="B1995" s="241">
        <v>732</v>
      </c>
      <c r="C1995" s="32" t="s">
        <v>2068</v>
      </c>
      <c r="D1995" s="32"/>
      <c r="E1995" s="40"/>
      <c r="F1995" s="241" t="s">
        <v>6420</v>
      </c>
      <c r="G1995" s="241" t="s">
        <v>6420</v>
      </c>
      <c r="H1995" s="36" t="s">
        <v>2069</v>
      </c>
      <c r="I1995" s="36" t="s">
        <v>7737</v>
      </c>
      <c r="J1995" s="36" t="s">
        <v>2070</v>
      </c>
      <c r="K1995" s="36" t="s">
        <v>349</v>
      </c>
      <c r="L1995" s="36"/>
      <c r="M1995" s="36"/>
      <c r="N1995" s="36"/>
      <c r="O1995" s="36"/>
      <c r="P1995" s="41"/>
      <c r="Q1995" s="41"/>
      <c r="R1995" s="41"/>
      <c r="S1995" s="41"/>
      <c r="T1995" s="37">
        <v>265.35000000000002</v>
      </c>
      <c r="U1995" s="243"/>
      <c r="V1995" s="243">
        <v>3.4098360655737702E-4</v>
      </c>
      <c r="W1995" s="243">
        <v>1.2882495516931347E-2</v>
      </c>
      <c r="X1995" s="243">
        <f>IF(W1995=0,V1995,W1995)</f>
        <v>1.2882495516931347E-2</v>
      </c>
      <c r="Y1995" s="414">
        <v>6.7</v>
      </c>
      <c r="Z1995" s="37">
        <v>6.69</v>
      </c>
      <c r="AA1995" s="37"/>
      <c r="AB1995" s="37">
        <v>5.65</v>
      </c>
      <c r="AC1995" s="37">
        <v>0.49199999999999999</v>
      </c>
      <c r="AD1995" s="37">
        <v>6.19</v>
      </c>
      <c r="AE1995" s="37">
        <v>6.63</v>
      </c>
      <c r="AF1995" s="37">
        <f>IF(AA1995=0,AD1995,AA1995)</f>
        <v>6.19</v>
      </c>
      <c r="AG1995" s="38">
        <v>5.98</v>
      </c>
      <c r="AH1995" s="243">
        <v>2.3800000000000001E-6</v>
      </c>
      <c r="AI1995" s="243"/>
      <c r="AJ1995" s="34">
        <f>LOG10(AH1995*1000/(0.08206*298.15))</f>
        <v>-4.0119893692561401</v>
      </c>
      <c r="AK1995" s="34"/>
      <c r="AL1995" s="34">
        <f>IF(AK1995=0,AJ1995,AK1995)</f>
        <v>-4.0119893692561401</v>
      </c>
      <c r="AM1995" s="34">
        <v>-6.8363900000000006</v>
      </c>
      <c r="AN1995" s="244">
        <v>-2.14</v>
      </c>
      <c r="AO1995" s="417">
        <v>8.64</v>
      </c>
      <c r="AP1995" s="417"/>
      <c r="AQ1995" s="244" t="s">
        <v>5921</v>
      </c>
      <c r="AR1995" s="244" t="s">
        <v>5921</v>
      </c>
      <c r="AS1995" s="241" t="s">
        <v>1687</v>
      </c>
      <c r="AT1995" s="39" t="s">
        <v>266</v>
      </c>
      <c r="AU1995" s="37">
        <v>2</v>
      </c>
      <c r="AV1995" s="37">
        <v>48</v>
      </c>
      <c r="AW1995" s="37">
        <v>48</v>
      </c>
      <c r="AX1995" s="37">
        <v>26</v>
      </c>
      <c r="AY1995" s="37" t="s">
        <v>8722</v>
      </c>
      <c r="AZ1995" s="37" t="s">
        <v>1586</v>
      </c>
      <c r="BA1995" s="37">
        <v>60</v>
      </c>
      <c r="BB1995" s="36" t="s">
        <v>537</v>
      </c>
      <c r="BC1995" s="36" t="s">
        <v>538</v>
      </c>
      <c r="BD1995" s="36"/>
      <c r="BE1995" s="37" t="s">
        <v>271</v>
      </c>
      <c r="BF1995" s="37" t="s">
        <v>272</v>
      </c>
      <c r="BG1995" s="37" t="s">
        <v>272</v>
      </c>
      <c r="BH1995" s="37" t="s">
        <v>1587</v>
      </c>
      <c r="BI1995" s="243" t="s">
        <v>8722</v>
      </c>
      <c r="BJ1995" s="243" t="s">
        <v>8722</v>
      </c>
      <c r="BK1995" s="37"/>
      <c r="BL1995" s="243">
        <f>10^((-0.8981*Z1995)+1.7108)</f>
        <v>5.0409338683807241E-5</v>
      </c>
      <c r="BM1995" s="37" t="s">
        <v>1588</v>
      </c>
      <c r="BN1995" s="37"/>
      <c r="BO1995" s="37">
        <v>27.1</v>
      </c>
      <c r="BP1995" s="37"/>
      <c r="BQ1995" s="37"/>
      <c r="BR1995" s="37"/>
      <c r="BS1995" s="37"/>
      <c r="BT1995" s="37"/>
      <c r="BU1995" s="246"/>
      <c r="BV1995" s="37"/>
      <c r="BW1995" s="37"/>
      <c r="BX1995" s="37"/>
      <c r="BY1995" s="37"/>
      <c r="BZ1995" s="37"/>
      <c r="CA1995" s="37"/>
      <c r="CB1995" s="37"/>
      <c r="CC1995" s="37"/>
      <c r="CD1995" s="37"/>
      <c r="CE1995" s="37"/>
      <c r="CF1995" s="37"/>
      <c r="CG1995" s="37"/>
      <c r="CH1995" s="37"/>
      <c r="CI1995" s="243">
        <f t="shared" si="622"/>
        <v>27.1</v>
      </c>
      <c r="CJ1995" s="243">
        <f t="shared" si="623"/>
        <v>1.4329692908744058</v>
      </c>
      <c r="CK1995" s="38" t="s">
        <v>404</v>
      </c>
      <c r="CL1995" s="247">
        <f t="shared" si="624"/>
        <v>1.8601231986644737E-6</v>
      </c>
      <c r="CM1995" s="247"/>
      <c r="CN1995" s="247"/>
      <c r="CO1995" s="36"/>
      <c r="CP1995" s="36" t="s">
        <v>1589</v>
      </c>
      <c r="CQ1995" s="241" t="s">
        <v>272</v>
      </c>
      <c r="CR1995" s="241"/>
      <c r="CS1995" s="33"/>
      <c r="CT1995" s="33"/>
      <c r="CU1995" s="250">
        <f>X1995/CI1995</f>
        <v>4.7536883826314932E-4</v>
      </c>
      <c r="CV1995" s="337"/>
      <c r="CW1995" s="330">
        <f t="shared" si="625"/>
        <v>0</v>
      </c>
      <c r="CX1995" s="330"/>
      <c r="CY1995" s="143" t="s">
        <v>5921</v>
      </c>
    </row>
    <row r="1996" spans="1:103" ht="12.6" customHeight="1" x14ac:dyDescent="0.2">
      <c r="A1996" s="72">
        <v>1994</v>
      </c>
      <c r="B1996" s="241">
        <v>2159</v>
      </c>
      <c r="C1996" s="32" t="s">
        <v>1411</v>
      </c>
      <c r="D1996" s="32"/>
      <c r="E1996" s="40"/>
      <c r="F1996" s="37" t="s">
        <v>1412</v>
      </c>
      <c r="G1996" s="478">
        <v>60207901</v>
      </c>
      <c r="H1996" s="277"/>
      <c r="I1996" s="277" t="s">
        <v>7877</v>
      </c>
      <c r="J1996" s="277"/>
      <c r="K1996" s="277"/>
      <c r="L1996" s="278" t="s">
        <v>5990</v>
      </c>
      <c r="M1996" s="278" t="s">
        <v>6082</v>
      </c>
      <c r="N1996" s="36" t="s">
        <v>6082</v>
      </c>
      <c r="O1996" s="278"/>
      <c r="P1996" s="41"/>
      <c r="Q1996" s="41"/>
      <c r="R1996" s="41"/>
      <c r="S1996" s="41"/>
      <c r="T1996" s="277">
        <v>342.22430000000003</v>
      </c>
      <c r="U1996" s="281"/>
      <c r="V1996" s="281"/>
      <c r="W1996" s="281">
        <v>3.0902954325135859E-2</v>
      </c>
      <c r="X1996" s="281">
        <f>IF(W1996=0,V1996,W1996)</f>
        <v>3.0902954325135859E-2</v>
      </c>
      <c r="Y1996" s="418">
        <v>7.01</v>
      </c>
      <c r="Z1996" s="277"/>
      <c r="AA1996" s="277"/>
      <c r="AB1996" s="277"/>
      <c r="AC1996" s="277"/>
      <c r="AD1996" s="277"/>
      <c r="AE1996" s="277"/>
      <c r="AF1996" s="277"/>
      <c r="AG1996" s="277"/>
      <c r="AH1996" s="281"/>
      <c r="AI1996" s="277"/>
      <c r="AJ1996" s="34"/>
      <c r="AK1996" s="34"/>
      <c r="AL1996" s="34"/>
      <c r="AM1996" s="34"/>
      <c r="AN1996" s="277"/>
      <c r="AO1996" s="417"/>
      <c r="AP1996" s="417">
        <v>2.94</v>
      </c>
      <c r="AQ1996" s="277"/>
      <c r="AR1996" s="277"/>
      <c r="AS1996" s="277"/>
      <c r="AT1996" s="35" t="s">
        <v>266</v>
      </c>
      <c r="AU1996" s="277">
        <v>1</v>
      </c>
      <c r="AV1996" s="277">
        <v>49</v>
      </c>
      <c r="AW1996" s="277">
        <v>48</v>
      </c>
      <c r="AX1996" s="277">
        <v>26</v>
      </c>
      <c r="AY1996" s="277" t="s">
        <v>5935</v>
      </c>
      <c r="AZ1996" s="277" t="s">
        <v>4080</v>
      </c>
      <c r="BA1996" s="277">
        <v>40</v>
      </c>
      <c r="BB1996" s="279" t="s">
        <v>5934</v>
      </c>
      <c r="BC1996" s="280" t="s">
        <v>5937</v>
      </c>
      <c r="BD1996" s="280"/>
      <c r="BE1996" s="277"/>
      <c r="BF1996" s="277"/>
      <c r="BG1996" s="277"/>
      <c r="BH1996" s="277" t="s">
        <v>4089</v>
      </c>
      <c r="BI1996" s="277">
        <f>2.5/342.2243</f>
        <v>7.3051504524956285E-3</v>
      </c>
      <c r="BJ1996" s="277">
        <f>25/342.2243</f>
        <v>7.305150452495629E-2</v>
      </c>
      <c r="BK1996" s="277" t="s">
        <v>5933</v>
      </c>
      <c r="BL1996" s="281"/>
      <c r="BM1996" s="277"/>
      <c r="BN1996" s="277"/>
      <c r="BO1996" s="277"/>
      <c r="BP1996" s="277"/>
      <c r="BQ1996" s="277"/>
      <c r="BR1996" s="277"/>
      <c r="BS1996" s="277"/>
      <c r="BT1996" s="277"/>
      <c r="BU1996" s="277"/>
      <c r="BV1996" s="277"/>
      <c r="BW1996" s="277"/>
      <c r="BX1996" s="277"/>
      <c r="BY1996" s="277"/>
      <c r="BZ1996" s="277"/>
      <c r="CA1996" s="277"/>
      <c r="CB1996" s="277"/>
      <c r="CC1996" s="277"/>
      <c r="CD1996" s="277"/>
      <c r="CE1996" s="277"/>
      <c r="CF1996" s="277"/>
      <c r="CG1996" s="277"/>
      <c r="CH1996" s="277"/>
      <c r="CI1996" s="277"/>
      <c r="CJ1996" s="243"/>
      <c r="CK1996" s="277"/>
      <c r="CL1996" s="277"/>
      <c r="CM1996" s="247"/>
      <c r="CN1996" s="247"/>
      <c r="CO1996" s="277"/>
      <c r="CP1996" s="277" t="s">
        <v>5938</v>
      </c>
      <c r="CQ1996" s="241">
        <v>-1.956074768467305</v>
      </c>
      <c r="CR1996" s="241">
        <f>10^(CJ1996-CQ1996)</f>
        <v>90.380506009343293</v>
      </c>
      <c r="CS1996" s="37"/>
      <c r="CT1996" s="37" t="s">
        <v>6310</v>
      </c>
      <c r="CU1996" s="250"/>
      <c r="CV1996" s="337">
        <f>X1996/BJ1996</f>
        <v>0.4230296764740637</v>
      </c>
      <c r="CW1996" s="330">
        <f>IF(CV1996&lt;1,0,1)</f>
        <v>0</v>
      </c>
      <c r="CX1996" s="330" t="s">
        <v>539</v>
      </c>
      <c r="CY1996" s="143" t="s">
        <v>5921</v>
      </c>
    </row>
    <row r="1997" spans="1:103" ht="12.6" customHeight="1" x14ac:dyDescent="0.2">
      <c r="A1997" s="72">
        <v>1995</v>
      </c>
      <c r="B1997" s="241">
        <v>2160</v>
      </c>
      <c r="C1997" s="32" t="s">
        <v>1176</v>
      </c>
      <c r="D1997" s="32" t="s">
        <v>6533</v>
      </c>
      <c r="E1997" s="40"/>
      <c r="F1997" s="40" t="s">
        <v>1177</v>
      </c>
      <c r="G1997" s="242">
        <v>72490018</v>
      </c>
      <c r="H1997" s="36" t="s">
        <v>1178</v>
      </c>
      <c r="I1997" s="36" t="s">
        <v>1178</v>
      </c>
      <c r="J1997" s="36" t="s">
        <v>1179</v>
      </c>
      <c r="K1997" s="36" t="s">
        <v>1180</v>
      </c>
      <c r="L1997" s="36" t="s">
        <v>617</v>
      </c>
      <c r="M1997" s="36" t="s">
        <v>6087</v>
      </c>
      <c r="N1997" s="36" t="s">
        <v>6082</v>
      </c>
      <c r="O1997" s="36" t="s">
        <v>918</v>
      </c>
      <c r="P1997" s="41"/>
      <c r="Q1997" s="41"/>
      <c r="R1997" s="41"/>
      <c r="S1997" s="41"/>
      <c r="T1997" s="37">
        <v>301.33999999999997</v>
      </c>
      <c r="U1997" s="243">
        <v>1.9911063914515168E-2</v>
      </c>
      <c r="V1997" s="243">
        <v>8.5119798234552339E-3</v>
      </c>
      <c r="W1997" s="243">
        <v>7.0794578438413705E-2</v>
      </c>
      <c r="X1997" s="243">
        <v>1.9911063914515168E-2</v>
      </c>
      <c r="Y1997" s="414">
        <v>7</v>
      </c>
      <c r="Z1997" s="37">
        <v>4.24</v>
      </c>
      <c r="AA1997" s="37">
        <v>4.3</v>
      </c>
      <c r="AB1997" s="37">
        <v>3.95</v>
      </c>
      <c r="AC1997" s="37">
        <v>0.76349999999999996</v>
      </c>
      <c r="AD1997" s="37">
        <v>3.91</v>
      </c>
      <c r="AE1997" s="37">
        <v>3.83</v>
      </c>
      <c r="AF1997" s="37">
        <f>IF(AA1997=0,AD1997,AA1997)</f>
        <v>4.3</v>
      </c>
      <c r="AG1997" s="38">
        <v>3.1</v>
      </c>
      <c r="AH1997" s="243">
        <v>1.45E-11</v>
      </c>
      <c r="AI1997" s="243">
        <v>4.3000000000000001E-10</v>
      </c>
      <c r="AJ1997" s="34">
        <f>LOG10(AH1997*1000/(0.08206*298.15))</f>
        <v>-9.2271983240776763</v>
      </c>
      <c r="AK1997" s="34">
        <f>LOG10(AI1997*1000/(0.08206*298.15))</f>
        <v>-7.7550978707330653</v>
      </c>
      <c r="AL1997" s="34">
        <f>IF(AK1997=0,AJ1997,AK1997)</f>
        <v>-7.7550978707330653</v>
      </c>
      <c r="AM1997" s="34">
        <v>-14.524919999999998</v>
      </c>
      <c r="AN1997" s="244">
        <v>-6.97</v>
      </c>
      <c r="AO1997" s="417">
        <v>12.13</v>
      </c>
      <c r="AP1997" s="417">
        <v>-1.49</v>
      </c>
      <c r="AQ1997" s="244" t="s">
        <v>6311</v>
      </c>
      <c r="AR1997" s="244" t="s">
        <v>6312</v>
      </c>
      <c r="AS1997" s="241" t="s">
        <v>6</v>
      </c>
      <c r="AT1997" s="35" t="s">
        <v>266</v>
      </c>
      <c r="AU1997" s="277">
        <v>1</v>
      </c>
      <c r="AV1997" s="277">
        <v>49</v>
      </c>
      <c r="AW1997" s="277">
        <v>48</v>
      </c>
      <c r="AX1997" s="277">
        <v>26</v>
      </c>
      <c r="AY1997" s="277" t="s">
        <v>5935</v>
      </c>
      <c r="AZ1997" s="277" t="s">
        <v>4080</v>
      </c>
      <c r="BA1997" s="277">
        <v>40</v>
      </c>
      <c r="BB1997" s="279" t="s">
        <v>5934</v>
      </c>
      <c r="BC1997" s="280" t="s">
        <v>5937</v>
      </c>
      <c r="BD1997" s="280"/>
      <c r="BE1997" s="277"/>
      <c r="BF1997" s="277"/>
      <c r="BG1997" s="277"/>
      <c r="BH1997" s="277" t="s">
        <v>4089</v>
      </c>
      <c r="BI1997" s="277">
        <f>7.5/301.34</f>
        <v>2.4888829893143959E-2</v>
      </c>
      <c r="BJ1997" s="277">
        <f>20/301.34</f>
        <v>6.6370213048383891E-2</v>
      </c>
      <c r="BK1997" s="277" t="s">
        <v>5933</v>
      </c>
      <c r="BL1997" s="281"/>
      <c r="BM1997" s="277"/>
      <c r="BN1997" s="277"/>
      <c r="BO1997" s="277"/>
      <c r="BP1997" s="277"/>
      <c r="BQ1997" s="277"/>
      <c r="BR1997" s="277"/>
      <c r="BS1997" s="277"/>
      <c r="BT1997" s="277"/>
      <c r="BU1997" s="277"/>
      <c r="BV1997" s="277"/>
      <c r="BW1997" s="277"/>
      <c r="BX1997" s="277"/>
      <c r="BY1997" s="277"/>
      <c r="BZ1997" s="277"/>
      <c r="CA1997" s="277"/>
      <c r="CB1997" s="277"/>
      <c r="CC1997" s="277"/>
      <c r="CD1997" s="277"/>
      <c r="CE1997" s="277"/>
      <c r="CF1997" s="277"/>
      <c r="CG1997" s="277"/>
      <c r="CH1997" s="277"/>
      <c r="CI1997" s="281"/>
      <c r="CJ1997" s="243"/>
      <c r="CK1997" s="277"/>
      <c r="CL1997" s="277"/>
      <c r="CM1997" s="247"/>
      <c r="CN1997" s="247"/>
      <c r="CO1997" s="278"/>
      <c r="CP1997" s="277" t="s">
        <v>5938</v>
      </c>
      <c r="CQ1997" s="241">
        <v>-2.3813311631291771</v>
      </c>
      <c r="CR1997" s="241">
        <f>10^(CJ1997-CQ1997)</f>
        <v>240.61969010522938</v>
      </c>
      <c r="CS1997" s="37"/>
      <c r="CT1997" s="37" t="s">
        <v>6310</v>
      </c>
      <c r="CU1997" s="250"/>
      <c r="CV1997" s="337">
        <f>X1997/BJ1997</f>
        <v>0.3</v>
      </c>
      <c r="CW1997" s="330">
        <f>IF(CV1997&lt;1,0,1)</f>
        <v>0</v>
      </c>
      <c r="CX1997" s="330" t="s">
        <v>539</v>
      </c>
      <c r="CY1997" s="143" t="s">
        <v>5921</v>
      </c>
    </row>
    <row r="1998" spans="1:103" ht="12.6" customHeight="1" x14ac:dyDescent="0.2">
      <c r="A1998" s="72">
        <v>1996</v>
      </c>
      <c r="B1998" s="241">
        <v>2161</v>
      </c>
      <c r="C1998" s="32" t="s">
        <v>5932</v>
      </c>
      <c r="D1998" s="32"/>
      <c r="E1998" s="40"/>
      <c r="F1998" s="40" t="s">
        <v>909</v>
      </c>
      <c r="G1998" s="242">
        <v>555406536</v>
      </c>
      <c r="H1998" s="36" t="s">
        <v>910</v>
      </c>
      <c r="I1998" s="36" t="s">
        <v>7867</v>
      </c>
      <c r="J1998" s="36" t="s">
        <v>911</v>
      </c>
      <c r="K1998" s="36" t="s">
        <v>912</v>
      </c>
      <c r="L1998" s="36" t="s">
        <v>5576</v>
      </c>
      <c r="M1998" s="36" t="s">
        <v>5931</v>
      </c>
      <c r="N1998" s="36"/>
      <c r="O1998" s="36" t="s">
        <v>5940</v>
      </c>
      <c r="P1998" s="41"/>
      <c r="Q1998" s="41"/>
      <c r="R1998" s="41"/>
      <c r="S1998" s="41"/>
      <c r="T1998" s="37">
        <v>281.08999999999997</v>
      </c>
      <c r="U1998" s="243"/>
      <c r="V1998" s="243">
        <v>0.45038955494681421</v>
      </c>
      <c r="W1998" s="243">
        <v>0.25118864315095774</v>
      </c>
      <c r="X1998" s="243">
        <f>IF(W1998=0,V1998,W1998)</f>
        <v>0.25118864315095774</v>
      </c>
      <c r="Y1998" s="414">
        <v>6.99</v>
      </c>
      <c r="Z1998" s="37">
        <v>2.4500000000000002</v>
      </c>
      <c r="AA1998" s="37"/>
      <c r="AB1998" s="37">
        <v>2.06</v>
      </c>
      <c r="AC1998" s="37">
        <v>0.52690000000000003</v>
      </c>
      <c r="AD1998" s="37">
        <v>3.2</v>
      </c>
      <c r="AE1998" s="37">
        <v>4.4400000000000004</v>
      </c>
      <c r="AF1998" s="37">
        <f>IF(AA1998=0,AD1998,AA1998)</f>
        <v>3.2</v>
      </c>
      <c r="AG1998" s="38">
        <v>5.26</v>
      </c>
      <c r="AH1998" s="243">
        <v>8.9299999999999996E-9</v>
      </c>
      <c r="AI1998" s="243"/>
      <c r="AJ1998" s="34">
        <f>LOG10(AH1998*1000/(0.08206*298.15))</f>
        <v>-6.4377148674241056</v>
      </c>
      <c r="AK1998" s="34"/>
      <c r="AL1998" s="34">
        <f>IF(AK1998=0,AJ1998,AK1998)</f>
        <v>-6.4377148674241056</v>
      </c>
      <c r="AM1998" s="34">
        <v>-8.67258</v>
      </c>
      <c r="AN1998" s="244">
        <v>-6.64</v>
      </c>
      <c r="AO1998" s="417">
        <v>12.03</v>
      </c>
      <c r="AP1998" s="417">
        <v>-1.55</v>
      </c>
      <c r="AQ1998" s="244" t="s">
        <v>6311</v>
      </c>
      <c r="AR1998" s="244" t="s">
        <v>6315</v>
      </c>
      <c r="AS1998" s="241" t="s">
        <v>63</v>
      </c>
      <c r="AT1998" s="35" t="s">
        <v>266</v>
      </c>
      <c r="AU1998" s="277">
        <v>1</v>
      </c>
      <c r="AV1998" s="277">
        <v>49</v>
      </c>
      <c r="AW1998" s="277">
        <v>48</v>
      </c>
      <c r="AX1998" s="33">
        <v>26</v>
      </c>
      <c r="AY1998" s="277" t="s">
        <v>5935</v>
      </c>
      <c r="AZ1998" s="33" t="s">
        <v>4080</v>
      </c>
      <c r="BA1998" s="143">
        <v>40</v>
      </c>
      <c r="BB1998" s="279" t="s">
        <v>5934</v>
      </c>
      <c r="BC1998" s="280" t="s">
        <v>5937</v>
      </c>
      <c r="BD1998" s="280"/>
      <c r="BE1998" s="143"/>
      <c r="BF1998" s="143"/>
      <c r="BG1998" s="277"/>
      <c r="BH1998" s="143" t="s">
        <v>5936</v>
      </c>
      <c r="BI1998" s="143"/>
      <c r="BJ1998" s="143"/>
      <c r="BK1998" s="277" t="s">
        <v>5933</v>
      </c>
      <c r="BL1998" s="143"/>
      <c r="BM1998" s="143"/>
      <c r="BN1998" s="143"/>
      <c r="BO1998" s="143"/>
      <c r="BP1998" s="143"/>
      <c r="BQ1998" s="143"/>
      <c r="BR1998" s="143"/>
      <c r="BS1998" s="143"/>
      <c r="BT1998" s="143"/>
      <c r="BU1998" s="143"/>
      <c r="BV1998" s="143"/>
      <c r="BW1998" s="143"/>
      <c r="BX1998" s="143"/>
      <c r="BY1998" s="143"/>
      <c r="BZ1998" s="143"/>
      <c r="CA1998" s="143"/>
      <c r="CB1998" s="143"/>
      <c r="CC1998" s="143"/>
      <c r="CD1998" s="143"/>
      <c r="CE1998" s="143"/>
      <c r="CF1998" s="143"/>
      <c r="CG1998" s="143"/>
      <c r="CH1998" s="143"/>
      <c r="CI1998" s="143"/>
      <c r="CJ1998" s="243"/>
      <c r="CK1998" s="143"/>
      <c r="CL1998" s="143"/>
      <c r="CM1998" s="247"/>
      <c r="CN1998" s="247"/>
      <c r="CO1998" s="143"/>
      <c r="CP1998" s="277" t="s">
        <v>5938</v>
      </c>
      <c r="CQ1998" s="241" t="s">
        <v>272</v>
      </c>
      <c r="CR1998" s="241"/>
      <c r="CS1998" s="143"/>
      <c r="CT1998" s="143" t="s">
        <v>6310</v>
      </c>
      <c r="CU1998" s="250" t="s">
        <v>6310</v>
      </c>
      <c r="CV1998" s="337" t="s">
        <v>6310</v>
      </c>
      <c r="CW1998" s="330">
        <f>IF(CV1998&lt;1,0,1)</f>
        <v>1</v>
      </c>
      <c r="CX1998" s="330" t="s">
        <v>539</v>
      </c>
      <c r="CY1998" s="143" t="s">
        <v>5921</v>
      </c>
    </row>
    <row r="1999" spans="1:103" ht="11.25" customHeight="1" x14ac:dyDescent="0.2">
      <c r="A1999" s="72">
        <v>1997</v>
      </c>
      <c r="B1999" s="282">
        <v>1975</v>
      </c>
      <c r="C1999" s="115" t="s">
        <v>5543</v>
      </c>
      <c r="D1999" s="115"/>
      <c r="E1999" s="116">
        <v>1</v>
      </c>
      <c r="F1999" s="116" t="s">
        <v>5544</v>
      </c>
      <c r="G1999" s="283">
        <v>18540299</v>
      </c>
      <c r="H1999" s="286" t="s">
        <v>5545</v>
      </c>
      <c r="I1999" s="286"/>
      <c r="J1999" s="286"/>
      <c r="K1999" s="286"/>
      <c r="L1999" s="286"/>
      <c r="M1999" s="286"/>
      <c r="N1999" s="284"/>
      <c r="O1999" s="286"/>
      <c r="P1999" s="286"/>
      <c r="Q1999" s="286"/>
      <c r="R1999" s="286"/>
      <c r="S1999" s="286"/>
      <c r="T1999" s="123">
        <v>52</v>
      </c>
      <c r="U1999" s="300"/>
      <c r="V1999" s="300"/>
      <c r="W1999" s="300"/>
      <c r="X1999" s="300"/>
      <c r="Y1999" s="419"/>
      <c r="Z1999" s="125"/>
      <c r="AA1999" s="125"/>
      <c r="AB1999" s="125"/>
      <c r="AC1999" s="125"/>
      <c r="AD1999" s="125"/>
      <c r="AE1999" s="125"/>
      <c r="AF1999" s="125">
        <f>IF(AA1999=0,AD1999,AA1999)</f>
        <v>0</v>
      </c>
      <c r="AG1999" s="119" t="s">
        <v>404</v>
      </c>
      <c r="AH1999" s="300"/>
      <c r="AI1999" s="300"/>
      <c r="AJ1999" s="125"/>
      <c r="AK1999" s="125"/>
      <c r="AL1999" s="125"/>
      <c r="AM1999" s="125">
        <v>-9.3597699999999993</v>
      </c>
      <c r="AN1999" s="301"/>
      <c r="AO1999" s="420"/>
      <c r="AP1999" s="420"/>
      <c r="AQ1999" s="301" t="s">
        <v>6311</v>
      </c>
      <c r="AR1999" s="301" t="s">
        <v>6311</v>
      </c>
      <c r="AS1999" s="298" t="s">
        <v>5466</v>
      </c>
      <c r="AT1999" s="124" t="s">
        <v>266</v>
      </c>
      <c r="AU1999" s="123">
        <v>0</v>
      </c>
      <c r="AV1999" s="123">
        <v>144</v>
      </c>
      <c r="AW1999" s="123">
        <v>144</v>
      </c>
      <c r="AX1999" s="123">
        <v>27</v>
      </c>
      <c r="AY1999" s="344" t="s">
        <v>5670</v>
      </c>
      <c r="AZ1999" s="123" t="s">
        <v>6298</v>
      </c>
      <c r="BA1999" s="123">
        <v>72</v>
      </c>
      <c r="BB1999" s="286" t="s">
        <v>6215</v>
      </c>
      <c r="BC1999" s="286" t="s">
        <v>5697</v>
      </c>
      <c r="BD1999" s="286"/>
      <c r="BE1999" s="123" t="s">
        <v>2449</v>
      </c>
      <c r="BF1999" s="123" t="s">
        <v>6203</v>
      </c>
      <c r="BG1999" s="123" t="s">
        <v>6203</v>
      </c>
      <c r="BH1999" s="123"/>
      <c r="BI1999" s="300">
        <v>0.40384615384615385</v>
      </c>
      <c r="BJ1999" s="300">
        <v>2.3076923076923075</v>
      </c>
      <c r="BK1999" s="306" t="s">
        <v>6306</v>
      </c>
      <c r="BL1999" s="300"/>
      <c r="BM1999" s="123" t="s">
        <v>6296</v>
      </c>
      <c r="BN1999" s="123"/>
      <c r="BO1999" s="123"/>
      <c r="BP1999" s="123"/>
      <c r="BQ1999" s="123"/>
      <c r="BR1999" s="123"/>
      <c r="BS1999" s="123"/>
      <c r="BT1999" s="123">
        <v>2.8</v>
      </c>
      <c r="BU1999" s="293"/>
      <c r="BV1999" s="123"/>
      <c r="BW1999" s="123"/>
      <c r="BX1999" s="123"/>
      <c r="BY1999" s="123"/>
      <c r="BZ1999" s="123"/>
      <c r="CA1999" s="123"/>
      <c r="CB1999" s="123"/>
      <c r="CC1999" s="123"/>
      <c r="CD1999" s="123"/>
      <c r="CE1999" s="123"/>
      <c r="CF1999" s="123"/>
      <c r="CG1999" s="123"/>
      <c r="CH1999" s="123"/>
      <c r="CI1999" s="300">
        <f>MIN(BN1999:CH1999)</f>
        <v>2.8</v>
      </c>
      <c r="CJ1999" s="292">
        <f>LOG10(CI1999)</f>
        <v>0.44715803134221921</v>
      </c>
      <c r="CK1999" s="120">
        <f t="shared" ref="CK1999:CK2015" si="628">BL1999/BJ1999</f>
        <v>0</v>
      </c>
      <c r="CL1999" s="120" t="s">
        <v>404</v>
      </c>
      <c r="CM1999" s="294"/>
      <c r="CN1999" s="294"/>
      <c r="CO1999" s="286"/>
      <c r="CP1999" s="286" t="s">
        <v>8385</v>
      </c>
      <c r="CQ1999" s="282"/>
      <c r="CR1999" s="282">
        <f t="shared" ref="CR1999:CR2038" si="629">10^(CJ1999-CQ1999)</f>
        <v>2.8000000000000003</v>
      </c>
      <c r="CS1999" s="123"/>
      <c r="CT1999" s="123" t="s">
        <v>6310</v>
      </c>
      <c r="CU1999" s="300" t="s">
        <v>6310</v>
      </c>
      <c r="CV1999" s="338" t="s">
        <v>6310</v>
      </c>
      <c r="CW1999" s="339">
        <f>IF(CU1999&lt;2,0,1)</f>
        <v>1</v>
      </c>
      <c r="CX1999" s="339" t="s">
        <v>539</v>
      </c>
      <c r="CY1999" s="295" t="s">
        <v>5921</v>
      </c>
    </row>
    <row r="2000" spans="1:103" ht="11.25" customHeight="1" x14ac:dyDescent="0.2">
      <c r="A2000" s="72">
        <v>1998</v>
      </c>
      <c r="B2000" s="282">
        <v>646</v>
      </c>
      <c r="C2000" s="115" t="s">
        <v>1611</v>
      </c>
      <c r="D2000" s="115"/>
      <c r="E2000" s="116">
        <v>1</v>
      </c>
      <c r="F2000" s="116" t="s">
        <v>401</v>
      </c>
      <c r="G2000" s="283">
        <v>10108642</v>
      </c>
      <c r="H2000" s="284" t="s">
        <v>402</v>
      </c>
      <c r="I2000" s="284"/>
      <c r="J2000" s="284" t="s">
        <v>1911</v>
      </c>
      <c r="K2000" s="284" t="s">
        <v>403</v>
      </c>
      <c r="L2000" s="284"/>
      <c r="M2000" s="284"/>
      <c r="N2000" s="284"/>
      <c r="O2000" s="284"/>
      <c r="P2000" s="286"/>
      <c r="Q2000" s="286"/>
      <c r="R2000" s="286"/>
      <c r="S2000" s="286"/>
      <c r="T2000" s="119">
        <v>112.4</v>
      </c>
      <c r="U2000" s="292"/>
      <c r="V2000" s="287"/>
      <c r="W2000" s="287"/>
      <c r="X2000" s="287"/>
      <c r="Y2000" s="370"/>
      <c r="Z2000" s="119"/>
      <c r="AA2000" s="119"/>
      <c r="AB2000" s="119"/>
      <c r="AC2000" s="119"/>
      <c r="AD2000" s="119"/>
      <c r="AE2000" s="119"/>
      <c r="AF2000" s="119"/>
      <c r="AG2000" s="120" t="s">
        <v>5921</v>
      </c>
      <c r="AH2000" s="292">
        <v>1.43E-2</v>
      </c>
      <c r="AI2000" s="292"/>
      <c r="AJ2000" s="125">
        <f>LOG10(AH2000*1000/(0.08206*298.15))</f>
        <v>-0.23323028884758998</v>
      </c>
      <c r="AK2000" s="125"/>
      <c r="AL2000" s="125">
        <f>IF(AK2000=0,AJ2000,AK2000)</f>
        <v>-0.23323028884758998</v>
      </c>
      <c r="AM2000" s="125"/>
      <c r="AN2000" s="297"/>
      <c r="AO2000" s="420"/>
      <c r="AP2000" s="420"/>
      <c r="AQ2000" s="297" t="s">
        <v>6311</v>
      </c>
      <c r="AR2000" s="297" t="s">
        <v>6311</v>
      </c>
      <c r="AS2000" s="282" t="s">
        <v>6</v>
      </c>
      <c r="AT2000" s="118" t="s">
        <v>266</v>
      </c>
      <c r="AU2000" s="119">
        <v>2</v>
      </c>
      <c r="AV2000" s="119">
        <v>48</v>
      </c>
      <c r="AW2000" s="119">
        <v>48</v>
      </c>
      <c r="AX2000" s="119">
        <v>26</v>
      </c>
      <c r="AY2000" s="119" t="s">
        <v>8722</v>
      </c>
      <c r="AZ2000" s="119" t="s">
        <v>1893</v>
      </c>
      <c r="BA2000" s="119">
        <v>15</v>
      </c>
      <c r="BB2000" s="284" t="s">
        <v>1613</v>
      </c>
      <c r="BC2000" s="284" t="s">
        <v>1887</v>
      </c>
      <c r="BD2000" s="284"/>
      <c r="BE2000" s="119" t="s">
        <v>1712</v>
      </c>
      <c r="BF2000" s="119" t="s">
        <v>540</v>
      </c>
      <c r="BG2000" s="119" t="s">
        <v>540</v>
      </c>
      <c r="BH2000" s="119" t="s">
        <v>272</v>
      </c>
      <c r="BI2000" s="292">
        <v>1.7000000000000001E-4</v>
      </c>
      <c r="BJ2000" s="292">
        <v>2.7799999999999998E-2</v>
      </c>
      <c r="BK2000" s="119"/>
      <c r="BL2000" s="292"/>
      <c r="BM2000" s="119" t="s">
        <v>541</v>
      </c>
      <c r="BN2000" s="119"/>
      <c r="BO2000" s="119">
        <v>4.8932384341637006E-2</v>
      </c>
      <c r="BP2000" s="119"/>
      <c r="BQ2000" s="119"/>
      <c r="BR2000" s="119"/>
      <c r="BS2000" s="119"/>
      <c r="BT2000" s="119"/>
      <c r="BU2000" s="293"/>
      <c r="BV2000" s="119"/>
      <c r="BW2000" s="119"/>
      <c r="BX2000" s="119"/>
      <c r="BY2000" s="119"/>
      <c r="BZ2000" s="119"/>
      <c r="CA2000" s="119"/>
      <c r="CB2000" s="119"/>
      <c r="CC2000" s="119"/>
      <c r="CD2000" s="119"/>
      <c r="CE2000" s="119"/>
      <c r="CF2000" s="119"/>
      <c r="CG2000" s="119"/>
      <c r="CH2000" s="119"/>
      <c r="CI2000" s="292">
        <f>MIN(BN2000:CH2000)</f>
        <v>4.8932384341637006E-2</v>
      </c>
      <c r="CJ2000" s="292">
        <f>LOG10(CI2000)</f>
        <v>-1.3104036217387984</v>
      </c>
      <c r="CK2000" s="120">
        <f t="shared" si="628"/>
        <v>0</v>
      </c>
      <c r="CL2000" s="120" t="s">
        <v>404</v>
      </c>
      <c r="CM2000" s="294"/>
      <c r="CN2000" s="294"/>
      <c r="CO2000" s="284" t="s">
        <v>1888</v>
      </c>
      <c r="CP2000" s="284" t="s">
        <v>1889</v>
      </c>
      <c r="CQ2000" s="282">
        <v>-3.2687778063789357</v>
      </c>
      <c r="CR2000" s="282">
        <f t="shared" si="629"/>
        <v>90.860303811406155</v>
      </c>
      <c r="CS2000" s="123"/>
      <c r="CT2000" s="123"/>
      <c r="CU2000" s="300" t="s">
        <v>6310</v>
      </c>
      <c r="CV2000" s="338" t="s">
        <v>6310</v>
      </c>
      <c r="CW2000" s="339">
        <f>IF(CU2000&lt;2,0,1)</f>
        <v>1</v>
      </c>
      <c r="CX2000" s="339" t="s">
        <v>539</v>
      </c>
      <c r="CY2000" s="295" t="s">
        <v>6351</v>
      </c>
    </row>
    <row r="2001" spans="1:103" ht="11.25" customHeight="1" x14ac:dyDescent="0.2">
      <c r="A2001" s="72">
        <v>1999</v>
      </c>
      <c r="B2001" s="282">
        <v>32</v>
      </c>
      <c r="C2001" s="115" t="s">
        <v>409</v>
      </c>
      <c r="D2001" s="115"/>
      <c r="E2001" s="116">
        <v>1</v>
      </c>
      <c r="F2001" s="116" t="s">
        <v>410</v>
      </c>
      <c r="G2001" s="283">
        <v>6080564</v>
      </c>
      <c r="H2001" s="284" t="s">
        <v>411</v>
      </c>
      <c r="I2001" s="284"/>
      <c r="J2001" s="284" t="s">
        <v>412</v>
      </c>
      <c r="K2001" s="284" t="s">
        <v>416</v>
      </c>
      <c r="L2001" s="285"/>
      <c r="M2001" s="284"/>
      <c r="N2001" s="284"/>
      <c r="O2001" s="284"/>
      <c r="P2001" s="286"/>
      <c r="Q2001" s="286"/>
      <c r="R2001" s="286"/>
      <c r="S2001" s="286"/>
      <c r="T2001" s="116">
        <v>325.27999999999997</v>
      </c>
      <c r="U2001" s="287"/>
      <c r="V2001" s="287"/>
      <c r="W2001" s="287"/>
      <c r="X2001" s="287"/>
      <c r="Y2001" s="420"/>
      <c r="Z2001" s="116"/>
      <c r="AA2001" s="116"/>
      <c r="AB2001" s="116"/>
      <c r="AC2001" s="116"/>
      <c r="AD2001" s="116"/>
      <c r="AE2001" s="116"/>
      <c r="AF2001" s="116"/>
      <c r="AG2001" s="117" t="s">
        <v>404</v>
      </c>
      <c r="AH2001" s="292"/>
      <c r="AI2001" s="292"/>
      <c r="AJ2001" s="125"/>
      <c r="AK2001" s="125"/>
      <c r="AL2001" s="125"/>
      <c r="AM2001" s="125"/>
      <c r="AN2001" s="288"/>
      <c r="AO2001" s="420"/>
      <c r="AP2001" s="420"/>
      <c r="AQ2001" s="288" t="s">
        <v>6311</v>
      </c>
      <c r="AR2001" s="288" t="s">
        <v>6311</v>
      </c>
      <c r="AS2001" s="282" t="s">
        <v>289</v>
      </c>
      <c r="AT2001" s="118" t="s">
        <v>266</v>
      </c>
      <c r="AU2001" s="289">
        <v>24</v>
      </c>
      <c r="AV2001" s="289">
        <v>120</v>
      </c>
      <c r="AW2001" s="289">
        <v>96</v>
      </c>
      <c r="AX2001" s="289">
        <v>28</v>
      </c>
      <c r="AY2001" s="289" t="s">
        <v>267</v>
      </c>
      <c r="AZ2001" s="289" t="s">
        <v>268</v>
      </c>
      <c r="BA2001" s="289">
        <v>48</v>
      </c>
      <c r="BB2001" s="284" t="s">
        <v>269</v>
      </c>
      <c r="BC2001" s="290" t="s">
        <v>270</v>
      </c>
      <c r="BD2001" s="290" t="s">
        <v>8374</v>
      </c>
      <c r="BE2001" s="289" t="s">
        <v>271</v>
      </c>
      <c r="BF2001" s="289" t="s">
        <v>272</v>
      </c>
      <c r="BG2001" s="289" t="s">
        <v>272</v>
      </c>
      <c r="BH2001" s="289" t="s">
        <v>272</v>
      </c>
      <c r="BI2001" s="291">
        <v>3.0742744712247911E-3</v>
      </c>
      <c r="BJ2001" s="291">
        <v>3.0742744712247911</v>
      </c>
      <c r="BK2001" s="119"/>
      <c r="BL2001" s="292"/>
      <c r="BM2001" s="119">
        <v>0</v>
      </c>
      <c r="BN2001" s="119"/>
      <c r="BO2001" s="119"/>
      <c r="BP2001" s="119"/>
      <c r="BQ2001" s="119"/>
      <c r="BR2001" s="119"/>
      <c r="BS2001" s="119"/>
      <c r="BT2001" s="119"/>
      <c r="BU2001" s="293"/>
      <c r="BV2001" s="119"/>
      <c r="BW2001" s="119"/>
      <c r="BX2001" s="119"/>
      <c r="BY2001" s="119">
        <v>0.1</v>
      </c>
      <c r="BZ2001" s="119">
        <v>0.1</v>
      </c>
      <c r="CA2001" s="119">
        <v>0.43</v>
      </c>
      <c r="CB2001" s="119">
        <v>0.16</v>
      </c>
      <c r="CC2001" s="119"/>
      <c r="CD2001" s="119"/>
      <c r="CE2001" s="119"/>
      <c r="CF2001" s="119"/>
      <c r="CG2001" s="119"/>
      <c r="CH2001" s="119"/>
      <c r="CI2001" s="292">
        <f>MIN(BN2001:CH2001)</f>
        <v>0.1</v>
      </c>
      <c r="CJ2001" s="292">
        <f>LOG10(CI2001)</f>
        <v>-1</v>
      </c>
      <c r="CK2001" s="120">
        <f t="shared" si="628"/>
        <v>0</v>
      </c>
      <c r="CL2001" s="120" t="s">
        <v>404</v>
      </c>
      <c r="CM2001" s="294"/>
      <c r="CN2001" s="294"/>
      <c r="CO2001" s="284" t="s">
        <v>273</v>
      </c>
      <c r="CP2001" s="290" t="s">
        <v>274</v>
      </c>
      <c r="CQ2001" s="282"/>
      <c r="CR2001" s="282">
        <f t="shared" si="629"/>
        <v>0.1</v>
      </c>
      <c r="CS2001" s="123" t="s">
        <v>539</v>
      </c>
      <c r="CT2001" s="123"/>
      <c r="CU2001" s="300" t="s">
        <v>6310</v>
      </c>
      <c r="CV2001" s="338" t="s">
        <v>6310</v>
      </c>
      <c r="CW2001" s="339">
        <f>IF(CU2001&lt;2,0,1)</f>
        <v>1</v>
      </c>
      <c r="CX2001" s="339"/>
      <c r="CY2001" s="295" t="s">
        <v>5921</v>
      </c>
    </row>
    <row r="2002" spans="1:103" ht="11.25" customHeight="1" x14ac:dyDescent="0.2">
      <c r="A2002" s="72">
        <v>2000</v>
      </c>
      <c r="B2002" s="282">
        <v>33</v>
      </c>
      <c r="C2002" s="115" t="s">
        <v>413</v>
      </c>
      <c r="D2002" s="115"/>
      <c r="E2002" s="116">
        <v>1</v>
      </c>
      <c r="F2002" s="116" t="s">
        <v>414</v>
      </c>
      <c r="G2002" s="283">
        <v>7447418</v>
      </c>
      <c r="H2002" s="284" t="s">
        <v>415</v>
      </c>
      <c r="I2002" s="284"/>
      <c r="J2002" s="284"/>
      <c r="K2002" s="284" t="s">
        <v>416</v>
      </c>
      <c r="L2002" s="285"/>
      <c r="M2002" s="284"/>
      <c r="N2002" s="284"/>
      <c r="O2002" s="284"/>
      <c r="P2002" s="286"/>
      <c r="Q2002" s="286"/>
      <c r="R2002" s="286"/>
      <c r="S2002" s="286"/>
      <c r="T2002" s="116">
        <v>42.39</v>
      </c>
      <c r="U2002" s="287"/>
      <c r="V2002" s="287"/>
      <c r="W2002" s="287"/>
      <c r="X2002" s="287"/>
      <c r="Y2002" s="370"/>
      <c r="Z2002" s="116"/>
      <c r="AA2002" s="116"/>
      <c r="AB2002" s="116"/>
      <c r="AC2002" s="116"/>
      <c r="AD2002" s="116"/>
      <c r="AE2002" s="116"/>
      <c r="AF2002" s="116"/>
      <c r="AG2002" s="117" t="s">
        <v>404</v>
      </c>
      <c r="AH2002" s="292">
        <v>4.8200000000000001E-4</v>
      </c>
      <c r="AI2002" s="292"/>
      <c r="AJ2002" s="125">
        <f>LOG10(AH2002*1000/(0.08206*298.15))</f>
        <v>-1.7055192880738022</v>
      </c>
      <c r="AK2002" s="125"/>
      <c r="AL2002" s="125">
        <f>IF(AK2002=0,AJ2002,AK2002)</f>
        <v>-1.7055192880738022</v>
      </c>
      <c r="AM2002" s="125"/>
      <c r="AN2002" s="297"/>
      <c r="AO2002" s="420"/>
      <c r="AP2002" s="420"/>
      <c r="AQ2002" s="297" t="s">
        <v>6311</v>
      </c>
      <c r="AR2002" s="297" t="s">
        <v>6311</v>
      </c>
      <c r="AS2002" s="282" t="s">
        <v>301</v>
      </c>
      <c r="AT2002" s="118" t="s">
        <v>266</v>
      </c>
      <c r="AU2002" s="289">
        <v>24</v>
      </c>
      <c r="AV2002" s="289">
        <v>120</v>
      </c>
      <c r="AW2002" s="289">
        <v>96</v>
      </c>
      <c r="AX2002" s="289">
        <v>28</v>
      </c>
      <c r="AY2002" s="289" t="s">
        <v>267</v>
      </c>
      <c r="AZ2002" s="289" t="s">
        <v>268</v>
      </c>
      <c r="BA2002" s="289">
        <v>48</v>
      </c>
      <c r="BB2002" s="284" t="s">
        <v>269</v>
      </c>
      <c r="BC2002" s="290" t="s">
        <v>270</v>
      </c>
      <c r="BD2002" s="290" t="s">
        <v>8374</v>
      </c>
      <c r="BE2002" s="289" t="s">
        <v>271</v>
      </c>
      <c r="BF2002" s="289" t="s">
        <v>272</v>
      </c>
      <c r="BG2002" s="289" t="s">
        <v>272</v>
      </c>
      <c r="BH2002" s="289" t="s">
        <v>272</v>
      </c>
      <c r="BI2002" s="291">
        <v>2.3590469450342062E-2</v>
      </c>
      <c r="BJ2002" s="291">
        <v>377.44751120547301</v>
      </c>
      <c r="BK2002" s="119"/>
      <c r="BL2002" s="292"/>
      <c r="BM2002" s="119">
        <v>0</v>
      </c>
      <c r="BN2002" s="119"/>
      <c r="BO2002" s="119"/>
      <c r="BP2002" s="119"/>
      <c r="BQ2002" s="119"/>
      <c r="BR2002" s="119"/>
      <c r="BS2002" s="119"/>
      <c r="BT2002" s="119"/>
      <c r="BU2002" s="293"/>
      <c r="BV2002" s="119"/>
      <c r="BW2002" s="119"/>
      <c r="BX2002" s="119"/>
      <c r="BY2002" s="119">
        <v>277.95</v>
      </c>
      <c r="BZ2002" s="119">
        <v>220.08</v>
      </c>
      <c r="CA2002" s="119">
        <v>170.29</v>
      </c>
      <c r="CB2002" s="119">
        <v>78.42</v>
      </c>
      <c r="CC2002" s="119"/>
      <c r="CD2002" s="119"/>
      <c r="CE2002" s="119"/>
      <c r="CF2002" s="119"/>
      <c r="CG2002" s="119"/>
      <c r="CH2002" s="119"/>
      <c r="CI2002" s="292">
        <f>MIN(BN2002:CH2002)</f>
        <v>78.42</v>
      </c>
      <c r="CJ2002" s="292">
        <f>LOG10(CI2002)</f>
        <v>1.894426837964188</v>
      </c>
      <c r="CK2002" s="120">
        <f t="shared" si="628"/>
        <v>0</v>
      </c>
      <c r="CL2002" s="120" t="s">
        <v>404</v>
      </c>
      <c r="CM2002" s="294"/>
      <c r="CN2002" s="294"/>
      <c r="CO2002" s="284" t="s">
        <v>273</v>
      </c>
      <c r="CP2002" s="290" t="s">
        <v>274</v>
      </c>
      <c r="CQ2002" s="282"/>
      <c r="CR2002" s="282">
        <f t="shared" si="629"/>
        <v>78.420000000000044</v>
      </c>
      <c r="CS2002" s="123" t="s">
        <v>539</v>
      </c>
      <c r="CT2002" s="123"/>
      <c r="CU2002" s="300" t="s">
        <v>6310</v>
      </c>
      <c r="CV2002" s="338" t="s">
        <v>6310</v>
      </c>
      <c r="CW2002" s="339">
        <f>IF(CU2002&lt;2,0,1)</f>
        <v>1</v>
      </c>
      <c r="CX2002" s="339"/>
      <c r="CY2002" s="295" t="s">
        <v>6351</v>
      </c>
    </row>
    <row r="2003" spans="1:103" ht="11.25" customHeight="1" x14ac:dyDescent="0.2">
      <c r="A2003" s="72">
        <v>2001</v>
      </c>
      <c r="B2003" s="282">
        <v>30</v>
      </c>
      <c r="C2003" s="115" t="s">
        <v>400</v>
      </c>
      <c r="D2003" s="115"/>
      <c r="E2003" s="116">
        <v>1</v>
      </c>
      <c r="F2003" s="116" t="s">
        <v>401</v>
      </c>
      <c r="G2003" s="283">
        <v>10108642</v>
      </c>
      <c r="H2003" s="284" t="s">
        <v>402</v>
      </c>
      <c r="I2003" s="284"/>
      <c r="J2003" s="284"/>
      <c r="K2003" s="284" t="s">
        <v>416</v>
      </c>
      <c r="L2003" s="285"/>
      <c r="M2003" s="284"/>
      <c r="N2003" s="284"/>
      <c r="O2003" s="284"/>
      <c r="P2003" s="286"/>
      <c r="Q2003" s="286"/>
      <c r="R2003" s="286"/>
      <c r="S2003" s="286"/>
      <c r="T2003" s="116">
        <v>479.67</v>
      </c>
      <c r="U2003" s="287"/>
      <c r="V2003" s="287"/>
      <c r="W2003" s="287"/>
      <c r="X2003" s="287"/>
      <c r="Y2003" s="420"/>
      <c r="Z2003" s="116"/>
      <c r="AA2003" s="116"/>
      <c r="AB2003" s="116"/>
      <c r="AC2003" s="116"/>
      <c r="AD2003" s="116"/>
      <c r="AE2003" s="116"/>
      <c r="AF2003" s="116"/>
      <c r="AG2003" s="117" t="s">
        <v>404</v>
      </c>
      <c r="AH2003" s="292">
        <v>4.8200000000000001E-4</v>
      </c>
      <c r="AI2003" s="292"/>
      <c r="AJ2003" s="125">
        <f>LOG10(AH2003*1000/(0.08206*298.15))</f>
        <v>-1.7055192880738022</v>
      </c>
      <c r="AK2003" s="125"/>
      <c r="AL2003" s="125">
        <f>IF(AK2003=0,AJ2003,AK2003)</f>
        <v>-1.7055192880738022</v>
      </c>
      <c r="AM2003" s="125"/>
      <c r="AN2003" s="288"/>
      <c r="AO2003" s="420"/>
      <c r="AP2003" s="420"/>
      <c r="AQ2003" s="288" t="s">
        <v>6311</v>
      </c>
      <c r="AR2003" s="288" t="s">
        <v>6311</v>
      </c>
      <c r="AS2003" s="282" t="s">
        <v>289</v>
      </c>
      <c r="AT2003" s="118" t="s">
        <v>266</v>
      </c>
      <c r="AU2003" s="289">
        <v>24</v>
      </c>
      <c r="AV2003" s="289">
        <v>120</v>
      </c>
      <c r="AW2003" s="289">
        <v>96</v>
      </c>
      <c r="AX2003" s="289">
        <v>28</v>
      </c>
      <c r="AY2003" s="289" t="s">
        <v>267</v>
      </c>
      <c r="AZ2003" s="289" t="s">
        <v>268</v>
      </c>
      <c r="BA2003" s="289">
        <v>48</v>
      </c>
      <c r="BB2003" s="284" t="s">
        <v>269</v>
      </c>
      <c r="BC2003" s="290" t="s">
        <v>270</v>
      </c>
      <c r="BD2003" s="290" t="s">
        <v>8374</v>
      </c>
      <c r="BE2003" s="289" t="s">
        <v>271</v>
      </c>
      <c r="BF2003" s="289" t="s">
        <v>272</v>
      </c>
      <c r="BG2003" s="289" t="s">
        <v>272</v>
      </c>
      <c r="BH2003" s="289" t="s">
        <v>272</v>
      </c>
      <c r="BI2003" s="291">
        <v>2.0847666103779683E-3</v>
      </c>
      <c r="BJ2003" s="291">
        <v>2.0847666103779683</v>
      </c>
      <c r="BK2003" s="119"/>
      <c r="BL2003" s="292"/>
      <c r="BM2003" s="119">
        <v>0</v>
      </c>
      <c r="BN2003" s="119"/>
      <c r="BO2003" s="119"/>
      <c r="BP2003" s="119"/>
      <c r="BQ2003" s="119"/>
      <c r="BR2003" s="119"/>
      <c r="BS2003" s="119"/>
      <c r="BT2003" s="119"/>
      <c r="BU2003" s="293"/>
      <c r="BV2003" s="119"/>
      <c r="BW2003" s="119"/>
      <c r="BX2003" s="119"/>
      <c r="BY2003" s="119">
        <v>0.53</v>
      </c>
      <c r="BZ2003" s="119">
        <v>0.85</v>
      </c>
      <c r="CA2003" s="119">
        <v>0.68</v>
      </c>
      <c r="CB2003" s="119">
        <v>0.06</v>
      </c>
      <c r="CC2003" s="119"/>
      <c r="CD2003" s="119"/>
      <c r="CE2003" s="119"/>
      <c r="CF2003" s="119"/>
      <c r="CG2003" s="119"/>
      <c r="CH2003" s="119"/>
      <c r="CI2003" s="292">
        <f>MIN(BN2003:CH2003)</f>
        <v>0.06</v>
      </c>
      <c r="CJ2003" s="292">
        <f>LOG10(CI2003)</f>
        <v>-1.2218487496163564</v>
      </c>
      <c r="CK2003" s="120">
        <f t="shared" si="628"/>
        <v>0</v>
      </c>
      <c r="CL2003" s="120" t="s">
        <v>404</v>
      </c>
      <c r="CM2003" s="294"/>
      <c r="CN2003" s="294"/>
      <c r="CO2003" s="284" t="s">
        <v>273</v>
      </c>
      <c r="CP2003" s="290" t="s">
        <v>274</v>
      </c>
      <c r="CQ2003" s="282">
        <v>-3.898954052382106</v>
      </c>
      <c r="CR2003" s="282">
        <f t="shared" si="629"/>
        <v>475.45049377327854</v>
      </c>
      <c r="CS2003" s="123" t="s">
        <v>539</v>
      </c>
      <c r="CT2003" s="123"/>
      <c r="CU2003" s="300" t="s">
        <v>6310</v>
      </c>
      <c r="CV2003" s="338" t="s">
        <v>6310</v>
      </c>
      <c r="CW2003" s="339">
        <f>IF(CU2003&lt;2,0,1)</f>
        <v>1</v>
      </c>
      <c r="CX2003" s="339"/>
      <c r="CY2003" s="295" t="s">
        <v>6351</v>
      </c>
    </row>
    <row r="2004" spans="1:103" ht="11.25" customHeight="1" x14ac:dyDescent="0.2">
      <c r="A2004" s="72">
        <v>2002</v>
      </c>
      <c r="B2004" s="298">
        <v>1165</v>
      </c>
      <c r="C2004" s="121" t="s">
        <v>3213</v>
      </c>
      <c r="D2004" s="121"/>
      <c r="E2004" s="122">
        <v>1</v>
      </c>
      <c r="F2004" s="122" t="s">
        <v>3214</v>
      </c>
      <c r="G2004" s="299">
        <v>1303113</v>
      </c>
      <c r="H2004" s="286" t="s">
        <v>3215</v>
      </c>
      <c r="I2004" s="286"/>
      <c r="J2004" s="286"/>
      <c r="K2004" s="284" t="s">
        <v>416</v>
      </c>
      <c r="L2004" s="286"/>
      <c r="M2004" s="286"/>
      <c r="N2004" s="286"/>
      <c r="O2004" s="286"/>
      <c r="P2004" s="286"/>
      <c r="Q2004" s="286"/>
      <c r="R2004" s="286"/>
      <c r="S2004" s="286"/>
      <c r="T2004" s="123">
        <v>189.74</v>
      </c>
      <c r="U2004" s="300"/>
      <c r="V2004" s="300"/>
      <c r="W2004" s="300"/>
      <c r="X2004" s="300"/>
      <c r="Y2004" s="419"/>
      <c r="Z2004" s="116"/>
      <c r="AA2004" s="116"/>
      <c r="AB2004" s="116"/>
      <c r="AC2004" s="116"/>
      <c r="AD2004" s="116"/>
      <c r="AE2004" s="116"/>
      <c r="AF2004" s="116"/>
      <c r="AG2004" s="117" t="s">
        <v>404</v>
      </c>
      <c r="AH2004" s="300"/>
      <c r="AI2004" s="292"/>
      <c r="AJ2004" s="125"/>
      <c r="AK2004" s="125"/>
      <c r="AL2004" s="125"/>
      <c r="AM2004" s="125"/>
      <c r="AN2004" s="301"/>
      <c r="AO2004" s="420"/>
      <c r="AP2004" s="420"/>
      <c r="AQ2004" s="123" t="s">
        <v>6311</v>
      </c>
      <c r="AR2004" s="123" t="s">
        <v>6311</v>
      </c>
      <c r="AS2004" s="302"/>
      <c r="AT2004" s="124" t="s">
        <v>266</v>
      </c>
      <c r="AU2004" s="123">
        <v>6</v>
      </c>
      <c r="AV2004" s="123">
        <v>120</v>
      </c>
      <c r="AW2004" s="123">
        <v>114</v>
      </c>
      <c r="AX2004" s="123">
        <v>28</v>
      </c>
      <c r="AY2004" s="123" t="s">
        <v>8728</v>
      </c>
      <c r="AZ2004" s="123" t="s">
        <v>1563</v>
      </c>
      <c r="BA2004" s="123">
        <v>32</v>
      </c>
      <c r="BB2004" s="286" t="s">
        <v>2485</v>
      </c>
      <c r="BC2004" s="286" t="s">
        <v>8726</v>
      </c>
      <c r="BD2004" s="286" t="s">
        <v>8374</v>
      </c>
      <c r="BE2004" s="123" t="s">
        <v>2449</v>
      </c>
      <c r="BF2004" s="123" t="s">
        <v>272</v>
      </c>
      <c r="BG2004" s="123" t="s">
        <v>272</v>
      </c>
      <c r="BH2004" s="123" t="s">
        <v>2486</v>
      </c>
      <c r="BI2004" s="300">
        <v>6.3999999999999997E-6</v>
      </c>
      <c r="BJ2004" s="300">
        <v>6.4000000000000001E-2</v>
      </c>
      <c r="BK2004" s="123"/>
      <c r="BL2004" s="300"/>
      <c r="BM2004" s="286" t="s">
        <v>2487</v>
      </c>
      <c r="BN2004" s="123"/>
      <c r="BO2004" s="123"/>
      <c r="BP2004" s="123"/>
      <c r="BQ2004" s="123"/>
      <c r="BR2004" s="286" t="s">
        <v>2496</v>
      </c>
      <c r="BS2004" s="123"/>
      <c r="BT2004" s="123"/>
      <c r="BU2004" s="123">
        <v>6.4000000000000003E-3</v>
      </c>
      <c r="BV2004" s="123"/>
      <c r="BW2004" s="123"/>
      <c r="BX2004" s="123"/>
      <c r="BY2004" s="123"/>
      <c r="BZ2004" s="123"/>
      <c r="CA2004" s="123"/>
      <c r="CB2004" s="123"/>
      <c r="CC2004" s="123"/>
      <c r="CD2004" s="123"/>
      <c r="CE2004" s="123"/>
      <c r="CF2004" s="123"/>
      <c r="CG2004" s="123"/>
      <c r="CH2004" s="123"/>
      <c r="CI2004" s="300"/>
      <c r="CJ2004" s="292"/>
      <c r="CK2004" s="125">
        <f t="shared" si="628"/>
        <v>0</v>
      </c>
      <c r="CL2004" s="120" t="s">
        <v>404</v>
      </c>
      <c r="CM2004" s="294"/>
      <c r="CN2004" s="294"/>
      <c r="CO2004" s="286" t="s">
        <v>2488</v>
      </c>
      <c r="CP2004" s="286" t="s">
        <v>2489</v>
      </c>
      <c r="CQ2004" s="282"/>
      <c r="CR2004" s="282">
        <f t="shared" si="629"/>
        <v>1</v>
      </c>
      <c r="CS2004" s="123" t="s">
        <v>539</v>
      </c>
      <c r="CT2004" s="123"/>
      <c r="CU2004" s="300" t="s">
        <v>6310</v>
      </c>
      <c r="CV2004" s="338" t="s">
        <v>6310</v>
      </c>
      <c r="CW2004" s="123">
        <f>IF(CV2004&lt;1,0,1)</f>
        <v>1</v>
      </c>
      <c r="CX2004" s="339"/>
      <c r="CY2004" s="295" t="s">
        <v>5921</v>
      </c>
    </row>
    <row r="2005" spans="1:103" ht="11.25" customHeight="1" x14ac:dyDescent="0.2">
      <c r="A2005" s="72">
        <v>2003</v>
      </c>
      <c r="B2005" s="282">
        <v>70</v>
      </c>
      <c r="C2005" s="115" t="s">
        <v>751</v>
      </c>
      <c r="D2005" s="115"/>
      <c r="E2005" s="116">
        <v>1</v>
      </c>
      <c r="F2005" s="116" t="s">
        <v>752</v>
      </c>
      <c r="G2005" s="283">
        <v>57136</v>
      </c>
      <c r="H2005" s="303" t="s">
        <v>753</v>
      </c>
      <c r="I2005" s="303"/>
      <c r="J2005" s="303" t="s">
        <v>754</v>
      </c>
      <c r="K2005" s="284" t="s">
        <v>416</v>
      </c>
      <c r="L2005" s="284"/>
      <c r="M2005" s="284"/>
      <c r="N2005" s="284"/>
      <c r="O2005" s="304"/>
      <c r="P2005" s="286"/>
      <c r="Q2005" s="286"/>
      <c r="R2005" s="286"/>
      <c r="S2005" s="286"/>
      <c r="T2005" s="297">
        <v>60.06</v>
      </c>
      <c r="U2005" s="292"/>
      <c r="V2005" s="292"/>
      <c r="W2005" s="292">
        <v>16595.869074375612</v>
      </c>
      <c r="X2005" s="292">
        <f>IF(W2005=0,V2005,W2005)</f>
        <v>16595.869074375612</v>
      </c>
      <c r="Y2005" s="370">
        <v>6.41</v>
      </c>
      <c r="Z2005" s="119"/>
      <c r="AA2005" s="119"/>
      <c r="AB2005" s="116">
        <v>-1.59</v>
      </c>
      <c r="AC2005" s="116">
        <v>0.81310000000000004</v>
      </c>
      <c r="AD2005" s="116">
        <v>-1.75</v>
      </c>
      <c r="AE2005" s="116">
        <v>-2.11</v>
      </c>
      <c r="AF2005" s="116">
        <f>IF(AA2005=0,AD2005,AA2005)</f>
        <v>-1.75</v>
      </c>
      <c r="AG2005" s="119">
        <v>-1.32</v>
      </c>
      <c r="AH2005" s="292">
        <v>3.6499999999999998E-10</v>
      </c>
      <c r="AI2005" s="292">
        <v>1.7400000000000001E-12</v>
      </c>
      <c r="AJ2005" s="125">
        <f>LOG10(AH2005*1000/(0.08206*298.15))</f>
        <v>-7.8262734618561769</v>
      </c>
      <c r="AK2005" s="125">
        <f>LOG10(AI2005*1000/(0.08206*298.15))</f>
        <v>-10.148017078030053</v>
      </c>
      <c r="AL2005" s="125">
        <f>IF(AK2005=0,AJ2005,AK2005)</f>
        <v>-10.148017078030053</v>
      </c>
      <c r="AM2005" s="125"/>
      <c r="AN2005" s="119">
        <v>-9</v>
      </c>
      <c r="AO2005" s="420">
        <v>14.43</v>
      </c>
      <c r="AP2005" s="420">
        <v>0.1</v>
      </c>
      <c r="AQ2005" s="119" t="s">
        <v>6311</v>
      </c>
      <c r="AR2005" s="119" t="s">
        <v>6311</v>
      </c>
      <c r="AS2005" s="289"/>
      <c r="AT2005" s="118" t="s">
        <v>266</v>
      </c>
      <c r="AU2005" s="119">
        <v>6</v>
      </c>
      <c r="AV2005" s="119">
        <v>120</v>
      </c>
      <c r="AW2005" s="119">
        <v>114</v>
      </c>
      <c r="AX2005" s="119">
        <v>28</v>
      </c>
      <c r="AY2005" s="119" t="s">
        <v>8728</v>
      </c>
      <c r="AZ2005" s="119" t="s">
        <v>1563</v>
      </c>
      <c r="BA2005" s="119">
        <v>32</v>
      </c>
      <c r="BB2005" s="284" t="s">
        <v>2485</v>
      </c>
      <c r="BC2005" s="284" t="s">
        <v>8726</v>
      </c>
      <c r="BD2005" s="284" t="s">
        <v>8374</v>
      </c>
      <c r="BE2005" s="119" t="s">
        <v>2449</v>
      </c>
      <c r="BF2005" s="119" t="s">
        <v>272</v>
      </c>
      <c r="BG2005" s="119" t="s">
        <v>272</v>
      </c>
      <c r="BH2005" s="119" t="s">
        <v>2486</v>
      </c>
      <c r="BI2005" s="292">
        <v>6.3999999999999997E-6</v>
      </c>
      <c r="BJ2005" s="292">
        <v>6.4000000000000001E-2</v>
      </c>
      <c r="BK2005" s="119"/>
      <c r="BL2005" s="292"/>
      <c r="BM2005" s="284" t="s">
        <v>2487</v>
      </c>
      <c r="BN2005" s="119"/>
      <c r="BO2005" s="119"/>
      <c r="BP2005" s="119"/>
      <c r="BQ2005" s="119"/>
      <c r="BR2005" s="284" t="s">
        <v>2496</v>
      </c>
      <c r="BS2005" s="119"/>
      <c r="BT2005" s="119"/>
      <c r="BU2005" s="293">
        <v>6.3999999999999997E-5</v>
      </c>
      <c r="BV2005" s="119"/>
      <c r="BW2005" s="119"/>
      <c r="BX2005" s="119"/>
      <c r="BY2005" s="119"/>
      <c r="BZ2005" s="119"/>
      <c r="CA2005" s="119"/>
      <c r="CB2005" s="119"/>
      <c r="CC2005" s="119"/>
      <c r="CD2005" s="119"/>
      <c r="CE2005" s="119"/>
      <c r="CF2005" s="119"/>
      <c r="CG2005" s="119"/>
      <c r="CH2005" s="119"/>
      <c r="CI2005" s="292"/>
      <c r="CJ2005" s="292"/>
      <c r="CK2005" s="120">
        <f t="shared" si="628"/>
        <v>0</v>
      </c>
      <c r="CL2005" s="120" t="s">
        <v>404</v>
      </c>
      <c r="CM2005" s="294"/>
      <c r="CN2005" s="294"/>
      <c r="CO2005" s="284" t="s">
        <v>2488</v>
      </c>
      <c r="CP2005" s="284" t="s">
        <v>2489</v>
      </c>
      <c r="CQ2005" s="282"/>
      <c r="CR2005" s="282">
        <f t="shared" si="629"/>
        <v>1</v>
      </c>
      <c r="CS2005" s="123" t="s">
        <v>539</v>
      </c>
      <c r="CT2005" s="123"/>
      <c r="CU2005" s="300"/>
      <c r="CV2005" s="338">
        <f>X2005/BJ2005</f>
        <v>259310.45428711895</v>
      </c>
      <c r="CW2005" s="123">
        <f>IF(CV2005&lt;1,0,1)</f>
        <v>1</v>
      </c>
      <c r="CX2005" s="339"/>
      <c r="CY2005" s="295" t="s">
        <v>6351</v>
      </c>
    </row>
    <row r="2006" spans="1:103" ht="11.25" customHeight="1" x14ac:dyDescent="0.2">
      <c r="A2006" s="72">
        <v>2004</v>
      </c>
      <c r="B2006" s="298">
        <v>1858</v>
      </c>
      <c r="C2006" s="121" t="s">
        <v>5280</v>
      </c>
      <c r="D2006" s="121"/>
      <c r="E2006" s="122">
        <v>1</v>
      </c>
      <c r="F2006" s="122" t="s">
        <v>5281</v>
      </c>
      <c r="G2006" s="299">
        <v>7631869</v>
      </c>
      <c r="H2006" s="286" t="s">
        <v>5282</v>
      </c>
      <c r="I2006" s="286"/>
      <c r="J2006" s="286"/>
      <c r="K2006" s="284" t="s">
        <v>416</v>
      </c>
      <c r="L2006" s="286"/>
      <c r="M2006" s="286"/>
      <c r="N2006" s="286"/>
      <c r="O2006" s="286"/>
      <c r="P2006" s="286"/>
      <c r="Q2006" s="286"/>
      <c r="R2006" s="286"/>
      <c r="S2006" s="286"/>
      <c r="T2006" s="123">
        <v>60.08</v>
      </c>
      <c r="U2006" s="300"/>
      <c r="V2006" s="300"/>
      <c r="W2006" s="300"/>
      <c r="X2006" s="300"/>
      <c r="Y2006" s="419"/>
      <c r="Z2006" s="116"/>
      <c r="AA2006" s="116"/>
      <c r="AB2006" s="116"/>
      <c r="AC2006" s="116"/>
      <c r="AD2006" s="116"/>
      <c r="AE2006" s="116"/>
      <c r="AF2006" s="116"/>
      <c r="AG2006" s="117" t="s">
        <v>404</v>
      </c>
      <c r="AH2006" s="300"/>
      <c r="AI2006" s="292"/>
      <c r="AJ2006" s="125"/>
      <c r="AK2006" s="125"/>
      <c r="AL2006" s="125"/>
      <c r="AM2006" s="125"/>
      <c r="AN2006" s="301"/>
      <c r="AO2006" s="420"/>
      <c r="AP2006" s="420"/>
      <c r="AQ2006" s="301" t="s">
        <v>6311</v>
      </c>
      <c r="AR2006" s="301" t="s">
        <v>6311</v>
      </c>
      <c r="AS2006" s="298"/>
      <c r="AT2006" s="124" t="s">
        <v>266</v>
      </c>
      <c r="AU2006" s="123">
        <v>6</v>
      </c>
      <c r="AV2006" s="123">
        <v>120</v>
      </c>
      <c r="AW2006" s="123">
        <v>114</v>
      </c>
      <c r="AX2006" s="123">
        <v>28</v>
      </c>
      <c r="AY2006" s="123" t="s">
        <v>8728</v>
      </c>
      <c r="AZ2006" s="123" t="s">
        <v>1563</v>
      </c>
      <c r="BA2006" s="123">
        <v>32</v>
      </c>
      <c r="BB2006" s="286" t="s">
        <v>2485</v>
      </c>
      <c r="BC2006" s="286" t="s">
        <v>8726</v>
      </c>
      <c r="BD2006" s="286" t="s">
        <v>8374</v>
      </c>
      <c r="BE2006" s="123" t="s">
        <v>2449</v>
      </c>
      <c r="BF2006" s="123" t="s">
        <v>272</v>
      </c>
      <c r="BG2006" s="123" t="s">
        <v>272</v>
      </c>
      <c r="BH2006" s="123" t="s">
        <v>2486</v>
      </c>
      <c r="BI2006" s="300">
        <v>6.3999999999999997E-6</v>
      </c>
      <c r="BJ2006" s="300">
        <v>6.4000000000000001E-2</v>
      </c>
      <c r="BK2006" s="123"/>
      <c r="BL2006" s="300"/>
      <c r="BM2006" s="286" t="s">
        <v>2487</v>
      </c>
      <c r="BN2006" s="123"/>
      <c r="BO2006" s="123"/>
      <c r="BP2006" s="123"/>
      <c r="BQ2006" s="123"/>
      <c r="BR2006" s="286" t="s">
        <v>2496</v>
      </c>
      <c r="BS2006" s="123"/>
      <c r="BT2006" s="123"/>
      <c r="BU2006" s="123"/>
      <c r="BV2006" s="123"/>
      <c r="BW2006" s="123"/>
      <c r="BX2006" s="123"/>
      <c r="BY2006" s="123"/>
      <c r="BZ2006" s="123"/>
      <c r="CA2006" s="123"/>
      <c r="CB2006" s="123"/>
      <c r="CC2006" s="123"/>
      <c r="CD2006" s="123"/>
      <c r="CE2006" s="123"/>
      <c r="CF2006" s="123"/>
      <c r="CG2006" s="123"/>
      <c r="CH2006" s="123"/>
      <c r="CI2006" s="300"/>
      <c r="CJ2006" s="300"/>
      <c r="CK2006" s="125">
        <f t="shared" si="628"/>
        <v>0</v>
      </c>
      <c r="CL2006" s="120" t="s">
        <v>404</v>
      </c>
      <c r="CM2006" s="294"/>
      <c r="CN2006" s="294"/>
      <c r="CO2006" s="286" t="s">
        <v>2488</v>
      </c>
      <c r="CP2006" s="286" t="s">
        <v>2489</v>
      </c>
      <c r="CQ2006" s="282"/>
      <c r="CR2006" s="282">
        <f t="shared" si="629"/>
        <v>1</v>
      </c>
      <c r="CS2006" s="123" t="s">
        <v>539</v>
      </c>
      <c r="CT2006" s="123"/>
      <c r="CU2006" s="300" t="s">
        <v>6310</v>
      </c>
      <c r="CV2006" s="338" t="s">
        <v>6310</v>
      </c>
      <c r="CW2006" s="123">
        <f>IF(CV2006&lt;1,0,1)</f>
        <v>1</v>
      </c>
      <c r="CX2006" s="339"/>
      <c r="CY2006" s="295" t="s">
        <v>6351</v>
      </c>
    </row>
    <row r="2007" spans="1:103" ht="11.25" customHeight="1" x14ac:dyDescent="0.2">
      <c r="A2007" s="72">
        <v>2005</v>
      </c>
      <c r="B2007" s="298">
        <v>1869</v>
      </c>
      <c r="C2007" s="121" t="s">
        <v>2333</v>
      </c>
      <c r="D2007" s="121"/>
      <c r="E2007" s="122">
        <v>1</v>
      </c>
      <c r="F2007" s="122" t="s">
        <v>2334</v>
      </c>
      <c r="G2007" s="299">
        <v>7632000</v>
      </c>
      <c r="H2007" s="286" t="s">
        <v>2335</v>
      </c>
      <c r="I2007" s="286"/>
      <c r="J2007" s="286"/>
      <c r="K2007" s="284" t="s">
        <v>416</v>
      </c>
      <c r="L2007" s="286"/>
      <c r="M2007" s="286"/>
      <c r="N2007" s="286"/>
      <c r="O2007" s="286"/>
      <c r="P2007" s="286"/>
      <c r="Q2007" s="286"/>
      <c r="R2007" s="286"/>
      <c r="S2007" s="286"/>
      <c r="T2007" s="123">
        <v>47.01</v>
      </c>
      <c r="U2007" s="300"/>
      <c r="V2007" s="300"/>
      <c r="W2007" s="300"/>
      <c r="X2007" s="300"/>
      <c r="Y2007" s="419"/>
      <c r="Z2007" s="116"/>
      <c r="AA2007" s="116"/>
      <c r="AB2007" s="116"/>
      <c r="AC2007" s="116"/>
      <c r="AD2007" s="116"/>
      <c r="AE2007" s="116"/>
      <c r="AF2007" s="116"/>
      <c r="AG2007" s="117" t="s">
        <v>404</v>
      </c>
      <c r="AH2007" s="300">
        <v>2.05E-7</v>
      </c>
      <c r="AI2007" s="292"/>
      <c r="AJ2007" s="125">
        <f t="shared" ref="AJ2007:AJ2017" si="630">LOG10(AH2007*1000/(0.08206*298.15))</f>
        <v>-5.0768124652568973</v>
      </c>
      <c r="AK2007" s="125"/>
      <c r="AL2007" s="125">
        <f>IF(AK2007=0,AJ2007,AK2007)</f>
        <v>-5.0768124652568973</v>
      </c>
      <c r="AM2007" s="125"/>
      <c r="AN2007" s="301"/>
      <c r="AO2007" s="420"/>
      <c r="AP2007" s="420"/>
      <c r="AQ2007" s="301" t="s">
        <v>6311</v>
      </c>
      <c r="AR2007" s="301" t="s">
        <v>6311</v>
      </c>
      <c r="AS2007" s="298"/>
      <c r="AT2007" s="124" t="s">
        <v>266</v>
      </c>
      <c r="AU2007" s="123">
        <v>6</v>
      </c>
      <c r="AV2007" s="123">
        <v>120</v>
      </c>
      <c r="AW2007" s="123">
        <v>114</v>
      </c>
      <c r="AX2007" s="123">
        <v>28</v>
      </c>
      <c r="AY2007" s="123" t="s">
        <v>8728</v>
      </c>
      <c r="AZ2007" s="123" t="s">
        <v>1563</v>
      </c>
      <c r="BA2007" s="123">
        <v>32</v>
      </c>
      <c r="BB2007" s="286" t="s">
        <v>2485</v>
      </c>
      <c r="BC2007" s="286" t="s">
        <v>8726</v>
      </c>
      <c r="BD2007" s="286" t="s">
        <v>8374</v>
      </c>
      <c r="BE2007" s="123" t="s">
        <v>2449</v>
      </c>
      <c r="BF2007" s="123" t="s">
        <v>272</v>
      </c>
      <c r="BG2007" s="123" t="s">
        <v>272</v>
      </c>
      <c r="BH2007" s="123" t="s">
        <v>2486</v>
      </c>
      <c r="BI2007" s="300">
        <v>6.3999999999999997E-6</v>
      </c>
      <c r="BJ2007" s="300">
        <v>6.4000000000000001E-2</v>
      </c>
      <c r="BK2007" s="123"/>
      <c r="BL2007" s="300"/>
      <c r="BM2007" s="286" t="s">
        <v>2487</v>
      </c>
      <c r="BN2007" s="123"/>
      <c r="BO2007" s="123"/>
      <c r="BP2007" s="123"/>
      <c r="BQ2007" s="123"/>
      <c r="BR2007" s="286" t="s">
        <v>2496</v>
      </c>
      <c r="BS2007" s="123"/>
      <c r="BT2007" s="123"/>
      <c r="BU2007" s="123"/>
      <c r="BV2007" s="123"/>
      <c r="BW2007" s="123"/>
      <c r="BX2007" s="123"/>
      <c r="BY2007" s="123"/>
      <c r="BZ2007" s="123"/>
      <c r="CA2007" s="123"/>
      <c r="CB2007" s="123"/>
      <c r="CC2007" s="123"/>
      <c r="CD2007" s="123"/>
      <c r="CE2007" s="123"/>
      <c r="CF2007" s="123"/>
      <c r="CG2007" s="123"/>
      <c r="CH2007" s="123"/>
      <c r="CI2007" s="300"/>
      <c r="CJ2007" s="300"/>
      <c r="CK2007" s="125">
        <f t="shared" si="628"/>
        <v>0</v>
      </c>
      <c r="CL2007" s="120" t="s">
        <v>404</v>
      </c>
      <c r="CM2007" s="294"/>
      <c r="CN2007" s="294"/>
      <c r="CO2007" s="286" t="s">
        <v>2488</v>
      </c>
      <c r="CP2007" s="286" t="s">
        <v>2489</v>
      </c>
      <c r="CQ2007" s="282">
        <v>-1.8011418050379442</v>
      </c>
      <c r="CR2007" s="282">
        <f t="shared" si="629"/>
        <v>63.261837905007603</v>
      </c>
      <c r="CS2007" s="123" t="s">
        <v>539</v>
      </c>
      <c r="CT2007" s="123"/>
      <c r="CU2007" s="300" t="s">
        <v>6310</v>
      </c>
      <c r="CV2007" s="338" t="s">
        <v>6310</v>
      </c>
      <c r="CW2007" s="123">
        <f>IF(CV2007&lt;1,0,1)</f>
        <v>1</v>
      </c>
      <c r="CX2007" s="339"/>
      <c r="CY2007" s="295" t="s">
        <v>6351</v>
      </c>
    </row>
    <row r="2008" spans="1:103" ht="11.25" customHeight="1" x14ac:dyDescent="0.2">
      <c r="A2008" s="72">
        <v>2006</v>
      </c>
      <c r="B2008" s="282">
        <v>129</v>
      </c>
      <c r="C2008" s="115" t="s">
        <v>751</v>
      </c>
      <c r="D2008" s="115"/>
      <c r="E2008" s="116">
        <v>1</v>
      </c>
      <c r="F2008" s="116" t="s">
        <v>752</v>
      </c>
      <c r="G2008" s="283">
        <v>57136</v>
      </c>
      <c r="H2008" s="284" t="s">
        <v>753</v>
      </c>
      <c r="I2008" s="284"/>
      <c r="J2008" s="284" t="s">
        <v>754</v>
      </c>
      <c r="K2008" s="284" t="s">
        <v>416</v>
      </c>
      <c r="L2008" s="284"/>
      <c r="M2008" s="284"/>
      <c r="N2008" s="284"/>
      <c r="O2008" s="284"/>
      <c r="P2008" s="286"/>
      <c r="Q2008" s="286"/>
      <c r="R2008" s="286"/>
      <c r="S2008" s="286"/>
      <c r="T2008" s="119">
        <v>60.06</v>
      </c>
      <c r="U2008" s="292"/>
      <c r="V2008" s="292"/>
      <c r="W2008" s="292">
        <v>16595.869074375612</v>
      </c>
      <c r="X2008" s="292">
        <f>IF(W2008=0,V2008,W2008)</f>
        <v>16595.869074375612</v>
      </c>
      <c r="Y2008" s="370">
        <v>6.41</v>
      </c>
      <c r="Z2008" s="119"/>
      <c r="AA2008" s="119"/>
      <c r="AB2008" s="116">
        <v>-1.59</v>
      </c>
      <c r="AC2008" s="116">
        <v>0.81310000000000004</v>
      </c>
      <c r="AD2008" s="116">
        <v>-1.75</v>
      </c>
      <c r="AE2008" s="116">
        <v>-2.11</v>
      </c>
      <c r="AF2008" s="116">
        <f>IF(AA2008=0,AD2008,AA2008)</f>
        <v>-1.75</v>
      </c>
      <c r="AG2008" s="120">
        <v>-1.32</v>
      </c>
      <c r="AH2008" s="292">
        <v>3.6499999999999998E-10</v>
      </c>
      <c r="AI2008" s="292">
        <v>1.7400000000000001E-12</v>
      </c>
      <c r="AJ2008" s="125">
        <f t="shared" si="630"/>
        <v>-7.8262734618561769</v>
      </c>
      <c r="AK2008" s="125">
        <f>LOG10(AI2008*1000/(0.08206*298.15))</f>
        <v>-10.148017078030053</v>
      </c>
      <c r="AL2008" s="125">
        <f>IF(AK2008=0,AJ2008,AK2008)</f>
        <v>-10.148017078030053</v>
      </c>
      <c r="AM2008" s="125"/>
      <c r="AN2008" s="297">
        <v>-9</v>
      </c>
      <c r="AO2008" s="420">
        <v>14.43</v>
      </c>
      <c r="AP2008" s="420">
        <v>0.1</v>
      </c>
      <c r="AQ2008" s="297" t="s">
        <v>6311</v>
      </c>
      <c r="AR2008" s="297" t="s">
        <v>6311</v>
      </c>
      <c r="AS2008" s="282" t="s">
        <v>6</v>
      </c>
      <c r="AT2008" s="118" t="s">
        <v>266</v>
      </c>
      <c r="AU2008" s="119">
        <v>0</v>
      </c>
      <c r="AV2008" s="119" t="s">
        <v>646</v>
      </c>
      <c r="AW2008" s="119" t="s">
        <v>646</v>
      </c>
      <c r="AX2008" s="119">
        <v>26</v>
      </c>
      <c r="AY2008" s="119" t="s">
        <v>647</v>
      </c>
      <c r="AZ2008" s="119" t="s">
        <v>536</v>
      </c>
      <c r="BA2008" s="119">
        <v>20</v>
      </c>
      <c r="BB2008" s="284" t="s">
        <v>537</v>
      </c>
      <c r="BC2008" s="284" t="s">
        <v>648</v>
      </c>
      <c r="BD2008" s="284"/>
      <c r="BE2008" s="289" t="s">
        <v>649</v>
      </c>
      <c r="BF2008" s="289" t="s">
        <v>650</v>
      </c>
      <c r="BG2008" s="289" t="s">
        <v>540</v>
      </c>
      <c r="BH2008" s="289" t="s">
        <v>272</v>
      </c>
      <c r="BI2008" s="292">
        <v>83.2</v>
      </c>
      <c r="BJ2008" s="292">
        <v>416.2</v>
      </c>
      <c r="BK2008" s="119"/>
      <c r="BL2008" s="292"/>
      <c r="BM2008" s="119" t="s">
        <v>541</v>
      </c>
      <c r="BN2008" s="119"/>
      <c r="BO2008" s="119">
        <v>372.3</v>
      </c>
      <c r="BP2008" s="119"/>
      <c r="BQ2008" s="119"/>
      <c r="BR2008" s="119"/>
      <c r="BS2008" s="119"/>
      <c r="BT2008" s="119"/>
      <c r="BU2008" s="293"/>
      <c r="BV2008" s="119"/>
      <c r="BW2008" s="119"/>
      <c r="BX2008" s="119"/>
      <c r="BY2008" s="119"/>
      <c r="BZ2008" s="119"/>
      <c r="CA2008" s="119"/>
      <c r="CB2008" s="119"/>
      <c r="CC2008" s="119"/>
      <c r="CD2008" s="119"/>
      <c r="CE2008" s="119"/>
      <c r="CF2008" s="119"/>
      <c r="CG2008" s="119"/>
      <c r="CH2008" s="119"/>
      <c r="CI2008" s="292">
        <f t="shared" ref="CI2008:CI2020" si="631">MIN(BN2008:CH2008)</f>
        <v>372.3</v>
      </c>
      <c r="CJ2008" s="292">
        <f t="shared" ref="CJ2008:CJ2020" si="632">LOG10(CI2008)</f>
        <v>2.5708930362183922</v>
      </c>
      <c r="CK2008" s="120">
        <f t="shared" si="628"/>
        <v>0</v>
      </c>
      <c r="CL2008" s="120" t="s">
        <v>404</v>
      </c>
      <c r="CM2008" s="294"/>
      <c r="CN2008" s="294"/>
      <c r="CO2008" s="284"/>
      <c r="CP2008" s="284" t="s">
        <v>651</v>
      </c>
      <c r="CQ2008" s="282"/>
      <c r="CR2008" s="282">
        <f t="shared" si="629"/>
        <v>372.3</v>
      </c>
      <c r="CS2008" s="123"/>
      <c r="CT2008" s="123"/>
      <c r="CU2008" s="300">
        <f>X2008/CI2008</f>
        <v>44.576602402298178</v>
      </c>
      <c r="CV2008" s="338">
        <f>X2008/BJ2008</f>
        <v>39.874745493454142</v>
      </c>
      <c r="CW2008" s="339">
        <f t="shared" ref="CW2008:CW2020" si="633">IF(CU2008&lt;2,0,1)</f>
        <v>1</v>
      </c>
      <c r="CX2008" s="339"/>
      <c r="CY2008" s="295" t="s">
        <v>6351</v>
      </c>
    </row>
    <row r="2009" spans="1:103" ht="11.25" customHeight="1" x14ac:dyDescent="0.2">
      <c r="A2009" s="72">
        <v>2007</v>
      </c>
      <c r="B2009" s="282">
        <v>602</v>
      </c>
      <c r="C2009" s="115" t="s">
        <v>751</v>
      </c>
      <c r="D2009" s="115"/>
      <c r="E2009" s="116">
        <v>1</v>
      </c>
      <c r="F2009" s="116" t="s">
        <v>752</v>
      </c>
      <c r="G2009" s="283">
        <v>57136</v>
      </c>
      <c r="H2009" s="284" t="s">
        <v>753</v>
      </c>
      <c r="I2009" s="284"/>
      <c r="J2009" s="284" t="s">
        <v>754</v>
      </c>
      <c r="K2009" s="284" t="s">
        <v>416</v>
      </c>
      <c r="L2009" s="284"/>
      <c r="M2009" s="284"/>
      <c r="N2009" s="284"/>
      <c r="O2009" s="284"/>
      <c r="P2009" s="286"/>
      <c r="Q2009" s="286"/>
      <c r="R2009" s="286"/>
      <c r="S2009" s="286"/>
      <c r="T2009" s="119">
        <v>60.06</v>
      </c>
      <c r="U2009" s="292"/>
      <c r="V2009" s="292"/>
      <c r="W2009" s="292">
        <v>16595.869074375612</v>
      </c>
      <c r="X2009" s="292">
        <f>IF(W2009=0,V2009,W2009)</f>
        <v>16595.869074375612</v>
      </c>
      <c r="Y2009" s="370">
        <v>6.41</v>
      </c>
      <c r="Z2009" s="119"/>
      <c r="AA2009" s="119"/>
      <c r="AB2009" s="116">
        <v>-1.59</v>
      </c>
      <c r="AC2009" s="116">
        <v>0.81310000000000004</v>
      </c>
      <c r="AD2009" s="116">
        <v>-1.75</v>
      </c>
      <c r="AE2009" s="116">
        <v>-2.11</v>
      </c>
      <c r="AF2009" s="116">
        <f>IF(AA2009=0,AD2009,AA2009)</f>
        <v>-1.75</v>
      </c>
      <c r="AG2009" s="120">
        <v>-1.32</v>
      </c>
      <c r="AH2009" s="292">
        <v>3.6499999999999998E-10</v>
      </c>
      <c r="AI2009" s="292">
        <v>1.7400000000000001E-12</v>
      </c>
      <c r="AJ2009" s="125">
        <f t="shared" si="630"/>
        <v>-7.8262734618561769</v>
      </c>
      <c r="AK2009" s="125">
        <f>LOG10(AI2009*1000/(0.08206*298.15))</f>
        <v>-10.148017078030053</v>
      </c>
      <c r="AL2009" s="125">
        <f>IF(AK2009=0,AJ2009,AK2009)</f>
        <v>-10.148017078030053</v>
      </c>
      <c r="AM2009" s="125"/>
      <c r="AN2009" s="297">
        <v>-9</v>
      </c>
      <c r="AO2009" s="420">
        <v>14.43</v>
      </c>
      <c r="AP2009" s="420">
        <v>0.1</v>
      </c>
      <c r="AQ2009" s="297" t="s">
        <v>6311</v>
      </c>
      <c r="AR2009" s="297" t="s">
        <v>6311</v>
      </c>
      <c r="AS2009" s="282" t="s">
        <v>6</v>
      </c>
      <c r="AT2009" s="118" t="s">
        <v>266</v>
      </c>
      <c r="AU2009" s="119">
        <v>2</v>
      </c>
      <c r="AV2009" s="119">
        <v>48</v>
      </c>
      <c r="AW2009" s="119">
        <v>48</v>
      </c>
      <c r="AX2009" s="119">
        <v>26</v>
      </c>
      <c r="AY2009" s="119" t="s">
        <v>8722</v>
      </c>
      <c r="AZ2009" s="119" t="s">
        <v>536</v>
      </c>
      <c r="BA2009" s="119">
        <v>20</v>
      </c>
      <c r="BB2009" s="284" t="s">
        <v>1644</v>
      </c>
      <c r="BC2009" s="284" t="s">
        <v>8722</v>
      </c>
      <c r="BD2009" s="284"/>
      <c r="BE2009" s="119" t="s">
        <v>271</v>
      </c>
      <c r="BF2009" s="119" t="s">
        <v>272</v>
      </c>
      <c r="BG2009" s="119" t="s">
        <v>272</v>
      </c>
      <c r="BH2009" s="119" t="s">
        <v>272</v>
      </c>
      <c r="BI2009" s="292">
        <v>83</v>
      </c>
      <c r="BJ2009" s="292">
        <v>416</v>
      </c>
      <c r="BK2009" s="119"/>
      <c r="BL2009" s="292"/>
      <c r="BM2009" s="119" t="s">
        <v>1584</v>
      </c>
      <c r="BN2009" s="119"/>
      <c r="BO2009" s="119">
        <v>374</v>
      </c>
      <c r="BP2009" s="119"/>
      <c r="BQ2009" s="119"/>
      <c r="BR2009" s="119"/>
      <c r="BS2009" s="119"/>
      <c r="BT2009" s="119"/>
      <c r="BU2009" s="293"/>
      <c r="BV2009" s="119"/>
      <c r="BW2009" s="119"/>
      <c r="BX2009" s="119"/>
      <c r="BY2009" s="119"/>
      <c r="BZ2009" s="119"/>
      <c r="CA2009" s="119"/>
      <c r="CB2009" s="119"/>
      <c r="CC2009" s="119"/>
      <c r="CD2009" s="119"/>
      <c r="CE2009" s="119"/>
      <c r="CF2009" s="119"/>
      <c r="CG2009" s="119"/>
      <c r="CH2009" s="119"/>
      <c r="CI2009" s="292">
        <f t="shared" si="631"/>
        <v>374</v>
      </c>
      <c r="CJ2009" s="292">
        <f t="shared" si="632"/>
        <v>2.5728716022004803</v>
      </c>
      <c r="CK2009" s="120">
        <f t="shared" si="628"/>
        <v>0</v>
      </c>
      <c r="CL2009" s="120" t="s">
        <v>404</v>
      </c>
      <c r="CM2009" s="294"/>
      <c r="CN2009" s="294"/>
      <c r="CO2009" s="284"/>
      <c r="CP2009" s="284" t="s">
        <v>1673</v>
      </c>
      <c r="CQ2009" s="282"/>
      <c r="CR2009" s="282">
        <f t="shared" si="629"/>
        <v>374.00000000000045</v>
      </c>
      <c r="CS2009" s="123"/>
      <c r="CT2009" s="123"/>
      <c r="CU2009" s="300">
        <f>X2009/CI2009</f>
        <v>44.373981482287732</v>
      </c>
      <c r="CV2009" s="338">
        <f>X2009/BJ2009</f>
        <v>39.893916044172144</v>
      </c>
      <c r="CW2009" s="339">
        <f t="shared" si="633"/>
        <v>1</v>
      </c>
      <c r="CX2009" s="339"/>
      <c r="CY2009" s="295" t="s">
        <v>6351</v>
      </c>
    </row>
    <row r="2010" spans="1:103" ht="11.25" customHeight="1" x14ac:dyDescent="0.2">
      <c r="A2010" s="72">
        <v>2008</v>
      </c>
      <c r="B2010" s="282">
        <v>603</v>
      </c>
      <c r="C2010" s="115" t="s">
        <v>751</v>
      </c>
      <c r="D2010" s="115"/>
      <c r="E2010" s="116">
        <v>1</v>
      </c>
      <c r="F2010" s="116" t="s">
        <v>752</v>
      </c>
      <c r="G2010" s="283">
        <v>57136</v>
      </c>
      <c r="H2010" s="284" t="s">
        <v>753</v>
      </c>
      <c r="I2010" s="284"/>
      <c r="J2010" s="284" t="s">
        <v>754</v>
      </c>
      <c r="K2010" s="284" t="s">
        <v>416</v>
      </c>
      <c r="L2010" s="284"/>
      <c r="M2010" s="284"/>
      <c r="N2010" s="284"/>
      <c r="O2010" s="284"/>
      <c r="P2010" s="286"/>
      <c r="Q2010" s="286"/>
      <c r="R2010" s="286"/>
      <c r="S2010" s="286"/>
      <c r="T2010" s="119">
        <v>60.06</v>
      </c>
      <c r="U2010" s="292"/>
      <c r="V2010" s="292"/>
      <c r="W2010" s="292">
        <v>16595.869074375612</v>
      </c>
      <c r="X2010" s="292">
        <f>IF(W2010=0,V2010,W2010)</f>
        <v>16595.869074375612</v>
      </c>
      <c r="Y2010" s="370">
        <v>6.41</v>
      </c>
      <c r="Z2010" s="119"/>
      <c r="AA2010" s="119"/>
      <c r="AB2010" s="116">
        <v>-1.59</v>
      </c>
      <c r="AC2010" s="116">
        <v>0.81310000000000004</v>
      </c>
      <c r="AD2010" s="116">
        <v>-1.75</v>
      </c>
      <c r="AE2010" s="116">
        <v>-2.11</v>
      </c>
      <c r="AF2010" s="116">
        <f>IF(AA2010=0,AD2010,AA2010)</f>
        <v>-1.75</v>
      </c>
      <c r="AG2010" s="120">
        <v>-1.32</v>
      </c>
      <c r="AH2010" s="292">
        <v>3.6499999999999998E-10</v>
      </c>
      <c r="AI2010" s="292">
        <v>1.7400000000000001E-12</v>
      </c>
      <c r="AJ2010" s="125">
        <f t="shared" si="630"/>
        <v>-7.8262734618561769</v>
      </c>
      <c r="AK2010" s="125">
        <f>LOG10(AI2010*1000/(0.08206*298.15))</f>
        <v>-10.148017078030053</v>
      </c>
      <c r="AL2010" s="125">
        <f>IF(AK2010=0,AJ2010,AK2010)</f>
        <v>-10.148017078030053</v>
      </c>
      <c r="AM2010" s="125"/>
      <c r="AN2010" s="297">
        <v>-9</v>
      </c>
      <c r="AO2010" s="420">
        <v>14.43</v>
      </c>
      <c r="AP2010" s="420">
        <v>0.1</v>
      </c>
      <c r="AQ2010" s="297" t="s">
        <v>6311</v>
      </c>
      <c r="AR2010" s="297" t="s">
        <v>6311</v>
      </c>
      <c r="AS2010" s="282" t="s">
        <v>6</v>
      </c>
      <c r="AT2010" s="118" t="s">
        <v>266</v>
      </c>
      <c r="AU2010" s="119">
        <v>2</v>
      </c>
      <c r="AV2010" s="119">
        <v>48</v>
      </c>
      <c r="AW2010" s="119">
        <v>48</v>
      </c>
      <c r="AX2010" s="119">
        <v>26</v>
      </c>
      <c r="AY2010" s="119" t="s">
        <v>647</v>
      </c>
      <c r="AZ2010" s="119" t="s">
        <v>536</v>
      </c>
      <c r="BA2010" s="119">
        <v>20</v>
      </c>
      <c r="BB2010" s="284" t="s">
        <v>537</v>
      </c>
      <c r="BC2010" s="284" t="s">
        <v>538</v>
      </c>
      <c r="BD2010" s="284"/>
      <c r="BE2010" s="119" t="s">
        <v>271</v>
      </c>
      <c r="BF2010" s="119" t="s">
        <v>539</v>
      </c>
      <c r="BG2010" s="119" t="s">
        <v>272</v>
      </c>
      <c r="BH2010" s="119" t="s">
        <v>272</v>
      </c>
      <c r="BI2010" s="291">
        <v>9.1575091575091569E-2</v>
      </c>
      <c r="BJ2010" s="291">
        <v>0.46620046620046618</v>
      </c>
      <c r="BK2010" s="119"/>
      <c r="BL2010" s="292"/>
      <c r="BM2010" s="119" t="s">
        <v>541</v>
      </c>
      <c r="BN2010" s="119"/>
      <c r="BO2010" s="119">
        <v>381.28538128538128</v>
      </c>
      <c r="BP2010" s="119"/>
      <c r="BQ2010" s="119"/>
      <c r="BR2010" s="119"/>
      <c r="BS2010" s="119"/>
      <c r="BT2010" s="119"/>
      <c r="BU2010" s="293"/>
      <c r="BV2010" s="119"/>
      <c r="BW2010" s="119"/>
      <c r="BX2010" s="119"/>
      <c r="BY2010" s="119"/>
      <c r="BZ2010" s="119"/>
      <c r="CA2010" s="119"/>
      <c r="CB2010" s="119"/>
      <c r="CC2010" s="119"/>
      <c r="CD2010" s="119"/>
      <c r="CE2010" s="119"/>
      <c r="CF2010" s="119"/>
      <c r="CG2010" s="119"/>
      <c r="CH2010" s="119"/>
      <c r="CI2010" s="292">
        <f t="shared" si="631"/>
        <v>381.28538128538128</v>
      </c>
      <c r="CJ2010" s="292">
        <f t="shared" si="632"/>
        <v>2.5812501544769257</v>
      </c>
      <c r="CK2010" s="120">
        <f t="shared" si="628"/>
        <v>0</v>
      </c>
      <c r="CL2010" s="120" t="s">
        <v>404</v>
      </c>
      <c r="CM2010" s="294"/>
      <c r="CN2010" s="294"/>
      <c r="CO2010" s="284"/>
      <c r="CP2010" s="284" t="s">
        <v>1558</v>
      </c>
      <c r="CQ2010" s="282"/>
      <c r="CR2010" s="282">
        <f t="shared" si="629"/>
        <v>381.28538128538162</v>
      </c>
      <c r="CS2010" s="123"/>
      <c r="CT2010" s="123"/>
      <c r="CU2010" s="300">
        <f>X2010/CI2010</f>
        <v>43.526109022139707</v>
      </c>
      <c r="CV2010" s="338">
        <f>X2010/BJ2010</f>
        <v>35598.139164535693</v>
      </c>
      <c r="CW2010" s="339">
        <f t="shared" si="633"/>
        <v>1</v>
      </c>
      <c r="CX2010" s="339"/>
      <c r="CY2010" s="295" t="s">
        <v>6351</v>
      </c>
    </row>
    <row r="2011" spans="1:103" ht="11.25" customHeight="1" x14ac:dyDescent="0.2">
      <c r="A2011" s="72">
        <v>2009</v>
      </c>
      <c r="B2011" s="282">
        <v>819</v>
      </c>
      <c r="C2011" s="115" t="s">
        <v>6356</v>
      </c>
      <c r="D2011" s="115"/>
      <c r="E2011" s="116">
        <v>1</v>
      </c>
      <c r="F2011" s="116" t="s">
        <v>2328</v>
      </c>
      <c r="G2011" s="283">
        <v>7440508</v>
      </c>
      <c r="H2011" s="284" t="s">
        <v>2329</v>
      </c>
      <c r="I2011" s="284"/>
      <c r="J2011" s="284"/>
      <c r="K2011" s="284" t="s">
        <v>416</v>
      </c>
      <c r="L2011" s="284"/>
      <c r="M2011" s="284"/>
      <c r="N2011" s="284"/>
      <c r="O2011" s="284"/>
      <c r="P2011" s="286"/>
      <c r="Q2011" s="286"/>
      <c r="R2011" s="286"/>
      <c r="S2011" s="286"/>
      <c r="T2011" s="119">
        <v>63.55</v>
      </c>
      <c r="U2011" s="292"/>
      <c r="V2011" s="292"/>
      <c r="W2011" s="292"/>
      <c r="X2011" s="292"/>
      <c r="Y2011" s="370"/>
      <c r="Z2011" s="116"/>
      <c r="AA2011" s="116"/>
      <c r="AB2011" s="116"/>
      <c r="AC2011" s="116"/>
      <c r="AD2011" s="116"/>
      <c r="AE2011" s="116"/>
      <c r="AF2011" s="116"/>
      <c r="AG2011" s="117" t="s">
        <v>404</v>
      </c>
      <c r="AH2011" s="292">
        <v>2.4500000000000001E-2</v>
      </c>
      <c r="AI2011" s="292"/>
      <c r="AJ2011" s="125">
        <f t="shared" si="630"/>
        <v>5.9975805188064034E-4</v>
      </c>
      <c r="AK2011" s="125"/>
      <c r="AL2011" s="125"/>
      <c r="AM2011" s="125"/>
      <c r="AN2011" s="297"/>
      <c r="AO2011" s="420"/>
      <c r="AP2011" s="420"/>
      <c r="AQ2011" s="297" t="s">
        <v>6311</v>
      </c>
      <c r="AR2011" s="297" t="s">
        <v>6311</v>
      </c>
      <c r="AS2011" s="282" t="s">
        <v>6</v>
      </c>
      <c r="AT2011" s="118" t="s">
        <v>266</v>
      </c>
      <c r="AU2011" s="289"/>
      <c r="AV2011" s="289">
        <v>0</v>
      </c>
      <c r="AW2011" s="119">
        <v>48</v>
      </c>
      <c r="AX2011" s="119">
        <v>26</v>
      </c>
      <c r="AY2011" s="119" t="s">
        <v>6360</v>
      </c>
      <c r="AZ2011" s="119" t="s">
        <v>536</v>
      </c>
      <c r="BA2011" s="119">
        <v>20</v>
      </c>
      <c r="BB2011" s="284" t="s">
        <v>1764</v>
      </c>
      <c r="BC2011" s="284" t="s">
        <v>6372</v>
      </c>
      <c r="BD2011" s="284"/>
      <c r="BE2011" s="119" t="s">
        <v>1712</v>
      </c>
      <c r="BF2011" s="119" t="s">
        <v>539</v>
      </c>
      <c r="BG2011" s="119" t="s">
        <v>539</v>
      </c>
      <c r="BH2011" s="119" t="s">
        <v>272</v>
      </c>
      <c r="BI2011" s="292">
        <v>6.0076898429990385E-4</v>
      </c>
      <c r="BJ2011" s="292">
        <v>9.6123037487984616E-3</v>
      </c>
      <c r="BK2011" s="119" t="s">
        <v>6358</v>
      </c>
      <c r="BL2011" s="292"/>
      <c r="BM2011" s="119" t="s">
        <v>541</v>
      </c>
      <c r="BN2011" s="119"/>
      <c r="BO2011" s="119">
        <f>(0.003383163+0.003383163+0.003398899+0.00404406+0.00404406+0.004107002+0.004846577+0.005318647+0.006782061+0.007206924+0.009158143+0.012242329)/12</f>
        <v>5.6595856666666671E-3</v>
      </c>
      <c r="BP2011" s="119"/>
      <c r="BQ2011" s="119">
        <f>(0.002580645+0.003383163+0.003383163+0.003398899+0.003918175+0.00404406+0.004107002+0.004846577+0.005318647+0.0061369+0.00675059)/11</f>
        <v>4.3516200909090906E-3</v>
      </c>
      <c r="BR2011" s="119"/>
      <c r="BS2011" s="119"/>
      <c r="BT2011" s="119"/>
      <c r="BU2011" s="293"/>
      <c r="BV2011" s="119"/>
      <c r="BW2011" s="119"/>
      <c r="BX2011" s="119"/>
      <c r="BY2011" s="119"/>
      <c r="BZ2011" s="119"/>
      <c r="CA2011" s="119"/>
      <c r="CB2011" s="119"/>
      <c r="CC2011" s="119"/>
      <c r="CD2011" s="119"/>
      <c r="CE2011" s="119"/>
      <c r="CF2011" s="119"/>
      <c r="CG2011" s="119"/>
      <c r="CH2011" s="119"/>
      <c r="CI2011" s="292">
        <f t="shared" si="631"/>
        <v>4.3516200909090906E-3</v>
      </c>
      <c r="CJ2011" s="292">
        <f t="shared" si="632"/>
        <v>-2.3613490268263648</v>
      </c>
      <c r="CK2011" s="120">
        <f t="shared" si="628"/>
        <v>0</v>
      </c>
      <c r="CL2011" s="120" t="s">
        <v>404</v>
      </c>
      <c r="CM2011" s="294"/>
      <c r="CN2011" s="294"/>
      <c r="CO2011" s="284"/>
      <c r="CP2011" s="284" t="s">
        <v>6355</v>
      </c>
      <c r="CQ2011" s="282">
        <v>-1.9235256424212241</v>
      </c>
      <c r="CR2011" s="282">
        <f t="shared" si="629"/>
        <v>0.36490231246775651</v>
      </c>
      <c r="CS2011" s="123"/>
      <c r="CT2011" s="123" t="s">
        <v>6310</v>
      </c>
      <c r="CU2011" s="300" t="s">
        <v>6310</v>
      </c>
      <c r="CV2011" s="338" t="s">
        <v>6310</v>
      </c>
      <c r="CW2011" s="339">
        <f t="shared" si="633"/>
        <v>1</v>
      </c>
      <c r="CX2011" s="339" t="s">
        <v>539</v>
      </c>
      <c r="CY2011" s="295" t="s">
        <v>6351</v>
      </c>
    </row>
    <row r="2012" spans="1:103" ht="11.25" customHeight="1" x14ac:dyDescent="0.2">
      <c r="A2012" s="72">
        <v>2010</v>
      </c>
      <c r="B2012" s="282">
        <v>750</v>
      </c>
      <c r="C2012" s="115" t="s">
        <v>413</v>
      </c>
      <c r="D2012" s="115"/>
      <c r="E2012" s="116">
        <v>1</v>
      </c>
      <c r="F2012" s="116" t="s">
        <v>414</v>
      </c>
      <c r="G2012" s="283">
        <v>7447418</v>
      </c>
      <c r="H2012" s="284" t="s">
        <v>415</v>
      </c>
      <c r="I2012" s="284"/>
      <c r="J2012" s="284"/>
      <c r="K2012" s="284" t="s">
        <v>416</v>
      </c>
      <c r="L2012" s="284"/>
      <c r="M2012" s="284"/>
      <c r="N2012" s="284"/>
      <c r="O2012" s="284"/>
      <c r="P2012" s="286"/>
      <c r="Q2012" s="286"/>
      <c r="R2012" s="286"/>
      <c r="S2012" s="286"/>
      <c r="T2012" s="119">
        <v>42.39</v>
      </c>
      <c r="U2012" s="292"/>
      <c r="V2012" s="287"/>
      <c r="W2012" s="287"/>
      <c r="X2012" s="287"/>
      <c r="Y2012" s="370"/>
      <c r="Z2012" s="116"/>
      <c r="AA2012" s="116"/>
      <c r="AB2012" s="116"/>
      <c r="AC2012" s="116"/>
      <c r="AD2012" s="116"/>
      <c r="AE2012" s="116"/>
      <c r="AF2012" s="116"/>
      <c r="AG2012" s="117" t="s">
        <v>404</v>
      </c>
      <c r="AH2012" s="292">
        <v>2.4500000000000001E-2</v>
      </c>
      <c r="AI2012" s="292"/>
      <c r="AJ2012" s="125">
        <f t="shared" si="630"/>
        <v>5.9975805188064034E-4</v>
      </c>
      <c r="AK2012" s="125"/>
      <c r="AL2012" s="125"/>
      <c r="AM2012" s="125"/>
      <c r="AN2012" s="297"/>
      <c r="AO2012" s="420"/>
      <c r="AP2012" s="420"/>
      <c r="AQ2012" s="297" t="s">
        <v>6311</v>
      </c>
      <c r="AR2012" s="297" t="s">
        <v>6311</v>
      </c>
      <c r="AS2012" s="282" t="s">
        <v>6</v>
      </c>
      <c r="AT2012" s="118" t="s">
        <v>266</v>
      </c>
      <c r="AU2012" s="119">
        <v>2</v>
      </c>
      <c r="AV2012" s="119">
        <v>48</v>
      </c>
      <c r="AW2012" s="119">
        <v>48</v>
      </c>
      <c r="AX2012" s="119">
        <v>26</v>
      </c>
      <c r="AY2012" s="119" t="s">
        <v>8722</v>
      </c>
      <c r="AZ2012" s="119" t="s">
        <v>536</v>
      </c>
      <c r="BA2012" s="119">
        <v>12</v>
      </c>
      <c r="BB2012" s="284" t="s">
        <v>1764</v>
      </c>
      <c r="BC2012" s="284" t="s">
        <v>2121</v>
      </c>
      <c r="BD2012" s="284"/>
      <c r="BE2012" s="119" t="s">
        <v>271</v>
      </c>
      <c r="BF2012" s="119" t="s">
        <v>2122</v>
      </c>
      <c r="BG2012" s="305" t="s">
        <v>2123</v>
      </c>
      <c r="BH2012" s="119" t="s">
        <v>272</v>
      </c>
      <c r="BI2012" s="292">
        <v>5.7599999999999998E-2</v>
      </c>
      <c r="BJ2012" s="292">
        <v>235.9</v>
      </c>
      <c r="BK2012" s="119"/>
      <c r="BL2012" s="292"/>
      <c r="BM2012" s="119">
        <v>5.6</v>
      </c>
      <c r="BN2012" s="119"/>
      <c r="BO2012" s="119">
        <v>115.1</v>
      </c>
      <c r="BP2012" s="119"/>
      <c r="BQ2012" s="119"/>
      <c r="BR2012" s="119">
        <v>53.43</v>
      </c>
      <c r="BS2012" s="119"/>
      <c r="BT2012" s="119"/>
      <c r="BU2012" s="293"/>
      <c r="BV2012" s="119"/>
      <c r="BW2012" s="119"/>
      <c r="BX2012" s="119"/>
      <c r="BY2012" s="119"/>
      <c r="BZ2012" s="119"/>
      <c r="CA2012" s="119"/>
      <c r="CB2012" s="119"/>
      <c r="CC2012" s="119"/>
      <c r="CD2012" s="119"/>
      <c r="CE2012" s="119"/>
      <c r="CF2012" s="119"/>
      <c r="CG2012" s="119"/>
      <c r="CH2012" s="119"/>
      <c r="CI2012" s="292">
        <f t="shared" si="631"/>
        <v>53.43</v>
      </c>
      <c r="CJ2012" s="292">
        <f t="shared" si="632"/>
        <v>1.727785174182906</v>
      </c>
      <c r="CK2012" s="120">
        <f t="shared" si="628"/>
        <v>0</v>
      </c>
      <c r="CL2012" s="120" t="s">
        <v>404</v>
      </c>
      <c r="CM2012" s="294"/>
      <c r="CN2012" s="294"/>
      <c r="CO2012" s="284" t="s">
        <v>2125</v>
      </c>
      <c r="CP2012" s="284" t="s">
        <v>2126</v>
      </c>
      <c r="CQ2012" s="282"/>
      <c r="CR2012" s="282">
        <f t="shared" si="629"/>
        <v>53.430000000000028</v>
      </c>
      <c r="CS2012" s="123"/>
      <c r="CT2012" s="123"/>
      <c r="CU2012" s="300" t="s">
        <v>6310</v>
      </c>
      <c r="CV2012" s="338" t="s">
        <v>6310</v>
      </c>
      <c r="CW2012" s="339">
        <f t="shared" si="633"/>
        <v>1</v>
      </c>
      <c r="CX2012" s="339"/>
      <c r="CY2012" s="295" t="s">
        <v>6351</v>
      </c>
    </row>
    <row r="2013" spans="1:103" ht="11.25" customHeight="1" x14ac:dyDescent="0.2">
      <c r="A2013" s="72">
        <v>2011</v>
      </c>
      <c r="B2013" s="282">
        <v>821</v>
      </c>
      <c r="C2013" s="115" t="s">
        <v>2330</v>
      </c>
      <c r="D2013" s="115"/>
      <c r="E2013" s="116">
        <v>1</v>
      </c>
      <c r="F2013" s="116" t="s">
        <v>2331</v>
      </c>
      <c r="G2013" s="283">
        <v>7487947</v>
      </c>
      <c r="H2013" s="284" t="s">
        <v>2332</v>
      </c>
      <c r="I2013" s="284"/>
      <c r="J2013" s="284"/>
      <c r="K2013" s="284" t="s">
        <v>416</v>
      </c>
      <c r="L2013" s="284"/>
      <c r="M2013" s="284"/>
      <c r="N2013" s="284"/>
      <c r="O2013" s="284"/>
      <c r="P2013" s="286"/>
      <c r="Q2013" s="286"/>
      <c r="R2013" s="286"/>
      <c r="S2013" s="286"/>
      <c r="T2013" s="119">
        <v>271.5</v>
      </c>
      <c r="U2013" s="292"/>
      <c r="V2013" s="292"/>
      <c r="W2013" s="292"/>
      <c r="X2013" s="292"/>
      <c r="Y2013" s="370"/>
      <c r="Z2013" s="116"/>
      <c r="AA2013" s="116"/>
      <c r="AB2013" s="116"/>
      <c r="AC2013" s="116"/>
      <c r="AD2013" s="116"/>
      <c r="AE2013" s="116"/>
      <c r="AF2013" s="116"/>
      <c r="AG2013" s="117" t="s">
        <v>404</v>
      </c>
      <c r="AH2013" s="292">
        <v>2.4500000000000001E-2</v>
      </c>
      <c r="AI2013" s="292"/>
      <c r="AJ2013" s="125">
        <f t="shared" si="630"/>
        <v>5.9975805188064034E-4</v>
      </c>
      <c r="AK2013" s="125"/>
      <c r="AL2013" s="125"/>
      <c r="AM2013" s="125"/>
      <c r="AN2013" s="297"/>
      <c r="AO2013" s="420"/>
      <c r="AP2013" s="420"/>
      <c r="AQ2013" s="119" t="s">
        <v>6311</v>
      </c>
      <c r="AR2013" s="119" t="s">
        <v>6311</v>
      </c>
      <c r="AS2013" s="282" t="s">
        <v>6</v>
      </c>
      <c r="AT2013" s="118" t="s">
        <v>266</v>
      </c>
      <c r="AU2013" s="289"/>
      <c r="AV2013" s="289">
        <v>0</v>
      </c>
      <c r="AW2013" s="119">
        <v>48</v>
      </c>
      <c r="AX2013" s="119">
        <v>27</v>
      </c>
      <c r="AY2013" s="119" t="s">
        <v>8722</v>
      </c>
      <c r="AZ2013" s="119" t="s">
        <v>536</v>
      </c>
      <c r="BA2013" s="119">
        <v>20</v>
      </c>
      <c r="BB2013" s="284" t="s">
        <v>1764</v>
      </c>
      <c r="BC2013" s="284" t="s">
        <v>538</v>
      </c>
      <c r="BD2013" s="284"/>
      <c r="BE2013" s="119" t="s">
        <v>271</v>
      </c>
      <c r="BF2013" s="119" t="s">
        <v>8722</v>
      </c>
      <c r="BG2013" s="119" t="s">
        <v>8722</v>
      </c>
      <c r="BH2013" s="119" t="s">
        <v>272</v>
      </c>
      <c r="BI2013" s="291">
        <v>2.3204419889502763E-4</v>
      </c>
      <c r="BJ2013" s="291">
        <v>1.1049723756906077E-2</v>
      </c>
      <c r="BK2013" s="119"/>
      <c r="BL2013" s="292"/>
      <c r="BM2013" s="119">
        <v>0</v>
      </c>
      <c r="BN2013" s="119"/>
      <c r="BO2013" s="119"/>
      <c r="BP2013" s="119">
        <v>7.3664825046040525E-5</v>
      </c>
      <c r="BQ2013" s="119"/>
      <c r="BR2013" s="119"/>
      <c r="BS2013" s="119"/>
      <c r="BT2013" s="119"/>
      <c r="BU2013" s="293"/>
      <c r="BV2013" s="119"/>
      <c r="BW2013" s="119"/>
      <c r="BX2013" s="119"/>
      <c r="BY2013" s="119"/>
      <c r="BZ2013" s="119"/>
      <c r="CA2013" s="119"/>
      <c r="CB2013" s="119"/>
      <c r="CC2013" s="119"/>
      <c r="CD2013" s="119"/>
      <c r="CE2013" s="119"/>
      <c r="CF2013" s="119"/>
      <c r="CG2013" s="119"/>
      <c r="CH2013" s="119"/>
      <c r="CI2013" s="292">
        <f t="shared" si="631"/>
        <v>7.3664825046040525E-5</v>
      </c>
      <c r="CJ2013" s="292">
        <f t="shared" si="632"/>
        <v>-4.1327398382608846</v>
      </c>
      <c r="CK2013" s="120">
        <f t="shared" si="628"/>
        <v>0</v>
      </c>
      <c r="CL2013" s="120" t="s">
        <v>404</v>
      </c>
      <c r="CM2013" s="294"/>
      <c r="CN2013" s="294"/>
      <c r="CO2013" s="284"/>
      <c r="CP2013" s="284" t="s">
        <v>2295</v>
      </c>
      <c r="CQ2013" s="282">
        <v>-3.5652629927790427</v>
      </c>
      <c r="CR2013" s="282">
        <f t="shared" si="629"/>
        <v>0.27072175360490325</v>
      </c>
      <c r="CS2013" s="123"/>
      <c r="CT2013" s="123"/>
      <c r="CU2013" s="300" t="s">
        <v>6310</v>
      </c>
      <c r="CV2013" s="338" t="s">
        <v>6310</v>
      </c>
      <c r="CW2013" s="339">
        <f t="shared" si="633"/>
        <v>1</v>
      </c>
      <c r="CX2013" s="339"/>
      <c r="CY2013" s="295" t="s">
        <v>5921</v>
      </c>
    </row>
    <row r="2014" spans="1:103" ht="11.25" customHeight="1" x14ac:dyDescent="0.2">
      <c r="A2014" s="72">
        <v>2012</v>
      </c>
      <c r="B2014" s="282">
        <v>822</v>
      </c>
      <c r="C2014" s="115" t="s">
        <v>2333</v>
      </c>
      <c r="D2014" s="115"/>
      <c r="E2014" s="116">
        <v>1</v>
      </c>
      <c r="F2014" s="116" t="s">
        <v>2334</v>
      </c>
      <c r="G2014" s="283">
        <v>7632000</v>
      </c>
      <c r="H2014" s="284" t="s">
        <v>2335</v>
      </c>
      <c r="I2014" s="284"/>
      <c r="J2014" s="284"/>
      <c r="K2014" s="284" t="s">
        <v>416</v>
      </c>
      <c r="L2014" s="284"/>
      <c r="M2014" s="284"/>
      <c r="N2014" s="284"/>
      <c r="O2014" s="284"/>
      <c r="P2014" s="286"/>
      <c r="Q2014" s="286"/>
      <c r="R2014" s="286"/>
      <c r="S2014" s="286"/>
      <c r="T2014" s="119">
        <v>69</v>
      </c>
      <c r="U2014" s="292"/>
      <c r="V2014" s="292"/>
      <c r="W2014" s="292"/>
      <c r="X2014" s="292"/>
      <c r="Y2014" s="370"/>
      <c r="Z2014" s="116"/>
      <c r="AA2014" s="116"/>
      <c r="AB2014" s="116"/>
      <c r="AC2014" s="116"/>
      <c r="AD2014" s="116"/>
      <c r="AE2014" s="116"/>
      <c r="AF2014" s="116"/>
      <c r="AG2014" s="117" t="s">
        <v>404</v>
      </c>
      <c r="AH2014" s="292">
        <v>2.05E-7</v>
      </c>
      <c r="AI2014" s="292"/>
      <c r="AJ2014" s="125">
        <f t="shared" si="630"/>
        <v>-5.0768124652568973</v>
      </c>
      <c r="AK2014" s="125"/>
      <c r="AL2014" s="125">
        <f>IF(AK2014=0,AJ2014,AK2014)</f>
        <v>-5.0768124652568973</v>
      </c>
      <c r="AM2014" s="125"/>
      <c r="AN2014" s="297"/>
      <c r="AO2014" s="420"/>
      <c r="AP2014" s="420"/>
      <c r="AQ2014" s="119" t="s">
        <v>6311</v>
      </c>
      <c r="AR2014" s="119" t="s">
        <v>6311</v>
      </c>
      <c r="AS2014" s="282" t="s">
        <v>6</v>
      </c>
      <c r="AT2014" s="118" t="s">
        <v>266</v>
      </c>
      <c r="AU2014" s="289"/>
      <c r="AV2014" s="289">
        <v>0</v>
      </c>
      <c r="AW2014" s="119">
        <v>48</v>
      </c>
      <c r="AX2014" s="119">
        <v>27</v>
      </c>
      <c r="AY2014" s="119" t="s">
        <v>8722</v>
      </c>
      <c r="AZ2014" s="119" t="s">
        <v>536</v>
      </c>
      <c r="BA2014" s="119">
        <v>20</v>
      </c>
      <c r="BB2014" s="284" t="s">
        <v>1764</v>
      </c>
      <c r="BC2014" s="284" t="s">
        <v>538</v>
      </c>
      <c r="BD2014" s="284"/>
      <c r="BE2014" s="119" t="s">
        <v>271</v>
      </c>
      <c r="BF2014" s="119" t="s">
        <v>8722</v>
      </c>
      <c r="BG2014" s="119" t="s">
        <v>8722</v>
      </c>
      <c r="BH2014" s="119" t="s">
        <v>272</v>
      </c>
      <c r="BI2014" s="291">
        <v>0.81164948916810276</v>
      </c>
      <c r="BJ2014" s="291">
        <v>22.465298360902842</v>
      </c>
      <c r="BK2014" s="119"/>
      <c r="BL2014" s="292"/>
      <c r="BM2014" s="119">
        <v>0</v>
      </c>
      <c r="BN2014" s="119"/>
      <c r="BO2014" s="119"/>
      <c r="BP2014" s="119">
        <v>6.3192710228087998</v>
      </c>
      <c r="BQ2014" s="119"/>
      <c r="BR2014" s="119"/>
      <c r="BS2014" s="119"/>
      <c r="BT2014" s="119"/>
      <c r="BU2014" s="293"/>
      <c r="BV2014" s="119"/>
      <c r="BW2014" s="119"/>
      <c r="BX2014" s="119"/>
      <c r="BY2014" s="119"/>
      <c r="BZ2014" s="119"/>
      <c r="CA2014" s="119"/>
      <c r="CB2014" s="119"/>
      <c r="CC2014" s="119"/>
      <c r="CD2014" s="119"/>
      <c r="CE2014" s="119"/>
      <c r="CF2014" s="119"/>
      <c r="CG2014" s="119"/>
      <c r="CH2014" s="119"/>
      <c r="CI2014" s="292">
        <f t="shared" si="631"/>
        <v>6.3192710228087998</v>
      </c>
      <c r="CJ2014" s="292">
        <f t="shared" si="632"/>
        <v>0.80066698191664509</v>
      </c>
      <c r="CK2014" s="120">
        <f t="shared" si="628"/>
        <v>0</v>
      </c>
      <c r="CL2014" s="120" t="s">
        <v>404</v>
      </c>
      <c r="CM2014" s="294"/>
      <c r="CN2014" s="294"/>
      <c r="CO2014" s="284"/>
      <c r="CP2014" s="284" t="s">
        <v>2295</v>
      </c>
      <c r="CQ2014" s="282">
        <v>-1.9678006445869469</v>
      </c>
      <c r="CR2014" s="282">
        <f t="shared" si="629"/>
        <v>586.76962857837077</v>
      </c>
      <c r="CS2014" s="123"/>
      <c r="CT2014" s="123"/>
      <c r="CU2014" s="300" t="s">
        <v>6310</v>
      </c>
      <c r="CV2014" s="338" t="s">
        <v>6310</v>
      </c>
      <c r="CW2014" s="339">
        <f t="shared" si="633"/>
        <v>1</v>
      </c>
      <c r="CX2014" s="339"/>
      <c r="CY2014" s="295" t="s">
        <v>6351</v>
      </c>
    </row>
    <row r="2015" spans="1:103" ht="11.25" customHeight="1" x14ac:dyDescent="0.2">
      <c r="A2015" s="72">
        <v>2013</v>
      </c>
      <c r="B2015" s="282">
        <v>592</v>
      </c>
      <c r="C2015" s="115" t="s">
        <v>1772</v>
      </c>
      <c r="D2015" s="115"/>
      <c r="E2015" s="116">
        <v>1</v>
      </c>
      <c r="F2015" s="116" t="s">
        <v>1773</v>
      </c>
      <c r="G2015" s="283">
        <v>7647145</v>
      </c>
      <c r="H2015" s="284" t="s">
        <v>1774</v>
      </c>
      <c r="I2015" s="284"/>
      <c r="J2015" s="284" t="s">
        <v>1775</v>
      </c>
      <c r="K2015" s="284" t="s">
        <v>416</v>
      </c>
      <c r="L2015" s="284"/>
      <c r="M2015" s="284"/>
      <c r="N2015" s="284"/>
      <c r="O2015" s="284"/>
      <c r="P2015" s="286"/>
      <c r="Q2015" s="286"/>
      <c r="R2015" s="286"/>
      <c r="S2015" s="286"/>
      <c r="T2015" s="119">
        <v>58.44</v>
      </c>
      <c r="U2015" s="292"/>
      <c r="V2015" s="292"/>
      <c r="W2015" s="292"/>
      <c r="X2015" s="292"/>
      <c r="Y2015" s="370"/>
      <c r="Z2015" s="116"/>
      <c r="AA2015" s="116"/>
      <c r="AB2015" s="116"/>
      <c r="AC2015" s="116"/>
      <c r="AD2015" s="116"/>
      <c r="AE2015" s="116"/>
      <c r="AF2015" s="116"/>
      <c r="AG2015" s="117" t="s">
        <v>404</v>
      </c>
      <c r="AH2015" s="292">
        <v>7.7299999999999999E-3</v>
      </c>
      <c r="AI2015" s="292"/>
      <c r="AJ2015" s="125">
        <f t="shared" si="630"/>
        <v>-0.50038683239432691</v>
      </c>
      <c r="AK2015" s="125"/>
      <c r="AL2015" s="125">
        <f>IF(AK2015=0,AJ2015,AK2015)</f>
        <v>-0.50038683239432691</v>
      </c>
      <c r="AM2015" s="125"/>
      <c r="AN2015" s="297"/>
      <c r="AO2015" s="420"/>
      <c r="AP2015" s="420"/>
      <c r="AQ2015" s="297" t="s">
        <v>6311</v>
      </c>
      <c r="AR2015" s="297" t="s">
        <v>6312</v>
      </c>
      <c r="AS2015" s="282" t="s">
        <v>6</v>
      </c>
      <c r="AT2015" s="118" t="s">
        <v>266</v>
      </c>
      <c r="AU2015" s="119">
        <v>2</v>
      </c>
      <c r="AV2015" s="119">
        <v>48</v>
      </c>
      <c r="AW2015" s="119">
        <v>48</v>
      </c>
      <c r="AX2015" s="119">
        <v>26</v>
      </c>
      <c r="AY2015" s="119" t="s">
        <v>8722</v>
      </c>
      <c r="AZ2015" s="119" t="s">
        <v>536</v>
      </c>
      <c r="BA2015" s="119">
        <v>20</v>
      </c>
      <c r="BB2015" s="284" t="s">
        <v>1644</v>
      </c>
      <c r="BC2015" s="284" t="s">
        <v>8722</v>
      </c>
      <c r="BD2015" s="284"/>
      <c r="BE2015" s="119" t="s">
        <v>271</v>
      </c>
      <c r="BF2015" s="119" t="s">
        <v>272</v>
      </c>
      <c r="BG2015" s="119" t="s">
        <v>272</v>
      </c>
      <c r="BH2015" s="119" t="s">
        <v>272</v>
      </c>
      <c r="BI2015" s="292">
        <v>86</v>
      </c>
      <c r="BJ2015" s="292">
        <v>250</v>
      </c>
      <c r="BK2015" s="119"/>
      <c r="BL2015" s="292"/>
      <c r="BM2015" s="119" t="s">
        <v>1584</v>
      </c>
      <c r="BN2015" s="119"/>
      <c r="BO2015" s="119">
        <v>205.5</v>
      </c>
      <c r="BP2015" s="119"/>
      <c r="BQ2015" s="119"/>
      <c r="BR2015" s="119"/>
      <c r="BS2015" s="119"/>
      <c r="BT2015" s="119"/>
      <c r="BU2015" s="293"/>
      <c r="BV2015" s="119"/>
      <c r="BW2015" s="119"/>
      <c r="BX2015" s="119"/>
      <c r="BY2015" s="119"/>
      <c r="BZ2015" s="119"/>
      <c r="CA2015" s="119"/>
      <c r="CB2015" s="119"/>
      <c r="CC2015" s="119"/>
      <c r="CD2015" s="119"/>
      <c r="CE2015" s="119"/>
      <c r="CF2015" s="119"/>
      <c r="CG2015" s="119"/>
      <c r="CH2015" s="119"/>
      <c r="CI2015" s="292">
        <f t="shared" si="631"/>
        <v>205.5</v>
      </c>
      <c r="CJ2015" s="292">
        <f t="shared" si="632"/>
        <v>2.312811826212088</v>
      </c>
      <c r="CK2015" s="120">
        <f t="shared" si="628"/>
        <v>0</v>
      </c>
      <c r="CL2015" s="120" t="s">
        <v>404</v>
      </c>
      <c r="CM2015" s="294"/>
      <c r="CN2015" s="294"/>
      <c r="CO2015" s="284"/>
      <c r="CP2015" s="284" t="s">
        <v>1673</v>
      </c>
      <c r="CQ2015" s="282">
        <v>2.0053417614056999</v>
      </c>
      <c r="CR2015" s="282">
        <f t="shared" si="629"/>
        <v>2.0298785988944057</v>
      </c>
      <c r="CS2015" s="123"/>
      <c r="CT2015" s="123"/>
      <c r="CU2015" s="300" t="s">
        <v>6310</v>
      </c>
      <c r="CV2015" s="338" t="s">
        <v>6310</v>
      </c>
      <c r="CW2015" s="339">
        <f t="shared" si="633"/>
        <v>1</v>
      </c>
      <c r="CX2015" s="339"/>
      <c r="CY2015" s="295" t="s">
        <v>6351</v>
      </c>
    </row>
    <row r="2016" spans="1:103" ht="11.25" customHeight="1" x14ac:dyDescent="0.2">
      <c r="A2016" s="72">
        <v>2014</v>
      </c>
      <c r="B2016" s="282">
        <v>686</v>
      </c>
      <c r="C2016" s="115" t="s">
        <v>1772</v>
      </c>
      <c r="D2016" s="115"/>
      <c r="E2016" s="116">
        <v>1</v>
      </c>
      <c r="F2016" s="116" t="s">
        <v>1773</v>
      </c>
      <c r="G2016" s="283">
        <v>7647145</v>
      </c>
      <c r="H2016" s="284" t="s">
        <v>1774</v>
      </c>
      <c r="I2016" s="284"/>
      <c r="J2016" s="284"/>
      <c r="K2016" s="284" t="s">
        <v>416</v>
      </c>
      <c r="L2016" s="284"/>
      <c r="M2016" s="284"/>
      <c r="N2016" s="284"/>
      <c r="O2016" s="284"/>
      <c r="P2016" s="286"/>
      <c r="Q2016" s="286"/>
      <c r="R2016" s="286"/>
      <c r="S2016" s="286"/>
      <c r="T2016" s="119">
        <v>58.44</v>
      </c>
      <c r="U2016" s="292"/>
      <c r="V2016" s="292"/>
      <c r="W2016" s="292"/>
      <c r="X2016" s="292"/>
      <c r="Y2016" s="370"/>
      <c r="Z2016" s="116"/>
      <c r="AA2016" s="116"/>
      <c r="AB2016" s="116"/>
      <c r="AC2016" s="116"/>
      <c r="AD2016" s="116"/>
      <c r="AE2016" s="116"/>
      <c r="AF2016" s="116"/>
      <c r="AG2016" s="117" t="s">
        <v>404</v>
      </c>
      <c r="AH2016" s="292">
        <v>7.7299999999999999E-3</v>
      </c>
      <c r="AI2016" s="292"/>
      <c r="AJ2016" s="125">
        <f t="shared" si="630"/>
        <v>-0.50038683239432691</v>
      </c>
      <c r="AK2016" s="125"/>
      <c r="AL2016" s="125">
        <f>IF(AK2016=0,AJ2016,AK2016)</f>
        <v>-0.50038683239432691</v>
      </c>
      <c r="AM2016" s="125"/>
      <c r="AN2016" s="297"/>
      <c r="AO2016" s="420"/>
      <c r="AP2016" s="420"/>
      <c r="AQ2016" s="297" t="s">
        <v>6311</v>
      </c>
      <c r="AR2016" s="297" t="s">
        <v>6312</v>
      </c>
      <c r="AS2016" s="282" t="s">
        <v>6</v>
      </c>
      <c r="AT2016" s="118" t="s">
        <v>266</v>
      </c>
      <c r="AU2016" s="119">
        <v>2</v>
      </c>
      <c r="AV2016" s="119">
        <v>96</v>
      </c>
      <c r="AW2016" s="119">
        <v>96</v>
      </c>
      <c r="AX2016" s="119">
        <v>26</v>
      </c>
      <c r="AY2016" s="119" t="s">
        <v>6360</v>
      </c>
      <c r="AZ2016" s="119" t="s">
        <v>536</v>
      </c>
      <c r="BA2016" s="119">
        <v>20</v>
      </c>
      <c r="BB2016" s="284" t="s">
        <v>1764</v>
      </c>
      <c r="BC2016" s="284" t="s">
        <v>6372</v>
      </c>
      <c r="BD2016" s="284"/>
      <c r="BE2016" s="119" t="s">
        <v>6371</v>
      </c>
      <c r="BF2016" s="119" t="s">
        <v>1974</v>
      </c>
      <c r="BG2016" s="119" t="s">
        <v>1974</v>
      </c>
      <c r="BH2016" s="119" t="s">
        <v>272</v>
      </c>
      <c r="BI2016" s="291">
        <v>17.111567419575636</v>
      </c>
      <c r="BJ2016" s="291">
        <v>273.78507871321017</v>
      </c>
      <c r="BK2016" s="119"/>
      <c r="BL2016" s="292"/>
      <c r="BM2016" s="119" t="s">
        <v>541</v>
      </c>
      <c r="BN2016" s="119"/>
      <c r="BO2016" s="119">
        <f>5340/58.44</f>
        <v>91.375770020533878</v>
      </c>
      <c r="BP2016" s="119"/>
      <c r="BQ2016" s="119">
        <f>5140/58.44</f>
        <v>87.953456536618759</v>
      </c>
      <c r="BR2016" s="119"/>
      <c r="BS2016" s="119"/>
      <c r="BT2016" s="119"/>
      <c r="BU2016" s="293"/>
      <c r="BV2016" s="119"/>
      <c r="BW2016" s="119"/>
      <c r="BX2016" s="119"/>
      <c r="BY2016" s="119"/>
      <c r="BZ2016" s="119"/>
      <c r="CA2016" s="119"/>
      <c r="CB2016" s="119"/>
      <c r="CC2016" s="119"/>
      <c r="CD2016" s="119"/>
      <c r="CE2016" s="119"/>
      <c r="CF2016" s="119"/>
      <c r="CG2016" s="119"/>
      <c r="CH2016" s="119"/>
      <c r="CI2016" s="292">
        <f t="shared" si="631"/>
        <v>87.953456536618759</v>
      </c>
      <c r="CJ2016" s="292">
        <f t="shared" si="632"/>
        <v>1.9442529117330165</v>
      </c>
      <c r="CK2016" s="120" t="s">
        <v>404</v>
      </c>
      <c r="CL2016" s="120" t="s">
        <v>404</v>
      </c>
      <c r="CM2016" s="294"/>
      <c r="CN2016" s="294"/>
      <c r="CO2016" s="284"/>
      <c r="CP2016" s="284" t="s">
        <v>6355</v>
      </c>
      <c r="CQ2016" s="282">
        <v>2.0053417614056999</v>
      </c>
      <c r="CR2016" s="282">
        <f t="shared" si="629"/>
        <v>0.86878267212881577</v>
      </c>
      <c r="CS2016" s="123"/>
      <c r="CT2016" s="123"/>
      <c r="CU2016" s="300" t="s">
        <v>6310</v>
      </c>
      <c r="CV2016" s="338" t="s">
        <v>6310</v>
      </c>
      <c r="CW2016" s="339">
        <f t="shared" si="633"/>
        <v>1</v>
      </c>
      <c r="CX2016" s="339" t="s">
        <v>539</v>
      </c>
      <c r="CY2016" s="295" t="s">
        <v>6351</v>
      </c>
    </row>
    <row r="2017" spans="1:103" ht="11.25" customHeight="1" x14ac:dyDescent="0.2">
      <c r="A2017" s="72">
        <v>2015</v>
      </c>
      <c r="B2017" s="282">
        <v>823</v>
      </c>
      <c r="C2017" s="115" t="s">
        <v>2336</v>
      </c>
      <c r="D2017" s="115"/>
      <c r="E2017" s="116">
        <v>1</v>
      </c>
      <c r="F2017" s="116" t="s">
        <v>2337</v>
      </c>
      <c r="G2017" s="283">
        <v>7718549</v>
      </c>
      <c r="H2017" s="284" t="s">
        <v>2338</v>
      </c>
      <c r="I2017" s="284"/>
      <c r="J2017" s="284"/>
      <c r="K2017" s="284" t="s">
        <v>416</v>
      </c>
      <c r="L2017" s="284"/>
      <c r="M2017" s="284"/>
      <c r="N2017" s="284"/>
      <c r="O2017" s="284"/>
      <c r="P2017" s="286"/>
      <c r="Q2017" s="286"/>
      <c r="R2017" s="286"/>
      <c r="S2017" s="286"/>
      <c r="T2017" s="119">
        <v>129.6</v>
      </c>
      <c r="U2017" s="292"/>
      <c r="V2017" s="292"/>
      <c r="W2017" s="292"/>
      <c r="X2017" s="292"/>
      <c r="Y2017" s="370"/>
      <c r="Z2017" s="116"/>
      <c r="AA2017" s="116"/>
      <c r="AB2017" s="116"/>
      <c r="AC2017" s="116"/>
      <c r="AD2017" s="116"/>
      <c r="AE2017" s="116"/>
      <c r="AF2017" s="116"/>
      <c r="AG2017" s="117" t="s">
        <v>404</v>
      </c>
      <c r="AH2017" s="292">
        <v>2.4500000000000001E-2</v>
      </c>
      <c r="AI2017" s="292"/>
      <c r="AJ2017" s="125">
        <f t="shared" si="630"/>
        <v>5.9975805188064034E-4</v>
      </c>
      <c r="AK2017" s="125"/>
      <c r="AL2017" s="125"/>
      <c r="AM2017" s="125"/>
      <c r="AN2017" s="297"/>
      <c r="AO2017" s="420"/>
      <c r="AP2017" s="420"/>
      <c r="AQ2017" s="119" t="s">
        <v>6311</v>
      </c>
      <c r="AR2017" s="119" t="s">
        <v>6311</v>
      </c>
      <c r="AS2017" s="282" t="s">
        <v>6</v>
      </c>
      <c r="AT2017" s="118" t="s">
        <v>266</v>
      </c>
      <c r="AU2017" s="289"/>
      <c r="AV2017" s="289">
        <v>0</v>
      </c>
      <c r="AW2017" s="119">
        <v>48</v>
      </c>
      <c r="AX2017" s="119">
        <v>27</v>
      </c>
      <c r="AY2017" s="119" t="s">
        <v>8722</v>
      </c>
      <c r="AZ2017" s="119" t="s">
        <v>536</v>
      </c>
      <c r="BA2017" s="119">
        <v>20</v>
      </c>
      <c r="BB2017" s="284" t="s">
        <v>1764</v>
      </c>
      <c r="BC2017" s="284" t="s">
        <v>538</v>
      </c>
      <c r="BD2017" s="284"/>
      <c r="BE2017" s="119" t="s">
        <v>271</v>
      </c>
      <c r="BF2017" s="119" t="s">
        <v>8722</v>
      </c>
      <c r="BG2017" s="119" t="s">
        <v>8722</v>
      </c>
      <c r="BH2017" s="119" t="s">
        <v>272</v>
      </c>
      <c r="BI2017" s="291">
        <v>0.23148148148148148</v>
      </c>
      <c r="BJ2017" s="291">
        <v>10.570987654320987</v>
      </c>
      <c r="BK2017" s="119"/>
      <c r="BL2017" s="292"/>
      <c r="BM2017" s="119">
        <v>0</v>
      </c>
      <c r="BN2017" s="119"/>
      <c r="BO2017" s="119"/>
      <c r="BP2017" s="119">
        <v>2.2361111111111112</v>
      </c>
      <c r="BQ2017" s="119"/>
      <c r="BR2017" s="119"/>
      <c r="BS2017" s="119"/>
      <c r="BT2017" s="119"/>
      <c r="BU2017" s="293"/>
      <c r="BV2017" s="119"/>
      <c r="BW2017" s="119"/>
      <c r="BX2017" s="119"/>
      <c r="BY2017" s="119"/>
      <c r="BZ2017" s="119"/>
      <c r="CA2017" s="119"/>
      <c r="CB2017" s="119"/>
      <c r="CC2017" s="119"/>
      <c r="CD2017" s="119"/>
      <c r="CE2017" s="119"/>
      <c r="CF2017" s="119"/>
      <c r="CG2017" s="119"/>
      <c r="CH2017" s="119"/>
      <c r="CI2017" s="292">
        <f t="shared" si="631"/>
        <v>2.2361111111111112</v>
      </c>
      <c r="CJ2017" s="292">
        <f t="shared" si="632"/>
        <v>0.34949337960058124</v>
      </c>
      <c r="CK2017" s="120">
        <f>BL2017/BJ2017</f>
        <v>0</v>
      </c>
      <c r="CL2017" s="120" t="s">
        <v>404</v>
      </c>
      <c r="CM2017" s="294"/>
      <c r="CN2017" s="294"/>
      <c r="CO2017" s="284"/>
      <c r="CP2017" s="284" t="s">
        <v>2295</v>
      </c>
      <c r="CQ2017" s="282">
        <v>-0.91900388717982828</v>
      </c>
      <c r="CR2017" s="282">
        <f t="shared" si="629"/>
        <v>18.556551308856594</v>
      </c>
      <c r="CS2017" s="123"/>
      <c r="CT2017" s="123"/>
      <c r="CU2017" s="300" t="s">
        <v>6310</v>
      </c>
      <c r="CV2017" s="338" t="s">
        <v>6310</v>
      </c>
      <c r="CW2017" s="339">
        <f t="shared" si="633"/>
        <v>1</v>
      </c>
      <c r="CX2017" s="339"/>
      <c r="CY2017" s="295" t="s">
        <v>6351</v>
      </c>
    </row>
    <row r="2018" spans="1:103" ht="11.25" customHeight="1" x14ac:dyDescent="0.2">
      <c r="A2018" s="72">
        <v>2016</v>
      </c>
      <c r="B2018" s="282">
        <v>655</v>
      </c>
      <c r="C2018" s="115" t="s">
        <v>1918</v>
      </c>
      <c r="D2018" s="115"/>
      <c r="E2018" s="116">
        <v>1</v>
      </c>
      <c r="F2018" s="116" t="s">
        <v>1919</v>
      </c>
      <c r="G2018" s="283">
        <v>7758987</v>
      </c>
      <c r="H2018" s="284" t="s">
        <v>654</v>
      </c>
      <c r="I2018" s="284"/>
      <c r="J2018" s="284"/>
      <c r="K2018" s="284" t="s">
        <v>416</v>
      </c>
      <c r="L2018" s="284"/>
      <c r="M2018" s="284"/>
      <c r="N2018" s="284"/>
      <c r="O2018" s="284"/>
      <c r="P2018" s="286"/>
      <c r="Q2018" s="286"/>
      <c r="R2018" s="286"/>
      <c r="S2018" s="286"/>
      <c r="T2018" s="119">
        <v>159.6</v>
      </c>
      <c r="U2018" s="292"/>
      <c r="V2018" s="292"/>
      <c r="W2018" s="292"/>
      <c r="X2018" s="292"/>
      <c r="Y2018" s="370"/>
      <c r="Z2018" s="116"/>
      <c r="AA2018" s="116"/>
      <c r="AB2018" s="116"/>
      <c r="AC2018" s="116"/>
      <c r="AD2018" s="116"/>
      <c r="AE2018" s="116"/>
      <c r="AF2018" s="116"/>
      <c r="AG2018" s="117" t="s">
        <v>404</v>
      </c>
      <c r="AH2018" s="292"/>
      <c r="AI2018" s="292"/>
      <c r="AJ2018" s="125"/>
      <c r="AK2018" s="125"/>
      <c r="AL2018" s="125"/>
      <c r="AM2018" s="125"/>
      <c r="AN2018" s="297"/>
      <c r="AO2018" s="420"/>
      <c r="AP2018" s="420"/>
      <c r="AQ2018" s="297" t="s">
        <v>6311</v>
      </c>
      <c r="AR2018" s="297" t="s">
        <v>6311</v>
      </c>
      <c r="AS2018" s="282" t="s">
        <v>6</v>
      </c>
      <c r="AT2018" s="118" t="s">
        <v>266</v>
      </c>
      <c r="AU2018" s="119">
        <v>2</v>
      </c>
      <c r="AV2018" s="119">
        <v>48</v>
      </c>
      <c r="AW2018" s="119">
        <v>48</v>
      </c>
      <c r="AX2018" s="119">
        <v>26</v>
      </c>
      <c r="AY2018" s="119" t="s">
        <v>647</v>
      </c>
      <c r="AZ2018" s="119" t="s">
        <v>1920</v>
      </c>
      <c r="BA2018" s="119">
        <v>10</v>
      </c>
      <c r="BB2018" s="284" t="s">
        <v>1613</v>
      </c>
      <c r="BC2018" s="284" t="s">
        <v>538</v>
      </c>
      <c r="BD2018" s="284"/>
      <c r="BE2018" s="119" t="s">
        <v>271</v>
      </c>
      <c r="BF2018" s="119" t="s">
        <v>272</v>
      </c>
      <c r="BG2018" s="119" t="s">
        <v>272</v>
      </c>
      <c r="BH2018" s="119" t="s">
        <v>272</v>
      </c>
      <c r="BI2018" s="292" t="s">
        <v>8722</v>
      </c>
      <c r="BJ2018" s="292" t="s">
        <v>8722</v>
      </c>
      <c r="BK2018" s="119"/>
      <c r="BL2018" s="292"/>
      <c r="BM2018" s="119" t="s">
        <v>541</v>
      </c>
      <c r="BN2018" s="119"/>
      <c r="BO2018" s="119">
        <v>1.2240000000000001E-2</v>
      </c>
      <c r="BP2018" s="119"/>
      <c r="BQ2018" s="119"/>
      <c r="BR2018" s="119"/>
      <c r="BS2018" s="119"/>
      <c r="BT2018" s="119"/>
      <c r="BU2018" s="293"/>
      <c r="BV2018" s="119"/>
      <c r="BW2018" s="119"/>
      <c r="BX2018" s="119"/>
      <c r="BY2018" s="119"/>
      <c r="BZ2018" s="119"/>
      <c r="CA2018" s="119"/>
      <c r="CB2018" s="119"/>
      <c r="CC2018" s="119"/>
      <c r="CD2018" s="119"/>
      <c r="CE2018" s="119"/>
      <c r="CF2018" s="119"/>
      <c r="CG2018" s="119"/>
      <c r="CH2018" s="119"/>
      <c r="CI2018" s="292">
        <f t="shared" si="631"/>
        <v>1.2240000000000001E-2</v>
      </c>
      <c r="CJ2018" s="292">
        <f t="shared" si="632"/>
        <v>-1.9122185821904576</v>
      </c>
      <c r="CK2018" s="120" t="s">
        <v>404</v>
      </c>
      <c r="CL2018" s="120" t="s">
        <v>404</v>
      </c>
      <c r="CM2018" s="294"/>
      <c r="CN2018" s="294"/>
      <c r="CO2018" s="284"/>
      <c r="CP2018" s="284" t="s">
        <v>1921</v>
      </c>
      <c r="CQ2018" s="282">
        <v>-2.8624731900374774</v>
      </c>
      <c r="CR2018" s="282">
        <f t="shared" si="629"/>
        <v>8.917735927412803</v>
      </c>
      <c r="CS2018" s="123"/>
      <c r="CT2018" s="123"/>
      <c r="CU2018" s="300" t="s">
        <v>6310</v>
      </c>
      <c r="CV2018" s="338" t="s">
        <v>6310</v>
      </c>
      <c r="CW2018" s="339">
        <f t="shared" si="633"/>
        <v>1</v>
      </c>
      <c r="CX2018" s="339"/>
      <c r="CY2018" s="295" t="s">
        <v>6351</v>
      </c>
    </row>
    <row r="2019" spans="1:103" ht="11.25" customHeight="1" x14ac:dyDescent="0.2">
      <c r="A2019" s="72">
        <v>2017</v>
      </c>
      <c r="B2019" s="282">
        <v>97</v>
      </c>
      <c r="C2019" s="115" t="s">
        <v>652</v>
      </c>
      <c r="D2019" s="115"/>
      <c r="E2019" s="116">
        <v>1</v>
      </c>
      <c r="F2019" s="116" t="s">
        <v>653</v>
      </c>
      <c r="G2019" s="283">
        <v>7758998</v>
      </c>
      <c r="H2019" s="284" t="s">
        <v>654</v>
      </c>
      <c r="I2019" s="284"/>
      <c r="J2019" s="284" t="s">
        <v>655</v>
      </c>
      <c r="K2019" s="284" t="s">
        <v>416</v>
      </c>
      <c r="L2019" s="284"/>
      <c r="M2019" s="284"/>
      <c r="N2019" s="284"/>
      <c r="O2019" s="284"/>
      <c r="P2019" s="286"/>
      <c r="Q2019" s="286"/>
      <c r="R2019" s="286"/>
      <c r="S2019" s="286"/>
      <c r="T2019" s="119">
        <v>249.68</v>
      </c>
      <c r="U2019" s="292"/>
      <c r="V2019" s="292"/>
      <c r="W2019" s="292"/>
      <c r="X2019" s="292"/>
      <c r="Y2019" s="370"/>
      <c r="Z2019" s="116"/>
      <c r="AA2019" s="116"/>
      <c r="AB2019" s="116"/>
      <c r="AC2019" s="116"/>
      <c r="AD2019" s="116"/>
      <c r="AE2019" s="116"/>
      <c r="AF2019" s="116"/>
      <c r="AG2019" s="117" t="s">
        <v>404</v>
      </c>
      <c r="AH2019" s="292"/>
      <c r="AI2019" s="292"/>
      <c r="AJ2019" s="125"/>
      <c r="AK2019" s="125"/>
      <c r="AL2019" s="125"/>
      <c r="AM2019" s="125"/>
      <c r="AN2019" s="297"/>
      <c r="AO2019" s="420"/>
      <c r="AP2019" s="420"/>
      <c r="AQ2019" s="297" t="s">
        <v>6311</v>
      </c>
      <c r="AR2019" s="297" t="s">
        <v>6311</v>
      </c>
      <c r="AS2019" s="282" t="s">
        <v>6</v>
      </c>
      <c r="AT2019" s="118" t="s">
        <v>266</v>
      </c>
      <c r="AU2019" s="119">
        <v>0</v>
      </c>
      <c r="AV2019" s="119" t="s">
        <v>646</v>
      </c>
      <c r="AW2019" s="119" t="s">
        <v>646</v>
      </c>
      <c r="AX2019" s="119">
        <v>26</v>
      </c>
      <c r="AY2019" s="119" t="s">
        <v>647</v>
      </c>
      <c r="AZ2019" s="119" t="s">
        <v>536</v>
      </c>
      <c r="BA2019" s="119">
        <v>20</v>
      </c>
      <c r="BB2019" s="284" t="s">
        <v>537</v>
      </c>
      <c r="BC2019" s="284" t="s">
        <v>648</v>
      </c>
      <c r="BD2019" s="284"/>
      <c r="BE2019" s="289" t="s">
        <v>649</v>
      </c>
      <c r="BF2019" s="289" t="s">
        <v>650</v>
      </c>
      <c r="BG2019" s="289" t="s">
        <v>540</v>
      </c>
      <c r="BH2019" s="289" t="s">
        <v>272</v>
      </c>
      <c r="BI2019" s="292">
        <v>5.9999999999999995E-4</v>
      </c>
      <c r="BJ2019" s="292">
        <v>3.2000000000000002E-3</v>
      </c>
      <c r="BK2019" s="119"/>
      <c r="BL2019" s="292"/>
      <c r="BM2019" s="119" t="s">
        <v>541</v>
      </c>
      <c r="BN2019" s="119"/>
      <c r="BO2019" s="119">
        <v>2E-3</v>
      </c>
      <c r="BP2019" s="119"/>
      <c r="BQ2019" s="119"/>
      <c r="BR2019" s="119"/>
      <c r="BS2019" s="119"/>
      <c r="BT2019" s="119"/>
      <c r="BU2019" s="293"/>
      <c r="BV2019" s="119"/>
      <c r="BW2019" s="119"/>
      <c r="BX2019" s="119"/>
      <c r="BY2019" s="119"/>
      <c r="BZ2019" s="119"/>
      <c r="CA2019" s="119"/>
      <c r="CB2019" s="119"/>
      <c r="CC2019" s="119"/>
      <c r="CD2019" s="119"/>
      <c r="CE2019" s="119"/>
      <c r="CF2019" s="119"/>
      <c r="CG2019" s="119"/>
      <c r="CH2019" s="119"/>
      <c r="CI2019" s="292">
        <f t="shared" si="631"/>
        <v>2E-3</v>
      </c>
      <c r="CJ2019" s="292">
        <f t="shared" si="632"/>
        <v>-2.6989700043360187</v>
      </c>
      <c r="CK2019" s="120">
        <f>BL2019/BJ2019</f>
        <v>0</v>
      </c>
      <c r="CL2019" s="120" t="s">
        <v>404</v>
      </c>
      <c r="CM2019" s="294"/>
      <c r="CN2019" s="294"/>
      <c r="CO2019" s="284"/>
      <c r="CP2019" s="284" t="s">
        <v>651</v>
      </c>
      <c r="CQ2019" s="282"/>
      <c r="CR2019" s="282">
        <f t="shared" si="629"/>
        <v>1.9999999999999987E-3</v>
      </c>
      <c r="CS2019" s="123"/>
      <c r="CT2019" s="123"/>
      <c r="CU2019" s="300" t="s">
        <v>6310</v>
      </c>
      <c r="CV2019" s="338" t="s">
        <v>6310</v>
      </c>
      <c r="CW2019" s="339">
        <f t="shared" si="633"/>
        <v>1</v>
      </c>
      <c r="CX2019" s="339"/>
      <c r="CY2019" s="295" t="s">
        <v>5921</v>
      </c>
    </row>
    <row r="2020" spans="1:103" ht="11.25" customHeight="1" x14ac:dyDescent="0.2">
      <c r="A2020" s="72">
        <v>2018</v>
      </c>
      <c r="B2020" s="282">
        <v>2075</v>
      </c>
      <c r="C2020" s="115" t="s">
        <v>5713</v>
      </c>
      <c r="D2020" s="115"/>
      <c r="E2020" s="116">
        <v>1</v>
      </c>
      <c r="F2020" s="116" t="s">
        <v>5714</v>
      </c>
      <c r="G2020" s="283">
        <v>7761888</v>
      </c>
      <c r="H2020" s="286" t="s">
        <v>5715</v>
      </c>
      <c r="I2020" s="286"/>
      <c r="J2020" s="286" t="s">
        <v>5716</v>
      </c>
      <c r="K2020" s="284" t="s">
        <v>416</v>
      </c>
      <c r="L2020" s="286"/>
      <c r="M2020" s="286"/>
      <c r="N2020" s="286"/>
      <c r="O2020" s="286"/>
      <c r="P2020" s="286"/>
      <c r="Q2020" s="286"/>
      <c r="R2020" s="286"/>
      <c r="S2020" s="286"/>
      <c r="T2020" s="123">
        <v>231.88</v>
      </c>
      <c r="U2020" s="300"/>
      <c r="V2020" s="300"/>
      <c r="W2020" s="300"/>
      <c r="X2020" s="300"/>
      <c r="Y2020" s="419"/>
      <c r="Z2020" s="116"/>
      <c r="AA2020" s="116"/>
      <c r="AB2020" s="116"/>
      <c r="AC2020" s="116"/>
      <c r="AD2020" s="116"/>
      <c r="AE2020" s="116"/>
      <c r="AF2020" s="116"/>
      <c r="AG2020" s="117" t="s">
        <v>404</v>
      </c>
      <c r="AH2020" s="300"/>
      <c r="AI2020" s="292"/>
      <c r="AJ2020" s="125"/>
      <c r="AK2020" s="125"/>
      <c r="AL2020" s="125"/>
      <c r="AM2020" s="125"/>
      <c r="AN2020" s="301"/>
      <c r="AO2020" s="420"/>
      <c r="AP2020" s="420"/>
      <c r="AQ2020" s="301" t="s">
        <v>6311</v>
      </c>
      <c r="AR2020" s="301" t="s">
        <v>6311</v>
      </c>
      <c r="AS2020" s="298" t="s">
        <v>5466</v>
      </c>
      <c r="AT2020" s="124" t="s">
        <v>266</v>
      </c>
      <c r="AU2020" s="123">
        <v>0</v>
      </c>
      <c r="AV2020" s="123">
        <v>48</v>
      </c>
      <c r="AW2020" s="123">
        <v>48</v>
      </c>
      <c r="AX2020" s="123">
        <v>27</v>
      </c>
      <c r="AY2020" s="123" t="s">
        <v>267</v>
      </c>
      <c r="AZ2020" s="123" t="s">
        <v>5717</v>
      </c>
      <c r="BA2020" s="123">
        <v>24</v>
      </c>
      <c r="BB2020" s="286" t="s">
        <v>5666</v>
      </c>
      <c r="BC2020" s="286" t="s">
        <v>5718</v>
      </c>
      <c r="BD2020" s="286"/>
      <c r="BE2020" s="123"/>
      <c r="BF2020" s="123"/>
      <c r="BG2020" s="123">
        <v>7.2</v>
      </c>
      <c r="BH2020" s="123"/>
      <c r="BI2020" s="300">
        <v>2.19941E-4</v>
      </c>
      <c r="BJ2020" s="300">
        <v>5.2182200000000002E-4</v>
      </c>
      <c r="BK2020" s="306" t="s">
        <v>5719</v>
      </c>
      <c r="BL2020" s="300"/>
      <c r="BM2020" s="123"/>
      <c r="BN2020" s="123"/>
      <c r="BO2020" s="123">
        <v>4.3125800000000001E-4</v>
      </c>
      <c r="BP2020" s="123"/>
      <c r="BQ2020" s="123"/>
      <c r="BR2020" s="123"/>
      <c r="BS2020" s="123"/>
      <c r="BT2020" s="123"/>
      <c r="BU2020" s="293"/>
      <c r="BV2020" s="123"/>
      <c r="BW2020" s="123"/>
      <c r="BX2020" s="123"/>
      <c r="BY2020" s="123"/>
      <c r="BZ2020" s="123"/>
      <c r="CA2020" s="123"/>
      <c r="CB2020" s="123"/>
      <c r="CC2020" s="123"/>
      <c r="CD2020" s="123"/>
      <c r="CE2020" s="123"/>
      <c r="CF2020" s="123"/>
      <c r="CG2020" s="123"/>
      <c r="CH2020" s="123"/>
      <c r="CI2020" s="300">
        <f t="shared" si="631"/>
        <v>4.3125800000000001E-4</v>
      </c>
      <c r="CJ2020" s="292">
        <f t="shared" si="632"/>
        <v>-3.3652628355160497</v>
      </c>
      <c r="CK2020" s="120">
        <f>BL2020/BJ2020</f>
        <v>0</v>
      </c>
      <c r="CL2020" s="120" t="s">
        <v>404</v>
      </c>
      <c r="CM2020" s="294"/>
      <c r="CN2020" s="294"/>
      <c r="CO2020" s="286" t="s">
        <v>5685</v>
      </c>
      <c r="CP2020" s="286" t="s">
        <v>5720</v>
      </c>
      <c r="CQ2020" s="282">
        <v>-4.1750313684517266</v>
      </c>
      <c r="CR2020" s="282">
        <f t="shared" si="629"/>
        <v>6.4531020469978611</v>
      </c>
      <c r="CS2020" s="123"/>
      <c r="CT2020" s="123" t="s">
        <v>6310</v>
      </c>
      <c r="CU2020" s="300" t="s">
        <v>6310</v>
      </c>
      <c r="CV2020" s="338" t="s">
        <v>6310</v>
      </c>
      <c r="CW2020" s="339">
        <f t="shared" si="633"/>
        <v>1</v>
      </c>
      <c r="CX2020" s="339" t="s">
        <v>539</v>
      </c>
      <c r="CY2020" s="295" t="s">
        <v>6351</v>
      </c>
    </row>
    <row r="2021" spans="1:103" ht="11.25" customHeight="1" x14ac:dyDescent="0.2">
      <c r="A2021" s="72">
        <v>2019</v>
      </c>
      <c r="B2021" s="282">
        <v>685</v>
      </c>
      <c r="C2021" s="115" t="s">
        <v>1979</v>
      </c>
      <c r="D2021" s="115"/>
      <c r="E2021" s="116">
        <v>1</v>
      </c>
      <c r="F2021" s="116" t="s">
        <v>1980</v>
      </c>
      <c r="G2021" s="283">
        <v>7773015</v>
      </c>
      <c r="H2021" s="284" t="s">
        <v>1981</v>
      </c>
      <c r="I2021" s="284"/>
      <c r="J2021" s="284"/>
      <c r="K2021" s="284" t="s">
        <v>416</v>
      </c>
      <c r="L2021" s="284"/>
      <c r="M2021" s="284"/>
      <c r="N2021" s="284"/>
      <c r="O2021" s="284"/>
      <c r="P2021" s="286"/>
      <c r="Q2021" s="286"/>
      <c r="R2021" s="286"/>
      <c r="S2021" s="286"/>
      <c r="T2021" s="119">
        <v>125.84399999999999</v>
      </c>
      <c r="U2021" s="292"/>
      <c r="V2021" s="292"/>
      <c r="W2021" s="292"/>
      <c r="X2021" s="292"/>
      <c r="Y2021" s="370"/>
      <c r="Z2021" s="116"/>
      <c r="AA2021" s="116"/>
      <c r="AB2021" s="116"/>
      <c r="AC2021" s="116"/>
      <c r="AD2021" s="116"/>
      <c r="AE2021" s="116"/>
      <c r="AF2021" s="116"/>
      <c r="AG2021" s="117" t="s">
        <v>404</v>
      </c>
      <c r="AH2021" s="292"/>
      <c r="AI2021" s="292"/>
      <c r="AJ2021" s="125"/>
      <c r="AK2021" s="125"/>
      <c r="AL2021" s="125"/>
      <c r="AM2021" s="125"/>
      <c r="AN2021" s="297"/>
      <c r="AO2021" s="420"/>
      <c r="AP2021" s="420"/>
      <c r="AQ2021" s="297" t="s">
        <v>5921</v>
      </c>
      <c r="AR2021" s="297" t="s">
        <v>5921</v>
      </c>
      <c r="AS2021" s="282" t="s">
        <v>6</v>
      </c>
      <c r="AT2021" s="118" t="s">
        <v>266</v>
      </c>
      <c r="AU2021" s="119">
        <v>2</v>
      </c>
      <c r="AV2021" s="119">
        <v>48</v>
      </c>
      <c r="AW2021" s="119">
        <v>48</v>
      </c>
      <c r="AX2021" s="119">
        <v>26</v>
      </c>
      <c r="AY2021" s="119" t="s">
        <v>647</v>
      </c>
      <c r="AZ2021" s="119" t="s">
        <v>536</v>
      </c>
      <c r="BA2021" s="119">
        <v>10</v>
      </c>
      <c r="BB2021" s="284" t="s">
        <v>1764</v>
      </c>
      <c r="BC2021" s="284" t="s">
        <v>538</v>
      </c>
      <c r="BD2021" s="284"/>
      <c r="BE2021" s="119" t="s">
        <v>271</v>
      </c>
      <c r="BF2021" s="119" t="s">
        <v>1974</v>
      </c>
      <c r="BG2021" s="119" t="s">
        <v>1974</v>
      </c>
      <c r="BH2021" s="119" t="s">
        <v>272</v>
      </c>
      <c r="BI2021" s="292">
        <v>0.8</v>
      </c>
      <c r="BJ2021" s="292">
        <v>400</v>
      </c>
      <c r="BK2021" s="119"/>
      <c r="BL2021" s="292"/>
      <c r="BM2021" s="119" t="s">
        <v>541</v>
      </c>
      <c r="BN2021" s="119"/>
      <c r="BO2021" s="119"/>
      <c r="BP2021" s="119">
        <v>80</v>
      </c>
      <c r="BQ2021" s="119"/>
      <c r="BR2021" s="119"/>
      <c r="BS2021" s="119"/>
      <c r="BT2021" s="119"/>
      <c r="BU2021" s="293"/>
      <c r="BV2021" s="119"/>
      <c r="BW2021" s="119"/>
      <c r="BX2021" s="119"/>
      <c r="BY2021" s="119"/>
      <c r="BZ2021" s="119"/>
      <c r="CA2021" s="119"/>
      <c r="CB2021" s="119"/>
      <c r="CC2021" s="119"/>
      <c r="CD2021" s="119"/>
      <c r="CE2021" s="119"/>
      <c r="CF2021" s="119"/>
      <c r="CG2021" s="119"/>
      <c r="CH2021" s="119"/>
      <c r="CI2021" s="292"/>
      <c r="CJ2021" s="292"/>
      <c r="CK2021" s="120" t="s">
        <v>404</v>
      </c>
      <c r="CL2021" s="120" t="s">
        <v>404</v>
      </c>
      <c r="CM2021" s="294"/>
      <c r="CN2021" s="294"/>
      <c r="CO2021" s="284"/>
      <c r="CP2021" s="284" t="s">
        <v>6378</v>
      </c>
      <c r="CQ2021" s="282"/>
      <c r="CR2021" s="282">
        <f t="shared" si="629"/>
        <v>1</v>
      </c>
      <c r="CS2021" s="123"/>
      <c r="CT2021" s="123"/>
      <c r="CU2021" s="300" t="s">
        <v>6310</v>
      </c>
      <c r="CV2021" s="338" t="s">
        <v>6310</v>
      </c>
      <c r="CW2021" s="123">
        <f>IF(CV2021&lt;1,0,1)</f>
        <v>1</v>
      </c>
      <c r="CX2021" s="339"/>
      <c r="CY2021" s="295" t="s">
        <v>6351</v>
      </c>
    </row>
    <row r="2022" spans="1:103" ht="11.25" customHeight="1" x14ac:dyDescent="0.2">
      <c r="A2022" s="72">
        <v>2020</v>
      </c>
      <c r="B2022" s="282">
        <v>685</v>
      </c>
      <c r="C2022" s="115" t="s">
        <v>1979</v>
      </c>
      <c r="D2022" s="115"/>
      <c r="E2022" s="116">
        <v>1</v>
      </c>
      <c r="F2022" s="116" t="s">
        <v>1980</v>
      </c>
      <c r="G2022" s="283">
        <v>7773015</v>
      </c>
      <c r="H2022" s="284" t="s">
        <v>1981</v>
      </c>
      <c r="I2022" s="284"/>
      <c r="J2022" s="284"/>
      <c r="K2022" s="284" t="s">
        <v>416</v>
      </c>
      <c r="L2022" s="284"/>
      <c r="M2022" s="284"/>
      <c r="N2022" s="284"/>
      <c r="O2022" s="284"/>
      <c r="P2022" s="286"/>
      <c r="Q2022" s="286"/>
      <c r="R2022" s="286"/>
      <c r="S2022" s="286"/>
      <c r="T2022" s="119">
        <v>125.84399999999999</v>
      </c>
      <c r="U2022" s="292"/>
      <c r="V2022" s="292"/>
      <c r="W2022" s="292"/>
      <c r="X2022" s="292"/>
      <c r="Y2022" s="370"/>
      <c r="Z2022" s="116"/>
      <c r="AA2022" s="116"/>
      <c r="AB2022" s="116"/>
      <c r="AC2022" s="116"/>
      <c r="AD2022" s="116"/>
      <c r="AE2022" s="116"/>
      <c r="AF2022" s="116"/>
      <c r="AG2022" s="117" t="s">
        <v>404</v>
      </c>
      <c r="AH2022" s="292"/>
      <c r="AI2022" s="292"/>
      <c r="AJ2022" s="125"/>
      <c r="AK2022" s="125"/>
      <c r="AL2022" s="125"/>
      <c r="AM2022" s="125"/>
      <c r="AN2022" s="297"/>
      <c r="AO2022" s="420"/>
      <c r="AP2022" s="420"/>
      <c r="AQ2022" s="297" t="s">
        <v>5921</v>
      </c>
      <c r="AR2022" s="297" t="s">
        <v>5921</v>
      </c>
      <c r="AS2022" s="282" t="s">
        <v>6</v>
      </c>
      <c r="AT2022" s="118" t="s">
        <v>266</v>
      </c>
      <c r="AU2022" s="119">
        <v>24</v>
      </c>
      <c r="AV2022" s="119">
        <v>72</v>
      </c>
      <c r="AW2022" s="119">
        <v>48</v>
      </c>
      <c r="AX2022" s="119">
        <v>26</v>
      </c>
      <c r="AY2022" s="119" t="s">
        <v>647</v>
      </c>
      <c r="AZ2022" s="119" t="s">
        <v>536</v>
      </c>
      <c r="BA2022" s="119">
        <v>10</v>
      </c>
      <c r="BB2022" s="284" t="s">
        <v>1764</v>
      </c>
      <c r="BC2022" s="284" t="s">
        <v>538</v>
      </c>
      <c r="BD2022" s="284"/>
      <c r="BE2022" s="119" t="s">
        <v>271</v>
      </c>
      <c r="BF2022" s="119" t="s">
        <v>1974</v>
      </c>
      <c r="BG2022" s="119" t="s">
        <v>1974</v>
      </c>
      <c r="BH2022" s="119" t="s">
        <v>272</v>
      </c>
      <c r="BI2022" s="292">
        <v>0.8</v>
      </c>
      <c r="BJ2022" s="292">
        <v>400</v>
      </c>
      <c r="BK2022" s="119"/>
      <c r="BL2022" s="292"/>
      <c r="BM2022" s="119" t="s">
        <v>541</v>
      </c>
      <c r="BN2022" s="119"/>
      <c r="BO2022" s="119"/>
      <c r="BP2022" s="119"/>
      <c r="BQ2022" s="119"/>
      <c r="BR2022" s="119"/>
      <c r="BS2022" s="119"/>
      <c r="BT2022" s="119"/>
      <c r="BU2022" s="293"/>
      <c r="BV2022" s="119"/>
      <c r="BW2022" s="119"/>
      <c r="BX2022" s="119"/>
      <c r="BY2022" s="119"/>
      <c r="BZ2022" s="119"/>
      <c r="CA2022" s="119">
        <v>108</v>
      </c>
      <c r="CB2022" s="119"/>
      <c r="CC2022" s="119"/>
      <c r="CD2022" s="119"/>
      <c r="CE2022" s="119"/>
      <c r="CF2022" s="119"/>
      <c r="CG2022" s="119"/>
      <c r="CH2022" s="119"/>
      <c r="CI2022" s="292"/>
      <c r="CJ2022" s="292"/>
      <c r="CK2022" s="120" t="s">
        <v>404</v>
      </c>
      <c r="CL2022" s="120" t="s">
        <v>404</v>
      </c>
      <c r="CM2022" s="294"/>
      <c r="CN2022" s="294"/>
      <c r="CO2022" s="284"/>
      <c r="CP2022" s="284" t="s">
        <v>6378</v>
      </c>
      <c r="CQ2022" s="282"/>
      <c r="CR2022" s="282">
        <f t="shared" si="629"/>
        <v>1</v>
      </c>
      <c r="CS2022" s="123"/>
      <c r="CT2022" s="123"/>
      <c r="CU2022" s="300" t="s">
        <v>6310</v>
      </c>
      <c r="CV2022" s="338" t="s">
        <v>6310</v>
      </c>
      <c r="CW2022" s="123">
        <f>IF(CV2022&lt;1,0,1)</f>
        <v>1</v>
      </c>
      <c r="CX2022" s="339"/>
      <c r="CY2022" s="295" t="s">
        <v>6351</v>
      </c>
    </row>
    <row r="2023" spans="1:103" ht="11.25" customHeight="1" x14ac:dyDescent="0.2">
      <c r="A2023" s="72">
        <v>2021</v>
      </c>
      <c r="B2023" s="282">
        <v>685</v>
      </c>
      <c r="C2023" s="115" t="s">
        <v>1979</v>
      </c>
      <c r="D2023" s="115"/>
      <c r="E2023" s="116">
        <v>1</v>
      </c>
      <c r="F2023" s="116" t="s">
        <v>1980</v>
      </c>
      <c r="G2023" s="283">
        <v>7773015</v>
      </c>
      <c r="H2023" s="284" t="s">
        <v>1981</v>
      </c>
      <c r="I2023" s="284"/>
      <c r="J2023" s="284"/>
      <c r="K2023" s="284" t="s">
        <v>416</v>
      </c>
      <c r="L2023" s="284"/>
      <c r="M2023" s="284"/>
      <c r="N2023" s="284"/>
      <c r="O2023" s="284"/>
      <c r="P2023" s="286"/>
      <c r="Q2023" s="286"/>
      <c r="R2023" s="286"/>
      <c r="S2023" s="286"/>
      <c r="T2023" s="119">
        <v>125.84399999999999</v>
      </c>
      <c r="U2023" s="292"/>
      <c r="V2023" s="292"/>
      <c r="W2023" s="292"/>
      <c r="X2023" s="292"/>
      <c r="Y2023" s="370"/>
      <c r="Z2023" s="116"/>
      <c r="AA2023" s="116"/>
      <c r="AB2023" s="116"/>
      <c r="AC2023" s="116"/>
      <c r="AD2023" s="116"/>
      <c r="AE2023" s="116"/>
      <c r="AF2023" s="116"/>
      <c r="AG2023" s="117" t="s">
        <v>404</v>
      </c>
      <c r="AH2023" s="292"/>
      <c r="AI2023" s="292"/>
      <c r="AJ2023" s="125"/>
      <c r="AK2023" s="125"/>
      <c r="AL2023" s="125"/>
      <c r="AM2023" s="125"/>
      <c r="AN2023" s="297"/>
      <c r="AO2023" s="420"/>
      <c r="AP2023" s="420"/>
      <c r="AQ2023" s="297" t="s">
        <v>5921</v>
      </c>
      <c r="AR2023" s="297" t="s">
        <v>5921</v>
      </c>
      <c r="AS2023" s="282" t="s">
        <v>6</v>
      </c>
      <c r="AT2023" s="118" t="s">
        <v>266</v>
      </c>
      <c r="AU2023" s="119">
        <v>72</v>
      </c>
      <c r="AV2023" s="119">
        <v>120</v>
      </c>
      <c r="AW2023" s="119">
        <v>48</v>
      </c>
      <c r="AX2023" s="119">
        <v>26</v>
      </c>
      <c r="AY2023" s="119" t="s">
        <v>647</v>
      </c>
      <c r="AZ2023" s="119" t="s">
        <v>536</v>
      </c>
      <c r="BA2023" s="119">
        <v>10</v>
      </c>
      <c r="BB2023" s="284" t="s">
        <v>1764</v>
      </c>
      <c r="BC2023" s="284" t="s">
        <v>538</v>
      </c>
      <c r="BD2023" s="284"/>
      <c r="BE2023" s="119" t="s">
        <v>271</v>
      </c>
      <c r="BF2023" s="119" t="s">
        <v>1974</v>
      </c>
      <c r="BG2023" s="119" t="s">
        <v>1974</v>
      </c>
      <c r="BH2023" s="119" t="s">
        <v>272</v>
      </c>
      <c r="BI2023" s="292">
        <v>0.8</v>
      </c>
      <c r="BJ2023" s="292">
        <v>400</v>
      </c>
      <c r="BK2023" s="119"/>
      <c r="BL2023" s="292"/>
      <c r="BM2023" s="119" t="s">
        <v>541</v>
      </c>
      <c r="BN2023" s="119"/>
      <c r="BO2023" s="119"/>
      <c r="BP2023" s="119"/>
      <c r="BQ2023" s="119"/>
      <c r="BR2023" s="119"/>
      <c r="BS2023" s="119"/>
      <c r="BT2023" s="119"/>
      <c r="BU2023" s="293"/>
      <c r="BV2023" s="119"/>
      <c r="BW2023" s="119"/>
      <c r="BX2023" s="119"/>
      <c r="BY2023" s="119"/>
      <c r="BZ2023" s="119"/>
      <c r="CA2023" s="119"/>
      <c r="CB2023" s="119"/>
      <c r="CC2023" s="119"/>
      <c r="CD2023" s="119"/>
      <c r="CE2023" s="119"/>
      <c r="CF2023" s="119">
        <v>53</v>
      </c>
      <c r="CG2023" s="119"/>
      <c r="CH2023" s="119"/>
      <c r="CI2023" s="292"/>
      <c r="CJ2023" s="292"/>
      <c r="CK2023" s="120" t="s">
        <v>404</v>
      </c>
      <c r="CL2023" s="120" t="s">
        <v>404</v>
      </c>
      <c r="CM2023" s="294"/>
      <c r="CN2023" s="294"/>
      <c r="CO2023" s="284"/>
      <c r="CP2023" s="284" t="s">
        <v>6378</v>
      </c>
      <c r="CQ2023" s="282"/>
      <c r="CR2023" s="282">
        <f t="shared" si="629"/>
        <v>1</v>
      </c>
      <c r="CS2023" s="123"/>
      <c r="CT2023" s="123"/>
      <c r="CU2023" s="300" t="s">
        <v>6310</v>
      </c>
      <c r="CV2023" s="338" t="s">
        <v>6310</v>
      </c>
      <c r="CW2023" s="123">
        <f>IF(CV2023&lt;1,0,1)</f>
        <v>1</v>
      </c>
      <c r="CX2023" s="339"/>
      <c r="CY2023" s="295" t="s">
        <v>6351</v>
      </c>
    </row>
    <row r="2024" spans="1:103" ht="11.25" customHeight="1" x14ac:dyDescent="0.2">
      <c r="A2024" s="72">
        <v>2022</v>
      </c>
      <c r="B2024" s="282">
        <v>2014</v>
      </c>
      <c r="C2024" s="115" t="s">
        <v>5580</v>
      </c>
      <c r="D2024" s="115"/>
      <c r="E2024" s="116">
        <v>1</v>
      </c>
      <c r="F2024" s="116" t="s">
        <v>5581</v>
      </c>
      <c r="G2024" s="283">
        <v>7784465</v>
      </c>
      <c r="H2024" s="286" t="s">
        <v>5582</v>
      </c>
      <c r="I2024" s="286"/>
      <c r="J2024" s="286" t="s">
        <v>5583</v>
      </c>
      <c r="K2024" s="284" t="s">
        <v>416</v>
      </c>
      <c r="L2024" s="286"/>
      <c r="M2024" s="286"/>
      <c r="N2024" s="286"/>
      <c r="O2024" s="286"/>
      <c r="P2024" s="286"/>
      <c r="Q2024" s="286"/>
      <c r="R2024" s="286"/>
      <c r="S2024" s="286"/>
      <c r="T2024" s="123">
        <v>129.91</v>
      </c>
      <c r="U2024" s="300"/>
      <c r="V2024" s="300"/>
      <c r="W2024" s="300"/>
      <c r="X2024" s="300"/>
      <c r="Y2024" s="419"/>
      <c r="Z2024" s="116"/>
      <c r="AA2024" s="116"/>
      <c r="AB2024" s="116"/>
      <c r="AC2024" s="116"/>
      <c r="AD2024" s="116"/>
      <c r="AE2024" s="116"/>
      <c r="AF2024" s="116"/>
      <c r="AG2024" s="117" t="s">
        <v>404</v>
      </c>
      <c r="AH2024" s="300"/>
      <c r="AI2024" s="300"/>
      <c r="AJ2024" s="125"/>
      <c r="AK2024" s="125"/>
      <c r="AL2024" s="125"/>
      <c r="AM2024" s="125"/>
      <c r="AN2024" s="301"/>
      <c r="AO2024" s="420"/>
      <c r="AP2024" s="420"/>
      <c r="AQ2024" s="301" t="s">
        <v>6311</v>
      </c>
      <c r="AR2024" s="301" t="s">
        <v>6311</v>
      </c>
      <c r="AS2024" s="298" t="s">
        <v>5466</v>
      </c>
      <c r="AT2024" s="124" t="s">
        <v>266</v>
      </c>
      <c r="AU2024" s="123">
        <v>72</v>
      </c>
      <c r="AV2024" s="123">
        <v>168</v>
      </c>
      <c r="AW2024" s="123">
        <v>96</v>
      </c>
      <c r="AX2024" s="123">
        <v>28.5</v>
      </c>
      <c r="AY2024" s="123" t="s">
        <v>267</v>
      </c>
      <c r="AZ2024" s="123" t="s">
        <v>1584</v>
      </c>
      <c r="BA2024" s="123">
        <v>30</v>
      </c>
      <c r="BB2024" s="286"/>
      <c r="BC2024" s="286" t="s">
        <v>6206</v>
      </c>
      <c r="BD2024" s="286"/>
      <c r="BE2024" s="123" t="s">
        <v>6207</v>
      </c>
      <c r="BF2024" s="123"/>
      <c r="BG2024" s="123"/>
      <c r="BH2024" s="123"/>
      <c r="BI2024" s="300">
        <v>0.05</v>
      </c>
      <c r="BJ2024" s="300">
        <v>0.2</v>
      </c>
      <c r="BK2024" s="306"/>
      <c r="BL2024" s="300"/>
      <c r="BM2024" s="123">
        <v>0</v>
      </c>
      <c r="BN2024" s="123"/>
      <c r="BO2024" s="123"/>
      <c r="BP2024" s="123"/>
      <c r="BQ2024" s="123"/>
      <c r="BR2024" s="123"/>
      <c r="BS2024" s="123"/>
      <c r="BT2024" s="123"/>
      <c r="BU2024" s="293"/>
      <c r="BV2024" s="123"/>
      <c r="BW2024" s="123"/>
      <c r="BX2024" s="123"/>
      <c r="BY2024" s="123"/>
      <c r="BZ2024" s="123"/>
      <c r="CA2024" s="123"/>
      <c r="CB2024" s="123"/>
      <c r="CC2024" s="123"/>
      <c r="CD2024" s="123"/>
      <c r="CE2024" s="123"/>
      <c r="CF2024" s="123">
        <v>9.4100000000000003E-2</v>
      </c>
      <c r="CG2024" s="123"/>
      <c r="CH2024" s="123"/>
      <c r="CI2024" s="300">
        <f>MIN(BN2024:CH2024)</f>
        <v>9.4100000000000003E-2</v>
      </c>
      <c r="CJ2024" s="292">
        <f>LOG10(CI2024)</f>
        <v>-1.026410376572743</v>
      </c>
      <c r="CK2024" s="120">
        <f>BL2024/BJ2024</f>
        <v>0</v>
      </c>
      <c r="CL2024" s="120" t="s">
        <v>404</v>
      </c>
      <c r="CM2024" s="294"/>
      <c r="CN2024" s="294"/>
      <c r="CO2024" s="286" t="s">
        <v>6208</v>
      </c>
      <c r="CP2024" s="286" t="s">
        <v>8387</v>
      </c>
      <c r="CQ2024" s="282">
        <v>-0.71275049687978198</v>
      </c>
      <c r="CR2024" s="282">
        <f t="shared" si="629"/>
        <v>0.48566870559855513</v>
      </c>
      <c r="CS2024" s="123"/>
      <c r="CT2024" s="123"/>
      <c r="CU2024" s="300" t="s">
        <v>6310</v>
      </c>
      <c r="CV2024" s="338" t="s">
        <v>6310</v>
      </c>
      <c r="CW2024" s="339">
        <f>IF(CU2024&lt;2,0,1)</f>
        <v>1</v>
      </c>
      <c r="CX2024" s="339" t="s">
        <v>539</v>
      </c>
      <c r="CY2024" s="295" t="s">
        <v>5921</v>
      </c>
    </row>
    <row r="2025" spans="1:103" ht="11.25" customHeight="1" x14ac:dyDescent="0.2">
      <c r="A2025" s="72">
        <v>2023</v>
      </c>
      <c r="B2025" s="282">
        <v>2015</v>
      </c>
      <c r="C2025" s="115" t="s">
        <v>5580</v>
      </c>
      <c r="D2025" s="115"/>
      <c r="E2025" s="116">
        <v>1</v>
      </c>
      <c r="F2025" s="116" t="s">
        <v>5581</v>
      </c>
      <c r="G2025" s="283">
        <v>7784465</v>
      </c>
      <c r="H2025" s="286" t="s">
        <v>5582</v>
      </c>
      <c r="I2025" s="286"/>
      <c r="J2025" s="286" t="s">
        <v>5583</v>
      </c>
      <c r="K2025" s="284" t="s">
        <v>416</v>
      </c>
      <c r="L2025" s="286"/>
      <c r="M2025" s="286"/>
      <c r="N2025" s="286"/>
      <c r="O2025" s="286"/>
      <c r="P2025" s="286"/>
      <c r="Q2025" s="286"/>
      <c r="R2025" s="286"/>
      <c r="S2025" s="286"/>
      <c r="T2025" s="123">
        <v>129.91</v>
      </c>
      <c r="U2025" s="300"/>
      <c r="V2025" s="300"/>
      <c r="W2025" s="300"/>
      <c r="X2025" s="300"/>
      <c r="Y2025" s="419"/>
      <c r="Z2025" s="116"/>
      <c r="AA2025" s="116"/>
      <c r="AB2025" s="116"/>
      <c r="AC2025" s="116"/>
      <c r="AD2025" s="116"/>
      <c r="AE2025" s="116"/>
      <c r="AF2025" s="116"/>
      <c r="AG2025" s="117" t="s">
        <v>404</v>
      </c>
      <c r="AH2025" s="300"/>
      <c r="AI2025" s="300"/>
      <c r="AJ2025" s="125"/>
      <c r="AK2025" s="125"/>
      <c r="AL2025" s="125"/>
      <c r="AM2025" s="125"/>
      <c r="AN2025" s="301"/>
      <c r="AO2025" s="420"/>
      <c r="AP2025" s="420"/>
      <c r="AQ2025" s="301" t="s">
        <v>6311</v>
      </c>
      <c r="AR2025" s="301" t="s">
        <v>6311</v>
      </c>
      <c r="AS2025" s="298" t="s">
        <v>5466</v>
      </c>
      <c r="AT2025" s="124" t="s">
        <v>266</v>
      </c>
      <c r="AU2025" s="123">
        <v>4</v>
      </c>
      <c r="AV2025" s="123">
        <v>120</v>
      </c>
      <c r="AW2025" s="123">
        <v>106</v>
      </c>
      <c r="AX2025" s="123">
        <v>28</v>
      </c>
      <c r="AY2025" s="307" t="s">
        <v>267</v>
      </c>
      <c r="AZ2025" s="123" t="s">
        <v>1584</v>
      </c>
      <c r="BA2025" s="123">
        <v>30</v>
      </c>
      <c r="BB2025" s="286" t="s">
        <v>6209</v>
      </c>
      <c r="BC2025" s="286" t="s">
        <v>5697</v>
      </c>
      <c r="BD2025" s="286"/>
      <c r="BE2025" s="123" t="s">
        <v>6210</v>
      </c>
      <c r="BF2025" s="123" t="s">
        <v>6203</v>
      </c>
      <c r="BG2025" s="123" t="s">
        <v>6203</v>
      </c>
      <c r="BH2025" s="123"/>
      <c r="BI2025" s="300">
        <v>2.5000000000000001E-2</v>
      </c>
      <c r="BJ2025" s="300">
        <v>10</v>
      </c>
      <c r="BK2025" s="306"/>
      <c r="BL2025" s="300"/>
      <c r="BM2025" s="123" t="s">
        <v>1584</v>
      </c>
      <c r="BN2025" s="123" t="s">
        <v>6211</v>
      </c>
      <c r="BO2025" s="123">
        <v>5</v>
      </c>
      <c r="BP2025" s="123"/>
      <c r="BQ2025" s="123">
        <v>2</v>
      </c>
      <c r="BR2025" s="123">
        <v>1</v>
      </c>
      <c r="BS2025" s="123"/>
      <c r="BT2025" s="123"/>
      <c r="BU2025" s="293"/>
      <c r="BV2025" s="123"/>
      <c r="BW2025" s="123"/>
      <c r="BX2025" s="123"/>
      <c r="BY2025" s="123"/>
      <c r="BZ2025" s="123"/>
      <c r="CA2025" s="123"/>
      <c r="CB2025" s="123"/>
      <c r="CC2025" s="123"/>
      <c r="CD2025" s="123"/>
      <c r="CE2025" s="123"/>
      <c r="CF2025" s="123"/>
      <c r="CG2025" s="123"/>
      <c r="CH2025" s="123"/>
      <c r="CI2025" s="300">
        <f>MIN(BN2025:CH2025)</f>
        <v>1</v>
      </c>
      <c r="CJ2025" s="292">
        <f>LOG10(CI2025)</f>
        <v>0</v>
      </c>
      <c r="CK2025" s="120">
        <f>BL2025/BJ2025</f>
        <v>0</v>
      </c>
      <c r="CL2025" s="120" t="s">
        <v>404</v>
      </c>
      <c r="CM2025" s="294"/>
      <c r="CN2025" s="294"/>
      <c r="CO2025" s="286"/>
      <c r="CP2025" s="286" t="s">
        <v>8386</v>
      </c>
      <c r="CQ2025" s="282">
        <v>-0.71275049687978198</v>
      </c>
      <c r="CR2025" s="282">
        <f t="shared" si="629"/>
        <v>5.1611977215574409</v>
      </c>
      <c r="CS2025" s="123"/>
      <c r="CT2025" s="123"/>
      <c r="CU2025" s="300" t="s">
        <v>6310</v>
      </c>
      <c r="CV2025" s="338" t="s">
        <v>6310</v>
      </c>
      <c r="CW2025" s="339">
        <f>IF(CU2025&lt;2,0,1)</f>
        <v>1</v>
      </c>
      <c r="CX2025" s="339" t="s">
        <v>539</v>
      </c>
      <c r="CY2025" s="295" t="s">
        <v>5921</v>
      </c>
    </row>
    <row r="2026" spans="1:103" ht="11.25" customHeight="1" x14ac:dyDescent="0.2">
      <c r="A2026" s="72">
        <v>2024</v>
      </c>
      <c r="B2026" s="282">
        <v>1967</v>
      </c>
      <c r="C2026" s="115" t="s">
        <v>1917</v>
      </c>
      <c r="D2026" s="115"/>
      <c r="E2026" s="116">
        <v>1</v>
      </c>
      <c r="F2026" s="122" t="s">
        <v>401</v>
      </c>
      <c r="G2026" s="283">
        <v>10108642</v>
      </c>
      <c r="H2026" s="286" t="s">
        <v>402</v>
      </c>
      <c r="I2026" s="286"/>
      <c r="J2026" s="286"/>
      <c r="K2026" s="284" t="s">
        <v>416</v>
      </c>
      <c r="L2026" s="286"/>
      <c r="M2026" s="286"/>
      <c r="N2026" s="286"/>
      <c r="O2026" s="286"/>
      <c r="P2026" s="286"/>
      <c r="Q2026" s="286"/>
      <c r="R2026" s="286"/>
      <c r="S2026" s="286"/>
      <c r="T2026" s="123">
        <v>201.32</v>
      </c>
      <c r="U2026" s="300"/>
      <c r="V2026" s="300"/>
      <c r="W2026" s="300"/>
      <c r="X2026" s="300"/>
      <c r="Y2026" s="419"/>
      <c r="Z2026" s="116"/>
      <c r="AA2026" s="116"/>
      <c r="AB2026" s="116"/>
      <c r="AC2026" s="116"/>
      <c r="AD2026" s="116"/>
      <c r="AE2026" s="116"/>
      <c r="AF2026" s="116"/>
      <c r="AG2026" s="117" t="s">
        <v>404</v>
      </c>
      <c r="AH2026" s="300"/>
      <c r="AI2026" s="292"/>
      <c r="AJ2026" s="125"/>
      <c r="AK2026" s="125"/>
      <c r="AL2026" s="125"/>
      <c r="AM2026" s="125"/>
      <c r="AN2026" s="301"/>
      <c r="AO2026" s="420"/>
      <c r="AP2026" s="420"/>
      <c r="AQ2026" s="301" t="s">
        <v>6311</v>
      </c>
      <c r="AR2026" s="301" t="s">
        <v>6311</v>
      </c>
      <c r="AS2026" s="298" t="s">
        <v>5466</v>
      </c>
      <c r="AT2026" s="124" t="s">
        <v>266</v>
      </c>
      <c r="AU2026" s="123">
        <v>72</v>
      </c>
      <c r="AV2026" s="123">
        <v>168</v>
      </c>
      <c r="AW2026" s="123">
        <v>96</v>
      </c>
      <c r="AX2026" s="123">
        <v>28.5</v>
      </c>
      <c r="AY2026" s="123" t="s">
        <v>267</v>
      </c>
      <c r="AZ2026" s="123" t="s">
        <v>6212</v>
      </c>
      <c r="BA2026" s="123">
        <v>25</v>
      </c>
      <c r="BB2026" s="286" t="s">
        <v>6213</v>
      </c>
      <c r="BC2026" s="286" t="s">
        <v>8390</v>
      </c>
      <c r="BD2026" s="286"/>
      <c r="BE2026" s="123" t="s">
        <v>6207</v>
      </c>
      <c r="BF2026" s="123" t="s">
        <v>6203</v>
      </c>
      <c r="BG2026" s="123" t="s">
        <v>6203</v>
      </c>
      <c r="BH2026" s="123"/>
      <c r="BI2026" s="300"/>
      <c r="BJ2026" s="300">
        <v>125</v>
      </c>
      <c r="BK2026" s="306"/>
      <c r="BL2026" s="300"/>
      <c r="BM2026" s="123" t="s">
        <v>1584</v>
      </c>
      <c r="BN2026" s="123"/>
      <c r="BO2026" s="123"/>
      <c r="BP2026" s="123"/>
      <c r="BQ2026" s="123"/>
      <c r="BR2026" s="123"/>
      <c r="BS2026" s="123"/>
      <c r="BT2026" s="123"/>
      <c r="BU2026" s="293"/>
      <c r="BV2026" s="123"/>
      <c r="BW2026" s="123"/>
      <c r="BX2026" s="123"/>
      <c r="BY2026" s="123"/>
      <c r="BZ2026" s="123"/>
      <c r="CA2026" s="123"/>
      <c r="CB2026" s="123"/>
      <c r="CC2026" s="123"/>
      <c r="CD2026" s="123"/>
      <c r="CE2026" s="123"/>
      <c r="CF2026" s="123">
        <v>1.8800000000000001E-2</v>
      </c>
      <c r="CG2026" s="123"/>
      <c r="CH2026" s="123"/>
      <c r="CI2026" s="300">
        <f>MIN(BN2026:CH2026)</f>
        <v>1.8800000000000001E-2</v>
      </c>
      <c r="CJ2026" s="292">
        <f>LOG10(CI2026)</f>
        <v>-1.7258421507363202</v>
      </c>
      <c r="CK2026" s="120">
        <f>BL2026/BJ2026</f>
        <v>0</v>
      </c>
      <c r="CL2026" s="120" t="s">
        <v>404</v>
      </c>
      <c r="CM2026" s="294"/>
      <c r="CN2026" s="294"/>
      <c r="CO2026" s="286"/>
      <c r="CP2026" s="286" t="s">
        <v>8389</v>
      </c>
      <c r="CQ2026" s="282">
        <v>-3.5218984168709953</v>
      </c>
      <c r="CR2026" s="282">
        <f t="shared" si="629"/>
        <v>62.525369387321952</v>
      </c>
      <c r="CS2026" s="123"/>
      <c r="CT2026" s="123"/>
      <c r="CU2026" s="300" t="s">
        <v>6310</v>
      </c>
      <c r="CV2026" s="338" t="s">
        <v>6310</v>
      </c>
      <c r="CW2026" s="339">
        <f>IF(CU2026&lt;2,0,1)</f>
        <v>1</v>
      </c>
      <c r="CX2026" s="339" t="s">
        <v>539</v>
      </c>
      <c r="CY2026" s="295" t="s">
        <v>6351</v>
      </c>
    </row>
    <row r="2027" spans="1:103" ht="11.25" customHeight="1" x14ac:dyDescent="0.2">
      <c r="A2027" s="72">
        <v>2025</v>
      </c>
      <c r="B2027" s="282">
        <v>501</v>
      </c>
      <c r="C2027" s="115" t="s">
        <v>1611</v>
      </c>
      <c r="D2027" s="115"/>
      <c r="E2027" s="116">
        <v>1</v>
      </c>
      <c r="F2027" s="116" t="s">
        <v>401</v>
      </c>
      <c r="G2027" s="283">
        <v>10108642</v>
      </c>
      <c r="H2027" s="284" t="s">
        <v>402</v>
      </c>
      <c r="I2027" s="284"/>
      <c r="J2027" s="284"/>
      <c r="K2027" s="284" t="s">
        <v>416</v>
      </c>
      <c r="L2027" s="284"/>
      <c r="M2027" s="284"/>
      <c r="N2027" s="284"/>
      <c r="O2027" s="284"/>
      <c r="P2027" s="286"/>
      <c r="Q2027" s="286"/>
      <c r="R2027" s="286"/>
      <c r="S2027" s="286"/>
      <c r="T2027" s="119">
        <v>112.411</v>
      </c>
      <c r="U2027" s="292"/>
      <c r="V2027" s="287"/>
      <c r="W2027" s="287"/>
      <c r="X2027" s="287"/>
      <c r="Y2027" s="370"/>
      <c r="Z2027" s="116"/>
      <c r="AA2027" s="116"/>
      <c r="AB2027" s="116"/>
      <c r="AC2027" s="116"/>
      <c r="AD2027" s="116"/>
      <c r="AE2027" s="116"/>
      <c r="AF2027" s="116"/>
      <c r="AG2027" s="117" t="s">
        <v>404</v>
      </c>
      <c r="AH2027" s="292"/>
      <c r="AI2027" s="292"/>
      <c r="AJ2027" s="125"/>
      <c r="AK2027" s="125"/>
      <c r="AL2027" s="125"/>
      <c r="AM2027" s="125"/>
      <c r="AN2027" s="297"/>
      <c r="AO2027" s="420"/>
      <c r="AP2027" s="420"/>
      <c r="AQ2027" s="297" t="s">
        <v>6311</v>
      </c>
      <c r="AR2027" s="297" t="s">
        <v>6311</v>
      </c>
      <c r="AS2027" s="282" t="s">
        <v>6</v>
      </c>
      <c r="AT2027" s="118" t="s">
        <v>266</v>
      </c>
      <c r="AU2027" s="119">
        <v>2</v>
      </c>
      <c r="AV2027" s="119">
        <v>28</v>
      </c>
      <c r="AW2027" s="119">
        <v>28</v>
      </c>
      <c r="AX2027" s="119">
        <v>28.5</v>
      </c>
      <c r="AY2027" s="119" t="s">
        <v>8722</v>
      </c>
      <c r="AZ2027" s="119" t="s">
        <v>1612</v>
      </c>
      <c r="BA2027" s="119">
        <v>20</v>
      </c>
      <c r="BB2027" s="284" t="s">
        <v>1613</v>
      </c>
      <c r="BC2027" s="284" t="s">
        <v>1614</v>
      </c>
      <c r="BD2027" s="284" t="s">
        <v>8374</v>
      </c>
      <c r="BE2027" s="119" t="s">
        <v>271</v>
      </c>
      <c r="BF2027" s="119" t="s">
        <v>272</v>
      </c>
      <c r="BG2027" s="119" t="s">
        <v>1615</v>
      </c>
      <c r="BH2027" s="119" t="s">
        <v>272</v>
      </c>
      <c r="BI2027" s="291">
        <v>8.8959265552303596E-6</v>
      </c>
      <c r="BJ2027" s="291">
        <v>8.8959265552303601E-3</v>
      </c>
      <c r="BK2027" s="119"/>
      <c r="BL2027" s="292"/>
      <c r="BM2027" s="119" t="s">
        <v>1616</v>
      </c>
      <c r="BN2027" s="119">
        <v>0.16799957299552537</v>
      </c>
      <c r="BO2027" s="119"/>
      <c r="BP2027" s="119"/>
      <c r="BQ2027" s="119"/>
      <c r="BR2027" s="119"/>
      <c r="BS2027" s="119"/>
      <c r="BT2027" s="119"/>
      <c r="BU2027" s="293"/>
      <c r="BV2027" s="119"/>
      <c r="BW2027" s="119"/>
      <c r="BX2027" s="119"/>
      <c r="BY2027" s="119"/>
      <c r="BZ2027" s="119"/>
      <c r="CA2027" s="119"/>
      <c r="CB2027" s="119"/>
      <c r="CC2027" s="119"/>
      <c r="CD2027" s="119"/>
      <c r="CE2027" s="119"/>
      <c r="CF2027" s="119"/>
      <c r="CG2027" s="119"/>
      <c r="CH2027" s="119"/>
      <c r="CI2027" s="292">
        <f>MIN(BN2027:CH2027)</f>
        <v>0.16799957299552537</v>
      </c>
      <c r="CJ2027" s="292">
        <f>LOG10(CI2027)</f>
        <v>-0.77469182211891541</v>
      </c>
      <c r="CK2027" s="120" t="s">
        <v>404</v>
      </c>
      <c r="CL2027" s="120" t="s">
        <v>404</v>
      </c>
      <c r="CM2027" s="294"/>
      <c r="CN2027" s="294"/>
      <c r="CO2027" s="284"/>
      <c r="CP2027" s="284" t="s">
        <v>1617</v>
      </c>
      <c r="CQ2027" s="282">
        <v>-3.2688203064283528</v>
      </c>
      <c r="CR2027" s="282">
        <f t="shared" si="629"/>
        <v>311.98124317789183</v>
      </c>
      <c r="CS2027" s="123"/>
      <c r="CT2027" s="123"/>
      <c r="CU2027" s="300" t="s">
        <v>6310</v>
      </c>
      <c r="CV2027" s="338" t="s">
        <v>6310</v>
      </c>
      <c r="CW2027" s="339">
        <f>IF(CU2027&lt;2,0,1)</f>
        <v>1</v>
      </c>
      <c r="CX2027" s="339"/>
      <c r="CY2027" s="295" t="s">
        <v>6351</v>
      </c>
    </row>
    <row r="2028" spans="1:103" ht="11.25" customHeight="1" x14ac:dyDescent="0.2">
      <c r="A2028" s="72">
        <v>2026</v>
      </c>
      <c r="B2028" s="282">
        <v>654</v>
      </c>
      <c r="C2028" s="115" t="s">
        <v>1917</v>
      </c>
      <c r="D2028" s="115"/>
      <c r="E2028" s="116">
        <v>1</v>
      </c>
      <c r="F2028" s="116" t="s">
        <v>401</v>
      </c>
      <c r="G2028" s="283">
        <v>10108642</v>
      </c>
      <c r="H2028" s="284" t="s">
        <v>402</v>
      </c>
      <c r="I2028" s="284"/>
      <c r="J2028" s="284"/>
      <c r="K2028" s="284" t="s">
        <v>416</v>
      </c>
      <c r="L2028" s="284"/>
      <c r="M2028" s="284"/>
      <c r="N2028" s="284"/>
      <c r="O2028" s="284"/>
      <c r="P2028" s="286"/>
      <c r="Q2028" s="286"/>
      <c r="R2028" s="286"/>
      <c r="S2028" s="286"/>
      <c r="T2028" s="119">
        <v>201.32</v>
      </c>
      <c r="U2028" s="292"/>
      <c r="V2028" s="287"/>
      <c r="W2028" s="287"/>
      <c r="X2028" s="287"/>
      <c r="Y2028" s="370"/>
      <c r="Z2028" s="116"/>
      <c r="AA2028" s="116"/>
      <c r="AB2028" s="116"/>
      <c r="AC2028" s="116"/>
      <c r="AD2028" s="116"/>
      <c r="AE2028" s="116"/>
      <c r="AF2028" s="116"/>
      <c r="AG2028" s="117" t="s">
        <v>404</v>
      </c>
      <c r="AH2028" s="292"/>
      <c r="AI2028" s="292"/>
      <c r="AJ2028" s="125"/>
      <c r="AK2028" s="125"/>
      <c r="AL2028" s="125"/>
      <c r="AM2028" s="125"/>
      <c r="AN2028" s="297"/>
      <c r="AO2028" s="420"/>
      <c r="AP2028" s="420"/>
      <c r="AQ2028" s="297" t="s">
        <v>6311</v>
      </c>
      <c r="AR2028" s="297" t="s">
        <v>6311</v>
      </c>
      <c r="AS2028" s="282" t="s">
        <v>6</v>
      </c>
      <c r="AT2028" s="118" t="s">
        <v>266</v>
      </c>
      <c r="AU2028" s="119">
        <v>2</v>
      </c>
      <c r="AV2028" s="119">
        <v>48</v>
      </c>
      <c r="AW2028" s="119">
        <v>48</v>
      </c>
      <c r="AX2028" s="119">
        <v>26</v>
      </c>
      <c r="AY2028" s="119" t="s">
        <v>647</v>
      </c>
      <c r="AZ2028" s="119" t="s">
        <v>1912</v>
      </c>
      <c r="BA2028" s="119">
        <v>25</v>
      </c>
      <c r="BB2028" s="284" t="s">
        <v>1613</v>
      </c>
      <c r="BC2028" s="284" t="s">
        <v>538</v>
      </c>
      <c r="BD2028" s="284"/>
      <c r="BE2028" s="119" t="s">
        <v>271</v>
      </c>
      <c r="BF2028" s="119" t="s">
        <v>272</v>
      </c>
      <c r="BG2028" s="119" t="s">
        <v>272</v>
      </c>
      <c r="BH2028" s="119" t="s">
        <v>272</v>
      </c>
      <c r="BI2028" s="292">
        <v>1.6E-2</v>
      </c>
      <c r="BJ2028" s="292">
        <v>0.22559999999999999</v>
      </c>
      <c r="BK2028" s="119"/>
      <c r="BL2028" s="292"/>
      <c r="BM2028" s="119" t="s">
        <v>541</v>
      </c>
      <c r="BN2028" s="119"/>
      <c r="BO2028" s="119">
        <v>8.2729999999999998E-2</v>
      </c>
      <c r="BP2028" s="119"/>
      <c r="BQ2028" s="119"/>
      <c r="BR2028" s="119"/>
      <c r="BS2028" s="119"/>
      <c r="BT2028" s="119"/>
      <c r="BU2028" s="293"/>
      <c r="BV2028" s="119"/>
      <c r="BW2028" s="119"/>
      <c r="BX2028" s="119"/>
      <c r="BY2028" s="119"/>
      <c r="BZ2028" s="119"/>
      <c r="CA2028" s="119"/>
      <c r="CB2028" s="119"/>
      <c r="CC2028" s="119"/>
      <c r="CD2028" s="119"/>
      <c r="CE2028" s="119"/>
      <c r="CF2028" s="119"/>
      <c r="CG2028" s="119"/>
      <c r="CH2028" s="119"/>
      <c r="CI2028" s="292"/>
      <c r="CJ2028" s="292"/>
      <c r="CK2028" s="120">
        <f>BL2028/BJ2028</f>
        <v>0</v>
      </c>
      <c r="CL2028" s="120" t="s">
        <v>404</v>
      </c>
      <c r="CM2028" s="294"/>
      <c r="CN2028" s="294"/>
      <c r="CO2028" s="284"/>
      <c r="CP2028" s="284" t="s">
        <v>1913</v>
      </c>
      <c r="CQ2028" s="282">
        <v>-3.5218984168709953</v>
      </c>
      <c r="CR2028" s="282">
        <f t="shared" si="629"/>
        <v>3325.8175206022343</v>
      </c>
      <c r="CS2028" s="123"/>
      <c r="CT2028" s="123"/>
      <c r="CU2028" s="300" t="s">
        <v>6310</v>
      </c>
      <c r="CV2028" s="338" t="s">
        <v>6310</v>
      </c>
      <c r="CW2028" s="123">
        <f>IF(CV2028&lt;1,0,1)</f>
        <v>1</v>
      </c>
      <c r="CX2028" s="339"/>
      <c r="CY2028" s="295" t="s">
        <v>6351</v>
      </c>
    </row>
    <row r="2029" spans="1:103" ht="11.25" customHeight="1" x14ac:dyDescent="0.2">
      <c r="A2029" s="72">
        <v>2027</v>
      </c>
      <c r="B2029" s="282">
        <v>2078</v>
      </c>
      <c r="C2029" s="115" t="s">
        <v>5726</v>
      </c>
      <c r="D2029" s="115"/>
      <c r="E2029" s="116">
        <v>1</v>
      </c>
      <c r="F2029" s="116" t="s">
        <v>5727</v>
      </c>
      <c r="G2029" s="283">
        <v>10476854</v>
      </c>
      <c r="H2029" s="286" t="s">
        <v>5728</v>
      </c>
      <c r="I2029" s="286"/>
      <c r="J2029" s="286" t="s">
        <v>5729</v>
      </c>
      <c r="K2029" s="284" t="s">
        <v>416</v>
      </c>
      <c r="L2029" s="286"/>
      <c r="M2029" s="286"/>
      <c r="N2029" s="286"/>
      <c r="O2029" s="286"/>
      <c r="P2029" s="286"/>
      <c r="Q2029" s="286"/>
      <c r="R2029" s="286"/>
      <c r="S2029" s="286"/>
      <c r="T2029" s="123">
        <v>158.53</v>
      </c>
      <c r="U2029" s="300"/>
      <c r="V2029" s="300"/>
      <c r="W2029" s="300"/>
      <c r="X2029" s="300"/>
      <c r="Y2029" s="419"/>
      <c r="Z2029" s="116"/>
      <c r="AA2029" s="116"/>
      <c r="AB2029" s="116"/>
      <c r="AC2029" s="116"/>
      <c r="AD2029" s="116"/>
      <c r="AE2029" s="116"/>
      <c r="AF2029" s="116"/>
      <c r="AG2029" s="117" t="s">
        <v>404</v>
      </c>
      <c r="AH2029" s="300"/>
      <c r="AI2029" s="292"/>
      <c r="AJ2029" s="125"/>
      <c r="AK2029" s="125"/>
      <c r="AL2029" s="125"/>
      <c r="AM2029" s="125"/>
      <c r="AN2029" s="301"/>
      <c r="AO2029" s="420"/>
      <c r="AP2029" s="420"/>
      <c r="AQ2029" s="301" t="s">
        <v>6311</v>
      </c>
      <c r="AR2029" s="301" t="s">
        <v>6311</v>
      </c>
      <c r="AS2029" s="298" t="s">
        <v>5466</v>
      </c>
      <c r="AT2029" s="124" t="s">
        <v>266</v>
      </c>
      <c r="AU2029" s="123">
        <v>0</v>
      </c>
      <c r="AV2029" s="123">
        <v>144</v>
      </c>
      <c r="AW2029" s="123">
        <v>144</v>
      </c>
      <c r="AX2029" s="123">
        <v>28</v>
      </c>
      <c r="AY2029" s="123"/>
      <c r="AZ2029" s="123"/>
      <c r="BA2029" s="123">
        <v>80</v>
      </c>
      <c r="BB2029" s="286" t="s">
        <v>5487</v>
      </c>
      <c r="BC2029" s="286" t="s">
        <v>5721</v>
      </c>
      <c r="BD2029" s="286"/>
      <c r="BE2029" s="123" t="s">
        <v>5680</v>
      </c>
      <c r="BF2029" s="123"/>
      <c r="BG2029" s="123"/>
      <c r="BH2029" s="123"/>
      <c r="BI2029" s="300">
        <v>3.3E-4</v>
      </c>
      <c r="BJ2029" s="300">
        <v>10</v>
      </c>
      <c r="BK2029" s="306"/>
      <c r="BL2029" s="300"/>
      <c r="BM2029" s="123"/>
      <c r="BN2029" s="123"/>
      <c r="BO2029" s="123"/>
      <c r="BP2029" s="123"/>
      <c r="BQ2029" s="123"/>
      <c r="BR2029" s="123"/>
      <c r="BS2029" s="123"/>
      <c r="BT2029" s="123">
        <v>6</v>
      </c>
      <c r="BU2029" s="293"/>
      <c r="BV2029" s="123"/>
      <c r="BW2029" s="123"/>
      <c r="BX2029" s="123"/>
      <c r="BY2029" s="123"/>
      <c r="BZ2029" s="123"/>
      <c r="CA2029" s="123"/>
      <c r="CB2029" s="123"/>
      <c r="CC2029" s="123"/>
      <c r="CD2029" s="123"/>
      <c r="CE2029" s="123"/>
      <c r="CF2029" s="123"/>
      <c r="CG2029" s="123"/>
      <c r="CH2029" s="123"/>
      <c r="CI2029" s="300">
        <f t="shared" ref="CI2029:CI2035" si="634">MIN(BN2029:CH2029)</f>
        <v>6</v>
      </c>
      <c r="CJ2029" s="292">
        <f t="shared" ref="CJ2029:CJ2035" si="635">LOG10(CI2029)</f>
        <v>0.77815125038364363</v>
      </c>
      <c r="CK2029" s="120">
        <f>BL2029/BJ2029</f>
        <v>0</v>
      </c>
      <c r="CL2029" s="120" t="s">
        <v>404</v>
      </c>
      <c r="CM2029" s="294"/>
      <c r="CN2029" s="294"/>
      <c r="CO2029" s="286"/>
      <c r="CP2029" s="286" t="s">
        <v>5730</v>
      </c>
      <c r="CQ2029" s="282"/>
      <c r="CR2029" s="282">
        <f t="shared" si="629"/>
        <v>6.0000000000000009</v>
      </c>
      <c r="CS2029" s="123"/>
      <c r="CT2029" s="123"/>
      <c r="CU2029" s="300" t="s">
        <v>6310</v>
      </c>
      <c r="CV2029" s="338" t="s">
        <v>6310</v>
      </c>
      <c r="CW2029" s="339">
        <f t="shared" ref="CW2029:CW2035" si="636">IF(CU2029&lt;2,0,1)</f>
        <v>1</v>
      </c>
      <c r="CX2029" s="339"/>
      <c r="CY2029" s="295" t="s">
        <v>6351</v>
      </c>
    </row>
    <row r="2030" spans="1:103" ht="11.25" customHeight="1" x14ac:dyDescent="0.2">
      <c r="A2030" s="72">
        <v>2028</v>
      </c>
      <c r="B2030" s="282">
        <v>2059</v>
      </c>
      <c r="C2030" s="115" t="s">
        <v>5661</v>
      </c>
      <c r="D2030" s="115"/>
      <c r="E2030" s="116">
        <v>1</v>
      </c>
      <c r="F2030" s="122" t="s">
        <v>5662</v>
      </c>
      <c r="G2030" s="283">
        <v>3251238</v>
      </c>
      <c r="H2030" s="286" t="s">
        <v>5663</v>
      </c>
      <c r="I2030" s="286"/>
      <c r="J2030" s="286" t="s">
        <v>5664</v>
      </c>
      <c r="K2030" s="286"/>
      <c r="L2030" s="286"/>
      <c r="M2030" s="286"/>
      <c r="N2030" s="350"/>
      <c r="O2030" s="286"/>
      <c r="P2030" s="286"/>
      <c r="Q2030" s="286"/>
      <c r="R2030" s="286"/>
      <c r="S2030" s="286"/>
      <c r="T2030" s="123">
        <v>187.56</v>
      </c>
      <c r="U2030" s="300"/>
      <c r="V2030" s="300"/>
      <c r="W2030" s="300"/>
      <c r="X2030" s="300"/>
      <c r="Y2030" s="419"/>
      <c r="Z2030" s="125"/>
      <c r="AA2030" s="125"/>
      <c r="AB2030" s="116"/>
      <c r="AC2030" s="116"/>
      <c r="AD2030" s="116"/>
      <c r="AE2030" s="116"/>
      <c r="AF2030" s="116"/>
      <c r="AG2030" s="125" t="s">
        <v>5921</v>
      </c>
      <c r="AH2030" s="300"/>
      <c r="AI2030" s="300"/>
      <c r="AJ2030" s="125"/>
      <c r="AK2030" s="125"/>
      <c r="AL2030" s="125"/>
      <c r="AM2030" s="125"/>
      <c r="AN2030" s="301"/>
      <c r="AO2030" s="420"/>
      <c r="AP2030" s="420"/>
      <c r="AQ2030" s="301" t="s">
        <v>6311</v>
      </c>
      <c r="AR2030" s="301" t="s">
        <v>6311</v>
      </c>
      <c r="AS2030" s="298" t="s">
        <v>5466</v>
      </c>
      <c r="AT2030" s="124" t="s">
        <v>266</v>
      </c>
      <c r="AU2030" s="123">
        <v>24</v>
      </c>
      <c r="AV2030" s="123">
        <v>120</v>
      </c>
      <c r="AW2030" s="123">
        <v>96</v>
      </c>
      <c r="AX2030" s="123">
        <v>25</v>
      </c>
      <c r="AY2030" s="123" t="s">
        <v>267</v>
      </c>
      <c r="AZ2030" s="123" t="s">
        <v>5665</v>
      </c>
      <c r="BA2030" s="123">
        <v>16</v>
      </c>
      <c r="BB2030" s="286" t="s">
        <v>5666</v>
      </c>
      <c r="BC2030" s="286" t="s">
        <v>1584</v>
      </c>
      <c r="BD2030" s="286"/>
      <c r="BE2030" s="123" t="s">
        <v>5598</v>
      </c>
      <c r="BF2030" s="123"/>
      <c r="BG2030" s="123"/>
      <c r="BH2030" s="123"/>
      <c r="BI2030" s="300"/>
      <c r="BJ2030" s="300"/>
      <c r="BK2030" s="306" t="s">
        <v>5667</v>
      </c>
      <c r="BL2030" s="300"/>
      <c r="BM2030" s="123"/>
      <c r="BN2030" s="123"/>
      <c r="BO2030" s="123"/>
      <c r="BP2030" s="123"/>
      <c r="BQ2030" s="123"/>
      <c r="BR2030" s="123"/>
      <c r="BS2030" s="123"/>
      <c r="BT2030" s="123"/>
      <c r="BU2030" s="293"/>
      <c r="BV2030" s="123"/>
      <c r="BW2030" s="123"/>
      <c r="BX2030" s="123"/>
      <c r="BY2030" s="123"/>
      <c r="BZ2030" s="123"/>
      <c r="CA2030" s="123"/>
      <c r="CB2030" s="123">
        <v>3.7321390000000002E-3</v>
      </c>
      <c r="CC2030" s="123"/>
      <c r="CD2030" s="123"/>
      <c r="CE2030" s="123"/>
      <c r="CF2030" s="123"/>
      <c r="CG2030" s="123"/>
      <c r="CH2030" s="123"/>
      <c r="CI2030" s="300">
        <f t="shared" si="634"/>
        <v>3.7321390000000002E-3</v>
      </c>
      <c r="CJ2030" s="292">
        <f t="shared" si="635"/>
        <v>-2.4280421897356086</v>
      </c>
      <c r="CK2030" s="120" t="s">
        <v>404</v>
      </c>
      <c r="CL2030" s="120" t="s">
        <v>404</v>
      </c>
      <c r="CM2030" s="294"/>
      <c r="CN2030" s="294"/>
      <c r="CO2030" s="351" t="s">
        <v>5494</v>
      </c>
      <c r="CP2030" s="286" t="s">
        <v>5668</v>
      </c>
      <c r="CQ2030" s="282">
        <v>-2.8805457428289318</v>
      </c>
      <c r="CR2030" s="352">
        <f t="shared" si="629"/>
        <v>2.8346768247355132</v>
      </c>
      <c r="CS2030" s="123" t="s">
        <v>539</v>
      </c>
      <c r="CT2030" s="123" t="s">
        <v>6310</v>
      </c>
      <c r="CU2030" s="300" t="s">
        <v>6310</v>
      </c>
      <c r="CV2030" s="338" t="s">
        <v>6310</v>
      </c>
      <c r="CW2030" s="339">
        <f t="shared" si="636"/>
        <v>1</v>
      </c>
      <c r="CX2030" s="339" t="s">
        <v>539</v>
      </c>
      <c r="CY2030" s="295" t="s">
        <v>6351</v>
      </c>
    </row>
    <row r="2031" spans="1:103" ht="11.25" customHeight="1" x14ac:dyDescent="0.2">
      <c r="A2031" s="72">
        <v>2029</v>
      </c>
      <c r="B2031" s="282">
        <v>31</v>
      </c>
      <c r="C2031" s="115" t="s">
        <v>405</v>
      </c>
      <c r="D2031" s="115"/>
      <c r="E2031" s="116">
        <v>1</v>
      </c>
      <c r="F2031" s="116" t="s">
        <v>406</v>
      </c>
      <c r="G2031" s="283">
        <v>10031433</v>
      </c>
      <c r="H2031" s="284" t="s">
        <v>407</v>
      </c>
      <c r="I2031" s="284"/>
      <c r="J2031" s="284" t="s">
        <v>408</v>
      </c>
      <c r="K2031" s="284"/>
      <c r="L2031" s="285"/>
      <c r="M2031" s="284"/>
      <c r="N2031" s="350"/>
      <c r="O2031" s="284"/>
      <c r="P2031" s="286"/>
      <c r="Q2031" s="286"/>
      <c r="R2031" s="286"/>
      <c r="S2031" s="286"/>
      <c r="T2031" s="116">
        <v>241.6</v>
      </c>
      <c r="U2031" s="287"/>
      <c r="V2031" s="287"/>
      <c r="W2031" s="287"/>
      <c r="X2031" s="287"/>
      <c r="Y2031" s="420"/>
      <c r="Z2031" s="116"/>
      <c r="AA2031" s="116"/>
      <c r="AB2031" s="116"/>
      <c r="AC2031" s="116"/>
      <c r="AD2031" s="116"/>
      <c r="AE2031" s="116"/>
      <c r="AF2031" s="116"/>
      <c r="AG2031" s="117" t="s">
        <v>404</v>
      </c>
      <c r="AH2031" s="292"/>
      <c r="AI2031" s="287"/>
      <c r="AJ2031" s="125"/>
      <c r="AK2031" s="125"/>
      <c r="AL2031" s="125"/>
      <c r="AM2031" s="125"/>
      <c r="AN2031" s="288"/>
      <c r="AO2031" s="420"/>
      <c r="AP2031" s="420"/>
      <c r="AQ2031" s="288" t="s">
        <v>6311</v>
      </c>
      <c r="AR2031" s="288" t="s">
        <v>6311</v>
      </c>
      <c r="AS2031" s="282" t="s">
        <v>289</v>
      </c>
      <c r="AT2031" s="118" t="s">
        <v>266</v>
      </c>
      <c r="AU2031" s="289">
        <v>24</v>
      </c>
      <c r="AV2031" s="289">
        <v>120</v>
      </c>
      <c r="AW2031" s="289">
        <v>96</v>
      </c>
      <c r="AX2031" s="289">
        <v>28</v>
      </c>
      <c r="AY2031" s="289" t="s">
        <v>267</v>
      </c>
      <c r="AZ2031" s="289" t="s">
        <v>268</v>
      </c>
      <c r="BA2031" s="289">
        <v>48</v>
      </c>
      <c r="BB2031" s="284" t="s">
        <v>269</v>
      </c>
      <c r="BC2031" s="290" t="s">
        <v>270</v>
      </c>
      <c r="BD2031" s="290" t="s">
        <v>8374</v>
      </c>
      <c r="BE2031" s="289" t="s">
        <v>271</v>
      </c>
      <c r="BF2031" s="289" t="s">
        <v>272</v>
      </c>
      <c r="BG2031" s="289" t="s">
        <v>272</v>
      </c>
      <c r="BH2031" s="289" t="s">
        <v>272</v>
      </c>
      <c r="BI2031" s="291">
        <v>4.1390728476821195E-3</v>
      </c>
      <c r="BJ2031" s="291">
        <v>4.1390728476821197</v>
      </c>
      <c r="BK2031" s="119"/>
      <c r="BL2031" s="292"/>
      <c r="BM2031" s="119">
        <v>0</v>
      </c>
      <c r="BN2031" s="119"/>
      <c r="BO2031" s="119"/>
      <c r="BP2031" s="119"/>
      <c r="BQ2031" s="119"/>
      <c r="BR2031" s="119"/>
      <c r="BS2031" s="119"/>
      <c r="BT2031" s="119"/>
      <c r="BU2031" s="293"/>
      <c r="BV2031" s="119"/>
      <c r="BW2031" s="119"/>
      <c r="BX2031" s="119"/>
      <c r="BY2031" s="119">
        <v>0.3</v>
      </c>
      <c r="BZ2031" s="119">
        <v>0.3</v>
      </c>
      <c r="CA2031" s="119">
        <v>0.28000000000000003</v>
      </c>
      <c r="CB2031" s="119">
        <v>0.24</v>
      </c>
      <c r="CC2031" s="119"/>
      <c r="CD2031" s="119"/>
      <c r="CE2031" s="119"/>
      <c r="CF2031" s="119"/>
      <c r="CG2031" s="119"/>
      <c r="CH2031" s="119"/>
      <c r="CI2031" s="292">
        <f t="shared" si="634"/>
        <v>0.24</v>
      </c>
      <c r="CJ2031" s="292">
        <f t="shared" si="635"/>
        <v>-0.61978875828839397</v>
      </c>
      <c r="CK2031" s="120">
        <f>BL2031/BJ2031</f>
        <v>0</v>
      </c>
      <c r="CL2031" s="120" t="s">
        <v>404</v>
      </c>
      <c r="CM2031" s="294"/>
      <c r="CN2031" s="294"/>
      <c r="CO2031" s="284" t="s">
        <v>273</v>
      </c>
      <c r="CP2031" s="290" t="s">
        <v>274</v>
      </c>
      <c r="CQ2031" s="282"/>
      <c r="CR2031" s="352">
        <f t="shared" si="629"/>
        <v>0.24</v>
      </c>
      <c r="CS2031" s="123" t="s">
        <v>539</v>
      </c>
      <c r="CT2031" s="123"/>
      <c r="CU2031" s="300" t="s">
        <v>6310</v>
      </c>
      <c r="CV2031" s="338" t="s">
        <v>6310</v>
      </c>
      <c r="CW2031" s="339">
        <f t="shared" si="636"/>
        <v>1</v>
      </c>
      <c r="CX2031" s="339"/>
      <c r="CY2031" s="295" t="s">
        <v>5921</v>
      </c>
    </row>
    <row r="2032" spans="1:103" ht="11.25" customHeight="1" x14ac:dyDescent="0.2">
      <c r="A2032" s="72">
        <v>2030</v>
      </c>
      <c r="B2032" s="282">
        <v>2009</v>
      </c>
      <c r="C2032" s="115" t="s">
        <v>5572</v>
      </c>
      <c r="D2032" s="115"/>
      <c r="E2032" s="116">
        <v>1</v>
      </c>
      <c r="F2032" s="122" t="s">
        <v>5573</v>
      </c>
      <c r="G2032" s="283">
        <v>10025691</v>
      </c>
      <c r="H2032" s="286" t="s">
        <v>5574</v>
      </c>
      <c r="I2032" s="286"/>
      <c r="J2032" s="286" t="s">
        <v>5575</v>
      </c>
      <c r="K2032" s="286" t="s">
        <v>403</v>
      </c>
      <c r="L2032" s="286"/>
      <c r="M2032" s="286"/>
      <c r="N2032" s="350"/>
      <c r="O2032" s="286"/>
      <c r="P2032" s="286"/>
      <c r="Q2032" s="286"/>
      <c r="R2032" s="286"/>
      <c r="S2032" s="286"/>
      <c r="T2032" s="123">
        <v>225.63</v>
      </c>
      <c r="U2032" s="300"/>
      <c r="V2032" s="300"/>
      <c r="W2032" s="300"/>
      <c r="X2032" s="300"/>
      <c r="Y2032" s="419"/>
      <c r="Z2032" s="125"/>
      <c r="AA2032" s="125"/>
      <c r="AB2032" s="116"/>
      <c r="AC2032" s="116"/>
      <c r="AD2032" s="116"/>
      <c r="AE2032" s="116"/>
      <c r="AF2032" s="116"/>
      <c r="AG2032" s="125" t="s">
        <v>5921</v>
      </c>
      <c r="AH2032" s="300"/>
      <c r="AI2032" s="300"/>
      <c r="AJ2032" s="125"/>
      <c r="AK2032" s="125"/>
      <c r="AL2032" s="125"/>
      <c r="AM2032" s="125"/>
      <c r="AN2032" s="301"/>
      <c r="AO2032" s="420"/>
      <c r="AP2032" s="420"/>
      <c r="AQ2032" s="301" t="s">
        <v>6311</v>
      </c>
      <c r="AR2032" s="301" t="s">
        <v>6311</v>
      </c>
      <c r="AS2032" s="298" t="s">
        <v>5466</v>
      </c>
      <c r="AT2032" s="124" t="s">
        <v>266</v>
      </c>
      <c r="AU2032" s="123">
        <v>6</v>
      </c>
      <c r="AV2032" s="119" t="s">
        <v>646</v>
      </c>
      <c r="AW2032" s="119" t="s">
        <v>646</v>
      </c>
      <c r="AX2032" s="123">
        <v>26</v>
      </c>
      <c r="AY2032" s="123" t="s">
        <v>267</v>
      </c>
      <c r="AZ2032" s="123" t="s">
        <v>6201</v>
      </c>
      <c r="BA2032" s="123">
        <v>16</v>
      </c>
      <c r="BB2032" s="286" t="s">
        <v>6202</v>
      </c>
      <c r="BC2032" s="286" t="s">
        <v>8393</v>
      </c>
      <c r="BD2032" s="286"/>
      <c r="BE2032" s="123" t="s">
        <v>6210</v>
      </c>
      <c r="BF2032" s="123" t="s">
        <v>6203</v>
      </c>
      <c r="BG2032" s="123" t="s">
        <v>6203</v>
      </c>
      <c r="BH2032" s="123" t="s">
        <v>6204</v>
      </c>
      <c r="BI2032" s="300">
        <v>0.01</v>
      </c>
      <c r="BJ2032" s="300">
        <v>0.25</v>
      </c>
      <c r="BK2032" s="306"/>
      <c r="BL2032" s="300"/>
      <c r="BM2032" s="123">
        <v>0</v>
      </c>
      <c r="BN2032" s="123">
        <v>0.05</v>
      </c>
      <c r="BO2032" s="123"/>
      <c r="BP2032" s="123">
        <v>3.0599999999999999E-2</v>
      </c>
      <c r="BQ2032" s="123"/>
      <c r="BR2032" s="123">
        <v>2.2800000000000001E-2</v>
      </c>
      <c r="BS2032" s="123"/>
      <c r="BT2032" s="123"/>
      <c r="BU2032" s="293"/>
      <c r="BV2032" s="123"/>
      <c r="BW2032" s="123"/>
      <c r="BX2032" s="123"/>
      <c r="BY2032" s="123"/>
      <c r="BZ2032" s="123"/>
      <c r="CA2032" s="123"/>
      <c r="CB2032" s="123"/>
      <c r="CC2032" s="123"/>
      <c r="CD2032" s="123"/>
      <c r="CE2032" s="123"/>
      <c r="CF2032" s="123"/>
      <c r="CG2032" s="123"/>
      <c r="CH2032" s="123"/>
      <c r="CI2032" s="300">
        <f t="shared" si="634"/>
        <v>2.2800000000000001E-2</v>
      </c>
      <c r="CJ2032" s="292">
        <f t="shared" si="635"/>
        <v>-1.6420651529995463</v>
      </c>
      <c r="CK2032" s="479">
        <f>BL2032/BJ2032</f>
        <v>0</v>
      </c>
      <c r="CL2032" s="120" t="s">
        <v>404</v>
      </c>
      <c r="CM2032" s="294"/>
      <c r="CN2032" s="294"/>
      <c r="CO2032" s="286" t="s">
        <v>6205</v>
      </c>
      <c r="CP2032" s="286" t="s">
        <v>8391</v>
      </c>
      <c r="CQ2032" s="282"/>
      <c r="CR2032" s="352">
        <f t="shared" si="629"/>
        <v>2.2799999999999987E-2</v>
      </c>
      <c r="CS2032" s="123" t="s">
        <v>539</v>
      </c>
      <c r="CT2032" s="123"/>
      <c r="CU2032" s="300" t="s">
        <v>6310</v>
      </c>
      <c r="CV2032" s="338" t="s">
        <v>6310</v>
      </c>
      <c r="CW2032" s="339">
        <f t="shared" si="636"/>
        <v>1</v>
      </c>
      <c r="CX2032" s="339" t="s">
        <v>539</v>
      </c>
      <c r="CY2032" s="295" t="s">
        <v>5921</v>
      </c>
    </row>
    <row r="2033" spans="1:103" ht="11.25" customHeight="1" x14ac:dyDescent="0.2">
      <c r="A2033" s="72">
        <v>2031</v>
      </c>
      <c r="B2033" s="282">
        <v>1179</v>
      </c>
      <c r="C2033" s="115" t="s">
        <v>3253</v>
      </c>
      <c r="D2033" s="115"/>
      <c r="E2033" s="116">
        <v>1</v>
      </c>
      <c r="F2033" s="116" t="s">
        <v>2331</v>
      </c>
      <c r="G2033" s="283">
        <v>7487947</v>
      </c>
      <c r="H2033" s="284" t="s">
        <v>2332</v>
      </c>
      <c r="I2033" s="284"/>
      <c r="J2033" s="284"/>
      <c r="K2033" s="284" t="s">
        <v>403</v>
      </c>
      <c r="L2033" s="284"/>
      <c r="M2033" s="284"/>
      <c r="N2033" s="350"/>
      <c r="O2033" s="284"/>
      <c r="P2033" s="286"/>
      <c r="Q2033" s="286"/>
      <c r="R2033" s="286"/>
      <c r="S2033" s="286"/>
      <c r="T2033" s="119">
        <v>271.5</v>
      </c>
      <c r="U2033" s="292"/>
      <c r="V2033" s="292"/>
      <c r="W2033" s="292"/>
      <c r="X2033" s="292"/>
      <c r="Y2033" s="370"/>
      <c r="Z2033" s="119"/>
      <c r="AA2033" s="119"/>
      <c r="AB2033" s="116"/>
      <c r="AC2033" s="116"/>
      <c r="AD2033" s="116"/>
      <c r="AE2033" s="116"/>
      <c r="AF2033" s="116"/>
      <c r="AG2033" s="120" t="s">
        <v>5921</v>
      </c>
      <c r="AH2033" s="292"/>
      <c r="AI2033" s="292"/>
      <c r="AJ2033" s="125"/>
      <c r="AK2033" s="125"/>
      <c r="AL2033" s="125"/>
      <c r="AM2033" s="125"/>
      <c r="AN2033" s="297"/>
      <c r="AO2033" s="420"/>
      <c r="AP2033" s="420"/>
      <c r="AQ2033" s="119" t="s">
        <v>6311</v>
      </c>
      <c r="AR2033" s="119" t="s">
        <v>6311</v>
      </c>
      <c r="AS2033" s="289"/>
      <c r="AT2033" s="118" t="s">
        <v>266</v>
      </c>
      <c r="AU2033" s="119">
        <v>6</v>
      </c>
      <c r="AV2033" s="119">
        <v>120</v>
      </c>
      <c r="AW2033" s="119">
        <v>114</v>
      </c>
      <c r="AX2033" s="119">
        <v>28</v>
      </c>
      <c r="AY2033" s="119" t="s">
        <v>8728</v>
      </c>
      <c r="AZ2033" s="119" t="s">
        <v>1563</v>
      </c>
      <c r="BA2033" s="119">
        <v>32</v>
      </c>
      <c r="BB2033" s="284" t="s">
        <v>2485</v>
      </c>
      <c r="BC2033" s="284" t="s">
        <v>8726</v>
      </c>
      <c r="BD2033" s="284" t="s">
        <v>8374</v>
      </c>
      <c r="BE2033" s="119" t="s">
        <v>2449</v>
      </c>
      <c r="BF2033" s="119" t="s">
        <v>272</v>
      </c>
      <c r="BG2033" s="119" t="s">
        <v>272</v>
      </c>
      <c r="BH2033" s="119" t="s">
        <v>2486</v>
      </c>
      <c r="BI2033" s="292">
        <v>6.3999999999999997E-6</v>
      </c>
      <c r="BJ2033" s="292">
        <v>6.4000000000000001E-2</v>
      </c>
      <c r="BK2033" s="119"/>
      <c r="BL2033" s="292"/>
      <c r="BM2033" s="119" t="s">
        <v>2487</v>
      </c>
      <c r="BN2033" s="119"/>
      <c r="BO2033" s="119"/>
      <c r="BP2033" s="119"/>
      <c r="BQ2033" s="119"/>
      <c r="BR2033" s="284">
        <v>2.0238579999999999E-3</v>
      </c>
      <c r="BS2033" s="119"/>
      <c r="BT2033" s="119"/>
      <c r="BU2033" s="293"/>
      <c r="BV2033" s="119"/>
      <c r="BW2033" s="119"/>
      <c r="BX2033" s="119"/>
      <c r="BY2033" s="119"/>
      <c r="BZ2033" s="119"/>
      <c r="CA2033" s="119"/>
      <c r="CB2033" s="119"/>
      <c r="CC2033" s="119"/>
      <c r="CD2033" s="119"/>
      <c r="CE2033" s="119"/>
      <c r="CF2033" s="119"/>
      <c r="CG2033" s="119"/>
      <c r="CH2033" s="119"/>
      <c r="CI2033" s="292">
        <f t="shared" si="634"/>
        <v>2.0238579999999999E-3</v>
      </c>
      <c r="CJ2033" s="292">
        <f t="shared" si="635"/>
        <v>-2.6938199621780141</v>
      </c>
      <c r="CK2033" s="120">
        <f>BL2033/BJ2033</f>
        <v>0</v>
      </c>
      <c r="CL2033" s="120" t="s">
        <v>404</v>
      </c>
      <c r="CM2033" s="294"/>
      <c r="CN2033" s="294"/>
      <c r="CO2033" s="284" t="s">
        <v>2488</v>
      </c>
      <c r="CP2033" s="284" t="s">
        <v>2489</v>
      </c>
      <c r="CQ2033" s="282">
        <v>-3.5652629927790427</v>
      </c>
      <c r="CR2033" s="352">
        <f t="shared" si="629"/>
        <v>7.43777490090927</v>
      </c>
      <c r="CS2033" s="123" t="s">
        <v>539</v>
      </c>
      <c r="CT2033" s="123"/>
      <c r="CU2033" s="300" t="s">
        <v>6310</v>
      </c>
      <c r="CV2033" s="338" t="s">
        <v>6310</v>
      </c>
      <c r="CW2033" s="339">
        <f t="shared" si="636"/>
        <v>1</v>
      </c>
      <c r="CX2033" s="339"/>
      <c r="CY2033" s="295" t="s">
        <v>5921</v>
      </c>
    </row>
    <row r="2034" spans="1:103" ht="11.25" customHeight="1" x14ac:dyDescent="0.2">
      <c r="A2034" s="72">
        <v>2032</v>
      </c>
      <c r="B2034" s="282">
        <v>53</v>
      </c>
      <c r="C2034" s="115" t="s">
        <v>499</v>
      </c>
      <c r="D2034" s="115"/>
      <c r="E2034" s="116">
        <v>1</v>
      </c>
      <c r="F2034" s="116" t="s">
        <v>500</v>
      </c>
      <c r="G2034" s="283">
        <v>26628228</v>
      </c>
      <c r="H2034" s="284" t="s">
        <v>501</v>
      </c>
      <c r="I2034" s="284"/>
      <c r="J2034" s="284" t="s">
        <v>502</v>
      </c>
      <c r="K2034" s="284" t="s">
        <v>416</v>
      </c>
      <c r="L2034" s="285"/>
      <c r="M2034" s="284"/>
      <c r="N2034" s="350"/>
      <c r="O2034" s="284"/>
      <c r="P2034" s="286">
        <v>3</v>
      </c>
      <c r="Q2034" s="286" t="s">
        <v>6173</v>
      </c>
      <c r="R2034" s="286">
        <v>1</v>
      </c>
      <c r="S2034" s="286" t="s">
        <v>6173</v>
      </c>
      <c r="T2034" s="116">
        <v>65.010000000000005</v>
      </c>
      <c r="U2034" s="287"/>
      <c r="V2034" s="287"/>
      <c r="W2034" s="287"/>
      <c r="X2034" s="287"/>
      <c r="Y2034" s="420"/>
      <c r="Z2034" s="116"/>
      <c r="AA2034" s="116"/>
      <c r="AB2034" s="116"/>
      <c r="AC2034" s="116"/>
      <c r="AD2034" s="116"/>
      <c r="AE2034" s="116"/>
      <c r="AF2034" s="116"/>
      <c r="AG2034" s="117" t="s">
        <v>404</v>
      </c>
      <c r="AH2034" s="292">
        <v>8.0799999999999999E-5</v>
      </c>
      <c r="AI2034" s="287"/>
      <c r="AJ2034" s="125">
        <f>LOG10(AH2034*1000/(0.08206*298.15))</f>
        <v>-2.4811549655380656</v>
      </c>
      <c r="AK2034" s="125"/>
      <c r="AL2034" s="125">
        <f>IF(AK2034=0,AJ2034,AK2034)</f>
        <v>-2.4811549655380656</v>
      </c>
      <c r="AM2034" s="125"/>
      <c r="AN2034" s="288"/>
      <c r="AO2034" s="420"/>
      <c r="AP2034" s="420"/>
      <c r="AQ2034" s="288" t="s">
        <v>6311</v>
      </c>
      <c r="AR2034" s="288" t="s">
        <v>6311</v>
      </c>
      <c r="AS2034" s="282" t="s">
        <v>503</v>
      </c>
      <c r="AT2034" s="118" t="s">
        <v>266</v>
      </c>
      <c r="AU2034" s="289">
        <v>24</v>
      </c>
      <c r="AV2034" s="289">
        <v>120</v>
      </c>
      <c r="AW2034" s="289">
        <v>96</v>
      </c>
      <c r="AX2034" s="289">
        <v>28</v>
      </c>
      <c r="AY2034" s="289" t="s">
        <v>267</v>
      </c>
      <c r="AZ2034" s="289" t="s">
        <v>268</v>
      </c>
      <c r="BA2034" s="289">
        <v>48</v>
      </c>
      <c r="BB2034" s="284" t="s">
        <v>269</v>
      </c>
      <c r="BC2034" s="290" t="s">
        <v>270</v>
      </c>
      <c r="BD2034" s="290" t="s">
        <v>8374</v>
      </c>
      <c r="BE2034" s="289" t="s">
        <v>271</v>
      </c>
      <c r="BF2034" s="289" t="s">
        <v>272</v>
      </c>
      <c r="BG2034" s="289" t="s">
        <v>272</v>
      </c>
      <c r="BH2034" s="289" t="s">
        <v>272</v>
      </c>
      <c r="BI2034" s="291">
        <v>1.5382248884786955E-2</v>
      </c>
      <c r="BJ2034" s="291">
        <v>15.382248884786955</v>
      </c>
      <c r="BK2034" s="119"/>
      <c r="BL2034" s="292"/>
      <c r="BM2034" s="119">
        <v>0</v>
      </c>
      <c r="BN2034" s="119"/>
      <c r="BO2034" s="119"/>
      <c r="BP2034" s="119"/>
      <c r="BQ2034" s="119"/>
      <c r="BR2034" s="119"/>
      <c r="BS2034" s="119"/>
      <c r="BT2034" s="119"/>
      <c r="BU2034" s="293"/>
      <c r="BV2034" s="119"/>
      <c r="BW2034" s="119"/>
      <c r="BX2034" s="119"/>
      <c r="BY2034" s="119">
        <v>0.03</v>
      </c>
      <c r="BZ2034" s="119">
        <v>0.08</v>
      </c>
      <c r="CA2034" s="119">
        <v>0.06</v>
      </c>
      <c r="CB2034" s="119">
        <v>0.02</v>
      </c>
      <c r="CC2034" s="119"/>
      <c r="CD2034" s="119"/>
      <c r="CE2034" s="119"/>
      <c r="CF2034" s="119"/>
      <c r="CG2034" s="119"/>
      <c r="CH2034" s="119"/>
      <c r="CI2034" s="292">
        <f t="shared" si="634"/>
        <v>0.02</v>
      </c>
      <c r="CJ2034" s="292">
        <f t="shared" si="635"/>
        <v>-1.6989700043360187</v>
      </c>
      <c r="CK2034" s="120">
        <f>BL2034/BJ2034</f>
        <v>0</v>
      </c>
      <c r="CL2034" s="120" t="s">
        <v>404</v>
      </c>
      <c r="CM2034" s="294"/>
      <c r="CN2034" s="294"/>
      <c r="CO2034" s="284" t="s">
        <v>273</v>
      </c>
      <c r="CP2034" s="290" t="s">
        <v>274</v>
      </c>
      <c r="CQ2034" s="282"/>
      <c r="CR2034" s="352">
        <f t="shared" si="629"/>
        <v>1.9999999999999993E-2</v>
      </c>
      <c r="CS2034" s="123" t="s">
        <v>539</v>
      </c>
      <c r="CT2034" s="123"/>
      <c r="CU2034" s="300" t="s">
        <v>6310</v>
      </c>
      <c r="CV2034" s="338" t="s">
        <v>6310</v>
      </c>
      <c r="CW2034" s="339">
        <f t="shared" si="636"/>
        <v>1</v>
      </c>
      <c r="CX2034" s="339"/>
      <c r="CY2034" s="295" t="s">
        <v>6351</v>
      </c>
    </row>
    <row r="2035" spans="1:103" ht="11.25" customHeight="1" x14ac:dyDescent="0.2">
      <c r="A2035" s="72">
        <v>2033</v>
      </c>
      <c r="B2035" s="282">
        <v>606</v>
      </c>
      <c r="C2035" s="115" t="s">
        <v>1799</v>
      </c>
      <c r="D2035" s="115"/>
      <c r="E2035" s="116">
        <v>1</v>
      </c>
      <c r="F2035" s="116" t="s">
        <v>1800</v>
      </c>
      <c r="G2035" s="283">
        <v>7446200</v>
      </c>
      <c r="H2035" s="284" t="s">
        <v>1801</v>
      </c>
      <c r="I2035" s="284"/>
      <c r="J2035" s="284"/>
      <c r="K2035" s="284" t="s">
        <v>403</v>
      </c>
      <c r="L2035" s="284"/>
      <c r="M2035" s="284"/>
      <c r="N2035" s="350"/>
      <c r="O2035" s="284"/>
      <c r="P2035" s="286"/>
      <c r="Q2035" s="286"/>
      <c r="R2035" s="286"/>
      <c r="S2035" s="286"/>
      <c r="T2035" s="119">
        <v>65.39</v>
      </c>
      <c r="U2035" s="292"/>
      <c r="V2035" s="292"/>
      <c r="W2035" s="292"/>
      <c r="X2035" s="292"/>
      <c r="Y2035" s="370"/>
      <c r="Z2035" s="119"/>
      <c r="AA2035" s="119"/>
      <c r="AB2035" s="116"/>
      <c r="AC2035" s="116"/>
      <c r="AD2035" s="116"/>
      <c r="AE2035" s="116"/>
      <c r="AF2035" s="116"/>
      <c r="AG2035" s="120" t="s">
        <v>5921</v>
      </c>
      <c r="AH2035" s="292"/>
      <c r="AI2035" s="287"/>
      <c r="AJ2035" s="125"/>
      <c r="AK2035" s="125"/>
      <c r="AL2035" s="125"/>
      <c r="AM2035" s="125"/>
      <c r="AN2035" s="288"/>
      <c r="AO2035" s="420"/>
      <c r="AP2035" s="420"/>
      <c r="AQ2035" s="297" t="s">
        <v>6311</v>
      </c>
      <c r="AR2035" s="297" t="s">
        <v>6311</v>
      </c>
      <c r="AS2035" s="282" t="s">
        <v>6</v>
      </c>
      <c r="AT2035" s="118" t="s">
        <v>266</v>
      </c>
      <c r="AU2035" s="119">
        <v>2</v>
      </c>
      <c r="AV2035" s="119">
        <v>120</v>
      </c>
      <c r="AW2035" s="119">
        <v>120</v>
      </c>
      <c r="AX2035" s="119">
        <v>25</v>
      </c>
      <c r="AY2035" s="119" t="s">
        <v>1780</v>
      </c>
      <c r="AZ2035" s="119" t="s">
        <v>536</v>
      </c>
      <c r="BA2035" s="119" t="s">
        <v>8722</v>
      </c>
      <c r="BB2035" s="284" t="s">
        <v>1764</v>
      </c>
      <c r="BC2035" s="284" t="s">
        <v>1802</v>
      </c>
      <c r="BD2035" s="284"/>
      <c r="BE2035" s="119" t="s">
        <v>889</v>
      </c>
      <c r="BF2035" s="119" t="s">
        <v>650</v>
      </c>
      <c r="BG2035" s="119">
        <v>7.2</v>
      </c>
      <c r="BH2035" s="119" t="s">
        <v>272</v>
      </c>
      <c r="BI2035" s="292" t="s">
        <v>8722</v>
      </c>
      <c r="BJ2035" s="292" t="s">
        <v>8722</v>
      </c>
      <c r="BK2035" s="119"/>
      <c r="BL2035" s="292"/>
      <c r="BM2035" s="119" t="s">
        <v>1584</v>
      </c>
      <c r="BN2035" s="119"/>
      <c r="BO2035" s="119"/>
      <c r="BP2035" s="119"/>
      <c r="BQ2035" s="119"/>
      <c r="BR2035" s="119">
        <v>0.28597644899831798</v>
      </c>
      <c r="BS2035" s="119"/>
      <c r="BT2035" s="119"/>
      <c r="BU2035" s="293"/>
      <c r="BV2035" s="119"/>
      <c r="BW2035" s="119"/>
      <c r="BX2035" s="119"/>
      <c r="BY2035" s="119"/>
      <c r="BZ2035" s="119"/>
      <c r="CA2035" s="119"/>
      <c r="CB2035" s="119"/>
      <c r="CC2035" s="119"/>
      <c r="CD2035" s="119"/>
      <c r="CE2035" s="119"/>
      <c r="CF2035" s="119"/>
      <c r="CG2035" s="119"/>
      <c r="CH2035" s="119"/>
      <c r="CI2035" s="292">
        <f t="shared" si="634"/>
        <v>0.28597644899831798</v>
      </c>
      <c r="CJ2035" s="292">
        <f t="shared" si="635"/>
        <v>-0.54366973082626491</v>
      </c>
      <c r="CK2035" s="120" t="s">
        <v>404</v>
      </c>
      <c r="CL2035" s="120" t="s">
        <v>404</v>
      </c>
      <c r="CM2035" s="294"/>
      <c r="CN2035" s="294"/>
      <c r="CO2035" s="284"/>
      <c r="CP2035" s="284" t="s">
        <v>1803</v>
      </c>
      <c r="CQ2035" s="282">
        <v>-2.8026741126575918</v>
      </c>
      <c r="CR2035" s="352">
        <f t="shared" si="629"/>
        <v>181.5533980582527</v>
      </c>
      <c r="CS2035" s="123" t="s">
        <v>539</v>
      </c>
      <c r="CT2035" s="123"/>
      <c r="CU2035" s="300" t="s">
        <v>6310</v>
      </c>
      <c r="CV2035" s="338" t="s">
        <v>6310</v>
      </c>
      <c r="CW2035" s="339">
        <f t="shared" si="636"/>
        <v>1</v>
      </c>
      <c r="CX2035" s="339" t="s">
        <v>539</v>
      </c>
      <c r="CY2035" s="295" t="s">
        <v>5921</v>
      </c>
    </row>
    <row r="2036" spans="1:103" ht="11.25" customHeight="1" x14ac:dyDescent="0.2">
      <c r="A2036" s="72">
        <v>2034</v>
      </c>
      <c r="B2036" s="282">
        <v>235</v>
      </c>
      <c r="C2036" s="115" t="s">
        <v>3737</v>
      </c>
      <c r="D2036" s="115"/>
      <c r="E2036" s="116">
        <v>1</v>
      </c>
      <c r="F2036" s="116" t="s">
        <v>3738</v>
      </c>
      <c r="G2036" s="283">
        <v>10043353</v>
      </c>
      <c r="H2036" s="284" t="s">
        <v>3739</v>
      </c>
      <c r="I2036" s="284"/>
      <c r="J2036" s="284" t="s">
        <v>3740</v>
      </c>
      <c r="K2036" s="284" t="s">
        <v>3741</v>
      </c>
      <c r="L2036" s="284"/>
      <c r="M2036" s="284"/>
      <c r="N2036" s="284"/>
      <c r="O2036" s="284"/>
      <c r="P2036" s="286"/>
      <c r="Q2036" s="286"/>
      <c r="R2036" s="286"/>
      <c r="S2036" s="286"/>
      <c r="T2036" s="119">
        <v>61.83</v>
      </c>
      <c r="U2036" s="292"/>
      <c r="V2036" s="292"/>
      <c r="W2036" s="292"/>
      <c r="X2036" s="292"/>
      <c r="Y2036" s="370"/>
      <c r="Z2036" s="119"/>
      <c r="AA2036" s="119"/>
      <c r="AB2036" s="116"/>
      <c r="AC2036" s="116"/>
      <c r="AD2036" s="116"/>
      <c r="AE2036" s="116"/>
      <c r="AF2036" s="116"/>
      <c r="AG2036" s="120" t="s">
        <v>404</v>
      </c>
      <c r="AH2036" s="292"/>
      <c r="AI2036" s="292"/>
      <c r="AJ2036" s="125"/>
      <c r="AK2036" s="125"/>
      <c r="AL2036" s="125"/>
      <c r="AM2036" s="125"/>
      <c r="AN2036" s="297"/>
      <c r="AO2036" s="420"/>
      <c r="AP2036" s="420"/>
      <c r="AQ2036" s="297" t="s">
        <v>6311</v>
      </c>
      <c r="AR2036" s="297" t="s">
        <v>6311</v>
      </c>
      <c r="AS2036" s="282" t="s">
        <v>6</v>
      </c>
      <c r="AT2036" s="118" t="s">
        <v>266</v>
      </c>
      <c r="AU2036" s="119">
        <v>8</v>
      </c>
      <c r="AV2036" s="119">
        <v>144</v>
      </c>
      <c r="AW2036" s="119">
        <v>120</v>
      </c>
      <c r="AX2036" s="119">
        <v>26</v>
      </c>
      <c r="AY2036" s="119" t="s">
        <v>267</v>
      </c>
      <c r="AZ2036" s="119" t="s">
        <v>2253</v>
      </c>
      <c r="BA2036" s="119">
        <v>3</v>
      </c>
      <c r="BB2036" s="284" t="s">
        <v>2254</v>
      </c>
      <c r="BC2036" s="284" t="s">
        <v>270</v>
      </c>
      <c r="BD2036" s="284" t="s">
        <v>8374</v>
      </c>
      <c r="BE2036" s="119" t="s">
        <v>1712</v>
      </c>
      <c r="BF2036" s="119" t="s">
        <v>272</v>
      </c>
      <c r="BG2036" s="119" t="s">
        <v>272</v>
      </c>
      <c r="BH2036" s="119" t="s">
        <v>2255</v>
      </c>
      <c r="BI2036" s="292">
        <v>9.9999999999999995E-7</v>
      </c>
      <c r="BJ2036" s="292">
        <v>0.08</v>
      </c>
      <c r="BK2036" s="119"/>
      <c r="BL2036" s="292"/>
      <c r="BM2036" s="119" t="s">
        <v>891</v>
      </c>
      <c r="BN2036" s="370"/>
      <c r="BO2036" s="370"/>
      <c r="BP2036" s="370"/>
      <c r="BQ2036" s="370"/>
      <c r="BR2036" s="370"/>
      <c r="BS2036" s="119"/>
      <c r="BT2036" s="370"/>
      <c r="BU2036" s="293"/>
      <c r="BV2036" s="370"/>
      <c r="BW2036" s="370"/>
      <c r="BX2036" s="370"/>
      <c r="BY2036" s="370"/>
      <c r="BZ2036" s="370"/>
      <c r="CA2036" s="370"/>
      <c r="CB2036" s="370"/>
      <c r="CC2036" s="119"/>
      <c r="CD2036" s="119"/>
      <c r="CE2036" s="119"/>
      <c r="CF2036" s="119"/>
      <c r="CG2036" s="370"/>
      <c r="CH2036" s="119"/>
      <c r="CI2036" s="292"/>
      <c r="CJ2036" s="292"/>
      <c r="CK2036" s="120">
        <f>BL2036/BJ2036</f>
        <v>0</v>
      </c>
      <c r="CL2036" s="120" t="s">
        <v>404</v>
      </c>
      <c r="CM2036" s="294"/>
      <c r="CN2036" s="294"/>
      <c r="CO2036" s="284" t="s">
        <v>892</v>
      </c>
      <c r="CP2036" s="284" t="s">
        <v>893</v>
      </c>
      <c r="CQ2036" s="282"/>
      <c r="CR2036" s="282">
        <f t="shared" si="629"/>
        <v>1</v>
      </c>
      <c r="CS2036" s="123" t="s">
        <v>539</v>
      </c>
      <c r="CT2036" s="123"/>
      <c r="CU2036" s="123" t="s">
        <v>6310</v>
      </c>
      <c r="CV2036" s="338" t="s">
        <v>6310</v>
      </c>
      <c r="CW2036" s="123">
        <f>IF(CV2036&lt;1,0,1)</f>
        <v>1</v>
      </c>
      <c r="CX2036" s="339" t="s">
        <v>539</v>
      </c>
      <c r="CY2036" s="123" t="s">
        <v>6351</v>
      </c>
    </row>
    <row r="2037" spans="1:103" ht="11.25" customHeight="1" x14ac:dyDescent="0.2">
      <c r="A2037" s="72">
        <v>2035</v>
      </c>
      <c r="B2037" s="282">
        <v>1531</v>
      </c>
      <c r="C2037" s="115" t="s">
        <v>3737</v>
      </c>
      <c r="D2037" s="115"/>
      <c r="E2037" s="116">
        <v>1</v>
      </c>
      <c r="F2037" s="116" t="s">
        <v>3738</v>
      </c>
      <c r="G2037" s="283">
        <v>10043353</v>
      </c>
      <c r="H2037" s="284" t="s">
        <v>3739</v>
      </c>
      <c r="I2037" s="284"/>
      <c r="J2037" s="284"/>
      <c r="K2037" s="284" t="s">
        <v>3741</v>
      </c>
      <c r="L2037" s="284"/>
      <c r="M2037" s="284"/>
      <c r="N2037" s="284"/>
      <c r="O2037" s="284"/>
      <c r="P2037" s="286"/>
      <c r="Q2037" s="286"/>
      <c r="R2037" s="286"/>
      <c r="S2037" s="286"/>
      <c r="T2037" s="119">
        <v>61.831699999999998</v>
      </c>
      <c r="U2037" s="292"/>
      <c r="V2037" s="292"/>
      <c r="W2037" s="292"/>
      <c r="X2037" s="292"/>
      <c r="Y2037" s="370"/>
      <c r="Z2037" s="119"/>
      <c r="AA2037" s="119"/>
      <c r="AB2037" s="116"/>
      <c r="AC2037" s="116"/>
      <c r="AD2037" s="116"/>
      <c r="AE2037" s="116"/>
      <c r="AF2037" s="116"/>
      <c r="AG2037" s="120" t="s">
        <v>404</v>
      </c>
      <c r="AH2037" s="292"/>
      <c r="AI2037" s="292"/>
      <c r="AJ2037" s="125"/>
      <c r="AK2037" s="125"/>
      <c r="AL2037" s="125"/>
      <c r="AM2037" s="125"/>
      <c r="AN2037" s="297"/>
      <c r="AO2037" s="420"/>
      <c r="AP2037" s="420"/>
      <c r="AQ2037" s="119" t="s">
        <v>6311</v>
      </c>
      <c r="AR2037" s="119" t="s">
        <v>6311</v>
      </c>
      <c r="AS2037" s="289"/>
      <c r="AT2037" s="118" t="s">
        <v>266</v>
      </c>
      <c r="AU2037" s="119">
        <v>6</v>
      </c>
      <c r="AV2037" s="119">
        <v>120</v>
      </c>
      <c r="AW2037" s="119">
        <v>114</v>
      </c>
      <c r="AX2037" s="119">
        <v>28</v>
      </c>
      <c r="AY2037" s="119" t="s">
        <v>8728</v>
      </c>
      <c r="AZ2037" s="119" t="s">
        <v>1563</v>
      </c>
      <c r="BA2037" s="119">
        <v>32</v>
      </c>
      <c r="BB2037" s="284" t="s">
        <v>2485</v>
      </c>
      <c r="BC2037" s="284" t="s">
        <v>8726</v>
      </c>
      <c r="BD2037" s="284" t="s">
        <v>8374</v>
      </c>
      <c r="BE2037" s="119" t="s">
        <v>2449</v>
      </c>
      <c r="BF2037" s="119" t="s">
        <v>272</v>
      </c>
      <c r="BG2037" s="119" t="s">
        <v>272</v>
      </c>
      <c r="BH2037" s="119" t="s">
        <v>2486</v>
      </c>
      <c r="BI2037" s="292">
        <v>6.3999999999999997E-6</v>
      </c>
      <c r="BJ2037" s="292">
        <v>6.4000000000000001E-2</v>
      </c>
      <c r="BK2037" s="119"/>
      <c r="BL2037" s="292"/>
      <c r="BM2037" s="284" t="s">
        <v>2487</v>
      </c>
      <c r="BN2037" s="119"/>
      <c r="BO2037" s="119"/>
      <c r="BP2037" s="119"/>
      <c r="BQ2037" s="119"/>
      <c r="BR2037" s="284" t="s">
        <v>2496</v>
      </c>
      <c r="BS2037" s="119"/>
      <c r="BT2037" s="119"/>
      <c r="BU2037" s="293"/>
      <c r="BV2037" s="119"/>
      <c r="BW2037" s="119"/>
      <c r="BX2037" s="119"/>
      <c r="BY2037" s="119"/>
      <c r="BZ2037" s="119"/>
      <c r="CA2037" s="119"/>
      <c r="CB2037" s="119"/>
      <c r="CC2037" s="119"/>
      <c r="CD2037" s="119"/>
      <c r="CE2037" s="119"/>
      <c r="CF2037" s="119"/>
      <c r="CG2037" s="119"/>
      <c r="CH2037" s="119"/>
      <c r="CI2037" s="292"/>
      <c r="CJ2037" s="292"/>
      <c r="CK2037" s="120">
        <f>BL2037/BJ2037</f>
        <v>0</v>
      </c>
      <c r="CL2037" s="120" t="s">
        <v>404</v>
      </c>
      <c r="CM2037" s="294"/>
      <c r="CN2037" s="294"/>
      <c r="CO2037" s="284" t="s">
        <v>2488</v>
      </c>
      <c r="CP2037" s="284" t="s">
        <v>2489</v>
      </c>
      <c r="CQ2037" s="282"/>
      <c r="CR2037" s="282">
        <f t="shared" si="629"/>
        <v>1</v>
      </c>
      <c r="CS2037" s="123" t="s">
        <v>539</v>
      </c>
      <c r="CT2037" s="123"/>
      <c r="CU2037" s="123" t="s">
        <v>6310</v>
      </c>
      <c r="CV2037" s="338" t="s">
        <v>6310</v>
      </c>
      <c r="CW2037" s="123">
        <f>IF(CV2037&lt;1,0,1)</f>
        <v>1</v>
      </c>
      <c r="CX2037" s="339"/>
      <c r="CY2037" s="123" t="s">
        <v>6351</v>
      </c>
    </row>
    <row r="2038" spans="1:103" ht="11.25" customHeight="1" x14ac:dyDescent="0.2">
      <c r="A2038" s="72">
        <v>2036</v>
      </c>
      <c r="B2038" s="282">
        <v>1276</v>
      </c>
      <c r="C2038" s="115" t="s">
        <v>499</v>
      </c>
      <c r="D2038" s="115"/>
      <c r="E2038" s="116">
        <v>1</v>
      </c>
      <c r="F2038" s="116" t="s">
        <v>500</v>
      </c>
      <c r="G2038" s="283">
        <v>26628228</v>
      </c>
      <c r="H2038" s="284" t="s">
        <v>501</v>
      </c>
      <c r="I2038" s="284"/>
      <c r="J2038" s="284" t="s">
        <v>3509</v>
      </c>
      <c r="K2038" s="284" t="s">
        <v>416</v>
      </c>
      <c r="L2038" s="284"/>
      <c r="M2038" s="284"/>
      <c r="N2038" s="284"/>
      <c r="O2038" s="284"/>
      <c r="P2038" s="286"/>
      <c r="Q2038" s="286"/>
      <c r="R2038" s="286"/>
      <c r="S2038" s="286"/>
      <c r="T2038" s="119">
        <v>65.010000000000005</v>
      </c>
      <c r="U2038" s="292"/>
      <c r="V2038" s="292"/>
      <c r="W2038" s="292"/>
      <c r="X2038" s="292"/>
      <c r="Y2038" s="370"/>
      <c r="Z2038" s="119"/>
      <c r="AA2038" s="119"/>
      <c r="AB2038" s="116"/>
      <c r="AC2038" s="116"/>
      <c r="AD2038" s="116"/>
      <c r="AE2038" s="116"/>
      <c r="AF2038" s="116"/>
      <c r="AG2038" s="120" t="s">
        <v>404</v>
      </c>
      <c r="AH2038" s="292">
        <v>8.0799999999999999E-5</v>
      </c>
      <c r="AI2038" s="292"/>
      <c r="AJ2038" s="120">
        <f>LOG10(AH2038*1000/(0.08206*298.15))</f>
        <v>-2.4811549655380656</v>
      </c>
      <c r="AK2038" s="120"/>
      <c r="AL2038" s="120">
        <f>IF(AK2038=0,AJ2038,AK2038)</f>
        <v>-2.4811549655380656</v>
      </c>
      <c r="AM2038" s="125"/>
      <c r="AN2038" s="297"/>
      <c r="AO2038" s="420"/>
      <c r="AP2038" s="420"/>
      <c r="AQ2038" s="119" t="s">
        <v>6311</v>
      </c>
      <c r="AR2038" s="119" t="s">
        <v>6311</v>
      </c>
      <c r="AS2038" s="289"/>
      <c r="AT2038" s="118" t="s">
        <v>266</v>
      </c>
      <c r="AU2038" s="119">
        <v>6</v>
      </c>
      <c r="AV2038" s="119">
        <v>120</v>
      </c>
      <c r="AW2038" s="119">
        <v>114</v>
      </c>
      <c r="AX2038" s="119">
        <v>28</v>
      </c>
      <c r="AY2038" s="119" t="s">
        <v>8728</v>
      </c>
      <c r="AZ2038" s="119" t="s">
        <v>1563</v>
      </c>
      <c r="BA2038" s="119">
        <v>32</v>
      </c>
      <c r="BB2038" s="284" t="s">
        <v>2485</v>
      </c>
      <c r="BC2038" s="284" t="s">
        <v>8726</v>
      </c>
      <c r="BD2038" s="284" t="s">
        <v>8374</v>
      </c>
      <c r="BE2038" s="119" t="s">
        <v>2449</v>
      </c>
      <c r="BF2038" s="119" t="s">
        <v>272</v>
      </c>
      <c r="BG2038" s="119" t="s">
        <v>272</v>
      </c>
      <c r="BH2038" s="119" t="s">
        <v>2486</v>
      </c>
      <c r="BI2038" s="292">
        <v>6.3999999999999997E-6</v>
      </c>
      <c r="BJ2038" s="292">
        <v>6.4000000000000001E-2</v>
      </c>
      <c r="BK2038" s="119"/>
      <c r="BL2038" s="292"/>
      <c r="BM2038" s="284" t="s">
        <v>2487</v>
      </c>
      <c r="BN2038" s="119"/>
      <c r="BO2038" s="119"/>
      <c r="BP2038" s="119"/>
      <c r="BQ2038" s="119"/>
      <c r="BR2038" s="284" t="s">
        <v>2496</v>
      </c>
      <c r="BS2038" s="119"/>
      <c r="BT2038" s="119"/>
      <c r="BU2038" s="293">
        <v>6.3999999999999997E-6</v>
      </c>
      <c r="BV2038" s="119"/>
      <c r="BW2038" s="119"/>
      <c r="BX2038" s="119"/>
      <c r="BY2038" s="119"/>
      <c r="BZ2038" s="119"/>
      <c r="CA2038" s="119"/>
      <c r="CB2038" s="119"/>
      <c r="CC2038" s="119"/>
      <c r="CD2038" s="119"/>
      <c r="CE2038" s="119"/>
      <c r="CF2038" s="119"/>
      <c r="CG2038" s="119"/>
      <c r="CH2038" s="119"/>
      <c r="CI2038" s="292"/>
      <c r="CJ2038" s="292"/>
      <c r="CK2038" s="120">
        <f>BL2038/BJ2038</f>
        <v>0</v>
      </c>
      <c r="CL2038" s="120" t="s">
        <v>404</v>
      </c>
      <c r="CM2038" s="294"/>
      <c r="CN2038" s="294"/>
      <c r="CO2038" s="284" t="s">
        <v>2488</v>
      </c>
      <c r="CP2038" s="284" t="s">
        <v>2489</v>
      </c>
      <c r="CQ2038" s="282"/>
      <c r="CR2038" s="282">
        <f t="shared" si="629"/>
        <v>1</v>
      </c>
      <c r="CS2038" s="123" t="s">
        <v>539</v>
      </c>
      <c r="CT2038" s="123"/>
      <c r="CU2038" s="123" t="s">
        <v>6310</v>
      </c>
      <c r="CV2038" s="338" t="s">
        <v>6310</v>
      </c>
      <c r="CW2038" s="123">
        <f>IF(CV2038&lt;1,0,1)</f>
        <v>1</v>
      </c>
      <c r="CX2038" s="339"/>
      <c r="CY2038" s="123" t="s">
        <v>6351</v>
      </c>
    </row>
    <row r="2039" spans="1:103" ht="11.25" customHeight="1" x14ac:dyDescent="0.2">
      <c r="B2039" s="353"/>
      <c r="C2039" s="354"/>
      <c r="D2039" s="354"/>
      <c r="E2039" s="355"/>
      <c r="F2039" s="355"/>
      <c r="G2039" s="356"/>
      <c r="H2039" s="357"/>
      <c r="I2039" s="357"/>
      <c r="J2039" s="357"/>
      <c r="K2039" s="357"/>
      <c r="L2039" s="357"/>
      <c r="M2039" s="357"/>
      <c r="N2039" s="358"/>
      <c r="O2039" s="357"/>
      <c r="P2039" s="357"/>
      <c r="Q2039" s="357"/>
      <c r="R2039" s="357"/>
      <c r="S2039" s="357"/>
      <c r="T2039" s="359"/>
      <c r="U2039" s="359"/>
      <c r="V2039" s="360"/>
      <c r="W2039" s="360"/>
      <c r="X2039" s="360"/>
      <c r="Y2039" s="361"/>
      <c r="Z2039" s="359"/>
      <c r="AA2039" s="359"/>
      <c r="AB2039" s="359"/>
      <c r="AC2039" s="359"/>
      <c r="AD2039" s="359"/>
      <c r="AE2039" s="359"/>
      <c r="AF2039" s="359"/>
      <c r="AG2039" s="362"/>
      <c r="AH2039" s="360"/>
      <c r="AI2039" s="363"/>
      <c r="AJ2039" s="362"/>
      <c r="AK2039" s="362"/>
      <c r="AL2039" s="362"/>
      <c r="AM2039" s="362"/>
      <c r="AN2039" s="364"/>
      <c r="AO2039" s="361"/>
      <c r="AP2039" s="361"/>
      <c r="AQ2039" s="361"/>
      <c r="AR2039" s="361"/>
      <c r="AS2039" s="353"/>
      <c r="AT2039" s="365"/>
      <c r="AU2039" s="359"/>
      <c r="AV2039" s="359"/>
      <c r="AW2039" s="359"/>
      <c r="AX2039" s="359"/>
      <c r="AY2039" s="359"/>
      <c r="AZ2039" s="359"/>
      <c r="BA2039" s="359"/>
      <c r="BB2039" s="357"/>
      <c r="BC2039" s="357"/>
      <c r="BD2039" s="357"/>
      <c r="BE2039" s="359"/>
      <c r="BF2039" s="359"/>
      <c r="BG2039" s="359"/>
      <c r="BH2039" s="359"/>
      <c r="BI2039" s="360"/>
      <c r="BJ2039" s="360"/>
      <c r="BK2039" s="359"/>
      <c r="BL2039" s="360"/>
      <c r="BM2039" s="359"/>
      <c r="BN2039" s="359"/>
      <c r="BO2039" s="359"/>
      <c r="BP2039" s="359"/>
      <c r="BQ2039" s="359"/>
      <c r="BR2039" s="359"/>
      <c r="BS2039" s="359"/>
      <c r="BT2039" s="359"/>
      <c r="BU2039" s="359"/>
      <c r="BV2039" s="359"/>
      <c r="BW2039" s="359"/>
      <c r="BX2039" s="359"/>
      <c r="BY2039" s="359"/>
      <c r="BZ2039" s="359"/>
      <c r="CA2039" s="359"/>
      <c r="CB2039" s="359"/>
      <c r="CC2039" s="359"/>
      <c r="CD2039" s="359"/>
      <c r="CE2039" s="359"/>
      <c r="CF2039" s="359"/>
      <c r="CG2039" s="359"/>
      <c r="CH2039" s="359"/>
      <c r="CI2039" s="360"/>
      <c r="CJ2039" s="360"/>
      <c r="CK2039" s="362"/>
      <c r="CL2039" s="366"/>
      <c r="CM2039" s="366"/>
      <c r="CN2039" s="366"/>
      <c r="CO2039" s="357"/>
      <c r="CP2039" s="357"/>
      <c r="CQ2039" s="353"/>
      <c r="CR2039" s="367"/>
      <c r="CS2039" s="359"/>
      <c r="CT2039" s="359"/>
      <c r="CU2039" s="360"/>
      <c r="CV2039" s="369"/>
      <c r="CW2039" s="368"/>
      <c r="CX2039" s="368"/>
      <c r="CY2039" s="325"/>
    </row>
    <row r="2040" spans="1:103" ht="15" customHeight="1" x14ac:dyDescent="0.2">
      <c r="C2040" s="19" t="s">
        <v>6324</v>
      </c>
      <c r="D2040" s="19"/>
      <c r="E2040" s="142"/>
    </row>
    <row r="2041" spans="1:103" ht="15" customHeight="1" x14ac:dyDescent="0.2">
      <c r="C2041" s="310" t="s">
        <v>6343</v>
      </c>
      <c r="D2041" s="310"/>
      <c r="E2041" s="311"/>
      <c r="F2041" s="311"/>
      <c r="G2041" s="311"/>
      <c r="H2041" s="311"/>
      <c r="I2041" s="311"/>
    </row>
    <row r="2042" spans="1:103" ht="15" customHeight="1" x14ac:dyDescent="0.2">
      <c r="C2042" s="312" t="s">
        <v>6380</v>
      </c>
      <c r="D2042" s="312"/>
      <c r="E2042" s="313"/>
      <c r="F2042" s="313"/>
      <c r="G2042" s="313"/>
      <c r="H2042" s="313"/>
      <c r="I2042" s="313"/>
    </row>
    <row r="2043" spans="1:103" ht="15" customHeight="1" x14ac:dyDescent="0.2">
      <c r="B2043" s="72"/>
      <c r="C2043" s="314" t="s">
        <v>6325</v>
      </c>
      <c r="D2043" s="314"/>
      <c r="E2043" s="315"/>
      <c r="F2043" s="315"/>
      <c r="G2043" s="315"/>
      <c r="H2043" s="315"/>
      <c r="I2043" s="315"/>
      <c r="K2043" s="72"/>
      <c r="L2043" s="72"/>
      <c r="M2043" s="72"/>
      <c r="N2043" s="72"/>
      <c r="O2043" s="72"/>
      <c r="P2043" s="72"/>
      <c r="Q2043" s="72"/>
      <c r="R2043" s="72"/>
      <c r="S2043" s="72"/>
      <c r="T2043" s="72"/>
      <c r="U2043" s="72"/>
      <c r="V2043" s="72"/>
      <c r="W2043" s="72"/>
      <c r="X2043" s="72"/>
      <c r="Y2043" s="72"/>
      <c r="Z2043" s="72"/>
      <c r="AA2043" s="72"/>
      <c r="AB2043" s="72"/>
      <c r="AC2043" s="72"/>
      <c r="AD2043" s="72"/>
      <c r="AE2043" s="72"/>
      <c r="AF2043" s="72"/>
      <c r="AG2043" s="72"/>
      <c r="AH2043" s="425"/>
      <c r="AI2043" s="72"/>
      <c r="AJ2043" s="72"/>
      <c r="AK2043" s="72"/>
      <c r="AL2043" s="72"/>
      <c r="AM2043" s="72"/>
      <c r="AN2043" s="72"/>
      <c r="AO2043" s="72"/>
      <c r="AP2043" s="72"/>
      <c r="AQ2043" s="72"/>
      <c r="AR2043" s="72"/>
      <c r="AS2043" s="72"/>
      <c r="AT2043" s="72"/>
      <c r="AU2043" s="72"/>
      <c r="AV2043" s="72"/>
      <c r="AW2043" s="72"/>
      <c r="AX2043" s="72"/>
      <c r="AY2043" s="72"/>
      <c r="AZ2043" s="72"/>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row>
    <row r="2044" spans="1:103" ht="15" customHeight="1" x14ac:dyDescent="0.2">
      <c r="B2044" s="72"/>
      <c r="C2044" s="316" t="s">
        <v>6342</v>
      </c>
      <c r="D2044" s="316"/>
      <c r="E2044" s="317"/>
      <c r="F2044" s="317"/>
      <c r="G2044" s="317"/>
      <c r="H2044" s="317"/>
      <c r="I2044" s="317"/>
      <c r="K2044" s="72"/>
      <c r="L2044" s="72"/>
      <c r="M2044" s="72"/>
      <c r="N2044" s="72"/>
      <c r="O2044" s="72"/>
      <c r="P2044" s="72"/>
      <c r="Q2044" s="72"/>
      <c r="R2044" s="72"/>
      <c r="S2044" s="72"/>
      <c r="T2044" s="72"/>
      <c r="U2044" s="72"/>
      <c r="V2044" s="72"/>
      <c r="W2044" s="72"/>
      <c r="X2044" s="72"/>
      <c r="Y2044" s="72"/>
      <c r="Z2044" s="72"/>
      <c r="AA2044" s="72"/>
      <c r="AB2044" s="72"/>
      <c r="AC2044" s="72"/>
      <c r="AD2044" s="72"/>
      <c r="AE2044" s="72"/>
      <c r="AF2044" s="72"/>
      <c r="AG2044" s="72"/>
      <c r="AH2044" s="425"/>
      <c r="AI2044" s="72"/>
      <c r="AJ2044" s="72"/>
      <c r="AK2044" s="72"/>
      <c r="AL2044" s="72"/>
      <c r="AM2044" s="72"/>
      <c r="AN2044" s="72"/>
      <c r="AO2044" s="72"/>
      <c r="AP2044" s="72"/>
      <c r="AQ2044" s="72"/>
      <c r="AR2044" s="72"/>
      <c r="AS2044" s="72"/>
      <c r="AT2044" s="72"/>
      <c r="AU2044" s="72"/>
      <c r="AV2044" s="72"/>
      <c r="AW2044" s="72"/>
      <c r="AX2044" s="72"/>
      <c r="AY2044" s="72"/>
      <c r="AZ2044" s="72"/>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row>
    <row r="2045" spans="1:103" ht="15" customHeight="1" x14ac:dyDescent="0.2">
      <c r="B2045" s="72"/>
      <c r="C2045" s="318" t="s">
        <v>6350</v>
      </c>
      <c r="D2045" s="318"/>
      <c r="E2045" s="319"/>
      <c r="F2045" s="319"/>
      <c r="G2045" s="319"/>
      <c r="H2045" s="319"/>
      <c r="I2045" s="319"/>
      <c r="J2045" s="319"/>
      <c r="K2045" s="72"/>
      <c r="L2045" s="72"/>
      <c r="M2045" s="72"/>
      <c r="N2045" s="72"/>
      <c r="O2045" s="72"/>
      <c r="P2045" s="72"/>
      <c r="Q2045" s="72"/>
      <c r="R2045" s="72"/>
      <c r="S2045" s="72"/>
      <c r="T2045" s="72"/>
      <c r="U2045" s="72"/>
      <c r="V2045" s="72"/>
      <c r="W2045" s="72"/>
      <c r="X2045" s="72"/>
      <c r="Y2045" s="72"/>
      <c r="Z2045" s="72"/>
      <c r="AA2045" s="72"/>
      <c r="AB2045" s="72"/>
      <c r="AC2045" s="72"/>
      <c r="AD2045" s="72"/>
      <c r="AE2045" s="72"/>
      <c r="AF2045" s="72"/>
      <c r="AG2045" s="72"/>
      <c r="AH2045" s="425"/>
      <c r="AI2045" s="72"/>
      <c r="AJ2045" s="72"/>
      <c r="AK2045" s="72"/>
      <c r="AL2045" s="72"/>
      <c r="AM2045" s="72"/>
      <c r="AN2045" s="72"/>
      <c r="AO2045" s="72"/>
      <c r="AP2045" s="72"/>
      <c r="AQ2045" s="72"/>
      <c r="AR2045" s="72"/>
      <c r="AS2045" s="72"/>
      <c r="AT2045" s="72"/>
      <c r="AU2045" s="72"/>
      <c r="AV2045" s="72"/>
      <c r="AW2045" s="72"/>
      <c r="AX2045" s="72"/>
      <c r="AY2045" s="72"/>
      <c r="AZ2045" s="72"/>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row>
    <row r="2046" spans="1:103" ht="15" customHeight="1" x14ac:dyDescent="0.2">
      <c r="B2046" s="72"/>
      <c r="C2046" s="320" t="s">
        <v>6349</v>
      </c>
      <c r="D2046" s="320"/>
      <c r="E2046" s="296"/>
      <c r="F2046" s="296"/>
      <c r="G2046" s="296"/>
      <c r="K2046" s="72"/>
      <c r="L2046" s="72"/>
      <c r="M2046" s="72"/>
      <c r="N2046" s="72"/>
      <c r="O2046" s="72"/>
      <c r="P2046" s="72"/>
      <c r="Q2046" s="72"/>
      <c r="R2046" s="72"/>
      <c r="S2046" s="72"/>
      <c r="T2046" s="72"/>
      <c r="U2046" s="72"/>
      <c r="V2046" s="72"/>
      <c r="W2046" s="72"/>
      <c r="X2046" s="72"/>
      <c r="Y2046" s="72"/>
      <c r="Z2046" s="72"/>
      <c r="AA2046" s="72"/>
      <c r="AB2046" s="72"/>
      <c r="AC2046" s="72"/>
      <c r="AD2046" s="72"/>
      <c r="AE2046" s="72"/>
      <c r="AF2046" s="72"/>
      <c r="AG2046" s="72"/>
      <c r="AH2046" s="425"/>
      <c r="AI2046" s="72"/>
      <c r="AJ2046" s="72"/>
      <c r="AK2046" s="72"/>
      <c r="AL2046" s="72"/>
      <c r="AM2046" s="72"/>
      <c r="AN2046" s="72"/>
      <c r="AO2046" s="72"/>
      <c r="AP2046" s="72"/>
      <c r="AQ2046" s="72"/>
      <c r="AR2046" s="72"/>
      <c r="AS2046" s="72"/>
      <c r="AT2046" s="72"/>
      <c r="AU2046" s="72"/>
      <c r="AV2046" s="72"/>
      <c r="AW2046" s="72"/>
      <c r="AX2046" s="72"/>
      <c r="AY2046" s="72"/>
      <c r="AZ2046" s="72"/>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row>
  </sheetData>
  <autoFilter ref="A2:CY2038">
    <sortState ref="A3:CY2038">
      <sortCondition ref="A2:A2038"/>
    </sortState>
  </autoFilter>
  <hyperlinks>
    <hyperlink ref="F220" r:id="rId1" display="http://www.sigmaaldrich.com/catalog/Lookup.do?N5=CAS+No.&amp;N3=mode+matchpartialmax&amp;N4=6533-68-2&amp;D7=0&amp;D10=&amp;N25=0&amp;N1=S_ID&amp;ST=RS&amp;F=PR"/>
    <hyperlink ref="F174" r:id="rId2" display="http://www.sigmaaldrich.com/catalog/Lookup.do?N5=CAS+No.&amp;N3=mode+matchpartialmax&amp;N4=1421-86-9&amp;D7=0&amp;D10=&amp;N25=0&amp;N1=S_ID&amp;ST=RS&amp;F=PR"/>
    <hyperlink ref="F61" r:id="rId3" display="http://www.sigmaaldrich.com/catalog/Lookup.do?N5=CAS+No.&amp;N3=mode+matchpartialmax&amp;N4=83-67-0&amp;D7=0&amp;D10=&amp;N25=0&amp;N1=S_ID&amp;ST=RS&amp;F=PR"/>
    <hyperlink ref="F223" r:id="rId4" display="http://www.sigmaaldrich.com/catalog/Lookup.do?N5=CAS+No.&amp;N3=mode+matchpartialmax&amp;N4=6989-98-6&amp;D7=0&amp;D10=&amp;N25=0&amp;N1=S_ID&amp;ST=RS&amp;F=PR"/>
    <hyperlink ref="F31" r:id="rId5" display="http://www.sigmaaldrich.com/catalog/Lookup.do?N5=CAS+No.&amp;N3=mode+matchpartialmax&amp;N4=65-19-0&amp;D7=0&amp;D10=&amp;N25=0&amp;N1=S_ID&amp;ST=RS&amp;F=PR"/>
    <hyperlink ref="F258" r:id="rId6" display="http://www.sigmaaldrich.com/catalog/Lookup.do?N5=CAS+No.&amp;N3=mode+matchpartialmax&amp;N4=29883-15-6&amp;D7=0&amp;D10=&amp;N25=0&amp;N1=S_ID&amp;ST=RS&amp;F=PR"/>
    <hyperlink ref="F148" r:id="rId7" display="http://www.sigmaaldrich.com/catalog/Lookup.do?N5=CAS+No.&amp;N3=mode+matchpartialmax&amp;N4=497-76-7&amp;D7=0&amp;D10=&amp;N25=0&amp;N1=S_ID&amp;ST=RS&amp;F=PR"/>
    <hyperlink ref="F149" r:id="rId8" display="http://www.sigmaaldrich.com/catalog/Lookup.do?N5=CAS+No.&amp;N3=mode+matchpartialmax&amp;N4=508-75-8&amp;D7=0&amp;D10=&amp;N25=0&amp;N1=S_ID&amp;ST=RS&amp;F=PR"/>
    <hyperlink ref="F74" r:id="rId9" display="http://www.sigmaaldrich.com/catalog/Lookup.do?N5=CAS+No.&amp;N3=mode+matchpartialmax&amp;N4=91-64-5&amp;D7=0&amp;D10=&amp;N25=0&amp;N1=S_ID&amp;ST=RS&amp;F=PR"/>
    <hyperlink ref="F39" r:id="rId10" display="http://www.sigmaaldrich.com/catalog/Lookup.do?N5=CAS+No.&amp;N3=mode+matchpartialmax&amp;N4=71-63-6&amp;D7=0&amp;D10=&amp;N25=0&amp;N1=S_ID&amp;ST=RS&amp;F=PR"/>
    <hyperlink ref="F231" r:id="rId11" display="http://www.sigmaaldrich.com/catalog/Lookup.do?N5=CAS+No.&amp;N3=mode+matchpartialmax&amp;N4=13241-33-3&amp;D7=0&amp;D10=&amp;N25=0&amp;N1=S_ID&amp;ST=RS&amp;F=PR"/>
    <hyperlink ref="F229" r:id="rId12" display="http://www.sigmaaldrich.com/catalog/Lookup.do?N5=CAS+No.&amp;N3=mode+matchpartialmax&amp;N4=11018-89-6&amp;D7=0&amp;D10=&amp;N25=0&amp;N1=S_ID&amp;ST=RS&amp;F=PR"/>
    <hyperlink ref="F402" r:id="rId13" display="http://www.sigmaaldrich.com/catalog/Lookup.do?N5=CAS+No.&amp;N3=mode+matchpartialmax&amp;N4=207671-50-9&amp;D7=0&amp;D10=&amp;N25=0&amp;N1=S_ID&amp;ST=RS&amp;F=PR"/>
    <hyperlink ref="F207" r:id="rId14" display="http://www.sigmaaldrich.com/catalog/Lookup.do?N5=CAS+No.&amp;N3=mode+matchpartialmax&amp;N4=3810-74-0&amp;D7=0&amp;D10=&amp;N25=0&amp;N1=S_ID&amp;ST=RS&amp;F=PR"/>
    <hyperlink ref="F9" r:id="rId15" display="http://www.sigmaaldrich.com/catalog/Lookup.do?N5=CAS+No.&amp;N3=mode+matchpartialmax&amp;N4=56-81-5&amp;D7=0&amp;D10=&amp;N25=0&amp;N1=S_ID&amp;ST=RS&amp;F=PR"/>
    <hyperlink ref="F44" r:id="rId16" display="http://www.sigmaaldrich.com/catalog/Lookup.do?N5=CAS+No.&amp;N3=mode+matchpartialmax&amp;N4=62-76-0&amp;D7=0&amp;D10=&amp;N25=0&amp;N1=S_ID&amp;ST=RS&amp;F=PR"/>
    <hyperlink ref="F65" r:id="rId17" display="http://www.commonchemistry.org/ChemicalDetail.aspx?ref=76-03-9"/>
    <hyperlink ref="F216" r:id="rId18" display="http://www.sigmaaldrich.com/catalog/Lookup.do?N5=CAS+No.&amp;N3=mode+matchpartialmax&amp;N4=6055-19-2&amp;D7=0&amp;D10=&amp;N25=0&amp;N1=S_ID&amp;ST=RS&amp;F=PR"/>
    <hyperlink ref="F41" r:id="rId19" display="http://www.sigmaaldrich.com/catalog/Lookup.do?N5=CAS+No.&amp;N3=mode+matchpartialmax&amp;N4=103-90-2&amp;D7=0&amp;D10=&amp;N25=0&amp;N1=S_ID&amp;ST=RS&amp;F=PR"/>
    <hyperlink ref="F232" r:id="rId20" display="http://www.sigmaaldrich.com/catalog/Lookup.do?N5=CAS+No.&amp;N3=mode+matchpartialmax&amp;N4=14919-77-8&amp;D7=0&amp;D10=&amp;N25=0&amp;N1=S_ID&amp;ST=RS&amp;F=PR"/>
    <hyperlink ref="F35" r:id="rId21" display="http://www.sigmaaldrich.com/catalog/Lookup.do?N5=CAS+No.&amp;N3=mode+matchpartialmax&amp;N4=69-09-0&amp;D7=0&amp;D10=&amp;N25=0&amp;N1=S_ID&amp;ST=RS&amp;F=PR"/>
    <hyperlink ref="F135" r:id="rId22" display="http://www.sigmaaldrich.com/catalog/Lookup.do?N5=CAS+No.&amp;N3=mode+matchpartialmax&amp;N4=156-51-4&amp;D7=0&amp;D10=&amp;N25=0&amp;N1=S_ID&amp;ST=RS&amp;F=PR"/>
    <hyperlink ref="F172" r:id="rId23" display="http://www.sigmaaldrich.com/catalog/Lookup.do?N5=CAS+No.&amp;N3=mode+matchpartialmax&amp;N4=1070-11-7&amp;D7=0&amp;D10=&amp;N25=0&amp;N1=S_ID&amp;ST=RS&amp;F=PR"/>
    <hyperlink ref="F134" r:id="rId24" display="http://www.sigmaaldrich.com/catalog/Lookup.do?N5=CAS+No.&amp;N3=mode+matchpartialmax&amp;N4=152-11-4&amp;D7=0&amp;D10=&amp;N25=0&amp;N1=S_ID&amp;ST=RS&amp;F=PR"/>
    <hyperlink ref="F56" r:id="rId25" display="http://www.sigmaaldrich.com/catalog/Lookup.do?N5=CAS+No.&amp;N3=mode+matchpartialmax&amp;N4=108-95-2&amp;D7=0&amp;D10=&amp;N25=0&amp;N1=S_ID&amp;ST=RS&amp;F=PR"/>
    <hyperlink ref="F12" r:id="rId26" display="http://www.sigmaaldrich.com/catalog/Lookup.do?N5=CAS+No.&amp;N3=mode+matchpartialmax&amp;N4=67-68-5&amp;D7=0&amp;D10=&amp;N25=0&amp;N1=S_ID&amp;ST=RS&amp;F=PR"/>
    <hyperlink ref="F66" r:id="rId27" display="http://www.sigmaaldrich.com/catalog/Lookup.do?N5=CAS+No.&amp;N3=mode+matchpartialmax&amp;N4=50-00-0&amp;D7=0&amp;D10=&amp;N25=0&amp;N1=S_ID&amp;ST=RS&amp;F=PR"/>
    <hyperlink ref="F166" r:id="rId28" display="http://www.sigmaaldrich.com/catalog/Lookup.do?N5=CAS+No.&amp;N3=mode+matchpartialmax&amp;N4=834-28-6&amp;D7=0&amp;D10=&amp;N25=0&amp;N1=S_ID&amp;ST=RS&amp;F=PR"/>
    <hyperlink ref="F154" r:id="rId29" display="http://www.sigmaaldrich.com/catalog/Lookup.do?N5=CAS+No.&amp;N3=mode+matchpartialmax&amp;N4=549-18-8&amp;D7=0&amp;D10=&amp;N25=0&amp;N1=S_ID&amp;ST=RS&amp;F=PR"/>
  </hyperlinks>
  <pageMargins left="0.7" right="0.7" top="0.75" bottom="0.75" header="0.3" footer="0.3"/>
  <pageSetup paperSize="9" orientation="portrait" r:id="rId30"/>
  <drawing r:id="rId3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Y2046"/>
  <sheetViews>
    <sheetView topLeftCell="B1" zoomScale="85" zoomScaleNormal="85" workbookViewId="0">
      <selection activeCell="CP1822" sqref="CP1:CP1048576"/>
    </sheetView>
  </sheetViews>
  <sheetFormatPr defaultColWidth="17.28515625" defaultRowHeight="15" customHeight="1" x14ac:dyDescent="0.2"/>
  <cols>
    <col min="1" max="1" width="0.42578125" style="72" hidden="1" customWidth="1"/>
    <col min="2" max="2" width="8.28515625" style="142" customWidth="1"/>
    <col min="3" max="3" width="48" style="308" customWidth="1"/>
    <col min="4" max="4" width="12.42578125" style="308" customWidth="1"/>
    <col min="5" max="5" width="9.28515625" style="309" customWidth="1"/>
    <col min="6" max="6" width="26.42578125" style="142" customWidth="1"/>
    <col min="7" max="7" width="18" style="142" customWidth="1"/>
    <col min="8" max="8" width="46" style="142" customWidth="1"/>
    <col min="9" max="9" width="11.140625" style="142" customWidth="1"/>
    <col min="10" max="10" width="12.42578125" style="142" customWidth="1"/>
    <col min="11" max="11" width="23.7109375" style="142" customWidth="1"/>
    <col min="12" max="12" width="14" style="308" customWidth="1"/>
    <col min="13" max="14" width="10.28515625" style="308" customWidth="1"/>
    <col min="15" max="15" width="13.85546875" style="308" customWidth="1"/>
    <col min="16" max="19" width="8.5703125" style="308" customWidth="1"/>
    <col min="20" max="21" width="10.28515625" style="142" customWidth="1"/>
    <col min="22" max="24" width="10" style="142" customWidth="1"/>
    <col min="25" max="25" width="15.140625" style="142" customWidth="1"/>
    <col min="26" max="32" width="12.140625" style="142" customWidth="1"/>
    <col min="33" max="33" width="11.140625" style="142" customWidth="1"/>
    <col min="34" max="34" width="11.140625" style="324" customWidth="1"/>
    <col min="35" max="35" width="13.5703125" style="142" customWidth="1"/>
    <col min="36" max="39" width="11.140625" style="142" customWidth="1"/>
    <col min="40" max="40" width="15.28515625" style="142" customWidth="1"/>
    <col min="41" max="44" width="8.5703125" style="142" customWidth="1"/>
    <col min="45" max="45" width="13.5703125" style="142" customWidth="1"/>
    <col min="46" max="46" width="17.28515625" style="142" customWidth="1"/>
    <col min="47" max="47" width="12.42578125" style="142" customWidth="1"/>
    <col min="48" max="48" width="13.5703125" style="142" customWidth="1"/>
    <col min="49" max="49" width="12.28515625" style="142" customWidth="1"/>
    <col min="50" max="50" width="10" style="142" customWidth="1"/>
    <col min="51" max="51" width="11" style="142" customWidth="1"/>
    <col min="52" max="52" width="10" style="142" customWidth="1"/>
    <col min="53" max="53" width="14.7109375" style="142" customWidth="1"/>
    <col min="54" max="54" width="11.42578125" style="142" customWidth="1"/>
    <col min="55" max="56" width="10" style="142" customWidth="1"/>
    <col min="57" max="57" width="15.42578125" style="142" customWidth="1"/>
    <col min="58" max="58" width="10" style="142" customWidth="1"/>
    <col min="59" max="59" width="11.42578125" style="142" customWidth="1"/>
    <col min="60" max="60" width="10" style="142" customWidth="1"/>
    <col min="61" max="61" width="13.85546875" style="142" customWidth="1"/>
    <col min="62" max="62" width="13.140625" style="142" customWidth="1"/>
    <col min="63" max="63" width="22.28515625" style="142" customWidth="1"/>
    <col min="64" max="65" width="11.140625" style="142" customWidth="1"/>
    <col min="66" max="66" width="8.5703125" style="142" customWidth="1"/>
    <col min="67" max="67" width="7.7109375" style="142" customWidth="1"/>
    <col min="68" max="68" width="6.7109375" style="142" customWidth="1"/>
    <col min="69" max="70" width="7.5703125" style="142" customWidth="1"/>
    <col min="71" max="85" width="6.7109375" style="142" customWidth="1"/>
    <col min="86" max="86" width="6.85546875" style="142" customWidth="1"/>
    <col min="87" max="88" width="10.28515625" style="142" customWidth="1"/>
    <col min="89" max="89" width="20.7109375" style="142" customWidth="1"/>
    <col min="90" max="92" width="10.140625" style="142" customWidth="1"/>
    <col min="93" max="93" width="10.28515625" style="142" customWidth="1"/>
    <col min="94" max="94" width="25.5703125" style="142" customWidth="1"/>
    <col min="95" max="95" width="9.5703125" style="142" customWidth="1"/>
    <col min="96" max="96" width="7.7109375" style="142" customWidth="1"/>
    <col min="97" max="102" width="10.42578125" style="142" customWidth="1"/>
    <col min="103" max="16384" width="17.28515625" style="72"/>
  </cols>
  <sheetData>
    <row r="1" spans="1:103" ht="27" customHeight="1" x14ac:dyDescent="0.2">
      <c r="B1" s="431" t="s">
        <v>6642</v>
      </c>
      <c r="C1" s="426" t="s">
        <v>9</v>
      </c>
      <c r="D1" s="427"/>
      <c r="E1" s="427"/>
      <c r="F1" s="371"/>
      <c r="G1" s="371"/>
      <c r="H1" s="371"/>
      <c r="I1" s="371"/>
      <c r="J1" s="371"/>
      <c r="K1" s="372"/>
      <c r="L1" s="376" t="s">
        <v>26</v>
      </c>
      <c r="M1" s="376"/>
      <c r="N1" s="390" t="s">
        <v>6641</v>
      </c>
      <c r="O1" s="391"/>
      <c r="P1" s="387" t="s">
        <v>6640</v>
      </c>
      <c r="Q1" s="388"/>
      <c r="R1" s="388"/>
      <c r="S1" s="389"/>
      <c r="T1" s="386" t="s">
        <v>6637</v>
      </c>
      <c r="U1" s="406"/>
      <c r="V1" s="385"/>
      <c r="W1" s="385"/>
      <c r="X1" s="385"/>
      <c r="Y1" s="385"/>
      <c r="Z1" s="385"/>
      <c r="AA1" s="385"/>
      <c r="AB1" s="385"/>
      <c r="AC1" s="385"/>
      <c r="AD1" s="385"/>
      <c r="AE1" s="385"/>
      <c r="AF1" s="385"/>
      <c r="AG1" s="385"/>
      <c r="AH1" s="424"/>
      <c r="AI1" s="385"/>
      <c r="AJ1" s="385"/>
      <c r="AK1" s="385"/>
      <c r="AL1" s="385"/>
      <c r="AM1" s="385"/>
      <c r="AN1" s="385"/>
      <c r="AO1" s="373" t="s">
        <v>8401</v>
      </c>
      <c r="AP1" s="373" t="s">
        <v>8401</v>
      </c>
      <c r="AQ1" s="384" t="s">
        <v>6320</v>
      </c>
      <c r="AR1" s="375"/>
      <c r="AS1" s="382"/>
      <c r="AT1" s="376" t="s">
        <v>6633</v>
      </c>
      <c r="AU1" s="468"/>
      <c r="AV1" s="468"/>
      <c r="AW1" s="469"/>
      <c r="AX1" s="383" t="s">
        <v>149</v>
      </c>
      <c r="AY1" s="371"/>
      <c r="AZ1" s="371"/>
      <c r="BA1" s="371"/>
      <c r="BB1" s="371"/>
      <c r="BC1" s="371"/>
      <c r="BD1" s="371"/>
      <c r="BE1" s="371"/>
      <c r="BF1" s="371"/>
      <c r="BG1" s="371"/>
      <c r="BH1" s="372"/>
      <c r="BI1" s="381" t="s">
        <v>8439</v>
      </c>
      <c r="BJ1" s="372"/>
      <c r="BK1" s="345" t="s">
        <v>6636</v>
      </c>
      <c r="BL1" s="377" t="s">
        <v>192</v>
      </c>
      <c r="BM1" s="373"/>
      <c r="BN1" s="378" t="s">
        <v>197</v>
      </c>
      <c r="BO1" s="470"/>
      <c r="BP1" s="470"/>
      <c r="BQ1" s="470"/>
      <c r="BR1" s="470"/>
      <c r="BS1" s="470"/>
      <c r="BT1" s="470"/>
      <c r="BU1" s="470"/>
      <c r="BV1" s="470"/>
      <c r="BW1" s="470"/>
      <c r="BX1" s="470"/>
      <c r="BY1" s="470"/>
      <c r="BZ1" s="470"/>
      <c r="CA1" s="470"/>
      <c r="CB1" s="470"/>
      <c r="CC1" s="470"/>
      <c r="CD1" s="470"/>
      <c r="CE1" s="470"/>
      <c r="CF1" s="470"/>
      <c r="CG1" s="470"/>
      <c r="CH1" s="470"/>
      <c r="CI1" s="470"/>
      <c r="CJ1" s="471"/>
      <c r="CK1" s="374"/>
      <c r="CL1" s="345"/>
      <c r="CM1" s="345"/>
      <c r="CN1" s="345"/>
      <c r="CO1" s="379"/>
      <c r="CP1" s="495"/>
      <c r="CQ1" s="347" t="s">
        <v>6354</v>
      </c>
      <c r="CR1" s="347"/>
      <c r="CS1" s="348"/>
      <c r="CT1" s="348"/>
      <c r="CU1" s="348"/>
      <c r="CV1" s="348"/>
      <c r="CW1" s="348"/>
      <c r="CX1" s="348"/>
      <c r="CY1" s="346"/>
    </row>
    <row r="2" spans="1:103" s="404" customFormat="1" ht="71.45" customHeight="1" x14ac:dyDescent="0.2">
      <c r="A2" s="404" t="s">
        <v>8725</v>
      </c>
      <c r="B2" s="428" t="s">
        <v>6643</v>
      </c>
      <c r="C2" s="430" t="s">
        <v>202</v>
      </c>
      <c r="D2" s="430" t="s">
        <v>6423</v>
      </c>
      <c r="E2" s="428" t="s">
        <v>6348</v>
      </c>
      <c r="F2" s="428" t="s">
        <v>203</v>
      </c>
      <c r="G2" s="428" t="s">
        <v>204</v>
      </c>
      <c r="H2" s="392" t="s">
        <v>205</v>
      </c>
      <c r="I2" s="428" t="s">
        <v>8339</v>
      </c>
      <c r="J2" s="392" t="s">
        <v>206</v>
      </c>
      <c r="K2" s="392" t="s">
        <v>207</v>
      </c>
      <c r="L2" s="428" t="s">
        <v>208</v>
      </c>
      <c r="M2" s="392" t="s">
        <v>5981</v>
      </c>
      <c r="N2" s="392" t="s">
        <v>6375</v>
      </c>
      <c r="O2" s="428" t="s">
        <v>209</v>
      </c>
      <c r="P2" s="393" t="s">
        <v>6638</v>
      </c>
      <c r="Q2" s="393" t="s">
        <v>6171</v>
      </c>
      <c r="R2" s="393" t="s">
        <v>6639</v>
      </c>
      <c r="S2" s="393" t="s">
        <v>6171</v>
      </c>
      <c r="T2" s="428" t="s">
        <v>210</v>
      </c>
      <c r="U2" s="428" t="s">
        <v>8342</v>
      </c>
      <c r="V2" s="394" t="s">
        <v>8483</v>
      </c>
      <c r="W2" s="394" t="s">
        <v>8485</v>
      </c>
      <c r="X2" s="394" t="s">
        <v>8346</v>
      </c>
      <c r="Y2" s="395" t="s">
        <v>8345</v>
      </c>
      <c r="Z2" s="428" t="s">
        <v>8340</v>
      </c>
      <c r="AA2" s="428" t="s">
        <v>8341</v>
      </c>
      <c r="AB2" s="428" t="s">
        <v>8411</v>
      </c>
      <c r="AC2" s="430" t="s">
        <v>8412</v>
      </c>
      <c r="AD2" s="428" t="s">
        <v>8413</v>
      </c>
      <c r="AE2" s="428" t="s">
        <v>8414</v>
      </c>
      <c r="AF2" s="396" t="s">
        <v>8416</v>
      </c>
      <c r="AG2" s="396" t="s">
        <v>8415</v>
      </c>
      <c r="AH2" s="394" t="s">
        <v>8403</v>
      </c>
      <c r="AI2" s="394" t="s">
        <v>8402</v>
      </c>
      <c r="AJ2" s="396" t="s">
        <v>8408</v>
      </c>
      <c r="AK2" s="396" t="s">
        <v>8407</v>
      </c>
      <c r="AL2" s="396" t="s">
        <v>8409</v>
      </c>
      <c r="AM2" s="396" t="s">
        <v>8410</v>
      </c>
      <c r="AN2" s="395" t="s">
        <v>217</v>
      </c>
      <c r="AO2" s="395" t="s">
        <v>8399</v>
      </c>
      <c r="AP2" s="395" t="s">
        <v>8400</v>
      </c>
      <c r="AQ2" s="395" t="s">
        <v>6318</v>
      </c>
      <c r="AR2" s="395" t="s">
        <v>6319</v>
      </c>
      <c r="AS2" s="428" t="s">
        <v>220</v>
      </c>
      <c r="AT2" s="392" t="s">
        <v>128</v>
      </c>
      <c r="AU2" s="428" t="s">
        <v>141</v>
      </c>
      <c r="AV2" s="428" t="s">
        <v>143</v>
      </c>
      <c r="AW2" s="428" t="s">
        <v>146</v>
      </c>
      <c r="AX2" s="428" t="s">
        <v>221</v>
      </c>
      <c r="AY2" s="428" t="s">
        <v>222</v>
      </c>
      <c r="AZ2" s="428" t="s">
        <v>223</v>
      </c>
      <c r="BA2" s="429" t="s">
        <v>224</v>
      </c>
      <c r="BB2" s="429" t="s">
        <v>225</v>
      </c>
      <c r="BC2" s="429" t="s">
        <v>226</v>
      </c>
      <c r="BD2" s="429" t="s">
        <v>8373</v>
      </c>
      <c r="BE2" s="428" t="s">
        <v>227</v>
      </c>
      <c r="BF2" s="428" t="s">
        <v>228</v>
      </c>
      <c r="BG2" s="428" t="s">
        <v>229</v>
      </c>
      <c r="BH2" s="428" t="s">
        <v>230</v>
      </c>
      <c r="BI2" s="397" t="s">
        <v>231</v>
      </c>
      <c r="BJ2" s="397" t="s">
        <v>232</v>
      </c>
      <c r="BK2" s="428" t="s">
        <v>6608</v>
      </c>
      <c r="BL2" s="394" t="s">
        <v>8486</v>
      </c>
      <c r="BM2" s="428" t="s">
        <v>6634</v>
      </c>
      <c r="BN2" s="428" t="s">
        <v>8418</v>
      </c>
      <c r="BO2" s="428" t="s">
        <v>8419</v>
      </c>
      <c r="BP2" s="428" t="s">
        <v>8420</v>
      </c>
      <c r="BQ2" s="428" t="s">
        <v>8421</v>
      </c>
      <c r="BR2" s="398" t="s">
        <v>8422</v>
      </c>
      <c r="BS2" s="398" t="s">
        <v>8423</v>
      </c>
      <c r="BT2" s="398" t="s">
        <v>8424</v>
      </c>
      <c r="BU2" s="399" t="s">
        <v>8425</v>
      </c>
      <c r="BV2" s="428" t="s">
        <v>8426</v>
      </c>
      <c r="BW2" s="428" t="s">
        <v>8427</v>
      </c>
      <c r="BX2" s="398" t="s">
        <v>8428</v>
      </c>
      <c r="BY2" s="398" t="s">
        <v>8429</v>
      </c>
      <c r="BZ2" s="398" t="s">
        <v>8430</v>
      </c>
      <c r="CA2" s="398" t="s">
        <v>8431</v>
      </c>
      <c r="CB2" s="398" t="s">
        <v>8432</v>
      </c>
      <c r="CC2" s="398" t="s">
        <v>8433</v>
      </c>
      <c r="CD2" s="398" t="s">
        <v>8434</v>
      </c>
      <c r="CE2" s="398" t="s">
        <v>8435</v>
      </c>
      <c r="CF2" s="398" t="s">
        <v>8436</v>
      </c>
      <c r="CG2" s="428" t="s">
        <v>8437</v>
      </c>
      <c r="CH2" s="428" t="s">
        <v>8438</v>
      </c>
      <c r="CI2" s="428" t="s">
        <v>257</v>
      </c>
      <c r="CJ2" s="428" t="s">
        <v>8417</v>
      </c>
      <c r="CK2" s="429" t="s">
        <v>8350</v>
      </c>
      <c r="CL2" s="400" t="s">
        <v>8372</v>
      </c>
      <c r="CM2" s="345" t="s">
        <v>8441</v>
      </c>
      <c r="CN2" s="345" t="s">
        <v>6190</v>
      </c>
      <c r="CO2" s="379" t="s">
        <v>200</v>
      </c>
      <c r="CP2" s="495" t="s">
        <v>201</v>
      </c>
      <c r="CQ2" s="401" t="s">
        <v>8440</v>
      </c>
      <c r="CR2" s="401" t="s">
        <v>6604</v>
      </c>
      <c r="CS2" s="402" t="s">
        <v>6309</v>
      </c>
      <c r="CT2" s="402" t="s">
        <v>6377</v>
      </c>
      <c r="CU2" s="402" t="s">
        <v>8347</v>
      </c>
      <c r="CV2" s="402" t="s">
        <v>8348</v>
      </c>
      <c r="CW2" s="402" t="s">
        <v>8349</v>
      </c>
      <c r="CX2" s="402" t="s">
        <v>6422</v>
      </c>
      <c r="CY2" s="403" t="s">
        <v>6353</v>
      </c>
    </row>
    <row r="3" spans="1:103" ht="11.25" customHeight="1" x14ac:dyDescent="0.2">
      <c r="A3" s="72">
        <v>1816</v>
      </c>
      <c r="B3" s="241">
        <v>845</v>
      </c>
      <c r="C3" s="32" t="s">
        <v>7706</v>
      </c>
      <c r="D3" s="32"/>
      <c r="E3" s="40"/>
      <c r="F3" s="40" t="s">
        <v>4090</v>
      </c>
      <c r="G3" s="242">
        <v>608311</v>
      </c>
      <c r="H3" s="36" t="s">
        <v>4091</v>
      </c>
      <c r="I3" s="36" t="s">
        <v>8228</v>
      </c>
      <c r="J3" s="36" t="s">
        <v>4092</v>
      </c>
      <c r="K3" s="36" t="s">
        <v>1573</v>
      </c>
      <c r="L3" s="36"/>
      <c r="M3" s="36"/>
      <c r="N3" s="36"/>
      <c r="O3" s="36"/>
      <c r="P3" s="41"/>
      <c r="Q3" s="41"/>
      <c r="R3" s="41"/>
      <c r="S3" s="41"/>
      <c r="T3" s="37">
        <v>162.02000000000001</v>
      </c>
      <c r="U3" s="243"/>
      <c r="V3" s="243">
        <v>294.5</v>
      </c>
      <c r="W3" s="243">
        <v>213.58395678090909</v>
      </c>
      <c r="X3" s="243">
        <v>213.58395678090909</v>
      </c>
      <c r="Y3" s="414">
        <v>7</v>
      </c>
      <c r="Z3" s="37">
        <v>2.37</v>
      </c>
      <c r="AA3" s="37">
        <v>2.76</v>
      </c>
      <c r="AB3" s="37">
        <v>2.83</v>
      </c>
      <c r="AC3" s="37">
        <v>0.92949999999999999</v>
      </c>
      <c r="AD3" s="37">
        <v>2.85</v>
      </c>
      <c r="AE3" s="37">
        <v>2.9</v>
      </c>
      <c r="AF3" s="37">
        <f t="shared" ref="AF3:AF11" si="0">IF(AA3=0,AD3,AA3)</f>
        <v>2.76</v>
      </c>
      <c r="AG3" s="38">
        <v>2.4700000000000002</v>
      </c>
      <c r="AH3" s="243">
        <v>1.0499999999999999E-6</v>
      </c>
      <c r="AI3" s="243"/>
      <c r="AJ3" s="34">
        <f t="shared" ref="AJ3:AJ27" si="1">LOG10(AH3*1000/(0.08206*298.15))</f>
        <v>-4.3673770272427141</v>
      </c>
      <c r="AK3" s="34"/>
      <c r="AL3" s="34">
        <f t="shared" ref="AL3:AL27" si="2">IF(AK3=0,AJ3,AK3)</f>
        <v>-4.3673770272427141</v>
      </c>
      <c r="AM3" s="34">
        <v>-6.7571499999999993</v>
      </c>
      <c r="AN3" s="244">
        <v>-1.62</v>
      </c>
      <c r="AO3" s="417"/>
      <c r="AP3" s="417">
        <v>0.71</v>
      </c>
      <c r="AQ3" s="244" t="s">
        <v>6311</v>
      </c>
      <c r="AR3" s="244" t="s">
        <v>6311</v>
      </c>
      <c r="AS3" s="241" t="s">
        <v>6</v>
      </c>
      <c r="AT3" s="39" t="s">
        <v>266</v>
      </c>
      <c r="AU3" s="37">
        <v>2</v>
      </c>
      <c r="AV3" s="37">
        <v>48</v>
      </c>
      <c r="AW3" s="37">
        <v>48</v>
      </c>
      <c r="AX3" s="37">
        <v>26</v>
      </c>
      <c r="AY3" s="37" t="s">
        <v>8722</v>
      </c>
      <c r="AZ3" s="37" t="s">
        <v>536</v>
      </c>
      <c r="BA3" s="37" t="s">
        <v>2351</v>
      </c>
      <c r="BB3" s="36" t="s">
        <v>1764</v>
      </c>
      <c r="BC3" s="36" t="s">
        <v>538</v>
      </c>
      <c r="BD3" s="36"/>
      <c r="BE3" s="37" t="s">
        <v>271</v>
      </c>
      <c r="BF3" s="37" t="s">
        <v>8722</v>
      </c>
      <c r="BG3" s="37" t="s">
        <v>8722</v>
      </c>
      <c r="BH3" s="37" t="s">
        <v>272</v>
      </c>
      <c r="BI3" s="250">
        <v>1.004524</v>
      </c>
      <c r="BJ3" s="250">
        <v>3.9046820000000002</v>
      </c>
      <c r="BK3" s="37"/>
      <c r="BL3" s="263">
        <v>61.925800289105773</v>
      </c>
      <c r="BM3" s="37" t="s">
        <v>541</v>
      </c>
      <c r="BN3" s="37"/>
      <c r="BO3" s="37"/>
      <c r="BP3" s="37"/>
      <c r="BQ3" s="37"/>
      <c r="BR3" s="37"/>
      <c r="BS3" s="37"/>
      <c r="BT3" s="37"/>
      <c r="BU3" s="246"/>
      <c r="BV3" s="37"/>
      <c r="BW3" s="37"/>
      <c r="BX3" s="37"/>
      <c r="BY3" s="37"/>
      <c r="BZ3" s="37"/>
      <c r="CA3" s="37"/>
      <c r="CB3" s="37"/>
      <c r="CC3" s="37"/>
      <c r="CD3" s="37"/>
      <c r="CE3" s="37"/>
      <c r="CF3" s="37"/>
      <c r="CG3" s="37"/>
      <c r="CH3" s="37"/>
      <c r="CI3" s="243"/>
      <c r="CJ3" s="243"/>
      <c r="CK3" s="38">
        <f>BL3/BJ3</f>
        <v>15.859370952386332</v>
      </c>
      <c r="CL3" s="247"/>
      <c r="CM3" s="247"/>
      <c r="CN3" s="247"/>
      <c r="CO3" s="36" t="s">
        <v>4073</v>
      </c>
      <c r="CP3" s="496" t="s">
        <v>4093</v>
      </c>
      <c r="CQ3" s="241" t="s">
        <v>272</v>
      </c>
      <c r="CR3" s="241"/>
      <c r="CS3" s="33"/>
      <c r="CT3" s="33"/>
      <c r="CU3" s="250"/>
      <c r="CV3" s="337">
        <f>X3/BJ3</f>
        <v>54.699449732631003</v>
      </c>
      <c r="CW3" s="330">
        <f>IF(CV3&lt;1,0,1)</f>
        <v>1</v>
      </c>
      <c r="CX3" s="330"/>
      <c r="CY3" s="143" t="s">
        <v>5921</v>
      </c>
    </row>
    <row r="4" spans="1:103" ht="11.25" customHeight="1" x14ac:dyDescent="0.2">
      <c r="A4" s="72">
        <v>308</v>
      </c>
      <c r="B4" s="149">
        <v>2157</v>
      </c>
      <c r="C4" s="54" t="s">
        <v>5917</v>
      </c>
      <c r="D4" s="54"/>
      <c r="E4" s="59"/>
      <c r="F4" s="167" t="s">
        <v>5910</v>
      </c>
      <c r="G4" s="151">
        <v>77458016</v>
      </c>
      <c r="H4" s="67" t="s">
        <v>5911</v>
      </c>
      <c r="I4" s="67" t="s">
        <v>8327</v>
      </c>
      <c r="J4" s="67" t="s">
        <v>5912</v>
      </c>
      <c r="K4" s="67" t="s">
        <v>5913</v>
      </c>
      <c r="L4" s="67"/>
      <c r="M4" s="67"/>
      <c r="N4" s="60"/>
      <c r="O4" s="67"/>
      <c r="P4" s="67">
        <v>3</v>
      </c>
      <c r="Q4" s="67" t="s">
        <v>6173</v>
      </c>
      <c r="R4" s="67">
        <v>1</v>
      </c>
      <c r="S4" s="67" t="s">
        <v>6173</v>
      </c>
      <c r="T4" s="61">
        <v>360.8</v>
      </c>
      <c r="U4" s="111">
        <v>33</v>
      </c>
      <c r="V4" s="111">
        <v>3.214</v>
      </c>
      <c r="W4" s="111">
        <v>48.670580803906851</v>
      </c>
      <c r="X4" s="111">
        <v>33</v>
      </c>
      <c r="Y4" s="411">
        <v>7</v>
      </c>
      <c r="Z4" s="61">
        <v>3.76</v>
      </c>
      <c r="AA4" s="61">
        <v>3.77</v>
      </c>
      <c r="AB4" s="61">
        <v>3.67</v>
      </c>
      <c r="AC4" s="61">
        <v>0.7994</v>
      </c>
      <c r="AD4" s="61">
        <v>3.76</v>
      </c>
      <c r="AE4" s="61">
        <v>4.01</v>
      </c>
      <c r="AF4" s="61">
        <f t="shared" si="0"/>
        <v>3.77</v>
      </c>
      <c r="AG4" s="62">
        <v>3.76</v>
      </c>
      <c r="AH4" s="111">
        <v>2.1800000000000001E-13</v>
      </c>
      <c r="AI4" s="111">
        <v>1.73E-10</v>
      </c>
      <c r="AJ4" s="62">
        <f t="shared" si="1"/>
        <v>-11.050109832708047</v>
      </c>
      <c r="AK4" s="62">
        <f>LOG10(AI4*1000/(0.08206*298.15))</f>
        <v>-8.1505202231838556</v>
      </c>
      <c r="AL4" s="62">
        <f t="shared" si="2"/>
        <v>-8.1505202231838556</v>
      </c>
      <c r="AM4" s="62">
        <v>-16.12341</v>
      </c>
      <c r="AN4" s="163"/>
      <c r="AO4" s="410"/>
      <c r="AP4" s="410">
        <v>-1.95</v>
      </c>
      <c r="AQ4" s="163" t="s">
        <v>6314</v>
      </c>
      <c r="AR4" s="163" t="s">
        <v>6314</v>
      </c>
      <c r="AS4" s="164" t="s">
        <v>5466</v>
      </c>
      <c r="AT4" s="63" t="s">
        <v>266</v>
      </c>
      <c r="AU4" s="61">
        <v>0</v>
      </c>
      <c r="AV4" s="61">
        <v>96</v>
      </c>
      <c r="AW4" s="61">
        <v>96</v>
      </c>
      <c r="AX4" s="61">
        <v>28</v>
      </c>
      <c r="AY4" s="61" t="s">
        <v>267</v>
      </c>
      <c r="AZ4" s="61" t="s">
        <v>5914</v>
      </c>
      <c r="BA4" s="61"/>
      <c r="BB4" s="67" t="s">
        <v>5487</v>
      </c>
      <c r="BC4" s="67" t="s">
        <v>5915</v>
      </c>
      <c r="BD4" s="67" t="s">
        <v>8374</v>
      </c>
      <c r="BE4" s="61" t="s">
        <v>5733</v>
      </c>
      <c r="BF4" s="61"/>
      <c r="BG4" s="61"/>
      <c r="BH4" s="61"/>
      <c r="BI4" s="153">
        <v>1.9999999096000003</v>
      </c>
      <c r="BJ4" s="153">
        <v>6.0000000896000003</v>
      </c>
      <c r="BK4" s="165"/>
      <c r="BL4" s="153">
        <v>7.7841380396557085</v>
      </c>
      <c r="BM4" s="61"/>
      <c r="BN4" s="61">
        <v>2.7499999208000001</v>
      </c>
      <c r="BO4" s="61">
        <v>2.4399998392</v>
      </c>
      <c r="BP4" s="61">
        <v>2.4399998392</v>
      </c>
      <c r="BQ4" s="61">
        <v>2.2300001680000001</v>
      </c>
      <c r="BR4" s="61"/>
      <c r="BS4" s="61"/>
      <c r="BT4" s="61"/>
      <c r="BU4" s="158"/>
      <c r="BV4" s="61"/>
      <c r="BW4" s="61"/>
      <c r="BX4" s="61"/>
      <c r="BY4" s="61"/>
      <c r="BZ4" s="61"/>
      <c r="CA4" s="61"/>
      <c r="CB4" s="61"/>
      <c r="CC4" s="61"/>
      <c r="CD4" s="61"/>
      <c r="CE4" s="61"/>
      <c r="CF4" s="61"/>
      <c r="CG4" s="61"/>
      <c r="CH4" s="61"/>
      <c r="CI4" s="111">
        <v>2.2300001680000001</v>
      </c>
      <c r="CJ4" s="103">
        <f t="shared" ref="CJ4:CJ14" si="3">LOG10(CI4)</f>
        <v>0.3483048957663088</v>
      </c>
      <c r="CK4" s="57">
        <f>BL4/BJ4</f>
        <v>1.2973563205687637</v>
      </c>
      <c r="CL4" s="160">
        <f t="shared" ref="CL4:CL14" si="4">BL4/CI4</f>
        <v>3.4906445978598275</v>
      </c>
      <c r="CM4" s="160"/>
      <c r="CN4" s="160"/>
      <c r="CO4" s="67"/>
      <c r="CP4" s="161" t="s">
        <v>5916</v>
      </c>
      <c r="CQ4" s="149" t="s">
        <v>272</v>
      </c>
      <c r="CR4" s="349"/>
      <c r="CS4" s="61" t="s">
        <v>539</v>
      </c>
      <c r="CT4" s="61"/>
      <c r="CU4" s="111">
        <f t="shared" ref="CU4:CU14" si="5">X4/CI4</f>
        <v>14.798205163184543</v>
      </c>
      <c r="CV4" s="331">
        <f>X4/BJ4</f>
        <v>5.4999999178666679</v>
      </c>
      <c r="CW4" s="326">
        <f t="shared" ref="CW4:CW14" si="6">IF(CU4&lt;2,0,1)</f>
        <v>1</v>
      </c>
      <c r="CX4" s="326" t="s">
        <v>539</v>
      </c>
      <c r="CY4" s="161" t="s">
        <v>5921</v>
      </c>
    </row>
    <row r="5" spans="1:103" ht="11.25" customHeight="1" x14ac:dyDescent="0.2">
      <c r="A5" s="72">
        <v>309</v>
      </c>
      <c r="B5" s="149">
        <v>2156</v>
      </c>
      <c r="C5" s="54" t="s">
        <v>5909</v>
      </c>
      <c r="D5" s="54"/>
      <c r="E5" s="59"/>
      <c r="F5" s="167" t="s">
        <v>5910</v>
      </c>
      <c r="G5" s="151">
        <v>77458016</v>
      </c>
      <c r="H5" s="67" t="s">
        <v>5911</v>
      </c>
      <c r="I5" s="67" t="s">
        <v>8327</v>
      </c>
      <c r="J5" s="67" t="s">
        <v>5912</v>
      </c>
      <c r="K5" s="67" t="s">
        <v>5913</v>
      </c>
      <c r="L5" s="67"/>
      <c r="M5" s="67"/>
      <c r="N5" s="60"/>
      <c r="O5" s="67"/>
      <c r="P5" s="67">
        <v>3</v>
      </c>
      <c r="Q5" s="67" t="s">
        <v>6173</v>
      </c>
      <c r="R5" s="67">
        <v>1</v>
      </c>
      <c r="S5" s="67" t="s">
        <v>6173</v>
      </c>
      <c r="T5" s="61">
        <v>360.8</v>
      </c>
      <c r="U5" s="111">
        <v>33</v>
      </c>
      <c r="V5" s="111">
        <v>3.214</v>
      </c>
      <c r="W5" s="111">
        <v>48.670580803906851</v>
      </c>
      <c r="X5" s="111">
        <v>33</v>
      </c>
      <c r="Y5" s="411">
        <v>7</v>
      </c>
      <c r="Z5" s="61">
        <v>3.76</v>
      </c>
      <c r="AA5" s="61">
        <v>3.77</v>
      </c>
      <c r="AB5" s="61">
        <v>3.67</v>
      </c>
      <c r="AC5" s="61">
        <v>0.7994</v>
      </c>
      <c r="AD5" s="61">
        <v>3.76</v>
      </c>
      <c r="AE5" s="61">
        <v>4.01</v>
      </c>
      <c r="AF5" s="61">
        <f t="shared" si="0"/>
        <v>3.77</v>
      </c>
      <c r="AG5" s="62">
        <v>3.76</v>
      </c>
      <c r="AH5" s="111">
        <v>2.1800000000000001E-13</v>
      </c>
      <c r="AI5" s="111">
        <v>1.73E-10</v>
      </c>
      <c r="AJ5" s="62">
        <f t="shared" si="1"/>
        <v>-11.050109832708047</v>
      </c>
      <c r="AK5" s="62">
        <f>LOG10(AI5*1000/(0.08206*298.15))</f>
        <v>-8.1505202231838556</v>
      </c>
      <c r="AL5" s="62">
        <f t="shared" si="2"/>
        <v>-8.1505202231838556</v>
      </c>
      <c r="AM5" s="62">
        <v>-16.12341</v>
      </c>
      <c r="AN5" s="163"/>
      <c r="AO5" s="410"/>
      <c r="AP5" s="410">
        <v>-1.95</v>
      </c>
      <c r="AQ5" s="163" t="s">
        <v>6314</v>
      </c>
      <c r="AR5" s="163" t="s">
        <v>6314</v>
      </c>
      <c r="AS5" s="164" t="s">
        <v>5466</v>
      </c>
      <c r="AT5" s="63" t="s">
        <v>266</v>
      </c>
      <c r="AU5" s="61">
        <v>0</v>
      </c>
      <c r="AV5" s="61">
        <v>96</v>
      </c>
      <c r="AW5" s="61">
        <v>96</v>
      </c>
      <c r="AX5" s="61">
        <v>28</v>
      </c>
      <c r="AY5" s="61" t="s">
        <v>267</v>
      </c>
      <c r="AZ5" s="61" t="s">
        <v>5914</v>
      </c>
      <c r="BA5" s="61"/>
      <c r="BB5" s="67" t="s">
        <v>5487</v>
      </c>
      <c r="BC5" s="67" t="s">
        <v>5915</v>
      </c>
      <c r="BD5" s="67" t="s">
        <v>8374</v>
      </c>
      <c r="BE5" s="61" t="s">
        <v>5733</v>
      </c>
      <c r="BF5" s="61"/>
      <c r="BG5" s="61"/>
      <c r="BH5" s="61"/>
      <c r="BI5" s="153">
        <v>1.9999999096000003</v>
      </c>
      <c r="BJ5" s="153">
        <v>3.5999999815999999</v>
      </c>
      <c r="BK5" s="165"/>
      <c r="BL5" s="153">
        <v>7.7841380396557085</v>
      </c>
      <c r="BM5" s="61"/>
      <c r="BN5" s="61">
        <v>2.9800001792000002</v>
      </c>
      <c r="BO5" s="61">
        <v>2.8699998360000003</v>
      </c>
      <c r="BP5" s="61">
        <v>2.5700000479999998</v>
      </c>
      <c r="BQ5" s="61">
        <v>2.5700000479999998</v>
      </c>
      <c r="BR5" s="61"/>
      <c r="BS5" s="61"/>
      <c r="BT5" s="61"/>
      <c r="BU5" s="158"/>
      <c r="BV5" s="61"/>
      <c r="BW5" s="61"/>
      <c r="BX5" s="61"/>
      <c r="BY5" s="61"/>
      <c r="BZ5" s="61"/>
      <c r="CA5" s="61"/>
      <c r="CB5" s="61"/>
      <c r="CC5" s="61"/>
      <c r="CD5" s="61"/>
      <c r="CE5" s="61"/>
      <c r="CF5" s="61"/>
      <c r="CG5" s="61"/>
      <c r="CH5" s="61"/>
      <c r="CI5" s="111">
        <v>2.5700000479999998</v>
      </c>
      <c r="CJ5" s="103">
        <f t="shared" si="3"/>
        <v>0.40993313144263105</v>
      </c>
      <c r="CK5" s="57">
        <f>BL5/BJ5</f>
        <v>2.1622605776225843</v>
      </c>
      <c r="CL5" s="160">
        <f t="shared" si="4"/>
        <v>3.0288474296774446</v>
      </c>
      <c r="CM5" s="160"/>
      <c r="CN5" s="160"/>
      <c r="CO5" s="67"/>
      <c r="CP5" s="161" t="s">
        <v>5916</v>
      </c>
      <c r="CQ5" s="149" t="s">
        <v>272</v>
      </c>
      <c r="CR5" s="349"/>
      <c r="CS5" s="61" t="s">
        <v>539</v>
      </c>
      <c r="CT5" s="61"/>
      <c r="CU5" s="111">
        <f t="shared" si="5"/>
        <v>12.840466686248094</v>
      </c>
      <c r="CV5" s="331">
        <f>X5/BJ5</f>
        <v>9.1666667135185183</v>
      </c>
      <c r="CW5" s="326">
        <f t="shared" si="6"/>
        <v>1</v>
      </c>
      <c r="CX5" s="326" t="s">
        <v>539</v>
      </c>
      <c r="CY5" s="161" t="s">
        <v>5921</v>
      </c>
    </row>
    <row r="6" spans="1:103" ht="11.25" customHeight="1" x14ac:dyDescent="0.2">
      <c r="A6" s="72">
        <v>310</v>
      </c>
      <c r="B6" s="149">
        <v>2158</v>
      </c>
      <c r="C6" s="54" t="s">
        <v>5918</v>
      </c>
      <c r="D6" s="54"/>
      <c r="E6" s="59"/>
      <c r="F6" s="167" t="s">
        <v>5910</v>
      </c>
      <c r="G6" s="151">
        <v>77458016</v>
      </c>
      <c r="H6" s="67" t="s">
        <v>5911</v>
      </c>
      <c r="I6" s="67" t="s">
        <v>8327</v>
      </c>
      <c r="J6" s="67" t="s">
        <v>5912</v>
      </c>
      <c r="K6" s="67" t="s">
        <v>5913</v>
      </c>
      <c r="L6" s="67"/>
      <c r="M6" s="67"/>
      <c r="N6" s="60"/>
      <c r="O6" s="67"/>
      <c r="P6" s="67">
        <v>3</v>
      </c>
      <c r="Q6" s="67" t="s">
        <v>6173</v>
      </c>
      <c r="R6" s="67">
        <v>1</v>
      </c>
      <c r="S6" s="67" t="s">
        <v>6173</v>
      </c>
      <c r="T6" s="61">
        <v>360.8</v>
      </c>
      <c r="U6" s="111">
        <v>33</v>
      </c>
      <c r="V6" s="111">
        <v>3.214</v>
      </c>
      <c r="W6" s="111">
        <v>48.670580803906851</v>
      </c>
      <c r="X6" s="111">
        <v>33</v>
      </c>
      <c r="Y6" s="411">
        <v>7</v>
      </c>
      <c r="Z6" s="61">
        <v>3.76</v>
      </c>
      <c r="AA6" s="61">
        <v>3.77</v>
      </c>
      <c r="AB6" s="61">
        <v>3.67</v>
      </c>
      <c r="AC6" s="61">
        <v>0.7994</v>
      </c>
      <c r="AD6" s="61">
        <v>3.76</v>
      </c>
      <c r="AE6" s="61">
        <v>4.01</v>
      </c>
      <c r="AF6" s="61">
        <f t="shared" si="0"/>
        <v>3.77</v>
      </c>
      <c r="AG6" s="61">
        <v>3.76</v>
      </c>
      <c r="AH6" s="111">
        <v>2.1800000000000001E-13</v>
      </c>
      <c r="AI6" s="111">
        <v>1.73E-10</v>
      </c>
      <c r="AJ6" s="62">
        <f t="shared" si="1"/>
        <v>-11.050109832708047</v>
      </c>
      <c r="AK6" s="62">
        <f>LOG10(AI6*1000/(0.08206*298.15))</f>
        <v>-8.1505202231838556</v>
      </c>
      <c r="AL6" s="62">
        <f t="shared" si="2"/>
        <v>-8.1505202231838556</v>
      </c>
      <c r="AM6" s="62">
        <v>-16.12341</v>
      </c>
      <c r="AN6" s="163"/>
      <c r="AO6" s="410"/>
      <c r="AP6" s="410">
        <v>-1.95</v>
      </c>
      <c r="AQ6" s="163" t="s">
        <v>6314</v>
      </c>
      <c r="AR6" s="163" t="s">
        <v>6314</v>
      </c>
      <c r="AS6" s="164" t="s">
        <v>5466</v>
      </c>
      <c r="AT6" s="63" t="s">
        <v>266</v>
      </c>
      <c r="AU6" s="61">
        <v>0</v>
      </c>
      <c r="AV6" s="61">
        <v>96</v>
      </c>
      <c r="AW6" s="61">
        <v>96</v>
      </c>
      <c r="AX6" s="61">
        <v>28</v>
      </c>
      <c r="AY6" s="61" t="s">
        <v>267</v>
      </c>
      <c r="AZ6" s="61" t="s">
        <v>5914</v>
      </c>
      <c r="BA6" s="61"/>
      <c r="BB6" s="67" t="s">
        <v>5487</v>
      </c>
      <c r="BC6" s="67" t="s">
        <v>5915</v>
      </c>
      <c r="BD6" s="67" t="s">
        <v>8374</v>
      </c>
      <c r="BE6" s="61" t="s">
        <v>5733</v>
      </c>
      <c r="BF6" s="61"/>
      <c r="BG6" s="61"/>
      <c r="BH6" s="61"/>
      <c r="BI6" s="153">
        <v>1.9999999096000003</v>
      </c>
      <c r="BJ6" s="153">
        <v>6.0000000896000003</v>
      </c>
      <c r="BK6" s="165"/>
      <c r="BL6" s="153">
        <v>7.7841380396557085</v>
      </c>
      <c r="BM6" s="61"/>
      <c r="BN6" s="61">
        <v>4.4400001095999997</v>
      </c>
      <c r="BO6" s="61">
        <v>4.2800001024000007</v>
      </c>
      <c r="BP6" s="61">
        <v>4.0200000455999998</v>
      </c>
      <c r="BQ6" s="61">
        <v>3.9899998864000001</v>
      </c>
      <c r="BR6" s="61"/>
      <c r="BS6" s="61"/>
      <c r="BT6" s="61"/>
      <c r="BU6" s="158"/>
      <c r="BV6" s="61"/>
      <c r="BW6" s="61"/>
      <c r="BX6" s="61"/>
      <c r="BY6" s="61"/>
      <c r="BZ6" s="61"/>
      <c r="CA6" s="61"/>
      <c r="CB6" s="61"/>
      <c r="CC6" s="61"/>
      <c r="CD6" s="61"/>
      <c r="CE6" s="61"/>
      <c r="CF6" s="61"/>
      <c r="CG6" s="61"/>
      <c r="CH6" s="61"/>
      <c r="CI6" s="111">
        <v>3.9899998864000001</v>
      </c>
      <c r="CJ6" s="103">
        <f t="shared" si="3"/>
        <v>0.6009728833218726</v>
      </c>
      <c r="CK6" s="57">
        <f>BL6/BJ6</f>
        <v>1.2973563205687637</v>
      </c>
      <c r="CL6" s="160">
        <f t="shared" si="4"/>
        <v>1.9509118449321539</v>
      </c>
      <c r="CM6" s="160"/>
      <c r="CN6" s="160"/>
      <c r="CO6" s="67"/>
      <c r="CP6" s="161" t="s">
        <v>5916</v>
      </c>
      <c r="CQ6" s="149" t="s">
        <v>272</v>
      </c>
      <c r="CR6" s="349"/>
      <c r="CS6" s="61" t="s">
        <v>539</v>
      </c>
      <c r="CT6" s="61"/>
      <c r="CU6" s="111">
        <f t="shared" si="5"/>
        <v>8.270676927205237</v>
      </c>
      <c r="CV6" s="331">
        <f>X6/BJ6</f>
        <v>5.4999999178666679</v>
      </c>
      <c r="CW6" s="326">
        <f t="shared" si="6"/>
        <v>1</v>
      </c>
      <c r="CX6" s="326" t="s">
        <v>539</v>
      </c>
      <c r="CY6" s="161" t="s">
        <v>5921</v>
      </c>
    </row>
    <row r="7" spans="1:103" ht="11.25" customHeight="1" x14ac:dyDescent="0.2">
      <c r="A7" s="72">
        <v>1888</v>
      </c>
      <c r="B7" s="241">
        <v>2154</v>
      </c>
      <c r="C7" s="32" t="s">
        <v>5894</v>
      </c>
      <c r="D7" s="32"/>
      <c r="E7" s="40"/>
      <c r="F7" s="40" t="s">
        <v>5895</v>
      </c>
      <c r="G7" s="242">
        <v>21259201</v>
      </c>
      <c r="H7" s="41" t="s">
        <v>5896</v>
      </c>
      <c r="I7" s="41" t="s">
        <v>5896</v>
      </c>
      <c r="J7" s="41" t="s">
        <v>5897</v>
      </c>
      <c r="K7" s="41" t="s">
        <v>5898</v>
      </c>
      <c r="L7" s="41"/>
      <c r="M7" s="41"/>
      <c r="N7" s="36"/>
      <c r="O7" s="41"/>
      <c r="P7" s="41"/>
      <c r="Q7" s="41"/>
      <c r="R7" s="41"/>
      <c r="S7" s="41"/>
      <c r="T7" s="33">
        <v>466.52</v>
      </c>
      <c r="U7" s="250"/>
      <c r="V7" s="250">
        <v>43.99</v>
      </c>
      <c r="W7" s="250">
        <v>573.94498695939183</v>
      </c>
      <c r="X7" s="250">
        <v>573.94498695939183</v>
      </c>
      <c r="Y7" s="415">
        <v>7</v>
      </c>
      <c r="Z7" s="33">
        <v>2.27</v>
      </c>
      <c r="AA7" s="33"/>
      <c r="AB7" s="33">
        <v>2</v>
      </c>
      <c r="AC7" s="33">
        <v>0.62409999999999999</v>
      </c>
      <c r="AD7" s="33">
        <v>2.1</v>
      </c>
      <c r="AE7" s="33">
        <v>2.25</v>
      </c>
      <c r="AF7" s="33">
        <f t="shared" si="0"/>
        <v>2.1</v>
      </c>
      <c r="AG7" s="34">
        <v>2.1</v>
      </c>
      <c r="AH7" s="250">
        <v>5.4499999999999999E-19</v>
      </c>
      <c r="AI7" s="250"/>
      <c r="AJ7" s="34">
        <f t="shared" si="1"/>
        <v>-16.652169824036008</v>
      </c>
      <c r="AK7" s="34"/>
      <c r="AL7" s="34">
        <f t="shared" si="2"/>
        <v>-16.652169824036008</v>
      </c>
      <c r="AM7" s="34">
        <v>-19.878540000000001</v>
      </c>
      <c r="AN7" s="251"/>
      <c r="AO7" s="417">
        <v>13.24</v>
      </c>
      <c r="AP7" s="417"/>
      <c r="AQ7" s="251" t="s">
        <v>6312</v>
      </c>
      <c r="AR7" s="251" t="s">
        <v>6312</v>
      </c>
      <c r="AS7" s="252" t="s">
        <v>5466</v>
      </c>
      <c r="AT7" s="35" t="s">
        <v>266</v>
      </c>
      <c r="AU7" s="33">
        <v>4</v>
      </c>
      <c r="AV7" s="33">
        <v>144</v>
      </c>
      <c r="AW7" s="33">
        <v>140</v>
      </c>
      <c r="AX7" s="33">
        <v>28</v>
      </c>
      <c r="AY7" s="33" t="s">
        <v>267</v>
      </c>
      <c r="AZ7" s="33" t="s">
        <v>5671</v>
      </c>
      <c r="BA7" s="33">
        <v>12</v>
      </c>
      <c r="BB7" s="41" t="s">
        <v>5487</v>
      </c>
      <c r="BC7" s="41" t="s">
        <v>5597</v>
      </c>
      <c r="BD7" s="41"/>
      <c r="BE7" s="33"/>
      <c r="BF7" s="33" t="s">
        <v>5681</v>
      </c>
      <c r="BG7" s="33" t="s">
        <v>5899</v>
      </c>
      <c r="BH7" s="33"/>
      <c r="BI7" s="250">
        <v>2.3326E-2</v>
      </c>
      <c r="BJ7" s="250">
        <v>0.37321599999999999</v>
      </c>
      <c r="BK7" s="254"/>
      <c r="BL7" s="263">
        <v>219.27204498205279</v>
      </c>
      <c r="BM7" s="33"/>
      <c r="BN7" s="33">
        <v>0.15395159999999999</v>
      </c>
      <c r="BO7" s="33">
        <v>0.14462120000000001</v>
      </c>
      <c r="BP7" s="33">
        <v>0.14462120000000001</v>
      </c>
      <c r="BQ7" s="33"/>
      <c r="BR7" s="33"/>
      <c r="BS7" s="33"/>
      <c r="BT7" s="33">
        <v>0.13062559999999998</v>
      </c>
      <c r="BU7" s="246"/>
      <c r="BV7" s="33"/>
      <c r="BW7" s="33"/>
      <c r="BX7" s="33"/>
      <c r="BY7" s="33"/>
      <c r="BZ7" s="33"/>
      <c r="CA7" s="33"/>
      <c r="CB7" s="33"/>
      <c r="CC7" s="33"/>
      <c r="CD7" s="33"/>
      <c r="CE7" s="33"/>
      <c r="CF7" s="33"/>
      <c r="CG7" s="33"/>
      <c r="CH7" s="33"/>
      <c r="CI7" s="250">
        <v>0.13062559999999998</v>
      </c>
      <c r="CJ7" s="243">
        <f t="shared" si="3"/>
        <v>-0.8839717017039852</v>
      </c>
      <c r="CK7" s="38">
        <f>BL7/BJ7</f>
        <v>587.52048406834865</v>
      </c>
      <c r="CL7" s="247">
        <f t="shared" si="4"/>
        <v>1678.6299544809963</v>
      </c>
      <c r="CM7" s="247"/>
      <c r="CN7" s="247"/>
      <c r="CO7" s="41"/>
      <c r="CP7" s="143" t="s">
        <v>5900</v>
      </c>
      <c r="CQ7" s="241" t="s">
        <v>272</v>
      </c>
      <c r="CR7" s="241"/>
      <c r="CS7" s="33"/>
      <c r="CT7" s="33"/>
      <c r="CU7" s="250">
        <f t="shared" si="5"/>
        <v>4393.8170386156462</v>
      </c>
      <c r="CV7" s="337">
        <f>X7/BJ7</f>
        <v>1537.8359635154759</v>
      </c>
      <c r="CW7" s="330">
        <f t="shared" si="6"/>
        <v>1</v>
      </c>
      <c r="CX7" s="330"/>
      <c r="CY7" s="143" t="s">
        <v>5921</v>
      </c>
    </row>
    <row r="8" spans="1:103" ht="11.25" customHeight="1" x14ac:dyDescent="0.2">
      <c r="A8" s="72">
        <v>507</v>
      </c>
      <c r="B8" s="149">
        <v>723</v>
      </c>
      <c r="C8" s="54" t="s">
        <v>1354</v>
      </c>
      <c r="D8" s="54"/>
      <c r="E8" s="59"/>
      <c r="F8" s="59" t="s">
        <v>1355</v>
      </c>
      <c r="G8" s="151">
        <v>1763231</v>
      </c>
      <c r="H8" s="55" t="s">
        <v>1356</v>
      </c>
      <c r="I8" s="55" t="s">
        <v>1356</v>
      </c>
      <c r="J8" s="55" t="s">
        <v>1357</v>
      </c>
      <c r="K8" s="55" t="s">
        <v>426</v>
      </c>
      <c r="L8" s="55"/>
      <c r="M8" s="55"/>
      <c r="N8" s="60"/>
      <c r="O8" s="55"/>
      <c r="P8" s="67"/>
      <c r="Q8" s="67"/>
      <c r="R8" s="67"/>
      <c r="S8" s="67"/>
      <c r="T8" s="56">
        <v>500.13</v>
      </c>
      <c r="U8" s="103"/>
      <c r="V8" s="103">
        <v>0.10390000000000001</v>
      </c>
      <c r="W8" s="103">
        <v>2685.8571231865435</v>
      </c>
      <c r="X8" s="103">
        <v>2685.8571231865435</v>
      </c>
      <c r="Y8" s="162">
        <v>2.27</v>
      </c>
      <c r="Z8" s="56">
        <v>4.49</v>
      </c>
      <c r="AA8" s="56"/>
      <c r="AB8" s="56">
        <v>2.3199999999999998</v>
      </c>
      <c r="AC8" s="56">
        <v>0.56120000000000003</v>
      </c>
      <c r="AD8" s="56">
        <v>4.16</v>
      </c>
      <c r="AE8" s="56">
        <v>7.03</v>
      </c>
      <c r="AF8" s="56">
        <f t="shared" si="0"/>
        <v>4.16</v>
      </c>
      <c r="AG8" s="57">
        <v>4.3899999999999997</v>
      </c>
      <c r="AH8" s="103">
        <v>1.0999999999999999E-2</v>
      </c>
      <c r="AI8" s="103"/>
      <c r="AJ8" s="62">
        <f t="shared" si="1"/>
        <v>-0.34717364115442678</v>
      </c>
      <c r="AK8" s="62"/>
      <c r="AL8" s="62">
        <f t="shared" si="2"/>
        <v>-0.34717364115442678</v>
      </c>
      <c r="AM8" s="62">
        <v>-3.9819300000000002</v>
      </c>
      <c r="AN8" s="154">
        <v>-7.26</v>
      </c>
      <c r="AO8" s="410">
        <v>-3.27</v>
      </c>
      <c r="AP8" s="410"/>
      <c r="AQ8" s="154" t="s">
        <v>6311</v>
      </c>
      <c r="AR8" s="154" t="s">
        <v>6311</v>
      </c>
      <c r="AS8" s="149" t="s">
        <v>63</v>
      </c>
      <c r="AT8" s="58" t="s">
        <v>266</v>
      </c>
      <c r="AU8" s="56">
        <v>2</v>
      </c>
      <c r="AV8" s="56">
        <v>96</v>
      </c>
      <c r="AW8" s="56">
        <v>96</v>
      </c>
      <c r="AX8" s="56" t="s">
        <v>8722</v>
      </c>
      <c r="AY8" s="56" t="s">
        <v>8722</v>
      </c>
      <c r="AZ8" s="56" t="s">
        <v>8722</v>
      </c>
      <c r="BA8" s="56" t="s">
        <v>8722</v>
      </c>
      <c r="BB8" s="55" t="s">
        <v>8722</v>
      </c>
      <c r="BC8" s="55" t="s">
        <v>8722</v>
      </c>
      <c r="BD8" s="55"/>
      <c r="BE8" s="56" t="s">
        <v>8722</v>
      </c>
      <c r="BF8" s="56" t="s">
        <v>8722</v>
      </c>
      <c r="BG8" s="56" t="s">
        <v>8722</v>
      </c>
      <c r="BH8" s="56" t="s">
        <v>8722</v>
      </c>
      <c r="BI8" s="103" t="s">
        <v>8722</v>
      </c>
      <c r="BJ8" s="103" t="s">
        <v>8722</v>
      </c>
      <c r="BK8" s="56"/>
      <c r="BL8" s="153">
        <v>2.3845910314689278</v>
      </c>
      <c r="BM8" s="55" t="s">
        <v>2048</v>
      </c>
      <c r="BN8" s="56"/>
      <c r="BO8" s="56">
        <v>107</v>
      </c>
      <c r="BP8" s="56"/>
      <c r="BQ8" s="56">
        <v>71</v>
      </c>
      <c r="BR8" s="56"/>
      <c r="BS8" s="56"/>
      <c r="BT8" s="56"/>
      <c r="BU8" s="158"/>
      <c r="BV8" s="56"/>
      <c r="BW8" s="56"/>
      <c r="BX8" s="56"/>
      <c r="BY8" s="56"/>
      <c r="BZ8" s="56"/>
      <c r="CA8" s="56"/>
      <c r="CB8" s="56"/>
      <c r="CC8" s="56"/>
      <c r="CD8" s="56"/>
      <c r="CE8" s="56"/>
      <c r="CF8" s="56"/>
      <c r="CG8" s="56"/>
      <c r="CH8" s="56"/>
      <c r="CI8" s="103">
        <v>71</v>
      </c>
      <c r="CJ8" s="103">
        <f t="shared" si="3"/>
        <v>1.8512583487190752</v>
      </c>
      <c r="CK8" s="57"/>
      <c r="CL8" s="160">
        <f t="shared" si="4"/>
        <v>3.3585789175618705E-2</v>
      </c>
      <c r="CM8" s="160"/>
      <c r="CN8" s="160"/>
      <c r="CO8" s="55" t="s">
        <v>1641</v>
      </c>
      <c r="CP8" s="497" t="s">
        <v>2049</v>
      </c>
      <c r="CQ8" s="149" t="s">
        <v>272</v>
      </c>
      <c r="CR8" s="349"/>
      <c r="CS8" s="61" t="s">
        <v>539</v>
      </c>
      <c r="CT8" s="61"/>
      <c r="CU8" s="111">
        <f t="shared" si="5"/>
        <v>37.828973566007654</v>
      </c>
      <c r="CV8" s="331"/>
      <c r="CW8" s="326">
        <f t="shared" si="6"/>
        <v>1</v>
      </c>
      <c r="CX8" s="326"/>
      <c r="CY8" s="161" t="s">
        <v>5921</v>
      </c>
    </row>
    <row r="9" spans="1:103" ht="11.25" customHeight="1" x14ac:dyDescent="0.2">
      <c r="A9" s="72">
        <v>508</v>
      </c>
      <c r="B9" s="149">
        <v>725</v>
      </c>
      <c r="C9" s="54" t="s">
        <v>6792</v>
      </c>
      <c r="D9" s="54"/>
      <c r="E9" s="59"/>
      <c r="F9" s="59" t="s">
        <v>2050</v>
      </c>
      <c r="G9" s="151">
        <v>335671</v>
      </c>
      <c r="H9" s="55" t="s">
        <v>2051</v>
      </c>
      <c r="I9" s="55" t="s">
        <v>2051</v>
      </c>
      <c r="J9" s="55" t="s">
        <v>2052</v>
      </c>
      <c r="K9" s="55" t="s">
        <v>426</v>
      </c>
      <c r="L9" s="55"/>
      <c r="M9" s="55"/>
      <c r="N9" s="60"/>
      <c r="O9" s="55"/>
      <c r="P9" s="67"/>
      <c r="Q9" s="67"/>
      <c r="R9" s="67"/>
      <c r="S9" s="67"/>
      <c r="T9" s="56">
        <v>414.07</v>
      </c>
      <c r="U9" s="103"/>
      <c r="V9" s="103">
        <v>0.48130000000000001</v>
      </c>
      <c r="W9" s="103">
        <v>443.6839987197352</v>
      </c>
      <c r="X9" s="103">
        <v>443.6839987197352</v>
      </c>
      <c r="Y9" s="162">
        <v>2.98</v>
      </c>
      <c r="Z9" s="56">
        <v>4.8099999999999996</v>
      </c>
      <c r="AA9" s="56"/>
      <c r="AB9" s="56">
        <v>4.2</v>
      </c>
      <c r="AC9" s="56">
        <v>0.57179999999999997</v>
      </c>
      <c r="AD9" s="56">
        <v>5.57</v>
      </c>
      <c r="AE9" s="56">
        <v>7.75</v>
      </c>
      <c r="AF9" s="56">
        <f t="shared" si="0"/>
        <v>5.57</v>
      </c>
      <c r="AG9" s="57">
        <v>3.71</v>
      </c>
      <c r="AH9" s="103">
        <v>9.0800000000000006E-2</v>
      </c>
      <c r="AI9" s="103"/>
      <c r="AJ9" s="62">
        <f t="shared" si="1"/>
        <v>0.56951952220843338</v>
      </c>
      <c r="AK9" s="62"/>
      <c r="AL9" s="62">
        <f t="shared" si="2"/>
        <v>0.56951952220843338</v>
      </c>
      <c r="AM9" s="62">
        <v>-2.2879299999999998</v>
      </c>
      <c r="AN9" s="154">
        <v>-6.09</v>
      </c>
      <c r="AO9" s="410">
        <v>0.5</v>
      </c>
      <c r="AP9" s="410"/>
      <c r="AQ9" s="154" t="s">
        <v>6311</v>
      </c>
      <c r="AR9" s="154" t="s">
        <v>6311</v>
      </c>
      <c r="AS9" s="149" t="s">
        <v>6</v>
      </c>
      <c r="AT9" s="58" t="s">
        <v>266</v>
      </c>
      <c r="AU9" s="56">
        <v>2</v>
      </c>
      <c r="AV9" s="56">
        <v>96</v>
      </c>
      <c r="AW9" s="56">
        <v>96</v>
      </c>
      <c r="AX9" s="56" t="s">
        <v>8722</v>
      </c>
      <c r="AY9" s="56" t="s">
        <v>8722</v>
      </c>
      <c r="AZ9" s="56" t="s">
        <v>8722</v>
      </c>
      <c r="BA9" s="56" t="s">
        <v>8722</v>
      </c>
      <c r="BB9" s="55" t="s">
        <v>8722</v>
      </c>
      <c r="BC9" s="55" t="s">
        <v>8722</v>
      </c>
      <c r="BD9" s="55"/>
      <c r="BE9" s="56" t="s">
        <v>8722</v>
      </c>
      <c r="BF9" s="56" t="s">
        <v>8722</v>
      </c>
      <c r="BG9" s="56" t="s">
        <v>8722</v>
      </c>
      <c r="BH9" s="56" t="s">
        <v>8722</v>
      </c>
      <c r="BI9" s="103" t="s">
        <v>8722</v>
      </c>
      <c r="BJ9" s="103" t="s">
        <v>8722</v>
      </c>
      <c r="BK9" s="56"/>
      <c r="BL9" s="153">
        <v>1.0186213306013063</v>
      </c>
      <c r="BM9" s="55" t="s">
        <v>2048</v>
      </c>
      <c r="BN9" s="56"/>
      <c r="BO9" s="56">
        <v>1005</v>
      </c>
      <c r="BP9" s="56"/>
      <c r="BQ9" s="56">
        <v>499</v>
      </c>
      <c r="BR9" s="56"/>
      <c r="BS9" s="56"/>
      <c r="BT9" s="56"/>
      <c r="BU9" s="158"/>
      <c r="BV9" s="56"/>
      <c r="BW9" s="56"/>
      <c r="BX9" s="56"/>
      <c r="BY9" s="56"/>
      <c r="BZ9" s="56"/>
      <c r="CA9" s="56"/>
      <c r="CB9" s="56"/>
      <c r="CC9" s="56"/>
      <c r="CD9" s="56"/>
      <c r="CE9" s="56"/>
      <c r="CF9" s="56"/>
      <c r="CG9" s="56"/>
      <c r="CH9" s="56"/>
      <c r="CI9" s="103">
        <v>499</v>
      </c>
      <c r="CJ9" s="103">
        <f t="shared" si="3"/>
        <v>2.6981005456233897</v>
      </c>
      <c r="CK9" s="57"/>
      <c r="CL9" s="160">
        <f t="shared" si="4"/>
        <v>2.041325311826265E-3</v>
      </c>
      <c r="CM9" s="160"/>
      <c r="CN9" s="160"/>
      <c r="CO9" s="55" t="s">
        <v>1641</v>
      </c>
      <c r="CP9" s="497" t="s">
        <v>2049</v>
      </c>
      <c r="CQ9" s="149" t="s">
        <v>272</v>
      </c>
      <c r="CR9" s="349"/>
      <c r="CS9" s="61" t="s">
        <v>539</v>
      </c>
      <c r="CT9" s="61"/>
      <c r="CU9" s="111">
        <f t="shared" si="5"/>
        <v>0.8891462900195094</v>
      </c>
      <c r="CV9" s="331"/>
      <c r="CW9" s="326">
        <f t="shared" si="6"/>
        <v>0</v>
      </c>
      <c r="CX9" s="326"/>
      <c r="CY9" s="161" t="s">
        <v>5921</v>
      </c>
    </row>
    <row r="10" spans="1:103" ht="11.25" customHeight="1" x14ac:dyDescent="0.2">
      <c r="A10" s="72">
        <v>1908</v>
      </c>
      <c r="B10" s="241">
        <v>2153</v>
      </c>
      <c r="C10" s="32" t="s">
        <v>5893</v>
      </c>
      <c r="D10" s="32" t="s">
        <v>6594</v>
      </c>
      <c r="E10" s="40"/>
      <c r="F10" s="40" t="s">
        <v>2093</v>
      </c>
      <c r="G10" s="242">
        <v>52315078</v>
      </c>
      <c r="H10" s="41" t="s">
        <v>2094</v>
      </c>
      <c r="I10" s="41" t="s">
        <v>7906</v>
      </c>
      <c r="J10" s="41" t="s">
        <v>2095</v>
      </c>
      <c r="K10" s="41" t="s">
        <v>2086</v>
      </c>
      <c r="L10" s="41"/>
      <c r="M10" s="41" t="s">
        <v>1086</v>
      </c>
      <c r="N10" s="36" t="s">
        <v>6376</v>
      </c>
      <c r="O10" s="41"/>
      <c r="P10" s="41"/>
      <c r="Q10" s="41"/>
      <c r="R10" s="41"/>
      <c r="S10" s="41"/>
      <c r="T10" s="33">
        <v>416.31</v>
      </c>
      <c r="U10" s="250">
        <v>0.11500276243093924</v>
      </c>
      <c r="V10" s="250">
        <v>1.5590374489550805E-3</v>
      </c>
      <c r="W10" s="250">
        <v>4.671075027104498E-2</v>
      </c>
      <c r="X10" s="250">
        <v>0.11500276243093924</v>
      </c>
      <c r="Y10" s="415">
        <v>7</v>
      </c>
      <c r="Z10" s="33">
        <v>6.38</v>
      </c>
      <c r="AA10" s="33">
        <v>6.94</v>
      </c>
      <c r="AB10" s="33">
        <v>6.02</v>
      </c>
      <c r="AC10" s="33">
        <v>0.95830000000000004</v>
      </c>
      <c r="AD10" s="33">
        <v>6.05</v>
      </c>
      <c r="AE10" s="33">
        <v>6.27</v>
      </c>
      <c r="AF10" s="33">
        <f t="shared" si="0"/>
        <v>6.94</v>
      </c>
      <c r="AG10" s="34">
        <v>5.09</v>
      </c>
      <c r="AH10" s="250">
        <v>7.8899999999999998E-7</v>
      </c>
      <c r="AI10" s="250">
        <v>4.2E-7</v>
      </c>
      <c r="AJ10" s="34">
        <f t="shared" si="1"/>
        <v>-4.4914893231032318</v>
      </c>
      <c r="AK10" s="34">
        <f>LOG10(AI10*1000/(0.08206*298.15))</f>
        <v>-4.7653170359147516</v>
      </c>
      <c r="AL10" s="34">
        <f t="shared" si="2"/>
        <v>-4.7653170359147516</v>
      </c>
      <c r="AM10" s="34">
        <v>-15.410480000000002</v>
      </c>
      <c r="AN10" s="251">
        <v>-4.5606</v>
      </c>
      <c r="AO10" s="417"/>
      <c r="AP10" s="417"/>
      <c r="AQ10" s="251" t="s">
        <v>6311</v>
      </c>
      <c r="AR10" s="251" t="s">
        <v>6312</v>
      </c>
      <c r="AS10" s="252" t="s">
        <v>5466</v>
      </c>
      <c r="AT10" s="35" t="s">
        <v>266</v>
      </c>
      <c r="AU10" s="33">
        <v>4</v>
      </c>
      <c r="AV10" s="33">
        <v>144</v>
      </c>
      <c r="AW10" s="33">
        <v>140</v>
      </c>
      <c r="AX10" s="33">
        <v>28</v>
      </c>
      <c r="AY10" s="33" t="s">
        <v>267</v>
      </c>
      <c r="AZ10" s="33" t="s">
        <v>5888</v>
      </c>
      <c r="BA10" s="33">
        <v>20</v>
      </c>
      <c r="BB10" s="41" t="s">
        <v>5487</v>
      </c>
      <c r="BC10" s="41" t="s">
        <v>5889</v>
      </c>
      <c r="BD10" s="41" t="s">
        <v>8374</v>
      </c>
      <c r="BE10" s="33" t="s">
        <v>5733</v>
      </c>
      <c r="BF10" s="33"/>
      <c r="BG10" s="33"/>
      <c r="BH10" s="33" t="s">
        <v>5890</v>
      </c>
      <c r="BI10" s="250">
        <v>10.00000016622</v>
      </c>
      <c r="BJ10" s="250">
        <v>149.99999999544002</v>
      </c>
      <c r="BK10" s="254" t="s">
        <v>5891</v>
      </c>
      <c r="BL10" s="263">
        <v>3.9841790088722809E-2</v>
      </c>
      <c r="BM10" s="33"/>
      <c r="BN10" s="33"/>
      <c r="BO10" s="33"/>
      <c r="BP10" s="33"/>
      <c r="BQ10" s="33"/>
      <c r="BR10" s="33"/>
      <c r="BS10" s="33"/>
      <c r="BT10" s="33">
        <v>7.2999958500000003E-2</v>
      </c>
      <c r="BU10" s="246"/>
      <c r="BV10" s="33"/>
      <c r="BW10" s="33"/>
      <c r="BX10" s="33"/>
      <c r="BY10" s="33"/>
      <c r="BZ10" s="33"/>
      <c r="CA10" s="33"/>
      <c r="CB10" s="33"/>
      <c r="CC10" s="33"/>
      <c r="CD10" s="33"/>
      <c r="CE10" s="33"/>
      <c r="CF10" s="33"/>
      <c r="CG10" s="33"/>
      <c r="CH10" s="33"/>
      <c r="CI10" s="250">
        <v>7.2999958500000003E-2</v>
      </c>
      <c r="CJ10" s="243">
        <f t="shared" si="3"/>
        <v>-1.1366773867730526</v>
      </c>
      <c r="CK10" s="38">
        <f t="shared" ref="CK10:CK28" si="7">BL10/BJ10</f>
        <v>2.6561193393289328E-4</v>
      </c>
      <c r="CL10" s="247">
        <f t="shared" si="4"/>
        <v>0.54577825669206104</v>
      </c>
      <c r="CM10" s="247">
        <v>-2.7717590648756376</v>
      </c>
      <c r="CN10" s="247">
        <f>BJ10/(10^CM10)</f>
        <v>88685.031357241562</v>
      </c>
      <c r="CO10" s="41"/>
      <c r="CP10" s="143" t="s">
        <v>5892</v>
      </c>
      <c r="CQ10" s="241">
        <v>-2.7046840545453876</v>
      </c>
      <c r="CR10" s="241">
        <f>10^(CJ10-CQ10)</f>
        <v>36.983385783775617</v>
      </c>
      <c r="CS10" s="33"/>
      <c r="CT10" s="33" t="s">
        <v>6310</v>
      </c>
      <c r="CU10" s="250">
        <f t="shared" si="5"/>
        <v>1.5753812028665637</v>
      </c>
      <c r="CV10" s="337">
        <f t="shared" ref="CV10:CV28" si="8">X10/BJ10</f>
        <v>7.6668508289623536E-4</v>
      </c>
      <c r="CW10" s="330">
        <f t="shared" si="6"/>
        <v>0</v>
      </c>
      <c r="CX10" s="330" t="s">
        <v>539</v>
      </c>
      <c r="CY10" s="143" t="s">
        <v>5921</v>
      </c>
    </row>
    <row r="11" spans="1:103" ht="11.25" customHeight="1" x14ac:dyDescent="0.2">
      <c r="A11" s="72">
        <v>1914</v>
      </c>
      <c r="B11" s="241">
        <v>2152</v>
      </c>
      <c r="C11" s="32" t="s">
        <v>1359</v>
      </c>
      <c r="D11" s="32"/>
      <c r="E11" s="40"/>
      <c r="F11" s="40" t="s">
        <v>1360</v>
      </c>
      <c r="G11" s="242">
        <v>52645531</v>
      </c>
      <c r="H11" s="41" t="s">
        <v>1361</v>
      </c>
      <c r="I11" s="41" t="s">
        <v>7889</v>
      </c>
      <c r="J11" s="41" t="s">
        <v>1362</v>
      </c>
      <c r="K11" s="41" t="s">
        <v>1363</v>
      </c>
      <c r="L11" s="41" t="s">
        <v>279</v>
      </c>
      <c r="M11" s="41" t="s">
        <v>1364</v>
      </c>
      <c r="N11" s="36" t="s">
        <v>6376</v>
      </c>
      <c r="O11" s="41" t="s">
        <v>281</v>
      </c>
      <c r="P11" s="41" t="s">
        <v>6178</v>
      </c>
      <c r="Q11" s="41" t="s">
        <v>6173</v>
      </c>
      <c r="R11" s="41" t="s">
        <v>6181</v>
      </c>
      <c r="S11" s="41" t="s">
        <v>6176</v>
      </c>
      <c r="T11" s="33">
        <v>391.3</v>
      </c>
      <c r="U11" s="250">
        <v>6.0001533389557613E-3</v>
      </c>
      <c r="V11" s="250">
        <v>9.7472490991336348E-3</v>
      </c>
      <c r="W11" s="250">
        <v>5.1583386179712115E-2</v>
      </c>
      <c r="X11" s="250">
        <v>6.0001533389557613E-3</v>
      </c>
      <c r="Y11" s="415">
        <v>7</v>
      </c>
      <c r="Z11" s="33">
        <v>7.43</v>
      </c>
      <c r="AA11" s="33">
        <v>6.5</v>
      </c>
      <c r="AB11" s="33">
        <v>6.33</v>
      </c>
      <c r="AC11" s="33">
        <v>0.93520000000000003</v>
      </c>
      <c r="AD11" s="33">
        <v>6.47</v>
      </c>
      <c r="AE11" s="33">
        <v>7.15</v>
      </c>
      <c r="AF11" s="33">
        <f t="shared" si="0"/>
        <v>6.5</v>
      </c>
      <c r="AG11" s="34">
        <v>5.3</v>
      </c>
      <c r="AH11" s="250">
        <v>2.8799999999999998E-7</v>
      </c>
      <c r="AI11" s="250">
        <v>1.8700000000000001E-6</v>
      </c>
      <c r="AJ11" s="34">
        <f t="shared" si="1"/>
        <v>-4.9291738385534209</v>
      </c>
      <c r="AK11" s="34">
        <f>LOG10(AI11*1000/(0.08206*298.15))</f>
        <v>-4.116724719776153</v>
      </c>
      <c r="AL11" s="34">
        <f t="shared" si="2"/>
        <v>-4.116724719776153</v>
      </c>
      <c r="AM11" s="34">
        <v>-12.603410000000002</v>
      </c>
      <c r="AN11" s="251">
        <v>-4.9192</v>
      </c>
      <c r="AO11" s="417"/>
      <c r="AP11" s="417"/>
      <c r="AQ11" s="251" t="s">
        <v>6311</v>
      </c>
      <c r="AR11" s="251" t="s">
        <v>6312</v>
      </c>
      <c r="AS11" s="252" t="s">
        <v>5466</v>
      </c>
      <c r="AT11" s="35" t="s">
        <v>266</v>
      </c>
      <c r="AU11" s="33">
        <v>4</v>
      </c>
      <c r="AV11" s="33">
        <v>144</v>
      </c>
      <c r="AW11" s="33">
        <v>140</v>
      </c>
      <c r="AX11" s="33">
        <v>28</v>
      </c>
      <c r="AY11" s="33" t="s">
        <v>267</v>
      </c>
      <c r="AZ11" s="33" t="s">
        <v>5888</v>
      </c>
      <c r="BA11" s="33">
        <v>20</v>
      </c>
      <c r="BB11" s="41" t="s">
        <v>5487</v>
      </c>
      <c r="BC11" s="41" t="s">
        <v>5889</v>
      </c>
      <c r="BD11" s="41" t="s">
        <v>8374</v>
      </c>
      <c r="BE11" s="33" t="s">
        <v>5733</v>
      </c>
      <c r="BF11" s="33"/>
      <c r="BG11" s="33"/>
      <c r="BH11" s="33" t="s">
        <v>5890</v>
      </c>
      <c r="BI11" s="250">
        <v>99.999999963500002</v>
      </c>
      <c r="BJ11" s="250">
        <v>800.0000000993</v>
      </c>
      <c r="BK11" s="254" t="s">
        <v>5891</v>
      </c>
      <c r="BL11" s="263">
        <v>4.2699899012860025E-3</v>
      </c>
      <c r="BM11" s="33"/>
      <c r="BN11" s="33"/>
      <c r="BO11" s="33"/>
      <c r="BP11" s="33"/>
      <c r="BQ11" s="33"/>
      <c r="BR11" s="33"/>
      <c r="BS11" s="33"/>
      <c r="BT11" s="33">
        <v>0.46749980549999998</v>
      </c>
      <c r="BU11" s="246"/>
      <c r="BV11" s="33"/>
      <c r="BW11" s="33"/>
      <c r="BX11" s="33"/>
      <c r="BY11" s="33"/>
      <c r="BZ11" s="33"/>
      <c r="CA11" s="33"/>
      <c r="CB11" s="33"/>
      <c r="CC11" s="33"/>
      <c r="CD11" s="33"/>
      <c r="CE11" s="33"/>
      <c r="CF11" s="33"/>
      <c r="CG11" s="33"/>
      <c r="CH11" s="33"/>
      <c r="CI11" s="250">
        <v>0.46749980549999998</v>
      </c>
      <c r="CJ11" s="243">
        <f t="shared" si="3"/>
        <v>-0.33021856547658496</v>
      </c>
      <c r="CK11" s="38">
        <f t="shared" si="7"/>
        <v>5.3374873759449878E-6</v>
      </c>
      <c r="CL11" s="247">
        <f t="shared" si="4"/>
        <v>9.1336720380432394E-3</v>
      </c>
      <c r="CM11" s="247">
        <v>-2.6020488924260619</v>
      </c>
      <c r="CN11" s="247">
        <f>BJ11/(10^CM11)</f>
        <v>319991.82217107626</v>
      </c>
      <c r="CO11" s="41"/>
      <c r="CP11" s="143" t="s">
        <v>5892</v>
      </c>
      <c r="CQ11" s="241">
        <v>-2.0868585448471388</v>
      </c>
      <c r="CR11" s="241">
        <f>10^(CJ11-CQ11)</f>
        <v>57.100508968488093</v>
      </c>
      <c r="CS11" s="33"/>
      <c r="CT11" s="33" t="s">
        <v>6310</v>
      </c>
      <c r="CU11" s="250">
        <f t="shared" si="5"/>
        <v>1.283455793642199E-2</v>
      </c>
      <c r="CV11" s="337">
        <f t="shared" si="8"/>
        <v>7.50019167276374E-6</v>
      </c>
      <c r="CW11" s="330">
        <f t="shared" si="6"/>
        <v>0</v>
      </c>
      <c r="CX11" s="330" t="s">
        <v>539</v>
      </c>
      <c r="CY11" s="143" t="s">
        <v>5921</v>
      </c>
    </row>
    <row r="12" spans="1:103" ht="11.25" customHeight="1" x14ac:dyDescent="0.2">
      <c r="A12" s="72">
        <v>153</v>
      </c>
      <c r="B12" s="149">
        <v>2151</v>
      </c>
      <c r="C12" s="54" t="s">
        <v>5881</v>
      </c>
      <c r="D12" s="54" t="s">
        <v>8546</v>
      </c>
      <c r="E12" s="59"/>
      <c r="F12" s="167" t="s">
        <v>5882</v>
      </c>
      <c r="G12" s="151">
        <v>549188</v>
      </c>
      <c r="H12" s="67" t="s">
        <v>520</v>
      </c>
      <c r="I12" s="67" t="s">
        <v>8296</v>
      </c>
      <c r="J12" s="67" t="s">
        <v>521</v>
      </c>
      <c r="K12" s="67" t="s">
        <v>426</v>
      </c>
      <c r="L12" s="67" t="s">
        <v>6060</v>
      </c>
      <c r="M12" s="67" t="s">
        <v>6059</v>
      </c>
      <c r="N12" s="60"/>
      <c r="O12" s="67" t="s">
        <v>6061</v>
      </c>
      <c r="P12" s="67"/>
      <c r="Q12" s="67"/>
      <c r="R12" s="67"/>
      <c r="S12" s="67"/>
      <c r="T12" s="61">
        <v>313.87</v>
      </c>
      <c r="U12" s="111"/>
      <c r="V12" s="111">
        <v>10.84</v>
      </c>
      <c r="W12" s="111"/>
      <c r="X12" s="111">
        <v>10.84</v>
      </c>
      <c r="Y12" s="411"/>
      <c r="Z12" s="61">
        <v>2.1800000000000002</v>
      </c>
      <c r="AA12" s="61"/>
      <c r="AB12" s="61"/>
      <c r="AC12" s="61"/>
      <c r="AD12" s="61"/>
      <c r="AE12" s="61"/>
      <c r="AF12" s="61"/>
      <c r="AG12" s="62">
        <v>3.71</v>
      </c>
      <c r="AH12" s="111">
        <v>4.3299999999999998E-15</v>
      </c>
      <c r="AI12" s="111"/>
      <c r="AJ12" s="62">
        <f t="shared" si="1"/>
        <v>-12.752078429959287</v>
      </c>
      <c r="AK12" s="62"/>
      <c r="AL12" s="62">
        <f t="shared" si="2"/>
        <v>-12.752078429959287</v>
      </c>
      <c r="AM12" s="62"/>
      <c r="AN12" s="163">
        <v>-8.3568999999999996</v>
      </c>
      <c r="AO12" s="410"/>
      <c r="AP12" s="410"/>
      <c r="AQ12" s="163" t="s">
        <v>6311</v>
      </c>
      <c r="AR12" s="163" t="s">
        <v>6311</v>
      </c>
      <c r="AS12" s="164" t="s">
        <v>5466</v>
      </c>
      <c r="AT12" s="63" t="s">
        <v>266</v>
      </c>
      <c r="AU12" s="61">
        <v>0</v>
      </c>
      <c r="AV12" s="61">
        <v>120</v>
      </c>
      <c r="AW12" s="61">
        <v>120</v>
      </c>
      <c r="AX12" s="61">
        <v>28</v>
      </c>
      <c r="AY12" s="61" t="s">
        <v>267</v>
      </c>
      <c r="AZ12" s="61" t="s">
        <v>5695</v>
      </c>
      <c r="BA12" s="61">
        <v>20</v>
      </c>
      <c r="BB12" s="67" t="s">
        <v>5883</v>
      </c>
      <c r="BC12" s="67" t="s">
        <v>5884</v>
      </c>
      <c r="BD12" s="67"/>
      <c r="BE12" s="61" t="s">
        <v>6339</v>
      </c>
      <c r="BF12" s="61"/>
      <c r="BG12" s="61"/>
      <c r="BH12" s="61"/>
      <c r="BI12" s="153">
        <v>9.9999923609999999E-2</v>
      </c>
      <c r="BJ12" s="153">
        <v>99.999999880410002</v>
      </c>
      <c r="BK12" s="165" t="s">
        <v>5885</v>
      </c>
      <c r="BL12" s="153">
        <v>177.70179200281697</v>
      </c>
      <c r="BM12" s="61"/>
      <c r="BN12" s="61">
        <v>27.199999937339999</v>
      </c>
      <c r="BO12" s="61">
        <v>6.5999999801799998</v>
      </c>
      <c r="BP12" s="61">
        <v>2.8000000581700002</v>
      </c>
      <c r="BQ12" s="61">
        <v>1.9000001179399999</v>
      </c>
      <c r="BR12" s="61">
        <v>1.3999998721500002</v>
      </c>
      <c r="BS12" s="61"/>
      <c r="BT12" s="61"/>
      <c r="BU12" s="158"/>
      <c r="BV12" s="61"/>
      <c r="BW12" s="61"/>
      <c r="BX12" s="61"/>
      <c r="BY12" s="61"/>
      <c r="BZ12" s="61"/>
      <c r="CA12" s="61"/>
      <c r="CB12" s="61"/>
      <c r="CC12" s="61"/>
      <c r="CD12" s="61"/>
      <c r="CE12" s="61"/>
      <c r="CF12" s="61"/>
      <c r="CG12" s="61"/>
      <c r="CH12" s="61"/>
      <c r="CI12" s="111">
        <v>1.3999998721500002</v>
      </c>
      <c r="CJ12" s="103">
        <f t="shared" si="3"/>
        <v>0.14612799601784376</v>
      </c>
      <c r="CK12" s="57">
        <f t="shared" si="7"/>
        <v>1.7770179221533053</v>
      </c>
      <c r="CL12" s="160">
        <f t="shared" si="4"/>
        <v>126.92986302199995</v>
      </c>
      <c r="CM12" s="160"/>
      <c r="CN12" s="160"/>
      <c r="CO12" s="67"/>
      <c r="CP12" s="161" t="s">
        <v>5886</v>
      </c>
      <c r="CQ12" s="149" t="s">
        <v>272</v>
      </c>
      <c r="CR12" s="349"/>
      <c r="CS12" s="61" t="s">
        <v>539</v>
      </c>
      <c r="CT12" s="61" t="s">
        <v>6310</v>
      </c>
      <c r="CU12" s="111">
        <f t="shared" si="5"/>
        <v>7.7428578499459819</v>
      </c>
      <c r="CV12" s="331">
        <f t="shared" si="8"/>
        <v>0.10840000012963556</v>
      </c>
      <c r="CW12" s="326">
        <f t="shared" si="6"/>
        <v>1</v>
      </c>
      <c r="CX12" s="326" t="s">
        <v>539</v>
      </c>
      <c r="CY12" s="161" t="s">
        <v>5921</v>
      </c>
    </row>
    <row r="13" spans="1:103" ht="11.25" customHeight="1" x14ac:dyDescent="0.2">
      <c r="A13" s="72">
        <v>243</v>
      </c>
      <c r="B13" s="149">
        <v>1959</v>
      </c>
      <c r="C13" s="54" t="s">
        <v>5523</v>
      </c>
      <c r="D13" s="54"/>
      <c r="E13" s="59"/>
      <c r="F13" s="167" t="s">
        <v>5524</v>
      </c>
      <c r="G13" s="151">
        <v>21757824</v>
      </c>
      <c r="H13" s="67" t="s">
        <v>5525</v>
      </c>
      <c r="I13" s="67" t="s">
        <v>8316</v>
      </c>
      <c r="J13" s="67" t="s">
        <v>5526</v>
      </c>
      <c r="K13" s="67" t="s">
        <v>357</v>
      </c>
      <c r="L13" s="67"/>
      <c r="M13" s="67"/>
      <c r="N13" s="60"/>
      <c r="O13" s="67"/>
      <c r="P13" s="67">
        <v>3</v>
      </c>
      <c r="Q13" s="67" t="s">
        <v>6173</v>
      </c>
      <c r="R13" s="67">
        <v>1</v>
      </c>
      <c r="S13" s="67" t="s">
        <v>6173</v>
      </c>
      <c r="T13" s="61">
        <v>336.43</v>
      </c>
      <c r="U13" s="111">
        <v>50</v>
      </c>
      <c r="V13" s="111">
        <v>0.46989999999999998</v>
      </c>
      <c r="W13" s="111">
        <v>5.4562557105446459</v>
      </c>
      <c r="X13" s="111">
        <v>50</v>
      </c>
      <c r="Y13" s="411">
        <v>7</v>
      </c>
      <c r="Z13" s="61">
        <v>5.14</v>
      </c>
      <c r="AA13" s="61">
        <v>4.92</v>
      </c>
      <c r="AB13" s="61">
        <v>5.33</v>
      </c>
      <c r="AC13" s="61">
        <v>0.84079999999999999</v>
      </c>
      <c r="AD13" s="61">
        <v>5.18</v>
      </c>
      <c r="AE13" s="61">
        <v>4.7300000000000004</v>
      </c>
      <c r="AF13" s="61">
        <f t="shared" ref="AF13:AF27" si="9">IF(AA13=0,AD13,AA13)</f>
        <v>4.92</v>
      </c>
      <c r="AG13" s="62">
        <v>5.18</v>
      </c>
      <c r="AH13" s="111">
        <v>4.51E-7</v>
      </c>
      <c r="AI13" s="111"/>
      <c r="AJ13" s="62">
        <f t="shared" si="1"/>
        <v>-4.7343897844346916</v>
      </c>
      <c r="AK13" s="62"/>
      <c r="AL13" s="62">
        <f t="shared" si="2"/>
        <v>-4.7343897844346916</v>
      </c>
      <c r="AM13" s="62">
        <v>-7.6792999999999987</v>
      </c>
      <c r="AN13" s="163"/>
      <c r="AO13" s="410"/>
      <c r="AP13" s="410"/>
      <c r="AQ13" s="163" t="s">
        <v>6311</v>
      </c>
      <c r="AR13" s="163" t="s">
        <v>6312</v>
      </c>
      <c r="AS13" s="164" t="s">
        <v>5466</v>
      </c>
      <c r="AT13" s="63" t="s">
        <v>266</v>
      </c>
      <c r="AU13" s="61" t="s">
        <v>6231</v>
      </c>
      <c r="AV13" s="61">
        <v>96</v>
      </c>
      <c r="AW13" s="61">
        <v>96</v>
      </c>
      <c r="AX13" s="61">
        <v>27</v>
      </c>
      <c r="AY13" s="61">
        <v>24</v>
      </c>
      <c r="AZ13" s="178" t="s">
        <v>536</v>
      </c>
      <c r="BA13" s="61">
        <v>20</v>
      </c>
      <c r="BB13" s="67" t="s">
        <v>1764</v>
      </c>
      <c r="BC13" s="55" t="s">
        <v>8726</v>
      </c>
      <c r="BD13" s="180" t="s">
        <v>8374</v>
      </c>
      <c r="BE13" s="61" t="s">
        <v>2449</v>
      </c>
      <c r="BF13" s="61" t="s">
        <v>272</v>
      </c>
      <c r="BG13" s="61" t="s">
        <v>272</v>
      </c>
      <c r="BH13" s="61" t="s">
        <v>6232</v>
      </c>
      <c r="BI13" s="153">
        <v>0.18514156783974905</v>
      </c>
      <c r="BJ13" s="153">
        <v>9.2570783919874522</v>
      </c>
      <c r="BK13" s="165"/>
      <c r="BL13" s="153">
        <v>0.41827385168237408</v>
      </c>
      <c r="BM13" s="61" t="s">
        <v>1584</v>
      </c>
      <c r="BN13" s="61">
        <v>1.076576</v>
      </c>
      <c r="BO13" s="61">
        <v>0.70650299999999999</v>
      </c>
      <c r="BP13" s="61">
        <v>0.70650299999999999</v>
      </c>
      <c r="BQ13" s="61">
        <v>0.60893830000000004</v>
      </c>
      <c r="BR13" s="61"/>
      <c r="BS13" s="61"/>
      <c r="BT13" s="61"/>
      <c r="BU13" s="158"/>
      <c r="BV13" s="61"/>
      <c r="BW13" s="61"/>
      <c r="BX13" s="61"/>
      <c r="BY13" s="61"/>
      <c r="BZ13" s="61"/>
      <c r="CA13" s="61"/>
      <c r="CB13" s="61"/>
      <c r="CC13" s="61"/>
      <c r="CD13" s="61"/>
      <c r="CE13" s="61"/>
      <c r="CF13" s="61"/>
      <c r="CG13" s="61"/>
      <c r="CH13" s="61"/>
      <c r="CI13" s="111">
        <v>0.60893830000000004</v>
      </c>
      <c r="CJ13" s="103">
        <f t="shared" si="3"/>
        <v>-0.21542670954614526</v>
      </c>
      <c r="CK13" s="57">
        <f t="shared" si="7"/>
        <v>4.5184218386269126E-2</v>
      </c>
      <c r="CL13" s="160">
        <f t="shared" si="4"/>
        <v>0.68689036587512076</v>
      </c>
      <c r="CM13" s="160"/>
      <c r="CN13" s="160"/>
      <c r="CO13" s="67" t="s">
        <v>6235</v>
      </c>
      <c r="CP13" s="161" t="s">
        <v>6233</v>
      </c>
      <c r="CQ13" s="149" t="s">
        <v>272</v>
      </c>
      <c r="CR13" s="349"/>
      <c r="CS13" s="61" t="s">
        <v>539</v>
      </c>
      <c r="CT13" s="61"/>
      <c r="CU13" s="111">
        <f t="shared" si="5"/>
        <v>82.110125114482031</v>
      </c>
      <c r="CV13" s="331">
        <f t="shared" si="8"/>
        <v>5.4012721814344742</v>
      </c>
      <c r="CW13" s="326">
        <f t="shared" si="6"/>
        <v>1</v>
      </c>
      <c r="CX13" s="326"/>
      <c r="CY13" s="161" t="s">
        <v>5921</v>
      </c>
    </row>
    <row r="14" spans="1:103" ht="11.25" customHeight="1" x14ac:dyDescent="0.2">
      <c r="A14" s="72">
        <v>1846</v>
      </c>
      <c r="B14" s="241">
        <v>488</v>
      </c>
      <c r="C14" s="32" t="s">
        <v>1574</v>
      </c>
      <c r="D14" s="32"/>
      <c r="E14" s="40"/>
      <c r="F14" s="40" t="s">
        <v>1575</v>
      </c>
      <c r="G14" s="242">
        <v>1912249</v>
      </c>
      <c r="H14" s="36" t="s">
        <v>1576</v>
      </c>
      <c r="I14" s="36" t="s">
        <v>8076</v>
      </c>
      <c r="J14" s="36" t="s">
        <v>1577</v>
      </c>
      <c r="K14" s="36" t="s">
        <v>940</v>
      </c>
      <c r="L14" s="36" t="s">
        <v>6152</v>
      </c>
      <c r="M14" s="36" t="s">
        <v>6082</v>
      </c>
      <c r="N14" s="36" t="s">
        <v>6082</v>
      </c>
      <c r="O14" s="36" t="s">
        <v>6083</v>
      </c>
      <c r="P14" s="41"/>
      <c r="Q14" s="41"/>
      <c r="R14" s="41"/>
      <c r="S14" s="41"/>
      <c r="T14" s="37">
        <v>215.68</v>
      </c>
      <c r="U14" s="243">
        <v>34.700000000000003</v>
      </c>
      <c r="V14" s="243">
        <v>214.1</v>
      </c>
      <c r="W14" s="243">
        <v>69.792679926582196</v>
      </c>
      <c r="X14" s="243">
        <v>34.700000000000003</v>
      </c>
      <c r="Y14" s="414">
        <v>7.03</v>
      </c>
      <c r="Z14" s="37">
        <v>2.82</v>
      </c>
      <c r="AA14" s="37">
        <v>2.61</v>
      </c>
      <c r="AB14" s="37">
        <v>2.67</v>
      </c>
      <c r="AC14" s="37">
        <v>0.91020000000000001</v>
      </c>
      <c r="AD14" s="37">
        <v>2.66</v>
      </c>
      <c r="AE14" s="37">
        <v>2.63</v>
      </c>
      <c r="AF14" s="37">
        <f t="shared" si="9"/>
        <v>2.61</v>
      </c>
      <c r="AG14" s="38">
        <v>2.41</v>
      </c>
      <c r="AH14" s="243">
        <v>4.4699999999999997E-9</v>
      </c>
      <c r="AI14" s="243">
        <v>2.3600000000000001E-9</v>
      </c>
      <c r="AJ14" s="34">
        <f t="shared" si="1"/>
        <v>-6.7382588031807158</v>
      </c>
      <c r="AK14" s="34">
        <f>LOG10(AI14*1000/(0.08206*298.15))</f>
        <v>-7.0156543233425452</v>
      </c>
      <c r="AL14" s="34">
        <f t="shared" si="2"/>
        <v>-7.0156543233425452</v>
      </c>
      <c r="AM14" s="34">
        <v>-10.46622</v>
      </c>
      <c r="AN14" s="244">
        <v>-8.32</v>
      </c>
      <c r="AO14" s="417"/>
      <c r="AP14" s="417">
        <v>2.27</v>
      </c>
      <c r="AQ14" s="244" t="s">
        <v>6311</v>
      </c>
      <c r="AR14" s="244" t="s">
        <v>6311</v>
      </c>
      <c r="AS14" s="241" t="s">
        <v>6</v>
      </c>
      <c r="AT14" s="39" t="s">
        <v>266</v>
      </c>
      <c r="AU14" s="37">
        <v>2</v>
      </c>
      <c r="AV14" s="37">
        <v>48</v>
      </c>
      <c r="AW14" s="37">
        <v>48</v>
      </c>
      <c r="AX14" s="37">
        <v>26</v>
      </c>
      <c r="AY14" s="37" t="s">
        <v>8722</v>
      </c>
      <c r="AZ14" s="37" t="s">
        <v>536</v>
      </c>
      <c r="BA14" s="37">
        <v>20</v>
      </c>
      <c r="BB14" s="36" t="s">
        <v>1578</v>
      </c>
      <c r="BC14" s="36" t="s">
        <v>538</v>
      </c>
      <c r="BD14" s="36"/>
      <c r="BE14" s="37" t="s">
        <v>271</v>
      </c>
      <c r="BF14" s="37" t="s">
        <v>272</v>
      </c>
      <c r="BG14" s="37" t="s">
        <v>539</v>
      </c>
      <c r="BH14" s="37" t="s">
        <v>272</v>
      </c>
      <c r="BI14" s="248" t="s">
        <v>8722</v>
      </c>
      <c r="BJ14" s="250">
        <v>39.998145486577961</v>
      </c>
      <c r="BK14" s="37"/>
      <c r="BL14" s="263">
        <v>32.506325128150984</v>
      </c>
      <c r="BM14" s="37" t="s">
        <v>1579</v>
      </c>
      <c r="BN14" s="37"/>
      <c r="BO14" s="37">
        <v>36.798293847651721</v>
      </c>
      <c r="BP14" s="37"/>
      <c r="BQ14" s="37"/>
      <c r="BR14" s="37"/>
      <c r="BS14" s="37"/>
      <c r="BT14" s="37"/>
      <c r="BU14" s="246"/>
      <c r="BV14" s="37"/>
      <c r="BW14" s="37"/>
      <c r="BX14" s="37"/>
      <c r="BY14" s="37"/>
      <c r="BZ14" s="37"/>
      <c r="CA14" s="37"/>
      <c r="CB14" s="37"/>
      <c r="CC14" s="37"/>
      <c r="CD14" s="37"/>
      <c r="CE14" s="37"/>
      <c r="CF14" s="37"/>
      <c r="CG14" s="37"/>
      <c r="CH14" s="37"/>
      <c r="CI14" s="243">
        <v>36.798293847651721</v>
      </c>
      <c r="CJ14" s="243">
        <f t="shared" si="3"/>
        <v>1.5658276830830973</v>
      </c>
      <c r="CK14" s="38">
        <f t="shared" si="7"/>
        <v>0.81269580708583145</v>
      </c>
      <c r="CL14" s="247">
        <f t="shared" si="4"/>
        <v>0.88336500770199078</v>
      </c>
      <c r="CM14" s="247">
        <v>1.0328741488313409</v>
      </c>
      <c r="CN14" s="247">
        <f>BJ14/(10^CM14)</f>
        <v>3.7082218357407353</v>
      </c>
      <c r="CO14" s="36"/>
      <c r="CP14" s="496" t="s">
        <v>1580</v>
      </c>
      <c r="CQ14" s="241">
        <v>1.2234526426154375</v>
      </c>
      <c r="CR14" s="241">
        <f>10^(CJ14-CQ14)</f>
        <v>2.1997586821015944</v>
      </c>
      <c r="CS14" s="33"/>
      <c r="CT14" s="33"/>
      <c r="CU14" s="250">
        <f t="shared" si="5"/>
        <v>0.94297850176590126</v>
      </c>
      <c r="CV14" s="337">
        <f t="shared" si="8"/>
        <v>0.86754022162462907</v>
      </c>
      <c r="CW14" s="330">
        <f t="shared" si="6"/>
        <v>0</v>
      </c>
      <c r="CX14" s="330"/>
      <c r="CY14" s="143" t="s">
        <v>6351</v>
      </c>
    </row>
    <row r="15" spans="1:103" ht="11.25" customHeight="1" x14ac:dyDescent="0.2">
      <c r="A15" s="72">
        <v>1876</v>
      </c>
      <c r="B15" s="241">
        <v>1327</v>
      </c>
      <c r="C15" s="32" t="s">
        <v>4133</v>
      </c>
      <c r="D15" s="32"/>
      <c r="E15" s="40"/>
      <c r="F15" s="40" t="s">
        <v>4134</v>
      </c>
      <c r="G15" s="242">
        <v>14477726</v>
      </c>
      <c r="H15" s="36" t="s">
        <v>4135</v>
      </c>
      <c r="I15" s="36" t="s">
        <v>4135</v>
      </c>
      <c r="J15" s="36" t="s">
        <v>4136</v>
      </c>
      <c r="K15" s="36" t="s">
        <v>426</v>
      </c>
      <c r="L15" s="36"/>
      <c r="M15" s="36"/>
      <c r="N15" s="36"/>
      <c r="O15" s="36"/>
      <c r="P15" s="41"/>
      <c r="Q15" s="41"/>
      <c r="R15" s="41"/>
      <c r="S15" s="41"/>
      <c r="T15" s="37">
        <v>114.02</v>
      </c>
      <c r="U15" s="243">
        <v>1000000</v>
      </c>
      <c r="V15" s="243">
        <v>97450</v>
      </c>
      <c r="W15" s="243">
        <v>103987.47590336081</v>
      </c>
      <c r="X15" s="243">
        <v>1000000</v>
      </c>
      <c r="Y15" s="414">
        <v>0.25</v>
      </c>
      <c r="Z15" s="37">
        <v>0.5</v>
      </c>
      <c r="AA15" s="37"/>
      <c r="AB15" s="37">
        <v>0.45</v>
      </c>
      <c r="AC15" s="37">
        <v>0.78720000000000001</v>
      </c>
      <c r="AD15" s="37">
        <v>0.66</v>
      </c>
      <c r="AE15" s="37">
        <v>1.24</v>
      </c>
      <c r="AF15" s="37">
        <f t="shared" si="9"/>
        <v>0.66</v>
      </c>
      <c r="AG15" s="38">
        <v>6.15</v>
      </c>
      <c r="AH15" s="243">
        <v>4.3100000000000002E-6</v>
      </c>
      <c r="AI15" s="243">
        <v>1.11E-7</v>
      </c>
      <c r="AJ15" s="34">
        <f t="shared" si="1"/>
        <v>-3.75408905615192</v>
      </c>
      <c r="AK15" s="34">
        <f>LOG10(AI15*1000/(0.08206*298.15))</f>
        <v>-5.3432433475259939</v>
      </c>
      <c r="AL15" s="34">
        <f t="shared" si="2"/>
        <v>-5.3432433475259939</v>
      </c>
      <c r="AM15" s="34">
        <v>-4.62622</v>
      </c>
      <c r="AN15" s="244">
        <v>-21.6</v>
      </c>
      <c r="AO15" s="417">
        <v>0.05</v>
      </c>
      <c r="AP15" s="417"/>
      <c r="AQ15" s="37" t="s">
        <v>6311</v>
      </c>
      <c r="AR15" s="37" t="s">
        <v>6311</v>
      </c>
      <c r="AS15" s="245" t="s">
        <v>63</v>
      </c>
      <c r="AT15" s="39" t="s">
        <v>266</v>
      </c>
      <c r="AU15" s="37">
        <v>0</v>
      </c>
      <c r="AV15" s="37">
        <v>48</v>
      </c>
      <c r="AW15" s="37">
        <v>48</v>
      </c>
      <c r="AX15" s="37">
        <v>26</v>
      </c>
      <c r="AY15" s="37" t="s">
        <v>8722</v>
      </c>
      <c r="AZ15" s="37" t="s">
        <v>536</v>
      </c>
      <c r="BA15" s="37">
        <v>20</v>
      </c>
      <c r="BB15" s="36" t="s">
        <v>1578</v>
      </c>
      <c r="BC15" s="36" t="s">
        <v>538</v>
      </c>
      <c r="BD15" s="36"/>
      <c r="BE15" s="37" t="s">
        <v>271</v>
      </c>
      <c r="BF15" s="37" t="s">
        <v>272</v>
      </c>
      <c r="BG15" s="37" t="s">
        <v>539</v>
      </c>
      <c r="BH15" s="37" t="s">
        <v>272</v>
      </c>
      <c r="BI15" s="243" t="s">
        <v>8722</v>
      </c>
      <c r="BJ15" s="250">
        <v>4035.6062080804145</v>
      </c>
      <c r="BK15" s="37"/>
      <c r="BL15" s="263">
        <v>2083.2003347169862</v>
      </c>
      <c r="BM15" s="37" t="s">
        <v>1579</v>
      </c>
      <c r="BN15" s="37"/>
      <c r="BO15" s="37"/>
      <c r="BP15" s="37"/>
      <c r="BQ15" s="37"/>
      <c r="BR15" s="37"/>
      <c r="BS15" s="37"/>
      <c r="BT15" s="37"/>
      <c r="BU15" s="246"/>
      <c r="BV15" s="37"/>
      <c r="BW15" s="37"/>
      <c r="BX15" s="37"/>
      <c r="BY15" s="37"/>
      <c r="BZ15" s="37"/>
      <c r="CA15" s="37"/>
      <c r="CB15" s="37"/>
      <c r="CC15" s="37"/>
      <c r="CD15" s="37"/>
      <c r="CE15" s="37"/>
      <c r="CF15" s="37"/>
      <c r="CG15" s="37"/>
      <c r="CH15" s="37"/>
      <c r="CI15" s="243"/>
      <c r="CJ15" s="243"/>
      <c r="CK15" s="38">
        <f t="shared" si="7"/>
        <v>0.51620505750680912</v>
      </c>
      <c r="CL15" s="247"/>
      <c r="CM15" s="247"/>
      <c r="CN15" s="247"/>
      <c r="CO15" s="36"/>
      <c r="CP15" s="496" t="s">
        <v>1580</v>
      </c>
      <c r="CQ15" s="241" t="s">
        <v>272</v>
      </c>
      <c r="CR15" s="241"/>
      <c r="CS15" s="33"/>
      <c r="CT15" s="33"/>
      <c r="CU15" s="250"/>
      <c r="CV15" s="337">
        <f t="shared" si="8"/>
        <v>247.79424662339943</v>
      </c>
      <c r="CW15" s="330">
        <f>IF(CV15&lt;1,0,1)</f>
        <v>1</v>
      </c>
      <c r="CX15" s="330"/>
      <c r="CY15" s="143" t="s">
        <v>5921</v>
      </c>
    </row>
    <row r="16" spans="1:103" ht="11.25" customHeight="1" x14ac:dyDescent="0.2">
      <c r="A16" s="72">
        <v>1618</v>
      </c>
      <c r="B16" s="241">
        <v>639</v>
      </c>
      <c r="C16" s="32" t="s">
        <v>1894</v>
      </c>
      <c r="D16" s="32"/>
      <c r="E16" s="40"/>
      <c r="F16" s="40" t="s">
        <v>1696</v>
      </c>
      <c r="G16" s="242">
        <v>51285</v>
      </c>
      <c r="H16" s="36" t="s">
        <v>1697</v>
      </c>
      <c r="I16" s="36" t="s">
        <v>1697</v>
      </c>
      <c r="J16" s="36" t="s">
        <v>1698</v>
      </c>
      <c r="K16" s="36" t="s">
        <v>1693</v>
      </c>
      <c r="L16" s="36" t="s">
        <v>6110</v>
      </c>
      <c r="M16" s="36" t="s">
        <v>497</v>
      </c>
      <c r="N16" s="36" t="s">
        <v>6381</v>
      </c>
      <c r="O16" s="36" t="s">
        <v>6086</v>
      </c>
      <c r="P16" s="41"/>
      <c r="Q16" s="41" t="s">
        <v>6179</v>
      </c>
      <c r="R16" s="41" t="s">
        <v>6180</v>
      </c>
      <c r="S16" s="41" t="s">
        <v>6176</v>
      </c>
      <c r="T16" s="37">
        <v>184.11</v>
      </c>
      <c r="U16" s="243">
        <v>2790</v>
      </c>
      <c r="V16" s="243">
        <v>1971</v>
      </c>
      <c r="W16" s="243">
        <v>1135.2130579271745</v>
      </c>
      <c r="X16" s="243">
        <v>2790</v>
      </c>
      <c r="Y16" s="414">
        <v>3.15</v>
      </c>
      <c r="Z16" s="37">
        <v>1.73</v>
      </c>
      <c r="AA16" s="37">
        <v>1.67</v>
      </c>
      <c r="AB16" s="37">
        <v>1.62</v>
      </c>
      <c r="AC16" s="37">
        <v>0.79949999999999999</v>
      </c>
      <c r="AD16" s="37">
        <v>1.66</v>
      </c>
      <c r="AE16" s="37">
        <v>1.74</v>
      </c>
      <c r="AF16" s="37">
        <f t="shared" si="9"/>
        <v>1.67</v>
      </c>
      <c r="AG16" s="38">
        <v>0.7</v>
      </c>
      <c r="AH16" s="243">
        <v>2.7599999999999999E-8</v>
      </c>
      <c r="AI16" s="243">
        <v>8.6000000000000002E-8</v>
      </c>
      <c r="AJ16" s="34">
        <f t="shared" si="1"/>
        <v>-5.9476572442474342</v>
      </c>
      <c r="AK16" s="34">
        <f>LOG10(AI16*1000/(0.08206*298.15))</f>
        <v>-5.4540678750690841</v>
      </c>
      <c r="AL16" s="34">
        <f t="shared" si="2"/>
        <v>-5.4540678750690841</v>
      </c>
      <c r="AM16" s="34">
        <v>-9.2873400000000004</v>
      </c>
      <c r="AN16" s="244">
        <v>-5.58</v>
      </c>
      <c r="AO16" s="417">
        <v>4.04</v>
      </c>
      <c r="AP16" s="417"/>
      <c r="AQ16" s="244" t="s">
        <v>6311</v>
      </c>
      <c r="AR16" s="244" t="s">
        <v>6311</v>
      </c>
      <c r="AS16" s="241" t="s">
        <v>6</v>
      </c>
      <c r="AT16" s="39" t="s">
        <v>266</v>
      </c>
      <c r="AU16" s="37">
        <v>2</v>
      </c>
      <c r="AV16" s="37">
        <v>48</v>
      </c>
      <c r="AW16" s="37">
        <v>48</v>
      </c>
      <c r="AX16" s="37">
        <v>26</v>
      </c>
      <c r="AY16" s="37" t="s">
        <v>8722</v>
      </c>
      <c r="AZ16" s="37" t="s">
        <v>1893</v>
      </c>
      <c r="BA16" s="37">
        <v>15</v>
      </c>
      <c r="BB16" s="36" t="s">
        <v>1613</v>
      </c>
      <c r="BC16" s="36" t="s">
        <v>1887</v>
      </c>
      <c r="BD16" s="36"/>
      <c r="BE16" s="37" t="s">
        <v>1712</v>
      </c>
      <c r="BF16" s="37" t="s">
        <v>540</v>
      </c>
      <c r="BG16" s="37" t="s">
        <v>540</v>
      </c>
      <c r="BH16" s="37" t="s">
        <v>272</v>
      </c>
      <c r="BI16" s="248">
        <v>0.22500000000000001</v>
      </c>
      <c r="BJ16" s="248">
        <v>14.4</v>
      </c>
      <c r="BK16" s="37"/>
      <c r="BL16" s="263">
        <v>264.34090833793243</v>
      </c>
      <c r="BM16" s="37" t="s">
        <v>541</v>
      </c>
      <c r="BN16" s="37"/>
      <c r="BO16" s="37">
        <v>4.2</v>
      </c>
      <c r="BP16" s="37"/>
      <c r="BQ16" s="37"/>
      <c r="BR16" s="37"/>
      <c r="BS16" s="37"/>
      <c r="BT16" s="37"/>
      <c r="BU16" s="246"/>
      <c r="BV16" s="37"/>
      <c r="BW16" s="37"/>
      <c r="BX16" s="37"/>
      <c r="BY16" s="37"/>
      <c r="BZ16" s="37"/>
      <c r="CA16" s="37"/>
      <c r="CB16" s="37"/>
      <c r="CC16" s="37"/>
      <c r="CD16" s="37"/>
      <c r="CE16" s="37"/>
      <c r="CF16" s="37"/>
      <c r="CG16" s="37"/>
      <c r="CH16" s="37"/>
      <c r="CI16" s="243">
        <v>4.2</v>
      </c>
      <c r="CJ16" s="243">
        <f>LOG10(CI16)</f>
        <v>0.62324929039790045</v>
      </c>
      <c r="CK16" s="38">
        <f t="shared" si="7"/>
        <v>18.35700752346753</v>
      </c>
      <c r="CL16" s="247">
        <f>BL16/CI16</f>
        <v>62.938311509031529</v>
      </c>
      <c r="CM16" s="247">
        <v>5.5476152000535031E-2</v>
      </c>
      <c r="CN16" s="247">
        <f>BJ16/(10^CM16)</f>
        <v>12.673201500640788</v>
      </c>
      <c r="CO16" s="36" t="s">
        <v>1888</v>
      </c>
      <c r="CP16" s="496" t="s">
        <v>1889</v>
      </c>
      <c r="CQ16" s="241">
        <v>0.73554580874365427</v>
      </c>
      <c r="CR16" s="241">
        <f>10^(CJ16-CQ16)</f>
        <v>0.77215321074154941</v>
      </c>
      <c r="CS16" s="33"/>
      <c r="CT16" s="33"/>
      <c r="CU16" s="250">
        <f>X16/CI16</f>
        <v>664.28571428571422</v>
      </c>
      <c r="CV16" s="337">
        <f t="shared" si="8"/>
        <v>193.75</v>
      </c>
      <c r="CW16" s="330">
        <f>IF(CU16&lt;2,0,1)</f>
        <v>1</v>
      </c>
      <c r="CX16" s="330" t="s">
        <v>539</v>
      </c>
      <c r="CY16" s="143" t="s">
        <v>6351</v>
      </c>
    </row>
    <row r="17" spans="1:103" ht="13.9" customHeight="1" x14ac:dyDescent="0.2">
      <c r="A17" s="72">
        <v>1626</v>
      </c>
      <c r="B17" s="241">
        <v>792</v>
      </c>
      <c r="C17" s="32" t="s">
        <v>1349</v>
      </c>
      <c r="D17" s="32"/>
      <c r="E17" s="40"/>
      <c r="F17" s="40" t="s">
        <v>1350</v>
      </c>
      <c r="G17" s="242">
        <v>56382</v>
      </c>
      <c r="H17" s="36" t="s">
        <v>1351</v>
      </c>
      <c r="I17" s="36" t="s">
        <v>7980</v>
      </c>
      <c r="J17" s="36" t="s">
        <v>1352</v>
      </c>
      <c r="K17" s="36" t="s">
        <v>628</v>
      </c>
      <c r="L17" s="36" t="s">
        <v>617</v>
      </c>
      <c r="M17" s="36" t="s">
        <v>618</v>
      </c>
      <c r="N17" s="36" t="s">
        <v>6376</v>
      </c>
      <c r="O17" s="36" t="s">
        <v>1353</v>
      </c>
      <c r="P17" s="41"/>
      <c r="Q17" s="41"/>
      <c r="R17" s="41"/>
      <c r="S17" s="41"/>
      <c r="T17" s="37">
        <v>291.26</v>
      </c>
      <c r="U17" s="243">
        <v>11</v>
      </c>
      <c r="V17" s="243">
        <v>3.0139999999999998</v>
      </c>
      <c r="W17" s="243">
        <v>6.8278008475008045</v>
      </c>
      <c r="X17" s="243">
        <v>11</v>
      </c>
      <c r="Y17" s="414">
        <v>7</v>
      </c>
      <c r="Z17" s="37">
        <v>3.73</v>
      </c>
      <c r="AA17" s="37">
        <v>3.83</v>
      </c>
      <c r="AB17" s="37">
        <v>3.48</v>
      </c>
      <c r="AC17" s="37">
        <v>0.87450000000000006</v>
      </c>
      <c r="AD17" s="37">
        <v>3.57</v>
      </c>
      <c r="AE17" s="37">
        <v>3.84</v>
      </c>
      <c r="AF17" s="37">
        <f t="shared" si="9"/>
        <v>3.83</v>
      </c>
      <c r="AG17" s="38">
        <v>3</v>
      </c>
      <c r="AH17" s="243">
        <v>2.96E-7</v>
      </c>
      <c r="AI17" s="243">
        <v>2.9799999999999999E-7</v>
      </c>
      <c r="AJ17" s="34">
        <f t="shared" si="1"/>
        <v>-4.9172746152537128</v>
      </c>
      <c r="AK17" s="34">
        <f>LOG10(AI17*1000/(0.08206*298.15))</f>
        <v>-4.9143500622363963</v>
      </c>
      <c r="AL17" s="34">
        <f t="shared" si="2"/>
        <v>-4.9143500622363963</v>
      </c>
      <c r="AM17" s="34">
        <v>-11.31479</v>
      </c>
      <c r="AN17" s="244">
        <v>-4.29</v>
      </c>
      <c r="AO17" s="417"/>
      <c r="AP17" s="417"/>
      <c r="AQ17" s="244" t="s">
        <v>6314</v>
      </c>
      <c r="AR17" s="244" t="s">
        <v>6314</v>
      </c>
      <c r="AS17" s="241" t="s">
        <v>6</v>
      </c>
      <c r="AT17" s="39" t="s">
        <v>266</v>
      </c>
      <c r="AU17" s="37">
        <v>2</v>
      </c>
      <c r="AV17" s="37">
        <v>48</v>
      </c>
      <c r="AW17" s="37">
        <v>48</v>
      </c>
      <c r="AX17" s="37">
        <v>26</v>
      </c>
      <c r="AY17" s="37" t="s">
        <v>8722</v>
      </c>
      <c r="AZ17" s="37" t="s">
        <v>1893</v>
      </c>
      <c r="BA17" s="37">
        <v>15</v>
      </c>
      <c r="BB17" s="36" t="s">
        <v>1613</v>
      </c>
      <c r="BC17" s="36" t="s">
        <v>1887</v>
      </c>
      <c r="BD17" s="36"/>
      <c r="BE17" s="37" t="s">
        <v>1712</v>
      </c>
      <c r="BF17" s="37" t="s">
        <v>540</v>
      </c>
      <c r="BG17" s="37" t="s">
        <v>540</v>
      </c>
      <c r="BH17" s="37" t="s">
        <v>272</v>
      </c>
      <c r="BI17" s="243">
        <v>0.61164599999999991</v>
      </c>
      <c r="BJ17" s="243">
        <v>9.9902179999999987</v>
      </c>
      <c r="BK17" s="37"/>
      <c r="BL17" s="263">
        <v>6.6860226757664334</v>
      </c>
      <c r="BM17" s="37" t="s">
        <v>541</v>
      </c>
      <c r="BN17" s="37"/>
      <c r="BO17" s="37"/>
      <c r="BP17" s="37"/>
      <c r="BQ17" s="37"/>
      <c r="BR17" s="37"/>
      <c r="BS17" s="37"/>
      <c r="BT17" s="37"/>
      <c r="BU17" s="246"/>
      <c r="BV17" s="37"/>
      <c r="BW17" s="37"/>
      <c r="BX17" s="37"/>
      <c r="BY17" s="37"/>
      <c r="BZ17" s="37"/>
      <c r="CA17" s="37"/>
      <c r="CB17" s="37"/>
      <c r="CC17" s="37"/>
      <c r="CD17" s="37"/>
      <c r="CE17" s="37"/>
      <c r="CF17" s="37"/>
      <c r="CG17" s="37"/>
      <c r="CH17" s="37"/>
      <c r="CI17" s="243"/>
      <c r="CJ17" s="243"/>
      <c r="CK17" s="38">
        <f t="shared" si="7"/>
        <v>0.66925693471017689</v>
      </c>
      <c r="CL17" s="247"/>
      <c r="CM17" s="247">
        <v>-0.81902829642671837</v>
      </c>
      <c r="CN17" s="247">
        <f>BJ17/(10^CM17)</f>
        <v>65.857199915488351</v>
      </c>
      <c r="CO17" s="36" t="s">
        <v>1888</v>
      </c>
      <c r="CP17" s="496" t="s">
        <v>1889</v>
      </c>
      <c r="CQ17" s="241">
        <v>-0.23289357127406324</v>
      </c>
      <c r="CR17" s="241">
        <f>10^(CJ17-CQ17)</f>
        <v>1.7095963080321837</v>
      </c>
      <c r="CS17" s="33"/>
      <c r="CT17" s="33"/>
      <c r="CU17" s="250"/>
      <c r="CV17" s="337">
        <f t="shared" si="8"/>
        <v>1.1010770735933892</v>
      </c>
      <c r="CW17" s="330">
        <f>IF(CV17&lt;1,0,1)</f>
        <v>1</v>
      </c>
      <c r="CX17" s="330" t="s">
        <v>539</v>
      </c>
      <c r="CY17" s="143" t="s">
        <v>5921</v>
      </c>
    </row>
    <row r="18" spans="1:103" ht="13.9" customHeight="1" x14ac:dyDescent="0.2">
      <c r="A18" s="72">
        <v>1628</v>
      </c>
      <c r="B18" s="241">
        <v>645</v>
      </c>
      <c r="C18" s="32" t="s">
        <v>7618</v>
      </c>
      <c r="D18" s="32"/>
      <c r="E18" s="40"/>
      <c r="F18" s="40" t="s">
        <v>1906</v>
      </c>
      <c r="G18" s="242">
        <v>56575</v>
      </c>
      <c r="H18" s="36" t="s">
        <v>1907</v>
      </c>
      <c r="I18" s="36" t="s">
        <v>8207</v>
      </c>
      <c r="J18" s="36" t="s">
        <v>1908</v>
      </c>
      <c r="K18" s="36" t="s">
        <v>426</v>
      </c>
      <c r="L18" s="36"/>
      <c r="M18" s="36" t="s">
        <v>1909</v>
      </c>
      <c r="N18" s="36"/>
      <c r="O18" s="36" t="s">
        <v>1910</v>
      </c>
      <c r="P18" s="41"/>
      <c r="Q18" s="41"/>
      <c r="R18" s="41"/>
      <c r="S18" s="41"/>
      <c r="T18" s="37">
        <v>190.16</v>
      </c>
      <c r="U18" s="243"/>
      <c r="V18" s="243">
        <v>2344</v>
      </c>
      <c r="W18" s="243">
        <v>1145.8273088789977</v>
      </c>
      <c r="X18" s="243">
        <v>1145.8273088789977</v>
      </c>
      <c r="Y18" s="414">
        <v>7</v>
      </c>
      <c r="Z18" s="37">
        <v>0.82</v>
      </c>
      <c r="AA18" s="37">
        <v>1.0900000000000001</v>
      </c>
      <c r="AB18" s="37">
        <v>0.49</v>
      </c>
      <c r="AC18" s="37">
        <v>0.88819999999999999</v>
      </c>
      <c r="AD18" s="37">
        <v>0.59</v>
      </c>
      <c r="AE18" s="37">
        <v>0.92</v>
      </c>
      <c r="AF18" s="37">
        <f t="shared" si="9"/>
        <v>1.0900000000000001</v>
      </c>
      <c r="AG18" s="38">
        <v>1.92</v>
      </c>
      <c r="AH18" s="243">
        <v>2.72E-14</v>
      </c>
      <c r="AI18" s="243"/>
      <c r="AJ18" s="34">
        <f t="shared" si="1"/>
        <v>-11.953997422278453</v>
      </c>
      <c r="AK18" s="34"/>
      <c r="AL18" s="34">
        <f t="shared" si="2"/>
        <v>-11.953997422278453</v>
      </c>
      <c r="AM18" s="34">
        <v>-6.4452700000000007</v>
      </c>
      <c r="AN18" s="244">
        <v>-5.37</v>
      </c>
      <c r="AO18" s="417"/>
      <c r="AP18" s="417">
        <v>-1.83</v>
      </c>
      <c r="AQ18" s="244" t="s">
        <v>6311</v>
      </c>
      <c r="AR18" s="244" t="s">
        <v>6311</v>
      </c>
      <c r="AS18" s="241" t="s">
        <v>6</v>
      </c>
      <c r="AT18" s="39" t="s">
        <v>266</v>
      </c>
      <c r="AU18" s="37">
        <v>2</v>
      </c>
      <c r="AV18" s="37">
        <v>48</v>
      </c>
      <c r="AW18" s="37">
        <v>48</v>
      </c>
      <c r="AX18" s="37">
        <v>26</v>
      </c>
      <c r="AY18" s="37" t="s">
        <v>8722</v>
      </c>
      <c r="AZ18" s="37" t="s">
        <v>1893</v>
      </c>
      <c r="BA18" s="37">
        <v>15</v>
      </c>
      <c r="BB18" s="36" t="s">
        <v>1613</v>
      </c>
      <c r="BC18" s="36" t="s">
        <v>1887</v>
      </c>
      <c r="BD18" s="36"/>
      <c r="BE18" s="37" t="s">
        <v>1712</v>
      </c>
      <c r="BF18" s="37" t="s">
        <v>540</v>
      </c>
      <c r="BG18" s="37" t="s">
        <v>540</v>
      </c>
      <c r="BH18" s="37" t="s">
        <v>272</v>
      </c>
      <c r="BI18" s="248">
        <v>0.125</v>
      </c>
      <c r="BJ18" s="248">
        <v>2</v>
      </c>
      <c r="BK18" s="37"/>
      <c r="BL18" s="263">
        <v>1792.5743125275112</v>
      </c>
      <c r="BM18" s="37" t="s">
        <v>541</v>
      </c>
      <c r="BN18" s="37"/>
      <c r="BO18" s="37">
        <v>1.07</v>
      </c>
      <c r="BP18" s="37"/>
      <c r="BQ18" s="37"/>
      <c r="BR18" s="37"/>
      <c r="BS18" s="37"/>
      <c r="BT18" s="37"/>
      <c r="BU18" s="246"/>
      <c r="BV18" s="37"/>
      <c r="BW18" s="37"/>
      <c r="BX18" s="37"/>
      <c r="BY18" s="37"/>
      <c r="BZ18" s="37"/>
      <c r="CA18" s="37"/>
      <c r="CB18" s="37"/>
      <c r="CC18" s="37"/>
      <c r="CD18" s="37"/>
      <c r="CE18" s="37"/>
      <c r="CF18" s="37"/>
      <c r="CG18" s="37"/>
      <c r="CH18" s="37"/>
      <c r="CI18" s="243">
        <v>1.07</v>
      </c>
      <c r="CJ18" s="243">
        <f>LOG10(CI18)</f>
        <v>2.9383777685209667E-2</v>
      </c>
      <c r="CK18" s="38">
        <f t="shared" si="7"/>
        <v>896.28715626375561</v>
      </c>
      <c r="CL18" s="247">
        <f>BL18/CI18</f>
        <v>1675.3030958201039</v>
      </c>
      <c r="CM18" s="247"/>
      <c r="CN18" s="247"/>
      <c r="CO18" s="36" t="s">
        <v>1888</v>
      </c>
      <c r="CP18" s="496" t="s">
        <v>1889</v>
      </c>
      <c r="CQ18" s="241" t="s">
        <v>272</v>
      </c>
      <c r="CR18" s="241"/>
      <c r="CS18" s="33"/>
      <c r="CT18" s="33"/>
      <c r="CU18" s="250">
        <f>X18/CI18</f>
        <v>1070.8666438121472</v>
      </c>
      <c r="CV18" s="337">
        <f t="shared" si="8"/>
        <v>572.91365443949883</v>
      </c>
      <c r="CW18" s="330">
        <f>IF(CU18&lt;2,0,1)</f>
        <v>1</v>
      </c>
      <c r="CX18" s="330" t="s">
        <v>539</v>
      </c>
      <c r="CY18" s="143" t="s">
        <v>5921</v>
      </c>
    </row>
    <row r="19" spans="1:103" ht="11.25" customHeight="1" x14ac:dyDescent="0.2">
      <c r="A19" s="72">
        <v>1639</v>
      </c>
      <c r="B19" s="241">
        <v>776</v>
      </c>
      <c r="C19" s="32" t="s">
        <v>1282</v>
      </c>
      <c r="D19" s="32"/>
      <c r="E19" s="40"/>
      <c r="F19" s="40" t="s">
        <v>1283</v>
      </c>
      <c r="G19" s="242">
        <v>58899</v>
      </c>
      <c r="H19" s="36" t="s">
        <v>1284</v>
      </c>
      <c r="I19" s="36" t="s">
        <v>7983</v>
      </c>
      <c r="J19" s="36" t="s">
        <v>1285</v>
      </c>
      <c r="K19" s="36" t="s">
        <v>426</v>
      </c>
      <c r="L19" s="36"/>
      <c r="M19" s="36" t="s">
        <v>1286</v>
      </c>
      <c r="N19" s="36" t="s">
        <v>6376</v>
      </c>
      <c r="O19" s="36" t="s">
        <v>1287</v>
      </c>
      <c r="P19" s="41"/>
      <c r="Q19" s="41"/>
      <c r="R19" s="41"/>
      <c r="S19" s="41"/>
      <c r="T19" s="37">
        <v>290.83</v>
      </c>
      <c r="U19" s="243">
        <v>8</v>
      </c>
      <c r="V19" s="243">
        <v>4.0439999999999996</v>
      </c>
      <c r="W19" s="243">
        <v>6.2178351448993316</v>
      </c>
      <c r="X19" s="243">
        <v>8</v>
      </c>
      <c r="Y19" s="414">
        <v>7</v>
      </c>
      <c r="Z19" s="37">
        <v>4.26</v>
      </c>
      <c r="AA19" s="37">
        <v>4.1399999999999997</v>
      </c>
      <c r="AB19" s="37">
        <v>3.79</v>
      </c>
      <c r="AC19" s="37">
        <v>0.93030000000000002</v>
      </c>
      <c r="AD19" s="37">
        <v>3.82</v>
      </c>
      <c r="AE19" s="37">
        <v>3.99</v>
      </c>
      <c r="AF19" s="37">
        <f t="shared" si="9"/>
        <v>4.1399999999999997</v>
      </c>
      <c r="AG19" s="38">
        <v>3.92</v>
      </c>
      <c r="AH19" s="243">
        <v>2.5599999999999999E-4</v>
      </c>
      <c r="AI19" s="243">
        <v>5.1399999999999999E-6</v>
      </c>
      <c r="AJ19" s="34">
        <f t="shared" si="1"/>
        <v>-1.9803263610008022</v>
      </c>
      <c r="AK19" s="34">
        <f>LOG10(AI19*1000/(0.08206*298.15))</f>
        <v>-3.6776032073173761</v>
      </c>
      <c r="AL19" s="34">
        <f t="shared" si="2"/>
        <v>-3.6776032073173761</v>
      </c>
      <c r="AM19" s="34">
        <v>-6.2972599999999996</v>
      </c>
      <c r="AN19" s="244">
        <v>-3.77</v>
      </c>
      <c r="AO19" s="417"/>
      <c r="AP19" s="417"/>
      <c r="AQ19" s="244" t="s">
        <v>6311</v>
      </c>
      <c r="AR19" s="244" t="s">
        <v>6312</v>
      </c>
      <c r="AS19" s="241" t="s">
        <v>6</v>
      </c>
      <c r="AT19" s="39" t="s">
        <v>266</v>
      </c>
      <c r="AU19" s="37">
        <v>2</v>
      </c>
      <c r="AV19" s="37">
        <v>48</v>
      </c>
      <c r="AW19" s="37">
        <v>48</v>
      </c>
      <c r="AX19" s="37">
        <v>26</v>
      </c>
      <c r="AY19" s="37" t="s">
        <v>8722</v>
      </c>
      <c r="AZ19" s="37" t="s">
        <v>1893</v>
      </c>
      <c r="BA19" s="37">
        <v>15</v>
      </c>
      <c r="BB19" s="36" t="s">
        <v>1613</v>
      </c>
      <c r="BC19" s="36" t="s">
        <v>1887</v>
      </c>
      <c r="BD19" s="36"/>
      <c r="BE19" s="37" t="s">
        <v>1712</v>
      </c>
      <c r="BF19" s="37" t="s">
        <v>540</v>
      </c>
      <c r="BG19" s="37" t="s">
        <v>540</v>
      </c>
      <c r="BH19" s="37" t="s">
        <v>272</v>
      </c>
      <c r="BI19" s="243">
        <v>0.319913</v>
      </c>
      <c r="BJ19" s="243">
        <v>5.0022760000000002</v>
      </c>
      <c r="BK19" s="37"/>
      <c r="BL19" s="263">
        <v>2.231172781737881</v>
      </c>
      <c r="BM19" s="37" t="s">
        <v>541</v>
      </c>
      <c r="BN19" s="37"/>
      <c r="BO19" s="37"/>
      <c r="BP19" s="37"/>
      <c r="BQ19" s="37"/>
      <c r="BR19" s="37"/>
      <c r="BS19" s="37"/>
      <c r="BT19" s="37"/>
      <c r="BU19" s="246"/>
      <c r="BV19" s="37"/>
      <c r="BW19" s="37"/>
      <c r="BX19" s="37"/>
      <c r="BY19" s="37"/>
      <c r="BZ19" s="37"/>
      <c r="CA19" s="37"/>
      <c r="CB19" s="37"/>
      <c r="CC19" s="37"/>
      <c r="CD19" s="37"/>
      <c r="CE19" s="37"/>
      <c r="CF19" s="37"/>
      <c r="CG19" s="37"/>
      <c r="CH19" s="37"/>
      <c r="CI19" s="243"/>
      <c r="CJ19" s="243"/>
      <c r="CK19" s="38">
        <f t="shared" si="7"/>
        <v>0.44603152279839836</v>
      </c>
      <c r="CL19" s="247"/>
      <c r="CM19" s="247">
        <v>-1.4143096872808381</v>
      </c>
      <c r="CN19" s="247">
        <f>BJ19/(10^CM19)</f>
        <v>129.86057977315915</v>
      </c>
      <c r="CO19" s="36" t="s">
        <v>1888</v>
      </c>
      <c r="CP19" s="496" t="s">
        <v>1889</v>
      </c>
      <c r="CQ19" s="241">
        <v>-1.1048390316279795</v>
      </c>
      <c r="CR19" s="241">
        <f>10^(CJ19-CQ19)</f>
        <v>12.730311530019938</v>
      </c>
      <c r="CS19" s="33"/>
      <c r="CT19" s="33"/>
      <c r="CU19" s="250"/>
      <c r="CV19" s="337">
        <f t="shared" si="8"/>
        <v>1.5992720113804195</v>
      </c>
      <c r="CW19" s="330">
        <f>IF(CV19&lt;1,0,1)</f>
        <v>1</v>
      </c>
      <c r="CX19" s="330" t="s">
        <v>539</v>
      </c>
      <c r="CY19" s="143" t="s">
        <v>5921</v>
      </c>
    </row>
    <row r="20" spans="1:103" ht="11.25" customHeight="1" x14ac:dyDescent="0.2">
      <c r="A20" s="72">
        <v>1703</v>
      </c>
      <c r="B20" s="241">
        <v>634</v>
      </c>
      <c r="C20" s="32" t="s">
        <v>7643</v>
      </c>
      <c r="D20" s="32"/>
      <c r="E20" s="40"/>
      <c r="F20" s="40" t="s">
        <v>1670</v>
      </c>
      <c r="G20" s="242">
        <v>95761</v>
      </c>
      <c r="H20" s="36" t="s">
        <v>1671</v>
      </c>
      <c r="I20" s="36" t="s">
        <v>8213</v>
      </c>
      <c r="J20" s="36" t="s">
        <v>1672</v>
      </c>
      <c r="K20" s="36" t="s">
        <v>1573</v>
      </c>
      <c r="L20" s="36"/>
      <c r="M20" s="36" t="s">
        <v>1629</v>
      </c>
      <c r="N20" s="36" t="s">
        <v>6385</v>
      </c>
      <c r="O20" s="36" t="s">
        <v>498</v>
      </c>
      <c r="P20" s="41" t="s">
        <v>6184</v>
      </c>
      <c r="Q20" s="41" t="s">
        <v>6176</v>
      </c>
      <c r="R20" s="41" t="s">
        <v>6185</v>
      </c>
      <c r="S20" s="41" t="s">
        <v>6176</v>
      </c>
      <c r="T20" s="37">
        <v>162.02000000000001</v>
      </c>
      <c r="U20" s="243">
        <v>92</v>
      </c>
      <c r="V20" s="243">
        <v>337.9</v>
      </c>
      <c r="W20" s="243">
        <v>294.82793311198913</v>
      </c>
      <c r="X20" s="243">
        <v>92</v>
      </c>
      <c r="Y20" s="414">
        <v>7.2</v>
      </c>
      <c r="Z20" s="37">
        <v>2.37</v>
      </c>
      <c r="AA20" s="37">
        <v>2.69</v>
      </c>
      <c r="AB20" s="37">
        <v>2.62</v>
      </c>
      <c r="AC20" s="37">
        <v>0.89139999999999997</v>
      </c>
      <c r="AD20" s="37">
        <v>2.6</v>
      </c>
      <c r="AE20" s="37">
        <v>2.5099999999999998</v>
      </c>
      <c r="AF20" s="37">
        <f t="shared" si="9"/>
        <v>2.69</v>
      </c>
      <c r="AG20" s="38">
        <v>2.4700000000000002</v>
      </c>
      <c r="AH20" s="243">
        <v>1.0499999999999999E-6</v>
      </c>
      <c r="AI20" s="243">
        <v>1.4600000000000001E-5</v>
      </c>
      <c r="AJ20" s="34">
        <f t="shared" si="1"/>
        <v>-4.3673770272427141</v>
      </c>
      <c r="AK20" s="34">
        <f>LOG10(AI20*1000/(0.08206*298.15))</f>
        <v>-3.2242134705282148</v>
      </c>
      <c r="AL20" s="34">
        <f t="shared" si="2"/>
        <v>-3.2242134705282148</v>
      </c>
      <c r="AM20" s="34">
        <v>-7.2924100000000003</v>
      </c>
      <c r="AN20" s="244">
        <v>-4.37</v>
      </c>
      <c r="AO20" s="417"/>
      <c r="AP20" s="417">
        <v>2.9</v>
      </c>
      <c r="AQ20" s="244" t="s">
        <v>6311</v>
      </c>
      <c r="AR20" s="244" t="s">
        <v>6311</v>
      </c>
      <c r="AS20" s="241" t="s">
        <v>6</v>
      </c>
      <c r="AT20" s="39" t="s">
        <v>266</v>
      </c>
      <c r="AU20" s="37">
        <v>2</v>
      </c>
      <c r="AV20" s="37">
        <v>48</v>
      </c>
      <c r="AW20" s="37">
        <v>48</v>
      </c>
      <c r="AX20" s="37">
        <v>26</v>
      </c>
      <c r="AY20" s="37" t="s">
        <v>8722</v>
      </c>
      <c r="AZ20" s="37" t="s">
        <v>1885</v>
      </c>
      <c r="BA20" s="37">
        <v>10</v>
      </c>
      <c r="BB20" s="36" t="s">
        <v>1886</v>
      </c>
      <c r="BC20" s="36" t="s">
        <v>1887</v>
      </c>
      <c r="BD20" s="36"/>
      <c r="BE20" s="37" t="s">
        <v>1712</v>
      </c>
      <c r="BF20" s="37" t="s">
        <v>540</v>
      </c>
      <c r="BG20" s="37" t="s">
        <v>540</v>
      </c>
      <c r="BH20" s="37" t="s">
        <v>272</v>
      </c>
      <c r="BI20" s="250">
        <v>0.10045240000000001</v>
      </c>
      <c r="BJ20" s="250">
        <v>9.9998743999999995</v>
      </c>
      <c r="BK20" s="37"/>
      <c r="BL20" s="263">
        <v>61.925800289105773</v>
      </c>
      <c r="BM20" s="37" t="s">
        <v>541</v>
      </c>
      <c r="BN20" s="37"/>
      <c r="BO20" s="37">
        <v>2.0299999999999998</v>
      </c>
      <c r="BP20" s="37"/>
      <c r="BQ20" s="37"/>
      <c r="BR20" s="37"/>
      <c r="BS20" s="37"/>
      <c r="BT20" s="37"/>
      <c r="BU20" s="246"/>
      <c r="BV20" s="37"/>
      <c r="BW20" s="37"/>
      <c r="BX20" s="37"/>
      <c r="BY20" s="37"/>
      <c r="BZ20" s="37"/>
      <c r="CA20" s="37"/>
      <c r="CB20" s="37"/>
      <c r="CC20" s="37"/>
      <c r="CD20" s="37"/>
      <c r="CE20" s="37"/>
      <c r="CF20" s="37"/>
      <c r="CG20" s="37"/>
      <c r="CH20" s="37"/>
      <c r="CI20" s="243">
        <v>2.0299999999999998</v>
      </c>
      <c r="CJ20" s="243">
        <f>LOG10(CI20)</f>
        <v>0.30749603791321289</v>
      </c>
      <c r="CK20" s="38">
        <f t="shared" si="7"/>
        <v>6.1926578086926547</v>
      </c>
      <c r="CL20" s="247">
        <f>BL20/CI20</f>
        <v>30.505320339460976</v>
      </c>
      <c r="CM20" s="247">
        <v>0.35012181688711158</v>
      </c>
      <c r="CN20" s="247">
        <f>BJ20/(10^CM20)</f>
        <v>4.4655270899357058</v>
      </c>
      <c r="CO20" s="36" t="s">
        <v>1888</v>
      </c>
      <c r="CP20" s="496" t="s">
        <v>1889</v>
      </c>
      <c r="CQ20" s="241">
        <v>0.74774431752431614</v>
      </c>
      <c r="CR20" s="241">
        <f>10^(CJ20-CQ20)</f>
        <v>0.36287054783720457</v>
      </c>
      <c r="CS20" s="33"/>
      <c r="CT20" s="33"/>
      <c r="CU20" s="250">
        <f>X20/CI20</f>
        <v>45.320197044334982</v>
      </c>
      <c r="CV20" s="337">
        <f t="shared" si="8"/>
        <v>9.2001155534513526</v>
      </c>
      <c r="CW20" s="330">
        <f>IF(CU20&lt;2,0,1)</f>
        <v>1</v>
      </c>
      <c r="CX20" s="330" t="s">
        <v>539</v>
      </c>
      <c r="CY20" s="143" t="s">
        <v>6351</v>
      </c>
    </row>
    <row r="21" spans="1:103" ht="11.25" customHeight="1" x14ac:dyDescent="0.2">
      <c r="A21" s="72">
        <v>1716</v>
      </c>
      <c r="B21" s="241">
        <v>729</v>
      </c>
      <c r="C21" s="32" t="s">
        <v>7651</v>
      </c>
      <c r="D21" s="32"/>
      <c r="E21" s="40"/>
      <c r="F21" s="40" t="s">
        <v>4077</v>
      </c>
      <c r="G21" s="242">
        <v>106467</v>
      </c>
      <c r="H21" s="36" t="s">
        <v>4078</v>
      </c>
      <c r="I21" s="36" t="s">
        <v>8028</v>
      </c>
      <c r="J21" s="36" t="s">
        <v>4079</v>
      </c>
      <c r="K21" s="36" t="s">
        <v>426</v>
      </c>
      <c r="L21" s="42" t="s">
        <v>5527</v>
      </c>
      <c r="M21" s="36" t="s">
        <v>866</v>
      </c>
      <c r="N21" s="36" t="s">
        <v>6082</v>
      </c>
      <c r="O21" s="36" t="s">
        <v>6086</v>
      </c>
      <c r="P21" s="41"/>
      <c r="Q21" s="41"/>
      <c r="R21" s="41"/>
      <c r="S21" s="41"/>
      <c r="T21" s="37">
        <v>147</v>
      </c>
      <c r="U21" s="243">
        <v>81.3</v>
      </c>
      <c r="V21" s="243">
        <v>90.24</v>
      </c>
      <c r="W21" s="243">
        <v>21.247964629965121</v>
      </c>
      <c r="X21" s="243">
        <v>81.3</v>
      </c>
      <c r="Y21" s="414">
        <v>7</v>
      </c>
      <c r="Z21" s="37">
        <v>3.28</v>
      </c>
      <c r="AA21" s="37">
        <v>3.44</v>
      </c>
      <c r="AB21" s="37">
        <v>3.28</v>
      </c>
      <c r="AC21" s="37">
        <v>0.92520000000000002</v>
      </c>
      <c r="AD21" s="37">
        <v>3.29</v>
      </c>
      <c r="AE21" s="37">
        <v>3.34</v>
      </c>
      <c r="AF21" s="37">
        <f t="shared" si="9"/>
        <v>3.44</v>
      </c>
      <c r="AG21" s="38">
        <v>3.17</v>
      </c>
      <c r="AH21" s="243">
        <v>2.96E-3</v>
      </c>
      <c r="AI21" s="243">
        <v>2.4099999999999998E-3</v>
      </c>
      <c r="AJ21" s="34">
        <f t="shared" si="1"/>
        <v>-0.91727461525371323</v>
      </c>
      <c r="AK21" s="34">
        <f>LOG10(AI21*1000/(0.08206*298.15))</f>
        <v>-1.0065492837377834</v>
      </c>
      <c r="AL21" s="34">
        <f t="shared" si="2"/>
        <v>-1.0065492837377834</v>
      </c>
      <c r="AM21" s="34">
        <v>-3.2108500000000002</v>
      </c>
      <c r="AN21" s="244">
        <v>-0.93100000000000005</v>
      </c>
      <c r="AO21" s="417"/>
      <c r="AP21" s="417"/>
      <c r="AQ21" s="244" t="s">
        <v>6311</v>
      </c>
      <c r="AR21" s="244" t="s">
        <v>6311</v>
      </c>
      <c r="AS21" s="241" t="s">
        <v>6</v>
      </c>
      <c r="AT21" s="39" t="s">
        <v>266</v>
      </c>
      <c r="AU21" s="37">
        <v>2</v>
      </c>
      <c r="AV21" s="37">
        <v>48</v>
      </c>
      <c r="AW21" s="37">
        <v>48</v>
      </c>
      <c r="AX21" s="37">
        <v>26</v>
      </c>
      <c r="AY21" s="37" t="s">
        <v>8722</v>
      </c>
      <c r="AZ21" s="37" t="s">
        <v>4080</v>
      </c>
      <c r="BA21" s="37">
        <v>10</v>
      </c>
      <c r="BB21" s="36" t="s">
        <v>4081</v>
      </c>
      <c r="BC21" s="36" t="s">
        <v>1887</v>
      </c>
      <c r="BD21" s="36"/>
      <c r="BE21" s="37" t="s">
        <v>1712</v>
      </c>
      <c r="BF21" s="37" t="s">
        <v>540</v>
      </c>
      <c r="BG21" s="37" t="s">
        <v>540</v>
      </c>
      <c r="BH21" s="37" t="s">
        <v>272</v>
      </c>
      <c r="BI21" s="250">
        <v>0.05</v>
      </c>
      <c r="BJ21" s="250">
        <v>11.999999999999998</v>
      </c>
      <c r="BK21" s="37"/>
      <c r="BL21" s="263">
        <v>8.5575478214277876</v>
      </c>
      <c r="BM21" s="37" t="s">
        <v>541</v>
      </c>
      <c r="BN21" s="37"/>
      <c r="BO21" s="37"/>
      <c r="BP21" s="37"/>
      <c r="BQ21" s="37"/>
      <c r="BR21" s="37"/>
      <c r="BS21" s="37"/>
      <c r="BT21" s="37"/>
      <c r="BU21" s="246"/>
      <c r="BV21" s="37"/>
      <c r="BW21" s="37"/>
      <c r="BX21" s="37"/>
      <c r="BY21" s="37"/>
      <c r="BZ21" s="37"/>
      <c r="CA21" s="37"/>
      <c r="CB21" s="37"/>
      <c r="CC21" s="37"/>
      <c r="CD21" s="37"/>
      <c r="CE21" s="37"/>
      <c r="CF21" s="37"/>
      <c r="CG21" s="37"/>
      <c r="CH21" s="37"/>
      <c r="CI21" s="243"/>
      <c r="CJ21" s="243"/>
      <c r="CK21" s="38">
        <f t="shared" si="7"/>
        <v>0.71312898511898237</v>
      </c>
      <c r="CL21" s="247"/>
      <c r="CM21" s="247"/>
      <c r="CN21" s="247"/>
      <c r="CO21" s="36" t="s">
        <v>1888</v>
      </c>
      <c r="CP21" s="496" t="s">
        <v>1889</v>
      </c>
      <c r="CQ21" s="241">
        <v>0.71498239185563861</v>
      </c>
      <c r="CR21" s="241">
        <f>10^(CJ21-CQ21)</f>
        <v>0.19276030648285775</v>
      </c>
      <c r="CS21" s="33"/>
      <c r="CT21" s="33"/>
      <c r="CU21" s="250"/>
      <c r="CV21" s="337">
        <f t="shared" si="8"/>
        <v>6.7750000000000004</v>
      </c>
      <c r="CW21" s="330">
        <f>IF(CV21&lt;1,0,1)</f>
        <v>1</v>
      </c>
      <c r="CX21" s="330" t="s">
        <v>539</v>
      </c>
      <c r="CY21" s="143" t="s">
        <v>6351</v>
      </c>
    </row>
    <row r="22" spans="1:103" ht="11.25" customHeight="1" x14ac:dyDescent="0.2">
      <c r="A22" s="72">
        <v>1796</v>
      </c>
      <c r="B22" s="241">
        <v>644</v>
      </c>
      <c r="C22" s="32" t="s">
        <v>1899</v>
      </c>
      <c r="D22" s="32" t="s">
        <v>8545</v>
      </c>
      <c r="E22" s="40"/>
      <c r="F22" s="40" t="s">
        <v>1900</v>
      </c>
      <c r="G22" s="242">
        <v>446720</v>
      </c>
      <c r="H22" s="36" t="s">
        <v>1901</v>
      </c>
      <c r="I22" s="36" t="s">
        <v>1901</v>
      </c>
      <c r="J22" s="36" t="s">
        <v>1902</v>
      </c>
      <c r="K22" s="36" t="s">
        <v>1903</v>
      </c>
      <c r="L22" s="36"/>
      <c r="M22" s="36" t="s">
        <v>1904</v>
      </c>
      <c r="N22" s="36"/>
      <c r="O22" s="36" t="s">
        <v>1905</v>
      </c>
      <c r="P22" s="41"/>
      <c r="Q22" s="41"/>
      <c r="R22" s="41"/>
      <c r="S22" s="41"/>
      <c r="T22" s="37">
        <v>270.24</v>
      </c>
      <c r="U22" s="243"/>
      <c r="V22" s="243">
        <v>257.7</v>
      </c>
      <c r="W22" s="243">
        <v>182.70466326992903</v>
      </c>
      <c r="X22" s="243">
        <v>182.70466326992903</v>
      </c>
      <c r="Y22" s="414">
        <v>4.7699999999999996</v>
      </c>
      <c r="Z22" s="37">
        <v>2.84</v>
      </c>
      <c r="AA22" s="37"/>
      <c r="AB22" s="37">
        <v>2.57</v>
      </c>
      <c r="AC22" s="37">
        <v>0.76629999999999998</v>
      </c>
      <c r="AD22" s="37">
        <v>2.63</v>
      </c>
      <c r="AE22" s="37">
        <v>2.96</v>
      </c>
      <c r="AF22" s="37">
        <f t="shared" si="9"/>
        <v>2.63</v>
      </c>
      <c r="AG22" s="38">
        <v>2.31</v>
      </c>
      <c r="AH22" s="243">
        <v>5.1199999999999999E-17</v>
      </c>
      <c r="AI22" s="243"/>
      <c r="AJ22" s="34">
        <f t="shared" si="1"/>
        <v>-14.679296365336821</v>
      </c>
      <c r="AK22" s="34"/>
      <c r="AL22" s="34">
        <f t="shared" si="2"/>
        <v>-14.679296365336821</v>
      </c>
      <c r="AM22" s="34">
        <v>-20.039929999999998</v>
      </c>
      <c r="AN22" s="244">
        <v>-15.5</v>
      </c>
      <c r="AO22" s="417">
        <v>6.51</v>
      </c>
      <c r="AP22" s="417"/>
      <c r="AQ22" s="244" t="s">
        <v>6311</v>
      </c>
      <c r="AR22" s="244" t="s">
        <v>6311</v>
      </c>
      <c r="AS22" s="241" t="s">
        <v>6</v>
      </c>
      <c r="AT22" s="39" t="s">
        <v>266</v>
      </c>
      <c r="AU22" s="37">
        <v>2</v>
      </c>
      <c r="AV22" s="37">
        <v>48</v>
      </c>
      <c r="AW22" s="37">
        <v>48</v>
      </c>
      <c r="AX22" s="37">
        <v>26</v>
      </c>
      <c r="AY22" s="37" t="s">
        <v>8722</v>
      </c>
      <c r="AZ22" s="37" t="s">
        <v>1893</v>
      </c>
      <c r="BA22" s="37">
        <v>15</v>
      </c>
      <c r="BB22" s="36" t="s">
        <v>1613</v>
      </c>
      <c r="BC22" s="36" t="s">
        <v>1887</v>
      </c>
      <c r="BD22" s="36"/>
      <c r="BE22" s="37" t="s">
        <v>1712</v>
      </c>
      <c r="BF22" s="37" t="s">
        <v>540</v>
      </c>
      <c r="BG22" s="37" t="s">
        <v>540</v>
      </c>
      <c r="BH22" s="37" t="s">
        <v>272</v>
      </c>
      <c r="BI22" s="250">
        <v>0.57999999999999996</v>
      </c>
      <c r="BJ22" s="250">
        <v>9.3000000000000007</v>
      </c>
      <c r="BK22" s="37"/>
      <c r="BL22" s="263">
        <v>39.079197088081351</v>
      </c>
      <c r="BM22" s="37" t="s">
        <v>541</v>
      </c>
      <c r="BN22" s="37"/>
      <c r="BO22" s="37">
        <v>5.62</v>
      </c>
      <c r="BP22" s="37"/>
      <c r="BQ22" s="37"/>
      <c r="BR22" s="37"/>
      <c r="BS22" s="37"/>
      <c r="BT22" s="37"/>
      <c r="BU22" s="246"/>
      <c r="BV22" s="37"/>
      <c r="BW22" s="37"/>
      <c r="BX22" s="37"/>
      <c r="BY22" s="37"/>
      <c r="BZ22" s="37"/>
      <c r="CA22" s="37"/>
      <c r="CB22" s="37"/>
      <c r="CC22" s="37"/>
      <c r="CD22" s="37"/>
      <c r="CE22" s="37"/>
      <c r="CF22" s="37"/>
      <c r="CG22" s="37"/>
      <c r="CH22" s="37"/>
      <c r="CI22" s="243">
        <v>5.62</v>
      </c>
      <c r="CJ22" s="243">
        <f>LOG10(CI22)</f>
        <v>0.74973631556906106</v>
      </c>
      <c r="CK22" s="38">
        <f t="shared" si="7"/>
        <v>4.2020642030194999</v>
      </c>
      <c r="CL22" s="247">
        <f>BL22/CI22</f>
        <v>6.9535937879148308</v>
      </c>
      <c r="CM22" s="247"/>
      <c r="CN22" s="247"/>
      <c r="CO22" s="36" t="s">
        <v>1888</v>
      </c>
      <c r="CP22" s="496" t="s">
        <v>1889</v>
      </c>
      <c r="CQ22" s="241" t="s">
        <v>272</v>
      </c>
      <c r="CR22" s="241"/>
      <c r="CS22" s="33"/>
      <c r="CT22" s="33"/>
      <c r="CU22" s="250">
        <f>X22/CI22</f>
        <v>32.509726560485589</v>
      </c>
      <c r="CV22" s="337">
        <f t="shared" si="8"/>
        <v>19.645662717196668</v>
      </c>
      <c r="CW22" s="330">
        <f>IF(CU22&lt;2,0,1)</f>
        <v>1</v>
      </c>
      <c r="CX22" s="330" t="s">
        <v>539</v>
      </c>
      <c r="CY22" s="143" t="s">
        <v>5921</v>
      </c>
    </row>
    <row r="23" spans="1:103" ht="11.25" customHeight="1" x14ac:dyDescent="0.2">
      <c r="A23" s="72">
        <v>1804</v>
      </c>
      <c r="B23" s="241">
        <v>716</v>
      </c>
      <c r="C23" s="32" t="s">
        <v>7699</v>
      </c>
      <c r="D23" s="32"/>
      <c r="E23" s="40"/>
      <c r="F23" s="40" t="s">
        <v>4074</v>
      </c>
      <c r="G23" s="242">
        <v>527208</v>
      </c>
      <c r="H23" s="36" t="s">
        <v>4075</v>
      </c>
      <c r="I23" s="36" t="s">
        <v>8225</v>
      </c>
      <c r="J23" s="36" t="s">
        <v>4076</v>
      </c>
      <c r="K23" s="36" t="s">
        <v>1573</v>
      </c>
      <c r="L23" s="36"/>
      <c r="M23" s="36" t="s">
        <v>866</v>
      </c>
      <c r="N23" s="36"/>
      <c r="O23" s="36" t="s">
        <v>498</v>
      </c>
      <c r="P23" s="41"/>
      <c r="Q23" s="41"/>
      <c r="R23" s="41"/>
      <c r="S23" s="41"/>
      <c r="T23" s="37">
        <v>265.35000000000002</v>
      </c>
      <c r="U23" s="243"/>
      <c r="V23" s="243">
        <v>1.4850000000000001</v>
      </c>
      <c r="W23" s="243">
        <v>1.8357734813333941</v>
      </c>
      <c r="X23" s="243">
        <v>1.8357734813333941</v>
      </c>
      <c r="Y23" s="414">
        <v>7</v>
      </c>
      <c r="Z23" s="37">
        <v>4.3</v>
      </c>
      <c r="AA23" s="37">
        <v>4.82</v>
      </c>
      <c r="AB23" s="37">
        <v>4.68</v>
      </c>
      <c r="AC23" s="37">
        <v>0.88529999999999998</v>
      </c>
      <c r="AD23" s="37">
        <v>4.72</v>
      </c>
      <c r="AE23" s="37">
        <v>4.8600000000000003</v>
      </c>
      <c r="AF23" s="37">
        <f t="shared" si="9"/>
        <v>4.82</v>
      </c>
      <c r="AG23" s="38">
        <v>4.5</v>
      </c>
      <c r="AH23" s="243">
        <v>4.2500000000000001E-7</v>
      </c>
      <c r="AI23" s="243"/>
      <c r="AJ23" s="34">
        <f t="shared" si="1"/>
        <v>-4.7601773962623399</v>
      </c>
      <c r="AK23" s="34"/>
      <c r="AL23" s="34">
        <f t="shared" si="2"/>
        <v>-4.7601773962623399</v>
      </c>
      <c r="AM23" s="34">
        <v>-7.7284000000000006</v>
      </c>
      <c r="AN23" s="244">
        <v>-2.38</v>
      </c>
      <c r="AO23" s="417"/>
      <c r="AP23" s="417">
        <v>-2.04</v>
      </c>
      <c r="AQ23" s="244" t="s">
        <v>6311</v>
      </c>
      <c r="AR23" s="244" t="s">
        <v>6311</v>
      </c>
      <c r="AS23" s="241" t="s">
        <v>6</v>
      </c>
      <c r="AT23" s="39" t="s">
        <v>266</v>
      </c>
      <c r="AU23" s="37">
        <v>2</v>
      </c>
      <c r="AV23" s="37">
        <v>48</v>
      </c>
      <c r="AW23" s="37">
        <v>48</v>
      </c>
      <c r="AX23" s="37">
        <v>26</v>
      </c>
      <c r="AY23" s="37" t="s">
        <v>8722</v>
      </c>
      <c r="AZ23" s="37" t="s">
        <v>1893</v>
      </c>
      <c r="BA23" s="37">
        <v>15</v>
      </c>
      <c r="BB23" s="36" t="s">
        <v>1613</v>
      </c>
      <c r="BC23" s="36" t="s">
        <v>1887</v>
      </c>
      <c r="BD23" s="36"/>
      <c r="BE23" s="37" t="s">
        <v>1712</v>
      </c>
      <c r="BF23" s="37" t="s">
        <v>540</v>
      </c>
      <c r="BG23" s="37" t="s">
        <v>540</v>
      </c>
      <c r="BH23" s="37" t="s">
        <v>272</v>
      </c>
      <c r="BI23" s="250">
        <v>1.5E-3</v>
      </c>
      <c r="BJ23" s="250">
        <v>2.5000000000000001E-3</v>
      </c>
      <c r="BK23" s="37"/>
      <c r="BL23" s="263">
        <v>1.8740841686172856</v>
      </c>
      <c r="BM23" s="37" t="s">
        <v>541</v>
      </c>
      <c r="BN23" s="37"/>
      <c r="BO23" s="37"/>
      <c r="BP23" s="37"/>
      <c r="BQ23" s="37"/>
      <c r="BR23" s="37"/>
      <c r="BS23" s="37"/>
      <c r="BT23" s="37"/>
      <c r="BU23" s="246"/>
      <c r="BV23" s="37"/>
      <c r="BW23" s="37"/>
      <c r="BX23" s="37"/>
      <c r="BY23" s="37"/>
      <c r="BZ23" s="37"/>
      <c r="CA23" s="37"/>
      <c r="CB23" s="37"/>
      <c r="CC23" s="37"/>
      <c r="CD23" s="37"/>
      <c r="CE23" s="37"/>
      <c r="CF23" s="37"/>
      <c r="CG23" s="37"/>
      <c r="CH23" s="37"/>
      <c r="CI23" s="243"/>
      <c r="CJ23" s="243"/>
      <c r="CK23" s="38">
        <f t="shared" si="7"/>
        <v>749.63366744691416</v>
      </c>
      <c r="CL23" s="247"/>
      <c r="CM23" s="247"/>
      <c r="CN23" s="247"/>
      <c r="CO23" s="36" t="s">
        <v>1888</v>
      </c>
      <c r="CP23" s="496" t="s">
        <v>1889</v>
      </c>
      <c r="CQ23" s="241" t="s">
        <v>272</v>
      </c>
      <c r="CR23" s="241"/>
      <c r="CS23" s="271"/>
      <c r="CT23" s="271"/>
      <c r="CU23" s="250"/>
      <c r="CV23" s="337">
        <f t="shared" si="8"/>
        <v>734.3093925333576</v>
      </c>
      <c r="CW23" s="330">
        <f>IF(CV23&lt;1,0,1)</f>
        <v>1</v>
      </c>
      <c r="CX23" s="330" t="s">
        <v>539</v>
      </c>
      <c r="CY23" s="143" t="s">
        <v>5921</v>
      </c>
    </row>
    <row r="24" spans="1:103" ht="11.25" customHeight="1" x14ac:dyDescent="0.2">
      <c r="A24" s="72">
        <v>1818</v>
      </c>
      <c r="B24" s="241">
        <v>731</v>
      </c>
      <c r="C24" s="32" t="s">
        <v>7708</v>
      </c>
      <c r="D24" s="32" t="s">
        <v>8715</v>
      </c>
      <c r="E24" s="40"/>
      <c r="F24" s="40" t="s">
        <v>4082</v>
      </c>
      <c r="G24" s="242">
        <v>608935</v>
      </c>
      <c r="H24" s="36" t="s">
        <v>4083</v>
      </c>
      <c r="I24" s="36" t="s">
        <v>8229</v>
      </c>
      <c r="J24" s="36" t="s">
        <v>4084</v>
      </c>
      <c r="K24" s="36" t="s">
        <v>426</v>
      </c>
      <c r="L24" s="36"/>
      <c r="M24" s="36" t="s">
        <v>866</v>
      </c>
      <c r="N24" s="36" t="s">
        <v>6082</v>
      </c>
      <c r="O24" s="36" t="s">
        <v>498</v>
      </c>
      <c r="P24" s="41" t="s">
        <v>6183</v>
      </c>
      <c r="Q24" s="41" t="s">
        <v>6176</v>
      </c>
      <c r="R24" s="41" t="s">
        <v>6183</v>
      </c>
      <c r="S24" s="41" t="s">
        <v>6182</v>
      </c>
      <c r="T24" s="37">
        <v>250.34</v>
      </c>
      <c r="U24" s="243">
        <v>0.83099999999999996</v>
      </c>
      <c r="V24" s="243">
        <v>0.90549999999999997</v>
      </c>
      <c r="W24" s="243">
        <v>0.46615489379218122</v>
      </c>
      <c r="X24" s="243">
        <v>0.83099999999999996</v>
      </c>
      <c r="Y24" s="414">
        <v>7</v>
      </c>
      <c r="Z24" s="37">
        <v>5.22</v>
      </c>
      <c r="AA24" s="37">
        <v>5.17</v>
      </c>
      <c r="AB24" s="37">
        <v>4.97</v>
      </c>
      <c r="AC24" s="37">
        <v>0.87390000000000001</v>
      </c>
      <c r="AD24" s="37">
        <v>4.88</v>
      </c>
      <c r="AE24" s="37">
        <v>4.5999999999999996</v>
      </c>
      <c r="AF24" s="37">
        <f t="shared" si="9"/>
        <v>5.17</v>
      </c>
      <c r="AG24" s="38">
        <v>5.19</v>
      </c>
      <c r="AH24" s="243">
        <v>1.1999999999999999E-3</v>
      </c>
      <c r="AI24" s="243">
        <v>7.0299999999999996E-4</v>
      </c>
      <c r="AJ24" s="34">
        <f t="shared" si="1"/>
        <v>-1.3093850802650269</v>
      </c>
      <c r="AK24" s="34">
        <f>LOG10(AI24*1000/(0.08206*298.15))</f>
        <v>-1.5416110012928279</v>
      </c>
      <c r="AL24" s="34">
        <f t="shared" si="2"/>
        <v>-1.5416110012928279</v>
      </c>
      <c r="AM24" s="34">
        <v>-4.0929900000000004</v>
      </c>
      <c r="AN24" s="244">
        <v>-1.69</v>
      </c>
      <c r="AO24" s="417"/>
      <c r="AP24" s="417"/>
      <c r="AQ24" s="244" t="s">
        <v>6311</v>
      </c>
      <c r="AR24" s="244" t="s">
        <v>6311</v>
      </c>
      <c r="AS24" s="241" t="s">
        <v>6</v>
      </c>
      <c r="AT24" s="39" t="s">
        <v>266</v>
      </c>
      <c r="AU24" s="37">
        <v>2</v>
      </c>
      <c r="AV24" s="37">
        <v>48</v>
      </c>
      <c r="AW24" s="37">
        <v>48</v>
      </c>
      <c r="AX24" s="37">
        <v>26</v>
      </c>
      <c r="AY24" s="37" t="s">
        <v>8722</v>
      </c>
      <c r="AZ24" s="37" t="s">
        <v>1893</v>
      </c>
      <c r="BA24" s="37">
        <v>15</v>
      </c>
      <c r="BB24" s="36" t="s">
        <v>1613</v>
      </c>
      <c r="BC24" s="36" t="s">
        <v>1887</v>
      </c>
      <c r="BD24" s="36"/>
      <c r="BE24" s="37" t="s">
        <v>1712</v>
      </c>
      <c r="BF24" s="37" t="s">
        <v>540</v>
      </c>
      <c r="BG24" s="37" t="s">
        <v>540</v>
      </c>
      <c r="BH24" s="37" t="s">
        <v>272</v>
      </c>
      <c r="BI24" s="250">
        <v>0.05</v>
      </c>
      <c r="BJ24" s="250">
        <v>0.8</v>
      </c>
      <c r="BK24" s="37"/>
      <c r="BL24" s="263">
        <v>0.26378387750079818</v>
      </c>
      <c r="BM24" s="37" t="s">
        <v>541</v>
      </c>
      <c r="BN24" s="37"/>
      <c r="BO24" s="37"/>
      <c r="BP24" s="37"/>
      <c r="BQ24" s="37"/>
      <c r="BR24" s="37"/>
      <c r="BS24" s="37"/>
      <c r="BT24" s="37"/>
      <c r="BU24" s="246"/>
      <c r="BV24" s="37"/>
      <c r="BW24" s="37"/>
      <c r="BX24" s="37"/>
      <c r="BY24" s="37"/>
      <c r="BZ24" s="37"/>
      <c r="CA24" s="37"/>
      <c r="CB24" s="37"/>
      <c r="CC24" s="37"/>
      <c r="CD24" s="37"/>
      <c r="CE24" s="37"/>
      <c r="CF24" s="37"/>
      <c r="CG24" s="37"/>
      <c r="CH24" s="37"/>
      <c r="CI24" s="243"/>
      <c r="CJ24" s="243"/>
      <c r="CK24" s="38">
        <f t="shared" si="7"/>
        <v>0.32972984687599771</v>
      </c>
      <c r="CL24" s="247"/>
      <c r="CM24" s="247"/>
      <c r="CN24" s="247"/>
      <c r="CO24" s="36" t="s">
        <v>1888</v>
      </c>
      <c r="CP24" s="496" t="s">
        <v>1889</v>
      </c>
      <c r="CQ24" s="241">
        <v>-0.60644695348171496</v>
      </c>
      <c r="CR24" s="241">
        <f>10^(CJ24-CQ24)</f>
        <v>4.0406101782088442</v>
      </c>
      <c r="CS24" s="33"/>
      <c r="CT24" s="33"/>
      <c r="CU24" s="250"/>
      <c r="CV24" s="337">
        <f t="shared" si="8"/>
        <v>1.0387499999999998</v>
      </c>
      <c r="CW24" s="330">
        <f>IF(CV24&lt;1,0,1)</f>
        <v>1</v>
      </c>
      <c r="CX24" s="330" t="s">
        <v>539</v>
      </c>
      <c r="CY24" s="143" t="s">
        <v>5921</v>
      </c>
    </row>
    <row r="25" spans="1:103" ht="11.25" customHeight="1" x14ac:dyDescent="0.2">
      <c r="A25" s="72">
        <v>1824</v>
      </c>
      <c r="B25" s="241">
        <v>635</v>
      </c>
      <c r="C25" s="32" t="s">
        <v>7713</v>
      </c>
      <c r="D25" s="32" t="s">
        <v>8700</v>
      </c>
      <c r="E25" s="40"/>
      <c r="F25" s="40" t="s">
        <v>1890</v>
      </c>
      <c r="G25" s="242">
        <v>626437</v>
      </c>
      <c r="H25" s="36" t="s">
        <v>1891</v>
      </c>
      <c r="I25" s="36" t="s">
        <v>8230</v>
      </c>
      <c r="J25" s="36" t="s">
        <v>1892</v>
      </c>
      <c r="K25" s="36" t="s">
        <v>1573</v>
      </c>
      <c r="L25" s="36"/>
      <c r="M25" s="36" t="s">
        <v>1629</v>
      </c>
      <c r="N25" s="36" t="s">
        <v>6385</v>
      </c>
      <c r="O25" s="36" t="s">
        <v>1630</v>
      </c>
      <c r="P25" s="41" t="s">
        <v>6184</v>
      </c>
      <c r="Q25" s="41" t="s">
        <v>6176</v>
      </c>
      <c r="R25" s="41" t="s">
        <v>6185</v>
      </c>
      <c r="S25" s="41" t="s">
        <v>6179</v>
      </c>
      <c r="T25" s="37">
        <v>162.02000000000001</v>
      </c>
      <c r="U25" s="243">
        <v>784</v>
      </c>
      <c r="V25" s="243">
        <v>223.6</v>
      </c>
      <c r="W25" s="243">
        <v>250.93926859620009</v>
      </c>
      <c r="X25" s="243">
        <v>784</v>
      </c>
      <c r="Y25" s="414">
        <v>7.08</v>
      </c>
      <c r="Z25" s="37">
        <v>2.37</v>
      </c>
      <c r="AA25" s="37">
        <v>2.9</v>
      </c>
      <c r="AB25" s="37">
        <v>2.81</v>
      </c>
      <c r="AC25" s="37">
        <v>0.89510000000000001</v>
      </c>
      <c r="AD25" s="37">
        <v>2.79</v>
      </c>
      <c r="AE25" s="37">
        <v>2.7</v>
      </c>
      <c r="AF25" s="37">
        <f t="shared" si="9"/>
        <v>2.9</v>
      </c>
      <c r="AG25" s="38">
        <v>2.5099999999999998</v>
      </c>
      <c r="AH25" s="243">
        <v>1.0499999999999999E-6</v>
      </c>
      <c r="AI25" s="243"/>
      <c r="AJ25" s="34">
        <f t="shared" si="1"/>
        <v>-4.3673770272427141</v>
      </c>
      <c r="AK25" s="34"/>
      <c r="AL25" s="34">
        <f t="shared" si="2"/>
        <v>-4.3673770272427141</v>
      </c>
      <c r="AM25" s="34">
        <v>-6.6875499999999999</v>
      </c>
      <c r="AN25" s="244">
        <v>-4.3099999999999996</v>
      </c>
      <c r="AO25" s="417"/>
      <c r="AP25" s="417">
        <v>2.48</v>
      </c>
      <c r="AQ25" s="244" t="s">
        <v>6311</v>
      </c>
      <c r="AR25" s="244" t="s">
        <v>6311</v>
      </c>
      <c r="AS25" s="241" t="s">
        <v>6</v>
      </c>
      <c r="AT25" s="39" t="s">
        <v>266</v>
      </c>
      <c r="AU25" s="37">
        <v>2</v>
      </c>
      <c r="AV25" s="37">
        <v>48</v>
      </c>
      <c r="AW25" s="37">
        <v>48</v>
      </c>
      <c r="AX25" s="37">
        <v>26</v>
      </c>
      <c r="AY25" s="37" t="s">
        <v>8722</v>
      </c>
      <c r="AZ25" s="37" t="s">
        <v>1893</v>
      </c>
      <c r="BA25" s="37">
        <v>15</v>
      </c>
      <c r="BB25" s="36" t="s">
        <v>1613</v>
      </c>
      <c r="BC25" s="36" t="s">
        <v>1887</v>
      </c>
      <c r="BD25" s="36"/>
      <c r="BE25" s="37" t="s">
        <v>1712</v>
      </c>
      <c r="BF25" s="37" t="s">
        <v>540</v>
      </c>
      <c r="BG25" s="37" t="s">
        <v>540</v>
      </c>
      <c r="BH25" s="37" t="s">
        <v>272</v>
      </c>
      <c r="BI25" s="250">
        <v>1.8</v>
      </c>
      <c r="BJ25" s="250">
        <v>36</v>
      </c>
      <c r="BK25" s="37"/>
      <c r="BL25" s="263">
        <v>61.925800289105773</v>
      </c>
      <c r="BM25" s="37" t="s">
        <v>541</v>
      </c>
      <c r="BN25" s="37"/>
      <c r="BO25" s="37">
        <v>8.19</v>
      </c>
      <c r="BP25" s="37"/>
      <c r="BQ25" s="37"/>
      <c r="BR25" s="37"/>
      <c r="BS25" s="37"/>
      <c r="BT25" s="37"/>
      <c r="BU25" s="246"/>
      <c r="BV25" s="37"/>
      <c r="BW25" s="37"/>
      <c r="BX25" s="37"/>
      <c r="BY25" s="37"/>
      <c r="BZ25" s="37"/>
      <c r="CA25" s="37"/>
      <c r="CB25" s="37"/>
      <c r="CC25" s="37"/>
      <c r="CD25" s="37"/>
      <c r="CE25" s="37"/>
      <c r="CF25" s="37"/>
      <c r="CG25" s="37"/>
      <c r="CH25" s="37"/>
      <c r="CI25" s="243">
        <v>8.19</v>
      </c>
      <c r="CJ25" s="243">
        <f>LOG10(CI25)</f>
        <v>0.9132839017604184</v>
      </c>
      <c r="CK25" s="38">
        <f t="shared" si="7"/>
        <v>1.7201611191418271</v>
      </c>
      <c r="CL25" s="247">
        <f>BL25/CI25</f>
        <v>7.5611477764475916</v>
      </c>
      <c r="CM25" s="247"/>
      <c r="CN25" s="247"/>
      <c r="CO25" s="36" t="s">
        <v>1888</v>
      </c>
      <c r="CP25" s="496" t="s">
        <v>1889</v>
      </c>
      <c r="CQ25" s="241">
        <v>1.0328194373519353</v>
      </c>
      <c r="CR25" s="241">
        <f>10^(CJ25-CQ25)</f>
        <v>0.75938928406704354</v>
      </c>
      <c r="CS25" s="33"/>
      <c r="CT25" s="33"/>
      <c r="CU25" s="250">
        <f>X25/CI25</f>
        <v>95.726495726495727</v>
      </c>
      <c r="CV25" s="337">
        <f t="shared" si="8"/>
        <v>21.777777777777779</v>
      </c>
      <c r="CW25" s="330">
        <f>IF(CU25&lt;2,0,1)</f>
        <v>1</v>
      </c>
      <c r="CX25" s="330" t="s">
        <v>539</v>
      </c>
      <c r="CY25" s="143" t="s">
        <v>6351</v>
      </c>
    </row>
    <row r="26" spans="1:103" ht="11.25" customHeight="1" x14ac:dyDescent="0.2">
      <c r="A26" s="72">
        <v>1845</v>
      </c>
      <c r="B26" s="241">
        <v>741</v>
      </c>
      <c r="C26" s="32" t="s">
        <v>1574</v>
      </c>
      <c r="D26" s="32"/>
      <c r="E26" s="40"/>
      <c r="F26" s="40" t="s">
        <v>1575</v>
      </c>
      <c r="G26" s="242">
        <v>1912249</v>
      </c>
      <c r="H26" s="36" t="s">
        <v>1576</v>
      </c>
      <c r="I26" s="36" t="s">
        <v>8076</v>
      </c>
      <c r="J26" s="36" t="s">
        <v>1577</v>
      </c>
      <c r="K26" s="36" t="s">
        <v>940</v>
      </c>
      <c r="L26" s="36" t="s">
        <v>6152</v>
      </c>
      <c r="M26" s="36" t="s">
        <v>6082</v>
      </c>
      <c r="N26" s="36" t="s">
        <v>6082</v>
      </c>
      <c r="O26" s="36" t="s">
        <v>6083</v>
      </c>
      <c r="P26" s="41" t="s">
        <v>6178</v>
      </c>
      <c r="Q26" s="41" t="s">
        <v>6173</v>
      </c>
      <c r="R26" s="41" t="s">
        <v>6181</v>
      </c>
      <c r="S26" s="41" t="s">
        <v>6176</v>
      </c>
      <c r="T26" s="37">
        <v>215.68</v>
      </c>
      <c r="U26" s="243">
        <v>34.700000000000003</v>
      </c>
      <c r="V26" s="243">
        <v>214.1</v>
      </c>
      <c r="W26" s="243">
        <v>69.792679926582196</v>
      </c>
      <c r="X26" s="243">
        <v>34.700000000000003</v>
      </c>
      <c r="Y26" s="414">
        <v>7.03</v>
      </c>
      <c r="Z26" s="37">
        <v>2.82</v>
      </c>
      <c r="AA26" s="37">
        <v>2.61</v>
      </c>
      <c r="AB26" s="37">
        <v>2.67</v>
      </c>
      <c r="AC26" s="37">
        <v>0.91020000000000001</v>
      </c>
      <c r="AD26" s="37">
        <v>2.66</v>
      </c>
      <c r="AE26" s="37">
        <v>2.63</v>
      </c>
      <c r="AF26" s="37">
        <f t="shared" si="9"/>
        <v>2.61</v>
      </c>
      <c r="AG26" s="38">
        <v>2.41</v>
      </c>
      <c r="AH26" s="243">
        <v>4.4699999999999997E-9</v>
      </c>
      <c r="AI26" s="243">
        <v>2.3600000000000001E-9</v>
      </c>
      <c r="AJ26" s="34">
        <f t="shared" si="1"/>
        <v>-6.7382588031807158</v>
      </c>
      <c r="AK26" s="34">
        <f>LOG10(AI26*1000/(0.08206*298.15))</f>
        <v>-7.0156543233425452</v>
      </c>
      <c r="AL26" s="34">
        <f t="shared" si="2"/>
        <v>-7.0156543233425452</v>
      </c>
      <c r="AM26" s="34">
        <v>-10.46622</v>
      </c>
      <c r="AN26" s="244">
        <v>-8.32</v>
      </c>
      <c r="AO26" s="417"/>
      <c r="AP26" s="417">
        <v>2.27</v>
      </c>
      <c r="AQ26" s="244" t="s">
        <v>6311</v>
      </c>
      <c r="AR26" s="244" t="s">
        <v>6311</v>
      </c>
      <c r="AS26" s="241" t="s">
        <v>6</v>
      </c>
      <c r="AT26" s="39" t="s">
        <v>266</v>
      </c>
      <c r="AU26" s="37">
        <v>2</v>
      </c>
      <c r="AV26" s="37">
        <v>48</v>
      </c>
      <c r="AW26" s="37">
        <v>48</v>
      </c>
      <c r="AX26" s="37">
        <v>26</v>
      </c>
      <c r="AY26" s="37" t="s">
        <v>8722</v>
      </c>
      <c r="AZ26" s="37" t="s">
        <v>1893</v>
      </c>
      <c r="BA26" s="37">
        <v>15</v>
      </c>
      <c r="BB26" s="36" t="s">
        <v>1613</v>
      </c>
      <c r="BC26" s="36" t="s">
        <v>1887</v>
      </c>
      <c r="BD26" s="36"/>
      <c r="BE26" s="37" t="s">
        <v>1712</v>
      </c>
      <c r="BF26" s="37" t="s">
        <v>540</v>
      </c>
      <c r="BG26" s="37" t="s">
        <v>540</v>
      </c>
      <c r="BH26" s="37" t="s">
        <v>272</v>
      </c>
      <c r="BI26" s="250">
        <v>2.2498956836200104</v>
      </c>
      <c r="BJ26" s="250">
        <v>35.998330937920166</v>
      </c>
      <c r="BK26" s="37"/>
      <c r="BL26" s="263">
        <v>32.506325128150984</v>
      </c>
      <c r="BM26" s="37" t="s">
        <v>541</v>
      </c>
      <c r="BN26" s="37"/>
      <c r="BO26" s="37"/>
      <c r="BP26" s="37"/>
      <c r="BQ26" s="37"/>
      <c r="BR26" s="37"/>
      <c r="BS26" s="37"/>
      <c r="BT26" s="37"/>
      <c r="BU26" s="246"/>
      <c r="BV26" s="37"/>
      <c r="BW26" s="37"/>
      <c r="BX26" s="37"/>
      <c r="BY26" s="37"/>
      <c r="BZ26" s="37"/>
      <c r="CA26" s="37"/>
      <c r="CB26" s="37"/>
      <c r="CC26" s="37"/>
      <c r="CD26" s="37"/>
      <c r="CE26" s="37"/>
      <c r="CF26" s="37"/>
      <c r="CG26" s="37"/>
      <c r="CH26" s="37"/>
      <c r="CI26" s="243"/>
      <c r="CJ26" s="243"/>
      <c r="CK26" s="38">
        <f t="shared" si="7"/>
        <v>0.9029953412064794</v>
      </c>
      <c r="CL26" s="247"/>
      <c r="CM26" s="247">
        <v>1.0328741488313409</v>
      </c>
      <c r="CN26" s="247">
        <f>BJ26/(10^CM26)</f>
        <v>3.3373996521666616</v>
      </c>
      <c r="CO26" s="36" t="s">
        <v>1888</v>
      </c>
      <c r="CP26" s="496" t="s">
        <v>1889</v>
      </c>
      <c r="CQ26" s="241">
        <v>1.2234526426154375</v>
      </c>
      <c r="CR26" s="241">
        <f>10^(CJ26-CQ26)</f>
        <v>5.9778822659789475E-2</v>
      </c>
      <c r="CS26" s="33"/>
      <c r="CT26" s="33"/>
      <c r="CU26" s="250"/>
      <c r="CV26" s="337">
        <f t="shared" si="8"/>
        <v>0.96393357958292125</v>
      </c>
      <c r="CW26" s="330">
        <f>IF(CV26&lt;1,0,1)</f>
        <v>0</v>
      </c>
      <c r="CX26" s="330" t="s">
        <v>539</v>
      </c>
      <c r="CY26" s="143" t="s">
        <v>6351</v>
      </c>
    </row>
    <row r="27" spans="1:103" ht="11.25" customHeight="1" x14ac:dyDescent="0.2">
      <c r="A27" s="72">
        <v>1882</v>
      </c>
      <c r="B27" s="241">
        <v>643</v>
      </c>
      <c r="C27" s="32" t="s">
        <v>1895</v>
      </c>
      <c r="D27" s="32" t="s">
        <v>8649</v>
      </c>
      <c r="E27" s="40"/>
      <c r="F27" s="40" t="s">
        <v>1896</v>
      </c>
      <c r="G27" s="242">
        <v>15545489</v>
      </c>
      <c r="H27" s="36" t="s">
        <v>1897</v>
      </c>
      <c r="I27" s="36" t="s">
        <v>8251</v>
      </c>
      <c r="J27" s="36" t="s">
        <v>1898</v>
      </c>
      <c r="K27" s="36" t="s">
        <v>1292</v>
      </c>
      <c r="L27" s="36"/>
      <c r="M27" s="36" t="s">
        <v>2342</v>
      </c>
      <c r="N27" s="36" t="s">
        <v>2342</v>
      </c>
      <c r="O27" s="36"/>
      <c r="P27" s="41" t="s">
        <v>8537</v>
      </c>
      <c r="Q27" s="41" t="s">
        <v>6173</v>
      </c>
      <c r="R27" s="41" t="s">
        <v>6183</v>
      </c>
      <c r="S27" s="41" t="s">
        <v>6179</v>
      </c>
      <c r="T27" s="37">
        <v>212.68</v>
      </c>
      <c r="U27" s="243">
        <v>70</v>
      </c>
      <c r="V27" s="243">
        <v>329.1</v>
      </c>
      <c r="W27" s="243">
        <v>134.19200802404734</v>
      </c>
      <c r="X27" s="243">
        <v>70</v>
      </c>
      <c r="Y27" s="414">
        <v>7</v>
      </c>
      <c r="Z27" s="37">
        <v>2.58</v>
      </c>
      <c r="AA27" s="37">
        <v>2.41</v>
      </c>
      <c r="AB27" s="37">
        <v>2.48</v>
      </c>
      <c r="AC27" s="37">
        <v>0.81240000000000001</v>
      </c>
      <c r="AD27" s="37">
        <v>2.48</v>
      </c>
      <c r="AE27" s="37">
        <v>2.46</v>
      </c>
      <c r="AF27" s="37">
        <f t="shared" si="9"/>
        <v>2.41</v>
      </c>
      <c r="AG27" s="38">
        <v>2.3199999999999998</v>
      </c>
      <c r="AH27" s="243">
        <v>7.9400000000000005E-10</v>
      </c>
      <c r="AI27" s="243">
        <v>1.4399999999999999E-10</v>
      </c>
      <c r="AJ27" s="34">
        <f t="shared" si="1"/>
        <v>-7.4887458238855551</v>
      </c>
      <c r="AK27" s="34">
        <f>LOG10(AI27*1000/(0.08206*298.15))</f>
        <v>-8.2302038342174022</v>
      </c>
      <c r="AL27" s="34">
        <f t="shared" si="2"/>
        <v>-8.2302038342174022</v>
      </c>
      <c r="AM27" s="34">
        <v>-10.79425</v>
      </c>
      <c r="AN27" s="244">
        <v>-7.78</v>
      </c>
      <c r="AO27" s="417">
        <v>14.43</v>
      </c>
      <c r="AP27" s="417">
        <v>0.09</v>
      </c>
      <c r="AQ27" s="244" t="s">
        <v>6311</v>
      </c>
      <c r="AR27" s="244" t="s">
        <v>6311</v>
      </c>
      <c r="AS27" s="241" t="s">
        <v>6</v>
      </c>
      <c r="AT27" s="39" t="s">
        <v>266</v>
      </c>
      <c r="AU27" s="37">
        <v>2</v>
      </c>
      <c r="AV27" s="37">
        <v>48</v>
      </c>
      <c r="AW27" s="37">
        <v>48</v>
      </c>
      <c r="AX27" s="37">
        <v>26</v>
      </c>
      <c r="AY27" s="37" t="s">
        <v>8722</v>
      </c>
      <c r="AZ27" s="37" t="s">
        <v>1893</v>
      </c>
      <c r="BA27" s="37">
        <v>15</v>
      </c>
      <c r="BB27" s="36" t="s">
        <v>1613</v>
      </c>
      <c r="BC27" s="36" t="s">
        <v>1887</v>
      </c>
      <c r="BD27" s="36"/>
      <c r="BE27" s="37" t="s">
        <v>1712</v>
      </c>
      <c r="BF27" s="37" t="s">
        <v>540</v>
      </c>
      <c r="BG27" s="37" t="s">
        <v>540</v>
      </c>
      <c r="BH27" s="37" t="s">
        <v>272</v>
      </c>
      <c r="BI27" s="250">
        <v>1.9699999999999998</v>
      </c>
      <c r="BJ27" s="250">
        <v>10</v>
      </c>
      <c r="BK27" s="37"/>
      <c r="BL27" s="263">
        <v>52.653670535505356</v>
      </c>
      <c r="BM27" s="37" t="s">
        <v>541</v>
      </c>
      <c r="BN27" s="37"/>
      <c r="BO27" s="37">
        <v>6.17</v>
      </c>
      <c r="BP27" s="37"/>
      <c r="BQ27" s="37"/>
      <c r="BR27" s="37"/>
      <c r="BS27" s="37"/>
      <c r="BT27" s="37"/>
      <c r="BU27" s="246"/>
      <c r="BV27" s="37"/>
      <c r="BW27" s="37"/>
      <c r="BX27" s="37"/>
      <c r="BY27" s="37"/>
      <c r="BZ27" s="37"/>
      <c r="CA27" s="37"/>
      <c r="CB27" s="37"/>
      <c r="CC27" s="37"/>
      <c r="CD27" s="37"/>
      <c r="CE27" s="37"/>
      <c r="CF27" s="37"/>
      <c r="CG27" s="37"/>
      <c r="CH27" s="37"/>
      <c r="CI27" s="243">
        <v>6.17</v>
      </c>
      <c r="CJ27" s="243">
        <f>LOG10(CI27)</f>
        <v>0.79028516403324167</v>
      </c>
      <c r="CK27" s="38">
        <f t="shared" si="7"/>
        <v>5.2653670535505359</v>
      </c>
      <c r="CL27" s="247">
        <f>BL27/CI27</f>
        <v>8.5338201840365251</v>
      </c>
      <c r="CM27" s="247"/>
      <c r="CN27" s="247"/>
      <c r="CO27" s="36" t="s">
        <v>1888</v>
      </c>
      <c r="CP27" s="496" t="s">
        <v>1889</v>
      </c>
      <c r="CQ27" s="241">
        <v>1.632083520820546</v>
      </c>
      <c r="CR27" s="241">
        <f>10^(CJ27-CQ27)</f>
        <v>0.14394667684876647</v>
      </c>
      <c r="CS27" s="33"/>
      <c r="CT27" s="33"/>
      <c r="CU27" s="250">
        <f>X27/CI27</f>
        <v>11.345218800648299</v>
      </c>
      <c r="CV27" s="337">
        <f t="shared" si="8"/>
        <v>7</v>
      </c>
      <c r="CW27" s="330">
        <f>IF(CU27&lt;2,0,1)</f>
        <v>1</v>
      </c>
      <c r="CX27" s="330" t="s">
        <v>539</v>
      </c>
      <c r="CY27" s="143" t="s">
        <v>5921</v>
      </c>
    </row>
    <row r="28" spans="1:103" ht="11.25" customHeight="1" x14ac:dyDescent="0.2">
      <c r="A28" s="72">
        <v>1935</v>
      </c>
      <c r="B28" s="241">
        <v>798</v>
      </c>
      <c r="C28" s="32" t="s">
        <v>4085</v>
      </c>
      <c r="D28" s="32"/>
      <c r="E28" s="40"/>
      <c r="F28" s="40" t="s">
        <v>4086</v>
      </c>
      <c r="G28" s="242">
        <v>70161114</v>
      </c>
      <c r="H28" s="36"/>
      <c r="I28" s="36"/>
      <c r="J28" s="36" t="s">
        <v>4087</v>
      </c>
      <c r="K28" s="36"/>
      <c r="L28" s="36"/>
      <c r="M28" s="36"/>
      <c r="N28" s="36"/>
      <c r="O28" s="36"/>
      <c r="P28" s="41"/>
      <c r="Q28" s="41"/>
      <c r="R28" s="41"/>
      <c r="S28" s="41"/>
      <c r="T28" s="37">
        <v>875.1</v>
      </c>
      <c r="U28" s="243"/>
      <c r="V28" s="243"/>
      <c r="W28" s="243">
        <v>191.45101971182524</v>
      </c>
      <c r="X28" s="243">
        <v>191.45101971182524</v>
      </c>
      <c r="Y28" s="414">
        <v>7</v>
      </c>
      <c r="Z28" s="37"/>
      <c r="AA28" s="37"/>
      <c r="AB28" s="37"/>
      <c r="AC28" s="37"/>
      <c r="AD28" s="37"/>
      <c r="AE28" s="37"/>
      <c r="AF28" s="37"/>
      <c r="AG28" s="38">
        <v>4.6399999999999997</v>
      </c>
      <c r="AH28" s="243"/>
      <c r="AI28" s="243"/>
      <c r="AJ28" s="34"/>
      <c r="AK28" s="34"/>
      <c r="AL28" s="34"/>
      <c r="AM28" s="34"/>
      <c r="AN28" s="244">
        <v>-29.4</v>
      </c>
      <c r="AO28" s="417">
        <v>12.42</v>
      </c>
      <c r="AP28" s="417"/>
      <c r="AQ28" s="244" t="s">
        <v>6311</v>
      </c>
      <c r="AR28" s="244" t="s">
        <v>6311</v>
      </c>
      <c r="AS28" s="241" t="s">
        <v>63</v>
      </c>
      <c r="AT28" s="39" t="s">
        <v>266</v>
      </c>
      <c r="AU28" s="37">
        <v>2</v>
      </c>
      <c r="AV28" s="37">
        <v>48</v>
      </c>
      <c r="AW28" s="37">
        <v>48</v>
      </c>
      <c r="AX28" s="37">
        <v>26</v>
      </c>
      <c r="AY28" s="37" t="s">
        <v>8722</v>
      </c>
      <c r="AZ28" s="37" t="s">
        <v>4080</v>
      </c>
      <c r="BA28" s="37">
        <v>10</v>
      </c>
      <c r="BB28" s="36" t="s">
        <v>4088</v>
      </c>
      <c r="BC28" s="36" t="s">
        <v>1887</v>
      </c>
      <c r="BD28" s="36"/>
      <c r="BE28" s="37" t="s">
        <v>1712</v>
      </c>
      <c r="BF28" s="37" t="s">
        <v>540</v>
      </c>
      <c r="BG28" s="37" t="s">
        <v>540</v>
      </c>
      <c r="BH28" s="37" t="s">
        <v>4089</v>
      </c>
      <c r="BI28" s="250">
        <v>2.0000000000000001E-4</v>
      </c>
      <c r="BJ28" s="250">
        <v>4</v>
      </c>
      <c r="BK28" s="37"/>
      <c r="BL28" s="263"/>
      <c r="BM28" s="37" t="s">
        <v>541</v>
      </c>
      <c r="BN28" s="37"/>
      <c r="BO28" s="37"/>
      <c r="BP28" s="37"/>
      <c r="BQ28" s="37"/>
      <c r="BR28" s="37"/>
      <c r="BS28" s="37"/>
      <c r="BT28" s="37"/>
      <c r="BU28" s="246"/>
      <c r="BV28" s="37"/>
      <c r="BW28" s="37"/>
      <c r="BX28" s="37"/>
      <c r="BY28" s="37"/>
      <c r="BZ28" s="37"/>
      <c r="CA28" s="37"/>
      <c r="CB28" s="37"/>
      <c r="CC28" s="37"/>
      <c r="CD28" s="37"/>
      <c r="CE28" s="37"/>
      <c r="CF28" s="37"/>
      <c r="CG28" s="37"/>
      <c r="CH28" s="37"/>
      <c r="CI28" s="243"/>
      <c r="CJ28" s="243"/>
      <c r="CK28" s="38">
        <f t="shared" si="7"/>
        <v>0</v>
      </c>
      <c r="CL28" s="247"/>
      <c r="CM28" s="247"/>
      <c r="CN28" s="247"/>
      <c r="CO28" s="36" t="s">
        <v>1888</v>
      </c>
      <c r="CP28" s="496" t="s">
        <v>1889</v>
      </c>
      <c r="CQ28" s="241" t="s">
        <v>272</v>
      </c>
      <c r="CR28" s="241"/>
      <c r="CS28" s="271"/>
      <c r="CT28" s="271"/>
      <c r="CU28" s="250"/>
      <c r="CV28" s="337">
        <f t="shared" si="8"/>
        <v>47.86275492795631</v>
      </c>
      <c r="CW28" s="330">
        <f>IF(CV28&lt;1,0,1)</f>
        <v>1</v>
      </c>
      <c r="CX28" s="330" t="s">
        <v>539</v>
      </c>
      <c r="CY28" s="143" t="s">
        <v>5921</v>
      </c>
    </row>
    <row r="29" spans="1:103" ht="11.25" customHeight="1" x14ac:dyDescent="0.2">
      <c r="A29" s="72">
        <v>1998</v>
      </c>
      <c r="B29" s="282">
        <v>646</v>
      </c>
      <c r="C29" s="115" t="s">
        <v>1611</v>
      </c>
      <c r="D29" s="115"/>
      <c r="E29" s="116">
        <v>1</v>
      </c>
      <c r="F29" s="116" t="s">
        <v>401</v>
      </c>
      <c r="G29" s="283">
        <v>10108642</v>
      </c>
      <c r="H29" s="284" t="s">
        <v>402</v>
      </c>
      <c r="I29" s="284"/>
      <c r="J29" s="284" t="s">
        <v>1911</v>
      </c>
      <c r="K29" s="284" t="s">
        <v>403</v>
      </c>
      <c r="L29" s="284"/>
      <c r="M29" s="284"/>
      <c r="N29" s="284"/>
      <c r="O29" s="284"/>
      <c r="P29" s="286"/>
      <c r="Q29" s="286"/>
      <c r="R29" s="286"/>
      <c r="S29" s="286"/>
      <c r="T29" s="119">
        <v>112.4</v>
      </c>
      <c r="U29" s="292"/>
      <c r="V29" s="287"/>
      <c r="W29" s="287"/>
      <c r="X29" s="287"/>
      <c r="Y29" s="370"/>
      <c r="Z29" s="119"/>
      <c r="AA29" s="119"/>
      <c r="AB29" s="119"/>
      <c r="AC29" s="119"/>
      <c r="AD29" s="119"/>
      <c r="AE29" s="119"/>
      <c r="AF29" s="119"/>
      <c r="AG29" s="120" t="s">
        <v>5921</v>
      </c>
      <c r="AH29" s="292">
        <v>1.43E-2</v>
      </c>
      <c r="AI29" s="292"/>
      <c r="AJ29" s="125">
        <f t="shared" ref="AJ29:AJ48" si="10">LOG10(AH29*1000/(0.08206*298.15))</f>
        <v>-0.23323028884758998</v>
      </c>
      <c r="AK29" s="125"/>
      <c r="AL29" s="125">
        <f t="shared" ref="AL29:AL48" si="11">IF(AK29=0,AJ29,AK29)</f>
        <v>-0.23323028884758998</v>
      </c>
      <c r="AM29" s="125"/>
      <c r="AN29" s="297"/>
      <c r="AO29" s="420"/>
      <c r="AP29" s="420"/>
      <c r="AQ29" s="297" t="s">
        <v>6311</v>
      </c>
      <c r="AR29" s="297" t="s">
        <v>6311</v>
      </c>
      <c r="AS29" s="282" t="s">
        <v>6</v>
      </c>
      <c r="AT29" s="118" t="s">
        <v>266</v>
      </c>
      <c r="AU29" s="119">
        <v>2</v>
      </c>
      <c r="AV29" s="119">
        <v>48</v>
      </c>
      <c r="AW29" s="119">
        <v>48</v>
      </c>
      <c r="AX29" s="119">
        <v>26</v>
      </c>
      <c r="AY29" s="119" t="s">
        <v>8722</v>
      </c>
      <c r="AZ29" s="119" t="s">
        <v>1893</v>
      </c>
      <c r="BA29" s="119">
        <v>15</v>
      </c>
      <c r="BB29" s="284" t="s">
        <v>1613</v>
      </c>
      <c r="BC29" s="284" t="s">
        <v>1887</v>
      </c>
      <c r="BD29" s="284"/>
      <c r="BE29" s="119" t="s">
        <v>1712</v>
      </c>
      <c r="BF29" s="119" t="s">
        <v>540</v>
      </c>
      <c r="BG29" s="119" t="s">
        <v>540</v>
      </c>
      <c r="BH29" s="119" t="s">
        <v>272</v>
      </c>
      <c r="BI29" s="292">
        <v>1.9108000000000003E-2</v>
      </c>
      <c r="BJ29" s="292">
        <v>3.1247199999999999</v>
      </c>
      <c r="BK29" s="119"/>
      <c r="BL29" s="287"/>
      <c r="BM29" s="119" t="s">
        <v>541</v>
      </c>
      <c r="BN29" s="119"/>
      <c r="BO29" s="119">
        <v>5.5</v>
      </c>
      <c r="BP29" s="119"/>
      <c r="BQ29" s="119"/>
      <c r="BR29" s="119"/>
      <c r="BS29" s="119"/>
      <c r="BT29" s="119"/>
      <c r="BU29" s="293"/>
      <c r="BV29" s="119"/>
      <c r="BW29" s="119"/>
      <c r="BX29" s="119"/>
      <c r="BY29" s="119"/>
      <c r="BZ29" s="119"/>
      <c r="CA29" s="119"/>
      <c r="CB29" s="119"/>
      <c r="CC29" s="119"/>
      <c r="CD29" s="119"/>
      <c r="CE29" s="119"/>
      <c r="CF29" s="119"/>
      <c r="CG29" s="119"/>
      <c r="CH29" s="119"/>
      <c r="CI29" s="292">
        <v>5.5</v>
      </c>
      <c r="CJ29" s="292">
        <f>LOG10(CI29)</f>
        <v>0.74036268949424389</v>
      </c>
      <c r="CK29" s="120" t="s">
        <v>404</v>
      </c>
      <c r="CL29" s="294"/>
      <c r="CM29" s="294"/>
      <c r="CN29" s="294">
        <f>BJ29/(10^CM29)</f>
        <v>3.1247199999999999</v>
      </c>
      <c r="CO29" s="284" t="s">
        <v>1888</v>
      </c>
      <c r="CP29" s="498" t="s">
        <v>1889</v>
      </c>
      <c r="CQ29" s="282">
        <v>-1.2180114951458934</v>
      </c>
      <c r="CR29" s="282">
        <f>10^(CJ29-CQ29)</f>
        <v>90.860303811406155</v>
      </c>
      <c r="CS29" s="123"/>
      <c r="CT29" s="123"/>
      <c r="CU29" s="300" t="s">
        <v>6310</v>
      </c>
      <c r="CV29" s="338" t="s">
        <v>6310</v>
      </c>
      <c r="CW29" s="339">
        <f>IF(CU29&lt;2,0,1)</f>
        <v>1</v>
      </c>
      <c r="CX29" s="339" t="s">
        <v>539</v>
      </c>
      <c r="CY29" s="295" t="s">
        <v>6351</v>
      </c>
    </row>
    <row r="30" spans="1:103" ht="11.25" customHeight="1" x14ac:dyDescent="0.2">
      <c r="A30" s="72">
        <v>1612</v>
      </c>
      <c r="B30" s="241">
        <v>713</v>
      </c>
      <c r="C30" s="32" t="s">
        <v>7612</v>
      </c>
      <c r="D30" s="32"/>
      <c r="E30" s="40"/>
      <c r="F30" s="40" t="s">
        <v>2022</v>
      </c>
      <c r="G30" s="242">
        <v>50328</v>
      </c>
      <c r="H30" s="36" t="s">
        <v>2023</v>
      </c>
      <c r="I30" s="36" t="s">
        <v>2023</v>
      </c>
      <c r="J30" s="36" t="s">
        <v>2024</v>
      </c>
      <c r="K30" s="36" t="s">
        <v>426</v>
      </c>
      <c r="L30" s="36"/>
      <c r="M30" s="36"/>
      <c r="N30" s="36"/>
      <c r="O30" s="36"/>
      <c r="P30" s="41"/>
      <c r="Q30" s="41"/>
      <c r="R30" s="41"/>
      <c r="S30" s="41"/>
      <c r="T30" s="37">
        <v>252.31</v>
      </c>
      <c r="U30" s="243">
        <v>1.6199999999999999E-3</v>
      </c>
      <c r="V30" s="243">
        <v>1.038E-2</v>
      </c>
      <c r="W30" s="243">
        <v>1.8703998698263373E-3</v>
      </c>
      <c r="X30" s="243">
        <v>1.6199999999999999E-3</v>
      </c>
      <c r="Y30" s="414">
        <v>7</v>
      </c>
      <c r="Z30" s="37">
        <v>6.11</v>
      </c>
      <c r="AA30" s="37">
        <v>6.13</v>
      </c>
      <c r="AB30" s="37">
        <v>6.3</v>
      </c>
      <c r="AC30" s="37">
        <v>0.88980000000000004</v>
      </c>
      <c r="AD30" s="37">
        <v>6.32</v>
      </c>
      <c r="AE30" s="37">
        <v>6.4</v>
      </c>
      <c r="AF30" s="37">
        <f t="shared" ref="AF30:AF48" si="12">IF(AA30=0,AD30,AA30)</f>
        <v>6.13</v>
      </c>
      <c r="AG30" s="38">
        <v>5.81</v>
      </c>
      <c r="AH30" s="243">
        <v>8.0999999999999997E-7</v>
      </c>
      <c r="AI30" s="243">
        <v>4.5699999999999998E-7</v>
      </c>
      <c r="AJ30" s="34">
        <f t="shared" si="10"/>
        <v>-4.480081307434002</v>
      </c>
      <c r="AK30" s="34">
        <f>LOG10(AI30*1000/(0.08206*298.15))</f>
        <v>-4.7286501262428011</v>
      </c>
      <c r="AL30" s="34">
        <f t="shared" si="11"/>
        <v>-4.7286501262428011</v>
      </c>
      <c r="AM30" s="34">
        <v>-10.442740000000001</v>
      </c>
      <c r="AN30" s="244">
        <v>-4.62</v>
      </c>
      <c r="AO30" s="417"/>
      <c r="AP30" s="417"/>
      <c r="AQ30" s="244" t="s">
        <v>6311</v>
      </c>
      <c r="AR30" s="244" t="s">
        <v>6311</v>
      </c>
      <c r="AS30" s="241" t="s">
        <v>6</v>
      </c>
      <c r="AT30" s="39" t="s">
        <v>266</v>
      </c>
      <c r="AU30" s="37">
        <v>2</v>
      </c>
      <c r="AV30" s="37">
        <v>72</v>
      </c>
      <c r="AW30" s="37">
        <v>72</v>
      </c>
      <c r="AX30" s="37">
        <v>26</v>
      </c>
      <c r="AY30" s="37" t="s">
        <v>647</v>
      </c>
      <c r="AZ30" s="37" t="s">
        <v>536</v>
      </c>
      <c r="BA30" s="37" t="s">
        <v>8723</v>
      </c>
      <c r="BB30" s="36" t="s">
        <v>1644</v>
      </c>
      <c r="BC30" s="36" t="s">
        <v>2019</v>
      </c>
      <c r="BD30" s="36" t="s">
        <v>8374</v>
      </c>
      <c r="BE30" s="37" t="s">
        <v>649</v>
      </c>
      <c r="BF30" s="37" t="s">
        <v>272</v>
      </c>
      <c r="BG30" s="37" t="s">
        <v>272</v>
      </c>
      <c r="BH30" s="37" t="s">
        <v>2020</v>
      </c>
      <c r="BI30" s="243">
        <v>6.3077500000000009E-2</v>
      </c>
      <c r="BJ30" s="243">
        <v>2.5230999999999999</v>
      </c>
      <c r="BK30" s="37"/>
      <c r="BL30" s="263">
        <v>4.220301357672273E-2</v>
      </c>
      <c r="BM30" s="37" t="s">
        <v>541</v>
      </c>
      <c r="BN30" s="37"/>
      <c r="BO30" s="37"/>
      <c r="BP30" s="37">
        <v>1.2867810000000002</v>
      </c>
      <c r="BQ30" s="37"/>
      <c r="BR30" s="37"/>
      <c r="BS30" s="37"/>
      <c r="BT30" s="37"/>
      <c r="BU30" s="246"/>
      <c r="BV30" s="37"/>
      <c r="BW30" s="37"/>
      <c r="BX30" s="37"/>
      <c r="BY30" s="37"/>
      <c r="BZ30" s="37"/>
      <c r="CA30" s="37"/>
      <c r="CB30" s="37"/>
      <c r="CC30" s="37"/>
      <c r="CD30" s="37"/>
      <c r="CE30" s="37"/>
      <c r="CF30" s="37"/>
      <c r="CG30" s="37"/>
      <c r="CH30" s="37"/>
      <c r="CI30" s="243">
        <v>1.2867810000000002</v>
      </c>
      <c r="CJ30" s="243">
        <f>LOG10(CI30)</f>
        <v>0.10950463969024044</v>
      </c>
      <c r="CK30" s="38">
        <f t="shared" ref="CK30:CK43" si="13">BL30/BJ30</f>
        <v>1.6726651173842786E-2</v>
      </c>
      <c r="CL30" s="247">
        <f>BL30/CI30</f>
        <v>3.2797355242828986E-2</v>
      </c>
      <c r="CM30" s="247"/>
      <c r="CN30" s="247"/>
      <c r="CO30" s="36"/>
      <c r="CP30" s="496" t="s">
        <v>2021</v>
      </c>
      <c r="CQ30" s="241" t="s">
        <v>272</v>
      </c>
      <c r="CR30" s="241"/>
      <c r="CS30" s="33"/>
      <c r="CT30" s="33"/>
      <c r="CU30" s="250">
        <f>X30/CI30</f>
        <v>1.2589554865979522E-3</v>
      </c>
      <c r="CV30" s="337">
        <f t="shared" ref="CV30:CV43" si="14">X30/BJ30</f>
        <v>6.420672981649558E-4</v>
      </c>
      <c r="CW30" s="330">
        <f>IF(CU30&lt;2,0,1)</f>
        <v>0</v>
      </c>
      <c r="CX30" s="330"/>
      <c r="CY30" s="143" t="s">
        <v>5921</v>
      </c>
    </row>
    <row r="31" spans="1:103" ht="11.25" customHeight="1" x14ac:dyDescent="0.2">
      <c r="A31" s="72">
        <v>1620</v>
      </c>
      <c r="B31" s="241">
        <v>721</v>
      </c>
      <c r="C31" s="32" t="s">
        <v>7614</v>
      </c>
      <c r="D31" s="32"/>
      <c r="E31" s="40"/>
      <c r="F31" s="40" t="s">
        <v>2040</v>
      </c>
      <c r="G31" s="242">
        <v>52244</v>
      </c>
      <c r="H31" s="36" t="s">
        <v>2041</v>
      </c>
      <c r="I31" s="36" t="s">
        <v>2041</v>
      </c>
      <c r="J31" s="36" t="s">
        <v>2042</v>
      </c>
      <c r="K31" s="36" t="s">
        <v>2043</v>
      </c>
      <c r="L31" s="42" t="s">
        <v>279</v>
      </c>
      <c r="M31" s="36" t="s">
        <v>2044</v>
      </c>
      <c r="N31" s="36"/>
      <c r="O31" s="36" t="s">
        <v>281</v>
      </c>
      <c r="P31" s="41"/>
      <c r="Q31" s="41"/>
      <c r="R31" s="41"/>
      <c r="S31" s="41"/>
      <c r="T31" s="37">
        <v>189.22</v>
      </c>
      <c r="U31" s="243">
        <v>190000</v>
      </c>
      <c r="V31" s="243">
        <v>17490</v>
      </c>
      <c r="W31" s="243">
        <v>13707.777236538957</v>
      </c>
      <c r="X31" s="243">
        <v>190000</v>
      </c>
      <c r="Y31" s="414">
        <v>7.8</v>
      </c>
      <c r="Z31" s="37">
        <v>0.61</v>
      </c>
      <c r="AA31" s="37">
        <v>0.53</v>
      </c>
      <c r="AB31" s="37">
        <v>0.45</v>
      </c>
      <c r="AC31" s="37">
        <v>0.66890000000000005</v>
      </c>
      <c r="AD31" s="37">
        <v>0.48</v>
      </c>
      <c r="AE31" s="37">
        <v>0.52</v>
      </c>
      <c r="AF31" s="37">
        <f t="shared" si="12"/>
        <v>0.53</v>
      </c>
      <c r="AG31" s="38">
        <v>-0.82</v>
      </c>
      <c r="AH31" s="243">
        <v>2.8300000000000001E-10</v>
      </c>
      <c r="AI31" s="243"/>
      <c r="AJ31" s="34">
        <f t="shared" si="10"/>
        <v>-7.9367798907883618</v>
      </c>
      <c r="AK31" s="34"/>
      <c r="AL31" s="34">
        <f t="shared" si="11"/>
        <v>-7.9367798907883618</v>
      </c>
      <c r="AM31" s="34">
        <v>-11.795330000000002</v>
      </c>
      <c r="AN31" s="244">
        <v>-9.89</v>
      </c>
      <c r="AO31" s="417"/>
      <c r="AP31" s="417">
        <v>2.74</v>
      </c>
      <c r="AQ31" s="244" t="s">
        <v>6311</v>
      </c>
      <c r="AR31" s="244" t="s">
        <v>6311</v>
      </c>
      <c r="AS31" s="241" t="s">
        <v>6</v>
      </c>
      <c r="AT31" s="39" t="s">
        <v>266</v>
      </c>
      <c r="AU31" s="37">
        <v>2</v>
      </c>
      <c r="AV31" s="37">
        <v>72</v>
      </c>
      <c r="AW31" s="37">
        <v>72</v>
      </c>
      <c r="AX31" s="37">
        <v>26</v>
      </c>
      <c r="AY31" s="37" t="s">
        <v>647</v>
      </c>
      <c r="AZ31" s="37" t="s">
        <v>536</v>
      </c>
      <c r="BA31" s="37" t="s">
        <v>8723</v>
      </c>
      <c r="BB31" s="36" t="s">
        <v>1644</v>
      </c>
      <c r="BC31" s="36" t="s">
        <v>2019</v>
      </c>
      <c r="BD31" s="36" t="s">
        <v>8374</v>
      </c>
      <c r="BE31" s="37" t="s">
        <v>649</v>
      </c>
      <c r="BF31" s="37" t="s">
        <v>272</v>
      </c>
      <c r="BG31" s="37" t="s">
        <v>272</v>
      </c>
      <c r="BH31" s="37" t="s">
        <v>272</v>
      </c>
      <c r="BI31" s="243">
        <v>17.351474</v>
      </c>
      <c r="BJ31" s="243">
        <v>94.61</v>
      </c>
      <c r="BK31" s="37"/>
      <c r="BL31" s="263">
        <v>2753.7596885990274</v>
      </c>
      <c r="BM31" s="37" t="s">
        <v>541</v>
      </c>
      <c r="BN31" s="37"/>
      <c r="BO31" s="37"/>
      <c r="BP31" s="37">
        <v>57.901319999999998</v>
      </c>
      <c r="BQ31" s="37"/>
      <c r="BR31" s="37"/>
      <c r="BS31" s="37"/>
      <c r="BT31" s="37"/>
      <c r="BU31" s="246"/>
      <c r="BV31" s="37"/>
      <c r="BW31" s="37"/>
      <c r="BX31" s="37"/>
      <c r="BY31" s="37"/>
      <c r="BZ31" s="37"/>
      <c r="CA31" s="37"/>
      <c r="CB31" s="37"/>
      <c r="CC31" s="37"/>
      <c r="CD31" s="37"/>
      <c r="CE31" s="37"/>
      <c r="CF31" s="37"/>
      <c r="CG31" s="37"/>
      <c r="CH31" s="37"/>
      <c r="CI31" s="243">
        <v>57.901319999999998</v>
      </c>
      <c r="CJ31" s="243">
        <f>LOG10(CI31)</f>
        <v>1.7626884646286718</v>
      </c>
      <c r="CK31" s="38">
        <f t="shared" si="13"/>
        <v>29.106433660279329</v>
      </c>
      <c r="CL31" s="247">
        <f>BL31/CI31</f>
        <v>47.559532124639432</v>
      </c>
      <c r="CM31" s="247"/>
      <c r="CN31" s="247"/>
      <c r="CO31" s="36"/>
      <c r="CP31" s="496" t="s">
        <v>2021</v>
      </c>
      <c r="CQ31" s="241" t="s">
        <v>272</v>
      </c>
      <c r="CR31" s="241"/>
      <c r="CS31" s="33"/>
      <c r="CT31" s="33"/>
      <c r="CU31" s="250">
        <f>X31/CI31</f>
        <v>3281.4450516844868</v>
      </c>
      <c r="CV31" s="337">
        <f t="shared" si="14"/>
        <v>2008.2443716309058</v>
      </c>
      <c r="CW31" s="330">
        <f>IF(CU31&lt;2,0,1)</f>
        <v>1</v>
      </c>
      <c r="CX31" s="330"/>
      <c r="CY31" s="143" t="s">
        <v>5921</v>
      </c>
    </row>
    <row r="32" spans="1:103" ht="11.25" customHeight="1" x14ac:dyDescent="0.2">
      <c r="A32" s="72">
        <v>1622</v>
      </c>
      <c r="B32" s="241">
        <v>712</v>
      </c>
      <c r="C32" s="32" t="s">
        <v>7616</v>
      </c>
      <c r="D32" s="32"/>
      <c r="E32" s="40"/>
      <c r="F32" s="40" t="s">
        <v>2016</v>
      </c>
      <c r="G32" s="242">
        <v>53963</v>
      </c>
      <c r="H32" s="36" t="s">
        <v>2017</v>
      </c>
      <c r="I32" s="36" t="s">
        <v>2017</v>
      </c>
      <c r="J32" s="36" t="s">
        <v>2018</v>
      </c>
      <c r="K32" s="36" t="s">
        <v>471</v>
      </c>
      <c r="L32" s="36"/>
      <c r="M32" s="36"/>
      <c r="N32" s="36"/>
      <c r="O32" s="36"/>
      <c r="P32" s="41"/>
      <c r="Q32" s="41"/>
      <c r="R32" s="41"/>
      <c r="S32" s="41"/>
      <c r="T32" s="37">
        <v>223.27</v>
      </c>
      <c r="U32" s="243"/>
      <c r="V32" s="243">
        <v>5.5339999999999998</v>
      </c>
      <c r="W32" s="243">
        <v>60.093897567276272</v>
      </c>
      <c r="X32" s="243">
        <v>60.093897567276272</v>
      </c>
      <c r="Y32" s="414">
        <v>7</v>
      </c>
      <c r="Z32" s="37">
        <v>3.12</v>
      </c>
      <c r="AA32" s="37"/>
      <c r="AB32" s="37">
        <v>3.36</v>
      </c>
      <c r="AC32" s="37">
        <v>0.89739999999999998</v>
      </c>
      <c r="AD32" s="37">
        <v>3.28</v>
      </c>
      <c r="AE32" s="37">
        <v>3.03</v>
      </c>
      <c r="AF32" s="37">
        <f t="shared" si="12"/>
        <v>3.28</v>
      </c>
      <c r="AG32" s="38">
        <v>3.03</v>
      </c>
      <c r="AH32" s="243">
        <v>1.9200000000000001E-10</v>
      </c>
      <c r="AI32" s="243"/>
      <c r="AJ32" s="34">
        <f t="shared" si="10"/>
        <v>-8.1052650976091023</v>
      </c>
      <c r="AK32" s="34"/>
      <c r="AL32" s="34">
        <f t="shared" si="11"/>
        <v>-8.1052650976091023</v>
      </c>
      <c r="AM32" s="34">
        <v>-12.71959</v>
      </c>
      <c r="AN32" s="244">
        <v>-9.43</v>
      </c>
      <c r="AO32" s="417">
        <v>14.89</v>
      </c>
      <c r="AP32" s="417">
        <v>0.62</v>
      </c>
      <c r="AQ32" s="244" t="s">
        <v>6311</v>
      </c>
      <c r="AR32" s="244" t="s">
        <v>6311</v>
      </c>
      <c r="AS32" s="241" t="s">
        <v>6</v>
      </c>
      <c r="AT32" s="39" t="s">
        <v>266</v>
      </c>
      <c r="AU32" s="37">
        <v>2</v>
      </c>
      <c r="AV32" s="37">
        <v>72</v>
      </c>
      <c r="AW32" s="37">
        <v>72</v>
      </c>
      <c r="AX32" s="37">
        <v>26</v>
      </c>
      <c r="AY32" s="37" t="s">
        <v>647</v>
      </c>
      <c r="AZ32" s="37" t="s">
        <v>536</v>
      </c>
      <c r="BA32" s="37" t="s">
        <v>8723</v>
      </c>
      <c r="BB32" s="36" t="s">
        <v>1644</v>
      </c>
      <c r="BC32" s="36" t="s">
        <v>2019</v>
      </c>
      <c r="BD32" s="36" t="s">
        <v>8374</v>
      </c>
      <c r="BE32" s="37" t="s">
        <v>649</v>
      </c>
      <c r="BF32" s="37" t="s">
        <v>272</v>
      </c>
      <c r="BG32" s="37" t="s">
        <v>272</v>
      </c>
      <c r="BH32" s="37" t="s">
        <v>2020</v>
      </c>
      <c r="BI32" s="243">
        <v>1.1163500000000002</v>
      </c>
      <c r="BJ32" s="243">
        <v>2.2327000000000004</v>
      </c>
      <c r="BK32" s="37"/>
      <c r="BL32" s="263">
        <v>18.094991039228674</v>
      </c>
      <c r="BM32" s="37" t="s">
        <v>541</v>
      </c>
      <c r="BN32" s="37"/>
      <c r="BO32" s="37"/>
      <c r="BP32" s="37">
        <v>1.5405630000000001</v>
      </c>
      <c r="BQ32" s="37"/>
      <c r="BR32" s="37"/>
      <c r="BS32" s="37"/>
      <c r="BT32" s="37"/>
      <c r="BU32" s="246"/>
      <c r="BV32" s="37"/>
      <c r="BW32" s="37"/>
      <c r="BX32" s="37"/>
      <c r="BY32" s="37"/>
      <c r="BZ32" s="37"/>
      <c r="CA32" s="37"/>
      <c r="CB32" s="37"/>
      <c r="CC32" s="37"/>
      <c r="CD32" s="37"/>
      <c r="CE32" s="37"/>
      <c r="CF32" s="37"/>
      <c r="CG32" s="37"/>
      <c r="CH32" s="37"/>
      <c r="CI32" s="243">
        <v>1.5405630000000001</v>
      </c>
      <c r="CJ32" s="243">
        <f>LOG10(CI32)</f>
        <v>0.18767946311573724</v>
      </c>
      <c r="CK32" s="38">
        <f t="shared" si="13"/>
        <v>8.1045330941141529</v>
      </c>
      <c r="CL32" s="247">
        <f>BL32/CI32</f>
        <v>11.745700136397325</v>
      </c>
      <c r="CM32" s="247"/>
      <c r="CN32" s="247"/>
      <c r="CO32" s="36"/>
      <c r="CP32" s="496" t="s">
        <v>2021</v>
      </c>
      <c r="CQ32" s="241" t="s">
        <v>272</v>
      </c>
      <c r="CR32" s="241"/>
      <c r="CS32" s="33"/>
      <c r="CT32" s="33"/>
      <c r="CU32" s="250">
        <f>X32/CI32</f>
        <v>39.007750781549518</v>
      </c>
      <c r="CV32" s="337">
        <f t="shared" si="14"/>
        <v>26.915348039269166</v>
      </c>
      <c r="CW32" s="330">
        <f>IF(CU32&lt;2,0,1)</f>
        <v>1</v>
      </c>
      <c r="CX32" s="330"/>
      <c r="CY32" s="143" t="s">
        <v>5921</v>
      </c>
    </row>
    <row r="33" spans="1:103" ht="11.25" customHeight="1" x14ac:dyDescent="0.2">
      <c r="A33" s="72">
        <v>1631</v>
      </c>
      <c r="B33" s="241">
        <v>856</v>
      </c>
      <c r="C33" s="32" t="s">
        <v>6798</v>
      </c>
      <c r="D33" s="32"/>
      <c r="E33" s="40"/>
      <c r="F33" s="40" t="s">
        <v>2855</v>
      </c>
      <c r="G33" s="242">
        <v>57410</v>
      </c>
      <c r="H33" s="36" t="s">
        <v>2856</v>
      </c>
      <c r="I33" s="36" t="s">
        <v>2856</v>
      </c>
      <c r="J33" s="36" t="s">
        <v>2857</v>
      </c>
      <c r="K33" s="36" t="s">
        <v>2039</v>
      </c>
      <c r="L33" s="42" t="s">
        <v>279</v>
      </c>
      <c r="M33" s="36" t="s">
        <v>2858</v>
      </c>
      <c r="N33" s="36" t="s">
        <v>6376</v>
      </c>
      <c r="O33" s="36" t="s">
        <v>281</v>
      </c>
      <c r="P33" s="41"/>
      <c r="Q33" s="41"/>
      <c r="R33" s="41"/>
      <c r="S33" s="41"/>
      <c r="T33" s="37">
        <v>252.27</v>
      </c>
      <c r="U33" s="243">
        <v>32</v>
      </c>
      <c r="V33" s="243">
        <v>178.6</v>
      </c>
      <c r="W33" s="243">
        <v>67.899348498664324</v>
      </c>
      <c r="X33" s="243">
        <v>32</v>
      </c>
      <c r="Y33" s="414">
        <v>6.01</v>
      </c>
      <c r="Z33" s="37">
        <v>2.16</v>
      </c>
      <c r="AA33" s="37">
        <v>2.4700000000000002</v>
      </c>
      <c r="AB33" s="37">
        <v>2.38</v>
      </c>
      <c r="AC33" s="37">
        <v>0.82340000000000002</v>
      </c>
      <c r="AD33" s="37">
        <v>2.42</v>
      </c>
      <c r="AE33" s="37">
        <v>2.52</v>
      </c>
      <c r="AF33" s="37">
        <f t="shared" si="12"/>
        <v>2.4700000000000002</v>
      </c>
      <c r="AG33" s="38">
        <v>2.2200000000000002</v>
      </c>
      <c r="AH33" s="243">
        <v>1.0199999999999999E-11</v>
      </c>
      <c r="AI33" s="243"/>
      <c r="AJ33" s="34">
        <f t="shared" si="10"/>
        <v>-9.3799661545507345</v>
      </c>
      <c r="AK33" s="34"/>
      <c r="AL33" s="34">
        <f t="shared" si="11"/>
        <v>-9.3799661545507345</v>
      </c>
      <c r="AM33" s="34">
        <v>-15.56823</v>
      </c>
      <c r="AN33" s="244">
        <v>-10.1</v>
      </c>
      <c r="AO33" s="417">
        <v>8.2799999999999994</v>
      </c>
      <c r="AP33" s="417">
        <v>-2.81</v>
      </c>
      <c r="AQ33" s="244" t="s">
        <v>6311</v>
      </c>
      <c r="AR33" s="244" t="s">
        <v>6311</v>
      </c>
      <c r="AS33" s="241" t="s">
        <v>6</v>
      </c>
      <c r="AT33" s="39" t="s">
        <v>266</v>
      </c>
      <c r="AU33" s="37">
        <v>2</v>
      </c>
      <c r="AV33" s="37">
        <v>72</v>
      </c>
      <c r="AW33" s="37">
        <v>72</v>
      </c>
      <c r="AX33" s="37">
        <v>26</v>
      </c>
      <c r="AY33" s="37" t="s">
        <v>647</v>
      </c>
      <c r="AZ33" s="37" t="s">
        <v>536</v>
      </c>
      <c r="BA33" s="37" t="s">
        <v>8723</v>
      </c>
      <c r="BB33" s="36" t="s">
        <v>1644</v>
      </c>
      <c r="BC33" s="36" t="s">
        <v>2019</v>
      </c>
      <c r="BD33" s="36" t="s">
        <v>8374</v>
      </c>
      <c r="BE33" s="37" t="s">
        <v>649</v>
      </c>
      <c r="BF33" s="37" t="s">
        <v>272</v>
      </c>
      <c r="BG33" s="37" t="s">
        <v>272</v>
      </c>
      <c r="BH33" s="37" t="s">
        <v>2020</v>
      </c>
      <c r="BI33" s="243">
        <v>7.8834375000000003</v>
      </c>
      <c r="BJ33" s="243">
        <v>63.067500000000003</v>
      </c>
      <c r="BK33" s="37"/>
      <c r="BL33" s="263">
        <v>148.85711826450896</v>
      </c>
      <c r="BM33" s="37" t="s">
        <v>541</v>
      </c>
      <c r="BN33" s="37"/>
      <c r="BO33" s="37"/>
      <c r="BP33" s="37"/>
      <c r="BQ33" s="37"/>
      <c r="BR33" s="37"/>
      <c r="BS33" s="37"/>
      <c r="BT33" s="37"/>
      <c r="BU33" s="246"/>
      <c r="BV33" s="37"/>
      <c r="BW33" s="37"/>
      <c r="BX33" s="37"/>
      <c r="BY33" s="37"/>
      <c r="BZ33" s="37"/>
      <c r="CA33" s="37"/>
      <c r="CB33" s="37"/>
      <c r="CC33" s="37"/>
      <c r="CD33" s="37"/>
      <c r="CE33" s="37"/>
      <c r="CF33" s="37"/>
      <c r="CG33" s="37"/>
      <c r="CH33" s="37"/>
      <c r="CI33" s="243"/>
      <c r="CJ33" s="243"/>
      <c r="CK33" s="38">
        <f t="shared" si="13"/>
        <v>2.3602825268880001</v>
      </c>
      <c r="CL33" s="247"/>
      <c r="CM33" s="247"/>
      <c r="CN33" s="247"/>
      <c r="CO33" s="36" t="s">
        <v>4073</v>
      </c>
      <c r="CP33" s="496" t="s">
        <v>2021</v>
      </c>
      <c r="CQ33" s="241" t="s">
        <v>272</v>
      </c>
      <c r="CR33" s="241"/>
      <c r="CS33" s="33"/>
      <c r="CT33" s="33"/>
      <c r="CU33" s="250"/>
      <c r="CV33" s="337">
        <f t="shared" si="14"/>
        <v>0.50739287271574107</v>
      </c>
      <c r="CW33" s="330">
        <f>IF(CV33&lt;1,0,1)</f>
        <v>0</v>
      </c>
      <c r="CX33" s="330"/>
      <c r="CY33" s="143" t="s">
        <v>5921</v>
      </c>
    </row>
    <row r="34" spans="1:103" ht="11.25" customHeight="1" x14ac:dyDescent="0.2">
      <c r="A34" s="72">
        <v>1770</v>
      </c>
      <c r="B34" s="241">
        <v>717</v>
      </c>
      <c r="C34" s="32" t="s">
        <v>7681</v>
      </c>
      <c r="D34" s="32"/>
      <c r="E34" s="40"/>
      <c r="F34" s="40" t="s">
        <v>2029</v>
      </c>
      <c r="G34" s="242">
        <v>127480</v>
      </c>
      <c r="H34" s="36" t="s">
        <v>2030</v>
      </c>
      <c r="I34" s="36" t="s">
        <v>2030</v>
      </c>
      <c r="J34" s="36" t="s">
        <v>2031</v>
      </c>
      <c r="K34" s="36" t="s">
        <v>1180</v>
      </c>
      <c r="L34" s="42" t="s">
        <v>279</v>
      </c>
      <c r="M34" s="36" t="s">
        <v>2032</v>
      </c>
      <c r="N34" s="36"/>
      <c r="O34" s="36" t="s">
        <v>281</v>
      </c>
      <c r="P34" s="41"/>
      <c r="Q34" s="41"/>
      <c r="R34" s="41"/>
      <c r="S34" s="41"/>
      <c r="T34" s="37">
        <v>143.13999999999999</v>
      </c>
      <c r="U34" s="243">
        <v>50000</v>
      </c>
      <c r="V34" s="243">
        <v>25430</v>
      </c>
      <c r="W34" s="243">
        <v>48502.152509765445</v>
      </c>
      <c r="X34" s="243">
        <v>50000</v>
      </c>
      <c r="Y34" s="414">
        <v>7</v>
      </c>
      <c r="Z34" s="37">
        <v>0.59</v>
      </c>
      <c r="AA34" s="37"/>
      <c r="AB34" s="37">
        <v>0.32</v>
      </c>
      <c r="AC34" s="37">
        <v>0.78990000000000005</v>
      </c>
      <c r="AD34" s="37">
        <v>0.32</v>
      </c>
      <c r="AE34" s="37">
        <v>0.31</v>
      </c>
      <c r="AF34" s="37">
        <f t="shared" si="12"/>
        <v>0.32</v>
      </c>
      <c r="AG34" s="38">
        <v>0.22</v>
      </c>
      <c r="AH34" s="243">
        <v>1.8500000000000001E-6</v>
      </c>
      <c r="AI34" s="243"/>
      <c r="AJ34" s="34">
        <f t="shared" si="10"/>
        <v>-4.1213945979096378</v>
      </c>
      <c r="AK34" s="34"/>
      <c r="AL34" s="34">
        <f t="shared" si="11"/>
        <v>-4.1213945979096378</v>
      </c>
      <c r="AM34" s="34">
        <v>-7.0296500000000002</v>
      </c>
      <c r="AN34" s="244">
        <v>-4.99</v>
      </c>
      <c r="AO34" s="417"/>
      <c r="AP34" s="417">
        <v>-2.1800000000000002</v>
      </c>
      <c r="AQ34" s="244" t="s">
        <v>6311</v>
      </c>
      <c r="AR34" s="244" t="s">
        <v>6311</v>
      </c>
      <c r="AS34" s="241" t="s">
        <v>6</v>
      </c>
      <c r="AT34" s="39" t="s">
        <v>266</v>
      </c>
      <c r="AU34" s="37">
        <v>2</v>
      </c>
      <c r="AV34" s="37">
        <v>72</v>
      </c>
      <c r="AW34" s="37">
        <v>72</v>
      </c>
      <c r="AX34" s="37">
        <v>26</v>
      </c>
      <c r="AY34" s="37" t="s">
        <v>647</v>
      </c>
      <c r="AZ34" s="37" t="s">
        <v>536</v>
      </c>
      <c r="BA34" s="37" t="s">
        <v>8723</v>
      </c>
      <c r="BB34" s="36" t="s">
        <v>1644</v>
      </c>
      <c r="BC34" s="36" t="s">
        <v>2019</v>
      </c>
      <c r="BD34" s="36" t="s">
        <v>8374</v>
      </c>
      <c r="BE34" s="37" t="s">
        <v>649</v>
      </c>
      <c r="BF34" s="37" t="s">
        <v>272</v>
      </c>
      <c r="BG34" s="37" t="s">
        <v>272</v>
      </c>
      <c r="BH34" s="37" t="s">
        <v>272</v>
      </c>
      <c r="BI34" s="250">
        <v>1431.3999999999999</v>
      </c>
      <c r="BJ34" s="250">
        <v>8588.4</v>
      </c>
      <c r="BK34" s="37"/>
      <c r="BL34" s="263">
        <v>2171.1109258144252</v>
      </c>
      <c r="BM34" s="37" t="s">
        <v>541</v>
      </c>
      <c r="BN34" s="37"/>
      <c r="BO34" s="37"/>
      <c r="BP34" s="37">
        <v>6541.4979999999996</v>
      </c>
      <c r="BQ34" s="37"/>
      <c r="BR34" s="37"/>
      <c r="BS34" s="37"/>
      <c r="BT34" s="37"/>
      <c r="BU34" s="246"/>
      <c r="BV34" s="37"/>
      <c r="BW34" s="37"/>
      <c r="BX34" s="37"/>
      <c r="BY34" s="37"/>
      <c r="BZ34" s="37"/>
      <c r="CA34" s="37"/>
      <c r="CB34" s="37"/>
      <c r="CC34" s="37"/>
      <c r="CD34" s="37"/>
      <c r="CE34" s="37"/>
      <c r="CF34" s="37"/>
      <c r="CG34" s="37"/>
      <c r="CH34" s="37"/>
      <c r="CI34" s="243">
        <v>6541.4979999999996</v>
      </c>
      <c r="CJ34" s="243">
        <f>LOG10(CI34)</f>
        <v>3.8156772129477736</v>
      </c>
      <c r="CK34" s="38">
        <f t="shared" si="13"/>
        <v>0.25279573911490211</v>
      </c>
      <c r="CL34" s="247">
        <f>BL34/CI34</f>
        <v>0.33189812575260669</v>
      </c>
      <c r="CM34" s="247"/>
      <c r="CN34" s="247"/>
      <c r="CO34" s="36"/>
      <c r="CP34" s="496" t="s">
        <v>2021</v>
      </c>
      <c r="CQ34" s="241" t="s">
        <v>272</v>
      </c>
      <c r="CR34" s="241"/>
      <c r="CS34" s="33"/>
      <c r="CT34" s="33"/>
      <c r="CU34" s="250">
        <f>X34/CI34</f>
        <v>7.6435091778672106</v>
      </c>
      <c r="CV34" s="337">
        <f t="shared" si="14"/>
        <v>5.8218061571421922</v>
      </c>
      <c r="CW34" s="330">
        <f>IF(CU34&lt;2,0,1)</f>
        <v>1</v>
      </c>
      <c r="CX34" s="330"/>
      <c r="CY34" s="143" t="s">
        <v>5921</v>
      </c>
    </row>
    <row r="35" spans="1:103" ht="11.25" customHeight="1" x14ac:dyDescent="0.2">
      <c r="A35" s="72">
        <v>1785</v>
      </c>
      <c r="B35" s="241">
        <v>855</v>
      </c>
      <c r="C35" s="32" t="s">
        <v>1923</v>
      </c>
      <c r="D35" s="32"/>
      <c r="E35" s="40"/>
      <c r="F35" s="40" t="s">
        <v>1924</v>
      </c>
      <c r="G35" s="242">
        <v>298464</v>
      </c>
      <c r="H35" s="36" t="s">
        <v>1925</v>
      </c>
      <c r="I35" s="36" t="s">
        <v>1925</v>
      </c>
      <c r="J35" s="36" t="s">
        <v>1926</v>
      </c>
      <c r="K35" s="36" t="s">
        <v>1292</v>
      </c>
      <c r="L35" s="42" t="s">
        <v>279</v>
      </c>
      <c r="M35" s="36" t="s">
        <v>1927</v>
      </c>
      <c r="N35" s="36" t="s">
        <v>6376</v>
      </c>
      <c r="O35" s="36" t="s">
        <v>281</v>
      </c>
      <c r="P35" s="41"/>
      <c r="Q35" s="41"/>
      <c r="R35" s="41"/>
      <c r="S35" s="41"/>
      <c r="T35" s="37">
        <v>236.27</v>
      </c>
      <c r="U35" s="243">
        <v>112</v>
      </c>
      <c r="V35" s="243">
        <v>17.66</v>
      </c>
      <c r="W35" s="243">
        <v>78.236350072691764</v>
      </c>
      <c r="X35" s="243">
        <v>112</v>
      </c>
      <c r="Y35" s="414">
        <v>7</v>
      </c>
      <c r="Z35" s="37">
        <v>2.25</v>
      </c>
      <c r="AA35" s="37">
        <v>2.4500000000000002</v>
      </c>
      <c r="AB35" s="37">
        <v>2.17</v>
      </c>
      <c r="AC35" s="37">
        <v>0.88529999999999998</v>
      </c>
      <c r="AD35" s="37">
        <v>2.2799999999999998</v>
      </c>
      <c r="AE35" s="37">
        <v>2.67</v>
      </c>
      <c r="AF35" s="37">
        <f t="shared" si="12"/>
        <v>2.4500000000000002</v>
      </c>
      <c r="AG35" s="38">
        <v>2.52</v>
      </c>
      <c r="AH35" s="243">
        <v>1.08E-10</v>
      </c>
      <c r="AI35" s="243"/>
      <c r="AJ35" s="34">
        <f t="shared" si="10"/>
        <v>-8.3551425708257021</v>
      </c>
      <c r="AK35" s="34"/>
      <c r="AL35" s="34">
        <f t="shared" si="11"/>
        <v>-8.3551425708257021</v>
      </c>
      <c r="AM35" s="34">
        <v>-14.371929999999999</v>
      </c>
      <c r="AN35" s="244">
        <v>-9.82</v>
      </c>
      <c r="AO35" s="417">
        <v>13.94</v>
      </c>
      <c r="AP35" s="417">
        <v>-0.49</v>
      </c>
      <c r="AQ35" s="244" t="s">
        <v>6311</v>
      </c>
      <c r="AR35" s="244" t="s">
        <v>6311</v>
      </c>
      <c r="AS35" s="241" t="s">
        <v>6</v>
      </c>
      <c r="AT35" s="39" t="s">
        <v>266</v>
      </c>
      <c r="AU35" s="37">
        <v>2</v>
      </c>
      <c r="AV35" s="37">
        <v>72</v>
      </c>
      <c r="AW35" s="37">
        <v>72</v>
      </c>
      <c r="AX35" s="37">
        <v>26</v>
      </c>
      <c r="AY35" s="37" t="s">
        <v>647</v>
      </c>
      <c r="AZ35" s="37" t="s">
        <v>536</v>
      </c>
      <c r="BA35" s="37" t="s">
        <v>8723</v>
      </c>
      <c r="BB35" s="36" t="s">
        <v>1644</v>
      </c>
      <c r="BC35" s="36" t="s">
        <v>2019</v>
      </c>
      <c r="BD35" s="36" t="s">
        <v>8374</v>
      </c>
      <c r="BE35" s="37" t="s">
        <v>649</v>
      </c>
      <c r="BF35" s="37" t="s">
        <v>272</v>
      </c>
      <c r="BG35" s="37" t="s">
        <v>272</v>
      </c>
      <c r="BH35" s="37" t="s">
        <v>272</v>
      </c>
      <c r="BI35" s="250">
        <v>7.3834375000000003</v>
      </c>
      <c r="BJ35" s="250">
        <v>118.13500000000001</v>
      </c>
      <c r="BK35" s="37"/>
      <c r="BL35" s="263">
        <v>115.74002752106692</v>
      </c>
      <c r="BM35" s="37" t="s">
        <v>541</v>
      </c>
      <c r="BN35" s="37"/>
      <c r="BO35" s="37"/>
      <c r="BP35" s="37"/>
      <c r="BQ35" s="37"/>
      <c r="BR35" s="37"/>
      <c r="BS35" s="37"/>
      <c r="BT35" s="37"/>
      <c r="BU35" s="246"/>
      <c r="BV35" s="37"/>
      <c r="BW35" s="37"/>
      <c r="BX35" s="37"/>
      <c r="BY35" s="37"/>
      <c r="BZ35" s="37"/>
      <c r="CA35" s="37"/>
      <c r="CB35" s="37"/>
      <c r="CC35" s="37"/>
      <c r="CD35" s="37"/>
      <c r="CE35" s="37"/>
      <c r="CF35" s="37"/>
      <c r="CG35" s="37"/>
      <c r="CH35" s="37"/>
      <c r="CI35" s="243"/>
      <c r="CJ35" s="243"/>
      <c r="CK35" s="38">
        <f t="shared" si="13"/>
        <v>0.97972681695574482</v>
      </c>
      <c r="CL35" s="247"/>
      <c r="CM35" s="247"/>
      <c r="CN35" s="247"/>
      <c r="CO35" s="36" t="s">
        <v>4073</v>
      </c>
      <c r="CP35" s="496" t="s">
        <v>2021</v>
      </c>
      <c r="CQ35" s="241">
        <v>1.4661607659946467</v>
      </c>
      <c r="CR35" s="241">
        <f>10^(CJ35-CQ35)</f>
        <v>3.4185287288678222E-2</v>
      </c>
      <c r="CS35" s="271"/>
      <c r="CT35" s="271"/>
      <c r="CU35" s="250"/>
      <c r="CV35" s="337">
        <f t="shared" si="14"/>
        <v>0.94806788843272527</v>
      </c>
      <c r="CW35" s="330">
        <f>IF(CV35&lt;1,0,1)</f>
        <v>0</v>
      </c>
      <c r="CX35" s="330"/>
      <c r="CY35" s="143" t="s">
        <v>5921</v>
      </c>
    </row>
    <row r="36" spans="1:103" ht="11.25" customHeight="1" x14ac:dyDescent="0.2">
      <c r="A36" s="72">
        <v>1838</v>
      </c>
      <c r="B36" s="241">
        <v>714</v>
      </c>
      <c r="C36" s="32" t="s">
        <v>7726</v>
      </c>
      <c r="D36" s="32"/>
      <c r="E36" s="40"/>
      <c r="F36" s="40" t="s">
        <v>2025</v>
      </c>
      <c r="G36" s="242">
        <v>1162658</v>
      </c>
      <c r="H36" s="36" t="s">
        <v>2026</v>
      </c>
      <c r="I36" s="36" t="s">
        <v>2026</v>
      </c>
      <c r="J36" s="36" t="s">
        <v>2027</v>
      </c>
      <c r="K36" s="36" t="s">
        <v>2028</v>
      </c>
      <c r="L36" s="36"/>
      <c r="M36" s="36"/>
      <c r="N36" s="36"/>
      <c r="O36" s="36"/>
      <c r="P36" s="41"/>
      <c r="Q36" s="41"/>
      <c r="R36" s="41"/>
      <c r="S36" s="41"/>
      <c r="T36" s="37">
        <v>312.27</v>
      </c>
      <c r="U36" s="243"/>
      <c r="V36" s="243">
        <v>918.3</v>
      </c>
      <c r="W36" s="243">
        <v>350.3727027248737</v>
      </c>
      <c r="X36" s="243">
        <v>350.3727027248737</v>
      </c>
      <c r="Y36" s="414">
        <v>7</v>
      </c>
      <c r="Z36" s="37">
        <v>1.23</v>
      </c>
      <c r="AA36" s="37"/>
      <c r="AB36" s="37">
        <v>2.0099999999999998</v>
      </c>
      <c r="AC36" s="37">
        <v>0.36180000000000001</v>
      </c>
      <c r="AD36" s="37">
        <v>1.08</v>
      </c>
      <c r="AE36" s="37">
        <v>0.45</v>
      </c>
      <c r="AF36" s="37">
        <f t="shared" si="12"/>
        <v>1.08</v>
      </c>
      <c r="AG36" s="38">
        <v>1.87</v>
      </c>
      <c r="AH36" s="243">
        <v>1.4000000000000001E-13</v>
      </c>
      <c r="AI36" s="243"/>
      <c r="AJ36" s="34">
        <f t="shared" si="10"/>
        <v>-11.242438290634414</v>
      </c>
      <c r="AK36" s="34"/>
      <c r="AL36" s="34">
        <f t="shared" si="11"/>
        <v>-11.242438290634414</v>
      </c>
      <c r="AM36" s="34">
        <v>-15.751420000000001</v>
      </c>
      <c r="AN36" s="244">
        <v>-11.8</v>
      </c>
      <c r="AO36" s="417"/>
      <c r="AP36" s="417"/>
      <c r="AQ36" s="244" t="s">
        <v>6311</v>
      </c>
      <c r="AR36" s="244" t="s">
        <v>6311</v>
      </c>
      <c r="AS36" s="241" t="s">
        <v>6</v>
      </c>
      <c r="AT36" s="39" t="s">
        <v>266</v>
      </c>
      <c r="AU36" s="37">
        <v>2</v>
      </c>
      <c r="AV36" s="37">
        <v>72</v>
      </c>
      <c r="AW36" s="37">
        <v>72</v>
      </c>
      <c r="AX36" s="37">
        <v>26</v>
      </c>
      <c r="AY36" s="37" t="s">
        <v>647</v>
      </c>
      <c r="AZ36" s="37" t="s">
        <v>536</v>
      </c>
      <c r="BA36" s="37" t="s">
        <v>8723</v>
      </c>
      <c r="BB36" s="36" t="s">
        <v>1644</v>
      </c>
      <c r="BC36" s="36" t="s">
        <v>2019</v>
      </c>
      <c r="BD36" s="36" t="s">
        <v>8374</v>
      </c>
      <c r="BE36" s="37" t="s">
        <v>649</v>
      </c>
      <c r="BF36" s="37" t="s">
        <v>272</v>
      </c>
      <c r="BG36" s="37" t="s">
        <v>272</v>
      </c>
      <c r="BH36" s="37" t="s">
        <v>2020</v>
      </c>
      <c r="BI36" s="250">
        <v>0.156135</v>
      </c>
      <c r="BJ36" s="250">
        <v>1.24908</v>
      </c>
      <c r="BK36" s="37"/>
      <c r="BL36" s="263">
        <v>1260.8611497835866</v>
      </c>
      <c r="BM36" s="37" t="s">
        <v>541</v>
      </c>
      <c r="BN36" s="37"/>
      <c r="BO36" s="37"/>
      <c r="BP36" s="37">
        <v>0.718221</v>
      </c>
      <c r="BQ36" s="37"/>
      <c r="BR36" s="37"/>
      <c r="BS36" s="37"/>
      <c r="BT36" s="37"/>
      <c r="BU36" s="246"/>
      <c r="BV36" s="37"/>
      <c r="BW36" s="37"/>
      <c r="BX36" s="37"/>
      <c r="BY36" s="37"/>
      <c r="BZ36" s="37"/>
      <c r="CA36" s="37"/>
      <c r="CB36" s="37"/>
      <c r="CC36" s="37"/>
      <c r="CD36" s="37"/>
      <c r="CE36" s="37"/>
      <c r="CF36" s="37"/>
      <c r="CG36" s="37"/>
      <c r="CH36" s="37"/>
      <c r="CI36" s="243">
        <v>0.718221</v>
      </c>
      <c r="CJ36" s="243">
        <f t="shared" ref="CJ36:CJ48" si="15">LOG10(CI36)</f>
        <v>-0.14374190072653364</v>
      </c>
      <c r="CK36" s="38">
        <f t="shared" si="13"/>
        <v>1009.4318616770636</v>
      </c>
      <c r="CL36" s="247">
        <f t="shared" ref="CL36:CL48" si="16">BL36/CI36</f>
        <v>1755.5336724818496</v>
      </c>
      <c r="CM36" s="247"/>
      <c r="CN36" s="247"/>
      <c r="CO36" s="36"/>
      <c r="CP36" s="496" t="s">
        <v>2021</v>
      </c>
      <c r="CQ36" s="241" t="s">
        <v>272</v>
      </c>
      <c r="CR36" s="241"/>
      <c r="CS36" s="33"/>
      <c r="CT36" s="33"/>
      <c r="CU36" s="250">
        <f t="shared" ref="CU36:CU48" si="17">X36/CI36</f>
        <v>487.83411056607048</v>
      </c>
      <c r="CV36" s="337">
        <f t="shared" si="14"/>
        <v>280.50461357549051</v>
      </c>
      <c r="CW36" s="330">
        <f t="shared" ref="CW36:CW48" si="18">IF(CU36&lt;2,0,1)</f>
        <v>1</v>
      </c>
      <c r="CX36" s="330"/>
      <c r="CY36" s="143" t="s">
        <v>5921</v>
      </c>
    </row>
    <row r="37" spans="1:103" ht="11.25" customHeight="1" x14ac:dyDescent="0.2">
      <c r="A37" s="72">
        <v>1855</v>
      </c>
      <c r="B37" s="241">
        <v>719</v>
      </c>
      <c r="C37" s="32" t="s">
        <v>638</v>
      </c>
      <c r="D37" s="32"/>
      <c r="E37" s="40"/>
      <c r="F37" s="40" t="s">
        <v>639</v>
      </c>
      <c r="G37" s="242">
        <v>3778732</v>
      </c>
      <c r="H37" s="36" t="s">
        <v>640</v>
      </c>
      <c r="I37" s="36" t="s">
        <v>8240</v>
      </c>
      <c r="J37" s="36" t="s">
        <v>641</v>
      </c>
      <c r="K37" s="36" t="s">
        <v>637</v>
      </c>
      <c r="L37" s="42" t="s">
        <v>279</v>
      </c>
      <c r="M37" s="36" t="s">
        <v>8527</v>
      </c>
      <c r="N37" s="36"/>
      <c r="O37" s="36" t="s">
        <v>281</v>
      </c>
      <c r="P37" s="41"/>
      <c r="Q37" s="41"/>
      <c r="R37" s="41"/>
      <c r="S37" s="41"/>
      <c r="T37" s="37">
        <v>261.08999999999997</v>
      </c>
      <c r="U37" s="243"/>
      <c r="V37" s="243">
        <v>3781</v>
      </c>
      <c r="W37" s="243">
        <v>40438.053103185957</v>
      </c>
      <c r="X37" s="243">
        <v>40438.053103185957</v>
      </c>
      <c r="Y37" s="414">
        <v>7.36</v>
      </c>
      <c r="Z37" s="37">
        <v>0.97</v>
      </c>
      <c r="AA37" s="37">
        <v>0.86</v>
      </c>
      <c r="AB37" s="37">
        <v>0.9</v>
      </c>
      <c r="AC37" s="37">
        <v>0.74919999999999998</v>
      </c>
      <c r="AD37" s="37">
        <v>0.68</v>
      </c>
      <c r="AE37" s="37">
        <v>0.23</v>
      </c>
      <c r="AF37" s="37">
        <f t="shared" si="12"/>
        <v>0.86</v>
      </c>
      <c r="AG37" s="38">
        <v>0.61</v>
      </c>
      <c r="AH37" s="243">
        <v>1.36E-11</v>
      </c>
      <c r="AI37" s="243"/>
      <c r="AJ37" s="34">
        <f t="shared" si="10"/>
        <v>-9.2550274179424346</v>
      </c>
      <c r="AK37" s="34"/>
      <c r="AL37" s="34">
        <f t="shared" si="11"/>
        <v>-9.2550274179424346</v>
      </c>
      <c r="AM37" s="34">
        <v>-13.003439999999999</v>
      </c>
      <c r="AN37" s="244">
        <v>-8.18</v>
      </c>
      <c r="AO37" s="417"/>
      <c r="AP37" s="417">
        <v>1.44</v>
      </c>
      <c r="AQ37" s="244" t="s">
        <v>6311</v>
      </c>
      <c r="AR37" s="244" t="s">
        <v>6311</v>
      </c>
      <c r="AS37" s="241" t="s">
        <v>6</v>
      </c>
      <c r="AT37" s="39" t="s">
        <v>266</v>
      </c>
      <c r="AU37" s="37">
        <v>2</v>
      </c>
      <c r="AV37" s="37">
        <v>72</v>
      </c>
      <c r="AW37" s="37">
        <v>72</v>
      </c>
      <c r="AX37" s="37">
        <v>26</v>
      </c>
      <c r="AY37" s="37" t="s">
        <v>647</v>
      </c>
      <c r="AZ37" s="37" t="s">
        <v>536</v>
      </c>
      <c r="BA37" s="37" t="s">
        <v>8723</v>
      </c>
      <c r="BB37" s="36" t="s">
        <v>1644</v>
      </c>
      <c r="BC37" s="36" t="s">
        <v>2019</v>
      </c>
      <c r="BD37" s="36" t="s">
        <v>8374</v>
      </c>
      <c r="BE37" s="37" t="s">
        <v>649</v>
      </c>
      <c r="BF37" s="37" t="s">
        <v>272</v>
      </c>
      <c r="BG37" s="37" t="s">
        <v>272</v>
      </c>
      <c r="BH37" s="37" t="s">
        <v>272</v>
      </c>
      <c r="BI37" s="250">
        <v>65.272499999999994</v>
      </c>
      <c r="BJ37" s="250">
        <v>1044.3599999999999</v>
      </c>
      <c r="BK37" s="37"/>
      <c r="BL37" s="263">
        <v>1804.8172709404346</v>
      </c>
      <c r="BM37" s="37" t="s">
        <v>541</v>
      </c>
      <c r="BN37" s="37"/>
      <c r="BO37" s="37"/>
      <c r="BP37" s="37">
        <v>835.48799999999994</v>
      </c>
      <c r="BQ37" s="37"/>
      <c r="BR37" s="37"/>
      <c r="BS37" s="37"/>
      <c r="BT37" s="37"/>
      <c r="BU37" s="246"/>
      <c r="BV37" s="37"/>
      <c r="BW37" s="37"/>
      <c r="BX37" s="37"/>
      <c r="BY37" s="37"/>
      <c r="BZ37" s="37"/>
      <c r="CA37" s="37"/>
      <c r="CB37" s="37"/>
      <c r="CC37" s="37"/>
      <c r="CD37" s="37"/>
      <c r="CE37" s="37"/>
      <c r="CF37" s="37"/>
      <c r="CG37" s="37"/>
      <c r="CH37" s="37"/>
      <c r="CI37" s="243">
        <v>835.48799999999994</v>
      </c>
      <c r="CJ37" s="243">
        <f t="shared" si="15"/>
        <v>2.9219402165618948</v>
      </c>
      <c r="CK37" s="38">
        <f t="shared" si="13"/>
        <v>1.728156259278826</v>
      </c>
      <c r="CL37" s="247">
        <f t="shared" si="16"/>
        <v>2.1601953240985323</v>
      </c>
      <c r="CM37" s="247"/>
      <c r="CN37" s="247"/>
      <c r="CO37" s="36"/>
      <c r="CP37" s="496" t="s">
        <v>2021</v>
      </c>
      <c r="CQ37" s="241" t="s">
        <v>272</v>
      </c>
      <c r="CR37" s="241"/>
      <c r="CS37" s="33"/>
      <c r="CT37" s="33"/>
      <c r="CU37" s="250">
        <f t="shared" si="17"/>
        <v>48.400519341015027</v>
      </c>
      <c r="CV37" s="337">
        <f t="shared" si="14"/>
        <v>38.720415472812022</v>
      </c>
      <c r="CW37" s="330">
        <f t="shared" si="18"/>
        <v>1</v>
      </c>
      <c r="CX37" s="330"/>
      <c r="CY37" s="143" t="s">
        <v>5921</v>
      </c>
    </row>
    <row r="38" spans="1:103" ht="11.25" customHeight="1" x14ac:dyDescent="0.2">
      <c r="A38" s="72">
        <v>1863</v>
      </c>
      <c r="B38" s="241">
        <v>718</v>
      </c>
      <c r="C38" s="32" t="s">
        <v>456</v>
      </c>
      <c r="D38" s="32"/>
      <c r="E38" s="40"/>
      <c r="F38" s="40" t="s">
        <v>2033</v>
      </c>
      <c r="G38" s="242">
        <v>6055192</v>
      </c>
      <c r="H38" s="36" t="s">
        <v>457</v>
      </c>
      <c r="I38" s="36" t="s">
        <v>8247</v>
      </c>
      <c r="J38" s="36" t="s">
        <v>2034</v>
      </c>
      <c r="K38" s="36"/>
      <c r="L38" s="42" t="s">
        <v>279</v>
      </c>
      <c r="M38" s="36" t="s">
        <v>459</v>
      </c>
      <c r="N38" s="36"/>
      <c r="O38" s="36" t="s">
        <v>281</v>
      </c>
      <c r="P38" s="41"/>
      <c r="Q38" s="41"/>
      <c r="R38" s="41"/>
      <c r="S38" s="41"/>
      <c r="T38" s="37">
        <v>261.08999999999997</v>
      </c>
      <c r="U38" s="243"/>
      <c r="V38" s="263">
        <v>5943</v>
      </c>
      <c r="W38" s="263">
        <v>40438.053103185957</v>
      </c>
      <c r="X38" s="263">
        <v>40438.053103185957</v>
      </c>
      <c r="Y38" s="417">
        <v>8.02</v>
      </c>
      <c r="Z38" s="40">
        <v>0.97</v>
      </c>
      <c r="AA38" s="40">
        <v>9.6300000000000008</v>
      </c>
      <c r="AB38" s="40">
        <v>0.71</v>
      </c>
      <c r="AC38" s="40">
        <v>0.69450000000000001</v>
      </c>
      <c r="AD38" s="40">
        <v>0.53</v>
      </c>
      <c r="AE38" s="40">
        <v>0.23</v>
      </c>
      <c r="AF38" s="40">
        <f t="shared" si="12"/>
        <v>9.6300000000000008</v>
      </c>
      <c r="AG38" s="38">
        <v>2.73</v>
      </c>
      <c r="AH38" s="243">
        <v>1.36E-11</v>
      </c>
      <c r="AI38" s="243"/>
      <c r="AJ38" s="34">
        <f t="shared" si="10"/>
        <v>-9.2550274179424346</v>
      </c>
      <c r="AK38" s="34"/>
      <c r="AL38" s="34">
        <f t="shared" si="11"/>
        <v>-9.2550274179424346</v>
      </c>
      <c r="AM38" s="34">
        <v>-13.003439999999999</v>
      </c>
      <c r="AN38" s="244">
        <v>-17.7</v>
      </c>
      <c r="AO38" s="417"/>
      <c r="AP38" s="417">
        <v>2.84</v>
      </c>
      <c r="AQ38" s="244" t="s">
        <v>6311</v>
      </c>
      <c r="AR38" s="244" t="s">
        <v>6311</v>
      </c>
      <c r="AS38" s="241" t="s">
        <v>460</v>
      </c>
      <c r="AT38" s="39" t="s">
        <v>266</v>
      </c>
      <c r="AU38" s="37">
        <v>2</v>
      </c>
      <c r="AV38" s="37">
        <v>72</v>
      </c>
      <c r="AW38" s="37">
        <v>72</v>
      </c>
      <c r="AX38" s="37">
        <v>26</v>
      </c>
      <c r="AY38" s="37" t="s">
        <v>647</v>
      </c>
      <c r="AZ38" s="37" t="s">
        <v>536</v>
      </c>
      <c r="BA38" s="37" t="s">
        <v>8723</v>
      </c>
      <c r="BB38" s="36" t="s">
        <v>1644</v>
      </c>
      <c r="BC38" s="36" t="s">
        <v>2019</v>
      </c>
      <c r="BD38" s="36" t="s">
        <v>8374</v>
      </c>
      <c r="BE38" s="37" t="s">
        <v>649</v>
      </c>
      <c r="BF38" s="37" t="s">
        <v>272</v>
      </c>
      <c r="BG38" s="37" t="s">
        <v>272</v>
      </c>
      <c r="BH38" s="37" t="s">
        <v>2020</v>
      </c>
      <c r="BI38" s="250">
        <v>261.08999999999997</v>
      </c>
      <c r="BJ38" s="250">
        <v>2610.8999999999996</v>
      </c>
      <c r="BK38" s="37"/>
      <c r="BL38" s="263"/>
      <c r="BM38" s="37" t="s">
        <v>541</v>
      </c>
      <c r="BN38" s="37"/>
      <c r="BO38" s="37"/>
      <c r="BP38" s="37">
        <v>2193.1559999999999</v>
      </c>
      <c r="BQ38" s="37"/>
      <c r="BR38" s="37"/>
      <c r="BS38" s="37"/>
      <c r="BT38" s="37"/>
      <c r="BU38" s="246"/>
      <c r="BV38" s="37"/>
      <c r="BW38" s="37"/>
      <c r="BX38" s="37"/>
      <c r="BY38" s="37"/>
      <c r="BZ38" s="37"/>
      <c r="CA38" s="37"/>
      <c r="CB38" s="37"/>
      <c r="CC38" s="37"/>
      <c r="CD38" s="37"/>
      <c r="CE38" s="37"/>
      <c r="CF38" s="37"/>
      <c r="CG38" s="37"/>
      <c r="CH38" s="37"/>
      <c r="CI38" s="243">
        <v>2193.1559999999999</v>
      </c>
      <c r="CJ38" s="243">
        <f t="shared" si="15"/>
        <v>3.3410695243038706</v>
      </c>
      <c r="CK38" s="38">
        <f t="shared" si="13"/>
        <v>0</v>
      </c>
      <c r="CL38" s="247">
        <f t="shared" si="16"/>
        <v>0</v>
      </c>
      <c r="CM38" s="247"/>
      <c r="CN38" s="247"/>
      <c r="CO38" s="36"/>
      <c r="CP38" s="496" t="s">
        <v>2021</v>
      </c>
      <c r="CQ38" s="241" t="s">
        <v>272</v>
      </c>
      <c r="CR38" s="241"/>
      <c r="CS38" s="33"/>
      <c r="CT38" s="33"/>
      <c r="CU38" s="250">
        <f t="shared" si="17"/>
        <v>18.438293082291437</v>
      </c>
      <c r="CV38" s="337">
        <f t="shared" si="14"/>
        <v>15.488166189124808</v>
      </c>
      <c r="CW38" s="330">
        <f t="shared" si="18"/>
        <v>1</v>
      </c>
      <c r="CX38" s="330"/>
      <c r="CY38" s="143" t="s">
        <v>5921</v>
      </c>
    </row>
    <row r="39" spans="1:103" ht="11.25" customHeight="1" x14ac:dyDescent="0.2">
      <c r="A39" s="72">
        <v>1886</v>
      </c>
      <c r="B39" s="241">
        <v>720</v>
      </c>
      <c r="C39" s="32" t="s">
        <v>2035</v>
      </c>
      <c r="D39" s="32"/>
      <c r="E39" s="40"/>
      <c r="F39" s="40" t="s">
        <v>2036</v>
      </c>
      <c r="G39" s="242">
        <v>17902237</v>
      </c>
      <c r="H39" s="36" t="s">
        <v>2037</v>
      </c>
      <c r="I39" s="36" t="s">
        <v>8252</v>
      </c>
      <c r="J39" s="36" t="s">
        <v>2038</v>
      </c>
      <c r="K39" s="36" t="s">
        <v>2039</v>
      </c>
      <c r="L39" s="36"/>
      <c r="M39" s="36"/>
      <c r="N39" s="36"/>
      <c r="O39" s="36"/>
      <c r="P39" s="41"/>
      <c r="Q39" s="41"/>
      <c r="R39" s="41"/>
      <c r="S39" s="41"/>
      <c r="T39" s="37">
        <v>200.17</v>
      </c>
      <c r="U39" s="243"/>
      <c r="V39" s="243">
        <v>3637</v>
      </c>
      <c r="W39" s="243">
        <v>22982.591041503107</v>
      </c>
      <c r="X39" s="243">
        <v>22982.591041503107</v>
      </c>
      <c r="Y39" s="414">
        <v>4.28</v>
      </c>
      <c r="Z39" s="37">
        <v>-0.02</v>
      </c>
      <c r="AA39" s="37">
        <v>-0.27</v>
      </c>
      <c r="AB39" s="37">
        <v>-0.27</v>
      </c>
      <c r="AC39" s="37">
        <v>0.83730000000000004</v>
      </c>
      <c r="AD39" s="37">
        <v>-0.4</v>
      </c>
      <c r="AE39" s="37">
        <v>-0.77</v>
      </c>
      <c r="AF39" s="37">
        <f t="shared" si="12"/>
        <v>-0.27</v>
      </c>
      <c r="AG39" s="38">
        <v>0.41</v>
      </c>
      <c r="AH39" s="243">
        <v>8.3200000000000001E-12</v>
      </c>
      <c r="AI39" s="243"/>
      <c r="AJ39" s="34">
        <f t="shared" si="10"/>
        <v>-9.468443000021928</v>
      </c>
      <c r="AK39" s="34"/>
      <c r="AL39" s="34">
        <f t="shared" si="11"/>
        <v>-9.468443000021928</v>
      </c>
      <c r="AM39" s="34">
        <v>-12.078439999999999</v>
      </c>
      <c r="AN39" s="244">
        <v>-8.7899999999999991</v>
      </c>
      <c r="AO39" s="417">
        <v>7.63</v>
      </c>
      <c r="AP39" s="417"/>
      <c r="AQ39" s="244" t="s">
        <v>6311</v>
      </c>
      <c r="AR39" s="244" t="s">
        <v>6311</v>
      </c>
      <c r="AS39" s="241" t="s">
        <v>6</v>
      </c>
      <c r="AT39" s="39" t="s">
        <v>266</v>
      </c>
      <c r="AU39" s="37">
        <v>2</v>
      </c>
      <c r="AV39" s="37">
        <v>72</v>
      </c>
      <c r="AW39" s="37">
        <v>72</v>
      </c>
      <c r="AX39" s="37">
        <v>26</v>
      </c>
      <c r="AY39" s="37" t="s">
        <v>647</v>
      </c>
      <c r="AZ39" s="37" t="s">
        <v>536</v>
      </c>
      <c r="BA39" s="37" t="s">
        <v>8723</v>
      </c>
      <c r="BB39" s="36" t="s">
        <v>1644</v>
      </c>
      <c r="BC39" s="36" t="s">
        <v>2019</v>
      </c>
      <c r="BD39" s="36" t="s">
        <v>8374</v>
      </c>
      <c r="BE39" s="37" t="s">
        <v>649</v>
      </c>
      <c r="BF39" s="37" t="s">
        <v>272</v>
      </c>
      <c r="BG39" s="37" t="s">
        <v>272</v>
      </c>
      <c r="BH39" s="37" t="s">
        <v>272</v>
      </c>
      <c r="BI39" s="250">
        <v>250.21249999999998</v>
      </c>
      <c r="BJ39" s="250">
        <v>8006.7999999999993</v>
      </c>
      <c r="BK39" s="37"/>
      <c r="BL39" s="263">
        <v>10719.165817198753</v>
      </c>
      <c r="BM39" s="37" t="s">
        <v>541</v>
      </c>
      <c r="BN39" s="37"/>
      <c r="BO39" s="37"/>
      <c r="BP39" s="37">
        <v>6065.1509999999998</v>
      </c>
      <c r="BQ39" s="37"/>
      <c r="BR39" s="37"/>
      <c r="BS39" s="37"/>
      <c r="BT39" s="37"/>
      <c r="BU39" s="246"/>
      <c r="BV39" s="37"/>
      <c r="BW39" s="37"/>
      <c r="BX39" s="37"/>
      <c r="BY39" s="37"/>
      <c r="BZ39" s="37"/>
      <c r="CA39" s="37"/>
      <c r="CB39" s="37"/>
      <c r="CC39" s="37"/>
      <c r="CD39" s="37"/>
      <c r="CE39" s="37"/>
      <c r="CF39" s="37"/>
      <c r="CG39" s="37"/>
      <c r="CH39" s="37"/>
      <c r="CI39" s="243">
        <v>6065.1509999999998</v>
      </c>
      <c r="CJ39" s="243">
        <f t="shared" si="15"/>
        <v>3.7828416176758695</v>
      </c>
      <c r="CK39" s="38">
        <f t="shared" si="13"/>
        <v>1.3387577830342652</v>
      </c>
      <c r="CL39" s="247">
        <f t="shared" si="16"/>
        <v>1.7673370073059604</v>
      </c>
      <c r="CM39" s="247"/>
      <c r="CN39" s="247"/>
      <c r="CO39" s="36"/>
      <c r="CP39" s="496" t="s">
        <v>2021</v>
      </c>
      <c r="CQ39" s="241" t="s">
        <v>272</v>
      </c>
      <c r="CR39" s="241"/>
      <c r="CS39" s="33"/>
      <c r="CT39" s="33"/>
      <c r="CU39" s="250">
        <f t="shared" si="17"/>
        <v>3.7892858795276667</v>
      </c>
      <c r="CV39" s="337">
        <f t="shared" si="14"/>
        <v>2.8703840537422076</v>
      </c>
      <c r="CW39" s="330">
        <f t="shared" si="18"/>
        <v>1</v>
      </c>
      <c r="CX39" s="330"/>
      <c r="CY39" s="143" t="s">
        <v>5921</v>
      </c>
    </row>
    <row r="40" spans="1:103" ht="11.25" customHeight="1" x14ac:dyDescent="0.2">
      <c r="A40" s="72">
        <v>138</v>
      </c>
      <c r="B40" s="149">
        <v>2150</v>
      </c>
      <c r="C40" s="54" t="s">
        <v>5879</v>
      </c>
      <c r="D40" s="54" t="s">
        <v>8544</v>
      </c>
      <c r="E40" s="59"/>
      <c r="F40" s="167" t="s">
        <v>661</v>
      </c>
      <c r="G40" s="151">
        <v>302794</v>
      </c>
      <c r="H40" s="67" t="s">
        <v>662</v>
      </c>
      <c r="I40" s="67" t="s">
        <v>662</v>
      </c>
      <c r="J40" s="67" t="s">
        <v>663</v>
      </c>
      <c r="K40" s="67" t="s">
        <v>426</v>
      </c>
      <c r="L40" s="67" t="s">
        <v>279</v>
      </c>
      <c r="M40" s="67" t="s">
        <v>664</v>
      </c>
      <c r="N40" s="60"/>
      <c r="O40" s="67" t="s">
        <v>281</v>
      </c>
      <c r="P40" s="67"/>
      <c r="Q40" s="67"/>
      <c r="R40" s="67"/>
      <c r="S40" s="67"/>
      <c r="T40" s="61">
        <v>300.44</v>
      </c>
      <c r="U40" s="111"/>
      <c r="V40" s="111">
        <v>0.1263</v>
      </c>
      <c r="W40" s="111">
        <v>14.714914849105602</v>
      </c>
      <c r="X40" s="111">
        <v>14.714914849105602</v>
      </c>
      <c r="Y40" s="411">
        <v>4.6500000000000004</v>
      </c>
      <c r="Z40" s="61">
        <v>7.85</v>
      </c>
      <c r="AA40" s="61">
        <v>6.3</v>
      </c>
      <c r="AB40" s="61">
        <v>5.52</v>
      </c>
      <c r="AC40" s="61">
        <v>0.80679999999999996</v>
      </c>
      <c r="AD40" s="61">
        <v>5.9</v>
      </c>
      <c r="AE40" s="61">
        <v>6.83</v>
      </c>
      <c r="AF40" s="61">
        <f t="shared" si="12"/>
        <v>6.3</v>
      </c>
      <c r="AG40" s="62">
        <v>5.9</v>
      </c>
      <c r="AH40" s="111">
        <v>9.5000000000000005E-6</v>
      </c>
      <c r="AI40" s="111"/>
      <c r="AJ40" s="62">
        <f t="shared" si="10"/>
        <v>-3.4108427210238039</v>
      </c>
      <c r="AK40" s="62"/>
      <c r="AL40" s="62">
        <f t="shared" si="11"/>
        <v>-3.4108427210238039</v>
      </c>
      <c r="AM40" s="62">
        <v>-10.49797</v>
      </c>
      <c r="AN40" s="163">
        <v>-7.0221999999999998</v>
      </c>
      <c r="AO40" s="410">
        <v>4.7300000000000004</v>
      </c>
      <c r="AP40" s="410"/>
      <c r="AQ40" s="163" t="s">
        <v>6311</v>
      </c>
      <c r="AR40" s="163" t="s">
        <v>6311</v>
      </c>
      <c r="AS40" s="164" t="s">
        <v>5466</v>
      </c>
      <c r="AT40" s="63" t="s">
        <v>266</v>
      </c>
      <c r="AU40" s="61">
        <v>0</v>
      </c>
      <c r="AV40" s="61">
        <v>120</v>
      </c>
      <c r="AW40" s="61">
        <v>120</v>
      </c>
      <c r="AX40" s="61">
        <v>28</v>
      </c>
      <c r="AY40" s="61" t="s">
        <v>267</v>
      </c>
      <c r="AZ40" s="61" t="s">
        <v>5717</v>
      </c>
      <c r="BA40" s="61">
        <v>32</v>
      </c>
      <c r="BB40" s="67" t="s">
        <v>5666</v>
      </c>
      <c r="BC40" s="180" t="s">
        <v>8378</v>
      </c>
      <c r="BD40" s="67" t="s">
        <v>8374</v>
      </c>
      <c r="BE40" s="61" t="s">
        <v>2449</v>
      </c>
      <c r="BF40" s="61"/>
      <c r="BG40" s="61"/>
      <c r="BH40" s="61" t="s">
        <v>5626</v>
      </c>
      <c r="BI40" s="153">
        <v>1.5021999999999998E-4</v>
      </c>
      <c r="BJ40" s="153">
        <v>2.4035199999999997E-3</v>
      </c>
      <c r="BK40" s="165"/>
      <c r="BL40" s="153">
        <v>1.3755385092719082E-3</v>
      </c>
      <c r="BM40" s="61"/>
      <c r="BN40" s="61"/>
      <c r="BO40" s="61"/>
      <c r="BP40" s="61"/>
      <c r="BQ40" s="61"/>
      <c r="BR40" s="61">
        <v>5.2006163999999992E-3</v>
      </c>
      <c r="BS40" s="61"/>
      <c r="BT40" s="61"/>
      <c r="BU40" s="158"/>
      <c r="BV40" s="61"/>
      <c r="BW40" s="61"/>
      <c r="BX40" s="61"/>
      <c r="BY40" s="61"/>
      <c r="BZ40" s="61"/>
      <c r="CA40" s="61"/>
      <c r="CB40" s="61"/>
      <c r="CC40" s="61"/>
      <c r="CD40" s="61"/>
      <c r="CE40" s="61"/>
      <c r="CF40" s="61"/>
      <c r="CG40" s="61"/>
      <c r="CH40" s="61"/>
      <c r="CI40" s="111">
        <v>5.2006163999999992E-3</v>
      </c>
      <c r="CJ40" s="103">
        <f t="shared" si="15"/>
        <v>-2.283945178816436</v>
      </c>
      <c r="CK40" s="57">
        <f t="shared" si="13"/>
        <v>0.57230166974766528</v>
      </c>
      <c r="CL40" s="160">
        <f t="shared" si="16"/>
        <v>0.26449528353444957</v>
      </c>
      <c r="CM40" s="160"/>
      <c r="CN40" s="160"/>
      <c r="CO40" s="67"/>
      <c r="CP40" s="161" t="s">
        <v>5880</v>
      </c>
      <c r="CQ40" s="149" t="s">
        <v>272</v>
      </c>
      <c r="CR40" s="349"/>
      <c r="CS40" s="61" t="s">
        <v>539</v>
      </c>
      <c r="CT40" s="61"/>
      <c r="CU40" s="111">
        <f t="shared" si="17"/>
        <v>2829.4559177842079</v>
      </c>
      <c r="CV40" s="331">
        <f t="shared" si="14"/>
        <v>6122.2352421055803</v>
      </c>
      <c r="CW40" s="326">
        <f t="shared" si="18"/>
        <v>1</v>
      </c>
      <c r="CX40" s="326"/>
      <c r="CY40" s="161" t="s">
        <v>5921</v>
      </c>
    </row>
    <row r="41" spans="1:103" ht="11.25" customHeight="1" x14ac:dyDescent="0.2">
      <c r="A41" s="72">
        <v>479</v>
      </c>
      <c r="B41" s="149">
        <v>2149</v>
      </c>
      <c r="C41" s="54" t="s">
        <v>1345</v>
      </c>
      <c r="D41" s="54" t="s">
        <v>6534</v>
      </c>
      <c r="E41" s="59"/>
      <c r="F41" s="167" t="s">
        <v>1346</v>
      </c>
      <c r="G41" s="151">
        <v>76738620</v>
      </c>
      <c r="H41" s="67" t="s">
        <v>1347</v>
      </c>
      <c r="I41" s="67" t="s">
        <v>7901</v>
      </c>
      <c r="J41" s="67" t="s">
        <v>5876</v>
      </c>
      <c r="K41" s="67" t="s">
        <v>1112</v>
      </c>
      <c r="L41" s="55" t="s">
        <v>6005</v>
      </c>
      <c r="M41" s="60" t="s">
        <v>2342</v>
      </c>
      <c r="N41" s="60" t="s">
        <v>2342</v>
      </c>
      <c r="O41" s="67"/>
      <c r="P41" s="67"/>
      <c r="Q41" s="67"/>
      <c r="R41" s="67"/>
      <c r="S41" s="67"/>
      <c r="T41" s="61">
        <v>293.8</v>
      </c>
      <c r="U41" s="111">
        <v>26.000884985874261</v>
      </c>
      <c r="V41" s="111">
        <v>79.872718608529908</v>
      </c>
      <c r="W41" s="111">
        <v>61.383520324491656</v>
      </c>
      <c r="X41" s="111">
        <v>26.000884985874261</v>
      </c>
      <c r="Y41" s="411">
        <v>7.03</v>
      </c>
      <c r="Z41" s="61">
        <v>3.36</v>
      </c>
      <c r="AA41" s="61">
        <v>3.2</v>
      </c>
      <c r="AB41" s="61">
        <v>3.48</v>
      </c>
      <c r="AC41" s="61">
        <v>0.83650000000000002</v>
      </c>
      <c r="AD41" s="61">
        <v>3.37</v>
      </c>
      <c r="AE41" s="61">
        <v>2.99</v>
      </c>
      <c r="AF41" s="61">
        <f t="shared" si="12"/>
        <v>3.2</v>
      </c>
      <c r="AG41" s="62">
        <v>3.49</v>
      </c>
      <c r="AH41" s="111">
        <v>3.9E-10</v>
      </c>
      <c r="AI41" s="111">
        <v>8.2800000000000001E-11</v>
      </c>
      <c r="AJ41" s="62">
        <f t="shared" si="10"/>
        <v>-7.7975017192861529</v>
      </c>
      <c r="AK41" s="62">
        <f>LOG10(AI41*1000/(0.08206*298.15))</f>
        <v>-8.4705359895277716</v>
      </c>
      <c r="AL41" s="62">
        <f t="shared" si="11"/>
        <v>-8.4705359895277716</v>
      </c>
      <c r="AM41" s="62">
        <v>-13.015940000000001</v>
      </c>
      <c r="AN41" s="163">
        <v>-7.9161999999999999</v>
      </c>
      <c r="AO41" s="410">
        <v>13.92</v>
      </c>
      <c r="AP41" s="410">
        <v>2.57</v>
      </c>
      <c r="AQ41" s="163" t="s">
        <v>6311</v>
      </c>
      <c r="AR41" s="163" t="s">
        <v>6311</v>
      </c>
      <c r="AS41" s="164" t="s">
        <v>5466</v>
      </c>
      <c r="AT41" s="63" t="s">
        <v>266</v>
      </c>
      <c r="AU41" s="61">
        <v>0</v>
      </c>
      <c r="AV41" s="61">
        <v>120</v>
      </c>
      <c r="AW41" s="61">
        <v>120</v>
      </c>
      <c r="AX41" s="61">
        <v>28.5</v>
      </c>
      <c r="AY41" s="61"/>
      <c r="AZ41" s="61"/>
      <c r="BA41" s="61"/>
      <c r="BB41" s="67"/>
      <c r="BC41" s="67" t="s">
        <v>5877</v>
      </c>
      <c r="BD41" s="67"/>
      <c r="BE41" s="61" t="s">
        <v>2449</v>
      </c>
      <c r="BF41" s="61"/>
      <c r="BG41" s="61"/>
      <c r="BH41" s="61" t="s">
        <v>5626</v>
      </c>
      <c r="BI41" s="153">
        <v>9.9892000000000002E-3</v>
      </c>
      <c r="BJ41" s="153">
        <v>199.78400000000002</v>
      </c>
      <c r="BK41" s="165"/>
      <c r="BL41" s="153">
        <v>14.495586486523033</v>
      </c>
      <c r="BM41" s="61"/>
      <c r="BN41" s="61">
        <v>9.9699854800000015E-2</v>
      </c>
      <c r="BO41" s="61">
        <v>7.1399863600000002E-2</v>
      </c>
      <c r="BP41" s="61">
        <v>7.1399863600000002E-2</v>
      </c>
      <c r="BQ41" s="61">
        <v>7.1399863600000002E-2</v>
      </c>
      <c r="BR41" s="61">
        <v>5.8599879000000001E-2</v>
      </c>
      <c r="BS41" s="61"/>
      <c r="BT41" s="61"/>
      <c r="BU41" s="158"/>
      <c r="BV41" s="61"/>
      <c r="BW41" s="61"/>
      <c r="BX41" s="61"/>
      <c r="BY41" s="61"/>
      <c r="BZ41" s="61"/>
      <c r="CA41" s="61"/>
      <c r="CB41" s="61"/>
      <c r="CC41" s="61"/>
      <c r="CD41" s="61"/>
      <c r="CE41" s="61"/>
      <c r="CF41" s="61"/>
      <c r="CG41" s="61"/>
      <c r="CH41" s="61"/>
      <c r="CI41" s="111">
        <v>5.8599879000000001E-2</v>
      </c>
      <c r="CJ41" s="103">
        <f t="shared" si="15"/>
        <v>-1.2321032807342398</v>
      </c>
      <c r="CK41" s="57">
        <f t="shared" si="13"/>
        <v>7.2556293229302807E-2</v>
      </c>
      <c r="CL41" s="160">
        <f t="shared" si="16"/>
        <v>247.36546787960148</v>
      </c>
      <c r="CM41" s="160">
        <v>1.3122976258624119</v>
      </c>
      <c r="CN41" s="160">
        <f>BJ41/(10^CM41)</f>
        <v>9.7333665380667842</v>
      </c>
      <c r="CO41" s="67"/>
      <c r="CP41" s="161" t="s">
        <v>5878</v>
      </c>
      <c r="CQ41" s="149">
        <v>1.3603806215390062</v>
      </c>
      <c r="CR41" s="349">
        <f>10^(CJ41-CQ41)</f>
        <v>2.5557366312280788E-3</v>
      </c>
      <c r="CS41" s="61" t="s">
        <v>539</v>
      </c>
      <c r="CT41" s="61"/>
      <c r="CU41" s="111">
        <f t="shared" si="17"/>
        <v>443.70202515050005</v>
      </c>
      <c r="CV41" s="331">
        <f t="shared" si="14"/>
        <v>0.13014498150940146</v>
      </c>
      <c r="CW41" s="326">
        <f t="shared" si="18"/>
        <v>1</v>
      </c>
      <c r="CX41" s="326"/>
      <c r="CY41" s="161" t="s">
        <v>5921</v>
      </c>
    </row>
    <row r="42" spans="1:103" ht="11.25" customHeight="1" x14ac:dyDescent="0.2">
      <c r="A42" s="72">
        <v>259</v>
      </c>
      <c r="B42" s="149">
        <v>743</v>
      </c>
      <c r="C42" s="54" t="s">
        <v>2113</v>
      </c>
      <c r="D42" s="54"/>
      <c r="E42" s="59"/>
      <c r="F42" s="59" t="s">
        <v>2114</v>
      </c>
      <c r="G42" s="151">
        <v>34157830</v>
      </c>
      <c r="H42" s="55" t="s">
        <v>2115</v>
      </c>
      <c r="I42" s="55" t="s">
        <v>8318</v>
      </c>
      <c r="J42" s="55" t="s">
        <v>2116</v>
      </c>
      <c r="K42" s="55" t="s">
        <v>2117</v>
      </c>
      <c r="L42" s="55"/>
      <c r="M42" s="55"/>
      <c r="N42" s="60"/>
      <c r="O42" s="55"/>
      <c r="P42" s="67">
        <v>3</v>
      </c>
      <c r="Q42" s="67" t="s">
        <v>6173</v>
      </c>
      <c r="R42" s="67">
        <v>1</v>
      </c>
      <c r="S42" s="67" t="s">
        <v>6173</v>
      </c>
      <c r="T42" s="56">
        <v>450.61</v>
      </c>
      <c r="U42" s="103"/>
      <c r="V42" s="103">
        <v>2.1059999999999999E-2</v>
      </c>
      <c r="W42" s="103">
        <v>0.5940196689609023</v>
      </c>
      <c r="X42" s="103">
        <v>0.5940196689609023</v>
      </c>
      <c r="Y42" s="162">
        <v>5.92</v>
      </c>
      <c r="Z42" s="56">
        <v>6.14</v>
      </c>
      <c r="AA42" s="56"/>
      <c r="AB42" s="56">
        <v>6.22</v>
      </c>
      <c r="AC42" s="56">
        <v>0.4446</v>
      </c>
      <c r="AD42" s="56">
        <v>6.71</v>
      </c>
      <c r="AE42" s="56">
        <v>7.08</v>
      </c>
      <c r="AF42" s="56">
        <f t="shared" si="12"/>
        <v>6.71</v>
      </c>
      <c r="AG42" s="57">
        <v>3.2</v>
      </c>
      <c r="AH42" s="103">
        <v>1.62E-9</v>
      </c>
      <c r="AI42" s="103"/>
      <c r="AJ42" s="62">
        <f t="shared" si="10"/>
        <v>-7.1790513117700208</v>
      </c>
      <c r="AK42" s="62"/>
      <c r="AL42" s="62">
        <f t="shared" si="11"/>
        <v>-7.1790513117700208</v>
      </c>
      <c r="AM42" s="62">
        <v>-18.76155</v>
      </c>
      <c r="AN42" s="154">
        <v>-16.899999999999999</v>
      </c>
      <c r="AO42" s="410">
        <v>4.78</v>
      </c>
      <c r="AP42" s="410"/>
      <c r="AQ42" s="154" t="s">
        <v>6311</v>
      </c>
      <c r="AR42" s="154" t="s">
        <v>6311</v>
      </c>
      <c r="AS42" s="149" t="s">
        <v>63</v>
      </c>
      <c r="AT42" s="58" t="s">
        <v>266</v>
      </c>
      <c r="AU42" s="56">
        <v>2</v>
      </c>
      <c r="AV42" s="56">
        <v>120</v>
      </c>
      <c r="AW42" s="56">
        <v>120</v>
      </c>
      <c r="AX42" s="56">
        <v>28.5</v>
      </c>
      <c r="AY42" s="56" t="s">
        <v>8722</v>
      </c>
      <c r="AZ42" s="56" t="s">
        <v>2118</v>
      </c>
      <c r="BA42" s="56" t="s">
        <v>8722</v>
      </c>
      <c r="BB42" s="55" t="s">
        <v>888</v>
      </c>
      <c r="BC42" s="55" t="s">
        <v>8726</v>
      </c>
      <c r="BD42" s="55" t="s">
        <v>8374</v>
      </c>
      <c r="BE42" s="56" t="s">
        <v>271</v>
      </c>
      <c r="BF42" s="56" t="s">
        <v>272</v>
      </c>
      <c r="BG42" s="56" t="s">
        <v>272</v>
      </c>
      <c r="BH42" s="56" t="s">
        <v>2119</v>
      </c>
      <c r="BI42" s="153">
        <v>2.5000554815801152E-4</v>
      </c>
      <c r="BJ42" s="153">
        <v>2.0000443852640922E-3</v>
      </c>
      <c r="BK42" s="56"/>
      <c r="BL42" s="153">
        <v>7.083808715848447E-2</v>
      </c>
      <c r="BM42" s="56">
        <v>0</v>
      </c>
      <c r="BN42" s="56"/>
      <c r="BO42" s="56"/>
      <c r="BP42" s="56"/>
      <c r="BQ42" s="56"/>
      <c r="BR42" s="56">
        <v>0.63085400000000003</v>
      </c>
      <c r="BS42" s="56"/>
      <c r="BT42" s="56"/>
      <c r="BU42" s="158"/>
      <c r="BV42" s="56"/>
      <c r="BW42" s="56"/>
      <c r="BX42" s="56"/>
      <c r="BY42" s="56"/>
      <c r="BZ42" s="56"/>
      <c r="CA42" s="56"/>
      <c r="CB42" s="56"/>
      <c r="CC42" s="56"/>
      <c r="CD42" s="56"/>
      <c r="CE42" s="56"/>
      <c r="CF42" s="56"/>
      <c r="CG42" s="56"/>
      <c r="CH42" s="56"/>
      <c r="CI42" s="103">
        <v>0.63085400000000003</v>
      </c>
      <c r="CJ42" s="103">
        <f t="shared" si="15"/>
        <v>-0.20007113890325962</v>
      </c>
      <c r="CK42" s="57">
        <f t="shared" si="13"/>
        <v>35.418257554884605</v>
      </c>
      <c r="CL42" s="160">
        <f t="shared" si="16"/>
        <v>0.11228919394738635</v>
      </c>
      <c r="CM42" s="160"/>
      <c r="CN42" s="160"/>
      <c r="CO42" s="55"/>
      <c r="CP42" s="497" t="s">
        <v>2120</v>
      </c>
      <c r="CQ42" s="149" t="s">
        <v>272</v>
      </c>
      <c r="CR42" s="349"/>
      <c r="CS42" s="61" t="s">
        <v>539</v>
      </c>
      <c r="CT42" s="61"/>
      <c r="CU42" s="111">
        <f t="shared" si="17"/>
        <v>0.94161195611171888</v>
      </c>
      <c r="CV42" s="331">
        <f t="shared" si="14"/>
        <v>297.00324319675838</v>
      </c>
      <c r="CW42" s="326">
        <f t="shared" si="18"/>
        <v>0</v>
      </c>
      <c r="CX42" s="326"/>
      <c r="CY42" s="161" t="s">
        <v>5921</v>
      </c>
    </row>
    <row r="43" spans="1:103" ht="11.25" customHeight="1" x14ac:dyDescent="0.2">
      <c r="A43" s="72">
        <v>70</v>
      </c>
      <c r="B43" s="149">
        <v>2148</v>
      </c>
      <c r="C43" s="54" t="s">
        <v>5873</v>
      </c>
      <c r="D43" s="54" t="s">
        <v>6475</v>
      </c>
      <c r="E43" s="59"/>
      <c r="F43" s="167" t="s">
        <v>4365</v>
      </c>
      <c r="G43" s="151">
        <v>126863</v>
      </c>
      <c r="H43" s="67" t="s">
        <v>4366</v>
      </c>
      <c r="I43" s="67" t="s">
        <v>7940</v>
      </c>
      <c r="J43" s="67" t="s">
        <v>5874</v>
      </c>
      <c r="K43" s="67" t="s">
        <v>4368</v>
      </c>
      <c r="L43" s="67" t="s">
        <v>5527</v>
      </c>
      <c r="M43" s="67" t="s">
        <v>526</v>
      </c>
      <c r="N43" s="60" t="s">
        <v>526</v>
      </c>
      <c r="O43" s="67"/>
      <c r="P43" s="67"/>
      <c r="Q43" s="67"/>
      <c r="R43" s="67"/>
      <c r="S43" s="67"/>
      <c r="T43" s="61">
        <v>226.36</v>
      </c>
      <c r="U43" s="111"/>
      <c r="V43" s="111">
        <v>26.35</v>
      </c>
      <c r="W43" s="111">
        <v>30.535123810344665</v>
      </c>
      <c r="X43" s="111">
        <v>30.535123810344665</v>
      </c>
      <c r="Y43" s="411">
        <v>7</v>
      </c>
      <c r="Z43" s="61">
        <v>3.61</v>
      </c>
      <c r="AA43" s="61"/>
      <c r="AB43" s="61">
        <v>2.82</v>
      </c>
      <c r="AC43" s="61">
        <v>0.67310000000000003</v>
      </c>
      <c r="AD43" s="61">
        <v>2.94</v>
      </c>
      <c r="AE43" s="61">
        <v>3.11</v>
      </c>
      <c r="AF43" s="61">
        <f t="shared" si="12"/>
        <v>2.94</v>
      </c>
      <c r="AG43" s="62">
        <v>3.23</v>
      </c>
      <c r="AH43" s="111">
        <v>2.4400000000000001E-7</v>
      </c>
      <c r="AI43" s="111"/>
      <c r="AJ43" s="62">
        <f t="shared" si="10"/>
        <v>-5.0011764999739219</v>
      </c>
      <c r="AK43" s="62"/>
      <c r="AL43" s="62">
        <f t="shared" si="11"/>
        <v>-5.0011764999739219</v>
      </c>
      <c r="AM43" s="62">
        <v>-9.0765900000000013</v>
      </c>
      <c r="AN43" s="163">
        <v>-8.3695000000000004</v>
      </c>
      <c r="AO43" s="410">
        <v>12.92</v>
      </c>
      <c r="AP43" s="410"/>
      <c r="AQ43" s="163" t="s">
        <v>6311</v>
      </c>
      <c r="AR43" s="163" t="s">
        <v>6311</v>
      </c>
      <c r="AS43" s="164" t="s">
        <v>5466</v>
      </c>
      <c r="AT43" s="63" t="s">
        <v>266</v>
      </c>
      <c r="AU43" s="61">
        <v>0</v>
      </c>
      <c r="AV43" s="61">
        <v>120</v>
      </c>
      <c r="AW43" s="61">
        <v>120</v>
      </c>
      <c r="AX43" s="61">
        <v>26</v>
      </c>
      <c r="AY43" s="61"/>
      <c r="AZ43" s="61"/>
      <c r="BA43" s="61"/>
      <c r="BB43" s="67" t="s">
        <v>5487</v>
      </c>
      <c r="BC43" s="67" t="s">
        <v>5718</v>
      </c>
      <c r="BD43" s="67"/>
      <c r="BE43" s="61" t="s">
        <v>1584</v>
      </c>
      <c r="BF43" s="61"/>
      <c r="BG43" s="61"/>
      <c r="BH43" s="61"/>
      <c r="BI43" s="153">
        <v>19.99999999788</v>
      </c>
      <c r="BJ43" s="153">
        <v>319.99999996608</v>
      </c>
      <c r="BK43" s="165"/>
      <c r="BL43" s="153">
        <v>6.6597616350830346</v>
      </c>
      <c r="BM43" s="61"/>
      <c r="BN43" s="61">
        <v>98.99999991028001</v>
      </c>
      <c r="BO43" s="61">
        <v>96.999999978400012</v>
      </c>
      <c r="BP43" s="61">
        <v>84.00000008164001</v>
      </c>
      <c r="BQ43" s="61">
        <v>72.000000037640007</v>
      </c>
      <c r="BR43" s="61">
        <v>66.000000015640012</v>
      </c>
      <c r="BS43" s="61"/>
      <c r="BT43" s="61"/>
      <c r="BU43" s="158"/>
      <c r="BV43" s="61"/>
      <c r="BW43" s="61"/>
      <c r="BX43" s="61"/>
      <c r="BY43" s="61"/>
      <c r="BZ43" s="61"/>
      <c r="CA43" s="61"/>
      <c r="CB43" s="61"/>
      <c r="CC43" s="61"/>
      <c r="CD43" s="61"/>
      <c r="CE43" s="61"/>
      <c r="CF43" s="61"/>
      <c r="CG43" s="61"/>
      <c r="CH43" s="61"/>
      <c r="CI43" s="111">
        <v>66.000000015640012</v>
      </c>
      <c r="CJ43" s="103">
        <f t="shared" si="15"/>
        <v>1.8195439356447833</v>
      </c>
      <c r="CK43" s="57">
        <f t="shared" si="13"/>
        <v>2.0811755111840531E-2</v>
      </c>
      <c r="CL43" s="160">
        <f t="shared" si="16"/>
        <v>0.10090547929552836</v>
      </c>
      <c r="CM43" s="160"/>
      <c r="CN43" s="160"/>
      <c r="CO43" s="67" t="s">
        <v>5494</v>
      </c>
      <c r="CP43" s="161" t="s">
        <v>5875</v>
      </c>
      <c r="CQ43" s="149">
        <v>1.5563025007672873</v>
      </c>
      <c r="CR43" s="349">
        <f>10^(CJ43-CQ43)</f>
        <v>1.833333333767778</v>
      </c>
      <c r="CS43" s="61" t="s">
        <v>539</v>
      </c>
      <c r="CT43" s="61"/>
      <c r="CU43" s="111">
        <f t="shared" si="17"/>
        <v>0.46265339095619334</v>
      </c>
      <c r="CV43" s="331">
        <f t="shared" si="14"/>
        <v>9.5422261917441839E-2</v>
      </c>
      <c r="CW43" s="326">
        <f t="shared" si="18"/>
        <v>0</v>
      </c>
      <c r="CX43" s="326"/>
      <c r="CY43" s="161" t="s">
        <v>6351</v>
      </c>
    </row>
    <row r="44" spans="1:103" ht="11.25" customHeight="1" x14ac:dyDescent="0.2">
      <c r="A44" s="72">
        <v>1630</v>
      </c>
      <c r="B44" s="241">
        <v>802</v>
      </c>
      <c r="C44" s="32" t="s">
        <v>7619</v>
      </c>
      <c r="D44" s="32"/>
      <c r="E44" s="40"/>
      <c r="F44" s="40" t="s">
        <v>2260</v>
      </c>
      <c r="G44" s="242">
        <v>57090</v>
      </c>
      <c r="H44" s="491" t="s">
        <v>2261</v>
      </c>
      <c r="I44" s="491" t="s">
        <v>2261</v>
      </c>
      <c r="J44" s="36" t="s">
        <v>2262</v>
      </c>
      <c r="K44" s="36" t="s">
        <v>426</v>
      </c>
      <c r="L44" s="36"/>
      <c r="M44" s="36"/>
      <c r="N44" s="36"/>
      <c r="O44" s="36"/>
      <c r="P44" s="41"/>
      <c r="Q44" s="41"/>
      <c r="R44" s="41"/>
      <c r="S44" s="41"/>
      <c r="T44" s="37">
        <v>284.54000000000002</v>
      </c>
      <c r="U44" s="243">
        <v>100000</v>
      </c>
      <c r="V44" s="243">
        <v>9.6509999999999998</v>
      </c>
      <c r="W44" s="243">
        <v>65184.348191854217</v>
      </c>
      <c r="X44" s="243">
        <v>100000</v>
      </c>
      <c r="Y44" s="414">
        <v>7</v>
      </c>
      <c r="Z44" s="37">
        <v>3.18</v>
      </c>
      <c r="AA44" s="37"/>
      <c r="AB44" s="37">
        <v>2.8</v>
      </c>
      <c r="AC44" s="37">
        <v>0.75680000000000003</v>
      </c>
      <c r="AD44" s="37">
        <v>2.66</v>
      </c>
      <c r="AE44" s="37">
        <v>2.4</v>
      </c>
      <c r="AF44" s="37">
        <f t="shared" si="12"/>
        <v>2.66</v>
      </c>
      <c r="AG44" s="38">
        <v>6.4</v>
      </c>
      <c r="AH44" s="243">
        <v>2.32E-10</v>
      </c>
      <c r="AI44" s="243"/>
      <c r="AJ44" s="34">
        <f t="shared" si="10"/>
        <v>-8.0230783414217512</v>
      </c>
      <c r="AK44" s="34"/>
      <c r="AL44" s="34">
        <f t="shared" si="11"/>
        <v>-8.0230783414217512</v>
      </c>
      <c r="AM44" s="34">
        <v>-1.3976699999999997</v>
      </c>
      <c r="AN44" s="244">
        <v>-1.42</v>
      </c>
      <c r="AO44" s="417"/>
      <c r="AP44" s="417"/>
      <c r="AQ44" s="244" t="s">
        <v>6311</v>
      </c>
      <c r="AR44" s="244" t="s">
        <v>6311</v>
      </c>
      <c r="AS44" s="241" t="s">
        <v>1154</v>
      </c>
      <c r="AT44" s="39" t="s">
        <v>266</v>
      </c>
      <c r="AU44" s="245"/>
      <c r="AV44" s="245">
        <v>0</v>
      </c>
      <c r="AW44" s="37">
        <v>48</v>
      </c>
      <c r="AX44" s="37">
        <v>25</v>
      </c>
      <c r="AY44" s="37" t="s">
        <v>8722</v>
      </c>
      <c r="AZ44" s="37" t="s">
        <v>2263</v>
      </c>
      <c r="BA44" s="37">
        <v>20</v>
      </c>
      <c r="BB44" s="36" t="s">
        <v>1764</v>
      </c>
      <c r="BC44" s="36" t="s">
        <v>2264</v>
      </c>
      <c r="BD44" s="36"/>
      <c r="BE44" s="37" t="s">
        <v>2265</v>
      </c>
      <c r="BF44" s="37" t="s">
        <v>2266</v>
      </c>
      <c r="BG44" s="37" t="s">
        <v>2266</v>
      </c>
      <c r="BH44" s="37" t="s">
        <v>272</v>
      </c>
      <c r="BI44" s="243" t="s">
        <v>8722</v>
      </c>
      <c r="BJ44" s="243" t="s">
        <v>8722</v>
      </c>
      <c r="BK44" s="37" t="s">
        <v>2267</v>
      </c>
      <c r="BL44" s="263">
        <v>20.369732565276909</v>
      </c>
      <c r="BM44" s="37" t="s">
        <v>1584</v>
      </c>
      <c r="BN44" s="37"/>
      <c r="BO44" s="37">
        <v>0.28106571546165454</v>
      </c>
      <c r="BP44" s="37"/>
      <c r="BQ44" s="37"/>
      <c r="BR44" s="37"/>
      <c r="BS44" s="37"/>
      <c r="BT44" s="37"/>
      <c r="BU44" s="246"/>
      <c r="BV44" s="37"/>
      <c r="BW44" s="37"/>
      <c r="BX44" s="37"/>
      <c r="BY44" s="37"/>
      <c r="BZ44" s="37"/>
      <c r="CA44" s="37"/>
      <c r="CB44" s="37"/>
      <c r="CC44" s="37"/>
      <c r="CD44" s="37"/>
      <c r="CE44" s="37"/>
      <c r="CF44" s="37"/>
      <c r="CG44" s="37"/>
      <c r="CH44" s="37"/>
      <c r="CI44" s="243">
        <v>0.28106571546165454</v>
      </c>
      <c r="CJ44" s="243">
        <f t="shared" si="15"/>
        <v>-0.55119212662272909</v>
      </c>
      <c r="CK44" s="38"/>
      <c r="CL44" s="247">
        <f t="shared" si="16"/>
        <v>72.473202687917038</v>
      </c>
      <c r="CM44" s="247"/>
      <c r="CN44" s="247"/>
      <c r="CO44" s="36"/>
      <c r="CP44" s="496" t="s">
        <v>2268</v>
      </c>
      <c r="CQ44" s="241">
        <v>0.11394335230683671</v>
      </c>
      <c r="CR44" s="241">
        <f>10^(CJ44-CQ44)</f>
        <v>0.21620439650896497</v>
      </c>
      <c r="CS44" s="33"/>
      <c r="CT44" s="33" t="s">
        <v>6310</v>
      </c>
      <c r="CU44" s="250">
        <f t="shared" si="17"/>
        <v>355788.68036518985</v>
      </c>
      <c r="CV44" s="337"/>
      <c r="CW44" s="330">
        <f t="shared" si="18"/>
        <v>1</v>
      </c>
      <c r="CX44" s="330" t="s">
        <v>539</v>
      </c>
      <c r="CY44" s="143" t="s">
        <v>6351</v>
      </c>
    </row>
    <row r="45" spans="1:103" ht="11.25" customHeight="1" x14ac:dyDescent="0.2">
      <c r="A45" s="72">
        <v>1811</v>
      </c>
      <c r="B45" s="241">
        <v>813</v>
      </c>
      <c r="C45" s="32" t="s">
        <v>7701</v>
      </c>
      <c r="D45" s="32"/>
      <c r="E45" s="40"/>
      <c r="F45" s="40" t="s">
        <v>2311</v>
      </c>
      <c r="G45" s="242">
        <v>577117</v>
      </c>
      <c r="H45" s="491" t="s">
        <v>2312</v>
      </c>
      <c r="I45" s="491" t="s">
        <v>2312</v>
      </c>
      <c r="J45" s="36" t="s">
        <v>2313</v>
      </c>
      <c r="K45" s="36" t="s">
        <v>357</v>
      </c>
      <c r="L45" s="36" t="s">
        <v>6156</v>
      </c>
      <c r="M45" s="36" t="s">
        <v>2342</v>
      </c>
      <c r="N45" s="36" t="s">
        <v>2342</v>
      </c>
      <c r="O45" s="36"/>
      <c r="P45" s="41"/>
      <c r="Q45" s="41"/>
      <c r="R45" s="41"/>
      <c r="S45" s="41"/>
      <c r="T45" s="37">
        <v>422.58</v>
      </c>
      <c r="U45" s="243"/>
      <c r="V45" s="243">
        <v>1.227E-3</v>
      </c>
      <c r="W45" s="243">
        <v>1137.3887774434356</v>
      </c>
      <c r="X45" s="243">
        <v>1137.3887774434356</v>
      </c>
      <c r="Y45" s="414">
        <v>2.57</v>
      </c>
      <c r="Z45" s="37">
        <v>6.1</v>
      </c>
      <c r="AA45" s="37"/>
      <c r="AB45" s="37">
        <v>1.96</v>
      </c>
      <c r="AC45" s="37">
        <v>0.34920000000000001</v>
      </c>
      <c r="AD45" s="37">
        <v>4.51</v>
      </c>
      <c r="AE45" s="37">
        <v>5.96</v>
      </c>
      <c r="AF45" s="37">
        <f t="shared" si="12"/>
        <v>4.51</v>
      </c>
      <c r="AG45" s="38">
        <v>4.51</v>
      </c>
      <c r="AH45" s="243">
        <v>4.9999999999999997E-12</v>
      </c>
      <c r="AI45" s="243"/>
      <c r="AJ45" s="34">
        <f t="shared" si="10"/>
        <v>-9.6895963219766337</v>
      </c>
      <c r="AK45" s="34"/>
      <c r="AL45" s="34">
        <f t="shared" si="11"/>
        <v>-9.6895963219766337</v>
      </c>
      <c r="AM45" s="34">
        <v>-16.545809999999999</v>
      </c>
      <c r="AN45" s="244"/>
      <c r="AO45" s="417">
        <v>0.08</v>
      </c>
      <c r="AP45" s="417"/>
      <c r="AQ45" s="244" t="s">
        <v>6311</v>
      </c>
      <c r="AR45" s="244" t="s">
        <v>6312</v>
      </c>
      <c r="AS45" s="241" t="s">
        <v>6</v>
      </c>
      <c r="AT45" s="39" t="s">
        <v>266</v>
      </c>
      <c r="AU45" s="245"/>
      <c r="AV45" s="245">
        <v>0</v>
      </c>
      <c r="AW45" s="37">
        <v>48</v>
      </c>
      <c r="AX45" s="37">
        <v>25</v>
      </c>
      <c r="AY45" s="37" t="s">
        <v>8722</v>
      </c>
      <c r="AZ45" s="37" t="s">
        <v>2263</v>
      </c>
      <c r="BA45" s="37">
        <v>20</v>
      </c>
      <c r="BB45" s="36" t="s">
        <v>1764</v>
      </c>
      <c r="BC45" s="36" t="s">
        <v>2264</v>
      </c>
      <c r="BD45" s="36"/>
      <c r="BE45" s="37" t="s">
        <v>2265</v>
      </c>
      <c r="BF45" s="37" t="s">
        <v>2266</v>
      </c>
      <c r="BG45" s="37" t="s">
        <v>2266</v>
      </c>
      <c r="BH45" s="37" t="s">
        <v>272</v>
      </c>
      <c r="BI45" s="243" t="s">
        <v>8722</v>
      </c>
      <c r="BJ45" s="243" t="s">
        <v>8722</v>
      </c>
      <c r="BK45" s="37" t="s">
        <v>2267</v>
      </c>
      <c r="BL45" s="263">
        <v>7.2160401138399652E-2</v>
      </c>
      <c r="BM45" s="37" t="s">
        <v>1584</v>
      </c>
      <c r="BN45" s="37"/>
      <c r="BO45" s="37"/>
      <c r="BP45" s="37">
        <v>10.399999999999999</v>
      </c>
      <c r="BQ45" s="37"/>
      <c r="BR45" s="37"/>
      <c r="BS45" s="37"/>
      <c r="BT45" s="37"/>
      <c r="BU45" s="246"/>
      <c r="BV45" s="37"/>
      <c r="BW45" s="37"/>
      <c r="BX45" s="37"/>
      <c r="BY45" s="37"/>
      <c r="BZ45" s="37"/>
      <c r="CA45" s="37"/>
      <c r="CB45" s="37"/>
      <c r="CC45" s="37"/>
      <c r="CD45" s="37"/>
      <c r="CE45" s="37"/>
      <c r="CF45" s="37"/>
      <c r="CG45" s="37"/>
      <c r="CH45" s="37"/>
      <c r="CI45" s="243">
        <v>10.399999999999999</v>
      </c>
      <c r="CJ45" s="243">
        <f t="shared" si="15"/>
        <v>1.0170333392987803</v>
      </c>
      <c r="CK45" s="38"/>
      <c r="CL45" s="247">
        <f t="shared" si="16"/>
        <v>6.9385001094615061E-3</v>
      </c>
      <c r="CM45" s="247"/>
      <c r="CN45" s="247"/>
      <c r="CO45" s="36"/>
      <c r="CP45" s="496" t="s">
        <v>2268</v>
      </c>
      <c r="CQ45" s="241">
        <v>1.4471580313422192</v>
      </c>
      <c r="CR45" s="241">
        <f>10^(CJ45-CQ45)</f>
        <v>0.37142857142857133</v>
      </c>
      <c r="CS45" s="33"/>
      <c r="CT45" s="33" t="s">
        <v>6310</v>
      </c>
      <c r="CU45" s="250">
        <f t="shared" si="17"/>
        <v>109.36430552340728</v>
      </c>
      <c r="CV45" s="337"/>
      <c r="CW45" s="330">
        <f t="shared" si="18"/>
        <v>1</v>
      </c>
      <c r="CX45" s="330" t="s">
        <v>539</v>
      </c>
      <c r="CY45" s="143" t="s">
        <v>6351</v>
      </c>
    </row>
    <row r="46" spans="1:103" ht="11.25" customHeight="1" x14ac:dyDescent="0.2">
      <c r="A46" s="72">
        <v>1827</v>
      </c>
      <c r="B46" s="241">
        <v>815</v>
      </c>
      <c r="C46" s="32" t="s">
        <v>7716</v>
      </c>
      <c r="D46" s="32"/>
      <c r="E46" s="40"/>
      <c r="F46" s="40" t="s">
        <v>2317</v>
      </c>
      <c r="G46" s="242">
        <v>629254</v>
      </c>
      <c r="H46" s="36" t="s">
        <v>2318</v>
      </c>
      <c r="I46" s="36" t="s">
        <v>2318</v>
      </c>
      <c r="J46" s="36" t="s">
        <v>2319</v>
      </c>
      <c r="K46" s="36" t="s">
        <v>426</v>
      </c>
      <c r="L46" s="36"/>
      <c r="M46" s="36" t="s">
        <v>526</v>
      </c>
      <c r="N46" s="36"/>
      <c r="O46" s="36" t="s">
        <v>2320</v>
      </c>
      <c r="P46" s="41"/>
      <c r="Q46" s="41"/>
      <c r="R46" s="41"/>
      <c r="S46" s="41"/>
      <c r="T46" s="37">
        <v>200.32</v>
      </c>
      <c r="U46" s="243">
        <v>4.8099999999999996</v>
      </c>
      <c r="V46" s="243">
        <v>12.76</v>
      </c>
      <c r="W46" s="243">
        <v>98.112493095887032</v>
      </c>
      <c r="X46" s="243">
        <v>4.8099999999999996</v>
      </c>
      <c r="Y46" s="414">
        <v>4.09</v>
      </c>
      <c r="Z46" s="37">
        <v>5</v>
      </c>
      <c r="AA46" s="37">
        <v>4.5999999999999996</v>
      </c>
      <c r="AB46" s="37">
        <v>4.59</v>
      </c>
      <c r="AC46" s="37">
        <v>0.94610000000000005</v>
      </c>
      <c r="AD46" s="37">
        <v>4.68</v>
      </c>
      <c r="AE46" s="37">
        <v>5.03</v>
      </c>
      <c r="AF46" s="37">
        <f t="shared" si="12"/>
        <v>4.5999999999999996</v>
      </c>
      <c r="AG46" s="38">
        <v>4.68</v>
      </c>
      <c r="AH46" s="243">
        <v>9.3100000000000006E-6</v>
      </c>
      <c r="AI46" s="243"/>
      <c r="AJ46" s="34">
        <f t="shared" si="10"/>
        <v>-3.4196166453313093</v>
      </c>
      <c r="AK46" s="34"/>
      <c r="AL46" s="34">
        <f t="shared" si="11"/>
        <v>-3.4196166453313093</v>
      </c>
      <c r="AM46" s="34">
        <v>-6.2220399999999998</v>
      </c>
      <c r="AN46" s="244"/>
      <c r="AO46" s="417">
        <v>4.78</v>
      </c>
      <c r="AP46" s="417"/>
      <c r="AQ46" s="244" t="s">
        <v>6311</v>
      </c>
      <c r="AR46" s="244" t="s">
        <v>6311</v>
      </c>
      <c r="AS46" s="241" t="s">
        <v>6</v>
      </c>
      <c r="AT46" s="39" t="s">
        <v>266</v>
      </c>
      <c r="AU46" s="245"/>
      <c r="AV46" s="245">
        <v>0</v>
      </c>
      <c r="AW46" s="37">
        <v>48</v>
      </c>
      <c r="AX46" s="37">
        <v>25</v>
      </c>
      <c r="AY46" s="37" t="s">
        <v>8722</v>
      </c>
      <c r="AZ46" s="37" t="s">
        <v>2263</v>
      </c>
      <c r="BA46" s="37">
        <v>20</v>
      </c>
      <c r="BB46" s="36" t="s">
        <v>1764</v>
      </c>
      <c r="BC46" s="36" t="s">
        <v>2264</v>
      </c>
      <c r="BD46" s="36"/>
      <c r="BE46" s="37" t="s">
        <v>2265</v>
      </c>
      <c r="BF46" s="37" t="s">
        <v>2266</v>
      </c>
      <c r="BG46" s="37" t="s">
        <v>2266</v>
      </c>
      <c r="BH46" s="37" t="s">
        <v>272</v>
      </c>
      <c r="BI46" s="243" t="s">
        <v>8722</v>
      </c>
      <c r="BJ46" s="243" t="s">
        <v>8722</v>
      </c>
      <c r="BK46" s="37" t="s">
        <v>2267</v>
      </c>
      <c r="BL46" s="263">
        <v>0.33267817588657245</v>
      </c>
      <c r="BM46" s="37" t="s">
        <v>1584</v>
      </c>
      <c r="BN46" s="37"/>
      <c r="BO46" s="37"/>
      <c r="BP46" s="37">
        <v>10</v>
      </c>
      <c r="BQ46" s="37"/>
      <c r="BR46" s="37"/>
      <c r="BS46" s="37"/>
      <c r="BT46" s="37"/>
      <c r="BU46" s="246"/>
      <c r="BV46" s="37"/>
      <c r="BW46" s="37"/>
      <c r="BX46" s="37"/>
      <c r="BY46" s="37"/>
      <c r="BZ46" s="37"/>
      <c r="CA46" s="37"/>
      <c r="CB46" s="37"/>
      <c r="CC46" s="37"/>
      <c r="CD46" s="37"/>
      <c r="CE46" s="37"/>
      <c r="CF46" s="37"/>
      <c r="CG46" s="37"/>
      <c r="CH46" s="37"/>
      <c r="CI46" s="243">
        <v>10</v>
      </c>
      <c r="CJ46" s="243">
        <f t="shared" si="15"/>
        <v>1</v>
      </c>
      <c r="CK46" s="38"/>
      <c r="CL46" s="247">
        <f t="shared" si="16"/>
        <v>3.3267817588657246E-2</v>
      </c>
      <c r="CM46" s="247"/>
      <c r="CN46" s="247"/>
      <c r="CO46" s="36"/>
      <c r="CP46" s="496" t="s">
        <v>2268</v>
      </c>
      <c r="CQ46" s="241" t="s">
        <v>272</v>
      </c>
      <c r="CR46" s="241"/>
      <c r="CS46" s="33"/>
      <c r="CT46" s="33" t="s">
        <v>6310</v>
      </c>
      <c r="CU46" s="250">
        <f t="shared" si="17"/>
        <v>0.48099999999999998</v>
      </c>
      <c r="CV46" s="337"/>
      <c r="CW46" s="330">
        <f t="shared" si="18"/>
        <v>0</v>
      </c>
      <c r="CX46" s="330" t="s">
        <v>539</v>
      </c>
      <c r="CY46" s="143" t="s">
        <v>5921</v>
      </c>
    </row>
    <row r="47" spans="1:103" ht="11.25" customHeight="1" x14ac:dyDescent="0.2">
      <c r="A47" s="72">
        <v>1857</v>
      </c>
      <c r="B47" s="241">
        <v>817</v>
      </c>
      <c r="C47" s="32" t="s">
        <v>2325</v>
      </c>
      <c r="D47" s="32"/>
      <c r="E47" s="40"/>
      <c r="F47" s="40" t="s">
        <v>2326</v>
      </c>
      <c r="G47" s="242">
        <v>4016222</v>
      </c>
      <c r="H47" s="36" t="s">
        <v>2327</v>
      </c>
      <c r="I47" s="36" t="s">
        <v>2327</v>
      </c>
      <c r="J47" s="36"/>
      <c r="K47" s="36" t="s">
        <v>357</v>
      </c>
      <c r="L47" s="36"/>
      <c r="M47" s="36"/>
      <c r="N47" s="36"/>
      <c r="O47" s="36"/>
      <c r="P47" s="41"/>
      <c r="Q47" s="41"/>
      <c r="R47" s="41"/>
      <c r="S47" s="41"/>
      <c r="T47" s="37">
        <v>322.45999999999998</v>
      </c>
      <c r="U47" s="243"/>
      <c r="V47" s="243">
        <v>2.759E-2</v>
      </c>
      <c r="W47" s="243"/>
      <c r="X47" s="243">
        <v>2.759E-2</v>
      </c>
      <c r="Y47" s="414"/>
      <c r="Z47" s="37">
        <v>5.23</v>
      </c>
      <c r="AA47" s="37"/>
      <c r="AB47" s="37">
        <v>2.76</v>
      </c>
      <c r="AC47" s="37">
        <v>0.38719999999999999</v>
      </c>
      <c r="AD47" s="37">
        <v>3.77</v>
      </c>
      <c r="AE47" s="37">
        <v>4.4000000000000004</v>
      </c>
      <c r="AF47" s="37">
        <f t="shared" si="12"/>
        <v>3.77</v>
      </c>
      <c r="AG47" s="38">
        <v>3.77</v>
      </c>
      <c r="AH47" s="243">
        <v>8.98E-10</v>
      </c>
      <c r="AI47" s="243"/>
      <c r="AJ47" s="34">
        <f t="shared" si="10"/>
        <v>-7.435289989645347</v>
      </c>
      <c r="AK47" s="34"/>
      <c r="AL47" s="34">
        <f t="shared" si="11"/>
        <v>-7.435289989645347</v>
      </c>
      <c r="AM47" s="34">
        <v>-12.953199999999999</v>
      </c>
      <c r="AN47" s="244"/>
      <c r="AO47" s="417"/>
      <c r="AP47" s="417"/>
      <c r="AQ47" s="244" t="s">
        <v>6311</v>
      </c>
      <c r="AR47" s="244" t="s">
        <v>6312</v>
      </c>
      <c r="AS47" s="241" t="s">
        <v>6</v>
      </c>
      <c r="AT47" s="39" t="s">
        <v>266</v>
      </c>
      <c r="AU47" s="245"/>
      <c r="AV47" s="245">
        <v>0</v>
      </c>
      <c r="AW47" s="37">
        <v>48</v>
      </c>
      <c r="AX47" s="37">
        <v>25</v>
      </c>
      <c r="AY47" s="37" t="s">
        <v>8722</v>
      </c>
      <c r="AZ47" s="37" t="s">
        <v>2263</v>
      </c>
      <c r="BA47" s="37">
        <v>20</v>
      </c>
      <c r="BB47" s="36" t="s">
        <v>1764</v>
      </c>
      <c r="BC47" s="36" t="s">
        <v>2264</v>
      </c>
      <c r="BD47" s="36"/>
      <c r="BE47" s="37" t="s">
        <v>2265</v>
      </c>
      <c r="BF47" s="37" t="s">
        <v>2266</v>
      </c>
      <c r="BG47" s="37" t="s">
        <v>2266</v>
      </c>
      <c r="BH47" s="37" t="s">
        <v>272</v>
      </c>
      <c r="BI47" s="243" t="s">
        <v>8722</v>
      </c>
      <c r="BJ47" s="243" t="s">
        <v>8722</v>
      </c>
      <c r="BK47" s="37" t="s">
        <v>2267</v>
      </c>
      <c r="BL47" s="263">
        <v>0.33282263117311162</v>
      </c>
      <c r="BM47" s="37" t="s">
        <v>1584</v>
      </c>
      <c r="BN47" s="37"/>
      <c r="BO47" s="37">
        <v>5.6</v>
      </c>
      <c r="BP47" s="37"/>
      <c r="BQ47" s="493"/>
      <c r="BR47" s="493"/>
      <c r="BS47" s="37"/>
      <c r="BT47" s="37"/>
      <c r="BU47" s="246"/>
      <c r="BV47" s="37"/>
      <c r="BW47" s="37"/>
      <c r="BX47" s="37"/>
      <c r="BY47" s="37"/>
      <c r="BZ47" s="37"/>
      <c r="CA47" s="37"/>
      <c r="CB47" s="37"/>
      <c r="CC47" s="37"/>
      <c r="CD47" s="37"/>
      <c r="CE47" s="37"/>
      <c r="CF47" s="37"/>
      <c r="CG47" s="37"/>
      <c r="CH47" s="37"/>
      <c r="CI47" s="243">
        <v>5.6</v>
      </c>
      <c r="CJ47" s="243">
        <f t="shared" si="15"/>
        <v>0.74818802700620035</v>
      </c>
      <c r="CK47" s="38"/>
      <c r="CL47" s="247">
        <f t="shared" si="16"/>
        <v>5.9432612709484224E-2</v>
      </c>
      <c r="CM47" s="247"/>
      <c r="CN47" s="247"/>
      <c r="CO47" s="36"/>
      <c r="CP47" s="496" t="s">
        <v>2268</v>
      </c>
      <c r="CQ47" s="241" t="s">
        <v>272</v>
      </c>
      <c r="CR47" s="241"/>
      <c r="CS47" s="33"/>
      <c r="CT47" s="33" t="s">
        <v>6310</v>
      </c>
      <c r="CU47" s="250">
        <f t="shared" si="17"/>
        <v>4.9267857142857143E-3</v>
      </c>
      <c r="CV47" s="337"/>
      <c r="CW47" s="330">
        <f t="shared" si="18"/>
        <v>0</v>
      </c>
      <c r="CX47" s="330" t="s">
        <v>539</v>
      </c>
      <c r="CY47" s="143" t="s">
        <v>5921</v>
      </c>
    </row>
    <row r="48" spans="1:103" ht="11.25" customHeight="1" x14ac:dyDescent="0.2">
      <c r="A48" s="72">
        <v>1869</v>
      </c>
      <c r="B48" s="241">
        <v>825</v>
      </c>
      <c r="C48" s="32" t="s">
        <v>2344</v>
      </c>
      <c r="D48" s="32" t="s">
        <v>8643</v>
      </c>
      <c r="E48" s="40"/>
      <c r="F48" s="40" t="s">
        <v>2345</v>
      </c>
      <c r="G48" s="242">
        <v>8001545</v>
      </c>
      <c r="H48" s="36" t="s">
        <v>2346</v>
      </c>
      <c r="I48" s="36" t="s">
        <v>8248</v>
      </c>
      <c r="J48" s="36"/>
      <c r="K48" s="36" t="s">
        <v>426</v>
      </c>
      <c r="L48" s="36" t="s">
        <v>5492</v>
      </c>
      <c r="M48" s="36" t="s">
        <v>526</v>
      </c>
      <c r="N48" s="36" t="s">
        <v>526</v>
      </c>
      <c r="O48" s="36"/>
      <c r="P48" s="41"/>
      <c r="Q48" s="41"/>
      <c r="R48" s="41"/>
      <c r="S48" s="41"/>
      <c r="T48" s="37">
        <v>340</v>
      </c>
      <c r="U48" s="243"/>
      <c r="V48" s="243">
        <v>22.47</v>
      </c>
      <c r="W48" s="243">
        <v>85404.138671325723</v>
      </c>
      <c r="X48" s="243">
        <v>85404.138671325723</v>
      </c>
      <c r="Y48" s="414">
        <v>7</v>
      </c>
      <c r="Z48" s="37">
        <v>2.93</v>
      </c>
      <c r="AA48" s="37"/>
      <c r="AB48" s="37">
        <v>2.88</v>
      </c>
      <c r="AC48" s="37">
        <v>0.71089999999999998</v>
      </c>
      <c r="AD48" s="37">
        <v>2.4300000000000002</v>
      </c>
      <c r="AE48" s="37">
        <v>1.69</v>
      </c>
      <c r="AF48" s="37">
        <f t="shared" si="12"/>
        <v>2.4300000000000002</v>
      </c>
      <c r="AG48" s="38">
        <v>2.4300000000000002</v>
      </c>
      <c r="AH48" s="243">
        <v>7.6100000000000001E-12</v>
      </c>
      <c r="AI48" s="243"/>
      <c r="AJ48" s="34">
        <f t="shared" si="10"/>
        <v>-9.5071816695420797</v>
      </c>
      <c r="AK48" s="34"/>
      <c r="AL48" s="34">
        <f t="shared" si="11"/>
        <v>-9.5071816695420797</v>
      </c>
      <c r="AM48" s="34">
        <v>-3.6910100000000003</v>
      </c>
      <c r="AN48" s="244"/>
      <c r="AO48" s="417"/>
      <c r="AP48" s="417"/>
      <c r="AQ48" s="37" t="s">
        <v>6311</v>
      </c>
      <c r="AR48" s="37" t="s">
        <v>6311</v>
      </c>
      <c r="AS48" s="241" t="s">
        <v>1154</v>
      </c>
      <c r="AT48" s="39" t="s">
        <v>266</v>
      </c>
      <c r="AU48" s="245"/>
      <c r="AV48" s="245">
        <v>0</v>
      </c>
      <c r="AW48" s="37">
        <v>48</v>
      </c>
      <c r="AX48" s="37">
        <v>25</v>
      </c>
      <c r="AY48" s="37" t="s">
        <v>8722</v>
      </c>
      <c r="AZ48" s="37" t="s">
        <v>2263</v>
      </c>
      <c r="BA48" s="37">
        <v>20</v>
      </c>
      <c r="BB48" s="36" t="s">
        <v>1764</v>
      </c>
      <c r="BC48" s="36" t="s">
        <v>2264</v>
      </c>
      <c r="BD48" s="36"/>
      <c r="BE48" s="37" t="s">
        <v>2265</v>
      </c>
      <c r="BF48" s="37" t="s">
        <v>2266</v>
      </c>
      <c r="BG48" s="37" t="s">
        <v>2266</v>
      </c>
      <c r="BH48" s="37" t="s">
        <v>272</v>
      </c>
      <c r="BI48" s="243" t="s">
        <v>8722</v>
      </c>
      <c r="BJ48" s="243" t="s">
        <v>8722</v>
      </c>
      <c r="BK48" s="37" t="s">
        <v>2267</v>
      </c>
      <c r="BL48" s="263">
        <v>40.817454475191546</v>
      </c>
      <c r="BM48" s="37" t="s">
        <v>1584</v>
      </c>
      <c r="BN48" s="37"/>
      <c r="BO48" s="37">
        <v>0.97000000000000008</v>
      </c>
      <c r="BP48" s="37"/>
      <c r="BQ48" s="37"/>
      <c r="BR48" s="37"/>
      <c r="BS48" s="37"/>
      <c r="BT48" s="37"/>
      <c r="BU48" s="246"/>
      <c r="BV48" s="37"/>
      <c r="BW48" s="37"/>
      <c r="BX48" s="37"/>
      <c r="BY48" s="37"/>
      <c r="BZ48" s="37"/>
      <c r="CA48" s="37"/>
      <c r="CB48" s="37"/>
      <c r="CC48" s="37"/>
      <c r="CD48" s="37"/>
      <c r="CE48" s="37"/>
      <c r="CF48" s="37"/>
      <c r="CG48" s="37"/>
      <c r="CH48" s="37"/>
      <c r="CI48" s="243">
        <v>0.97000000000000008</v>
      </c>
      <c r="CJ48" s="243">
        <f t="shared" si="15"/>
        <v>-1.322826573375511E-2</v>
      </c>
      <c r="CK48" s="38"/>
      <c r="CL48" s="247">
        <f t="shared" si="16"/>
        <v>42.07984997442427</v>
      </c>
      <c r="CM48" s="247"/>
      <c r="CN48" s="247"/>
      <c r="CO48" s="36"/>
      <c r="CP48" s="496" t="s">
        <v>2268</v>
      </c>
      <c r="CQ48" s="241">
        <v>-0.21707609066324113</v>
      </c>
      <c r="CR48" s="241">
        <f>10^(CJ48-CQ48)</f>
        <v>1.5989976479847836</v>
      </c>
      <c r="CS48" s="33"/>
      <c r="CT48" s="33" t="s">
        <v>6310</v>
      </c>
      <c r="CU48" s="250">
        <f t="shared" si="17"/>
        <v>88045.503784871878</v>
      </c>
      <c r="CV48" s="337"/>
      <c r="CW48" s="330">
        <f t="shared" si="18"/>
        <v>1</v>
      </c>
      <c r="CX48" s="330" t="s">
        <v>539</v>
      </c>
      <c r="CY48" s="143" t="s">
        <v>5921</v>
      </c>
    </row>
    <row r="49" spans="1:103" ht="11.25" customHeight="1" x14ac:dyDescent="0.2">
      <c r="A49" s="72">
        <v>1922</v>
      </c>
      <c r="B49" s="241">
        <v>833</v>
      </c>
      <c r="C49" s="32" t="s">
        <v>2386</v>
      </c>
      <c r="D49" s="32" t="s">
        <v>8673</v>
      </c>
      <c r="E49" s="40"/>
      <c r="F49" s="40" t="s">
        <v>2387</v>
      </c>
      <c r="G49" s="242">
        <v>61711259</v>
      </c>
      <c r="H49" s="36"/>
      <c r="I49" s="36"/>
      <c r="J49" s="36"/>
      <c r="K49" s="36"/>
      <c r="L49" s="36"/>
      <c r="M49" s="36" t="s">
        <v>8541</v>
      </c>
      <c r="N49" s="36" t="s">
        <v>2342</v>
      </c>
      <c r="O49" s="36"/>
      <c r="P49" s="41"/>
      <c r="Q49" s="41" t="s">
        <v>8537</v>
      </c>
      <c r="R49" s="41"/>
      <c r="S49" s="41" t="s">
        <v>8537</v>
      </c>
      <c r="T49" s="37" t="s">
        <v>404</v>
      </c>
      <c r="U49" s="243"/>
      <c r="V49" s="243"/>
      <c r="W49" s="243"/>
      <c r="X49" s="243"/>
      <c r="Y49" s="414"/>
      <c r="Z49" s="37"/>
      <c r="AA49" s="37"/>
      <c r="AB49" s="37"/>
      <c r="AC49" s="37"/>
      <c r="AD49" s="37"/>
      <c r="AE49" s="37"/>
      <c r="AF49" s="37"/>
      <c r="AG49" s="38" t="s">
        <v>5921</v>
      </c>
      <c r="AH49" s="243"/>
      <c r="AI49" s="243"/>
      <c r="AJ49" s="34"/>
      <c r="AK49" s="34"/>
      <c r="AL49" s="34"/>
      <c r="AM49" s="34"/>
      <c r="AN49" s="244"/>
      <c r="AO49" s="417"/>
      <c r="AP49" s="417"/>
      <c r="AQ49" s="37" t="s">
        <v>6317</v>
      </c>
      <c r="AR49" s="37" t="s">
        <v>6317</v>
      </c>
      <c r="AS49" s="241" t="s">
        <v>6</v>
      </c>
      <c r="AT49" s="39" t="s">
        <v>266</v>
      </c>
      <c r="AU49" s="245"/>
      <c r="AV49" s="245">
        <v>0</v>
      </c>
      <c r="AW49" s="37">
        <v>48</v>
      </c>
      <c r="AX49" s="37">
        <v>25</v>
      </c>
      <c r="AY49" s="37" t="s">
        <v>8722</v>
      </c>
      <c r="AZ49" s="37" t="s">
        <v>2263</v>
      </c>
      <c r="BA49" s="37">
        <v>20</v>
      </c>
      <c r="BB49" s="36" t="s">
        <v>1764</v>
      </c>
      <c r="BC49" s="36" t="s">
        <v>2264</v>
      </c>
      <c r="BD49" s="36"/>
      <c r="BE49" s="37" t="s">
        <v>2265</v>
      </c>
      <c r="BF49" s="37" t="s">
        <v>2266</v>
      </c>
      <c r="BG49" s="37" t="s">
        <v>2266</v>
      </c>
      <c r="BH49" s="37" t="s">
        <v>272</v>
      </c>
      <c r="BI49" s="243" t="s">
        <v>8722</v>
      </c>
      <c r="BJ49" s="243" t="s">
        <v>8722</v>
      </c>
      <c r="BK49" s="37" t="s">
        <v>2267</v>
      </c>
      <c r="BL49" s="263"/>
      <c r="BM49" s="37" t="s">
        <v>1584</v>
      </c>
      <c r="BN49" s="37"/>
      <c r="BO49" s="37" t="e">
        <v>#VALUE!</v>
      </c>
      <c r="BP49" s="37"/>
      <c r="BQ49" s="37"/>
      <c r="BR49" s="37"/>
      <c r="BS49" s="37"/>
      <c r="BT49" s="37"/>
      <c r="BU49" s="246"/>
      <c r="BV49" s="37"/>
      <c r="BW49" s="37"/>
      <c r="BX49" s="37"/>
      <c r="BY49" s="37"/>
      <c r="BZ49" s="37"/>
      <c r="CA49" s="37"/>
      <c r="CB49" s="37"/>
      <c r="CC49" s="37"/>
      <c r="CD49" s="37"/>
      <c r="CE49" s="37"/>
      <c r="CF49" s="37"/>
      <c r="CG49" s="493"/>
      <c r="CH49" s="37"/>
      <c r="CI49" s="243"/>
      <c r="CJ49" s="243"/>
      <c r="CK49" s="38"/>
      <c r="CL49" s="247"/>
      <c r="CM49" s="247"/>
      <c r="CN49" s="247"/>
      <c r="CO49" s="36"/>
      <c r="CP49" s="496" t="s">
        <v>2268</v>
      </c>
      <c r="CQ49" s="241">
        <v>-0.22432031171149988</v>
      </c>
      <c r="CR49" s="241">
        <f>10^(CJ49-CQ49)</f>
        <v>1.6761786773965799</v>
      </c>
      <c r="CS49" s="33"/>
      <c r="CT49" s="33" t="s">
        <v>6310</v>
      </c>
      <c r="CU49" s="250" t="s">
        <v>6310</v>
      </c>
      <c r="CV49" s="337" t="s">
        <v>6310</v>
      </c>
      <c r="CW49" s="330">
        <f>IF(CV49&lt;1,0,1)</f>
        <v>1</v>
      </c>
      <c r="CX49" s="330" t="s">
        <v>539</v>
      </c>
      <c r="CY49" s="143" t="s">
        <v>5921</v>
      </c>
    </row>
    <row r="50" spans="1:103" ht="11.25" customHeight="1" x14ac:dyDescent="0.2">
      <c r="A50" s="72">
        <v>1923</v>
      </c>
      <c r="B50" s="241">
        <v>834</v>
      </c>
      <c r="C50" s="32" t="s">
        <v>2389</v>
      </c>
      <c r="D50" s="32"/>
      <c r="E50" s="40"/>
      <c r="F50" s="40" t="s">
        <v>2390</v>
      </c>
      <c r="G50" s="242">
        <v>61791660</v>
      </c>
      <c r="H50" s="36"/>
      <c r="I50" s="36"/>
      <c r="J50" s="36"/>
      <c r="K50" s="36"/>
      <c r="L50" s="36"/>
      <c r="M50" s="36"/>
      <c r="N50" s="36"/>
      <c r="O50" s="36"/>
      <c r="P50" s="41"/>
      <c r="Q50" s="41"/>
      <c r="R50" s="41"/>
      <c r="S50" s="41"/>
      <c r="T50" s="37" t="s">
        <v>404</v>
      </c>
      <c r="U50" s="243"/>
      <c r="V50" s="243"/>
      <c r="W50" s="243"/>
      <c r="X50" s="243"/>
      <c r="Y50" s="414"/>
      <c r="Z50" s="37"/>
      <c r="AA50" s="37"/>
      <c r="AB50" s="37"/>
      <c r="AC50" s="37"/>
      <c r="AD50" s="37"/>
      <c r="AE50" s="37"/>
      <c r="AF50" s="37"/>
      <c r="AG50" s="38" t="s">
        <v>5921</v>
      </c>
      <c r="AH50" s="243"/>
      <c r="AI50" s="243"/>
      <c r="AJ50" s="34"/>
      <c r="AK50" s="34"/>
      <c r="AL50" s="34"/>
      <c r="AM50" s="34"/>
      <c r="AN50" s="244"/>
      <c r="AO50" s="417"/>
      <c r="AP50" s="417"/>
      <c r="AQ50" s="37" t="s">
        <v>6317</v>
      </c>
      <c r="AR50" s="37" t="s">
        <v>6317</v>
      </c>
      <c r="AS50" s="241" t="s">
        <v>6</v>
      </c>
      <c r="AT50" s="39" t="s">
        <v>266</v>
      </c>
      <c r="AU50" s="245"/>
      <c r="AV50" s="245">
        <v>0</v>
      </c>
      <c r="AW50" s="37">
        <v>48</v>
      </c>
      <c r="AX50" s="37">
        <v>25</v>
      </c>
      <c r="AY50" s="37" t="s">
        <v>8722</v>
      </c>
      <c r="AZ50" s="37" t="s">
        <v>2263</v>
      </c>
      <c r="BA50" s="37">
        <v>20</v>
      </c>
      <c r="BB50" s="36" t="s">
        <v>1764</v>
      </c>
      <c r="BC50" s="36" t="s">
        <v>2264</v>
      </c>
      <c r="BD50" s="36"/>
      <c r="BE50" s="37" t="s">
        <v>2265</v>
      </c>
      <c r="BF50" s="37" t="s">
        <v>2266</v>
      </c>
      <c r="BG50" s="37" t="s">
        <v>2266</v>
      </c>
      <c r="BH50" s="37" t="s">
        <v>272</v>
      </c>
      <c r="BI50" s="243" t="s">
        <v>8722</v>
      </c>
      <c r="BJ50" s="243" t="s">
        <v>8722</v>
      </c>
      <c r="BK50" s="37" t="s">
        <v>2267</v>
      </c>
      <c r="BL50" s="263"/>
      <c r="BM50" s="37" t="s">
        <v>1584</v>
      </c>
      <c r="BN50" s="37"/>
      <c r="BO50" s="37" t="e">
        <v>#VALUE!</v>
      </c>
      <c r="BP50" s="37"/>
      <c r="BQ50" s="37"/>
      <c r="BR50" s="37"/>
      <c r="BS50" s="37"/>
      <c r="BT50" s="37"/>
      <c r="BU50" s="246"/>
      <c r="BV50" s="37"/>
      <c r="BW50" s="37"/>
      <c r="BX50" s="37"/>
      <c r="BY50" s="37"/>
      <c r="BZ50" s="37"/>
      <c r="CA50" s="37"/>
      <c r="CB50" s="37"/>
      <c r="CC50" s="37"/>
      <c r="CD50" s="37"/>
      <c r="CE50" s="37"/>
      <c r="CF50" s="37"/>
      <c r="CG50" s="37"/>
      <c r="CH50" s="37"/>
      <c r="CI50" s="243"/>
      <c r="CJ50" s="243"/>
      <c r="CK50" s="38"/>
      <c r="CL50" s="247"/>
      <c r="CM50" s="247"/>
      <c r="CN50" s="247"/>
      <c r="CO50" s="36"/>
      <c r="CP50" s="496" t="s">
        <v>2268</v>
      </c>
      <c r="CQ50" s="241" t="s">
        <v>272</v>
      </c>
      <c r="CR50" s="241"/>
      <c r="CS50" s="33"/>
      <c r="CT50" s="33" t="s">
        <v>6310</v>
      </c>
      <c r="CU50" s="250" t="s">
        <v>6310</v>
      </c>
      <c r="CV50" s="337" t="s">
        <v>6310</v>
      </c>
      <c r="CW50" s="330">
        <f>IF(CV50&lt;1,0,1)</f>
        <v>1</v>
      </c>
      <c r="CX50" s="330" t="s">
        <v>539</v>
      </c>
      <c r="CY50" s="143" t="s">
        <v>5921</v>
      </c>
    </row>
    <row r="51" spans="1:103" ht="11.25" customHeight="1" x14ac:dyDescent="0.2">
      <c r="A51" s="72">
        <v>1928</v>
      </c>
      <c r="B51" s="241">
        <v>836</v>
      </c>
      <c r="C51" s="32" t="s">
        <v>2395</v>
      </c>
      <c r="D51" s="32" t="s">
        <v>8674</v>
      </c>
      <c r="E51" s="40"/>
      <c r="F51" s="40" t="s">
        <v>2396</v>
      </c>
      <c r="G51" s="242">
        <v>66455149</v>
      </c>
      <c r="H51" s="36" t="s">
        <v>2397</v>
      </c>
      <c r="I51" s="36" t="s">
        <v>2397</v>
      </c>
      <c r="J51" s="36"/>
      <c r="K51" s="36" t="s">
        <v>426</v>
      </c>
      <c r="L51" s="36" t="s">
        <v>5527</v>
      </c>
      <c r="M51" s="36" t="s">
        <v>526</v>
      </c>
      <c r="N51" s="36" t="s">
        <v>2342</v>
      </c>
      <c r="O51" s="36" t="s">
        <v>2398</v>
      </c>
      <c r="P51" s="41"/>
      <c r="Q51" s="41"/>
      <c r="R51" s="41"/>
      <c r="S51" s="41"/>
      <c r="T51" s="37">
        <v>214.39</v>
      </c>
      <c r="U51" s="243"/>
      <c r="V51" s="243">
        <v>0.29949999999999999</v>
      </c>
      <c r="W51" s="243"/>
      <c r="X51" s="243">
        <v>0.29949999999999999</v>
      </c>
      <c r="Y51" s="414"/>
      <c r="Z51" s="37">
        <v>5.96</v>
      </c>
      <c r="AA51" s="37"/>
      <c r="AB51" s="37">
        <v>6.07</v>
      </c>
      <c r="AC51" s="37">
        <v>0.8216</v>
      </c>
      <c r="AD51" s="37">
        <v>6.13</v>
      </c>
      <c r="AE51" s="37">
        <v>6.29</v>
      </c>
      <c r="AF51" s="37">
        <f>IF(AA51=0,AD51,AA51)</f>
        <v>6.13</v>
      </c>
      <c r="AG51" s="38">
        <v>6.13</v>
      </c>
      <c r="AH51" s="243">
        <v>2.58E-2</v>
      </c>
      <c r="AI51" s="243"/>
      <c r="AJ51" s="34">
        <f>LOG10(AH51*1000/(0.08206*298.15))</f>
        <v>2.3053379650578385E-2</v>
      </c>
      <c r="AK51" s="34"/>
      <c r="AL51" s="34">
        <f>IF(AK51=0,AJ51,AK51)</f>
        <v>2.3053379650578385E-2</v>
      </c>
      <c r="AM51" s="34">
        <v>-2.6394800000000003</v>
      </c>
      <c r="AN51" s="244"/>
      <c r="AO51" s="417"/>
      <c r="AP51" s="417"/>
      <c r="AQ51" s="37" t="s">
        <v>6311</v>
      </c>
      <c r="AR51" s="37" t="s">
        <v>6311</v>
      </c>
      <c r="AS51" s="241" t="s">
        <v>6</v>
      </c>
      <c r="AT51" s="39" t="s">
        <v>266</v>
      </c>
      <c r="AU51" s="245">
        <v>0</v>
      </c>
      <c r="AV51" s="37">
        <v>48</v>
      </c>
      <c r="AW51" s="37">
        <v>48</v>
      </c>
      <c r="AX51" s="37">
        <v>25</v>
      </c>
      <c r="AY51" s="37" t="s">
        <v>8722</v>
      </c>
      <c r="AZ51" s="37" t="s">
        <v>2263</v>
      </c>
      <c r="BA51" s="37">
        <v>20</v>
      </c>
      <c r="BB51" s="36" t="s">
        <v>1764</v>
      </c>
      <c r="BC51" s="36" t="s">
        <v>2264</v>
      </c>
      <c r="BD51" s="36"/>
      <c r="BE51" s="37" t="s">
        <v>2265</v>
      </c>
      <c r="BF51" s="37" t="s">
        <v>2266</v>
      </c>
      <c r="BG51" s="37" t="s">
        <v>2266</v>
      </c>
      <c r="BH51" s="37" t="s">
        <v>272</v>
      </c>
      <c r="BI51" s="243" t="s">
        <v>8722</v>
      </c>
      <c r="BJ51" s="243" t="s">
        <v>8722</v>
      </c>
      <c r="BK51" s="37" t="s">
        <v>2267</v>
      </c>
      <c r="BL51" s="263">
        <v>4.8902214275694904E-2</v>
      </c>
      <c r="BM51" s="37" t="s">
        <v>1584</v>
      </c>
      <c r="BN51" s="37"/>
      <c r="BO51" s="37"/>
      <c r="BP51" s="37">
        <v>2.4</v>
      </c>
      <c r="BQ51" s="37"/>
      <c r="BR51" s="37"/>
      <c r="BS51" s="37"/>
      <c r="BT51" s="37"/>
      <c r="BU51" s="246"/>
      <c r="BV51" s="37"/>
      <c r="BW51" s="37"/>
      <c r="BX51" s="37"/>
      <c r="BY51" s="37"/>
      <c r="BZ51" s="37"/>
      <c r="CA51" s="37"/>
      <c r="CB51" s="37"/>
      <c r="CC51" s="37"/>
      <c r="CD51" s="37"/>
      <c r="CE51" s="37"/>
      <c r="CF51" s="37"/>
      <c r="CG51" s="37"/>
      <c r="CH51" s="37"/>
      <c r="CI51" s="243">
        <v>2.4</v>
      </c>
      <c r="CJ51" s="243">
        <f>LOG10(CI51)</f>
        <v>0.38021124171160603</v>
      </c>
      <c r="CK51" s="38"/>
      <c r="CL51" s="247">
        <f>BL51/CI51</f>
        <v>2.0375922614872876E-2</v>
      </c>
      <c r="CM51" s="247"/>
      <c r="CN51" s="247"/>
      <c r="CO51" s="36"/>
      <c r="CP51" s="496" t="s">
        <v>2268</v>
      </c>
      <c r="CQ51" s="241">
        <v>1.0170333392987803</v>
      </c>
      <c r="CR51" s="241">
        <f>10^(CJ51-CQ51)</f>
        <v>0.23076923076923078</v>
      </c>
      <c r="CS51" s="33"/>
      <c r="CT51" s="33" t="s">
        <v>6310</v>
      </c>
      <c r="CU51" s="250">
        <f>X51/CI51</f>
        <v>0.12479166666666666</v>
      </c>
      <c r="CV51" s="337"/>
      <c r="CW51" s="330">
        <f>IF(CU51&lt;2,0,1)</f>
        <v>0</v>
      </c>
      <c r="CX51" s="330" t="s">
        <v>539</v>
      </c>
      <c r="CY51" s="143" t="s">
        <v>6351</v>
      </c>
    </row>
    <row r="52" spans="1:103" ht="11.25" customHeight="1" x14ac:dyDescent="0.2">
      <c r="A52" s="72">
        <v>1930</v>
      </c>
      <c r="B52" s="241">
        <v>837</v>
      </c>
      <c r="C52" s="32" t="s">
        <v>2399</v>
      </c>
      <c r="D52" s="32"/>
      <c r="E52" s="40"/>
      <c r="F52" s="40" t="s">
        <v>2400</v>
      </c>
      <c r="G52" s="242">
        <v>68007971</v>
      </c>
      <c r="H52" s="36"/>
      <c r="I52" s="36"/>
      <c r="J52" s="36"/>
      <c r="K52" s="36"/>
      <c r="L52" s="36"/>
      <c r="M52" s="36"/>
      <c r="N52" s="36"/>
      <c r="O52" s="36"/>
      <c r="P52" s="41"/>
      <c r="Q52" s="41"/>
      <c r="R52" s="41"/>
      <c r="S52" s="41"/>
      <c r="T52" s="37" t="s">
        <v>404</v>
      </c>
      <c r="U52" s="243"/>
      <c r="V52" s="243"/>
      <c r="W52" s="243"/>
      <c r="X52" s="243"/>
      <c r="Y52" s="414"/>
      <c r="Z52" s="37"/>
      <c r="AA52" s="37"/>
      <c r="AB52" s="37"/>
      <c r="AC52" s="37"/>
      <c r="AD52" s="37"/>
      <c r="AE52" s="37"/>
      <c r="AF52" s="37"/>
      <c r="AG52" s="38" t="s">
        <v>5921</v>
      </c>
      <c r="AH52" s="243"/>
      <c r="AI52" s="243"/>
      <c r="AJ52" s="34"/>
      <c r="AK52" s="34"/>
      <c r="AL52" s="34"/>
      <c r="AM52" s="34"/>
      <c r="AN52" s="244"/>
      <c r="AO52" s="417"/>
      <c r="AP52" s="417"/>
      <c r="AQ52" s="37" t="s">
        <v>5921</v>
      </c>
      <c r="AR52" s="37" t="s">
        <v>5921</v>
      </c>
      <c r="AS52" s="241"/>
      <c r="AT52" s="39" t="s">
        <v>266</v>
      </c>
      <c r="AU52" s="245">
        <v>0</v>
      </c>
      <c r="AV52" s="245">
        <v>48</v>
      </c>
      <c r="AW52" s="37">
        <v>48</v>
      </c>
      <c r="AX52" s="37">
        <v>25</v>
      </c>
      <c r="AY52" s="37" t="s">
        <v>8722</v>
      </c>
      <c r="AZ52" s="37" t="s">
        <v>2263</v>
      </c>
      <c r="BA52" s="37">
        <v>20</v>
      </c>
      <c r="BB52" s="36" t="s">
        <v>1764</v>
      </c>
      <c r="BC52" s="36" t="s">
        <v>2264</v>
      </c>
      <c r="BD52" s="36"/>
      <c r="BE52" s="37" t="s">
        <v>2265</v>
      </c>
      <c r="BF52" s="37" t="s">
        <v>2266</v>
      </c>
      <c r="BG52" s="37" t="s">
        <v>2266</v>
      </c>
      <c r="BH52" s="37" t="s">
        <v>272</v>
      </c>
      <c r="BI52" s="243" t="s">
        <v>8722</v>
      </c>
      <c r="BJ52" s="243" t="s">
        <v>8722</v>
      </c>
      <c r="BK52" s="37" t="s">
        <v>2267</v>
      </c>
      <c r="BL52" s="263"/>
      <c r="BM52" s="37" t="s">
        <v>1584</v>
      </c>
      <c r="BN52" s="37"/>
      <c r="BO52" s="37"/>
      <c r="BP52" s="37" t="e">
        <v>#VALUE!</v>
      </c>
      <c r="BQ52" s="37"/>
      <c r="BR52" s="37"/>
      <c r="BS52" s="37"/>
      <c r="BT52" s="37"/>
      <c r="BU52" s="246"/>
      <c r="BV52" s="37"/>
      <c r="BW52" s="37"/>
      <c r="BX52" s="37"/>
      <c r="BY52" s="37"/>
      <c r="BZ52" s="37"/>
      <c r="CA52" s="37"/>
      <c r="CB52" s="37"/>
      <c r="CC52" s="37"/>
      <c r="CD52" s="37"/>
      <c r="CE52" s="37"/>
      <c r="CF52" s="37"/>
      <c r="CG52" s="37"/>
      <c r="CH52" s="37"/>
      <c r="CI52" s="243"/>
      <c r="CJ52" s="243"/>
      <c r="CK52" s="38"/>
      <c r="CL52" s="247"/>
      <c r="CM52" s="247"/>
      <c r="CN52" s="247"/>
      <c r="CO52" s="36"/>
      <c r="CP52" s="496" t="s">
        <v>2268</v>
      </c>
      <c r="CQ52" s="241">
        <v>-0.14266750356873156</v>
      </c>
      <c r="CR52" s="241">
        <f>10^(CJ52-CQ52)</f>
        <v>1.3888888888888891</v>
      </c>
      <c r="CS52" s="33"/>
      <c r="CT52" s="33" t="s">
        <v>6310</v>
      </c>
      <c r="CU52" s="250" t="s">
        <v>6310</v>
      </c>
      <c r="CV52" s="337" t="s">
        <v>6310</v>
      </c>
      <c r="CW52" s="330">
        <f>IF(CU52&lt;2,0,1)</f>
        <v>1</v>
      </c>
      <c r="CX52" s="330" t="s">
        <v>539</v>
      </c>
      <c r="CY52" s="143" t="s">
        <v>5921</v>
      </c>
    </row>
    <row r="53" spans="1:103" ht="11.25" customHeight="1" x14ac:dyDescent="0.2">
      <c r="A53" s="72">
        <v>1931</v>
      </c>
      <c r="B53" s="241">
        <v>838</v>
      </c>
      <c r="C53" s="32" t="s">
        <v>2402</v>
      </c>
      <c r="D53" s="32"/>
      <c r="E53" s="40"/>
      <c r="F53" s="40" t="s">
        <v>2403</v>
      </c>
      <c r="G53" s="242">
        <v>68411303</v>
      </c>
      <c r="H53" s="36" t="s">
        <v>2404</v>
      </c>
      <c r="I53" s="36" t="s">
        <v>2404</v>
      </c>
      <c r="J53" s="36"/>
      <c r="K53" s="36" t="s">
        <v>426</v>
      </c>
      <c r="L53" s="36"/>
      <c r="M53" s="36"/>
      <c r="N53" s="36"/>
      <c r="O53" s="36"/>
      <c r="P53" s="41"/>
      <c r="Q53" s="41"/>
      <c r="R53" s="41"/>
      <c r="S53" s="41"/>
      <c r="T53" s="37">
        <v>298.44</v>
      </c>
      <c r="U53" s="243"/>
      <c r="V53" s="243">
        <v>7.0979999999999999</v>
      </c>
      <c r="W53" s="243"/>
      <c r="X53" s="243">
        <v>7.0979999999999999</v>
      </c>
      <c r="Y53" s="414"/>
      <c r="Z53" s="37">
        <v>3.8</v>
      </c>
      <c r="AA53" s="37"/>
      <c r="AB53" s="37">
        <v>3.61</v>
      </c>
      <c r="AC53" s="37">
        <v>0.43240000000000001</v>
      </c>
      <c r="AD53" s="37">
        <v>4.91</v>
      </c>
      <c r="AE53" s="37">
        <v>5.71</v>
      </c>
      <c r="AF53" s="37">
        <f>IF(AA53=0,AD53,AA53)</f>
        <v>4.91</v>
      </c>
      <c r="AG53" s="38">
        <v>4.91</v>
      </c>
      <c r="AH53" s="243">
        <v>3.5600000000000001E-8</v>
      </c>
      <c r="AI53" s="243"/>
      <c r="AJ53" s="34">
        <f>LOG10(AH53*1000/(0.08206*298.15))</f>
        <v>-5.8371163283397767</v>
      </c>
      <c r="AK53" s="34"/>
      <c r="AL53" s="34">
        <f>IF(AK53=0,AJ53,AK53)</f>
        <v>-5.8371163283397767</v>
      </c>
      <c r="AM53" s="34">
        <v>-12.031140000000001</v>
      </c>
      <c r="AN53" s="244"/>
      <c r="AO53" s="417"/>
      <c r="AP53" s="417"/>
      <c r="AQ53" s="37" t="s">
        <v>6311</v>
      </c>
      <c r="AR53" s="37" t="s">
        <v>6311</v>
      </c>
      <c r="AS53" s="241" t="s">
        <v>1154</v>
      </c>
      <c r="AT53" s="39" t="s">
        <v>266</v>
      </c>
      <c r="AU53" s="245">
        <v>0</v>
      </c>
      <c r="AV53" s="37">
        <v>48</v>
      </c>
      <c r="AW53" s="37">
        <v>48</v>
      </c>
      <c r="AX53" s="37">
        <v>25</v>
      </c>
      <c r="AY53" s="37" t="s">
        <v>8722</v>
      </c>
      <c r="AZ53" s="37" t="s">
        <v>2263</v>
      </c>
      <c r="BA53" s="37">
        <v>20</v>
      </c>
      <c r="BB53" s="36" t="s">
        <v>1764</v>
      </c>
      <c r="BC53" s="36" t="s">
        <v>2264</v>
      </c>
      <c r="BD53" s="36"/>
      <c r="BE53" s="37" t="s">
        <v>2265</v>
      </c>
      <c r="BF53" s="37" t="s">
        <v>2266</v>
      </c>
      <c r="BG53" s="37" t="s">
        <v>2266</v>
      </c>
      <c r="BH53" s="37" t="s">
        <v>272</v>
      </c>
      <c r="BI53" s="243" t="s">
        <v>8722</v>
      </c>
      <c r="BJ53" s="243" t="s">
        <v>8722</v>
      </c>
      <c r="BK53" s="37" t="s">
        <v>2267</v>
      </c>
      <c r="BL53" s="263">
        <v>5.927574639976033</v>
      </c>
      <c r="BM53" s="37" t="s">
        <v>1584</v>
      </c>
      <c r="BN53" s="37"/>
      <c r="BO53" s="37"/>
      <c r="BP53" s="37">
        <v>5.8</v>
      </c>
      <c r="BQ53" s="37"/>
      <c r="BR53" s="37"/>
      <c r="BS53" s="37"/>
      <c r="BT53" s="37"/>
      <c r="BU53" s="246"/>
      <c r="BV53" s="37"/>
      <c r="BW53" s="37"/>
      <c r="BX53" s="37"/>
      <c r="BY53" s="37"/>
      <c r="BZ53" s="37"/>
      <c r="CA53" s="37"/>
      <c r="CB53" s="37"/>
      <c r="CC53" s="37"/>
      <c r="CD53" s="37"/>
      <c r="CE53" s="37"/>
      <c r="CF53" s="37"/>
      <c r="CG53" s="37"/>
      <c r="CH53" s="37"/>
      <c r="CI53" s="243">
        <v>5.8</v>
      </c>
      <c r="CJ53" s="243">
        <f>LOG10(CI53)</f>
        <v>0.76342799356293722</v>
      </c>
      <c r="CK53" s="38"/>
      <c r="CL53" s="247">
        <f>BL53/CI53</f>
        <v>1.0219956275820747</v>
      </c>
      <c r="CM53" s="247"/>
      <c r="CN53" s="247"/>
      <c r="CO53" s="36"/>
      <c r="CP53" s="496" t="s">
        <v>2268</v>
      </c>
      <c r="CQ53" s="241">
        <v>0.70757017609793638</v>
      </c>
      <c r="CR53" s="241">
        <f>10^(CJ53-CQ53)</f>
        <v>1.137254901960784</v>
      </c>
      <c r="CS53" s="33"/>
      <c r="CT53" s="33" t="s">
        <v>6310</v>
      </c>
      <c r="CU53" s="250">
        <f>X53/CI53</f>
        <v>1.2237931034482759</v>
      </c>
      <c r="CV53" s="337"/>
      <c r="CW53" s="330">
        <f>IF(CU53&lt;2,0,1)</f>
        <v>0</v>
      </c>
      <c r="CX53" s="330" t="s">
        <v>539</v>
      </c>
      <c r="CY53" s="143" t="s">
        <v>6351</v>
      </c>
    </row>
    <row r="54" spans="1:103" ht="11.25" customHeight="1" x14ac:dyDescent="0.2">
      <c r="A54" s="72">
        <v>1932</v>
      </c>
      <c r="B54" s="241">
        <v>839</v>
      </c>
      <c r="C54" s="32" t="s">
        <v>2405</v>
      </c>
      <c r="D54" s="32"/>
      <c r="E54" s="40"/>
      <c r="F54" s="40" t="s">
        <v>2406</v>
      </c>
      <c r="G54" s="242">
        <v>68439509</v>
      </c>
      <c r="H54" s="36" t="s">
        <v>2397</v>
      </c>
      <c r="I54" s="36" t="s">
        <v>2397</v>
      </c>
      <c r="J54" s="36"/>
      <c r="K54" s="36" t="s">
        <v>426</v>
      </c>
      <c r="L54" s="36"/>
      <c r="M54" s="36"/>
      <c r="N54" s="36"/>
      <c r="O54" s="36"/>
      <c r="P54" s="41"/>
      <c r="Q54" s="41"/>
      <c r="R54" s="41"/>
      <c r="S54" s="41"/>
      <c r="T54" s="37">
        <v>214.39</v>
      </c>
      <c r="U54" s="243"/>
      <c r="V54" s="243">
        <v>0.29949999999999999</v>
      </c>
      <c r="W54" s="243"/>
      <c r="X54" s="243">
        <v>0.29949999999999999</v>
      </c>
      <c r="Y54" s="414"/>
      <c r="Z54" s="37">
        <v>5.96</v>
      </c>
      <c r="AA54" s="37"/>
      <c r="AB54" s="37">
        <v>6.07</v>
      </c>
      <c r="AC54" s="37">
        <v>0.8216</v>
      </c>
      <c r="AD54" s="37">
        <v>6.13</v>
      </c>
      <c r="AE54" s="37">
        <v>6.29</v>
      </c>
      <c r="AF54" s="37">
        <f>IF(AA54=0,AD54,AA54)</f>
        <v>6.13</v>
      </c>
      <c r="AG54" s="38">
        <v>6.13</v>
      </c>
      <c r="AH54" s="243">
        <v>2.58E-2</v>
      </c>
      <c r="AI54" s="243"/>
      <c r="AJ54" s="34">
        <f>LOG10(AH54*1000/(0.08206*298.15))</f>
        <v>2.3053379650578385E-2</v>
      </c>
      <c r="AK54" s="34"/>
      <c r="AL54" s="34">
        <f>IF(AK54=0,AJ54,AK54)</f>
        <v>2.3053379650578385E-2</v>
      </c>
      <c r="AM54" s="34">
        <v>-2.6394800000000003</v>
      </c>
      <c r="AN54" s="244"/>
      <c r="AO54" s="417"/>
      <c r="AP54" s="417"/>
      <c r="AQ54" s="37" t="s">
        <v>6311</v>
      </c>
      <c r="AR54" s="37" t="s">
        <v>6311</v>
      </c>
      <c r="AS54" s="241" t="s">
        <v>1154</v>
      </c>
      <c r="AT54" s="39" t="s">
        <v>266</v>
      </c>
      <c r="AU54" s="245">
        <v>0</v>
      </c>
      <c r="AV54" s="37">
        <v>48</v>
      </c>
      <c r="AW54" s="37">
        <v>48</v>
      </c>
      <c r="AX54" s="37">
        <v>25</v>
      </c>
      <c r="AY54" s="37" t="s">
        <v>8722</v>
      </c>
      <c r="AZ54" s="37" t="s">
        <v>2263</v>
      </c>
      <c r="BA54" s="37">
        <v>20</v>
      </c>
      <c r="BB54" s="36" t="s">
        <v>1764</v>
      </c>
      <c r="BC54" s="36" t="s">
        <v>2264</v>
      </c>
      <c r="BD54" s="36"/>
      <c r="BE54" s="37" t="s">
        <v>2265</v>
      </c>
      <c r="BF54" s="37" t="s">
        <v>2266</v>
      </c>
      <c r="BG54" s="37" t="s">
        <v>2266</v>
      </c>
      <c r="BH54" s="37" t="s">
        <v>272</v>
      </c>
      <c r="BI54" s="243" t="s">
        <v>8722</v>
      </c>
      <c r="BJ54" s="243" t="s">
        <v>8722</v>
      </c>
      <c r="BK54" s="37" t="s">
        <v>2267</v>
      </c>
      <c r="BL54" s="263">
        <v>4.8902214275694904E-2</v>
      </c>
      <c r="BM54" s="37" t="s">
        <v>1584</v>
      </c>
      <c r="BN54" s="37"/>
      <c r="BO54" s="37"/>
      <c r="BP54" s="37">
        <v>3.1</v>
      </c>
      <c r="BQ54" s="37"/>
      <c r="BR54" s="37"/>
      <c r="BS54" s="37"/>
      <c r="BT54" s="37"/>
      <c r="BU54" s="246"/>
      <c r="BV54" s="37"/>
      <c r="BW54" s="37"/>
      <c r="BX54" s="37"/>
      <c r="BY54" s="37"/>
      <c r="BZ54" s="37"/>
      <c r="CA54" s="37"/>
      <c r="CB54" s="37"/>
      <c r="CC54" s="37"/>
      <c r="CD54" s="37"/>
      <c r="CE54" s="37"/>
      <c r="CF54" s="37"/>
      <c r="CG54" s="37"/>
      <c r="CH54" s="37"/>
      <c r="CI54" s="243">
        <v>3.1</v>
      </c>
      <c r="CJ54" s="243">
        <f>LOG10(CI54)</f>
        <v>0.49136169383427269</v>
      </c>
      <c r="CK54" s="38"/>
      <c r="CL54" s="247">
        <f>BL54/CI54</f>
        <v>1.5774907830869322E-2</v>
      </c>
      <c r="CM54" s="247"/>
      <c r="CN54" s="247"/>
      <c r="CO54" s="36"/>
      <c r="CP54" s="496" t="s">
        <v>2268</v>
      </c>
      <c r="CQ54" s="241">
        <v>0.14612803567823801</v>
      </c>
      <c r="CR54" s="241">
        <f>10^(CJ54-CQ54)</f>
        <v>2.2142857142857144</v>
      </c>
      <c r="CS54" s="33"/>
      <c r="CT54" s="33" t="s">
        <v>6310</v>
      </c>
      <c r="CU54" s="250">
        <f>X54/CI54</f>
        <v>9.6612903225806443E-2</v>
      </c>
      <c r="CV54" s="337"/>
      <c r="CW54" s="330">
        <f>IF(CU54&lt;2,0,1)</f>
        <v>0</v>
      </c>
      <c r="CX54" s="330" t="s">
        <v>539</v>
      </c>
      <c r="CY54" s="143" t="s">
        <v>6351</v>
      </c>
    </row>
    <row r="55" spans="1:103" ht="11.25" customHeight="1" x14ac:dyDescent="0.2">
      <c r="A55" s="72">
        <v>1933</v>
      </c>
      <c r="B55" s="241">
        <v>840</v>
      </c>
      <c r="C55" s="32" t="s">
        <v>2407</v>
      </c>
      <c r="D55" s="32"/>
      <c r="E55" s="40"/>
      <c r="F55" s="40" t="s">
        <v>2408</v>
      </c>
      <c r="G55" s="242">
        <v>68989037</v>
      </c>
      <c r="H55" s="36" t="s">
        <v>2409</v>
      </c>
      <c r="I55" s="36" t="s">
        <v>2409</v>
      </c>
      <c r="J55" s="36"/>
      <c r="K55" s="36" t="s">
        <v>426</v>
      </c>
      <c r="L55" s="36"/>
      <c r="M55" s="36"/>
      <c r="N55" s="36"/>
      <c r="O55" s="36"/>
      <c r="P55" s="41"/>
      <c r="Q55" s="41"/>
      <c r="R55" s="41"/>
      <c r="S55" s="41"/>
      <c r="T55" s="37">
        <v>619.86</v>
      </c>
      <c r="U55" s="243"/>
      <c r="V55" s="243">
        <v>30.17</v>
      </c>
      <c r="W55" s="243"/>
      <c r="X55" s="243">
        <v>30.17</v>
      </c>
      <c r="Y55" s="414"/>
      <c r="Z55" s="37">
        <v>0.7</v>
      </c>
      <c r="AA55" s="37"/>
      <c r="AB55" s="37">
        <v>0</v>
      </c>
      <c r="AC55" s="37">
        <v>0</v>
      </c>
      <c r="AD55" s="37">
        <v>0</v>
      </c>
      <c r="AE55" s="37">
        <v>0</v>
      </c>
      <c r="AF55" s="37"/>
      <c r="AG55" s="38" t="s">
        <v>5921</v>
      </c>
      <c r="AH55" s="243">
        <v>2.0299999999999999E-29</v>
      </c>
      <c r="AI55" s="243"/>
      <c r="AJ55" s="34">
        <f>LOG10(AH55*1000/(0.08206*298.15))</f>
        <v>-27.081070288399438</v>
      </c>
      <c r="AK55" s="34"/>
      <c r="AL55" s="34">
        <f>IF(AK55=0,AJ55,AK55)</f>
        <v>-27.081070288399438</v>
      </c>
      <c r="AM55" s="34"/>
      <c r="AN55" s="244"/>
      <c r="AO55" s="417"/>
      <c r="AP55" s="417"/>
      <c r="AQ55" s="37" t="s">
        <v>6311</v>
      </c>
      <c r="AR55" s="37" t="s">
        <v>6311</v>
      </c>
      <c r="AS55" s="241" t="s">
        <v>1154</v>
      </c>
      <c r="AT55" s="39" t="s">
        <v>266</v>
      </c>
      <c r="AU55" s="245">
        <v>0</v>
      </c>
      <c r="AV55" s="37">
        <v>48</v>
      </c>
      <c r="AW55" s="37">
        <v>48</v>
      </c>
      <c r="AX55" s="37">
        <v>25</v>
      </c>
      <c r="AY55" s="37" t="s">
        <v>8722</v>
      </c>
      <c r="AZ55" s="37" t="s">
        <v>2263</v>
      </c>
      <c r="BA55" s="37">
        <v>20</v>
      </c>
      <c r="BB55" s="36" t="s">
        <v>1764</v>
      </c>
      <c r="BC55" s="36" t="s">
        <v>2264</v>
      </c>
      <c r="BD55" s="36"/>
      <c r="BE55" s="37" t="s">
        <v>2265</v>
      </c>
      <c r="BF55" s="37" t="s">
        <v>2266</v>
      </c>
      <c r="BG55" s="37" t="s">
        <v>2266</v>
      </c>
      <c r="BH55" s="37" t="s">
        <v>272</v>
      </c>
      <c r="BI55" s="243" t="s">
        <v>8722</v>
      </c>
      <c r="BJ55" s="243" t="s">
        <v>8722</v>
      </c>
      <c r="BK55" s="37" t="s">
        <v>2267</v>
      </c>
      <c r="BL55" s="263">
        <v>7488.9962294518828</v>
      </c>
      <c r="BM55" s="37" t="s">
        <v>1584</v>
      </c>
      <c r="BN55" s="37"/>
      <c r="BO55" s="37"/>
      <c r="BP55" s="37">
        <v>6.4</v>
      </c>
      <c r="BQ55" s="37"/>
      <c r="BR55" s="37"/>
      <c r="BS55" s="37"/>
      <c r="BT55" s="37"/>
      <c r="BU55" s="246"/>
      <c r="BV55" s="37"/>
      <c r="BW55" s="37"/>
      <c r="BX55" s="37"/>
      <c r="BY55" s="37"/>
      <c r="BZ55" s="37"/>
      <c r="CA55" s="37"/>
      <c r="CB55" s="37"/>
      <c r="CC55" s="37"/>
      <c r="CD55" s="37"/>
      <c r="CE55" s="37"/>
      <c r="CF55" s="37"/>
      <c r="CG55" s="37"/>
      <c r="CH55" s="37"/>
      <c r="CI55" s="243">
        <v>6.4</v>
      </c>
      <c r="CJ55" s="243">
        <f>LOG10(CI55)</f>
        <v>0.80617997398388719</v>
      </c>
      <c r="CK55" s="38"/>
      <c r="CL55" s="247">
        <f>BL55/CI55</f>
        <v>1170.1556608518565</v>
      </c>
      <c r="CM55" s="247"/>
      <c r="CN55" s="247"/>
      <c r="CO55" s="36"/>
      <c r="CP55" s="496" t="s">
        <v>2268</v>
      </c>
      <c r="CQ55" s="241" t="s">
        <v>272</v>
      </c>
      <c r="CR55" s="241"/>
      <c r="CS55" s="33"/>
      <c r="CT55" s="33" t="s">
        <v>6310</v>
      </c>
      <c r="CU55" s="250">
        <f>X55/CI55</f>
        <v>4.7140624999999998</v>
      </c>
      <c r="CV55" s="337"/>
      <c r="CW55" s="330">
        <f>IF(CU55&lt;2,0,1)</f>
        <v>1</v>
      </c>
      <c r="CX55" s="330" t="s">
        <v>539</v>
      </c>
      <c r="CY55" s="143" t="s">
        <v>5921</v>
      </c>
    </row>
    <row r="56" spans="1:103" ht="11.25" customHeight="1" x14ac:dyDescent="0.2">
      <c r="A56" s="72">
        <v>1937</v>
      </c>
      <c r="B56" s="241">
        <v>841</v>
      </c>
      <c r="C56" s="32" t="s">
        <v>2410</v>
      </c>
      <c r="D56" s="32"/>
      <c r="E56" s="40"/>
      <c r="F56" s="40" t="s">
        <v>2411</v>
      </c>
      <c r="G56" s="242">
        <v>72674056</v>
      </c>
      <c r="H56" s="36"/>
      <c r="I56" s="36"/>
      <c r="J56" s="36"/>
      <c r="K56" s="36"/>
      <c r="L56" s="36"/>
      <c r="M56" s="36"/>
      <c r="N56" s="36"/>
      <c r="O56" s="36"/>
      <c r="P56" s="41"/>
      <c r="Q56" s="41"/>
      <c r="R56" s="41"/>
      <c r="S56" s="41"/>
      <c r="T56" s="37" t="s">
        <v>404</v>
      </c>
      <c r="U56" s="243"/>
      <c r="V56" s="243"/>
      <c r="W56" s="243"/>
      <c r="X56" s="243"/>
      <c r="Y56" s="414"/>
      <c r="Z56" s="37"/>
      <c r="AA56" s="37"/>
      <c r="AB56" s="37"/>
      <c r="AC56" s="37"/>
      <c r="AD56" s="37"/>
      <c r="AE56" s="37"/>
      <c r="AF56" s="37"/>
      <c r="AG56" s="38" t="s">
        <v>5921</v>
      </c>
      <c r="AH56" s="243"/>
      <c r="AI56" s="243"/>
      <c r="AJ56" s="34"/>
      <c r="AK56" s="34"/>
      <c r="AL56" s="34"/>
      <c r="AM56" s="34"/>
      <c r="AN56" s="244"/>
      <c r="AO56" s="417"/>
      <c r="AP56" s="417"/>
      <c r="AQ56" s="37" t="s">
        <v>6317</v>
      </c>
      <c r="AR56" s="37" t="s">
        <v>6317</v>
      </c>
      <c r="AS56" s="241" t="s">
        <v>6</v>
      </c>
      <c r="AT56" s="39" t="s">
        <v>266</v>
      </c>
      <c r="AU56" s="245">
        <v>0</v>
      </c>
      <c r="AV56" s="37">
        <v>48</v>
      </c>
      <c r="AW56" s="37">
        <v>48</v>
      </c>
      <c r="AX56" s="37">
        <v>25</v>
      </c>
      <c r="AY56" s="37" t="s">
        <v>8722</v>
      </c>
      <c r="AZ56" s="37" t="s">
        <v>2263</v>
      </c>
      <c r="BA56" s="37">
        <v>20</v>
      </c>
      <c r="BB56" s="36" t="s">
        <v>1764</v>
      </c>
      <c r="BC56" s="36" t="s">
        <v>2264</v>
      </c>
      <c r="BD56" s="36"/>
      <c r="BE56" s="37" t="s">
        <v>2265</v>
      </c>
      <c r="BF56" s="37" t="s">
        <v>2266</v>
      </c>
      <c r="BG56" s="37" t="s">
        <v>2266</v>
      </c>
      <c r="BH56" s="37" t="s">
        <v>272</v>
      </c>
      <c r="BI56" s="243" t="s">
        <v>8722</v>
      </c>
      <c r="BJ56" s="243" t="s">
        <v>8722</v>
      </c>
      <c r="BK56" s="37" t="s">
        <v>2267</v>
      </c>
      <c r="BL56" s="263"/>
      <c r="BM56" s="37" t="s">
        <v>1584</v>
      </c>
      <c r="BN56" s="37"/>
      <c r="BO56" s="37" t="e">
        <v>#VALUE!</v>
      </c>
      <c r="BP56" s="37"/>
      <c r="BQ56" s="37"/>
      <c r="BR56" s="37"/>
      <c r="BS56" s="37"/>
      <c r="BT56" s="37"/>
      <c r="BU56" s="246"/>
      <c r="BV56" s="37"/>
      <c r="BW56" s="37"/>
      <c r="BX56" s="37"/>
      <c r="BY56" s="37"/>
      <c r="BZ56" s="37"/>
      <c r="CA56" s="37"/>
      <c r="CB56" s="37"/>
      <c r="CC56" s="37"/>
      <c r="CD56" s="37"/>
      <c r="CE56" s="37"/>
      <c r="CF56" s="37"/>
      <c r="CG56" s="37"/>
      <c r="CH56" s="37"/>
      <c r="CI56" s="243"/>
      <c r="CJ56" s="243"/>
      <c r="CK56" s="38"/>
      <c r="CL56" s="247"/>
      <c r="CM56" s="247"/>
      <c r="CN56" s="247"/>
      <c r="CO56" s="36"/>
      <c r="CP56" s="496" t="s">
        <v>2268</v>
      </c>
      <c r="CQ56" s="241">
        <v>-0.12493873660829995</v>
      </c>
      <c r="CR56" s="241">
        <f>10^(CJ56-CQ56)</f>
        <v>1.3333333333333335</v>
      </c>
      <c r="CS56" s="33"/>
      <c r="CT56" s="33" t="s">
        <v>6310</v>
      </c>
      <c r="CU56" s="250" t="s">
        <v>6310</v>
      </c>
      <c r="CV56" s="337" t="s">
        <v>6310</v>
      </c>
      <c r="CW56" s="330">
        <f>IF(CV56&lt;1,0,1)</f>
        <v>1</v>
      </c>
      <c r="CX56" s="330" t="s">
        <v>539</v>
      </c>
      <c r="CY56" s="143" t="s">
        <v>5921</v>
      </c>
    </row>
    <row r="57" spans="1:103" ht="11.25" customHeight="1" x14ac:dyDescent="0.2">
      <c r="A57" s="72">
        <v>1945</v>
      </c>
      <c r="B57" s="241">
        <v>842</v>
      </c>
      <c r="C57" s="32" t="s">
        <v>2413</v>
      </c>
      <c r="D57" s="32"/>
      <c r="E57" s="40"/>
      <c r="F57" s="40" t="s">
        <v>2414</v>
      </c>
      <c r="G57" s="242">
        <v>85736636</v>
      </c>
      <c r="H57" s="36"/>
      <c r="I57" s="36" t="s">
        <v>7877</v>
      </c>
      <c r="J57" s="36"/>
      <c r="K57" s="36"/>
      <c r="L57" s="36"/>
      <c r="M57" s="36"/>
      <c r="N57" s="36"/>
      <c r="O57" s="36"/>
      <c r="P57" s="41"/>
      <c r="Q57" s="41"/>
      <c r="R57" s="41"/>
      <c r="S57" s="41"/>
      <c r="T57" s="37" t="s">
        <v>404</v>
      </c>
      <c r="U57" s="243"/>
      <c r="V57" s="243"/>
      <c r="W57" s="243"/>
      <c r="X57" s="243"/>
      <c r="Y57" s="414"/>
      <c r="Z57" s="37"/>
      <c r="AA57" s="37"/>
      <c r="AB57" s="37"/>
      <c r="AC57" s="37"/>
      <c r="AD57" s="37"/>
      <c r="AE57" s="37"/>
      <c r="AF57" s="37"/>
      <c r="AG57" s="38" t="s">
        <v>5921</v>
      </c>
      <c r="AH57" s="243"/>
      <c r="AI57" s="243"/>
      <c r="AJ57" s="34"/>
      <c r="AK57" s="34"/>
      <c r="AL57" s="34"/>
      <c r="AM57" s="34"/>
      <c r="AN57" s="244"/>
      <c r="AO57" s="417"/>
      <c r="AP57" s="417"/>
      <c r="AQ57" s="37" t="s">
        <v>6317</v>
      </c>
      <c r="AR57" s="37" t="s">
        <v>6317</v>
      </c>
      <c r="AS57" s="241" t="s">
        <v>6</v>
      </c>
      <c r="AT57" s="39" t="s">
        <v>266</v>
      </c>
      <c r="AU57" s="245">
        <v>0</v>
      </c>
      <c r="AV57" s="37">
        <v>48</v>
      </c>
      <c r="AW57" s="37">
        <v>48</v>
      </c>
      <c r="AX57" s="37">
        <v>25</v>
      </c>
      <c r="AY57" s="37" t="s">
        <v>8722</v>
      </c>
      <c r="AZ57" s="37" t="s">
        <v>2263</v>
      </c>
      <c r="BA57" s="37">
        <v>20</v>
      </c>
      <c r="BB57" s="36" t="s">
        <v>1764</v>
      </c>
      <c r="BC57" s="36" t="s">
        <v>2264</v>
      </c>
      <c r="BD57" s="36"/>
      <c r="BE57" s="37" t="s">
        <v>2265</v>
      </c>
      <c r="BF57" s="37" t="s">
        <v>2266</v>
      </c>
      <c r="BG57" s="37" t="s">
        <v>2266</v>
      </c>
      <c r="BH57" s="37" t="s">
        <v>272</v>
      </c>
      <c r="BI57" s="243" t="s">
        <v>8722</v>
      </c>
      <c r="BJ57" s="243" t="s">
        <v>8722</v>
      </c>
      <c r="BK57" s="37" t="s">
        <v>2267</v>
      </c>
      <c r="BL57" s="263"/>
      <c r="BM57" s="37" t="s">
        <v>1584</v>
      </c>
      <c r="BN57" s="37"/>
      <c r="BO57" s="37" t="e">
        <v>#VALUE!</v>
      </c>
      <c r="BP57" s="37"/>
      <c r="BQ57" s="37"/>
      <c r="BR57" s="37"/>
      <c r="BS57" s="37"/>
      <c r="BT57" s="37"/>
      <c r="BU57" s="246"/>
      <c r="BV57" s="37"/>
      <c r="BW57" s="37"/>
      <c r="BX57" s="37"/>
      <c r="BY57" s="37"/>
      <c r="BZ57" s="37"/>
      <c r="CA57" s="37"/>
      <c r="CB57" s="37"/>
      <c r="CC57" s="37"/>
      <c r="CD57" s="37"/>
      <c r="CE57" s="37"/>
      <c r="CF57" s="37"/>
      <c r="CG57" s="37"/>
      <c r="CH57" s="37"/>
      <c r="CI57" s="243"/>
      <c r="CJ57" s="243"/>
      <c r="CK57" s="38"/>
      <c r="CL57" s="247"/>
      <c r="CM57" s="247"/>
      <c r="CN57" s="247"/>
      <c r="CO57" s="36"/>
      <c r="CP57" s="496" t="s">
        <v>2268</v>
      </c>
      <c r="CQ57" s="241" t="s">
        <v>272</v>
      </c>
      <c r="CR57" s="241"/>
      <c r="CS57" s="33"/>
      <c r="CT57" s="33" t="s">
        <v>6310</v>
      </c>
      <c r="CU57" s="250" t="s">
        <v>6310</v>
      </c>
      <c r="CV57" s="337" t="s">
        <v>6310</v>
      </c>
      <c r="CW57" s="330">
        <f>IF(CV57&lt;1,0,1)</f>
        <v>1</v>
      </c>
      <c r="CX57" s="330" t="s">
        <v>539</v>
      </c>
      <c r="CY57" s="143" t="s">
        <v>5921</v>
      </c>
    </row>
    <row r="58" spans="1:103" ht="11.25" customHeight="1" x14ac:dyDescent="0.2">
      <c r="A58" s="72">
        <v>1784</v>
      </c>
      <c r="B58" s="241">
        <v>857</v>
      </c>
      <c r="C58" s="32" t="s">
        <v>1923</v>
      </c>
      <c r="D58" s="32"/>
      <c r="E58" s="40"/>
      <c r="F58" s="40" t="s">
        <v>1924</v>
      </c>
      <c r="G58" s="242">
        <v>298464</v>
      </c>
      <c r="H58" s="36" t="s">
        <v>1925</v>
      </c>
      <c r="I58" s="36" t="s">
        <v>1925</v>
      </c>
      <c r="J58" s="36" t="s">
        <v>1926</v>
      </c>
      <c r="K58" s="36" t="s">
        <v>1292</v>
      </c>
      <c r="L58" s="42" t="s">
        <v>279</v>
      </c>
      <c r="M58" s="36" t="s">
        <v>1927</v>
      </c>
      <c r="N58" s="36" t="s">
        <v>6376</v>
      </c>
      <c r="O58" s="36" t="s">
        <v>281</v>
      </c>
      <c r="P58" s="41"/>
      <c r="Q58" s="41"/>
      <c r="R58" s="41"/>
      <c r="S58" s="41"/>
      <c r="T58" s="37">
        <v>236.27</v>
      </c>
      <c r="U58" s="243">
        <v>112</v>
      </c>
      <c r="V58" s="243">
        <v>17.66</v>
      </c>
      <c r="W58" s="243">
        <v>78.236350072691764</v>
      </c>
      <c r="X58" s="243">
        <v>112</v>
      </c>
      <c r="Y58" s="414">
        <v>7</v>
      </c>
      <c r="Z58" s="37">
        <v>2.25</v>
      </c>
      <c r="AA58" s="37">
        <v>2.4500000000000002</v>
      </c>
      <c r="AB58" s="37">
        <v>2.17</v>
      </c>
      <c r="AC58" s="37">
        <v>0.88529999999999998</v>
      </c>
      <c r="AD58" s="37">
        <v>2.2799999999999998</v>
      </c>
      <c r="AE58" s="37">
        <v>2.67</v>
      </c>
      <c r="AF58" s="37">
        <f t="shared" ref="AF58:AF96" si="19">IF(AA58=0,AD58,AA58)</f>
        <v>2.4500000000000002</v>
      </c>
      <c r="AG58" s="38">
        <v>2.52</v>
      </c>
      <c r="AH58" s="243">
        <v>1.08E-10</v>
      </c>
      <c r="AI58" s="243"/>
      <c r="AJ58" s="34">
        <f t="shared" ref="AJ58:AJ98" si="20">LOG10(AH58*1000/(0.08206*298.15))</f>
        <v>-8.3551425708257021</v>
      </c>
      <c r="AK58" s="34"/>
      <c r="AL58" s="34">
        <f t="shared" ref="AL58:AL98" si="21">IF(AK58=0,AJ58,AK58)</f>
        <v>-8.3551425708257021</v>
      </c>
      <c r="AM58" s="34">
        <v>-14.371929999999999</v>
      </c>
      <c r="AN58" s="244">
        <v>-9.82</v>
      </c>
      <c r="AO58" s="417">
        <v>13.94</v>
      </c>
      <c r="AP58" s="417">
        <v>-0.49</v>
      </c>
      <c r="AQ58" s="244" t="s">
        <v>6311</v>
      </c>
      <c r="AR58" s="244" t="s">
        <v>6311</v>
      </c>
      <c r="AS58" s="241" t="s">
        <v>6</v>
      </c>
      <c r="AT58" s="39" t="s">
        <v>266</v>
      </c>
      <c r="AU58" s="37">
        <v>2</v>
      </c>
      <c r="AV58" s="37">
        <v>72</v>
      </c>
      <c r="AW58" s="37">
        <v>72</v>
      </c>
      <c r="AX58" s="37">
        <v>26</v>
      </c>
      <c r="AY58" s="37" t="s">
        <v>8722</v>
      </c>
      <c r="AZ58" s="37" t="s">
        <v>536</v>
      </c>
      <c r="BA58" s="37">
        <v>20</v>
      </c>
      <c r="BB58" s="36" t="s">
        <v>1764</v>
      </c>
      <c r="BC58" s="36" t="s">
        <v>2064</v>
      </c>
      <c r="BD58" s="36"/>
      <c r="BE58" s="37" t="s">
        <v>271</v>
      </c>
      <c r="BF58" s="37" t="s">
        <v>2065</v>
      </c>
      <c r="BG58" s="37">
        <v>7.8</v>
      </c>
      <c r="BH58" s="37" t="s">
        <v>272</v>
      </c>
      <c r="BI58" s="250">
        <v>12.499470966649739</v>
      </c>
      <c r="BJ58" s="250">
        <v>199.99153546639582</v>
      </c>
      <c r="BK58" s="37" t="s">
        <v>2066</v>
      </c>
      <c r="BL58" s="263">
        <v>115.74002752106692</v>
      </c>
      <c r="BM58" s="37" t="s">
        <v>1552</v>
      </c>
      <c r="BN58" s="37"/>
      <c r="BO58" s="37"/>
      <c r="BP58" s="37"/>
      <c r="BQ58" s="37"/>
      <c r="BR58" s="37"/>
      <c r="BS58" s="37"/>
      <c r="BT58" s="37"/>
      <c r="BU58" s="246"/>
      <c r="BV58" s="37"/>
      <c r="BW58" s="37"/>
      <c r="BX58" s="37"/>
      <c r="BY58" s="37"/>
      <c r="BZ58" s="37"/>
      <c r="CA58" s="37"/>
      <c r="CB58" s="37"/>
      <c r="CC58" s="37"/>
      <c r="CD58" s="37"/>
      <c r="CE58" s="37"/>
      <c r="CF58" s="37"/>
      <c r="CG58" s="37"/>
      <c r="CH58" s="37"/>
      <c r="CI58" s="243"/>
      <c r="CJ58" s="243"/>
      <c r="CK58" s="38">
        <f t="shared" ref="CK58:CK70" si="22">BL58/BJ58</f>
        <v>0.57872463077575842</v>
      </c>
      <c r="CL58" s="247"/>
      <c r="CM58" s="247"/>
      <c r="CN58" s="247"/>
      <c r="CO58" s="36"/>
      <c r="CP58" s="496" t="s">
        <v>2067</v>
      </c>
      <c r="CQ58" s="241">
        <v>1.4661607659946467</v>
      </c>
      <c r="CR58" s="241">
        <f>10^(CJ58-CQ58)</f>
        <v>3.4185287288678222E-2</v>
      </c>
      <c r="CS58" s="33"/>
      <c r="CT58" s="33" t="s">
        <v>6310</v>
      </c>
      <c r="CU58" s="250"/>
      <c r="CV58" s="337">
        <f t="shared" ref="CV58:CV71" si="23">X58/BJ58</f>
        <v>0.56002370169721083</v>
      </c>
      <c r="CW58" s="330">
        <f>IF(CV58&lt;1,0,1)</f>
        <v>0</v>
      </c>
      <c r="CX58" s="330" t="s">
        <v>539</v>
      </c>
      <c r="CY58" s="143" t="s">
        <v>5921</v>
      </c>
    </row>
    <row r="59" spans="1:103" ht="11.25" customHeight="1" x14ac:dyDescent="0.2">
      <c r="A59" s="72">
        <v>1881</v>
      </c>
      <c r="B59" s="241">
        <v>730</v>
      </c>
      <c r="C59" s="32" t="s">
        <v>2063</v>
      </c>
      <c r="D59" s="32"/>
      <c r="E59" s="40"/>
      <c r="F59" s="40" t="s">
        <v>544</v>
      </c>
      <c r="G59" s="242">
        <v>15307796</v>
      </c>
      <c r="H59" s="36" t="s">
        <v>545</v>
      </c>
      <c r="I59" s="36" t="s">
        <v>8250</v>
      </c>
      <c r="J59" s="36" t="s">
        <v>546</v>
      </c>
      <c r="K59" s="36" t="s">
        <v>426</v>
      </c>
      <c r="L59" s="36" t="s">
        <v>279</v>
      </c>
      <c r="M59" s="36" t="s">
        <v>6116</v>
      </c>
      <c r="N59" s="36"/>
      <c r="O59" s="36" t="s">
        <v>6117</v>
      </c>
      <c r="P59" s="41"/>
      <c r="Q59" s="41"/>
      <c r="R59" s="41"/>
      <c r="S59" s="41"/>
      <c r="T59" s="37">
        <v>296.14999999999998</v>
      </c>
      <c r="U59" s="243">
        <v>2.37</v>
      </c>
      <c r="V59" s="243">
        <v>4.5179999999999998</v>
      </c>
      <c r="W59" s="243">
        <v>22.46527488448924</v>
      </c>
      <c r="X59" s="243">
        <v>2.37</v>
      </c>
      <c r="Y59" s="414">
        <v>4.34</v>
      </c>
      <c r="Z59" s="37">
        <v>4.0199999999999996</v>
      </c>
      <c r="AA59" s="37">
        <v>4.51</v>
      </c>
      <c r="AB59" s="37">
        <v>4.6100000000000003</v>
      </c>
      <c r="AC59" s="37">
        <v>0.87739999999999996</v>
      </c>
      <c r="AD59" s="37">
        <v>4.4800000000000004</v>
      </c>
      <c r="AE59" s="37">
        <v>4.0599999999999996</v>
      </c>
      <c r="AF59" s="37">
        <f t="shared" si="19"/>
        <v>4.51</v>
      </c>
      <c r="AG59" s="38">
        <v>4.4800000000000004</v>
      </c>
      <c r="AH59" s="243">
        <v>4.7300000000000002E-12</v>
      </c>
      <c r="AI59" s="243"/>
      <c r="AJ59" s="34">
        <f t="shared" si="20"/>
        <v>-9.71370518557484</v>
      </c>
      <c r="AK59" s="34"/>
      <c r="AL59" s="34">
        <f t="shared" si="21"/>
        <v>-9.71370518557484</v>
      </c>
      <c r="AM59" s="34">
        <v>-13.81147</v>
      </c>
      <c r="AN59" s="244"/>
      <c r="AO59" s="417">
        <v>4.18</v>
      </c>
      <c r="AP59" s="417">
        <v>-2.2599999999999998</v>
      </c>
      <c r="AQ59" s="244" t="s">
        <v>6311</v>
      </c>
      <c r="AR59" s="244" t="s">
        <v>6311</v>
      </c>
      <c r="AS59" s="241" t="s">
        <v>6</v>
      </c>
      <c r="AT59" s="39" t="s">
        <v>266</v>
      </c>
      <c r="AU59" s="37">
        <v>2</v>
      </c>
      <c r="AV59" s="37">
        <v>72</v>
      </c>
      <c r="AW59" s="37">
        <v>72</v>
      </c>
      <c r="AX59" s="37">
        <v>26</v>
      </c>
      <c r="AY59" s="37" t="s">
        <v>8722</v>
      </c>
      <c r="AZ59" s="37" t="s">
        <v>536</v>
      </c>
      <c r="BA59" s="37">
        <v>20</v>
      </c>
      <c r="BB59" s="36" t="s">
        <v>1764</v>
      </c>
      <c r="BC59" s="36" t="s">
        <v>2064</v>
      </c>
      <c r="BD59" s="36"/>
      <c r="BE59" s="37" t="s">
        <v>271</v>
      </c>
      <c r="BF59" s="37" t="s">
        <v>2065</v>
      </c>
      <c r="BG59" s="37">
        <v>7.8</v>
      </c>
      <c r="BH59" s="37" t="s">
        <v>272</v>
      </c>
      <c r="BI59" s="250">
        <v>2.6995505123530519</v>
      </c>
      <c r="BJ59" s="250">
        <v>24.668306405984783</v>
      </c>
      <c r="BK59" s="37" t="s">
        <v>2066</v>
      </c>
      <c r="BL59" s="263">
        <v>3.7320696223033583</v>
      </c>
      <c r="BM59" s="37" t="s">
        <v>1552</v>
      </c>
      <c r="BN59" s="37"/>
      <c r="BO59" s="37"/>
      <c r="BP59" s="37">
        <v>7.2608599987426921</v>
      </c>
      <c r="BQ59" s="37"/>
      <c r="BR59" s="37"/>
      <c r="BS59" s="37"/>
      <c r="BT59" s="37"/>
      <c r="BU59" s="246"/>
      <c r="BV59" s="37"/>
      <c r="BW59" s="37"/>
      <c r="BX59" s="37"/>
      <c r="BY59" s="37"/>
      <c r="BZ59" s="37"/>
      <c r="CA59" s="37"/>
      <c r="CB59" s="37"/>
      <c r="CC59" s="37"/>
      <c r="CD59" s="37"/>
      <c r="CE59" s="37"/>
      <c r="CF59" s="37"/>
      <c r="CG59" s="37"/>
      <c r="CH59" s="37"/>
      <c r="CI59" s="243">
        <v>7.2608599987426921</v>
      </c>
      <c r="CJ59" s="243">
        <f>LOG10(CI59)</f>
        <v>0.8609880629299429</v>
      </c>
      <c r="CK59" s="38">
        <f t="shared" si="22"/>
        <v>0.15129006267726267</v>
      </c>
      <c r="CL59" s="247">
        <f>BL59/CI59</f>
        <v>0.51399828986505902</v>
      </c>
      <c r="CM59" s="247"/>
      <c r="CN59" s="247"/>
      <c r="CO59" s="36"/>
      <c r="CP59" s="496" t="s">
        <v>2067</v>
      </c>
      <c r="CQ59" s="241" t="s">
        <v>272</v>
      </c>
      <c r="CR59" s="241"/>
      <c r="CS59" s="33"/>
      <c r="CT59" s="33" t="s">
        <v>6310</v>
      </c>
      <c r="CU59" s="250">
        <f>X59/CI59</f>
        <v>0.32640761568332055</v>
      </c>
      <c r="CV59" s="337">
        <f t="shared" si="23"/>
        <v>9.6074694427543433E-2</v>
      </c>
      <c r="CW59" s="330">
        <f>IF(CU59&lt;2,0,1)</f>
        <v>0</v>
      </c>
      <c r="CX59" s="330" t="s">
        <v>539</v>
      </c>
      <c r="CY59" s="143" t="s">
        <v>6351</v>
      </c>
    </row>
    <row r="60" spans="1:103" ht="11.25" customHeight="1" x14ac:dyDescent="0.2">
      <c r="A60" s="72">
        <v>1906</v>
      </c>
      <c r="B60" s="241">
        <v>1311</v>
      </c>
      <c r="C60" s="32" t="s">
        <v>578</v>
      </c>
      <c r="D60" s="32" t="s">
        <v>6629</v>
      </c>
      <c r="E60" s="40"/>
      <c r="F60" s="40" t="s">
        <v>579</v>
      </c>
      <c r="G60" s="242">
        <v>51384511</v>
      </c>
      <c r="H60" s="36" t="s">
        <v>580</v>
      </c>
      <c r="I60" s="36" t="s">
        <v>580</v>
      </c>
      <c r="J60" s="36" t="s">
        <v>581</v>
      </c>
      <c r="K60" s="36" t="s">
        <v>300</v>
      </c>
      <c r="L60" s="36"/>
      <c r="M60" s="36" t="s">
        <v>5852</v>
      </c>
      <c r="N60" s="36" t="s">
        <v>6376</v>
      </c>
      <c r="O60" s="36"/>
      <c r="P60" s="41"/>
      <c r="Q60" s="41"/>
      <c r="R60" s="41"/>
      <c r="S60" s="41"/>
      <c r="T60" s="37">
        <v>267.36</v>
      </c>
      <c r="U60" s="243">
        <v>16900</v>
      </c>
      <c r="V60" s="243">
        <v>4777</v>
      </c>
      <c r="W60" s="243">
        <v>10643.793311918304</v>
      </c>
      <c r="X60" s="243">
        <v>16900</v>
      </c>
      <c r="Y60" s="414">
        <v>11.06</v>
      </c>
      <c r="Z60" s="37">
        <v>1.69</v>
      </c>
      <c r="AA60" s="37">
        <v>1.88</v>
      </c>
      <c r="AB60" s="37">
        <v>1.88</v>
      </c>
      <c r="AC60" s="37">
        <v>0.79749999999999999</v>
      </c>
      <c r="AD60" s="37">
        <v>1.85</v>
      </c>
      <c r="AE60" s="37">
        <v>1.79</v>
      </c>
      <c r="AF60" s="37">
        <f t="shared" si="19"/>
        <v>1.88</v>
      </c>
      <c r="AG60" s="38">
        <v>1.87</v>
      </c>
      <c r="AH60" s="243">
        <v>1.4000000000000001E-13</v>
      </c>
      <c r="AI60" s="243"/>
      <c r="AJ60" s="34">
        <f t="shared" si="20"/>
        <v>-11.242438290634414</v>
      </c>
      <c r="AK60" s="34"/>
      <c r="AL60" s="34">
        <f t="shared" si="21"/>
        <v>-11.242438290634414</v>
      </c>
      <c r="AM60" s="34">
        <v>-13.46964</v>
      </c>
      <c r="AN60" s="244">
        <v>-9.1999999999999993</v>
      </c>
      <c r="AO60" s="417">
        <v>13.89</v>
      </c>
      <c r="AP60" s="417">
        <v>9.43</v>
      </c>
      <c r="AQ60" s="244" t="s">
        <v>6311</v>
      </c>
      <c r="AR60" s="244" t="s">
        <v>6311</v>
      </c>
      <c r="AS60" s="241" t="s">
        <v>6</v>
      </c>
      <c r="AT60" s="39" t="s">
        <v>266</v>
      </c>
      <c r="AU60" s="37">
        <v>2</v>
      </c>
      <c r="AV60" s="37">
        <v>72</v>
      </c>
      <c r="AW60" s="37">
        <v>72</v>
      </c>
      <c r="AX60" s="37">
        <v>26</v>
      </c>
      <c r="AY60" s="37" t="s">
        <v>8722</v>
      </c>
      <c r="AZ60" s="37" t="s">
        <v>536</v>
      </c>
      <c r="BA60" s="37">
        <v>20</v>
      </c>
      <c r="BB60" s="36" t="s">
        <v>1764</v>
      </c>
      <c r="BC60" s="36" t="s">
        <v>2064</v>
      </c>
      <c r="BD60" s="36"/>
      <c r="BE60" s="37" t="s">
        <v>271</v>
      </c>
      <c r="BF60" s="37" t="s">
        <v>2065</v>
      </c>
      <c r="BG60" s="37">
        <v>7.8</v>
      </c>
      <c r="BH60" s="37" t="s">
        <v>272</v>
      </c>
      <c r="BI60" s="250">
        <v>6.2497662415379445</v>
      </c>
      <c r="BJ60" s="250">
        <v>99.996259864607111</v>
      </c>
      <c r="BK60" s="37" t="s">
        <v>2066</v>
      </c>
      <c r="BL60" s="263">
        <v>416.97251828381803</v>
      </c>
      <c r="BM60" s="37" t="s">
        <v>1552</v>
      </c>
      <c r="BN60" s="37"/>
      <c r="BO60" s="37"/>
      <c r="BP60" s="37"/>
      <c r="BQ60" s="37"/>
      <c r="BR60" s="37"/>
      <c r="BS60" s="37"/>
      <c r="BT60" s="37"/>
      <c r="BU60" s="246"/>
      <c r="BV60" s="37"/>
      <c r="BW60" s="37"/>
      <c r="BX60" s="37"/>
      <c r="BY60" s="37"/>
      <c r="BZ60" s="37"/>
      <c r="CA60" s="37"/>
      <c r="CB60" s="37"/>
      <c r="CC60" s="37"/>
      <c r="CD60" s="37"/>
      <c r="CE60" s="37"/>
      <c r="CF60" s="37"/>
      <c r="CG60" s="37"/>
      <c r="CH60" s="37"/>
      <c r="CI60" s="243"/>
      <c r="CJ60" s="243"/>
      <c r="CK60" s="38">
        <f t="shared" si="22"/>
        <v>4.1698811420386148</v>
      </c>
      <c r="CL60" s="247"/>
      <c r="CM60" s="247"/>
      <c r="CN60" s="247"/>
      <c r="CO60" s="36"/>
      <c r="CP60" s="496" t="s">
        <v>2067</v>
      </c>
      <c r="CQ60" s="241" t="s">
        <v>272</v>
      </c>
      <c r="CR60" s="241"/>
      <c r="CS60" s="33"/>
      <c r="CT60" s="33" t="s">
        <v>6310</v>
      </c>
      <c r="CU60" s="250"/>
      <c r="CV60" s="337">
        <f t="shared" si="23"/>
        <v>169.00632106523037</v>
      </c>
      <c r="CW60" s="330">
        <f>IF(CV60&lt;1,0,1)</f>
        <v>1</v>
      </c>
      <c r="CX60" s="330" t="s">
        <v>539</v>
      </c>
      <c r="CY60" s="143" t="s">
        <v>5921</v>
      </c>
    </row>
    <row r="61" spans="1:103" ht="11.25" customHeight="1" x14ac:dyDescent="0.2">
      <c r="A61" s="72">
        <v>143</v>
      </c>
      <c r="B61" s="149">
        <v>2145</v>
      </c>
      <c r="C61" s="54" t="s">
        <v>5867</v>
      </c>
      <c r="D61" s="54"/>
      <c r="E61" s="59"/>
      <c r="F61" s="59" t="s">
        <v>5198</v>
      </c>
      <c r="G61" s="151">
        <v>335762</v>
      </c>
      <c r="H61" s="67" t="s">
        <v>5199</v>
      </c>
      <c r="I61" s="67" t="s">
        <v>7932</v>
      </c>
      <c r="J61" s="67" t="s">
        <v>5868</v>
      </c>
      <c r="K61" s="67" t="s">
        <v>426</v>
      </c>
      <c r="L61" s="67"/>
      <c r="M61" s="67"/>
      <c r="N61" s="60"/>
      <c r="O61" s="67"/>
      <c r="P61" s="67"/>
      <c r="Q61" s="67"/>
      <c r="R61" s="67"/>
      <c r="S61" s="67"/>
      <c r="T61" s="61">
        <v>514.09</v>
      </c>
      <c r="U61" s="111"/>
      <c r="V61" s="111">
        <v>8.0429999999999998E-3</v>
      </c>
      <c r="W61" s="111">
        <v>100.23956102896135</v>
      </c>
      <c r="X61" s="111">
        <v>100.23956102896135</v>
      </c>
      <c r="Y61" s="411">
        <v>3.72</v>
      </c>
      <c r="Z61" s="61">
        <v>6.15</v>
      </c>
      <c r="AA61" s="61"/>
      <c r="AB61" s="61">
        <v>5.43</v>
      </c>
      <c r="AC61" s="61">
        <v>0.45850000000000002</v>
      </c>
      <c r="AD61" s="61">
        <v>7.37</v>
      </c>
      <c r="AE61" s="61">
        <v>9.5299999999999994</v>
      </c>
      <c r="AF61" s="61">
        <f t="shared" si="19"/>
        <v>7.37</v>
      </c>
      <c r="AG61" s="62">
        <v>7.37</v>
      </c>
      <c r="AH61" s="111">
        <v>2.5099999999999998</v>
      </c>
      <c r="AI61" s="111"/>
      <c r="AJ61" s="62">
        <f t="shared" si="20"/>
        <v>2.0111073951683864</v>
      </c>
      <c r="AK61" s="62"/>
      <c r="AL61" s="62">
        <f t="shared" si="21"/>
        <v>2.0111073951683864</v>
      </c>
      <c r="AM61" s="62">
        <v>-1.2900100000000001</v>
      </c>
      <c r="AN61" s="342">
        <v>2.0110000000000001</v>
      </c>
      <c r="AO61" s="410">
        <v>0.52</v>
      </c>
      <c r="AP61" s="410"/>
      <c r="AQ61" s="163" t="s">
        <v>6311</v>
      </c>
      <c r="AR61" s="163" t="s">
        <v>6311</v>
      </c>
      <c r="AS61" s="164" t="s">
        <v>5466</v>
      </c>
      <c r="AT61" s="63" t="s">
        <v>266</v>
      </c>
      <c r="AU61" s="61">
        <v>0</v>
      </c>
      <c r="AV61" s="61">
        <v>144</v>
      </c>
      <c r="AW61" s="61">
        <v>144</v>
      </c>
      <c r="AX61" s="61">
        <v>26</v>
      </c>
      <c r="AY61" s="61" t="s">
        <v>267</v>
      </c>
      <c r="AZ61" s="61" t="s">
        <v>5855</v>
      </c>
      <c r="BA61" s="61">
        <v>24</v>
      </c>
      <c r="BB61" s="67" t="s">
        <v>5856</v>
      </c>
      <c r="BC61" s="67" t="s">
        <v>5597</v>
      </c>
      <c r="BD61" s="67"/>
      <c r="BE61" s="61" t="s">
        <v>2449</v>
      </c>
      <c r="BF61" s="61"/>
      <c r="BG61" s="61"/>
      <c r="BH61" s="61"/>
      <c r="BI61" s="153">
        <v>9.9999758620000004E-2</v>
      </c>
      <c r="BJ61" s="153">
        <v>30.00000007269</v>
      </c>
      <c r="BK61" s="165"/>
      <c r="BL61" s="153">
        <v>7.916334852578033E-2</v>
      </c>
      <c r="BM61" s="61"/>
      <c r="BN61" s="61"/>
      <c r="BO61" s="61"/>
      <c r="BP61" s="61"/>
      <c r="BQ61" s="61"/>
      <c r="BR61" s="61"/>
      <c r="BS61" s="61"/>
      <c r="BT61" s="61">
        <v>8.3999997735900003</v>
      </c>
      <c r="BU61" s="158"/>
      <c r="BV61" s="61"/>
      <c r="BW61" s="61"/>
      <c r="BX61" s="61"/>
      <c r="BY61" s="61"/>
      <c r="BZ61" s="61"/>
      <c r="CA61" s="61"/>
      <c r="CB61" s="61"/>
      <c r="CC61" s="61"/>
      <c r="CD61" s="61"/>
      <c r="CE61" s="61"/>
      <c r="CF61" s="61"/>
      <c r="CG61" s="61"/>
      <c r="CH61" s="61"/>
      <c r="CI61" s="111">
        <v>8.3999997735900003</v>
      </c>
      <c r="CJ61" s="103">
        <f>LOG10(CI61)</f>
        <v>0.92427927435609414</v>
      </c>
      <c r="CK61" s="57">
        <f t="shared" si="22"/>
        <v>2.638778277798918E-3</v>
      </c>
      <c r="CL61" s="160">
        <f>BL61/CI61</f>
        <v>9.4242084118470668E-3</v>
      </c>
      <c r="CM61" s="160"/>
      <c r="CN61" s="160"/>
      <c r="CO61" s="67"/>
      <c r="CP61" s="161" t="s">
        <v>5858</v>
      </c>
      <c r="CQ61" s="149" t="s">
        <v>272</v>
      </c>
      <c r="CR61" s="349"/>
      <c r="CS61" s="61" t="s">
        <v>539</v>
      </c>
      <c r="CT61" s="61"/>
      <c r="CU61" s="111">
        <f>X61/CI61</f>
        <v>11.933281396520902</v>
      </c>
      <c r="CV61" s="331">
        <f t="shared" si="23"/>
        <v>3.341318692869363</v>
      </c>
      <c r="CW61" s="326">
        <f>IF(CU61&lt;2,0,1)</f>
        <v>1</v>
      </c>
      <c r="CX61" s="326"/>
      <c r="CY61" s="161" t="s">
        <v>5921</v>
      </c>
    </row>
    <row r="62" spans="1:103" ht="11.25" customHeight="1" x14ac:dyDescent="0.2">
      <c r="A62" s="72">
        <v>1672</v>
      </c>
      <c r="B62" s="241">
        <v>2141</v>
      </c>
      <c r="C62" s="32" t="s">
        <v>7631</v>
      </c>
      <c r="D62" s="32"/>
      <c r="E62" s="40"/>
      <c r="F62" s="40" t="s">
        <v>5853</v>
      </c>
      <c r="G62" s="242">
        <v>76051</v>
      </c>
      <c r="H62" s="41" t="s">
        <v>4135</v>
      </c>
      <c r="I62" s="41" t="s">
        <v>4135</v>
      </c>
      <c r="J62" s="41" t="s">
        <v>5854</v>
      </c>
      <c r="K62" s="41" t="s">
        <v>426</v>
      </c>
      <c r="L62" s="41"/>
      <c r="M62" s="41"/>
      <c r="N62" s="36"/>
      <c r="O62" s="41"/>
      <c r="P62" s="41"/>
      <c r="Q62" s="41"/>
      <c r="R62" s="41"/>
      <c r="S62" s="41"/>
      <c r="T62" s="33">
        <v>114.02</v>
      </c>
      <c r="U62" s="250">
        <v>1000000</v>
      </c>
      <c r="V62" s="250">
        <v>97450</v>
      </c>
      <c r="W62" s="250">
        <v>103987.47590336081</v>
      </c>
      <c r="X62" s="250">
        <v>1000000</v>
      </c>
      <c r="Y62" s="415">
        <v>0.25</v>
      </c>
      <c r="Z62" s="33">
        <v>0.5</v>
      </c>
      <c r="AA62" s="33"/>
      <c r="AB62" s="33">
        <v>0.45</v>
      </c>
      <c r="AC62" s="33">
        <v>0.78720000000000001</v>
      </c>
      <c r="AD62" s="33">
        <v>0.66</v>
      </c>
      <c r="AE62" s="33">
        <v>1.24</v>
      </c>
      <c r="AF62" s="33">
        <f t="shared" si="19"/>
        <v>0.66</v>
      </c>
      <c r="AG62" s="34">
        <v>0.66</v>
      </c>
      <c r="AH62" s="250">
        <v>4.3100000000000002E-6</v>
      </c>
      <c r="AI62" s="250">
        <v>1.11E-7</v>
      </c>
      <c r="AJ62" s="34">
        <f t="shared" si="20"/>
        <v>-3.75408905615192</v>
      </c>
      <c r="AK62" s="34">
        <f>LOG10(AI62*1000/(0.08206*298.15))</f>
        <v>-5.3432433475259939</v>
      </c>
      <c r="AL62" s="34">
        <f t="shared" si="21"/>
        <v>-5.3432433475259939</v>
      </c>
      <c r="AM62" s="34">
        <v>-4.62622</v>
      </c>
      <c r="AN62" s="251"/>
      <c r="AO62" s="417">
        <v>0.05</v>
      </c>
      <c r="AP62" s="417"/>
      <c r="AQ62" s="251" t="s">
        <v>6311</v>
      </c>
      <c r="AR62" s="251" t="s">
        <v>6311</v>
      </c>
      <c r="AS62" s="252" t="s">
        <v>5466</v>
      </c>
      <c r="AT62" s="35" t="s">
        <v>266</v>
      </c>
      <c r="AU62" s="33">
        <v>0</v>
      </c>
      <c r="AV62" s="33">
        <v>144</v>
      </c>
      <c r="AW62" s="33">
        <v>144</v>
      </c>
      <c r="AX62" s="33">
        <v>26</v>
      </c>
      <c r="AY62" s="33" t="s">
        <v>267</v>
      </c>
      <c r="AZ62" s="33" t="s">
        <v>5855</v>
      </c>
      <c r="BA62" s="33">
        <v>24</v>
      </c>
      <c r="BB62" s="41" t="s">
        <v>5856</v>
      </c>
      <c r="BC62" s="41" t="s">
        <v>5597</v>
      </c>
      <c r="BD62" s="41"/>
      <c r="BE62" s="33" t="s">
        <v>2449</v>
      </c>
      <c r="BF62" s="33"/>
      <c r="BG62" s="33"/>
      <c r="BH62" s="33"/>
      <c r="BI62" s="250">
        <v>10.000000046239998</v>
      </c>
      <c r="BJ62" s="250">
        <v>3000.0000001896001</v>
      </c>
      <c r="BK62" s="254"/>
      <c r="BL62" s="263">
        <v>2083.2003347169862</v>
      </c>
      <c r="BM62" s="33"/>
      <c r="BN62" s="33"/>
      <c r="BO62" s="33"/>
      <c r="BP62" s="33"/>
      <c r="BQ62" s="33"/>
      <c r="BR62" s="33"/>
      <c r="BS62" s="33"/>
      <c r="BT62" s="33" t="e">
        <v>#VALUE!</v>
      </c>
      <c r="BU62" s="246"/>
      <c r="BV62" s="33"/>
      <c r="BW62" s="33"/>
      <c r="BX62" s="33"/>
      <c r="BY62" s="33"/>
      <c r="BZ62" s="33"/>
      <c r="CA62" s="33"/>
      <c r="CB62" s="33"/>
      <c r="CC62" s="33"/>
      <c r="CD62" s="33"/>
      <c r="CE62" s="33"/>
      <c r="CF62" s="33"/>
      <c r="CG62" s="33"/>
      <c r="CH62" s="33"/>
      <c r="CI62" s="250"/>
      <c r="CJ62" s="243"/>
      <c r="CK62" s="38">
        <f t="shared" si="22"/>
        <v>0.69440011152844261</v>
      </c>
      <c r="CL62" s="247"/>
      <c r="CM62" s="247"/>
      <c r="CN62" s="247"/>
      <c r="CO62" s="41"/>
      <c r="CP62" s="143" t="s">
        <v>5858</v>
      </c>
      <c r="CQ62" s="241" t="s">
        <v>272</v>
      </c>
      <c r="CR62" s="241"/>
      <c r="CS62" s="33"/>
      <c r="CT62" s="33"/>
      <c r="CU62" s="250"/>
      <c r="CV62" s="337">
        <f t="shared" si="23"/>
        <v>333.33333331226663</v>
      </c>
      <c r="CW62" s="330">
        <f>IF(CV62&lt;1,0,1)</f>
        <v>1</v>
      </c>
      <c r="CX62" s="330"/>
      <c r="CY62" s="143" t="s">
        <v>6351</v>
      </c>
    </row>
    <row r="63" spans="1:103" ht="11.25" customHeight="1" x14ac:dyDescent="0.2">
      <c r="A63" s="72">
        <v>1792</v>
      </c>
      <c r="B63" s="241">
        <v>2143</v>
      </c>
      <c r="C63" s="32" t="s">
        <v>7689</v>
      </c>
      <c r="D63" s="32"/>
      <c r="E63" s="40"/>
      <c r="F63" s="40" t="s">
        <v>2050</v>
      </c>
      <c r="G63" s="242">
        <v>335671</v>
      </c>
      <c r="H63" s="41" t="s">
        <v>5863</v>
      </c>
      <c r="I63" s="41" t="s">
        <v>8221</v>
      </c>
      <c r="J63" s="41" t="s">
        <v>5864</v>
      </c>
      <c r="K63" s="41" t="s">
        <v>426</v>
      </c>
      <c r="L63" s="41"/>
      <c r="M63" s="41"/>
      <c r="N63" s="36"/>
      <c r="O63" s="41"/>
      <c r="P63" s="41"/>
      <c r="Q63" s="41"/>
      <c r="R63" s="41"/>
      <c r="S63" s="41"/>
      <c r="T63" s="33">
        <v>414.07</v>
      </c>
      <c r="U63" s="250"/>
      <c r="V63" s="250">
        <v>0.48130000000000001</v>
      </c>
      <c r="W63" s="250">
        <v>443.6839987197352</v>
      </c>
      <c r="X63" s="250">
        <v>443.6839987197352</v>
      </c>
      <c r="Y63" s="415">
        <v>2.98</v>
      </c>
      <c r="Z63" s="33">
        <v>4.8099999999999996</v>
      </c>
      <c r="AA63" s="33"/>
      <c r="AB63" s="33">
        <v>4.2</v>
      </c>
      <c r="AC63" s="33">
        <v>0.57179999999999997</v>
      </c>
      <c r="AD63" s="33">
        <v>5.57</v>
      </c>
      <c r="AE63" s="33">
        <v>7.75</v>
      </c>
      <c r="AF63" s="33">
        <f t="shared" si="19"/>
        <v>5.57</v>
      </c>
      <c r="AG63" s="34">
        <v>3.71</v>
      </c>
      <c r="AH63" s="250">
        <v>9.0800000000000006E-2</v>
      </c>
      <c r="AI63" s="250"/>
      <c r="AJ63" s="34">
        <f t="shared" si="20"/>
        <v>0.56951952220843338</v>
      </c>
      <c r="AK63" s="34"/>
      <c r="AL63" s="34">
        <f t="shared" si="21"/>
        <v>0.56951952220843338</v>
      </c>
      <c r="AM63" s="34">
        <v>-2.2879299999999998</v>
      </c>
      <c r="AN63" s="251"/>
      <c r="AO63" s="417">
        <v>0.5</v>
      </c>
      <c r="AP63" s="417"/>
      <c r="AQ63" s="251" t="s">
        <v>6311</v>
      </c>
      <c r="AR63" s="251" t="s">
        <v>6311</v>
      </c>
      <c r="AS63" s="252" t="s">
        <v>5466</v>
      </c>
      <c r="AT63" s="35" t="s">
        <v>266</v>
      </c>
      <c r="AU63" s="33">
        <v>0</v>
      </c>
      <c r="AV63" s="33">
        <v>144</v>
      </c>
      <c r="AW63" s="33">
        <v>144</v>
      </c>
      <c r="AX63" s="33">
        <v>26</v>
      </c>
      <c r="AY63" s="33" t="s">
        <v>267</v>
      </c>
      <c r="AZ63" s="33" t="s">
        <v>5855</v>
      </c>
      <c r="BA63" s="33">
        <v>24</v>
      </c>
      <c r="BB63" s="41" t="s">
        <v>5856</v>
      </c>
      <c r="BC63" s="41" t="s">
        <v>5597</v>
      </c>
      <c r="BD63" s="41"/>
      <c r="BE63" s="33" t="s">
        <v>2449</v>
      </c>
      <c r="BF63" s="33"/>
      <c r="BG63" s="33"/>
      <c r="BH63" s="33"/>
      <c r="BI63" s="250">
        <v>3.0000000886400002</v>
      </c>
      <c r="BJ63" s="250">
        <v>999.99999987164995</v>
      </c>
      <c r="BK63" s="254"/>
      <c r="BL63" s="263">
        <v>1.0186213306013063</v>
      </c>
      <c r="BM63" s="33"/>
      <c r="BN63" s="33"/>
      <c r="BO63" s="33"/>
      <c r="BP63" s="33"/>
      <c r="BQ63" s="33"/>
      <c r="BR63" s="33"/>
      <c r="BS63" s="33"/>
      <c r="BT63" s="33">
        <v>430.00000000692</v>
      </c>
      <c r="BU63" s="246"/>
      <c r="BV63" s="33"/>
      <c r="BW63" s="33"/>
      <c r="BX63" s="33"/>
      <c r="BY63" s="33"/>
      <c r="BZ63" s="33"/>
      <c r="CA63" s="33"/>
      <c r="CB63" s="33"/>
      <c r="CC63" s="33"/>
      <c r="CD63" s="33"/>
      <c r="CE63" s="33"/>
      <c r="CF63" s="33"/>
      <c r="CG63" s="33"/>
      <c r="CH63" s="33"/>
      <c r="CI63" s="250">
        <v>430.00000000692</v>
      </c>
      <c r="CJ63" s="243">
        <f>LOG10(CI63)</f>
        <v>2.6334684555865757</v>
      </c>
      <c r="CK63" s="38">
        <f t="shared" si="22"/>
        <v>1.0186213307320465E-3</v>
      </c>
      <c r="CL63" s="247">
        <f>BL63/CI63</f>
        <v>2.3688868153137524E-3</v>
      </c>
      <c r="CM63" s="247"/>
      <c r="CN63" s="247"/>
      <c r="CO63" s="41"/>
      <c r="CP63" s="143" t="s">
        <v>5858</v>
      </c>
      <c r="CQ63" s="241" t="s">
        <v>272</v>
      </c>
      <c r="CR63" s="241"/>
      <c r="CS63" s="33"/>
      <c r="CT63" s="33"/>
      <c r="CU63" s="250">
        <f>X63/CI63</f>
        <v>1.0318232528199882</v>
      </c>
      <c r="CV63" s="337">
        <f t="shared" si="23"/>
        <v>0.44368399877668208</v>
      </c>
      <c r="CW63" s="330">
        <f>IF(CU63&lt;2,0,1)</f>
        <v>0</v>
      </c>
      <c r="CX63" s="330"/>
      <c r="CY63" s="143" t="s">
        <v>5921</v>
      </c>
    </row>
    <row r="64" spans="1:103" ht="11.25" customHeight="1" x14ac:dyDescent="0.2">
      <c r="A64" s="72">
        <v>1793</v>
      </c>
      <c r="B64" s="241">
        <v>2142</v>
      </c>
      <c r="C64" s="32" t="s">
        <v>7690</v>
      </c>
      <c r="D64" s="32"/>
      <c r="E64" s="40"/>
      <c r="F64" s="40" t="s">
        <v>5859</v>
      </c>
      <c r="G64" s="242">
        <v>375224</v>
      </c>
      <c r="H64" s="41" t="s">
        <v>5860</v>
      </c>
      <c r="I64" s="41" t="s">
        <v>8222</v>
      </c>
      <c r="J64" s="41" t="s">
        <v>5861</v>
      </c>
      <c r="K64" s="41" t="s">
        <v>426</v>
      </c>
      <c r="L64" s="41"/>
      <c r="M64" s="41"/>
      <c r="N64" s="36"/>
      <c r="O64" s="41"/>
      <c r="P64" s="41"/>
      <c r="Q64" s="41"/>
      <c r="R64" s="41"/>
      <c r="S64" s="41"/>
      <c r="T64" s="33">
        <v>214.04</v>
      </c>
      <c r="U64" s="250"/>
      <c r="V64" s="250">
        <v>1373</v>
      </c>
      <c r="W64" s="250">
        <v>10244.59849607375</v>
      </c>
      <c r="X64" s="250">
        <v>10244.59849607375</v>
      </c>
      <c r="Y64" s="415">
        <v>1.37</v>
      </c>
      <c r="Z64" s="33">
        <v>2.14</v>
      </c>
      <c r="AA64" s="33"/>
      <c r="AB64" s="33">
        <v>1.71</v>
      </c>
      <c r="AC64" s="33">
        <v>0.56689999999999996</v>
      </c>
      <c r="AD64" s="33">
        <v>2.62</v>
      </c>
      <c r="AE64" s="33">
        <v>3.93</v>
      </c>
      <c r="AF64" s="33">
        <f t="shared" si="19"/>
        <v>2.62</v>
      </c>
      <c r="AG64" s="34">
        <v>2.62</v>
      </c>
      <c r="AH64" s="250">
        <v>1.1900000000000001E-4</v>
      </c>
      <c r="AI64" s="250"/>
      <c r="AJ64" s="34">
        <f t="shared" si="20"/>
        <v>-2.3130193649201209</v>
      </c>
      <c r="AK64" s="34"/>
      <c r="AL64" s="34">
        <f t="shared" si="21"/>
        <v>-2.3130193649201209</v>
      </c>
      <c r="AM64" s="34">
        <v>-4.2505699999999997</v>
      </c>
      <c r="AN64" s="251"/>
      <c r="AO64" s="417">
        <v>0.37</v>
      </c>
      <c r="AP64" s="417"/>
      <c r="AQ64" s="251" t="s">
        <v>6311</v>
      </c>
      <c r="AR64" s="251" t="s">
        <v>6311</v>
      </c>
      <c r="AS64" s="252" t="s">
        <v>5466</v>
      </c>
      <c r="AT64" s="35" t="s">
        <v>266</v>
      </c>
      <c r="AU64" s="33">
        <v>0</v>
      </c>
      <c r="AV64" s="33">
        <v>144</v>
      </c>
      <c r="AW64" s="33">
        <v>144</v>
      </c>
      <c r="AX64" s="33">
        <v>26</v>
      </c>
      <c r="AY64" s="33" t="s">
        <v>267</v>
      </c>
      <c r="AZ64" s="33" t="s">
        <v>5855</v>
      </c>
      <c r="BA64" s="33">
        <v>24</v>
      </c>
      <c r="BB64" s="41" t="s">
        <v>5856</v>
      </c>
      <c r="BC64" s="41" t="s">
        <v>5597</v>
      </c>
      <c r="BD64" s="41"/>
      <c r="BE64" s="33" t="s">
        <v>2449</v>
      </c>
      <c r="BF64" s="33"/>
      <c r="BG64" s="33"/>
      <c r="BH64" s="33"/>
      <c r="BI64" s="250">
        <v>9.9999999555599981</v>
      </c>
      <c r="BJ64" s="250">
        <v>2999.9999995103999</v>
      </c>
      <c r="BK64" s="254"/>
      <c r="BL64" s="263">
        <v>131.63183703867455</v>
      </c>
      <c r="BM64" s="33"/>
      <c r="BN64" s="33"/>
      <c r="BO64" s="33"/>
      <c r="BP64" s="33"/>
      <c r="BQ64" s="33"/>
      <c r="BR64" s="33"/>
      <c r="BS64" s="33"/>
      <c r="BT64" s="33" t="e">
        <v>#VALUE!</v>
      </c>
      <c r="BU64" s="246"/>
      <c r="BV64" s="33"/>
      <c r="BW64" s="33"/>
      <c r="BX64" s="33"/>
      <c r="BY64" s="33"/>
      <c r="BZ64" s="33"/>
      <c r="CA64" s="33"/>
      <c r="CB64" s="33"/>
      <c r="CC64" s="33"/>
      <c r="CD64" s="33"/>
      <c r="CE64" s="33"/>
      <c r="CF64" s="33"/>
      <c r="CG64" s="33"/>
      <c r="CH64" s="33"/>
      <c r="CI64" s="250"/>
      <c r="CJ64" s="243"/>
      <c r="CK64" s="38">
        <f t="shared" si="22"/>
        <v>4.3877279020052291E-2</v>
      </c>
      <c r="CL64" s="247"/>
      <c r="CM64" s="247"/>
      <c r="CN64" s="247"/>
      <c r="CO64" s="41"/>
      <c r="CP64" s="143" t="s">
        <v>5858</v>
      </c>
      <c r="CQ64" s="241" t="s">
        <v>272</v>
      </c>
      <c r="CR64" s="241"/>
      <c r="CS64" s="33"/>
      <c r="CT64" s="33"/>
      <c r="CU64" s="250"/>
      <c r="CV64" s="337">
        <f t="shared" si="23"/>
        <v>3.4148661659152229</v>
      </c>
      <c r="CW64" s="330">
        <f>IF(CV64&lt;1,0,1)</f>
        <v>1</v>
      </c>
      <c r="CX64" s="330"/>
      <c r="CY64" s="143" t="s">
        <v>5921</v>
      </c>
    </row>
    <row r="65" spans="1:103" ht="11.25" customHeight="1" x14ac:dyDescent="0.2">
      <c r="A65" s="72">
        <v>1794</v>
      </c>
      <c r="B65" s="241">
        <v>2146</v>
      </c>
      <c r="C65" s="32" t="s">
        <v>7691</v>
      </c>
      <c r="D65" s="32"/>
      <c r="E65" s="40"/>
      <c r="F65" s="40" t="s">
        <v>5869</v>
      </c>
      <c r="G65" s="242">
        <v>375735</v>
      </c>
      <c r="H65" s="41" t="s">
        <v>5870</v>
      </c>
      <c r="I65" s="41" t="s">
        <v>5870</v>
      </c>
      <c r="J65" s="41" t="s">
        <v>5871</v>
      </c>
      <c r="K65" s="41" t="s">
        <v>426</v>
      </c>
      <c r="L65" s="41"/>
      <c r="M65" s="41"/>
      <c r="N65" s="36"/>
      <c r="O65" s="41"/>
      <c r="P65" s="41"/>
      <c r="Q65" s="41"/>
      <c r="R65" s="41"/>
      <c r="S65" s="41"/>
      <c r="T65" s="33">
        <v>300.10000000000002</v>
      </c>
      <c r="U65" s="250"/>
      <c r="V65" s="250">
        <v>344</v>
      </c>
      <c r="W65" s="250">
        <v>993724.49556925613</v>
      </c>
      <c r="X65" s="250">
        <v>993724.49556925613</v>
      </c>
      <c r="Y65" s="415">
        <v>-0.52</v>
      </c>
      <c r="Z65" s="33">
        <v>1.82</v>
      </c>
      <c r="AA65" s="33"/>
      <c r="AB65" s="33">
        <v>0.19</v>
      </c>
      <c r="AC65" s="33">
        <v>0.44590000000000002</v>
      </c>
      <c r="AD65" s="33">
        <v>1.94</v>
      </c>
      <c r="AE65" s="33">
        <v>3.68</v>
      </c>
      <c r="AF65" s="33">
        <f t="shared" si="19"/>
        <v>1.94</v>
      </c>
      <c r="AG65" s="34">
        <v>1.94</v>
      </c>
      <c r="AH65" s="250">
        <v>1.4399999999999999E-5</v>
      </c>
      <c r="AI65" s="250"/>
      <c r="AJ65" s="34">
        <f t="shared" si="20"/>
        <v>-3.2302038342174022</v>
      </c>
      <c r="AK65" s="34"/>
      <c r="AL65" s="34">
        <f t="shared" si="21"/>
        <v>-3.2302038342174022</v>
      </c>
      <c r="AM65" s="34">
        <v>-5.9927100000000006</v>
      </c>
      <c r="AN65" s="251"/>
      <c r="AO65" s="417">
        <v>-3.57</v>
      </c>
      <c r="AP65" s="417"/>
      <c r="AQ65" s="251" t="s">
        <v>6311</v>
      </c>
      <c r="AR65" s="251" t="s">
        <v>6311</v>
      </c>
      <c r="AS65" s="252" t="s">
        <v>5466</v>
      </c>
      <c r="AT65" s="35" t="s">
        <v>266</v>
      </c>
      <c r="AU65" s="33">
        <v>0</v>
      </c>
      <c r="AV65" s="33">
        <v>144</v>
      </c>
      <c r="AW65" s="33">
        <v>144</v>
      </c>
      <c r="AX65" s="33">
        <v>26</v>
      </c>
      <c r="AY65" s="33" t="s">
        <v>267</v>
      </c>
      <c r="AZ65" s="33" t="s">
        <v>5855</v>
      </c>
      <c r="BA65" s="33">
        <v>24</v>
      </c>
      <c r="BB65" s="41" t="s">
        <v>5856</v>
      </c>
      <c r="BC65" s="41" t="s">
        <v>5597</v>
      </c>
      <c r="BD65" s="41"/>
      <c r="BE65" s="33" t="s">
        <v>2449</v>
      </c>
      <c r="BF65" s="33"/>
      <c r="BG65" s="33"/>
      <c r="BH65" s="33"/>
      <c r="BI65" s="250">
        <v>10.000000022600002</v>
      </c>
      <c r="BJ65" s="250">
        <v>2999.9999998777002</v>
      </c>
      <c r="BK65" s="254"/>
      <c r="BL65" s="263">
        <v>357.70416372480673</v>
      </c>
      <c r="BM65" s="33"/>
      <c r="BN65" s="33"/>
      <c r="BO65" s="33"/>
      <c r="BP65" s="33"/>
      <c r="BQ65" s="33"/>
      <c r="BR65" s="33"/>
      <c r="BS65" s="33"/>
      <c r="BT65" s="33">
        <v>1500.0000000889002</v>
      </c>
      <c r="BU65" s="246"/>
      <c r="BV65" s="33"/>
      <c r="BW65" s="33"/>
      <c r="BX65" s="33"/>
      <c r="BY65" s="33"/>
      <c r="BZ65" s="33"/>
      <c r="CA65" s="33"/>
      <c r="CB65" s="33"/>
      <c r="CC65" s="33"/>
      <c r="CD65" s="33"/>
      <c r="CE65" s="33"/>
      <c r="CF65" s="33"/>
      <c r="CG65" s="33"/>
      <c r="CH65" s="33"/>
      <c r="CI65" s="250">
        <v>1500.0000000889002</v>
      </c>
      <c r="CJ65" s="243">
        <f>LOG10(CI65)</f>
        <v>3.1760912590814203</v>
      </c>
      <c r="CK65" s="38">
        <f t="shared" si="22"/>
        <v>0.11923472124646303</v>
      </c>
      <c r="CL65" s="247">
        <f>BL65/CI65</f>
        <v>0.23846944246907117</v>
      </c>
      <c r="CM65" s="247"/>
      <c r="CN65" s="247"/>
      <c r="CO65" s="41"/>
      <c r="CP65" s="143" t="s">
        <v>5858</v>
      </c>
      <c r="CQ65" s="241" t="s">
        <v>272</v>
      </c>
      <c r="CR65" s="241"/>
      <c r="CS65" s="33"/>
      <c r="CT65" s="33"/>
      <c r="CU65" s="250">
        <f>X65/CI65</f>
        <v>662.48299700690757</v>
      </c>
      <c r="CV65" s="337">
        <f t="shared" si="23"/>
        <v>331.24149853658895</v>
      </c>
      <c r="CW65" s="330">
        <f>IF(CU65&lt;2,0,1)</f>
        <v>1</v>
      </c>
      <c r="CX65" s="330"/>
      <c r="CY65" s="143" t="s">
        <v>5921</v>
      </c>
    </row>
    <row r="66" spans="1:103" ht="11.25" customHeight="1" x14ac:dyDescent="0.2">
      <c r="A66" s="72">
        <v>1795</v>
      </c>
      <c r="B66" s="241">
        <v>2144</v>
      </c>
      <c r="C66" s="32" t="s">
        <v>7692</v>
      </c>
      <c r="D66" s="32"/>
      <c r="E66" s="40"/>
      <c r="F66" s="40" t="s">
        <v>3397</v>
      </c>
      <c r="G66" s="242">
        <v>375951</v>
      </c>
      <c r="H66" s="41" t="s">
        <v>3398</v>
      </c>
      <c r="I66" s="41" t="s">
        <v>3398</v>
      </c>
      <c r="J66" s="41" t="s">
        <v>5865</v>
      </c>
      <c r="K66" s="41" t="s">
        <v>426</v>
      </c>
      <c r="L66" s="41"/>
      <c r="M66" s="41"/>
      <c r="N66" s="36"/>
      <c r="O66" s="41"/>
      <c r="P66" s="41"/>
      <c r="Q66" s="41"/>
      <c r="R66" s="41"/>
      <c r="S66" s="41"/>
      <c r="T66" s="33">
        <v>464.08</v>
      </c>
      <c r="U66" s="250"/>
      <c r="V66" s="250">
        <v>6.2579999999999997E-2</v>
      </c>
      <c r="W66" s="250">
        <v>212.12548703647116</v>
      </c>
      <c r="X66" s="250">
        <v>212.12548703647116</v>
      </c>
      <c r="Y66" s="415">
        <v>3.35</v>
      </c>
      <c r="Z66" s="33">
        <v>5.48</v>
      </c>
      <c r="AA66" s="33"/>
      <c r="AB66" s="33">
        <v>4.82</v>
      </c>
      <c r="AC66" s="33">
        <v>0.4753</v>
      </c>
      <c r="AD66" s="33">
        <v>6.59</v>
      </c>
      <c r="AE66" s="33">
        <v>8.64</v>
      </c>
      <c r="AF66" s="33">
        <f t="shared" si="19"/>
        <v>6.59</v>
      </c>
      <c r="AG66" s="34">
        <v>6.59</v>
      </c>
      <c r="AH66" s="250">
        <v>0.47699999999999998</v>
      </c>
      <c r="AI66" s="250"/>
      <c r="AJ66" s="34">
        <f t="shared" si="20"/>
        <v>1.2899520527274622</v>
      </c>
      <c r="AK66" s="34"/>
      <c r="AL66" s="34">
        <f t="shared" si="21"/>
        <v>1.2899520527274622</v>
      </c>
      <c r="AM66" s="34">
        <v>-1.7607900000000001</v>
      </c>
      <c r="AN66" s="251"/>
      <c r="AO66" s="417">
        <v>0.52</v>
      </c>
      <c r="AP66" s="417"/>
      <c r="AQ66" s="251" t="s">
        <v>6311</v>
      </c>
      <c r="AR66" s="251" t="s">
        <v>6311</v>
      </c>
      <c r="AS66" s="252" t="s">
        <v>5466</v>
      </c>
      <c r="AT66" s="35" t="s">
        <v>266</v>
      </c>
      <c r="AU66" s="33">
        <v>0</v>
      </c>
      <c r="AV66" s="33">
        <v>144</v>
      </c>
      <c r="AW66" s="33">
        <v>144</v>
      </c>
      <c r="AX66" s="33">
        <v>26</v>
      </c>
      <c r="AY66" s="33" t="s">
        <v>267</v>
      </c>
      <c r="AZ66" s="33" t="s">
        <v>5855</v>
      </c>
      <c r="BA66" s="33">
        <v>24</v>
      </c>
      <c r="BB66" s="41" t="s">
        <v>5856</v>
      </c>
      <c r="BC66" s="41" t="s">
        <v>5597</v>
      </c>
      <c r="BD66" s="41"/>
      <c r="BE66" s="33" t="s">
        <v>2449</v>
      </c>
      <c r="BF66" s="33"/>
      <c r="BG66" s="33"/>
      <c r="BH66" s="33"/>
      <c r="BI66" s="250">
        <v>2.999998752E-2</v>
      </c>
      <c r="BJ66" s="250">
        <v>10.00000001672</v>
      </c>
      <c r="BK66" s="254"/>
      <c r="BL66" s="263">
        <v>0.28563067911757084</v>
      </c>
      <c r="BM66" s="33"/>
      <c r="BN66" s="33"/>
      <c r="BO66" s="33"/>
      <c r="BP66" s="33"/>
      <c r="BQ66" s="33"/>
      <c r="BR66" s="33"/>
      <c r="BS66" s="33"/>
      <c r="BT66" s="33" t="e">
        <v>#VALUE!</v>
      </c>
      <c r="BU66" s="246"/>
      <c r="BV66" s="33"/>
      <c r="BW66" s="33"/>
      <c r="BX66" s="33"/>
      <c r="BY66" s="33"/>
      <c r="BZ66" s="33"/>
      <c r="CA66" s="33"/>
      <c r="CB66" s="33"/>
      <c r="CC66" s="33"/>
      <c r="CD66" s="33"/>
      <c r="CE66" s="33"/>
      <c r="CF66" s="33"/>
      <c r="CG66" s="33"/>
      <c r="CH66" s="33"/>
      <c r="CI66" s="250"/>
      <c r="CJ66" s="243"/>
      <c r="CK66" s="38">
        <f t="shared" si="22"/>
        <v>2.8563067863999637E-2</v>
      </c>
      <c r="CL66" s="247"/>
      <c r="CM66" s="247"/>
      <c r="CN66" s="247"/>
      <c r="CO66" s="41"/>
      <c r="CP66" s="143" t="s">
        <v>5858</v>
      </c>
      <c r="CQ66" s="241" t="s">
        <v>272</v>
      </c>
      <c r="CR66" s="241"/>
      <c r="CS66" s="33"/>
      <c r="CT66" s="33"/>
      <c r="CU66" s="250"/>
      <c r="CV66" s="337">
        <f t="shared" si="23"/>
        <v>21.212548668179736</v>
      </c>
      <c r="CW66" s="330">
        <f>IF(CV66&lt;1,0,1)</f>
        <v>1</v>
      </c>
      <c r="CX66" s="330"/>
      <c r="CY66" s="143" t="s">
        <v>5921</v>
      </c>
    </row>
    <row r="67" spans="1:103" ht="11.25" customHeight="1" x14ac:dyDescent="0.2">
      <c r="A67" s="72">
        <v>1843</v>
      </c>
      <c r="B67" s="241">
        <v>2147</v>
      </c>
      <c r="C67" s="32" t="s">
        <v>7731</v>
      </c>
      <c r="D67" s="32"/>
      <c r="E67" s="40"/>
      <c r="F67" s="40" t="s">
        <v>1355</v>
      </c>
      <c r="G67" s="242">
        <v>1763231</v>
      </c>
      <c r="H67" s="41" t="s">
        <v>1356</v>
      </c>
      <c r="I67" s="41" t="s">
        <v>1356</v>
      </c>
      <c r="J67" s="41" t="s">
        <v>5872</v>
      </c>
      <c r="K67" s="41" t="s">
        <v>426</v>
      </c>
      <c r="L67" s="41"/>
      <c r="M67" s="41"/>
      <c r="N67" s="36"/>
      <c r="O67" s="41"/>
      <c r="P67" s="41"/>
      <c r="Q67" s="41"/>
      <c r="R67" s="41"/>
      <c r="S67" s="41"/>
      <c r="T67" s="33">
        <v>500.13</v>
      </c>
      <c r="U67" s="250"/>
      <c r="V67" s="250">
        <v>0.10390000000000001</v>
      </c>
      <c r="W67" s="250">
        <v>2685.8571231865435</v>
      </c>
      <c r="X67" s="250">
        <v>2685.8571231865435</v>
      </c>
      <c r="Y67" s="415">
        <v>2.27</v>
      </c>
      <c r="Z67" s="33">
        <v>4.49</v>
      </c>
      <c r="AA67" s="33"/>
      <c r="AB67" s="33">
        <v>2.3199999999999998</v>
      </c>
      <c r="AC67" s="33">
        <v>0.56120000000000003</v>
      </c>
      <c r="AD67" s="33">
        <v>4.16</v>
      </c>
      <c r="AE67" s="33">
        <v>7.03</v>
      </c>
      <c r="AF67" s="33">
        <f t="shared" si="19"/>
        <v>4.16</v>
      </c>
      <c r="AG67" s="34">
        <v>4.3899999999999997</v>
      </c>
      <c r="AH67" s="250">
        <v>1.0999999999999999E-2</v>
      </c>
      <c r="AI67" s="250"/>
      <c r="AJ67" s="34">
        <f t="shared" si="20"/>
        <v>-0.34717364115442678</v>
      </c>
      <c r="AK67" s="34"/>
      <c r="AL67" s="34">
        <f t="shared" si="21"/>
        <v>-0.34717364115442678</v>
      </c>
      <c r="AM67" s="34">
        <v>-3.9819300000000002</v>
      </c>
      <c r="AN67" s="251"/>
      <c r="AO67" s="417">
        <v>-3.27</v>
      </c>
      <c r="AP67" s="417"/>
      <c r="AQ67" s="251" t="s">
        <v>6311</v>
      </c>
      <c r="AR67" s="251" t="s">
        <v>6311</v>
      </c>
      <c r="AS67" s="252" t="s">
        <v>5466</v>
      </c>
      <c r="AT67" s="35" t="s">
        <v>266</v>
      </c>
      <c r="AU67" s="33">
        <v>0</v>
      </c>
      <c r="AV67" s="33">
        <v>144</v>
      </c>
      <c r="AW67" s="33">
        <v>144</v>
      </c>
      <c r="AX67" s="33">
        <v>26</v>
      </c>
      <c r="AY67" s="33" t="s">
        <v>267</v>
      </c>
      <c r="AZ67" s="33" t="s">
        <v>5855</v>
      </c>
      <c r="BA67" s="33">
        <v>24</v>
      </c>
      <c r="BB67" s="41" t="s">
        <v>5856</v>
      </c>
      <c r="BC67" s="41" t="s">
        <v>5597</v>
      </c>
      <c r="BD67" s="41"/>
      <c r="BE67" s="33" t="s">
        <v>2449</v>
      </c>
      <c r="BF67" s="33"/>
      <c r="BG67" s="33"/>
      <c r="BH67" s="33"/>
      <c r="BI67" s="250">
        <v>2.9999997972000002E-2</v>
      </c>
      <c r="BJ67" s="250">
        <v>9.9999998241300005</v>
      </c>
      <c r="BK67" s="254"/>
      <c r="BL67" s="263">
        <v>2.3845910314689278</v>
      </c>
      <c r="BM67" s="33"/>
      <c r="BN67" s="33"/>
      <c r="BO67" s="33"/>
      <c r="BP67" s="33"/>
      <c r="BQ67" s="33"/>
      <c r="BR67" s="33"/>
      <c r="BS67" s="33"/>
      <c r="BT67" s="33" t="e">
        <v>#VALUE!</v>
      </c>
      <c r="BU67" s="246"/>
      <c r="BV67" s="33"/>
      <c r="BW67" s="33"/>
      <c r="BX67" s="33"/>
      <c r="BY67" s="33"/>
      <c r="BZ67" s="33"/>
      <c r="CA67" s="33"/>
      <c r="CB67" s="33"/>
      <c r="CC67" s="33"/>
      <c r="CD67" s="33"/>
      <c r="CE67" s="33"/>
      <c r="CF67" s="33"/>
      <c r="CG67" s="33"/>
      <c r="CH67" s="33"/>
      <c r="CI67" s="250"/>
      <c r="CJ67" s="243"/>
      <c r="CK67" s="38">
        <f t="shared" si="22"/>
        <v>0.23845910734067308</v>
      </c>
      <c r="CL67" s="247"/>
      <c r="CM67" s="247"/>
      <c r="CN67" s="247"/>
      <c r="CO67" s="41"/>
      <c r="CP67" s="143" t="s">
        <v>5858</v>
      </c>
      <c r="CQ67" s="241" t="s">
        <v>272</v>
      </c>
      <c r="CR67" s="241"/>
      <c r="CS67" s="33"/>
      <c r="CT67" s="33"/>
      <c r="CU67" s="250"/>
      <c r="CV67" s="337">
        <f t="shared" si="23"/>
        <v>268.58571704227137</v>
      </c>
      <c r="CW67" s="330">
        <f>IF(CV67&lt;1,0,1)</f>
        <v>1</v>
      </c>
      <c r="CX67" s="330"/>
      <c r="CY67" s="143" t="s">
        <v>5921</v>
      </c>
    </row>
    <row r="68" spans="1:103" ht="11.25" customHeight="1" x14ac:dyDescent="0.2">
      <c r="A68" s="72">
        <v>18</v>
      </c>
      <c r="B68" s="149">
        <v>796</v>
      </c>
      <c r="C68" s="54" t="s">
        <v>2238</v>
      </c>
      <c r="D68" s="54" t="s">
        <v>8354</v>
      </c>
      <c r="E68" s="59"/>
      <c r="F68" s="59" t="s">
        <v>2239</v>
      </c>
      <c r="G68" s="151">
        <v>58559</v>
      </c>
      <c r="H68" s="55" t="s">
        <v>2240</v>
      </c>
      <c r="I68" s="55" t="s">
        <v>2240</v>
      </c>
      <c r="J68" s="55" t="s">
        <v>2241</v>
      </c>
      <c r="K68" s="55" t="s">
        <v>333</v>
      </c>
      <c r="L68" s="64" t="s">
        <v>279</v>
      </c>
      <c r="M68" s="55" t="s">
        <v>2242</v>
      </c>
      <c r="N68" s="60"/>
      <c r="O68" s="55" t="s">
        <v>281</v>
      </c>
      <c r="P68" s="67"/>
      <c r="Q68" s="67"/>
      <c r="R68" s="67"/>
      <c r="S68" s="67"/>
      <c r="T68" s="56">
        <v>180.16</v>
      </c>
      <c r="U68" s="103">
        <v>7360.0000000000009</v>
      </c>
      <c r="V68" s="103">
        <v>2912.0000000000005</v>
      </c>
      <c r="W68" s="103">
        <v>9454.9312038599001</v>
      </c>
      <c r="X68" s="103">
        <v>7360.0000000000009</v>
      </c>
      <c r="Y68" s="162">
        <v>5.28</v>
      </c>
      <c r="Z68" s="56">
        <v>-0.39</v>
      </c>
      <c r="AA68" s="56">
        <v>-0.04</v>
      </c>
      <c r="AB68" s="56">
        <v>0.1</v>
      </c>
      <c r="AC68" s="56">
        <v>0.69630000000000003</v>
      </c>
      <c r="AD68" s="56">
        <v>0</v>
      </c>
      <c r="AE68" s="56">
        <v>-0.17</v>
      </c>
      <c r="AF68" s="56">
        <f t="shared" si="19"/>
        <v>-0.04</v>
      </c>
      <c r="AG68" s="57">
        <v>-0.21</v>
      </c>
      <c r="AH68" s="103">
        <v>1.6799999999999999E-12</v>
      </c>
      <c r="AI68" s="103"/>
      <c r="AJ68" s="62">
        <f t="shared" si="20"/>
        <v>-10.163257044586789</v>
      </c>
      <c r="AK68" s="62"/>
      <c r="AL68" s="62">
        <f t="shared" si="21"/>
        <v>-10.163257044586789</v>
      </c>
      <c r="AM68" s="62">
        <v>-15.289169999999999</v>
      </c>
      <c r="AN68" s="154">
        <v>-9.16</v>
      </c>
      <c r="AO68" s="410">
        <v>8.6</v>
      </c>
      <c r="AP68" s="410">
        <v>1.64</v>
      </c>
      <c r="AQ68" s="56" t="s">
        <v>6311</v>
      </c>
      <c r="AR68" s="56" t="s">
        <v>6311</v>
      </c>
      <c r="AS68" s="155" t="s">
        <v>6</v>
      </c>
      <c r="AT68" s="58" t="s">
        <v>266</v>
      </c>
      <c r="AU68" s="56">
        <v>0</v>
      </c>
      <c r="AV68" s="56">
        <v>120</v>
      </c>
      <c r="AW68" s="56">
        <v>120</v>
      </c>
      <c r="AX68" s="56">
        <v>26</v>
      </c>
      <c r="AY68" s="56" t="s">
        <v>647</v>
      </c>
      <c r="AZ68" s="56" t="s">
        <v>536</v>
      </c>
      <c r="BA68" s="56">
        <v>10</v>
      </c>
      <c r="BB68" s="55" t="s">
        <v>1764</v>
      </c>
      <c r="BC68" s="55" t="s">
        <v>538</v>
      </c>
      <c r="BD68" s="55"/>
      <c r="BE68" s="56" t="s">
        <v>271</v>
      </c>
      <c r="BF68" s="56" t="s">
        <v>539</v>
      </c>
      <c r="BG68" s="56">
        <v>7.5</v>
      </c>
      <c r="BH68" s="56" t="s">
        <v>272</v>
      </c>
      <c r="BI68" s="153">
        <v>30.627200000000002</v>
      </c>
      <c r="BJ68" s="153">
        <v>5017.4560000000001</v>
      </c>
      <c r="BK68" s="56" t="s">
        <v>2066</v>
      </c>
      <c r="BL68" s="153">
        <v>20735.636604380754</v>
      </c>
      <c r="BM68" s="56" t="s">
        <v>541</v>
      </c>
      <c r="BN68" s="56" t="e">
        <v>#VALUE!</v>
      </c>
      <c r="BO68" s="56">
        <v>1821.4175999999998</v>
      </c>
      <c r="BP68" s="56">
        <v>1135.008</v>
      </c>
      <c r="BQ68" s="56">
        <v>329.69280000000003</v>
      </c>
      <c r="BR68" s="56">
        <v>250.42239999999998</v>
      </c>
      <c r="BS68" s="56"/>
      <c r="BT68" s="56"/>
      <c r="BU68" s="158"/>
      <c r="BV68" s="56"/>
      <c r="BW68" s="56"/>
      <c r="BX68" s="56"/>
      <c r="BY68" s="56"/>
      <c r="BZ68" s="56"/>
      <c r="CA68" s="56"/>
      <c r="CB68" s="56"/>
      <c r="CC68" s="56"/>
      <c r="CD68" s="56"/>
      <c r="CE68" s="56"/>
      <c r="CF68" s="56"/>
      <c r="CG68" s="56"/>
      <c r="CH68" s="56"/>
      <c r="CI68" s="103">
        <v>250.42239999999998</v>
      </c>
      <c r="CJ68" s="103">
        <f>LOG10(CI68)</f>
        <v>2.3986731734253475</v>
      </c>
      <c r="CK68" s="57">
        <f t="shared" si="22"/>
        <v>4.1326992412849766</v>
      </c>
      <c r="CL68" s="160">
        <f>BL68/CI68</f>
        <v>82.802643071788921</v>
      </c>
      <c r="CM68" s="160"/>
      <c r="CN68" s="160"/>
      <c r="CO68" s="55"/>
      <c r="CP68" s="497" t="s">
        <v>2244</v>
      </c>
      <c r="CQ68" s="149" t="s">
        <v>272</v>
      </c>
      <c r="CR68" s="349"/>
      <c r="CS68" s="61" t="s">
        <v>539</v>
      </c>
      <c r="CT68" s="61" t="s">
        <v>6310</v>
      </c>
      <c r="CU68" s="111">
        <f>X68/CI68</f>
        <v>29.390342078024975</v>
      </c>
      <c r="CV68" s="331">
        <f t="shared" si="23"/>
        <v>1.4668788326195588</v>
      </c>
      <c r="CW68" s="326">
        <f>IF(CU68&lt;2,0,1)</f>
        <v>1</v>
      </c>
      <c r="CX68" s="326" t="s">
        <v>539</v>
      </c>
      <c r="CY68" s="161" t="s">
        <v>6351</v>
      </c>
    </row>
    <row r="69" spans="1:103" ht="11.25" customHeight="1" x14ac:dyDescent="0.2">
      <c r="A69" s="72">
        <v>45</v>
      </c>
      <c r="B69" s="149">
        <v>797</v>
      </c>
      <c r="C69" s="54" t="s">
        <v>2209</v>
      </c>
      <c r="D69" s="54" t="s">
        <v>6455</v>
      </c>
      <c r="E69" s="59"/>
      <c r="F69" s="59" t="s">
        <v>2210</v>
      </c>
      <c r="G69" s="151">
        <v>94757</v>
      </c>
      <c r="H69" s="55" t="s">
        <v>2211</v>
      </c>
      <c r="I69" s="55" t="s">
        <v>8006</v>
      </c>
      <c r="J69" s="55" t="s">
        <v>2212</v>
      </c>
      <c r="K69" s="55" t="s">
        <v>426</v>
      </c>
      <c r="L69" s="55" t="s">
        <v>6032</v>
      </c>
      <c r="M69" s="55" t="s">
        <v>6082</v>
      </c>
      <c r="N69" s="60" t="s">
        <v>6082</v>
      </c>
      <c r="O69" s="55" t="s">
        <v>6083</v>
      </c>
      <c r="P69" s="67"/>
      <c r="Q69" s="67"/>
      <c r="R69" s="67"/>
      <c r="S69" s="67"/>
      <c r="T69" s="56">
        <v>221.04</v>
      </c>
      <c r="U69" s="103">
        <v>677</v>
      </c>
      <c r="V69" s="103">
        <v>336.2</v>
      </c>
      <c r="W69" s="103">
        <v>715.27141927724961</v>
      </c>
      <c r="X69" s="103">
        <v>677</v>
      </c>
      <c r="Y69" s="162">
        <v>2.86</v>
      </c>
      <c r="Z69" s="56">
        <v>2.62</v>
      </c>
      <c r="AA69" s="56">
        <v>2.81</v>
      </c>
      <c r="AB69" s="56">
        <v>2.91</v>
      </c>
      <c r="AC69" s="56">
        <v>0.88449999999999995</v>
      </c>
      <c r="AD69" s="56">
        <v>2.84</v>
      </c>
      <c r="AE69" s="56">
        <v>2.58</v>
      </c>
      <c r="AF69" s="56">
        <f t="shared" si="19"/>
        <v>2.81</v>
      </c>
      <c r="AG69" s="57">
        <v>2.5099999999999998</v>
      </c>
      <c r="AH69" s="103">
        <v>9.2099999999999994E-9</v>
      </c>
      <c r="AI69" s="103">
        <v>3.5399999999999999E-8</v>
      </c>
      <c r="AJ69" s="62">
        <f t="shared" si="20"/>
        <v>-6.4243066961158029</v>
      </c>
      <c r="AK69" s="62">
        <f>LOG10(AI69*1000/(0.08206*298.15))</f>
        <v>-5.8395630642868639</v>
      </c>
      <c r="AL69" s="62">
        <f t="shared" si="21"/>
        <v>-5.8395630642868639</v>
      </c>
      <c r="AM69" s="62">
        <v>-9.8747099999999985</v>
      </c>
      <c r="AN69" s="154">
        <v>-7.63</v>
      </c>
      <c r="AO69" s="410">
        <v>2.98</v>
      </c>
      <c r="AP69" s="410"/>
      <c r="AQ69" s="56" t="s">
        <v>6311</v>
      </c>
      <c r="AR69" s="56" t="s">
        <v>6311</v>
      </c>
      <c r="AS69" s="155" t="s">
        <v>6</v>
      </c>
      <c r="AT69" s="58" t="s">
        <v>266</v>
      </c>
      <c r="AU69" s="56">
        <v>0</v>
      </c>
      <c r="AV69" s="56">
        <v>120</v>
      </c>
      <c r="AW69" s="56">
        <v>120</v>
      </c>
      <c r="AX69" s="56">
        <v>26</v>
      </c>
      <c r="AY69" s="56" t="s">
        <v>647</v>
      </c>
      <c r="AZ69" s="56" t="s">
        <v>536</v>
      </c>
      <c r="BA69" s="56">
        <v>10</v>
      </c>
      <c r="BB69" s="55" t="s">
        <v>1764</v>
      </c>
      <c r="BC69" s="55" t="s">
        <v>538</v>
      </c>
      <c r="BD69" s="55"/>
      <c r="BE69" s="56" t="s">
        <v>271</v>
      </c>
      <c r="BF69" s="56" t="s">
        <v>539</v>
      </c>
      <c r="BG69" s="56">
        <v>7.5</v>
      </c>
      <c r="BH69" s="56" t="s">
        <v>272</v>
      </c>
      <c r="BI69" s="153">
        <v>3.2200001999999999</v>
      </c>
      <c r="BJ69" s="153">
        <v>618.91199999999992</v>
      </c>
      <c r="BK69" s="56" t="s">
        <v>2066</v>
      </c>
      <c r="BL69" s="153">
        <v>50.37892218674029</v>
      </c>
      <c r="BM69" s="56" t="s">
        <v>541</v>
      </c>
      <c r="BN69" s="56" t="e">
        <v>#VALUE!</v>
      </c>
      <c r="BO69" s="56" t="e">
        <v>#VALUE!</v>
      </c>
      <c r="BP69" s="56">
        <v>568.07279999999992</v>
      </c>
      <c r="BQ69" s="56">
        <v>428.81759999999997</v>
      </c>
      <c r="BR69" s="56">
        <v>402.2928</v>
      </c>
      <c r="BS69" s="56"/>
      <c r="BT69" s="56"/>
      <c r="BU69" s="158"/>
      <c r="BV69" s="56"/>
      <c r="BW69" s="56"/>
      <c r="BX69" s="56"/>
      <c r="BY69" s="56"/>
      <c r="BZ69" s="56"/>
      <c r="CA69" s="56"/>
      <c r="CB69" s="56"/>
      <c r="CC69" s="56"/>
      <c r="CD69" s="56"/>
      <c r="CE69" s="56"/>
      <c r="CF69" s="56"/>
      <c r="CG69" s="56"/>
      <c r="CH69" s="56"/>
      <c r="CI69" s="103">
        <v>402.2928</v>
      </c>
      <c r="CJ69" s="103">
        <f>LOG10(CI69)</f>
        <v>2.6045422598935297</v>
      </c>
      <c r="CK69" s="57">
        <f t="shared" si="22"/>
        <v>8.1399168519499215E-2</v>
      </c>
      <c r="CL69" s="160">
        <f>BL69/CI69</f>
        <v>0.12522949002999878</v>
      </c>
      <c r="CM69" s="160">
        <v>2.2041199826559246</v>
      </c>
      <c r="CN69" s="160">
        <f>BJ69/(10^CM69)</f>
        <v>3.8682000000000007</v>
      </c>
      <c r="CO69" s="55" t="s">
        <v>2246</v>
      </c>
      <c r="CP69" s="497" t="s">
        <v>2244</v>
      </c>
      <c r="CQ69" s="149">
        <v>2.4844649999726776</v>
      </c>
      <c r="CR69" s="349">
        <f>10^(CJ69-CQ69)</f>
        <v>1.3184912740509995</v>
      </c>
      <c r="CS69" s="61" t="s">
        <v>539</v>
      </c>
      <c r="CT69" s="61" t="s">
        <v>6310</v>
      </c>
      <c r="CU69" s="111">
        <f>X69/CI69</f>
        <v>1.6828538815509499</v>
      </c>
      <c r="CV69" s="331">
        <f t="shared" si="23"/>
        <v>1.0938550230081177</v>
      </c>
      <c r="CW69" s="326">
        <f>IF(CU69&lt;2,0,1)</f>
        <v>0</v>
      </c>
      <c r="CX69" s="326" t="s">
        <v>539</v>
      </c>
      <c r="CY69" s="161" t="s">
        <v>5921</v>
      </c>
    </row>
    <row r="70" spans="1:103" ht="11.25" customHeight="1" x14ac:dyDescent="0.2">
      <c r="A70" s="72">
        <v>1637</v>
      </c>
      <c r="B70" s="241">
        <v>796</v>
      </c>
      <c r="C70" s="32" t="s">
        <v>2238</v>
      </c>
      <c r="D70" s="32" t="s">
        <v>8354</v>
      </c>
      <c r="E70" s="40"/>
      <c r="F70" s="40" t="s">
        <v>2239</v>
      </c>
      <c r="G70" s="242">
        <v>58559</v>
      </c>
      <c r="H70" s="36" t="s">
        <v>2240</v>
      </c>
      <c r="I70" s="36" t="s">
        <v>2240</v>
      </c>
      <c r="J70" s="36" t="s">
        <v>2241</v>
      </c>
      <c r="K70" s="36" t="s">
        <v>333</v>
      </c>
      <c r="L70" s="42" t="s">
        <v>279</v>
      </c>
      <c r="M70" s="36" t="s">
        <v>2242</v>
      </c>
      <c r="N70" s="36"/>
      <c r="O70" s="36" t="s">
        <v>281</v>
      </c>
      <c r="P70" s="41"/>
      <c r="Q70" s="41"/>
      <c r="R70" s="41"/>
      <c r="S70" s="41"/>
      <c r="T70" s="37">
        <v>180.16</v>
      </c>
      <c r="U70" s="243">
        <v>7360.0000000000009</v>
      </c>
      <c r="V70" s="243">
        <v>2912.0000000000005</v>
      </c>
      <c r="W70" s="243">
        <v>9454.9312038599001</v>
      </c>
      <c r="X70" s="243">
        <v>7360.0000000000009</v>
      </c>
      <c r="Y70" s="414">
        <v>5.28</v>
      </c>
      <c r="Z70" s="37">
        <v>-0.39</v>
      </c>
      <c r="AA70" s="37">
        <v>-0.04</v>
      </c>
      <c r="AB70" s="37">
        <v>0.1</v>
      </c>
      <c r="AC70" s="37">
        <v>0.69630000000000003</v>
      </c>
      <c r="AD70" s="37">
        <v>0</v>
      </c>
      <c r="AE70" s="37">
        <v>-0.17</v>
      </c>
      <c r="AF70" s="37">
        <f t="shared" si="19"/>
        <v>-0.04</v>
      </c>
      <c r="AG70" s="38">
        <v>-0.21</v>
      </c>
      <c r="AH70" s="243">
        <v>1.6799999999999999E-12</v>
      </c>
      <c r="AI70" s="243"/>
      <c r="AJ70" s="34">
        <f t="shared" si="20"/>
        <v>-10.163257044586789</v>
      </c>
      <c r="AK70" s="34"/>
      <c r="AL70" s="34">
        <f t="shared" si="21"/>
        <v>-10.163257044586789</v>
      </c>
      <c r="AM70" s="34">
        <v>-15.289169999999999</v>
      </c>
      <c r="AN70" s="244">
        <v>-9.16</v>
      </c>
      <c r="AO70" s="417">
        <v>8.6</v>
      </c>
      <c r="AP70" s="417">
        <v>1.64</v>
      </c>
      <c r="AQ70" s="37" t="s">
        <v>6311</v>
      </c>
      <c r="AR70" s="37" t="s">
        <v>6311</v>
      </c>
      <c r="AS70" s="245" t="s">
        <v>6</v>
      </c>
      <c r="AT70" s="39" t="s">
        <v>266</v>
      </c>
      <c r="AU70" s="37">
        <v>72</v>
      </c>
      <c r="AV70" s="37">
        <v>120</v>
      </c>
      <c r="AW70" s="37">
        <v>48</v>
      </c>
      <c r="AX70" s="37">
        <v>26</v>
      </c>
      <c r="AY70" s="37" t="s">
        <v>647</v>
      </c>
      <c r="AZ70" s="37" t="s">
        <v>536</v>
      </c>
      <c r="BA70" s="37">
        <v>10</v>
      </c>
      <c r="BB70" s="36" t="s">
        <v>1764</v>
      </c>
      <c r="BC70" s="36" t="s">
        <v>538</v>
      </c>
      <c r="BD70" s="36"/>
      <c r="BE70" s="37" t="s">
        <v>271</v>
      </c>
      <c r="BF70" s="37" t="s">
        <v>539</v>
      </c>
      <c r="BG70" s="37">
        <v>7.5</v>
      </c>
      <c r="BH70" s="37" t="s">
        <v>272</v>
      </c>
      <c r="BI70" s="243">
        <v>30.627200000000002</v>
      </c>
      <c r="BJ70" s="243">
        <v>5026.4639999999999</v>
      </c>
      <c r="BK70" s="37" t="s">
        <v>2066</v>
      </c>
      <c r="BL70" s="263">
        <v>9656.5760000000009</v>
      </c>
      <c r="BM70" s="37" t="s">
        <v>541</v>
      </c>
      <c r="BN70" s="37"/>
      <c r="BO70" s="37"/>
      <c r="BP70" s="37"/>
      <c r="BQ70" s="37"/>
      <c r="BR70" s="37"/>
      <c r="BS70" s="37"/>
      <c r="BT70" s="37"/>
      <c r="BU70" s="246"/>
      <c r="BV70" s="37"/>
      <c r="BW70" s="37"/>
      <c r="BX70" s="37"/>
      <c r="BY70" s="37"/>
      <c r="BZ70" s="37"/>
      <c r="CA70" s="37"/>
      <c r="CB70" s="37"/>
      <c r="CC70" s="37"/>
      <c r="CD70" s="37">
        <v>1259.3184000000001</v>
      </c>
      <c r="CE70" s="37">
        <v>378.33600000000001</v>
      </c>
      <c r="CF70" s="37"/>
      <c r="CG70" s="37"/>
      <c r="CH70" s="37"/>
      <c r="CI70" s="243">
        <v>378.33600000000001</v>
      </c>
      <c r="CJ70" s="243">
        <f>LOG10(CI70)</f>
        <v>2.5778776679051716</v>
      </c>
      <c r="CK70" s="38">
        <f t="shared" si="22"/>
        <v>1.9211469534050181</v>
      </c>
      <c r="CL70" s="247">
        <f>BL70/CI70</f>
        <v>25.523809523809526</v>
      </c>
      <c r="CM70" s="247"/>
      <c r="CN70" s="247"/>
      <c r="CO70" s="36"/>
      <c r="CP70" s="496" t="s">
        <v>2244</v>
      </c>
      <c r="CQ70" s="241" t="s">
        <v>272</v>
      </c>
      <c r="CR70" s="241"/>
      <c r="CS70" s="33"/>
      <c r="CT70" s="33" t="s">
        <v>6310</v>
      </c>
      <c r="CU70" s="250">
        <f>X70/CI70</f>
        <v>19.453607375454624</v>
      </c>
      <c r="CV70" s="337">
        <f t="shared" si="23"/>
        <v>1.4642500175073374</v>
      </c>
      <c r="CW70" s="330">
        <f>IF(CU70&lt;2,0,1)</f>
        <v>1</v>
      </c>
      <c r="CX70" s="330" t="s">
        <v>539</v>
      </c>
      <c r="CY70" s="143" t="s">
        <v>6351</v>
      </c>
    </row>
    <row r="71" spans="1:103" ht="11.25" customHeight="1" x14ac:dyDescent="0.2">
      <c r="A71" s="72">
        <v>515</v>
      </c>
      <c r="B71" s="191">
        <v>1319</v>
      </c>
      <c r="C71" s="128" t="s">
        <v>6798</v>
      </c>
      <c r="D71" s="128"/>
      <c r="E71" s="129"/>
      <c r="F71" s="129" t="s">
        <v>2855</v>
      </c>
      <c r="G71" s="192">
        <v>57410</v>
      </c>
      <c r="H71" s="139" t="s">
        <v>2856</v>
      </c>
      <c r="I71" s="139" t="s">
        <v>2856</v>
      </c>
      <c r="J71" s="139" t="s">
        <v>2857</v>
      </c>
      <c r="K71" s="139" t="s">
        <v>2039</v>
      </c>
      <c r="L71" s="196" t="s">
        <v>279</v>
      </c>
      <c r="M71" s="139" t="s">
        <v>2858</v>
      </c>
      <c r="N71" s="138" t="s">
        <v>6376</v>
      </c>
      <c r="O71" s="139" t="s">
        <v>281</v>
      </c>
      <c r="P71" s="138"/>
      <c r="Q71" s="138"/>
      <c r="R71" s="138"/>
      <c r="S71" s="138"/>
      <c r="T71" s="130">
        <v>252.27</v>
      </c>
      <c r="U71" s="187">
        <v>32</v>
      </c>
      <c r="V71" s="187">
        <v>178.6</v>
      </c>
      <c r="W71" s="187">
        <v>67.899348498664324</v>
      </c>
      <c r="X71" s="187">
        <v>32</v>
      </c>
      <c r="Y71" s="194">
        <v>6.01</v>
      </c>
      <c r="Z71" s="130">
        <v>2.16</v>
      </c>
      <c r="AA71" s="130">
        <v>2.4700000000000002</v>
      </c>
      <c r="AB71" s="130">
        <v>2.38</v>
      </c>
      <c r="AC71" s="130">
        <v>0.82340000000000002</v>
      </c>
      <c r="AD71" s="130">
        <v>2.42</v>
      </c>
      <c r="AE71" s="130">
        <v>2.52</v>
      </c>
      <c r="AF71" s="130">
        <f t="shared" si="19"/>
        <v>2.4700000000000002</v>
      </c>
      <c r="AG71" s="131">
        <v>2.2200000000000002</v>
      </c>
      <c r="AH71" s="187">
        <v>1.0199999999999999E-11</v>
      </c>
      <c r="AI71" s="187"/>
      <c r="AJ71" s="136">
        <f t="shared" si="20"/>
        <v>-9.3799661545507345</v>
      </c>
      <c r="AK71" s="136"/>
      <c r="AL71" s="136">
        <f t="shared" si="21"/>
        <v>-9.3799661545507345</v>
      </c>
      <c r="AM71" s="136">
        <v>-15.56823</v>
      </c>
      <c r="AN71" s="193">
        <v>-10.1</v>
      </c>
      <c r="AO71" s="481">
        <v>8.2799999999999994</v>
      </c>
      <c r="AP71" s="481">
        <v>-2.81</v>
      </c>
      <c r="AQ71" s="130" t="s">
        <v>6311</v>
      </c>
      <c r="AR71" s="130" t="s">
        <v>6311</v>
      </c>
      <c r="AS71" s="191" t="s">
        <v>6</v>
      </c>
      <c r="AT71" s="132" t="s">
        <v>266</v>
      </c>
      <c r="AU71" s="130">
        <v>0</v>
      </c>
      <c r="AV71" s="130">
        <v>120</v>
      </c>
      <c r="AW71" s="130">
        <v>120</v>
      </c>
      <c r="AX71" s="130">
        <v>26</v>
      </c>
      <c r="AY71" s="130" t="s">
        <v>647</v>
      </c>
      <c r="AZ71" s="130" t="s">
        <v>536</v>
      </c>
      <c r="BA71" s="130">
        <v>10</v>
      </c>
      <c r="BB71" s="139" t="s">
        <v>1764</v>
      </c>
      <c r="BC71" s="139" t="s">
        <v>538</v>
      </c>
      <c r="BD71" s="139"/>
      <c r="BE71" s="130" t="s">
        <v>271</v>
      </c>
      <c r="BF71" s="130" t="s">
        <v>539</v>
      </c>
      <c r="BG71" s="130">
        <v>7.5</v>
      </c>
      <c r="BH71" s="130" t="s">
        <v>272</v>
      </c>
      <c r="BI71" s="187">
        <v>313.99999999999994</v>
      </c>
      <c r="BJ71" s="187">
        <v>4288.59</v>
      </c>
      <c r="BK71" s="130" t="s">
        <v>2066</v>
      </c>
      <c r="BL71" s="485">
        <v>148.85711826450896</v>
      </c>
      <c r="BM71" s="130" t="s">
        <v>541</v>
      </c>
      <c r="BN71" s="130"/>
      <c r="BO71" s="130"/>
      <c r="BP71" s="130"/>
      <c r="BQ71" s="130"/>
      <c r="BR71" s="130"/>
      <c r="BS71" s="130"/>
      <c r="BT71" s="130"/>
      <c r="BU71" s="195"/>
      <c r="BV71" s="130"/>
      <c r="BW71" s="130"/>
      <c r="BX71" s="130"/>
      <c r="BY71" s="130"/>
      <c r="BZ71" s="130"/>
      <c r="CA71" s="130"/>
      <c r="CB71" s="130"/>
      <c r="CC71" s="130"/>
      <c r="CD71" s="130"/>
      <c r="CE71" s="130"/>
      <c r="CF71" s="130"/>
      <c r="CG71" s="130"/>
      <c r="CH71" s="130"/>
      <c r="CI71" s="187"/>
      <c r="CJ71" s="187"/>
      <c r="CK71" s="131">
        <v>7.0000000000000001E-3</v>
      </c>
      <c r="CL71" s="188"/>
      <c r="CM71" s="188"/>
      <c r="CN71" s="188"/>
      <c r="CO71" s="139" t="s">
        <v>4125</v>
      </c>
      <c r="CP71" s="499" t="s">
        <v>4126</v>
      </c>
      <c r="CQ71" s="191" t="s">
        <v>272</v>
      </c>
      <c r="CR71" s="191"/>
      <c r="CS71" s="135" t="s">
        <v>539</v>
      </c>
      <c r="CT71" s="135" t="s">
        <v>6310</v>
      </c>
      <c r="CU71" s="135"/>
      <c r="CV71" s="332">
        <f t="shared" si="23"/>
        <v>7.4616598928785452E-3</v>
      </c>
      <c r="CW71" s="329">
        <f>IF(CV71&lt;1,0,1)</f>
        <v>0</v>
      </c>
      <c r="CX71" s="329" t="s">
        <v>539</v>
      </c>
      <c r="CY71" s="189" t="s">
        <v>5921</v>
      </c>
    </row>
    <row r="72" spans="1:103" ht="11.25" customHeight="1" x14ac:dyDescent="0.2">
      <c r="A72" s="72">
        <v>91</v>
      </c>
      <c r="B72" s="149">
        <v>869</v>
      </c>
      <c r="C72" s="54" t="s">
        <v>2468</v>
      </c>
      <c r="D72" s="54" t="s">
        <v>6428</v>
      </c>
      <c r="E72" s="59"/>
      <c r="F72" s="59" t="s">
        <v>607</v>
      </c>
      <c r="G72" s="151">
        <v>52539</v>
      </c>
      <c r="H72" s="55" t="s">
        <v>608</v>
      </c>
      <c r="I72" s="55" t="s">
        <v>8206</v>
      </c>
      <c r="J72" s="55" t="s">
        <v>609</v>
      </c>
      <c r="K72" s="55" t="s">
        <v>610</v>
      </c>
      <c r="L72" s="55" t="s">
        <v>279</v>
      </c>
      <c r="M72" s="55" t="s">
        <v>611</v>
      </c>
      <c r="N72" s="60" t="s">
        <v>6383</v>
      </c>
      <c r="O72" s="55" t="s">
        <v>2469</v>
      </c>
      <c r="P72" s="67"/>
      <c r="Q72" s="67"/>
      <c r="R72" s="67"/>
      <c r="S72" s="67"/>
      <c r="T72" s="56">
        <v>454.6</v>
      </c>
      <c r="U72" s="103"/>
      <c r="V72" s="103">
        <v>4.4710000000000001</v>
      </c>
      <c r="W72" s="103">
        <v>19.392304924720388</v>
      </c>
      <c r="X72" s="103">
        <v>19.392304924720388</v>
      </c>
      <c r="Y72" s="162">
        <v>9.1999999999999993</v>
      </c>
      <c r="Z72" s="56">
        <v>4.8</v>
      </c>
      <c r="AA72" s="56">
        <v>3.79</v>
      </c>
      <c r="AB72" s="56">
        <v>3.97</v>
      </c>
      <c r="AC72" s="56">
        <v>0.86899999999999999</v>
      </c>
      <c r="AD72" s="56">
        <v>3.95</v>
      </c>
      <c r="AE72" s="56">
        <v>3.9</v>
      </c>
      <c r="AF72" s="56">
        <f t="shared" si="19"/>
        <v>3.79</v>
      </c>
      <c r="AG72" s="57">
        <v>5.42</v>
      </c>
      <c r="AH72" s="103">
        <v>8.7899999999999997E-15</v>
      </c>
      <c r="AI72" s="103"/>
      <c r="AJ72" s="62">
        <f t="shared" si="20"/>
        <v>-12.44457745123888</v>
      </c>
      <c r="AK72" s="62"/>
      <c r="AL72" s="62">
        <f t="shared" si="21"/>
        <v>-12.44457745123888</v>
      </c>
      <c r="AM72" s="62">
        <v>-20.996379999999998</v>
      </c>
      <c r="AN72" s="154">
        <v>-13.2</v>
      </c>
      <c r="AO72" s="410"/>
      <c r="AP72" s="410">
        <v>8.9700000000000006</v>
      </c>
      <c r="AQ72" s="154" t="s">
        <v>6311</v>
      </c>
      <c r="AR72" s="154" t="s">
        <v>6311</v>
      </c>
      <c r="AS72" s="149" t="s">
        <v>6</v>
      </c>
      <c r="AT72" s="58" t="s">
        <v>266</v>
      </c>
      <c r="AU72" s="56">
        <v>2</v>
      </c>
      <c r="AV72" s="56">
        <v>98</v>
      </c>
      <c r="AW72" s="56">
        <v>96</v>
      </c>
      <c r="AX72" s="56">
        <v>26</v>
      </c>
      <c r="AY72" s="56" t="s">
        <v>267</v>
      </c>
      <c r="AZ72" s="56" t="s">
        <v>536</v>
      </c>
      <c r="BA72" s="56">
        <v>10</v>
      </c>
      <c r="BB72" s="55" t="s">
        <v>1764</v>
      </c>
      <c r="BC72" s="55" t="s">
        <v>2448</v>
      </c>
      <c r="BD72" s="55"/>
      <c r="BE72" s="56" t="s">
        <v>2449</v>
      </c>
      <c r="BF72" s="56"/>
      <c r="BG72" s="56"/>
      <c r="BH72" s="56"/>
      <c r="BI72" s="103"/>
      <c r="BJ72" s="103"/>
      <c r="BK72" s="56"/>
      <c r="BL72" s="153">
        <v>1.1416932447253265</v>
      </c>
      <c r="BM72" s="56" t="s">
        <v>541</v>
      </c>
      <c r="BN72" s="162" t="e">
        <v>#VALUE!</v>
      </c>
      <c r="BO72" s="56">
        <v>57.734200000000001</v>
      </c>
      <c r="BP72" s="56">
        <v>50.915200000000006</v>
      </c>
      <c r="BQ72" s="56">
        <v>51.824400000000004</v>
      </c>
      <c r="BR72" s="56"/>
      <c r="BS72" s="56"/>
      <c r="BT72" s="56"/>
      <c r="BU72" s="158"/>
      <c r="BV72" s="56"/>
      <c r="BW72" s="56"/>
      <c r="BX72" s="56"/>
      <c r="BY72" s="56"/>
      <c r="BZ72" s="56"/>
      <c r="CA72" s="56"/>
      <c r="CB72" s="56"/>
      <c r="CC72" s="56"/>
      <c r="CD72" s="56"/>
      <c r="CE72" s="56"/>
      <c r="CF72" s="56"/>
      <c r="CG72" s="56"/>
      <c r="CH72" s="56"/>
      <c r="CI72" s="103">
        <v>50.915200000000006</v>
      </c>
      <c r="CJ72" s="103">
        <f t="shared" ref="CJ72:CJ77" si="24">LOG10(CI72)</f>
        <v>1.7068474540591336</v>
      </c>
      <c r="CK72" s="57"/>
      <c r="CL72" s="160">
        <f t="shared" ref="CL72:CL77" si="25">BL72/CI72</f>
        <v>2.2423426495925113E-2</v>
      </c>
      <c r="CM72" s="160">
        <v>0.43456890403419851</v>
      </c>
      <c r="CN72" s="160"/>
      <c r="CO72" s="55"/>
      <c r="CP72" s="497" t="s">
        <v>2470</v>
      </c>
      <c r="CQ72" s="149">
        <v>0.43456890403419873</v>
      </c>
      <c r="CR72" s="349">
        <f t="shared" ref="CR72:CR84" si="26">10^(CJ72-CQ72)</f>
        <v>18.718823529411772</v>
      </c>
      <c r="CS72" s="61" t="s">
        <v>539</v>
      </c>
      <c r="CT72" s="61"/>
      <c r="CU72" s="111">
        <f t="shared" ref="CU72:CU77" si="27">X72/CI72</f>
        <v>0.38087457035856453</v>
      </c>
      <c r="CV72" s="331"/>
      <c r="CW72" s="326">
        <f t="shared" ref="CW72:CW77" si="28">IF(CU72&lt;2,0,1)</f>
        <v>0</v>
      </c>
      <c r="CX72" s="326"/>
      <c r="CY72" s="161" t="s">
        <v>5921</v>
      </c>
    </row>
    <row r="73" spans="1:103" ht="11.25" customHeight="1" x14ac:dyDescent="0.2">
      <c r="A73" s="72">
        <v>110</v>
      </c>
      <c r="B73" s="149">
        <v>874</v>
      </c>
      <c r="C73" s="54" t="s">
        <v>925</v>
      </c>
      <c r="D73" s="54" t="s">
        <v>6507</v>
      </c>
      <c r="E73" s="59"/>
      <c r="F73" s="59" t="s">
        <v>926</v>
      </c>
      <c r="G73" s="151">
        <v>15972608</v>
      </c>
      <c r="H73" s="55" t="s">
        <v>927</v>
      </c>
      <c r="I73" s="55" t="s">
        <v>8288</v>
      </c>
      <c r="J73" s="55" t="s">
        <v>928</v>
      </c>
      <c r="K73" s="55" t="s">
        <v>924</v>
      </c>
      <c r="L73" s="55" t="s">
        <v>5941</v>
      </c>
      <c r="M73" s="55" t="s">
        <v>6082</v>
      </c>
      <c r="N73" s="60" t="s">
        <v>6088</v>
      </c>
      <c r="O73" s="55" t="s">
        <v>6083</v>
      </c>
      <c r="P73" s="67" t="s">
        <v>6172</v>
      </c>
      <c r="Q73" s="67" t="s">
        <v>6173</v>
      </c>
      <c r="R73" s="67" t="s">
        <v>6175</v>
      </c>
      <c r="S73" s="67" t="s">
        <v>6176</v>
      </c>
      <c r="T73" s="56">
        <v>269.77</v>
      </c>
      <c r="U73" s="103">
        <v>240</v>
      </c>
      <c r="V73" s="103">
        <v>18.07</v>
      </c>
      <c r="W73" s="103">
        <v>814.69237561285115</v>
      </c>
      <c r="X73" s="103">
        <v>240</v>
      </c>
      <c r="Y73" s="162">
        <v>7.01</v>
      </c>
      <c r="Z73" s="56">
        <v>3.37</v>
      </c>
      <c r="AA73" s="56">
        <v>3.52</v>
      </c>
      <c r="AB73" s="56">
        <v>3.01</v>
      </c>
      <c r="AC73" s="56">
        <v>0.8427</v>
      </c>
      <c r="AD73" s="56">
        <v>2.99</v>
      </c>
      <c r="AE73" s="56">
        <v>2.92</v>
      </c>
      <c r="AF73" s="56">
        <f t="shared" si="19"/>
        <v>3.52</v>
      </c>
      <c r="AG73" s="57">
        <v>3.3</v>
      </c>
      <c r="AH73" s="103">
        <v>2.2300000000000001E-8</v>
      </c>
      <c r="AI73" s="103">
        <v>8.3199999999999994E-9</v>
      </c>
      <c r="AJ73" s="62">
        <f t="shared" si="20"/>
        <v>-6.0402614632644909</v>
      </c>
      <c r="AK73" s="62">
        <f>LOG10(AI73*1000/(0.08206*298.15))</f>
        <v>-6.468443000021928</v>
      </c>
      <c r="AL73" s="62">
        <f t="shared" si="21"/>
        <v>-6.468443000021928</v>
      </c>
      <c r="AM73" s="62">
        <v>-10.631349999999999</v>
      </c>
      <c r="AN73" s="154">
        <v>-5.33</v>
      </c>
      <c r="AO73" s="410"/>
      <c r="AP73" s="410">
        <v>1.2</v>
      </c>
      <c r="AQ73" s="154" t="s">
        <v>6311</v>
      </c>
      <c r="AR73" s="154" t="s">
        <v>6311</v>
      </c>
      <c r="AS73" s="149" t="s">
        <v>6</v>
      </c>
      <c r="AT73" s="58" t="s">
        <v>266</v>
      </c>
      <c r="AU73" s="56">
        <v>2</v>
      </c>
      <c r="AV73" s="56">
        <v>98</v>
      </c>
      <c r="AW73" s="56">
        <v>96</v>
      </c>
      <c r="AX73" s="56">
        <v>26</v>
      </c>
      <c r="AY73" s="56" t="s">
        <v>267</v>
      </c>
      <c r="AZ73" s="56" t="s">
        <v>536</v>
      </c>
      <c r="BA73" s="56">
        <v>10</v>
      </c>
      <c r="BB73" s="55" t="s">
        <v>1764</v>
      </c>
      <c r="BC73" s="55" t="s">
        <v>2448</v>
      </c>
      <c r="BD73" s="55"/>
      <c r="BE73" s="56" t="s">
        <v>2449</v>
      </c>
      <c r="BF73" s="56"/>
      <c r="BG73" s="56"/>
      <c r="BH73" s="56"/>
      <c r="BI73" s="103"/>
      <c r="BJ73" s="103"/>
      <c r="BK73" s="56"/>
      <c r="BL73" s="153">
        <v>13.037569961777397</v>
      </c>
      <c r="BM73" s="56" t="s">
        <v>541</v>
      </c>
      <c r="BN73" s="179">
        <v>29.674699999999998</v>
      </c>
      <c r="BO73" s="155">
        <v>15.403866999999998</v>
      </c>
      <c r="BP73" s="155">
        <v>15.403866999999998</v>
      </c>
      <c r="BQ73" s="155">
        <v>13.110822000000001</v>
      </c>
      <c r="BR73" s="56"/>
      <c r="BS73" s="56"/>
      <c r="BT73" s="56"/>
      <c r="BU73" s="158"/>
      <c r="BV73" s="56"/>
      <c r="BW73" s="56"/>
      <c r="BX73" s="56"/>
      <c r="BY73" s="56"/>
      <c r="BZ73" s="56"/>
      <c r="CA73" s="56"/>
      <c r="CB73" s="56"/>
      <c r="CC73" s="56"/>
      <c r="CD73" s="56"/>
      <c r="CE73" s="56"/>
      <c r="CF73" s="56"/>
      <c r="CG73" s="56"/>
      <c r="CH73" s="155"/>
      <c r="CI73" s="157">
        <v>13.110822000000001</v>
      </c>
      <c r="CJ73" s="103">
        <f t="shared" si="24"/>
        <v>1.1176299211998413</v>
      </c>
      <c r="CK73" s="57"/>
      <c r="CL73" s="160">
        <f t="shared" si="25"/>
        <v>0.99441285693432468</v>
      </c>
      <c r="CM73" s="160">
        <v>0.35857724146975389</v>
      </c>
      <c r="CN73" s="160">
        <f>BJ73/(10^CM73)</f>
        <v>0</v>
      </c>
      <c r="CO73" s="55"/>
      <c r="CP73" s="497" t="s">
        <v>2470</v>
      </c>
      <c r="CQ73" s="149">
        <v>0.55452206231799706</v>
      </c>
      <c r="CR73" s="349">
        <f t="shared" si="26"/>
        <v>3.6568559991051943</v>
      </c>
      <c r="CS73" s="61" t="s">
        <v>539</v>
      </c>
      <c r="CT73" s="61"/>
      <c r="CU73" s="111">
        <f t="shared" si="27"/>
        <v>18.305488397294997</v>
      </c>
      <c r="CV73" s="331"/>
      <c r="CW73" s="326">
        <f t="shared" si="28"/>
        <v>1</v>
      </c>
      <c r="CX73" s="326"/>
      <c r="CY73" s="161" t="s">
        <v>5921</v>
      </c>
    </row>
    <row r="74" spans="1:103" ht="11.25" customHeight="1" x14ac:dyDescent="0.2">
      <c r="A74" s="72">
        <v>171</v>
      </c>
      <c r="B74" s="149">
        <v>870</v>
      </c>
      <c r="C74" s="54" t="s">
        <v>2471</v>
      </c>
      <c r="D74" s="54" t="s">
        <v>6490</v>
      </c>
      <c r="E74" s="59"/>
      <c r="F74" s="59" t="s">
        <v>2472</v>
      </c>
      <c r="G74" s="151">
        <v>944229</v>
      </c>
      <c r="H74" s="55" t="s">
        <v>2473</v>
      </c>
      <c r="I74" s="55" t="s">
        <v>2473</v>
      </c>
      <c r="J74" s="55" t="s">
        <v>2474</v>
      </c>
      <c r="K74" s="55" t="s">
        <v>1872</v>
      </c>
      <c r="L74" s="55" t="s">
        <v>617</v>
      </c>
      <c r="M74" s="55" t="s">
        <v>618</v>
      </c>
      <c r="N74" s="60" t="s">
        <v>6376</v>
      </c>
      <c r="O74" s="55" t="s">
        <v>2475</v>
      </c>
      <c r="P74" s="67"/>
      <c r="Q74" s="67"/>
      <c r="R74" s="67"/>
      <c r="S74" s="67"/>
      <c r="T74" s="56">
        <v>246.33</v>
      </c>
      <c r="U74" s="103">
        <v>15.700000000000001</v>
      </c>
      <c r="V74" s="103">
        <v>10.7</v>
      </c>
      <c r="W74" s="103">
        <v>12.63331447185927</v>
      </c>
      <c r="X74" s="103">
        <v>15.700000000000001</v>
      </c>
      <c r="Y74" s="162">
        <v>7</v>
      </c>
      <c r="Z74" s="56">
        <v>4.0199999999999996</v>
      </c>
      <c r="AA74" s="56">
        <v>3.94</v>
      </c>
      <c r="AB74" s="56">
        <v>3.98</v>
      </c>
      <c r="AC74" s="56">
        <v>0.86270000000000002</v>
      </c>
      <c r="AD74" s="56">
        <v>3.97</v>
      </c>
      <c r="AE74" s="56">
        <v>3.94</v>
      </c>
      <c r="AF74" s="56">
        <f t="shared" si="19"/>
        <v>3.94</v>
      </c>
      <c r="AG74" s="57">
        <v>3.92</v>
      </c>
      <c r="AH74" s="103">
        <v>1.12E-4</v>
      </c>
      <c r="AI74" s="103">
        <v>6.9800000000000001E-6</v>
      </c>
      <c r="AJ74" s="62">
        <f t="shared" si="20"/>
        <v>-2.33934830364247</v>
      </c>
      <c r="AK74" s="62">
        <f>LOG10(AI74*1000/(0.08206*298.15))</f>
        <v>-3.5447109036894906</v>
      </c>
      <c r="AL74" s="62">
        <f t="shared" si="21"/>
        <v>-3.5447109036894906</v>
      </c>
      <c r="AM74" s="62">
        <v>-7.2137199999999995</v>
      </c>
      <c r="AN74" s="154">
        <v>-2.89</v>
      </c>
      <c r="AO74" s="410"/>
      <c r="AP74" s="410"/>
      <c r="AQ74" s="154" t="s">
        <v>6311</v>
      </c>
      <c r="AR74" s="154" t="s">
        <v>6311</v>
      </c>
      <c r="AS74" s="149" t="s">
        <v>6</v>
      </c>
      <c r="AT74" s="58" t="s">
        <v>266</v>
      </c>
      <c r="AU74" s="56">
        <v>2</v>
      </c>
      <c r="AV74" s="56">
        <v>98</v>
      </c>
      <c r="AW74" s="56">
        <v>96</v>
      </c>
      <c r="AX74" s="56">
        <v>26</v>
      </c>
      <c r="AY74" s="56" t="s">
        <v>267</v>
      </c>
      <c r="AZ74" s="56" t="s">
        <v>536</v>
      </c>
      <c r="BA74" s="56">
        <v>10</v>
      </c>
      <c r="BB74" s="55" t="s">
        <v>1764</v>
      </c>
      <c r="BC74" s="55" t="s">
        <v>2448</v>
      </c>
      <c r="BD74" s="55"/>
      <c r="BE74" s="56" t="s">
        <v>1712</v>
      </c>
      <c r="BF74" s="56"/>
      <c r="BG74" s="56"/>
      <c r="BH74" s="56"/>
      <c r="BI74" s="103"/>
      <c r="BJ74" s="103"/>
      <c r="BK74" s="56"/>
      <c r="BL74" s="153">
        <v>3.1042401150159931</v>
      </c>
      <c r="BM74" s="56" t="s">
        <v>541</v>
      </c>
      <c r="BN74" s="162">
        <v>11.971638000000002</v>
      </c>
      <c r="BO74" s="56">
        <v>9.6068700000000007</v>
      </c>
      <c r="BP74" s="56">
        <v>9.4344389999999994</v>
      </c>
      <c r="BQ74" s="56">
        <v>9.2866410000000013</v>
      </c>
      <c r="BR74" s="56"/>
      <c r="BS74" s="56"/>
      <c r="BT74" s="56"/>
      <c r="BU74" s="158"/>
      <c r="BV74" s="56"/>
      <c r="BW74" s="56"/>
      <c r="BX74" s="56"/>
      <c r="BY74" s="56"/>
      <c r="BZ74" s="56"/>
      <c r="CA74" s="56"/>
      <c r="CB74" s="56"/>
      <c r="CC74" s="56"/>
      <c r="CD74" s="56"/>
      <c r="CE74" s="56"/>
      <c r="CF74" s="56"/>
      <c r="CG74" s="56"/>
      <c r="CH74" s="56"/>
      <c r="CI74" s="103">
        <v>9.2866410000000013</v>
      </c>
      <c r="CJ74" s="103">
        <f t="shared" si="24"/>
        <v>0.96785865705524143</v>
      </c>
      <c r="CK74" s="57"/>
      <c r="CL74" s="160">
        <f t="shared" si="25"/>
        <v>0.33426942152883832</v>
      </c>
      <c r="CM74" s="160">
        <v>-1.6608992122524986</v>
      </c>
      <c r="CN74" s="160"/>
      <c r="CO74" s="55"/>
      <c r="CP74" s="497" t="s">
        <v>2470</v>
      </c>
      <c r="CQ74" s="149">
        <v>-1.1185679070419698</v>
      </c>
      <c r="CR74" s="349">
        <f t="shared" si="26"/>
        <v>122.01874788517698</v>
      </c>
      <c r="CS74" s="61" t="s">
        <v>539</v>
      </c>
      <c r="CT74" s="61"/>
      <c r="CU74" s="111">
        <f t="shared" si="27"/>
        <v>1.6906005088384486</v>
      </c>
      <c r="CV74" s="331"/>
      <c r="CW74" s="326">
        <f t="shared" si="28"/>
        <v>0</v>
      </c>
      <c r="CX74" s="326" t="s">
        <v>539</v>
      </c>
      <c r="CY74" s="161" t="s">
        <v>5921</v>
      </c>
    </row>
    <row r="75" spans="1:103" ht="11.25" customHeight="1" x14ac:dyDescent="0.2">
      <c r="A75" s="72">
        <v>257</v>
      </c>
      <c r="B75" s="149">
        <v>875</v>
      </c>
      <c r="C75" s="54" t="s">
        <v>2480</v>
      </c>
      <c r="D75" s="54" t="s">
        <v>6470</v>
      </c>
      <c r="E75" s="59"/>
      <c r="F75" s="59" t="s">
        <v>2481</v>
      </c>
      <c r="G75" s="151">
        <v>119619</v>
      </c>
      <c r="H75" s="55" t="s">
        <v>2482</v>
      </c>
      <c r="I75" s="55" t="s">
        <v>2482</v>
      </c>
      <c r="J75" s="55" t="s">
        <v>2483</v>
      </c>
      <c r="K75" s="55" t="s">
        <v>426</v>
      </c>
      <c r="L75" s="55" t="s">
        <v>5527</v>
      </c>
      <c r="M75" s="55" t="s">
        <v>866</v>
      </c>
      <c r="N75" s="60" t="s">
        <v>6082</v>
      </c>
      <c r="O75" s="55" t="s">
        <v>498</v>
      </c>
      <c r="P75" s="67">
        <v>3</v>
      </c>
      <c r="Q75" s="67" t="s">
        <v>6173</v>
      </c>
      <c r="R75" s="67">
        <v>1</v>
      </c>
      <c r="S75" s="67" t="s">
        <v>6173</v>
      </c>
      <c r="T75" s="56">
        <v>182.22</v>
      </c>
      <c r="U75" s="103">
        <v>137</v>
      </c>
      <c r="V75" s="103">
        <v>103.3</v>
      </c>
      <c r="W75" s="103">
        <v>129.0018808304776</v>
      </c>
      <c r="X75" s="103">
        <v>137</v>
      </c>
      <c r="Y75" s="162">
        <v>7</v>
      </c>
      <c r="Z75" s="56">
        <v>3.15</v>
      </c>
      <c r="AA75" s="56">
        <v>3.18</v>
      </c>
      <c r="AB75" s="56">
        <v>2.9</v>
      </c>
      <c r="AC75" s="56">
        <v>0.90490000000000004</v>
      </c>
      <c r="AD75" s="56">
        <v>2.96</v>
      </c>
      <c r="AE75" s="56">
        <v>3.18</v>
      </c>
      <c r="AF75" s="56">
        <f t="shared" si="19"/>
        <v>3.18</v>
      </c>
      <c r="AG75" s="57">
        <v>3.09</v>
      </c>
      <c r="AH75" s="103">
        <v>1.9400000000000001E-6</v>
      </c>
      <c r="AI75" s="103"/>
      <c r="AJ75" s="62">
        <f t="shared" si="20"/>
        <v>-4.100764596382426</v>
      </c>
      <c r="AK75" s="62"/>
      <c r="AL75" s="62">
        <f t="shared" si="21"/>
        <v>-4.100764596382426</v>
      </c>
      <c r="AM75" s="62">
        <v>-8.2286799999999989</v>
      </c>
      <c r="AN75" s="154">
        <v>-3.85</v>
      </c>
      <c r="AO75" s="410"/>
      <c r="AP75" s="410"/>
      <c r="AQ75" s="56" t="s">
        <v>6311</v>
      </c>
      <c r="AR75" s="56" t="s">
        <v>6311</v>
      </c>
      <c r="AS75" s="155" t="s">
        <v>6</v>
      </c>
      <c r="AT75" s="58" t="s">
        <v>266</v>
      </c>
      <c r="AU75" s="155">
        <v>2</v>
      </c>
      <c r="AV75" s="155">
        <v>98</v>
      </c>
      <c r="AW75" s="155">
        <v>96</v>
      </c>
      <c r="AX75" s="155">
        <v>26</v>
      </c>
      <c r="AY75" s="56" t="s">
        <v>267</v>
      </c>
      <c r="AZ75" s="56" t="s">
        <v>536</v>
      </c>
      <c r="BA75" s="56">
        <v>10</v>
      </c>
      <c r="BB75" s="55" t="s">
        <v>1764</v>
      </c>
      <c r="BC75" s="55" t="s">
        <v>2448</v>
      </c>
      <c r="BD75" s="55"/>
      <c r="BE75" s="56" t="s">
        <v>2449</v>
      </c>
      <c r="BF75" s="56"/>
      <c r="BG75" s="56"/>
      <c r="BH75" s="56"/>
      <c r="BI75" s="103"/>
      <c r="BJ75" s="103"/>
      <c r="BK75" s="56"/>
      <c r="BL75" s="153">
        <v>13.879730778423667</v>
      </c>
      <c r="BM75" s="56" t="s">
        <v>541</v>
      </c>
      <c r="BN75" s="155">
        <v>3.899508</v>
      </c>
      <c r="BO75" s="155">
        <v>3.46218</v>
      </c>
      <c r="BP75" s="155">
        <v>3.46218</v>
      </c>
      <c r="BQ75" s="155">
        <v>2.9884079999999997</v>
      </c>
      <c r="BR75" s="155"/>
      <c r="BS75" s="155"/>
      <c r="BT75" s="155"/>
      <c r="BU75" s="175"/>
      <c r="BV75" s="155"/>
      <c r="BW75" s="155"/>
      <c r="BX75" s="155"/>
      <c r="BY75" s="155"/>
      <c r="BZ75" s="155"/>
      <c r="CA75" s="155"/>
      <c r="CB75" s="155"/>
      <c r="CC75" s="155"/>
      <c r="CD75" s="155"/>
      <c r="CE75" s="155"/>
      <c r="CF75" s="155"/>
      <c r="CG75" s="155"/>
      <c r="CH75" s="155"/>
      <c r="CI75" s="157">
        <v>2.9884079999999997</v>
      </c>
      <c r="CJ75" s="103">
        <f t="shared" si="24"/>
        <v>0.47543989034960671</v>
      </c>
      <c r="CK75" s="57"/>
      <c r="CL75" s="160">
        <f t="shared" si="25"/>
        <v>4.6445233644213468</v>
      </c>
      <c r="CM75" s="160">
        <v>1.1360673425878467</v>
      </c>
      <c r="CN75" s="160"/>
      <c r="CO75" s="156"/>
      <c r="CP75" s="497" t="s">
        <v>2470</v>
      </c>
      <c r="CQ75" s="149">
        <v>1.1360673425878469</v>
      </c>
      <c r="CR75" s="349">
        <f t="shared" si="26"/>
        <v>0.21846031109170322</v>
      </c>
      <c r="CS75" s="61" t="s">
        <v>539</v>
      </c>
      <c r="CT75" s="61"/>
      <c r="CU75" s="111">
        <f t="shared" si="27"/>
        <v>45.843807137445758</v>
      </c>
      <c r="CV75" s="331"/>
      <c r="CW75" s="326">
        <f t="shared" si="28"/>
        <v>1</v>
      </c>
      <c r="CX75" s="326"/>
      <c r="CY75" s="161" t="s">
        <v>6351</v>
      </c>
    </row>
    <row r="76" spans="1:103" ht="11.25" customHeight="1" x14ac:dyDescent="0.2">
      <c r="A76" s="72">
        <v>288</v>
      </c>
      <c r="B76" s="149">
        <v>872</v>
      </c>
      <c r="C76" s="54" t="s">
        <v>1400</v>
      </c>
      <c r="D76" s="54" t="s">
        <v>6488</v>
      </c>
      <c r="E76" s="59"/>
      <c r="F76" s="59" t="s">
        <v>1401</v>
      </c>
      <c r="G76" s="151">
        <v>709988</v>
      </c>
      <c r="H76" s="55" t="s">
        <v>1402</v>
      </c>
      <c r="I76" s="55" t="s">
        <v>8059</v>
      </c>
      <c r="J76" s="55" t="s">
        <v>1403</v>
      </c>
      <c r="K76" s="55" t="s">
        <v>471</v>
      </c>
      <c r="L76" s="55" t="s">
        <v>1404</v>
      </c>
      <c r="M76" s="55" t="s">
        <v>6082</v>
      </c>
      <c r="N76" s="60" t="s">
        <v>6082</v>
      </c>
      <c r="O76" s="55" t="s">
        <v>6083</v>
      </c>
      <c r="P76" s="67">
        <v>3</v>
      </c>
      <c r="Q76" s="67" t="s">
        <v>6173</v>
      </c>
      <c r="R76" s="67">
        <v>1</v>
      </c>
      <c r="S76" s="67" t="s">
        <v>6173</v>
      </c>
      <c r="T76" s="56">
        <v>218.08</v>
      </c>
      <c r="U76" s="103">
        <v>152</v>
      </c>
      <c r="V76" s="103">
        <v>84.18</v>
      </c>
      <c r="W76" s="103">
        <v>90.910875147210703</v>
      </c>
      <c r="X76" s="103">
        <v>152</v>
      </c>
      <c r="Y76" s="162">
        <v>7</v>
      </c>
      <c r="Z76" s="56">
        <v>2.88</v>
      </c>
      <c r="AA76" s="56">
        <v>3.07</v>
      </c>
      <c r="AB76" s="56">
        <v>3.39</v>
      </c>
      <c r="AC76" s="56">
        <v>0.89070000000000005</v>
      </c>
      <c r="AD76" s="56">
        <v>3.34</v>
      </c>
      <c r="AE76" s="56">
        <v>3.18</v>
      </c>
      <c r="AF76" s="56">
        <f t="shared" si="19"/>
        <v>3.07</v>
      </c>
      <c r="AG76" s="57">
        <v>3.05</v>
      </c>
      <c r="AH76" s="103">
        <v>4.4999999999999998E-9</v>
      </c>
      <c r="AI76" s="103">
        <v>1.7100000000000001E-9</v>
      </c>
      <c r="AJ76" s="62">
        <f t="shared" si="20"/>
        <v>-6.7353538125373085</v>
      </c>
      <c r="AK76" s="62">
        <f>LOG10(AI76*1000/(0.08206*298.15))</f>
        <v>-7.1555702159204984</v>
      </c>
      <c r="AL76" s="62">
        <f t="shared" si="21"/>
        <v>-7.1555702159204984</v>
      </c>
      <c r="AM76" s="62">
        <v>-10.588889999999999</v>
      </c>
      <c r="AN76" s="154">
        <v>-7.75</v>
      </c>
      <c r="AO76" s="410">
        <v>13.58</v>
      </c>
      <c r="AP76" s="410">
        <v>-0.91</v>
      </c>
      <c r="AQ76" s="154" t="s">
        <v>6311</v>
      </c>
      <c r="AR76" s="154" t="s">
        <v>6311</v>
      </c>
      <c r="AS76" s="149" t="s">
        <v>6</v>
      </c>
      <c r="AT76" s="58" t="s">
        <v>266</v>
      </c>
      <c r="AU76" s="56">
        <v>2</v>
      </c>
      <c r="AV76" s="56">
        <v>98</v>
      </c>
      <c r="AW76" s="56">
        <v>96</v>
      </c>
      <c r="AX76" s="56">
        <v>26</v>
      </c>
      <c r="AY76" s="56" t="s">
        <v>267</v>
      </c>
      <c r="AZ76" s="56" t="s">
        <v>536</v>
      </c>
      <c r="BA76" s="56">
        <v>10</v>
      </c>
      <c r="BB76" s="55" t="s">
        <v>1764</v>
      </c>
      <c r="BC76" s="55" t="s">
        <v>2448</v>
      </c>
      <c r="BD76" s="55"/>
      <c r="BE76" s="56" t="s">
        <v>1712</v>
      </c>
      <c r="BF76" s="56"/>
      <c r="BG76" s="56"/>
      <c r="BH76" s="56"/>
      <c r="BI76" s="103"/>
      <c r="BJ76" s="103"/>
      <c r="BK76" s="56"/>
      <c r="BL76" s="153">
        <v>29.03272754290597</v>
      </c>
      <c r="BM76" s="56" t="s">
        <v>541</v>
      </c>
      <c r="BN76" s="162">
        <v>4.0780959999999995</v>
      </c>
      <c r="BO76" s="56">
        <v>3.5765119999999997</v>
      </c>
      <c r="BP76" s="56">
        <v>3.532896</v>
      </c>
      <c r="BQ76" s="56">
        <v>3.2930079999999999</v>
      </c>
      <c r="BR76" s="56"/>
      <c r="BS76" s="56"/>
      <c r="BT76" s="56"/>
      <c r="BU76" s="158"/>
      <c r="BV76" s="56"/>
      <c r="BW76" s="56"/>
      <c r="BX76" s="56"/>
      <c r="BY76" s="56"/>
      <c r="BZ76" s="56"/>
      <c r="CA76" s="56"/>
      <c r="CB76" s="56"/>
      <c r="CC76" s="56"/>
      <c r="CD76" s="56"/>
      <c r="CE76" s="56"/>
      <c r="CF76" s="56"/>
      <c r="CG76" s="56"/>
      <c r="CH76" s="56"/>
      <c r="CI76" s="103">
        <v>3.2930079999999999</v>
      </c>
      <c r="CJ76" s="103">
        <f t="shared" si="24"/>
        <v>0.51759278578376777</v>
      </c>
      <c r="CK76" s="57"/>
      <c r="CL76" s="160">
        <f t="shared" si="25"/>
        <v>8.8164764685983066</v>
      </c>
      <c r="CM76" s="160">
        <v>0.73446890283273059</v>
      </c>
      <c r="CN76" s="160"/>
      <c r="CO76" s="55"/>
      <c r="CP76" s="497" t="s">
        <v>2470</v>
      </c>
      <c r="CQ76" s="149">
        <v>0.87007962959778784</v>
      </c>
      <c r="CR76" s="349">
        <f t="shared" si="26"/>
        <v>0.44413311539184785</v>
      </c>
      <c r="CS76" s="61" t="s">
        <v>539</v>
      </c>
      <c r="CT76" s="61"/>
      <c r="CU76" s="111">
        <f t="shared" si="27"/>
        <v>46.158405931598104</v>
      </c>
      <c r="CV76" s="331"/>
      <c r="CW76" s="326">
        <f t="shared" si="28"/>
        <v>1</v>
      </c>
      <c r="CX76" s="326" t="s">
        <v>539</v>
      </c>
      <c r="CY76" s="161" t="s">
        <v>5921</v>
      </c>
    </row>
    <row r="77" spans="1:103" ht="11.25" customHeight="1" x14ac:dyDescent="0.2">
      <c r="A77" s="72">
        <v>355</v>
      </c>
      <c r="B77" s="149">
        <v>873</v>
      </c>
      <c r="C77" s="54" t="s">
        <v>2476</v>
      </c>
      <c r="D77" s="54" t="s">
        <v>6671</v>
      </c>
      <c r="E77" s="59"/>
      <c r="F77" s="59" t="s">
        <v>2477</v>
      </c>
      <c r="G77" s="151">
        <v>12427382</v>
      </c>
      <c r="H77" s="55" t="s">
        <v>2478</v>
      </c>
      <c r="I77" s="55" t="s">
        <v>2478</v>
      </c>
      <c r="J77" s="55" t="s">
        <v>2479</v>
      </c>
      <c r="K77" s="55" t="s">
        <v>1297</v>
      </c>
      <c r="L77" s="55" t="s">
        <v>5929</v>
      </c>
      <c r="M77" s="55" t="s">
        <v>1515</v>
      </c>
      <c r="N77" s="60" t="s">
        <v>6382</v>
      </c>
      <c r="O77" s="55" t="s">
        <v>1516</v>
      </c>
      <c r="P77" s="67"/>
      <c r="Q77" s="67"/>
      <c r="R77" s="67"/>
      <c r="S77" s="67"/>
      <c r="T77" s="56">
        <v>212.38</v>
      </c>
      <c r="U77" s="103"/>
      <c r="V77" s="103">
        <v>28140</v>
      </c>
      <c r="W77" s="103">
        <v>12505.861552441997</v>
      </c>
      <c r="X77" s="103">
        <v>12505.861552441997</v>
      </c>
      <c r="Y77" s="162">
        <v>1.25</v>
      </c>
      <c r="Z77" s="56">
        <v>0.62</v>
      </c>
      <c r="AA77" s="56">
        <v>1.33</v>
      </c>
      <c r="AB77" s="56">
        <v>0.96</v>
      </c>
      <c r="AC77" s="56">
        <v>0.5101</v>
      </c>
      <c r="AD77" s="56">
        <v>1.3</v>
      </c>
      <c r="AE77" s="56">
        <v>1.66</v>
      </c>
      <c r="AF77" s="56">
        <f t="shared" si="19"/>
        <v>1.33</v>
      </c>
      <c r="AG77" s="57">
        <v>1.3</v>
      </c>
      <c r="AH77" s="103">
        <v>5.6400000000000002E-7</v>
      </c>
      <c r="AI77" s="103"/>
      <c r="AJ77" s="62">
        <f t="shared" si="20"/>
        <v>-4.6372872223293093</v>
      </c>
      <c r="AK77" s="62"/>
      <c r="AL77" s="62">
        <f t="shared" si="21"/>
        <v>-4.6372872223293093</v>
      </c>
      <c r="AM77" s="62">
        <v>-12.801919999999999</v>
      </c>
      <c r="AN77" s="154"/>
      <c r="AO77" s="410">
        <v>1.25</v>
      </c>
      <c r="AP77" s="410">
        <v>1.71</v>
      </c>
      <c r="AQ77" s="154" t="s">
        <v>6311</v>
      </c>
      <c r="AR77" s="154" t="s">
        <v>6311</v>
      </c>
      <c r="AS77" s="149" t="s">
        <v>6</v>
      </c>
      <c r="AT77" s="58" t="s">
        <v>266</v>
      </c>
      <c r="AU77" s="56">
        <v>2</v>
      </c>
      <c r="AV77" s="56">
        <v>98</v>
      </c>
      <c r="AW77" s="56">
        <v>96</v>
      </c>
      <c r="AX77" s="56">
        <v>26</v>
      </c>
      <c r="AY77" s="56" t="s">
        <v>267</v>
      </c>
      <c r="AZ77" s="56" t="s">
        <v>536</v>
      </c>
      <c r="BA77" s="56">
        <v>10</v>
      </c>
      <c r="BB77" s="55" t="s">
        <v>1764</v>
      </c>
      <c r="BC77" s="55" t="s">
        <v>2448</v>
      </c>
      <c r="BD77" s="55"/>
      <c r="BE77" s="56" t="s">
        <v>2449</v>
      </c>
      <c r="BF77" s="56"/>
      <c r="BG77" s="56"/>
      <c r="BH77" s="56"/>
      <c r="BI77" s="153"/>
      <c r="BJ77" s="153"/>
      <c r="BK77" s="56"/>
      <c r="BL77" s="153">
        <v>3027.5520370915779</v>
      </c>
      <c r="BM77" s="56" t="s">
        <v>541</v>
      </c>
      <c r="BN77" s="162">
        <v>1.5015266</v>
      </c>
      <c r="BO77" s="56">
        <v>1.4696696</v>
      </c>
      <c r="BP77" s="56">
        <v>1.4696696</v>
      </c>
      <c r="BQ77" s="56">
        <v>1.4696696</v>
      </c>
      <c r="BR77" s="56"/>
      <c r="BS77" s="56"/>
      <c r="BT77" s="56"/>
      <c r="BU77" s="158"/>
      <c r="BV77" s="56"/>
      <c r="BW77" s="56"/>
      <c r="BX77" s="56"/>
      <c r="BY77" s="56"/>
      <c r="BZ77" s="56"/>
      <c r="CA77" s="56"/>
      <c r="CB77" s="56"/>
      <c r="CC77" s="56"/>
      <c r="CD77" s="56"/>
      <c r="CE77" s="56"/>
      <c r="CF77" s="56"/>
      <c r="CG77" s="56"/>
      <c r="CH77" s="56"/>
      <c r="CI77" s="103">
        <v>1.4696696</v>
      </c>
      <c r="CJ77" s="103">
        <f t="shared" si="24"/>
        <v>0.16721971092172633</v>
      </c>
      <c r="CK77" s="57"/>
      <c r="CL77" s="160">
        <f t="shared" si="25"/>
        <v>2060.0222234246239</v>
      </c>
      <c r="CM77" s="160">
        <v>-6.7010207570163058E-2</v>
      </c>
      <c r="CN77" s="160"/>
      <c r="CO77" s="55"/>
      <c r="CP77" s="497" t="s">
        <v>2470</v>
      </c>
      <c r="CQ77" s="149">
        <v>6.0285517575122641E-2</v>
      </c>
      <c r="CR77" s="349">
        <f t="shared" si="26"/>
        <v>1.2791874600557103</v>
      </c>
      <c r="CS77" s="61" t="s">
        <v>539</v>
      </c>
      <c r="CT77" s="61"/>
      <c r="CU77" s="111">
        <f t="shared" si="27"/>
        <v>8509.3013779709381</v>
      </c>
      <c r="CV77" s="331"/>
      <c r="CW77" s="326">
        <f t="shared" si="28"/>
        <v>1</v>
      </c>
      <c r="CX77" s="326"/>
      <c r="CY77" s="161" t="s">
        <v>5921</v>
      </c>
    </row>
    <row r="78" spans="1:103" ht="11.25" customHeight="1" x14ac:dyDescent="0.2">
      <c r="A78" s="72">
        <v>790</v>
      </c>
      <c r="B78" s="224">
        <v>871</v>
      </c>
      <c r="C78" s="46" t="s">
        <v>1701</v>
      </c>
      <c r="D78" s="46" t="s">
        <v>8561</v>
      </c>
      <c r="E78" s="114"/>
      <c r="F78" s="114" t="s">
        <v>1702</v>
      </c>
      <c r="G78" s="225">
        <v>72208</v>
      </c>
      <c r="H78" s="47" t="s">
        <v>1703</v>
      </c>
      <c r="I78" s="47" t="s">
        <v>7988</v>
      </c>
      <c r="J78" s="47" t="s">
        <v>1704</v>
      </c>
      <c r="K78" s="47" t="s">
        <v>1705</v>
      </c>
      <c r="L78" s="47" t="s">
        <v>617</v>
      </c>
      <c r="M78" s="47" t="s">
        <v>3081</v>
      </c>
      <c r="N78" s="47" t="s">
        <v>6376</v>
      </c>
      <c r="O78" s="47" t="s">
        <v>1706</v>
      </c>
      <c r="P78" s="53" t="s">
        <v>6172</v>
      </c>
      <c r="Q78" s="53" t="s">
        <v>6176</v>
      </c>
      <c r="R78" s="53" t="s">
        <v>6181</v>
      </c>
      <c r="S78" s="53" t="s">
        <v>6173</v>
      </c>
      <c r="T78" s="48">
        <v>380.91</v>
      </c>
      <c r="U78" s="98">
        <v>0.25</v>
      </c>
      <c r="V78" s="98">
        <v>0.14549999999999999</v>
      </c>
      <c r="W78" s="98">
        <v>0.16248840450671448</v>
      </c>
      <c r="X78" s="98">
        <v>0.25</v>
      </c>
      <c r="Y78" s="233">
        <v>7</v>
      </c>
      <c r="Z78" s="48">
        <v>5.45</v>
      </c>
      <c r="AA78" s="48">
        <v>5.2</v>
      </c>
      <c r="AB78" s="48">
        <v>4.97</v>
      </c>
      <c r="AC78" s="48">
        <v>0.6804</v>
      </c>
      <c r="AD78" s="48">
        <v>4.9400000000000004</v>
      </c>
      <c r="AE78" s="48">
        <v>4.88</v>
      </c>
      <c r="AF78" s="48">
        <f t="shared" si="19"/>
        <v>5.2</v>
      </c>
      <c r="AG78" s="49">
        <v>4.05</v>
      </c>
      <c r="AH78" s="98">
        <v>5.4099999999999999E-7</v>
      </c>
      <c r="AI78" s="98">
        <v>1.0000000000000001E-5</v>
      </c>
      <c r="AJ78" s="483">
        <f t="shared" si="20"/>
        <v>-4.6553690612060823</v>
      </c>
      <c r="AK78" s="483">
        <f>LOG10(AI78*1000/(0.08206*298.15))</f>
        <v>-3.388566326312652</v>
      </c>
      <c r="AL78" s="483">
        <f t="shared" si="21"/>
        <v>-3.388566326312652</v>
      </c>
      <c r="AM78" s="483">
        <v>-9.114469999999999</v>
      </c>
      <c r="AN78" s="226">
        <v>-4.32</v>
      </c>
      <c r="AO78" s="484"/>
      <c r="AP78" s="484"/>
      <c r="AQ78" s="226" t="s">
        <v>6312</v>
      </c>
      <c r="AR78" s="226" t="s">
        <v>6311</v>
      </c>
      <c r="AS78" s="224" t="s">
        <v>6</v>
      </c>
      <c r="AT78" s="50" t="s">
        <v>266</v>
      </c>
      <c r="AU78" s="48">
        <v>2</v>
      </c>
      <c r="AV78" s="48">
        <v>98</v>
      </c>
      <c r="AW78" s="48">
        <v>96</v>
      </c>
      <c r="AX78" s="48">
        <v>26</v>
      </c>
      <c r="AY78" s="48" t="s">
        <v>267</v>
      </c>
      <c r="AZ78" s="48" t="s">
        <v>536</v>
      </c>
      <c r="BA78" s="48">
        <v>10</v>
      </c>
      <c r="BB78" s="47" t="s">
        <v>1764</v>
      </c>
      <c r="BC78" s="47" t="s">
        <v>2448</v>
      </c>
      <c r="BD78" s="47"/>
      <c r="BE78" s="48" t="s">
        <v>1712</v>
      </c>
      <c r="BF78" s="48"/>
      <c r="BG78" s="48"/>
      <c r="BH78" s="48"/>
      <c r="BI78" s="98"/>
      <c r="BJ78" s="98">
        <v>0.24987696000000001</v>
      </c>
      <c r="BK78" s="48"/>
      <c r="BL78" s="487">
        <v>0.24944647679838694</v>
      </c>
      <c r="BM78" s="48" t="s">
        <v>541</v>
      </c>
      <c r="BN78" s="233"/>
      <c r="BO78" s="48"/>
      <c r="BP78" s="48"/>
      <c r="BQ78" s="48" t="e">
        <v>#VALUE!</v>
      </c>
      <c r="BR78" s="48"/>
      <c r="BS78" s="48"/>
      <c r="BT78" s="48"/>
      <c r="BU78" s="228"/>
      <c r="BV78" s="48"/>
      <c r="BW78" s="48"/>
      <c r="BX78" s="48"/>
      <c r="BY78" s="48"/>
      <c r="BZ78" s="48"/>
      <c r="CA78" s="48"/>
      <c r="CB78" s="48"/>
      <c r="CC78" s="48"/>
      <c r="CD78" s="48"/>
      <c r="CE78" s="48"/>
      <c r="CF78" s="48"/>
      <c r="CG78" s="48"/>
      <c r="CH78" s="48"/>
      <c r="CI78" s="98"/>
      <c r="CJ78" s="98"/>
      <c r="CK78" s="49">
        <f>BL78/BJ78</f>
        <v>0.99827721930980329</v>
      </c>
      <c r="CL78" s="229"/>
      <c r="CM78" s="229"/>
      <c r="CN78" s="229"/>
      <c r="CO78" s="47"/>
      <c r="CP78" s="500" t="s">
        <v>2470</v>
      </c>
      <c r="CQ78" s="224">
        <v>-3.1296548654173053</v>
      </c>
      <c r="CR78" s="224">
        <f t="shared" si="26"/>
        <v>1347.8912852911831</v>
      </c>
      <c r="CS78" s="230" t="s">
        <v>539</v>
      </c>
      <c r="CT78" s="230"/>
      <c r="CU78" s="230"/>
      <c r="CV78" s="335">
        <f>X78/BJ78</f>
        <v>1.000492402340736</v>
      </c>
      <c r="CW78" s="230">
        <f>IF(CV78&lt;1,0,1)</f>
        <v>1</v>
      </c>
      <c r="CX78" s="336" t="s">
        <v>539</v>
      </c>
      <c r="CY78" s="230" t="s">
        <v>5921</v>
      </c>
    </row>
    <row r="79" spans="1:103" ht="11.25" customHeight="1" x14ac:dyDescent="0.2">
      <c r="A79" s="72">
        <v>1640</v>
      </c>
      <c r="B79" s="241">
        <v>853</v>
      </c>
      <c r="C79" s="32" t="s">
        <v>2221</v>
      </c>
      <c r="D79" s="32" t="s">
        <v>6434</v>
      </c>
      <c r="E79" s="40"/>
      <c r="F79" s="40" t="s">
        <v>2222</v>
      </c>
      <c r="G79" s="242">
        <v>60571</v>
      </c>
      <c r="H79" s="36" t="s">
        <v>1703</v>
      </c>
      <c r="I79" s="36" t="s">
        <v>7988</v>
      </c>
      <c r="J79" s="36" t="s">
        <v>2223</v>
      </c>
      <c r="K79" s="36" t="s">
        <v>1705</v>
      </c>
      <c r="L79" s="36"/>
      <c r="M79" s="36" t="s">
        <v>1286</v>
      </c>
      <c r="N79" s="36" t="s">
        <v>6376</v>
      </c>
      <c r="O79" s="36" t="s">
        <v>2224</v>
      </c>
      <c r="P79" s="41"/>
      <c r="Q79" s="41"/>
      <c r="R79" s="41"/>
      <c r="S79" s="41"/>
      <c r="T79" s="37">
        <v>380.91</v>
      </c>
      <c r="U79" s="243">
        <v>0.25</v>
      </c>
      <c r="V79" s="243">
        <v>0.14549999999999999</v>
      </c>
      <c r="W79" s="243">
        <v>0.16248840450671448</v>
      </c>
      <c r="X79" s="243">
        <v>0.25</v>
      </c>
      <c r="Y79" s="414">
        <v>7</v>
      </c>
      <c r="Z79" s="37">
        <v>5.45</v>
      </c>
      <c r="AA79" s="37">
        <v>5.2</v>
      </c>
      <c r="AB79" s="37">
        <v>4.97</v>
      </c>
      <c r="AC79" s="37">
        <v>0.6804</v>
      </c>
      <c r="AD79" s="37">
        <v>4.9400000000000004</v>
      </c>
      <c r="AE79" s="37">
        <v>4.88</v>
      </c>
      <c r="AF79" s="37">
        <f t="shared" si="19"/>
        <v>5.2</v>
      </c>
      <c r="AG79" s="38">
        <v>4.05</v>
      </c>
      <c r="AH79" s="243">
        <v>5.4099999999999999E-7</v>
      </c>
      <c r="AI79" s="243">
        <v>1.0000000000000001E-5</v>
      </c>
      <c r="AJ79" s="34">
        <f t="shared" si="20"/>
        <v>-4.6553690612060823</v>
      </c>
      <c r="AK79" s="34">
        <f>LOG10(AI79*1000/(0.08206*298.15))</f>
        <v>-3.388566326312652</v>
      </c>
      <c r="AL79" s="34">
        <f t="shared" si="21"/>
        <v>-3.388566326312652</v>
      </c>
      <c r="AM79" s="34">
        <v>-9.114469999999999</v>
      </c>
      <c r="AN79" s="244">
        <v>-4.32</v>
      </c>
      <c r="AO79" s="417"/>
      <c r="AP79" s="417"/>
      <c r="AQ79" s="244" t="s">
        <v>6312</v>
      </c>
      <c r="AR79" s="244" t="s">
        <v>6311</v>
      </c>
      <c r="AS79" s="241" t="s">
        <v>6</v>
      </c>
      <c r="AT79" s="39" t="s">
        <v>266</v>
      </c>
      <c r="AU79" s="37">
        <v>2</v>
      </c>
      <c r="AV79" s="37">
        <v>48</v>
      </c>
      <c r="AW79" s="37">
        <v>48</v>
      </c>
      <c r="AX79" s="37">
        <v>26</v>
      </c>
      <c r="AY79" s="37" t="s">
        <v>647</v>
      </c>
      <c r="AZ79" s="37" t="s">
        <v>1920</v>
      </c>
      <c r="BA79" s="37">
        <v>10</v>
      </c>
      <c r="BB79" s="36" t="s">
        <v>1613</v>
      </c>
      <c r="BC79" s="36" t="s">
        <v>538</v>
      </c>
      <c r="BD79" s="36"/>
      <c r="BE79" s="37" t="s">
        <v>271</v>
      </c>
      <c r="BF79" s="37" t="s">
        <v>272</v>
      </c>
      <c r="BG79" s="37" t="s">
        <v>272</v>
      </c>
      <c r="BH79" s="37" t="s">
        <v>272</v>
      </c>
      <c r="BI79" s="243">
        <v>1.8749999999999999E-2</v>
      </c>
      <c r="BJ79" s="243">
        <v>1</v>
      </c>
      <c r="BK79" s="37"/>
      <c r="BL79" s="263">
        <v>0.24944647679838694</v>
      </c>
      <c r="BM79" s="37" t="s">
        <v>541</v>
      </c>
      <c r="BN79" s="37"/>
      <c r="BO79" s="37"/>
      <c r="BP79" s="37"/>
      <c r="BQ79" s="37"/>
      <c r="BR79" s="37"/>
      <c r="BS79" s="37"/>
      <c r="BT79" s="37"/>
      <c r="BU79" s="246"/>
      <c r="BV79" s="37"/>
      <c r="BW79" s="37"/>
      <c r="BX79" s="37"/>
      <c r="BY79" s="37"/>
      <c r="BZ79" s="37"/>
      <c r="CA79" s="37"/>
      <c r="CB79" s="37"/>
      <c r="CC79" s="37"/>
      <c r="CD79" s="37"/>
      <c r="CE79" s="37"/>
      <c r="CF79" s="37"/>
      <c r="CG79" s="37"/>
      <c r="CH79" s="37"/>
      <c r="CI79" s="243"/>
      <c r="CJ79" s="243"/>
      <c r="CK79" s="38">
        <f>BL79/BJ79</f>
        <v>0.24944647679838694</v>
      </c>
      <c r="CL79" s="247"/>
      <c r="CM79" s="247">
        <v>-2.1633801408079694</v>
      </c>
      <c r="CN79" s="247">
        <f>BJ79/(10^CM79)</f>
        <v>145.67336111807401</v>
      </c>
      <c r="CO79" s="36" t="s">
        <v>4073</v>
      </c>
      <c r="CP79" s="496" t="s">
        <v>1921</v>
      </c>
      <c r="CQ79" s="241">
        <v>-2.0793624855436361</v>
      </c>
      <c r="CR79" s="241">
        <f t="shared" si="26"/>
        <v>120.05008877419399</v>
      </c>
      <c r="CS79" s="33"/>
      <c r="CT79" s="33"/>
      <c r="CU79" s="250"/>
      <c r="CV79" s="337">
        <f>X79/BJ79</f>
        <v>0.25</v>
      </c>
      <c r="CW79" s="330">
        <f>IF(CV79&lt;1,0,1)</f>
        <v>0</v>
      </c>
      <c r="CX79" s="330"/>
      <c r="CY79" s="143" t="s">
        <v>5921</v>
      </c>
    </row>
    <row r="80" spans="1:103" ht="11.25" customHeight="1" x14ac:dyDescent="0.2">
      <c r="A80" s="72">
        <v>1657</v>
      </c>
      <c r="B80" s="241">
        <v>669</v>
      </c>
      <c r="C80" s="32" t="s">
        <v>466</v>
      </c>
      <c r="D80" s="32" t="s">
        <v>8557</v>
      </c>
      <c r="E80" s="40"/>
      <c r="F80" s="40" t="s">
        <v>1724</v>
      </c>
      <c r="G80" s="242">
        <v>67561</v>
      </c>
      <c r="H80" s="36" t="s">
        <v>1725</v>
      </c>
      <c r="I80" s="36" t="s">
        <v>1725</v>
      </c>
      <c r="J80" s="36" t="s">
        <v>1726</v>
      </c>
      <c r="K80" s="36" t="s">
        <v>426</v>
      </c>
      <c r="L80" s="36"/>
      <c r="M80" s="36" t="s">
        <v>6616</v>
      </c>
      <c r="N80" s="36" t="s">
        <v>6082</v>
      </c>
      <c r="O80" s="36"/>
      <c r="P80" s="41"/>
      <c r="Q80" s="41" t="s">
        <v>6173</v>
      </c>
      <c r="R80" s="41" t="s">
        <v>6185</v>
      </c>
      <c r="S80" s="41" t="s">
        <v>6176</v>
      </c>
      <c r="T80" s="37">
        <v>32.04</v>
      </c>
      <c r="U80" s="243">
        <v>1000000</v>
      </c>
      <c r="V80" s="243">
        <v>1000000</v>
      </c>
      <c r="W80" s="243">
        <v>243048.25503935048</v>
      </c>
      <c r="X80" s="243">
        <v>1000000</v>
      </c>
      <c r="Y80" s="414">
        <v>6.91</v>
      </c>
      <c r="Z80" s="37">
        <v>-0.63</v>
      </c>
      <c r="AA80" s="37">
        <v>-0.77</v>
      </c>
      <c r="AB80" s="37">
        <v>-0.46</v>
      </c>
      <c r="AC80" s="37">
        <v>0.91890000000000005</v>
      </c>
      <c r="AD80" s="37">
        <v>-0.52</v>
      </c>
      <c r="AE80" s="37">
        <v>-0.72</v>
      </c>
      <c r="AF80" s="37">
        <f t="shared" si="19"/>
        <v>-0.77</v>
      </c>
      <c r="AG80" s="38">
        <v>-0.28999999999999998</v>
      </c>
      <c r="AH80" s="243">
        <v>4.2699999999999998E-6</v>
      </c>
      <c r="AI80" s="243">
        <v>4.5499999999999996E-6</v>
      </c>
      <c r="AJ80" s="34">
        <f t="shared" si="20"/>
        <v>-3.7581384512876279</v>
      </c>
      <c r="AK80" s="34">
        <f>LOG10(AI80*1000/(0.08206*298.15))</f>
        <v>-3.7305549296555394</v>
      </c>
      <c r="AL80" s="34">
        <f t="shared" si="21"/>
        <v>-3.7305549296555394</v>
      </c>
      <c r="AM80" s="34">
        <v>-2.9972799999999999</v>
      </c>
      <c r="AN80" s="244">
        <v>-3.7</v>
      </c>
      <c r="AO80" s="417">
        <v>15.17</v>
      </c>
      <c r="AP80" s="417"/>
      <c r="AQ80" s="244" t="s">
        <v>6311</v>
      </c>
      <c r="AR80" s="244" t="s">
        <v>6311</v>
      </c>
      <c r="AS80" s="241" t="s">
        <v>6</v>
      </c>
      <c r="AT80" s="39" t="s">
        <v>266</v>
      </c>
      <c r="AU80" s="37">
        <v>2</v>
      </c>
      <c r="AV80" s="37">
        <v>48</v>
      </c>
      <c r="AW80" s="37">
        <v>48</v>
      </c>
      <c r="AX80" s="37">
        <v>26</v>
      </c>
      <c r="AY80" s="37" t="s">
        <v>647</v>
      </c>
      <c r="AZ80" s="37" t="s">
        <v>536</v>
      </c>
      <c r="BA80" s="37">
        <v>10</v>
      </c>
      <c r="BB80" s="36" t="s">
        <v>1764</v>
      </c>
      <c r="BC80" s="36" t="s">
        <v>538</v>
      </c>
      <c r="BD80" s="36"/>
      <c r="BE80" s="37" t="s">
        <v>271</v>
      </c>
      <c r="BF80" s="37" t="s">
        <v>272</v>
      </c>
      <c r="BG80" s="37" t="s">
        <v>272</v>
      </c>
      <c r="BH80" s="37" t="s">
        <v>272</v>
      </c>
      <c r="BI80" s="243">
        <v>1701.3240000000001</v>
      </c>
      <c r="BJ80" s="243">
        <v>219986.63999999998</v>
      </c>
      <c r="BK80" s="37"/>
      <c r="BL80" s="263">
        <v>6057.5290759183545</v>
      </c>
      <c r="BM80" s="37" t="s">
        <v>541</v>
      </c>
      <c r="BN80" s="37"/>
      <c r="BO80" s="37">
        <v>24959.16</v>
      </c>
      <c r="BP80" s="37"/>
      <c r="BQ80" s="37"/>
      <c r="BR80" s="37"/>
      <c r="BS80" s="37"/>
      <c r="BT80" s="37"/>
      <c r="BU80" s="246"/>
      <c r="BV80" s="37"/>
      <c r="BW80" s="37"/>
      <c r="BX80" s="37"/>
      <c r="BY80" s="37"/>
      <c r="BZ80" s="37"/>
      <c r="CA80" s="37"/>
      <c r="CB80" s="37"/>
      <c r="CC80" s="37"/>
      <c r="CD80" s="37"/>
      <c r="CE80" s="37"/>
      <c r="CF80" s="37"/>
      <c r="CG80" s="37"/>
      <c r="CH80" s="37"/>
      <c r="CI80" s="243">
        <v>24959.16</v>
      </c>
      <c r="CJ80" s="243">
        <f t="shared" ref="CJ80:CJ94" si="29">LOG10(CI80)</f>
        <v>4.3972299650847644</v>
      </c>
      <c r="CK80" s="38">
        <f>BL80/BJ80</f>
        <v>2.7535895252176926E-2</v>
      </c>
      <c r="CL80" s="247">
        <f t="shared" ref="CL80:CL94" si="30">BL80/CI80</f>
        <v>0.24269763389145926</v>
      </c>
      <c r="CM80" s="247"/>
      <c r="CN80" s="247"/>
      <c r="CO80" s="36"/>
      <c r="CP80" s="496" t="s">
        <v>1921</v>
      </c>
      <c r="CQ80" s="241">
        <v>4.178109832373929</v>
      </c>
      <c r="CR80" s="241">
        <f t="shared" si="26"/>
        <v>1.6562280389371578</v>
      </c>
      <c r="CS80" s="33"/>
      <c r="CT80" s="33"/>
      <c r="CU80" s="250">
        <f t="shared" ref="CU80:CU94" si="31">X80/CI80</f>
        <v>40.065450920623931</v>
      </c>
      <c r="CV80" s="337">
        <f>X80/BJ80</f>
        <v>4.54573059527615</v>
      </c>
      <c r="CW80" s="330">
        <f t="shared" ref="CW80:CW94" si="32">IF(CU80&lt;2,0,1)</f>
        <v>1</v>
      </c>
      <c r="CX80" s="330"/>
      <c r="CY80" s="143" t="s">
        <v>6351</v>
      </c>
    </row>
    <row r="81" spans="1:103" ht="11.25" customHeight="1" x14ac:dyDescent="0.2">
      <c r="A81" s="72">
        <v>1691</v>
      </c>
      <c r="B81" s="241">
        <v>663</v>
      </c>
      <c r="C81" s="32" t="s">
        <v>1756</v>
      </c>
      <c r="D81" s="32"/>
      <c r="E81" s="40"/>
      <c r="F81" s="40" t="s">
        <v>1757</v>
      </c>
      <c r="G81" s="242">
        <v>87865</v>
      </c>
      <c r="H81" s="36" t="s">
        <v>1758</v>
      </c>
      <c r="I81" s="36" t="s">
        <v>7866</v>
      </c>
      <c r="J81" s="36" t="s">
        <v>1759</v>
      </c>
      <c r="K81" s="36" t="s">
        <v>349</v>
      </c>
      <c r="L81" s="36" t="s">
        <v>6134</v>
      </c>
      <c r="M81" s="36" t="s">
        <v>497</v>
      </c>
      <c r="N81" s="36" t="s">
        <v>6381</v>
      </c>
      <c r="O81" s="36" t="s">
        <v>6086</v>
      </c>
      <c r="P81" s="41"/>
      <c r="Q81" s="41" t="s">
        <v>6173</v>
      </c>
      <c r="R81" s="41" t="s">
        <v>6180</v>
      </c>
      <c r="S81" s="41" t="s">
        <v>6176</v>
      </c>
      <c r="T81" s="37">
        <v>266.33999999999997</v>
      </c>
      <c r="U81" s="243">
        <v>14</v>
      </c>
      <c r="V81" s="243">
        <v>3.09</v>
      </c>
      <c r="W81" s="243">
        <v>10.125964381601822</v>
      </c>
      <c r="X81" s="243">
        <v>14</v>
      </c>
      <c r="Y81" s="414">
        <v>4.71</v>
      </c>
      <c r="Z81" s="37">
        <v>4.74</v>
      </c>
      <c r="AA81" s="37">
        <v>5.12</v>
      </c>
      <c r="AB81" s="37">
        <v>5.1100000000000003</v>
      </c>
      <c r="AC81" s="37">
        <v>0.88800000000000001</v>
      </c>
      <c r="AD81" s="37">
        <v>5.04</v>
      </c>
      <c r="AE81" s="37">
        <v>4.78</v>
      </c>
      <c r="AF81" s="37">
        <f t="shared" si="19"/>
        <v>5.12</v>
      </c>
      <c r="AG81" s="38">
        <v>4.8499999999999996</v>
      </c>
      <c r="AH81" s="243">
        <v>1.2499999999999999E-7</v>
      </c>
      <c r="AI81" s="243">
        <v>2.4500000000000001E-8</v>
      </c>
      <c r="AJ81" s="34">
        <f t="shared" si="20"/>
        <v>-5.2916563133045953</v>
      </c>
      <c r="AK81" s="34">
        <f>LOG10(AI81*1000/(0.08206*298.15))</f>
        <v>-5.9994002419481189</v>
      </c>
      <c r="AL81" s="34">
        <f t="shared" si="21"/>
        <v>-5.9994002419481189</v>
      </c>
      <c r="AM81" s="34">
        <v>-7.034559999999999</v>
      </c>
      <c r="AN81" s="244">
        <v>-3.97</v>
      </c>
      <c r="AO81" s="417">
        <v>4.68</v>
      </c>
      <c r="AP81" s="417"/>
      <c r="AQ81" s="244" t="s">
        <v>6311</v>
      </c>
      <c r="AR81" s="244" t="s">
        <v>6311</v>
      </c>
      <c r="AS81" s="241" t="s">
        <v>6</v>
      </c>
      <c r="AT81" s="39" t="s">
        <v>266</v>
      </c>
      <c r="AU81" s="37">
        <v>2</v>
      </c>
      <c r="AV81" s="37">
        <v>48</v>
      </c>
      <c r="AW81" s="37">
        <v>48</v>
      </c>
      <c r="AX81" s="37">
        <v>26</v>
      </c>
      <c r="AY81" s="37" t="s">
        <v>647</v>
      </c>
      <c r="AZ81" s="37" t="s">
        <v>1920</v>
      </c>
      <c r="BA81" s="37">
        <v>10</v>
      </c>
      <c r="BB81" s="36" t="s">
        <v>1613</v>
      </c>
      <c r="BC81" s="36" t="s">
        <v>538</v>
      </c>
      <c r="BD81" s="36"/>
      <c r="BE81" s="37" t="s">
        <v>271</v>
      </c>
      <c r="BF81" s="37" t="s">
        <v>272</v>
      </c>
      <c r="BG81" s="37" t="s">
        <v>272</v>
      </c>
      <c r="BH81" s="37" t="s">
        <v>272</v>
      </c>
      <c r="BI81" s="250">
        <v>0.125</v>
      </c>
      <c r="BJ81" s="250">
        <v>2</v>
      </c>
      <c r="BK81" s="37"/>
      <c r="BL81" s="263">
        <v>0.75725542865225259</v>
      </c>
      <c r="BM81" s="37" t="s">
        <v>541</v>
      </c>
      <c r="BN81" s="37"/>
      <c r="BO81" s="37">
        <v>0.121</v>
      </c>
      <c r="BP81" s="37"/>
      <c r="BQ81" s="37"/>
      <c r="BR81" s="37"/>
      <c r="BS81" s="37"/>
      <c r="BT81" s="37"/>
      <c r="BU81" s="246"/>
      <c r="BV81" s="37"/>
      <c r="BW81" s="37"/>
      <c r="BX81" s="37"/>
      <c r="BY81" s="37"/>
      <c r="BZ81" s="37"/>
      <c r="CA81" s="37"/>
      <c r="CB81" s="37"/>
      <c r="CC81" s="37"/>
      <c r="CD81" s="37"/>
      <c r="CE81" s="37"/>
      <c r="CF81" s="37"/>
      <c r="CG81" s="37"/>
      <c r="CH81" s="37"/>
      <c r="CI81" s="243">
        <v>0.121</v>
      </c>
      <c r="CJ81" s="243">
        <f t="shared" si="29"/>
        <v>-0.91721462968354994</v>
      </c>
      <c r="CK81" s="38">
        <f>BL81/BJ81</f>
        <v>0.3786277143261263</v>
      </c>
      <c r="CL81" s="247">
        <f t="shared" si="30"/>
        <v>6.2583093277045672</v>
      </c>
      <c r="CM81" s="247">
        <v>-0.85054537395088958</v>
      </c>
      <c r="CN81" s="247">
        <f>BJ81/(10^CM81)</f>
        <v>14.176707196919738</v>
      </c>
      <c r="CO81" s="36"/>
      <c r="CP81" s="496" t="s">
        <v>1921</v>
      </c>
      <c r="CQ81" s="241">
        <v>-0.72193980992494822</v>
      </c>
      <c r="CR81" s="241">
        <f t="shared" si="26"/>
        <v>0.63785972344967778</v>
      </c>
      <c r="CS81" s="33"/>
      <c r="CT81" s="33"/>
      <c r="CU81" s="250">
        <f t="shared" si="31"/>
        <v>115.70247933884298</v>
      </c>
      <c r="CV81" s="337">
        <f>X81/BJ81</f>
        <v>7</v>
      </c>
      <c r="CW81" s="330">
        <f t="shared" si="32"/>
        <v>1</v>
      </c>
      <c r="CX81" s="330"/>
      <c r="CY81" s="143" t="s">
        <v>5921</v>
      </c>
    </row>
    <row r="82" spans="1:103" ht="11.25" customHeight="1" x14ac:dyDescent="0.2">
      <c r="A82" s="72">
        <v>1773</v>
      </c>
      <c r="B82" s="241">
        <v>670</v>
      </c>
      <c r="C82" s="32" t="s">
        <v>1510</v>
      </c>
      <c r="D82" s="32"/>
      <c r="E82" s="40"/>
      <c r="F82" s="40" t="s">
        <v>1511</v>
      </c>
      <c r="G82" s="242">
        <v>137268</v>
      </c>
      <c r="H82" s="36" t="s">
        <v>1512</v>
      </c>
      <c r="I82" s="36" t="s">
        <v>1512</v>
      </c>
      <c r="J82" s="36" t="s">
        <v>1513</v>
      </c>
      <c r="K82" s="36" t="s">
        <v>1514</v>
      </c>
      <c r="L82" s="36" t="s">
        <v>6092</v>
      </c>
      <c r="M82" s="36" t="s">
        <v>1515</v>
      </c>
      <c r="N82" s="36" t="s">
        <v>6382</v>
      </c>
      <c r="O82" s="36" t="s">
        <v>1516</v>
      </c>
      <c r="P82" s="41"/>
      <c r="Q82" s="41"/>
      <c r="R82" s="41"/>
      <c r="S82" s="41"/>
      <c r="T82" s="37">
        <v>240.44</v>
      </c>
      <c r="U82" s="243">
        <v>30</v>
      </c>
      <c r="V82" s="243">
        <v>9064</v>
      </c>
      <c r="W82" s="243">
        <v>53.827811055737122</v>
      </c>
      <c r="X82" s="243">
        <v>30</v>
      </c>
      <c r="Y82" s="414">
        <v>7</v>
      </c>
      <c r="Z82" s="37">
        <v>1.7</v>
      </c>
      <c r="AA82" s="37">
        <v>1.73</v>
      </c>
      <c r="AB82" s="37">
        <v>2.02</v>
      </c>
      <c r="AC82" s="37">
        <v>0.82899999999999996</v>
      </c>
      <c r="AD82" s="37">
        <v>1.94</v>
      </c>
      <c r="AE82" s="37">
        <v>1.75</v>
      </c>
      <c r="AF82" s="37">
        <f t="shared" si="19"/>
        <v>1.73</v>
      </c>
      <c r="AG82" s="38">
        <v>3.34</v>
      </c>
      <c r="AH82" s="243">
        <v>2.6800000000000001E-5</v>
      </c>
      <c r="AI82" s="243">
        <v>1.8199999999999999E-7</v>
      </c>
      <c r="AJ82" s="34">
        <f t="shared" si="20"/>
        <v>-2.960431532283863</v>
      </c>
      <c r="AK82" s="34">
        <f>LOG10(AI82*1000/(0.08206*298.15))</f>
        <v>-5.1284949383275773</v>
      </c>
      <c r="AL82" s="34">
        <f t="shared" si="21"/>
        <v>-5.1284949383275773</v>
      </c>
      <c r="AM82" s="34">
        <v>-12.009799999999998</v>
      </c>
      <c r="AN82" s="244">
        <v>-6.05</v>
      </c>
      <c r="AO82" s="417"/>
      <c r="AP82" s="417">
        <v>0.87</v>
      </c>
      <c r="AQ82" s="244" t="s">
        <v>6311</v>
      </c>
      <c r="AR82" s="244" t="s">
        <v>6311</v>
      </c>
      <c r="AS82" s="241" t="s">
        <v>6</v>
      </c>
      <c r="AT82" s="39" t="s">
        <v>266</v>
      </c>
      <c r="AU82" s="37">
        <v>2</v>
      </c>
      <c r="AV82" s="37">
        <v>48</v>
      </c>
      <c r="AW82" s="37">
        <v>48</v>
      </c>
      <c r="AX82" s="37">
        <v>26</v>
      </c>
      <c r="AY82" s="37" t="s">
        <v>647</v>
      </c>
      <c r="AZ82" s="37" t="s">
        <v>536</v>
      </c>
      <c r="BA82" s="37">
        <v>10</v>
      </c>
      <c r="BB82" s="36" t="s">
        <v>1764</v>
      </c>
      <c r="BC82" s="36" t="s">
        <v>538</v>
      </c>
      <c r="BD82" s="36"/>
      <c r="BE82" s="37" t="s">
        <v>271</v>
      </c>
      <c r="BF82" s="37" t="s">
        <v>272</v>
      </c>
      <c r="BG82" s="37" t="s">
        <v>272</v>
      </c>
      <c r="BH82" s="37" t="s">
        <v>272</v>
      </c>
      <c r="BI82" s="250">
        <v>1.9500811046874349</v>
      </c>
      <c r="BJ82" s="250">
        <v>1000.0415921474025</v>
      </c>
      <c r="BK82" s="37"/>
      <c r="BL82" s="263">
        <v>367.31335527411579</v>
      </c>
      <c r="BM82" s="37" t="s">
        <v>541</v>
      </c>
      <c r="BN82" s="37"/>
      <c r="BO82" s="37">
        <v>113.48471987688725</v>
      </c>
      <c r="BP82" s="37"/>
      <c r="BQ82" s="37"/>
      <c r="BR82" s="37"/>
      <c r="BS82" s="37"/>
      <c r="BT82" s="37"/>
      <c r="BU82" s="246"/>
      <c r="BV82" s="37"/>
      <c r="BW82" s="37"/>
      <c r="BX82" s="37"/>
      <c r="BY82" s="37"/>
      <c r="BZ82" s="37"/>
      <c r="CA82" s="37"/>
      <c r="CB82" s="37"/>
      <c r="CC82" s="37"/>
      <c r="CD82" s="37"/>
      <c r="CE82" s="37"/>
      <c r="CF82" s="37"/>
      <c r="CG82" s="37"/>
      <c r="CH82" s="37"/>
      <c r="CI82" s="243">
        <v>113.48471987688725</v>
      </c>
      <c r="CJ82" s="243">
        <f t="shared" si="29"/>
        <v>2.0549373899882881</v>
      </c>
      <c r="CK82" s="38">
        <f>BL82/BJ82</f>
        <v>0.36729807855829172</v>
      </c>
      <c r="CL82" s="247">
        <f t="shared" si="30"/>
        <v>3.2366767585327079</v>
      </c>
      <c r="CM82" s="247">
        <v>-1.6644766621219171</v>
      </c>
      <c r="CN82" s="247">
        <f>BJ82/(10^CM82)</f>
        <v>46184.338223400831</v>
      </c>
      <c r="CO82" s="36"/>
      <c r="CP82" s="496" t="s">
        <v>1921</v>
      </c>
      <c r="CQ82" s="241">
        <v>-1.2976425233538103</v>
      </c>
      <c r="CR82" s="241">
        <f t="shared" si="26"/>
        <v>2252.059773992522</v>
      </c>
      <c r="CS82" s="33"/>
      <c r="CT82" s="33"/>
      <c r="CU82" s="250">
        <f t="shared" si="31"/>
        <v>0.26435276954065001</v>
      </c>
      <c r="CV82" s="337">
        <f>X82/BJ82</f>
        <v>2.9998752287472969E-2</v>
      </c>
      <c r="CW82" s="330">
        <f t="shared" si="32"/>
        <v>0</v>
      </c>
      <c r="CX82" s="330"/>
      <c r="CY82" s="143" t="s">
        <v>6351</v>
      </c>
    </row>
    <row r="83" spans="1:103" ht="11.25" customHeight="1" x14ac:dyDescent="0.2">
      <c r="A83" s="72">
        <v>1783</v>
      </c>
      <c r="B83" s="241">
        <v>662</v>
      </c>
      <c r="C83" s="32" t="s">
        <v>1923</v>
      </c>
      <c r="D83" s="32"/>
      <c r="E83" s="40"/>
      <c r="F83" s="40" t="s">
        <v>1924</v>
      </c>
      <c r="G83" s="242">
        <v>298464</v>
      </c>
      <c r="H83" s="36" t="s">
        <v>1925</v>
      </c>
      <c r="I83" s="36" t="s">
        <v>1925</v>
      </c>
      <c r="J83" s="36" t="s">
        <v>1926</v>
      </c>
      <c r="K83" s="36" t="s">
        <v>1292</v>
      </c>
      <c r="L83" s="42" t="s">
        <v>279</v>
      </c>
      <c r="M83" s="36" t="s">
        <v>1927</v>
      </c>
      <c r="N83" s="36" t="s">
        <v>6376</v>
      </c>
      <c r="O83" s="36" t="s">
        <v>281</v>
      </c>
      <c r="P83" s="41"/>
      <c r="Q83" s="41"/>
      <c r="R83" s="41"/>
      <c r="S83" s="41"/>
      <c r="T83" s="37">
        <v>236.27</v>
      </c>
      <c r="U83" s="243">
        <v>112</v>
      </c>
      <c r="V83" s="243">
        <v>17.66</v>
      </c>
      <c r="W83" s="243">
        <v>78.236350072691764</v>
      </c>
      <c r="X83" s="243">
        <v>112</v>
      </c>
      <c r="Y83" s="414">
        <v>7</v>
      </c>
      <c r="Z83" s="37">
        <v>2.25</v>
      </c>
      <c r="AA83" s="37">
        <v>2.4500000000000002</v>
      </c>
      <c r="AB83" s="37">
        <v>2.17</v>
      </c>
      <c r="AC83" s="37">
        <v>0.88529999999999998</v>
      </c>
      <c r="AD83" s="37">
        <v>2.2799999999999998</v>
      </c>
      <c r="AE83" s="37">
        <v>2.67</v>
      </c>
      <c r="AF83" s="37">
        <f t="shared" si="19"/>
        <v>2.4500000000000002</v>
      </c>
      <c r="AG83" s="38">
        <v>2.52</v>
      </c>
      <c r="AH83" s="243">
        <v>1.08E-10</v>
      </c>
      <c r="AI83" s="243"/>
      <c r="AJ83" s="34">
        <f t="shared" si="20"/>
        <v>-8.3551425708257021</v>
      </c>
      <c r="AK83" s="34"/>
      <c r="AL83" s="34">
        <f t="shared" si="21"/>
        <v>-8.3551425708257021</v>
      </c>
      <c r="AM83" s="34">
        <v>-14.371929999999999</v>
      </c>
      <c r="AN83" s="244">
        <v>-9.82</v>
      </c>
      <c r="AO83" s="417">
        <v>13.94</v>
      </c>
      <c r="AP83" s="417">
        <v>-0.49</v>
      </c>
      <c r="AQ83" s="244" t="s">
        <v>6311</v>
      </c>
      <c r="AR83" s="244" t="s">
        <v>6311</v>
      </c>
      <c r="AS83" s="241" t="s">
        <v>6</v>
      </c>
      <c r="AT83" s="39" t="s">
        <v>266</v>
      </c>
      <c r="AU83" s="37">
        <v>2</v>
      </c>
      <c r="AV83" s="37">
        <v>48</v>
      </c>
      <c r="AW83" s="37">
        <v>48</v>
      </c>
      <c r="AX83" s="37">
        <v>26</v>
      </c>
      <c r="AY83" s="37" t="s">
        <v>647</v>
      </c>
      <c r="AZ83" s="37" t="s">
        <v>1920</v>
      </c>
      <c r="BA83" s="37">
        <v>10</v>
      </c>
      <c r="BB83" s="36" t="s">
        <v>1613</v>
      </c>
      <c r="BC83" s="36" t="s">
        <v>538</v>
      </c>
      <c r="BD83" s="36"/>
      <c r="BE83" s="37" t="s">
        <v>271</v>
      </c>
      <c r="BF83" s="37" t="s">
        <v>272</v>
      </c>
      <c r="BG83" s="37" t="s">
        <v>272</v>
      </c>
      <c r="BH83" s="37" t="s">
        <v>272</v>
      </c>
      <c r="BI83" s="243" t="s">
        <v>8722</v>
      </c>
      <c r="BJ83" s="243" t="s">
        <v>8722</v>
      </c>
      <c r="BK83" s="37"/>
      <c r="BL83" s="263">
        <v>115.74002752106692</v>
      </c>
      <c r="BM83" s="37" t="s">
        <v>541</v>
      </c>
      <c r="BN83" s="37"/>
      <c r="BO83" s="37">
        <v>62.252419600000003</v>
      </c>
      <c r="BP83" s="37"/>
      <c r="BQ83" s="37"/>
      <c r="BR83" s="37"/>
      <c r="BS83" s="37"/>
      <c r="BT83" s="37"/>
      <c r="BU83" s="246"/>
      <c r="BV83" s="37"/>
      <c r="BW83" s="37"/>
      <c r="BX83" s="37"/>
      <c r="BY83" s="37"/>
      <c r="BZ83" s="37"/>
      <c r="CA83" s="37"/>
      <c r="CB83" s="37"/>
      <c r="CC83" s="37"/>
      <c r="CD83" s="37"/>
      <c r="CE83" s="37"/>
      <c r="CF83" s="37"/>
      <c r="CG83" s="37"/>
      <c r="CH83" s="37"/>
      <c r="CI83" s="243">
        <v>62.252419600000003</v>
      </c>
      <c r="CJ83" s="243">
        <f t="shared" si="29"/>
        <v>1.7941562360650714</v>
      </c>
      <c r="CK83" s="38"/>
      <c r="CL83" s="247">
        <f t="shared" si="30"/>
        <v>1.8592052849471399</v>
      </c>
      <c r="CM83" s="247"/>
      <c r="CN83" s="247"/>
      <c r="CO83" s="36"/>
      <c r="CP83" s="496" t="s">
        <v>1921</v>
      </c>
      <c r="CQ83" s="241">
        <v>1.4661607659946467</v>
      </c>
      <c r="CR83" s="241">
        <f t="shared" si="26"/>
        <v>2.1281168484413437</v>
      </c>
      <c r="CS83" s="33"/>
      <c r="CT83" s="33"/>
      <c r="CU83" s="250">
        <f t="shared" si="31"/>
        <v>1.7991268567495164</v>
      </c>
      <c r="CV83" s="337"/>
      <c r="CW83" s="330">
        <f t="shared" si="32"/>
        <v>0</v>
      </c>
      <c r="CX83" s="330"/>
      <c r="CY83" s="143" t="s">
        <v>5921</v>
      </c>
    </row>
    <row r="84" spans="1:103" ht="11.25" customHeight="1" x14ac:dyDescent="0.2">
      <c r="A84" s="72">
        <v>1806</v>
      </c>
      <c r="B84" s="241">
        <v>664</v>
      </c>
      <c r="C84" s="32" t="s">
        <v>6701</v>
      </c>
      <c r="D84" s="32"/>
      <c r="E84" s="40"/>
      <c r="F84" s="40" t="s">
        <v>1690</v>
      </c>
      <c r="G84" s="242">
        <v>534521</v>
      </c>
      <c r="H84" s="36" t="s">
        <v>1691</v>
      </c>
      <c r="I84" s="36" t="s">
        <v>1691</v>
      </c>
      <c r="J84" s="36" t="s">
        <v>1692</v>
      </c>
      <c r="K84" s="36" t="s">
        <v>1693</v>
      </c>
      <c r="L84" s="36" t="s">
        <v>617</v>
      </c>
      <c r="M84" s="36" t="s">
        <v>1694</v>
      </c>
      <c r="N84" s="36" t="s">
        <v>6381</v>
      </c>
      <c r="O84" s="36" t="s">
        <v>1695</v>
      </c>
      <c r="P84" s="41"/>
      <c r="Q84" s="41" t="s">
        <v>6173</v>
      </c>
      <c r="R84" s="41" t="s">
        <v>6180</v>
      </c>
      <c r="S84" s="41" t="s">
        <v>6176</v>
      </c>
      <c r="T84" s="37">
        <v>198.13</v>
      </c>
      <c r="U84" s="243">
        <v>198</v>
      </c>
      <c r="V84" s="243">
        <v>678.4</v>
      </c>
      <c r="W84" s="243">
        <v>571.41316171447409</v>
      </c>
      <c r="X84" s="243">
        <v>198</v>
      </c>
      <c r="Y84" s="414">
        <v>3.5</v>
      </c>
      <c r="Z84" s="37">
        <v>2.27</v>
      </c>
      <c r="AA84" s="37">
        <v>2.13</v>
      </c>
      <c r="AB84" s="37">
        <v>2.29</v>
      </c>
      <c r="AC84" s="37">
        <v>0.86</v>
      </c>
      <c r="AD84" s="37">
        <v>2.27</v>
      </c>
      <c r="AE84" s="37">
        <v>2.2000000000000002</v>
      </c>
      <c r="AF84" s="37">
        <f t="shared" si="19"/>
        <v>2.13</v>
      </c>
      <c r="AG84" s="38">
        <v>1.1499999999999999</v>
      </c>
      <c r="AH84" s="243">
        <v>3.0500000000000002E-8</v>
      </c>
      <c r="AI84" s="243">
        <v>1.3999999999999999E-6</v>
      </c>
      <c r="AJ84" s="34">
        <f t="shared" si="20"/>
        <v>-5.9042664869658656</v>
      </c>
      <c r="AK84" s="34">
        <f>LOG10(AI84*1000/(0.08206*298.15))</f>
        <v>-4.2424382906344134</v>
      </c>
      <c r="AL84" s="34">
        <f t="shared" si="21"/>
        <v>-4.2424382906344134</v>
      </c>
      <c r="AM84" s="34">
        <v>-9.2475299999999994</v>
      </c>
      <c r="AN84" s="244">
        <v>-5.07</v>
      </c>
      <c r="AO84" s="417">
        <v>4.42</v>
      </c>
      <c r="AP84" s="417"/>
      <c r="AQ84" s="244" t="s">
        <v>6311</v>
      </c>
      <c r="AR84" s="244" t="s">
        <v>6311</v>
      </c>
      <c r="AS84" s="241" t="s">
        <v>6</v>
      </c>
      <c r="AT84" s="39" t="s">
        <v>266</v>
      </c>
      <c r="AU84" s="37">
        <v>2</v>
      </c>
      <c r="AV84" s="37">
        <v>48</v>
      </c>
      <c r="AW84" s="37">
        <v>48</v>
      </c>
      <c r="AX84" s="37">
        <v>26</v>
      </c>
      <c r="AY84" s="37" t="s">
        <v>647</v>
      </c>
      <c r="AZ84" s="37" t="s">
        <v>1920</v>
      </c>
      <c r="BA84" s="37">
        <v>10</v>
      </c>
      <c r="BB84" s="36" t="s">
        <v>1613</v>
      </c>
      <c r="BC84" s="36" t="s">
        <v>538</v>
      </c>
      <c r="BD84" s="36"/>
      <c r="BE84" s="37" t="s">
        <v>271</v>
      </c>
      <c r="BF84" s="37" t="s">
        <v>272</v>
      </c>
      <c r="BG84" s="37" t="s">
        <v>272</v>
      </c>
      <c r="BH84" s="37" t="s">
        <v>272</v>
      </c>
      <c r="BI84" s="250">
        <v>9.9994953063490474E-3</v>
      </c>
      <c r="BJ84" s="250">
        <v>19.998990612698094</v>
      </c>
      <c r="BK84" s="37"/>
      <c r="BL84" s="263">
        <v>93.124346806769523</v>
      </c>
      <c r="BM84" s="37" t="s">
        <v>541</v>
      </c>
      <c r="BN84" s="37"/>
      <c r="BO84" s="37">
        <v>0.59996971838094282</v>
      </c>
      <c r="BP84" s="37"/>
      <c r="BQ84" s="37"/>
      <c r="BR84" s="37"/>
      <c r="BS84" s="37"/>
      <c r="BT84" s="37"/>
      <c r="BU84" s="246"/>
      <c r="BV84" s="37"/>
      <c r="BW84" s="37"/>
      <c r="BX84" s="37"/>
      <c r="BY84" s="37"/>
      <c r="BZ84" s="37"/>
      <c r="CA84" s="37"/>
      <c r="CB84" s="37"/>
      <c r="CC84" s="37"/>
      <c r="CD84" s="37"/>
      <c r="CE84" s="37"/>
      <c r="CF84" s="37"/>
      <c r="CG84" s="37"/>
      <c r="CH84" s="37"/>
      <c r="CI84" s="243">
        <v>0.59996971838094282</v>
      </c>
      <c r="CJ84" s="243">
        <f t="shared" si="29"/>
        <v>-0.22187066873624911</v>
      </c>
      <c r="CK84" s="38">
        <f t="shared" ref="CK84:CK91" si="33">BL84/BJ84</f>
        <v>4.6564523485321034</v>
      </c>
      <c r="CL84" s="247">
        <f t="shared" si="30"/>
        <v>155.21507828440343</v>
      </c>
      <c r="CM84" s="247"/>
      <c r="CN84" s="247"/>
      <c r="CO84" s="36"/>
      <c r="CP84" s="496" t="s">
        <v>1921</v>
      </c>
      <c r="CQ84" s="241">
        <v>-0.11350532493431179</v>
      </c>
      <c r="CR84" s="241">
        <f t="shared" si="26"/>
        <v>0.77917436584680233</v>
      </c>
      <c r="CS84" s="33"/>
      <c r="CT84" s="33"/>
      <c r="CU84" s="250">
        <f t="shared" si="31"/>
        <v>330.01665573108562</v>
      </c>
      <c r="CV84" s="337">
        <f t="shared" ref="CV84:CV91" si="34">X84/BJ84</f>
        <v>9.9004996719325682</v>
      </c>
      <c r="CW84" s="330">
        <f t="shared" si="32"/>
        <v>1</v>
      </c>
      <c r="CX84" s="330"/>
      <c r="CY84" s="143" t="s">
        <v>6351</v>
      </c>
    </row>
    <row r="85" spans="1:103" ht="11.25" customHeight="1" x14ac:dyDescent="0.2">
      <c r="A85" s="72">
        <v>1837</v>
      </c>
      <c r="B85" s="241">
        <v>680</v>
      </c>
      <c r="C85" s="32" t="s">
        <v>7725</v>
      </c>
      <c r="D85" s="32"/>
      <c r="E85" s="40"/>
      <c r="F85" s="40" t="s">
        <v>1963</v>
      </c>
      <c r="G85" s="242">
        <v>1124330</v>
      </c>
      <c r="H85" s="36" t="s">
        <v>1964</v>
      </c>
      <c r="I85" s="36" t="s">
        <v>8236</v>
      </c>
      <c r="J85" s="36" t="s">
        <v>1965</v>
      </c>
      <c r="K85" s="36" t="s">
        <v>426</v>
      </c>
      <c r="L85" s="36"/>
      <c r="M85" s="36"/>
      <c r="N85" s="36"/>
      <c r="O85" s="36"/>
      <c r="P85" s="41"/>
      <c r="Q85" s="41"/>
      <c r="R85" s="41"/>
      <c r="S85" s="41"/>
      <c r="T85" s="37">
        <v>140.1</v>
      </c>
      <c r="U85" s="243"/>
      <c r="V85" s="243">
        <v>100500</v>
      </c>
      <c r="W85" s="243">
        <v>36011.244916591779</v>
      </c>
      <c r="X85" s="243">
        <v>36011.244916591779</v>
      </c>
      <c r="Y85" s="414">
        <v>7</v>
      </c>
      <c r="Z85" s="37">
        <v>-0.92</v>
      </c>
      <c r="AA85" s="37">
        <v>-0.55000000000000004</v>
      </c>
      <c r="AB85" s="37">
        <v>-0.93</v>
      </c>
      <c r="AC85" s="37">
        <v>0.86519999999999997</v>
      </c>
      <c r="AD85" s="37">
        <v>-0.83</v>
      </c>
      <c r="AE85" s="37">
        <v>-0.55000000000000004</v>
      </c>
      <c r="AF85" s="37">
        <f t="shared" si="19"/>
        <v>-0.55000000000000004</v>
      </c>
      <c r="AG85" s="38">
        <v>0.56000000000000005</v>
      </c>
      <c r="AH85" s="243">
        <v>2.7799999999999998E-13</v>
      </c>
      <c r="AI85" s="243"/>
      <c r="AJ85" s="34">
        <f t="shared" si="20"/>
        <v>-10.944521530394576</v>
      </c>
      <c r="AK85" s="34"/>
      <c r="AL85" s="34">
        <f t="shared" si="21"/>
        <v>-10.944521530394576</v>
      </c>
      <c r="AM85" s="34">
        <v>-4.3821199999999996</v>
      </c>
      <c r="AN85" s="244">
        <v>-4.57</v>
      </c>
      <c r="AO85" s="417"/>
      <c r="AP85" s="417">
        <v>-1.37</v>
      </c>
      <c r="AQ85" s="244" t="s">
        <v>6311</v>
      </c>
      <c r="AR85" s="244" t="s">
        <v>6311</v>
      </c>
      <c r="AS85" s="241"/>
      <c r="AT85" s="39" t="s">
        <v>266</v>
      </c>
      <c r="AU85" s="37">
        <v>2</v>
      </c>
      <c r="AV85" s="37">
        <v>48</v>
      </c>
      <c r="AW85" s="37">
        <v>48</v>
      </c>
      <c r="AX85" s="37">
        <v>26</v>
      </c>
      <c r="AY85" s="37" t="s">
        <v>647</v>
      </c>
      <c r="AZ85" s="37" t="s">
        <v>536</v>
      </c>
      <c r="BA85" s="37">
        <v>10</v>
      </c>
      <c r="BB85" s="36" t="s">
        <v>1764</v>
      </c>
      <c r="BC85" s="36" t="s">
        <v>538</v>
      </c>
      <c r="BD85" s="36"/>
      <c r="BE85" s="37" t="s">
        <v>271</v>
      </c>
      <c r="BF85" s="37" t="s">
        <v>272</v>
      </c>
      <c r="BG85" s="37" t="s">
        <v>272</v>
      </c>
      <c r="BH85" s="37" t="s">
        <v>272</v>
      </c>
      <c r="BI85" s="250">
        <v>7.691489999999999</v>
      </c>
      <c r="BJ85" s="250">
        <v>1971.5712599999999</v>
      </c>
      <c r="BK85" s="37"/>
      <c r="BL85" s="263">
        <v>48249.202044554848</v>
      </c>
      <c r="BM85" s="37" t="s">
        <v>541</v>
      </c>
      <c r="BN85" s="37"/>
      <c r="BO85" s="37">
        <v>27.932710280373829</v>
      </c>
      <c r="BP85" s="37"/>
      <c r="BQ85" s="37"/>
      <c r="BR85" s="37"/>
      <c r="BS85" s="37"/>
      <c r="BT85" s="37"/>
      <c r="BU85" s="246"/>
      <c r="BV85" s="37"/>
      <c r="BW85" s="37"/>
      <c r="BX85" s="37"/>
      <c r="BY85" s="37"/>
      <c r="BZ85" s="37"/>
      <c r="CA85" s="37"/>
      <c r="CB85" s="37"/>
      <c r="CC85" s="37"/>
      <c r="CD85" s="37"/>
      <c r="CE85" s="37"/>
      <c r="CF85" s="37"/>
      <c r="CG85" s="37"/>
      <c r="CH85" s="37"/>
      <c r="CI85" s="243">
        <v>27.932710280373829</v>
      </c>
      <c r="CJ85" s="243">
        <f t="shared" si="29"/>
        <v>1.4461130768647896</v>
      </c>
      <c r="CK85" s="38">
        <f t="shared" si="33"/>
        <v>24.472461646937809</v>
      </c>
      <c r="CL85" s="247">
        <f t="shared" si="30"/>
        <v>1727.3369307974335</v>
      </c>
      <c r="CM85" s="247"/>
      <c r="CN85" s="247"/>
      <c r="CO85" s="36"/>
      <c r="CP85" s="496" t="s">
        <v>1921</v>
      </c>
      <c r="CQ85" s="241" t="s">
        <v>272</v>
      </c>
      <c r="CR85" s="241"/>
      <c r="CS85" s="33"/>
      <c r="CT85" s="33"/>
      <c r="CU85" s="250">
        <f t="shared" si="31"/>
        <v>1289.2141347950082</v>
      </c>
      <c r="CV85" s="337">
        <f t="shared" si="34"/>
        <v>18.265251501278112</v>
      </c>
      <c r="CW85" s="330">
        <f t="shared" si="32"/>
        <v>1</v>
      </c>
      <c r="CX85" s="330"/>
      <c r="CY85" s="143" t="s">
        <v>5921</v>
      </c>
    </row>
    <row r="86" spans="1:103" ht="11.25" customHeight="1" x14ac:dyDescent="0.2">
      <c r="A86" s="72">
        <v>1851</v>
      </c>
      <c r="B86" s="241">
        <v>677</v>
      </c>
      <c r="C86" s="32" t="s">
        <v>7735</v>
      </c>
      <c r="D86" s="32"/>
      <c r="E86" s="40"/>
      <c r="F86" s="40" t="s">
        <v>1951</v>
      </c>
      <c r="G86" s="242">
        <v>2530269</v>
      </c>
      <c r="H86" s="36" t="s">
        <v>1952</v>
      </c>
      <c r="I86" s="36" t="s">
        <v>1952</v>
      </c>
      <c r="J86" s="36" t="s">
        <v>1953</v>
      </c>
      <c r="K86" s="36" t="s">
        <v>426</v>
      </c>
      <c r="L86" s="36"/>
      <c r="M86" s="36"/>
      <c r="N86" s="36"/>
      <c r="O86" s="36"/>
      <c r="P86" s="41"/>
      <c r="Q86" s="41"/>
      <c r="R86" s="41"/>
      <c r="S86" s="41"/>
      <c r="T86" s="37">
        <v>124.1</v>
      </c>
      <c r="U86" s="243"/>
      <c r="V86" s="243">
        <v>12130</v>
      </c>
      <c r="W86" s="243">
        <v>15987.176936511789</v>
      </c>
      <c r="X86" s="243">
        <v>15987.176936511789</v>
      </c>
      <c r="Y86" s="414">
        <v>7.24</v>
      </c>
      <c r="Z86" s="37">
        <v>0.62</v>
      </c>
      <c r="AA86" s="37">
        <v>0.6</v>
      </c>
      <c r="AB86" s="37">
        <v>0.54</v>
      </c>
      <c r="AC86" s="37">
        <v>0.93789999999999996</v>
      </c>
      <c r="AD86" s="37">
        <v>0.54</v>
      </c>
      <c r="AE86" s="37">
        <v>0.56000000000000005</v>
      </c>
      <c r="AF86" s="37">
        <f t="shared" si="19"/>
        <v>0.6</v>
      </c>
      <c r="AG86" s="38">
        <v>0.42</v>
      </c>
      <c r="AH86" s="243">
        <v>2.7800000000000001E-8</v>
      </c>
      <c r="AI86" s="243"/>
      <c r="AJ86" s="34">
        <f t="shared" si="20"/>
        <v>-5.9445215303945753</v>
      </c>
      <c r="AK86" s="34"/>
      <c r="AL86" s="34">
        <f t="shared" si="21"/>
        <v>-5.9445215303945753</v>
      </c>
      <c r="AM86" s="34">
        <v>-6.6330599999999995</v>
      </c>
      <c r="AN86" s="244">
        <v>-5.65</v>
      </c>
      <c r="AO86" s="417"/>
      <c r="AP86" s="417">
        <v>1.2</v>
      </c>
      <c r="AQ86" s="244" t="s">
        <v>6311</v>
      </c>
      <c r="AR86" s="244" t="s">
        <v>6311</v>
      </c>
      <c r="AS86" s="241"/>
      <c r="AT86" s="39" t="s">
        <v>266</v>
      </c>
      <c r="AU86" s="37">
        <v>2</v>
      </c>
      <c r="AV86" s="37">
        <v>48</v>
      </c>
      <c r="AW86" s="37">
        <v>48</v>
      </c>
      <c r="AX86" s="37">
        <v>26</v>
      </c>
      <c r="AY86" s="37" t="s">
        <v>647</v>
      </c>
      <c r="AZ86" s="37" t="s">
        <v>536</v>
      </c>
      <c r="BA86" s="37">
        <v>10</v>
      </c>
      <c r="BB86" s="36" t="s">
        <v>1764</v>
      </c>
      <c r="BC86" s="36" t="s">
        <v>538</v>
      </c>
      <c r="BD86" s="36"/>
      <c r="BE86" s="37" t="s">
        <v>271</v>
      </c>
      <c r="BF86" s="37" t="s">
        <v>272</v>
      </c>
      <c r="BG86" s="37" t="s">
        <v>272</v>
      </c>
      <c r="BH86" s="37" t="s">
        <v>272</v>
      </c>
      <c r="BI86" s="250">
        <v>7.8058899999999998</v>
      </c>
      <c r="BJ86" s="250">
        <v>10000.00282</v>
      </c>
      <c r="BK86" s="37"/>
      <c r="BL86" s="263">
        <v>1769.0894048548112</v>
      </c>
      <c r="BM86" s="37" t="s">
        <v>541</v>
      </c>
      <c r="BN86" s="37"/>
      <c r="BO86" s="37">
        <v>76</v>
      </c>
      <c r="BP86" s="37"/>
      <c r="BQ86" s="37"/>
      <c r="BR86" s="37"/>
      <c r="BS86" s="37"/>
      <c r="BT86" s="37"/>
      <c r="BU86" s="246"/>
      <c r="BV86" s="37"/>
      <c r="BW86" s="37"/>
      <c r="BX86" s="37"/>
      <c r="BY86" s="37"/>
      <c r="BZ86" s="37"/>
      <c r="CA86" s="37"/>
      <c r="CB86" s="37"/>
      <c r="CC86" s="37"/>
      <c r="CD86" s="37"/>
      <c r="CE86" s="37"/>
      <c r="CF86" s="37"/>
      <c r="CG86" s="37"/>
      <c r="CH86" s="37"/>
      <c r="CI86" s="243">
        <v>76</v>
      </c>
      <c r="CJ86" s="243">
        <f t="shared" si="29"/>
        <v>1.8808135922807914</v>
      </c>
      <c r="CK86" s="38">
        <f t="shared" si="33"/>
        <v>0.17690889059717396</v>
      </c>
      <c r="CL86" s="247">
        <f t="shared" si="30"/>
        <v>23.277492169142253</v>
      </c>
      <c r="CM86" s="247"/>
      <c r="CN86" s="247"/>
      <c r="CO86" s="36"/>
      <c r="CP86" s="496" t="s">
        <v>1921</v>
      </c>
      <c r="CQ86" s="241" t="s">
        <v>272</v>
      </c>
      <c r="CR86" s="241"/>
      <c r="CS86" s="33"/>
      <c r="CT86" s="33"/>
      <c r="CU86" s="250">
        <f t="shared" si="31"/>
        <v>210.35759126989197</v>
      </c>
      <c r="CV86" s="337">
        <f t="shared" si="34"/>
        <v>1.5987172428129164</v>
      </c>
      <c r="CW86" s="330">
        <f t="shared" si="32"/>
        <v>1</v>
      </c>
      <c r="CX86" s="330"/>
      <c r="CY86" s="143" t="s">
        <v>5921</v>
      </c>
    </row>
    <row r="87" spans="1:103" ht="11.25" customHeight="1" x14ac:dyDescent="0.2">
      <c r="A87" s="72">
        <v>1858</v>
      </c>
      <c r="B87" s="241">
        <v>679</v>
      </c>
      <c r="C87" s="32" t="s">
        <v>1959</v>
      </c>
      <c r="D87" s="32"/>
      <c r="E87" s="40"/>
      <c r="F87" s="40" t="s">
        <v>1960</v>
      </c>
      <c r="G87" s="242">
        <v>4214760</v>
      </c>
      <c r="H87" s="36" t="s">
        <v>1961</v>
      </c>
      <c r="I87" s="36" t="s">
        <v>8242</v>
      </c>
      <c r="J87" s="36" t="s">
        <v>1962</v>
      </c>
      <c r="K87" s="36" t="s">
        <v>1573</v>
      </c>
      <c r="L87" s="36"/>
      <c r="M87" s="36"/>
      <c r="N87" s="36"/>
      <c r="O87" s="36"/>
      <c r="P87" s="41"/>
      <c r="Q87" s="41"/>
      <c r="R87" s="41"/>
      <c r="S87" s="41"/>
      <c r="T87" s="37">
        <v>139.11000000000001</v>
      </c>
      <c r="U87" s="243"/>
      <c r="V87" s="243">
        <v>23520.000000000004</v>
      </c>
      <c r="W87" s="243">
        <v>6506.6635504462101</v>
      </c>
      <c r="X87" s="243">
        <v>6506.6635504462101</v>
      </c>
      <c r="Y87" s="414">
        <v>7.75</v>
      </c>
      <c r="Z87" s="37">
        <v>0.93</v>
      </c>
      <c r="AA87" s="37">
        <v>0.65</v>
      </c>
      <c r="AB87" s="37">
        <v>0.56000000000000005</v>
      </c>
      <c r="AC87" s="37">
        <v>0.85870000000000002</v>
      </c>
      <c r="AD87" s="37">
        <v>0.72</v>
      </c>
      <c r="AE87" s="37">
        <v>1.18</v>
      </c>
      <c r="AF87" s="37">
        <f t="shared" si="19"/>
        <v>0.65</v>
      </c>
      <c r="AG87" s="38">
        <v>0.09</v>
      </c>
      <c r="AH87" s="243">
        <v>9.8299999999999999E-12</v>
      </c>
      <c r="AI87" s="243"/>
      <c r="AJ87" s="34">
        <f t="shared" si="20"/>
        <v>-9.396012808480517</v>
      </c>
      <c r="AK87" s="34"/>
      <c r="AL87" s="34">
        <f t="shared" si="21"/>
        <v>-9.396012808480517</v>
      </c>
      <c r="AM87" s="34">
        <v>-10.11009</v>
      </c>
      <c r="AN87" s="244">
        <v>-5.84</v>
      </c>
      <c r="AO87" s="417"/>
      <c r="AP87" s="417">
        <v>2.82</v>
      </c>
      <c r="AQ87" s="244" t="s">
        <v>6311</v>
      </c>
      <c r="AR87" s="244" t="s">
        <v>6311</v>
      </c>
      <c r="AS87" s="241" t="s">
        <v>6</v>
      </c>
      <c r="AT87" s="39" t="s">
        <v>266</v>
      </c>
      <c r="AU87" s="37">
        <v>2</v>
      </c>
      <c r="AV87" s="37">
        <v>48</v>
      </c>
      <c r="AW87" s="37">
        <v>48</v>
      </c>
      <c r="AX87" s="37">
        <v>26</v>
      </c>
      <c r="AY87" s="37" t="s">
        <v>647</v>
      </c>
      <c r="AZ87" s="37" t="s">
        <v>536</v>
      </c>
      <c r="BA87" s="37">
        <v>10</v>
      </c>
      <c r="BB87" s="36" t="s">
        <v>1764</v>
      </c>
      <c r="BC87" s="36" t="s">
        <v>538</v>
      </c>
      <c r="BD87" s="36"/>
      <c r="BE87" s="37" t="s">
        <v>271</v>
      </c>
      <c r="BF87" s="37" t="s">
        <v>272</v>
      </c>
      <c r="BG87" s="37" t="s">
        <v>272</v>
      </c>
      <c r="BH87" s="37" t="s">
        <v>272</v>
      </c>
      <c r="BI87" s="250">
        <v>0.78000368100000006</v>
      </c>
      <c r="BJ87" s="250">
        <v>1999.9983810000003</v>
      </c>
      <c r="BK87" s="37"/>
      <c r="BL87" s="263">
        <v>1044.5406612883678</v>
      </c>
      <c r="BM87" s="37" t="s">
        <v>541</v>
      </c>
      <c r="BN87" s="37"/>
      <c r="BO87" s="37">
        <v>209.99999999999997</v>
      </c>
      <c r="BP87" s="37"/>
      <c r="BQ87" s="37"/>
      <c r="BR87" s="37"/>
      <c r="BS87" s="37"/>
      <c r="BT87" s="37"/>
      <c r="BU87" s="246"/>
      <c r="BV87" s="37"/>
      <c r="BW87" s="37"/>
      <c r="BX87" s="37"/>
      <c r="BY87" s="37"/>
      <c r="BZ87" s="37"/>
      <c r="CA87" s="37"/>
      <c r="CB87" s="37"/>
      <c r="CC87" s="37"/>
      <c r="CD87" s="37"/>
      <c r="CE87" s="37"/>
      <c r="CF87" s="37"/>
      <c r="CG87" s="37"/>
      <c r="CH87" s="37"/>
      <c r="CI87" s="243">
        <v>209.99999999999997</v>
      </c>
      <c r="CJ87" s="243">
        <f t="shared" si="29"/>
        <v>2.3222192947339191</v>
      </c>
      <c r="CK87" s="38">
        <f t="shared" si="33"/>
        <v>0.52227075342235874</v>
      </c>
      <c r="CL87" s="247">
        <f t="shared" si="30"/>
        <v>4.9740031489922281</v>
      </c>
      <c r="CM87" s="247"/>
      <c r="CN87" s="247"/>
      <c r="CO87" s="36"/>
      <c r="CP87" s="496" t="s">
        <v>1921</v>
      </c>
      <c r="CQ87" s="241" t="s">
        <v>272</v>
      </c>
      <c r="CR87" s="241"/>
      <c r="CS87" s="33"/>
      <c r="CT87" s="33"/>
      <c r="CU87" s="250">
        <f t="shared" si="31"/>
        <v>30.984112144981957</v>
      </c>
      <c r="CV87" s="337">
        <f t="shared" si="34"/>
        <v>3.2533344087973086</v>
      </c>
      <c r="CW87" s="330">
        <f t="shared" si="32"/>
        <v>1</v>
      </c>
      <c r="CX87" s="330"/>
      <c r="CY87" s="143" t="s">
        <v>5921</v>
      </c>
    </row>
    <row r="88" spans="1:103" ht="11.25" customHeight="1" x14ac:dyDescent="0.2">
      <c r="A88" s="72">
        <v>1859</v>
      </c>
      <c r="B88" s="241">
        <v>678</v>
      </c>
      <c r="C88" s="32" t="s">
        <v>1954</v>
      </c>
      <c r="D88" s="32"/>
      <c r="E88" s="40"/>
      <c r="F88" s="40" t="s">
        <v>1955</v>
      </c>
      <c r="G88" s="242">
        <v>4548452</v>
      </c>
      <c r="H88" s="36" t="s">
        <v>1956</v>
      </c>
      <c r="I88" s="36" t="s">
        <v>8243</v>
      </c>
      <c r="J88" s="36" t="s">
        <v>1957</v>
      </c>
      <c r="K88" s="36" t="s">
        <v>1958</v>
      </c>
      <c r="L88" s="36"/>
      <c r="M88" s="36"/>
      <c r="N88" s="36"/>
      <c r="O88" s="36"/>
      <c r="P88" s="41"/>
      <c r="Q88" s="41"/>
      <c r="R88" s="41"/>
      <c r="S88" s="41"/>
      <c r="T88" s="37">
        <v>158.54</v>
      </c>
      <c r="U88" s="243"/>
      <c r="V88" s="243">
        <v>2345</v>
      </c>
      <c r="W88" s="243">
        <v>3236.9713374790708</v>
      </c>
      <c r="X88" s="243">
        <v>3236.9713374790708</v>
      </c>
      <c r="Y88" s="414">
        <v>7</v>
      </c>
      <c r="Z88" s="37">
        <v>1.27</v>
      </c>
      <c r="AA88" s="37"/>
      <c r="AB88" s="37">
        <v>1.59</v>
      </c>
      <c r="AC88" s="37">
        <v>0.85409999999999997</v>
      </c>
      <c r="AD88" s="37">
        <v>1.51</v>
      </c>
      <c r="AE88" s="37">
        <v>1.29</v>
      </c>
      <c r="AF88" s="37">
        <f t="shared" si="19"/>
        <v>1.51</v>
      </c>
      <c r="AG88" s="38">
        <v>1.24</v>
      </c>
      <c r="AH88" s="243">
        <v>1.3E-6</v>
      </c>
      <c r="AI88" s="243"/>
      <c r="AJ88" s="34">
        <f t="shared" si="20"/>
        <v>-4.2746229740058155</v>
      </c>
      <c r="AK88" s="34"/>
      <c r="AL88" s="34">
        <f t="shared" si="21"/>
        <v>-4.2746229740058155</v>
      </c>
      <c r="AM88" s="34">
        <v>-7.0618500000000006</v>
      </c>
      <c r="AN88" s="244">
        <v>-4.75</v>
      </c>
      <c r="AO88" s="417"/>
      <c r="AP88" s="417">
        <v>-4.22</v>
      </c>
      <c r="AQ88" s="244" t="s">
        <v>6311</v>
      </c>
      <c r="AR88" s="244" t="s">
        <v>6311</v>
      </c>
      <c r="AS88" s="241"/>
      <c r="AT88" s="39" t="s">
        <v>266</v>
      </c>
      <c r="AU88" s="37">
        <v>2</v>
      </c>
      <c r="AV88" s="37">
        <v>48</v>
      </c>
      <c r="AW88" s="37">
        <v>48</v>
      </c>
      <c r="AX88" s="37">
        <v>26</v>
      </c>
      <c r="AY88" s="37" t="s">
        <v>647</v>
      </c>
      <c r="AZ88" s="37" t="s">
        <v>536</v>
      </c>
      <c r="BA88" s="37">
        <v>10</v>
      </c>
      <c r="BB88" s="36" t="s">
        <v>1764</v>
      </c>
      <c r="BC88" s="36" t="s">
        <v>538</v>
      </c>
      <c r="BD88" s="36"/>
      <c r="BE88" s="37" t="s">
        <v>271</v>
      </c>
      <c r="BF88" s="37" t="s">
        <v>272</v>
      </c>
      <c r="BG88" s="37" t="s">
        <v>272</v>
      </c>
      <c r="BH88" s="37" t="s">
        <v>272</v>
      </c>
      <c r="BI88" s="250">
        <v>0.24857486599999998</v>
      </c>
      <c r="BJ88" s="250">
        <v>60.007390000000001</v>
      </c>
      <c r="BK88" s="37"/>
      <c r="BL88" s="263">
        <v>589.32091415464163</v>
      </c>
      <c r="BM88" s="37" t="s">
        <v>541</v>
      </c>
      <c r="BN88" s="37"/>
      <c r="BO88" s="37">
        <v>0.27</v>
      </c>
      <c r="BP88" s="37"/>
      <c r="BQ88" s="37"/>
      <c r="BR88" s="37"/>
      <c r="BS88" s="37"/>
      <c r="BT88" s="37"/>
      <c r="BU88" s="246"/>
      <c r="BV88" s="37"/>
      <c r="BW88" s="37"/>
      <c r="BX88" s="37"/>
      <c r="BY88" s="37"/>
      <c r="BZ88" s="37"/>
      <c r="CA88" s="37"/>
      <c r="CB88" s="37"/>
      <c r="CC88" s="37"/>
      <c r="CD88" s="37"/>
      <c r="CE88" s="37"/>
      <c r="CF88" s="37"/>
      <c r="CG88" s="37"/>
      <c r="CH88" s="37"/>
      <c r="CI88" s="243">
        <v>0.27</v>
      </c>
      <c r="CJ88" s="243">
        <f t="shared" si="29"/>
        <v>-0.56863623584101264</v>
      </c>
      <c r="CK88" s="38">
        <f t="shared" si="33"/>
        <v>9.8208056400160313</v>
      </c>
      <c r="CL88" s="247">
        <f t="shared" si="30"/>
        <v>2182.6700524245985</v>
      </c>
      <c r="CM88" s="247"/>
      <c r="CN88" s="247"/>
      <c r="CO88" s="36"/>
      <c r="CP88" s="496" t="s">
        <v>1921</v>
      </c>
      <c r="CQ88" s="241" t="s">
        <v>272</v>
      </c>
      <c r="CR88" s="241"/>
      <c r="CS88" s="33"/>
      <c r="CT88" s="33"/>
      <c r="CU88" s="250">
        <f t="shared" si="31"/>
        <v>11988.782731403966</v>
      </c>
      <c r="CV88" s="337">
        <f t="shared" si="34"/>
        <v>53.942878326803928</v>
      </c>
      <c r="CW88" s="330">
        <f t="shared" si="32"/>
        <v>1</v>
      </c>
      <c r="CX88" s="330"/>
      <c r="CY88" s="143" t="s">
        <v>5921</v>
      </c>
    </row>
    <row r="89" spans="1:103" ht="11.25" customHeight="1" x14ac:dyDescent="0.2">
      <c r="A89" s="72">
        <v>1864</v>
      </c>
      <c r="B89" s="241">
        <v>682</v>
      </c>
      <c r="C89" s="32" t="s">
        <v>1970</v>
      </c>
      <c r="D89" s="32"/>
      <c r="E89" s="40"/>
      <c r="F89" s="40" t="s">
        <v>1971</v>
      </c>
      <c r="G89" s="242">
        <v>6635865</v>
      </c>
      <c r="H89" s="36" t="s">
        <v>1972</v>
      </c>
      <c r="I89" s="36" t="s">
        <v>7785</v>
      </c>
      <c r="J89" s="36" t="s">
        <v>1973</v>
      </c>
      <c r="K89" s="36" t="s">
        <v>1573</v>
      </c>
      <c r="L89" s="36"/>
      <c r="M89" s="36"/>
      <c r="N89" s="36"/>
      <c r="O89" s="36"/>
      <c r="P89" s="41"/>
      <c r="Q89" s="41"/>
      <c r="R89" s="41"/>
      <c r="S89" s="41"/>
      <c r="T89" s="37">
        <v>153.13999999999999</v>
      </c>
      <c r="U89" s="243"/>
      <c r="V89" s="243">
        <v>1386</v>
      </c>
      <c r="W89" s="243">
        <v>2265.1065856407922</v>
      </c>
      <c r="X89" s="243">
        <v>2265.1065856407922</v>
      </c>
      <c r="Y89" s="414">
        <v>7.58</v>
      </c>
      <c r="Z89" s="37">
        <v>2.02</v>
      </c>
      <c r="AA89" s="37"/>
      <c r="AB89" s="37">
        <v>1.06</v>
      </c>
      <c r="AC89" s="37">
        <v>0.64380000000000004</v>
      </c>
      <c r="AD89" s="37">
        <v>1.5</v>
      </c>
      <c r="AE89" s="37">
        <v>2.08</v>
      </c>
      <c r="AF89" s="37">
        <f t="shared" si="19"/>
        <v>1.5</v>
      </c>
      <c r="AG89" s="38">
        <v>0.56999999999999995</v>
      </c>
      <c r="AH89" s="243">
        <v>2.3700000000000001E-10</v>
      </c>
      <c r="AI89" s="243"/>
      <c r="AJ89" s="34">
        <f t="shared" si="20"/>
        <v>-8.013817980302548</v>
      </c>
      <c r="AK89" s="34"/>
      <c r="AL89" s="34">
        <f t="shared" si="21"/>
        <v>-8.013817980302548</v>
      </c>
      <c r="AM89" s="34">
        <v>-8.9612499999999997</v>
      </c>
      <c r="AN89" s="244">
        <v>-7.29</v>
      </c>
      <c r="AO89" s="417"/>
      <c r="AP89" s="417">
        <v>2.97</v>
      </c>
      <c r="AQ89" s="244" t="s">
        <v>6311</v>
      </c>
      <c r="AR89" s="244" t="s">
        <v>6311</v>
      </c>
      <c r="AS89" s="241" t="s">
        <v>120</v>
      </c>
      <c r="AT89" s="39" t="s">
        <v>266</v>
      </c>
      <c r="AU89" s="37">
        <v>2</v>
      </c>
      <c r="AV89" s="37">
        <v>48</v>
      </c>
      <c r="AW89" s="37">
        <v>48</v>
      </c>
      <c r="AX89" s="37">
        <v>26</v>
      </c>
      <c r="AY89" s="37" t="s">
        <v>647</v>
      </c>
      <c r="AZ89" s="37" t="s">
        <v>536</v>
      </c>
      <c r="BA89" s="37">
        <v>10</v>
      </c>
      <c r="BB89" s="36" t="s">
        <v>1764</v>
      </c>
      <c r="BC89" s="36" t="s">
        <v>538</v>
      </c>
      <c r="BD89" s="36"/>
      <c r="BE89" s="37" t="s">
        <v>271</v>
      </c>
      <c r="BF89" s="37" t="s">
        <v>272</v>
      </c>
      <c r="BG89" s="37" t="s">
        <v>272</v>
      </c>
      <c r="BH89" s="37" t="s">
        <v>272</v>
      </c>
      <c r="BI89" s="250">
        <v>0.10000041999999999</v>
      </c>
      <c r="BJ89" s="250">
        <v>100.00041999999999</v>
      </c>
      <c r="BK89" s="37"/>
      <c r="BL89" s="263">
        <v>120.70538420905889</v>
      </c>
      <c r="BM89" s="37" t="s">
        <v>541</v>
      </c>
      <c r="BN89" s="37"/>
      <c r="BO89" s="37">
        <v>39</v>
      </c>
      <c r="BP89" s="37"/>
      <c r="BQ89" s="37"/>
      <c r="BR89" s="37"/>
      <c r="BS89" s="37"/>
      <c r="BT89" s="37"/>
      <c r="BU89" s="246"/>
      <c r="BV89" s="37"/>
      <c r="BW89" s="37"/>
      <c r="BX89" s="37"/>
      <c r="BY89" s="37"/>
      <c r="BZ89" s="37"/>
      <c r="CA89" s="37"/>
      <c r="CB89" s="37"/>
      <c r="CC89" s="37"/>
      <c r="CD89" s="37"/>
      <c r="CE89" s="37"/>
      <c r="CF89" s="37"/>
      <c r="CG89" s="37"/>
      <c r="CH89" s="37"/>
      <c r="CI89" s="243">
        <v>39</v>
      </c>
      <c r="CJ89" s="243">
        <f t="shared" si="29"/>
        <v>1.5910646070264991</v>
      </c>
      <c r="CK89" s="38">
        <f t="shared" si="33"/>
        <v>1.2070487724857446</v>
      </c>
      <c r="CL89" s="247">
        <f t="shared" si="30"/>
        <v>3.0950098515143307</v>
      </c>
      <c r="CM89" s="247"/>
      <c r="CN89" s="247"/>
      <c r="CO89" s="36"/>
      <c r="CP89" s="496" t="s">
        <v>1921</v>
      </c>
      <c r="CQ89" s="241" t="s">
        <v>272</v>
      </c>
      <c r="CR89" s="241"/>
      <c r="CS89" s="33"/>
      <c r="CT89" s="33"/>
      <c r="CU89" s="250">
        <f t="shared" si="31"/>
        <v>58.079656042071598</v>
      </c>
      <c r="CV89" s="337">
        <f t="shared" si="34"/>
        <v>22.650970722330889</v>
      </c>
      <c r="CW89" s="330">
        <f t="shared" si="32"/>
        <v>1</v>
      </c>
      <c r="CX89" s="330"/>
      <c r="CY89" s="143" t="s">
        <v>5921</v>
      </c>
    </row>
    <row r="90" spans="1:103" ht="11.25" customHeight="1" x14ac:dyDescent="0.2">
      <c r="A90" s="72">
        <v>1875</v>
      </c>
      <c r="B90" s="241">
        <v>681</v>
      </c>
      <c r="C90" s="32" t="s">
        <v>1966</v>
      </c>
      <c r="D90" s="32"/>
      <c r="E90" s="40"/>
      <c r="F90" s="40" t="s">
        <v>1967</v>
      </c>
      <c r="G90" s="242">
        <v>14432167</v>
      </c>
      <c r="H90" s="36" t="s">
        <v>1968</v>
      </c>
      <c r="I90" s="36" t="s">
        <v>8249</v>
      </c>
      <c r="J90" s="36" t="s">
        <v>1969</v>
      </c>
      <c r="K90" s="36" t="s">
        <v>1958</v>
      </c>
      <c r="L90" s="36"/>
      <c r="M90" s="36"/>
      <c r="N90" s="36"/>
      <c r="O90" s="36"/>
      <c r="P90" s="41"/>
      <c r="Q90" s="41"/>
      <c r="R90" s="41"/>
      <c r="S90" s="41"/>
      <c r="T90" s="37">
        <v>174.54</v>
      </c>
      <c r="U90" s="243"/>
      <c r="V90" s="243">
        <v>40880</v>
      </c>
      <c r="W90" s="243">
        <v>7276.0382190912323</v>
      </c>
      <c r="X90" s="243">
        <v>7276.0382190912323</v>
      </c>
      <c r="Y90" s="414">
        <v>7</v>
      </c>
      <c r="Z90" s="37">
        <v>-0.27</v>
      </c>
      <c r="AA90" s="37"/>
      <c r="AB90" s="37">
        <v>-0.24</v>
      </c>
      <c r="AC90" s="37">
        <v>0.84789999999999999</v>
      </c>
      <c r="AD90" s="37">
        <v>-0.14000000000000001</v>
      </c>
      <c r="AE90" s="37">
        <v>0.14000000000000001</v>
      </c>
      <c r="AF90" s="37">
        <f t="shared" si="19"/>
        <v>-0.14000000000000001</v>
      </c>
      <c r="AG90" s="38">
        <v>1.32</v>
      </c>
      <c r="AH90" s="243">
        <v>1.3E-11</v>
      </c>
      <c r="AI90" s="243"/>
      <c r="AJ90" s="34">
        <f t="shared" si="20"/>
        <v>-9.2746229740058155</v>
      </c>
      <c r="AK90" s="34"/>
      <c r="AL90" s="34">
        <f t="shared" si="21"/>
        <v>-9.2746229740058155</v>
      </c>
      <c r="AM90" s="34">
        <v>-4.8590499999999999</v>
      </c>
      <c r="AN90" s="244">
        <v>-14.4</v>
      </c>
      <c r="AO90" s="417"/>
      <c r="AP90" s="417">
        <v>-2.5299999999999998</v>
      </c>
      <c r="AQ90" s="244" t="s">
        <v>6311</v>
      </c>
      <c r="AR90" s="244" t="s">
        <v>6311</v>
      </c>
      <c r="AS90" s="241"/>
      <c r="AT90" s="39" t="s">
        <v>266</v>
      </c>
      <c r="AU90" s="37">
        <v>2</v>
      </c>
      <c r="AV90" s="37">
        <v>48</v>
      </c>
      <c r="AW90" s="37">
        <v>48</v>
      </c>
      <c r="AX90" s="37">
        <v>26</v>
      </c>
      <c r="AY90" s="37" t="s">
        <v>647</v>
      </c>
      <c r="AZ90" s="37" t="s">
        <v>536</v>
      </c>
      <c r="BA90" s="37">
        <v>10</v>
      </c>
      <c r="BB90" s="36" t="s">
        <v>1764</v>
      </c>
      <c r="BC90" s="36" t="s">
        <v>538</v>
      </c>
      <c r="BD90" s="36"/>
      <c r="BE90" s="37" t="s">
        <v>271</v>
      </c>
      <c r="BF90" s="37" t="s">
        <v>272</v>
      </c>
      <c r="BG90" s="37" t="s">
        <v>272</v>
      </c>
      <c r="BH90" s="37" t="s">
        <v>272</v>
      </c>
      <c r="BI90" s="250">
        <v>7.8000180599999995E-3</v>
      </c>
      <c r="BJ90" s="250">
        <v>2000.0014979999999</v>
      </c>
      <c r="BK90" s="37"/>
      <c r="BL90" s="263">
        <v>15674.076844503414</v>
      </c>
      <c r="BM90" s="37" t="s">
        <v>541</v>
      </c>
      <c r="BN90" s="37"/>
      <c r="BO90" s="37">
        <v>6.9</v>
      </c>
      <c r="BP90" s="37"/>
      <c r="BQ90" s="37"/>
      <c r="BR90" s="37"/>
      <c r="BS90" s="37"/>
      <c r="BT90" s="37"/>
      <c r="BU90" s="246"/>
      <c r="BV90" s="37"/>
      <c r="BW90" s="37"/>
      <c r="BX90" s="37"/>
      <c r="BY90" s="37"/>
      <c r="BZ90" s="37"/>
      <c r="CA90" s="37"/>
      <c r="CB90" s="37"/>
      <c r="CC90" s="37"/>
      <c r="CD90" s="37"/>
      <c r="CE90" s="37"/>
      <c r="CF90" s="37"/>
      <c r="CG90" s="37"/>
      <c r="CH90" s="37"/>
      <c r="CI90" s="243">
        <v>6.9</v>
      </c>
      <c r="CJ90" s="243">
        <f t="shared" si="29"/>
        <v>0.83884909073725533</v>
      </c>
      <c r="CK90" s="38">
        <f t="shared" si="33"/>
        <v>7.8370325523143256</v>
      </c>
      <c r="CL90" s="247">
        <f t="shared" si="30"/>
        <v>2271.6053397831033</v>
      </c>
      <c r="CM90" s="247"/>
      <c r="CN90" s="247"/>
      <c r="CO90" s="36"/>
      <c r="CP90" s="496" t="s">
        <v>1921</v>
      </c>
      <c r="CQ90" s="241" t="s">
        <v>272</v>
      </c>
      <c r="CR90" s="241"/>
      <c r="CS90" s="33"/>
      <c r="CT90" s="33"/>
      <c r="CU90" s="250">
        <f t="shared" si="31"/>
        <v>1054.4982926219177</v>
      </c>
      <c r="CV90" s="337">
        <f t="shared" si="34"/>
        <v>3.6380163846713445</v>
      </c>
      <c r="CW90" s="330">
        <f t="shared" si="32"/>
        <v>1</v>
      </c>
      <c r="CX90" s="330"/>
      <c r="CY90" s="143" t="s">
        <v>5921</v>
      </c>
    </row>
    <row r="91" spans="1:103" ht="11.25" customHeight="1" x14ac:dyDescent="0.2">
      <c r="A91" s="72">
        <v>1880</v>
      </c>
      <c r="B91" s="241">
        <v>660</v>
      </c>
      <c r="C91" s="32" t="s">
        <v>543</v>
      </c>
      <c r="D91" s="32"/>
      <c r="E91" s="40"/>
      <c r="F91" s="40" t="s">
        <v>544</v>
      </c>
      <c r="G91" s="242">
        <v>15307796</v>
      </c>
      <c r="H91" s="36" t="s">
        <v>545</v>
      </c>
      <c r="I91" s="36" t="s">
        <v>8250</v>
      </c>
      <c r="J91" s="36" t="s">
        <v>546</v>
      </c>
      <c r="K91" s="36" t="s">
        <v>426</v>
      </c>
      <c r="L91" s="36" t="s">
        <v>279</v>
      </c>
      <c r="M91" s="36" t="s">
        <v>6116</v>
      </c>
      <c r="N91" s="36"/>
      <c r="O91" s="36" t="s">
        <v>6117</v>
      </c>
      <c r="P91" s="41"/>
      <c r="Q91" s="41"/>
      <c r="R91" s="41"/>
      <c r="S91" s="41"/>
      <c r="T91" s="37">
        <v>296.14999999999998</v>
      </c>
      <c r="U91" s="243">
        <v>2.37</v>
      </c>
      <c r="V91" s="243">
        <v>4.5179999999999998</v>
      </c>
      <c r="W91" s="243">
        <v>22.46527488448924</v>
      </c>
      <c r="X91" s="243">
        <v>2.37</v>
      </c>
      <c r="Y91" s="414">
        <v>4.34</v>
      </c>
      <c r="Z91" s="37">
        <v>4.0199999999999996</v>
      </c>
      <c r="AA91" s="37">
        <v>4.51</v>
      </c>
      <c r="AB91" s="37">
        <v>4.6100000000000003</v>
      </c>
      <c r="AC91" s="37">
        <v>0.87739999999999996</v>
      </c>
      <c r="AD91" s="37">
        <v>4.4800000000000004</v>
      </c>
      <c r="AE91" s="37">
        <v>4.0599999999999996</v>
      </c>
      <c r="AF91" s="37">
        <f t="shared" si="19"/>
        <v>4.51</v>
      </c>
      <c r="AG91" s="38">
        <v>4.4800000000000004</v>
      </c>
      <c r="AH91" s="243">
        <v>4.7300000000000002E-12</v>
      </c>
      <c r="AI91" s="243"/>
      <c r="AJ91" s="34">
        <f t="shared" si="20"/>
        <v>-9.71370518557484</v>
      </c>
      <c r="AK91" s="34"/>
      <c r="AL91" s="34">
        <f t="shared" si="21"/>
        <v>-9.71370518557484</v>
      </c>
      <c r="AM91" s="34">
        <v>-13.81147</v>
      </c>
      <c r="AN91" s="244"/>
      <c r="AO91" s="417">
        <v>4.18</v>
      </c>
      <c r="AP91" s="417">
        <v>-2.2599999999999998</v>
      </c>
      <c r="AQ91" s="244" t="s">
        <v>6311</v>
      </c>
      <c r="AR91" s="244" t="s">
        <v>6311</v>
      </c>
      <c r="AS91" s="241" t="s">
        <v>6</v>
      </c>
      <c r="AT91" s="39" t="s">
        <v>266</v>
      </c>
      <c r="AU91" s="37">
        <v>2</v>
      </c>
      <c r="AV91" s="37">
        <v>48</v>
      </c>
      <c r="AW91" s="37">
        <v>48</v>
      </c>
      <c r="AX91" s="37">
        <v>26</v>
      </c>
      <c r="AY91" s="37" t="s">
        <v>647</v>
      </c>
      <c r="AZ91" s="37" t="s">
        <v>1920</v>
      </c>
      <c r="BA91" s="37">
        <v>10</v>
      </c>
      <c r="BB91" s="36" t="s">
        <v>1613</v>
      </c>
      <c r="BC91" s="36" t="s">
        <v>538</v>
      </c>
      <c r="BD91" s="36"/>
      <c r="BE91" s="37" t="s">
        <v>271</v>
      </c>
      <c r="BF91" s="37" t="s">
        <v>272</v>
      </c>
      <c r="BG91" s="37" t="s">
        <v>272</v>
      </c>
      <c r="BH91" s="37" t="s">
        <v>272</v>
      </c>
      <c r="BI91" s="250">
        <v>0.41889576915823218</v>
      </c>
      <c r="BJ91" s="250">
        <v>108.91289998114037</v>
      </c>
      <c r="BK91" s="37"/>
      <c r="BL91" s="263">
        <v>3.7320696223033583</v>
      </c>
      <c r="BM91" s="37" t="s">
        <v>541</v>
      </c>
      <c r="BN91" s="37"/>
      <c r="BO91" s="37">
        <v>1.919052</v>
      </c>
      <c r="BP91" s="37"/>
      <c r="BQ91" s="37"/>
      <c r="BR91" s="37"/>
      <c r="BS91" s="37"/>
      <c r="BT91" s="37"/>
      <c r="BU91" s="246"/>
      <c r="BV91" s="37"/>
      <c r="BW91" s="37"/>
      <c r="BX91" s="37"/>
      <c r="BY91" s="37"/>
      <c r="BZ91" s="37"/>
      <c r="CA91" s="37"/>
      <c r="CB91" s="37"/>
      <c r="CC91" s="37"/>
      <c r="CD91" s="37"/>
      <c r="CE91" s="37"/>
      <c r="CF91" s="37"/>
      <c r="CG91" s="37"/>
      <c r="CH91" s="37"/>
      <c r="CI91" s="243">
        <v>1.919052</v>
      </c>
      <c r="CJ91" s="243">
        <f t="shared" si="29"/>
        <v>0.28308674284755564</v>
      </c>
      <c r="CK91" s="38">
        <f t="shared" si="33"/>
        <v>3.4266552657670604E-2</v>
      </c>
      <c r="CL91" s="247">
        <f t="shared" si="30"/>
        <v>1.9447464801909267</v>
      </c>
      <c r="CM91" s="247"/>
      <c r="CN91" s="247"/>
      <c r="CO91" s="36"/>
      <c r="CP91" s="496" t="s">
        <v>1921</v>
      </c>
      <c r="CQ91" s="241" t="s">
        <v>272</v>
      </c>
      <c r="CR91" s="241"/>
      <c r="CS91" s="33"/>
      <c r="CT91" s="33"/>
      <c r="CU91" s="250">
        <f t="shared" si="31"/>
        <v>1.2349847737320303</v>
      </c>
      <c r="CV91" s="337">
        <f t="shared" si="34"/>
        <v>2.1760507712221374E-2</v>
      </c>
      <c r="CW91" s="330">
        <f t="shared" si="32"/>
        <v>0</v>
      </c>
      <c r="CX91" s="330"/>
      <c r="CY91" s="143" t="s">
        <v>6351</v>
      </c>
    </row>
    <row r="92" spans="1:103" ht="11.25" customHeight="1" x14ac:dyDescent="0.2">
      <c r="A92" s="72">
        <v>1884</v>
      </c>
      <c r="B92" s="241">
        <v>661</v>
      </c>
      <c r="C92" s="32" t="s">
        <v>548</v>
      </c>
      <c r="D92" s="32"/>
      <c r="E92" s="40"/>
      <c r="F92" s="40" t="s">
        <v>549</v>
      </c>
      <c r="G92" s="242">
        <v>15687271</v>
      </c>
      <c r="H92" s="36" t="s">
        <v>550</v>
      </c>
      <c r="I92" s="36" t="s">
        <v>550</v>
      </c>
      <c r="J92" s="36" t="s">
        <v>551</v>
      </c>
      <c r="K92" s="36" t="s">
        <v>426</v>
      </c>
      <c r="L92" s="42" t="s">
        <v>279</v>
      </c>
      <c r="M92" s="36" t="s">
        <v>547</v>
      </c>
      <c r="N92" s="36"/>
      <c r="O92" s="36" t="s">
        <v>281</v>
      </c>
      <c r="P92" s="41"/>
      <c r="Q92" s="41"/>
      <c r="R92" s="41"/>
      <c r="S92" s="41"/>
      <c r="T92" s="37">
        <v>206.28</v>
      </c>
      <c r="U92" s="243">
        <v>21</v>
      </c>
      <c r="V92" s="243">
        <v>41.05</v>
      </c>
      <c r="W92" s="243">
        <v>211.08487844767379</v>
      </c>
      <c r="X92" s="243">
        <v>21</v>
      </c>
      <c r="Y92" s="414">
        <v>3.75</v>
      </c>
      <c r="Z92" s="37">
        <v>3.79</v>
      </c>
      <c r="AA92" s="37">
        <v>3.97</v>
      </c>
      <c r="AB92" s="37">
        <v>3.21</v>
      </c>
      <c r="AC92" s="37">
        <v>0.8014</v>
      </c>
      <c r="AD92" s="37">
        <v>3.37</v>
      </c>
      <c r="AE92" s="37">
        <v>3.72</v>
      </c>
      <c r="AF92" s="37">
        <f t="shared" si="19"/>
        <v>3.97</v>
      </c>
      <c r="AG92" s="38">
        <v>3.35</v>
      </c>
      <c r="AH92" s="243">
        <v>1.5200000000000001E-7</v>
      </c>
      <c r="AI92" s="243"/>
      <c r="AJ92" s="34">
        <f t="shared" si="20"/>
        <v>-5.2067227383678789</v>
      </c>
      <c r="AK92" s="34"/>
      <c r="AL92" s="34">
        <f t="shared" si="21"/>
        <v>-5.2067227383678789</v>
      </c>
      <c r="AM92" s="34">
        <v>-8.3652599999999993</v>
      </c>
      <c r="AN92" s="244">
        <v>-6.18</v>
      </c>
      <c r="AO92" s="417">
        <v>4.41</v>
      </c>
      <c r="AP92" s="417"/>
      <c r="AQ92" s="244" t="s">
        <v>6311</v>
      </c>
      <c r="AR92" s="244" t="s">
        <v>6311</v>
      </c>
      <c r="AS92" s="241" t="s">
        <v>6</v>
      </c>
      <c r="AT92" s="39" t="s">
        <v>266</v>
      </c>
      <c r="AU92" s="37">
        <v>2</v>
      </c>
      <c r="AV92" s="37">
        <v>48</v>
      </c>
      <c r="AW92" s="37">
        <v>48</v>
      </c>
      <c r="AX92" s="37">
        <v>26</v>
      </c>
      <c r="AY92" s="37" t="s">
        <v>647</v>
      </c>
      <c r="AZ92" s="37" t="s">
        <v>1920</v>
      </c>
      <c r="BA92" s="37">
        <v>10</v>
      </c>
      <c r="BB92" s="36" t="s">
        <v>1613</v>
      </c>
      <c r="BC92" s="36" t="s">
        <v>538</v>
      </c>
      <c r="BD92" s="36"/>
      <c r="BE92" s="37" t="s">
        <v>271</v>
      </c>
      <c r="BF92" s="37" t="s">
        <v>272</v>
      </c>
      <c r="BG92" s="37" t="s">
        <v>272</v>
      </c>
      <c r="BH92" s="37" t="s">
        <v>272</v>
      </c>
      <c r="BI92" s="243" t="s">
        <v>8722</v>
      </c>
      <c r="BJ92" s="243" t="s">
        <v>8722</v>
      </c>
      <c r="BK92" s="37"/>
      <c r="BL92" s="263">
        <v>4.182713544871266</v>
      </c>
      <c r="BM92" s="37" t="s">
        <v>541</v>
      </c>
      <c r="BN92" s="37"/>
      <c r="BO92" s="37">
        <v>7.8448283999999999</v>
      </c>
      <c r="BP92" s="37"/>
      <c r="BQ92" s="37"/>
      <c r="BR92" s="37"/>
      <c r="BS92" s="37"/>
      <c r="BT92" s="37"/>
      <c r="BU92" s="246"/>
      <c r="BV92" s="37"/>
      <c r="BW92" s="37"/>
      <c r="BX92" s="37"/>
      <c r="BY92" s="37"/>
      <c r="BZ92" s="37"/>
      <c r="CA92" s="37"/>
      <c r="CB92" s="37"/>
      <c r="CC92" s="37"/>
      <c r="CD92" s="37"/>
      <c r="CE92" s="37"/>
      <c r="CF92" s="37"/>
      <c r="CG92" s="37"/>
      <c r="CH92" s="37"/>
      <c r="CI92" s="243">
        <v>7.8448283999999999</v>
      </c>
      <c r="CJ92" s="243">
        <f t="shared" si="29"/>
        <v>0.89458344814625967</v>
      </c>
      <c r="CK92" s="38"/>
      <c r="CL92" s="247">
        <f t="shared" si="30"/>
        <v>0.53318101194810918</v>
      </c>
      <c r="CM92" s="247"/>
      <c r="CN92" s="247"/>
      <c r="CO92" s="36"/>
      <c r="CP92" s="496" t="s">
        <v>1921</v>
      </c>
      <c r="CQ92" s="241">
        <v>2.2380461031287955</v>
      </c>
      <c r="CR92" s="241">
        <f>10^(CJ92-CQ92)</f>
        <v>4.5345828901734067E-2</v>
      </c>
      <c r="CS92" s="33"/>
      <c r="CT92" s="33"/>
      <c r="CU92" s="250">
        <f t="shared" si="31"/>
        <v>2.6769227992291076</v>
      </c>
      <c r="CV92" s="337"/>
      <c r="CW92" s="330">
        <f t="shared" si="32"/>
        <v>1</v>
      </c>
      <c r="CX92" s="330"/>
      <c r="CY92" s="143" t="s">
        <v>6351</v>
      </c>
    </row>
    <row r="93" spans="1:103" ht="11.25" customHeight="1" x14ac:dyDescent="0.2">
      <c r="A93" s="72">
        <v>1918</v>
      </c>
      <c r="B93" s="241">
        <v>671</v>
      </c>
      <c r="C93" s="32" t="s">
        <v>1928</v>
      </c>
      <c r="D93" s="32"/>
      <c r="E93" s="40"/>
      <c r="F93" s="40" t="s">
        <v>1929</v>
      </c>
      <c r="G93" s="242">
        <v>56296787</v>
      </c>
      <c r="H93" s="36" t="s">
        <v>1930</v>
      </c>
      <c r="I93" s="36" t="s">
        <v>1930</v>
      </c>
      <c r="J93" s="36" t="s">
        <v>1931</v>
      </c>
      <c r="K93" s="36" t="s">
        <v>300</v>
      </c>
      <c r="L93" s="36" t="s">
        <v>279</v>
      </c>
      <c r="M93" s="36" t="s">
        <v>6615</v>
      </c>
      <c r="N93" s="36" t="s">
        <v>6376</v>
      </c>
      <c r="O93" s="42" t="s">
        <v>6614</v>
      </c>
      <c r="P93" s="41"/>
      <c r="Q93" s="41"/>
      <c r="R93" s="41"/>
      <c r="S93" s="41"/>
      <c r="T93" s="37">
        <v>309.33</v>
      </c>
      <c r="U93" s="243"/>
      <c r="V93" s="243">
        <v>60.280000000000008</v>
      </c>
      <c r="W93" s="243">
        <v>117.60398596383918</v>
      </c>
      <c r="X93" s="243">
        <v>117.60398596383918</v>
      </c>
      <c r="Y93" s="414">
        <v>10.199999999999999</v>
      </c>
      <c r="Z93" s="37">
        <v>4.6500000000000004</v>
      </c>
      <c r="AA93" s="37">
        <v>3.82</v>
      </c>
      <c r="AB93" s="37">
        <v>4.3499999999999996</v>
      </c>
      <c r="AC93" s="37">
        <v>0.75390000000000001</v>
      </c>
      <c r="AD93" s="37">
        <v>4.2699999999999996</v>
      </c>
      <c r="AE93" s="37">
        <v>4.09</v>
      </c>
      <c r="AF93" s="37">
        <f t="shared" si="19"/>
        <v>3.82</v>
      </c>
      <c r="AG93" s="38">
        <v>3.94</v>
      </c>
      <c r="AH93" s="243">
        <v>8.9000000000000003E-8</v>
      </c>
      <c r="AI93" s="243"/>
      <c r="AJ93" s="34">
        <f t="shared" si="20"/>
        <v>-5.4391763196677392</v>
      </c>
      <c r="AK93" s="34"/>
      <c r="AL93" s="34">
        <f t="shared" si="21"/>
        <v>-5.4391763196677392</v>
      </c>
      <c r="AM93" s="34">
        <v>-8.9857899999999997</v>
      </c>
      <c r="AN93" s="244">
        <v>-4.7</v>
      </c>
      <c r="AO93" s="417"/>
      <c r="AP93" s="417">
        <v>10.050000000000001</v>
      </c>
      <c r="AQ93" s="244" t="s">
        <v>6311</v>
      </c>
      <c r="AR93" s="244" t="s">
        <v>6311</v>
      </c>
      <c r="AS93" s="241" t="s">
        <v>6</v>
      </c>
      <c r="AT93" s="39" t="s">
        <v>266</v>
      </c>
      <c r="AU93" s="37">
        <v>2</v>
      </c>
      <c r="AV93" s="37">
        <v>48</v>
      </c>
      <c r="AW93" s="37">
        <v>48</v>
      </c>
      <c r="AX93" s="37">
        <v>26</v>
      </c>
      <c r="AY93" s="37" t="s">
        <v>647</v>
      </c>
      <c r="AZ93" s="37" t="s">
        <v>536</v>
      </c>
      <c r="BA93" s="37">
        <v>10</v>
      </c>
      <c r="BB93" s="36" t="s">
        <v>1764</v>
      </c>
      <c r="BC93" s="36" t="s">
        <v>538</v>
      </c>
      <c r="BD93" s="36"/>
      <c r="BE93" s="37" t="s">
        <v>271</v>
      </c>
      <c r="BF93" s="37" t="s">
        <v>272</v>
      </c>
      <c r="BG93" s="37" t="s">
        <v>272</v>
      </c>
      <c r="BH93" s="37" t="s">
        <v>272</v>
      </c>
      <c r="BI93" s="250">
        <v>3.125</v>
      </c>
      <c r="BJ93" s="250">
        <v>400</v>
      </c>
      <c r="BK93" s="37"/>
      <c r="BL93" s="263">
        <v>1.059392859965123</v>
      </c>
      <c r="BM93" s="37" t="s">
        <v>541</v>
      </c>
      <c r="BN93" s="37"/>
      <c r="BO93" s="37">
        <v>23.66</v>
      </c>
      <c r="BP93" s="37"/>
      <c r="BQ93" s="37"/>
      <c r="BR93" s="37"/>
      <c r="BS93" s="37"/>
      <c r="BT93" s="37"/>
      <c r="BU93" s="246"/>
      <c r="BV93" s="37"/>
      <c r="BW93" s="37"/>
      <c r="BX93" s="37"/>
      <c r="BY93" s="37"/>
      <c r="BZ93" s="37"/>
      <c r="CA93" s="37"/>
      <c r="CB93" s="37"/>
      <c r="CC93" s="37"/>
      <c r="CD93" s="37"/>
      <c r="CE93" s="37"/>
      <c r="CF93" s="37"/>
      <c r="CG93" s="37"/>
      <c r="CH93" s="37"/>
      <c r="CI93" s="243">
        <v>23.66</v>
      </c>
      <c r="CJ93" s="243">
        <f t="shared" si="29"/>
        <v>1.3740147402919116</v>
      </c>
      <c r="CK93" s="38">
        <f>BL93/BJ93</f>
        <v>2.6484821499128076E-3</v>
      </c>
      <c r="CL93" s="247">
        <f t="shared" si="30"/>
        <v>4.4775691460909678E-2</v>
      </c>
      <c r="CM93" s="247"/>
      <c r="CN93" s="247"/>
      <c r="CO93" s="36"/>
      <c r="CP93" s="496" t="s">
        <v>1921</v>
      </c>
      <c r="CQ93" s="241">
        <v>-0.33277390361862558</v>
      </c>
      <c r="CR93" s="241">
        <f>10^(CJ93-CQ93)</f>
        <v>50.908305766081462</v>
      </c>
      <c r="CS93" s="33"/>
      <c r="CT93" s="33"/>
      <c r="CU93" s="250">
        <f t="shared" si="31"/>
        <v>4.9705826696466264</v>
      </c>
      <c r="CV93" s="337">
        <f>X93/BJ93</f>
        <v>0.29400996490959797</v>
      </c>
      <c r="CW93" s="330">
        <f t="shared" si="32"/>
        <v>1</v>
      </c>
      <c r="CX93" s="330"/>
      <c r="CY93" s="143" t="s">
        <v>5921</v>
      </c>
    </row>
    <row r="94" spans="1:103" ht="11.25" customHeight="1" x14ac:dyDescent="0.2">
      <c r="A94" s="72">
        <v>1919</v>
      </c>
      <c r="B94" s="241">
        <v>673</v>
      </c>
      <c r="C94" s="32" t="s">
        <v>1932</v>
      </c>
      <c r="D94" s="32"/>
      <c r="E94" s="40"/>
      <c r="F94" s="40" t="s">
        <v>1933</v>
      </c>
      <c r="G94" s="242">
        <v>56775883</v>
      </c>
      <c r="H94" s="36" t="s">
        <v>1934</v>
      </c>
      <c r="I94" s="36" t="s">
        <v>1934</v>
      </c>
      <c r="J94" s="36" t="s">
        <v>1935</v>
      </c>
      <c r="K94" s="36" t="s">
        <v>300</v>
      </c>
      <c r="L94" s="36"/>
      <c r="M94" s="36"/>
      <c r="N94" s="36"/>
      <c r="O94" s="36"/>
      <c r="P94" s="41"/>
      <c r="Q94" s="41"/>
      <c r="R94" s="41"/>
      <c r="S94" s="41"/>
      <c r="T94" s="37">
        <v>317.22000000000003</v>
      </c>
      <c r="U94" s="243"/>
      <c r="V94" s="243">
        <v>191.8</v>
      </c>
      <c r="W94" s="243">
        <v>224.5745617223362</v>
      </c>
      <c r="X94" s="243">
        <v>224.5745617223362</v>
      </c>
      <c r="Y94" s="414">
        <v>9.3800000000000008</v>
      </c>
      <c r="Z94" s="37">
        <v>3.18</v>
      </c>
      <c r="AA94" s="37"/>
      <c r="AB94" s="37">
        <v>3.22</v>
      </c>
      <c r="AC94" s="37">
        <v>0.70730000000000004</v>
      </c>
      <c r="AD94" s="37">
        <v>3.69</v>
      </c>
      <c r="AE94" s="37">
        <v>4.63</v>
      </c>
      <c r="AF94" s="37">
        <f t="shared" si="19"/>
        <v>3.69</v>
      </c>
      <c r="AG94" s="38">
        <v>-3.36</v>
      </c>
      <c r="AH94" s="243">
        <v>5.01E-11</v>
      </c>
      <c r="AI94" s="243"/>
      <c r="AJ94" s="34">
        <f t="shared" si="20"/>
        <v>-8.6887286004454065</v>
      </c>
      <c r="AK94" s="34"/>
      <c r="AL94" s="34">
        <f t="shared" si="21"/>
        <v>-8.6887286004454065</v>
      </c>
      <c r="AM94" s="34">
        <v>-12.006930000000001</v>
      </c>
      <c r="AN94" s="244">
        <v>-28.8</v>
      </c>
      <c r="AO94" s="417"/>
      <c r="AP94" s="417">
        <v>7.91</v>
      </c>
      <c r="AQ94" s="244" t="s">
        <v>6311</v>
      </c>
      <c r="AR94" s="244" t="s">
        <v>6311</v>
      </c>
      <c r="AS94" s="241" t="s">
        <v>6</v>
      </c>
      <c r="AT94" s="39" t="s">
        <v>266</v>
      </c>
      <c r="AU94" s="37">
        <v>2</v>
      </c>
      <c r="AV94" s="37">
        <v>48</v>
      </c>
      <c r="AW94" s="37">
        <v>48</v>
      </c>
      <c r="AX94" s="37">
        <v>26</v>
      </c>
      <c r="AY94" s="37" t="s">
        <v>647</v>
      </c>
      <c r="AZ94" s="37" t="s">
        <v>536</v>
      </c>
      <c r="BA94" s="37">
        <v>10</v>
      </c>
      <c r="BB94" s="36" t="s">
        <v>1764</v>
      </c>
      <c r="BC94" s="36" t="s">
        <v>538</v>
      </c>
      <c r="BD94" s="36"/>
      <c r="BE94" s="37" t="s">
        <v>271</v>
      </c>
      <c r="BF94" s="37" t="s">
        <v>272</v>
      </c>
      <c r="BG94" s="37" t="s">
        <v>272</v>
      </c>
      <c r="BH94" s="37" t="s">
        <v>272</v>
      </c>
      <c r="BI94" s="250">
        <v>4.6878522207861799</v>
      </c>
      <c r="BJ94" s="250">
        <v>599.98108627809472</v>
      </c>
      <c r="BK94" s="37"/>
      <c r="BL94" s="263">
        <v>22.709237943196534</v>
      </c>
      <c r="BM94" s="37" t="s">
        <v>541</v>
      </c>
      <c r="BN94" s="37"/>
      <c r="BO94" s="37">
        <v>32.028990322478961</v>
      </c>
      <c r="BP94" s="37"/>
      <c r="BQ94" s="37"/>
      <c r="BR94" s="37"/>
      <c r="BS94" s="37"/>
      <c r="BT94" s="37"/>
      <c r="BU94" s="246"/>
      <c r="BV94" s="37"/>
      <c r="BW94" s="37"/>
      <c r="BX94" s="37"/>
      <c r="BY94" s="37"/>
      <c r="BZ94" s="37"/>
      <c r="CA94" s="37"/>
      <c r="CB94" s="37"/>
      <c r="CC94" s="37"/>
      <c r="CD94" s="37"/>
      <c r="CE94" s="37"/>
      <c r="CF94" s="37"/>
      <c r="CG94" s="37"/>
      <c r="CH94" s="37"/>
      <c r="CI94" s="243">
        <v>32.028990322478961</v>
      </c>
      <c r="CJ94" s="243">
        <f t="shared" si="29"/>
        <v>1.5055432482396138</v>
      </c>
      <c r="CK94" s="38">
        <f>BL94/BJ94</f>
        <v>3.7849923043525191E-2</v>
      </c>
      <c r="CL94" s="247">
        <f t="shared" si="30"/>
        <v>0.70902134955089324</v>
      </c>
      <c r="CM94" s="247"/>
      <c r="CN94" s="247"/>
      <c r="CO94" s="36"/>
      <c r="CP94" s="496" t="s">
        <v>1921</v>
      </c>
      <c r="CQ94" s="241" t="s">
        <v>272</v>
      </c>
      <c r="CR94" s="241"/>
      <c r="CS94" s="33"/>
      <c r="CT94" s="33"/>
      <c r="CU94" s="250">
        <f t="shared" si="31"/>
        <v>7.0116029091532948</v>
      </c>
      <c r="CV94" s="337">
        <f>X94/BJ94</f>
        <v>0.37430273530030012</v>
      </c>
      <c r="CW94" s="330">
        <f t="shared" si="32"/>
        <v>1</v>
      </c>
      <c r="CX94" s="330"/>
      <c r="CY94" s="143" t="s">
        <v>5921</v>
      </c>
    </row>
    <row r="95" spans="1:103" ht="11.25" customHeight="1" x14ac:dyDescent="0.2">
      <c r="A95" s="72">
        <v>1921</v>
      </c>
      <c r="B95" s="241">
        <v>846</v>
      </c>
      <c r="C95" s="32" t="s">
        <v>4094</v>
      </c>
      <c r="D95" s="32"/>
      <c r="E95" s="40"/>
      <c r="F95" s="40" t="s">
        <v>4095</v>
      </c>
      <c r="G95" s="242">
        <v>59729338</v>
      </c>
      <c r="H95" s="36" t="s">
        <v>4096</v>
      </c>
      <c r="I95" s="36" t="s">
        <v>8266</v>
      </c>
      <c r="J95" s="36" t="s">
        <v>4097</v>
      </c>
      <c r="K95" s="36" t="s">
        <v>300</v>
      </c>
      <c r="L95" s="42" t="s">
        <v>279</v>
      </c>
      <c r="M95" s="36" t="s">
        <v>4098</v>
      </c>
      <c r="N95" s="36"/>
      <c r="O95" s="36" t="s">
        <v>281</v>
      </c>
      <c r="P95" s="41"/>
      <c r="Q95" s="41"/>
      <c r="R95" s="41"/>
      <c r="S95" s="41"/>
      <c r="T95" s="37">
        <v>324.39</v>
      </c>
      <c r="U95" s="243"/>
      <c r="V95" s="243">
        <v>31.09</v>
      </c>
      <c r="W95" s="243">
        <v>46.888620723227106</v>
      </c>
      <c r="X95" s="243">
        <v>46.888620723227106</v>
      </c>
      <c r="Y95" s="414">
        <v>9.75</v>
      </c>
      <c r="Z95" s="37">
        <v>3.74</v>
      </c>
      <c r="AA95" s="37"/>
      <c r="AB95" s="37">
        <v>3.72</v>
      </c>
      <c r="AC95" s="37">
        <v>0.75970000000000004</v>
      </c>
      <c r="AD95" s="37">
        <v>3.39</v>
      </c>
      <c r="AE95" s="37">
        <v>2.5099999999999998</v>
      </c>
      <c r="AF95" s="37">
        <f t="shared" si="19"/>
        <v>3.39</v>
      </c>
      <c r="AG95" s="38">
        <v>3.98</v>
      </c>
      <c r="AH95" s="243">
        <v>2.6899999999999999E-11</v>
      </c>
      <c r="AI95" s="243"/>
      <c r="AJ95" s="34">
        <f t="shared" si="20"/>
        <v>-8.958814046310243</v>
      </c>
      <c r="AK95" s="34"/>
      <c r="AL95" s="34">
        <f t="shared" si="21"/>
        <v>-8.958814046310243</v>
      </c>
      <c r="AM95" s="34">
        <v>-12.860900000000001</v>
      </c>
      <c r="AN95" s="244">
        <v>-8.5500000000000007</v>
      </c>
      <c r="AO95" s="417"/>
      <c r="AP95" s="417">
        <v>9.57</v>
      </c>
      <c r="AQ95" s="244" t="s">
        <v>6311</v>
      </c>
      <c r="AR95" s="244" t="s">
        <v>6311</v>
      </c>
      <c r="AS95" s="241" t="s">
        <v>6</v>
      </c>
      <c r="AT95" s="39" t="s">
        <v>266</v>
      </c>
      <c r="AU95" s="37">
        <v>2</v>
      </c>
      <c r="AV95" s="37">
        <v>48</v>
      </c>
      <c r="AW95" s="37">
        <v>48</v>
      </c>
      <c r="AX95" s="37">
        <v>26</v>
      </c>
      <c r="AY95" s="37" t="s">
        <v>647</v>
      </c>
      <c r="AZ95" s="37" t="s">
        <v>536</v>
      </c>
      <c r="BA95" s="37">
        <v>10</v>
      </c>
      <c r="BB95" s="36" t="s">
        <v>1764</v>
      </c>
      <c r="BC95" s="36" t="s">
        <v>538</v>
      </c>
      <c r="BD95" s="36"/>
      <c r="BE95" s="37" t="s">
        <v>271</v>
      </c>
      <c r="BF95" s="37" t="s">
        <v>272</v>
      </c>
      <c r="BG95" s="37" t="s">
        <v>272</v>
      </c>
      <c r="BH95" s="37" t="s">
        <v>272</v>
      </c>
      <c r="BI95" s="243" t="s">
        <v>8722</v>
      </c>
      <c r="BJ95" s="243" t="s">
        <v>8722</v>
      </c>
      <c r="BK95" s="37"/>
      <c r="BL95" s="263">
        <v>7.2941293017829469</v>
      </c>
      <c r="BM95" s="37" t="s">
        <v>541</v>
      </c>
      <c r="BN95" s="37"/>
      <c r="BO95" s="37"/>
      <c r="BP95" s="37"/>
      <c r="BQ95" s="37"/>
      <c r="BR95" s="37"/>
      <c r="BS95" s="37"/>
      <c r="BT95" s="37"/>
      <c r="BU95" s="246"/>
      <c r="BV95" s="37"/>
      <c r="BW95" s="37"/>
      <c r="BX95" s="37"/>
      <c r="BY95" s="37"/>
      <c r="BZ95" s="37"/>
      <c r="CA95" s="37"/>
      <c r="CB95" s="37"/>
      <c r="CC95" s="37"/>
      <c r="CD95" s="37"/>
      <c r="CE95" s="37"/>
      <c r="CF95" s="37"/>
      <c r="CG95" s="37"/>
      <c r="CH95" s="37"/>
      <c r="CI95" s="243"/>
      <c r="CJ95" s="243"/>
      <c r="CK95" s="38"/>
      <c r="CL95" s="247"/>
      <c r="CM95" s="247"/>
      <c r="CN95" s="247"/>
      <c r="CO95" s="36" t="s">
        <v>4073</v>
      </c>
      <c r="CP95" s="496" t="s">
        <v>1921</v>
      </c>
      <c r="CQ95" s="241" t="s">
        <v>272</v>
      </c>
      <c r="CR95" s="241"/>
      <c r="CS95" s="33"/>
      <c r="CT95" s="33"/>
      <c r="CU95" s="250" t="s">
        <v>6310</v>
      </c>
      <c r="CV95" s="337" t="s">
        <v>6310</v>
      </c>
      <c r="CW95" s="330">
        <f>IF(CV95&lt;1,0,1)</f>
        <v>1</v>
      </c>
      <c r="CX95" s="330"/>
      <c r="CY95" s="143" t="s">
        <v>5921</v>
      </c>
    </row>
    <row r="96" spans="1:103" ht="11.25" customHeight="1" x14ac:dyDescent="0.2">
      <c r="A96" s="72">
        <v>1924</v>
      </c>
      <c r="B96" s="241">
        <v>674</v>
      </c>
      <c r="C96" s="32" t="s">
        <v>1936</v>
      </c>
      <c r="D96" s="32"/>
      <c r="E96" s="40"/>
      <c r="F96" s="40" t="s">
        <v>1937</v>
      </c>
      <c r="G96" s="242">
        <v>61869087</v>
      </c>
      <c r="H96" s="36" t="s">
        <v>1938</v>
      </c>
      <c r="I96" s="36" t="s">
        <v>1938</v>
      </c>
      <c r="J96" s="36" t="s">
        <v>1939</v>
      </c>
      <c r="K96" s="36" t="s">
        <v>1940</v>
      </c>
      <c r="L96" s="42" t="s">
        <v>279</v>
      </c>
      <c r="M96" s="36" t="s">
        <v>1941</v>
      </c>
      <c r="N96" s="36"/>
      <c r="O96" s="36" t="s">
        <v>281</v>
      </c>
      <c r="P96" s="41"/>
      <c r="Q96" s="41"/>
      <c r="R96" s="41"/>
      <c r="S96" s="41"/>
      <c r="T96" s="37">
        <v>329.37</v>
      </c>
      <c r="U96" s="243"/>
      <c r="V96" s="243">
        <v>35.270000000000003</v>
      </c>
      <c r="W96" s="243">
        <v>28.033933564271624</v>
      </c>
      <c r="X96" s="243">
        <v>28.033933564271624</v>
      </c>
      <c r="Y96" s="414">
        <v>9.41</v>
      </c>
      <c r="Z96" s="37">
        <v>3.95</v>
      </c>
      <c r="AA96" s="37"/>
      <c r="AB96" s="37">
        <v>3.42</v>
      </c>
      <c r="AC96" s="37">
        <v>0.56479999999999997</v>
      </c>
      <c r="AD96" s="37">
        <v>3.52</v>
      </c>
      <c r="AE96" s="37">
        <v>3.63</v>
      </c>
      <c r="AF96" s="37">
        <f t="shared" si="19"/>
        <v>3.52</v>
      </c>
      <c r="AG96" s="38">
        <v>3.4</v>
      </c>
      <c r="AH96" s="243">
        <v>1.7800000000000001E-12</v>
      </c>
      <c r="AI96" s="243"/>
      <c r="AJ96" s="34">
        <f t="shared" si="20"/>
        <v>-10.138146324003758</v>
      </c>
      <c r="AK96" s="34"/>
      <c r="AL96" s="34">
        <f t="shared" si="21"/>
        <v>-10.138146324003758</v>
      </c>
      <c r="AM96" s="34">
        <v>-14.30973</v>
      </c>
      <c r="AN96" s="244">
        <v>-9.19</v>
      </c>
      <c r="AO96" s="417"/>
      <c r="AP96" s="417">
        <v>9.0500000000000007</v>
      </c>
      <c r="AQ96" s="244" t="s">
        <v>6311</v>
      </c>
      <c r="AR96" s="244" t="s">
        <v>6311</v>
      </c>
      <c r="AS96" s="241" t="s">
        <v>6</v>
      </c>
      <c r="AT96" s="39" t="s">
        <v>266</v>
      </c>
      <c r="AU96" s="37">
        <v>2</v>
      </c>
      <c r="AV96" s="37">
        <v>48</v>
      </c>
      <c r="AW96" s="37">
        <v>48</v>
      </c>
      <c r="AX96" s="37">
        <v>26</v>
      </c>
      <c r="AY96" s="37" t="s">
        <v>647</v>
      </c>
      <c r="AZ96" s="37" t="s">
        <v>536</v>
      </c>
      <c r="BA96" s="37">
        <v>10</v>
      </c>
      <c r="BB96" s="36" t="s">
        <v>1764</v>
      </c>
      <c r="BC96" s="36" t="s">
        <v>538</v>
      </c>
      <c r="BD96" s="36"/>
      <c r="BE96" s="37" t="s">
        <v>271</v>
      </c>
      <c r="BF96" s="37" t="s">
        <v>272</v>
      </c>
      <c r="BG96" s="37" t="s">
        <v>272</v>
      </c>
      <c r="BH96" s="37" t="s">
        <v>272</v>
      </c>
      <c r="BI96" s="250">
        <v>1.5629999999999999</v>
      </c>
      <c r="BJ96" s="250">
        <v>100</v>
      </c>
      <c r="BK96" s="37"/>
      <c r="BL96" s="263">
        <v>4.7972134185673019</v>
      </c>
      <c r="BM96" s="37" t="s">
        <v>541</v>
      </c>
      <c r="BN96" s="37"/>
      <c r="BO96" s="37">
        <v>24.72</v>
      </c>
      <c r="BP96" s="37"/>
      <c r="BQ96" s="37"/>
      <c r="BR96" s="37"/>
      <c r="BS96" s="37"/>
      <c r="BT96" s="37"/>
      <c r="BU96" s="246"/>
      <c r="BV96" s="37"/>
      <c r="BW96" s="37"/>
      <c r="BX96" s="37"/>
      <c r="BY96" s="37"/>
      <c r="BZ96" s="37"/>
      <c r="CA96" s="37"/>
      <c r="CB96" s="37"/>
      <c r="CC96" s="37"/>
      <c r="CD96" s="37"/>
      <c r="CE96" s="37"/>
      <c r="CF96" s="37"/>
      <c r="CG96" s="37"/>
      <c r="CH96" s="37"/>
      <c r="CI96" s="243">
        <v>24.72</v>
      </c>
      <c r="CJ96" s="243">
        <f t="shared" ref="CJ96:CJ127" si="35">LOG10(CI96)</f>
        <v>1.3930484664167782</v>
      </c>
      <c r="CK96" s="38">
        <f>BL96/BJ96</f>
        <v>4.7972134185673018E-2</v>
      </c>
      <c r="CL96" s="247">
        <f>BL96/CI96</f>
        <v>0.19406203149544102</v>
      </c>
      <c r="CM96" s="247"/>
      <c r="CN96" s="247"/>
      <c r="CO96" s="36"/>
      <c r="CP96" s="496" t="s">
        <v>1921</v>
      </c>
      <c r="CQ96" s="241" t="s">
        <v>272</v>
      </c>
      <c r="CR96" s="241"/>
      <c r="CS96" s="33"/>
      <c r="CT96" s="33"/>
      <c r="CU96" s="250">
        <f>X96/CI96</f>
        <v>1.1340588011436741</v>
      </c>
      <c r="CV96" s="337">
        <f>X96/BJ96</f>
        <v>0.28033933564271624</v>
      </c>
      <c r="CW96" s="330">
        <f t="shared" ref="CW96:CW127" si="36">IF(CU96&lt;2,0,1)</f>
        <v>0</v>
      </c>
      <c r="CX96" s="330"/>
      <c r="CY96" s="143" t="s">
        <v>5921</v>
      </c>
    </row>
    <row r="97" spans="1:103" ht="11.25" customHeight="1" x14ac:dyDescent="0.2">
      <c r="A97" s="72">
        <v>1939</v>
      </c>
      <c r="B97" s="241">
        <v>675</v>
      </c>
      <c r="C97" s="32" t="s">
        <v>1942</v>
      </c>
      <c r="D97" s="32" t="s">
        <v>6609</v>
      </c>
      <c r="E97" s="40"/>
      <c r="F97" s="40" t="s">
        <v>1943</v>
      </c>
      <c r="G97" s="242">
        <v>79559970</v>
      </c>
      <c r="H97" s="36" t="s">
        <v>1944</v>
      </c>
      <c r="I97" s="36" t="s">
        <v>8268</v>
      </c>
      <c r="J97" s="36" t="s">
        <v>1945</v>
      </c>
      <c r="K97" s="36" t="s">
        <v>426</v>
      </c>
      <c r="L97" s="36"/>
      <c r="M97" s="36"/>
      <c r="N97" s="36"/>
      <c r="O97" s="36"/>
      <c r="P97" s="41"/>
      <c r="Q97" s="41"/>
      <c r="R97" s="41"/>
      <c r="S97" s="41"/>
      <c r="T97" s="37">
        <v>342.7</v>
      </c>
      <c r="U97" s="243"/>
      <c r="V97" s="243">
        <v>93.779999999999987</v>
      </c>
      <c r="W97" s="243">
        <v>0.22126570429017575</v>
      </c>
      <c r="X97" s="243">
        <v>0.22126570429017575</v>
      </c>
      <c r="Y97" s="414">
        <v>7</v>
      </c>
      <c r="Z97" s="37">
        <v>2.1800000000000002</v>
      </c>
      <c r="AA97" s="37"/>
      <c r="AB97" s="37">
        <v>0</v>
      </c>
      <c r="AC97" s="37">
        <v>0</v>
      </c>
      <c r="AD97" s="37">
        <v>0</v>
      </c>
      <c r="AE97" s="37">
        <v>0</v>
      </c>
      <c r="AF97" s="37"/>
      <c r="AG97" s="38">
        <v>5.51</v>
      </c>
      <c r="AH97" s="243">
        <v>3.9000000000000003E-15</v>
      </c>
      <c r="AI97" s="243"/>
      <c r="AJ97" s="34">
        <f t="shared" si="20"/>
        <v>-12.797501719286153</v>
      </c>
      <c r="AK97" s="34"/>
      <c r="AL97" s="34">
        <f t="shared" si="21"/>
        <v>-12.797501719286153</v>
      </c>
      <c r="AM97" s="34"/>
      <c r="AN97" s="244">
        <v>-7.89</v>
      </c>
      <c r="AO97" s="417"/>
      <c r="AP97" s="417">
        <v>-2.78</v>
      </c>
      <c r="AQ97" s="244" t="s">
        <v>6311</v>
      </c>
      <c r="AR97" s="244" t="s">
        <v>6311</v>
      </c>
      <c r="AS97" s="241" t="s">
        <v>6</v>
      </c>
      <c r="AT97" s="39" t="s">
        <v>266</v>
      </c>
      <c r="AU97" s="37">
        <v>2</v>
      </c>
      <c r="AV97" s="37">
        <v>48</v>
      </c>
      <c r="AW97" s="37">
        <v>48</v>
      </c>
      <c r="AX97" s="37">
        <v>26</v>
      </c>
      <c r="AY97" s="37" t="s">
        <v>647</v>
      </c>
      <c r="AZ97" s="37" t="s">
        <v>536</v>
      </c>
      <c r="BA97" s="37">
        <v>10</v>
      </c>
      <c r="BB97" s="36" t="s">
        <v>1764</v>
      </c>
      <c r="BC97" s="36" t="s">
        <v>538</v>
      </c>
      <c r="BD97" s="36"/>
      <c r="BE97" s="37" t="s">
        <v>271</v>
      </c>
      <c r="BF97" s="37" t="s">
        <v>272</v>
      </c>
      <c r="BG97" s="37" t="s">
        <v>272</v>
      </c>
      <c r="BH97" s="37" t="s">
        <v>272</v>
      </c>
      <c r="BI97" s="250">
        <v>1.5629999999999999</v>
      </c>
      <c r="BJ97" s="250">
        <v>100</v>
      </c>
      <c r="BK97" s="37"/>
      <c r="BL97" s="263">
        <v>194.02429069157731</v>
      </c>
      <c r="BM97" s="37" t="s">
        <v>541</v>
      </c>
      <c r="BN97" s="37"/>
      <c r="BO97" s="37">
        <v>1.9100000000000001</v>
      </c>
      <c r="BP97" s="37"/>
      <c r="BQ97" s="37"/>
      <c r="BR97" s="37"/>
      <c r="BS97" s="37"/>
      <c r="BT97" s="37"/>
      <c r="BU97" s="246"/>
      <c r="BV97" s="37"/>
      <c r="BW97" s="37"/>
      <c r="BX97" s="37"/>
      <c r="BY97" s="37"/>
      <c r="BZ97" s="37"/>
      <c r="CA97" s="37"/>
      <c r="CB97" s="37"/>
      <c r="CC97" s="37"/>
      <c r="CD97" s="37"/>
      <c r="CE97" s="37"/>
      <c r="CF97" s="37"/>
      <c r="CG97" s="37"/>
      <c r="CH97" s="37"/>
      <c r="CI97" s="243">
        <v>1.9100000000000001</v>
      </c>
      <c r="CJ97" s="243">
        <f t="shared" si="35"/>
        <v>0.28103336724772759</v>
      </c>
      <c r="CK97" s="38">
        <f>BL97/BJ97</f>
        <v>1.9402429069157732</v>
      </c>
      <c r="CL97" s="247">
        <f>BL97/CI97</f>
        <v>101.58339826784152</v>
      </c>
      <c r="CM97" s="247"/>
      <c r="CN97" s="247"/>
      <c r="CO97" s="36"/>
      <c r="CP97" s="496" t="s">
        <v>1921</v>
      </c>
      <c r="CQ97" s="241">
        <v>-0.42021640338318983</v>
      </c>
      <c r="CR97" s="241">
        <f>10^(CJ97-CQ97)</f>
        <v>5.0263157894736858</v>
      </c>
      <c r="CS97" s="33"/>
      <c r="CT97" s="33"/>
      <c r="CU97" s="250">
        <f>X97/CI97</f>
        <v>0.11584591847653179</v>
      </c>
      <c r="CV97" s="337">
        <f>X97/BJ97</f>
        <v>2.2126570429017575E-3</v>
      </c>
      <c r="CW97" s="330">
        <f t="shared" si="36"/>
        <v>0</v>
      </c>
      <c r="CX97" s="330"/>
      <c r="CY97" s="143" t="s">
        <v>5921</v>
      </c>
    </row>
    <row r="98" spans="1:103" ht="11.25" customHeight="1" x14ac:dyDescent="0.2">
      <c r="A98" s="72">
        <v>1960</v>
      </c>
      <c r="B98" s="241">
        <v>676</v>
      </c>
      <c r="C98" s="32" t="s">
        <v>1946</v>
      </c>
      <c r="D98" s="32"/>
      <c r="E98" s="40"/>
      <c r="F98" s="40" t="s">
        <v>1947</v>
      </c>
      <c r="G98" s="242">
        <v>196618130</v>
      </c>
      <c r="H98" s="36" t="s">
        <v>1948</v>
      </c>
      <c r="I98" s="36" t="s">
        <v>8274</v>
      </c>
      <c r="J98" s="36" t="s">
        <v>1949</v>
      </c>
      <c r="K98" s="36" t="s">
        <v>1950</v>
      </c>
      <c r="L98" s="36"/>
      <c r="M98" s="36"/>
      <c r="N98" s="36"/>
      <c r="O98" s="36"/>
      <c r="P98" s="41"/>
      <c r="Q98" s="41"/>
      <c r="R98" s="41"/>
      <c r="S98" s="41"/>
      <c r="T98" s="37">
        <v>312.39999999999998</v>
      </c>
      <c r="U98" s="243"/>
      <c r="V98" s="243">
        <v>1592</v>
      </c>
      <c r="W98" s="243">
        <v>4728.3653401147121</v>
      </c>
      <c r="X98" s="243">
        <v>4728.3653401147121</v>
      </c>
      <c r="Y98" s="414">
        <v>10.16</v>
      </c>
      <c r="Z98" s="37">
        <v>0.95</v>
      </c>
      <c r="AA98" s="37"/>
      <c r="AB98" s="37">
        <v>1.39</v>
      </c>
      <c r="AC98" s="37">
        <v>0.54759999999999998</v>
      </c>
      <c r="AD98" s="37">
        <v>1.44</v>
      </c>
      <c r="AE98" s="37">
        <v>1.5</v>
      </c>
      <c r="AF98" s="37">
        <f>IF(AA98=0,AD98,AA98)</f>
        <v>1.44</v>
      </c>
      <c r="AG98" s="38">
        <v>5.3</v>
      </c>
      <c r="AH98" s="243">
        <v>2.9200000000000001E-16</v>
      </c>
      <c r="AI98" s="243"/>
      <c r="AJ98" s="34">
        <f t="shared" si="20"/>
        <v>-13.923183474864233</v>
      </c>
      <c r="AK98" s="34"/>
      <c r="AL98" s="34">
        <f t="shared" si="21"/>
        <v>-13.923183474864233</v>
      </c>
      <c r="AM98" s="34">
        <v>-18.457700000000003</v>
      </c>
      <c r="AN98" s="244">
        <v>-12.8</v>
      </c>
      <c r="AO98" s="417">
        <v>14.68</v>
      </c>
      <c r="AP98" s="417">
        <v>8.81</v>
      </c>
      <c r="AQ98" s="244" t="s">
        <v>6311</v>
      </c>
      <c r="AR98" s="244" t="s">
        <v>6312</v>
      </c>
      <c r="AS98" s="241" t="s">
        <v>63</v>
      </c>
      <c r="AT98" s="39" t="s">
        <v>266</v>
      </c>
      <c r="AU98" s="37">
        <v>2</v>
      </c>
      <c r="AV98" s="37">
        <v>48</v>
      </c>
      <c r="AW98" s="37">
        <v>48</v>
      </c>
      <c r="AX98" s="37">
        <v>26</v>
      </c>
      <c r="AY98" s="37" t="s">
        <v>647</v>
      </c>
      <c r="AZ98" s="37" t="s">
        <v>536</v>
      </c>
      <c r="BA98" s="37">
        <v>10</v>
      </c>
      <c r="BB98" s="36" t="s">
        <v>1764</v>
      </c>
      <c r="BC98" s="36" t="s">
        <v>538</v>
      </c>
      <c r="BD98" s="36"/>
      <c r="BE98" s="37" t="s">
        <v>271</v>
      </c>
      <c r="BF98" s="37" t="s">
        <v>272</v>
      </c>
      <c r="BG98" s="37" t="s">
        <v>272</v>
      </c>
      <c r="BH98" s="37" t="s">
        <v>272</v>
      </c>
      <c r="BI98" s="248"/>
      <c r="BJ98" s="248"/>
      <c r="BK98" s="37"/>
      <c r="BL98" s="263">
        <v>2250.6917820749195</v>
      </c>
      <c r="BM98" s="37" t="s">
        <v>541</v>
      </c>
      <c r="BN98" s="37"/>
      <c r="BO98" s="37">
        <v>139.99</v>
      </c>
      <c r="BP98" s="37"/>
      <c r="BQ98" s="37"/>
      <c r="BR98" s="37"/>
      <c r="BS98" s="37"/>
      <c r="BT98" s="37"/>
      <c r="BU98" s="246"/>
      <c r="BV98" s="37"/>
      <c r="BW98" s="37"/>
      <c r="BX98" s="37"/>
      <c r="BY98" s="37"/>
      <c r="BZ98" s="37"/>
      <c r="CA98" s="37"/>
      <c r="CB98" s="37"/>
      <c r="CC98" s="37"/>
      <c r="CD98" s="37"/>
      <c r="CE98" s="37"/>
      <c r="CF98" s="37"/>
      <c r="CG98" s="37"/>
      <c r="CH98" s="37"/>
      <c r="CI98" s="243">
        <v>139.99</v>
      </c>
      <c r="CJ98" s="243">
        <f t="shared" si="35"/>
        <v>2.1460970135358695</v>
      </c>
      <c r="CK98" s="38"/>
      <c r="CL98" s="247">
        <f>BL98/CI98</f>
        <v>16.077518266125576</v>
      </c>
      <c r="CM98" s="247"/>
      <c r="CN98" s="247"/>
      <c r="CO98" s="36"/>
      <c r="CP98" s="496" t="s">
        <v>1921</v>
      </c>
      <c r="CQ98" s="241" t="s">
        <v>272</v>
      </c>
      <c r="CR98" s="241"/>
      <c r="CS98" s="33"/>
      <c r="CT98" s="33"/>
      <c r="CU98" s="250">
        <f>X98/CI98</f>
        <v>33.776450747301318</v>
      </c>
      <c r="CV98" s="337"/>
      <c r="CW98" s="330">
        <f t="shared" si="36"/>
        <v>1</v>
      </c>
      <c r="CX98" s="330"/>
      <c r="CY98" s="143" t="s">
        <v>5921</v>
      </c>
    </row>
    <row r="99" spans="1:103" ht="11.25" customHeight="1" x14ac:dyDescent="0.2">
      <c r="A99" s="72">
        <v>2016</v>
      </c>
      <c r="B99" s="282">
        <v>655</v>
      </c>
      <c r="C99" s="115" t="s">
        <v>1918</v>
      </c>
      <c r="D99" s="115"/>
      <c r="E99" s="116">
        <v>1</v>
      </c>
      <c r="F99" s="116" t="s">
        <v>1919</v>
      </c>
      <c r="G99" s="283">
        <v>7758987</v>
      </c>
      <c r="H99" s="284" t="s">
        <v>654</v>
      </c>
      <c r="I99" s="284"/>
      <c r="J99" s="284"/>
      <c r="K99" s="284" t="s">
        <v>416</v>
      </c>
      <c r="L99" s="284"/>
      <c r="M99" s="284"/>
      <c r="N99" s="284"/>
      <c r="O99" s="284"/>
      <c r="P99" s="286"/>
      <c r="Q99" s="286"/>
      <c r="R99" s="286"/>
      <c r="S99" s="286"/>
      <c r="T99" s="119">
        <v>159.6</v>
      </c>
      <c r="U99" s="292"/>
      <c r="V99" s="292"/>
      <c r="W99" s="292"/>
      <c r="X99" s="292"/>
      <c r="Y99" s="370"/>
      <c r="Z99" s="116"/>
      <c r="AA99" s="116"/>
      <c r="AB99" s="116"/>
      <c r="AC99" s="116"/>
      <c r="AD99" s="116"/>
      <c r="AE99" s="116"/>
      <c r="AF99" s="116"/>
      <c r="AG99" s="117" t="s">
        <v>404</v>
      </c>
      <c r="AH99" s="292"/>
      <c r="AI99" s="292"/>
      <c r="AJ99" s="125"/>
      <c r="AK99" s="125"/>
      <c r="AL99" s="125"/>
      <c r="AM99" s="125"/>
      <c r="AN99" s="297"/>
      <c r="AO99" s="420"/>
      <c r="AP99" s="420"/>
      <c r="AQ99" s="297" t="s">
        <v>6311</v>
      </c>
      <c r="AR99" s="297" t="s">
        <v>6311</v>
      </c>
      <c r="AS99" s="282" t="s">
        <v>6</v>
      </c>
      <c r="AT99" s="118" t="s">
        <v>266</v>
      </c>
      <c r="AU99" s="119">
        <v>2</v>
      </c>
      <c r="AV99" s="119">
        <v>48</v>
      </c>
      <c r="AW99" s="119">
        <v>48</v>
      </c>
      <c r="AX99" s="119">
        <v>26</v>
      </c>
      <c r="AY99" s="119" t="s">
        <v>647</v>
      </c>
      <c r="AZ99" s="119" t="s">
        <v>1920</v>
      </c>
      <c r="BA99" s="119">
        <v>10</v>
      </c>
      <c r="BB99" s="284" t="s">
        <v>1613</v>
      </c>
      <c r="BC99" s="284" t="s">
        <v>538</v>
      </c>
      <c r="BD99" s="284"/>
      <c r="BE99" s="119" t="s">
        <v>271</v>
      </c>
      <c r="BF99" s="119" t="s">
        <v>272</v>
      </c>
      <c r="BG99" s="119" t="s">
        <v>272</v>
      </c>
      <c r="BH99" s="119" t="s">
        <v>272</v>
      </c>
      <c r="BI99" s="292" t="s">
        <v>8722</v>
      </c>
      <c r="BJ99" s="292" t="s">
        <v>8722</v>
      </c>
      <c r="BK99" s="119"/>
      <c r="BL99" s="287"/>
      <c r="BM99" s="119" t="s">
        <v>541</v>
      </c>
      <c r="BN99" s="119"/>
      <c r="BO99" s="119">
        <v>1.9535040000000001</v>
      </c>
      <c r="BP99" s="119"/>
      <c r="BQ99" s="119"/>
      <c r="BR99" s="119"/>
      <c r="BS99" s="119"/>
      <c r="BT99" s="119"/>
      <c r="BU99" s="293"/>
      <c r="BV99" s="119"/>
      <c r="BW99" s="119"/>
      <c r="BX99" s="119"/>
      <c r="BY99" s="119"/>
      <c r="BZ99" s="119"/>
      <c r="CA99" s="119"/>
      <c r="CB99" s="119"/>
      <c r="CC99" s="119"/>
      <c r="CD99" s="119"/>
      <c r="CE99" s="119"/>
      <c r="CF99" s="119"/>
      <c r="CG99" s="119"/>
      <c r="CH99" s="119"/>
      <c r="CI99" s="292">
        <v>1.9535040000000001</v>
      </c>
      <c r="CJ99" s="292">
        <f t="shared" si="35"/>
        <v>0.29081430482425302</v>
      </c>
      <c r="CK99" s="120" t="s">
        <v>404</v>
      </c>
      <c r="CL99" s="294"/>
      <c r="CM99" s="294"/>
      <c r="CN99" s="294"/>
      <c r="CO99" s="284"/>
      <c r="CP99" s="498" t="s">
        <v>1921</v>
      </c>
      <c r="CQ99" s="282">
        <v>-0.65944030302276679</v>
      </c>
      <c r="CR99" s="282">
        <f>10^(CJ99-CQ99)</f>
        <v>8.917735927412803</v>
      </c>
      <c r="CS99" s="123"/>
      <c r="CT99" s="123"/>
      <c r="CU99" s="300" t="s">
        <v>6310</v>
      </c>
      <c r="CV99" s="338" t="s">
        <v>6310</v>
      </c>
      <c r="CW99" s="339">
        <f t="shared" si="36"/>
        <v>1</v>
      </c>
      <c r="CX99" s="339"/>
      <c r="CY99" s="295" t="s">
        <v>6351</v>
      </c>
    </row>
    <row r="100" spans="1:103" ht="11.25" customHeight="1" x14ac:dyDescent="0.2">
      <c r="A100" s="72">
        <v>1805</v>
      </c>
      <c r="B100" s="241">
        <v>2004</v>
      </c>
      <c r="C100" s="32" t="s">
        <v>7274</v>
      </c>
      <c r="D100" s="32"/>
      <c r="E100" s="40"/>
      <c r="F100" s="40" t="s">
        <v>5298</v>
      </c>
      <c r="G100" s="242">
        <v>532321</v>
      </c>
      <c r="H100" s="41" t="s">
        <v>5567</v>
      </c>
      <c r="I100" s="41" t="s">
        <v>8226</v>
      </c>
      <c r="J100" s="41" t="s">
        <v>5568</v>
      </c>
      <c r="K100" s="41" t="s">
        <v>426</v>
      </c>
      <c r="L100" s="36" t="s">
        <v>6165</v>
      </c>
      <c r="M100" s="36" t="s">
        <v>5960</v>
      </c>
      <c r="N100" s="36"/>
      <c r="O100" s="36"/>
      <c r="P100" s="41"/>
      <c r="Q100" s="41"/>
      <c r="R100" s="41"/>
      <c r="S100" s="41"/>
      <c r="T100" s="33">
        <v>144.1</v>
      </c>
      <c r="U100" s="250">
        <v>556000</v>
      </c>
      <c r="V100" s="250">
        <v>1000000</v>
      </c>
      <c r="W100" s="250">
        <v>4996.4780150209799</v>
      </c>
      <c r="X100" s="250">
        <v>556000</v>
      </c>
      <c r="Y100" s="415">
        <v>2.84</v>
      </c>
      <c r="Z100" s="33">
        <v>-2.27</v>
      </c>
      <c r="AA100" s="33"/>
      <c r="AB100" s="33">
        <v>1.87</v>
      </c>
      <c r="AC100" s="33">
        <v>0.87239999999999995</v>
      </c>
      <c r="AD100" s="33">
        <v>1.87</v>
      </c>
      <c r="AE100" s="33">
        <v>1.89</v>
      </c>
      <c r="AF100" s="33">
        <f>IF(AA100=0,AD100,AA100)</f>
        <v>1.87</v>
      </c>
      <c r="AG100" s="34">
        <v>1.87</v>
      </c>
      <c r="AH100" s="250">
        <v>1.09E-7</v>
      </c>
      <c r="AI100" s="250"/>
      <c r="AJ100" s="34">
        <f t="shared" ref="AJ100:AJ131" si="37">LOG10(AH100*1000/(0.08206*298.15))</f>
        <v>-5.3511398283720286</v>
      </c>
      <c r="AK100" s="34"/>
      <c r="AL100" s="34">
        <f t="shared" ref="AL100:AL131" si="38">IF(AK100=0,AJ100,AK100)</f>
        <v>-5.3511398283720286</v>
      </c>
      <c r="AM100" s="34">
        <v>-7.6162700000000001</v>
      </c>
      <c r="AN100" s="251"/>
      <c r="AO100" s="417">
        <v>4.2</v>
      </c>
      <c r="AP100" s="417"/>
      <c r="AQ100" s="251" t="s">
        <v>6311</v>
      </c>
      <c r="AR100" s="251" t="s">
        <v>6311</v>
      </c>
      <c r="AS100" s="252" t="s">
        <v>5466</v>
      </c>
      <c r="AT100" s="35" t="s">
        <v>266</v>
      </c>
      <c r="AU100" s="33">
        <v>48</v>
      </c>
      <c r="AV100" s="33">
        <v>72</v>
      </c>
      <c r="AW100" s="33">
        <v>24</v>
      </c>
      <c r="AX100" s="33" t="s">
        <v>6240</v>
      </c>
      <c r="AY100" s="33" t="s">
        <v>1584</v>
      </c>
      <c r="AZ100" s="33" t="s">
        <v>6239</v>
      </c>
      <c r="BA100" s="33">
        <v>20</v>
      </c>
      <c r="BB100" s="41" t="s">
        <v>1764</v>
      </c>
      <c r="BC100" s="41" t="s">
        <v>6260</v>
      </c>
      <c r="BD100" s="41"/>
      <c r="BE100" s="33" t="s">
        <v>271</v>
      </c>
      <c r="BF100" s="33" t="s">
        <v>272</v>
      </c>
      <c r="BG100" s="33" t="s">
        <v>272</v>
      </c>
      <c r="BH100" s="33" t="s">
        <v>6261</v>
      </c>
      <c r="BI100" s="250">
        <v>1</v>
      </c>
      <c r="BJ100" s="250">
        <v>2000</v>
      </c>
      <c r="BK100" s="254"/>
      <c r="BL100" s="263">
        <v>809377.2271686719</v>
      </c>
      <c r="BM100" s="33" t="s">
        <v>6250</v>
      </c>
      <c r="BN100" s="33"/>
      <c r="BO100" s="33"/>
      <c r="BP100" s="33"/>
      <c r="BQ100" s="33"/>
      <c r="BR100" s="33"/>
      <c r="BS100" s="33"/>
      <c r="BT100" s="33"/>
      <c r="BU100" s="246"/>
      <c r="BV100" s="33"/>
      <c r="BW100" s="33"/>
      <c r="BX100" s="33"/>
      <c r="BY100" s="33"/>
      <c r="BZ100" s="33"/>
      <c r="CA100" s="33"/>
      <c r="CB100" s="33"/>
      <c r="CC100" s="33">
        <v>1556.28</v>
      </c>
      <c r="CD100" s="33"/>
      <c r="CE100" s="33"/>
      <c r="CF100" s="33"/>
      <c r="CG100" s="33"/>
      <c r="CH100" s="33"/>
      <c r="CI100" s="250">
        <v>1556.28</v>
      </c>
      <c r="CJ100" s="243">
        <f t="shared" si="35"/>
        <v>3.1920877363009388</v>
      </c>
      <c r="CK100" s="38">
        <f t="shared" ref="CK100:CK163" si="39">BL100/BJ100</f>
        <v>404.68861358433594</v>
      </c>
      <c r="CL100" s="247">
        <f t="shared" ref="CL100:CL131" si="40">BL100/CI100</f>
        <v>520.07172691846711</v>
      </c>
      <c r="CM100" s="247"/>
      <c r="CN100" s="247"/>
      <c r="CO100" s="41"/>
      <c r="CP100" s="143" t="s">
        <v>6262</v>
      </c>
      <c r="CQ100" s="241">
        <v>2.721878627021193</v>
      </c>
      <c r="CR100" s="241">
        <f>10^(CJ100-CQ100)</f>
        <v>2.9526305521856848</v>
      </c>
      <c r="CS100" s="33"/>
      <c r="CT100" s="33"/>
      <c r="CU100" s="250">
        <f t="shared" ref="CU100:CU131" si="41">X100/CI100</f>
        <v>357.26218932325804</v>
      </c>
      <c r="CV100" s="337">
        <f t="shared" ref="CV100:CV163" si="42">X100/BJ100</f>
        <v>278</v>
      </c>
      <c r="CW100" s="330">
        <f t="shared" si="36"/>
        <v>1</v>
      </c>
      <c r="CX100" s="330"/>
      <c r="CY100" s="143" t="s">
        <v>6351</v>
      </c>
    </row>
    <row r="101" spans="1:103" ht="11.25" customHeight="1" x14ac:dyDescent="0.2">
      <c r="A101" s="72">
        <v>3</v>
      </c>
      <c r="B101" s="149">
        <v>1069</v>
      </c>
      <c r="C101" s="54" t="s">
        <v>3007</v>
      </c>
      <c r="D101" s="54"/>
      <c r="E101" s="59"/>
      <c r="F101" s="59" t="s">
        <v>3008</v>
      </c>
      <c r="G101" s="151">
        <v>50419</v>
      </c>
      <c r="H101" s="55" t="s">
        <v>3009</v>
      </c>
      <c r="I101" s="55" t="s">
        <v>8277</v>
      </c>
      <c r="J101" s="55" t="s">
        <v>3010</v>
      </c>
      <c r="K101" s="55" t="s">
        <v>3011</v>
      </c>
      <c r="L101" s="55"/>
      <c r="M101" s="55"/>
      <c r="N101" s="60"/>
      <c r="O101" s="55"/>
      <c r="P101" s="67"/>
      <c r="Q101" s="67"/>
      <c r="R101" s="67"/>
      <c r="S101" s="67"/>
      <c r="T101" s="56">
        <v>405.96</v>
      </c>
      <c r="U101" s="103"/>
      <c r="V101" s="103">
        <v>5.0380000000000001E-2</v>
      </c>
      <c r="W101" s="103">
        <v>4.5549461170842473</v>
      </c>
      <c r="X101" s="103">
        <v>4.5549461170842473</v>
      </c>
      <c r="Y101" s="162">
        <v>8.59</v>
      </c>
      <c r="Z101" s="56">
        <v>6.74</v>
      </c>
      <c r="AA101" s="56"/>
      <c r="AB101" s="56">
        <v>6.17</v>
      </c>
      <c r="AC101" s="56">
        <v>0.47549999999999998</v>
      </c>
      <c r="AD101" s="56">
        <v>7.09</v>
      </c>
      <c r="AE101" s="56">
        <v>8.01</v>
      </c>
      <c r="AF101" s="62">
        <f>IF(AA101=0,AD101,AA101)</f>
        <v>7.09</v>
      </c>
      <c r="AG101" s="57">
        <v>4.54</v>
      </c>
      <c r="AH101" s="103">
        <v>2.7399999999999998E-10</v>
      </c>
      <c r="AI101" s="103"/>
      <c r="AJ101" s="62">
        <f t="shared" si="37"/>
        <v>-7.9508157634922636</v>
      </c>
      <c r="AK101" s="62"/>
      <c r="AL101" s="62">
        <f t="shared" si="38"/>
        <v>-7.9508157634922636</v>
      </c>
      <c r="AM101" s="62">
        <v>-14.38175</v>
      </c>
      <c r="AN101" s="154">
        <v>-24.2</v>
      </c>
      <c r="AO101" s="410"/>
      <c r="AP101" s="410">
        <v>9.6</v>
      </c>
      <c r="AQ101" s="56" t="s">
        <v>6311</v>
      </c>
      <c r="AR101" s="56" t="s">
        <v>6311</v>
      </c>
      <c r="AS101" s="155"/>
      <c r="AT101" s="58" t="s">
        <v>266</v>
      </c>
      <c r="AU101" s="56">
        <v>6</v>
      </c>
      <c r="AV101" s="56">
        <v>120</v>
      </c>
      <c r="AW101" s="56">
        <v>114</v>
      </c>
      <c r="AX101" s="56">
        <v>28</v>
      </c>
      <c r="AY101" s="56" t="s">
        <v>8728</v>
      </c>
      <c r="AZ101" s="56" t="s">
        <v>1563</v>
      </c>
      <c r="BA101" s="56">
        <v>32</v>
      </c>
      <c r="BB101" s="55" t="s">
        <v>2485</v>
      </c>
      <c r="BC101" s="55" t="s">
        <v>8726</v>
      </c>
      <c r="BD101" s="55" t="s">
        <v>8374</v>
      </c>
      <c r="BE101" s="56" t="s">
        <v>2449</v>
      </c>
      <c r="BF101" s="56" t="s">
        <v>272</v>
      </c>
      <c r="BG101" s="56" t="s">
        <v>272</v>
      </c>
      <c r="BH101" s="56" t="s">
        <v>2486</v>
      </c>
      <c r="BI101" s="153">
        <v>2.5981439999999997E-3</v>
      </c>
      <c r="BJ101" s="103">
        <v>6.4000000000000001E-2</v>
      </c>
      <c r="BK101" s="56"/>
      <c r="BL101" s="153">
        <v>1.845394593169725E-2</v>
      </c>
      <c r="BM101" s="56" t="s">
        <v>2046</v>
      </c>
      <c r="BN101" s="56"/>
      <c r="BO101" s="56"/>
      <c r="BP101" s="56"/>
      <c r="BQ101" s="56"/>
      <c r="BR101" s="55">
        <v>6.9014844137999996</v>
      </c>
      <c r="BS101" s="56"/>
      <c r="BT101" s="56"/>
      <c r="BU101" s="158"/>
      <c r="BV101" s="56"/>
      <c r="BW101" s="56"/>
      <c r="BX101" s="56"/>
      <c r="BY101" s="56"/>
      <c r="BZ101" s="56"/>
      <c r="CA101" s="56"/>
      <c r="CB101" s="56"/>
      <c r="CC101" s="56"/>
      <c r="CD101" s="56"/>
      <c r="CE101" s="56"/>
      <c r="CF101" s="56"/>
      <c r="CG101" s="56"/>
      <c r="CH101" s="56"/>
      <c r="CI101" s="103">
        <v>6.9014844137999996</v>
      </c>
      <c r="CJ101" s="103">
        <f t="shared" si="35"/>
        <v>0.83894251151800003</v>
      </c>
      <c r="CK101" s="57">
        <f t="shared" si="39"/>
        <v>0.2883429051827695</v>
      </c>
      <c r="CL101" s="160">
        <f t="shared" si="40"/>
        <v>2.6739096729389545E-3</v>
      </c>
      <c r="CM101" s="153"/>
      <c r="CN101" s="160"/>
      <c r="CO101" s="55" t="s">
        <v>2488</v>
      </c>
      <c r="CP101" s="497" t="s">
        <v>2489</v>
      </c>
      <c r="CQ101" s="149" t="s">
        <v>272</v>
      </c>
      <c r="CR101" s="349"/>
      <c r="CS101" s="61" t="s">
        <v>539</v>
      </c>
      <c r="CT101" s="61"/>
      <c r="CU101" s="111">
        <f t="shared" si="41"/>
        <v>0.65999513205830251</v>
      </c>
      <c r="CV101" s="331">
        <f t="shared" si="42"/>
        <v>71.171033079441358</v>
      </c>
      <c r="CW101" s="326">
        <f t="shared" si="36"/>
        <v>0</v>
      </c>
      <c r="CX101" s="326"/>
      <c r="CY101" s="161" t="s">
        <v>5921</v>
      </c>
    </row>
    <row r="102" spans="1:103" ht="11.25" customHeight="1" x14ac:dyDescent="0.2">
      <c r="A102" s="72">
        <v>15</v>
      </c>
      <c r="B102" s="149">
        <v>1105</v>
      </c>
      <c r="C102" s="54" t="s">
        <v>3088</v>
      </c>
      <c r="D102" s="54" t="s">
        <v>8543</v>
      </c>
      <c r="E102" s="59"/>
      <c r="F102" s="59" t="s">
        <v>3089</v>
      </c>
      <c r="G102" s="151">
        <v>56531</v>
      </c>
      <c r="H102" s="55" t="s">
        <v>3090</v>
      </c>
      <c r="I102" s="55" t="s">
        <v>3090</v>
      </c>
      <c r="J102" s="55" t="s">
        <v>3091</v>
      </c>
      <c r="K102" s="55" t="s">
        <v>376</v>
      </c>
      <c r="L102" s="55" t="s">
        <v>279</v>
      </c>
      <c r="M102" s="55" t="s">
        <v>3092</v>
      </c>
      <c r="N102" s="60"/>
      <c r="O102" s="55" t="s">
        <v>281</v>
      </c>
      <c r="P102" s="67"/>
      <c r="Q102" s="67"/>
      <c r="R102" s="67"/>
      <c r="S102" s="67"/>
      <c r="T102" s="56">
        <v>268.35000000000002</v>
      </c>
      <c r="U102" s="103">
        <v>12</v>
      </c>
      <c r="V102" s="103">
        <v>3.3210000000000002</v>
      </c>
      <c r="W102" s="103">
        <v>3.5375419579161136</v>
      </c>
      <c r="X102" s="103">
        <v>12</v>
      </c>
      <c r="Y102" s="162">
        <v>6.98</v>
      </c>
      <c r="Z102" s="56">
        <v>5.64</v>
      </c>
      <c r="AA102" s="56">
        <v>5.07</v>
      </c>
      <c r="AB102" s="56">
        <v>4.07</v>
      </c>
      <c r="AC102" s="56">
        <v>0.68459999999999999</v>
      </c>
      <c r="AD102" s="56">
        <v>4.79</v>
      </c>
      <c r="AE102" s="56">
        <v>5.93</v>
      </c>
      <c r="AF102" s="56">
        <f>IF(AA102=0,AD102,AA102)</f>
        <v>5.07</v>
      </c>
      <c r="AG102" s="57">
        <v>4.84</v>
      </c>
      <c r="AH102" s="103">
        <v>5.8000000000000003E-12</v>
      </c>
      <c r="AI102" s="103"/>
      <c r="AJ102" s="62">
        <f t="shared" si="37"/>
        <v>-9.6251383327497138</v>
      </c>
      <c r="AK102" s="62"/>
      <c r="AL102" s="62">
        <f t="shared" si="38"/>
        <v>-9.6251383327497138</v>
      </c>
      <c r="AM102" s="62">
        <v>-14.59704</v>
      </c>
      <c r="AN102" s="154">
        <v>-10.6</v>
      </c>
      <c r="AO102" s="410">
        <v>10.18</v>
      </c>
      <c r="AP102" s="410"/>
      <c r="AQ102" s="56" t="s">
        <v>6311</v>
      </c>
      <c r="AR102" s="56" t="s">
        <v>6311</v>
      </c>
      <c r="AS102" s="155"/>
      <c r="AT102" s="58" t="s">
        <v>266</v>
      </c>
      <c r="AU102" s="56">
        <v>6</v>
      </c>
      <c r="AV102" s="56">
        <v>120</v>
      </c>
      <c r="AW102" s="56">
        <v>114</v>
      </c>
      <c r="AX102" s="56">
        <v>28</v>
      </c>
      <c r="AY102" s="56" t="s">
        <v>8728</v>
      </c>
      <c r="AZ102" s="56" t="s">
        <v>1563</v>
      </c>
      <c r="BA102" s="56">
        <v>32</v>
      </c>
      <c r="BB102" s="55" t="s">
        <v>2485</v>
      </c>
      <c r="BC102" s="55" t="s">
        <v>8726</v>
      </c>
      <c r="BD102" s="55" t="s">
        <v>8374</v>
      </c>
      <c r="BE102" s="56" t="s">
        <v>2449</v>
      </c>
      <c r="BF102" s="56" t="s">
        <v>272</v>
      </c>
      <c r="BG102" s="56" t="s">
        <v>272</v>
      </c>
      <c r="BH102" s="56" t="s">
        <v>2486</v>
      </c>
      <c r="BI102" s="153">
        <v>1.71744E-3</v>
      </c>
      <c r="BJ102" s="153">
        <v>17.174400000000002</v>
      </c>
      <c r="BK102" s="56"/>
      <c r="BL102" s="153">
        <v>0.11863630165594009</v>
      </c>
      <c r="BM102" s="56" t="s">
        <v>2487</v>
      </c>
      <c r="BN102" s="56"/>
      <c r="BO102" s="56"/>
      <c r="BP102" s="56"/>
      <c r="BQ102" s="56"/>
      <c r="BR102" s="55">
        <v>5.4310221379500003</v>
      </c>
      <c r="BS102" s="56"/>
      <c r="BT102" s="56"/>
      <c r="BU102" s="158"/>
      <c r="BV102" s="56"/>
      <c r="BW102" s="56"/>
      <c r="BX102" s="56"/>
      <c r="BY102" s="56"/>
      <c r="BZ102" s="56"/>
      <c r="CA102" s="56"/>
      <c r="CB102" s="56"/>
      <c r="CC102" s="56"/>
      <c r="CD102" s="56"/>
      <c r="CE102" s="56"/>
      <c r="CF102" s="56"/>
      <c r="CG102" s="56"/>
      <c r="CH102" s="56"/>
      <c r="CI102" s="103">
        <v>5.4310221379500003</v>
      </c>
      <c r="CJ102" s="103">
        <f t="shared" si="35"/>
        <v>0.73488157306880697</v>
      </c>
      <c r="CK102" s="57">
        <f t="shared" si="39"/>
        <v>6.9077406870656369E-3</v>
      </c>
      <c r="CL102" s="160">
        <f t="shared" si="40"/>
        <v>2.1844194084010986E-2</v>
      </c>
      <c r="CM102" s="160"/>
      <c r="CN102" s="160"/>
      <c r="CO102" s="55" t="s">
        <v>2488</v>
      </c>
      <c r="CP102" s="497" t="s">
        <v>2489</v>
      </c>
      <c r="CQ102" s="149" t="s">
        <v>272</v>
      </c>
      <c r="CR102" s="349"/>
      <c r="CS102" s="61" t="s">
        <v>539</v>
      </c>
      <c r="CT102" s="61"/>
      <c r="CU102" s="111">
        <f t="shared" si="41"/>
        <v>2.2095288318102</v>
      </c>
      <c r="CV102" s="331">
        <f t="shared" si="42"/>
        <v>0.698714365567356</v>
      </c>
      <c r="CW102" s="326">
        <f t="shared" si="36"/>
        <v>1</v>
      </c>
      <c r="CX102" s="326"/>
      <c r="CY102" s="161" t="s">
        <v>5921</v>
      </c>
    </row>
    <row r="103" spans="1:103" ht="11.25" customHeight="1" x14ac:dyDescent="0.2">
      <c r="A103" s="72">
        <v>30</v>
      </c>
      <c r="B103" s="149">
        <v>1081</v>
      </c>
      <c r="C103" s="54" t="s">
        <v>3033</v>
      </c>
      <c r="D103" s="54" t="s">
        <v>8357</v>
      </c>
      <c r="E103" s="59"/>
      <c r="F103" s="59" t="s">
        <v>665</v>
      </c>
      <c r="G103" s="151">
        <v>66819</v>
      </c>
      <c r="H103" s="55" t="s">
        <v>666</v>
      </c>
      <c r="I103" s="55" t="s">
        <v>666</v>
      </c>
      <c r="J103" s="55" t="s">
        <v>667</v>
      </c>
      <c r="K103" s="55" t="s">
        <v>668</v>
      </c>
      <c r="L103" s="55"/>
      <c r="M103" s="55"/>
      <c r="N103" s="60"/>
      <c r="O103" s="55"/>
      <c r="P103" s="67"/>
      <c r="Q103" s="67"/>
      <c r="R103" s="67"/>
      <c r="S103" s="67"/>
      <c r="T103" s="56">
        <v>281.35000000000002</v>
      </c>
      <c r="U103" s="103">
        <v>21000</v>
      </c>
      <c r="V103" s="103">
        <v>5337</v>
      </c>
      <c r="W103" s="103">
        <v>8303.227159225873</v>
      </c>
      <c r="X103" s="103">
        <v>21000</v>
      </c>
      <c r="Y103" s="162">
        <v>6.54</v>
      </c>
      <c r="Z103" s="56">
        <v>0.08</v>
      </c>
      <c r="AA103" s="56">
        <v>0.55000000000000004</v>
      </c>
      <c r="AB103" s="56">
        <v>0.96</v>
      </c>
      <c r="AC103" s="56">
        <v>0.76439999999999997</v>
      </c>
      <c r="AD103" s="56">
        <v>0.83</v>
      </c>
      <c r="AE103" s="56">
        <v>0.56000000000000005</v>
      </c>
      <c r="AF103" s="56">
        <f>IF(AA103=0,AD103,AA103)</f>
        <v>0.55000000000000004</v>
      </c>
      <c r="AG103" s="57">
        <v>0.8</v>
      </c>
      <c r="AH103" s="103">
        <v>3.52E-15</v>
      </c>
      <c r="AI103" s="103"/>
      <c r="AJ103" s="62">
        <f t="shared" si="37"/>
        <v>-12.842023662834521</v>
      </c>
      <c r="AK103" s="62"/>
      <c r="AL103" s="62">
        <f t="shared" si="38"/>
        <v>-12.842023662834521</v>
      </c>
      <c r="AM103" s="62">
        <v>-17.743000000000002</v>
      </c>
      <c r="AN103" s="154">
        <v>-11.6</v>
      </c>
      <c r="AO103" s="410">
        <v>11.61</v>
      </c>
      <c r="AP103" s="410">
        <v>-4.79</v>
      </c>
      <c r="AQ103" s="56" t="s">
        <v>6311</v>
      </c>
      <c r="AR103" s="56" t="s">
        <v>6311</v>
      </c>
      <c r="AS103" s="155"/>
      <c r="AT103" s="58" t="s">
        <v>266</v>
      </c>
      <c r="AU103" s="56">
        <v>6</v>
      </c>
      <c r="AV103" s="56">
        <v>120</v>
      </c>
      <c r="AW103" s="56">
        <v>114</v>
      </c>
      <c r="AX103" s="56">
        <v>28</v>
      </c>
      <c r="AY103" s="56" t="s">
        <v>8728</v>
      </c>
      <c r="AZ103" s="56" t="s">
        <v>1563</v>
      </c>
      <c r="BA103" s="56">
        <v>32</v>
      </c>
      <c r="BB103" s="55" t="s">
        <v>2485</v>
      </c>
      <c r="BC103" s="55" t="s">
        <v>8726</v>
      </c>
      <c r="BD103" s="55" t="s">
        <v>8374</v>
      </c>
      <c r="BE103" s="56" t="s">
        <v>2449</v>
      </c>
      <c r="BF103" s="56" t="s">
        <v>272</v>
      </c>
      <c r="BG103" s="56" t="s">
        <v>272</v>
      </c>
      <c r="BH103" s="56" t="s">
        <v>2486</v>
      </c>
      <c r="BI103" s="153">
        <v>1.8006400000000001E-3</v>
      </c>
      <c r="BJ103" s="153">
        <v>18.006400000000003</v>
      </c>
      <c r="BK103" s="56"/>
      <c r="BL103" s="153">
        <v>12251.772375384669</v>
      </c>
      <c r="BM103" s="56" t="s">
        <v>2046</v>
      </c>
      <c r="BN103" s="56">
        <v>5694.1236473905001</v>
      </c>
      <c r="BO103" s="56"/>
      <c r="BP103" s="56"/>
      <c r="BQ103" s="56"/>
      <c r="BR103" s="55"/>
      <c r="BS103" s="56"/>
      <c r="BT103" s="56"/>
      <c r="BU103" s="158">
        <v>18.006400000000003</v>
      </c>
      <c r="BV103" s="56"/>
      <c r="BW103" s="56"/>
      <c r="BX103" s="56"/>
      <c r="BY103" s="56"/>
      <c r="BZ103" s="56"/>
      <c r="CA103" s="56"/>
      <c r="CB103" s="56"/>
      <c r="CC103" s="56"/>
      <c r="CD103" s="56"/>
      <c r="CE103" s="56"/>
      <c r="CF103" s="56"/>
      <c r="CG103" s="56"/>
      <c r="CH103" s="56"/>
      <c r="CI103" s="103">
        <v>18.006400000000003</v>
      </c>
      <c r="CJ103" s="103">
        <f t="shared" si="35"/>
        <v>1.2554268934738988</v>
      </c>
      <c r="CK103" s="57">
        <f t="shared" si="39"/>
        <v>680.41209655370687</v>
      </c>
      <c r="CL103" s="160">
        <f t="shared" si="40"/>
        <v>680.41209655370687</v>
      </c>
      <c r="CM103" s="160"/>
      <c r="CN103" s="160"/>
      <c r="CO103" s="55" t="s">
        <v>2488</v>
      </c>
      <c r="CP103" s="497" t="s">
        <v>2489</v>
      </c>
      <c r="CQ103" s="149" t="s">
        <v>272</v>
      </c>
      <c r="CR103" s="349"/>
      <c r="CS103" s="61" t="s">
        <v>539</v>
      </c>
      <c r="CT103" s="61"/>
      <c r="CU103" s="111">
        <f t="shared" si="41"/>
        <v>1166.2519992891414</v>
      </c>
      <c r="CV103" s="331">
        <f t="shared" si="42"/>
        <v>1166.2519992891414</v>
      </c>
      <c r="CW103" s="326">
        <f t="shared" si="36"/>
        <v>1</v>
      </c>
      <c r="CX103" s="326"/>
      <c r="CY103" s="161" t="s">
        <v>5921</v>
      </c>
    </row>
    <row r="104" spans="1:103" ht="11.25" customHeight="1" x14ac:dyDescent="0.2">
      <c r="A104" s="72">
        <v>31</v>
      </c>
      <c r="B104" s="149">
        <v>966</v>
      </c>
      <c r="C104" s="54" t="s">
        <v>2756</v>
      </c>
      <c r="D104" s="54"/>
      <c r="E104" s="59"/>
      <c r="F104" s="59" t="s">
        <v>2757</v>
      </c>
      <c r="G104" s="151">
        <v>67301</v>
      </c>
      <c r="H104" s="55" t="s">
        <v>2758</v>
      </c>
      <c r="I104" s="55" t="s">
        <v>2758</v>
      </c>
      <c r="J104" s="55"/>
      <c r="K104" s="55" t="s">
        <v>349</v>
      </c>
      <c r="L104" s="55"/>
      <c r="M104" s="55"/>
      <c r="N104" s="60"/>
      <c r="O104" s="55"/>
      <c r="P104" s="67"/>
      <c r="Q104" s="67"/>
      <c r="R104" s="67"/>
      <c r="S104" s="67"/>
      <c r="T104" s="56">
        <v>747.84</v>
      </c>
      <c r="U104" s="103"/>
      <c r="V104" s="103">
        <v>2.3149999999999999E-4</v>
      </c>
      <c r="W104" s="103">
        <v>7.308170833195935</v>
      </c>
      <c r="X104" s="103">
        <v>7.308170833195935</v>
      </c>
      <c r="Y104" s="162">
        <v>5.04</v>
      </c>
      <c r="Z104" s="56">
        <v>6.83</v>
      </c>
      <c r="AA104" s="56"/>
      <c r="AB104" s="56">
        <v>5.89</v>
      </c>
      <c r="AC104" s="56">
        <v>0.59489999999999998</v>
      </c>
      <c r="AD104" s="56">
        <v>6.07</v>
      </c>
      <c r="AE104" s="56">
        <v>6.32</v>
      </c>
      <c r="AF104" s="56">
        <f>IF(AA104=0,AD104,AA104)</f>
        <v>6.07</v>
      </c>
      <c r="AG104" s="57">
        <v>6.07</v>
      </c>
      <c r="AH104" s="103">
        <v>2.8999999999999998E-16</v>
      </c>
      <c r="AI104" s="103"/>
      <c r="AJ104" s="62">
        <f t="shared" si="37"/>
        <v>-13.926168328413695</v>
      </c>
      <c r="AK104" s="62"/>
      <c r="AL104" s="62">
        <f t="shared" si="38"/>
        <v>-13.926168328413695</v>
      </c>
      <c r="AM104" s="62">
        <v>-19.126529999999999</v>
      </c>
      <c r="AN104" s="154"/>
      <c r="AO104" s="410">
        <v>3.98</v>
      </c>
      <c r="AP104" s="410"/>
      <c r="AQ104" s="56" t="s">
        <v>6311</v>
      </c>
      <c r="AR104" s="56" t="s">
        <v>6311</v>
      </c>
      <c r="AS104" s="155"/>
      <c r="AT104" s="58" t="s">
        <v>266</v>
      </c>
      <c r="AU104" s="56">
        <v>6</v>
      </c>
      <c r="AV104" s="56">
        <v>120</v>
      </c>
      <c r="AW104" s="56">
        <v>114</v>
      </c>
      <c r="AX104" s="56">
        <v>28</v>
      </c>
      <c r="AY104" s="56" t="s">
        <v>8728</v>
      </c>
      <c r="AZ104" s="56" t="s">
        <v>1563</v>
      </c>
      <c r="BA104" s="56">
        <v>32</v>
      </c>
      <c r="BB104" s="55" t="s">
        <v>2485</v>
      </c>
      <c r="BC104" s="55" t="s">
        <v>8726</v>
      </c>
      <c r="BD104" s="55" t="s">
        <v>8374</v>
      </c>
      <c r="BE104" s="56" t="s">
        <v>2449</v>
      </c>
      <c r="BF104" s="56" t="s">
        <v>272</v>
      </c>
      <c r="BG104" s="56" t="s">
        <v>272</v>
      </c>
      <c r="BH104" s="56" t="s">
        <v>2486</v>
      </c>
      <c r="BI104" s="153">
        <v>4.7861759999999996E-3</v>
      </c>
      <c r="BJ104" s="153">
        <v>47.861760000000004</v>
      </c>
      <c r="BK104" s="56"/>
      <c r="BL104" s="153">
        <v>2.8221863741935076E-2</v>
      </c>
      <c r="BM104" s="56" t="s">
        <v>2046</v>
      </c>
      <c r="BN104" s="56"/>
      <c r="BO104" s="56"/>
      <c r="BP104" s="56"/>
      <c r="BQ104" s="56"/>
      <c r="BR104" s="55"/>
      <c r="BS104" s="56"/>
      <c r="BT104" s="56"/>
      <c r="BU104" s="158">
        <v>0.32067379200000001</v>
      </c>
      <c r="BV104" s="56"/>
      <c r="BW104" s="56"/>
      <c r="BX104" s="56"/>
      <c r="BY104" s="56"/>
      <c r="BZ104" s="56"/>
      <c r="CA104" s="56"/>
      <c r="CB104" s="56"/>
      <c r="CC104" s="56"/>
      <c r="CD104" s="56"/>
      <c r="CE104" s="56"/>
      <c r="CF104" s="56"/>
      <c r="CG104" s="56"/>
      <c r="CH104" s="56"/>
      <c r="CI104" s="103">
        <v>0.32067379200000001</v>
      </c>
      <c r="CJ104" s="103">
        <f t="shared" si="35"/>
        <v>-0.49393653260315351</v>
      </c>
      <c r="CK104" s="57">
        <f t="shared" si="39"/>
        <v>5.896536972717901E-4</v>
      </c>
      <c r="CL104" s="160">
        <f t="shared" si="40"/>
        <v>8.8008014518177635E-2</v>
      </c>
      <c r="CM104" s="160"/>
      <c r="CN104" s="160"/>
      <c r="CO104" s="55" t="s">
        <v>2488</v>
      </c>
      <c r="CP104" s="497" t="s">
        <v>2489</v>
      </c>
      <c r="CQ104" s="149" t="s">
        <v>272</v>
      </c>
      <c r="CR104" s="349"/>
      <c r="CS104" s="61" t="s">
        <v>539</v>
      </c>
      <c r="CT104" s="61"/>
      <c r="CU104" s="111">
        <f t="shared" si="41"/>
        <v>22.790047130499318</v>
      </c>
      <c r="CV104" s="331">
        <f t="shared" si="42"/>
        <v>0.15269331577434542</v>
      </c>
      <c r="CW104" s="326">
        <f t="shared" si="36"/>
        <v>1</v>
      </c>
      <c r="CX104" s="326"/>
      <c r="CY104" s="161" t="s">
        <v>5921</v>
      </c>
    </row>
    <row r="105" spans="1:103" ht="11.25" customHeight="1" x14ac:dyDescent="0.2">
      <c r="A105" s="72">
        <v>34</v>
      </c>
      <c r="B105" s="149">
        <v>1061</v>
      </c>
      <c r="C105" s="54" t="s">
        <v>476</v>
      </c>
      <c r="D105" s="54"/>
      <c r="E105" s="59"/>
      <c r="F105" s="59" t="s">
        <v>2991</v>
      </c>
      <c r="G105" s="151">
        <v>69090</v>
      </c>
      <c r="H105" s="55" t="s">
        <v>477</v>
      </c>
      <c r="I105" s="55" t="s">
        <v>8281</v>
      </c>
      <c r="J105" s="55" t="s">
        <v>2992</v>
      </c>
      <c r="K105" s="55" t="s">
        <v>426</v>
      </c>
      <c r="L105" s="55"/>
      <c r="M105" s="55"/>
      <c r="N105" s="60"/>
      <c r="O105" s="55"/>
      <c r="P105" s="67"/>
      <c r="Q105" s="67"/>
      <c r="R105" s="67"/>
      <c r="S105" s="67"/>
      <c r="T105" s="56">
        <v>355.33</v>
      </c>
      <c r="U105" s="103"/>
      <c r="V105" s="103">
        <v>0.31690000000000002</v>
      </c>
      <c r="W105" s="103"/>
      <c r="X105" s="103">
        <v>0.31690000000000002</v>
      </c>
      <c r="Y105" s="162"/>
      <c r="Z105" s="56">
        <v>3.69</v>
      </c>
      <c r="AA105" s="56"/>
      <c r="AB105" s="56"/>
      <c r="AC105" s="56"/>
      <c r="AD105" s="56"/>
      <c r="AE105" s="56"/>
      <c r="AF105" s="56"/>
      <c r="AG105" s="57">
        <v>5.05</v>
      </c>
      <c r="AH105" s="103">
        <v>2.3300000000000001E-17</v>
      </c>
      <c r="AI105" s="103"/>
      <c r="AJ105" s="62">
        <f t="shared" si="37"/>
        <v>-15.021210405286633</v>
      </c>
      <c r="AK105" s="62"/>
      <c r="AL105" s="62">
        <f t="shared" si="38"/>
        <v>-15.021210405286633</v>
      </c>
      <c r="AM105" s="62"/>
      <c r="AN105" s="154">
        <v>-10.3</v>
      </c>
      <c r="AO105" s="410"/>
      <c r="AP105" s="410"/>
      <c r="AQ105" s="56" t="s">
        <v>6311</v>
      </c>
      <c r="AR105" s="56" t="s">
        <v>6311</v>
      </c>
      <c r="AS105" s="155"/>
      <c r="AT105" s="58" t="s">
        <v>266</v>
      </c>
      <c r="AU105" s="56">
        <v>6</v>
      </c>
      <c r="AV105" s="56">
        <v>120</v>
      </c>
      <c r="AW105" s="56">
        <v>114</v>
      </c>
      <c r="AX105" s="56">
        <v>28</v>
      </c>
      <c r="AY105" s="56" t="s">
        <v>8728</v>
      </c>
      <c r="AZ105" s="56" t="s">
        <v>1563</v>
      </c>
      <c r="BA105" s="56">
        <v>32</v>
      </c>
      <c r="BB105" s="55" t="s">
        <v>2485</v>
      </c>
      <c r="BC105" s="55" t="s">
        <v>8726</v>
      </c>
      <c r="BD105" s="55" t="s">
        <v>8374</v>
      </c>
      <c r="BE105" s="56" t="s">
        <v>2449</v>
      </c>
      <c r="BF105" s="56" t="s">
        <v>272</v>
      </c>
      <c r="BG105" s="56" t="s">
        <v>272</v>
      </c>
      <c r="BH105" s="56" t="s">
        <v>2486</v>
      </c>
      <c r="BI105" s="153">
        <v>2.274112E-3</v>
      </c>
      <c r="BJ105" s="153">
        <v>22.741119999999999</v>
      </c>
      <c r="BK105" s="56"/>
      <c r="BL105" s="153">
        <v>8.8601867519993149</v>
      </c>
      <c r="BM105" s="56" t="s">
        <v>2046</v>
      </c>
      <c r="BN105" s="56">
        <v>7191.3735760698992</v>
      </c>
      <c r="BO105" s="56"/>
      <c r="BP105" s="56"/>
      <c r="BQ105" s="56"/>
      <c r="BR105" s="55"/>
      <c r="BS105" s="56"/>
      <c r="BT105" s="56"/>
      <c r="BU105" s="158">
        <v>2.274112E-3</v>
      </c>
      <c r="BV105" s="56"/>
      <c r="BW105" s="56"/>
      <c r="BX105" s="56"/>
      <c r="BY105" s="56"/>
      <c r="BZ105" s="56"/>
      <c r="CA105" s="56"/>
      <c r="CB105" s="56"/>
      <c r="CC105" s="56"/>
      <c r="CD105" s="56"/>
      <c r="CE105" s="56"/>
      <c r="CF105" s="56"/>
      <c r="CG105" s="56"/>
      <c r="CH105" s="56"/>
      <c r="CI105" s="103">
        <v>2.274112E-3</v>
      </c>
      <c r="CJ105" s="103">
        <f t="shared" si="35"/>
        <v>-2.6431881501213845</v>
      </c>
      <c r="CK105" s="57">
        <f t="shared" si="39"/>
        <v>0.38961083499842203</v>
      </c>
      <c r="CL105" s="160">
        <f t="shared" si="40"/>
        <v>3896.1083499842202</v>
      </c>
      <c r="CM105" s="160"/>
      <c r="CN105" s="160"/>
      <c r="CO105" s="55" t="s">
        <v>2488</v>
      </c>
      <c r="CP105" s="497" t="s">
        <v>2489</v>
      </c>
      <c r="CQ105" s="149" t="s">
        <v>272</v>
      </c>
      <c r="CR105" s="349"/>
      <c r="CS105" s="61" t="s">
        <v>539</v>
      </c>
      <c r="CT105" s="61"/>
      <c r="CU105" s="111">
        <f t="shared" si="41"/>
        <v>139.35109616412913</v>
      </c>
      <c r="CV105" s="331">
        <f t="shared" si="42"/>
        <v>1.3935109616412913E-2</v>
      </c>
      <c r="CW105" s="326">
        <f t="shared" si="36"/>
        <v>1</v>
      </c>
      <c r="CX105" s="326"/>
      <c r="CY105" s="161" t="s">
        <v>5921</v>
      </c>
    </row>
    <row r="106" spans="1:103" ht="11.25" customHeight="1" x14ac:dyDescent="0.2">
      <c r="A106" s="72">
        <v>47</v>
      </c>
      <c r="B106" s="149">
        <v>1037</v>
      </c>
      <c r="C106" s="54" t="s">
        <v>2947</v>
      </c>
      <c r="D106" s="54"/>
      <c r="E106" s="59"/>
      <c r="F106" s="59" t="s">
        <v>2948</v>
      </c>
      <c r="G106" s="151">
        <v>77407</v>
      </c>
      <c r="H106" s="55" t="s">
        <v>2949</v>
      </c>
      <c r="I106" s="55" t="s">
        <v>2949</v>
      </c>
      <c r="J106" s="55" t="s">
        <v>2950</v>
      </c>
      <c r="K106" s="55" t="s">
        <v>376</v>
      </c>
      <c r="L106" s="55"/>
      <c r="M106" s="55"/>
      <c r="N106" s="60"/>
      <c r="O106" s="55"/>
      <c r="P106" s="67"/>
      <c r="Q106" s="67"/>
      <c r="R106" s="67"/>
      <c r="S106" s="67"/>
      <c r="T106" s="56">
        <v>242.31</v>
      </c>
      <c r="U106" s="103"/>
      <c r="V106" s="103">
        <v>29.23</v>
      </c>
      <c r="W106" s="103">
        <v>53.011651909921575</v>
      </c>
      <c r="X106" s="103">
        <v>53.011651909921575</v>
      </c>
      <c r="Y106" s="162">
        <v>6.83</v>
      </c>
      <c r="Z106" s="56">
        <v>4.13</v>
      </c>
      <c r="AA106" s="56"/>
      <c r="AB106" s="56">
        <v>3.91</v>
      </c>
      <c r="AC106" s="56">
        <v>0.81579999999999997</v>
      </c>
      <c r="AD106" s="56">
        <v>3.92</v>
      </c>
      <c r="AE106" s="56">
        <v>3.96</v>
      </c>
      <c r="AF106" s="56">
        <f t="shared" ref="AF106:AF137" si="43">IF(AA106=0,AD106,AA106)</f>
        <v>3.92</v>
      </c>
      <c r="AG106" s="57">
        <v>4.1399999999999997</v>
      </c>
      <c r="AH106" s="103">
        <v>1.2200000000000001E-11</v>
      </c>
      <c r="AI106" s="103"/>
      <c r="AJ106" s="62">
        <f t="shared" si="37"/>
        <v>-9.302206495637904</v>
      </c>
      <c r="AK106" s="62"/>
      <c r="AL106" s="62">
        <f t="shared" si="38"/>
        <v>-9.302206495637904</v>
      </c>
      <c r="AM106" s="62">
        <v>-13.823460000000001</v>
      </c>
      <c r="AN106" s="154">
        <v>-10.1</v>
      </c>
      <c r="AO106" s="410">
        <v>10.27</v>
      </c>
      <c r="AP106" s="410"/>
      <c r="AQ106" s="56" t="s">
        <v>6311</v>
      </c>
      <c r="AR106" s="56" t="s">
        <v>6311</v>
      </c>
      <c r="AS106" s="155"/>
      <c r="AT106" s="58" t="s">
        <v>266</v>
      </c>
      <c r="AU106" s="56">
        <v>6</v>
      </c>
      <c r="AV106" s="56">
        <v>120</v>
      </c>
      <c r="AW106" s="56">
        <v>114</v>
      </c>
      <c r="AX106" s="56">
        <v>28</v>
      </c>
      <c r="AY106" s="56" t="s">
        <v>8728</v>
      </c>
      <c r="AZ106" s="56" t="s">
        <v>1563</v>
      </c>
      <c r="BA106" s="56">
        <v>32</v>
      </c>
      <c r="BB106" s="55" t="s">
        <v>2485</v>
      </c>
      <c r="BC106" s="55" t="s">
        <v>8726</v>
      </c>
      <c r="BD106" s="55" t="s">
        <v>8374</v>
      </c>
      <c r="BE106" s="56" t="s">
        <v>2449</v>
      </c>
      <c r="BF106" s="56" t="s">
        <v>272</v>
      </c>
      <c r="BG106" s="56" t="s">
        <v>272</v>
      </c>
      <c r="BH106" s="56" t="s">
        <v>2486</v>
      </c>
      <c r="BI106" s="153">
        <v>1.5507839999999999E-3</v>
      </c>
      <c r="BJ106" s="153">
        <v>15.50784</v>
      </c>
      <c r="BK106" s="56"/>
      <c r="BL106" s="153">
        <v>2.4323067083484475</v>
      </c>
      <c r="BM106" s="56" t="s">
        <v>2487</v>
      </c>
      <c r="BN106" s="56"/>
      <c r="BO106" s="56"/>
      <c r="BP106" s="56"/>
      <c r="BQ106" s="56"/>
      <c r="BR106" s="55">
        <v>4.9040095928700005</v>
      </c>
      <c r="BS106" s="56"/>
      <c r="BT106" s="56"/>
      <c r="BU106" s="158"/>
      <c r="BV106" s="56"/>
      <c r="BW106" s="56"/>
      <c r="BX106" s="56"/>
      <c r="BY106" s="56"/>
      <c r="BZ106" s="56"/>
      <c r="CA106" s="56"/>
      <c r="CB106" s="56"/>
      <c r="CC106" s="56"/>
      <c r="CD106" s="56"/>
      <c r="CE106" s="56"/>
      <c r="CF106" s="56"/>
      <c r="CG106" s="56"/>
      <c r="CH106" s="56"/>
      <c r="CI106" s="103">
        <v>4.9040095928700005</v>
      </c>
      <c r="CJ106" s="103">
        <f t="shared" si="35"/>
        <v>0.69055131104674361</v>
      </c>
      <c r="CK106" s="57">
        <f t="shared" si="39"/>
        <v>0.15684368089614334</v>
      </c>
      <c r="CL106" s="160">
        <f t="shared" si="40"/>
        <v>0.49598326885102506</v>
      </c>
      <c r="CM106" s="160"/>
      <c r="CN106" s="160"/>
      <c r="CO106" s="55" t="s">
        <v>2488</v>
      </c>
      <c r="CP106" s="497" t="s">
        <v>2489</v>
      </c>
      <c r="CQ106" s="149" t="s">
        <v>272</v>
      </c>
      <c r="CR106" s="349"/>
      <c r="CS106" s="61" t="s">
        <v>539</v>
      </c>
      <c r="CT106" s="61"/>
      <c r="CU106" s="111">
        <f t="shared" si="41"/>
        <v>10.809858934002875</v>
      </c>
      <c r="CV106" s="331">
        <f t="shared" si="42"/>
        <v>3.4183775374211738</v>
      </c>
      <c r="CW106" s="326">
        <f t="shared" si="36"/>
        <v>1</v>
      </c>
      <c r="CX106" s="326"/>
      <c r="CY106" s="161" t="s">
        <v>5921</v>
      </c>
    </row>
    <row r="107" spans="1:103" ht="11.25" customHeight="1" x14ac:dyDescent="0.2">
      <c r="A107" s="72">
        <v>68</v>
      </c>
      <c r="B107" s="149">
        <v>942</v>
      </c>
      <c r="C107" s="54" t="s">
        <v>2683</v>
      </c>
      <c r="D107" s="54"/>
      <c r="E107" s="59"/>
      <c r="F107" s="59" t="s">
        <v>2684</v>
      </c>
      <c r="G107" s="151">
        <v>88584</v>
      </c>
      <c r="H107" s="55" t="s">
        <v>2685</v>
      </c>
      <c r="I107" s="55" t="s">
        <v>2685</v>
      </c>
      <c r="J107" s="55" t="s">
        <v>2686</v>
      </c>
      <c r="K107" s="55" t="s">
        <v>1723</v>
      </c>
      <c r="L107" s="55"/>
      <c r="M107" s="55"/>
      <c r="N107" s="60"/>
      <c r="O107" s="55"/>
      <c r="P107" s="67"/>
      <c r="Q107" s="67"/>
      <c r="R107" s="67"/>
      <c r="S107" s="67"/>
      <c r="T107" s="56">
        <v>222.32</v>
      </c>
      <c r="U107" s="103"/>
      <c r="V107" s="103">
        <v>9.1449999999999996</v>
      </c>
      <c r="W107" s="103">
        <v>243.76903256655285</v>
      </c>
      <c r="X107" s="103">
        <v>243.76903256655285</v>
      </c>
      <c r="Y107" s="162">
        <v>6.97</v>
      </c>
      <c r="Z107" s="56">
        <v>4.8499999999999996</v>
      </c>
      <c r="AA107" s="56"/>
      <c r="AB107" s="56">
        <v>3.88</v>
      </c>
      <c r="AC107" s="56">
        <v>0.5998</v>
      </c>
      <c r="AD107" s="56">
        <v>3.94</v>
      </c>
      <c r="AE107" s="56">
        <v>4.0199999999999996</v>
      </c>
      <c r="AF107" s="56">
        <f t="shared" si="43"/>
        <v>3.94</v>
      </c>
      <c r="AG107" s="57">
        <v>4.41</v>
      </c>
      <c r="AH107" s="103">
        <v>3.89E-10</v>
      </c>
      <c r="AI107" s="103"/>
      <c r="AJ107" s="62">
        <f t="shared" si="37"/>
        <v>-7.7986167249869442</v>
      </c>
      <c r="AK107" s="62"/>
      <c r="AL107" s="62">
        <f t="shared" si="38"/>
        <v>-7.7986167249869442</v>
      </c>
      <c r="AM107" s="62">
        <v>-11.20811</v>
      </c>
      <c r="AN107" s="154">
        <v>-6.99</v>
      </c>
      <c r="AO107" s="410">
        <v>11.89</v>
      </c>
      <c r="AP107" s="410"/>
      <c r="AQ107" s="56" t="s">
        <v>6311</v>
      </c>
      <c r="AR107" s="56" t="s">
        <v>6311</v>
      </c>
      <c r="AS107" s="155"/>
      <c r="AT107" s="58" t="s">
        <v>266</v>
      </c>
      <c r="AU107" s="56">
        <v>6</v>
      </c>
      <c r="AV107" s="56">
        <v>120</v>
      </c>
      <c r="AW107" s="56">
        <v>114</v>
      </c>
      <c r="AX107" s="56">
        <v>28</v>
      </c>
      <c r="AY107" s="56" t="s">
        <v>8728</v>
      </c>
      <c r="AZ107" s="56" t="s">
        <v>1563</v>
      </c>
      <c r="BA107" s="56">
        <v>32</v>
      </c>
      <c r="BB107" s="55" t="s">
        <v>2485</v>
      </c>
      <c r="BC107" s="55" t="s">
        <v>8726</v>
      </c>
      <c r="BD107" s="55" t="s">
        <v>8374</v>
      </c>
      <c r="BE107" s="56" t="s">
        <v>2449</v>
      </c>
      <c r="BF107" s="56" t="s">
        <v>272</v>
      </c>
      <c r="BG107" s="56" t="s">
        <v>272</v>
      </c>
      <c r="BH107" s="56" t="s">
        <v>2486</v>
      </c>
      <c r="BI107" s="153">
        <v>1.422848E-3</v>
      </c>
      <c r="BJ107" s="153">
        <v>14.228479999999999</v>
      </c>
      <c r="BK107" s="56"/>
      <c r="BL107" s="153">
        <v>0.50349311219979542</v>
      </c>
      <c r="BM107" s="56" t="s">
        <v>2046</v>
      </c>
      <c r="BN107" s="56"/>
      <c r="BO107" s="56"/>
      <c r="BP107" s="56"/>
      <c r="BQ107" s="56"/>
      <c r="BR107" s="55">
        <v>4.4994404386399998</v>
      </c>
      <c r="BS107" s="56"/>
      <c r="BT107" s="56"/>
      <c r="BU107" s="158"/>
      <c r="BV107" s="56"/>
      <c r="BW107" s="56"/>
      <c r="BX107" s="56"/>
      <c r="BY107" s="56"/>
      <c r="BZ107" s="56"/>
      <c r="CA107" s="56"/>
      <c r="CB107" s="56"/>
      <c r="CC107" s="56"/>
      <c r="CD107" s="56"/>
      <c r="CE107" s="56"/>
      <c r="CF107" s="56"/>
      <c r="CG107" s="56"/>
      <c r="CH107" s="56"/>
      <c r="CI107" s="103">
        <v>4.4994404386399998</v>
      </c>
      <c r="CJ107" s="103">
        <f t="shared" si="35"/>
        <v>0.65315850721506818</v>
      </c>
      <c r="CK107" s="57">
        <f t="shared" si="39"/>
        <v>3.5386289484175083E-2</v>
      </c>
      <c r="CL107" s="160">
        <f t="shared" si="40"/>
        <v>0.11190127285071501</v>
      </c>
      <c r="CM107" s="160"/>
      <c r="CN107" s="160"/>
      <c r="CO107" s="55" t="s">
        <v>2488</v>
      </c>
      <c r="CP107" s="497" t="s">
        <v>2489</v>
      </c>
      <c r="CQ107" s="149" t="s">
        <v>272</v>
      </c>
      <c r="CR107" s="349"/>
      <c r="CS107" s="61" t="s">
        <v>539</v>
      </c>
      <c r="CT107" s="61"/>
      <c r="CU107" s="111">
        <f t="shared" si="41"/>
        <v>54.177632950339586</v>
      </c>
      <c r="CV107" s="331">
        <f t="shared" si="42"/>
        <v>17.132471814737265</v>
      </c>
      <c r="CW107" s="326">
        <f t="shared" si="36"/>
        <v>1</v>
      </c>
      <c r="CX107" s="326"/>
      <c r="CY107" s="161" t="s">
        <v>5921</v>
      </c>
    </row>
    <row r="108" spans="1:103" ht="11.25" customHeight="1" x14ac:dyDescent="0.2">
      <c r="A108" s="72">
        <v>71</v>
      </c>
      <c r="B108" s="149">
        <v>1191</v>
      </c>
      <c r="C108" s="54" t="s">
        <v>3281</v>
      </c>
      <c r="D108" s="54"/>
      <c r="E108" s="59"/>
      <c r="F108" s="59" t="s">
        <v>3282</v>
      </c>
      <c r="G108" s="151">
        <v>90948</v>
      </c>
      <c r="H108" s="55" t="s">
        <v>3283</v>
      </c>
      <c r="I108" s="55" t="s">
        <v>3283</v>
      </c>
      <c r="J108" s="55" t="s">
        <v>3284</v>
      </c>
      <c r="K108" s="55" t="s">
        <v>426</v>
      </c>
      <c r="L108" s="55"/>
      <c r="M108" s="55"/>
      <c r="N108" s="60"/>
      <c r="O108" s="55"/>
      <c r="P108" s="67"/>
      <c r="Q108" s="67" t="s">
        <v>6173</v>
      </c>
      <c r="R108" s="67" t="s">
        <v>6185</v>
      </c>
      <c r="S108" s="67" t="s">
        <v>6182</v>
      </c>
      <c r="T108" s="56">
        <v>268.35000000000002</v>
      </c>
      <c r="U108" s="103">
        <v>400</v>
      </c>
      <c r="V108" s="103">
        <v>9.2479999999999993</v>
      </c>
      <c r="W108" s="103">
        <v>7.2227336463378613</v>
      </c>
      <c r="X108" s="103">
        <v>400</v>
      </c>
      <c r="Y108" s="162">
        <v>7</v>
      </c>
      <c r="Z108" s="56">
        <v>3.5</v>
      </c>
      <c r="AA108" s="56">
        <v>3.87</v>
      </c>
      <c r="AB108" s="56">
        <v>3.5</v>
      </c>
      <c r="AC108" s="56">
        <v>0.89880000000000004</v>
      </c>
      <c r="AD108" s="56">
        <v>3.58</v>
      </c>
      <c r="AE108" s="56">
        <v>3.87</v>
      </c>
      <c r="AF108" s="56">
        <f t="shared" si="43"/>
        <v>3.87</v>
      </c>
      <c r="AG108" s="57">
        <v>3.75</v>
      </c>
      <c r="AH108" s="103">
        <v>4.9099999999999996E-10</v>
      </c>
      <c r="AI108" s="103"/>
      <c r="AJ108" s="62">
        <f t="shared" si="37"/>
        <v>-7.6974848341896838</v>
      </c>
      <c r="AK108" s="62"/>
      <c r="AL108" s="62">
        <f t="shared" si="38"/>
        <v>-7.6974848341896838</v>
      </c>
      <c r="AM108" s="62">
        <v>-13.857149999999997</v>
      </c>
      <c r="AN108" s="154">
        <v>-8.0500000000000007</v>
      </c>
      <c r="AO108" s="410"/>
      <c r="AP108" s="410">
        <v>2.5499999999999998</v>
      </c>
      <c r="AQ108" s="56" t="s">
        <v>6311</v>
      </c>
      <c r="AR108" s="56" t="s">
        <v>6311</v>
      </c>
      <c r="AS108" s="155"/>
      <c r="AT108" s="58" t="s">
        <v>266</v>
      </c>
      <c r="AU108" s="56">
        <v>6</v>
      </c>
      <c r="AV108" s="56">
        <v>120</v>
      </c>
      <c r="AW108" s="56">
        <v>114</v>
      </c>
      <c r="AX108" s="56">
        <v>28</v>
      </c>
      <c r="AY108" s="56" t="s">
        <v>8728</v>
      </c>
      <c r="AZ108" s="56" t="s">
        <v>1563</v>
      </c>
      <c r="BA108" s="56">
        <v>32</v>
      </c>
      <c r="BB108" s="55" t="s">
        <v>2485</v>
      </c>
      <c r="BC108" s="55" t="s">
        <v>8726</v>
      </c>
      <c r="BD108" s="55" t="s">
        <v>8374</v>
      </c>
      <c r="BE108" s="56" t="s">
        <v>2449</v>
      </c>
      <c r="BF108" s="56" t="s">
        <v>272</v>
      </c>
      <c r="BG108" s="56" t="s">
        <v>272</v>
      </c>
      <c r="BH108" s="56" t="s">
        <v>2486</v>
      </c>
      <c r="BI108" s="153">
        <v>1.71744E-3</v>
      </c>
      <c r="BJ108" s="153">
        <v>17.174400000000002</v>
      </c>
      <c r="BK108" s="56"/>
      <c r="BL108" s="153">
        <v>9.9117787599620808</v>
      </c>
      <c r="BM108" s="56" t="s">
        <v>2487</v>
      </c>
      <c r="BN108" s="56"/>
      <c r="BO108" s="56"/>
      <c r="BP108" s="56"/>
      <c r="BQ108" s="56"/>
      <c r="BR108" s="55">
        <v>5.4310221379500003</v>
      </c>
      <c r="BS108" s="56"/>
      <c r="BT108" s="56"/>
      <c r="BU108" s="158"/>
      <c r="BV108" s="56"/>
      <c r="BW108" s="56"/>
      <c r="BX108" s="56"/>
      <c r="BY108" s="56"/>
      <c r="BZ108" s="56"/>
      <c r="CA108" s="56"/>
      <c r="CB108" s="56"/>
      <c r="CC108" s="56"/>
      <c r="CD108" s="56"/>
      <c r="CE108" s="56"/>
      <c r="CF108" s="56"/>
      <c r="CG108" s="56"/>
      <c r="CH108" s="56"/>
      <c r="CI108" s="103">
        <v>5.4310221379500003</v>
      </c>
      <c r="CJ108" s="103">
        <f t="shared" si="35"/>
        <v>0.73488157306880697</v>
      </c>
      <c r="CK108" s="57">
        <f t="shared" si="39"/>
        <v>0.57712518399257495</v>
      </c>
      <c r="CL108" s="160">
        <f t="shared" si="40"/>
        <v>1.8250300787216809</v>
      </c>
      <c r="CM108" s="160"/>
      <c r="CN108" s="160"/>
      <c r="CO108" s="55" t="s">
        <v>2488</v>
      </c>
      <c r="CP108" s="497" t="s">
        <v>2489</v>
      </c>
      <c r="CQ108" s="149" t="s">
        <v>272</v>
      </c>
      <c r="CR108" s="349"/>
      <c r="CS108" s="61" t="s">
        <v>539</v>
      </c>
      <c r="CT108" s="61"/>
      <c r="CU108" s="111">
        <f t="shared" si="41"/>
        <v>73.650961060340009</v>
      </c>
      <c r="CV108" s="331">
        <f t="shared" si="42"/>
        <v>23.290478852245201</v>
      </c>
      <c r="CW108" s="326">
        <f t="shared" si="36"/>
        <v>1</v>
      </c>
      <c r="CX108" s="326"/>
      <c r="CY108" s="161" t="s">
        <v>5921</v>
      </c>
    </row>
    <row r="109" spans="1:103" ht="11.25" customHeight="1" x14ac:dyDescent="0.2">
      <c r="A109" s="72">
        <v>74</v>
      </c>
      <c r="B109" s="149">
        <v>1044</v>
      </c>
      <c r="C109" s="54" t="s">
        <v>2958</v>
      </c>
      <c r="D109" s="54" t="s">
        <v>8362</v>
      </c>
      <c r="E109" s="59"/>
      <c r="F109" s="59" t="s">
        <v>2959</v>
      </c>
      <c r="G109" s="151">
        <v>94268</v>
      </c>
      <c r="H109" s="55" t="s">
        <v>2960</v>
      </c>
      <c r="I109" s="55" t="s">
        <v>2960</v>
      </c>
      <c r="J109" s="55" t="s">
        <v>2961</v>
      </c>
      <c r="K109" s="55" t="s">
        <v>2962</v>
      </c>
      <c r="L109" s="55"/>
      <c r="M109" s="55"/>
      <c r="N109" s="60"/>
      <c r="O109" s="55"/>
      <c r="P109" s="67"/>
      <c r="Q109" s="67" t="s">
        <v>6173</v>
      </c>
      <c r="R109" s="67" t="s">
        <v>6174</v>
      </c>
      <c r="S109" s="67" t="s">
        <v>6176</v>
      </c>
      <c r="T109" s="56">
        <v>194.23</v>
      </c>
      <c r="U109" s="103">
        <v>207</v>
      </c>
      <c r="V109" s="103">
        <v>159</v>
      </c>
      <c r="W109" s="103">
        <v>510.87695206583948</v>
      </c>
      <c r="X109" s="103">
        <v>207</v>
      </c>
      <c r="Y109" s="162">
        <v>5.4</v>
      </c>
      <c r="Z109" s="56">
        <v>3.47</v>
      </c>
      <c r="AA109" s="56">
        <v>3.57</v>
      </c>
      <c r="AB109" s="56">
        <v>3.1</v>
      </c>
      <c r="AC109" s="56">
        <v>0.89359999999999995</v>
      </c>
      <c r="AD109" s="56">
        <v>3.18</v>
      </c>
      <c r="AE109" s="56">
        <v>3.46</v>
      </c>
      <c r="AF109" s="56">
        <f t="shared" si="43"/>
        <v>3.57</v>
      </c>
      <c r="AG109" s="57">
        <v>2.56</v>
      </c>
      <c r="AH109" s="103">
        <v>8.4499999999999996E-9</v>
      </c>
      <c r="AI109" s="103"/>
      <c r="AJ109" s="62">
        <f t="shared" si="37"/>
        <v>-6.4617096173629598</v>
      </c>
      <c r="AK109" s="62"/>
      <c r="AL109" s="62">
        <f t="shared" si="38"/>
        <v>-6.4617096173629598</v>
      </c>
      <c r="AM109" s="62">
        <v>-10.4481</v>
      </c>
      <c r="AN109" s="154">
        <v>-6.73</v>
      </c>
      <c r="AO109" s="410">
        <v>8.2200000000000006</v>
      </c>
      <c r="AP109" s="410"/>
      <c r="AQ109" s="56" t="s">
        <v>6311</v>
      </c>
      <c r="AR109" s="56" t="s">
        <v>6312</v>
      </c>
      <c r="AS109" s="155"/>
      <c r="AT109" s="58" t="s">
        <v>266</v>
      </c>
      <c r="AU109" s="56">
        <v>6</v>
      </c>
      <c r="AV109" s="56">
        <v>120</v>
      </c>
      <c r="AW109" s="56">
        <v>114</v>
      </c>
      <c r="AX109" s="56">
        <v>28</v>
      </c>
      <c r="AY109" s="56" t="s">
        <v>8728</v>
      </c>
      <c r="AZ109" s="56" t="s">
        <v>1563</v>
      </c>
      <c r="BA109" s="56">
        <v>32</v>
      </c>
      <c r="BB109" s="55" t="s">
        <v>2485</v>
      </c>
      <c r="BC109" s="55" t="s">
        <v>8726</v>
      </c>
      <c r="BD109" s="55" t="s">
        <v>8374</v>
      </c>
      <c r="BE109" s="56" t="s">
        <v>2449</v>
      </c>
      <c r="BF109" s="56" t="s">
        <v>272</v>
      </c>
      <c r="BG109" s="56" t="s">
        <v>272</v>
      </c>
      <c r="BH109" s="56" t="s">
        <v>2486</v>
      </c>
      <c r="BI109" s="153">
        <v>1.2430719999999998E-3</v>
      </c>
      <c r="BJ109" s="153">
        <v>12.430719999999999</v>
      </c>
      <c r="BK109" s="56"/>
      <c r="BL109" s="153">
        <v>7.6332469026875689</v>
      </c>
      <c r="BM109" s="56" t="s">
        <v>2046</v>
      </c>
      <c r="BN109" s="56"/>
      <c r="BO109" s="56"/>
      <c r="BP109" s="56"/>
      <c r="BQ109" s="56"/>
      <c r="BR109" s="55">
        <v>3.9309388107099998</v>
      </c>
      <c r="BS109" s="56"/>
      <c r="BT109" s="56"/>
      <c r="BU109" s="158"/>
      <c r="BV109" s="56"/>
      <c r="BW109" s="56"/>
      <c r="BX109" s="56"/>
      <c r="BY109" s="56"/>
      <c r="BZ109" s="56"/>
      <c r="CA109" s="56"/>
      <c r="CB109" s="56"/>
      <c r="CC109" s="56"/>
      <c r="CD109" s="56"/>
      <c r="CE109" s="56"/>
      <c r="CF109" s="56"/>
      <c r="CG109" s="56"/>
      <c r="CH109" s="56"/>
      <c r="CI109" s="103">
        <v>3.9309388107099998</v>
      </c>
      <c r="CJ109" s="103">
        <f t="shared" si="35"/>
        <v>0.5944962836120441</v>
      </c>
      <c r="CK109" s="57">
        <f t="shared" si="39"/>
        <v>0.61406313573852278</v>
      </c>
      <c r="CL109" s="160">
        <f t="shared" si="40"/>
        <v>1.9418381384850059</v>
      </c>
      <c r="CM109" s="160"/>
      <c r="CN109" s="160"/>
      <c r="CO109" s="55" t="s">
        <v>2488</v>
      </c>
      <c r="CP109" s="497" t="s">
        <v>2489</v>
      </c>
      <c r="CQ109" s="149" t="s">
        <v>272</v>
      </c>
      <c r="CR109" s="349"/>
      <c r="CS109" s="61" t="s">
        <v>539</v>
      </c>
      <c r="CT109" s="61"/>
      <c r="CU109" s="111">
        <f t="shared" si="41"/>
        <v>52.659176336202492</v>
      </c>
      <c r="CV109" s="331">
        <f t="shared" si="42"/>
        <v>16.652293672450188</v>
      </c>
      <c r="CW109" s="326">
        <f t="shared" si="36"/>
        <v>1</v>
      </c>
      <c r="CX109" s="326"/>
      <c r="CY109" s="161" t="s">
        <v>5921</v>
      </c>
    </row>
    <row r="110" spans="1:103" ht="11.25" customHeight="1" x14ac:dyDescent="0.2">
      <c r="A110" s="72">
        <v>79</v>
      </c>
      <c r="B110" s="149">
        <v>989</v>
      </c>
      <c r="C110" s="54" t="s">
        <v>2822</v>
      </c>
      <c r="D110" s="54" t="s">
        <v>8363</v>
      </c>
      <c r="E110" s="59"/>
      <c r="F110" s="59" t="s">
        <v>2823</v>
      </c>
      <c r="G110" s="151">
        <v>95830</v>
      </c>
      <c r="H110" s="55" t="s">
        <v>2824</v>
      </c>
      <c r="I110" s="55" t="s">
        <v>8285</v>
      </c>
      <c r="J110" s="55" t="s">
        <v>2825</v>
      </c>
      <c r="K110" s="55" t="s">
        <v>2667</v>
      </c>
      <c r="L110" s="55"/>
      <c r="M110" s="55"/>
      <c r="N110" s="60"/>
      <c r="O110" s="55"/>
      <c r="P110" s="67"/>
      <c r="Q110" s="67"/>
      <c r="R110" s="67"/>
      <c r="S110" s="67"/>
      <c r="T110" s="56">
        <v>142.59</v>
      </c>
      <c r="U110" s="103"/>
      <c r="V110" s="103">
        <v>6590</v>
      </c>
      <c r="W110" s="103">
        <v>1714.3088573209686</v>
      </c>
      <c r="X110" s="103">
        <v>1714.3088573209686</v>
      </c>
      <c r="Y110" s="162">
        <v>7.88</v>
      </c>
      <c r="Z110" s="56">
        <v>0.8</v>
      </c>
      <c r="AA110" s="56">
        <v>1.28</v>
      </c>
      <c r="AB110" s="56">
        <v>1.23</v>
      </c>
      <c r="AC110" s="56">
        <v>0.87080000000000002</v>
      </c>
      <c r="AD110" s="56">
        <v>1.21</v>
      </c>
      <c r="AE110" s="56">
        <v>1.1499999999999999</v>
      </c>
      <c r="AF110" s="56">
        <f t="shared" si="43"/>
        <v>1.28</v>
      </c>
      <c r="AG110" s="57">
        <v>1.1000000000000001</v>
      </c>
      <c r="AH110" s="103">
        <v>4.9900000000000003E-10</v>
      </c>
      <c r="AI110" s="103"/>
      <c r="AJ110" s="62">
        <f t="shared" si="37"/>
        <v>-7.6904657806892622</v>
      </c>
      <c r="AK110" s="62"/>
      <c r="AL110" s="62">
        <f t="shared" si="38"/>
        <v>-7.6904657806892622</v>
      </c>
      <c r="AM110" s="62">
        <v>-10.58182</v>
      </c>
      <c r="AN110" s="154">
        <v>-5.78</v>
      </c>
      <c r="AO110" s="410"/>
      <c r="AP110" s="410">
        <v>3.52</v>
      </c>
      <c r="AQ110" s="56" t="s">
        <v>6311</v>
      </c>
      <c r="AR110" s="56" t="s">
        <v>6311</v>
      </c>
      <c r="AS110" s="155"/>
      <c r="AT110" s="58" t="s">
        <v>266</v>
      </c>
      <c r="AU110" s="56">
        <v>6</v>
      </c>
      <c r="AV110" s="56">
        <v>120</v>
      </c>
      <c r="AW110" s="56">
        <v>114</v>
      </c>
      <c r="AX110" s="56">
        <v>28</v>
      </c>
      <c r="AY110" s="56" t="s">
        <v>8728</v>
      </c>
      <c r="AZ110" s="56" t="s">
        <v>1563</v>
      </c>
      <c r="BA110" s="56">
        <v>32</v>
      </c>
      <c r="BB110" s="55" t="s">
        <v>2485</v>
      </c>
      <c r="BC110" s="55" t="s">
        <v>8726</v>
      </c>
      <c r="BD110" s="55" t="s">
        <v>8374</v>
      </c>
      <c r="BE110" s="56" t="s">
        <v>2449</v>
      </c>
      <c r="BF110" s="56" t="s">
        <v>272</v>
      </c>
      <c r="BG110" s="56" t="s">
        <v>272</v>
      </c>
      <c r="BH110" s="56" t="s">
        <v>2486</v>
      </c>
      <c r="BI110" s="153">
        <v>9.1257600000000001E-4</v>
      </c>
      <c r="BJ110" s="153">
        <v>9.1257599999999996</v>
      </c>
      <c r="BK110" s="56"/>
      <c r="BL110" s="153">
        <v>1400.9062376217375</v>
      </c>
      <c r="BM110" s="56" t="s">
        <v>2046</v>
      </c>
      <c r="BN110" s="56"/>
      <c r="BO110" s="56"/>
      <c r="BP110" s="56"/>
      <c r="BQ110" s="56"/>
      <c r="BR110" s="55">
        <v>2.8858186944300002</v>
      </c>
      <c r="BS110" s="56"/>
      <c r="BT110" s="56"/>
      <c r="BU110" s="158"/>
      <c r="BV110" s="56"/>
      <c r="BW110" s="56"/>
      <c r="BX110" s="56"/>
      <c r="BY110" s="56"/>
      <c r="BZ110" s="56"/>
      <c r="CA110" s="56"/>
      <c r="CB110" s="56"/>
      <c r="CC110" s="56"/>
      <c r="CD110" s="56"/>
      <c r="CE110" s="56"/>
      <c r="CF110" s="56"/>
      <c r="CG110" s="56"/>
      <c r="CH110" s="56"/>
      <c r="CI110" s="103">
        <v>2.8858186944300002</v>
      </c>
      <c r="CJ110" s="103">
        <f t="shared" si="35"/>
        <v>0.46026904246017369</v>
      </c>
      <c r="CK110" s="57">
        <f t="shared" si="39"/>
        <v>153.51118565705625</v>
      </c>
      <c r="CL110" s="160">
        <f t="shared" si="40"/>
        <v>485.44499359078452</v>
      </c>
      <c r="CM110" s="160"/>
      <c r="CN110" s="160"/>
      <c r="CO110" s="55" t="s">
        <v>2488</v>
      </c>
      <c r="CP110" s="497" t="s">
        <v>2489</v>
      </c>
      <c r="CQ110" s="149" t="s">
        <v>272</v>
      </c>
      <c r="CR110" s="349"/>
      <c r="CS110" s="61" t="s">
        <v>539</v>
      </c>
      <c r="CT110" s="61"/>
      <c r="CU110" s="111">
        <f t="shared" si="41"/>
        <v>594.04593248695926</v>
      </c>
      <c r="CV110" s="331">
        <f t="shared" si="42"/>
        <v>187.85381790897074</v>
      </c>
      <c r="CW110" s="326">
        <f t="shared" si="36"/>
        <v>1</v>
      </c>
      <c r="CX110" s="326"/>
      <c r="CY110" s="161" t="s">
        <v>5921</v>
      </c>
    </row>
    <row r="111" spans="1:103" ht="11.25" customHeight="1" x14ac:dyDescent="0.2">
      <c r="A111" s="72">
        <v>81</v>
      </c>
      <c r="B111" s="149">
        <v>944</v>
      </c>
      <c r="C111" s="54" t="s">
        <v>2691</v>
      </c>
      <c r="D111" s="54"/>
      <c r="E111" s="59"/>
      <c r="F111" s="59" t="s">
        <v>2692</v>
      </c>
      <c r="G111" s="151">
        <v>97563</v>
      </c>
      <c r="H111" s="55" t="s">
        <v>2693</v>
      </c>
      <c r="I111" s="55" t="s">
        <v>2693</v>
      </c>
      <c r="J111" s="55" t="s">
        <v>2694</v>
      </c>
      <c r="K111" s="55" t="s">
        <v>2695</v>
      </c>
      <c r="L111" s="55"/>
      <c r="M111" s="55"/>
      <c r="N111" s="60"/>
      <c r="O111" s="55"/>
      <c r="P111" s="67"/>
      <c r="Q111" s="67"/>
      <c r="R111" s="67"/>
      <c r="S111" s="67"/>
      <c r="T111" s="56">
        <v>225.29</v>
      </c>
      <c r="U111" s="103">
        <v>7</v>
      </c>
      <c r="V111" s="103">
        <v>2.5939999999999999</v>
      </c>
      <c r="W111" s="103">
        <v>4.0996040643624276</v>
      </c>
      <c r="X111" s="103">
        <v>7</v>
      </c>
      <c r="Y111" s="162">
        <v>7</v>
      </c>
      <c r="Z111" s="56">
        <v>4.29</v>
      </c>
      <c r="AA111" s="56"/>
      <c r="AB111" s="56">
        <v>3.95</v>
      </c>
      <c r="AC111" s="56">
        <v>0.74750000000000005</v>
      </c>
      <c r="AD111" s="56">
        <v>4.08</v>
      </c>
      <c r="AE111" s="56">
        <v>4.33</v>
      </c>
      <c r="AF111" s="56">
        <f t="shared" si="43"/>
        <v>4.08</v>
      </c>
      <c r="AG111" s="57">
        <v>3.68</v>
      </c>
      <c r="AH111" s="103">
        <v>6.3300000000000003E-9</v>
      </c>
      <c r="AI111" s="103">
        <v>3.18E-8</v>
      </c>
      <c r="AJ111" s="62">
        <f t="shared" si="37"/>
        <v>-6.5871626162952968</v>
      </c>
      <c r="AK111" s="62">
        <f>LOG10(AI111*1000/(0.08206*298.15))</f>
        <v>-5.8861392063282194</v>
      </c>
      <c r="AL111" s="62">
        <f t="shared" si="38"/>
        <v>-5.8861392063282194</v>
      </c>
      <c r="AM111" s="62">
        <v>-9.4837099999999985</v>
      </c>
      <c r="AN111" s="154">
        <v>-6.17</v>
      </c>
      <c r="AO111" s="410"/>
      <c r="AP111" s="410">
        <v>3.01</v>
      </c>
      <c r="AQ111" s="56" t="s">
        <v>6311</v>
      </c>
      <c r="AR111" s="56" t="s">
        <v>6311</v>
      </c>
      <c r="AS111" s="155"/>
      <c r="AT111" s="58" t="s">
        <v>266</v>
      </c>
      <c r="AU111" s="56">
        <v>6</v>
      </c>
      <c r="AV111" s="56">
        <v>120</v>
      </c>
      <c r="AW111" s="56">
        <v>114</v>
      </c>
      <c r="AX111" s="56">
        <v>28</v>
      </c>
      <c r="AY111" s="56" t="s">
        <v>8728</v>
      </c>
      <c r="AZ111" s="56" t="s">
        <v>1563</v>
      </c>
      <c r="BA111" s="56">
        <v>32</v>
      </c>
      <c r="BB111" s="55" t="s">
        <v>2485</v>
      </c>
      <c r="BC111" s="55" t="s">
        <v>8726</v>
      </c>
      <c r="BD111" s="55" t="s">
        <v>8374</v>
      </c>
      <c r="BE111" s="56" t="s">
        <v>2449</v>
      </c>
      <c r="BF111" s="56" t="s">
        <v>272</v>
      </c>
      <c r="BG111" s="56" t="s">
        <v>272</v>
      </c>
      <c r="BH111" s="56" t="s">
        <v>2486</v>
      </c>
      <c r="BI111" s="153">
        <v>1.4418559999999998E-3</v>
      </c>
      <c r="BJ111" s="153">
        <v>14.418559999999999</v>
      </c>
      <c r="BK111" s="56"/>
      <c r="BL111" s="153">
        <v>1.6243997538973158</v>
      </c>
      <c r="BM111" s="56" t="s">
        <v>2487</v>
      </c>
      <c r="BN111" s="56"/>
      <c r="BO111" s="56"/>
      <c r="BP111" s="56"/>
      <c r="BQ111" s="56"/>
      <c r="BR111" s="55">
        <v>4.5595490123299998</v>
      </c>
      <c r="BS111" s="56"/>
      <c r="BT111" s="56"/>
      <c r="BU111" s="158"/>
      <c r="BV111" s="56"/>
      <c r="BW111" s="56"/>
      <c r="BX111" s="56"/>
      <c r="BY111" s="56"/>
      <c r="BZ111" s="56"/>
      <c r="CA111" s="56"/>
      <c r="CB111" s="56"/>
      <c r="CC111" s="56"/>
      <c r="CD111" s="56"/>
      <c r="CE111" s="56"/>
      <c r="CF111" s="56"/>
      <c r="CG111" s="56"/>
      <c r="CH111" s="56"/>
      <c r="CI111" s="103">
        <v>4.5595490123299998</v>
      </c>
      <c r="CJ111" s="103">
        <f t="shared" si="35"/>
        <v>0.65892188846650646</v>
      </c>
      <c r="CK111" s="57">
        <f t="shared" si="39"/>
        <v>0.11266033181519625</v>
      </c>
      <c r="CL111" s="160">
        <f t="shared" si="40"/>
        <v>0.35626325092779793</v>
      </c>
      <c r="CM111" s="160"/>
      <c r="CN111" s="160"/>
      <c r="CO111" s="55" t="s">
        <v>2488</v>
      </c>
      <c r="CP111" s="497" t="s">
        <v>2489</v>
      </c>
      <c r="CQ111" s="149" t="s">
        <v>272</v>
      </c>
      <c r="CR111" s="349"/>
      <c r="CS111" s="61" t="s">
        <v>539</v>
      </c>
      <c r="CT111" s="61"/>
      <c r="CU111" s="111">
        <f t="shared" si="41"/>
        <v>1.5352395557259055</v>
      </c>
      <c r="CV111" s="331">
        <f t="shared" si="42"/>
        <v>0.48548537440632078</v>
      </c>
      <c r="CW111" s="326">
        <f t="shared" si="36"/>
        <v>0</v>
      </c>
      <c r="CX111" s="326"/>
      <c r="CY111" s="161" t="s">
        <v>5921</v>
      </c>
    </row>
    <row r="112" spans="1:103" ht="11.25" customHeight="1" x14ac:dyDescent="0.2">
      <c r="A112" s="72">
        <v>82</v>
      </c>
      <c r="B112" s="149">
        <v>1293</v>
      </c>
      <c r="C112" s="54" t="s">
        <v>3552</v>
      </c>
      <c r="D112" s="54"/>
      <c r="E112" s="59"/>
      <c r="F112" s="59" t="s">
        <v>3553</v>
      </c>
      <c r="G112" s="151">
        <v>98066</v>
      </c>
      <c r="H112" s="55" t="s">
        <v>3554</v>
      </c>
      <c r="I112" s="55" t="s">
        <v>3554</v>
      </c>
      <c r="J112" s="55" t="s">
        <v>3555</v>
      </c>
      <c r="K112" s="55" t="s">
        <v>426</v>
      </c>
      <c r="L112" s="55"/>
      <c r="M112" s="55"/>
      <c r="N112" s="60"/>
      <c r="O112" s="55"/>
      <c r="P112" s="67" t="s">
        <v>6183</v>
      </c>
      <c r="Q112" s="67" t="s">
        <v>6173</v>
      </c>
      <c r="R112" s="67" t="s">
        <v>6185</v>
      </c>
      <c r="S112" s="67" t="s">
        <v>6176</v>
      </c>
      <c r="T112" s="56">
        <v>134.22</v>
      </c>
      <c r="U112" s="103">
        <v>29.5</v>
      </c>
      <c r="V112" s="103">
        <v>27.34</v>
      </c>
      <c r="W112" s="103">
        <v>16.897296877101311</v>
      </c>
      <c r="X112" s="103">
        <v>29.5</v>
      </c>
      <c r="Y112" s="162">
        <v>7</v>
      </c>
      <c r="Z112" s="56">
        <v>3.9</v>
      </c>
      <c r="AA112" s="56">
        <v>4.1100000000000003</v>
      </c>
      <c r="AB112" s="56">
        <v>4.0599999999999996</v>
      </c>
      <c r="AC112" s="56">
        <v>0.76670000000000005</v>
      </c>
      <c r="AD112" s="56">
        <v>4</v>
      </c>
      <c r="AE112" s="56">
        <v>3.91</v>
      </c>
      <c r="AF112" s="56">
        <f t="shared" si="43"/>
        <v>4.1100000000000003</v>
      </c>
      <c r="AG112" s="57">
        <v>3.46</v>
      </c>
      <c r="AH112" s="103">
        <v>1.3899999999999999E-2</v>
      </c>
      <c r="AI112" s="103">
        <v>1.32E-2</v>
      </c>
      <c r="AJ112" s="62">
        <f t="shared" si="37"/>
        <v>-0.24555152605855673</v>
      </c>
      <c r="AK112" s="62">
        <f>LOG10(AI112*1000/(0.08206*298.15))</f>
        <v>-0.26799239510680195</v>
      </c>
      <c r="AL112" s="62">
        <f t="shared" si="38"/>
        <v>-0.26799239510680195</v>
      </c>
      <c r="AM112" s="62">
        <v>-2.5260400000000001</v>
      </c>
      <c r="AN112" s="154">
        <v>-0.16900000000000001</v>
      </c>
      <c r="AO112" s="410"/>
      <c r="AP112" s="410"/>
      <c r="AQ112" s="56" t="s">
        <v>6311</v>
      </c>
      <c r="AR112" s="56" t="s">
        <v>6311</v>
      </c>
      <c r="AS112" s="155"/>
      <c r="AT112" s="58" t="s">
        <v>266</v>
      </c>
      <c r="AU112" s="56">
        <v>6</v>
      </c>
      <c r="AV112" s="56">
        <v>120</v>
      </c>
      <c r="AW112" s="56">
        <v>114</v>
      </c>
      <c r="AX112" s="56">
        <v>28</v>
      </c>
      <c r="AY112" s="56" t="s">
        <v>8728</v>
      </c>
      <c r="AZ112" s="56" t="s">
        <v>1563</v>
      </c>
      <c r="BA112" s="56">
        <v>32</v>
      </c>
      <c r="BB112" s="55" t="s">
        <v>2485</v>
      </c>
      <c r="BC112" s="55" t="s">
        <v>8726</v>
      </c>
      <c r="BD112" s="55" t="s">
        <v>8374</v>
      </c>
      <c r="BE112" s="56" t="s">
        <v>2449</v>
      </c>
      <c r="BF112" s="56" t="s">
        <v>272</v>
      </c>
      <c r="BG112" s="56" t="s">
        <v>272</v>
      </c>
      <c r="BH112" s="56" t="s">
        <v>2486</v>
      </c>
      <c r="BI112" s="153">
        <v>8.5900799999999997E-4</v>
      </c>
      <c r="BJ112" s="153">
        <v>8.5900800000000004</v>
      </c>
      <c r="BK112" s="56"/>
      <c r="BL112" s="153">
        <v>2.1678400451741182</v>
      </c>
      <c r="BM112" s="56" t="s">
        <v>2046</v>
      </c>
      <c r="BN112" s="56"/>
      <c r="BO112" s="56"/>
      <c r="BP112" s="56"/>
      <c r="BQ112" s="56"/>
      <c r="BR112" s="55">
        <v>2.71642180494</v>
      </c>
      <c r="BS112" s="56"/>
      <c r="BT112" s="56"/>
      <c r="BU112" s="158"/>
      <c r="BV112" s="56"/>
      <c r="BW112" s="56"/>
      <c r="BX112" s="56"/>
      <c r="BY112" s="56"/>
      <c r="BZ112" s="56"/>
      <c r="CA112" s="56"/>
      <c r="CB112" s="56"/>
      <c r="CC112" s="56"/>
      <c r="CD112" s="56"/>
      <c r="CE112" s="56"/>
      <c r="CF112" s="56"/>
      <c r="CG112" s="56"/>
      <c r="CH112" s="56"/>
      <c r="CI112" s="103">
        <v>2.71642180494</v>
      </c>
      <c r="CJ112" s="103">
        <f t="shared" si="35"/>
        <v>0.43399720792602603</v>
      </c>
      <c r="CK112" s="57">
        <f t="shared" si="39"/>
        <v>0.25236552455554756</v>
      </c>
      <c r="CL112" s="160">
        <f t="shared" si="40"/>
        <v>0.79804986148754653</v>
      </c>
      <c r="CM112" s="160"/>
      <c r="CN112" s="160"/>
      <c r="CO112" s="55" t="s">
        <v>2488</v>
      </c>
      <c r="CP112" s="497" t="s">
        <v>2489</v>
      </c>
      <c r="CQ112" s="149" t="s">
        <v>272</v>
      </c>
      <c r="CR112" s="349"/>
      <c r="CS112" s="61" t="s">
        <v>539</v>
      </c>
      <c r="CT112" s="61"/>
      <c r="CU112" s="111">
        <f t="shared" si="41"/>
        <v>10.859874540232383</v>
      </c>
      <c r="CV112" s="331">
        <f t="shared" si="42"/>
        <v>3.43419386082551</v>
      </c>
      <c r="CW112" s="326">
        <f t="shared" si="36"/>
        <v>1</v>
      </c>
      <c r="CX112" s="326"/>
      <c r="CY112" s="161" t="s">
        <v>5921</v>
      </c>
    </row>
    <row r="113" spans="1:103" ht="11.25" customHeight="1" x14ac:dyDescent="0.2">
      <c r="A113" s="72">
        <v>89</v>
      </c>
      <c r="B113" s="149">
        <v>1007</v>
      </c>
      <c r="C113" s="54" t="s">
        <v>2877</v>
      </c>
      <c r="D113" s="54" t="s">
        <v>8364</v>
      </c>
      <c r="E113" s="59"/>
      <c r="F113" s="59" t="s">
        <v>2878</v>
      </c>
      <c r="G113" s="151">
        <v>104676</v>
      </c>
      <c r="H113" s="55" t="s">
        <v>2879</v>
      </c>
      <c r="I113" s="55" t="s">
        <v>2879</v>
      </c>
      <c r="J113" s="55" t="s">
        <v>2880</v>
      </c>
      <c r="K113" s="55" t="s">
        <v>357</v>
      </c>
      <c r="L113" s="55"/>
      <c r="M113" s="55"/>
      <c r="N113" s="60"/>
      <c r="O113" s="55"/>
      <c r="P113" s="67" t="s">
        <v>6172</v>
      </c>
      <c r="Q113" s="67" t="s">
        <v>6173</v>
      </c>
      <c r="R113" s="67" t="s">
        <v>6185</v>
      </c>
      <c r="S113" s="67" t="s">
        <v>6176</v>
      </c>
      <c r="T113" s="56">
        <v>184.28</v>
      </c>
      <c r="U113" s="103"/>
      <c r="V113" s="103">
        <v>128.30000000000001</v>
      </c>
      <c r="W113" s="103">
        <v>266.36564095305948</v>
      </c>
      <c r="X113" s="103">
        <v>266.36564095305948</v>
      </c>
      <c r="Y113" s="162">
        <v>7</v>
      </c>
      <c r="Z113" s="56">
        <v>3.06</v>
      </c>
      <c r="AA113" s="56"/>
      <c r="AB113" s="56">
        <v>3.39</v>
      </c>
      <c r="AC113" s="56">
        <v>0.63719999999999999</v>
      </c>
      <c r="AD113" s="56">
        <v>3.18</v>
      </c>
      <c r="AE113" s="56">
        <v>2.92</v>
      </c>
      <c r="AF113" s="56">
        <f t="shared" si="43"/>
        <v>3.18</v>
      </c>
      <c r="AG113" s="57">
        <v>3.28</v>
      </c>
      <c r="AH113" s="103">
        <v>7.4600000000000003E-4</v>
      </c>
      <c r="AI113" s="103"/>
      <c r="AJ113" s="62">
        <f t="shared" si="37"/>
        <v>-1.5158274988399829</v>
      </c>
      <c r="AK113" s="62"/>
      <c r="AL113" s="62">
        <f t="shared" si="38"/>
        <v>-1.5158274988399829</v>
      </c>
      <c r="AM113" s="62">
        <v>-6.7747900000000003</v>
      </c>
      <c r="AN113" s="154">
        <v>-3.25</v>
      </c>
      <c r="AO113" s="410"/>
      <c r="AP113" s="410"/>
      <c r="AQ113" s="56" t="s">
        <v>6311</v>
      </c>
      <c r="AR113" s="56" t="s">
        <v>6311</v>
      </c>
      <c r="AS113" s="155"/>
      <c r="AT113" s="58" t="s">
        <v>266</v>
      </c>
      <c r="AU113" s="56">
        <v>6</v>
      </c>
      <c r="AV113" s="56">
        <v>120</v>
      </c>
      <c r="AW113" s="56">
        <v>114</v>
      </c>
      <c r="AX113" s="56">
        <v>28</v>
      </c>
      <c r="AY113" s="56" t="s">
        <v>8728</v>
      </c>
      <c r="AZ113" s="56" t="s">
        <v>1563</v>
      </c>
      <c r="BA113" s="56">
        <v>32</v>
      </c>
      <c r="BB113" s="55" t="s">
        <v>2485</v>
      </c>
      <c r="BC113" s="55" t="s">
        <v>8726</v>
      </c>
      <c r="BD113" s="55" t="s">
        <v>8374</v>
      </c>
      <c r="BE113" s="56" t="s">
        <v>2449</v>
      </c>
      <c r="BF113" s="56" t="s">
        <v>272</v>
      </c>
      <c r="BG113" s="56" t="s">
        <v>272</v>
      </c>
      <c r="BH113" s="56" t="s">
        <v>2486</v>
      </c>
      <c r="BI113" s="153">
        <v>1.179392E-3</v>
      </c>
      <c r="BJ113" s="153">
        <v>11.79392</v>
      </c>
      <c r="BK113" s="56"/>
      <c r="BL113" s="153">
        <v>16.907998614938148</v>
      </c>
      <c r="BM113" s="56" t="s">
        <v>2487</v>
      </c>
      <c r="BN113" s="56"/>
      <c r="BO113" s="56"/>
      <c r="BP113" s="56"/>
      <c r="BQ113" s="56"/>
      <c r="BR113" s="55">
        <v>3.7295649695600002</v>
      </c>
      <c r="BS113" s="56"/>
      <c r="BT113" s="56"/>
      <c r="BU113" s="158"/>
      <c r="BV113" s="56"/>
      <c r="BW113" s="56"/>
      <c r="BX113" s="56"/>
      <c r="BY113" s="56"/>
      <c r="BZ113" s="56"/>
      <c r="CA113" s="56"/>
      <c r="CB113" s="56"/>
      <c r="CC113" s="56"/>
      <c r="CD113" s="56"/>
      <c r="CE113" s="56"/>
      <c r="CF113" s="56"/>
      <c r="CG113" s="56"/>
      <c r="CH113" s="56"/>
      <c r="CI113" s="103">
        <v>3.7295649695600002</v>
      </c>
      <c r="CJ113" s="103">
        <f t="shared" si="35"/>
        <v>0.57165817702639476</v>
      </c>
      <c r="CK113" s="57">
        <f t="shared" si="39"/>
        <v>1.4336199172911253</v>
      </c>
      <c r="CL113" s="160">
        <f t="shared" si="40"/>
        <v>4.5335042432396317</v>
      </c>
      <c r="CM113" s="160"/>
      <c r="CN113" s="160"/>
      <c r="CO113" s="55" t="s">
        <v>2488</v>
      </c>
      <c r="CP113" s="497" t="s">
        <v>2489</v>
      </c>
      <c r="CQ113" s="149" t="s">
        <v>272</v>
      </c>
      <c r="CR113" s="349"/>
      <c r="CS113" s="61" t="s">
        <v>539</v>
      </c>
      <c r="CT113" s="61"/>
      <c r="CU113" s="111">
        <f t="shared" si="41"/>
        <v>71.420029715820789</v>
      </c>
      <c r="CV113" s="331">
        <f t="shared" si="42"/>
        <v>22.584996417905113</v>
      </c>
      <c r="CW113" s="326">
        <f t="shared" si="36"/>
        <v>1</v>
      </c>
      <c r="CX113" s="326"/>
      <c r="CY113" s="161" t="s">
        <v>6351</v>
      </c>
    </row>
    <row r="114" spans="1:103" ht="11.25" customHeight="1" x14ac:dyDescent="0.2">
      <c r="A114" s="72">
        <v>90</v>
      </c>
      <c r="B114" s="149">
        <v>1648</v>
      </c>
      <c r="C114" s="54" t="s">
        <v>4854</v>
      </c>
      <c r="D114" s="54" t="s">
        <v>8365</v>
      </c>
      <c r="E114" s="59"/>
      <c r="F114" s="59" t="s">
        <v>4855</v>
      </c>
      <c r="G114" s="151">
        <v>106309</v>
      </c>
      <c r="H114" s="55" t="s">
        <v>4856</v>
      </c>
      <c r="I114" s="55" t="s">
        <v>4856</v>
      </c>
      <c r="J114" s="55" t="s">
        <v>4857</v>
      </c>
      <c r="K114" s="55" t="s">
        <v>357</v>
      </c>
      <c r="L114" s="55"/>
      <c r="M114" s="55"/>
      <c r="N114" s="60"/>
      <c r="O114" s="55"/>
      <c r="P114" s="67"/>
      <c r="Q114" s="67" t="s">
        <v>6173</v>
      </c>
      <c r="R114" s="67" t="s">
        <v>6174</v>
      </c>
      <c r="S114" s="67" t="s">
        <v>6176</v>
      </c>
      <c r="T114" s="56">
        <v>158.24</v>
      </c>
      <c r="U114" s="103">
        <v>290</v>
      </c>
      <c r="V114" s="103">
        <v>101.9</v>
      </c>
      <c r="W114" s="103">
        <v>811.55185402793552</v>
      </c>
      <c r="X114" s="103">
        <v>290</v>
      </c>
      <c r="Y114" s="162">
        <v>7</v>
      </c>
      <c r="Z114" s="56">
        <v>3.32</v>
      </c>
      <c r="AA114" s="56"/>
      <c r="AB114" s="56">
        <v>3.06</v>
      </c>
      <c r="AC114" s="56">
        <v>0.84530000000000005</v>
      </c>
      <c r="AD114" s="56">
        <v>3.15</v>
      </c>
      <c r="AE114" s="56">
        <v>3.37</v>
      </c>
      <c r="AF114" s="56">
        <f t="shared" si="43"/>
        <v>3.15</v>
      </c>
      <c r="AG114" s="57">
        <v>2.74</v>
      </c>
      <c r="AH114" s="103">
        <v>9.6000000000000002E-4</v>
      </c>
      <c r="AI114" s="103">
        <v>4.9899999999999999E-4</v>
      </c>
      <c r="AJ114" s="62">
        <f t="shared" si="37"/>
        <v>-1.4062950932730833</v>
      </c>
      <c r="AK114" s="62">
        <f>LOG10(AI114*1000/(0.08206*298.15))</f>
        <v>-1.6904657806892618</v>
      </c>
      <c r="AL114" s="62">
        <f t="shared" si="38"/>
        <v>-1.6904657806892618</v>
      </c>
      <c r="AM114" s="62">
        <v>-3.2822300000000002</v>
      </c>
      <c r="AN114" s="154">
        <v>-1.66</v>
      </c>
      <c r="AO114" s="410"/>
      <c r="AP114" s="410"/>
      <c r="AQ114" s="56" t="s">
        <v>6311</v>
      </c>
      <c r="AR114" s="56" t="s">
        <v>6312</v>
      </c>
      <c r="AS114" s="155"/>
      <c r="AT114" s="58" t="s">
        <v>266</v>
      </c>
      <c r="AU114" s="56">
        <v>6</v>
      </c>
      <c r="AV114" s="56">
        <v>120</v>
      </c>
      <c r="AW114" s="56">
        <v>114</v>
      </c>
      <c r="AX114" s="56">
        <v>28</v>
      </c>
      <c r="AY114" s="56" t="s">
        <v>8728</v>
      </c>
      <c r="AZ114" s="56" t="s">
        <v>1563</v>
      </c>
      <c r="BA114" s="56">
        <v>32</v>
      </c>
      <c r="BB114" s="55" t="s">
        <v>2485</v>
      </c>
      <c r="BC114" s="55" t="s">
        <v>8726</v>
      </c>
      <c r="BD114" s="55" t="s">
        <v>8374</v>
      </c>
      <c r="BE114" s="56" t="s">
        <v>2449</v>
      </c>
      <c r="BF114" s="56" t="s">
        <v>272</v>
      </c>
      <c r="BG114" s="56" t="s">
        <v>272</v>
      </c>
      <c r="BH114" s="56" t="s">
        <v>2486</v>
      </c>
      <c r="BI114" s="153">
        <v>1.012736E-3</v>
      </c>
      <c r="BJ114" s="153">
        <v>10.127360000000001</v>
      </c>
      <c r="BK114" s="56"/>
      <c r="BL114" s="153">
        <v>8.4805549838329135</v>
      </c>
      <c r="BM114" s="55" t="s">
        <v>2487</v>
      </c>
      <c r="BN114" s="56"/>
      <c r="BO114" s="56"/>
      <c r="BP114" s="56"/>
      <c r="BQ114" s="56"/>
      <c r="BR114" s="55">
        <v>3.2025524244800003</v>
      </c>
      <c r="BS114" s="56"/>
      <c r="BT114" s="56"/>
      <c r="BU114" s="158"/>
      <c r="BV114" s="56"/>
      <c r="BW114" s="56"/>
      <c r="BX114" s="56"/>
      <c r="BY114" s="56"/>
      <c r="BZ114" s="56"/>
      <c r="CA114" s="56"/>
      <c r="CB114" s="56"/>
      <c r="CC114" s="56"/>
      <c r="CD114" s="56"/>
      <c r="CE114" s="56"/>
      <c r="CF114" s="56"/>
      <c r="CG114" s="56"/>
      <c r="CH114" s="56"/>
      <c r="CI114" s="103">
        <v>3.2025524244800003</v>
      </c>
      <c r="CJ114" s="103">
        <f t="shared" si="35"/>
        <v>0.50549624769885693</v>
      </c>
      <c r="CK114" s="57">
        <f t="shared" si="39"/>
        <v>0.83739049306363278</v>
      </c>
      <c r="CL114" s="160">
        <f t="shared" si="40"/>
        <v>2.6480612523337239</v>
      </c>
      <c r="CM114" s="160"/>
      <c r="CN114" s="160"/>
      <c r="CO114" s="55" t="s">
        <v>2488</v>
      </c>
      <c r="CP114" s="497" t="s">
        <v>2489</v>
      </c>
      <c r="CQ114" s="149" t="s">
        <v>272</v>
      </c>
      <c r="CR114" s="349"/>
      <c r="CS114" s="61" t="s">
        <v>539</v>
      </c>
      <c r="CT114" s="61"/>
      <c r="CU114" s="111">
        <f t="shared" si="41"/>
        <v>90.552772152383241</v>
      </c>
      <c r="CV114" s="331">
        <f t="shared" si="42"/>
        <v>28.635300808897874</v>
      </c>
      <c r="CW114" s="326">
        <f t="shared" si="36"/>
        <v>1</v>
      </c>
      <c r="CX114" s="326"/>
      <c r="CY114" s="161" t="s">
        <v>5921</v>
      </c>
    </row>
    <row r="115" spans="1:103" ht="11.25" customHeight="1" x14ac:dyDescent="0.2">
      <c r="A115" s="72">
        <v>94</v>
      </c>
      <c r="B115" s="149">
        <v>1623</v>
      </c>
      <c r="C115" s="54" t="s">
        <v>4808</v>
      </c>
      <c r="D115" s="54"/>
      <c r="E115" s="59"/>
      <c r="F115" s="59" t="s">
        <v>4809</v>
      </c>
      <c r="G115" s="151">
        <v>108010</v>
      </c>
      <c r="H115" s="55" t="s">
        <v>4810</v>
      </c>
      <c r="I115" s="55" t="s">
        <v>4810</v>
      </c>
      <c r="J115" s="55" t="s">
        <v>4811</v>
      </c>
      <c r="K115" s="55" t="s">
        <v>300</v>
      </c>
      <c r="L115" s="55"/>
      <c r="M115" s="55"/>
      <c r="N115" s="60"/>
      <c r="O115" s="55"/>
      <c r="P115" s="67"/>
      <c r="Q115" s="67"/>
      <c r="R115" s="67"/>
      <c r="S115" s="67"/>
      <c r="T115" s="56">
        <v>89.14</v>
      </c>
      <c r="U115" s="103">
        <v>1000000</v>
      </c>
      <c r="V115" s="103">
        <v>1000000</v>
      </c>
      <c r="W115" s="103">
        <v>977400.66404203547</v>
      </c>
      <c r="X115" s="103">
        <v>1000000</v>
      </c>
      <c r="Y115" s="162">
        <v>11.65</v>
      </c>
      <c r="Z115" s="56">
        <v>-0.94</v>
      </c>
      <c r="AA115" s="56"/>
      <c r="AB115" s="56">
        <v>-0.24</v>
      </c>
      <c r="AC115" s="56">
        <v>0.86950000000000005</v>
      </c>
      <c r="AD115" s="56">
        <v>-0.26</v>
      </c>
      <c r="AE115" s="56">
        <v>-0.33</v>
      </c>
      <c r="AF115" s="56">
        <f t="shared" si="43"/>
        <v>-0.26</v>
      </c>
      <c r="AG115" s="57">
        <v>4.41</v>
      </c>
      <c r="AH115" s="103">
        <v>1.7700000000000001E-9</v>
      </c>
      <c r="AI115" s="103">
        <v>3.7300000000000002E-7</v>
      </c>
      <c r="AJ115" s="62">
        <f t="shared" si="37"/>
        <v>-7.1405930599508451</v>
      </c>
      <c r="AK115" s="62">
        <f>LOG10(AI115*1000/(0.08206*298.15))</f>
        <v>-4.8168574945039646</v>
      </c>
      <c r="AL115" s="62">
        <f t="shared" si="38"/>
        <v>-4.8168574945039646</v>
      </c>
      <c r="AM115" s="62">
        <v>-6.5160900000000002</v>
      </c>
      <c r="AN115" s="154">
        <v>-12</v>
      </c>
      <c r="AO115" s="410">
        <v>14.88</v>
      </c>
      <c r="AP115" s="410">
        <v>8.8800000000000008</v>
      </c>
      <c r="AQ115" s="56" t="s">
        <v>6311</v>
      </c>
      <c r="AR115" s="56" t="s">
        <v>6311</v>
      </c>
      <c r="AS115" s="155"/>
      <c r="AT115" s="58" t="s">
        <v>266</v>
      </c>
      <c r="AU115" s="56">
        <v>6</v>
      </c>
      <c r="AV115" s="56">
        <v>120</v>
      </c>
      <c r="AW115" s="56">
        <v>114</v>
      </c>
      <c r="AX115" s="56">
        <v>28</v>
      </c>
      <c r="AY115" s="56" t="s">
        <v>8728</v>
      </c>
      <c r="AZ115" s="56" t="s">
        <v>1563</v>
      </c>
      <c r="BA115" s="56">
        <v>32</v>
      </c>
      <c r="BB115" s="55" t="s">
        <v>2485</v>
      </c>
      <c r="BC115" s="55" t="s">
        <v>8726</v>
      </c>
      <c r="BD115" s="55" t="s">
        <v>8374</v>
      </c>
      <c r="BE115" s="56" t="s">
        <v>2449</v>
      </c>
      <c r="BF115" s="56" t="s">
        <v>272</v>
      </c>
      <c r="BG115" s="56" t="s">
        <v>272</v>
      </c>
      <c r="BH115" s="56" t="s">
        <v>2486</v>
      </c>
      <c r="BI115" s="153">
        <v>5.7049599999999998E-4</v>
      </c>
      <c r="BJ115" s="153">
        <v>5.7049599999999998</v>
      </c>
      <c r="BK115" s="56"/>
      <c r="BL115" s="153">
        <v>31995.332645295559</v>
      </c>
      <c r="BM115" s="55" t="s">
        <v>2487</v>
      </c>
      <c r="BN115" s="56"/>
      <c r="BO115" s="56"/>
      <c r="BP115" s="56"/>
      <c r="BQ115" s="56"/>
      <c r="BR115" s="55">
        <v>1.8040667537800001</v>
      </c>
      <c r="BS115" s="56"/>
      <c r="BT115" s="56"/>
      <c r="BU115" s="158"/>
      <c r="BV115" s="56"/>
      <c r="BW115" s="56"/>
      <c r="BX115" s="56"/>
      <c r="BY115" s="56"/>
      <c r="BZ115" s="56"/>
      <c r="CA115" s="56"/>
      <c r="CB115" s="56"/>
      <c r="CC115" s="56"/>
      <c r="CD115" s="56"/>
      <c r="CE115" s="56"/>
      <c r="CF115" s="56"/>
      <c r="CG115" s="56"/>
      <c r="CH115" s="56"/>
      <c r="CI115" s="103">
        <v>1.8040667537800001</v>
      </c>
      <c r="CJ115" s="103">
        <f t="shared" si="35"/>
        <v>0.25625260319591031</v>
      </c>
      <c r="CK115" s="57">
        <f t="shared" si="39"/>
        <v>5608.3360173069677</v>
      </c>
      <c r="CL115" s="160">
        <f t="shared" si="40"/>
        <v>17735.115720223112</v>
      </c>
      <c r="CM115" s="160"/>
      <c r="CN115" s="160"/>
      <c r="CO115" s="55" t="s">
        <v>2488</v>
      </c>
      <c r="CP115" s="497" t="s">
        <v>2489</v>
      </c>
      <c r="CQ115" s="149" t="s">
        <v>272</v>
      </c>
      <c r="CR115" s="349"/>
      <c r="CS115" s="61" t="s">
        <v>539</v>
      </c>
      <c r="CT115" s="61"/>
      <c r="CU115" s="111">
        <f t="shared" si="41"/>
        <v>554303.21406052948</v>
      </c>
      <c r="CV115" s="331">
        <f t="shared" si="42"/>
        <v>175286.06686111735</v>
      </c>
      <c r="CW115" s="326">
        <f t="shared" si="36"/>
        <v>1</v>
      </c>
      <c r="CX115" s="326"/>
      <c r="CY115" s="161" t="s">
        <v>6351</v>
      </c>
    </row>
    <row r="116" spans="1:103" ht="11.25" customHeight="1" x14ac:dyDescent="0.2">
      <c r="A116" s="72">
        <v>101</v>
      </c>
      <c r="B116" s="149">
        <v>1085</v>
      </c>
      <c r="C116" s="54" t="s">
        <v>1077</v>
      </c>
      <c r="D116" s="54" t="s">
        <v>6581</v>
      </c>
      <c r="E116" s="59"/>
      <c r="F116" s="59" t="s">
        <v>1078</v>
      </c>
      <c r="G116" s="151">
        <v>121552612</v>
      </c>
      <c r="H116" s="55" t="s">
        <v>1079</v>
      </c>
      <c r="I116" s="55" t="s">
        <v>1079</v>
      </c>
      <c r="J116" s="55" t="s">
        <v>1080</v>
      </c>
      <c r="K116" s="55" t="s">
        <v>426</v>
      </c>
      <c r="L116" s="55" t="s">
        <v>5969</v>
      </c>
      <c r="M116" s="55" t="s">
        <v>6082</v>
      </c>
      <c r="N116" s="60" t="s">
        <v>6082</v>
      </c>
      <c r="O116" s="55" t="s">
        <v>6083</v>
      </c>
      <c r="P116" s="67"/>
      <c r="Q116" s="67"/>
      <c r="R116" s="67"/>
      <c r="S116" s="67"/>
      <c r="T116" s="56">
        <v>225.29</v>
      </c>
      <c r="U116" s="103">
        <v>13</v>
      </c>
      <c r="V116" s="103">
        <v>12.38</v>
      </c>
      <c r="W116" s="103">
        <v>11.291247186388819</v>
      </c>
      <c r="X116" s="103">
        <v>13</v>
      </c>
      <c r="Y116" s="162">
        <v>7.09</v>
      </c>
      <c r="Z116" s="56">
        <v>3.99</v>
      </c>
      <c r="AA116" s="56">
        <v>4</v>
      </c>
      <c r="AB116" s="56">
        <v>3.5</v>
      </c>
      <c r="AC116" s="56">
        <v>0.81540000000000001</v>
      </c>
      <c r="AD116" s="56">
        <v>3.62</v>
      </c>
      <c r="AE116" s="56">
        <v>4</v>
      </c>
      <c r="AF116" s="56">
        <f t="shared" si="43"/>
        <v>4</v>
      </c>
      <c r="AG116" s="57">
        <v>3.52</v>
      </c>
      <c r="AH116" s="103">
        <v>1.9099999999999999E-6</v>
      </c>
      <c r="AI116" s="103">
        <v>8.3900000000000004E-8</v>
      </c>
      <c r="AJ116" s="62">
        <f t="shared" si="37"/>
        <v>-4.1075329590649243</v>
      </c>
      <c r="AK116" s="62">
        <f>LOG10(AI116*1000/(0.08206*298.15))</f>
        <v>-5.4648043654839515</v>
      </c>
      <c r="AL116" s="62">
        <f t="shared" si="38"/>
        <v>-5.4648043654839515</v>
      </c>
      <c r="AM116" s="62">
        <v>-10.070709999999998</v>
      </c>
      <c r="AN116" s="154">
        <v>-5.85</v>
      </c>
      <c r="AO116" s="410"/>
      <c r="AP116" s="410">
        <v>3.8</v>
      </c>
      <c r="AQ116" s="56" t="s">
        <v>6311</v>
      </c>
      <c r="AR116" s="56" t="s">
        <v>6311</v>
      </c>
      <c r="AS116" s="155"/>
      <c r="AT116" s="58" t="s">
        <v>266</v>
      </c>
      <c r="AU116" s="56">
        <v>6</v>
      </c>
      <c r="AV116" s="56">
        <v>120</v>
      </c>
      <c r="AW116" s="56">
        <v>114</v>
      </c>
      <c r="AX116" s="56">
        <v>28</v>
      </c>
      <c r="AY116" s="56" t="s">
        <v>8728</v>
      </c>
      <c r="AZ116" s="56" t="s">
        <v>1563</v>
      </c>
      <c r="BA116" s="56">
        <v>32</v>
      </c>
      <c r="BB116" s="55" t="s">
        <v>2485</v>
      </c>
      <c r="BC116" s="55" t="s">
        <v>8726</v>
      </c>
      <c r="BD116" s="55" t="s">
        <v>8374</v>
      </c>
      <c r="BE116" s="56" t="s">
        <v>2449</v>
      </c>
      <c r="BF116" s="56" t="s">
        <v>272</v>
      </c>
      <c r="BG116" s="56" t="s">
        <v>272</v>
      </c>
      <c r="BH116" s="56" t="s">
        <v>2486</v>
      </c>
      <c r="BI116" s="153">
        <v>1.4418559999999998E-3</v>
      </c>
      <c r="BJ116" s="153">
        <v>14.418559999999999</v>
      </c>
      <c r="BK116" s="56"/>
      <c r="BL116" s="153">
        <v>3.0208065550301022</v>
      </c>
      <c r="BM116" s="56" t="s">
        <v>2487</v>
      </c>
      <c r="BN116" s="56"/>
      <c r="BO116" s="56"/>
      <c r="BP116" s="56"/>
      <c r="BQ116" s="56"/>
      <c r="BR116" s="55">
        <v>14.260856999999998</v>
      </c>
      <c r="BS116" s="56"/>
      <c r="BT116" s="56"/>
      <c r="BU116" s="158"/>
      <c r="BV116" s="56"/>
      <c r="BW116" s="56"/>
      <c r="BX116" s="56"/>
      <c r="BY116" s="56"/>
      <c r="BZ116" s="56"/>
      <c r="CA116" s="56"/>
      <c r="CB116" s="56"/>
      <c r="CC116" s="56"/>
      <c r="CD116" s="56"/>
      <c r="CE116" s="56"/>
      <c r="CF116" s="56"/>
      <c r="CG116" s="56"/>
      <c r="CH116" s="56"/>
      <c r="CI116" s="103">
        <v>14.260856999999998</v>
      </c>
      <c r="CJ116" s="103">
        <f t="shared" si="35"/>
        <v>1.1541456250381088</v>
      </c>
      <c r="CK116" s="57">
        <f t="shared" si="39"/>
        <v>0.20950820019683675</v>
      </c>
      <c r="CL116" s="160">
        <f t="shared" si="40"/>
        <v>0.21182503653392659</v>
      </c>
      <c r="CM116" s="160">
        <v>0.38201704257486818</v>
      </c>
      <c r="CN116" s="160">
        <f>BJ116/(10^CM116)</f>
        <v>5.9828049792531148</v>
      </c>
      <c r="CO116" s="55" t="s">
        <v>2488</v>
      </c>
      <c r="CP116" s="497" t="s">
        <v>2489</v>
      </c>
      <c r="CQ116" s="149">
        <v>0.40854117149979308</v>
      </c>
      <c r="CR116" s="349">
        <f t="shared" ref="CR116:CR121" si="44">10^(CJ116-CQ116)</f>
        <v>5.5667850666544849</v>
      </c>
      <c r="CS116" s="61" t="s">
        <v>539</v>
      </c>
      <c r="CT116" s="61"/>
      <c r="CU116" s="111">
        <f t="shared" si="41"/>
        <v>0.91158616905000889</v>
      </c>
      <c r="CV116" s="331">
        <f t="shared" si="42"/>
        <v>0.90161569532602426</v>
      </c>
      <c r="CW116" s="326">
        <f t="shared" si="36"/>
        <v>0</v>
      </c>
      <c r="CX116" s="326"/>
      <c r="CY116" s="161" t="s">
        <v>5921</v>
      </c>
    </row>
    <row r="117" spans="1:103" ht="11.25" customHeight="1" x14ac:dyDescent="0.2">
      <c r="A117" s="72">
        <v>103</v>
      </c>
      <c r="B117" s="149">
        <v>1138</v>
      </c>
      <c r="C117" s="54" t="s">
        <v>1199</v>
      </c>
      <c r="D117" s="54" t="s">
        <v>6535</v>
      </c>
      <c r="E117" s="59"/>
      <c r="F117" s="59" t="s">
        <v>1200</v>
      </c>
      <c r="G117" s="151">
        <v>79622596</v>
      </c>
      <c r="H117" s="55" t="s">
        <v>1201</v>
      </c>
      <c r="I117" s="55" t="s">
        <v>7885</v>
      </c>
      <c r="J117" s="55" t="s">
        <v>1202</v>
      </c>
      <c r="K117" s="55" t="s">
        <v>1203</v>
      </c>
      <c r="L117" s="55" t="s">
        <v>5248</v>
      </c>
      <c r="M117" s="55" t="s">
        <v>5983</v>
      </c>
      <c r="N117" s="60" t="s">
        <v>6381</v>
      </c>
      <c r="O117" s="55" t="s">
        <v>5984</v>
      </c>
      <c r="P117" s="67"/>
      <c r="Q117" s="67"/>
      <c r="R117" s="67"/>
      <c r="S117" s="67"/>
      <c r="T117" s="56">
        <v>465.09</v>
      </c>
      <c r="U117" s="103">
        <v>1.76</v>
      </c>
      <c r="V117" s="103">
        <v>0.44990000000000002</v>
      </c>
      <c r="W117" s="103">
        <v>1.2809642276355447E-2</v>
      </c>
      <c r="X117" s="103">
        <v>1.76</v>
      </c>
      <c r="Y117" s="162">
        <v>7</v>
      </c>
      <c r="Z117" s="56">
        <v>4.0199999999999996</v>
      </c>
      <c r="AA117" s="56">
        <v>4.01</v>
      </c>
      <c r="AB117" s="56">
        <v>4.04</v>
      </c>
      <c r="AC117" s="56">
        <v>0.73080000000000001</v>
      </c>
      <c r="AD117" s="56">
        <v>5.16</v>
      </c>
      <c r="AE117" s="56">
        <v>8.19</v>
      </c>
      <c r="AF117" s="56">
        <f t="shared" si="43"/>
        <v>4.01</v>
      </c>
      <c r="AG117" s="57">
        <v>4.62</v>
      </c>
      <c r="AH117" s="103">
        <v>5.2300000000000003E-9</v>
      </c>
      <c r="AI117" s="103"/>
      <c r="AJ117" s="62">
        <f t="shared" si="37"/>
        <v>-6.6700646374453774</v>
      </c>
      <c r="AK117" s="62"/>
      <c r="AL117" s="62">
        <f t="shared" si="38"/>
        <v>-6.6700646374453774</v>
      </c>
      <c r="AM117" s="62">
        <v>-10.72462</v>
      </c>
      <c r="AN117" s="154">
        <v>-2.95</v>
      </c>
      <c r="AO117" s="410"/>
      <c r="AP117" s="410">
        <v>-1.43</v>
      </c>
      <c r="AQ117" s="56" t="s">
        <v>6311</v>
      </c>
      <c r="AR117" s="56" t="s">
        <v>6311</v>
      </c>
      <c r="AS117" s="155"/>
      <c r="AT117" s="58" t="s">
        <v>266</v>
      </c>
      <c r="AU117" s="56">
        <v>6</v>
      </c>
      <c r="AV117" s="56">
        <v>120</v>
      </c>
      <c r="AW117" s="56">
        <v>114</v>
      </c>
      <c r="AX117" s="56">
        <v>28</v>
      </c>
      <c r="AY117" s="56" t="s">
        <v>8728</v>
      </c>
      <c r="AZ117" s="56" t="s">
        <v>1563</v>
      </c>
      <c r="BA117" s="56">
        <v>32</v>
      </c>
      <c r="BB117" s="55" t="s">
        <v>2485</v>
      </c>
      <c r="BC117" s="55" t="s">
        <v>8726</v>
      </c>
      <c r="BD117" s="55" t="s">
        <v>8374</v>
      </c>
      <c r="BE117" s="56" t="s">
        <v>2449</v>
      </c>
      <c r="BF117" s="56" t="s">
        <v>272</v>
      </c>
      <c r="BG117" s="56" t="s">
        <v>272</v>
      </c>
      <c r="BH117" s="56" t="s">
        <v>2486</v>
      </c>
      <c r="BI117" s="153">
        <v>2.9765759999999999E-3</v>
      </c>
      <c r="BJ117" s="153">
        <v>29.76576</v>
      </c>
      <c r="BK117" s="56"/>
      <c r="BL117" s="153">
        <v>5.8610442702585477</v>
      </c>
      <c r="BM117" s="56" t="s">
        <v>2487</v>
      </c>
      <c r="BN117" s="56"/>
      <c r="BO117" s="56"/>
      <c r="BP117" s="56"/>
      <c r="BQ117" s="56"/>
      <c r="BR117" s="55">
        <v>26.882201999999996</v>
      </c>
      <c r="BS117" s="56"/>
      <c r="BT117" s="56"/>
      <c r="BU117" s="158"/>
      <c r="BV117" s="56"/>
      <c r="BW117" s="56"/>
      <c r="BX117" s="56"/>
      <c r="BY117" s="56"/>
      <c r="BZ117" s="56"/>
      <c r="CA117" s="56"/>
      <c r="CB117" s="56"/>
      <c r="CC117" s="56"/>
      <c r="CD117" s="56"/>
      <c r="CE117" s="56"/>
      <c r="CF117" s="56"/>
      <c r="CG117" s="56"/>
      <c r="CH117" s="56"/>
      <c r="CI117" s="103">
        <v>26.882201999999996</v>
      </c>
      <c r="CJ117" s="103">
        <f t="shared" si="35"/>
        <v>1.4294648401734817</v>
      </c>
      <c r="CK117" s="57">
        <f t="shared" si="39"/>
        <v>0.19690558111933132</v>
      </c>
      <c r="CL117" s="160">
        <f t="shared" si="40"/>
        <v>0.21802694103178558</v>
      </c>
      <c r="CM117" s="160">
        <v>-1.2781893847874533</v>
      </c>
      <c r="CN117" s="160">
        <f>BJ117/(10^CM117)</f>
        <v>564.81518026565459</v>
      </c>
      <c r="CO117" s="55" t="s">
        <v>2488</v>
      </c>
      <c r="CP117" s="497" t="s">
        <v>2489</v>
      </c>
      <c r="CQ117" s="149">
        <v>-1.226831399620647</v>
      </c>
      <c r="CR117" s="349">
        <f t="shared" si="44"/>
        <v>453.20661458033265</v>
      </c>
      <c r="CS117" s="61" t="s">
        <v>539</v>
      </c>
      <c r="CT117" s="61"/>
      <c r="CU117" s="111">
        <f t="shared" si="41"/>
        <v>6.5470827129414488E-2</v>
      </c>
      <c r="CV117" s="331">
        <f t="shared" si="42"/>
        <v>5.9128340751252444E-2</v>
      </c>
      <c r="CW117" s="326">
        <f t="shared" si="36"/>
        <v>0</v>
      </c>
      <c r="CX117" s="326"/>
      <c r="CY117" s="161" t="s">
        <v>5921</v>
      </c>
    </row>
    <row r="118" spans="1:103" ht="11.25" customHeight="1" x14ac:dyDescent="0.2">
      <c r="A118" s="72">
        <v>104</v>
      </c>
      <c r="B118" s="149">
        <v>1018</v>
      </c>
      <c r="C118" s="54" t="s">
        <v>920</v>
      </c>
      <c r="D118" s="54" t="s">
        <v>6517</v>
      </c>
      <c r="E118" s="59"/>
      <c r="F118" s="59" t="s">
        <v>921</v>
      </c>
      <c r="G118" s="151">
        <v>34256821</v>
      </c>
      <c r="H118" s="55" t="s">
        <v>922</v>
      </c>
      <c r="I118" s="55" t="s">
        <v>8286</v>
      </c>
      <c r="J118" s="55" t="s">
        <v>923</v>
      </c>
      <c r="K118" s="55" t="s">
        <v>924</v>
      </c>
      <c r="L118" s="55" t="s">
        <v>6114</v>
      </c>
      <c r="M118" s="55" t="s">
        <v>6082</v>
      </c>
      <c r="N118" s="60" t="s">
        <v>6082</v>
      </c>
      <c r="O118" s="55" t="s">
        <v>6083</v>
      </c>
      <c r="P118" s="67"/>
      <c r="Q118" s="67"/>
      <c r="R118" s="67"/>
      <c r="S118" s="67"/>
      <c r="T118" s="56">
        <v>269.77</v>
      </c>
      <c r="U118" s="103">
        <v>223</v>
      </c>
      <c r="V118" s="103">
        <v>47.36</v>
      </c>
      <c r="W118" s="103">
        <v>814.69237561285115</v>
      </c>
      <c r="X118" s="103">
        <v>223</v>
      </c>
      <c r="Y118" s="162">
        <v>7.01</v>
      </c>
      <c r="Z118" s="56">
        <v>3.37</v>
      </c>
      <c r="AA118" s="56">
        <v>3.03</v>
      </c>
      <c r="AB118" s="56">
        <v>3.01</v>
      </c>
      <c r="AC118" s="56">
        <v>0.8427</v>
      </c>
      <c r="AD118" s="56">
        <v>2.99</v>
      </c>
      <c r="AE118" s="56">
        <v>2.92</v>
      </c>
      <c r="AF118" s="56">
        <f t="shared" si="43"/>
        <v>3.03</v>
      </c>
      <c r="AG118" s="57">
        <v>3.33</v>
      </c>
      <c r="AH118" s="103">
        <v>2.2300000000000001E-8</v>
      </c>
      <c r="AI118" s="103"/>
      <c r="AJ118" s="62">
        <f t="shared" si="37"/>
        <v>-6.0402614632644909</v>
      </c>
      <c r="AK118" s="62"/>
      <c r="AL118" s="62">
        <f t="shared" si="38"/>
        <v>-6.0402614632644909</v>
      </c>
      <c r="AM118" s="62">
        <v>-10.631349999999999</v>
      </c>
      <c r="AN118" s="154">
        <v>-5.33</v>
      </c>
      <c r="AO118" s="410"/>
      <c r="AP118" s="410">
        <v>1.29</v>
      </c>
      <c r="AQ118" s="56" t="s">
        <v>6311</v>
      </c>
      <c r="AR118" s="56" t="s">
        <v>6311</v>
      </c>
      <c r="AS118" s="155"/>
      <c r="AT118" s="58" t="s">
        <v>266</v>
      </c>
      <c r="AU118" s="56">
        <v>6</v>
      </c>
      <c r="AV118" s="56">
        <v>120</v>
      </c>
      <c r="AW118" s="56">
        <v>114</v>
      </c>
      <c r="AX118" s="56">
        <v>28</v>
      </c>
      <c r="AY118" s="56" t="s">
        <v>8728</v>
      </c>
      <c r="AZ118" s="56" t="s">
        <v>1563</v>
      </c>
      <c r="BA118" s="56">
        <v>32</v>
      </c>
      <c r="BB118" s="55" t="s">
        <v>2485</v>
      </c>
      <c r="BC118" s="55" t="s">
        <v>8726</v>
      </c>
      <c r="BD118" s="55" t="s">
        <v>8374</v>
      </c>
      <c r="BE118" s="56" t="s">
        <v>2449</v>
      </c>
      <c r="BF118" s="56" t="s">
        <v>272</v>
      </c>
      <c r="BG118" s="56" t="s">
        <v>272</v>
      </c>
      <c r="BH118" s="56" t="s">
        <v>2486</v>
      </c>
      <c r="BI118" s="153">
        <v>1.7265279999999997E-3</v>
      </c>
      <c r="BJ118" s="153">
        <v>17.265280000000001</v>
      </c>
      <c r="BK118" s="56"/>
      <c r="BL118" s="153">
        <v>13.037569961777397</v>
      </c>
      <c r="BM118" s="56" t="s">
        <v>2487</v>
      </c>
      <c r="BN118" s="56"/>
      <c r="BO118" s="56"/>
      <c r="BP118" s="56"/>
      <c r="BQ118" s="56"/>
      <c r="BR118" s="55">
        <v>15.565728999999999</v>
      </c>
      <c r="BS118" s="56"/>
      <c r="BT118" s="56"/>
      <c r="BU118" s="158"/>
      <c r="BV118" s="56"/>
      <c r="BW118" s="56"/>
      <c r="BX118" s="56"/>
      <c r="BY118" s="56"/>
      <c r="BZ118" s="56"/>
      <c r="CA118" s="56"/>
      <c r="CB118" s="56"/>
      <c r="CC118" s="56"/>
      <c r="CD118" s="56"/>
      <c r="CE118" s="56"/>
      <c r="CF118" s="56"/>
      <c r="CG118" s="56"/>
      <c r="CH118" s="56"/>
      <c r="CI118" s="103">
        <v>15.565728999999999</v>
      </c>
      <c r="CJ118" s="103">
        <f t="shared" si="35"/>
        <v>1.1921694650932793</v>
      </c>
      <c r="CK118" s="57">
        <f t="shared" si="39"/>
        <v>0.75513226323450278</v>
      </c>
      <c r="CL118" s="160">
        <f t="shared" si="40"/>
        <v>0.83758171311972585</v>
      </c>
      <c r="CM118" s="160">
        <v>-0.23926195564588798</v>
      </c>
      <c r="CN118" s="160">
        <f>BJ118/(10^CM118)</f>
        <v>29.952672747078829</v>
      </c>
      <c r="CO118" s="55" t="s">
        <v>2488</v>
      </c>
      <c r="CP118" s="497" t="s">
        <v>2489</v>
      </c>
      <c r="CQ118" s="149">
        <v>-7.9944506394980616E-2</v>
      </c>
      <c r="CR118" s="349">
        <f t="shared" si="44"/>
        <v>18.711731261241955</v>
      </c>
      <c r="CS118" s="61" t="s">
        <v>539</v>
      </c>
      <c r="CT118" s="61"/>
      <c r="CU118" s="111">
        <f t="shared" si="41"/>
        <v>14.326344753914192</v>
      </c>
      <c r="CV118" s="331">
        <f t="shared" si="42"/>
        <v>12.916095192200762</v>
      </c>
      <c r="CW118" s="326">
        <f t="shared" si="36"/>
        <v>1</v>
      </c>
      <c r="CX118" s="326"/>
      <c r="CY118" s="161" t="s">
        <v>5921</v>
      </c>
    </row>
    <row r="119" spans="1:103" ht="11.25" customHeight="1" x14ac:dyDescent="0.2">
      <c r="A119" s="72">
        <v>105</v>
      </c>
      <c r="B119" s="149">
        <v>1143</v>
      </c>
      <c r="C119" s="54" t="s">
        <v>1227</v>
      </c>
      <c r="D119" s="54" t="s">
        <v>6592</v>
      </c>
      <c r="E119" s="59"/>
      <c r="F119" s="59" t="s">
        <v>1228</v>
      </c>
      <c r="G119" s="151">
        <v>361377299</v>
      </c>
      <c r="H119" s="55" t="s">
        <v>1229</v>
      </c>
      <c r="I119" s="55" t="s">
        <v>7904</v>
      </c>
      <c r="J119" s="55" t="s">
        <v>1230</v>
      </c>
      <c r="K119" s="55" t="s">
        <v>300</v>
      </c>
      <c r="L119" s="55" t="s">
        <v>5989</v>
      </c>
      <c r="M119" s="55" t="s">
        <v>6082</v>
      </c>
      <c r="N119" s="60" t="s">
        <v>6082</v>
      </c>
      <c r="O119" s="55" t="s">
        <v>6083</v>
      </c>
      <c r="P119" s="67"/>
      <c r="Q119" s="67"/>
      <c r="R119" s="67"/>
      <c r="S119" s="67"/>
      <c r="T119" s="56">
        <v>458.83</v>
      </c>
      <c r="U119" s="103"/>
      <c r="V119" s="103">
        <v>25.44</v>
      </c>
      <c r="W119" s="103">
        <v>0.26402910644840705</v>
      </c>
      <c r="X119" s="103">
        <v>0.26402910644840705</v>
      </c>
      <c r="Y119" s="162">
        <v>7</v>
      </c>
      <c r="Z119" s="56">
        <v>2</v>
      </c>
      <c r="AA119" s="56"/>
      <c r="AB119" s="56">
        <v>3.78</v>
      </c>
      <c r="AC119" s="56">
        <v>0.67889999999999995</v>
      </c>
      <c r="AD119" s="56">
        <v>4.28</v>
      </c>
      <c r="AE119" s="56">
        <v>5.34</v>
      </c>
      <c r="AF119" s="56">
        <f t="shared" si="43"/>
        <v>4.28</v>
      </c>
      <c r="AG119" s="57">
        <v>5.04</v>
      </c>
      <c r="AH119" s="103">
        <v>2.8100000000000001E-13</v>
      </c>
      <c r="AI119" s="103"/>
      <c r="AJ119" s="62">
        <f t="shared" si="37"/>
        <v>-10.939860006407573</v>
      </c>
      <c r="AK119" s="62"/>
      <c r="AL119" s="62">
        <f t="shared" si="38"/>
        <v>-10.939860006407573</v>
      </c>
      <c r="AM119" s="62">
        <v>-19.734660000000002</v>
      </c>
      <c r="AN119" s="154">
        <v>-0.622</v>
      </c>
      <c r="AO119" s="410"/>
      <c r="AP119" s="410">
        <v>-2.1</v>
      </c>
      <c r="AQ119" s="56" t="s">
        <v>6311</v>
      </c>
      <c r="AR119" s="56" t="s">
        <v>6311</v>
      </c>
      <c r="AS119" s="155"/>
      <c r="AT119" s="58" t="s">
        <v>266</v>
      </c>
      <c r="AU119" s="56">
        <v>6</v>
      </c>
      <c r="AV119" s="56">
        <v>120</v>
      </c>
      <c r="AW119" s="56">
        <v>114</v>
      </c>
      <c r="AX119" s="56">
        <v>28</v>
      </c>
      <c r="AY119" s="56" t="s">
        <v>8728</v>
      </c>
      <c r="AZ119" s="56" t="s">
        <v>1563</v>
      </c>
      <c r="BA119" s="56">
        <v>32</v>
      </c>
      <c r="BB119" s="55" t="s">
        <v>2485</v>
      </c>
      <c r="BC119" s="55" t="s">
        <v>8726</v>
      </c>
      <c r="BD119" s="55" t="s">
        <v>8374</v>
      </c>
      <c r="BE119" s="56" t="s">
        <v>2449</v>
      </c>
      <c r="BF119" s="56" t="s">
        <v>272</v>
      </c>
      <c r="BG119" s="56" t="s">
        <v>272</v>
      </c>
      <c r="BH119" s="56" t="s">
        <v>2486</v>
      </c>
      <c r="BI119" s="153">
        <v>2.9365119999999996E-3</v>
      </c>
      <c r="BJ119" s="153">
        <v>29.365120000000001</v>
      </c>
      <c r="BK119" s="56"/>
      <c r="BL119" s="153">
        <v>376.92227690743039</v>
      </c>
      <c r="BM119" s="56" t="s">
        <v>2046</v>
      </c>
      <c r="BN119" s="56"/>
      <c r="BO119" s="56"/>
      <c r="BP119" s="56"/>
      <c r="BQ119" s="56"/>
      <c r="BR119" s="55">
        <v>26.245076000000001</v>
      </c>
      <c r="BS119" s="56"/>
      <c r="BT119" s="56"/>
      <c r="BU119" s="158"/>
      <c r="BV119" s="56"/>
      <c r="BW119" s="56"/>
      <c r="BX119" s="56"/>
      <c r="BY119" s="56"/>
      <c r="BZ119" s="56"/>
      <c r="CA119" s="56"/>
      <c r="CB119" s="56"/>
      <c r="CC119" s="56"/>
      <c r="CD119" s="56"/>
      <c r="CE119" s="56"/>
      <c r="CF119" s="56"/>
      <c r="CG119" s="56"/>
      <c r="CH119" s="56"/>
      <c r="CI119" s="103">
        <v>26.245076000000001</v>
      </c>
      <c r="CJ119" s="103">
        <f t="shared" si="35"/>
        <v>1.4190478347278148</v>
      </c>
      <c r="CK119" s="57">
        <f t="shared" si="39"/>
        <v>12.835713830130112</v>
      </c>
      <c r="CL119" s="160">
        <f t="shared" si="40"/>
        <v>14.361637851893832</v>
      </c>
      <c r="CM119" s="160">
        <v>-0.36151074304536324</v>
      </c>
      <c r="CN119" s="160">
        <f>BJ119/(10^CM119)</f>
        <v>67.506022988505848</v>
      </c>
      <c r="CO119" s="55" t="s">
        <v>2488</v>
      </c>
      <c r="CP119" s="497" t="s">
        <v>2489</v>
      </c>
      <c r="CQ119" s="149">
        <v>-0.18736950438955891</v>
      </c>
      <c r="CR119" s="349">
        <f t="shared" si="44"/>
        <v>40.403346600356464</v>
      </c>
      <c r="CS119" s="61" t="s">
        <v>539</v>
      </c>
      <c r="CT119" s="61"/>
      <c r="CU119" s="111">
        <f t="shared" si="41"/>
        <v>1.0060138764635585E-2</v>
      </c>
      <c r="CV119" s="331">
        <f t="shared" si="42"/>
        <v>8.9912490208930544E-3</v>
      </c>
      <c r="CW119" s="326">
        <f t="shared" si="36"/>
        <v>0</v>
      </c>
      <c r="CX119" s="326"/>
      <c r="CY119" s="161" t="s">
        <v>5921</v>
      </c>
    </row>
    <row r="120" spans="1:103" ht="11.25" customHeight="1" x14ac:dyDescent="0.2">
      <c r="A120" s="72">
        <v>108</v>
      </c>
      <c r="B120" s="149">
        <v>1147</v>
      </c>
      <c r="C120" s="54" t="s">
        <v>1252</v>
      </c>
      <c r="D120" s="54" t="s">
        <v>6531</v>
      </c>
      <c r="E120" s="59"/>
      <c r="F120" s="59" t="s">
        <v>1253</v>
      </c>
      <c r="G120" s="151">
        <v>68157608</v>
      </c>
      <c r="H120" s="55" t="s">
        <v>1254</v>
      </c>
      <c r="I120" s="55" t="s">
        <v>8287</v>
      </c>
      <c r="J120" s="55" t="s">
        <v>1255</v>
      </c>
      <c r="K120" s="55" t="s">
        <v>1256</v>
      </c>
      <c r="L120" s="55" t="s">
        <v>5995</v>
      </c>
      <c r="M120" s="60" t="s">
        <v>2342</v>
      </c>
      <c r="N120" s="60" t="s">
        <v>2342</v>
      </c>
      <c r="O120" s="55"/>
      <c r="P120" s="67"/>
      <c r="Q120" s="67"/>
      <c r="R120" s="67"/>
      <c r="S120" s="67"/>
      <c r="T120" s="56">
        <v>247.68</v>
      </c>
      <c r="U120" s="103">
        <v>39</v>
      </c>
      <c r="V120" s="103">
        <v>45.08</v>
      </c>
      <c r="W120" s="103">
        <v>23.653256370578909</v>
      </c>
      <c r="X120" s="103">
        <v>39</v>
      </c>
      <c r="Y120" s="162">
        <v>6.98</v>
      </c>
      <c r="Z120" s="56">
        <v>2.42</v>
      </c>
      <c r="AA120" s="56">
        <v>3.2</v>
      </c>
      <c r="AB120" s="56">
        <v>2.82</v>
      </c>
      <c r="AC120" s="56">
        <v>0.84489999999999998</v>
      </c>
      <c r="AD120" s="56">
        <v>2.98</v>
      </c>
      <c r="AE120" s="56">
        <v>3.46</v>
      </c>
      <c r="AF120" s="56">
        <f t="shared" si="43"/>
        <v>3.2</v>
      </c>
      <c r="AG120" s="57">
        <v>2.56</v>
      </c>
      <c r="AH120" s="103">
        <v>6.8000000000000001E-12</v>
      </c>
      <c r="AI120" s="103">
        <v>2.8799999999999998E-12</v>
      </c>
      <c r="AJ120" s="62">
        <f t="shared" si="37"/>
        <v>-9.5560574136064158</v>
      </c>
      <c r="AK120" s="62">
        <f>LOG10(AI120*1000/(0.08206*298.15))</f>
        <v>-9.9291738385534209</v>
      </c>
      <c r="AL120" s="62">
        <f t="shared" si="38"/>
        <v>-9.9291738385534209</v>
      </c>
      <c r="AM120" s="62">
        <v>-15.800219999999999</v>
      </c>
      <c r="AN120" s="154">
        <v>-10.7</v>
      </c>
      <c r="AO120" s="410">
        <v>12.55</v>
      </c>
      <c r="AP120" s="410">
        <v>1.54</v>
      </c>
      <c r="AQ120" s="56" t="s">
        <v>6311</v>
      </c>
      <c r="AR120" s="56" t="s">
        <v>6311</v>
      </c>
      <c r="AS120" s="155"/>
      <c r="AT120" s="58" t="s">
        <v>266</v>
      </c>
      <c r="AU120" s="56">
        <v>6</v>
      </c>
      <c r="AV120" s="56">
        <v>120</v>
      </c>
      <c r="AW120" s="56">
        <v>114</v>
      </c>
      <c r="AX120" s="56">
        <v>28</v>
      </c>
      <c r="AY120" s="56" t="s">
        <v>8728</v>
      </c>
      <c r="AZ120" s="56" t="s">
        <v>1563</v>
      </c>
      <c r="BA120" s="56">
        <v>32</v>
      </c>
      <c r="BB120" s="55" t="s">
        <v>2485</v>
      </c>
      <c r="BC120" s="55" t="s">
        <v>8726</v>
      </c>
      <c r="BD120" s="55" t="s">
        <v>8374</v>
      </c>
      <c r="BE120" s="56" t="s">
        <v>2449</v>
      </c>
      <c r="BF120" s="56" t="s">
        <v>272</v>
      </c>
      <c r="BG120" s="56" t="s">
        <v>272</v>
      </c>
      <c r="BH120" s="56" t="s">
        <v>2486</v>
      </c>
      <c r="BI120" s="153">
        <v>1.585152E-3</v>
      </c>
      <c r="BJ120" s="153">
        <v>15.851520000000001</v>
      </c>
      <c r="BK120" s="56"/>
      <c r="BL120" s="153">
        <v>85.366787603554457</v>
      </c>
      <c r="BM120" s="56" t="s">
        <v>2487</v>
      </c>
      <c r="BN120" s="56"/>
      <c r="BO120" s="56"/>
      <c r="BP120" s="56"/>
      <c r="BQ120" s="56"/>
      <c r="BR120" s="55">
        <v>13.027968000000001</v>
      </c>
      <c r="BS120" s="56"/>
      <c r="BT120" s="56"/>
      <c r="BU120" s="158"/>
      <c r="BV120" s="56"/>
      <c r="BW120" s="56"/>
      <c r="BX120" s="56"/>
      <c r="BY120" s="56"/>
      <c r="BZ120" s="56"/>
      <c r="CA120" s="56"/>
      <c r="CB120" s="56"/>
      <c r="CC120" s="56"/>
      <c r="CD120" s="56"/>
      <c r="CE120" s="56"/>
      <c r="CF120" s="56"/>
      <c r="CG120" s="56"/>
      <c r="CH120" s="56"/>
      <c r="CI120" s="103">
        <v>13.027968000000001</v>
      </c>
      <c r="CJ120" s="103">
        <f t="shared" si="35"/>
        <v>1.1148766831565378</v>
      </c>
      <c r="CK120" s="57">
        <f t="shared" si="39"/>
        <v>5.3854007441276579</v>
      </c>
      <c r="CL120" s="160">
        <f t="shared" si="40"/>
        <v>6.5525788521705337</v>
      </c>
      <c r="CM120" s="160">
        <v>0.94448267215016868</v>
      </c>
      <c r="CN120" s="160">
        <f>BJ120/(10^CM120)</f>
        <v>1.8013090909090907</v>
      </c>
      <c r="CO120" s="55" t="s">
        <v>2488</v>
      </c>
      <c r="CP120" s="497" t="s">
        <v>2489</v>
      </c>
      <c r="CQ120" s="149">
        <v>0.9541352497478619</v>
      </c>
      <c r="CR120" s="349">
        <f t="shared" si="44"/>
        <v>1.4479095526792833</v>
      </c>
      <c r="CS120" s="61" t="s">
        <v>539</v>
      </c>
      <c r="CT120" s="61"/>
      <c r="CU120" s="111">
        <f t="shared" si="41"/>
        <v>2.9935597017125</v>
      </c>
      <c r="CV120" s="331">
        <f t="shared" si="42"/>
        <v>2.4603318798449609</v>
      </c>
      <c r="CW120" s="326">
        <f t="shared" si="36"/>
        <v>1</v>
      </c>
      <c r="CX120" s="326"/>
      <c r="CY120" s="161" t="s">
        <v>5921</v>
      </c>
    </row>
    <row r="121" spans="1:103" ht="11.25" customHeight="1" x14ac:dyDescent="0.2">
      <c r="A121" s="72">
        <v>109</v>
      </c>
      <c r="B121" s="149">
        <v>1284</v>
      </c>
      <c r="C121" s="54" t="s">
        <v>3526</v>
      </c>
      <c r="D121" s="54" t="s">
        <v>6501</v>
      </c>
      <c r="E121" s="59"/>
      <c r="F121" s="59" t="s">
        <v>3527</v>
      </c>
      <c r="G121" s="151">
        <v>4151502</v>
      </c>
      <c r="H121" s="55" t="s">
        <v>3528</v>
      </c>
      <c r="I121" s="55" t="s">
        <v>3528</v>
      </c>
      <c r="J121" s="55" t="s">
        <v>3529</v>
      </c>
      <c r="K121" s="55" t="s">
        <v>471</v>
      </c>
      <c r="L121" s="55" t="s">
        <v>617</v>
      </c>
      <c r="M121" s="55" t="s">
        <v>3530</v>
      </c>
      <c r="N121" s="60" t="s">
        <v>6381</v>
      </c>
      <c r="O121" s="55" t="s">
        <v>918</v>
      </c>
      <c r="P121" s="67"/>
      <c r="Q121" s="67"/>
      <c r="R121" s="67"/>
      <c r="S121" s="67"/>
      <c r="T121" s="56">
        <v>527.20000000000005</v>
      </c>
      <c r="U121" s="103"/>
      <c r="V121" s="103">
        <v>8.0900000000000004E-4</v>
      </c>
      <c r="W121" s="103">
        <v>1.5204614084483486E-5</v>
      </c>
      <c r="X121" s="103">
        <v>1.5204614084483486E-5</v>
      </c>
      <c r="Y121" s="162">
        <v>7</v>
      </c>
      <c r="Z121" s="56">
        <v>6.76</v>
      </c>
      <c r="AA121" s="56"/>
      <c r="AB121" s="56">
        <v>5.38</v>
      </c>
      <c r="AC121" s="56">
        <v>0.55930000000000002</v>
      </c>
      <c r="AD121" s="56">
        <v>6.43</v>
      </c>
      <c r="AE121" s="56">
        <v>8.5</v>
      </c>
      <c r="AF121" s="56">
        <f t="shared" si="43"/>
        <v>6.43</v>
      </c>
      <c r="AG121" s="57">
        <v>4.2</v>
      </c>
      <c r="AH121" s="103">
        <v>5.37</v>
      </c>
      <c r="AI121" s="103"/>
      <c r="AJ121" s="62">
        <f t="shared" si="37"/>
        <v>2.3414079593869039</v>
      </c>
      <c r="AK121" s="62"/>
      <c r="AL121" s="62">
        <f t="shared" si="38"/>
        <v>2.3414079593869039</v>
      </c>
      <c r="AM121" s="62">
        <v>-3.97838</v>
      </c>
      <c r="AN121" s="154">
        <v>-4.21</v>
      </c>
      <c r="AO121" s="410">
        <v>8.0399999999999991</v>
      </c>
      <c r="AP121" s="410">
        <v>-8.01</v>
      </c>
      <c r="AQ121" s="56" t="s">
        <v>6311</v>
      </c>
      <c r="AR121" s="56" t="s">
        <v>6311</v>
      </c>
      <c r="AS121" s="155"/>
      <c r="AT121" s="58" t="s">
        <v>266</v>
      </c>
      <c r="AU121" s="56">
        <v>6</v>
      </c>
      <c r="AV121" s="56">
        <v>120</v>
      </c>
      <c r="AW121" s="56">
        <v>114</v>
      </c>
      <c r="AX121" s="56">
        <v>28</v>
      </c>
      <c r="AY121" s="56" t="s">
        <v>8728</v>
      </c>
      <c r="AZ121" s="56" t="s">
        <v>1563</v>
      </c>
      <c r="BA121" s="56">
        <v>32</v>
      </c>
      <c r="BB121" s="55" t="s">
        <v>2485</v>
      </c>
      <c r="BC121" s="55" t="s">
        <v>8726</v>
      </c>
      <c r="BD121" s="55" t="s">
        <v>8374</v>
      </c>
      <c r="BE121" s="56" t="s">
        <v>2449</v>
      </c>
      <c r="BF121" s="56" t="s">
        <v>272</v>
      </c>
      <c r="BG121" s="56" t="s">
        <v>272</v>
      </c>
      <c r="BH121" s="56" t="s">
        <v>2486</v>
      </c>
      <c r="BI121" s="153">
        <v>3.3740800000000002E-3</v>
      </c>
      <c r="BJ121" s="153">
        <v>33.7408</v>
      </c>
      <c r="BK121" s="56"/>
      <c r="BL121" s="153">
        <v>2.2994258088213849E-2</v>
      </c>
      <c r="BM121" s="56" t="s">
        <v>2046</v>
      </c>
      <c r="BN121" s="56"/>
      <c r="BO121" s="56"/>
      <c r="BP121" s="56"/>
      <c r="BQ121" s="56"/>
      <c r="BR121" s="55">
        <v>26.781760000000002</v>
      </c>
      <c r="BS121" s="56"/>
      <c r="BT121" s="56"/>
      <c r="BU121" s="158"/>
      <c r="BV121" s="56"/>
      <c r="BW121" s="56"/>
      <c r="BX121" s="56"/>
      <c r="BY121" s="56"/>
      <c r="BZ121" s="56"/>
      <c r="CA121" s="56"/>
      <c r="CB121" s="56"/>
      <c r="CC121" s="56"/>
      <c r="CD121" s="56"/>
      <c r="CE121" s="56"/>
      <c r="CF121" s="56"/>
      <c r="CG121" s="56"/>
      <c r="CH121" s="56"/>
      <c r="CI121" s="103">
        <v>26.781760000000002</v>
      </c>
      <c r="CJ121" s="103">
        <f t="shared" si="35"/>
        <v>1.4278391138698727</v>
      </c>
      <c r="CK121" s="57">
        <f t="shared" si="39"/>
        <v>6.8149712182917564E-4</v>
      </c>
      <c r="CL121" s="160">
        <f t="shared" si="40"/>
        <v>8.5857905112337078E-4</v>
      </c>
      <c r="CM121" s="160"/>
      <c r="CN121" s="160"/>
      <c r="CO121" s="55" t="s">
        <v>2488</v>
      </c>
      <c r="CP121" s="497" t="s">
        <v>2489</v>
      </c>
      <c r="CQ121" s="149">
        <v>-0.72353819582675583</v>
      </c>
      <c r="CR121" s="349">
        <f t="shared" si="44"/>
        <v>141.70243386243394</v>
      </c>
      <c r="CS121" s="61" t="s">
        <v>539</v>
      </c>
      <c r="CT121" s="61"/>
      <c r="CU121" s="111">
        <f t="shared" si="41"/>
        <v>5.6772273683594674E-7</v>
      </c>
      <c r="CV121" s="331">
        <f t="shared" si="42"/>
        <v>4.5062992236353276E-7</v>
      </c>
      <c r="CW121" s="326">
        <f t="shared" si="36"/>
        <v>0</v>
      </c>
      <c r="CX121" s="326"/>
      <c r="CY121" s="161" t="s">
        <v>5921</v>
      </c>
    </row>
    <row r="122" spans="1:103" ht="11.25" customHeight="1" x14ac:dyDescent="0.2">
      <c r="A122" s="72">
        <v>123</v>
      </c>
      <c r="B122" s="149">
        <v>992</v>
      </c>
      <c r="C122" s="54" t="s">
        <v>2830</v>
      </c>
      <c r="D122" s="54" t="s">
        <v>8367</v>
      </c>
      <c r="E122" s="59"/>
      <c r="F122" s="59" t="s">
        <v>2831</v>
      </c>
      <c r="G122" s="151">
        <v>136776</v>
      </c>
      <c r="H122" s="55" t="s">
        <v>2832</v>
      </c>
      <c r="I122" s="55" t="s">
        <v>2832</v>
      </c>
      <c r="J122" s="55" t="s">
        <v>2833</v>
      </c>
      <c r="K122" s="55" t="s">
        <v>376</v>
      </c>
      <c r="L122" s="55"/>
      <c r="M122" s="55"/>
      <c r="N122" s="60"/>
      <c r="O122" s="55"/>
      <c r="P122" s="67"/>
      <c r="Q122" s="67" t="s">
        <v>6176</v>
      </c>
      <c r="R122" s="67" t="s">
        <v>6185</v>
      </c>
      <c r="S122" s="67" t="s">
        <v>6173</v>
      </c>
      <c r="T122" s="56">
        <v>194.27</v>
      </c>
      <c r="U122" s="103">
        <v>500</v>
      </c>
      <c r="V122" s="103">
        <v>201.3</v>
      </c>
      <c r="W122" s="103">
        <v>250.26824040742494</v>
      </c>
      <c r="X122" s="103">
        <v>500</v>
      </c>
      <c r="Y122" s="162">
        <v>6.37</v>
      </c>
      <c r="Z122" s="56">
        <v>4.04</v>
      </c>
      <c r="AA122" s="56">
        <v>3.45</v>
      </c>
      <c r="AB122" s="56">
        <v>3.66</v>
      </c>
      <c r="AC122" s="56">
        <v>0.86819999999999997</v>
      </c>
      <c r="AD122" s="56">
        <v>3.71</v>
      </c>
      <c r="AE122" s="56">
        <v>3.88</v>
      </c>
      <c r="AF122" s="56">
        <f t="shared" si="43"/>
        <v>3.45</v>
      </c>
      <c r="AG122" s="57">
        <v>3.71</v>
      </c>
      <c r="AH122" s="103">
        <v>2.6500000000000002E-10</v>
      </c>
      <c r="AI122" s="103"/>
      <c r="AJ122" s="62">
        <f t="shared" si="37"/>
        <v>-7.9653204523758436</v>
      </c>
      <c r="AK122" s="62"/>
      <c r="AL122" s="62">
        <f t="shared" si="38"/>
        <v>-7.9653204523758436</v>
      </c>
      <c r="AM122" s="62">
        <v>-10.94233</v>
      </c>
      <c r="AN122" s="154">
        <v>-7.62</v>
      </c>
      <c r="AO122" s="410">
        <v>10</v>
      </c>
      <c r="AP122" s="410"/>
      <c r="AQ122" s="56" t="s">
        <v>6311</v>
      </c>
      <c r="AR122" s="56" t="s">
        <v>6311</v>
      </c>
      <c r="AS122" s="155"/>
      <c r="AT122" s="58" t="s">
        <v>266</v>
      </c>
      <c r="AU122" s="56">
        <v>6</v>
      </c>
      <c r="AV122" s="56">
        <v>120</v>
      </c>
      <c r="AW122" s="56">
        <v>114</v>
      </c>
      <c r="AX122" s="56">
        <v>28</v>
      </c>
      <c r="AY122" s="56" t="s">
        <v>8728</v>
      </c>
      <c r="AZ122" s="56" t="s">
        <v>1563</v>
      </c>
      <c r="BA122" s="56">
        <v>32</v>
      </c>
      <c r="BB122" s="55" t="s">
        <v>2485</v>
      </c>
      <c r="BC122" s="55" t="s">
        <v>8726</v>
      </c>
      <c r="BD122" s="55" t="s">
        <v>8374</v>
      </c>
      <c r="BE122" s="56" t="s">
        <v>2449</v>
      </c>
      <c r="BF122" s="56" t="s">
        <v>272</v>
      </c>
      <c r="BG122" s="56" t="s">
        <v>272</v>
      </c>
      <c r="BH122" s="56" t="s">
        <v>2486</v>
      </c>
      <c r="BI122" s="153">
        <v>1.2433279999999999E-3</v>
      </c>
      <c r="BJ122" s="153">
        <v>12.433280000000002</v>
      </c>
      <c r="BK122" s="56"/>
      <c r="BL122" s="153">
        <v>2.3489930951612896</v>
      </c>
      <c r="BM122" s="56" t="s">
        <v>2046</v>
      </c>
      <c r="BN122" s="56"/>
      <c r="BO122" s="56"/>
      <c r="BP122" s="56"/>
      <c r="BQ122" s="56"/>
      <c r="BR122" s="55">
        <v>3.9317483537900002</v>
      </c>
      <c r="BS122" s="56"/>
      <c r="BT122" s="56"/>
      <c r="BU122" s="158"/>
      <c r="BV122" s="56"/>
      <c r="BW122" s="56"/>
      <c r="BX122" s="56"/>
      <c r="BY122" s="56"/>
      <c r="BZ122" s="56"/>
      <c r="CA122" s="56"/>
      <c r="CB122" s="56"/>
      <c r="CC122" s="56"/>
      <c r="CD122" s="56"/>
      <c r="CE122" s="56"/>
      <c r="CF122" s="56"/>
      <c r="CG122" s="56"/>
      <c r="CH122" s="56"/>
      <c r="CI122" s="103">
        <v>3.9317483537900002</v>
      </c>
      <c r="CJ122" s="103">
        <f t="shared" si="35"/>
        <v>0.5945857136215037</v>
      </c>
      <c r="CK122" s="57">
        <f t="shared" si="39"/>
        <v>0.18892786900651232</v>
      </c>
      <c r="CL122" s="160">
        <f t="shared" si="40"/>
        <v>0.59744238028280294</v>
      </c>
      <c r="CM122" s="160"/>
      <c r="CN122" s="160"/>
      <c r="CO122" s="55" t="s">
        <v>2488</v>
      </c>
      <c r="CP122" s="497" t="s">
        <v>2489</v>
      </c>
      <c r="CQ122" s="149" t="s">
        <v>272</v>
      </c>
      <c r="CR122" s="349"/>
      <c r="CS122" s="61" t="s">
        <v>539</v>
      </c>
      <c r="CT122" s="61"/>
      <c r="CU122" s="111">
        <f t="shared" si="41"/>
        <v>127.16988856065167</v>
      </c>
      <c r="CV122" s="331">
        <f t="shared" si="42"/>
        <v>40.214649714315122</v>
      </c>
      <c r="CW122" s="326">
        <f t="shared" si="36"/>
        <v>1</v>
      </c>
      <c r="CX122" s="326"/>
      <c r="CY122" s="161" t="s">
        <v>5921</v>
      </c>
    </row>
    <row r="123" spans="1:103" ht="11.25" customHeight="1" x14ac:dyDescent="0.2">
      <c r="A123" s="72">
        <v>129</v>
      </c>
      <c r="B123" s="149">
        <v>1014</v>
      </c>
      <c r="C123" s="54" t="s">
        <v>2900</v>
      </c>
      <c r="D123" s="54" t="s">
        <v>8368</v>
      </c>
      <c r="E123" s="59"/>
      <c r="F123" s="59" t="s">
        <v>2901</v>
      </c>
      <c r="G123" s="151">
        <v>148243</v>
      </c>
      <c r="H123" s="55" t="s">
        <v>2902</v>
      </c>
      <c r="I123" s="55" t="s">
        <v>2902</v>
      </c>
      <c r="J123" s="55" t="s">
        <v>2903</v>
      </c>
      <c r="K123" s="55" t="s">
        <v>349</v>
      </c>
      <c r="L123" s="55"/>
      <c r="M123" s="55"/>
      <c r="N123" s="60"/>
      <c r="O123" s="55"/>
      <c r="P123" s="67"/>
      <c r="Q123" s="67" t="s">
        <v>6176</v>
      </c>
      <c r="R123" s="67" t="s">
        <v>6175</v>
      </c>
      <c r="S123" s="67" t="s">
        <v>6173</v>
      </c>
      <c r="T123" s="56">
        <v>145.16</v>
      </c>
      <c r="U123" s="103">
        <v>417</v>
      </c>
      <c r="V123" s="103">
        <v>7965</v>
      </c>
      <c r="W123" s="103">
        <v>1785.8581477112521</v>
      </c>
      <c r="X123" s="103">
        <v>417</v>
      </c>
      <c r="Y123" s="162">
        <v>7</v>
      </c>
      <c r="Z123" s="56">
        <v>1.66</v>
      </c>
      <c r="AA123" s="56">
        <v>1.85</v>
      </c>
      <c r="AB123" s="56">
        <v>1.97</v>
      </c>
      <c r="AC123" s="56">
        <v>0.89770000000000005</v>
      </c>
      <c r="AD123" s="56">
        <v>1.94</v>
      </c>
      <c r="AE123" s="56">
        <v>1.87</v>
      </c>
      <c r="AF123" s="56">
        <f t="shared" si="43"/>
        <v>1.85</v>
      </c>
      <c r="AG123" s="57">
        <v>1.77</v>
      </c>
      <c r="AH123" s="103">
        <v>7.1600000000000003E-11</v>
      </c>
      <c r="AI123" s="103">
        <v>5.7000000000000005E-7</v>
      </c>
      <c r="AJ123" s="62">
        <f t="shared" si="37"/>
        <v>-8.5336533040047957</v>
      </c>
      <c r="AK123" s="62">
        <f>LOG10(AI123*1000/(0.08206*298.15))</f>
        <v>-4.6326914706401601</v>
      </c>
      <c r="AL123" s="62">
        <f t="shared" si="38"/>
        <v>-4.6326914706401601</v>
      </c>
      <c r="AM123" s="62">
        <v>-8.8544599999999996</v>
      </c>
      <c r="AN123" s="154">
        <v>-6.81</v>
      </c>
      <c r="AO123" s="410">
        <v>5.0599999999999996</v>
      </c>
      <c r="AP123" s="410">
        <v>9.81</v>
      </c>
      <c r="AQ123" s="56" t="s">
        <v>6311</v>
      </c>
      <c r="AR123" s="56" t="s">
        <v>6311</v>
      </c>
      <c r="AS123" s="155"/>
      <c r="AT123" s="58" t="s">
        <v>266</v>
      </c>
      <c r="AU123" s="56">
        <v>6</v>
      </c>
      <c r="AV123" s="56">
        <v>120</v>
      </c>
      <c r="AW123" s="56">
        <v>114</v>
      </c>
      <c r="AX123" s="56">
        <v>28</v>
      </c>
      <c r="AY123" s="56" t="s">
        <v>8728</v>
      </c>
      <c r="AZ123" s="56" t="s">
        <v>1563</v>
      </c>
      <c r="BA123" s="56">
        <v>32</v>
      </c>
      <c r="BB123" s="55" t="s">
        <v>2485</v>
      </c>
      <c r="BC123" s="55" t="s">
        <v>8726</v>
      </c>
      <c r="BD123" s="55" t="s">
        <v>8374</v>
      </c>
      <c r="BE123" s="56" t="s">
        <v>2449</v>
      </c>
      <c r="BF123" s="56" t="s">
        <v>272</v>
      </c>
      <c r="BG123" s="56" t="s">
        <v>272</v>
      </c>
      <c r="BH123" s="56" t="s">
        <v>2486</v>
      </c>
      <c r="BI123" s="153">
        <v>9.2902399999999997E-4</v>
      </c>
      <c r="BJ123" s="153">
        <v>9.2902400000000007</v>
      </c>
      <c r="BK123" s="56"/>
      <c r="BL123" s="153">
        <v>240.88012037157296</v>
      </c>
      <c r="BM123" s="56" t="s">
        <v>2046</v>
      </c>
      <c r="BN123" s="56"/>
      <c r="BO123" s="56"/>
      <c r="BP123" s="56"/>
      <c r="BQ123" s="56"/>
      <c r="BR123" s="55">
        <v>2.9378318373200001</v>
      </c>
      <c r="BS123" s="56"/>
      <c r="BT123" s="56"/>
      <c r="BU123" s="158"/>
      <c r="BV123" s="56"/>
      <c r="BW123" s="56"/>
      <c r="BX123" s="56"/>
      <c r="BY123" s="56"/>
      <c r="BZ123" s="56"/>
      <c r="CA123" s="56"/>
      <c r="CB123" s="56"/>
      <c r="CC123" s="56"/>
      <c r="CD123" s="56"/>
      <c r="CE123" s="56"/>
      <c r="CF123" s="56"/>
      <c r="CG123" s="56"/>
      <c r="CH123" s="56"/>
      <c r="CI123" s="103">
        <v>2.9378318373200001</v>
      </c>
      <c r="CJ123" s="103">
        <f t="shared" si="35"/>
        <v>0.46802693297427161</v>
      </c>
      <c r="CK123" s="57">
        <f t="shared" si="39"/>
        <v>25.928298985986686</v>
      </c>
      <c r="CL123" s="160">
        <f t="shared" si="40"/>
        <v>81.992480751149046</v>
      </c>
      <c r="CM123" s="160"/>
      <c r="CN123" s="160"/>
      <c r="CO123" s="55" t="s">
        <v>2488</v>
      </c>
      <c r="CP123" s="497" t="s">
        <v>2489</v>
      </c>
      <c r="CQ123" s="149" t="s">
        <v>272</v>
      </c>
      <c r="CR123" s="349"/>
      <c r="CS123" s="61" t="s">
        <v>539</v>
      </c>
      <c r="CT123" s="61"/>
      <c r="CU123" s="111">
        <f t="shared" si="41"/>
        <v>141.94141226966994</v>
      </c>
      <c r="CV123" s="331">
        <f t="shared" si="42"/>
        <v>44.885815651694678</v>
      </c>
      <c r="CW123" s="326">
        <f t="shared" si="36"/>
        <v>1</v>
      </c>
      <c r="CX123" s="326"/>
      <c r="CY123" s="161" t="s">
        <v>6351</v>
      </c>
    </row>
    <row r="124" spans="1:103" ht="11.25" customHeight="1" x14ac:dyDescent="0.2">
      <c r="A124" s="72">
        <v>137</v>
      </c>
      <c r="B124" s="149">
        <v>1301</v>
      </c>
      <c r="C124" s="54" t="s">
        <v>3570</v>
      </c>
      <c r="D124" s="54" t="s">
        <v>8544</v>
      </c>
      <c r="E124" s="59"/>
      <c r="F124" s="59" t="s">
        <v>661</v>
      </c>
      <c r="G124" s="151">
        <v>302794</v>
      </c>
      <c r="H124" s="55" t="s">
        <v>662</v>
      </c>
      <c r="I124" s="55" t="s">
        <v>662</v>
      </c>
      <c r="J124" s="55" t="s">
        <v>663</v>
      </c>
      <c r="K124" s="55" t="s">
        <v>426</v>
      </c>
      <c r="L124" s="55" t="s">
        <v>279</v>
      </c>
      <c r="M124" s="55" t="s">
        <v>664</v>
      </c>
      <c r="N124" s="60"/>
      <c r="O124" s="55" t="s">
        <v>281</v>
      </c>
      <c r="P124" s="67"/>
      <c r="Q124" s="67"/>
      <c r="R124" s="67"/>
      <c r="S124" s="67"/>
      <c r="T124" s="56">
        <v>300.44</v>
      </c>
      <c r="U124" s="103"/>
      <c r="V124" s="103">
        <v>0.1263</v>
      </c>
      <c r="W124" s="103">
        <v>14.714914849105602</v>
      </c>
      <c r="X124" s="103">
        <v>14.714914849105602</v>
      </c>
      <c r="Y124" s="162">
        <v>4.6500000000000004</v>
      </c>
      <c r="Z124" s="56">
        <v>7.85</v>
      </c>
      <c r="AA124" s="56">
        <v>6.3</v>
      </c>
      <c r="AB124" s="56">
        <v>5.52</v>
      </c>
      <c r="AC124" s="56">
        <v>0.80679999999999996</v>
      </c>
      <c r="AD124" s="56">
        <v>5.9</v>
      </c>
      <c r="AE124" s="56">
        <v>6.83</v>
      </c>
      <c r="AF124" s="56">
        <f t="shared" si="43"/>
        <v>6.3</v>
      </c>
      <c r="AG124" s="57">
        <v>5.9</v>
      </c>
      <c r="AH124" s="103">
        <v>9.5000000000000005E-6</v>
      </c>
      <c r="AI124" s="103"/>
      <c r="AJ124" s="62">
        <f t="shared" si="37"/>
        <v>-3.4108427210238039</v>
      </c>
      <c r="AK124" s="62"/>
      <c r="AL124" s="62">
        <f t="shared" si="38"/>
        <v>-3.4108427210238039</v>
      </c>
      <c r="AM124" s="62">
        <v>-10.49797</v>
      </c>
      <c r="AN124" s="154">
        <v>-7.02</v>
      </c>
      <c r="AO124" s="410">
        <v>4.7300000000000004</v>
      </c>
      <c r="AP124" s="410"/>
      <c r="AQ124" s="56" t="s">
        <v>6311</v>
      </c>
      <c r="AR124" s="56" t="s">
        <v>6311</v>
      </c>
      <c r="AS124" s="155"/>
      <c r="AT124" s="58" t="s">
        <v>266</v>
      </c>
      <c r="AU124" s="56">
        <v>6</v>
      </c>
      <c r="AV124" s="56">
        <v>120</v>
      </c>
      <c r="AW124" s="56">
        <v>114</v>
      </c>
      <c r="AX124" s="56">
        <v>28</v>
      </c>
      <c r="AY124" s="56" t="s">
        <v>8728</v>
      </c>
      <c r="AZ124" s="56" t="s">
        <v>1563</v>
      </c>
      <c r="BA124" s="56">
        <v>32</v>
      </c>
      <c r="BB124" s="55" t="s">
        <v>2485</v>
      </c>
      <c r="BC124" s="55" t="s">
        <v>8726</v>
      </c>
      <c r="BD124" s="55" t="s">
        <v>8374</v>
      </c>
      <c r="BE124" s="56" t="s">
        <v>2449</v>
      </c>
      <c r="BF124" s="56" t="s">
        <v>272</v>
      </c>
      <c r="BG124" s="56" t="s">
        <v>272</v>
      </c>
      <c r="BH124" s="56" t="s">
        <v>2486</v>
      </c>
      <c r="BI124" s="153">
        <v>1.9228159999999999E-3</v>
      </c>
      <c r="BJ124" s="153">
        <v>19.228159999999999</v>
      </c>
      <c r="BK124" s="56"/>
      <c r="BL124" s="153">
        <v>1.3755385092719082E-3</v>
      </c>
      <c r="BM124" s="56" t="s">
        <v>2046</v>
      </c>
      <c r="BN124" s="56"/>
      <c r="BO124" s="56"/>
      <c r="BP124" s="56"/>
      <c r="BQ124" s="56"/>
      <c r="BR124" s="55">
        <v>0.60804789751999999</v>
      </c>
      <c r="BS124" s="56"/>
      <c r="BT124" s="56"/>
      <c r="BU124" s="158"/>
      <c r="BV124" s="56"/>
      <c r="BW124" s="56"/>
      <c r="BX124" s="56"/>
      <c r="BY124" s="56"/>
      <c r="BZ124" s="56"/>
      <c r="CA124" s="56"/>
      <c r="CB124" s="56"/>
      <c r="CC124" s="56"/>
      <c r="CD124" s="56"/>
      <c r="CE124" s="56"/>
      <c r="CF124" s="56"/>
      <c r="CG124" s="56"/>
      <c r="CH124" s="56"/>
      <c r="CI124" s="103">
        <v>0.60804789751999999</v>
      </c>
      <c r="CJ124" s="103">
        <f t="shared" si="35"/>
        <v>-0.21606220886984395</v>
      </c>
      <c r="CK124" s="57">
        <f t="shared" si="39"/>
        <v>7.153770871845815E-5</v>
      </c>
      <c r="CL124" s="160">
        <f t="shared" si="40"/>
        <v>2.262220648870287E-3</v>
      </c>
      <c r="CM124" s="160"/>
      <c r="CN124" s="160"/>
      <c r="CO124" s="55" t="s">
        <v>2488</v>
      </c>
      <c r="CP124" s="497" t="s">
        <v>2489</v>
      </c>
      <c r="CQ124" s="149" t="s">
        <v>272</v>
      </c>
      <c r="CR124" s="349"/>
      <c r="CS124" s="61" t="s">
        <v>539</v>
      </c>
      <c r="CT124" s="61"/>
      <c r="CU124" s="111">
        <f t="shared" si="41"/>
        <v>24.200256113247388</v>
      </c>
      <c r="CV124" s="331">
        <f t="shared" si="42"/>
        <v>0.76527940526319749</v>
      </c>
      <c r="CW124" s="326">
        <f t="shared" si="36"/>
        <v>1</v>
      </c>
      <c r="CX124" s="326"/>
      <c r="CY124" s="161" t="s">
        <v>5921</v>
      </c>
    </row>
    <row r="125" spans="1:103" ht="11.25" customHeight="1" x14ac:dyDescent="0.2">
      <c r="A125" s="72">
        <v>144</v>
      </c>
      <c r="B125" s="149">
        <v>1152</v>
      </c>
      <c r="C125" s="54" t="s">
        <v>1899</v>
      </c>
      <c r="D125" s="54" t="s">
        <v>8545</v>
      </c>
      <c r="E125" s="59"/>
      <c r="F125" s="59" t="s">
        <v>1900</v>
      </c>
      <c r="G125" s="151">
        <v>446720</v>
      </c>
      <c r="H125" s="55" t="s">
        <v>1901</v>
      </c>
      <c r="I125" s="55" t="s">
        <v>1901</v>
      </c>
      <c r="J125" s="55" t="s">
        <v>1902</v>
      </c>
      <c r="K125" s="55" t="s">
        <v>1903</v>
      </c>
      <c r="L125" s="55" t="s">
        <v>6126</v>
      </c>
      <c r="M125" s="55" t="s">
        <v>1904</v>
      </c>
      <c r="N125" s="60"/>
      <c r="O125" s="55" t="s">
        <v>1905</v>
      </c>
      <c r="P125" s="67"/>
      <c r="Q125" s="67"/>
      <c r="R125" s="67"/>
      <c r="S125" s="67"/>
      <c r="T125" s="56">
        <v>270.24</v>
      </c>
      <c r="U125" s="103"/>
      <c r="V125" s="103">
        <v>257.7</v>
      </c>
      <c r="W125" s="103">
        <v>182.70466326992903</v>
      </c>
      <c r="X125" s="103">
        <v>182.70466326992903</v>
      </c>
      <c r="Y125" s="162">
        <v>4.7699999999999996</v>
      </c>
      <c r="Z125" s="56">
        <v>2.84</v>
      </c>
      <c r="AA125" s="56"/>
      <c r="AB125" s="56">
        <v>2.57</v>
      </c>
      <c r="AC125" s="56">
        <v>0.76629999999999998</v>
      </c>
      <c r="AD125" s="56">
        <v>2.63</v>
      </c>
      <c r="AE125" s="56">
        <v>2.96</v>
      </c>
      <c r="AF125" s="56">
        <f t="shared" si="43"/>
        <v>2.63</v>
      </c>
      <c r="AG125" s="57">
        <v>2.31</v>
      </c>
      <c r="AH125" s="103">
        <v>5.1199999999999999E-17</v>
      </c>
      <c r="AI125" s="103"/>
      <c r="AJ125" s="62">
        <f t="shared" si="37"/>
        <v>-14.679296365336821</v>
      </c>
      <c r="AK125" s="62"/>
      <c r="AL125" s="62">
        <f t="shared" si="38"/>
        <v>-14.679296365336821</v>
      </c>
      <c r="AM125" s="62">
        <v>-20.039929999999998</v>
      </c>
      <c r="AN125" s="154">
        <v>-15.5</v>
      </c>
      <c r="AO125" s="410">
        <v>6.51</v>
      </c>
      <c r="AP125" s="410"/>
      <c r="AQ125" s="56" t="s">
        <v>6311</v>
      </c>
      <c r="AR125" s="56" t="s">
        <v>6311</v>
      </c>
      <c r="AS125" s="155"/>
      <c r="AT125" s="58" t="s">
        <v>266</v>
      </c>
      <c r="AU125" s="56">
        <v>6</v>
      </c>
      <c r="AV125" s="56">
        <v>120</v>
      </c>
      <c r="AW125" s="56">
        <v>114</v>
      </c>
      <c r="AX125" s="56">
        <v>28</v>
      </c>
      <c r="AY125" s="56" t="s">
        <v>8728</v>
      </c>
      <c r="AZ125" s="56" t="s">
        <v>1563</v>
      </c>
      <c r="BA125" s="56">
        <v>32</v>
      </c>
      <c r="BB125" s="55" t="s">
        <v>2485</v>
      </c>
      <c r="BC125" s="55" t="s">
        <v>8726</v>
      </c>
      <c r="BD125" s="55" t="s">
        <v>8374</v>
      </c>
      <c r="BE125" s="56" t="s">
        <v>2449</v>
      </c>
      <c r="BF125" s="56" t="s">
        <v>272</v>
      </c>
      <c r="BG125" s="56" t="s">
        <v>272</v>
      </c>
      <c r="BH125" s="56" t="s">
        <v>2486</v>
      </c>
      <c r="BI125" s="153">
        <v>1.7295360000000001E-3</v>
      </c>
      <c r="BJ125" s="153">
        <v>17.295360000000002</v>
      </c>
      <c r="BK125" s="56"/>
      <c r="BL125" s="153">
        <v>39.079197088081351</v>
      </c>
      <c r="BM125" s="56" t="s">
        <v>2046</v>
      </c>
      <c r="BN125" s="56"/>
      <c r="BO125" s="56"/>
      <c r="BP125" s="56"/>
      <c r="BQ125" s="56"/>
      <c r="BR125" s="55">
        <v>5.4692730484800007</v>
      </c>
      <c r="BS125" s="56"/>
      <c r="BT125" s="56"/>
      <c r="BU125" s="158"/>
      <c r="BV125" s="56"/>
      <c r="BW125" s="56"/>
      <c r="BX125" s="56"/>
      <c r="BY125" s="56"/>
      <c r="BZ125" s="56"/>
      <c r="CA125" s="56"/>
      <c r="CB125" s="56"/>
      <c r="CC125" s="56"/>
      <c r="CD125" s="56"/>
      <c r="CE125" s="56"/>
      <c r="CF125" s="56"/>
      <c r="CG125" s="56"/>
      <c r="CH125" s="56"/>
      <c r="CI125" s="103">
        <v>5.4692730484800007</v>
      </c>
      <c r="CJ125" s="103">
        <f t="shared" si="35"/>
        <v>0.73792960567268628</v>
      </c>
      <c r="CK125" s="57">
        <f t="shared" si="39"/>
        <v>2.2595191477992564</v>
      </c>
      <c r="CL125" s="160">
        <f t="shared" si="40"/>
        <v>7.1452269326619362</v>
      </c>
      <c r="CM125" s="160"/>
      <c r="CN125" s="160"/>
      <c r="CO125" s="55" t="s">
        <v>2488</v>
      </c>
      <c r="CP125" s="497" t="s">
        <v>2489</v>
      </c>
      <c r="CQ125" s="149" t="s">
        <v>272</v>
      </c>
      <c r="CR125" s="349"/>
      <c r="CS125" s="61" t="s">
        <v>539</v>
      </c>
      <c r="CT125" s="61"/>
      <c r="CU125" s="111">
        <f t="shared" si="41"/>
        <v>33.405657689865308</v>
      </c>
      <c r="CV125" s="331">
        <f t="shared" si="42"/>
        <v>10.563796490499707</v>
      </c>
      <c r="CW125" s="326">
        <f t="shared" si="36"/>
        <v>1</v>
      </c>
      <c r="CX125" s="326"/>
      <c r="CY125" s="161" t="s">
        <v>5921</v>
      </c>
    </row>
    <row r="126" spans="1:103" ht="11.25" customHeight="1" x14ac:dyDescent="0.2">
      <c r="A126" s="72">
        <v>145</v>
      </c>
      <c r="B126" s="149">
        <v>1015</v>
      </c>
      <c r="C126" s="54" t="s">
        <v>2904</v>
      </c>
      <c r="D126" s="54" t="s">
        <v>8370</v>
      </c>
      <c r="E126" s="59"/>
      <c r="F126" s="59" t="s">
        <v>2905</v>
      </c>
      <c r="G126" s="151">
        <v>484173</v>
      </c>
      <c r="H126" s="55" t="s">
        <v>2906</v>
      </c>
      <c r="I126" s="55" t="s">
        <v>2906</v>
      </c>
      <c r="J126" s="55" t="s">
        <v>2907</v>
      </c>
      <c r="K126" s="55" t="s">
        <v>349</v>
      </c>
      <c r="L126" s="55"/>
      <c r="M126" s="55"/>
      <c r="N126" s="60"/>
      <c r="O126" s="55"/>
      <c r="P126" s="67"/>
      <c r="Q126" s="67"/>
      <c r="R126" s="67"/>
      <c r="S126" s="67"/>
      <c r="T126" s="56">
        <v>194.23</v>
      </c>
      <c r="U126" s="103"/>
      <c r="V126" s="103">
        <v>6.9139999999999988</v>
      </c>
      <c r="W126" s="103">
        <v>15.42823730304972</v>
      </c>
      <c r="X126" s="103">
        <v>15.42823730304972</v>
      </c>
      <c r="Y126" s="162">
        <v>6.69</v>
      </c>
      <c r="Z126" s="56">
        <v>3.86</v>
      </c>
      <c r="AA126" s="56"/>
      <c r="AB126" s="56">
        <v>4.3</v>
      </c>
      <c r="AC126" s="56">
        <v>0.82040000000000002</v>
      </c>
      <c r="AD126" s="56">
        <v>4.1900000000000004</v>
      </c>
      <c r="AE126" s="56">
        <v>3.94</v>
      </c>
      <c r="AF126" s="56">
        <f t="shared" si="43"/>
        <v>4.1900000000000004</v>
      </c>
      <c r="AG126" s="57">
        <v>3.75</v>
      </c>
      <c r="AH126" s="103">
        <v>5.3400000000000002E-9</v>
      </c>
      <c r="AI126" s="103"/>
      <c r="AJ126" s="62">
        <f t="shared" si="37"/>
        <v>-6.6610250692840953</v>
      </c>
      <c r="AK126" s="62"/>
      <c r="AL126" s="62">
        <f t="shared" si="38"/>
        <v>-6.6610250692840953</v>
      </c>
      <c r="AM126" s="62">
        <v>-11.02739</v>
      </c>
      <c r="AN126" s="154">
        <v>-6.89</v>
      </c>
      <c r="AO126" s="410">
        <v>9.4</v>
      </c>
      <c r="AP126" s="410"/>
      <c r="AQ126" s="56" t="s">
        <v>6311</v>
      </c>
      <c r="AR126" s="56" t="s">
        <v>6311</v>
      </c>
      <c r="AS126" s="155"/>
      <c r="AT126" s="58" t="s">
        <v>266</v>
      </c>
      <c r="AU126" s="56">
        <v>6</v>
      </c>
      <c r="AV126" s="56">
        <v>120</v>
      </c>
      <c r="AW126" s="56">
        <v>114</v>
      </c>
      <c r="AX126" s="56">
        <v>28</v>
      </c>
      <c r="AY126" s="56" t="s">
        <v>8728</v>
      </c>
      <c r="AZ126" s="56" t="s">
        <v>1563</v>
      </c>
      <c r="BA126" s="56">
        <v>32</v>
      </c>
      <c r="BB126" s="55" t="s">
        <v>2485</v>
      </c>
      <c r="BC126" s="55" t="s">
        <v>8726</v>
      </c>
      <c r="BD126" s="55" t="s">
        <v>8374</v>
      </c>
      <c r="BE126" s="56" t="s">
        <v>2449</v>
      </c>
      <c r="BF126" s="56" t="s">
        <v>272</v>
      </c>
      <c r="BG126" s="56" t="s">
        <v>272</v>
      </c>
      <c r="BH126" s="56" t="s">
        <v>2486</v>
      </c>
      <c r="BI126" s="153">
        <v>1.2430719999999998E-3</v>
      </c>
      <c r="BJ126" s="153">
        <v>12.430719999999999</v>
      </c>
      <c r="BK126" s="56"/>
      <c r="BL126" s="153">
        <v>3.4076133433781113</v>
      </c>
      <c r="BM126" s="56" t="s">
        <v>2487</v>
      </c>
      <c r="BN126" s="56"/>
      <c r="BO126" s="56"/>
      <c r="BP126" s="56"/>
      <c r="BQ126" s="56"/>
      <c r="BR126" s="55">
        <v>3.9309388107099998</v>
      </c>
      <c r="BS126" s="56"/>
      <c r="BT126" s="56"/>
      <c r="BU126" s="158"/>
      <c r="BV126" s="56"/>
      <c r="BW126" s="56"/>
      <c r="BX126" s="56"/>
      <c r="BY126" s="56"/>
      <c r="BZ126" s="56"/>
      <c r="CA126" s="56"/>
      <c r="CB126" s="56"/>
      <c r="CC126" s="56"/>
      <c r="CD126" s="56"/>
      <c r="CE126" s="56"/>
      <c r="CF126" s="56"/>
      <c r="CG126" s="56"/>
      <c r="CH126" s="56"/>
      <c r="CI126" s="103">
        <v>3.9309388107099998</v>
      </c>
      <c r="CJ126" s="103">
        <f t="shared" si="35"/>
        <v>0.5944962836120441</v>
      </c>
      <c r="CK126" s="57">
        <f t="shared" si="39"/>
        <v>0.2741283966960974</v>
      </c>
      <c r="CL126" s="160">
        <f t="shared" si="40"/>
        <v>0.86687010596398306</v>
      </c>
      <c r="CM126" s="160"/>
      <c r="CN126" s="160"/>
      <c r="CO126" s="55" t="s">
        <v>2488</v>
      </c>
      <c r="CP126" s="497" t="s">
        <v>2489</v>
      </c>
      <c r="CQ126" s="149" t="s">
        <v>272</v>
      </c>
      <c r="CR126" s="349"/>
      <c r="CS126" s="61" t="s">
        <v>539</v>
      </c>
      <c r="CT126" s="61"/>
      <c r="CU126" s="111">
        <f t="shared" si="41"/>
        <v>3.9248225540969681</v>
      </c>
      <c r="CV126" s="331">
        <f t="shared" si="42"/>
        <v>1.2411378667566899</v>
      </c>
      <c r="CW126" s="326">
        <f t="shared" si="36"/>
        <v>1</v>
      </c>
      <c r="CX126" s="326"/>
      <c r="CY126" s="161" t="s">
        <v>5921</v>
      </c>
    </row>
    <row r="127" spans="1:103" ht="11.25" customHeight="1" x14ac:dyDescent="0.2">
      <c r="A127" s="72">
        <v>151</v>
      </c>
      <c r="B127" s="149">
        <v>1153</v>
      </c>
      <c r="C127" s="54" t="s">
        <v>3190</v>
      </c>
      <c r="D127" s="54"/>
      <c r="E127" s="59"/>
      <c r="F127" s="59" t="s">
        <v>3191</v>
      </c>
      <c r="G127" s="151">
        <v>548629</v>
      </c>
      <c r="H127" s="55" t="s">
        <v>3192</v>
      </c>
      <c r="I127" s="55" t="s">
        <v>8295</v>
      </c>
      <c r="J127" s="55" t="s">
        <v>3193</v>
      </c>
      <c r="K127" s="55" t="s">
        <v>426</v>
      </c>
      <c r="L127" s="55"/>
      <c r="M127" s="55"/>
      <c r="N127" s="60"/>
      <c r="O127" s="55"/>
      <c r="P127" s="67"/>
      <c r="Q127" s="67"/>
      <c r="R127" s="67"/>
      <c r="S127" s="67"/>
      <c r="T127" s="56">
        <v>372.53</v>
      </c>
      <c r="U127" s="103">
        <v>4000.0000000000005</v>
      </c>
      <c r="V127" s="103">
        <v>1002</v>
      </c>
      <c r="W127" s="103"/>
      <c r="X127" s="103">
        <v>4000.0000000000005</v>
      </c>
      <c r="Y127" s="162"/>
      <c r="Z127" s="56">
        <v>0.98</v>
      </c>
      <c r="AA127" s="56">
        <v>0.51</v>
      </c>
      <c r="AB127" s="56">
        <v>0.19</v>
      </c>
      <c r="AC127" s="56">
        <v>0.873</v>
      </c>
      <c r="AD127" s="56">
        <v>0.19</v>
      </c>
      <c r="AE127" s="56"/>
      <c r="AF127" s="56">
        <f t="shared" si="43"/>
        <v>0.51</v>
      </c>
      <c r="AG127" s="57">
        <v>3.79</v>
      </c>
      <c r="AH127" s="103">
        <v>3.0599999999999999E-16</v>
      </c>
      <c r="AI127" s="103"/>
      <c r="AJ127" s="62">
        <f t="shared" si="37"/>
        <v>-13.902844899831072</v>
      </c>
      <c r="AK127" s="62"/>
      <c r="AL127" s="62">
        <f t="shared" si="38"/>
        <v>-13.902844899831072</v>
      </c>
      <c r="AM127" s="62">
        <v>-14.028949999999998</v>
      </c>
      <c r="AN127" s="154">
        <v>-12</v>
      </c>
      <c r="AO127" s="410"/>
      <c r="AP127" s="410">
        <v>4.07</v>
      </c>
      <c r="AQ127" s="56" t="s">
        <v>6311</v>
      </c>
      <c r="AR127" s="56" t="s">
        <v>6311</v>
      </c>
      <c r="AS127" s="155"/>
      <c r="AT127" s="58" t="s">
        <v>266</v>
      </c>
      <c r="AU127" s="56">
        <v>6</v>
      </c>
      <c r="AV127" s="56">
        <v>120</v>
      </c>
      <c r="AW127" s="56">
        <v>114</v>
      </c>
      <c r="AX127" s="56">
        <v>28</v>
      </c>
      <c r="AY127" s="56" t="s">
        <v>8728</v>
      </c>
      <c r="AZ127" s="56" t="s">
        <v>1563</v>
      </c>
      <c r="BA127" s="56">
        <v>32</v>
      </c>
      <c r="BB127" s="55" t="s">
        <v>2485</v>
      </c>
      <c r="BC127" s="55" t="s">
        <v>8726</v>
      </c>
      <c r="BD127" s="55" t="s">
        <v>8374</v>
      </c>
      <c r="BE127" s="56" t="s">
        <v>2449</v>
      </c>
      <c r="BF127" s="56" t="s">
        <v>272</v>
      </c>
      <c r="BG127" s="56" t="s">
        <v>272</v>
      </c>
      <c r="BH127" s="56" t="s">
        <v>2486</v>
      </c>
      <c r="BI127" s="153">
        <v>2.3841919999999998E-3</v>
      </c>
      <c r="BJ127" s="153">
        <v>23.841919999999998</v>
      </c>
      <c r="BK127" s="56"/>
      <c r="BL127" s="153">
        <v>2522.4539844154738</v>
      </c>
      <c r="BM127" s="56" t="s">
        <v>2487</v>
      </c>
      <c r="BN127" s="56"/>
      <c r="BO127" s="56"/>
      <c r="BP127" s="56"/>
      <c r="BQ127" s="56"/>
      <c r="BR127" s="55">
        <v>0.75394782073999989</v>
      </c>
      <c r="BS127" s="56"/>
      <c r="BT127" s="56"/>
      <c r="BU127" s="158"/>
      <c r="BV127" s="56"/>
      <c r="BW127" s="56"/>
      <c r="BX127" s="56"/>
      <c r="BY127" s="56"/>
      <c r="BZ127" s="56"/>
      <c r="CA127" s="56"/>
      <c r="CB127" s="56"/>
      <c r="CC127" s="56"/>
      <c r="CD127" s="56"/>
      <c r="CE127" s="56"/>
      <c r="CF127" s="56"/>
      <c r="CG127" s="56"/>
      <c r="CH127" s="56"/>
      <c r="CI127" s="103">
        <v>0.75394782073999989</v>
      </c>
      <c r="CJ127" s="103">
        <f t="shared" si="35"/>
        <v>-0.12265870976528867</v>
      </c>
      <c r="CK127" s="57">
        <f t="shared" si="39"/>
        <v>105.79911284055453</v>
      </c>
      <c r="CL127" s="160">
        <f t="shared" si="40"/>
        <v>3345.661218225533</v>
      </c>
      <c r="CM127" s="160"/>
      <c r="CN127" s="160"/>
      <c r="CO127" s="55" t="s">
        <v>2488</v>
      </c>
      <c r="CP127" s="497" t="s">
        <v>2489</v>
      </c>
      <c r="CQ127" s="149" t="s">
        <v>272</v>
      </c>
      <c r="CR127" s="349"/>
      <c r="CS127" s="61" t="s">
        <v>539</v>
      </c>
      <c r="CT127" s="61"/>
      <c r="CU127" s="111">
        <f t="shared" si="41"/>
        <v>5305.4069392680249</v>
      </c>
      <c r="CV127" s="331">
        <f t="shared" si="42"/>
        <v>167.77172308270477</v>
      </c>
      <c r="CW127" s="326">
        <f t="shared" si="36"/>
        <v>1</v>
      </c>
      <c r="CX127" s="326"/>
      <c r="CY127" s="161" t="s">
        <v>6351</v>
      </c>
    </row>
    <row r="128" spans="1:103" ht="11.25" customHeight="1" x14ac:dyDescent="0.2">
      <c r="A128" s="72">
        <v>156</v>
      </c>
      <c r="B128" s="149">
        <v>991</v>
      </c>
      <c r="C128" s="54" t="s">
        <v>2826</v>
      </c>
      <c r="D128" s="54"/>
      <c r="E128" s="59"/>
      <c r="F128" s="59" t="s">
        <v>2827</v>
      </c>
      <c r="G128" s="151">
        <v>599644</v>
      </c>
      <c r="H128" s="55" t="s">
        <v>2828</v>
      </c>
      <c r="I128" s="55" t="s">
        <v>2828</v>
      </c>
      <c r="J128" s="55" t="s">
        <v>2829</v>
      </c>
      <c r="K128" s="55" t="s">
        <v>349</v>
      </c>
      <c r="L128" s="55"/>
      <c r="M128" s="55"/>
      <c r="N128" s="60"/>
      <c r="O128" s="55"/>
      <c r="P128" s="67"/>
      <c r="Q128" s="67"/>
      <c r="R128" s="67"/>
      <c r="S128" s="67"/>
      <c r="T128" s="56">
        <v>212.29</v>
      </c>
      <c r="U128" s="103"/>
      <c r="V128" s="103">
        <v>43.27</v>
      </c>
      <c r="W128" s="103">
        <v>37.751093595716235</v>
      </c>
      <c r="X128" s="103">
        <v>37.751093595716235</v>
      </c>
      <c r="Y128" s="162">
        <v>6.92</v>
      </c>
      <c r="Z128" s="56">
        <v>4.12</v>
      </c>
      <c r="AA128" s="56"/>
      <c r="AB128" s="56">
        <v>4.3899999999999997</v>
      </c>
      <c r="AC128" s="56">
        <v>0.70009999999999994</v>
      </c>
      <c r="AD128" s="56">
        <v>4.3</v>
      </c>
      <c r="AE128" s="56">
        <v>4.17</v>
      </c>
      <c r="AF128" s="56">
        <f t="shared" si="43"/>
        <v>4.3</v>
      </c>
      <c r="AG128" s="57">
        <v>4.04</v>
      </c>
      <c r="AH128" s="103">
        <v>8.7999999999999994E-8</v>
      </c>
      <c r="AI128" s="103"/>
      <c r="AJ128" s="62">
        <f t="shared" si="37"/>
        <v>-5.4440836541624833</v>
      </c>
      <c r="AK128" s="62"/>
      <c r="AL128" s="62">
        <f t="shared" si="38"/>
        <v>-5.4440836541624833</v>
      </c>
      <c r="AM128" s="62">
        <v>-9.4519900000000003</v>
      </c>
      <c r="AN128" s="154">
        <v>-6.11</v>
      </c>
      <c r="AO128" s="410">
        <v>10.62</v>
      </c>
      <c r="AP128" s="410"/>
      <c r="AQ128" s="56" t="s">
        <v>6311</v>
      </c>
      <c r="AR128" s="56" t="s">
        <v>6311</v>
      </c>
      <c r="AS128" s="155"/>
      <c r="AT128" s="58" t="s">
        <v>266</v>
      </c>
      <c r="AU128" s="56">
        <v>6</v>
      </c>
      <c r="AV128" s="56">
        <v>120</v>
      </c>
      <c r="AW128" s="56">
        <v>114</v>
      </c>
      <c r="AX128" s="56">
        <v>28</v>
      </c>
      <c r="AY128" s="56" t="s">
        <v>8728</v>
      </c>
      <c r="AZ128" s="56" t="s">
        <v>1563</v>
      </c>
      <c r="BA128" s="56">
        <v>32</v>
      </c>
      <c r="BB128" s="55" t="s">
        <v>2485</v>
      </c>
      <c r="BC128" s="55" t="s">
        <v>8726</v>
      </c>
      <c r="BD128" s="55" t="s">
        <v>8374</v>
      </c>
      <c r="BE128" s="56" t="s">
        <v>2449</v>
      </c>
      <c r="BF128" s="56" t="s">
        <v>272</v>
      </c>
      <c r="BG128" s="56" t="s">
        <v>272</v>
      </c>
      <c r="BH128" s="56" t="s">
        <v>2486</v>
      </c>
      <c r="BI128" s="153">
        <v>1.358656E-3</v>
      </c>
      <c r="BJ128" s="153">
        <v>13.58656</v>
      </c>
      <c r="BK128" s="56"/>
      <c r="BL128" s="153">
        <v>2.1754922327077848</v>
      </c>
      <c r="BM128" s="56" t="s">
        <v>2046</v>
      </c>
      <c r="BN128" s="56"/>
      <c r="BO128" s="56"/>
      <c r="BP128" s="56"/>
      <c r="BQ128" s="56"/>
      <c r="BR128" s="55">
        <v>4.2964475113300002</v>
      </c>
      <c r="BS128" s="56"/>
      <c r="BT128" s="56"/>
      <c r="BU128" s="158"/>
      <c r="BV128" s="56"/>
      <c r="BW128" s="56"/>
      <c r="BX128" s="56"/>
      <c r="BY128" s="56"/>
      <c r="BZ128" s="56"/>
      <c r="CA128" s="56"/>
      <c r="CB128" s="56"/>
      <c r="CC128" s="56"/>
      <c r="CD128" s="56"/>
      <c r="CE128" s="56"/>
      <c r="CF128" s="56"/>
      <c r="CG128" s="56"/>
      <c r="CH128" s="56"/>
      <c r="CI128" s="103">
        <v>4.2964475113300002</v>
      </c>
      <c r="CJ128" s="103">
        <f t="shared" ref="CJ128:CJ159" si="45">LOG10(CI128)</f>
        <v>0.63310951048925768</v>
      </c>
      <c r="CK128" s="57">
        <f t="shared" si="39"/>
        <v>0.16012090129567638</v>
      </c>
      <c r="CL128" s="160">
        <f t="shared" si="40"/>
        <v>0.50634674972075788</v>
      </c>
      <c r="CM128" s="160"/>
      <c r="CN128" s="160"/>
      <c r="CO128" s="55" t="s">
        <v>2488</v>
      </c>
      <c r="CP128" s="497" t="s">
        <v>2489</v>
      </c>
      <c r="CQ128" s="149" t="s">
        <v>272</v>
      </c>
      <c r="CR128" s="349"/>
      <c r="CS128" s="61" t="s">
        <v>539</v>
      </c>
      <c r="CT128" s="61"/>
      <c r="CU128" s="111">
        <f t="shared" si="41"/>
        <v>8.7865832169866493</v>
      </c>
      <c r="CV128" s="331">
        <f t="shared" si="42"/>
        <v>2.7785615781858124</v>
      </c>
      <c r="CW128" s="326">
        <f t="shared" ref="CW128:CW159" si="46">IF(CU128&lt;2,0,1)</f>
        <v>1</v>
      </c>
      <c r="CX128" s="326"/>
      <c r="CY128" s="161" t="s">
        <v>6351</v>
      </c>
    </row>
    <row r="129" spans="1:103" ht="11.25" customHeight="1" x14ac:dyDescent="0.2">
      <c r="A129" s="72">
        <v>162</v>
      </c>
      <c r="B129" s="149">
        <v>997</v>
      </c>
      <c r="C129" s="54" t="s">
        <v>2844</v>
      </c>
      <c r="D129" s="54" t="s">
        <v>6458</v>
      </c>
      <c r="E129" s="59"/>
      <c r="F129" s="59" t="s">
        <v>1608</v>
      </c>
      <c r="G129" s="151">
        <v>98544</v>
      </c>
      <c r="H129" s="55" t="s">
        <v>1609</v>
      </c>
      <c r="I129" s="55" t="s">
        <v>1609</v>
      </c>
      <c r="J129" s="55" t="s">
        <v>1610</v>
      </c>
      <c r="K129" s="55" t="s">
        <v>349</v>
      </c>
      <c r="L129" s="55"/>
      <c r="M129" s="60" t="s">
        <v>6082</v>
      </c>
      <c r="N129" s="60" t="s">
        <v>6082</v>
      </c>
      <c r="O129" s="55"/>
      <c r="P129" s="67" t="s">
        <v>6184</v>
      </c>
      <c r="Q129" s="67" t="s">
        <v>6173</v>
      </c>
      <c r="R129" s="67" t="s">
        <v>6185</v>
      </c>
      <c r="S129" s="67" t="s">
        <v>6176</v>
      </c>
      <c r="T129" s="56">
        <v>150.22</v>
      </c>
      <c r="U129" s="103">
        <v>580</v>
      </c>
      <c r="V129" s="103">
        <v>428.9</v>
      </c>
      <c r="W129" s="103">
        <v>1193.2398742028151</v>
      </c>
      <c r="X129" s="103">
        <v>580</v>
      </c>
      <c r="Y129" s="162">
        <v>6.11</v>
      </c>
      <c r="Z129" s="56">
        <v>3.42</v>
      </c>
      <c r="AA129" s="56">
        <v>3.31</v>
      </c>
      <c r="AB129" s="56">
        <v>3.4</v>
      </c>
      <c r="AC129" s="56">
        <v>0.93430000000000002</v>
      </c>
      <c r="AD129" s="56">
        <v>3.36</v>
      </c>
      <c r="AE129" s="56">
        <v>3.17</v>
      </c>
      <c r="AF129" s="56">
        <f t="shared" si="43"/>
        <v>3.31</v>
      </c>
      <c r="AG129" s="57">
        <v>3.12</v>
      </c>
      <c r="AH129" s="103">
        <v>1.4500000000000001E-6</v>
      </c>
      <c r="AI129" s="103">
        <v>1.19E-6</v>
      </c>
      <c r="AJ129" s="62">
        <f t="shared" si="37"/>
        <v>-4.2271983240776771</v>
      </c>
      <c r="AK129" s="62">
        <f>LOG10(AI129*1000/(0.08206*298.15))</f>
        <v>-4.3130193649201214</v>
      </c>
      <c r="AL129" s="62">
        <f t="shared" si="38"/>
        <v>-4.3130193649201214</v>
      </c>
      <c r="AM129" s="62">
        <v>-6.7175700000000003</v>
      </c>
      <c r="AN129" s="154">
        <v>-4.28</v>
      </c>
      <c r="AO129" s="410">
        <v>10.130000000000001</v>
      </c>
      <c r="AP129" s="410"/>
      <c r="AQ129" s="56" t="s">
        <v>6311</v>
      </c>
      <c r="AR129" s="56" t="s">
        <v>6311</v>
      </c>
      <c r="AS129" s="155"/>
      <c r="AT129" s="58" t="s">
        <v>266</v>
      </c>
      <c r="AU129" s="56">
        <v>6</v>
      </c>
      <c r="AV129" s="56">
        <v>120</v>
      </c>
      <c r="AW129" s="56">
        <v>114</v>
      </c>
      <c r="AX129" s="56">
        <v>28</v>
      </c>
      <c r="AY129" s="56" t="s">
        <v>8728</v>
      </c>
      <c r="AZ129" s="56" t="s">
        <v>1563</v>
      </c>
      <c r="BA129" s="56">
        <v>32</v>
      </c>
      <c r="BB129" s="55" t="s">
        <v>2485</v>
      </c>
      <c r="BC129" s="55" t="s">
        <v>8726</v>
      </c>
      <c r="BD129" s="55" t="s">
        <v>8374</v>
      </c>
      <c r="BE129" s="56" t="s">
        <v>2449</v>
      </c>
      <c r="BF129" s="56" t="s">
        <v>272</v>
      </c>
      <c r="BG129" s="56" t="s">
        <v>272</v>
      </c>
      <c r="BH129" s="56" t="s">
        <v>2486</v>
      </c>
      <c r="BI129" s="153">
        <v>9.6140799999999997E-4</v>
      </c>
      <c r="BJ129" s="153">
        <v>9.6140799999999995</v>
      </c>
      <c r="BK129" s="56"/>
      <c r="BL129" s="153">
        <v>6.5467500114518993</v>
      </c>
      <c r="BM129" s="56" t="s">
        <v>2487</v>
      </c>
      <c r="BN129" s="56"/>
      <c r="BO129" s="56"/>
      <c r="BP129" s="56"/>
      <c r="BQ129" s="56"/>
      <c r="BR129" s="55">
        <v>6.5796359999999998</v>
      </c>
      <c r="BS129" s="56"/>
      <c r="BT129" s="56"/>
      <c r="BU129" s="158"/>
      <c r="BV129" s="56"/>
      <c r="BW129" s="56"/>
      <c r="BX129" s="56"/>
      <c r="BY129" s="56"/>
      <c r="BZ129" s="56"/>
      <c r="CA129" s="56"/>
      <c r="CB129" s="56"/>
      <c r="CC129" s="56"/>
      <c r="CD129" s="56"/>
      <c r="CE129" s="56"/>
      <c r="CF129" s="56"/>
      <c r="CG129" s="56"/>
      <c r="CH129" s="56"/>
      <c r="CI129" s="103">
        <v>6.5796359999999998</v>
      </c>
      <c r="CJ129" s="103">
        <f t="shared" si="45"/>
        <v>0.81820186814828866</v>
      </c>
      <c r="CK129" s="57">
        <f t="shared" si="39"/>
        <v>0.68095439308305106</v>
      </c>
      <c r="CL129" s="160">
        <f t="shared" si="40"/>
        <v>0.99500185290674126</v>
      </c>
      <c r="CM129" s="160">
        <v>0.71320269044533025</v>
      </c>
      <c r="CN129" s="160">
        <f>BJ129/(10^CM129)</f>
        <v>1.8608228964483853</v>
      </c>
      <c r="CO129" s="55" t="s">
        <v>2488</v>
      </c>
      <c r="CP129" s="497" t="s">
        <v>2489</v>
      </c>
      <c r="CQ129" s="149">
        <v>0.71320269044533036</v>
      </c>
      <c r="CR129" s="349">
        <f>10^(CJ129-CQ129)</f>
        <v>1.2735006697568636</v>
      </c>
      <c r="CS129" s="61" t="s">
        <v>539</v>
      </c>
      <c r="CT129" s="61"/>
      <c r="CU129" s="111">
        <f t="shared" si="41"/>
        <v>88.15077308227994</v>
      </c>
      <c r="CV129" s="331">
        <f t="shared" si="42"/>
        <v>60.328185328185334</v>
      </c>
      <c r="CW129" s="326">
        <f t="shared" si="46"/>
        <v>1</v>
      </c>
      <c r="CX129" s="326"/>
      <c r="CY129" s="161" t="s">
        <v>6351</v>
      </c>
    </row>
    <row r="130" spans="1:103" ht="11.25" customHeight="1" x14ac:dyDescent="0.2">
      <c r="A130" s="72">
        <v>163</v>
      </c>
      <c r="B130" s="149">
        <v>1235</v>
      </c>
      <c r="C130" s="54" t="s">
        <v>3400</v>
      </c>
      <c r="D130" s="54"/>
      <c r="E130" s="59"/>
      <c r="F130" s="59" t="s">
        <v>3401</v>
      </c>
      <c r="G130" s="151">
        <v>754916</v>
      </c>
      <c r="H130" s="55" t="s">
        <v>3402</v>
      </c>
      <c r="I130" s="55" t="s">
        <v>3402</v>
      </c>
      <c r="J130" s="55" t="s">
        <v>3403</v>
      </c>
      <c r="K130" s="55" t="s">
        <v>471</v>
      </c>
      <c r="L130" s="55"/>
      <c r="M130" s="55"/>
      <c r="N130" s="60"/>
      <c r="O130" s="55"/>
      <c r="P130" s="67"/>
      <c r="Q130" s="67"/>
      <c r="R130" s="67"/>
      <c r="S130" s="67"/>
      <c r="T130" s="56">
        <v>499.15</v>
      </c>
      <c r="U130" s="103"/>
      <c r="V130" s="103">
        <v>8.0490000000000006E-3</v>
      </c>
      <c r="W130" s="103">
        <v>1.1701218131669345E-4</v>
      </c>
      <c r="X130" s="103">
        <v>1.1701218131669345E-4</v>
      </c>
      <c r="Y130" s="162">
        <v>7</v>
      </c>
      <c r="Z130" s="56">
        <v>5.8</v>
      </c>
      <c r="AA130" s="56"/>
      <c r="AB130" s="56">
        <v>4.6399999999999997</v>
      </c>
      <c r="AC130" s="56">
        <v>0.61199999999999999</v>
      </c>
      <c r="AD130" s="56">
        <v>5.53</v>
      </c>
      <c r="AE130" s="56">
        <v>7.64</v>
      </c>
      <c r="AF130" s="56">
        <f t="shared" si="43"/>
        <v>5.53</v>
      </c>
      <c r="AG130" s="57">
        <v>3.92</v>
      </c>
      <c r="AH130" s="103">
        <v>1.84</v>
      </c>
      <c r="AI130" s="103"/>
      <c r="AJ130" s="62">
        <f t="shared" si="37"/>
        <v>1.8762514966968846</v>
      </c>
      <c r="AK130" s="62"/>
      <c r="AL130" s="62">
        <f t="shared" si="38"/>
        <v>1.8762514966968846</v>
      </c>
      <c r="AM130" s="62">
        <v>-4.2247399999999997</v>
      </c>
      <c r="AN130" s="154">
        <v>-11.1</v>
      </c>
      <c r="AO130" s="410">
        <v>7.01</v>
      </c>
      <c r="AP130" s="410">
        <v>-9.39</v>
      </c>
      <c r="AQ130" s="56" t="s">
        <v>6311</v>
      </c>
      <c r="AR130" s="56" t="s">
        <v>6311</v>
      </c>
      <c r="AS130" s="155"/>
      <c r="AT130" s="58" t="s">
        <v>266</v>
      </c>
      <c r="AU130" s="56">
        <v>6</v>
      </c>
      <c r="AV130" s="56">
        <v>120</v>
      </c>
      <c r="AW130" s="56">
        <v>114</v>
      </c>
      <c r="AX130" s="56">
        <v>28</v>
      </c>
      <c r="AY130" s="56" t="s">
        <v>8728</v>
      </c>
      <c r="AZ130" s="56" t="s">
        <v>1563</v>
      </c>
      <c r="BA130" s="56">
        <v>32</v>
      </c>
      <c r="BB130" s="55" t="s">
        <v>2485</v>
      </c>
      <c r="BC130" s="55" t="s">
        <v>8726</v>
      </c>
      <c r="BD130" s="55" t="s">
        <v>8374</v>
      </c>
      <c r="BE130" s="56" t="s">
        <v>2449</v>
      </c>
      <c r="BF130" s="56" t="s">
        <v>272</v>
      </c>
      <c r="BG130" s="56" t="s">
        <v>272</v>
      </c>
      <c r="BH130" s="56" t="s">
        <v>2486</v>
      </c>
      <c r="BI130" s="153">
        <v>3.1945599999999995E-3</v>
      </c>
      <c r="BJ130" s="153">
        <v>31.945599999999999</v>
      </c>
      <c r="BK130" s="56"/>
      <c r="BL130" s="153">
        <v>0.1585079595685667</v>
      </c>
      <c r="BM130" s="56" t="s">
        <v>2046</v>
      </c>
      <c r="BN130" s="56"/>
      <c r="BO130" s="56"/>
      <c r="BP130" s="56"/>
      <c r="BQ130" s="56"/>
      <c r="BR130" s="55">
        <v>10.10208570955</v>
      </c>
      <c r="BS130" s="56"/>
      <c r="BT130" s="56"/>
      <c r="BU130" s="158"/>
      <c r="BV130" s="56"/>
      <c r="BW130" s="56"/>
      <c r="BX130" s="56"/>
      <c r="BY130" s="56"/>
      <c r="BZ130" s="56"/>
      <c r="CA130" s="56"/>
      <c r="CB130" s="56"/>
      <c r="CC130" s="56"/>
      <c r="CD130" s="56"/>
      <c r="CE130" s="56"/>
      <c r="CF130" s="56"/>
      <c r="CG130" s="56"/>
      <c r="CH130" s="56"/>
      <c r="CI130" s="103">
        <v>10.10208570955</v>
      </c>
      <c r="CJ130" s="103">
        <f t="shared" si="45"/>
        <v>1.0044110488948721</v>
      </c>
      <c r="CK130" s="57">
        <f t="shared" si="39"/>
        <v>4.9618088114972547E-3</v>
      </c>
      <c r="CL130" s="160">
        <f t="shared" si="40"/>
        <v>1.5690617178066635E-2</v>
      </c>
      <c r="CM130" s="160"/>
      <c r="CN130" s="160"/>
      <c r="CO130" s="55" t="s">
        <v>2488</v>
      </c>
      <c r="CP130" s="497" t="s">
        <v>2489</v>
      </c>
      <c r="CQ130" s="149" t="s">
        <v>272</v>
      </c>
      <c r="CR130" s="349"/>
      <c r="CS130" s="61" t="s">
        <v>539</v>
      </c>
      <c r="CT130" s="61"/>
      <c r="CU130" s="111">
        <f t="shared" si="41"/>
        <v>1.1582972534679256E-5</v>
      </c>
      <c r="CV130" s="331">
        <f t="shared" si="42"/>
        <v>3.6628575239373642E-6</v>
      </c>
      <c r="CW130" s="326">
        <f t="shared" si="46"/>
        <v>0</v>
      </c>
      <c r="CX130" s="326"/>
      <c r="CY130" s="161" t="s">
        <v>5921</v>
      </c>
    </row>
    <row r="131" spans="1:103" ht="11.25" customHeight="1" x14ac:dyDescent="0.2">
      <c r="A131" s="72">
        <v>169</v>
      </c>
      <c r="B131" s="149">
        <v>1223</v>
      </c>
      <c r="C131" s="54" t="s">
        <v>3379</v>
      </c>
      <c r="D131" s="54"/>
      <c r="E131" s="59"/>
      <c r="F131" s="59" t="s">
        <v>3380</v>
      </c>
      <c r="G131" s="151">
        <v>1034011</v>
      </c>
      <c r="H131" s="55" t="s">
        <v>3381</v>
      </c>
      <c r="I131" s="55" t="s">
        <v>3381</v>
      </c>
      <c r="J131" s="55" t="s">
        <v>3382</v>
      </c>
      <c r="K131" s="55" t="s">
        <v>3383</v>
      </c>
      <c r="L131" s="55"/>
      <c r="M131" s="55"/>
      <c r="N131" s="60"/>
      <c r="O131" s="55"/>
      <c r="P131" s="67"/>
      <c r="Q131" s="67"/>
      <c r="R131" s="67"/>
      <c r="S131" s="67"/>
      <c r="T131" s="56">
        <v>282.33</v>
      </c>
      <c r="U131" s="103">
        <v>36</v>
      </c>
      <c r="V131" s="103">
        <v>44.23</v>
      </c>
      <c r="W131" s="103">
        <v>75.990102119268627</v>
      </c>
      <c r="X131" s="103">
        <v>36</v>
      </c>
      <c r="Y131" s="162">
        <v>5.7</v>
      </c>
      <c r="Z131" s="56">
        <v>4.25</v>
      </c>
      <c r="AA131" s="56">
        <v>3.66</v>
      </c>
      <c r="AB131" s="56">
        <v>4</v>
      </c>
      <c r="AC131" s="56">
        <v>0.75009999999999999</v>
      </c>
      <c r="AD131" s="56">
        <v>4.42</v>
      </c>
      <c r="AE131" s="56">
        <v>5.26</v>
      </c>
      <c r="AF131" s="56">
        <f t="shared" si="43"/>
        <v>3.66</v>
      </c>
      <c r="AG131" s="57">
        <v>3.62</v>
      </c>
      <c r="AH131" s="103">
        <v>2.8399999999999998E-16</v>
      </c>
      <c r="AI131" s="103"/>
      <c r="AJ131" s="62">
        <f t="shared" si="37"/>
        <v>-13.935247986265614</v>
      </c>
      <c r="AK131" s="62"/>
      <c r="AL131" s="62">
        <f t="shared" si="38"/>
        <v>-13.935247986265614</v>
      </c>
      <c r="AM131" s="62">
        <v>-16.856279999999998</v>
      </c>
      <c r="AN131" s="154">
        <v>-10.199999999999999</v>
      </c>
      <c r="AO131" s="410">
        <v>7.94</v>
      </c>
      <c r="AP131" s="410"/>
      <c r="AQ131" s="56" t="s">
        <v>6311</v>
      </c>
      <c r="AR131" s="56" t="s">
        <v>6312</v>
      </c>
      <c r="AS131" s="155"/>
      <c r="AT131" s="58" t="s">
        <v>266</v>
      </c>
      <c r="AU131" s="56">
        <v>6</v>
      </c>
      <c r="AV131" s="56">
        <v>120</v>
      </c>
      <c r="AW131" s="56">
        <v>114</v>
      </c>
      <c r="AX131" s="56">
        <v>28</v>
      </c>
      <c r="AY131" s="56" t="s">
        <v>8728</v>
      </c>
      <c r="AZ131" s="56" t="s">
        <v>1563</v>
      </c>
      <c r="BA131" s="56">
        <v>32</v>
      </c>
      <c r="BB131" s="55" t="s">
        <v>2485</v>
      </c>
      <c r="BC131" s="55" t="s">
        <v>8726</v>
      </c>
      <c r="BD131" s="55" t="s">
        <v>8374</v>
      </c>
      <c r="BE131" s="56" t="s">
        <v>2449</v>
      </c>
      <c r="BF131" s="56" t="s">
        <v>272</v>
      </c>
      <c r="BG131" s="56" t="s">
        <v>272</v>
      </c>
      <c r="BH131" s="56" t="s">
        <v>2486</v>
      </c>
      <c r="BI131" s="153">
        <v>1.8069119999999997E-3</v>
      </c>
      <c r="BJ131" s="153">
        <v>18.069119999999998</v>
      </c>
      <c r="BK131" s="56"/>
      <c r="BL131" s="153">
        <v>2.2112203784368352</v>
      </c>
      <c r="BM131" s="56" t="s">
        <v>2046</v>
      </c>
      <c r="BN131" s="56">
        <v>5713.9574528798994</v>
      </c>
      <c r="BO131" s="56"/>
      <c r="BP131" s="56"/>
      <c r="BQ131" s="56"/>
      <c r="BR131" s="55">
        <v>5.7139574444100001</v>
      </c>
      <c r="BS131" s="56"/>
      <c r="BT131" s="56"/>
      <c r="BU131" s="158"/>
      <c r="BV131" s="56"/>
      <c r="BW131" s="56"/>
      <c r="BX131" s="56"/>
      <c r="BY131" s="56"/>
      <c r="BZ131" s="56"/>
      <c r="CA131" s="56"/>
      <c r="CB131" s="56"/>
      <c r="CC131" s="56"/>
      <c r="CD131" s="56"/>
      <c r="CE131" s="56"/>
      <c r="CF131" s="56"/>
      <c r="CG131" s="56"/>
      <c r="CH131" s="56"/>
      <c r="CI131" s="103">
        <v>5.7139574444100001</v>
      </c>
      <c r="CJ131" s="103">
        <f t="shared" si="45"/>
        <v>0.75693700158282262</v>
      </c>
      <c r="CK131" s="57">
        <f t="shared" si="39"/>
        <v>0.12237565406820229</v>
      </c>
      <c r="CL131" s="160">
        <f t="shared" si="40"/>
        <v>0.38698579748788392</v>
      </c>
      <c r="CM131" s="160"/>
      <c r="CN131" s="160"/>
      <c r="CO131" s="55" t="s">
        <v>2488</v>
      </c>
      <c r="CP131" s="497" t="s">
        <v>2489</v>
      </c>
      <c r="CQ131" s="149" t="s">
        <v>272</v>
      </c>
      <c r="CR131" s="349"/>
      <c r="CS131" s="61" t="s">
        <v>539</v>
      </c>
      <c r="CT131" s="61"/>
      <c r="CU131" s="111">
        <f t="shared" si="41"/>
        <v>6.3003619383303286</v>
      </c>
      <c r="CV131" s="331">
        <f t="shared" si="42"/>
        <v>1.9923493783869941</v>
      </c>
      <c r="CW131" s="326">
        <f t="shared" si="46"/>
        <v>1</v>
      </c>
      <c r="CX131" s="326"/>
      <c r="CY131" s="161" t="s">
        <v>5921</v>
      </c>
    </row>
    <row r="132" spans="1:103" ht="11.25" customHeight="1" x14ac:dyDescent="0.2">
      <c r="A132" s="72">
        <v>173</v>
      </c>
      <c r="B132" s="149">
        <v>1306</v>
      </c>
      <c r="C132" s="54" t="s">
        <v>3582</v>
      </c>
      <c r="D132" s="54" t="s">
        <v>8548</v>
      </c>
      <c r="E132" s="59"/>
      <c r="F132" s="59" t="s">
        <v>3583</v>
      </c>
      <c r="G132" s="151">
        <v>1461229</v>
      </c>
      <c r="H132" s="55" t="s">
        <v>3584</v>
      </c>
      <c r="I132" s="55" t="s">
        <v>7791</v>
      </c>
      <c r="J132" s="55" t="s">
        <v>3585</v>
      </c>
      <c r="K132" s="55" t="s">
        <v>403</v>
      </c>
      <c r="L132" s="55"/>
      <c r="M132" s="55" t="s">
        <v>3586</v>
      </c>
      <c r="N132" s="60"/>
      <c r="O132" s="55" t="s">
        <v>3587</v>
      </c>
      <c r="P132" s="67"/>
      <c r="Q132" s="67"/>
      <c r="R132" s="67"/>
      <c r="S132" s="67"/>
      <c r="T132" s="56">
        <v>325.51</v>
      </c>
      <c r="U132" s="103">
        <v>17</v>
      </c>
      <c r="V132" s="103">
        <v>114.8</v>
      </c>
      <c r="W132" s="103">
        <v>0.36522822705983149</v>
      </c>
      <c r="X132" s="103">
        <v>17</v>
      </c>
      <c r="Y132" s="162">
        <v>7</v>
      </c>
      <c r="Z132" s="56">
        <v>4.7</v>
      </c>
      <c r="AA132" s="56">
        <v>2.2000000000000002</v>
      </c>
      <c r="AB132" s="56">
        <v>3.52</v>
      </c>
      <c r="AC132" s="56">
        <v>0.58020000000000005</v>
      </c>
      <c r="AD132" s="56">
        <v>3.68</v>
      </c>
      <c r="AE132" s="56">
        <v>3.85</v>
      </c>
      <c r="AF132" s="56">
        <f t="shared" si="43"/>
        <v>2.2000000000000002</v>
      </c>
      <c r="AG132" s="57">
        <v>3.68</v>
      </c>
      <c r="AH132" s="103">
        <v>16.399999999999999</v>
      </c>
      <c r="AI132" s="103"/>
      <c r="AJ132" s="62">
        <f t="shared" ref="AJ132:AJ165" si="47">LOG10(AH132*1000/(0.08206*298.15))</f>
        <v>2.826277521735046</v>
      </c>
      <c r="AK132" s="62"/>
      <c r="AL132" s="62">
        <f t="shared" ref="AL132:AL163" si="48">IF(AK132=0,AJ132,AK132)</f>
        <v>2.826277521735046</v>
      </c>
      <c r="AM132" s="62">
        <v>-1.06331</v>
      </c>
      <c r="AN132" s="154">
        <v>-1.1299999999999999</v>
      </c>
      <c r="AO132" s="410"/>
      <c r="AP132" s="410"/>
      <c r="AQ132" s="56" t="s">
        <v>6311</v>
      </c>
      <c r="AR132" s="56" t="s">
        <v>6311</v>
      </c>
      <c r="AS132" s="155"/>
      <c r="AT132" s="58" t="s">
        <v>266</v>
      </c>
      <c r="AU132" s="56">
        <v>6</v>
      </c>
      <c r="AV132" s="56">
        <v>120</v>
      </c>
      <c r="AW132" s="56">
        <v>114</v>
      </c>
      <c r="AX132" s="56">
        <v>28</v>
      </c>
      <c r="AY132" s="56" t="s">
        <v>8728</v>
      </c>
      <c r="AZ132" s="56" t="s">
        <v>1563</v>
      </c>
      <c r="BA132" s="56">
        <v>32</v>
      </c>
      <c r="BB132" s="55" t="s">
        <v>2485</v>
      </c>
      <c r="BC132" s="55" t="s">
        <v>8726</v>
      </c>
      <c r="BD132" s="55" t="s">
        <v>8374</v>
      </c>
      <c r="BE132" s="56" t="s">
        <v>2449</v>
      </c>
      <c r="BF132" s="56" t="s">
        <v>272</v>
      </c>
      <c r="BG132" s="56" t="s">
        <v>272</v>
      </c>
      <c r="BH132" s="56" t="s">
        <v>2486</v>
      </c>
      <c r="BI132" s="153">
        <v>2.083264E-3</v>
      </c>
      <c r="BJ132" s="153">
        <v>20.832640000000001</v>
      </c>
      <c r="BK132" s="56"/>
      <c r="BL132" s="153">
        <v>1.0052968808841718</v>
      </c>
      <c r="BM132" s="56" t="s">
        <v>2487</v>
      </c>
      <c r="BN132" s="56"/>
      <c r="BO132" s="56"/>
      <c r="BP132" s="56"/>
      <c r="BQ132" s="56"/>
      <c r="BR132" s="55">
        <v>0.65878601757999999</v>
      </c>
      <c r="BS132" s="56"/>
      <c r="BT132" s="56"/>
      <c r="BU132" s="158"/>
      <c r="BV132" s="56"/>
      <c r="BW132" s="56"/>
      <c r="BX132" s="56"/>
      <c r="BY132" s="56"/>
      <c r="BZ132" s="56"/>
      <c r="CA132" s="56"/>
      <c r="CB132" s="56"/>
      <c r="CC132" s="56"/>
      <c r="CD132" s="56"/>
      <c r="CE132" s="56"/>
      <c r="CF132" s="56"/>
      <c r="CG132" s="56"/>
      <c r="CH132" s="56"/>
      <c r="CI132" s="103">
        <v>0.65878601757999999</v>
      </c>
      <c r="CJ132" s="103">
        <f t="shared" si="45"/>
        <v>-0.18125562709835497</v>
      </c>
      <c r="CK132" s="57">
        <f t="shared" si="39"/>
        <v>4.8255856237335824E-2</v>
      </c>
      <c r="CL132" s="160">
        <f t="shared" ref="CL132:CL163" si="49">BL132/CI132</f>
        <v>1.5259839372077946</v>
      </c>
      <c r="CM132" s="160"/>
      <c r="CN132" s="160"/>
      <c r="CO132" s="55" t="s">
        <v>2488</v>
      </c>
      <c r="CP132" s="497" t="s">
        <v>2489</v>
      </c>
      <c r="CQ132" s="149" t="s">
        <v>272</v>
      </c>
      <c r="CR132" s="349"/>
      <c r="CS132" s="61" t="s">
        <v>539</v>
      </c>
      <c r="CT132" s="61"/>
      <c r="CU132" s="111">
        <f t="shared" ref="CU132:CU163" si="50">X132/CI132</f>
        <v>25.805040705703195</v>
      </c>
      <c r="CV132" s="331">
        <f t="shared" si="42"/>
        <v>0.81602715738379772</v>
      </c>
      <c r="CW132" s="326">
        <f t="shared" si="46"/>
        <v>1</v>
      </c>
      <c r="CX132" s="326"/>
      <c r="CY132" s="161" t="s">
        <v>6351</v>
      </c>
    </row>
    <row r="133" spans="1:103" ht="11.25" customHeight="1" x14ac:dyDescent="0.2">
      <c r="A133" s="72">
        <v>174</v>
      </c>
      <c r="B133" s="149">
        <v>1036</v>
      </c>
      <c r="C133" s="54" t="s">
        <v>2943</v>
      </c>
      <c r="D133" s="54"/>
      <c r="E133" s="59"/>
      <c r="F133" s="59" t="s">
        <v>2944</v>
      </c>
      <c r="G133" s="151">
        <v>1478611</v>
      </c>
      <c r="H133" s="55" t="s">
        <v>2945</v>
      </c>
      <c r="I133" s="55" t="s">
        <v>2945</v>
      </c>
      <c r="J133" s="55" t="s">
        <v>2946</v>
      </c>
      <c r="K133" s="55" t="s">
        <v>376</v>
      </c>
      <c r="L133" s="55"/>
      <c r="M133" s="55"/>
      <c r="N133" s="60"/>
      <c r="O133" s="55"/>
      <c r="P133" s="67"/>
      <c r="Q133" s="67"/>
      <c r="R133" s="67"/>
      <c r="S133" s="67"/>
      <c r="T133" s="56">
        <v>336.23</v>
      </c>
      <c r="U133" s="103"/>
      <c r="V133" s="103">
        <v>4.3019999999999996</v>
      </c>
      <c r="W133" s="103">
        <v>96.969791229625713</v>
      </c>
      <c r="X133" s="103">
        <v>96.969791229625713</v>
      </c>
      <c r="Y133" s="162">
        <v>6.14</v>
      </c>
      <c r="Z133" s="56">
        <v>4.47</v>
      </c>
      <c r="AA133" s="56"/>
      <c r="AB133" s="56">
        <v>4.07</v>
      </c>
      <c r="AC133" s="56">
        <v>0.46689999999999998</v>
      </c>
      <c r="AD133" s="56">
        <v>3.44</v>
      </c>
      <c r="AE133" s="56">
        <v>2.82</v>
      </c>
      <c r="AF133" s="56">
        <f t="shared" si="43"/>
        <v>3.44</v>
      </c>
      <c r="AG133" s="57">
        <v>3.44</v>
      </c>
      <c r="AH133" s="103">
        <v>5.68E-10</v>
      </c>
      <c r="AI133" s="103"/>
      <c r="AJ133" s="62">
        <f t="shared" si="47"/>
        <v>-7.6342179906016332</v>
      </c>
      <c r="AK133" s="62"/>
      <c r="AL133" s="62">
        <f t="shared" si="48"/>
        <v>-7.6342179906016332</v>
      </c>
      <c r="AM133" s="62">
        <v>-11.082989999999999</v>
      </c>
      <c r="AN133" s="154"/>
      <c r="AO133" s="410">
        <v>8.74</v>
      </c>
      <c r="AP133" s="410"/>
      <c r="AQ133" s="56" t="s">
        <v>6311</v>
      </c>
      <c r="AR133" s="56" t="s">
        <v>6311</v>
      </c>
      <c r="AS133" s="155"/>
      <c r="AT133" s="58" t="s">
        <v>266</v>
      </c>
      <c r="AU133" s="56">
        <v>6</v>
      </c>
      <c r="AV133" s="56">
        <v>120</v>
      </c>
      <c r="AW133" s="56">
        <v>114</v>
      </c>
      <c r="AX133" s="56">
        <v>28</v>
      </c>
      <c r="AY133" s="56" t="s">
        <v>8728</v>
      </c>
      <c r="AZ133" s="56" t="s">
        <v>1563</v>
      </c>
      <c r="BA133" s="56">
        <v>32</v>
      </c>
      <c r="BB133" s="55" t="s">
        <v>2485</v>
      </c>
      <c r="BC133" s="55" t="s">
        <v>8726</v>
      </c>
      <c r="BD133" s="55" t="s">
        <v>8374</v>
      </c>
      <c r="BE133" s="56" t="s">
        <v>2449</v>
      </c>
      <c r="BF133" s="56" t="s">
        <v>272</v>
      </c>
      <c r="BG133" s="56" t="s">
        <v>272</v>
      </c>
      <c r="BH133" s="56" t="s">
        <v>2486</v>
      </c>
      <c r="BI133" s="153">
        <v>2.151872E-3</v>
      </c>
      <c r="BJ133" s="153">
        <v>21.518720000000002</v>
      </c>
      <c r="BK133" s="56"/>
      <c r="BL133" s="153">
        <v>1.6708192128506012</v>
      </c>
      <c r="BM133" s="56" t="s">
        <v>2046</v>
      </c>
      <c r="BN133" s="56"/>
      <c r="BO133" s="56"/>
      <c r="BP133" s="56"/>
      <c r="BQ133" s="56"/>
      <c r="BR133" s="55">
        <v>6.804816744710001</v>
      </c>
      <c r="BS133" s="56"/>
      <c r="BT133" s="56"/>
      <c r="BU133" s="158"/>
      <c r="BV133" s="56"/>
      <c r="BW133" s="56"/>
      <c r="BX133" s="56"/>
      <c r="BY133" s="56"/>
      <c r="BZ133" s="56"/>
      <c r="CA133" s="56"/>
      <c r="CB133" s="56"/>
      <c r="CC133" s="56"/>
      <c r="CD133" s="56"/>
      <c r="CE133" s="56"/>
      <c r="CF133" s="56"/>
      <c r="CG133" s="56"/>
      <c r="CH133" s="56"/>
      <c r="CI133" s="103">
        <v>6.804816744710001</v>
      </c>
      <c r="CJ133" s="103">
        <f t="shared" si="45"/>
        <v>0.83281643404591321</v>
      </c>
      <c r="CK133" s="57">
        <f t="shared" si="39"/>
        <v>7.7644916279899598E-2</v>
      </c>
      <c r="CL133" s="160">
        <f t="shared" si="49"/>
        <v>0.24553478448181282</v>
      </c>
      <c r="CM133" s="160"/>
      <c r="CN133" s="160"/>
      <c r="CO133" s="55" t="s">
        <v>2488</v>
      </c>
      <c r="CP133" s="497" t="s">
        <v>2489</v>
      </c>
      <c r="CQ133" s="149" t="s">
        <v>272</v>
      </c>
      <c r="CR133" s="349"/>
      <c r="CS133" s="61" t="s">
        <v>539</v>
      </c>
      <c r="CT133" s="61"/>
      <c r="CU133" s="111">
        <f t="shared" si="50"/>
        <v>14.250169382593453</v>
      </c>
      <c r="CV133" s="331">
        <f t="shared" si="42"/>
        <v>4.5062992236353141</v>
      </c>
      <c r="CW133" s="326">
        <f t="shared" si="46"/>
        <v>1</v>
      </c>
      <c r="CX133" s="326"/>
      <c r="CY133" s="161" t="s">
        <v>5921</v>
      </c>
    </row>
    <row r="134" spans="1:103" ht="11.25" customHeight="1" x14ac:dyDescent="0.2">
      <c r="A134" s="72">
        <v>176</v>
      </c>
      <c r="B134" s="149">
        <v>981</v>
      </c>
      <c r="C134" s="54" t="s">
        <v>2799</v>
      </c>
      <c r="D134" s="54" t="s">
        <v>6448</v>
      </c>
      <c r="E134" s="59"/>
      <c r="F134" s="59" t="s">
        <v>1760</v>
      </c>
      <c r="G134" s="151">
        <v>80466</v>
      </c>
      <c r="H134" s="55" t="s">
        <v>1761</v>
      </c>
      <c r="I134" s="55" t="s">
        <v>1761</v>
      </c>
      <c r="J134" s="55" t="s">
        <v>1762</v>
      </c>
      <c r="K134" s="55" t="s">
        <v>349</v>
      </c>
      <c r="L134" s="55" t="s">
        <v>6025</v>
      </c>
      <c r="M134" s="55" t="s">
        <v>8506</v>
      </c>
      <c r="N134" s="60" t="s">
        <v>6082</v>
      </c>
      <c r="O134" s="55" t="s">
        <v>1763</v>
      </c>
      <c r="P134" s="67" t="s">
        <v>6184</v>
      </c>
      <c r="Q134" s="67" t="s">
        <v>6173</v>
      </c>
      <c r="R134" s="67" t="s">
        <v>6185</v>
      </c>
      <c r="S134" s="67" t="s">
        <v>6176</v>
      </c>
      <c r="T134" s="56">
        <v>164.24</v>
      </c>
      <c r="U134" s="103">
        <v>168</v>
      </c>
      <c r="V134" s="103">
        <v>113.2</v>
      </c>
      <c r="W134" s="103">
        <v>462.89121263087367</v>
      </c>
      <c r="X134" s="103">
        <v>168</v>
      </c>
      <c r="Y134" s="162">
        <v>6.38</v>
      </c>
      <c r="Z134" s="56">
        <v>3.91</v>
      </c>
      <c r="AA134" s="56"/>
      <c r="AB134" s="56">
        <v>3.65</v>
      </c>
      <c r="AC134" s="56">
        <v>0.90659999999999996</v>
      </c>
      <c r="AD134" s="56">
        <v>3.66</v>
      </c>
      <c r="AE134" s="56">
        <v>3.7</v>
      </c>
      <c r="AF134" s="56">
        <f t="shared" si="43"/>
        <v>3.66</v>
      </c>
      <c r="AG134" s="57">
        <v>3.54</v>
      </c>
      <c r="AH134" s="103">
        <v>1.9199999999999998E-6</v>
      </c>
      <c r="AI134" s="103"/>
      <c r="AJ134" s="62">
        <f t="shared" si="47"/>
        <v>-4.1052650976091023</v>
      </c>
      <c r="AK134" s="62"/>
      <c r="AL134" s="62">
        <f t="shared" si="48"/>
        <v>-4.1052650976091023</v>
      </c>
      <c r="AM134" s="62">
        <v>-6.8975099999999996</v>
      </c>
      <c r="AN134" s="154">
        <v>-4.1500000000000004</v>
      </c>
      <c r="AO134" s="410">
        <v>10.24</v>
      </c>
      <c r="AP134" s="410"/>
      <c r="AQ134" s="56" t="s">
        <v>6311</v>
      </c>
      <c r="AR134" s="56" t="s">
        <v>6311</v>
      </c>
      <c r="AS134" s="155"/>
      <c r="AT134" s="58" t="s">
        <v>266</v>
      </c>
      <c r="AU134" s="56">
        <v>6</v>
      </c>
      <c r="AV134" s="56">
        <v>120</v>
      </c>
      <c r="AW134" s="56">
        <v>114</v>
      </c>
      <c r="AX134" s="56">
        <v>28</v>
      </c>
      <c r="AY134" s="56" t="s">
        <v>8728</v>
      </c>
      <c r="AZ134" s="56" t="s">
        <v>1563</v>
      </c>
      <c r="BA134" s="56">
        <v>32</v>
      </c>
      <c r="BB134" s="55" t="s">
        <v>2485</v>
      </c>
      <c r="BC134" s="55" t="s">
        <v>8726</v>
      </c>
      <c r="BD134" s="55" t="s">
        <v>8374</v>
      </c>
      <c r="BE134" s="56" t="s">
        <v>2449</v>
      </c>
      <c r="BF134" s="56" t="s">
        <v>272</v>
      </c>
      <c r="BG134" s="56" t="s">
        <v>272</v>
      </c>
      <c r="BH134" s="56" t="s">
        <v>2486</v>
      </c>
      <c r="BI134" s="153">
        <v>1.051136E-3</v>
      </c>
      <c r="BJ134" s="153">
        <v>10.511360000000002</v>
      </c>
      <c r="BK134" s="56"/>
      <c r="BL134" s="153">
        <v>2.5984115401162948</v>
      </c>
      <c r="BM134" s="56" t="s">
        <v>2487</v>
      </c>
      <c r="BN134" s="56"/>
      <c r="BO134" s="56"/>
      <c r="BP134" s="56"/>
      <c r="BQ134" s="56"/>
      <c r="BR134" s="55">
        <v>6.0768800000000001</v>
      </c>
      <c r="BS134" s="56"/>
      <c r="BT134" s="56"/>
      <c r="BU134" s="158"/>
      <c r="BV134" s="56"/>
      <c r="BW134" s="56"/>
      <c r="BX134" s="56"/>
      <c r="BY134" s="56"/>
      <c r="BZ134" s="56"/>
      <c r="CA134" s="56"/>
      <c r="CB134" s="56"/>
      <c r="CC134" s="56"/>
      <c r="CD134" s="56"/>
      <c r="CE134" s="56"/>
      <c r="CF134" s="56"/>
      <c r="CG134" s="56"/>
      <c r="CH134" s="56"/>
      <c r="CI134" s="103">
        <v>6.0768800000000001</v>
      </c>
      <c r="CJ134" s="103">
        <f t="shared" si="45"/>
        <v>0.78368066042953044</v>
      </c>
      <c r="CK134" s="57">
        <f t="shared" si="39"/>
        <v>0.2472003185236063</v>
      </c>
      <c r="CL134" s="160">
        <f t="shared" si="49"/>
        <v>0.42758974014894069</v>
      </c>
      <c r="CM134" s="160">
        <v>0.40873770690803563</v>
      </c>
      <c r="CN134" s="160">
        <f>BJ134/(10^CM134)</f>
        <v>4.101296840332143</v>
      </c>
      <c r="CO134" s="55" t="s">
        <v>2488</v>
      </c>
      <c r="CP134" s="497" t="s">
        <v>2489</v>
      </c>
      <c r="CQ134" s="149">
        <v>0.40873770690803574</v>
      </c>
      <c r="CR134" s="349">
        <f>10^(CJ134-CQ134)</f>
        <v>2.3710622358170195</v>
      </c>
      <c r="CS134" s="61" t="s">
        <v>539</v>
      </c>
      <c r="CT134" s="61"/>
      <c r="CU134" s="111">
        <f t="shared" si="50"/>
        <v>27.645765590237094</v>
      </c>
      <c r="CV134" s="331">
        <f t="shared" si="42"/>
        <v>15.982708231855819</v>
      </c>
      <c r="CW134" s="326">
        <f t="shared" si="46"/>
        <v>1</v>
      </c>
      <c r="CX134" s="326"/>
      <c r="CY134" s="161" t="s">
        <v>6351</v>
      </c>
    </row>
    <row r="135" spans="1:103" ht="11.25" customHeight="1" x14ac:dyDescent="0.2">
      <c r="A135" s="72">
        <v>183</v>
      </c>
      <c r="B135" s="149">
        <v>1234</v>
      </c>
      <c r="C135" s="54" t="s">
        <v>1354</v>
      </c>
      <c r="D135" s="54"/>
      <c r="E135" s="59"/>
      <c r="F135" s="59" t="s">
        <v>1355</v>
      </c>
      <c r="G135" s="151">
        <v>1763231</v>
      </c>
      <c r="H135" s="55" t="s">
        <v>1356</v>
      </c>
      <c r="I135" s="55" t="s">
        <v>1356</v>
      </c>
      <c r="J135" s="55" t="s">
        <v>1357</v>
      </c>
      <c r="K135" s="55" t="s">
        <v>426</v>
      </c>
      <c r="L135" s="55"/>
      <c r="M135" s="55"/>
      <c r="N135" s="60"/>
      <c r="O135" s="55"/>
      <c r="P135" s="67"/>
      <c r="Q135" s="67"/>
      <c r="R135" s="67"/>
      <c r="S135" s="67"/>
      <c r="T135" s="56">
        <v>500.13</v>
      </c>
      <c r="U135" s="103"/>
      <c r="V135" s="103">
        <v>0.10390000000000001</v>
      </c>
      <c r="W135" s="103">
        <v>2685.8571231865435</v>
      </c>
      <c r="X135" s="103">
        <v>2685.8571231865435</v>
      </c>
      <c r="Y135" s="162">
        <v>2.27</v>
      </c>
      <c r="Z135" s="56">
        <v>4.49</v>
      </c>
      <c r="AA135" s="56"/>
      <c r="AB135" s="56">
        <v>2.3199999999999998</v>
      </c>
      <c r="AC135" s="56">
        <v>0.56120000000000003</v>
      </c>
      <c r="AD135" s="56">
        <v>4.16</v>
      </c>
      <c r="AE135" s="56">
        <v>7.03</v>
      </c>
      <c r="AF135" s="56">
        <f t="shared" si="43"/>
        <v>4.16</v>
      </c>
      <c r="AG135" s="57">
        <v>4.3899999999999997</v>
      </c>
      <c r="AH135" s="103">
        <v>1.0999999999999999E-2</v>
      </c>
      <c r="AI135" s="103"/>
      <c r="AJ135" s="62">
        <f t="shared" si="47"/>
        <v>-0.34717364115442678</v>
      </c>
      <c r="AK135" s="62"/>
      <c r="AL135" s="62">
        <f t="shared" si="48"/>
        <v>-0.34717364115442678</v>
      </c>
      <c r="AM135" s="62">
        <v>-3.9819300000000002</v>
      </c>
      <c r="AN135" s="154">
        <v>-7.26</v>
      </c>
      <c r="AO135" s="410">
        <v>-3.27</v>
      </c>
      <c r="AP135" s="410"/>
      <c r="AQ135" s="56" t="s">
        <v>6311</v>
      </c>
      <c r="AR135" s="56" t="s">
        <v>6311</v>
      </c>
      <c r="AS135" s="155"/>
      <c r="AT135" s="58" t="s">
        <v>266</v>
      </c>
      <c r="AU135" s="56">
        <v>6</v>
      </c>
      <c r="AV135" s="56">
        <v>120</v>
      </c>
      <c r="AW135" s="56">
        <v>114</v>
      </c>
      <c r="AX135" s="56">
        <v>28</v>
      </c>
      <c r="AY135" s="56" t="s">
        <v>8728</v>
      </c>
      <c r="AZ135" s="56" t="s">
        <v>1563</v>
      </c>
      <c r="BA135" s="56">
        <v>32</v>
      </c>
      <c r="BB135" s="55" t="s">
        <v>2485</v>
      </c>
      <c r="BC135" s="55" t="s">
        <v>8726</v>
      </c>
      <c r="BD135" s="55" t="s">
        <v>8374</v>
      </c>
      <c r="BE135" s="56" t="s">
        <v>2449</v>
      </c>
      <c r="BF135" s="56" t="s">
        <v>272</v>
      </c>
      <c r="BG135" s="56" t="s">
        <v>272</v>
      </c>
      <c r="BH135" s="56" t="s">
        <v>2486</v>
      </c>
      <c r="BI135" s="153">
        <v>3.2008319999999998E-3</v>
      </c>
      <c r="BJ135" s="153">
        <v>32.008319999999998</v>
      </c>
      <c r="BK135" s="56"/>
      <c r="BL135" s="153">
        <v>2.3845910314689278</v>
      </c>
      <c r="BM135" s="56" t="s">
        <v>2487</v>
      </c>
      <c r="BN135" s="56"/>
      <c r="BO135" s="56"/>
      <c r="BP135" s="56"/>
      <c r="BQ135" s="56"/>
      <c r="BR135" s="55">
        <v>10.121919515010001</v>
      </c>
      <c r="BS135" s="56"/>
      <c r="BT135" s="56"/>
      <c r="BU135" s="158"/>
      <c r="BV135" s="56"/>
      <c r="BW135" s="56"/>
      <c r="BX135" s="56"/>
      <c r="BY135" s="56"/>
      <c r="BZ135" s="56"/>
      <c r="CA135" s="56"/>
      <c r="CB135" s="56"/>
      <c r="CC135" s="56"/>
      <c r="CD135" s="56"/>
      <c r="CE135" s="56"/>
      <c r="CF135" s="56"/>
      <c r="CG135" s="56"/>
      <c r="CH135" s="56"/>
      <c r="CI135" s="103">
        <v>10.121919515010001</v>
      </c>
      <c r="CJ135" s="103">
        <f t="shared" si="45"/>
        <v>1.0052628796704568</v>
      </c>
      <c r="CK135" s="57">
        <f t="shared" si="39"/>
        <v>7.4499099967412469E-2</v>
      </c>
      <c r="CL135" s="160">
        <f t="shared" si="49"/>
        <v>0.23558683982151499</v>
      </c>
      <c r="CM135" s="160"/>
      <c r="CN135" s="160"/>
      <c r="CO135" s="55" t="s">
        <v>2488</v>
      </c>
      <c r="CP135" s="497" t="s">
        <v>2489</v>
      </c>
      <c r="CQ135" s="149" t="s">
        <v>272</v>
      </c>
      <c r="CR135" s="349"/>
      <c r="CS135" s="61" t="s">
        <v>539</v>
      </c>
      <c r="CT135" s="61"/>
      <c r="CU135" s="111">
        <f t="shared" si="50"/>
        <v>265.3505710259434</v>
      </c>
      <c r="CV135" s="331">
        <f t="shared" si="42"/>
        <v>83.911218182851954</v>
      </c>
      <c r="CW135" s="326">
        <f t="shared" si="46"/>
        <v>1</v>
      </c>
      <c r="CX135" s="326"/>
      <c r="CY135" s="161" t="s">
        <v>5921</v>
      </c>
    </row>
    <row r="136" spans="1:103" ht="11.25" customHeight="1" x14ac:dyDescent="0.2">
      <c r="A136" s="72">
        <v>185</v>
      </c>
      <c r="B136" s="149">
        <v>1133</v>
      </c>
      <c r="C136" s="54" t="s">
        <v>3162</v>
      </c>
      <c r="D136" s="54" t="s">
        <v>6510</v>
      </c>
      <c r="E136" s="59"/>
      <c r="F136" s="59" t="s">
        <v>3163</v>
      </c>
      <c r="G136" s="151">
        <v>22224926</v>
      </c>
      <c r="H136" s="55" t="s">
        <v>3164</v>
      </c>
      <c r="I136" s="55" t="s">
        <v>3164</v>
      </c>
      <c r="J136" s="55" t="s">
        <v>3165</v>
      </c>
      <c r="K136" s="55" t="s">
        <v>637</v>
      </c>
      <c r="L136" s="55" t="s">
        <v>617</v>
      </c>
      <c r="M136" s="55" t="s">
        <v>946</v>
      </c>
      <c r="N136" s="60" t="s">
        <v>6376</v>
      </c>
      <c r="O136" s="55" t="s">
        <v>918</v>
      </c>
      <c r="P136" s="67"/>
      <c r="Q136" s="67"/>
      <c r="R136" s="67"/>
      <c r="S136" s="67"/>
      <c r="T136" s="56">
        <v>303.36</v>
      </c>
      <c r="U136" s="103">
        <v>329</v>
      </c>
      <c r="V136" s="103">
        <v>20.47</v>
      </c>
      <c r="W136" s="103">
        <v>205.09653141491145</v>
      </c>
      <c r="X136" s="103">
        <v>329</v>
      </c>
      <c r="Y136" s="162">
        <v>7</v>
      </c>
      <c r="Z136" s="56">
        <v>3.29</v>
      </c>
      <c r="AA136" s="56">
        <v>3.23</v>
      </c>
      <c r="AB136" s="56">
        <v>3.1</v>
      </c>
      <c r="AC136" s="56">
        <v>0.91149999999999998</v>
      </c>
      <c r="AD136" s="56">
        <v>3.22</v>
      </c>
      <c r="AE136" s="56">
        <v>3.68</v>
      </c>
      <c r="AF136" s="56">
        <f t="shared" si="43"/>
        <v>3.23</v>
      </c>
      <c r="AG136" s="57">
        <v>3.2</v>
      </c>
      <c r="AH136" s="103">
        <v>9.6599999999999995E-11</v>
      </c>
      <c r="AI136" s="103">
        <v>1.21E-9</v>
      </c>
      <c r="AJ136" s="62">
        <f t="shared" si="47"/>
        <v>-8.4035891998971586</v>
      </c>
      <c r="AK136" s="62">
        <f>LOG10(AI136*1000/(0.08206*298.15))</f>
        <v>-7.3057809559962017</v>
      </c>
      <c r="AL136" s="62">
        <f t="shared" si="48"/>
        <v>-7.3057809559962017</v>
      </c>
      <c r="AM136" s="62">
        <v>-14.0052</v>
      </c>
      <c r="AN136" s="154">
        <v>-7.03</v>
      </c>
      <c r="AO136" s="410"/>
      <c r="AP136" s="410">
        <v>-0.09</v>
      </c>
      <c r="AQ136" s="56" t="s">
        <v>6311</v>
      </c>
      <c r="AR136" s="56" t="s">
        <v>6311</v>
      </c>
      <c r="AS136" s="155"/>
      <c r="AT136" s="58" t="s">
        <v>266</v>
      </c>
      <c r="AU136" s="56">
        <v>6</v>
      </c>
      <c r="AV136" s="56">
        <v>120</v>
      </c>
      <c r="AW136" s="56">
        <v>114</v>
      </c>
      <c r="AX136" s="56">
        <v>28</v>
      </c>
      <c r="AY136" s="56" t="s">
        <v>8728</v>
      </c>
      <c r="AZ136" s="56" t="s">
        <v>1563</v>
      </c>
      <c r="BA136" s="56">
        <v>32</v>
      </c>
      <c r="BB136" s="55" t="s">
        <v>2485</v>
      </c>
      <c r="BC136" s="55" t="s">
        <v>8726</v>
      </c>
      <c r="BD136" s="55" t="s">
        <v>8374</v>
      </c>
      <c r="BE136" s="56" t="s">
        <v>2449</v>
      </c>
      <c r="BF136" s="56" t="s">
        <v>272</v>
      </c>
      <c r="BG136" s="56" t="s">
        <v>272</v>
      </c>
      <c r="BH136" s="56" t="s">
        <v>2486</v>
      </c>
      <c r="BI136" s="153">
        <v>1.9415039999999999E-3</v>
      </c>
      <c r="BJ136" s="153">
        <v>19.415040000000001</v>
      </c>
      <c r="BK136" s="56"/>
      <c r="BL136" s="153">
        <v>17.298534643385999</v>
      </c>
      <c r="BM136" s="56" t="s">
        <v>2487</v>
      </c>
      <c r="BN136" s="56"/>
      <c r="BO136" s="56"/>
      <c r="BP136" s="56"/>
      <c r="BQ136" s="56"/>
      <c r="BR136" s="55">
        <v>9.0097920000000009</v>
      </c>
      <c r="BS136" s="56"/>
      <c r="BT136" s="56"/>
      <c r="BU136" s="158"/>
      <c r="BV136" s="56"/>
      <c r="BW136" s="56"/>
      <c r="BX136" s="56"/>
      <c r="BY136" s="56"/>
      <c r="BZ136" s="56"/>
      <c r="CA136" s="56"/>
      <c r="CB136" s="56"/>
      <c r="CC136" s="56"/>
      <c r="CD136" s="56"/>
      <c r="CE136" s="56"/>
      <c r="CF136" s="56"/>
      <c r="CG136" s="56"/>
      <c r="CH136" s="56"/>
      <c r="CI136" s="103">
        <v>9.0097920000000009</v>
      </c>
      <c r="CJ136" s="103">
        <f t="shared" si="45"/>
        <v>0.95471476497518459</v>
      </c>
      <c r="CK136" s="57">
        <f t="shared" si="39"/>
        <v>0.89098629945578267</v>
      </c>
      <c r="CL136" s="160">
        <f t="shared" si="49"/>
        <v>1.9199704769417536</v>
      </c>
      <c r="CM136" s="160">
        <v>-1.7521858376341091</v>
      </c>
      <c r="CN136" s="160">
        <f>BJ136/(10^CM136)</f>
        <v>1097.2968368606696</v>
      </c>
      <c r="CO136" s="55" t="s">
        <v>2488</v>
      </c>
      <c r="CP136" s="497" t="s">
        <v>2489</v>
      </c>
      <c r="CQ136" s="149">
        <v>-1.4149970769866913</v>
      </c>
      <c r="CR136" s="349">
        <f>10^(CJ136-CQ136)</f>
        <v>234.26739157039037</v>
      </c>
      <c r="CS136" s="61" t="s">
        <v>539</v>
      </c>
      <c r="CT136" s="61"/>
      <c r="CU136" s="111">
        <f t="shared" si="50"/>
        <v>36.515826336501441</v>
      </c>
      <c r="CV136" s="331">
        <f t="shared" si="42"/>
        <v>16.945625659282701</v>
      </c>
      <c r="CW136" s="326">
        <f t="shared" si="46"/>
        <v>1</v>
      </c>
      <c r="CX136" s="326"/>
      <c r="CY136" s="161" t="s">
        <v>5921</v>
      </c>
    </row>
    <row r="137" spans="1:103" ht="11.25" customHeight="1" x14ac:dyDescent="0.2">
      <c r="A137" s="72">
        <v>188</v>
      </c>
      <c r="B137" s="149">
        <v>1294</v>
      </c>
      <c r="C137" s="54" t="s">
        <v>3556</v>
      </c>
      <c r="D137" s="54"/>
      <c r="E137" s="59"/>
      <c r="F137" s="59" t="s">
        <v>3557</v>
      </c>
      <c r="G137" s="151">
        <v>1948330</v>
      </c>
      <c r="H137" s="55" t="s">
        <v>3558</v>
      </c>
      <c r="I137" s="55" t="s">
        <v>3558</v>
      </c>
      <c r="J137" s="55" t="s">
        <v>3559</v>
      </c>
      <c r="K137" s="55" t="s">
        <v>1723</v>
      </c>
      <c r="L137" s="55"/>
      <c r="M137" s="55"/>
      <c r="N137" s="60"/>
      <c r="O137" s="55"/>
      <c r="P137" s="67"/>
      <c r="Q137" s="67"/>
      <c r="R137" s="67"/>
      <c r="S137" s="67"/>
      <c r="T137" s="56">
        <v>166.22</v>
      </c>
      <c r="U137" s="103"/>
      <c r="V137" s="103">
        <v>748.2</v>
      </c>
      <c r="W137" s="103">
        <v>2695.7727438300112</v>
      </c>
      <c r="X137" s="103">
        <v>2695.7727438300112</v>
      </c>
      <c r="Y137" s="162">
        <v>6.28</v>
      </c>
      <c r="Z137" s="56">
        <v>2.94</v>
      </c>
      <c r="AA137" s="56"/>
      <c r="AB137" s="56">
        <v>1.89</v>
      </c>
      <c r="AC137" s="56">
        <v>0.69550000000000001</v>
      </c>
      <c r="AD137" s="56">
        <v>2.06</v>
      </c>
      <c r="AE137" s="56">
        <v>2.33</v>
      </c>
      <c r="AF137" s="56">
        <f t="shared" si="43"/>
        <v>2.06</v>
      </c>
      <c r="AG137" s="57">
        <v>2.77</v>
      </c>
      <c r="AH137" s="103">
        <v>1.51E-10</v>
      </c>
      <c r="AI137" s="103"/>
      <c r="AJ137" s="62">
        <f t="shared" si="47"/>
        <v>-8.2095893790194818</v>
      </c>
      <c r="AK137" s="62"/>
      <c r="AL137" s="62">
        <f t="shared" si="48"/>
        <v>-8.2095893790194818</v>
      </c>
      <c r="AM137" s="62">
        <v>-10.97222</v>
      </c>
      <c r="AN137" s="154">
        <v>-7.89</v>
      </c>
      <c r="AO137" s="410">
        <v>10.8</v>
      </c>
      <c r="AP137" s="410"/>
      <c r="AQ137" s="56" t="s">
        <v>6311</v>
      </c>
      <c r="AR137" s="56" t="s">
        <v>6311</v>
      </c>
      <c r="AS137" s="155"/>
      <c r="AT137" s="58" t="s">
        <v>266</v>
      </c>
      <c r="AU137" s="56">
        <v>6</v>
      </c>
      <c r="AV137" s="56">
        <v>120</v>
      </c>
      <c r="AW137" s="56">
        <v>114</v>
      </c>
      <c r="AX137" s="56">
        <v>28</v>
      </c>
      <c r="AY137" s="56" t="s">
        <v>8728</v>
      </c>
      <c r="AZ137" s="56" t="s">
        <v>1563</v>
      </c>
      <c r="BA137" s="56">
        <v>32</v>
      </c>
      <c r="BB137" s="55" t="s">
        <v>2485</v>
      </c>
      <c r="BC137" s="55" t="s">
        <v>8726</v>
      </c>
      <c r="BD137" s="55" t="s">
        <v>8374</v>
      </c>
      <c r="BE137" s="56" t="s">
        <v>2449</v>
      </c>
      <c r="BF137" s="56" t="s">
        <v>272</v>
      </c>
      <c r="BG137" s="56" t="s">
        <v>272</v>
      </c>
      <c r="BH137" s="56" t="s">
        <v>2486</v>
      </c>
      <c r="BI137" s="153">
        <v>1.0638079999999999E-3</v>
      </c>
      <c r="BJ137" s="153">
        <v>10.63808</v>
      </c>
      <c r="BK137" s="56"/>
      <c r="BL137" s="153">
        <v>19.546512338055336</v>
      </c>
      <c r="BM137" s="56" t="s">
        <v>2046</v>
      </c>
      <c r="BN137" s="56">
        <v>3364.0562739265997</v>
      </c>
      <c r="BO137" s="56"/>
      <c r="BP137" s="56"/>
      <c r="BQ137" s="56"/>
      <c r="BR137" s="55">
        <v>3.3640562689400002</v>
      </c>
      <c r="BS137" s="56"/>
      <c r="BT137" s="56"/>
      <c r="BU137" s="158"/>
      <c r="BV137" s="56"/>
      <c r="BW137" s="56"/>
      <c r="BX137" s="56"/>
      <c r="BY137" s="56"/>
      <c r="BZ137" s="56"/>
      <c r="CA137" s="56"/>
      <c r="CB137" s="56"/>
      <c r="CC137" s="56"/>
      <c r="CD137" s="56"/>
      <c r="CE137" s="56"/>
      <c r="CF137" s="56"/>
      <c r="CG137" s="56"/>
      <c r="CH137" s="56"/>
      <c r="CI137" s="103">
        <v>3.3640562689400002</v>
      </c>
      <c r="CJ137" s="103">
        <f t="shared" si="45"/>
        <v>0.52686325142009816</v>
      </c>
      <c r="CK137" s="57">
        <f t="shared" si="39"/>
        <v>1.8374097899296993</v>
      </c>
      <c r="CL137" s="160">
        <f t="shared" si="49"/>
        <v>5.8103999384690317</v>
      </c>
      <c r="CM137" s="160"/>
      <c r="CN137" s="160"/>
      <c r="CO137" s="55" t="s">
        <v>2488</v>
      </c>
      <c r="CP137" s="497" t="s">
        <v>2489</v>
      </c>
      <c r="CQ137" s="149" t="s">
        <v>272</v>
      </c>
      <c r="CR137" s="349"/>
      <c r="CS137" s="61" t="s">
        <v>539</v>
      </c>
      <c r="CT137" s="61"/>
      <c r="CU137" s="111">
        <f t="shared" si="50"/>
        <v>801.34591347945491</v>
      </c>
      <c r="CV137" s="331">
        <f t="shared" si="42"/>
        <v>253.40782771233259</v>
      </c>
      <c r="CW137" s="326">
        <f t="shared" si="46"/>
        <v>1</v>
      </c>
      <c r="CX137" s="326"/>
      <c r="CY137" s="161" t="s">
        <v>6351</v>
      </c>
    </row>
    <row r="138" spans="1:103" ht="11.25" customHeight="1" x14ac:dyDescent="0.2">
      <c r="A138" s="72">
        <v>192</v>
      </c>
      <c r="B138" s="149">
        <v>1172</v>
      </c>
      <c r="C138" s="54" t="s">
        <v>3231</v>
      </c>
      <c r="D138" s="54" t="s">
        <v>6481</v>
      </c>
      <c r="E138" s="59"/>
      <c r="F138" s="59" t="s">
        <v>3232</v>
      </c>
      <c r="G138" s="151">
        <v>143500</v>
      </c>
      <c r="H138" s="55" t="s">
        <v>3233</v>
      </c>
      <c r="I138" s="55" t="s">
        <v>8303</v>
      </c>
      <c r="J138" s="55" t="s">
        <v>3234</v>
      </c>
      <c r="K138" s="55" t="s">
        <v>426</v>
      </c>
      <c r="L138" s="55" t="s">
        <v>6130</v>
      </c>
      <c r="M138" s="168" t="s">
        <v>6080</v>
      </c>
      <c r="N138" s="60" t="s">
        <v>6376</v>
      </c>
      <c r="O138" s="55" t="s">
        <v>6083</v>
      </c>
      <c r="P138" s="67"/>
      <c r="Q138" s="67"/>
      <c r="R138" s="67"/>
      <c r="S138" s="67"/>
      <c r="T138" s="56">
        <v>490.63</v>
      </c>
      <c r="U138" s="103">
        <v>2.7</v>
      </c>
      <c r="V138" s="103">
        <v>1.9709999999999998E-2</v>
      </c>
      <c r="W138" s="103">
        <v>9.1359581186089958E-2</v>
      </c>
      <c r="X138" s="103">
        <v>2.7</v>
      </c>
      <c r="Y138" s="162">
        <v>7</v>
      </c>
      <c r="Z138" s="56">
        <v>4.91</v>
      </c>
      <c r="AA138" s="56">
        <v>5.41</v>
      </c>
      <c r="AB138" s="56">
        <v>5.09</v>
      </c>
      <c r="AC138" s="56">
        <v>0.63859999999999995</v>
      </c>
      <c r="AD138" s="56">
        <v>5.37</v>
      </c>
      <c r="AE138" s="56">
        <v>5.89</v>
      </c>
      <c r="AF138" s="56">
        <f t="shared" ref="AF138:AF169" si="51">IF(AA138=0,AD138,AA138)</f>
        <v>5.41</v>
      </c>
      <c r="AG138" s="57">
        <v>4.84</v>
      </c>
      <c r="AH138" s="103">
        <v>1.7600000000000001E-10</v>
      </c>
      <c r="AI138" s="103">
        <v>5.3799999999999999E-8</v>
      </c>
      <c r="AJ138" s="62">
        <f t="shared" si="47"/>
        <v>-8.143053658498502</v>
      </c>
      <c r="AK138" s="62">
        <f>LOG10(AI138*1000/(0.08206*298.15))</f>
        <v>-5.6577840506462627</v>
      </c>
      <c r="AL138" s="62">
        <f t="shared" si="48"/>
        <v>-5.6577840506462627</v>
      </c>
      <c r="AM138" s="62">
        <v>-13.13194</v>
      </c>
      <c r="AN138" s="154">
        <v>-5.1100000000000003</v>
      </c>
      <c r="AO138" s="410"/>
      <c r="AP138" s="410"/>
      <c r="AQ138" s="56" t="s">
        <v>6311</v>
      </c>
      <c r="AR138" s="56" t="s">
        <v>6311</v>
      </c>
      <c r="AS138" s="155"/>
      <c r="AT138" s="58" t="s">
        <v>266</v>
      </c>
      <c r="AU138" s="56">
        <v>6</v>
      </c>
      <c r="AV138" s="56">
        <v>120</v>
      </c>
      <c r="AW138" s="56">
        <v>114</v>
      </c>
      <c r="AX138" s="56">
        <v>28</v>
      </c>
      <c r="AY138" s="56" t="s">
        <v>8728</v>
      </c>
      <c r="AZ138" s="56" t="s">
        <v>1563</v>
      </c>
      <c r="BA138" s="56">
        <v>32</v>
      </c>
      <c r="BB138" s="55" t="s">
        <v>2485</v>
      </c>
      <c r="BC138" s="55" t="s">
        <v>8726</v>
      </c>
      <c r="BD138" s="55" t="s">
        <v>8374</v>
      </c>
      <c r="BE138" s="56" t="s">
        <v>2449</v>
      </c>
      <c r="BF138" s="56" t="s">
        <v>272</v>
      </c>
      <c r="BG138" s="56" t="s">
        <v>272</v>
      </c>
      <c r="BH138" s="56" t="s">
        <v>2486</v>
      </c>
      <c r="BI138" s="153">
        <v>3.1400319999999996E-3</v>
      </c>
      <c r="BJ138" s="153">
        <v>31.400320000000001</v>
      </c>
      <c r="BK138" s="56"/>
      <c r="BL138" s="153">
        <v>0.98148371932635758</v>
      </c>
      <c r="BM138" s="56" t="s">
        <v>2487</v>
      </c>
      <c r="BN138" s="56"/>
      <c r="BO138" s="56"/>
      <c r="BP138" s="56"/>
      <c r="BQ138" s="56"/>
      <c r="BR138" s="55">
        <v>13.296073</v>
      </c>
      <c r="BS138" s="56"/>
      <c r="BT138" s="56"/>
      <c r="BU138" s="158"/>
      <c r="BV138" s="56"/>
      <c r="BW138" s="56"/>
      <c r="BX138" s="56"/>
      <c r="BY138" s="56"/>
      <c r="BZ138" s="56"/>
      <c r="CA138" s="56"/>
      <c r="CB138" s="56"/>
      <c r="CC138" s="56"/>
      <c r="CD138" s="56"/>
      <c r="CE138" s="56"/>
      <c r="CF138" s="56"/>
      <c r="CG138" s="56"/>
      <c r="CH138" s="56"/>
      <c r="CI138" s="103">
        <v>13.296073</v>
      </c>
      <c r="CJ138" s="103">
        <f t="shared" si="45"/>
        <v>1.1237233908722069</v>
      </c>
      <c r="CK138" s="57">
        <f t="shared" si="39"/>
        <v>3.1257124746701864E-2</v>
      </c>
      <c r="CL138" s="160">
        <f t="shared" si="49"/>
        <v>7.3817563977450901E-2</v>
      </c>
      <c r="CM138" s="160">
        <v>-1.5682840829865043</v>
      </c>
      <c r="CN138" s="160">
        <f>BJ138/(10^CM138)</f>
        <v>1162.0321850543507</v>
      </c>
      <c r="CO138" s="55" t="s">
        <v>2488</v>
      </c>
      <c r="CP138" s="497" t="s">
        <v>2489</v>
      </c>
      <c r="CQ138" s="149">
        <v>-1.2158577707008287</v>
      </c>
      <c r="CR138" s="349">
        <f>10^(CJ138-CQ138)</f>
        <v>218.56527393945353</v>
      </c>
      <c r="CS138" s="61" t="s">
        <v>539</v>
      </c>
      <c r="CT138" s="61"/>
      <c r="CU138" s="111">
        <f t="shared" si="50"/>
        <v>0.20306747714155904</v>
      </c>
      <c r="CV138" s="331">
        <f t="shared" si="42"/>
        <v>8.5986384852128894E-2</v>
      </c>
      <c r="CW138" s="326">
        <f t="shared" si="46"/>
        <v>0</v>
      </c>
      <c r="CX138" s="326"/>
      <c r="CY138" s="161" t="s">
        <v>5921</v>
      </c>
    </row>
    <row r="139" spans="1:103" ht="11.25" customHeight="1" x14ac:dyDescent="0.2">
      <c r="A139" s="72">
        <v>194</v>
      </c>
      <c r="B139" s="149">
        <v>933</v>
      </c>
      <c r="C139" s="54" t="s">
        <v>2663</v>
      </c>
      <c r="D139" s="54"/>
      <c r="E139" s="59"/>
      <c r="F139" s="59" t="s">
        <v>2664</v>
      </c>
      <c r="G139" s="151">
        <v>2687254</v>
      </c>
      <c r="H139" s="55" t="s">
        <v>2665</v>
      </c>
      <c r="I139" s="55" t="s">
        <v>2665</v>
      </c>
      <c r="J139" s="55" t="s">
        <v>2666</v>
      </c>
      <c r="K139" s="55" t="s">
        <v>2667</v>
      </c>
      <c r="L139" s="55"/>
      <c r="M139" s="55"/>
      <c r="N139" s="60"/>
      <c r="O139" s="55"/>
      <c r="P139" s="67"/>
      <c r="Q139" s="67"/>
      <c r="R139" s="67"/>
      <c r="S139" s="67"/>
      <c r="T139" s="56">
        <v>122.17</v>
      </c>
      <c r="U139" s="103"/>
      <c r="V139" s="103">
        <v>24570</v>
      </c>
      <c r="W139" s="103">
        <v>22749.118548610248</v>
      </c>
      <c r="X139" s="103">
        <v>22749.118548610248</v>
      </c>
      <c r="Y139" s="162">
        <v>8.8699999999999992</v>
      </c>
      <c r="Z139" s="56">
        <v>0.71</v>
      </c>
      <c r="AA139" s="56"/>
      <c r="AB139" s="56">
        <v>0.69</v>
      </c>
      <c r="AC139" s="56">
        <v>0.81369999999999998</v>
      </c>
      <c r="AD139" s="56">
        <v>0.64</v>
      </c>
      <c r="AE139" s="56">
        <v>0.51</v>
      </c>
      <c r="AF139" s="56">
        <f t="shared" si="51"/>
        <v>0.64</v>
      </c>
      <c r="AG139" s="57">
        <v>0.88</v>
      </c>
      <c r="AH139" s="103">
        <v>7.4300000000000002E-10</v>
      </c>
      <c r="AI139" s="103"/>
      <c r="AJ139" s="62">
        <f t="shared" si="47"/>
        <v>-7.5175775125520765</v>
      </c>
      <c r="AK139" s="62"/>
      <c r="AL139" s="62">
        <f t="shared" si="48"/>
        <v>-7.5175775125520765</v>
      </c>
      <c r="AM139" s="62">
        <v>-9.9274100000000001</v>
      </c>
      <c r="AN139" s="154">
        <v>-5.59</v>
      </c>
      <c r="AO139" s="410"/>
      <c r="AP139" s="410">
        <v>4.28</v>
      </c>
      <c r="AQ139" s="56" t="s">
        <v>6311</v>
      </c>
      <c r="AR139" s="56" t="s">
        <v>6311</v>
      </c>
      <c r="AS139" s="155"/>
      <c r="AT139" s="58" t="s">
        <v>266</v>
      </c>
      <c r="AU139" s="56">
        <v>6</v>
      </c>
      <c r="AV139" s="56">
        <v>120</v>
      </c>
      <c r="AW139" s="56">
        <v>114</v>
      </c>
      <c r="AX139" s="56">
        <v>28</v>
      </c>
      <c r="AY139" s="56" t="s">
        <v>8728</v>
      </c>
      <c r="AZ139" s="56" t="s">
        <v>1563</v>
      </c>
      <c r="BA139" s="56">
        <v>32</v>
      </c>
      <c r="BB139" s="55" t="s">
        <v>2485</v>
      </c>
      <c r="BC139" s="55" t="s">
        <v>8726</v>
      </c>
      <c r="BD139" s="55" t="s">
        <v>8374</v>
      </c>
      <c r="BE139" s="56" t="s">
        <v>2449</v>
      </c>
      <c r="BF139" s="56" t="s">
        <v>272</v>
      </c>
      <c r="BG139" s="56" t="s">
        <v>272</v>
      </c>
      <c r="BH139" s="56" t="s">
        <v>2486</v>
      </c>
      <c r="BI139" s="153">
        <v>7.8188800000000001E-4</v>
      </c>
      <c r="BJ139" s="153">
        <v>7.8188800000000001</v>
      </c>
      <c r="BK139" s="56"/>
      <c r="BL139" s="153">
        <v>1445.8178222135352</v>
      </c>
      <c r="BM139" s="56" t="s">
        <v>2487</v>
      </c>
      <c r="BN139" s="56"/>
      <c r="BO139" s="56"/>
      <c r="BP139" s="56"/>
      <c r="BQ139" s="56"/>
      <c r="BR139" s="55">
        <v>2.4725469520900001</v>
      </c>
      <c r="BS139" s="56"/>
      <c r="BT139" s="56"/>
      <c r="BU139" s="158"/>
      <c r="BV139" s="56"/>
      <c r="BW139" s="56"/>
      <c r="BX139" s="56"/>
      <c r="BY139" s="56"/>
      <c r="BZ139" s="56"/>
      <c r="CA139" s="56"/>
      <c r="CB139" s="56"/>
      <c r="CC139" s="56"/>
      <c r="CD139" s="56"/>
      <c r="CE139" s="56"/>
      <c r="CF139" s="56"/>
      <c r="CG139" s="56"/>
      <c r="CH139" s="56"/>
      <c r="CI139" s="103">
        <v>2.4725469520900001</v>
      </c>
      <c r="CJ139" s="103">
        <f t="shared" si="45"/>
        <v>0.39314454732280379</v>
      </c>
      <c r="CK139" s="57">
        <f t="shared" si="39"/>
        <v>184.91367334113519</v>
      </c>
      <c r="CL139" s="160">
        <f t="shared" si="49"/>
        <v>584.74837899090699</v>
      </c>
      <c r="CM139" s="160"/>
      <c r="CN139" s="160"/>
      <c r="CO139" s="55" t="s">
        <v>2488</v>
      </c>
      <c r="CP139" s="497" t="s">
        <v>2489</v>
      </c>
      <c r="CQ139" s="149" t="s">
        <v>272</v>
      </c>
      <c r="CR139" s="349"/>
      <c r="CS139" s="61" t="s">
        <v>539</v>
      </c>
      <c r="CT139" s="61"/>
      <c r="CU139" s="111">
        <f t="shared" si="50"/>
        <v>9200.6821263316433</v>
      </c>
      <c r="CV139" s="331">
        <f t="shared" si="42"/>
        <v>2909.5111510357297</v>
      </c>
      <c r="CW139" s="326">
        <f t="shared" si="46"/>
        <v>1</v>
      </c>
      <c r="CX139" s="326"/>
      <c r="CY139" s="161" t="s">
        <v>5921</v>
      </c>
    </row>
    <row r="140" spans="1:103" ht="11.25" customHeight="1" x14ac:dyDescent="0.2">
      <c r="A140" s="72">
        <v>196</v>
      </c>
      <c r="B140" s="149">
        <v>1247</v>
      </c>
      <c r="C140" s="54" t="s">
        <v>3429</v>
      </c>
      <c r="D140" s="54"/>
      <c r="E140" s="59"/>
      <c r="F140" s="59" t="s">
        <v>3430</v>
      </c>
      <c r="G140" s="151">
        <v>2795393</v>
      </c>
      <c r="H140" s="55" t="s">
        <v>3431</v>
      </c>
      <c r="I140" s="55" t="s">
        <v>3431</v>
      </c>
      <c r="J140" s="55" t="s">
        <v>3432</v>
      </c>
      <c r="K140" s="55" t="s">
        <v>426</v>
      </c>
      <c r="L140" s="55"/>
      <c r="M140" s="55"/>
      <c r="N140" s="60"/>
      <c r="O140" s="55"/>
      <c r="P140" s="67"/>
      <c r="Q140" s="67"/>
      <c r="R140" s="67"/>
      <c r="S140" s="67"/>
      <c r="T140" s="56">
        <v>500.13</v>
      </c>
      <c r="U140" s="103"/>
      <c r="V140" s="103">
        <v>0.10390000000000001</v>
      </c>
      <c r="W140" s="103">
        <v>2685.8571231865435</v>
      </c>
      <c r="X140" s="103">
        <v>2685.8571231865435</v>
      </c>
      <c r="Y140" s="162">
        <v>2.27</v>
      </c>
      <c r="Z140" s="56">
        <v>4.49</v>
      </c>
      <c r="AA140" s="56"/>
      <c r="AB140" s="56">
        <v>2.3199999999999998</v>
      </c>
      <c r="AC140" s="56">
        <v>0.56120000000000003</v>
      </c>
      <c r="AD140" s="56">
        <v>4.16</v>
      </c>
      <c r="AE140" s="56">
        <v>7.03</v>
      </c>
      <c r="AF140" s="56">
        <f t="shared" si="51"/>
        <v>4.16</v>
      </c>
      <c r="AG140" s="57">
        <v>2.59</v>
      </c>
      <c r="AH140" s="103">
        <v>1.0999999999999999E-2</v>
      </c>
      <c r="AI140" s="103"/>
      <c r="AJ140" s="62">
        <f t="shared" si="47"/>
        <v>-0.34717364115442678</v>
      </c>
      <c r="AK140" s="62"/>
      <c r="AL140" s="62">
        <f t="shared" si="48"/>
        <v>-0.34717364115442678</v>
      </c>
      <c r="AM140" s="62">
        <v>-3.9819300000000002</v>
      </c>
      <c r="AN140" s="154">
        <v>-7.7</v>
      </c>
      <c r="AO140" s="410">
        <v>-3.27</v>
      </c>
      <c r="AP140" s="410"/>
      <c r="AQ140" s="56" t="s">
        <v>6311</v>
      </c>
      <c r="AR140" s="56" t="s">
        <v>6311</v>
      </c>
      <c r="AS140" s="155"/>
      <c r="AT140" s="58" t="s">
        <v>266</v>
      </c>
      <c r="AU140" s="56">
        <v>6</v>
      </c>
      <c r="AV140" s="56">
        <v>120</v>
      </c>
      <c r="AW140" s="56">
        <v>114</v>
      </c>
      <c r="AX140" s="56">
        <v>28</v>
      </c>
      <c r="AY140" s="56" t="s">
        <v>8728</v>
      </c>
      <c r="AZ140" s="56" t="s">
        <v>1563</v>
      </c>
      <c r="BA140" s="56">
        <v>32</v>
      </c>
      <c r="BB140" s="55" t="s">
        <v>2485</v>
      </c>
      <c r="BC140" s="55" t="s">
        <v>8726</v>
      </c>
      <c r="BD140" s="55" t="s">
        <v>8374</v>
      </c>
      <c r="BE140" s="56" t="s">
        <v>2449</v>
      </c>
      <c r="BF140" s="56" t="s">
        <v>272</v>
      </c>
      <c r="BG140" s="56" t="s">
        <v>272</v>
      </c>
      <c r="BH140" s="56" t="s">
        <v>2486</v>
      </c>
      <c r="BI140" s="153">
        <v>3.2008319999999998E-3</v>
      </c>
      <c r="BJ140" s="153">
        <v>32.008319999999998</v>
      </c>
      <c r="BK140" s="56"/>
      <c r="BL140" s="153">
        <v>2.3845910314689278</v>
      </c>
      <c r="BM140" s="56" t="s">
        <v>2046</v>
      </c>
      <c r="BN140" s="56"/>
      <c r="BO140" s="56"/>
      <c r="BP140" s="56"/>
      <c r="BQ140" s="56"/>
      <c r="BR140" s="55">
        <v>9.7170427744200012</v>
      </c>
      <c r="BS140" s="56"/>
      <c r="BT140" s="56"/>
      <c r="BU140" s="158"/>
      <c r="BV140" s="56"/>
      <c r="BW140" s="56"/>
      <c r="BX140" s="56"/>
      <c r="BY140" s="56"/>
      <c r="BZ140" s="56"/>
      <c r="CA140" s="56"/>
      <c r="CB140" s="56"/>
      <c r="CC140" s="56"/>
      <c r="CD140" s="56"/>
      <c r="CE140" s="56"/>
      <c r="CF140" s="56"/>
      <c r="CG140" s="56"/>
      <c r="CH140" s="56"/>
      <c r="CI140" s="103">
        <v>9.7170427744200012</v>
      </c>
      <c r="CJ140" s="103">
        <f t="shared" si="45"/>
        <v>0.98753411449825412</v>
      </c>
      <c r="CK140" s="57">
        <f t="shared" si="39"/>
        <v>7.4499099967412469E-2</v>
      </c>
      <c r="CL140" s="160">
        <f t="shared" si="49"/>
        <v>0.24540295713695273</v>
      </c>
      <c r="CM140" s="160"/>
      <c r="CN140" s="160"/>
      <c r="CO140" s="55" t="s">
        <v>2488</v>
      </c>
      <c r="CP140" s="497" t="s">
        <v>2489</v>
      </c>
      <c r="CQ140" s="149" t="s">
        <v>272</v>
      </c>
      <c r="CR140" s="349"/>
      <c r="CS140" s="61" t="s">
        <v>539</v>
      </c>
      <c r="CT140" s="61"/>
      <c r="CU140" s="111">
        <f t="shared" si="50"/>
        <v>276.40684368057225</v>
      </c>
      <c r="CV140" s="331">
        <f t="shared" si="42"/>
        <v>83.911218182851954</v>
      </c>
      <c r="CW140" s="326">
        <f t="shared" si="46"/>
        <v>1</v>
      </c>
      <c r="CX140" s="326"/>
      <c r="CY140" s="161" t="s">
        <v>5921</v>
      </c>
    </row>
    <row r="141" spans="1:103" ht="11.25" customHeight="1" x14ac:dyDescent="0.2">
      <c r="A141" s="72">
        <v>208</v>
      </c>
      <c r="B141" s="149">
        <v>1107</v>
      </c>
      <c r="C141" s="54" t="s">
        <v>1113</v>
      </c>
      <c r="D141" s="54" t="s">
        <v>6569</v>
      </c>
      <c r="E141" s="59"/>
      <c r="F141" s="59" t="s">
        <v>1114</v>
      </c>
      <c r="G141" s="151">
        <v>87674688</v>
      </c>
      <c r="H141" s="55" t="s">
        <v>1115</v>
      </c>
      <c r="I141" s="55" t="s">
        <v>8297</v>
      </c>
      <c r="J141" s="55" t="s">
        <v>1116</v>
      </c>
      <c r="K141" s="55" t="s">
        <v>1117</v>
      </c>
      <c r="L141" s="55" t="s">
        <v>5972</v>
      </c>
      <c r="M141" s="55" t="s">
        <v>6082</v>
      </c>
      <c r="N141" s="60" t="s">
        <v>6082</v>
      </c>
      <c r="O141" s="55" t="s">
        <v>6083</v>
      </c>
      <c r="P141" s="67"/>
      <c r="Q141" s="67"/>
      <c r="R141" s="67"/>
      <c r="S141" s="67"/>
      <c r="T141" s="56">
        <v>275.8</v>
      </c>
      <c r="U141" s="103">
        <v>1200</v>
      </c>
      <c r="V141" s="103">
        <v>247</v>
      </c>
      <c r="W141" s="103">
        <v>759.61627638066591</v>
      </c>
      <c r="X141" s="103">
        <v>1200</v>
      </c>
      <c r="Y141" s="162">
        <v>7.01</v>
      </c>
      <c r="Z141" s="56">
        <v>2.57</v>
      </c>
      <c r="AA141" s="56">
        <v>2.15</v>
      </c>
      <c r="AB141" s="56">
        <v>2.52</v>
      </c>
      <c r="AC141" s="56">
        <v>0.83440000000000003</v>
      </c>
      <c r="AD141" s="56">
        <v>2.4500000000000002</v>
      </c>
      <c r="AE141" s="56">
        <v>2.15</v>
      </c>
      <c r="AF141" s="56">
        <f t="shared" si="51"/>
        <v>2.15</v>
      </c>
      <c r="AG141" s="57">
        <v>3.03</v>
      </c>
      <c r="AH141" s="103">
        <v>6.0799999999999997E-10</v>
      </c>
      <c r="AI141" s="492">
        <v>8.2000000000000006E-8</v>
      </c>
      <c r="AJ141" s="62">
        <f t="shared" si="47"/>
        <v>-7.6046627470399173</v>
      </c>
      <c r="AK141" s="62">
        <f>LOG10(AI141*1000/(0.08206*298.15))</f>
        <v>-5.4747524739289348</v>
      </c>
      <c r="AL141" s="62">
        <f t="shared" si="48"/>
        <v>-5.4747524739289348</v>
      </c>
      <c r="AM141" s="62">
        <v>-10.136889999999999</v>
      </c>
      <c r="AN141" s="154">
        <v>-5.57</v>
      </c>
      <c r="AO141" s="410"/>
      <c r="AP141" s="410">
        <v>1.1599999999999999</v>
      </c>
      <c r="AQ141" s="56" t="s">
        <v>6311</v>
      </c>
      <c r="AR141" s="56" t="s">
        <v>6311</v>
      </c>
      <c r="AS141" s="155"/>
      <c r="AT141" s="58" t="s">
        <v>266</v>
      </c>
      <c r="AU141" s="56">
        <v>6</v>
      </c>
      <c r="AV141" s="56">
        <v>120</v>
      </c>
      <c r="AW141" s="56">
        <v>114</v>
      </c>
      <c r="AX141" s="56">
        <v>28</v>
      </c>
      <c r="AY141" s="56" t="s">
        <v>8728</v>
      </c>
      <c r="AZ141" s="56" t="s">
        <v>1563</v>
      </c>
      <c r="BA141" s="56">
        <v>32</v>
      </c>
      <c r="BB141" s="55" t="s">
        <v>2485</v>
      </c>
      <c r="BC141" s="55" t="s">
        <v>8726</v>
      </c>
      <c r="BD141" s="55" t="s">
        <v>8374</v>
      </c>
      <c r="BE141" s="56" t="s">
        <v>2449</v>
      </c>
      <c r="BF141" s="56" t="s">
        <v>272</v>
      </c>
      <c r="BG141" s="56" t="s">
        <v>272</v>
      </c>
      <c r="BH141" s="56" t="s">
        <v>2486</v>
      </c>
      <c r="BI141" s="153">
        <v>1.76512E-3</v>
      </c>
      <c r="BJ141" s="153">
        <v>17.651199999999999</v>
      </c>
      <c r="BK141" s="56"/>
      <c r="BL141" s="153">
        <v>69.707139569413968</v>
      </c>
      <c r="BM141" s="56" t="s">
        <v>2046</v>
      </c>
      <c r="BN141" s="56"/>
      <c r="BO141" s="56"/>
      <c r="BP141" s="56"/>
      <c r="BQ141" s="56"/>
      <c r="BR141" s="55">
        <v>7.060480000000001</v>
      </c>
      <c r="BS141" s="56"/>
      <c r="BT141" s="56"/>
      <c r="BU141" s="158"/>
      <c r="BV141" s="56"/>
      <c r="BW141" s="56"/>
      <c r="BX141" s="56"/>
      <c r="BY141" s="56"/>
      <c r="BZ141" s="56"/>
      <c r="CA141" s="56"/>
      <c r="CB141" s="56"/>
      <c r="CC141" s="56"/>
      <c r="CD141" s="56"/>
      <c r="CE141" s="56"/>
      <c r="CF141" s="56"/>
      <c r="CG141" s="56"/>
      <c r="CH141" s="56"/>
      <c r="CI141" s="103">
        <v>7.060480000000001</v>
      </c>
      <c r="CJ141" s="103">
        <f t="shared" si="45"/>
        <v>0.84883422715168055</v>
      </c>
      <c r="CK141" s="57">
        <f t="shared" si="39"/>
        <v>3.949144509688518</v>
      </c>
      <c r="CL141" s="160">
        <f t="shared" si="49"/>
        <v>9.8728612742212931</v>
      </c>
      <c r="CM141" s="160">
        <v>0.41497334797081775</v>
      </c>
      <c r="CN141" s="160">
        <f>BJ141/(10^CM141)</f>
        <v>6.7889230769230791</v>
      </c>
      <c r="CO141" s="55" t="s">
        <v>2488</v>
      </c>
      <c r="CP141" s="497" t="s">
        <v>2489</v>
      </c>
      <c r="CQ141" s="149">
        <v>0.61057666097735264</v>
      </c>
      <c r="CR141" s="349">
        <f>10^(CJ141-CQ141)</f>
        <v>1.730842562275557</v>
      </c>
      <c r="CS141" s="61" t="s">
        <v>539</v>
      </c>
      <c r="CT141" s="61"/>
      <c r="CU141" s="111">
        <f t="shared" si="50"/>
        <v>169.96011602610585</v>
      </c>
      <c r="CV141" s="331">
        <f t="shared" si="42"/>
        <v>67.984046410442346</v>
      </c>
      <c r="CW141" s="326">
        <f t="shared" si="46"/>
        <v>1</v>
      </c>
      <c r="CX141" s="326"/>
      <c r="CY141" s="161" t="s">
        <v>5921</v>
      </c>
    </row>
    <row r="142" spans="1:103" ht="11.25" customHeight="1" x14ac:dyDescent="0.2">
      <c r="A142" s="72">
        <v>209</v>
      </c>
      <c r="B142" s="149">
        <v>957</v>
      </c>
      <c r="C142" s="54" t="s">
        <v>2730</v>
      </c>
      <c r="D142" s="54" t="s">
        <v>6478</v>
      </c>
      <c r="E142" s="59"/>
      <c r="F142" s="59" t="s">
        <v>2731</v>
      </c>
      <c r="G142" s="151">
        <v>135193</v>
      </c>
      <c r="H142" s="55" t="s">
        <v>2732</v>
      </c>
      <c r="I142" s="55" t="s">
        <v>2732</v>
      </c>
      <c r="J142" s="55" t="s">
        <v>2733</v>
      </c>
      <c r="K142" s="55" t="s">
        <v>349</v>
      </c>
      <c r="L142" s="55"/>
      <c r="M142" s="60" t="s">
        <v>2342</v>
      </c>
      <c r="N142" s="60" t="s">
        <v>2342</v>
      </c>
      <c r="O142" s="55"/>
      <c r="P142" s="67"/>
      <c r="Q142" s="67"/>
      <c r="R142" s="67"/>
      <c r="S142" s="67"/>
      <c r="T142" s="56">
        <v>144.16999999999999</v>
      </c>
      <c r="U142" s="103">
        <v>755</v>
      </c>
      <c r="V142" s="103">
        <v>1512</v>
      </c>
      <c r="W142" s="103">
        <v>499.89051729741459</v>
      </c>
      <c r="X142" s="103">
        <v>755</v>
      </c>
      <c r="Y142" s="162">
        <v>6.01</v>
      </c>
      <c r="Z142" s="56">
        <v>2.69</v>
      </c>
      <c r="AA142" s="56">
        <v>2.7</v>
      </c>
      <c r="AB142" s="56">
        <v>3</v>
      </c>
      <c r="AC142" s="56">
        <v>0.87250000000000005</v>
      </c>
      <c r="AD142" s="56">
        <v>2.92</v>
      </c>
      <c r="AE142" s="56">
        <v>2.71</v>
      </c>
      <c r="AF142" s="56">
        <f t="shared" si="51"/>
        <v>2.7</v>
      </c>
      <c r="AG142" s="57">
        <v>2.6</v>
      </c>
      <c r="AH142" s="103">
        <v>5.47E-8</v>
      </c>
      <c r="AI142" s="103">
        <v>2.7400000000000001E-8</v>
      </c>
      <c r="AJ142" s="62">
        <f t="shared" si="47"/>
        <v>-5.6505789999792206</v>
      </c>
      <c r="AK142" s="62">
        <f>LOG10(AI142*1000/(0.08206*298.15))</f>
        <v>-5.9508157634922636</v>
      </c>
      <c r="AL142" s="62">
        <f t="shared" si="48"/>
        <v>-5.9508157634922636</v>
      </c>
      <c r="AM142" s="62">
        <v>-8.7641400000000012</v>
      </c>
      <c r="AN142" s="154">
        <v>-5.97</v>
      </c>
      <c r="AO142" s="410">
        <v>9.57</v>
      </c>
      <c r="AP142" s="410"/>
      <c r="AQ142" s="56" t="s">
        <v>6311</v>
      </c>
      <c r="AR142" s="56" t="s">
        <v>6311</v>
      </c>
      <c r="AS142" s="155"/>
      <c r="AT142" s="58" t="s">
        <v>266</v>
      </c>
      <c r="AU142" s="56">
        <v>6</v>
      </c>
      <c r="AV142" s="56">
        <v>120</v>
      </c>
      <c r="AW142" s="56">
        <v>114</v>
      </c>
      <c r="AX142" s="56">
        <v>28</v>
      </c>
      <c r="AY142" s="56" t="s">
        <v>8728</v>
      </c>
      <c r="AZ142" s="56" t="s">
        <v>1563</v>
      </c>
      <c r="BA142" s="56">
        <v>32</v>
      </c>
      <c r="BB142" s="55" t="s">
        <v>2485</v>
      </c>
      <c r="BC142" s="55" t="s">
        <v>8726</v>
      </c>
      <c r="BD142" s="55" t="s">
        <v>8374</v>
      </c>
      <c r="BE142" s="56" t="s">
        <v>2449</v>
      </c>
      <c r="BF142" s="56" t="s">
        <v>272</v>
      </c>
      <c r="BG142" s="56" t="s">
        <v>272</v>
      </c>
      <c r="BH142" s="56" t="s">
        <v>2486</v>
      </c>
      <c r="BI142" s="153">
        <v>9.2268799999999985E-4</v>
      </c>
      <c r="BJ142" s="153">
        <v>9.2268799999999995</v>
      </c>
      <c r="BK142" s="56"/>
      <c r="BL142" s="153">
        <v>28.430591706295079</v>
      </c>
      <c r="BM142" s="56" t="s">
        <v>2046</v>
      </c>
      <c r="BN142" s="56"/>
      <c r="BO142" s="56"/>
      <c r="BP142" s="56"/>
      <c r="BQ142" s="56"/>
      <c r="BR142" s="55">
        <v>3.6619179999999996</v>
      </c>
      <c r="BS142" s="56"/>
      <c r="BT142" s="56"/>
      <c r="BU142" s="158"/>
      <c r="BV142" s="56"/>
      <c r="BW142" s="56"/>
      <c r="BX142" s="56"/>
      <c r="BY142" s="56"/>
      <c r="BZ142" s="56"/>
      <c r="CA142" s="56"/>
      <c r="CB142" s="56"/>
      <c r="CC142" s="56"/>
      <c r="CD142" s="56"/>
      <c r="CE142" s="56"/>
      <c r="CF142" s="56"/>
      <c r="CG142" s="56"/>
      <c r="CH142" s="56"/>
      <c r="CI142" s="103">
        <v>3.6619179999999996</v>
      </c>
      <c r="CJ142" s="103">
        <f t="shared" si="45"/>
        <v>0.56370861507593484</v>
      </c>
      <c r="CK142" s="57">
        <f t="shared" si="39"/>
        <v>3.0812790137397559</v>
      </c>
      <c r="CL142" s="160">
        <f t="shared" si="49"/>
        <v>7.7638526330450555</v>
      </c>
      <c r="CM142" s="160">
        <v>0.5390760987927764</v>
      </c>
      <c r="CN142" s="160">
        <f>BJ142/(10^CM142)</f>
        <v>2.6667283236994228</v>
      </c>
      <c r="CO142" s="55" t="s">
        <v>2488</v>
      </c>
      <c r="CP142" s="497" t="s">
        <v>2489</v>
      </c>
      <c r="CQ142" s="149">
        <v>0.53907609879277663</v>
      </c>
      <c r="CR142" s="349">
        <f>10^(CJ142-CQ142)</f>
        <v>1.058357803468208</v>
      </c>
      <c r="CS142" s="61" t="s">
        <v>539</v>
      </c>
      <c r="CT142" s="61"/>
      <c r="CU142" s="111">
        <f t="shared" si="50"/>
        <v>206.17610771186031</v>
      </c>
      <c r="CV142" s="331">
        <f t="shared" si="42"/>
        <v>81.826142748144562</v>
      </c>
      <c r="CW142" s="326">
        <f t="shared" si="46"/>
        <v>1</v>
      </c>
      <c r="CX142" s="326"/>
      <c r="CY142" s="161" t="s">
        <v>6351</v>
      </c>
    </row>
    <row r="143" spans="1:103" ht="11.25" customHeight="1" x14ac:dyDescent="0.2">
      <c r="A143" s="72">
        <v>210</v>
      </c>
      <c r="B143" s="149">
        <v>916</v>
      </c>
      <c r="C143" s="54" t="s">
        <v>2615</v>
      </c>
      <c r="D143" s="54"/>
      <c r="E143" s="59"/>
      <c r="F143" s="59" t="s">
        <v>2616</v>
      </c>
      <c r="G143" s="151">
        <v>5315797</v>
      </c>
      <c r="H143" s="55" t="s">
        <v>2617</v>
      </c>
      <c r="I143" s="55" t="s">
        <v>2617</v>
      </c>
      <c r="J143" s="55" t="s">
        <v>2618</v>
      </c>
      <c r="K143" s="55" t="s">
        <v>349</v>
      </c>
      <c r="L143" s="55"/>
      <c r="M143" s="55"/>
      <c r="N143" s="60"/>
      <c r="O143" s="55"/>
      <c r="P143" s="67"/>
      <c r="Q143" s="67"/>
      <c r="R143" s="67"/>
      <c r="S143" s="67"/>
      <c r="T143" s="56">
        <v>218.25</v>
      </c>
      <c r="U143" s="103"/>
      <c r="V143" s="103">
        <v>1.6339999999999999</v>
      </c>
      <c r="W143" s="103">
        <v>1.1453922819951274</v>
      </c>
      <c r="X143" s="103">
        <v>1.1453922819951274</v>
      </c>
      <c r="Y143" s="162">
        <v>6.96</v>
      </c>
      <c r="Z143" s="56">
        <v>4.45</v>
      </c>
      <c r="AA143" s="56"/>
      <c r="AB143" s="56">
        <v>4.46</v>
      </c>
      <c r="AC143" s="56">
        <v>0.82820000000000005</v>
      </c>
      <c r="AD143" s="56">
        <v>4.45</v>
      </c>
      <c r="AE143" s="56">
        <v>4.43</v>
      </c>
      <c r="AF143" s="56">
        <f t="shared" si="51"/>
        <v>4.45</v>
      </c>
      <c r="AG143" s="57">
        <v>4.34</v>
      </c>
      <c r="AH143" s="103">
        <v>8.6400000000000001E-10</v>
      </c>
      <c r="AI143" s="103"/>
      <c r="AJ143" s="62">
        <f t="shared" si="47"/>
        <v>-7.4520525838337583</v>
      </c>
      <c r="AK143" s="62"/>
      <c r="AL143" s="62">
        <f t="shared" si="48"/>
        <v>-7.4520525838337583</v>
      </c>
      <c r="AM143" s="62">
        <v>-12.37102</v>
      </c>
      <c r="AN143" s="154">
        <v>-7.8</v>
      </c>
      <c r="AO143" s="410">
        <v>9.4</v>
      </c>
      <c r="AP143" s="410"/>
      <c r="AQ143" s="56" t="s">
        <v>6311</v>
      </c>
      <c r="AR143" s="56" t="s">
        <v>6311</v>
      </c>
      <c r="AS143" s="155"/>
      <c r="AT143" s="58" t="s">
        <v>266</v>
      </c>
      <c r="AU143" s="56">
        <v>6</v>
      </c>
      <c r="AV143" s="56">
        <v>120</v>
      </c>
      <c r="AW143" s="56">
        <v>114</v>
      </c>
      <c r="AX143" s="56">
        <v>28</v>
      </c>
      <c r="AY143" s="56" t="s">
        <v>8728</v>
      </c>
      <c r="AZ143" s="56" t="s">
        <v>1563</v>
      </c>
      <c r="BA143" s="56">
        <v>32</v>
      </c>
      <c r="BB143" s="55" t="s">
        <v>2485</v>
      </c>
      <c r="BC143" s="55" t="s">
        <v>8726</v>
      </c>
      <c r="BD143" s="55" t="s">
        <v>8374</v>
      </c>
      <c r="BE143" s="56" t="s">
        <v>2449</v>
      </c>
      <c r="BF143" s="56" t="s">
        <v>272</v>
      </c>
      <c r="BG143" s="56" t="s">
        <v>272</v>
      </c>
      <c r="BH143" s="56" t="s">
        <v>2486</v>
      </c>
      <c r="BI143" s="153">
        <v>1.3967999999999999E-3</v>
      </c>
      <c r="BJ143" s="153">
        <v>13.968</v>
      </c>
      <c r="BK143" s="56"/>
      <c r="BL143" s="153">
        <v>1.1303404056913453</v>
      </c>
      <c r="BM143" s="56" t="s">
        <v>2046</v>
      </c>
      <c r="BN143" s="56"/>
      <c r="BO143" s="56"/>
      <c r="BP143" s="56"/>
      <c r="BQ143" s="56"/>
      <c r="BR143" s="55">
        <v>4.4170694302499998</v>
      </c>
      <c r="BS143" s="56"/>
      <c r="BT143" s="56"/>
      <c r="BU143" s="158"/>
      <c r="BV143" s="56"/>
      <c r="BW143" s="56"/>
      <c r="BX143" s="56"/>
      <c r="BY143" s="56"/>
      <c r="BZ143" s="56"/>
      <c r="CA143" s="56"/>
      <c r="CB143" s="56"/>
      <c r="CC143" s="56"/>
      <c r="CD143" s="56"/>
      <c r="CE143" s="56"/>
      <c r="CF143" s="56"/>
      <c r="CG143" s="56"/>
      <c r="CH143" s="56"/>
      <c r="CI143" s="103">
        <v>4.4170694302499998</v>
      </c>
      <c r="CJ143" s="103">
        <f t="shared" si="45"/>
        <v>0.64513422582336</v>
      </c>
      <c r="CK143" s="57">
        <f t="shared" si="39"/>
        <v>8.092356856324065E-2</v>
      </c>
      <c r="CL143" s="160">
        <f t="shared" si="49"/>
        <v>0.2559027933657293</v>
      </c>
      <c r="CM143" s="160"/>
      <c r="CN143" s="160"/>
      <c r="CO143" s="55" t="s">
        <v>2488</v>
      </c>
      <c r="CP143" s="497" t="s">
        <v>2489</v>
      </c>
      <c r="CQ143" s="149" t="s">
        <v>272</v>
      </c>
      <c r="CR143" s="349"/>
      <c r="CS143" s="61" t="s">
        <v>539</v>
      </c>
      <c r="CT143" s="61"/>
      <c r="CU143" s="111">
        <f t="shared" si="50"/>
        <v>0.25931045460843027</v>
      </c>
      <c r="CV143" s="331">
        <f t="shared" si="42"/>
        <v>8.2001165664026876E-2</v>
      </c>
      <c r="CW143" s="326">
        <f t="shared" si="46"/>
        <v>0</v>
      </c>
      <c r="CX143" s="326"/>
      <c r="CY143" s="161" t="s">
        <v>5921</v>
      </c>
    </row>
    <row r="144" spans="1:103" ht="11.25" customHeight="1" x14ac:dyDescent="0.2">
      <c r="A144" s="72">
        <v>213</v>
      </c>
      <c r="B144" s="149">
        <v>1063</v>
      </c>
      <c r="C144" s="54" t="s">
        <v>1042</v>
      </c>
      <c r="D144" s="54" t="s">
        <v>6628</v>
      </c>
      <c r="E144" s="59"/>
      <c r="F144" s="59" t="s">
        <v>1043</v>
      </c>
      <c r="G144" s="151">
        <v>5598152</v>
      </c>
      <c r="H144" s="55" t="s">
        <v>1044</v>
      </c>
      <c r="I144" s="55" t="s">
        <v>8305</v>
      </c>
      <c r="J144" s="55" t="s">
        <v>1045</v>
      </c>
      <c r="K144" s="55" t="s">
        <v>1046</v>
      </c>
      <c r="L144" s="55" t="s">
        <v>617</v>
      </c>
      <c r="M144" s="55" t="s">
        <v>618</v>
      </c>
      <c r="N144" s="60"/>
      <c r="O144" s="55" t="s">
        <v>918</v>
      </c>
      <c r="P144" s="67"/>
      <c r="Q144" s="67"/>
      <c r="R144" s="67"/>
      <c r="S144" s="67"/>
      <c r="T144" s="56">
        <v>334.52</v>
      </c>
      <c r="U144" s="103"/>
      <c r="V144" s="103">
        <v>25.97</v>
      </c>
      <c r="W144" s="103">
        <v>118.69217496641555</v>
      </c>
      <c r="X144" s="103">
        <v>118.69217496641555</v>
      </c>
      <c r="Y144" s="162">
        <v>7</v>
      </c>
      <c r="Z144" s="56">
        <v>2.89</v>
      </c>
      <c r="AA144" s="56"/>
      <c r="AB144" s="56">
        <v>3.25</v>
      </c>
      <c r="AC144" s="56">
        <v>0.68079999999999996</v>
      </c>
      <c r="AD144" s="56">
        <v>3.43</v>
      </c>
      <c r="AE144" s="56">
        <v>3.73</v>
      </c>
      <c r="AF144" s="56">
        <f t="shared" si="51"/>
        <v>3.43</v>
      </c>
      <c r="AG144" s="57">
        <v>3.81</v>
      </c>
      <c r="AH144" s="103">
        <v>5.4599999999999998E-9</v>
      </c>
      <c r="AI144" s="103"/>
      <c r="AJ144" s="62">
        <f t="shared" si="47"/>
        <v>-6.6513736836079147</v>
      </c>
      <c r="AK144" s="62"/>
      <c r="AL144" s="62">
        <f t="shared" si="48"/>
        <v>-6.6513736836079147</v>
      </c>
      <c r="AM144" s="62">
        <v>-12.981439999999999</v>
      </c>
      <c r="AN144" s="154">
        <v>-4.46</v>
      </c>
      <c r="AO144" s="410"/>
      <c r="AP144" s="410">
        <v>-5.28</v>
      </c>
      <c r="AQ144" s="56" t="s">
        <v>6312</v>
      </c>
      <c r="AR144" s="56" t="s">
        <v>6312</v>
      </c>
      <c r="AS144" s="155"/>
      <c r="AT144" s="58" t="s">
        <v>266</v>
      </c>
      <c r="AU144" s="56">
        <v>6</v>
      </c>
      <c r="AV144" s="56">
        <v>120</v>
      </c>
      <c r="AW144" s="56">
        <v>114</v>
      </c>
      <c r="AX144" s="56">
        <v>28</v>
      </c>
      <c r="AY144" s="56" t="s">
        <v>8728</v>
      </c>
      <c r="AZ144" s="56" t="s">
        <v>1563</v>
      </c>
      <c r="BA144" s="56">
        <v>32</v>
      </c>
      <c r="BB144" s="55" t="s">
        <v>2485</v>
      </c>
      <c r="BC144" s="55" t="s">
        <v>8726</v>
      </c>
      <c r="BD144" s="55" t="s">
        <v>8374</v>
      </c>
      <c r="BE144" s="56" t="s">
        <v>2449</v>
      </c>
      <c r="BF144" s="56" t="s">
        <v>272</v>
      </c>
      <c r="BG144" s="56" t="s">
        <v>272</v>
      </c>
      <c r="BH144" s="56" t="s">
        <v>2486</v>
      </c>
      <c r="BI144" s="153">
        <v>2.1409279999999998E-3</v>
      </c>
      <c r="BJ144" s="153">
        <v>21.409279999999999</v>
      </c>
      <c r="BK144" s="56"/>
      <c r="BL144" s="153">
        <v>43.622754807854605</v>
      </c>
      <c r="BM144" s="56" t="s">
        <v>2046</v>
      </c>
      <c r="BN144" s="56"/>
      <c r="BO144" s="56"/>
      <c r="BP144" s="56"/>
      <c r="BQ144" s="56"/>
      <c r="BR144" s="55">
        <v>0.67363563575999996</v>
      </c>
      <c r="BS144" s="56"/>
      <c r="BT144" s="56"/>
      <c r="BU144" s="158"/>
      <c r="BV144" s="56"/>
      <c r="BW144" s="56"/>
      <c r="BX144" s="56"/>
      <c r="BY144" s="56"/>
      <c r="BZ144" s="56"/>
      <c r="CA144" s="56"/>
      <c r="CB144" s="56"/>
      <c r="CC144" s="56"/>
      <c r="CD144" s="56"/>
      <c r="CE144" s="56"/>
      <c r="CF144" s="56"/>
      <c r="CG144" s="56"/>
      <c r="CH144" s="56"/>
      <c r="CI144" s="103">
        <v>0.67363563575999996</v>
      </c>
      <c r="CJ144" s="103">
        <f t="shared" si="45"/>
        <v>-0.17157494644225035</v>
      </c>
      <c r="CK144" s="57">
        <f t="shared" si="39"/>
        <v>2.0375629076668904</v>
      </c>
      <c r="CL144" s="160">
        <f t="shared" si="49"/>
        <v>64.757195866930559</v>
      </c>
      <c r="CM144" s="160"/>
      <c r="CN144" s="160"/>
      <c r="CO144" s="55" t="s">
        <v>2488</v>
      </c>
      <c r="CP144" s="497" t="s">
        <v>2489</v>
      </c>
      <c r="CQ144" s="149" t="s">
        <v>272</v>
      </c>
      <c r="CR144" s="349"/>
      <c r="CS144" s="61" t="s">
        <v>539</v>
      </c>
      <c r="CT144" s="61"/>
      <c r="CU144" s="111">
        <f t="shared" si="50"/>
        <v>176.1964015346461</v>
      </c>
      <c r="CV144" s="331">
        <f t="shared" si="42"/>
        <v>5.5439592067746117</v>
      </c>
      <c r="CW144" s="326">
        <f t="shared" si="46"/>
        <v>1</v>
      </c>
      <c r="CX144" s="326"/>
      <c r="CY144" s="161" t="s">
        <v>5921</v>
      </c>
    </row>
    <row r="145" spans="1:103" ht="11.25" customHeight="1" x14ac:dyDescent="0.2">
      <c r="A145" s="72">
        <v>215</v>
      </c>
      <c r="B145" s="149">
        <v>1242</v>
      </c>
      <c r="C145" s="54" t="s">
        <v>1375</v>
      </c>
      <c r="D145" s="54" t="s">
        <v>6426</v>
      </c>
      <c r="E145" s="59"/>
      <c r="F145" s="59" t="s">
        <v>1376</v>
      </c>
      <c r="G145" s="151">
        <v>51036</v>
      </c>
      <c r="H145" s="55" t="s">
        <v>1377</v>
      </c>
      <c r="I145" s="55" t="s">
        <v>1377</v>
      </c>
      <c r="J145" s="55" t="s">
        <v>1378</v>
      </c>
      <c r="K145" s="55" t="s">
        <v>287</v>
      </c>
      <c r="L145" s="55" t="s">
        <v>6089</v>
      </c>
      <c r="M145" s="55" t="s">
        <v>8508</v>
      </c>
      <c r="N145" s="60" t="s">
        <v>6082</v>
      </c>
      <c r="O145" s="55" t="s">
        <v>6138</v>
      </c>
      <c r="P145" s="67"/>
      <c r="Q145" s="67"/>
      <c r="R145" s="67"/>
      <c r="S145" s="67"/>
      <c r="T145" s="56">
        <v>338.44</v>
      </c>
      <c r="U145" s="103">
        <v>14.3</v>
      </c>
      <c r="V145" s="103">
        <v>0.63839999999999997</v>
      </c>
      <c r="W145" s="103">
        <v>37.109208070269908</v>
      </c>
      <c r="X145" s="103">
        <v>14.3</v>
      </c>
      <c r="Y145" s="162">
        <v>7</v>
      </c>
      <c r="Z145" s="56">
        <v>4.29</v>
      </c>
      <c r="AA145" s="56">
        <v>4.75</v>
      </c>
      <c r="AB145" s="56">
        <v>3.86</v>
      </c>
      <c r="AC145" s="56">
        <v>0.69040000000000001</v>
      </c>
      <c r="AD145" s="56">
        <v>4</v>
      </c>
      <c r="AE145" s="56">
        <v>4.2300000000000004</v>
      </c>
      <c r="AF145" s="56">
        <f t="shared" si="51"/>
        <v>4.75</v>
      </c>
      <c r="AG145" s="57">
        <v>3.95</v>
      </c>
      <c r="AH145" s="103">
        <v>8.8899999999999998E-11</v>
      </c>
      <c r="AI145" s="103"/>
      <c r="AJ145" s="62">
        <f t="shared" si="47"/>
        <v>-8.4396645653424383</v>
      </c>
      <c r="AK145" s="62"/>
      <c r="AL145" s="62">
        <f t="shared" si="48"/>
        <v>-8.4396645653424383</v>
      </c>
      <c r="AM145" s="62">
        <v>-11.402930000000001</v>
      </c>
      <c r="AN145" s="154">
        <v>-6.3</v>
      </c>
      <c r="AO145" s="410"/>
      <c r="AP145" s="410"/>
      <c r="AQ145" s="56" t="s">
        <v>6311</v>
      </c>
      <c r="AR145" s="56" t="s">
        <v>6311</v>
      </c>
      <c r="AS145" s="155"/>
      <c r="AT145" s="58" t="s">
        <v>266</v>
      </c>
      <c r="AU145" s="56">
        <v>6</v>
      </c>
      <c r="AV145" s="56">
        <v>120</v>
      </c>
      <c r="AW145" s="56">
        <v>114</v>
      </c>
      <c r="AX145" s="56">
        <v>28</v>
      </c>
      <c r="AY145" s="56" t="s">
        <v>8728</v>
      </c>
      <c r="AZ145" s="56" t="s">
        <v>1563</v>
      </c>
      <c r="BA145" s="56">
        <v>32</v>
      </c>
      <c r="BB145" s="55" t="s">
        <v>2485</v>
      </c>
      <c r="BC145" s="55" t="s">
        <v>8726</v>
      </c>
      <c r="BD145" s="55" t="s">
        <v>8374</v>
      </c>
      <c r="BE145" s="56" t="s">
        <v>2449</v>
      </c>
      <c r="BF145" s="56" t="s">
        <v>272</v>
      </c>
      <c r="BG145" s="56" t="s">
        <v>272</v>
      </c>
      <c r="BH145" s="56" t="s">
        <v>2486</v>
      </c>
      <c r="BI145" s="153">
        <v>2.1660159999999998E-3</v>
      </c>
      <c r="BJ145" s="153">
        <v>21.660160000000001</v>
      </c>
      <c r="BK145" s="56"/>
      <c r="BL145" s="153">
        <v>2.4402408127702406</v>
      </c>
      <c r="BM145" s="56" t="s">
        <v>2487</v>
      </c>
      <c r="BN145" s="56"/>
      <c r="BO145" s="56"/>
      <c r="BP145" s="56"/>
      <c r="BQ145" s="56"/>
      <c r="BR145" s="65">
        <v>8.5963759999999994</v>
      </c>
      <c r="BS145" s="56"/>
      <c r="BT145" s="56"/>
      <c r="BU145" s="158"/>
      <c r="BV145" s="56"/>
      <c r="BW145" s="56"/>
      <c r="BX145" s="56"/>
      <c r="BY145" s="56"/>
      <c r="BZ145" s="56"/>
      <c r="CA145" s="56"/>
      <c r="CB145" s="56"/>
      <c r="CC145" s="56"/>
      <c r="CD145" s="56"/>
      <c r="CE145" s="56"/>
      <c r="CF145" s="56"/>
      <c r="CG145" s="56"/>
      <c r="CH145" s="56"/>
      <c r="CI145" s="103">
        <v>8.5963759999999994</v>
      </c>
      <c r="CJ145" s="103">
        <f t="shared" si="45"/>
        <v>0.93431540299831917</v>
      </c>
      <c r="CK145" s="57">
        <f t="shared" si="39"/>
        <v>0.11266033181519622</v>
      </c>
      <c r="CL145" s="160">
        <f t="shared" si="49"/>
        <v>0.28386855260521887</v>
      </c>
      <c r="CM145" s="160">
        <v>0.51711641904523076</v>
      </c>
      <c r="CN145" s="160">
        <f>BJ145/(10^CM145)</f>
        <v>6.5848402195645006</v>
      </c>
      <c r="CO145" s="55" t="s">
        <v>2488</v>
      </c>
      <c r="CP145" s="497" t="s">
        <v>2489</v>
      </c>
      <c r="CQ145" s="149">
        <v>0.61285516037554444</v>
      </c>
      <c r="CR145" s="349">
        <f>10^(CJ145-CQ145)</f>
        <v>2.0963328632520053</v>
      </c>
      <c r="CS145" s="61" t="s">
        <v>539</v>
      </c>
      <c r="CT145" s="61"/>
      <c r="CU145" s="111">
        <f t="shared" si="50"/>
        <v>1.6634916853334476</v>
      </c>
      <c r="CV145" s="331">
        <f t="shared" si="42"/>
        <v>0.66019826261671199</v>
      </c>
      <c r="CW145" s="326">
        <f t="shared" si="46"/>
        <v>0</v>
      </c>
      <c r="CX145" s="326"/>
      <c r="CY145" s="161" t="s">
        <v>6351</v>
      </c>
    </row>
    <row r="146" spans="1:103" ht="11.25" customHeight="1" x14ac:dyDescent="0.2">
      <c r="A146" s="72">
        <v>216</v>
      </c>
      <c r="B146" s="149">
        <v>1035</v>
      </c>
      <c r="C146" s="54" t="s">
        <v>977</v>
      </c>
      <c r="D146" s="54" t="s">
        <v>6447</v>
      </c>
      <c r="E146" s="59"/>
      <c r="F146" s="59" t="s">
        <v>978</v>
      </c>
      <c r="G146" s="151">
        <v>80057</v>
      </c>
      <c r="H146" s="55" t="s">
        <v>979</v>
      </c>
      <c r="I146" s="55" t="s">
        <v>979</v>
      </c>
      <c r="J146" s="55" t="s">
        <v>980</v>
      </c>
      <c r="K146" s="55" t="s">
        <v>376</v>
      </c>
      <c r="L146" s="55" t="s">
        <v>5527</v>
      </c>
      <c r="M146" s="55" t="s">
        <v>602</v>
      </c>
      <c r="N146" s="60" t="s">
        <v>6386</v>
      </c>
      <c r="O146" s="55" t="s">
        <v>981</v>
      </c>
      <c r="P146" s="67"/>
      <c r="Q146" s="67"/>
      <c r="R146" s="67"/>
      <c r="S146" s="67"/>
      <c r="T146" s="56">
        <v>228.29</v>
      </c>
      <c r="U146" s="103">
        <v>119.99999999999999</v>
      </c>
      <c r="V146" s="103">
        <v>172.7</v>
      </c>
      <c r="W146" s="103">
        <v>88.815116150744203</v>
      </c>
      <c r="X146" s="103">
        <v>119.99999999999999</v>
      </c>
      <c r="Y146" s="162">
        <v>6.76</v>
      </c>
      <c r="Z146" s="56">
        <v>3.64</v>
      </c>
      <c r="AA146" s="56">
        <v>3.32</v>
      </c>
      <c r="AB146" s="56">
        <v>3.73</v>
      </c>
      <c r="AC146" s="56">
        <v>0.77510000000000001</v>
      </c>
      <c r="AD146" s="56">
        <v>3.63</v>
      </c>
      <c r="AE146" s="56">
        <v>3.43</v>
      </c>
      <c r="AF146" s="56">
        <f t="shared" si="51"/>
        <v>3.32</v>
      </c>
      <c r="AG146" s="57">
        <v>3.7</v>
      </c>
      <c r="AH146" s="103">
        <v>9.1600000000000006E-12</v>
      </c>
      <c r="AI146" s="103"/>
      <c r="AJ146" s="62">
        <f t="shared" si="47"/>
        <v>-9.4266708526448006</v>
      </c>
      <c r="AK146" s="62"/>
      <c r="AL146" s="62">
        <f t="shared" si="48"/>
        <v>-9.4266708526448006</v>
      </c>
      <c r="AM146" s="62">
        <v>-13.641390000000001</v>
      </c>
      <c r="AN146" s="154">
        <v>-10.199999999999999</v>
      </c>
      <c r="AO146" s="410">
        <v>10.29</v>
      </c>
      <c r="AP146" s="410"/>
      <c r="AQ146" s="56" t="s">
        <v>6311</v>
      </c>
      <c r="AR146" s="56" t="s">
        <v>6311</v>
      </c>
      <c r="AS146" s="155"/>
      <c r="AT146" s="58" t="s">
        <v>266</v>
      </c>
      <c r="AU146" s="56">
        <v>6</v>
      </c>
      <c r="AV146" s="56">
        <v>120</v>
      </c>
      <c r="AW146" s="56">
        <v>114</v>
      </c>
      <c r="AX146" s="56">
        <v>28</v>
      </c>
      <c r="AY146" s="56" t="s">
        <v>8728</v>
      </c>
      <c r="AZ146" s="56" t="s">
        <v>1563</v>
      </c>
      <c r="BA146" s="56">
        <v>32</v>
      </c>
      <c r="BB146" s="55" t="s">
        <v>2485</v>
      </c>
      <c r="BC146" s="55" t="s">
        <v>8726</v>
      </c>
      <c r="BD146" s="55" t="s">
        <v>8374</v>
      </c>
      <c r="BE146" s="56" t="s">
        <v>2449</v>
      </c>
      <c r="BF146" s="56" t="s">
        <v>272</v>
      </c>
      <c r="BG146" s="56" t="s">
        <v>272</v>
      </c>
      <c r="BH146" s="56" t="s">
        <v>2486</v>
      </c>
      <c r="BI146" s="153">
        <v>1.4610559999999999E-3</v>
      </c>
      <c r="BJ146" s="153">
        <v>14.61056</v>
      </c>
      <c r="BK146" s="56"/>
      <c r="BL146" s="153">
        <v>6.3125217586499822</v>
      </c>
      <c r="BM146" s="56" t="s">
        <v>2487</v>
      </c>
      <c r="BN146" s="56"/>
      <c r="BO146" s="56"/>
      <c r="BP146" s="56"/>
      <c r="BQ146" s="56"/>
      <c r="BR146" s="55">
        <v>5.7300789999999999</v>
      </c>
      <c r="BS146" s="56"/>
      <c r="BT146" s="56"/>
      <c r="BU146" s="158"/>
      <c r="BV146" s="56"/>
      <c r="BW146" s="56"/>
      <c r="BX146" s="56"/>
      <c r="BY146" s="56"/>
      <c r="BZ146" s="56"/>
      <c r="CA146" s="56"/>
      <c r="CB146" s="56"/>
      <c r="CC146" s="56"/>
      <c r="CD146" s="56"/>
      <c r="CE146" s="56"/>
      <c r="CF146" s="56"/>
      <c r="CG146" s="56"/>
      <c r="CH146" s="56"/>
      <c r="CI146" s="103">
        <v>5.7300789999999999</v>
      </c>
      <c r="CJ146" s="103">
        <f t="shared" si="45"/>
        <v>0.75816060958127485</v>
      </c>
      <c r="CK146" s="57">
        <f t="shared" si="39"/>
        <v>0.43205200612775846</v>
      </c>
      <c r="CL146" s="160">
        <f t="shared" si="49"/>
        <v>1.1016465494891052</v>
      </c>
      <c r="CM146" s="160">
        <v>0.66742784480864559</v>
      </c>
      <c r="CN146" s="160">
        <f>BJ146/(10^CM146)</f>
        <v>3.1422375724594946</v>
      </c>
      <c r="CO146" s="55" t="s">
        <v>2488</v>
      </c>
      <c r="CP146" s="497" t="s">
        <v>2489</v>
      </c>
      <c r="CQ146" s="149">
        <v>0.76399462909803484</v>
      </c>
      <c r="CR146" s="349">
        <f>10^(CJ146-CQ146)</f>
        <v>0.98665649809353706</v>
      </c>
      <c r="CS146" s="61" t="s">
        <v>539</v>
      </c>
      <c r="CT146" s="61"/>
      <c r="CU146" s="111">
        <f t="shared" si="50"/>
        <v>20.942119646168926</v>
      </c>
      <c r="CV146" s="331">
        <f t="shared" si="42"/>
        <v>8.2132375487318754</v>
      </c>
      <c r="CW146" s="326">
        <f t="shared" si="46"/>
        <v>1</v>
      </c>
      <c r="CX146" s="326"/>
      <c r="CY146" s="161" t="s">
        <v>6351</v>
      </c>
    </row>
    <row r="147" spans="1:103" ht="11.25" customHeight="1" x14ac:dyDescent="0.2">
      <c r="A147" s="72">
        <v>217</v>
      </c>
      <c r="B147" s="149">
        <v>975</v>
      </c>
      <c r="C147" s="54" t="s">
        <v>2783</v>
      </c>
      <c r="D147" s="54"/>
      <c r="E147" s="59"/>
      <c r="F147" s="59" t="s">
        <v>2784</v>
      </c>
      <c r="G147" s="151">
        <v>6344678</v>
      </c>
      <c r="H147" s="55" t="s">
        <v>2785</v>
      </c>
      <c r="I147" s="55" t="s">
        <v>7811</v>
      </c>
      <c r="J147" s="55" t="s">
        <v>2786</v>
      </c>
      <c r="K147" s="55" t="s">
        <v>349</v>
      </c>
      <c r="L147" s="55"/>
      <c r="M147" s="55"/>
      <c r="N147" s="60"/>
      <c r="O147" s="55"/>
      <c r="P147" s="67"/>
      <c r="Q147" s="67"/>
      <c r="R147" s="67"/>
      <c r="S147" s="67"/>
      <c r="T147" s="56">
        <v>182.22</v>
      </c>
      <c r="U147" s="103"/>
      <c r="V147" s="103">
        <v>15.17</v>
      </c>
      <c r="W147" s="103">
        <v>70.891806320857725</v>
      </c>
      <c r="X147" s="103">
        <v>70.891806320857725</v>
      </c>
      <c r="Y147" s="162">
        <v>6.66</v>
      </c>
      <c r="Z147" s="56">
        <v>3.54</v>
      </c>
      <c r="AA147" s="56"/>
      <c r="AB147" s="56">
        <v>3.39</v>
      </c>
      <c r="AC147" s="56">
        <v>0.79249999999999998</v>
      </c>
      <c r="AD147" s="56">
        <v>3.41</v>
      </c>
      <c r="AE147" s="56">
        <v>3.43</v>
      </c>
      <c r="AF147" s="56">
        <f t="shared" si="51"/>
        <v>3.41</v>
      </c>
      <c r="AG147" s="57">
        <v>3.35</v>
      </c>
      <c r="AH147" s="103">
        <v>1.74E-8</v>
      </c>
      <c r="AI147" s="103"/>
      <c r="AJ147" s="62">
        <f t="shared" si="47"/>
        <v>-6.148017078030052</v>
      </c>
      <c r="AK147" s="62"/>
      <c r="AL147" s="62">
        <f t="shared" si="48"/>
        <v>-6.148017078030052</v>
      </c>
      <c r="AM147" s="62">
        <v>-9.7905999999999995</v>
      </c>
      <c r="AN147" s="154">
        <v>-6.65</v>
      </c>
      <c r="AO147" s="410">
        <v>10.02</v>
      </c>
      <c r="AP147" s="410"/>
      <c r="AQ147" s="56" t="s">
        <v>6311</v>
      </c>
      <c r="AR147" s="56" t="s">
        <v>6311</v>
      </c>
      <c r="AS147" s="155"/>
      <c r="AT147" s="58" t="s">
        <v>266</v>
      </c>
      <c r="AU147" s="56">
        <v>6</v>
      </c>
      <c r="AV147" s="56">
        <v>120</v>
      </c>
      <c r="AW147" s="56">
        <v>114</v>
      </c>
      <c r="AX147" s="56">
        <v>28</v>
      </c>
      <c r="AY147" s="56" t="s">
        <v>8728</v>
      </c>
      <c r="AZ147" s="56" t="s">
        <v>1563</v>
      </c>
      <c r="BA147" s="56">
        <v>32</v>
      </c>
      <c r="BB147" s="55" t="s">
        <v>2485</v>
      </c>
      <c r="BC147" s="55" t="s">
        <v>8726</v>
      </c>
      <c r="BD147" s="55" t="s">
        <v>8374</v>
      </c>
      <c r="BE147" s="56" t="s">
        <v>2449</v>
      </c>
      <c r="BF147" s="56" t="s">
        <v>272</v>
      </c>
      <c r="BG147" s="56" t="s">
        <v>272</v>
      </c>
      <c r="BH147" s="56" t="s">
        <v>2486</v>
      </c>
      <c r="BI147" s="153">
        <v>1.166208E-3</v>
      </c>
      <c r="BJ147" s="153">
        <v>11.66208</v>
      </c>
      <c r="BK147" s="56"/>
      <c r="BL147" s="153">
        <v>6.1961517039884813</v>
      </c>
      <c r="BM147" s="56" t="s">
        <v>2487</v>
      </c>
      <c r="BN147" s="56"/>
      <c r="BO147" s="56"/>
      <c r="BP147" s="56"/>
      <c r="BQ147" s="56"/>
      <c r="BR147" s="55">
        <v>3.6878735009399999</v>
      </c>
      <c r="BS147" s="56"/>
      <c r="BT147" s="56"/>
      <c r="BU147" s="158"/>
      <c r="BV147" s="56"/>
      <c r="BW147" s="56"/>
      <c r="BX147" s="56"/>
      <c r="BY147" s="56"/>
      <c r="BZ147" s="56"/>
      <c r="CA147" s="56"/>
      <c r="CB147" s="56"/>
      <c r="CC147" s="56"/>
      <c r="CD147" s="56"/>
      <c r="CE147" s="56"/>
      <c r="CF147" s="56"/>
      <c r="CG147" s="56"/>
      <c r="CH147" s="56"/>
      <c r="CI147" s="103">
        <v>3.6878735009399999</v>
      </c>
      <c r="CJ147" s="103">
        <f t="shared" si="45"/>
        <v>0.56677601574766157</v>
      </c>
      <c r="CK147" s="57">
        <f t="shared" si="39"/>
        <v>0.53130759727153998</v>
      </c>
      <c r="CL147" s="160">
        <f t="shared" si="49"/>
        <v>1.6801421476113938</v>
      </c>
      <c r="CM147" s="160"/>
      <c r="CN147" s="160"/>
      <c r="CO147" s="55" t="s">
        <v>2488</v>
      </c>
      <c r="CP147" s="497" t="s">
        <v>2489</v>
      </c>
      <c r="CQ147" s="149" t="s">
        <v>272</v>
      </c>
      <c r="CR147" s="349"/>
      <c r="CS147" s="61" t="s">
        <v>539</v>
      </c>
      <c r="CT147" s="61"/>
      <c r="CU147" s="111">
        <f t="shared" si="50"/>
        <v>19.222949567762601</v>
      </c>
      <c r="CV147" s="331">
        <f t="shared" si="42"/>
        <v>6.0788303905356269</v>
      </c>
      <c r="CW147" s="326">
        <f t="shared" si="46"/>
        <v>1</v>
      </c>
      <c r="CX147" s="326"/>
      <c r="CY147" s="161" t="s">
        <v>5921</v>
      </c>
    </row>
    <row r="148" spans="1:103" ht="11.25" customHeight="1" x14ac:dyDescent="0.2">
      <c r="A148" s="72">
        <v>220</v>
      </c>
      <c r="B148" s="149">
        <v>930</v>
      </c>
      <c r="C148" s="54" t="s">
        <v>2654</v>
      </c>
      <c r="D148" s="54"/>
      <c r="E148" s="59"/>
      <c r="F148" s="59" t="s">
        <v>2655</v>
      </c>
      <c r="G148" s="151">
        <v>6846500</v>
      </c>
      <c r="H148" s="55" t="s">
        <v>2656</v>
      </c>
      <c r="I148" s="55" t="s">
        <v>2656</v>
      </c>
      <c r="J148" s="55" t="s">
        <v>2657</v>
      </c>
      <c r="K148" s="55" t="s">
        <v>357</v>
      </c>
      <c r="L148" s="55"/>
      <c r="M148" s="55"/>
      <c r="N148" s="60"/>
      <c r="O148" s="55"/>
      <c r="P148" s="67"/>
      <c r="Q148" s="67"/>
      <c r="R148" s="67"/>
      <c r="S148" s="67"/>
      <c r="T148" s="56">
        <v>286.41000000000003</v>
      </c>
      <c r="U148" s="103"/>
      <c r="V148" s="103">
        <v>0.94220000000000004</v>
      </c>
      <c r="W148" s="103">
        <v>70.305318054134872</v>
      </c>
      <c r="X148" s="103">
        <v>70.305318054134872</v>
      </c>
      <c r="Y148" s="162">
        <v>7</v>
      </c>
      <c r="Z148" s="56">
        <v>4.91</v>
      </c>
      <c r="AA148" s="56"/>
      <c r="AB148" s="56">
        <v>4.1900000000000004</v>
      </c>
      <c r="AC148" s="56">
        <v>0.57440000000000002</v>
      </c>
      <c r="AD148" s="56">
        <v>4.12</v>
      </c>
      <c r="AE148" s="56">
        <v>4.04</v>
      </c>
      <c r="AF148" s="56">
        <f t="shared" si="51"/>
        <v>4.12</v>
      </c>
      <c r="AG148" s="57">
        <v>3.69</v>
      </c>
      <c r="AH148" s="103">
        <v>9.4199999999999996E-6</v>
      </c>
      <c r="AI148" s="103"/>
      <c r="AJ148" s="62">
        <f t="shared" si="47"/>
        <v>-3.4145154235197746</v>
      </c>
      <c r="AK148" s="62"/>
      <c r="AL148" s="62">
        <f t="shared" si="48"/>
        <v>-3.4145154235197746</v>
      </c>
      <c r="AM148" s="62">
        <v>-7.2201700000000004</v>
      </c>
      <c r="AN148" s="154">
        <v>-3.55</v>
      </c>
      <c r="AO148" s="410"/>
      <c r="AP148" s="410"/>
      <c r="AQ148" s="56" t="s">
        <v>6311</v>
      </c>
      <c r="AR148" s="56" t="s">
        <v>6312</v>
      </c>
      <c r="AS148" s="155"/>
      <c r="AT148" s="58" t="s">
        <v>266</v>
      </c>
      <c r="AU148" s="56">
        <v>6</v>
      </c>
      <c r="AV148" s="56">
        <v>120</v>
      </c>
      <c r="AW148" s="56">
        <v>114</v>
      </c>
      <c r="AX148" s="56">
        <v>28</v>
      </c>
      <c r="AY148" s="56" t="s">
        <v>8728</v>
      </c>
      <c r="AZ148" s="56" t="s">
        <v>1563</v>
      </c>
      <c r="BA148" s="56">
        <v>32</v>
      </c>
      <c r="BB148" s="55" t="s">
        <v>2485</v>
      </c>
      <c r="BC148" s="55" t="s">
        <v>8726</v>
      </c>
      <c r="BD148" s="55" t="s">
        <v>8374</v>
      </c>
      <c r="BE148" s="56" t="s">
        <v>2449</v>
      </c>
      <c r="BF148" s="56" t="s">
        <v>272</v>
      </c>
      <c r="BG148" s="56" t="s">
        <v>272</v>
      </c>
      <c r="BH148" s="56" t="s">
        <v>2486</v>
      </c>
      <c r="BI148" s="153">
        <v>1.8330240000000002E-3</v>
      </c>
      <c r="BJ148" s="153">
        <v>18.330240000000003</v>
      </c>
      <c r="BK148" s="56"/>
      <c r="BL148" s="153">
        <v>0.57295059831698447</v>
      </c>
      <c r="BM148" s="56" t="s">
        <v>2046</v>
      </c>
      <c r="BN148" s="56"/>
      <c r="BO148" s="56"/>
      <c r="BP148" s="56"/>
      <c r="BQ148" s="56"/>
      <c r="BR148" s="55">
        <v>5.7965308385700007</v>
      </c>
      <c r="BS148" s="56"/>
      <c r="BT148" s="56"/>
      <c r="BU148" s="158"/>
      <c r="BV148" s="56"/>
      <c r="BW148" s="56"/>
      <c r="BX148" s="56"/>
      <c r="BY148" s="56"/>
      <c r="BZ148" s="56"/>
      <c r="CA148" s="56"/>
      <c r="CB148" s="56"/>
      <c r="CC148" s="56"/>
      <c r="CD148" s="56"/>
      <c r="CE148" s="56"/>
      <c r="CF148" s="56"/>
      <c r="CG148" s="56"/>
      <c r="CH148" s="56"/>
      <c r="CI148" s="103">
        <v>5.7965308385700007</v>
      </c>
      <c r="CJ148" s="103">
        <f t="shared" si="45"/>
        <v>0.76316815073031807</v>
      </c>
      <c r="CK148" s="57">
        <f t="shared" si="39"/>
        <v>3.1257124746701864E-2</v>
      </c>
      <c r="CL148" s="160">
        <f t="shared" si="49"/>
        <v>9.8843707430068789E-2</v>
      </c>
      <c r="CM148" s="160"/>
      <c r="CN148" s="160"/>
      <c r="CO148" s="55" t="s">
        <v>2488</v>
      </c>
      <c r="CP148" s="497" t="s">
        <v>2489</v>
      </c>
      <c r="CQ148" s="149" t="s">
        <v>272</v>
      </c>
      <c r="CR148" s="349"/>
      <c r="CS148" s="61" t="s">
        <v>539</v>
      </c>
      <c r="CT148" s="61"/>
      <c r="CU148" s="111">
        <f t="shared" si="50"/>
        <v>12.128861212352168</v>
      </c>
      <c r="CV148" s="331">
        <f t="shared" si="42"/>
        <v>3.8354826807578548</v>
      </c>
      <c r="CW148" s="326">
        <f t="shared" si="46"/>
        <v>1</v>
      </c>
      <c r="CX148" s="326"/>
      <c r="CY148" s="161" t="s">
        <v>6351</v>
      </c>
    </row>
    <row r="149" spans="1:103" ht="11.25" customHeight="1" x14ac:dyDescent="0.2">
      <c r="A149" s="72">
        <v>231</v>
      </c>
      <c r="B149" s="149">
        <v>1097</v>
      </c>
      <c r="C149" s="54" t="s">
        <v>3073</v>
      </c>
      <c r="D149" s="54"/>
      <c r="E149" s="59"/>
      <c r="F149" s="59" t="s">
        <v>544</v>
      </c>
      <c r="G149" s="151">
        <v>15307796</v>
      </c>
      <c r="H149" s="55" t="s">
        <v>545</v>
      </c>
      <c r="I149" s="55" t="s">
        <v>8250</v>
      </c>
      <c r="J149" s="55" t="s">
        <v>546</v>
      </c>
      <c r="K149" s="55" t="s">
        <v>426</v>
      </c>
      <c r="L149" s="55" t="s">
        <v>279</v>
      </c>
      <c r="M149" s="55" t="s">
        <v>6116</v>
      </c>
      <c r="N149" s="60"/>
      <c r="O149" s="55" t="s">
        <v>6117</v>
      </c>
      <c r="P149" s="67"/>
      <c r="Q149" s="67"/>
      <c r="R149" s="67"/>
      <c r="S149" s="67"/>
      <c r="T149" s="56">
        <v>296.14999999999998</v>
      </c>
      <c r="U149" s="103">
        <v>2.37</v>
      </c>
      <c r="V149" s="103">
        <v>4.5179999999999998</v>
      </c>
      <c r="W149" s="103">
        <v>22.46527488448924</v>
      </c>
      <c r="X149" s="103">
        <v>2.37</v>
      </c>
      <c r="Y149" s="162">
        <v>4.34</v>
      </c>
      <c r="Z149" s="56">
        <v>4.0199999999999996</v>
      </c>
      <c r="AA149" s="56">
        <v>4.51</v>
      </c>
      <c r="AB149" s="56">
        <v>4.6100000000000003</v>
      </c>
      <c r="AC149" s="56">
        <v>0.87739999999999996</v>
      </c>
      <c r="AD149" s="56">
        <v>4.4800000000000004</v>
      </c>
      <c r="AE149" s="56">
        <v>4.0599999999999996</v>
      </c>
      <c r="AF149" s="56">
        <f t="shared" si="51"/>
        <v>4.51</v>
      </c>
      <c r="AG149" s="57">
        <v>4.4800000000000004</v>
      </c>
      <c r="AH149" s="103">
        <v>4.7300000000000002E-12</v>
      </c>
      <c r="AI149" s="103"/>
      <c r="AJ149" s="62">
        <f t="shared" si="47"/>
        <v>-9.71370518557484</v>
      </c>
      <c r="AK149" s="62"/>
      <c r="AL149" s="62">
        <f t="shared" si="48"/>
        <v>-9.71370518557484</v>
      </c>
      <c r="AM149" s="62">
        <v>-13.81147</v>
      </c>
      <c r="AN149" s="154"/>
      <c r="AO149" s="410">
        <v>4.18</v>
      </c>
      <c r="AP149" s="410">
        <v>-2.2599999999999998</v>
      </c>
      <c r="AQ149" s="56" t="s">
        <v>6311</v>
      </c>
      <c r="AR149" s="56" t="s">
        <v>6311</v>
      </c>
      <c r="AS149" s="155"/>
      <c r="AT149" s="58" t="s">
        <v>266</v>
      </c>
      <c r="AU149" s="56">
        <v>6</v>
      </c>
      <c r="AV149" s="56">
        <v>120</v>
      </c>
      <c r="AW149" s="56">
        <v>114</v>
      </c>
      <c r="AX149" s="56">
        <v>28</v>
      </c>
      <c r="AY149" s="56" t="s">
        <v>8728</v>
      </c>
      <c r="AZ149" s="56" t="s">
        <v>1563</v>
      </c>
      <c r="BA149" s="56">
        <v>32</v>
      </c>
      <c r="BB149" s="55" t="s">
        <v>2485</v>
      </c>
      <c r="BC149" s="55" t="s">
        <v>8726</v>
      </c>
      <c r="BD149" s="55" t="s">
        <v>8374</v>
      </c>
      <c r="BE149" s="56" t="s">
        <v>2449</v>
      </c>
      <c r="BF149" s="56" t="s">
        <v>272</v>
      </c>
      <c r="BG149" s="56" t="s">
        <v>272</v>
      </c>
      <c r="BH149" s="56" t="s">
        <v>2486</v>
      </c>
      <c r="BI149" s="153">
        <v>1.8953599999999998E-3</v>
      </c>
      <c r="BJ149" s="153">
        <v>18.953599999999998</v>
      </c>
      <c r="BK149" s="56"/>
      <c r="BL149" s="153">
        <v>3.7320696223033583</v>
      </c>
      <c r="BM149" s="56" t="s">
        <v>2046</v>
      </c>
      <c r="BN149" s="56"/>
      <c r="BO149" s="56"/>
      <c r="BP149" s="56"/>
      <c r="BQ149" s="56"/>
      <c r="BR149" s="55">
        <v>3.4057249999999999</v>
      </c>
      <c r="BS149" s="56"/>
      <c r="BT149" s="56"/>
      <c r="BU149" s="158"/>
      <c r="BV149" s="56"/>
      <c r="BW149" s="56"/>
      <c r="BX149" s="56"/>
      <c r="BY149" s="56"/>
      <c r="BZ149" s="56"/>
      <c r="CA149" s="56"/>
      <c r="CB149" s="56"/>
      <c r="CC149" s="56"/>
      <c r="CD149" s="56"/>
      <c r="CE149" s="56"/>
      <c r="CF149" s="56"/>
      <c r="CG149" s="56"/>
      <c r="CH149" s="56"/>
      <c r="CI149" s="103">
        <v>3.4057249999999999</v>
      </c>
      <c r="CJ149" s="103">
        <f t="shared" si="45"/>
        <v>0.53220957733057395</v>
      </c>
      <c r="CK149" s="57">
        <f t="shared" si="39"/>
        <v>0.19690558111933135</v>
      </c>
      <c r="CL149" s="160">
        <f t="shared" si="49"/>
        <v>1.0958223644901919</v>
      </c>
      <c r="CM149" s="160"/>
      <c r="CN149" s="160"/>
      <c r="CO149" s="55" t="s">
        <v>2488</v>
      </c>
      <c r="CP149" s="497" t="s">
        <v>2489</v>
      </c>
      <c r="CQ149" s="149" t="s">
        <v>272</v>
      </c>
      <c r="CR149" s="349"/>
      <c r="CS149" s="61" t="s">
        <v>539</v>
      </c>
      <c r="CT149" s="61"/>
      <c r="CU149" s="111">
        <f t="shared" si="50"/>
        <v>0.69588707250291792</v>
      </c>
      <c r="CV149" s="331">
        <f t="shared" si="42"/>
        <v>0.12504220834036808</v>
      </c>
      <c r="CW149" s="326">
        <f t="shared" si="46"/>
        <v>0</v>
      </c>
      <c r="CX149" s="326"/>
      <c r="CY149" s="161" t="s">
        <v>6351</v>
      </c>
    </row>
    <row r="150" spans="1:103" ht="11.25" customHeight="1" x14ac:dyDescent="0.2">
      <c r="A150" s="72">
        <v>232</v>
      </c>
      <c r="B150" s="149">
        <v>1028</v>
      </c>
      <c r="C150" s="54" t="s">
        <v>2931</v>
      </c>
      <c r="D150" s="54"/>
      <c r="E150" s="59"/>
      <c r="F150" s="59" t="s">
        <v>2932</v>
      </c>
      <c r="G150" s="151">
        <v>15310017</v>
      </c>
      <c r="H150" s="55" t="s">
        <v>2933</v>
      </c>
      <c r="I150" s="55" t="s">
        <v>2933</v>
      </c>
      <c r="J150" s="55" t="s">
        <v>2934</v>
      </c>
      <c r="K150" s="55" t="s">
        <v>471</v>
      </c>
      <c r="L150" s="55"/>
      <c r="M150" s="55"/>
      <c r="N150" s="60"/>
      <c r="O150" s="55"/>
      <c r="P150" s="67"/>
      <c r="Q150" s="67"/>
      <c r="R150" s="67"/>
      <c r="S150" s="67"/>
      <c r="T150" s="56">
        <v>323.13</v>
      </c>
      <c r="U150" s="103">
        <v>20</v>
      </c>
      <c r="V150" s="103">
        <v>33.04</v>
      </c>
      <c r="W150" s="103">
        <v>17.757314256961418</v>
      </c>
      <c r="X150" s="103">
        <v>20</v>
      </c>
      <c r="Y150" s="162">
        <v>7</v>
      </c>
      <c r="Z150" s="56">
        <v>3.87</v>
      </c>
      <c r="AA150" s="56">
        <v>2.85</v>
      </c>
      <c r="AB150" s="56">
        <v>3.29</v>
      </c>
      <c r="AC150" s="56">
        <v>0.85270000000000001</v>
      </c>
      <c r="AD150" s="56">
        <v>3.27</v>
      </c>
      <c r="AE150" s="56">
        <v>3.23</v>
      </c>
      <c r="AF150" s="56">
        <f t="shared" si="51"/>
        <v>2.85</v>
      </c>
      <c r="AG150" s="57">
        <v>3.35</v>
      </c>
      <c r="AH150" s="103">
        <v>2.8300000000000001E-10</v>
      </c>
      <c r="AI150" s="103"/>
      <c r="AJ150" s="62">
        <f t="shared" si="47"/>
        <v>-7.9367798907883618</v>
      </c>
      <c r="AK150" s="62"/>
      <c r="AL150" s="62">
        <f t="shared" si="48"/>
        <v>-7.9367798907883618</v>
      </c>
      <c r="AM150" s="62">
        <v>-13.729340000000001</v>
      </c>
      <c r="AN150" s="154">
        <v>-7.83</v>
      </c>
      <c r="AO150" s="410">
        <v>12.87</v>
      </c>
      <c r="AP150" s="410">
        <v>-2.12</v>
      </c>
      <c r="AQ150" s="56" t="s">
        <v>6311</v>
      </c>
      <c r="AR150" s="56" t="s">
        <v>6311</v>
      </c>
      <c r="AS150" s="155"/>
      <c r="AT150" s="58" t="s">
        <v>266</v>
      </c>
      <c r="AU150" s="56">
        <v>6</v>
      </c>
      <c r="AV150" s="56">
        <v>120</v>
      </c>
      <c r="AW150" s="56">
        <v>114</v>
      </c>
      <c r="AX150" s="56">
        <v>28</v>
      </c>
      <c r="AY150" s="56" t="s">
        <v>8728</v>
      </c>
      <c r="AZ150" s="56" t="s">
        <v>1563</v>
      </c>
      <c r="BA150" s="56">
        <v>32</v>
      </c>
      <c r="BB150" s="55" t="s">
        <v>2485</v>
      </c>
      <c r="BC150" s="55" t="s">
        <v>8726</v>
      </c>
      <c r="BD150" s="55" t="s">
        <v>8374</v>
      </c>
      <c r="BE150" s="56" t="s">
        <v>2449</v>
      </c>
      <c r="BF150" s="56" t="s">
        <v>272</v>
      </c>
      <c r="BG150" s="56" t="s">
        <v>272</v>
      </c>
      <c r="BH150" s="56" t="s">
        <v>2486</v>
      </c>
      <c r="BI150" s="153">
        <v>2.068032E-3</v>
      </c>
      <c r="BJ150" s="153">
        <v>20.680320000000002</v>
      </c>
      <c r="BK150" s="56"/>
      <c r="BL150" s="153">
        <v>5.5530333356256367</v>
      </c>
      <c r="BM150" s="56" t="s">
        <v>2487</v>
      </c>
      <c r="BN150" s="56"/>
      <c r="BO150" s="56"/>
      <c r="BP150" s="56"/>
      <c r="BQ150" s="56"/>
      <c r="BR150" s="55">
        <v>6.5396913860100003</v>
      </c>
      <c r="BS150" s="56"/>
      <c r="BT150" s="56"/>
      <c r="BU150" s="158"/>
      <c r="BV150" s="56"/>
      <c r="BW150" s="56"/>
      <c r="BX150" s="56"/>
      <c r="BY150" s="56"/>
      <c r="BZ150" s="56"/>
      <c r="CA150" s="56"/>
      <c r="CB150" s="56"/>
      <c r="CC150" s="56"/>
      <c r="CD150" s="56"/>
      <c r="CE150" s="56"/>
      <c r="CF150" s="56"/>
      <c r="CG150" s="56"/>
      <c r="CH150" s="56"/>
      <c r="CI150" s="103">
        <v>6.5396913860100003</v>
      </c>
      <c r="CJ150" s="103">
        <f t="shared" si="45"/>
        <v>0.81555725405586832</v>
      </c>
      <c r="CK150" s="57">
        <f t="shared" si="39"/>
        <v>0.26851776643812264</v>
      </c>
      <c r="CL150" s="160">
        <f t="shared" si="49"/>
        <v>0.84912773521774032</v>
      </c>
      <c r="CM150" s="160"/>
      <c r="CN150" s="160"/>
      <c r="CO150" s="55" t="s">
        <v>2488</v>
      </c>
      <c r="CP150" s="497" t="s">
        <v>2489</v>
      </c>
      <c r="CQ150" s="149" t="s">
        <v>272</v>
      </c>
      <c r="CR150" s="349"/>
      <c r="CS150" s="61" t="s">
        <v>539</v>
      </c>
      <c r="CT150" s="61"/>
      <c r="CU150" s="111">
        <f t="shared" si="50"/>
        <v>3.0582482902457588</v>
      </c>
      <c r="CV150" s="331">
        <f t="shared" si="42"/>
        <v>0.96710302355089273</v>
      </c>
      <c r="CW150" s="326">
        <f t="shared" si="46"/>
        <v>1</v>
      </c>
      <c r="CX150" s="326"/>
      <c r="CY150" s="161" t="s">
        <v>5921</v>
      </c>
    </row>
    <row r="151" spans="1:103" ht="11.25" customHeight="1" x14ac:dyDescent="0.2">
      <c r="A151" s="72">
        <v>233</v>
      </c>
      <c r="B151" s="149">
        <v>1071</v>
      </c>
      <c r="C151" s="54" t="s">
        <v>1056</v>
      </c>
      <c r="D151" s="54" t="s">
        <v>6471</v>
      </c>
      <c r="E151" s="59"/>
      <c r="F151" s="59" t="s">
        <v>1057</v>
      </c>
      <c r="G151" s="151">
        <v>120321</v>
      </c>
      <c r="H151" s="55" t="s">
        <v>1058</v>
      </c>
      <c r="I151" s="55" t="s">
        <v>8313</v>
      </c>
      <c r="J151" s="55" t="s">
        <v>1059</v>
      </c>
      <c r="K151" s="55" t="s">
        <v>349</v>
      </c>
      <c r="L151" s="55" t="s">
        <v>5576</v>
      </c>
      <c r="M151" s="55" t="s">
        <v>6082</v>
      </c>
      <c r="N151" s="60" t="s">
        <v>6082</v>
      </c>
      <c r="O151" s="55" t="s">
        <v>6083</v>
      </c>
      <c r="P151" s="67"/>
      <c r="Q151" s="67" t="s">
        <v>6173</v>
      </c>
      <c r="R151" s="67" t="s">
        <v>6185</v>
      </c>
      <c r="S151" s="67" t="s">
        <v>6182</v>
      </c>
      <c r="T151" s="56">
        <v>218.68</v>
      </c>
      <c r="U151" s="103">
        <v>149</v>
      </c>
      <c r="V151" s="103">
        <v>112</v>
      </c>
      <c r="W151" s="103">
        <v>37.137192192033382</v>
      </c>
      <c r="X151" s="103">
        <v>149</v>
      </c>
      <c r="Y151" s="162">
        <v>6.72</v>
      </c>
      <c r="Z151" s="56">
        <v>4.18</v>
      </c>
      <c r="AA151" s="56">
        <v>3.6</v>
      </c>
      <c r="AB151" s="56">
        <v>4.26</v>
      </c>
      <c r="AC151" s="56">
        <v>0.77049999999999996</v>
      </c>
      <c r="AD151" s="56">
        <v>4.3099999999999996</v>
      </c>
      <c r="AE151" s="56">
        <v>4.41</v>
      </c>
      <c r="AF151" s="56">
        <f t="shared" si="51"/>
        <v>3.6</v>
      </c>
      <c r="AG151" s="57">
        <v>4.01</v>
      </c>
      <c r="AH151" s="103">
        <v>3.7E-8</v>
      </c>
      <c r="AI151" s="103">
        <v>2.7000000000000002E-9</v>
      </c>
      <c r="AJ151" s="62">
        <f t="shared" si="47"/>
        <v>-5.8203646022456565</v>
      </c>
      <c r="AK151" s="62">
        <f>LOG10(AI151*1000/(0.08206*298.15))</f>
        <v>-6.9572025621536646</v>
      </c>
      <c r="AL151" s="62">
        <f t="shared" si="48"/>
        <v>-6.9572025621536646</v>
      </c>
      <c r="AM151" s="62">
        <v>-10.455459999999999</v>
      </c>
      <c r="AN151" s="154">
        <v>-6.05</v>
      </c>
      <c r="AO151" s="410">
        <v>9.81</v>
      </c>
      <c r="AP151" s="410"/>
      <c r="AQ151" s="56" t="s">
        <v>6311</v>
      </c>
      <c r="AR151" s="56" t="s">
        <v>6311</v>
      </c>
      <c r="AS151" s="155"/>
      <c r="AT151" s="58" t="s">
        <v>266</v>
      </c>
      <c r="AU151" s="56">
        <v>6</v>
      </c>
      <c r="AV151" s="56">
        <v>120</v>
      </c>
      <c r="AW151" s="56">
        <v>114</v>
      </c>
      <c r="AX151" s="56">
        <v>28</v>
      </c>
      <c r="AY151" s="56" t="s">
        <v>8728</v>
      </c>
      <c r="AZ151" s="56" t="s">
        <v>1563</v>
      </c>
      <c r="BA151" s="56">
        <v>32</v>
      </c>
      <c r="BB151" s="55" t="s">
        <v>2485</v>
      </c>
      <c r="BC151" s="55" t="s">
        <v>8726</v>
      </c>
      <c r="BD151" s="55" t="s">
        <v>8374</v>
      </c>
      <c r="BE151" s="56" t="s">
        <v>2449</v>
      </c>
      <c r="BF151" s="56" t="s">
        <v>272</v>
      </c>
      <c r="BG151" s="56" t="s">
        <v>272</v>
      </c>
      <c r="BH151" s="56" t="s">
        <v>2486</v>
      </c>
      <c r="BI151" s="153">
        <v>1.3995520000000001E-3</v>
      </c>
      <c r="BJ151" s="153">
        <v>13.995520000000001</v>
      </c>
      <c r="BK151" s="56"/>
      <c r="BL151" s="153">
        <v>1.9794797587696336</v>
      </c>
      <c r="BM151" s="56" t="s">
        <v>2487</v>
      </c>
      <c r="BN151" s="56"/>
      <c r="BO151" s="56"/>
      <c r="BP151" s="56"/>
      <c r="BQ151" s="56"/>
      <c r="BR151" s="55">
        <v>4.6797519999999997</v>
      </c>
      <c r="BS151" s="56"/>
      <c r="BT151" s="56"/>
      <c r="BU151" s="158"/>
      <c r="BV151" s="56"/>
      <c r="BW151" s="56"/>
      <c r="BX151" s="56"/>
      <c r="BY151" s="56"/>
      <c r="BZ151" s="56"/>
      <c r="CA151" s="56"/>
      <c r="CB151" s="56"/>
      <c r="CC151" s="56"/>
      <c r="CD151" s="56"/>
      <c r="CE151" s="56"/>
      <c r="CF151" s="56"/>
      <c r="CG151" s="56"/>
      <c r="CH151" s="56"/>
      <c r="CI151" s="103">
        <v>4.6797519999999997</v>
      </c>
      <c r="CJ151" s="103">
        <f t="shared" si="45"/>
        <v>0.67022283856871034</v>
      </c>
      <c r="CK151" s="57">
        <f t="shared" si="39"/>
        <v>0.14143667107543223</v>
      </c>
      <c r="CL151" s="160">
        <f t="shared" si="49"/>
        <v>0.42298817517886284</v>
      </c>
      <c r="CM151" s="160">
        <v>-0.48148606012211248</v>
      </c>
      <c r="CN151" s="160">
        <f>BJ151/(10^CM151)</f>
        <v>42.410666666666664</v>
      </c>
      <c r="CO151" s="55" t="s">
        <v>2488</v>
      </c>
      <c r="CP151" s="497" t="s">
        <v>2489</v>
      </c>
      <c r="CQ151" s="149">
        <v>-0.31207678184542198</v>
      </c>
      <c r="CR151" s="349">
        <f t="shared" ref="CR151:CR165" si="52">10^(CJ151-CQ151)</f>
        <v>9.6006275182252381</v>
      </c>
      <c r="CS151" s="61" t="s">
        <v>539</v>
      </c>
      <c r="CT151" s="61"/>
      <c r="CU151" s="111">
        <f t="shared" si="50"/>
        <v>31.839294048060669</v>
      </c>
      <c r="CV151" s="331">
        <f t="shared" si="42"/>
        <v>10.646263947320286</v>
      </c>
      <c r="CW151" s="326">
        <f t="shared" si="46"/>
        <v>1</v>
      </c>
      <c r="CX151" s="326"/>
      <c r="CY151" s="161" t="s">
        <v>5921</v>
      </c>
    </row>
    <row r="152" spans="1:103" ht="11.25" customHeight="1" x14ac:dyDescent="0.2">
      <c r="A152" s="72">
        <v>235</v>
      </c>
      <c r="B152" s="149">
        <v>1260</v>
      </c>
      <c r="C152" s="54" t="s">
        <v>1432</v>
      </c>
      <c r="D152" s="54" t="s">
        <v>6574</v>
      </c>
      <c r="E152" s="59"/>
      <c r="F152" s="59" t="s">
        <v>1433</v>
      </c>
      <c r="G152" s="151">
        <v>96489713</v>
      </c>
      <c r="H152" s="55" t="s">
        <v>1434</v>
      </c>
      <c r="I152" s="55" t="s">
        <v>7915</v>
      </c>
      <c r="J152" s="55" t="s">
        <v>1435</v>
      </c>
      <c r="K152" s="55" t="s">
        <v>1436</v>
      </c>
      <c r="L152" s="55" t="s">
        <v>5951</v>
      </c>
      <c r="M152" s="55" t="s">
        <v>6011</v>
      </c>
      <c r="N152" s="60" t="s">
        <v>6381</v>
      </c>
      <c r="O152" s="55" t="s">
        <v>918</v>
      </c>
      <c r="P152" s="67"/>
      <c r="Q152" s="67"/>
      <c r="R152" s="67"/>
      <c r="S152" s="67"/>
      <c r="T152" s="56">
        <v>364.93</v>
      </c>
      <c r="U152" s="103">
        <v>1.2E-2</v>
      </c>
      <c r="V152" s="103">
        <v>1.8259999999999998E-2</v>
      </c>
      <c r="W152" s="103">
        <v>5.7837507272483402</v>
      </c>
      <c r="X152" s="103">
        <v>1.2E-2</v>
      </c>
      <c r="Y152" s="162">
        <v>7</v>
      </c>
      <c r="Z152" s="56">
        <v>5.47</v>
      </c>
      <c r="AA152" s="56">
        <v>6.37</v>
      </c>
      <c r="AB152" s="56">
        <v>5.73</v>
      </c>
      <c r="AC152" s="56">
        <v>0.73460000000000003</v>
      </c>
      <c r="AD152" s="56">
        <v>5.44</v>
      </c>
      <c r="AE152" s="56">
        <v>4.7300000000000004</v>
      </c>
      <c r="AF152" s="56">
        <f t="shared" si="51"/>
        <v>6.37</v>
      </c>
      <c r="AG152" s="57">
        <v>5.59</v>
      </c>
      <c r="AH152" s="103">
        <v>2.26E-10</v>
      </c>
      <c r="AI152" s="103">
        <v>4.7200000000000002E-5</v>
      </c>
      <c r="AJ152" s="62">
        <f t="shared" si="47"/>
        <v>-8.0344578871652512</v>
      </c>
      <c r="AK152" s="62">
        <f>LOG10(AI152*1000/(0.08206*298.15))</f>
        <v>-2.714624327678564</v>
      </c>
      <c r="AL152" s="62">
        <f t="shared" si="48"/>
        <v>-2.714624327678564</v>
      </c>
      <c r="AM152" s="62">
        <v>-12.987449999999999</v>
      </c>
      <c r="AN152" s="154">
        <v>-7.08</v>
      </c>
      <c r="AO152" s="410"/>
      <c r="AP152" s="410">
        <v>-2.69</v>
      </c>
      <c r="AQ152" s="56" t="s">
        <v>6311</v>
      </c>
      <c r="AR152" s="56" t="s">
        <v>6311</v>
      </c>
      <c r="AS152" s="155"/>
      <c r="AT152" s="58" t="s">
        <v>266</v>
      </c>
      <c r="AU152" s="56">
        <v>6</v>
      </c>
      <c r="AV152" s="56">
        <v>120</v>
      </c>
      <c r="AW152" s="56">
        <v>114</v>
      </c>
      <c r="AX152" s="56">
        <v>28</v>
      </c>
      <c r="AY152" s="56" t="s">
        <v>8728</v>
      </c>
      <c r="AZ152" s="56" t="s">
        <v>1563</v>
      </c>
      <c r="BA152" s="56">
        <v>32</v>
      </c>
      <c r="BB152" s="55" t="s">
        <v>2485</v>
      </c>
      <c r="BC152" s="55" t="s">
        <v>8726</v>
      </c>
      <c r="BD152" s="55" t="s">
        <v>8374</v>
      </c>
      <c r="BE152" s="56" t="s">
        <v>2449</v>
      </c>
      <c r="BF152" s="56" t="s">
        <v>272</v>
      </c>
      <c r="BG152" s="56" t="s">
        <v>272</v>
      </c>
      <c r="BH152" s="56" t="s">
        <v>2486</v>
      </c>
      <c r="BI152" s="153">
        <v>2.3355519999999999E-3</v>
      </c>
      <c r="BJ152" s="153">
        <v>23.355520000000002</v>
      </c>
      <c r="BK152" s="56"/>
      <c r="BL152" s="153">
        <v>0.22929921456688696</v>
      </c>
      <c r="BM152" s="56" t="s">
        <v>2487</v>
      </c>
      <c r="BN152" s="56"/>
      <c r="BO152" s="56"/>
      <c r="BP152" s="56"/>
      <c r="BQ152" s="56"/>
      <c r="BR152" s="55">
        <v>7.5175580000000002</v>
      </c>
      <c r="BS152" s="56"/>
      <c r="BT152" s="56"/>
      <c r="BU152" s="158"/>
      <c r="BV152" s="56"/>
      <c r="BW152" s="56"/>
      <c r="BX152" s="56"/>
      <c r="BY152" s="56"/>
      <c r="BZ152" s="56"/>
      <c r="CA152" s="56"/>
      <c r="CB152" s="56"/>
      <c r="CC152" s="56"/>
      <c r="CD152" s="56"/>
      <c r="CE152" s="56"/>
      <c r="CF152" s="56"/>
      <c r="CG152" s="56"/>
      <c r="CH152" s="56"/>
      <c r="CI152" s="103">
        <v>7.5175580000000002</v>
      </c>
      <c r="CJ152" s="103">
        <f t="shared" si="45"/>
        <v>0.87607678748526285</v>
      </c>
      <c r="CK152" s="57">
        <f t="shared" si="39"/>
        <v>9.8177738952884338E-3</v>
      </c>
      <c r="CL152" s="160">
        <f t="shared" si="49"/>
        <v>3.0501821810604846E-2</v>
      </c>
      <c r="CM152" s="160">
        <v>-3.0150710777498544</v>
      </c>
      <c r="CN152" s="160">
        <f>BJ152/(10^CM152)</f>
        <v>24180.24065316351</v>
      </c>
      <c r="CO152" s="55" t="s">
        <v>2488</v>
      </c>
      <c r="CP152" s="497" t="s">
        <v>2489</v>
      </c>
      <c r="CQ152" s="149">
        <v>-2.4142031595460556</v>
      </c>
      <c r="CR152" s="349">
        <f t="shared" si="52"/>
        <v>1951.1018783945276</v>
      </c>
      <c r="CS152" s="61" t="s">
        <v>539</v>
      </c>
      <c r="CT152" s="61"/>
      <c r="CU152" s="111">
        <f t="shared" si="50"/>
        <v>1.5962630418016063E-3</v>
      </c>
      <c r="CV152" s="331">
        <f t="shared" si="42"/>
        <v>5.13797166579892E-4</v>
      </c>
      <c r="CW152" s="326">
        <f t="shared" si="46"/>
        <v>0</v>
      </c>
      <c r="CX152" s="326"/>
      <c r="CY152" s="161" t="s">
        <v>5921</v>
      </c>
    </row>
    <row r="153" spans="1:103" ht="11.25" customHeight="1" x14ac:dyDescent="0.2">
      <c r="A153" s="72">
        <v>236</v>
      </c>
      <c r="B153" s="149">
        <v>1162</v>
      </c>
      <c r="C153" s="54" t="s">
        <v>1266</v>
      </c>
      <c r="D153" s="54" t="s">
        <v>6518</v>
      </c>
      <c r="E153" s="59"/>
      <c r="F153" s="59" t="s">
        <v>1267</v>
      </c>
      <c r="G153" s="151">
        <v>35554440</v>
      </c>
      <c r="H153" s="55" t="s">
        <v>1268</v>
      </c>
      <c r="I153" s="55" t="s">
        <v>8314</v>
      </c>
      <c r="J153" s="55" t="s">
        <v>1269</v>
      </c>
      <c r="K153" s="55" t="s">
        <v>1270</v>
      </c>
      <c r="L153" s="55" t="s">
        <v>5990</v>
      </c>
      <c r="M153" s="60" t="s">
        <v>2342</v>
      </c>
      <c r="N153" s="60" t="s">
        <v>2342</v>
      </c>
      <c r="O153" s="55"/>
      <c r="P153" s="67"/>
      <c r="Q153" s="67"/>
      <c r="R153" s="67"/>
      <c r="S153" s="67"/>
      <c r="T153" s="56">
        <v>297.18</v>
      </c>
      <c r="U153" s="103">
        <v>180</v>
      </c>
      <c r="V153" s="103">
        <v>6.9700000000000006</v>
      </c>
      <c r="W153" s="103">
        <v>205.59832793768933</v>
      </c>
      <c r="X153" s="103">
        <v>180</v>
      </c>
      <c r="Y153" s="162">
        <v>8.7899999999999991</v>
      </c>
      <c r="Z153" s="56">
        <v>4.0999999999999996</v>
      </c>
      <c r="AA153" s="56">
        <v>3.82</v>
      </c>
      <c r="AB153" s="56">
        <v>4.1399999999999997</v>
      </c>
      <c r="AC153" s="56">
        <v>0.87649999999999995</v>
      </c>
      <c r="AD153" s="56">
        <v>4.03</v>
      </c>
      <c r="AE153" s="56">
        <v>3.58</v>
      </c>
      <c r="AF153" s="56">
        <f t="shared" si="51"/>
        <v>3.82</v>
      </c>
      <c r="AG153" s="57">
        <v>3.69</v>
      </c>
      <c r="AH153" s="103">
        <v>7.2499999999999994E-8</v>
      </c>
      <c r="AI153" s="103">
        <v>2.5899999999999999E-9</v>
      </c>
      <c r="AJ153" s="62">
        <f t="shared" si="47"/>
        <v>-5.5282283197416584</v>
      </c>
      <c r="AK153" s="62">
        <f>LOG10(AI153*1000/(0.08206*298.15))</f>
        <v>-6.9752665622313996</v>
      </c>
      <c r="AL153" s="62">
        <f t="shared" si="48"/>
        <v>-6.9752665622313996</v>
      </c>
      <c r="AM153" s="62">
        <v>-11.007019999999999</v>
      </c>
      <c r="AN153" s="154">
        <v>-7.54</v>
      </c>
      <c r="AO153" s="410"/>
      <c r="AP153" s="410">
        <v>6.74</v>
      </c>
      <c r="AQ153" s="56" t="s">
        <v>6311</v>
      </c>
      <c r="AR153" s="56" t="s">
        <v>6311</v>
      </c>
      <c r="AS153" s="155"/>
      <c r="AT153" s="58" t="s">
        <v>266</v>
      </c>
      <c r="AU153" s="56">
        <v>6</v>
      </c>
      <c r="AV153" s="56">
        <v>120</v>
      </c>
      <c r="AW153" s="56">
        <v>114</v>
      </c>
      <c r="AX153" s="56">
        <v>28</v>
      </c>
      <c r="AY153" s="56" t="s">
        <v>8728</v>
      </c>
      <c r="AZ153" s="56" t="s">
        <v>1563</v>
      </c>
      <c r="BA153" s="56">
        <v>32</v>
      </c>
      <c r="BB153" s="55" t="s">
        <v>2485</v>
      </c>
      <c r="BC153" s="55" t="s">
        <v>8726</v>
      </c>
      <c r="BD153" s="55" t="s">
        <v>8374</v>
      </c>
      <c r="BE153" s="56" t="s">
        <v>2449</v>
      </c>
      <c r="BF153" s="56" t="s">
        <v>272</v>
      </c>
      <c r="BG153" s="56" t="s">
        <v>272</v>
      </c>
      <c r="BH153" s="56" t="s">
        <v>2486</v>
      </c>
      <c r="BI153" s="153">
        <v>1.9019519999999999E-3</v>
      </c>
      <c r="BJ153" s="153">
        <v>19.01952</v>
      </c>
      <c r="BK153" s="56"/>
      <c r="BL153" s="153">
        <v>3.1740194107978934</v>
      </c>
      <c r="BM153" s="55" t="s">
        <v>2046</v>
      </c>
      <c r="BN153" s="56"/>
      <c r="BO153" s="56"/>
      <c r="BP153" s="56"/>
      <c r="BQ153" s="56"/>
      <c r="BR153" s="65">
        <v>6.0145003217754001</v>
      </c>
      <c r="BS153" s="56"/>
      <c r="BT153" s="56"/>
      <c r="BU153" s="158"/>
      <c r="BV153" s="56"/>
      <c r="BW153" s="56"/>
      <c r="BX153" s="56"/>
      <c r="BY153" s="56"/>
      <c r="BZ153" s="56"/>
      <c r="CA153" s="56"/>
      <c r="CB153" s="56"/>
      <c r="CC153" s="56"/>
      <c r="CD153" s="56"/>
      <c r="CE153" s="56"/>
      <c r="CF153" s="56"/>
      <c r="CG153" s="56"/>
      <c r="CH153" s="56"/>
      <c r="CI153" s="103">
        <v>6.0145003217754001</v>
      </c>
      <c r="CJ153" s="103">
        <f t="shared" si="45"/>
        <v>0.77919955245561479</v>
      </c>
      <c r="CK153" s="57">
        <f t="shared" si="39"/>
        <v>0.16688220369377846</v>
      </c>
      <c r="CL153" s="160">
        <f t="shared" si="49"/>
        <v>0.52772786449215203</v>
      </c>
      <c r="CM153" s="160">
        <v>0.23564585552946926</v>
      </c>
      <c r="CN153" s="160">
        <f>BJ153/(10^CM153)</f>
        <v>11.054871450204228</v>
      </c>
      <c r="CO153" s="55" t="s">
        <v>2488</v>
      </c>
      <c r="CP153" s="497" t="s">
        <v>2489</v>
      </c>
      <c r="CQ153" s="149">
        <v>0.3574215355818956</v>
      </c>
      <c r="CR153" s="349">
        <f t="shared" si="52"/>
        <v>2.6410584747405275</v>
      </c>
      <c r="CS153" s="61" t="s">
        <v>539</v>
      </c>
      <c r="CT153" s="61"/>
      <c r="CU153" s="111">
        <f t="shared" si="50"/>
        <v>29.927673184805219</v>
      </c>
      <c r="CV153" s="331">
        <f t="shared" si="42"/>
        <v>9.4639612356147786</v>
      </c>
      <c r="CW153" s="326">
        <f t="shared" si="46"/>
        <v>1</v>
      </c>
      <c r="CX153" s="326"/>
      <c r="CY153" s="161" t="s">
        <v>5921</v>
      </c>
    </row>
    <row r="154" spans="1:103" ht="11.25" customHeight="1" x14ac:dyDescent="0.2">
      <c r="A154" s="72">
        <v>238</v>
      </c>
      <c r="B154" s="149">
        <v>1091</v>
      </c>
      <c r="C154" s="54" t="s">
        <v>3056</v>
      </c>
      <c r="D154" s="54" t="s">
        <v>6476</v>
      </c>
      <c r="E154" s="59"/>
      <c r="F154" s="59" t="s">
        <v>3057</v>
      </c>
      <c r="G154" s="151">
        <v>131179</v>
      </c>
      <c r="H154" s="55" t="s">
        <v>3058</v>
      </c>
      <c r="I154" s="55" t="s">
        <v>3058</v>
      </c>
      <c r="J154" s="55" t="s">
        <v>3059</v>
      </c>
      <c r="K154" s="55" t="s">
        <v>361</v>
      </c>
      <c r="L154" s="55" t="s">
        <v>6620</v>
      </c>
      <c r="M154" s="55" t="s">
        <v>6025</v>
      </c>
      <c r="N154" s="60" t="s">
        <v>2342</v>
      </c>
      <c r="O154" s="55"/>
      <c r="P154" s="67" t="s">
        <v>1639</v>
      </c>
      <c r="Q154" s="67" t="s">
        <v>6173</v>
      </c>
      <c r="R154" s="67" t="s">
        <v>6082</v>
      </c>
      <c r="S154" s="67" t="s">
        <v>6173</v>
      </c>
      <c r="T154" s="56">
        <v>246.26</v>
      </c>
      <c r="U154" s="103">
        <v>182</v>
      </c>
      <c r="V154" s="103">
        <v>43.27</v>
      </c>
      <c r="W154" s="103">
        <v>263.87234410781269</v>
      </c>
      <c r="X154" s="103">
        <v>182</v>
      </c>
      <c r="Y154" s="162">
        <v>7</v>
      </c>
      <c r="Z154" s="56">
        <v>3.36</v>
      </c>
      <c r="AA154" s="56">
        <v>3.23</v>
      </c>
      <c r="AB154" s="56">
        <v>3.25</v>
      </c>
      <c r="AC154" s="56">
        <v>0.85850000000000004</v>
      </c>
      <c r="AD154" s="56">
        <v>3.26</v>
      </c>
      <c r="AE154" s="56">
        <v>3.29</v>
      </c>
      <c r="AF154" s="56">
        <f t="shared" si="51"/>
        <v>3.23</v>
      </c>
      <c r="AG154" s="57">
        <v>2.84</v>
      </c>
      <c r="AH154" s="103">
        <v>3.8599999999999999E-7</v>
      </c>
      <c r="AI154" s="103"/>
      <c r="AJ154" s="62">
        <f t="shared" si="47"/>
        <v>-4.8019790216408964</v>
      </c>
      <c r="AK154" s="62"/>
      <c r="AL154" s="62">
        <f t="shared" si="48"/>
        <v>-4.8019790216408964</v>
      </c>
      <c r="AM154" s="62">
        <v>-9.6524699999999992</v>
      </c>
      <c r="AN154" s="154">
        <v>-5.69</v>
      </c>
      <c r="AO154" s="410"/>
      <c r="AP154" s="410"/>
      <c r="AQ154" s="56" t="s">
        <v>6311</v>
      </c>
      <c r="AR154" s="56" t="s">
        <v>6312</v>
      </c>
      <c r="AS154" s="155"/>
      <c r="AT154" s="58" t="s">
        <v>266</v>
      </c>
      <c r="AU154" s="56">
        <v>6</v>
      </c>
      <c r="AV154" s="56">
        <v>120</v>
      </c>
      <c r="AW154" s="56">
        <v>114</v>
      </c>
      <c r="AX154" s="56">
        <v>28</v>
      </c>
      <c r="AY154" s="56" t="s">
        <v>8728</v>
      </c>
      <c r="AZ154" s="56" t="s">
        <v>1563</v>
      </c>
      <c r="BA154" s="56">
        <v>32</v>
      </c>
      <c r="BB154" s="55" t="s">
        <v>2485</v>
      </c>
      <c r="BC154" s="55" t="s">
        <v>8726</v>
      </c>
      <c r="BD154" s="55" t="s">
        <v>8374</v>
      </c>
      <c r="BE154" s="56" t="s">
        <v>2449</v>
      </c>
      <c r="BF154" s="56" t="s">
        <v>272</v>
      </c>
      <c r="BG154" s="56" t="s">
        <v>272</v>
      </c>
      <c r="BH154" s="56" t="s">
        <v>2486</v>
      </c>
      <c r="BI154" s="153">
        <v>1.5760639999999999E-3</v>
      </c>
      <c r="BJ154" s="153">
        <v>15.76064</v>
      </c>
      <c r="BK154" s="56"/>
      <c r="BL154" s="153">
        <v>12.150044684040713</v>
      </c>
      <c r="BM154" s="56" t="s">
        <v>2046</v>
      </c>
      <c r="BN154" s="56"/>
      <c r="BO154" s="56"/>
      <c r="BP154" s="56"/>
      <c r="BQ154" s="56"/>
      <c r="BR154" s="55">
        <v>4.9839519720199998</v>
      </c>
      <c r="BS154" s="56"/>
      <c r="BT154" s="56"/>
      <c r="BU154" s="158"/>
      <c r="BV154" s="56"/>
      <c r="BW154" s="56"/>
      <c r="BX154" s="56"/>
      <c r="BY154" s="56"/>
      <c r="BZ154" s="56"/>
      <c r="CA154" s="56"/>
      <c r="CB154" s="56"/>
      <c r="CC154" s="56"/>
      <c r="CD154" s="56"/>
      <c r="CE154" s="56"/>
      <c r="CF154" s="56"/>
      <c r="CG154" s="56"/>
      <c r="CH154" s="56"/>
      <c r="CI154" s="103">
        <v>4.9839519720199998</v>
      </c>
      <c r="CJ154" s="103">
        <f t="shared" si="45"/>
        <v>0.69757384858145199</v>
      </c>
      <c r="CK154" s="57">
        <f t="shared" si="39"/>
        <v>0.77091061556134222</v>
      </c>
      <c r="CL154" s="160">
        <f t="shared" si="49"/>
        <v>2.4378334205970069</v>
      </c>
      <c r="CM154" s="160"/>
      <c r="CN154" s="160"/>
      <c r="CO154" s="55" t="s">
        <v>2488</v>
      </c>
      <c r="CP154" s="497" t="s">
        <v>2489</v>
      </c>
      <c r="CQ154" s="149">
        <v>-0.61978875828839397</v>
      </c>
      <c r="CR154" s="349">
        <f t="shared" si="52"/>
        <v>20.766466550083344</v>
      </c>
      <c r="CS154" s="61" t="s">
        <v>539</v>
      </c>
      <c r="CT154" s="61"/>
      <c r="CU154" s="111">
        <f t="shared" si="50"/>
        <v>36.517205828176401</v>
      </c>
      <c r="CV154" s="331">
        <f t="shared" si="42"/>
        <v>11.54775440591245</v>
      </c>
      <c r="CW154" s="326">
        <f t="shared" si="46"/>
        <v>1</v>
      </c>
      <c r="CX154" s="326"/>
      <c r="CY154" s="161" t="s">
        <v>6351</v>
      </c>
    </row>
    <row r="155" spans="1:103" ht="11.25" customHeight="1" x14ac:dyDescent="0.2">
      <c r="A155" s="72">
        <v>239</v>
      </c>
      <c r="B155" s="149">
        <v>1258</v>
      </c>
      <c r="C155" s="54" t="s">
        <v>3455</v>
      </c>
      <c r="D155" s="54" t="s">
        <v>6454</v>
      </c>
      <c r="E155" s="59"/>
      <c r="F155" s="59" t="s">
        <v>3456</v>
      </c>
      <c r="G155" s="151">
        <v>94133</v>
      </c>
      <c r="H155" s="55" t="s">
        <v>3457</v>
      </c>
      <c r="I155" s="55" t="s">
        <v>3457</v>
      </c>
      <c r="J155" s="55" t="s">
        <v>3458</v>
      </c>
      <c r="K155" s="55" t="s">
        <v>2962</v>
      </c>
      <c r="L155" s="55" t="s">
        <v>6626</v>
      </c>
      <c r="M155" s="55" t="s">
        <v>6616</v>
      </c>
      <c r="N155" s="60" t="s">
        <v>6082</v>
      </c>
      <c r="O155" s="55"/>
      <c r="P155" s="67"/>
      <c r="Q155" s="67" t="s">
        <v>6173</v>
      </c>
      <c r="R155" s="67" t="s">
        <v>6174</v>
      </c>
      <c r="S155" s="67" t="s">
        <v>6176</v>
      </c>
      <c r="T155" s="56">
        <v>180.2</v>
      </c>
      <c r="U155" s="103">
        <v>500</v>
      </c>
      <c r="V155" s="103">
        <v>529.29999999999995</v>
      </c>
      <c r="W155" s="103">
        <v>1136.985134753307</v>
      </c>
      <c r="X155" s="103">
        <v>500</v>
      </c>
      <c r="Y155" s="162">
        <v>5.21</v>
      </c>
      <c r="Z155" s="56">
        <v>2.98</v>
      </c>
      <c r="AA155" s="56">
        <v>3.04</v>
      </c>
      <c r="AB155" s="56">
        <v>2.85</v>
      </c>
      <c r="AC155" s="56">
        <v>0.84709999999999996</v>
      </c>
      <c r="AD155" s="56">
        <v>2.87</v>
      </c>
      <c r="AE155" s="56">
        <v>2.93</v>
      </c>
      <c r="AF155" s="56">
        <f t="shared" si="51"/>
        <v>3.04</v>
      </c>
      <c r="AG155" s="57">
        <v>2.16</v>
      </c>
      <c r="AH155" s="103">
        <v>6.3700000000000001E-9</v>
      </c>
      <c r="AI155" s="103"/>
      <c r="AJ155" s="62">
        <f t="shared" si="47"/>
        <v>-6.5844268939773016</v>
      </c>
      <c r="AK155" s="62"/>
      <c r="AL155" s="62">
        <f t="shared" si="48"/>
        <v>-6.5844268939773016</v>
      </c>
      <c r="AM155" s="62">
        <v>-10.316300000000002</v>
      </c>
      <c r="AN155" s="154">
        <v>-6.86</v>
      </c>
      <c r="AO155" s="410">
        <v>8.23</v>
      </c>
      <c r="AP155" s="410"/>
      <c r="AQ155" s="56" t="s">
        <v>6311</v>
      </c>
      <c r="AR155" s="56" t="s">
        <v>6312</v>
      </c>
      <c r="AS155" s="155"/>
      <c r="AT155" s="58" t="s">
        <v>266</v>
      </c>
      <c r="AU155" s="56">
        <v>6</v>
      </c>
      <c r="AV155" s="56">
        <v>120</v>
      </c>
      <c r="AW155" s="56">
        <v>114</v>
      </c>
      <c r="AX155" s="56">
        <v>28</v>
      </c>
      <c r="AY155" s="56" t="s">
        <v>8728</v>
      </c>
      <c r="AZ155" s="56" t="s">
        <v>1563</v>
      </c>
      <c r="BA155" s="56">
        <v>32</v>
      </c>
      <c r="BB155" s="55" t="s">
        <v>2485</v>
      </c>
      <c r="BC155" s="55" t="s">
        <v>8726</v>
      </c>
      <c r="BD155" s="55" t="s">
        <v>8374</v>
      </c>
      <c r="BE155" s="56" t="s">
        <v>2449</v>
      </c>
      <c r="BF155" s="56" t="s">
        <v>272</v>
      </c>
      <c r="BG155" s="56" t="s">
        <v>272</v>
      </c>
      <c r="BH155" s="56" t="s">
        <v>2486</v>
      </c>
      <c r="BI155" s="153">
        <v>1.1532799999999998E-3</v>
      </c>
      <c r="BJ155" s="153">
        <v>11.5328</v>
      </c>
      <c r="BK155" s="56"/>
      <c r="BL155" s="153">
        <v>19.508181460497777</v>
      </c>
      <c r="BM155" s="56" t="s">
        <v>2487</v>
      </c>
      <c r="BN155" s="56"/>
      <c r="BO155" s="56"/>
      <c r="BP155" s="56"/>
      <c r="BQ155" s="56"/>
      <c r="BR155" s="55">
        <v>3.6469915754</v>
      </c>
      <c r="BS155" s="56"/>
      <c r="BT155" s="56"/>
      <c r="BU155" s="158"/>
      <c r="BV155" s="56"/>
      <c r="BW155" s="56"/>
      <c r="BX155" s="56"/>
      <c r="BY155" s="56"/>
      <c r="BZ155" s="56"/>
      <c r="CA155" s="56"/>
      <c r="CB155" s="56"/>
      <c r="CC155" s="56"/>
      <c r="CD155" s="56"/>
      <c r="CE155" s="56"/>
      <c r="CF155" s="56"/>
      <c r="CG155" s="56"/>
      <c r="CH155" s="56"/>
      <c r="CI155" s="103">
        <v>3.6469915754</v>
      </c>
      <c r="CJ155" s="103">
        <f t="shared" si="45"/>
        <v>0.56193476008879695</v>
      </c>
      <c r="CK155" s="57">
        <f t="shared" si="39"/>
        <v>1.691539041732951</v>
      </c>
      <c r="CL155" s="160">
        <f t="shared" si="49"/>
        <v>5.3491161296028302</v>
      </c>
      <c r="CM155" s="160"/>
      <c r="CN155" s="160"/>
      <c r="CO155" s="55" t="s">
        <v>2488</v>
      </c>
      <c r="CP155" s="497" t="s">
        <v>2489</v>
      </c>
      <c r="CQ155" s="149">
        <v>0.8061799739838873</v>
      </c>
      <c r="CR155" s="349">
        <f t="shared" si="52"/>
        <v>0.56984243365624987</v>
      </c>
      <c r="CS155" s="61" t="s">
        <v>539</v>
      </c>
      <c r="CT155" s="61"/>
      <c r="CU155" s="111">
        <f t="shared" si="50"/>
        <v>137.09930216802331</v>
      </c>
      <c r="CV155" s="331">
        <f t="shared" si="42"/>
        <v>43.354605993340734</v>
      </c>
      <c r="CW155" s="326">
        <f t="shared" si="46"/>
        <v>1</v>
      </c>
      <c r="CX155" s="326"/>
      <c r="CY155" s="161" t="s">
        <v>6351</v>
      </c>
    </row>
    <row r="156" spans="1:103" ht="11.25" customHeight="1" x14ac:dyDescent="0.2">
      <c r="A156" s="72">
        <v>240</v>
      </c>
      <c r="B156" s="149">
        <v>913</v>
      </c>
      <c r="C156" s="54" t="s">
        <v>2607</v>
      </c>
      <c r="D156" s="54" t="s">
        <v>6498</v>
      </c>
      <c r="E156" s="59"/>
      <c r="F156" s="59" t="s">
        <v>2608</v>
      </c>
      <c r="G156" s="151">
        <v>2687969</v>
      </c>
      <c r="H156" s="55" t="s">
        <v>2609</v>
      </c>
      <c r="I156" s="55" t="s">
        <v>2609</v>
      </c>
      <c r="J156" s="55" t="s">
        <v>2610</v>
      </c>
      <c r="K156" s="55" t="s">
        <v>471</v>
      </c>
      <c r="L156" s="55"/>
      <c r="M156" s="55" t="s">
        <v>6025</v>
      </c>
      <c r="N156" s="60" t="s">
        <v>2342</v>
      </c>
      <c r="O156" s="55" t="s">
        <v>2342</v>
      </c>
      <c r="P156" s="67" t="s">
        <v>1639</v>
      </c>
      <c r="Q156" s="67" t="s">
        <v>6173</v>
      </c>
      <c r="R156" s="67" t="s">
        <v>6082</v>
      </c>
      <c r="S156" s="67" t="s">
        <v>6173</v>
      </c>
      <c r="T156" s="56">
        <v>253.42</v>
      </c>
      <c r="U156" s="103">
        <v>5.42</v>
      </c>
      <c r="V156" s="103">
        <v>5.8620000000000001</v>
      </c>
      <c r="W156" s="103">
        <v>16.362169472196197</v>
      </c>
      <c r="X156" s="103">
        <v>5.42</v>
      </c>
      <c r="Y156" s="162">
        <v>7</v>
      </c>
      <c r="Z156" s="56">
        <v>5.3</v>
      </c>
      <c r="AA156" s="56">
        <v>4.2</v>
      </c>
      <c r="AB156" s="56">
        <v>4.7300000000000004</v>
      </c>
      <c r="AC156" s="56">
        <v>0.86539999999999995</v>
      </c>
      <c r="AD156" s="56">
        <v>4.9000000000000004</v>
      </c>
      <c r="AE156" s="56">
        <v>5.45</v>
      </c>
      <c r="AF156" s="56">
        <f t="shared" si="51"/>
        <v>4.2</v>
      </c>
      <c r="AG156" s="57">
        <v>4.68</v>
      </c>
      <c r="AH156" s="103">
        <v>7.1200000000000002E-7</v>
      </c>
      <c r="AI156" s="103"/>
      <c r="AJ156" s="62">
        <f t="shared" si="47"/>
        <v>-4.5360863326757954</v>
      </c>
      <c r="AK156" s="62"/>
      <c r="AL156" s="62">
        <f t="shared" si="48"/>
        <v>-4.5360863326757954</v>
      </c>
      <c r="AM156" s="62">
        <v>-7.8680500000000002</v>
      </c>
      <c r="AN156" s="154">
        <v>-5.65</v>
      </c>
      <c r="AO156" s="410"/>
      <c r="AP156" s="410">
        <v>-0.43</v>
      </c>
      <c r="AQ156" s="56" t="s">
        <v>6311</v>
      </c>
      <c r="AR156" s="56" t="s">
        <v>6311</v>
      </c>
      <c r="AS156" s="155"/>
      <c r="AT156" s="58" t="s">
        <v>266</v>
      </c>
      <c r="AU156" s="56">
        <v>6</v>
      </c>
      <c r="AV156" s="56">
        <v>120</v>
      </c>
      <c r="AW156" s="56">
        <v>114</v>
      </c>
      <c r="AX156" s="56">
        <v>28</v>
      </c>
      <c r="AY156" s="56" t="s">
        <v>8728</v>
      </c>
      <c r="AZ156" s="56" t="s">
        <v>1563</v>
      </c>
      <c r="BA156" s="56">
        <v>32</v>
      </c>
      <c r="BB156" s="55" t="s">
        <v>2485</v>
      </c>
      <c r="BC156" s="55" t="s">
        <v>8726</v>
      </c>
      <c r="BD156" s="55" t="s">
        <v>8374</v>
      </c>
      <c r="BE156" s="56" t="s">
        <v>2449</v>
      </c>
      <c r="BF156" s="56" t="s">
        <v>272</v>
      </c>
      <c r="BG156" s="56" t="s">
        <v>272</v>
      </c>
      <c r="BH156" s="56" t="s">
        <v>2486</v>
      </c>
      <c r="BI156" s="153">
        <v>1.6218879999999999E-3</v>
      </c>
      <c r="BJ156" s="153">
        <v>16.218879999999999</v>
      </c>
      <c r="BK156" s="56"/>
      <c r="BL156" s="153">
        <v>0.22631372168934269</v>
      </c>
      <c r="BM156" s="56" t="s">
        <v>2046</v>
      </c>
      <c r="BN156" s="56"/>
      <c r="BO156" s="56"/>
      <c r="BP156" s="56"/>
      <c r="BQ156" s="56"/>
      <c r="BR156" s="55">
        <v>5.1288601833399996</v>
      </c>
      <c r="BS156" s="56"/>
      <c r="BT156" s="56"/>
      <c r="BU156" s="158"/>
      <c r="BV156" s="56"/>
      <c r="BW156" s="56"/>
      <c r="BX156" s="56"/>
      <c r="BY156" s="56"/>
      <c r="BZ156" s="56"/>
      <c r="CA156" s="56"/>
      <c r="CB156" s="56"/>
      <c r="CC156" s="56"/>
      <c r="CD156" s="56"/>
      <c r="CE156" s="56"/>
      <c r="CF156" s="56"/>
      <c r="CG156" s="56"/>
      <c r="CH156" s="56"/>
      <c r="CI156" s="103">
        <v>5.1288601833399996</v>
      </c>
      <c r="CJ156" s="103">
        <f t="shared" si="45"/>
        <v>0.71002086002664899</v>
      </c>
      <c r="CK156" s="57">
        <f t="shared" si="39"/>
        <v>1.3953720706321442E-2</v>
      </c>
      <c r="CL156" s="160">
        <f t="shared" si="49"/>
        <v>4.4125539320505204E-2</v>
      </c>
      <c r="CM156" s="160"/>
      <c r="CN156" s="160"/>
      <c r="CO156" s="55" t="s">
        <v>2488</v>
      </c>
      <c r="CP156" s="497" t="s">
        <v>2489</v>
      </c>
      <c r="CQ156" s="149">
        <v>-0.22914798835785583</v>
      </c>
      <c r="CR156" s="349">
        <f t="shared" si="52"/>
        <v>8.6929833615932228</v>
      </c>
      <c r="CS156" s="61" t="s">
        <v>539</v>
      </c>
      <c r="CT156" s="61"/>
      <c r="CU156" s="111">
        <f t="shared" si="50"/>
        <v>1.0567650133270752</v>
      </c>
      <c r="CV156" s="331">
        <f t="shared" si="42"/>
        <v>0.33417843895509436</v>
      </c>
      <c r="CW156" s="326">
        <f t="shared" si="46"/>
        <v>0</v>
      </c>
      <c r="CX156" s="326"/>
      <c r="CY156" s="161" t="s">
        <v>6351</v>
      </c>
    </row>
    <row r="157" spans="1:103" ht="11.25" customHeight="1" x14ac:dyDescent="0.2">
      <c r="A157" s="72">
        <v>241</v>
      </c>
      <c r="B157" s="149">
        <v>1099</v>
      </c>
      <c r="C157" s="54" t="s">
        <v>3077</v>
      </c>
      <c r="D157" s="54" t="s">
        <v>6505</v>
      </c>
      <c r="E157" s="59"/>
      <c r="F157" s="59" t="s">
        <v>3078</v>
      </c>
      <c r="G157" s="151">
        <v>7173515</v>
      </c>
      <c r="H157" s="55" t="s">
        <v>3079</v>
      </c>
      <c r="I157" s="55" t="s">
        <v>8315</v>
      </c>
      <c r="J157" s="55" t="s">
        <v>3080</v>
      </c>
      <c r="K157" s="55" t="s">
        <v>426</v>
      </c>
      <c r="L157" s="55" t="s">
        <v>6618</v>
      </c>
      <c r="M157" s="55" t="s">
        <v>6025</v>
      </c>
      <c r="N157" s="60" t="s">
        <v>2342</v>
      </c>
      <c r="O157" s="55" t="s">
        <v>2342</v>
      </c>
      <c r="P157" s="67" t="s">
        <v>1639</v>
      </c>
      <c r="Q157" s="67" t="s">
        <v>6173</v>
      </c>
      <c r="R157" s="67" t="s">
        <v>6175</v>
      </c>
      <c r="S157" s="67" t="s">
        <v>6173</v>
      </c>
      <c r="T157" s="56">
        <v>326.62</v>
      </c>
      <c r="U157" s="103"/>
      <c r="V157" s="103">
        <v>0.55049999999999999</v>
      </c>
      <c r="W157" s="103">
        <v>58082.162090691287</v>
      </c>
      <c r="X157" s="103">
        <v>58082.162090691287</v>
      </c>
      <c r="Y157" s="162">
        <v>7</v>
      </c>
      <c r="Z157" s="56">
        <v>4.66</v>
      </c>
      <c r="AA157" s="56"/>
      <c r="AB157" s="56">
        <v>5.42</v>
      </c>
      <c r="AC157" s="56">
        <v>0.52159999999999995</v>
      </c>
      <c r="AD157" s="56">
        <v>3.85</v>
      </c>
      <c r="AE157" s="56">
        <v>2.5099999999999998</v>
      </c>
      <c r="AF157" s="56">
        <f t="shared" si="51"/>
        <v>3.85</v>
      </c>
      <c r="AG157" s="57">
        <v>7.42</v>
      </c>
      <c r="AH157" s="103">
        <v>6.8500000000000001E-10</v>
      </c>
      <c r="AI157" s="103"/>
      <c r="AJ157" s="62">
        <f t="shared" si="47"/>
        <v>-7.5528757548202261</v>
      </c>
      <c r="AK157" s="62"/>
      <c r="AL157" s="62">
        <f t="shared" si="48"/>
        <v>-7.5528757548202261</v>
      </c>
      <c r="AM157" s="62">
        <v>-1.78026</v>
      </c>
      <c r="AN157" s="154">
        <v>-0.93500000000000005</v>
      </c>
      <c r="AO157" s="410"/>
      <c r="AP157" s="410"/>
      <c r="AQ157" s="56" t="s">
        <v>6311</v>
      </c>
      <c r="AR157" s="56" t="s">
        <v>6311</v>
      </c>
      <c r="AS157" s="155"/>
      <c r="AT157" s="58" t="s">
        <v>266</v>
      </c>
      <c r="AU157" s="56">
        <v>6</v>
      </c>
      <c r="AV157" s="56">
        <v>120</v>
      </c>
      <c r="AW157" s="56">
        <v>114</v>
      </c>
      <c r="AX157" s="56">
        <v>28</v>
      </c>
      <c r="AY157" s="56" t="s">
        <v>8728</v>
      </c>
      <c r="AZ157" s="56" t="s">
        <v>1563</v>
      </c>
      <c r="BA157" s="56">
        <v>32</v>
      </c>
      <c r="BB157" s="55" t="s">
        <v>2485</v>
      </c>
      <c r="BC157" s="55" t="s">
        <v>8726</v>
      </c>
      <c r="BD157" s="55" t="s">
        <v>8374</v>
      </c>
      <c r="BE157" s="56" t="s">
        <v>2449</v>
      </c>
      <c r="BF157" s="56" t="s">
        <v>272</v>
      </c>
      <c r="BG157" s="56" t="s">
        <v>272</v>
      </c>
      <c r="BH157" s="56" t="s">
        <v>2486</v>
      </c>
      <c r="BI157" s="153">
        <v>2.090368E-3</v>
      </c>
      <c r="BJ157" s="153">
        <v>20.903680000000001</v>
      </c>
      <c r="BK157" s="56"/>
      <c r="BL157" s="153">
        <v>1.095712899434212</v>
      </c>
      <c r="BM157" s="56" t="s">
        <v>2487</v>
      </c>
      <c r="BN157" s="56"/>
      <c r="BO157" s="56"/>
      <c r="BP157" s="56"/>
      <c r="BQ157" s="56"/>
      <c r="BR157" s="55">
        <v>6.6103240197400002</v>
      </c>
      <c r="BS157" s="56"/>
      <c r="BT157" s="56"/>
      <c r="BU157" s="158"/>
      <c r="BV157" s="56"/>
      <c r="BW157" s="56"/>
      <c r="BX157" s="56"/>
      <c r="BY157" s="56"/>
      <c r="BZ157" s="56"/>
      <c r="CA157" s="56"/>
      <c r="CB157" s="56"/>
      <c r="CC157" s="56"/>
      <c r="CD157" s="56"/>
      <c r="CE157" s="56"/>
      <c r="CF157" s="56"/>
      <c r="CG157" s="56"/>
      <c r="CH157" s="56"/>
      <c r="CI157" s="103">
        <v>6.6103240197400002</v>
      </c>
      <c r="CJ157" s="103">
        <f t="shared" si="45"/>
        <v>0.82022274791774341</v>
      </c>
      <c r="CK157" s="57">
        <f t="shared" si="39"/>
        <v>5.2417225073968406E-2</v>
      </c>
      <c r="CL157" s="160">
        <f t="shared" si="49"/>
        <v>0.16575782006481871</v>
      </c>
      <c r="CM157" s="160"/>
      <c r="CN157" s="160"/>
      <c r="CO157" s="55" t="s">
        <v>2488</v>
      </c>
      <c r="CP157" s="497" t="s">
        <v>2489</v>
      </c>
      <c r="CQ157" s="149">
        <v>-0.24054484824405667</v>
      </c>
      <c r="CR157" s="349">
        <f t="shared" si="52"/>
        <v>11.501847263215499</v>
      </c>
      <c r="CS157" s="61" t="s">
        <v>539</v>
      </c>
      <c r="CT157" s="61"/>
      <c r="CU157" s="111">
        <f t="shared" si="50"/>
        <v>8786.5832169866608</v>
      </c>
      <c r="CV157" s="331">
        <f t="shared" si="42"/>
        <v>2778.5615781858164</v>
      </c>
      <c r="CW157" s="326">
        <f t="shared" si="46"/>
        <v>1</v>
      </c>
      <c r="CX157" s="326"/>
      <c r="CY157" s="161" t="s">
        <v>6351</v>
      </c>
    </row>
    <row r="158" spans="1:103" ht="11.25" customHeight="1" x14ac:dyDescent="0.2">
      <c r="A158" s="72">
        <v>242</v>
      </c>
      <c r="B158" s="149">
        <v>1116</v>
      </c>
      <c r="C158" s="54" t="s">
        <v>3118</v>
      </c>
      <c r="D158" s="54" t="s">
        <v>6513</v>
      </c>
      <c r="E158" s="59"/>
      <c r="F158" s="59" t="s">
        <v>1699</v>
      </c>
      <c r="G158" s="151">
        <v>27176870</v>
      </c>
      <c r="H158" s="55" t="s">
        <v>1700</v>
      </c>
      <c r="I158" s="55" t="s">
        <v>1700</v>
      </c>
      <c r="J158" s="55" t="s">
        <v>3119</v>
      </c>
      <c r="K158" s="55" t="s">
        <v>426</v>
      </c>
      <c r="L158" s="55"/>
      <c r="M158" s="55" t="s">
        <v>6025</v>
      </c>
      <c r="N158" s="60" t="s">
        <v>2342</v>
      </c>
      <c r="O158" s="55" t="s">
        <v>2342</v>
      </c>
      <c r="P158" s="67" t="s">
        <v>6631</v>
      </c>
      <c r="Q158" s="67" t="s">
        <v>6173</v>
      </c>
      <c r="R158" s="67" t="s">
        <v>6082</v>
      </c>
      <c r="S158" s="67" t="s">
        <v>6173</v>
      </c>
      <c r="T158" s="56">
        <v>326.5</v>
      </c>
      <c r="U158" s="103"/>
      <c r="V158" s="103">
        <v>0.70320000000000016</v>
      </c>
      <c r="W158" s="103">
        <v>5806.0822737770823</v>
      </c>
      <c r="X158" s="103">
        <v>5806.0822737770823</v>
      </c>
      <c r="Y158" s="162">
        <v>1.76</v>
      </c>
      <c r="Z158" s="56">
        <v>4.78</v>
      </c>
      <c r="AA158" s="56"/>
      <c r="AB158" s="56">
        <v>4.1500000000000004</v>
      </c>
      <c r="AC158" s="56">
        <v>0.40200000000000002</v>
      </c>
      <c r="AD158" s="56">
        <v>5.84</v>
      </c>
      <c r="AE158" s="56">
        <v>6.77</v>
      </c>
      <c r="AF158" s="56">
        <f t="shared" si="51"/>
        <v>5.84</v>
      </c>
      <c r="AG158" s="57">
        <v>5.12</v>
      </c>
      <c r="AH158" s="103">
        <v>6.2699999999999999E-8</v>
      </c>
      <c r="AI158" s="103"/>
      <c r="AJ158" s="62">
        <f t="shared" si="47"/>
        <v>-5.5912987854819356</v>
      </c>
      <c r="AK158" s="62"/>
      <c r="AL158" s="62">
        <f t="shared" si="48"/>
        <v>-5.5912987854819356</v>
      </c>
      <c r="AM158" s="62">
        <v>-12.315449999999998</v>
      </c>
      <c r="AN158" s="154">
        <v>-13.5</v>
      </c>
      <c r="AO158" s="410">
        <v>-0.45</v>
      </c>
      <c r="AP158" s="410"/>
      <c r="AQ158" s="56" t="s">
        <v>6311</v>
      </c>
      <c r="AR158" s="56" t="s">
        <v>6311</v>
      </c>
      <c r="AS158" s="155"/>
      <c r="AT158" s="58" t="s">
        <v>266</v>
      </c>
      <c r="AU158" s="56">
        <v>6</v>
      </c>
      <c r="AV158" s="56">
        <v>120</v>
      </c>
      <c r="AW158" s="56">
        <v>114</v>
      </c>
      <c r="AX158" s="56">
        <v>28</v>
      </c>
      <c r="AY158" s="56" t="s">
        <v>8728</v>
      </c>
      <c r="AZ158" s="56" t="s">
        <v>1563</v>
      </c>
      <c r="BA158" s="56">
        <v>32</v>
      </c>
      <c r="BB158" s="55" t="s">
        <v>2485</v>
      </c>
      <c r="BC158" s="55" t="s">
        <v>8726</v>
      </c>
      <c r="BD158" s="55" t="s">
        <v>8374</v>
      </c>
      <c r="BE158" s="56" t="s">
        <v>2449</v>
      </c>
      <c r="BF158" s="56" t="s">
        <v>272</v>
      </c>
      <c r="BG158" s="56" t="s">
        <v>272</v>
      </c>
      <c r="BH158" s="56" t="s">
        <v>2486</v>
      </c>
      <c r="BI158" s="153">
        <v>2.0896000000000001E-3</v>
      </c>
      <c r="BJ158" s="153">
        <v>20.896000000000001</v>
      </c>
      <c r="BK158" s="56"/>
      <c r="BL158" s="153">
        <v>0.85460452027943845</v>
      </c>
      <c r="BM158" s="56" t="s">
        <v>2487</v>
      </c>
      <c r="BN158" s="56"/>
      <c r="BO158" s="56"/>
      <c r="BP158" s="56"/>
      <c r="BQ158" s="56"/>
      <c r="BR158" s="55">
        <v>6.6078953905000004</v>
      </c>
      <c r="BS158" s="56"/>
      <c r="BT158" s="56"/>
      <c r="BU158" s="158"/>
      <c r="BV158" s="56"/>
      <c r="BW158" s="56"/>
      <c r="BX158" s="56"/>
      <c r="BY158" s="56"/>
      <c r="BZ158" s="56"/>
      <c r="CA158" s="56"/>
      <c r="CB158" s="56"/>
      <c r="CC158" s="56"/>
      <c r="CD158" s="56"/>
      <c r="CE158" s="56"/>
      <c r="CF158" s="56"/>
      <c r="CG158" s="56"/>
      <c r="CH158" s="56"/>
      <c r="CI158" s="103">
        <v>6.6078953905000004</v>
      </c>
      <c r="CJ158" s="103">
        <f t="shared" si="45"/>
        <v>0.82006315905684546</v>
      </c>
      <c r="CK158" s="57">
        <f t="shared" si="39"/>
        <v>4.0897995802040503E-2</v>
      </c>
      <c r="CL158" s="160">
        <f t="shared" si="49"/>
        <v>0.12933081863070672</v>
      </c>
      <c r="CM158" s="160"/>
      <c r="CN158" s="160"/>
      <c r="CO158" s="55" t="s">
        <v>2488</v>
      </c>
      <c r="CP158" s="497" t="s">
        <v>2489</v>
      </c>
      <c r="CQ158" s="149">
        <v>0.26168640220147926</v>
      </c>
      <c r="CR158" s="349">
        <f t="shared" si="52"/>
        <v>3.6172352704956521</v>
      </c>
      <c r="CS158" s="61" t="s">
        <v>539</v>
      </c>
      <c r="CT158" s="61"/>
      <c r="CU158" s="111">
        <f t="shared" si="50"/>
        <v>878.6583216986661</v>
      </c>
      <c r="CV158" s="331">
        <f t="shared" si="42"/>
        <v>277.85615781858166</v>
      </c>
      <c r="CW158" s="326">
        <f t="shared" si="46"/>
        <v>1</v>
      </c>
      <c r="CX158" s="326"/>
      <c r="CY158" s="161" t="s">
        <v>5921</v>
      </c>
    </row>
    <row r="159" spans="1:103" ht="11.25" customHeight="1" x14ac:dyDescent="0.2">
      <c r="A159" s="72">
        <v>244</v>
      </c>
      <c r="B159" s="149">
        <v>1217</v>
      </c>
      <c r="C159" s="54" t="s">
        <v>3359</v>
      </c>
      <c r="D159" s="54" t="s">
        <v>6460</v>
      </c>
      <c r="E159" s="59"/>
      <c r="F159" s="59" t="s">
        <v>3360</v>
      </c>
      <c r="G159" s="151">
        <v>101542</v>
      </c>
      <c r="H159" s="55" t="s">
        <v>3361</v>
      </c>
      <c r="I159" s="55" t="s">
        <v>3361</v>
      </c>
      <c r="J159" s="55" t="s">
        <v>3362</v>
      </c>
      <c r="K159" s="55" t="s">
        <v>1573</v>
      </c>
      <c r="L159" s="55"/>
      <c r="M159" s="55" t="s">
        <v>6616</v>
      </c>
      <c r="N159" s="60" t="s">
        <v>6082</v>
      </c>
      <c r="O159" s="55"/>
      <c r="P159" s="67">
        <v>3</v>
      </c>
      <c r="Q159" s="67" t="s">
        <v>6173</v>
      </c>
      <c r="R159" s="67">
        <v>1</v>
      </c>
      <c r="S159" s="67" t="s">
        <v>6173</v>
      </c>
      <c r="T159" s="56">
        <v>184.24</v>
      </c>
      <c r="U159" s="103"/>
      <c r="V159" s="103">
        <v>1453</v>
      </c>
      <c r="W159" s="103">
        <v>531.35396413604553</v>
      </c>
      <c r="X159" s="103">
        <v>531.35396413604553</v>
      </c>
      <c r="Y159" s="162">
        <v>8.17</v>
      </c>
      <c r="Z159" s="56">
        <v>1.82</v>
      </c>
      <c r="AA159" s="56"/>
      <c r="AB159" s="56">
        <v>2.06</v>
      </c>
      <c r="AC159" s="56">
        <v>0.78690000000000004</v>
      </c>
      <c r="AD159" s="56">
        <v>1.82</v>
      </c>
      <c r="AE159" s="56">
        <v>1.29</v>
      </c>
      <c r="AF159" s="56">
        <f t="shared" si="51"/>
        <v>1.82</v>
      </c>
      <c r="AG159" s="57">
        <v>2.52</v>
      </c>
      <c r="AH159" s="103">
        <v>3.7100000000000001E-10</v>
      </c>
      <c r="AI159" s="103"/>
      <c r="AJ159" s="62">
        <f t="shared" si="47"/>
        <v>-7.8191924166976063</v>
      </c>
      <c r="AK159" s="62"/>
      <c r="AL159" s="62">
        <f t="shared" si="48"/>
        <v>-7.8191924166976063</v>
      </c>
      <c r="AM159" s="62">
        <v>-11.753459999999999</v>
      </c>
      <c r="AN159" s="154">
        <v>-7.23</v>
      </c>
      <c r="AO159" s="410"/>
      <c r="AP159" s="410">
        <v>5.2</v>
      </c>
      <c r="AQ159" s="56" t="s">
        <v>6311</v>
      </c>
      <c r="AR159" s="56" t="s">
        <v>6311</v>
      </c>
      <c r="AS159" s="155"/>
      <c r="AT159" s="58" t="s">
        <v>266</v>
      </c>
      <c r="AU159" s="56">
        <v>6</v>
      </c>
      <c r="AV159" s="56">
        <v>120</v>
      </c>
      <c r="AW159" s="56">
        <v>114</v>
      </c>
      <c r="AX159" s="56">
        <v>28</v>
      </c>
      <c r="AY159" s="56" t="s">
        <v>8728</v>
      </c>
      <c r="AZ159" s="56" t="s">
        <v>1563</v>
      </c>
      <c r="BA159" s="56">
        <v>32</v>
      </c>
      <c r="BB159" s="55" t="s">
        <v>2485</v>
      </c>
      <c r="BC159" s="55" t="s">
        <v>8726</v>
      </c>
      <c r="BD159" s="55" t="s">
        <v>8374</v>
      </c>
      <c r="BE159" s="56" t="s">
        <v>2449</v>
      </c>
      <c r="BF159" s="56" t="s">
        <v>272</v>
      </c>
      <c r="BG159" s="56" t="s">
        <v>272</v>
      </c>
      <c r="BH159" s="56" t="s">
        <v>2486</v>
      </c>
      <c r="BI159" s="153">
        <v>1.1791359999999999E-3</v>
      </c>
      <c r="BJ159" s="153">
        <v>11.791360000000001</v>
      </c>
      <c r="BK159" s="56"/>
      <c r="BL159" s="153">
        <v>219.60484879926156</v>
      </c>
      <c r="BM159" s="56" t="s">
        <v>2046</v>
      </c>
      <c r="BN159" s="56"/>
      <c r="BO159" s="56"/>
      <c r="BP159" s="56"/>
      <c r="BQ159" s="56"/>
      <c r="BR159" s="55">
        <v>3.7287554264800002</v>
      </c>
      <c r="BS159" s="56"/>
      <c r="BT159" s="56"/>
      <c r="BU159" s="158"/>
      <c r="BV159" s="56"/>
      <c r="BW159" s="56"/>
      <c r="BX159" s="56"/>
      <c r="BY159" s="56"/>
      <c r="BZ159" s="56"/>
      <c r="CA159" s="56"/>
      <c r="CB159" s="56"/>
      <c r="CC159" s="56"/>
      <c r="CD159" s="56"/>
      <c r="CE159" s="56"/>
      <c r="CF159" s="56"/>
      <c r="CG159" s="56"/>
      <c r="CH159" s="56"/>
      <c r="CI159" s="103">
        <v>3.7287554264800002</v>
      </c>
      <c r="CJ159" s="103">
        <f t="shared" si="45"/>
        <v>0.57156389840192745</v>
      </c>
      <c r="CK159" s="57">
        <f t="shared" si="39"/>
        <v>18.624217121626476</v>
      </c>
      <c r="CL159" s="160">
        <f t="shared" si="49"/>
        <v>58.894945814821583</v>
      </c>
      <c r="CM159" s="160"/>
      <c r="CN159" s="160"/>
      <c r="CO159" s="55" t="s">
        <v>2488</v>
      </c>
      <c r="CP159" s="497" t="s">
        <v>2489</v>
      </c>
      <c r="CQ159" s="149">
        <v>-0.16749108729376366</v>
      </c>
      <c r="CR159" s="349">
        <f t="shared" si="52"/>
        <v>5.4834638624705896</v>
      </c>
      <c r="CS159" s="61" t="s">
        <v>539</v>
      </c>
      <c r="CT159" s="61"/>
      <c r="CU159" s="111">
        <f t="shared" si="50"/>
        <v>142.50169382593469</v>
      </c>
      <c r="CV159" s="331">
        <f t="shared" si="42"/>
        <v>45.062992236353182</v>
      </c>
      <c r="CW159" s="326">
        <f t="shared" si="46"/>
        <v>1</v>
      </c>
      <c r="CX159" s="326"/>
      <c r="CY159" s="161" t="s">
        <v>6351</v>
      </c>
    </row>
    <row r="160" spans="1:103" ht="11.25" customHeight="1" x14ac:dyDescent="0.2">
      <c r="A160" s="72">
        <v>245</v>
      </c>
      <c r="B160" s="149">
        <v>1119</v>
      </c>
      <c r="C160" s="54" t="s">
        <v>3126</v>
      </c>
      <c r="D160" s="54" t="s">
        <v>6589</v>
      </c>
      <c r="E160" s="59"/>
      <c r="F160" s="59" t="s">
        <v>3127</v>
      </c>
      <c r="G160" s="151">
        <v>155569918</v>
      </c>
      <c r="H160" s="55" t="s">
        <v>3128</v>
      </c>
      <c r="I160" s="55" t="s">
        <v>7849</v>
      </c>
      <c r="J160" s="55" t="s">
        <v>3129</v>
      </c>
      <c r="K160" s="55" t="s">
        <v>3130</v>
      </c>
      <c r="L160" s="55" t="s">
        <v>617</v>
      </c>
      <c r="M160" s="55" t="s">
        <v>917</v>
      </c>
      <c r="N160" s="60" t="s">
        <v>6376</v>
      </c>
      <c r="O160" s="55" t="s">
        <v>918</v>
      </c>
      <c r="P160" s="67">
        <v>3</v>
      </c>
      <c r="Q160" s="67" t="s">
        <v>6173</v>
      </c>
      <c r="R160" s="67">
        <v>1</v>
      </c>
      <c r="S160" s="67" t="s">
        <v>6173</v>
      </c>
      <c r="T160" s="56">
        <v>886.12</v>
      </c>
      <c r="U160" s="103"/>
      <c r="V160" s="103"/>
      <c r="W160" s="103">
        <v>80.815104497005834</v>
      </c>
      <c r="X160" s="103">
        <v>80.815104497005834</v>
      </c>
      <c r="Y160" s="162">
        <v>9.2799999999999994</v>
      </c>
      <c r="Z160" s="56"/>
      <c r="AA160" s="56"/>
      <c r="AB160" s="56">
        <v>5.8</v>
      </c>
      <c r="AC160" s="56">
        <v>0.46229999999999999</v>
      </c>
      <c r="AD160" s="56">
        <v>6.32</v>
      </c>
      <c r="AE160" s="56">
        <v>6.84</v>
      </c>
      <c r="AF160" s="56">
        <f t="shared" si="51"/>
        <v>6.32</v>
      </c>
      <c r="AG160" s="57">
        <v>4.72</v>
      </c>
      <c r="AH160" s="103">
        <v>8.4699999999999999E-30</v>
      </c>
      <c r="AI160" s="103"/>
      <c r="AJ160" s="62">
        <f t="shared" si="47"/>
        <v>-27.460682915981945</v>
      </c>
      <c r="AK160" s="62"/>
      <c r="AL160" s="62">
        <f t="shared" si="48"/>
        <v>-27.460682915981945</v>
      </c>
      <c r="AM160" s="62">
        <v>-40.072839999999999</v>
      </c>
      <c r="AN160" s="154">
        <v>-34.200000000000003</v>
      </c>
      <c r="AO160" s="410">
        <v>12.42</v>
      </c>
      <c r="AP160" s="410">
        <v>8.7100000000000009</v>
      </c>
      <c r="AQ160" s="56" t="s">
        <v>6311</v>
      </c>
      <c r="AR160" s="56" t="s">
        <v>6311</v>
      </c>
      <c r="AS160" s="155"/>
      <c r="AT160" s="58" t="s">
        <v>266</v>
      </c>
      <c r="AU160" s="56">
        <v>6</v>
      </c>
      <c r="AV160" s="56">
        <v>120</v>
      </c>
      <c r="AW160" s="56">
        <v>114</v>
      </c>
      <c r="AX160" s="56">
        <v>28</v>
      </c>
      <c r="AY160" s="56" t="s">
        <v>8728</v>
      </c>
      <c r="AZ160" s="56" t="s">
        <v>1563</v>
      </c>
      <c r="BA160" s="56">
        <v>32</v>
      </c>
      <c r="BB160" s="55" t="s">
        <v>2485</v>
      </c>
      <c r="BC160" s="55" t="s">
        <v>8726</v>
      </c>
      <c r="BD160" s="55" t="s">
        <v>8374</v>
      </c>
      <c r="BE160" s="56" t="s">
        <v>2449</v>
      </c>
      <c r="BF160" s="56" t="s">
        <v>272</v>
      </c>
      <c r="BG160" s="56" t="s">
        <v>272</v>
      </c>
      <c r="BH160" s="56" t="s">
        <v>2486</v>
      </c>
      <c r="BI160" s="153">
        <v>5.6711679999999999E-3</v>
      </c>
      <c r="BJ160" s="153">
        <v>56.711680000000001</v>
      </c>
      <c r="BK160" s="56"/>
      <c r="BL160" s="153"/>
      <c r="BM160" s="56" t="s">
        <v>2046</v>
      </c>
      <c r="BN160" s="56">
        <v>17933.807877823598</v>
      </c>
      <c r="BO160" s="56"/>
      <c r="BP160" s="56"/>
      <c r="BQ160" s="56"/>
      <c r="BR160" s="55">
        <v>17.933807851240001</v>
      </c>
      <c r="BS160" s="56"/>
      <c r="BT160" s="56"/>
      <c r="BU160" s="158"/>
      <c r="BV160" s="56"/>
      <c r="BW160" s="56"/>
      <c r="BX160" s="56"/>
      <c r="BY160" s="56"/>
      <c r="BZ160" s="56"/>
      <c r="CA160" s="56"/>
      <c r="CB160" s="56"/>
      <c r="CC160" s="56"/>
      <c r="CD160" s="56"/>
      <c r="CE160" s="56"/>
      <c r="CF160" s="56"/>
      <c r="CG160" s="56"/>
      <c r="CH160" s="56"/>
      <c r="CI160" s="103">
        <v>17.933807851240001</v>
      </c>
      <c r="CJ160" s="103">
        <f t="shared" ref="CJ160:CJ191" si="53">LOG10(CI160)</f>
        <v>1.2536725122728618</v>
      </c>
      <c r="CK160" s="57">
        <f t="shared" si="39"/>
        <v>0</v>
      </c>
      <c r="CL160" s="160">
        <f t="shared" si="49"/>
        <v>0</v>
      </c>
      <c r="CM160" s="160"/>
      <c r="CN160" s="160"/>
      <c r="CO160" s="55" t="s">
        <v>2488</v>
      </c>
      <c r="CP160" s="497" t="s">
        <v>2489</v>
      </c>
      <c r="CQ160" s="149">
        <v>-0.73879217222795601</v>
      </c>
      <c r="CR160" s="349">
        <f t="shared" si="52"/>
        <v>98.279895154528305</v>
      </c>
      <c r="CS160" s="61" t="s">
        <v>539</v>
      </c>
      <c r="CT160" s="61"/>
      <c r="CU160" s="111">
        <f t="shared" si="50"/>
        <v>4.506299229219076</v>
      </c>
      <c r="CV160" s="331">
        <f t="shared" si="42"/>
        <v>1.4250169364936083</v>
      </c>
      <c r="CW160" s="326">
        <f t="shared" ref="CW160:CW191" si="54">IF(CU160&lt;2,0,1)</f>
        <v>1</v>
      </c>
      <c r="CX160" s="326"/>
      <c r="CY160" s="161" t="s">
        <v>5921</v>
      </c>
    </row>
    <row r="161" spans="1:103" ht="11.25" customHeight="1" x14ac:dyDescent="0.2">
      <c r="A161" s="72">
        <v>246</v>
      </c>
      <c r="B161" s="149">
        <v>976</v>
      </c>
      <c r="C161" s="54" t="s">
        <v>2787</v>
      </c>
      <c r="D161" s="54" t="s">
        <v>6525</v>
      </c>
      <c r="E161" s="59"/>
      <c r="F161" s="59" t="s">
        <v>2788</v>
      </c>
      <c r="G161" s="151">
        <v>55406536</v>
      </c>
      <c r="H161" s="55" t="s">
        <v>2789</v>
      </c>
      <c r="I161" s="55" t="s">
        <v>8317</v>
      </c>
      <c r="J161" s="55" t="s">
        <v>2790</v>
      </c>
      <c r="K161" s="55" t="s">
        <v>912</v>
      </c>
      <c r="L161" s="55" t="s">
        <v>5929</v>
      </c>
      <c r="M161" s="55" t="s">
        <v>6025</v>
      </c>
      <c r="N161" s="60" t="s">
        <v>2342</v>
      </c>
      <c r="O161" s="55" t="s">
        <v>2342</v>
      </c>
      <c r="P161" s="67" t="s">
        <v>6631</v>
      </c>
      <c r="Q161" s="67" t="s">
        <v>6173</v>
      </c>
      <c r="R161" s="67" t="s">
        <v>6082</v>
      </c>
      <c r="S161" s="67" t="s">
        <v>6173</v>
      </c>
      <c r="T161" s="56">
        <v>281.08999999999997</v>
      </c>
      <c r="U161" s="103"/>
      <c r="V161" s="103">
        <v>126.6</v>
      </c>
      <c r="W161" s="103">
        <v>70.606615703302708</v>
      </c>
      <c r="X161" s="103">
        <v>70.606615703302708</v>
      </c>
      <c r="Y161" s="162">
        <v>6.99</v>
      </c>
      <c r="Z161" s="56">
        <v>2.4500000000000002</v>
      </c>
      <c r="AA161" s="56"/>
      <c r="AB161" s="56">
        <v>2.06</v>
      </c>
      <c r="AC161" s="56">
        <v>0.52690000000000003</v>
      </c>
      <c r="AD161" s="56">
        <v>3.2</v>
      </c>
      <c r="AE161" s="56">
        <v>4.4400000000000004</v>
      </c>
      <c r="AF161" s="56">
        <f t="shared" si="51"/>
        <v>3.2</v>
      </c>
      <c r="AG161" s="57">
        <v>1.38</v>
      </c>
      <c r="AH161" s="103">
        <v>8.9299999999999996E-9</v>
      </c>
      <c r="AI161" s="103"/>
      <c r="AJ161" s="62">
        <f t="shared" si="47"/>
        <v>-6.4377148674241056</v>
      </c>
      <c r="AK161" s="62"/>
      <c r="AL161" s="62">
        <f t="shared" si="48"/>
        <v>-6.4377148674241056</v>
      </c>
      <c r="AM161" s="62">
        <v>-8.67258</v>
      </c>
      <c r="AN161" s="154">
        <v>-27.6</v>
      </c>
      <c r="AO161" s="410">
        <v>12.03</v>
      </c>
      <c r="AP161" s="410">
        <v>-1.55</v>
      </c>
      <c r="AQ161" s="56" t="s">
        <v>6311</v>
      </c>
      <c r="AR161" s="56" t="s">
        <v>6315</v>
      </c>
      <c r="AS161" s="155"/>
      <c r="AT161" s="58" t="s">
        <v>266</v>
      </c>
      <c r="AU161" s="56">
        <v>6</v>
      </c>
      <c r="AV161" s="56">
        <v>120</v>
      </c>
      <c r="AW161" s="56">
        <v>114</v>
      </c>
      <c r="AX161" s="56">
        <v>28</v>
      </c>
      <c r="AY161" s="56" t="s">
        <v>8728</v>
      </c>
      <c r="AZ161" s="56" t="s">
        <v>1563</v>
      </c>
      <c r="BA161" s="56">
        <v>32</v>
      </c>
      <c r="BB161" s="55" t="s">
        <v>2485</v>
      </c>
      <c r="BC161" s="55" t="s">
        <v>8726</v>
      </c>
      <c r="BD161" s="55" t="s">
        <v>8374</v>
      </c>
      <c r="BE161" s="56" t="s">
        <v>2449</v>
      </c>
      <c r="BF161" s="56" t="s">
        <v>272</v>
      </c>
      <c r="BG161" s="56" t="s">
        <v>272</v>
      </c>
      <c r="BH161" s="56" t="s">
        <v>2486</v>
      </c>
      <c r="BI161" s="153">
        <v>1.7989759999999997E-3</v>
      </c>
      <c r="BJ161" s="153">
        <v>17.98976</v>
      </c>
      <c r="BK161" s="56"/>
      <c r="BL161" s="153">
        <v>91.054286482476698</v>
      </c>
      <c r="BM161" s="56" t="s">
        <v>2487</v>
      </c>
      <c r="BN161" s="56"/>
      <c r="BO161" s="56"/>
      <c r="BP161" s="56"/>
      <c r="BQ161" s="56"/>
      <c r="BR161" s="55">
        <v>5.6888616089299999</v>
      </c>
      <c r="BS161" s="56"/>
      <c r="BT161" s="56"/>
      <c r="BU161" s="158"/>
      <c r="BV161" s="56"/>
      <c r="BW161" s="56"/>
      <c r="BX161" s="56"/>
      <c r="BY161" s="56"/>
      <c r="BZ161" s="56"/>
      <c r="CA161" s="56"/>
      <c r="CB161" s="56"/>
      <c r="CC161" s="56"/>
      <c r="CD161" s="56"/>
      <c r="CE161" s="56"/>
      <c r="CF161" s="56"/>
      <c r="CG161" s="56"/>
      <c r="CH161" s="56"/>
      <c r="CI161" s="103">
        <v>5.6888616089299999</v>
      </c>
      <c r="CJ161" s="103">
        <f t="shared" si="53"/>
        <v>0.75502536895689332</v>
      </c>
      <c r="CK161" s="57">
        <f t="shared" si="39"/>
        <v>5.0614508744128157</v>
      </c>
      <c r="CL161" s="160">
        <f t="shared" si="49"/>
        <v>16.005713048028042</v>
      </c>
      <c r="CM161" s="160"/>
      <c r="CN161" s="160"/>
      <c r="CO161" s="55" t="s">
        <v>2488</v>
      </c>
      <c r="CP161" s="497" t="s">
        <v>2489</v>
      </c>
      <c r="CQ161" s="149">
        <v>-0.93229085321130467</v>
      </c>
      <c r="CR161" s="349">
        <f t="shared" si="52"/>
        <v>48.676150158729435</v>
      </c>
      <c r="CS161" s="61" t="s">
        <v>539</v>
      </c>
      <c r="CT161" s="61"/>
      <c r="CU161" s="111">
        <f t="shared" si="50"/>
        <v>12.411378682945829</v>
      </c>
      <c r="CV161" s="331">
        <f t="shared" si="42"/>
        <v>3.9248225492337143</v>
      </c>
      <c r="CW161" s="326">
        <f t="shared" si="54"/>
        <v>1</v>
      </c>
      <c r="CX161" s="326"/>
      <c r="CY161" s="161" t="s">
        <v>5921</v>
      </c>
    </row>
    <row r="162" spans="1:103" ht="11.25" customHeight="1" x14ac:dyDescent="0.2">
      <c r="A162" s="72">
        <v>247</v>
      </c>
      <c r="B162" s="149">
        <v>1281</v>
      </c>
      <c r="C162" s="54" t="s">
        <v>3520</v>
      </c>
      <c r="D162" s="54" t="s">
        <v>6492</v>
      </c>
      <c r="E162" s="59"/>
      <c r="F162" s="59" t="s">
        <v>2321</v>
      </c>
      <c r="G162" s="151">
        <v>1191500</v>
      </c>
      <c r="H162" s="55" t="s">
        <v>2322</v>
      </c>
      <c r="I162" s="55" t="s">
        <v>2322</v>
      </c>
      <c r="J162" s="55" t="s">
        <v>2323</v>
      </c>
      <c r="K162" s="55" t="s">
        <v>426</v>
      </c>
      <c r="L162" s="55" t="s">
        <v>279</v>
      </c>
      <c r="M162" s="55" t="s">
        <v>2324</v>
      </c>
      <c r="N162" s="60" t="s">
        <v>6383</v>
      </c>
      <c r="O162" s="55" t="s">
        <v>281</v>
      </c>
      <c r="P162" s="67">
        <v>3</v>
      </c>
      <c r="Q162" s="67" t="s">
        <v>6173</v>
      </c>
      <c r="R162" s="67">
        <v>1</v>
      </c>
      <c r="S162" s="67" t="s">
        <v>6173</v>
      </c>
      <c r="T162" s="56">
        <v>294.45</v>
      </c>
      <c r="U162" s="103"/>
      <c r="V162" s="103">
        <v>16.38</v>
      </c>
      <c r="W162" s="103">
        <v>8689.8355679191682</v>
      </c>
      <c r="X162" s="103">
        <v>8689.8355679191682</v>
      </c>
      <c r="Y162" s="162">
        <v>1.53</v>
      </c>
      <c r="Z162" s="56">
        <v>3.4</v>
      </c>
      <c r="AA162" s="56"/>
      <c r="AB162" s="56">
        <v>3.19</v>
      </c>
      <c r="AC162" s="56">
        <v>0.39860000000000001</v>
      </c>
      <c r="AD162" s="56">
        <v>5.0999999999999996</v>
      </c>
      <c r="AE162" s="56">
        <v>6.46</v>
      </c>
      <c r="AF162" s="56">
        <f t="shared" si="51"/>
        <v>5.0999999999999996</v>
      </c>
      <c r="AG162" s="57">
        <v>5.0999999999999996</v>
      </c>
      <c r="AH162" s="103">
        <v>3.2399999999999999E-7</v>
      </c>
      <c r="AI162" s="103"/>
      <c r="AJ162" s="62">
        <f t="shared" si="47"/>
        <v>-4.8780213161060395</v>
      </c>
      <c r="AK162" s="62"/>
      <c r="AL162" s="62">
        <f t="shared" si="48"/>
        <v>-4.8780213161060395</v>
      </c>
      <c r="AM162" s="62">
        <v>-11.363960000000001</v>
      </c>
      <c r="AN162" s="154"/>
      <c r="AO162" s="410">
        <v>-3.29</v>
      </c>
      <c r="AP162" s="410"/>
      <c r="AQ162" s="56" t="s">
        <v>6311</v>
      </c>
      <c r="AR162" s="56" t="s">
        <v>6311</v>
      </c>
      <c r="AS162" s="155"/>
      <c r="AT162" s="58" t="s">
        <v>266</v>
      </c>
      <c r="AU162" s="56">
        <v>6</v>
      </c>
      <c r="AV162" s="56">
        <v>120</v>
      </c>
      <c r="AW162" s="56">
        <v>114</v>
      </c>
      <c r="AX162" s="56">
        <v>28</v>
      </c>
      <c r="AY162" s="56" t="s">
        <v>8728</v>
      </c>
      <c r="AZ162" s="56" t="s">
        <v>1563</v>
      </c>
      <c r="BA162" s="56">
        <v>32</v>
      </c>
      <c r="BB162" s="55" t="s">
        <v>2485</v>
      </c>
      <c r="BC162" s="55" t="s">
        <v>8726</v>
      </c>
      <c r="BD162" s="55" t="s">
        <v>8374</v>
      </c>
      <c r="BE162" s="56" t="s">
        <v>2449</v>
      </c>
      <c r="BF162" s="56" t="s">
        <v>272</v>
      </c>
      <c r="BG162" s="56" t="s">
        <v>272</v>
      </c>
      <c r="BH162" s="56" t="s">
        <v>2486</v>
      </c>
      <c r="BI162" s="153">
        <v>1.8844799999999998E-3</v>
      </c>
      <c r="BJ162" s="153">
        <v>18.844799999999999</v>
      </c>
      <c r="BK162" s="56"/>
      <c r="BL162" s="153">
        <v>13.374315335782061</v>
      </c>
      <c r="BM162" s="56" t="s">
        <v>2046</v>
      </c>
      <c r="BN162" s="56">
        <v>5959.2490064834992</v>
      </c>
      <c r="BO162" s="56"/>
      <c r="BP162" s="56"/>
      <c r="BQ162" s="56"/>
      <c r="BR162" s="55">
        <v>5.9478899999999992</v>
      </c>
      <c r="BS162" s="56"/>
      <c r="BT162" s="56"/>
      <c r="BU162" s="158"/>
      <c r="BV162" s="56"/>
      <c r="BW162" s="56"/>
      <c r="BX162" s="56"/>
      <c r="BY162" s="56"/>
      <c r="BZ162" s="56"/>
      <c r="CA162" s="56"/>
      <c r="CB162" s="56"/>
      <c r="CC162" s="56"/>
      <c r="CD162" s="56"/>
      <c r="CE162" s="56"/>
      <c r="CF162" s="56"/>
      <c r="CG162" s="56"/>
      <c r="CH162" s="56"/>
      <c r="CI162" s="103">
        <v>5.9478899999999992</v>
      </c>
      <c r="CJ162" s="103">
        <f t="shared" si="53"/>
        <v>0.77436292810231111</v>
      </c>
      <c r="CK162" s="57">
        <f t="shared" si="39"/>
        <v>0.70970853157274483</v>
      </c>
      <c r="CL162" s="160">
        <f t="shared" si="49"/>
        <v>2.2485814861710729</v>
      </c>
      <c r="CM162" s="160">
        <v>0.49692964807321482</v>
      </c>
      <c r="CN162" s="160">
        <f>BJ162/(10^CM162)</f>
        <v>6.001528662420383</v>
      </c>
      <c r="CO162" s="55" t="s">
        <v>2488</v>
      </c>
      <c r="CP162" s="497" t="s">
        <v>2489</v>
      </c>
      <c r="CQ162" s="149">
        <v>0.52357900056415452</v>
      </c>
      <c r="CR162" s="349">
        <f t="shared" si="52"/>
        <v>1.781492209603232</v>
      </c>
      <c r="CS162" s="61" t="s">
        <v>539</v>
      </c>
      <c r="CT162" s="61"/>
      <c r="CU162" s="111">
        <f t="shared" si="50"/>
        <v>1460.9946666665271</v>
      </c>
      <c r="CV162" s="331">
        <f t="shared" si="42"/>
        <v>461.12644166662255</v>
      </c>
      <c r="CW162" s="326">
        <f t="shared" si="54"/>
        <v>1</v>
      </c>
      <c r="CX162" s="326"/>
      <c r="CY162" s="161" t="s">
        <v>5921</v>
      </c>
    </row>
    <row r="163" spans="1:103" ht="11.25" customHeight="1" x14ac:dyDescent="0.2">
      <c r="A163" s="72">
        <v>248</v>
      </c>
      <c r="B163" s="149">
        <v>1054</v>
      </c>
      <c r="C163" s="54" t="s">
        <v>1021</v>
      </c>
      <c r="D163" s="54" t="s">
        <v>6502</v>
      </c>
      <c r="E163" s="59"/>
      <c r="F163" s="59" t="s">
        <v>1022</v>
      </c>
      <c r="G163" s="151">
        <v>5234684</v>
      </c>
      <c r="H163" s="55" t="s">
        <v>1023</v>
      </c>
      <c r="I163" s="55" t="s">
        <v>1023</v>
      </c>
      <c r="J163" s="55" t="s">
        <v>1024</v>
      </c>
      <c r="K163" s="55" t="s">
        <v>1025</v>
      </c>
      <c r="L163" s="55" t="s">
        <v>5929</v>
      </c>
      <c r="M163" s="55" t="s">
        <v>5963</v>
      </c>
      <c r="N163" s="60" t="s">
        <v>6381</v>
      </c>
      <c r="O163" s="55" t="s">
        <v>5964</v>
      </c>
      <c r="P163" s="67">
        <v>3</v>
      </c>
      <c r="Q163" s="67" t="s">
        <v>6173</v>
      </c>
      <c r="R163" s="67">
        <v>1</v>
      </c>
      <c r="S163" s="67" t="s">
        <v>6173</v>
      </c>
      <c r="T163" s="56">
        <v>235.3</v>
      </c>
      <c r="U163" s="103">
        <v>147</v>
      </c>
      <c r="V163" s="103">
        <v>423.7</v>
      </c>
      <c r="W163" s="103">
        <v>219.59473697753188</v>
      </c>
      <c r="X163" s="103">
        <v>147</v>
      </c>
      <c r="Y163" s="162">
        <v>7</v>
      </c>
      <c r="Z163" s="56">
        <v>1.49</v>
      </c>
      <c r="AA163" s="56">
        <v>2.14</v>
      </c>
      <c r="AB163" s="56">
        <v>1.93</v>
      </c>
      <c r="AC163" s="56">
        <v>0.79559999999999997</v>
      </c>
      <c r="AD163" s="56">
        <v>2.1800000000000002</v>
      </c>
      <c r="AE163" s="56">
        <v>3</v>
      </c>
      <c r="AF163" s="56">
        <f t="shared" si="51"/>
        <v>2.14</v>
      </c>
      <c r="AG163" s="57">
        <v>1.85</v>
      </c>
      <c r="AH163" s="103">
        <v>7.4599999999999993E-12</v>
      </c>
      <c r="AI163" s="103">
        <v>3.1999999999999998E-10</v>
      </c>
      <c r="AJ163" s="62">
        <f t="shared" si="47"/>
        <v>-9.5158274988399825</v>
      </c>
      <c r="AK163" s="62">
        <f>LOG10(AI163*1000/(0.08206*298.15))</f>
        <v>-7.8834163479927462</v>
      </c>
      <c r="AL163" s="62">
        <f t="shared" si="48"/>
        <v>-7.8834163479927462</v>
      </c>
      <c r="AM163" s="62">
        <v>-13.869820000000001</v>
      </c>
      <c r="AN163" s="154">
        <v>-8.64</v>
      </c>
      <c r="AO163" s="410">
        <v>14.31</v>
      </c>
      <c r="AP163" s="410">
        <v>0.49</v>
      </c>
      <c r="AQ163" s="56" t="s">
        <v>6311</v>
      </c>
      <c r="AR163" s="56" t="s">
        <v>6311</v>
      </c>
      <c r="AS163" s="155"/>
      <c r="AT163" s="58" t="s">
        <v>266</v>
      </c>
      <c r="AU163" s="56">
        <v>6</v>
      </c>
      <c r="AV163" s="56">
        <v>120</v>
      </c>
      <c r="AW163" s="56">
        <v>114</v>
      </c>
      <c r="AX163" s="56">
        <v>28</v>
      </c>
      <c r="AY163" s="56" t="s">
        <v>8728</v>
      </c>
      <c r="AZ163" s="56" t="s">
        <v>1563</v>
      </c>
      <c r="BA163" s="56">
        <v>32</v>
      </c>
      <c r="BB163" s="55" t="s">
        <v>2485</v>
      </c>
      <c r="BC163" s="55" t="s">
        <v>8726</v>
      </c>
      <c r="BD163" s="55" t="s">
        <v>8374</v>
      </c>
      <c r="BE163" s="56" t="s">
        <v>2449</v>
      </c>
      <c r="BF163" s="56" t="s">
        <v>272</v>
      </c>
      <c r="BG163" s="56" t="s">
        <v>272</v>
      </c>
      <c r="BH163" s="56" t="s">
        <v>2486</v>
      </c>
      <c r="BI163" s="153">
        <v>1.50592E-3</v>
      </c>
      <c r="BJ163" s="153">
        <v>15.059200000000001</v>
      </c>
      <c r="BK163" s="56"/>
      <c r="BL163" s="153">
        <v>554.94881347532248</v>
      </c>
      <c r="BM163" s="56" t="s">
        <v>2046</v>
      </c>
      <c r="BN163" s="56"/>
      <c r="BO163" s="56"/>
      <c r="BP163" s="56"/>
      <c r="BQ163" s="56"/>
      <c r="BR163" s="55">
        <v>4.6824700000000004</v>
      </c>
      <c r="BS163" s="56"/>
      <c r="BT163" s="56"/>
      <c r="BU163" s="158"/>
      <c r="BV163" s="56"/>
      <c r="BW163" s="56"/>
      <c r="BX163" s="56"/>
      <c r="BY163" s="56"/>
      <c r="BZ163" s="56"/>
      <c r="CA163" s="56"/>
      <c r="CB163" s="56"/>
      <c r="CC163" s="56"/>
      <c r="CD163" s="56"/>
      <c r="CE163" s="56"/>
      <c r="CF163" s="56"/>
      <c r="CG163" s="56"/>
      <c r="CH163" s="56"/>
      <c r="CI163" s="103">
        <v>4.6824700000000004</v>
      </c>
      <c r="CJ163" s="103">
        <f t="shared" si="53"/>
        <v>0.67047500358572798</v>
      </c>
      <c r="CK163" s="57">
        <f t="shared" si="39"/>
        <v>36.851148366136478</v>
      </c>
      <c r="CL163" s="160">
        <f t="shared" si="49"/>
        <v>118.51625605189621</v>
      </c>
      <c r="CM163" s="160">
        <v>0.53387857024969654</v>
      </c>
      <c r="CN163" s="160">
        <f>BJ163/(10^CM163)</f>
        <v>4.4047709609175083</v>
      </c>
      <c r="CO163" s="55" t="s">
        <v>2488</v>
      </c>
      <c r="CP163" s="497" t="s">
        <v>2489</v>
      </c>
      <c r="CQ163" s="149">
        <v>0.55203953188723331</v>
      </c>
      <c r="CR163" s="349">
        <f t="shared" si="52"/>
        <v>1.3135163157037726</v>
      </c>
      <c r="CS163" s="61" t="s">
        <v>539</v>
      </c>
      <c r="CT163" s="61"/>
      <c r="CU163" s="111">
        <f t="shared" si="50"/>
        <v>31.393687519621054</v>
      </c>
      <c r="CV163" s="331">
        <f t="shared" si="42"/>
        <v>9.7614747131321717</v>
      </c>
      <c r="CW163" s="326">
        <f t="shared" si="54"/>
        <v>1</v>
      </c>
      <c r="CX163" s="326"/>
      <c r="CY163" s="161" t="s">
        <v>5921</v>
      </c>
    </row>
    <row r="164" spans="1:103" ht="11.25" customHeight="1" x14ac:dyDescent="0.2">
      <c r="A164" s="72">
        <v>252</v>
      </c>
      <c r="B164" s="149">
        <v>1112</v>
      </c>
      <c r="C164" s="54" t="s">
        <v>1123</v>
      </c>
      <c r="D164" s="54" t="s">
        <v>6473</v>
      </c>
      <c r="E164" s="59"/>
      <c r="F164" s="59" t="s">
        <v>1124</v>
      </c>
      <c r="G164" s="151">
        <v>122394</v>
      </c>
      <c r="H164" s="55" t="s">
        <v>1125</v>
      </c>
      <c r="I164" s="55" t="s">
        <v>1125</v>
      </c>
      <c r="J164" s="55" t="s">
        <v>1126</v>
      </c>
      <c r="K164" s="55" t="s">
        <v>426</v>
      </c>
      <c r="L164" s="55" t="s">
        <v>5974</v>
      </c>
      <c r="M164" s="55" t="s">
        <v>6082</v>
      </c>
      <c r="N164" s="60" t="s">
        <v>6082</v>
      </c>
      <c r="O164" s="55" t="s">
        <v>6083</v>
      </c>
      <c r="P164" s="67">
        <v>3</v>
      </c>
      <c r="Q164" s="67" t="s">
        <v>6173</v>
      </c>
      <c r="R164" s="67">
        <v>1</v>
      </c>
      <c r="S164" s="67" t="s">
        <v>6173</v>
      </c>
      <c r="T164" s="56">
        <v>169.22</v>
      </c>
      <c r="U164" s="103">
        <v>52.999999999999993</v>
      </c>
      <c r="V164" s="103">
        <v>63.61</v>
      </c>
      <c r="W164" s="103">
        <v>189.86796283697805</v>
      </c>
      <c r="X164" s="103">
        <v>52.999999999999993</v>
      </c>
      <c r="Y164" s="162">
        <v>7</v>
      </c>
      <c r="Z164" s="56">
        <v>3.29</v>
      </c>
      <c r="AA164" s="56">
        <v>3.5</v>
      </c>
      <c r="AB164" s="56">
        <v>3.19</v>
      </c>
      <c r="AC164" s="56">
        <v>0.79549999999999998</v>
      </c>
      <c r="AD164" s="56">
        <v>3.12</v>
      </c>
      <c r="AE164" s="56">
        <v>2.97</v>
      </c>
      <c r="AF164" s="56">
        <f t="shared" si="51"/>
        <v>3.5</v>
      </c>
      <c r="AG164" s="57">
        <v>3.2</v>
      </c>
      <c r="AH164" s="103">
        <v>1.0499999999999999E-6</v>
      </c>
      <c r="AI164" s="103">
        <v>2.6900000000000001E-6</v>
      </c>
      <c r="AJ164" s="62">
        <f t="shared" si="47"/>
        <v>-4.3673770272427141</v>
      </c>
      <c r="AK164" s="62">
        <f>LOG10(AI164*1000/(0.08206*298.15))</f>
        <v>-3.9588140463102439</v>
      </c>
      <c r="AL164" s="62">
        <f t="shared" ref="AL164:AL165" si="55">IF(AK164=0,AJ164,AK164)</f>
        <v>-3.9588140463102439</v>
      </c>
      <c r="AM164" s="62">
        <v>-7.8134599999999992</v>
      </c>
      <c r="AN164" s="154">
        <v>-3.84</v>
      </c>
      <c r="AO164" s="410"/>
      <c r="AP164" s="410">
        <v>0.78</v>
      </c>
      <c r="AQ164" s="56" t="s">
        <v>6311</v>
      </c>
      <c r="AR164" s="56" t="s">
        <v>6311</v>
      </c>
      <c r="AS164" s="155"/>
      <c r="AT164" s="58" t="s">
        <v>266</v>
      </c>
      <c r="AU164" s="56">
        <v>6</v>
      </c>
      <c r="AV164" s="56">
        <v>120</v>
      </c>
      <c r="AW164" s="56">
        <v>114</v>
      </c>
      <c r="AX164" s="56">
        <v>28</v>
      </c>
      <c r="AY164" s="56" t="s">
        <v>8728</v>
      </c>
      <c r="AZ164" s="56" t="s">
        <v>1563</v>
      </c>
      <c r="BA164" s="56">
        <v>32</v>
      </c>
      <c r="BB164" s="55" t="s">
        <v>2485</v>
      </c>
      <c r="BC164" s="55" t="s">
        <v>8726</v>
      </c>
      <c r="BD164" s="55" t="s">
        <v>8374</v>
      </c>
      <c r="BE164" s="56" t="s">
        <v>2449</v>
      </c>
      <c r="BF164" s="56" t="s">
        <v>272</v>
      </c>
      <c r="BG164" s="56" t="s">
        <v>272</v>
      </c>
      <c r="BH164" s="56" t="s">
        <v>2486</v>
      </c>
      <c r="BI164" s="153">
        <v>1.0830079999999999E-3</v>
      </c>
      <c r="BJ164" s="153">
        <v>10.830080000000001</v>
      </c>
      <c r="BK164" s="56"/>
      <c r="BL164" s="153">
        <v>9.6494529020100828</v>
      </c>
      <c r="BM164" s="56" t="s">
        <v>2046</v>
      </c>
      <c r="BN164" s="56"/>
      <c r="BO164" s="56"/>
      <c r="BP164" s="56"/>
      <c r="BQ164" s="56"/>
      <c r="BR164" s="55">
        <v>3.0967259999999999</v>
      </c>
      <c r="BS164" s="56"/>
      <c r="BT164" s="56"/>
      <c r="BU164" s="158"/>
      <c r="BV164" s="56"/>
      <c r="BW164" s="56"/>
      <c r="BX164" s="56"/>
      <c r="BY164" s="56"/>
      <c r="BZ164" s="56"/>
      <c r="CA164" s="56"/>
      <c r="CB164" s="56"/>
      <c r="CC164" s="56"/>
      <c r="CD164" s="56"/>
      <c r="CE164" s="56"/>
      <c r="CF164" s="56"/>
      <c r="CG164" s="56"/>
      <c r="CH164" s="56"/>
      <c r="CI164" s="103">
        <v>3.0967259999999999</v>
      </c>
      <c r="CJ164" s="103">
        <f t="shared" si="53"/>
        <v>0.49090278044482938</v>
      </c>
      <c r="CK164" s="57">
        <f t="shared" ref="CK164:CK227" si="56">BL164/BJ164</f>
        <v>0.89098629945578267</v>
      </c>
      <c r="CL164" s="160">
        <f t="shared" ref="CL164:CL195" si="57">BL164/CI164</f>
        <v>3.1160176592989122</v>
      </c>
      <c r="CM164" s="160">
        <v>0.45822697427496256</v>
      </c>
      <c r="CN164" s="160">
        <f>BJ164/(10^CM164)</f>
        <v>3.7705498804253677</v>
      </c>
      <c r="CO164" s="55" t="s">
        <v>2488</v>
      </c>
      <c r="CP164" s="497" t="s">
        <v>2489</v>
      </c>
      <c r="CQ164" s="149">
        <v>0.49836438617266582</v>
      </c>
      <c r="CR164" s="349">
        <f t="shared" si="52"/>
        <v>0.98296576930809498</v>
      </c>
      <c r="CS164" s="61" t="s">
        <v>539</v>
      </c>
      <c r="CT164" s="61"/>
      <c r="CU164" s="111">
        <f t="shared" ref="CU164:CU195" si="58">X164/CI164</f>
        <v>17.114849683181525</v>
      </c>
      <c r="CV164" s="331">
        <f t="shared" ref="CV164:CV227" si="59">X164/BJ164</f>
        <v>4.893777331284717</v>
      </c>
      <c r="CW164" s="326">
        <f t="shared" si="54"/>
        <v>1</v>
      </c>
      <c r="CX164" s="326"/>
      <c r="CY164" s="161" t="s">
        <v>6351</v>
      </c>
    </row>
    <row r="165" spans="1:103" ht="11.25" customHeight="1" x14ac:dyDescent="0.2">
      <c r="A165" s="72">
        <v>261</v>
      </c>
      <c r="B165" s="149">
        <v>1060</v>
      </c>
      <c r="C165" s="54" t="s">
        <v>1031</v>
      </c>
      <c r="D165" s="54" t="s">
        <v>6494</v>
      </c>
      <c r="E165" s="59"/>
      <c r="F165" s="59" t="s">
        <v>1032</v>
      </c>
      <c r="G165" s="151">
        <v>1897456</v>
      </c>
      <c r="H165" s="55" t="s">
        <v>1033</v>
      </c>
      <c r="I165" s="55"/>
      <c r="J165" s="55" t="s">
        <v>1034</v>
      </c>
      <c r="K165" s="55" t="s">
        <v>426</v>
      </c>
      <c r="L165" s="55" t="s">
        <v>5929</v>
      </c>
      <c r="M165" s="55" t="s">
        <v>8509</v>
      </c>
      <c r="N165" s="60" t="s">
        <v>6383</v>
      </c>
      <c r="O165" s="55" t="s">
        <v>1035</v>
      </c>
      <c r="P165" s="67">
        <v>3</v>
      </c>
      <c r="Q165" s="67" t="s">
        <v>6173</v>
      </c>
      <c r="R165" s="67">
        <v>1</v>
      </c>
      <c r="S165" s="67" t="s">
        <v>6173</v>
      </c>
      <c r="T165" s="56">
        <v>265.91000000000003</v>
      </c>
      <c r="U165" s="103">
        <v>0.81</v>
      </c>
      <c r="V165" s="103">
        <v>26.01</v>
      </c>
      <c r="W165" s="103">
        <v>1.8396477347705402</v>
      </c>
      <c r="X165" s="103">
        <v>0.81</v>
      </c>
      <c r="Y165" s="162">
        <v>7</v>
      </c>
      <c r="Z165" s="56">
        <v>3.66</v>
      </c>
      <c r="AA165" s="56">
        <v>3.05</v>
      </c>
      <c r="AB165" s="56">
        <v>3.2</v>
      </c>
      <c r="AC165" s="56">
        <v>0.76400000000000001</v>
      </c>
      <c r="AD165" s="56">
        <v>3.12</v>
      </c>
      <c r="AE165" s="56">
        <v>2.88</v>
      </c>
      <c r="AF165" s="56">
        <f t="shared" si="51"/>
        <v>3.05</v>
      </c>
      <c r="AG165" s="57">
        <v>4.17</v>
      </c>
      <c r="AH165" s="103">
        <v>1.5200000000000001E-7</v>
      </c>
      <c r="AI165" s="103">
        <v>1.9999999999999999E-6</v>
      </c>
      <c r="AJ165" s="62">
        <f t="shared" si="47"/>
        <v>-5.2067227383678789</v>
      </c>
      <c r="AK165" s="62">
        <f>LOG10(AI165*1000/(0.08206*298.15))</f>
        <v>-4.0875363306486703</v>
      </c>
      <c r="AL165" s="62">
        <f t="shared" si="55"/>
        <v>-4.0875363306486703</v>
      </c>
      <c r="AM165" s="62">
        <v>-8.3957800000000002</v>
      </c>
      <c r="AN165" s="154">
        <v>-5.47</v>
      </c>
      <c r="AO165" s="410"/>
      <c r="AP165" s="410"/>
      <c r="AQ165" s="56" t="s">
        <v>6311</v>
      </c>
      <c r="AR165" s="56" t="s">
        <v>6311</v>
      </c>
      <c r="AS165" s="155"/>
      <c r="AT165" s="58" t="s">
        <v>266</v>
      </c>
      <c r="AU165" s="56">
        <v>6</v>
      </c>
      <c r="AV165" s="56">
        <v>120</v>
      </c>
      <c r="AW165" s="56">
        <v>114</v>
      </c>
      <c r="AX165" s="56">
        <v>28</v>
      </c>
      <c r="AY165" s="56" t="s">
        <v>8728</v>
      </c>
      <c r="AZ165" s="56" t="s">
        <v>1563</v>
      </c>
      <c r="BA165" s="56">
        <v>32</v>
      </c>
      <c r="BB165" s="55" t="s">
        <v>2485</v>
      </c>
      <c r="BC165" s="55" t="s">
        <v>8726</v>
      </c>
      <c r="BD165" s="55" t="s">
        <v>8374</v>
      </c>
      <c r="BE165" s="56" t="s">
        <v>2449</v>
      </c>
      <c r="BF165" s="56" t="s">
        <v>272</v>
      </c>
      <c r="BG165" s="56" t="s">
        <v>272</v>
      </c>
      <c r="BH165" s="56" t="s">
        <v>2486</v>
      </c>
      <c r="BI165" s="153">
        <v>1.701824E-3</v>
      </c>
      <c r="BJ165" s="153">
        <v>17.018240000000002</v>
      </c>
      <c r="BK165" s="56"/>
      <c r="BL165" s="153">
        <v>7.0548643891683938</v>
      </c>
      <c r="BM165" s="56" t="s">
        <v>2046</v>
      </c>
      <c r="BN165" s="56">
        <v>5381.6400180473001</v>
      </c>
      <c r="BO165" s="56"/>
      <c r="BP165" s="56"/>
      <c r="BQ165" s="56"/>
      <c r="BR165" s="55">
        <v>4.1216050000000006</v>
      </c>
      <c r="BS165" s="56"/>
      <c r="BT165" s="56"/>
      <c r="BU165" s="158"/>
      <c r="BV165" s="56"/>
      <c r="BW165" s="56"/>
      <c r="BX165" s="56"/>
      <c r="BY165" s="56"/>
      <c r="BZ165" s="56"/>
      <c r="CA165" s="56"/>
      <c r="CB165" s="56"/>
      <c r="CC165" s="56"/>
      <c r="CD165" s="56"/>
      <c r="CE165" s="56"/>
      <c r="CF165" s="56"/>
      <c r="CG165" s="56"/>
      <c r="CH165" s="56"/>
      <c r="CI165" s="103">
        <v>4.1216050000000006</v>
      </c>
      <c r="CJ165" s="103">
        <f t="shared" si="53"/>
        <v>0.61506636819518723</v>
      </c>
      <c r="CK165" s="57">
        <f t="shared" si="56"/>
        <v>0.41454723809091848</v>
      </c>
      <c r="CL165" s="160">
        <f t="shared" si="57"/>
        <v>1.7116789185689538</v>
      </c>
      <c r="CM165" s="160">
        <v>-1.645891560852599</v>
      </c>
      <c r="CN165" s="160">
        <f>BJ165/(10^CM165)</f>
        <v>753.0194690265489</v>
      </c>
      <c r="CO165" s="55" t="s">
        <v>2488</v>
      </c>
      <c r="CP165" s="497" t="s">
        <v>2489</v>
      </c>
      <c r="CQ165" s="149">
        <v>-1.1272092997656173</v>
      </c>
      <c r="CR165" s="349">
        <f t="shared" si="52"/>
        <v>55.242798108982448</v>
      </c>
      <c r="CS165" s="61" t="s">
        <v>539</v>
      </c>
      <c r="CT165" s="61"/>
      <c r="CU165" s="111">
        <f t="shared" si="58"/>
        <v>0.19652538270892042</v>
      </c>
      <c r="CV165" s="331">
        <f t="shared" si="59"/>
        <v>4.7595991124816661E-2</v>
      </c>
      <c r="CW165" s="326">
        <f t="shared" si="54"/>
        <v>0</v>
      </c>
      <c r="CX165" s="326"/>
      <c r="CY165" s="161" t="s">
        <v>5921</v>
      </c>
    </row>
    <row r="166" spans="1:103" ht="11.25" customHeight="1" x14ac:dyDescent="0.2">
      <c r="A166" s="72">
        <v>268</v>
      </c>
      <c r="B166" s="149">
        <v>1607</v>
      </c>
      <c r="C166" s="54" t="s">
        <v>3822</v>
      </c>
      <c r="D166" s="54"/>
      <c r="E166" s="59"/>
      <c r="F166" s="59" t="s">
        <v>3823</v>
      </c>
      <c r="G166" s="151">
        <v>43222486</v>
      </c>
      <c r="H166" s="55" t="s">
        <v>3824</v>
      </c>
      <c r="I166" s="55" t="s">
        <v>8126</v>
      </c>
      <c r="J166" s="55" t="s">
        <v>3825</v>
      </c>
      <c r="K166" s="55" t="s">
        <v>1594</v>
      </c>
      <c r="L166" s="55"/>
      <c r="M166" s="55"/>
      <c r="N166" s="60"/>
      <c r="O166" s="55"/>
      <c r="P166" s="67">
        <v>3</v>
      </c>
      <c r="Q166" s="67" t="s">
        <v>6173</v>
      </c>
      <c r="R166" s="67">
        <v>1</v>
      </c>
      <c r="S166" s="67" t="s">
        <v>6173</v>
      </c>
      <c r="T166" s="56">
        <v>360.44</v>
      </c>
      <c r="U166" s="103">
        <v>816999.99999999988</v>
      </c>
      <c r="V166" s="103">
        <v>1492</v>
      </c>
      <c r="W166" s="103"/>
      <c r="X166" s="103">
        <v>816999.99999999988</v>
      </c>
      <c r="Y166" s="162"/>
      <c r="Z166" s="56">
        <v>-0.02</v>
      </c>
      <c r="AA166" s="56">
        <v>0.65</v>
      </c>
      <c r="AB166" s="56"/>
      <c r="AC166" s="56"/>
      <c r="AD166" s="56"/>
      <c r="AE166" s="56"/>
      <c r="AF166" s="56">
        <f t="shared" si="51"/>
        <v>0.65</v>
      </c>
      <c r="AG166" s="57">
        <v>3.23</v>
      </c>
      <c r="AH166" s="103"/>
      <c r="AI166" s="103"/>
      <c r="AJ166" s="62"/>
      <c r="AK166" s="62"/>
      <c r="AL166" s="62"/>
      <c r="AM166" s="62"/>
      <c r="AN166" s="154">
        <v>-4.04</v>
      </c>
      <c r="AO166" s="410"/>
      <c r="AP166" s="410"/>
      <c r="AQ166" s="56" t="s">
        <v>6311</v>
      </c>
      <c r="AR166" s="56" t="s">
        <v>6311</v>
      </c>
      <c r="AS166" s="155"/>
      <c r="AT166" s="58" t="s">
        <v>266</v>
      </c>
      <c r="AU166" s="56">
        <v>6</v>
      </c>
      <c r="AV166" s="56">
        <v>120</v>
      </c>
      <c r="AW166" s="56">
        <v>114</v>
      </c>
      <c r="AX166" s="56">
        <v>28</v>
      </c>
      <c r="AY166" s="56" t="s">
        <v>8728</v>
      </c>
      <c r="AZ166" s="56" t="s">
        <v>1563</v>
      </c>
      <c r="BA166" s="56">
        <v>32</v>
      </c>
      <c r="BB166" s="55" t="s">
        <v>2485</v>
      </c>
      <c r="BC166" s="55" t="s">
        <v>8726</v>
      </c>
      <c r="BD166" s="55" t="s">
        <v>8374</v>
      </c>
      <c r="BE166" s="56" t="s">
        <v>2449</v>
      </c>
      <c r="BF166" s="56" t="s">
        <v>272</v>
      </c>
      <c r="BG166" s="56" t="s">
        <v>272</v>
      </c>
      <c r="BH166" s="56" t="s">
        <v>2486</v>
      </c>
      <c r="BI166" s="153">
        <v>2.3068159999999997E-3</v>
      </c>
      <c r="BJ166" s="153">
        <v>23.068159999999999</v>
      </c>
      <c r="BK166" s="56"/>
      <c r="BL166" s="153">
        <v>19301.674212674818</v>
      </c>
      <c r="BM166" s="55" t="s">
        <v>2487</v>
      </c>
      <c r="BN166" s="56"/>
      <c r="BO166" s="56"/>
      <c r="BP166" s="56"/>
      <c r="BQ166" s="56"/>
      <c r="BR166" s="55">
        <v>7.2947926938799998</v>
      </c>
      <c r="BS166" s="56"/>
      <c r="BT166" s="56"/>
      <c r="BU166" s="158"/>
      <c r="BV166" s="56"/>
      <c r="BW166" s="56"/>
      <c r="BX166" s="56"/>
      <c r="BY166" s="56"/>
      <c r="BZ166" s="56"/>
      <c r="CA166" s="56"/>
      <c r="CB166" s="56"/>
      <c r="CC166" s="56"/>
      <c r="CD166" s="56"/>
      <c r="CE166" s="56"/>
      <c r="CF166" s="56"/>
      <c r="CG166" s="56"/>
      <c r="CH166" s="56"/>
      <c r="CI166" s="103">
        <v>7.2947926938799998</v>
      </c>
      <c r="CJ166" s="103">
        <f t="shared" si="53"/>
        <v>0.86301295446343218</v>
      </c>
      <c r="CK166" s="57">
        <f t="shared" si="56"/>
        <v>836.72361439641566</v>
      </c>
      <c r="CL166" s="160">
        <f t="shared" si="57"/>
        <v>2645.9523968197268</v>
      </c>
      <c r="CM166" s="160"/>
      <c r="CN166" s="160"/>
      <c r="CO166" s="55" t="s">
        <v>2488</v>
      </c>
      <c r="CP166" s="497" t="s">
        <v>2489</v>
      </c>
      <c r="CQ166" s="149" t="s">
        <v>272</v>
      </c>
      <c r="CR166" s="349"/>
      <c r="CS166" s="61" t="s">
        <v>539</v>
      </c>
      <c r="CT166" s="61"/>
      <c r="CU166" s="111">
        <f t="shared" si="58"/>
        <v>111997.69949397272</v>
      </c>
      <c r="CV166" s="331">
        <f t="shared" si="59"/>
        <v>35416.782266119182</v>
      </c>
      <c r="CW166" s="326">
        <f t="shared" si="54"/>
        <v>1</v>
      </c>
      <c r="CX166" s="326"/>
      <c r="CY166" s="161" t="s">
        <v>5921</v>
      </c>
    </row>
    <row r="167" spans="1:103" ht="11.25" customHeight="1" x14ac:dyDescent="0.2">
      <c r="A167" s="72">
        <v>275</v>
      </c>
      <c r="B167" s="149">
        <v>1160</v>
      </c>
      <c r="C167" s="54" t="s">
        <v>3205</v>
      </c>
      <c r="D167" s="54"/>
      <c r="E167" s="59"/>
      <c r="F167" s="59" t="s">
        <v>3206</v>
      </c>
      <c r="G167" s="151">
        <v>52806538</v>
      </c>
      <c r="H167" s="55" t="s">
        <v>3207</v>
      </c>
      <c r="I167" s="55" t="s">
        <v>8320</v>
      </c>
      <c r="J167" s="55" t="s">
        <v>3208</v>
      </c>
      <c r="K167" s="55" t="s">
        <v>471</v>
      </c>
      <c r="L167" s="55"/>
      <c r="M167" s="55"/>
      <c r="N167" s="60"/>
      <c r="O167" s="55"/>
      <c r="P167" s="67">
        <v>3</v>
      </c>
      <c r="Q167" s="67" t="s">
        <v>6173</v>
      </c>
      <c r="R167" s="67">
        <v>1</v>
      </c>
      <c r="S167" s="67" t="s">
        <v>6173</v>
      </c>
      <c r="T167" s="56">
        <v>292.20999999999998</v>
      </c>
      <c r="U167" s="103"/>
      <c r="V167" s="103">
        <v>27.450000000000003</v>
      </c>
      <c r="W167" s="103">
        <v>193.06123244229948</v>
      </c>
      <c r="X167" s="103">
        <v>193.06123244229948</v>
      </c>
      <c r="Y167" s="162">
        <v>7</v>
      </c>
      <c r="Z167" s="56">
        <v>2.8</v>
      </c>
      <c r="AA167" s="56">
        <v>2.7</v>
      </c>
      <c r="AB167" s="56">
        <v>2.35</v>
      </c>
      <c r="AC167" s="56">
        <v>0.85829999999999995</v>
      </c>
      <c r="AD167" s="56">
        <v>2.52</v>
      </c>
      <c r="AE167" s="56">
        <v>3.16</v>
      </c>
      <c r="AF167" s="56">
        <f t="shared" si="51"/>
        <v>2.7</v>
      </c>
      <c r="AG167" s="57">
        <v>1.61</v>
      </c>
      <c r="AH167" s="103">
        <v>5.8200000000000003E-11</v>
      </c>
      <c r="AI167" s="103"/>
      <c r="AJ167" s="62">
        <f>LOG10(AH167*1000/(0.08206*298.15))</f>
        <v>-8.6236433416627634</v>
      </c>
      <c r="AK167" s="62"/>
      <c r="AL167" s="62">
        <f>IF(AK167=0,AJ167,AK167)</f>
        <v>-8.6236433416627634</v>
      </c>
      <c r="AM167" s="62">
        <v>-13.451649999999999</v>
      </c>
      <c r="AN167" s="154">
        <v>-8.6</v>
      </c>
      <c r="AO167" s="410">
        <v>12.87</v>
      </c>
      <c r="AP167" s="410">
        <v>-4.5999999999999996</v>
      </c>
      <c r="AQ167" s="56" t="s">
        <v>6311</v>
      </c>
      <c r="AR167" s="56" t="s">
        <v>6311</v>
      </c>
      <c r="AS167" s="155"/>
      <c r="AT167" s="58" t="s">
        <v>266</v>
      </c>
      <c r="AU167" s="56">
        <v>6</v>
      </c>
      <c r="AV167" s="56">
        <v>120</v>
      </c>
      <c r="AW167" s="56">
        <v>114</v>
      </c>
      <c r="AX167" s="56">
        <v>28</v>
      </c>
      <c r="AY167" s="56" t="s">
        <v>8728</v>
      </c>
      <c r="AZ167" s="56" t="s">
        <v>1563</v>
      </c>
      <c r="BA167" s="56">
        <v>32</v>
      </c>
      <c r="BB167" s="55" t="s">
        <v>2485</v>
      </c>
      <c r="BC167" s="55" t="s">
        <v>8726</v>
      </c>
      <c r="BD167" s="55" t="s">
        <v>8374</v>
      </c>
      <c r="BE167" s="56" t="s">
        <v>2449</v>
      </c>
      <c r="BF167" s="56" t="s">
        <v>272</v>
      </c>
      <c r="BG167" s="56" t="s">
        <v>272</v>
      </c>
      <c r="BH167" s="56" t="s">
        <v>2486</v>
      </c>
      <c r="BI167" s="153">
        <v>1.8701439999999998E-3</v>
      </c>
      <c r="BJ167" s="153">
        <v>18.701439999999998</v>
      </c>
      <c r="BK167" s="56"/>
      <c r="BL167" s="153">
        <v>45.900252461861207</v>
      </c>
      <c r="BM167" s="56" t="s">
        <v>2487</v>
      </c>
      <c r="BN167" s="56"/>
      <c r="BO167" s="56"/>
      <c r="BP167" s="56"/>
      <c r="BQ167" s="56"/>
      <c r="BR167" s="55">
        <v>2.9569574386899999</v>
      </c>
      <c r="BS167" s="56"/>
      <c r="BT167" s="56"/>
      <c r="BU167" s="158"/>
      <c r="BV167" s="56"/>
      <c r="BW167" s="56"/>
      <c r="BX167" s="56"/>
      <c r="BY167" s="56"/>
      <c r="BZ167" s="56"/>
      <c r="CA167" s="56"/>
      <c r="CB167" s="56"/>
      <c r="CC167" s="56"/>
      <c r="CD167" s="56"/>
      <c r="CE167" s="56"/>
      <c r="CF167" s="56"/>
      <c r="CG167" s="56"/>
      <c r="CH167" s="56"/>
      <c r="CI167" s="103">
        <v>2.9569574386899999</v>
      </c>
      <c r="CJ167" s="103">
        <f t="shared" si="53"/>
        <v>0.47084507350308696</v>
      </c>
      <c r="CK167" s="57">
        <f t="shared" si="56"/>
        <v>2.4543699555681924</v>
      </c>
      <c r="CL167" s="160">
        <f t="shared" si="57"/>
        <v>15.522797812807232</v>
      </c>
      <c r="CM167" s="160"/>
      <c r="CN167" s="160"/>
      <c r="CO167" s="55" t="s">
        <v>2488</v>
      </c>
      <c r="CP167" s="497" t="s">
        <v>2489</v>
      </c>
      <c r="CQ167" s="149" t="s">
        <v>272</v>
      </c>
      <c r="CR167" s="349"/>
      <c r="CS167" s="61" t="s">
        <v>539</v>
      </c>
      <c r="CT167" s="61"/>
      <c r="CU167" s="111">
        <f t="shared" si="58"/>
        <v>65.290500944048091</v>
      </c>
      <c r="CV167" s="331">
        <f t="shared" si="59"/>
        <v>10.323335125118682</v>
      </c>
      <c r="CW167" s="326">
        <f t="shared" si="54"/>
        <v>1</v>
      </c>
      <c r="CX167" s="326"/>
      <c r="CY167" s="161" t="s">
        <v>5921</v>
      </c>
    </row>
    <row r="168" spans="1:103" ht="11.25" customHeight="1" x14ac:dyDescent="0.2">
      <c r="A168" s="72">
        <v>279</v>
      </c>
      <c r="B168" s="149">
        <v>1288</v>
      </c>
      <c r="C168" s="54" t="s">
        <v>3540</v>
      </c>
      <c r="D168" s="54"/>
      <c r="E168" s="59"/>
      <c r="F168" s="59" t="s">
        <v>3541</v>
      </c>
      <c r="G168" s="151">
        <v>54965241</v>
      </c>
      <c r="H168" s="55" t="s">
        <v>3542</v>
      </c>
      <c r="I168" s="55" t="s">
        <v>7757</v>
      </c>
      <c r="J168" s="55" t="s">
        <v>3543</v>
      </c>
      <c r="K168" s="55" t="s">
        <v>471</v>
      </c>
      <c r="L168" s="55"/>
      <c r="M168" s="55"/>
      <c r="N168" s="60"/>
      <c r="O168" s="55"/>
      <c r="P168" s="67">
        <v>3</v>
      </c>
      <c r="Q168" s="67" t="s">
        <v>6173</v>
      </c>
      <c r="R168" s="67">
        <v>1</v>
      </c>
      <c r="S168" s="67" t="s">
        <v>6173</v>
      </c>
      <c r="T168" s="56">
        <v>355.47</v>
      </c>
      <c r="U168" s="103"/>
      <c r="V168" s="103">
        <v>9.3010000000000002</v>
      </c>
      <c r="W168" s="103">
        <v>195.34529443016984</v>
      </c>
      <c r="X168" s="103">
        <v>195.34529443016984</v>
      </c>
      <c r="Y168" s="162">
        <v>9.9600000000000009</v>
      </c>
      <c r="Z168" s="56">
        <v>3.27</v>
      </c>
      <c r="AA168" s="56"/>
      <c r="AB168" s="56">
        <v>3.06</v>
      </c>
      <c r="AC168" s="56">
        <v>0.64929999999999999</v>
      </c>
      <c r="AD168" s="56">
        <v>3.41</v>
      </c>
      <c r="AE168" s="56">
        <v>3.89</v>
      </c>
      <c r="AF168" s="56">
        <f t="shared" si="51"/>
        <v>3.41</v>
      </c>
      <c r="AG168" s="57">
        <v>4.25</v>
      </c>
      <c r="AH168" s="103">
        <v>2.1300000000000001E-16</v>
      </c>
      <c r="AI168" s="103"/>
      <c r="AJ168" s="62">
        <f>LOG10(AH168*1000/(0.08206*298.15))</f>
        <v>-14.060186722873913</v>
      </c>
      <c r="AK168" s="62"/>
      <c r="AL168" s="62">
        <f>IF(AK168=0,AJ168,AK168)</f>
        <v>-14.060186722873913</v>
      </c>
      <c r="AM168" s="62">
        <v>-18.4193</v>
      </c>
      <c r="AN168" s="154">
        <v>-28.7</v>
      </c>
      <c r="AO168" s="410"/>
      <c r="AP168" s="410">
        <v>9.2799999999999994</v>
      </c>
      <c r="AQ168" s="56" t="s">
        <v>6311</v>
      </c>
      <c r="AR168" s="56" t="s">
        <v>6311</v>
      </c>
      <c r="AS168" s="155"/>
      <c r="AT168" s="58" t="s">
        <v>266</v>
      </c>
      <c r="AU168" s="56">
        <v>6</v>
      </c>
      <c r="AV168" s="56">
        <v>120</v>
      </c>
      <c r="AW168" s="56">
        <v>114</v>
      </c>
      <c r="AX168" s="56">
        <v>28</v>
      </c>
      <c r="AY168" s="56" t="s">
        <v>8728</v>
      </c>
      <c r="AZ168" s="56" t="s">
        <v>1563</v>
      </c>
      <c r="BA168" s="56">
        <v>32</v>
      </c>
      <c r="BB168" s="55" t="s">
        <v>2485</v>
      </c>
      <c r="BC168" s="55" t="s">
        <v>8726</v>
      </c>
      <c r="BD168" s="55" t="s">
        <v>8374</v>
      </c>
      <c r="BE168" s="56" t="s">
        <v>2449</v>
      </c>
      <c r="BF168" s="56" t="s">
        <v>272</v>
      </c>
      <c r="BG168" s="56" t="s">
        <v>272</v>
      </c>
      <c r="BH168" s="56" t="s">
        <v>2486</v>
      </c>
      <c r="BI168" s="153">
        <v>2.2750080000000002E-3</v>
      </c>
      <c r="BJ168" s="153">
        <v>22.750080000000001</v>
      </c>
      <c r="BK168" s="56"/>
      <c r="BL168" s="153">
        <v>21.125935728284091</v>
      </c>
      <c r="BM168" s="56" t="s">
        <v>2046</v>
      </c>
      <c r="BN168" s="56"/>
      <c r="BO168" s="56"/>
      <c r="BP168" s="56"/>
      <c r="BQ168" s="56"/>
      <c r="BR168" s="55">
        <v>6.5826993900600002</v>
      </c>
      <c r="BS168" s="56"/>
      <c r="BT168" s="56"/>
      <c r="BU168" s="158"/>
      <c r="BV168" s="56"/>
      <c r="BW168" s="56"/>
      <c r="BX168" s="56"/>
      <c r="BY168" s="56"/>
      <c r="BZ168" s="56"/>
      <c r="CA168" s="56"/>
      <c r="CB168" s="56"/>
      <c r="CC168" s="56"/>
      <c r="CD168" s="56"/>
      <c r="CE168" s="56"/>
      <c r="CF168" s="56"/>
      <c r="CG168" s="56"/>
      <c r="CH168" s="56"/>
      <c r="CI168" s="103">
        <v>6.5826993900600002</v>
      </c>
      <c r="CJ168" s="103">
        <f t="shared" si="53"/>
        <v>0.818404022763495</v>
      </c>
      <c r="CK168" s="57">
        <f t="shared" si="56"/>
        <v>0.92860929404573922</v>
      </c>
      <c r="CL168" s="160">
        <f t="shared" si="57"/>
        <v>3.2093119367086169</v>
      </c>
      <c r="CM168" s="160"/>
      <c r="CN168" s="160"/>
      <c r="CO168" s="55" t="s">
        <v>2488</v>
      </c>
      <c r="CP168" s="497" t="s">
        <v>2489</v>
      </c>
      <c r="CQ168" s="149" t="s">
        <v>272</v>
      </c>
      <c r="CR168" s="349"/>
      <c r="CS168" s="61" t="s">
        <v>539</v>
      </c>
      <c r="CT168" s="61"/>
      <c r="CU168" s="111">
        <f t="shared" si="58"/>
        <v>29.67556056488694</v>
      </c>
      <c r="CV168" s="331">
        <f t="shared" si="59"/>
        <v>8.5865761540253853</v>
      </c>
      <c r="CW168" s="326">
        <f t="shared" si="54"/>
        <v>1</v>
      </c>
      <c r="CX168" s="326"/>
      <c r="CY168" s="161" t="s">
        <v>5921</v>
      </c>
    </row>
    <row r="169" spans="1:103" ht="11.25" customHeight="1" x14ac:dyDescent="0.2">
      <c r="A169" s="72">
        <v>293</v>
      </c>
      <c r="B169" s="149">
        <v>93</v>
      </c>
      <c r="C169" s="54" t="s">
        <v>3660</v>
      </c>
      <c r="D169" s="54" t="s">
        <v>6479</v>
      </c>
      <c r="E169" s="59"/>
      <c r="F169" s="59" t="s">
        <v>3661</v>
      </c>
      <c r="G169" s="151">
        <v>137304</v>
      </c>
      <c r="H169" s="55" t="s">
        <v>3662</v>
      </c>
      <c r="I169" s="55" t="s">
        <v>3662</v>
      </c>
      <c r="J169" s="169" t="s">
        <v>3663</v>
      </c>
      <c r="K169" s="55" t="s">
        <v>403</v>
      </c>
      <c r="L169" s="55" t="s">
        <v>5929</v>
      </c>
      <c r="M169" s="55" t="s">
        <v>1515</v>
      </c>
      <c r="N169" s="60" t="s">
        <v>6382</v>
      </c>
      <c r="O169" s="65" t="s">
        <v>1516</v>
      </c>
      <c r="P169" s="67">
        <v>3</v>
      </c>
      <c r="Q169" s="67" t="s">
        <v>6173</v>
      </c>
      <c r="R169" s="67">
        <v>1</v>
      </c>
      <c r="S169" s="67" t="s">
        <v>6173</v>
      </c>
      <c r="T169" s="170">
        <v>305.81</v>
      </c>
      <c r="U169" s="407">
        <v>65</v>
      </c>
      <c r="V169" s="103">
        <v>10300</v>
      </c>
      <c r="W169" s="103"/>
      <c r="X169" s="407">
        <v>65</v>
      </c>
      <c r="Y169" s="162"/>
      <c r="Z169" s="56">
        <v>1.1399999999999999</v>
      </c>
      <c r="AA169" s="56">
        <v>1.23</v>
      </c>
      <c r="AB169" s="56"/>
      <c r="AC169" s="56"/>
      <c r="AD169" s="56"/>
      <c r="AE169" s="56"/>
      <c r="AF169" s="56">
        <f t="shared" si="51"/>
        <v>1.23</v>
      </c>
      <c r="AG169" s="56" t="s">
        <v>404</v>
      </c>
      <c r="AH169" s="103">
        <v>1.74E-9</v>
      </c>
      <c r="AI169" s="103">
        <v>6.1900000000000003E-10</v>
      </c>
      <c r="AJ169" s="62">
        <f>LOG10(AH169*1000/(0.08206*298.15))</f>
        <v>-7.148017078030052</v>
      </c>
      <c r="AK169" s="62">
        <f>LOG10(AI169*1000/(0.08206*298.15))</f>
        <v>-7.5968756772925339</v>
      </c>
      <c r="AL169" s="62">
        <f>IF(AK169=0,AJ169,AK169)</f>
        <v>-7.5968756772925339</v>
      </c>
      <c r="AM169" s="62"/>
      <c r="AN169" s="340">
        <v>-7.6</v>
      </c>
      <c r="AO169" s="410"/>
      <c r="AP169" s="410"/>
      <c r="AQ169" s="56" t="s">
        <v>6311</v>
      </c>
      <c r="AR169" s="56" t="s">
        <v>6311</v>
      </c>
      <c r="AS169" s="155"/>
      <c r="AT169" s="58" t="s">
        <v>266</v>
      </c>
      <c r="AU169" s="56">
        <v>6</v>
      </c>
      <c r="AV169" s="56">
        <v>120</v>
      </c>
      <c r="AW169" s="56">
        <v>114</v>
      </c>
      <c r="AX169" s="56">
        <v>28</v>
      </c>
      <c r="AY169" s="56" t="s">
        <v>8728</v>
      </c>
      <c r="AZ169" s="56" t="s">
        <v>1563</v>
      </c>
      <c r="BA169" s="56">
        <v>32</v>
      </c>
      <c r="BB169" s="55" t="s">
        <v>2485</v>
      </c>
      <c r="BC169" s="55" t="s">
        <v>8726</v>
      </c>
      <c r="BD169" s="55" t="s">
        <v>8374</v>
      </c>
      <c r="BE169" s="56" t="s">
        <v>2449</v>
      </c>
      <c r="BF169" s="56" t="s">
        <v>272</v>
      </c>
      <c r="BG169" s="56" t="s">
        <v>272</v>
      </c>
      <c r="BH169" s="56" t="s">
        <v>2486</v>
      </c>
      <c r="BI169" s="153">
        <v>1.9571839999999998E-3</v>
      </c>
      <c r="BJ169" s="153">
        <v>19.571840000000002</v>
      </c>
      <c r="BK169" s="56"/>
      <c r="BL169" s="153">
        <v>1487.3654284611578</v>
      </c>
      <c r="BM169" s="56" t="s">
        <v>2046</v>
      </c>
      <c r="BN169" s="56"/>
      <c r="BO169" s="56"/>
      <c r="BP169" s="56"/>
      <c r="BQ169" s="56"/>
      <c r="BR169" s="55">
        <v>3.9143680000000001</v>
      </c>
      <c r="BS169" s="56"/>
      <c r="BT169" s="56"/>
      <c r="BU169" s="158"/>
      <c r="BV169" s="56"/>
      <c r="BW169" s="56"/>
      <c r="BX169" s="56"/>
      <c r="BY169" s="56"/>
      <c r="BZ169" s="56"/>
      <c r="CA169" s="56"/>
      <c r="CB169" s="56"/>
      <c r="CC169" s="56"/>
      <c r="CD169" s="56"/>
      <c r="CE169" s="56"/>
      <c r="CF169" s="56"/>
      <c r="CG169" s="56"/>
      <c r="CH169" s="56"/>
      <c r="CI169" s="103">
        <v>3.9143680000000001</v>
      </c>
      <c r="CJ169" s="103">
        <f t="shared" si="53"/>
        <v>0.59266165240438884</v>
      </c>
      <c r="CK169" s="57">
        <f t="shared" si="56"/>
        <v>75.995176154166273</v>
      </c>
      <c r="CL169" s="160">
        <f t="shared" si="57"/>
        <v>379.9758807708314</v>
      </c>
      <c r="CM169" s="160">
        <v>-1.1286767050306317</v>
      </c>
      <c r="CN169" s="160">
        <f>BJ169/(10^CM169)</f>
        <v>263.21362221893696</v>
      </c>
      <c r="CO169" s="55" t="s">
        <v>2488</v>
      </c>
      <c r="CP169" s="497" t="s">
        <v>2489</v>
      </c>
      <c r="CQ169" s="149">
        <v>-0.56747020487515742</v>
      </c>
      <c r="CR169" s="349">
        <f t="shared" ref="CR169:CR174" si="60">10^(CJ169-CQ169)</f>
        <v>14.458786911094597</v>
      </c>
      <c r="CS169" s="61" t="s">
        <v>539</v>
      </c>
      <c r="CT169" s="61"/>
      <c r="CU169" s="111">
        <f t="shared" si="58"/>
        <v>16.605490337137439</v>
      </c>
      <c r="CV169" s="331">
        <f t="shared" si="59"/>
        <v>3.3210980674274873</v>
      </c>
      <c r="CW169" s="326">
        <f t="shared" si="54"/>
        <v>1</v>
      </c>
      <c r="CX169" s="326"/>
      <c r="CY169" s="161" t="s">
        <v>6351</v>
      </c>
    </row>
    <row r="170" spans="1:103" ht="11.25" customHeight="1" x14ac:dyDescent="0.2">
      <c r="A170" s="72">
        <v>294</v>
      </c>
      <c r="B170" s="149">
        <v>1016</v>
      </c>
      <c r="C170" s="54" t="s">
        <v>913</v>
      </c>
      <c r="D170" s="54" t="s">
        <v>6532</v>
      </c>
      <c r="E170" s="59"/>
      <c r="F170" s="59" t="s">
        <v>914</v>
      </c>
      <c r="G170" s="151">
        <v>71751412</v>
      </c>
      <c r="H170" s="55" t="s">
        <v>915</v>
      </c>
      <c r="I170" s="55"/>
      <c r="J170" s="55" t="s">
        <v>916</v>
      </c>
      <c r="K170" s="55"/>
      <c r="L170" s="55" t="s">
        <v>617</v>
      </c>
      <c r="M170" s="55" t="s">
        <v>917</v>
      </c>
      <c r="N170" s="60" t="s">
        <v>6376</v>
      </c>
      <c r="O170" s="55" t="s">
        <v>918</v>
      </c>
      <c r="P170" s="67">
        <v>3</v>
      </c>
      <c r="Q170" s="67" t="s">
        <v>6173</v>
      </c>
      <c r="R170" s="67">
        <v>1</v>
      </c>
      <c r="S170" s="67" t="s">
        <v>6173</v>
      </c>
      <c r="T170" s="56">
        <v>873.08</v>
      </c>
      <c r="U170" s="103"/>
      <c r="V170" s="103"/>
      <c r="W170" s="103">
        <v>195.45826516612448</v>
      </c>
      <c r="X170" s="103">
        <v>195.45826516612448</v>
      </c>
      <c r="Y170" s="162">
        <v>7</v>
      </c>
      <c r="Z170" s="56"/>
      <c r="AA170" s="56"/>
      <c r="AB170" s="56">
        <v>5.35</v>
      </c>
      <c r="AC170" s="56">
        <v>0.43709999999999999</v>
      </c>
      <c r="AD170" s="56">
        <v>5.94</v>
      </c>
      <c r="AE170" s="56">
        <v>6.51</v>
      </c>
      <c r="AF170" s="56">
        <f t="shared" ref="AF170:AF201" si="61">IF(AA170=0,AD170,AA170)</f>
        <v>5.94</v>
      </c>
      <c r="AG170" s="57">
        <v>4.5199999999999996</v>
      </c>
      <c r="AH170" s="103"/>
      <c r="AI170" s="103"/>
      <c r="AJ170" s="62"/>
      <c r="AK170" s="62"/>
      <c r="AL170" s="62"/>
      <c r="AM170" s="62">
        <v>-40.112469999999995</v>
      </c>
      <c r="AN170" s="154">
        <v>-29.9</v>
      </c>
      <c r="AO170" s="410">
        <v>12.42</v>
      </c>
      <c r="AP170" s="410"/>
      <c r="AQ170" s="56" t="s">
        <v>6311</v>
      </c>
      <c r="AR170" s="56" t="s">
        <v>6311</v>
      </c>
      <c r="AS170" s="155"/>
      <c r="AT170" s="58" t="s">
        <v>266</v>
      </c>
      <c r="AU170" s="56">
        <v>6</v>
      </c>
      <c r="AV170" s="56">
        <v>120</v>
      </c>
      <c r="AW170" s="56">
        <v>114</v>
      </c>
      <c r="AX170" s="56">
        <v>28</v>
      </c>
      <c r="AY170" s="56" t="s">
        <v>8728</v>
      </c>
      <c r="AZ170" s="56" t="s">
        <v>1563</v>
      </c>
      <c r="BA170" s="56">
        <v>32</v>
      </c>
      <c r="BB170" s="55" t="s">
        <v>2485</v>
      </c>
      <c r="BC170" s="55" t="s">
        <v>8726</v>
      </c>
      <c r="BD170" s="55" t="s">
        <v>8374</v>
      </c>
      <c r="BE170" s="56" t="s">
        <v>2449</v>
      </c>
      <c r="BF170" s="56" t="s">
        <v>272</v>
      </c>
      <c r="BG170" s="56" t="s">
        <v>272</v>
      </c>
      <c r="BH170" s="56" t="s">
        <v>2486</v>
      </c>
      <c r="BI170" s="153">
        <v>5.5877119999999999E-3</v>
      </c>
      <c r="BJ170" s="153">
        <v>55.877120000000005</v>
      </c>
      <c r="BK170" s="56"/>
      <c r="BL170" s="153"/>
      <c r="BM170" s="56" t="s">
        <v>2046</v>
      </c>
      <c r="BN170" s="56"/>
      <c r="BO170" s="56"/>
      <c r="BP170" s="56"/>
      <c r="BQ170" s="56"/>
      <c r="BR170" s="55">
        <v>10.69028749412</v>
      </c>
      <c r="BS170" s="56"/>
      <c r="BT170" s="56"/>
      <c r="BU170" s="158"/>
      <c r="BV170" s="56"/>
      <c r="BW170" s="56"/>
      <c r="BX170" s="56"/>
      <c r="BY170" s="56"/>
      <c r="BZ170" s="56"/>
      <c r="CA170" s="56"/>
      <c r="CB170" s="56"/>
      <c r="CC170" s="56"/>
      <c r="CD170" s="56"/>
      <c r="CE170" s="56"/>
      <c r="CF170" s="56"/>
      <c r="CG170" s="56"/>
      <c r="CH170" s="56"/>
      <c r="CI170" s="103">
        <v>10.69028749412</v>
      </c>
      <c r="CJ170" s="103">
        <f t="shared" si="53"/>
        <v>1.0289893848562044</v>
      </c>
      <c r="CK170" s="57">
        <f t="shared" si="56"/>
        <v>0</v>
      </c>
      <c r="CL170" s="160">
        <f t="shared" si="57"/>
        <v>0</v>
      </c>
      <c r="CM170" s="160"/>
      <c r="CN170" s="160"/>
      <c r="CO170" s="55" t="s">
        <v>2488</v>
      </c>
      <c r="CP170" s="497" t="s">
        <v>2489</v>
      </c>
      <c r="CQ170" s="149">
        <v>-0.17118127055118335</v>
      </c>
      <c r="CR170" s="349">
        <f t="shared" si="60"/>
        <v>15.855160963942268</v>
      </c>
      <c r="CS170" s="61" t="s">
        <v>539</v>
      </c>
      <c r="CT170" s="61"/>
      <c r="CU170" s="111">
        <f t="shared" si="58"/>
        <v>18.283723919832163</v>
      </c>
      <c r="CV170" s="331">
        <f t="shared" si="59"/>
        <v>3.4980017790130282</v>
      </c>
      <c r="CW170" s="326">
        <f t="shared" si="54"/>
        <v>1</v>
      </c>
      <c r="CX170" s="326"/>
      <c r="CY170" s="161" t="s">
        <v>5921</v>
      </c>
    </row>
    <row r="171" spans="1:103" ht="11.25" customHeight="1" x14ac:dyDescent="0.2">
      <c r="A171" s="72">
        <v>295</v>
      </c>
      <c r="B171" s="149">
        <v>1004</v>
      </c>
      <c r="C171" s="54" t="s">
        <v>2865</v>
      </c>
      <c r="D171" s="54" t="s">
        <v>6512</v>
      </c>
      <c r="E171" s="59"/>
      <c r="F171" s="59" t="s">
        <v>2866</v>
      </c>
      <c r="G171" s="151">
        <v>26172554</v>
      </c>
      <c r="H171" s="55" t="s">
        <v>2867</v>
      </c>
      <c r="I171" s="55" t="s">
        <v>8322</v>
      </c>
      <c r="J171" s="55" t="s">
        <v>2868</v>
      </c>
      <c r="K171" s="55" t="s">
        <v>2869</v>
      </c>
      <c r="L171" s="55" t="s">
        <v>5576</v>
      </c>
      <c r="M171" s="55" t="s">
        <v>6113</v>
      </c>
      <c r="N171" s="60" t="s">
        <v>6383</v>
      </c>
      <c r="O171" s="55"/>
      <c r="P171" s="67">
        <v>3</v>
      </c>
      <c r="Q171" s="67" t="s">
        <v>6173</v>
      </c>
      <c r="R171" s="67">
        <v>1</v>
      </c>
      <c r="S171" s="67" t="s">
        <v>6173</v>
      </c>
      <c r="T171" s="56">
        <v>149.6</v>
      </c>
      <c r="U171" s="103"/>
      <c r="V171" s="103">
        <v>148700</v>
      </c>
      <c r="W171" s="103">
        <v>14619.468825498925</v>
      </c>
      <c r="X171" s="103">
        <v>14619.468825498925</v>
      </c>
      <c r="Y171" s="162">
        <v>7</v>
      </c>
      <c r="Z171" s="56">
        <v>-0.34</v>
      </c>
      <c r="AA171" s="56"/>
      <c r="AB171" s="56">
        <v>1.58</v>
      </c>
      <c r="AC171" s="56">
        <v>0.67220000000000002</v>
      </c>
      <c r="AD171" s="56">
        <v>1.1200000000000001</v>
      </c>
      <c r="AE171" s="56">
        <v>0.24</v>
      </c>
      <c r="AF171" s="56">
        <f t="shared" si="61"/>
        <v>1.1200000000000001</v>
      </c>
      <c r="AG171" s="57">
        <v>1.52</v>
      </c>
      <c r="AH171" s="103">
        <v>3.5700000000000002E-8</v>
      </c>
      <c r="AI171" s="103"/>
      <c r="AJ171" s="62">
        <f t="shared" ref="AJ171:AJ181" si="62">LOG10(AH171*1000/(0.08206*298.15))</f>
        <v>-5.8358981102004588</v>
      </c>
      <c r="AK171" s="62"/>
      <c r="AL171" s="62">
        <f t="shared" ref="AL171:AL181" si="63">IF(AK171=0,AJ171,AK171)</f>
        <v>-5.8358981102004588</v>
      </c>
      <c r="AM171" s="62">
        <v>-8.8374600000000001</v>
      </c>
      <c r="AN171" s="154">
        <v>-3.6</v>
      </c>
      <c r="AO171" s="410"/>
      <c r="AP171" s="410">
        <v>-4.0599999999999996</v>
      </c>
      <c r="AQ171" s="56" t="s">
        <v>6311</v>
      </c>
      <c r="AR171" s="56" t="s">
        <v>6311</v>
      </c>
      <c r="AS171" s="155"/>
      <c r="AT171" s="58" t="s">
        <v>266</v>
      </c>
      <c r="AU171" s="56">
        <v>6</v>
      </c>
      <c r="AV171" s="56">
        <v>120</v>
      </c>
      <c r="AW171" s="56">
        <v>114</v>
      </c>
      <c r="AX171" s="56">
        <v>28</v>
      </c>
      <c r="AY171" s="56" t="s">
        <v>8728</v>
      </c>
      <c r="AZ171" s="56" t="s">
        <v>1563</v>
      </c>
      <c r="BA171" s="56">
        <v>32</v>
      </c>
      <c r="BB171" s="55" t="s">
        <v>2485</v>
      </c>
      <c r="BC171" s="55" t="s">
        <v>8726</v>
      </c>
      <c r="BD171" s="55" t="s">
        <v>8374</v>
      </c>
      <c r="BE171" s="56" t="s">
        <v>2449</v>
      </c>
      <c r="BF171" s="56" t="s">
        <v>272</v>
      </c>
      <c r="BG171" s="56" t="s">
        <v>272</v>
      </c>
      <c r="BH171" s="56" t="s">
        <v>2486</v>
      </c>
      <c r="BI171" s="153">
        <v>9.5743999999999994E-4</v>
      </c>
      <c r="BJ171" s="153">
        <v>9.5744000000000007</v>
      </c>
      <c r="BK171" s="56"/>
      <c r="BL171" s="153">
        <v>15526.929944500454</v>
      </c>
      <c r="BM171" s="56" t="s">
        <v>2487</v>
      </c>
      <c r="BN171" s="56"/>
      <c r="BO171" s="56"/>
      <c r="BP171" s="56"/>
      <c r="BQ171" s="56"/>
      <c r="BR171" s="55">
        <v>1.8251200000000001</v>
      </c>
      <c r="BS171" s="56"/>
      <c r="BT171" s="56"/>
      <c r="BU171" s="158"/>
      <c r="BV171" s="56"/>
      <c r="BW171" s="56"/>
      <c r="BX171" s="56"/>
      <c r="BY171" s="56"/>
      <c r="BZ171" s="56"/>
      <c r="CA171" s="56"/>
      <c r="CB171" s="56"/>
      <c r="CC171" s="56"/>
      <c r="CD171" s="56"/>
      <c r="CE171" s="56"/>
      <c r="CF171" s="56"/>
      <c r="CG171" s="56"/>
      <c r="CH171" s="56"/>
      <c r="CI171" s="103">
        <v>1.8251200000000001</v>
      </c>
      <c r="CJ171" s="103">
        <f t="shared" si="53"/>
        <v>0.26129142420319079</v>
      </c>
      <c r="CK171" s="57">
        <f t="shared" si="56"/>
        <v>1621.7131041632324</v>
      </c>
      <c r="CL171" s="160">
        <f t="shared" si="57"/>
        <v>8507.3474316759748</v>
      </c>
      <c r="CM171" s="160">
        <v>-0.37876076330886044</v>
      </c>
      <c r="CN171" s="160">
        <f>BJ171/(10^CM171)</f>
        <v>22.901943073320357</v>
      </c>
      <c r="CO171" s="55" t="s">
        <v>2488</v>
      </c>
      <c r="CP171" s="497" t="s">
        <v>2489</v>
      </c>
      <c r="CQ171" s="149">
        <v>-0.22475169978810194</v>
      </c>
      <c r="CR171" s="349">
        <f t="shared" si="60"/>
        <v>3.0622674915268711</v>
      </c>
      <c r="CS171" s="61" t="s">
        <v>539</v>
      </c>
      <c r="CT171" s="61"/>
      <c r="CU171" s="111">
        <f t="shared" si="58"/>
        <v>8010.1411553754951</v>
      </c>
      <c r="CV171" s="331">
        <f t="shared" si="59"/>
        <v>1526.9331577434539</v>
      </c>
      <c r="CW171" s="326">
        <f t="shared" si="54"/>
        <v>1</v>
      </c>
      <c r="CX171" s="326"/>
      <c r="CY171" s="161" t="s">
        <v>5921</v>
      </c>
    </row>
    <row r="172" spans="1:103" ht="11.25" customHeight="1" x14ac:dyDescent="0.2">
      <c r="A172" s="72">
        <v>299</v>
      </c>
      <c r="B172" s="149">
        <v>1020</v>
      </c>
      <c r="C172" s="54" t="s">
        <v>925</v>
      </c>
      <c r="D172" s="54" t="s">
        <v>6507</v>
      </c>
      <c r="E172" s="59"/>
      <c r="F172" s="59" t="s">
        <v>926</v>
      </c>
      <c r="G172" s="151">
        <v>15972608</v>
      </c>
      <c r="H172" s="55" t="s">
        <v>927</v>
      </c>
      <c r="I172" s="55" t="s">
        <v>8288</v>
      </c>
      <c r="J172" s="55" t="s">
        <v>928</v>
      </c>
      <c r="K172" s="55" t="s">
        <v>924</v>
      </c>
      <c r="L172" s="55" t="s">
        <v>5941</v>
      </c>
      <c r="M172" s="55" t="s">
        <v>6082</v>
      </c>
      <c r="N172" s="60" t="s">
        <v>6088</v>
      </c>
      <c r="O172" s="55" t="s">
        <v>6083</v>
      </c>
      <c r="P172" s="67">
        <v>3</v>
      </c>
      <c r="Q172" s="67" t="s">
        <v>6173</v>
      </c>
      <c r="R172" s="67">
        <v>1</v>
      </c>
      <c r="S172" s="67" t="s">
        <v>6173</v>
      </c>
      <c r="T172" s="56">
        <v>269.77</v>
      </c>
      <c r="U172" s="103">
        <v>240</v>
      </c>
      <c r="V172" s="103">
        <v>18.07</v>
      </c>
      <c r="W172" s="103">
        <v>814.69237561285115</v>
      </c>
      <c r="X172" s="103">
        <v>240</v>
      </c>
      <c r="Y172" s="162">
        <v>7.01</v>
      </c>
      <c r="Z172" s="56">
        <v>3.37</v>
      </c>
      <c r="AA172" s="56">
        <v>3.52</v>
      </c>
      <c r="AB172" s="56">
        <v>3.01</v>
      </c>
      <c r="AC172" s="56">
        <v>0.8427</v>
      </c>
      <c r="AD172" s="56">
        <v>2.99</v>
      </c>
      <c r="AE172" s="56">
        <v>2.92</v>
      </c>
      <c r="AF172" s="56">
        <f t="shared" si="61"/>
        <v>3.52</v>
      </c>
      <c r="AG172" s="57">
        <v>3.3</v>
      </c>
      <c r="AH172" s="103">
        <v>2.2300000000000001E-8</v>
      </c>
      <c r="AI172" s="103">
        <v>8.3199999999999994E-9</v>
      </c>
      <c r="AJ172" s="62">
        <f t="shared" si="62"/>
        <v>-6.0402614632644909</v>
      </c>
      <c r="AK172" s="62">
        <f>LOG10(AI172*1000/(0.08206*298.15))</f>
        <v>-6.468443000021928</v>
      </c>
      <c r="AL172" s="62">
        <f t="shared" si="63"/>
        <v>-6.468443000021928</v>
      </c>
      <c r="AM172" s="62">
        <v>-10.631349999999999</v>
      </c>
      <c r="AN172" s="154">
        <v>-5.33</v>
      </c>
      <c r="AO172" s="410"/>
      <c r="AP172" s="410">
        <v>1.2</v>
      </c>
      <c r="AQ172" s="56" t="s">
        <v>6311</v>
      </c>
      <c r="AR172" s="56" t="s">
        <v>6311</v>
      </c>
      <c r="AS172" s="155"/>
      <c r="AT172" s="58" t="s">
        <v>266</v>
      </c>
      <c r="AU172" s="56">
        <v>6</v>
      </c>
      <c r="AV172" s="56">
        <v>120</v>
      </c>
      <c r="AW172" s="56">
        <v>114</v>
      </c>
      <c r="AX172" s="56">
        <v>28</v>
      </c>
      <c r="AY172" s="56" t="s">
        <v>8728</v>
      </c>
      <c r="AZ172" s="56" t="s">
        <v>1563</v>
      </c>
      <c r="BA172" s="56">
        <v>32</v>
      </c>
      <c r="BB172" s="55" t="s">
        <v>2485</v>
      </c>
      <c r="BC172" s="55" t="s">
        <v>8726</v>
      </c>
      <c r="BD172" s="55" t="s">
        <v>8374</v>
      </c>
      <c r="BE172" s="56" t="s">
        <v>2449</v>
      </c>
      <c r="BF172" s="56" t="s">
        <v>272</v>
      </c>
      <c r="BG172" s="56" t="s">
        <v>272</v>
      </c>
      <c r="BH172" s="56" t="s">
        <v>2486</v>
      </c>
      <c r="BI172" s="153">
        <v>1.7265279999999997E-3</v>
      </c>
      <c r="BJ172" s="153">
        <v>17.265280000000001</v>
      </c>
      <c r="BK172" s="56"/>
      <c r="BL172" s="153">
        <v>13.037569961777397</v>
      </c>
      <c r="BM172" s="56" t="s">
        <v>2046</v>
      </c>
      <c r="BN172" s="56"/>
      <c r="BO172" s="56"/>
      <c r="BP172" s="56"/>
      <c r="BQ172" s="56"/>
      <c r="BR172" s="55">
        <v>3.2102629999999999</v>
      </c>
      <c r="BS172" s="56"/>
      <c r="BT172" s="56"/>
      <c r="BU172" s="158"/>
      <c r="BV172" s="56"/>
      <c r="BW172" s="56"/>
      <c r="BX172" s="56"/>
      <c r="BY172" s="56"/>
      <c r="BZ172" s="56"/>
      <c r="CA172" s="56"/>
      <c r="CB172" s="56"/>
      <c r="CC172" s="56"/>
      <c r="CD172" s="56"/>
      <c r="CE172" s="56"/>
      <c r="CF172" s="56"/>
      <c r="CG172" s="56"/>
      <c r="CH172" s="56"/>
      <c r="CI172" s="103">
        <v>3.2102629999999999</v>
      </c>
      <c r="CJ172" s="103">
        <f t="shared" si="53"/>
        <v>0.50654061333007849</v>
      </c>
      <c r="CK172" s="57">
        <f t="shared" si="56"/>
        <v>0.75513226323450278</v>
      </c>
      <c r="CL172" s="160">
        <f t="shared" si="57"/>
        <v>4.0612155333620326</v>
      </c>
      <c r="CM172" s="160">
        <v>0.35857724146975389</v>
      </c>
      <c r="CN172" s="160">
        <f>BJ172/(10^CM172)</f>
        <v>7.561298521891004</v>
      </c>
      <c r="CO172" s="55" t="s">
        <v>2488</v>
      </c>
      <c r="CP172" s="497" t="s">
        <v>2489</v>
      </c>
      <c r="CQ172" s="149">
        <v>0.55452206231799706</v>
      </c>
      <c r="CR172" s="349">
        <f t="shared" si="60"/>
        <v>0.89540301212658013</v>
      </c>
      <c r="CS172" s="61" t="s">
        <v>539</v>
      </c>
      <c r="CT172" s="61"/>
      <c r="CU172" s="111">
        <f t="shared" si="58"/>
        <v>74.760229925087131</v>
      </c>
      <c r="CV172" s="331">
        <f t="shared" si="59"/>
        <v>13.900730251695888</v>
      </c>
      <c r="CW172" s="326">
        <f t="shared" si="54"/>
        <v>1</v>
      </c>
      <c r="CX172" s="326"/>
      <c r="CY172" s="161" t="s">
        <v>5921</v>
      </c>
    </row>
    <row r="173" spans="1:103" ht="11.25" customHeight="1" x14ac:dyDescent="0.2">
      <c r="A173" s="72">
        <v>301</v>
      </c>
      <c r="B173" s="149">
        <v>1140</v>
      </c>
      <c r="C173" s="54" t="s">
        <v>1204</v>
      </c>
      <c r="D173" s="54" t="s">
        <v>6583</v>
      </c>
      <c r="E173" s="59"/>
      <c r="F173" s="59" t="s">
        <v>1205</v>
      </c>
      <c r="G173" s="151">
        <v>131341861</v>
      </c>
      <c r="H173" s="55" t="s">
        <v>1206</v>
      </c>
      <c r="I173" s="55" t="s">
        <v>8326</v>
      </c>
      <c r="J173" s="55" t="s">
        <v>1207</v>
      </c>
      <c r="K173" s="55" t="s">
        <v>1208</v>
      </c>
      <c r="L173" s="55" t="s">
        <v>5985</v>
      </c>
      <c r="M173" s="55" t="s">
        <v>6082</v>
      </c>
      <c r="N173" s="55" t="s">
        <v>6082</v>
      </c>
      <c r="O173" s="55" t="s">
        <v>6083</v>
      </c>
      <c r="P173" s="67">
        <v>3</v>
      </c>
      <c r="Q173" s="67" t="s">
        <v>6173</v>
      </c>
      <c r="R173" s="67">
        <v>1</v>
      </c>
      <c r="S173" s="67" t="s">
        <v>6173</v>
      </c>
      <c r="T173" s="56">
        <v>248.19</v>
      </c>
      <c r="U173" s="103">
        <v>1.8</v>
      </c>
      <c r="V173" s="103">
        <v>3.9849999999999994</v>
      </c>
      <c r="W173" s="103">
        <v>14.281843804770869</v>
      </c>
      <c r="X173" s="103">
        <v>1.8</v>
      </c>
      <c r="Y173" s="162">
        <v>7</v>
      </c>
      <c r="Z173" s="56">
        <v>3.83</v>
      </c>
      <c r="AA173" s="56">
        <v>4.12</v>
      </c>
      <c r="AB173" s="56">
        <v>2.25</v>
      </c>
      <c r="AC173" s="56">
        <v>0.81240000000000001</v>
      </c>
      <c r="AD173" s="56">
        <v>2.57</v>
      </c>
      <c r="AE173" s="56">
        <v>3.67</v>
      </c>
      <c r="AF173" s="56">
        <f t="shared" si="61"/>
        <v>4.12</v>
      </c>
      <c r="AG173" s="57">
        <v>3.5</v>
      </c>
      <c r="AH173" s="103">
        <v>3.1000000000000003E-11</v>
      </c>
      <c r="AI173" s="103">
        <v>5.3200000000000002E-10</v>
      </c>
      <c r="AJ173" s="62">
        <f t="shared" si="62"/>
        <v>-8.8972046324783793</v>
      </c>
      <c r="AK173" s="62">
        <f>LOG10(AI173*1000/(0.08206*298.15))</f>
        <v>-7.6626546940176032</v>
      </c>
      <c r="AL173" s="62">
        <f t="shared" si="63"/>
        <v>-7.6626546940176032</v>
      </c>
      <c r="AM173" s="62">
        <v>-12.228909999999999</v>
      </c>
      <c r="AN173" s="154">
        <v>-5.95</v>
      </c>
      <c r="AO173" s="410">
        <v>14.1</v>
      </c>
      <c r="AP173" s="410">
        <v>-9.1300000000000008</v>
      </c>
      <c r="AQ173" s="56" t="s">
        <v>6311</v>
      </c>
      <c r="AR173" s="56" t="s">
        <v>6311</v>
      </c>
      <c r="AS173" s="155"/>
      <c r="AT173" s="58" t="s">
        <v>266</v>
      </c>
      <c r="AU173" s="56">
        <v>6</v>
      </c>
      <c r="AV173" s="56">
        <v>120</v>
      </c>
      <c r="AW173" s="56">
        <v>114</v>
      </c>
      <c r="AX173" s="56">
        <v>28</v>
      </c>
      <c r="AY173" s="56" t="s">
        <v>8728</v>
      </c>
      <c r="AZ173" s="56" t="s">
        <v>1563</v>
      </c>
      <c r="BA173" s="56">
        <v>32</v>
      </c>
      <c r="BB173" s="55" t="s">
        <v>2485</v>
      </c>
      <c r="BC173" s="55" t="s">
        <v>8726</v>
      </c>
      <c r="BD173" s="55" t="s">
        <v>8374</v>
      </c>
      <c r="BE173" s="56" t="s">
        <v>2449</v>
      </c>
      <c r="BF173" s="56" t="s">
        <v>272</v>
      </c>
      <c r="BG173" s="56" t="s">
        <v>272</v>
      </c>
      <c r="BH173" s="56" t="s">
        <v>2486</v>
      </c>
      <c r="BI173" s="153">
        <v>1.5884159999999998E-3</v>
      </c>
      <c r="BJ173" s="153">
        <v>15.88416</v>
      </c>
      <c r="BK173" s="56"/>
      <c r="BL173" s="153">
        <v>4.6329891064452102</v>
      </c>
      <c r="BM173" s="56" t="s">
        <v>2046</v>
      </c>
      <c r="BN173" s="56"/>
      <c r="BO173" s="56"/>
      <c r="BP173" s="56"/>
      <c r="BQ173" s="56"/>
      <c r="BR173" s="55">
        <v>2.9534610000000003</v>
      </c>
      <c r="BS173" s="56"/>
      <c r="BT173" s="56"/>
      <c r="BU173" s="158"/>
      <c r="BV173" s="56"/>
      <c r="BW173" s="56"/>
      <c r="BX173" s="56"/>
      <c r="BY173" s="56"/>
      <c r="BZ173" s="56"/>
      <c r="CA173" s="56"/>
      <c r="CB173" s="56"/>
      <c r="CC173" s="56"/>
      <c r="CD173" s="56"/>
      <c r="CE173" s="56"/>
      <c r="CF173" s="56"/>
      <c r="CG173" s="56"/>
      <c r="CH173" s="56"/>
      <c r="CI173" s="103">
        <v>2.9534610000000003</v>
      </c>
      <c r="CJ173" s="103">
        <f t="shared" si="53"/>
        <v>0.4703312404395682</v>
      </c>
      <c r="CK173" s="57">
        <f t="shared" si="56"/>
        <v>0.29167353555020914</v>
      </c>
      <c r="CL173" s="160">
        <f t="shared" si="57"/>
        <v>1.5686643928750743</v>
      </c>
      <c r="CM173" s="160">
        <v>-0.32790214206428298</v>
      </c>
      <c r="CN173" s="160">
        <f>BJ173/(10^CM173)</f>
        <v>33.796085106383011</v>
      </c>
      <c r="CO173" s="55" t="s">
        <v>2488</v>
      </c>
      <c r="CP173" s="497" t="s">
        <v>2489</v>
      </c>
      <c r="CQ173" s="149">
        <v>-0.19844918740428344</v>
      </c>
      <c r="CR173" s="349">
        <f t="shared" si="60"/>
        <v>4.6642350462960325</v>
      </c>
      <c r="CS173" s="61" t="s">
        <v>539</v>
      </c>
      <c r="CT173" s="61"/>
      <c r="CU173" s="111">
        <f t="shared" si="58"/>
        <v>0.60945446714888052</v>
      </c>
      <c r="CV173" s="331">
        <f t="shared" si="59"/>
        <v>0.11332043998549499</v>
      </c>
      <c r="CW173" s="326">
        <f t="shared" si="54"/>
        <v>0</v>
      </c>
      <c r="CX173" s="326"/>
      <c r="CY173" s="161" t="s">
        <v>5921</v>
      </c>
    </row>
    <row r="174" spans="1:103" ht="11.25" customHeight="1" x14ac:dyDescent="0.2">
      <c r="A174" s="72">
        <v>303</v>
      </c>
      <c r="B174" s="149">
        <v>1310</v>
      </c>
      <c r="C174" s="54" t="s">
        <v>1535</v>
      </c>
      <c r="D174" s="54" t="s">
        <v>6500</v>
      </c>
      <c r="E174" s="59"/>
      <c r="F174" s="59" t="s">
        <v>1536</v>
      </c>
      <c r="G174" s="151">
        <v>3380345</v>
      </c>
      <c r="H174" s="169" t="s">
        <v>1537</v>
      </c>
      <c r="I174" s="169" t="s">
        <v>7884</v>
      </c>
      <c r="J174" s="169" t="s">
        <v>1538</v>
      </c>
      <c r="K174" s="55" t="s">
        <v>349</v>
      </c>
      <c r="L174" s="55" t="s">
        <v>6067</v>
      </c>
      <c r="M174" s="55" t="s">
        <v>6082</v>
      </c>
      <c r="N174" s="60" t="s">
        <v>6082</v>
      </c>
      <c r="O174" s="65" t="s">
        <v>6083</v>
      </c>
      <c r="P174" s="67">
        <v>3</v>
      </c>
      <c r="Q174" s="67" t="s">
        <v>6173</v>
      </c>
      <c r="R174" s="67">
        <v>1</v>
      </c>
      <c r="S174" s="67" t="s">
        <v>6173</v>
      </c>
      <c r="T174" s="154">
        <v>289.54000000000002</v>
      </c>
      <c r="U174" s="103">
        <v>10.000000000000002</v>
      </c>
      <c r="V174" s="103">
        <v>4.6210000000000004</v>
      </c>
      <c r="W174" s="103">
        <v>1.4181055935993983</v>
      </c>
      <c r="X174" s="103">
        <v>10.000000000000002</v>
      </c>
      <c r="Y174" s="162">
        <v>6.54</v>
      </c>
      <c r="Z174" s="56">
        <v>4.66</v>
      </c>
      <c r="AA174" s="56">
        <v>4.76</v>
      </c>
      <c r="AB174" s="56">
        <v>5.3</v>
      </c>
      <c r="AC174" s="56">
        <v>0.87380000000000002</v>
      </c>
      <c r="AD174" s="56">
        <v>5.27</v>
      </c>
      <c r="AE174" s="56">
        <v>5.17</v>
      </c>
      <c r="AF174" s="56">
        <f t="shared" si="61"/>
        <v>4.76</v>
      </c>
      <c r="AG174" s="57">
        <v>4.8499999999999996</v>
      </c>
      <c r="AH174" s="103">
        <v>4.9900000000000003E-9</v>
      </c>
      <c r="AI174" s="103"/>
      <c r="AJ174" s="62">
        <f t="shared" si="62"/>
        <v>-6.6904657806892622</v>
      </c>
      <c r="AK174" s="62"/>
      <c r="AL174" s="62">
        <f t="shared" si="63"/>
        <v>-6.6904657806892622</v>
      </c>
      <c r="AM174" s="62">
        <v>-10.51848</v>
      </c>
      <c r="AN174" s="170">
        <v>-3.91</v>
      </c>
      <c r="AO174" s="410">
        <v>7.8</v>
      </c>
      <c r="AP174" s="410"/>
      <c r="AQ174" s="56" t="s">
        <v>6311</v>
      </c>
      <c r="AR174" s="56" t="s">
        <v>6311</v>
      </c>
      <c r="AS174" s="155"/>
      <c r="AT174" s="58" t="s">
        <v>266</v>
      </c>
      <c r="AU174" s="56">
        <v>6</v>
      </c>
      <c r="AV174" s="56">
        <v>120</v>
      </c>
      <c r="AW174" s="56">
        <v>114</v>
      </c>
      <c r="AX174" s="56">
        <v>28</v>
      </c>
      <c r="AY174" s="56" t="s">
        <v>8728</v>
      </c>
      <c r="AZ174" s="56" t="s">
        <v>1563</v>
      </c>
      <c r="BA174" s="56">
        <v>32</v>
      </c>
      <c r="BB174" s="55" t="s">
        <v>2485</v>
      </c>
      <c r="BC174" s="55" t="s">
        <v>8726</v>
      </c>
      <c r="BD174" s="55" t="s">
        <v>8374</v>
      </c>
      <c r="BE174" s="56" t="s">
        <v>2449</v>
      </c>
      <c r="BF174" s="56" t="s">
        <v>272</v>
      </c>
      <c r="BG174" s="56" t="s">
        <v>272</v>
      </c>
      <c r="BH174" s="56" t="s">
        <v>2486</v>
      </c>
      <c r="BI174" s="153">
        <v>1.8530560000000001E-3</v>
      </c>
      <c r="BJ174" s="153">
        <v>18.530560000000001</v>
      </c>
      <c r="BK174" s="56"/>
      <c r="BL174" s="153">
        <v>0.97132053426667619</v>
      </c>
      <c r="BM174" s="56" t="s">
        <v>2487</v>
      </c>
      <c r="BN174" s="56"/>
      <c r="BO174" s="56"/>
      <c r="BP174" s="56"/>
      <c r="BQ174" s="56"/>
      <c r="BR174" s="55">
        <v>3.3586640000000001</v>
      </c>
      <c r="BS174" s="56"/>
      <c r="BT174" s="56"/>
      <c r="BU174" s="158"/>
      <c r="BV174" s="56"/>
      <c r="BW174" s="56"/>
      <c r="BX174" s="56"/>
      <c r="BY174" s="56"/>
      <c r="BZ174" s="56"/>
      <c r="CA174" s="56"/>
      <c r="CB174" s="56"/>
      <c r="CC174" s="56"/>
      <c r="CD174" s="56"/>
      <c r="CE174" s="56"/>
      <c r="CF174" s="56"/>
      <c r="CG174" s="56"/>
      <c r="CH174" s="56"/>
      <c r="CI174" s="103">
        <v>3.3586640000000001</v>
      </c>
      <c r="CJ174" s="103">
        <f t="shared" si="53"/>
        <v>0.52616655929128453</v>
      </c>
      <c r="CK174" s="57">
        <f t="shared" si="56"/>
        <v>5.2417225073968413E-2</v>
      </c>
      <c r="CL174" s="160">
        <f t="shared" si="57"/>
        <v>0.28919848316672231</v>
      </c>
      <c r="CM174" s="160">
        <v>-0.56863623584101308</v>
      </c>
      <c r="CN174" s="160">
        <f>BJ174/(10^CM174)</f>
        <v>68.631703703703792</v>
      </c>
      <c r="CO174" s="55" t="s">
        <v>2488</v>
      </c>
      <c r="CP174" s="497" t="s">
        <v>2489</v>
      </c>
      <c r="CQ174" s="149">
        <v>-3.048771733266693E-2</v>
      </c>
      <c r="CR174" s="349">
        <f t="shared" si="60"/>
        <v>3.6029171591180398</v>
      </c>
      <c r="CS174" s="61" t="s">
        <v>539</v>
      </c>
      <c r="CT174" s="61"/>
      <c r="CU174" s="111">
        <f t="shared" si="58"/>
        <v>2.9773743369387358</v>
      </c>
      <c r="CV174" s="331">
        <f t="shared" si="59"/>
        <v>0.53964909857014576</v>
      </c>
      <c r="CW174" s="326">
        <f t="shared" si="54"/>
        <v>1</v>
      </c>
      <c r="CX174" s="326"/>
      <c r="CY174" s="161" t="s">
        <v>6351</v>
      </c>
    </row>
    <row r="175" spans="1:103" ht="11.25" customHeight="1" x14ac:dyDescent="0.2">
      <c r="A175" s="72">
        <v>304</v>
      </c>
      <c r="B175" s="149">
        <v>1174</v>
      </c>
      <c r="C175" s="54" t="s">
        <v>3239</v>
      </c>
      <c r="D175" s="54"/>
      <c r="E175" s="59"/>
      <c r="F175" s="59" t="s">
        <v>3240</v>
      </c>
      <c r="G175" s="151">
        <v>75330755</v>
      </c>
      <c r="H175" s="55" t="s">
        <v>3241</v>
      </c>
      <c r="I175" s="55" t="s">
        <v>3241</v>
      </c>
      <c r="J175" s="55" t="s">
        <v>3242</v>
      </c>
      <c r="K175" s="55" t="s">
        <v>357</v>
      </c>
      <c r="L175" s="55" t="s">
        <v>279</v>
      </c>
      <c r="M175" s="55" t="s">
        <v>8510</v>
      </c>
      <c r="N175" s="60"/>
      <c r="O175" s="55" t="s">
        <v>281</v>
      </c>
      <c r="P175" s="67">
        <v>3</v>
      </c>
      <c r="Q175" s="67" t="s">
        <v>6173</v>
      </c>
      <c r="R175" s="67">
        <v>1</v>
      </c>
      <c r="S175" s="67" t="s">
        <v>6173</v>
      </c>
      <c r="T175" s="56">
        <v>404.54</v>
      </c>
      <c r="U175" s="103"/>
      <c r="V175" s="103">
        <v>2.137</v>
      </c>
      <c r="W175" s="103">
        <v>11.141956796484209</v>
      </c>
      <c r="X175" s="103">
        <v>11.141956796484209</v>
      </c>
      <c r="Y175" s="162">
        <v>7</v>
      </c>
      <c r="Z175" s="56">
        <v>4.74</v>
      </c>
      <c r="AA175" s="56">
        <v>4.26</v>
      </c>
      <c r="AB175" s="56">
        <v>4.16</v>
      </c>
      <c r="AC175" s="56">
        <v>0.91600000000000004</v>
      </c>
      <c r="AD175" s="56">
        <v>4.1399999999999997</v>
      </c>
      <c r="AE175" s="56">
        <v>4.07</v>
      </c>
      <c r="AF175" s="56">
        <f t="shared" si="61"/>
        <v>4.26</v>
      </c>
      <c r="AG175" s="57">
        <v>4.0999999999999996</v>
      </c>
      <c r="AH175" s="103">
        <v>2.1199999999999999E-10</v>
      </c>
      <c r="AI175" s="103"/>
      <c r="AJ175" s="62">
        <f t="shared" si="62"/>
        <v>-8.0622304653838999</v>
      </c>
      <c r="AK175" s="62"/>
      <c r="AL175" s="62">
        <f t="shared" si="63"/>
        <v>-8.0622304653838999</v>
      </c>
      <c r="AM175" s="62">
        <v>-17.448979999999999</v>
      </c>
      <c r="AN175" s="154">
        <v>-11.9</v>
      </c>
      <c r="AO175" s="410">
        <v>13.49</v>
      </c>
      <c r="AP175" s="410"/>
      <c r="AQ175" s="56" t="s">
        <v>6311</v>
      </c>
      <c r="AR175" s="56" t="s">
        <v>6312</v>
      </c>
      <c r="AS175" s="155"/>
      <c r="AT175" s="58" t="s">
        <v>266</v>
      </c>
      <c r="AU175" s="56">
        <v>6</v>
      </c>
      <c r="AV175" s="56">
        <v>120</v>
      </c>
      <c r="AW175" s="56">
        <v>114</v>
      </c>
      <c r="AX175" s="56">
        <v>28</v>
      </c>
      <c r="AY175" s="56" t="s">
        <v>8728</v>
      </c>
      <c r="AZ175" s="56" t="s">
        <v>1563</v>
      </c>
      <c r="BA175" s="56">
        <v>32</v>
      </c>
      <c r="BB175" s="55" t="s">
        <v>2485</v>
      </c>
      <c r="BC175" s="55" t="s">
        <v>8726</v>
      </c>
      <c r="BD175" s="55" t="s">
        <v>8374</v>
      </c>
      <c r="BE175" s="56" t="s">
        <v>2449</v>
      </c>
      <c r="BF175" s="56" t="s">
        <v>272</v>
      </c>
      <c r="BG175" s="56" t="s">
        <v>272</v>
      </c>
      <c r="BH175" s="56" t="s">
        <v>2486</v>
      </c>
      <c r="BI175" s="153">
        <v>2.5890560000000002E-3</v>
      </c>
      <c r="BJ175" s="153">
        <v>25.890560000000001</v>
      </c>
      <c r="BK175" s="56"/>
      <c r="BL175" s="153">
        <v>1.1501843925320354</v>
      </c>
      <c r="BM175" s="56" t="s">
        <v>2046</v>
      </c>
      <c r="BN175" s="56"/>
      <c r="BO175" s="56"/>
      <c r="BP175" s="56"/>
      <c r="BQ175" s="56"/>
      <c r="BR175" s="55">
        <v>0.81873151531999999</v>
      </c>
      <c r="BS175" s="56"/>
      <c r="BT175" s="56"/>
      <c r="BU175" s="158"/>
      <c r="BV175" s="56"/>
      <c r="BW175" s="56"/>
      <c r="BX175" s="56"/>
      <c r="BY175" s="56"/>
      <c r="BZ175" s="56"/>
      <c r="CA175" s="56"/>
      <c r="CB175" s="56"/>
      <c r="CC175" s="56"/>
      <c r="CD175" s="56"/>
      <c r="CE175" s="56"/>
      <c r="CF175" s="56"/>
      <c r="CG175" s="56"/>
      <c r="CH175" s="56"/>
      <c r="CI175" s="103">
        <v>0.81873151531999999</v>
      </c>
      <c r="CJ175" s="103">
        <f t="shared" si="53"/>
        <v>-8.685849205072016E-2</v>
      </c>
      <c r="CK175" s="57">
        <f t="shared" si="56"/>
        <v>4.4424855720850975E-2</v>
      </c>
      <c r="CL175" s="160">
        <f t="shared" si="57"/>
        <v>1.4048370815217581</v>
      </c>
      <c r="CM175" s="160"/>
      <c r="CN175" s="160"/>
      <c r="CO175" s="55" t="s">
        <v>2488</v>
      </c>
      <c r="CP175" s="497" t="s">
        <v>2489</v>
      </c>
      <c r="CQ175" s="149" t="s">
        <v>272</v>
      </c>
      <c r="CR175" s="349"/>
      <c r="CS175" s="61" t="s">
        <v>539</v>
      </c>
      <c r="CT175" s="61"/>
      <c r="CU175" s="111">
        <f t="shared" si="58"/>
        <v>13.608804092669368</v>
      </c>
      <c r="CV175" s="331">
        <f t="shared" si="59"/>
        <v>0.43034823489658813</v>
      </c>
      <c r="CW175" s="326">
        <f t="shared" si="54"/>
        <v>1</v>
      </c>
      <c r="CX175" s="326"/>
      <c r="CY175" s="161" t="s">
        <v>6351</v>
      </c>
    </row>
    <row r="176" spans="1:103" ht="11.25" customHeight="1" x14ac:dyDescent="0.2">
      <c r="A176" s="72">
        <v>305</v>
      </c>
      <c r="B176" s="149">
        <v>1187</v>
      </c>
      <c r="C176" s="54" t="s">
        <v>1302</v>
      </c>
      <c r="D176" s="54" t="s">
        <v>6504</v>
      </c>
      <c r="E176" s="59"/>
      <c r="F176" s="59" t="s">
        <v>1303</v>
      </c>
      <c r="G176" s="151">
        <v>6317186</v>
      </c>
      <c r="H176" s="55" t="s">
        <v>1304</v>
      </c>
      <c r="I176" s="55"/>
      <c r="J176" s="55" t="s">
        <v>1305</v>
      </c>
      <c r="K176" s="55" t="s">
        <v>1306</v>
      </c>
      <c r="L176" s="55" t="s">
        <v>5998</v>
      </c>
      <c r="M176" s="55" t="s">
        <v>6088</v>
      </c>
      <c r="N176" s="60" t="s">
        <v>6088</v>
      </c>
      <c r="O176" s="55" t="s">
        <v>6083</v>
      </c>
      <c r="P176" s="67">
        <v>3</v>
      </c>
      <c r="Q176" s="67" t="s">
        <v>6173</v>
      </c>
      <c r="R176" s="67">
        <v>1</v>
      </c>
      <c r="S176" s="67" t="s">
        <v>6173</v>
      </c>
      <c r="T176" s="56">
        <v>130.19</v>
      </c>
      <c r="U176" s="103"/>
      <c r="V176" s="103">
        <v>27170</v>
      </c>
      <c r="W176" s="103">
        <v>27834.128443229551</v>
      </c>
      <c r="X176" s="103">
        <v>27834.128443229551</v>
      </c>
      <c r="Y176" s="162">
        <v>7</v>
      </c>
      <c r="Z176" s="56">
        <v>0.62</v>
      </c>
      <c r="AA176" s="56"/>
      <c r="AB176" s="56">
        <v>0.81</v>
      </c>
      <c r="AC176" s="56">
        <v>0.60450000000000004</v>
      </c>
      <c r="AD176" s="56">
        <v>0.8</v>
      </c>
      <c r="AE176" s="56">
        <v>0.8</v>
      </c>
      <c r="AF176" s="56">
        <f t="shared" si="61"/>
        <v>0.8</v>
      </c>
      <c r="AG176" s="57">
        <v>1.36</v>
      </c>
      <c r="AH176" s="103">
        <v>2.6099999999999999E-8</v>
      </c>
      <c r="AI176" s="103"/>
      <c r="AJ176" s="62">
        <f t="shared" si="62"/>
        <v>-5.9719258189743707</v>
      </c>
      <c r="AK176" s="62"/>
      <c r="AL176" s="62">
        <f t="shared" si="63"/>
        <v>-5.9719258189743707</v>
      </c>
      <c r="AM176" s="62">
        <v>-8.0618999999999996</v>
      </c>
      <c r="AN176" s="154">
        <v>-11.9</v>
      </c>
      <c r="AO176" s="410"/>
      <c r="AP176" s="410"/>
      <c r="AQ176" s="56" t="s">
        <v>6311</v>
      </c>
      <c r="AR176" s="56" t="s">
        <v>6311</v>
      </c>
      <c r="AS176" s="155"/>
      <c r="AT176" s="58" t="s">
        <v>266</v>
      </c>
      <c r="AU176" s="56">
        <v>6</v>
      </c>
      <c r="AV176" s="56">
        <v>120</v>
      </c>
      <c r="AW176" s="56">
        <v>114</v>
      </c>
      <c r="AX176" s="56">
        <v>28</v>
      </c>
      <c r="AY176" s="56" t="s">
        <v>8728</v>
      </c>
      <c r="AZ176" s="56" t="s">
        <v>1563</v>
      </c>
      <c r="BA176" s="56">
        <v>32</v>
      </c>
      <c r="BB176" s="55" t="s">
        <v>2485</v>
      </c>
      <c r="BC176" s="55" t="s">
        <v>8726</v>
      </c>
      <c r="BD176" s="55" t="s">
        <v>8374</v>
      </c>
      <c r="BE176" s="56" t="s">
        <v>2449</v>
      </c>
      <c r="BF176" s="56" t="s">
        <v>272</v>
      </c>
      <c r="BG176" s="56" t="s">
        <v>272</v>
      </c>
      <c r="BH176" s="56" t="s">
        <v>2486</v>
      </c>
      <c r="BI176" s="153">
        <v>8.332159999999999E-4</v>
      </c>
      <c r="BJ176" s="153">
        <v>8.33216</v>
      </c>
      <c r="BK176" s="56"/>
      <c r="BL176" s="153">
        <v>1855.9045094121504</v>
      </c>
      <c r="BM176" s="56" t="s">
        <v>2487</v>
      </c>
      <c r="BN176" s="56"/>
      <c r="BO176" s="56"/>
      <c r="BP176" s="56"/>
      <c r="BQ176" s="56"/>
      <c r="BR176" s="55">
        <v>1.5102039999999999</v>
      </c>
      <c r="BS176" s="56"/>
      <c r="BT176" s="56"/>
      <c r="BU176" s="158"/>
      <c r="BV176" s="56"/>
      <c r="BW176" s="56"/>
      <c r="BX176" s="56"/>
      <c r="BY176" s="56"/>
      <c r="BZ176" s="56"/>
      <c r="CA176" s="56"/>
      <c r="CB176" s="56"/>
      <c r="CC176" s="56"/>
      <c r="CD176" s="56"/>
      <c r="CE176" s="56"/>
      <c r="CF176" s="56"/>
      <c r="CG176" s="56"/>
      <c r="CH176" s="56"/>
      <c r="CI176" s="103">
        <v>1.5102039999999999</v>
      </c>
      <c r="CJ176" s="103">
        <f t="shared" si="53"/>
        <v>0.17903561622708447</v>
      </c>
      <c r="CK176" s="57">
        <f t="shared" si="56"/>
        <v>222.73990290778747</v>
      </c>
      <c r="CL176" s="160">
        <f t="shared" si="57"/>
        <v>1228.9098091464136</v>
      </c>
      <c r="CM176" s="160">
        <v>-0.78272648563652059</v>
      </c>
      <c r="CN176" s="160">
        <f>BJ176/(10^CM176)</f>
        <v>50.522413222368058</v>
      </c>
      <c r="CO176" s="55" t="s">
        <v>2488</v>
      </c>
      <c r="CP176" s="497" t="s">
        <v>2489</v>
      </c>
      <c r="CQ176" s="149">
        <v>-0.4374264429082072</v>
      </c>
      <c r="CR176" s="349">
        <f>10^(CJ176-CQ176)</f>
        <v>4.1348718967306697</v>
      </c>
      <c r="CS176" s="61" t="s">
        <v>539</v>
      </c>
      <c r="CT176" s="61"/>
      <c r="CU176" s="111">
        <f t="shared" si="58"/>
        <v>18430.707668122686</v>
      </c>
      <c r="CV176" s="331">
        <f t="shared" si="59"/>
        <v>3340.5657648472366</v>
      </c>
      <c r="CW176" s="326">
        <f t="shared" si="54"/>
        <v>1</v>
      </c>
      <c r="CX176" s="326"/>
      <c r="CY176" s="161" t="s">
        <v>5921</v>
      </c>
    </row>
    <row r="177" spans="1:103" ht="11.25" customHeight="1" x14ac:dyDescent="0.2">
      <c r="A177" s="72">
        <v>306</v>
      </c>
      <c r="B177" s="149">
        <v>940</v>
      </c>
      <c r="C177" s="54" t="s">
        <v>2679</v>
      </c>
      <c r="D177" s="54" t="s">
        <v>6427</v>
      </c>
      <c r="E177" s="59"/>
      <c r="F177" s="59" t="s">
        <v>1696</v>
      </c>
      <c r="G177" s="151">
        <v>51285</v>
      </c>
      <c r="H177" s="55" t="s">
        <v>1697</v>
      </c>
      <c r="I177" s="55" t="s">
        <v>1697</v>
      </c>
      <c r="J177" s="55" t="s">
        <v>1698</v>
      </c>
      <c r="K177" s="55" t="s">
        <v>1693</v>
      </c>
      <c r="L177" s="55" t="s">
        <v>6110</v>
      </c>
      <c r="M177" s="55" t="s">
        <v>497</v>
      </c>
      <c r="N177" s="60" t="s">
        <v>6381</v>
      </c>
      <c r="O177" s="55" t="s">
        <v>6086</v>
      </c>
      <c r="P177" s="67">
        <v>3</v>
      </c>
      <c r="Q177" s="67" t="s">
        <v>6173</v>
      </c>
      <c r="R177" s="67">
        <v>1</v>
      </c>
      <c r="S177" s="67" t="s">
        <v>6173</v>
      </c>
      <c r="T177" s="56">
        <v>184.11</v>
      </c>
      <c r="U177" s="103">
        <v>2790</v>
      </c>
      <c r="V177" s="103">
        <v>1971</v>
      </c>
      <c r="W177" s="103">
        <v>1135.2130579271745</v>
      </c>
      <c r="X177" s="103">
        <v>2790</v>
      </c>
      <c r="Y177" s="162">
        <v>3.15</v>
      </c>
      <c r="Z177" s="56">
        <v>1.73</v>
      </c>
      <c r="AA177" s="56">
        <v>1.67</v>
      </c>
      <c r="AB177" s="56">
        <v>1.62</v>
      </c>
      <c r="AC177" s="56">
        <v>0.79949999999999999</v>
      </c>
      <c r="AD177" s="56">
        <v>1.66</v>
      </c>
      <c r="AE177" s="56">
        <v>1.74</v>
      </c>
      <c r="AF177" s="56">
        <f t="shared" si="61"/>
        <v>1.67</v>
      </c>
      <c r="AG177" s="57">
        <v>0.7</v>
      </c>
      <c r="AH177" s="103">
        <v>2.7599999999999999E-8</v>
      </c>
      <c r="AI177" s="103">
        <v>8.6000000000000002E-8</v>
      </c>
      <c r="AJ177" s="62">
        <f t="shared" si="62"/>
        <v>-5.9476572442474342</v>
      </c>
      <c r="AK177" s="62">
        <f>LOG10(AI177*1000/(0.08206*298.15))</f>
        <v>-5.4540678750690841</v>
      </c>
      <c r="AL177" s="62">
        <f t="shared" si="63"/>
        <v>-5.4540678750690841</v>
      </c>
      <c r="AM177" s="62">
        <v>-9.2873400000000004</v>
      </c>
      <c r="AN177" s="154">
        <v>-5.58</v>
      </c>
      <c r="AO177" s="410">
        <v>4.04</v>
      </c>
      <c r="AP177" s="410"/>
      <c r="AQ177" s="56" t="s">
        <v>6311</v>
      </c>
      <c r="AR177" s="56" t="s">
        <v>6311</v>
      </c>
      <c r="AS177" s="155"/>
      <c r="AT177" s="58" t="s">
        <v>266</v>
      </c>
      <c r="AU177" s="56">
        <v>6</v>
      </c>
      <c r="AV177" s="56">
        <v>120</v>
      </c>
      <c r="AW177" s="56">
        <v>114</v>
      </c>
      <c r="AX177" s="56">
        <v>28</v>
      </c>
      <c r="AY177" s="56" t="s">
        <v>8728</v>
      </c>
      <c r="AZ177" s="56" t="s">
        <v>1563</v>
      </c>
      <c r="BA177" s="56">
        <v>32</v>
      </c>
      <c r="BB177" s="55" t="s">
        <v>2485</v>
      </c>
      <c r="BC177" s="55" t="s">
        <v>8726</v>
      </c>
      <c r="BD177" s="55" t="s">
        <v>8374</v>
      </c>
      <c r="BE177" s="56" t="s">
        <v>2449</v>
      </c>
      <c r="BF177" s="56" t="s">
        <v>272</v>
      </c>
      <c r="BG177" s="56" t="s">
        <v>272</v>
      </c>
      <c r="BH177" s="56" t="s">
        <v>2486</v>
      </c>
      <c r="BI177" s="153">
        <v>1.178304E-3</v>
      </c>
      <c r="BJ177" s="153">
        <v>11.783040000000002</v>
      </c>
      <c r="BK177" s="56"/>
      <c r="BL177" s="153">
        <v>264.34090833793243</v>
      </c>
      <c r="BM177" s="56" t="s">
        <v>2046</v>
      </c>
      <c r="BN177" s="56"/>
      <c r="BO177" s="56"/>
      <c r="BP177" s="56"/>
      <c r="BQ177" s="56"/>
      <c r="BR177" s="65">
        <v>2.0804429999999998</v>
      </c>
      <c r="BS177" s="56"/>
      <c r="BT177" s="56"/>
      <c r="BU177" s="158"/>
      <c r="BV177" s="56"/>
      <c r="BW177" s="56"/>
      <c r="BX177" s="56"/>
      <c r="BY177" s="56"/>
      <c r="BZ177" s="56"/>
      <c r="CA177" s="56"/>
      <c r="CB177" s="56"/>
      <c r="CC177" s="56"/>
      <c r="CD177" s="56"/>
      <c r="CE177" s="56"/>
      <c r="CF177" s="56"/>
      <c r="CG177" s="56"/>
      <c r="CH177" s="56"/>
      <c r="CI177" s="103">
        <v>2.0804429999999998</v>
      </c>
      <c r="CJ177" s="103">
        <f t="shared" si="53"/>
        <v>0.31815582148701399</v>
      </c>
      <c r="CK177" s="57">
        <f t="shared" si="56"/>
        <v>22.43401603813043</v>
      </c>
      <c r="CL177" s="160">
        <f t="shared" si="57"/>
        <v>127.05991384427858</v>
      </c>
      <c r="CM177" s="160">
        <v>5.5476152000535031E-2</v>
      </c>
      <c r="CN177" s="160">
        <f>BJ177/(10^CM177)</f>
        <v>10.370058347924337</v>
      </c>
      <c r="CO177" s="55" t="s">
        <v>2488</v>
      </c>
      <c r="CP177" s="497" t="s">
        <v>2489</v>
      </c>
      <c r="CQ177" s="149">
        <v>0.73554580874365427</v>
      </c>
      <c r="CR177" s="349">
        <f>10^(CJ177-CQ177)</f>
        <v>0.38248112909875748</v>
      </c>
      <c r="CS177" s="61" t="s">
        <v>539</v>
      </c>
      <c r="CT177" s="61"/>
      <c r="CU177" s="111">
        <f t="shared" si="58"/>
        <v>1341.0605337420925</v>
      </c>
      <c r="CV177" s="331">
        <f t="shared" si="59"/>
        <v>236.78100048883817</v>
      </c>
      <c r="CW177" s="326">
        <f t="shared" si="54"/>
        <v>1</v>
      </c>
      <c r="CX177" s="326"/>
      <c r="CY177" s="161" t="s">
        <v>6351</v>
      </c>
    </row>
    <row r="178" spans="1:103" ht="11.25" customHeight="1" x14ac:dyDescent="0.2">
      <c r="A178" s="72">
        <v>307</v>
      </c>
      <c r="B178" s="149">
        <v>1048</v>
      </c>
      <c r="C178" s="54" t="s">
        <v>1017</v>
      </c>
      <c r="D178" s="54" t="s">
        <v>6477</v>
      </c>
      <c r="E178" s="59"/>
      <c r="F178" s="59" t="s">
        <v>1018</v>
      </c>
      <c r="G178" s="151">
        <v>133062</v>
      </c>
      <c r="H178" s="55" t="s">
        <v>1019</v>
      </c>
      <c r="I178" s="55" t="s">
        <v>7879</v>
      </c>
      <c r="J178" s="55" t="s">
        <v>1020</v>
      </c>
      <c r="K178" s="55" t="s">
        <v>1016</v>
      </c>
      <c r="L178" s="55" t="s">
        <v>5929</v>
      </c>
      <c r="M178" s="55" t="s">
        <v>6082</v>
      </c>
      <c r="N178" s="60" t="s">
        <v>6082</v>
      </c>
      <c r="O178" s="55" t="s">
        <v>6083</v>
      </c>
      <c r="P178" s="67">
        <v>3</v>
      </c>
      <c r="Q178" s="67" t="s">
        <v>6173</v>
      </c>
      <c r="R178" s="67">
        <v>1</v>
      </c>
      <c r="S178" s="67" t="s">
        <v>6173</v>
      </c>
      <c r="T178" s="56">
        <v>300.58999999999997</v>
      </c>
      <c r="U178" s="103">
        <v>5.0999999999999996</v>
      </c>
      <c r="V178" s="103">
        <v>49.49</v>
      </c>
      <c r="W178" s="103">
        <v>5.4698388108957436</v>
      </c>
      <c r="X178" s="103">
        <v>5.0999999999999996</v>
      </c>
      <c r="Y178" s="162">
        <v>7</v>
      </c>
      <c r="Z178" s="56">
        <v>2.74</v>
      </c>
      <c r="AA178" s="56">
        <v>2.8</v>
      </c>
      <c r="AB178" s="56">
        <v>2.35</v>
      </c>
      <c r="AC178" s="56">
        <v>0.74490000000000001</v>
      </c>
      <c r="AD178" s="56">
        <v>2.19</v>
      </c>
      <c r="AE178" s="56">
        <v>1.85</v>
      </c>
      <c r="AF178" s="56">
        <f t="shared" si="61"/>
        <v>2.8</v>
      </c>
      <c r="AG178" s="57">
        <v>2.33</v>
      </c>
      <c r="AH178" s="103">
        <v>4.5900000000000001E-9</v>
      </c>
      <c r="AI178" s="103">
        <v>6.9999999999999998E-9</v>
      </c>
      <c r="AJ178" s="62">
        <f t="shared" si="62"/>
        <v>-6.7267536407753905</v>
      </c>
      <c r="AK178" s="62">
        <f>LOG10(AI178*1000/(0.08206*298.15))</f>
        <v>-6.5434682862983946</v>
      </c>
      <c r="AL178" s="62">
        <f t="shared" si="63"/>
        <v>-6.5434682862983946</v>
      </c>
      <c r="AM178" s="62">
        <v>-12.354499999999998</v>
      </c>
      <c r="AN178" s="154">
        <v>-6.93</v>
      </c>
      <c r="AO178" s="410"/>
      <c r="AP178" s="410">
        <v>-2.68</v>
      </c>
      <c r="AQ178" s="56" t="s">
        <v>6311</v>
      </c>
      <c r="AR178" s="56" t="s">
        <v>6311</v>
      </c>
      <c r="AS178" s="155"/>
      <c r="AT178" s="58" t="s">
        <v>266</v>
      </c>
      <c r="AU178" s="56">
        <v>6</v>
      </c>
      <c r="AV178" s="56">
        <v>120</v>
      </c>
      <c r="AW178" s="56">
        <v>114</v>
      </c>
      <c r="AX178" s="56">
        <v>28</v>
      </c>
      <c r="AY178" s="56" t="s">
        <v>8728</v>
      </c>
      <c r="AZ178" s="56" t="s">
        <v>1563</v>
      </c>
      <c r="BA178" s="56">
        <v>32</v>
      </c>
      <c r="BB178" s="55" t="s">
        <v>2485</v>
      </c>
      <c r="BC178" s="55" t="s">
        <v>8726</v>
      </c>
      <c r="BD178" s="55" t="s">
        <v>8374</v>
      </c>
      <c r="BE178" s="56" t="s">
        <v>2449</v>
      </c>
      <c r="BF178" s="56" t="s">
        <v>272</v>
      </c>
      <c r="BG178" s="56" t="s">
        <v>272</v>
      </c>
      <c r="BH178" s="56" t="s">
        <v>2486</v>
      </c>
      <c r="BI178" s="153">
        <v>1.9237759999999997E-3</v>
      </c>
      <c r="BJ178" s="153">
        <v>19.237759999999998</v>
      </c>
      <c r="BK178" s="56"/>
      <c r="BL178" s="153">
        <v>53.454039276102598</v>
      </c>
      <c r="BM178" s="56" t="s">
        <v>2046</v>
      </c>
      <c r="BN178" s="56">
        <v>5992.2611600382988</v>
      </c>
      <c r="BO178" s="56"/>
      <c r="BP178" s="56"/>
      <c r="BQ178" s="56"/>
      <c r="BR178" s="55">
        <v>3.2764309999999996</v>
      </c>
      <c r="BS178" s="56"/>
      <c r="BT178" s="56"/>
      <c r="BU178" s="158"/>
      <c r="BV178" s="56"/>
      <c r="BW178" s="56"/>
      <c r="BX178" s="56"/>
      <c r="BY178" s="56"/>
      <c r="BZ178" s="56"/>
      <c r="CA178" s="56"/>
      <c r="CB178" s="56"/>
      <c r="CC178" s="56"/>
      <c r="CD178" s="56"/>
      <c r="CE178" s="56"/>
      <c r="CF178" s="56"/>
      <c r="CG178" s="56"/>
      <c r="CH178" s="56"/>
      <c r="CI178" s="103">
        <v>3.2764309999999996</v>
      </c>
      <c r="CJ178" s="103">
        <f t="shared" si="53"/>
        <v>0.51540102636364016</v>
      </c>
      <c r="CK178" s="57">
        <f t="shared" si="56"/>
        <v>2.7785999656978051</v>
      </c>
      <c r="CL178" s="160">
        <f t="shared" si="57"/>
        <v>16.314715394922892</v>
      </c>
      <c r="CM178" s="160">
        <v>-1.0765462865276458</v>
      </c>
      <c r="CN178" s="160">
        <f>BJ178/(10^CM178)</f>
        <v>229.45672408009574</v>
      </c>
      <c r="CO178" s="55" t="s">
        <v>2488</v>
      </c>
      <c r="CP178" s="497" t="s">
        <v>2489</v>
      </c>
      <c r="CQ178" s="149">
        <v>-0.94210033726019027</v>
      </c>
      <c r="CR178" s="349">
        <f>10^(CJ178-CQ178)</f>
        <v>28.674863790726892</v>
      </c>
      <c r="CS178" s="61" t="s">
        <v>539</v>
      </c>
      <c r="CT178" s="61"/>
      <c r="CU178" s="111">
        <f t="shared" si="58"/>
        <v>1.5565717697091745</v>
      </c>
      <c r="CV178" s="331">
        <f t="shared" si="59"/>
        <v>0.26510362952859379</v>
      </c>
      <c r="CW178" s="326">
        <f t="shared" si="54"/>
        <v>0</v>
      </c>
      <c r="CX178" s="326"/>
      <c r="CY178" s="161" t="s">
        <v>5921</v>
      </c>
    </row>
    <row r="179" spans="1:103" ht="11.25" customHeight="1" x14ac:dyDescent="0.2">
      <c r="A179" s="72">
        <v>311</v>
      </c>
      <c r="B179" s="149">
        <v>936</v>
      </c>
      <c r="C179" s="54" t="s">
        <v>2675</v>
      </c>
      <c r="D179" s="54" t="s">
        <v>6452</v>
      </c>
      <c r="E179" s="59"/>
      <c r="F179" s="59" t="s">
        <v>1836</v>
      </c>
      <c r="G179" s="151">
        <v>88062</v>
      </c>
      <c r="H179" s="55" t="s">
        <v>1837</v>
      </c>
      <c r="I179" s="55" t="s">
        <v>8321</v>
      </c>
      <c r="J179" s="55" t="s">
        <v>1838</v>
      </c>
      <c r="K179" s="55" t="s">
        <v>349</v>
      </c>
      <c r="L179" s="55" t="s">
        <v>5527</v>
      </c>
      <c r="M179" s="55" t="s">
        <v>497</v>
      </c>
      <c r="N179" s="60" t="s">
        <v>6381</v>
      </c>
      <c r="O179" s="55" t="s">
        <v>6086</v>
      </c>
      <c r="P179" s="67">
        <v>3</v>
      </c>
      <c r="Q179" s="67" t="s">
        <v>6173</v>
      </c>
      <c r="R179" s="67">
        <v>1</v>
      </c>
      <c r="S179" s="67" t="s">
        <v>6173</v>
      </c>
      <c r="T179" s="56">
        <v>197.45</v>
      </c>
      <c r="U179" s="103">
        <v>800</v>
      </c>
      <c r="V179" s="103">
        <v>121.00000000000001</v>
      </c>
      <c r="W179" s="103">
        <v>111.03429465883431</v>
      </c>
      <c r="X179" s="103">
        <v>800</v>
      </c>
      <c r="Y179" s="162">
        <v>4.92</v>
      </c>
      <c r="Z179" s="56">
        <v>3.45</v>
      </c>
      <c r="AA179" s="56">
        <v>3.69</v>
      </c>
      <c r="AB179" s="56">
        <v>3.67</v>
      </c>
      <c r="AC179" s="56">
        <v>0.91900000000000004</v>
      </c>
      <c r="AD179" s="56">
        <v>3.65</v>
      </c>
      <c r="AE179" s="56">
        <v>3.58</v>
      </c>
      <c r="AF179" s="56">
        <f t="shared" si="61"/>
        <v>3.69</v>
      </c>
      <c r="AG179" s="57">
        <v>3.49</v>
      </c>
      <c r="AH179" s="103">
        <v>2.28E-7</v>
      </c>
      <c r="AI179" s="103">
        <v>2.6000000000000001E-6</v>
      </c>
      <c r="AJ179" s="62">
        <f t="shared" si="62"/>
        <v>-5.0306314793121976</v>
      </c>
      <c r="AK179" s="62">
        <f>LOG10(AI179*1000/(0.08206*298.15))</f>
        <v>-3.9735929783418338</v>
      </c>
      <c r="AL179" s="62">
        <f t="shared" si="63"/>
        <v>-3.9735929783418338</v>
      </c>
      <c r="AM179" s="62">
        <v>-5.7308899999999996</v>
      </c>
      <c r="AN179" s="154">
        <v>-3.39</v>
      </c>
      <c r="AO179" s="410">
        <v>6.59</v>
      </c>
      <c r="AP179" s="410"/>
      <c r="AQ179" s="56" t="s">
        <v>6311</v>
      </c>
      <c r="AR179" s="56" t="s">
        <v>6311</v>
      </c>
      <c r="AS179" s="155"/>
      <c r="AT179" s="58" t="s">
        <v>266</v>
      </c>
      <c r="AU179" s="56">
        <v>6</v>
      </c>
      <c r="AV179" s="56">
        <v>120</v>
      </c>
      <c r="AW179" s="56">
        <v>114</v>
      </c>
      <c r="AX179" s="56">
        <v>28</v>
      </c>
      <c r="AY179" s="56" t="s">
        <v>8728</v>
      </c>
      <c r="AZ179" s="56" t="s">
        <v>1563</v>
      </c>
      <c r="BA179" s="56">
        <v>32</v>
      </c>
      <c r="BB179" s="55" t="s">
        <v>2485</v>
      </c>
      <c r="BC179" s="55" t="s">
        <v>8726</v>
      </c>
      <c r="BD179" s="55" t="s">
        <v>8374</v>
      </c>
      <c r="BE179" s="56" t="s">
        <v>2449</v>
      </c>
      <c r="BF179" s="56" t="s">
        <v>272</v>
      </c>
      <c r="BG179" s="56" t="s">
        <v>272</v>
      </c>
      <c r="BH179" s="56" t="s">
        <v>2486</v>
      </c>
      <c r="BI179" s="153">
        <v>1.2636799999999999E-3</v>
      </c>
      <c r="BJ179" s="153">
        <v>12.636799999999999</v>
      </c>
      <c r="BK179" s="56"/>
      <c r="BL179" s="153">
        <v>8.087459858100015</v>
      </c>
      <c r="BM179" s="56" t="s">
        <v>2046</v>
      </c>
      <c r="BN179" s="56"/>
      <c r="BO179" s="56"/>
      <c r="BP179" s="56"/>
      <c r="BQ179" s="56"/>
      <c r="BR179" s="55">
        <v>2.13246</v>
      </c>
      <c r="BS179" s="56"/>
      <c r="BT179" s="56"/>
      <c r="BU179" s="158"/>
      <c r="BV179" s="56"/>
      <c r="BW179" s="56"/>
      <c r="BX179" s="56"/>
      <c r="BY179" s="56"/>
      <c r="BZ179" s="56"/>
      <c r="CA179" s="56"/>
      <c r="CB179" s="56"/>
      <c r="CC179" s="56"/>
      <c r="CD179" s="56"/>
      <c r="CE179" s="56"/>
      <c r="CF179" s="56"/>
      <c r="CG179" s="56"/>
      <c r="CH179" s="56"/>
      <c r="CI179" s="103">
        <v>2.13246</v>
      </c>
      <c r="CJ179" s="103">
        <f t="shared" si="53"/>
        <v>0.32888089355951272</v>
      </c>
      <c r="CK179" s="57">
        <f t="shared" si="56"/>
        <v>0.63999270844675993</v>
      </c>
      <c r="CL179" s="160">
        <f t="shared" si="57"/>
        <v>3.7925493833882067</v>
      </c>
      <c r="CM179" s="160">
        <v>-0.46217394247130367</v>
      </c>
      <c r="CN179" s="160">
        <f>BJ179/(10^CM179)</f>
        <v>36.627818588170733</v>
      </c>
      <c r="CO179" s="55" t="s">
        <v>2488</v>
      </c>
      <c r="CP179" s="497" t="s">
        <v>2489</v>
      </c>
      <c r="CQ179" s="149">
        <v>0.2340104251063487</v>
      </c>
      <c r="CR179" s="349">
        <f>10^(CJ179-CQ179)</f>
        <v>1.2441434814169834</v>
      </c>
      <c r="CS179" s="61" t="s">
        <v>539</v>
      </c>
      <c r="CT179" s="61"/>
      <c r="CU179" s="111">
        <f t="shared" si="58"/>
        <v>375.15357849619687</v>
      </c>
      <c r="CV179" s="331">
        <f t="shared" si="59"/>
        <v>63.30716637123323</v>
      </c>
      <c r="CW179" s="326">
        <f t="shared" si="54"/>
        <v>1</v>
      </c>
      <c r="CX179" s="326"/>
      <c r="CY179" s="161" t="s">
        <v>5921</v>
      </c>
    </row>
    <row r="180" spans="1:103" ht="11.25" customHeight="1" x14ac:dyDescent="0.2">
      <c r="A180" s="72">
        <v>314</v>
      </c>
      <c r="B180" s="149">
        <v>935</v>
      </c>
      <c r="C180" s="54" t="s">
        <v>2671</v>
      </c>
      <c r="D180" s="54" t="s">
        <v>6600</v>
      </c>
      <c r="E180" s="59"/>
      <c r="F180" s="59" t="s">
        <v>2672</v>
      </c>
      <c r="G180" s="151">
        <v>95954</v>
      </c>
      <c r="H180" s="55" t="s">
        <v>2673</v>
      </c>
      <c r="I180" s="55" t="s">
        <v>8328</v>
      </c>
      <c r="J180" s="55" t="s">
        <v>2674</v>
      </c>
      <c r="K180" s="55" t="s">
        <v>349</v>
      </c>
      <c r="L180" s="55" t="s">
        <v>5527</v>
      </c>
      <c r="M180" s="55" t="s">
        <v>497</v>
      </c>
      <c r="N180" s="60" t="s">
        <v>6381</v>
      </c>
      <c r="O180" s="55" t="s">
        <v>6086</v>
      </c>
      <c r="P180" s="67">
        <v>3</v>
      </c>
      <c r="Q180" s="67" t="s">
        <v>6173</v>
      </c>
      <c r="R180" s="67">
        <v>1</v>
      </c>
      <c r="S180" s="67" t="s">
        <v>6173</v>
      </c>
      <c r="T180" s="56">
        <v>197.45</v>
      </c>
      <c r="U180" s="103">
        <v>1200</v>
      </c>
      <c r="V180" s="103">
        <v>114.1</v>
      </c>
      <c r="W180" s="103">
        <v>98.959419279704875</v>
      </c>
      <c r="X180" s="103">
        <v>1200</v>
      </c>
      <c r="Y180" s="162">
        <v>5.21</v>
      </c>
      <c r="Z180" s="56">
        <v>3.45</v>
      </c>
      <c r="AA180" s="56">
        <v>3.72</v>
      </c>
      <c r="AB180" s="56">
        <v>3.72</v>
      </c>
      <c r="AC180" s="56">
        <v>0.90329999999999999</v>
      </c>
      <c r="AD180" s="56">
        <v>3.72</v>
      </c>
      <c r="AE180" s="56">
        <v>3.71</v>
      </c>
      <c r="AF180" s="56">
        <f t="shared" si="61"/>
        <v>3.72</v>
      </c>
      <c r="AG180" s="57">
        <v>3.49</v>
      </c>
      <c r="AH180" s="103">
        <v>2.28E-7</v>
      </c>
      <c r="AI180" s="103">
        <v>1.6199999999999999E-6</v>
      </c>
      <c r="AJ180" s="62">
        <f t="shared" si="62"/>
        <v>-5.0306314793121976</v>
      </c>
      <c r="AK180" s="62">
        <f>LOG10(AI180*1000/(0.08206*298.15))</f>
        <v>-4.1790513117700208</v>
      </c>
      <c r="AL180" s="62">
        <f t="shared" si="63"/>
        <v>-4.1790513117700208</v>
      </c>
      <c r="AM180" s="62">
        <v>-7.0376299999999992</v>
      </c>
      <c r="AN180" s="154">
        <v>-3.44</v>
      </c>
      <c r="AO180" s="410">
        <v>7.1</v>
      </c>
      <c r="AP180" s="410"/>
      <c r="AQ180" s="56" t="s">
        <v>6311</v>
      </c>
      <c r="AR180" s="56" t="s">
        <v>6311</v>
      </c>
      <c r="AS180" s="155"/>
      <c r="AT180" s="58" t="s">
        <v>266</v>
      </c>
      <c r="AU180" s="56">
        <v>6</v>
      </c>
      <c r="AV180" s="56">
        <v>120</v>
      </c>
      <c r="AW180" s="56">
        <v>114</v>
      </c>
      <c r="AX180" s="56">
        <v>28</v>
      </c>
      <c r="AY180" s="56" t="s">
        <v>8728</v>
      </c>
      <c r="AZ180" s="56" t="s">
        <v>1563</v>
      </c>
      <c r="BA180" s="56">
        <v>32</v>
      </c>
      <c r="BB180" s="55" t="s">
        <v>2485</v>
      </c>
      <c r="BC180" s="55" t="s">
        <v>8726</v>
      </c>
      <c r="BD180" s="55" t="s">
        <v>8374</v>
      </c>
      <c r="BE180" s="56" t="s">
        <v>2449</v>
      </c>
      <c r="BF180" s="56" t="s">
        <v>272</v>
      </c>
      <c r="BG180" s="56" t="s">
        <v>272</v>
      </c>
      <c r="BH180" s="56" t="s">
        <v>2486</v>
      </c>
      <c r="BI180" s="153">
        <v>1.2636799999999999E-3</v>
      </c>
      <c r="BJ180" s="153">
        <v>12.636799999999999</v>
      </c>
      <c r="BK180" s="56"/>
      <c r="BL180" s="153">
        <v>8.087459858100015</v>
      </c>
      <c r="BM180" s="56" t="s">
        <v>2046</v>
      </c>
      <c r="BN180" s="56">
        <v>3996.1070345734993</v>
      </c>
      <c r="BO180" s="56"/>
      <c r="BP180" s="56"/>
      <c r="BQ180" s="56"/>
      <c r="BR180" s="55">
        <v>2.0337350000000001</v>
      </c>
      <c r="BS180" s="56"/>
      <c r="BT180" s="56"/>
      <c r="BU180" s="158"/>
      <c r="BV180" s="56"/>
      <c r="BW180" s="56"/>
      <c r="BX180" s="56"/>
      <c r="BY180" s="56"/>
      <c r="BZ180" s="56"/>
      <c r="CA180" s="56"/>
      <c r="CB180" s="56"/>
      <c r="CC180" s="56"/>
      <c r="CD180" s="56"/>
      <c r="CE180" s="56"/>
      <c r="CF180" s="56"/>
      <c r="CG180" s="56"/>
      <c r="CH180" s="56"/>
      <c r="CI180" s="103">
        <v>2.0337350000000001</v>
      </c>
      <c r="CJ180" s="103">
        <f t="shared" si="53"/>
        <v>0.3082943627777352</v>
      </c>
      <c r="CK180" s="57">
        <f t="shared" si="56"/>
        <v>0.63999270844675993</v>
      </c>
      <c r="CL180" s="160">
        <f t="shared" si="57"/>
        <v>3.9766537223876339</v>
      </c>
      <c r="CM180" s="160">
        <v>-0.50109741946743425</v>
      </c>
      <c r="CN180" s="160">
        <f>BJ180/(10^CM180)</f>
        <v>40.062175720726586</v>
      </c>
      <c r="CO180" s="55" t="s">
        <v>2488</v>
      </c>
      <c r="CP180" s="497" t="s">
        <v>2489</v>
      </c>
      <c r="CQ180" s="149">
        <v>-0.15557163006360866</v>
      </c>
      <c r="CR180" s="349">
        <f>10^(CJ180-CQ180)</f>
        <v>2.9098191173446581</v>
      </c>
      <c r="CS180" s="61" t="s">
        <v>539</v>
      </c>
      <c r="CT180" s="61"/>
      <c r="CU180" s="111">
        <f t="shared" si="58"/>
        <v>590.0473758872223</v>
      </c>
      <c r="CV180" s="331">
        <f t="shared" si="59"/>
        <v>94.960749556849848</v>
      </c>
      <c r="CW180" s="326">
        <f t="shared" si="54"/>
        <v>1</v>
      </c>
      <c r="CX180" s="326"/>
      <c r="CY180" s="161" t="s">
        <v>5921</v>
      </c>
    </row>
    <row r="181" spans="1:103" ht="11.25" customHeight="1" x14ac:dyDescent="0.2">
      <c r="A181" s="72">
        <v>315</v>
      </c>
      <c r="B181" s="149">
        <v>1270</v>
      </c>
      <c r="C181" s="54" t="s">
        <v>3486</v>
      </c>
      <c r="D181" s="54"/>
      <c r="E181" s="59"/>
      <c r="F181" s="59" t="s">
        <v>3487</v>
      </c>
      <c r="G181" s="151">
        <v>79902639</v>
      </c>
      <c r="H181" s="55" t="s">
        <v>3488</v>
      </c>
      <c r="I181" s="55" t="s">
        <v>3488</v>
      </c>
      <c r="J181" s="55" t="s">
        <v>3489</v>
      </c>
      <c r="K181" s="55" t="s">
        <v>357</v>
      </c>
      <c r="L181" s="55" t="s">
        <v>279</v>
      </c>
      <c r="M181" s="55" t="s">
        <v>3490</v>
      </c>
      <c r="N181" s="60"/>
      <c r="O181" s="55" t="s">
        <v>281</v>
      </c>
      <c r="P181" s="67">
        <v>3</v>
      </c>
      <c r="Q181" s="67" t="s">
        <v>6173</v>
      </c>
      <c r="R181" s="67">
        <v>1</v>
      </c>
      <c r="S181" s="67" t="s">
        <v>6173</v>
      </c>
      <c r="T181" s="56">
        <v>418.57</v>
      </c>
      <c r="U181" s="103">
        <v>2.9999999999999995E-2</v>
      </c>
      <c r="V181" s="103">
        <v>0.76529999999999998</v>
      </c>
      <c r="W181" s="103">
        <v>7.2739129288962561</v>
      </c>
      <c r="X181" s="103">
        <v>2.9999999999999995E-2</v>
      </c>
      <c r="Y181" s="162">
        <v>7</v>
      </c>
      <c r="Z181" s="56">
        <v>5.19</v>
      </c>
      <c r="AA181" s="56">
        <v>4.68</v>
      </c>
      <c r="AB181" s="56">
        <v>4.6500000000000004</v>
      </c>
      <c r="AC181" s="56">
        <v>0.89959999999999996</v>
      </c>
      <c r="AD181" s="56">
        <v>4.5999999999999996</v>
      </c>
      <c r="AE181" s="56">
        <v>4.42</v>
      </c>
      <c r="AF181" s="56">
        <f t="shared" si="61"/>
        <v>4.68</v>
      </c>
      <c r="AG181" s="57">
        <v>4.6399999999999997</v>
      </c>
      <c r="AH181" s="103">
        <v>2.8100000000000001E-10</v>
      </c>
      <c r="AI181" s="103"/>
      <c r="AJ181" s="62">
        <f t="shared" si="62"/>
        <v>-7.9398600064075717</v>
      </c>
      <c r="AK181" s="62"/>
      <c r="AL181" s="62">
        <f t="shared" si="63"/>
        <v>-7.9398600064075717</v>
      </c>
      <c r="AM181" s="62">
        <v>-17.394950000000001</v>
      </c>
      <c r="AN181" s="154">
        <v>-11.8</v>
      </c>
      <c r="AO181" s="410">
        <v>13.49</v>
      </c>
      <c r="AP181" s="410"/>
      <c r="AQ181" s="56" t="s">
        <v>6311</v>
      </c>
      <c r="AR181" s="56" t="s">
        <v>6312</v>
      </c>
      <c r="AS181" s="155"/>
      <c r="AT181" s="58" t="s">
        <v>266</v>
      </c>
      <c r="AU181" s="56">
        <v>6</v>
      </c>
      <c r="AV181" s="56">
        <v>120</v>
      </c>
      <c r="AW181" s="56">
        <v>114</v>
      </c>
      <c r="AX181" s="56">
        <v>28</v>
      </c>
      <c r="AY181" s="56" t="s">
        <v>8728</v>
      </c>
      <c r="AZ181" s="56" t="s">
        <v>1563</v>
      </c>
      <c r="BA181" s="56">
        <v>32</v>
      </c>
      <c r="BB181" s="55" t="s">
        <v>2485</v>
      </c>
      <c r="BC181" s="55" t="s">
        <v>8726</v>
      </c>
      <c r="BD181" s="55" t="s">
        <v>8374</v>
      </c>
      <c r="BE181" s="56" t="s">
        <v>2449</v>
      </c>
      <c r="BF181" s="56" t="s">
        <v>272</v>
      </c>
      <c r="BG181" s="56" t="s">
        <v>272</v>
      </c>
      <c r="BH181" s="56" t="s">
        <v>2486</v>
      </c>
      <c r="BI181" s="153">
        <v>2.6788479999999997E-3</v>
      </c>
      <c r="BJ181" s="153">
        <v>26.78848</v>
      </c>
      <c r="BK181" s="56"/>
      <c r="BL181" s="153">
        <v>0.46927681503313018</v>
      </c>
      <c r="BM181" s="56" t="s">
        <v>2046</v>
      </c>
      <c r="BN181" s="56"/>
      <c r="BO181" s="56"/>
      <c r="BP181" s="56"/>
      <c r="BQ181" s="56"/>
      <c r="BR181" s="55">
        <v>0.84712624305999995</v>
      </c>
      <c r="BS181" s="56"/>
      <c r="BT181" s="56"/>
      <c r="BU181" s="158"/>
      <c r="BV181" s="56"/>
      <c r="BW181" s="56"/>
      <c r="BX181" s="56"/>
      <c r="BY181" s="56"/>
      <c r="BZ181" s="56"/>
      <c r="CA181" s="56"/>
      <c r="CB181" s="56"/>
      <c r="CC181" s="56"/>
      <c r="CD181" s="56"/>
      <c r="CE181" s="56"/>
      <c r="CF181" s="56"/>
      <c r="CG181" s="56"/>
      <c r="CH181" s="56"/>
      <c r="CI181" s="103">
        <v>0.84712624305999995</v>
      </c>
      <c r="CJ181" s="103">
        <f t="shared" si="53"/>
        <v>-7.2051864074417687E-2</v>
      </c>
      <c r="CK181" s="57">
        <f t="shared" si="56"/>
        <v>1.751785898390391E-2</v>
      </c>
      <c r="CL181" s="160">
        <f t="shared" si="57"/>
        <v>0.55396325975925698</v>
      </c>
      <c r="CM181" s="160"/>
      <c r="CN181" s="160"/>
      <c r="CO181" s="55" t="s">
        <v>2488</v>
      </c>
      <c r="CP181" s="497" t="s">
        <v>2489</v>
      </c>
      <c r="CQ181" s="149" t="s">
        <v>272</v>
      </c>
      <c r="CR181" s="349"/>
      <c r="CS181" s="61" t="s">
        <v>539</v>
      </c>
      <c r="CT181" s="61"/>
      <c r="CU181" s="111">
        <f t="shared" si="58"/>
        <v>3.5413847989921338E-2</v>
      </c>
      <c r="CV181" s="331">
        <f t="shared" si="59"/>
        <v>1.1198843682060347E-3</v>
      </c>
      <c r="CW181" s="326">
        <f t="shared" si="54"/>
        <v>0</v>
      </c>
      <c r="CX181" s="326"/>
      <c r="CY181" s="161" t="s">
        <v>5921</v>
      </c>
    </row>
    <row r="182" spans="1:103" ht="11.25" customHeight="1" x14ac:dyDescent="0.2">
      <c r="A182" s="72">
        <v>322</v>
      </c>
      <c r="B182" s="149">
        <v>1192</v>
      </c>
      <c r="C182" s="54" t="s">
        <v>3285</v>
      </c>
      <c r="D182" s="54"/>
      <c r="E182" s="59"/>
      <c r="F182" s="59" t="s">
        <v>3286</v>
      </c>
      <c r="G182" s="151">
        <v>84371653</v>
      </c>
      <c r="H182" s="55" t="s">
        <v>3287</v>
      </c>
      <c r="I182" s="55" t="s">
        <v>8329</v>
      </c>
      <c r="J182" s="55" t="s">
        <v>3288</v>
      </c>
      <c r="K182" s="55" t="s">
        <v>3289</v>
      </c>
      <c r="L182" s="55" t="s">
        <v>279</v>
      </c>
      <c r="M182" s="55" t="s">
        <v>3290</v>
      </c>
      <c r="N182" s="60"/>
      <c r="O182" s="55" t="s">
        <v>281</v>
      </c>
      <c r="P182" s="67">
        <v>3</v>
      </c>
      <c r="Q182" s="67" t="s">
        <v>6173</v>
      </c>
      <c r="R182" s="67">
        <v>1</v>
      </c>
      <c r="S182" s="67" t="s">
        <v>6173</v>
      </c>
      <c r="T182" s="56">
        <v>429.59</v>
      </c>
      <c r="U182" s="103"/>
      <c r="V182" s="103">
        <v>4.9000000000000002E-2</v>
      </c>
      <c r="W182" s="103">
        <v>2.2545203684869949E-2</v>
      </c>
      <c r="X182" s="103">
        <v>2.2545203684869949E-2</v>
      </c>
      <c r="Y182" s="162">
        <v>7</v>
      </c>
      <c r="Z182" s="56">
        <v>5.39</v>
      </c>
      <c r="AA182" s="56"/>
      <c r="AB182" s="56">
        <v>5.46</v>
      </c>
      <c r="AC182" s="56">
        <v>0.41120000000000001</v>
      </c>
      <c r="AD182" s="56">
        <v>5.16</v>
      </c>
      <c r="AE182" s="56">
        <v>4.95</v>
      </c>
      <c r="AF182" s="56">
        <f t="shared" si="61"/>
        <v>5.16</v>
      </c>
      <c r="AG182" s="57">
        <v>5.24</v>
      </c>
      <c r="AH182" s="103"/>
      <c r="AI182" s="103"/>
      <c r="AJ182" s="62"/>
      <c r="AK182" s="62"/>
      <c r="AL182" s="62"/>
      <c r="AM182" s="62">
        <v>-21.696059999999996</v>
      </c>
      <c r="AN182" s="154">
        <v>-13.9</v>
      </c>
      <c r="AO182" s="410">
        <v>12.94</v>
      </c>
      <c r="AP182" s="410">
        <v>5.49</v>
      </c>
      <c r="AQ182" s="56" t="s">
        <v>6311</v>
      </c>
      <c r="AR182" s="56" t="s">
        <v>6311</v>
      </c>
      <c r="AS182" s="155"/>
      <c r="AT182" s="58" t="s">
        <v>266</v>
      </c>
      <c r="AU182" s="56">
        <v>6</v>
      </c>
      <c r="AV182" s="56">
        <v>120</v>
      </c>
      <c r="AW182" s="56">
        <v>114</v>
      </c>
      <c r="AX182" s="56">
        <v>28</v>
      </c>
      <c r="AY182" s="56" t="s">
        <v>8728</v>
      </c>
      <c r="AZ182" s="56" t="s">
        <v>1563</v>
      </c>
      <c r="BA182" s="56">
        <v>32</v>
      </c>
      <c r="BB182" s="55" t="s">
        <v>2485</v>
      </c>
      <c r="BC182" s="55" t="s">
        <v>8726</v>
      </c>
      <c r="BD182" s="55" t="s">
        <v>8374</v>
      </c>
      <c r="BE182" s="56" t="s">
        <v>2449</v>
      </c>
      <c r="BF182" s="56" t="s">
        <v>272</v>
      </c>
      <c r="BG182" s="56" t="s">
        <v>272</v>
      </c>
      <c r="BH182" s="56" t="s">
        <v>2486</v>
      </c>
      <c r="BI182" s="153">
        <v>2.7493759999999996E-3</v>
      </c>
      <c r="BJ182" s="153">
        <v>27.493759999999998</v>
      </c>
      <c r="BK182" s="56"/>
      <c r="BL182" s="153">
        <v>0.31848953246047701</v>
      </c>
      <c r="BM182" s="56" t="s">
        <v>2487</v>
      </c>
      <c r="BN182" s="56"/>
      <c r="BO182" s="56"/>
      <c r="BP182" s="56"/>
      <c r="BQ182" s="56"/>
      <c r="BR182" s="55">
        <v>8.694290293429999</v>
      </c>
      <c r="BS182" s="56"/>
      <c r="BT182" s="56"/>
      <c r="BU182" s="158"/>
      <c r="BV182" s="56"/>
      <c r="BW182" s="56"/>
      <c r="BX182" s="56"/>
      <c r="BY182" s="56"/>
      <c r="BZ182" s="56"/>
      <c r="CA182" s="56"/>
      <c r="CB182" s="56"/>
      <c r="CC182" s="56"/>
      <c r="CD182" s="56"/>
      <c r="CE182" s="56"/>
      <c r="CF182" s="56"/>
      <c r="CG182" s="56"/>
      <c r="CH182" s="56"/>
      <c r="CI182" s="103">
        <v>8.694290293429999</v>
      </c>
      <c r="CJ182" s="103">
        <f t="shared" si="53"/>
        <v>0.93923413674394141</v>
      </c>
      <c r="CK182" s="57">
        <f t="shared" si="56"/>
        <v>1.158406607391921E-2</v>
      </c>
      <c r="CL182" s="160">
        <f t="shared" si="57"/>
        <v>3.6632033404859911E-2</v>
      </c>
      <c r="CM182" s="160"/>
      <c r="CN182" s="160"/>
      <c r="CO182" s="55" t="s">
        <v>2488</v>
      </c>
      <c r="CP182" s="497" t="s">
        <v>2489</v>
      </c>
      <c r="CQ182" s="149" t="s">
        <v>272</v>
      </c>
      <c r="CR182" s="349"/>
      <c r="CS182" s="61" t="s">
        <v>539</v>
      </c>
      <c r="CT182" s="61"/>
      <c r="CU182" s="111">
        <f t="shared" si="58"/>
        <v>2.5931045460843016E-3</v>
      </c>
      <c r="CV182" s="331">
        <f t="shared" si="59"/>
        <v>8.2001165664026857E-4</v>
      </c>
      <c r="CW182" s="326">
        <f t="shared" si="54"/>
        <v>0</v>
      </c>
      <c r="CX182" s="326"/>
      <c r="CY182" s="161" t="s">
        <v>5921</v>
      </c>
    </row>
    <row r="183" spans="1:103" ht="11.25" customHeight="1" x14ac:dyDescent="0.2">
      <c r="A183" s="72">
        <v>327</v>
      </c>
      <c r="B183" s="149">
        <v>1132</v>
      </c>
      <c r="C183" s="54" t="s">
        <v>1150</v>
      </c>
      <c r="D183" s="54" t="s">
        <v>6648</v>
      </c>
      <c r="E183" s="59"/>
      <c r="F183" s="59" t="s">
        <v>1151</v>
      </c>
      <c r="G183" s="151">
        <v>161326347</v>
      </c>
      <c r="H183" s="55" t="s">
        <v>1152</v>
      </c>
      <c r="I183" s="55" t="s">
        <v>8330</v>
      </c>
      <c r="J183" s="55" t="s">
        <v>1153</v>
      </c>
      <c r="K183" s="55" t="s">
        <v>483</v>
      </c>
      <c r="L183" s="55" t="s">
        <v>5977</v>
      </c>
      <c r="M183" s="55" t="s">
        <v>6082</v>
      </c>
      <c r="N183" s="60" t="s">
        <v>6082</v>
      </c>
      <c r="O183" s="55" t="s">
        <v>6083</v>
      </c>
      <c r="P183" s="67">
        <v>3</v>
      </c>
      <c r="Q183" s="67" t="s">
        <v>6173</v>
      </c>
      <c r="R183" s="67">
        <v>1</v>
      </c>
      <c r="S183" s="67" t="s">
        <v>6173</v>
      </c>
      <c r="T183" s="56">
        <v>311.39999999999998</v>
      </c>
      <c r="U183" s="103"/>
      <c r="V183" s="103">
        <v>11.95</v>
      </c>
      <c r="W183" s="103">
        <v>13.593103015958755</v>
      </c>
      <c r="X183" s="103">
        <v>13.593103015958755</v>
      </c>
      <c r="Y183" s="162">
        <v>7</v>
      </c>
      <c r="Z183" s="56">
        <v>3.45</v>
      </c>
      <c r="AA183" s="56"/>
      <c r="AB183" s="56">
        <v>2.71</v>
      </c>
      <c r="AC183" s="56">
        <v>0.69220000000000004</v>
      </c>
      <c r="AD183" s="56">
        <v>3.02</v>
      </c>
      <c r="AE183" s="56">
        <v>3.61</v>
      </c>
      <c r="AF183" s="56">
        <f t="shared" si="61"/>
        <v>3.02</v>
      </c>
      <c r="AG183" s="57">
        <v>3.31</v>
      </c>
      <c r="AH183" s="103">
        <v>2.8199999999999999E-14</v>
      </c>
      <c r="AI183" s="103"/>
      <c r="AJ183" s="62">
        <f t="shared" ref="AJ183:AJ214" si="64">LOG10(AH183*1000/(0.08206*298.15))</f>
        <v>-11.938317217993291</v>
      </c>
      <c r="AK183" s="62"/>
      <c r="AL183" s="62">
        <f t="shared" ref="AL183:AL214" si="65">IF(AK183=0,AJ183,AK183)</f>
        <v>-11.938317217993291</v>
      </c>
      <c r="AM183" s="62">
        <v>-17.162509999999997</v>
      </c>
      <c r="AN183" s="154">
        <v>-9.2799999999999994</v>
      </c>
      <c r="AO183" s="410"/>
      <c r="AP183" s="410">
        <v>0.49</v>
      </c>
      <c r="AQ183" s="56" t="s">
        <v>6311</v>
      </c>
      <c r="AR183" s="56" t="s">
        <v>6311</v>
      </c>
      <c r="AS183" s="155"/>
      <c r="AT183" s="58" t="s">
        <v>266</v>
      </c>
      <c r="AU183" s="56">
        <v>6</v>
      </c>
      <c r="AV183" s="56">
        <v>120</v>
      </c>
      <c r="AW183" s="56">
        <v>114</v>
      </c>
      <c r="AX183" s="56">
        <v>28</v>
      </c>
      <c r="AY183" s="56" t="s">
        <v>8728</v>
      </c>
      <c r="AZ183" s="56" t="s">
        <v>1563</v>
      </c>
      <c r="BA183" s="56">
        <v>32</v>
      </c>
      <c r="BB183" s="55" t="s">
        <v>2485</v>
      </c>
      <c r="BC183" s="55" t="s">
        <v>8726</v>
      </c>
      <c r="BD183" s="55" t="s">
        <v>8374</v>
      </c>
      <c r="BE183" s="56" t="s">
        <v>2449</v>
      </c>
      <c r="BF183" s="56" t="s">
        <v>272</v>
      </c>
      <c r="BG183" s="56" t="s">
        <v>272</v>
      </c>
      <c r="BH183" s="56" t="s">
        <v>2486</v>
      </c>
      <c r="BI183" s="153">
        <v>1.9929599999999998E-3</v>
      </c>
      <c r="BJ183" s="153">
        <v>19.929600000000001</v>
      </c>
      <c r="BK183" s="56"/>
      <c r="BL183" s="153">
        <v>12.754798682260546</v>
      </c>
      <c r="BM183" s="56" t="s">
        <v>2046</v>
      </c>
      <c r="BN183" s="56">
        <v>6302.292887141999</v>
      </c>
      <c r="BO183" s="56"/>
      <c r="BP183" s="56"/>
      <c r="BQ183" s="56"/>
      <c r="BR183" s="55">
        <v>2.8119419999999997</v>
      </c>
      <c r="BS183" s="56"/>
      <c r="BT183" s="56"/>
      <c r="BU183" s="158"/>
      <c r="BV183" s="56"/>
      <c r="BW183" s="56"/>
      <c r="BX183" s="56"/>
      <c r="BY183" s="56"/>
      <c r="BZ183" s="56"/>
      <c r="CA183" s="56"/>
      <c r="CB183" s="56"/>
      <c r="CC183" s="56"/>
      <c r="CD183" s="56"/>
      <c r="CE183" s="56"/>
      <c r="CF183" s="56"/>
      <c r="CG183" s="56"/>
      <c r="CH183" s="56"/>
      <c r="CI183" s="103">
        <v>2.8119419999999997</v>
      </c>
      <c r="CJ183" s="103">
        <f t="shared" si="53"/>
        <v>0.44900635854560722</v>
      </c>
      <c r="CK183" s="57">
        <f t="shared" si="56"/>
        <v>0.63999270844675982</v>
      </c>
      <c r="CL183" s="160">
        <f t="shared" si="57"/>
        <v>4.53593946185965</v>
      </c>
      <c r="CM183" s="160">
        <v>-0.13076828026902421</v>
      </c>
      <c r="CN183" s="160">
        <f>BJ183/(10^CM183)</f>
        <v>26.931891891891919</v>
      </c>
      <c r="CO183" s="55" t="s">
        <v>2488</v>
      </c>
      <c r="CP183" s="497" t="s">
        <v>2489</v>
      </c>
      <c r="CQ183" s="149">
        <v>-0.13076828026902382</v>
      </c>
      <c r="CR183" s="349">
        <f>10^(CJ183-CQ183)</f>
        <v>3.7999216216216216</v>
      </c>
      <c r="CS183" s="61" t="s">
        <v>539</v>
      </c>
      <c r="CT183" s="61"/>
      <c r="CU183" s="111">
        <f t="shared" si="58"/>
        <v>4.8340623725378249</v>
      </c>
      <c r="CV183" s="331">
        <f t="shared" si="59"/>
        <v>0.68205598787525867</v>
      </c>
      <c r="CW183" s="326">
        <f t="shared" si="54"/>
        <v>1</v>
      </c>
      <c r="CX183" s="326"/>
      <c r="CY183" s="161" t="s">
        <v>5921</v>
      </c>
    </row>
    <row r="184" spans="1:103" ht="11.25" customHeight="1" x14ac:dyDescent="0.2">
      <c r="A184" s="72">
        <v>339</v>
      </c>
      <c r="B184" s="149">
        <v>876</v>
      </c>
      <c r="C184" s="54" t="s">
        <v>6659</v>
      </c>
      <c r="D184" s="54"/>
      <c r="E184" s="59"/>
      <c r="F184" s="59" t="s">
        <v>2484</v>
      </c>
      <c r="G184" s="151">
        <v>102409927</v>
      </c>
      <c r="H184" s="161" t="s">
        <v>6635</v>
      </c>
      <c r="I184" s="161" t="s">
        <v>8333</v>
      </c>
      <c r="J184" s="55"/>
      <c r="K184" s="55"/>
      <c r="L184" s="55"/>
      <c r="M184" s="55"/>
      <c r="N184" s="60"/>
      <c r="O184" s="55"/>
      <c r="P184" s="67">
        <v>3</v>
      </c>
      <c r="Q184" s="67" t="s">
        <v>6173</v>
      </c>
      <c r="R184" s="67">
        <v>1</v>
      </c>
      <c r="S184" s="67" t="s">
        <v>6173</v>
      </c>
      <c r="T184" s="56">
        <v>419.39</v>
      </c>
      <c r="U184" s="103"/>
      <c r="V184" s="103">
        <v>646.5</v>
      </c>
      <c r="W184" s="103">
        <v>270.78092711484396</v>
      </c>
      <c r="X184" s="103">
        <v>270.78092711484396</v>
      </c>
      <c r="Y184" s="162">
        <v>7</v>
      </c>
      <c r="Z184" s="56">
        <v>0.65</v>
      </c>
      <c r="AA184" s="56"/>
      <c r="AB184" s="56">
        <v>0.23</v>
      </c>
      <c r="AC184" s="56">
        <v>0.50480000000000003</v>
      </c>
      <c r="AD184" s="56">
        <v>-0.09</v>
      </c>
      <c r="AE184" s="56">
        <v>-0.44</v>
      </c>
      <c r="AF184" s="56">
        <f t="shared" si="61"/>
        <v>-0.09</v>
      </c>
      <c r="AG184" s="57" t="s">
        <v>5921</v>
      </c>
      <c r="AH184" s="103">
        <v>9.1300000000000004E-22</v>
      </c>
      <c r="AI184" s="103"/>
      <c r="AJ184" s="62">
        <f t="shared" si="64"/>
        <v>-19.428095548778352</v>
      </c>
      <c r="AK184" s="62"/>
      <c r="AL184" s="62">
        <f t="shared" si="65"/>
        <v>-19.428095548778352</v>
      </c>
      <c r="AM184" s="62">
        <v>-28.992149999999999</v>
      </c>
      <c r="AN184" s="154"/>
      <c r="AO184" s="410">
        <v>13.28</v>
      </c>
      <c r="AP184" s="410">
        <v>-1.42</v>
      </c>
      <c r="AQ184" s="56" t="s">
        <v>6317</v>
      </c>
      <c r="AR184" s="56" t="s">
        <v>6317</v>
      </c>
      <c r="AS184" s="155"/>
      <c r="AT184" s="58" t="s">
        <v>266</v>
      </c>
      <c r="AU184" s="56">
        <v>6</v>
      </c>
      <c r="AV184" s="56">
        <v>120</v>
      </c>
      <c r="AW184" s="56">
        <v>114</v>
      </c>
      <c r="AX184" s="56">
        <v>28</v>
      </c>
      <c r="AY184" s="56" t="s">
        <v>8728</v>
      </c>
      <c r="AZ184" s="56" t="s">
        <v>1563</v>
      </c>
      <c r="BA184" s="56">
        <v>32</v>
      </c>
      <c r="BB184" s="55" t="s">
        <v>2485</v>
      </c>
      <c r="BC184" s="55" t="s">
        <v>8726</v>
      </c>
      <c r="BD184" s="55" t="s">
        <v>8374</v>
      </c>
      <c r="BE184" s="56" t="s">
        <v>2449</v>
      </c>
      <c r="BF184" s="56" t="s">
        <v>272</v>
      </c>
      <c r="BG184" s="56" t="s">
        <v>272</v>
      </c>
      <c r="BH184" s="56" t="s">
        <v>2486</v>
      </c>
      <c r="BI184" s="153">
        <v>2.684096E-3</v>
      </c>
      <c r="BJ184" s="153">
        <v>26.840959999999999</v>
      </c>
      <c r="BK184" s="56"/>
      <c r="BL184" s="153">
        <v>5618.9228728307617</v>
      </c>
      <c r="BM184" s="55" t="s">
        <v>2487</v>
      </c>
      <c r="BN184" s="56"/>
      <c r="BO184" s="56"/>
      <c r="BP184" s="56"/>
      <c r="BQ184" s="56"/>
      <c r="BR184" s="55">
        <v>8.4878568080299992</v>
      </c>
      <c r="BS184" s="56"/>
      <c r="BT184" s="56"/>
      <c r="BU184" s="158"/>
      <c r="BV184" s="56"/>
      <c r="BW184" s="56"/>
      <c r="BX184" s="56"/>
      <c r="BY184" s="56"/>
      <c r="BZ184" s="56"/>
      <c r="CA184" s="56"/>
      <c r="CB184" s="56"/>
      <c r="CC184" s="56"/>
      <c r="CD184" s="56"/>
      <c r="CE184" s="56"/>
      <c r="CF184" s="56"/>
      <c r="CG184" s="56"/>
      <c r="CH184" s="56"/>
      <c r="CI184" s="103">
        <v>8.4878568080299992</v>
      </c>
      <c r="CJ184" s="103">
        <f t="shared" si="53"/>
        <v>0.92879804431376267</v>
      </c>
      <c r="CK184" s="57">
        <f t="shared" si="56"/>
        <v>209.34135265023167</v>
      </c>
      <c r="CL184" s="160">
        <f t="shared" si="57"/>
        <v>661.99548365553699</v>
      </c>
      <c r="CM184" s="160"/>
      <c r="CN184" s="160"/>
      <c r="CO184" s="55" t="s">
        <v>2488</v>
      </c>
      <c r="CP184" s="497" t="s">
        <v>2489</v>
      </c>
      <c r="CQ184" s="149" t="s">
        <v>272</v>
      </c>
      <c r="CR184" s="349"/>
      <c r="CS184" s="61" t="s">
        <v>539</v>
      </c>
      <c r="CT184" s="61"/>
      <c r="CU184" s="111">
        <f t="shared" si="58"/>
        <v>31.902155424991346</v>
      </c>
      <c r="CV184" s="331">
        <f t="shared" si="59"/>
        <v>10.088347328666485</v>
      </c>
      <c r="CW184" s="326">
        <f t="shared" si="54"/>
        <v>1</v>
      </c>
      <c r="CX184" s="326"/>
      <c r="CY184" s="161" t="s">
        <v>5921</v>
      </c>
    </row>
    <row r="185" spans="1:103" ht="11.25" customHeight="1" x14ac:dyDescent="0.2">
      <c r="A185" s="72">
        <v>342</v>
      </c>
      <c r="B185" s="149">
        <v>1008</v>
      </c>
      <c r="C185" s="54" t="s">
        <v>6662</v>
      </c>
      <c r="D185" s="54"/>
      <c r="E185" s="59"/>
      <c r="F185" s="59" t="s">
        <v>2881</v>
      </c>
      <c r="G185" s="151">
        <v>105624860</v>
      </c>
      <c r="H185" s="55" t="s">
        <v>2882</v>
      </c>
      <c r="I185" s="55" t="s">
        <v>7812</v>
      </c>
      <c r="J185" s="55" t="s">
        <v>2883</v>
      </c>
      <c r="K185" s="55" t="s">
        <v>2884</v>
      </c>
      <c r="L185" s="55"/>
      <c r="M185" s="55"/>
      <c r="N185" s="60"/>
      <c r="O185" s="55"/>
      <c r="P185" s="67">
        <v>3</v>
      </c>
      <c r="Q185" s="67" t="s">
        <v>6173</v>
      </c>
      <c r="R185" s="67">
        <v>1</v>
      </c>
      <c r="S185" s="67" t="s">
        <v>6173</v>
      </c>
      <c r="T185" s="56">
        <v>323.39</v>
      </c>
      <c r="U185" s="103"/>
      <c r="V185" s="103">
        <v>10.48</v>
      </c>
      <c r="W185" s="103">
        <v>10.464695271447232</v>
      </c>
      <c r="X185" s="103">
        <v>10.464695271447232</v>
      </c>
      <c r="Y185" s="162">
        <v>5.81</v>
      </c>
      <c r="Z185" s="56">
        <v>4.1100000000000003</v>
      </c>
      <c r="AA185" s="56"/>
      <c r="AB185" s="56">
        <v>4.12</v>
      </c>
      <c r="AC185" s="56">
        <v>0.57799999999999996</v>
      </c>
      <c r="AD185" s="56">
        <v>4.21</v>
      </c>
      <c r="AE185" s="56">
        <v>4.34</v>
      </c>
      <c r="AF185" s="56">
        <f t="shared" si="61"/>
        <v>4.21</v>
      </c>
      <c r="AG185" s="57">
        <v>4.1900000000000004</v>
      </c>
      <c r="AH185" s="103">
        <v>2.07E-11</v>
      </c>
      <c r="AI185" s="103"/>
      <c r="AJ185" s="62">
        <f t="shared" si="64"/>
        <v>-9.0725959808557342</v>
      </c>
      <c r="AK185" s="62"/>
      <c r="AL185" s="62">
        <f t="shared" si="65"/>
        <v>-9.0725959808557342</v>
      </c>
      <c r="AM185" s="62">
        <v>-17.969070000000002</v>
      </c>
      <c r="AN185" s="154">
        <v>-9.5399999999999991</v>
      </c>
      <c r="AO185" s="410">
        <v>7.11</v>
      </c>
      <c r="AP185" s="410">
        <v>-3.02</v>
      </c>
      <c r="AQ185" s="56" t="s">
        <v>6311</v>
      </c>
      <c r="AR185" s="56" t="s">
        <v>6311</v>
      </c>
      <c r="AS185" s="155"/>
      <c r="AT185" s="58" t="s">
        <v>266</v>
      </c>
      <c r="AU185" s="56">
        <v>6</v>
      </c>
      <c r="AV185" s="56">
        <v>120</v>
      </c>
      <c r="AW185" s="56">
        <v>114</v>
      </c>
      <c r="AX185" s="56">
        <v>28</v>
      </c>
      <c r="AY185" s="56" t="s">
        <v>8728</v>
      </c>
      <c r="AZ185" s="56" t="s">
        <v>1563</v>
      </c>
      <c r="BA185" s="56">
        <v>32</v>
      </c>
      <c r="BB185" s="55" t="s">
        <v>2485</v>
      </c>
      <c r="BC185" s="55" t="s">
        <v>8726</v>
      </c>
      <c r="BD185" s="55" t="s">
        <v>8374</v>
      </c>
      <c r="BE185" s="56" t="s">
        <v>2449</v>
      </c>
      <c r="BF185" s="56" t="s">
        <v>272</v>
      </c>
      <c r="BG185" s="56" t="s">
        <v>272</v>
      </c>
      <c r="BH185" s="56" t="s">
        <v>2486</v>
      </c>
      <c r="BI185" s="153">
        <v>2.0696959999999998E-3</v>
      </c>
      <c r="BJ185" s="153">
        <v>20.696960000000001</v>
      </c>
      <c r="BK185" s="56"/>
      <c r="BL185" s="153">
        <v>3.3832616530542268</v>
      </c>
      <c r="BM185" s="56" t="s">
        <v>2046</v>
      </c>
      <c r="BN185" s="56"/>
      <c r="BO185" s="56"/>
      <c r="BP185" s="56"/>
      <c r="BQ185" s="56"/>
      <c r="BR185" s="55">
        <v>6.5449534160300002</v>
      </c>
      <c r="BS185" s="56"/>
      <c r="BT185" s="56"/>
      <c r="BU185" s="158"/>
      <c r="BV185" s="56"/>
      <c r="BW185" s="56"/>
      <c r="BX185" s="56"/>
      <c r="BY185" s="56"/>
      <c r="BZ185" s="56"/>
      <c r="CA185" s="56"/>
      <c r="CB185" s="56"/>
      <c r="CC185" s="56"/>
      <c r="CD185" s="56"/>
      <c r="CE185" s="56"/>
      <c r="CF185" s="56"/>
      <c r="CG185" s="56"/>
      <c r="CH185" s="56"/>
      <c r="CI185" s="103">
        <v>6.5449534160300002</v>
      </c>
      <c r="CJ185" s="103">
        <f t="shared" si="53"/>
        <v>0.81590655978927817</v>
      </c>
      <c r="CK185" s="57">
        <f t="shared" si="56"/>
        <v>0.16346659862386681</v>
      </c>
      <c r="CL185" s="160">
        <f t="shared" si="57"/>
        <v>0.51692677365248929</v>
      </c>
      <c r="CM185" s="160"/>
      <c r="CN185" s="160"/>
      <c r="CO185" s="55" t="s">
        <v>2488</v>
      </c>
      <c r="CP185" s="497" t="s">
        <v>2489</v>
      </c>
      <c r="CQ185" s="149" t="s">
        <v>272</v>
      </c>
      <c r="CR185" s="349"/>
      <c r="CS185" s="61" t="s">
        <v>539</v>
      </c>
      <c r="CT185" s="61"/>
      <c r="CU185" s="111">
        <f t="shared" si="58"/>
        <v>1.5988953024198673</v>
      </c>
      <c r="CV185" s="331">
        <f t="shared" si="59"/>
        <v>0.50561508895254337</v>
      </c>
      <c r="CW185" s="326">
        <f t="shared" si="54"/>
        <v>0</v>
      </c>
      <c r="CX185" s="326"/>
      <c r="CY185" s="161" t="s">
        <v>5921</v>
      </c>
    </row>
    <row r="186" spans="1:103" ht="11.25" customHeight="1" x14ac:dyDescent="0.2">
      <c r="A186" s="72">
        <v>344</v>
      </c>
      <c r="B186" s="149">
        <v>1136</v>
      </c>
      <c r="C186" s="54" t="s">
        <v>6663</v>
      </c>
      <c r="D186" s="54"/>
      <c r="E186" s="59"/>
      <c r="F186" s="59" t="s">
        <v>884</v>
      </c>
      <c r="G186" s="151">
        <v>111812589</v>
      </c>
      <c r="H186" s="55" t="s">
        <v>885</v>
      </c>
      <c r="I186" s="55" t="s">
        <v>885</v>
      </c>
      <c r="J186" s="55" t="s">
        <v>886</v>
      </c>
      <c r="K186" s="55" t="s">
        <v>887</v>
      </c>
      <c r="L186" s="64"/>
      <c r="M186" s="55" t="s">
        <v>5923</v>
      </c>
      <c r="N186" s="60"/>
      <c r="O186" s="55"/>
      <c r="P186" s="67">
        <v>3</v>
      </c>
      <c r="Q186" s="67" t="s">
        <v>6173</v>
      </c>
      <c r="R186" s="67">
        <v>1</v>
      </c>
      <c r="S186" s="67" t="s">
        <v>6173</v>
      </c>
      <c r="T186" s="56">
        <v>421.49</v>
      </c>
      <c r="U186" s="103">
        <v>1.46E-2</v>
      </c>
      <c r="V186" s="103">
        <v>0.11849999999999998</v>
      </c>
      <c r="W186" s="103">
        <v>0.20173779761306845</v>
      </c>
      <c r="X186" s="103">
        <v>1.46E-2</v>
      </c>
      <c r="Y186" s="162">
        <v>7</v>
      </c>
      <c r="Z186" s="56">
        <v>5.57</v>
      </c>
      <c r="AA186" s="56">
        <v>5.01</v>
      </c>
      <c r="AB186" s="56">
        <v>4.72</v>
      </c>
      <c r="AC186" s="56">
        <v>0.85519999999999996</v>
      </c>
      <c r="AD186" s="56">
        <v>5.09</v>
      </c>
      <c r="AE186" s="56">
        <v>6.44</v>
      </c>
      <c r="AF186" s="56">
        <f t="shared" si="61"/>
        <v>5.01</v>
      </c>
      <c r="AG186" s="57">
        <v>5.62</v>
      </c>
      <c r="AH186" s="103">
        <v>4.9099999999999997E-11</v>
      </c>
      <c r="AI186" s="103">
        <v>2.1399999999999998E-6</v>
      </c>
      <c r="AJ186" s="62">
        <f t="shared" si="64"/>
        <v>-8.6974848341896838</v>
      </c>
      <c r="AK186" s="62">
        <f>LOG10(AI186*1000/(0.08206*298.15))</f>
        <v>-4.0581525529634606</v>
      </c>
      <c r="AL186" s="62">
        <f t="shared" si="65"/>
        <v>-4.0581525529634606</v>
      </c>
      <c r="AM186" s="62">
        <v>-16.903649999999999</v>
      </c>
      <c r="AN186" s="154">
        <v>-5.45</v>
      </c>
      <c r="AO186" s="410"/>
      <c r="AP186" s="410">
        <v>1.58</v>
      </c>
      <c r="AQ186" s="56" t="s">
        <v>6311</v>
      </c>
      <c r="AR186" s="56" t="s">
        <v>6312</v>
      </c>
      <c r="AS186" s="155"/>
      <c r="AT186" s="58" t="s">
        <v>266</v>
      </c>
      <c r="AU186" s="56">
        <v>6</v>
      </c>
      <c r="AV186" s="56">
        <v>120</v>
      </c>
      <c r="AW186" s="56">
        <v>114</v>
      </c>
      <c r="AX186" s="56">
        <v>28</v>
      </c>
      <c r="AY186" s="56" t="s">
        <v>8728</v>
      </c>
      <c r="AZ186" s="56" t="s">
        <v>1563</v>
      </c>
      <c r="BA186" s="56">
        <v>32</v>
      </c>
      <c r="BB186" s="55" t="s">
        <v>2485</v>
      </c>
      <c r="BC186" s="55" t="s">
        <v>8726</v>
      </c>
      <c r="BD186" s="55" t="s">
        <v>8374</v>
      </c>
      <c r="BE186" s="56" t="s">
        <v>2449</v>
      </c>
      <c r="BF186" s="56" t="s">
        <v>272</v>
      </c>
      <c r="BG186" s="56" t="s">
        <v>272</v>
      </c>
      <c r="BH186" s="56" t="s">
        <v>2486</v>
      </c>
      <c r="BI186" s="153">
        <v>2.6975359999999999E-3</v>
      </c>
      <c r="BJ186" s="153">
        <v>26.975360000000002</v>
      </c>
      <c r="BK186" s="56"/>
      <c r="BL186" s="153">
        <v>0.21536259485554968</v>
      </c>
      <c r="BM186" s="56" t="s">
        <v>2046</v>
      </c>
      <c r="BN186" s="56">
        <v>8530.3578323746988</v>
      </c>
      <c r="BO186" s="56"/>
      <c r="BP186" s="56"/>
      <c r="BQ186" s="56"/>
      <c r="BR186" s="55">
        <v>0.85303590841999999</v>
      </c>
      <c r="BS186" s="56"/>
      <c r="BT186" s="56"/>
      <c r="BU186" s="158"/>
      <c r="BV186" s="56"/>
      <c r="BW186" s="56"/>
      <c r="BX186" s="56"/>
      <c r="BY186" s="56"/>
      <c r="BZ186" s="56"/>
      <c r="CA186" s="56"/>
      <c r="CB186" s="56"/>
      <c r="CC186" s="56"/>
      <c r="CD186" s="56"/>
      <c r="CE186" s="56"/>
      <c r="CF186" s="56"/>
      <c r="CG186" s="56"/>
      <c r="CH186" s="56"/>
      <c r="CI186" s="103">
        <v>0.85303590841999999</v>
      </c>
      <c r="CJ186" s="103">
        <f t="shared" si="53"/>
        <v>-6.9032686885906913E-2</v>
      </c>
      <c r="CK186" s="57">
        <f t="shared" si="56"/>
        <v>7.9836782476878781E-3</v>
      </c>
      <c r="CL186" s="160">
        <f t="shared" si="57"/>
        <v>0.25246603657570055</v>
      </c>
      <c r="CM186" s="160"/>
      <c r="CN186" s="160"/>
      <c r="CO186" s="55" t="s">
        <v>2488</v>
      </c>
      <c r="CP186" s="497" t="s">
        <v>2489</v>
      </c>
      <c r="CQ186" s="149" t="s">
        <v>272</v>
      </c>
      <c r="CR186" s="349"/>
      <c r="CS186" s="61" t="s">
        <v>539</v>
      </c>
      <c r="CT186" s="61"/>
      <c r="CU186" s="111">
        <f t="shared" si="58"/>
        <v>1.7115340463266356E-2</v>
      </c>
      <c r="CV186" s="331">
        <f t="shared" si="59"/>
        <v>5.4123466748914558E-4</v>
      </c>
      <c r="CW186" s="326">
        <f t="shared" si="54"/>
        <v>0</v>
      </c>
      <c r="CX186" s="326"/>
      <c r="CY186" s="161" t="s">
        <v>5921</v>
      </c>
    </row>
    <row r="187" spans="1:103" ht="11.25" customHeight="1" x14ac:dyDescent="0.2">
      <c r="A187" s="72">
        <v>347</v>
      </c>
      <c r="B187" s="149">
        <v>1080</v>
      </c>
      <c r="C187" s="54" t="s">
        <v>6665</v>
      </c>
      <c r="D187" s="54"/>
      <c r="E187" s="59"/>
      <c r="F187" s="59" t="s">
        <v>1065</v>
      </c>
      <c r="G187" s="151">
        <v>113136779</v>
      </c>
      <c r="H187" s="55" t="s">
        <v>1066</v>
      </c>
      <c r="I187" s="55" t="s">
        <v>8334</v>
      </c>
      <c r="J187" s="55" t="s">
        <v>1067</v>
      </c>
      <c r="K187" s="55" t="s">
        <v>471</v>
      </c>
      <c r="L187" s="55" t="s">
        <v>5248</v>
      </c>
      <c r="M187" s="55" t="s">
        <v>6082</v>
      </c>
      <c r="N187" s="60"/>
      <c r="O187" s="55" t="s">
        <v>6083</v>
      </c>
      <c r="P187" s="67">
        <v>3</v>
      </c>
      <c r="Q187" s="67" t="s">
        <v>6173</v>
      </c>
      <c r="R187" s="67">
        <v>1</v>
      </c>
      <c r="S187" s="67" t="s">
        <v>6173</v>
      </c>
      <c r="T187" s="56">
        <v>274.10000000000002</v>
      </c>
      <c r="U187" s="103">
        <v>37</v>
      </c>
      <c r="V187" s="103">
        <v>500.2</v>
      </c>
      <c r="W187" s="103">
        <v>207.92611331549901</v>
      </c>
      <c r="X187" s="103">
        <v>37</v>
      </c>
      <c r="Y187" s="162">
        <v>3.68</v>
      </c>
      <c r="Z187" s="56">
        <v>1.8</v>
      </c>
      <c r="AA187" s="56"/>
      <c r="AB187" s="56">
        <v>2.3199999999999998</v>
      </c>
      <c r="AC187" s="56">
        <v>0.61990000000000001</v>
      </c>
      <c r="AD187" s="56">
        <v>1.94</v>
      </c>
      <c r="AE187" s="56">
        <v>1.49</v>
      </c>
      <c r="AF187" s="56">
        <f t="shared" si="61"/>
        <v>1.94</v>
      </c>
      <c r="AG187" s="57">
        <v>2.2000000000000002</v>
      </c>
      <c r="AH187" s="103">
        <v>1.96E-14</v>
      </c>
      <c r="AI187" s="103">
        <v>7.3099999999999996E-10</v>
      </c>
      <c r="AJ187" s="62">
        <f t="shared" si="64"/>
        <v>-12.096310254956176</v>
      </c>
      <c r="AK187" s="62">
        <f>LOG10(AI187*1000/(0.08206*298.15))</f>
        <v>-7.5246489493547912</v>
      </c>
      <c r="AL187" s="62">
        <f t="shared" si="65"/>
        <v>-7.5246489493547912</v>
      </c>
      <c r="AM187" s="62">
        <v>-16.463000000000001</v>
      </c>
      <c r="AN187" s="154">
        <v>-13.2</v>
      </c>
      <c r="AO187" s="410">
        <v>4.0999999999999996</v>
      </c>
      <c r="AP187" s="410">
        <v>-1.29</v>
      </c>
      <c r="AQ187" s="56" t="s">
        <v>6311</v>
      </c>
      <c r="AR187" s="56" t="s">
        <v>6311</v>
      </c>
      <c r="AS187" s="155"/>
      <c r="AT187" s="58" t="s">
        <v>266</v>
      </c>
      <c r="AU187" s="56">
        <v>6</v>
      </c>
      <c r="AV187" s="56">
        <v>120</v>
      </c>
      <c r="AW187" s="56">
        <v>114</v>
      </c>
      <c r="AX187" s="56">
        <v>28</v>
      </c>
      <c r="AY187" s="56" t="s">
        <v>8728</v>
      </c>
      <c r="AZ187" s="56" t="s">
        <v>1563</v>
      </c>
      <c r="BA187" s="56">
        <v>32</v>
      </c>
      <c r="BB187" s="55" t="s">
        <v>2485</v>
      </c>
      <c r="BC187" s="55" t="s">
        <v>8726</v>
      </c>
      <c r="BD187" s="55" t="s">
        <v>8374</v>
      </c>
      <c r="BE187" s="56" t="s">
        <v>2449</v>
      </c>
      <c r="BF187" s="56" t="s">
        <v>272</v>
      </c>
      <c r="BG187" s="56" t="s">
        <v>272</v>
      </c>
      <c r="BH187" s="56" t="s">
        <v>2486</v>
      </c>
      <c r="BI187" s="153">
        <v>1.75424E-3</v>
      </c>
      <c r="BJ187" s="153">
        <v>17.542400000000001</v>
      </c>
      <c r="BK187" s="56"/>
      <c r="BL187" s="153">
        <v>340.50934521239503</v>
      </c>
      <c r="BM187" s="56" t="s">
        <v>2487</v>
      </c>
      <c r="BN187" s="56"/>
      <c r="BO187" s="56"/>
      <c r="BP187" s="56"/>
      <c r="BQ187" s="56"/>
      <c r="BR187" s="55">
        <v>5.5473939557000005</v>
      </c>
      <c r="BS187" s="56"/>
      <c r="BT187" s="56"/>
      <c r="BU187" s="158"/>
      <c r="BV187" s="56"/>
      <c r="BW187" s="56"/>
      <c r="BX187" s="56"/>
      <c r="BY187" s="56"/>
      <c r="BZ187" s="56"/>
      <c r="CA187" s="56"/>
      <c r="CB187" s="56"/>
      <c r="CC187" s="56"/>
      <c r="CD187" s="56"/>
      <c r="CE187" s="56"/>
      <c r="CF187" s="56"/>
      <c r="CG187" s="56"/>
      <c r="CH187" s="56"/>
      <c r="CI187" s="103">
        <v>5.5473939557000005</v>
      </c>
      <c r="CJ187" s="103">
        <f t="shared" si="53"/>
        <v>0.7440890089852511</v>
      </c>
      <c r="CK187" s="57">
        <f t="shared" si="56"/>
        <v>19.410647642990412</v>
      </c>
      <c r="CL187" s="160">
        <f t="shared" si="57"/>
        <v>61.381857486886865</v>
      </c>
      <c r="CM187" s="160"/>
      <c r="CN187" s="160"/>
      <c r="CO187" s="55" t="s">
        <v>2488</v>
      </c>
      <c r="CP187" s="497" t="s">
        <v>2489</v>
      </c>
      <c r="CQ187" s="149" t="s">
        <v>272</v>
      </c>
      <c r="CR187" s="349"/>
      <c r="CS187" s="61" t="s">
        <v>539</v>
      </c>
      <c r="CT187" s="61"/>
      <c r="CU187" s="111">
        <f t="shared" si="58"/>
        <v>6.6697985207959034</v>
      </c>
      <c r="CV187" s="331">
        <f t="shared" si="59"/>
        <v>2.109175483400219</v>
      </c>
      <c r="CW187" s="326">
        <f t="shared" si="54"/>
        <v>1</v>
      </c>
      <c r="CX187" s="326"/>
      <c r="CY187" s="161" t="s">
        <v>5921</v>
      </c>
    </row>
    <row r="188" spans="1:103" ht="11.25" customHeight="1" x14ac:dyDescent="0.2">
      <c r="A188" s="72">
        <v>352</v>
      </c>
      <c r="B188" s="149">
        <v>1039</v>
      </c>
      <c r="C188" s="54" t="s">
        <v>987</v>
      </c>
      <c r="D188" s="54" t="s">
        <v>6493</v>
      </c>
      <c r="E188" s="59"/>
      <c r="F188" s="59" t="s">
        <v>988</v>
      </c>
      <c r="G188" s="151">
        <v>1689845</v>
      </c>
      <c r="H188" s="55" t="s">
        <v>989</v>
      </c>
      <c r="I188" s="55" t="s">
        <v>8319</v>
      </c>
      <c r="J188" s="55" t="s">
        <v>990</v>
      </c>
      <c r="K188" s="55" t="s">
        <v>349</v>
      </c>
      <c r="L188" s="55" t="s">
        <v>5248</v>
      </c>
      <c r="M188" s="55" t="s">
        <v>991</v>
      </c>
      <c r="N188" s="60" t="s">
        <v>6381</v>
      </c>
      <c r="O188" s="55" t="s">
        <v>992</v>
      </c>
      <c r="P188" s="67"/>
      <c r="Q188" s="67"/>
      <c r="R188" s="67"/>
      <c r="S188" s="67"/>
      <c r="T188" s="56">
        <v>276.91000000000003</v>
      </c>
      <c r="U188" s="103">
        <v>130</v>
      </c>
      <c r="V188" s="103">
        <v>43.87</v>
      </c>
      <c r="W188" s="103">
        <v>210.05771630133103</v>
      </c>
      <c r="X188" s="103">
        <v>130</v>
      </c>
      <c r="Y188" s="162">
        <v>3.98</v>
      </c>
      <c r="Z188" s="56">
        <v>3.39</v>
      </c>
      <c r="AA188" s="56"/>
      <c r="AB188" s="56">
        <v>3.19</v>
      </c>
      <c r="AC188" s="56">
        <v>0.87050000000000005</v>
      </c>
      <c r="AD188" s="56">
        <v>3.14</v>
      </c>
      <c r="AE188" s="56">
        <v>2.95</v>
      </c>
      <c r="AF188" s="56">
        <f t="shared" si="61"/>
        <v>3.14</v>
      </c>
      <c r="AG188" s="57">
        <v>2.88</v>
      </c>
      <c r="AH188" s="103">
        <v>8.6000000000000003E-10</v>
      </c>
      <c r="AI188" s="103">
        <v>1.3200000000000001E-10</v>
      </c>
      <c r="AJ188" s="62">
        <f t="shared" si="64"/>
        <v>-7.4540678750690841</v>
      </c>
      <c r="AK188" s="62">
        <f>LOG10(AI188*1000/(0.08206*298.15))</f>
        <v>-8.267992395106802</v>
      </c>
      <c r="AL188" s="62">
        <f t="shared" si="65"/>
        <v>-8.267992395106802</v>
      </c>
      <c r="AM188" s="62">
        <v>-8.8538800000000002</v>
      </c>
      <c r="AN188" s="154">
        <v>-5.6</v>
      </c>
      <c r="AO188" s="410">
        <v>4.78</v>
      </c>
      <c r="AP188" s="410"/>
      <c r="AQ188" s="56" t="s">
        <v>6311</v>
      </c>
      <c r="AR188" s="56" t="s">
        <v>6311</v>
      </c>
      <c r="AS188" s="155"/>
      <c r="AT188" s="58" t="s">
        <v>266</v>
      </c>
      <c r="AU188" s="56">
        <v>6</v>
      </c>
      <c r="AV188" s="56">
        <v>120</v>
      </c>
      <c r="AW188" s="56">
        <v>114</v>
      </c>
      <c r="AX188" s="56">
        <v>28</v>
      </c>
      <c r="AY188" s="56" t="s">
        <v>8728</v>
      </c>
      <c r="AZ188" s="56" t="s">
        <v>1563</v>
      </c>
      <c r="BA188" s="56">
        <v>32</v>
      </c>
      <c r="BB188" s="55" t="s">
        <v>2485</v>
      </c>
      <c r="BC188" s="55" t="s">
        <v>8726</v>
      </c>
      <c r="BD188" s="55" t="s">
        <v>8374</v>
      </c>
      <c r="BE188" s="56" t="s">
        <v>2449</v>
      </c>
      <c r="BF188" s="56" t="s">
        <v>272</v>
      </c>
      <c r="BG188" s="56" t="s">
        <v>272</v>
      </c>
      <c r="BH188" s="56" t="s">
        <v>2486</v>
      </c>
      <c r="BI188" s="153">
        <v>1.772224E-3</v>
      </c>
      <c r="BJ188" s="153">
        <v>17.722240000000003</v>
      </c>
      <c r="BK188" s="56"/>
      <c r="BL188" s="153">
        <v>12.840432128958261</v>
      </c>
      <c r="BM188" s="56" t="s">
        <v>2046</v>
      </c>
      <c r="BN188" s="56"/>
      <c r="BO188" s="56"/>
      <c r="BP188" s="56"/>
      <c r="BQ188" s="56"/>
      <c r="BR188" s="55">
        <v>2.2789693</v>
      </c>
      <c r="BS188" s="56"/>
      <c r="BT188" s="56"/>
      <c r="BU188" s="158"/>
      <c r="BV188" s="56"/>
      <c r="BW188" s="56"/>
      <c r="BX188" s="56"/>
      <c r="BY188" s="56"/>
      <c r="BZ188" s="56"/>
      <c r="CA188" s="56"/>
      <c r="CB188" s="56"/>
      <c r="CC188" s="56"/>
      <c r="CD188" s="56"/>
      <c r="CE188" s="56"/>
      <c r="CF188" s="56"/>
      <c r="CG188" s="56"/>
      <c r="CH188" s="56"/>
      <c r="CI188" s="103">
        <v>2.2789693</v>
      </c>
      <c r="CJ188" s="103">
        <f t="shared" si="53"/>
        <v>0.3577384748379458</v>
      </c>
      <c r="CK188" s="57">
        <f t="shared" si="56"/>
        <v>0.72453776322622077</v>
      </c>
      <c r="CL188" s="160">
        <f t="shared" si="57"/>
        <v>5.634315534201475</v>
      </c>
      <c r="CM188" s="160">
        <v>0.7877093956071799</v>
      </c>
      <c r="CN188" s="160">
        <f>BJ188/(10^CM188)</f>
        <v>2.8894103093206964</v>
      </c>
      <c r="CO188" s="55" t="s">
        <v>2488</v>
      </c>
      <c r="CP188" s="497" t="s">
        <v>2489</v>
      </c>
      <c r="CQ188" s="149">
        <v>0.97765532375296005</v>
      </c>
      <c r="CR188" s="349">
        <f>10^(CJ188-CQ188)</f>
        <v>0.23992922494151767</v>
      </c>
      <c r="CS188" s="61" t="s">
        <v>539</v>
      </c>
      <c r="CT188" s="61"/>
      <c r="CU188" s="111">
        <f t="shared" si="58"/>
        <v>57.043330947898248</v>
      </c>
      <c r="CV188" s="331">
        <f t="shared" si="59"/>
        <v>7.3354158390812891</v>
      </c>
      <c r="CW188" s="326">
        <f t="shared" si="54"/>
        <v>1</v>
      </c>
      <c r="CX188" s="326"/>
      <c r="CY188" s="161" t="s">
        <v>5921</v>
      </c>
    </row>
    <row r="189" spans="1:103" ht="11.25" customHeight="1" x14ac:dyDescent="0.2">
      <c r="A189" s="72">
        <v>354</v>
      </c>
      <c r="B189" s="149">
        <v>899</v>
      </c>
      <c r="C189" s="54" t="s">
        <v>2563</v>
      </c>
      <c r="D189" s="54" t="s">
        <v>6670</v>
      </c>
      <c r="E189" s="59"/>
      <c r="F189" s="59" t="s">
        <v>2564</v>
      </c>
      <c r="G189" s="151">
        <v>528290</v>
      </c>
      <c r="H189" s="55" t="s">
        <v>2565</v>
      </c>
      <c r="I189" s="55" t="s">
        <v>8336</v>
      </c>
      <c r="J189" s="55" t="s">
        <v>2566</v>
      </c>
      <c r="K189" s="55" t="s">
        <v>1011</v>
      </c>
      <c r="L189" s="55" t="s">
        <v>6071</v>
      </c>
      <c r="M189" s="60" t="s">
        <v>2342</v>
      </c>
      <c r="N189" s="60" t="s">
        <v>2342</v>
      </c>
      <c r="O189" s="55"/>
      <c r="P189" s="67"/>
      <c r="Q189" s="67"/>
      <c r="R189" s="67"/>
      <c r="S189" s="67"/>
      <c r="T189" s="56">
        <v>168.11</v>
      </c>
      <c r="U189" s="103">
        <v>500</v>
      </c>
      <c r="V189" s="103">
        <v>921.50000000000011</v>
      </c>
      <c r="W189" s="103">
        <v>422.27322800107515</v>
      </c>
      <c r="X189" s="103">
        <v>500</v>
      </c>
      <c r="Y189" s="162">
        <v>7</v>
      </c>
      <c r="Z189" s="56">
        <v>1.63</v>
      </c>
      <c r="AA189" s="56">
        <v>1.69</v>
      </c>
      <c r="AB189" s="56">
        <v>1.54</v>
      </c>
      <c r="AC189" s="56">
        <v>0.92079999999999995</v>
      </c>
      <c r="AD189" s="56">
        <v>1.6</v>
      </c>
      <c r="AE189" s="56">
        <v>1.84</v>
      </c>
      <c r="AF189" s="56">
        <f t="shared" si="61"/>
        <v>1.69</v>
      </c>
      <c r="AG189" s="57">
        <v>1.04</v>
      </c>
      <c r="AH189" s="103">
        <v>8.3900000000000004E-8</v>
      </c>
      <c r="AI189" s="103">
        <v>5.3300000000000001E-8</v>
      </c>
      <c r="AJ189" s="62">
        <f t="shared" si="64"/>
        <v>-5.4648043654839515</v>
      </c>
      <c r="AK189" s="62">
        <f>LOG10(AI189*1000/(0.08206*298.15))</f>
        <v>-5.6618391172860791</v>
      </c>
      <c r="AL189" s="62">
        <f t="shared" si="65"/>
        <v>-5.6618391172860791</v>
      </c>
      <c r="AM189" s="62">
        <v>-7.4061899999999996</v>
      </c>
      <c r="AN189" s="154">
        <v>-5</v>
      </c>
      <c r="AO189" s="410"/>
      <c r="AP189" s="410"/>
      <c r="AQ189" s="56" t="s">
        <v>6311</v>
      </c>
      <c r="AR189" s="56" t="s">
        <v>6311</v>
      </c>
      <c r="AS189" s="155"/>
      <c r="AT189" s="58" t="s">
        <v>266</v>
      </c>
      <c r="AU189" s="56">
        <v>6</v>
      </c>
      <c r="AV189" s="56">
        <v>120</v>
      </c>
      <c r="AW189" s="56">
        <v>114</v>
      </c>
      <c r="AX189" s="56">
        <v>28</v>
      </c>
      <c r="AY189" s="56" t="s">
        <v>8728</v>
      </c>
      <c r="AZ189" s="56" t="s">
        <v>1563</v>
      </c>
      <c r="BA189" s="56">
        <v>32</v>
      </c>
      <c r="BB189" s="55" t="s">
        <v>2485</v>
      </c>
      <c r="BC189" s="55" t="s">
        <v>8726</v>
      </c>
      <c r="BD189" s="55" t="s">
        <v>8374</v>
      </c>
      <c r="BE189" s="56" t="s">
        <v>2449</v>
      </c>
      <c r="BF189" s="56" t="s">
        <v>272</v>
      </c>
      <c r="BG189" s="56" t="s">
        <v>272</v>
      </c>
      <c r="BH189" s="56" t="s">
        <v>2486</v>
      </c>
      <c r="BI189" s="153">
        <v>1.0759040000000001E-3</v>
      </c>
      <c r="BJ189" s="153">
        <v>10.759040000000001</v>
      </c>
      <c r="BK189" s="56"/>
      <c r="BL189" s="153">
        <v>296.81821442002718</v>
      </c>
      <c r="BM189" s="56" t="s">
        <v>2046</v>
      </c>
      <c r="BN189" s="56"/>
      <c r="BO189" s="56"/>
      <c r="BP189" s="56"/>
      <c r="BQ189" s="56"/>
      <c r="BR189" s="55">
        <v>1.2288841000000001</v>
      </c>
      <c r="BS189" s="56"/>
      <c r="BT189" s="56"/>
      <c r="BU189" s="158"/>
      <c r="BV189" s="56"/>
      <c r="BW189" s="56"/>
      <c r="BX189" s="56"/>
      <c r="BY189" s="56"/>
      <c r="BZ189" s="56"/>
      <c r="CA189" s="56"/>
      <c r="CB189" s="56"/>
      <c r="CC189" s="56"/>
      <c r="CD189" s="56"/>
      <c r="CE189" s="56"/>
      <c r="CF189" s="56"/>
      <c r="CG189" s="56"/>
      <c r="CH189" s="56"/>
      <c r="CI189" s="103">
        <v>1.2288841000000001</v>
      </c>
      <c r="CJ189" s="103">
        <f t="shared" si="53"/>
        <v>8.9510925112660095E-2</v>
      </c>
      <c r="CK189" s="57">
        <f t="shared" si="56"/>
        <v>27.587797277454786</v>
      </c>
      <c r="CL189" s="160">
        <f t="shared" si="57"/>
        <v>241.53475044556859</v>
      </c>
      <c r="CM189" s="160">
        <v>-0.22330124493806014</v>
      </c>
      <c r="CN189" s="160">
        <f>BJ189/(10^CM189)</f>
        <v>17.991806310089508</v>
      </c>
      <c r="CO189" s="55" t="s">
        <v>2488</v>
      </c>
      <c r="CP189" s="497" t="s">
        <v>2489</v>
      </c>
      <c r="CQ189" s="149">
        <v>-0.22330124493805997</v>
      </c>
      <c r="CR189" s="349">
        <f>10^(CJ189-CQ189)</f>
        <v>2.0550016269805353</v>
      </c>
      <c r="CS189" s="61" t="s">
        <v>539</v>
      </c>
      <c r="CT189" s="61"/>
      <c r="CU189" s="111">
        <f t="shared" si="58"/>
        <v>406.87319495792968</v>
      </c>
      <c r="CV189" s="331">
        <f t="shared" si="59"/>
        <v>46.47254773660103</v>
      </c>
      <c r="CW189" s="326">
        <f t="shared" si="54"/>
        <v>1</v>
      </c>
      <c r="CX189" s="326"/>
      <c r="CY189" s="161" t="s">
        <v>5921</v>
      </c>
    </row>
    <row r="190" spans="1:103" ht="11.25" customHeight="1" x14ac:dyDescent="0.2">
      <c r="A190" s="72">
        <v>371</v>
      </c>
      <c r="B190" s="149">
        <v>1290</v>
      </c>
      <c r="C190" s="54" t="s">
        <v>1469</v>
      </c>
      <c r="D190" s="54" t="s">
        <v>6682</v>
      </c>
      <c r="E190" s="59"/>
      <c r="F190" s="59" t="s">
        <v>1470</v>
      </c>
      <c r="G190" s="151">
        <v>119168773</v>
      </c>
      <c r="H190" s="55" t="s">
        <v>1471</v>
      </c>
      <c r="I190" s="55" t="s">
        <v>7899</v>
      </c>
      <c r="J190" s="55" t="s">
        <v>1472</v>
      </c>
      <c r="K190" s="55" t="s">
        <v>1473</v>
      </c>
      <c r="L190" s="55" t="s">
        <v>617</v>
      </c>
      <c r="M190" s="55" t="s">
        <v>6011</v>
      </c>
      <c r="N190" s="60" t="s">
        <v>6381</v>
      </c>
      <c r="O190" s="55" t="s">
        <v>918</v>
      </c>
      <c r="P190" s="67"/>
      <c r="Q190" s="67"/>
      <c r="R190" s="67"/>
      <c r="S190" s="67"/>
      <c r="T190" s="56">
        <v>333.86</v>
      </c>
      <c r="U190" s="103">
        <v>2.6</v>
      </c>
      <c r="V190" s="103">
        <v>0.89559999999999995</v>
      </c>
      <c r="W190" s="103">
        <v>10.557580196238137</v>
      </c>
      <c r="X190" s="103">
        <v>2.6</v>
      </c>
      <c r="Y190" s="162">
        <v>7</v>
      </c>
      <c r="Z190" s="56">
        <v>5.76</v>
      </c>
      <c r="AA190" s="56">
        <v>4.6100000000000003</v>
      </c>
      <c r="AB190" s="56">
        <v>4.5599999999999996</v>
      </c>
      <c r="AC190" s="56">
        <v>0.85609999999999997</v>
      </c>
      <c r="AD190" s="56">
        <v>4.41</v>
      </c>
      <c r="AE190" s="56">
        <v>3.9</v>
      </c>
      <c r="AF190" s="56">
        <f t="shared" si="61"/>
        <v>4.6100000000000003</v>
      </c>
      <c r="AG190" s="57">
        <v>4.6500000000000004</v>
      </c>
      <c r="AH190" s="103">
        <v>1.6100000000000001E-11</v>
      </c>
      <c r="AI190" s="103"/>
      <c r="AJ190" s="62">
        <f t="shared" si="64"/>
        <v>-9.1817404502808024</v>
      </c>
      <c r="AK190" s="62"/>
      <c r="AL190" s="62">
        <f t="shared" si="65"/>
        <v>-9.1817404502808024</v>
      </c>
      <c r="AM190" s="62">
        <v>-14.803520000000001</v>
      </c>
      <c r="AN190" s="154">
        <v>-8.34</v>
      </c>
      <c r="AO190" s="410">
        <v>13.19</v>
      </c>
      <c r="AP190" s="410">
        <v>-0.91</v>
      </c>
      <c r="AQ190" s="56" t="s">
        <v>6311</v>
      </c>
      <c r="AR190" s="56" t="s">
        <v>6311</v>
      </c>
      <c r="AS190" s="155"/>
      <c r="AT190" s="58" t="s">
        <v>266</v>
      </c>
      <c r="AU190" s="56">
        <v>6</v>
      </c>
      <c r="AV190" s="56">
        <v>120</v>
      </c>
      <c r="AW190" s="56">
        <v>114</v>
      </c>
      <c r="AX190" s="56">
        <v>28</v>
      </c>
      <c r="AY190" s="56" t="s">
        <v>8728</v>
      </c>
      <c r="AZ190" s="56" t="s">
        <v>1563</v>
      </c>
      <c r="BA190" s="56">
        <v>32</v>
      </c>
      <c r="BB190" s="55" t="s">
        <v>2485</v>
      </c>
      <c r="BC190" s="55" t="s">
        <v>8726</v>
      </c>
      <c r="BD190" s="55" t="s">
        <v>8374</v>
      </c>
      <c r="BE190" s="56" t="s">
        <v>2449</v>
      </c>
      <c r="BF190" s="56" t="s">
        <v>272</v>
      </c>
      <c r="BG190" s="56" t="s">
        <v>272</v>
      </c>
      <c r="BH190" s="56" t="s">
        <v>2486</v>
      </c>
      <c r="BI190" s="153">
        <v>2.1367040000000001E-3</v>
      </c>
      <c r="BJ190" s="153">
        <v>21.367040000000003</v>
      </c>
      <c r="BK190" s="56"/>
      <c r="BL190" s="153">
        <v>0.11516178533197297</v>
      </c>
      <c r="BM190" s="56" t="s">
        <v>2487</v>
      </c>
      <c r="BN190" s="56"/>
      <c r="BO190" s="56"/>
      <c r="BP190" s="56"/>
      <c r="BQ190" s="56"/>
      <c r="BR190" s="55">
        <v>1.4456137999999998</v>
      </c>
      <c r="BS190" s="56"/>
      <c r="BT190" s="56"/>
      <c r="BU190" s="158"/>
      <c r="BV190" s="56"/>
      <c r="BW190" s="56"/>
      <c r="BX190" s="56"/>
      <c r="BY190" s="56"/>
      <c r="BZ190" s="56"/>
      <c r="CA190" s="56"/>
      <c r="CB190" s="56"/>
      <c r="CC190" s="56"/>
      <c r="CD190" s="56"/>
      <c r="CE190" s="56"/>
      <c r="CF190" s="56"/>
      <c r="CG190" s="56"/>
      <c r="CH190" s="56"/>
      <c r="CI190" s="103">
        <v>1.4456137999999998</v>
      </c>
      <c r="CJ190" s="103">
        <f t="shared" si="53"/>
        <v>0.16005228539905966</v>
      </c>
      <c r="CK190" s="57">
        <f t="shared" si="56"/>
        <v>5.3896929725396198E-3</v>
      </c>
      <c r="CL190" s="160">
        <f t="shared" si="57"/>
        <v>7.9662898439384691E-2</v>
      </c>
      <c r="CM190" s="160">
        <v>-1.7495799976911066</v>
      </c>
      <c r="CN190" s="160">
        <f>BJ190/(10^CM190)</f>
        <v>1200.3955056179798</v>
      </c>
      <c r="CO190" s="55" t="s">
        <v>2488</v>
      </c>
      <c r="CP190" s="497" t="s">
        <v>2489</v>
      </c>
      <c r="CQ190" s="149">
        <v>-1.3905485245685854</v>
      </c>
      <c r="CR190" s="349">
        <f>10^(CJ190-CQ190)</f>
        <v>35.530458346460385</v>
      </c>
      <c r="CS190" s="61" t="s">
        <v>539</v>
      </c>
      <c r="CT190" s="61"/>
      <c r="CU190" s="111">
        <f t="shared" si="58"/>
        <v>1.7985439818020557</v>
      </c>
      <c r="CV190" s="331">
        <f t="shared" si="59"/>
        <v>0.12168274126879529</v>
      </c>
      <c r="CW190" s="326">
        <f t="shared" si="54"/>
        <v>0</v>
      </c>
      <c r="CX190" s="326"/>
      <c r="CY190" s="161" t="s">
        <v>5921</v>
      </c>
    </row>
    <row r="191" spans="1:103" ht="11.25" customHeight="1" x14ac:dyDescent="0.2">
      <c r="A191" s="72">
        <v>373</v>
      </c>
      <c r="B191" s="149">
        <v>961</v>
      </c>
      <c r="C191" s="54" t="s">
        <v>6684</v>
      </c>
      <c r="D191" s="54"/>
      <c r="E191" s="59"/>
      <c r="F191" s="59" t="s">
        <v>2740</v>
      </c>
      <c r="G191" s="151">
        <v>134002601</v>
      </c>
      <c r="H191" s="55" t="s">
        <v>2741</v>
      </c>
      <c r="I191" s="55" t="s">
        <v>7799</v>
      </c>
      <c r="J191" s="55" t="s">
        <v>2742</v>
      </c>
      <c r="K191" s="55" t="s">
        <v>426</v>
      </c>
      <c r="L191" s="55"/>
      <c r="M191" s="55"/>
      <c r="N191" s="60"/>
      <c r="O191" s="55"/>
      <c r="P191" s="67"/>
      <c r="Q191" s="67"/>
      <c r="R191" s="67"/>
      <c r="S191" s="67"/>
      <c r="T191" s="56">
        <v>340.33</v>
      </c>
      <c r="U191" s="103"/>
      <c r="V191" s="103">
        <v>0.92730000000000001</v>
      </c>
      <c r="W191" s="103">
        <v>31.03846489579966</v>
      </c>
      <c r="X191" s="103">
        <v>31.03846489579966</v>
      </c>
      <c r="Y191" s="162">
        <v>7.01</v>
      </c>
      <c r="Z191" s="56">
        <v>4.55</v>
      </c>
      <c r="AA191" s="56"/>
      <c r="AB191" s="56">
        <v>2.85</v>
      </c>
      <c r="AC191" s="56">
        <v>0.64880000000000004</v>
      </c>
      <c r="AD191" s="56">
        <v>3.04</v>
      </c>
      <c r="AE191" s="56">
        <v>3.37</v>
      </c>
      <c r="AF191" s="56">
        <f t="shared" si="61"/>
        <v>3.04</v>
      </c>
      <c r="AG191" s="57">
        <v>4.7</v>
      </c>
      <c r="AH191" s="103">
        <v>1.4399999999999999E-13</v>
      </c>
      <c r="AI191" s="103"/>
      <c r="AJ191" s="62">
        <f t="shared" si="64"/>
        <v>-11.230203834217402</v>
      </c>
      <c r="AK191" s="62"/>
      <c r="AL191" s="62">
        <f t="shared" si="65"/>
        <v>-11.230203834217402</v>
      </c>
      <c r="AM191" s="62">
        <v>-14.939299999999998</v>
      </c>
      <c r="AN191" s="154">
        <v>-12.7</v>
      </c>
      <c r="AO191" s="410"/>
      <c r="AP191" s="410">
        <v>2.42</v>
      </c>
      <c r="AQ191" s="56" t="s">
        <v>6311</v>
      </c>
      <c r="AR191" s="56" t="s">
        <v>6311</v>
      </c>
      <c r="AS191" s="155"/>
      <c r="AT191" s="58" t="s">
        <v>266</v>
      </c>
      <c r="AU191" s="56">
        <v>6</v>
      </c>
      <c r="AV191" s="56">
        <v>120</v>
      </c>
      <c r="AW191" s="56">
        <v>114</v>
      </c>
      <c r="AX191" s="56">
        <v>28</v>
      </c>
      <c r="AY191" s="56" t="s">
        <v>8728</v>
      </c>
      <c r="AZ191" s="56" t="s">
        <v>1563</v>
      </c>
      <c r="BA191" s="56">
        <v>32</v>
      </c>
      <c r="BB191" s="55" t="s">
        <v>2485</v>
      </c>
      <c r="BC191" s="55" t="s">
        <v>8726</v>
      </c>
      <c r="BD191" s="55" t="s">
        <v>8374</v>
      </c>
      <c r="BE191" s="56" t="s">
        <v>2449</v>
      </c>
      <c r="BF191" s="56" t="s">
        <v>272</v>
      </c>
      <c r="BG191" s="56" t="s">
        <v>272</v>
      </c>
      <c r="BH191" s="56" t="s">
        <v>2486</v>
      </c>
      <c r="BI191" s="153">
        <v>2.1781119999999998E-3</v>
      </c>
      <c r="BJ191" s="153">
        <v>21.781119999999998</v>
      </c>
      <c r="BK191" s="56"/>
      <c r="BL191" s="153">
        <v>1.4333268410796356</v>
      </c>
      <c r="BM191" s="56" t="s">
        <v>2046</v>
      </c>
      <c r="BN191" s="56">
        <v>6887.7949206198991</v>
      </c>
      <c r="BO191" s="56"/>
      <c r="BP191" s="56"/>
      <c r="BQ191" s="56"/>
      <c r="BR191" s="55">
        <v>6.8877949104100002</v>
      </c>
      <c r="BS191" s="56"/>
      <c r="BT191" s="56"/>
      <c r="BU191" s="158"/>
      <c r="BV191" s="56"/>
      <c r="BW191" s="56"/>
      <c r="BX191" s="56"/>
      <c r="BY191" s="56"/>
      <c r="BZ191" s="56"/>
      <c r="CA191" s="56"/>
      <c r="CB191" s="56"/>
      <c r="CC191" s="56"/>
      <c r="CD191" s="56"/>
      <c r="CE191" s="56"/>
      <c r="CF191" s="56"/>
      <c r="CG191" s="56"/>
      <c r="CH191" s="56"/>
      <c r="CI191" s="103">
        <v>6.8877949104100002</v>
      </c>
      <c r="CJ191" s="103">
        <f t="shared" si="53"/>
        <v>0.83808020717334608</v>
      </c>
      <c r="CK191" s="57">
        <f t="shared" si="56"/>
        <v>6.5805929221253806E-2</v>
      </c>
      <c r="CL191" s="160">
        <f t="shared" si="57"/>
        <v>0.20809662014084504</v>
      </c>
      <c r="CM191" s="160"/>
      <c r="CN191" s="160"/>
      <c r="CO191" s="55" t="s">
        <v>2488</v>
      </c>
      <c r="CP191" s="497" t="s">
        <v>2489</v>
      </c>
      <c r="CQ191" s="149" t="s">
        <v>272</v>
      </c>
      <c r="CR191" s="349"/>
      <c r="CS191" s="61" t="s">
        <v>539</v>
      </c>
      <c r="CT191" s="61"/>
      <c r="CU191" s="111">
        <f t="shared" si="58"/>
        <v>4.506299229219076</v>
      </c>
      <c r="CV191" s="331">
        <f t="shared" si="59"/>
        <v>1.4250169364936083</v>
      </c>
      <c r="CW191" s="326">
        <f t="shared" si="54"/>
        <v>1</v>
      </c>
      <c r="CX191" s="326"/>
      <c r="CY191" s="161" t="s">
        <v>5921</v>
      </c>
    </row>
    <row r="192" spans="1:103" ht="11.25" customHeight="1" x14ac:dyDescent="0.2">
      <c r="A192" s="72">
        <v>375</v>
      </c>
      <c r="B192" s="149">
        <v>1012</v>
      </c>
      <c r="C192" s="54" t="s">
        <v>6687</v>
      </c>
      <c r="D192" s="54"/>
      <c r="E192" s="59"/>
      <c r="F192" s="59" t="s">
        <v>2894</v>
      </c>
      <c r="G192" s="151">
        <v>135080034</v>
      </c>
      <c r="H192" s="55" t="s">
        <v>2895</v>
      </c>
      <c r="I192" s="55" t="s">
        <v>7745</v>
      </c>
      <c r="J192" s="55" t="s">
        <v>2896</v>
      </c>
      <c r="K192" s="55" t="s">
        <v>306</v>
      </c>
      <c r="L192" s="55"/>
      <c r="M192" s="55"/>
      <c r="N192" s="60"/>
      <c r="O192" s="55"/>
      <c r="P192" s="67"/>
      <c r="Q192" s="67"/>
      <c r="R192" s="67"/>
      <c r="S192" s="67"/>
      <c r="T192" s="56">
        <v>301.79000000000002</v>
      </c>
      <c r="U192" s="103"/>
      <c r="V192" s="103">
        <v>0.32540000000000002</v>
      </c>
      <c r="W192" s="103">
        <v>10.957332614906869</v>
      </c>
      <c r="X192" s="103">
        <v>10.957332614906869</v>
      </c>
      <c r="Y192" s="162">
        <v>7</v>
      </c>
      <c r="Z192" s="56">
        <v>5.35</v>
      </c>
      <c r="AA192" s="56"/>
      <c r="AB192" s="56">
        <v>3.79</v>
      </c>
      <c r="AC192" s="56">
        <v>0.4133</v>
      </c>
      <c r="AD192" s="56">
        <v>3.43</v>
      </c>
      <c r="AE192" s="56">
        <v>3.14</v>
      </c>
      <c r="AF192" s="56">
        <f t="shared" si="61"/>
        <v>3.43</v>
      </c>
      <c r="AG192" s="57">
        <v>4.05</v>
      </c>
      <c r="AH192" s="103">
        <v>3.9099999999999999E-11</v>
      </c>
      <c r="AI192" s="103"/>
      <c r="AJ192" s="62">
        <f t="shared" si="64"/>
        <v>-8.7963895689167853</v>
      </c>
      <c r="AK192" s="62"/>
      <c r="AL192" s="62">
        <f t="shared" si="65"/>
        <v>-8.7963895689167853</v>
      </c>
      <c r="AM192" s="62">
        <v>-12.697209999999998</v>
      </c>
      <c r="AN192" s="154">
        <v>-8.7799999999999994</v>
      </c>
      <c r="AO192" s="410">
        <v>11.36</v>
      </c>
      <c r="AP192" s="410">
        <v>2.2200000000000002</v>
      </c>
      <c r="AQ192" s="56" t="s">
        <v>6311</v>
      </c>
      <c r="AR192" s="56" t="s">
        <v>6311</v>
      </c>
      <c r="AS192" s="155"/>
      <c r="AT192" s="58" t="s">
        <v>266</v>
      </c>
      <c r="AU192" s="56">
        <v>6</v>
      </c>
      <c r="AV192" s="56">
        <v>120</v>
      </c>
      <c r="AW192" s="56">
        <v>114</v>
      </c>
      <c r="AX192" s="56">
        <v>28</v>
      </c>
      <c r="AY192" s="56" t="s">
        <v>8728</v>
      </c>
      <c r="AZ192" s="56" t="s">
        <v>1563</v>
      </c>
      <c r="BA192" s="56">
        <v>32</v>
      </c>
      <c r="BB192" s="55" t="s">
        <v>2485</v>
      </c>
      <c r="BC192" s="55" t="s">
        <v>8726</v>
      </c>
      <c r="BD192" s="55" t="s">
        <v>8374</v>
      </c>
      <c r="BE192" s="56" t="s">
        <v>2449</v>
      </c>
      <c r="BF192" s="56" t="s">
        <v>272</v>
      </c>
      <c r="BG192" s="56" t="s">
        <v>272</v>
      </c>
      <c r="BH192" s="56" t="s">
        <v>2486</v>
      </c>
      <c r="BI192" s="153">
        <v>1.931456E-3</v>
      </c>
      <c r="BJ192" s="153">
        <v>19.31456</v>
      </c>
      <c r="BK192" s="56"/>
      <c r="BL192" s="153">
        <v>0.24303557262717729</v>
      </c>
      <c r="BM192" s="56" t="s">
        <v>2046</v>
      </c>
      <c r="BN192" s="56">
        <v>6107.8001618836997</v>
      </c>
      <c r="BO192" s="56"/>
      <c r="BP192" s="56"/>
      <c r="BQ192" s="56"/>
      <c r="BR192" s="55">
        <v>0.61078010581999997</v>
      </c>
      <c r="BS192" s="56"/>
      <c r="BT192" s="56"/>
      <c r="BU192" s="158"/>
      <c r="BV192" s="56"/>
      <c r="BW192" s="56"/>
      <c r="BX192" s="56"/>
      <c r="BY192" s="56"/>
      <c r="BZ192" s="56"/>
      <c r="CA192" s="56"/>
      <c r="CB192" s="56"/>
      <c r="CC192" s="56"/>
      <c r="CD192" s="56"/>
      <c r="CE192" s="56"/>
      <c r="CF192" s="56"/>
      <c r="CG192" s="56"/>
      <c r="CH192" s="56"/>
      <c r="CI192" s="103">
        <v>0.61078010581999997</v>
      </c>
      <c r="CJ192" s="103">
        <f t="shared" ref="CJ192:CJ223" si="66">LOG10(CI192)</f>
        <v>-0.2141151171187326</v>
      </c>
      <c r="CK192" s="57">
        <f t="shared" si="56"/>
        <v>1.2583024030947496E-2</v>
      </c>
      <c r="CL192" s="160">
        <f t="shared" si="57"/>
        <v>0.39791009941440547</v>
      </c>
      <c r="CM192" s="160"/>
      <c r="CN192" s="160"/>
      <c r="CO192" s="55" t="s">
        <v>2488</v>
      </c>
      <c r="CP192" s="497" t="s">
        <v>2489</v>
      </c>
      <c r="CQ192" s="149" t="s">
        <v>272</v>
      </c>
      <c r="CR192" s="349"/>
      <c r="CS192" s="61" t="s">
        <v>539</v>
      </c>
      <c r="CT192" s="61"/>
      <c r="CU192" s="111">
        <f t="shared" si="58"/>
        <v>17.93989769885539</v>
      </c>
      <c r="CV192" s="331">
        <f t="shared" si="59"/>
        <v>0.56730946057828235</v>
      </c>
      <c r="CW192" s="326">
        <f t="shared" ref="CW192:CW223" si="67">IF(CU192&lt;2,0,1)</f>
        <v>1</v>
      </c>
      <c r="CX192" s="326"/>
      <c r="CY192" s="161" t="s">
        <v>5921</v>
      </c>
    </row>
    <row r="193" spans="1:103" ht="11.25" customHeight="1" x14ac:dyDescent="0.2">
      <c r="A193" s="72">
        <v>377</v>
      </c>
      <c r="B193" s="149">
        <v>1089</v>
      </c>
      <c r="C193" s="54" t="s">
        <v>6689</v>
      </c>
      <c r="D193" s="54"/>
      <c r="E193" s="59"/>
      <c r="F193" s="59" t="s">
        <v>3048</v>
      </c>
      <c r="G193" s="151">
        <v>139340560</v>
      </c>
      <c r="H193" s="55" t="s">
        <v>3049</v>
      </c>
      <c r="I193" s="55" t="s">
        <v>7779</v>
      </c>
      <c r="J193" s="55" t="s">
        <v>3050</v>
      </c>
      <c r="K193" s="55" t="s">
        <v>3051</v>
      </c>
      <c r="L193" s="55"/>
      <c r="M193" s="55"/>
      <c r="N193" s="60"/>
      <c r="O193" s="55"/>
      <c r="P193" s="67"/>
      <c r="Q193" s="67"/>
      <c r="R193" s="67"/>
      <c r="S193" s="67"/>
      <c r="T193" s="56">
        <v>323.43</v>
      </c>
      <c r="U193" s="103"/>
      <c r="V193" s="103">
        <v>0.1678</v>
      </c>
      <c r="W193" s="103">
        <v>0.33867278629610192</v>
      </c>
      <c r="X193" s="103">
        <v>0.33867278629610192</v>
      </c>
      <c r="Y193" s="162">
        <v>6.8</v>
      </c>
      <c r="Z193" s="56">
        <v>6.21</v>
      </c>
      <c r="AA193" s="56"/>
      <c r="AB193" s="56">
        <v>4.97</v>
      </c>
      <c r="AC193" s="56">
        <v>0.63619999999999999</v>
      </c>
      <c r="AD193" s="56">
        <v>5.88</v>
      </c>
      <c r="AE193" s="56">
        <v>7.29</v>
      </c>
      <c r="AF193" s="56">
        <f t="shared" si="61"/>
        <v>5.88</v>
      </c>
      <c r="AG193" s="57">
        <v>5.9</v>
      </c>
      <c r="AH193" s="103">
        <v>4.4500000000000002E-13</v>
      </c>
      <c r="AI193" s="103"/>
      <c r="AJ193" s="62">
        <f t="shared" si="64"/>
        <v>-10.74020631533172</v>
      </c>
      <c r="AK193" s="62"/>
      <c r="AL193" s="62">
        <f t="shared" si="65"/>
        <v>-10.74020631533172</v>
      </c>
      <c r="AM193" s="62">
        <v>-13.490129999999999</v>
      </c>
      <c r="AN193" s="154">
        <v>-8.35</v>
      </c>
      <c r="AO193" s="410">
        <v>8.07</v>
      </c>
      <c r="AP193" s="410">
        <v>0.73</v>
      </c>
      <c r="AQ193" s="56" t="s">
        <v>6311</v>
      </c>
      <c r="AR193" s="56" t="s">
        <v>6311</v>
      </c>
      <c r="AS193" s="155"/>
      <c r="AT193" s="58" t="s">
        <v>266</v>
      </c>
      <c r="AU193" s="56">
        <v>6</v>
      </c>
      <c r="AV193" s="56">
        <v>120</v>
      </c>
      <c r="AW193" s="56">
        <v>114</v>
      </c>
      <c r="AX193" s="56">
        <v>28</v>
      </c>
      <c r="AY193" s="56" t="s">
        <v>8728</v>
      </c>
      <c r="AZ193" s="56" t="s">
        <v>1563</v>
      </c>
      <c r="BA193" s="56">
        <v>32</v>
      </c>
      <c r="BB193" s="55" t="s">
        <v>2485</v>
      </c>
      <c r="BC193" s="55" t="s">
        <v>8726</v>
      </c>
      <c r="BD193" s="55" t="s">
        <v>8374</v>
      </c>
      <c r="BE193" s="56" t="s">
        <v>2449</v>
      </c>
      <c r="BF193" s="56" t="s">
        <v>272</v>
      </c>
      <c r="BG193" s="56" t="s">
        <v>272</v>
      </c>
      <c r="BH193" s="56" t="s">
        <v>2486</v>
      </c>
      <c r="BI193" s="153">
        <v>2.0699519999999999E-3</v>
      </c>
      <c r="BJ193" s="153">
        <v>20.69952</v>
      </c>
      <c r="BK193" s="56"/>
      <c r="BL193" s="153">
        <v>4.3992566658376149E-2</v>
      </c>
      <c r="BM193" s="56" t="s">
        <v>2487</v>
      </c>
      <c r="BN193" s="56"/>
      <c r="BO193" s="56"/>
      <c r="BP193" s="56"/>
      <c r="BQ193" s="56"/>
      <c r="BR193" s="55">
        <v>6.5457629591100002</v>
      </c>
      <c r="BS193" s="56"/>
      <c r="BT193" s="56"/>
      <c r="BU193" s="158"/>
      <c r="BV193" s="56"/>
      <c r="BW193" s="56"/>
      <c r="BX193" s="56"/>
      <c r="BY193" s="56"/>
      <c r="BZ193" s="56"/>
      <c r="CA193" s="56"/>
      <c r="CB193" s="56"/>
      <c r="CC193" s="56"/>
      <c r="CD193" s="56"/>
      <c r="CE193" s="56"/>
      <c r="CF193" s="56"/>
      <c r="CG193" s="56"/>
      <c r="CH193" s="56"/>
      <c r="CI193" s="103">
        <v>6.5457629591100002</v>
      </c>
      <c r="CJ193" s="103">
        <f t="shared" si="66"/>
        <v>0.81596027420533912</v>
      </c>
      <c r="CK193" s="57">
        <f t="shared" si="56"/>
        <v>2.1252940482859579E-3</v>
      </c>
      <c r="CL193" s="160">
        <f t="shared" si="57"/>
        <v>6.7207698985112096E-3</v>
      </c>
      <c r="CM193" s="160"/>
      <c r="CN193" s="160"/>
      <c r="CO193" s="55" t="s">
        <v>2488</v>
      </c>
      <c r="CP193" s="497" t="s">
        <v>2489</v>
      </c>
      <c r="CQ193" s="149" t="s">
        <v>272</v>
      </c>
      <c r="CR193" s="349"/>
      <c r="CS193" s="61" t="s">
        <v>539</v>
      </c>
      <c r="CT193" s="61"/>
      <c r="CU193" s="111">
        <f t="shared" si="58"/>
        <v>5.1739237795764885E-2</v>
      </c>
      <c r="CV193" s="331">
        <f t="shared" si="59"/>
        <v>1.6361383563295282E-2</v>
      </c>
      <c r="CW193" s="326">
        <f t="shared" si="67"/>
        <v>0</v>
      </c>
      <c r="CX193" s="326"/>
      <c r="CY193" s="161" t="s">
        <v>5921</v>
      </c>
    </row>
    <row r="194" spans="1:103" ht="10.9" customHeight="1" x14ac:dyDescent="0.2">
      <c r="A194" s="72">
        <v>381</v>
      </c>
      <c r="B194" s="149">
        <v>880</v>
      </c>
      <c r="C194" s="54" t="s">
        <v>6693</v>
      </c>
      <c r="D194" s="54"/>
      <c r="E194" s="59"/>
      <c r="F194" s="59" t="s">
        <v>2500</v>
      </c>
      <c r="G194" s="151">
        <v>145742285</v>
      </c>
      <c r="H194" s="55" t="s">
        <v>2501</v>
      </c>
      <c r="I194" s="55" t="s">
        <v>7842</v>
      </c>
      <c r="J194" s="55" t="s">
        <v>2502</v>
      </c>
      <c r="K194" s="55" t="s">
        <v>2503</v>
      </c>
      <c r="L194" s="55"/>
      <c r="M194" s="55"/>
      <c r="N194" s="60"/>
      <c r="O194" s="55"/>
      <c r="P194" s="67"/>
      <c r="Q194" s="67"/>
      <c r="R194" s="67"/>
      <c r="S194" s="67"/>
      <c r="T194" s="56">
        <v>556.63</v>
      </c>
      <c r="U194" s="103"/>
      <c r="V194" s="103">
        <v>0.97060000000000002</v>
      </c>
      <c r="W194" s="103">
        <v>2.6641986828954951</v>
      </c>
      <c r="X194" s="103">
        <v>2.6641986828954951</v>
      </c>
      <c r="Y194" s="162">
        <v>8.44</v>
      </c>
      <c r="Z194" s="56">
        <v>1.7</v>
      </c>
      <c r="AA194" s="56"/>
      <c r="AB194" s="56">
        <v>1.74</v>
      </c>
      <c r="AC194" s="56">
        <v>0.54339999999999999</v>
      </c>
      <c r="AD194" s="56">
        <v>2.34</v>
      </c>
      <c r="AE194" s="56">
        <v>3.29</v>
      </c>
      <c r="AF194" s="56">
        <f t="shared" si="61"/>
        <v>2.34</v>
      </c>
      <c r="AG194" s="57">
        <v>3.24</v>
      </c>
      <c r="AH194" s="103">
        <v>2.3300000000000001E-17</v>
      </c>
      <c r="AI194" s="103"/>
      <c r="AJ194" s="62">
        <f t="shared" si="64"/>
        <v>-15.021210405286633</v>
      </c>
      <c r="AK194" s="62"/>
      <c r="AL194" s="62">
        <f t="shared" si="65"/>
        <v>-15.021210405286633</v>
      </c>
      <c r="AM194" s="62">
        <v>-31.679770000000001</v>
      </c>
      <c r="AN194" s="154">
        <v>-31.6</v>
      </c>
      <c r="AO194" s="410"/>
      <c r="AP194" s="410">
        <v>8.64</v>
      </c>
      <c r="AQ194" s="56" t="s">
        <v>6311</v>
      </c>
      <c r="AR194" s="56" t="s">
        <v>6311</v>
      </c>
      <c r="AS194" s="155"/>
      <c r="AT194" s="58" t="s">
        <v>266</v>
      </c>
      <c r="AU194" s="56">
        <v>6</v>
      </c>
      <c r="AV194" s="56">
        <v>120</v>
      </c>
      <c r="AW194" s="56">
        <v>114</v>
      </c>
      <c r="AX194" s="56">
        <v>28</v>
      </c>
      <c r="AY194" s="56" t="s">
        <v>8728</v>
      </c>
      <c r="AZ194" s="56" t="s">
        <v>1563</v>
      </c>
      <c r="BA194" s="56">
        <v>32</v>
      </c>
      <c r="BB194" s="55" t="s">
        <v>2485</v>
      </c>
      <c r="BC194" s="55" t="s">
        <v>8726</v>
      </c>
      <c r="BD194" s="55" t="s">
        <v>8374</v>
      </c>
      <c r="BE194" s="56" t="s">
        <v>2449</v>
      </c>
      <c r="BF194" s="56" t="s">
        <v>272</v>
      </c>
      <c r="BG194" s="56" t="s">
        <v>272</v>
      </c>
      <c r="BH194" s="56" t="s">
        <v>2486</v>
      </c>
      <c r="BI194" s="153">
        <v>3.5624319999999999E-3</v>
      </c>
      <c r="BJ194" s="153">
        <v>35.624319999999997</v>
      </c>
      <c r="BK194" s="56"/>
      <c r="BL194" s="153">
        <v>850.34783291561746</v>
      </c>
      <c r="BM194" s="56" t="s">
        <v>2046</v>
      </c>
      <c r="BN194" s="56"/>
      <c r="BO194" s="56"/>
      <c r="BP194" s="56"/>
      <c r="BQ194" s="56"/>
      <c r="BR194" s="55">
        <v>11.26539911551</v>
      </c>
      <c r="BS194" s="56"/>
      <c r="BT194" s="56"/>
      <c r="BU194" s="158"/>
      <c r="BV194" s="56"/>
      <c r="BW194" s="56"/>
      <c r="BX194" s="56"/>
      <c r="BY194" s="56"/>
      <c r="BZ194" s="56"/>
      <c r="CA194" s="56"/>
      <c r="CB194" s="56"/>
      <c r="CC194" s="56"/>
      <c r="CD194" s="56"/>
      <c r="CE194" s="56"/>
      <c r="CF194" s="56"/>
      <c r="CG194" s="56"/>
      <c r="CH194" s="56"/>
      <c r="CI194" s="103">
        <v>11.26539911551</v>
      </c>
      <c r="CJ194" s="103">
        <f t="shared" si="66"/>
        <v>1.0517465827081522</v>
      </c>
      <c r="CK194" s="57">
        <f t="shared" si="56"/>
        <v>23.86986847512086</v>
      </c>
      <c r="CL194" s="160">
        <f t="shared" si="57"/>
        <v>75.483151923563341</v>
      </c>
      <c r="CM194" s="160"/>
      <c r="CN194" s="160"/>
      <c r="CO194" s="55" t="s">
        <v>2488</v>
      </c>
      <c r="CP194" s="497" t="s">
        <v>2489</v>
      </c>
      <c r="CQ194" s="149" t="s">
        <v>272</v>
      </c>
      <c r="CR194" s="349"/>
      <c r="CS194" s="61" t="s">
        <v>539</v>
      </c>
      <c r="CT194" s="61"/>
      <c r="CU194" s="111">
        <f t="shared" si="58"/>
        <v>0.23649394536119667</v>
      </c>
      <c r="CV194" s="331">
        <f t="shared" si="59"/>
        <v>7.4785951925412056E-2</v>
      </c>
      <c r="CW194" s="326">
        <f t="shared" si="67"/>
        <v>0</v>
      </c>
      <c r="CX194" s="326"/>
      <c r="CY194" s="161" t="s">
        <v>5921</v>
      </c>
    </row>
    <row r="195" spans="1:103" ht="11.25" customHeight="1" x14ac:dyDescent="0.2">
      <c r="A195" s="72">
        <v>383</v>
      </c>
      <c r="B195" s="149">
        <v>885</v>
      </c>
      <c r="C195" s="54" t="s">
        <v>6695</v>
      </c>
      <c r="D195" s="54"/>
      <c r="E195" s="59"/>
      <c r="F195" s="59" t="s">
        <v>2518</v>
      </c>
      <c r="G195" s="151">
        <v>149413741</v>
      </c>
      <c r="H195" s="55" t="s">
        <v>2519</v>
      </c>
      <c r="I195" s="55" t="s">
        <v>7832</v>
      </c>
      <c r="J195" s="55" t="s">
        <v>2520</v>
      </c>
      <c r="K195" s="55" t="s">
        <v>455</v>
      </c>
      <c r="L195" s="55"/>
      <c r="M195" s="55"/>
      <c r="N195" s="60"/>
      <c r="O195" s="55"/>
      <c r="P195" s="67"/>
      <c r="Q195" s="67"/>
      <c r="R195" s="67"/>
      <c r="S195" s="67"/>
      <c r="T195" s="56">
        <v>419.56</v>
      </c>
      <c r="U195" s="103"/>
      <c r="V195" s="103">
        <v>0.81789999999999996</v>
      </c>
      <c r="W195" s="103">
        <v>69.629628288450206</v>
      </c>
      <c r="X195" s="103">
        <v>69.629628288450206</v>
      </c>
      <c r="Y195" s="162">
        <v>9.82</v>
      </c>
      <c r="Z195" s="56">
        <v>4.04</v>
      </c>
      <c r="AA195" s="56"/>
      <c r="AB195" s="56">
        <v>3.86</v>
      </c>
      <c r="AC195" s="56">
        <v>0.56599999999999995</v>
      </c>
      <c r="AD195" s="56">
        <v>3.76</v>
      </c>
      <c r="AE195" s="56">
        <v>3.63</v>
      </c>
      <c r="AF195" s="56">
        <f t="shared" si="61"/>
        <v>3.76</v>
      </c>
      <c r="AG195" s="57">
        <v>3.68</v>
      </c>
      <c r="AH195" s="103">
        <v>1.7599999999999999E-17</v>
      </c>
      <c r="AI195" s="103"/>
      <c r="AJ195" s="62">
        <f t="shared" si="64"/>
        <v>-15.143053658498502</v>
      </c>
      <c r="AK195" s="62"/>
      <c r="AL195" s="62">
        <f t="shared" si="65"/>
        <v>-15.143053658498502</v>
      </c>
      <c r="AM195" s="62">
        <v>-22.329050000000002</v>
      </c>
      <c r="AN195" s="154">
        <v>-16.2</v>
      </c>
      <c r="AO195" s="410"/>
      <c r="AP195" s="410">
        <v>9.31</v>
      </c>
      <c r="AQ195" s="56" t="s">
        <v>6311</v>
      </c>
      <c r="AR195" s="56" t="s">
        <v>6311</v>
      </c>
      <c r="AS195" s="155"/>
      <c r="AT195" s="58" t="s">
        <v>266</v>
      </c>
      <c r="AU195" s="56">
        <v>6</v>
      </c>
      <c r="AV195" s="56">
        <v>120</v>
      </c>
      <c r="AW195" s="56">
        <v>114</v>
      </c>
      <c r="AX195" s="56">
        <v>28</v>
      </c>
      <c r="AY195" s="56" t="s">
        <v>8728</v>
      </c>
      <c r="AZ195" s="56" t="s">
        <v>1563</v>
      </c>
      <c r="BA195" s="56">
        <v>32</v>
      </c>
      <c r="BB195" s="55" t="s">
        <v>2485</v>
      </c>
      <c r="BC195" s="55" t="s">
        <v>8726</v>
      </c>
      <c r="BD195" s="55" t="s">
        <v>8374</v>
      </c>
      <c r="BE195" s="56" t="s">
        <v>2449</v>
      </c>
      <c r="BF195" s="56" t="s">
        <v>272</v>
      </c>
      <c r="BG195" s="56" t="s">
        <v>272</v>
      </c>
      <c r="BH195" s="56" t="s">
        <v>2486</v>
      </c>
      <c r="BI195" s="153">
        <v>2.6851839999999997E-3</v>
      </c>
      <c r="BJ195" s="153">
        <v>26.851839999999999</v>
      </c>
      <c r="BK195" s="56"/>
      <c r="BL195" s="153">
        <v>5.0730609101038278</v>
      </c>
      <c r="BM195" s="56" t="s">
        <v>2046</v>
      </c>
      <c r="BN195" s="56">
        <v>8491.2973787067986</v>
      </c>
      <c r="BO195" s="56"/>
      <c r="BP195" s="56"/>
      <c r="BQ195" s="56"/>
      <c r="BR195" s="55">
        <v>8.4912973661199995</v>
      </c>
      <c r="BS195" s="56"/>
      <c r="BT195" s="56"/>
      <c r="BU195" s="158"/>
      <c r="BV195" s="56"/>
      <c r="BW195" s="56"/>
      <c r="BX195" s="56"/>
      <c r="BY195" s="56"/>
      <c r="BZ195" s="56"/>
      <c r="CA195" s="56"/>
      <c r="CB195" s="56"/>
      <c r="CC195" s="56"/>
      <c r="CD195" s="56"/>
      <c r="CE195" s="56"/>
      <c r="CF195" s="56"/>
      <c r="CG195" s="56"/>
      <c r="CH195" s="56"/>
      <c r="CI195" s="103">
        <v>8.4912973661199995</v>
      </c>
      <c r="CJ195" s="103">
        <f t="shared" si="66"/>
        <v>0.92897405018523072</v>
      </c>
      <c r="CK195" s="57">
        <f t="shared" si="56"/>
        <v>0.18892786900651232</v>
      </c>
      <c r="CL195" s="160">
        <f t="shared" si="57"/>
        <v>0.59744238028280294</v>
      </c>
      <c r="CM195" s="160"/>
      <c r="CN195" s="160"/>
      <c r="CO195" s="55" t="s">
        <v>2488</v>
      </c>
      <c r="CP195" s="497" t="s">
        <v>2489</v>
      </c>
      <c r="CQ195" s="149" t="s">
        <v>272</v>
      </c>
      <c r="CR195" s="349"/>
      <c r="CS195" s="61" t="s">
        <v>539</v>
      </c>
      <c r="CT195" s="61"/>
      <c r="CU195" s="111">
        <f t="shared" si="58"/>
        <v>8.2001165765634543</v>
      </c>
      <c r="CV195" s="331">
        <f t="shared" si="59"/>
        <v>2.5931045428711852</v>
      </c>
      <c r="CW195" s="326">
        <f t="shared" si="67"/>
        <v>1</v>
      </c>
      <c r="CX195" s="326"/>
      <c r="CY195" s="161" t="s">
        <v>5921</v>
      </c>
    </row>
    <row r="196" spans="1:103" ht="11.25" customHeight="1" x14ac:dyDescent="0.2">
      <c r="A196" s="72">
        <v>390</v>
      </c>
      <c r="B196" s="149">
        <v>943</v>
      </c>
      <c r="C196" s="54" t="s">
        <v>6700</v>
      </c>
      <c r="D196" s="54"/>
      <c r="E196" s="59"/>
      <c r="F196" s="59" t="s">
        <v>2687</v>
      </c>
      <c r="G196" s="151">
        <v>174185161</v>
      </c>
      <c r="H196" s="55" t="s">
        <v>2688</v>
      </c>
      <c r="I196" s="55" t="s">
        <v>7743</v>
      </c>
      <c r="J196" s="55" t="s">
        <v>2689</v>
      </c>
      <c r="K196" s="55" t="s">
        <v>2690</v>
      </c>
      <c r="L196" s="55"/>
      <c r="M196" s="55"/>
      <c r="N196" s="60"/>
      <c r="O196" s="55"/>
      <c r="P196" s="67"/>
      <c r="Q196" s="67"/>
      <c r="R196" s="67"/>
      <c r="S196" s="67"/>
      <c r="T196" s="56">
        <v>353.76</v>
      </c>
      <c r="U196" s="103"/>
      <c r="V196" s="103">
        <v>3.077</v>
      </c>
      <c r="W196" s="103">
        <v>0.5870954643751104</v>
      </c>
      <c r="X196" s="103">
        <v>0.5870954643751104</v>
      </c>
      <c r="Y196" s="162">
        <v>7</v>
      </c>
      <c r="Z196" s="56">
        <v>2.09</v>
      </c>
      <c r="AA196" s="56"/>
      <c r="AB196" s="56">
        <v>3.66</v>
      </c>
      <c r="AC196" s="56">
        <v>0.47989999999999999</v>
      </c>
      <c r="AD196" s="56">
        <v>3.92</v>
      </c>
      <c r="AE196" s="56">
        <v>4.28</v>
      </c>
      <c r="AF196" s="56">
        <f t="shared" si="61"/>
        <v>3.92</v>
      </c>
      <c r="AG196" s="57">
        <v>4.0199999999999996</v>
      </c>
      <c r="AH196" s="103">
        <v>1.5600000000000001E-14</v>
      </c>
      <c r="AI196" s="103"/>
      <c r="AJ196" s="62">
        <f t="shared" si="64"/>
        <v>-12.19544172795819</v>
      </c>
      <c r="AK196" s="62"/>
      <c r="AL196" s="62">
        <f t="shared" si="65"/>
        <v>-12.19544172795819</v>
      </c>
      <c r="AM196" s="62">
        <v>-18.28548</v>
      </c>
      <c r="AN196" s="154">
        <v>-9.68</v>
      </c>
      <c r="AO196" s="410">
        <v>17.059999999999999</v>
      </c>
      <c r="AP196" s="410">
        <v>4.53</v>
      </c>
      <c r="AQ196" s="56" t="s">
        <v>6311</v>
      </c>
      <c r="AR196" s="56" t="s">
        <v>6311</v>
      </c>
      <c r="AS196" s="155"/>
      <c r="AT196" s="58" t="s">
        <v>266</v>
      </c>
      <c r="AU196" s="56">
        <v>6</v>
      </c>
      <c r="AV196" s="56">
        <v>120</v>
      </c>
      <c r="AW196" s="56">
        <v>114</v>
      </c>
      <c r="AX196" s="56">
        <v>28</v>
      </c>
      <c r="AY196" s="56" t="s">
        <v>8728</v>
      </c>
      <c r="AZ196" s="56" t="s">
        <v>1563</v>
      </c>
      <c r="BA196" s="56">
        <v>32</v>
      </c>
      <c r="BB196" s="55" t="s">
        <v>2485</v>
      </c>
      <c r="BC196" s="55" t="s">
        <v>8726</v>
      </c>
      <c r="BD196" s="55" t="s">
        <v>8374</v>
      </c>
      <c r="BE196" s="56" t="s">
        <v>2449</v>
      </c>
      <c r="BF196" s="56" t="s">
        <v>272</v>
      </c>
      <c r="BG196" s="56" t="s">
        <v>272</v>
      </c>
      <c r="BH196" s="56" t="s">
        <v>2486</v>
      </c>
      <c r="BI196" s="153">
        <v>2.2640639999999997E-3</v>
      </c>
      <c r="BJ196" s="153">
        <v>22.640640000000001</v>
      </c>
      <c r="BK196" s="56"/>
      <c r="BL196" s="153">
        <v>241.25689006973752</v>
      </c>
      <c r="BM196" s="56" t="s">
        <v>2046</v>
      </c>
      <c r="BN196" s="56">
        <v>7159.5990101327989</v>
      </c>
      <c r="BO196" s="56"/>
      <c r="BP196" s="56"/>
      <c r="BQ196" s="56"/>
      <c r="BR196" s="55">
        <v>7.15959899952</v>
      </c>
      <c r="BS196" s="56"/>
      <c r="BT196" s="56"/>
      <c r="BU196" s="158"/>
      <c r="BV196" s="56"/>
      <c r="BW196" s="56"/>
      <c r="BX196" s="56"/>
      <c r="BY196" s="56"/>
      <c r="BZ196" s="56"/>
      <c r="CA196" s="56"/>
      <c r="CB196" s="56"/>
      <c r="CC196" s="56"/>
      <c r="CD196" s="56"/>
      <c r="CE196" s="56"/>
      <c r="CF196" s="56"/>
      <c r="CG196" s="56"/>
      <c r="CH196" s="56"/>
      <c r="CI196" s="103">
        <v>7.15959899952</v>
      </c>
      <c r="CJ196" s="103">
        <f t="shared" si="66"/>
        <v>0.85488869868039141</v>
      </c>
      <c r="CK196" s="57">
        <f t="shared" si="56"/>
        <v>10.655921832145095</v>
      </c>
      <c r="CL196" s="160">
        <f t="shared" ref="CL196:CL229" si="68">BL196/CI196</f>
        <v>33.696983600046885</v>
      </c>
      <c r="CM196" s="160"/>
      <c r="CN196" s="160"/>
      <c r="CO196" s="55" t="s">
        <v>2488</v>
      </c>
      <c r="CP196" s="497" t="s">
        <v>2489</v>
      </c>
      <c r="CQ196" s="149" t="s">
        <v>272</v>
      </c>
      <c r="CR196" s="349"/>
      <c r="CS196" s="61" t="s">
        <v>539</v>
      </c>
      <c r="CT196" s="61"/>
      <c r="CU196" s="111">
        <f t="shared" ref="CU196:CU229" si="69">X196/CI196</f>
        <v>8.2001165765634487E-2</v>
      </c>
      <c r="CV196" s="331">
        <f t="shared" si="59"/>
        <v>2.5931045428711837E-2</v>
      </c>
      <c r="CW196" s="326">
        <f t="shared" si="67"/>
        <v>0</v>
      </c>
      <c r="CX196" s="326"/>
      <c r="CY196" s="161" t="s">
        <v>5921</v>
      </c>
    </row>
    <row r="197" spans="1:103" ht="11.25" customHeight="1" x14ac:dyDescent="0.2">
      <c r="A197" s="72">
        <v>394</v>
      </c>
      <c r="B197" s="149">
        <v>898</v>
      </c>
      <c r="C197" s="54" t="s">
        <v>2558</v>
      </c>
      <c r="D197" s="54" t="s">
        <v>6704</v>
      </c>
      <c r="E197" s="59"/>
      <c r="F197" s="59" t="s">
        <v>2559</v>
      </c>
      <c r="G197" s="151">
        <v>643798</v>
      </c>
      <c r="H197" s="55" t="s">
        <v>2560</v>
      </c>
      <c r="I197" s="55" t="s">
        <v>2560</v>
      </c>
      <c r="J197" s="55" t="s">
        <v>2561</v>
      </c>
      <c r="K197" s="55" t="s">
        <v>2562</v>
      </c>
      <c r="L197" s="55" t="s">
        <v>6070</v>
      </c>
      <c r="M197" s="60" t="s">
        <v>2342</v>
      </c>
      <c r="N197" s="60" t="s">
        <v>2342</v>
      </c>
      <c r="O197" s="55"/>
      <c r="P197" s="67"/>
      <c r="Q197" s="67"/>
      <c r="R197" s="67"/>
      <c r="S197" s="67"/>
      <c r="T197" s="56">
        <v>134.13</v>
      </c>
      <c r="U197" s="103"/>
      <c r="V197" s="103">
        <v>5346</v>
      </c>
      <c r="W197" s="103">
        <v>1727.9291236859995</v>
      </c>
      <c r="X197" s="103">
        <v>1727.9291236859995</v>
      </c>
      <c r="Y197" s="162">
        <v>7</v>
      </c>
      <c r="Z197" s="56">
        <v>1.43</v>
      </c>
      <c r="AA197" s="56"/>
      <c r="AB197" s="56">
        <v>1.43</v>
      </c>
      <c r="AC197" s="56">
        <v>0.82310000000000005</v>
      </c>
      <c r="AD197" s="56">
        <v>1.17</v>
      </c>
      <c r="AE197" s="56">
        <v>0.51</v>
      </c>
      <c r="AF197" s="56">
        <f t="shared" si="61"/>
        <v>1.17</v>
      </c>
      <c r="AG197" s="57">
        <v>1.38</v>
      </c>
      <c r="AH197" s="103">
        <v>3.3500000000000002E-8</v>
      </c>
      <c r="AI197" s="103"/>
      <c r="AJ197" s="62">
        <f t="shared" si="64"/>
        <v>-5.8635215192758068</v>
      </c>
      <c r="AK197" s="62"/>
      <c r="AL197" s="62">
        <f t="shared" si="65"/>
        <v>-5.8635215192758068</v>
      </c>
      <c r="AM197" s="62">
        <v>-8.6995499999999986</v>
      </c>
      <c r="AN197" s="154">
        <v>-5.4</v>
      </c>
      <c r="AO197" s="410"/>
      <c r="AP197" s="410"/>
      <c r="AQ197" s="56" t="s">
        <v>6311</v>
      </c>
      <c r="AR197" s="56" t="s">
        <v>6311</v>
      </c>
      <c r="AS197" s="155"/>
      <c r="AT197" s="58" t="s">
        <v>266</v>
      </c>
      <c r="AU197" s="56">
        <v>6</v>
      </c>
      <c r="AV197" s="56">
        <v>120</v>
      </c>
      <c r="AW197" s="56">
        <v>114</v>
      </c>
      <c r="AX197" s="56">
        <v>28</v>
      </c>
      <c r="AY197" s="56" t="s">
        <v>8728</v>
      </c>
      <c r="AZ197" s="56" t="s">
        <v>1563</v>
      </c>
      <c r="BA197" s="56">
        <v>32</v>
      </c>
      <c r="BB197" s="55" t="s">
        <v>2485</v>
      </c>
      <c r="BC197" s="55" t="s">
        <v>8726</v>
      </c>
      <c r="BD197" s="55" t="s">
        <v>8374</v>
      </c>
      <c r="BE197" s="56" t="s">
        <v>2449</v>
      </c>
      <c r="BF197" s="56" t="s">
        <v>272</v>
      </c>
      <c r="BG197" s="56" t="s">
        <v>272</v>
      </c>
      <c r="BH197" s="56" t="s">
        <v>2486</v>
      </c>
      <c r="BI197" s="153">
        <v>8.584319999999999E-4</v>
      </c>
      <c r="BJ197" s="153">
        <v>8.58432</v>
      </c>
      <c r="BK197" s="56"/>
      <c r="BL197" s="153">
        <v>358.13183221403102</v>
      </c>
      <c r="BM197" s="56" t="s">
        <v>2487</v>
      </c>
      <c r="BN197" s="56"/>
      <c r="BO197" s="56"/>
      <c r="BP197" s="56"/>
      <c r="BQ197" s="56"/>
      <c r="BR197" s="55">
        <v>0.34605539999999996</v>
      </c>
      <c r="BS197" s="56"/>
      <c r="BT197" s="56"/>
      <c r="BU197" s="158"/>
      <c r="BV197" s="56"/>
      <c r="BW197" s="56"/>
      <c r="BX197" s="56"/>
      <c r="BY197" s="56"/>
      <c r="BZ197" s="56"/>
      <c r="CA197" s="56"/>
      <c r="CB197" s="56"/>
      <c r="CC197" s="56"/>
      <c r="CD197" s="56"/>
      <c r="CE197" s="56"/>
      <c r="CF197" s="56"/>
      <c r="CG197" s="56"/>
      <c r="CH197" s="56"/>
      <c r="CI197" s="103">
        <v>0.34605539999999996</v>
      </c>
      <c r="CJ197" s="103">
        <f t="shared" si="66"/>
        <v>-0.46085436944907565</v>
      </c>
      <c r="CK197" s="57">
        <f t="shared" si="56"/>
        <v>41.719301262538096</v>
      </c>
      <c r="CL197" s="160">
        <f t="shared" si="68"/>
        <v>1034.89739565986</v>
      </c>
      <c r="CM197" s="160">
        <v>-1.4208187539523756</v>
      </c>
      <c r="CN197" s="160">
        <f>BJ197/(10^CM197)</f>
        <v>226.21669469780548</v>
      </c>
      <c r="CO197" s="55" t="s">
        <v>2488</v>
      </c>
      <c r="CP197" s="497" t="s">
        <v>2489</v>
      </c>
      <c r="CQ197" s="149">
        <v>-1.4208187539523751</v>
      </c>
      <c r="CR197" s="349">
        <f>10^(CJ197-CQ197)</f>
        <v>9.11936050500527</v>
      </c>
      <c r="CS197" s="61" t="s">
        <v>539</v>
      </c>
      <c r="CT197" s="61"/>
      <c r="CU197" s="111">
        <f t="shared" si="69"/>
        <v>4993.2153166400512</v>
      </c>
      <c r="CV197" s="331">
        <f t="shared" si="59"/>
        <v>201.28899245205204</v>
      </c>
      <c r="CW197" s="326">
        <f t="shared" si="67"/>
        <v>1</v>
      </c>
      <c r="CX197" s="326"/>
      <c r="CY197" s="161" t="s">
        <v>5921</v>
      </c>
    </row>
    <row r="198" spans="1:103" ht="11.25" customHeight="1" x14ac:dyDescent="0.2">
      <c r="A198" s="72">
        <v>396</v>
      </c>
      <c r="B198" s="149">
        <v>1131</v>
      </c>
      <c r="C198" s="54" t="s">
        <v>6705</v>
      </c>
      <c r="D198" s="54"/>
      <c r="E198" s="59"/>
      <c r="F198" s="59" t="s">
        <v>3159</v>
      </c>
      <c r="G198" s="151">
        <v>196808454</v>
      </c>
      <c r="H198" s="55" t="s">
        <v>3160</v>
      </c>
      <c r="I198" s="55" t="s">
        <v>7753</v>
      </c>
      <c r="J198" s="55" t="s">
        <v>3161</v>
      </c>
      <c r="K198" s="55" t="s">
        <v>357</v>
      </c>
      <c r="L198" s="55"/>
      <c r="M198" s="55"/>
      <c r="N198" s="60"/>
      <c r="O198" s="55"/>
      <c r="P198" s="67"/>
      <c r="Q198" s="67" t="s">
        <v>6173</v>
      </c>
      <c r="R198" s="67" t="s">
        <v>6174</v>
      </c>
      <c r="S198" s="67" t="s">
        <v>6176</v>
      </c>
      <c r="T198" s="56">
        <v>326.39</v>
      </c>
      <c r="U198" s="103"/>
      <c r="V198" s="103">
        <v>0.2661</v>
      </c>
      <c r="W198" s="103">
        <v>2.9089539369747279</v>
      </c>
      <c r="X198" s="103">
        <v>2.9089539369747279</v>
      </c>
      <c r="Y198" s="162">
        <v>7</v>
      </c>
      <c r="Z198" s="56">
        <v>5.28</v>
      </c>
      <c r="AA198" s="56"/>
      <c r="AB198" s="56">
        <v>4.7699999999999996</v>
      </c>
      <c r="AC198" s="56">
        <v>0.7409</v>
      </c>
      <c r="AD198" s="56">
        <v>5.13</v>
      </c>
      <c r="AE198" s="56">
        <v>5.76</v>
      </c>
      <c r="AF198" s="56">
        <f t="shared" si="61"/>
        <v>5.13</v>
      </c>
      <c r="AG198" s="57">
        <v>4.66</v>
      </c>
      <c r="AH198" s="103">
        <v>6.7500000000000002E-8</v>
      </c>
      <c r="AI198" s="103"/>
      <c r="AJ198" s="62">
        <f t="shared" si="64"/>
        <v>-5.5592625534816271</v>
      </c>
      <c r="AK198" s="62"/>
      <c r="AL198" s="62">
        <f t="shared" si="65"/>
        <v>-5.5592625534816271</v>
      </c>
      <c r="AM198" s="62">
        <v>-11.680589999999999</v>
      </c>
      <c r="AN198" s="154">
        <v>-6.5</v>
      </c>
      <c r="AO198" s="410"/>
      <c r="AP198" s="410"/>
      <c r="AQ198" s="56" t="s">
        <v>6311</v>
      </c>
      <c r="AR198" s="56" t="s">
        <v>6312</v>
      </c>
      <c r="AS198" s="155"/>
      <c r="AT198" s="58" t="s">
        <v>266</v>
      </c>
      <c r="AU198" s="56">
        <v>6</v>
      </c>
      <c r="AV198" s="56">
        <v>120</v>
      </c>
      <c r="AW198" s="56">
        <v>114</v>
      </c>
      <c r="AX198" s="56">
        <v>28</v>
      </c>
      <c r="AY198" s="56" t="s">
        <v>8728</v>
      </c>
      <c r="AZ198" s="56" t="s">
        <v>1563</v>
      </c>
      <c r="BA198" s="56">
        <v>32</v>
      </c>
      <c r="BB198" s="55" t="s">
        <v>2485</v>
      </c>
      <c r="BC198" s="55" t="s">
        <v>8726</v>
      </c>
      <c r="BD198" s="55" t="s">
        <v>8374</v>
      </c>
      <c r="BE198" s="56" t="s">
        <v>2449</v>
      </c>
      <c r="BF198" s="56" t="s">
        <v>272</v>
      </c>
      <c r="BG198" s="56" t="s">
        <v>272</v>
      </c>
      <c r="BH198" s="56" t="s">
        <v>2486</v>
      </c>
      <c r="BI198" s="153">
        <v>2.0888959999999998E-3</v>
      </c>
      <c r="BJ198" s="153">
        <v>20.888960000000001</v>
      </c>
      <c r="BK198" s="56"/>
      <c r="BL198" s="153">
        <v>0.30378676160362644</v>
      </c>
      <c r="BM198" s="56" t="s">
        <v>2487</v>
      </c>
      <c r="BN198" s="56"/>
      <c r="BO198" s="56"/>
      <c r="BP198" s="56"/>
      <c r="BQ198" s="56"/>
      <c r="BR198" s="55">
        <v>6.6056691470299995</v>
      </c>
      <c r="BS198" s="56"/>
      <c r="BT198" s="56"/>
      <c r="BU198" s="158"/>
      <c r="BV198" s="56"/>
      <c r="BW198" s="56"/>
      <c r="BX198" s="56"/>
      <c r="BY198" s="56"/>
      <c r="BZ198" s="56"/>
      <c r="CA198" s="56"/>
      <c r="CB198" s="56"/>
      <c r="CC198" s="56"/>
      <c r="CD198" s="56"/>
      <c r="CE198" s="56"/>
      <c r="CF198" s="56"/>
      <c r="CG198" s="56"/>
      <c r="CH198" s="56"/>
      <c r="CI198" s="103">
        <v>6.6056691470299995</v>
      </c>
      <c r="CJ198" s="103">
        <f t="shared" si="66"/>
        <v>0.81991681773300407</v>
      </c>
      <c r="CK198" s="57">
        <f t="shared" si="56"/>
        <v>1.4542933760399102E-2</v>
      </c>
      <c r="CL198" s="160">
        <f t="shared" si="68"/>
        <v>4.5988794600803337E-2</v>
      </c>
      <c r="CM198" s="160"/>
      <c r="CN198" s="160"/>
      <c r="CO198" s="55" t="s">
        <v>2488</v>
      </c>
      <c r="CP198" s="497" t="s">
        <v>2489</v>
      </c>
      <c r="CQ198" s="149" t="s">
        <v>272</v>
      </c>
      <c r="CR198" s="349"/>
      <c r="CS198" s="61" t="s">
        <v>539</v>
      </c>
      <c r="CT198" s="61"/>
      <c r="CU198" s="111">
        <f t="shared" si="69"/>
        <v>0.44037233355573585</v>
      </c>
      <c r="CV198" s="331">
        <f t="shared" si="59"/>
        <v>0.13925795908339753</v>
      </c>
      <c r="CW198" s="326">
        <f t="shared" si="67"/>
        <v>0</v>
      </c>
      <c r="CX198" s="326"/>
      <c r="CY198" s="161" t="s">
        <v>5921</v>
      </c>
    </row>
    <row r="199" spans="1:103" ht="11.25" customHeight="1" x14ac:dyDescent="0.2">
      <c r="A199" s="72">
        <v>397</v>
      </c>
      <c r="B199" s="149">
        <v>1066</v>
      </c>
      <c r="C199" s="54" t="s">
        <v>6706</v>
      </c>
      <c r="D199" s="54"/>
      <c r="E199" s="59"/>
      <c r="F199" s="59" t="s">
        <v>2999</v>
      </c>
      <c r="G199" s="151">
        <v>199171885</v>
      </c>
      <c r="H199" s="55" t="s">
        <v>3000</v>
      </c>
      <c r="I199" s="55" t="s">
        <v>7825</v>
      </c>
      <c r="J199" s="55" t="s">
        <v>3001</v>
      </c>
      <c r="K199" s="55" t="s">
        <v>3002</v>
      </c>
      <c r="L199" s="55"/>
      <c r="M199" s="55"/>
      <c r="N199" s="60"/>
      <c r="O199" s="55"/>
      <c r="P199" s="67"/>
      <c r="Q199" s="67"/>
      <c r="R199" s="67"/>
      <c r="S199" s="67"/>
      <c r="T199" s="56">
        <v>379.5</v>
      </c>
      <c r="U199" s="103"/>
      <c r="V199" s="103">
        <v>3.6049999999999999E-2</v>
      </c>
      <c r="W199" s="103">
        <v>4.0664157633767148</v>
      </c>
      <c r="X199" s="103">
        <v>4.0664157633767148</v>
      </c>
      <c r="Y199" s="162">
        <v>5.05</v>
      </c>
      <c r="Z199" s="56">
        <v>6.07</v>
      </c>
      <c r="AA199" s="56"/>
      <c r="AB199" s="56">
        <v>4.5599999999999996</v>
      </c>
      <c r="AC199" s="56">
        <v>0.59919999999999995</v>
      </c>
      <c r="AD199" s="56">
        <v>4.68</v>
      </c>
      <c r="AE199" s="56">
        <v>4.83</v>
      </c>
      <c r="AF199" s="56">
        <f t="shared" si="61"/>
        <v>4.68</v>
      </c>
      <c r="AG199" s="57">
        <v>4.6100000000000003</v>
      </c>
      <c r="AH199" s="103">
        <v>1.2699999999999999E-13</v>
      </c>
      <c r="AI199" s="103"/>
      <c r="AJ199" s="62">
        <f t="shared" si="64"/>
        <v>-11.284762605356695</v>
      </c>
      <c r="AK199" s="62"/>
      <c r="AL199" s="62">
        <f t="shared" si="65"/>
        <v>-11.284762605356695</v>
      </c>
      <c r="AM199" s="62">
        <v>-17.03209</v>
      </c>
      <c r="AN199" s="154">
        <v>-11.1</v>
      </c>
      <c r="AO199" s="410">
        <v>4.3600000000000003</v>
      </c>
      <c r="AP199" s="410">
        <v>2.9</v>
      </c>
      <c r="AQ199" s="56" t="s">
        <v>6311</v>
      </c>
      <c r="AR199" s="56" t="s">
        <v>6311</v>
      </c>
      <c r="AS199" s="155"/>
      <c r="AT199" s="58" t="s">
        <v>266</v>
      </c>
      <c r="AU199" s="56">
        <v>6</v>
      </c>
      <c r="AV199" s="56">
        <v>120</v>
      </c>
      <c r="AW199" s="56">
        <v>114</v>
      </c>
      <c r="AX199" s="56">
        <v>28</v>
      </c>
      <c r="AY199" s="56" t="s">
        <v>8728</v>
      </c>
      <c r="AZ199" s="56" t="s">
        <v>1563</v>
      </c>
      <c r="BA199" s="56">
        <v>32</v>
      </c>
      <c r="BB199" s="55" t="s">
        <v>2485</v>
      </c>
      <c r="BC199" s="55" t="s">
        <v>8726</v>
      </c>
      <c r="BD199" s="55" t="s">
        <v>8374</v>
      </c>
      <c r="BE199" s="56" t="s">
        <v>2449</v>
      </c>
      <c r="BF199" s="56" t="s">
        <v>272</v>
      </c>
      <c r="BG199" s="56" t="s">
        <v>272</v>
      </c>
      <c r="BH199" s="56" t="s">
        <v>2486</v>
      </c>
      <c r="BI199" s="153">
        <v>2.4288000000000001E-3</v>
      </c>
      <c r="BJ199" s="153">
        <v>24.288</v>
      </c>
      <c r="BK199" s="56"/>
      <c r="BL199" s="153">
        <v>6.8951668577352049E-2</v>
      </c>
      <c r="BM199" s="56" t="s">
        <v>2046</v>
      </c>
      <c r="BN199" s="56">
        <v>7680.5399828849995</v>
      </c>
      <c r="BO199" s="56"/>
      <c r="BP199" s="56"/>
      <c r="BQ199" s="56"/>
      <c r="BR199" s="55">
        <v>0.76805411099999998</v>
      </c>
      <c r="BS199" s="56"/>
      <c r="BT199" s="56"/>
      <c r="BU199" s="158"/>
      <c r="BV199" s="56"/>
      <c r="BW199" s="56"/>
      <c r="BX199" s="56"/>
      <c r="BY199" s="56"/>
      <c r="BZ199" s="56"/>
      <c r="CA199" s="56"/>
      <c r="CB199" s="56"/>
      <c r="CC199" s="56"/>
      <c r="CD199" s="56"/>
      <c r="CE199" s="56"/>
      <c r="CF199" s="56"/>
      <c r="CG199" s="56"/>
      <c r="CH199" s="56"/>
      <c r="CI199" s="103">
        <v>0.76805411099999998</v>
      </c>
      <c r="CJ199" s="103">
        <f t="shared" si="66"/>
        <v>-0.11460818194651509</v>
      </c>
      <c r="CK199" s="57">
        <f t="shared" si="56"/>
        <v>2.8389191607934802E-3</v>
      </c>
      <c r="CL199" s="160">
        <f t="shared" si="68"/>
        <v>8.9774493215819859E-2</v>
      </c>
      <c r="CM199" s="160"/>
      <c r="CN199" s="160"/>
      <c r="CO199" s="55" t="s">
        <v>2488</v>
      </c>
      <c r="CP199" s="497" t="s">
        <v>2489</v>
      </c>
      <c r="CQ199" s="149" t="s">
        <v>272</v>
      </c>
      <c r="CR199" s="349"/>
      <c r="CS199" s="61" t="s">
        <v>539</v>
      </c>
      <c r="CT199" s="61"/>
      <c r="CU199" s="111">
        <f t="shared" si="69"/>
        <v>5.294439161431316</v>
      </c>
      <c r="CV199" s="331">
        <f t="shared" si="59"/>
        <v>0.16742489144337594</v>
      </c>
      <c r="CW199" s="326">
        <f t="shared" si="67"/>
        <v>1</v>
      </c>
      <c r="CX199" s="326"/>
      <c r="CY199" s="161" t="s">
        <v>5921</v>
      </c>
    </row>
    <row r="200" spans="1:103" ht="11.25" customHeight="1" x14ac:dyDescent="0.2">
      <c r="A200" s="72">
        <v>398</v>
      </c>
      <c r="B200" s="149">
        <v>890</v>
      </c>
      <c r="C200" s="54" t="s">
        <v>6707</v>
      </c>
      <c r="D200" s="54"/>
      <c r="E200" s="59"/>
      <c r="F200" s="59" t="s">
        <v>2533</v>
      </c>
      <c r="G200" s="151">
        <v>203942498</v>
      </c>
      <c r="H200" s="55" t="s">
        <v>2534</v>
      </c>
      <c r="I200" s="55" t="s">
        <v>7767</v>
      </c>
      <c r="J200" s="55" t="s">
        <v>2535</v>
      </c>
      <c r="K200" s="55" t="s">
        <v>2536</v>
      </c>
      <c r="L200" s="55"/>
      <c r="M200" s="55"/>
      <c r="N200" s="60"/>
      <c r="O200" s="55"/>
      <c r="P200" s="67"/>
      <c r="Q200" s="67"/>
      <c r="R200" s="67"/>
      <c r="S200" s="67"/>
      <c r="T200" s="56">
        <v>393.5</v>
      </c>
      <c r="U200" s="103"/>
      <c r="V200" s="103">
        <v>2.3050000000000002</v>
      </c>
      <c r="W200" s="103">
        <v>5.3081689429981491</v>
      </c>
      <c r="X200" s="103">
        <v>5.3081689429981491</v>
      </c>
      <c r="Y200" s="162">
        <v>7.92</v>
      </c>
      <c r="Z200" s="56">
        <v>3.7</v>
      </c>
      <c r="AA200" s="56"/>
      <c r="AB200" s="56">
        <v>4</v>
      </c>
      <c r="AC200" s="56">
        <v>0.57640000000000002</v>
      </c>
      <c r="AD200" s="56">
        <v>3.58</v>
      </c>
      <c r="AE200" s="56">
        <v>2.93</v>
      </c>
      <c r="AF200" s="56">
        <f t="shared" si="61"/>
        <v>3.58</v>
      </c>
      <c r="AG200" s="57">
        <v>2.5099999999999998</v>
      </c>
      <c r="AH200" s="103">
        <v>2.24E-20</v>
      </c>
      <c r="AI200" s="103"/>
      <c r="AJ200" s="62">
        <f t="shared" si="64"/>
        <v>-18.038318307978489</v>
      </c>
      <c r="AK200" s="62"/>
      <c r="AL200" s="62">
        <f t="shared" si="65"/>
        <v>-18.038318307978489</v>
      </c>
      <c r="AM200" s="62">
        <v>-22.30631</v>
      </c>
      <c r="AN200" s="154">
        <v>-28.8</v>
      </c>
      <c r="AO200" s="410">
        <v>15.77</v>
      </c>
      <c r="AP200" s="410">
        <v>6.74</v>
      </c>
      <c r="AQ200" s="56" t="s">
        <v>6311</v>
      </c>
      <c r="AR200" s="56" t="s">
        <v>6311</v>
      </c>
      <c r="AS200" s="155"/>
      <c r="AT200" s="58" t="s">
        <v>266</v>
      </c>
      <c r="AU200" s="56">
        <v>6</v>
      </c>
      <c r="AV200" s="56">
        <v>120</v>
      </c>
      <c r="AW200" s="56">
        <v>114</v>
      </c>
      <c r="AX200" s="56">
        <v>28</v>
      </c>
      <c r="AY200" s="56" t="s">
        <v>8728</v>
      </c>
      <c r="AZ200" s="56" t="s">
        <v>1563</v>
      </c>
      <c r="BA200" s="56">
        <v>32</v>
      </c>
      <c r="BB200" s="55" t="s">
        <v>2485</v>
      </c>
      <c r="BC200" s="55" t="s">
        <v>8726</v>
      </c>
      <c r="BD200" s="55" t="s">
        <v>8374</v>
      </c>
      <c r="BE200" s="56" t="s">
        <v>2449</v>
      </c>
      <c r="BF200" s="56" t="s">
        <v>272</v>
      </c>
      <c r="BG200" s="56" t="s">
        <v>272</v>
      </c>
      <c r="BH200" s="56" t="s">
        <v>2486</v>
      </c>
      <c r="BI200" s="153">
        <v>2.5184000000000001E-3</v>
      </c>
      <c r="BJ200" s="153">
        <v>25.184000000000001</v>
      </c>
      <c r="BK200" s="56"/>
      <c r="BL200" s="153">
        <v>9.6111363103590559</v>
      </c>
      <c r="BM200" s="56" t="s">
        <v>2046</v>
      </c>
      <c r="BN200" s="56">
        <v>7963.8800613049989</v>
      </c>
      <c r="BO200" s="56"/>
      <c r="BP200" s="56"/>
      <c r="BQ200" s="56"/>
      <c r="BR200" s="55">
        <v>7.9638800495000002</v>
      </c>
      <c r="BS200" s="56"/>
      <c r="BT200" s="56"/>
      <c r="BU200" s="158"/>
      <c r="BV200" s="56"/>
      <c r="BW200" s="56"/>
      <c r="BX200" s="56"/>
      <c r="BY200" s="56"/>
      <c r="BZ200" s="56"/>
      <c r="CA200" s="56"/>
      <c r="CB200" s="56"/>
      <c r="CC200" s="56"/>
      <c r="CD200" s="56"/>
      <c r="CE200" s="56"/>
      <c r="CF200" s="56"/>
      <c r="CG200" s="56"/>
      <c r="CH200" s="56"/>
      <c r="CI200" s="103">
        <v>7.9638800495000002</v>
      </c>
      <c r="CJ200" s="103">
        <f t="shared" si="66"/>
        <v>0.90112471014083606</v>
      </c>
      <c r="CK200" s="57">
        <f t="shared" si="56"/>
        <v>0.38163660698693835</v>
      </c>
      <c r="CL200" s="160">
        <f t="shared" si="68"/>
        <v>1.2068409180726518</v>
      </c>
      <c r="CM200" s="160"/>
      <c r="CN200" s="160"/>
      <c r="CO200" s="55" t="s">
        <v>2488</v>
      </c>
      <c r="CP200" s="497" t="s">
        <v>2489</v>
      </c>
      <c r="CQ200" s="149" t="s">
        <v>272</v>
      </c>
      <c r="CR200" s="349"/>
      <c r="CS200" s="61" t="s">
        <v>539</v>
      </c>
      <c r="CT200" s="61"/>
      <c r="CU200" s="111">
        <f t="shared" si="69"/>
        <v>0.66653049895338567</v>
      </c>
      <c r="CV200" s="331">
        <f t="shared" si="59"/>
        <v>0.21077545040494555</v>
      </c>
      <c r="CW200" s="326">
        <f t="shared" si="67"/>
        <v>0</v>
      </c>
      <c r="CX200" s="326"/>
      <c r="CY200" s="161" t="s">
        <v>5921</v>
      </c>
    </row>
    <row r="201" spans="1:103" ht="11.25" customHeight="1" x14ac:dyDescent="0.2">
      <c r="A201" s="72">
        <v>401</v>
      </c>
      <c r="B201" s="149">
        <v>1285</v>
      </c>
      <c r="C201" s="54" t="s">
        <v>6710</v>
      </c>
      <c r="D201" s="54"/>
      <c r="E201" s="59"/>
      <c r="F201" s="59" t="s">
        <v>3531</v>
      </c>
      <c r="G201" s="151">
        <v>288104790</v>
      </c>
      <c r="H201" s="55" t="s">
        <v>3532</v>
      </c>
      <c r="I201" s="55" t="s">
        <v>7819</v>
      </c>
      <c r="J201" s="55" t="s">
        <v>3533</v>
      </c>
      <c r="K201" s="55" t="s">
        <v>3534</v>
      </c>
      <c r="L201" s="55"/>
      <c r="M201" s="55"/>
      <c r="N201" s="60"/>
      <c r="O201" s="55"/>
      <c r="P201" s="67"/>
      <c r="Q201" s="67"/>
      <c r="R201" s="67"/>
      <c r="S201" s="67"/>
      <c r="T201" s="56">
        <v>522.26</v>
      </c>
      <c r="U201" s="103"/>
      <c r="V201" s="103">
        <v>7.6940000000000005E-4</v>
      </c>
      <c r="W201" s="103">
        <v>3.9617472433474028E-2</v>
      </c>
      <c r="X201" s="103">
        <v>3.9617472433474028E-2</v>
      </c>
      <c r="Y201" s="162">
        <v>7</v>
      </c>
      <c r="Z201" s="56">
        <v>6.82</v>
      </c>
      <c r="AA201" s="56"/>
      <c r="AB201" s="56">
        <v>5.37</v>
      </c>
      <c r="AC201" s="56">
        <v>0.66649999999999998</v>
      </c>
      <c r="AD201" s="56">
        <v>5.73</v>
      </c>
      <c r="AE201" s="56">
        <v>6.88</v>
      </c>
      <c r="AF201" s="56">
        <f t="shared" si="61"/>
        <v>5.73</v>
      </c>
      <c r="AG201" s="57">
        <v>6.61</v>
      </c>
      <c r="AH201" s="103">
        <v>2.82E-18</v>
      </c>
      <c r="AI201" s="103"/>
      <c r="AJ201" s="62">
        <f t="shared" si="64"/>
        <v>-15.938317217993291</v>
      </c>
      <c r="AK201" s="62"/>
      <c r="AL201" s="62">
        <f t="shared" si="65"/>
        <v>-15.938317217993291</v>
      </c>
      <c r="AM201" s="62">
        <v>-22.838989999999999</v>
      </c>
      <c r="AN201" s="154">
        <v>-12.1</v>
      </c>
      <c r="AO201" s="410">
        <v>11.3</v>
      </c>
      <c r="AP201" s="410">
        <v>3.22</v>
      </c>
      <c r="AQ201" s="56" t="s">
        <v>6311</v>
      </c>
      <c r="AR201" s="56" t="s">
        <v>6311</v>
      </c>
      <c r="AS201" s="155"/>
      <c r="AT201" s="58" t="s">
        <v>266</v>
      </c>
      <c r="AU201" s="56">
        <v>6</v>
      </c>
      <c r="AV201" s="56">
        <v>120</v>
      </c>
      <c r="AW201" s="56">
        <v>114</v>
      </c>
      <c r="AX201" s="56">
        <v>28</v>
      </c>
      <c r="AY201" s="56" t="s">
        <v>8728</v>
      </c>
      <c r="AZ201" s="56" t="s">
        <v>1563</v>
      </c>
      <c r="BA201" s="56">
        <v>32</v>
      </c>
      <c r="BB201" s="55" t="s">
        <v>2485</v>
      </c>
      <c r="BC201" s="55" t="s">
        <v>8726</v>
      </c>
      <c r="BD201" s="55" t="s">
        <v>8374</v>
      </c>
      <c r="BE201" s="56" t="s">
        <v>2449</v>
      </c>
      <c r="BF201" s="56" t="s">
        <v>272</v>
      </c>
      <c r="BG201" s="56" t="s">
        <v>272</v>
      </c>
      <c r="BH201" s="56" t="s">
        <v>2486</v>
      </c>
      <c r="BI201" s="153">
        <v>3.3424639999999999E-3</v>
      </c>
      <c r="BJ201" s="153">
        <v>33.424639999999997</v>
      </c>
      <c r="BK201" s="56"/>
      <c r="BL201" s="153">
        <v>2.012077777080289E-2</v>
      </c>
      <c r="BM201" s="56" t="s">
        <v>2487</v>
      </c>
      <c r="BN201" s="56"/>
      <c r="BO201" s="56"/>
      <c r="BP201" s="56"/>
      <c r="BQ201" s="56"/>
      <c r="BR201" s="55">
        <v>10.56979922402</v>
      </c>
      <c r="BS201" s="56"/>
      <c r="BT201" s="56"/>
      <c r="BU201" s="158"/>
      <c r="BV201" s="56"/>
      <c r="BW201" s="56"/>
      <c r="BX201" s="56"/>
      <c r="BY201" s="56"/>
      <c r="BZ201" s="56"/>
      <c r="CA201" s="56"/>
      <c r="CB201" s="56"/>
      <c r="CC201" s="56"/>
      <c r="CD201" s="56"/>
      <c r="CE201" s="56"/>
      <c r="CF201" s="56"/>
      <c r="CG201" s="56"/>
      <c r="CH201" s="56"/>
      <c r="CI201" s="103">
        <v>10.56979922402</v>
      </c>
      <c r="CJ201" s="103">
        <f t="shared" si="66"/>
        <v>1.0240667378534658</v>
      </c>
      <c r="CK201" s="57">
        <f t="shared" si="56"/>
        <v>6.0197440483436451E-4</v>
      </c>
      <c r="CL201" s="160">
        <f t="shared" si="68"/>
        <v>1.9036102147596307E-3</v>
      </c>
      <c r="CM201" s="160"/>
      <c r="CN201" s="160"/>
      <c r="CO201" s="55" t="s">
        <v>2488</v>
      </c>
      <c r="CP201" s="497" t="s">
        <v>2489</v>
      </c>
      <c r="CQ201" s="149" t="s">
        <v>272</v>
      </c>
      <c r="CR201" s="349"/>
      <c r="CS201" s="61" t="s">
        <v>539</v>
      </c>
      <c r="CT201" s="61"/>
      <c r="CU201" s="111">
        <f t="shared" si="69"/>
        <v>3.7481764406123086E-3</v>
      </c>
      <c r="CV201" s="331">
        <f t="shared" si="59"/>
        <v>1.1852774609830961E-3</v>
      </c>
      <c r="CW201" s="326">
        <f t="shared" si="67"/>
        <v>0</v>
      </c>
      <c r="CX201" s="326"/>
      <c r="CY201" s="161" t="s">
        <v>5921</v>
      </c>
    </row>
    <row r="202" spans="1:103" ht="11.25" customHeight="1" x14ac:dyDescent="0.2">
      <c r="A202" s="72">
        <v>402</v>
      </c>
      <c r="B202" s="149">
        <v>929</v>
      </c>
      <c r="C202" s="54" t="s">
        <v>6711</v>
      </c>
      <c r="D202" s="54"/>
      <c r="E202" s="59"/>
      <c r="F202" s="59" t="s">
        <v>2651</v>
      </c>
      <c r="G202" s="151">
        <v>344930956</v>
      </c>
      <c r="H202" s="55" t="s">
        <v>2652</v>
      </c>
      <c r="I202" s="55" t="s">
        <v>7851</v>
      </c>
      <c r="J202" s="55" t="s">
        <v>2653</v>
      </c>
      <c r="K202" s="55" t="s">
        <v>471</v>
      </c>
      <c r="L202" s="55"/>
      <c r="M202" s="55"/>
      <c r="N202" s="60"/>
      <c r="O202" s="55"/>
      <c r="P202" s="67"/>
      <c r="Q202" s="67"/>
      <c r="R202" s="67"/>
      <c r="S202" s="67"/>
      <c r="T202" s="56">
        <v>664.57</v>
      </c>
      <c r="U202" s="103"/>
      <c r="V202" s="103"/>
      <c r="W202" s="103">
        <v>11029.116710757788</v>
      </c>
      <c r="X202" s="103">
        <v>11029.116710757788</v>
      </c>
      <c r="Y202" s="162">
        <v>7</v>
      </c>
      <c r="Z202" s="56"/>
      <c r="AA202" s="56"/>
      <c r="AB202" s="56">
        <v>3.51</v>
      </c>
      <c r="AC202" s="56">
        <v>0.34860000000000002</v>
      </c>
      <c r="AD202" s="56">
        <v>4.1399999999999997</v>
      </c>
      <c r="AE202" s="56">
        <v>4.54</v>
      </c>
      <c r="AF202" s="56">
        <f t="shared" ref="AF202:AF233" si="70">IF(AA202=0,AD202,AA202)</f>
        <v>4.1399999999999997</v>
      </c>
      <c r="AG202" s="57">
        <v>7.56</v>
      </c>
      <c r="AH202" s="103">
        <v>4.3600000000000003E-19</v>
      </c>
      <c r="AI202" s="103"/>
      <c r="AJ202" s="62">
        <f t="shared" si="64"/>
        <v>-16.749079837044064</v>
      </c>
      <c r="AK202" s="62"/>
      <c r="AL202" s="62">
        <f t="shared" si="65"/>
        <v>-16.749079837044064</v>
      </c>
      <c r="AM202" s="62">
        <v>-12.043839999999999</v>
      </c>
      <c r="AN202" s="154">
        <v>-16.899999999999999</v>
      </c>
      <c r="AO202" s="410"/>
      <c r="AP202" s="410">
        <v>-2.6</v>
      </c>
      <c r="AQ202" s="56" t="s">
        <v>6311</v>
      </c>
      <c r="AR202" s="56" t="s">
        <v>6311</v>
      </c>
      <c r="AS202" s="155"/>
      <c r="AT202" s="58" t="s">
        <v>266</v>
      </c>
      <c r="AU202" s="56">
        <v>6</v>
      </c>
      <c r="AV202" s="56">
        <v>120</v>
      </c>
      <c r="AW202" s="56">
        <v>114</v>
      </c>
      <c r="AX202" s="56">
        <v>28</v>
      </c>
      <c r="AY202" s="56" t="s">
        <v>8728</v>
      </c>
      <c r="AZ202" s="56" t="s">
        <v>1563</v>
      </c>
      <c r="BA202" s="56">
        <v>32</v>
      </c>
      <c r="BB202" s="55" t="s">
        <v>2485</v>
      </c>
      <c r="BC202" s="55" t="s">
        <v>8726</v>
      </c>
      <c r="BD202" s="55" t="s">
        <v>8374</v>
      </c>
      <c r="BE202" s="56" t="s">
        <v>2449</v>
      </c>
      <c r="BF202" s="56" t="s">
        <v>272</v>
      </c>
      <c r="BG202" s="56" t="s">
        <v>272</v>
      </c>
      <c r="BH202" s="56" t="s">
        <v>2486</v>
      </c>
      <c r="BI202" s="153">
        <v>4.2532480000000003E-3</v>
      </c>
      <c r="BJ202" s="153">
        <v>42.532480000000007</v>
      </c>
      <c r="BK202" s="56"/>
      <c r="BL202" s="153"/>
      <c r="BM202" s="56" t="s">
        <v>2487</v>
      </c>
      <c r="BN202" s="56"/>
      <c r="BO202" s="56"/>
      <c r="BP202" s="56"/>
      <c r="BQ202" s="56"/>
      <c r="BR202" s="55">
        <v>3.3624876130800003</v>
      </c>
      <c r="BS202" s="56"/>
      <c r="BT202" s="56"/>
      <c r="BU202" s="158"/>
      <c r="BV202" s="56"/>
      <c r="BW202" s="56"/>
      <c r="BX202" s="56"/>
      <c r="BY202" s="56"/>
      <c r="BZ202" s="56"/>
      <c r="CA202" s="56"/>
      <c r="CB202" s="56"/>
      <c r="CC202" s="56"/>
      <c r="CD202" s="56"/>
      <c r="CE202" s="56"/>
      <c r="CF202" s="56"/>
      <c r="CG202" s="56"/>
      <c r="CH202" s="56"/>
      <c r="CI202" s="103">
        <v>3.3624876130800003</v>
      </c>
      <c r="CJ202" s="103">
        <f t="shared" si="66"/>
        <v>0.52666069313510011</v>
      </c>
      <c r="CK202" s="57">
        <f t="shared" si="56"/>
        <v>0</v>
      </c>
      <c r="CL202" s="160">
        <f t="shared" si="68"/>
        <v>0</v>
      </c>
      <c r="CM202" s="160"/>
      <c r="CN202" s="160"/>
      <c r="CO202" s="55" t="s">
        <v>2488</v>
      </c>
      <c r="CP202" s="497" t="s">
        <v>2489</v>
      </c>
      <c r="CQ202" s="149" t="s">
        <v>272</v>
      </c>
      <c r="CR202" s="349"/>
      <c r="CS202" s="61" t="s">
        <v>539</v>
      </c>
      <c r="CT202" s="61"/>
      <c r="CU202" s="111">
        <f t="shared" si="69"/>
        <v>3280.0467926944248</v>
      </c>
      <c r="CV202" s="331">
        <f t="shared" si="59"/>
        <v>259.3104542871186</v>
      </c>
      <c r="CW202" s="326">
        <f t="shared" si="67"/>
        <v>1</v>
      </c>
      <c r="CX202" s="326"/>
      <c r="CY202" s="161" t="s">
        <v>5921</v>
      </c>
    </row>
    <row r="203" spans="1:103" ht="11.25" customHeight="1" x14ac:dyDescent="0.2">
      <c r="A203" s="72">
        <v>405</v>
      </c>
      <c r="B203" s="149">
        <v>964</v>
      </c>
      <c r="C203" s="54" t="s">
        <v>6713</v>
      </c>
      <c r="D203" s="54"/>
      <c r="E203" s="59"/>
      <c r="F203" s="59" t="s">
        <v>2749</v>
      </c>
      <c r="G203" s="151">
        <v>402910274</v>
      </c>
      <c r="H203" s="55" t="s">
        <v>2750</v>
      </c>
      <c r="I203" s="55" t="s">
        <v>7771</v>
      </c>
      <c r="J203" s="55" t="s">
        <v>2751</v>
      </c>
      <c r="K203" s="55" t="s">
        <v>2752</v>
      </c>
      <c r="L203" s="55"/>
      <c r="M203" s="55"/>
      <c r="N203" s="60"/>
      <c r="O203" s="55"/>
      <c r="P203" s="67"/>
      <c r="Q203" s="67"/>
      <c r="R203" s="67"/>
      <c r="S203" s="67"/>
      <c r="T203" s="56">
        <v>357.38</v>
      </c>
      <c r="U203" s="103"/>
      <c r="V203" s="103">
        <v>5817.9999999999991</v>
      </c>
      <c r="W203" s="103">
        <v>504.81266769727932</v>
      </c>
      <c r="X203" s="103">
        <v>504.81266769727932</v>
      </c>
      <c r="Y203" s="162">
        <v>7.42</v>
      </c>
      <c r="Z203" s="56">
        <v>0.44</v>
      </c>
      <c r="AA203" s="56"/>
      <c r="AB203" s="56">
        <v>0.23</v>
      </c>
      <c r="AC203" s="56">
        <v>0.68910000000000005</v>
      </c>
      <c r="AD203" s="56">
        <v>0.44</v>
      </c>
      <c r="AE203" s="56">
        <v>1.2</v>
      </c>
      <c r="AF203" s="56">
        <f t="shared" si="70"/>
        <v>0.44</v>
      </c>
      <c r="AG203" s="57">
        <v>1.85</v>
      </c>
      <c r="AH203" s="103">
        <v>6.5499999999999998E-19</v>
      </c>
      <c r="AI203" s="103"/>
      <c r="AJ203" s="62">
        <f t="shared" si="64"/>
        <v>-16.572325026320868</v>
      </c>
      <c r="AK203" s="62"/>
      <c r="AL203" s="62">
        <f t="shared" si="65"/>
        <v>-16.572325026320868</v>
      </c>
      <c r="AM203" s="62">
        <v>-22.246029999999998</v>
      </c>
      <c r="AN203" s="154">
        <v>-11.3</v>
      </c>
      <c r="AO203" s="410">
        <v>6.43</v>
      </c>
      <c r="AP203" s="410">
        <v>9</v>
      </c>
      <c r="AQ203" s="56" t="s">
        <v>6311</v>
      </c>
      <c r="AR203" s="56" t="s">
        <v>6311</v>
      </c>
      <c r="AS203" s="155"/>
      <c r="AT203" s="58" t="s">
        <v>266</v>
      </c>
      <c r="AU203" s="56">
        <v>6</v>
      </c>
      <c r="AV203" s="56">
        <v>120</v>
      </c>
      <c r="AW203" s="56">
        <v>114</v>
      </c>
      <c r="AX203" s="56">
        <v>28</v>
      </c>
      <c r="AY203" s="56" t="s">
        <v>8728</v>
      </c>
      <c r="AZ203" s="56" t="s">
        <v>1563</v>
      </c>
      <c r="BA203" s="56">
        <v>32</v>
      </c>
      <c r="BB203" s="55" t="s">
        <v>2485</v>
      </c>
      <c r="BC203" s="55" t="s">
        <v>8726</v>
      </c>
      <c r="BD203" s="55" t="s">
        <v>8374</v>
      </c>
      <c r="BE203" s="56" t="s">
        <v>2449</v>
      </c>
      <c r="BF203" s="56" t="s">
        <v>272</v>
      </c>
      <c r="BG203" s="56" t="s">
        <v>272</v>
      </c>
      <c r="BH203" s="56" t="s">
        <v>2486</v>
      </c>
      <c r="BI203" s="153">
        <v>2.2872319999999997E-3</v>
      </c>
      <c r="BJ203" s="153">
        <v>22.872319999999998</v>
      </c>
      <c r="BK203" s="56"/>
      <c r="BL203" s="153">
        <v>7392.072955965029</v>
      </c>
      <c r="BM203" s="56" t="s">
        <v>2487</v>
      </c>
      <c r="BN203" s="56"/>
      <c r="BO203" s="56"/>
      <c r="BP203" s="56"/>
      <c r="BQ203" s="56"/>
      <c r="BR203" s="55">
        <v>7.2328626482600002</v>
      </c>
      <c r="BS203" s="56"/>
      <c r="BT203" s="56"/>
      <c r="BU203" s="158"/>
      <c r="BV203" s="56"/>
      <c r="BW203" s="56"/>
      <c r="BX203" s="56"/>
      <c r="BY203" s="56"/>
      <c r="BZ203" s="56"/>
      <c r="CA203" s="56"/>
      <c r="CB203" s="56"/>
      <c r="CC203" s="56"/>
      <c r="CD203" s="56"/>
      <c r="CE203" s="56"/>
      <c r="CF203" s="56"/>
      <c r="CG203" s="56"/>
      <c r="CH203" s="56"/>
      <c r="CI203" s="103">
        <v>7.2328626482600002</v>
      </c>
      <c r="CJ203" s="103">
        <f t="shared" si="66"/>
        <v>0.85931021794252682</v>
      </c>
      <c r="CK203" s="57">
        <f t="shared" si="56"/>
        <v>323.18859459665788</v>
      </c>
      <c r="CL203" s="160">
        <f t="shared" si="68"/>
        <v>1022.0120739806016</v>
      </c>
      <c r="CM203" s="160"/>
      <c r="CN203" s="160"/>
      <c r="CO203" s="55" t="s">
        <v>2488</v>
      </c>
      <c r="CP203" s="497" t="s">
        <v>2489</v>
      </c>
      <c r="CQ203" s="149" t="s">
        <v>272</v>
      </c>
      <c r="CR203" s="349"/>
      <c r="CS203" s="61" t="s">
        <v>539</v>
      </c>
      <c r="CT203" s="61"/>
      <c r="CU203" s="111">
        <f t="shared" si="69"/>
        <v>69.794311360070054</v>
      </c>
      <c r="CV203" s="331">
        <f t="shared" si="59"/>
        <v>22.07089913473051</v>
      </c>
      <c r="CW203" s="326">
        <f t="shared" si="67"/>
        <v>1</v>
      </c>
      <c r="CX203" s="326"/>
      <c r="CY203" s="161" t="s">
        <v>5921</v>
      </c>
    </row>
    <row r="204" spans="1:103" ht="11.25" customHeight="1" x14ac:dyDescent="0.2">
      <c r="A204" s="72">
        <v>407</v>
      </c>
      <c r="B204" s="149">
        <v>1011</v>
      </c>
      <c r="C204" s="54" t="s">
        <v>6715</v>
      </c>
      <c r="D204" s="54"/>
      <c r="E204" s="59"/>
      <c r="F204" s="59" t="s">
        <v>2891</v>
      </c>
      <c r="G204" s="151">
        <v>676116044</v>
      </c>
      <c r="H204" s="55" t="s">
        <v>2892</v>
      </c>
      <c r="I204" s="55" t="s">
        <v>7823</v>
      </c>
      <c r="J204" s="55" t="s">
        <v>2893</v>
      </c>
      <c r="K204" s="55" t="s">
        <v>1473</v>
      </c>
      <c r="L204" s="55"/>
      <c r="M204" s="55"/>
      <c r="N204" s="60"/>
      <c r="O204" s="55"/>
      <c r="P204" s="67"/>
      <c r="Q204" s="67"/>
      <c r="R204" s="67"/>
      <c r="S204" s="67"/>
      <c r="T204" s="56">
        <v>610.16</v>
      </c>
      <c r="U204" s="103"/>
      <c r="V204" s="103">
        <v>7.6069999999999998E-7</v>
      </c>
      <c r="W204" s="103">
        <v>0.56943444417429145</v>
      </c>
      <c r="X204" s="103">
        <v>0.56943444417429145</v>
      </c>
      <c r="Y204" s="162">
        <v>6.03</v>
      </c>
      <c r="Z204" s="56">
        <v>9.67</v>
      </c>
      <c r="AA204" s="56"/>
      <c r="AB204" s="56">
        <v>6.82</v>
      </c>
      <c r="AC204" s="56">
        <v>0.50219999999999998</v>
      </c>
      <c r="AD204" s="56">
        <v>7.56</v>
      </c>
      <c r="AE204" s="56">
        <v>8.3800000000000008</v>
      </c>
      <c r="AF204" s="56">
        <f t="shared" si="70"/>
        <v>7.56</v>
      </c>
      <c r="AG204" s="57">
        <v>9.31</v>
      </c>
      <c r="AH204" s="103">
        <v>1.9399999999999999E-23</v>
      </c>
      <c r="AI204" s="103"/>
      <c r="AJ204" s="62">
        <f t="shared" si="64"/>
        <v>-21.100764596382426</v>
      </c>
      <c r="AK204" s="62"/>
      <c r="AL204" s="62">
        <f t="shared" si="65"/>
        <v>-21.100764596382426</v>
      </c>
      <c r="AM204" s="62">
        <v>-28.812149999999999</v>
      </c>
      <c r="AN204" s="154">
        <v>-29.5</v>
      </c>
      <c r="AO204" s="410">
        <v>4.01</v>
      </c>
      <c r="AP204" s="410">
        <v>1.71</v>
      </c>
      <c r="AQ204" s="56" t="s">
        <v>6311</v>
      </c>
      <c r="AR204" s="56" t="s">
        <v>6311</v>
      </c>
      <c r="AS204" s="155"/>
      <c r="AT204" s="58" t="s">
        <v>266</v>
      </c>
      <c r="AU204" s="56">
        <v>6</v>
      </c>
      <c r="AV204" s="56">
        <v>120</v>
      </c>
      <c r="AW204" s="56">
        <v>114</v>
      </c>
      <c r="AX204" s="56">
        <v>28</v>
      </c>
      <c r="AY204" s="56" t="s">
        <v>8728</v>
      </c>
      <c r="AZ204" s="56" t="s">
        <v>1563</v>
      </c>
      <c r="BA204" s="56">
        <v>32</v>
      </c>
      <c r="BB204" s="55" t="s">
        <v>2485</v>
      </c>
      <c r="BC204" s="55" t="s">
        <v>8726</v>
      </c>
      <c r="BD204" s="55" t="s">
        <v>8374</v>
      </c>
      <c r="BE204" s="56" t="s">
        <v>2449</v>
      </c>
      <c r="BF204" s="56" t="s">
        <v>272</v>
      </c>
      <c r="BG204" s="56" t="s">
        <v>272</v>
      </c>
      <c r="BH204" s="56" t="s">
        <v>2486</v>
      </c>
      <c r="BI204" s="153">
        <v>3.9050239999999996E-3</v>
      </c>
      <c r="BJ204" s="153">
        <v>39.050240000000002</v>
      </c>
      <c r="BK204" s="56"/>
      <c r="BL204" s="153">
        <v>6.4806226357156017E-5</v>
      </c>
      <c r="BM204" s="56" t="s">
        <v>2487</v>
      </c>
      <c r="BN204" s="56"/>
      <c r="BO204" s="56"/>
      <c r="BP204" s="56"/>
      <c r="BQ204" s="56"/>
      <c r="BR204" s="55">
        <v>12.348770142319999</v>
      </c>
      <c r="BS204" s="56"/>
      <c r="BT204" s="56"/>
      <c r="BU204" s="158"/>
      <c r="BV204" s="56"/>
      <c r="BW204" s="56"/>
      <c r="BX204" s="56"/>
      <c r="BY204" s="56"/>
      <c r="BZ204" s="56"/>
      <c r="CA204" s="56"/>
      <c r="CB204" s="56"/>
      <c r="CC204" s="56"/>
      <c r="CD204" s="56"/>
      <c r="CE204" s="56"/>
      <c r="CF204" s="56"/>
      <c r="CG204" s="56"/>
      <c r="CH204" s="56"/>
      <c r="CI204" s="103">
        <v>12.348770142319999</v>
      </c>
      <c r="CJ204" s="103">
        <f t="shared" si="66"/>
        <v>1.0916237068264103</v>
      </c>
      <c r="CK204" s="57">
        <f t="shared" si="56"/>
        <v>1.6595602576874307E-6</v>
      </c>
      <c r="CL204" s="160">
        <f t="shared" si="68"/>
        <v>5.2479903350910278E-6</v>
      </c>
      <c r="CM204" s="160"/>
      <c r="CN204" s="160"/>
      <c r="CO204" s="55" t="s">
        <v>2488</v>
      </c>
      <c r="CP204" s="497" t="s">
        <v>2489</v>
      </c>
      <c r="CQ204" s="149" t="s">
        <v>272</v>
      </c>
      <c r="CR204" s="349"/>
      <c r="CS204" s="61" t="s">
        <v>539</v>
      </c>
      <c r="CT204" s="61"/>
      <c r="CU204" s="111">
        <f t="shared" si="69"/>
        <v>4.6112644223800424E-2</v>
      </c>
      <c r="CV204" s="331">
        <f t="shared" si="59"/>
        <v>1.4582098449952969E-2</v>
      </c>
      <c r="CW204" s="326">
        <f t="shared" si="67"/>
        <v>0</v>
      </c>
      <c r="CX204" s="326"/>
      <c r="CY204" s="161" t="s">
        <v>5921</v>
      </c>
    </row>
    <row r="205" spans="1:103" ht="11.25" customHeight="1" x14ac:dyDescent="0.2">
      <c r="A205" s="72">
        <v>408</v>
      </c>
      <c r="B205" s="149">
        <v>963</v>
      </c>
      <c r="C205" s="54" t="s">
        <v>6716</v>
      </c>
      <c r="D205" s="54"/>
      <c r="E205" s="59"/>
      <c r="F205" s="59" t="s">
        <v>2746</v>
      </c>
      <c r="G205" s="151">
        <v>686756876</v>
      </c>
      <c r="H205" s="55" t="s">
        <v>2747</v>
      </c>
      <c r="I205" s="55" t="s">
        <v>7820</v>
      </c>
      <c r="J205" s="55" t="s">
        <v>2748</v>
      </c>
      <c r="K205" s="55" t="s">
        <v>1292</v>
      </c>
      <c r="L205" s="55"/>
      <c r="M205" s="55"/>
      <c r="N205" s="60"/>
      <c r="O205" s="55"/>
      <c r="P205" s="67"/>
      <c r="Q205" s="67"/>
      <c r="R205" s="67"/>
      <c r="S205" s="67"/>
      <c r="T205" s="56">
        <v>498.33</v>
      </c>
      <c r="U205" s="103"/>
      <c r="V205" s="103">
        <v>1.159</v>
      </c>
      <c r="W205" s="103">
        <v>58.54866985530149</v>
      </c>
      <c r="X205" s="103">
        <v>58.54866985530149</v>
      </c>
      <c r="Y205" s="162">
        <v>7.3</v>
      </c>
      <c r="Z205" s="56">
        <v>3.28</v>
      </c>
      <c r="AA205" s="56"/>
      <c r="AB205" s="56">
        <v>3.21</v>
      </c>
      <c r="AC205" s="56">
        <v>0.50529999999999997</v>
      </c>
      <c r="AD205" s="56">
        <v>2.3199999999999998</v>
      </c>
      <c r="AE205" s="56">
        <v>1.1599999999999999</v>
      </c>
      <c r="AF205" s="56">
        <f t="shared" si="70"/>
        <v>2.3199999999999998</v>
      </c>
      <c r="AG205" s="57">
        <v>2.95</v>
      </c>
      <c r="AH205" s="103">
        <v>1.9100000000000001E-19</v>
      </c>
      <c r="AI205" s="103"/>
      <c r="AJ205" s="62">
        <f t="shared" si="64"/>
        <v>-17.107532959064923</v>
      </c>
      <c r="AK205" s="62"/>
      <c r="AL205" s="62">
        <f t="shared" si="65"/>
        <v>-17.107532959064923</v>
      </c>
      <c r="AM205" s="62">
        <v>-27.925269999999998</v>
      </c>
      <c r="AN205" s="154">
        <v>-16.3</v>
      </c>
      <c r="AO205" s="410">
        <v>14.1</v>
      </c>
      <c r="AP205" s="410">
        <v>5.22</v>
      </c>
      <c r="AQ205" s="56" t="s">
        <v>6311</v>
      </c>
      <c r="AR205" s="56" t="s">
        <v>6311</v>
      </c>
      <c r="AS205" s="155"/>
      <c r="AT205" s="58" t="s">
        <v>266</v>
      </c>
      <c r="AU205" s="56">
        <v>6</v>
      </c>
      <c r="AV205" s="56">
        <v>120</v>
      </c>
      <c r="AW205" s="56">
        <v>114</v>
      </c>
      <c r="AX205" s="56">
        <v>28</v>
      </c>
      <c r="AY205" s="56" t="s">
        <v>8728</v>
      </c>
      <c r="AZ205" s="56" t="s">
        <v>1563</v>
      </c>
      <c r="BA205" s="56">
        <v>32</v>
      </c>
      <c r="BB205" s="55" t="s">
        <v>2485</v>
      </c>
      <c r="BC205" s="55" t="s">
        <v>8726</v>
      </c>
      <c r="BD205" s="55" t="s">
        <v>8374</v>
      </c>
      <c r="BE205" s="56" t="s">
        <v>2449</v>
      </c>
      <c r="BF205" s="56" t="s">
        <v>272</v>
      </c>
      <c r="BG205" s="56" t="s">
        <v>272</v>
      </c>
      <c r="BH205" s="56" t="s">
        <v>2486</v>
      </c>
      <c r="BI205" s="153">
        <v>3.1893119999999997E-3</v>
      </c>
      <c r="BJ205" s="153">
        <v>31.89312</v>
      </c>
      <c r="BK205" s="56"/>
      <c r="BL205" s="153">
        <v>29.010087114640196</v>
      </c>
      <c r="BM205" s="56" t="s">
        <v>2487</v>
      </c>
      <c r="BN205" s="56"/>
      <c r="BO205" s="56"/>
      <c r="BP205" s="56"/>
      <c r="BQ205" s="56"/>
      <c r="BR205" s="55">
        <v>10.08549007641</v>
      </c>
      <c r="BS205" s="56"/>
      <c r="BT205" s="56"/>
      <c r="BU205" s="158"/>
      <c r="BV205" s="56"/>
      <c r="BW205" s="56"/>
      <c r="BX205" s="56"/>
      <c r="BY205" s="56"/>
      <c r="BZ205" s="56"/>
      <c r="CA205" s="56"/>
      <c r="CB205" s="56"/>
      <c r="CC205" s="56"/>
      <c r="CD205" s="56"/>
      <c r="CE205" s="56"/>
      <c r="CF205" s="56"/>
      <c r="CG205" s="56"/>
      <c r="CH205" s="56"/>
      <c r="CI205" s="103">
        <v>10.08549007641</v>
      </c>
      <c r="CJ205" s="103">
        <f t="shared" si="66"/>
        <v>1.003697006397011</v>
      </c>
      <c r="CK205" s="57">
        <f t="shared" si="56"/>
        <v>0.9096032973456406</v>
      </c>
      <c r="CL205" s="160">
        <f t="shared" si="68"/>
        <v>2.8764181903757855</v>
      </c>
      <c r="CM205" s="160"/>
      <c r="CN205" s="160"/>
      <c r="CO205" s="55" t="s">
        <v>2488</v>
      </c>
      <c r="CP205" s="497" t="s">
        <v>2489</v>
      </c>
      <c r="CQ205" s="149" t="s">
        <v>272</v>
      </c>
      <c r="CR205" s="349"/>
      <c r="CS205" s="61" t="s">
        <v>539</v>
      </c>
      <c r="CT205" s="61"/>
      <c r="CU205" s="111">
        <f t="shared" si="69"/>
        <v>5.8052379618365846</v>
      </c>
      <c r="CV205" s="331">
        <f t="shared" si="59"/>
        <v>1.8357774295930123</v>
      </c>
      <c r="CW205" s="326">
        <f t="shared" si="67"/>
        <v>1</v>
      </c>
      <c r="CX205" s="326"/>
      <c r="CY205" s="161" t="s">
        <v>5921</v>
      </c>
    </row>
    <row r="206" spans="1:103" ht="11.25" customHeight="1" x14ac:dyDescent="0.2">
      <c r="A206" s="72">
        <v>409</v>
      </c>
      <c r="B206" s="149">
        <v>886</v>
      </c>
      <c r="C206" s="54" t="s">
        <v>6717</v>
      </c>
      <c r="D206" s="54"/>
      <c r="E206" s="59"/>
      <c r="F206" s="59" t="s">
        <v>2521</v>
      </c>
      <c r="G206" s="151">
        <v>725228455</v>
      </c>
      <c r="H206" s="55" t="s">
        <v>2522</v>
      </c>
      <c r="I206" s="55" t="s">
        <v>7817</v>
      </c>
      <c r="J206" s="55" t="s">
        <v>2523</v>
      </c>
      <c r="K206" s="55" t="s">
        <v>300</v>
      </c>
      <c r="L206" s="55"/>
      <c r="M206" s="55"/>
      <c r="N206" s="60"/>
      <c r="O206" s="55"/>
      <c r="P206" s="67"/>
      <c r="Q206" s="67"/>
      <c r="R206" s="67"/>
      <c r="S206" s="67"/>
      <c r="T206" s="56">
        <v>406.47</v>
      </c>
      <c r="U206" s="103"/>
      <c r="V206" s="103">
        <v>1000000</v>
      </c>
      <c r="W206" s="103">
        <v>774512.6180305212</v>
      </c>
      <c r="X206" s="103">
        <v>774512.6180305212</v>
      </c>
      <c r="Y206" s="162">
        <v>11.23</v>
      </c>
      <c r="Z206" s="56">
        <v>-4.3499999999999996</v>
      </c>
      <c r="AA206" s="56"/>
      <c r="AB206" s="56">
        <v>-4.2</v>
      </c>
      <c r="AC206" s="56">
        <v>0.1903</v>
      </c>
      <c r="AD206" s="56">
        <v>-2.33</v>
      </c>
      <c r="AE206" s="56">
        <v>-1.68</v>
      </c>
      <c r="AF206" s="56">
        <f t="shared" si="70"/>
        <v>-2.33</v>
      </c>
      <c r="AG206" s="57">
        <v>-4.01</v>
      </c>
      <c r="AH206" s="103">
        <v>1.23E-32</v>
      </c>
      <c r="AI206" s="103"/>
      <c r="AJ206" s="62">
        <f t="shared" si="64"/>
        <v>-30.298661214873253</v>
      </c>
      <c r="AK206" s="62"/>
      <c r="AL206" s="62">
        <f t="shared" si="65"/>
        <v>-30.298661214873253</v>
      </c>
      <c r="AM206" s="62">
        <v>-39.066200000000002</v>
      </c>
      <c r="AN206" s="154">
        <v>-26.7</v>
      </c>
      <c r="AO206" s="410">
        <v>13.24</v>
      </c>
      <c r="AP206" s="410">
        <v>9.52</v>
      </c>
      <c r="AQ206" s="56" t="s">
        <v>6311</v>
      </c>
      <c r="AR206" s="56" t="s">
        <v>6311</v>
      </c>
      <c r="AS206" s="155"/>
      <c r="AT206" s="58" t="s">
        <v>266</v>
      </c>
      <c r="AU206" s="56">
        <v>6</v>
      </c>
      <c r="AV206" s="56">
        <v>120</v>
      </c>
      <c r="AW206" s="56">
        <v>114</v>
      </c>
      <c r="AX206" s="56">
        <v>28</v>
      </c>
      <c r="AY206" s="56" t="s">
        <v>8728</v>
      </c>
      <c r="AZ206" s="56" t="s">
        <v>1563</v>
      </c>
      <c r="BA206" s="56">
        <v>32</v>
      </c>
      <c r="BB206" s="55" t="s">
        <v>2485</v>
      </c>
      <c r="BC206" s="55" t="s">
        <v>8726</v>
      </c>
      <c r="BD206" s="55" t="s">
        <v>8374</v>
      </c>
      <c r="BE206" s="56" t="s">
        <v>2449</v>
      </c>
      <c r="BF206" s="56" t="s">
        <v>272</v>
      </c>
      <c r="BG206" s="56" t="s">
        <v>272</v>
      </c>
      <c r="BH206" s="56" t="s">
        <v>2486</v>
      </c>
      <c r="BI206" s="153">
        <v>2.6014079999999999E-3</v>
      </c>
      <c r="BJ206" s="153">
        <v>26.014080000000003</v>
      </c>
      <c r="BK206" s="56"/>
      <c r="BL206" s="153">
        <v>168485874.9240123</v>
      </c>
      <c r="BM206" s="56" t="s">
        <v>2046</v>
      </c>
      <c r="BN206" s="56"/>
      <c r="BO206" s="56"/>
      <c r="BP206" s="56"/>
      <c r="BQ206" s="56"/>
      <c r="BR206" s="55">
        <v>8.2263743931900013</v>
      </c>
      <c r="BS206" s="56"/>
      <c r="BT206" s="56"/>
      <c r="BU206" s="158"/>
      <c r="BV206" s="56"/>
      <c r="BW206" s="56"/>
      <c r="BX206" s="56"/>
      <c r="BY206" s="56"/>
      <c r="BZ206" s="56"/>
      <c r="CA206" s="56"/>
      <c r="CB206" s="56"/>
      <c r="CC206" s="56"/>
      <c r="CD206" s="56"/>
      <c r="CE206" s="56"/>
      <c r="CF206" s="56"/>
      <c r="CG206" s="56"/>
      <c r="CH206" s="56"/>
      <c r="CI206" s="103">
        <v>8.2263743931900013</v>
      </c>
      <c r="CJ206" s="103">
        <f t="shared" si="66"/>
        <v>0.91520847093980151</v>
      </c>
      <c r="CK206" s="57">
        <f t="shared" si="56"/>
        <v>6476718.5664075874</v>
      </c>
      <c r="CL206" s="160">
        <f t="shared" si="68"/>
        <v>20481182.459126726</v>
      </c>
      <c r="CM206" s="160"/>
      <c r="CN206" s="160"/>
      <c r="CO206" s="55" t="s">
        <v>2488</v>
      </c>
      <c r="CP206" s="497" t="s">
        <v>2489</v>
      </c>
      <c r="CQ206" s="149" t="s">
        <v>272</v>
      </c>
      <c r="CR206" s="349"/>
      <c r="CS206" s="61" t="s">
        <v>539</v>
      </c>
      <c r="CT206" s="61"/>
      <c r="CU206" s="111">
        <f t="shared" si="69"/>
        <v>94149.93544077962</v>
      </c>
      <c r="CV206" s="331">
        <f t="shared" si="59"/>
        <v>29772.823718175739</v>
      </c>
      <c r="CW206" s="326">
        <f t="shared" si="67"/>
        <v>1</v>
      </c>
      <c r="CX206" s="326"/>
      <c r="CY206" s="161" t="s">
        <v>5921</v>
      </c>
    </row>
    <row r="207" spans="1:103" ht="11.25" customHeight="1" x14ac:dyDescent="0.2">
      <c r="A207" s="72">
        <v>410</v>
      </c>
      <c r="B207" s="149">
        <v>948</v>
      </c>
      <c r="C207" s="54" t="s">
        <v>6718</v>
      </c>
      <c r="D207" s="54"/>
      <c r="E207" s="59"/>
      <c r="F207" s="59" t="s">
        <v>2707</v>
      </c>
      <c r="G207" s="151">
        <v>742693385</v>
      </c>
      <c r="H207" s="55" t="s">
        <v>2708</v>
      </c>
      <c r="I207" s="55" t="s">
        <v>7747</v>
      </c>
      <c r="J207" s="55" t="s">
        <v>2709</v>
      </c>
      <c r="K207" s="55" t="s">
        <v>2710</v>
      </c>
      <c r="L207" s="55"/>
      <c r="M207" s="55"/>
      <c r="N207" s="60"/>
      <c r="O207" s="55"/>
      <c r="P207" s="67"/>
      <c r="Q207" s="67"/>
      <c r="R207" s="67"/>
      <c r="S207" s="67"/>
      <c r="T207" s="56">
        <v>373.19</v>
      </c>
      <c r="U207" s="103"/>
      <c r="V207" s="103">
        <v>77.17</v>
      </c>
      <c r="W207" s="103">
        <v>20.98601591477863</v>
      </c>
      <c r="X207" s="103">
        <v>20.98601591477863</v>
      </c>
      <c r="Y207" s="162">
        <v>4.72</v>
      </c>
      <c r="Z207" s="56">
        <v>2.0699999999999998</v>
      </c>
      <c r="AA207" s="56"/>
      <c r="AB207" s="56">
        <v>3.66</v>
      </c>
      <c r="AC207" s="56">
        <v>0.69159999999999999</v>
      </c>
      <c r="AD207" s="56">
        <v>3.09</v>
      </c>
      <c r="AE207" s="56">
        <v>1.86</v>
      </c>
      <c r="AF207" s="56">
        <f t="shared" si="70"/>
        <v>3.09</v>
      </c>
      <c r="AG207" s="57">
        <v>2.97</v>
      </c>
      <c r="AH207" s="103">
        <v>9.4400000000000004E-15</v>
      </c>
      <c r="AI207" s="103"/>
      <c r="AJ207" s="62">
        <f t="shared" si="64"/>
        <v>-12.413594332014583</v>
      </c>
      <c r="AK207" s="62"/>
      <c r="AL207" s="62">
        <f t="shared" si="65"/>
        <v>-12.413594332014583</v>
      </c>
      <c r="AM207" s="62">
        <v>-18.626550000000002</v>
      </c>
      <c r="AN207" s="154">
        <v>-10.9</v>
      </c>
      <c r="AO207" s="410">
        <v>5.96</v>
      </c>
      <c r="AP207" s="410">
        <v>-1.03</v>
      </c>
      <c r="AQ207" s="56" t="s">
        <v>6311</v>
      </c>
      <c r="AR207" s="56" t="s">
        <v>6311</v>
      </c>
      <c r="AS207" s="155"/>
      <c r="AT207" s="58" t="s">
        <v>266</v>
      </c>
      <c r="AU207" s="56">
        <v>6</v>
      </c>
      <c r="AV207" s="56">
        <v>120</v>
      </c>
      <c r="AW207" s="56">
        <v>114</v>
      </c>
      <c r="AX207" s="56">
        <v>28</v>
      </c>
      <c r="AY207" s="56" t="s">
        <v>8728</v>
      </c>
      <c r="AZ207" s="56" t="s">
        <v>1563</v>
      </c>
      <c r="BA207" s="56">
        <v>32</v>
      </c>
      <c r="BB207" s="55" t="s">
        <v>2485</v>
      </c>
      <c r="BC207" s="55" t="s">
        <v>8726</v>
      </c>
      <c r="BD207" s="55" t="s">
        <v>8374</v>
      </c>
      <c r="BE207" s="56" t="s">
        <v>2449</v>
      </c>
      <c r="BF207" s="56" t="s">
        <v>272</v>
      </c>
      <c r="BG207" s="56" t="s">
        <v>272</v>
      </c>
      <c r="BH207" s="56" t="s">
        <v>2486</v>
      </c>
      <c r="BI207" s="153">
        <v>2.388416E-3</v>
      </c>
      <c r="BJ207" s="153">
        <v>23.884160000000001</v>
      </c>
      <c r="BK207" s="56"/>
      <c r="BL207" s="153">
        <v>265.25464505971144</v>
      </c>
      <c r="BM207" s="56" t="s">
        <v>2046</v>
      </c>
      <c r="BN207" s="56"/>
      <c r="BO207" s="56"/>
      <c r="BP207" s="56"/>
      <c r="BQ207" s="56"/>
      <c r="BR207" s="55">
        <v>7.5528345506300001</v>
      </c>
      <c r="BS207" s="56"/>
      <c r="BT207" s="56"/>
      <c r="BU207" s="158"/>
      <c r="BV207" s="56"/>
      <c r="BW207" s="56"/>
      <c r="BX207" s="56"/>
      <c r="BY207" s="56"/>
      <c r="BZ207" s="56"/>
      <c r="CA207" s="56"/>
      <c r="CB207" s="56"/>
      <c r="CC207" s="56"/>
      <c r="CD207" s="56"/>
      <c r="CE207" s="56"/>
      <c r="CF207" s="56"/>
      <c r="CG207" s="56"/>
      <c r="CH207" s="56"/>
      <c r="CI207" s="103">
        <v>7.5528345506300001</v>
      </c>
      <c r="CJ207" s="103">
        <f t="shared" si="66"/>
        <v>0.8781099713203081</v>
      </c>
      <c r="CK207" s="57">
        <f t="shared" si="56"/>
        <v>11.105881264390769</v>
      </c>
      <c r="CL207" s="160">
        <f t="shared" si="68"/>
        <v>35.119880262382537</v>
      </c>
      <c r="CM207" s="160"/>
      <c r="CN207" s="160"/>
      <c r="CO207" s="55" t="s">
        <v>2488</v>
      </c>
      <c r="CP207" s="497" t="s">
        <v>2489</v>
      </c>
      <c r="CQ207" s="149" t="s">
        <v>272</v>
      </c>
      <c r="CR207" s="349"/>
      <c r="CS207" s="61" t="s">
        <v>539</v>
      </c>
      <c r="CT207" s="61"/>
      <c r="CU207" s="111">
        <f t="shared" si="69"/>
        <v>2.7785615816287326</v>
      </c>
      <c r="CV207" s="331">
        <f t="shared" si="59"/>
        <v>0.87865832060992011</v>
      </c>
      <c r="CW207" s="326">
        <f t="shared" si="67"/>
        <v>1</v>
      </c>
      <c r="CX207" s="326"/>
      <c r="CY207" s="161" t="s">
        <v>5921</v>
      </c>
    </row>
    <row r="208" spans="1:103" ht="11.25" customHeight="1" x14ac:dyDescent="0.2">
      <c r="A208" s="72">
        <v>411</v>
      </c>
      <c r="B208" s="149">
        <v>1125</v>
      </c>
      <c r="C208" s="54" t="s">
        <v>6719</v>
      </c>
      <c r="D208" s="54"/>
      <c r="E208" s="59"/>
      <c r="F208" s="59" t="s">
        <v>3142</v>
      </c>
      <c r="G208" s="151">
        <v>929601092</v>
      </c>
      <c r="H208" s="55" t="s">
        <v>3143</v>
      </c>
      <c r="I208" s="55" t="s">
        <v>7744</v>
      </c>
      <c r="J208" s="55" t="s">
        <v>3144</v>
      </c>
      <c r="K208" s="55" t="s">
        <v>300</v>
      </c>
      <c r="L208" s="55"/>
      <c r="M208" s="55"/>
      <c r="N208" s="60"/>
      <c r="O208" s="55"/>
      <c r="P208" s="67"/>
      <c r="Q208" s="67"/>
      <c r="R208" s="67"/>
      <c r="S208" s="67"/>
      <c r="T208" s="56">
        <v>269.17</v>
      </c>
      <c r="U208" s="103"/>
      <c r="V208" s="103">
        <v>29.7</v>
      </c>
      <c r="W208" s="103">
        <v>42.660570061475752</v>
      </c>
      <c r="X208" s="103">
        <v>42.660570061475752</v>
      </c>
      <c r="Y208" s="162">
        <v>8.74</v>
      </c>
      <c r="Z208" s="56">
        <v>4.45</v>
      </c>
      <c r="AA208" s="56"/>
      <c r="AB208" s="56">
        <v>4.43</v>
      </c>
      <c r="AC208" s="56">
        <v>0.59570000000000001</v>
      </c>
      <c r="AD208" s="56">
        <v>3.61</v>
      </c>
      <c r="AE208" s="56">
        <v>2.4900000000000002</v>
      </c>
      <c r="AF208" s="56">
        <f t="shared" si="70"/>
        <v>3.61</v>
      </c>
      <c r="AG208" s="57">
        <v>4.1500000000000004</v>
      </c>
      <c r="AH208" s="103">
        <v>1.67E-7</v>
      </c>
      <c r="AI208" s="103"/>
      <c r="AJ208" s="62">
        <f t="shared" si="64"/>
        <v>-5.1658498551650682</v>
      </c>
      <c r="AK208" s="62"/>
      <c r="AL208" s="62">
        <f t="shared" si="65"/>
        <v>-5.1658498551650682</v>
      </c>
      <c r="AM208" s="62">
        <v>-7.218589999999999</v>
      </c>
      <c r="AN208" s="154">
        <v>-5.33</v>
      </c>
      <c r="AO208" s="410"/>
      <c r="AP208" s="410">
        <v>7.29</v>
      </c>
      <c r="AQ208" s="56" t="s">
        <v>6311</v>
      </c>
      <c r="AR208" s="56" t="s">
        <v>6311</v>
      </c>
      <c r="AS208" s="155"/>
      <c r="AT208" s="58" t="s">
        <v>266</v>
      </c>
      <c r="AU208" s="56">
        <v>6</v>
      </c>
      <c r="AV208" s="56">
        <v>120</v>
      </c>
      <c r="AW208" s="56">
        <v>114</v>
      </c>
      <c r="AX208" s="56">
        <v>28</v>
      </c>
      <c r="AY208" s="56" t="s">
        <v>8728</v>
      </c>
      <c r="AZ208" s="56" t="s">
        <v>1563</v>
      </c>
      <c r="BA208" s="56">
        <v>32</v>
      </c>
      <c r="BB208" s="55" t="s">
        <v>2485</v>
      </c>
      <c r="BC208" s="55" t="s">
        <v>8726</v>
      </c>
      <c r="BD208" s="55" t="s">
        <v>8374</v>
      </c>
      <c r="BE208" s="56" t="s">
        <v>2449</v>
      </c>
      <c r="BF208" s="56" t="s">
        <v>272</v>
      </c>
      <c r="BG208" s="56" t="s">
        <v>272</v>
      </c>
      <c r="BH208" s="56" t="s">
        <v>2486</v>
      </c>
      <c r="BI208" s="153">
        <v>1.722688E-3</v>
      </c>
      <c r="BJ208" s="153">
        <v>17.226880000000001</v>
      </c>
      <c r="BK208" s="56"/>
      <c r="BL208" s="153">
        <v>1.3940606048107191</v>
      </c>
      <c r="BM208" s="56" t="s">
        <v>2046</v>
      </c>
      <c r="BN208" s="56">
        <v>4984.5702672766001</v>
      </c>
      <c r="BO208" s="56"/>
      <c r="BP208" s="56"/>
      <c r="BQ208" s="56"/>
      <c r="BR208" s="55">
        <v>4.9845702726600001</v>
      </c>
      <c r="BS208" s="56"/>
      <c r="BT208" s="56"/>
      <c r="BU208" s="158"/>
      <c r="BV208" s="56"/>
      <c r="BW208" s="56"/>
      <c r="BX208" s="56"/>
      <c r="BY208" s="56"/>
      <c r="BZ208" s="56"/>
      <c r="CA208" s="56"/>
      <c r="CB208" s="56"/>
      <c r="CC208" s="56"/>
      <c r="CD208" s="56"/>
      <c r="CE208" s="56"/>
      <c r="CF208" s="56"/>
      <c r="CG208" s="56"/>
      <c r="CH208" s="56"/>
      <c r="CI208" s="103">
        <v>4.9845702726600001</v>
      </c>
      <c r="CJ208" s="103">
        <f t="shared" si="66"/>
        <v>0.69762772307756338</v>
      </c>
      <c r="CK208" s="57">
        <f t="shared" si="56"/>
        <v>8.092356856324065E-2</v>
      </c>
      <c r="CL208" s="160">
        <f t="shared" si="68"/>
        <v>0.27967518332664276</v>
      </c>
      <c r="CM208" s="160"/>
      <c r="CN208" s="160"/>
      <c r="CO208" s="55" t="s">
        <v>2488</v>
      </c>
      <c r="CP208" s="497" t="s">
        <v>2489</v>
      </c>
      <c r="CQ208" s="149" t="s">
        <v>272</v>
      </c>
      <c r="CR208" s="349"/>
      <c r="CS208" s="61" t="s">
        <v>539</v>
      </c>
      <c r="CT208" s="61"/>
      <c r="CU208" s="111">
        <f t="shared" si="69"/>
        <v>8.5585251542075405</v>
      </c>
      <c r="CV208" s="331">
        <f t="shared" si="59"/>
        <v>2.4763956132204874</v>
      </c>
      <c r="CW208" s="326">
        <f t="shared" si="67"/>
        <v>1</v>
      </c>
      <c r="CX208" s="326"/>
      <c r="CY208" s="161" t="s">
        <v>5921</v>
      </c>
    </row>
    <row r="209" spans="1:103" ht="11.25" customHeight="1" x14ac:dyDescent="0.2">
      <c r="A209" s="72">
        <v>412</v>
      </c>
      <c r="B209" s="149">
        <v>983</v>
      </c>
      <c r="C209" s="54" t="s">
        <v>6720</v>
      </c>
      <c r="D209" s="54"/>
      <c r="E209" s="59"/>
      <c r="F209" s="59" t="s">
        <v>2803</v>
      </c>
      <c r="G209" s="151">
        <v>1062243519</v>
      </c>
      <c r="H209" s="55" t="s">
        <v>2804</v>
      </c>
      <c r="I209" s="55" t="s">
        <v>7777</v>
      </c>
      <c r="J209" s="55" t="s">
        <v>2805</v>
      </c>
      <c r="K209" s="55" t="s">
        <v>426</v>
      </c>
      <c r="L209" s="55"/>
      <c r="M209" s="55"/>
      <c r="N209" s="60"/>
      <c r="O209" s="55"/>
      <c r="P209" s="67"/>
      <c r="Q209" s="67"/>
      <c r="R209" s="67"/>
      <c r="S209" s="67"/>
      <c r="T209" s="56">
        <v>180.29</v>
      </c>
      <c r="U209" s="103"/>
      <c r="V209" s="103">
        <v>30.41</v>
      </c>
      <c r="W209" s="103">
        <v>207.00061641967292</v>
      </c>
      <c r="X209" s="103">
        <v>207.00061641967292</v>
      </c>
      <c r="Y209" s="162">
        <v>7</v>
      </c>
      <c r="Z209" s="56">
        <v>3.81</v>
      </c>
      <c r="AA209" s="56"/>
      <c r="AB209" s="56">
        <v>2.85</v>
      </c>
      <c r="AC209" s="56">
        <v>0.60740000000000005</v>
      </c>
      <c r="AD209" s="56">
        <v>3.07</v>
      </c>
      <c r="AE209" s="56">
        <v>3.31</v>
      </c>
      <c r="AF209" s="56">
        <f t="shared" si="70"/>
        <v>3.07</v>
      </c>
      <c r="AG209" s="57">
        <v>2.9</v>
      </c>
      <c r="AH209" s="103">
        <v>1.2300000000000001E-4</v>
      </c>
      <c r="AI209" s="103"/>
      <c r="AJ209" s="62">
        <f t="shared" si="64"/>
        <v>-2.2986612148732539</v>
      </c>
      <c r="AK209" s="62"/>
      <c r="AL209" s="62">
        <f t="shared" si="65"/>
        <v>-2.2986612148732539</v>
      </c>
      <c r="AM209" s="62">
        <v>-4.8055599999999998</v>
      </c>
      <c r="AN209" s="154">
        <v>-3.2</v>
      </c>
      <c r="AO209" s="410"/>
      <c r="AP209" s="410"/>
      <c r="AQ209" s="56" t="s">
        <v>6311</v>
      </c>
      <c r="AR209" s="56" t="s">
        <v>6311</v>
      </c>
      <c r="AS209" s="155"/>
      <c r="AT209" s="58" t="s">
        <v>266</v>
      </c>
      <c r="AU209" s="56">
        <v>6</v>
      </c>
      <c r="AV209" s="56">
        <v>120</v>
      </c>
      <c r="AW209" s="56">
        <v>114</v>
      </c>
      <c r="AX209" s="56">
        <v>28</v>
      </c>
      <c r="AY209" s="56" t="s">
        <v>8728</v>
      </c>
      <c r="AZ209" s="56" t="s">
        <v>1563</v>
      </c>
      <c r="BA209" s="56">
        <v>32</v>
      </c>
      <c r="BB209" s="55" t="s">
        <v>2485</v>
      </c>
      <c r="BC209" s="55" t="s">
        <v>8726</v>
      </c>
      <c r="BD209" s="55" t="s">
        <v>8374</v>
      </c>
      <c r="BE209" s="56" t="s">
        <v>2449</v>
      </c>
      <c r="BF209" s="56" t="s">
        <v>272</v>
      </c>
      <c r="BG209" s="56" t="s">
        <v>272</v>
      </c>
      <c r="BH209" s="56" t="s">
        <v>2486</v>
      </c>
      <c r="BI209" s="153">
        <v>1.153856E-3</v>
      </c>
      <c r="BJ209" s="153">
        <v>11.53856</v>
      </c>
      <c r="BK209" s="56"/>
      <c r="BL209" s="153">
        <v>3.5076046627850683</v>
      </c>
      <c r="BM209" s="56" t="s">
        <v>2046</v>
      </c>
      <c r="BN209" s="56"/>
      <c r="BO209" s="56"/>
      <c r="BP209" s="56"/>
      <c r="BQ209" s="56"/>
      <c r="BR209" s="55">
        <v>3.3933962043300001</v>
      </c>
      <c r="BS209" s="56"/>
      <c r="BT209" s="56"/>
      <c r="BU209" s="158"/>
      <c r="BV209" s="56"/>
      <c r="BW209" s="56"/>
      <c r="BX209" s="56"/>
      <c r="BY209" s="56"/>
      <c r="BZ209" s="56"/>
      <c r="CA209" s="56"/>
      <c r="CB209" s="56"/>
      <c r="CC209" s="56"/>
      <c r="CD209" s="56"/>
      <c r="CE209" s="56"/>
      <c r="CF209" s="56"/>
      <c r="CG209" s="56"/>
      <c r="CH209" s="56"/>
      <c r="CI209" s="103">
        <v>3.3933962043300001</v>
      </c>
      <c r="CJ209" s="103">
        <f t="shared" si="66"/>
        <v>0.53063456972724088</v>
      </c>
      <c r="CK209" s="57">
        <f t="shared" si="56"/>
        <v>0.30398981006166004</v>
      </c>
      <c r="CL209" s="160">
        <f t="shared" si="68"/>
        <v>1.0336560930637386</v>
      </c>
      <c r="CM209" s="160"/>
      <c r="CN209" s="160"/>
      <c r="CO209" s="55" t="s">
        <v>2488</v>
      </c>
      <c r="CP209" s="497" t="s">
        <v>2489</v>
      </c>
      <c r="CQ209" s="149" t="s">
        <v>272</v>
      </c>
      <c r="CR209" s="349"/>
      <c r="CS209" s="61" t="s">
        <v>539</v>
      </c>
      <c r="CT209" s="61"/>
      <c r="CU209" s="111">
        <f t="shared" si="69"/>
        <v>61.001016078092654</v>
      </c>
      <c r="CV209" s="331">
        <f t="shared" si="59"/>
        <v>17.939900335888787</v>
      </c>
      <c r="CW209" s="326">
        <f t="shared" si="67"/>
        <v>1</v>
      </c>
      <c r="CX209" s="326"/>
      <c r="CY209" s="161" t="s">
        <v>5921</v>
      </c>
    </row>
    <row r="210" spans="1:103" ht="11.25" customHeight="1" x14ac:dyDescent="0.2">
      <c r="A210" s="72">
        <v>417</v>
      </c>
      <c r="B210" s="149">
        <v>1193</v>
      </c>
      <c r="C210" s="54" t="s">
        <v>6725</v>
      </c>
      <c r="D210" s="54" t="s">
        <v>6726</v>
      </c>
      <c r="E210" s="59"/>
      <c r="F210" s="59" t="s">
        <v>3291</v>
      </c>
      <c r="G210" s="151" t="s">
        <v>3291</v>
      </c>
      <c r="H210" s="55" t="s">
        <v>3292</v>
      </c>
      <c r="I210" s="55" t="s">
        <v>7859</v>
      </c>
      <c r="J210" s="55"/>
      <c r="K210" s="55" t="s">
        <v>1318</v>
      </c>
      <c r="L210" s="55"/>
      <c r="M210" s="55"/>
      <c r="N210" s="60"/>
      <c r="O210" s="55"/>
      <c r="P210" s="67"/>
      <c r="Q210" s="67"/>
      <c r="R210" s="67"/>
      <c r="S210" s="67"/>
      <c r="T210" s="56">
        <v>542.72</v>
      </c>
      <c r="U210" s="103">
        <v>7.2000000000000011</v>
      </c>
      <c r="V210" s="103">
        <v>3.4749999999999998E-3</v>
      </c>
      <c r="W210" s="103">
        <v>15.295927844558429</v>
      </c>
      <c r="X210" s="103">
        <v>7.2000000000000011</v>
      </c>
      <c r="Y210" s="162">
        <v>7</v>
      </c>
      <c r="Z210" s="56">
        <v>5.71</v>
      </c>
      <c r="AA210" s="56">
        <v>5.9</v>
      </c>
      <c r="AB210" s="56">
        <v>5.36</v>
      </c>
      <c r="AC210" s="56">
        <v>0.64549999999999996</v>
      </c>
      <c r="AD210" s="56">
        <v>5.74</v>
      </c>
      <c r="AE210" s="56">
        <v>6.38</v>
      </c>
      <c r="AF210" s="56">
        <f t="shared" si="70"/>
        <v>5.9</v>
      </c>
      <c r="AG210" s="57">
        <v>5.74</v>
      </c>
      <c r="AH210" s="103">
        <v>5.0200000000000003E-15</v>
      </c>
      <c r="AI210" s="103"/>
      <c r="AJ210" s="62">
        <f t="shared" si="64"/>
        <v>-12.687862609167633</v>
      </c>
      <c r="AK210" s="62"/>
      <c r="AL210" s="62">
        <f t="shared" si="65"/>
        <v>-12.687862609167633</v>
      </c>
      <c r="AM210" s="62">
        <v>-22.864359999999998</v>
      </c>
      <c r="AN210" s="154"/>
      <c r="AO210" s="410">
        <v>12.46</v>
      </c>
      <c r="AP210" s="410"/>
      <c r="AQ210" s="56" t="s">
        <v>5921</v>
      </c>
      <c r="AR210" s="56" t="s">
        <v>5921</v>
      </c>
      <c r="AS210" s="155"/>
      <c r="AT210" s="58" t="s">
        <v>266</v>
      </c>
      <c r="AU210" s="56">
        <v>6</v>
      </c>
      <c r="AV210" s="56">
        <v>120</v>
      </c>
      <c r="AW210" s="56">
        <v>114</v>
      </c>
      <c r="AX210" s="56">
        <v>28</v>
      </c>
      <c r="AY210" s="56" t="s">
        <v>8728</v>
      </c>
      <c r="AZ210" s="56" t="s">
        <v>1563</v>
      </c>
      <c r="BA210" s="56">
        <v>32</v>
      </c>
      <c r="BB210" s="55" t="s">
        <v>2485</v>
      </c>
      <c r="BC210" s="55" t="s">
        <v>8726</v>
      </c>
      <c r="BD210" s="55" t="s">
        <v>8374</v>
      </c>
      <c r="BE210" s="56" t="s">
        <v>2449</v>
      </c>
      <c r="BF210" s="56" t="s">
        <v>272</v>
      </c>
      <c r="BG210" s="56" t="s">
        <v>272</v>
      </c>
      <c r="BH210" s="56" t="s">
        <v>2486</v>
      </c>
      <c r="BI210" s="153">
        <v>3.4734079999999999E-3</v>
      </c>
      <c r="BJ210" s="153">
        <v>34.734080000000006</v>
      </c>
      <c r="BK210" s="56"/>
      <c r="BL210" s="153">
        <v>0.20759879399813586</v>
      </c>
      <c r="BM210" s="56" t="s">
        <v>2046</v>
      </c>
      <c r="BN210" s="56"/>
      <c r="BO210" s="56"/>
      <c r="BP210" s="56"/>
      <c r="BQ210" s="56"/>
      <c r="BR210" s="55">
        <v>10.709283727360001</v>
      </c>
      <c r="BS210" s="56"/>
      <c r="BT210" s="56"/>
      <c r="BU210" s="158"/>
      <c r="BV210" s="56"/>
      <c r="BW210" s="56"/>
      <c r="BX210" s="56"/>
      <c r="BY210" s="56"/>
      <c r="BZ210" s="56"/>
      <c r="CA210" s="56"/>
      <c r="CB210" s="56"/>
      <c r="CC210" s="56"/>
      <c r="CD210" s="56"/>
      <c r="CE210" s="56"/>
      <c r="CF210" s="56"/>
      <c r="CG210" s="56"/>
      <c r="CH210" s="56"/>
      <c r="CI210" s="103">
        <v>10.709283727360001</v>
      </c>
      <c r="CJ210" s="103">
        <f t="shared" si="66"/>
        <v>1.0297604247387029</v>
      </c>
      <c r="CK210" s="57">
        <f t="shared" si="56"/>
        <v>5.9768041646168779E-3</v>
      </c>
      <c r="CL210" s="160">
        <f t="shared" si="68"/>
        <v>1.9384937338784287E-2</v>
      </c>
      <c r="CM210" s="160"/>
      <c r="CN210" s="160"/>
      <c r="CO210" s="55" t="s">
        <v>2488</v>
      </c>
      <c r="CP210" s="497" t="s">
        <v>2489</v>
      </c>
      <c r="CQ210" s="149" t="s">
        <v>272</v>
      </c>
      <c r="CR210" s="349"/>
      <c r="CS210" s="61" t="s">
        <v>539</v>
      </c>
      <c r="CT210" s="61"/>
      <c r="CU210" s="111">
        <f t="shared" si="69"/>
        <v>0.67231387115139107</v>
      </c>
      <c r="CV210" s="331">
        <f t="shared" si="59"/>
        <v>0.20728920990566038</v>
      </c>
      <c r="CW210" s="326">
        <f t="shared" si="67"/>
        <v>0</v>
      </c>
      <c r="CX210" s="326"/>
      <c r="CY210" s="161" t="s">
        <v>5921</v>
      </c>
    </row>
    <row r="211" spans="1:103" ht="11.25" customHeight="1" x14ac:dyDescent="0.2">
      <c r="A211" s="72">
        <v>418</v>
      </c>
      <c r="B211" s="149">
        <v>889</v>
      </c>
      <c r="C211" s="54" t="s">
        <v>6727</v>
      </c>
      <c r="D211" s="54"/>
      <c r="E211" s="59"/>
      <c r="F211" s="59" t="s">
        <v>2530</v>
      </c>
      <c r="G211" s="151" t="s">
        <v>2530</v>
      </c>
      <c r="H211" s="55" t="s">
        <v>2531</v>
      </c>
      <c r="I211" s="55" t="s">
        <v>7871</v>
      </c>
      <c r="J211" s="55" t="s">
        <v>2532</v>
      </c>
      <c r="K211" s="55"/>
      <c r="L211" s="55"/>
      <c r="M211" s="55"/>
      <c r="N211" s="60"/>
      <c r="O211" s="55"/>
      <c r="P211" s="67"/>
      <c r="Q211" s="67"/>
      <c r="R211" s="67"/>
      <c r="S211" s="67"/>
      <c r="T211" s="56">
        <v>355.9</v>
      </c>
      <c r="U211" s="103"/>
      <c r="V211" s="103">
        <v>8.1309999999999993E-3</v>
      </c>
      <c r="W211" s="103">
        <v>6.4763153557929254</v>
      </c>
      <c r="X211" s="103">
        <v>6.4763153557929254</v>
      </c>
      <c r="Y211" s="162">
        <v>8.69</v>
      </c>
      <c r="Z211" s="56">
        <v>6.85</v>
      </c>
      <c r="AA211" s="56"/>
      <c r="AB211" s="56">
        <v>5.36</v>
      </c>
      <c r="AC211" s="56">
        <v>0.73719999999999997</v>
      </c>
      <c r="AD211" s="56">
        <v>5.59</v>
      </c>
      <c r="AE211" s="56">
        <v>6.05</v>
      </c>
      <c r="AF211" s="56">
        <f t="shared" si="70"/>
        <v>5.59</v>
      </c>
      <c r="AG211" s="57">
        <v>2.65</v>
      </c>
      <c r="AH211" s="103">
        <v>9.8999999999999993E-9</v>
      </c>
      <c r="AI211" s="103"/>
      <c r="AJ211" s="62">
        <f t="shared" si="64"/>
        <v>-6.3929311317151019</v>
      </c>
      <c r="AK211" s="62"/>
      <c r="AL211" s="62">
        <f t="shared" si="65"/>
        <v>-6.3929311317151019</v>
      </c>
      <c r="AM211" s="62">
        <v>-12.557479999999998</v>
      </c>
      <c r="AN211" s="154">
        <v>-18.7</v>
      </c>
      <c r="AO211" s="410"/>
      <c r="AP211" s="410">
        <v>8.26</v>
      </c>
      <c r="AQ211" s="56" t="s">
        <v>5921</v>
      </c>
      <c r="AR211" s="56" t="s">
        <v>5921</v>
      </c>
      <c r="AS211" s="155"/>
      <c r="AT211" s="58" t="s">
        <v>266</v>
      </c>
      <c r="AU211" s="56">
        <v>6</v>
      </c>
      <c r="AV211" s="56">
        <v>120</v>
      </c>
      <c r="AW211" s="56">
        <v>114</v>
      </c>
      <c r="AX211" s="56">
        <v>28</v>
      </c>
      <c r="AY211" s="56" t="s">
        <v>8728</v>
      </c>
      <c r="AZ211" s="56" t="s">
        <v>1563</v>
      </c>
      <c r="BA211" s="56">
        <v>32</v>
      </c>
      <c r="BB211" s="55" t="s">
        <v>2485</v>
      </c>
      <c r="BC211" s="55" t="s">
        <v>8726</v>
      </c>
      <c r="BD211" s="55" t="s">
        <v>8374</v>
      </c>
      <c r="BE211" s="56" t="s">
        <v>2449</v>
      </c>
      <c r="BF211" s="56" t="s">
        <v>272</v>
      </c>
      <c r="BG211" s="56" t="s">
        <v>272</v>
      </c>
      <c r="BH211" s="56" t="s">
        <v>2486</v>
      </c>
      <c r="BI211" s="153">
        <v>2.2777599999999998E-3</v>
      </c>
      <c r="BJ211" s="153">
        <v>22.7776</v>
      </c>
      <c r="BK211" s="56"/>
      <c r="BL211" s="153"/>
      <c r="BM211" s="56" t="s">
        <v>2046</v>
      </c>
      <c r="BN211" s="56"/>
      <c r="BO211" s="56"/>
      <c r="BP211" s="56"/>
      <c r="BQ211" s="56"/>
      <c r="BR211" s="55">
        <v>6.5186330807999999</v>
      </c>
      <c r="BS211" s="56"/>
      <c r="BT211" s="56"/>
      <c r="BU211" s="158"/>
      <c r="BV211" s="56"/>
      <c r="BW211" s="56"/>
      <c r="BX211" s="56"/>
      <c r="BY211" s="56"/>
      <c r="BZ211" s="56"/>
      <c r="CA211" s="56"/>
      <c r="CB211" s="56"/>
      <c r="CC211" s="56"/>
      <c r="CD211" s="56"/>
      <c r="CE211" s="56"/>
      <c r="CF211" s="56"/>
      <c r="CG211" s="56"/>
      <c r="CH211" s="56"/>
      <c r="CI211" s="103">
        <v>6.5186330807999999</v>
      </c>
      <c r="CJ211" s="103">
        <f t="shared" si="66"/>
        <v>0.8141565362682075</v>
      </c>
      <c r="CK211" s="57">
        <f t="shared" si="56"/>
        <v>0</v>
      </c>
      <c r="CL211" s="160">
        <f t="shared" si="68"/>
        <v>0</v>
      </c>
      <c r="CM211" s="160"/>
      <c r="CN211" s="160"/>
      <c r="CO211" s="55" t="s">
        <v>2488</v>
      </c>
      <c r="CP211" s="497" t="s">
        <v>2489</v>
      </c>
      <c r="CQ211" s="149" t="s">
        <v>272</v>
      </c>
      <c r="CR211" s="349"/>
      <c r="CS211" s="61" t="s">
        <v>539</v>
      </c>
      <c r="CT211" s="61"/>
      <c r="CU211" s="111">
        <f t="shared" si="69"/>
        <v>0.99350819037019933</v>
      </c>
      <c r="CV211" s="331">
        <f t="shared" si="59"/>
        <v>0.28432825915780968</v>
      </c>
      <c r="CW211" s="326">
        <f t="shared" si="67"/>
        <v>0</v>
      </c>
      <c r="CX211" s="326"/>
      <c r="CY211" s="161" t="s">
        <v>5921</v>
      </c>
    </row>
    <row r="212" spans="1:103" ht="11.25" customHeight="1" x14ac:dyDescent="0.2">
      <c r="A212" s="72">
        <v>419</v>
      </c>
      <c r="B212" s="149">
        <v>894</v>
      </c>
      <c r="C212" s="54" t="s">
        <v>6728</v>
      </c>
      <c r="D212" s="54"/>
      <c r="E212" s="59"/>
      <c r="F212" s="59" t="s">
        <v>2546</v>
      </c>
      <c r="G212" s="151" t="s">
        <v>2546</v>
      </c>
      <c r="H212" s="55" t="s">
        <v>2547</v>
      </c>
      <c r="I212" s="55" t="s">
        <v>7872</v>
      </c>
      <c r="J212" s="55" t="s">
        <v>2548</v>
      </c>
      <c r="K212" s="55"/>
      <c r="L212" s="55"/>
      <c r="M212" s="55"/>
      <c r="N212" s="60"/>
      <c r="O212" s="55"/>
      <c r="P212" s="67"/>
      <c r="Q212" s="67"/>
      <c r="R212" s="67"/>
      <c r="S212" s="67"/>
      <c r="T212" s="56">
        <v>601.61</v>
      </c>
      <c r="U212" s="103"/>
      <c r="V212" s="103">
        <v>3.2399999999999998E-2</v>
      </c>
      <c r="W212" s="103">
        <v>177.54769828547646</v>
      </c>
      <c r="X212" s="103">
        <v>177.54769828547646</v>
      </c>
      <c r="Y212" s="162">
        <v>9.48</v>
      </c>
      <c r="Z212" s="56">
        <v>4.3099999999999996</v>
      </c>
      <c r="AA212" s="56"/>
      <c r="AB212" s="56">
        <v>3.93</v>
      </c>
      <c r="AC212" s="56">
        <v>0.4577</v>
      </c>
      <c r="AD212" s="56">
        <v>4.24</v>
      </c>
      <c r="AE212" s="56">
        <v>4.53</v>
      </c>
      <c r="AF212" s="56">
        <f t="shared" si="70"/>
        <v>4.24</v>
      </c>
      <c r="AG212" s="57">
        <v>6.6</v>
      </c>
      <c r="AH212" s="103">
        <v>3.4599999999999999E-20</v>
      </c>
      <c r="AI212" s="103"/>
      <c r="AJ212" s="62">
        <f t="shared" si="64"/>
        <v>-17.849490227519876</v>
      </c>
      <c r="AK212" s="62"/>
      <c r="AL212" s="62">
        <f t="shared" si="65"/>
        <v>-17.849490227519876</v>
      </c>
      <c r="AM212" s="62">
        <v>-28.903690000000005</v>
      </c>
      <c r="AN212" s="154">
        <v>-26.1</v>
      </c>
      <c r="AO212" s="410"/>
      <c r="AP212" s="410">
        <v>8.32</v>
      </c>
      <c r="AQ212" s="56" t="s">
        <v>5921</v>
      </c>
      <c r="AR212" s="56" t="s">
        <v>5921</v>
      </c>
      <c r="AS212" s="155"/>
      <c r="AT212" s="58" t="s">
        <v>266</v>
      </c>
      <c r="AU212" s="56">
        <v>6</v>
      </c>
      <c r="AV212" s="56">
        <v>120</v>
      </c>
      <c r="AW212" s="56">
        <v>114</v>
      </c>
      <c r="AX212" s="56">
        <v>28</v>
      </c>
      <c r="AY212" s="56" t="s">
        <v>8728</v>
      </c>
      <c r="AZ212" s="56" t="s">
        <v>1563</v>
      </c>
      <c r="BA212" s="56">
        <v>32</v>
      </c>
      <c r="BB212" s="55" t="s">
        <v>2485</v>
      </c>
      <c r="BC212" s="55" t="s">
        <v>8726</v>
      </c>
      <c r="BD212" s="55" t="s">
        <v>8374</v>
      </c>
      <c r="BE212" s="56" t="s">
        <v>2449</v>
      </c>
      <c r="BF212" s="56" t="s">
        <v>272</v>
      </c>
      <c r="BG212" s="56" t="s">
        <v>272</v>
      </c>
      <c r="BH212" s="56" t="s">
        <v>2486</v>
      </c>
      <c r="BI212" s="153">
        <v>3.8503039999999997E-3</v>
      </c>
      <c r="BJ212" s="153">
        <v>38.503039999999999</v>
      </c>
      <c r="BK212" s="56"/>
      <c r="BL212" s="153"/>
      <c r="BM212" s="56" t="s">
        <v>2046</v>
      </c>
      <c r="BN212" s="56"/>
      <c r="BO212" s="56"/>
      <c r="BP212" s="56"/>
      <c r="BQ212" s="56"/>
      <c r="BR212" s="55">
        <v>11.494650636020001</v>
      </c>
      <c r="BS212" s="56"/>
      <c r="BT212" s="56"/>
      <c r="BU212" s="158"/>
      <c r="BV212" s="56"/>
      <c r="BW212" s="56"/>
      <c r="BX212" s="56"/>
      <c r="BY212" s="56"/>
      <c r="BZ212" s="56"/>
      <c r="CA212" s="56"/>
      <c r="CB212" s="56"/>
      <c r="CC212" s="56"/>
      <c r="CD212" s="56"/>
      <c r="CE212" s="56"/>
      <c r="CF212" s="56"/>
      <c r="CG212" s="56"/>
      <c r="CH212" s="56"/>
      <c r="CI212" s="103">
        <v>11.494650636020001</v>
      </c>
      <c r="CJ212" s="103">
        <f t="shared" si="66"/>
        <v>1.060495776026835</v>
      </c>
      <c r="CK212" s="57">
        <f t="shared" si="56"/>
        <v>0</v>
      </c>
      <c r="CL212" s="160">
        <f t="shared" si="68"/>
        <v>0</v>
      </c>
      <c r="CM212" s="160"/>
      <c r="CN212" s="160"/>
      <c r="CO212" s="55" t="s">
        <v>2488</v>
      </c>
      <c r="CP212" s="497" t="s">
        <v>2489</v>
      </c>
      <c r="CQ212" s="149" t="s">
        <v>272</v>
      </c>
      <c r="CR212" s="349"/>
      <c r="CS212" s="61" t="s">
        <v>539</v>
      </c>
      <c r="CT212" s="61"/>
      <c r="CU212" s="111">
        <f t="shared" si="69"/>
        <v>15.44611523286383</v>
      </c>
      <c r="CV212" s="331">
        <f t="shared" si="59"/>
        <v>4.6112644166662289</v>
      </c>
      <c r="CW212" s="326">
        <f t="shared" si="67"/>
        <v>1</v>
      </c>
      <c r="CX212" s="326"/>
      <c r="CY212" s="161" t="s">
        <v>5921</v>
      </c>
    </row>
    <row r="213" spans="1:103" ht="11.25" customHeight="1" x14ac:dyDescent="0.2">
      <c r="A213" s="72">
        <v>420</v>
      </c>
      <c r="B213" s="149">
        <v>1202</v>
      </c>
      <c r="C213" s="54" t="s">
        <v>6729</v>
      </c>
      <c r="D213" s="54"/>
      <c r="E213" s="59"/>
      <c r="F213" s="59" t="s">
        <v>3316</v>
      </c>
      <c r="G213" s="151" t="s">
        <v>3316</v>
      </c>
      <c r="H213" s="55" t="s">
        <v>3317</v>
      </c>
      <c r="I213" s="55" t="s">
        <v>7873</v>
      </c>
      <c r="J213" s="55" t="s">
        <v>3318</v>
      </c>
      <c r="K213" s="55"/>
      <c r="L213" s="55"/>
      <c r="M213" s="55"/>
      <c r="N213" s="60"/>
      <c r="O213" s="55"/>
      <c r="P213" s="67"/>
      <c r="Q213" s="67"/>
      <c r="R213" s="67"/>
      <c r="S213" s="67"/>
      <c r="T213" s="56">
        <v>457.32</v>
      </c>
      <c r="U213" s="103"/>
      <c r="V213" s="103">
        <v>4.7670000000000004E-3</v>
      </c>
      <c r="W213" s="103">
        <v>16.226325916429843</v>
      </c>
      <c r="X213" s="103">
        <v>16.226325916429843</v>
      </c>
      <c r="Y213" s="162">
        <v>8.8699999999999992</v>
      </c>
      <c r="Z213" s="56">
        <v>6.38</v>
      </c>
      <c r="AA213" s="103"/>
      <c r="AB213" s="103">
        <v>5.3</v>
      </c>
      <c r="AC213" s="103">
        <v>0.66190000000000004</v>
      </c>
      <c r="AD213" s="103">
        <v>5.32</v>
      </c>
      <c r="AE213" s="103">
        <v>5.37</v>
      </c>
      <c r="AF213" s="103">
        <f t="shared" si="70"/>
        <v>5.32</v>
      </c>
      <c r="AG213" s="57">
        <v>3.09</v>
      </c>
      <c r="AH213" s="103">
        <v>7.4399999999999996E-13</v>
      </c>
      <c r="AI213" s="103"/>
      <c r="AJ213" s="62">
        <f t="shared" si="64"/>
        <v>-10.516993390766773</v>
      </c>
      <c r="AK213" s="62"/>
      <c r="AL213" s="62">
        <f t="shared" si="65"/>
        <v>-10.516993390766773</v>
      </c>
      <c r="AM213" s="62">
        <v>-15.983109999999998</v>
      </c>
      <c r="AN213" s="154">
        <v>-17.8</v>
      </c>
      <c r="AO213" s="410">
        <v>11.95</v>
      </c>
      <c r="AP213" s="410">
        <v>10.11</v>
      </c>
      <c r="AQ213" s="56" t="s">
        <v>5921</v>
      </c>
      <c r="AR213" s="56" t="s">
        <v>5921</v>
      </c>
      <c r="AS213" s="155"/>
      <c r="AT213" s="58" t="s">
        <v>266</v>
      </c>
      <c r="AU213" s="56">
        <v>6</v>
      </c>
      <c r="AV213" s="56">
        <v>120</v>
      </c>
      <c r="AW213" s="56">
        <v>114</v>
      </c>
      <c r="AX213" s="56">
        <v>28</v>
      </c>
      <c r="AY213" s="56" t="s">
        <v>8728</v>
      </c>
      <c r="AZ213" s="56" t="s">
        <v>1563</v>
      </c>
      <c r="BA213" s="56">
        <v>32</v>
      </c>
      <c r="BB213" s="55" t="s">
        <v>2485</v>
      </c>
      <c r="BC213" s="55" t="s">
        <v>8726</v>
      </c>
      <c r="BD213" s="55" t="s">
        <v>8374</v>
      </c>
      <c r="BE213" s="56" t="s">
        <v>2449</v>
      </c>
      <c r="BF213" s="56" t="s">
        <v>272</v>
      </c>
      <c r="BG213" s="56" t="s">
        <v>272</v>
      </c>
      <c r="BH213" s="56" t="s">
        <v>2486</v>
      </c>
      <c r="BI213" s="153">
        <v>2.9268479999999997E-3</v>
      </c>
      <c r="BJ213" s="153">
        <v>29.26848</v>
      </c>
      <c r="BK213" s="56"/>
      <c r="BL213" s="153"/>
      <c r="BM213" s="56" t="s">
        <v>2046</v>
      </c>
      <c r="BN213" s="56"/>
      <c r="BO213" s="56"/>
      <c r="BP213" s="56"/>
      <c r="BQ213" s="56"/>
      <c r="BR213" s="55">
        <v>13.7559958122</v>
      </c>
      <c r="BS213" s="56"/>
      <c r="BT213" s="56"/>
      <c r="BU213" s="158"/>
      <c r="BV213" s="56"/>
      <c r="BW213" s="56"/>
      <c r="BX213" s="56"/>
      <c r="BY213" s="56"/>
      <c r="BZ213" s="56"/>
      <c r="CA213" s="56"/>
      <c r="CB213" s="56"/>
      <c r="CC213" s="56"/>
      <c r="CD213" s="56"/>
      <c r="CE213" s="56"/>
      <c r="CF213" s="56"/>
      <c r="CG213" s="56"/>
      <c r="CH213" s="56"/>
      <c r="CI213" s="103">
        <v>13.7559958122</v>
      </c>
      <c r="CJ213" s="103">
        <f t="shared" si="66"/>
        <v>1.1384920349357632</v>
      </c>
      <c r="CK213" s="57">
        <f t="shared" si="56"/>
        <v>0</v>
      </c>
      <c r="CL213" s="160">
        <f t="shared" si="68"/>
        <v>0</v>
      </c>
      <c r="CM213" s="160"/>
      <c r="CN213" s="160"/>
      <c r="CO213" s="55" t="s">
        <v>2488</v>
      </c>
      <c r="CP213" s="497" t="s">
        <v>2489</v>
      </c>
      <c r="CQ213" s="149" t="s">
        <v>272</v>
      </c>
      <c r="CR213" s="349"/>
      <c r="CS213" s="61" t="s">
        <v>539</v>
      </c>
      <c r="CT213" s="61"/>
      <c r="CU213" s="111">
        <f t="shared" si="69"/>
        <v>1.179582062829573</v>
      </c>
      <c r="CV213" s="331">
        <f t="shared" si="59"/>
        <v>0.55439592067746069</v>
      </c>
      <c r="CW213" s="326">
        <f t="shared" si="67"/>
        <v>0</v>
      </c>
      <c r="CX213" s="326"/>
      <c r="CY213" s="161" t="s">
        <v>5921</v>
      </c>
    </row>
    <row r="214" spans="1:103" ht="11.25" customHeight="1" x14ac:dyDescent="0.2">
      <c r="A214" s="72">
        <v>421</v>
      </c>
      <c r="B214" s="149">
        <v>877</v>
      </c>
      <c r="C214" s="54" t="s">
        <v>6730</v>
      </c>
      <c r="D214" s="54"/>
      <c r="E214" s="59"/>
      <c r="F214" s="59" t="s">
        <v>2490</v>
      </c>
      <c r="G214" s="151" t="s">
        <v>2490</v>
      </c>
      <c r="H214" s="55" t="s">
        <v>2491</v>
      </c>
      <c r="I214" s="55" t="s">
        <v>7874</v>
      </c>
      <c r="J214" s="55" t="s">
        <v>2492</v>
      </c>
      <c r="K214" s="55"/>
      <c r="L214" s="55"/>
      <c r="M214" s="55"/>
      <c r="N214" s="60"/>
      <c r="O214" s="55"/>
      <c r="P214" s="67"/>
      <c r="Q214" s="67"/>
      <c r="R214" s="67"/>
      <c r="S214" s="67"/>
      <c r="T214" s="56">
        <v>643.15</v>
      </c>
      <c r="U214" s="103"/>
      <c r="V214" s="103">
        <v>4.5769999999999996E-4</v>
      </c>
      <c r="W214" s="103">
        <v>5.2277194647093976</v>
      </c>
      <c r="X214" s="103">
        <v>5.2277194647093976</v>
      </c>
      <c r="Y214" s="162">
        <v>8.25</v>
      </c>
      <c r="Z214" s="56">
        <v>6.16</v>
      </c>
      <c r="AA214" s="56"/>
      <c r="AB214" s="56">
        <v>4.53</v>
      </c>
      <c r="AC214" s="56">
        <v>0.5242</v>
      </c>
      <c r="AD214" s="56">
        <v>4.7300000000000004</v>
      </c>
      <c r="AE214" s="56">
        <v>5.08</v>
      </c>
      <c r="AF214" s="56">
        <f t="shared" si="70"/>
        <v>4.7300000000000004</v>
      </c>
      <c r="AG214" s="57">
        <v>5.99</v>
      </c>
      <c r="AH214" s="103">
        <v>3.8599999999999998E-23</v>
      </c>
      <c r="AI214" s="103"/>
      <c r="AJ214" s="62">
        <f t="shared" si="64"/>
        <v>-20.801979021640896</v>
      </c>
      <c r="AK214" s="62"/>
      <c r="AL214" s="62">
        <f t="shared" si="65"/>
        <v>-20.801979021640896</v>
      </c>
      <c r="AM214" s="62">
        <v>-30.592549999999999</v>
      </c>
      <c r="AN214" s="154">
        <v>-12.7</v>
      </c>
      <c r="AO214" s="410">
        <v>13.72</v>
      </c>
      <c r="AP214" s="410">
        <v>9.6199999999999992</v>
      </c>
      <c r="AQ214" s="56" t="s">
        <v>5921</v>
      </c>
      <c r="AR214" s="56" t="s">
        <v>5921</v>
      </c>
      <c r="AS214" s="155"/>
      <c r="AT214" s="58" t="s">
        <v>266</v>
      </c>
      <c r="AU214" s="56">
        <v>6</v>
      </c>
      <c r="AV214" s="56">
        <v>120</v>
      </c>
      <c r="AW214" s="56">
        <v>114</v>
      </c>
      <c r="AX214" s="56">
        <v>28</v>
      </c>
      <c r="AY214" s="56" t="s">
        <v>8728</v>
      </c>
      <c r="AZ214" s="56" t="s">
        <v>1563</v>
      </c>
      <c r="BA214" s="56">
        <v>32</v>
      </c>
      <c r="BB214" s="55" t="s">
        <v>2485</v>
      </c>
      <c r="BC214" s="55" t="s">
        <v>8726</v>
      </c>
      <c r="BD214" s="55" t="s">
        <v>8374</v>
      </c>
      <c r="BE214" s="56" t="s">
        <v>2449</v>
      </c>
      <c r="BF214" s="56" t="s">
        <v>272</v>
      </c>
      <c r="BG214" s="56" t="s">
        <v>272</v>
      </c>
      <c r="BH214" s="56" t="s">
        <v>2486</v>
      </c>
      <c r="BI214" s="153">
        <v>4.1161599999999998E-3</v>
      </c>
      <c r="BJ214" s="153">
        <v>41.1616</v>
      </c>
      <c r="BK214" s="56"/>
      <c r="BL214" s="153"/>
      <c r="BM214" s="56" t="s">
        <v>2046</v>
      </c>
      <c r="BN214" s="56">
        <v>12288.333653903001</v>
      </c>
      <c r="BO214" s="56"/>
      <c r="BP214" s="56"/>
      <c r="BQ214" s="56"/>
      <c r="BR214" s="55">
        <v>12.288333898299999</v>
      </c>
      <c r="BS214" s="56"/>
      <c r="BT214" s="56"/>
      <c r="BU214" s="158"/>
      <c r="BV214" s="56"/>
      <c r="BW214" s="56"/>
      <c r="BX214" s="56"/>
      <c r="BY214" s="56"/>
      <c r="BZ214" s="56"/>
      <c r="CA214" s="56"/>
      <c r="CB214" s="56"/>
      <c r="CC214" s="56"/>
      <c r="CD214" s="56"/>
      <c r="CE214" s="56"/>
      <c r="CF214" s="56"/>
      <c r="CG214" s="56"/>
      <c r="CH214" s="56"/>
      <c r="CI214" s="103">
        <v>12.288333898299999</v>
      </c>
      <c r="CJ214" s="103">
        <f t="shared" si="66"/>
        <v>1.0894930034865158</v>
      </c>
      <c r="CK214" s="57">
        <f t="shared" si="56"/>
        <v>0</v>
      </c>
      <c r="CL214" s="160">
        <f t="shared" si="68"/>
        <v>0</v>
      </c>
      <c r="CM214" s="160"/>
      <c r="CN214" s="160"/>
      <c r="CO214" s="55" t="s">
        <v>2488</v>
      </c>
      <c r="CP214" s="497" t="s">
        <v>2489</v>
      </c>
      <c r="CQ214" s="149" t="s">
        <v>272</v>
      </c>
      <c r="CR214" s="349"/>
      <c r="CS214" s="61" t="s">
        <v>539</v>
      </c>
      <c r="CT214" s="61"/>
      <c r="CU214" s="111">
        <f t="shared" si="69"/>
        <v>0.42542133929422393</v>
      </c>
      <c r="CV214" s="331">
        <f t="shared" si="59"/>
        <v>0.12700476815064035</v>
      </c>
      <c r="CW214" s="326">
        <f t="shared" si="67"/>
        <v>0</v>
      </c>
      <c r="CX214" s="326"/>
      <c r="CY214" s="161" t="s">
        <v>5921</v>
      </c>
    </row>
    <row r="215" spans="1:103" ht="11.25" customHeight="1" x14ac:dyDescent="0.2">
      <c r="A215" s="72">
        <v>422</v>
      </c>
      <c r="B215" s="149">
        <v>974</v>
      </c>
      <c r="C215" s="54" t="s">
        <v>6731</v>
      </c>
      <c r="D215" s="54"/>
      <c r="E215" s="59"/>
      <c r="F215" s="59" t="s">
        <v>2780</v>
      </c>
      <c r="G215" s="151" t="s">
        <v>2780</v>
      </c>
      <c r="H215" s="55" t="s">
        <v>2781</v>
      </c>
      <c r="I215" s="55" t="s">
        <v>7875</v>
      </c>
      <c r="J215" s="55" t="s">
        <v>2782</v>
      </c>
      <c r="K215" s="55"/>
      <c r="L215" s="55"/>
      <c r="M215" s="55"/>
      <c r="N215" s="60"/>
      <c r="O215" s="55"/>
      <c r="P215" s="67"/>
      <c r="Q215" s="67"/>
      <c r="R215" s="67"/>
      <c r="S215" s="67"/>
      <c r="T215" s="56">
        <v>604.52</v>
      </c>
      <c r="U215" s="103"/>
      <c r="V215" s="103">
        <v>0.2949</v>
      </c>
      <c r="W215" s="103">
        <v>1.0266222527861739</v>
      </c>
      <c r="X215" s="103">
        <v>1.0266222527861739</v>
      </c>
      <c r="Y215" s="162">
        <v>7.02</v>
      </c>
      <c r="Z215" s="56">
        <v>5.86</v>
      </c>
      <c r="AA215" s="56"/>
      <c r="AB215" s="56">
        <v>6.12</v>
      </c>
      <c r="AC215" s="56">
        <v>0.6583</v>
      </c>
      <c r="AD215" s="56">
        <v>5.77</v>
      </c>
      <c r="AE215" s="56">
        <v>5.17</v>
      </c>
      <c r="AF215" s="56">
        <f t="shared" si="70"/>
        <v>5.77</v>
      </c>
      <c r="AG215" s="57">
        <v>6.27</v>
      </c>
      <c r="AH215" s="103">
        <v>3.3899999999999999E-19</v>
      </c>
      <c r="AI215" s="103"/>
      <c r="AJ215" s="62">
        <f t="shared" ref="AJ215:AJ246" si="71">LOG10(AH215*1000/(0.08206*298.15))</f>
        <v>-16.858366628109568</v>
      </c>
      <c r="AK215" s="62"/>
      <c r="AL215" s="62">
        <f t="shared" ref="AL215:AL246" si="72">IF(AK215=0,AJ215,AK215)</f>
        <v>-16.858366628109568</v>
      </c>
      <c r="AM215" s="62">
        <v>-28.883569999999999</v>
      </c>
      <c r="AN215" s="154">
        <v>-8.5500000000000007</v>
      </c>
      <c r="AO215" s="410"/>
      <c r="AP215" s="410">
        <v>4.74</v>
      </c>
      <c r="AQ215" s="56" t="s">
        <v>5921</v>
      </c>
      <c r="AR215" s="56" t="s">
        <v>5921</v>
      </c>
      <c r="AS215" s="155"/>
      <c r="AT215" s="58" t="s">
        <v>266</v>
      </c>
      <c r="AU215" s="56">
        <v>6</v>
      </c>
      <c r="AV215" s="56">
        <v>120</v>
      </c>
      <c r="AW215" s="56">
        <v>114</v>
      </c>
      <c r="AX215" s="56">
        <v>28</v>
      </c>
      <c r="AY215" s="56" t="s">
        <v>8728</v>
      </c>
      <c r="AZ215" s="56" t="s">
        <v>1563</v>
      </c>
      <c r="BA215" s="56">
        <v>32</v>
      </c>
      <c r="BB215" s="55" t="s">
        <v>2485</v>
      </c>
      <c r="BC215" s="55" t="s">
        <v>8726</v>
      </c>
      <c r="BD215" s="55" t="s">
        <v>8374</v>
      </c>
      <c r="BE215" s="56" t="s">
        <v>2449</v>
      </c>
      <c r="BF215" s="56" t="s">
        <v>272</v>
      </c>
      <c r="BG215" s="56" t="s">
        <v>272</v>
      </c>
      <c r="BH215" s="56" t="s">
        <v>2486</v>
      </c>
      <c r="BI215" s="153">
        <v>3.8689279999999998E-3</v>
      </c>
      <c r="BJ215" s="153">
        <v>38.689279999999997</v>
      </c>
      <c r="BK215" s="56"/>
      <c r="BL215" s="153"/>
      <c r="BM215" s="56" t="s">
        <v>2487</v>
      </c>
      <c r="BN215" s="56"/>
      <c r="BO215" s="56"/>
      <c r="BP215" s="56"/>
      <c r="BQ215" s="56"/>
      <c r="BR215" s="55">
        <v>11.550250498640001</v>
      </c>
      <c r="BS215" s="56"/>
      <c r="BT215" s="56"/>
      <c r="BU215" s="158"/>
      <c r="BV215" s="56"/>
      <c r="BW215" s="56"/>
      <c r="BX215" s="56"/>
      <c r="BY215" s="56"/>
      <c r="BZ215" s="56"/>
      <c r="CA215" s="56"/>
      <c r="CB215" s="56"/>
      <c r="CC215" s="56"/>
      <c r="CD215" s="56"/>
      <c r="CE215" s="56"/>
      <c r="CF215" s="56"/>
      <c r="CG215" s="56"/>
      <c r="CH215" s="56"/>
      <c r="CI215" s="103">
        <v>11.550250498640001</v>
      </c>
      <c r="CJ215" s="103">
        <f t="shared" si="66"/>
        <v>1.0625914031889736</v>
      </c>
      <c r="CK215" s="57">
        <f t="shared" si="56"/>
        <v>0</v>
      </c>
      <c r="CL215" s="160">
        <f t="shared" si="68"/>
        <v>0</v>
      </c>
      <c r="CM215" s="160"/>
      <c r="CN215" s="160"/>
      <c r="CO215" s="55" t="s">
        <v>2488</v>
      </c>
      <c r="CP215" s="497" t="s">
        <v>2489</v>
      </c>
      <c r="CQ215" s="149" t="s">
        <v>272</v>
      </c>
      <c r="CR215" s="349"/>
      <c r="CS215" s="61" t="s">
        <v>539</v>
      </c>
      <c r="CT215" s="61"/>
      <c r="CU215" s="111">
        <f t="shared" si="69"/>
        <v>8.8883115817016689E-2</v>
      </c>
      <c r="CV215" s="331">
        <f t="shared" si="59"/>
        <v>2.6535057069714763E-2</v>
      </c>
      <c r="CW215" s="326">
        <f t="shared" si="67"/>
        <v>0</v>
      </c>
      <c r="CX215" s="326"/>
      <c r="CY215" s="161" t="s">
        <v>5921</v>
      </c>
    </row>
    <row r="216" spans="1:103" ht="11.25" customHeight="1" x14ac:dyDescent="0.2">
      <c r="A216" s="72">
        <v>423</v>
      </c>
      <c r="B216" s="149">
        <v>999</v>
      </c>
      <c r="C216" s="54" t="s">
        <v>6732</v>
      </c>
      <c r="D216" s="54"/>
      <c r="E216" s="59"/>
      <c r="F216" s="59" t="s">
        <v>2848</v>
      </c>
      <c r="G216" s="151" t="s">
        <v>2848</v>
      </c>
      <c r="H216" s="55" t="s">
        <v>2849</v>
      </c>
      <c r="I216" s="55" t="s">
        <v>7876</v>
      </c>
      <c r="J216" s="55" t="s">
        <v>2850</v>
      </c>
      <c r="K216" s="55"/>
      <c r="L216" s="55"/>
      <c r="M216" s="55"/>
      <c r="N216" s="60"/>
      <c r="O216" s="55"/>
      <c r="P216" s="67"/>
      <c r="Q216" s="67"/>
      <c r="R216" s="67"/>
      <c r="S216" s="67"/>
      <c r="T216" s="56">
        <v>604.85</v>
      </c>
      <c r="U216" s="103"/>
      <c r="V216" s="103">
        <v>2.1259999999999999E-4</v>
      </c>
      <c r="W216" s="103">
        <v>21.460887847792772</v>
      </c>
      <c r="X216" s="103">
        <v>21.460887847792772</v>
      </c>
      <c r="Y216" s="162">
        <v>9.19</v>
      </c>
      <c r="Z216" s="56">
        <v>6.5</v>
      </c>
      <c r="AA216" s="56"/>
      <c r="AB216" s="56">
        <v>5.49</v>
      </c>
      <c r="AC216" s="56">
        <v>0.77700000000000002</v>
      </c>
      <c r="AD216" s="56">
        <v>5.32</v>
      </c>
      <c r="AE216" s="56">
        <v>4.4800000000000004</v>
      </c>
      <c r="AF216" s="56">
        <f t="shared" si="70"/>
        <v>5.32</v>
      </c>
      <c r="AG216" s="57">
        <v>5.32</v>
      </c>
      <c r="AH216" s="103">
        <v>6.4700000000000002E-21</v>
      </c>
      <c r="AI216" s="153"/>
      <c r="AJ216" s="62">
        <f t="shared" si="71"/>
        <v>-18.577662045643951</v>
      </c>
      <c r="AK216" s="62"/>
      <c r="AL216" s="62">
        <f t="shared" si="72"/>
        <v>-18.577662045643951</v>
      </c>
      <c r="AM216" s="62">
        <v>-29.493640000000003</v>
      </c>
      <c r="AN216" s="152"/>
      <c r="AO216" s="410"/>
      <c r="AP216" s="410">
        <v>9.0299999999999994</v>
      </c>
      <c r="AQ216" s="56" t="s">
        <v>5921</v>
      </c>
      <c r="AR216" s="56" t="s">
        <v>5921</v>
      </c>
      <c r="AS216" s="155"/>
      <c r="AT216" s="58" t="s">
        <v>266</v>
      </c>
      <c r="AU216" s="56">
        <v>6</v>
      </c>
      <c r="AV216" s="56">
        <v>120</v>
      </c>
      <c r="AW216" s="56">
        <v>114</v>
      </c>
      <c r="AX216" s="56">
        <v>28</v>
      </c>
      <c r="AY216" s="56" t="s">
        <v>8728</v>
      </c>
      <c r="AZ216" s="56" t="s">
        <v>1563</v>
      </c>
      <c r="BA216" s="56">
        <v>32</v>
      </c>
      <c r="BB216" s="55" t="s">
        <v>2485</v>
      </c>
      <c r="BC216" s="55" t="s">
        <v>8726</v>
      </c>
      <c r="BD216" s="55" t="s">
        <v>8374</v>
      </c>
      <c r="BE216" s="56" t="s">
        <v>2449</v>
      </c>
      <c r="BF216" s="56" t="s">
        <v>272</v>
      </c>
      <c r="BG216" s="56" t="s">
        <v>272</v>
      </c>
      <c r="BH216" s="56" t="s">
        <v>2486</v>
      </c>
      <c r="BI216" s="153">
        <v>3.8710400000000001E-3</v>
      </c>
      <c r="BJ216" s="153">
        <v>38.7104</v>
      </c>
      <c r="BK216" s="56"/>
      <c r="BL216" s="153"/>
      <c r="BM216" s="56" t="s">
        <v>2046</v>
      </c>
      <c r="BN216" s="56"/>
      <c r="BO216" s="56"/>
      <c r="BP216" s="56"/>
      <c r="BQ216" s="56"/>
      <c r="BR216" s="55">
        <v>4.6516950961500001</v>
      </c>
      <c r="BS216" s="56"/>
      <c r="BT216" s="56"/>
      <c r="BU216" s="158"/>
      <c r="BV216" s="56"/>
      <c r="BW216" s="56"/>
      <c r="BX216" s="56"/>
      <c r="BY216" s="56"/>
      <c r="BZ216" s="56"/>
      <c r="CA216" s="56"/>
      <c r="CB216" s="56"/>
      <c r="CC216" s="56"/>
      <c r="CD216" s="56"/>
      <c r="CE216" s="56"/>
      <c r="CF216" s="56"/>
      <c r="CG216" s="56"/>
      <c r="CH216" s="56"/>
      <c r="CI216" s="103">
        <v>4.6516950961500001</v>
      </c>
      <c r="CJ216" s="103">
        <f t="shared" si="66"/>
        <v>0.66761124036439379</v>
      </c>
      <c r="CK216" s="57">
        <f t="shared" si="56"/>
        <v>0</v>
      </c>
      <c r="CL216" s="160">
        <f t="shared" si="68"/>
        <v>0</v>
      </c>
      <c r="CM216" s="160"/>
      <c r="CN216" s="160"/>
      <c r="CO216" s="55" t="s">
        <v>2488</v>
      </c>
      <c r="CP216" s="497" t="s">
        <v>2489</v>
      </c>
      <c r="CQ216" s="149" t="s">
        <v>272</v>
      </c>
      <c r="CR216" s="349"/>
      <c r="CS216" s="61" t="s">
        <v>539</v>
      </c>
      <c r="CT216" s="61"/>
      <c r="CU216" s="111">
        <f t="shared" si="69"/>
        <v>4.6135628849696078</v>
      </c>
      <c r="CV216" s="331">
        <f t="shared" si="59"/>
        <v>0.55439592067746069</v>
      </c>
      <c r="CW216" s="326">
        <f t="shared" si="67"/>
        <v>1</v>
      </c>
      <c r="CX216" s="326"/>
      <c r="CY216" s="161" t="s">
        <v>5921</v>
      </c>
    </row>
    <row r="217" spans="1:103" ht="11.25" customHeight="1" x14ac:dyDescent="0.2">
      <c r="A217" s="72">
        <v>441</v>
      </c>
      <c r="B217" s="149">
        <v>1113</v>
      </c>
      <c r="C217" s="54" t="s">
        <v>3110</v>
      </c>
      <c r="D217" s="54" t="s">
        <v>6748</v>
      </c>
      <c r="E217" s="59"/>
      <c r="F217" s="59" t="s">
        <v>902</v>
      </c>
      <c r="G217" s="151">
        <v>136458</v>
      </c>
      <c r="H217" s="55" t="s">
        <v>903</v>
      </c>
      <c r="I217" s="55" t="s">
        <v>903</v>
      </c>
      <c r="J217" s="55" t="s">
        <v>904</v>
      </c>
      <c r="K217" s="55" t="s">
        <v>357</v>
      </c>
      <c r="L217" s="55" t="s">
        <v>6025</v>
      </c>
      <c r="M217" s="55" t="s">
        <v>6082</v>
      </c>
      <c r="N217" s="60" t="s">
        <v>6082</v>
      </c>
      <c r="O217" s="55" t="s">
        <v>6083</v>
      </c>
      <c r="P217" s="67"/>
      <c r="Q217" s="67"/>
      <c r="R217" s="67"/>
      <c r="S217" s="67"/>
      <c r="T217" s="56">
        <v>251.28</v>
      </c>
      <c r="U217" s="103"/>
      <c r="V217" s="103">
        <v>20.8</v>
      </c>
      <c r="W217" s="103">
        <v>616.81925633333435</v>
      </c>
      <c r="X217" s="103">
        <v>616.81925633333435</v>
      </c>
      <c r="Y217" s="162">
        <v>7</v>
      </c>
      <c r="Z217" s="56">
        <v>2.12</v>
      </c>
      <c r="AA217" s="56">
        <v>3.57</v>
      </c>
      <c r="AB217" s="56">
        <v>2.65</v>
      </c>
      <c r="AC217" s="56">
        <v>0.8266</v>
      </c>
      <c r="AD217" s="56">
        <v>2.77</v>
      </c>
      <c r="AE217" s="56">
        <v>3.09</v>
      </c>
      <c r="AF217" s="56">
        <f t="shared" si="70"/>
        <v>3.57</v>
      </c>
      <c r="AG217" s="57">
        <v>2.34</v>
      </c>
      <c r="AH217" s="103">
        <v>9.0899999999999996E-10</v>
      </c>
      <c r="AI217" s="103"/>
      <c r="AJ217" s="62">
        <f t="shared" si="71"/>
        <v>-7.4300024430906841</v>
      </c>
      <c r="AK217" s="62"/>
      <c r="AL217" s="62">
        <f t="shared" si="72"/>
        <v>-7.4300024430906841</v>
      </c>
      <c r="AM217" s="62">
        <v>-10.431010000000001</v>
      </c>
      <c r="AN217" s="154">
        <v>-7.8</v>
      </c>
      <c r="AO217" s="410"/>
      <c r="AP217" s="410">
        <v>-0.23</v>
      </c>
      <c r="AQ217" s="56" t="s">
        <v>6311</v>
      </c>
      <c r="AR217" s="56" t="s">
        <v>6312</v>
      </c>
      <c r="AS217" s="155"/>
      <c r="AT217" s="58" t="s">
        <v>266</v>
      </c>
      <c r="AU217" s="56">
        <v>6</v>
      </c>
      <c r="AV217" s="56">
        <v>120</v>
      </c>
      <c r="AW217" s="56">
        <v>114</v>
      </c>
      <c r="AX217" s="56">
        <v>28</v>
      </c>
      <c r="AY217" s="56" t="s">
        <v>8728</v>
      </c>
      <c r="AZ217" s="56" t="s">
        <v>1563</v>
      </c>
      <c r="BA217" s="56">
        <v>32</v>
      </c>
      <c r="BB217" s="55" t="s">
        <v>2485</v>
      </c>
      <c r="BC217" s="55" t="s">
        <v>8726</v>
      </c>
      <c r="BD217" s="55" t="s">
        <v>8374</v>
      </c>
      <c r="BE217" s="56" t="s">
        <v>2449</v>
      </c>
      <c r="BF217" s="56" t="s">
        <v>272</v>
      </c>
      <c r="BG217" s="56" t="s">
        <v>272</v>
      </c>
      <c r="BH217" s="56" t="s">
        <v>2486</v>
      </c>
      <c r="BI217" s="153">
        <v>1.608192E-3</v>
      </c>
      <c r="BJ217" s="153">
        <v>16.08192</v>
      </c>
      <c r="BK217" s="56"/>
      <c r="BL217" s="153">
        <v>161.059343082559</v>
      </c>
      <c r="BM217" s="56" t="s">
        <v>2046</v>
      </c>
      <c r="BN217" s="56"/>
      <c r="BO217" s="56"/>
      <c r="BP217" s="56"/>
      <c r="BQ217" s="56"/>
      <c r="BR217" s="55">
        <v>0.32917679999999999</v>
      </c>
      <c r="BS217" s="56"/>
      <c r="BT217" s="56"/>
      <c r="BU217" s="158"/>
      <c r="BV217" s="56"/>
      <c r="BW217" s="56"/>
      <c r="BX217" s="56"/>
      <c r="BY217" s="56"/>
      <c r="BZ217" s="56"/>
      <c r="CA217" s="56"/>
      <c r="CB217" s="56"/>
      <c r="CC217" s="56"/>
      <c r="CD217" s="56"/>
      <c r="CE217" s="56"/>
      <c r="CF217" s="56"/>
      <c r="CG217" s="56"/>
      <c r="CH217" s="56"/>
      <c r="CI217" s="103">
        <v>0.32917679999999999</v>
      </c>
      <c r="CJ217" s="103">
        <f t="shared" si="66"/>
        <v>-0.48257078095378741</v>
      </c>
      <c r="CK217" s="57">
        <f t="shared" si="56"/>
        <v>10.01493248831974</v>
      </c>
      <c r="CL217" s="160">
        <f t="shared" si="68"/>
        <v>489.27914446752931</v>
      </c>
      <c r="CM217" s="160">
        <v>-0.3565473235138128</v>
      </c>
      <c r="CN217" s="160">
        <f t="shared" ref="CN217:CN229" si="73">BJ217/(10^CM217)</f>
        <v>36.549818181818203</v>
      </c>
      <c r="CO217" s="55" t="s">
        <v>2488</v>
      </c>
      <c r="CP217" s="497" t="s">
        <v>2489</v>
      </c>
      <c r="CQ217" s="149">
        <v>-0.17827366175690632</v>
      </c>
      <c r="CR217" s="349">
        <f t="shared" ref="CR217:CR230" si="74">10^(CJ217-CQ217)</f>
        <v>0.49625269785902787</v>
      </c>
      <c r="CS217" s="61" t="s">
        <v>539</v>
      </c>
      <c r="CT217" s="61"/>
      <c r="CU217" s="111">
        <f t="shared" si="69"/>
        <v>1873.823599759565</v>
      </c>
      <c r="CV217" s="331">
        <f t="shared" si="59"/>
        <v>38.354826807578597</v>
      </c>
      <c r="CW217" s="326">
        <f t="shared" si="67"/>
        <v>1</v>
      </c>
      <c r="CX217" s="326"/>
      <c r="CY217" s="161" t="s">
        <v>5921</v>
      </c>
    </row>
    <row r="218" spans="1:103" ht="11.25" customHeight="1" x14ac:dyDescent="0.2">
      <c r="A218" s="72">
        <v>442</v>
      </c>
      <c r="B218" s="149">
        <v>1159</v>
      </c>
      <c r="C218" s="54" t="s">
        <v>1719</v>
      </c>
      <c r="D218" s="54" t="s">
        <v>6749</v>
      </c>
      <c r="E218" s="59"/>
      <c r="F218" s="59" t="s">
        <v>1720</v>
      </c>
      <c r="G218" s="151">
        <v>123319</v>
      </c>
      <c r="H218" s="55" t="s">
        <v>1721</v>
      </c>
      <c r="I218" s="55" t="s">
        <v>1721</v>
      </c>
      <c r="J218" s="55" t="s">
        <v>1722</v>
      </c>
      <c r="K218" s="55" t="s">
        <v>1723</v>
      </c>
      <c r="L218" s="55" t="s">
        <v>5527</v>
      </c>
      <c r="M218" s="55" t="s">
        <v>6129</v>
      </c>
      <c r="N218" s="60" t="s">
        <v>6383</v>
      </c>
      <c r="O218" s="55"/>
      <c r="P218" s="67"/>
      <c r="Q218" s="67" t="s">
        <v>6182</v>
      </c>
      <c r="R218" s="67" t="s">
        <v>6185</v>
      </c>
      <c r="S218" s="67" t="s">
        <v>6176</v>
      </c>
      <c r="T218" s="56">
        <v>110.11</v>
      </c>
      <c r="U218" s="103">
        <v>72000</v>
      </c>
      <c r="V218" s="103">
        <v>129500.00000000001</v>
      </c>
      <c r="W218" s="103">
        <v>195806.34583938582</v>
      </c>
      <c r="X218" s="103">
        <v>72000</v>
      </c>
      <c r="Y218" s="162">
        <v>5.04</v>
      </c>
      <c r="Z218" s="56">
        <v>1.03</v>
      </c>
      <c r="AA218" s="56">
        <v>0.59</v>
      </c>
      <c r="AB218" s="56">
        <v>0.48</v>
      </c>
      <c r="AC218" s="56">
        <v>0.82310000000000005</v>
      </c>
      <c r="AD218" s="56">
        <v>0.53</v>
      </c>
      <c r="AE218" s="56">
        <v>0.64</v>
      </c>
      <c r="AF218" s="56">
        <f t="shared" si="70"/>
        <v>0.59</v>
      </c>
      <c r="AG218" s="57">
        <v>1.1200000000000001</v>
      </c>
      <c r="AH218" s="103">
        <v>5.8299999999999995E-11</v>
      </c>
      <c r="AI218" s="103">
        <v>4.7300000000000001E-11</v>
      </c>
      <c r="AJ218" s="62">
        <f t="shared" si="71"/>
        <v>-8.622897771553637</v>
      </c>
      <c r="AK218" s="62">
        <f>LOG10(AI218*1000/(0.08206*298.15))</f>
        <v>-8.71370518557484</v>
      </c>
      <c r="AL218" s="62">
        <f t="shared" si="72"/>
        <v>-8.71370518557484</v>
      </c>
      <c r="AM218" s="62">
        <v>-10.688190000000001</v>
      </c>
      <c r="AN218" s="154">
        <v>-8.7899999999999991</v>
      </c>
      <c r="AO218" s="410">
        <v>10.33</v>
      </c>
      <c r="AP218" s="410"/>
      <c r="AQ218" s="56" t="s">
        <v>6311</v>
      </c>
      <c r="AR218" s="56" t="s">
        <v>6311</v>
      </c>
      <c r="AS218" s="155"/>
      <c r="AT218" s="58" t="s">
        <v>266</v>
      </c>
      <c r="AU218" s="56">
        <v>6</v>
      </c>
      <c r="AV218" s="56">
        <v>120</v>
      </c>
      <c r="AW218" s="56">
        <v>114</v>
      </c>
      <c r="AX218" s="56">
        <v>28</v>
      </c>
      <c r="AY218" s="56" t="s">
        <v>8728</v>
      </c>
      <c r="AZ218" s="56" t="s">
        <v>1563</v>
      </c>
      <c r="BA218" s="56">
        <v>32</v>
      </c>
      <c r="BB218" s="55" t="s">
        <v>2485</v>
      </c>
      <c r="BC218" s="55" t="s">
        <v>8726</v>
      </c>
      <c r="BD218" s="55" t="s">
        <v>8374</v>
      </c>
      <c r="BE218" s="56" t="s">
        <v>2449</v>
      </c>
      <c r="BF218" s="56" t="s">
        <v>272</v>
      </c>
      <c r="BG218" s="56" t="s">
        <v>272</v>
      </c>
      <c r="BH218" s="56" t="s">
        <v>2486</v>
      </c>
      <c r="BI218" s="153">
        <v>7.0470400000000001E-4</v>
      </c>
      <c r="BJ218" s="153">
        <v>7.04704</v>
      </c>
      <c r="BK218" s="56"/>
      <c r="BL218" s="153">
        <v>672.33196967807544</v>
      </c>
      <c r="BM218" s="56" t="s">
        <v>2487</v>
      </c>
      <c r="BN218" s="56"/>
      <c r="BO218" s="56"/>
      <c r="BP218" s="56"/>
      <c r="BQ218" s="56"/>
      <c r="BR218" s="55">
        <v>0.13983970000000001</v>
      </c>
      <c r="BS218" s="56"/>
      <c r="BT218" s="56"/>
      <c r="BU218" s="158"/>
      <c r="BV218" s="56"/>
      <c r="BW218" s="56"/>
      <c r="BX218" s="56"/>
      <c r="BY218" s="56"/>
      <c r="BZ218" s="56"/>
      <c r="CA218" s="56"/>
      <c r="CB218" s="56"/>
      <c r="CC218" s="56"/>
      <c r="CD218" s="56"/>
      <c r="CE218" s="56"/>
      <c r="CF218" s="56"/>
      <c r="CG218" s="56"/>
      <c r="CH218" s="56"/>
      <c r="CI218" s="103">
        <v>0.13983970000000001</v>
      </c>
      <c r="CJ218" s="103">
        <f t="shared" si="66"/>
        <v>-0.85436951640649939</v>
      </c>
      <c r="CK218" s="57">
        <f t="shared" si="56"/>
        <v>95.406293944418564</v>
      </c>
      <c r="CL218" s="160">
        <f t="shared" si="68"/>
        <v>4807.8762302699115</v>
      </c>
      <c r="CM218" s="160">
        <v>-1.3585258894959005</v>
      </c>
      <c r="CN218" s="160">
        <f t="shared" si="73"/>
        <v>160.89132420091326</v>
      </c>
      <c r="CO218" s="55" t="s">
        <v>2488</v>
      </c>
      <c r="CP218" s="497" t="s">
        <v>2489</v>
      </c>
      <c r="CQ218" s="149">
        <v>-0.72603946632645011</v>
      </c>
      <c r="CR218" s="349">
        <f t="shared" si="74"/>
        <v>0.74416621614985967</v>
      </c>
      <c r="CS218" s="61" t="s">
        <v>539</v>
      </c>
      <c r="CT218" s="61"/>
      <c r="CU218" s="111">
        <f t="shared" si="69"/>
        <v>514875.24644289137</v>
      </c>
      <c r="CV218" s="331">
        <f t="shared" si="59"/>
        <v>10217.055671601127</v>
      </c>
      <c r="CW218" s="326">
        <f t="shared" si="67"/>
        <v>1</v>
      </c>
      <c r="CX218" s="326"/>
      <c r="CY218" s="161" t="s">
        <v>6351</v>
      </c>
    </row>
    <row r="219" spans="1:103" ht="11.25" customHeight="1" x14ac:dyDescent="0.2">
      <c r="A219" s="72">
        <v>444</v>
      </c>
      <c r="B219" s="149">
        <v>967</v>
      </c>
      <c r="C219" s="54" t="s">
        <v>2759</v>
      </c>
      <c r="D219" s="54" t="s">
        <v>6446</v>
      </c>
      <c r="E219" s="59"/>
      <c r="F219" s="59" t="s">
        <v>2269</v>
      </c>
      <c r="G219" s="151">
        <v>79947</v>
      </c>
      <c r="H219" s="55" t="s">
        <v>2270</v>
      </c>
      <c r="I219" s="55" t="s">
        <v>2270</v>
      </c>
      <c r="J219" s="55"/>
      <c r="K219" s="55" t="s">
        <v>376</v>
      </c>
      <c r="L219" s="67" t="s">
        <v>5492</v>
      </c>
      <c r="M219" s="60" t="s">
        <v>2342</v>
      </c>
      <c r="N219" s="60" t="s">
        <v>2342</v>
      </c>
      <c r="O219" s="55"/>
      <c r="P219" s="67"/>
      <c r="Q219" s="67"/>
      <c r="R219" s="67"/>
      <c r="S219" s="67"/>
      <c r="T219" s="56">
        <v>543.87</v>
      </c>
      <c r="U219" s="103"/>
      <c r="V219" s="103">
        <v>1.001981576818416E-3</v>
      </c>
      <c r="W219" s="103">
        <v>0.29887879506494602</v>
      </c>
      <c r="X219" s="103">
        <v>0.29887879506494602</v>
      </c>
      <c r="Y219" s="162">
        <v>6.97</v>
      </c>
      <c r="Z219" s="56">
        <v>7.2</v>
      </c>
      <c r="AA219" s="56"/>
      <c r="AB219" s="56">
        <v>6.4</v>
      </c>
      <c r="AC219" s="56">
        <v>0.56699999999999995</v>
      </c>
      <c r="AD219" s="56">
        <v>6.8</v>
      </c>
      <c r="AE219" s="56">
        <v>7.29</v>
      </c>
      <c r="AF219" s="56">
        <f t="shared" si="70"/>
        <v>6.8</v>
      </c>
      <c r="AG219" s="57">
        <v>6.88</v>
      </c>
      <c r="AH219" s="103">
        <v>2.3099999999999997E-13</v>
      </c>
      <c r="AI219" s="103"/>
      <c r="AJ219" s="62">
        <f t="shared" si="71"/>
        <v>-11.024954346420508</v>
      </c>
      <c r="AK219" s="62"/>
      <c r="AL219" s="62">
        <f t="shared" si="72"/>
        <v>-11.024954346420508</v>
      </c>
      <c r="AM219" s="62">
        <v>-12.1549</v>
      </c>
      <c r="AN219" s="154"/>
      <c r="AO219" s="410">
        <v>8.5</v>
      </c>
      <c r="AP219" s="410"/>
      <c r="AQ219" s="56" t="s">
        <v>6311</v>
      </c>
      <c r="AR219" s="56" t="s">
        <v>6311</v>
      </c>
      <c r="AS219" s="155"/>
      <c r="AT219" s="58" t="s">
        <v>266</v>
      </c>
      <c r="AU219" s="56">
        <v>6</v>
      </c>
      <c r="AV219" s="56">
        <v>120</v>
      </c>
      <c r="AW219" s="56">
        <v>114</v>
      </c>
      <c r="AX219" s="56">
        <v>28</v>
      </c>
      <c r="AY219" s="56" t="s">
        <v>8728</v>
      </c>
      <c r="AZ219" s="56" t="s">
        <v>1563</v>
      </c>
      <c r="BA219" s="56">
        <v>32</v>
      </c>
      <c r="BB219" s="55" t="s">
        <v>2485</v>
      </c>
      <c r="BC219" s="55" t="s">
        <v>8726</v>
      </c>
      <c r="BD219" s="55" t="s">
        <v>8374</v>
      </c>
      <c r="BE219" s="56" t="s">
        <v>2449</v>
      </c>
      <c r="BF219" s="56" t="s">
        <v>272</v>
      </c>
      <c r="BG219" s="56" t="s">
        <v>272</v>
      </c>
      <c r="BH219" s="56" t="s">
        <v>2486</v>
      </c>
      <c r="BI219" s="153">
        <v>3.480768E-3</v>
      </c>
      <c r="BJ219" s="153">
        <v>34.807679999999998</v>
      </c>
      <c r="BK219" s="56"/>
      <c r="BL219" s="153">
        <v>9.5493784180268829E-3</v>
      </c>
      <c r="BM219" s="56" t="s">
        <v>2046</v>
      </c>
      <c r="BN219" s="56"/>
      <c r="BO219" s="56"/>
      <c r="BP219" s="56"/>
      <c r="BQ219" s="56"/>
      <c r="BR219" s="55">
        <v>0.63632790000000006</v>
      </c>
      <c r="BS219" s="56"/>
      <c r="BT219" s="56"/>
      <c r="BU219" s="158"/>
      <c r="BV219" s="56"/>
      <c r="BW219" s="56"/>
      <c r="BX219" s="56"/>
      <c r="BY219" s="56"/>
      <c r="BZ219" s="56"/>
      <c r="CA219" s="56"/>
      <c r="CB219" s="56"/>
      <c r="CC219" s="56"/>
      <c r="CD219" s="56"/>
      <c r="CE219" s="56"/>
      <c r="CF219" s="56"/>
      <c r="CG219" s="56"/>
      <c r="CH219" s="56"/>
      <c r="CI219" s="103">
        <v>0.63632790000000006</v>
      </c>
      <c r="CJ219" s="103">
        <f t="shared" si="66"/>
        <v>-0.19631903456605701</v>
      </c>
      <c r="CK219" s="57">
        <f t="shared" si="56"/>
        <v>2.7434688028696205E-4</v>
      </c>
      <c r="CL219" s="160">
        <f t="shared" si="68"/>
        <v>1.5007008836209888E-2</v>
      </c>
      <c r="CM219" s="160">
        <v>-0.39794000867203794</v>
      </c>
      <c r="CN219" s="160">
        <f t="shared" si="73"/>
        <v>87.019200000000069</v>
      </c>
      <c r="CO219" s="55" t="s">
        <v>2488</v>
      </c>
      <c r="CP219" s="497" t="s">
        <v>2489</v>
      </c>
      <c r="CQ219" s="149">
        <v>-0.14907664058159587</v>
      </c>
      <c r="CR219" s="349">
        <f t="shared" si="74"/>
        <v>0.89692804983108809</v>
      </c>
      <c r="CS219" s="61" t="s">
        <v>539</v>
      </c>
      <c r="CT219" s="61"/>
      <c r="CU219" s="111">
        <f t="shared" si="69"/>
        <v>0.46969305457916588</v>
      </c>
      <c r="CV219" s="331">
        <f t="shared" si="59"/>
        <v>8.5865761540253778E-3</v>
      </c>
      <c r="CW219" s="326">
        <f t="shared" si="67"/>
        <v>0</v>
      </c>
      <c r="CX219" s="326"/>
      <c r="CY219" s="161" t="s">
        <v>6351</v>
      </c>
    </row>
    <row r="220" spans="1:103" ht="11.25" customHeight="1" x14ac:dyDescent="0.2">
      <c r="A220" s="72">
        <v>445</v>
      </c>
      <c r="B220" s="149">
        <v>1222</v>
      </c>
      <c r="C220" s="54" t="s">
        <v>3374</v>
      </c>
      <c r="D220" s="54" t="s">
        <v>6751</v>
      </c>
      <c r="E220" s="59"/>
      <c r="F220" s="59" t="s">
        <v>3375</v>
      </c>
      <c r="G220" s="151">
        <v>26530201</v>
      </c>
      <c r="H220" s="55" t="s">
        <v>3376</v>
      </c>
      <c r="I220" s="55" t="s">
        <v>3376</v>
      </c>
      <c r="J220" s="55" t="s">
        <v>3377</v>
      </c>
      <c r="K220" s="55" t="s">
        <v>3378</v>
      </c>
      <c r="L220" s="55" t="s">
        <v>5929</v>
      </c>
      <c r="M220" s="55" t="s">
        <v>6082</v>
      </c>
      <c r="N220" s="60" t="s">
        <v>6082</v>
      </c>
      <c r="O220" s="55" t="s">
        <v>6083</v>
      </c>
      <c r="P220" s="67"/>
      <c r="Q220" s="67"/>
      <c r="R220" s="67"/>
      <c r="S220" s="67"/>
      <c r="T220" s="56">
        <v>213.34</v>
      </c>
      <c r="U220" s="103">
        <v>500</v>
      </c>
      <c r="V220" s="103">
        <v>301.8</v>
      </c>
      <c r="W220" s="103">
        <v>69.035470769366867</v>
      </c>
      <c r="X220" s="103">
        <v>500</v>
      </c>
      <c r="Y220" s="162">
        <v>7</v>
      </c>
      <c r="Z220" s="56">
        <v>2.61</v>
      </c>
      <c r="AA220" s="56">
        <v>2.4500000000000002</v>
      </c>
      <c r="AB220" s="56">
        <v>2.74</v>
      </c>
      <c r="AC220" s="56">
        <v>0.78990000000000005</v>
      </c>
      <c r="AD220" s="56">
        <v>2.99</v>
      </c>
      <c r="AE220" s="56">
        <v>3.77</v>
      </c>
      <c r="AF220" s="56">
        <f t="shared" si="70"/>
        <v>2.4500000000000002</v>
      </c>
      <c r="AG220" s="57">
        <v>3.78</v>
      </c>
      <c r="AH220" s="103">
        <v>3.5999999999999999E-7</v>
      </c>
      <c r="AI220" s="103">
        <v>2.07E-8</v>
      </c>
      <c r="AJ220" s="62">
        <f t="shared" si="71"/>
        <v>-4.8322638255453647</v>
      </c>
      <c r="AK220" s="62">
        <f>LOG10(AI220*1000/(0.08206*298.15))</f>
        <v>-6.0725959808557342</v>
      </c>
      <c r="AL220" s="62">
        <f t="shared" si="72"/>
        <v>-6.0725959808557342</v>
      </c>
      <c r="AM220" s="62">
        <v>-9.23611</v>
      </c>
      <c r="AN220" s="154">
        <v>-5.73</v>
      </c>
      <c r="AO220" s="410"/>
      <c r="AP220" s="410">
        <v>-2.04</v>
      </c>
      <c r="AQ220" s="56" t="s">
        <v>6311</v>
      </c>
      <c r="AR220" s="56" t="s">
        <v>6311</v>
      </c>
      <c r="AS220" s="155"/>
      <c r="AT220" s="58" t="s">
        <v>266</v>
      </c>
      <c r="AU220" s="56">
        <v>6</v>
      </c>
      <c r="AV220" s="56">
        <v>120</v>
      </c>
      <c r="AW220" s="56">
        <v>114</v>
      </c>
      <c r="AX220" s="56">
        <v>28</v>
      </c>
      <c r="AY220" s="56" t="s">
        <v>8728</v>
      </c>
      <c r="AZ220" s="56" t="s">
        <v>1563</v>
      </c>
      <c r="BA220" s="56">
        <v>32</v>
      </c>
      <c r="BB220" s="55" t="s">
        <v>2485</v>
      </c>
      <c r="BC220" s="55" t="s">
        <v>8726</v>
      </c>
      <c r="BD220" s="55" t="s">
        <v>8374</v>
      </c>
      <c r="BE220" s="56" t="s">
        <v>2449</v>
      </c>
      <c r="BF220" s="56" t="s">
        <v>272</v>
      </c>
      <c r="BG220" s="56" t="s">
        <v>272</v>
      </c>
      <c r="BH220" s="56" t="s">
        <v>2486</v>
      </c>
      <c r="BI220" s="153">
        <v>1.365376E-3</v>
      </c>
      <c r="BJ220" s="153">
        <v>13.65376</v>
      </c>
      <c r="BK220" s="56"/>
      <c r="BL220" s="153">
        <v>49.639944899049219</v>
      </c>
      <c r="BM220" s="56" t="s">
        <v>2487</v>
      </c>
      <c r="BN220" s="56"/>
      <c r="BO220" s="56"/>
      <c r="BP220" s="56"/>
      <c r="BQ220" s="56"/>
      <c r="BR220" s="55">
        <v>0.24747440000000001</v>
      </c>
      <c r="BS220" s="56"/>
      <c r="BT220" s="56"/>
      <c r="BU220" s="158"/>
      <c r="BV220" s="56"/>
      <c r="BW220" s="56"/>
      <c r="BX220" s="56"/>
      <c r="BY220" s="56"/>
      <c r="BZ220" s="56"/>
      <c r="CA220" s="56"/>
      <c r="CB220" s="56"/>
      <c r="CC220" s="56"/>
      <c r="CD220" s="56"/>
      <c r="CE220" s="56"/>
      <c r="CF220" s="56"/>
      <c r="CG220" s="56"/>
      <c r="CH220" s="56"/>
      <c r="CI220" s="103">
        <v>0.24747440000000001</v>
      </c>
      <c r="CJ220" s="103">
        <f t="shared" si="66"/>
        <v>-0.60646972001835076</v>
      </c>
      <c r="CK220" s="57">
        <f t="shared" si="56"/>
        <v>3.6356245385190027</v>
      </c>
      <c r="CL220" s="160">
        <f t="shared" si="68"/>
        <v>200.58618143553119</v>
      </c>
      <c r="CM220" s="160">
        <v>-1.27089694591216</v>
      </c>
      <c r="CN220" s="160">
        <f t="shared" si="73"/>
        <v>254.77054179474962</v>
      </c>
      <c r="CO220" s="55" t="s">
        <v>2488</v>
      </c>
      <c r="CP220" s="497" t="s">
        <v>2489</v>
      </c>
      <c r="CQ220" s="149">
        <v>-0.98784489184893354</v>
      </c>
      <c r="CR220" s="349">
        <f t="shared" si="74"/>
        <v>2.4064407424337393</v>
      </c>
      <c r="CS220" s="61" t="s">
        <v>539</v>
      </c>
      <c r="CT220" s="61"/>
      <c r="CU220" s="111">
        <f t="shared" si="69"/>
        <v>2020.4110000872818</v>
      </c>
      <c r="CV220" s="331">
        <f t="shared" si="59"/>
        <v>36.619949376581978</v>
      </c>
      <c r="CW220" s="326">
        <f t="shared" si="67"/>
        <v>1</v>
      </c>
      <c r="CX220" s="326"/>
      <c r="CY220" s="161" t="s">
        <v>5921</v>
      </c>
    </row>
    <row r="221" spans="1:103" ht="11.25" customHeight="1" x14ac:dyDescent="0.2">
      <c r="A221" s="72">
        <v>448</v>
      </c>
      <c r="B221" s="149">
        <v>1307</v>
      </c>
      <c r="C221" s="54" t="s">
        <v>3588</v>
      </c>
      <c r="D221" s="54" t="s">
        <v>6753</v>
      </c>
      <c r="E221" s="59"/>
      <c r="F221" s="59" t="s">
        <v>3589</v>
      </c>
      <c r="G221" s="151">
        <v>2155706</v>
      </c>
      <c r="H221" s="55" t="s">
        <v>3590</v>
      </c>
      <c r="I221" s="55" t="s">
        <v>3590</v>
      </c>
      <c r="J221" s="55" t="s">
        <v>3591</v>
      </c>
      <c r="K221" s="55" t="s">
        <v>403</v>
      </c>
      <c r="L221" s="55" t="s">
        <v>6143</v>
      </c>
      <c r="M221" s="60" t="s">
        <v>2342</v>
      </c>
      <c r="N221" s="60" t="s">
        <v>2342</v>
      </c>
      <c r="O221" s="55"/>
      <c r="P221" s="67"/>
      <c r="Q221" s="67"/>
      <c r="R221" s="67"/>
      <c r="S221" s="67"/>
      <c r="T221" s="56">
        <v>375.13</v>
      </c>
      <c r="U221" s="103"/>
      <c r="V221" s="103">
        <v>1.27</v>
      </c>
      <c r="W221" s="103">
        <v>2.7808771081921204E-3</v>
      </c>
      <c r="X221" s="103">
        <v>2.7808771081921204E-3</v>
      </c>
      <c r="Y221" s="162">
        <v>7</v>
      </c>
      <c r="Z221" s="56">
        <v>4.1399999999999997</v>
      </c>
      <c r="AA221" s="56"/>
      <c r="AB221" s="56">
        <v>3.46</v>
      </c>
      <c r="AC221" s="56">
        <v>0.60299999999999998</v>
      </c>
      <c r="AD221" s="56">
        <v>5.8</v>
      </c>
      <c r="AE221" s="56">
        <v>9.49</v>
      </c>
      <c r="AF221" s="56">
        <f t="shared" si="70"/>
        <v>5.8</v>
      </c>
      <c r="AG221" s="57">
        <v>5.8</v>
      </c>
      <c r="AH221" s="103">
        <v>4.8000000000000001E-2</v>
      </c>
      <c r="AI221" s="103"/>
      <c r="AJ221" s="62">
        <f t="shared" si="71"/>
        <v>0.29267491106293542</v>
      </c>
      <c r="AK221" s="62"/>
      <c r="AL221" s="62">
        <f t="shared" si="72"/>
        <v>0.29267491106293542</v>
      </c>
      <c r="AM221" s="62">
        <v>-4.1811600000000002</v>
      </c>
      <c r="AN221" s="154">
        <v>-2.57</v>
      </c>
      <c r="AO221" s="410"/>
      <c r="AP221" s="410"/>
      <c r="AQ221" s="56" t="s">
        <v>6311</v>
      </c>
      <c r="AR221" s="56" t="s">
        <v>6311</v>
      </c>
      <c r="AS221" s="155"/>
      <c r="AT221" s="58" t="s">
        <v>266</v>
      </c>
      <c r="AU221" s="56">
        <v>6</v>
      </c>
      <c r="AV221" s="56">
        <v>120</v>
      </c>
      <c r="AW221" s="56">
        <v>114</v>
      </c>
      <c r="AX221" s="56">
        <v>28</v>
      </c>
      <c r="AY221" s="56" t="s">
        <v>8728</v>
      </c>
      <c r="AZ221" s="56" t="s">
        <v>1563</v>
      </c>
      <c r="BA221" s="56">
        <v>32</v>
      </c>
      <c r="BB221" s="55" t="s">
        <v>2485</v>
      </c>
      <c r="BC221" s="55" t="s">
        <v>8726</v>
      </c>
      <c r="BD221" s="55" t="s">
        <v>8374</v>
      </c>
      <c r="BE221" s="56" t="s">
        <v>2449</v>
      </c>
      <c r="BF221" s="56" t="s">
        <v>272</v>
      </c>
      <c r="BG221" s="56" t="s">
        <v>272</v>
      </c>
      <c r="BH221" s="56" t="s">
        <v>2486</v>
      </c>
      <c r="BI221" s="153">
        <v>2.4008319999999999E-3</v>
      </c>
      <c r="BJ221" s="153">
        <v>24.008320000000001</v>
      </c>
      <c r="BK221" s="56"/>
      <c r="BL221" s="153">
        <v>3.6884830925439664</v>
      </c>
      <c r="BM221" s="56" t="s">
        <v>2046</v>
      </c>
      <c r="BN221" s="56">
        <v>759.20974012638999</v>
      </c>
      <c r="BO221" s="56"/>
      <c r="BP221" s="56"/>
      <c r="BQ221" s="56"/>
      <c r="BR221" s="55">
        <v>0.41264300000000004</v>
      </c>
      <c r="BS221" s="56"/>
      <c r="BT221" s="56"/>
      <c r="BU221" s="158"/>
      <c r="BV221" s="56"/>
      <c r="BW221" s="56"/>
      <c r="BX221" s="56"/>
      <c r="BY221" s="56"/>
      <c r="BZ221" s="56"/>
      <c r="CA221" s="56"/>
      <c r="CB221" s="56"/>
      <c r="CC221" s="56"/>
      <c r="CD221" s="56"/>
      <c r="CE221" s="56"/>
      <c r="CF221" s="56"/>
      <c r="CG221" s="56"/>
      <c r="CH221" s="56"/>
      <c r="CI221" s="103">
        <v>0.41264300000000004</v>
      </c>
      <c r="CJ221" s="103">
        <f t="shared" si="66"/>
        <v>-0.38442551778390621</v>
      </c>
      <c r="CK221" s="57">
        <f t="shared" si="56"/>
        <v>0.15363353589688766</v>
      </c>
      <c r="CL221" s="160">
        <f t="shared" si="68"/>
        <v>8.9386784521825557</v>
      </c>
      <c r="CM221" s="160">
        <v>-1.4436974992327132</v>
      </c>
      <c r="CN221" s="160">
        <f t="shared" si="73"/>
        <v>666.89777777777863</v>
      </c>
      <c r="CO221" s="55" t="s">
        <v>2488</v>
      </c>
      <c r="CP221" s="497" t="s">
        <v>2489</v>
      </c>
      <c r="CQ221" s="149">
        <v>-1.3221784748895655</v>
      </c>
      <c r="CR221" s="349">
        <f t="shared" si="74"/>
        <v>8.6646885575525872</v>
      </c>
      <c r="CS221" s="61" t="s">
        <v>539</v>
      </c>
      <c r="CT221" s="61"/>
      <c r="CU221" s="111">
        <f t="shared" si="69"/>
        <v>6.7391840118264943E-3</v>
      </c>
      <c r="CV221" s="331">
        <f t="shared" si="59"/>
        <v>1.1582972520326787E-4</v>
      </c>
      <c r="CW221" s="326">
        <f t="shared" si="67"/>
        <v>0</v>
      </c>
      <c r="CX221" s="326"/>
      <c r="CY221" s="161" t="s">
        <v>5921</v>
      </c>
    </row>
    <row r="222" spans="1:103" ht="11.25" customHeight="1" x14ac:dyDescent="0.2">
      <c r="A222" s="72">
        <v>457</v>
      </c>
      <c r="B222" s="149">
        <v>1230</v>
      </c>
      <c r="C222" s="54" t="s">
        <v>1756</v>
      </c>
      <c r="D222" s="54" t="s">
        <v>6712</v>
      </c>
      <c r="E222" s="59"/>
      <c r="F222" s="59" t="s">
        <v>1757</v>
      </c>
      <c r="G222" s="151">
        <v>87865</v>
      </c>
      <c r="H222" s="55" t="s">
        <v>1758</v>
      </c>
      <c r="I222" s="55" t="s">
        <v>7866</v>
      </c>
      <c r="J222" s="55" t="s">
        <v>1759</v>
      </c>
      <c r="K222" s="55" t="s">
        <v>349</v>
      </c>
      <c r="L222" s="55" t="s">
        <v>6134</v>
      </c>
      <c r="M222" s="55" t="s">
        <v>497</v>
      </c>
      <c r="N222" s="60" t="s">
        <v>6381</v>
      </c>
      <c r="O222" s="55" t="s">
        <v>6086</v>
      </c>
      <c r="P222" s="67"/>
      <c r="Q222" s="67" t="s">
        <v>6173</v>
      </c>
      <c r="R222" s="67" t="s">
        <v>6180</v>
      </c>
      <c r="S222" s="67" t="s">
        <v>6176</v>
      </c>
      <c r="T222" s="56">
        <v>266.33999999999997</v>
      </c>
      <c r="U222" s="103">
        <v>14</v>
      </c>
      <c r="V222" s="103">
        <v>3.09</v>
      </c>
      <c r="W222" s="103">
        <v>10.125964381601822</v>
      </c>
      <c r="X222" s="103">
        <v>14</v>
      </c>
      <c r="Y222" s="162">
        <v>4.71</v>
      </c>
      <c r="Z222" s="56">
        <v>4.74</v>
      </c>
      <c r="AA222" s="56">
        <v>5.12</v>
      </c>
      <c r="AB222" s="56">
        <v>5.1100000000000003</v>
      </c>
      <c r="AC222" s="56">
        <v>0.88800000000000001</v>
      </c>
      <c r="AD222" s="56">
        <v>5.04</v>
      </c>
      <c r="AE222" s="56">
        <v>4.78</v>
      </c>
      <c r="AF222" s="56">
        <f t="shared" si="70"/>
        <v>5.12</v>
      </c>
      <c r="AG222" s="57">
        <v>4.8499999999999996</v>
      </c>
      <c r="AH222" s="103">
        <v>1.2499999999999999E-7</v>
      </c>
      <c r="AI222" s="103">
        <v>2.4500000000000001E-8</v>
      </c>
      <c r="AJ222" s="62">
        <f t="shared" si="71"/>
        <v>-5.2916563133045953</v>
      </c>
      <c r="AK222" s="62">
        <f>LOG10(AI222*1000/(0.08206*298.15))</f>
        <v>-5.9994002419481189</v>
      </c>
      <c r="AL222" s="62">
        <f t="shared" si="72"/>
        <v>-5.9994002419481189</v>
      </c>
      <c r="AM222" s="62">
        <v>-7.034559999999999</v>
      </c>
      <c r="AN222" s="154">
        <v>-3.97</v>
      </c>
      <c r="AO222" s="410">
        <v>4.68</v>
      </c>
      <c r="AP222" s="410"/>
      <c r="AQ222" s="56" t="s">
        <v>6311</v>
      </c>
      <c r="AR222" s="56" t="s">
        <v>6311</v>
      </c>
      <c r="AS222" s="155"/>
      <c r="AT222" s="58" t="s">
        <v>266</v>
      </c>
      <c r="AU222" s="56">
        <v>6</v>
      </c>
      <c r="AV222" s="56">
        <v>120</v>
      </c>
      <c r="AW222" s="56">
        <v>114</v>
      </c>
      <c r="AX222" s="56">
        <v>28</v>
      </c>
      <c r="AY222" s="56" t="s">
        <v>8728</v>
      </c>
      <c r="AZ222" s="56" t="s">
        <v>1563</v>
      </c>
      <c r="BA222" s="56">
        <v>32</v>
      </c>
      <c r="BB222" s="55" t="s">
        <v>2485</v>
      </c>
      <c r="BC222" s="55" t="s">
        <v>8726</v>
      </c>
      <c r="BD222" s="55" t="s">
        <v>8374</v>
      </c>
      <c r="BE222" s="56" t="s">
        <v>2449</v>
      </c>
      <c r="BF222" s="56" t="s">
        <v>272</v>
      </c>
      <c r="BG222" s="56" t="s">
        <v>272</v>
      </c>
      <c r="BH222" s="56" t="s">
        <v>2486</v>
      </c>
      <c r="BI222" s="153">
        <v>1.7045759999999997E-3</v>
      </c>
      <c r="BJ222" s="153">
        <v>17.045759999999998</v>
      </c>
      <c r="BK222" s="56"/>
      <c r="BL222" s="153">
        <v>0.75725542865225259</v>
      </c>
      <c r="BM222" s="56" t="s">
        <v>2046</v>
      </c>
      <c r="BN222" s="56">
        <v>2749.0747277351998</v>
      </c>
      <c r="BO222" s="56"/>
      <c r="BP222" s="56"/>
      <c r="BQ222" s="56"/>
      <c r="BR222" s="55">
        <v>0.15793961999999998</v>
      </c>
      <c r="BS222" s="56"/>
      <c r="BT222" s="56"/>
      <c r="BU222" s="158"/>
      <c r="BV222" s="56"/>
      <c r="BW222" s="56"/>
      <c r="BX222" s="56"/>
      <c r="BY222" s="56"/>
      <c r="BZ222" s="56"/>
      <c r="CA222" s="56"/>
      <c r="CB222" s="56"/>
      <c r="CC222" s="56"/>
      <c r="CD222" s="56"/>
      <c r="CE222" s="56"/>
      <c r="CF222" s="56"/>
      <c r="CG222" s="56"/>
      <c r="CH222" s="56"/>
      <c r="CI222" s="103">
        <v>0.15793961999999998</v>
      </c>
      <c r="CJ222" s="103">
        <f t="shared" si="66"/>
        <v>-0.80150891122672718</v>
      </c>
      <c r="CK222" s="57">
        <f t="shared" si="56"/>
        <v>4.4424855720850975E-2</v>
      </c>
      <c r="CL222" s="160">
        <f t="shared" si="68"/>
        <v>4.7945881385066818</v>
      </c>
      <c r="CM222" s="160">
        <v>-0.85054537395088958</v>
      </c>
      <c r="CN222" s="160">
        <f t="shared" si="73"/>
        <v>120.82637423448328</v>
      </c>
      <c r="CO222" s="55" t="s">
        <v>2488</v>
      </c>
      <c r="CP222" s="497" t="s">
        <v>2489</v>
      </c>
      <c r="CQ222" s="149">
        <v>-0.72193980992494822</v>
      </c>
      <c r="CR222" s="349">
        <f t="shared" si="74"/>
        <v>0.83258944078468755</v>
      </c>
      <c r="CS222" s="61" t="s">
        <v>539</v>
      </c>
      <c r="CT222" s="61"/>
      <c r="CU222" s="111">
        <f t="shared" si="69"/>
        <v>88.641469442562936</v>
      </c>
      <c r="CV222" s="331">
        <f t="shared" si="59"/>
        <v>0.82131861530374717</v>
      </c>
      <c r="CW222" s="326">
        <f t="shared" si="67"/>
        <v>1</v>
      </c>
      <c r="CX222" s="326"/>
      <c r="CY222" s="161" t="s">
        <v>5921</v>
      </c>
    </row>
    <row r="223" spans="1:103" ht="11.25" customHeight="1" x14ac:dyDescent="0.2">
      <c r="A223" s="72">
        <v>464</v>
      </c>
      <c r="B223" s="149">
        <v>1079</v>
      </c>
      <c r="C223" s="54" t="s">
        <v>1060</v>
      </c>
      <c r="D223" s="54" t="s">
        <v>6688</v>
      </c>
      <c r="E223" s="59"/>
      <c r="F223" s="59" t="s">
        <v>1061</v>
      </c>
      <c r="G223" s="151">
        <v>120116883</v>
      </c>
      <c r="H223" s="55" t="s">
        <v>1062</v>
      </c>
      <c r="I223" s="55" t="s">
        <v>7894</v>
      </c>
      <c r="J223" s="55" t="s">
        <v>1063</v>
      </c>
      <c r="K223" s="55" t="s">
        <v>1064</v>
      </c>
      <c r="L223" s="55" t="s">
        <v>5929</v>
      </c>
      <c r="M223" s="60" t="s">
        <v>2342</v>
      </c>
      <c r="N223" s="60" t="s">
        <v>2342</v>
      </c>
      <c r="O223" s="55"/>
      <c r="P223" s="67"/>
      <c r="Q223" s="67"/>
      <c r="R223" s="67"/>
      <c r="S223" s="67"/>
      <c r="T223" s="56">
        <v>324.79000000000002</v>
      </c>
      <c r="U223" s="103"/>
      <c r="V223" s="103">
        <v>17.010000000000002</v>
      </c>
      <c r="W223" s="103">
        <v>24.637841059372825</v>
      </c>
      <c r="X223" s="103">
        <v>24.637841059372825</v>
      </c>
      <c r="Y223" s="162">
        <v>7</v>
      </c>
      <c r="Z223" s="56">
        <v>2.87</v>
      </c>
      <c r="AA223" s="56"/>
      <c r="AB223" s="56">
        <v>1.1299999999999999</v>
      </c>
      <c r="AC223" s="56">
        <v>0.69910000000000005</v>
      </c>
      <c r="AD223" s="56">
        <v>1.33</v>
      </c>
      <c r="AE223" s="56">
        <v>1.76</v>
      </c>
      <c r="AF223" s="56">
        <f t="shared" si="70"/>
        <v>1.33</v>
      </c>
      <c r="AG223" s="57">
        <v>2.79</v>
      </c>
      <c r="AH223" s="103">
        <v>5.2900000000000003E-12</v>
      </c>
      <c r="AI223" s="103"/>
      <c r="AJ223" s="62">
        <f t="shared" si="71"/>
        <v>-9.6651106542774663</v>
      </c>
      <c r="AK223" s="62"/>
      <c r="AL223" s="62">
        <f t="shared" si="72"/>
        <v>-9.6651106542774663</v>
      </c>
      <c r="AM223" s="62">
        <v>-18.323869999999999</v>
      </c>
      <c r="AN223" s="154">
        <v>-3.68</v>
      </c>
      <c r="AO223" s="410"/>
      <c r="AP223" s="410">
        <v>-6.61</v>
      </c>
      <c r="AQ223" s="56" t="s">
        <v>6311</v>
      </c>
      <c r="AR223" s="56" t="s">
        <v>6311</v>
      </c>
      <c r="AS223" s="155"/>
      <c r="AT223" s="58" t="s">
        <v>266</v>
      </c>
      <c r="AU223" s="56">
        <v>6</v>
      </c>
      <c r="AV223" s="56">
        <v>120</v>
      </c>
      <c r="AW223" s="56">
        <v>114</v>
      </c>
      <c r="AX223" s="56">
        <v>28</v>
      </c>
      <c r="AY223" s="56" t="s">
        <v>8728</v>
      </c>
      <c r="AZ223" s="56" t="s">
        <v>1563</v>
      </c>
      <c r="BA223" s="56">
        <v>32</v>
      </c>
      <c r="BB223" s="55" t="s">
        <v>2485</v>
      </c>
      <c r="BC223" s="55" t="s">
        <v>8726</v>
      </c>
      <c r="BD223" s="55" t="s">
        <v>8374</v>
      </c>
      <c r="BE223" s="56" t="s">
        <v>2449</v>
      </c>
      <c r="BF223" s="56" t="s">
        <v>272</v>
      </c>
      <c r="BG223" s="56" t="s">
        <v>272</v>
      </c>
      <c r="BH223" s="56" t="s">
        <v>2486</v>
      </c>
      <c r="BI223" s="153">
        <v>2.0786559999999999E-3</v>
      </c>
      <c r="BJ223" s="153">
        <v>20.786560000000001</v>
      </c>
      <c r="BK223" s="56"/>
      <c r="BL223" s="153">
        <v>44.142370258500954</v>
      </c>
      <c r="BM223" s="56" t="s">
        <v>2487</v>
      </c>
      <c r="BN223" s="56"/>
      <c r="BO223" s="56"/>
      <c r="BP223" s="56"/>
      <c r="BQ223" s="56"/>
      <c r="BR223" s="55">
        <v>0.17636097000000001</v>
      </c>
      <c r="BS223" s="56"/>
      <c r="BT223" s="56"/>
      <c r="BU223" s="158"/>
      <c r="BV223" s="56"/>
      <c r="BW223" s="56"/>
      <c r="BX223" s="56"/>
      <c r="BY223" s="56"/>
      <c r="BZ223" s="56"/>
      <c r="CA223" s="56"/>
      <c r="CB223" s="56"/>
      <c r="CC223" s="56"/>
      <c r="CD223" s="56"/>
      <c r="CE223" s="56"/>
      <c r="CF223" s="56"/>
      <c r="CG223" s="56"/>
      <c r="CH223" s="56"/>
      <c r="CI223" s="103">
        <v>0.17636097000000001</v>
      </c>
      <c r="CJ223" s="103">
        <f t="shared" si="66"/>
        <v>-0.75359752118338263</v>
      </c>
      <c r="CK223" s="57">
        <f t="shared" si="56"/>
        <v>2.1236015126360952</v>
      </c>
      <c r="CL223" s="160">
        <f t="shared" si="68"/>
        <v>250.29557423335191</v>
      </c>
      <c r="CM223" s="160">
        <v>-1.3653369446448822</v>
      </c>
      <c r="CN223" s="160">
        <f t="shared" si="73"/>
        <v>482.0805034292257</v>
      </c>
      <c r="CO223" s="55" t="s">
        <v>2488</v>
      </c>
      <c r="CP223" s="497" t="s">
        <v>2489</v>
      </c>
      <c r="CQ223" s="149">
        <v>-1.3653369446448818</v>
      </c>
      <c r="CR223" s="349">
        <f t="shared" si="74"/>
        <v>4.090151771282331</v>
      </c>
      <c r="CS223" s="61" t="s">
        <v>539</v>
      </c>
      <c r="CT223" s="61"/>
      <c r="CU223" s="111">
        <f t="shared" si="69"/>
        <v>139.70121087093602</v>
      </c>
      <c r="CV223" s="331">
        <f t="shared" si="59"/>
        <v>1.1852774609830978</v>
      </c>
      <c r="CW223" s="326">
        <f t="shared" si="67"/>
        <v>1</v>
      </c>
      <c r="CX223" s="326"/>
      <c r="CY223" s="161" t="s">
        <v>5921</v>
      </c>
    </row>
    <row r="224" spans="1:103" ht="11.25" customHeight="1" x14ac:dyDescent="0.2">
      <c r="A224" s="72">
        <v>465</v>
      </c>
      <c r="B224" s="149">
        <v>926</v>
      </c>
      <c r="C224" s="54" t="s">
        <v>2644</v>
      </c>
      <c r="D224" s="54" t="s">
        <v>6759</v>
      </c>
      <c r="E224" s="59"/>
      <c r="F224" s="59" t="s">
        <v>1465</v>
      </c>
      <c r="G224" s="151">
        <v>21564170</v>
      </c>
      <c r="H224" s="55" t="s">
        <v>1466</v>
      </c>
      <c r="I224" s="55" t="s">
        <v>7892</v>
      </c>
      <c r="J224" s="55" t="s">
        <v>1467</v>
      </c>
      <c r="K224" s="55" t="s">
        <v>1468</v>
      </c>
      <c r="L224" s="55" t="s">
        <v>5929</v>
      </c>
      <c r="M224" s="55" t="s">
        <v>6088</v>
      </c>
      <c r="N224" s="60" t="s">
        <v>6088</v>
      </c>
      <c r="O224" s="55" t="s">
        <v>6083</v>
      </c>
      <c r="P224" s="67"/>
      <c r="Q224" s="67"/>
      <c r="R224" s="67"/>
      <c r="S224" s="67"/>
      <c r="T224" s="56">
        <v>238.36</v>
      </c>
      <c r="U224" s="103">
        <v>125</v>
      </c>
      <c r="V224" s="103">
        <v>41.67</v>
      </c>
      <c r="W224" s="103">
        <v>92.732800760836611</v>
      </c>
      <c r="X224" s="103">
        <v>125</v>
      </c>
      <c r="Y224" s="162">
        <v>7</v>
      </c>
      <c r="Z224" s="56">
        <v>3.12</v>
      </c>
      <c r="AA224" s="56">
        <v>3.3</v>
      </c>
      <c r="AB224" s="56">
        <v>2.83</v>
      </c>
      <c r="AC224" s="56">
        <v>0.82469999999999999</v>
      </c>
      <c r="AD224" s="56">
        <v>2.91</v>
      </c>
      <c r="AE224" s="56">
        <v>3.12</v>
      </c>
      <c r="AF224" s="56">
        <f t="shared" si="70"/>
        <v>3.3</v>
      </c>
      <c r="AG224" s="57">
        <v>3.94</v>
      </c>
      <c r="AH224" s="103">
        <v>6.49E-12</v>
      </c>
      <c r="AI224" s="103"/>
      <c r="AJ224" s="62">
        <f t="shared" si="71"/>
        <v>-9.5763216295122824</v>
      </c>
      <c r="AK224" s="62"/>
      <c r="AL224" s="62">
        <f t="shared" si="72"/>
        <v>-9.5763216295122824</v>
      </c>
      <c r="AM224" s="62">
        <v>-11.81157</v>
      </c>
      <c r="AN224" s="154">
        <v>-12.3</v>
      </c>
      <c r="AO224" s="410"/>
      <c r="AP224" s="410">
        <v>-0.09</v>
      </c>
      <c r="AQ224" s="56" t="s">
        <v>6311</v>
      </c>
      <c r="AR224" s="56" t="s">
        <v>6311</v>
      </c>
      <c r="AS224" s="155"/>
      <c r="AT224" s="58" t="s">
        <v>266</v>
      </c>
      <c r="AU224" s="56">
        <v>6</v>
      </c>
      <c r="AV224" s="56">
        <v>120</v>
      </c>
      <c r="AW224" s="56">
        <v>114</v>
      </c>
      <c r="AX224" s="56">
        <v>28</v>
      </c>
      <c r="AY224" s="56" t="s">
        <v>8728</v>
      </c>
      <c r="AZ224" s="56" t="s">
        <v>1563</v>
      </c>
      <c r="BA224" s="56">
        <v>32</v>
      </c>
      <c r="BB224" s="55" t="s">
        <v>2485</v>
      </c>
      <c r="BC224" s="55" t="s">
        <v>8726</v>
      </c>
      <c r="BD224" s="55" t="s">
        <v>8374</v>
      </c>
      <c r="BE224" s="56" t="s">
        <v>2449</v>
      </c>
      <c r="BF224" s="56" t="s">
        <v>272</v>
      </c>
      <c r="BG224" s="56" t="s">
        <v>272</v>
      </c>
      <c r="BH224" s="56" t="s">
        <v>2486</v>
      </c>
      <c r="BI224" s="153">
        <v>1.525504E-3</v>
      </c>
      <c r="BJ224" s="153">
        <v>15.255040000000001</v>
      </c>
      <c r="BK224" s="56"/>
      <c r="BL224" s="153">
        <v>19.317965083130503</v>
      </c>
      <c r="BM224" s="56" t="s">
        <v>2046</v>
      </c>
      <c r="BN224" s="56">
        <v>482.40672208708003</v>
      </c>
      <c r="BO224" s="56"/>
      <c r="BP224" s="56"/>
      <c r="BQ224" s="56"/>
      <c r="BR224" s="55">
        <v>0.12609244</v>
      </c>
      <c r="BS224" s="56"/>
      <c r="BT224" s="56"/>
      <c r="BU224" s="158"/>
      <c r="BV224" s="56"/>
      <c r="BW224" s="56"/>
      <c r="BX224" s="56"/>
      <c r="BY224" s="56"/>
      <c r="BZ224" s="56"/>
      <c r="CA224" s="56"/>
      <c r="CB224" s="56"/>
      <c r="CC224" s="56"/>
      <c r="CD224" s="56"/>
      <c r="CE224" s="56"/>
      <c r="CF224" s="56"/>
      <c r="CG224" s="56"/>
      <c r="CH224" s="56"/>
      <c r="CI224" s="103">
        <v>0.12609244</v>
      </c>
      <c r="CJ224" s="103">
        <f t="shared" ref="CJ224:CJ229" si="75">LOG10(CI224)</f>
        <v>-0.89931095121206506</v>
      </c>
      <c r="CK224" s="57">
        <f t="shared" si="56"/>
        <v>1.2663332959553368</v>
      </c>
      <c r="CL224" s="160">
        <f t="shared" si="68"/>
        <v>153.20478438779122</v>
      </c>
      <c r="CM224" s="160">
        <v>-1.6277443037085857</v>
      </c>
      <c r="CN224" s="160">
        <f t="shared" si="73"/>
        <v>647.37757943044289</v>
      </c>
      <c r="CO224" s="55" t="s">
        <v>2488</v>
      </c>
      <c r="CP224" s="497" t="s">
        <v>2489</v>
      </c>
      <c r="CQ224" s="149">
        <v>-1.5943997665210112</v>
      </c>
      <c r="CR224" s="349">
        <f t="shared" si="74"/>
        <v>4.9555152311126491</v>
      </c>
      <c r="CS224" s="61" t="s">
        <v>539</v>
      </c>
      <c r="CT224" s="61"/>
      <c r="CU224" s="111">
        <f t="shared" si="69"/>
        <v>991.33619747543946</v>
      </c>
      <c r="CV224" s="331">
        <f t="shared" si="59"/>
        <v>8.1940132572579287</v>
      </c>
      <c r="CW224" s="326">
        <f t="shared" ref="CW224:CW229" si="76">IF(CU224&lt;2,0,1)</f>
        <v>1</v>
      </c>
      <c r="CX224" s="326"/>
      <c r="CY224" s="161" t="s">
        <v>5921</v>
      </c>
    </row>
    <row r="225" spans="1:103" ht="11.25" customHeight="1" x14ac:dyDescent="0.2">
      <c r="A225" s="72">
        <v>466</v>
      </c>
      <c r="B225" s="149">
        <v>1259</v>
      </c>
      <c r="C225" s="54" t="s">
        <v>1423</v>
      </c>
      <c r="D225" s="54" t="s">
        <v>6590</v>
      </c>
      <c r="E225" s="59"/>
      <c r="F225" s="59" t="s">
        <v>1424</v>
      </c>
      <c r="G225" s="151">
        <v>175013180</v>
      </c>
      <c r="H225" s="55" t="s">
        <v>1425</v>
      </c>
      <c r="I225" s="55" t="s">
        <v>7895</v>
      </c>
      <c r="J225" s="55" t="s">
        <v>1426</v>
      </c>
      <c r="K225" s="55" t="s">
        <v>1427</v>
      </c>
      <c r="L225" s="55" t="s">
        <v>6090</v>
      </c>
      <c r="M225" s="55" t="s">
        <v>6082</v>
      </c>
      <c r="N225" s="60" t="s">
        <v>6082</v>
      </c>
      <c r="O225" s="55" t="s">
        <v>6083</v>
      </c>
      <c r="P225" s="67"/>
      <c r="Q225" s="67"/>
      <c r="R225" s="67"/>
      <c r="S225" s="67"/>
      <c r="T225" s="56">
        <v>387.82</v>
      </c>
      <c r="U225" s="103"/>
      <c r="V225" s="103">
        <v>1.425</v>
      </c>
      <c r="W225" s="103">
        <v>2.621984995165183</v>
      </c>
      <c r="X225" s="103">
        <v>2.621984995165183</v>
      </c>
      <c r="Y225" s="162">
        <v>7</v>
      </c>
      <c r="Z225" s="56">
        <v>5.45</v>
      </c>
      <c r="AA225" s="56">
        <v>3.99</v>
      </c>
      <c r="AB225" s="56">
        <v>3.95</v>
      </c>
      <c r="AC225" s="56">
        <v>0.61850000000000005</v>
      </c>
      <c r="AD225" s="56">
        <v>4.07</v>
      </c>
      <c r="AE225" s="56">
        <v>4.25</v>
      </c>
      <c r="AF225" s="56">
        <f t="shared" si="70"/>
        <v>3.99</v>
      </c>
      <c r="AG225" s="57">
        <v>4.0199999999999996</v>
      </c>
      <c r="AH225" s="103">
        <v>1.15E-15</v>
      </c>
      <c r="AI225" s="103"/>
      <c r="AJ225" s="62">
        <f t="shared" si="71"/>
        <v>-13.327868485959041</v>
      </c>
      <c r="AK225" s="62"/>
      <c r="AL225" s="62">
        <f t="shared" si="72"/>
        <v>-13.327868485959041</v>
      </c>
      <c r="AM225" s="62">
        <v>-18.93666</v>
      </c>
      <c r="AN225" s="154">
        <v>-9.9600000000000009</v>
      </c>
      <c r="AO225" s="410"/>
      <c r="AP225" s="410">
        <v>-0.23</v>
      </c>
      <c r="AQ225" s="56" t="s">
        <v>6311</v>
      </c>
      <c r="AR225" s="56" t="s">
        <v>6311</v>
      </c>
      <c r="AS225" s="155"/>
      <c r="AT225" s="58" t="s">
        <v>266</v>
      </c>
      <c r="AU225" s="56">
        <v>6</v>
      </c>
      <c r="AV225" s="56">
        <v>120</v>
      </c>
      <c r="AW225" s="56">
        <v>114</v>
      </c>
      <c r="AX225" s="56">
        <v>28</v>
      </c>
      <c r="AY225" s="56" t="s">
        <v>8728</v>
      </c>
      <c r="AZ225" s="56" t="s">
        <v>1563</v>
      </c>
      <c r="BA225" s="56">
        <v>32</v>
      </c>
      <c r="BB225" s="55" t="s">
        <v>2485</v>
      </c>
      <c r="BC225" s="55" t="s">
        <v>8726</v>
      </c>
      <c r="BD225" s="55" t="s">
        <v>8374</v>
      </c>
      <c r="BE225" s="56" t="s">
        <v>2449</v>
      </c>
      <c r="BF225" s="56" t="s">
        <v>272</v>
      </c>
      <c r="BG225" s="56" t="s">
        <v>272</v>
      </c>
      <c r="BH225" s="56" t="s">
        <v>2486</v>
      </c>
      <c r="BI225" s="153">
        <v>2.4820479999999997E-3</v>
      </c>
      <c r="BJ225" s="153">
        <v>24.82048</v>
      </c>
      <c r="BK225" s="56"/>
      <c r="BL225" s="153">
        <v>0.25397162750242946</v>
      </c>
      <c r="BM225" s="56" t="s">
        <v>2487</v>
      </c>
      <c r="BN225" s="56"/>
      <c r="BO225" s="56"/>
      <c r="BP225" s="56"/>
      <c r="BQ225" s="56"/>
      <c r="BR225" s="55">
        <v>0.19313435999999998</v>
      </c>
      <c r="BS225" s="56"/>
      <c r="BT225" s="56"/>
      <c r="BU225" s="158"/>
      <c r="BV225" s="56"/>
      <c r="BW225" s="56"/>
      <c r="BX225" s="56"/>
      <c r="BY225" s="56"/>
      <c r="BZ225" s="56"/>
      <c r="CA225" s="56"/>
      <c r="CB225" s="56"/>
      <c r="CC225" s="56"/>
      <c r="CD225" s="56"/>
      <c r="CE225" s="56"/>
      <c r="CF225" s="56"/>
      <c r="CG225" s="56"/>
      <c r="CH225" s="56"/>
      <c r="CI225" s="103">
        <v>0.19313435999999998</v>
      </c>
      <c r="CJ225" s="103">
        <f t="shared" si="75"/>
        <v>-0.71414045521634995</v>
      </c>
      <c r="CK225" s="57">
        <f t="shared" si="56"/>
        <v>1.0232341497925483E-2</v>
      </c>
      <c r="CL225" s="160">
        <f t="shared" si="68"/>
        <v>1.314999710576769</v>
      </c>
      <c r="CM225" s="160">
        <v>-2.2076083105017461</v>
      </c>
      <c r="CN225" s="160">
        <f t="shared" si="73"/>
        <v>4003.303225806455</v>
      </c>
      <c r="CO225" s="55" t="s">
        <v>2488</v>
      </c>
      <c r="CP225" s="497" t="s">
        <v>2489</v>
      </c>
      <c r="CQ225" s="149">
        <v>-2.0753517295826369</v>
      </c>
      <c r="CR225" s="349">
        <f t="shared" si="74"/>
        <v>22.97265943839464</v>
      </c>
      <c r="CS225" s="61" t="s">
        <v>539</v>
      </c>
      <c r="CT225" s="61"/>
      <c r="CU225" s="111">
        <f t="shared" si="69"/>
        <v>13.575963361284773</v>
      </c>
      <c r="CV225" s="331">
        <f t="shared" si="59"/>
        <v>0.10563796490499712</v>
      </c>
      <c r="CW225" s="326">
        <f t="shared" si="76"/>
        <v>1</v>
      </c>
      <c r="CX225" s="326"/>
      <c r="CY225" s="161" t="s">
        <v>5921</v>
      </c>
    </row>
    <row r="226" spans="1:103" ht="11.25" customHeight="1" x14ac:dyDescent="0.2">
      <c r="A226" s="72">
        <v>468</v>
      </c>
      <c r="B226" s="149">
        <v>1110</v>
      </c>
      <c r="C226" s="54" t="s">
        <v>3102</v>
      </c>
      <c r="D226" s="54" t="s">
        <v>6763</v>
      </c>
      <c r="E226" s="59"/>
      <c r="F226" s="59" t="s">
        <v>3103</v>
      </c>
      <c r="G226" s="151">
        <v>88857</v>
      </c>
      <c r="H226" s="55" t="s">
        <v>3104</v>
      </c>
      <c r="I226" s="55" t="s">
        <v>3104</v>
      </c>
      <c r="J226" s="55" t="s">
        <v>3105</v>
      </c>
      <c r="K226" s="55" t="s">
        <v>1693</v>
      </c>
      <c r="L226" s="55" t="s">
        <v>6119</v>
      </c>
      <c r="M226" s="55" t="s">
        <v>1694</v>
      </c>
      <c r="N226" s="60" t="s">
        <v>6381</v>
      </c>
      <c r="O226" s="55" t="s">
        <v>3106</v>
      </c>
      <c r="P226" s="67"/>
      <c r="Q226" s="67" t="s">
        <v>6173</v>
      </c>
      <c r="R226" s="67" t="s">
        <v>6180</v>
      </c>
      <c r="S226" s="67" t="s">
        <v>6176</v>
      </c>
      <c r="T226" s="56">
        <v>240.21</v>
      </c>
      <c r="U226" s="103">
        <v>52</v>
      </c>
      <c r="V226" s="103">
        <v>24.41</v>
      </c>
      <c r="W226" s="103">
        <v>77.73043233106597</v>
      </c>
      <c r="X226" s="103">
        <v>52</v>
      </c>
      <c r="Y226" s="162">
        <v>3.9</v>
      </c>
      <c r="Z226" s="56">
        <v>3.67</v>
      </c>
      <c r="AA226" s="56">
        <v>3.56</v>
      </c>
      <c r="AB226" s="56">
        <v>3.23</v>
      </c>
      <c r="AC226" s="56">
        <v>0.89729999999999999</v>
      </c>
      <c r="AD226" s="56">
        <v>3.32</v>
      </c>
      <c r="AE226" s="56">
        <v>3.61</v>
      </c>
      <c r="AF226" s="56">
        <f t="shared" si="70"/>
        <v>3.56</v>
      </c>
      <c r="AG226" s="57">
        <v>2.34</v>
      </c>
      <c r="AH226" s="103">
        <v>7.1299999999999997E-8</v>
      </c>
      <c r="AI226" s="103">
        <v>4.5600000000000001E-7</v>
      </c>
      <c r="AJ226" s="62">
        <f t="shared" si="71"/>
        <v>-5.5354767964607863</v>
      </c>
      <c r="AK226" s="62">
        <f>LOG10(AI226*1000/(0.08206*298.15))</f>
        <v>-4.7296014836482172</v>
      </c>
      <c r="AL226" s="62">
        <f t="shared" si="72"/>
        <v>-4.7296014836482172</v>
      </c>
      <c r="AM226" s="62">
        <v>-9.7318999999999996</v>
      </c>
      <c r="AN226" s="154">
        <v>-4.67</v>
      </c>
      <c r="AO226" s="410">
        <v>4.08</v>
      </c>
      <c r="AP226" s="410"/>
      <c r="AQ226" s="56" t="s">
        <v>6311</v>
      </c>
      <c r="AR226" s="56" t="s">
        <v>6311</v>
      </c>
      <c r="AS226" s="155"/>
      <c r="AT226" s="58" t="s">
        <v>266</v>
      </c>
      <c r="AU226" s="56">
        <v>6</v>
      </c>
      <c r="AV226" s="56">
        <v>120</v>
      </c>
      <c r="AW226" s="56">
        <v>114</v>
      </c>
      <c r="AX226" s="56">
        <v>28</v>
      </c>
      <c r="AY226" s="56" t="s">
        <v>8728</v>
      </c>
      <c r="AZ226" s="56" t="s">
        <v>1563</v>
      </c>
      <c r="BA226" s="56">
        <v>32</v>
      </c>
      <c r="BB226" s="55" t="s">
        <v>2485</v>
      </c>
      <c r="BC226" s="55" t="s">
        <v>8726</v>
      </c>
      <c r="BD226" s="55" t="s">
        <v>8374</v>
      </c>
      <c r="BE226" s="56" t="s">
        <v>2449</v>
      </c>
      <c r="BF226" s="56" t="s">
        <v>272</v>
      </c>
      <c r="BG226" s="56" t="s">
        <v>272</v>
      </c>
      <c r="BH226" s="56" t="s">
        <v>2486</v>
      </c>
      <c r="BI226" s="153">
        <v>1.537344E-3</v>
      </c>
      <c r="BJ226" s="153">
        <v>15.37344</v>
      </c>
      <c r="BK226" s="56"/>
      <c r="BL226" s="153">
        <v>6.2425795197761351</v>
      </c>
      <c r="BM226" s="56" t="s">
        <v>2487</v>
      </c>
      <c r="BN226" s="56"/>
      <c r="BO226" s="56"/>
      <c r="BP226" s="56"/>
      <c r="BQ226" s="56"/>
      <c r="BR226" s="55">
        <v>8.6956020000000009E-2</v>
      </c>
      <c r="BS226" s="56"/>
      <c r="BT226" s="56"/>
      <c r="BU226" s="158"/>
      <c r="BV226" s="56"/>
      <c r="BW226" s="56"/>
      <c r="BX226" s="56"/>
      <c r="BY226" s="56"/>
      <c r="BZ226" s="56"/>
      <c r="CA226" s="56"/>
      <c r="CB226" s="56"/>
      <c r="CC226" s="56"/>
      <c r="CD226" s="56"/>
      <c r="CE226" s="56"/>
      <c r="CF226" s="56"/>
      <c r="CG226" s="56"/>
      <c r="CH226" s="56"/>
      <c r="CI226" s="103">
        <v>8.6956020000000009E-2</v>
      </c>
      <c r="CJ226" s="103">
        <f t="shared" si="75"/>
        <v>-1.0607003462400018</v>
      </c>
      <c r="CK226" s="57">
        <f t="shared" si="56"/>
        <v>0.40606263268182885</v>
      </c>
      <c r="CL226" s="160">
        <f t="shared" si="68"/>
        <v>71.790078706179685</v>
      </c>
      <c r="CM226" s="160">
        <v>-0.7344240775993004</v>
      </c>
      <c r="CN226" s="160">
        <f t="shared" si="73"/>
        <v>83.405585383401302</v>
      </c>
      <c r="CO226" s="55" t="s">
        <v>2488</v>
      </c>
      <c r="CP226" s="497" t="s">
        <v>2489</v>
      </c>
      <c r="CQ226" s="149">
        <v>-0.73442407759929995</v>
      </c>
      <c r="CR226" s="349">
        <f t="shared" si="74"/>
        <v>0.47176284232486299</v>
      </c>
      <c r="CS226" s="61" t="s">
        <v>539</v>
      </c>
      <c r="CT226" s="61"/>
      <c r="CU226" s="111">
        <f t="shared" si="69"/>
        <v>598.00345047990925</v>
      </c>
      <c r="CV226" s="331">
        <f t="shared" si="59"/>
        <v>3.3824570167769865</v>
      </c>
      <c r="CW226" s="326">
        <f t="shared" si="76"/>
        <v>1</v>
      </c>
      <c r="CX226" s="326"/>
      <c r="CY226" s="161" t="s">
        <v>6351</v>
      </c>
    </row>
    <row r="227" spans="1:103" ht="11.25" customHeight="1" x14ac:dyDescent="0.2">
      <c r="A227" s="72">
        <v>478</v>
      </c>
      <c r="B227" s="149">
        <v>1268</v>
      </c>
      <c r="C227" s="54" t="s">
        <v>1874</v>
      </c>
      <c r="D227" s="54" t="s">
        <v>6770</v>
      </c>
      <c r="E227" s="59"/>
      <c r="F227" s="59" t="s">
        <v>1875</v>
      </c>
      <c r="G227" s="151">
        <v>83794</v>
      </c>
      <c r="H227" s="55" t="s">
        <v>1876</v>
      </c>
      <c r="I227" s="55" t="s">
        <v>1876</v>
      </c>
      <c r="J227" s="55" t="s">
        <v>1877</v>
      </c>
      <c r="K227" s="55" t="s">
        <v>1878</v>
      </c>
      <c r="L227" s="55" t="s">
        <v>617</v>
      </c>
      <c r="M227" s="55" t="s">
        <v>6099</v>
      </c>
      <c r="N227" s="60" t="s">
        <v>6381</v>
      </c>
      <c r="O227" s="55" t="s">
        <v>6100</v>
      </c>
      <c r="P227" s="67"/>
      <c r="Q227" s="67" t="s">
        <v>6176</v>
      </c>
      <c r="R227" s="67" t="s">
        <v>6185</v>
      </c>
      <c r="S227" s="67" t="s">
        <v>6176</v>
      </c>
      <c r="T227" s="56">
        <v>394.42</v>
      </c>
      <c r="U227" s="103">
        <v>0.19999999999999998</v>
      </c>
      <c r="V227" s="103">
        <v>1.0449999999999999</v>
      </c>
      <c r="W227" s="103">
        <v>0.27287197154984649</v>
      </c>
      <c r="X227" s="103">
        <v>0.19999999999999998</v>
      </c>
      <c r="Y227" s="162">
        <v>7</v>
      </c>
      <c r="Z227" s="56">
        <v>4.3099999999999996</v>
      </c>
      <c r="AA227" s="56">
        <v>4.0999999999999996</v>
      </c>
      <c r="AB227" s="56">
        <v>3.96</v>
      </c>
      <c r="AC227" s="56">
        <v>0.64770000000000005</v>
      </c>
      <c r="AD227" s="56">
        <v>4.24</v>
      </c>
      <c r="AE227" s="56">
        <v>4.6500000000000004</v>
      </c>
      <c r="AF227" s="56">
        <f t="shared" si="70"/>
        <v>4.0999999999999996</v>
      </c>
      <c r="AG227" s="57">
        <v>3.51</v>
      </c>
      <c r="AH227" s="103">
        <v>1.12E-13</v>
      </c>
      <c r="AI227" s="103"/>
      <c r="AJ227" s="62">
        <f t="shared" si="71"/>
        <v>-11.33934830364247</v>
      </c>
      <c r="AK227" s="62"/>
      <c r="AL227" s="62">
        <f t="shared" si="72"/>
        <v>-11.33934830364247</v>
      </c>
      <c r="AM227" s="62">
        <v>-18.712900000000001</v>
      </c>
      <c r="AN227" s="154">
        <v>-13</v>
      </c>
      <c r="AO227" s="410"/>
      <c r="AP227" s="410"/>
      <c r="AQ227" s="56" t="s">
        <v>6311</v>
      </c>
      <c r="AR227" s="56" t="s">
        <v>6311</v>
      </c>
      <c r="AS227" s="155"/>
      <c r="AT227" s="58" t="s">
        <v>266</v>
      </c>
      <c r="AU227" s="56">
        <v>6</v>
      </c>
      <c r="AV227" s="56">
        <v>120</v>
      </c>
      <c r="AW227" s="56">
        <v>114</v>
      </c>
      <c r="AX227" s="56">
        <v>28</v>
      </c>
      <c r="AY227" s="56" t="s">
        <v>8728</v>
      </c>
      <c r="AZ227" s="56" t="s">
        <v>1563</v>
      </c>
      <c r="BA227" s="56">
        <v>32</v>
      </c>
      <c r="BB227" s="55" t="s">
        <v>2485</v>
      </c>
      <c r="BC227" s="55" t="s">
        <v>8726</v>
      </c>
      <c r="BD227" s="55" t="s">
        <v>8374</v>
      </c>
      <c r="BE227" s="56" t="s">
        <v>2449</v>
      </c>
      <c r="BF227" s="56" t="s">
        <v>272</v>
      </c>
      <c r="BG227" s="56" t="s">
        <v>272</v>
      </c>
      <c r="BH227" s="56" t="s">
        <v>2486</v>
      </c>
      <c r="BI227" s="153">
        <v>2.524288E-3</v>
      </c>
      <c r="BJ227" s="153">
        <v>25.242880000000003</v>
      </c>
      <c r="BK227" s="56"/>
      <c r="BL227" s="153">
        <v>2.7286506021710006</v>
      </c>
      <c r="BM227" s="56" t="s">
        <v>2046</v>
      </c>
      <c r="BN227" s="56">
        <v>798.24995521725998</v>
      </c>
      <c r="BO227" s="56"/>
      <c r="BP227" s="56"/>
      <c r="BQ227" s="56"/>
      <c r="BR227" s="55">
        <v>9.3083120000000005E-2</v>
      </c>
      <c r="BS227" s="56"/>
      <c r="BT227" s="56"/>
      <c r="BU227" s="158"/>
      <c r="BV227" s="56"/>
      <c r="BW227" s="56"/>
      <c r="BX227" s="56"/>
      <c r="BY227" s="56"/>
      <c r="BZ227" s="56"/>
      <c r="CA227" s="56"/>
      <c r="CB227" s="56"/>
      <c r="CC227" s="56"/>
      <c r="CD227" s="56"/>
      <c r="CE227" s="56"/>
      <c r="CF227" s="56"/>
      <c r="CG227" s="56"/>
      <c r="CH227" s="56"/>
      <c r="CI227" s="103">
        <v>9.3083120000000005E-2</v>
      </c>
      <c r="CJ227" s="103">
        <f t="shared" si="75"/>
        <v>-1.0311290682723449</v>
      </c>
      <c r="CK227" s="57">
        <f t="shared" si="56"/>
        <v>0.10809585127255687</v>
      </c>
      <c r="CL227" s="160">
        <f t="shared" si="68"/>
        <v>29.31412915865949</v>
      </c>
      <c r="CM227" s="160">
        <v>-2.0084096709868953</v>
      </c>
      <c r="CN227" s="160">
        <f t="shared" si="73"/>
        <v>2573.6445979769087</v>
      </c>
      <c r="CO227" s="55" t="s">
        <v>2488</v>
      </c>
      <c r="CP227" s="497" t="s">
        <v>2489</v>
      </c>
      <c r="CQ227" s="149">
        <v>-1.6099760319324279</v>
      </c>
      <c r="CR227" s="349">
        <f t="shared" si="74"/>
        <v>3.7918134581184635</v>
      </c>
      <c r="CS227" s="61" t="s">
        <v>539</v>
      </c>
      <c r="CT227" s="61"/>
      <c r="CU227" s="111">
        <f t="shared" si="69"/>
        <v>2.1486172788363773</v>
      </c>
      <c r="CV227" s="331">
        <f t="shared" si="59"/>
        <v>7.9230262157091412E-3</v>
      </c>
      <c r="CW227" s="326">
        <f t="shared" si="76"/>
        <v>1</v>
      </c>
      <c r="CX227" s="326"/>
      <c r="CY227" s="161" t="s">
        <v>5921</v>
      </c>
    </row>
    <row r="228" spans="1:103" ht="11.25" customHeight="1" x14ac:dyDescent="0.2">
      <c r="A228" s="72">
        <v>489</v>
      </c>
      <c r="B228" s="149">
        <v>1240</v>
      </c>
      <c r="C228" s="54" t="s">
        <v>3413</v>
      </c>
      <c r="D228" s="54" t="s">
        <v>6777</v>
      </c>
      <c r="E228" s="59"/>
      <c r="F228" s="59" t="s">
        <v>3414</v>
      </c>
      <c r="G228" s="151">
        <v>62384</v>
      </c>
      <c r="H228" s="55" t="s">
        <v>3415</v>
      </c>
      <c r="I228" s="55" t="s">
        <v>3415</v>
      </c>
      <c r="J228" s="55" t="s">
        <v>3416</v>
      </c>
      <c r="K228" s="55" t="s">
        <v>6387</v>
      </c>
      <c r="L228" s="55" t="s">
        <v>6136</v>
      </c>
      <c r="M228" s="55" t="s">
        <v>5960</v>
      </c>
      <c r="N228" s="60" t="s">
        <v>2342</v>
      </c>
      <c r="O228" s="55"/>
      <c r="P228" s="67"/>
      <c r="Q228" s="67"/>
      <c r="R228" s="67"/>
      <c r="S228" s="67"/>
      <c r="T228" s="56">
        <v>336.74</v>
      </c>
      <c r="U228" s="103">
        <v>4370</v>
      </c>
      <c r="V228" s="103">
        <v>1843.0000000000002</v>
      </c>
      <c r="W228" s="103"/>
      <c r="X228" s="103">
        <v>4370</v>
      </c>
      <c r="Y228" s="162"/>
      <c r="Z228" s="56">
        <v>0.89</v>
      </c>
      <c r="AA228" s="56">
        <v>0.71</v>
      </c>
      <c r="AB228" s="56"/>
      <c r="AC228" s="56"/>
      <c r="AD228" s="56"/>
      <c r="AE228" s="56"/>
      <c r="AF228" s="56">
        <f t="shared" si="70"/>
        <v>0.71</v>
      </c>
      <c r="AG228" s="57" t="s">
        <v>5921</v>
      </c>
      <c r="AH228" s="103">
        <v>5.8700000000000004E-10</v>
      </c>
      <c r="AI228" s="103">
        <v>5.6600000000000001E-10</v>
      </c>
      <c r="AJ228" s="62">
        <f t="shared" si="71"/>
        <v>-7.6199282250650375</v>
      </c>
      <c r="AK228" s="62">
        <f t="shared" ref="AK228:AK243" si="77">LOG10(AI228*1000/(0.08206*298.15))</f>
        <v>-7.6357498951243805</v>
      </c>
      <c r="AL228" s="62">
        <f t="shared" si="72"/>
        <v>-7.6357498951243805</v>
      </c>
      <c r="AM228" s="62"/>
      <c r="AN228" s="154"/>
      <c r="AO228" s="410"/>
      <c r="AP228" s="410"/>
      <c r="AQ228" s="56" t="s">
        <v>6311</v>
      </c>
      <c r="AR228" s="56" t="s">
        <v>6311</v>
      </c>
      <c r="AS228" s="155"/>
      <c r="AT228" s="58" t="s">
        <v>266</v>
      </c>
      <c r="AU228" s="56">
        <v>6</v>
      </c>
      <c r="AV228" s="56">
        <v>120</v>
      </c>
      <c r="AW228" s="56">
        <v>114</v>
      </c>
      <c r="AX228" s="56">
        <v>28</v>
      </c>
      <c r="AY228" s="56" t="s">
        <v>8728</v>
      </c>
      <c r="AZ228" s="56" t="s">
        <v>1563</v>
      </c>
      <c r="BA228" s="56">
        <v>32</v>
      </c>
      <c r="BB228" s="55" t="s">
        <v>2485</v>
      </c>
      <c r="BC228" s="55" t="s">
        <v>8726</v>
      </c>
      <c r="BD228" s="55" t="s">
        <v>8374</v>
      </c>
      <c r="BE228" s="56" t="s">
        <v>2449</v>
      </c>
      <c r="BF228" s="56" t="s">
        <v>272</v>
      </c>
      <c r="BG228" s="56" t="s">
        <v>272</v>
      </c>
      <c r="BH228" s="56" t="s">
        <v>2486</v>
      </c>
      <c r="BI228" s="153">
        <v>2.1551359999999998E-3</v>
      </c>
      <c r="BJ228" s="153">
        <v>21.551360000000003</v>
      </c>
      <c r="BK228" s="56"/>
      <c r="BL228" s="153">
        <v>2746.5386035515758</v>
      </c>
      <c r="BM228" s="56" t="s">
        <v>2046</v>
      </c>
      <c r="BN228" s="56">
        <v>68.151384189799998</v>
      </c>
      <c r="BO228" s="56"/>
      <c r="BP228" s="56"/>
      <c r="BQ228" s="56"/>
      <c r="BR228" s="65">
        <v>3.8051620000000001E-2</v>
      </c>
      <c r="BS228" s="56"/>
      <c r="BT228" s="56"/>
      <c r="BU228" s="158"/>
      <c r="BV228" s="56"/>
      <c r="BW228" s="56"/>
      <c r="BX228" s="56"/>
      <c r="BY228" s="56"/>
      <c r="BZ228" s="56"/>
      <c r="CA228" s="56"/>
      <c r="CB228" s="56"/>
      <c r="CC228" s="56"/>
      <c r="CD228" s="56"/>
      <c r="CE228" s="56"/>
      <c r="CF228" s="56"/>
      <c r="CG228" s="56"/>
      <c r="CH228" s="56"/>
      <c r="CI228" s="103">
        <v>3.8051620000000001E-2</v>
      </c>
      <c r="CJ228" s="103">
        <f t="shared" si="75"/>
        <v>-1.4196268489569053</v>
      </c>
      <c r="CK228" s="57">
        <f t="shared" ref="CK228:CK291" si="78">BL228/BJ228</f>
        <v>127.44154445712824</v>
      </c>
      <c r="CL228" s="160">
        <f t="shared" si="68"/>
        <v>72179.281816426621</v>
      </c>
      <c r="CM228" s="160">
        <v>-2.0655015487564325</v>
      </c>
      <c r="CN228" s="160">
        <f t="shared" si="73"/>
        <v>2505.9720930232593</v>
      </c>
      <c r="CO228" s="55" t="s">
        <v>2488</v>
      </c>
      <c r="CP228" s="497" t="s">
        <v>2489</v>
      </c>
      <c r="CQ228" s="149">
        <v>-2.0655015487564321</v>
      </c>
      <c r="CR228" s="349">
        <f t="shared" si="74"/>
        <v>4.4246069767441858</v>
      </c>
      <c r="CS228" s="61" t="s">
        <v>539</v>
      </c>
      <c r="CT228" s="61"/>
      <c r="CU228" s="111">
        <f t="shared" si="69"/>
        <v>114843.99350145934</v>
      </c>
      <c r="CV228" s="331">
        <f t="shared" ref="CV228:CV291" si="79">X228/BJ228</f>
        <v>202.77142602601413</v>
      </c>
      <c r="CW228" s="326">
        <f t="shared" si="76"/>
        <v>1</v>
      </c>
      <c r="CX228" s="326"/>
      <c r="CY228" s="161" t="s">
        <v>5921</v>
      </c>
    </row>
    <row r="229" spans="1:103" ht="11.25" customHeight="1" x14ac:dyDescent="0.2">
      <c r="A229" s="72">
        <v>490</v>
      </c>
      <c r="B229" s="149">
        <v>1334</v>
      </c>
      <c r="C229" s="54" t="s">
        <v>6144</v>
      </c>
      <c r="D229" s="54" t="s">
        <v>6773</v>
      </c>
      <c r="E229" s="59"/>
      <c r="F229" s="59" t="s">
        <v>1185</v>
      </c>
      <c r="G229" s="151">
        <v>76879</v>
      </c>
      <c r="H229" s="169" t="s">
        <v>1186</v>
      </c>
      <c r="I229" s="169" t="s">
        <v>1186</v>
      </c>
      <c r="J229" s="169" t="s">
        <v>1187</v>
      </c>
      <c r="K229" s="169" t="s">
        <v>403</v>
      </c>
      <c r="L229" s="55" t="s">
        <v>5929</v>
      </c>
      <c r="M229" s="168" t="s">
        <v>6079</v>
      </c>
      <c r="N229" s="60" t="s">
        <v>6381</v>
      </c>
      <c r="O229" s="65" t="s">
        <v>6083</v>
      </c>
      <c r="P229" s="67"/>
      <c r="Q229" s="67"/>
      <c r="R229" s="67"/>
      <c r="S229" s="67"/>
      <c r="T229" s="170">
        <v>367.01</v>
      </c>
      <c r="U229" s="407">
        <v>0.3999782034166145</v>
      </c>
      <c r="V229" s="103">
        <v>4.7207427458245919</v>
      </c>
      <c r="W229" s="103">
        <v>8.6035541751056446</v>
      </c>
      <c r="X229" s="407">
        <v>0.3999782034166145</v>
      </c>
      <c r="Y229" s="162">
        <v>4.71</v>
      </c>
      <c r="Z229" s="56">
        <v>3.47</v>
      </c>
      <c r="AA229" s="56">
        <v>3.53</v>
      </c>
      <c r="AB229" s="56">
        <v>2.85</v>
      </c>
      <c r="AC229" s="56">
        <v>0.71630000000000005</v>
      </c>
      <c r="AD229" s="56">
        <v>3.09</v>
      </c>
      <c r="AE229" s="56">
        <v>3.53</v>
      </c>
      <c r="AF229" s="56">
        <f t="shared" si="70"/>
        <v>3.53</v>
      </c>
      <c r="AG229" s="56">
        <v>3.09</v>
      </c>
      <c r="AH229" s="103">
        <v>4.5900000000000001E-8</v>
      </c>
      <c r="AI229" s="103">
        <v>4.2599999999999998E-7</v>
      </c>
      <c r="AJ229" s="62">
        <f t="shared" si="71"/>
        <v>-5.7267536407753905</v>
      </c>
      <c r="AK229" s="62">
        <f t="shared" si="77"/>
        <v>-4.7591567272099331</v>
      </c>
      <c r="AL229" s="62">
        <f t="shared" si="72"/>
        <v>-4.7591567272099331</v>
      </c>
      <c r="AM229" s="62">
        <v>-11.08738</v>
      </c>
      <c r="AN229" s="56">
        <v>-9.75</v>
      </c>
      <c r="AO229" s="410">
        <v>3.98</v>
      </c>
      <c r="AP229" s="410"/>
      <c r="AQ229" s="56" t="s">
        <v>6311</v>
      </c>
      <c r="AR229" s="56" t="s">
        <v>6311</v>
      </c>
      <c r="AS229" s="155"/>
      <c r="AT229" s="58" t="s">
        <v>266</v>
      </c>
      <c r="AU229" s="56">
        <v>6</v>
      </c>
      <c r="AV229" s="56">
        <v>120</v>
      </c>
      <c r="AW229" s="56">
        <v>114</v>
      </c>
      <c r="AX229" s="56">
        <v>28</v>
      </c>
      <c r="AY229" s="56" t="s">
        <v>8728</v>
      </c>
      <c r="AZ229" s="56" t="s">
        <v>1563</v>
      </c>
      <c r="BA229" s="56">
        <v>32</v>
      </c>
      <c r="BB229" s="55" t="s">
        <v>2485</v>
      </c>
      <c r="BC229" s="55" t="s">
        <v>8726</v>
      </c>
      <c r="BD229" s="55" t="s">
        <v>8374</v>
      </c>
      <c r="BE229" s="56" t="s">
        <v>2449</v>
      </c>
      <c r="BF229" s="56" t="s">
        <v>272</v>
      </c>
      <c r="BG229" s="56" t="s">
        <v>272</v>
      </c>
      <c r="BH229" s="56" t="s">
        <v>2486</v>
      </c>
      <c r="BI229" s="153">
        <v>2.348864E-3</v>
      </c>
      <c r="BJ229" s="153">
        <v>23.48864</v>
      </c>
      <c r="BK229" s="56"/>
      <c r="BL229" s="153">
        <v>14.423507932633294</v>
      </c>
      <c r="BM229" s="56" t="s">
        <v>2046</v>
      </c>
      <c r="BN229" s="56"/>
      <c r="BO229" s="56"/>
      <c r="BP229" s="56"/>
      <c r="BQ229" s="56"/>
      <c r="BR229" s="65">
        <v>4.1105119999999995E-2</v>
      </c>
      <c r="BS229" s="56"/>
      <c r="BT229" s="56"/>
      <c r="BU229" s="158"/>
      <c r="BV229" s="56"/>
      <c r="BW229" s="56"/>
      <c r="BX229" s="56"/>
      <c r="BY229" s="56"/>
      <c r="BZ229" s="56"/>
      <c r="CA229" s="56"/>
      <c r="CB229" s="56"/>
      <c r="CC229" s="56"/>
      <c r="CD229" s="56"/>
      <c r="CE229" s="56"/>
      <c r="CF229" s="56"/>
      <c r="CG229" s="56"/>
      <c r="CH229" s="56"/>
      <c r="CI229" s="103">
        <v>4.1105119999999995E-2</v>
      </c>
      <c r="CJ229" s="103">
        <f t="shared" si="75"/>
        <v>-1.3861040796018382</v>
      </c>
      <c r="CK229" s="57">
        <f t="shared" si="78"/>
        <v>0.61406313573852267</v>
      </c>
      <c r="CL229" s="160">
        <f t="shared" si="68"/>
        <v>350.89322042201303</v>
      </c>
      <c r="CM229" s="160">
        <v>-1.7733963519469045</v>
      </c>
      <c r="CN229" s="160">
        <f t="shared" si="73"/>
        <v>1393.9725561178898</v>
      </c>
      <c r="CO229" s="55" t="s">
        <v>2488</v>
      </c>
      <c r="CP229" s="497" t="s">
        <v>2489</v>
      </c>
      <c r="CQ229" s="149">
        <v>-1.6417859970347155</v>
      </c>
      <c r="CR229" s="349">
        <f t="shared" si="74"/>
        <v>1.8016976721862945</v>
      </c>
      <c r="CS229" s="61" t="s">
        <v>539</v>
      </c>
      <c r="CT229" s="61"/>
      <c r="CU229" s="111">
        <f t="shared" si="69"/>
        <v>9.73061758283675</v>
      </c>
      <c r="CV229" s="331">
        <f t="shared" si="79"/>
        <v>1.7028580769964309E-2</v>
      </c>
      <c r="CW229" s="326">
        <f t="shared" si="76"/>
        <v>1</v>
      </c>
      <c r="CX229" s="326"/>
      <c r="CY229" s="161" t="s">
        <v>5921</v>
      </c>
    </row>
    <row r="230" spans="1:103" ht="11.25" customHeight="1" x14ac:dyDescent="0.2">
      <c r="A230" s="72">
        <v>510</v>
      </c>
      <c r="B230" s="183">
        <v>1673</v>
      </c>
      <c r="C230" s="133" t="s">
        <v>4886</v>
      </c>
      <c r="D230" s="133" t="s">
        <v>6793</v>
      </c>
      <c r="E230" s="134"/>
      <c r="F230" s="134" t="s">
        <v>4887</v>
      </c>
      <c r="G230" s="184">
        <v>206440</v>
      </c>
      <c r="H230" s="138" t="s">
        <v>4888</v>
      </c>
      <c r="I230" s="138" t="s">
        <v>4888</v>
      </c>
      <c r="J230" s="138" t="s">
        <v>4889</v>
      </c>
      <c r="K230" s="138" t="s">
        <v>426</v>
      </c>
      <c r="L230" s="138" t="s">
        <v>6124</v>
      </c>
      <c r="M230" s="138" t="s">
        <v>6082</v>
      </c>
      <c r="N230" s="138" t="s">
        <v>6082</v>
      </c>
      <c r="O230" s="138" t="s">
        <v>6083</v>
      </c>
      <c r="P230" s="138"/>
      <c r="Q230" s="138"/>
      <c r="R230" s="138"/>
      <c r="S230" s="138"/>
      <c r="T230" s="135">
        <v>202.25</v>
      </c>
      <c r="U230" s="185">
        <v>0.26</v>
      </c>
      <c r="V230" s="185">
        <v>0.12970000000000001</v>
      </c>
      <c r="W230" s="185">
        <v>0.12761112292111895</v>
      </c>
      <c r="X230" s="185">
        <v>0.26</v>
      </c>
      <c r="Y230" s="204">
        <v>7</v>
      </c>
      <c r="Z230" s="135">
        <v>4.93</v>
      </c>
      <c r="AA230" s="135">
        <v>5.16</v>
      </c>
      <c r="AB230" s="135">
        <v>5.0999999999999996</v>
      </c>
      <c r="AC230" s="135">
        <v>0.81679999999999997</v>
      </c>
      <c r="AD230" s="135">
        <v>5.12</v>
      </c>
      <c r="AE230" s="135">
        <v>5.17</v>
      </c>
      <c r="AF230" s="135">
        <f t="shared" si="70"/>
        <v>5.16</v>
      </c>
      <c r="AG230" s="136">
        <v>4.54</v>
      </c>
      <c r="AH230" s="185">
        <v>8.3000000000000002E-6</v>
      </c>
      <c r="AI230" s="185">
        <v>8.8599999999999999E-6</v>
      </c>
      <c r="AJ230" s="136">
        <f t="shared" si="71"/>
        <v>-3.4694882339365778</v>
      </c>
      <c r="AK230" s="136">
        <f t="shared" si="77"/>
        <v>-3.4411326044256012</v>
      </c>
      <c r="AL230" s="136">
        <f t="shared" si="72"/>
        <v>-3.4411326044256012</v>
      </c>
      <c r="AM230" s="136">
        <v>-8.1794899999999995</v>
      </c>
      <c r="AN230" s="186">
        <v>-3.35</v>
      </c>
      <c r="AO230" s="481"/>
      <c r="AP230" s="481"/>
      <c r="AQ230" s="186" t="s">
        <v>6311</v>
      </c>
      <c r="AR230" s="186" t="s">
        <v>6311</v>
      </c>
      <c r="AS230" s="183"/>
      <c r="AT230" s="137" t="s">
        <v>266</v>
      </c>
      <c r="AU230" s="135">
        <v>6</v>
      </c>
      <c r="AV230" s="135">
        <v>120</v>
      </c>
      <c r="AW230" s="135">
        <v>114</v>
      </c>
      <c r="AX230" s="135">
        <v>28</v>
      </c>
      <c r="AY230" s="135" t="s">
        <v>8728</v>
      </c>
      <c r="AZ230" s="135" t="s">
        <v>1563</v>
      </c>
      <c r="BA230" s="135">
        <v>32</v>
      </c>
      <c r="BB230" s="138" t="s">
        <v>2485</v>
      </c>
      <c r="BC230" s="458" t="s">
        <v>8726</v>
      </c>
      <c r="BD230" s="138" t="s">
        <v>8374</v>
      </c>
      <c r="BE230" s="135" t="s">
        <v>2449</v>
      </c>
      <c r="BF230" s="135" t="s">
        <v>272</v>
      </c>
      <c r="BG230" s="135" t="s">
        <v>272</v>
      </c>
      <c r="BH230" s="135" t="s">
        <v>2486</v>
      </c>
      <c r="BI230" s="185">
        <v>1.2944E-3</v>
      </c>
      <c r="BJ230" s="185">
        <v>12.944000000000001</v>
      </c>
      <c r="BK230" s="135"/>
      <c r="BL230" s="485">
        <v>0.38819999931348198</v>
      </c>
      <c r="BM230" s="138" t="s">
        <v>2487</v>
      </c>
      <c r="BN230" s="135"/>
      <c r="BO230" s="135"/>
      <c r="BP230" s="135"/>
      <c r="BQ230" s="135"/>
      <c r="BR230" s="138" t="e">
        <v>#VALUE!</v>
      </c>
      <c r="BS230" s="135"/>
      <c r="BT230" s="135"/>
      <c r="BU230" s="135"/>
      <c r="BV230" s="135"/>
      <c r="BW230" s="135"/>
      <c r="BX230" s="135"/>
      <c r="BY230" s="135"/>
      <c r="BZ230" s="135"/>
      <c r="CA230" s="135"/>
      <c r="CB230" s="135"/>
      <c r="CC230" s="135"/>
      <c r="CD230" s="135"/>
      <c r="CE230" s="135"/>
      <c r="CF230" s="135"/>
      <c r="CG230" s="135"/>
      <c r="CH230" s="135"/>
      <c r="CI230" s="185"/>
      <c r="CJ230" s="187"/>
      <c r="CK230" s="136">
        <f t="shared" si="78"/>
        <v>2.9990729242388901E-2</v>
      </c>
      <c r="CL230" s="188"/>
      <c r="CM230" s="188"/>
      <c r="CN230" s="188"/>
      <c r="CO230" s="138" t="s">
        <v>2488</v>
      </c>
      <c r="CP230" s="189" t="s">
        <v>2489</v>
      </c>
      <c r="CQ230" s="183">
        <v>-0.54151454561091072</v>
      </c>
      <c r="CR230" s="191">
        <f t="shared" si="74"/>
        <v>3.4794816111011135</v>
      </c>
      <c r="CS230" s="135" t="s">
        <v>539</v>
      </c>
      <c r="CT230" s="135"/>
      <c r="CU230" s="135"/>
      <c r="CV230" s="332">
        <f t="shared" si="79"/>
        <v>2.0086526576019777E-2</v>
      </c>
      <c r="CW230" s="329">
        <f t="shared" ref="CW230:CW261" si="80">IF(CV230&lt;1,0,1)</f>
        <v>0</v>
      </c>
      <c r="CX230" s="329"/>
      <c r="CY230" s="189" t="s">
        <v>5921</v>
      </c>
    </row>
    <row r="231" spans="1:103" ht="11.25" customHeight="1" x14ac:dyDescent="0.2">
      <c r="A231" s="72">
        <v>511</v>
      </c>
      <c r="B231" s="183">
        <v>1517</v>
      </c>
      <c r="C231" s="133" t="s">
        <v>6794</v>
      </c>
      <c r="D231" s="133"/>
      <c r="E231" s="134"/>
      <c r="F231" s="134" t="s">
        <v>4605</v>
      </c>
      <c r="G231" s="184">
        <v>56553</v>
      </c>
      <c r="H231" s="138" t="s">
        <v>4606</v>
      </c>
      <c r="I231" s="138" t="s">
        <v>4606</v>
      </c>
      <c r="J231" s="138" t="s">
        <v>4607</v>
      </c>
      <c r="K231" s="138" t="s">
        <v>426</v>
      </c>
      <c r="L231" s="138"/>
      <c r="M231" s="138"/>
      <c r="N231" s="138"/>
      <c r="O231" s="138"/>
      <c r="P231" s="138"/>
      <c r="Q231" s="138"/>
      <c r="R231" s="138"/>
      <c r="S231" s="138"/>
      <c r="T231" s="135">
        <v>228.29</v>
      </c>
      <c r="U231" s="185">
        <v>9.4000000000000004E-3</v>
      </c>
      <c r="V231" s="185">
        <v>2.9069999999999999E-2</v>
      </c>
      <c r="W231" s="185">
        <v>1.4739640394632115E-2</v>
      </c>
      <c r="X231" s="185">
        <v>9.4000000000000004E-3</v>
      </c>
      <c r="Y231" s="204">
        <v>7</v>
      </c>
      <c r="Z231" s="135">
        <v>5.52</v>
      </c>
      <c r="AA231" s="135">
        <v>5.76</v>
      </c>
      <c r="AB231" s="135">
        <v>5.82</v>
      </c>
      <c r="AC231" s="135">
        <v>0.83289999999999997</v>
      </c>
      <c r="AD231" s="135">
        <v>5.85</v>
      </c>
      <c r="AE231" s="135">
        <v>5.91</v>
      </c>
      <c r="AF231" s="135">
        <f t="shared" si="70"/>
        <v>5.76</v>
      </c>
      <c r="AG231" s="136">
        <v>5.24</v>
      </c>
      <c r="AH231" s="185">
        <v>5.0100000000000003E-6</v>
      </c>
      <c r="AI231" s="185">
        <v>1.2E-5</v>
      </c>
      <c r="AJ231" s="136">
        <f t="shared" si="71"/>
        <v>-3.6887286004454061</v>
      </c>
      <c r="AK231" s="136">
        <f t="shared" si="77"/>
        <v>-3.3093850802650269</v>
      </c>
      <c r="AL231" s="136">
        <f t="shared" si="72"/>
        <v>-3.3093850802650269</v>
      </c>
      <c r="AM231" s="136">
        <v>-9.0531000000000006</v>
      </c>
      <c r="AN231" s="186">
        <v>-4.07</v>
      </c>
      <c r="AO231" s="481"/>
      <c r="AP231" s="481"/>
      <c r="AQ231" s="135" t="s">
        <v>6311</v>
      </c>
      <c r="AR231" s="135" t="s">
        <v>6311</v>
      </c>
      <c r="AS231" s="190"/>
      <c r="AT231" s="137" t="s">
        <v>266</v>
      </c>
      <c r="AU231" s="135">
        <v>6</v>
      </c>
      <c r="AV231" s="135">
        <v>120</v>
      </c>
      <c r="AW231" s="135">
        <v>114</v>
      </c>
      <c r="AX231" s="135">
        <v>28</v>
      </c>
      <c r="AY231" s="135" t="s">
        <v>8728</v>
      </c>
      <c r="AZ231" s="135" t="s">
        <v>1563</v>
      </c>
      <c r="BA231" s="135">
        <v>32</v>
      </c>
      <c r="BB231" s="138" t="s">
        <v>2485</v>
      </c>
      <c r="BC231" s="458" t="s">
        <v>8726</v>
      </c>
      <c r="BD231" s="138" t="s">
        <v>8374</v>
      </c>
      <c r="BE231" s="135" t="s">
        <v>2449</v>
      </c>
      <c r="BF231" s="135" t="s">
        <v>272</v>
      </c>
      <c r="BG231" s="135" t="s">
        <v>272</v>
      </c>
      <c r="BH231" s="135" t="s">
        <v>2486</v>
      </c>
      <c r="BI231" s="185">
        <v>1.4610559999999999E-3</v>
      </c>
      <c r="BJ231" s="185">
        <v>14.61056</v>
      </c>
      <c r="BK231" s="135"/>
      <c r="BL231" s="485">
        <v>0.12935251827068561</v>
      </c>
      <c r="BM231" s="138" t="s">
        <v>2487</v>
      </c>
      <c r="BN231" s="135"/>
      <c r="BO231" s="135"/>
      <c r="BP231" s="135"/>
      <c r="BQ231" s="135"/>
      <c r="BR231" s="138" t="e">
        <v>#VALUE!</v>
      </c>
      <c r="BS231" s="135"/>
      <c r="BT231" s="135"/>
      <c r="BU231" s="135"/>
      <c r="BV231" s="135"/>
      <c r="BW231" s="135"/>
      <c r="BX231" s="135"/>
      <c r="BY231" s="135"/>
      <c r="BZ231" s="135"/>
      <c r="CA231" s="135"/>
      <c r="CB231" s="135"/>
      <c r="CC231" s="135"/>
      <c r="CD231" s="135"/>
      <c r="CE231" s="135"/>
      <c r="CF231" s="135"/>
      <c r="CG231" s="135"/>
      <c r="CH231" s="135"/>
      <c r="CI231" s="185"/>
      <c r="CJ231" s="187"/>
      <c r="CK231" s="136">
        <f t="shared" si="78"/>
        <v>8.8533580006985094E-3</v>
      </c>
      <c r="CL231" s="188"/>
      <c r="CM231" s="188"/>
      <c r="CN231" s="188"/>
      <c r="CO231" s="138" t="s">
        <v>2488</v>
      </c>
      <c r="CP231" s="189" t="s">
        <v>2489</v>
      </c>
      <c r="CQ231" s="191" t="s">
        <v>272</v>
      </c>
      <c r="CR231" s="191"/>
      <c r="CS231" s="135" t="s">
        <v>539</v>
      </c>
      <c r="CT231" s="135"/>
      <c r="CU231" s="135"/>
      <c r="CV231" s="332">
        <f t="shared" si="79"/>
        <v>6.4337027465066364E-4</v>
      </c>
      <c r="CW231" s="329">
        <f t="shared" si="80"/>
        <v>0</v>
      </c>
      <c r="CX231" s="329"/>
      <c r="CY231" s="189" t="s">
        <v>5921</v>
      </c>
    </row>
    <row r="232" spans="1:103" ht="11.25" customHeight="1" x14ac:dyDescent="0.2">
      <c r="A232" s="72">
        <v>512</v>
      </c>
      <c r="B232" s="183">
        <v>1744</v>
      </c>
      <c r="C232" s="133" t="s">
        <v>5030</v>
      </c>
      <c r="D232" s="133" t="s">
        <v>6795</v>
      </c>
      <c r="E232" s="134"/>
      <c r="F232" s="134" t="s">
        <v>5031</v>
      </c>
      <c r="G232" s="184">
        <v>2385855</v>
      </c>
      <c r="H232" s="138" t="s">
        <v>5032</v>
      </c>
      <c r="I232" s="138" t="s">
        <v>7916</v>
      </c>
      <c r="J232" s="138" t="s">
        <v>5033</v>
      </c>
      <c r="K232" s="138" t="s">
        <v>426</v>
      </c>
      <c r="L232" s="138" t="s">
        <v>617</v>
      </c>
      <c r="M232" s="197" t="s">
        <v>6080</v>
      </c>
      <c r="N232" s="138" t="s">
        <v>6376</v>
      </c>
      <c r="O232" s="138" t="s">
        <v>6083</v>
      </c>
      <c r="P232" s="138"/>
      <c r="Q232" s="138"/>
      <c r="R232" s="138"/>
      <c r="S232" s="138"/>
      <c r="T232" s="135">
        <v>545.54</v>
      </c>
      <c r="U232" s="185">
        <v>8.5000000000000006E-2</v>
      </c>
      <c r="V232" s="185">
        <v>4.7550000000000001E-4</v>
      </c>
      <c r="W232" s="185">
        <v>3.0677968654434212E-3</v>
      </c>
      <c r="X232" s="185">
        <v>8.5000000000000006E-2</v>
      </c>
      <c r="Y232" s="204">
        <v>7</v>
      </c>
      <c r="Z232" s="135">
        <v>7.01</v>
      </c>
      <c r="AA232" s="135">
        <v>6.89</v>
      </c>
      <c r="AB232" s="135">
        <v>6.62</v>
      </c>
      <c r="AC232" s="135">
        <v>0.62390000000000001</v>
      </c>
      <c r="AD232" s="135">
        <v>6.91</v>
      </c>
      <c r="AE232" s="135">
        <v>7.42</v>
      </c>
      <c r="AF232" s="135">
        <f t="shared" si="70"/>
        <v>6.89</v>
      </c>
      <c r="AG232" s="136">
        <v>6.28</v>
      </c>
      <c r="AH232" s="185">
        <v>1.28E-6</v>
      </c>
      <c r="AI232" s="185">
        <v>8.1099999999999998E-4</v>
      </c>
      <c r="AJ232" s="136">
        <f t="shared" si="71"/>
        <v>-4.2813563566647836</v>
      </c>
      <c r="AK232" s="136">
        <f t="shared" si="77"/>
        <v>-1.4795454721014958</v>
      </c>
      <c r="AL232" s="136">
        <f t="shared" si="72"/>
        <v>-1.4795454721014958</v>
      </c>
      <c r="AM232" s="136">
        <v>-11.191249999999998</v>
      </c>
      <c r="AN232" s="186">
        <v>-1.1399999999999999</v>
      </c>
      <c r="AO232" s="481"/>
      <c r="AP232" s="481"/>
      <c r="AQ232" s="186" t="s">
        <v>6311</v>
      </c>
      <c r="AR232" s="186" t="s">
        <v>6311</v>
      </c>
      <c r="AS232" s="183"/>
      <c r="AT232" s="137" t="s">
        <v>266</v>
      </c>
      <c r="AU232" s="135">
        <v>6</v>
      </c>
      <c r="AV232" s="135">
        <v>120</v>
      </c>
      <c r="AW232" s="135">
        <v>114</v>
      </c>
      <c r="AX232" s="135">
        <v>28</v>
      </c>
      <c r="AY232" s="135" t="s">
        <v>8728</v>
      </c>
      <c r="AZ232" s="135" t="s">
        <v>1563</v>
      </c>
      <c r="BA232" s="135">
        <v>32</v>
      </c>
      <c r="BB232" s="138" t="s">
        <v>2485</v>
      </c>
      <c r="BC232" s="458" t="s">
        <v>8726</v>
      </c>
      <c r="BD232" s="138" t="s">
        <v>8374</v>
      </c>
      <c r="BE232" s="135" t="s">
        <v>2449</v>
      </c>
      <c r="BF232" s="135" t="s">
        <v>272</v>
      </c>
      <c r="BG232" s="135" t="s">
        <v>272</v>
      </c>
      <c r="BH232" s="135" t="s">
        <v>2486</v>
      </c>
      <c r="BI232" s="185">
        <v>3.4914559999999996E-3</v>
      </c>
      <c r="BJ232" s="185">
        <v>34.914560000000002</v>
      </c>
      <c r="BK232" s="135"/>
      <c r="BL232" s="485">
        <v>1.4188797787090092E-2</v>
      </c>
      <c r="BM232" s="138" t="s">
        <v>2487</v>
      </c>
      <c r="BN232" s="135"/>
      <c r="BO232" s="135"/>
      <c r="BP232" s="135"/>
      <c r="BQ232" s="135"/>
      <c r="BR232" s="138" t="e">
        <v>#VALUE!</v>
      </c>
      <c r="BS232" s="135"/>
      <c r="BT232" s="135"/>
      <c r="BU232" s="135"/>
      <c r="BV232" s="135"/>
      <c r="BW232" s="135"/>
      <c r="BX232" s="135"/>
      <c r="BY232" s="135"/>
      <c r="BZ232" s="135"/>
      <c r="CA232" s="135"/>
      <c r="CB232" s="135"/>
      <c r="CC232" s="135"/>
      <c r="CD232" s="135"/>
      <c r="CE232" s="135"/>
      <c r="CF232" s="135"/>
      <c r="CG232" s="135"/>
      <c r="CH232" s="135"/>
      <c r="CI232" s="185"/>
      <c r="CJ232" s="187"/>
      <c r="CK232" s="136">
        <f t="shared" si="78"/>
        <v>4.063862694271413E-4</v>
      </c>
      <c r="CL232" s="188"/>
      <c r="CM232" s="188"/>
      <c r="CN232" s="188"/>
      <c r="CO232" s="138" t="s">
        <v>2488</v>
      </c>
      <c r="CP232" s="189" t="s">
        <v>2489</v>
      </c>
      <c r="CQ232" s="183">
        <v>1.2007064251834654</v>
      </c>
      <c r="CR232" s="191">
        <f>10^(CJ232-CQ232)</f>
        <v>6.2993186093275408E-2</v>
      </c>
      <c r="CS232" s="135" t="s">
        <v>539</v>
      </c>
      <c r="CT232" s="135"/>
      <c r="CU232" s="135"/>
      <c r="CV232" s="332">
        <f t="shared" si="79"/>
        <v>2.4345144260732488E-3</v>
      </c>
      <c r="CW232" s="329">
        <f t="shared" si="80"/>
        <v>0</v>
      </c>
      <c r="CX232" s="329"/>
      <c r="CY232" s="189" t="s">
        <v>5921</v>
      </c>
    </row>
    <row r="233" spans="1:103" ht="11.25" customHeight="1" x14ac:dyDescent="0.2">
      <c r="A233" s="72">
        <v>513</v>
      </c>
      <c r="B233" s="183">
        <v>1057</v>
      </c>
      <c r="C233" s="133" t="s">
        <v>2981</v>
      </c>
      <c r="D233" s="133" t="s">
        <v>6796</v>
      </c>
      <c r="E233" s="134"/>
      <c r="F233" s="134" t="s">
        <v>2982</v>
      </c>
      <c r="G233" s="184">
        <v>57749</v>
      </c>
      <c r="H233" s="138" t="s">
        <v>2983</v>
      </c>
      <c r="I233" s="138" t="s">
        <v>7917</v>
      </c>
      <c r="J233" s="138" t="s">
        <v>2984</v>
      </c>
      <c r="K233" s="138" t="s">
        <v>1139</v>
      </c>
      <c r="L233" s="138" t="s">
        <v>617</v>
      </c>
      <c r="M233" s="138" t="s">
        <v>1140</v>
      </c>
      <c r="N233" s="138" t="s">
        <v>6376</v>
      </c>
      <c r="O233" s="138" t="s">
        <v>918</v>
      </c>
      <c r="P233" s="138"/>
      <c r="Q233" s="138"/>
      <c r="R233" s="138"/>
      <c r="S233" s="138"/>
      <c r="T233" s="135">
        <v>409.78</v>
      </c>
      <c r="U233" s="185">
        <v>5.6000000000000008E-2</v>
      </c>
      <c r="V233" s="185">
        <v>1.299E-2</v>
      </c>
      <c r="W233" s="185">
        <v>0.10058906194694092</v>
      </c>
      <c r="X233" s="185">
        <v>5.6000000000000008E-2</v>
      </c>
      <c r="Y233" s="204">
        <v>7</v>
      </c>
      <c r="Z233" s="135">
        <v>6.26</v>
      </c>
      <c r="AA233" s="135">
        <v>6.22</v>
      </c>
      <c r="AB233" s="135">
        <v>5.98</v>
      </c>
      <c r="AC233" s="135">
        <v>0.92349999999999999</v>
      </c>
      <c r="AD233" s="135">
        <v>5.91</v>
      </c>
      <c r="AE233" s="135">
        <v>5.57</v>
      </c>
      <c r="AF233" s="135">
        <f t="shared" si="70"/>
        <v>6.22</v>
      </c>
      <c r="AG233" s="136">
        <v>5.14</v>
      </c>
      <c r="AH233" s="185">
        <v>7.0300000000000001E-5</v>
      </c>
      <c r="AI233" s="185">
        <v>4.8600000000000002E-5</v>
      </c>
      <c r="AJ233" s="136">
        <f t="shared" si="71"/>
        <v>-2.5416110012928277</v>
      </c>
      <c r="AK233" s="136">
        <f t="shared" si="77"/>
        <v>-2.7019300570503586</v>
      </c>
      <c r="AL233" s="136">
        <f t="shared" si="72"/>
        <v>-2.7019300570503586</v>
      </c>
      <c r="AM233" s="136">
        <v>-8.2279499999999999</v>
      </c>
      <c r="AN233" s="186">
        <v>-2.61</v>
      </c>
      <c r="AO233" s="481"/>
      <c r="AP233" s="481"/>
      <c r="AQ233" s="135" t="s">
        <v>6311</v>
      </c>
      <c r="AR233" s="135" t="s">
        <v>6311</v>
      </c>
      <c r="AS233" s="190"/>
      <c r="AT233" s="137" t="s">
        <v>266</v>
      </c>
      <c r="AU233" s="135">
        <v>6</v>
      </c>
      <c r="AV233" s="135">
        <v>120</v>
      </c>
      <c r="AW233" s="135">
        <v>114</v>
      </c>
      <c r="AX233" s="135">
        <v>28</v>
      </c>
      <c r="AY233" s="135" t="s">
        <v>8728</v>
      </c>
      <c r="AZ233" s="135" t="s">
        <v>1563</v>
      </c>
      <c r="BA233" s="135">
        <v>32</v>
      </c>
      <c r="BB233" s="138" t="s">
        <v>2485</v>
      </c>
      <c r="BC233" s="458" t="s">
        <v>8726</v>
      </c>
      <c r="BD233" s="138" t="s">
        <v>8374</v>
      </c>
      <c r="BE233" s="135" t="s">
        <v>2449</v>
      </c>
      <c r="BF233" s="135" t="s">
        <v>272</v>
      </c>
      <c r="BG233" s="135" t="s">
        <v>272</v>
      </c>
      <c r="BH233" s="135" t="s">
        <v>2486</v>
      </c>
      <c r="BI233" s="185">
        <v>2.6225919999999995E-3</v>
      </c>
      <c r="BJ233" s="185">
        <v>26.225919999999999</v>
      </c>
      <c r="BK233" s="135"/>
      <c r="BL233" s="485">
        <v>5.0262577773218228E-2</v>
      </c>
      <c r="BM233" s="138" t="s">
        <v>2487</v>
      </c>
      <c r="BN233" s="135"/>
      <c r="BO233" s="135"/>
      <c r="BP233" s="135"/>
      <c r="BQ233" s="135"/>
      <c r="BR233" s="138" t="e">
        <v>#VALUE!</v>
      </c>
      <c r="BS233" s="135"/>
      <c r="BT233" s="135"/>
      <c r="BU233" s="135">
        <v>2.6225919999999995E-3</v>
      </c>
      <c r="BV233" s="135"/>
      <c r="BW233" s="135"/>
      <c r="BX233" s="135"/>
      <c r="BY233" s="135"/>
      <c r="BZ233" s="135"/>
      <c r="CA233" s="135"/>
      <c r="CB233" s="135"/>
      <c r="CC233" s="135"/>
      <c r="CD233" s="135"/>
      <c r="CE233" s="135"/>
      <c r="CF233" s="135"/>
      <c r="CG233" s="135"/>
      <c r="CH233" s="135"/>
      <c r="CI233" s="185"/>
      <c r="CJ233" s="187"/>
      <c r="CK233" s="136">
        <f t="shared" si="78"/>
        <v>1.9165229579445919E-3</v>
      </c>
      <c r="CL233" s="188"/>
      <c r="CM233" s="188"/>
      <c r="CN233" s="188"/>
      <c r="CO233" s="138" t="s">
        <v>2488</v>
      </c>
      <c r="CP233" s="189" t="s">
        <v>2489</v>
      </c>
      <c r="CQ233" s="183">
        <v>-1.2204442040186563</v>
      </c>
      <c r="CR233" s="191">
        <f>10^(CJ233-CQ233)</f>
        <v>16.61285230444134</v>
      </c>
      <c r="CS233" s="135" t="s">
        <v>539</v>
      </c>
      <c r="CT233" s="135"/>
      <c r="CU233" s="135"/>
      <c r="CV233" s="332">
        <f t="shared" si="79"/>
        <v>2.1352921079603694E-3</v>
      </c>
      <c r="CW233" s="329">
        <f t="shared" si="80"/>
        <v>0</v>
      </c>
      <c r="CX233" s="329"/>
      <c r="CY233" s="189" t="s">
        <v>5921</v>
      </c>
    </row>
    <row r="234" spans="1:103" ht="11.25" customHeight="1" x14ac:dyDescent="0.2">
      <c r="A234" s="72">
        <v>514</v>
      </c>
      <c r="B234" s="183">
        <v>1220</v>
      </c>
      <c r="C234" s="133" t="s">
        <v>6797</v>
      </c>
      <c r="D234" s="133"/>
      <c r="E234" s="134"/>
      <c r="F234" s="134" t="s">
        <v>3369</v>
      </c>
      <c r="G234" s="184">
        <v>57114</v>
      </c>
      <c r="H234" s="138" t="s">
        <v>3370</v>
      </c>
      <c r="I234" s="138" t="s">
        <v>3370</v>
      </c>
      <c r="J234" s="138" t="s">
        <v>3371</v>
      </c>
      <c r="K234" s="138" t="s">
        <v>426</v>
      </c>
      <c r="L234" s="138"/>
      <c r="M234" s="138"/>
      <c r="N234" s="138"/>
      <c r="O234" s="138"/>
      <c r="P234" s="138"/>
      <c r="Q234" s="138"/>
      <c r="R234" s="138"/>
      <c r="S234" s="138"/>
      <c r="T234" s="135">
        <v>284.48</v>
      </c>
      <c r="U234" s="185">
        <v>0.59699999999999998</v>
      </c>
      <c r="V234" s="185">
        <v>3.5119999999999999E-3</v>
      </c>
      <c r="W234" s="185">
        <v>3.1192611723881312</v>
      </c>
      <c r="X234" s="185">
        <v>0.59699999999999998</v>
      </c>
      <c r="Y234" s="204">
        <v>5.13</v>
      </c>
      <c r="Z234" s="135">
        <v>7.94</v>
      </c>
      <c r="AA234" s="135">
        <v>8.23</v>
      </c>
      <c r="AB234" s="135">
        <v>7.98</v>
      </c>
      <c r="AC234" s="135">
        <v>0.78069999999999995</v>
      </c>
      <c r="AD234" s="135">
        <v>8.06</v>
      </c>
      <c r="AE234" s="135">
        <v>8.2200000000000006</v>
      </c>
      <c r="AF234" s="135">
        <f t="shared" ref="AF234:AF265" si="81">IF(AA234=0,AD234,AA234)</f>
        <v>8.23</v>
      </c>
      <c r="AG234" s="136">
        <v>6.85</v>
      </c>
      <c r="AH234" s="185">
        <v>5.1E-5</v>
      </c>
      <c r="AI234" s="185">
        <v>4.7599999999999997E-7</v>
      </c>
      <c r="AJ234" s="136">
        <f t="shared" si="71"/>
        <v>-2.6809961502147157</v>
      </c>
      <c r="AK234" s="136">
        <f t="shared" si="77"/>
        <v>-4.7109593735921589</v>
      </c>
      <c r="AL234" s="136">
        <f t="shared" si="72"/>
        <v>-4.7109593735921589</v>
      </c>
      <c r="AM234" s="136">
        <v>-6.9975699999999996</v>
      </c>
      <c r="AN234" s="186">
        <v>-2.9</v>
      </c>
      <c r="AO234" s="481">
        <v>4.78</v>
      </c>
      <c r="AP234" s="481"/>
      <c r="AQ234" s="135" t="s">
        <v>6311</v>
      </c>
      <c r="AR234" s="135" t="s">
        <v>6311</v>
      </c>
      <c r="AS234" s="190"/>
      <c r="AT234" s="137" t="s">
        <v>266</v>
      </c>
      <c r="AU234" s="135">
        <v>6</v>
      </c>
      <c r="AV234" s="135">
        <v>120</v>
      </c>
      <c r="AW234" s="135">
        <v>114</v>
      </c>
      <c r="AX234" s="135">
        <v>28</v>
      </c>
      <c r="AY234" s="135" t="s">
        <v>8728</v>
      </c>
      <c r="AZ234" s="135" t="s">
        <v>1563</v>
      </c>
      <c r="BA234" s="135">
        <v>32</v>
      </c>
      <c r="BB234" s="138" t="s">
        <v>2485</v>
      </c>
      <c r="BC234" s="458" t="s">
        <v>8726</v>
      </c>
      <c r="BD234" s="138" t="s">
        <v>8374</v>
      </c>
      <c r="BE234" s="135" t="s">
        <v>2449</v>
      </c>
      <c r="BF234" s="135" t="s">
        <v>272</v>
      </c>
      <c r="BG234" s="135" t="s">
        <v>272</v>
      </c>
      <c r="BH234" s="135" t="s">
        <v>2486</v>
      </c>
      <c r="BI234" s="185">
        <v>1.820672E-3</v>
      </c>
      <c r="BJ234" s="185">
        <v>18.206720000000001</v>
      </c>
      <c r="BK234" s="135"/>
      <c r="BL234" s="485">
        <v>1.0812789274092184E-3</v>
      </c>
      <c r="BM234" s="138" t="s">
        <v>2487</v>
      </c>
      <c r="BN234" s="135"/>
      <c r="BO234" s="135"/>
      <c r="BP234" s="135"/>
      <c r="BQ234" s="135"/>
      <c r="BR234" s="138" t="e">
        <v>#VALUE!</v>
      </c>
      <c r="BS234" s="135"/>
      <c r="BT234" s="135"/>
      <c r="BU234" s="135">
        <v>0.18206720000000004</v>
      </c>
      <c r="BV234" s="135"/>
      <c r="BW234" s="135"/>
      <c r="BX234" s="135"/>
      <c r="BY234" s="135"/>
      <c r="BZ234" s="135"/>
      <c r="CA234" s="135"/>
      <c r="CB234" s="135"/>
      <c r="CC234" s="135"/>
      <c r="CD234" s="135"/>
      <c r="CE234" s="135"/>
      <c r="CF234" s="135"/>
      <c r="CG234" s="135"/>
      <c r="CH234" s="135"/>
      <c r="CI234" s="185"/>
      <c r="CJ234" s="187"/>
      <c r="CK234" s="136">
        <f t="shared" si="78"/>
        <v>5.9389001830599823E-5</v>
      </c>
      <c r="CL234" s="188"/>
      <c r="CM234" s="188"/>
      <c r="CN234" s="188"/>
      <c r="CO234" s="138" t="s">
        <v>2488</v>
      </c>
      <c r="CP234" s="189" t="s">
        <v>2489</v>
      </c>
      <c r="CQ234" s="191" t="s">
        <v>272</v>
      </c>
      <c r="CR234" s="191"/>
      <c r="CS234" s="135" t="s">
        <v>539</v>
      </c>
      <c r="CT234" s="135"/>
      <c r="CU234" s="135"/>
      <c r="CV234" s="332">
        <f t="shared" si="79"/>
        <v>3.2790090691788523E-2</v>
      </c>
      <c r="CW234" s="329">
        <f t="shared" si="80"/>
        <v>0</v>
      </c>
      <c r="CX234" s="329"/>
      <c r="CY234" s="189" t="s">
        <v>6351</v>
      </c>
    </row>
    <row r="235" spans="1:103" ht="11.25" customHeight="1" x14ac:dyDescent="0.2">
      <c r="A235" s="72">
        <v>516</v>
      </c>
      <c r="B235" s="183">
        <v>1497</v>
      </c>
      <c r="C235" s="133" t="s">
        <v>4585</v>
      </c>
      <c r="D235" s="133" t="s">
        <v>6799</v>
      </c>
      <c r="E235" s="134"/>
      <c r="F235" s="134" t="s">
        <v>4586</v>
      </c>
      <c r="G235" s="184">
        <v>309002</v>
      </c>
      <c r="H235" s="138" t="s">
        <v>4587</v>
      </c>
      <c r="I235" s="138" t="s">
        <v>7918</v>
      </c>
      <c r="J235" s="138" t="s">
        <v>4588</v>
      </c>
      <c r="K235" s="138" t="s">
        <v>1139</v>
      </c>
      <c r="L235" s="138" t="s">
        <v>617</v>
      </c>
      <c r="M235" s="197" t="s">
        <v>6080</v>
      </c>
      <c r="N235" s="138" t="s">
        <v>6376</v>
      </c>
      <c r="O235" s="138" t="s">
        <v>6083</v>
      </c>
      <c r="P235" s="138"/>
      <c r="Q235" s="138"/>
      <c r="R235" s="138"/>
      <c r="S235" s="138"/>
      <c r="T235" s="135">
        <v>364.91</v>
      </c>
      <c r="U235" s="185">
        <v>1.7000000000000001E-2</v>
      </c>
      <c r="V235" s="185">
        <v>1.4149999999999999E-2</v>
      </c>
      <c r="W235" s="185">
        <v>0.15211980672215991</v>
      </c>
      <c r="X235" s="185">
        <v>1.7000000000000001E-2</v>
      </c>
      <c r="Y235" s="204">
        <v>7</v>
      </c>
      <c r="Z235" s="135">
        <v>6.75</v>
      </c>
      <c r="AA235" s="135">
        <v>6.5</v>
      </c>
      <c r="AB235" s="135">
        <v>6.12</v>
      </c>
      <c r="AC235" s="135">
        <v>0.81110000000000004</v>
      </c>
      <c r="AD235" s="135">
        <v>5.9</v>
      </c>
      <c r="AE235" s="135">
        <v>5.32</v>
      </c>
      <c r="AF235" s="135">
        <f t="shared" si="81"/>
        <v>6.5</v>
      </c>
      <c r="AG235" s="136">
        <v>4.67</v>
      </c>
      <c r="AH235" s="185">
        <v>3.8699999999999997E-4</v>
      </c>
      <c r="AI235" s="185">
        <v>4.3999999999999999E-5</v>
      </c>
      <c r="AJ235" s="136">
        <f t="shared" si="71"/>
        <v>-1.8008553612937404</v>
      </c>
      <c r="AK235" s="136">
        <f t="shared" si="77"/>
        <v>-2.7451136498264646</v>
      </c>
      <c r="AL235" s="136">
        <f t="shared" si="72"/>
        <v>-2.7451136498264646</v>
      </c>
      <c r="AM235" s="136">
        <v>-7.7620799999999992</v>
      </c>
      <c r="AN235" s="186">
        <v>-1.49</v>
      </c>
      <c r="AO235" s="481"/>
      <c r="AP235" s="481"/>
      <c r="AQ235" s="135" t="s">
        <v>6311</v>
      </c>
      <c r="AR235" s="135" t="s">
        <v>6311</v>
      </c>
      <c r="AS235" s="190"/>
      <c r="AT235" s="137" t="s">
        <v>266</v>
      </c>
      <c r="AU235" s="135">
        <v>6</v>
      </c>
      <c r="AV235" s="135">
        <v>120</v>
      </c>
      <c r="AW235" s="135">
        <v>114</v>
      </c>
      <c r="AX235" s="135">
        <v>28</v>
      </c>
      <c r="AY235" s="135" t="s">
        <v>8728</v>
      </c>
      <c r="AZ235" s="135" t="s">
        <v>1563</v>
      </c>
      <c r="BA235" s="135">
        <v>32</v>
      </c>
      <c r="BB235" s="138" t="s">
        <v>2485</v>
      </c>
      <c r="BC235" s="458" t="s">
        <v>8726</v>
      </c>
      <c r="BD235" s="138" t="s">
        <v>8374</v>
      </c>
      <c r="BE235" s="135" t="s">
        <v>2449</v>
      </c>
      <c r="BF235" s="135" t="s">
        <v>272</v>
      </c>
      <c r="BG235" s="135" t="s">
        <v>272</v>
      </c>
      <c r="BH235" s="135" t="s">
        <v>2486</v>
      </c>
      <c r="BI235" s="185">
        <v>2.335424E-3</v>
      </c>
      <c r="BJ235" s="185">
        <v>23.354240000000001</v>
      </c>
      <c r="BK235" s="135"/>
      <c r="BL235" s="485">
        <v>1.6248406099664631E-2</v>
      </c>
      <c r="BM235" s="138" t="s">
        <v>2487</v>
      </c>
      <c r="BN235" s="135"/>
      <c r="BO235" s="135"/>
      <c r="BP235" s="135"/>
      <c r="BQ235" s="135"/>
      <c r="BR235" s="138" t="e">
        <v>#VALUE!</v>
      </c>
      <c r="BS235" s="135"/>
      <c r="BT235" s="135"/>
      <c r="BU235" s="135"/>
      <c r="BV235" s="135"/>
      <c r="BW235" s="135"/>
      <c r="BX235" s="135"/>
      <c r="BY235" s="135"/>
      <c r="BZ235" s="135"/>
      <c r="CA235" s="135"/>
      <c r="CB235" s="135"/>
      <c r="CC235" s="135"/>
      <c r="CD235" s="135"/>
      <c r="CE235" s="135"/>
      <c r="CF235" s="135"/>
      <c r="CG235" s="135"/>
      <c r="CH235" s="135"/>
      <c r="CI235" s="185"/>
      <c r="CJ235" s="187"/>
      <c r="CK235" s="136">
        <f t="shared" si="78"/>
        <v>6.9573688116867131E-4</v>
      </c>
      <c r="CL235" s="188"/>
      <c r="CM235" s="188"/>
      <c r="CN235" s="188"/>
      <c r="CO235" s="138" t="s">
        <v>2488</v>
      </c>
      <c r="CP235" s="189" t="s">
        <v>2489</v>
      </c>
      <c r="CQ235" s="183">
        <v>-2.015418225780949</v>
      </c>
      <c r="CR235" s="191">
        <f>10^(CJ235-CQ235)</f>
        <v>103.61394891842801</v>
      </c>
      <c r="CS235" s="135" t="s">
        <v>539</v>
      </c>
      <c r="CT235" s="135"/>
      <c r="CU235" s="135"/>
      <c r="CV235" s="332">
        <f t="shared" si="79"/>
        <v>7.2791921295661951E-4</v>
      </c>
      <c r="CW235" s="329">
        <f t="shared" si="80"/>
        <v>0</v>
      </c>
      <c r="CX235" s="329"/>
      <c r="CY235" s="189" t="s">
        <v>5921</v>
      </c>
    </row>
    <row r="236" spans="1:103" ht="11.25" customHeight="1" x14ac:dyDescent="0.2">
      <c r="A236" s="72">
        <v>517</v>
      </c>
      <c r="B236" s="183">
        <v>1483</v>
      </c>
      <c r="C236" s="133" t="s">
        <v>6800</v>
      </c>
      <c r="D236" s="133"/>
      <c r="E236" s="134"/>
      <c r="F236" s="134" t="s">
        <v>4558</v>
      </c>
      <c r="G236" s="184">
        <v>57976</v>
      </c>
      <c r="H236" s="138" t="s">
        <v>4559</v>
      </c>
      <c r="I236" s="138" t="s">
        <v>4559</v>
      </c>
      <c r="J236" s="138" t="s">
        <v>4560</v>
      </c>
      <c r="K236" s="138" t="s">
        <v>426</v>
      </c>
      <c r="L236" s="138"/>
      <c r="M236" s="138"/>
      <c r="N236" s="138"/>
      <c r="O236" s="138"/>
      <c r="P236" s="138"/>
      <c r="Q236" s="138"/>
      <c r="R236" s="138"/>
      <c r="S236" s="138"/>
      <c r="T236" s="135">
        <v>256.33999999999997</v>
      </c>
      <c r="U236" s="185">
        <v>6.0999999999999999E-2</v>
      </c>
      <c r="V236" s="185">
        <v>1.8849999999999999E-2</v>
      </c>
      <c r="W236" s="185">
        <v>6.1491683046145506E-3</v>
      </c>
      <c r="X236" s="185">
        <v>6.0999999999999999E-2</v>
      </c>
      <c r="Y236" s="204">
        <v>7</v>
      </c>
      <c r="Z236" s="135">
        <v>6.62</v>
      </c>
      <c r="AA236" s="135">
        <v>5.8</v>
      </c>
      <c r="AB236" s="135">
        <v>6.26</v>
      </c>
      <c r="AC236" s="135">
        <v>0.8054</v>
      </c>
      <c r="AD236" s="135">
        <v>6.44</v>
      </c>
      <c r="AE236" s="135">
        <v>6.83</v>
      </c>
      <c r="AF236" s="135">
        <f t="shared" si="81"/>
        <v>5.8</v>
      </c>
      <c r="AG236" s="136">
        <v>6.13</v>
      </c>
      <c r="AH236" s="185">
        <v>6.1E-6</v>
      </c>
      <c r="AI236" s="185">
        <v>3.76E-6</v>
      </c>
      <c r="AJ236" s="136">
        <f t="shared" si="71"/>
        <v>-3.6032364913018848</v>
      </c>
      <c r="AK236" s="136">
        <f t="shared" si="77"/>
        <v>-3.8133784813849907</v>
      </c>
      <c r="AL236" s="136">
        <f t="shared" si="72"/>
        <v>-3.8133784813849907</v>
      </c>
      <c r="AM236" s="136">
        <v>-8.9926899999999996</v>
      </c>
      <c r="AN236" s="186">
        <v>-4.05</v>
      </c>
      <c r="AO236" s="481"/>
      <c r="AP236" s="481"/>
      <c r="AQ236" s="135" t="s">
        <v>6311</v>
      </c>
      <c r="AR236" s="135" t="s">
        <v>6311</v>
      </c>
      <c r="AS236" s="190"/>
      <c r="AT236" s="137" t="s">
        <v>266</v>
      </c>
      <c r="AU236" s="135">
        <v>6</v>
      </c>
      <c r="AV236" s="135">
        <v>120</v>
      </c>
      <c r="AW236" s="135">
        <v>114</v>
      </c>
      <c r="AX236" s="135">
        <v>28</v>
      </c>
      <c r="AY236" s="135" t="s">
        <v>8728</v>
      </c>
      <c r="AZ236" s="135" t="s">
        <v>1563</v>
      </c>
      <c r="BA236" s="135">
        <v>32</v>
      </c>
      <c r="BB236" s="138" t="s">
        <v>2485</v>
      </c>
      <c r="BC236" s="458" t="s">
        <v>8726</v>
      </c>
      <c r="BD236" s="138" t="s">
        <v>8374</v>
      </c>
      <c r="BE236" s="135" t="s">
        <v>2449</v>
      </c>
      <c r="BF236" s="135" t="s">
        <v>272</v>
      </c>
      <c r="BG236" s="135" t="s">
        <v>272</v>
      </c>
      <c r="BH236" s="135" t="s">
        <v>2486</v>
      </c>
      <c r="BI236" s="185">
        <v>1.6405759999999997E-3</v>
      </c>
      <c r="BJ236" s="185">
        <v>16.405759999999997</v>
      </c>
      <c r="BK236" s="135"/>
      <c r="BL236" s="485">
        <v>1.4934626987368031E-2</v>
      </c>
      <c r="BM236" s="138" t="s">
        <v>2487</v>
      </c>
      <c r="BN236" s="135"/>
      <c r="BO236" s="135"/>
      <c r="BP236" s="135"/>
      <c r="BQ236" s="135"/>
      <c r="BR236" s="138" t="e">
        <v>#VALUE!</v>
      </c>
      <c r="BS236" s="135"/>
      <c r="BT236" s="135"/>
      <c r="BU236" s="135"/>
      <c r="BV236" s="135"/>
      <c r="BW236" s="135"/>
      <c r="BX236" s="135"/>
      <c r="BY236" s="135"/>
      <c r="BZ236" s="135"/>
      <c r="CA236" s="135"/>
      <c r="CB236" s="135"/>
      <c r="CC236" s="135"/>
      <c r="CD236" s="135"/>
      <c r="CE236" s="135"/>
      <c r="CF236" s="135"/>
      <c r="CG236" s="135"/>
      <c r="CH236" s="135"/>
      <c r="CI236" s="185"/>
      <c r="CJ236" s="187"/>
      <c r="CK236" s="136">
        <f t="shared" si="78"/>
        <v>9.103282619865238E-4</v>
      </c>
      <c r="CL236" s="188"/>
      <c r="CM236" s="188"/>
      <c r="CN236" s="188"/>
      <c r="CO236" s="138" t="s">
        <v>2488</v>
      </c>
      <c r="CP236" s="189" t="s">
        <v>2489</v>
      </c>
      <c r="CQ236" s="191" t="s">
        <v>272</v>
      </c>
      <c r="CR236" s="191"/>
      <c r="CS236" s="135" t="s">
        <v>539</v>
      </c>
      <c r="CT236" s="135"/>
      <c r="CU236" s="135"/>
      <c r="CV236" s="332">
        <f t="shared" si="79"/>
        <v>3.7182062885230556E-3</v>
      </c>
      <c r="CW236" s="329">
        <f t="shared" si="80"/>
        <v>0</v>
      </c>
      <c r="CX236" s="329"/>
      <c r="CY236" s="189" t="s">
        <v>5921</v>
      </c>
    </row>
    <row r="237" spans="1:103" ht="11.25" customHeight="1" x14ac:dyDescent="0.2">
      <c r="A237" s="72">
        <v>518</v>
      </c>
      <c r="B237" s="183">
        <v>1369</v>
      </c>
      <c r="C237" s="133" t="s">
        <v>4225</v>
      </c>
      <c r="D237" s="133" t="s">
        <v>6801</v>
      </c>
      <c r="E237" s="134"/>
      <c r="F237" s="134" t="s">
        <v>4226</v>
      </c>
      <c r="G237" s="184">
        <v>95943</v>
      </c>
      <c r="H237" s="138" t="s">
        <v>4227</v>
      </c>
      <c r="I237" s="138" t="s">
        <v>7919</v>
      </c>
      <c r="J237" s="138" t="s">
        <v>4228</v>
      </c>
      <c r="K237" s="138" t="s">
        <v>426</v>
      </c>
      <c r="L237" s="138" t="s">
        <v>5527</v>
      </c>
      <c r="M237" s="138" t="s">
        <v>866</v>
      </c>
      <c r="N237" s="138" t="s">
        <v>6082</v>
      </c>
      <c r="O237" s="138" t="s">
        <v>498</v>
      </c>
      <c r="P237" s="138" t="s">
        <v>6183</v>
      </c>
      <c r="Q237" s="138" t="s">
        <v>6176</v>
      </c>
      <c r="R237" s="138" t="s">
        <v>6185</v>
      </c>
      <c r="S237" s="138" t="s">
        <v>6182</v>
      </c>
      <c r="T237" s="135">
        <v>215.89</v>
      </c>
      <c r="U237" s="185">
        <v>0.59499999999999997</v>
      </c>
      <c r="V237" s="185">
        <v>3.944</v>
      </c>
      <c r="W237" s="185">
        <v>1.5283841539069116</v>
      </c>
      <c r="X237" s="185">
        <v>0.59499999999999997</v>
      </c>
      <c r="Y237" s="204">
        <v>7</v>
      </c>
      <c r="Z237" s="135">
        <v>4.57</v>
      </c>
      <c r="AA237" s="135">
        <v>4.6399999999999997</v>
      </c>
      <c r="AB237" s="135">
        <v>4.45</v>
      </c>
      <c r="AC237" s="135">
        <v>0.87070000000000003</v>
      </c>
      <c r="AD237" s="135">
        <v>4.3899999999999997</v>
      </c>
      <c r="AE237" s="135">
        <v>4.2300000000000004</v>
      </c>
      <c r="AF237" s="135">
        <f t="shared" si="81"/>
        <v>4.6399999999999997</v>
      </c>
      <c r="AG237" s="136">
        <v>4.51</v>
      </c>
      <c r="AH237" s="185">
        <v>1.6199999999999999E-3</v>
      </c>
      <c r="AI237" s="185">
        <v>1E-3</v>
      </c>
      <c r="AJ237" s="136">
        <f t="shared" si="71"/>
        <v>-1.179051311770021</v>
      </c>
      <c r="AK237" s="136">
        <f t="shared" si="77"/>
        <v>-1.3885663263126518</v>
      </c>
      <c r="AL237" s="136">
        <f t="shared" si="72"/>
        <v>-1.3885663263126518</v>
      </c>
      <c r="AM237" s="136">
        <v>-3.6282399999999999</v>
      </c>
      <c r="AN237" s="186">
        <v>-1.4</v>
      </c>
      <c r="AO237" s="481"/>
      <c r="AP237" s="481"/>
      <c r="AQ237" s="135" t="s">
        <v>6311</v>
      </c>
      <c r="AR237" s="135" t="s">
        <v>6311</v>
      </c>
      <c r="AS237" s="190"/>
      <c r="AT237" s="137" t="s">
        <v>266</v>
      </c>
      <c r="AU237" s="135">
        <v>6</v>
      </c>
      <c r="AV237" s="135">
        <v>120</v>
      </c>
      <c r="AW237" s="135">
        <v>114</v>
      </c>
      <c r="AX237" s="135">
        <v>28</v>
      </c>
      <c r="AY237" s="135" t="s">
        <v>8728</v>
      </c>
      <c r="AZ237" s="135" t="s">
        <v>1563</v>
      </c>
      <c r="BA237" s="135">
        <v>32</v>
      </c>
      <c r="BB237" s="138" t="s">
        <v>2485</v>
      </c>
      <c r="BC237" s="458" t="s">
        <v>8726</v>
      </c>
      <c r="BD237" s="138" t="s">
        <v>8374</v>
      </c>
      <c r="BE237" s="135" t="s">
        <v>2449</v>
      </c>
      <c r="BF237" s="135" t="s">
        <v>272</v>
      </c>
      <c r="BG237" s="135" t="s">
        <v>272</v>
      </c>
      <c r="BH237" s="135" t="s">
        <v>2486</v>
      </c>
      <c r="BI237" s="185">
        <v>1.3816959999999997E-3</v>
      </c>
      <c r="BJ237" s="185">
        <v>13.81696</v>
      </c>
      <c r="BK237" s="135"/>
      <c r="BL237" s="485">
        <v>0.8723997377000684</v>
      </c>
      <c r="BM237" s="138" t="s">
        <v>2487</v>
      </c>
      <c r="BN237" s="135"/>
      <c r="BO237" s="135"/>
      <c r="BP237" s="135"/>
      <c r="BQ237" s="135"/>
      <c r="BR237" s="138" t="e">
        <v>#VALUE!</v>
      </c>
      <c r="BS237" s="135"/>
      <c r="BT237" s="135"/>
      <c r="BU237" s="135"/>
      <c r="BV237" s="135"/>
      <c r="BW237" s="135"/>
      <c r="BX237" s="135"/>
      <c r="BY237" s="135"/>
      <c r="BZ237" s="135"/>
      <c r="CA237" s="135"/>
      <c r="CB237" s="135"/>
      <c r="CC237" s="135"/>
      <c r="CD237" s="135"/>
      <c r="CE237" s="135"/>
      <c r="CF237" s="135"/>
      <c r="CG237" s="135"/>
      <c r="CH237" s="135"/>
      <c r="CI237" s="185"/>
      <c r="CJ237" s="187"/>
      <c r="CK237" s="136">
        <f t="shared" si="78"/>
        <v>6.3139774429401871E-2</v>
      </c>
      <c r="CL237" s="188"/>
      <c r="CM237" s="188"/>
      <c r="CN237" s="188"/>
      <c r="CO237" s="138" t="s">
        <v>2488</v>
      </c>
      <c r="CP237" s="189" t="s">
        <v>2489</v>
      </c>
      <c r="CQ237" s="183">
        <v>-0.13092695564397008</v>
      </c>
      <c r="CR237" s="191">
        <f>10^(CJ237-CQ237)</f>
        <v>1.3518451760896879</v>
      </c>
      <c r="CS237" s="135" t="s">
        <v>539</v>
      </c>
      <c r="CT237" s="135"/>
      <c r="CU237" s="135"/>
      <c r="CV237" s="332">
        <f t="shared" si="79"/>
        <v>4.3063018203714852E-2</v>
      </c>
      <c r="CW237" s="329">
        <f t="shared" si="80"/>
        <v>0</v>
      </c>
      <c r="CX237" s="329"/>
      <c r="CY237" s="189" t="s">
        <v>5921</v>
      </c>
    </row>
    <row r="238" spans="1:103" ht="11.25" customHeight="1" x14ac:dyDescent="0.2">
      <c r="A238" s="72">
        <v>519</v>
      </c>
      <c r="B238" s="183">
        <v>1248</v>
      </c>
      <c r="C238" s="133" t="s">
        <v>3433</v>
      </c>
      <c r="D238" s="133" t="s">
        <v>6802</v>
      </c>
      <c r="E238" s="134"/>
      <c r="F238" s="134" t="s">
        <v>3434</v>
      </c>
      <c r="G238" s="184">
        <v>72548</v>
      </c>
      <c r="H238" s="138" t="s">
        <v>3435</v>
      </c>
      <c r="I238" s="138" t="s">
        <v>7920</v>
      </c>
      <c r="J238" s="138" t="s">
        <v>3436</v>
      </c>
      <c r="K238" s="138" t="s">
        <v>426</v>
      </c>
      <c r="L238" s="138" t="s">
        <v>617</v>
      </c>
      <c r="M238" s="197" t="s">
        <v>6078</v>
      </c>
      <c r="N238" s="138" t="s">
        <v>6376</v>
      </c>
      <c r="O238" s="138" t="s">
        <v>6083</v>
      </c>
      <c r="P238" s="138"/>
      <c r="Q238" s="138"/>
      <c r="R238" s="138"/>
      <c r="S238" s="138"/>
      <c r="T238" s="135">
        <v>320.04000000000002</v>
      </c>
      <c r="U238" s="185">
        <v>0.09</v>
      </c>
      <c r="V238" s="185">
        <v>6.7640000000000006E-2</v>
      </c>
      <c r="W238" s="185">
        <v>0.10120553423602863</v>
      </c>
      <c r="X238" s="185">
        <v>0.09</v>
      </c>
      <c r="Y238" s="204">
        <v>7</v>
      </c>
      <c r="Z238" s="135">
        <v>5.87</v>
      </c>
      <c r="AA238" s="135">
        <v>6.02</v>
      </c>
      <c r="AB238" s="135">
        <v>6.04</v>
      </c>
      <c r="AC238" s="135">
        <v>0.78520000000000001</v>
      </c>
      <c r="AD238" s="135">
        <v>5.84</v>
      </c>
      <c r="AE238" s="135">
        <v>5.39</v>
      </c>
      <c r="AF238" s="135">
        <f t="shared" si="81"/>
        <v>6.02</v>
      </c>
      <c r="AG238" s="136">
        <v>5.92</v>
      </c>
      <c r="AH238" s="185">
        <v>4.3399999999999998E-5</v>
      </c>
      <c r="AI238" s="185">
        <v>6.6000000000000003E-6</v>
      </c>
      <c r="AJ238" s="136">
        <f t="shared" si="71"/>
        <v>-2.7510765968001412</v>
      </c>
      <c r="AK238" s="136">
        <f t="shared" si="77"/>
        <v>-3.5690223907707832</v>
      </c>
      <c r="AL238" s="136">
        <f t="shared" si="72"/>
        <v>-3.5690223907707832</v>
      </c>
      <c r="AM238" s="136">
        <v>-7.4749499999999998</v>
      </c>
      <c r="AN238" s="186">
        <v>-4.57</v>
      </c>
      <c r="AO238" s="481"/>
      <c r="AP238" s="481"/>
      <c r="AQ238" s="135" t="s">
        <v>6311</v>
      </c>
      <c r="AR238" s="135" t="s">
        <v>6311</v>
      </c>
      <c r="AS238" s="190"/>
      <c r="AT238" s="137" t="s">
        <v>266</v>
      </c>
      <c r="AU238" s="135">
        <v>6</v>
      </c>
      <c r="AV238" s="135">
        <v>120</v>
      </c>
      <c r="AW238" s="135">
        <v>114</v>
      </c>
      <c r="AX238" s="135">
        <v>28</v>
      </c>
      <c r="AY238" s="135" t="s">
        <v>8728</v>
      </c>
      <c r="AZ238" s="135" t="s">
        <v>1563</v>
      </c>
      <c r="BA238" s="135">
        <v>32</v>
      </c>
      <c r="BB238" s="138" t="s">
        <v>2485</v>
      </c>
      <c r="BC238" s="458" t="s">
        <v>8726</v>
      </c>
      <c r="BD238" s="138" t="s">
        <v>8374</v>
      </c>
      <c r="BE238" s="135" t="s">
        <v>2449</v>
      </c>
      <c r="BF238" s="135" t="s">
        <v>272</v>
      </c>
      <c r="BG238" s="135" t="s">
        <v>272</v>
      </c>
      <c r="BH238" s="135" t="s">
        <v>2486</v>
      </c>
      <c r="BI238" s="185">
        <v>2.048256E-3</v>
      </c>
      <c r="BJ238" s="185">
        <v>20.482560000000003</v>
      </c>
      <c r="BK238" s="135"/>
      <c r="BL238" s="485">
        <v>8.793408760212694E-2</v>
      </c>
      <c r="BM238" s="138" t="s">
        <v>2487</v>
      </c>
      <c r="BN238" s="135"/>
      <c r="BO238" s="135"/>
      <c r="BP238" s="135"/>
      <c r="BQ238" s="135"/>
      <c r="BR238" s="138" t="e">
        <v>#VALUE!</v>
      </c>
      <c r="BS238" s="135"/>
      <c r="BT238" s="135"/>
      <c r="BU238" s="135">
        <v>2.048256E-2</v>
      </c>
      <c r="BV238" s="135"/>
      <c r="BW238" s="135"/>
      <c r="BX238" s="135"/>
      <c r="BY238" s="135"/>
      <c r="BZ238" s="135"/>
      <c r="CA238" s="135"/>
      <c r="CB238" s="135"/>
      <c r="CC238" s="135"/>
      <c r="CD238" s="135"/>
      <c r="CE238" s="135"/>
      <c r="CF238" s="135"/>
      <c r="CG238" s="135"/>
      <c r="CH238" s="135"/>
      <c r="CI238" s="185"/>
      <c r="CJ238" s="187"/>
      <c r="CK238" s="136">
        <f t="shared" si="78"/>
        <v>4.2931199811999535E-3</v>
      </c>
      <c r="CL238" s="188"/>
      <c r="CM238" s="188"/>
      <c r="CN238" s="188"/>
      <c r="CO238" s="138" t="s">
        <v>2488</v>
      </c>
      <c r="CP238" s="189" t="s">
        <v>2489</v>
      </c>
      <c r="CQ238" s="183">
        <v>-0.7117018269858576</v>
      </c>
      <c r="CR238" s="191">
        <f>10^(CJ238-CQ238)</f>
        <v>5.1487502610730891</v>
      </c>
      <c r="CS238" s="135" t="s">
        <v>539</v>
      </c>
      <c r="CT238" s="135"/>
      <c r="CU238" s="135"/>
      <c r="CV238" s="332">
        <f t="shared" si="79"/>
        <v>4.393982002249718E-3</v>
      </c>
      <c r="CW238" s="329">
        <f t="shared" si="80"/>
        <v>0</v>
      </c>
      <c r="CX238" s="329"/>
      <c r="CY238" s="189" t="s">
        <v>5921</v>
      </c>
    </row>
    <row r="239" spans="1:103" ht="11.25" customHeight="1" x14ac:dyDescent="0.2">
      <c r="A239" s="72">
        <v>520</v>
      </c>
      <c r="B239" s="183">
        <v>1827</v>
      </c>
      <c r="C239" s="133" t="s">
        <v>6803</v>
      </c>
      <c r="D239" s="133" t="s">
        <v>6804</v>
      </c>
      <c r="E239" s="134"/>
      <c r="F239" s="134" t="s">
        <v>2217</v>
      </c>
      <c r="G239" s="184">
        <v>50293</v>
      </c>
      <c r="H239" s="138" t="s">
        <v>2218</v>
      </c>
      <c r="I239" s="138" t="s">
        <v>7921</v>
      </c>
      <c r="J239" s="138" t="s">
        <v>2219</v>
      </c>
      <c r="K239" s="138" t="s">
        <v>426</v>
      </c>
      <c r="L239" s="138" t="s">
        <v>617</v>
      </c>
      <c r="M239" s="138" t="s">
        <v>1086</v>
      </c>
      <c r="N239" s="138" t="s">
        <v>6376</v>
      </c>
      <c r="O239" s="138" t="s">
        <v>918</v>
      </c>
      <c r="P239" s="138"/>
      <c r="Q239" s="138"/>
      <c r="R239" s="138"/>
      <c r="S239" s="138"/>
      <c r="T239" s="135">
        <v>354.48</v>
      </c>
      <c r="U239" s="185">
        <v>5.4999999999999997E-3</v>
      </c>
      <c r="V239" s="185">
        <v>7.3070000000000001E-3</v>
      </c>
      <c r="W239" s="185">
        <v>4.1647768527496389E-2</v>
      </c>
      <c r="X239" s="185">
        <v>5.4999999999999997E-3</v>
      </c>
      <c r="Y239" s="204">
        <v>7</v>
      </c>
      <c r="Z239" s="135">
        <v>6.79</v>
      </c>
      <c r="AA239" s="135">
        <v>6.91</v>
      </c>
      <c r="AB239" s="135">
        <v>6.33</v>
      </c>
      <c r="AC239" s="135">
        <v>0.82679999999999998</v>
      </c>
      <c r="AD239" s="135">
        <v>6.22</v>
      </c>
      <c r="AE239" s="135">
        <v>5.92</v>
      </c>
      <c r="AF239" s="135">
        <f t="shared" si="81"/>
        <v>6.91</v>
      </c>
      <c r="AG239" s="136">
        <v>6.54</v>
      </c>
      <c r="AH239" s="185">
        <v>1.5299999999999999E-5</v>
      </c>
      <c r="AI239" s="185">
        <v>8.32E-6</v>
      </c>
      <c r="AJ239" s="136">
        <f t="shared" si="71"/>
        <v>-3.2038748954950531</v>
      </c>
      <c r="AK239" s="136">
        <f t="shared" si="77"/>
        <v>-3.468443000021928</v>
      </c>
      <c r="AL239" s="136">
        <f t="shared" si="72"/>
        <v>-3.468443000021928</v>
      </c>
      <c r="AM239" s="136">
        <v>-7.4330299999999996</v>
      </c>
      <c r="AN239" s="186">
        <v>-4.3499999999999996</v>
      </c>
      <c r="AO239" s="481"/>
      <c r="AP239" s="481"/>
      <c r="AQ239" s="186" t="s">
        <v>6311</v>
      </c>
      <c r="AR239" s="186" t="s">
        <v>6311</v>
      </c>
      <c r="AS239" s="183"/>
      <c r="AT239" s="137" t="s">
        <v>266</v>
      </c>
      <c r="AU239" s="135">
        <v>6</v>
      </c>
      <c r="AV239" s="135">
        <v>120</v>
      </c>
      <c r="AW239" s="135">
        <v>114</v>
      </c>
      <c r="AX239" s="135">
        <v>28</v>
      </c>
      <c r="AY239" s="135" t="s">
        <v>8728</v>
      </c>
      <c r="AZ239" s="135" t="s">
        <v>1563</v>
      </c>
      <c r="BA239" s="135">
        <v>32</v>
      </c>
      <c r="BB239" s="138" t="s">
        <v>2485</v>
      </c>
      <c r="BC239" s="458" t="s">
        <v>8726</v>
      </c>
      <c r="BD239" s="138" t="s">
        <v>8374</v>
      </c>
      <c r="BE239" s="135" t="s">
        <v>2449</v>
      </c>
      <c r="BF239" s="135" t="s">
        <v>272</v>
      </c>
      <c r="BG239" s="135" t="s">
        <v>272</v>
      </c>
      <c r="BH239" s="135" t="s">
        <v>2486</v>
      </c>
      <c r="BI239" s="185">
        <v>2.2686720000000002E-3</v>
      </c>
      <c r="BJ239" s="185">
        <v>22.686720000000001</v>
      </c>
      <c r="BK239" s="135"/>
      <c r="BL239" s="485">
        <v>1.4530907461468437E-2</v>
      </c>
      <c r="BM239" s="138" t="s">
        <v>2487</v>
      </c>
      <c r="BN239" s="135"/>
      <c r="BO239" s="135"/>
      <c r="BP239" s="135"/>
      <c r="BQ239" s="135"/>
      <c r="BR239" s="138" t="e">
        <v>#VALUE!</v>
      </c>
      <c r="BS239" s="135"/>
      <c r="BT239" s="135"/>
      <c r="BU239" s="135"/>
      <c r="BV239" s="135"/>
      <c r="BW239" s="135"/>
      <c r="BX239" s="135"/>
      <c r="BY239" s="135"/>
      <c r="BZ239" s="135"/>
      <c r="CA239" s="135"/>
      <c r="CB239" s="135"/>
      <c r="CC239" s="135"/>
      <c r="CD239" s="135"/>
      <c r="CE239" s="135"/>
      <c r="CF239" s="135"/>
      <c r="CG239" s="135"/>
      <c r="CH239" s="135"/>
      <c r="CI239" s="185"/>
      <c r="CJ239" s="187"/>
      <c r="CK239" s="136">
        <f t="shared" si="78"/>
        <v>6.4050279024329814E-4</v>
      </c>
      <c r="CL239" s="188"/>
      <c r="CM239" s="188"/>
      <c r="CN239" s="188"/>
      <c r="CO239" s="138" t="s">
        <v>2488</v>
      </c>
      <c r="CP239" s="189" t="s">
        <v>2489</v>
      </c>
      <c r="CQ239" s="183">
        <v>-2.1476492931923206</v>
      </c>
      <c r="CR239" s="191">
        <f>10^(CJ239-CQ239)</f>
        <v>140.49125537090134</v>
      </c>
      <c r="CS239" s="135" t="s">
        <v>539</v>
      </c>
      <c r="CT239" s="135"/>
      <c r="CU239" s="135"/>
      <c r="CV239" s="332">
        <f t="shared" si="79"/>
        <v>2.4243257729632134E-4</v>
      </c>
      <c r="CW239" s="329">
        <f t="shared" si="80"/>
        <v>0</v>
      </c>
      <c r="CX239" s="329"/>
      <c r="CY239" s="189" t="s">
        <v>5921</v>
      </c>
    </row>
    <row r="240" spans="1:103" ht="11.25" customHeight="1" x14ac:dyDescent="0.2">
      <c r="A240" s="72">
        <v>521</v>
      </c>
      <c r="B240" s="183">
        <v>1826</v>
      </c>
      <c r="C240" s="133" t="s">
        <v>5238</v>
      </c>
      <c r="D240" s="133" t="s">
        <v>6805</v>
      </c>
      <c r="E240" s="134"/>
      <c r="F240" s="134" t="s">
        <v>5239</v>
      </c>
      <c r="G240" s="184">
        <v>72559</v>
      </c>
      <c r="H240" s="138" t="s">
        <v>5240</v>
      </c>
      <c r="I240" s="138" t="s">
        <v>7922</v>
      </c>
      <c r="J240" s="138" t="s">
        <v>5241</v>
      </c>
      <c r="K240" s="138" t="s">
        <v>1139</v>
      </c>
      <c r="L240" s="138" t="s">
        <v>617</v>
      </c>
      <c r="M240" s="197" t="s">
        <v>6078</v>
      </c>
      <c r="N240" s="138" t="s">
        <v>6376</v>
      </c>
      <c r="O240" s="138" t="s">
        <v>6083</v>
      </c>
      <c r="P240" s="138"/>
      <c r="Q240" s="138"/>
      <c r="R240" s="138"/>
      <c r="S240" s="138"/>
      <c r="T240" s="135">
        <v>318.02</v>
      </c>
      <c r="U240" s="185">
        <v>0.04</v>
      </c>
      <c r="V240" s="185">
        <v>2.6529999999999998E-2</v>
      </c>
      <c r="W240" s="185">
        <v>2.7698384087783273E-2</v>
      </c>
      <c r="X240" s="185">
        <v>0.04</v>
      </c>
      <c r="Y240" s="204">
        <v>7</v>
      </c>
      <c r="Z240" s="135">
        <v>6</v>
      </c>
      <c r="AA240" s="135">
        <v>6.51</v>
      </c>
      <c r="AB240" s="135">
        <v>6.49</v>
      </c>
      <c r="AC240" s="135">
        <v>0.8236</v>
      </c>
      <c r="AD240" s="135">
        <v>6.46</v>
      </c>
      <c r="AE240" s="135">
        <v>6.37</v>
      </c>
      <c r="AF240" s="135">
        <f t="shared" si="81"/>
        <v>6.51</v>
      </c>
      <c r="AG240" s="136">
        <v>5.93</v>
      </c>
      <c r="AH240" s="185">
        <v>3.5200000000000002E-5</v>
      </c>
      <c r="AI240" s="185">
        <v>4.1600000000000002E-5</v>
      </c>
      <c r="AJ240" s="136">
        <f t="shared" si="71"/>
        <v>-2.8420236628345208</v>
      </c>
      <c r="AK240" s="136">
        <f t="shared" si="77"/>
        <v>-2.7694729956859092</v>
      </c>
      <c r="AL240" s="136">
        <f t="shared" si="72"/>
        <v>-2.7694729956859092</v>
      </c>
      <c r="AM240" s="136">
        <v>-7.8475300000000008</v>
      </c>
      <c r="AN240" s="186">
        <v>-3.27</v>
      </c>
      <c r="AO240" s="481"/>
      <c r="AP240" s="481"/>
      <c r="AQ240" s="186" t="s">
        <v>6311</v>
      </c>
      <c r="AR240" s="186" t="s">
        <v>6311</v>
      </c>
      <c r="AS240" s="183"/>
      <c r="AT240" s="137" t="s">
        <v>266</v>
      </c>
      <c r="AU240" s="135">
        <v>6</v>
      </c>
      <c r="AV240" s="135">
        <v>120</v>
      </c>
      <c r="AW240" s="135">
        <v>114</v>
      </c>
      <c r="AX240" s="135">
        <v>28</v>
      </c>
      <c r="AY240" s="135" t="s">
        <v>8728</v>
      </c>
      <c r="AZ240" s="135" t="s">
        <v>1563</v>
      </c>
      <c r="BA240" s="135">
        <v>32</v>
      </c>
      <c r="BB240" s="138" t="s">
        <v>2485</v>
      </c>
      <c r="BC240" s="458" t="s">
        <v>8726</v>
      </c>
      <c r="BD240" s="138" t="s">
        <v>8374</v>
      </c>
      <c r="BE240" s="135" t="s">
        <v>2449</v>
      </c>
      <c r="BF240" s="135" t="s">
        <v>272</v>
      </c>
      <c r="BG240" s="135" t="s">
        <v>272</v>
      </c>
      <c r="BH240" s="135" t="s">
        <v>2486</v>
      </c>
      <c r="BI240" s="185">
        <v>2.0353279999999999E-3</v>
      </c>
      <c r="BJ240" s="185">
        <v>20.353279999999998</v>
      </c>
      <c r="BK240" s="135"/>
      <c r="BL240" s="485">
        <v>6.6781232993052497E-2</v>
      </c>
      <c r="BM240" s="138" t="s">
        <v>2487</v>
      </c>
      <c r="BN240" s="135"/>
      <c r="BO240" s="135"/>
      <c r="BP240" s="135"/>
      <c r="BQ240" s="135"/>
      <c r="BR240" s="138" t="e">
        <v>#VALUE!</v>
      </c>
      <c r="BS240" s="135"/>
      <c r="BT240" s="135"/>
      <c r="BU240" s="135"/>
      <c r="BV240" s="135"/>
      <c r="BW240" s="135"/>
      <c r="BX240" s="135"/>
      <c r="BY240" s="135"/>
      <c r="BZ240" s="135"/>
      <c r="CA240" s="135"/>
      <c r="CB240" s="135"/>
      <c r="CC240" s="135"/>
      <c r="CD240" s="135"/>
      <c r="CE240" s="135"/>
      <c r="CF240" s="135"/>
      <c r="CG240" s="135"/>
      <c r="CH240" s="135"/>
      <c r="CI240" s="185"/>
      <c r="CJ240" s="187"/>
      <c r="CK240" s="136">
        <f t="shared" si="78"/>
        <v>3.2811042246287826E-3</v>
      </c>
      <c r="CL240" s="188"/>
      <c r="CM240" s="188"/>
      <c r="CN240" s="188"/>
      <c r="CO240" s="138" t="s">
        <v>2488</v>
      </c>
      <c r="CP240" s="189" t="s">
        <v>2489</v>
      </c>
      <c r="CQ240" s="183">
        <v>-1.0573193899842439</v>
      </c>
      <c r="CR240" s="191">
        <f>10^(CJ240-CQ240)</f>
        <v>11.410886614690961</v>
      </c>
      <c r="CS240" s="135" t="s">
        <v>539</v>
      </c>
      <c r="CT240" s="135"/>
      <c r="CU240" s="135"/>
      <c r="CV240" s="332">
        <f t="shared" si="79"/>
        <v>1.9652852021885417E-3</v>
      </c>
      <c r="CW240" s="329">
        <f t="shared" si="80"/>
        <v>0</v>
      </c>
      <c r="CX240" s="329"/>
      <c r="CY240" s="189" t="s">
        <v>5921</v>
      </c>
    </row>
    <row r="241" spans="1:103" ht="11.25" customHeight="1" x14ac:dyDescent="0.2">
      <c r="A241" s="72">
        <v>522</v>
      </c>
      <c r="B241" s="183">
        <v>1185</v>
      </c>
      <c r="C241" s="133" t="s">
        <v>1298</v>
      </c>
      <c r="D241" s="133" t="s">
        <v>6649</v>
      </c>
      <c r="E241" s="134"/>
      <c r="F241" s="134" t="s">
        <v>1299</v>
      </c>
      <c r="G241" s="184">
        <v>72435</v>
      </c>
      <c r="H241" s="138" t="s">
        <v>1300</v>
      </c>
      <c r="I241" s="138" t="s">
        <v>7923</v>
      </c>
      <c r="J241" s="138" t="s">
        <v>1301</v>
      </c>
      <c r="K241" s="138" t="s">
        <v>426</v>
      </c>
      <c r="L241" s="138" t="s">
        <v>617</v>
      </c>
      <c r="M241" s="138" t="s">
        <v>1086</v>
      </c>
      <c r="N241" s="138" t="s">
        <v>6376</v>
      </c>
      <c r="O241" s="138" t="s">
        <v>918</v>
      </c>
      <c r="P241" s="138" t="s">
        <v>6631</v>
      </c>
      <c r="Q241" s="138" t="s">
        <v>6173</v>
      </c>
      <c r="R241" s="138" t="s">
        <v>6082</v>
      </c>
      <c r="S241" s="138" t="s">
        <v>6173</v>
      </c>
      <c r="T241" s="135">
        <v>345.65</v>
      </c>
      <c r="U241" s="185">
        <v>0.1</v>
      </c>
      <c r="V241" s="185">
        <v>0.30199999999999999</v>
      </c>
      <c r="W241" s="185">
        <v>6.1466227807995315</v>
      </c>
      <c r="X241" s="185">
        <v>0.1</v>
      </c>
      <c r="Y241" s="204">
        <v>7</v>
      </c>
      <c r="Z241" s="135">
        <v>5.67</v>
      </c>
      <c r="AA241" s="135">
        <v>5.08</v>
      </c>
      <c r="AB241" s="135">
        <v>5.83</v>
      </c>
      <c r="AC241" s="135">
        <v>0.84089999999999998</v>
      </c>
      <c r="AD241" s="135">
        <v>5.51</v>
      </c>
      <c r="AE241" s="135">
        <v>4.5599999999999996</v>
      </c>
      <c r="AF241" s="135">
        <f t="shared" si="81"/>
        <v>5.08</v>
      </c>
      <c r="AG241" s="136">
        <v>5.14</v>
      </c>
      <c r="AH241" s="185">
        <v>9.7500000000000006E-8</v>
      </c>
      <c r="AI241" s="185">
        <v>2.03E-7</v>
      </c>
      <c r="AJ241" s="136">
        <f t="shared" si="71"/>
        <v>-5.3995617106141154</v>
      </c>
      <c r="AK241" s="136">
        <f t="shared" si="77"/>
        <v>-5.081070288399439</v>
      </c>
      <c r="AL241" s="136">
        <f t="shared" si="72"/>
        <v>-5.081070288399439</v>
      </c>
      <c r="AM241" s="136">
        <v>-9.6148900000000008</v>
      </c>
      <c r="AN241" s="186">
        <v>-6.6</v>
      </c>
      <c r="AO241" s="481"/>
      <c r="AP241" s="481"/>
      <c r="AQ241" s="135" t="s">
        <v>6311</v>
      </c>
      <c r="AR241" s="135" t="s">
        <v>6311</v>
      </c>
      <c r="AS241" s="190"/>
      <c r="AT241" s="137" t="s">
        <v>266</v>
      </c>
      <c r="AU241" s="135">
        <v>6</v>
      </c>
      <c r="AV241" s="135">
        <v>120</v>
      </c>
      <c r="AW241" s="135">
        <v>114</v>
      </c>
      <c r="AX241" s="135">
        <v>28</v>
      </c>
      <c r="AY241" s="135" t="s">
        <v>8728</v>
      </c>
      <c r="AZ241" s="135" t="s">
        <v>1563</v>
      </c>
      <c r="BA241" s="135">
        <v>32</v>
      </c>
      <c r="BB241" s="138" t="s">
        <v>2485</v>
      </c>
      <c r="BC241" s="458" t="s">
        <v>8726</v>
      </c>
      <c r="BD241" s="138" t="s">
        <v>8374</v>
      </c>
      <c r="BE241" s="135" t="s">
        <v>2449</v>
      </c>
      <c r="BF241" s="135" t="s">
        <v>272</v>
      </c>
      <c r="BG241" s="135" t="s">
        <v>272</v>
      </c>
      <c r="BH241" s="135" t="s">
        <v>2486</v>
      </c>
      <c r="BI241" s="185">
        <v>2.2121599999999999E-3</v>
      </c>
      <c r="BJ241" s="185">
        <v>22.121599999999997</v>
      </c>
      <c r="BK241" s="135"/>
      <c r="BL241" s="485">
        <v>0.14361822708576152</v>
      </c>
      <c r="BM241" s="138" t="s">
        <v>2487</v>
      </c>
      <c r="BN241" s="135"/>
      <c r="BO241" s="135"/>
      <c r="BP241" s="135"/>
      <c r="BQ241" s="135"/>
      <c r="BR241" s="138" t="e">
        <v>#VALUE!</v>
      </c>
      <c r="BS241" s="135"/>
      <c r="BT241" s="135"/>
      <c r="BU241" s="135">
        <v>2.2010991999999998</v>
      </c>
      <c r="BV241" s="135"/>
      <c r="BW241" s="135"/>
      <c r="BX241" s="135"/>
      <c r="BY241" s="135"/>
      <c r="BZ241" s="135"/>
      <c r="CA241" s="135"/>
      <c r="CB241" s="135"/>
      <c r="CC241" s="135"/>
      <c r="CD241" s="135"/>
      <c r="CE241" s="135"/>
      <c r="CF241" s="135"/>
      <c r="CG241" s="135"/>
      <c r="CH241" s="135"/>
      <c r="CI241" s="185"/>
      <c r="CJ241" s="187"/>
      <c r="CK241" s="136">
        <f t="shared" si="78"/>
        <v>6.4922169773326318E-3</v>
      </c>
      <c r="CL241" s="188"/>
      <c r="CM241" s="188"/>
      <c r="CN241" s="188"/>
      <c r="CO241" s="138" t="s">
        <v>2488</v>
      </c>
      <c r="CP241" s="189" t="s">
        <v>2489</v>
      </c>
      <c r="CQ241" s="183">
        <v>-1.5198053616643368</v>
      </c>
      <c r="CR241" s="191">
        <f>10^(CJ241-CQ241)</f>
        <v>33.09827512575221</v>
      </c>
      <c r="CS241" s="135" t="s">
        <v>539</v>
      </c>
      <c r="CT241" s="135"/>
      <c r="CU241" s="135"/>
      <c r="CV241" s="332">
        <f t="shared" si="79"/>
        <v>4.5204686821929702E-3</v>
      </c>
      <c r="CW241" s="329">
        <f t="shared" si="80"/>
        <v>0</v>
      </c>
      <c r="CX241" s="329"/>
      <c r="CY241" s="189" t="s">
        <v>5921</v>
      </c>
    </row>
    <row r="242" spans="1:103" ht="11.25" customHeight="1" x14ac:dyDescent="0.2">
      <c r="A242" s="72">
        <v>523</v>
      </c>
      <c r="B242" s="183">
        <v>1926</v>
      </c>
      <c r="C242" s="133" t="s">
        <v>6806</v>
      </c>
      <c r="D242" s="133"/>
      <c r="E242" s="134"/>
      <c r="F242" s="134" t="s">
        <v>5411</v>
      </c>
      <c r="G242" s="184">
        <v>78422</v>
      </c>
      <c r="H242" s="138" t="s">
        <v>5412</v>
      </c>
      <c r="I242" s="138" t="s">
        <v>5412</v>
      </c>
      <c r="J242" s="138" t="s">
        <v>5413</v>
      </c>
      <c r="K242" s="138" t="s">
        <v>637</v>
      </c>
      <c r="L242" s="138"/>
      <c r="M242" s="138"/>
      <c r="N242" s="138"/>
      <c r="O242" s="138"/>
      <c r="P242" s="138"/>
      <c r="Q242" s="138"/>
      <c r="R242" s="138"/>
      <c r="S242" s="138"/>
      <c r="T242" s="135">
        <v>434.63</v>
      </c>
      <c r="U242" s="185">
        <v>0.6</v>
      </c>
      <c r="V242" s="185">
        <v>1.4610000000000001E-5</v>
      </c>
      <c r="W242" s="185">
        <v>0.18118394013771166</v>
      </c>
      <c r="X242" s="185">
        <v>0.6</v>
      </c>
      <c r="Y242" s="204">
        <v>7</v>
      </c>
      <c r="Z242" s="135">
        <v>9.49</v>
      </c>
      <c r="AA242" s="135"/>
      <c r="AB242" s="135">
        <v>8.0500000000000007</v>
      </c>
      <c r="AC242" s="135">
        <v>0.62090000000000001</v>
      </c>
      <c r="AD242" s="135">
        <v>8.9600000000000009</v>
      </c>
      <c r="AE242" s="135">
        <v>10.09</v>
      </c>
      <c r="AF242" s="135">
        <f t="shared" si="81"/>
        <v>8.9600000000000009</v>
      </c>
      <c r="AG242" s="136">
        <v>8.1999999999999993</v>
      </c>
      <c r="AH242" s="185">
        <v>9.5600000000000006E-5</v>
      </c>
      <c r="AI242" s="185">
        <v>7.8600000000000002E-8</v>
      </c>
      <c r="AJ242" s="136">
        <f t="shared" si="71"/>
        <v>-2.4081084340365515</v>
      </c>
      <c r="AK242" s="136">
        <f t="shared" si="77"/>
        <v>-5.4931437802732441</v>
      </c>
      <c r="AL242" s="136">
        <f t="shared" si="72"/>
        <v>-5.4931437802732441</v>
      </c>
      <c r="AM242" s="136">
        <v>-10.5585</v>
      </c>
      <c r="AN242" s="186">
        <v>-2.04</v>
      </c>
      <c r="AO242" s="481"/>
      <c r="AP242" s="481"/>
      <c r="AQ242" s="186" t="s">
        <v>6312</v>
      </c>
      <c r="AR242" s="186" t="s">
        <v>6312</v>
      </c>
      <c r="AS242" s="183"/>
      <c r="AT242" s="137" t="s">
        <v>266</v>
      </c>
      <c r="AU242" s="135">
        <v>6</v>
      </c>
      <c r="AV242" s="135">
        <v>120</v>
      </c>
      <c r="AW242" s="135">
        <v>114</v>
      </c>
      <c r="AX242" s="135">
        <v>28</v>
      </c>
      <c r="AY242" s="135" t="s">
        <v>8728</v>
      </c>
      <c r="AZ242" s="135" t="s">
        <v>1563</v>
      </c>
      <c r="BA242" s="135">
        <v>32</v>
      </c>
      <c r="BB242" s="138" t="s">
        <v>2485</v>
      </c>
      <c r="BC242" s="458" t="s">
        <v>8726</v>
      </c>
      <c r="BD242" s="138" t="s">
        <v>8374</v>
      </c>
      <c r="BE242" s="135" t="s">
        <v>2449</v>
      </c>
      <c r="BF242" s="135" t="s">
        <v>272</v>
      </c>
      <c r="BG242" s="135" t="s">
        <v>272</v>
      </c>
      <c r="BH242" s="135" t="s">
        <v>2486</v>
      </c>
      <c r="BI242" s="185">
        <v>2.781632E-3</v>
      </c>
      <c r="BJ242" s="185">
        <v>27.816320000000001</v>
      </c>
      <c r="BK242" s="135"/>
      <c r="BL242" s="485">
        <v>6.6980856992758631E-5</v>
      </c>
      <c r="BM242" s="138" t="s">
        <v>2487</v>
      </c>
      <c r="BN242" s="135"/>
      <c r="BO242" s="135"/>
      <c r="BP242" s="135"/>
      <c r="BQ242" s="135"/>
      <c r="BR242" s="138" t="e">
        <v>#VALUE!</v>
      </c>
      <c r="BS242" s="135"/>
      <c r="BT242" s="135"/>
      <c r="BU242" s="135"/>
      <c r="BV242" s="135"/>
      <c r="BW242" s="135"/>
      <c r="BX242" s="135"/>
      <c r="BY242" s="135"/>
      <c r="BZ242" s="135"/>
      <c r="CA242" s="135"/>
      <c r="CB242" s="135"/>
      <c r="CC242" s="135"/>
      <c r="CD242" s="135"/>
      <c r="CE242" s="135"/>
      <c r="CF242" s="135"/>
      <c r="CG242" s="135"/>
      <c r="CH242" s="135"/>
      <c r="CI242" s="185"/>
      <c r="CJ242" s="187"/>
      <c r="CK242" s="136">
        <f t="shared" si="78"/>
        <v>2.4079697455579541E-6</v>
      </c>
      <c r="CL242" s="188"/>
      <c r="CM242" s="188"/>
      <c r="CN242" s="188"/>
      <c r="CO242" s="138" t="s">
        <v>2488</v>
      </c>
      <c r="CP242" s="189" t="s">
        <v>2489</v>
      </c>
      <c r="CQ242" s="191" t="s">
        <v>272</v>
      </c>
      <c r="CR242" s="191"/>
      <c r="CS242" s="135" t="s">
        <v>539</v>
      </c>
      <c r="CT242" s="135"/>
      <c r="CU242" s="135"/>
      <c r="CV242" s="332">
        <f t="shared" si="79"/>
        <v>2.1570071094954329E-2</v>
      </c>
      <c r="CW242" s="329">
        <f t="shared" si="80"/>
        <v>0</v>
      </c>
      <c r="CX242" s="329"/>
      <c r="CY242" s="189" t="s">
        <v>6351</v>
      </c>
    </row>
    <row r="243" spans="1:103" ht="11.25" customHeight="1" x14ac:dyDescent="0.2">
      <c r="A243" s="72">
        <v>524</v>
      </c>
      <c r="B243" s="183">
        <v>1597</v>
      </c>
      <c r="C243" s="133" t="s">
        <v>1099</v>
      </c>
      <c r="D243" s="133" t="s">
        <v>6683</v>
      </c>
      <c r="E243" s="134"/>
      <c r="F243" s="134" t="s">
        <v>1100</v>
      </c>
      <c r="G243" s="184">
        <v>51338273</v>
      </c>
      <c r="H243" s="138" t="s">
        <v>1101</v>
      </c>
      <c r="I243" s="138" t="s">
        <v>7924</v>
      </c>
      <c r="J243" s="138" t="s">
        <v>1102</v>
      </c>
      <c r="K243" s="138" t="s">
        <v>357</v>
      </c>
      <c r="L243" s="138" t="s">
        <v>5968</v>
      </c>
      <c r="M243" s="138" t="s">
        <v>6082</v>
      </c>
      <c r="N243" s="138" t="s">
        <v>6082</v>
      </c>
      <c r="O243" s="138" t="s">
        <v>6083</v>
      </c>
      <c r="P243" s="138"/>
      <c r="Q243" s="138"/>
      <c r="R243" s="138"/>
      <c r="S243" s="138"/>
      <c r="T243" s="135">
        <v>341.19</v>
      </c>
      <c r="U243" s="185">
        <v>0.8</v>
      </c>
      <c r="V243" s="185">
        <v>0.79369999999999996</v>
      </c>
      <c r="W243" s="185">
        <v>2.2542199752571164</v>
      </c>
      <c r="X243" s="185">
        <v>0.8</v>
      </c>
      <c r="Y243" s="204">
        <v>7</v>
      </c>
      <c r="Z243" s="135">
        <v>4.54</v>
      </c>
      <c r="AA243" s="135">
        <v>4.62</v>
      </c>
      <c r="AB243" s="135">
        <v>5.18</v>
      </c>
      <c r="AC243" s="135">
        <v>0.77900000000000003</v>
      </c>
      <c r="AD243" s="135">
        <v>4.8899999999999997</v>
      </c>
      <c r="AE243" s="135">
        <v>4.24</v>
      </c>
      <c r="AF243" s="135">
        <f t="shared" si="81"/>
        <v>4.62</v>
      </c>
      <c r="AG243" s="136">
        <v>4.49</v>
      </c>
      <c r="AH243" s="185">
        <v>8.5599999999999999E-8</v>
      </c>
      <c r="AI243" s="185">
        <v>1.9700000000000002E-6</v>
      </c>
      <c r="AJ243" s="136">
        <f t="shared" si="71"/>
        <v>-5.4560925616354989</v>
      </c>
      <c r="AK243" s="136">
        <f t="shared" si="77"/>
        <v>-4.0941001001510591</v>
      </c>
      <c r="AL243" s="136">
        <f t="shared" si="72"/>
        <v>-4.0941001001510591</v>
      </c>
      <c r="AM243" s="136">
        <v>-11.93689</v>
      </c>
      <c r="AN243" s="186">
        <v>-5.05</v>
      </c>
      <c r="AO243" s="481"/>
      <c r="AP243" s="481"/>
      <c r="AQ243" s="135" t="s">
        <v>6311</v>
      </c>
      <c r="AR243" s="135" t="s">
        <v>6312</v>
      </c>
      <c r="AS243" s="190"/>
      <c r="AT243" s="137" t="s">
        <v>266</v>
      </c>
      <c r="AU243" s="135">
        <v>6</v>
      </c>
      <c r="AV243" s="135">
        <v>120</v>
      </c>
      <c r="AW243" s="135">
        <v>114</v>
      </c>
      <c r="AX243" s="135">
        <v>28</v>
      </c>
      <c r="AY243" s="135" t="s">
        <v>8728</v>
      </c>
      <c r="AZ243" s="135" t="s">
        <v>1563</v>
      </c>
      <c r="BA243" s="135">
        <v>32</v>
      </c>
      <c r="BB243" s="138" t="s">
        <v>2485</v>
      </c>
      <c r="BC243" s="458" t="s">
        <v>8726</v>
      </c>
      <c r="BD243" s="138" t="s">
        <v>8374</v>
      </c>
      <c r="BE243" s="135" t="s">
        <v>2449</v>
      </c>
      <c r="BF243" s="135" t="s">
        <v>272</v>
      </c>
      <c r="BG243" s="135" t="s">
        <v>272</v>
      </c>
      <c r="BH243" s="135" t="s">
        <v>2486</v>
      </c>
      <c r="BI243" s="185">
        <v>2.1836159999999998E-3</v>
      </c>
      <c r="BJ243" s="185">
        <v>21.83616</v>
      </c>
      <c r="BK243" s="135"/>
      <c r="BL243" s="485">
        <v>1.4669735851957078</v>
      </c>
      <c r="BM243" s="138" t="s">
        <v>2487</v>
      </c>
      <c r="BN243" s="135"/>
      <c r="BO243" s="135"/>
      <c r="BP243" s="135"/>
      <c r="BQ243" s="135"/>
      <c r="BR243" s="138" t="e">
        <v>#VALUE!</v>
      </c>
      <c r="BS243" s="135"/>
      <c r="BT243" s="135"/>
      <c r="BU243" s="135"/>
      <c r="BV243" s="135"/>
      <c r="BW243" s="135"/>
      <c r="BX243" s="135"/>
      <c r="BY243" s="135"/>
      <c r="BZ243" s="135"/>
      <c r="CA243" s="135"/>
      <c r="CB243" s="135"/>
      <c r="CC243" s="135"/>
      <c r="CD243" s="135"/>
      <c r="CE243" s="135"/>
      <c r="CF243" s="135"/>
      <c r="CG243" s="135"/>
      <c r="CH243" s="135"/>
      <c r="CI243" s="185"/>
      <c r="CJ243" s="187"/>
      <c r="CK243" s="136">
        <f t="shared" si="78"/>
        <v>6.718093223330969E-2</v>
      </c>
      <c r="CL243" s="188"/>
      <c r="CM243" s="188">
        <v>-0.5335402578182048</v>
      </c>
      <c r="CN243" s="188">
        <f>BJ243/(10^CM243)</f>
        <v>74.596169253831093</v>
      </c>
      <c r="CO243" s="138" t="s">
        <v>2488</v>
      </c>
      <c r="CP243" s="189" t="s">
        <v>2489</v>
      </c>
      <c r="CQ243" s="183">
        <v>-0.30603162411377066</v>
      </c>
      <c r="CR243" s="191">
        <f>10^(CJ243-CQ243)</f>
        <v>2.0231664946601069</v>
      </c>
      <c r="CS243" s="135" t="s">
        <v>539</v>
      </c>
      <c r="CT243" s="135"/>
      <c r="CU243" s="135"/>
      <c r="CV243" s="332">
        <f t="shared" si="79"/>
        <v>3.6636478208622765E-2</v>
      </c>
      <c r="CW243" s="329">
        <f t="shared" si="80"/>
        <v>0</v>
      </c>
      <c r="CX243" s="329"/>
      <c r="CY243" s="189" t="s">
        <v>5921</v>
      </c>
    </row>
    <row r="244" spans="1:103" ht="11.25" customHeight="1" x14ac:dyDescent="0.2">
      <c r="A244" s="72">
        <v>525</v>
      </c>
      <c r="B244" s="183">
        <v>1420</v>
      </c>
      <c r="C244" s="133" t="s">
        <v>6807</v>
      </c>
      <c r="D244" s="133"/>
      <c r="E244" s="134"/>
      <c r="F244" s="134" t="s">
        <v>4369</v>
      </c>
      <c r="G244" s="184">
        <v>78637</v>
      </c>
      <c r="H244" s="138" t="s">
        <v>4370</v>
      </c>
      <c r="I244" s="138" t="s">
        <v>4370</v>
      </c>
      <c r="J244" s="138" t="s">
        <v>4371</v>
      </c>
      <c r="K244" s="138" t="s">
        <v>3026</v>
      </c>
      <c r="L244" s="138"/>
      <c r="M244" s="138"/>
      <c r="N244" s="138"/>
      <c r="O244" s="138"/>
      <c r="P244" s="138"/>
      <c r="Q244" s="138"/>
      <c r="R244" s="138"/>
      <c r="S244" s="138"/>
      <c r="T244" s="135">
        <v>290.44</v>
      </c>
      <c r="U244" s="185"/>
      <c r="V244" s="185">
        <v>3.524E-2</v>
      </c>
      <c r="W244" s="185">
        <v>0.10545239022742799</v>
      </c>
      <c r="X244" s="185">
        <v>0.10545239022742799</v>
      </c>
      <c r="Y244" s="204">
        <v>7</v>
      </c>
      <c r="Z244" s="135">
        <v>6.55</v>
      </c>
      <c r="AA244" s="135"/>
      <c r="AB244" s="135">
        <v>5</v>
      </c>
      <c r="AC244" s="135">
        <v>0.3659</v>
      </c>
      <c r="AD244" s="135">
        <v>5.58</v>
      </c>
      <c r="AE244" s="135">
        <v>5.93</v>
      </c>
      <c r="AF244" s="135">
        <f t="shared" si="81"/>
        <v>5.58</v>
      </c>
      <c r="AG244" s="136">
        <v>5.85</v>
      </c>
      <c r="AH244" s="185">
        <v>2.5699999999999998E-3</v>
      </c>
      <c r="AI244" s="185"/>
      <c r="AJ244" s="136">
        <f t="shared" si="71"/>
        <v>-0.97863320298135725</v>
      </c>
      <c r="AK244" s="136"/>
      <c r="AL244" s="136">
        <f t="shared" si="72"/>
        <v>-0.97863320298135725</v>
      </c>
      <c r="AM244" s="136">
        <v>-7.1837600000000004</v>
      </c>
      <c r="AN244" s="186">
        <v>-1.42</v>
      </c>
      <c r="AO244" s="481"/>
      <c r="AP244" s="481"/>
      <c r="AQ244" s="135" t="s">
        <v>6311</v>
      </c>
      <c r="AR244" s="135" t="s">
        <v>6311</v>
      </c>
      <c r="AS244" s="190"/>
      <c r="AT244" s="137" t="s">
        <v>266</v>
      </c>
      <c r="AU244" s="135">
        <v>6</v>
      </c>
      <c r="AV244" s="135">
        <v>120</v>
      </c>
      <c r="AW244" s="135">
        <v>114</v>
      </c>
      <c r="AX244" s="135">
        <v>28</v>
      </c>
      <c r="AY244" s="135" t="s">
        <v>8728</v>
      </c>
      <c r="AZ244" s="135" t="s">
        <v>1563</v>
      </c>
      <c r="BA244" s="135">
        <v>32</v>
      </c>
      <c r="BB244" s="138" t="s">
        <v>2485</v>
      </c>
      <c r="BC244" s="458" t="s">
        <v>8726</v>
      </c>
      <c r="BD244" s="138" t="s">
        <v>8374</v>
      </c>
      <c r="BE244" s="135" t="s">
        <v>2449</v>
      </c>
      <c r="BF244" s="135" t="s">
        <v>272</v>
      </c>
      <c r="BG244" s="135" t="s">
        <v>272</v>
      </c>
      <c r="BH244" s="135" t="s">
        <v>2486</v>
      </c>
      <c r="BI244" s="185">
        <v>1.8588159999999999E-3</v>
      </c>
      <c r="BJ244" s="185">
        <v>18.588160000000002</v>
      </c>
      <c r="BK244" s="135"/>
      <c r="BL244" s="485">
        <v>1.9556963629104411E-2</v>
      </c>
      <c r="BM244" s="138" t="s">
        <v>2487</v>
      </c>
      <c r="BN244" s="135"/>
      <c r="BO244" s="135"/>
      <c r="BP244" s="135"/>
      <c r="BQ244" s="135"/>
      <c r="BR244" s="138" t="e">
        <v>#VALUE!</v>
      </c>
      <c r="BS244" s="135"/>
      <c r="BT244" s="135"/>
      <c r="BU244" s="135"/>
      <c r="BV244" s="135"/>
      <c r="BW244" s="135"/>
      <c r="BX244" s="135"/>
      <c r="BY244" s="135"/>
      <c r="BZ244" s="135"/>
      <c r="CA244" s="135"/>
      <c r="CB244" s="135"/>
      <c r="CC244" s="135"/>
      <c r="CD244" s="135"/>
      <c r="CE244" s="135"/>
      <c r="CF244" s="135"/>
      <c r="CG244" s="135"/>
      <c r="CH244" s="135"/>
      <c r="CI244" s="185"/>
      <c r="CJ244" s="187"/>
      <c r="CK244" s="136">
        <f t="shared" si="78"/>
        <v>1.0521193936949332E-3</v>
      </c>
      <c r="CL244" s="188"/>
      <c r="CM244" s="188"/>
      <c r="CN244" s="188"/>
      <c r="CO244" s="138" t="s">
        <v>2488</v>
      </c>
      <c r="CP244" s="189" t="s">
        <v>2489</v>
      </c>
      <c r="CQ244" s="191" t="s">
        <v>272</v>
      </c>
      <c r="CR244" s="191"/>
      <c r="CS244" s="135" t="s">
        <v>539</v>
      </c>
      <c r="CT244" s="135"/>
      <c r="CU244" s="135"/>
      <c r="CV244" s="332">
        <f t="shared" si="79"/>
        <v>5.6730946057828198E-3</v>
      </c>
      <c r="CW244" s="329">
        <f t="shared" si="80"/>
        <v>0</v>
      </c>
      <c r="CX244" s="329"/>
      <c r="CY244" s="189" t="s">
        <v>6351</v>
      </c>
    </row>
    <row r="245" spans="1:103" ht="11.25" customHeight="1" x14ac:dyDescent="0.2">
      <c r="A245" s="72">
        <v>526</v>
      </c>
      <c r="B245" s="183">
        <v>1098</v>
      </c>
      <c r="C245" s="133" t="s">
        <v>6808</v>
      </c>
      <c r="D245" s="133"/>
      <c r="E245" s="134"/>
      <c r="F245" s="134" t="s">
        <v>3074</v>
      </c>
      <c r="G245" s="184">
        <v>80433</v>
      </c>
      <c r="H245" s="138" t="s">
        <v>3075</v>
      </c>
      <c r="I245" s="138" t="s">
        <v>3075</v>
      </c>
      <c r="J245" s="138" t="s">
        <v>3076</v>
      </c>
      <c r="K245" s="138" t="s">
        <v>3026</v>
      </c>
      <c r="L245" s="138"/>
      <c r="M245" s="138"/>
      <c r="N245" s="138"/>
      <c r="O245" s="138"/>
      <c r="P245" s="138"/>
      <c r="Q245" s="138"/>
      <c r="R245" s="138"/>
      <c r="S245" s="138"/>
      <c r="T245" s="135">
        <v>270.37</v>
      </c>
      <c r="U245" s="185">
        <v>0.46</v>
      </c>
      <c r="V245" s="185">
        <v>0.36530000000000001</v>
      </c>
      <c r="W245" s="185">
        <v>0.46984921006896857</v>
      </c>
      <c r="X245" s="185">
        <v>0.46</v>
      </c>
      <c r="Y245" s="204">
        <v>7</v>
      </c>
      <c r="Z245" s="135">
        <v>5.88</v>
      </c>
      <c r="AA245" s="135">
        <v>5.5</v>
      </c>
      <c r="AB245" s="135">
        <v>5.31</v>
      </c>
      <c r="AC245" s="135">
        <v>0.74119999999999997</v>
      </c>
      <c r="AD245" s="135">
        <v>5.44</v>
      </c>
      <c r="AE245" s="135">
        <v>5.71</v>
      </c>
      <c r="AF245" s="135">
        <f t="shared" si="81"/>
        <v>5.5</v>
      </c>
      <c r="AG245" s="136">
        <v>5.01</v>
      </c>
      <c r="AH245" s="185">
        <v>4.4199999999999997E-5</v>
      </c>
      <c r="AI245" s="185"/>
      <c r="AJ245" s="136">
        <f t="shared" si="71"/>
        <v>-2.7431440569635601</v>
      </c>
      <c r="AK245" s="136"/>
      <c r="AL245" s="136">
        <f t="shared" si="72"/>
        <v>-2.7431440569635601</v>
      </c>
      <c r="AM245" s="136">
        <v>-8.6399699999999999</v>
      </c>
      <c r="AN245" s="186">
        <v>-2.39</v>
      </c>
      <c r="AO245" s="481"/>
      <c r="AP245" s="481"/>
      <c r="AQ245" s="135" t="s">
        <v>6311</v>
      </c>
      <c r="AR245" s="135" t="s">
        <v>6311</v>
      </c>
      <c r="AS245" s="190"/>
      <c r="AT245" s="137" t="s">
        <v>266</v>
      </c>
      <c r="AU245" s="135">
        <v>6</v>
      </c>
      <c r="AV245" s="135">
        <v>120</v>
      </c>
      <c r="AW245" s="135">
        <v>114</v>
      </c>
      <c r="AX245" s="135">
        <v>28</v>
      </c>
      <c r="AY245" s="135" t="s">
        <v>8728</v>
      </c>
      <c r="AZ245" s="135" t="s">
        <v>1563</v>
      </c>
      <c r="BA245" s="135">
        <v>32</v>
      </c>
      <c r="BB245" s="138" t="s">
        <v>2485</v>
      </c>
      <c r="BC245" s="458" t="s">
        <v>8726</v>
      </c>
      <c r="BD245" s="138" t="s">
        <v>8374</v>
      </c>
      <c r="BE245" s="135" t="s">
        <v>2449</v>
      </c>
      <c r="BF245" s="135" t="s">
        <v>272</v>
      </c>
      <c r="BG245" s="135" t="s">
        <v>272</v>
      </c>
      <c r="BH245" s="135" t="s">
        <v>2486</v>
      </c>
      <c r="BI245" s="185">
        <v>1.7303679999999999E-3</v>
      </c>
      <c r="BJ245" s="185">
        <v>17.30368</v>
      </c>
      <c r="BK245" s="135"/>
      <c r="BL245" s="485">
        <v>7.2766334923549419E-2</v>
      </c>
      <c r="BM245" s="138" t="s">
        <v>2487</v>
      </c>
      <c r="BN245" s="135"/>
      <c r="BO245" s="135"/>
      <c r="BP245" s="135"/>
      <c r="BQ245" s="135"/>
      <c r="BR245" s="138" t="e">
        <v>#VALUE!</v>
      </c>
      <c r="BS245" s="135"/>
      <c r="BT245" s="135"/>
      <c r="BU245" s="135">
        <v>0.17303680000000002</v>
      </c>
      <c r="BV245" s="135"/>
      <c r="BW245" s="135"/>
      <c r="BX245" s="135"/>
      <c r="BY245" s="135"/>
      <c r="BZ245" s="135"/>
      <c r="CA245" s="135"/>
      <c r="CB245" s="135"/>
      <c r="CC245" s="135"/>
      <c r="CD245" s="135"/>
      <c r="CE245" s="135"/>
      <c r="CF245" s="135"/>
      <c r="CG245" s="135"/>
      <c r="CH245" s="135"/>
      <c r="CI245" s="185"/>
      <c r="CJ245" s="187"/>
      <c r="CK245" s="136">
        <f t="shared" si="78"/>
        <v>4.2052519997797817E-3</v>
      </c>
      <c r="CL245" s="188"/>
      <c r="CM245" s="188"/>
      <c r="CN245" s="188"/>
      <c r="CO245" s="138" t="s">
        <v>2488</v>
      </c>
      <c r="CP245" s="189" t="s">
        <v>2489</v>
      </c>
      <c r="CQ245" s="191" t="s">
        <v>272</v>
      </c>
      <c r="CR245" s="191"/>
      <c r="CS245" s="135" t="s">
        <v>539</v>
      </c>
      <c r="CT245" s="135"/>
      <c r="CU245" s="135"/>
      <c r="CV245" s="332">
        <f t="shared" si="79"/>
        <v>2.6583940525945926E-2</v>
      </c>
      <c r="CW245" s="329">
        <f t="shared" si="80"/>
        <v>0</v>
      </c>
      <c r="CX245" s="329"/>
      <c r="CY245" s="189" t="s">
        <v>6351</v>
      </c>
    </row>
    <row r="246" spans="1:103" ht="11.25" customHeight="1" x14ac:dyDescent="0.2">
      <c r="A246" s="72">
        <v>528</v>
      </c>
      <c r="B246" s="183">
        <v>1180</v>
      </c>
      <c r="C246" s="133" t="s">
        <v>6810</v>
      </c>
      <c r="D246" s="133"/>
      <c r="E246" s="134"/>
      <c r="F246" s="134" t="s">
        <v>3254</v>
      </c>
      <c r="G246" s="184">
        <v>84162</v>
      </c>
      <c r="H246" s="138" t="s">
        <v>3255</v>
      </c>
      <c r="I246" s="138" t="s">
        <v>3255</v>
      </c>
      <c r="J246" s="138" t="s">
        <v>3256</v>
      </c>
      <c r="K246" s="138" t="s">
        <v>376</v>
      </c>
      <c r="L246" s="138"/>
      <c r="M246" s="138"/>
      <c r="N246" s="138"/>
      <c r="O246" s="138"/>
      <c r="P246" s="138"/>
      <c r="Q246" s="138"/>
      <c r="R246" s="138"/>
      <c r="S246" s="138"/>
      <c r="T246" s="135">
        <v>270.37</v>
      </c>
      <c r="U246" s="185">
        <v>12</v>
      </c>
      <c r="V246" s="185">
        <v>1.149</v>
      </c>
      <c r="W246" s="185">
        <v>23.54824258164254</v>
      </c>
      <c r="X246" s="185">
        <v>12</v>
      </c>
      <c r="Y246" s="204">
        <v>6.81</v>
      </c>
      <c r="Z246" s="135">
        <v>5.6</v>
      </c>
      <c r="AA246" s="135"/>
      <c r="AB246" s="135">
        <v>4.0199999999999996</v>
      </c>
      <c r="AC246" s="135">
        <v>0.6401</v>
      </c>
      <c r="AD246" s="135">
        <v>4.45</v>
      </c>
      <c r="AE246" s="135">
        <v>4.9800000000000004</v>
      </c>
      <c r="AF246" s="135">
        <f t="shared" si="81"/>
        <v>4.45</v>
      </c>
      <c r="AG246" s="136">
        <v>5.05</v>
      </c>
      <c r="AH246" s="185">
        <v>2.1399999999999998E-11</v>
      </c>
      <c r="AI246" s="185"/>
      <c r="AJ246" s="136">
        <f t="shared" si="71"/>
        <v>-9.0581525529634614</v>
      </c>
      <c r="AK246" s="136"/>
      <c r="AL246" s="136">
        <f t="shared" si="72"/>
        <v>-9.0581525529634614</v>
      </c>
      <c r="AM246" s="136">
        <v>-14.286290000000001</v>
      </c>
      <c r="AN246" s="186">
        <v>-9.82</v>
      </c>
      <c r="AO246" s="481">
        <v>9.8000000000000007</v>
      </c>
      <c r="AP246" s="481"/>
      <c r="AQ246" s="135" t="s">
        <v>6311</v>
      </c>
      <c r="AR246" s="135" t="s">
        <v>6311</v>
      </c>
      <c r="AS246" s="190"/>
      <c r="AT246" s="137" t="s">
        <v>266</v>
      </c>
      <c r="AU246" s="135">
        <v>6</v>
      </c>
      <c r="AV246" s="135">
        <v>120</v>
      </c>
      <c r="AW246" s="135">
        <v>114</v>
      </c>
      <c r="AX246" s="135">
        <v>28</v>
      </c>
      <c r="AY246" s="135" t="s">
        <v>8728</v>
      </c>
      <c r="AZ246" s="135" t="s">
        <v>1563</v>
      </c>
      <c r="BA246" s="135">
        <v>32</v>
      </c>
      <c r="BB246" s="138" t="s">
        <v>2485</v>
      </c>
      <c r="BC246" s="458" t="s">
        <v>8726</v>
      </c>
      <c r="BD246" s="138" t="s">
        <v>8374</v>
      </c>
      <c r="BE246" s="135" t="s">
        <v>2449</v>
      </c>
      <c r="BF246" s="135" t="s">
        <v>272</v>
      </c>
      <c r="BG246" s="135" t="s">
        <v>272</v>
      </c>
      <c r="BH246" s="135" t="s">
        <v>2486</v>
      </c>
      <c r="BI246" s="185">
        <v>1.7303679999999999E-3</v>
      </c>
      <c r="BJ246" s="185">
        <v>17.30368</v>
      </c>
      <c r="BK246" s="135"/>
      <c r="BL246" s="485">
        <v>0.12983700862962413</v>
      </c>
      <c r="BM246" s="138" t="s">
        <v>2487</v>
      </c>
      <c r="BN246" s="135"/>
      <c r="BO246" s="135"/>
      <c r="BP246" s="135"/>
      <c r="BQ246" s="135"/>
      <c r="BR246" s="138" t="e">
        <v>#VALUE!</v>
      </c>
      <c r="BS246" s="135"/>
      <c r="BT246" s="135"/>
      <c r="BU246" s="135">
        <v>17.30368</v>
      </c>
      <c r="BV246" s="135"/>
      <c r="BW246" s="135"/>
      <c r="BX246" s="135"/>
      <c r="BY246" s="135"/>
      <c r="BZ246" s="135"/>
      <c r="CA246" s="135"/>
      <c r="CB246" s="135"/>
      <c r="CC246" s="135"/>
      <c r="CD246" s="135"/>
      <c r="CE246" s="135"/>
      <c r="CF246" s="135"/>
      <c r="CG246" s="135"/>
      <c r="CH246" s="135"/>
      <c r="CI246" s="185"/>
      <c r="CJ246" s="187"/>
      <c r="CK246" s="136">
        <f t="shared" si="78"/>
        <v>7.5034332945144696E-3</v>
      </c>
      <c r="CL246" s="188"/>
      <c r="CM246" s="188"/>
      <c r="CN246" s="188"/>
      <c r="CO246" s="138" t="s">
        <v>2488</v>
      </c>
      <c r="CP246" s="189" t="s">
        <v>2489</v>
      </c>
      <c r="CQ246" s="191" t="s">
        <v>272</v>
      </c>
      <c r="CR246" s="191"/>
      <c r="CS246" s="135" t="s">
        <v>539</v>
      </c>
      <c r="CT246" s="135"/>
      <c r="CU246" s="135"/>
      <c r="CV246" s="332">
        <f t="shared" si="79"/>
        <v>0.69349410067685024</v>
      </c>
      <c r="CW246" s="329">
        <f t="shared" si="80"/>
        <v>0</v>
      </c>
      <c r="CX246" s="329"/>
      <c r="CY246" s="189" t="s">
        <v>5921</v>
      </c>
    </row>
    <row r="247" spans="1:103" ht="11.25" customHeight="1" x14ac:dyDescent="0.2">
      <c r="A247" s="72">
        <v>529</v>
      </c>
      <c r="B247" s="183">
        <v>1608</v>
      </c>
      <c r="C247" s="133" t="s">
        <v>6811</v>
      </c>
      <c r="D247" s="133"/>
      <c r="E247" s="134"/>
      <c r="F247" s="134" t="s">
        <v>4771</v>
      </c>
      <c r="G247" s="184">
        <v>84753</v>
      </c>
      <c r="H247" s="138" t="s">
        <v>4772</v>
      </c>
      <c r="I247" s="138" t="s">
        <v>4772</v>
      </c>
      <c r="J247" s="138" t="s">
        <v>4773</v>
      </c>
      <c r="K247" s="138" t="s">
        <v>357</v>
      </c>
      <c r="L247" s="138"/>
      <c r="M247" s="138"/>
      <c r="N247" s="138"/>
      <c r="O247" s="138"/>
      <c r="P247" s="138"/>
      <c r="Q247" s="138" t="s">
        <v>6173</v>
      </c>
      <c r="R247" s="138" t="s">
        <v>6174</v>
      </c>
      <c r="S247" s="138" t="s">
        <v>6176</v>
      </c>
      <c r="T247" s="135">
        <v>334.45</v>
      </c>
      <c r="U247" s="185">
        <v>4.9999999999999996E-2</v>
      </c>
      <c r="V247" s="185">
        <v>1.1509999999999998E-2</v>
      </c>
      <c r="W247" s="185">
        <v>1.3314694319161693</v>
      </c>
      <c r="X247" s="185">
        <v>4.9999999999999996E-2</v>
      </c>
      <c r="Y247" s="204">
        <v>7</v>
      </c>
      <c r="Z247" s="135">
        <v>6.57</v>
      </c>
      <c r="AA247" s="135">
        <v>6.82</v>
      </c>
      <c r="AB247" s="135">
        <v>6.78</v>
      </c>
      <c r="AC247" s="135">
        <v>0.81950000000000001</v>
      </c>
      <c r="AD247" s="135">
        <v>6.83</v>
      </c>
      <c r="AE247" s="135">
        <v>6.95</v>
      </c>
      <c r="AF247" s="135">
        <f t="shared" si="81"/>
        <v>6.82</v>
      </c>
      <c r="AG247" s="136">
        <v>5.74</v>
      </c>
      <c r="AH247" s="185">
        <v>3.8E-6</v>
      </c>
      <c r="AI247" s="185">
        <v>2.5700000000000001E-5</v>
      </c>
      <c r="AJ247" s="136">
        <f t="shared" ref="AJ247:AJ278" si="82">LOG10(AH247*1000/(0.08206*298.15))</f>
        <v>-3.8087827296958419</v>
      </c>
      <c r="AK247" s="136">
        <f>LOG10(AI247*1000/(0.08206*298.15))</f>
        <v>-2.9786332029813574</v>
      </c>
      <c r="AL247" s="136">
        <f t="shared" ref="AL247:AL278" si="83">IF(AK247=0,AJ247,AK247)</f>
        <v>-2.9786332029813574</v>
      </c>
      <c r="AM247" s="136">
        <v>-9.4628000000000014</v>
      </c>
      <c r="AN247" s="186">
        <v>-4.1399999999999997</v>
      </c>
      <c r="AO247" s="481"/>
      <c r="AP247" s="481"/>
      <c r="AQ247" s="135" t="s">
        <v>6311</v>
      </c>
      <c r="AR247" s="135" t="s">
        <v>6312</v>
      </c>
      <c r="AS247" s="190"/>
      <c r="AT247" s="137" t="s">
        <v>266</v>
      </c>
      <c r="AU247" s="135">
        <v>6</v>
      </c>
      <c r="AV247" s="135">
        <v>120</v>
      </c>
      <c r="AW247" s="135">
        <v>114</v>
      </c>
      <c r="AX247" s="135">
        <v>28</v>
      </c>
      <c r="AY247" s="135" t="s">
        <v>8728</v>
      </c>
      <c r="AZ247" s="135" t="s">
        <v>1563</v>
      </c>
      <c r="BA247" s="135">
        <v>32</v>
      </c>
      <c r="BB247" s="138" t="s">
        <v>2485</v>
      </c>
      <c r="BC247" s="458" t="s">
        <v>8726</v>
      </c>
      <c r="BD247" s="138" t="s">
        <v>8374</v>
      </c>
      <c r="BE247" s="135" t="s">
        <v>2449</v>
      </c>
      <c r="BF247" s="135" t="s">
        <v>272</v>
      </c>
      <c r="BG247" s="135" t="s">
        <v>272</v>
      </c>
      <c r="BH247" s="135" t="s">
        <v>2486</v>
      </c>
      <c r="BI247" s="185">
        <v>2.1404799999999997E-3</v>
      </c>
      <c r="BJ247" s="185">
        <v>21.404799999999998</v>
      </c>
      <c r="BK247" s="135"/>
      <c r="BL247" s="485">
        <v>2.1607981546613867E-2</v>
      </c>
      <c r="BM247" s="138" t="s">
        <v>2487</v>
      </c>
      <c r="BN247" s="135"/>
      <c r="BO247" s="135"/>
      <c r="BP247" s="135"/>
      <c r="BQ247" s="135"/>
      <c r="BR247" s="138" t="e">
        <v>#VALUE!</v>
      </c>
      <c r="BS247" s="135"/>
      <c r="BT247" s="135"/>
      <c r="BU247" s="135"/>
      <c r="BV247" s="135"/>
      <c r="BW247" s="135"/>
      <c r="BX247" s="135"/>
      <c r="BY247" s="135"/>
      <c r="BZ247" s="135"/>
      <c r="CA247" s="135"/>
      <c r="CB247" s="135"/>
      <c r="CC247" s="135"/>
      <c r="CD247" s="135"/>
      <c r="CE247" s="135"/>
      <c r="CF247" s="135"/>
      <c r="CG247" s="135"/>
      <c r="CH247" s="135"/>
      <c r="CI247" s="185"/>
      <c r="CJ247" s="187"/>
      <c r="CK247" s="136">
        <f t="shared" si="78"/>
        <v>1.0094923356730205E-3</v>
      </c>
      <c r="CL247" s="188"/>
      <c r="CM247" s="188"/>
      <c r="CN247" s="188"/>
      <c r="CO247" s="138" t="s">
        <v>2488</v>
      </c>
      <c r="CP247" s="189" t="s">
        <v>2489</v>
      </c>
      <c r="CQ247" s="191" t="s">
        <v>272</v>
      </c>
      <c r="CR247" s="191"/>
      <c r="CS247" s="135" t="s">
        <v>539</v>
      </c>
      <c r="CT247" s="135"/>
      <c r="CU247" s="135"/>
      <c r="CV247" s="332">
        <f t="shared" si="79"/>
        <v>2.3359246524144116E-3</v>
      </c>
      <c r="CW247" s="329">
        <f t="shared" si="80"/>
        <v>0</v>
      </c>
      <c r="CX247" s="329"/>
      <c r="CY247" s="189" t="s">
        <v>5921</v>
      </c>
    </row>
    <row r="248" spans="1:103" ht="11.25" customHeight="1" x14ac:dyDescent="0.2">
      <c r="A248" s="72">
        <v>530</v>
      </c>
      <c r="B248" s="183">
        <v>1923</v>
      </c>
      <c r="C248" s="133" t="s">
        <v>6812</v>
      </c>
      <c r="D248" s="133"/>
      <c r="E248" s="134"/>
      <c r="F248" s="134" t="s">
        <v>5402</v>
      </c>
      <c r="G248" s="184">
        <v>89043</v>
      </c>
      <c r="H248" s="138" t="s">
        <v>5403</v>
      </c>
      <c r="I248" s="138" t="s">
        <v>5403</v>
      </c>
      <c r="J248" s="138" t="s">
        <v>5404</v>
      </c>
      <c r="K248" s="138" t="s">
        <v>357</v>
      </c>
      <c r="L248" s="138"/>
      <c r="M248" s="138"/>
      <c r="N248" s="138"/>
      <c r="O248" s="138"/>
      <c r="P248" s="138"/>
      <c r="Q248" s="138"/>
      <c r="R248" s="138"/>
      <c r="S248" s="138"/>
      <c r="T248" s="135">
        <v>546.78</v>
      </c>
      <c r="U248" s="185"/>
      <c r="V248" s="185">
        <v>2.9239999999999999E-8</v>
      </c>
      <c r="W248" s="185">
        <v>6.7268635850479142E-4</v>
      </c>
      <c r="X248" s="185">
        <v>6.7268635850479142E-4</v>
      </c>
      <c r="Y248" s="204">
        <v>7</v>
      </c>
      <c r="Z248" s="135">
        <v>11.81</v>
      </c>
      <c r="AA248" s="135"/>
      <c r="AB248" s="135">
        <v>11.58</v>
      </c>
      <c r="AC248" s="135">
        <v>0.60699999999999998</v>
      </c>
      <c r="AD248" s="135">
        <v>12.38</v>
      </c>
      <c r="AE248" s="135">
        <v>13.35</v>
      </c>
      <c r="AF248" s="135">
        <f t="shared" si="81"/>
        <v>12.38</v>
      </c>
      <c r="AG248" s="136">
        <v>10.35</v>
      </c>
      <c r="AH248" s="185">
        <v>5.5300000000000004E-7</v>
      </c>
      <c r="AI248" s="185"/>
      <c r="AJ248" s="136">
        <f t="shared" si="82"/>
        <v>-4.6458411950079537</v>
      </c>
      <c r="AK248" s="136"/>
      <c r="AL248" s="136">
        <f t="shared" si="83"/>
        <v>-4.6458411950079537</v>
      </c>
      <c r="AM248" s="136">
        <v>-13.818409999999998</v>
      </c>
      <c r="AN248" s="186">
        <v>-5.13</v>
      </c>
      <c r="AO248" s="481"/>
      <c r="AP248" s="481"/>
      <c r="AQ248" s="186" t="s">
        <v>6311</v>
      </c>
      <c r="AR248" s="186" t="s">
        <v>6312</v>
      </c>
      <c r="AS248" s="183"/>
      <c r="AT248" s="137" t="s">
        <v>266</v>
      </c>
      <c r="AU248" s="135">
        <v>6</v>
      </c>
      <c r="AV248" s="135">
        <v>120</v>
      </c>
      <c r="AW248" s="135">
        <v>114</v>
      </c>
      <c r="AX248" s="135">
        <v>28</v>
      </c>
      <c r="AY248" s="135" t="s">
        <v>8728</v>
      </c>
      <c r="AZ248" s="135" t="s">
        <v>1563</v>
      </c>
      <c r="BA248" s="135">
        <v>32</v>
      </c>
      <c r="BB248" s="138" t="s">
        <v>2485</v>
      </c>
      <c r="BC248" s="458" t="s">
        <v>8726</v>
      </c>
      <c r="BD248" s="138" t="s">
        <v>8374</v>
      </c>
      <c r="BE248" s="135" t="s">
        <v>2449</v>
      </c>
      <c r="BF248" s="135" t="s">
        <v>272</v>
      </c>
      <c r="BG248" s="135" t="s">
        <v>272</v>
      </c>
      <c r="BH248" s="135" t="s">
        <v>2486</v>
      </c>
      <c r="BI248" s="185">
        <v>3.4993919999999996E-3</v>
      </c>
      <c r="BJ248" s="185">
        <v>34.993919999999996</v>
      </c>
      <c r="BK248" s="135"/>
      <c r="BL248" s="485">
        <v>6.9510693375318262E-7</v>
      </c>
      <c r="BM248" s="138" t="s">
        <v>2487</v>
      </c>
      <c r="BN248" s="135"/>
      <c r="BO248" s="135"/>
      <c r="BP248" s="135"/>
      <c r="BQ248" s="135"/>
      <c r="BR248" s="138" t="e">
        <v>#VALUE!</v>
      </c>
      <c r="BS248" s="135"/>
      <c r="BT248" s="135"/>
      <c r="BU248" s="135"/>
      <c r="BV248" s="135"/>
      <c r="BW248" s="135"/>
      <c r="BX248" s="135"/>
      <c r="BY248" s="135"/>
      <c r="BZ248" s="135"/>
      <c r="CA248" s="135"/>
      <c r="CB248" s="135"/>
      <c r="CC248" s="135"/>
      <c r="CD248" s="135"/>
      <c r="CE248" s="135"/>
      <c r="CF248" s="135"/>
      <c r="CG248" s="135"/>
      <c r="CH248" s="135"/>
      <c r="CI248" s="185"/>
      <c r="CJ248" s="187"/>
      <c r="CK248" s="136">
        <f t="shared" si="78"/>
        <v>1.9863648706780569E-8</v>
      </c>
      <c r="CL248" s="188"/>
      <c r="CM248" s="188"/>
      <c r="CN248" s="188"/>
      <c r="CO248" s="138" t="s">
        <v>2488</v>
      </c>
      <c r="CP248" s="189" t="s">
        <v>2489</v>
      </c>
      <c r="CQ248" s="191" t="s">
        <v>272</v>
      </c>
      <c r="CR248" s="191"/>
      <c r="CS248" s="135" t="s">
        <v>539</v>
      </c>
      <c r="CT248" s="135"/>
      <c r="CU248" s="135"/>
      <c r="CV248" s="332">
        <f t="shared" si="79"/>
        <v>1.9222949543943392E-5</v>
      </c>
      <c r="CW248" s="329">
        <f t="shared" si="80"/>
        <v>0</v>
      </c>
      <c r="CX248" s="329"/>
      <c r="CY248" s="189" t="s">
        <v>6351</v>
      </c>
    </row>
    <row r="249" spans="1:103" ht="11.25" customHeight="1" x14ac:dyDescent="0.2">
      <c r="A249" s="72">
        <v>531</v>
      </c>
      <c r="B249" s="183">
        <v>1456</v>
      </c>
      <c r="C249" s="133" t="s">
        <v>6813</v>
      </c>
      <c r="D249" s="133"/>
      <c r="E249" s="134"/>
      <c r="F249" s="134" t="s">
        <v>4476</v>
      </c>
      <c r="G249" s="184">
        <v>92682</v>
      </c>
      <c r="H249" s="138" t="s">
        <v>4477</v>
      </c>
      <c r="I249" s="138" t="s">
        <v>4477</v>
      </c>
      <c r="J249" s="138" t="s">
        <v>4478</v>
      </c>
      <c r="K249" s="138" t="s">
        <v>426</v>
      </c>
      <c r="L249" s="140"/>
      <c r="M249" s="138"/>
      <c r="N249" s="138"/>
      <c r="O249" s="138"/>
      <c r="P249" s="138"/>
      <c r="Q249" s="138"/>
      <c r="R249" s="138"/>
      <c r="S249" s="138"/>
      <c r="T249" s="135">
        <v>180.29</v>
      </c>
      <c r="U249" s="185"/>
      <c r="V249" s="185">
        <v>30.41</v>
      </c>
      <c r="W249" s="185">
        <v>207.00061641967292</v>
      </c>
      <c r="X249" s="185">
        <v>207.00061641967292</v>
      </c>
      <c r="Y249" s="204">
        <v>7</v>
      </c>
      <c r="Z249" s="135">
        <v>3.81</v>
      </c>
      <c r="AA249" s="135"/>
      <c r="AB249" s="135">
        <v>2.85</v>
      </c>
      <c r="AC249" s="135">
        <v>0.60740000000000005</v>
      </c>
      <c r="AD249" s="135">
        <v>3.07</v>
      </c>
      <c r="AE249" s="135">
        <v>3.31</v>
      </c>
      <c r="AF249" s="135">
        <f t="shared" si="81"/>
        <v>3.07</v>
      </c>
      <c r="AG249" s="136">
        <v>4.72</v>
      </c>
      <c r="AH249" s="185">
        <v>1.2300000000000001E-4</v>
      </c>
      <c r="AI249" s="185"/>
      <c r="AJ249" s="136">
        <f t="shared" si="82"/>
        <v>-2.2986612148732539</v>
      </c>
      <c r="AK249" s="136"/>
      <c r="AL249" s="136">
        <f t="shared" si="83"/>
        <v>-2.2986612148732539</v>
      </c>
      <c r="AM249" s="136">
        <v>-4.8055599999999998</v>
      </c>
      <c r="AN249" s="186">
        <v>-1.51</v>
      </c>
      <c r="AO249" s="481"/>
      <c r="AP249" s="481"/>
      <c r="AQ249" s="135" t="s">
        <v>6311</v>
      </c>
      <c r="AR249" s="135" t="s">
        <v>6311</v>
      </c>
      <c r="AS249" s="190"/>
      <c r="AT249" s="137" t="s">
        <v>266</v>
      </c>
      <c r="AU249" s="135">
        <v>6</v>
      </c>
      <c r="AV249" s="135">
        <v>120</v>
      </c>
      <c r="AW249" s="135">
        <v>114</v>
      </c>
      <c r="AX249" s="135">
        <v>28</v>
      </c>
      <c r="AY249" s="135" t="s">
        <v>8728</v>
      </c>
      <c r="AZ249" s="135" t="s">
        <v>1563</v>
      </c>
      <c r="BA249" s="135">
        <v>32</v>
      </c>
      <c r="BB249" s="138" t="s">
        <v>2485</v>
      </c>
      <c r="BC249" s="458" t="s">
        <v>8726</v>
      </c>
      <c r="BD249" s="138" t="s">
        <v>8374</v>
      </c>
      <c r="BE249" s="135" t="s">
        <v>2449</v>
      </c>
      <c r="BF249" s="135" t="s">
        <v>272</v>
      </c>
      <c r="BG249" s="135" t="s">
        <v>272</v>
      </c>
      <c r="BH249" s="135" t="s">
        <v>2486</v>
      </c>
      <c r="BI249" s="185">
        <v>1.153856E-3</v>
      </c>
      <c r="BJ249" s="185">
        <v>11.53856</v>
      </c>
      <c r="BK249" s="135"/>
      <c r="BL249" s="485">
        <v>3.5076046627850683</v>
      </c>
      <c r="BM249" s="138" t="s">
        <v>2487</v>
      </c>
      <c r="BN249" s="135"/>
      <c r="BO249" s="135"/>
      <c r="BP249" s="135"/>
      <c r="BQ249" s="135"/>
      <c r="BR249" s="138" t="e">
        <v>#VALUE!</v>
      </c>
      <c r="BS249" s="135"/>
      <c r="BT249" s="135"/>
      <c r="BU249" s="135"/>
      <c r="BV249" s="135"/>
      <c r="BW249" s="135"/>
      <c r="BX249" s="135"/>
      <c r="BY249" s="135"/>
      <c r="BZ249" s="135"/>
      <c r="CA249" s="135"/>
      <c r="CB249" s="135"/>
      <c r="CC249" s="135"/>
      <c r="CD249" s="135"/>
      <c r="CE249" s="135"/>
      <c r="CF249" s="135"/>
      <c r="CG249" s="135"/>
      <c r="CH249" s="135"/>
      <c r="CI249" s="185"/>
      <c r="CJ249" s="187"/>
      <c r="CK249" s="136">
        <f t="shared" si="78"/>
        <v>0.30398981006166004</v>
      </c>
      <c r="CL249" s="188"/>
      <c r="CM249" s="188"/>
      <c r="CN249" s="188"/>
      <c r="CO249" s="138" t="s">
        <v>2488</v>
      </c>
      <c r="CP249" s="189" t="s">
        <v>2489</v>
      </c>
      <c r="CQ249" s="191" t="s">
        <v>272</v>
      </c>
      <c r="CR249" s="191"/>
      <c r="CS249" s="135" t="s">
        <v>539</v>
      </c>
      <c r="CT249" s="135"/>
      <c r="CU249" s="135"/>
      <c r="CV249" s="332">
        <f t="shared" si="79"/>
        <v>17.939900335888787</v>
      </c>
      <c r="CW249" s="329">
        <f t="shared" si="80"/>
        <v>1</v>
      </c>
      <c r="CX249" s="329"/>
      <c r="CY249" s="189" t="s">
        <v>5921</v>
      </c>
    </row>
    <row r="250" spans="1:103" ht="11.25" customHeight="1" x14ac:dyDescent="0.2">
      <c r="A250" s="72">
        <v>532</v>
      </c>
      <c r="B250" s="183">
        <v>1216</v>
      </c>
      <c r="C250" s="133" t="s">
        <v>3354</v>
      </c>
      <c r="D250" s="133" t="s">
        <v>6809</v>
      </c>
      <c r="E250" s="134"/>
      <c r="F250" s="134" t="s">
        <v>3355</v>
      </c>
      <c r="G250" s="184">
        <v>116714466</v>
      </c>
      <c r="H250" s="138" t="s">
        <v>3356</v>
      </c>
      <c r="I250" s="138" t="s">
        <v>7925</v>
      </c>
      <c r="J250" s="138" t="s">
        <v>3357</v>
      </c>
      <c r="K250" s="138" t="s">
        <v>2039</v>
      </c>
      <c r="L250" s="138" t="s">
        <v>617</v>
      </c>
      <c r="M250" s="138" t="s">
        <v>8514</v>
      </c>
      <c r="N250" s="138" t="s">
        <v>2342</v>
      </c>
      <c r="O250" s="138" t="s">
        <v>918</v>
      </c>
      <c r="P250" s="138"/>
      <c r="Q250" s="138"/>
      <c r="R250" s="138"/>
      <c r="S250" s="138"/>
      <c r="T250" s="135">
        <v>492.7</v>
      </c>
      <c r="U250" s="185">
        <v>5.3100000000000001E-2</v>
      </c>
      <c r="V250" s="185">
        <v>2.5180000000000001E-2</v>
      </c>
      <c r="W250" s="185">
        <v>2.0539154523583413E-2</v>
      </c>
      <c r="X250" s="185">
        <v>5.3100000000000001E-2</v>
      </c>
      <c r="Y250" s="204">
        <v>6.98</v>
      </c>
      <c r="Z250" s="135">
        <v>5.26</v>
      </c>
      <c r="AA250" s="135">
        <v>5.27</v>
      </c>
      <c r="AB250" s="135">
        <v>4.96</v>
      </c>
      <c r="AC250" s="135">
        <v>0.73060000000000003</v>
      </c>
      <c r="AD250" s="135">
        <v>5.45</v>
      </c>
      <c r="AE250" s="135">
        <v>6.78</v>
      </c>
      <c r="AF250" s="135">
        <f t="shared" si="81"/>
        <v>5.27</v>
      </c>
      <c r="AG250" s="136">
        <v>6.16</v>
      </c>
      <c r="AH250" s="185">
        <v>6.7800000000000004E-13</v>
      </c>
      <c r="AI250" s="185"/>
      <c r="AJ250" s="136">
        <f t="shared" si="82"/>
        <v>-10.557336632445589</v>
      </c>
      <c r="AK250" s="136"/>
      <c r="AL250" s="136">
        <f t="shared" si="83"/>
        <v>-10.557336632445589</v>
      </c>
      <c r="AM250" s="136">
        <v>-16.34385</v>
      </c>
      <c r="AN250" s="186">
        <v>-5.39</v>
      </c>
      <c r="AO250" s="481">
        <v>8.68</v>
      </c>
      <c r="AP250" s="481">
        <v>-1.23</v>
      </c>
      <c r="AQ250" s="135" t="s">
        <v>6311</v>
      </c>
      <c r="AR250" s="135" t="s">
        <v>6311</v>
      </c>
      <c r="AS250" s="190"/>
      <c r="AT250" s="137" t="s">
        <v>266</v>
      </c>
      <c r="AU250" s="135">
        <v>6</v>
      </c>
      <c r="AV250" s="135">
        <v>120</v>
      </c>
      <c r="AW250" s="135">
        <v>114</v>
      </c>
      <c r="AX250" s="135">
        <v>28</v>
      </c>
      <c r="AY250" s="135" t="s">
        <v>8728</v>
      </c>
      <c r="AZ250" s="135" t="s">
        <v>1563</v>
      </c>
      <c r="BA250" s="135">
        <v>32</v>
      </c>
      <c r="BB250" s="138" t="s">
        <v>2485</v>
      </c>
      <c r="BC250" s="458" t="s">
        <v>8726</v>
      </c>
      <c r="BD250" s="138" t="s">
        <v>8374</v>
      </c>
      <c r="BE250" s="135" t="s">
        <v>2449</v>
      </c>
      <c r="BF250" s="135" t="s">
        <v>272</v>
      </c>
      <c r="BG250" s="135" t="s">
        <v>272</v>
      </c>
      <c r="BH250" s="135" t="s">
        <v>2486</v>
      </c>
      <c r="BI250" s="185">
        <v>3.1532799999999996E-3</v>
      </c>
      <c r="BJ250" s="185">
        <v>31.532799999999998</v>
      </c>
      <c r="BK250" s="135"/>
      <c r="BL250" s="485">
        <v>0.47794350293623195</v>
      </c>
      <c r="BM250" s="138" t="s">
        <v>2487</v>
      </c>
      <c r="BN250" s="135"/>
      <c r="BO250" s="135"/>
      <c r="BP250" s="135"/>
      <c r="BQ250" s="135"/>
      <c r="BR250" s="138" t="e">
        <v>#VALUE!</v>
      </c>
      <c r="BS250" s="135"/>
      <c r="BT250" s="135"/>
      <c r="BU250" s="135">
        <v>1.5766399999999998E-3</v>
      </c>
      <c r="BV250" s="135"/>
      <c r="BW250" s="135"/>
      <c r="BX250" s="135"/>
      <c r="BY250" s="135"/>
      <c r="BZ250" s="135"/>
      <c r="CA250" s="135"/>
      <c r="CB250" s="135"/>
      <c r="CC250" s="135"/>
      <c r="CD250" s="135"/>
      <c r="CE250" s="135"/>
      <c r="CF250" s="135"/>
      <c r="CG250" s="135"/>
      <c r="CH250" s="135"/>
      <c r="CI250" s="185"/>
      <c r="CJ250" s="187"/>
      <c r="CK250" s="136">
        <f t="shared" si="78"/>
        <v>1.5157027061860411E-2</v>
      </c>
      <c r="CL250" s="188"/>
      <c r="CM250" s="188"/>
      <c r="CN250" s="188"/>
      <c r="CO250" s="138" t="s">
        <v>2488</v>
      </c>
      <c r="CP250" s="189" t="s">
        <v>2489</v>
      </c>
      <c r="CQ250" s="183">
        <v>1.7951845896824241</v>
      </c>
      <c r="CR250" s="191">
        <f>10^(CJ250-CQ250)</f>
        <v>1.602564102564101E-2</v>
      </c>
      <c r="CS250" s="135" t="s">
        <v>539</v>
      </c>
      <c r="CT250" s="135"/>
      <c r="CU250" s="135"/>
      <c r="CV250" s="332">
        <f t="shared" si="79"/>
        <v>1.6839608280901158E-3</v>
      </c>
      <c r="CW250" s="329">
        <f t="shared" si="80"/>
        <v>0</v>
      </c>
      <c r="CX250" s="329"/>
      <c r="CY250" s="189" t="s">
        <v>5921</v>
      </c>
    </row>
    <row r="251" spans="1:103" ht="11.25" customHeight="1" x14ac:dyDescent="0.2">
      <c r="A251" s="72">
        <v>533</v>
      </c>
      <c r="B251" s="183">
        <v>941</v>
      </c>
      <c r="C251" s="133" t="s">
        <v>6814</v>
      </c>
      <c r="D251" s="133"/>
      <c r="E251" s="134"/>
      <c r="F251" s="134" t="s">
        <v>2680</v>
      </c>
      <c r="G251" s="184">
        <v>96764</v>
      </c>
      <c r="H251" s="138" t="s">
        <v>2681</v>
      </c>
      <c r="I251" s="138" t="s">
        <v>2681</v>
      </c>
      <c r="J251" s="138" t="s">
        <v>2682</v>
      </c>
      <c r="K251" s="138" t="s">
        <v>349</v>
      </c>
      <c r="L251" s="138"/>
      <c r="M251" s="138"/>
      <c r="N251" s="138"/>
      <c r="O251" s="138"/>
      <c r="P251" s="138"/>
      <c r="Q251" s="138"/>
      <c r="R251" s="138"/>
      <c r="S251" s="138"/>
      <c r="T251" s="135">
        <v>206.32</v>
      </c>
      <c r="U251" s="185">
        <v>35</v>
      </c>
      <c r="V251" s="185">
        <v>5.7039999999999997</v>
      </c>
      <c r="W251" s="185">
        <v>92.15975873258661</v>
      </c>
      <c r="X251" s="185">
        <v>35</v>
      </c>
      <c r="Y251" s="204">
        <v>6.97</v>
      </c>
      <c r="Z251" s="135">
        <v>5.33</v>
      </c>
      <c r="AA251" s="135">
        <v>5.19</v>
      </c>
      <c r="AB251" s="135">
        <v>4.67</v>
      </c>
      <c r="AC251" s="135">
        <v>0.84019999999999995</v>
      </c>
      <c r="AD251" s="135">
        <v>4.72</v>
      </c>
      <c r="AE251" s="135">
        <v>4.8600000000000003</v>
      </c>
      <c r="AF251" s="135">
        <f t="shared" si="81"/>
        <v>5.19</v>
      </c>
      <c r="AG251" s="136">
        <v>4.76</v>
      </c>
      <c r="AH251" s="185">
        <v>3.7400000000000002E-6</v>
      </c>
      <c r="AI251" s="185"/>
      <c r="AJ251" s="136">
        <f t="shared" si="82"/>
        <v>-3.8156947241121717</v>
      </c>
      <c r="AK251" s="136"/>
      <c r="AL251" s="136">
        <f t="shared" si="83"/>
        <v>-3.8156947241121717</v>
      </c>
      <c r="AM251" s="136">
        <v>-7.0015999999999998</v>
      </c>
      <c r="AN251" s="186">
        <v>-3.38</v>
      </c>
      <c r="AO251" s="481">
        <v>11.56</v>
      </c>
      <c r="AP251" s="481"/>
      <c r="AQ251" s="135" t="s">
        <v>6311</v>
      </c>
      <c r="AR251" s="135" t="s">
        <v>6311</v>
      </c>
      <c r="AS251" s="190"/>
      <c r="AT251" s="137" t="s">
        <v>266</v>
      </c>
      <c r="AU251" s="135">
        <v>6</v>
      </c>
      <c r="AV251" s="135">
        <v>120</v>
      </c>
      <c r="AW251" s="135">
        <v>114</v>
      </c>
      <c r="AX251" s="135">
        <v>28</v>
      </c>
      <c r="AY251" s="135" t="s">
        <v>8728</v>
      </c>
      <c r="AZ251" s="135" t="s">
        <v>1563</v>
      </c>
      <c r="BA251" s="135">
        <v>32</v>
      </c>
      <c r="BB251" s="138" t="s">
        <v>2485</v>
      </c>
      <c r="BC251" s="458" t="s">
        <v>8726</v>
      </c>
      <c r="BD251" s="138" t="s">
        <v>8374</v>
      </c>
      <c r="BE251" s="135" t="s">
        <v>2449</v>
      </c>
      <c r="BF251" s="135" t="s">
        <v>272</v>
      </c>
      <c r="BG251" s="135" t="s">
        <v>272</v>
      </c>
      <c r="BH251" s="135" t="s">
        <v>2486</v>
      </c>
      <c r="BI251" s="185">
        <v>1.3204479999999999E-3</v>
      </c>
      <c r="BJ251" s="185">
        <v>13.20448</v>
      </c>
      <c r="BK251" s="135"/>
      <c r="BL251" s="485">
        <v>0.17316827434005622</v>
      </c>
      <c r="BM251" s="138" t="s">
        <v>2487</v>
      </c>
      <c r="BN251" s="135"/>
      <c r="BO251" s="135"/>
      <c r="BP251" s="135"/>
      <c r="BQ251" s="135"/>
      <c r="BR251" s="138" t="e">
        <v>#VALUE!</v>
      </c>
      <c r="BS251" s="135"/>
      <c r="BT251" s="135"/>
      <c r="BU251" s="135">
        <v>13.20448</v>
      </c>
      <c r="BV251" s="135"/>
      <c r="BW251" s="135"/>
      <c r="BX251" s="135"/>
      <c r="BY251" s="135"/>
      <c r="BZ251" s="135"/>
      <c r="CA251" s="135"/>
      <c r="CB251" s="135"/>
      <c r="CC251" s="135"/>
      <c r="CD251" s="135"/>
      <c r="CE251" s="135"/>
      <c r="CF251" s="135"/>
      <c r="CG251" s="135"/>
      <c r="CH251" s="135"/>
      <c r="CI251" s="185"/>
      <c r="CJ251" s="187"/>
      <c r="CK251" s="136">
        <f t="shared" si="78"/>
        <v>1.3114357728593342E-2</v>
      </c>
      <c r="CL251" s="188"/>
      <c r="CM251" s="188"/>
      <c r="CN251" s="188"/>
      <c r="CO251" s="138" t="s">
        <v>2488</v>
      </c>
      <c r="CP251" s="189" t="s">
        <v>2489</v>
      </c>
      <c r="CQ251" s="191" t="s">
        <v>272</v>
      </c>
      <c r="CR251" s="191"/>
      <c r="CS251" s="135" t="s">
        <v>539</v>
      </c>
      <c r="CT251" s="135"/>
      <c r="CU251" s="135"/>
      <c r="CV251" s="332">
        <f t="shared" si="79"/>
        <v>2.6506155486622722</v>
      </c>
      <c r="CW251" s="329">
        <f t="shared" si="80"/>
        <v>1</v>
      </c>
      <c r="CX251" s="329"/>
      <c r="CY251" s="189" t="s">
        <v>6351</v>
      </c>
    </row>
    <row r="252" spans="1:103" ht="11.25" customHeight="1" x14ac:dyDescent="0.2">
      <c r="A252" s="72">
        <v>534</v>
      </c>
      <c r="B252" s="191">
        <v>1114</v>
      </c>
      <c r="C252" s="128" t="s">
        <v>6815</v>
      </c>
      <c r="D252" s="128"/>
      <c r="E252" s="129"/>
      <c r="F252" s="129" t="s">
        <v>3111</v>
      </c>
      <c r="G252" s="192">
        <v>97778</v>
      </c>
      <c r="H252" s="139" t="s">
        <v>3112</v>
      </c>
      <c r="I252" s="139" t="s">
        <v>3112</v>
      </c>
      <c r="J252" s="139" t="s">
        <v>3113</v>
      </c>
      <c r="K252" s="139" t="s">
        <v>1514</v>
      </c>
      <c r="L252" s="139"/>
      <c r="M252" s="139" t="s">
        <v>3114</v>
      </c>
      <c r="N252" s="138"/>
      <c r="O252" s="139" t="s">
        <v>3115</v>
      </c>
      <c r="P252" s="138" t="s">
        <v>6172</v>
      </c>
      <c r="Q252" s="138" t="s">
        <v>6176</v>
      </c>
      <c r="R252" s="138" t="s">
        <v>6175</v>
      </c>
      <c r="S252" s="138" t="s">
        <v>6173</v>
      </c>
      <c r="T252" s="130">
        <v>296.54000000000002</v>
      </c>
      <c r="U252" s="187">
        <v>4.09</v>
      </c>
      <c r="V252" s="185">
        <v>63.66</v>
      </c>
      <c r="W252" s="185">
        <v>2.3018831996507161</v>
      </c>
      <c r="X252" s="187">
        <v>4.09</v>
      </c>
      <c r="Y252" s="194">
        <v>7</v>
      </c>
      <c r="Z252" s="130">
        <v>3.67</v>
      </c>
      <c r="AA252" s="130">
        <v>3.88</v>
      </c>
      <c r="AB252" s="130">
        <v>3.45</v>
      </c>
      <c r="AC252" s="130">
        <v>0.79459999999999997</v>
      </c>
      <c r="AD252" s="130">
        <v>3.59</v>
      </c>
      <c r="AE252" s="130">
        <v>3.88</v>
      </c>
      <c r="AF252" s="130">
        <f t="shared" si="81"/>
        <v>3.88</v>
      </c>
      <c r="AG252" s="131">
        <v>4.84</v>
      </c>
      <c r="AH252" s="187">
        <v>8.3200000000000003E-5</v>
      </c>
      <c r="AI252" s="187"/>
      <c r="AJ252" s="136">
        <f t="shared" si="82"/>
        <v>-2.468443000021928</v>
      </c>
      <c r="AK252" s="136"/>
      <c r="AL252" s="136">
        <f t="shared" si="83"/>
        <v>-2.468443000021928</v>
      </c>
      <c r="AM252" s="136">
        <v>-12.58268</v>
      </c>
      <c r="AN252" s="193">
        <v>-5.52</v>
      </c>
      <c r="AO252" s="481"/>
      <c r="AP252" s="481">
        <v>0.86</v>
      </c>
      <c r="AQ252" s="130" t="s">
        <v>6311</v>
      </c>
      <c r="AR252" s="130" t="s">
        <v>6311</v>
      </c>
      <c r="AS252" s="198"/>
      <c r="AT252" s="132" t="s">
        <v>266</v>
      </c>
      <c r="AU252" s="130">
        <v>6</v>
      </c>
      <c r="AV252" s="130">
        <v>120</v>
      </c>
      <c r="AW252" s="130">
        <v>114</v>
      </c>
      <c r="AX252" s="130">
        <v>28</v>
      </c>
      <c r="AY252" s="130" t="s">
        <v>8728</v>
      </c>
      <c r="AZ252" s="130" t="s">
        <v>1563</v>
      </c>
      <c r="BA252" s="130">
        <v>32</v>
      </c>
      <c r="BB252" s="139" t="s">
        <v>2485</v>
      </c>
      <c r="BC252" s="458" t="s">
        <v>8726</v>
      </c>
      <c r="BD252" s="139" t="s">
        <v>8374</v>
      </c>
      <c r="BE252" s="130" t="s">
        <v>2449</v>
      </c>
      <c r="BF252" s="130" t="s">
        <v>272</v>
      </c>
      <c r="BG252" s="130" t="s">
        <v>272</v>
      </c>
      <c r="BH252" s="130" t="s">
        <v>2486</v>
      </c>
      <c r="BI252" s="187">
        <v>1.8978560000000001E-3</v>
      </c>
      <c r="BJ252" s="187">
        <v>18.978560000000002</v>
      </c>
      <c r="BK252" s="130"/>
      <c r="BL252" s="485">
        <v>7.7064840381100508</v>
      </c>
      <c r="BM252" s="139" t="s">
        <v>2487</v>
      </c>
      <c r="BN252" s="130"/>
      <c r="BO252" s="130"/>
      <c r="BP252" s="130"/>
      <c r="BQ252" s="130"/>
      <c r="BR252" s="139" t="e">
        <v>#VALUE!</v>
      </c>
      <c r="BS252" s="130"/>
      <c r="BT252" s="130"/>
      <c r="BU252" s="195">
        <v>19.358131200000003</v>
      </c>
      <c r="BV252" s="130"/>
      <c r="BW252" s="130"/>
      <c r="BX252" s="130"/>
      <c r="BY252" s="130"/>
      <c r="BZ252" s="130"/>
      <c r="CA252" s="130"/>
      <c r="CB252" s="130"/>
      <c r="CC252" s="130"/>
      <c r="CD252" s="130"/>
      <c r="CE252" s="130"/>
      <c r="CF252" s="130"/>
      <c r="CG252" s="130"/>
      <c r="CH252" s="130"/>
      <c r="CI252" s="187"/>
      <c r="CJ252" s="187"/>
      <c r="CK252" s="131">
        <f t="shared" si="78"/>
        <v>0.40606263268182885</v>
      </c>
      <c r="CL252" s="188"/>
      <c r="CM252" s="188"/>
      <c r="CN252" s="188"/>
      <c r="CO252" s="139" t="s">
        <v>2488</v>
      </c>
      <c r="CP252" s="499" t="s">
        <v>2489</v>
      </c>
      <c r="CQ252" s="191" t="s">
        <v>272</v>
      </c>
      <c r="CR252" s="191"/>
      <c r="CS252" s="135" t="s">
        <v>539</v>
      </c>
      <c r="CT252" s="135"/>
      <c r="CU252" s="135"/>
      <c r="CV252" s="332">
        <f t="shared" si="79"/>
        <v>0.21550633978552639</v>
      </c>
      <c r="CW252" s="329">
        <f t="shared" si="80"/>
        <v>0</v>
      </c>
      <c r="CX252" s="329"/>
      <c r="CY252" s="189" t="s">
        <v>6351</v>
      </c>
    </row>
    <row r="253" spans="1:103" ht="11.25" customHeight="1" x14ac:dyDescent="0.2">
      <c r="A253" s="72">
        <v>535</v>
      </c>
      <c r="B253" s="183">
        <v>1924</v>
      </c>
      <c r="C253" s="133" t="s">
        <v>6816</v>
      </c>
      <c r="D253" s="133"/>
      <c r="E253" s="134"/>
      <c r="F253" s="134" t="s">
        <v>5405</v>
      </c>
      <c r="G253" s="184">
        <v>101020</v>
      </c>
      <c r="H253" s="138" t="s">
        <v>5406</v>
      </c>
      <c r="I253" s="138" t="s">
        <v>5406</v>
      </c>
      <c r="J253" s="138" t="s">
        <v>5407</v>
      </c>
      <c r="K253" s="138" t="s">
        <v>426</v>
      </c>
      <c r="L253" s="138"/>
      <c r="M253" s="138"/>
      <c r="N253" s="138"/>
      <c r="O253" s="138"/>
      <c r="P253" s="138"/>
      <c r="Q253" s="138"/>
      <c r="R253" s="138"/>
      <c r="S253" s="138"/>
      <c r="T253" s="135">
        <v>310.27999999999997</v>
      </c>
      <c r="U253" s="185"/>
      <c r="V253" s="185">
        <v>2.3519999999999996E-2</v>
      </c>
      <c r="W253" s="185">
        <v>0.2522050525553966</v>
      </c>
      <c r="X253" s="185">
        <v>0.2522050525553966</v>
      </c>
      <c r="Y253" s="204">
        <v>7</v>
      </c>
      <c r="Z253" s="135">
        <v>6.62</v>
      </c>
      <c r="AA253" s="135"/>
      <c r="AB253" s="135">
        <v>4.1399999999999997</v>
      </c>
      <c r="AC253" s="135">
        <v>0.49020000000000002</v>
      </c>
      <c r="AD253" s="135">
        <v>5.8</v>
      </c>
      <c r="AE253" s="135">
        <v>7.43</v>
      </c>
      <c r="AF253" s="135">
        <f t="shared" si="81"/>
        <v>5.8</v>
      </c>
      <c r="AG253" s="136">
        <v>4.7300000000000004</v>
      </c>
      <c r="AH253" s="185">
        <v>5.4099999999999999E-7</v>
      </c>
      <c r="AI253" s="185"/>
      <c r="AJ253" s="136">
        <f t="shared" si="82"/>
        <v>-4.6553690612060823</v>
      </c>
      <c r="AK253" s="136"/>
      <c r="AL253" s="136">
        <f t="shared" si="83"/>
        <v>-4.6553690612060823</v>
      </c>
      <c r="AM253" s="136">
        <v>-13.00583</v>
      </c>
      <c r="AN253" s="186"/>
      <c r="AO253" s="481"/>
      <c r="AP253" s="481"/>
      <c r="AQ253" s="186" t="s">
        <v>6311</v>
      </c>
      <c r="AR253" s="186" t="s">
        <v>6311</v>
      </c>
      <c r="AS253" s="183"/>
      <c r="AT253" s="137" t="s">
        <v>266</v>
      </c>
      <c r="AU253" s="135">
        <v>6</v>
      </c>
      <c r="AV253" s="135">
        <v>120</v>
      </c>
      <c r="AW253" s="135">
        <v>114</v>
      </c>
      <c r="AX253" s="135">
        <v>28</v>
      </c>
      <c r="AY253" s="135" t="s">
        <v>8728</v>
      </c>
      <c r="AZ253" s="135" t="s">
        <v>1563</v>
      </c>
      <c r="BA253" s="135">
        <v>32</v>
      </c>
      <c r="BB253" s="138" t="s">
        <v>2485</v>
      </c>
      <c r="BC253" s="458" t="s">
        <v>8726</v>
      </c>
      <c r="BD253" s="138" t="s">
        <v>8374</v>
      </c>
      <c r="BE253" s="135" t="s">
        <v>2449</v>
      </c>
      <c r="BF253" s="135" t="s">
        <v>272</v>
      </c>
      <c r="BG253" s="135" t="s">
        <v>272</v>
      </c>
      <c r="BH253" s="135" t="s">
        <v>2486</v>
      </c>
      <c r="BI253" s="185">
        <v>1.9857919999999997E-3</v>
      </c>
      <c r="BJ253" s="185">
        <v>19.85792</v>
      </c>
      <c r="BK253" s="135"/>
      <c r="BL253" s="485">
        <v>1.8077225800267428E-2</v>
      </c>
      <c r="BM253" s="138" t="s">
        <v>2487</v>
      </c>
      <c r="BN253" s="135"/>
      <c r="BO253" s="135"/>
      <c r="BP253" s="135"/>
      <c r="BQ253" s="135"/>
      <c r="BR253" s="138" t="e">
        <v>#VALUE!</v>
      </c>
      <c r="BS253" s="135"/>
      <c r="BT253" s="135"/>
      <c r="BU253" s="135"/>
      <c r="BV253" s="135"/>
      <c r="BW253" s="135"/>
      <c r="BX253" s="135"/>
      <c r="BY253" s="135"/>
      <c r="BZ253" s="135"/>
      <c r="CA253" s="135"/>
      <c r="CB253" s="135"/>
      <c r="CC253" s="135"/>
      <c r="CD253" s="135"/>
      <c r="CE253" s="135"/>
      <c r="CF253" s="135"/>
      <c r="CG253" s="135"/>
      <c r="CH253" s="135"/>
      <c r="CI253" s="185"/>
      <c r="CJ253" s="187"/>
      <c r="CK253" s="136">
        <f t="shared" si="78"/>
        <v>9.1032826198652369E-4</v>
      </c>
      <c r="CL253" s="188"/>
      <c r="CM253" s="188"/>
      <c r="CN253" s="188"/>
      <c r="CO253" s="138" t="s">
        <v>2488</v>
      </c>
      <c r="CP253" s="189" t="s">
        <v>2489</v>
      </c>
      <c r="CQ253" s="191" t="s">
        <v>272</v>
      </c>
      <c r="CR253" s="191"/>
      <c r="CS253" s="135" t="s">
        <v>539</v>
      </c>
      <c r="CT253" s="135"/>
      <c r="CU253" s="135"/>
      <c r="CV253" s="332">
        <f t="shared" si="79"/>
        <v>1.2700476815064045E-2</v>
      </c>
      <c r="CW253" s="329">
        <f t="shared" si="80"/>
        <v>0</v>
      </c>
      <c r="CX253" s="329"/>
      <c r="CY253" s="189" t="s">
        <v>6351</v>
      </c>
    </row>
    <row r="254" spans="1:103" ht="11.25" customHeight="1" x14ac:dyDescent="0.2">
      <c r="A254" s="72">
        <v>536</v>
      </c>
      <c r="B254" s="183">
        <v>1675</v>
      </c>
      <c r="C254" s="133" t="s">
        <v>4893</v>
      </c>
      <c r="D254" s="133" t="s">
        <v>6817</v>
      </c>
      <c r="E254" s="134"/>
      <c r="F254" s="134" t="s">
        <v>4894</v>
      </c>
      <c r="G254" s="184">
        <v>59756604</v>
      </c>
      <c r="H254" s="138" t="s">
        <v>4895</v>
      </c>
      <c r="I254" s="138" t="s">
        <v>4895</v>
      </c>
      <c r="J254" s="138" t="s">
        <v>4896</v>
      </c>
      <c r="K254" s="138" t="s">
        <v>2752</v>
      </c>
      <c r="L254" s="138" t="s">
        <v>6160</v>
      </c>
      <c r="M254" s="138" t="s">
        <v>6082</v>
      </c>
      <c r="N254" s="138" t="s">
        <v>6082</v>
      </c>
      <c r="O254" s="138" t="s">
        <v>6083</v>
      </c>
      <c r="P254" s="138"/>
      <c r="Q254" s="138"/>
      <c r="R254" s="138"/>
      <c r="S254" s="138"/>
      <c r="T254" s="135">
        <v>329.32</v>
      </c>
      <c r="U254" s="185">
        <v>12</v>
      </c>
      <c r="V254" s="185">
        <v>16.5</v>
      </c>
      <c r="W254" s="185">
        <v>7.5442853540948294</v>
      </c>
      <c r="X254" s="185">
        <v>12</v>
      </c>
      <c r="Y254" s="204">
        <v>7</v>
      </c>
      <c r="Z254" s="135">
        <v>4.4800000000000004</v>
      </c>
      <c r="AA254" s="135">
        <v>3.16</v>
      </c>
      <c r="AB254" s="135">
        <v>3.8</v>
      </c>
      <c r="AC254" s="135">
        <v>0.69310000000000005</v>
      </c>
      <c r="AD254" s="135">
        <v>3.77</v>
      </c>
      <c r="AE254" s="135">
        <v>3.7</v>
      </c>
      <c r="AF254" s="135">
        <f t="shared" si="81"/>
        <v>3.16</v>
      </c>
      <c r="AG254" s="136">
        <v>4.54</v>
      </c>
      <c r="AH254" s="185">
        <v>1.73E-10</v>
      </c>
      <c r="AI254" s="185">
        <v>8.0999999999999997E-9</v>
      </c>
      <c r="AJ254" s="136">
        <f t="shared" si="82"/>
        <v>-8.1505202231838556</v>
      </c>
      <c r="AK254" s="136">
        <f>LOG10(AI254*1000/(0.08206*298.15))</f>
        <v>-6.480081307434002</v>
      </c>
      <c r="AL254" s="136">
        <f t="shared" si="83"/>
        <v>-6.480081307434002</v>
      </c>
      <c r="AM254" s="136">
        <v>-11.983689999999999</v>
      </c>
      <c r="AN254" s="186">
        <v>-7.04</v>
      </c>
      <c r="AO254" s="481"/>
      <c r="AP254" s="481">
        <v>1.62</v>
      </c>
      <c r="AQ254" s="186" t="s">
        <v>6311</v>
      </c>
      <c r="AR254" s="186" t="s">
        <v>6311</v>
      </c>
      <c r="AS254" s="183"/>
      <c r="AT254" s="137" t="s">
        <v>266</v>
      </c>
      <c r="AU254" s="135">
        <v>6</v>
      </c>
      <c r="AV254" s="135">
        <v>120</v>
      </c>
      <c r="AW254" s="135">
        <v>114</v>
      </c>
      <c r="AX254" s="135">
        <v>28</v>
      </c>
      <c r="AY254" s="135" t="s">
        <v>8728</v>
      </c>
      <c r="AZ254" s="135" t="s">
        <v>1563</v>
      </c>
      <c r="BA254" s="135">
        <v>32</v>
      </c>
      <c r="BB254" s="138" t="s">
        <v>2485</v>
      </c>
      <c r="BC254" s="458" t="s">
        <v>8726</v>
      </c>
      <c r="BD254" s="138" t="s">
        <v>8374</v>
      </c>
      <c r="BE254" s="135" t="s">
        <v>2449</v>
      </c>
      <c r="BF254" s="135" t="s">
        <v>272</v>
      </c>
      <c r="BG254" s="135" t="s">
        <v>272</v>
      </c>
      <c r="BH254" s="135" t="s">
        <v>2486</v>
      </c>
      <c r="BI254" s="185">
        <v>2.1076479999999997E-3</v>
      </c>
      <c r="BJ254" s="185">
        <v>21.07648</v>
      </c>
      <c r="BK254" s="135"/>
      <c r="BL254" s="485">
        <v>1.6029873928658969</v>
      </c>
      <c r="BM254" s="138" t="s">
        <v>2487</v>
      </c>
      <c r="BN254" s="135"/>
      <c r="BO254" s="135"/>
      <c r="BP254" s="135"/>
      <c r="BQ254" s="135"/>
      <c r="BR254" s="138" t="e">
        <v>#VALUE!</v>
      </c>
      <c r="BS254" s="135"/>
      <c r="BT254" s="135"/>
      <c r="BU254" s="135"/>
      <c r="BV254" s="135"/>
      <c r="BW254" s="135"/>
      <c r="BX254" s="135"/>
      <c r="BY254" s="135"/>
      <c r="BZ254" s="135"/>
      <c r="CA254" s="135"/>
      <c r="CB254" s="135"/>
      <c r="CC254" s="135"/>
      <c r="CD254" s="135"/>
      <c r="CE254" s="135"/>
      <c r="CF254" s="135"/>
      <c r="CG254" s="135"/>
      <c r="CH254" s="135"/>
      <c r="CI254" s="185"/>
      <c r="CJ254" s="187"/>
      <c r="CK254" s="136">
        <f t="shared" si="78"/>
        <v>7.6055745212952872E-2</v>
      </c>
      <c r="CL254" s="188"/>
      <c r="CM254" s="188"/>
      <c r="CN254" s="188"/>
      <c r="CO254" s="138" t="s">
        <v>2488</v>
      </c>
      <c r="CP254" s="189" t="s">
        <v>2489</v>
      </c>
      <c r="CQ254" s="183">
        <v>0.91696072040085119</v>
      </c>
      <c r="CR254" s="191">
        <f>10^(CJ254-CQ254)</f>
        <v>0.12107076305896229</v>
      </c>
      <c r="CS254" s="135" t="s">
        <v>539</v>
      </c>
      <c r="CT254" s="135"/>
      <c r="CU254" s="135"/>
      <c r="CV254" s="332">
        <f t="shared" si="79"/>
        <v>0.56935503461678605</v>
      </c>
      <c r="CW254" s="329">
        <f t="shared" si="80"/>
        <v>0</v>
      </c>
      <c r="CX254" s="329"/>
      <c r="CY254" s="189" t="s">
        <v>5921</v>
      </c>
    </row>
    <row r="255" spans="1:103" ht="11.25" customHeight="1" x14ac:dyDescent="0.2">
      <c r="A255" s="72">
        <v>537</v>
      </c>
      <c r="B255" s="183">
        <v>1586</v>
      </c>
      <c r="C255" s="133" t="s">
        <v>6818</v>
      </c>
      <c r="D255" s="133"/>
      <c r="E255" s="134"/>
      <c r="F255" s="134" t="s">
        <v>4738</v>
      </c>
      <c r="G255" s="184">
        <v>103231</v>
      </c>
      <c r="H255" s="138" t="s">
        <v>4739</v>
      </c>
      <c r="I255" s="138" t="s">
        <v>4739</v>
      </c>
      <c r="J255" s="138" t="s">
        <v>4740</v>
      </c>
      <c r="K255" s="138" t="s">
        <v>357</v>
      </c>
      <c r="L255" s="138"/>
      <c r="M255" s="138"/>
      <c r="N255" s="138"/>
      <c r="O255" s="138"/>
      <c r="P255" s="138"/>
      <c r="Q255" s="138"/>
      <c r="R255" s="138"/>
      <c r="S255" s="138"/>
      <c r="T255" s="135">
        <v>370.57</v>
      </c>
      <c r="U255" s="185">
        <v>0.77999999999999992</v>
      </c>
      <c r="V255" s="185">
        <v>5.4520000000000002E-4</v>
      </c>
      <c r="W255" s="185">
        <v>0.5481131954034919</v>
      </c>
      <c r="X255" s="185">
        <v>0.77999999999999992</v>
      </c>
      <c r="Y255" s="204">
        <v>7</v>
      </c>
      <c r="Z255" s="135">
        <v>8.1199999999999992</v>
      </c>
      <c r="AA255" s="135"/>
      <c r="AB255" s="135">
        <v>7.12</v>
      </c>
      <c r="AC255" s="135">
        <v>0.76149999999999995</v>
      </c>
      <c r="AD255" s="135">
        <v>7.42</v>
      </c>
      <c r="AE255" s="135">
        <v>8.1</v>
      </c>
      <c r="AF255" s="135">
        <f t="shared" si="81"/>
        <v>7.42</v>
      </c>
      <c r="AG255" s="136">
        <v>6.43</v>
      </c>
      <c r="AH255" s="185">
        <v>5.1600000000000001E-5</v>
      </c>
      <c r="AI255" s="185">
        <v>4.34E-7</v>
      </c>
      <c r="AJ255" s="136">
        <f t="shared" si="82"/>
        <v>-2.6759166246854402</v>
      </c>
      <c r="AK255" s="136">
        <f>LOG10(AI255*1000/(0.08206*298.15))</f>
        <v>-4.7510765968001412</v>
      </c>
      <c r="AL255" s="136">
        <f t="shared" si="83"/>
        <v>-4.7510765968001412</v>
      </c>
      <c r="AM255" s="136">
        <v>-7.9560200000000005</v>
      </c>
      <c r="AN255" s="186">
        <v>-3.79</v>
      </c>
      <c r="AO255" s="481"/>
      <c r="AP255" s="481"/>
      <c r="AQ255" s="135" t="s">
        <v>6311</v>
      </c>
      <c r="AR255" s="135" t="s">
        <v>6312</v>
      </c>
      <c r="AS255" s="190"/>
      <c r="AT255" s="137" t="s">
        <v>266</v>
      </c>
      <c r="AU255" s="135">
        <v>6</v>
      </c>
      <c r="AV255" s="135">
        <v>120</v>
      </c>
      <c r="AW255" s="135">
        <v>114</v>
      </c>
      <c r="AX255" s="135">
        <v>28</v>
      </c>
      <c r="AY255" s="135" t="s">
        <v>8728</v>
      </c>
      <c r="AZ255" s="135" t="s">
        <v>1563</v>
      </c>
      <c r="BA255" s="135">
        <v>32</v>
      </c>
      <c r="BB255" s="138" t="s">
        <v>2485</v>
      </c>
      <c r="BC255" s="458" t="s">
        <v>8726</v>
      </c>
      <c r="BD255" s="138" t="s">
        <v>8374</v>
      </c>
      <c r="BE255" s="135" t="s">
        <v>2449</v>
      </c>
      <c r="BF255" s="135" t="s">
        <v>272</v>
      </c>
      <c r="BG255" s="135" t="s">
        <v>272</v>
      </c>
      <c r="BH255" s="135" t="s">
        <v>2486</v>
      </c>
      <c r="BI255" s="185">
        <v>2.3716479999999996E-3</v>
      </c>
      <c r="BJ255" s="185">
        <v>23.716480000000001</v>
      </c>
      <c r="BK255" s="135"/>
      <c r="BL255" s="485">
        <v>9.707295663396124E-4</v>
      </c>
      <c r="BM255" s="138" t="s">
        <v>2487</v>
      </c>
      <c r="BN255" s="135"/>
      <c r="BO255" s="135"/>
      <c r="BP255" s="135"/>
      <c r="BQ255" s="135"/>
      <c r="BR255" s="138" t="e">
        <v>#VALUE!</v>
      </c>
      <c r="BS255" s="135"/>
      <c r="BT255" s="135"/>
      <c r="BU255" s="135"/>
      <c r="BV255" s="135"/>
      <c r="BW255" s="135"/>
      <c r="BX255" s="135"/>
      <c r="BY255" s="135"/>
      <c r="BZ255" s="135"/>
      <c r="CA255" s="135"/>
      <c r="CB255" s="135"/>
      <c r="CC255" s="135"/>
      <c r="CD255" s="135"/>
      <c r="CE255" s="135"/>
      <c r="CF255" s="135"/>
      <c r="CG255" s="135"/>
      <c r="CH255" s="135"/>
      <c r="CI255" s="185"/>
      <c r="CJ255" s="187"/>
      <c r="CK255" s="136">
        <f t="shared" si="78"/>
        <v>4.0930591990869319E-5</v>
      </c>
      <c r="CL255" s="188"/>
      <c r="CM255" s="188"/>
      <c r="CN255" s="188"/>
      <c r="CO255" s="138" t="s">
        <v>2488</v>
      </c>
      <c r="CP255" s="189" t="s">
        <v>2489</v>
      </c>
      <c r="CQ255" s="191" t="s">
        <v>272</v>
      </c>
      <c r="CR255" s="191"/>
      <c r="CS255" s="135" t="s">
        <v>539</v>
      </c>
      <c r="CT255" s="135"/>
      <c r="CU255" s="135"/>
      <c r="CV255" s="332">
        <f t="shared" si="79"/>
        <v>3.2888523086056609E-2</v>
      </c>
      <c r="CW255" s="329">
        <f t="shared" si="80"/>
        <v>0</v>
      </c>
      <c r="CX255" s="329"/>
      <c r="CY255" s="189" t="s">
        <v>6351</v>
      </c>
    </row>
    <row r="256" spans="1:103" ht="11.25" customHeight="1" x14ac:dyDescent="0.2">
      <c r="A256" s="72">
        <v>538</v>
      </c>
      <c r="B256" s="183">
        <v>1528</v>
      </c>
      <c r="C256" s="133" t="s">
        <v>6819</v>
      </c>
      <c r="D256" s="133"/>
      <c r="E256" s="134"/>
      <c r="F256" s="134" t="s">
        <v>4636</v>
      </c>
      <c r="G256" s="184">
        <v>103242</v>
      </c>
      <c r="H256" s="138" t="s">
        <v>4637</v>
      </c>
      <c r="I256" s="138" t="s">
        <v>4637</v>
      </c>
      <c r="J256" s="138" t="s">
        <v>4638</v>
      </c>
      <c r="K256" s="138" t="s">
        <v>357</v>
      </c>
      <c r="L256" s="138"/>
      <c r="M256" s="138"/>
      <c r="N256" s="138"/>
      <c r="O256" s="138"/>
      <c r="P256" s="138"/>
      <c r="Q256" s="138"/>
      <c r="R256" s="138"/>
      <c r="S256" s="138"/>
      <c r="T256" s="135">
        <v>412.65</v>
      </c>
      <c r="U256" s="185"/>
      <c r="V256" s="185">
        <v>1.6549999999999999E-5</v>
      </c>
      <c r="W256" s="185">
        <v>0.10853800868556279</v>
      </c>
      <c r="X256" s="185">
        <v>0.10853800868556279</v>
      </c>
      <c r="Y256" s="204">
        <v>7</v>
      </c>
      <c r="Z256" s="135">
        <v>9.59</v>
      </c>
      <c r="AA256" s="135"/>
      <c r="AB256" s="135">
        <v>8.1</v>
      </c>
      <c r="AC256" s="135">
        <v>0.73440000000000005</v>
      </c>
      <c r="AD256" s="135">
        <v>8.5500000000000007</v>
      </c>
      <c r="AE256" s="135">
        <v>9.33</v>
      </c>
      <c r="AF256" s="135">
        <f t="shared" si="81"/>
        <v>8.5500000000000007</v>
      </c>
      <c r="AG256" s="136">
        <v>7.66</v>
      </c>
      <c r="AH256" s="185">
        <v>1.21E-4</v>
      </c>
      <c r="AI256" s="185"/>
      <c r="AJ256" s="136">
        <f t="shared" si="82"/>
        <v>-2.3057809559962017</v>
      </c>
      <c r="AK256" s="136"/>
      <c r="AL256" s="136">
        <f t="shared" si="83"/>
        <v>-2.3057809559962017</v>
      </c>
      <c r="AM256" s="136">
        <v>-8.3386099999999992</v>
      </c>
      <c r="AN256" s="186">
        <v>-3.39</v>
      </c>
      <c r="AO256" s="481"/>
      <c r="AP256" s="481"/>
      <c r="AQ256" s="135" t="s">
        <v>6311</v>
      </c>
      <c r="AR256" s="135" t="s">
        <v>6312</v>
      </c>
      <c r="AS256" s="190"/>
      <c r="AT256" s="137" t="s">
        <v>266</v>
      </c>
      <c r="AU256" s="135">
        <v>6</v>
      </c>
      <c r="AV256" s="135">
        <v>120</v>
      </c>
      <c r="AW256" s="135">
        <v>114</v>
      </c>
      <c r="AX256" s="135">
        <v>28</v>
      </c>
      <c r="AY256" s="135" t="s">
        <v>8728</v>
      </c>
      <c r="AZ256" s="135" t="s">
        <v>1563</v>
      </c>
      <c r="BA256" s="135">
        <v>32</v>
      </c>
      <c r="BB256" s="138" t="s">
        <v>2485</v>
      </c>
      <c r="BC256" s="458" t="s">
        <v>8726</v>
      </c>
      <c r="BD256" s="138" t="s">
        <v>8374</v>
      </c>
      <c r="BE256" s="135" t="s">
        <v>2449</v>
      </c>
      <c r="BF256" s="135" t="s">
        <v>272</v>
      </c>
      <c r="BG256" s="135" t="s">
        <v>272</v>
      </c>
      <c r="BH256" s="135" t="s">
        <v>2486</v>
      </c>
      <c r="BI256" s="185">
        <v>2.6409599999999999E-3</v>
      </c>
      <c r="BJ256" s="185">
        <v>26.409599999999998</v>
      </c>
      <c r="BK256" s="135"/>
      <c r="BL256" s="485">
        <v>5.1713371086686801E-5</v>
      </c>
      <c r="BM256" s="138" t="s">
        <v>2487</v>
      </c>
      <c r="BN256" s="135"/>
      <c r="BO256" s="135"/>
      <c r="BP256" s="135"/>
      <c r="BQ256" s="135"/>
      <c r="BR256" s="138" t="e">
        <v>#VALUE!</v>
      </c>
      <c r="BS256" s="135"/>
      <c r="BT256" s="135"/>
      <c r="BU256" s="135"/>
      <c r="BV256" s="135"/>
      <c r="BW256" s="135"/>
      <c r="BX256" s="135"/>
      <c r="BY256" s="135"/>
      <c r="BZ256" s="135"/>
      <c r="CA256" s="135"/>
      <c r="CB256" s="135"/>
      <c r="CC256" s="135"/>
      <c r="CD256" s="135"/>
      <c r="CE256" s="135"/>
      <c r="CF256" s="135"/>
      <c r="CG256" s="135"/>
      <c r="CH256" s="135"/>
      <c r="CI256" s="185"/>
      <c r="CJ256" s="187"/>
      <c r="CK256" s="136">
        <f t="shared" si="78"/>
        <v>1.9581277674287685E-6</v>
      </c>
      <c r="CL256" s="188"/>
      <c r="CM256" s="188"/>
      <c r="CN256" s="188"/>
      <c r="CO256" s="138" t="s">
        <v>2488</v>
      </c>
      <c r="CP256" s="189" t="s">
        <v>2489</v>
      </c>
      <c r="CQ256" s="191" t="s">
        <v>272</v>
      </c>
      <c r="CR256" s="191"/>
      <c r="CS256" s="135" t="s">
        <v>539</v>
      </c>
      <c r="CT256" s="135"/>
      <c r="CU256" s="135"/>
      <c r="CV256" s="332">
        <f t="shared" si="79"/>
        <v>4.1097937373365291E-3</v>
      </c>
      <c r="CW256" s="329">
        <f t="shared" si="80"/>
        <v>0</v>
      </c>
      <c r="CX256" s="329"/>
      <c r="CY256" s="189" t="s">
        <v>6351</v>
      </c>
    </row>
    <row r="257" spans="1:103" ht="11.25" customHeight="1" x14ac:dyDescent="0.2">
      <c r="A257" s="72">
        <v>539</v>
      </c>
      <c r="B257" s="183">
        <v>1229</v>
      </c>
      <c r="C257" s="133" t="s">
        <v>6820</v>
      </c>
      <c r="D257" s="133" t="s">
        <v>6821</v>
      </c>
      <c r="E257" s="134"/>
      <c r="F257" s="134" t="s">
        <v>1442</v>
      </c>
      <c r="G257" s="184">
        <v>82688</v>
      </c>
      <c r="H257" s="138" t="s">
        <v>1443</v>
      </c>
      <c r="I257" s="138" t="s">
        <v>7926</v>
      </c>
      <c r="J257" s="138" t="s">
        <v>1444</v>
      </c>
      <c r="K257" s="138" t="s">
        <v>426</v>
      </c>
      <c r="L257" s="138" t="s">
        <v>5929</v>
      </c>
      <c r="M257" s="138" t="s">
        <v>6082</v>
      </c>
      <c r="N257" s="138" t="s">
        <v>6082</v>
      </c>
      <c r="O257" s="138" t="s">
        <v>6083</v>
      </c>
      <c r="P257" s="138"/>
      <c r="Q257" s="138"/>
      <c r="R257" s="138"/>
      <c r="S257" s="138"/>
      <c r="T257" s="135">
        <v>295.33</v>
      </c>
      <c r="U257" s="185">
        <v>0.44000000000000006</v>
      </c>
      <c r="V257" s="185">
        <v>0.58040000000000003</v>
      </c>
      <c r="W257" s="185">
        <v>1.446463787240831</v>
      </c>
      <c r="X257" s="185">
        <v>0.44000000000000006</v>
      </c>
      <c r="Y257" s="204">
        <v>7</v>
      </c>
      <c r="Z257" s="135">
        <v>5.03</v>
      </c>
      <c r="AA257" s="135">
        <v>4.6399999999999997</v>
      </c>
      <c r="AB257" s="135">
        <v>4.8</v>
      </c>
      <c r="AC257" s="135">
        <v>0.82630000000000003</v>
      </c>
      <c r="AD257" s="135">
        <v>4.62</v>
      </c>
      <c r="AE257" s="135">
        <v>4.16</v>
      </c>
      <c r="AF257" s="135">
        <f t="shared" si="81"/>
        <v>4.6399999999999997</v>
      </c>
      <c r="AG257" s="136">
        <v>4.8099999999999996</v>
      </c>
      <c r="AH257" s="185">
        <v>4.7500000000000003E-6</v>
      </c>
      <c r="AI257" s="185">
        <v>4.4199999999999997E-5</v>
      </c>
      <c r="AJ257" s="136">
        <f t="shared" si="82"/>
        <v>-3.7118727166877852</v>
      </c>
      <c r="AK257" s="136">
        <f>LOG10(AI257*1000/(0.08206*298.15))</f>
        <v>-2.7431440569635601</v>
      </c>
      <c r="AL257" s="136">
        <f t="shared" si="83"/>
        <v>-2.7431440569635601</v>
      </c>
      <c r="AM257" s="136">
        <v>-6.2418199999999997</v>
      </c>
      <c r="AN257" s="186">
        <v>-3.9</v>
      </c>
      <c r="AO257" s="481"/>
      <c r="AP257" s="481"/>
      <c r="AQ257" s="135" t="s">
        <v>6311</v>
      </c>
      <c r="AR257" s="135" t="s">
        <v>6311</v>
      </c>
      <c r="AS257" s="190"/>
      <c r="AT257" s="137" t="s">
        <v>266</v>
      </c>
      <c r="AU257" s="135">
        <v>6</v>
      </c>
      <c r="AV257" s="135">
        <v>120</v>
      </c>
      <c r="AW257" s="135">
        <v>114</v>
      </c>
      <c r="AX257" s="135">
        <v>28</v>
      </c>
      <c r="AY257" s="135" t="s">
        <v>8728</v>
      </c>
      <c r="AZ257" s="135" t="s">
        <v>1563</v>
      </c>
      <c r="BA257" s="135">
        <v>32</v>
      </c>
      <c r="BB257" s="138" t="s">
        <v>2485</v>
      </c>
      <c r="BC257" s="458" t="s">
        <v>8726</v>
      </c>
      <c r="BD257" s="138" t="s">
        <v>8374</v>
      </c>
      <c r="BE257" s="135" t="s">
        <v>2449</v>
      </c>
      <c r="BF257" s="135" t="s">
        <v>272</v>
      </c>
      <c r="BG257" s="135" t="s">
        <v>272</v>
      </c>
      <c r="BH257" s="135" t="s">
        <v>2486</v>
      </c>
      <c r="BI257" s="185">
        <v>1.8901119999999998E-3</v>
      </c>
      <c r="BJ257" s="185">
        <v>18.901119999999999</v>
      </c>
      <c r="BK257" s="135"/>
      <c r="BL257" s="485">
        <v>0.4609614057832776</v>
      </c>
      <c r="BM257" s="138" t="s">
        <v>2487</v>
      </c>
      <c r="BN257" s="135"/>
      <c r="BO257" s="135"/>
      <c r="BP257" s="135"/>
      <c r="BQ257" s="135"/>
      <c r="BR257" s="138" t="e">
        <v>#VALUE!</v>
      </c>
      <c r="BS257" s="135"/>
      <c r="BT257" s="135"/>
      <c r="BU257" s="135">
        <v>0.18901120000000002</v>
      </c>
      <c r="BV257" s="135"/>
      <c r="BW257" s="135"/>
      <c r="BX257" s="135"/>
      <c r="BY257" s="135"/>
      <c r="BZ257" s="135"/>
      <c r="CA257" s="135"/>
      <c r="CB257" s="135"/>
      <c r="CC257" s="135"/>
      <c r="CD257" s="135"/>
      <c r="CE257" s="135"/>
      <c r="CF257" s="135"/>
      <c r="CG257" s="135"/>
      <c r="CH257" s="135"/>
      <c r="CI257" s="185"/>
      <c r="CJ257" s="187"/>
      <c r="CK257" s="136">
        <f t="shared" si="78"/>
        <v>2.4388047151876587E-2</v>
      </c>
      <c r="CL257" s="188"/>
      <c r="CM257" s="188"/>
      <c r="CN257" s="188"/>
      <c r="CO257" s="138" t="s">
        <v>2488</v>
      </c>
      <c r="CP257" s="189" t="s">
        <v>2489</v>
      </c>
      <c r="CQ257" s="183">
        <v>-0.39300346485647314</v>
      </c>
      <c r="CR257" s="191">
        <f>10^(CJ257-CQ257)</f>
        <v>2.4717438648235968</v>
      </c>
      <c r="CS257" s="135" t="s">
        <v>539</v>
      </c>
      <c r="CT257" s="135"/>
      <c r="CU257" s="135"/>
      <c r="CV257" s="332">
        <f t="shared" si="79"/>
        <v>2.3279043781532529E-2</v>
      </c>
      <c r="CW257" s="329">
        <f t="shared" si="80"/>
        <v>0</v>
      </c>
      <c r="CX257" s="329"/>
      <c r="CY257" s="189" t="s">
        <v>5921</v>
      </c>
    </row>
    <row r="258" spans="1:103" ht="11.25" customHeight="1" x14ac:dyDescent="0.2">
      <c r="A258" s="72">
        <v>540</v>
      </c>
      <c r="B258" s="183">
        <v>1591</v>
      </c>
      <c r="C258" s="133" t="s">
        <v>6822</v>
      </c>
      <c r="D258" s="133"/>
      <c r="E258" s="134"/>
      <c r="F258" s="134" t="s">
        <v>4750</v>
      </c>
      <c r="G258" s="184">
        <v>109433</v>
      </c>
      <c r="H258" s="138" t="s">
        <v>4751</v>
      </c>
      <c r="I258" s="138" t="s">
        <v>4751</v>
      </c>
      <c r="J258" s="138" t="s">
        <v>4752</v>
      </c>
      <c r="K258" s="138" t="s">
        <v>357</v>
      </c>
      <c r="L258" s="138"/>
      <c r="M258" s="138"/>
      <c r="N258" s="138"/>
      <c r="O258" s="138"/>
      <c r="P258" s="138"/>
      <c r="Q258" s="138" t="s">
        <v>6173</v>
      </c>
      <c r="R258" s="138" t="s">
        <v>6175</v>
      </c>
      <c r="S258" s="138" t="s">
        <v>6176</v>
      </c>
      <c r="T258" s="135">
        <v>314.45999999999998</v>
      </c>
      <c r="U258" s="185">
        <v>40.000000000000007</v>
      </c>
      <c r="V258" s="185">
        <v>4.224E-2</v>
      </c>
      <c r="W258" s="185">
        <v>9.4965401799761846</v>
      </c>
      <c r="X258" s="185">
        <v>40.000000000000007</v>
      </c>
      <c r="Y258" s="204">
        <v>7</v>
      </c>
      <c r="Z258" s="135">
        <v>6.3</v>
      </c>
      <c r="AA258" s="135"/>
      <c r="AB258" s="135">
        <v>5.6</v>
      </c>
      <c r="AC258" s="135">
        <v>0.67190000000000005</v>
      </c>
      <c r="AD258" s="135">
        <v>5.76</v>
      </c>
      <c r="AE258" s="135">
        <v>5.97</v>
      </c>
      <c r="AF258" s="135">
        <f t="shared" si="81"/>
        <v>5.76</v>
      </c>
      <c r="AG258" s="136">
        <v>4.97</v>
      </c>
      <c r="AH258" s="185">
        <v>1.66E-5</v>
      </c>
      <c r="AI258" s="185">
        <v>4.8499999999999998E-8</v>
      </c>
      <c r="AJ258" s="136">
        <f t="shared" si="82"/>
        <v>-3.1684582382725965</v>
      </c>
      <c r="AK258" s="136">
        <f>LOG10(AI258*1000/(0.08206*298.15))</f>
        <v>-5.7028245877103885</v>
      </c>
      <c r="AL258" s="136">
        <f t="shared" si="83"/>
        <v>-5.7028245877103885</v>
      </c>
      <c r="AM258" s="136">
        <v>-7.2654999999999994</v>
      </c>
      <c r="AN258" s="186">
        <v>-4.32</v>
      </c>
      <c r="AO258" s="481"/>
      <c r="AP258" s="481"/>
      <c r="AQ258" s="135" t="s">
        <v>6311</v>
      </c>
      <c r="AR258" s="135" t="s">
        <v>6312</v>
      </c>
      <c r="AS258" s="190"/>
      <c r="AT258" s="137" t="s">
        <v>266</v>
      </c>
      <c r="AU258" s="135">
        <v>6</v>
      </c>
      <c r="AV258" s="135">
        <v>120</v>
      </c>
      <c r="AW258" s="135">
        <v>114</v>
      </c>
      <c r="AX258" s="135">
        <v>28</v>
      </c>
      <c r="AY258" s="135" t="s">
        <v>8728</v>
      </c>
      <c r="AZ258" s="135" t="s">
        <v>1563</v>
      </c>
      <c r="BA258" s="135">
        <v>32</v>
      </c>
      <c r="BB258" s="138" t="s">
        <v>2485</v>
      </c>
      <c r="BC258" s="458" t="s">
        <v>8726</v>
      </c>
      <c r="BD258" s="138" t="s">
        <v>8374</v>
      </c>
      <c r="BE258" s="135" t="s">
        <v>2449</v>
      </c>
      <c r="BF258" s="135" t="s">
        <v>272</v>
      </c>
      <c r="BG258" s="135" t="s">
        <v>272</v>
      </c>
      <c r="BH258" s="135" t="s">
        <v>2486</v>
      </c>
      <c r="BI258" s="185">
        <v>2.0125439999999998E-3</v>
      </c>
      <c r="BJ258" s="185">
        <v>20.125439999999998</v>
      </c>
      <c r="BK258" s="135"/>
      <c r="BL258" s="485">
        <v>3.5508752109990188E-2</v>
      </c>
      <c r="BM258" s="138" t="s">
        <v>2487</v>
      </c>
      <c r="BN258" s="135"/>
      <c r="BO258" s="135"/>
      <c r="BP258" s="135"/>
      <c r="BQ258" s="135"/>
      <c r="BR258" s="138" t="e">
        <v>#VALUE!</v>
      </c>
      <c r="BS258" s="135"/>
      <c r="BT258" s="135"/>
      <c r="BU258" s="135"/>
      <c r="BV258" s="135"/>
      <c r="BW258" s="135"/>
      <c r="BX258" s="135"/>
      <c r="BY258" s="135"/>
      <c r="BZ258" s="135"/>
      <c r="CA258" s="135"/>
      <c r="CB258" s="135"/>
      <c r="CC258" s="135"/>
      <c r="CD258" s="135"/>
      <c r="CE258" s="135"/>
      <c r="CF258" s="135"/>
      <c r="CG258" s="135"/>
      <c r="CH258" s="135"/>
      <c r="CI258" s="185"/>
      <c r="CJ258" s="187"/>
      <c r="CK258" s="136">
        <f t="shared" si="78"/>
        <v>1.7643714676543814E-3</v>
      </c>
      <c r="CL258" s="188"/>
      <c r="CM258" s="188"/>
      <c r="CN258" s="188"/>
      <c r="CO258" s="138" t="s">
        <v>2488</v>
      </c>
      <c r="CP258" s="189" t="s">
        <v>2489</v>
      </c>
      <c r="CQ258" s="191" t="s">
        <v>272</v>
      </c>
      <c r="CR258" s="191"/>
      <c r="CS258" s="135" t="s">
        <v>539</v>
      </c>
      <c r="CT258" s="135"/>
      <c r="CU258" s="135"/>
      <c r="CV258" s="332">
        <f t="shared" si="79"/>
        <v>1.9875341855879927</v>
      </c>
      <c r="CW258" s="329">
        <f t="shared" si="80"/>
        <v>1</v>
      </c>
      <c r="CX258" s="329"/>
      <c r="CY258" s="189" t="s">
        <v>6351</v>
      </c>
    </row>
    <row r="259" spans="1:103" ht="11.25" customHeight="1" x14ac:dyDescent="0.2">
      <c r="A259" s="72">
        <v>541</v>
      </c>
      <c r="B259" s="183">
        <v>1734</v>
      </c>
      <c r="C259" s="133" t="s">
        <v>6823</v>
      </c>
      <c r="D259" s="133"/>
      <c r="E259" s="134"/>
      <c r="F259" s="134" t="s">
        <v>5014</v>
      </c>
      <c r="G259" s="184">
        <v>111820</v>
      </c>
      <c r="H259" s="138" t="s">
        <v>5015</v>
      </c>
      <c r="I259" s="138" t="s">
        <v>5015</v>
      </c>
      <c r="J259" s="138" t="s">
        <v>5016</v>
      </c>
      <c r="K259" s="138" t="s">
        <v>357</v>
      </c>
      <c r="L259" s="138"/>
      <c r="M259" s="138"/>
      <c r="N259" s="138"/>
      <c r="O259" s="138"/>
      <c r="P259" s="138"/>
      <c r="Q259" s="138"/>
      <c r="R259" s="138"/>
      <c r="S259" s="138"/>
      <c r="T259" s="135">
        <v>214.34</v>
      </c>
      <c r="U259" s="185"/>
      <c r="V259" s="185">
        <v>0.8841</v>
      </c>
      <c r="W259" s="185">
        <v>37.248022963414122</v>
      </c>
      <c r="X259" s="185">
        <v>37.248022963414122</v>
      </c>
      <c r="Y259" s="204">
        <v>7</v>
      </c>
      <c r="Z259" s="135">
        <v>5.28</v>
      </c>
      <c r="AA259" s="135">
        <v>5.41</v>
      </c>
      <c r="AB259" s="135">
        <v>5.44</v>
      </c>
      <c r="AC259" s="135">
        <v>0.86939999999999995</v>
      </c>
      <c r="AD259" s="135">
        <v>5.45</v>
      </c>
      <c r="AE259" s="135">
        <v>5.49</v>
      </c>
      <c r="AF259" s="135">
        <f t="shared" si="81"/>
        <v>5.41</v>
      </c>
      <c r="AG259" s="136">
        <v>4.55</v>
      </c>
      <c r="AH259" s="185">
        <v>2.98E-3</v>
      </c>
      <c r="AI259" s="185"/>
      <c r="AJ259" s="136">
        <f t="shared" si="82"/>
        <v>-0.91435006223639659</v>
      </c>
      <c r="AK259" s="136"/>
      <c r="AL259" s="136">
        <f t="shared" si="83"/>
        <v>-0.91435006223639659</v>
      </c>
      <c r="AM259" s="136">
        <v>-3.7966199999999999</v>
      </c>
      <c r="AN259" s="186">
        <v>-1.1299999999999999</v>
      </c>
      <c r="AO259" s="481"/>
      <c r="AP259" s="481"/>
      <c r="AQ259" s="186" t="s">
        <v>6311</v>
      </c>
      <c r="AR259" s="186" t="s">
        <v>6312</v>
      </c>
      <c r="AS259" s="183"/>
      <c r="AT259" s="137" t="s">
        <v>266</v>
      </c>
      <c r="AU259" s="135">
        <v>6</v>
      </c>
      <c r="AV259" s="135">
        <v>120</v>
      </c>
      <c r="AW259" s="135">
        <v>114</v>
      </c>
      <c r="AX259" s="135">
        <v>28</v>
      </c>
      <c r="AY259" s="135" t="s">
        <v>8728</v>
      </c>
      <c r="AZ259" s="135" t="s">
        <v>1563</v>
      </c>
      <c r="BA259" s="135">
        <v>32</v>
      </c>
      <c r="BB259" s="138" t="s">
        <v>2485</v>
      </c>
      <c r="BC259" s="458" t="s">
        <v>8726</v>
      </c>
      <c r="BD259" s="138" t="s">
        <v>8374</v>
      </c>
      <c r="BE259" s="135" t="s">
        <v>2449</v>
      </c>
      <c r="BF259" s="135" t="s">
        <v>272</v>
      </c>
      <c r="BG259" s="135" t="s">
        <v>272</v>
      </c>
      <c r="BH259" s="135" t="s">
        <v>2486</v>
      </c>
      <c r="BI259" s="185">
        <v>1.3717759999999999E-3</v>
      </c>
      <c r="BJ259" s="185">
        <v>13.71776</v>
      </c>
      <c r="BK259" s="135"/>
      <c r="BL259" s="485">
        <v>0.19949647502105242</v>
      </c>
      <c r="BM259" s="138" t="s">
        <v>2487</v>
      </c>
      <c r="BN259" s="135"/>
      <c r="BO259" s="135"/>
      <c r="BP259" s="135"/>
      <c r="BQ259" s="135"/>
      <c r="BR259" s="138" t="e">
        <v>#VALUE!</v>
      </c>
      <c r="BS259" s="135"/>
      <c r="BT259" s="135"/>
      <c r="BU259" s="135"/>
      <c r="BV259" s="135"/>
      <c r="BW259" s="135"/>
      <c r="BX259" s="135"/>
      <c r="BY259" s="135"/>
      <c r="BZ259" s="135"/>
      <c r="CA259" s="135"/>
      <c r="CB259" s="135"/>
      <c r="CC259" s="135"/>
      <c r="CD259" s="135"/>
      <c r="CE259" s="135"/>
      <c r="CF259" s="135"/>
      <c r="CG259" s="135"/>
      <c r="CH259" s="135"/>
      <c r="CI259" s="185"/>
      <c r="CJ259" s="187"/>
      <c r="CK259" s="136">
        <f t="shared" si="78"/>
        <v>1.4542933760399104E-2</v>
      </c>
      <c r="CL259" s="188"/>
      <c r="CM259" s="188"/>
      <c r="CN259" s="188"/>
      <c r="CO259" s="138" t="s">
        <v>2488</v>
      </c>
      <c r="CP259" s="189" t="s">
        <v>2489</v>
      </c>
      <c r="CQ259" s="191" t="s">
        <v>272</v>
      </c>
      <c r="CR259" s="191"/>
      <c r="CS259" s="135" t="s">
        <v>539</v>
      </c>
      <c r="CT259" s="135"/>
      <c r="CU259" s="135"/>
      <c r="CV259" s="332">
        <f t="shared" si="79"/>
        <v>2.7153137949208999</v>
      </c>
      <c r="CW259" s="329">
        <f t="shared" si="80"/>
        <v>1</v>
      </c>
      <c r="CX259" s="329"/>
      <c r="CY259" s="189" t="s">
        <v>6351</v>
      </c>
    </row>
    <row r="260" spans="1:103" ht="11.25" customHeight="1" x14ac:dyDescent="0.2">
      <c r="A260" s="72">
        <v>542</v>
      </c>
      <c r="B260" s="183">
        <v>1117</v>
      </c>
      <c r="C260" s="133" t="s">
        <v>6824</v>
      </c>
      <c r="D260" s="133"/>
      <c r="E260" s="134"/>
      <c r="F260" s="134" t="s">
        <v>3120</v>
      </c>
      <c r="G260" s="184">
        <v>112005</v>
      </c>
      <c r="H260" s="138" t="s">
        <v>3121</v>
      </c>
      <c r="I260" s="138" t="s">
        <v>7927</v>
      </c>
      <c r="J260" s="138" t="s">
        <v>3122</v>
      </c>
      <c r="K260" s="138" t="s">
        <v>426</v>
      </c>
      <c r="L260" s="138"/>
      <c r="M260" s="138"/>
      <c r="N260" s="138"/>
      <c r="O260" s="138"/>
      <c r="P260" s="138"/>
      <c r="Q260" s="138"/>
      <c r="R260" s="138"/>
      <c r="S260" s="138"/>
      <c r="T260" s="135">
        <v>228.44</v>
      </c>
      <c r="U260" s="185"/>
      <c r="V260" s="185">
        <v>1795</v>
      </c>
      <c r="W260" s="185">
        <v>111885.07349652784</v>
      </c>
      <c r="X260" s="185">
        <v>111885.07349652784</v>
      </c>
      <c r="Y260" s="204">
        <v>7</v>
      </c>
      <c r="Z260" s="135">
        <v>1.22</v>
      </c>
      <c r="AA260" s="135"/>
      <c r="AB260" s="135">
        <v>1.21</v>
      </c>
      <c r="AC260" s="135">
        <v>0.80259999999999998</v>
      </c>
      <c r="AD260" s="135">
        <v>1.04</v>
      </c>
      <c r="AE260" s="135">
        <v>0.67</v>
      </c>
      <c r="AF260" s="135">
        <f t="shared" si="81"/>
        <v>1.04</v>
      </c>
      <c r="AG260" s="136">
        <v>4.46</v>
      </c>
      <c r="AH260" s="185">
        <v>9.4199999999999995E-11</v>
      </c>
      <c r="AI260" s="185"/>
      <c r="AJ260" s="136">
        <f t="shared" si="82"/>
        <v>-8.4145154235197737</v>
      </c>
      <c r="AK260" s="136"/>
      <c r="AL260" s="136">
        <f t="shared" si="83"/>
        <v>-8.4145154235197737</v>
      </c>
      <c r="AM260" s="136">
        <v>-0.82478999999999991</v>
      </c>
      <c r="AN260" s="186">
        <v>-1.86</v>
      </c>
      <c r="AO260" s="481"/>
      <c r="AP260" s="481"/>
      <c r="AQ260" s="135" t="s">
        <v>6311</v>
      </c>
      <c r="AR260" s="135" t="s">
        <v>6311</v>
      </c>
      <c r="AS260" s="190"/>
      <c r="AT260" s="137" t="s">
        <v>266</v>
      </c>
      <c r="AU260" s="135">
        <v>6</v>
      </c>
      <c r="AV260" s="135">
        <v>120</v>
      </c>
      <c r="AW260" s="135">
        <v>114</v>
      </c>
      <c r="AX260" s="135">
        <v>28</v>
      </c>
      <c r="AY260" s="135" t="s">
        <v>8728</v>
      </c>
      <c r="AZ260" s="135" t="s">
        <v>1563</v>
      </c>
      <c r="BA260" s="135">
        <v>32</v>
      </c>
      <c r="BB260" s="138" t="s">
        <v>2485</v>
      </c>
      <c r="BC260" s="458" t="s">
        <v>8726</v>
      </c>
      <c r="BD260" s="138" t="s">
        <v>8374</v>
      </c>
      <c r="BE260" s="135" t="s">
        <v>2449</v>
      </c>
      <c r="BF260" s="135" t="s">
        <v>272</v>
      </c>
      <c r="BG260" s="135" t="s">
        <v>272</v>
      </c>
      <c r="BH260" s="135" t="s">
        <v>2486</v>
      </c>
      <c r="BI260" s="185">
        <v>1.462016E-3</v>
      </c>
      <c r="BJ260" s="185">
        <v>14.62016</v>
      </c>
      <c r="BK260" s="135"/>
      <c r="BL260" s="485">
        <v>941.65138930034016</v>
      </c>
      <c r="BM260" s="138" t="s">
        <v>2487</v>
      </c>
      <c r="BN260" s="135"/>
      <c r="BO260" s="135"/>
      <c r="BP260" s="135"/>
      <c r="BQ260" s="135"/>
      <c r="BR260" s="138" t="e">
        <v>#VALUE!</v>
      </c>
      <c r="BS260" s="135"/>
      <c r="BT260" s="135"/>
      <c r="BU260" s="135">
        <v>1.462016</v>
      </c>
      <c r="BV260" s="135"/>
      <c r="BW260" s="135"/>
      <c r="BX260" s="135"/>
      <c r="BY260" s="135"/>
      <c r="BZ260" s="135"/>
      <c r="CA260" s="135"/>
      <c r="CB260" s="135"/>
      <c r="CC260" s="135"/>
      <c r="CD260" s="135"/>
      <c r="CE260" s="135"/>
      <c r="CF260" s="135"/>
      <c r="CG260" s="135"/>
      <c r="CH260" s="135"/>
      <c r="CI260" s="185"/>
      <c r="CJ260" s="187"/>
      <c r="CK260" s="136">
        <f t="shared" si="78"/>
        <v>64.40773488801355</v>
      </c>
      <c r="CL260" s="188"/>
      <c r="CM260" s="188"/>
      <c r="CN260" s="188"/>
      <c r="CO260" s="138" t="s">
        <v>2488</v>
      </c>
      <c r="CP260" s="189" t="s">
        <v>2489</v>
      </c>
      <c r="CQ260" s="191" t="s">
        <v>272</v>
      </c>
      <c r="CR260" s="191"/>
      <c r="CS260" s="135" t="s">
        <v>539</v>
      </c>
      <c r="CT260" s="135"/>
      <c r="CU260" s="135"/>
      <c r="CV260" s="332">
        <f t="shared" si="79"/>
        <v>7652.7940526319708</v>
      </c>
      <c r="CW260" s="329">
        <f t="shared" si="80"/>
        <v>1</v>
      </c>
      <c r="CX260" s="329"/>
      <c r="CY260" s="189" t="s">
        <v>5921</v>
      </c>
    </row>
    <row r="261" spans="1:103" ht="11.25" customHeight="1" x14ac:dyDescent="0.2">
      <c r="A261" s="72">
        <v>544</v>
      </c>
      <c r="B261" s="183">
        <v>1357</v>
      </c>
      <c r="C261" s="133" t="s">
        <v>6826</v>
      </c>
      <c r="D261" s="133"/>
      <c r="E261" s="134"/>
      <c r="F261" s="134" t="s">
        <v>4195</v>
      </c>
      <c r="G261" s="184">
        <v>112709</v>
      </c>
      <c r="H261" s="138" t="s">
        <v>4196</v>
      </c>
      <c r="I261" s="138" t="s">
        <v>4196</v>
      </c>
      <c r="J261" s="138" t="s">
        <v>4197</v>
      </c>
      <c r="K261" s="138" t="s">
        <v>426</v>
      </c>
      <c r="L261" s="138"/>
      <c r="M261" s="138"/>
      <c r="N261" s="138"/>
      <c r="O261" s="138"/>
      <c r="P261" s="138" t="s">
        <v>6183</v>
      </c>
      <c r="Q261" s="138" t="s">
        <v>6173</v>
      </c>
      <c r="R261" s="138" t="s">
        <v>6185</v>
      </c>
      <c r="S261" s="138" t="s">
        <v>6182</v>
      </c>
      <c r="T261" s="135">
        <v>200.36</v>
      </c>
      <c r="U261" s="185"/>
      <c r="V261" s="185">
        <v>4.5330000000000004</v>
      </c>
      <c r="W261" s="185">
        <v>1.913423145352549</v>
      </c>
      <c r="X261" s="185">
        <v>1.913423145352549</v>
      </c>
      <c r="Y261" s="204">
        <v>7</v>
      </c>
      <c r="Z261" s="135">
        <v>5.26</v>
      </c>
      <c r="AA261" s="135"/>
      <c r="AB261" s="135">
        <v>5.91</v>
      </c>
      <c r="AC261" s="135">
        <v>0.89939999999999998</v>
      </c>
      <c r="AD261" s="135">
        <v>5.85</v>
      </c>
      <c r="AE261" s="135">
        <v>5.66</v>
      </c>
      <c r="AF261" s="135">
        <f t="shared" si="81"/>
        <v>5.85</v>
      </c>
      <c r="AG261" s="136">
        <v>4.8499999999999996</v>
      </c>
      <c r="AH261" s="185">
        <v>1.2799999999999999E-4</v>
      </c>
      <c r="AI261" s="185"/>
      <c r="AJ261" s="136">
        <f t="shared" si="82"/>
        <v>-2.2813563566647836</v>
      </c>
      <c r="AK261" s="136"/>
      <c r="AL261" s="136">
        <f t="shared" si="83"/>
        <v>-2.2813563566647836</v>
      </c>
      <c r="AM261" s="136">
        <v>-4.5736400000000001</v>
      </c>
      <c r="AN261" s="186">
        <v>-2.12</v>
      </c>
      <c r="AO261" s="481">
        <v>15.2</v>
      </c>
      <c r="AP261" s="481"/>
      <c r="AQ261" s="135" t="s">
        <v>6311</v>
      </c>
      <c r="AR261" s="135" t="s">
        <v>6311</v>
      </c>
      <c r="AS261" s="190"/>
      <c r="AT261" s="137" t="s">
        <v>266</v>
      </c>
      <c r="AU261" s="135">
        <v>6</v>
      </c>
      <c r="AV261" s="135">
        <v>120</v>
      </c>
      <c r="AW261" s="135">
        <v>114</v>
      </c>
      <c r="AX261" s="135">
        <v>28</v>
      </c>
      <c r="AY261" s="135" t="s">
        <v>8728</v>
      </c>
      <c r="AZ261" s="135" t="s">
        <v>1563</v>
      </c>
      <c r="BA261" s="135">
        <v>32</v>
      </c>
      <c r="BB261" s="138" t="s">
        <v>2485</v>
      </c>
      <c r="BC261" s="458" t="s">
        <v>8726</v>
      </c>
      <c r="BD261" s="138" t="s">
        <v>8374</v>
      </c>
      <c r="BE261" s="135" t="s">
        <v>2449</v>
      </c>
      <c r="BF261" s="135" t="s">
        <v>272</v>
      </c>
      <c r="BG261" s="135" t="s">
        <v>272</v>
      </c>
      <c r="BH261" s="135" t="s">
        <v>2486</v>
      </c>
      <c r="BI261" s="185">
        <v>1.282304E-3</v>
      </c>
      <c r="BJ261" s="185">
        <v>12.823040000000001</v>
      </c>
      <c r="BK261" s="135"/>
      <c r="BL261" s="485">
        <v>0.19435916429531852</v>
      </c>
      <c r="BM261" s="138" t="s">
        <v>2487</v>
      </c>
      <c r="BN261" s="135"/>
      <c r="BO261" s="135"/>
      <c r="BP261" s="135"/>
      <c r="BQ261" s="135"/>
      <c r="BR261" s="138" t="e">
        <v>#VALUE!</v>
      </c>
      <c r="BS261" s="135"/>
      <c r="BT261" s="135"/>
      <c r="BU261" s="135"/>
      <c r="BV261" s="135"/>
      <c r="BW261" s="135"/>
      <c r="BX261" s="135"/>
      <c r="BY261" s="135"/>
      <c r="BZ261" s="135"/>
      <c r="CA261" s="135"/>
      <c r="CB261" s="135"/>
      <c r="CC261" s="135"/>
      <c r="CD261" s="135"/>
      <c r="CE261" s="135"/>
      <c r="CF261" s="135"/>
      <c r="CG261" s="135"/>
      <c r="CH261" s="135"/>
      <c r="CI261" s="185"/>
      <c r="CJ261" s="187"/>
      <c r="CK261" s="136">
        <f t="shared" si="78"/>
        <v>1.5157027061860409E-2</v>
      </c>
      <c r="CL261" s="188"/>
      <c r="CM261" s="188"/>
      <c r="CN261" s="188"/>
      <c r="CO261" s="138" t="s">
        <v>2488</v>
      </c>
      <c r="CP261" s="189" t="s">
        <v>2489</v>
      </c>
      <c r="CQ261" s="191" t="s">
        <v>272</v>
      </c>
      <c r="CR261" s="191"/>
      <c r="CS261" s="135" t="s">
        <v>539</v>
      </c>
      <c r="CT261" s="135"/>
      <c r="CU261" s="135"/>
      <c r="CV261" s="332">
        <f t="shared" si="79"/>
        <v>0.14921759156584935</v>
      </c>
      <c r="CW261" s="329">
        <f t="shared" si="80"/>
        <v>0</v>
      </c>
      <c r="CX261" s="329"/>
      <c r="CY261" s="189" t="s">
        <v>5921</v>
      </c>
    </row>
    <row r="262" spans="1:103" ht="11.25" customHeight="1" x14ac:dyDescent="0.2">
      <c r="A262" s="72">
        <v>545</v>
      </c>
      <c r="B262" s="183">
        <v>917</v>
      </c>
      <c r="C262" s="133" t="s">
        <v>6827</v>
      </c>
      <c r="D262" s="133"/>
      <c r="E262" s="134"/>
      <c r="F262" s="134" t="s">
        <v>2619</v>
      </c>
      <c r="G262" s="184">
        <v>112721</v>
      </c>
      <c r="H262" s="138" t="s">
        <v>2620</v>
      </c>
      <c r="I262" s="138" t="s">
        <v>2620</v>
      </c>
      <c r="J262" s="138" t="s">
        <v>2621</v>
      </c>
      <c r="K262" s="138" t="s">
        <v>426</v>
      </c>
      <c r="L262" s="138"/>
      <c r="M262" s="138"/>
      <c r="N262" s="138"/>
      <c r="O262" s="138"/>
      <c r="P262" s="138" t="s">
        <v>6183</v>
      </c>
      <c r="Q262" s="138" t="s">
        <v>6173</v>
      </c>
      <c r="R262" s="138" t="s">
        <v>6185</v>
      </c>
      <c r="S262" s="138" t="s">
        <v>6182</v>
      </c>
      <c r="T262" s="135">
        <v>214.39</v>
      </c>
      <c r="U262" s="185">
        <v>0.191</v>
      </c>
      <c r="V262" s="185">
        <v>0.84489999999999998</v>
      </c>
      <c r="W262" s="185">
        <v>0.44792419749379714</v>
      </c>
      <c r="X262" s="185">
        <v>0.191</v>
      </c>
      <c r="Y262" s="204">
        <v>7</v>
      </c>
      <c r="Z262" s="135">
        <v>5.75</v>
      </c>
      <c r="AA262" s="135">
        <v>6.03</v>
      </c>
      <c r="AB262" s="135">
        <v>6.21</v>
      </c>
      <c r="AC262" s="135">
        <v>0.90280000000000005</v>
      </c>
      <c r="AD262" s="135">
        <v>6.21</v>
      </c>
      <c r="AE262" s="135">
        <v>6.19</v>
      </c>
      <c r="AF262" s="135">
        <f t="shared" si="81"/>
        <v>6.03</v>
      </c>
      <c r="AG262" s="136">
        <v>5.29</v>
      </c>
      <c r="AH262" s="185">
        <v>1.7000000000000001E-4</v>
      </c>
      <c r="AI262" s="185">
        <v>1.6000000000000001E-4</v>
      </c>
      <c r="AJ262" s="136">
        <f t="shared" si="82"/>
        <v>-2.1581174049343779</v>
      </c>
      <c r="AK262" s="136">
        <f>LOG10(AI262*1000/(0.08206*298.15))</f>
        <v>-2.184446343656727</v>
      </c>
      <c r="AL262" s="136">
        <f t="shared" si="83"/>
        <v>-2.184446343656727</v>
      </c>
      <c r="AM262" s="136">
        <v>-4.7075700000000005</v>
      </c>
      <c r="AN262" s="186">
        <v>-1.99</v>
      </c>
      <c r="AO262" s="481">
        <v>15.2</v>
      </c>
      <c r="AP262" s="481"/>
      <c r="AQ262" s="135" t="s">
        <v>6311</v>
      </c>
      <c r="AR262" s="135" t="s">
        <v>6311</v>
      </c>
      <c r="AS262" s="190"/>
      <c r="AT262" s="137" t="s">
        <v>266</v>
      </c>
      <c r="AU262" s="135">
        <v>6</v>
      </c>
      <c r="AV262" s="135">
        <v>120</v>
      </c>
      <c r="AW262" s="135">
        <v>114</v>
      </c>
      <c r="AX262" s="135">
        <v>28</v>
      </c>
      <c r="AY262" s="135" t="s">
        <v>8728</v>
      </c>
      <c r="AZ262" s="135" t="s">
        <v>1563</v>
      </c>
      <c r="BA262" s="135">
        <v>32</v>
      </c>
      <c r="BB262" s="138" t="s">
        <v>2485</v>
      </c>
      <c r="BC262" s="458" t="s">
        <v>8726</v>
      </c>
      <c r="BD262" s="138" t="s">
        <v>8374</v>
      </c>
      <c r="BE262" s="135" t="s">
        <v>2449</v>
      </c>
      <c r="BF262" s="135" t="s">
        <v>272</v>
      </c>
      <c r="BG262" s="135" t="s">
        <v>272</v>
      </c>
      <c r="BH262" s="135" t="s">
        <v>2486</v>
      </c>
      <c r="BI262" s="185">
        <v>1.3720959999999999E-3</v>
      </c>
      <c r="BJ262" s="185">
        <v>13.72096</v>
      </c>
      <c r="BK262" s="135"/>
      <c r="BL262" s="485">
        <v>7.5496970399502983E-2</v>
      </c>
      <c r="BM262" s="138" t="s">
        <v>2487</v>
      </c>
      <c r="BN262" s="135"/>
      <c r="BO262" s="135"/>
      <c r="BP262" s="135"/>
      <c r="BQ262" s="135"/>
      <c r="BR262" s="138" t="e">
        <v>#VALUE!</v>
      </c>
      <c r="BS262" s="135"/>
      <c r="BT262" s="135"/>
      <c r="BU262" s="135">
        <v>0.13720960000000001</v>
      </c>
      <c r="BV262" s="135"/>
      <c r="BW262" s="135"/>
      <c r="BX262" s="135"/>
      <c r="BY262" s="135"/>
      <c r="BZ262" s="135"/>
      <c r="CA262" s="135"/>
      <c r="CB262" s="135"/>
      <c r="CC262" s="135"/>
      <c r="CD262" s="135"/>
      <c r="CE262" s="135"/>
      <c r="CF262" s="135"/>
      <c r="CG262" s="135"/>
      <c r="CH262" s="135"/>
      <c r="CI262" s="185"/>
      <c r="CJ262" s="187"/>
      <c r="CK262" s="136">
        <f t="shared" si="78"/>
        <v>5.502309634275079E-3</v>
      </c>
      <c r="CL262" s="188"/>
      <c r="CM262" s="188"/>
      <c r="CN262" s="188"/>
      <c r="CO262" s="138" t="s">
        <v>2488</v>
      </c>
      <c r="CP262" s="189" t="s">
        <v>2489</v>
      </c>
      <c r="CQ262" s="191" t="s">
        <v>272</v>
      </c>
      <c r="CR262" s="191"/>
      <c r="CS262" s="135" t="s">
        <v>539</v>
      </c>
      <c r="CT262" s="135"/>
      <c r="CU262" s="135"/>
      <c r="CV262" s="332">
        <f t="shared" si="79"/>
        <v>1.3920308783058912E-2</v>
      </c>
      <c r="CW262" s="329">
        <f t="shared" ref="CW262:CW293" si="84">IF(CV262&lt;1,0,1)</f>
        <v>0</v>
      </c>
      <c r="CX262" s="329"/>
      <c r="CY262" s="189" t="s">
        <v>6351</v>
      </c>
    </row>
    <row r="263" spans="1:103" ht="11.25" customHeight="1" x14ac:dyDescent="0.2">
      <c r="A263" s="72">
        <v>546</v>
      </c>
      <c r="B263" s="183">
        <v>1587</v>
      </c>
      <c r="C263" s="133" t="s">
        <v>4741</v>
      </c>
      <c r="D263" s="133" t="s">
        <v>6825</v>
      </c>
      <c r="E263" s="134"/>
      <c r="F263" s="134" t="s">
        <v>3816</v>
      </c>
      <c r="G263" s="184">
        <v>117817</v>
      </c>
      <c r="H263" s="138" t="s">
        <v>3817</v>
      </c>
      <c r="I263" s="138" t="s">
        <v>3817</v>
      </c>
      <c r="J263" s="138" t="s">
        <v>3818</v>
      </c>
      <c r="K263" s="138" t="s">
        <v>357</v>
      </c>
      <c r="L263" s="138" t="s">
        <v>5527</v>
      </c>
      <c r="M263" s="138" t="s">
        <v>2342</v>
      </c>
      <c r="N263" s="138" t="s">
        <v>2342</v>
      </c>
      <c r="O263" s="138"/>
      <c r="P263" s="138"/>
      <c r="Q263" s="138"/>
      <c r="R263" s="138"/>
      <c r="S263" s="138"/>
      <c r="T263" s="135">
        <v>390.56</v>
      </c>
      <c r="U263" s="185">
        <v>0.27</v>
      </c>
      <c r="V263" s="185">
        <v>1.132E-3</v>
      </c>
      <c r="W263" s="185">
        <v>0.10272774669146591</v>
      </c>
      <c r="X263" s="185">
        <v>0.27</v>
      </c>
      <c r="Y263" s="204">
        <v>7</v>
      </c>
      <c r="Z263" s="135">
        <v>8.39</v>
      </c>
      <c r="AA263" s="135">
        <v>7.6</v>
      </c>
      <c r="AB263" s="135">
        <v>7.44</v>
      </c>
      <c r="AC263" s="135">
        <v>0.71960000000000002</v>
      </c>
      <c r="AD263" s="135">
        <v>7.91</v>
      </c>
      <c r="AE263" s="135">
        <v>8.7100000000000009</v>
      </c>
      <c r="AF263" s="135">
        <f t="shared" si="81"/>
        <v>7.6</v>
      </c>
      <c r="AG263" s="136">
        <v>7.11</v>
      </c>
      <c r="AH263" s="185">
        <v>1.1800000000000001E-5</v>
      </c>
      <c r="AI263" s="185">
        <v>2.7000000000000001E-7</v>
      </c>
      <c r="AJ263" s="136">
        <f t="shared" si="82"/>
        <v>-3.3166843190065265</v>
      </c>
      <c r="AK263" s="136">
        <f>LOG10(AI263*1000/(0.08206*298.15))</f>
        <v>-4.9572025621536646</v>
      </c>
      <c r="AL263" s="136">
        <f t="shared" si="83"/>
        <v>-4.9572025621536646</v>
      </c>
      <c r="AM263" s="136">
        <v>-10.153320000000001</v>
      </c>
      <c r="AN263" s="186">
        <v>-3.61</v>
      </c>
      <c r="AO263" s="481"/>
      <c r="AP263" s="481"/>
      <c r="AQ263" s="135" t="s">
        <v>6311</v>
      </c>
      <c r="AR263" s="135" t="s">
        <v>6312</v>
      </c>
      <c r="AS263" s="190"/>
      <c r="AT263" s="137" t="s">
        <v>266</v>
      </c>
      <c r="AU263" s="135">
        <v>6</v>
      </c>
      <c r="AV263" s="135">
        <v>120</v>
      </c>
      <c r="AW263" s="135">
        <v>114</v>
      </c>
      <c r="AX263" s="135">
        <v>28</v>
      </c>
      <c r="AY263" s="135" t="s">
        <v>8728</v>
      </c>
      <c r="AZ263" s="135" t="s">
        <v>1563</v>
      </c>
      <c r="BA263" s="135">
        <v>32</v>
      </c>
      <c r="BB263" s="138" t="s">
        <v>2485</v>
      </c>
      <c r="BC263" s="458" t="s">
        <v>8726</v>
      </c>
      <c r="BD263" s="138" t="s">
        <v>8374</v>
      </c>
      <c r="BE263" s="135" t="s">
        <v>2449</v>
      </c>
      <c r="BF263" s="135" t="s">
        <v>272</v>
      </c>
      <c r="BG263" s="135" t="s">
        <v>272</v>
      </c>
      <c r="BH263" s="135" t="s">
        <v>2486</v>
      </c>
      <c r="BI263" s="185">
        <v>2.499584E-3</v>
      </c>
      <c r="BJ263" s="185">
        <v>24.995840000000001</v>
      </c>
      <c r="BK263" s="135"/>
      <c r="BL263" s="485">
        <v>5.8536770976688778E-4</v>
      </c>
      <c r="BM263" s="138" t="s">
        <v>2487</v>
      </c>
      <c r="BN263" s="135"/>
      <c r="BO263" s="135"/>
      <c r="BP263" s="135"/>
      <c r="BQ263" s="135"/>
      <c r="BR263" s="138" t="e">
        <v>#VALUE!</v>
      </c>
      <c r="BS263" s="135"/>
      <c r="BT263" s="135"/>
      <c r="BU263" s="135"/>
      <c r="BV263" s="135"/>
      <c r="BW263" s="135"/>
      <c r="BX263" s="135"/>
      <c r="BY263" s="135"/>
      <c r="BZ263" s="135"/>
      <c r="CA263" s="135"/>
      <c r="CB263" s="135"/>
      <c r="CC263" s="135"/>
      <c r="CD263" s="135"/>
      <c r="CE263" s="135"/>
      <c r="CF263" s="135"/>
      <c r="CG263" s="135"/>
      <c r="CH263" s="135"/>
      <c r="CI263" s="185"/>
      <c r="CJ263" s="187"/>
      <c r="CK263" s="136">
        <f t="shared" si="78"/>
        <v>2.3418605246588543E-5</v>
      </c>
      <c r="CL263" s="188"/>
      <c r="CM263" s="188"/>
      <c r="CN263" s="188"/>
      <c r="CO263" s="138" t="s">
        <v>2488</v>
      </c>
      <c r="CP263" s="189" t="s">
        <v>2489</v>
      </c>
      <c r="CQ263" s="183">
        <v>2.4548790942923899</v>
      </c>
      <c r="CR263" s="191">
        <f>10^(CJ263-CQ263)</f>
        <v>3.5084953535265352E-3</v>
      </c>
      <c r="CS263" s="135" t="s">
        <v>539</v>
      </c>
      <c r="CT263" s="135"/>
      <c r="CU263" s="135"/>
      <c r="CV263" s="332">
        <f t="shared" si="79"/>
        <v>1.0801797419090537E-2</v>
      </c>
      <c r="CW263" s="329">
        <f t="shared" si="84"/>
        <v>0</v>
      </c>
      <c r="CX263" s="329"/>
      <c r="CY263" s="189" t="s">
        <v>6351</v>
      </c>
    </row>
    <row r="264" spans="1:103" ht="11.25" customHeight="1" x14ac:dyDescent="0.2">
      <c r="A264" s="72">
        <v>547</v>
      </c>
      <c r="B264" s="183">
        <v>1064</v>
      </c>
      <c r="C264" s="133" t="s">
        <v>1047</v>
      </c>
      <c r="D264" s="133" t="s">
        <v>6503</v>
      </c>
      <c r="E264" s="134"/>
      <c r="F264" s="134" t="s">
        <v>1048</v>
      </c>
      <c r="G264" s="184">
        <v>5598130</v>
      </c>
      <c r="H264" s="138" t="s">
        <v>1049</v>
      </c>
      <c r="I264" s="138" t="s">
        <v>7928</v>
      </c>
      <c r="J264" s="138" t="s">
        <v>1050</v>
      </c>
      <c r="K264" s="138" t="s">
        <v>1040</v>
      </c>
      <c r="L264" s="138" t="s">
        <v>617</v>
      </c>
      <c r="M264" s="138" t="s">
        <v>946</v>
      </c>
      <c r="N264" s="138" t="s">
        <v>6376</v>
      </c>
      <c r="O264" s="138" t="s">
        <v>918</v>
      </c>
      <c r="P264" s="138"/>
      <c r="Q264" s="138"/>
      <c r="R264" s="138"/>
      <c r="S264" s="138"/>
      <c r="T264" s="135">
        <v>322.52999999999997</v>
      </c>
      <c r="U264" s="185">
        <v>4.76</v>
      </c>
      <c r="V264" s="185">
        <v>1.8869999999999998</v>
      </c>
      <c r="W264" s="185">
        <v>7.0561875657244792</v>
      </c>
      <c r="X264" s="185">
        <v>4.76</v>
      </c>
      <c r="Y264" s="204">
        <v>7</v>
      </c>
      <c r="Z264" s="135">
        <v>4.13</v>
      </c>
      <c r="AA264" s="135">
        <v>4.3099999999999996</v>
      </c>
      <c r="AB264" s="135">
        <v>4.3</v>
      </c>
      <c r="AC264" s="135">
        <v>0.86850000000000005</v>
      </c>
      <c r="AD264" s="135">
        <v>4.17</v>
      </c>
      <c r="AE264" s="135">
        <v>3.71</v>
      </c>
      <c r="AF264" s="135">
        <f t="shared" si="81"/>
        <v>4.3099999999999996</v>
      </c>
      <c r="AG264" s="136">
        <v>4.43</v>
      </c>
      <c r="AH264" s="185">
        <v>1.4300000000000001E-6</v>
      </c>
      <c r="AI264" s="185">
        <v>3.7500000000000001E-6</v>
      </c>
      <c r="AJ264" s="136">
        <f t="shared" si="82"/>
        <v>-4.2332302888475901</v>
      </c>
      <c r="AK264" s="136">
        <f>LOG10(AI264*1000/(0.08206*298.15))</f>
        <v>-3.8145350585849327</v>
      </c>
      <c r="AL264" s="136">
        <f t="shared" si="83"/>
        <v>-3.8145350585849327</v>
      </c>
      <c r="AM264" s="136">
        <v>-10.934170000000002</v>
      </c>
      <c r="AN264" s="186">
        <v>-2.9</v>
      </c>
      <c r="AO264" s="481"/>
      <c r="AP264" s="481">
        <v>-5.59</v>
      </c>
      <c r="AQ264" s="135" t="s">
        <v>6312</v>
      </c>
      <c r="AR264" s="135" t="s">
        <v>6312</v>
      </c>
      <c r="AS264" s="190"/>
      <c r="AT264" s="137" t="s">
        <v>266</v>
      </c>
      <c r="AU264" s="135">
        <v>6</v>
      </c>
      <c r="AV264" s="135">
        <v>120</v>
      </c>
      <c r="AW264" s="135">
        <v>114</v>
      </c>
      <c r="AX264" s="135">
        <v>28</v>
      </c>
      <c r="AY264" s="135" t="s">
        <v>8728</v>
      </c>
      <c r="AZ264" s="135" t="s">
        <v>1563</v>
      </c>
      <c r="BA264" s="135">
        <v>32</v>
      </c>
      <c r="BB264" s="138" t="s">
        <v>2485</v>
      </c>
      <c r="BC264" s="458" t="s">
        <v>8726</v>
      </c>
      <c r="BD264" s="138" t="s">
        <v>8374</v>
      </c>
      <c r="BE264" s="135" t="s">
        <v>2449</v>
      </c>
      <c r="BF264" s="135" t="s">
        <v>272</v>
      </c>
      <c r="BG264" s="135" t="s">
        <v>272</v>
      </c>
      <c r="BH264" s="135" t="s">
        <v>2486</v>
      </c>
      <c r="BI264" s="185">
        <v>2.0641919999999998E-3</v>
      </c>
      <c r="BJ264" s="185">
        <v>20.641919999999999</v>
      </c>
      <c r="BK264" s="135"/>
      <c r="BL264" s="485">
        <v>3.2375547135637186</v>
      </c>
      <c r="BM264" s="138" t="s">
        <v>2487</v>
      </c>
      <c r="BN264" s="135"/>
      <c r="BO264" s="135"/>
      <c r="BP264" s="135"/>
      <c r="BQ264" s="135"/>
      <c r="BR264" s="138" t="e">
        <v>#VALUE!</v>
      </c>
      <c r="BS264" s="135"/>
      <c r="BT264" s="135"/>
      <c r="BU264" s="135">
        <v>20.641919999999999</v>
      </c>
      <c r="BV264" s="135"/>
      <c r="BW264" s="135"/>
      <c r="BX264" s="135"/>
      <c r="BY264" s="135"/>
      <c r="BZ264" s="135"/>
      <c r="CA264" s="135"/>
      <c r="CB264" s="135"/>
      <c r="CC264" s="135"/>
      <c r="CD264" s="135"/>
      <c r="CE264" s="135"/>
      <c r="CF264" s="135"/>
      <c r="CG264" s="135"/>
      <c r="CH264" s="135"/>
      <c r="CI264" s="185"/>
      <c r="CJ264" s="187"/>
      <c r="CK264" s="136">
        <f t="shared" si="78"/>
        <v>0.15684368089614331</v>
      </c>
      <c r="CL264" s="188"/>
      <c r="CM264" s="188">
        <v>-1.1139605710803233</v>
      </c>
      <c r="CN264" s="188">
        <f>BJ264/(10^CM264)</f>
        <v>268.35559946900952</v>
      </c>
      <c r="CO264" s="138" t="s">
        <v>2488</v>
      </c>
      <c r="CP264" s="189" t="s">
        <v>2489</v>
      </c>
      <c r="CQ264" s="183">
        <v>-0.71323386944474743</v>
      </c>
      <c r="CR264" s="191">
        <f>10^(CJ264-CQ264)</f>
        <v>5.1669453659648701</v>
      </c>
      <c r="CS264" s="135" t="s">
        <v>539</v>
      </c>
      <c r="CT264" s="135"/>
      <c r="CU264" s="135"/>
      <c r="CV264" s="332">
        <f t="shared" si="79"/>
        <v>0.23059870399652746</v>
      </c>
      <c r="CW264" s="329">
        <f t="shared" si="84"/>
        <v>0</v>
      </c>
      <c r="CX264" s="329"/>
      <c r="CY264" s="189" t="s">
        <v>5921</v>
      </c>
    </row>
    <row r="265" spans="1:103" ht="11.25" customHeight="1" x14ac:dyDescent="0.2">
      <c r="A265" s="72">
        <v>548</v>
      </c>
      <c r="B265" s="183">
        <v>1553</v>
      </c>
      <c r="C265" s="133" t="s">
        <v>4686</v>
      </c>
      <c r="D265" s="133" t="s">
        <v>6499</v>
      </c>
      <c r="E265" s="134"/>
      <c r="F265" s="134" t="s">
        <v>1037</v>
      </c>
      <c r="G265" s="184">
        <v>2921882</v>
      </c>
      <c r="H265" s="138" t="s">
        <v>1038</v>
      </c>
      <c r="I265" s="138" t="s">
        <v>7929</v>
      </c>
      <c r="J265" s="138" t="s">
        <v>1039</v>
      </c>
      <c r="K265" s="138" t="s">
        <v>1040</v>
      </c>
      <c r="L265" s="138" t="s">
        <v>617</v>
      </c>
      <c r="M265" s="138" t="s">
        <v>946</v>
      </c>
      <c r="N265" s="138" t="s">
        <v>6376</v>
      </c>
      <c r="O265" s="138" t="s">
        <v>1041</v>
      </c>
      <c r="P265" s="138" t="s">
        <v>6178</v>
      </c>
      <c r="Q265" s="138" t="s">
        <v>6173</v>
      </c>
      <c r="R265" s="138" t="s">
        <v>6177</v>
      </c>
      <c r="S265" s="138" t="s">
        <v>6176</v>
      </c>
      <c r="T265" s="135">
        <v>350.59</v>
      </c>
      <c r="U265" s="185">
        <v>1.1200000000000001</v>
      </c>
      <c r="V265" s="185">
        <v>0.35699999999999998</v>
      </c>
      <c r="W265" s="185">
        <v>1.4282345159534386</v>
      </c>
      <c r="X265" s="185">
        <v>1.1200000000000001</v>
      </c>
      <c r="Y265" s="204">
        <v>7</v>
      </c>
      <c r="Z265" s="135">
        <v>5.1100000000000003</v>
      </c>
      <c r="AA265" s="135">
        <v>4.96</v>
      </c>
      <c r="AB265" s="135">
        <v>4.79</v>
      </c>
      <c r="AC265" s="135">
        <v>0.86860000000000004</v>
      </c>
      <c r="AD265" s="135">
        <v>4.78</v>
      </c>
      <c r="AE265" s="135">
        <v>4.7699999999999996</v>
      </c>
      <c r="AF265" s="135">
        <f t="shared" si="81"/>
        <v>4.96</v>
      </c>
      <c r="AG265" s="136">
        <v>5.16</v>
      </c>
      <c r="AH265" s="185">
        <v>2.52E-6</v>
      </c>
      <c r="AI265" s="185">
        <v>2.9299999999999999E-6</v>
      </c>
      <c r="AJ265" s="136">
        <f t="shared" si="82"/>
        <v>-3.9871657855311078</v>
      </c>
      <c r="AK265" s="136">
        <f>LOG10(AI265*1000/(0.08206*298.15))</f>
        <v>-3.9216987059585424</v>
      </c>
      <c r="AL265" s="136">
        <f t="shared" si="83"/>
        <v>-3.9216987059585424</v>
      </c>
      <c r="AM265" s="136">
        <v>-11.220610000000001</v>
      </c>
      <c r="AN265" s="186">
        <v>-2.64</v>
      </c>
      <c r="AO265" s="481"/>
      <c r="AP265" s="481">
        <v>-5.28</v>
      </c>
      <c r="AQ265" s="135" t="s">
        <v>6312</v>
      </c>
      <c r="AR265" s="135" t="s">
        <v>6312</v>
      </c>
      <c r="AS265" s="190"/>
      <c r="AT265" s="137" t="s">
        <v>266</v>
      </c>
      <c r="AU265" s="135">
        <v>6</v>
      </c>
      <c r="AV265" s="135">
        <v>120</v>
      </c>
      <c r="AW265" s="135">
        <v>114</v>
      </c>
      <c r="AX265" s="135">
        <v>28</v>
      </c>
      <c r="AY265" s="135" t="s">
        <v>8728</v>
      </c>
      <c r="AZ265" s="135" t="s">
        <v>1563</v>
      </c>
      <c r="BA265" s="135">
        <v>32</v>
      </c>
      <c r="BB265" s="138" t="s">
        <v>2485</v>
      </c>
      <c r="BC265" s="458" t="s">
        <v>8726</v>
      </c>
      <c r="BD265" s="138" t="s">
        <v>8374</v>
      </c>
      <c r="BE265" s="135" t="s">
        <v>2449</v>
      </c>
      <c r="BF265" s="135" t="s">
        <v>272</v>
      </c>
      <c r="BG265" s="135" t="s">
        <v>272</v>
      </c>
      <c r="BH265" s="135" t="s">
        <v>2486</v>
      </c>
      <c r="BI265" s="185">
        <v>2.2437759999999998E-3</v>
      </c>
      <c r="BJ265" s="185">
        <v>22.437759999999997</v>
      </c>
      <c r="BK265" s="135"/>
      <c r="BL265" s="485">
        <v>0.46377627111057301</v>
      </c>
      <c r="BM265" s="138" t="s">
        <v>2487</v>
      </c>
      <c r="BN265" s="135"/>
      <c r="BO265" s="135"/>
      <c r="BP265" s="135"/>
      <c r="BQ265" s="135"/>
      <c r="BR265" s="138" t="e">
        <v>#VALUE!</v>
      </c>
      <c r="BS265" s="135"/>
      <c r="BT265" s="135"/>
      <c r="BU265" s="135"/>
      <c r="BV265" s="135"/>
      <c r="BW265" s="135"/>
      <c r="BX265" s="135"/>
      <c r="BY265" s="135"/>
      <c r="BZ265" s="135"/>
      <c r="CA265" s="135"/>
      <c r="CB265" s="135"/>
      <c r="CC265" s="135"/>
      <c r="CD265" s="135"/>
      <c r="CE265" s="135"/>
      <c r="CF265" s="135"/>
      <c r="CG265" s="135"/>
      <c r="CH265" s="135"/>
      <c r="CI265" s="185"/>
      <c r="CJ265" s="187"/>
      <c r="CK265" s="136">
        <f t="shared" si="78"/>
        <v>2.0669455021828074E-2</v>
      </c>
      <c r="CL265" s="188"/>
      <c r="CM265" s="188">
        <v>-2.2423817793682899</v>
      </c>
      <c r="CN265" s="188">
        <f>BJ265/(10^CM265)</f>
        <v>3920.6789209184171</v>
      </c>
      <c r="CO265" s="138" t="s">
        <v>2488</v>
      </c>
      <c r="CP265" s="189" t="s">
        <v>2489</v>
      </c>
      <c r="CQ265" s="183">
        <v>-1.5767489445189753</v>
      </c>
      <c r="CR265" s="191">
        <f>10^(CJ265-CQ265)</f>
        <v>37.735398834894397</v>
      </c>
      <c r="CS265" s="135" t="s">
        <v>539</v>
      </c>
      <c r="CT265" s="135"/>
      <c r="CU265" s="135"/>
      <c r="CV265" s="332">
        <f t="shared" si="79"/>
        <v>4.9915856128240975E-2</v>
      </c>
      <c r="CW265" s="329">
        <f t="shared" si="84"/>
        <v>0</v>
      </c>
      <c r="CX265" s="329"/>
      <c r="CY265" s="189" t="s">
        <v>5921</v>
      </c>
    </row>
    <row r="266" spans="1:103" ht="11.25" customHeight="1" x14ac:dyDescent="0.2">
      <c r="A266" s="72">
        <v>549</v>
      </c>
      <c r="B266" s="183">
        <v>1626</v>
      </c>
      <c r="C266" s="133" t="s">
        <v>6828</v>
      </c>
      <c r="D266" s="133"/>
      <c r="E266" s="134"/>
      <c r="F266" s="134" t="s">
        <v>4816</v>
      </c>
      <c r="G266" s="184">
        <v>117840</v>
      </c>
      <c r="H266" s="138" t="s">
        <v>4817</v>
      </c>
      <c r="I266" s="138" t="s">
        <v>4817</v>
      </c>
      <c r="J266" s="138" t="s">
        <v>4818</v>
      </c>
      <c r="K266" s="138" t="s">
        <v>357</v>
      </c>
      <c r="L266" s="138"/>
      <c r="M266" s="138"/>
      <c r="N266" s="138"/>
      <c r="O266" s="138"/>
      <c r="P266" s="138"/>
      <c r="Q266" s="138" t="s">
        <v>6173</v>
      </c>
      <c r="R266" s="138" t="s">
        <v>6174</v>
      </c>
      <c r="S266" s="138" t="s">
        <v>6176</v>
      </c>
      <c r="T266" s="135">
        <v>390.56</v>
      </c>
      <c r="U266" s="185">
        <v>2.1999999999999999E-2</v>
      </c>
      <c r="V266" s="185">
        <v>4.2360000000000005E-4</v>
      </c>
      <c r="W266" s="185">
        <v>8.350024736759902E-2</v>
      </c>
      <c r="X266" s="185">
        <v>2.1999999999999999E-2</v>
      </c>
      <c r="Y266" s="204">
        <v>7</v>
      </c>
      <c r="Z266" s="135">
        <v>8.5399999999999991</v>
      </c>
      <c r="AA266" s="135">
        <v>8.1</v>
      </c>
      <c r="AB266" s="135">
        <v>8.2799999999999994</v>
      </c>
      <c r="AC266" s="135">
        <v>0.79469999999999996</v>
      </c>
      <c r="AD266" s="135">
        <v>8.5299999999999994</v>
      </c>
      <c r="AE266" s="135">
        <v>9.08</v>
      </c>
      <c r="AF266" s="135">
        <f t="shared" ref="AF266:AF275" si="85">IF(AA266=0,AD266,AA266)</f>
        <v>8.1</v>
      </c>
      <c r="AG266" s="136">
        <v>7.5</v>
      </c>
      <c r="AH266" s="185">
        <v>1.1800000000000001E-5</v>
      </c>
      <c r="AI266" s="185">
        <v>2.57E-6</v>
      </c>
      <c r="AJ266" s="136">
        <f t="shared" si="82"/>
        <v>-3.3166843190065265</v>
      </c>
      <c r="AK266" s="136">
        <f>LOG10(AI266*1000/(0.08206*298.15))</f>
        <v>-3.9786332029813574</v>
      </c>
      <c r="AL266" s="136">
        <f t="shared" si="83"/>
        <v>-3.9786332029813574</v>
      </c>
      <c r="AM266" s="136">
        <v>-9.9793199999999995</v>
      </c>
      <c r="AN266" s="186">
        <v>-3.61</v>
      </c>
      <c r="AO266" s="481"/>
      <c r="AP266" s="481"/>
      <c r="AQ266" s="186" t="s">
        <v>6311</v>
      </c>
      <c r="AR266" s="186" t="s">
        <v>6312</v>
      </c>
      <c r="AS266" s="183"/>
      <c r="AT266" s="137" t="s">
        <v>266</v>
      </c>
      <c r="AU266" s="135">
        <v>6</v>
      </c>
      <c r="AV266" s="135">
        <v>120</v>
      </c>
      <c r="AW266" s="135">
        <v>114</v>
      </c>
      <c r="AX266" s="135">
        <v>28</v>
      </c>
      <c r="AY266" s="135" t="s">
        <v>8728</v>
      </c>
      <c r="AZ266" s="135" t="s">
        <v>1563</v>
      </c>
      <c r="BA266" s="135">
        <v>32</v>
      </c>
      <c r="BB266" s="138" t="s">
        <v>2485</v>
      </c>
      <c r="BC266" s="458" t="s">
        <v>8726</v>
      </c>
      <c r="BD266" s="138" t="s">
        <v>8374</v>
      </c>
      <c r="BE266" s="135" t="s">
        <v>2449</v>
      </c>
      <c r="BF266" s="135" t="s">
        <v>272</v>
      </c>
      <c r="BG266" s="135" t="s">
        <v>272</v>
      </c>
      <c r="BH266" s="135" t="s">
        <v>2486</v>
      </c>
      <c r="BI266" s="185">
        <v>2.499584E-3</v>
      </c>
      <c r="BJ266" s="185">
        <v>24.995840000000001</v>
      </c>
      <c r="BK266" s="135"/>
      <c r="BL266" s="485">
        <v>4.2925341808510261E-4</v>
      </c>
      <c r="BM266" s="138" t="s">
        <v>2487</v>
      </c>
      <c r="BN266" s="135"/>
      <c r="BO266" s="135"/>
      <c r="BP266" s="135"/>
      <c r="BQ266" s="135"/>
      <c r="BR266" s="138" t="e">
        <v>#VALUE!</v>
      </c>
      <c r="BS266" s="135"/>
      <c r="BT266" s="135"/>
      <c r="BU266" s="135"/>
      <c r="BV266" s="135"/>
      <c r="BW266" s="135"/>
      <c r="BX266" s="135"/>
      <c r="BY266" s="135"/>
      <c r="BZ266" s="135"/>
      <c r="CA266" s="135"/>
      <c r="CB266" s="135"/>
      <c r="CC266" s="135"/>
      <c r="CD266" s="135"/>
      <c r="CE266" s="135"/>
      <c r="CF266" s="135"/>
      <c r="CG266" s="135"/>
      <c r="CH266" s="135"/>
      <c r="CI266" s="185"/>
      <c r="CJ266" s="187"/>
      <c r="CK266" s="136">
        <f t="shared" si="78"/>
        <v>1.7172994309657231E-5</v>
      </c>
      <c r="CL266" s="188"/>
      <c r="CM266" s="188"/>
      <c r="CN266" s="188"/>
      <c r="CO266" s="138" t="s">
        <v>2488</v>
      </c>
      <c r="CP266" s="189" t="s">
        <v>2489</v>
      </c>
      <c r="CQ266" s="191" t="s">
        <v>272</v>
      </c>
      <c r="CR266" s="191"/>
      <c r="CS266" s="135" t="s">
        <v>539</v>
      </c>
      <c r="CT266" s="135"/>
      <c r="CU266" s="135"/>
      <c r="CV266" s="332">
        <f t="shared" si="79"/>
        <v>8.801464563703399E-4</v>
      </c>
      <c r="CW266" s="329">
        <f t="shared" si="84"/>
        <v>0</v>
      </c>
      <c r="CX266" s="329"/>
      <c r="CY266" s="189" t="s">
        <v>5921</v>
      </c>
    </row>
    <row r="267" spans="1:103" ht="11.25" customHeight="1" x14ac:dyDescent="0.2">
      <c r="A267" s="72">
        <v>550</v>
      </c>
      <c r="B267" s="183">
        <v>1413</v>
      </c>
      <c r="C267" s="133" t="s">
        <v>6829</v>
      </c>
      <c r="D267" s="133"/>
      <c r="E267" s="134"/>
      <c r="F267" s="134" t="s">
        <v>4348</v>
      </c>
      <c r="G267" s="184">
        <v>120956</v>
      </c>
      <c r="H267" s="138" t="s">
        <v>4349</v>
      </c>
      <c r="I267" s="138" t="s">
        <v>4349</v>
      </c>
      <c r="J267" s="138" t="s">
        <v>4350</v>
      </c>
      <c r="K267" s="138" t="s">
        <v>349</v>
      </c>
      <c r="L267" s="138"/>
      <c r="M267" s="138"/>
      <c r="N267" s="138"/>
      <c r="O267" s="138"/>
      <c r="P267" s="138"/>
      <c r="Q267" s="138"/>
      <c r="R267" s="138"/>
      <c r="S267" s="138"/>
      <c r="T267" s="135">
        <v>234.38</v>
      </c>
      <c r="U267" s="185"/>
      <c r="V267" s="185">
        <v>0.44409999999999999</v>
      </c>
      <c r="W267" s="185">
        <v>39.803434726398315</v>
      </c>
      <c r="X267" s="185">
        <v>39.803434726398315</v>
      </c>
      <c r="Y267" s="204">
        <v>6.97</v>
      </c>
      <c r="Z267" s="135">
        <v>6.31</v>
      </c>
      <c r="AA267" s="135"/>
      <c r="AB267" s="135">
        <v>5.24</v>
      </c>
      <c r="AC267" s="135">
        <v>0.78490000000000004</v>
      </c>
      <c r="AD267" s="135">
        <v>5.46</v>
      </c>
      <c r="AE267" s="135">
        <v>5.92</v>
      </c>
      <c r="AF267" s="135">
        <f t="shared" si="85"/>
        <v>5.46</v>
      </c>
      <c r="AG267" s="136">
        <v>5.46</v>
      </c>
      <c r="AH267" s="185">
        <v>6.5899999999999996E-6</v>
      </c>
      <c r="AI267" s="185"/>
      <c r="AJ267" s="136">
        <f t="shared" si="82"/>
        <v>-3.5696809117186419</v>
      </c>
      <c r="AK267" s="136"/>
      <c r="AL267" s="136">
        <f t="shared" si="83"/>
        <v>-3.5696809117186419</v>
      </c>
      <c r="AM267" s="136">
        <v>-7.2398999999999996</v>
      </c>
      <c r="AN267" s="186"/>
      <c r="AO267" s="481">
        <v>11</v>
      </c>
      <c r="AP267" s="481"/>
      <c r="AQ267" s="135" t="s">
        <v>6311</v>
      </c>
      <c r="AR267" s="135" t="s">
        <v>6311</v>
      </c>
      <c r="AS267" s="190"/>
      <c r="AT267" s="137" t="s">
        <v>266</v>
      </c>
      <c r="AU267" s="135">
        <v>6</v>
      </c>
      <c r="AV267" s="135">
        <v>120</v>
      </c>
      <c r="AW267" s="135">
        <v>114</v>
      </c>
      <c r="AX267" s="135">
        <v>28</v>
      </c>
      <c r="AY267" s="135" t="s">
        <v>8728</v>
      </c>
      <c r="AZ267" s="135" t="s">
        <v>1563</v>
      </c>
      <c r="BA267" s="135">
        <v>32</v>
      </c>
      <c r="BB267" s="138" t="s">
        <v>2485</v>
      </c>
      <c r="BC267" s="458" t="s">
        <v>8726</v>
      </c>
      <c r="BD267" s="138" t="s">
        <v>8374</v>
      </c>
      <c r="BE267" s="135" t="s">
        <v>2449</v>
      </c>
      <c r="BF267" s="135" t="s">
        <v>272</v>
      </c>
      <c r="BG267" s="135" t="s">
        <v>272</v>
      </c>
      <c r="BH267" s="135" t="s">
        <v>2486</v>
      </c>
      <c r="BI267" s="185">
        <v>1.5000319999999999E-3</v>
      </c>
      <c r="BJ267" s="185">
        <v>15.00032</v>
      </c>
      <c r="BK267" s="135"/>
      <c r="BL267" s="485">
        <v>2.592444991254057E-2</v>
      </c>
      <c r="BM267" s="138" t="s">
        <v>2487</v>
      </c>
      <c r="BN267" s="135"/>
      <c r="BO267" s="135"/>
      <c r="BP267" s="135"/>
      <c r="BQ267" s="135"/>
      <c r="BR267" s="138" t="e">
        <v>#VALUE!</v>
      </c>
      <c r="BS267" s="135"/>
      <c r="BT267" s="135"/>
      <c r="BU267" s="135"/>
      <c r="BV267" s="135"/>
      <c r="BW267" s="135"/>
      <c r="BX267" s="135"/>
      <c r="BY267" s="135"/>
      <c r="BZ267" s="135"/>
      <c r="CA267" s="135"/>
      <c r="CB267" s="135"/>
      <c r="CC267" s="135"/>
      <c r="CD267" s="135"/>
      <c r="CE267" s="135"/>
      <c r="CF267" s="135"/>
      <c r="CG267" s="135"/>
      <c r="CH267" s="135"/>
      <c r="CI267" s="185"/>
      <c r="CJ267" s="187"/>
      <c r="CK267" s="136">
        <f t="shared" si="78"/>
        <v>1.7282597912938237E-3</v>
      </c>
      <c r="CL267" s="188"/>
      <c r="CM267" s="188"/>
      <c r="CN267" s="188"/>
      <c r="CO267" s="138" t="s">
        <v>2488</v>
      </c>
      <c r="CP267" s="189" t="s">
        <v>2489</v>
      </c>
      <c r="CQ267" s="191" t="s">
        <v>272</v>
      </c>
      <c r="CR267" s="191"/>
      <c r="CS267" s="135" t="s">
        <v>539</v>
      </c>
      <c r="CT267" s="135"/>
      <c r="CU267" s="135"/>
      <c r="CV267" s="332">
        <f t="shared" si="79"/>
        <v>2.653505706971472</v>
      </c>
      <c r="CW267" s="329">
        <f t="shared" si="84"/>
        <v>1</v>
      </c>
      <c r="CX267" s="329"/>
      <c r="CY267" s="189" t="s">
        <v>5921</v>
      </c>
    </row>
    <row r="268" spans="1:103" ht="11.25" customHeight="1" x14ac:dyDescent="0.2">
      <c r="A268" s="72">
        <v>551</v>
      </c>
      <c r="B268" s="183">
        <v>1527</v>
      </c>
      <c r="C268" s="133" t="s">
        <v>6830</v>
      </c>
      <c r="D268" s="133"/>
      <c r="E268" s="134"/>
      <c r="F268" s="134" t="s">
        <v>4633</v>
      </c>
      <c r="G268" s="184">
        <v>122623</v>
      </c>
      <c r="H268" s="138" t="s">
        <v>4634</v>
      </c>
      <c r="I268" s="138" t="s">
        <v>4634</v>
      </c>
      <c r="J268" s="138" t="s">
        <v>4635</v>
      </c>
      <c r="K268" s="138" t="s">
        <v>357</v>
      </c>
      <c r="L268" s="138"/>
      <c r="M268" s="138"/>
      <c r="N268" s="138"/>
      <c r="O268" s="138"/>
      <c r="P268" s="138"/>
      <c r="Q268" s="138"/>
      <c r="R268" s="138"/>
      <c r="S268" s="138"/>
      <c r="T268" s="135">
        <v>426.67</v>
      </c>
      <c r="U268" s="185"/>
      <c r="V268" s="185">
        <v>5.1490000000000002E-6</v>
      </c>
      <c r="W268" s="185">
        <v>5.7556199311537985E-2</v>
      </c>
      <c r="X268" s="185">
        <v>5.7556199311537985E-2</v>
      </c>
      <c r="Y268" s="204">
        <v>7</v>
      </c>
      <c r="Z268" s="135">
        <v>10.08</v>
      </c>
      <c r="AA268" s="135"/>
      <c r="AB268" s="135">
        <v>8.33</v>
      </c>
      <c r="AC268" s="135">
        <v>0.72150000000000003</v>
      </c>
      <c r="AD268" s="135">
        <v>8.91</v>
      </c>
      <c r="AE268" s="135">
        <v>9.86</v>
      </c>
      <c r="AF268" s="135">
        <f t="shared" si="85"/>
        <v>8.91</v>
      </c>
      <c r="AG268" s="136">
        <v>8.1</v>
      </c>
      <c r="AH268" s="185">
        <v>1.6000000000000001E-4</v>
      </c>
      <c r="AI268" s="185"/>
      <c r="AJ268" s="136">
        <f t="shared" si="82"/>
        <v>-2.184446343656727</v>
      </c>
      <c r="AK268" s="136"/>
      <c r="AL268" s="136">
        <f t="shared" si="83"/>
        <v>-2.184446343656727</v>
      </c>
      <c r="AM268" s="136">
        <v>-8.4725400000000004</v>
      </c>
      <c r="AN268" s="186">
        <v>-3.26</v>
      </c>
      <c r="AO268" s="481"/>
      <c r="AP268" s="481"/>
      <c r="AQ268" s="135" t="s">
        <v>6311</v>
      </c>
      <c r="AR268" s="135" t="s">
        <v>6312</v>
      </c>
      <c r="AS268" s="190"/>
      <c r="AT268" s="137" t="s">
        <v>266</v>
      </c>
      <c r="AU268" s="135">
        <v>6</v>
      </c>
      <c r="AV268" s="135">
        <v>120</v>
      </c>
      <c r="AW268" s="135">
        <v>114</v>
      </c>
      <c r="AX268" s="135">
        <v>28</v>
      </c>
      <c r="AY268" s="135" t="s">
        <v>8728</v>
      </c>
      <c r="AZ268" s="135" t="s">
        <v>1563</v>
      </c>
      <c r="BA268" s="135">
        <v>32</v>
      </c>
      <c r="BB268" s="138" t="s">
        <v>2485</v>
      </c>
      <c r="BC268" s="458" t="s">
        <v>8726</v>
      </c>
      <c r="BD268" s="138" t="s">
        <v>8374</v>
      </c>
      <c r="BE268" s="135" t="s">
        <v>2449</v>
      </c>
      <c r="BF268" s="135" t="s">
        <v>272</v>
      </c>
      <c r="BG268" s="135" t="s">
        <v>272</v>
      </c>
      <c r="BH268" s="135" t="s">
        <v>2486</v>
      </c>
      <c r="BI268" s="185">
        <v>2.7306879999999998E-3</v>
      </c>
      <c r="BJ268" s="185">
        <v>27.306880000000003</v>
      </c>
      <c r="BK268" s="135"/>
      <c r="BL268" s="485">
        <v>1.9410830079637224E-5</v>
      </c>
      <c r="BM268" s="138" t="s">
        <v>2487</v>
      </c>
      <c r="BN268" s="135"/>
      <c r="BO268" s="135"/>
      <c r="BP268" s="135"/>
      <c r="BQ268" s="135"/>
      <c r="BR268" s="138" t="e">
        <v>#VALUE!</v>
      </c>
      <c r="BS268" s="135"/>
      <c r="BT268" s="135"/>
      <c r="BU268" s="135"/>
      <c r="BV268" s="135"/>
      <c r="BW268" s="135"/>
      <c r="BX268" s="135"/>
      <c r="BY268" s="135"/>
      <c r="BZ268" s="135"/>
      <c r="CA268" s="135"/>
      <c r="CB268" s="135"/>
      <c r="CC268" s="135"/>
      <c r="CD268" s="135"/>
      <c r="CE268" s="135"/>
      <c r="CF268" s="135"/>
      <c r="CG268" s="135"/>
      <c r="CH268" s="135"/>
      <c r="CI268" s="185"/>
      <c r="CJ268" s="187"/>
      <c r="CK268" s="136">
        <f t="shared" si="78"/>
        <v>7.1084027467206878E-7</v>
      </c>
      <c r="CL268" s="188"/>
      <c r="CM268" s="188"/>
      <c r="CN268" s="188"/>
      <c r="CO268" s="138" t="s">
        <v>2488</v>
      </c>
      <c r="CP268" s="189" t="s">
        <v>2489</v>
      </c>
      <c r="CQ268" s="191" t="s">
        <v>272</v>
      </c>
      <c r="CR268" s="191"/>
      <c r="CS268" s="135" t="s">
        <v>539</v>
      </c>
      <c r="CT268" s="135"/>
      <c r="CU268" s="135"/>
      <c r="CV268" s="332">
        <f t="shared" si="79"/>
        <v>2.1077545040494548E-3</v>
      </c>
      <c r="CW268" s="329">
        <f t="shared" si="84"/>
        <v>0</v>
      </c>
      <c r="CX268" s="329"/>
      <c r="CY268" s="189" t="s">
        <v>6351</v>
      </c>
    </row>
    <row r="269" spans="1:103" ht="11.25" customHeight="1" x14ac:dyDescent="0.2">
      <c r="A269" s="72">
        <v>552</v>
      </c>
      <c r="B269" s="183">
        <v>1637</v>
      </c>
      <c r="C269" s="133" t="s">
        <v>6831</v>
      </c>
      <c r="D269" s="133"/>
      <c r="E269" s="134"/>
      <c r="F269" s="134" t="s">
        <v>4838</v>
      </c>
      <c r="G269" s="184">
        <v>123013</v>
      </c>
      <c r="H269" s="138" t="s">
        <v>4839</v>
      </c>
      <c r="I269" s="138" t="s">
        <v>4839</v>
      </c>
      <c r="J269" s="138" t="s">
        <v>4840</v>
      </c>
      <c r="K269" s="138" t="s">
        <v>426</v>
      </c>
      <c r="L269" s="138"/>
      <c r="M269" s="138"/>
      <c r="N269" s="138"/>
      <c r="O269" s="138"/>
      <c r="P269" s="138"/>
      <c r="Q269" s="138" t="s">
        <v>6173</v>
      </c>
      <c r="R269" s="138" t="s">
        <v>6185</v>
      </c>
      <c r="S269" s="138" t="s">
        <v>6182</v>
      </c>
      <c r="T269" s="135">
        <v>246.43</v>
      </c>
      <c r="U269" s="185">
        <v>0.01</v>
      </c>
      <c r="V269" s="185">
        <v>1.0150000000000001E-3</v>
      </c>
      <c r="W269" s="185">
        <v>1.2069619445696605E-2</v>
      </c>
      <c r="X269" s="185">
        <v>0.01</v>
      </c>
      <c r="Y269" s="204">
        <v>7</v>
      </c>
      <c r="Z269" s="135">
        <v>7.94</v>
      </c>
      <c r="AA269" s="135">
        <v>8.65</v>
      </c>
      <c r="AB269" s="135">
        <v>8.2200000000000006</v>
      </c>
      <c r="AC269" s="135">
        <v>0.88600000000000001</v>
      </c>
      <c r="AD269" s="135">
        <v>8.3000000000000007</v>
      </c>
      <c r="AE269" s="135">
        <v>8.52</v>
      </c>
      <c r="AF269" s="135">
        <f t="shared" si="85"/>
        <v>8.65</v>
      </c>
      <c r="AG269" s="136">
        <v>7.03</v>
      </c>
      <c r="AH269" s="185">
        <v>0.13400000000000001</v>
      </c>
      <c r="AI269" s="185"/>
      <c r="AJ269" s="136">
        <f t="shared" si="82"/>
        <v>0.73853847205215584</v>
      </c>
      <c r="AK269" s="136"/>
      <c r="AL269" s="136">
        <f t="shared" si="83"/>
        <v>0.73853847205215584</v>
      </c>
      <c r="AM269" s="136">
        <v>-3.6659699999999997</v>
      </c>
      <c r="AN269" s="186">
        <v>0.89</v>
      </c>
      <c r="AO269" s="481"/>
      <c r="AP269" s="481"/>
      <c r="AQ269" s="186" t="s">
        <v>6311</v>
      </c>
      <c r="AR269" s="186" t="s">
        <v>6311</v>
      </c>
      <c r="AS269" s="183"/>
      <c r="AT269" s="137" t="s">
        <v>266</v>
      </c>
      <c r="AU269" s="135">
        <v>6</v>
      </c>
      <c r="AV269" s="135">
        <v>120</v>
      </c>
      <c r="AW269" s="135">
        <v>114</v>
      </c>
      <c r="AX269" s="135">
        <v>28</v>
      </c>
      <c r="AY269" s="135" t="s">
        <v>8728</v>
      </c>
      <c r="AZ269" s="135" t="s">
        <v>1563</v>
      </c>
      <c r="BA269" s="135">
        <v>32</v>
      </c>
      <c r="BB269" s="138" t="s">
        <v>2485</v>
      </c>
      <c r="BC269" s="458" t="s">
        <v>8726</v>
      </c>
      <c r="BD269" s="138" t="s">
        <v>8374</v>
      </c>
      <c r="BE269" s="135" t="s">
        <v>2449</v>
      </c>
      <c r="BF269" s="135" t="s">
        <v>272</v>
      </c>
      <c r="BG269" s="135" t="s">
        <v>272</v>
      </c>
      <c r="BH269" s="135" t="s">
        <v>2486</v>
      </c>
      <c r="BI269" s="185">
        <v>1.5771520000000001E-3</v>
      </c>
      <c r="BJ269" s="185">
        <v>15.771520000000001</v>
      </c>
      <c r="BK269" s="135"/>
      <c r="BL269" s="485">
        <v>9.3665483015134175E-4</v>
      </c>
      <c r="BM269" s="138" t="s">
        <v>2487</v>
      </c>
      <c r="BN269" s="135"/>
      <c r="BO269" s="135"/>
      <c r="BP269" s="135"/>
      <c r="BQ269" s="135"/>
      <c r="BR269" s="138" t="e">
        <v>#VALUE!</v>
      </c>
      <c r="BS269" s="135"/>
      <c r="BT269" s="135"/>
      <c r="BU269" s="135"/>
      <c r="BV269" s="135"/>
      <c r="BW269" s="135"/>
      <c r="BX269" s="135"/>
      <c r="BY269" s="135"/>
      <c r="BZ269" s="135"/>
      <c r="CA269" s="135"/>
      <c r="CB269" s="135"/>
      <c r="CC269" s="135"/>
      <c r="CD269" s="135"/>
      <c r="CE269" s="135"/>
      <c r="CF269" s="135"/>
      <c r="CG269" s="135"/>
      <c r="CH269" s="135"/>
      <c r="CI269" s="185"/>
      <c r="CJ269" s="187"/>
      <c r="CK269" s="136">
        <f t="shared" si="78"/>
        <v>5.9389001830599823E-5</v>
      </c>
      <c r="CL269" s="188"/>
      <c r="CM269" s="188"/>
      <c r="CN269" s="188"/>
      <c r="CO269" s="138" t="s">
        <v>2488</v>
      </c>
      <c r="CP269" s="189" t="s">
        <v>2489</v>
      </c>
      <c r="CQ269" s="191" t="s">
        <v>272</v>
      </c>
      <c r="CR269" s="191"/>
      <c r="CS269" s="135" t="s">
        <v>539</v>
      </c>
      <c r="CT269" s="135"/>
      <c r="CU269" s="135"/>
      <c r="CV269" s="332">
        <f t="shared" si="79"/>
        <v>6.3405429533741836E-4</v>
      </c>
      <c r="CW269" s="329">
        <f t="shared" si="84"/>
        <v>0</v>
      </c>
      <c r="CX269" s="329"/>
      <c r="CY269" s="189" t="s">
        <v>5921</v>
      </c>
    </row>
    <row r="270" spans="1:103" ht="11.25" customHeight="1" x14ac:dyDescent="0.2">
      <c r="A270" s="72">
        <v>553</v>
      </c>
      <c r="B270" s="183">
        <v>1582</v>
      </c>
      <c r="C270" s="133" t="s">
        <v>6832</v>
      </c>
      <c r="D270" s="133"/>
      <c r="E270" s="134"/>
      <c r="F270" s="134" t="s">
        <v>4726</v>
      </c>
      <c r="G270" s="184">
        <v>124185</v>
      </c>
      <c r="H270" s="138" t="s">
        <v>4727</v>
      </c>
      <c r="I270" s="138" t="s">
        <v>4727</v>
      </c>
      <c r="J270" s="138" t="s">
        <v>4728</v>
      </c>
      <c r="K270" s="138" t="s">
        <v>426</v>
      </c>
      <c r="L270" s="138"/>
      <c r="M270" s="138"/>
      <c r="N270" s="138"/>
      <c r="O270" s="138"/>
      <c r="P270" s="138" t="s">
        <v>6183</v>
      </c>
      <c r="Q270" s="138" t="s">
        <v>6182</v>
      </c>
      <c r="R270" s="138" t="s">
        <v>6185</v>
      </c>
      <c r="S270" s="138" t="s">
        <v>6176</v>
      </c>
      <c r="T270" s="135">
        <v>142.28</v>
      </c>
      <c r="U270" s="185">
        <v>5.1999999999999998E-2</v>
      </c>
      <c r="V270" s="185">
        <v>1.252</v>
      </c>
      <c r="W270" s="185">
        <v>3.6571591197235354E-2</v>
      </c>
      <c r="X270" s="185">
        <v>5.1999999999999998E-2</v>
      </c>
      <c r="Y270" s="204">
        <v>7</v>
      </c>
      <c r="Z270" s="135">
        <v>5.25</v>
      </c>
      <c r="AA270" s="135">
        <v>5.01</v>
      </c>
      <c r="AB270" s="135">
        <v>5.72</v>
      </c>
      <c r="AC270" s="135">
        <v>0.77859999999999996</v>
      </c>
      <c r="AD270" s="135">
        <v>5.84</v>
      </c>
      <c r="AE270" s="135">
        <v>6.07</v>
      </c>
      <c r="AF270" s="135">
        <f t="shared" si="85"/>
        <v>5.01</v>
      </c>
      <c r="AG270" s="136">
        <v>4.74</v>
      </c>
      <c r="AH270" s="185">
        <v>5.3</v>
      </c>
      <c r="AI270" s="185">
        <v>5.15</v>
      </c>
      <c r="AJ270" s="136">
        <f t="shared" si="82"/>
        <v>2.3357095432881372</v>
      </c>
      <c r="AK270" s="136">
        <f>LOG10(AI270*1000/(0.08206*298.15))</f>
        <v>2.3232409027285392</v>
      </c>
      <c r="AL270" s="136">
        <f t="shared" si="83"/>
        <v>2.3232409027285392</v>
      </c>
      <c r="AM270" s="136">
        <v>-0.54074000000000022</v>
      </c>
      <c r="AN270" s="186">
        <v>2.3199999999999998</v>
      </c>
      <c r="AO270" s="481"/>
      <c r="AP270" s="481"/>
      <c r="AQ270" s="135" t="s">
        <v>6311</v>
      </c>
      <c r="AR270" s="135" t="s">
        <v>6311</v>
      </c>
      <c r="AS270" s="190"/>
      <c r="AT270" s="137" t="s">
        <v>266</v>
      </c>
      <c r="AU270" s="135">
        <v>6</v>
      </c>
      <c r="AV270" s="135">
        <v>120</v>
      </c>
      <c r="AW270" s="135">
        <v>114</v>
      </c>
      <c r="AX270" s="135">
        <v>28</v>
      </c>
      <c r="AY270" s="135" t="s">
        <v>8728</v>
      </c>
      <c r="AZ270" s="135" t="s">
        <v>1563</v>
      </c>
      <c r="BA270" s="135">
        <v>32</v>
      </c>
      <c r="BB270" s="138" t="s">
        <v>2485</v>
      </c>
      <c r="BC270" s="458" t="s">
        <v>8726</v>
      </c>
      <c r="BD270" s="138" t="s">
        <v>8374</v>
      </c>
      <c r="BE270" s="135" t="s">
        <v>2449</v>
      </c>
      <c r="BF270" s="135" t="s">
        <v>272</v>
      </c>
      <c r="BG270" s="135" t="s">
        <v>272</v>
      </c>
      <c r="BH270" s="135" t="s">
        <v>2486</v>
      </c>
      <c r="BI270" s="185">
        <v>9.10592E-4</v>
      </c>
      <c r="BJ270" s="185">
        <v>9.1059200000000011</v>
      </c>
      <c r="BK270" s="135"/>
      <c r="BL270" s="485">
        <v>0.14090255118071865</v>
      </c>
      <c r="BM270" s="138" t="s">
        <v>2487</v>
      </c>
      <c r="BN270" s="135"/>
      <c r="BO270" s="135"/>
      <c r="BP270" s="135"/>
      <c r="BQ270" s="135"/>
      <c r="BR270" s="138" t="e">
        <v>#VALUE!</v>
      </c>
      <c r="BS270" s="135"/>
      <c r="BT270" s="135"/>
      <c r="BU270" s="135"/>
      <c r="BV270" s="135"/>
      <c r="BW270" s="135"/>
      <c r="BX270" s="135"/>
      <c r="BY270" s="135"/>
      <c r="BZ270" s="135"/>
      <c r="CA270" s="135"/>
      <c r="CB270" s="135"/>
      <c r="CC270" s="135"/>
      <c r="CD270" s="135"/>
      <c r="CE270" s="135"/>
      <c r="CF270" s="135"/>
      <c r="CG270" s="135"/>
      <c r="CH270" s="135"/>
      <c r="CI270" s="185"/>
      <c r="CJ270" s="187"/>
      <c r="CK270" s="136">
        <f t="shared" si="78"/>
        <v>1.5473730406232278E-2</v>
      </c>
      <c r="CL270" s="188"/>
      <c r="CM270" s="188"/>
      <c r="CN270" s="188"/>
      <c r="CO270" s="138" t="s">
        <v>2488</v>
      </c>
      <c r="CP270" s="189" t="s">
        <v>2489</v>
      </c>
      <c r="CQ270" s="191" t="s">
        <v>272</v>
      </c>
      <c r="CR270" s="191"/>
      <c r="CS270" s="135" t="s">
        <v>539</v>
      </c>
      <c r="CT270" s="135"/>
      <c r="CU270" s="135"/>
      <c r="CV270" s="332">
        <f t="shared" si="79"/>
        <v>5.7105707056508285E-3</v>
      </c>
      <c r="CW270" s="329">
        <f t="shared" si="84"/>
        <v>0</v>
      </c>
      <c r="CX270" s="329"/>
      <c r="CY270" s="189" t="s">
        <v>6351</v>
      </c>
    </row>
    <row r="271" spans="1:103" ht="11.25" customHeight="1" x14ac:dyDescent="0.2">
      <c r="A271" s="72">
        <v>554</v>
      </c>
      <c r="B271" s="191">
        <v>1879</v>
      </c>
      <c r="C271" s="128" t="s">
        <v>6833</v>
      </c>
      <c r="D271" s="128"/>
      <c r="E271" s="129"/>
      <c r="F271" s="129" t="s">
        <v>5335</v>
      </c>
      <c r="G271" s="192">
        <v>126147</v>
      </c>
      <c r="H271" s="139" t="s">
        <v>5336</v>
      </c>
      <c r="I271" s="139" t="s">
        <v>7930</v>
      </c>
      <c r="J271" s="139" t="s">
        <v>5337</v>
      </c>
      <c r="K271" s="139" t="s">
        <v>357</v>
      </c>
      <c r="L271" s="139"/>
      <c r="M271" s="139"/>
      <c r="N271" s="138"/>
      <c r="O271" s="139"/>
      <c r="P271" s="138"/>
      <c r="Q271" s="138"/>
      <c r="R271" s="138"/>
      <c r="S271" s="138"/>
      <c r="T271" s="130">
        <v>678.59</v>
      </c>
      <c r="U271" s="187">
        <v>910</v>
      </c>
      <c r="V271" s="185">
        <v>111.7</v>
      </c>
      <c r="W271" s="185">
        <v>1450.7996943153196</v>
      </c>
      <c r="X271" s="187">
        <v>910</v>
      </c>
      <c r="Y271" s="194">
        <v>7</v>
      </c>
      <c r="Z271" s="130">
        <v>-0.42</v>
      </c>
      <c r="AA271" s="130"/>
      <c r="AB271" s="130">
        <v>1.08</v>
      </c>
      <c r="AC271" s="130">
        <v>0.32319999999999999</v>
      </c>
      <c r="AD271" s="130">
        <v>2.35</v>
      </c>
      <c r="AE271" s="130">
        <v>3.19</v>
      </c>
      <c r="AF271" s="130">
        <f t="shared" si="85"/>
        <v>2.35</v>
      </c>
      <c r="AG271" s="131">
        <v>6.17</v>
      </c>
      <c r="AH271" s="187">
        <v>1.4399999999999999E-28</v>
      </c>
      <c r="AI271" s="187"/>
      <c r="AJ271" s="136">
        <f t="shared" si="82"/>
        <v>-26.230203834217402</v>
      </c>
      <c r="AK271" s="136"/>
      <c r="AL271" s="136">
        <f t="shared" si="83"/>
        <v>-26.230203834217402</v>
      </c>
      <c r="AM271" s="136">
        <v>-31.589190000000002</v>
      </c>
      <c r="AN271" s="193">
        <v>-15.8</v>
      </c>
      <c r="AO271" s="481"/>
      <c r="AP271" s="481"/>
      <c r="AQ271" s="193" t="s">
        <v>6311</v>
      </c>
      <c r="AR271" s="193" t="s">
        <v>6314</v>
      </c>
      <c r="AS271" s="191"/>
      <c r="AT271" s="132" t="s">
        <v>266</v>
      </c>
      <c r="AU271" s="130">
        <v>6</v>
      </c>
      <c r="AV271" s="130">
        <v>120</v>
      </c>
      <c r="AW271" s="130">
        <v>114</v>
      </c>
      <c r="AX271" s="130">
        <v>28</v>
      </c>
      <c r="AY271" s="130" t="s">
        <v>8728</v>
      </c>
      <c r="AZ271" s="130" t="s">
        <v>1563</v>
      </c>
      <c r="BA271" s="130">
        <v>32</v>
      </c>
      <c r="BB271" s="139" t="s">
        <v>2485</v>
      </c>
      <c r="BC271" s="458" t="s">
        <v>8726</v>
      </c>
      <c r="BD271" s="139" t="s">
        <v>8374</v>
      </c>
      <c r="BE271" s="130" t="s">
        <v>2449</v>
      </c>
      <c r="BF271" s="130" t="s">
        <v>272</v>
      </c>
      <c r="BG271" s="130" t="s">
        <v>272</v>
      </c>
      <c r="BH271" s="130" t="s">
        <v>2486</v>
      </c>
      <c r="BI271" s="187">
        <v>4.3429760000000001E-3</v>
      </c>
      <c r="BJ271" s="187">
        <v>43.429760000000002</v>
      </c>
      <c r="BK271" s="130"/>
      <c r="BL271" s="485">
        <v>83101.613362118063</v>
      </c>
      <c r="BM271" s="139" t="s">
        <v>2487</v>
      </c>
      <c r="BN271" s="130"/>
      <c r="BO271" s="130"/>
      <c r="BP271" s="130"/>
      <c r="BQ271" s="130"/>
      <c r="BR271" s="139" t="e">
        <v>#VALUE!</v>
      </c>
      <c r="BS271" s="130"/>
      <c r="BT271" s="130"/>
      <c r="BU271" s="195"/>
      <c r="BV271" s="130"/>
      <c r="BW271" s="130"/>
      <c r="BX271" s="130"/>
      <c r="BY271" s="130"/>
      <c r="BZ271" s="130"/>
      <c r="CA271" s="130"/>
      <c r="CB271" s="130"/>
      <c r="CC271" s="130"/>
      <c r="CD271" s="130"/>
      <c r="CE271" s="130"/>
      <c r="CF271" s="130"/>
      <c r="CG271" s="130"/>
      <c r="CH271" s="130"/>
      <c r="CI271" s="187"/>
      <c r="CJ271" s="187"/>
      <c r="CK271" s="131">
        <f t="shared" si="78"/>
        <v>1913.4716231938205</v>
      </c>
      <c r="CL271" s="188"/>
      <c r="CM271" s="188"/>
      <c r="CN271" s="188"/>
      <c r="CO271" s="139" t="s">
        <v>2488</v>
      </c>
      <c r="CP271" s="499" t="s">
        <v>2489</v>
      </c>
      <c r="CQ271" s="191" t="s">
        <v>272</v>
      </c>
      <c r="CR271" s="191"/>
      <c r="CS271" s="135" t="s">
        <v>539</v>
      </c>
      <c r="CT271" s="135"/>
      <c r="CU271" s="135"/>
      <c r="CV271" s="332">
        <f t="shared" si="79"/>
        <v>20.953373907661472</v>
      </c>
      <c r="CW271" s="329">
        <f t="shared" si="84"/>
        <v>1</v>
      </c>
      <c r="CX271" s="329"/>
      <c r="CY271" s="189" t="s">
        <v>5921</v>
      </c>
    </row>
    <row r="272" spans="1:103" ht="11.25" customHeight="1" x14ac:dyDescent="0.2">
      <c r="A272" s="72">
        <v>555</v>
      </c>
      <c r="B272" s="183">
        <v>1422</v>
      </c>
      <c r="C272" s="133" t="s">
        <v>6834</v>
      </c>
      <c r="D272" s="133"/>
      <c r="E272" s="134"/>
      <c r="F272" s="134" t="s">
        <v>4375</v>
      </c>
      <c r="G272" s="184">
        <v>128392</v>
      </c>
      <c r="H272" s="138" t="s">
        <v>4376</v>
      </c>
      <c r="I272" s="138" t="s">
        <v>4376</v>
      </c>
      <c r="J272" s="138" t="s">
        <v>4377</v>
      </c>
      <c r="K272" s="138" t="s">
        <v>349</v>
      </c>
      <c r="L272" s="138"/>
      <c r="M272" s="138"/>
      <c r="N272" s="138"/>
      <c r="O272" s="138"/>
      <c r="P272" s="138"/>
      <c r="Q272" s="138"/>
      <c r="R272" s="138"/>
      <c r="S272" s="138"/>
      <c r="T272" s="135">
        <v>206.32</v>
      </c>
      <c r="U272" s="185">
        <v>2.5</v>
      </c>
      <c r="V272" s="185">
        <v>9.7010000000000005</v>
      </c>
      <c r="W272" s="185">
        <v>92.15975873258661</v>
      </c>
      <c r="X272" s="185">
        <v>2.5</v>
      </c>
      <c r="Y272" s="204">
        <v>6.99</v>
      </c>
      <c r="Z272" s="135">
        <v>4.4800000000000004</v>
      </c>
      <c r="AA272" s="135">
        <v>4.92</v>
      </c>
      <c r="AB272" s="135">
        <v>4.63</v>
      </c>
      <c r="AC272" s="135">
        <v>0.83409999999999995</v>
      </c>
      <c r="AD272" s="135">
        <v>4.6900000000000004</v>
      </c>
      <c r="AE272" s="135">
        <v>4.8600000000000003</v>
      </c>
      <c r="AF272" s="135">
        <f t="shared" si="85"/>
        <v>4.92</v>
      </c>
      <c r="AG272" s="136">
        <v>4.76</v>
      </c>
      <c r="AH272" s="185">
        <v>3.7400000000000002E-6</v>
      </c>
      <c r="AI272" s="185"/>
      <c r="AJ272" s="136">
        <f t="shared" si="82"/>
        <v>-3.8156947241121717</v>
      </c>
      <c r="AK272" s="136"/>
      <c r="AL272" s="136">
        <f t="shared" si="83"/>
        <v>-3.8156947241121717</v>
      </c>
      <c r="AM272" s="136">
        <v>-6.2598399999999996</v>
      </c>
      <c r="AN272" s="186">
        <v>-2.88</v>
      </c>
      <c r="AO272" s="481">
        <v>12.16</v>
      </c>
      <c r="AP272" s="481"/>
      <c r="AQ272" s="135" t="s">
        <v>6311</v>
      </c>
      <c r="AR272" s="135" t="s">
        <v>6311</v>
      </c>
      <c r="AS272" s="190"/>
      <c r="AT272" s="137" t="s">
        <v>266</v>
      </c>
      <c r="AU272" s="135">
        <v>6</v>
      </c>
      <c r="AV272" s="135">
        <v>120</v>
      </c>
      <c r="AW272" s="135">
        <v>114</v>
      </c>
      <c r="AX272" s="135">
        <v>28</v>
      </c>
      <c r="AY272" s="135" t="s">
        <v>8728</v>
      </c>
      <c r="AZ272" s="135" t="s">
        <v>1563</v>
      </c>
      <c r="BA272" s="135">
        <v>32</v>
      </c>
      <c r="BB272" s="138" t="s">
        <v>2485</v>
      </c>
      <c r="BC272" s="458" t="s">
        <v>8726</v>
      </c>
      <c r="BD272" s="138" t="s">
        <v>8374</v>
      </c>
      <c r="BE272" s="135" t="s">
        <v>2449</v>
      </c>
      <c r="BF272" s="135" t="s">
        <v>272</v>
      </c>
      <c r="BG272" s="135" t="s">
        <v>272</v>
      </c>
      <c r="BH272" s="135" t="s">
        <v>2486</v>
      </c>
      <c r="BI272" s="185">
        <v>1.3204479999999999E-3</v>
      </c>
      <c r="BJ272" s="185">
        <v>13.20448</v>
      </c>
      <c r="BK272" s="135"/>
      <c r="BL272" s="485">
        <v>1.0042765665495319</v>
      </c>
      <c r="BM272" s="138" t="s">
        <v>2487</v>
      </c>
      <c r="BN272" s="135"/>
      <c r="BO272" s="135"/>
      <c r="BP272" s="135"/>
      <c r="BQ272" s="135"/>
      <c r="BR272" s="138" t="e">
        <v>#VALUE!</v>
      </c>
      <c r="BS272" s="135"/>
      <c r="BT272" s="135"/>
      <c r="BU272" s="135"/>
      <c r="BV272" s="135"/>
      <c r="BW272" s="135"/>
      <c r="BX272" s="135"/>
      <c r="BY272" s="135"/>
      <c r="BZ272" s="135"/>
      <c r="CA272" s="135"/>
      <c r="CB272" s="135"/>
      <c r="CC272" s="135"/>
      <c r="CD272" s="135"/>
      <c r="CE272" s="135"/>
      <c r="CF272" s="135"/>
      <c r="CG272" s="135"/>
      <c r="CH272" s="135"/>
      <c r="CI272" s="185"/>
      <c r="CJ272" s="187"/>
      <c r="CK272" s="136">
        <f t="shared" si="78"/>
        <v>7.6055745212952872E-2</v>
      </c>
      <c r="CL272" s="188"/>
      <c r="CM272" s="188"/>
      <c r="CN272" s="188"/>
      <c r="CO272" s="138" t="s">
        <v>2488</v>
      </c>
      <c r="CP272" s="189" t="s">
        <v>2489</v>
      </c>
      <c r="CQ272" s="191" t="s">
        <v>272</v>
      </c>
      <c r="CR272" s="191"/>
      <c r="CS272" s="135" t="s">
        <v>539</v>
      </c>
      <c r="CT272" s="135"/>
      <c r="CU272" s="135"/>
      <c r="CV272" s="332">
        <f t="shared" si="79"/>
        <v>0.18932968204730516</v>
      </c>
      <c r="CW272" s="329">
        <f t="shared" si="84"/>
        <v>0</v>
      </c>
      <c r="CX272" s="329"/>
      <c r="CY272" s="189" t="s">
        <v>6351</v>
      </c>
    </row>
    <row r="273" spans="1:103" ht="11.25" customHeight="1" x14ac:dyDescent="0.2">
      <c r="A273" s="72">
        <v>556</v>
      </c>
      <c r="B273" s="183">
        <v>1844</v>
      </c>
      <c r="C273" s="133" t="s">
        <v>6835</v>
      </c>
      <c r="D273" s="133"/>
      <c r="E273" s="134"/>
      <c r="F273" s="134" t="s">
        <v>5255</v>
      </c>
      <c r="G273" s="184">
        <v>129000</v>
      </c>
      <c r="H273" s="138" t="s">
        <v>5256</v>
      </c>
      <c r="I273" s="138" t="s">
        <v>5256</v>
      </c>
      <c r="J273" s="138" t="s">
        <v>5257</v>
      </c>
      <c r="K273" s="138" t="s">
        <v>426</v>
      </c>
      <c r="L273" s="138"/>
      <c r="M273" s="138"/>
      <c r="N273" s="138"/>
      <c r="O273" s="138"/>
      <c r="P273" s="138"/>
      <c r="Q273" s="138"/>
      <c r="R273" s="138"/>
      <c r="S273" s="138"/>
      <c r="T273" s="135">
        <v>202.25</v>
      </c>
      <c r="U273" s="185">
        <v>0.13500000000000001</v>
      </c>
      <c r="V273" s="185">
        <v>0.22489999999999999</v>
      </c>
      <c r="W273" s="185">
        <v>4.324028326018256E-2</v>
      </c>
      <c r="X273" s="185">
        <v>0.13500000000000001</v>
      </c>
      <c r="Y273" s="204">
        <v>7</v>
      </c>
      <c r="Z273" s="135">
        <v>4.93</v>
      </c>
      <c r="AA273" s="135">
        <v>4.88</v>
      </c>
      <c r="AB273" s="135">
        <v>4.84</v>
      </c>
      <c r="AC273" s="135">
        <v>0.89939999999999998</v>
      </c>
      <c r="AD273" s="135">
        <v>4.92</v>
      </c>
      <c r="AE273" s="135">
        <v>5.17</v>
      </c>
      <c r="AF273" s="135">
        <f t="shared" si="85"/>
        <v>4.88</v>
      </c>
      <c r="AG273" s="136">
        <v>4.68</v>
      </c>
      <c r="AH273" s="185">
        <v>8.3000000000000002E-6</v>
      </c>
      <c r="AI273" s="185">
        <v>1.19E-5</v>
      </c>
      <c r="AJ273" s="136">
        <f t="shared" si="82"/>
        <v>-3.4694882339365778</v>
      </c>
      <c r="AK273" s="136">
        <f>LOG10(AI273*1000/(0.08206*298.15))</f>
        <v>-3.3130193649201209</v>
      </c>
      <c r="AL273" s="136">
        <f t="shared" si="83"/>
        <v>-3.3130193649201209</v>
      </c>
      <c r="AM273" s="136">
        <v>-8.1794899999999995</v>
      </c>
      <c r="AN273" s="186">
        <v>-3.69</v>
      </c>
      <c r="AO273" s="481"/>
      <c r="AP273" s="481"/>
      <c r="AQ273" s="186" t="s">
        <v>6311</v>
      </c>
      <c r="AR273" s="186" t="s">
        <v>6311</v>
      </c>
      <c r="AS273" s="183"/>
      <c r="AT273" s="137" t="s">
        <v>266</v>
      </c>
      <c r="AU273" s="135">
        <v>6</v>
      </c>
      <c r="AV273" s="135">
        <v>120</v>
      </c>
      <c r="AW273" s="135">
        <v>114</v>
      </c>
      <c r="AX273" s="135">
        <v>28</v>
      </c>
      <c r="AY273" s="135" t="s">
        <v>8728</v>
      </c>
      <c r="AZ273" s="135" t="s">
        <v>1563</v>
      </c>
      <c r="BA273" s="135">
        <v>32</v>
      </c>
      <c r="BB273" s="138" t="s">
        <v>2485</v>
      </c>
      <c r="BC273" s="458" t="s">
        <v>8726</v>
      </c>
      <c r="BD273" s="138" t="s">
        <v>8374</v>
      </c>
      <c r="BE273" s="135" t="s">
        <v>2449</v>
      </c>
      <c r="BF273" s="135" t="s">
        <v>272</v>
      </c>
      <c r="BG273" s="135" t="s">
        <v>272</v>
      </c>
      <c r="BH273" s="135" t="s">
        <v>2486</v>
      </c>
      <c r="BI273" s="185">
        <v>1.2944E-3</v>
      </c>
      <c r="BJ273" s="185">
        <v>12.944000000000001</v>
      </c>
      <c r="BK273" s="135"/>
      <c r="BL273" s="485">
        <v>0.38819999931348198</v>
      </c>
      <c r="BM273" s="138" t="s">
        <v>2487</v>
      </c>
      <c r="BN273" s="135"/>
      <c r="BO273" s="135"/>
      <c r="BP273" s="135"/>
      <c r="BQ273" s="135"/>
      <c r="BR273" s="138" t="e">
        <v>#VALUE!</v>
      </c>
      <c r="BS273" s="135"/>
      <c r="BT273" s="135"/>
      <c r="BU273" s="135"/>
      <c r="BV273" s="135"/>
      <c r="BW273" s="135"/>
      <c r="BX273" s="135"/>
      <c r="BY273" s="135"/>
      <c r="BZ273" s="135"/>
      <c r="CA273" s="135"/>
      <c r="CB273" s="135"/>
      <c r="CC273" s="135"/>
      <c r="CD273" s="135"/>
      <c r="CE273" s="135"/>
      <c r="CF273" s="135"/>
      <c r="CG273" s="135"/>
      <c r="CH273" s="135"/>
      <c r="CI273" s="185"/>
      <c r="CJ273" s="187"/>
      <c r="CK273" s="136">
        <f t="shared" si="78"/>
        <v>2.9990729242388901E-2</v>
      </c>
      <c r="CL273" s="188"/>
      <c r="CM273" s="188"/>
      <c r="CN273" s="188"/>
      <c r="CO273" s="138" t="s">
        <v>2488</v>
      </c>
      <c r="CP273" s="189" t="s">
        <v>2489</v>
      </c>
      <c r="CQ273" s="191" t="s">
        <v>272</v>
      </c>
      <c r="CR273" s="191"/>
      <c r="CS273" s="135" t="s">
        <v>539</v>
      </c>
      <c r="CT273" s="135"/>
      <c r="CU273" s="135"/>
      <c r="CV273" s="332">
        <f t="shared" si="79"/>
        <v>1.0429542645241038E-2</v>
      </c>
      <c r="CW273" s="329">
        <f t="shared" si="84"/>
        <v>0</v>
      </c>
      <c r="CX273" s="329"/>
      <c r="CY273" s="189" t="s">
        <v>6351</v>
      </c>
    </row>
    <row r="274" spans="1:103" ht="11.25" customHeight="1" x14ac:dyDescent="0.2">
      <c r="A274" s="72">
        <v>557</v>
      </c>
      <c r="B274" s="183">
        <v>1627</v>
      </c>
      <c r="C274" s="133" t="s">
        <v>6836</v>
      </c>
      <c r="D274" s="133"/>
      <c r="E274" s="134"/>
      <c r="F274" s="134" t="s">
        <v>4819</v>
      </c>
      <c r="G274" s="184">
        <v>131180</v>
      </c>
      <c r="H274" s="138" t="s">
        <v>4820</v>
      </c>
      <c r="I274" s="138" t="s">
        <v>4820</v>
      </c>
      <c r="J274" s="138" t="s">
        <v>4821</v>
      </c>
      <c r="K274" s="138" t="s">
        <v>357</v>
      </c>
      <c r="L274" s="138"/>
      <c r="M274" s="138"/>
      <c r="N274" s="138"/>
      <c r="O274" s="138"/>
      <c r="P274" s="138"/>
      <c r="Q274" s="138" t="s">
        <v>6173</v>
      </c>
      <c r="R274" s="138" t="s">
        <v>6174</v>
      </c>
      <c r="S274" s="138" t="s">
        <v>6176</v>
      </c>
      <c r="T274" s="135">
        <v>306.39999999999998</v>
      </c>
      <c r="U274" s="185">
        <v>100</v>
      </c>
      <c r="V274" s="185">
        <v>0.1787</v>
      </c>
      <c r="W274" s="185">
        <v>5.575563430780984</v>
      </c>
      <c r="X274" s="185">
        <v>100</v>
      </c>
      <c r="Y274" s="204">
        <v>7</v>
      </c>
      <c r="Z274" s="135">
        <v>5.59</v>
      </c>
      <c r="AA274" s="135">
        <v>5.62</v>
      </c>
      <c r="AB274" s="135">
        <v>5.89</v>
      </c>
      <c r="AC274" s="135">
        <v>0.62519999999999998</v>
      </c>
      <c r="AD274" s="135">
        <v>5.89</v>
      </c>
      <c r="AE274" s="135">
        <v>5.89</v>
      </c>
      <c r="AF274" s="135">
        <f t="shared" si="85"/>
        <v>5.62</v>
      </c>
      <c r="AG274" s="136">
        <v>4.8600000000000003</v>
      </c>
      <c r="AH274" s="185">
        <v>2.1600000000000001E-6</v>
      </c>
      <c r="AI274" s="185"/>
      <c r="AJ274" s="136">
        <f t="shared" si="82"/>
        <v>-4.0541125751617209</v>
      </c>
      <c r="AK274" s="136"/>
      <c r="AL274" s="136">
        <f t="shared" si="83"/>
        <v>-4.0541125751617209</v>
      </c>
      <c r="AM274" s="136">
        <v>-9.1845800000000004</v>
      </c>
      <c r="AN274" s="186">
        <v>-4.4000000000000004</v>
      </c>
      <c r="AO274" s="481"/>
      <c r="AP274" s="481"/>
      <c r="AQ274" s="186" t="s">
        <v>6311</v>
      </c>
      <c r="AR274" s="186" t="s">
        <v>6312</v>
      </c>
      <c r="AS274" s="183"/>
      <c r="AT274" s="137" t="s">
        <v>266</v>
      </c>
      <c r="AU274" s="135">
        <v>6</v>
      </c>
      <c r="AV274" s="135">
        <v>120</v>
      </c>
      <c r="AW274" s="135">
        <v>114</v>
      </c>
      <c r="AX274" s="135">
        <v>28</v>
      </c>
      <c r="AY274" s="135" t="s">
        <v>8728</v>
      </c>
      <c r="AZ274" s="135" t="s">
        <v>1563</v>
      </c>
      <c r="BA274" s="135">
        <v>32</v>
      </c>
      <c r="BB274" s="138" t="s">
        <v>2485</v>
      </c>
      <c r="BC274" s="458" t="s">
        <v>8726</v>
      </c>
      <c r="BD274" s="138" t="s">
        <v>8374</v>
      </c>
      <c r="BE274" s="135" t="s">
        <v>2449</v>
      </c>
      <c r="BF274" s="135" t="s">
        <v>272</v>
      </c>
      <c r="BG274" s="135" t="s">
        <v>272</v>
      </c>
      <c r="BH274" s="135" t="s">
        <v>2486</v>
      </c>
      <c r="BI274" s="185">
        <v>1.9609599999999999E-3</v>
      </c>
      <c r="BJ274" s="185">
        <v>19.6096</v>
      </c>
      <c r="BK274" s="135"/>
      <c r="BL274" s="485">
        <v>0.15021377517810353</v>
      </c>
      <c r="BM274" s="138" t="s">
        <v>2487</v>
      </c>
      <c r="BN274" s="135"/>
      <c r="BO274" s="135"/>
      <c r="BP274" s="135"/>
      <c r="BQ274" s="135"/>
      <c r="BR274" s="138" t="e">
        <v>#VALUE!</v>
      </c>
      <c r="BS274" s="135"/>
      <c r="BT274" s="135"/>
      <c r="BU274" s="135"/>
      <c r="BV274" s="135"/>
      <c r="BW274" s="135"/>
      <c r="BX274" s="135"/>
      <c r="BY274" s="135"/>
      <c r="BZ274" s="135"/>
      <c r="CA274" s="135"/>
      <c r="CB274" s="135"/>
      <c r="CC274" s="135"/>
      <c r="CD274" s="135"/>
      <c r="CE274" s="135"/>
      <c r="CF274" s="135"/>
      <c r="CG274" s="135"/>
      <c r="CH274" s="135"/>
      <c r="CI274" s="185"/>
      <c r="CJ274" s="187"/>
      <c r="CK274" s="136">
        <f t="shared" si="78"/>
        <v>7.6602161787136672E-3</v>
      </c>
      <c r="CL274" s="188"/>
      <c r="CM274" s="188"/>
      <c r="CN274" s="188"/>
      <c r="CO274" s="138" t="s">
        <v>2488</v>
      </c>
      <c r="CP274" s="189" t="s">
        <v>2489</v>
      </c>
      <c r="CQ274" s="191" t="s">
        <v>272</v>
      </c>
      <c r="CR274" s="191"/>
      <c r="CS274" s="135" t="s">
        <v>539</v>
      </c>
      <c r="CT274" s="135"/>
      <c r="CU274" s="135"/>
      <c r="CV274" s="332">
        <f t="shared" si="79"/>
        <v>5.0995430809399478</v>
      </c>
      <c r="CW274" s="329">
        <f t="shared" si="84"/>
        <v>1</v>
      </c>
      <c r="CX274" s="329"/>
      <c r="CY274" s="189" t="s">
        <v>5921</v>
      </c>
    </row>
    <row r="275" spans="1:103" ht="11.25" customHeight="1" x14ac:dyDescent="0.2">
      <c r="A275" s="72">
        <v>558</v>
      </c>
      <c r="B275" s="183">
        <v>1644</v>
      </c>
      <c r="C275" s="133" t="s">
        <v>4844</v>
      </c>
      <c r="D275" s="133" t="s">
        <v>6837</v>
      </c>
      <c r="E275" s="134"/>
      <c r="F275" s="134" t="s">
        <v>4845</v>
      </c>
      <c r="G275" s="184">
        <v>563122</v>
      </c>
      <c r="H275" s="138" t="s">
        <v>4846</v>
      </c>
      <c r="I275" s="138" t="s">
        <v>4846</v>
      </c>
      <c r="J275" s="138" t="s">
        <v>4847</v>
      </c>
      <c r="K275" s="138" t="s">
        <v>1872</v>
      </c>
      <c r="L275" s="138" t="s">
        <v>617</v>
      </c>
      <c r="M275" s="138" t="s">
        <v>946</v>
      </c>
      <c r="N275" s="138" t="s">
        <v>6376</v>
      </c>
      <c r="O275" s="138" t="s">
        <v>918</v>
      </c>
      <c r="P275" s="138" t="s">
        <v>6178</v>
      </c>
      <c r="Q275" s="138" t="s">
        <v>6173</v>
      </c>
      <c r="R275" s="138" t="s">
        <v>6177</v>
      </c>
      <c r="S275" s="138" t="s">
        <v>6182</v>
      </c>
      <c r="T275" s="135">
        <v>384.48</v>
      </c>
      <c r="U275" s="185">
        <v>2</v>
      </c>
      <c r="V275" s="185">
        <v>0.1787</v>
      </c>
      <c r="W275" s="185">
        <v>2.7853113792963202</v>
      </c>
      <c r="X275" s="185">
        <v>2</v>
      </c>
      <c r="Y275" s="204">
        <v>7</v>
      </c>
      <c r="Z275" s="135">
        <v>5</v>
      </c>
      <c r="AA275" s="135">
        <v>5.07</v>
      </c>
      <c r="AB275" s="135">
        <v>4.9000000000000004</v>
      </c>
      <c r="AC275" s="135">
        <v>0.84160000000000001</v>
      </c>
      <c r="AD275" s="135">
        <v>4.9400000000000004</v>
      </c>
      <c r="AE275" s="135">
        <v>5.07</v>
      </c>
      <c r="AF275" s="135">
        <f t="shared" si="85"/>
        <v>5.07</v>
      </c>
      <c r="AG275" s="136">
        <v>4.99</v>
      </c>
      <c r="AH275" s="185">
        <v>1.6899999999999999E-7</v>
      </c>
      <c r="AI275" s="185">
        <v>3.7899999999999999E-7</v>
      </c>
      <c r="AJ275" s="136">
        <f t="shared" si="82"/>
        <v>-5.1606796216989785</v>
      </c>
      <c r="AK275" s="136">
        <f>LOG10(AI275*1000/(0.08206*298.15))</f>
        <v>-4.8099271163445794</v>
      </c>
      <c r="AL275" s="136">
        <f t="shared" si="83"/>
        <v>-4.8099271163445794</v>
      </c>
      <c r="AM275" s="136">
        <v>-12.701129999999999</v>
      </c>
      <c r="AN275" s="186">
        <v>-5.34</v>
      </c>
      <c r="AO275" s="481"/>
      <c r="AP275" s="481"/>
      <c r="AQ275" s="186" t="s">
        <v>6314</v>
      </c>
      <c r="AR275" s="186" t="s">
        <v>6314</v>
      </c>
      <c r="AS275" s="183"/>
      <c r="AT275" s="137" t="s">
        <v>266</v>
      </c>
      <c r="AU275" s="135">
        <v>6</v>
      </c>
      <c r="AV275" s="135">
        <v>120</v>
      </c>
      <c r="AW275" s="135">
        <v>114</v>
      </c>
      <c r="AX275" s="135">
        <v>28</v>
      </c>
      <c r="AY275" s="135" t="s">
        <v>8728</v>
      </c>
      <c r="AZ275" s="135" t="s">
        <v>1563</v>
      </c>
      <c r="BA275" s="135">
        <v>32</v>
      </c>
      <c r="BB275" s="138" t="s">
        <v>2485</v>
      </c>
      <c r="BC275" s="458" t="s">
        <v>8726</v>
      </c>
      <c r="BD275" s="138" t="s">
        <v>8374</v>
      </c>
      <c r="BE275" s="135" t="s">
        <v>2449</v>
      </c>
      <c r="BF275" s="135" t="s">
        <v>272</v>
      </c>
      <c r="BG275" s="135" t="s">
        <v>272</v>
      </c>
      <c r="BH275" s="135" t="s">
        <v>2486</v>
      </c>
      <c r="BI275" s="185">
        <v>2.4606720000000001E-3</v>
      </c>
      <c r="BJ275" s="185">
        <v>24.606720000000003</v>
      </c>
      <c r="BK275" s="135"/>
      <c r="BL275" s="485">
        <v>0.63851889509219939</v>
      </c>
      <c r="BM275" s="138" t="s">
        <v>2487</v>
      </c>
      <c r="BN275" s="135"/>
      <c r="BO275" s="135"/>
      <c r="BP275" s="135"/>
      <c r="BQ275" s="135"/>
      <c r="BR275" s="138" t="e">
        <v>#VALUE!</v>
      </c>
      <c r="BS275" s="135"/>
      <c r="BT275" s="135"/>
      <c r="BU275" s="135"/>
      <c r="BV275" s="135"/>
      <c r="BW275" s="135"/>
      <c r="BX275" s="135"/>
      <c r="BY275" s="135"/>
      <c r="BZ275" s="135"/>
      <c r="CA275" s="135"/>
      <c r="CB275" s="135"/>
      <c r="CC275" s="135"/>
      <c r="CD275" s="135"/>
      <c r="CE275" s="135"/>
      <c r="CF275" s="135"/>
      <c r="CG275" s="135"/>
      <c r="CH275" s="135"/>
      <c r="CI275" s="185"/>
      <c r="CJ275" s="187"/>
      <c r="CK275" s="136">
        <f t="shared" si="78"/>
        <v>2.5948964148500869E-2</v>
      </c>
      <c r="CL275" s="188"/>
      <c r="CM275" s="188"/>
      <c r="CN275" s="188"/>
      <c r="CO275" s="138" t="s">
        <v>2488</v>
      </c>
      <c r="CP275" s="189" t="s">
        <v>2489</v>
      </c>
      <c r="CQ275" s="183">
        <v>-0.38909176801314355</v>
      </c>
      <c r="CR275" s="191">
        <f>10^(CJ275-CQ275)</f>
        <v>2.4495807925473136</v>
      </c>
      <c r="CS275" s="135" t="s">
        <v>539</v>
      </c>
      <c r="CT275" s="135"/>
      <c r="CU275" s="135"/>
      <c r="CV275" s="332">
        <f t="shared" si="79"/>
        <v>8.1278610070744897E-2</v>
      </c>
      <c r="CW275" s="329">
        <f t="shared" si="84"/>
        <v>0</v>
      </c>
      <c r="CX275" s="329"/>
      <c r="CY275" s="189" t="s">
        <v>5921</v>
      </c>
    </row>
    <row r="276" spans="1:103" ht="11.25" customHeight="1" x14ac:dyDescent="0.2">
      <c r="A276" s="72">
        <v>559</v>
      </c>
      <c r="B276" s="191">
        <v>1628</v>
      </c>
      <c r="C276" s="128" t="s">
        <v>6838</v>
      </c>
      <c r="D276" s="128"/>
      <c r="E276" s="129"/>
      <c r="F276" s="129" t="s">
        <v>4822</v>
      </c>
      <c r="G276" s="192">
        <v>147240</v>
      </c>
      <c r="H276" s="139" t="s">
        <v>4823</v>
      </c>
      <c r="I276" s="139" t="s">
        <v>7931</v>
      </c>
      <c r="J276" s="139" t="s">
        <v>4824</v>
      </c>
      <c r="K276" s="139" t="s">
        <v>426</v>
      </c>
      <c r="L276" s="139"/>
      <c r="M276" s="139"/>
      <c r="N276" s="138"/>
      <c r="O276" s="139"/>
      <c r="P276" s="138"/>
      <c r="Q276" s="138"/>
      <c r="R276" s="138"/>
      <c r="S276" s="138"/>
      <c r="T276" s="130">
        <v>291.82</v>
      </c>
      <c r="U276" s="187"/>
      <c r="V276" s="185">
        <v>602.4</v>
      </c>
      <c r="W276" s="185"/>
      <c r="X276" s="185">
        <v>602.4</v>
      </c>
      <c r="Y276" s="194"/>
      <c r="Z276" s="130">
        <v>1.59</v>
      </c>
      <c r="AA276" s="130"/>
      <c r="AB276" s="130"/>
      <c r="AC276" s="130"/>
      <c r="AD276" s="130"/>
      <c r="AE276" s="130"/>
      <c r="AF276" s="130"/>
      <c r="AG276" s="131">
        <v>5.24</v>
      </c>
      <c r="AH276" s="187">
        <v>2.3299999999999999E-16</v>
      </c>
      <c r="AI276" s="187"/>
      <c r="AJ276" s="136">
        <f t="shared" si="82"/>
        <v>-14.021210405286633</v>
      </c>
      <c r="AK276" s="136"/>
      <c r="AL276" s="136">
        <f t="shared" si="83"/>
        <v>-14.021210405286633</v>
      </c>
      <c r="AM276" s="136"/>
      <c r="AN276" s="193">
        <v>-9.56</v>
      </c>
      <c r="AO276" s="481"/>
      <c r="AP276" s="481"/>
      <c r="AQ276" s="193" t="s">
        <v>6311</v>
      </c>
      <c r="AR276" s="193" t="s">
        <v>6316</v>
      </c>
      <c r="AS276" s="191"/>
      <c r="AT276" s="132" t="s">
        <v>266</v>
      </c>
      <c r="AU276" s="130">
        <v>6</v>
      </c>
      <c r="AV276" s="130">
        <v>120</v>
      </c>
      <c r="AW276" s="130">
        <v>114</v>
      </c>
      <c r="AX276" s="130">
        <v>28</v>
      </c>
      <c r="AY276" s="130" t="s">
        <v>8728</v>
      </c>
      <c r="AZ276" s="130" t="s">
        <v>1563</v>
      </c>
      <c r="BA276" s="130">
        <v>32</v>
      </c>
      <c r="BB276" s="139" t="s">
        <v>2485</v>
      </c>
      <c r="BC276" s="458" t="s">
        <v>8726</v>
      </c>
      <c r="BD276" s="139" t="s">
        <v>8374</v>
      </c>
      <c r="BE276" s="130" t="s">
        <v>2449</v>
      </c>
      <c r="BF276" s="130" t="s">
        <v>272</v>
      </c>
      <c r="BG276" s="130" t="s">
        <v>272</v>
      </c>
      <c r="BH276" s="130" t="s">
        <v>2486</v>
      </c>
      <c r="BI276" s="187">
        <v>1.867648E-3</v>
      </c>
      <c r="BJ276" s="187">
        <v>18.676480000000002</v>
      </c>
      <c r="BK276" s="130"/>
      <c r="BL276" s="485">
        <v>559.67518710363731</v>
      </c>
      <c r="BM276" s="139" t="s">
        <v>2487</v>
      </c>
      <c r="BN276" s="130"/>
      <c r="BO276" s="130"/>
      <c r="BP276" s="130"/>
      <c r="BQ276" s="130"/>
      <c r="BR276" s="139" t="e">
        <v>#VALUE!</v>
      </c>
      <c r="BS276" s="130"/>
      <c r="BT276" s="130"/>
      <c r="BU276" s="195"/>
      <c r="BV276" s="130"/>
      <c r="BW276" s="130"/>
      <c r="BX276" s="130"/>
      <c r="BY276" s="130"/>
      <c r="BZ276" s="130"/>
      <c r="CA276" s="130"/>
      <c r="CB276" s="130"/>
      <c r="CC276" s="130"/>
      <c r="CD276" s="130"/>
      <c r="CE276" s="130"/>
      <c r="CF276" s="130"/>
      <c r="CG276" s="130"/>
      <c r="CH276" s="130"/>
      <c r="CI276" s="187"/>
      <c r="CJ276" s="187"/>
      <c r="CK276" s="131">
        <f t="shared" si="78"/>
        <v>29.966845310445933</v>
      </c>
      <c r="CL276" s="188"/>
      <c r="CM276" s="188"/>
      <c r="CN276" s="188"/>
      <c r="CO276" s="139" t="s">
        <v>2488</v>
      </c>
      <c r="CP276" s="499" t="s">
        <v>2489</v>
      </c>
      <c r="CQ276" s="191" t="s">
        <v>272</v>
      </c>
      <c r="CR276" s="191"/>
      <c r="CS276" s="135" t="s">
        <v>539</v>
      </c>
      <c r="CT276" s="135"/>
      <c r="CU276" s="135"/>
      <c r="CV276" s="332">
        <f t="shared" si="79"/>
        <v>32.254471934754299</v>
      </c>
      <c r="CW276" s="329">
        <f t="shared" si="84"/>
        <v>1</v>
      </c>
      <c r="CX276" s="329"/>
      <c r="CY276" s="189" t="s">
        <v>5921</v>
      </c>
    </row>
    <row r="277" spans="1:103" ht="11.25" customHeight="1" x14ac:dyDescent="0.2">
      <c r="A277" s="72">
        <v>560</v>
      </c>
      <c r="B277" s="191">
        <v>1481</v>
      </c>
      <c r="C277" s="128" t="s">
        <v>6839</v>
      </c>
      <c r="D277" s="128"/>
      <c r="E277" s="129"/>
      <c r="F277" s="129" t="s">
        <v>4551</v>
      </c>
      <c r="G277" s="192">
        <v>154427</v>
      </c>
      <c r="H277" s="139" t="s">
        <v>4552</v>
      </c>
      <c r="I277" s="139" t="s">
        <v>4552</v>
      </c>
      <c r="J277" s="139" t="s">
        <v>4553</v>
      </c>
      <c r="K277" s="139" t="s">
        <v>1064</v>
      </c>
      <c r="L277" s="139" t="s">
        <v>279</v>
      </c>
      <c r="M277" s="139" t="s">
        <v>4554</v>
      </c>
      <c r="N277" s="138" t="s">
        <v>6383</v>
      </c>
      <c r="O277" s="139" t="s">
        <v>281</v>
      </c>
      <c r="P277" s="138"/>
      <c r="Q277" s="138"/>
      <c r="R277" s="138"/>
      <c r="S277" s="138"/>
      <c r="T277" s="130">
        <v>167.19</v>
      </c>
      <c r="U277" s="187"/>
      <c r="V277" s="185">
        <v>36300</v>
      </c>
      <c r="W277" s="185">
        <v>283.92935625507874</v>
      </c>
      <c r="X277" s="185">
        <v>283.92935625507874</v>
      </c>
      <c r="Y277" s="194">
        <v>4.7300000000000004</v>
      </c>
      <c r="Z277" s="130">
        <v>-0.31</v>
      </c>
      <c r="AA277" s="130">
        <v>-7.0000000000000007E-2</v>
      </c>
      <c r="AB277" s="130">
        <v>-0.2</v>
      </c>
      <c r="AC277" s="130">
        <v>0.67159999999999997</v>
      </c>
      <c r="AD277" s="130">
        <v>-0.19</v>
      </c>
      <c r="AE277" s="130">
        <v>-0.16</v>
      </c>
      <c r="AF277" s="130">
        <f t="shared" ref="AF277:AF308" si="86">IF(AA277=0,AD277,AA277)</f>
        <v>-7.0000000000000007E-2</v>
      </c>
      <c r="AG277" s="131">
        <v>4.76</v>
      </c>
      <c r="AH277" s="187">
        <v>4.6399999999999997E-15</v>
      </c>
      <c r="AI277" s="187"/>
      <c r="AJ277" s="136">
        <f t="shared" si="82"/>
        <v>-12.722048345757772</v>
      </c>
      <c r="AK277" s="136"/>
      <c r="AL277" s="136">
        <f t="shared" si="83"/>
        <v>-12.722048345757772</v>
      </c>
      <c r="AM277" s="136">
        <v>-16.542259999999999</v>
      </c>
      <c r="AN277" s="193">
        <v>-16.100000000000001</v>
      </c>
      <c r="AO277" s="481">
        <v>6.79</v>
      </c>
      <c r="AP277" s="481">
        <v>2.4500000000000002</v>
      </c>
      <c r="AQ277" s="130" t="s">
        <v>6311</v>
      </c>
      <c r="AR277" s="130" t="s">
        <v>6311</v>
      </c>
      <c r="AS277" s="198"/>
      <c r="AT277" s="132" t="s">
        <v>266</v>
      </c>
      <c r="AU277" s="130">
        <v>6</v>
      </c>
      <c r="AV277" s="130">
        <v>120</v>
      </c>
      <c r="AW277" s="130">
        <v>114</v>
      </c>
      <c r="AX277" s="130">
        <v>28</v>
      </c>
      <c r="AY277" s="130" t="s">
        <v>8728</v>
      </c>
      <c r="AZ277" s="130" t="s">
        <v>1563</v>
      </c>
      <c r="BA277" s="130">
        <v>32</v>
      </c>
      <c r="BB277" s="139" t="s">
        <v>2485</v>
      </c>
      <c r="BC277" s="458" t="s">
        <v>8726</v>
      </c>
      <c r="BD277" s="139" t="s">
        <v>8374</v>
      </c>
      <c r="BE277" s="130" t="s">
        <v>2449</v>
      </c>
      <c r="BF277" s="130" t="s">
        <v>272</v>
      </c>
      <c r="BG277" s="130" t="s">
        <v>272</v>
      </c>
      <c r="BH277" s="130" t="s">
        <v>2486</v>
      </c>
      <c r="BI277" s="187">
        <v>1.070016E-3</v>
      </c>
      <c r="BJ277" s="187">
        <v>10.70016</v>
      </c>
      <c r="BK277" s="130"/>
      <c r="BL277" s="485">
        <v>16308.773371913103</v>
      </c>
      <c r="BM277" s="139" t="s">
        <v>2487</v>
      </c>
      <c r="BN277" s="130"/>
      <c r="BO277" s="130"/>
      <c r="BP277" s="130"/>
      <c r="BQ277" s="130"/>
      <c r="BR277" s="139" t="e">
        <v>#VALUE!</v>
      </c>
      <c r="BS277" s="130"/>
      <c r="BT277" s="130"/>
      <c r="BU277" s="195"/>
      <c r="BV277" s="130"/>
      <c r="BW277" s="130"/>
      <c r="BX277" s="130"/>
      <c r="BY277" s="130"/>
      <c r="BZ277" s="130"/>
      <c r="CA277" s="130"/>
      <c r="CB277" s="130"/>
      <c r="CC277" s="130"/>
      <c r="CD277" s="130"/>
      <c r="CE277" s="130"/>
      <c r="CF277" s="130"/>
      <c r="CG277" s="130"/>
      <c r="CH277" s="130"/>
      <c r="CI277" s="187"/>
      <c r="CJ277" s="187"/>
      <c r="CK277" s="131">
        <f t="shared" si="78"/>
        <v>1524.1616360795636</v>
      </c>
      <c r="CL277" s="188"/>
      <c r="CM277" s="188"/>
      <c r="CN277" s="188"/>
      <c r="CO277" s="139" t="s">
        <v>2488</v>
      </c>
      <c r="CP277" s="499" t="s">
        <v>2489</v>
      </c>
      <c r="CQ277" s="191" t="s">
        <v>272</v>
      </c>
      <c r="CR277" s="191"/>
      <c r="CS277" s="135" t="s">
        <v>539</v>
      </c>
      <c r="CT277" s="135"/>
      <c r="CU277" s="135"/>
      <c r="CV277" s="332">
        <f t="shared" si="79"/>
        <v>26.535057069714728</v>
      </c>
      <c r="CW277" s="329">
        <f t="shared" si="84"/>
        <v>1</v>
      </c>
      <c r="CX277" s="329"/>
      <c r="CY277" s="189" t="s">
        <v>5921</v>
      </c>
    </row>
    <row r="278" spans="1:103" ht="11.25" customHeight="1" x14ac:dyDescent="0.2">
      <c r="A278" s="72">
        <v>561</v>
      </c>
      <c r="B278" s="183">
        <v>1519</v>
      </c>
      <c r="C278" s="133" t="s">
        <v>6840</v>
      </c>
      <c r="D278" s="133"/>
      <c r="E278" s="134"/>
      <c r="F278" s="134" t="s">
        <v>4611</v>
      </c>
      <c r="G278" s="184">
        <v>205992</v>
      </c>
      <c r="H278" s="138" t="s">
        <v>4612</v>
      </c>
      <c r="I278" s="138" t="s">
        <v>4612</v>
      </c>
      <c r="J278" s="138" t="s">
        <v>4613</v>
      </c>
      <c r="K278" s="138" t="s">
        <v>426</v>
      </c>
      <c r="L278" s="138"/>
      <c r="M278" s="138"/>
      <c r="N278" s="138"/>
      <c r="O278" s="138"/>
      <c r="P278" s="138"/>
      <c r="Q278" s="138"/>
      <c r="R278" s="138"/>
      <c r="S278" s="138"/>
      <c r="T278" s="135">
        <v>252.31</v>
      </c>
      <c r="U278" s="185">
        <v>1.5E-3</v>
      </c>
      <c r="V278" s="185">
        <v>2.0650000000000002E-2</v>
      </c>
      <c r="W278" s="185">
        <v>5.151509008195684E-3</v>
      </c>
      <c r="X278" s="185">
        <v>1.5E-3</v>
      </c>
      <c r="Y278" s="204">
        <v>7</v>
      </c>
      <c r="Z278" s="135">
        <v>6.11</v>
      </c>
      <c r="AA278" s="135">
        <v>5.78</v>
      </c>
      <c r="AB278" s="135">
        <v>6.26</v>
      </c>
      <c r="AC278" s="135">
        <v>0.82799999999999996</v>
      </c>
      <c r="AD278" s="135">
        <v>6.3</v>
      </c>
      <c r="AE278" s="135">
        <v>6.4</v>
      </c>
      <c r="AF278" s="135">
        <f t="shared" si="86"/>
        <v>5.78</v>
      </c>
      <c r="AG278" s="136">
        <v>5.65</v>
      </c>
      <c r="AH278" s="185">
        <v>8.0999999999999997E-7</v>
      </c>
      <c r="AI278" s="185">
        <v>6.5700000000000002E-7</v>
      </c>
      <c r="AJ278" s="136">
        <f t="shared" si="82"/>
        <v>-4.480081307434002</v>
      </c>
      <c r="AK278" s="136">
        <f>LOG10(AI278*1000/(0.08206*298.15))</f>
        <v>-4.5710009567528713</v>
      </c>
      <c r="AL278" s="136">
        <f t="shared" si="83"/>
        <v>-4.5710009567528713</v>
      </c>
      <c r="AM278" s="136">
        <v>-10.442740000000001</v>
      </c>
      <c r="AN278" s="186">
        <v>-4.2699999999999996</v>
      </c>
      <c r="AO278" s="481"/>
      <c r="AP278" s="481"/>
      <c r="AQ278" s="135" t="s">
        <v>6311</v>
      </c>
      <c r="AR278" s="135" t="s">
        <v>6311</v>
      </c>
      <c r="AS278" s="190"/>
      <c r="AT278" s="137" t="s">
        <v>266</v>
      </c>
      <c r="AU278" s="135">
        <v>6</v>
      </c>
      <c r="AV278" s="135">
        <v>120</v>
      </c>
      <c r="AW278" s="135">
        <v>114</v>
      </c>
      <c r="AX278" s="135">
        <v>28</v>
      </c>
      <c r="AY278" s="135" t="s">
        <v>8728</v>
      </c>
      <c r="AZ278" s="135" t="s">
        <v>1563</v>
      </c>
      <c r="BA278" s="135">
        <v>32</v>
      </c>
      <c r="BB278" s="138" t="s">
        <v>2485</v>
      </c>
      <c r="BC278" s="458" t="s">
        <v>8726</v>
      </c>
      <c r="BD278" s="138" t="s">
        <v>8374</v>
      </c>
      <c r="BE278" s="135" t="s">
        <v>2449</v>
      </c>
      <c r="BF278" s="135" t="s">
        <v>272</v>
      </c>
      <c r="BG278" s="135" t="s">
        <v>272</v>
      </c>
      <c r="BH278" s="135" t="s">
        <v>2486</v>
      </c>
      <c r="BI278" s="185">
        <v>1.614784E-3</v>
      </c>
      <c r="BJ278" s="185">
        <v>16.147840000000002</v>
      </c>
      <c r="BK278" s="135"/>
      <c r="BL278" s="485">
        <v>4.220301357672273E-2</v>
      </c>
      <c r="BM278" s="138" t="s">
        <v>2487</v>
      </c>
      <c r="BN278" s="135"/>
      <c r="BO278" s="135"/>
      <c r="BP278" s="135"/>
      <c r="BQ278" s="135"/>
      <c r="BR278" s="138" t="e">
        <v>#VALUE!</v>
      </c>
      <c r="BS278" s="135"/>
      <c r="BT278" s="135"/>
      <c r="BU278" s="135"/>
      <c r="BV278" s="135"/>
      <c r="BW278" s="135"/>
      <c r="BX278" s="135"/>
      <c r="BY278" s="135"/>
      <c r="BZ278" s="135"/>
      <c r="CA278" s="135"/>
      <c r="CB278" s="135"/>
      <c r="CC278" s="135"/>
      <c r="CD278" s="135"/>
      <c r="CE278" s="135"/>
      <c r="CF278" s="135"/>
      <c r="CG278" s="135"/>
      <c r="CH278" s="135"/>
      <c r="CI278" s="185"/>
      <c r="CJ278" s="187"/>
      <c r="CK278" s="136">
        <f t="shared" si="78"/>
        <v>2.6135392459129348E-3</v>
      </c>
      <c r="CL278" s="188"/>
      <c r="CM278" s="188"/>
      <c r="CN278" s="188"/>
      <c r="CO278" s="138" t="s">
        <v>2488</v>
      </c>
      <c r="CP278" s="189" t="s">
        <v>2489</v>
      </c>
      <c r="CQ278" s="191" t="s">
        <v>272</v>
      </c>
      <c r="CR278" s="191"/>
      <c r="CS278" s="135" t="s">
        <v>539</v>
      </c>
      <c r="CT278" s="135"/>
      <c r="CU278" s="135"/>
      <c r="CV278" s="332">
        <f t="shared" si="79"/>
        <v>9.2891680868772525E-5</v>
      </c>
      <c r="CW278" s="329">
        <f t="shared" si="84"/>
        <v>0</v>
      </c>
      <c r="CX278" s="329"/>
      <c r="CY278" s="189" t="s">
        <v>5921</v>
      </c>
    </row>
    <row r="279" spans="1:103" ht="11.25" customHeight="1" x14ac:dyDescent="0.2">
      <c r="A279" s="72">
        <v>562</v>
      </c>
      <c r="B279" s="183">
        <v>1909</v>
      </c>
      <c r="C279" s="133" t="s">
        <v>1531</v>
      </c>
      <c r="D279" s="133" t="s">
        <v>6771</v>
      </c>
      <c r="E279" s="134"/>
      <c r="F279" s="134" t="s">
        <v>1532</v>
      </c>
      <c r="G279" s="184">
        <v>78488</v>
      </c>
      <c r="H279" s="138" t="s">
        <v>1533</v>
      </c>
      <c r="I279" s="138" t="s">
        <v>1533</v>
      </c>
      <c r="J279" s="138" t="s">
        <v>1534</v>
      </c>
      <c r="K279" s="138" t="s">
        <v>637</v>
      </c>
      <c r="L279" s="138" t="s">
        <v>6018</v>
      </c>
      <c r="M279" s="138" t="s">
        <v>6019</v>
      </c>
      <c r="N279" s="138" t="s">
        <v>6376</v>
      </c>
      <c r="O279" s="140" t="s">
        <v>6020</v>
      </c>
      <c r="P279" s="138"/>
      <c r="Q279" s="138"/>
      <c r="R279" s="138"/>
      <c r="S279" s="138"/>
      <c r="T279" s="135">
        <v>314.51</v>
      </c>
      <c r="U279" s="185">
        <v>2.2999999999999998</v>
      </c>
      <c r="V279" s="185">
        <v>0.13689999999999999</v>
      </c>
      <c r="W279" s="185">
        <v>128.12517117217132</v>
      </c>
      <c r="X279" s="185">
        <v>2.2999999999999998</v>
      </c>
      <c r="Y279" s="204">
        <v>7</v>
      </c>
      <c r="Z279" s="135">
        <v>5.75</v>
      </c>
      <c r="AA279" s="135">
        <v>5.7</v>
      </c>
      <c r="AB279" s="135">
        <v>4.28</v>
      </c>
      <c r="AC279" s="135">
        <v>0.81089999999999995</v>
      </c>
      <c r="AD279" s="135">
        <v>3.95</v>
      </c>
      <c r="AE279" s="135">
        <v>3.23</v>
      </c>
      <c r="AF279" s="135">
        <f t="shared" si="86"/>
        <v>5.7</v>
      </c>
      <c r="AG279" s="136">
        <v>5.3</v>
      </c>
      <c r="AH279" s="185">
        <v>5.2799999999999996E-7</v>
      </c>
      <c r="AI279" s="185">
        <v>2.9400000000000001E-7</v>
      </c>
      <c r="AJ279" s="136">
        <f t="shared" ref="AJ279:AJ310" si="87">LOG10(AH279*1000/(0.08206*298.15))</f>
        <v>-4.6659324037788394</v>
      </c>
      <c r="AK279" s="136">
        <f>LOG10(AI279*1000/(0.08206*298.15))</f>
        <v>-4.9202189959004947</v>
      </c>
      <c r="AL279" s="136">
        <f t="shared" ref="AL279:AL310" si="88">IF(AK279=0,AJ279,AK279)</f>
        <v>-4.9202189959004947</v>
      </c>
      <c r="AM279" s="136">
        <v>-8.7748200000000001</v>
      </c>
      <c r="AN279" s="186">
        <v>-4.34</v>
      </c>
      <c r="AO279" s="481"/>
      <c r="AP279" s="481"/>
      <c r="AQ279" s="186" t="s">
        <v>6312</v>
      </c>
      <c r="AR279" s="186" t="s">
        <v>6312</v>
      </c>
      <c r="AS279" s="183"/>
      <c r="AT279" s="137" t="s">
        <v>266</v>
      </c>
      <c r="AU279" s="135">
        <v>6</v>
      </c>
      <c r="AV279" s="135">
        <v>120</v>
      </c>
      <c r="AW279" s="135">
        <v>114</v>
      </c>
      <c r="AX279" s="135">
        <v>28</v>
      </c>
      <c r="AY279" s="135" t="s">
        <v>8728</v>
      </c>
      <c r="AZ279" s="135" t="s">
        <v>1563</v>
      </c>
      <c r="BA279" s="135">
        <v>32</v>
      </c>
      <c r="BB279" s="138" t="s">
        <v>2485</v>
      </c>
      <c r="BC279" s="458" t="s">
        <v>8726</v>
      </c>
      <c r="BD279" s="138" t="s">
        <v>8374</v>
      </c>
      <c r="BE279" s="135" t="s">
        <v>2449</v>
      </c>
      <c r="BF279" s="135" t="s">
        <v>272</v>
      </c>
      <c r="BG279" s="135" t="s">
        <v>272</v>
      </c>
      <c r="BH279" s="135" t="s">
        <v>2486</v>
      </c>
      <c r="BI279" s="185">
        <v>2.0128640000000001E-3</v>
      </c>
      <c r="BJ279" s="185">
        <v>20.128640000000001</v>
      </c>
      <c r="BK279" s="135"/>
      <c r="BL279" s="485">
        <v>0.11075400979685472</v>
      </c>
      <c r="BM279" s="138" t="s">
        <v>2487</v>
      </c>
      <c r="BN279" s="135"/>
      <c r="BO279" s="135"/>
      <c r="BP279" s="135"/>
      <c r="BQ279" s="135"/>
      <c r="BR279" s="138" t="e">
        <v>#VALUE!</v>
      </c>
      <c r="BS279" s="135"/>
      <c r="BT279" s="135"/>
      <c r="BU279" s="135"/>
      <c r="BV279" s="135"/>
      <c r="BW279" s="135"/>
      <c r="BX279" s="135"/>
      <c r="BY279" s="135"/>
      <c r="BZ279" s="135"/>
      <c r="CA279" s="135"/>
      <c r="CB279" s="135"/>
      <c r="CC279" s="135"/>
      <c r="CD279" s="135"/>
      <c r="CE279" s="135"/>
      <c r="CF279" s="135"/>
      <c r="CG279" s="135"/>
      <c r="CH279" s="135"/>
      <c r="CI279" s="185"/>
      <c r="CJ279" s="187"/>
      <c r="CK279" s="136">
        <f t="shared" si="78"/>
        <v>5.5023096342750781E-3</v>
      </c>
      <c r="CL279" s="188"/>
      <c r="CM279" s="188">
        <v>-0.2157603277923166</v>
      </c>
      <c r="CN279" s="188">
        <f>BJ279/(10^CM279)</f>
        <v>33.080705299368496</v>
      </c>
      <c r="CO279" s="138" t="s">
        <v>2488</v>
      </c>
      <c r="CP279" s="189" t="s">
        <v>2489</v>
      </c>
      <c r="CQ279" s="183">
        <v>-0.13899423553928716</v>
      </c>
      <c r="CR279" s="191">
        <f>10^(CJ279-CQ279)</f>
        <v>1.3771911890918287</v>
      </c>
      <c r="CS279" s="135" t="s">
        <v>539</v>
      </c>
      <c r="CT279" s="135"/>
      <c r="CU279" s="135"/>
      <c r="CV279" s="332">
        <f t="shared" si="79"/>
        <v>0.11426504721630472</v>
      </c>
      <c r="CW279" s="329">
        <f t="shared" si="84"/>
        <v>0</v>
      </c>
      <c r="CX279" s="329"/>
      <c r="CY279" s="189" t="s">
        <v>5921</v>
      </c>
    </row>
    <row r="280" spans="1:103" ht="11.25" customHeight="1" x14ac:dyDescent="0.2">
      <c r="A280" s="72">
        <v>563</v>
      </c>
      <c r="B280" s="183">
        <v>1352</v>
      </c>
      <c r="C280" s="133" t="s">
        <v>4185</v>
      </c>
      <c r="D280" s="133" t="s">
        <v>6841</v>
      </c>
      <c r="E280" s="134"/>
      <c r="F280" s="134" t="s">
        <v>4186</v>
      </c>
      <c r="G280" s="184">
        <v>112538</v>
      </c>
      <c r="H280" s="138" t="s">
        <v>4187</v>
      </c>
      <c r="I280" s="138" t="s">
        <v>4187</v>
      </c>
      <c r="J280" s="138" t="s">
        <v>4188</v>
      </c>
      <c r="K280" s="138" t="s">
        <v>426</v>
      </c>
      <c r="L280" s="138" t="s">
        <v>6146</v>
      </c>
      <c r="M280" s="138" t="s">
        <v>6082</v>
      </c>
      <c r="N280" s="138" t="s">
        <v>6082</v>
      </c>
      <c r="O280" s="138"/>
      <c r="P280" s="138" t="s">
        <v>6183</v>
      </c>
      <c r="Q280" s="138" t="s">
        <v>6173</v>
      </c>
      <c r="R280" s="138" t="s">
        <v>6185</v>
      </c>
      <c r="S280" s="138" t="s">
        <v>6182</v>
      </c>
      <c r="T280" s="135">
        <v>186.33</v>
      </c>
      <c r="U280" s="185">
        <v>4</v>
      </c>
      <c r="V280" s="185">
        <v>6.8980000000000006</v>
      </c>
      <c r="W280" s="185">
        <v>7.7675272222027534</v>
      </c>
      <c r="X280" s="185">
        <v>4</v>
      </c>
      <c r="Y280" s="204">
        <v>7</v>
      </c>
      <c r="Z280" s="135">
        <v>4.7699999999999996</v>
      </c>
      <c r="AA280" s="135">
        <v>5.13</v>
      </c>
      <c r="AB280" s="135">
        <v>4.96</v>
      </c>
      <c r="AC280" s="135">
        <v>0.92349999999999999</v>
      </c>
      <c r="AD280" s="135">
        <v>5</v>
      </c>
      <c r="AE280" s="135">
        <v>5.13</v>
      </c>
      <c r="AF280" s="135">
        <f t="shared" si="86"/>
        <v>5.13</v>
      </c>
      <c r="AG280" s="136">
        <v>4.41</v>
      </c>
      <c r="AH280" s="185">
        <v>9.6299999999999996E-5</v>
      </c>
      <c r="AI280" s="185">
        <v>2.2200000000000001E-5</v>
      </c>
      <c r="AJ280" s="136">
        <f t="shared" si="87"/>
        <v>-2.4049400391881171</v>
      </c>
      <c r="AK280" s="136">
        <f>LOG10(AI280*1000/(0.08206*298.15))</f>
        <v>-3.0422133518620131</v>
      </c>
      <c r="AL280" s="136">
        <f t="shared" si="88"/>
        <v>-3.0422133518620131</v>
      </c>
      <c r="AM280" s="136">
        <v>-4.4692699999999999</v>
      </c>
      <c r="AN280" s="186">
        <v>-2.25</v>
      </c>
      <c r="AO280" s="481">
        <v>15.2</v>
      </c>
      <c r="AP280" s="481"/>
      <c r="AQ280" s="135" t="s">
        <v>6311</v>
      </c>
      <c r="AR280" s="135" t="s">
        <v>6311</v>
      </c>
      <c r="AS280" s="190"/>
      <c r="AT280" s="137" t="s">
        <v>266</v>
      </c>
      <c r="AU280" s="135">
        <v>6</v>
      </c>
      <c r="AV280" s="135">
        <v>120</v>
      </c>
      <c r="AW280" s="135">
        <v>114</v>
      </c>
      <c r="AX280" s="135">
        <v>28</v>
      </c>
      <c r="AY280" s="135" t="s">
        <v>8728</v>
      </c>
      <c r="AZ280" s="135" t="s">
        <v>1563</v>
      </c>
      <c r="BA280" s="135">
        <v>32</v>
      </c>
      <c r="BB280" s="138" t="s">
        <v>2485</v>
      </c>
      <c r="BC280" s="458" t="s">
        <v>8726</v>
      </c>
      <c r="BD280" s="138" t="s">
        <v>8374</v>
      </c>
      <c r="BE280" s="135" t="s">
        <v>2449</v>
      </c>
      <c r="BF280" s="135" t="s">
        <v>272</v>
      </c>
      <c r="BG280" s="135" t="s">
        <v>272</v>
      </c>
      <c r="BH280" s="135" t="s">
        <v>2486</v>
      </c>
      <c r="BI280" s="185">
        <v>1.192512E-3</v>
      </c>
      <c r="BJ280" s="185">
        <v>11.925120000000001</v>
      </c>
      <c r="BK280" s="135"/>
      <c r="BL280" s="485">
        <v>0.49790419340211117</v>
      </c>
      <c r="BM280" s="138" t="s">
        <v>2487</v>
      </c>
      <c r="BN280" s="135"/>
      <c r="BO280" s="135"/>
      <c r="BP280" s="135"/>
      <c r="BQ280" s="135"/>
      <c r="BR280" s="138" t="e">
        <v>#VALUE!</v>
      </c>
      <c r="BS280" s="135"/>
      <c r="BT280" s="135"/>
      <c r="BU280" s="135"/>
      <c r="BV280" s="135"/>
      <c r="BW280" s="135"/>
      <c r="BX280" s="135"/>
      <c r="BY280" s="135"/>
      <c r="BZ280" s="135"/>
      <c r="CA280" s="135"/>
      <c r="CB280" s="135"/>
      <c r="CC280" s="135"/>
      <c r="CD280" s="135"/>
      <c r="CE280" s="135"/>
      <c r="CF280" s="135"/>
      <c r="CG280" s="135"/>
      <c r="CH280" s="135"/>
      <c r="CI280" s="185"/>
      <c r="CJ280" s="187"/>
      <c r="CK280" s="136">
        <f t="shared" si="78"/>
        <v>4.1752552041582063E-2</v>
      </c>
      <c r="CL280" s="188"/>
      <c r="CM280" s="188"/>
      <c r="CN280" s="188"/>
      <c r="CO280" s="138" t="s">
        <v>2488</v>
      </c>
      <c r="CP280" s="189" t="s">
        <v>2489</v>
      </c>
      <c r="CQ280" s="183">
        <v>2.160686891321254E-3</v>
      </c>
      <c r="CR280" s="191">
        <f>10^(CJ280-CQ280)</f>
        <v>0.99503719020998926</v>
      </c>
      <c r="CS280" s="135" t="s">
        <v>539</v>
      </c>
      <c r="CT280" s="135"/>
      <c r="CU280" s="135"/>
      <c r="CV280" s="332">
        <f t="shared" si="79"/>
        <v>0.33542639403209357</v>
      </c>
      <c r="CW280" s="329">
        <f t="shared" si="84"/>
        <v>0</v>
      </c>
      <c r="CX280" s="329"/>
      <c r="CY280" s="189" t="s">
        <v>6351</v>
      </c>
    </row>
    <row r="281" spans="1:103" ht="11.25" customHeight="1" x14ac:dyDescent="0.2">
      <c r="A281" s="72">
        <v>565</v>
      </c>
      <c r="B281" s="183">
        <v>1809</v>
      </c>
      <c r="C281" s="133" t="s">
        <v>6843</v>
      </c>
      <c r="D281" s="133"/>
      <c r="E281" s="134"/>
      <c r="F281" s="134" t="s">
        <v>5198</v>
      </c>
      <c r="G281" s="184">
        <v>335762</v>
      </c>
      <c r="H281" s="138" t="s">
        <v>5199</v>
      </c>
      <c r="I281" s="138" t="s">
        <v>7932</v>
      </c>
      <c r="J281" s="138" t="s">
        <v>5200</v>
      </c>
      <c r="K281" s="138" t="s">
        <v>426</v>
      </c>
      <c r="L281" s="138"/>
      <c r="M281" s="138"/>
      <c r="N281" s="138"/>
      <c r="O281" s="138"/>
      <c r="P281" s="138"/>
      <c r="Q281" s="138"/>
      <c r="R281" s="138"/>
      <c r="S281" s="138"/>
      <c r="T281" s="135">
        <v>514.08000000000004</v>
      </c>
      <c r="U281" s="185"/>
      <c r="V281" s="185">
        <v>8.0428435487949583E-3</v>
      </c>
      <c r="W281" s="185">
        <v>100.2376111843616</v>
      </c>
      <c r="X281" s="185">
        <v>100.2376111843616</v>
      </c>
      <c r="Y281" s="204">
        <v>3.72</v>
      </c>
      <c r="Z281" s="135">
        <v>6.15</v>
      </c>
      <c r="AA281" s="135"/>
      <c r="AB281" s="135">
        <v>5.43</v>
      </c>
      <c r="AC281" s="135">
        <v>0.45850000000000002</v>
      </c>
      <c r="AD281" s="135">
        <v>7.37</v>
      </c>
      <c r="AE281" s="135">
        <v>9.5299999999999994</v>
      </c>
      <c r="AF281" s="135">
        <f t="shared" si="86"/>
        <v>7.37</v>
      </c>
      <c r="AG281" s="136">
        <v>4.7</v>
      </c>
      <c r="AH281" s="185">
        <v>2.5099999999999998</v>
      </c>
      <c r="AI281" s="185"/>
      <c r="AJ281" s="136">
        <f t="shared" si="87"/>
        <v>2.0111073951683864</v>
      </c>
      <c r="AK281" s="136"/>
      <c r="AL281" s="136">
        <f t="shared" si="88"/>
        <v>2.0111073951683864</v>
      </c>
      <c r="AM281" s="136">
        <v>-1.2900100000000001</v>
      </c>
      <c r="AN281" s="186">
        <v>-6.5</v>
      </c>
      <c r="AO281" s="481">
        <v>0.52</v>
      </c>
      <c r="AP281" s="481"/>
      <c r="AQ281" s="186" t="s">
        <v>6311</v>
      </c>
      <c r="AR281" s="186" t="s">
        <v>6311</v>
      </c>
      <c r="AS281" s="183"/>
      <c r="AT281" s="137" t="s">
        <v>266</v>
      </c>
      <c r="AU281" s="135">
        <v>6</v>
      </c>
      <c r="AV281" s="135">
        <v>120</v>
      </c>
      <c r="AW281" s="135">
        <v>114</v>
      </c>
      <c r="AX281" s="135">
        <v>28</v>
      </c>
      <c r="AY281" s="135" t="s">
        <v>8728</v>
      </c>
      <c r="AZ281" s="135" t="s">
        <v>1563</v>
      </c>
      <c r="BA281" s="135">
        <v>32</v>
      </c>
      <c r="BB281" s="138" t="s">
        <v>2485</v>
      </c>
      <c r="BC281" s="458" t="s">
        <v>8726</v>
      </c>
      <c r="BD281" s="138" t="s">
        <v>8374</v>
      </c>
      <c r="BE281" s="135" t="s">
        <v>2449</v>
      </c>
      <c r="BF281" s="135" t="s">
        <v>272</v>
      </c>
      <c r="BG281" s="135" t="s">
        <v>272</v>
      </c>
      <c r="BH281" s="135" t="s">
        <v>2486</v>
      </c>
      <c r="BI281" s="185">
        <v>3.290112E-3</v>
      </c>
      <c r="BJ281" s="185">
        <v>32.901120000000006</v>
      </c>
      <c r="BK281" s="135"/>
      <c r="BL281" s="485">
        <v>7.9161808652440518E-2</v>
      </c>
      <c r="BM281" s="138" t="s">
        <v>2487</v>
      </c>
      <c r="BN281" s="135"/>
      <c r="BO281" s="135"/>
      <c r="BP281" s="135"/>
      <c r="BQ281" s="135"/>
      <c r="BR281" s="138" t="e">
        <v>#VALUE!</v>
      </c>
      <c r="BS281" s="135"/>
      <c r="BT281" s="135"/>
      <c r="BU281" s="135"/>
      <c r="BV281" s="135"/>
      <c r="BW281" s="135"/>
      <c r="BX281" s="135"/>
      <c r="BY281" s="135"/>
      <c r="BZ281" s="135"/>
      <c r="CA281" s="135"/>
      <c r="CB281" s="135"/>
      <c r="CC281" s="135"/>
      <c r="CD281" s="135"/>
      <c r="CE281" s="135"/>
      <c r="CF281" s="135"/>
      <c r="CG281" s="135"/>
      <c r="CH281" s="135"/>
      <c r="CI281" s="185"/>
      <c r="CJ281" s="187"/>
      <c r="CK281" s="136">
        <f t="shared" si="78"/>
        <v>2.4060520934375638E-3</v>
      </c>
      <c r="CL281" s="188"/>
      <c r="CM281" s="188"/>
      <c r="CN281" s="188"/>
      <c r="CO281" s="138" t="s">
        <v>2488</v>
      </c>
      <c r="CP281" s="189" t="s">
        <v>2489</v>
      </c>
      <c r="CQ281" s="191" t="s">
        <v>272</v>
      </c>
      <c r="CR281" s="191"/>
      <c r="CS281" s="135" t="s">
        <v>539</v>
      </c>
      <c r="CT281" s="135"/>
      <c r="CU281" s="135"/>
      <c r="CV281" s="332">
        <f t="shared" si="79"/>
        <v>3.0466321871219453</v>
      </c>
      <c r="CW281" s="329">
        <f t="shared" si="84"/>
        <v>1</v>
      </c>
      <c r="CX281" s="329"/>
      <c r="CY281" s="189" t="s">
        <v>5921</v>
      </c>
    </row>
    <row r="282" spans="1:103" ht="11.25" customHeight="1" x14ac:dyDescent="0.2">
      <c r="A282" s="72">
        <v>567</v>
      </c>
      <c r="B282" s="183">
        <v>1691</v>
      </c>
      <c r="C282" s="133" t="s">
        <v>6845</v>
      </c>
      <c r="D282" s="133"/>
      <c r="E282" s="134"/>
      <c r="F282" s="134" t="s">
        <v>4933</v>
      </c>
      <c r="G282" s="184">
        <v>544763</v>
      </c>
      <c r="H282" s="138" t="s">
        <v>4934</v>
      </c>
      <c r="I282" s="138" t="s">
        <v>4934</v>
      </c>
      <c r="J282" s="138" t="s">
        <v>4935</v>
      </c>
      <c r="K282" s="138" t="s">
        <v>426</v>
      </c>
      <c r="L282" s="138"/>
      <c r="M282" s="138"/>
      <c r="N282" s="138"/>
      <c r="O282" s="138"/>
      <c r="P282" s="138"/>
      <c r="Q282" s="138" t="s">
        <v>6182</v>
      </c>
      <c r="R282" s="138" t="s">
        <v>6185</v>
      </c>
      <c r="S282" s="138" t="s">
        <v>6182</v>
      </c>
      <c r="T282" s="135">
        <v>226.44</v>
      </c>
      <c r="U282" s="185">
        <v>8.9999999999999998E-4</v>
      </c>
      <c r="V282" s="185">
        <v>9.1929999999999996E-4</v>
      </c>
      <c r="W282" s="185">
        <v>9.6594666237432569E-3</v>
      </c>
      <c r="X282" s="185">
        <v>8.9999999999999998E-4</v>
      </c>
      <c r="Y282" s="204">
        <v>7</v>
      </c>
      <c r="Z282" s="135">
        <v>8.1999999999999993</v>
      </c>
      <c r="AA282" s="135"/>
      <c r="AB282" s="135">
        <v>8.48</v>
      </c>
      <c r="AC282" s="135">
        <v>0.79</v>
      </c>
      <c r="AD282" s="135">
        <v>8.74</v>
      </c>
      <c r="AE282" s="135">
        <v>9.26</v>
      </c>
      <c r="AF282" s="135">
        <f t="shared" si="86"/>
        <v>8.74</v>
      </c>
      <c r="AG282" s="136">
        <v>7.38</v>
      </c>
      <c r="AH282" s="185">
        <v>29</v>
      </c>
      <c r="AI282" s="185">
        <v>0.47299999999999998</v>
      </c>
      <c r="AJ282" s="136">
        <f t="shared" si="87"/>
        <v>3.0738316715863041</v>
      </c>
      <c r="AK282" s="136">
        <f>LOG10(AI282*1000/(0.08206*298.15))</f>
        <v>1.2862948144251598</v>
      </c>
      <c r="AL282" s="136">
        <f t="shared" si="88"/>
        <v>1.2862948144251598</v>
      </c>
      <c r="AM282" s="136">
        <v>-1.3141400000000001</v>
      </c>
      <c r="AN282" s="186">
        <v>3.11</v>
      </c>
      <c r="AO282" s="481"/>
      <c r="AP282" s="481"/>
      <c r="AQ282" s="186" t="s">
        <v>6311</v>
      </c>
      <c r="AR282" s="186" t="s">
        <v>6311</v>
      </c>
      <c r="AS282" s="183"/>
      <c r="AT282" s="137" t="s">
        <v>266</v>
      </c>
      <c r="AU282" s="135">
        <v>6</v>
      </c>
      <c r="AV282" s="135">
        <v>120</v>
      </c>
      <c r="AW282" s="135">
        <v>114</v>
      </c>
      <c r="AX282" s="135">
        <v>28</v>
      </c>
      <c r="AY282" s="135" t="s">
        <v>8728</v>
      </c>
      <c r="AZ282" s="135" t="s">
        <v>1563</v>
      </c>
      <c r="BA282" s="135">
        <v>32</v>
      </c>
      <c r="BB282" s="138" t="s">
        <v>2485</v>
      </c>
      <c r="BC282" s="458" t="s">
        <v>8726</v>
      </c>
      <c r="BD282" s="138" t="s">
        <v>8374</v>
      </c>
      <c r="BE282" s="135" t="s">
        <v>2449</v>
      </c>
      <c r="BF282" s="135" t="s">
        <v>272</v>
      </c>
      <c r="BG282" s="135" t="s">
        <v>272</v>
      </c>
      <c r="BH282" s="135" t="s">
        <v>2486</v>
      </c>
      <c r="BI282" s="185">
        <v>1.4492159999999999E-3</v>
      </c>
      <c r="BJ282" s="185">
        <v>14.49216</v>
      </c>
      <c r="BK282" s="135"/>
      <c r="BL282" s="485">
        <v>5.0272808310504848E-4</v>
      </c>
      <c r="BM282" s="138" t="s">
        <v>2487</v>
      </c>
      <c r="BN282" s="135"/>
      <c r="BO282" s="135"/>
      <c r="BP282" s="135"/>
      <c r="BQ282" s="135"/>
      <c r="BR282" s="138" t="e">
        <v>#VALUE!</v>
      </c>
      <c r="BS282" s="135"/>
      <c r="BT282" s="135"/>
      <c r="BU282" s="135"/>
      <c r="BV282" s="135"/>
      <c r="BW282" s="135"/>
      <c r="BX282" s="135"/>
      <c r="BY282" s="135"/>
      <c r="BZ282" s="135"/>
      <c r="CA282" s="135"/>
      <c r="CB282" s="135"/>
      <c r="CC282" s="135"/>
      <c r="CD282" s="135"/>
      <c r="CE282" s="135"/>
      <c r="CF282" s="135"/>
      <c r="CG282" s="135"/>
      <c r="CH282" s="135"/>
      <c r="CI282" s="185"/>
      <c r="CJ282" s="187"/>
      <c r="CK282" s="136">
        <f t="shared" si="78"/>
        <v>3.4689658622665527E-5</v>
      </c>
      <c r="CL282" s="188"/>
      <c r="CM282" s="188"/>
      <c r="CN282" s="188"/>
      <c r="CO282" s="138" t="s">
        <v>2488</v>
      </c>
      <c r="CP282" s="189" t="s">
        <v>2489</v>
      </c>
      <c r="CQ282" s="191" t="s">
        <v>272</v>
      </c>
      <c r="CR282" s="191"/>
      <c r="CS282" s="135" t="s">
        <v>539</v>
      </c>
      <c r="CT282" s="135"/>
      <c r="CU282" s="135"/>
      <c r="CV282" s="332">
        <f t="shared" si="79"/>
        <v>6.2102543720190774E-5</v>
      </c>
      <c r="CW282" s="329">
        <f t="shared" si="84"/>
        <v>0</v>
      </c>
      <c r="CX282" s="329"/>
      <c r="CY282" s="189" t="s">
        <v>6351</v>
      </c>
    </row>
    <row r="283" spans="1:103" ht="11.25" customHeight="1" x14ac:dyDescent="0.2">
      <c r="A283" s="72">
        <v>568</v>
      </c>
      <c r="B283" s="183">
        <v>1793</v>
      </c>
      <c r="C283" s="133" t="s">
        <v>6846</v>
      </c>
      <c r="D283" s="133"/>
      <c r="E283" s="134"/>
      <c r="F283" s="134" t="s">
        <v>5160</v>
      </c>
      <c r="G283" s="184">
        <v>556672</v>
      </c>
      <c r="H283" s="138" t="s">
        <v>5161</v>
      </c>
      <c r="I283" s="138" t="s">
        <v>5161</v>
      </c>
      <c r="J283" s="138" t="s">
        <v>5162</v>
      </c>
      <c r="K283" s="138" t="s">
        <v>426</v>
      </c>
      <c r="L283" s="138"/>
      <c r="M283" s="138"/>
      <c r="N283" s="138"/>
      <c r="O283" s="138"/>
      <c r="P283" s="138"/>
      <c r="Q283" s="138"/>
      <c r="R283" s="138"/>
      <c r="S283" s="138"/>
      <c r="T283" s="135">
        <v>296.62</v>
      </c>
      <c r="U283" s="185">
        <v>5.000000000000001E-3</v>
      </c>
      <c r="V283" s="185">
        <v>6.1240000000000003E-2</v>
      </c>
      <c r="W283" s="185"/>
      <c r="X283" s="185">
        <v>5.000000000000001E-3</v>
      </c>
      <c r="Y283" s="204"/>
      <c r="Z283" s="135">
        <v>6.79</v>
      </c>
      <c r="AA283" s="135">
        <v>6.74</v>
      </c>
      <c r="AB283" s="135">
        <v>4.43</v>
      </c>
      <c r="AC283" s="135">
        <v>0.79510000000000003</v>
      </c>
      <c r="AD283" s="135">
        <v>4.42</v>
      </c>
      <c r="AE283" s="135"/>
      <c r="AF283" s="135">
        <f t="shared" si="86"/>
        <v>6.74</v>
      </c>
      <c r="AG283" s="136">
        <v>4.67</v>
      </c>
      <c r="AH283" s="185">
        <v>8.72E-2</v>
      </c>
      <c r="AI283" s="185">
        <v>0.11700000000000001</v>
      </c>
      <c r="AJ283" s="136">
        <f t="shared" si="87"/>
        <v>0.55195015861991548</v>
      </c>
      <c r="AK283" s="136">
        <f>LOG10(AI283*1000/(0.08206*298.15))</f>
        <v>0.67961953543350984</v>
      </c>
      <c r="AL283" s="136">
        <f t="shared" si="88"/>
        <v>0.67961953543350984</v>
      </c>
      <c r="AM283" s="136">
        <v>-5.4666499999999996</v>
      </c>
      <c r="AN283" s="186">
        <v>1.29</v>
      </c>
      <c r="AO283" s="481"/>
      <c r="AP283" s="481"/>
      <c r="AQ283" s="186" t="s">
        <v>6311</v>
      </c>
      <c r="AR283" s="186" t="s">
        <v>6311</v>
      </c>
      <c r="AS283" s="183"/>
      <c r="AT283" s="137" t="s">
        <v>266</v>
      </c>
      <c r="AU283" s="135">
        <v>6</v>
      </c>
      <c r="AV283" s="135">
        <v>120</v>
      </c>
      <c r="AW283" s="135">
        <v>114</v>
      </c>
      <c r="AX283" s="135">
        <v>28</v>
      </c>
      <c r="AY283" s="135" t="s">
        <v>8728</v>
      </c>
      <c r="AZ283" s="135" t="s">
        <v>1563</v>
      </c>
      <c r="BA283" s="135">
        <v>32</v>
      </c>
      <c r="BB283" s="138" t="s">
        <v>2485</v>
      </c>
      <c r="BC283" s="458" t="s">
        <v>8726</v>
      </c>
      <c r="BD283" s="138" t="s">
        <v>8374</v>
      </c>
      <c r="BE283" s="135" t="s">
        <v>2449</v>
      </c>
      <c r="BF283" s="135" t="s">
        <v>272</v>
      </c>
      <c r="BG283" s="135" t="s">
        <v>272</v>
      </c>
      <c r="BH283" s="135" t="s">
        <v>2486</v>
      </c>
      <c r="BI283" s="185">
        <v>1.8983679999999999E-3</v>
      </c>
      <c r="BJ283" s="185">
        <v>18.98368</v>
      </c>
      <c r="BK283" s="135"/>
      <c r="BL283" s="485">
        <v>1.2159100009085894E-2</v>
      </c>
      <c r="BM283" s="138" t="s">
        <v>2487</v>
      </c>
      <c r="BN283" s="135"/>
      <c r="BO283" s="135"/>
      <c r="BP283" s="135"/>
      <c r="BQ283" s="135"/>
      <c r="BR283" s="138" t="e">
        <v>#VALUE!</v>
      </c>
      <c r="BS283" s="135"/>
      <c r="BT283" s="135"/>
      <c r="BU283" s="135"/>
      <c r="BV283" s="135"/>
      <c r="BW283" s="135"/>
      <c r="BX283" s="135"/>
      <c r="BY283" s="135"/>
      <c r="BZ283" s="135"/>
      <c r="CA283" s="135"/>
      <c r="CB283" s="135"/>
      <c r="CC283" s="135"/>
      <c r="CD283" s="135"/>
      <c r="CE283" s="135"/>
      <c r="CF283" s="135"/>
      <c r="CG283" s="135"/>
      <c r="CH283" s="135"/>
      <c r="CI283" s="185"/>
      <c r="CJ283" s="187"/>
      <c r="CK283" s="136">
        <f t="shared" si="78"/>
        <v>6.4050279024329814E-4</v>
      </c>
      <c r="CL283" s="188"/>
      <c r="CM283" s="188"/>
      <c r="CN283" s="188"/>
      <c r="CO283" s="138" t="s">
        <v>2488</v>
      </c>
      <c r="CP283" s="189" t="s">
        <v>2489</v>
      </c>
      <c r="CQ283" s="191" t="s">
        <v>272</v>
      </c>
      <c r="CR283" s="191"/>
      <c r="CS283" s="135" t="s">
        <v>539</v>
      </c>
      <c r="CT283" s="135"/>
      <c r="CU283" s="135"/>
      <c r="CV283" s="332">
        <f t="shared" si="79"/>
        <v>2.6338412784033448E-4</v>
      </c>
      <c r="CW283" s="329">
        <f t="shared" si="84"/>
        <v>0</v>
      </c>
      <c r="CX283" s="329"/>
      <c r="CY283" s="189" t="s">
        <v>6351</v>
      </c>
    </row>
    <row r="284" spans="1:103" ht="11.25" customHeight="1" x14ac:dyDescent="0.2">
      <c r="A284" s="72">
        <v>569</v>
      </c>
      <c r="B284" s="183">
        <v>1600</v>
      </c>
      <c r="C284" s="133" t="s">
        <v>1103</v>
      </c>
      <c r="D284" s="133" t="s">
        <v>6468</v>
      </c>
      <c r="E284" s="134"/>
      <c r="F284" s="134" t="s">
        <v>1104</v>
      </c>
      <c r="G284" s="184">
        <v>115322</v>
      </c>
      <c r="H284" s="138" t="s">
        <v>1105</v>
      </c>
      <c r="I284" s="138" t="s">
        <v>7933</v>
      </c>
      <c r="J284" s="138" t="s">
        <v>1106</v>
      </c>
      <c r="K284" s="138" t="s">
        <v>1107</v>
      </c>
      <c r="L284" s="138" t="s">
        <v>617</v>
      </c>
      <c r="M284" s="197" t="s">
        <v>6078</v>
      </c>
      <c r="N284" s="138" t="s">
        <v>6376</v>
      </c>
      <c r="O284" s="138" t="s">
        <v>6083</v>
      </c>
      <c r="P284" s="138"/>
      <c r="Q284" s="138" t="s">
        <v>6173</v>
      </c>
      <c r="R284" s="138" t="s">
        <v>6175</v>
      </c>
      <c r="S284" s="138" t="s">
        <v>6176</v>
      </c>
      <c r="T284" s="135">
        <v>370.48</v>
      </c>
      <c r="U284" s="185">
        <v>0.8</v>
      </c>
      <c r="V284" s="185">
        <v>0.7772</v>
      </c>
      <c r="W284" s="185">
        <v>1.3451315773122696</v>
      </c>
      <c r="X284" s="185">
        <v>0.8</v>
      </c>
      <c r="Y284" s="204">
        <v>7</v>
      </c>
      <c r="Z284" s="135">
        <v>5.81</v>
      </c>
      <c r="AA284" s="135">
        <v>5.0199999999999996</v>
      </c>
      <c r="AB284" s="135">
        <v>5.0999999999999996</v>
      </c>
      <c r="AC284" s="135">
        <v>0.69640000000000002</v>
      </c>
      <c r="AD284" s="135">
        <v>5.33</v>
      </c>
      <c r="AE284" s="135">
        <v>5.74</v>
      </c>
      <c r="AF284" s="135">
        <f t="shared" si="86"/>
        <v>5.0199999999999996</v>
      </c>
      <c r="AG284" s="136">
        <v>5.73</v>
      </c>
      <c r="AH284" s="185">
        <v>5.5900000000000003E-10</v>
      </c>
      <c r="AI284" s="185">
        <v>2.4200000000000002E-7</v>
      </c>
      <c r="AJ284" s="136">
        <f t="shared" si="87"/>
        <v>-7.6411545184262284</v>
      </c>
      <c r="AK284" s="136">
        <f>LOG10(AI284*1000/(0.08206*298.15))</f>
        <v>-5.0047509603322204</v>
      </c>
      <c r="AL284" s="136">
        <f t="shared" si="88"/>
        <v>-5.0047509603322204</v>
      </c>
      <c r="AM284" s="136">
        <v>-11.992599999999998</v>
      </c>
      <c r="AN284" s="186">
        <v>-5.87</v>
      </c>
      <c r="AO284" s="481">
        <v>10.7</v>
      </c>
      <c r="AP284" s="481"/>
      <c r="AQ284" s="135" t="s">
        <v>6311</v>
      </c>
      <c r="AR284" s="135" t="s">
        <v>6311</v>
      </c>
      <c r="AS284" s="190"/>
      <c r="AT284" s="137" t="s">
        <v>266</v>
      </c>
      <c r="AU284" s="135">
        <v>6</v>
      </c>
      <c r="AV284" s="135">
        <v>120</v>
      </c>
      <c r="AW284" s="135">
        <v>114</v>
      </c>
      <c r="AX284" s="135">
        <v>28</v>
      </c>
      <c r="AY284" s="135" t="s">
        <v>8728</v>
      </c>
      <c r="AZ284" s="135" t="s">
        <v>1563</v>
      </c>
      <c r="BA284" s="135">
        <v>32</v>
      </c>
      <c r="BB284" s="138" t="s">
        <v>2485</v>
      </c>
      <c r="BC284" s="458" t="s">
        <v>8726</v>
      </c>
      <c r="BD284" s="138" t="s">
        <v>8374</v>
      </c>
      <c r="BE284" s="135" t="s">
        <v>2449</v>
      </c>
      <c r="BF284" s="135" t="s">
        <v>272</v>
      </c>
      <c r="BG284" s="135" t="s">
        <v>272</v>
      </c>
      <c r="BH284" s="135" t="s">
        <v>2486</v>
      </c>
      <c r="BI284" s="185">
        <v>2.3710720000000001E-3</v>
      </c>
      <c r="BJ284" s="185">
        <v>23.710720000000002</v>
      </c>
      <c r="BK284" s="135"/>
      <c r="BL284" s="485">
        <v>0.11524013755149283</v>
      </c>
      <c r="BM284" s="138" t="s">
        <v>2487</v>
      </c>
      <c r="BN284" s="135"/>
      <c r="BO284" s="135"/>
      <c r="BP284" s="135"/>
      <c r="BQ284" s="135"/>
      <c r="BR284" s="138" t="e">
        <v>#VALUE!</v>
      </c>
      <c r="BS284" s="135"/>
      <c r="BT284" s="135"/>
      <c r="BU284" s="135"/>
      <c r="BV284" s="135"/>
      <c r="BW284" s="135"/>
      <c r="BX284" s="135"/>
      <c r="BY284" s="135"/>
      <c r="BZ284" s="135"/>
      <c r="CA284" s="135"/>
      <c r="CB284" s="135"/>
      <c r="CC284" s="135"/>
      <c r="CD284" s="135"/>
      <c r="CE284" s="135"/>
      <c r="CF284" s="135"/>
      <c r="CG284" s="135"/>
      <c r="CH284" s="135"/>
      <c r="CI284" s="185"/>
      <c r="CJ284" s="187"/>
      <c r="CK284" s="136">
        <f t="shared" si="78"/>
        <v>4.8602546675720016E-3</v>
      </c>
      <c r="CL284" s="188"/>
      <c r="CM284" s="188">
        <v>-0.53554513827166594</v>
      </c>
      <c r="CN284" s="188">
        <f>BJ284/(10^CM284)</f>
        <v>81.374789892549671</v>
      </c>
      <c r="CO284" s="138" t="s">
        <v>2488</v>
      </c>
      <c r="CP284" s="189" t="s">
        <v>2489</v>
      </c>
      <c r="CQ284" s="183">
        <v>-0.2050747691610407</v>
      </c>
      <c r="CR284" s="191">
        <f>10^(CJ284-CQ284)</f>
        <v>1.603521432954514</v>
      </c>
      <c r="CS284" s="135" t="s">
        <v>539</v>
      </c>
      <c r="CT284" s="135"/>
      <c r="CU284" s="135"/>
      <c r="CV284" s="332">
        <f t="shared" si="79"/>
        <v>3.3740012956164973E-2</v>
      </c>
      <c r="CW284" s="329">
        <f t="shared" si="84"/>
        <v>0</v>
      </c>
      <c r="CX284" s="329"/>
      <c r="CY284" s="189" t="s">
        <v>5921</v>
      </c>
    </row>
    <row r="285" spans="1:103" ht="11.25" customHeight="1" x14ac:dyDescent="0.2">
      <c r="A285" s="72">
        <v>571</v>
      </c>
      <c r="B285" s="183">
        <v>1805</v>
      </c>
      <c r="C285" s="133" t="s">
        <v>6847</v>
      </c>
      <c r="D285" s="133"/>
      <c r="E285" s="134"/>
      <c r="F285" s="134" t="s">
        <v>5186</v>
      </c>
      <c r="G285" s="184">
        <v>629629</v>
      </c>
      <c r="H285" s="138" t="s">
        <v>5187</v>
      </c>
      <c r="I285" s="138" t="s">
        <v>5187</v>
      </c>
      <c r="J285" s="138" t="s">
        <v>5188</v>
      </c>
      <c r="K285" s="138" t="s">
        <v>426</v>
      </c>
      <c r="L285" s="138"/>
      <c r="M285" s="138"/>
      <c r="N285" s="138"/>
      <c r="O285" s="138"/>
      <c r="P285" s="138"/>
      <c r="Q285" s="138" t="s">
        <v>6182</v>
      </c>
      <c r="R285" s="138" t="s">
        <v>6185</v>
      </c>
      <c r="S285" s="138" t="s">
        <v>6182</v>
      </c>
      <c r="T285" s="135">
        <v>212.41</v>
      </c>
      <c r="U285" s="185">
        <v>7.6000000000000004E-5</v>
      </c>
      <c r="V285" s="185">
        <v>2.8660000000000001E-3</v>
      </c>
      <c r="W285" s="185">
        <v>2.1241000000000001E-6</v>
      </c>
      <c r="X285" s="185">
        <v>7.6000000000000004E-5</v>
      </c>
      <c r="Y285" s="204">
        <v>7</v>
      </c>
      <c r="Z285" s="135">
        <v>7.71</v>
      </c>
      <c r="AA285" s="135"/>
      <c r="AB285" s="135">
        <v>8.1</v>
      </c>
      <c r="AC285" s="135">
        <v>0.82840000000000003</v>
      </c>
      <c r="AD285" s="135">
        <v>8.2899999999999991</v>
      </c>
      <c r="AE285" s="135">
        <v>8.73</v>
      </c>
      <c r="AF285" s="135">
        <f t="shared" si="86"/>
        <v>8.2899999999999991</v>
      </c>
      <c r="AG285" s="136">
        <v>6.94</v>
      </c>
      <c r="AH285" s="185">
        <v>21.9</v>
      </c>
      <c r="AI285" s="185">
        <v>12.6</v>
      </c>
      <c r="AJ285" s="136">
        <f t="shared" si="87"/>
        <v>2.9518777885274665</v>
      </c>
      <c r="AK285" s="136">
        <f>LOG10(AI285*1000/(0.08206*298.15))</f>
        <v>2.711804218804911</v>
      </c>
      <c r="AL285" s="136">
        <f t="shared" si="88"/>
        <v>2.711804218804911</v>
      </c>
      <c r="AM285" s="136">
        <v>-1.20977</v>
      </c>
      <c r="AN285" s="186">
        <v>2.98</v>
      </c>
      <c r="AO285" s="481"/>
      <c r="AP285" s="481"/>
      <c r="AQ285" s="186" t="s">
        <v>6311</v>
      </c>
      <c r="AR285" s="186" t="s">
        <v>6311</v>
      </c>
      <c r="AS285" s="183"/>
      <c r="AT285" s="137" t="s">
        <v>266</v>
      </c>
      <c r="AU285" s="135">
        <v>6</v>
      </c>
      <c r="AV285" s="135">
        <v>120</v>
      </c>
      <c r="AW285" s="135">
        <v>114</v>
      </c>
      <c r="AX285" s="135">
        <v>28</v>
      </c>
      <c r="AY285" s="135" t="s">
        <v>8728</v>
      </c>
      <c r="AZ285" s="135" t="s">
        <v>1563</v>
      </c>
      <c r="BA285" s="135">
        <v>32</v>
      </c>
      <c r="BB285" s="138" t="s">
        <v>2485</v>
      </c>
      <c r="BC285" s="458" t="s">
        <v>8726</v>
      </c>
      <c r="BD285" s="138" t="s">
        <v>8374</v>
      </c>
      <c r="BE285" s="135" t="s">
        <v>2449</v>
      </c>
      <c r="BF285" s="135" t="s">
        <v>272</v>
      </c>
      <c r="BG285" s="135" t="s">
        <v>272</v>
      </c>
      <c r="BH285" s="135" t="s">
        <v>2486</v>
      </c>
      <c r="BI285" s="185">
        <v>1.3594239999999999E-3</v>
      </c>
      <c r="BJ285" s="185">
        <v>13.594239999999999</v>
      </c>
      <c r="BK285" s="135"/>
      <c r="BL285" s="485">
        <v>1.2990442919374732E-3</v>
      </c>
      <c r="BM285" s="138" t="s">
        <v>2487</v>
      </c>
      <c r="BN285" s="135"/>
      <c r="BO285" s="135"/>
      <c r="BP285" s="135"/>
      <c r="BQ285" s="135"/>
      <c r="BR285" s="138" t="e">
        <v>#VALUE!</v>
      </c>
      <c r="BS285" s="135"/>
      <c r="BT285" s="135"/>
      <c r="BU285" s="135"/>
      <c r="BV285" s="135"/>
      <c r="BW285" s="135"/>
      <c r="BX285" s="135"/>
      <c r="BY285" s="135"/>
      <c r="BZ285" s="135"/>
      <c r="CA285" s="135"/>
      <c r="CB285" s="135"/>
      <c r="CC285" s="135"/>
      <c r="CD285" s="135"/>
      <c r="CE285" s="135"/>
      <c r="CF285" s="135"/>
      <c r="CG285" s="135"/>
      <c r="CH285" s="135"/>
      <c r="CI285" s="185"/>
      <c r="CJ285" s="187"/>
      <c r="CK285" s="136">
        <f t="shared" si="78"/>
        <v>9.5558434449993026E-5</v>
      </c>
      <c r="CL285" s="188"/>
      <c r="CM285" s="188"/>
      <c r="CN285" s="188"/>
      <c r="CO285" s="138" t="s">
        <v>2488</v>
      </c>
      <c r="CP285" s="189" t="s">
        <v>2489</v>
      </c>
      <c r="CQ285" s="191" t="s">
        <v>272</v>
      </c>
      <c r="CR285" s="191"/>
      <c r="CS285" s="135" t="s">
        <v>539</v>
      </c>
      <c r="CT285" s="135"/>
      <c r="CU285" s="135"/>
      <c r="CV285" s="332">
        <f t="shared" si="79"/>
        <v>5.5906030789510857E-6</v>
      </c>
      <c r="CW285" s="329">
        <f t="shared" si="84"/>
        <v>0</v>
      </c>
      <c r="CX285" s="329"/>
      <c r="CY285" s="189" t="s">
        <v>6351</v>
      </c>
    </row>
    <row r="286" spans="1:103" ht="11.25" customHeight="1" x14ac:dyDescent="0.2">
      <c r="A286" s="72">
        <v>572</v>
      </c>
      <c r="B286" s="183">
        <v>1356</v>
      </c>
      <c r="C286" s="133" t="s">
        <v>6848</v>
      </c>
      <c r="D286" s="133"/>
      <c r="E286" s="134"/>
      <c r="F286" s="134" t="s">
        <v>4192</v>
      </c>
      <c r="G286" s="184">
        <v>629765</v>
      </c>
      <c r="H286" s="138" t="s">
        <v>4193</v>
      </c>
      <c r="I286" s="138" t="s">
        <v>4193</v>
      </c>
      <c r="J286" s="138" t="s">
        <v>4194</v>
      </c>
      <c r="K286" s="138" t="s">
        <v>426</v>
      </c>
      <c r="L286" s="138"/>
      <c r="M286" s="138"/>
      <c r="N286" s="138"/>
      <c r="O286" s="138"/>
      <c r="P286" s="138" t="s">
        <v>6183</v>
      </c>
      <c r="Q286" s="138" t="s">
        <v>6173</v>
      </c>
      <c r="R286" s="138" t="s">
        <v>6185</v>
      </c>
      <c r="S286" s="138" t="s">
        <v>6182</v>
      </c>
      <c r="T286" s="135">
        <v>228.41</v>
      </c>
      <c r="U286" s="185">
        <v>0.10299999999999999</v>
      </c>
      <c r="V286" s="185">
        <v>0.46800000000000003</v>
      </c>
      <c r="W286" s="185">
        <v>9.9704581241976148E-2</v>
      </c>
      <c r="X286" s="185">
        <v>0.10299999999999999</v>
      </c>
      <c r="Y286" s="204">
        <v>7</v>
      </c>
      <c r="Z286" s="135">
        <v>6.24</v>
      </c>
      <c r="AA286" s="135"/>
      <c r="AB286" s="135">
        <v>6.51</v>
      </c>
      <c r="AC286" s="135">
        <v>0.89990000000000003</v>
      </c>
      <c r="AD286" s="135">
        <v>6.56</v>
      </c>
      <c r="AE286" s="135">
        <v>6.72</v>
      </c>
      <c r="AF286" s="135">
        <f t="shared" si="86"/>
        <v>6.56</v>
      </c>
      <c r="AG286" s="136">
        <v>5.73</v>
      </c>
      <c r="AH286" s="185">
        <v>2.2499999999999999E-4</v>
      </c>
      <c r="AI286" s="185"/>
      <c r="AJ286" s="136">
        <f t="shared" si="87"/>
        <v>-2.0363838082012893</v>
      </c>
      <c r="AK286" s="136"/>
      <c r="AL286" s="136">
        <f t="shared" si="88"/>
        <v>-2.0363838082012893</v>
      </c>
      <c r="AM286" s="136">
        <v>-4.8518599999999994</v>
      </c>
      <c r="AN286" s="186">
        <v>-1.85</v>
      </c>
      <c r="AO286" s="481">
        <v>15.2</v>
      </c>
      <c r="AP286" s="481"/>
      <c r="AQ286" s="135" t="s">
        <v>6311</v>
      </c>
      <c r="AR286" s="135" t="s">
        <v>6311</v>
      </c>
      <c r="AS286" s="190"/>
      <c r="AT286" s="137" t="s">
        <v>266</v>
      </c>
      <c r="AU286" s="135">
        <v>6</v>
      </c>
      <c r="AV286" s="135">
        <v>120</v>
      </c>
      <c r="AW286" s="135">
        <v>114</v>
      </c>
      <c r="AX286" s="135">
        <v>28</v>
      </c>
      <c r="AY286" s="135" t="s">
        <v>8728</v>
      </c>
      <c r="AZ286" s="135" t="s">
        <v>1563</v>
      </c>
      <c r="BA286" s="135">
        <v>32</v>
      </c>
      <c r="BB286" s="138" t="s">
        <v>2485</v>
      </c>
      <c r="BC286" s="458" t="s">
        <v>8726</v>
      </c>
      <c r="BD286" s="208" t="s">
        <v>8374</v>
      </c>
      <c r="BE286" s="135" t="s">
        <v>2449</v>
      </c>
      <c r="BF286" s="135" t="s">
        <v>272</v>
      </c>
      <c r="BG286" s="135" t="s">
        <v>272</v>
      </c>
      <c r="BH286" s="135" t="s">
        <v>2486</v>
      </c>
      <c r="BI286" s="185">
        <v>1.4618239999999998E-3</v>
      </c>
      <c r="BJ286" s="185">
        <v>14.61824</v>
      </c>
      <c r="BK286" s="135"/>
      <c r="BL286" s="485">
        <v>2.9199210824326947E-2</v>
      </c>
      <c r="BM286" s="138" t="s">
        <v>2487</v>
      </c>
      <c r="BN286" s="135"/>
      <c r="BO286" s="135"/>
      <c r="BP286" s="135"/>
      <c r="BQ286" s="135"/>
      <c r="BR286" s="138" t="e">
        <v>#VALUE!</v>
      </c>
      <c r="BS286" s="135"/>
      <c r="BT286" s="135"/>
      <c r="BU286" s="135"/>
      <c r="BV286" s="135"/>
      <c r="BW286" s="135"/>
      <c r="BX286" s="135"/>
      <c r="BY286" s="135"/>
      <c r="BZ286" s="135"/>
      <c r="CA286" s="135"/>
      <c r="CB286" s="135"/>
      <c r="CC286" s="135"/>
      <c r="CD286" s="135"/>
      <c r="CE286" s="135"/>
      <c r="CF286" s="135"/>
      <c r="CG286" s="135"/>
      <c r="CH286" s="135"/>
      <c r="CI286" s="185"/>
      <c r="CJ286" s="187"/>
      <c r="CK286" s="136">
        <f t="shared" si="78"/>
        <v>1.9974505018611642E-3</v>
      </c>
      <c r="CL286" s="188"/>
      <c r="CM286" s="188"/>
      <c r="CN286" s="188"/>
      <c r="CO286" s="138" t="s">
        <v>2488</v>
      </c>
      <c r="CP286" s="189" t="s">
        <v>2489</v>
      </c>
      <c r="CQ286" s="191" t="s">
        <v>272</v>
      </c>
      <c r="CR286" s="191"/>
      <c r="CS286" s="135" t="s">
        <v>539</v>
      </c>
      <c r="CT286" s="135"/>
      <c r="CU286" s="135"/>
      <c r="CV286" s="332">
        <f t="shared" si="79"/>
        <v>7.0459918567488287E-3</v>
      </c>
      <c r="CW286" s="329">
        <f t="shared" si="84"/>
        <v>0</v>
      </c>
      <c r="CX286" s="329"/>
      <c r="CY286" s="189" t="s">
        <v>5921</v>
      </c>
    </row>
    <row r="287" spans="1:103" ht="11.25" customHeight="1" x14ac:dyDescent="0.2">
      <c r="A287" s="72">
        <v>573</v>
      </c>
      <c r="B287" s="183">
        <v>895</v>
      </c>
      <c r="C287" s="133" t="s">
        <v>6849</v>
      </c>
      <c r="D287" s="133"/>
      <c r="E287" s="134"/>
      <c r="F287" s="134" t="s">
        <v>2549</v>
      </c>
      <c r="G287" s="184">
        <v>678397</v>
      </c>
      <c r="H287" s="138" t="s">
        <v>2550</v>
      </c>
      <c r="I287" s="138" t="s">
        <v>2550</v>
      </c>
      <c r="J287" s="138" t="s">
        <v>2551</v>
      </c>
      <c r="K287" s="138" t="s">
        <v>426</v>
      </c>
      <c r="L287" s="138"/>
      <c r="M287" s="138"/>
      <c r="N287" s="138"/>
      <c r="O287" s="138"/>
      <c r="P287" s="138"/>
      <c r="Q287" s="138"/>
      <c r="R287" s="138"/>
      <c r="S287" s="138"/>
      <c r="T287" s="135">
        <v>464.12</v>
      </c>
      <c r="U287" s="185"/>
      <c r="V287" s="185">
        <v>6.7369999999999999E-2</v>
      </c>
      <c r="W287" s="185">
        <v>4.4323115902426879</v>
      </c>
      <c r="X287" s="185">
        <v>4.4323115902426879</v>
      </c>
      <c r="Y287" s="204">
        <v>7</v>
      </c>
      <c r="Z287" s="135">
        <v>5.75</v>
      </c>
      <c r="AA287" s="135">
        <v>5.58</v>
      </c>
      <c r="AB287" s="135">
        <v>5.47</v>
      </c>
      <c r="AC287" s="135">
        <v>0.50749999999999995</v>
      </c>
      <c r="AD287" s="135">
        <v>5.68</v>
      </c>
      <c r="AE287" s="135">
        <v>5.94</v>
      </c>
      <c r="AF287" s="135">
        <f t="shared" si="86"/>
        <v>5.58</v>
      </c>
      <c r="AG287" s="136">
        <v>4.49</v>
      </c>
      <c r="AH287" s="185">
        <v>4.1399999999999997</v>
      </c>
      <c r="AI287" s="185"/>
      <c r="AJ287" s="136">
        <f t="shared" si="87"/>
        <v>2.2284340148082471</v>
      </c>
      <c r="AK287" s="136"/>
      <c r="AL287" s="136">
        <f t="shared" si="88"/>
        <v>2.2284340148082471</v>
      </c>
      <c r="AM287" s="136">
        <v>0.86612000000000011</v>
      </c>
      <c r="AN287" s="186">
        <v>-1.51</v>
      </c>
      <c r="AO287" s="481">
        <v>14.28</v>
      </c>
      <c r="AP287" s="481"/>
      <c r="AQ287" s="135" t="s">
        <v>6311</v>
      </c>
      <c r="AR287" s="135" t="s">
        <v>6311</v>
      </c>
      <c r="AS287" s="190"/>
      <c r="AT287" s="137" t="s">
        <v>266</v>
      </c>
      <c r="AU287" s="135">
        <v>6</v>
      </c>
      <c r="AV287" s="135">
        <v>120</v>
      </c>
      <c r="AW287" s="135">
        <v>114</v>
      </c>
      <c r="AX287" s="135">
        <v>28</v>
      </c>
      <c r="AY287" s="135" t="s">
        <v>8728</v>
      </c>
      <c r="AZ287" s="135" t="s">
        <v>1563</v>
      </c>
      <c r="BA287" s="135">
        <v>32</v>
      </c>
      <c r="BB287" s="138" t="s">
        <v>2485</v>
      </c>
      <c r="BC287" s="458" t="s">
        <v>8726</v>
      </c>
      <c r="BD287" s="138" t="s">
        <v>8374</v>
      </c>
      <c r="BE287" s="135" t="s">
        <v>2449</v>
      </c>
      <c r="BF287" s="135" t="s">
        <v>272</v>
      </c>
      <c r="BG287" s="135" t="s">
        <v>272</v>
      </c>
      <c r="BH287" s="135" t="s">
        <v>2486</v>
      </c>
      <c r="BI287" s="185">
        <v>2.9703679999999997E-3</v>
      </c>
      <c r="BJ287" s="185">
        <v>29.703680000000002</v>
      </c>
      <c r="BK287" s="135"/>
      <c r="BL287" s="485">
        <v>0.16343884463742397</v>
      </c>
      <c r="BM287" s="138" t="s">
        <v>2487</v>
      </c>
      <c r="BN287" s="135"/>
      <c r="BO287" s="135"/>
      <c r="BP287" s="135"/>
      <c r="BQ287" s="135"/>
      <c r="BR287" s="138" t="e">
        <v>#VALUE!</v>
      </c>
      <c r="BS287" s="135"/>
      <c r="BT287" s="135"/>
      <c r="BU287" s="135">
        <v>0.29703680000000005</v>
      </c>
      <c r="BV287" s="135"/>
      <c r="BW287" s="135"/>
      <c r="BX287" s="135"/>
      <c r="BY287" s="135"/>
      <c r="BZ287" s="135"/>
      <c r="CA287" s="135"/>
      <c r="CB287" s="135"/>
      <c r="CC287" s="135"/>
      <c r="CD287" s="135"/>
      <c r="CE287" s="135"/>
      <c r="CF287" s="135"/>
      <c r="CG287" s="135"/>
      <c r="CH287" s="135"/>
      <c r="CI287" s="185"/>
      <c r="CJ287" s="187"/>
      <c r="CK287" s="136">
        <f t="shared" si="78"/>
        <v>5.5023096342750781E-3</v>
      </c>
      <c r="CL287" s="188"/>
      <c r="CM287" s="188"/>
      <c r="CN287" s="188"/>
      <c r="CO287" s="138" t="s">
        <v>2488</v>
      </c>
      <c r="CP287" s="189" t="s">
        <v>2489</v>
      </c>
      <c r="CQ287" s="191" t="s">
        <v>272</v>
      </c>
      <c r="CR287" s="191"/>
      <c r="CS287" s="135" t="s">
        <v>539</v>
      </c>
      <c r="CT287" s="135"/>
      <c r="CU287" s="135"/>
      <c r="CV287" s="332">
        <f t="shared" si="79"/>
        <v>0.14921759156584935</v>
      </c>
      <c r="CW287" s="329">
        <f t="shared" si="84"/>
        <v>0</v>
      </c>
      <c r="CX287" s="329"/>
      <c r="CY287" s="189" t="s">
        <v>5921</v>
      </c>
    </row>
    <row r="288" spans="1:103" ht="11.25" customHeight="1" x14ac:dyDescent="0.2">
      <c r="A288" s="72">
        <v>574</v>
      </c>
      <c r="B288" s="183">
        <v>1034</v>
      </c>
      <c r="C288" s="133" t="s">
        <v>2101</v>
      </c>
      <c r="D288" s="133" t="s">
        <v>6567</v>
      </c>
      <c r="E288" s="134"/>
      <c r="F288" s="134" t="s">
        <v>2102</v>
      </c>
      <c r="G288" s="184">
        <v>82657043</v>
      </c>
      <c r="H288" s="138" t="s">
        <v>2103</v>
      </c>
      <c r="I288" s="138" t="s">
        <v>7896</v>
      </c>
      <c r="J288" s="138" t="s">
        <v>2104</v>
      </c>
      <c r="K288" s="138" t="s">
        <v>1363</v>
      </c>
      <c r="L288" s="138" t="s">
        <v>617</v>
      </c>
      <c r="M288" s="138" t="s">
        <v>1086</v>
      </c>
      <c r="N288" s="138" t="s">
        <v>6376</v>
      </c>
      <c r="O288" s="138" t="s">
        <v>918</v>
      </c>
      <c r="P288" s="138"/>
      <c r="Q288" s="138"/>
      <c r="R288" s="138"/>
      <c r="S288" s="138"/>
      <c r="T288" s="135">
        <v>422.87</v>
      </c>
      <c r="U288" s="185">
        <v>0.1</v>
      </c>
      <c r="V288" s="185">
        <v>2.407E-4</v>
      </c>
      <c r="W288" s="185">
        <v>0.12479778456804128</v>
      </c>
      <c r="X288" s="185">
        <v>0.1</v>
      </c>
      <c r="Y288" s="204">
        <v>7</v>
      </c>
      <c r="Z288" s="135">
        <v>8.15</v>
      </c>
      <c r="AA288" s="135"/>
      <c r="AB288" s="135">
        <v>6.84</v>
      </c>
      <c r="AC288" s="135">
        <v>0.85719999999999996</v>
      </c>
      <c r="AD288" s="135">
        <v>6.93</v>
      </c>
      <c r="AE288" s="135">
        <v>7.3</v>
      </c>
      <c r="AF288" s="135">
        <f t="shared" si="86"/>
        <v>6.93</v>
      </c>
      <c r="AG288" s="136">
        <v>6.43</v>
      </c>
      <c r="AH288" s="185">
        <v>1.91E-5</v>
      </c>
      <c r="AI288" s="185">
        <v>9.9999999999999995E-7</v>
      </c>
      <c r="AJ288" s="136">
        <f t="shared" si="87"/>
        <v>-3.1075329590649243</v>
      </c>
      <c r="AK288" s="136">
        <f>LOG10(AI288*1000/(0.08206*298.15))</f>
        <v>-4.3885663263126515</v>
      </c>
      <c r="AL288" s="136">
        <f t="shared" si="88"/>
        <v>-4.3885663263126515</v>
      </c>
      <c r="AM288" s="136">
        <v>-9.5165900000000008</v>
      </c>
      <c r="AN288" s="186">
        <v>-4.72</v>
      </c>
      <c r="AO288" s="481"/>
      <c r="AP288" s="481"/>
      <c r="AQ288" s="135" t="s">
        <v>6311</v>
      </c>
      <c r="AR288" s="135" t="s">
        <v>6312</v>
      </c>
      <c r="AS288" s="190"/>
      <c r="AT288" s="137" t="s">
        <v>266</v>
      </c>
      <c r="AU288" s="135">
        <v>6</v>
      </c>
      <c r="AV288" s="135">
        <v>120</v>
      </c>
      <c r="AW288" s="135">
        <v>114</v>
      </c>
      <c r="AX288" s="135">
        <v>28</v>
      </c>
      <c r="AY288" s="135" t="s">
        <v>8728</v>
      </c>
      <c r="AZ288" s="135" t="s">
        <v>1563</v>
      </c>
      <c r="BA288" s="135">
        <v>32</v>
      </c>
      <c r="BB288" s="138" t="s">
        <v>2485</v>
      </c>
      <c r="BC288" s="458" t="s">
        <v>8726</v>
      </c>
      <c r="BD288" s="138" t="s">
        <v>8374</v>
      </c>
      <c r="BE288" s="135" t="s">
        <v>2449</v>
      </c>
      <c r="BF288" s="135" t="s">
        <v>272</v>
      </c>
      <c r="BG288" s="135" t="s">
        <v>272</v>
      </c>
      <c r="BH288" s="135" t="s">
        <v>2486</v>
      </c>
      <c r="BI288" s="185">
        <v>2.7063679999999998E-3</v>
      </c>
      <c r="BJ288" s="185">
        <v>27.063680000000002</v>
      </c>
      <c r="BK288" s="135"/>
      <c r="BL288" s="485">
        <v>1.0410986318262474E-3</v>
      </c>
      <c r="BM288" s="138" t="s">
        <v>2487</v>
      </c>
      <c r="BN288" s="135"/>
      <c r="BO288" s="135"/>
      <c r="BP288" s="135"/>
      <c r="BQ288" s="135"/>
      <c r="BR288" s="138" t="e">
        <v>#VALUE!</v>
      </c>
      <c r="BS288" s="135"/>
      <c r="BT288" s="135"/>
      <c r="BU288" s="135">
        <v>27.063680000000002</v>
      </c>
      <c r="BV288" s="135"/>
      <c r="BW288" s="135"/>
      <c r="BX288" s="135"/>
      <c r="BY288" s="135"/>
      <c r="BZ288" s="135"/>
      <c r="CA288" s="135"/>
      <c r="CB288" s="135"/>
      <c r="CC288" s="135"/>
      <c r="CD288" s="135"/>
      <c r="CE288" s="135"/>
      <c r="CF288" s="135"/>
      <c r="CG288" s="135"/>
      <c r="CH288" s="135"/>
      <c r="CI288" s="185"/>
      <c r="CJ288" s="187"/>
      <c r="CK288" s="136">
        <f t="shared" si="78"/>
        <v>3.8468479963783464E-5</v>
      </c>
      <c r="CL288" s="188"/>
      <c r="CM288" s="188">
        <v>-3.4634415574284714</v>
      </c>
      <c r="CN288" s="188">
        <f>BJ288/(10^CM288)</f>
        <v>78673.488372093358</v>
      </c>
      <c r="CO288" s="138" t="s">
        <v>2488</v>
      </c>
      <c r="CP288" s="189" t="s">
        <v>2489</v>
      </c>
      <c r="CQ288" s="183">
        <v>-2.9037207463261767</v>
      </c>
      <c r="CR288" s="191">
        <f>10^(CJ288-CQ288)</f>
        <v>801.16274580047934</v>
      </c>
      <c r="CS288" s="135" t="s">
        <v>539</v>
      </c>
      <c r="CT288" s="135"/>
      <c r="CU288" s="135"/>
      <c r="CV288" s="332">
        <f t="shared" si="79"/>
        <v>3.6949890037127251E-3</v>
      </c>
      <c r="CW288" s="329">
        <f t="shared" si="84"/>
        <v>0</v>
      </c>
      <c r="CX288" s="329"/>
      <c r="CY288" s="189" t="s">
        <v>5921</v>
      </c>
    </row>
    <row r="289" spans="1:103" ht="11.25" customHeight="1" x14ac:dyDescent="0.2">
      <c r="A289" s="72">
        <v>575</v>
      </c>
      <c r="B289" s="183">
        <v>1629</v>
      </c>
      <c r="C289" s="133" t="s">
        <v>6850</v>
      </c>
      <c r="D289" s="133"/>
      <c r="E289" s="134"/>
      <c r="F289" s="134" t="s">
        <v>4825</v>
      </c>
      <c r="G289" s="184">
        <v>744456</v>
      </c>
      <c r="H289" s="138" t="s">
        <v>4826</v>
      </c>
      <c r="I289" s="138" t="s">
        <v>4826</v>
      </c>
      <c r="J289" s="138" t="s">
        <v>4827</v>
      </c>
      <c r="K289" s="138" t="s">
        <v>357</v>
      </c>
      <c r="L289" s="140"/>
      <c r="M289" s="138"/>
      <c r="N289" s="138"/>
      <c r="O289" s="138"/>
      <c r="P289" s="138"/>
      <c r="Q289" s="138"/>
      <c r="R289" s="138"/>
      <c r="S289" s="138"/>
      <c r="T289" s="135">
        <v>318.32</v>
      </c>
      <c r="U289" s="185"/>
      <c r="V289" s="185">
        <v>3.0390000000000001</v>
      </c>
      <c r="W289" s="185">
        <v>7.462149164926371E-2</v>
      </c>
      <c r="X289" s="185">
        <v>7.462149164926371E-2</v>
      </c>
      <c r="Y289" s="204">
        <v>7</v>
      </c>
      <c r="Z289" s="135">
        <v>4.0999999999999996</v>
      </c>
      <c r="AA289" s="135"/>
      <c r="AB289" s="135">
        <v>4.67</v>
      </c>
      <c r="AC289" s="135">
        <v>0.80959999999999999</v>
      </c>
      <c r="AD289" s="135">
        <v>4.83</v>
      </c>
      <c r="AE289" s="135">
        <v>5.24</v>
      </c>
      <c r="AF289" s="135">
        <f t="shared" si="86"/>
        <v>4.83</v>
      </c>
      <c r="AG289" s="136">
        <v>7.07</v>
      </c>
      <c r="AH289" s="185">
        <v>3.0600000000000003E-8</v>
      </c>
      <c r="AI289" s="185"/>
      <c r="AJ289" s="136">
        <f t="shared" si="87"/>
        <v>-5.9028448998310719</v>
      </c>
      <c r="AK289" s="136"/>
      <c r="AL289" s="136">
        <f t="shared" si="88"/>
        <v>-5.9028448998310719</v>
      </c>
      <c r="AM289" s="136">
        <v>-13.59967</v>
      </c>
      <c r="AN289" s="186">
        <v>-22.6</v>
      </c>
      <c r="AO289" s="481"/>
      <c r="AP289" s="481"/>
      <c r="AQ289" s="186" t="s">
        <v>6311</v>
      </c>
      <c r="AR289" s="186" t="s">
        <v>6314</v>
      </c>
      <c r="AS289" s="183"/>
      <c r="AT289" s="137" t="s">
        <v>266</v>
      </c>
      <c r="AU289" s="135">
        <v>6</v>
      </c>
      <c r="AV289" s="135">
        <v>120</v>
      </c>
      <c r="AW289" s="135">
        <v>114</v>
      </c>
      <c r="AX289" s="135">
        <v>28</v>
      </c>
      <c r="AY289" s="135" t="s">
        <v>8728</v>
      </c>
      <c r="AZ289" s="135" t="s">
        <v>1563</v>
      </c>
      <c r="BA289" s="135">
        <v>32</v>
      </c>
      <c r="BB289" s="138" t="s">
        <v>2485</v>
      </c>
      <c r="BC289" s="458" t="s">
        <v>8726</v>
      </c>
      <c r="BD289" s="138" t="s">
        <v>8374</v>
      </c>
      <c r="BE289" s="135" t="s">
        <v>2449</v>
      </c>
      <c r="BF289" s="135" t="s">
        <v>272</v>
      </c>
      <c r="BG289" s="135" t="s">
        <v>272</v>
      </c>
      <c r="BH289" s="135" t="s">
        <v>2486</v>
      </c>
      <c r="BI289" s="185">
        <v>2.0372479999999998E-3</v>
      </c>
      <c r="BJ289" s="185">
        <v>20.372479999999999</v>
      </c>
      <c r="BK289" s="135"/>
      <c r="BL289" s="485">
        <v>3.3998043571074277</v>
      </c>
      <c r="BM289" s="138" t="s">
        <v>2487</v>
      </c>
      <c r="BN289" s="135"/>
      <c r="BO289" s="135"/>
      <c r="BP289" s="135"/>
      <c r="BQ289" s="135"/>
      <c r="BR289" s="138" t="e">
        <v>#VALUE!</v>
      </c>
      <c r="BS289" s="135"/>
      <c r="BT289" s="135"/>
      <c r="BU289" s="135"/>
      <c r="BV289" s="135"/>
      <c r="BW289" s="135"/>
      <c r="BX289" s="135"/>
      <c r="BY289" s="135"/>
      <c r="BZ289" s="135"/>
      <c r="CA289" s="135"/>
      <c r="CB289" s="135"/>
      <c r="CC289" s="135"/>
      <c r="CD289" s="135"/>
      <c r="CE289" s="135"/>
      <c r="CF289" s="135"/>
      <c r="CG289" s="135"/>
      <c r="CH289" s="135"/>
      <c r="CI289" s="185"/>
      <c r="CJ289" s="187"/>
      <c r="CK289" s="136">
        <f t="shared" si="78"/>
        <v>0.16688220369377846</v>
      </c>
      <c r="CL289" s="188"/>
      <c r="CM289" s="188"/>
      <c r="CN289" s="188"/>
      <c r="CO289" s="138" t="s">
        <v>2488</v>
      </c>
      <c r="CP289" s="189" t="s">
        <v>2489</v>
      </c>
      <c r="CQ289" s="191" t="s">
        <v>272</v>
      </c>
      <c r="CR289" s="191"/>
      <c r="CS289" s="135" t="s">
        <v>539</v>
      </c>
      <c r="CT289" s="135"/>
      <c r="CU289" s="135"/>
      <c r="CV289" s="332">
        <f t="shared" si="79"/>
        <v>3.662857523937376E-3</v>
      </c>
      <c r="CW289" s="329">
        <f t="shared" si="84"/>
        <v>0</v>
      </c>
      <c r="CX289" s="329"/>
      <c r="CY289" s="189" t="s">
        <v>5921</v>
      </c>
    </row>
    <row r="290" spans="1:103" ht="11.25" customHeight="1" x14ac:dyDescent="0.2">
      <c r="A290" s="72">
        <v>576</v>
      </c>
      <c r="B290" s="183">
        <v>1796</v>
      </c>
      <c r="C290" s="133" t="s">
        <v>6851</v>
      </c>
      <c r="D290" s="133"/>
      <c r="E290" s="134"/>
      <c r="F290" s="134" t="s">
        <v>5169</v>
      </c>
      <c r="G290" s="184">
        <v>789026</v>
      </c>
      <c r="H290" s="138" t="s">
        <v>5170</v>
      </c>
      <c r="I290" s="138" t="s">
        <v>7934</v>
      </c>
      <c r="J290" s="138" t="s">
        <v>5171</v>
      </c>
      <c r="K290" s="138" t="s">
        <v>426</v>
      </c>
      <c r="L290" s="138"/>
      <c r="M290" s="138"/>
      <c r="N290" s="138"/>
      <c r="O290" s="138"/>
      <c r="P290" s="138"/>
      <c r="Q290" s="138"/>
      <c r="R290" s="138"/>
      <c r="S290" s="138"/>
      <c r="T290" s="135">
        <v>354.48</v>
      </c>
      <c r="U290" s="185">
        <v>8.5000000000000006E-2</v>
      </c>
      <c r="V290" s="185">
        <v>9.1710000000000003E-3</v>
      </c>
      <c r="W290" s="185">
        <v>4.3610567387757239E-2</v>
      </c>
      <c r="X290" s="185">
        <v>8.5000000000000006E-2</v>
      </c>
      <c r="Y290" s="204">
        <v>7</v>
      </c>
      <c r="Z290" s="135">
        <v>6.79</v>
      </c>
      <c r="AA290" s="135"/>
      <c r="AB290" s="135">
        <v>6.33</v>
      </c>
      <c r="AC290" s="135">
        <v>0.82679999999999998</v>
      </c>
      <c r="AD290" s="135">
        <v>6.22</v>
      </c>
      <c r="AE290" s="135">
        <v>5.92</v>
      </c>
      <c r="AF290" s="135">
        <f t="shared" si="86"/>
        <v>6.22</v>
      </c>
      <c r="AG290" s="136">
        <v>6.54</v>
      </c>
      <c r="AH290" s="185">
        <v>1.5299999999999999E-5</v>
      </c>
      <c r="AI290" s="185">
        <v>7.4100000000000002E-6</v>
      </c>
      <c r="AJ290" s="136">
        <f t="shared" si="87"/>
        <v>-3.2038748954950531</v>
      </c>
      <c r="AK290" s="136">
        <f>LOG10(AI290*1000/(0.08206*298.15))</f>
        <v>-3.5187481183333236</v>
      </c>
      <c r="AL290" s="136">
        <f t="shared" si="88"/>
        <v>-3.5187481183333236</v>
      </c>
      <c r="AM290" s="136">
        <v>-7.4330299999999996</v>
      </c>
      <c r="AN290" s="186">
        <v>-4.3499999999999996</v>
      </c>
      <c r="AO290" s="481"/>
      <c r="AP290" s="481"/>
      <c r="AQ290" s="186" t="s">
        <v>6311</v>
      </c>
      <c r="AR290" s="186" t="s">
        <v>6311</v>
      </c>
      <c r="AS290" s="183"/>
      <c r="AT290" s="137" t="s">
        <v>266</v>
      </c>
      <c r="AU290" s="135">
        <v>6</v>
      </c>
      <c r="AV290" s="135">
        <v>120</v>
      </c>
      <c r="AW290" s="135">
        <v>114</v>
      </c>
      <c r="AX290" s="135">
        <v>28</v>
      </c>
      <c r="AY290" s="135" t="s">
        <v>8728</v>
      </c>
      <c r="AZ290" s="135" t="s">
        <v>1563</v>
      </c>
      <c r="BA290" s="135">
        <v>32</v>
      </c>
      <c r="BB290" s="138" t="s">
        <v>2485</v>
      </c>
      <c r="BC290" s="458" t="s">
        <v>8726</v>
      </c>
      <c r="BD290" s="138" t="s">
        <v>8374</v>
      </c>
      <c r="BE290" s="135" t="s">
        <v>2449</v>
      </c>
      <c r="BF290" s="135" t="s">
        <v>272</v>
      </c>
      <c r="BG290" s="135" t="s">
        <v>272</v>
      </c>
      <c r="BH290" s="135" t="s">
        <v>2486</v>
      </c>
      <c r="BI290" s="185">
        <v>2.2686720000000002E-3</v>
      </c>
      <c r="BJ290" s="185">
        <v>22.686720000000001</v>
      </c>
      <c r="BK290" s="135"/>
      <c r="BL290" s="485">
        <v>1.4530907461468437E-2</v>
      </c>
      <c r="BM290" s="138" t="s">
        <v>2487</v>
      </c>
      <c r="BN290" s="135"/>
      <c r="BO290" s="135"/>
      <c r="BP290" s="135"/>
      <c r="BQ290" s="135"/>
      <c r="BR290" s="138" t="e">
        <v>#VALUE!</v>
      </c>
      <c r="BS290" s="135"/>
      <c r="BT290" s="135"/>
      <c r="BU290" s="135"/>
      <c r="BV290" s="135"/>
      <c r="BW290" s="135"/>
      <c r="BX290" s="135"/>
      <c r="BY290" s="135"/>
      <c r="BZ290" s="135"/>
      <c r="CA290" s="135"/>
      <c r="CB290" s="135"/>
      <c r="CC290" s="135"/>
      <c r="CD290" s="135"/>
      <c r="CE290" s="135"/>
      <c r="CF290" s="135"/>
      <c r="CG290" s="135"/>
      <c r="CH290" s="135"/>
      <c r="CI290" s="185"/>
      <c r="CJ290" s="187"/>
      <c r="CK290" s="136">
        <f t="shared" si="78"/>
        <v>6.4050279024329814E-4</v>
      </c>
      <c r="CL290" s="188"/>
      <c r="CM290" s="188"/>
      <c r="CN290" s="188"/>
      <c r="CO290" s="138" t="s">
        <v>2488</v>
      </c>
      <c r="CP290" s="189" t="s">
        <v>2489</v>
      </c>
      <c r="CQ290" s="191" t="s">
        <v>272</v>
      </c>
      <c r="CR290" s="191"/>
      <c r="CS290" s="135" t="s">
        <v>539</v>
      </c>
      <c r="CT290" s="135"/>
      <c r="CU290" s="135"/>
      <c r="CV290" s="332">
        <f t="shared" si="79"/>
        <v>3.7466852854886033E-3</v>
      </c>
      <c r="CW290" s="329">
        <f t="shared" si="84"/>
        <v>0</v>
      </c>
      <c r="CX290" s="329"/>
      <c r="CY290" s="189" t="s">
        <v>5921</v>
      </c>
    </row>
    <row r="291" spans="1:103" ht="11.25" customHeight="1" x14ac:dyDescent="0.2">
      <c r="A291" s="72">
        <v>577</v>
      </c>
      <c r="B291" s="191">
        <v>1443</v>
      </c>
      <c r="C291" s="128" t="s">
        <v>6852</v>
      </c>
      <c r="D291" s="128"/>
      <c r="E291" s="129"/>
      <c r="F291" s="129" t="s">
        <v>4438</v>
      </c>
      <c r="G291" s="192">
        <v>826620</v>
      </c>
      <c r="H291" s="139" t="s">
        <v>4439</v>
      </c>
      <c r="I291" s="139" t="s">
        <v>4439</v>
      </c>
      <c r="J291" s="139" t="s">
        <v>4440</v>
      </c>
      <c r="K291" s="139" t="s">
        <v>426</v>
      </c>
      <c r="L291" s="139"/>
      <c r="M291" s="139"/>
      <c r="N291" s="138"/>
      <c r="O291" s="139"/>
      <c r="P291" s="138"/>
      <c r="Q291" s="138"/>
      <c r="R291" s="138"/>
      <c r="S291" s="138"/>
      <c r="T291" s="130">
        <v>164.16</v>
      </c>
      <c r="U291" s="187"/>
      <c r="V291" s="185">
        <v>1730.9999999999998</v>
      </c>
      <c r="W291" s="185">
        <v>17.18966224480355</v>
      </c>
      <c r="X291" s="185">
        <v>17.18966224480355</v>
      </c>
      <c r="Y291" s="194">
        <v>7</v>
      </c>
      <c r="Z291" s="130">
        <v>1.85</v>
      </c>
      <c r="AA291" s="130"/>
      <c r="AB291" s="130">
        <v>0.55000000000000004</v>
      </c>
      <c r="AC291" s="130">
        <v>0.51449999999999996</v>
      </c>
      <c r="AD291" s="130">
        <v>0.26</v>
      </c>
      <c r="AE291" s="130">
        <v>-0.04</v>
      </c>
      <c r="AF291" s="130">
        <f t="shared" si="86"/>
        <v>0.26</v>
      </c>
      <c r="AG291" s="131">
        <v>4.59</v>
      </c>
      <c r="AH291" s="187">
        <v>1.11E-5</v>
      </c>
      <c r="AI291" s="187"/>
      <c r="AJ291" s="136">
        <f t="shared" si="87"/>
        <v>-3.3432433475259944</v>
      </c>
      <c r="AK291" s="136"/>
      <c r="AL291" s="136">
        <f t="shared" si="88"/>
        <v>-3.3432433475259944</v>
      </c>
      <c r="AM291" s="136">
        <v>-12.148280000000002</v>
      </c>
      <c r="AN291" s="193">
        <v>-12.9</v>
      </c>
      <c r="AO291" s="481"/>
      <c r="AP291" s="481"/>
      <c r="AQ291" s="130" t="s">
        <v>6311</v>
      </c>
      <c r="AR291" s="130" t="s">
        <v>6311</v>
      </c>
      <c r="AS291" s="198"/>
      <c r="AT291" s="132" t="s">
        <v>266</v>
      </c>
      <c r="AU291" s="130">
        <v>6</v>
      </c>
      <c r="AV291" s="130">
        <v>120</v>
      </c>
      <c r="AW291" s="130">
        <v>114</v>
      </c>
      <c r="AX291" s="130">
        <v>28</v>
      </c>
      <c r="AY291" s="130" t="s">
        <v>8728</v>
      </c>
      <c r="AZ291" s="130" t="s">
        <v>1563</v>
      </c>
      <c r="BA291" s="130">
        <v>32</v>
      </c>
      <c r="BB291" s="139" t="s">
        <v>2485</v>
      </c>
      <c r="BC291" s="458" t="s">
        <v>8726</v>
      </c>
      <c r="BD291" s="139" t="s">
        <v>8374</v>
      </c>
      <c r="BE291" s="130" t="s">
        <v>2449</v>
      </c>
      <c r="BF291" s="130" t="s">
        <v>272</v>
      </c>
      <c r="BG291" s="130" t="s">
        <v>272</v>
      </c>
      <c r="BH291" s="130" t="s">
        <v>2486</v>
      </c>
      <c r="BI291" s="187">
        <v>1.050624E-3</v>
      </c>
      <c r="BJ291" s="187">
        <v>10.50624</v>
      </c>
      <c r="BK291" s="130"/>
      <c r="BL291" s="485">
        <v>183.90026007765664</v>
      </c>
      <c r="BM291" s="139" t="s">
        <v>2487</v>
      </c>
      <c r="BN291" s="130"/>
      <c r="BO291" s="130"/>
      <c r="BP291" s="130"/>
      <c r="BQ291" s="130"/>
      <c r="BR291" s="139" t="e">
        <v>#VALUE!</v>
      </c>
      <c r="BS291" s="130"/>
      <c r="BT291" s="130"/>
      <c r="BU291" s="195"/>
      <c r="BV291" s="130"/>
      <c r="BW291" s="130"/>
      <c r="BX291" s="130"/>
      <c r="BY291" s="130"/>
      <c r="BZ291" s="130"/>
      <c r="CA291" s="130"/>
      <c r="CB291" s="130"/>
      <c r="CC291" s="130"/>
      <c r="CD291" s="130"/>
      <c r="CE291" s="130"/>
      <c r="CF291" s="130"/>
      <c r="CG291" s="130"/>
      <c r="CH291" s="130"/>
      <c r="CI291" s="187"/>
      <c r="CJ291" s="187"/>
      <c r="CK291" s="131">
        <f t="shared" si="78"/>
        <v>17.503908161022082</v>
      </c>
      <c r="CL291" s="188"/>
      <c r="CM291" s="188"/>
      <c r="CN291" s="188"/>
      <c r="CO291" s="139" t="s">
        <v>2488</v>
      </c>
      <c r="CP291" s="499" t="s">
        <v>2489</v>
      </c>
      <c r="CQ291" s="191" t="s">
        <v>272</v>
      </c>
      <c r="CR291" s="191"/>
      <c r="CS291" s="135" t="s">
        <v>539</v>
      </c>
      <c r="CT291" s="135"/>
      <c r="CU291" s="135"/>
      <c r="CV291" s="332">
        <f t="shared" si="79"/>
        <v>1.6361383563295289</v>
      </c>
      <c r="CW291" s="329">
        <f t="shared" si="84"/>
        <v>1</v>
      </c>
      <c r="CX291" s="329"/>
      <c r="CY291" s="189" t="s">
        <v>5921</v>
      </c>
    </row>
    <row r="292" spans="1:103" ht="11.25" customHeight="1" x14ac:dyDescent="0.2">
      <c r="A292" s="72">
        <v>578</v>
      </c>
      <c r="B292" s="183">
        <v>1279</v>
      </c>
      <c r="C292" s="133" t="s">
        <v>6853</v>
      </c>
      <c r="D292" s="133"/>
      <c r="E292" s="134"/>
      <c r="F292" s="134" t="s">
        <v>3513</v>
      </c>
      <c r="G292" s="184">
        <v>1120010</v>
      </c>
      <c r="H292" s="138" t="s">
        <v>3514</v>
      </c>
      <c r="I292" s="138" t="s">
        <v>3514</v>
      </c>
      <c r="J292" s="138" t="s">
        <v>3515</v>
      </c>
      <c r="K292" s="138" t="s">
        <v>426</v>
      </c>
      <c r="L292" s="138"/>
      <c r="M292" s="138"/>
      <c r="N292" s="138"/>
      <c r="O292" s="138"/>
      <c r="P292" s="138"/>
      <c r="Q292" s="138"/>
      <c r="R292" s="138"/>
      <c r="S292" s="138"/>
      <c r="T292" s="135">
        <v>322.5</v>
      </c>
      <c r="U292" s="185"/>
      <c r="V292" s="185">
        <v>1.625</v>
      </c>
      <c r="W292" s="185">
        <v>1899.0207885217744</v>
      </c>
      <c r="X292" s="185">
        <v>1899.0207885217744</v>
      </c>
      <c r="Y292" s="204">
        <v>2.23</v>
      </c>
      <c r="Z292" s="135">
        <v>4.3899999999999997</v>
      </c>
      <c r="AA292" s="135"/>
      <c r="AB292" s="135">
        <v>3.8</v>
      </c>
      <c r="AC292" s="135">
        <v>0.26889999999999997</v>
      </c>
      <c r="AD292" s="135">
        <v>6.36</v>
      </c>
      <c r="AE292" s="135">
        <v>7.52</v>
      </c>
      <c r="AF292" s="135">
        <f t="shared" si="86"/>
        <v>6.36</v>
      </c>
      <c r="AG292" s="136">
        <v>6.36</v>
      </c>
      <c r="AH292" s="185">
        <v>5.7000000000000005E-7</v>
      </c>
      <c r="AI292" s="185"/>
      <c r="AJ292" s="136">
        <f t="shared" si="87"/>
        <v>-4.6326914706401601</v>
      </c>
      <c r="AK292" s="136"/>
      <c r="AL292" s="136">
        <f t="shared" si="88"/>
        <v>-4.6326914706401601</v>
      </c>
      <c r="AM292" s="136">
        <v>-11.650399999999999</v>
      </c>
      <c r="AN292" s="186"/>
      <c r="AO292" s="481">
        <v>-3.29</v>
      </c>
      <c r="AP292" s="481"/>
      <c r="AQ292" s="135" t="s">
        <v>6311</v>
      </c>
      <c r="AR292" s="135" t="s">
        <v>6311</v>
      </c>
      <c r="AS292" s="190"/>
      <c r="AT292" s="137" t="s">
        <v>266</v>
      </c>
      <c r="AU292" s="135">
        <v>6</v>
      </c>
      <c r="AV292" s="135">
        <v>120</v>
      </c>
      <c r="AW292" s="135">
        <v>114</v>
      </c>
      <c r="AX292" s="135">
        <v>28</v>
      </c>
      <c r="AY292" s="135" t="s">
        <v>8728</v>
      </c>
      <c r="AZ292" s="135" t="s">
        <v>1563</v>
      </c>
      <c r="BA292" s="135">
        <v>32</v>
      </c>
      <c r="BB292" s="138" t="s">
        <v>2485</v>
      </c>
      <c r="BC292" s="458" t="s">
        <v>8726</v>
      </c>
      <c r="BD292" s="138" t="s">
        <v>8374</v>
      </c>
      <c r="BE292" s="135" t="s">
        <v>2449</v>
      </c>
      <c r="BF292" s="135" t="s">
        <v>272</v>
      </c>
      <c r="BG292" s="135" t="s">
        <v>272</v>
      </c>
      <c r="BH292" s="135" t="s">
        <v>2486</v>
      </c>
      <c r="BI292" s="185">
        <v>2.0639999999999999E-3</v>
      </c>
      <c r="BJ292" s="185">
        <v>20.64</v>
      </c>
      <c r="BK292" s="135"/>
      <c r="BL292" s="485">
        <v>1.8909093920596978</v>
      </c>
      <c r="BM292" s="138" t="s">
        <v>2487</v>
      </c>
      <c r="BN292" s="135"/>
      <c r="BO292" s="135"/>
      <c r="BP292" s="135"/>
      <c r="BQ292" s="135"/>
      <c r="BR292" s="138" t="e">
        <v>#VALUE!</v>
      </c>
      <c r="BS292" s="135"/>
      <c r="BT292" s="135"/>
      <c r="BU292" s="135">
        <v>1.0319999999999999E-3</v>
      </c>
      <c r="BV292" s="135"/>
      <c r="BW292" s="135"/>
      <c r="BX292" s="135"/>
      <c r="BY292" s="135"/>
      <c r="BZ292" s="135"/>
      <c r="CA292" s="135"/>
      <c r="CB292" s="135"/>
      <c r="CC292" s="135"/>
      <c r="CD292" s="135"/>
      <c r="CE292" s="135"/>
      <c r="CF292" s="135"/>
      <c r="CG292" s="135"/>
      <c r="CH292" s="135"/>
      <c r="CI292" s="185"/>
      <c r="CJ292" s="187"/>
      <c r="CK292" s="136">
        <f t="shared" ref="CK292:CK355" si="89">BL292/BJ292</f>
        <v>9.161382713467528E-2</v>
      </c>
      <c r="CL292" s="188"/>
      <c r="CM292" s="188"/>
      <c r="CN292" s="188"/>
      <c r="CO292" s="138" t="s">
        <v>2488</v>
      </c>
      <c r="CP292" s="189" t="s">
        <v>2489</v>
      </c>
      <c r="CQ292" s="191" t="s">
        <v>272</v>
      </c>
      <c r="CR292" s="191"/>
      <c r="CS292" s="135" t="s">
        <v>539</v>
      </c>
      <c r="CT292" s="135"/>
      <c r="CU292" s="135"/>
      <c r="CV292" s="332">
        <f t="shared" ref="CV292:CV355" si="90">X292/BJ292</f>
        <v>92.006821149310767</v>
      </c>
      <c r="CW292" s="329">
        <f t="shared" si="84"/>
        <v>1</v>
      </c>
      <c r="CX292" s="329"/>
      <c r="CY292" s="189" t="s">
        <v>5921</v>
      </c>
    </row>
    <row r="293" spans="1:103" ht="11.25" customHeight="1" x14ac:dyDescent="0.2">
      <c r="A293" s="72">
        <v>579</v>
      </c>
      <c r="B293" s="183">
        <v>918</v>
      </c>
      <c r="C293" s="133" t="s">
        <v>6854</v>
      </c>
      <c r="D293" s="133"/>
      <c r="E293" s="134"/>
      <c r="F293" s="134" t="s">
        <v>2622</v>
      </c>
      <c r="G293" s="184">
        <v>1120361</v>
      </c>
      <c r="H293" s="138" t="s">
        <v>2623</v>
      </c>
      <c r="I293" s="138" t="s">
        <v>2623</v>
      </c>
      <c r="J293" s="138" t="s">
        <v>2624</v>
      </c>
      <c r="K293" s="138" t="s">
        <v>426</v>
      </c>
      <c r="L293" s="138"/>
      <c r="M293" s="138"/>
      <c r="N293" s="138"/>
      <c r="O293" s="138"/>
      <c r="P293" s="138"/>
      <c r="Q293" s="138" t="s">
        <v>6173</v>
      </c>
      <c r="R293" s="138" t="s">
        <v>6185</v>
      </c>
      <c r="S293" s="138" t="s">
        <v>6182</v>
      </c>
      <c r="T293" s="135">
        <v>196.37</v>
      </c>
      <c r="U293" s="185"/>
      <c r="V293" s="185">
        <v>1.191E-2</v>
      </c>
      <c r="W293" s="185">
        <v>8.3767420107068815E-5</v>
      </c>
      <c r="X293" s="185">
        <v>8.3767420107068815E-5</v>
      </c>
      <c r="Y293" s="204">
        <v>7</v>
      </c>
      <c r="Z293" s="135">
        <v>7.08</v>
      </c>
      <c r="AA293" s="135"/>
      <c r="AB293" s="135">
        <v>6.37</v>
      </c>
      <c r="AC293" s="135">
        <v>0.83309999999999995</v>
      </c>
      <c r="AD293" s="135">
        <v>6.75</v>
      </c>
      <c r="AE293" s="135">
        <v>7.68</v>
      </c>
      <c r="AF293" s="135">
        <f t="shared" si="86"/>
        <v>6.75</v>
      </c>
      <c r="AG293" s="136">
        <v>6.28</v>
      </c>
      <c r="AH293" s="185">
        <v>3.46</v>
      </c>
      <c r="AI293" s="185"/>
      <c r="AJ293" s="136">
        <f t="shared" si="87"/>
        <v>2.1505097724801248</v>
      </c>
      <c r="AK293" s="136"/>
      <c r="AL293" s="136">
        <f t="shared" si="88"/>
        <v>2.1505097724801248</v>
      </c>
      <c r="AM293" s="136">
        <v>-1.5773299999999999</v>
      </c>
      <c r="AN293" s="186">
        <v>2.4700000000000002</v>
      </c>
      <c r="AO293" s="481"/>
      <c r="AP293" s="481"/>
      <c r="AQ293" s="135" t="s">
        <v>6311</v>
      </c>
      <c r="AR293" s="135" t="s">
        <v>6311</v>
      </c>
      <c r="AS293" s="190"/>
      <c r="AT293" s="137" t="s">
        <v>266</v>
      </c>
      <c r="AU293" s="135">
        <v>6</v>
      </c>
      <c r="AV293" s="135">
        <v>120</v>
      </c>
      <c r="AW293" s="135">
        <v>114</v>
      </c>
      <c r="AX293" s="135">
        <v>28</v>
      </c>
      <c r="AY293" s="135" t="s">
        <v>8728</v>
      </c>
      <c r="AZ293" s="135" t="s">
        <v>1563</v>
      </c>
      <c r="BA293" s="135">
        <v>32</v>
      </c>
      <c r="BB293" s="138" t="s">
        <v>2485</v>
      </c>
      <c r="BC293" s="458" t="s">
        <v>8726</v>
      </c>
      <c r="BD293" s="138" t="s">
        <v>8374</v>
      </c>
      <c r="BE293" s="135" t="s">
        <v>2449</v>
      </c>
      <c r="BF293" s="135" t="s">
        <v>272</v>
      </c>
      <c r="BG293" s="135" t="s">
        <v>272</v>
      </c>
      <c r="BH293" s="135" t="s">
        <v>2486</v>
      </c>
      <c r="BI293" s="185">
        <v>1.2567679999999999E-3</v>
      </c>
      <c r="BJ293" s="185">
        <v>12.567680000000001</v>
      </c>
      <c r="BK293" s="135"/>
      <c r="BL293" s="485">
        <v>4.4190319353568912E-3</v>
      </c>
      <c r="BM293" s="138" t="s">
        <v>2487</v>
      </c>
      <c r="BN293" s="135"/>
      <c r="BO293" s="135"/>
      <c r="BP293" s="135"/>
      <c r="BQ293" s="135"/>
      <c r="BR293" s="138" t="e">
        <v>#VALUE!</v>
      </c>
      <c r="BS293" s="135"/>
      <c r="BT293" s="135"/>
      <c r="BU293" s="135">
        <v>0.12567680000000001</v>
      </c>
      <c r="BV293" s="135"/>
      <c r="BW293" s="135"/>
      <c r="BX293" s="135"/>
      <c r="BY293" s="135"/>
      <c r="BZ293" s="135"/>
      <c r="CA293" s="135"/>
      <c r="CB293" s="135"/>
      <c r="CC293" s="135"/>
      <c r="CD293" s="135"/>
      <c r="CE293" s="135"/>
      <c r="CF293" s="135"/>
      <c r="CG293" s="135"/>
      <c r="CH293" s="135"/>
      <c r="CI293" s="185"/>
      <c r="CJ293" s="187"/>
      <c r="CK293" s="136">
        <f t="shared" si="89"/>
        <v>3.5161875026710506E-4</v>
      </c>
      <c r="CL293" s="188"/>
      <c r="CM293" s="188"/>
      <c r="CN293" s="188"/>
      <c r="CO293" s="138" t="s">
        <v>2488</v>
      </c>
      <c r="CP293" s="189" t="s">
        <v>2489</v>
      </c>
      <c r="CQ293" s="191" t="s">
        <v>272</v>
      </c>
      <c r="CR293" s="191"/>
      <c r="CS293" s="135" t="s">
        <v>539</v>
      </c>
      <c r="CT293" s="135"/>
      <c r="CU293" s="135"/>
      <c r="CV293" s="332">
        <f t="shared" si="90"/>
        <v>6.6653049812748898E-6</v>
      </c>
      <c r="CW293" s="329">
        <f t="shared" si="84"/>
        <v>0</v>
      </c>
      <c r="CX293" s="329"/>
      <c r="CY293" s="189" t="s">
        <v>6351</v>
      </c>
    </row>
    <row r="294" spans="1:103" ht="11.25" customHeight="1" x14ac:dyDescent="0.2">
      <c r="A294" s="72">
        <v>580</v>
      </c>
      <c r="B294" s="191">
        <v>1872</v>
      </c>
      <c r="C294" s="128" t="s">
        <v>6855</v>
      </c>
      <c r="D294" s="128"/>
      <c r="E294" s="129"/>
      <c r="F294" s="129" t="s">
        <v>5316</v>
      </c>
      <c r="G294" s="192">
        <v>1300727</v>
      </c>
      <c r="H294" s="139" t="s">
        <v>5317</v>
      </c>
      <c r="I294" s="139" t="s">
        <v>5317</v>
      </c>
      <c r="J294" s="139" t="s">
        <v>5318</v>
      </c>
      <c r="K294" s="139" t="s">
        <v>426</v>
      </c>
      <c r="L294" s="139"/>
      <c r="M294" s="139"/>
      <c r="N294" s="138"/>
      <c r="O294" s="139"/>
      <c r="P294" s="138"/>
      <c r="Q294" s="138"/>
      <c r="R294" s="138"/>
      <c r="S294" s="138"/>
      <c r="T294" s="130">
        <v>186.23</v>
      </c>
      <c r="U294" s="187"/>
      <c r="V294" s="185">
        <v>58939.999999999993</v>
      </c>
      <c r="W294" s="185">
        <v>309064.86977209692</v>
      </c>
      <c r="X294" s="185">
        <v>309064.86977209692</v>
      </c>
      <c r="Y294" s="194"/>
      <c r="Z294" s="130">
        <v>-7.0000000000000007E-2</v>
      </c>
      <c r="AA294" s="130"/>
      <c r="AB294" s="130">
        <v>-0.09</v>
      </c>
      <c r="AC294" s="130">
        <v>0.72489999999999999</v>
      </c>
      <c r="AD294" s="130">
        <v>0.47</v>
      </c>
      <c r="AE294" s="130">
        <v>1.39</v>
      </c>
      <c r="AF294" s="130">
        <f t="shared" si="86"/>
        <v>0.47</v>
      </c>
      <c r="AG294" s="131">
        <v>7.3</v>
      </c>
      <c r="AH294" s="187">
        <v>3.0600000000000002E-9</v>
      </c>
      <c r="AI294" s="187"/>
      <c r="AJ294" s="136">
        <f t="shared" si="87"/>
        <v>-6.9028448998310719</v>
      </c>
      <c r="AK294" s="136"/>
      <c r="AL294" s="136">
        <f t="shared" si="88"/>
        <v>-6.9028448998310719</v>
      </c>
      <c r="AM294" s="136">
        <v>-10.845700000000001</v>
      </c>
      <c r="AN294" s="193">
        <v>-14.3</v>
      </c>
      <c r="AO294" s="481">
        <v>-0.36</v>
      </c>
      <c r="AP294" s="481"/>
      <c r="AQ294" s="193" t="s">
        <v>6311</v>
      </c>
      <c r="AR294" s="193" t="s">
        <v>6311</v>
      </c>
      <c r="AS294" s="191"/>
      <c r="AT294" s="132" t="s">
        <v>266</v>
      </c>
      <c r="AU294" s="130">
        <v>6</v>
      </c>
      <c r="AV294" s="130">
        <v>120</v>
      </c>
      <c r="AW294" s="130">
        <v>114</v>
      </c>
      <c r="AX294" s="130">
        <v>28</v>
      </c>
      <c r="AY294" s="130" t="s">
        <v>8728</v>
      </c>
      <c r="AZ294" s="130" t="s">
        <v>1563</v>
      </c>
      <c r="BA294" s="130">
        <v>32</v>
      </c>
      <c r="BB294" s="139" t="s">
        <v>2485</v>
      </c>
      <c r="BC294" s="458" t="s">
        <v>8726</v>
      </c>
      <c r="BD294" s="139" t="s">
        <v>8374</v>
      </c>
      <c r="BE294" s="130" t="s">
        <v>2449</v>
      </c>
      <c r="BF294" s="130" t="s">
        <v>272</v>
      </c>
      <c r="BG294" s="130" t="s">
        <v>272</v>
      </c>
      <c r="BH294" s="130" t="s">
        <v>2486</v>
      </c>
      <c r="BI294" s="187">
        <v>1.1918719999999999E-3</v>
      </c>
      <c r="BJ294" s="187">
        <v>11.91872</v>
      </c>
      <c r="BK294" s="130"/>
      <c r="BL294" s="485">
        <v>11059.019994729062</v>
      </c>
      <c r="BM294" s="139" t="s">
        <v>2487</v>
      </c>
      <c r="BN294" s="130"/>
      <c r="BO294" s="130"/>
      <c r="BP294" s="130"/>
      <c r="BQ294" s="130"/>
      <c r="BR294" s="139" t="e">
        <v>#VALUE!</v>
      </c>
      <c r="BS294" s="130"/>
      <c r="BT294" s="130"/>
      <c r="BU294" s="195"/>
      <c r="BV294" s="130"/>
      <c r="BW294" s="130"/>
      <c r="BX294" s="130"/>
      <c r="BY294" s="130"/>
      <c r="BZ294" s="130"/>
      <c r="CA294" s="130"/>
      <c r="CB294" s="130"/>
      <c r="CC294" s="130"/>
      <c r="CD294" s="130"/>
      <c r="CE294" s="130"/>
      <c r="CF294" s="130"/>
      <c r="CG294" s="130"/>
      <c r="CH294" s="130"/>
      <c r="CI294" s="187"/>
      <c r="CJ294" s="187"/>
      <c r="CK294" s="131">
        <f t="shared" si="89"/>
        <v>927.8697708083638</v>
      </c>
      <c r="CL294" s="188"/>
      <c r="CM294" s="188"/>
      <c r="CN294" s="188"/>
      <c r="CO294" s="139" t="s">
        <v>2488</v>
      </c>
      <c r="CP294" s="499" t="s">
        <v>2489</v>
      </c>
      <c r="CQ294" s="191" t="s">
        <v>272</v>
      </c>
      <c r="CR294" s="191"/>
      <c r="CS294" s="135" t="s">
        <v>539</v>
      </c>
      <c r="CT294" s="135"/>
      <c r="CU294" s="135"/>
      <c r="CV294" s="332">
        <f t="shared" si="90"/>
        <v>25931.045428711885</v>
      </c>
      <c r="CW294" s="329">
        <f t="shared" ref="CW294:CW325" si="91">IF(CV294&lt;1,0,1)</f>
        <v>1</v>
      </c>
      <c r="CX294" s="329"/>
      <c r="CY294" s="189" t="s">
        <v>6351</v>
      </c>
    </row>
    <row r="295" spans="1:103" ht="11.25" customHeight="1" x14ac:dyDescent="0.2">
      <c r="A295" s="72">
        <v>581</v>
      </c>
      <c r="B295" s="183">
        <v>1874</v>
      </c>
      <c r="C295" s="133" t="s">
        <v>6856</v>
      </c>
      <c r="D295" s="133"/>
      <c r="E295" s="134"/>
      <c r="F295" s="134" t="s">
        <v>5322</v>
      </c>
      <c r="G295" s="184">
        <v>1338438</v>
      </c>
      <c r="H295" s="138" t="s">
        <v>5323</v>
      </c>
      <c r="I295" s="138" t="s">
        <v>5323</v>
      </c>
      <c r="J295" s="138"/>
      <c r="K295" s="138" t="s">
        <v>357</v>
      </c>
      <c r="L295" s="138"/>
      <c r="M295" s="138"/>
      <c r="N295" s="138"/>
      <c r="O295" s="138"/>
      <c r="P295" s="138"/>
      <c r="Q295" s="138"/>
      <c r="R295" s="138"/>
      <c r="S295" s="138"/>
      <c r="T295" s="135">
        <v>428.61</v>
      </c>
      <c r="U295" s="185"/>
      <c r="V295" s="185">
        <v>1.9140000000000001E-2</v>
      </c>
      <c r="W295" s="185">
        <v>2.004759589071059</v>
      </c>
      <c r="X295" s="185">
        <v>2.004759589071059</v>
      </c>
      <c r="Y295" s="204">
        <v>7</v>
      </c>
      <c r="Z295" s="135">
        <v>5.89</v>
      </c>
      <c r="AA295" s="135"/>
      <c r="AB295" s="135">
        <v>5.85</v>
      </c>
      <c r="AC295" s="135">
        <v>0.6905</v>
      </c>
      <c r="AD295" s="135">
        <v>6.31</v>
      </c>
      <c r="AE295" s="135">
        <v>7.14</v>
      </c>
      <c r="AF295" s="135">
        <f t="shared" si="86"/>
        <v>6.31</v>
      </c>
      <c r="AG295" s="136">
        <v>6.31</v>
      </c>
      <c r="AH295" s="185">
        <v>1.42E-12</v>
      </c>
      <c r="AI295" s="185"/>
      <c r="AJ295" s="136">
        <f t="shared" si="87"/>
        <v>-10.236277981929595</v>
      </c>
      <c r="AK295" s="136"/>
      <c r="AL295" s="136">
        <f t="shared" si="88"/>
        <v>-10.236277981929595</v>
      </c>
      <c r="AM295" s="136">
        <v>-18.701530000000002</v>
      </c>
      <c r="AN295" s="186"/>
      <c r="AO295" s="481">
        <v>13.17</v>
      </c>
      <c r="AP295" s="481"/>
      <c r="AQ295" s="186" t="s">
        <v>6311</v>
      </c>
      <c r="AR295" s="186" t="s">
        <v>6312</v>
      </c>
      <c r="AS295" s="183"/>
      <c r="AT295" s="137" t="s">
        <v>266</v>
      </c>
      <c r="AU295" s="135">
        <v>6</v>
      </c>
      <c r="AV295" s="135">
        <v>120</v>
      </c>
      <c r="AW295" s="135">
        <v>114</v>
      </c>
      <c r="AX295" s="135">
        <v>28</v>
      </c>
      <c r="AY295" s="135" t="s">
        <v>8728</v>
      </c>
      <c r="AZ295" s="135" t="s">
        <v>1563</v>
      </c>
      <c r="BA295" s="135">
        <v>32</v>
      </c>
      <c r="BB295" s="138" t="s">
        <v>2485</v>
      </c>
      <c r="BC295" s="458" t="s">
        <v>8726</v>
      </c>
      <c r="BD295" s="138" t="s">
        <v>8374</v>
      </c>
      <c r="BE295" s="135" t="s">
        <v>2449</v>
      </c>
      <c r="BF295" s="135" t="s">
        <v>272</v>
      </c>
      <c r="BG295" s="135" t="s">
        <v>272</v>
      </c>
      <c r="BH295" s="135" t="s">
        <v>2486</v>
      </c>
      <c r="BI295" s="185">
        <v>2.7431040000000001E-3</v>
      </c>
      <c r="BJ295" s="185">
        <v>27.431040000000003</v>
      </c>
      <c r="BK295" s="135"/>
      <c r="BL295" s="485">
        <v>0.11299345791013246</v>
      </c>
      <c r="BM295" s="138" t="s">
        <v>2487</v>
      </c>
      <c r="BN295" s="135"/>
      <c r="BO295" s="135"/>
      <c r="BP295" s="135"/>
      <c r="BQ295" s="135"/>
      <c r="BR295" s="138" t="e">
        <v>#VALUE!</v>
      </c>
      <c r="BS295" s="135"/>
      <c r="BT295" s="135"/>
      <c r="BU295" s="135"/>
      <c r="BV295" s="135"/>
      <c r="BW295" s="135"/>
      <c r="BX295" s="135"/>
      <c r="BY295" s="135"/>
      <c r="BZ295" s="135"/>
      <c r="CA295" s="135"/>
      <c r="CB295" s="135"/>
      <c r="CC295" s="135"/>
      <c r="CD295" s="135"/>
      <c r="CE295" s="135"/>
      <c r="CF295" s="135"/>
      <c r="CG295" s="135"/>
      <c r="CH295" s="135"/>
      <c r="CI295" s="185"/>
      <c r="CJ295" s="187"/>
      <c r="CK295" s="136">
        <f t="shared" si="89"/>
        <v>4.1191824265551886E-3</v>
      </c>
      <c r="CL295" s="188"/>
      <c r="CM295" s="188"/>
      <c r="CN295" s="188"/>
      <c r="CO295" s="138" t="s">
        <v>2488</v>
      </c>
      <c r="CP295" s="189" t="s">
        <v>2489</v>
      </c>
      <c r="CQ295" s="191" t="s">
        <v>272</v>
      </c>
      <c r="CR295" s="191"/>
      <c r="CS295" s="135" t="s">
        <v>539</v>
      </c>
      <c r="CT295" s="135"/>
      <c r="CU295" s="135"/>
      <c r="CV295" s="332">
        <f t="shared" si="90"/>
        <v>7.3083615826124673E-2</v>
      </c>
      <c r="CW295" s="329">
        <f t="shared" si="91"/>
        <v>0</v>
      </c>
      <c r="CX295" s="329"/>
      <c r="CY295" s="189" t="s">
        <v>5921</v>
      </c>
    </row>
    <row r="296" spans="1:103" ht="11.25" customHeight="1" x14ac:dyDescent="0.2">
      <c r="A296" s="72">
        <v>582</v>
      </c>
      <c r="B296" s="183">
        <v>1466</v>
      </c>
      <c r="C296" s="133" t="s">
        <v>6857</v>
      </c>
      <c r="D296" s="133"/>
      <c r="E296" s="134"/>
      <c r="F296" s="134" t="s">
        <v>4502</v>
      </c>
      <c r="G296" s="184">
        <v>1806264</v>
      </c>
      <c r="H296" s="138" t="s">
        <v>4503</v>
      </c>
      <c r="I296" s="138" t="s">
        <v>4503</v>
      </c>
      <c r="J296" s="138" t="s">
        <v>4504</v>
      </c>
      <c r="K296" s="138" t="s">
        <v>349</v>
      </c>
      <c r="L296" s="138"/>
      <c r="M296" s="138"/>
      <c r="N296" s="138"/>
      <c r="O296" s="138"/>
      <c r="P296" s="138" t="s">
        <v>6184</v>
      </c>
      <c r="Q296" s="138" t="s">
        <v>6179</v>
      </c>
      <c r="R296" s="138" t="s">
        <v>6185</v>
      </c>
      <c r="S296" s="138" t="s">
        <v>6176</v>
      </c>
      <c r="T296" s="135">
        <v>206.32</v>
      </c>
      <c r="U296" s="185"/>
      <c r="V296" s="185">
        <v>3.1139999999999999</v>
      </c>
      <c r="W296" s="185">
        <v>31.227795677735816</v>
      </c>
      <c r="X296" s="185">
        <v>31.227795677735816</v>
      </c>
      <c r="Y296" s="204">
        <v>6.84</v>
      </c>
      <c r="Z296" s="135">
        <v>5.5</v>
      </c>
      <c r="AA296" s="135"/>
      <c r="AB296" s="135">
        <v>5.37</v>
      </c>
      <c r="AC296" s="135">
        <v>0.77610000000000001</v>
      </c>
      <c r="AD296" s="135">
        <v>5.47</v>
      </c>
      <c r="AE296" s="135">
        <v>5.66</v>
      </c>
      <c r="AF296" s="135">
        <f t="shared" si="86"/>
        <v>5.47</v>
      </c>
      <c r="AG296" s="136">
        <v>4.93</v>
      </c>
      <c r="AH296" s="185">
        <v>4.5000000000000001E-6</v>
      </c>
      <c r="AI296" s="185"/>
      <c r="AJ296" s="136">
        <f t="shared" si="87"/>
        <v>-3.735353812537308</v>
      </c>
      <c r="AK296" s="136"/>
      <c r="AL296" s="136">
        <f t="shared" si="88"/>
        <v>-3.735353812537308</v>
      </c>
      <c r="AM296" s="136">
        <v>-7.368409999999999</v>
      </c>
      <c r="AN296" s="186">
        <v>-3.75</v>
      </c>
      <c r="AO296" s="481">
        <v>10.15</v>
      </c>
      <c r="AP296" s="481"/>
      <c r="AQ296" s="135" t="s">
        <v>6311</v>
      </c>
      <c r="AR296" s="135" t="s">
        <v>6311</v>
      </c>
      <c r="AS296" s="190"/>
      <c r="AT296" s="137" t="s">
        <v>266</v>
      </c>
      <c r="AU296" s="135">
        <v>6</v>
      </c>
      <c r="AV296" s="135">
        <v>120</v>
      </c>
      <c r="AW296" s="135">
        <v>114</v>
      </c>
      <c r="AX296" s="135">
        <v>28</v>
      </c>
      <c r="AY296" s="135" t="s">
        <v>8728</v>
      </c>
      <c r="AZ296" s="135" t="s">
        <v>1563</v>
      </c>
      <c r="BA296" s="135">
        <v>32</v>
      </c>
      <c r="BB296" s="138" t="s">
        <v>2485</v>
      </c>
      <c r="BC296" s="458" t="s">
        <v>8726</v>
      </c>
      <c r="BD296" s="138" t="s">
        <v>8374</v>
      </c>
      <c r="BE296" s="135" t="s">
        <v>2449</v>
      </c>
      <c r="BF296" s="135" t="s">
        <v>272</v>
      </c>
      <c r="BG296" s="135" t="s">
        <v>272</v>
      </c>
      <c r="BH296" s="135" t="s">
        <v>2486</v>
      </c>
      <c r="BI296" s="185">
        <v>1.3204479999999999E-3</v>
      </c>
      <c r="BJ296" s="185">
        <v>13.20448</v>
      </c>
      <c r="BK296" s="135"/>
      <c r="BL296" s="485">
        <v>0.1218404036521774</v>
      </c>
      <c r="BM296" s="138" t="s">
        <v>2487</v>
      </c>
      <c r="BN296" s="135"/>
      <c r="BO296" s="135"/>
      <c r="BP296" s="135"/>
      <c r="BQ296" s="135"/>
      <c r="BR296" s="138" t="e">
        <v>#VALUE!</v>
      </c>
      <c r="BS296" s="135"/>
      <c r="BT296" s="135"/>
      <c r="BU296" s="135"/>
      <c r="BV296" s="135"/>
      <c r="BW296" s="135"/>
      <c r="BX296" s="135"/>
      <c r="BY296" s="135"/>
      <c r="BZ296" s="135"/>
      <c r="CA296" s="135"/>
      <c r="CB296" s="135"/>
      <c r="CC296" s="135"/>
      <c r="CD296" s="135"/>
      <c r="CE296" s="135"/>
      <c r="CF296" s="135"/>
      <c r="CG296" s="135"/>
      <c r="CH296" s="135"/>
      <c r="CI296" s="185"/>
      <c r="CJ296" s="187"/>
      <c r="CK296" s="136">
        <f t="shared" si="89"/>
        <v>9.2272019535928253E-3</v>
      </c>
      <c r="CL296" s="188"/>
      <c r="CM296" s="188"/>
      <c r="CN296" s="188"/>
      <c r="CO296" s="138" t="s">
        <v>2488</v>
      </c>
      <c r="CP296" s="189" t="s">
        <v>2489</v>
      </c>
      <c r="CQ296" s="191" t="s">
        <v>272</v>
      </c>
      <c r="CR296" s="191"/>
      <c r="CS296" s="135" t="s">
        <v>539</v>
      </c>
      <c r="CT296" s="135"/>
      <c r="CU296" s="135"/>
      <c r="CV296" s="332">
        <f t="shared" si="90"/>
        <v>2.3649394506815731</v>
      </c>
      <c r="CW296" s="329">
        <f t="shared" si="91"/>
        <v>1</v>
      </c>
      <c r="CX296" s="329"/>
      <c r="CY296" s="189" t="s">
        <v>5921</v>
      </c>
    </row>
    <row r="297" spans="1:103" ht="11.25" customHeight="1" x14ac:dyDescent="0.2">
      <c r="A297" s="72">
        <v>583</v>
      </c>
      <c r="B297" s="183">
        <v>1219</v>
      </c>
      <c r="C297" s="133" t="s">
        <v>6858</v>
      </c>
      <c r="D297" s="133"/>
      <c r="E297" s="134"/>
      <c r="F297" s="134" t="s">
        <v>3366</v>
      </c>
      <c r="G297" s="184">
        <v>1843056</v>
      </c>
      <c r="H297" s="138" t="s">
        <v>3367</v>
      </c>
      <c r="I297" s="138" t="s">
        <v>3367</v>
      </c>
      <c r="J297" s="138" t="s">
        <v>3368</v>
      </c>
      <c r="K297" s="138" t="s">
        <v>349</v>
      </c>
      <c r="L297" s="138"/>
      <c r="M297" s="138"/>
      <c r="N297" s="138"/>
      <c r="O297" s="138"/>
      <c r="P297" s="138"/>
      <c r="Q297" s="138" t="s">
        <v>6173</v>
      </c>
      <c r="R297" s="138" t="s">
        <v>6185</v>
      </c>
      <c r="S297" s="138" t="s">
        <v>6182</v>
      </c>
      <c r="T297" s="135">
        <v>326.43</v>
      </c>
      <c r="U297" s="185"/>
      <c r="V297" s="185">
        <v>3.6929999999999998E-2</v>
      </c>
      <c r="W297" s="185">
        <v>0.62199954216474251</v>
      </c>
      <c r="X297" s="185">
        <v>0.62199954216474251</v>
      </c>
      <c r="Y297" s="204">
        <v>6.64</v>
      </c>
      <c r="Z297" s="135">
        <v>6.96</v>
      </c>
      <c r="AA297" s="135"/>
      <c r="AB297" s="135">
        <v>6.84</v>
      </c>
      <c r="AC297" s="135">
        <v>0.59089999999999998</v>
      </c>
      <c r="AD297" s="135">
        <v>7.08</v>
      </c>
      <c r="AE297" s="135">
        <v>7.36</v>
      </c>
      <c r="AF297" s="135">
        <f t="shared" si="86"/>
        <v>7.08</v>
      </c>
      <c r="AG297" s="136">
        <v>5.84</v>
      </c>
      <c r="AH297" s="185">
        <v>1.09E-7</v>
      </c>
      <c r="AI297" s="185"/>
      <c r="AJ297" s="136">
        <f t="shared" si="87"/>
        <v>-5.3511398283720286</v>
      </c>
      <c r="AK297" s="136"/>
      <c r="AL297" s="136">
        <f t="shared" si="88"/>
        <v>-5.3511398283720286</v>
      </c>
      <c r="AM297" s="136">
        <v>-10.954439999999998</v>
      </c>
      <c r="AN297" s="186">
        <v>-4.8</v>
      </c>
      <c r="AO297" s="481">
        <v>7.59</v>
      </c>
      <c r="AP297" s="481"/>
      <c r="AQ297" s="135" t="s">
        <v>6311</v>
      </c>
      <c r="AR297" s="135" t="s">
        <v>6311</v>
      </c>
      <c r="AS297" s="190"/>
      <c r="AT297" s="137" t="s">
        <v>266</v>
      </c>
      <c r="AU297" s="135">
        <v>6</v>
      </c>
      <c r="AV297" s="135">
        <v>120</v>
      </c>
      <c r="AW297" s="135">
        <v>114</v>
      </c>
      <c r="AX297" s="135">
        <v>28</v>
      </c>
      <c r="AY297" s="135" t="s">
        <v>8728</v>
      </c>
      <c r="AZ297" s="135" t="s">
        <v>1563</v>
      </c>
      <c r="BA297" s="135">
        <v>32</v>
      </c>
      <c r="BB297" s="138" t="s">
        <v>2485</v>
      </c>
      <c r="BC297" s="458" t="s">
        <v>8726</v>
      </c>
      <c r="BD297" s="138" t="s">
        <v>8374</v>
      </c>
      <c r="BE297" s="135" t="s">
        <v>2449</v>
      </c>
      <c r="BF297" s="135" t="s">
        <v>272</v>
      </c>
      <c r="BG297" s="135" t="s">
        <v>272</v>
      </c>
      <c r="BH297" s="135" t="s">
        <v>2486</v>
      </c>
      <c r="BI297" s="185">
        <v>2.0891519999999999E-3</v>
      </c>
      <c r="BJ297" s="185">
        <v>20.89152</v>
      </c>
      <c r="BK297" s="135"/>
      <c r="BL297" s="485">
        <v>9.4148643059093137E-3</v>
      </c>
      <c r="BM297" s="138" t="s">
        <v>2487</v>
      </c>
      <c r="BN297" s="135"/>
      <c r="BO297" s="135"/>
      <c r="BP297" s="135"/>
      <c r="BQ297" s="135"/>
      <c r="BR297" s="138" t="e">
        <v>#VALUE!</v>
      </c>
      <c r="BS297" s="135"/>
      <c r="BT297" s="135"/>
      <c r="BU297" s="135">
        <v>0.20891520000000002</v>
      </c>
      <c r="BV297" s="135"/>
      <c r="BW297" s="135"/>
      <c r="BX297" s="135"/>
      <c r="BY297" s="135"/>
      <c r="BZ297" s="135"/>
      <c r="CA297" s="135"/>
      <c r="CB297" s="135"/>
      <c r="CC297" s="135"/>
      <c r="CD297" s="135"/>
      <c r="CE297" s="135"/>
      <c r="CF297" s="135"/>
      <c r="CG297" s="135"/>
      <c r="CH297" s="135"/>
      <c r="CI297" s="185"/>
      <c r="CJ297" s="187"/>
      <c r="CK297" s="136">
        <f t="shared" si="89"/>
        <v>4.5065482578143253E-4</v>
      </c>
      <c r="CL297" s="188"/>
      <c r="CM297" s="188"/>
      <c r="CN297" s="188"/>
      <c r="CO297" s="138" t="s">
        <v>2488</v>
      </c>
      <c r="CP297" s="189" t="s">
        <v>2489</v>
      </c>
      <c r="CQ297" s="191" t="s">
        <v>272</v>
      </c>
      <c r="CR297" s="191"/>
      <c r="CS297" s="135" t="s">
        <v>539</v>
      </c>
      <c r="CT297" s="135"/>
      <c r="CU297" s="135"/>
      <c r="CV297" s="332">
        <f t="shared" si="90"/>
        <v>2.9772823718175724E-2</v>
      </c>
      <c r="CW297" s="329">
        <f t="shared" si="91"/>
        <v>0</v>
      </c>
      <c r="CX297" s="329"/>
      <c r="CY297" s="189" t="s">
        <v>6351</v>
      </c>
    </row>
    <row r="298" spans="1:103" ht="11.25" customHeight="1" x14ac:dyDescent="0.2">
      <c r="A298" s="72">
        <v>584</v>
      </c>
      <c r="B298" s="183">
        <v>1384</v>
      </c>
      <c r="C298" s="133" t="s">
        <v>6859</v>
      </c>
      <c r="D298" s="133"/>
      <c r="E298" s="134"/>
      <c r="F298" s="134" t="s">
        <v>4266</v>
      </c>
      <c r="G298" s="184">
        <v>2043574</v>
      </c>
      <c r="H298" s="138" t="s">
        <v>4267</v>
      </c>
      <c r="I298" s="138" t="s">
        <v>4267</v>
      </c>
      <c r="J298" s="138" t="s">
        <v>4268</v>
      </c>
      <c r="K298" s="138" t="s">
        <v>426</v>
      </c>
      <c r="L298" s="138"/>
      <c r="M298" s="138"/>
      <c r="N298" s="138"/>
      <c r="O298" s="138"/>
      <c r="P298" s="138"/>
      <c r="Q298" s="138"/>
      <c r="R298" s="138"/>
      <c r="S298" s="138"/>
      <c r="T298" s="135">
        <v>474</v>
      </c>
      <c r="U298" s="185"/>
      <c r="V298" s="185">
        <v>4.1300000000000001E-4</v>
      </c>
      <c r="W298" s="185">
        <v>1.2757874970613535E-3</v>
      </c>
      <c r="X298" s="185">
        <v>1.2757874970613535E-3</v>
      </c>
      <c r="Y298" s="204">
        <v>7</v>
      </c>
      <c r="Z298" s="135">
        <v>6.63</v>
      </c>
      <c r="AA298" s="135"/>
      <c r="AB298" s="135">
        <v>5.52</v>
      </c>
      <c r="AC298" s="135">
        <v>0.46560000000000001</v>
      </c>
      <c r="AD298" s="135">
        <v>5.99</v>
      </c>
      <c r="AE298" s="135">
        <v>6.51</v>
      </c>
      <c r="AF298" s="135">
        <f t="shared" si="86"/>
        <v>5.99</v>
      </c>
      <c r="AG298" s="136">
        <v>4.63</v>
      </c>
      <c r="AH298" s="185">
        <v>306</v>
      </c>
      <c r="AI298" s="185"/>
      <c r="AJ298" s="136">
        <f t="shared" si="87"/>
        <v>4.0971551001689281</v>
      </c>
      <c r="AK298" s="136"/>
      <c r="AL298" s="136">
        <f t="shared" si="88"/>
        <v>4.0971551001689281</v>
      </c>
      <c r="AM298" s="136">
        <v>1.7233699999999996</v>
      </c>
      <c r="AN298" s="186">
        <v>-3.09</v>
      </c>
      <c r="AO298" s="481"/>
      <c r="AP298" s="481"/>
      <c r="AQ298" s="135" t="s">
        <v>6311</v>
      </c>
      <c r="AR298" s="135" t="s">
        <v>6312</v>
      </c>
      <c r="AS298" s="190"/>
      <c r="AT298" s="137" t="s">
        <v>266</v>
      </c>
      <c r="AU298" s="135">
        <v>6</v>
      </c>
      <c r="AV298" s="135">
        <v>120</v>
      </c>
      <c r="AW298" s="135">
        <v>114</v>
      </c>
      <c r="AX298" s="135">
        <v>28</v>
      </c>
      <c r="AY298" s="135" t="s">
        <v>8728</v>
      </c>
      <c r="AZ298" s="135" t="s">
        <v>1563</v>
      </c>
      <c r="BA298" s="135">
        <v>32</v>
      </c>
      <c r="BB298" s="138" t="s">
        <v>2485</v>
      </c>
      <c r="BC298" s="458" t="s">
        <v>8726</v>
      </c>
      <c r="BD298" s="138" t="s">
        <v>8374</v>
      </c>
      <c r="BE298" s="135" t="s">
        <v>2449</v>
      </c>
      <c r="BF298" s="135" t="s">
        <v>272</v>
      </c>
      <c r="BG298" s="135" t="s">
        <v>272</v>
      </c>
      <c r="BH298" s="135" t="s">
        <v>2486</v>
      </c>
      <c r="BI298" s="185">
        <v>3.0336E-3</v>
      </c>
      <c r="BJ298" s="185">
        <v>30.336000000000002</v>
      </c>
      <c r="BK298" s="135"/>
      <c r="BL298" s="485">
        <v>2.7050502783020163E-2</v>
      </c>
      <c r="BM298" s="138" t="s">
        <v>2487</v>
      </c>
      <c r="BN298" s="135"/>
      <c r="BO298" s="135"/>
      <c r="BP298" s="135"/>
      <c r="BQ298" s="135"/>
      <c r="BR298" s="138" t="e">
        <v>#VALUE!</v>
      </c>
      <c r="BS298" s="135"/>
      <c r="BT298" s="135"/>
      <c r="BU298" s="135"/>
      <c r="BV298" s="135"/>
      <c r="BW298" s="135"/>
      <c r="BX298" s="135"/>
      <c r="BY298" s="135"/>
      <c r="BZ298" s="135"/>
      <c r="CA298" s="135"/>
      <c r="CB298" s="135"/>
      <c r="CC298" s="135"/>
      <c r="CD298" s="135"/>
      <c r="CE298" s="135"/>
      <c r="CF298" s="135"/>
      <c r="CG298" s="135"/>
      <c r="CH298" s="135"/>
      <c r="CI298" s="185"/>
      <c r="CJ298" s="187"/>
      <c r="CK298" s="136">
        <f t="shared" si="89"/>
        <v>8.91696426128038E-4</v>
      </c>
      <c r="CL298" s="188"/>
      <c r="CM298" s="188"/>
      <c r="CN298" s="188"/>
      <c r="CO298" s="138" t="s">
        <v>2488</v>
      </c>
      <c r="CP298" s="189" t="s">
        <v>2489</v>
      </c>
      <c r="CQ298" s="191" t="s">
        <v>272</v>
      </c>
      <c r="CR298" s="191"/>
      <c r="CS298" s="135" t="s">
        <v>539</v>
      </c>
      <c r="CT298" s="135"/>
      <c r="CU298" s="135"/>
      <c r="CV298" s="332">
        <f t="shared" si="90"/>
        <v>4.2055231311357902E-5</v>
      </c>
      <c r="CW298" s="329">
        <f t="shared" si="91"/>
        <v>0</v>
      </c>
      <c r="CX298" s="329"/>
      <c r="CY298" s="189" t="s">
        <v>6351</v>
      </c>
    </row>
    <row r="299" spans="1:103" ht="11.25" customHeight="1" x14ac:dyDescent="0.2">
      <c r="A299" s="72">
        <v>585</v>
      </c>
      <c r="B299" s="183">
        <v>1236</v>
      </c>
      <c r="C299" s="133" t="s">
        <v>6860</v>
      </c>
      <c r="D299" s="133"/>
      <c r="E299" s="134"/>
      <c r="F299" s="134" t="s">
        <v>3404</v>
      </c>
      <c r="G299" s="184">
        <v>2058948</v>
      </c>
      <c r="H299" s="138" t="s">
        <v>3405</v>
      </c>
      <c r="I299" s="138" t="s">
        <v>7935</v>
      </c>
      <c r="J299" s="138" t="s">
        <v>3406</v>
      </c>
      <c r="K299" s="138" t="s">
        <v>426</v>
      </c>
      <c r="L299" s="138"/>
      <c r="M299" s="138"/>
      <c r="N299" s="138"/>
      <c r="O299" s="138"/>
      <c r="P299" s="138"/>
      <c r="Q299" s="138"/>
      <c r="R299" s="138"/>
      <c r="S299" s="138"/>
      <c r="T299" s="135">
        <v>564.09</v>
      </c>
      <c r="U299" s="185"/>
      <c r="V299" s="185">
        <v>1.024E-3</v>
      </c>
      <c r="W299" s="185">
        <v>42.790602429821163</v>
      </c>
      <c r="X299" s="185">
        <v>42.790602429821163</v>
      </c>
      <c r="Y299" s="204">
        <v>4.12</v>
      </c>
      <c r="Z299" s="135">
        <v>6.82</v>
      </c>
      <c r="AA299" s="135"/>
      <c r="AB299" s="135">
        <v>5.93</v>
      </c>
      <c r="AC299" s="135">
        <v>0.47570000000000001</v>
      </c>
      <c r="AD299" s="135">
        <v>7.98</v>
      </c>
      <c r="AE299" s="135">
        <v>10.42</v>
      </c>
      <c r="AF299" s="135">
        <f t="shared" si="86"/>
        <v>7.98</v>
      </c>
      <c r="AG299" s="136">
        <v>5.19</v>
      </c>
      <c r="AH299" s="185">
        <v>13.2</v>
      </c>
      <c r="AI299" s="185"/>
      <c r="AJ299" s="136">
        <f t="shared" si="87"/>
        <v>2.732007604893198</v>
      </c>
      <c r="AK299" s="136"/>
      <c r="AL299" s="136">
        <f t="shared" si="88"/>
        <v>2.732007604893198</v>
      </c>
      <c r="AM299" s="136">
        <v>-0.78357999999999972</v>
      </c>
      <c r="AN299" s="186">
        <v>-6.71</v>
      </c>
      <c r="AO299" s="481">
        <v>0.52</v>
      </c>
      <c r="AP299" s="481"/>
      <c r="AQ299" s="135" t="s">
        <v>6311</v>
      </c>
      <c r="AR299" s="135" t="s">
        <v>6311</v>
      </c>
      <c r="AS299" s="190"/>
      <c r="AT299" s="137" t="s">
        <v>266</v>
      </c>
      <c r="AU299" s="135">
        <v>6</v>
      </c>
      <c r="AV299" s="135">
        <v>120</v>
      </c>
      <c r="AW299" s="135">
        <v>114</v>
      </c>
      <c r="AX299" s="135">
        <v>28</v>
      </c>
      <c r="AY299" s="135" t="s">
        <v>8728</v>
      </c>
      <c r="AZ299" s="135" t="s">
        <v>1563</v>
      </c>
      <c r="BA299" s="135">
        <v>32</v>
      </c>
      <c r="BB299" s="138" t="s">
        <v>2485</v>
      </c>
      <c r="BC299" s="458" t="s">
        <v>8726</v>
      </c>
      <c r="BD299" s="138" t="s">
        <v>8374</v>
      </c>
      <c r="BE299" s="135" t="s">
        <v>2449</v>
      </c>
      <c r="BF299" s="135" t="s">
        <v>272</v>
      </c>
      <c r="BG299" s="135" t="s">
        <v>272</v>
      </c>
      <c r="BH299" s="135" t="s">
        <v>2486</v>
      </c>
      <c r="BI299" s="185">
        <v>3.6101760000000001E-3</v>
      </c>
      <c r="BJ299" s="185">
        <v>36.101760000000006</v>
      </c>
      <c r="BK299" s="135"/>
      <c r="BL299" s="485">
        <v>2.1732335489473065E-2</v>
      </c>
      <c r="BM299" s="138" t="s">
        <v>2487</v>
      </c>
      <c r="BN299" s="135"/>
      <c r="BO299" s="135"/>
      <c r="BP299" s="135"/>
      <c r="BQ299" s="135"/>
      <c r="BR299" s="138" t="e">
        <v>#VALUE!</v>
      </c>
      <c r="BS299" s="135"/>
      <c r="BT299" s="135"/>
      <c r="BU299" s="135">
        <v>3.440949E-3</v>
      </c>
      <c r="BV299" s="135"/>
      <c r="BW299" s="135"/>
      <c r="BX299" s="135"/>
      <c r="BY299" s="135"/>
      <c r="BZ299" s="135"/>
      <c r="CA299" s="135"/>
      <c r="CB299" s="135"/>
      <c r="CC299" s="135"/>
      <c r="CD299" s="135"/>
      <c r="CE299" s="135"/>
      <c r="CF299" s="135"/>
      <c r="CG299" s="135"/>
      <c r="CH299" s="135"/>
      <c r="CI299" s="185"/>
      <c r="CJ299" s="187"/>
      <c r="CK299" s="136">
        <f t="shared" si="89"/>
        <v>6.0197440483436429E-4</v>
      </c>
      <c r="CL299" s="188"/>
      <c r="CM299" s="188"/>
      <c r="CN299" s="188"/>
      <c r="CO299" s="138" t="s">
        <v>2488</v>
      </c>
      <c r="CP299" s="189" t="s">
        <v>2489</v>
      </c>
      <c r="CQ299" s="191" t="s">
        <v>272</v>
      </c>
      <c r="CR299" s="191"/>
      <c r="CS299" s="135" t="s">
        <v>539</v>
      </c>
      <c r="CT299" s="135"/>
      <c r="CU299" s="135"/>
      <c r="CV299" s="332">
        <f t="shared" si="90"/>
        <v>1.1852774609830976</v>
      </c>
      <c r="CW299" s="329">
        <f t="shared" si="91"/>
        <v>1</v>
      </c>
      <c r="CX299" s="329"/>
      <c r="CY299" s="189" t="s">
        <v>5921</v>
      </c>
    </row>
    <row r="300" spans="1:103" ht="11.25" customHeight="1" x14ac:dyDescent="0.2">
      <c r="A300" s="72">
        <v>586</v>
      </c>
      <c r="B300" s="183">
        <v>969</v>
      </c>
      <c r="C300" s="133" t="s">
        <v>6861</v>
      </c>
      <c r="D300" s="133"/>
      <c r="E300" s="134"/>
      <c r="F300" s="134" t="s">
        <v>2763</v>
      </c>
      <c r="G300" s="184">
        <v>2144538</v>
      </c>
      <c r="H300" s="138" t="s">
        <v>2764</v>
      </c>
      <c r="I300" s="138" t="s">
        <v>2764</v>
      </c>
      <c r="J300" s="138" t="s">
        <v>2765</v>
      </c>
      <c r="K300" s="138" t="s">
        <v>2766</v>
      </c>
      <c r="L300" s="138"/>
      <c r="M300" s="138"/>
      <c r="N300" s="138"/>
      <c r="O300" s="138"/>
      <c r="P300" s="138"/>
      <c r="Q300" s="138"/>
      <c r="R300" s="138"/>
      <c r="S300" s="138"/>
      <c r="T300" s="135">
        <v>432.18</v>
      </c>
      <c r="U300" s="185"/>
      <c r="V300" s="185">
        <v>7.7969999999999992E-3</v>
      </c>
      <c r="W300" s="185">
        <v>1.9754437378775658</v>
      </c>
      <c r="X300" s="185">
        <v>1.9754437378775658</v>
      </c>
      <c r="Y300" s="204">
        <v>7</v>
      </c>
      <c r="Z300" s="135">
        <v>6.32</v>
      </c>
      <c r="AA300" s="135"/>
      <c r="AB300" s="135">
        <v>5.63</v>
      </c>
      <c r="AC300" s="135">
        <v>0.48420000000000002</v>
      </c>
      <c r="AD300" s="135">
        <v>6.13</v>
      </c>
      <c r="AE300" s="135">
        <v>6.71</v>
      </c>
      <c r="AF300" s="135">
        <f t="shared" si="86"/>
        <v>6.13</v>
      </c>
      <c r="AG300" s="136">
        <v>4.8</v>
      </c>
      <c r="AH300" s="185">
        <v>8.06</v>
      </c>
      <c r="AI300" s="185"/>
      <c r="AJ300" s="136">
        <f t="shared" si="87"/>
        <v>2.5177687154924389</v>
      </c>
      <c r="AK300" s="136"/>
      <c r="AL300" s="136">
        <f t="shared" si="88"/>
        <v>2.5177687154924389</v>
      </c>
      <c r="AM300" s="136">
        <v>-0.19088000000000049</v>
      </c>
      <c r="AN300" s="186">
        <v>-2.5</v>
      </c>
      <c r="AO300" s="481"/>
      <c r="AP300" s="481"/>
      <c r="AQ300" s="135" t="s">
        <v>6311</v>
      </c>
      <c r="AR300" s="135" t="s">
        <v>6312</v>
      </c>
      <c r="AS300" s="190"/>
      <c r="AT300" s="137" t="s">
        <v>266</v>
      </c>
      <c r="AU300" s="135">
        <v>6</v>
      </c>
      <c r="AV300" s="135">
        <v>120</v>
      </c>
      <c r="AW300" s="135">
        <v>114</v>
      </c>
      <c r="AX300" s="135">
        <v>28</v>
      </c>
      <c r="AY300" s="135" t="s">
        <v>8728</v>
      </c>
      <c r="AZ300" s="135" t="s">
        <v>1563</v>
      </c>
      <c r="BA300" s="135">
        <v>32</v>
      </c>
      <c r="BB300" s="138" t="s">
        <v>2485</v>
      </c>
      <c r="BC300" s="458" t="s">
        <v>8726</v>
      </c>
      <c r="BD300" s="138" t="s">
        <v>8374</v>
      </c>
      <c r="BE300" s="135" t="s">
        <v>2449</v>
      </c>
      <c r="BF300" s="135" t="s">
        <v>272</v>
      </c>
      <c r="BG300" s="135" t="s">
        <v>272</v>
      </c>
      <c r="BH300" s="135" t="s">
        <v>2486</v>
      </c>
      <c r="BI300" s="185">
        <v>2.7659519999999999E-3</v>
      </c>
      <c r="BJ300" s="185">
        <v>27.659520000000001</v>
      </c>
      <c r="BK300" s="135"/>
      <c r="BL300" s="485">
        <v>4.6824447876665794E-2</v>
      </c>
      <c r="BM300" s="138" t="s">
        <v>2487</v>
      </c>
      <c r="BN300" s="135"/>
      <c r="BO300" s="135"/>
      <c r="BP300" s="135"/>
      <c r="BQ300" s="135"/>
      <c r="BR300" s="138" t="e">
        <v>#VALUE!</v>
      </c>
      <c r="BS300" s="135"/>
      <c r="BT300" s="135"/>
      <c r="BU300" s="135">
        <v>2.7659519999999999E-3</v>
      </c>
      <c r="BV300" s="135"/>
      <c r="BW300" s="135"/>
      <c r="BX300" s="135"/>
      <c r="BY300" s="135"/>
      <c r="BZ300" s="135"/>
      <c r="CA300" s="135"/>
      <c r="CB300" s="135"/>
      <c r="CC300" s="135"/>
      <c r="CD300" s="135"/>
      <c r="CE300" s="135"/>
      <c r="CF300" s="135"/>
      <c r="CG300" s="135"/>
      <c r="CH300" s="135"/>
      <c r="CI300" s="185"/>
      <c r="CJ300" s="187"/>
      <c r="CK300" s="136">
        <f t="shared" si="89"/>
        <v>1.6928872184573628E-3</v>
      </c>
      <c r="CL300" s="188"/>
      <c r="CM300" s="188"/>
      <c r="CN300" s="188"/>
      <c r="CO300" s="138" t="s">
        <v>2488</v>
      </c>
      <c r="CP300" s="189" t="s">
        <v>2489</v>
      </c>
      <c r="CQ300" s="191" t="s">
        <v>272</v>
      </c>
      <c r="CR300" s="191"/>
      <c r="CS300" s="135" t="s">
        <v>539</v>
      </c>
      <c r="CT300" s="135"/>
      <c r="CU300" s="135"/>
      <c r="CV300" s="332">
        <f t="shared" si="90"/>
        <v>7.1420029627324175E-2</v>
      </c>
      <c r="CW300" s="329">
        <f t="shared" si="91"/>
        <v>0</v>
      </c>
      <c r="CX300" s="329"/>
      <c r="CY300" s="189" t="s">
        <v>6351</v>
      </c>
    </row>
    <row r="301" spans="1:103" ht="11.25" customHeight="1" x14ac:dyDescent="0.2">
      <c r="A301" s="72">
        <v>587</v>
      </c>
      <c r="B301" s="183">
        <v>1813</v>
      </c>
      <c r="C301" s="133" t="s">
        <v>1359</v>
      </c>
      <c r="D301" s="133" t="s">
        <v>6523</v>
      </c>
      <c r="E301" s="134"/>
      <c r="F301" s="134" t="s">
        <v>1360</v>
      </c>
      <c r="G301" s="184">
        <v>52645531</v>
      </c>
      <c r="H301" s="138" t="s">
        <v>1361</v>
      </c>
      <c r="I301" s="138" t="s">
        <v>7889</v>
      </c>
      <c r="J301" s="138" t="s">
        <v>1362</v>
      </c>
      <c r="K301" s="138" t="s">
        <v>1363</v>
      </c>
      <c r="L301" s="138" t="s">
        <v>279</v>
      </c>
      <c r="M301" s="138" t="s">
        <v>1364</v>
      </c>
      <c r="N301" s="138" t="s">
        <v>6376</v>
      </c>
      <c r="O301" s="138" t="s">
        <v>281</v>
      </c>
      <c r="P301" s="138" t="s">
        <v>6178</v>
      </c>
      <c r="Q301" s="138" t="s">
        <v>6173</v>
      </c>
      <c r="R301" s="138" t="s">
        <v>6181</v>
      </c>
      <c r="S301" s="138" t="s">
        <v>6176</v>
      </c>
      <c r="T301" s="135">
        <v>391.29</v>
      </c>
      <c r="U301" s="185">
        <v>6.0000000000000001E-3</v>
      </c>
      <c r="V301" s="185">
        <v>9.7470000000000005E-3</v>
      </c>
      <c r="W301" s="185">
        <v>5.1582067922973561E-2</v>
      </c>
      <c r="X301" s="185">
        <v>6.0000000000000001E-3</v>
      </c>
      <c r="Y301" s="204">
        <v>7</v>
      </c>
      <c r="Z301" s="135">
        <v>7.43</v>
      </c>
      <c r="AA301" s="135">
        <v>6.5</v>
      </c>
      <c r="AB301" s="135">
        <v>6.33</v>
      </c>
      <c r="AC301" s="135">
        <v>0.93520000000000003</v>
      </c>
      <c r="AD301" s="135">
        <v>6.47</v>
      </c>
      <c r="AE301" s="135">
        <v>7.15</v>
      </c>
      <c r="AF301" s="135">
        <f t="shared" si="86"/>
        <v>6.5</v>
      </c>
      <c r="AG301" s="136">
        <v>5.3</v>
      </c>
      <c r="AH301" s="185">
        <v>2.8799999999999998E-7</v>
      </c>
      <c r="AI301" s="185">
        <v>1.8700000000000001E-6</v>
      </c>
      <c r="AJ301" s="136">
        <f t="shared" si="87"/>
        <v>-4.9291738385534209</v>
      </c>
      <c r="AK301" s="136">
        <f>LOG10(AI301*1000/(0.08206*298.15))</f>
        <v>-4.116724719776153</v>
      </c>
      <c r="AL301" s="136">
        <f t="shared" si="88"/>
        <v>-4.116724719776153</v>
      </c>
      <c r="AM301" s="136">
        <v>-12.603410000000002</v>
      </c>
      <c r="AN301" s="186">
        <v>-4.92</v>
      </c>
      <c r="AO301" s="481"/>
      <c r="AP301" s="481"/>
      <c r="AQ301" s="186" t="s">
        <v>6311</v>
      </c>
      <c r="AR301" s="186" t="s">
        <v>6312</v>
      </c>
      <c r="AS301" s="183"/>
      <c r="AT301" s="137" t="s">
        <v>266</v>
      </c>
      <c r="AU301" s="135">
        <v>6</v>
      </c>
      <c r="AV301" s="135">
        <v>120</v>
      </c>
      <c r="AW301" s="135">
        <v>114</v>
      </c>
      <c r="AX301" s="135">
        <v>28</v>
      </c>
      <c r="AY301" s="135" t="s">
        <v>8728</v>
      </c>
      <c r="AZ301" s="135" t="s">
        <v>1563</v>
      </c>
      <c r="BA301" s="135">
        <v>32</v>
      </c>
      <c r="BB301" s="138" t="s">
        <v>2485</v>
      </c>
      <c r="BC301" s="458" t="s">
        <v>8726</v>
      </c>
      <c r="BD301" s="138" t="s">
        <v>8374</v>
      </c>
      <c r="BE301" s="135" t="s">
        <v>2449</v>
      </c>
      <c r="BF301" s="135" t="s">
        <v>272</v>
      </c>
      <c r="BG301" s="135" t="s">
        <v>272</v>
      </c>
      <c r="BH301" s="135" t="s">
        <v>2486</v>
      </c>
      <c r="BI301" s="185">
        <v>2.5042559999999998E-3</v>
      </c>
      <c r="BJ301" s="185">
        <v>25.042560000000002</v>
      </c>
      <c r="BK301" s="135"/>
      <c r="BL301" s="485">
        <v>4.2698807781093792E-3</v>
      </c>
      <c r="BM301" s="138" t="s">
        <v>2487</v>
      </c>
      <c r="BN301" s="135"/>
      <c r="BO301" s="135"/>
      <c r="BP301" s="135"/>
      <c r="BQ301" s="135"/>
      <c r="BR301" s="138" t="e">
        <v>#VALUE!</v>
      </c>
      <c r="BS301" s="135"/>
      <c r="BT301" s="135"/>
      <c r="BU301" s="135"/>
      <c r="BV301" s="135"/>
      <c r="BW301" s="135"/>
      <c r="BX301" s="135"/>
      <c r="BY301" s="135"/>
      <c r="BZ301" s="135"/>
      <c r="CA301" s="135"/>
      <c r="CB301" s="135"/>
      <c r="CC301" s="135"/>
      <c r="CD301" s="135"/>
      <c r="CE301" s="135"/>
      <c r="CF301" s="135"/>
      <c r="CG301" s="135"/>
      <c r="CH301" s="135"/>
      <c r="CI301" s="185"/>
      <c r="CJ301" s="187"/>
      <c r="CK301" s="136">
        <f t="shared" si="89"/>
        <v>1.7050496347455608E-4</v>
      </c>
      <c r="CL301" s="188"/>
      <c r="CM301" s="188">
        <v>-2.6020599913279625</v>
      </c>
      <c r="CN301" s="188">
        <f>BJ301/(10^CM301)</f>
        <v>10017.024000000005</v>
      </c>
      <c r="CO301" s="138" t="s">
        <v>2488</v>
      </c>
      <c r="CP301" s="189" t="s">
        <v>2489</v>
      </c>
      <c r="CQ301" s="183">
        <v>-2.0868585448471388</v>
      </c>
      <c r="CR301" s="191">
        <f>10^(CJ301-CQ301)</f>
        <v>122.14017695134237</v>
      </c>
      <c r="CS301" s="135" t="s">
        <v>539</v>
      </c>
      <c r="CT301" s="135"/>
      <c r="CU301" s="135"/>
      <c r="CV301" s="332">
        <f t="shared" si="90"/>
        <v>2.3959211837767383E-4</v>
      </c>
      <c r="CW301" s="329">
        <f t="shared" si="91"/>
        <v>0</v>
      </c>
      <c r="CX301" s="329"/>
      <c r="CY301" s="189" t="s">
        <v>5921</v>
      </c>
    </row>
    <row r="302" spans="1:103" ht="11.25" customHeight="1" x14ac:dyDescent="0.2">
      <c r="A302" s="72">
        <v>588</v>
      </c>
      <c r="B302" s="183">
        <v>1500</v>
      </c>
      <c r="C302" s="133" t="s">
        <v>931</v>
      </c>
      <c r="D302" s="133" t="s">
        <v>6516</v>
      </c>
      <c r="E302" s="134"/>
      <c r="F302" s="134" t="s">
        <v>932</v>
      </c>
      <c r="G302" s="184">
        <v>33089611</v>
      </c>
      <c r="H302" s="138" t="s">
        <v>933</v>
      </c>
      <c r="I302" s="138" t="s">
        <v>933</v>
      </c>
      <c r="J302" s="138" t="s">
        <v>934</v>
      </c>
      <c r="K302" s="138" t="s">
        <v>300</v>
      </c>
      <c r="L302" s="138" t="s">
        <v>617</v>
      </c>
      <c r="M302" s="138" t="s">
        <v>935</v>
      </c>
      <c r="N302" s="138" t="s">
        <v>6383</v>
      </c>
      <c r="O302" s="138" t="s">
        <v>918</v>
      </c>
      <c r="P302" s="138"/>
      <c r="Q302" s="138"/>
      <c r="R302" s="138"/>
      <c r="S302" s="138"/>
      <c r="T302" s="135">
        <v>293.41000000000003</v>
      </c>
      <c r="U302" s="185">
        <v>1</v>
      </c>
      <c r="V302" s="185">
        <v>2.7440000000000002</v>
      </c>
      <c r="W302" s="185">
        <v>2.0299012517732473</v>
      </c>
      <c r="X302" s="185">
        <v>1</v>
      </c>
      <c r="Y302" s="204">
        <v>7.1</v>
      </c>
      <c r="Z302" s="135">
        <v>5.55</v>
      </c>
      <c r="AA302" s="135">
        <v>5.5</v>
      </c>
      <c r="AB302" s="135">
        <v>5.14</v>
      </c>
      <c r="AC302" s="135">
        <v>0.8306</v>
      </c>
      <c r="AD302" s="135">
        <v>5.26</v>
      </c>
      <c r="AE302" s="135">
        <v>5.64</v>
      </c>
      <c r="AF302" s="135">
        <f t="shared" si="86"/>
        <v>5.5</v>
      </c>
      <c r="AG302" s="136">
        <v>5.18</v>
      </c>
      <c r="AH302" s="185">
        <v>1.48E-8</v>
      </c>
      <c r="AI302" s="185">
        <v>9.8700000000000004E-6</v>
      </c>
      <c r="AJ302" s="136">
        <f t="shared" si="87"/>
        <v>-6.218304610917694</v>
      </c>
      <c r="AK302" s="136">
        <f>LOG10(AI302*1000/(0.08206*298.15))</f>
        <v>-3.3942491736430149</v>
      </c>
      <c r="AL302" s="136">
        <f t="shared" si="88"/>
        <v>-3.3942491736430149</v>
      </c>
      <c r="AM302" s="136">
        <v>-9.5969200000000008</v>
      </c>
      <c r="AN302" s="186">
        <v>-3.62</v>
      </c>
      <c r="AO302" s="481"/>
      <c r="AP302" s="481">
        <v>4.9400000000000004</v>
      </c>
      <c r="AQ302" s="135" t="s">
        <v>6311</v>
      </c>
      <c r="AR302" s="135" t="s">
        <v>6311</v>
      </c>
      <c r="AS302" s="190"/>
      <c r="AT302" s="137" t="s">
        <v>266</v>
      </c>
      <c r="AU302" s="135">
        <v>6</v>
      </c>
      <c r="AV302" s="135">
        <v>120</v>
      </c>
      <c r="AW302" s="135">
        <v>114</v>
      </c>
      <c r="AX302" s="135">
        <v>28</v>
      </c>
      <c r="AY302" s="135" t="s">
        <v>8728</v>
      </c>
      <c r="AZ302" s="135" t="s">
        <v>1563</v>
      </c>
      <c r="BA302" s="135">
        <v>32</v>
      </c>
      <c r="BB302" s="138" t="s">
        <v>2485</v>
      </c>
      <c r="BC302" s="458" t="s">
        <v>8726</v>
      </c>
      <c r="BD302" s="138" t="s">
        <v>8374</v>
      </c>
      <c r="BE302" s="135" t="s">
        <v>2449</v>
      </c>
      <c r="BF302" s="135" t="s">
        <v>272</v>
      </c>
      <c r="BG302" s="135" t="s">
        <v>272</v>
      </c>
      <c r="BH302" s="135" t="s">
        <v>2486</v>
      </c>
      <c r="BI302" s="185">
        <v>1.8778240000000002E-3</v>
      </c>
      <c r="BJ302" s="185">
        <v>18.77824</v>
      </c>
      <c r="BK302" s="135"/>
      <c r="BL302" s="485">
        <v>0.15624995875800302</v>
      </c>
      <c r="BM302" s="138" t="s">
        <v>2487</v>
      </c>
      <c r="BN302" s="135"/>
      <c r="BO302" s="135"/>
      <c r="BP302" s="135"/>
      <c r="BQ302" s="135"/>
      <c r="BR302" s="138" t="e">
        <v>#VALUE!</v>
      </c>
      <c r="BS302" s="135"/>
      <c r="BT302" s="135"/>
      <c r="BU302" s="135"/>
      <c r="BV302" s="135"/>
      <c r="BW302" s="135"/>
      <c r="BX302" s="135"/>
      <c r="BY302" s="135"/>
      <c r="BZ302" s="135"/>
      <c r="CA302" s="135"/>
      <c r="CB302" s="135"/>
      <c r="CC302" s="135"/>
      <c r="CD302" s="135"/>
      <c r="CE302" s="135"/>
      <c r="CF302" s="135"/>
      <c r="CG302" s="135"/>
      <c r="CH302" s="135"/>
      <c r="CI302" s="185"/>
      <c r="CJ302" s="187"/>
      <c r="CK302" s="136">
        <f t="shared" si="89"/>
        <v>8.320798901175137E-3</v>
      </c>
      <c r="CL302" s="188"/>
      <c r="CM302" s="188">
        <v>5.1837787826759525E-2</v>
      </c>
      <c r="CN302" s="188">
        <f>BJ302/(10^CM302)</f>
        <v>16.665452017676564</v>
      </c>
      <c r="CO302" s="138" t="s">
        <v>2488</v>
      </c>
      <c r="CP302" s="189" t="s">
        <v>2489</v>
      </c>
      <c r="CQ302" s="183">
        <v>7.3433552806692018E-2</v>
      </c>
      <c r="CR302" s="191">
        <f>10^(CJ302-CQ302)</f>
        <v>0.84443543091421291</v>
      </c>
      <c r="CS302" s="135" t="s">
        <v>539</v>
      </c>
      <c r="CT302" s="135"/>
      <c r="CU302" s="135"/>
      <c r="CV302" s="332">
        <f t="shared" si="90"/>
        <v>5.3253127023618826E-2</v>
      </c>
      <c r="CW302" s="329">
        <f t="shared" si="91"/>
        <v>0</v>
      </c>
      <c r="CX302" s="329"/>
      <c r="CY302" s="189" t="s">
        <v>5921</v>
      </c>
    </row>
    <row r="303" spans="1:103" ht="11.25" customHeight="1" x14ac:dyDescent="0.2">
      <c r="A303" s="72">
        <v>589</v>
      </c>
      <c r="B303" s="183">
        <v>1224</v>
      </c>
      <c r="C303" s="133" t="s">
        <v>1337</v>
      </c>
      <c r="D303" s="133" t="s">
        <v>6664</v>
      </c>
      <c r="E303" s="134"/>
      <c r="F303" s="134" t="s">
        <v>1338</v>
      </c>
      <c r="G303" s="184">
        <v>19666309</v>
      </c>
      <c r="H303" s="138" t="s">
        <v>1339</v>
      </c>
      <c r="I303" s="138" t="s">
        <v>7936</v>
      </c>
      <c r="J303" s="138" t="s">
        <v>1340</v>
      </c>
      <c r="K303" s="138" t="s">
        <v>976</v>
      </c>
      <c r="L303" s="138" t="s">
        <v>6004</v>
      </c>
      <c r="M303" s="138" t="s">
        <v>6082</v>
      </c>
      <c r="N303" s="138" t="s">
        <v>6082</v>
      </c>
      <c r="O303" s="138" t="s">
        <v>6083</v>
      </c>
      <c r="P303" s="138"/>
      <c r="Q303" s="138"/>
      <c r="R303" s="138"/>
      <c r="S303" s="138"/>
      <c r="T303" s="135">
        <v>345.22</v>
      </c>
      <c r="U303" s="185">
        <v>0.7</v>
      </c>
      <c r="V303" s="185">
        <v>0.52680000000000005</v>
      </c>
      <c r="W303" s="185">
        <v>0.72126681029343098</v>
      </c>
      <c r="X303" s="185">
        <v>0.7</v>
      </c>
      <c r="Y303" s="204">
        <v>7</v>
      </c>
      <c r="Z303" s="135">
        <v>4.8099999999999996</v>
      </c>
      <c r="AA303" s="135">
        <v>4.8</v>
      </c>
      <c r="AB303" s="135">
        <v>4.5</v>
      </c>
      <c r="AC303" s="135">
        <v>0.83169999999999999</v>
      </c>
      <c r="AD303" s="135">
        <v>4.51</v>
      </c>
      <c r="AE303" s="135">
        <v>4.54</v>
      </c>
      <c r="AF303" s="135">
        <f t="shared" si="86"/>
        <v>4.8</v>
      </c>
      <c r="AG303" s="136">
        <v>5.36</v>
      </c>
      <c r="AH303" s="185">
        <v>3.2199999999999997E-8</v>
      </c>
      <c r="AI303" s="185">
        <v>7.2699999999999996E-8</v>
      </c>
      <c r="AJ303" s="136">
        <f t="shared" si="87"/>
        <v>-5.8807104546168212</v>
      </c>
      <c r="AK303" s="136">
        <f>LOG10(AI303*1000/(0.08206*298.15))</f>
        <v>-5.5270319154536143</v>
      </c>
      <c r="AL303" s="136">
        <f t="shared" si="88"/>
        <v>-5.5270319154536143</v>
      </c>
      <c r="AM303" s="136">
        <v>-10.731549999999999</v>
      </c>
      <c r="AN303" s="186">
        <v>-0.77500000000000002</v>
      </c>
      <c r="AO303" s="481"/>
      <c r="AP303" s="481">
        <v>-2.73</v>
      </c>
      <c r="AQ303" s="135" t="s">
        <v>6311</v>
      </c>
      <c r="AR303" s="135" t="s">
        <v>6311</v>
      </c>
      <c r="AS303" s="190"/>
      <c r="AT303" s="137" t="s">
        <v>266</v>
      </c>
      <c r="AU303" s="135">
        <v>6</v>
      </c>
      <c r="AV303" s="135">
        <v>120</v>
      </c>
      <c r="AW303" s="135">
        <v>114</v>
      </c>
      <c r="AX303" s="135">
        <v>28</v>
      </c>
      <c r="AY303" s="135" t="s">
        <v>8728</v>
      </c>
      <c r="AZ303" s="135" t="s">
        <v>1563</v>
      </c>
      <c r="BA303" s="135">
        <v>32</v>
      </c>
      <c r="BB303" s="138" t="s">
        <v>2485</v>
      </c>
      <c r="BC303" s="458" t="s">
        <v>8726</v>
      </c>
      <c r="BD303" s="138" t="s">
        <v>8374</v>
      </c>
      <c r="BE303" s="135" t="s">
        <v>2449</v>
      </c>
      <c r="BF303" s="135" t="s">
        <v>272</v>
      </c>
      <c r="BG303" s="135" t="s">
        <v>272</v>
      </c>
      <c r="BH303" s="135" t="s">
        <v>2486</v>
      </c>
      <c r="BI303" s="185">
        <v>2.2094079999999999E-3</v>
      </c>
      <c r="BJ303" s="185">
        <v>22.094080000000002</v>
      </c>
      <c r="BK303" s="135"/>
      <c r="BL303" s="485">
        <v>0.84924881239931171</v>
      </c>
      <c r="BM303" s="138" t="s">
        <v>2487</v>
      </c>
      <c r="BN303" s="135"/>
      <c r="BO303" s="135"/>
      <c r="BP303" s="135"/>
      <c r="BQ303" s="135"/>
      <c r="BR303" s="138" t="e">
        <v>#VALUE!</v>
      </c>
      <c r="BS303" s="135"/>
      <c r="BT303" s="135"/>
      <c r="BU303" s="135">
        <v>2.2094079999999999E-3</v>
      </c>
      <c r="BV303" s="135"/>
      <c r="BW303" s="135"/>
      <c r="BX303" s="135"/>
      <c r="BY303" s="135"/>
      <c r="BZ303" s="135"/>
      <c r="CA303" s="135"/>
      <c r="CB303" s="135"/>
      <c r="CC303" s="135"/>
      <c r="CD303" s="135"/>
      <c r="CE303" s="135"/>
      <c r="CF303" s="135"/>
      <c r="CG303" s="135"/>
      <c r="CH303" s="135"/>
      <c r="CI303" s="185"/>
      <c r="CJ303" s="187"/>
      <c r="CK303" s="136">
        <f t="shared" si="89"/>
        <v>3.8437844544751881E-2</v>
      </c>
      <c r="CL303" s="188"/>
      <c r="CM303" s="188">
        <v>0.31249259019383652</v>
      </c>
      <c r="CN303" s="188">
        <f>BJ303/(10^CM303)</f>
        <v>10.759283028608964</v>
      </c>
      <c r="CO303" s="138" t="s">
        <v>2488</v>
      </c>
      <c r="CP303" s="189" t="s">
        <v>2489</v>
      </c>
      <c r="CQ303" s="183">
        <v>0.47543215899110564</v>
      </c>
      <c r="CR303" s="191">
        <f>10^(CJ303-CQ303)</f>
        <v>0.3346322865784363</v>
      </c>
      <c r="CS303" s="135" t="s">
        <v>539</v>
      </c>
      <c r="CT303" s="135"/>
      <c r="CU303" s="135"/>
      <c r="CV303" s="332">
        <f t="shared" si="90"/>
        <v>3.168269509298418E-2</v>
      </c>
      <c r="CW303" s="329">
        <f t="shared" si="91"/>
        <v>0</v>
      </c>
      <c r="CX303" s="329"/>
      <c r="CY303" s="189" t="s">
        <v>5921</v>
      </c>
    </row>
    <row r="304" spans="1:103" ht="11.25" customHeight="1" x14ac:dyDescent="0.2">
      <c r="A304" s="72">
        <v>590</v>
      </c>
      <c r="B304" s="183">
        <v>1666</v>
      </c>
      <c r="C304" s="133" t="s">
        <v>1193</v>
      </c>
      <c r="D304" s="133" t="s">
        <v>6653</v>
      </c>
      <c r="E304" s="134"/>
      <c r="F304" s="134" t="s">
        <v>1194</v>
      </c>
      <c r="G304" s="184">
        <v>69806504</v>
      </c>
      <c r="H304" s="138" t="s">
        <v>1195</v>
      </c>
      <c r="I304" s="138" t="s">
        <v>1195</v>
      </c>
      <c r="J304" s="138" t="s">
        <v>1196</v>
      </c>
      <c r="K304" s="138" t="s">
        <v>357</v>
      </c>
      <c r="L304" s="138" t="s">
        <v>5982</v>
      </c>
      <c r="M304" s="138" t="s">
        <v>2342</v>
      </c>
      <c r="N304" s="138" t="s">
        <v>2342</v>
      </c>
      <c r="O304" s="138"/>
      <c r="P304" s="138"/>
      <c r="Q304" s="138"/>
      <c r="R304" s="138"/>
      <c r="S304" s="138"/>
      <c r="T304" s="135">
        <v>383.36</v>
      </c>
      <c r="U304" s="185">
        <v>2</v>
      </c>
      <c r="V304" s="185">
        <v>0.55679999999999996</v>
      </c>
      <c r="W304" s="185">
        <v>14.914434678500736</v>
      </c>
      <c r="X304" s="185">
        <v>2</v>
      </c>
      <c r="Y304" s="204">
        <v>7</v>
      </c>
      <c r="Z304" s="135">
        <v>5.34</v>
      </c>
      <c r="AA304" s="135">
        <v>4.5</v>
      </c>
      <c r="AB304" s="135">
        <v>4.26</v>
      </c>
      <c r="AC304" s="135">
        <v>0.8861</v>
      </c>
      <c r="AD304" s="135">
        <v>4.1399999999999997</v>
      </c>
      <c r="AE304" s="135">
        <v>3.64</v>
      </c>
      <c r="AF304" s="135">
        <f t="shared" si="86"/>
        <v>4.5</v>
      </c>
      <c r="AG304" s="136">
        <v>4.46</v>
      </c>
      <c r="AH304" s="185">
        <v>3.7900000000000002E-8</v>
      </c>
      <c r="AI304" s="185">
        <v>2.0800000000000001E-7</v>
      </c>
      <c r="AJ304" s="136">
        <f t="shared" si="87"/>
        <v>-5.8099271163445794</v>
      </c>
      <c r="AK304" s="136">
        <f>LOG10(AI304*1000/(0.08206*298.15))</f>
        <v>-5.0705029913498905</v>
      </c>
      <c r="AL304" s="136">
        <f t="shared" si="88"/>
        <v>-5.0705029913498905</v>
      </c>
      <c r="AM304" s="136">
        <v>-12.061889999999998</v>
      </c>
      <c r="AN304" s="186">
        <v>-5.76</v>
      </c>
      <c r="AO304" s="481"/>
      <c r="AP304" s="481">
        <v>0.78</v>
      </c>
      <c r="AQ304" s="186" t="s">
        <v>6311</v>
      </c>
      <c r="AR304" s="186" t="s">
        <v>6312</v>
      </c>
      <c r="AS304" s="183"/>
      <c r="AT304" s="137" t="s">
        <v>266</v>
      </c>
      <c r="AU304" s="135">
        <v>6</v>
      </c>
      <c r="AV304" s="135">
        <v>120</v>
      </c>
      <c r="AW304" s="135">
        <v>114</v>
      </c>
      <c r="AX304" s="135">
        <v>28</v>
      </c>
      <c r="AY304" s="135" t="s">
        <v>8728</v>
      </c>
      <c r="AZ304" s="135" t="s">
        <v>1563</v>
      </c>
      <c r="BA304" s="135">
        <v>32</v>
      </c>
      <c r="BB304" s="138" t="s">
        <v>2485</v>
      </c>
      <c r="BC304" s="458" t="s">
        <v>8726</v>
      </c>
      <c r="BD304" s="138" t="s">
        <v>8374</v>
      </c>
      <c r="BE304" s="135" t="s">
        <v>2449</v>
      </c>
      <c r="BF304" s="135" t="s">
        <v>272</v>
      </c>
      <c r="BG304" s="135" t="s">
        <v>272</v>
      </c>
      <c r="BH304" s="135" t="s">
        <v>2486</v>
      </c>
      <c r="BI304" s="185">
        <v>2.453504E-3</v>
      </c>
      <c r="BJ304" s="185">
        <v>24.535040000000002</v>
      </c>
      <c r="BK304" s="135"/>
      <c r="BL304" s="485">
        <v>0.31517575102200357</v>
      </c>
      <c r="BM304" s="138" t="s">
        <v>2487</v>
      </c>
      <c r="BN304" s="135"/>
      <c r="BO304" s="135"/>
      <c r="BP304" s="135"/>
      <c r="BQ304" s="135"/>
      <c r="BR304" s="138" t="e">
        <v>#VALUE!</v>
      </c>
      <c r="BS304" s="135"/>
      <c r="BT304" s="135"/>
      <c r="BU304" s="135"/>
      <c r="BV304" s="135"/>
      <c r="BW304" s="135"/>
      <c r="BX304" s="135"/>
      <c r="BY304" s="135"/>
      <c r="BZ304" s="135"/>
      <c r="CA304" s="135"/>
      <c r="CB304" s="135"/>
      <c r="CC304" s="135"/>
      <c r="CD304" s="135"/>
      <c r="CE304" s="135"/>
      <c r="CF304" s="135"/>
      <c r="CG304" s="135"/>
      <c r="CH304" s="135"/>
      <c r="CI304" s="185"/>
      <c r="CJ304" s="187"/>
      <c r="CK304" s="136">
        <f t="shared" si="89"/>
        <v>1.2845944046637118E-2</v>
      </c>
      <c r="CL304" s="188"/>
      <c r="CM304" s="188">
        <v>-0.43179827593300535</v>
      </c>
      <c r="CN304" s="188">
        <f>BJ304/(10^CM304)</f>
        <v>66.310918918918972</v>
      </c>
      <c r="CO304" s="138" t="s">
        <v>2488</v>
      </c>
      <c r="CP304" s="189" t="s">
        <v>2489</v>
      </c>
      <c r="CQ304" s="183">
        <v>0.43776498491040244</v>
      </c>
      <c r="CR304" s="191">
        <f>10^(CJ304-CQ304)</f>
        <v>0.36495138411018446</v>
      </c>
      <c r="CS304" s="135" t="s">
        <v>539</v>
      </c>
      <c r="CT304" s="135"/>
      <c r="CU304" s="135"/>
      <c r="CV304" s="332">
        <f t="shared" si="90"/>
        <v>8.151606844741234E-2</v>
      </c>
      <c r="CW304" s="329">
        <f t="shared" si="91"/>
        <v>0</v>
      </c>
      <c r="CX304" s="329"/>
      <c r="CY304" s="189" t="s">
        <v>5921</v>
      </c>
    </row>
    <row r="305" spans="1:103" ht="11.25" customHeight="1" x14ac:dyDescent="0.2">
      <c r="A305" s="72">
        <v>591</v>
      </c>
      <c r="B305" s="183">
        <v>1111</v>
      </c>
      <c r="C305" s="133" t="s">
        <v>6862</v>
      </c>
      <c r="D305" s="133"/>
      <c r="E305" s="134"/>
      <c r="F305" s="134" t="s">
        <v>3107</v>
      </c>
      <c r="G305" s="184">
        <v>2432873</v>
      </c>
      <c r="H305" s="138" t="s">
        <v>3108</v>
      </c>
      <c r="I305" s="138" t="s">
        <v>3108</v>
      </c>
      <c r="J305" s="138" t="s">
        <v>3109</v>
      </c>
      <c r="K305" s="138" t="s">
        <v>357</v>
      </c>
      <c r="L305" s="138"/>
      <c r="M305" s="138"/>
      <c r="N305" s="138"/>
      <c r="O305" s="138"/>
      <c r="P305" s="138"/>
      <c r="Q305" s="138"/>
      <c r="R305" s="138"/>
      <c r="S305" s="138"/>
      <c r="T305" s="135">
        <v>426.67</v>
      </c>
      <c r="U305" s="185"/>
      <c r="V305" s="185">
        <v>3.856E-6</v>
      </c>
      <c r="W305" s="185">
        <v>4.6783435194841225E-2</v>
      </c>
      <c r="X305" s="185">
        <v>4.6783435194841225E-2</v>
      </c>
      <c r="Y305" s="204">
        <v>7</v>
      </c>
      <c r="Z305" s="135">
        <v>10.23</v>
      </c>
      <c r="AA305" s="135"/>
      <c r="AB305" s="135">
        <v>9.31</v>
      </c>
      <c r="AC305" s="135">
        <v>0.50770000000000004</v>
      </c>
      <c r="AD305" s="135">
        <v>9.82</v>
      </c>
      <c r="AE305" s="135">
        <v>10.23</v>
      </c>
      <c r="AF305" s="135">
        <f t="shared" si="86"/>
        <v>9.82</v>
      </c>
      <c r="AG305" s="136">
        <v>9.82</v>
      </c>
      <c r="AH305" s="185">
        <v>1.6000000000000001E-4</v>
      </c>
      <c r="AI305" s="185"/>
      <c r="AJ305" s="136">
        <f t="shared" si="87"/>
        <v>-2.184446343656727</v>
      </c>
      <c r="AK305" s="136"/>
      <c r="AL305" s="136">
        <f t="shared" si="88"/>
        <v>-2.184446343656727</v>
      </c>
      <c r="AM305" s="136">
        <v>-8.3466799999999992</v>
      </c>
      <c r="AN305" s="186"/>
      <c r="AO305" s="481"/>
      <c r="AP305" s="481"/>
      <c r="AQ305" s="135" t="s">
        <v>6311</v>
      </c>
      <c r="AR305" s="135" t="s">
        <v>6312</v>
      </c>
      <c r="AS305" s="190"/>
      <c r="AT305" s="137" t="s">
        <v>266</v>
      </c>
      <c r="AU305" s="135">
        <v>6</v>
      </c>
      <c r="AV305" s="135">
        <v>120</v>
      </c>
      <c r="AW305" s="135">
        <v>114</v>
      </c>
      <c r="AX305" s="135">
        <v>28</v>
      </c>
      <c r="AY305" s="135" t="s">
        <v>8728</v>
      </c>
      <c r="AZ305" s="135" t="s">
        <v>1563</v>
      </c>
      <c r="BA305" s="135">
        <v>32</v>
      </c>
      <c r="BB305" s="138" t="s">
        <v>2485</v>
      </c>
      <c r="BC305" s="458" t="s">
        <v>8726</v>
      </c>
      <c r="BD305" s="138" t="s">
        <v>8374</v>
      </c>
      <c r="BE305" s="135" t="s">
        <v>2449</v>
      </c>
      <c r="BF305" s="135" t="s">
        <v>272</v>
      </c>
      <c r="BG305" s="135" t="s">
        <v>272</v>
      </c>
      <c r="BH305" s="135" t="s">
        <v>2486</v>
      </c>
      <c r="BI305" s="185">
        <v>2.7306879999999998E-3</v>
      </c>
      <c r="BJ305" s="185">
        <v>27.306880000000003</v>
      </c>
      <c r="BK305" s="135"/>
      <c r="BL305" s="485">
        <v>1.4234070346776604E-5</v>
      </c>
      <c r="BM305" s="138" t="s">
        <v>2487</v>
      </c>
      <c r="BN305" s="135"/>
      <c r="BO305" s="135"/>
      <c r="BP305" s="135"/>
      <c r="BQ305" s="135"/>
      <c r="BR305" s="138" t="e">
        <v>#VALUE!</v>
      </c>
      <c r="BS305" s="135"/>
      <c r="BT305" s="135"/>
      <c r="BU305" s="135">
        <v>27.306880000000003</v>
      </c>
      <c r="BV305" s="135"/>
      <c r="BW305" s="135"/>
      <c r="BX305" s="135"/>
      <c r="BY305" s="135"/>
      <c r="BZ305" s="135"/>
      <c r="CA305" s="135"/>
      <c r="CB305" s="135"/>
      <c r="CC305" s="135"/>
      <c r="CD305" s="135"/>
      <c r="CE305" s="135"/>
      <c r="CF305" s="135"/>
      <c r="CG305" s="135"/>
      <c r="CH305" s="135"/>
      <c r="CI305" s="185"/>
      <c r="CJ305" s="187"/>
      <c r="CK305" s="136">
        <f t="shared" si="89"/>
        <v>5.2126315224502402E-7</v>
      </c>
      <c r="CL305" s="188"/>
      <c r="CM305" s="188"/>
      <c r="CN305" s="188"/>
      <c r="CO305" s="138" t="s">
        <v>2488</v>
      </c>
      <c r="CP305" s="189" t="s">
        <v>2489</v>
      </c>
      <c r="CQ305" s="191" t="s">
        <v>272</v>
      </c>
      <c r="CR305" s="191"/>
      <c r="CS305" s="135" t="s">
        <v>539</v>
      </c>
      <c r="CT305" s="135"/>
      <c r="CU305" s="135"/>
      <c r="CV305" s="332">
        <f t="shared" si="90"/>
        <v>1.7132471814737245E-3</v>
      </c>
      <c r="CW305" s="329">
        <f t="shared" si="91"/>
        <v>0</v>
      </c>
      <c r="CX305" s="329"/>
      <c r="CY305" s="189" t="s">
        <v>5921</v>
      </c>
    </row>
    <row r="306" spans="1:103" ht="11.25" customHeight="1" x14ac:dyDescent="0.2">
      <c r="A306" s="72">
        <v>592</v>
      </c>
      <c r="B306" s="183">
        <v>1663</v>
      </c>
      <c r="C306" s="133" t="s">
        <v>1172</v>
      </c>
      <c r="D306" s="133" t="s">
        <v>6697</v>
      </c>
      <c r="E306" s="134"/>
      <c r="F306" s="134" t="s">
        <v>1173</v>
      </c>
      <c r="G306" s="184">
        <v>66441234</v>
      </c>
      <c r="H306" s="138" t="s">
        <v>1174</v>
      </c>
      <c r="I306" s="138" t="s">
        <v>7937</v>
      </c>
      <c r="J306" s="138" t="s">
        <v>1175</v>
      </c>
      <c r="K306" s="138" t="s">
        <v>357</v>
      </c>
      <c r="L306" s="138" t="s">
        <v>5980</v>
      </c>
      <c r="M306" s="138" t="s">
        <v>6082</v>
      </c>
      <c r="N306" s="138" t="s">
        <v>6082</v>
      </c>
      <c r="O306" s="138" t="s">
        <v>6083</v>
      </c>
      <c r="P306" s="138"/>
      <c r="Q306" s="138"/>
      <c r="R306" s="138"/>
      <c r="S306" s="138"/>
      <c r="T306" s="135">
        <v>361.78</v>
      </c>
      <c r="U306" s="185">
        <v>0.9</v>
      </c>
      <c r="V306" s="185">
        <v>0.64470000000000005</v>
      </c>
      <c r="W306" s="185">
        <v>1.0196345768728539</v>
      </c>
      <c r="X306" s="185">
        <v>0.9</v>
      </c>
      <c r="Y306" s="204">
        <v>7</v>
      </c>
      <c r="Z306" s="135">
        <v>4.95</v>
      </c>
      <c r="AA306" s="135">
        <v>4.58</v>
      </c>
      <c r="AB306" s="135">
        <v>4.07</v>
      </c>
      <c r="AC306" s="135">
        <v>0.86009999999999998</v>
      </c>
      <c r="AD306" s="135">
        <v>4.22</v>
      </c>
      <c r="AE306" s="135">
        <v>4.78</v>
      </c>
      <c r="AF306" s="135">
        <f t="shared" si="86"/>
        <v>4.58</v>
      </c>
      <c r="AG306" s="136">
        <v>4.42</v>
      </c>
      <c r="AH306" s="185">
        <v>1.9599999999999999E-11</v>
      </c>
      <c r="AI306" s="185">
        <v>1.59E-8</v>
      </c>
      <c r="AJ306" s="136">
        <f t="shared" si="87"/>
        <v>-9.0963102549561761</v>
      </c>
      <c r="AK306" s="136">
        <f>LOG10(AI306*1000/(0.08206*298.15))</f>
        <v>-6.1871692019922007</v>
      </c>
      <c r="AL306" s="136">
        <f t="shared" si="88"/>
        <v>-6.1871692019922007</v>
      </c>
      <c r="AM306" s="136">
        <v>-15.666689999999999</v>
      </c>
      <c r="AN306" s="186">
        <v>-7.36</v>
      </c>
      <c r="AO306" s="481"/>
      <c r="AP306" s="481">
        <v>-0.08</v>
      </c>
      <c r="AQ306" s="186" t="s">
        <v>6311</v>
      </c>
      <c r="AR306" s="186" t="s">
        <v>6312</v>
      </c>
      <c r="AS306" s="183"/>
      <c r="AT306" s="137" t="s">
        <v>266</v>
      </c>
      <c r="AU306" s="135">
        <v>6</v>
      </c>
      <c r="AV306" s="135">
        <v>120</v>
      </c>
      <c r="AW306" s="135">
        <v>114</v>
      </c>
      <c r="AX306" s="135">
        <v>28</v>
      </c>
      <c r="AY306" s="135" t="s">
        <v>8728</v>
      </c>
      <c r="AZ306" s="135" t="s">
        <v>1563</v>
      </c>
      <c r="BA306" s="135">
        <v>32</v>
      </c>
      <c r="BB306" s="138" t="s">
        <v>2485</v>
      </c>
      <c r="BC306" s="458" t="s">
        <v>8726</v>
      </c>
      <c r="BD306" s="138" t="s">
        <v>8374</v>
      </c>
      <c r="BE306" s="135" t="s">
        <v>2449</v>
      </c>
      <c r="BF306" s="135" t="s">
        <v>272</v>
      </c>
      <c r="BG306" s="135" t="s">
        <v>272</v>
      </c>
      <c r="BH306" s="135" t="s">
        <v>2486</v>
      </c>
      <c r="BI306" s="185">
        <v>2.3153919999999999E-3</v>
      </c>
      <c r="BJ306" s="185">
        <v>23.153919999999999</v>
      </c>
      <c r="BK306" s="135"/>
      <c r="BL306" s="485">
        <v>0.66626891935740706</v>
      </c>
      <c r="BM306" s="138" t="s">
        <v>2487</v>
      </c>
      <c r="BN306" s="135"/>
      <c r="BO306" s="135"/>
      <c r="BP306" s="135"/>
      <c r="BQ306" s="135"/>
      <c r="BR306" s="138" t="e">
        <v>#VALUE!</v>
      </c>
      <c r="BS306" s="135"/>
      <c r="BT306" s="135"/>
      <c r="BU306" s="135"/>
      <c r="BV306" s="135"/>
      <c r="BW306" s="135"/>
      <c r="BX306" s="135"/>
      <c r="BY306" s="135"/>
      <c r="BZ306" s="135"/>
      <c r="CA306" s="135"/>
      <c r="CB306" s="135"/>
      <c r="CC306" s="135"/>
      <c r="CD306" s="135"/>
      <c r="CE306" s="135"/>
      <c r="CF306" s="135"/>
      <c r="CG306" s="135"/>
      <c r="CH306" s="135"/>
      <c r="CI306" s="185"/>
      <c r="CJ306" s="187"/>
      <c r="CK306" s="136">
        <f t="shared" si="89"/>
        <v>2.8775642282490702E-2</v>
      </c>
      <c r="CL306" s="188"/>
      <c r="CM306" s="188">
        <v>0.2066085282996776</v>
      </c>
      <c r="CN306" s="188">
        <f>BJ306/(10^CM306)</f>
        <v>14.388515868965086</v>
      </c>
      <c r="CO306" s="138" t="s">
        <v>2488</v>
      </c>
      <c r="CP306" s="189" t="s">
        <v>2489</v>
      </c>
      <c r="CQ306" s="183">
        <v>0.45802999757152796</v>
      </c>
      <c r="CR306" s="191">
        <f>10^(CJ306-CQ306)</f>
        <v>0.34831325552549197</v>
      </c>
      <c r="CS306" s="135" t="s">
        <v>539</v>
      </c>
      <c r="CT306" s="135"/>
      <c r="CU306" s="135"/>
      <c r="CV306" s="332">
        <f t="shared" si="90"/>
        <v>3.8870307921941516E-2</v>
      </c>
      <c r="CW306" s="329">
        <f t="shared" si="91"/>
        <v>0</v>
      </c>
      <c r="CX306" s="329"/>
      <c r="CY306" s="189" t="s">
        <v>5921</v>
      </c>
    </row>
    <row r="307" spans="1:103" ht="11.25" customHeight="1" x14ac:dyDescent="0.2">
      <c r="A307" s="72">
        <v>593</v>
      </c>
      <c r="B307" s="183">
        <v>931</v>
      </c>
      <c r="C307" s="133" t="s">
        <v>6863</v>
      </c>
      <c r="D307" s="133" t="s">
        <v>8551</v>
      </c>
      <c r="E307" s="134"/>
      <c r="F307" s="134" t="s">
        <v>895</v>
      </c>
      <c r="G307" s="184">
        <v>2971360</v>
      </c>
      <c r="H307" s="138" t="s">
        <v>896</v>
      </c>
      <c r="I307" s="138" t="s">
        <v>7938</v>
      </c>
      <c r="J307" s="138" t="s">
        <v>2658</v>
      </c>
      <c r="K307" s="138" t="s">
        <v>376</v>
      </c>
      <c r="L307" s="138"/>
      <c r="M307" s="138" t="s">
        <v>5926</v>
      </c>
      <c r="N307" s="138"/>
      <c r="O307" s="138"/>
      <c r="P307" s="138"/>
      <c r="Q307" s="138"/>
      <c r="R307" s="138"/>
      <c r="S307" s="138"/>
      <c r="T307" s="135">
        <v>317.58999999999997</v>
      </c>
      <c r="U307" s="185"/>
      <c r="V307" s="185">
        <v>4.8330000000000002</v>
      </c>
      <c r="W307" s="185">
        <v>64.843555384759568</v>
      </c>
      <c r="X307" s="185">
        <v>64.843555384759568</v>
      </c>
      <c r="Y307" s="204">
        <v>6.52</v>
      </c>
      <c r="Z307" s="135">
        <v>4.55</v>
      </c>
      <c r="AA307" s="135"/>
      <c r="AB307" s="135">
        <v>4.3899999999999997</v>
      </c>
      <c r="AC307" s="135">
        <v>0.59640000000000004</v>
      </c>
      <c r="AD307" s="135">
        <v>3.87</v>
      </c>
      <c r="AE307" s="135">
        <v>3.26</v>
      </c>
      <c r="AF307" s="135">
        <f t="shared" si="86"/>
        <v>3.87</v>
      </c>
      <c r="AG307" s="136">
        <v>4.5</v>
      </c>
      <c r="AH307" s="185">
        <v>3.0199999999999998E-13</v>
      </c>
      <c r="AI307" s="185"/>
      <c r="AJ307" s="136">
        <f t="shared" si="87"/>
        <v>-10.908559383355501</v>
      </c>
      <c r="AK307" s="136"/>
      <c r="AL307" s="136">
        <f t="shared" si="88"/>
        <v>-10.908559383355501</v>
      </c>
      <c r="AM307" s="136">
        <v>-14.95851</v>
      </c>
      <c r="AN307" s="186">
        <v>-12.2</v>
      </c>
      <c r="AO307" s="481">
        <v>9.4</v>
      </c>
      <c r="AP307" s="481"/>
      <c r="AQ307" s="135" t="s">
        <v>6311</v>
      </c>
      <c r="AR307" s="135" t="s">
        <v>6311</v>
      </c>
      <c r="AS307" s="190"/>
      <c r="AT307" s="137" t="s">
        <v>266</v>
      </c>
      <c r="AU307" s="135">
        <v>6</v>
      </c>
      <c r="AV307" s="135">
        <v>120</v>
      </c>
      <c r="AW307" s="135">
        <v>114</v>
      </c>
      <c r="AX307" s="135">
        <v>28</v>
      </c>
      <c r="AY307" s="135" t="s">
        <v>8728</v>
      </c>
      <c r="AZ307" s="135" t="s">
        <v>1563</v>
      </c>
      <c r="BA307" s="135">
        <v>32</v>
      </c>
      <c r="BB307" s="138" t="s">
        <v>2485</v>
      </c>
      <c r="BC307" s="458" t="s">
        <v>8726</v>
      </c>
      <c r="BD307" s="138" t="s">
        <v>8374</v>
      </c>
      <c r="BE307" s="135" t="s">
        <v>2449</v>
      </c>
      <c r="BF307" s="135" t="s">
        <v>272</v>
      </c>
      <c r="BG307" s="135" t="s">
        <v>272</v>
      </c>
      <c r="BH307" s="135" t="s">
        <v>2486</v>
      </c>
      <c r="BI307" s="185">
        <v>2.0325759999999999E-3</v>
      </c>
      <c r="BJ307" s="185">
        <v>20.325759999999999</v>
      </c>
      <c r="BK307" s="135"/>
      <c r="BL307" s="485">
        <v>1.3375555239281915</v>
      </c>
      <c r="BM307" s="138" t="s">
        <v>2487</v>
      </c>
      <c r="BN307" s="135"/>
      <c r="BO307" s="135"/>
      <c r="BP307" s="135"/>
      <c r="BQ307" s="135"/>
      <c r="BR307" s="138" t="e">
        <v>#VALUE!</v>
      </c>
      <c r="BS307" s="135"/>
      <c r="BT307" s="135"/>
      <c r="BU307" s="135">
        <v>0.20325760000000001</v>
      </c>
      <c r="BV307" s="135"/>
      <c r="BW307" s="135"/>
      <c r="BX307" s="135"/>
      <c r="BY307" s="135"/>
      <c r="BZ307" s="135"/>
      <c r="CA307" s="135"/>
      <c r="CB307" s="135"/>
      <c r="CC307" s="135"/>
      <c r="CD307" s="135"/>
      <c r="CE307" s="135"/>
      <c r="CF307" s="135"/>
      <c r="CG307" s="135"/>
      <c r="CH307" s="135"/>
      <c r="CI307" s="185"/>
      <c r="CJ307" s="187"/>
      <c r="CK307" s="136">
        <f t="shared" si="89"/>
        <v>6.5805929221253792E-2</v>
      </c>
      <c r="CL307" s="188"/>
      <c r="CM307" s="188"/>
      <c r="CN307" s="188"/>
      <c r="CO307" s="138" t="s">
        <v>2488</v>
      </c>
      <c r="CP307" s="189" t="s">
        <v>2489</v>
      </c>
      <c r="CQ307" s="191" t="s">
        <v>272</v>
      </c>
      <c r="CR307" s="191"/>
      <c r="CS307" s="135" t="s">
        <v>539</v>
      </c>
      <c r="CT307" s="135"/>
      <c r="CU307" s="135"/>
      <c r="CV307" s="332">
        <f t="shared" si="90"/>
        <v>3.190215538546139</v>
      </c>
      <c r="CW307" s="329">
        <f t="shared" si="91"/>
        <v>1</v>
      </c>
      <c r="CX307" s="329"/>
      <c r="CY307" s="189" t="s">
        <v>5921</v>
      </c>
    </row>
    <row r="308" spans="1:103" ht="11.25" customHeight="1" x14ac:dyDescent="0.2">
      <c r="A308" s="72">
        <v>594</v>
      </c>
      <c r="B308" s="183">
        <v>1927</v>
      </c>
      <c r="C308" s="133" t="s">
        <v>6864</v>
      </c>
      <c r="D308" s="133"/>
      <c r="E308" s="134"/>
      <c r="F308" s="134" t="s">
        <v>5414</v>
      </c>
      <c r="G308" s="184">
        <v>3319311</v>
      </c>
      <c r="H308" s="138" t="s">
        <v>5415</v>
      </c>
      <c r="I308" s="138" t="s">
        <v>5415</v>
      </c>
      <c r="J308" s="138" t="s">
        <v>5416</v>
      </c>
      <c r="K308" s="138" t="s">
        <v>357</v>
      </c>
      <c r="L308" s="138"/>
      <c r="M308" s="138"/>
      <c r="N308" s="138"/>
      <c r="O308" s="138"/>
      <c r="P308" s="138"/>
      <c r="Q308" s="138"/>
      <c r="R308" s="138"/>
      <c r="S308" s="138"/>
      <c r="T308" s="135">
        <v>546.78</v>
      </c>
      <c r="U308" s="185">
        <v>100</v>
      </c>
      <c r="V308" s="185">
        <v>4.5109999999999992E-8</v>
      </c>
      <c r="W308" s="185">
        <v>9.0742892924870809E-4</v>
      </c>
      <c r="X308" s="185">
        <v>100</v>
      </c>
      <c r="Y308" s="204">
        <v>7</v>
      </c>
      <c r="Z308" s="135">
        <v>11.59</v>
      </c>
      <c r="AA308" s="135"/>
      <c r="AB308" s="135">
        <v>9.1999999999999993</v>
      </c>
      <c r="AC308" s="135">
        <v>0.5887</v>
      </c>
      <c r="AD308" s="135">
        <v>10.87</v>
      </c>
      <c r="AE308" s="135">
        <v>12.8</v>
      </c>
      <c r="AF308" s="135">
        <f t="shared" si="86"/>
        <v>10.87</v>
      </c>
      <c r="AG308" s="136">
        <v>9.77</v>
      </c>
      <c r="AH308" s="185">
        <v>5.5300000000000004E-7</v>
      </c>
      <c r="AI308" s="185"/>
      <c r="AJ308" s="136">
        <f t="shared" si="87"/>
        <v>-4.6458411950079537</v>
      </c>
      <c r="AK308" s="136"/>
      <c r="AL308" s="136">
        <f t="shared" si="88"/>
        <v>-4.6458411950079537</v>
      </c>
      <c r="AM308" s="136">
        <v>-14.06676</v>
      </c>
      <c r="AN308" s="186">
        <v>-5.13</v>
      </c>
      <c r="AO308" s="481"/>
      <c r="AP308" s="481"/>
      <c r="AQ308" s="186" t="s">
        <v>6311</v>
      </c>
      <c r="AR308" s="186" t="s">
        <v>6312</v>
      </c>
      <c r="AS308" s="183"/>
      <c r="AT308" s="137" t="s">
        <v>266</v>
      </c>
      <c r="AU308" s="135">
        <v>6</v>
      </c>
      <c r="AV308" s="135">
        <v>120</v>
      </c>
      <c r="AW308" s="135">
        <v>114</v>
      </c>
      <c r="AX308" s="135">
        <v>28</v>
      </c>
      <c r="AY308" s="135" t="s">
        <v>8728</v>
      </c>
      <c r="AZ308" s="135" t="s">
        <v>1563</v>
      </c>
      <c r="BA308" s="135">
        <v>32</v>
      </c>
      <c r="BB308" s="138" t="s">
        <v>2485</v>
      </c>
      <c r="BC308" s="458" t="s">
        <v>8726</v>
      </c>
      <c r="BD308" s="138" t="s">
        <v>8374</v>
      </c>
      <c r="BE308" s="135" t="s">
        <v>2449</v>
      </c>
      <c r="BF308" s="135" t="s">
        <v>272</v>
      </c>
      <c r="BG308" s="135" t="s">
        <v>272</v>
      </c>
      <c r="BH308" s="135" t="s">
        <v>2486</v>
      </c>
      <c r="BI308" s="185">
        <v>3.4993919999999996E-3</v>
      </c>
      <c r="BJ308" s="185">
        <v>34.993919999999996</v>
      </c>
      <c r="BK308" s="135"/>
      <c r="BL308" s="485">
        <v>1.0955535757002216E-6</v>
      </c>
      <c r="BM308" s="138" t="s">
        <v>2487</v>
      </c>
      <c r="BN308" s="135"/>
      <c r="BO308" s="135"/>
      <c r="BP308" s="135"/>
      <c r="BQ308" s="135"/>
      <c r="BR308" s="138" t="e">
        <v>#VALUE!</v>
      </c>
      <c r="BS308" s="135"/>
      <c r="BT308" s="135"/>
      <c r="BU308" s="135"/>
      <c r="BV308" s="135"/>
      <c r="BW308" s="135"/>
      <c r="BX308" s="135"/>
      <c r="BY308" s="135"/>
      <c r="BZ308" s="135"/>
      <c r="CA308" s="135"/>
      <c r="CB308" s="135"/>
      <c r="CC308" s="135"/>
      <c r="CD308" s="135"/>
      <c r="CE308" s="135"/>
      <c r="CF308" s="135"/>
      <c r="CG308" s="135"/>
      <c r="CH308" s="135"/>
      <c r="CI308" s="185"/>
      <c r="CJ308" s="187"/>
      <c r="CK308" s="136">
        <f t="shared" si="89"/>
        <v>3.1306969202084866E-8</v>
      </c>
      <c r="CL308" s="188"/>
      <c r="CM308" s="188"/>
      <c r="CN308" s="188"/>
      <c r="CO308" s="138" t="s">
        <v>2488</v>
      </c>
      <c r="CP308" s="189" t="s">
        <v>2489</v>
      </c>
      <c r="CQ308" s="191" t="s">
        <v>272</v>
      </c>
      <c r="CR308" s="191"/>
      <c r="CS308" s="135" t="s">
        <v>539</v>
      </c>
      <c r="CT308" s="135"/>
      <c r="CU308" s="135"/>
      <c r="CV308" s="332">
        <f t="shared" si="90"/>
        <v>2.8576392699074584</v>
      </c>
      <c r="CW308" s="329">
        <f t="shared" si="91"/>
        <v>1</v>
      </c>
      <c r="CX308" s="329"/>
      <c r="CY308" s="189" t="s">
        <v>6351</v>
      </c>
    </row>
    <row r="309" spans="1:103" ht="11.25" customHeight="1" x14ac:dyDescent="0.2">
      <c r="A309" s="72">
        <v>595</v>
      </c>
      <c r="B309" s="191">
        <v>1756</v>
      </c>
      <c r="C309" s="128" t="s">
        <v>6865</v>
      </c>
      <c r="D309" s="128"/>
      <c r="E309" s="129"/>
      <c r="F309" s="129" t="s">
        <v>5060</v>
      </c>
      <c r="G309" s="192">
        <v>3855321</v>
      </c>
      <c r="H309" s="139" t="s">
        <v>5061</v>
      </c>
      <c r="I309" s="139" t="s">
        <v>5061</v>
      </c>
      <c r="J309" s="139" t="s">
        <v>5062</v>
      </c>
      <c r="K309" s="139" t="s">
        <v>300</v>
      </c>
      <c r="L309" s="139"/>
      <c r="M309" s="139"/>
      <c r="N309" s="138"/>
      <c r="O309" s="139"/>
      <c r="P309" s="138"/>
      <c r="Q309" s="138"/>
      <c r="R309" s="138"/>
      <c r="S309" s="138"/>
      <c r="T309" s="130">
        <v>201.35</v>
      </c>
      <c r="U309" s="187"/>
      <c r="V309" s="185">
        <v>193900</v>
      </c>
      <c r="W309" s="185">
        <v>366396.76788112021</v>
      </c>
      <c r="X309" s="185">
        <v>366396.76788112021</v>
      </c>
      <c r="Y309" s="194">
        <v>12.13</v>
      </c>
      <c r="Z309" s="130">
        <v>0.42</v>
      </c>
      <c r="AA309" s="130"/>
      <c r="AB309" s="130">
        <v>0.86</v>
      </c>
      <c r="AC309" s="130">
        <v>0.81279999999999997</v>
      </c>
      <c r="AD309" s="130">
        <v>0.85</v>
      </c>
      <c r="AE309" s="130">
        <v>0.8</v>
      </c>
      <c r="AF309" s="130">
        <f t="shared" ref="AF309:AF327" si="92">IF(AA309=0,AD309,AA309)</f>
        <v>0.85</v>
      </c>
      <c r="AG309" s="131">
        <v>7.39</v>
      </c>
      <c r="AH309" s="187">
        <v>2.7899999999999999E-11</v>
      </c>
      <c r="AI309" s="187"/>
      <c r="AJ309" s="136">
        <f t="shared" si="87"/>
        <v>-8.9429621230390541</v>
      </c>
      <c r="AK309" s="136"/>
      <c r="AL309" s="136">
        <f t="shared" si="88"/>
        <v>-8.9429621230390541</v>
      </c>
      <c r="AM309" s="136">
        <v>-9.9258699999999997</v>
      </c>
      <c r="AN309" s="193">
        <v>-21.3</v>
      </c>
      <c r="AO309" s="481"/>
      <c r="AP309" s="481">
        <v>9.8800000000000008</v>
      </c>
      <c r="AQ309" s="193" t="s">
        <v>6311</v>
      </c>
      <c r="AR309" s="193" t="s">
        <v>6311</v>
      </c>
      <c r="AS309" s="191"/>
      <c r="AT309" s="132" t="s">
        <v>266</v>
      </c>
      <c r="AU309" s="130">
        <v>6</v>
      </c>
      <c r="AV309" s="130">
        <v>120</v>
      </c>
      <c r="AW309" s="130">
        <v>114</v>
      </c>
      <c r="AX309" s="130">
        <v>28</v>
      </c>
      <c r="AY309" s="130" t="s">
        <v>8728</v>
      </c>
      <c r="AZ309" s="130" t="s">
        <v>1563</v>
      </c>
      <c r="BA309" s="130">
        <v>32</v>
      </c>
      <c r="BB309" s="139" t="s">
        <v>2485</v>
      </c>
      <c r="BC309" s="458" t="s">
        <v>8726</v>
      </c>
      <c r="BD309" s="139" t="s">
        <v>8374</v>
      </c>
      <c r="BE309" s="130" t="s">
        <v>2449</v>
      </c>
      <c r="BF309" s="130" t="s">
        <v>272</v>
      </c>
      <c r="BG309" s="130" t="s">
        <v>272</v>
      </c>
      <c r="BH309" s="130" t="s">
        <v>2486</v>
      </c>
      <c r="BI309" s="187">
        <v>1.28864E-3</v>
      </c>
      <c r="BJ309" s="187">
        <v>12.8864</v>
      </c>
      <c r="BK309" s="130"/>
      <c r="BL309" s="485">
        <v>4340.5986794041264</v>
      </c>
      <c r="BM309" s="139" t="s">
        <v>2487</v>
      </c>
      <c r="BN309" s="130"/>
      <c r="BO309" s="130"/>
      <c r="BP309" s="130"/>
      <c r="BQ309" s="130"/>
      <c r="BR309" s="139" t="e">
        <v>#VALUE!</v>
      </c>
      <c r="BS309" s="130"/>
      <c r="BT309" s="130"/>
      <c r="BU309" s="195"/>
      <c r="BV309" s="130"/>
      <c r="BW309" s="130"/>
      <c r="BX309" s="130"/>
      <c r="BY309" s="130"/>
      <c r="BZ309" s="130"/>
      <c r="CA309" s="130"/>
      <c r="CB309" s="130"/>
      <c r="CC309" s="130"/>
      <c r="CD309" s="130"/>
      <c r="CE309" s="130"/>
      <c r="CF309" s="130"/>
      <c r="CG309" s="130"/>
      <c r="CH309" s="130"/>
      <c r="CI309" s="187"/>
      <c r="CJ309" s="187"/>
      <c r="CK309" s="131">
        <f t="shared" si="89"/>
        <v>336.83563131705722</v>
      </c>
      <c r="CL309" s="188"/>
      <c r="CM309" s="188"/>
      <c r="CN309" s="188"/>
      <c r="CO309" s="139" t="s">
        <v>2488</v>
      </c>
      <c r="CP309" s="499" t="s">
        <v>2489</v>
      </c>
      <c r="CQ309" s="191" t="s">
        <v>272</v>
      </c>
      <c r="CR309" s="191"/>
      <c r="CS309" s="135" t="s">
        <v>539</v>
      </c>
      <c r="CT309" s="135"/>
      <c r="CU309" s="135"/>
      <c r="CV309" s="332">
        <f t="shared" si="90"/>
        <v>28432.825915780995</v>
      </c>
      <c r="CW309" s="329">
        <f t="shared" si="91"/>
        <v>1</v>
      </c>
      <c r="CX309" s="329"/>
      <c r="CY309" s="189" t="s">
        <v>6351</v>
      </c>
    </row>
    <row r="310" spans="1:103" ht="11.25" customHeight="1" x14ac:dyDescent="0.2">
      <c r="A310" s="72">
        <v>596</v>
      </c>
      <c r="B310" s="183">
        <v>1195</v>
      </c>
      <c r="C310" s="133" t="s">
        <v>6866</v>
      </c>
      <c r="D310" s="133"/>
      <c r="E310" s="134"/>
      <c r="F310" s="134" t="s">
        <v>1372</v>
      </c>
      <c r="G310" s="184">
        <v>4376209</v>
      </c>
      <c r="H310" s="138" t="s">
        <v>1373</v>
      </c>
      <c r="I310" s="138" t="s">
        <v>7939</v>
      </c>
      <c r="J310" s="138" t="s">
        <v>3296</v>
      </c>
      <c r="K310" s="138" t="s">
        <v>357</v>
      </c>
      <c r="L310" s="138"/>
      <c r="M310" s="138"/>
      <c r="N310" s="138"/>
      <c r="O310" s="138"/>
      <c r="P310" s="138"/>
      <c r="Q310" s="138"/>
      <c r="R310" s="138"/>
      <c r="S310" s="138"/>
      <c r="T310" s="135">
        <v>278.33999999999997</v>
      </c>
      <c r="U310" s="185"/>
      <c r="V310" s="185">
        <v>1.492</v>
      </c>
      <c r="W310" s="185">
        <v>73.210879286415945</v>
      </c>
      <c r="X310" s="185">
        <v>73.210879286415945</v>
      </c>
      <c r="Y310" s="204">
        <v>3.74</v>
      </c>
      <c r="Z310" s="135">
        <v>4.7300000000000004</v>
      </c>
      <c r="AA310" s="135"/>
      <c r="AB310" s="135">
        <v>5.09</v>
      </c>
      <c r="AC310" s="135">
        <v>0.60360000000000003</v>
      </c>
      <c r="AD310" s="135">
        <v>4.8899999999999997</v>
      </c>
      <c r="AE310" s="135">
        <v>4.67</v>
      </c>
      <c r="AF310" s="135">
        <f t="shared" si="92"/>
        <v>4.8899999999999997</v>
      </c>
      <c r="AG310" s="136">
        <v>4.3600000000000003</v>
      </c>
      <c r="AH310" s="185">
        <v>5.0799999999999998E-9</v>
      </c>
      <c r="AI310" s="185"/>
      <c r="AJ310" s="136">
        <f t="shared" si="87"/>
        <v>-6.6827026140287327</v>
      </c>
      <c r="AK310" s="136"/>
      <c r="AL310" s="136">
        <f t="shared" si="88"/>
        <v>-6.6827026140287327</v>
      </c>
      <c r="AM310" s="136">
        <v>-11.521489999999998</v>
      </c>
      <c r="AN310" s="186">
        <v>-5.93</v>
      </c>
      <c r="AO310" s="481">
        <v>3.37</v>
      </c>
      <c r="AP310" s="481"/>
      <c r="AQ310" s="135" t="s">
        <v>6311</v>
      </c>
      <c r="AR310" s="135" t="s">
        <v>6312</v>
      </c>
      <c r="AS310" s="190"/>
      <c r="AT310" s="137" t="s">
        <v>266</v>
      </c>
      <c r="AU310" s="135">
        <v>6</v>
      </c>
      <c r="AV310" s="135">
        <v>120</v>
      </c>
      <c r="AW310" s="135">
        <v>114</v>
      </c>
      <c r="AX310" s="135">
        <v>28</v>
      </c>
      <c r="AY310" s="135" t="s">
        <v>8728</v>
      </c>
      <c r="AZ310" s="135" t="s">
        <v>1563</v>
      </c>
      <c r="BA310" s="135">
        <v>32</v>
      </c>
      <c r="BB310" s="138" t="s">
        <v>2485</v>
      </c>
      <c r="BC310" s="458" t="s">
        <v>8726</v>
      </c>
      <c r="BD310" s="138" t="s">
        <v>8374</v>
      </c>
      <c r="BE310" s="135" t="s">
        <v>2449</v>
      </c>
      <c r="BF310" s="135" t="s">
        <v>272</v>
      </c>
      <c r="BG310" s="135" t="s">
        <v>272</v>
      </c>
      <c r="BH310" s="135" t="s">
        <v>2486</v>
      </c>
      <c r="BI310" s="185">
        <v>1.7813759999999997E-3</v>
      </c>
      <c r="BJ310" s="185">
        <v>17.813759999999998</v>
      </c>
      <c r="BK310" s="135"/>
      <c r="BL310" s="485">
        <v>0.80790932882464839</v>
      </c>
      <c r="BM310" s="138" t="s">
        <v>2487</v>
      </c>
      <c r="BN310" s="135"/>
      <c r="BO310" s="135"/>
      <c r="BP310" s="135"/>
      <c r="BQ310" s="135"/>
      <c r="BR310" s="138" t="e">
        <v>#VALUE!</v>
      </c>
      <c r="BS310" s="135"/>
      <c r="BT310" s="135"/>
      <c r="BU310" s="135">
        <v>18.080966400000001</v>
      </c>
      <c r="BV310" s="135"/>
      <c r="BW310" s="135"/>
      <c r="BX310" s="135"/>
      <c r="BY310" s="135"/>
      <c r="BZ310" s="135"/>
      <c r="CA310" s="135"/>
      <c r="CB310" s="135"/>
      <c r="CC310" s="135"/>
      <c r="CD310" s="135"/>
      <c r="CE310" s="135"/>
      <c r="CF310" s="135"/>
      <c r="CG310" s="135"/>
      <c r="CH310" s="135"/>
      <c r="CI310" s="185"/>
      <c r="CJ310" s="187"/>
      <c r="CK310" s="136">
        <f t="shared" si="89"/>
        <v>4.5353105061741512E-2</v>
      </c>
      <c r="CL310" s="188"/>
      <c r="CM310" s="188"/>
      <c r="CN310" s="188"/>
      <c r="CO310" s="138" t="s">
        <v>2488</v>
      </c>
      <c r="CP310" s="189" t="s">
        <v>2489</v>
      </c>
      <c r="CQ310" s="191" t="s">
        <v>272</v>
      </c>
      <c r="CR310" s="191"/>
      <c r="CS310" s="135" t="s">
        <v>539</v>
      </c>
      <c r="CT310" s="135"/>
      <c r="CU310" s="135"/>
      <c r="CV310" s="332">
        <f t="shared" si="90"/>
        <v>4.1097937373365285</v>
      </c>
      <c r="CW310" s="329">
        <f t="shared" si="91"/>
        <v>1</v>
      </c>
      <c r="CX310" s="329"/>
      <c r="CY310" s="189" t="s">
        <v>5921</v>
      </c>
    </row>
    <row r="311" spans="1:103" ht="11.25" customHeight="1" x14ac:dyDescent="0.2">
      <c r="A311" s="72">
        <v>597</v>
      </c>
      <c r="B311" s="183">
        <v>1209</v>
      </c>
      <c r="C311" s="133" t="s">
        <v>6867</v>
      </c>
      <c r="D311" s="133"/>
      <c r="E311" s="134"/>
      <c r="F311" s="134" t="s">
        <v>3334</v>
      </c>
      <c r="G311" s="184">
        <v>4455269</v>
      </c>
      <c r="H311" s="138" t="s">
        <v>3335</v>
      </c>
      <c r="I311" s="138" t="s">
        <v>3335</v>
      </c>
      <c r="J311" s="138" t="s">
        <v>3336</v>
      </c>
      <c r="K311" s="138" t="s">
        <v>300</v>
      </c>
      <c r="L311" s="138"/>
      <c r="M311" s="138"/>
      <c r="N311" s="138"/>
      <c r="O311" s="138"/>
      <c r="P311" s="138"/>
      <c r="Q311" s="138"/>
      <c r="R311" s="138"/>
      <c r="S311" s="138"/>
      <c r="T311" s="135">
        <v>255.48</v>
      </c>
      <c r="U311" s="185"/>
      <c r="V311" s="185">
        <v>0.27979999999999999</v>
      </c>
      <c r="W311" s="185">
        <v>21.744874599994272</v>
      </c>
      <c r="X311" s="185">
        <v>21.744874599994272</v>
      </c>
      <c r="Y311" s="204">
        <v>9.7100000000000009</v>
      </c>
      <c r="Z311" s="135">
        <v>6.91</v>
      </c>
      <c r="AA311" s="135"/>
      <c r="AB311" s="135">
        <v>7.01</v>
      </c>
      <c r="AC311" s="135">
        <v>0.74739999999999995</v>
      </c>
      <c r="AD311" s="135">
        <v>7.19</v>
      </c>
      <c r="AE311" s="135">
        <v>7.5</v>
      </c>
      <c r="AF311" s="135">
        <f t="shared" si="92"/>
        <v>7.19</v>
      </c>
      <c r="AG311" s="136">
        <v>6.25</v>
      </c>
      <c r="AH311" s="185">
        <v>1.9300000000000001E-3</v>
      </c>
      <c r="AI311" s="185"/>
      <c r="AJ311" s="136">
        <f t="shared" ref="AJ311:AJ327" si="93">LOG10(AH311*1000/(0.08206*298.15))</f>
        <v>-1.1030090173048781</v>
      </c>
      <c r="AK311" s="136"/>
      <c r="AL311" s="136">
        <f t="shared" ref="AL311:AL327" si="94">IF(AK311=0,AJ311,AK311)</f>
        <v>-1.1030090173048781</v>
      </c>
      <c r="AM311" s="136">
        <v>-4.5737499999999995</v>
      </c>
      <c r="AN311" s="186">
        <v>-0.45100000000000001</v>
      </c>
      <c r="AO311" s="481"/>
      <c r="AP311" s="481">
        <v>9.9700000000000006</v>
      </c>
      <c r="AQ311" s="135" t="s">
        <v>6311</v>
      </c>
      <c r="AR311" s="135" t="s">
        <v>6311</v>
      </c>
      <c r="AS311" s="190"/>
      <c r="AT311" s="137" t="s">
        <v>266</v>
      </c>
      <c r="AU311" s="135">
        <v>6</v>
      </c>
      <c r="AV311" s="135">
        <v>120</v>
      </c>
      <c r="AW311" s="135">
        <v>114</v>
      </c>
      <c r="AX311" s="135">
        <v>28</v>
      </c>
      <c r="AY311" s="135" t="s">
        <v>8728</v>
      </c>
      <c r="AZ311" s="135" t="s">
        <v>1563</v>
      </c>
      <c r="BA311" s="135">
        <v>32</v>
      </c>
      <c r="BB311" s="138" t="s">
        <v>2485</v>
      </c>
      <c r="BC311" s="458" t="s">
        <v>8726</v>
      </c>
      <c r="BD311" s="138" t="s">
        <v>8374</v>
      </c>
      <c r="BE311" s="135" t="s">
        <v>2449</v>
      </c>
      <c r="BF311" s="135" t="s">
        <v>272</v>
      </c>
      <c r="BG311" s="135" t="s">
        <v>272</v>
      </c>
      <c r="BH311" s="135" t="s">
        <v>2486</v>
      </c>
      <c r="BI311" s="185">
        <v>1.6350719999999998E-3</v>
      </c>
      <c r="BJ311" s="185">
        <v>16.350719999999999</v>
      </c>
      <c r="BK311" s="135"/>
      <c r="BL311" s="485">
        <v>8.1712012601171634E-3</v>
      </c>
      <c r="BM311" s="138" t="s">
        <v>2487</v>
      </c>
      <c r="BN311" s="135"/>
      <c r="BO311" s="135"/>
      <c r="BP311" s="135"/>
      <c r="BQ311" s="135"/>
      <c r="BR311" s="138" t="e">
        <v>#VALUE!</v>
      </c>
      <c r="BS311" s="135"/>
      <c r="BT311" s="135"/>
      <c r="BU311" s="135">
        <v>16.514227200000001</v>
      </c>
      <c r="BV311" s="135"/>
      <c r="BW311" s="135"/>
      <c r="BX311" s="135"/>
      <c r="BY311" s="135"/>
      <c r="BZ311" s="135"/>
      <c r="CA311" s="135"/>
      <c r="CB311" s="135"/>
      <c r="CC311" s="135"/>
      <c r="CD311" s="135"/>
      <c r="CE311" s="135"/>
      <c r="CF311" s="135"/>
      <c r="CG311" s="135"/>
      <c r="CH311" s="135"/>
      <c r="CI311" s="185"/>
      <c r="CJ311" s="187"/>
      <c r="CK311" s="136">
        <f t="shared" si="89"/>
        <v>4.9974565402117848E-4</v>
      </c>
      <c r="CL311" s="188"/>
      <c r="CM311" s="188"/>
      <c r="CN311" s="188"/>
      <c r="CO311" s="138" t="s">
        <v>2488</v>
      </c>
      <c r="CP311" s="189" t="s">
        <v>2489</v>
      </c>
      <c r="CQ311" s="191" t="s">
        <v>272</v>
      </c>
      <c r="CR311" s="191"/>
      <c r="CS311" s="135" t="s">
        <v>539</v>
      </c>
      <c r="CT311" s="135"/>
      <c r="CU311" s="135"/>
      <c r="CV311" s="332">
        <f t="shared" si="90"/>
        <v>1.3299031846912108</v>
      </c>
      <c r="CW311" s="329">
        <f t="shared" si="91"/>
        <v>1</v>
      </c>
      <c r="CX311" s="329"/>
      <c r="CY311" s="189" t="s">
        <v>5921</v>
      </c>
    </row>
    <row r="312" spans="1:103" ht="11.25" customHeight="1" x14ac:dyDescent="0.2">
      <c r="A312" s="72">
        <v>599</v>
      </c>
      <c r="B312" s="191">
        <v>1457</v>
      </c>
      <c r="C312" s="128" t="s">
        <v>6868</v>
      </c>
      <c r="D312" s="128"/>
      <c r="E312" s="129"/>
      <c r="F312" s="129" t="s">
        <v>4479</v>
      </c>
      <c r="G312" s="192">
        <v>5877429</v>
      </c>
      <c r="H312" s="139" t="s">
        <v>4480</v>
      </c>
      <c r="I312" s="139" t="s">
        <v>7940</v>
      </c>
      <c r="J312" s="139" t="s">
        <v>4481</v>
      </c>
      <c r="K312" s="139" t="s">
        <v>4482</v>
      </c>
      <c r="L312" s="139"/>
      <c r="M312" s="139"/>
      <c r="N312" s="138"/>
      <c r="O312" s="139"/>
      <c r="P312" s="138"/>
      <c r="Q312" s="138"/>
      <c r="R312" s="138"/>
      <c r="S312" s="138"/>
      <c r="T312" s="130">
        <v>154.25</v>
      </c>
      <c r="U312" s="187"/>
      <c r="V312" s="185">
        <v>833.9</v>
      </c>
      <c r="W312" s="185">
        <v>586.44214382446569</v>
      </c>
      <c r="X312" s="185">
        <v>586.44214382446569</v>
      </c>
      <c r="Y312" s="194">
        <v>6.99</v>
      </c>
      <c r="Z312" s="130">
        <v>2.87</v>
      </c>
      <c r="AA312" s="130"/>
      <c r="AB312" s="130">
        <v>2.62</v>
      </c>
      <c r="AC312" s="130">
        <v>0.85450000000000004</v>
      </c>
      <c r="AD312" s="130">
        <v>2.71</v>
      </c>
      <c r="AE312" s="130">
        <v>2.97</v>
      </c>
      <c r="AF312" s="130">
        <f t="shared" si="92"/>
        <v>2.71</v>
      </c>
      <c r="AG312" s="131">
        <v>7.6</v>
      </c>
      <c r="AH312" s="187">
        <v>4.2699999999999998E-6</v>
      </c>
      <c r="AI312" s="187"/>
      <c r="AJ312" s="136">
        <f t="shared" si="93"/>
        <v>-3.7581384512876279</v>
      </c>
      <c r="AK312" s="136"/>
      <c r="AL312" s="136">
        <f t="shared" si="94"/>
        <v>-3.7581384512876279</v>
      </c>
      <c r="AM312" s="136">
        <v>-5.5991000000000009</v>
      </c>
      <c r="AN312" s="193">
        <v>-23.6</v>
      </c>
      <c r="AO312" s="481">
        <v>13.09</v>
      </c>
      <c r="AP312" s="481"/>
      <c r="AQ312" s="130" t="s">
        <v>6311</v>
      </c>
      <c r="AR312" s="130" t="s">
        <v>6311</v>
      </c>
      <c r="AS312" s="198"/>
      <c r="AT312" s="132" t="s">
        <v>266</v>
      </c>
      <c r="AU312" s="130">
        <v>6</v>
      </c>
      <c r="AV312" s="130">
        <v>120</v>
      </c>
      <c r="AW312" s="130">
        <v>114</v>
      </c>
      <c r="AX312" s="130">
        <v>28</v>
      </c>
      <c r="AY312" s="130" t="s">
        <v>8728</v>
      </c>
      <c r="AZ312" s="130" t="s">
        <v>1563</v>
      </c>
      <c r="BA312" s="130">
        <v>32</v>
      </c>
      <c r="BB312" s="139" t="s">
        <v>2485</v>
      </c>
      <c r="BC312" s="458" t="s">
        <v>8726</v>
      </c>
      <c r="BD312" s="139" t="s">
        <v>8374</v>
      </c>
      <c r="BE312" s="130" t="s">
        <v>2449</v>
      </c>
      <c r="BF312" s="130" t="s">
        <v>272</v>
      </c>
      <c r="BG312" s="130" t="s">
        <v>272</v>
      </c>
      <c r="BH312" s="130" t="s">
        <v>2486</v>
      </c>
      <c r="BI312" s="187">
        <v>9.8719999999999993E-4</v>
      </c>
      <c r="BJ312" s="187">
        <v>9.8719999999999999</v>
      </c>
      <c r="BK312" s="130"/>
      <c r="BL312" s="485">
        <v>20.964194132743533</v>
      </c>
      <c r="BM312" s="139" t="s">
        <v>2487</v>
      </c>
      <c r="BN312" s="130"/>
      <c r="BO312" s="130"/>
      <c r="BP312" s="130"/>
      <c r="BQ312" s="130"/>
      <c r="BR312" s="139" t="e">
        <v>#VALUE!</v>
      </c>
      <c r="BS312" s="130"/>
      <c r="BT312" s="130"/>
      <c r="BU312" s="195"/>
      <c r="BV312" s="130"/>
      <c r="BW312" s="130"/>
      <c r="BX312" s="130"/>
      <c r="BY312" s="130"/>
      <c r="BZ312" s="130"/>
      <c r="CA312" s="130"/>
      <c r="CB312" s="130"/>
      <c r="CC312" s="130"/>
      <c r="CD312" s="130"/>
      <c r="CE312" s="130"/>
      <c r="CF312" s="130"/>
      <c r="CG312" s="130"/>
      <c r="CH312" s="130"/>
      <c r="CI312" s="187"/>
      <c r="CJ312" s="187"/>
      <c r="CK312" s="131">
        <f t="shared" si="89"/>
        <v>2.1236015126360952</v>
      </c>
      <c r="CL312" s="188"/>
      <c r="CM312" s="188"/>
      <c r="CN312" s="188"/>
      <c r="CO312" s="139" t="s">
        <v>2488</v>
      </c>
      <c r="CP312" s="499" t="s">
        <v>2489</v>
      </c>
      <c r="CQ312" s="191" t="s">
        <v>272</v>
      </c>
      <c r="CR312" s="191"/>
      <c r="CS312" s="135" t="s">
        <v>539</v>
      </c>
      <c r="CT312" s="135"/>
      <c r="CU312" s="135"/>
      <c r="CV312" s="332">
        <f t="shared" si="90"/>
        <v>59.40459317508769</v>
      </c>
      <c r="CW312" s="329">
        <f t="shared" si="91"/>
        <v>1</v>
      </c>
      <c r="CX312" s="329"/>
      <c r="CY312" s="189" t="s">
        <v>5921</v>
      </c>
    </row>
    <row r="313" spans="1:103" ht="11.25" customHeight="1" x14ac:dyDescent="0.2">
      <c r="A313" s="72">
        <v>600</v>
      </c>
      <c r="B313" s="183">
        <v>1529</v>
      </c>
      <c r="C313" s="133" t="s">
        <v>6869</v>
      </c>
      <c r="D313" s="133"/>
      <c r="E313" s="134"/>
      <c r="F313" s="134" t="s">
        <v>4639</v>
      </c>
      <c r="G313" s="184">
        <v>6422862</v>
      </c>
      <c r="H313" s="138" t="s">
        <v>4640</v>
      </c>
      <c r="I313" s="138" t="s">
        <v>4640</v>
      </c>
      <c r="J313" s="138" t="s">
        <v>4641</v>
      </c>
      <c r="K313" s="138" t="s">
        <v>357</v>
      </c>
      <c r="L313" s="140"/>
      <c r="M313" s="138"/>
      <c r="N313" s="138"/>
      <c r="O313" s="138"/>
      <c r="P313" s="138"/>
      <c r="Q313" s="138"/>
      <c r="R313" s="138"/>
      <c r="S313" s="138"/>
      <c r="T313" s="135">
        <v>390.56</v>
      </c>
      <c r="U313" s="185">
        <v>4</v>
      </c>
      <c r="V313" s="185">
        <v>2.3869999999999997E-4</v>
      </c>
      <c r="W313" s="185">
        <v>5.1485835181058939E-2</v>
      </c>
      <c r="X313" s="185">
        <v>4</v>
      </c>
      <c r="Y313" s="204">
        <v>7</v>
      </c>
      <c r="Z313" s="135">
        <v>8.39</v>
      </c>
      <c r="AA313" s="135"/>
      <c r="AB313" s="135">
        <v>7.44</v>
      </c>
      <c r="AC313" s="135">
        <v>0.71960000000000002</v>
      </c>
      <c r="AD313" s="135">
        <v>8.2100000000000009</v>
      </c>
      <c r="AE313" s="135">
        <v>9.5399999999999991</v>
      </c>
      <c r="AF313" s="135">
        <f t="shared" si="92"/>
        <v>8.2100000000000009</v>
      </c>
      <c r="AG313" s="136">
        <v>7.12</v>
      </c>
      <c r="AH313" s="185">
        <v>1.1800000000000001E-5</v>
      </c>
      <c r="AI313" s="185"/>
      <c r="AJ313" s="136">
        <f t="shared" si="93"/>
        <v>-3.3166843190065265</v>
      </c>
      <c r="AK313" s="136"/>
      <c r="AL313" s="136">
        <f t="shared" si="94"/>
        <v>-3.3166843190065265</v>
      </c>
      <c r="AM313" s="136">
        <v>-10.153320000000001</v>
      </c>
      <c r="AN313" s="186">
        <v>-3.61</v>
      </c>
      <c r="AO313" s="481"/>
      <c r="AP313" s="481"/>
      <c r="AQ313" s="135" t="s">
        <v>6311</v>
      </c>
      <c r="AR313" s="135" t="s">
        <v>6312</v>
      </c>
      <c r="AS313" s="190"/>
      <c r="AT313" s="137" t="s">
        <v>266</v>
      </c>
      <c r="AU313" s="135">
        <v>6</v>
      </c>
      <c r="AV313" s="135">
        <v>120</v>
      </c>
      <c r="AW313" s="135">
        <v>114</v>
      </c>
      <c r="AX313" s="135">
        <v>28</v>
      </c>
      <c r="AY313" s="135" t="s">
        <v>8728</v>
      </c>
      <c r="AZ313" s="135" t="s">
        <v>1563</v>
      </c>
      <c r="BA313" s="135">
        <v>32</v>
      </c>
      <c r="BB313" s="138" t="s">
        <v>2485</v>
      </c>
      <c r="BC313" s="458" t="s">
        <v>8726</v>
      </c>
      <c r="BD313" s="138" t="s">
        <v>8374</v>
      </c>
      <c r="BE313" s="135" t="s">
        <v>2449</v>
      </c>
      <c r="BF313" s="135" t="s">
        <v>272</v>
      </c>
      <c r="BG313" s="135" t="s">
        <v>272</v>
      </c>
      <c r="BH313" s="135" t="s">
        <v>2486</v>
      </c>
      <c r="BI313" s="185">
        <v>2.499584E-3</v>
      </c>
      <c r="BJ313" s="185">
        <v>24.995840000000001</v>
      </c>
      <c r="BK313" s="135"/>
      <c r="BL313" s="485">
        <v>5.8536770976688778E-4</v>
      </c>
      <c r="BM313" s="138" t="s">
        <v>2487</v>
      </c>
      <c r="BN313" s="135"/>
      <c r="BO313" s="135"/>
      <c r="BP313" s="135"/>
      <c r="BQ313" s="135"/>
      <c r="BR313" s="138" t="e">
        <v>#VALUE!</v>
      </c>
      <c r="BS313" s="135"/>
      <c r="BT313" s="135"/>
      <c r="BU313" s="135"/>
      <c r="BV313" s="135"/>
      <c r="BW313" s="135"/>
      <c r="BX313" s="135"/>
      <c r="BY313" s="135"/>
      <c r="BZ313" s="135"/>
      <c r="CA313" s="135"/>
      <c r="CB313" s="135"/>
      <c r="CC313" s="135"/>
      <c r="CD313" s="135"/>
      <c r="CE313" s="135"/>
      <c r="CF313" s="135"/>
      <c r="CG313" s="135"/>
      <c r="CH313" s="135"/>
      <c r="CI313" s="185"/>
      <c r="CJ313" s="187"/>
      <c r="CK313" s="136">
        <f t="shared" si="89"/>
        <v>2.3418605246588543E-5</v>
      </c>
      <c r="CL313" s="188"/>
      <c r="CM313" s="188"/>
      <c r="CN313" s="188"/>
      <c r="CO313" s="138" t="s">
        <v>2488</v>
      </c>
      <c r="CP313" s="189" t="s">
        <v>2489</v>
      </c>
      <c r="CQ313" s="191" t="s">
        <v>272</v>
      </c>
      <c r="CR313" s="191"/>
      <c r="CS313" s="135" t="s">
        <v>539</v>
      </c>
      <c r="CT313" s="135"/>
      <c r="CU313" s="135"/>
      <c r="CV313" s="332">
        <f t="shared" si="90"/>
        <v>0.1600266284309709</v>
      </c>
      <c r="CW313" s="329">
        <f t="shared" si="91"/>
        <v>0</v>
      </c>
      <c r="CX313" s="329"/>
      <c r="CY313" s="189" t="s">
        <v>6351</v>
      </c>
    </row>
    <row r="314" spans="1:103" ht="11.25" customHeight="1" x14ac:dyDescent="0.2">
      <c r="A314" s="72">
        <v>601</v>
      </c>
      <c r="B314" s="183">
        <v>1808</v>
      </c>
      <c r="C314" s="133" t="s">
        <v>6870</v>
      </c>
      <c r="D314" s="133"/>
      <c r="E314" s="134"/>
      <c r="F314" s="134" t="s">
        <v>5195</v>
      </c>
      <c r="G314" s="184">
        <v>6624733</v>
      </c>
      <c r="H314" s="138" t="s">
        <v>5196</v>
      </c>
      <c r="I314" s="138" t="s">
        <v>7835</v>
      </c>
      <c r="J314" s="138" t="s">
        <v>5197</v>
      </c>
      <c r="K314" s="138" t="s">
        <v>2690</v>
      </c>
      <c r="L314" s="138"/>
      <c r="M314" s="138"/>
      <c r="N314" s="138"/>
      <c r="O314" s="138"/>
      <c r="P314" s="138"/>
      <c r="Q314" s="138"/>
      <c r="R314" s="138"/>
      <c r="S314" s="138"/>
      <c r="T314" s="135">
        <v>574.77</v>
      </c>
      <c r="U314" s="185"/>
      <c r="V314" s="185"/>
      <c r="W314" s="185">
        <v>2.9477733767671648</v>
      </c>
      <c r="X314" s="185">
        <v>2.9477733767671648</v>
      </c>
      <c r="Y314" s="204">
        <v>8.5</v>
      </c>
      <c r="Z314" s="135"/>
      <c r="AA314" s="135"/>
      <c r="AB314" s="135">
        <v>5.52</v>
      </c>
      <c r="AC314" s="135">
        <v>0.59250000000000003</v>
      </c>
      <c r="AD314" s="135">
        <v>5.84</v>
      </c>
      <c r="AE314" s="135">
        <v>6.27</v>
      </c>
      <c r="AF314" s="135">
        <f t="shared" si="92"/>
        <v>5.84</v>
      </c>
      <c r="AG314" s="136">
        <v>6.65</v>
      </c>
      <c r="AH314" s="185">
        <v>1.55E-16</v>
      </c>
      <c r="AI314" s="185"/>
      <c r="AJ314" s="136">
        <f t="shared" si="93"/>
        <v>-14.198234628142361</v>
      </c>
      <c r="AK314" s="136"/>
      <c r="AL314" s="136">
        <f t="shared" si="94"/>
        <v>-14.198234628142361</v>
      </c>
      <c r="AM314" s="136">
        <v>-24.725239999999996</v>
      </c>
      <c r="AN314" s="186">
        <v>-17</v>
      </c>
      <c r="AO314" s="481">
        <v>2.35</v>
      </c>
      <c r="AP314" s="481">
        <v>10.46</v>
      </c>
      <c r="AQ314" s="186" t="s">
        <v>6311</v>
      </c>
      <c r="AR314" s="186" t="s">
        <v>6311</v>
      </c>
      <c r="AS314" s="183"/>
      <c r="AT314" s="137" t="s">
        <v>266</v>
      </c>
      <c r="AU314" s="135">
        <v>6</v>
      </c>
      <c r="AV314" s="135">
        <v>120</v>
      </c>
      <c r="AW314" s="135">
        <v>114</v>
      </c>
      <c r="AX314" s="135">
        <v>28</v>
      </c>
      <c r="AY314" s="135" t="s">
        <v>8728</v>
      </c>
      <c r="AZ314" s="135" t="s">
        <v>1563</v>
      </c>
      <c r="BA314" s="135">
        <v>32</v>
      </c>
      <c r="BB314" s="138" t="s">
        <v>2485</v>
      </c>
      <c r="BC314" s="458" t="s">
        <v>8726</v>
      </c>
      <c r="BD314" s="138" t="s">
        <v>8374</v>
      </c>
      <c r="BE314" s="135" t="s">
        <v>2449</v>
      </c>
      <c r="BF314" s="135" t="s">
        <v>272</v>
      </c>
      <c r="BG314" s="135" t="s">
        <v>272</v>
      </c>
      <c r="BH314" s="135" t="s">
        <v>2486</v>
      </c>
      <c r="BI314" s="185">
        <v>3.6785279999999999E-3</v>
      </c>
      <c r="BJ314" s="185">
        <v>36.78528</v>
      </c>
      <c r="BK314" s="135"/>
      <c r="BL314" s="485"/>
      <c r="BM314" s="138" t="s">
        <v>2487</v>
      </c>
      <c r="BN314" s="135"/>
      <c r="BO314" s="135"/>
      <c r="BP314" s="135"/>
      <c r="BQ314" s="135"/>
      <c r="BR314" s="138" t="e">
        <v>#VALUE!</v>
      </c>
      <c r="BS314" s="135"/>
      <c r="BT314" s="135"/>
      <c r="BU314" s="135"/>
      <c r="BV314" s="135"/>
      <c r="BW314" s="135"/>
      <c r="BX314" s="135"/>
      <c r="BY314" s="135"/>
      <c r="BZ314" s="135"/>
      <c r="CA314" s="135"/>
      <c r="CB314" s="135"/>
      <c r="CC314" s="135"/>
      <c r="CD314" s="135"/>
      <c r="CE314" s="135"/>
      <c r="CF314" s="135"/>
      <c r="CG314" s="135"/>
      <c r="CH314" s="135"/>
      <c r="CI314" s="185"/>
      <c r="CJ314" s="187"/>
      <c r="CK314" s="136">
        <f t="shared" si="89"/>
        <v>0</v>
      </c>
      <c r="CL314" s="188"/>
      <c r="CM314" s="188"/>
      <c r="CN314" s="188"/>
      <c r="CO314" s="138" t="s">
        <v>2488</v>
      </c>
      <c r="CP314" s="189" t="s">
        <v>2489</v>
      </c>
      <c r="CQ314" s="191" t="s">
        <v>272</v>
      </c>
      <c r="CR314" s="191"/>
      <c r="CS314" s="135" t="s">
        <v>539</v>
      </c>
      <c r="CT314" s="135"/>
      <c r="CU314" s="135"/>
      <c r="CV314" s="332">
        <f t="shared" si="90"/>
        <v>8.0134591248650675E-2</v>
      </c>
      <c r="CW314" s="329">
        <f t="shared" si="91"/>
        <v>0</v>
      </c>
      <c r="CX314" s="329"/>
      <c r="CY314" s="189" t="s">
        <v>5921</v>
      </c>
    </row>
    <row r="315" spans="1:103" ht="11.25" customHeight="1" x14ac:dyDescent="0.2">
      <c r="A315" s="72">
        <v>602</v>
      </c>
      <c r="B315" s="183">
        <v>1084</v>
      </c>
      <c r="C315" s="133" t="s">
        <v>2092</v>
      </c>
      <c r="D315" s="133" t="s">
        <v>6594</v>
      </c>
      <c r="E315" s="134"/>
      <c r="F315" s="134" t="s">
        <v>2093</v>
      </c>
      <c r="G315" s="184">
        <v>52315078</v>
      </c>
      <c r="H315" s="138" t="s">
        <v>2094</v>
      </c>
      <c r="I315" s="138" t="s">
        <v>7906</v>
      </c>
      <c r="J315" s="138" t="s">
        <v>2095</v>
      </c>
      <c r="K315" s="138" t="s">
        <v>2086</v>
      </c>
      <c r="L315" s="138" t="s">
        <v>617</v>
      </c>
      <c r="M315" s="138" t="s">
        <v>1086</v>
      </c>
      <c r="N315" s="138" t="s">
        <v>6376</v>
      </c>
      <c r="O315" s="138" t="s">
        <v>918</v>
      </c>
      <c r="P315" s="138"/>
      <c r="Q315" s="138"/>
      <c r="R315" s="138"/>
      <c r="S315" s="138"/>
      <c r="T315" s="135">
        <v>416.3</v>
      </c>
      <c r="U315" s="185">
        <v>0.115</v>
      </c>
      <c r="V315" s="185">
        <v>1.5590000000000001E-3</v>
      </c>
      <c r="W315" s="185">
        <v>4.6709628252590681E-2</v>
      </c>
      <c r="X315" s="185">
        <v>0.115</v>
      </c>
      <c r="Y315" s="204">
        <v>7</v>
      </c>
      <c r="Z315" s="135">
        <v>6.38</v>
      </c>
      <c r="AA315" s="135">
        <v>6.94</v>
      </c>
      <c r="AB315" s="135">
        <v>6.02</v>
      </c>
      <c r="AC315" s="135">
        <v>0.95830000000000004</v>
      </c>
      <c r="AD315" s="135">
        <v>6.05</v>
      </c>
      <c r="AE315" s="135">
        <v>6.27</v>
      </c>
      <c r="AF315" s="135">
        <f t="shared" si="92"/>
        <v>6.94</v>
      </c>
      <c r="AG315" s="136">
        <v>5.09</v>
      </c>
      <c r="AH315" s="185">
        <v>7.8899999999999998E-7</v>
      </c>
      <c r="AI315" s="185">
        <v>4.2E-7</v>
      </c>
      <c r="AJ315" s="136">
        <f t="shared" si="93"/>
        <v>-4.4914893231032318</v>
      </c>
      <c r="AK315" s="136">
        <f>LOG10(AI315*1000/(0.08206*298.15))</f>
        <v>-4.7653170359147516</v>
      </c>
      <c r="AL315" s="136">
        <f t="shared" si="94"/>
        <v>-4.7653170359147516</v>
      </c>
      <c r="AM315" s="136">
        <v>-15.410480000000002</v>
      </c>
      <c r="AN315" s="186">
        <v>-4.5599999999999996</v>
      </c>
      <c r="AO315" s="481"/>
      <c r="AP315" s="481"/>
      <c r="AQ315" s="135" t="s">
        <v>6311</v>
      </c>
      <c r="AR315" s="135" t="s">
        <v>6312</v>
      </c>
      <c r="AS315" s="190"/>
      <c r="AT315" s="137" t="s">
        <v>266</v>
      </c>
      <c r="AU315" s="135">
        <v>6</v>
      </c>
      <c r="AV315" s="135">
        <v>120</v>
      </c>
      <c r="AW315" s="135">
        <v>114</v>
      </c>
      <c r="AX315" s="135">
        <v>28</v>
      </c>
      <c r="AY315" s="135" t="s">
        <v>8728</v>
      </c>
      <c r="AZ315" s="135" t="s">
        <v>1563</v>
      </c>
      <c r="BA315" s="135">
        <v>32</v>
      </c>
      <c r="BB315" s="138" t="s">
        <v>2485</v>
      </c>
      <c r="BC315" s="458" t="s">
        <v>8726</v>
      </c>
      <c r="BD315" s="138" t="s">
        <v>8374</v>
      </c>
      <c r="BE315" s="135" t="s">
        <v>2449</v>
      </c>
      <c r="BF315" s="135" t="s">
        <v>272</v>
      </c>
      <c r="BG315" s="135" t="s">
        <v>272</v>
      </c>
      <c r="BH315" s="135" t="s">
        <v>2486</v>
      </c>
      <c r="BI315" s="185">
        <v>2.66432E-3</v>
      </c>
      <c r="BJ315" s="185">
        <v>26.6432</v>
      </c>
      <c r="BK315" s="135"/>
      <c r="BL315" s="485">
        <v>3.9840833066549695E-2</v>
      </c>
      <c r="BM315" s="138" t="s">
        <v>2487</v>
      </c>
      <c r="BN315" s="135"/>
      <c r="BO315" s="135"/>
      <c r="BP315" s="135"/>
      <c r="BQ315" s="135"/>
      <c r="BR315" s="138" t="e">
        <v>#VALUE!</v>
      </c>
      <c r="BS315" s="135"/>
      <c r="BT315" s="135"/>
      <c r="BU315" s="135">
        <v>2.66432E-3</v>
      </c>
      <c r="BV315" s="135"/>
      <c r="BW315" s="135"/>
      <c r="BX315" s="135"/>
      <c r="BY315" s="135"/>
      <c r="BZ315" s="135"/>
      <c r="CA315" s="135"/>
      <c r="CB315" s="135"/>
      <c r="CC315" s="135"/>
      <c r="CD315" s="135"/>
      <c r="CE315" s="135"/>
      <c r="CF315" s="135"/>
      <c r="CG315" s="135"/>
      <c r="CH315" s="135"/>
      <c r="CI315" s="185"/>
      <c r="CJ315" s="187"/>
      <c r="CK315" s="136">
        <f t="shared" si="89"/>
        <v>1.4953471454836392E-3</v>
      </c>
      <c r="CL315" s="188"/>
      <c r="CM315" s="188">
        <v>-2.771769496998286</v>
      </c>
      <c r="CN315" s="188">
        <f>BJ315/(10^CM315)</f>
        <v>15752.731906327719</v>
      </c>
      <c r="CO315" s="138" t="s">
        <v>2488</v>
      </c>
      <c r="CP315" s="189" t="s">
        <v>2489</v>
      </c>
      <c r="CQ315" s="183">
        <v>-2.7046840545453876</v>
      </c>
      <c r="CR315" s="191">
        <f>10^(CJ315-CQ315)</f>
        <v>506.62201107656296</v>
      </c>
      <c r="CS315" s="135" t="s">
        <v>539</v>
      </c>
      <c r="CT315" s="135"/>
      <c r="CU315" s="135"/>
      <c r="CV315" s="332">
        <f t="shared" si="90"/>
        <v>4.3162983425414367E-3</v>
      </c>
      <c r="CW315" s="329">
        <f t="shared" si="91"/>
        <v>0</v>
      </c>
      <c r="CX315" s="329"/>
      <c r="CY315" s="189" t="s">
        <v>5921</v>
      </c>
    </row>
    <row r="316" spans="1:103" ht="11.25" customHeight="1" x14ac:dyDescent="0.2">
      <c r="A316" s="72">
        <v>603</v>
      </c>
      <c r="B316" s="183">
        <v>1252</v>
      </c>
      <c r="C316" s="133" t="s">
        <v>1392</v>
      </c>
      <c r="D316" s="133" t="s">
        <v>6529</v>
      </c>
      <c r="E316" s="134"/>
      <c r="F316" s="134" t="s">
        <v>1393</v>
      </c>
      <c r="G316" s="184">
        <v>67747095</v>
      </c>
      <c r="H316" s="138" t="s">
        <v>1394</v>
      </c>
      <c r="I316" s="138" t="s">
        <v>7941</v>
      </c>
      <c r="J316" s="138" t="s">
        <v>1399</v>
      </c>
      <c r="K316" s="138" t="s">
        <v>1064</v>
      </c>
      <c r="L316" s="138" t="s">
        <v>6007</v>
      </c>
      <c r="M316" s="138" t="s">
        <v>6008</v>
      </c>
      <c r="N316" s="138" t="s">
        <v>6386</v>
      </c>
      <c r="O316" s="138" t="s">
        <v>6009</v>
      </c>
      <c r="P316" s="138"/>
      <c r="Q316" s="138"/>
      <c r="R316" s="138"/>
      <c r="S316" s="138"/>
      <c r="T316" s="135">
        <v>376.66</v>
      </c>
      <c r="U316" s="185">
        <v>33.999097353120767</v>
      </c>
      <c r="V316" s="185">
        <v>1.3439643188998329</v>
      </c>
      <c r="W316" s="185">
        <v>24.885679412654092</v>
      </c>
      <c r="X316" s="185">
        <v>33.999097353120767</v>
      </c>
      <c r="Y316" s="204">
        <v>7.37</v>
      </c>
      <c r="Z316" s="135">
        <v>4.13</v>
      </c>
      <c r="AA316" s="135">
        <v>4.0999999999999996</v>
      </c>
      <c r="AB316" s="135">
        <v>4.1100000000000003</v>
      </c>
      <c r="AC316" s="135">
        <v>0.85909999999999997</v>
      </c>
      <c r="AD316" s="135">
        <v>4.08</v>
      </c>
      <c r="AE316" s="135">
        <v>3.98</v>
      </c>
      <c r="AF316" s="135">
        <f t="shared" si="92"/>
        <v>4.0999999999999996</v>
      </c>
      <c r="AG316" s="136">
        <v>4.7300000000000004</v>
      </c>
      <c r="AH316" s="185">
        <v>7.5799999999999996E-12</v>
      </c>
      <c r="AI316" s="185">
        <v>1.6400000000000001E-8</v>
      </c>
      <c r="AJ316" s="136">
        <f t="shared" si="93"/>
        <v>-9.508897120680599</v>
      </c>
      <c r="AK316" s="136">
        <f>LOG10(AI316*1000/(0.08206*298.15))</f>
        <v>-6.1737224782649536</v>
      </c>
      <c r="AL316" s="136">
        <f t="shared" si="94"/>
        <v>-6.1737224782649536</v>
      </c>
      <c r="AM316" s="136">
        <v>-16.703500000000002</v>
      </c>
      <c r="AN316" s="186">
        <v>-4.54</v>
      </c>
      <c r="AO316" s="481"/>
      <c r="AP316" s="481">
        <v>4.84</v>
      </c>
      <c r="AQ316" s="135" t="s">
        <v>6311</v>
      </c>
      <c r="AR316" s="135" t="s">
        <v>6311</v>
      </c>
      <c r="AS316" s="190"/>
      <c r="AT316" s="137" t="s">
        <v>266</v>
      </c>
      <c r="AU316" s="135">
        <v>6</v>
      </c>
      <c r="AV316" s="135">
        <v>120</v>
      </c>
      <c r="AW316" s="135">
        <v>114</v>
      </c>
      <c r="AX316" s="135">
        <v>28</v>
      </c>
      <c r="AY316" s="135" t="s">
        <v>8728</v>
      </c>
      <c r="AZ316" s="135" t="s">
        <v>1563</v>
      </c>
      <c r="BA316" s="135">
        <v>32</v>
      </c>
      <c r="BB316" s="138" t="s">
        <v>2485</v>
      </c>
      <c r="BC316" s="458" t="s">
        <v>8726</v>
      </c>
      <c r="BD316" s="138" t="s">
        <v>8374</v>
      </c>
      <c r="BE316" s="135" t="s">
        <v>2449</v>
      </c>
      <c r="BF316" s="135" t="s">
        <v>272</v>
      </c>
      <c r="BG316" s="135" t="s">
        <v>272</v>
      </c>
      <c r="BH316" s="135" t="s">
        <v>2486</v>
      </c>
      <c r="BI316" s="185">
        <v>2.4106240000000001E-3</v>
      </c>
      <c r="BJ316" s="185">
        <v>24.106240000000003</v>
      </c>
      <c r="BK316" s="135"/>
      <c r="BL316" s="485">
        <v>3.7809114141658466</v>
      </c>
      <c r="BM316" s="138" t="s">
        <v>2487</v>
      </c>
      <c r="BN316" s="135"/>
      <c r="BO316" s="135"/>
      <c r="BP316" s="135"/>
      <c r="BQ316" s="135"/>
      <c r="BR316" s="138" t="e">
        <v>#VALUE!</v>
      </c>
      <c r="BS316" s="135"/>
      <c r="BT316" s="135"/>
      <c r="BU316" s="135">
        <v>24.106240000000003</v>
      </c>
      <c r="BV316" s="135"/>
      <c r="BW316" s="135"/>
      <c r="BX316" s="135"/>
      <c r="BY316" s="135"/>
      <c r="BZ316" s="135"/>
      <c r="CA316" s="135"/>
      <c r="CB316" s="135"/>
      <c r="CC316" s="135"/>
      <c r="CD316" s="135"/>
      <c r="CE316" s="135"/>
      <c r="CF316" s="135"/>
      <c r="CG316" s="135"/>
      <c r="CH316" s="135"/>
      <c r="CI316" s="185"/>
      <c r="CJ316" s="187"/>
      <c r="CK316" s="136">
        <f t="shared" si="89"/>
        <v>0.15684368089614334</v>
      </c>
      <c r="CL316" s="188"/>
      <c r="CM316" s="188">
        <v>-0.23428417606624372</v>
      </c>
      <c r="CN316" s="188">
        <f>BJ316/(10^CM316)</f>
        <v>41.344110443140593</v>
      </c>
      <c r="CO316" s="138" t="s">
        <v>2488</v>
      </c>
      <c r="CP316" s="189" t="s">
        <v>2489</v>
      </c>
      <c r="CQ316" s="183">
        <v>-0.23428417606624358</v>
      </c>
      <c r="CR316" s="191">
        <f>10^(CJ316-CQ316)</f>
        <v>1.715079184606997</v>
      </c>
      <c r="CS316" s="135" t="s">
        <v>539</v>
      </c>
      <c r="CT316" s="135"/>
      <c r="CU316" s="135"/>
      <c r="CV316" s="332">
        <f t="shared" si="90"/>
        <v>1.4103857487986828</v>
      </c>
      <c r="CW316" s="329">
        <f t="shared" si="91"/>
        <v>1</v>
      </c>
      <c r="CX316" s="329"/>
      <c r="CY316" s="189" t="s">
        <v>5921</v>
      </c>
    </row>
    <row r="317" spans="1:103" ht="11.25" customHeight="1" x14ac:dyDescent="0.2">
      <c r="A317" s="72">
        <v>604</v>
      </c>
      <c r="B317" s="183">
        <v>1287</v>
      </c>
      <c r="C317" s="133" t="s">
        <v>603</v>
      </c>
      <c r="D317" s="133"/>
      <c r="E317" s="134"/>
      <c r="F317" s="134" t="s">
        <v>3538</v>
      </c>
      <c r="G317" s="184">
        <v>10540291</v>
      </c>
      <c r="H317" s="138" t="s">
        <v>604</v>
      </c>
      <c r="I317" s="138" t="s">
        <v>7942</v>
      </c>
      <c r="J317" s="138" t="s">
        <v>605</v>
      </c>
      <c r="K317" s="138" t="s">
        <v>300</v>
      </c>
      <c r="L317" s="138" t="s">
        <v>279</v>
      </c>
      <c r="M317" s="138" t="s">
        <v>3539</v>
      </c>
      <c r="N317" s="138"/>
      <c r="O317" s="138" t="s">
        <v>281</v>
      </c>
      <c r="P317" s="138"/>
      <c r="Q317" s="138"/>
      <c r="R317" s="138"/>
      <c r="S317" s="138"/>
      <c r="T317" s="135">
        <v>371.51</v>
      </c>
      <c r="U317" s="185"/>
      <c r="V317" s="185">
        <v>0.19359999999999999</v>
      </c>
      <c r="W317" s="185">
        <v>2.8838356629872446</v>
      </c>
      <c r="X317" s="185">
        <v>2.8838356629872446</v>
      </c>
      <c r="Y317" s="204">
        <v>8.6199999999999992</v>
      </c>
      <c r="Z317" s="135">
        <v>6.3</v>
      </c>
      <c r="AA317" s="135"/>
      <c r="AB317" s="135">
        <v>6.31</v>
      </c>
      <c r="AC317" s="135">
        <v>0.68869999999999998</v>
      </c>
      <c r="AD317" s="135">
        <v>6.82</v>
      </c>
      <c r="AE317" s="135">
        <v>7.88</v>
      </c>
      <c r="AF317" s="135">
        <f t="shared" si="92"/>
        <v>6.82</v>
      </c>
      <c r="AG317" s="136">
        <v>6.16</v>
      </c>
      <c r="AH317" s="185">
        <v>4.49E-10</v>
      </c>
      <c r="AI317" s="185"/>
      <c r="AJ317" s="136">
        <f t="shared" si="93"/>
        <v>-7.7363199853093283</v>
      </c>
      <c r="AK317" s="136"/>
      <c r="AL317" s="136">
        <f t="shared" si="94"/>
        <v>-7.7363199853093283</v>
      </c>
      <c r="AM317" s="136">
        <v>-13.760640000000002</v>
      </c>
      <c r="AN317" s="186">
        <v>-8.94</v>
      </c>
      <c r="AO317" s="481"/>
      <c r="AP317" s="481">
        <v>8.69</v>
      </c>
      <c r="AQ317" s="135" t="s">
        <v>6311</v>
      </c>
      <c r="AR317" s="135" t="s">
        <v>6311</v>
      </c>
      <c r="AS317" s="190"/>
      <c r="AT317" s="137" t="s">
        <v>266</v>
      </c>
      <c r="AU317" s="135">
        <v>6</v>
      </c>
      <c r="AV317" s="135">
        <v>120</v>
      </c>
      <c r="AW317" s="135">
        <v>114</v>
      </c>
      <c r="AX317" s="135">
        <v>28</v>
      </c>
      <c r="AY317" s="135" t="s">
        <v>8728</v>
      </c>
      <c r="AZ317" s="135" t="s">
        <v>1563</v>
      </c>
      <c r="BA317" s="135">
        <v>32</v>
      </c>
      <c r="BB317" s="138" t="s">
        <v>2485</v>
      </c>
      <c r="BC317" s="458" t="s">
        <v>8726</v>
      </c>
      <c r="BD317" s="138" t="s">
        <v>8374</v>
      </c>
      <c r="BE317" s="135" t="s">
        <v>2449</v>
      </c>
      <c r="BF317" s="135" t="s">
        <v>272</v>
      </c>
      <c r="BG317" s="135" t="s">
        <v>272</v>
      </c>
      <c r="BH317" s="135" t="s">
        <v>2486</v>
      </c>
      <c r="BI317" s="185">
        <v>2.3776639999999998E-3</v>
      </c>
      <c r="BJ317" s="185">
        <v>23.77664</v>
      </c>
      <c r="BK317" s="135"/>
      <c r="BL317" s="485">
        <v>4.195082521268987E-2</v>
      </c>
      <c r="BM317" s="138" t="s">
        <v>2487</v>
      </c>
      <c r="BN317" s="135"/>
      <c r="BO317" s="135"/>
      <c r="BP317" s="135"/>
      <c r="BQ317" s="135"/>
      <c r="BR317" s="138" t="e">
        <v>#VALUE!</v>
      </c>
      <c r="BS317" s="135"/>
      <c r="BT317" s="135"/>
      <c r="BU317" s="135">
        <v>2.3776639999999998E-2</v>
      </c>
      <c r="BV317" s="135"/>
      <c r="BW317" s="135"/>
      <c r="BX317" s="135"/>
      <c r="BY317" s="135"/>
      <c r="BZ317" s="135"/>
      <c r="CA317" s="135"/>
      <c r="CB317" s="135"/>
      <c r="CC317" s="135"/>
      <c r="CD317" s="135"/>
      <c r="CE317" s="135"/>
      <c r="CF317" s="135"/>
      <c r="CG317" s="135"/>
      <c r="CH317" s="135"/>
      <c r="CI317" s="185"/>
      <c r="CJ317" s="187"/>
      <c r="CK317" s="136">
        <f t="shared" si="89"/>
        <v>1.7643714676543814E-3</v>
      </c>
      <c r="CL317" s="188"/>
      <c r="CM317" s="188"/>
      <c r="CN317" s="188"/>
      <c r="CO317" s="138" t="s">
        <v>2488</v>
      </c>
      <c r="CP317" s="189" t="s">
        <v>2489</v>
      </c>
      <c r="CQ317" s="191" t="s">
        <v>272</v>
      </c>
      <c r="CR317" s="191"/>
      <c r="CS317" s="135" t="s">
        <v>539</v>
      </c>
      <c r="CT317" s="135"/>
      <c r="CU317" s="135"/>
      <c r="CV317" s="332">
        <f t="shared" si="90"/>
        <v>0.12128861197323274</v>
      </c>
      <c r="CW317" s="329">
        <f t="shared" si="91"/>
        <v>0</v>
      </c>
      <c r="CX317" s="329"/>
      <c r="CY317" s="189" t="s">
        <v>6351</v>
      </c>
    </row>
    <row r="318" spans="1:103" ht="11.25" customHeight="1" x14ac:dyDescent="0.2">
      <c r="A318" s="72">
        <v>606</v>
      </c>
      <c r="B318" s="183">
        <v>1888</v>
      </c>
      <c r="C318" s="133" t="s">
        <v>5345</v>
      </c>
      <c r="D318" s="133" t="s">
        <v>6872</v>
      </c>
      <c r="E318" s="134"/>
      <c r="F318" s="134" t="s">
        <v>5346</v>
      </c>
      <c r="G318" s="184">
        <v>13071799</v>
      </c>
      <c r="H318" s="138" t="s">
        <v>5347</v>
      </c>
      <c r="I318" s="138" t="s">
        <v>5347</v>
      </c>
      <c r="J318" s="138" t="s">
        <v>5348</v>
      </c>
      <c r="K318" s="138" t="s">
        <v>1872</v>
      </c>
      <c r="L318" s="138"/>
      <c r="M318" s="138" t="s">
        <v>618</v>
      </c>
      <c r="N318" s="138" t="s">
        <v>6376</v>
      </c>
      <c r="O318" s="138" t="s">
        <v>5349</v>
      </c>
      <c r="P318" s="138" t="s">
        <v>6178</v>
      </c>
      <c r="Q318" s="138" t="s">
        <v>6173</v>
      </c>
      <c r="R318" s="138" t="s">
        <v>6177</v>
      </c>
      <c r="S318" s="138" t="s">
        <v>6176</v>
      </c>
      <c r="T318" s="135">
        <v>288.43</v>
      </c>
      <c r="U318" s="185">
        <v>5.07</v>
      </c>
      <c r="V318" s="185">
        <v>2.14</v>
      </c>
      <c r="W318" s="185">
        <v>38.022479110182438</v>
      </c>
      <c r="X318" s="185">
        <v>5.07</v>
      </c>
      <c r="Y318" s="204">
        <v>7</v>
      </c>
      <c r="Z318" s="135">
        <v>4.49</v>
      </c>
      <c r="AA318" s="135">
        <v>4.4800000000000004</v>
      </c>
      <c r="AB318" s="135">
        <v>4.33</v>
      </c>
      <c r="AC318" s="135">
        <v>0.85850000000000004</v>
      </c>
      <c r="AD318" s="135">
        <v>4.34</v>
      </c>
      <c r="AE318" s="135">
        <v>4.37</v>
      </c>
      <c r="AF318" s="135">
        <f t="shared" si="92"/>
        <v>4.4800000000000004</v>
      </c>
      <c r="AG318" s="136">
        <v>4.4400000000000004</v>
      </c>
      <c r="AH318" s="185">
        <v>2.7800000000000001E-6</v>
      </c>
      <c r="AI318" s="185">
        <v>2.4000000000000001E-5</v>
      </c>
      <c r="AJ318" s="136">
        <f t="shared" si="93"/>
        <v>-3.9445215303945753</v>
      </c>
      <c r="AK318" s="136">
        <f>LOG10(AI318*1000/(0.08206*298.15))</f>
        <v>-3.0083550846010456</v>
      </c>
      <c r="AL318" s="136">
        <f t="shared" si="94"/>
        <v>-3.0083550846010456</v>
      </c>
      <c r="AM318" s="136">
        <v>-8.0559799999999981</v>
      </c>
      <c r="AN318" s="186">
        <v>-4.17</v>
      </c>
      <c r="AO318" s="481"/>
      <c r="AP318" s="481"/>
      <c r="AQ318" s="186" t="s">
        <v>6314</v>
      </c>
      <c r="AR318" s="186" t="s">
        <v>6314</v>
      </c>
      <c r="AS318" s="183"/>
      <c r="AT318" s="137" t="s">
        <v>266</v>
      </c>
      <c r="AU318" s="135">
        <v>6</v>
      </c>
      <c r="AV318" s="135">
        <v>120</v>
      </c>
      <c r="AW318" s="135">
        <v>114</v>
      </c>
      <c r="AX318" s="135">
        <v>28</v>
      </c>
      <c r="AY318" s="135" t="s">
        <v>8728</v>
      </c>
      <c r="AZ318" s="135" t="s">
        <v>1563</v>
      </c>
      <c r="BA318" s="135">
        <v>32</v>
      </c>
      <c r="BB318" s="138" t="s">
        <v>2485</v>
      </c>
      <c r="BC318" s="458" t="s">
        <v>8726</v>
      </c>
      <c r="BD318" s="138" t="s">
        <v>8374</v>
      </c>
      <c r="BE318" s="135" t="s">
        <v>2449</v>
      </c>
      <c r="BF318" s="135" t="s">
        <v>272</v>
      </c>
      <c r="BG318" s="135" t="s">
        <v>272</v>
      </c>
      <c r="BH318" s="135" t="s">
        <v>2486</v>
      </c>
      <c r="BI318" s="185">
        <v>1.8459519999999999E-3</v>
      </c>
      <c r="BJ318" s="185">
        <v>18.459520000000001</v>
      </c>
      <c r="BK318" s="135"/>
      <c r="BL318" s="485">
        <v>1.37521762583045</v>
      </c>
      <c r="BM318" s="138" t="s">
        <v>2487</v>
      </c>
      <c r="BN318" s="135"/>
      <c r="BO318" s="135"/>
      <c r="BP318" s="135"/>
      <c r="BQ318" s="135"/>
      <c r="BR318" s="138" t="e">
        <v>#VALUE!</v>
      </c>
      <c r="BS318" s="135"/>
      <c r="BT318" s="135"/>
      <c r="BU318" s="135"/>
      <c r="BV318" s="135"/>
      <c r="BW318" s="135"/>
      <c r="BX318" s="135"/>
      <c r="BY318" s="135"/>
      <c r="BZ318" s="135"/>
      <c r="CA318" s="135"/>
      <c r="CB318" s="135"/>
      <c r="CC318" s="135"/>
      <c r="CD318" s="135"/>
      <c r="CE318" s="135"/>
      <c r="CF318" s="135"/>
      <c r="CG318" s="135"/>
      <c r="CH318" s="135"/>
      <c r="CI318" s="185"/>
      <c r="CJ318" s="187"/>
      <c r="CK318" s="136">
        <f t="shared" si="89"/>
        <v>7.4499099967412483E-2</v>
      </c>
      <c r="CL318" s="188"/>
      <c r="CM318" s="188"/>
      <c r="CN318" s="188"/>
      <c r="CO318" s="138" t="s">
        <v>2488</v>
      </c>
      <c r="CP318" s="189" t="s">
        <v>2489</v>
      </c>
      <c r="CQ318" s="183">
        <v>-2.0704091857199654</v>
      </c>
      <c r="CR318" s="191">
        <f>10^(CJ318-CQ318)</f>
        <v>117.60050473701467</v>
      </c>
      <c r="CS318" s="135" t="s">
        <v>539</v>
      </c>
      <c r="CT318" s="135"/>
      <c r="CU318" s="135"/>
      <c r="CV318" s="332">
        <f t="shared" si="90"/>
        <v>0.27465502894983185</v>
      </c>
      <c r="CW318" s="329">
        <f t="shared" si="91"/>
        <v>0</v>
      </c>
      <c r="CX318" s="329"/>
      <c r="CY318" s="189" t="s">
        <v>5921</v>
      </c>
    </row>
    <row r="319" spans="1:103" ht="11.25" customHeight="1" x14ac:dyDescent="0.2">
      <c r="A319" s="72">
        <v>607</v>
      </c>
      <c r="B319" s="183">
        <v>1818</v>
      </c>
      <c r="C319" s="133" t="s">
        <v>1366</v>
      </c>
      <c r="D319" s="133" t="s">
        <v>6497</v>
      </c>
      <c r="E319" s="134"/>
      <c r="F319" s="134" t="s">
        <v>1367</v>
      </c>
      <c r="G319" s="184">
        <v>2310170</v>
      </c>
      <c r="H319" s="138" t="s">
        <v>1368</v>
      </c>
      <c r="I319" s="138" t="s">
        <v>7944</v>
      </c>
      <c r="J319" s="138" t="s">
        <v>1369</v>
      </c>
      <c r="K319" s="138" t="s">
        <v>1370</v>
      </c>
      <c r="L319" s="138" t="s">
        <v>617</v>
      </c>
      <c r="M319" s="138" t="s">
        <v>946</v>
      </c>
      <c r="N319" s="138" t="s">
        <v>6376</v>
      </c>
      <c r="O319" s="138" t="s">
        <v>918</v>
      </c>
      <c r="P319" s="138"/>
      <c r="Q319" s="138"/>
      <c r="R319" s="138"/>
      <c r="S319" s="138"/>
      <c r="T319" s="135">
        <v>367.81</v>
      </c>
      <c r="U319" s="185">
        <v>3.05</v>
      </c>
      <c r="V319" s="185">
        <v>0.87799999999999989</v>
      </c>
      <c r="W319" s="185">
        <v>0.55670296278732101</v>
      </c>
      <c r="X319" s="185">
        <v>3.05</v>
      </c>
      <c r="Y319" s="204">
        <v>7</v>
      </c>
      <c r="Z319" s="135">
        <v>4.29</v>
      </c>
      <c r="AA319" s="135">
        <v>4.38</v>
      </c>
      <c r="AB319" s="135">
        <v>4.49</v>
      </c>
      <c r="AC319" s="135">
        <v>0.79679999999999995</v>
      </c>
      <c r="AD319" s="135">
        <v>4.43</v>
      </c>
      <c r="AE319" s="135">
        <v>4.28</v>
      </c>
      <c r="AF319" s="135">
        <f t="shared" si="92"/>
        <v>4.38</v>
      </c>
      <c r="AG319" s="136">
        <v>4.92</v>
      </c>
      <c r="AH319" s="185">
        <v>3.9400000000000001E-7</v>
      </c>
      <c r="AI319" s="185"/>
      <c r="AJ319" s="136">
        <f t="shared" si="93"/>
        <v>-4.7930701044870778</v>
      </c>
      <c r="AK319" s="136"/>
      <c r="AL319" s="136">
        <f t="shared" si="94"/>
        <v>-4.7930701044870778</v>
      </c>
      <c r="AM319" s="136">
        <v>-14.334989999999999</v>
      </c>
      <c r="AN319" s="186">
        <v>-5.78</v>
      </c>
      <c r="AO319" s="481"/>
      <c r="AP319" s="481">
        <v>-1.75</v>
      </c>
      <c r="AQ319" s="186" t="s">
        <v>6314</v>
      </c>
      <c r="AR319" s="186" t="s">
        <v>6312</v>
      </c>
      <c r="AS319" s="183"/>
      <c r="AT319" s="137" t="s">
        <v>266</v>
      </c>
      <c r="AU319" s="135">
        <v>6</v>
      </c>
      <c r="AV319" s="135">
        <v>120</v>
      </c>
      <c r="AW319" s="135">
        <v>114</v>
      </c>
      <c r="AX319" s="135">
        <v>28</v>
      </c>
      <c r="AY319" s="135" t="s">
        <v>8728</v>
      </c>
      <c r="AZ319" s="135" t="s">
        <v>1563</v>
      </c>
      <c r="BA319" s="135">
        <v>32</v>
      </c>
      <c r="BB319" s="138" t="s">
        <v>2485</v>
      </c>
      <c r="BC319" s="458" t="s">
        <v>8726</v>
      </c>
      <c r="BD319" s="138" t="s">
        <v>8374</v>
      </c>
      <c r="BE319" s="135" t="s">
        <v>2449</v>
      </c>
      <c r="BF319" s="135" t="s">
        <v>272</v>
      </c>
      <c r="BG319" s="135" t="s">
        <v>272</v>
      </c>
      <c r="BH319" s="135" t="s">
        <v>2486</v>
      </c>
      <c r="BI319" s="185">
        <v>2.3539839999999999E-3</v>
      </c>
      <c r="BJ319" s="185">
        <v>23.539840000000002</v>
      </c>
      <c r="BK319" s="135"/>
      <c r="BL319" s="485">
        <v>2.6520061852766288</v>
      </c>
      <c r="BM319" s="138" t="s">
        <v>2487</v>
      </c>
      <c r="BN319" s="135"/>
      <c r="BO319" s="135"/>
      <c r="BP319" s="135"/>
      <c r="BQ319" s="135"/>
      <c r="BR319" s="138" t="e">
        <v>#VALUE!</v>
      </c>
      <c r="BS319" s="135"/>
      <c r="BT319" s="135"/>
      <c r="BU319" s="135"/>
      <c r="BV319" s="135"/>
      <c r="BW319" s="135"/>
      <c r="BX319" s="135"/>
      <c r="BY319" s="135"/>
      <c r="BZ319" s="135"/>
      <c r="CA319" s="135"/>
      <c r="CB319" s="135"/>
      <c r="CC319" s="135"/>
      <c r="CD319" s="135"/>
      <c r="CE319" s="135"/>
      <c r="CF319" s="135"/>
      <c r="CG319" s="135"/>
      <c r="CH319" s="135"/>
      <c r="CI319" s="185"/>
      <c r="CJ319" s="187"/>
      <c r="CK319" s="136">
        <f t="shared" si="89"/>
        <v>0.11266033181519622</v>
      </c>
      <c r="CL319" s="188"/>
      <c r="CM319" s="188">
        <v>-1.1003433318879943</v>
      </c>
      <c r="CN319" s="188">
        <f>BJ319/(10^CM319)</f>
        <v>296.58339927157368</v>
      </c>
      <c r="CO319" s="138" t="s">
        <v>2488</v>
      </c>
      <c r="CP319" s="189" t="s">
        <v>2489</v>
      </c>
      <c r="CQ319" s="183">
        <v>-0.77853818269657205</v>
      </c>
      <c r="CR319" s="191">
        <f>10^(CJ319-CQ319)</f>
        <v>6.0053480495085649</v>
      </c>
      <c r="CS319" s="135" t="s">
        <v>539</v>
      </c>
      <c r="CT319" s="135"/>
      <c r="CU319" s="135"/>
      <c r="CV319" s="332">
        <f t="shared" si="90"/>
        <v>0.12956757565047169</v>
      </c>
      <c r="CW319" s="329">
        <f t="shared" si="91"/>
        <v>0</v>
      </c>
      <c r="CX319" s="329"/>
      <c r="CY319" s="189" t="s">
        <v>5921</v>
      </c>
    </row>
    <row r="320" spans="1:103" ht="11.25" customHeight="1" x14ac:dyDescent="0.2">
      <c r="A320" s="72">
        <v>608</v>
      </c>
      <c r="B320" s="183">
        <v>1563</v>
      </c>
      <c r="C320" s="133" t="s">
        <v>6873</v>
      </c>
      <c r="D320" s="133"/>
      <c r="E320" s="134"/>
      <c r="F320" s="134" t="s">
        <v>4702</v>
      </c>
      <c r="G320" s="184">
        <v>23593751</v>
      </c>
      <c r="H320" s="138" t="s">
        <v>4703</v>
      </c>
      <c r="I320" s="138" t="s">
        <v>7945</v>
      </c>
      <c r="J320" s="138" t="s">
        <v>4704</v>
      </c>
      <c r="K320" s="138" t="s">
        <v>1064</v>
      </c>
      <c r="L320" s="138" t="s">
        <v>279</v>
      </c>
      <c r="M320" s="138" t="s">
        <v>8515</v>
      </c>
      <c r="N320" s="138"/>
      <c r="O320" s="138" t="s">
        <v>281</v>
      </c>
      <c r="P320" s="138"/>
      <c r="Q320" s="138"/>
      <c r="R320" s="138"/>
      <c r="S320" s="138"/>
      <c r="T320" s="135">
        <v>344.84</v>
      </c>
      <c r="U320" s="185"/>
      <c r="V320" s="185">
        <v>2.9839999999999998E-2</v>
      </c>
      <c r="W320" s="185">
        <v>4.6517636043290507</v>
      </c>
      <c r="X320" s="185">
        <v>4.6517636043290507</v>
      </c>
      <c r="Y320" s="204">
        <v>7.63</v>
      </c>
      <c r="Z320" s="135">
        <v>6.26</v>
      </c>
      <c r="AA320" s="135"/>
      <c r="AB320" s="135">
        <v>5.18</v>
      </c>
      <c r="AC320" s="135">
        <v>0.85550000000000004</v>
      </c>
      <c r="AD320" s="135">
        <v>5.25</v>
      </c>
      <c r="AE320" s="135">
        <v>5.44</v>
      </c>
      <c r="AF320" s="135">
        <f t="shared" si="92"/>
        <v>5.25</v>
      </c>
      <c r="AG320" s="136">
        <v>5.48</v>
      </c>
      <c r="AH320" s="185">
        <v>3.1200000000000001E-8</v>
      </c>
      <c r="AI320" s="185"/>
      <c r="AJ320" s="136">
        <f t="shared" si="93"/>
        <v>-5.8944117322942091</v>
      </c>
      <c r="AK320" s="136"/>
      <c r="AL320" s="136">
        <f t="shared" si="94"/>
        <v>-5.8944117322942091</v>
      </c>
      <c r="AM320" s="136">
        <v>-13.798780000000001</v>
      </c>
      <c r="AN320" s="186">
        <v>-8.74</v>
      </c>
      <c r="AO320" s="481"/>
      <c r="AP320" s="481">
        <v>6.12</v>
      </c>
      <c r="AQ320" s="135" t="s">
        <v>6311</v>
      </c>
      <c r="AR320" s="135" t="s">
        <v>6311</v>
      </c>
      <c r="AS320" s="190"/>
      <c r="AT320" s="137" t="s">
        <v>266</v>
      </c>
      <c r="AU320" s="135">
        <v>6</v>
      </c>
      <c r="AV320" s="135">
        <v>120</v>
      </c>
      <c r="AW320" s="135">
        <v>114</v>
      </c>
      <c r="AX320" s="135">
        <v>28</v>
      </c>
      <c r="AY320" s="135" t="s">
        <v>8728</v>
      </c>
      <c r="AZ320" s="135" t="s">
        <v>1563</v>
      </c>
      <c r="BA320" s="135">
        <v>32</v>
      </c>
      <c r="BB320" s="138" t="s">
        <v>2485</v>
      </c>
      <c r="BC320" s="458" t="s">
        <v>8726</v>
      </c>
      <c r="BD320" s="138" t="s">
        <v>8374</v>
      </c>
      <c r="BE320" s="135" t="s">
        <v>2449</v>
      </c>
      <c r="BF320" s="135" t="s">
        <v>272</v>
      </c>
      <c r="BG320" s="135" t="s">
        <v>272</v>
      </c>
      <c r="BH320" s="135" t="s">
        <v>2486</v>
      </c>
      <c r="BI320" s="185">
        <v>2.2069759999999998E-3</v>
      </c>
      <c r="BJ320" s="185">
        <v>22.069759999999999</v>
      </c>
      <c r="BK320" s="135"/>
      <c r="BL320" s="485">
        <v>4.2297201716327233E-2</v>
      </c>
      <c r="BM320" s="138" t="s">
        <v>2487</v>
      </c>
      <c r="BN320" s="135"/>
      <c r="BO320" s="135"/>
      <c r="BP320" s="135"/>
      <c r="BQ320" s="135"/>
      <c r="BR320" s="138" t="e">
        <v>#VALUE!</v>
      </c>
      <c r="BS320" s="135"/>
      <c r="BT320" s="135"/>
      <c r="BU320" s="135"/>
      <c r="BV320" s="135"/>
      <c r="BW320" s="135"/>
      <c r="BX320" s="135"/>
      <c r="BY320" s="135"/>
      <c r="BZ320" s="135"/>
      <c r="CA320" s="135"/>
      <c r="CB320" s="135"/>
      <c r="CC320" s="135"/>
      <c r="CD320" s="135"/>
      <c r="CE320" s="135"/>
      <c r="CF320" s="135"/>
      <c r="CG320" s="135"/>
      <c r="CH320" s="135"/>
      <c r="CI320" s="185"/>
      <c r="CJ320" s="187"/>
      <c r="CK320" s="136">
        <f t="shared" si="89"/>
        <v>1.9165229579445919E-3</v>
      </c>
      <c r="CL320" s="188"/>
      <c r="CM320" s="188"/>
      <c r="CN320" s="188"/>
      <c r="CO320" s="138" t="s">
        <v>2488</v>
      </c>
      <c r="CP320" s="189" t="s">
        <v>2489</v>
      </c>
      <c r="CQ320" s="191" t="s">
        <v>272</v>
      </c>
      <c r="CR320" s="191"/>
      <c r="CS320" s="135" t="s">
        <v>539</v>
      </c>
      <c r="CT320" s="135"/>
      <c r="CU320" s="135"/>
      <c r="CV320" s="332">
        <f t="shared" si="90"/>
        <v>0.21077545040494555</v>
      </c>
      <c r="CW320" s="329">
        <f t="shared" si="91"/>
        <v>0</v>
      </c>
      <c r="CX320" s="329"/>
      <c r="CY320" s="189" t="s">
        <v>5921</v>
      </c>
    </row>
    <row r="321" spans="1:103" ht="11.25" customHeight="1" x14ac:dyDescent="0.2">
      <c r="A321" s="72">
        <v>609</v>
      </c>
      <c r="B321" s="183">
        <v>1913</v>
      </c>
      <c r="C321" s="133" t="s">
        <v>6874</v>
      </c>
      <c r="D321" s="133"/>
      <c r="E321" s="134"/>
      <c r="F321" s="134" t="s">
        <v>5379</v>
      </c>
      <c r="G321" s="184">
        <v>24602866</v>
      </c>
      <c r="H321" s="138" t="s">
        <v>5380</v>
      </c>
      <c r="I321" s="138" t="s">
        <v>5380</v>
      </c>
      <c r="J321" s="138" t="s">
        <v>5381</v>
      </c>
      <c r="K321" s="138" t="s">
        <v>300</v>
      </c>
      <c r="L321" s="138"/>
      <c r="M321" s="138"/>
      <c r="N321" s="138"/>
      <c r="O321" s="138"/>
      <c r="P321" s="138"/>
      <c r="Q321" s="138"/>
      <c r="R321" s="138"/>
      <c r="S321" s="138"/>
      <c r="T321" s="135">
        <v>297.52</v>
      </c>
      <c r="U321" s="185"/>
      <c r="V321" s="185">
        <v>0.46010000000000001</v>
      </c>
      <c r="W321" s="185">
        <v>19.656951465121978</v>
      </c>
      <c r="X321" s="185">
        <v>19.656951465121978</v>
      </c>
      <c r="Y321" s="204">
        <v>8.7100000000000009</v>
      </c>
      <c r="Z321" s="135">
        <v>6.38</v>
      </c>
      <c r="AA321" s="135"/>
      <c r="AB321" s="135">
        <v>6.7</v>
      </c>
      <c r="AC321" s="135">
        <v>0.65839999999999999</v>
      </c>
      <c r="AD321" s="135">
        <v>6.84</v>
      </c>
      <c r="AE321" s="135">
        <v>7.03</v>
      </c>
      <c r="AF321" s="135">
        <f t="shared" si="92"/>
        <v>6.84</v>
      </c>
      <c r="AG321" s="136">
        <v>6.02</v>
      </c>
      <c r="AH321" s="185">
        <v>1.3200000000000001E-5</v>
      </c>
      <c r="AI321" s="185"/>
      <c r="AJ321" s="136">
        <f t="shared" si="93"/>
        <v>-3.267992395106802</v>
      </c>
      <c r="AK321" s="136"/>
      <c r="AL321" s="136">
        <f t="shared" si="94"/>
        <v>-3.267992395106802</v>
      </c>
      <c r="AM321" s="136">
        <v>-6.8968899999999991</v>
      </c>
      <c r="AN321" s="186">
        <v>-1.99</v>
      </c>
      <c r="AO321" s="481"/>
      <c r="AP321" s="481">
        <v>7.63</v>
      </c>
      <c r="AQ321" s="186" t="s">
        <v>6311</v>
      </c>
      <c r="AR321" s="186" t="s">
        <v>6311</v>
      </c>
      <c r="AS321" s="183"/>
      <c r="AT321" s="137" t="s">
        <v>266</v>
      </c>
      <c r="AU321" s="135">
        <v>6</v>
      </c>
      <c r="AV321" s="135">
        <v>120</v>
      </c>
      <c r="AW321" s="135">
        <v>114</v>
      </c>
      <c r="AX321" s="135">
        <v>28</v>
      </c>
      <c r="AY321" s="135" t="s">
        <v>8728</v>
      </c>
      <c r="AZ321" s="135" t="s">
        <v>1563</v>
      </c>
      <c r="BA321" s="135">
        <v>32</v>
      </c>
      <c r="BB321" s="138" t="s">
        <v>2485</v>
      </c>
      <c r="BC321" s="458" t="s">
        <v>8726</v>
      </c>
      <c r="BD321" s="138" t="s">
        <v>8374</v>
      </c>
      <c r="BE321" s="135" t="s">
        <v>2449</v>
      </c>
      <c r="BF321" s="135" t="s">
        <v>272</v>
      </c>
      <c r="BG321" s="135" t="s">
        <v>272</v>
      </c>
      <c r="BH321" s="135" t="s">
        <v>2486</v>
      </c>
      <c r="BI321" s="185">
        <v>1.9041279999999997E-3</v>
      </c>
      <c r="BJ321" s="185">
        <v>19.04128</v>
      </c>
      <c r="BK321" s="135"/>
      <c r="BL321" s="485">
        <v>2.8473323694354707E-2</v>
      </c>
      <c r="BM321" s="138" t="s">
        <v>2487</v>
      </c>
      <c r="BN321" s="135"/>
      <c r="BO321" s="135"/>
      <c r="BP321" s="135"/>
      <c r="BQ321" s="135"/>
      <c r="BR321" s="138" t="e">
        <v>#VALUE!</v>
      </c>
      <c r="BS321" s="135"/>
      <c r="BT321" s="135"/>
      <c r="BU321" s="135"/>
      <c r="BV321" s="135"/>
      <c r="BW321" s="135"/>
      <c r="BX321" s="135"/>
      <c r="BY321" s="135"/>
      <c r="BZ321" s="135"/>
      <c r="CA321" s="135"/>
      <c r="CB321" s="135"/>
      <c r="CC321" s="135"/>
      <c r="CD321" s="135"/>
      <c r="CE321" s="135"/>
      <c r="CF321" s="135"/>
      <c r="CG321" s="135"/>
      <c r="CH321" s="135"/>
      <c r="CI321" s="185"/>
      <c r="CJ321" s="187"/>
      <c r="CK321" s="136">
        <f t="shared" si="89"/>
        <v>1.495347145483639E-3</v>
      </c>
      <c r="CL321" s="188"/>
      <c r="CM321" s="188"/>
      <c r="CN321" s="188"/>
      <c r="CO321" s="138" t="s">
        <v>2488</v>
      </c>
      <c r="CP321" s="189" t="s">
        <v>2489</v>
      </c>
      <c r="CQ321" s="191" t="s">
        <v>272</v>
      </c>
      <c r="CR321" s="191"/>
      <c r="CS321" s="135" t="s">
        <v>539</v>
      </c>
      <c r="CT321" s="135"/>
      <c r="CU321" s="135"/>
      <c r="CV321" s="332">
        <f t="shared" si="90"/>
        <v>1.0323335125118678</v>
      </c>
      <c r="CW321" s="329">
        <f t="shared" si="91"/>
        <v>1</v>
      </c>
      <c r="CX321" s="329"/>
      <c r="CY321" s="189" t="s">
        <v>5921</v>
      </c>
    </row>
    <row r="322" spans="1:103" ht="11.25" customHeight="1" x14ac:dyDescent="0.2">
      <c r="A322" s="72">
        <v>610</v>
      </c>
      <c r="B322" s="183">
        <v>1867</v>
      </c>
      <c r="C322" s="133" t="s">
        <v>6875</v>
      </c>
      <c r="D322" s="133"/>
      <c r="E322" s="134"/>
      <c r="F322" s="134" t="s">
        <v>5307</v>
      </c>
      <c r="G322" s="184">
        <v>25155300</v>
      </c>
      <c r="H322" s="138" t="s">
        <v>5308</v>
      </c>
      <c r="I322" s="138" t="s">
        <v>5308</v>
      </c>
      <c r="J322" s="138" t="s">
        <v>2204</v>
      </c>
      <c r="K322" s="138" t="s">
        <v>426</v>
      </c>
      <c r="L322" s="138"/>
      <c r="M322" s="138"/>
      <c r="N322" s="138"/>
      <c r="O322" s="138"/>
      <c r="P322" s="138"/>
      <c r="Q322" s="138"/>
      <c r="R322" s="138"/>
      <c r="S322" s="138"/>
      <c r="T322" s="135">
        <v>326.5</v>
      </c>
      <c r="U322" s="185"/>
      <c r="V322" s="185">
        <v>0.70320000000000016</v>
      </c>
      <c r="W322" s="185">
        <v>5806.0822737770823</v>
      </c>
      <c r="X322" s="185">
        <v>5806.0822737770823</v>
      </c>
      <c r="Y322" s="204">
        <v>1.76</v>
      </c>
      <c r="Z322" s="135">
        <v>4.78</v>
      </c>
      <c r="AA322" s="135"/>
      <c r="AB322" s="135">
        <v>4.1500000000000004</v>
      </c>
      <c r="AC322" s="135">
        <v>0.40200000000000002</v>
      </c>
      <c r="AD322" s="135">
        <v>5.84</v>
      </c>
      <c r="AE322" s="135">
        <v>6.77</v>
      </c>
      <c r="AF322" s="135">
        <f t="shared" si="92"/>
        <v>5.84</v>
      </c>
      <c r="AG322" s="136">
        <v>5.84</v>
      </c>
      <c r="AH322" s="185">
        <v>6.2699999999999999E-8</v>
      </c>
      <c r="AI322" s="185"/>
      <c r="AJ322" s="136">
        <f t="shared" si="93"/>
        <v>-5.5912987854819356</v>
      </c>
      <c r="AK322" s="136"/>
      <c r="AL322" s="136">
        <f t="shared" si="94"/>
        <v>-5.5912987854819356</v>
      </c>
      <c r="AM322" s="136">
        <v>-12.315449999999998</v>
      </c>
      <c r="AN322" s="186"/>
      <c r="AO322" s="481">
        <v>-0.45</v>
      </c>
      <c r="AP322" s="481"/>
      <c r="AQ322" s="186" t="s">
        <v>6311</v>
      </c>
      <c r="AR322" s="186" t="s">
        <v>6311</v>
      </c>
      <c r="AS322" s="183"/>
      <c r="AT322" s="137" t="s">
        <v>266</v>
      </c>
      <c r="AU322" s="135">
        <v>6</v>
      </c>
      <c r="AV322" s="135">
        <v>120</v>
      </c>
      <c r="AW322" s="135">
        <v>114</v>
      </c>
      <c r="AX322" s="135">
        <v>28</v>
      </c>
      <c r="AY322" s="135" t="s">
        <v>8728</v>
      </c>
      <c r="AZ322" s="135" t="s">
        <v>1563</v>
      </c>
      <c r="BA322" s="135">
        <v>32</v>
      </c>
      <c r="BB322" s="138" t="s">
        <v>2485</v>
      </c>
      <c r="BC322" s="458" t="s">
        <v>8726</v>
      </c>
      <c r="BD322" s="138" t="s">
        <v>8374</v>
      </c>
      <c r="BE322" s="135" t="s">
        <v>2449</v>
      </c>
      <c r="BF322" s="135" t="s">
        <v>272</v>
      </c>
      <c r="BG322" s="135" t="s">
        <v>272</v>
      </c>
      <c r="BH322" s="135" t="s">
        <v>2486</v>
      </c>
      <c r="BI322" s="185">
        <v>2.0896000000000001E-3</v>
      </c>
      <c r="BJ322" s="185">
        <v>20.896000000000001</v>
      </c>
      <c r="BK322" s="135"/>
      <c r="BL322" s="485">
        <v>0.85460452027943845</v>
      </c>
      <c r="BM322" s="138" t="s">
        <v>2487</v>
      </c>
      <c r="BN322" s="135"/>
      <c r="BO322" s="135"/>
      <c r="BP322" s="135"/>
      <c r="BQ322" s="135"/>
      <c r="BR322" s="138" t="e">
        <v>#VALUE!</v>
      </c>
      <c r="BS322" s="135"/>
      <c r="BT322" s="135"/>
      <c r="BU322" s="135"/>
      <c r="BV322" s="135"/>
      <c r="BW322" s="135"/>
      <c r="BX322" s="135"/>
      <c r="BY322" s="135"/>
      <c r="BZ322" s="135"/>
      <c r="CA322" s="135"/>
      <c r="CB322" s="135"/>
      <c r="CC322" s="135"/>
      <c r="CD322" s="135"/>
      <c r="CE322" s="135"/>
      <c r="CF322" s="135"/>
      <c r="CG322" s="135"/>
      <c r="CH322" s="135"/>
      <c r="CI322" s="185"/>
      <c r="CJ322" s="187"/>
      <c r="CK322" s="136">
        <f t="shared" si="89"/>
        <v>4.0897995802040503E-2</v>
      </c>
      <c r="CL322" s="188"/>
      <c r="CM322" s="188"/>
      <c r="CN322" s="188"/>
      <c r="CO322" s="138" t="s">
        <v>2488</v>
      </c>
      <c r="CP322" s="189" t="s">
        <v>2489</v>
      </c>
      <c r="CQ322" s="191" t="s">
        <v>272</v>
      </c>
      <c r="CR322" s="191"/>
      <c r="CS322" s="135" t="s">
        <v>539</v>
      </c>
      <c r="CT322" s="135"/>
      <c r="CU322" s="135"/>
      <c r="CV322" s="332">
        <f t="shared" si="90"/>
        <v>277.85615781858166</v>
      </c>
      <c r="CW322" s="329">
        <f t="shared" si="91"/>
        <v>1</v>
      </c>
      <c r="CX322" s="329"/>
      <c r="CY322" s="189" t="s">
        <v>5921</v>
      </c>
    </row>
    <row r="323" spans="1:103" ht="11.25" customHeight="1" x14ac:dyDescent="0.2">
      <c r="A323" s="72">
        <v>611</v>
      </c>
      <c r="B323" s="191">
        <v>1630</v>
      </c>
      <c r="C323" s="128" t="s">
        <v>6876</v>
      </c>
      <c r="D323" s="128"/>
      <c r="E323" s="129"/>
      <c r="F323" s="129" t="s">
        <v>4828</v>
      </c>
      <c r="G323" s="192">
        <v>25265718</v>
      </c>
      <c r="H323" s="139" t="s">
        <v>4829</v>
      </c>
      <c r="I323" s="139" t="s">
        <v>4829</v>
      </c>
      <c r="J323" s="139" t="s">
        <v>4830</v>
      </c>
      <c r="K323" s="139" t="s">
        <v>426</v>
      </c>
      <c r="L323" s="139"/>
      <c r="M323" s="139"/>
      <c r="N323" s="138"/>
      <c r="O323" s="139"/>
      <c r="P323" s="138"/>
      <c r="Q323" s="138"/>
      <c r="R323" s="138"/>
      <c r="S323" s="138"/>
      <c r="T323" s="130">
        <v>134.16999999999999</v>
      </c>
      <c r="U323" s="187">
        <v>1000000</v>
      </c>
      <c r="V323" s="185">
        <v>310700</v>
      </c>
      <c r="W323" s="185">
        <v>314525.18015147391</v>
      </c>
      <c r="X323" s="187">
        <v>1000000</v>
      </c>
      <c r="Y323" s="194">
        <v>6.8</v>
      </c>
      <c r="Z323" s="130">
        <v>-0.64</v>
      </c>
      <c r="AA323" s="130"/>
      <c r="AB323" s="130">
        <v>-0.56999999999999995</v>
      </c>
      <c r="AC323" s="130">
        <v>0.93169999999999997</v>
      </c>
      <c r="AD323" s="130">
        <v>-0.62</v>
      </c>
      <c r="AE323" s="130">
        <v>-0.82</v>
      </c>
      <c r="AF323" s="130">
        <f t="shared" si="92"/>
        <v>-0.62</v>
      </c>
      <c r="AG323" s="131">
        <v>4.9800000000000004</v>
      </c>
      <c r="AH323" s="187">
        <v>3.58E-9</v>
      </c>
      <c r="AI323" s="187"/>
      <c r="AJ323" s="136">
        <f t="shared" si="93"/>
        <v>-6.8346832996687779</v>
      </c>
      <c r="AK323" s="136"/>
      <c r="AL323" s="136">
        <f t="shared" si="94"/>
        <v>-6.8346832996687779</v>
      </c>
      <c r="AM323" s="136">
        <v>-9.0596099999999993</v>
      </c>
      <c r="AN323" s="193">
        <v>-17.399999999999999</v>
      </c>
      <c r="AO323" s="481">
        <v>14.19</v>
      </c>
      <c r="AP323" s="481"/>
      <c r="AQ323" s="193" t="s">
        <v>6311</v>
      </c>
      <c r="AR323" s="193" t="s">
        <v>6311</v>
      </c>
      <c r="AS323" s="191"/>
      <c r="AT323" s="132" t="s">
        <v>266</v>
      </c>
      <c r="AU323" s="130">
        <v>6</v>
      </c>
      <c r="AV323" s="130">
        <v>120</v>
      </c>
      <c r="AW323" s="130">
        <v>114</v>
      </c>
      <c r="AX323" s="130">
        <v>28</v>
      </c>
      <c r="AY323" s="130" t="s">
        <v>8728</v>
      </c>
      <c r="AZ323" s="130" t="s">
        <v>1563</v>
      </c>
      <c r="BA323" s="130">
        <v>32</v>
      </c>
      <c r="BB323" s="139" t="s">
        <v>2485</v>
      </c>
      <c r="BC323" s="458" t="s">
        <v>8726</v>
      </c>
      <c r="BD323" s="139" t="s">
        <v>8374</v>
      </c>
      <c r="BE323" s="130" t="s">
        <v>2449</v>
      </c>
      <c r="BF323" s="130" t="s">
        <v>272</v>
      </c>
      <c r="BG323" s="130" t="s">
        <v>272</v>
      </c>
      <c r="BH323" s="130" t="s">
        <v>2486</v>
      </c>
      <c r="BI323" s="187">
        <v>8.5868799999999992E-4</v>
      </c>
      <c r="BJ323" s="187">
        <v>8.586879999999999</v>
      </c>
      <c r="BK323" s="130"/>
      <c r="BL323" s="485">
        <v>25896.401499409621</v>
      </c>
      <c r="BM323" s="139" t="s">
        <v>2487</v>
      </c>
      <c r="BN323" s="130"/>
      <c r="BO323" s="130"/>
      <c r="BP323" s="130"/>
      <c r="BQ323" s="130"/>
      <c r="BR323" s="139" t="e">
        <v>#VALUE!</v>
      </c>
      <c r="BS323" s="130"/>
      <c r="BT323" s="130"/>
      <c r="BU323" s="195"/>
      <c r="BV323" s="130"/>
      <c r="BW323" s="130"/>
      <c r="BX323" s="130"/>
      <c r="BY323" s="130"/>
      <c r="BZ323" s="130"/>
      <c r="CA323" s="130"/>
      <c r="CB323" s="130"/>
      <c r="CC323" s="130"/>
      <c r="CD323" s="130"/>
      <c r="CE323" s="130"/>
      <c r="CF323" s="130"/>
      <c r="CG323" s="130"/>
      <c r="CH323" s="130"/>
      <c r="CI323" s="187"/>
      <c r="CJ323" s="187"/>
      <c r="CK323" s="131">
        <f t="shared" si="89"/>
        <v>3015.8103408233987</v>
      </c>
      <c r="CL323" s="188"/>
      <c r="CM323" s="188"/>
      <c r="CN323" s="188"/>
      <c r="CO323" s="139" t="s">
        <v>2488</v>
      </c>
      <c r="CP323" s="499" t="s">
        <v>2489</v>
      </c>
      <c r="CQ323" s="191" t="s">
        <v>272</v>
      </c>
      <c r="CR323" s="191"/>
      <c r="CS323" s="135" t="s">
        <v>539</v>
      </c>
      <c r="CT323" s="135"/>
      <c r="CU323" s="135"/>
      <c r="CV323" s="332">
        <f t="shared" si="90"/>
        <v>116456.73399418649</v>
      </c>
      <c r="CW323" s="329">
        <f t="shared" si="91"/>
        <v>1</v>
      </c>
      <c r="CX323" s="329"/>
      <c r="CY323" s="189" t="s">
        <v>6351</v>
      </c>
    </row>
    <row r="324" spans="1:103" ht="11.25" customHeight="1" x14ac:dyDescent="0.2">
      <c r="A324" s="72">
        <v>613</v>
      </c>
      <c r="B324" s="183">
        <v>1610</v>
      </c>
      <c r="C324" s="133" t="s">
        <v>6878</v>
      </c>
      <c r="D324" s="133"/>
      <c r="E324" s="134"/>
      <c r="F324" s="134" t="s">
        <v>4777</v>
      </c>
      <c r="G324" s="184">
        <v>27178161</v>
      </c>
      <c r="H324" s="138" t="s">
        <v>4778</v>
      </c>
      <c r="I324" s="138" t="s">
        <v>4778</v>
      </c>
      <c r="J324" s="138" t="s">
        <v>4779</v>
      </c>
      <c r="K324" s="138" t="s">
        <v>357</v>
      </c>
      <c r="L324" s="138"/>
      <c r="M324" s="138"/>
      <c r="N324" s="138"/>
      <c r="O324" s="138"/>
      <c r="P324" s="138"/>
      <c r="Q324" s="138"/>
      <c r="R324" s="138"/>
      <c r="S324" s="138"/>
      <c r="T324" s="135">
        <v>426.67</v>
      </c>
      <c r="U324" s="185">
        <v>4.3999999999999999E-5</v>
      </c>
      <c r="V324" s="185">
        <v>5.1490000000000002E-6</v>
      </c>
      <c r="W324" s="185">
        <v>4.2666999999999997E-2</v>
      </c>
      <c r="X324" s="185">
        <v>4.3999999999999999E-5</v>
      </c>
      <c r="Y324" s="204">
        <v>7</v>
      </c>
      <c r="Z324" s="135">
        <v>10.08</v>
      </c>
      <c r="AA324" s="135"/>
      <c r="AB324" s="135">
        <v>7.36</v>
      </c>
      <c r="AC324" s="135">
        <v>0.48509999999999998</v>
      </c>
      <c r="AD324" s="135">
        <v>8.8800000000000008</v>
      </c>
      <c r="AE324" s="135">
        <v>10.23</v>
      </c>
      <c r="AF324" s="135">
        <f t="shared" si="92"/>
        <v>8.8800000000000008</v>
      </c>
      <c r="AG324" s="136">
        <v>8.8800000000000008</v>
      </c>
      <c r="AH324" s="185">
        <v>1.6000000000000001E-4</v>
      </c>
      <c r="AI324" s="185"/>
      <c r="AJ324" s="136">
        <f t="shared" si="93"/>
        <v>-2.184446343656727</v>
      </c>
      <c r="AK324" s="136"/>
      <c r="AL324" s="136">
        <f t="shared" si="94"/>
        <v>-2.184446343656727</v>
      </c>
      <c r="AM324" s="136">
        <v>-8.4725400000000004</v>
      </c>
      <c r="AN324" s="186"/>
      <c r="AO324" s="481"/>
      <c r="AP324" s="481"/>
      <c r="AQ324" s="135" t="s">
        <v>6311</v>
      </c>
      <c r="AR324" s="135" t="s">
        <v>6312</v>
      </c>
      <c r="AS324" s="190"/>
      <c r="AT324" s="137" t="s">
        <v>266</v>
      </c>
      <c r="AU324" s="135">
        <v>6</v>
      </c>
      <c r="AV324" s="135">
        <v>120</v>
      </c>
      <c r="AW324" s="135">
        <v>114</v>
      </c>
      <c r="AX324" s="135">
        <v>28</v>
      </c>
      <c r="AY324" s="135" t="s">
        <v>8728</v>
      </c>
      <c r="AZ324" s="135" t="s">
        <v>1563</v>
      </c>
      <c r="BA324" s="135">
        <v>32</v>
      </c>
      <c r="BB324" s="138" t="s">
        <v>2485</v>
      </c>
      <c r="BC324" s="458" t="s">
        <v>8726</v>
      </c>
      <c r="BD324" s="138" t="s">
        <v>8374</v>
      </c>
      <c r="BE324" s="135" t="s">
        <v>2449</v>
      </c>
      <c r="BF324" s="135" t="s">
        <v>272</v>
      </c>
      <c r="BG324" s="135" t="s">
        <v>272</v>
      </c>
      <c r="BH324" s="135" t="s">
        <v>2486</v>
      </c>
      <c r="BI324" s="185">
        <v>2.7306879999999998E-3</v>
      </c>
      <c r="BJ324" s="185">
        <v>27.306880000000003</v>
      </c>
      <c r="BK324" s="135"/>
      <c r="BL324" s="485">
        <v>1.9410830079637224E-5</v>
      </c>
      <c r="BM324" s="138" t="s">
        <v>2487</v>
      </c>
      <c r="BN324" s="135"/>
      <c r="BO324" s="135"/>
      <c r="BP324" s="135"/>
      <c r="BQ324" s="135"/>
      <c r="BR324" s="138" t="e">
        <v>#VALUE!</v>
      </c>
      <c r="BS324" s="135"/>
      <c r="BT324" s="135"/>
      <c r="BU324" s="135"/>
      <c r="BV324" s="135"/>
      <c r="BW324" s="135"/>
      <c r="BX324" s="135"/>
      <c r="BY324" s="135"/>
      <c r="BZ324" s="135"/>
      <c r="CA324" s="135"/>
      <c r="CB324" s="135"/>
      <c r="CC324" s="135"/>
      <c r="CD324" s="135"/>
      <c r="CE324" s="135"/>
      <c r="CF324" s="135"/>
      <c r="CG324" s="135"/>
      <c r="CH324" s="135"/>
      <c r="CI324" s="185"/>
      <c r="CJ324" s="187"/>
      <c r="CK324" s="136">
        <f t="shared" si="89"/>
        <v>7.1084027467206878E-7</v>
      </c>
      <c r="CL324" s="188"/>
      <c r="CM324" s="188"/>
      <c r="CN324" s="188"/>
      <c r="CO324" s="138" t="s">
        <v>2488</v>
      </c>
      <c r="CP324" s="189" t="s">
        <v>2489</v>
      </c>
      <c r="CQ324" s="191" t="s">
        <v>272</v>
      </c>
      <c r="CR324" s="191"/>
      <c r="CS324" s="135" t="s">
        <v>539</v>
      </c>
      <c r="CT324" s="135"/>
      <c r="CU324" s="135"/>
      <c r="CV324" s="332">
        <f t="shared" si="90"/>
        <v>1.6113155365973702E-6</v>
      </c>
      <c r="CW324" s="329">
        <f t="shared" si="91"/>
        <v>0</v>
      </c>
      <c r="CX324" s="329"/>
      <c r="CY324" s="189" t="s">
        <v>6351</v>
      </c>
    </row>
    <row r="325" spans="1:103" ht="11.25" customHeight="1" x14ac:dyDescent="0.2">
      <c r="A325" s="72">
        <v>614</v>
      </c>
      <c r="B325" s="191">
        <v>1825</v>
      </c>
      <c r="C325" s="128" t="s">
        <v>6879</v>
      </c>
      <c r="D325" s="128"/>
      <c r="E325" s="129"/>
      <c r="F325" s="129" t="s">
        <v>5235</v>
      </c>
      <c r="G325" s="192">
        <v>29420493</v>
      </c>
      <c r="H325" s="139" t="s">
        <v>5236</v>
      </c>
      <c r="I325" s="139" t="s">
        <v>5236</v>
      </c>
      <c r="J325" s="139" t="s">
        <v>5237</v>
      </c>
      <c r="K325" s="139" t="s">
        <v>426</v>
      </c>
      <c r="L325" s="139"/>
      <c r="M325" s="139"/>
      <c r="N325" s="138"/>
      <c r="O325" s="139"/>
      <c r="P325" s="138"/>
      <c r="Q325" s="138"/>
      <c r="R325" s="138"/>
      <c r="S325" s="138"/>
      <c r="T325" s="130">
        <v>300.10000000000002</v>
      </c>
      <c r="U325" s="187"/>
      <c r="V325" s="185">
        <v>344</v>
      </c>
      <c r="W325" s="185">
        <v>993724.49556925613</v>
      </c>
      <c r="X325" s="185">
        <v>993724.49556925613</v>
      </c>
      <c r="Y325" s="194">
        <v>-0.52</v>
      </c>
      <c r="Z325" s="130">
        <v>1.82</v>
      </c>
      <c r="AA325" s="130"/>
      <c r="AB325" s="130">
        <v>0.19</v>
      </c>
      <c r="AC325" s="130">
        <v>0.44590000000000002</v>
      </c>
      <c r="AD325" s="130">
        <v>1.94</v>
      </c>
      <c r="AE325" s="130">
        <v>3.68</v>
      </c>
      <c r="AF325" s="130">
        <f t="shared" si="92"/>
        <v>1.94</v>
      </c>
      <c r="AG325" s="131">
        <v>5.34</v>
      </c>
      <c r="AH325" s="187">
        <v>1.4399999999999999E-5</v>
      </c>
      <c r="AI325" s="187"/>
      <c r="AJ325" s="136">
        <f t="shared" si="93"/>
        <v>-3.2302038342174022</v>
      </c>
      <c r="AK325" s="136"/>
      <c r="AL325" s="136">
        <f t="shared" si="94"/>
        <v>-3.2302038342174022</v>
      </c>
      <c r="AM325" s="136">
        <v>-5.9927100000000006</v>
      </c>
      <c r="AN325" s="193">
        <v>-12.8</v>
      </c>
      <c r="AO325" s="481">
        <v>-3.57</v>
      </c>
      <c r="AP325" s="481"/>
      <c r="AQ325" s="193" t="s">
        <v>6311</v>
      </c>
      <c r="AR325" s="193" t="s">
        <v>6311</v>
      </c>
      <c r="AS325" s="191"/>
      <c r="AT325" s="132" t="s">
        <v>266</v>
      </c>
      <c r="AU325" s="130">
        <v>6</v>
      </c>
      <c r="AV325" s="130">
        <v>120</v>
      </c>
      <c r="AW325" s="130">
        <v>114</v>
      </c>
      <c r="AX325" s="130">
        <v>28</v>
      </c>
      <c r="AY325" s="130" t="s">
        <v>8728</v>
      </c>
      <c r="AZ325" s="130" t="s">
        <v>1563</v>
      </c>
      <c r="BA325" s="130">
        <v>32</v>
      </c>
      <c r="BB325" s="139" t="s">
        <v>2485</v>
      </c>
      <c r="BC325" s="458" t="s">
        <v>8726</v>
      </c>
      <c r="BD325" s="139" t="s">
        <v>8374</v>
      </c>
      <c r="BE325" s="130" t="s">
        <v>2449</v>
      </c>
      <c r="BF325" s="130" t="s">
        <v>272</v>
      </c>
      <c r="BG325" s="130" t="s">
        <v>272</v>
      </c>
      <c r="BH325" s="130" t="s">
        <v>2486</v>
      </c>
      <c r="BI325" s="187">
        <v>1.9206400000000002E-3</v>
      </c>
      <c r="BJ325" s="187">
        <v>19.206400000000002</v>
      </c>
      <c r="BK325" s="130"/>
      <c r="BL325" s="485">
        <v>357.70416372480673</v>
      </c>
      <c r="BM325" s="139" t="s">
        <v>2487</v>
      </c>
      <c r="BN325" s="130"/>
      <c r="BO325" s="130"/>
      <c r="BP325" s="130"/>
      <c r="BQ325" s="130"/>
      <c r="BR325" s="139" t="e">
        <v>#VALUE!</v>
      </c>
      <c r="BS325" s="130"/>
      <c r="BT325" s="130"/>
      <c r="BU325" s="195"/>
      <c r="BV325" s="130"/>
      <c r="BW325" s="130"/>
      <c r="BX325" s="130"/>
      <c r="BY325" s="130"/>
      <c r="BZ325" s="130"/>
      <c r="CA325" s="130"/>
      <c r="CB325" s="130"/>
      <c r="CC325" s="130"/>
      <c r="CD325" s="130"/>
      <c r="CE325" s="130"/>
      <c r="CF325" s="130"/>
      <c r="CG325" s="130"/>
      <c r="CH325" s="130"/>
      <c r="CI325" s="187"/>
      <c r="CJ325" s="187"/>
      <c r="CK325" s="131">
        <f t="shared" si="89"/>
        <v>18.624217121626472</v>
      </c>
      <c r="CL325" s="188"/>
      <c r="CM325" s="188"/>
      <c r="CN325" s="188"/>
      <c r="CO325" s="139" t="s">
        <v>2488</v>
      </c>
      <c r="CP325" s="499" t="s">
        <v>2489</v>
      </c>
      <c r="CQ325" s="191" t="s">
        <v>272</v>
      </c>
      <c r="CR325" s="191"/>
      <c r="CS325" s="135" t="s">
        <v>539</v>
      </c>
      <c r="CT325" s="135"/>
      <c r="CU325" s="135"/>
      <c r="CV325" s="332">
        <f t="shared" si="90"/>
        <v>51739.237731654866</v>
      </c>
      <c r="CW325" s="329">
        <f t="shared" si="91"/>
        <v>1</v>
      </c>
      <c r="CX325" s="329"/>
      <c r="CY325" s="189" t="s">
        <v>5921</v>
      </c>
    </row>
    <row r="326" spans="1:103" ht="11.25" customHeight="1" x14ac:dyDescent="0.2">
      <c r="A326" s="72">
        <v>615</v>
      </c>
      <c r="B326" s="183">
        <v>1573</v>
      </c>
      <c r="C326" s="133" t="s">
        <v>3783</v>
      </c>
      <c r="D326" s="133" t="s">
        <v>6877</v>
      </c>
      <c r="E326" s="134"/>
      <c r="F326" s="134" t="s">
        <v>3784</v>
      </c>
      <c r="G326" s="184">
        <v>68359375</v>
      </c>
      <c r="H326" s="138" t="s">
        <v>3785</v>
      </c>
      <c r="I326" s="138" t="s">
        <v>7946</v>
      </c>
      <c r="J326" s="138" t="s">
        <v>3786</v>
      </c>
      <c r="K326" s="138" t="s">
        <v>2086</v>
      </c>
      <c r="L326" s="138" t="s">
        <v>617</v>
      </c>
      <c r="M326" s="138" t="s">
        <v>1086</v>
      </c>
      <c r="N326" s="138" t="s">
        <v>6376</v>
      </c>
      <c r="O326" s="138" t="s">
        <v>918</v>
      </c>
      <c r="P326" s="138"/>
      <c r="Q326" s="138"/>
      <c r="R326" s="138"/>
      <c r="S326" s="138"/>
      <c r="T326" s="135">
        <v>434.29</v>
      </c>
      <c r="U326" s="185">
        <v>3.0000000000000001E-3</v>
      </c>
      <c r="V326" s="185">
        <v>8.4290000000000007E-3</v>
      </c>
      <c r="W326" s="185">
        <v>1.6511245292805649E-2</v>
      </c>
      <c r="X326" s="185">
        <v>3.0000000000000001E-3</v>
      </c>
      <c r="Y326" s="204">
        <v>7</v>
      </c>
      <c r="Z326" s="135">
        <v>5.74</v>
      </c>
      <c r="AA326" s="135">
        <v>5.95</v>
      </c>
      <c r="AB326" s="135">
        <v>6.11</v>
      </c>
      <c r="AC326" s="135">
        <v>0.95440000000000003</v>
      </c>
      <c r="AD326" s="135">
        <v>6.13</v>
      </c>
      <c r="AE326" s="135">
        <v>6.29</v>
      </c>
      <c r="AF326" s="135">
        <f t="shared" si="92"/>
        <v>5.95</v>
      </c>
      <c r="AG326" s="136">
        <v>5.28</v>
      </c>
      <c r="AH326" s="185">
        <v>9.2099999999999995E-7</v>
      </c>
      <c r="AI326" s="185">
        <v>2.9000000000000002E-8</v>
      </c>
      <c r="AJ326" s="136">
        <f t="shared" si="93"/>
        <v>-4.4243066961158029</v>
      </c>
      <c r="AK326" s="136">
        <f>LOG10(AI326*1000/(0.08206*298.15))</f>
        <v>-5.9261683284136959</v>
      </c>
      <c r="AL326" s="136">
        <f t="shared" si="94"/>
        <v>-5.9261683284136959</v>
      </c>
      <c r="AM326" s="136">
        <v>-15.256640000000001</v>
      </c>
      <c r="AN326" s="186">
        <v>-4.42</v>
      </c>
      <c r="AO326" s="481"/>
      <c r="AP326" s="481"/>
      <c r="AQ326" s="135" t="s">
        <v>6311</v>
      </c>
      <c r="AR326" s="135" t="s">
        <v>6312</v>
      </c>
      <c r="AS326" s="190"/>
      <c r="AT326" s="137" t="s">
        <v>266</v>
      </c>
      <c r="AU326" s="135">
        <v>6</v>
      </c>
      <c r="AV326" s="135">
        <v>120</v>
      </c>
      <c r="AW326" s="135">
        <v>114</v>
      </c>
      <c r="AX326" s="135">
        <v>28</v>
      </c>
      <c r="AY326" s="135" t="s">
        <v>8728</v>
      </c>
      <c r="AZ326" s="135" t="s">
        <v>1563</v>
      </c>
      <c r="BA326" s="135">
        <v>32</v>
      </c>
      <c r="BB326" s="138" t="s">
        <v>2485</v>
      </c>
      <c r="BC326" s="458" t="s">
        <v>8726</v>
      </c>
      <c r="BD326" s="138" t="s">
        <v>8374</v>
      </c>
      <c r="BE326" s="135" t="s">
        <v>2449</v>
      </c>
      <c r="BF326" s="135" t="s">
        <v>272</v>
      </c>
      <c r="BG326" s="135" t="s">
        <v>272</v>
      </c>
      <c r="BH326" s="135" t="s">
        <v>2486</v>
      </c>
      <c r="BI326" s="185">
        <v>2.779456E-3</v>
      </c>
      <c r="BJ326" s="185">
        <v>27.794560000000001</v>
      </c>
      <c r="BK326" s="135"/>
      <c r="BL326" s="485">
        <v>0.15612980934308904</v>
      </c>
      <c r="BM326" s="138" t="s">
        <v>2487</v>
      </c>
      <c r="BN326" s="135"/>
      <c r="BO326" s="135"/>
      <c r="BP326" s="135"/>
      <c r="BQ326" s="135"/>
      <c r="BR326" s="138" t="e">
        <v>#VALUE!</v>
      </c>
      <c r="BS326" s="135"/>
      <c r="BT326" s="135"/>
      <c r="BU326" s="135"/>
      <c r="BV326" s="135"/>
      <c r="BW326" s="135"/>
      <c r="BX326" s="135"/>
      <c r="BY326" s="135"/>
      <c r="BZ326" s="135"/>
      <c r="CA326" s="135"/>
      <c r="CB326" s="135"/>
      <c r="CC326" s="135"/>
      <c r="CD326" s="135"/>
      <c r="CE326" s="135"/>
      <c r="CF326" s="135"/>
      <c r="CG326" s="135"/>
      <c r="CH326" s="135"/>
      <c r="CI326" s="185"/>
      <c r="CJ326" s="187"/>
      <c r="CK326" s="136">
        <f t="shared" si="89"/>
        <v>5.617279400828401E-3</v>
      </c>
      <c r="CL326" s="188"/>
      <c r="CM326" s="188"/>
      <c r="CN326" s="188"/>
      <c r="CO326" s="138" t="s">
        <v>2488</v>
      </c>
      <c r="CP326" s="189" t="s">
        <v>2489</v>
      </c>
      <c r="CQ326" s="183">
        <v>-3.4812957924623373</v>
      </c>
      <c r="CR326" s="191">
        <f>10^(CJ326-CQ326)</f>
        <v>3028.9757226605789</v>
      </c>
      <c r="CS326" s="135" t="s">
        <v>539</v>
      </c>
      <c r="CT326" s="135"/>
      <c r="CU326" s="135"/>
      <c r="CV326" s="332">
        <f t="shared" si="90"/>
        <v>1.0793479011720278E-4</v>
      </c>
      <c r="CW326" s="329">
        <f t="shared" ref="CW326:CW357" si="95">IF(CV326&lt;1,0,1)</f>
        <v>0</v>
      </c>
      <c r="CX326" s="329"/>
      <c r="CY326" s="189" t="s">
        <v>5921</v>
      </c>
    </row>
    <row r="327" spans="1:103" ht="11.25" customHeight="1" x14ac:dyDescent="0.2">
      <c r="A327" s="72">
        <v>616</v>
      </c>
      <c r="B327" s="183">
        <v>915</v>
      </c>
      <c r="C327" s="133" t="s">
        <v>6880</v>
      </c>
      <c r="D327" s="133"/>
      <c r="E327" s="134"/>
      <c r="F327" s="134" t="s">
        <v>2612</v>
      </c>
      <c r="G327" s="184">
        <v>36653824</v>
      </c>
      <c r="H327" s="138" t="s">
        <v>2613</v>
      </c>
      <c r="I327" s="138" t="s">
        <v>2613</v>
      </c>
      <c r="J327" s="138" t="s">
        <v>2614</v>
      </c>
      <c r="K327" s="138" t="s">
        <v>426</v>
      </c>
      <c r="L327" s="138"/>
      <c r="M327" s="138"/>
      <c r="N327" s="138"/>
      <c r="O327" s="138"/>
      <c r="P327" s="138"/>
      <c r="Q327" s="138" t="s">
        <v>6173</v>
      </c>
      <c r="R327" s="138" t="s">
        <v>6185</v>
      </c>
      <c r="S327" s="138" t="s">
        <v>6182</v>
      </c>
      <c r="T327" s="135">
        <v>242.44</v>
      </c>
      <c r="U327" s="185">
        <v>4.1200000000000001E-2</v>
      </c>
      <c r="V327" s="185">
        <v>0.14949999999999999</v>
      </c>
      <c r="W327" s="185">
        <v>2.0634990598178343E-2</v>
      </c>
      <c r="X327" s="185">
        <v>4.1200000000000001E-2</v>
      </c>
      <c r="Y327" s="204">
        <v>7</v>
      </c>
      <c r="Z327" s="135">
        <v>6.73</v>
      </c>
      <c r="AA327" s="135"/>
      <c r="AB327" s="135">
        <v>6.75</v>
      </c>
      <c r="AC327" s="135">
        <v>0.86329999999999996</v>
      </c>
      <c r="AD327" s="135">
        <v>6.89</v>
      </c>
      <c r="AE327" s="135">
        <v>7.25</v>
      </c>
      <c r="AF327" s="135">
        <f t="shared" si="92"/>
        <v>6.89</v>
      </c>
      <c r="AG327" s="136">
        <v>6.17</v>
      </c>
      <c r="AH327" s="185">
        <v>2.99E-4</v>
      </c>
      <c r="AI327" s="185">
        <v>4.6499999999999999E-5</v>
      </c>
      <c r="AJ327" s="136">
        <f t="shared" si="93"/>
        <v>-1.9128951379882222</v>
      </c>
      <c r="AK327" s="136">
        <f>LOG10(AI327*1000/(0.08206*298.15))</f>
        <v>-2.721113373422698</v>
      </c>
      <c r="AL327" s="136">
        <f t="shared" si="94"/>
        <v>-2.721113373422698</v>
      </c>
      <c r="AM327" s="136">
        <v>-4.9857899999999997</v>
      </c>
      <c r="AN327" s="186">
        <v>-1.72</v>
      </c>
      <c r="AO327" s="481">
        <v>15.2</v>
      </c>
      <c r="AP327" s="481"/>
      <c r="AQ327" s="135" t="s">
        <v>6311</v>
      </c>
      <c r="AR327" s="135" t="s">
        <v>6311</v>
      </c>
      <c r="AS327" s="190"/>
      <c r="AT327" s="137" t="s">
        <v>266</v>
      </c>
      <c r="AU327" s="135">
        <v>6</v>
      </c>
      <c r="AV327" s="135">
        <v>120</v>
      </c>
      <c r="AW327" s="135">
        <v>114</v>
      </c>
      <c r="AX327" s="135">
        <v>28</v>
      </c>
      <c r="AY327" s="135" t="s">
        <v>8728</v>
      </c>
      <c r="AZ327" s="135" t="s">
        <v>1563</v>
      </c>
      <c r="BA327" s="135">
        <v>32</v>
      </c>
      <c r="BB327" s="138" t="s">
        <v>2485</v>
      </c>
      <c r="BC327" s="458" t="s">
        <v>8726</v>
      </c>
      <c r="BD327" s="138" t="s">
        <v>8374</v>
      </c>
      <c r="BE327" s="135" t="s">
        <v>2449</v>
      </c>
      <c r="BF327" s="135" t="s">
        <v>272</v>
      </c>
      <c r="BG327" s="135" t="s">
        <v>272</v>
      </c>
      <c r="BH327" s="135" t="s">
        <v>2486</v>
      </c>
      <c r="BI327" s="185">
        <v>1.551616E-3</v>
      </c>
      <c r="BJ327" s="185">
        <v>15.516160000000001</v>
      </c>
      <c r="BK327" s="135"/>
      <c r="BL327" s="485">
        <v>1.1251003902856447E-2</v>
      </c>
      <c r="BM327" s="138" t="s">
        <v>2487</v>
      </c>
      <c r="BN327" s="135"/>
      <c r="BO327" s="135"/>
      <c r="BP327" s="135"/>
      <c r="BQ327" s="135"/>
      <c r="BR327" s="138" t="e">
        <v>#VALUE!</v>
      </c>
      <c r="BS327" s="135"/>
      <c r="BT327" s="135"/>
      <c r="BU327" s="135">
        <v>1.551616E-3</v>
      </c>
      <c r="BV327" s="135"/>
      <c r="BW327" s="135"/>
      <c r="BX327" s="135"/>
      <c r="BY327" s="135"/>
      <c r="BZ327" s="135"/>
      <c r="CA327" s="135"/>
      <c r="CB327" s="135"/>
      <c r="CC327" s="135"/>
      <c r="CD327" s="135"/>
      <c r="CE327" s="135"/>
      <c r="CF327" s="135"/>
      <c r="CG327" s="135"/>
      <c r="CH327" s="135"/>
      <c r="CI327" s="185"/>
      <c r="CJ327" s="187"/>
      <c r="CK327" s="136">
        <f t="shared" si="89"/>
        <v>7.25115228436446E-4</v>
      </c>
      <c r="CL327" s="188"/>
      <c r="CM327" s="188"/>
      <c r="CN327" s="188"/>
      <c r="CO327" s="138" t="s">
        <v>2488</v>
      </c>
      <c r="CP327" s="189" t="s">
        <v>2489</v>
      </c>
      <c r="CQ327" s="191" t="s">
        <v>272</v>
      </c>
      <c r="CR327" s="191"/>
      <c r="CS327" s="135" t="s">
        <v>539</v>
      </c>
      <c r="CT327" s="135"/>
      <c r="CU327" s="135"/>
      <c r="CV327" s="332">
        <f t="shared" si="90"/>
        <v>2.6552961557498762E-3</v>
      </c>
      <c r="CW327" s="329">
        <f t="shared" si="95"/>
        <v>0</v>
      </c>
      <c r="CX327" s="329"/>
      <c r="CY327" s="189" t="s">
        <v>6351</v>
      </c>
    </row>
    <row r="328" spans="1:103" ht="11.25" customHeight="1" x14ac:dyDescent="0.2">
      <c r="A328" s="72">
        <v>617</v>
      </c>
      <c r="B328" s="183">
        <v>1300</v>
      </c>
      <c r="C328" s="133" t="s">
        <v>6881</v>
      </c>
      <c r="D328" s="133"/>
      <c r="E328" s="134"/>
      <c r="F328" s="134" t="s">
        <v>3567</v>
      </c>
      <c r="G328" s="184">
        <v>36673162</v>
      </c>
      <c r="H328" s="138" t="s">
        <v>3568</v>
      </c>
      <c r="I328" s="138" t="s">
        <v>3568</v>
      </c>
      <c r="J328" s="138" t="s">
        <v>3569</v>
      </c>
      <c r="K328" s="138" t="s">
        <v>403</v>
      </c>
      <c r="L328" s="138"/>
      <c r="M328" s="138"/>
      <c r="N328" s="138"/>
      <c r="O328" s="138"/>
      <c r="P328" s="138"/>
      <c r="Q328" s="138"/>
      <c r="R328" s="138"/>
      <c r="S328" s="138"/>
      <c r="T328" s="135">
        <v>462.41</v>
      </c>
      <c r="U328" s="185"/>
      <c r="V328" s="185">
        <v>1000000</v>
      </c>
      <c r="W328" s="185"/>
      <c r="X328" s="185">
        <v>1000000</v>
      </c>
      <c r="Y328" s="204"/>
      <c r="Z328" s="135">
        <v>-4.88</v>
      </c>
      <c r="AA328" s="135"/>
      <c r="AB328" s="135"/>
      <c r="AC328" s="135"/>
      <c r="AD328" s="135"/>
      <c r="AE328" s="135"/>
      <c r="AF328" s="135"/>
      <c r="AG328" s="136">
        <v>5.21</v>
      </c>
      <c r="AH328" s="185"/>
      <c r="AI328" s="185"/>
      <c r="AJ328" s="136"/>
      <c r="AK328" s="136"/>
      <c r="AL328" s="136"/>
      <c r="AM328" s="136"/>
      <c r="AN328" s="186">
        <v>-11.6</v>
      </c>
      <c r="AO328" s="481"/>
      <c r="AP328" s="481"/>
      <c r="AQ328" s="135" t="s">
        <v>6311</v>
      </c>
      <c r="AR328" s="135" t="s">
        <v>6311</v>
      </c>
      <c r="AS328" s="190"/>
      <c r="AT328" s="137" t="s">
        <v>266</v>
      </c>
      <c r="AU328" s="135">
        <v>6</v>
      </c>
      <c r="AV328" s="135">
        <v>120</v>
      </c>
      <c r="AW328" s="135">
        <v>114</v>
      </c>
      <c r="AX328" s="135">
        <v>28</v>
      </c>
      <c r="AY328" s="135" t="s">
        <v>8728</v>
      </c>
      <c r="AZ328" s="135" t="s">
        <v>1563</v>
      </c>
      <c r="BA328" s="135">
        <v>32</v>
      </c>
      <c r="BB328" s="138" t="s">
        <v>2485</v>
      </c>
      <c r="BC328" s="458" t="s">
        <v>8726</v>
      </c>
      <c r="BD328" s="138" t="s">
        <v>8374</v>
      </c>
      <c r="BE328" s="135" t="s">
        <v>2449</v>
      </c>
      <c r="BF328" s="135" t="s">
        <v>272</v>
      </c>
      <c r="BG328" s="135" t="s">
        <v>272</v>
      </c>
      <c r="BH328" s="135" t="s">
        <v>2486</v>
      </c>
      <c r="BI328" s="185">
        <v>2.959424E-3</v>
      </c>
      <c r="BJ328" s="185">
        <v>29.594240000000003</v>
      </c>
      <c r="BK328" s="135"/>
      <c r="BL328" s="485">
        <v>573528782.06633282</v>
      </c>
      <c r="BM328" s="138" t="s">
        <v>2487</v>
      </c>
      <c r="BN328" s="135"/>
      <c r="BO328" s="135"/>
      <c r="BP328" s="135"/>
      <c r="BQ328" s="135"/>
      <c r="BR328" s="138" t="e">
        <v>#VALUE!</v>
      </c>
      <c r="BS328" s="135"/>
      <c r="BT328" s="135"/>
      <c r="BU328" s="135">
        <v>2.9594240000000003</v>
      </c>
      <c r="BV328" s="135"/>
      <c r="BW328" s="135"/>
      <c r="BX328" s="135"/>
      <c r="BY328" s="135"/>
      <c r="BZ328" s="135"/>
      <c r="CA328" s="135"/>
      <c r="CB328" s="135"/>
      <c r="CC328" s="135"/>
      <c r="CD328" s="135"/>
      <c r="CE328" s="135"/>
      <c r="CF328" s="135"/>
      <c r="CG328" s="135"/>
      <c r="CH328" s="135"/>
      <c r="CI328" s="185"/>
      <c r="CJ328" s="187"/>
      <c r="CK328" s="136">
        <f t="shared" si="89"/>
        <v>19379743.560447328</v>
      </c>
      <c r="CL328" s="188"/>
      <c r="CM328" s="188"/>
      <c r="CN328" s="188"/>
      <c r="CO328" s="138" t="s">
        <v>2488</v>
      </c>
      <c r="CP328" s="189" t="s">
        <v>2489</v>
      </c>
      <c r="CQ328" s="191" t="s">
        <v>272</v>
      </c>
      <c r="CR328" s="191"/>
      <c r="CS328" s="135" t="s">
        <v>539</v>
      </c>
      <c r="CT328" s="135"/>
      <c r="CU328" s="135"/>
      <c r="CV328" s="332">
        <f t="shared" si="90"/>
        <v>33790.359205034489</v>
      </c>
      <c r="CW328" s="329">
        <f t="shared" si="95"/>
        <v>1</v>
      </c>
      <c r="CX328" s="329"/>
      <c r="CY328" s="189" t="s">
        <v>5921</v>
      </c>
    </row>
    <row r="329" spans="1:103" ht="11.25" customHeight="1" x14ac:dyDescent="0.2">
      <c r="A329" s="72">
        <v>618</v>
      </c>
      <c r="B329" s="183">
        <v>1253</v>
      </c>
      <c r="C329" s="133" t="s">
        <v>1396</v>
      </c>
      <c r="D329" s="133" t="s">
        <v>6519</v>
      </c>
      <c r="E329" s="134"/>
      <c r="F329" s="134" t="s">
        <v>1397</v>
      </c>
      <c r="G329" s="184">
        <v>41198087</v>
      </c>
      <c r="H329" s="138" t="s">
        <v>1398</v>
      </c>
      <c r="I329" s="138" t="s">
        <v>7947</v>
      </c>
      <c r="J329" s="138" t="s">
        <v>1399</v>
      </c>
      <c r="K329" s="138" t="s">
        <v>637</v>
      </c>
      <c r="L329" s="138" t="s">
        <v>617</v>
      </c>
      <c r="M329" s="138" t="s">
        <v>946</v>
      </c>
      <c r="N329" s="138" t="s">
        <v>6376</v>
      </c>
      <c r="O329" s="138" t="s">
        <v>918</v>
      </c>
      <c r="P329" s="138"/>
      <c r="Q329" s="138"/>
      <c r="R329" s="138"/>
      <c r="S329" s="138"/>
      <c r="T329" s="135">
        <v>373.63</v>
      </c>
      <c r="U329" s="185">
        <v>28.000000000000004</v>
      </c>
      <c r="V329" s="185">
        <v>0.44840000000000002</v>
      </c>
      <c r="W329" s="185">
        <v>15.938290560983893</v>
      </c>
      <c r="X329" s="185">
        <v>28.000000000000004</v>
      </c>
      <c r="Y329" s="204">
        <v>7</v>
      </c>
      <c r="Z329" s="135">
        <v>4.82</v>
      </c>
      <c r="AA329" s="135">
        <v>4.68</v>
      </c>
      <c r="AB329" s="135">
        <v>4.34</v>
      </c>
      <c r="AC329" s="135">
        <v>0.82909999999999995</v>
      </c>
      <c r="AD329" s="135">
        <v>4.4000000000000004</v>
      </c>
      <c r="AE329" s="135">
        <v>4.5999999999999996</v>
      </c>
      <c r="AF329" s="135">
        <f t="shared" ref="AF329:AF360" si="96">IF(AA329=0,AD329,AA329)</f>
        <v>4.68</v>
      </c>
      <c r="AG329" s="136">
        <v>4.7300000000000004</v>
      </c>
      <c r="AH329" s="185">
        <v>3.4900000000000001E-8</v>
      </c>
      <c r="AI329" s="185">
        <v>2.2099999999999999E-8</v>
      </c>
      <c r="AJ329" s="136">
        <f>LOG10(AH329*1000/(0.08206*298.15))</f>
        <v>-5.8457408993534719</v>
      </c>
      <c r="AK329" s="136">
        <f>LOG10(AI329*1000/(0.08206*298.15))</f>
        <v>-6.0441740526275414</v>
      </c>
      <c r="AL329" s="136">
        <f t="shared" ref="AL329:AL360" si="97">IF(AK329=0,AJ329,AK329)</f>
        <v>-6.0441740526275414</v>
      </c>
      <c r="AM329" s="136">
        <v>-11.780619999999999</v>
      </c>
      <c r="AN329" s="186">
        <v>-4.54</v>
      </c>
      <c r="AO329" s="481"/>
      <c r="AP329" s="481"/>
      <c r="AQ329" s="135" t="s">
        <v>6315</v>
      </c>
      <c r="AR329" s="135" t="s">
        <v>6315</v>
      </c>
      <c r="AS329" s="190"/>
      <c r="AT329" s="137" t="s">
        <v>266</v>
      </c>
      <c r="AU329" s="135">
        <v>6</v>
      </c>
      <c r="AV329" s="135">
        <v>120</v>
      </c>
      <c r="AW329" s="135">
        <v>114</v>
      </c>
      <c r="AX329" s="135">
        <v>28</v>
      </c>
      <c r="AY329" s="135" t="s">
        <v>8728</v>
      </c>
      <c r="AZ329" s="135" t="s">
        <v>1563</v>
      </c>
      <c r="BA329" s="135">
        <v>32</v>
      </c>
      <c r="BB329" s="138" t="s">
        <v>2485</v>
      </c>
      <c r="BC329" s="458" t="s">
        <v>8726</v>
      </c>
      <c r="BD329" s="138" t="s">
        <v>8374</v>
      </c>
      <c r="BE329" s="135" t="s">
        <v>2449</v>
      </c>
      <c r="BF329" s="135" t="s">
        <v>272</v>
      </c>
      <c r="BG329" s="135" t="s">
        <v>272</v>
      </c>
      <c r="BH329" s="135" t="s">
        <v>2486</v>
      </c>
      <c r="BI329" s="185">
        <v>2.3912319999999996E-3</v>
      </c>
      <c r="BJ329" s="185">
        <v>23.912320000000001</v>
      </c>
      <c r="BK329" s="135"/>
      <c r="BL329" s="485">
        <v>0.90032589187681145</v>
      </c>
      <c r="BM329" s="138" t="s">
        <v>2487</v>
      </c>
      <c r="BN329" s="135"/>
      <c r="BO329" s="135"/>
      <c r="BP329" s="135"/>
      <c r="BQ329" s="135"/>
      <c r="BR329" s="138" t="e">
        <v>#VALUE!</v>
      </c>
      <c r="BS329" s="135"/>
      <c r="BT329" s="135"/>
      <c r="BU329" s="135">
        <v>1.1956159999999999E-2</v>
      </c>
      <c r="BV329" s="135"/>
      <c r="BW329" s="135"/>
      <c r="BX329" s="135"/>
      <c r="BY329" s="135"/>
      <c r="BZ329" s="135"/>
      <c r="CA329" s="135"/>
      <c r="CB329" s="135"/>
      <c r="CC329" s="135"/>
      <c r="CD329" s="135"/>
      <c r="CE329" s="135"/>
      <c r="CF329" s="135"/>
      <c r="CG329" s="135"/>
      <c r="CH329" s="135"/>
      <c r="CI329" s="185"/>
      <c r="CJ329" s="187"/>
      <c r="CK329" s="136">
        <f t="shared" si="89"/>
        <v>3.7651130959974251E-2</v>
      </c>
      <c r="CL329" s="188"/>
      <c r="CM329" s="188">
        <v>-1.56882609468568</v>
      </c>
      <c r="CN329" s="188">
        <f>BJ329/(10^CM329)</f>
        <v>886.02873859592205</v>
      </c>
      <c r="CO329" s="138" t="s">
        <v>2488</v>
      </c>
      <c r="CP329" s="189" t="s">
        <v>2489</v>
      </c>
      <c r="CQ329" s="183">
        <v>-1.3921429204433562</v>
      </c>
      <c r="CR329" s="191">
        <f>10^(CJ329-CQ329)</f>
        <v>24.668510109932878</v>
      </c>
      <c r="CS329" s="135" t="s">
        <v>539</v>
      </c>
      <c r="CT329" s="135"/>
      <c r="CU329" s="135"/>
      <c r="CV329" s="332">
        <f t="shared" si="90"/>
        <v>1.1709445173032145</v>
      </c>
      <c r="CW329" s="329">
        <f t="shared" si="95"/>
        <v>1</v>
      </c>
      <c r="CX329" s="329"/>
      <c r="CY329" s="189" t="s">
        <v>6351</v>
      </c>
    </row>
    <row r="330" spans="1:103" ht="11.25" customHeight="1" x14ac:dyDescent="0.2">
      <c r="A330" s="72">
        <v>619</v>
      </c>
      <c r="B330" s="183">
        <v>1804</v>
      </c>
      <c r="C330" s="133" t="s">
        <v>5182</v>
      </c>
      <c r="D330" s="133" t="s">
        <v>6882</v>
      </c>
      <c r="E330" s="134"/>
      <c r="F330" s="134" t="s">
        <v>5183</v>
      </c>
      <c r="G330" s="184">
        <v>2176627</v>
      </c>
      <c r="H330" s="138" t="s">
        <v>5184</v>
      </c>
      <c r="I330" s="138" t="s">
        <v>7948</v>
      </c>
      <c r="J330" s="138" t="s">
        <v>5185</v>
      </c>
      <c r="K330" s="138" t="s">
        <v>1958</v>
      </c>
      <c r="L330" s="138" t="s">
        <v>6025</v>
      </c>
      <c r="M330" s="197" t="s">
        <v>6076</v>
      </c>
      <c r="N330" s="138" t="s">
        <v>6381</v>
      </c>
      <c r="O330" s="138" t="s">
        <v>6083</v>
      </c>
      <c r="P330" s="138"/>
      <c r="Q330" s="138" t="s">
        <v>6173</v>
      </c>
      <c r="R330" s="138" t="s">
        <v>6180</v>
      </c>
      <c r="S330" s="138" t="s">
        <v>6176</v>
      </c>
      <c r="T330" s="135">
        <v>251.32</v>
      </c>
      <c r="U330" s="185"/>
      <c r="V330" s="185">
        <v>22.49</v>
      </c>
      <c r="W330" s="185">
        <v>24.559925837061417</v>
      </c>
      <c r="X330" s="185">
        <v>24.559925837061417</v>
      </c>
      <c r="Y330" s="204">
        <v>7</v>
      </c>
      <c r="Z330" s="135">
        <v>4.03</v>
      </c>
      <c r="AA330" s="135">
        <v>3.53</v>
      </c>
      <c r="AB330" s="135">
        <v>3.97</v>
      </c>
      <c r="AC330" s="135">
        <v>0.82330000000000003</v>
      </c>
      <c r="AD330" s="135">
        <v>3.87</v>
      </c>
      <c r="AE330" s="135">
        <v>3.61</v>
      </c>
      <c r="AF330" s="135">
        <f t="shared" si="96"/>
        <v>3.53</v>
      </c>
      <c r="AG330" s="136">
        <v>4.47</v>
      </c>
      <c r="AH330" s="185">
        <v>6.2700000000000004E-3</v>
      </c>
      <c r="AI330" s="185"/>
      <c r="AJ330" s="136">
        <f t="shared" ref="AJ330:AJ361" si="98">LOG10(AH330*1000/(0.08206*298.15))</f>
        <v>-0.59129878548193526</v>
      </c>
      <c r="AK330" s="136"/>
      <c r="AL330" s="136">
        <f t="shared" si="97"/>
        <v>-0.59129878548193526</v>
      </c>
      <c r="AM330" s="136">
        <v>-5.4686900000000005</v>
      </c>
      <c r="AN330" s="186">
        <v>-2.39</v>
      </c>
      <c r="AO330" s="481"/>
      <c r="AP330" s="481">
        <v>-6.23</v>
      </c>
      <c r="AQ330" s="186" t="s">
        <v>6311</v>
      </c>
      <c r="AR330" s="186" t="s">
        <v>6311</v>
      </c>
      <c r="AS330" s="183"/>
      <c r="AT330" s="137" t="s">
        <v>266</v>
      </c>
      <c r="AU330" s="135">
        <v>6</v>
      </c>
      <c r="AV330" s="135">
        <v>120</v>
      </c>
      <c r="AW330" s="135">
        <v>114</v>
      </c>
      <c r="AX330" s="135">
        <v>28</v>
      </c>
      <c r="AY330" s="135" t="s">
        <v>8728</v>
      </c>
      <c r="AZ330" s="135" t="s">
        <v>1563</v>
      </c>
      <c r="BA330" s="135">
        <v>32</v>
      </c>
      <c r="BB330" s="138" t="s">
        <v>2485</v>
      </c>
      <c r="BC330" s="458" t="s">
        <v>8726</v>
      </c>
      <c r="BD330" s="138" t="s">
        <v>8374</v>
      </c>
      <c r="BE330" s="135" t="s">
        <v>2449</v>
      </c>
      <c r="BF330" s="135" t="s">
        <v>272</v>
      </c>
      <c r="BG330" s="135" t="s">
        <v>272</v>
      </c>
      <c r="BH330" s="135" t="s">
        <v>2486</v>
      </c>
      <c r="BI330" s="185">
        <v>1.608448E-3</v>
      </c>
      <c r="BJ330" s="185">
        <v>16.084479999999999</v>
      </c>
      <c r="BK330" s="135"/>
      <c r="BL330" s="485">
        <v>3.1023018443790389</v>
      </c>
      <c r="BM330" s="138" t="s">
        <v>2487</v>
      </c>
      <c r="BN330" s="135"/>
      <c r="BO330" s="135"/>
      <c r="BP330" s="135"/>
      <c r="BQ330" s="135"/>
      <c r="BR330" s="138" t="e">
        <v>#VALUE!</v>
      </c>
      <c r="BS330" s="135"/>
      <c r="BT330" s="135"/>
      <c r="BU330" s="135"/>
      <c r="BV330" s="135"/>
      <c r="BW330" s="135"/>
      <c r="BX330" s="135"/>
      <c r="BY330" s="135"/>
      <c r="BZ330" s="135"/>
      <c r="CA330" s="135"/>
      <c r="CB330" s="135"/>
      <c r="CC330" s="135"/>
      <c r="CD330" s="135"/>
      <c r="CE330" s="135"/>
      <c r="CF330" s="135"/>
      <c r="CG330" s="135"/>
      <c r="CH330" s="135"/>
      <c r="CI330" s="185"/>
      <c r="CJ330" s="187"/>
      <c r="CK330" s="136">
        <f t="shared" si="89"/>
        <v>0.19287548272490246</v>
      </c>
      <c r="CL330" s="188"/>
      <c r="CM330" s="188"/>
      <c r="CN330" s="188"/>
      <c r="CO330" s="138" t="s">
        <v>2488</v>
      </c>
      <c r="CP330" s="189" t="s">
        <v>2489</v>
      </c>
      <c r="CQ330" s="183">
        <v>-0.32975414692587596</v>
      </c>
      <c r="CR330" s="191">
        <f>10^(CJ330-CQ330)</f>
        <v>2.1367521367521367</v>
      </c>
      <c r="CS330" s="135" t="s">
        <v>539</v>
      </c>
      <c r="CT330" s="135"/>
      <c r="CU330" s="135"/>
      <c r="CV330" s="332">
        <f t="shared" si="90"/>
        <v>1.5269331577434533</v>
      </c>
      <c r="CW330" s="329">
        <f t="shared" si="95"/>
        <v>1</v>
      </c>
      <c r="CX330" s="329"/>
      <c r="CY330" s="189" t="s">
        <v>5921</v>
      </c>
    </row>
    <row r="331" spans="1:103" ht="11.25" customHeight="1" x14ac:dyDescent="0.2">
      <c r="A331" s="72">
        <v>620</v>
      </c>
      <c r="B331" s="183">
        <v>1535</v>
      </c>
      <c r="C331" s="133" t="s">
        <v>998</v>
      </c>
      <c r="D331" s="133" t="s">
        <v>6675</v>
      </c>
      <c r="E331" s="134"/>
      <c r="F331" s="134" t="s">
        <v>999</v>
      </c>
      <c r="G331" s="184">
        <v>23184669</v>
      </c>
      <c r="H331" s="138" t="s">
        <v>1000</v>
      </c>
      <c r="I331" s="138" t="s">
        <v>7949</v>
      </c>
      <c r="J331" s="138" t="s">
        <v>1001</v>
      </c>
      <c r="K331" s="138" t="s">
        <v>924</v>
      </c>
      <c r="L331" s="138" t="s">
        <v>5954</v>
      </c>
      <c r="M331" s="138" t="s">
        <v>6082</v>
      </c>
      <c r="N331" s="138" t="s">
        <v>6082</v>
      </c>
      <c r="O331" s="138" t="s">
        <v>6083</v>
      </c>
      <c r="P331" s="138"/>
      <c r="Q331" s="138"/>
      <c r="R331" s="138"/>
      <c r="S331" s="138"/>
      <c r="T331" s="135">
        <v>311.85000000000002</v>
      </c>
      <c r="U331" s="185">
        <v>20.000000000000004</v>
      </c>
      <c r="V331" s="185">
        <v>1.5019999999999998</v>
      </c>
      <c r="W331" s="185">
        <v>83.935512860460904</v>
      </c>
      <c r="X331" s="185">
        <v>20.000000000000004</v>
      </c>
      <c r="Y331" s="204">
        <v>7</v>
      </c>
      <c r="Z331" s="135">
        <v>4.84</v>
      </c>
      <c r="AA331" s="135">
        <v>4.5</v>
      </c>
      <c r="AB331" s="135">
        <v>3.97</v>
      </c>
      <c r="AC331" s="135">
        <v>0.87309999999999999</v>
      </c>
      <c r="AD331" s="135">
        <v>4.0999999999999996</v>
      </c>
      <c r="AE331" s="135">
        <v>4.51</v>
      </c>
      <c r="AF331" s="135">
        <f t="shared" si="96"/>
        <v>4.5</v>
      </c>
      <c r="AG331" s="136">
        <v>4.5</v>
      </c>
      <c r="AH331" s="185">
        <v>5.2199999999999998E-8</v>
      </c>
      <c r="AI331" s="185">
        <v>5.1E-8</v>
      </c>
      <c r="AJ331" s="136">
        <f t="shared" si="98"/>
        <v>-5.6708958233103894</v>
      </c>
      <c r="AK331" s="136">
        <f>LOG10(AI331*1000/(0.08206*298.15))</f>
        <v>-5.6809961502147157</v>
      </c>
      <c r="AL331" s="136">
        <f t="shared" si="97"/>
        <v>-5.6809961502147157</v>
      </c>
      <c r="AM331" s="136">
        <v>-11.024289999999999</v>
      </c>
      <c r="AN331" s="186">
        <v>-4.9400000000000004</v>
      </c>
      <c r="AO331" s="481"/>
      <c r="AP331" s="481">
        <v>1.2</v>
      </c>
      <c r="AQ331" s="135" t="s">
        <v>6311</v>
      </c>
      <c r="AR331" s="135" t="s">
        <v>6311</v>
      </c>
      <c r="AS331" s="190"/>
      <c r="AT331" s="137" t="s">
        <v>266</v>
      </c>
      <c r="AU331" s="135">
        <v>6</v>
      </c>
      <c r="AV331" s="135">
        <v>120</v>
      </c>
      <c r="AW331" s="135">
        <v>114</v>
      </c>
      <c r="AX331" s="135">
        <v>28</v>
      </c>
      <c r="AY331" s="135" t="s">
        <v>8728</v>
      </c>
      <c r="AZ331" s="135" t="s">
        <v>1563</v>
      </c>
      <c r="BA331" s="135">
        <v>32</v>
      </c>
      <c r="BB331" s="138" t="s">
        <v>2485</v>
      </c>
      <c r="BC331" s="458" t="s">
        <v>8726</v>
      </c>
      <c r="BD331" s="138" t="s">
        <v>8374</v>
      </c>
      <c r="BE331" s="135" t="s">
        <v>2449</v>
      </c>
      <c r="BF331" s="135" t="s">
        <v>272</v>
      </c>
      <c r="BG331" s="135" t="s">
        <v>272</v>
      </c>
      <c r="BH331" s="135" t="s">
        <v>2486</v>
      </c>
      <c r="BI331" s="185">
        <v>1.99584E-3</v>
      </c>
      <c r="BJ331" s="185">
        <v>19.958400000000001</v>
      </c>
      <c r="BK331" s="135"/>
      <c r="BL331" s="485">
        <v>0.72101076403112896</v>
      </c>
      <c r="BM331" s="138" t="s">
        <v>2487</v>
      </c>
      <c r="BN331" s="135"/>
      <c r="BO331" s="135"/>
      <c r="BP331" s="135"/>
      <c r="BQ331" s="135"/>
      <c r="BR331" s="138" t="e">
        <v>#VALUE!</v>
      </c>
      <c r="BS331" s="135"/>
      <c r="BT331" s="135"/>
      <c r="BU331" s="135"/>
      <c r="BV331" s="135"/>
      <c r="BW331" s="135"/>
      <c r="BX331" s="135"/>
      <c r="BY331" s="135"/>
      <c r="BZ331" s="135"/>
      <c r="CA331" s="135"/>
      <c r="CB331" s="135"/>
      <c r="CC331" s="135"/>
      <c r="CD331" s="135"/>
      <c r="CE331" s="135"/>
      <c r="CF331" s="135"/>
      <c r="CG331" s="135"/>
      <c r="CH331" s="135"/>
      <c r="CI331" s="185"/>
      <c r="CJ331" s="187"/>
      <c r="CK331" s="136">
        <f t="shared" si="89"/>
        <v>3.6125679615155969E-2</v>
      </c>
      <c r="CL331" s="188"/>
      <c r="CM331" s="188">
        <v>-0.35192693557407156</v>
      </c>
      <c r="CN331" s="188">
        <f>BJ331/(10^CM331)</f>
        <v>44.879980334089112</v>
      </c>
      <c r="CO331" s="138" t="s">
        <v>2488</v>
      </c>
      <c r="CP331" s="189" t="s">
        <v>2489</v>
      </c>
      <c r="CQ331" s="183">
        <v>-0.35192693557407156</v>
      </c>
      <c r="CR331" s="191">
        <f>10^(CJ331-CQ331)</f>
        <v>2.2486762633321864</v>
      </c>
      <c r="CS331" s="135" t="s">
        <v>539</v>
      </c>
      <c r="CT331" s="135"/>
      <c r="CU331" s="135"/>
      <c r="CV331" s="332">
        <f t="shared" si="90"/>
        <v>1.0020843354176689</v>
      </c>
      <c r="CW331" s="329">
        <f t="shared" si="95"/>
        <v>1</v>
      </c>
      <c r="CX331" s="329"/>
      <c r="CY331" s="189" t="s">
        <v>5921</v>
      </c>
    </row>
    <row r="332" spans="1:103" ht="11.25" customHeight="1" x14ac:dyDescent="0.2">
      <c r="A332" s="72">
        <v>621</v>
      </c>
      <c r="B332" s="183">
        <v>1905</v>
      </c>
      <c r="C332" s="133" t="s">
        <v>1517</v>
      </c>
      <c r="D332" s="133" t="s">
        <v>6570</v>
      </c>
      <c r="E332" s="134"/>
      <c r="F332" s="134" t="s">
        <v>1518</v>
      </c>
      <c r="G332" s="184">
        <v>87820880</v>
      </c>
      <c r="H332" s="138" t="s">
        <v>1519</v>
      </c>
      <c r="I332" s="138" t="s">
        <v>1519</v>
      </c>
      <c r="J332" s="138" t="s">
        <v>1520</v>
      </c>
      <c r="K332" s="138" t="s">
        <v>1521</v>
      </c>
      <c r="L332" s="138" t="s">
        <v>6014</v>
      </c>
      <c r="M332" s="138" t="s">
        <v>2342</v>
      </c>
      <c r="N332" s="138" t="s">
        <v>2342</v>
      </c>
      <c r="O332" s="138"/>
      <c r="P332" s="138"/>
      <c r="Q332" s="138"/>
      <c r="R332" s="138"/>
      <c r="S332" s="138"/>
      <c r="T332" s="135">
        <v>329.43</v>
      </c>
      <c r="U332" s="185">
        <v>5</v>
      </c>
      <c r="V332" s="185">
        <v>1.278</v>
      </c>
      <c r="W332" s="185">
        <v>35.299060472442427</v>
      </c>
      <c r="X332" s="185">
        <v>5</v>
      </c>
      <c r="Y332" s="204">
        <v>4.1100000000000003</v>
      </c>
      <c r="Z332" s="135">
        <v>4.87</v>
      </c>
      <c r="AA332" s="135">
        <v>4.46</v>
      </c>
      <c r="AB332" s="135">
        <v>4.7</v>
      </c>
      <c r="AC332" s="135">
        <v>0.82740000000000002</v>
      </c>
      <c r="AD332" s="135">
        <v>4.7699999999999996</v>
      </c>
      <c r="AE332" s="135">
        <v>5.0199999999999996</v>
      </c>
      <c r="AF332" s="135">
        <f t="shared" si="96"/>
        <v>4.46</v>
      </c>
      <c r="AG332" s="136">
        <v>4.4400000000000004</v>
      </c>
      <c r="AH332" s="185">
        <v>5.3200000000000001E-11</v>
      </c>
      <c r="AI332" s="185">
        <v>2.4099999999999999E-10</v>
      </c>
      <c r="AJ332" s="136">
        <f t="shared" si="98"/>
        <v>-8.6626546940176041</v>
      </c>
      <c r="AK332" s="136">
        <f>LOG10(AI332*1000/(0.08206*298.15))</f>
        <v>-8.0065492837377832</v>
      </c>
      <c r="AL332" s="136">
        <f t="shared" si="97"/>
        <v>-8.0065492837377832</v>
      </c>
      <c r="AM332" s="136">
        <v>-13.150559999999999</v>
      </c>
      <c r="AN332" s="186">
        <v>-8.9499999999999993</v>
      </c>
      <c r="AO332" s="481">
        <v>3.66</v>
      </c>
      <c r="AP332" s="481"/>
      <c r="AQ332" s="186" t="s">
        <v>6311</v>
      </c>
      <c r="AR332" s="186" t="s">
        <v>6311</v>
      </c>
      <c r="AS332" s="183"/>
      <c r="AT332" s="137" t="s">
        <v>266</v>
      </c>
      <c r="AU332" s="135">
        <v>6</v>
      </c>
      <c r="AV332" s="135">
        <v>120</v>
      </c>
      <c r="AW332" s="135">
        <v>114</v>
      </c>
      <c r="AX332" s="135">
        <v>28</v>
      </c>
      <c r="AY332" s="135" t="s">
        <v>8728</v>
      </c>
      <c r="AZ332" s="135" t="s">
        <v>1563</v>
      </c>
      <c r="BA332" s="135">
        <v>32</v>
      </c>
      <c r="BB332" s="138" t="s">
        <v>2485</v>
      </c>
      <c r="BC332" s="458" t="s">
        <v>8726</v>
      </c>
      <c r="BD332" s="138" t="s">
        <v>8374</v>
      </c>
      <c r="BE332" s="135" t="s">
        <v>2449</v>
      </c>
      <c r="BF332" s="135" t="s">
        <v>272</v>
      </c>
      <c r="BG332" s="135" t="s">
        <v>272</v>
      </c>
      <c r="BH332" s="135" t="s">
        <v>2486</v>
      </c>
      <c r="BI332" s="185">
        <v>2.108352E-3</v>
      </c>
      <c r="BJ332" s="185">
        <v>21.08352</v>
      </c>
      <c r="BK332" s="135"/>
      <c r="BL332" s="485">
        <v>0.7158403030329521</v>
      </c>
      <c r="BM332" s="138" t="s">
        <v>2487</v>
      </c>
      <c r="BN332" s="135"/>
      <c r="BO332" s="135"/>
      <c r="BP332" s="135"/>
      <c r="BQ332" s="135"/>
      <c r="BR332" s="138" t="e">
        <v>#VALUE!</v>
      </c>
      <c r="BS332" s="135"/>
      <c r="BT332" s="135"/>
      <c r="BU332" s="135"/>
      <c r="BV332" s="135"/>
      <c r="BW332" s="135"/>
      <c r="BX332" s="135"/>
      <c r="BY332" s="135"/>
      <c r="BZ332" s="135"/>
      <c r="CA332" s="135"/>
      <c r="CB332" s="135"/>
      <c r="CC332" s="135"/>
      <c r="CD332" s="135"/>
      <c r="CE332" s="135"/>
      <c r="CF332" s="135"/>
      <c r="CG332" s="135"/>
      <c r="CH332" s="135"/>
      <c r="CI332" s="185"/>
      <c r="CJ332" s="187"/>
      <c r="CK332" s="136">
        <f t="shared" si="89"/>
        <v>3.3952599140606124E-2</v>
      </c>
      <c r="CL332" s="188"/>
      <c r="CM332" s="188">
        <v>1.6434526764861874</v>
      </c>
      <c r="CN332" s="188">
        <f>BJ332/(10^CM332)</f>
        <v>0.47917090909090893</v>
      </c>
      <c r="CO332" s="138" t="s">
        <v>2488</v>
      </c>
      <c r="CP332" s="189" t="s">
        <v>2489</v>
      </c>
      <c r="CQ332" s="183">
        <v>1.6434526764861874</v>
      </c>
      <c r="CR332" s="191">
        <f>10^(CJ332-CQ332)</f>
        <v>2.2727272727272721E-2</v>
      </c>
      <c r="CS332" s="135" t="s">
        <v>539</v>
      </c>
      <c r="CT332" s="135"/>
      <c r="CU332" s="135"/>
      <c r="CV332" s="332">
        <f t="shared" si="90"/>
        <v>0.23715205051148955</v>
      </c>
      <c r="CW332" s="329">
        <f t="shared" si="95"/>
        <v>0</v>
      </c>
      <c r="CX332" s="329"/>
      <c r="CY332" s="189" t="s">
        <v>5921</v>
      </c>
    </row>
    <row r="333" spans="1:103" ht="11.25" customHeight="1" x14ac:dyDescent="0.2">
      <c r="A333" s="72">
        <v>622</v>
      </c>
      <c r="B333" s="183">
        <v>1134</v>
      </c>
      <c r="C333" s="133" t="s">
        <v>6883</v>
      </c>
      <c r="D333" s="133"/>
      <c r="E333" s="134"/>
      <c r="F333" s="134" t="s">
        <v>3166</v>
      </c>
      <c r="G333" s="184">
        <v>49562289</v>
      </c>
      <c r="H333" s="138" t="s">
        <v>3167</v>
      </c>
      <c r="I333" s="138" t="s">
        <v>7950</v>
      </c>
      <c r="J333" s="138" t="s">
        <v>3168</v>
      </c>
      <c r="K333" s="138" t="s">
        <v>357</v>
      </c>
      <c r="L333" s="138" t="s">
        <v>279</v>
      </c>
      <c r="M333" s="138" t="s">
        <v>3169</v>
      </c>
      <c r="N333" s="138" t="s">
        <v>6383</v>
      </c>
      <c r="O333" s="138" t="s">
        <v>281</v>
      </c>
      <c r="P333" s="138"/>
      <c r="Q333" s="138"/>
      <c r="R333" s="138"/>
      <c r="S333" s="138"/>
      <c r="T333" s="135">
        <v>360.83</v>
      </c>
      <c r="U333" s="185"/>
      <c r="V333" s="185">
        <v>0.19570000000000001</v>
      </c>
      <c r="W333" s="185">
        <v>2.2766833860878775</v>
      </c>
      <c r="X333" s="185">
        <v>2.2766833860878775</v>
      </c>
      <c r="Y333" s="204">
        <v>7</v>
      </c>
      <c r="Z333" s="135">
        <v>5.19</v>
      </c>
      <c r="AA333" s="135"/>
      <c r="AB333" s="135">
        <v>5.0999999999999996</v>
      </c>
      <c r="AC333" s="135">
        <v>0.7853</v>
      </c>
      <c r="AD333" s="135">
        <v>5.01</v>
      </c>
      <c r="AE333" s="135">
        <v>4.8</v>
      </c>
      <c r="AF333" s="135">
        <f t="shared" si="96"/>
        <v>5.01</v>
      </c>
      <c r="AG333" s="136">
        <v>5.01</v>
      </c>
      <c r="AH333" s="185">
        <v>4.4599999999999999E-9</v>
      </c>
      <c r="AI333" s="185"/>
      <c r="AJ333" s="136">
        <f t="shared" si="98"/>
        <v>-6.7392314676005096</v>
      </c>
      <c r="AK333" s="136"/>
      <c r="AL333" s="136">
        <f t="shared" si="97"/>
        <v>-6.7392314676005096</v>
      </c>
      <c r="AM333" s="136">
        <v>-13.82502</v>
      </c>
      <c r="AN333" s="186">
        <v>-6.28</v>
      </c>
      <c r="AO333" s="481"/>
      <c r="AP333" s="481"/>
      <c r="AQ333" s="135" t="s">
        <v>6311</v>
      </c>
      <c r="AR333" s="135" t="s">
        <v>6312</v>
      </c>
      <c r="AS333" s="190"/>
      <c r="AT333" s="137" t="s">
        <v>266</v>
      </c>
      <c r="AU333" s="135">
        <v>6</v>
      </c>
      <c r="AV333" s="135">
        <v>120</v>
      </c>
      <c r="AW333" s="135">
        <v>114</v>
      </c>
      <c r="AX333" s="135">
        <v>28</v>
      </c>
      <c r="AY333" s="135" t="s">
        <v>8728</v>
      </c>
      <c r="AZ333" s="135" t="s">
        <v>1563</v>
      </c>
      <c r="BA333" s="135">
        <v>32</v>
      </c>
      <c r="BB333" s="138" t="s">
        <v>2485</v>
      </c>
      <c r="BC333" s="458" t="s">
        <v>8726</v>
      </c>
      <c r="BD333" s="138" t="s">
        <v>8374</v>
      </c>
      <c r="BE333" s="135" t="s">
        <v>2449</v>
      </c>
      <c r="BF333" s="135" t="s">
        <v>272</v>
      </c>
      <c r="BG333" s="135" t="s">
        <v>272</v>
      </c>
      <c r="BH333" s="135" t="s">
        <v>2486</v>
      </c>
      <c r="BI333" s="185">
        <v>2.309312E-3</v>
      </c>
      <c r="BJ333" s="185">
        <v>23.093119999999999</v>
      </c>
      <c r="BK333" s="135"/>
      <c r="BL333" s="485">
        <v>0.404542019658371</v>
      </c>
      <c r="BM333" s="138" t="s">
        <v>2487</v>
      </c>
      <c r="BN333" s="135"/>
      <c r="BO333" s="135"/>
      <c r="BP333" s="135"/>
      <c r="BQ333" s="135"/>
      <c r="BR333" s="138" t="e">
        <v>#VALUE!</v>
      </c>
      <c r="BS333" s="135"/>
      <c r="BT333" s="135"/>
      <c r="BU333" s="135">
        <v>2.3093119999999998E-2</v>
      </c>
      <c r="BV333" s="135"/>
      <c r="BW333" s="135"/>
      <c r="BX333" s="135"/>
      <c r="BY333" s="135"/>
      <c r="BZ333" s="135"/>
      <c r="CA333" s="135"/>
      <c r="CB333" s="135"/>
      <c r="CC333" s="135"/>
      <c r="CD333" s="135"/>
      <c r="CE333" s="135"/>
      <c r="CF333" s="135"/>
      <c r="CG333" s="135"/>
      <c r="CH333" s="135"/>
      <c r="CI333" s="185"/>
      <c r="CJ333" s="187"/>
      <c r="CK333" s="136">
        <f t="shared" si="89"/>
        <v>1.7517858983903907E-2</v>
      </c>
      <c r="CL333" s="188"/>
      <c r="CM333" s="188"/>
      <c r="CN333" s="188"/>
      <c r="CO333" s="138" t="s">
        <v>2488</v>
      </c>
      <c r="CP333" s="189" t="s">
        <v>2489</v>
      </c>
      <c r="CQ333" s="191" t="s">
        <v>272</v>
      </c>
      <c r="CR333" s="191"/>
      <c r="CS333" s="135" t="s">
        <v>539</v>
      </c>
      <c r="CT333" s="135"/>
      <c r="CU333" s="135"/>
      <c r="CV333" s="332">
        <f t="shared" si="90"/>
        <v>9.8587085075030029E-2</v>
      </c>
      <c r="CW333" s="329">
        <f t="shared" si="95"/>
        <v>0</v>
      </c>
      <c r="CX333" s="329"/>
      <c r="CY333" s="189" t="s">
        <v>6351</v>
      </c>
    </row>
    <row r="334" spans="1:103" ht="11.25" customHeight="1" x14ac:dyDescent="0.2">
      <c r="A334" s="72">
        <v>623</v>
      </c>
      <c r="B334" s="183">
        <v>1226</v>
      </c>
      <c r="C334" s="133" t="s">
        <v>1341</v>
      </c>
      <c r="D334" s="133" t="s">
        <v>6520</v>
      </c>
      <c r="E334" s="134"/>
      <c r="F334" s="134" t="s">
        <v>1342</v>
      </c>
      <c r="G334" s="184">
        <v>42874033</v>
      </c>
      <c r="H334" s="138" t="s">
        <v>1343</v>
      </c>
      <c r="I334" s="138" t="s">
        <v>7951</v>
      </c>
      <c r="J334" s="138" t="s">
        <v>1344</v>
      </c>
      <c r="K334" s="138" t="s">
        <v>426</v>
      </c>
      <c r="L334" s="138" t="s">
        <v>5248</v>
      </c>
      <c r="M334" s="138" t="s">
        <v>6082</v>
      </c>
      <c r="N334" s="138" t="s">
        <v>6082</v>
      </c>
      <c r="O334" s="138" t="s">
        <v>6083</v>
      </c>
      <c r="P334" s="138"/>
      <c r="Q334" s="138"/>
      <c r="R334" s="138"/>
      <c r="S334" s="138"/>
      <c r="T334" s="135">
        <v>361.7</v>
      </c>
      <c r="U334" s="185">
        <v>0.11600000000000002</v>
      </c>
      <c r="V334" s="185">
        <v>0.1958</v>
      </c>
      <c r="W334" s="185">
        <v>0.95136793266855779</v>
      </c>
      <c r="X334" s="185">
        <v>0.11600000000000002</v>
      </c>
      <c r="Y334" s="204">
        <v>7</v>
      </c>
      <c r="Z334" s="135">
        <v>5.21</v>
      </c>
      <c r="AA334" s="135">
        <v>4.7300000000000004</v>
      </c>
      <c r="AB334" s="135">
        <v>4.5199999999999996</v>
      </c>
      <c r="AC334" s="135">
        <v>0.88080000000000003</v>
      </c>
      <c r="AD334" s="135">
        <v>4.4800000000000004</v>
      </c>
      <c r="AE334" s="135">
        <v>4.33</v>
      </c>
      <c r="AF334" s="135">
        <f t="shared" si="96"/>
        <v>4.7300000000000004</v>
      </c>
      <c r="AG334" s="136">
        <v>4.54</v>
      </c>
      <c r="AH334" s="185">
        <v>2.35E-7</v>
      </c>
      <c r="AI334" s="185">
        <v>8.1999999999999998E-7</v>
      </c>
      <c r="AJ334" s="136">
        <f t="shared" si="98"/>
        <v>-5.0174984640409157</v>
      </c>
      <c r="AK334" s="136">
        <f>LOG10(AI334*1000/(0.08206*298.15))</f>
        <v>-4.4747524739289348</v>
      </c>
      <c r="AL334" s="136">
        <f t="shared" si="97"/>
        <v>-4.4747524739289348</v>
      </c>
      <c r="AM334" s="136">
        <v>-9.2997600000000009</v>
      </c>
      <c r="AN334" s="186">
        <v>-4.5599999999999996</v>
      </c>
      <c r="AO334" s="481"/>
      <c r="AP334" s="481"/>
      <c r="AQ334" s="135" t="s">
        <v>6311</v>
      </c>
      <c r="AR334" s="135" t="s">
        <v>6311</v>
      </c>
      <c r="AS334" s="190"/>
      <c r="AT334" s="137" t="s">
        <v>266</v>
      </c>
      <c r="AU334" s="135">
        <v>6</v>
      </c>
      <c r="AV334" s="135">
        <v>120</v>
      </c>
      <c r="AW334" s="135">
        <v>114</v>
      </c>
      <c r="AX334" s="135">
        <v>28</v>
      </c>
      <c r="AY334" s="135" t="s">
        <v>8728</v>
      </c>
      <c r="AZ334" s="135" t="s">
        <v>1563</v>
      </c>
      <c r="BA334" s="135">
        <v>32</v>
      </c>
      <c r="BB334" s="138" t="s">
        <v>2485</v>
      </c>
      <c r="BC334" s="458" t="s">
        <v>8726</v>
      </c>
      <c r="BD334" s="138" t="s">
        <v>8374</v>
      </c>
      <c r="BE334" s="135" t="s">
        <v>2449</v>
      </c>
      <c r="BF334" s="135" t="s">
        <v>272</v>
      </c>
      <c r="BG334" s="135" t="s">
        <v>272</v>
      </c>
      <c r="BH334" s="135" t="s">
        <v>2486</v>
      </c>
      <c r="BI334" s="185">
        <v>2.3148799999999996E-3</v>
      </c>
      <c r="BJ334" s="185">
        <v>23.148800000000001</v>
      </c>
      <c r="BK334" s="135"/>
      <c r="BL334" s="485">
        <v>0.38908770612461446</v>
      </c>
      <c r="BM334" s="138" t="s">
        <v>2487</v>
      </c>
      <c r="BN334" s="135"/>
      <c r="BO334" s="135"/>
      <c r="BP334" s="135"/>
      <c r="BQ334" s="135"/>
      <c r="BR334" s="138" t="e">
        <v>#VALUE!</v>
      </c>
      <c r="BS334" s="135"/>
      <c r="BT334" s="135"/>
      <c r="BU334" s="135">
        <v>2.31488</v>
      </c>
      <c r="BV334" s="135"/>
      <c r="BW334" s="135"/>
      <c r="BX334" s="135"/>
      <c r="BY334" s="135"/>
      <c r="BZ334" s="135"/>
      <c r="CA334" s="135"/>
      <c r="CB334" s="135"/>
      <c r="CC334" s="135"/>
      <c r="CD334" s="135"/>
      <c r="CE334" s="135"/>
      <c r="CF334" s="135"/>
      <c r="CG334" s="135"/>
      <c r="CH334" s="135"/>
      <c r="CI334" s="185"/>
      <c r="CJ334" s="187"/>
      <c r="CK334" s="136">
        <f t="shared" si="89"/>
        <v>1.6808115588048383E-2</v>
      </c>
      <c r="CL334" s="188"/>
      <c r="CM334" s="188"/>
      <c r="CN334" s="188"/>
      <c r="CO334" s="138" t="s">
        <v>2488</v>
      </c>
      <c r="CP334" s="189" t="s">
        <v>2489</v>
      </c>
      <c r="CQ334" s="183">
        <v>-0.59150671105258157</v>
      </c>
      <c r="CR334" s="191">
        <f>10^(CJ334-CQ334)</f>
        <v>3.9039721517928063</v>
      </c>
      <c r="CS334" s="135" t="s">
        <v>539</v>
      </c>
      <c r="CT334" s="135"/>
      <c r="CU334" s="135"/>
      <c r="CV334" s="332">
        <f t="shared" si="90"/>
        <v>5.0110588885816983E-3</v>
      </c>
      <c r="CW334" s="329">
        <f t="shared" si="95"/>
        <v>0</v>
      </c>
      <c r="CX334" s="329"/>
      <c r="CY334" s="189" t="s">
        <v>5921</v>
      </c>
    </row>
    <row r="335" spans="1:103" ht="11.25" customHeight="1" x14ac:dyDescent="0.2">
      <c r="A335" s="72">
        <v>624</v>
      </c>
      <c r="B335" s="183">
        <v>1834</v>
      </c>
      <c r="C335" s="133" t="s">
        <v>1406</v>
      </c>
      <c r="D335" s="133" t="s">
        <v>6772</v>
      </c>
      <c r="E335" s="134"/>
      <c r="F335" s="134" t="s">
        <v>1407</v>
      </c>
      <c r="G335" s="184">
        <v>2312358</v>
      </c>
      <c r="H335" s="138" t="s">
        <v>1408</v>
      </c>
      <c r="I335" s="138" t="s">
        <v>7902</v>
      </c>
      <c r="J335" s="138" t="s">
        <v>1409</v>
      </c>
      <c r="K335" s="138" t="s">
        <v>426</v>
      </c>
      <c r="L335" s="138" t="s">
        <v>617</v>
      </c>
      <c r="M335" s="138" t="s">
        <v>1410</v>
      </c>
      <c r="N335" s="138" t="s">
        <v>6381</v>
      </c>
      <c r="O335" s="138" t="s">
        <v>918</v>
      </c>
      <c r="P335" s="138"/>
      <c r="Q335" s="138"/>
      <c r="R335" s="138"/>
      <c r="S335" s="138"/>
      <c r="T335" s="135">
        <v>350.47</v>
      </c>
      <c r="U335" s="185">
        <v>0.215</v>
      </c>
      <c r="V335" s="185">
        <v>0.33050000000000002</v>
      </c>
      <c r="W335" s="185">
        <v>1.882135336738826</v>
      </c>
      <c r="X335" s="185">
        <v>0.215</v>
      </c>
      <c r="Y335" s="204">
        <v>7</v>
      </c>
      <c r="Z335" s="135">
        <v>5.57</v>
      </c>
      <c r="AA335" s="135">
        <v>5</v>
      </c>
      <c r="AB335" s="135">
        <v>4.05</v>
      </c>
      <c r="AC335" s="135">
        <v>0.67020000000000002</v>
      </c>
      <c r="AD335" s="135">
        <v>4.33</v>
      </c>
      <c r="AE335" s="135">
        <v>4.8099999999999996</v>
      </c>
      <c r="AF335" s="135">
        <f t="shared" si="96"/>
        <v>5</v>
      </c>
      <c r="AG335" s="136">
        <v>4.45</v>
      </c>
      <c r="AH335" s="185">
        <v>9.1699999999999994E-8</v>
      </c>
      <c r="AI335" s="185">
        <v>6.4000000000000001E-7</v>
      </c>
      <c r="AJ335" s="136">
        <f t="shared" si="98"/>
        <v>-5.4261969906426311</v>
      </c>
      <c r="AK335" s="136">
        <f>LOG10(AI335*1000/(0.08206*298.15))</f>
        <v>-4.5823863523287649</v>
      </c>
      <c r="AL335" s="136">
        <f t="shared" si="97"/>
        <v>-4.5823863523287649</v>
      </c>
      <c r="AM335" s="136">
        <v>-17.54712</v>
      </c>
      <c r="AN335" s="186">
        <v>-0.06</v>
      </c>
      <c r="AO335" s="481"/>
      <c r="AP335" s="481"/>
      <c r="AQ335" s="186" t="s">
        <v>6311</v>
      </c>
      <c r="AR335" s="186" t="s">
        <v>6311</v>
      </c>
      <c r="AS335" s="183"/>
      <c r="AT335" s="137" t="s">
        <v>266</v>
      </c>
      <c r="AU335" s="135">
        <v>6</v>
      </c>
      <c r="AV335" s="135">
        <v>120</v>
      </c>
      <c r="AW335" s="135">
        <v>114</v>
      </c>
      <c r="AX335" s="135">
        <v>28</v>
      </c>
      <c r="AY335" s="135" t="s">
        <v>8728</v>
      </c>
      <c r="AZ335" s="135" t="s">
        <v>1563</v>
      </c>
      <c r="BA335" s="135">
        <v>32</v>
      </c>
      <c r="BB335" s="138" t="s">
        <v>2485</v>
      </c>
      <c r="BC335" s="458" t="s">
        <v>8726</v>
      </c>
      <c r="BD335" s="138" t="s">
        <v>8374</v>
      </c>
      <c r="BE335" s="135" t="s">
        <v>2449</v>
      </c>
      <c r="BF335" s="135" t="s">
        <v>272</v>
      </c>
      <c r="BG335" s="135" t="s">
        <v>272</v>
      </c>
      <c r="BH335" s="135" t="s">
        <v>2486</v>
      </c>
      <c r="BI335" s="185">
        <v>2.2430079999999999E-3</v>
      </c>
      <c r="BJ335" s="185">
        <v>22.430080000000004</v>
      </c>
      <c r="BK335" s="135"/>
      <c r="BL335" s="485">
        <v>0.17907454178989893</v>
      </c>
      <c r="BM335" s="138" t="s">
        <v>2487</v>
      </c>
      <c r="BN335" s="135"/>
      <c r="BO335" s="135"/>
      <c r="BP335" s="135"/>
      <c r="BQ335" s="135"/>
      <c r="BR335" s="138" t="e">
        <v>#VALUE!</v>
      </c>
      <c r="BS335" s="135"/>
      <c r="BT335" s="135"/>
      <c r="BU335" s="135"/>
      <c r="BV335" s="135"/>
      <c r="BW335" s="135"/>
      <c r="BX335" s="135"/>
      <c r="BY335" s="135"/>
      <c r="BZ335" s="135"/>
      <c r="CA335" s="135"/>
      <c r="CB335" s="135"/>
      <c r="CC335" s="135"/>
      <c r="CD335" s="135"/>
      <c r="CE335" s="135"/>
      <c r="CF335" s="135"/>
      <c r="CG335" s="135"/>
      <c r="CH335" s="135"/>
      <c r="CI335" s="185"/>
      <c r="CJ335" s="187"/>
      <c r="CK335" s="136">
        <f t="shared" si="89"/>
        <v>7.9836782476878764E-3</v>
      </c>
      <c r="CL335" s="188"/>
      <c r="CM335" s="188">
        <v>-1.1429609175090725</v>
      </c>
      <c r="CN335" s="188">
        <f>BJ335/(10^CM335)</f>
        <v>311.73943221219628</v>
      </c>
      <c r="CO335" s="138" t="s">
        <v>2488</v>
      </c>
      <c r="CP335" s="189" t="s">
        <v>2489</v>
      </c>
      <c r="CQ335" s="183">
        <v>-0.88013847871796902</v>
      </c>
      <c r="CR335" s="191">
        <f>10^(CJ335-CQ335)</f>
        <v>7.5881949290702169</v>
      </c>
      <c r="CS335" s="135" t="s">
        <v>539</v>
      </c>
      <c r="CT335" s="135"/>
      <c r="CU335" s="135"/>
      <c r="CV335" s="332">
        <f t="shared" si="90"/>
        <v>9.5853425400176887E-3</v>
      </c>
      <c r="CW335" s="329">
        <f t="shared" si="95"/>
        <v>0</v>
      </c>
      <c r="CX335" s="329"/>
      <c r="CY335" s="189" t="s">
        <v>6351</v>
      </c>
    </row>
    <row r="336" spans="1:103" ht="11.25" customHeight="1" x14ac:dyDescent="0.2">
      <c r="A336" s="72">
        <v>625</v>
      </c>
      <c r="B336" s="183">
        <v>995</v>
      </c>
      <c r="C336" s="133" t="s">
        <v>2840</v>
      </c>
      <c r="D336" s="133" t="s">
        <v>6884</v>
      </c>
      <c r="E336" s="134"/>
      <c r="F336" s="134" t="s">
        <v>2841</v>
      </c>
      <c r="G336" s="184">
        <v>104405</v>
      </c>
      <c r="H336" s="138" t="s">
        <v>2842</v>
      </c>
      <c r="I336" s="138" t="s">
        <v>2842</v>
      </c>
      <c r="J336" s="138" t="s">
        <v>2843</v>
      </c>
      <c r="K336" s="138" t="s">
        <v>349</v>
      </c>
      <c r="L336" s="138"/>
      <c r="M336" s="138" t="s">
        <v>6082</v>
      </c>
      <c r="N336" s="138" t="s">
        <v>6082</v>
      </c>
      <c r="O336" s="138"/>
      <c r="P336" s="138" t="s">
        <v>6184</v>
      </c>
      <c r="Q336" s="138" t="s">
        <v>6179</v>
      </c>
      <c r="R336" s="138" t="s">
        <v>6185</v>
      </c>
      <c r="S336" s="138" t="s">
        <v>6176</v>
      </c>
      <c r="T336" s="135">
        <v>220.35</v>
      </c>
      <c r="U336" s="185">
        <v>6.35</v>
      </c>
      <c r="V336" s="185">
        <v>1.57</v>
      </c>
      <c r="W336" s="185">
        <v>19.191682704682229</v>
      </c>
      <c r="X336" s="185">
        <v>6.35</v>
      </c>
      <c r="Y336" s="204">
        <v>6.89</v>
      </c>
      <c r="Z336" s="135">
        <v>5.99</v>
      </c>
      <c r="AA336" s="135">
        <v>5.76</v>
      </c>
      <c r="AB336" s="135">
        <v>6.1</v>
      </c>
      <c r="AC336" s="135">
        <v>0.8236</v>
      </c>
      <c r="AD336" s="135">
        <v>6.13</v>
      </c>
      <c r="AE336" s="135">
        <v>6.19</v>
      </c>
      <c r="AF336" s="135">
        <f t="shared" si="96"/>
        <v>5.76</v>
      </c>
      <c r="AG336" s="136">
        <v>5.37</v>
      </c>
      <c r="AH336" s="185">
        <v>5.9699999999999996E-6</v>
      </c>
      <c r="AI336" s="185">
        <v>3.4E-5</v>
      </c>
      <c r="AJ336" s="136">
        <f t="shared" si="98"/>
        <v>-3.6125919951832826</v>
      </c>
      <c r="AK336" s="136">
        <f>LOG10(AI336*1000/(0.08206*298.15))</f>
        <v>-2.8570874092703966</v>
      </c>
      <c r="AL336" s="136">
        <f t="shared" si="97"/>
        <v>-2.8570874092703966</v>
      </c>
      <c r="AM336" s="136">
        <v>-7.4645599999999996</v>
      </c>
      <c r="AN336" s="186">
        <v>-3.62</v>
      </c>
      <c r="AO336" s="481">
        <v>10.15</v>
      </c>
      <c r="AP336" s="481"/>
      <c r="AQ336" s="135" t="s">
        <v>6311</v>
      </c>
      <c r="AR336" s="135" t="s">
        <v>6311</v>
      </c>
      <c r="AS336" s="190"/>
      <c r="AT336" s="137" t="s">
        <v>266</v>
      </c>
      <c r="AU336" s="135">
        <v>6</v>
      </c>
      <c r="AV336" s="135">
        <v>120</v>
      </c>
      <c r="AW336" s="135">
        <v>114</v>
      </c>
      <c r="AX336" s="135">
        <v>28</v>
      </c>
      <c r="AY336" s="135" t="s">
        <v>8728</v>
      </c>
      <c r="AZ336" s="135" t="s">
        <v>1563</v>
      </c>
      <c r="BA336" s="135">
        <v>32</v>
      </c>
      <c r="BB336" s="138" t="s">
        <v>2485</v>
      </c>
      <c r="BC336" s="458" t="s">
        <v>8726</v>
      </c>
      <c r="BD336" s="138" t="s">
        <v>8374</v>
      </c>
      <c r="BE336" s="135" t="s">
        <v>2449</v>
      </c>
      <c r="BF336" s="135" t="s">
        <v>272</v>
      </c>
      <c r="BG336" s="135" t="s">
        <v>272</v>
      </c>
      <c r="BH336" s="135" t="s">
        <v>2486</v>
      </c>
      <c r="BI336" s="185">
        <v>1.4102399999999999E-3</v>
      </c>
      <c r="BJ336" s="185">
        <v>14.102399999999999</v>
      </c>
      <c r="BK336" s="135"/>
      <c r="BL336" s="485">
        <v>4.7238277691592237E-2</v>
      </c>
      <c r="BM336" s="138" t="s">
        <v>2487</v>
      </c>
      <c r="BN336" s="135"/>
      <c r="BO336" s="135"/>
      <c r="BP336" s="135"/>
      <c r="BQ336" s="135"/>
      <c r="BR336" s="138" t="e">
        <v>#VALUE!</v>
      </c>
      <c r="BS336" s="135"/>
      <c r="BT336" s="135"/>
      <c r="BU336" s="135">
        <v>0.14102400000000001</v>
      </c>
      <c r="BV336" s="135"/>
      <c r="BW336" s="135"/>
      <c r="BX336" s="135"/>
      <c r="BY336" s="135"/>
      <c r="BZ336" s="135"/>
      <c r="CA336" s="135"/>
      <c r="CB336" s="135"/>
      <c r="CC336" s="135"/>
      <c r="CD336" s="135"/>
      <c r="CE336" s="135"/>
      <c r="CF336" s="135"/>
      <c r="CG336" s="135"/>
      <c r="CH336" s="135"/>
      <c r="CI336" s="185"/>
      <c r="CJ336" s="187"/>
      <c r="CK336" s="136">
        <f t="shared" si="89"/>
        <v>3.3496623051106366E-3</v>
      </c>
      <c r="CL336" s="188"/>
      <c r="CM336" s="188"/>
      <c r="CN336" s="188"/>
      <c r="CO336" s="138" t="s">
        <v>2488</v>
      </c>
      <c r="CP336" s="189" t="s">
        <v>2489</v>
      </c>
      <c r="CQ336" s="183">
        <v>-0.60327423297330729</v>
      </c>
      <c r="CR336" s="191">
        <f>10^(CJ336-CQ336)</f>
        <v>4.011199227482515</v>
      </c>
      <c r="CS336" s="135" t="s">
        <v>539</v>
      </c>
      <c r="CT336" s="135"/>
      <c r="CU336" s="135"/>
      <c r="CV336" s="332">
        <f t="shared" si="90"/>
        <v>0.45027796687088723</v>
      </c>
      <c r="CW336" s="329">
        <f t="shared" si="95"/>
        <v>0</v>
      </c>
      <c r="CX336" s="329"/>
      <c r="CY336" s="189" t="s">
        <v>5921</v>
      </c>
    </row>
    <row r="337" spans="1:103" ht="11.25" customHeight="1" x14ac:dyDescent="0.2">
      <c r="A337" s="72">
        <v>627</v>
      </c>
      <c r="B337" s="183">
        <v>1922</v>
      </c>
      <c r="C337" s="133" t="s">
        <v>6886</v>
      </c>
      <c r="D337" s="133"/>
      <c r="E337" s="134"/>
      <c r="F337" s="134" t="s">
        <v>5399</v>
      </c>
      <c r="G337" s="184">
        <v>53894238</v>
      </c>
      <c r="H337" s="138" t="s">
        <v>5400</v>
      </c>
      <c r="I337" s="138" t="s">
        <v>5400</v>
      </c>
      <c r="J337" s="138" t="s">
        <v>5401</v>
      </c>
      <c r="K337" s="138" t="s">
        <v>357</v>
      </c>
      <c r="L337" s="138"/>
      <c r="M337" s="138"/>
      <c r="N337" s="138"/>
      <c r="O337" s="138"/>
      <c r="P337" s="138"/>
      <c r="Q337" s="138"/>
      <c r="R337" s="138"/>
      <c r="S337" s="138"/>
      <c r="T337" s="135">
        <v>588.86</v>
      </c>
      <c r="U337" s="185"/>
      <c r="V337" s="185">
        <v>1.324E-9</v>
      </c>
      <c r="W337" s="185">
        <v>1.8197513683899504E-4</v>
      </c>
      <c r="X337" s="185">
        <v>1.8197513683899504E-4</v>
      </c>
      <c r="Y337" s="204">
        <v>7</v>
      </c>
      <c r="Z337" s="135">
        <v>13.06</v>
      </c>
      <c r="AA337" s="135"/>
      <c r="AB337" s="135">
        <v>10.029999999999999</v>
      </c>
      <c r="AC337" s="135">
        <v>0.5615</v>
      </c>
      <c r="AD337" s="135">
        <v>12.15</v>
      </c>
      <c r="AE337" s="135">
        <v>14.39</v>
      </c>
      <c r="AF337" s="135">
        <f t="shared" si="96"/>
        <v>12.15</v>
      </c>
      <c r="AG337" s="136">
        <v>7.47</v>
      </c>
      <c r="AH337" s="185">
        <v>1.2899999999999999E-6</v>
      </c>
      <c r="AI337" s="185"/>
      <c r="AJ337" s="136">
        <f t="shared" si="98"/>
        <v>-4.2779766160134027</v>
      </c>
      <c r="AK337" s="136"/>
      <c r="AL337" s="136">
        <f t="shared" si="97"/>
        <v>-4.2779766160134027</v>
      </c>
      <c r="AM337" s="136">
        <v>-14.47678</v>
      </c>
      <c r="AN337" s="186">
        <v>-19.899999999999999</v>
      </c>
      <c r="AO337" s="481"/>
      <c r="AP337" s="481"/>
      <c r="AQ337" s="186" t="s">
        <v>6311</v>
      </c>
      <c r="AR337" s="186" t="s">
        <v>6312</v>
      </c>
      <c r="AS337" s="183"/>
      <c r="AT337" s="137" t="s">
        <v>266</v>
      </c>
      <c r="AU337" s="135">
        <v>6</v>
      </c>
      <c r="AV337" s="135">
        <v>120</v>
      </c>
      <c r="AW337" s="135">
        <v>114</v>
      </c>
      <c r="AX337" s="135">
        <v>28</v>
      </c>
      <c r="AY337" s="135" t="s">
        <v>8728</v>
      </c>
      <c r="AZ337" s="135" t="s">
        <v>1563</v>
      </c>
      <c r="BA337" s="135">
        <v>32</v>
      </c>
      <c r="BB337" s="138" t="s">
        <v>2485</v>
      </c>
      <c r="BC337" s="458" t="s">
        <v>8726</v>
      </c>
      <c r="BD337" s="138" t="s">
        <v>8374</v>
      </c>
      <c r="BE337" s="135" t="s">
        <v>2449</v>
      </c>
      <c r="BF337" s="135" t="s">
        <v>272</v>
      </c>
      <c r="BG337" s="135" t="s">
        <v>272</v>
      </c>
      <c r="BH337" s="135" t="s">
        <v>2486</v>
      </c>
      <c r="BI337" s="185">
        <v>3.7687039999999999E-3</v>
      </c>
      <c r="BJ337" s="185">
        <v>37.687040000000003</v>
      </c>
      <c r="BK337" s="135"/>
      <c r="BL337" s="485">
        <v>5.6445075025025616E-8</v>
      </c>
      <c r="BM337" s="138" t="s">
        <v>2487</v>
      </c>
      <c r="BN337" s="135"/>
      <c r="BO337" s="135"/>
      <c r="BP337" s="135"/>
      <c r="BQ337" s="135"/>
      <c r="BR337" s="138" t="e">
        <v>#VALUE!</v>
      </c>
      <c r="BS337" s="135"/>
      <c r="BT337" s="135"/>
      <c r="BU337" s="135"/>
      <c r="BV337" s="135"/>
      <c r="BW337" s="135"/>
      <c r="BX337" s="135"/>
      <c r="BY337" s="135"/>
      <c r="BZ337" s="135"/>
      <c r="CA337" s="135"/>
      <c r="CB337" s="135"/>
      <c r="CC337" s="135"/>
      <c r="CD337" s="135"/>
      <c r="CE337" s="135"/>
      <c r="CF337" s="135"/>
      <c r="CG337" s="135"/>
      <c r="CH337" s="135"/>
      <c r="CI337" s="185"/>
      <c r="CJ337" s="187"/>
      <c r="CK337" s="136">
        <f t="shared" si="89"/>
        <v>1.4977317142716863E-9</v>
      </c>
      <c r="CL337" s="188"/>
      <c r="CM337" s="188"/>
      <c r="CN337" s="188"/>
      <c r="CO337" s="138" t="s">
        <v>2488</v>
      </c>
      <c r="CP337" s="189" t="s">
        <v>2489</v>
      </c>
      <c r="CQ337" s="191" t="s">
        <v>272</v>
      </c>
      <c r="CR337" s="191"/>
      <c r="CS337" s="135" t="s">
        <v>539</v>
      </c>
      <c r="CT337" s="135"/>
      <c r="CU337" s="135"/>
      <c r="CV337" s="332">
        <f t="shared" si="90"/>
        <v>4.8285866133024783E-6</v>
      </c>
      <c r="CW337" s="329">
        <f t="shared" si="95"/>
        <v>0</v>
      </c>
      <c r="CX337" s="329"/>
      <c r="CY337" s="189" t="s">
        <v>5921</v>
      </c>
    </row>
    <row r="338" spans="1:103" ht="11.25" customHeight="1" x14ac:dyDescent="0.2">
      <c r="A338" s="72">
        <v>628</v>
      </c>
      <c r="B338" s="183">
        <v>1053</v>
      </c>
      <c r="C338" s="133" t="s">
        <v>6887</v>
      </c>
      <c r="D338" s="133"/>
      <c r="E338" s="134"/>
      <c r="F338" s="134" t="s">
        <v>2974</v>
      </c>
      <c r="G338" s="184">
        <v>55285148</v>
      </c>
      <c r="H338" s="138" t="s">
        <v>2975</v>
      </c>
      <c r="I338" s="138" t="s">
        <v>2975</v>
      </c>
      <c r="J338" s="138" t="s">
        <v>2976</v>
      </c>
      <c r="K338" s="138" t="s">
        <v>2977</v>
      </c>
      <c r="L338" s="138" t="s">
        <v>617</v>
      </c>
      <c r="M338" s="138" t="s">
        <v>946</v>
      </c>
      <c r="N338" s="138" t="s">
        <v>6376</v>
      </c>
      <c r="O338" s="138" t="s">
        <v>918</v>
      </c>
      <c r="P338" s="138"/>
      <c r="Q338" s="138"/>
      <c r="R338" s="138"/>
      <c r="S338" s="138"/>
      <c r="T338" s="135">
        <v>380.55</v>
      </c>
      <c r="U338" s="185">
        <v>0.3</v>
      </c>
      <c r="V338" s="185">
        <v>7.041E-2</v>
      </c>
      <c r="W338" s="185">
        <v>0.6924871617440278</v>
      </c>
      <c r="X338" s="185">
        <v>0.3</v>
      </c>
      <c r="Y338" s="204">
        <v>7</v>
      </c>
      <c r="Z338" s="135">
        <v>5.57</v>
      </c>
      <c r="AA338" s="135"/>
      <c r="AB338" s="135">
        <v>4.87</v>
      </c>
      <c r="AC338" s="135">
        <v>0.7742</v>
      </c>
      <c r="AD338" s="135">
        <v>5.2</v>
      </c>
      <c r="AE338" s="135">
        <v>6.05</v>
      </c>
      <c r="AF338" s="135">
        <f t="shared" si="96"/>
        <v>5.2</v>
      </c>
      <c r="AG338" s="136">
        <v>4.6900000000000004</v>
      </c>
      <c r="AH338" s="185">
        <v>2.2400000000000001E-9</v>
      </c>
      <c r="AI338" s="185">
        <v>5.1200000000000003E-7</v>
      </c>
      <c r="AJ338" s="136">
        <f t="shared" si="98"/>
        <v>-7.0383183079784892</v>
      </c>
      <c r="AK338" s="136">
        <f>LOG10(AI338*1000/(0.08206*298.15))</f>
        <v>-4.6792963653368211</v>
      </c>
      <c r="AL338" s="136">
        <f t="shared" si="97"/>
        <v>-4.6792963653368211</v>
      </c>
      <c r="AM338" s="136">
        <v>-15.30752</v>
      </c>
      <c r="AN338" s="186">
        <v>-4.25</v>
      </c>
      <c r="AO338" s="481"/>
      <c r="AP338" s="481">
        <v>3.15</v>
      </c>
      <c r="AQ338" s="135" t="s">
        <v>6311</v>
      </c>
      <c r="AR338" s="135" t="s">
        <v>6311</v>
      </c>
      <c r="AS338" s="190"/>
      <c r="AT338" s="137" t="s">
        <v>266</v>
      </c>
      <c r="AU338" s="135">
        <v>6</v>
      </c>
      <c r="AV338" s="135">
        <v>120</v>
      </c>
      <c r="AW338" s="135">
        <v>114</v>
      </c>
      <c r="AX338" s="135">
        <v>28</v>
      </c>
      <c r="AY338" s="135" t="s">
        <v>8728</v>
      </c>
      <c r="AZ338" s="135" t="s">
        <v>1563</v>
      </c>
      <c r="BA338" s="135">
        <v>32</v>
      </c>
      <c r="BB338" s="138" t="s">
        <v>2485</v>
      </c>
      <c r="BC338" s="458" t="s">
        <v>8726</v>
      </c>
      <c r="BD338" s="138" t="s">
        <v>8374</v>
      </c>
      <c r="BE338" s="135" t="s">
        <v>2449</v>
      </c>
      <c r="BF338" s="135" t="s">
        <v>272</v>
      </c>
      <c r="BG338" s="135" t="s">
        <v>272</v>
      </c>
      <c r="BH338" s="135" t="s">
        <v>2486</v>
      </c>
      <c r="BI338" s="185">
        <v>2.43552E-3</v>
      </c>
      <c r="BJ338" s="185">
        <v>24.3552</v>
      </c>
      <c r="BK338" s="135"/>
      <c r="BL338" s="485">
        <v>0.19444408045808781</v>
      </c>
      <c r="BM338" s="138" t="s">
        <v>2487</v>
      </c>
      <c r="BN338" s="135"/>
      <c r="BO338" s="135"/>
      <c r="BP338" s="135"/>
      <c r="BQ338" s="135"/>
      <c r="BR338" s="138" t="e">
        <v>#VALUE!</v>
      </c>
      <c r="BS338" s="135"/>
      <c r="BT338" s="135"/>
      <c r="BU338" s="135">
        <v>2.43552E-3</v>
      </c>
      <c r="BV338" s="135"/>
      <c r="BW338" s="135"/>
      <c r="BX338" s="135"/>
      <c r="BY338" s="135"/>
      <c r="BZ338" s="135"/>
      <c r="CA338" s="135"/>
      <c r="CB338" s="135"/>
      <c r="CC338" s="135"/>
      <c r="CD338" s="135"/>
      <c r="CE338" s="135"/>
      <c r="CF338" s="135"/>
      <c r="CG338" s="135"/>
      <c r="CH338" s="135"/>
      <c r="CI338" s="185"/>
      <c r="CJ338" s="187"/>
      <c r="CK338" s="136">
        <f t="shared" si="89"/>
        <v>7.9836782476878781E-3</v>
      </c>
      <c r="CL338" s="188"/>
      <c r="CM338" s="188"/>
      <c r="CN338" s="188"/>
      <c r="CO338" s="138" t="s">
        <v>2488</v>
      </c>
      <c r="CP338" s="189" t="s">
        <v>2489</v>
      </c>
      <c r="CQ338" s="191" t="s">
        <v>272</v>
      </c>
      <c r="CR338" s="191"/>
      <c r="CS338" s="135" t="s">
        <v>539</v>
      </c>
      <c r="CT338" s="135"/>
      <c r="CU338" s="135"/>
      <c r="CV338" s="332">
        <f t="shared" si="90"/>
        <v>1.2317698068584942E-2</v>
      </c>
      <c r="CW338" s="329">
        <f t="shared" si="95"/>
        <v>0</v>
      </c>
      <c r="CX338" s="329"/>
      <c r="CY338" s="189" t="s">
        <v>5921</v>
      </c>
    </row>
    <row r="339" spans="1:103" ht="11.25" customHeight="1" x14ac:dyDescent="0.2">
      <c r="A339" s="72">
        <v>629</v>
      </c>
      <c r="B339" s="183">
        <v>1032</v>
      </c>
      <c r="C339" s="133" t="s">
        <v>6888</v>
      </c>
      <c r="D339" s="133"/>
      <c r="E339" s="134"/>
      <c r="F339" s="134" t="s">
        <v>2940</v>
      </c>
      <c r="G339" s="184">
        <v>58394642</v>
      </c>
      <c r="H339" s="138" t="s">
        <v>2941</v>
      </c>
      <c r="I339" s="138" t="s">
        <v>2941</v>
      </c>
      <c r="J339" s="138" t="s">
        <v>2942</v>
      </c>
      <c r="K339" s="138" t="s">
        <v>357</v>
      </c>
      <c r="L339" s="138"/>
      <c r="M339" s="138"/>
      <c r="N339" s="138"/>
      <c r="O339" s="138"/>
      <c r="P339" s="138"/>
      <c r="Q339" s="138"/>
      <c r="R339" s="138"/>
      <c r="S339" s="138"/>
      <c r="T339" s="135">
        <v>348.48</v>
      </c>
      <c r="U339" s="185"/>
      <c r="V339" s="185">
        <v>1.9279999999999999E-2</v>
      </c>
      <c r="W339" s="185">
        <v>2.5245144336693239</v>
      </c>
      <c r="X339" s="185">
        <v>2.5245144336693239</v>
      </c>
      <c r="Y339" s="204">
        <v>7</v>
      </c>
      <c r="Z339" s="135">
        <v>6.46</v>
      </c>
      <c r="AA339" s="135"/>
      <c r="AB339" s="135">
        <v>5.92</v>
      </c>
      <c r="AC339" s="135">
        <v>0.54600000000000004</v>
      </c>
      <c r="AD339" s="135">
        <v>6.11</v>
      </c>
      <c r="AE339" s="135">
        <v>6.32</v>
      </c>
      <c r="AF339" s="135">
        <f t="shared" si="96"/>
        <v>6.11</v>
      </c>
      <c r="AG339" s="136">
        <v>7.49</v>
      </c>
      <c r="AH339" s="185">
        <v>5.7299999999999996E-7</v>
      </c>
      <c r="AI339" s="185"/>
      <c r="AJ339" s="136">
        <f t="shared" si="98"/>
        <v>-4.6304117043452617</v>
      </c>
      <c r="AK339" s="136"/>
      <c r="AL339" s="136">
        <f t="shared" si="97"/>
        <v>-4.6304117043452617</v>
      </c>
      <c r="AM339" s="136">
        <v>-9.8152599999999985</v>
      </c>
      <c r="AN339" s="186">
        <v>-3.52</v>
      </c>
      <c r="AO339" s="481"/>
      <c r="AP339" s="481"/>
      <c r="AQ339" s="135" t="s">
        <v>6311</v>
      </c>
      <c r="AR339" s="135" t="s">
        <v>6312</v>
      </c>
      <c r="AS339" s="190"/>
      <c r="AT339" s="137" t="s">
        <v>266</v>
      </c>
      <c r="AU339" s="135">
        <v>6</v>
      </c>
      <c r="AV339" s="135">
        <v>120</v>
      </c>
      <c r="AW339" s="135">
        <v>114</v>
      </c>
      <c r="AX339" s="135">
        <v>28</v>
      </c>
      <c r="AY339" s="135" t="s">
        <v>8728</v>
      </c>
      <c r="AZ339" s="135" t="s">
        <v>1563</v>
      </c>
      <c r="BA339" s="135">
        <v>32</v>
      </c>
      <c r="BB339" s="138" t="s">
        <v>2485</v>
      </c>
      <c r="BC339" s="458" t="s">
        <v>8726</v>
      </c>
      <c r="BD339" s="138" t="s">
        <v>8374</v>
      </c>
      <c r="BE339" s="135" t="s">
        <v>2449</v>
      </c>
      <c r="BF339" s="135" t="s">
        <v>272</v>
      </c>
      <c r="BG339" s="135" t="s">
        <v>272</v>
      </c>
      <c r="BH339" s="135" t="s">
        <v>2486</v>
      </c>
      <c r="BI339" s="185">
        <v>2.2302720000000002E-3</v>
      </c>
      <c r="BJ339" s="185">
        <v>22.302720000000001</v>
      </c>
      <c r="BK339" s="135"/>
      <c r="BL339" s="485">
        <v>2.8265186675613816E-2</v>
      </c>
      <c r="BM339" s="138" t="s">
        <v>2487</v>
      </c>
      <c r="BN339" s="135"/>
      <c r="BO339" s="135"/>
      <c r="BP339" s="135"/>
      <c r="BQ339" s="135"/>
      <c r="BR339" s="138" t="e">
        <v>#VALUE!</v>
      </c>
      <c r="BS339" s="135"/>
      <c r="BT339" s="135"/>
      <c r="BU339" s="135">
        <v>0.22302720000000004</v>
      </c>
      <c r="BV339" s="135"/>
      <c r="BW339" s="135"/>
      <c r="BX339" s="135"/>
      <c r="BY339" s="135"/>
      <c r="BZ339" s="135"/>
      <c r="CA339" s="135"/>
      <c r="CB339" s="135"/>
      <c r="CC339" s="135"/>
      <c r="CD339" s="135"/>
      <c r="CE339" s="135"/>
      <c r="CF339" s="135"/>
      <c r="CG339" s="135"/>
      <c r="CH339" s="135"/>
      <c r="CI339" s="185"/>
      <c r="CJ339" s="187"/>
      <c r="CK339" s="136">
        <f t="shared" si="89"/>
        <v>1.2673425786457354E-3</v>
      </c>
      <c r="CL339" s="188"/>
      <c r="CM339" s="188"/>
      <c r="CN339" s="188"/>
      <c r="CO339" s="138" t="s">
        <v>2488</v>
      </c>
      <c r="CP339" s="189" t="s">
        <v>2489</v>
      </c>
      <c r="CQ339" s="191" t="s">
        <v>272</v>
      </c>
      <c r="CR339" s="191"/>
      <c r="CS339" s="135" t="s">
        <v>539</v>
      </c>
      <c r="CT339" s="135"/>
      <c r="CU339" s="135"/>
      <c r="CV339" s="332">
        <f t="shared" si="90"/>
        <v>0.11319311876171713</v>
      </c>
      <c r="CW339" s="329">
        <f t="shared" si="95"/>
        <v>0</v>
      </c>
      <c r="CX339" s="329"/>
      <c r="CY339" s="189" t="s">
        <v>5921</v>
      </c>
    </row>
    <row r="340" spans="1:103" ht="11.25" customHeight="1" x14ac:dyDescent="0.2">
      <c r="A340" s="72">
        <v>630</v>
      </c>
      <c r="B340" s="183">
        <v>1565</v>
      </c>
      <c r="C340" s="133" t="s">
        <v>3774</v>
      </c>
      <c r="D340" s="133" t="s">
        <v>6885</v>
      </c>
      <c r="E340" s="134"/>
      <c r="F340" s="134" t="s">
        <v>3775</v>
      </c>
      <c r="G340" s="184">
        <v>56724</v>
      </c>
      <c r="H340" s="138" t="s">
        <v>3776</v>
      </c>
      <c r="I340" s="138" t="s">
        <v>7952</v>
      </c>
      <c r="J340" s="138" t="s">
        <v>3777</v>
      </c>
      <c r="K340" s="138" t="s">
        <v>3778</v>
      </c>
      <c r="L340" s="138" t="s">
        <v>617</v>
      </c>
      <c r="M340" s="138" t="s">
        <v>946</v>
      </c>
      <c r="N340" s="138" t="s">
        <v>6376</v>
      </c>
      <c r="O340" s="138" t="s">
        <v>918</v>
      </c>
      <c r="P340" s="138"/>
      <c r="Q340" s="138"/>
      <c r="R340" s="138"/>
      <c r="S340" s="138"/>
      <c r="T340" s="135">
        <v>362.77</v>
      </c>
      <c r="U340" s="185">
        <v>1.5</v>
      </c>
      <c r="V340" s="185">
        <v>1.5409999999999999</v>
      </c>
      <c r="W340" s="185">
        <v>4.1651568927042311</v>
      </c>
      <c r="X340" s="185">
        <v>1.5</v>
      </c>
      <c r="Y340" s="204">
        <v>7</v>
      </c>
      <c r="Z340" s="135">
        <v>4.47</v>
      </c>
      <c r="AA340" s="135">
        <v>4.13</v>
      </c>
      <c r="AB340" s="135">
        <v>4.45</v>
      </c>
      <c r="AC340" s="135">
        <v>0.83789999999999998</v>
      </c>
      <c r="AD340" s="135">
        <v>4.3</v>
      </c>
      <c r="AE340" s="135">
        <v>3.86</v>
      </c>
      <c r="AF340" s="135">
        <f t="shared" si="96"/>
        <v>4.13</v>
      </c>
      <c r="AG340" s="136">
        <v>4.7300000000000004</v>
      </c>
      <c r="AH340" s="185">
        <v>1.09E-7</v>
      </c>
      <c r="AI340" s="185">
        <v>3.0899999999999999E-8</v>
      </c>
      <c r="AJ340" s="136">
        <f t="shared" si="98"/>
        <v>-5.3511398283720286</v>
      </c>
      <c r="AK340" s="136">
        <f>LOG10(AI340*1000/(0.08206*298.15))</f>
        <v>-5.8986078468878169</v>
      </c>
      <c r="AL340" s="136">
        <f t="shared" si="97"/>
        <v>-5.8986078468878169</v>
      </c>
      <c r="AM340" s="136">
        <v>-12.9079</v>
      </c>
      <c r="AN340" s="186">
        <v>-6.51</v>
      </c>
      <c r="AO340" s="481"/>
      <c r="AP340" s="481"/>
      <c r="AQ340" s="135" t="s">
        <v>6312</v>
      </c>
      <c r="AR340" s="135" t="s">
        <v>6312</v>
      </c>
      <c r="AS340" s="190"/>
      <c r="AT340" s="137" t="s">
        <v>266</v>
      </c>
      <c r="AU340" s="135">
        <v>6</v>
      </c>
      <c r="AV340" s="135">
        <v>120</v>
      </c>
      <c r="AW340" s="135">
        <v>114</v>
      </c>
      <c r="AX340" s="135">
        <v>28</v>
      </c>
      <c r="AY340" s="135" t="s">
        <v>8728</v>
      </c>
      <c r="AZ340" s="135" t="s">
        <v>1563</v>
      </c>
      <c r="BA340" s="135">
        <v>32</v>
      </c>
      <c r="BB340" s="138" t="s">
        <v>2485</v>
      </c>
      <c r="BC340" s="458" t="s">
        <v>8726</v>
      </c>
      <c r="BD340" s="138" t="s">
        <v>8374</v>
      </c>
      <c r="BE340" s="135" t="s">
        <v>2449</v>
      </c>
      <c r="BF340" s="135" t="s">
        <v>272</v>
      </c>
      <c r="BG340" s="135" t="s">
        <v>272</v>
      </c>
      <c r="BH340" s="135" t="s">
        <v>2486</v>
      </c>
      <c r="BI340" s="185">
        <v>2.3217279999999999E-3</v>
      </c>
      <c r="BJ340" s="185">
        <v>23.217279999999999</v>
      </c>
      <c r="BK340" s="135"/>
      <c r="BL340" s="485">
        <v>1.8027037618469872</v>
      </c>
      <c r="BM340" s="138" t="s">
        <v>2487</v>
      </c>
      <c r="BN340" s="135"/>
      <c r="BO340" s="135"/>
      <c r="BP340" s="135"/>
      <c r="BQ340" s="135"/>
      <c r="BR340" s="138" t="e">
        <v>#VALUE!</v>
      </c>
      <c r="BS340" s="135"/>
      <c r="BT340" s="135"/>
      <c r="BU340" s="135"/>
      <c r="BV340" s="135"/>
      <c r="BW340" s="135"/>
      <c r="BX340" s="135"/>
      <c r="BY340" s="135"/>
      <c r="BZ340" s="135"/>
      <c r="CA340" s="135"/>
      <c r="CB340" s="135"/>
      <c r="CC340" s="135"/>
      <c r="CD340" s="135"/>
      <c r="CE340" s="135"/>
      <c r="CF340" s="135"/>
      <c r="CG340" s="135"/>
      <c r="CH340" s="135"/>
      <c r="CI340" s="185"/>
      <c r="CJ340" s="187"/>
      <c r="CK340" s="136">
        <f t="shared" si="89"/>
        <v>7.7644916279899598E-2</v>
      </c>
      <c r="CL340" s="188"/>
      <c r="CM340" s="188"/>
      <c r="CN340" s="188"/>
      <c r="CO340" s="138" t="s">
        <v>2488</v>
      </c>
      <c r="CP340" s="189" t="s">
        <v>2489</v>
      </c>
      <c r="CQ340" s="183">
        <v>-5.950688169360429E-2</v>
      </c>
      <c r="CR340" s="191">
        <f t="shared" ref="CR340:CR347" si="99">10^(CJ340-CQ340)</f>
        <v>1.1468506939134613</v>
      </c>
      <c r="CS340" s="135" t="s">
        <v>539</v>
      </c>
      <c r="CT340" s="135"/>
      <c r="CU340" s="135"/>
      <c r="CV340" s="332">
        <f t="shared" si="90"/>
        <v>6.4607051299721593E-2</v>
      </c>
      <c r="CW340" s="329">
        <f t="shared" si="95"/>
        <v>0</v>
      </c>
      <c r="CX340" s="329"/>
      <c r="CY340" s="189" t="s">
        <v>5921</v>
      </c>
    </row>
    <row r="341" spans="1:103" ht="11.25" customHeight="1" x14ac:dyDescent="0.2">
      <c r="A341" s="72">
        <v>631</v>
      </c>
      <c r="B341" s="183">
        <v>1295</v>
      </c>
      <c r="C341" s="133" t="s">
        <v>1478</v>
      </c>
      <c r="D341" s="133" t="s">
        <v>6576</v>
      </c>
      <c r="E341" s="134"/>
      <c r="F341" s="134" t="s">
        <v>1479</v>
      </c>
      <c r="G341" s="184">
        <v>112281773</v>
      </c>
      <c r="H341" s="208" t="s">
        <v>1480</v>
      </c>
      <c r="I341" s="208" t="s">
        <v>7953</v>
      </c>
      <c r="J341" s="138" t="s">
        <v>1481</v>
      </c>
      <c r="K341" s="138" t="s">
        <v>1112</v>
      </c>
      <c r="L341" s="138" t="s">
        <v>6007</v>
      </c>
      <c r="M341" s="138" t="s">
        <v>2342</v>
      </c>
      <c r="N341" s="138" t="s">
        <v>2342</v>
      </c>
      <c r="O341" s="138"/>
      <c r="P341" s="138"/>
      <c r="Q341" s="138"/>
      <c r="R341" s="138"/>
      <c r="S341" s="138"/>
      <c r="T341" s="135">
        <v>372.15</v>
      </c>
      <c r="U341" s="185">
        <v>156</v>
      </c>
      <c r="V341" s="185">
        <v>4.1420000000000003</v>
      </c>
      <c r="W341" s="185">
        <v>9.7885423318386575</v>
      </c>
      <c r="X341" s="185">
        <v>156</v>
      </c>
      <c r="Y341" s="204">
        <v>7</v>
      </c>
      <c r="Z341" s="135">
        <v>4.25</v>
      </c>
      <c r="AA341" s="135">
        <v>3.56</v>
      </c>
      <c r="AB341" s="135">
        <v>3.88</v>
      </c>
      <c r="AC341" s="135">
        <v>0.7671</v>
      </c>
      <c r="AD341" s="135">
        <v>3.71</v>
      </c>
      <c r="AE341" s="135">
        <v>3.19</v>
      </c>
      <c r="AF341" s="135">
        <f t="shared" si="96"/>
        <v>3.56</v>
      </c>
      <c r="AG341" s="136">
        <v>4.63</v>
      </c>
      <c r="AH341" s="185">
        <v>6.1999999999999999E-7</v>
      </c>
      <c r="AI341" s="185">
        <v>4.2400000000000002E-9</v>
      </c>
      <c r="AJ341" s="136">
        <f t="shared" si="98"/>
        <v>-4.5961746368143981</v>
      </c>
      <c r="AK341" s="136">
        <f>LOG10(AI341*1000/(0.08206*298.15))</f>
        <v>-6.7612004697199195</v>
      </c>
      <c r="AL341" s="136">
        <f t="shared" si="97"/>
        <v>-6.7612004697199195</v>
      </c>
      <c r="AM341" s="136">
        <v>-10.096799999999998</v>
      </c>
      <c r="AN341" s="186">
        <v>-7.44</v>
      </c>
      <c r="AO341" s="481"/>
      <c r="AP341" s="481">
        <v>2.68</v>
      </c>
      <c r="AQ341" s="135" t="s">
        <v>6311</v>
      </c>
      <c r="AR341" s="135" t="s">
        <v>6311</v>
      </c>
      <c r="AS341" s="190"/>
      <c r="AT341" s="137" t="s">
        <v>266</v>
      </c>
      <c r="AU341" s="135">
        <v>6</v>
      </c>
      <c r="AV341" s="135">
        <v>120</v>
      </c>
      <c r="AW341" s="135">
        <v>114</v>
      </c>
      <c r="AX341" s="135">
        <v>28</v>
      </c>
      <c r="AY341" s="135" t="s">
        <v>8728</v>
      </c>
      <c r="AZ341" s="135" t="s">
        <v>1563</v>
      </c>
      <c r="BA341" s="135">
        <v>32</v>
      </c>
      <c r="BB341" s="138" t="s">
        <v>2485</v>
      </c>
      <c r="BC341" s="458" t="s">
        <v>8726</v>
      </c>
      <c r="BD341" s="138" t="s">
        <v>8374</v>
      </c>
      <c r="BE341" s="135" t="s">
        <v>2449</v>
      </c>
      <c r="BF341" s="135" t="s">
        <v>272</v>
      </c>
      <c r="BG341" s="135" t="s">
        <v>272</v>
      </c>
      <c r="BH341" s="135" t="s">
        <v>2486</v>
      </c>
      <c r="BI341" s="185">
        <v>2.3817599999999997E-3</v>
      </c>
      <c r="BJ341" s="185">
        <v>23.817599999999999</v>
      </c>
      <c r="BK341" s="135"/>
      <c r="BL341" s="485">
        <v>2.9146943783348145</v>
      </c>
      <c r="BM341" s="138" t="s">
        <v>2487</v>
      </c>
      <c r="BN341" s="135"/>
      <c r="BO341" s="135"/>
      <c r="BP341" s="135"/>
      <c r="BQ341" s="135"/>
      <c r="BR341" s="138" t="e">
        <v>#VALUE!</v>
      </c>
      <c r="BS341" s="135"/>
      <c r="BT341" s="135"/>
      <c r="BU341" s="135">
        <v>2.3817599999999997E-3</v>
      </c>
      <c r="BV341" s="135"/>
      <c r="BW341" s="135"/>
      <c r="BX341" s="135"/>
      <c r="BY341" s="135"/>
      <c r="BZ341" s="135"/>
      <c r="CA341" s="135"/>
      <c r="CB341" s="135"/>
      <c r="CC341" s="135"/>
      <c r="CD341" s="135"/>
      <c r="CE341" s="135"/>
      <c r="CF341" s="135"/>
      <c r="CG341" s="135"/>
      <c r="CH341" s="135"/>
      <c r="CI341" s="185"/>
      <c r="CJ341" s="187"/>
      <c r="CK341" s="136">
        <f t="shared" si="89"/>
        <v>0.12237565406820228</v>
      </c>
      <c r="CL341" s="188"/>
      <c r="CM341" s="188">
        <v>0.58546072950850059</v>
      </c>
      <c r="CN341" s="188">
        <f>BJ341/(10^CM341)</f>
        <v>6.1863896103896101</v>
      </c>
      <c r="CO341" s="138" t="s">
        <v>2488</v>
      </c>
      <c r="CP341" s="189" t="s">
        <v>2489</v>
      </c>
      <c r="CQ341" s="183">
        <v>0.58881874345218377</v>
      </c>
      <c r="CR341" s="191">
        <f t="shared" si="99"/>
        <v>0.25773966312718632</v>
      </c>
      <c r="CS341" s="135" t="s">
        <v>539</v>
      </c>
      <c r="CT341" s="135"/>
      <c r="CU341" s="135"/>
      <c r="CV341" s="332">
        <f t="shared" si="90"/>
        <v>6.5497783151954856</v>
      </c>
      <c r="CW341" s="329">
        <f t="shared" si="95"/>
        <v>1</v>
      </c>
      <c r="CX341" s="329"/>
      <c r="CY341" s="189" t="s">
        <v>5921</v>
      </c>
    </row>
    <row r="342" spans="1:103" ht="11.25" customHeight="1" x14ac:dyDescent="0.2">
      <c r="A342" s="72">
        <v>632</v>
      </c>
      <c r="B342" s="183">
        <v>1606</v>
      </c>
      <c r="C342" s="133" t="s">
        <v>1108</v>
      </c>
      <c r="D342" s="133" t="s">
        <v>6672</v>
      </c>
      <c r="E342" s="134"/>
      <c r="F342" s="134" t="s">
        <v>1109</v>
      </c>
      <c r="G342" s="184">
        <v>119446683</v>
      </c>
      <c r="H342" s="138" t="s">
        <v>1110</v>
      </c>
      <c r="I342" s="138" t="s">
        <v>7954</v>
      </c>
      <c r="J342" s="138" t="s">
        <v>1111</v>
      </c>
      <c r="K342" s="138" t="s">
        <v>1112</v>
      </c>
      <c r="L342" s="140" t="s">
        <v>5929</v>
      </c>
      <c r="M342" s="138" t="s">
        <v>6082</v>
      </c>
      <c r="N342" s="138" t="s">
        <v>6082</v>
      </c>
      <c r="O342" s="138" t="s">
        <v>6083</v>
      </c>
      <c r="P342" s="138"/>
      <c r="Q342" s="138"/>
      <c r="R342" s="138"/>
      <c r="S342" s="138"/>
      <c r="T342" s="135">
        <v>406.26</v>
      </c>
      <c r="U342" s="185">
        <v>15</v>
      </c>
      <c r="V342" s="185">
        <v>0.59560000000000002</v>
      </c>
      <c r="W342" s="185">
        <v>0.52336426287085225</v>
      </c>
      <c r="X342" s="185">
        <v>15</v>
      </c>
      <c r="Y342" s="204">
        <v>7</v>
      </c>
      <c r="Z342" s="135">
        <v>5.2</v>
      </c>
      <c r="AA342" s="135">
        <v>4.3</v>
      </c>
      <c r="AB342" s="135">
        <v>3.84</v>
      </c>
      <c r="AC342" s="135">
        <v>0.90800000000000003</v>
      </c>
      <c r="AD342" s="135">
        <v>4</v>
      </c>
      <c r="AE342" s="135">
        <v>4.92</v>
      </c>
      <c r="AF342" s="135">
        <f t="shared" si="96"/>
        <v>4.3</v>
      </c>
      <c r="AG342" s="136">
        <v>4.37</v>
      </c>
      <c r="AH342" s="185">
        <v>1.6900000000000001E-11</v>
      </c>
      <c r="AI342" s="185">
        <v>8.9099999999999998E-12</v>
      </c>
      <c r="AJ342" s="136">
        <f t="shared" si="98"/>
        <v>-9.1606796216989785</v>
      </c>
      <c r="AK342" s="136">
        <f>LOG10(AI342*1000/(0.08206*298.15))</f>
        <v>-9.4386886222757767</v>
      </c>
      <c r="AL342" s="136">
        <f t="shared" si="97"/>
        <v>-9.4386886222757767</v>
      </c>
      <c r="AM342" s="136">
        <v>-16.91262</v>
      </c>
      <c r="AN342" s="186">
        <v>-10.1</v>
      </c>
      <c r="AO342" s="481"/>
      <c r="AP342" s="481">
        <v>2.94</v>
      </c>
      <c r="AQ342" s="135" t="s">
        <v>6311</v>
      </c>
      <c r="AR342" s="135" t="s">
        <v>6311</v>
      </c>
      <c r="AS342" s="190"/>
      <c r="AT342" s="137" t="s">
        <v>266</v>
      </c>
      <c r="AU342" s="135">
        <v>6</v>
      </c>
      <c r="AV342" s="135">
        <v>120</v>
      </c>
      <c r="AW342" s="135">
        <v>114</v>
      </c>
      <c r="AX342" s="135">
        <v>28</v>
      </c>
      <c r="AY342" s="135" t="s">
        <v>8728</v>
      </c>
      <c r="AZ342" s="135" t="s">
        <v>1563</v>
      </c>
      <c r="BA342" s="135">
        <v>32</v>
      </c>
      <c r="BB342" s="138" t="s">
        <v>2485</v>
      </c>
      <c r="BC342" s="458" t="s">
        <v>8726</v>
      </c>
      <c r="BD342" s="138" t="s">
        <v>8374</v>
      </c>
      <c r="BE342" s="135" t="s">
        <v>2449</v>
      </c>
      <c r="BF342" s="135" t="s">
        <v>272</v>
      </c>
      <c r="BG342" s="135" t="s">
        <v>272</v>
      </c>
      <c r="BH342" s="135" t="s">
        <v>2486</v>
      </c>
      <c r="BI342" s="185">
        <v>2.600064E-3</v>
      </c>
      <c r="BJ342" s="185">
        <v>26.000640000000001</v>
      </c>
      <c r="BK342" s="135"/>
      <c r="BL342" s="485">
        <v>0.44615325332090677</v>
      </c>
      <c r="BM342" s="138" t="s">
        <v>2487</v>
      </c>
      <c r="BN342" s="135"/>
      <c r="BO342" s="135"/>
      <c r="BP342" s="135"/>
      <c r="BQ342" s="135"/>
      <c r="BR342" s="138" t="e">
        <v>#VALUE!</v>
      </c>
      <c r="BS342" s="135"/>
      <c r="BT342" s="135"/>
      <c r="BU342" s="135"/>
      <c r="BV342" s="135"/>
      <c r="BW342" s="135"/>
      <c r="BX342" s="135"/>
      <c r="BY342" s="135"/>
      <c r="BZ342" s="135"/>
      <c r="CA342" s="135"/>
      <c r="CB342" s="135"/>
      <c r="CC342" s="135"/>
      <c r="CD342" s="135"/>
      <c r="CE342" s="135"/>
      <c r="CF342" s="135"/>
      <c r="CG342" s="135"/>
      <c r="CH342" s="135"/>
      <c r="CI342" s="185"/>
      <c r="CJ342" s="187"/>
      <c r="CK342" s="136">
        <f t="shared" si="89"/>
        <v>1.715931812912708E-2</v>
      </c>
      <c r="CL342" s="188"/>
      <c r="CM342" s="188">
        <v>-0.56942632441649743</v>
      </c>
      <c r="CN342" s="188">
        <f>BJ342/(10^CM342)</f>
        <v>96.474017102201501</v>
      </c>
      <c r="CO342" s="138" t="s">
        <v>2488</v>
      </c>
      <c r="CP342" s="189" t="s">
        <v>2489</v>
      </c>
      <c r="CQ342" s="183">
        <v>-0.25118258279645472</v>
      </c>
      <c r="CR342" s="191">
        <f t="shared" si="99"/>
        <v>1.7831282591653876</v>
      </c>
      <c r="CS342" s="135" t="s">
        <v>539</v>
      </c>
      <c r="CT342" s="135"/>
      <c r="CU342" s="135"/>
      <c r="CV342" s="332">
        <f t="shared" si="90"/>
        <v>0.57690887608920394</v>
      </c>
      <c r="CW342" s="329">
        <f t="shared" si="95"/>
        <v>0</v>
      </c>
      <c r="CX342" s="329"/>
      <c r="CY342" s="189" t="s">
        <v>5921</v>
      </c>
    </row>
    <row r="343" spans="1:103" ht="11.25" customHeight="1" x14ac:dyDescent="0.2">
      <c r="A343" s="72">
        <v>633</v>
      </c>
      <c r="B343" s="183">
        <v>1574</v>
      </c>
      <c r="C343" s="133" t="s">
        <v>1068</v>
      </c>
      <c r="D343" s="133" t="s">
        <v>6699</v>
      </c>
      <c r="E343" s="134"/>
      <c r="F343" s="134" t="s">
        <v>1069</v>
      </c>
      <c r="G343" s="184">
        <v>122008859</v>
      </c>
      <c r="H343" s="138" t="s">
        <v>1070</v>
      </c>
      <c r="I343" s="138" t="s">
        <v>7955</v>
      </c>
      <c r="J343" s="138" t="s">
        <v>1071</v>
      </c>
      <c r="K343" s="138" t="s">
        <v>357</v>
      </c>
      <c r="L343" s="138" t="s">
        <v>5968</v>
      </c>
      <c r="M343" s="138" t="s">
        <v>2342</v>
      </c>
      <c r="N343" s="138" t="s">
        <v>2342</v>
      </c>
      <c r="O343" s="138"/>
      <c r="P343" s="138"/>
      <c r="Q343" s="138"/>
      <c r="R343" s="138"/>
      <c r="S343" s="138"/>
      <c r="T343" s="135">
        <v>357.38</v>
      </c>
      <c r="U343" s="185">
        <v>0.7</v>
      </c>
      <c r="V343" s="185">
        <v>4.5250000000000004</v>
      </c>
      <c r="W343" s="185">
        <v>0.42966526364357088</v>
      </c>
      <c r="X343" s="185">
        <v>0.7</v>
      </c>
      <c r="Y343" s="204">
        <v>7</v>
      </c>
      <c r="Z343" s="135">
        <v>4.47</v>
      </c>
      <c r="AA343" s="135">
        <v>3.31</v>
      </c>
      <c r="AB343" s="135">
        <v>4.05</v>
      </c>
      <c r="AC343" s="135">
        <v>0.70509999999999995</v>
      </c>
      <c r="AD343" s="135">
        <v>4.17</v>
      </c>
      <c r="AE343" s="135">
        <v>4.4000000000000004</v>
      </c>
      <c r="AF343" s="135">
        <f t="shared" si="96"/>
        <v>3.31</v>
      </c>
      <c r="AG343" s="136">
        <v>4.3499999999999996</v>
      </c>
      <c r="AH343" s="185">
        <v>4.1100000000000001E-9</v>
      </c>
      <c r="AI343" s="185">
        <v>6.0500000000000004E-9</v>
      </c>
      <c r="AJ343" s="136">
        <f t="shared" si="98"/>
        <v>-6.7747245044365823</v>
      </c>
      <c r="AK343" s="136">
        <f>LOG10(AI343*1000/(0.08206*298.15))</f>
        <v>-6.606810951660183</v>
      </c>
      <c r="AL343" s="136">
        <f t="shared" si="97"/>
        <v>-6.606810951660183</v>
      </c>
      <c r="AM343" s="136">
        <v>-14.01172</v>
      </c>
      <c r="AN343" s="186">
        <v>-6.94</v>
      </c>
      <c r="AO343" s="481"/>
      <c r="AP343" s="481"/>
      <c r="AQ343" s="135" t="s">
        <v>6311</v>
      </c>
      <c r="AR343" s="135" t="s">
        <v>6312</v>
      </c>
      <c r="AS343" s="190"/>
      <c r="AT343" s="137" t="s">
        <v>266</v>
      </c>
      <c r="AU343" s="135">
        <v>6</v>
      </c>
      <c r="AV343" s="135">
        <v>120</v>
      </c>
      <c r="AW343" s="135">
        <v>114</v>
      </c>
      <c r="AX343" s="135">
        <v>28</v>
      </c>
      <c r="AY343" s="135" t="s">
        <v>8728</v>
      </c>
      <c r="AZ343" s="135" t="s">
        <v>1563</v>
      </c>
      <c r="BA343" s="135">
        <v>32</v>
      </c>
      <c r="BB343" s="138" t="s">
        <v>2485</v>
      </c>
      <c r="BC343" s="458" t="s">
        <v>8726</v>
      </c>
      <c r="BD343" s="138" t="s">
        <v>8374</v>
      </c>
      <c r="BE343" s="135" t="s">
        <v>2449</v>
      </c>
      <c r="BF343" s="135" t="s">
        <v>272</v>
      </c>
      <c r="BG343" s="135" t="s">
        <v>272</v>
      </c>
      <c r="BH343" s="135" t="s">
        <v>2486</v>
      </c>
      <c r="BI343" s="185">
        <v>2.2872319999999997E-3</v>
      </c>
      <c r="BJ343" s="185">
        <v>22.872319999999998</v>
      </c>
      <c r="BK343" s="135"/>
      <c r="BL343" s="485">
        <v>1.7759193715270731</v>
      </c>
      <c r="BM343" s="138" t="s">
        <v>2487</v>
      </c>
      <c r="BN343" s="135"/>
      <c r="BO343" s="135"/>
      <c r="BP343" s="135"/>
      <c r="BQ343" s="135"/>
      <c r="BR343" s="138" t="e">
        <v>#VALUE!</v>
      </c>
      <c r="BS343" s="135"/>
      <c r="BT343" s="135"/>
      <c r="BU343" s="135"/>
      <c r="BV343" s="135"/>
      <c r="BW343" s="135"/>
      <c r="BX343" s="135"/>
      <c r="BY343" s="135"/>
      <c r="BZ343" s="135"/>
      <c r="CA343" s="135"/>
      <c r="CB343" s="135"/>
      <c r="CC343" s="135"/>
      <c r="CD343" s="135"/>
      <c r="CE343" s="135"/>
      <c r="CF343" s="135"/>
      <c r="CG343" s="135"/>
      <c r="CH343" s="135"/>
      <c r="CI343" s="185"/>
      <c r="CJ343" s="187"/>
      <c r="CK343" s="136">
        <f t="shared" si="89"/>
        <v>7.7644916279899598E-2</v>
      </c>
      <c r="CL343" s="188"/>
      <c r="CM343" s="188">
        <v>-7.5351729582636737E-2</v>
      </c>
      <c r="CN343" s="188">
        <f>BJ343/(10^CM343)</f>
        <v>27.205828001085987</v>
      </c>
      <c r="CO343" s="138" t="s">
        <v>2488</v>
      </c>
      <c r="CP343" s="189" t="s">
        <v>2489</v>
      </c>
      <c r="CQ343" s="183">
        <v>-7.5351729582636737E-2</v>
      </c>
      <c r="CR343" s="191">
        <f t="shared" si="99"/>
        <v>1.1894651701745163</v>
      </c>
      <c r="CS343" s="135" t="s">
        <v>539</v>
      </c>
      <c r="CT343" s="135"/>
      <c r="CU343" s="135"/>
      <c r="CV343" s="332">
        <f t="shared" si="90"/>
        <v>3.0604678493480329E-2</v>
      </c>
      <c r="CW343" s="329">
        <f t="shared" si="95"/>
        <v>0</v>
      </c>
      <c r="CX343" s="329"/>
      <c r="CY343" s="189" t="s">
        <v>5921</v>
      </c>
    </row>
    <row r="344" spans="1:103" ht="11.25" customHeight="1" x14ac:dyDescent="0.2">
      <c r="A344" s="72">
        <v>634</v>
      </c>
      <c r="B344" s="183">
        <v>1144</v>
      </c>
      <c r="C344" s="133" t="s">
        <v>1231</v>
      </c>
      <c r="D344" s="133" t="s">
        <v>6566</v>
      </c>
      <c r="E344" s="134"/>
      <c r="F344" s="134" t="s">
        <v>1232</v>
      </c>
      <c r="G344" s="184">
        <v>81406373</v>
      </c>
      <c r="H344" s="138" t="s">
        <v>1233</v>
      </c>
      <c r="I344" s="138" t="s">
        <v>7956</v>
      </c>
      <c r="J344" s="138" t="s">
        <v>1234</v>
      </c>
      <c r="K344" s="138" t="s">
        <v>1235</v>
      </c>
      <c r="L344" s="138" t="s">
        <v>6033</v>
      </c>
      <c r="M344" s="138" t="s">
        <v>6082</v>
      </c>
      <c r="N344" s="138" t="s">
        <v>6082</v>
      </c>
      <c r="O344" s="138" t="s">
        <v>6083</v>
      </c>
      <c r="P344" s="138"/>
      <c r="Q344" s="138"/>
      <c r="R344" s="138"/>
      <c r="S344" s="138"/>
      <c r="T344" s="135">
        <v>367.24</v>
      </c>
      <c r="U344" s="185">
        <v>8.9999999999999983E-2</v>
      </c>
      <c r="V344" s="185">
        <v>0.65880000000000005</v>
      </c>
      <c r="W344" s="185">
        <v>0.48411660466745471</v>
      </c>
      <c r="X344" s="185">
        <v>8.9999999999999983E-2</v>
      </c>
      <c r="Y344" s="204">
        <v>7</v>
      </c>
      <c r="Z344" s="135">
        <v>4.82</v>
      </c>
      <c r="AA344" s="135">
        <v>4.53</v>
      </c>
      <c r="AB344" s="135">
        <v>4.76</v>
      </c>
      <c r="AC344" s="135">
        <v>0.80210000000000004</v>
      </c>
      <c r="AD344" s="135">
        <v>5.23</v>
      </c>
      <c r="AE344" s="135">
        <v>6.77</v>
      </c>
      <c r="AF344" s="135">
        <f t="shared" si="96"/>
        <v>4.53</v>
      </c>
      <c r="AG344" s="136">
        <v>4.8899999999999997</v>
      </c>
      <c r="AH344" s="185">
        <v>1.06E-10</v>
      </c>
      <c r="AI344" s="185">
        <v>5.4200000000000002E-8</v>
      </c>
      <c r="AJ344" s="136">
        <f t="shared" si="98"/>
        <v>-8.3632604610478811</v>
      </c>
      <c r="AK344" s="136">
        <f>LOG10(AI344*1000/(0.08206*298.15))</f>
        <v>-5.6545670397742649</v>
      </c>
      <c r="AL344" s="136">
        <f t="shared" si="97"/>
        <v>-5.6545670397742649</v>
      </c>
      <c r="AM344" s="136">
        <v>-13.434470000000001</v>
      </c>
      <c r="AN344" s="186">
        <v>-2.96</v>
      </c>
      <c r="AO344" s="481"/>
      <c r="AP344" s="481">
        <v>-1.55</v>
      </c>
      <c r="AQ344" s="135" t="s">
        <v>6311</v>
      </c>
      <c r="AR344" s="135" t="s">
        <v>6314</v>
      </c>
      <c r="AS344" s="190"/>
      <c r="AT344" s="137" t="s">
        <v>266</v>
      </c>
      <c r="AU344" s="135">
        <v>6</v>
      </c>
      <c r="AV344" s="135">
        <v>120</v>
      </c>
      <c r="AW344" s="135">
        <v>114</v>
      </c>
      <c r="AX344" s="135">
        <v>28</v>
      </c>
      <c r="AY344" s="135" t="s">
        <v>8728</v>
      </c>
      <c r="AZ344" s="135" t="s">
        <v>1563</v>
      </c>
      <c r="BA344" s="135">
        <v>32</v>
      </c>
      <c r="BB344" s="138" t="s">
        <v>2485</v>
      </c>
      <c r="BC344" s="458" t="s">
        <v>8726</v>
      </c>
      <c r="BD344" s="138" t="s">
        <v>8374</v>
      </c>
      <c r="BE344" s="135" t="s">
        <v>2449</v>
      </c>
      <c r="BF344" s="135" t="s">
        <v>272</v>
      </c>
      <c r="BG344" s="135" t="s">
        <v>272</v>
      </c>
      <c r="BH344" s="135" t="s">
        <v>2486</v>
      </c>
      <c r="BI344" s="185">
        <v>2.3503359999999997E-3</v>
      </c>
      <c r="BJ344" s="185">
        <v>23.503360000000001</v>
      </c>
      <c r="BK344" s="135"/>
      <c r="BL344" s="485">
        <v>0.88492808535942047</v>
      </c>
      <c r="BM344" s="138" t="s">
        <v>2487</v>
      </c>
      <c r="BN344" s="135"/>
      <c r="BO344" s="135"/>
      <c r="BP344" s="135"/>
      <c r="BQ344" s="135"/>
      <c r="BR344" s="138" t="e">
        <v>#VALUE!</v>
      </c>
      <c r="BS344" s="135"/>
      <c r="BT344" s="135"/>
      <c r="BU344" s="135">
        <v>0.23503360000000004</v>
      </c>
      <c r="BV344" s="135"/>
      <c r="BW344" s="135"/>
      <c r="BX344" s="135"/>
      <c r="BY344" s="135"/>
      <c r="BZ344" s="135"/>
      <c r="CA344" s="135"/>
      <c r="CB344" s="135"/>
      <c r="CC344" s="135"/>
      <c r="CD344" s="135"/>
      <c r="CE344" s="135"/>
      <c r="CF344" s="135"/>
      <c r="CG344" s="135"/>
      <c r="CH344" s="135"/>
      <c r="CI344" s="185"/>
      <c r="CJ344" s="187"/>
      <c r="CK344" s="136">
        <f t="shared" si="89"/>
        <v>3.7651130959974251E-2</v>
      </c>
      <c r="CL344" s="188"/>
      <c r="CM344" s="188"/>
      <c r="CN344" s="188"/>
      <c r="CO344" s="138" t="s">
        <v>2488</v>
      </c>
      <c r="CP344" s="189" t="s">
        <v>2489</v>
      </c>
      <c r="CQ344" s="183">
        <v>1.1548150837129494</v>
      </c>
      <c r="CR344" s="191">
        <f t="shared" si="99"/>
        <v>7.001400420140047E-2</v>
      </c>
      <c r="CS344" s="135" t="s">
        <v>539</v>
      </c>
      <c r="CT344" s="135"/>
      <c r="CU344" s="135"/>
      <c r="CV344" s="332">
        <f t="shared" si="90"/>
        <v>3.8292397342337427E-3</v>
      </c>
      <c r="CW344" s="329">
        <f t="shared" si="95"/>
        <v>0</v>
      </c>
      <c r="CX344" s="329"/>
      <c r="CY344" s="189" t="s">
        <v>5921</v>
      </c>
    </row>
    <row r="345" spans="1:103" ht="11.25" customHeight="1" x14ac:dyDescent="0.2">
      <c r="A345" s="72">
        <v>635</v>
      </c>
      <c r="B345" s="183">
        <v>1322</v>
      </c>
      <c r="C345" s="133" t="s">
        <v>1539</v>
      </c>
      <c r="D345" s="133" t="s">
        <v>6587</v>
      </c>
      <c r="E345" s="134"/>
      <c r="F345" s="134" t="s">
        <v>1540</v>
      </c>
      <c r="G345" s="184">
        <v>141517217</v>
      </c>
      <c r="H345" s="201" t="s">
        <v>1541</v>
      </c>
      <c r="I345" s="201" t="s">
        <v>1541</v>
      </c>
      <c r="J345" s="201" t="s">
        <v>1542</v>
      </c>
      <c r="K345" s="201" t="s">
        <v>300</v>
      </c>
      <c r="L345" s="138"/>
      <c r="M345" s="138" t="s">
        <v>6082</v>
      </c>
      <c r="N345" s="138" t="s">
        <v>6082</v>
      </c>
      <c r="O345" s="141"/>
      <c r="P345" s="138"/>
      <c r="Q345" s="138"/>
      <c r="R345" s="138"/>
      <c r="S345" s="138"/>
      <c r="T345" s="186">
        <v>408.38</v>
      </c>
      <c r="U345" s="185"/>
      <c r="V345" s="185">
        <v>0.3900095501628425</v>
      </c>
      <c r="W345" s="185">
        <v>0.41789239218761376</v>
      </c>
      <c r="X345" s="185">
        <v>0.41789239218761376</v>
      </c>
      <c r="Y345" s="204">
        <v>7</v>
      </c>
      <c r="Z345" s="135">
        <v>6.62</v>
      </c>
      <c r="AA345" s="135">
        <v>4.5</v>
      </c>
      <c r="AB345" s="135">
        <v>4.7300000000000004</v>
      </c>
      <c r="AC345" s="135">
        <v>0.70989999999999998</v>
      </c>
      <c r="AD345" s="135">
        <v>4.8499999999999996</v>
      </c>
      <c r="AE345" s="135">
        <v>5.1100000000000003</v>
      </c>
      <c r="AF345" s="135">
        <f t="shared" si="96"/>
        <v>4.5</v>
      </c>
      <c r="AG345" s="135">
        <v>5.04</v>
      </c>
      <c r="AH345" s="185">
        <v>1.0700000000000001E-7</v>
      </c>
      <c r="AI345" s="185"/>
      <c r="AJ345" s="136">
        <f t="shared" si="98"/>
        <v>-5.3591825486274418</v>
      </c>
      <c r="AK345" s="136"/>
      <c r="AL345" s="136">
        <f t="shared" si="97"/>
        <v>-5.3591825486274418</v>
      </c>
      <c r="AM345" s="136">
        <v>-11.2052</v>
      </c>
      <c r="AN345" s="135">
        <v>-5.94</v>
      </c>
      <c r="AO345" s="481"/>
      <c r="AP345" s="481"/>
      <c r="AQ345" s="135" t="s">
        <v>6311</v>
      </c>
      <c r="AR345" s="135" t="s">
        <v>6312</v>
      </c>
      <c r="AS345" s="190"/>
      <c r="AT345" s="137" t="s">
        <v>266</v>
      </c>
      <c r="AU345" s="135">
        <v>6</v>
      </c>
      <c r="AV345" s="135">
        <v>120</v>
      </c>
      <c r="AW345" s="135">
        <v>114</v>
      </c>
      <c r="AX345" s="135">
        <v>28</v>
      </c>
      <c r="AY345" s="135" t="s">
        <v>8728</v>
      </c>
      <c r="AZ345" s="135" t="s">
        <v>1563</v>
      </c>
      <c r="BA345" s="135">
        <v>32</v>
      </c>
      <c r="BB345" s="138" t="s">
        <v>2485</v>
      </c>
      <c r="BC345" s="458" t="s">
        <v>8726</v>
      </c>
      <c r="BD345" s="138" t="s">
        <v>8374</v>
      </c>
      <c r="BE345" s="135" t="s">
        <v>2449</v>
      </c>
      <c r="BF345" s="135" t="s">
        <v>272</v>
      </c>
      <c r="BG345" s="135" t="s">
        <v>272</v>
      </c>
      <c r="BH345" s="135" t="s">
        <v>2486</v>
      </c>
      <c r="BI345" s="185">
        <v>2.6136319999999998E-3</v>
      </c>
      <c r="BJ345" s="185">
        <v>26.136320000000001</v>
      </c>
      <c r="BK345" s="135"/>
      <c r="BL345" s="485">
        <v>2.3792630760323619E-2</v>
      </c>
      <c r="BM345" s="138" t="s">
        <v>2487</v>
      </c>
      <c r="BN345" s="135"/>
      <c r="BO345" s="135"/>
      <c r="BP345" s="135"/>
      <c r="BQ345" s="135"/>
      <c r="BR345" s="138" t="e">
        <v>#VALUE!</v>
      </c>
      <c r="BS345" s="135"/>
      <c r="BT345" s="135"/>
      <c r="BU345" s="135">
        <v>26.136320000000001</v>
      </c>
      <c r="BV345" s="135"/>
      <c r="BW345" s="135"/>
      <c r="BX345" s="135"/>
      <c r="BY345" s="135"/>
      <c r="BZ345" s="135"/>
      <c r="CA345" s="135"/>
      <c r="CB345" s="135"/>
      <c r="CC345" s="135"/>
      <c r="CD345" s="135"/>
      <c r="CE345" s="135"/>
      <c r="CF345" s="135"/>
      <c r="CG345" s="135"/>
      <c r="CH345" s="135"/>
      <c r="CI345" s="185"/>
      <c r="CJ345" s="187"/>
      <c r="CK345" s="136">
        <f t="shared" si="89"/>
        <v>9.1032826198652358E-4</v>
      </c>
      <c r="CL345" s="188"/>
      <c r="CM345" s="188">
        <v>-1.8538613296237048</v>
      </c>
      <c r="CN345" s="188">
        <f>BJ345/(10^CM345)</f>
        <v>1866.8342857142886</v>
      </c>
      <c r="CO345" s="138" t="s">
        <v>2488</v>
      </c>
      <c r="CP345" s="189" t="s">
        <v>2489</v>
      </c>
      <c r="CQ345" s="183">
        <v>-1.5607391022493968</v>
      </c>
      <c r="CR345" s="191">
        <f t="shared" si="99"/>
        <v>36.369648372665417</v>
      </c>
      <c r="CS345" s="135" t="s">
        <v>539</v>
      </c>
      <c r="CT345" s="135"/>
      <c r="CU345" s="135"/>
      <c r="CV345" s="332">
        <f t="shared" si="90"/>
        <v>1.5988953004386759E-2</v>
      </c>
      <c r="CW345" s="329">
        <f t="shared" si="95"/>
        <v>0</v>
      </c>
      <c r="CX345" s="329"/>
      <c r="CY345" s="189" t="s">
        <v>5921</v>
      </c>
    </row>
    <row r="346" spans="1:103" ht="11.25" customHeight="1" x14ac:dyDescent="0.2">
      <c r="A346" s="72">
        <v>636</v>
      </c>
      <c r="B346" s="183">
        <v>1634</v>
      </c>
      <c r="C346" s="133" t="s">
        <v>1127</v>
      </c>
      <c r="D346" s="133" t="s">
        <v>6575</v>
      </c>
      <c r="E346" s="134"/>
      <c r="F346" s="134" t="s">
        <v>1128</v>
      </c>
      <c r="G346" s="184">
        <v>97886458</v>
      </c>
      <c r="H346" s="138" t="s">
        <v>1129</v>
      </c>
      <c r="I346" s="138" t="s">
        <v>1129</v>
      </c>
      <c r="J346" s="138" t="s">
        <v>1130</v>
      </c>
      <c r="K346" s="138" t="s">
        <v>357</v>
      </c>
      <c r="L346" s="138" t="s">
        <v>5975</v>
      </c>
      <c r="M346" s="138" t="s">
        <v>6082</v>
      </c>
      <c r="N346" s="138" t="s">
        <v>6082</v>
      </c>
      <c r="O346" s="138" t="s">
        <v>6083</v>
      </c>
      <c r="P346" s="138"/>
      <c r="Q346" s="138"/>
      <c r="R346" s="138"/>
      <c r="S346" s="138"/>
      <c r="T346" s="135">
        <v>401.42</v>
      </c>
      <c r="U346" s="185">
        <v>1.4</v>
      </c>
      <c r="V346" s="185">
        <v>0.26350000000000001</v>
      </c>
      <c r="W346" s="185">
        <v>0.33388661299603339</v>
      </c>
      <c r="X346" s="185">
        <v>1.4</v>
      </c>
      <c r="Y346" s="204">
        <v>7</v>
      </c>
      <c r="Z346" s="135">
        <v>4.46</v>
      </c>
      <c r="AA346" s="135">
        <v>4.75</v>
      </c>
      <c r="AB346" s="135">
        <v>3.79</v>
      </c>
      <c r="AC346" s="135">
        <v>0.67700000000000005</v>
      </c>
      <c r="AD346" s="135">
        <v>4.51</v>
      </c>
      <c r="AE346" s="135">
        <v>5.88</v>
      </c>
      <c r="AF346" s="135">
        <f t="shared" si="96"/>
        <v>4.75</v>
      </c>
      <c r="AG346" s="136">
        <v>4.6900000000000004</v>
      </c>
      <c r="AH346" s="185">
        <v>3.6300000000000001E-9</v>
      </c>
      <c r="AI346" s="185"/>
      <c r="AJ346" s="136">
        <f t="shared" si="98"/>
        <v>-6.8286597012765391</v>
      </c>
      <c r="AK346" s="136"/>
      <c r="AL346" s="136">
        <f t="shared" si="97"/>
        <v>-6.8286597012765391</v>
      </c>
      <c r="AM346" s="136">
        <v>-12.00319</v>
      </c>
      <c r="AN346" s="186">
        <v>-5.0999999999999996</v>
      </c>
      <c r="AO346" s="481"/>
      <c r="AP346" s="481">
        <v>-7.1</v>
      </c>
      <c r="AQ346" s="186" t="s">
        <v>6311</v>
      </c>
      <c r="AR346" s="186" t="s">
        <v>6311</v>
      </c>
      <c r="AS346" s="183"/>
      <c r="AT346" s="137" t="s">
        <v>266</v>
      </c>
      <c r="AU346" s="135">
        <v>6</v>
      </c>
      <c r="AV346" s="135">
        <v>120</v>
      </c>
      <c r="AW346" s="135">
        <v>114</v>
      </c>
      <c r="AX346" s="135">
        <v>28</v>
      </c>
      <c r="AY346" s="135" t="s">
        <v>8728</v>
      </c>
      <c r="AZ346" s="135" t="s">
        <v>1563</v>
      </c>
      <c r="BA346" s="135">
        <v>32</v>
      </c>
      <c r="BB346" s="138" t="s">
        <v>2485</v>
      </c>
      <c r="BC346" s="458" t="s">
        <v>8726</v>
      </c>
      <c r="BD346" s="138" t="s">
        <v>8374</v>
      </c>
      <c r="BE346" s="135" t="s">
        <v>2449</v>
      </c>
      <c r="BF346" s="135" t="s">
        <v>272</v>
      </c>
      <c r="BG346" s="135" t="s">
        <v>272</v>
      </c>
      <c r="BH346" s="135" t="s">
        <v>2486</v>
      </c>
      <c r="BI346" s="185">
        <v>2.5690880000000002E-3</v>
      </c>
      <c r="BJ346" s="185">
        <v>25.69088</v>
      </c>
      <c r="BK346" s="135"/>
      <c r="BL346" s="485">
        <v>2.0364465069778408</v>
      </c>
      <c r="BM346" s="138" t="s">
        <v>2487</v>
      </c>
      <c r="BN346" s="135"/>
      <c r="BO346" s="135"/>
      <c r="BP346" s="135"/>
      <c r="BQ346" s="135"/>
      <c r="BR346" s="138" t="e">
        <v>#VALUE!</v>
      </c>
      <c r="BS346" s="135"/>
      <c r="BT346" s="135"/>
      <c r="BU346" s="135"/>
      <c r="BV346" s="135"/>
      <c r="BW346" s="135"/>
      <c r="BX346" s="135"/>
      <c r="BY346" s="135"/>
      <c r="BZ346" s="135"/>
      <c r="CA346" s="135"/>
      <c r="CB346" s="135"/>
      <c r="CC346" s="135"/>
      <c r="CD346" s="135"/>
      <c r="CE346" s="135"/>
      <c r="CF346" s="135"/>
      <c r="CG346" s="135"/>
      <c r="CH346" s="135"/>
      <c r="CI346" s="185"/>
      <c r="CJ346" s="187"/>
      <c r="CK346" s="136">
        <f t="shared" si="89"/>
        <v>7.9267292789419463E-2</v>
      </c>
      <c r="CL346" s="188"/>
      <c r="CM346" s="188">
        <v>-0.33724216831842646</v>
      </c>
      <c r="CN346" s="188">
        <f>BJ346/(10^CM346)</f>
        <v>55.849739130434848</v>
      </c>
      <c r="CO346" s="138" t="s">
        <v>2488</v>
      </c>
      <c r="CP346" s="189" t="s">
        <v>2489</v>
      </c>
      <c r="CQ346" s="183">
        <v>-0.33257215519135425</v>
      </c>
      <c r="CR346" s="191">
        <f t="shared" si="99"/>
        <v>2.1506619680967014</v>
      </c>
      <c r="CS346" s="135" t="s">
        <v>539</v>
      </c>
      <c r="CT346" s="135"/>
      <c r="CU346" s="135"/>
      <c r="CV346" s="332">
        <f t="shared" si="90"/>
        <v>5.4494046136216431E-2</v>
      </c>
      <c r="CW346" s="329">
        <f t="shared" si="95"/>
        <v>0</v>
      </c>
      <c r="CX346" s="329"/>
      <c r="CY346" s="189" t="s">
        <v>5921</v>
      </c>
    </row>
    <row r="347" spans="1:103" ht="11.25" customHeight="1" x14ac:dyDescent="0.2">
      <c r="A347" s="72">
        <v>638</v>
      </c>
      <c r="B347" s="183">
        <v>1852</v>
      </c>
      <c r="C347" s="133" t="s">
        <v>4014</v>
      </c>
      <c r="D347" s="133" t="s">
        <v>6889</v>
      </c>
      <c r="E347" s="134"/>
      <c r="F347" s="134" t="s">
        <v>4015</v>
      </c>
      <c r="G347" s="184">
        <v>10453868</v>
      </c>
      <c r="H347" s="138" t="s">
        <v>4016</v>
      </c>
      <c r="I347" s="138" t="s">
        <v>4016</v>
      </c>
      <c r="J347" s="138" t="s">
        <v>4017</v>
      </c>
      <c r="K347" s="138" t="s">
        <v>4018</v>
      </c>
      <c r="L347" s="138" t="s">
        <v>617</v>
      </c>
      <c r="M347" s="138" t="s">
        <v>1086</v>
      </c>
      <c r="N347" s="138" t="s">
        <v>6376</v>
      </c>
      <c r="O347" s="138" t="s">
        <v>918</v>
      </c>
      <c r="P347" s="138" t="s">
        <v>6178</v>
      </c>
      <c r="Q347" s="138" t="s">
        <v>6173</v>
      </c>
      <c r="R347" s="138" t="s">
        <v>6181</v>
      </c>
      <c r="S347" s="138" t="s">
        <v>6176</v>
      </c>
      <c r="T347" s="135">
        <v>338.44</v>
      </c>
      <c r="U347" s="185">
        <v>0.3</v>
      </c>
      <c r="V347" s="185">
        <v>4.1500000000000002E-2</v>
      </c>
      <c r="W347" s="185">
        <v>0.83077168542444046</v>
      </c>
      <c r="X347" s="185">
        <v>0.3</v>
      </c>
      <c r="Y347" s="204">
        <v>7</v>
      </c>
      <c r="Z347" s="135">
        <v>7.11</v>
      </c>
      <c r="AA347" s="135">
        <v>6.14</v>
      </c>
      <c r="AB347" s="135">
        <v>6.42</v>
      </c>
      <c r="AC347" s="135">
        <v>0.85070000000000001</v>
      </c>
      <c r="AD347" s="135">
        <v>6.47</v>
      </c>
      <c r="AE347" s="135">
        <v>6.63</v>
      </c>
      <c r="AF347" s="135">
        <f t="shared" si="96"/>
        <v>6.14</v>
      </c>
      <c r="AG347" s="136">
        <v>5.17</v>
      </c>
      <c r="AH347" s="185">
        <v>5.5600000000000001E-6</v>
      </c>
      <c r="AI347" s="185">
        <v>1.3300000000000001E-7</v>
      </c>
      <c r="AJ347" s="136">
        <f t="shared" si="98"/>
        <v>-3.6434915347305945</v>
      </c>
      <c r="AK347" s="136">
        <f>LOG10(AI347*1000/(0.08206*298.15))</f>
        <v>-5.2647146853455657</v>
      </c>
      <c r="AL347" s="136">
        <f t="shared" si="97"/>
        <v>-5.2647146853455657</v>
      </c>
      <c r="AM347" s="136">
        <v>-9.6268199999999986</v>
      </c>
      <c r="AN347" s="186">
        <v>-4.79</v>
      </c>
      <c r="AO347" s="481"/>
      <c r="AP347" s="481"/>
      <c r="AQ347" s="186" t="s">
        <v>6311</v>
      </c>
      <c r="AR347" s="186" t="s">
        <v>6312</v>
      </c>
      <c r="AS347" s="183"/>
      <c r="AT347" s="137" t="s">
        <v>266</v>
      </c>
      <c r="AU347" s="135">
        <v>6</v>
      </c>
      <c r="AV347" s="135">
        <v>120</v>
      </c>
      <c r="AW347" s="135">
        <v>114</v>
      </c>
      <c r="AX347" s="135">
        <v>28</v>
      </c>
      <c r="AY347" s="135" t="s">
        <v>8728</v>
      </c>
      <c r="AZ347" s="135" t="s">
        <v>1563</v>
      </c>
      <c r="BA347" s="135">
        <v>32</v>
      </c>
      <c r="BB347" s="138" t="s">
        <v>2485</v>
      </c>
      <c r="BC347" s="458" t="s">
        <v>8726</v>
      </c>
      <c r="BD347" s="138" t="s">
        <v>8374</v>
      </c>
      <c r="BE347" s="135" t="s">
        <v>2449</v>
      </c>
      <c r="BF347" s="135" t="s">
        <v>272</v>
      </c>
      <c r="BG347" s="135" t="s">
        <v>272</v>
      </c>
      <c r="BH347" s="135" t="s">
        <v>2486</v>
      </c>
      <c r="BI347" s="185">
        <v>2.1660159999999998E-3</v>
      </c>
      <c r="BJ347" s="185">
        <v>21.660160000000001</v>
      </c>
      <c r="BK347" s="135"/>
      <c r="BL347" s="485">
        <v>7.1579833916065915E-3</v>
      </c>
      <c r="BM347" s="138" t="s">
        <v>2487</v>
      </c>
      <c r="BN347" s="135"/>
      <c r="BO347" s="135"/>
      <c r="BP347" s="135"/>
      <c r="BQ347" s="135"/>
      <c r="BR347" s="138" t="e">
        <v>#VALUE!</v>
      </c>
      <c r="BS347" s="135"/>
      <c r="BT347" s="135"/>
      <c r="BU347" s="135"/>
      <c r="BV347" s="135"/>
      <c r="BW347" s="135"/>
      <c r="BX347" s="135"/>
      <c r="BY347" s="135"/>
      <c r="BZ347" s="135"/>
      <c r="CA347" s="135"/>
      <c r="CB347" s="135"/>
      <c r="CC347" s="135"/>
      <c r="CD347" s="135"/>
      <c r="CE347" s="135"/>
      <c r="CF347" s="135"/>
      <c r="CG347" s="135"/>
      <c r="CH347" s="135"/>
      <c r="CI347" s="185"/>
      <c r="CJ347" s="187"/>
      <c r="CK347" s="136">
        <f t="shared" si="89"/>
        <v>3.3046770622223432E-4</v>
      </c>
      <c r="CL347" s="188"/>
      <c r="CM347" s="188"/>
      <c r="CN347" s="188"/>
      <c r="CO347" s="138" t="s">
        <v>2488</v>
      </c>
      <c r="CP347" s="189" t="s">
        <v>2489</v>
      </c>
      <c r="CQ347" s="183">
        <v>-2.6286079694666098</v>
      </c>
      <c r="CR347" s="191">
        <f t="shared" si="99"/>
        <v>425.21440574423031</v>
      </c>
      <c r="CS347" s="135" t="s">
        <v>539</v>
      </c>
      <c r="CT347" s="135"/>
      <c r="CU347" s="135"/>
      <c r="CV347" s="332">
        <f t="shared" si="90"/>
        <v>1.38503132017492E-2</v>
      </c>
      <c r="CW347" s="329">
        <f t="shared" si="95"/>
        <v>0</v>
      </c>
      <c r="CX347" s="329"/>
      <c r="CY347" s="189" t="s">
        <v>5921</v>
      </c>
    </row>
    <row r="348" spans="1:103" ht="11.25" customHeight="1" x14ac:dyDescent="0.2">
      <c r="A348" s="72">
        <v>639</v>
      </c>
      <c r="B348" s="183">
        <v>1460</v>
      </c>
      <c r="C348" s="133" t="s">
        <v>6890</v>
      </c>
      <c r="D348" s="133"/>
      <c r="E348" s="134"/>
      <c r="F348" s="134" t="s">
        <v>4490</v>
      </c>
      <c r="G348" s="184">
        <v>68392358</v>
      </c>
      <c r="H348" s="138" t="s">
        <v>4491</v>
      </c>
      <c r="I348" s="138" t="s">
        <v>7840</v>
      </c>
      <c r="J348" s="138" t="s">
        <v>4492</v>
      </c>
      <c r="K348" s="138" t="s">
        <v>2775</v>
      </c>
      <c r="L348" s="138"/>
      <c r="M348" s="138"/>
      <c r="N348" s="138"/>
      <c r="O348" s="138"/>
      <c r="P348" s="138"/>
      <c r="Q348" s="138"/>
      <c r="R348" s="138"/>
      <c r="S348" s="138"/>
      <c r="T348" s="135">
        <v>387.51</v>
      </c>
      <c r="U348" s="185"/>
      <c r="V348" s="185">
        <v>1.51</v>
      </c>
      <c r="W348" s="185">
        <v>5.7316929149906102</v>
      </c>
      <c r="X348" s="185">
        <v>5.7316929149906102</v>
      </c>
      <c r="Y348" s="204">
        <v>8.7899999999999991</v>
      </c>
      <c r="Z348" s="135">
        <v>5.82</v>
      </c>
      <c r="AA348" s="135"/>
      <c r="AB348" s="135">
        <v>5.26</v>
      </c>
      <c r="AC348" s="135">
        <v>0.39319999999999999</v>
      </c>
      <c r="AD348" s="135">
        <v>6.44</v>
      </c>
      <c r="AE348" s="135">
        <v>7.35</v>
      </c>
      <c r="AF348" s="135">
        <f t="shared" si="96"/>
        <v>6.44</v>
      </c>
      <c r="AG348" s="136">
        <v>5.81</v>
      </c>
      <c r="AH348" s="185">
        <v>4.6699999999999999E-14</v>
      </c>
      <c r="AI348" s="185"/>
      <c r="AJ348" s="136">
        <f t="shared" si="98"/>
        <v>-11.71924944574654</v>
      </c>
      <c r="AK348" s="136"/>
      <c r="AL348" s="136">
        <f t="shared" si="97"/>
        <v>-11.71924944574654</v>
      </c>
      <c r="AM348" s="136">
        <v>-18.000309999999999</v>
      </c>
      <c r="AN348" s="186">
        <v>-13</v>
      </c>
      <c r="AO348" s="481">
        <v>10.35</v>
      </c>
      <c r="AP348" s="481">
        <v>8.6999999999999993</v>
      </c>
      <c r="AQ348" s="135" t="s">
        <v>6311</v>
      </c>
      <c r="AR348" s="135" t="s">
        <v>6311</v>
      </c>
      <c r="AS348" s="190"/>
      <c r="AT348" s="137" t="s">
        <v>266</v>
      </c>
      <c r="AU348" s="135">
        <v>6</v>
      </c>
      <c r="AV348" s="135">
        <v>120</v>
      </c>
      <c r="AW348" s="135">
        <v>114</v>
      </c>
      <c r="AX348" s="135">
        <v>28</v>
      </c>
      <c r="AY348" s="135" t="s">
        <v>8728</v>
      </c>
      <c r="AZ348" s="135" t="s">
        <v>1563</v>
      </c>
      <c r="BA348" s="135">
        <v>32</v>
      </c>
      <c r="BB348" s="138" t="s">
        <v>2485</v>
      </c>
      <c r="BC348" s="458" t="s">
        <v>8726</v>
      </c>
      <c r="BD348" s="138" t="s">
        <v>8374</v>
      </c>
      <c r="BE348" s="135" t="s">
        <v>2449</v>
      </c>
      <c r="BF348" s="135" t="s">
        <v>272</v>
      </c>
      <c r="BG348" s="135" t="s">
        <v>272</v>
      </c>
      <c r="BH348" s="135" t="s">
        <v>2486</v>
      </c>
      <c r="BI348" s="185">
        <v>2.4800639999999997E-3</v>
      </c>
      <c r="BJ348" s="185">
        <v>24.800640000000001</v>
      </c>
      <c r="BK348" s="135"/>
      <c r="BL348" s="485">
        <v>0.11807036730747204</v>
      </c>
      <c r="BM348" s="138" t="s">
        <v>2487</v>
      </c>
      <c r="BN348" s="135"/>
      <c r="BO348" s="135"/>
      <c r="BP348" s="135"/>
      <c r="BQ348" s="135"/>
      <c r="BR348" s="138" t="e">
        <v>#VALUE!</v>
      </c>
      <c r="BS348" s="135"/>
      <c r="BT348" s="135"/>
      <c r="BU348" s="135"/>
      <c r="BV348" s="135"/>
      <c r="BW348" s="135"/>
      <c r="BX348" s="135"/>
      <c r="BY348" s="135"/>
      <c r="BZ348" s="135"/>
      <c r="CA348" s="135"/>
      <c r="CB348" s="135"/>
      <c r="CC348" s="135"/>
      <c r="CD348" s="135"/>
      <c r="CE348" s="135"/>
      <c r="CF348" s="135"/>
      <c r="CG348" s="135"/>
      <c r="CH348" s="135"/>
      <c r="CI348" s="185"/>
      <c r="CJ348" s="187"/>
      <c r="CK348" s="136">
        <f t="shared" si="89"/>
        <v>4.7607790487451951E-3</v>
      </c>
      <c r="CL348" s="188"/>
      <c r="CM348" s="188"/>
      <c r="CN348" s="188"/>
      <c r="CO348" s="138" t="s">
        <v>2488</v>
      </c>
      <c r="CP348" s="189" t="s">
        <v>2489</v>
      </c>
      <c r="CQ348" s="191" t="s">
        <v>272</v>
      </c>
      <c r="CR348" s="191"/>
      <c r="CS348" s="135" t="s">
        <v>539</v>
      </c>
      <c r="CT348" s="135"/>
      <c r="CU348" s="135"/>
      <c r="CV348" s="332">
        <f t="shared" si="90"/>
        <v>0.23111068565128198</v>
      </c>
      <c r="CW348" s="329">
        <f t="shared" si="95"/>
        <v>0</v>
      </c>
      <c r="CX348" s="329"/>
      <c r="CY348" s="189" t="s">
        <v>5921</v>
      </c>
    </row>
    <row r="349" spans="1:103" ht="11.25" customHeight="1" x14ac:dyDescent="0.2">
      <c r="A349" s="72">
        <v>640</v>
      </c>
      <c r="B349" s="183">
        <v>1359</v>
      </c>
      <c r="C349" s="133" t="s">
        <v>6891</v>
      </c>
      <c r="D349" s="133"/>
      <c r="E349" s="134"/>
      <c r="F349" s="134" t="s">
        <v>4201</v>
      </c>
      <c r="G349" s="184">
        <v>68515491</v>
      </c>
      <c r="H349" s="138" t="s">
        <v>4202</v>
      </c>
      <c r="I349" s="138" t="s">
        <v>4202</v>
      </c>
      <c r="J349" s="138"/>
      <c r="K349" s="138" t="s">
        <v>357</v>
      </c>
      <c r="L349" s="138"/>
      <c r="M349" s="138"/>
      <c r="N349" s="138"/>
      <c r="O349" s="138"/>
      <c r="P349" s="138"/>
      <c r="Q349" s="138"/>
      <c r="R349" s="138"/>
      <c r="S349" s="138"/>
      <c r="T349" s="135">
        <v>446.68</v>
      </c>
      <c r="U349" s="185"/>
      <c r="V349" s="185">
        <v>2.5950000000000001E-6</v>
      </c>
      <c r="W349" s="185">
        <v>1.3489520344691738E-2</v>
      </c>
      <c r="X349" s="185">
        <v>1.3489520344691738E-2</v>
      </c>
      <c r="Y349" s="204">
        <v>7</v>
      </c>
      <c r="Z349" s="135">
        <v>10.28</v>
      </c>
      <c r="AA349" s="135"/>
      <c r="AB349" s="135">
        <v>8.6</v>
      </c>
      <c r="AC349" s="135">
        <v>0.60709999999999997</v>
      </c>
      <c r="AD349" s="135">
        <v>9.4700000000000006</v>
      </c>
      <c r="AE349" s="135">
        <v>10.47</v>
      </c>
      <c r="AF349" s="135">
        <f t="shared" si="96"/>
        <v>9.4700000000000006</v>
      </c>
      <c r="AG349" s="136">
        <v>9.4700000000000006</v>
      </c>
      <c r="AH349" s="185">
        <v>3.6699999999999998E-5</v>
      </c>
      <c r="AI349" s="185"/>
      <c r="AJ349" s="136">
        <f t="shared" si="98"/>
        <v>-2.8239002620605627</v>
      </c>
      <c r="AK349" s="136"/>
      <c r="AL349" s="136">
        <f t="shared" si="97"/>
        <v>-2.8239002620605627</v>
      </c>
      <c r="AM349" s="136">
        <v>-10.28965</v>
      </c>
      <c r="AN349" s="186"/>
      <c r="AO349" s="481"/>
      <c r="AP349" s="481"/>
      <c r="AQ349" s="135" t="s">
        <v>6311</v>
      </c>
      <c r="AR349" s="135" t="s">
        <v>6312</v>
      </c>
      <c r="AS349" s="190"/>
      <c r="AT349" s="137" t="s">
        <v>266</v>
      </c>
      <c r="AU349" s="135">
        <v>6</v>
      </c>
      <c r="AV349" s="135">
        <v>120</v>
      </c>
      <c r="AW349" s="135">
        <v>114</v>
      </c>
      <c r="AX349" s="135">
        <v>28</v>
      </c>
      <c r="AY349" s="135" t="s">
        <v>8728</v>
      </c>
      <c r="AZ349" s="135" t="s">
        <v>1563</v>
      </c>
      <c r="BA349" s="135">
        <v>32</v>
      </c>
      <c r="BB349" s="138" t="s">
        <v>2485</v>
      </c>
      <c r="BC349" s="458" t="s">
        <v>8726</v>
      </c>
      <c r="BD349" s="138" t="s">
        <v>8374</v>
      </c>
      <c r="BE349" s="135" t="s">
        <v>2449</v>
      </c>
      <c r="BF349" s="135" t="s">
        <v>272</v>
      </c>
      <c r="BG349" s="135" t="s">
        <v>272</v>
      </c>
      <c r="BH349" s="135" t="s">
        <v>2486</v>
      </c>
      <c r="BI349" s="185">
        <v>2.858752E-3</v>
      </c>
      <c r="BJ349" s="185">
        <v>28.587520000000001</v>
      </c>
      <c r="BK349" s="135"/>
      <c r="BL349" s="485">
        <v>1.3437810348070281E-5</v>
      </c>
      <c r="BM349" s="138" t="s">
        <v>2487</v>
      </c>
      <c r="BN349" s="135"/>
      <c r="BO349" s="135"/>
      <c r="BP349" s="135"/>
      <c r="BQ349" s="135"/>
      <c r="BR349" s="138" t="e">
        <v>#VALUE!</v>
      </c>
      <c r="BS349" s="135"/>
      <c r="BT349" s="135"/>
      <c r="BU349" s="135"/>
      <c r="BV349" s="135"/>
      <c r="BW349" s="135"/>
      <c r="BX349" s="135"/>
      <c r="BY349" s="135"/>
      <c r="BZ349" s="135"/>
      <c r="CA349" s="135"/>
      <c r="CB349" s="135"/>
      <c r="CC349" s="135"/>
      <c r="CD349" s="135"/>
      <c r="CE349" s="135"/>
      <c r="CF349" s="135"/>
      <c r="CG349" s="135"/>
      <c r="CH349" s="135"/>
      <c r="CI349" s="185"/>
      <c r="CJ349" s="187"/>
      <c r="CK349" s="136">
        <f t="shared" si="89"/>
        <v>4.7005862516476702E-7</v>
      </c>
      <c r="CL349" s="188"/>
      <c r="CM349" s="188"/>
      <c r="CN349" s="188"/>
      <c r="CO349" s="138" t="s">
        <v>2488</v>
      </c>
      <c r="CP349" s="189" t="s">
        <v>2489</v>
      </c>
      <c r="CQ349" s="191" t="s">
        <v>272</v>
      </c>
      <c r="CR349" s="191"/>
      <c r="CS349" s="135" t="s">
        <v>539</v>
      </c>
      <c r="CT349" s="135"/>
      <c r="CU349" s="135"/>
      <c r="CV349" s="332">
        <f t="shared" si="90"/>
        <v>4.7186745631281544E-4</v>
      </c>
      <c r="CW349" s="329">
        <f t="shared" si="95"/>
        <v>0</v>
      </c>
      <c r="CX349" s="329"/>
      <c r="CY349" s="189" t="s">
        <v>6351</v>
      </c>
    </row>
    <row r="350" spans="1:103" ht="11.25" customHeight="1" x14ac:dyDescent="0.2">
      <c r="A350" s="72">
        <v>642</v>
      </c>
      <c r="B350" s="183">
        <v>1667</v>
      </c>
      <c r="C350" s="133" t="s">
        <v>1197</v>
      </c>
      <c r="D350" s="133"/>
      <c r="E350" s="134"/>
      <c r="F350" s="134" t="s">
        <v>1198</v>
      </c>
      <c r="G350" s="184">
        <v>79241466</v>
      </c>
      <c r="H350" s="138" t="s">
        <v>1195</v>
      </c>
      <c r="I350" s="138" t="s">
        <v>1195</v>
      </c>
      <c r="J350" s="138" t="s">
        <v>1196</v>
      </c>
      <c r="K350" s="138" t="s">
        <v>357</v>
      </c>
      <c r="L350" s="138" t="s">
        <v>5982</v>
      </c>
      <c r="M350" s="138" t="s">
        <v>5960</v>
      </c>
      <c r="N350" s="138"/>
      <c r="O350" s="138"/>
      <c r="P350" s="138"/>
      <c r="Q350" s="138"/>
      <c r="R350" s="138"/>
      <c r="S350" s="138"/>
      <c r="T350" s="135">
        <v>383.36</v>
      </c>
      <c r="U350" s="185">
        <v>2</v>
      </c>
      <c r="V350" s="185">
        <v>0.55679999999999996</v>
      </c>
      <c r="W350" s="185">
        <v>14.914434678500736</v>
      </c>
      <c r="X350" s="185">
        <v>2</v>
      </c>
      <c r="Y350" s="204">
        <v>7</v>
      </c>
      <c r="Z350" s="135">
        <v>5.34</v>
      </c>
      <c r="AA350" s="135">
        <v>4.5</v>
      </c>
      <c r="AB350" s="135">
        <v>4.26</v>
      </c>
      <c r="AC350" s="135">
        <v>0.8861</v>
      </c>
      <c r="AD350" s="135">
        <v>4.1399999999999997</v>
      </c>
      <c r="AE350" s="135">
        <v>3.64</v>
      </c>
      <c r="AF350" s="135">
        <f t="shared" si="96"/>
        <v>4.5</v>
      </c>
      <c r="AG350" s="136">
        <v>4.46</v>
      </c>
      <c r="AH350" s="185">
        <v>3.7900000000000002E-8</v>
      </c>
      <c r="AI350" s="185">
        <v>2.0800000000000001E-7</v>
      </c>
      <c r="AJ350" s="136">
        <f t="shared" si="98"/>
        <v>-5.8099271163445794</v>
      </c>
      <c r="AK350" s="136">
        <f>LOG10(AI350*1000/(0.08206*298.15))</f>
        <v>-5.0705029913498905</v>
      </c>
      <c r="AL350" s="136">
        <f t="shared" si="97"/>
        <v>-5.0705029913498905</v>
      </c>
      <c r="AM350" s="136">
        <v>-12.061889999999998</v>
      </c>
      <c r="AN350" s="186">
        <v>-5.76</v>
      </c>
      <c r="AO350" s="481"/>
      <c r="AP350" s="481">
        <v>0.78</v>
      </c>
      <c r="AQ350" s="186" t="s">
        <v>6311</v>
      </c>
      <c r="AR350" s="186" t="s">
        <v>6312</v>
      </c>
      <c r="AS350" s="183"/>
      <c r="AT350" s="137" t="s">
        <v>266</v>
      </c>
      <c r="AU350" s="135">
        <v>6</v>
      </c>
      <c r="AV350" s="135">
        <v>120</v>
      </c>
      <c r="AW350" s="135">
        <v>114</v>
      </c>
      <c r="AX350" s="135">
        <v>28</v>
      </c>
      <c r="AY350" s="135" t="s">
        <v>8728</v>
      </c>
      <c r="AZ350" s="135" t="s">
        <v>1563</v>
      </c>
      <c r="BA350" s="135">
        <v>32</v>
      </c>
      <c r="BB350" s="138" t="s">
        <v>2485</v>
      </c>
      <c r="BC350" s="458" t="s">
        <v>8726</v>
      </c>
      <c r="BD350" s="138" t="s">
        <v>8374</v>
      </c>
      <c r="BE350" s="135" t="s">
        <v>2449</v>
      </c>
      <c r="BF350" s="135" t="s">
        <v>272</v>
      </c>
      <c r="BG350" s="135" t="s">
        <v>272</v>
      </c>
      <c r="BH350" s="135" t="s">
        <v>2486</v>
      </c>
      <c r="BI350" s="185">
        <v>2.453504E-3</v>
      </c>
      <c r="BJ350" s="185">
        <v>24.535040000000002</v>
      </c>
      <c r="BK350" s="135"/>
      <c r="BL350" s="485">
        <v>0.31517575102200357</v>
      </c>
      <c r="BM350" s="138" t="s">
        <v>2487</v>
      </c>
      <c r="BN350" s="135"/>
      <c r="BO350" s="135"/>
      <c r="BP350" s="135"/>
      <c r="BQ350" s="135"/>
      <c r="BR350" s="138" t="e">
        <v>#VALUE!</v>
      </c>
      <c r="BS350" s="135"/>
      <c r="BT350" s="135"/>
      <c r="BU350" s="135"/>
      <c r="BV350" s="135"/>
      <c r="BW350" s="135"/>
      <c r="BX350" s="135"/>
      <c r="BY350" s="135"/>
      <c r="BZ350" s="135"/>
      <c r="CA350" s="135"/>
      <c r="CB350" s="135"/>
      <c r="CC350" s="135"/>
      <c r="CD350" s="135"/>
      <c r="CE350" s="135"/>
      <c r="CF350" s="135"/>
      <c r="CG350" s="135"/>
      <c r="CH350" s="135"/>
      <c r="CI350" s="185"/>
      <c r="CJ350" s="187"/>
      <c r="CK350" s="136">
        <f t="shared" si="89"/>
        <v>1.2845944046637118E-2</v>
      </c>
      <c r="CL350" s="188"/>
      <c r="CM350" s="188"/>
      <c r="CN350" s="188"/>
      <c r="CO350" s="138" t="s">
        <v>2488</v>
      </c>
      <c r="CP350" s="189" t="s">
        <v>2489</v>
      </c>
      <c r="CQ350" s="191" t="s">
        <v>272</v>
      </c>
      <c r="CR350" s="191"/>
      <c r="CS350" s="135" t="s">
        <v>539</v>
      </c>
      <c r="CT350" s="135"/>
      <c r="CU350" s="135"/>
      <c r="CV350" s="332">
        <f t="shared" si="90"/>
        <v>8.151606844741234E-2</v>
      </c>
      <c r="CW350" s="329">
        <f t="shared" si="95"/>
        <v>0</v>
      </c>
      <c r="CX350" s="329"/>
      <c r="CY350" s="189" t="s">
        <v>5921</v>
      </c>
    </row>
    <row r="351" spans="1:103" ht="11.25" customHeight="1" x14ac:dyDescent="0.2">
      <c r="A351" s="72">
        <v>643</v>
      </c>
      <c r="B351" s="183">
        <v>1264</v>
      </c>
      <c r="C351" s="133" t="s">
        <v>3469</v>
      </c>
      <c r="D351" s="133" t="s">
        <v>6892</v>
      </c>
      <c r="E351" s="134"/>
      <c r="F351" s="134" t="s">
        <v>3470</v>
      </c>
      <c r="G351" s="184">
        <v>124495187</v>
      </c>
      <c r="H351" s="138" t="s">
        <v>3471</v>
      </c>
      <c r="I351" s="138" t="s">
        <v>7957</v>
      </c>
      <c r="J351" s="138" t="s">
        <v>3472</v>
      </c>
      <c r="K351" s="138" t="s">
        <v>426</v>
      </c>
      <c r="L351" s="138"/>
      <c r="M351" s="138" t="s">
        <v>2342</v>
      </c>
      <c r="N351" s="138" t="s">
        <v>2342</v>
      </c>
      <c r="O351" s="138"/>
      <c r="P351" s="138"/>
      <c r="Q351" s="138"/>
      <c r="R351" s="138"/>
      <c r="S351" s="138"/>
      <c r="T351" s="135">
        <v>308.13</v>
      </c>
      <c r="U351" s="185">
        <v>0.11600000000000002</v>
      </c>
      <c r="V351" s="185">
        <v>1.153</v>
      </c>
      <c r="W351" s="185">
        <v>7.0588504984733347E-2</v>
      </c>
      <c r="X351" s="185">
        <v>0.11600000000000002</v>
      </c>
      <c r="Y351" s="204">
        <v>7</v>
      </c>
      <c r="Z351" s="135">
        <v>5.69</v>
      </c>
      <c r="AA351" s="135">
        <v>4.66</v>
      </c>
      <c r="AB351" s="135">
        <v>5.38</v>
      </c>
      <c r="AC351" s="135">
        <v>0.81930000000000003</v>
      </c>
      <c r="AD351" s="135">
        <v>5.62</v>
      </c>
      <c r="AE351" s="135">
        <v>6.29</v>
      </c>
      <c r="AF351" s="135">
        <f t="shared" si="96"/>
        <v>4.66</v>
      </c>
      <c r="AG351" s="136">
        <v>5.01</v>
      </c>
      <c r="AH351" s="185">
        <v>9.6500000000000004E-9</v>
      </c>
      <c r="AI351" s="185"/>
      <c r="AJ351" s="136">
        <f t="shared" si="98"/>
        <v>-6.4040390129688589</v>
      </c>
      <c r="AK351" s="136"/>
      <c r="AL351" s="136">
        <f t="shared" si="97"/>
        <v>-6.4040390129688589</v>
      </c>
      <c r="AM351" s="136">
        <v>-10.664239999999999</v>
      </c>
      <c r="AN351" s="186">
        <v>-5.88</v>
      </c>
      <c r="AO351" s="481"/>
      <c r="AP351" s="481">
        <v>2.87</v>
      </c>
      <c r="AQ351" s="135" t="s">
        <v>6311</v>
      </c>
      <c r="AR351" s="135" t="s">
        <v>6311</v>
      </c>
      <c r="AS351" s="190"/>
      <c r="AT351" s="137" t="s">
        <v>266</v>
      </c>
      <c r="AU351" s="135">
        <v>6</v>
      </c>
      <c r="AV351" s="135">
        <v>120</v>
      </c>
      <c r="AW351" s="135">
        <v>114</v>
      </c>
      <c r="AX351" s="135">
        <v>28</v>
      </c>
      <c r="AY351" s="135" t="s">
        <v>8728</v>
      </c>
      <c r="AZ351" s="135" t="s">
        <v>1563</v>
      </c>
      <c r="BA351" s="135">
        <v>32</v>
      </c>
      <c r="BB351" s="138" t="s">
        <v>2485</v>
      </c>
      <c r="BC351" s="458" t="s">
        <v>8726</v>
      </c>
      <c r="BD351" s="138" t="s">
        <v>8374</v>
      </c>
      <c r="BE351" s="135" t="s">
        <v>2449</v>
      </c>
      <c r="BF351" s="135" t="s">
        <v>272</v>
      </c>
      <c r="BG351" s="135" t="s">
        <v>272</v>
      </c>
      <c r="BH351" s="135" t="s">
        <v>2486</v>
      </c>
      <c r="BI351" s="185">
        <v>1.9720319999999999E-3</v>
      </c>
      <c r="BJ351" s="185">
        <v>19.720320000000001</v>
      </c>
      <c r="BK351" s="135"/>
      <c r="BL351" s="485">
        <v>0.12284146408554437</v>
      </c>
      <c r="BM351" s="138" t="s">
        <v>2487</v>
      </c>
      <c r="BN351" s="135"/>
      <c r="BO351" s="135"/>
      <c r="BP351" s="135"/>
      <c r="BQ351" s="135"/>
      <c r="BR351" s="138" t="e">
        <v>#VALUE!</v>
      </c>
      <c r="BS351" s="135"/>
      <c r="BT351" s="135"/>
      <c r="BU351" s="135">
        <v>19.720320000000001</v>
      </c>
      <c r="BV351" s="135"/>
      <c r="BW351" s="135"/>
      <c r="BX351" s="135"/>
      <c r="BY351" s="135"/>
      <c r="BZ351" s="135"/>
      <c r="CA351" s="135"/>
      <c r="CB351" s="135"/>
      <c r="CC351" s="135"/>
      <c r="CD351" s="135"/>
      <c r="CE351" s="135"/>
      <c r="CF351" s="135"/>
      <c r="CG351" s="135"/>
      <c r="CH351" s="135"/>
      <c r="CI351" s="185"/>
      <c r="CJ351" s="187"/>
      <c r="CK351" s="136">
        <f t="shared" si="89"/>
        <v>6.2291820865758955E-3</v>
      </c>
      <c r="CL351" s="188"/>
      <c r="CM351" s="188"/>
      <c r="CN351" s="188"/>
      <c r="CO351" s="138" t="s">
        <v>2488</v>
      </c>
      <c r="CP351" s="189" t="s">
        <v>2489</v>
      </c>
      <c r="CQ351" s="183">
        <v>-0.56863623584101264</v>
      </c>
      <c r="CR351" s="191">
        <f>10^(CJ351-CQ351)</f>
        <v>3.7037037037037033</v>
      </c>
      <c r="CS351" s="135" t="s">
        <v>539</v>
      </c>
      <c r="CT351" s="135"/>
      <c r="CU351" s="135"/>
      <c r="CV351" s="332">
        <f t="shared" si="90"/>
        <v>5.8822574887222936E-3</v>
      </c>
      <c r="CW351" s="329">
        <f t="shared" si="95"/>
        <v>0</v>
      </c>
      <c r="CX351" s="329"/>
      <c r="CY351" s="189" t="s">
        <v>5921</v>
      </c>
    </row>
    <row r="352" spans="1:103" ht="11.25" customHeight="1" x14ac:dyDescent="0.2">
      <c r="A352" s="72">
        <v>645</v>
      </c>
      <c r="B352" s="183">
        <v>1121</v>
      </c>
      <c r="C352" s="133" t="s">
        <v>2461</v>
      </c>
      <c r="D352" s="133" t="s">
        <v>6563</v>
      </c>
      <c r="E352" s="134"/>
      <c r="F352" s="134" t="s">
        <v>3131</v>
      </c>
      <c r="G352" s="184">
        <v>66230044</v>
      </c>
      <c r="H352" s="138" t="s">
        <v>2462</v>
      </c>
      <c r="I352" s="138" t="s">
        <v>7958</v>
      </c>
      <c r="J352" s="138" t="s">
        <v>2463</v>
      </c>
      <c r="K352" s="138" t="s">
        <v>1711</v>
      </c>
      <c r="L352" s="138" t="s">
        <v>617</v>
      </c>
      <c r="M352" s="138" t="s">
        <v>3846</v>
      </c>
      <c r="N352" s="138" t="s">
        <v>6376</v>
      </c>
      <c r="O352" s="138" t="s">
        <v>918</v>
      </c>
      <c r="P352" s="138"/>
      <c r="Q352" s="138" t="s">
        <v>6173</v>
      </c>
      <c r="R352" s="138" t="s">
        <v>6174</v>
      </c>
      <c r="S352" s="138" t="s">
        <v>6176</v>
      </c>
      <c r="T352" s="135">
        <v>419.9</v>
      </c>
      <c r="U352" s="185">
        <v>2E-3</v>
      </c>
      <c r="V352" s="185">
        <v>6.1000000000000004E-3</v>
      </c>
      <c r="W352" s="185">
        <v>2.589082412816358E-2</v>
      </c>
      <c r="X352" s="185">
        <v>2E-3</v>
      </c>
      <c r="Y352" s="204">
        <v>7</v>
      </c>
      <c r="Z352" s="135">
        <v>6.76</v>
      </c>
      <c r="AA352" s="135">
        <v>6.22</v>
      </c>
      <c r="AB352" s="135">
        <v>5.98</v>
      </c>
      <c r="AC352" s="135">
        <v>0.58919999999999995</v>
      </c>
      <c r="AD352" s="135">
        <v>6.28</v>
      </c>
      <c r="AE352" s="135">
        <v>6.67</v>
      </c>
      <c r="AF352" s="135">
        <f t="shared" si="96"/>
        <v>6.22</v>
      </c>
      <c r="AG352" s="136">
        <v>6.03</v>
      </c>
      <c r="AH352" s="185">
        <v>1.1899999999999999E-7</v>
      </c>
      <c r="AI352" s="185">
        <v>3.4499999999999998E-8</v>
      </c>
      <c r="AJ352" s="136">
        <f t="shared" si="98"/>
        <v>-5.3130193649201214</v>
      </c>
      <c r="AK352" s="136">
        <f>LOG10(AI352*1000/(0.08206*298.15))</f>
        <v>-5.850747231239378</v>
      </c>
      <c r="AL352" s="136">
        <f t="shared" si="97"/>
        <v>-5.850747231239378</v>
      </c>
      <c r="AM352" s="136">
        <v>-16.262410000000003</v>
      </c>
      <c r="AN352" s="186">
        <v>-6.07</v>
      </c>
      <c r="AO352" s="481"/>
      <c r="AP352" s="481"/>
      <c r="AQ352" s="135" t="s">
        <v>6311</v>
      </c>
      <c r="AR352" s="135" t="s">
        <v>6312</v>
      </c>
      <c r="AS352" s="190"/>
      <c r="AT352" s="137" t="s">
        <v>266</v>
      </c>
      <c r="AU352" s="135">
        <v>6</v>
      </c>
      <c r="AV352" s="135">
        <v>120</v>
      </c>
      <c r="AW352" s="135">
        <v>114</v>
      </c>
      <c r="AX352" s="135">
        <v>28</v>
      </c>
      <c r="AY352" s="135" t="s">
        <v>8728</v>
      </c>
      <c r="AZ352" s="135" t="s">
        <v>1563</v>
      </c>
      <c r="BA352" s="135">
        <v>32</v>
      </c>
      <c r="BB352" s="138" t="s">
        <v>2485</v>
      </c>
      <c r="BC352" s="458" t="s">
        <v>8726</v>
      </c>
      <c r="BD352" s="138" t="s">
        <v>8374</v>
      </c>
      <c r="BE352" s="135" t="s">
        <v>2449</v>
      </c>
      <c r="BF352" s="135" t="s">
        <v>272</v>
      </c>
      <c r="BG352" s="135" t="s">
        <v>272</v>
      </c>
      <c r="BH352" s="135" t="s">
        <v>2486</v>
      </c>
      <c r="BI352" s="185">
        <v>2.6873599999999997E-3</v>
      </c>
      <c r="BJ352" s="185">
        <v>26.8736</v>
      </c>
      <c r="BK352" s="135"/>
      <c r="BL352" s="485">
        <v>1.8314281053188532E-2</v>
      </c>
      <c r="BM352" s="138" t="s">
        <v>2487</v>
      </c>
      <c r="BN352" s="135"/>
      <c r="BO352" s="135"/>
      <c r="BP352" s="135"/>
      <c r="BQ352" s="135"/>
      <c r="BR352" s="138" t="e">
        <v>#VALUE!</v>
      </c>
      <c r="BS352" s="135"/>
      <c r="BT352" s="135"/>
      <c r="BU352" s="135">
        <v>2.68736</v>
      </c>
      <c r="BV352" s="135"/>
      <c r="BW352" s="135"/>
      <c r="BX352" s="135"/>
      <c r="BY352" s="135"/>
      <c r="BZ352" s="135"/>
      <c r="CA352" s="135"/>
      <c r="CB352" s="135"/>
      <c r="CC352" s="135"/>
      <c r="CD352" s="135"/>
      <c r="CE352" s="135"/>
      <c r="CF352" s="135"/>
      <c r="CG352" s="135"/>
      <c r="CH352" s="135"/>
      <c r="CI352" s="185"/>
      <c r="CJ352" s="187"/>
      <c r="CK352" s="136">
        <f t="shared" si="89"/>
        <v>6.8149712182917553E-4</v>
      </c>
      <c r="CL352" s="188"/>
      <c r="CM352" s="188"/>
      <c r="CN352" s="188"/>
      <c r="CO352" s="138" t="s">
        <v>2488</v>
      </c>
      <c r="CP352" s="189" t="s">
        <v>2489</v>
      </c>
      <c r="CQ352" s="183">
        <v>-3.5854962806114608</v>
      </c>
      <c r="CR352" s="191">
        <f>10^(CJ352-CQ352)</f>
        <v>3850.3151717426226</v>
      </c>
      <c r="CS352" s="135" t="s">
        <v>539</v>
      </c>
      <c r="CT352" s="135"/>
      <c r="CU352" s="135"/>
      <c r="CV352" s="332">
        <f t="shared" si="90"/>
        <v>7.442248154322458E-5</v>
      </c>
      <c r="CW352" s="329">
        <f t="shared" si="95"/>
        <v>0</v>
      </c>
      <c r="CX352" s="329"/>
      <c r="CY352" s="189" t="s">
        <v>5921</v>
      </c>
    </row>
    <row r="353" spans="1:103" ht="11.25" customHeight="1" x14ac:dyDescent="0.2">
      <c r="A353" s="72">
        <v>647</v>
      </c>
      <c r="B353" s="183">
        <v>1055</v>
      </c>
      <c r="C353" s="133" t="s">
        <v>1026</v>
      </c>
      <c r="D353" s="133" t="s">
        <v>6758</v>
      </c>
      <c r="E353" s="134"/>
      <c r="F353" s="134" t="s">
        <v>1027</v>
      </c>
      <c r="G353" s="184">
        <v>128639021</v>
      </c>
      <c r="H353" s="138" t="s">
        <v>1028</v>
      </c>
      <c r="I353" s="138" t="s">
        <v>7891</v>
      </c>
      <c r="J353" s="138" t="s">
        <v>1029</v>
      </c>
      <c r="K353" s="138" t="s">
        <v>1030</v>
      </c>
      <c r="L353" s="138" t="s">
        <v>5929</v>
      </c>
      <c r="M353" s="138" t="s">
        <v>5966</v>
      </c>
      <c r="N353" s="138" t="s">
        <v>6385</v>
      </c>
      <c r="O353" s="138" t="s">
        <v>5965</v>
      </c>
      <c r="P353" s="138"/>
      <c r="Q353" s="138"/>
      <c r="R353" s="138"/>
      <c r="S353" s="138"/>
      <c r="T353" s="135">
        <v>412.19</v>
      </c>
      <c r="U353" s="185">
        <v>22</v>
      </c>
      <c r="V353" s="185">
        <v>3.4739999999999998</v>
      </c>
      <c r="W353" s="185">
        <v>34.284470881080935</v>
      </c>
      <c r="X353" s="185">
        <v>22</v>
      </c>
      <c r="Y353" s="204">
        <v>7</v>
      </c>
      <c r="Z353" s="135">
        <v>4.26</v>
      </c>
      <c r="AA353" s="135">
        <v>3.36</v>
      </c>
      <c r="AB353" s="135">
        <v>2.99</v>
      </c>
      <c r="AC353" s="135">
        <v>0.73440000000000005</v>
      </c>
      <c r="AD353" s="135">
        <v>3.05</v>
      </c>
      <c r="AE353" s="135">
        <v>3.21</v>
      </c>
      <c r="AF353" s="135">
        <f t="shared" si="96"/>
        <v>3.36</v>
      </c>
      <c r="AG353" s="136">
        <v>4.43</v>
      </c>
      <c r="AH353" s="185">
        <v>5.9600000000000006E-11</v>
      </c>
      <c r="AI353" s="185">
        <v>2.9600000000000001E-9</v>
      </c>
      <c r="AJ353" s="136">
        <f t="shared" si="98"/>
        <v>-8.613320066572415</v>
      </c>
      <c r="AK353" s="136">
        <f>LOG10(AI353*1000/(0.08206*298.15))</f>
        <v>-6.9172746152537128</v>
      </c>
      <c r="AL353" s="136">
        <f t="shared" si="97"/>
        <v>-6.9172746152537128</v>
      </c>
      <c r="AM353" s="136">
        <v>-13.92361</v>
      </c>
      <c r="AN353" s="186">
        <v>-9.6</v>
      </c>
      <c r="AO353" s="481"/>
      <c r="AP353" s="481">
        <v>-2.2599999999999998</v>
      </c>
      <c r="AQ353" s="135" t="s">
        <v>6311</v>
      </c>
      <c r="AR353" s="135" t="s">
        <v>6314</v>
      </c>
      <c r="AS353" s="190"/>
      <c r="AT353" s="137" t="s">
        <v>266</v>
      </c>
      <c r="AU353" s="135">
        <v>6</v>
      </c>
      <c r="AV353" s="135">
        <v>120</v>
      </c>
      <c r="AW353" s="135">
        <v>114</v>
      </c>
      <c r="AX353" s="135">
        <v>28</v>
      </c>
      <c r="AY353" s="135" t="s">
        <v>8728</v>
      </c>
      <c r="AZ353" s="135" t="s">
        <v>1563</v>
      </c>
      <c r="BA353" s="135">
        <v>32</v>
      </c>
      <c r="BB353" s="138" t="s">
        <v>2485</v>
      </c>
      <c r="BC353" s="458" t="s">
        <v>8726</v>
      </c>
      <c r="BD353" s="138" t="s">
        <v>8374</v>
      </c>
      <c r="BE353" s="135" t="s">
        <v>2449</v>
      </c>
      <c r="BF353" s="135" t="s">
        <v>272</v>
      </c>
      <c r="BG353" s="135" t="s">
        <v>272</v>
      </c>
      <c r="BH353" s="135" t="s">
        <v>2486</v>
      </c>
      <c r="BI353" s="185">
        <v>2.638016E-3</v>
      </c>
      <c r="BJ353" s="185">
        <v>26.38016</v>
      </c>
      <c r="BK353" s="135"/>
      <c r="BL353" s="485">
        <v>3.1622154141750758</v>
      </c>
      <c r="BM353" s="138" t="s">
        <v>2487</v>
      </c>
      <c r="BN353" s="135"/>
      <c r="BO353" s="135"/>
      <c r="BP353" s="135"/>
      <c r="BQ353" s="135"/>
      <c r="BR353" s="138" t="e">
        <v>#VALUE!</v>
      </c>
      <c r="BS353" s="135"/>
      <c r="BT353" s="135"/>
      <c r="BU353" s="135">
        <v>2.638016E-3</v>
      </c>
      <c r="BV353" s="135"/>
      <c r="BW353" s="135"/>
      <c r="BX353" s="135"/>
      <c r="BY353" s="135"/>
      <c r="BZ353" s="135"/>
      <c r="CA353" s="135"/>
      <c r="CB353" s="135"/>
      <c r="CC353" s="135"/>
      <c r="CD353" s="135"/>
      <c r="CE353" s="135"/>
      <c r="CF353" s="135"/>
      <c r="CG353" s="135"/>
      <c r="CH353" s="135"/>
      <c r="CI353" s="185"/>
      <c r="CJ353" s="187"/>
      <c r="CK353" s="136">
        <f t="shared" si="89"/>
        <v>0.11987097175206958</v>
      </c>
      <c r="CL353" s="188"/>
      <c r="CM353" s="188">
        <v>0.20411998265592468</v>
      </c>
      <c r="CN353" s="188">
        <f>BJ353/(10^CM353)</f>
        <v>16.487600000000004</v>
      </c>
      <c r="CO353" s="138" t="s">
        <v>2488</v>
      </c>
      <c r="CP353" s="189" t="s">
        <v>2489</v>
      </c>
      <c r="CQ353" s="183">
        <v>0.25257498915995297</v>
      </c>
      <c r="CR353" s="191">
        <f>10^(CJ353-CQ353)</f>
        <v>0.55901699437494745</v>
      </c>
      <c r="CS353" s="135" t="s">
        <v>539</v>
      </c>
      <c r="CT353" s="135"/>
      <c r="CU353" s="135"/>
      <c r="CV353" s="332">
        <f t="shared" si="90"/>
        <v>0.83396006695941194</v>
      </c>
      <c r="CW353" s="329">
        <f t="shared" si="95"/>
        <v>0</v>
      </c>
      <c r="CX353" s="329"/>
      <c r="CY353" s="189" t="s">
        <v>5921</v>
      </c>
    </row>
    <row r="354" spans="1:103" ht="11.25" customHeight="1" x14ac:dyDescent="0.2">
      <c r="A354" s="72">
        <v>648</v>
      </c>
      <c r="B354" s="183">
        <v>1541</v>
      </c>
      <c r="C354" s="133" t="s">
        <v>6893</v>
      </c>
      <c r="D354" s="133"/>
      <c r="E354" s="134"/>
      <c r="F354" s="134" t="s">
        <v>4658</v>
      </c>
      <c r="G354" s="184">
        <v>82469792</v>
      </c>
      <c r="H354" s="138" t="s">
        <v>4659</v>
      </c>
      <c r="I354" s="138" t="s">
        <v>4659</v>
      </c>
      <c r="J354" s="138"/>
      <c r="K354" s="138" t="s">
        <v>357</v>
      </c>
      <c r="L354" s="138"/>
      <c r="M354" s="138"/>
      <c r="N354" s="138"/>
      <c r="O354" s="138"/>
      <c r="P354" s="138"/>
      <c r="Q354" s="138"/>
      <c r="R354" s="138"/>
      <c r="S354" s="138"/>
      <c r="T354" s="135">
        <v>514.71</v>
      </c>
      <c r="U354" s="185"/>
      <c r="V354" s="185">
        <v>5.5609999999999998E-5</v>
      </c>
      <c r="W354" s="185">
        <v>3.9954215339995269E-2</v>
      </c>
      <c r="X354" s="185">
        <v>3.9954215339995269E-2</v>
      </c>
      <c r="Y354" s="204">
        <v>7</v>
      </c>
      <c r="Z354" s="135">
        <v>8.2100000000000009</v>
      </c>
      <c r="AA354" s="135"/>
      <c r="AB354" s="135">
        <v>7.93</v>
      </c>
      <c r="AC354" s="135">
        <v>0.4289</v>
      </c>
      <c r="AD354" s="135">
        <v>9.73</v>
      </c>
      <c r="AE354" s="135">
        <v>11.17</v>
      </c>
      <c r="AF354" s="135">
        <f t="shared" si="96"/>
        <v>9.73</v>
      </c>
      <c r="AG354" s="136">
        <v>9.73</v>
      </c>
      <c r="AH354" s="185">
        <v>3.65E-9</v>
      </c>
      <c r="AI354" s="185"/>
      <c r="AJ354" s="136">
        <f t="shared" si="98"/>
        <v>-6.8262734618561769</v>
      </c>
      <c r="AK354" s="136"/>
      <c r="AL354" s="136">
        <f t="shared" si="97"/>
        <v>-6.8262734618561769</v>
      </c>
      <c r="AM354" s="136">
        <v>-14.16159</v>
      </c>
      <c r="AN354" s="186"/>
      <c r="AO354" s="481"/>
      <c r="AP354" s="481"/>
      <c r="AQ354" s="135" t="s">
        <v>6311</v>
      </c>
      <c r="AR354" s="135" t="s">
        <v>6312</v>
      </c>
      <c r="AS354" s="190"/>
      <c r="AT354" s="137" t="s">
        <v>266</v>
      </c>
      <c r="AU354" s="135">
        <v>6</v>
      </c>
      <c r="AV354" s="135">
        <v>120</v>
      </c>
      <c r="AW354" s="135">
        <v>114</v>
      </c>
      <c r="AX354" s="135">
        <v>28</v>
      </c>
      <c r="AY354" s="135" t="s">
        <v>8728</v>
      </c>
      <c r="AZ354" s="135" t="s">
        <v>1563</v>
      </c>
      <c r="BA354" s="135">
        <v>32</v>
      </c>
      <c r="BB354" s="138" t="s">
        <v>2485</v>
      </c>
      <c r="BC354" s="458" t="s">
        <v>8726</v>
      </c>
      <c r="BD354" s="138" t="s">
        <v>8374</v>
      </c>
      <c r="BE354" s="135" t="s">
        <v>2449</v>
      </c>
      <c r="BF354" s="135" t="s">
        <v>272</v>
      </c>
      <c r="BG354" s="135" t="s">
        <v>272</v>
      </c>
      <c r="BH354" s="135" t="s">
        <v>2486</v>
      </c>
      <c r="BI354" s="185">
        <v>3.2941440000000002E-3</v>
      </c>
      <c r="BJ354" s="185">
        <v>32.94144</v>
      </c>
      <c r="BK354" s="135"/>
      <c r="BL354" s="485">
        <v>1.1193389233932821E-3</v>
      </c>
      <c r="BM354" s="138" t="s">
        <v>2487</v>
      </c>
      <c r="BN354" s="135"/>
      <c r="BO354" s="135"/>
      <c r="BP354" s="135"/>
      <c r="BQ354" s="135"/>
      <c r="BR354" s="138" t="e">
        <v>#VALUE!</v>
      </c>
      <c r="BS354" s="135"/>
      <c r="BT354" s="135"/>
      <c r="BU354" s="135"/>
      <c r="BV354" s="135"/>
      <c r="BW354" s="135"/>
      <c r="BX354" s="135"/>
      <c r="BY354" s="135"/>
      <c r="BZ354" s="135"/>
      <c r="CA354" s="135"/>
      <c r="CB354" s="135"/>
      <c r="CC354" s="135"/>
      <c r="CD354" s="135"/>
      <c r="CE354" s="135"/>
      <c r="CF354" s="135"/>
      <c r="CG354" s="135"/>
      <c r="CH354" s="135"/>
      <c r="CI354" s="185"/>
      <c r="CJ354" s="187"/>
      <c r="CK354" s="136">
        <f t="shared" si="89"/>
        <v>3.3979659765732222E-5</v>
      </c>
      <c r="CL354" s="188"/>
      <c r="CM354" s="188"/>
      <c r="CN354" s="188"/>
      <c r="CO354" s="138" t="s">
        <v>2488</v>
      </c>
      <c r="CP354" s="189" t="s">
        <v>2489</v>
      </c>
      <c r="CQ354" s="191" t="s">
        <v>272</v>
      </c>
      <c r="CR354" s="191"/>
      <c r="CS354" s="135" t="s">
        <v>539</v>
      </c>
      <c r="CT354" s="135"/>
      <c r="CU354" s="135"/>
      <c r="CV354" s="332">
        <f t="shared" si="90"/>
        <v>1.2128861197323272E-3</v>
      </c>
      <c r="CW354" s="329">
        <f t="shared" si="95"/>
        <v>0</v>
      </c>
      <c r="CX354" s="329"/>
      <c r="CY354" s="189" t="s">
        <v>5921</v>
      </c>
    </row>
    <row r="355" spans="1:103" ht="11.25" customHeight="1" x14ac:dyDescent="0.2">
      <c r="A355" s="72">
        <v>649</v>
      </c>
      <c r="B355" s="183">
        <v>1650</v>
      </c>
      <c r="C355" s="133" t="s">
        <v>4861</v>
      </c>
      <c r="D355" s="133" t="s">
        <v>6894</v>
      </c>
      <c r="E355" s="134"/>
      <c r="F355" s="134" t="s">
        <v>4862</v>
      </c>
      <c r="G355" s="184">
        <v>80844071</v>
      </c>
      <c r="H355" s="138" t="s">
        <v>4863</v>
      </c>
      <c r="I355" s="138" t="s">
        <v>4863</v>
      </c>
      <c r="J355" s="138" t="s">
        <v>4864</v>
      </c>
      <c r="K355" s="138" t="s">
        <v>426</v>
      </c>
      <c r="L355" s="138" t="s">
        <v>617</v>
      </c>
      <c r="M355" s="138" t="s">
        <v>1086</v>
      </c>
      <c r="N355" s="138" t="s">
        <v>6376</v>
      </c>
      <c r="O355" s="138" t="s">
        <v>918</v>
      </c>
      <c r="P355" s="138"/>
      <c r="Q355" s="138"/>
      <c r="R355" s="138"/>
      <c r="S355" s="138"/>
      <c r="T355" s="135">
        <v>376.49</v>
      </c>
      <c r="U355" s="185">
        <v>1E-3</v>
      </c>
      <c r="V355" s="185">
        <v>4.0749999999999996E-3</v>
      </c>
      <c r="W355" s="185">
        <v>0.15337460079047024</v>
      </c>
      <c r="X355" s="185">
        <v>1E-3</v>
      </c>
      <c r="Y355" s="204">
        <v>7</v>
      </c>
      <c r="Z355" s="135">
        <v>7.47</v>
      </c>
      <c r="AA355" s="135">
        <v>7.05</v>
      </c>
      <c r="AB355" s="135">
        <v>6.24</v>
      </c>
      <c r="AC355" s="135">
        <v>0.73419999999999996</v>
      </c>
      <c r="AD355" s="135">
        <v>6.6</v>
      </c>
      <c r="AE355" s="135">
        <v>7.35</v>
      </c>
      <c r="AF355" s="135">
        <f t="shared" si="96"/>
        <v>7.05</v>
      </c>
      <c r="AG355" s="136">
        <v>6.02</v>
      </c>
      <c r="AH355" s="185">
        <v>2.2600000000000001E-8</v>
      </c>
      <c r="AI355" s="185"/>
      <c r="AJ355" s="136">
        <f t="shared" si="98"/>
        <v>-6.0344578871652512</v>
      </c>
      <c r="AK355" s="136"/>
      <c r="AL355" s="136">
        <f t="shared" si="97"/>
        <v>-6.0344578871652512</v>
      </c>
      <c r="AM355" s="136">
        <v>-12.957080000000001</v>
      </c>
      <c r="AN355" s="186">
        <v>-6.6</v>
      </c>
      <c r="AO355" s="481"/>
      <c r="AP355" s="481"/>
      <c r="AQ355" s="186" t="s">
        <v>6311</v>
      </c>
      <c r="AR355" s="186" t="s">
        <v>6311</v>
      </c>
      <c r="AS355" s="183"/>
      <c r="AT355" s="137" t="s">
        <v>266</v>
      </c>
      <c r="AU355" s="135">
        <v>6</v>
      </c>
      <c r="AV355" s="135">
        <v>120</v>
      </c>
      <c r="AW355" s="135">
        <v>114</v>
      </c>
      <c r="AX355" s="135">
        <v>28</v>
      </c>
      <c r="AY355" s="135" t="s">
        <v>8728</v>
      </c>
      <c r="AZ355" s="135" t="s">
        <v>1563</v>
      </c>
      <c r="BA355" s="135">
        <v>32</v>
      </c>
      <c r="BB355" s="138" t="s">
        <v>2485</v>
      </c>
      <c r="BC355" s="458" t="s">
        <v>8726</v>
      </c>
      <c r="BD355" s="138" t="s">
        <v>8374</v>
      </c>
      <c r="BE355" s="135" t="s">
        <v>2449</v>
      </c>
      <c r="BF355" s="135" t="s">
        <v>272</v>
      </c>
      <c r="BG355" s="135" t="s">
        <v>272</v>
      </c>
      <c r="BH355" s="135" t="s">
        <v>2486</v>
      </c>
      <c r="BI355" s="185">
        <v>2.4095359999999999E-3</v>
      </c>
      <c r="BJ355" s="185">
        <v>24.095359999999999</v>
      </c>
      <c r="BK355" s="135"/>
      <c r="BL355" s="485">
        <v>3.7822170261920204E-3</v>
      </c>
      <c r="BM355" s="138" t="s">
        <v>2487</v>
      </c>
      <c r="BN355" s="135"/>
      <c r="BO355" s="135"/>
      <c r="BP355" s="135"/>
      <c r="BQ355" s="135"/>
      <c r="BR355" s="138" t="e">
        <v>#VALUE!</v>
      </c>
      <c r="BS355" s="135"/>
      <c r="BT355" s="135"/>
      <c r="BU355" s="135"/>
      <c r="BV355" s="135"/>
      <c r="BW355" s="135"/>
      <c r="BX355" s="135"/>
      <c r="BY355" s="135"/>
      <c r="BZ355" s="135"/>
      <c r="CA355" s="135"/>
      <c r="CB355" s="135"/>
      <c r="CC355" s="135"/>
      <c r="CD355" s="135"/>
      <c r="CE355" s="135"/>
      <c r="CF355" s="135"/>
      <c r="CG355" s="135"/>
      <c r="CH355" s="135"/>
      <c r="CI355" s="185"/>
      <c r="CJ355" s="187"/>
      <c r="CK355" s="136">
        <f t="shared" si="89"/>
        <v>1.5696868717429498E-4</v>
      </c>
      <c r="CL355" s="188"/>
      <c r="CM355" s="188"/>
      <c r="CN355" s="188"/>
      <c r="CO355" s="138" t="s">
        <v>2488</v>
      </c>
      <c r="CP355" s="189" t="s">
        <v>2489</v>
      </c>
      <c r="CQ355" s="183">
        <v>-2.1330180914377013</v>
      </c>
      <c r="CR355" s="191">
        <f>10^(CJ355-CQ355)</f>
        <v>135.83700311305145</v>
      </c>
      <c r="CS355" s="135" t="s">
        <v>539</v>
      </c>
      <c r="CT355" s="135"/>
      <c r="CU355" s="135"/>
      <c r="CV355" s="332">
        <f t="shared" si="90"/>
        <v>4.1501766315174376E-5</v>
      </c>
      <c r="CW355" s="329">
        <f t="shared" si="95"/>
        <v>0</v>
      </c>
      <c r="CX355" s="329"/>
      <c r="CY355" s="189" t="s">
        <v>5921</v>
      </c>
    </row>
    <row r="356" spans="1:103" ht="11.25" customHeight="1" x14ac:dyDescent="0.2">
      <c r="A356" s="72">
        <v>650</v>
      </c>
      <c r="B356" s="183">
        <v>979</v>
      </c>
      <c r="C356" s="133" t="s">
        <v>2795</v>
      </c>
      <c r="D356" s="133" t="s">
        <v>6895</v>
      </c>
      <c r="E356" s="134"/>
      <c r="F356" s="134" t="s">
        <v>2796</v>
      </c>
      <c r="G356" s="184">
        <v>140669</v>
      </c>
      <c r="H356" s="138" t="s">
        <v>2797</v>
      </c>
      <c r="I356" s="138" t="s">
        <v>2797</v>
      </c>
      <c r="J356" s="138" t="s">
        <v>2798</v>
      </c>
      <c r="K356" s="138" t="s">
        <v>349</v>
      </c>
      <c r="L356" s="138" t="s">
        <v>6025</v>
      </c>
      <c r="M356" s="138" t="s">
        <v>6082</v>
      </c>
      <c r="N356" s="138" t="s">
        <v>6082</v>
      </c>
      <c r="O356" s="138" t="s">
        <v>6083</v>
      </c>
      <c r="P356" s="138"/>
      <c r="Q356" s="138"/>
      <c r="R356" s="138"/>
      <c r="S356" s="138"/>
      <c r="T356" s="135">
        <v>206.32</v>
      </c>
      <c r="U356" s="185"/>
      <c r="V356" s="185">
        <v>4.8209999999999997</v>
      </c>
      <c r="W356" s="185">
        <v>82.137471428597522</v>
      </c>
      <c r="X356" s="185">
        <v>82.137471428597522</v>
      </c>
      <c r="Y356" s="204">
        <v>6.71</v>
      </c>
      <c r="Z356" s="135">
        <v>5.28</v>
      </c>
      <c r="AA356" s="135"/>
      <c r="AB356" s="135">
        <v>4.5599999999999996</v>
      </c>
      <c r="AC356" s="135">
        <v>0.77039999999999997</v>
      </c>
      <c r="AD356" s="135">
        <v>4.68</v>
      </c>
      <c r="AE356" s="135">
        <v>4.93</v>
      </c>
      <c r="AF356" s="135">
        <f t="shared" si="96"/>
        <v>4.68</v>
      </c>
      <c r="AG356" s="136">
        <v>4.72</v>
      </c>
      <c r="AH356" s="185">
        <v>4.5000000000000001E-6</v>
      </c>
      <c r="AI356" s="185"/>
      <c r="AJ356" s="136">
        <f t="shared" si="98"/>
        <v>-3.735353812537308</v>
      </c>
      <c r="AK356" s="136"/>
      <c r="AL356" s="136">
        <f t="shared" si="97"/>
        <v>-3.735353812537308</v>
      </c>
      <c r="AM356" s="136">
        <v>-7.1457800000000002</v>
      </c>
      <c r="AN356" s="186">
        <v>-3.75</v>
      </c>
      <c r="AO356" s="481">
        <v>10.15</v>
      </c>
      <c r="AP356" s="481"/>
      <c r="AQ356" s="135" t="s">
        <v>6311</v>
      </c>
      <c r="AR356" s="135" t="s">
        <v>6311</v>
      </c>
      <c r="AS356" s="190"/>
      <c r="AT356" s="137" t="s">
        <v>266</v>
      </c>
      <c r="AU356" s="135">
        <v>6</v>
      </c>
      <c r="AV356" s="135">
        <v>120</v>
      </c>
      <c r="AW356" s="135">
        <v>114</v>
      </c>
      <c r="AX356" s="135">
        <v>28</v>
      </c>
      <c r="AY356" s="135" t="s">
        <v>8728</v>
      </c>
      <c r="AZ356" s="135" t="s">
        <v>1563</v>
      </c>
      <c r="BA356" s="135">
        <v>32</v>
      </c>
      <c r="BB356" s="138" t="s">
        <v>2485</v>
      </c>
      <c r="BC356" s="458" t="s">
        <v>8726</v>
      </c>
      <c r="BD356" s="138" t="s">
        <v>8374</v>
      </c>
      <c r="BE356" s="135" t="s">
        <v>2449</v>
      </c>
      <c r="BF356" s="135" t="s">
        <v>272</v>
      </c>
      <c r="BG356" s="135" t="s">
        <v>272</v>
      </c>
      <c r="BH356" s="135" t="s">
        <v>2486</v>
      </c>
      <c r="BI356" s="185">
        <v>1.3204479999999999E-3</v>
      </c>
      <c r="BJ356" s="185">
        <v>13.20448</v>
      </c>
      <c r="BK356" s="135"/>
      <c r="BL356" s="485">
        <v>0.19203187798051474</v>
      </c>
      <c r="BM356" s="138" t="s">
        <v>2487</v>
      </c>
      <c r="BN356" s="135"/>
      <c r="BO356" s="135"/>
      <c r="BP356" s="135"/>
      <c r="BQ356" s="135"/>
      <c r="BR356" s="138" t="e">
        <v>#VALUE!</v>
      </c>
      <c r="BS356" s="135"/>
      <c r="BT356" s="135"/>
      <c r="BU356" s="135">
        <v>1.3204479999999999E-3</v>
      </c>
      <c r="BV356" s="135"/>
      <c r="BW356" s="135"/>
      <c r="BX356" s="135"/>
      <c r="BY356" s="135"/>
      <c r="BZ356" s="135"/>
      <c r="CA356" s="135"/>
      <c r="CB356" s="135"/>
      <c r="CC356" s="135"/>
      <c r="CD356" s="135"/>
      <c r="CE356" s="135"/>
      <c r="CF356" s="135"/>
      <c r="CG356" s="135"/>
      <c r="CH356" s="135"/>
      <c r="CI356" s="185"/>
      <c r="CJ356" s="187"/>
      <c r="CK356" s="136">
        <f t="shared" ref="CK356:CK412" si="100">BL356/BJ356</f>
        <v>1.4542933760399102E-2</v>
      </c>
      <c r="CL356" s="188"/>
      <c r="CM356" s="188"/>
      <c r="CN356" s="188"/>
      <c r="CO356" s="138" t="s">
        <v>2488</v>
      </c>
      <c r="CP356" s="189" t="s">
        <v>2489</v>
      </c>
      <c r="CQ356" s="183">
        <v>-0.43179827593300502</v>
      </c>
      <c r="CR356" s="191">
        <f>10^(CJ356-CQ356)</f>
        <v>2.7027027027027031</v>
      </c>
      <c r="CS356" s="135" t="s">
        <v>539</v>
      </c>
      <c r="CT356" s="135"/>
      <c r="CU356" s="135"/>
      <c r="CV356" s="332">
        <f t="shared" ref="CV356:CV412" si="101">X356/BJ356</f>
        <v>6.2204245398983922</v>
      </c>
      <c r="CW356" s="329">
        <f t="shared" si="95"/>
        <v>1</v>
      </c>
      <c r="CX356" s="329"/>
      <c r="CY356" s="189" t="s">
        <v>6351</v>
      </c>
    </row>
    <row r="357" spans="1:103" ht="11.25" customHeight="1" x14ac:dyDescent="0.2">
      <c r="A357" s="72">
        <v>651</v>
      </c>
      <c r="B357" s="183">
        <v>1847</v>
      </c>
      <c r="C357" s="133" t="s">
        <v>1437</v>
      </c>
      <c r="D357" s="133" t="s">
        <v>6572</v>
      </c>
      <c r="E357" s="134"/>
      <c r="F357" s="134" t="s">
        <v>1438</v>
      </c>
      <c r="G357" s="184">
        <v>95737681</v>
      </c>
      <c r="H357" s="138" t="s">
        <v>1439</v>
      </c>
      <c r="I357" s="138" t="s">
        <v>1439</v>
      </c>
      <c r="J357" s="138" t="s">
        <v>1440</v>
      </c>
      <c r="K357" s="138" t="s">
        <v>426</v>
      </c>
      <c r="L357" s="138" t="s">
        <v>617</v>
      </c>
      <c r="M357" s="138" t="s">
        <v>8507</v>
      </c>
      <c r="N357" s="138" t="s">
        <v>6082</v>
      </c>
      <c r="O357" s="138" t="s">
        <v>918</v>
      </c>
      <c r="P357" s="138"/>
      <c r="Q357" s="138"/>
      <c r="R357" s="138"/>
      <c r="S357" s="138"/>
      <c r="T357" s="135">
        <v>321.37</v>
      </c>
      <c r="U357" s="185"/>
      <c r="V357" s="185">
        <v>0.16850000000000001</v>
      </c>
      <c r="W357" s="185">
        <v>4.3351620157847908</v>
      </c>
      <c r="X357" s="185">
        <v>4.3351620157847908</v>
      </c>
      <c r="Y357" s="204">
        <v>7.01</v>
      </c>
      <c r="Z357" s="135">
        <v>5.55</v>
      </c>
      <c r="AA357" s="135"/>
      <c r="AB357" s="135">
        <v>4.2699999999999996</v>
      </c>
      <c r="AC357" s="135">
        <v>0.65580000000000005</v>
      </c>
      <c r="AD357" s="135">
        <v>4.4800000000000004</v>
      </c>
      <c r="AE357" s="135">
        <v>4.84</v>
      </c>
      <c r="AF357" s="135">
        <f t="shared" si="96"/>
        <v>4.4800000000000004</v>
      </c>
      <c r="AG357" s="136">
        <v>4.43</v>
      </c>
      <c r="AH357" s="185">
        <v>6.3399999999999998E-10</v>
      </c>
      <c r="AI357" s="185"/>
      <c r="AJ357" s="136">
        <f t="shared" si="98"/>
        <v>-7.5864770684309191</v>
      </c>
      <c r="AK357" s="136"/>
      <c r="AL357" s="136">
        <f t="shared" si="97"/>
        <v>-7.5864770684309191</v>
      </c>
      <c r="AM357" s="136">
        <v>-14.59877</v>
      </c>
      <c r="AN357" s="186">
        <v>-6.13</v>
      </c>
      <c r="AO357" s="481"/>
      <c r="AP357" s="481">
        <v>3.62</v>
      </c>
      <c r="AQ357" s="186" t="s">
        <v>6311</v>
      </c>
      <c r="AR357" s="186" t="s">
        <v>6311</v>
      </c>
      <c r="AS357" s="183"/>
      <c r="AT357" s="137" t="s">
        <v>266</v>
      </c>
      <c r="AU357" s="135">
        <v>6</v>
      </c>
      <c r="AV357" s="135">
        <v>120</v>
      </c>
      <c r="AW357" s="135">
        <v>114</v>
      </c>
      <c r="AX357" s="135">
        <v>28</v>
      </c>
      <c r="AY357" s="135" t="s">
        <v>8728</v>
      </c>
      <c r="AZ357" s="135" t="s">
        <v>1563</v>
      </c>
      <c r="BA357" s="135">
        <v>32</v>
      </c>
      <c r="BB357" s="138" t="s">
        <v>2485</v>
      </c>
      <c r="BC357" s="458" t="s">
        <v>8726</v>
      </c>
      <c r="BD357" s="138" t="s">
        <v>8374</v>
      </c>
      <c r="BE357" s="135" t="s">
        <v>2449</v>
      </c>
      <c r="BF357" s="135" t="s">
        <v>272</v>
      </c>
      <c r="BG357" s="135" t="s">
        <v>272</v>
      </c>
      <c r="BH357" s="135" t="s">
        <v>2486</v>
      </c>
      <c r="BI357" s="185">
        <v>2.0567680000000001E-3</v>
      </c>
      <c r="BJ357" s="185">
        <v>20.567679999999999</v>
      </c>
      <c r="BK357" s="135"/>
      <c r="BL357" s="485">
        <v>0.17113952914372185</v>
      </c>
      <c r="BM357" s="138" t="s">
        <v>2487</v>
      </c>
      <c r="BN357" s="135"/>
      <c r="BO357" s="135"/>
      <c r="BP357" s="135"/>
      <c r="BQ357" s="135"/>
      <c r="BR357" s="138" t="e">
        <v>#VALUE!</v>
      </c>
      <c r="BS357" s="135"/>
      <c r="BT357" s="135"/>
      <c r="BU357" s="135"/>
      <c r="BV357" s="135"/>
      <c r="BW357" s="135"/>
      <c r="BX357" s="135"/>
      <c r="BY357" s="135"/>
      <c r="BZ357" s="135"/>
      <c r="CA357" s="135"/>
      <c r="CB357" s="135"/>
      <c r="CC357" s="135"/>
      <c r="CD357" s="135"/>
      <c r="CE357" s="135"/>
      <c r="CF357" s="135"/>
      <c r="CG357" s="135"/>
      <c r="CH357" s="135"/>
      <c r="CI357" s="185"/>
      <c r="CJ357" s="187"/>
      <c r="CK357" s="136">
        <f t="shared" si="100"/>
        <v>8.320798901175137E-3</v>
      </c>
      <c r="CL357" s="188"/>
      <c r="CM357" s="188">
        <v>-0.34678748622465666</v>
      </c>
      <c r="CN357" s="188">
        <f>BJ357/(10^CM357)</f>
        <v>45.70595555555559</v>
      </c>
      <c r="CO357" s="138" t="s">
        <v>2488</v>
      </c>
      <c r="CP357" s="189" t="s">
        <v>2489</v>
      </c>
      <c r="CQ357" s="183">
        <v>0.21203226270874401</v>
      </c>
      <c r="CR357" s="191">
        <f>10^(CJ357-CQ357)</f>
        <v>0.61371641193221549</v>
      </c>
      <c r="CS357" s="135" t="s">
        <v>539</v>
      </c>
      <c r="CT357" s="135"/>
      <c r="CU357" s="135"/>
      <c r="CV357" s="332">
        <f t="shared" si="101"/>
        <v>0.21077545040494558</v>
      </c>
      <c r="CW357" s="329">
        <f t="shared" si="95"/>
        <v>0</v>
      </c>
      <c r="CX357" s="329"/>
      <c r="CY357" s="189" t="s">
        <v>5921</v>
      </c>
    </row>
    <row r="358" spans="1:103" ht="11.25" customHeight="1" x14ac:dyDescent="0.2">
      <c r="A358" s="72">
        <v>652</v>
      </c>
      <c r="B358" s="183">
        <v>1692</v>
      </c>
      <c r="C358" s="133" t="s">
        <v>6896</v>
      </c>
      <c r="D358" s="133"/>
      <c r="E358" s="134"/>
      <c r="F358" s="134" t="s">
        <v>4936</v>
      </c>
      <c r="G358" s="184">
        <v>86479063</v>
      </c>
      <c r="H358" s="138" t="s">
        <v>4937</v>
      </c>
      <c r="I358" s="138" t="s">
        <v>7959</v>
      </c>
      <c r="J358" s="138" t="s">
        <v>4938</v>
      </c>
      <c r="K358" s="138" t="s">
        <v>2039</v>
      </c>
      <c r="L358" s="138" t="s">
        <v>8530</v>
      </c>
      <c r="M358" s="138" t="s">
        <v>2342</v>
      </c>
      <c r="N358" s="139" t="s">
        <v>2342</v>
      </c>
      <c r="O358" s="138" t="s">
        <v>918</v>
      </c>
      <c r="P358" s="138" t="s">
        <v>8537</v>
      </c>
      <c r="Q358" s="138" t="s">
        <v>6173</v>
      </c>
      <c r="R358" s="138" t="s">
        <v>8536</v>
      </c>
      <c r="S358" s="138" t="s">
        <v>6173</v>
      </c>
      <c r="T358" s="135">
        <v>461.14</v>
      </c>
      <c r="U358" s="185">
        <v>2.7E-2</v>
      </c>
      <c r="V358" s="185">
        <v>1.7860000000000001E-2</v>
      </c>
      <c r="W358" s="185">
        <v>1.2996691049232869E-2</v>
      </c>
      <c r="X358" s="185">
        <v>2.7E-2</v>
      </c>
      <c r="Y358" s="204">
        <v>6.99</v>
      </c>
      <c r="Z358" s="135">
        <v>5.64</v>
      </c>
      <c r="AA358" s="135">
        <v>5.68</v>
      </c>
      <c r="AB358" s="135">
        <v>5.4</v>
      </c>
      <c r="AC358" s="135">
        <v>0.79430000000000001</v>
      </c>
      <c r="AD358" s="135">
        <v>5.51</v>
      </c>
      <c r="AE358" s="135">
        <v>5.87</v>
      </c>
      <c r="AF358" s="135">
        <f t="shared" si="96"/>
        <v>5.68</v>
      </c>
      <c r="AG358" s="136">
        <v>5.57</v>
      </c>
      <c r="AH358" s="185">
        <v>1.0799999999999999E-11</v>
      </c>
      <c r="AI358" s="185">
        <v>9.9599999999999995E-6</v>
      </c>
      <c r="AJ358" s="136">
        <f t="shared" si="98"/>
        <v>-9.3551425708257021</v>
      </c>
      <c r="AK358" s="136">
        <f>LOG10(AI358*1000/(0.08206*298.15))</f>
        <v>-3.3903069878889531</v>
      </c>
      <c r="AL358" s="136">
        <f t="shared" si="97"/>
        <v>-3.3903069878889531</v>
      </c>
      <c r="AM358" s="136">
        <v>-16.02169</v>
      </c>
      <c r="AN358" s="186">
        <v>-7.24</v>
      </c>
      <c r="AO358" s="481">
        <v>8.5399999999999991</v>
      </c>
      <c r="AP358" s="481">
        <v>-2.15</v>
      </c>
      <c r="AQ358" s="186" t="s">
        <v>6311</v>
      </c>
      <c r="AR358" s="186" t="s">
        <v>6311</v>
      </c>
      <c r="AS358" s="183"/>
      <c r="AT358" s="137" t="s">
        <v>266</v>
      </c>
      <c r="AU358" s="135">
        <v>6</v>
      </c>
      <c r="AV358" s="135">
        <v>120</v>
      </c>
      <c r="AW358" s="135">
        <v>114</v>
      </c>
      <c r="AX358" s="135">
        <v>28</v>
      </c>
      <c r="AY358" s="135" t="s">
        <v>8728</v>
      </c>
      <c r="AZ358" s="135" t="s">
        <v>1563</v>
      </c>
      <c r="BA358" s="135">
        <v>32</v>
      </c>
      <c r="BB358" s="138" t="s">
        <v>2485</v>
      </c>
      <c r="BC358" s="458" t="s">
        <v>8726</v>
      </c>
      <c r="BD358" s="138" t="s">
        <v>8374</v>
      </c>
      <c r="BE358" s="135" t="s">
        <v>2449</v>
      </c>
      <c r="BF358" s="135" t="s">
        <v>272</v>
      </c>
      <c r="BG358" s="135" t="s">
        <v>272</v>
      </c>
      <c r="BH358" s="135" t="s">
        <v>2486</v>
      </c>
      <c r="BI358" s="185">
        <v>2.951296E-3</v>
      </c>
      <c r="BJ358" s="185">
        <v>29.51296</v>
      </c>
      <c r="BK358" s="135"/>
      <c r="BL358" s="485">
        <v>0.20386787458774067</v>
      </c>
      <c r="BM358" s="138" t="s">
        <v>2487</v>
      </c>
      <c r="BN358" s="135"/>
      <c r="BO358" s="135"/>
      <c r="BP358" s="135"/>
      <c r="BQ358" s="135"/>
      <c r="BR358" s="138" t="e">
        <v>#VALUE!</v>
      </c>
      <c r="BS358" s="135"/>
      <c r="BT358" s="135"/>
      <c r="BU358" s="135"/>
      <c r="BV358" s="135"/>
      <c r="BW358" s="135"/>
      <c r="BX358" s="135"/>
      <c r="BY358" s="135"/>
      <c r="BZ358" s="135"/>
      <c r="CA358" s="135"/>
      <c r="CB358" s="135"/>
      <c r="CC358" s="135"/>
      <c r="CD358" s="135"/>
      <c r="CE358" s="135"/>
      <c r="CF358" s="135"/>
      <c r="CG358" s="135"/>
      <c r="CH358" s="135"/>
      <c r="CI358" s="185"/>
      <c r="CJ358" s="187"/>
      <c r="CK358" s="136">
        <f t="shared" si="100"/>
        <v>6.9077406870656369E-3</v>
      </c>
      <c r="CL358" s="188"/>
      <c r="CM358" s="188"/>
      <c r="CN358" s="188"/>
      <c r="CO358" s="138" t="s">
        <v>2488</v>
      </c>
      <c r="CP358" s="189" t="s">
        <v>2489</v>
      </c>
      <c r="CQ358" s="191" t="s">
        <v>272</v>
      </c>
      <c r="CR358" s="191"/>
      <c r="CS358" s="135" t="s">
        <v>539</v>
      </c>
      <c r="CT358" s="135"/>
      <c r="CU358" s="135"/>
      <c r="CV358" s="332">
        <f t="shared" si="101"/>
        <v>9.1485232250509605E-4</v>
      </c>
      <c r="CW358" s="329">
        <f t="shared" ref="CW358:CW389" si="102">IF(CV358&lt;1,0,1)</f>
        <v>0</v>
      </c>
      <c r="CX358" s="329"/>
      <c r="CY358" s="189" t="s">
        <v>5921</v>
      </c>
    </row>
    <row r="359" spans="1:103" ht="11.25" customHeight="1" x14ac:dyDescent="0.2">
      <c r="A359" s="72">
        <v>653</v>
      </c>
      <c r="B359" s="191">
        <v>1660</v>
      </c>
      <c r="C359" s="128" t="s">
        <v>1159</v>
      </c>
      <c r="D359" s="128" t="s">
        <v>6577</v>
      </c>
      <c r="E359" s="129"/>
      <c r="F359" s="129" t="s">
        <v>1160</v>
      </c>
      <c r="G359" s="192">
        <v>114369436</v>
      </c>
      <c r="H359" s="139" t="s">
        <v>1161</v>
      </c>
      <c r="I359" s="139" t="s">
        <v>7960</v>
      </c>
      <c r="J359" s="139" t="s">
        <v>1162</v>
      </c>
      <c r="K359" s="139" t="s">
        <v>1163</v>
      </c>
      <c r="L359" s="139" t="s">
        <v>5929</v>
      </c>
      <c r="M359" s="139" t="s">
        <v>6082</v>
      </c>
      <c r="N359" s="138" t="s">
        <v>6082</v>
      </c>
      <c r="O359" s="139" t="s">
        <v>6083</v>
      </c>
      <c r="P359" s="138"/>
      <c r="Q359" s="138"/>
      <c r="R359" s="138"/>
      <c r="S359" s="138"/>
      <c r="T359" s="130">
        <v>336.82</v>
      </c>
      <c r="U359" s="187">
        <v>0.2</v>
      </c>
      <c r="V359" s="187">
        <v>7.0449999999999999</v>
      </c>
      <c r="W359" s="187">
        <v>3.5269383755450319</v>
      </c>
      <c r="X359" s="187">
        <v>0.2</v>
      </c>
      <c r="Y359" s="194">
        <v>7</v>
      </c>
      <c r="Z359" s="130">
        <v>4.2300000000000004</v>
      </c>
      <c r="AA359" s="130">
        <v>3.23</v>
      </c>
      <c r="AB359" s="130">
        <v>3.86</v>
      </c>
      <c r="AC359" s="130">
        <v>0.62219999999999998</v>
      </c>
      <c r="AD359" s="130">
        <v>3.67</v>
      </c>
      <c r="AE359" s="130">
        <v>3.35</v>
      </c>
      <c r="AF359" s="130">
        <f t="shared" si="96"/>
        <v>3.23</v>
      </c>
      <c r="AG359" s="131">
        <v>4.45</v>
      </c>
      <c r="AH359" s="187">
        <v>1.5299999999999999E-10</v>
      </c>
      <c r="AI359" s="187">
        <v>8.3099999999999996E-8</v>
      </c>
      <c r="AJ359" s="136">
        <f t="shared" si="98"/>
        <v>-8.2038748954950531</v>
      </c>
      <c r="AK359" s="136">
        <f>LOG10(AI359*1000/(0.08206*298.15))</f>
        <v>-5.4689653025285407</v>
      </c>
      <c r="AL359" s="136">
        <f t="shared" si="97"/>
        <v>-5.4689653025285407</v>
      </c>
      <c r="AM359" s="136">
        <v>-14.436909999999999</v>
      </c>
      <c r="AN359" s="193">
        <v>-9.89</v>
      </c>
      <c r="AO359" s="481"/>
      <c r="AP359" s="481">
        <v>2.34</v>
      </c>
      <c r="AQ359" s="193" t="s">
        <v>6311</v>
      </c>
      <c r="AR359" s="193" t="s">
        <v>6311</v>
      </c>
      <c r="AS359" s="191"/>
      <c r="AT359" s="132" t="s">
        <v>266</v>
      </c>
      <c r="AU359" s="130">
        <v>6</v>
      </c>
      <c r="AV359" s="130">
        <v>120</v>
      </c>
      <c r="AW359" s="130">
        <v>114</v>
      </c>
      <c r="AX359" s="130">
        <v>28</v>
      </c>
      <c r="AY359" s="130" t="s">
        <v>8728</v>
      </c>
      <c r="AZ359" s="130" t="s">
        <v>1563</v>
      </c>
      <c r="BA359" s="130">
        <v>32</v>
      </c>
      <c r="BB359" s="139" t="s">
        <v>2485</v>
      </c>
      <c r="BC359" s="458" t="s">
        <v>8726</v>
      </c>
      <c r="BD359" s="139" t="s">
        <v>8374</v>
      </c>
      <c r="BE359" s="130" t="s">
        <v>2449</v>
      </c>
      <c r="BF359" s="130" t="s">
        <v>272</v>
      </c>
      <c r="BG359" s="130" t="s">
        <v>272</v>
      </c>
      <c r="BH359" s="130" t="s">
        <v>2486</v>
      </c>
      <c r="BI359" s="187">
        <v>2.155648E-3</v>
      </c>
      <c r="BJ359" s="187">
        <v>21.556480000000001</v>
      </c>
      <c r="BK359" s="130"/>
      <c r="BL359" s="485">
        <v>2.749380648226492</v>
      </c>
      <c r="BM359" s="139" t="s">
        <v>2487</v>
      </c>
      <c r="BN359" s="130"/>
      <c r="BO359" s="130"/>
      <c r="BP359" s="130"/>
      <c r="BQ359" s="130"/>
      <c r="BR359" s="139" t="e">
        <v>#VALUE!</v>
      </c>
      <c r="BS359" s="130"/>
      <c r="BT359" s="130"/>
      <c r="BU359" s="195"/>
      <c r="BV359" s="130"/>
      <c r="BW359" s="130"/>
      <c r="BX359" s="130"/>
      <c r="BY359" s="130"/>
      <c r="BZ359" s="130"/>
      <c r="CA359" s="130"/>
      <c r="CB359" s="130"/>
      <c r="CC359" s="130"/>
      <c r="CD359" s="130"/>
      <c r="CE359" s="130"/>
      <c r="CF359" s="130"/>
      <c r="CG359" s="130"/>
      <c r="CH359" s="130"/>
      <c r="CI359" s="187"/>
      <c r="CJ359" s="187"/>
      <c r="CK359" s="131">
        <f t="shared" si="100"/>
        <v>0.12754311688302042</v>
      </c>
      <c r="CL359" s="188"/>
      <c r="CM359" s="188"/>
      <c r="CN359" s="188"/>
      <c r="CO359" s="139" t="s">
        <v>2488</v>
      </c>
      <c r="CP359" s="499" t="s">
        <v>2489</v>
      </c>
      <c r="CQ359" s="191">
        <v>4.300085880958795E-3</v>
      </c>
      <c r="CR359" s="191">
        <f>10^(CJ359-CQ359)</f>
        <v>0.99014754297667429</v>
      </c>
      <c r="CS359" s="135" t="s">
        <v>539</v>
      </c>
      <c r="CT359" s="135"/>
      <c r="CU359" s="135"/>
      <c r="CV359" s="332">
        <f t="shared" si="101"/>
        <v>9.2779526156404023E-3</v>
      </c>
      <c r="CW359" s="329">
        <f t="shared" si="102"/>
        <v>0</v>
      </c>
      <c r="CX359" s="329"/>
      <c r="CY359" s="189" t="s">
        <v>5921</v>
      </c>
    </row>
    <row r="360" spans="1:103" ht="11.25" customHeight="1" x14ac:dyDescent="0.2">
      <c r="A360" s="72">
        <v>654</v>
      </c>
      <c r="B360" s="191">
        <v>1896</v>
      </c>
      <c r="C360" s="128" t="s">
        <v>1491</v>
      </c>
      <c r="D360" s="128" t="s">
        <v>6579</v>
      </c>
      <c r="E360" s="129"/>
      <c r="F360" s="129" t="s">
        <v>1492</v>
      </c>
      <c r="G360" s="192">
        <v>117718602</v>
      </c>
      <c r="H360" s="139" t="s">
        <v>1493</v>
      </c>
      <c r="I360" s="139" t="s">
        <v>1493</v>
      </c>
      <c r="J360" s="139" t="s">
        <v>1494</v>
      </c>
      <c r="K360" s="139" t="s">
        <v>357</v>
      </c>
      <c r="L360" s="139" t="s">
        <v>5248</v>
      </c>
      <c r="M360" s="139" t="s">
        <v>6082</v>
      </c>
      <c r="N360" s="138" t="s">
        <v>6082</v>
      </c>
      <c r="O360" s="139" t="s">
        <v>6083</v>
      </c>
      <c r="P360" s="138"/>
      <c r="Q360" s="138"/>
      <c r="R360" s="138"/>
      <c r="S360" s="138"/>
      <c r="T360" s="130">
        <v>396.38</v>
      </c>
      <c r="U360" s="187">
        <v>2.5</v>
      </c>
      <c r="V360" s="187">
        <v>1.536</v>
      </c>
      <c r="W360" s="187">
        <v>2.1782701157968494</v>
      </c>
      <c r="X360" s="187">
        <v>2.5</v>
      </c>
      <c r="Y360" s="194">
        <v>7</v>
      </c>
      <c r="Z360" s="130">
        <v>5.76</v>
      </c>
      <c r="AA360" s="130">
        <v>3.89</v>
      </c>
      <c r="AB360" s="130">
        <v>4.1900000000000004</v>
      </c>
      <c r="AC360" s="130">
        <v>0.74739999999999995</v>
      </c>
      <c r="AD360" s="130">
        <v>4.07</v>
      </c>
      <c r="AE360" s="130">
        <v>3.52</v>
      </c>
      <c r="AF360" s="130">
        <f t="shared" si="96"/>
        <v>3.89</v>
      </c>
      <c r="AG360" s="131">
        <v>4.3899999999999997</v>
      </c>
      <c r="AH360" s="187">
        <v>1.5199999999999999E-9</v>
      </c>
      <c r="AI360" s="187">
        <v>4.6899999999999998E-7</v>
      </c>
      <c r="AJ360" s="136">
        <f t="shared" si="98"/>
        <v>-7.2067227383678789</v>
      </c>
      <c r="AK360" s="136">
        <f>LOG10(AI360*1000/(0.08206*298.15))</f>
        <v>-4.7173934835975686</v>
      </c>
      <c r="AL360" s="136">
        <f t="shared" si="97"/>
        <v>-4.7173934835975686</v>
      </c>
      <c r="AM360" s="136">
        <v>-8.0473999999999997</v>
      </c>
      <c r="AN360" s="193">
        <v>-5.55</v>
      </c>
      <c r="AO360" s="481"/>
      <c r="AP360" s="481">
        <v>0.78</v>
      </c>
      <c r="AQ360" s="193" t="s">
        <v>6311</v>
      </c>
      <c r="AR360" s="193" t="s">
        <v>6312</v>
      </c>
      <c r="AS360" s="191"/>
      <c r="AT360" s="132" t="s">
        <v>266</v>
      </c>
      <c r="AU360" s="130">
        <v>6</v>
      </c>
      <c r="AV360" s="130">
        <v>120</v>
      </c>
      <c r="AW360" s="130">
        <v>114</v>
      </c>
      <c r="AX360" s="130">
        <v>28</v>
      </c>
      <c r="AY360" s="130" t="s">
        <v>8728</v>
      </c>
      <c r="AZ360" s="130" t="s">
        <v>1563</v>
      </c>
      <c r="BA360" s="130">
        <v>32</v>
      </c>
      <c r="BB360" s="139" t="s">
        <v>2485</v>
      </c>
      <c r="BC360" s="458" t="s">
        <v>8726</v>
      </c>
      <c r="BD360" s="139" t="s">
        <v>8374</v>
      </c>
      <c r="BE360" s="130" t="s">
        <v>2449</v>
      </c>
      <c r="BF360" s="130" t="s">
        <v>272</v>
      </c>
      <c r="BG360" s="130" t="s">
        <v>272</v>
      </c>
      <c r="BH360" s="130" t="s">
        <v>2486</v>
      </c>
      <c r="BI360" s="187">
        <v>2.5368319999999997E-3</v>
      </c>
      <c r="BJ360" s="187">
        <v>25.368320000000001</v>
      </c>
      <c r="BK360" s="130"/>
      <c r="BL360" s="485">
        <v>0.1367274560291363</v>
      </c>
      <c r="BM360" s="139" t="s">
        <v>2487</v>
      </c>
      <c r="BN360" s="130"/>
      <c r="BO360" s="130"/>
      <c r="BP360" s="130"/>
      <c r="BQ360" s="130"/>
      <c r="BR360" s="139" t="e">
        <v>#VALUE!</v>
      </c>
      <c r="BS360" s="130"/>
      <c r="BT360" s="130"/>
      <c r="BU360" s="195"/>
      <c r="BV360" s="130"/>
      <c r="BW360" s="130"/>
      <c r="BX360" s="130"/>
      <c r="BY360" s="130"/>
      <c r="BZ360" s="130"/>
      <c r="CA360" s="130"/>
      <c r="CB360" s="130"/>
      <c r="CC360" s="130"/>
      <c r="CD360" s="130"/>
      <c r="CE360" s="130"/>
      <c r="CF360" s="130"/>
      <c r="CG360" s="130"/>
      <c r="CH360" s="130"/>
      <c r="CI360" s="187"/>
      <c r="CJ360" s="187"/>
      <c r="CK360" s="131">
        <f t="shared" si="100"/>
        <v>5.3896929725396206E-3</v>
      </c>
      <c r="CL360" s="188"/>
      <c r="CM360" s="188"/>
      <c r="CN360" s="188"/>
      <c r="CO360" s="139" t="s">
        <v>2488</v>
      </c>
      <c r="CP360" s="499" t="s">
        <v>2489</v>
      </c>
      <c r="CQ360" s="191">
        <v>0.5377734806962654</v>
      </c>
      <c r="CR360" s="191">
        <f>10^(CJ360-CQ360)</f>
        <v>0.28988551782622413</v>
      </c>
      <c r="CS360" s="135" t="s">
        <v>539</v>
      </c>
      <c r="CT360" s="135"/>
      <c r="CU360" s="135"/>
      <c r="CV360" s="332">
        <f t="shared" si="101"/>
        <v>9.854811039911196E-2</v>
      </c>
      <c r="CW360" s="329">
        <f t="shared" si="102"/>
        <v>0</v>
      </c>
      <c r="CX360" s="329"/>
      <c r="CY360" s="189" t="s">
        <v>5921</v>
      </c>
    </row>
    <row r="361" spans="1:103" ht="11.25" customHeight="1" x14ac:dyDescent="0.2">
      <c r="A361" s="72">
        <v>655</v>
      </c>
      <c r="B361" s="183">
        <v>1929</v>
      </c>
      <c r="C361" s="133" t="s">
        <v>6897</v>
      </c>
      <c r="D361" s="133"/>
      <c r="E361" s="134"/>
      <c r="F361" s="134" t="s">
        <v>5417</v>
      </c>
      <c r="G361" s="184">
        <v>97322877</v>
      </c>
      <c r="H361" s="138" t="s">
        <v>5418</v>
      </c>
      <c r="I361" s="138" t="s">
        <v>7858</v>
      </c>
      <c r="J361" s="138" t="s">
        <v>5419</v>
      </c>
      <c r="K361" s="138" t="s">
        <v>5420</v>
      </c>
      <c r="L361" s="138"/>
      <c r="M361" s="138"/>
      <c r="N361" s="138"/>
      <c r="O361" s="138"/>
      <c r="P361" s="138"/>
      <c r="Q361" s="138"/>
      <c r="R361" s="138"/>
      <c r="S361" s="138"/>
      <c r="T361" s="135">
        <v>441.54</v>
      </c>
      <c r="U361" s="185"/>
      <c r="V361" s="185">
        <v>3.8629999999999998E-2</v>
      </c>
      <c r="W361" s="185">
        <v>1.2444287994705066</v>
      </c>
      <c r="X361" s="185">
        <v>1.2444287994705066</v>
      </c>
      <c r="Y361" s="204">
        <v>6.03</v>
      </c>
      <c r="Z361" s="135">
        <v>6.11</v>
      </c>
      <c r="AA361" s="135"/>
      <c r="AB361" s="135">
        <v>4.04</v>
      </c>
      <c r="AC361" s="135">
        <v>0.74480000000000002</v>
      </c>
      <c r="AD361" s="135">
        <v>4.3</v>
      </c>
      <c r="AE361" s="135">
        <v>4.9800000000000004</v>
      </c>
      <c r="AF361" s="135">
        <f t="shared" ref="AF361:AF392" si="103">IF(AA361=0,AD361,AA361)</f>
        <v>4.3</v>
      </c>
      <c r="AG361" s="136">
        <v>5.16</v>
      </c>
      <c r="AH361" s="185">
        <v>5.7700000000000003E-15</v>
      </c>
      <c r="AI361" s="185"/>
      <c r="AJ361" s="136">
        <f t="shared" si="98"/>
        <v>-12.62739051315692</v>
      </c>
      <c r="AK361" s="136"/>
      <c r="AL361" s="136">
        <f t="shared" ref="AL361:AL392" si="104">IF(AK361=0,AJ361,AK361)</f>
        <v>-12.62739051315692</v>
      </c>
      <c r="AM361" s="136">
        <v>-23.04355</v>
      </c>
      <c r="AN361" s="186">
        <v>-12.7</v>
      </c>
      <c r="AO361" s="481">
        <v>6.34</v>
      </c>
      <c r="AP361" s="481">
        <v>-5.53</v>
      </c>
      <c r="AQ361" s="186" t="s">
        <v>6311</v>
      </c>
      <c r="AR361" s="186" t="s">
        <v>6311</v>
      </c>
      <c r="AS361" s="183"/>
      <c r="AT361" s="137" t="s">
        <v>266</v>
      </c>
      <c r="AU361" s="135">
        <v>6</v>
      </c>
      <c r="AV361" s="135">
        <v>120</v>
      </c>
      <c r="AW361" s="135">
        <v>114</v>
      </c>
      <c r="AX361" s="135">
        <v>28</v>
      </c>
      <c r="AY361" s="135" t="s">
        <v>8728</v>
      </c>
      <c r="AZ361" s="135" t="s">
        <v>1563</v>
      </c>
      <c r="BA361" s="135">
        <v>32</v>
      </c>
      <c r="BB361" s="138" t="s">
        <v>2485</v>
      </c>
      <c r="BC361" s="458" t="s">
        <v>8726</v>
      </c>
      <c r="BD361" s="138" t="s">
        <v>8374</v>
      </c>
      <c r="BE361" s="135" t="s">
        <v>2449</v>
      </c>
      <c r="BF361" s="135" t="s">
        <v>272</v>
      </c>
      <c r="BG361" s="135" t="s">
        <v>272</v>
      </c>
      <c r="BH361" s="135" t="s">
        <v>2486</v>
      </c>
      <c r="BI361" s="185">
        <v>2.8258559999999999E-3</v>
      </c>
      <c r="BJ361" s="185">
        <v>28.258560000000003</v>
      </c>
      <c r="BK361" s="135"/>
      <c r="BL361" s="485">
        <v>7.3854855592985436E-2</v>
      </c>
      <c r="BM361" s="138" t="s">
        <v>2487</v>
      </c>
      <c r="BN361" s="135"/>
      <c r="BO361" s="135"/>
      <c r="BP361" s="135"/>
      <c r="BQ361" s="135"/>
      <c r="BR361" s="138" t="e">
        <v>#VALUE!</v>
      </c>
      <c r="BS361" s="135"/>
      <c r="BT361" s="135"/>
      <c r="BU361" s="135"/>
      <c r="BV361" s="135"/>
      <c r="BW361" s="135"/>
      <c r="BX361" s="135"/>
      <c r="BY361" s="135"/>
      <c r="BZ361" s="135"/>
      <c r="CA361" s="135"/>
      <c r="CB361" s="135"/>
      <c r="CC361" s="135"/>
      <c r="CD361" s="135"/>
      <c r="CE361" s="135"/>
      <c r="CF361" s="135"/>
      <c r="CG361" s="135"/>
      <c r="CH361" s="135"/>
      <c r="CI361" s="185"/>
      <c r="CJ361" s="187"/>
      <c r="CK361" s="136">
        <f t="shared" si="100"/>
        <v>2.6135392459129352E-3</v>
      </c>
      <c r="CL361" s="188"/>
      <c r="CM361" s="188"/>
      <c r="CN361" s="188"/>
      <c r="CO361" s="138" t="s">
        <v>2488</v>
      </c>
      <c r="CP361" s="189" t="s">
        <v>2489</v>
      </c>
      <c r="CQ361" s="191" t="s">
        <v>272</v>
      </c>
      <c r="CR361" s="191"/>
      <c r="CS361" s="135" t="s">
        <v>539</v>
      </c>
      <c r="CT361" s="135"/>
      <c r="CU361" s="135"/>
      <c r="CV361" s="332">
        <f t="shared" si="101"/>
        <v>4.4037233301007075E-2</v>
      </c>
      <c r="CW361" s="329">
        <f t="shared" si="102"/>
        <v>0</v>
      </c>
      <c r="CX361" s="329"/>
      <c r="CY361" s="189" t="s">
        <v>5921</v>
      </c>
    </row>
    <row r="362" spans="1:103" ht="11.25" customHeight="1" x14ac:dyDescent="0.2">
      <c r="A362" s="72">
        <v>657</v>
      </c>
      <c r="B362" s="191">
        <v>1703</v>
      </c>
      <c r="C362" s="128" t="s">
        <v>6899</v>
      </c>
      <c r="D362" s="128"/>
      <c r="E362" s="129"/>
      <c r="F362" s="129" t="s">
        <v>3893</v>
      </c>
      <c r="G362" s="192">
        <v>104098488</v>
      </c>
      <c r="H362" s="139" t="s">
        <v>3894</v>
      </c>
      <c r="I362" s="139" t="s">
        <v>3894</v>
      </c>
      <c r="J362" s="139" t="s">
        <v>4962</v>
      </c>
      <c r="K362" s="139" t="s">
        <v>471</v>
      </c>
      <c r="L362" s="139"/>
      <c r="M362" s="139"/>
      <c r="N362" s="138"/>
      <c r="O362" s="139"/>
      <c r="P362" s="138"/>
      <c r="Q362" s="138"/>
      <c r="R362" s="138"/>
      <c r="S362" s="138"/>
      <c r="T362" s="130">
        <v>275.3</v>
      </c>
      <c r="U362" s="187">
        <v>2230</v>
      </c>
      <c r="V362" s="185">
        <v>132.5</v>
      </c>
      <c r="W362" s="185">
        <v>1737.0255693539702</v>
      </c>
      <c r="X362" s="187">
        <v>2230</v>
      </c>
      <c r="Y362" s="194">
        <v>2.95</v>
      </c>
      <c r="Z362" s="130">
        <v>2.11</v>
      </c>
      <c r="AA362" s="130">
        <v>2.4700000000000002</v>
      </c>
      <c r="AB362" s="130">
        <v>0.79</v>
      </c>
      <c r="AC362" s="130">
        <v>0.84009999999999996</v>
      </c>
      <c r="AD362" s="130">
        <v>0.81</v>
      </c>
      <c r="AE362" s="130">
        <v>0.97</v>
      </c>
      <c r="AF362" s="130">
        <f t="shared" si="103"/>
        <v>2.4700000000000002</v>
      </c>
      <c r="AG362" s="131">
        <v>5.46</v>
      </c>
      <c r="AH362" s="187">
        <v>7.8100000000000002E-17</v>
      </c>
      <c r="AI362" s="187"/>
      <c r="AJ362" s="136">
        <f t="shared" ref="AJ362:AJ394" si="105">LOG10(AH362*1000/(0.08206*298.15))</f>
        <v>-14.495915292435351</v>
      </c>
      <c r="AK362" s="136"/>
      <c r="AL362" s="136">
        <f t="shared" si="104"/>
        <v>-14.495915292435351</v>
      </c>
      <c r="AM362" s="136">
        <v>-17.94426</v>
      </c>
      <c r="AN362" s="193">
        <v>-15</v>
      </c>
      <c r="AO362" s="481">
        <v>10.72</v>
      </c>
      <c r="AP362" s="481">
        <v>3.33</v>
      </c>
      <c r="AQ362" s="193" t="s">
        <v>6311</v>
      </c>
      <c r="AR362" s="193" t="s">
        <v>6311</v>
      </c>
      <c r="AS362" s="191"/>
      <c r="AT362" s="132" t="s">
        <v>266</v>
      </c>
      <c r="AU362" s="130">
        <v>6</v>
      </c>
      <c r="AV362" s="130">
        <v>120</v>
      </c>
      <c r="AW362" s="130">
        <v>114</v>
      </c>
      <c r="AX362" s="130">
        <v>28</v>
      </c>
      <c r="AY362" s="130" t="s">
        <v>8728</v>
      </c>
      <c r="AZ362" s="130" t="s">
        <v>1563</v>
      </c>
      <c r="BA362" s="130">
        <v>32</v>
      </c>
      <c r="BB362" s="139" t="s">
        <v>2485</v>
      </c>
      <c r="BC362" s="458" t="s">
        <v>8726</v>
      </c>
      <c r="BD362" s="139" t="s">
        <v>8374</v>
      </c>
      <c r="BE362" s="130" t="s">
        <v>2449</v>
      </c>
      <c r="BF362" s="130" t="s">
        <v>272</v>
      </c>
      <c r="BG362" s="130" t="s">
        <v>272</v>
      </c>
      <c r="BH362" s="130" t="s">
        <v>2486</v>
      </c>
      <c r="BI362" s="187">
        <v>1.7619199999999999E-3</v>
      </c>
      <c r="BJ362" s="187">
        <v>17.619200000000003</v>
      </c>
      <c r="BK362" s="130"/>
      <c r="BL362" s="485">
        <v>180.14209592835692</v>
      </c>
      <c r="BM362" s="139" t="s">
        <v>2487</v>
      </c>
      <c r="BN362" s="130"/>
      <c r="BO362" s="130"/>
      <c r="BP362" s="130"/>
      <c r="BQ362" s="130"/>
      <c r="BR362" s="139" t="e">
        <v>#VALUE!</v>
      </c>
      <c r="BS362" s="130"/>
      <c r="BT362" s="130"/>
      <c r="BU362" s="195"/>
      <c r="BV362" s="130"/>
      <c r="BW362" s="130"/>
      <c r="BX362" s="130"/>
      <c r="BY362" s="130"/>
      <c r="BZ362" s="130"/>
      <c r="CA362" s="130"/>
      <c r="CB362" s="130"/>
      <c r="CC362" s="130"/>
      <c r="CD362" s="130"/>
      <c r="CE362" s="130"/>
      <c r="CF362" s="130"/>
      <c r="CG362" s="130"/>
      <c r="CH362" s="130"/>
      <c r="CI362" s="187"/>
      <c r="CJ362" s="187"/>
      <c r="CK362" s="131">
        <f t="shared" si="100"/>
        <v>10.22419269480776</v>
      </c>
      <c r="CL362" s="188"/>
      <c r="CM362" s="188"/>
      <c r="CN362" s="188"/>
      <c r="CO362" s="139" t="s">
        <v>2488</v>
      </c>
      <c r="CP362" s="499" t="s">
        <v>2489</v>
      </c>
      <c r="CQ362" s="191" t="s">
        <v>272</v>
      </c>
      <c r="CR362" s="191"/>
      <c r="CS362" s="135" t="s">
        <v>539</v>
      </c>
      <c r="CT362" s="135"/>
      <c r="CU362" s="135"/>
      <c r="CV362" s="332">
        <f t="shared" si="101"/>
        <v>126.56647293861241</v>
      </c>
      <c r="CW362" s="329">
        <f t="shared" si="102"/>
        <v>1</v>
      </c>
      <c r="CX362" s="329"/>
      <c r="CY362" s="189" t="s">
        <v>5921</v>
      </c>
    </row>
    <row r="363" spans="1:103" ht="11.25" customHeight="1" x14ac:dyDescent="0.2">
      <c r="A363" s="72">
        <v>658</v>
      </c>
      <c r="B363" s="183">
        <v>1886</v>
      </c>
      <c r="C363" s="133" t="s">
        <v>4031</v>
      </c>
      <c r="D363" s="133" t="s">
        <v>6898</v>
      </c>
      <c r="E363" s="134"/>
      <c r="F363" s="134" t="s">
        <v>4032</v>
      </c>
      <c r="G363" s="184">
        <v>79538322</v>
      </c>
      <c r="H363" s="138" t="s">
        <v>4033</v>
      </c>
      <c r="I363" s="138" t="s">
        <v>7961</v>
      </c>
      <c r="J363" s="138" t="s">
        <v>4034</v>
      </c>
      <c r="K363" s="138" t="s">
        <v>1363</v>
      </c>
      <c r="L363" s="138" t="s">
        <v>617</v>
      </c>
      <c r="M363" s="138" t="s">
        <v>1086</v>
      </c>
      <c r="N363" s="138" t="s">
        <v>6376</v>
      </c>
      <c r="O363" s="138" t="s">
        <v>918</v>
      </c>
      <c r="P363" s="138"/>
      <c r="Q363" s="138"/>
      <c r="R363" s="138"/>
      <c r="S363" s="138"/>
      <c r="T363" s="135">
        <v>418.73</v>
      </c>
      <c r="U363" s="185">
        <v>0.02</v>
      </c>
      <c r="V363" s="185">
        <v>6.5839999999999996E-3</v>
      </c>
      <c r="W363" s="185">
        <v>4.1873E-2</v>
      </c>
      <c r="X363" s="185">
        <v>0.02</v>
      </c>
      <c r="Y363" s="204">
        <v>7</v>
      </c>
      <c r="Z363" s="135">
        <v>7.19</v>
      </c>
      <c r="AA363" s="135">
        <v>6.5</v>
      </c>
      <c r="AB363" s="135">
        <v>5.92</v>
      </c>
      <c r="AC363" s="135">
        <v>0.75429999999999997</v>
      </c>
      <c r="AD363" s="135">
        <v>5.88</v>
      </c>
      <c r="AE363" s="135">
        <v>5.78</v>
      </c>
      <c r="AF363" s="135">
        <f t="shared" si="103"/>
        <v>6.5</v>
      </c>
      <c r="AG363" s="136">
        <v>5.66</v>
      </c>
      <c r="AH363" s="185">
        <v>4.6299999999999998E-4</v>
      </c>
      <c r="AI363" s="185">
        <v>1.65E-3</v>
      </c>
      <c r="AJ363" s="136">
        <f t="shared" si="105"/>
        <v>-1.7229853352946987</v>
      </c>
      <c r="AK363" s="136">
        <f>LOG10(AI363*1000/(0.08206*298.15))</f>
        <v>-1.1710823820987455</v>
      </c>
      <c r="AL363" s="136">
        <f t="shared" si="104"/>
        <v>-1.1710823820987455</v>
      </c>
      <c r="AM363" s="136">
        <v>-5.0427700000000009</v>
      </c>
      <c r="AN363" s="186">
        <v>-2.78</v>
      </c>
      <c r="AO363" s="481"/>
      <c r="AP363" s="481"/>
      <c r="AQ363" s="186" t="s">
        <v>6311</v>
      </c>
      <c r="AR363" s="186" t="s">
        <v>6312</v>
      </c>
      <c r="AS363" s="183"/>
      <c r="AT363" s="137" t="s">
        <v>266</v>
      </c>
      <c r="AU363" s="135">
        <v>6</v>
      </c>
      <c r="AV363" s="135">
        <v>120</v>
      </c>
      <c r="AW363" s="135">
        <v>114</v>
      </c>
      <c r="AX363" s="135">
        <v>28</v>
      </c>
      <c r="AY363" s="135" t="s">
        <v>8728</v>
      </c>
      <c r="AZ363" s="135" t="s">
        <v>1563</v>
      </c>
      <c r="BA363" s="135">
        <v>32</v>
      </c>
      <c r="BB363" s="138" t="s">
        <v>2485</v>
      </c>
      <c r="BC363" s="458" t="s">
        <v>8726</v>
      </c>
      <c r="BD363" s="138" t="s">
        <v>8374</v>
      </c>
      <c r="BE363" s="135" t="s">
        <v>2449</v>
      </c>
      <c r="BF363" s="135" t="s">
        <v>272</v>
      </c>
      <c r="BG363" s="135" t="s">
        <v>272</v>
      </c>
      <c r="BH363" s="135" t="s">
        <v>2486</v>
      </c>
      <c r="BI363" s="185">
        <v>2.6798719999999998E-3</v>
      </c>
      <c r="BJ363" s="185">
        <v>26.798720000000003</v>
      </c>
      <c r="BK363" s="135"/>
      <c r="BL363" s="485">
        <v>7.5057669750365225E-3</v>
      </c>
      <c r="BM363" s="138" t="s">
        <v>2487</v>
      </c>
      <c r="BN363" s="135"/>
      <c r="BO363" s="135"/>
      <c r="BP363" s="135"/>
      <c r="BQ363" s="135"/>
      <c r="BR363" s="138" t="e">
        <v>#VALUE!</v>
      </c>
      <c r="BS363" s="135"/>
      <c r="BT363" s="135"/>
      <c r="BU363" s="135"/>
      <c r="BV363" s="135"/>
      <c r="BW363" s="135"/>
      <c r="BX363" s="135"/>
      <c r="BY363" s="135"/>
      <c r="BZ363" s="135"/>
      <c r="CA363" s="135"/>
      <c r="CB363" s="135"/>
      <c r="CC363" s="135"/>
      <c r="CD363" s="135"/>
      <c r="CE363" s="135"/>
      <c r="CF363" s="135"/>
      <c r="CG363" s="135"/>
      <c r="CH363" s="135"/>
      <c r="CI363" s="185"/>
      <c r="CJ363" s="187"/>
      <c r="CK363" s="136">
        <f t="shared" si="100"/>
        <v>2.8007930882656043E-4</v>
      </c>
      <c r="CL363" s="188"/>
      <c r="CM363" s="188"/>
      <c r="CN363" s="188"/>
      <c r="CO363" s="138" t="s">
        <v>2488</v>
      </c>
      <c r="CP363" s="189" t="s">
        <v>2489</v>
      </c>
      <c r="CQ363" s="183">
        <v>-3.0688491211508206</v>
      </c>
      <c r="CR363" s="191">
        <f>10^(CJ363-CQ363)</f>
        <v>1171.788202258721</v>
      </c>
      <c r="CS363" s="135" t="s">
        <v>539</v>
      </c>
      <c r="CT363" s="135"/>
      <c r="CU363" s="135"/>
      <c r="CV363" s="332">
        <f t="shared" si="101"/>
        <v>7.4630430110094804E-4</v>
      </c>
      <c r="CW363" s="329">
        <f t="shared" si="102"/>
        <v>0</v>
      </c>
      <c r="CX363" s="329"/>
      <c r="CY363" s="189" t="s">
        <v>5921</v>
      </c>
    </row>
    <row r="364" spans="1:103" ht="11.25" customHeight="1" x14ac:dyDescent="0.2">
      <c r="A364" s="72">
        <v>660</v>
      </c>
      <c r="B364" s="183">
        <v>1883</v>
      </c>
      <c r="C364" s="133" t="s">
        <v>6900</v>
      </c>
      <c r="D364" s="133"/>
      <c r="E364" s="134"/>
      <c r="F364" s="134" t="s">
        <v>4025</v>
      </c>
      <c r="G364" s="184">
        <v>112410238</v>
      </c>
      <c r="H364" s="138" t="s">
        <v>4026</v>
      </c>
      <c r="I364" s="138" t="s">
        <v>4026</v>
      </c>
      <c r="J364" s="138" t="s">
        <v>4027</v>
      </c>
      <c r="K364" s="138" t="s">
        <v>483</v>
      </c>
      <c r="L364" s="138" t="s">
        <v>617</v>
      </c>
      <c r="M364" s="138" t="s">
        <v>3940</v>
      </c>
      <c r="N364" s="138"/>
      <c r="O364" s="138" t="s">
        <v>918</v>
      </c>
      <c r="P364" s="138"/>
      <c r="Q364" s="138"/>
      <c r="R364" s="138"/>
      <c r="S364" s="138"/>
      <c r="T364" s="135">
        <v>352.47</v>
      </c>
      <c r="U364" s="185">
        <v>0.83000000000000007</v>
      </c>
      <c r="V364" s="185">
        <v>1.405</v>
      </c>
      <c r="W364" s="185">
        <v>1.4032083440499095</v>
      </c>
      <c r="X364" s="185">
        <v>0.83000000000000007</v>
      </c>
      <c r="Y364" s="204">
        <v>7</v>
      </c>
      <c r="Z364" s="135">
        <v>4.62</v>
      </c>
      <c r="AA364" s="135">
        <v>4.25</v>
      </c>
      <c r="AB364" s="135">
        <v>3.76</v>
      </c>
      <c r="AC364" s="135">
        <v>0.89090000000000003</v>
      </c>
      <c r="AD364" s="135">
        <v>3.88</v>
      </c>
      <c r="AE364" s="135">
        <v>4.24</v>
      </c>
      <c r="AF364" s="135">
        <f t="shared" si="103"/>
        <v>4.25</v>
      </c>
      <c r="AG364" s="136">
        <v>4.99</v>
      </c>
      <c r="AH364" s="185">
        <v>8.6199999999999997E-11</v>
      </c>
      <c r="AI364" s="185">
        <v>1.26E-8</v>
      </c>
      <c r="AJ364" s="136">
        <f t="shared" si="105"/>
        <v>-8.4530590604879396</v>
      </c>
      <c r="AK364" s="136">
        <f>LOG10(AI364*1000/(0.08206*298.15))</f>
        <v>-6.288195781195089</v>
      </c>
      <c r="AL364" s="136">
        <f t="shared" si="104"/>
        <v>-6.288195781195089</v>
      </c>
      <c r="AM364" s="136">
        <v>-18.325980000000001</v>
      </c>
      <c r="AN364" s="186">
        <v>-9.6199999999999992</v>
      </c>
      <c r="AO364" s="481">
        <v>10.89</v>
      </c>
      <c r="AP364" s="481">
        <v>-2.2000000000000002</v>
      </c>
      <c r="AQ364" s="186" t="s">
        <v>6311</v>
      </c>
      <c r="AR364" s="186" t="s">
        <v>6311</v>
      </c>
      <c r="AS364" s="183"/>
      <c r="AT364" s="137" t="s">
        <v>266</v>
      </c>
      <c r="AU364" s="135">
        <v>6</v>
      </c>
      <c r="AV364" s="135">
        <v>120</v>
      </c>
      <c r="AW364" s="135">
        <v>114</v>
      </c>
      <c r="AX364" s="135">
        <v>28</v>
      </c>
      <c r="AY364" s="135" t="s">
        <v>8728</v>
      </c>
      <c r="AZ364" s="135" t="s">
        <v>1563</v>
      </c>
      <c r="BA364" s="135">
        <v>32</v>
      </c>
      <c r="BB364" s="138" t="s">
        <v>2485</v>
      </c>
      <c r="BC364" s="458" t="s">
        <v>8726</v>
      </c>
      <c r="BD364" s="138" t="s">
        <v>8374</v>
      </c>
      <c r="BE364" s="135" t="s">
        <v>2449</v>
      </c>
      <c r="BF364" s="135" t="s">
        <v>272</v>
      </c>
      <c r="BG364" s="135" t="s">
        <v>272</v>
      </c>
      <c r="BH364" s="135" t="s">
        <v>2486</v>
      </c>
      <c r="BI364" s="185">
        <v>2.2558080000000002E-3</v>
      </c>
      <c r="BJ364" s="185">
        <v>22.558080000000004</v>
      </c>
      <c r="BK364" s="135"/>
      <c r="BL364" s="485">
        <v>1.2843995907717831</v>
      </c>
      <c r="BM364" s="138" t="s">
        <v>2487</v>
      </c>
      <c r="BN364" s="135"/>
      <c r="BO364" s="135"/>
      <c r="BP364" s="135"/>
      <c r="BQ364" s="135"/>
      <c r="BR364" s="138" t="e">
        <v>#VALUE!</v>
      </c>
      <c r="BS364" s="135"/>
      <c r="BT364" s="135"/>
      <c r="BU364" s="135"/>
      <c r="BV364" s="135"/>
      <c r="BW364" s="135"/>
      <c r="BX364" s="135"/>
      <c r="BY364" s="135"/>
      <c r="BZ364" s="135"/>
      <c r="CA364" s="135"/>
      <c r="CB364" s="135"/>
      <c r="CC364" s="135"/>
      <c r="CD364" s="135"/>
      <c r="CE364" s="135"/>
      <c r="CF364" s="135"/>
      <c r="CG364" s="135"/>
      <c r="CH364" s="135"/>
      <c r="CI364" s="185"/>
      <c r="CJ364" s="187"/>
      <c r="CK364" s="136">
        <f t="shared" si="100"/>
        <v>5.6937451714497996E-2</v>
      </c>
      <c r="CL364" s="188"/>
      <c r="CM364" s="188"/>
      <c r="CN364" s="188"/>
      <c r="CO364" s="138" t="s">
        <v>2488</v>
      </c>
      <c r="CP364" s="189" t="s">
        <v>2489</v>
      </c>
      <c r="CQ364" s="191" t="s">
        <v>272</v>
      </c>
      <c r="CR364" s="191"/>
      <c r="CS364" s="135" t="s">
        <v>539</v>
      </c>
      <c r="CT364" s="135"/>
      <c r="CU364" s="135"/>
      <c r="CV364" s="332">
        <f t="shared" si="101"/>
        <v>3.6793911538570652E-2</v>
      </c>
      <c r="CW364" s="329">
        <f t="shared" si="102"/>
        <v>0</v>
      </c>
      <c r="CX364" s="329"/>
      <c r="CY364" s="189" t="s">
        <v>5921</v>
      </c>
    </row>
    <row r="365" spans="1:103" ht="11.25" customHeight="1" x14ac:dyDescent="0.2">
      <c r="A365" s="72">
        <v>661</v>
      </c>
      <c r="B365" s="183">
        <v>1418</v>
      </c>
      <c r="C365" s="133" t="s">
        <v>4361</v>
      </c>
      <c r="D365" s="133" t="s">
        <v>6901</v>
      </c>
      <c r="E365" s="134"/>
      <c r="F365" s="134" t="s">
        <v>4362</v>
      </c>
      <c r="G365" s="184">
        <v>732263</v>
      </c>
      <c r="H365" s="138" t="s">
        <v>4363</v>
      </c>
      <c r="I365" s="138" t="s">
        <v>4363</v>
      </c>
      <c r="J365" s="138" t="s">
        <v>4364</v>
      </c>
      <c r="K365" s="138" t="s">
        <v>349</v>
      </c>
      <c r="L365" s="138" t="s">
        <v>6149</v>
      </c>
      <c r="M365" s="138" t="s">
        <v>2342</v>
      </c>
      <c r="N365" s="138" t="s">
        <v>2342</v>
      </c>
      <c r="O365" s="138"/>
      <c r="P365" s="138"/>
      <c r="Q365" s="138"/>
      <c r="R365" s="138"/>
      <c r="S365" s="138"/>
      <c r="T365" s="135">
        <v>262.43</v>
      </c>
      <c r="U365" s="185">
        <v>35</v>
      </c>
      <c r="V365" s="185">
        <v>0.51200000000000001</v>
      </c>
      <c r="W365" s="185">
        <v>47.754409632501719</v>
      </c>
      <c r="X365" s="185">
        <v>35</v>
      </c>
      <c r="Y365" s="204">
        <v>7</v>
      </c>
      <c r="Z365" s="135">
        <v>6.39</v>
      </c>
      <c r="AA365" s="135">
        <v>6.06</v>
      </c>
      <c r="AB365" s="135">
        <v>5.86</v>
      </c>
      <c r="AC365" s="135">
        <v>0.85199999999999998</v>
      </c>
      <c r="AD365" s="135">
        <v>6.05</v>
      </c>
      <c r="AE365" s="135">
        <v>6.55</v>
      </c>
      <c r="AF365" s="135">
        <f t="shared" si="103"/>
        <v>6.06</v>
      </c>
      <c r="AG365" s="136">
        <v>6.4</v>
      </c>
      <c r="AH365" s="185">
        <v>9.6500000000000008E-6</v>
      </c>
      <c r="AI365" s="185"/>
      <c r="AJ365" s="136">
        <f t="shared" si="105"/>
        <v>-3.4040390129688594</v>
      </c>
      <c r="AK365" s="136"/>
      <c r="AL365" s="136">
        <f t="shared" si="104"/>
        <v>-3.4040390129688594</v>
      </c>
      <c r="AM365" s="136">
        <v>-6.49573</v>
      </c>
      <c r="AN365" s="186">
        <v>-2.4700000000000002</v>
      </c>
      <c r="AO365" s="481">
        <v>12.61</v>
      </c>
      <c r="AP365" s="481"/>
      <c r="AQ365" s="135" t="s">
        <v>6311</v>
      </c>
      <c r="AR365" s="135" t="s">
        <v>6311</v>
      </c>
      <c r="AS365" s="190"/>
      <c r="AT365" s="137" t="s">
        <v>266</v>
      </c>
      <c r="AU365" s="135">
        <v>6</v>
      </c>
      <c r="AV365" s="135">
        <v>120</v>
      </c>
      <c r="AW365" s="135">
        <v>114</v>
      </c>
      <c r="AX365" s="135">
        <v>28</v>
      </c>
      <c r="AY365" s="135" t="s">
        <v>8728</v>
      </c>
      <c r="AZ365" s="135" t="s">
        <v>1563</v>
      </c>
      <c r="BA365" s="135">
        <v>32</v>
      </c>
      <c r="BB365" s="138" t="s">
        <v>2485</v>
      </c>
      <c r="BC365" s="458" t="s">
        <v>8726</v>
      </c>
      <c r="BD365" s="138" t="s">
        <v>8374</v>
      </c>
      <c r="BE365" s="135" t="s">
        <v>2449</v>
      </c>
      <c r="BF365" s="135" t="s">
        <v>272</v>
      </c>
      <c r="BG365" s="135" t="s">
        <v>272</v>
      </c>
      <c r="BH365" s="135" t="s">
        <v>2486</v>
      </c>
      <c r="BI365" s="185">
        <v>1.679552E-3</v>
      </c>
      <c r="BJ365" s="185">
        <v>16.79552</v>
      </c>
      <c r="BK365" s="135"/>
      <c r="BL365" s="485">
        <v>2.460109739963931E-2</v>
      </c>
      <c r="BM365" s="138" t="s">
        <v>2487</v>
      </c>
      <c r="BN365" s="135"/>
      <c r="BO365" s="135"/>
      <c r="BP365" s="135"/>
      <c r="BQ365" s="135"/>
      <c r="BR365" s="138" t="e">
        <v>#VALUE!</v>
      </c>
      <c r="BS365" s="135"/>
      <c r="BT365" s="135"/>
      <c r="BU365" s="135"/>
      <c r="BV365" s="135"/>
      <c r="BW365" s="135"/>
      <c r="BX365" s="135"/>
      <c r="BY365" s="135"/>
      <c r="BZ365" s="135"/>
      <c r="CA365" s="135"/>
      <c r="CB365" s="135"/>
      <c r="CC365" s="135"/>
      <c r="CD365" s="135"/>
      <c r="CE365" s="135"/>
      <c r="CF365" s="135"/>
      <c r="CG365" s="135"/>
      <c r="CH365" s="135"/>
      <c r="CI365" s="185"/>
      <c r="CJ365" s="187"/>
      <c r="CK365" s="136">
        <f t="shared" si="100"/>
        <v>1.4647416334617393E-3</v>
      </c>
      <c r="CL365" s="188"/>
      <c r="CM365" s="188"/>
      <c r="CN365" s="188"/>
      <c r="CO365" s="138" t="s">
        <v>2488</v>
      </c>
      <c r="CP365" s="189" t="s">
        <v>2489</v>
      </c>
      <c r="CQ365" s="183">
        <v>-1.2111248842245832</v>
      </c>
      <c r="CR365" s="191">
        <f t="shared" ref="CR365:CR371" si="106">10^(CJ365-CQ365)</f>
        <v>16.260162601626021</v>
      </c>
      <c r="CS365" s="135" t="s">
        <v>539</v>
      </c>
      <c r="CT365" s="135"/>
      <c r="CU365" s="135"/>
      <c r="CV365" s="332">
        <f t="shared" si="101"/>
        <v>2.0838890370765539</v>
      </c>
      <c r="CW365" s="329">
        <f t="shared" si="102"/>
        <v>1</v>
      </c>
      <c r="CX365" s="329"/>
      <c r="CY365" s="189" t="s">
        <v>6351</v>
      </c>
    </row>
    <row r="366" spans="1:103" ht="11.25" customHeight="1" x14ac:dyDescent="0.2">
      <c r="A366" s="72">
        <v>662</v>
      </c>
      <c r="B366" s="183">
        <v>1843</v>
      </c>
      <c r="C366" s="133" t="s">
        <v>1428</v>
      </c>
      <c r="D366" s="133" t="s">
        <v>6774</v>
      </c>
      <c r="E366" s="134"/>
      <c r="F366" s="134" t="s">
        <v>1429</v>
      </c>
      <c r="G366" s="184">
        <v>129630199</v>
      </c>
      <c r="H366" s="138" t="s">
        <v>1430</v>
      </c>
      <c r="I366" s="138" t="s">
        <v>7903</v>
      </c>
      <c r="J366" s="138" t="s">
        <v>1431</v>
      </c>
      <c r="K366" s="138" t="s">
        <v>341</v>
      </c>
      <c r="L366" s="138" t="s">
        <v>6010</v>
      </c>
      <c r="M366" s="138" t="s">
        <v>2342</v>
      </c>
      <c r="N366" s="138" t="s">
        <v>2342</v>
      </c>
      <c r="O366" s="138"/>
      <c r="P366" s="138"/>
      <c r="Q366" s="138"/>
      <c r="R366" s="138"/>
      <c r="S366" s="138"/>
      <c r="T366" s="135">
        <v>413.18</v>
      </c>
      <c r="U366" s="185">
        <v>1</v>
      </c>
      <c r="V366" s="185">
        <v>2.653</v>
      </c>
      <c r="W366" s="185">
        <v>2.3234818874214813</v>
      </c>
      <c r="X366" s="185">
        <v>1</v>
      </c>
      <c r="Y366" s="204">
        <v>7</v>
      </c>
      <c r="Z366" s="135">
        <v>4.87</v>
      </c>
      <c r="AA366" s="135">
        <v>3.49</v>
      </c>
      <c r="AB366" s="135">
        <v>3.89</v>
      </c>
      <c r="AC366" s="135">
        <v>0.6179</v>
      </c>
      <c r="AD366" s="135">
        <v>3.68</v>
      </c>
      <c r="AE366" s="135">
        <v>3.33</v>
      </c>
      <c r="AF366" s="135">
        <f t="shared" si="103"/>
        <v>3.49</v>
      </c>
      <c r="AG366" s="136">
        <v>4.82</v>
      </c>
      <c r="AH366" s="185">
        <v>1.2E-9</v>
      </c>
      <c r="AI366" s="185"/>
      <c r="AJ366" s="136">
        <f t="shared" si="105"/>
        <v>-7.3093850802650273</v>
      </c>
      <c r="AK366" s="136"/>
      <c r="AL366" s="136">
        <f t="shared" si="104"/>
        <v>-7.3093850802650273</v>
      </c>
      <c r="AM366" s="136">
        <v>-13.619489999999999</v>
      </c>
      <c r="AN366" s="186">
        <v>-2.14</v>
      </c>
      <c r="AO366" s="481"/>
      <c r="AP366" s="481">
        <v>-2.79</v>
      </c>
      <c r="AQ366" s="186" t="s">
        <v>6311</v>
      </c>
      <c r="AR366" s="186" t="s">
        <v>6314</v>
      </c>
      <c r="AS366" s="183"/>
      <c r="AT366" s="137" t="s">
        <v>266</v>
      </c>
      <c r="AU366" s="135">
        <v>6</v>
      </c>
      <c r="AV366" s="135">
        <v>120</v>
      </c>
      <c r="AW366" s="135">
        <v>114</v>
      </c>
      <c r="AX366" s="135">
        <v>28</v>
      </c>
      <c r="AY366" s="135" t="s">
        <v>8728</v>
      </c>
      <c r="AZ366" s="135" t="s">
        <v>1563</v>
      </c>
      <c r="BA366" s="135">
        <v>32</v>
      </c>
      <c r="BB366" s="138" t="s">
        <v>2485</v>
      </c>
      <c r="BC366" s="458" t="s">
        <v>8726</v>
      </c>
      <c r="BD366" s="138" t="s">
        <v>8374</v>
      </c>
      <c r="BE366" s="135" t="s">
        <v>2449</v>
      </c>
      <c r="BF366" s="135" t="s">
        <v>272</v>
      </c>
      <c r="BG366" s="135" t="s">
        <v>272</v>
      </c>
      <c r="BH366" s="135" t="s">
        <v>2486</v>
      </c>
      <c r="BI366" s="185">
        <v>2.644352E-3</v>
      </c>
      <c r="BJ366" s="185">
        <v>26.443519999999999</v>
      </c>
      <c r="BK366" s="135"/>
      <c r="BL366" s="485">
        <v>0.89782623442660103</v>
      </c>
      <c r="BM366" s="138" t="s">
        <v>2487</v>
      </c>
      <c r="BN366" s="135"/>
      <c r="BO366" s="135"/>
      <c r="BP366" s="135"/>
      <c r="BQ366" s="135"/>
      <c r="BR366" s="138" t="e">
        <v>#VALUE!</v>
      </c>
      <c r="BS366" s="135"/>
      <c r="BT366" s="135"/>
      <c r="BU366" s="135"/>
      <c r="BV366" s="135"/>
      <c r="BW366" s="135"/>
      <c r="BX366" s="135"/>
      <c r="BY366" s="135"/>
      <c r="BZ366" s="135"/>
      <c r="CA366" s="135"/>
      <c r="CB366" s="135"/>
      <c r="CC366" s="135"/>
      <c r="CD366" s="135"/>
      <c r="CE366" s="135"/>
      <c r="CF366" s="135"/>
      <c r="CG366" s="135"/>
      <c r="CH366" s="135"/>
      <c r="CI366" s="185"/>
      <c r="CJ366" s="187"/>
      <c r="CK366" s="136">
        <f t="shared" si="100"/>
        <v>3.3952599140606131E-2</v>
      </c>
      <c r="CL366" s="188"/>
      <c r="CM366" s="188">
        <v>0.20411998265592468</v>
      </c>
      <c r="CN366" s="188">
        <f>BJ366/(10^CM366)</f>
        <v>16.527200000000004</v>
      </c>
      <c r="CO366" s="138" t="s">
        <v>2488</v>
      </c>
      <c r="CP366" s="189" t="s">
        <v>2489</v>
      </c>
      <c r="CQ366" s="183">
        <v>0.36131696126690621</v>
      </c>
      <c r="CR366" s="191">
        <f t="shared" si="106"/>
        <v>0.43519413988924444</v>
      </c>
      <c r="CS366" s="135" t="s">
        <v>539</v>
      </c>
      <c r="CT366" s="135"/>
      <c r="CU366" s="135"/>
      <c r="CV366" s="332">
        <f t="shared" si="101"/>
        <v>3.7816448037175085E-2</v>
      </c>
      <c r="CW366" s="329">
        <f t="shared" si="102"/>
        <v>0</v>
      </c>
      <c r="CX366" s="329"/>
      <c r="CY366" s="189" t="s">
        <v>5921</v>
      </c>
    </row>
    <row r="367" spans="1:103" ht="11.25" customHeight="1" x14ac:dyDescent="0.2">
      <c r="A367" s="72">
        <v>663</v>
      </c>
      <c r="B367" s="183">
        <v>1636</v>
      </c>
      <c r="C367" s="133" t="s">
        <v>4837</v>
      </c>
      <c r="D367" s="133" t="s">
        <v>6902</v>
      </c>
      <c r="E367" s="134"/>
      <c r="F367" s="134" t="s">
        <v>2311</v>
      </c>
      <c r="G367" s="184">
        <v>577117</v>
      </c>
      <c r="H367" s="138" t="s">
        <v>2312</v>
      </c>
      <c r="I367" s="138" t="s">
        <v>2312</v>
      </c>
      <c r="J367" s="138" t="s">
        <v>2313</v>
      </c>
      <c r="K367" s="138" t="s">
        <v>357</v>
      </c>
      <c r="L367" s="138" t="s">
        <v>6156</v>
      </c>
      <c r="M367" s="138" t="s">
        <v>2342</v>
      </c>
      <c r="N367" s="138" t="s">
        <v>2342</v>
      </c>
      <c r="O367" s="138"/>
      <c r="P367" s="138"/>
      <c r="Q367" s="138"/>
      <c r="R367" s="138"/>
      <c r="S367" s="138"/>
      <c r="T367" s="135">
        <v>422.58</v>
      </c>
      <c r="U367" s="185"/>
      <c r="V367" s="185">
        <v>1.227E-3</v>
      </c>
      <c r="W367" s="185">
        <v>1137.3887774434356</v>
      </c>
      <c r="X367" s="185">
        <v>1137.3887774434356</v>
      </c>
      <c r="Y367" s="204">
        <v>2.57</v>
      </c>
      <c r="Z367" s="135">
        <v>6.1</v>
      </c>
      <c r="AA367" s="135"/>
      <c r="AB367" s="135">
        <v>1.96</v>
      </c>
      <c r="AC367" s="135">
        <v>0.34920000000000001</v>
      </c>
      <c r="AD367" s="135">
        <v>4.51</v>
      </c>
      <c r="AE367" s="135">
        <v>5.96</v>
      </c>
      <c r="AF367" s="135">
        <f t="shared" si="103"/>
        <v>4.51</v>
      </c>
      <c r="AG367" s="136">
        <v>4.51</v>
      </c>
      <c r="AH367" s="185">
        <v>4.9999999999999997E-12</v>
      </c>
      <c r="AI367" s="185"/>
      <c r="AJ367" s="136">
        <f t="shared" si="105"/>
        <v>-9.6895963219766337</v>
      </c>
      <c r="AK367" s="136"/>
      <c r="AL367" s="136">
        <f t="shared" si="104"/>
        <v>-9.6895963219766337</v>
      </c>
      <c r="AM367" s="136">
        <v>-16.545809999999999</v>
      </c>
      <c r="AN367" s="186"/>
      <c r="AO367" s="481">
        <v>0.08</v>
      </c>
      <c r="AP367" s="481"/>
      <c r="AQ367" s="186" t="s">
        <v>6311</v>
      </c>
      <c r="AR367" s="186" t="s">
        <v>6312</v>
      </c>
      <c r="AS367" s="183"/>
      <c r="AT367" s="137" t="s">
        <v>266</v>
      </c>
      <c r="AU367" s="135">
        <v>6</v>
      </c>
      <c r="AV367" s="135">
        <v>120</v>
      </c>
      <c r="AW367" s="135">
        <v>114</v>
      </c>
      <c r="AX367" s="135">
        <v>28</v>
      </c>
      <c r="AY367" s="135" t="s">
        <v>8728</v>
      </c>
      <c r="AZ367" s="135" t="s">
        <v>1563</v>
      </c>
      <c r="BA367" s="135">
        <v>32</v>
      </c>
      <c r="BB367" s="138" t="s">
        <v>2485</v>
      </c>
      <c r="BC367" s="458" t="s">
        <v>8726</v>
      </c>
      <c r="BD367" s="138" t="s">
        <v>8374</v>
      </c>
      <c r="BE367" s="135" t="s">
        <v>2449</v>
      </c>
      <c r="BF367" s="135" t="s">
        <v>272</v>
      </c>
      <c r="BG367" s="135" t="s">
        <v>272</v>
      </c>
      <c r="BH367" s="135" t="s">
        <v>2486</v>
      </c>
      <c r="BI367" s="185">
        <v>2.7045119999999996E-3</v>
      </c>
      <c r="BJ367" s="185">
        <v>27.045120000000001</v>
      </c>
      <c r="BK367" s="135"/>
      <c r="BL367" s="485">
        <v>7.2160401138399652E-2</v>
      </c>
      <c r="BM367" s="138" t="s">
        <v>2487</v>
      </c>
      <c r="BN367" s="135"/>
      <c r="BO367" s="135"/>
      <c r="BP367" s="135"/>
      <c r="BQ367" s="135"/>
      <c r="BR367" s="138" t="e">
        <v>#VALUE!</v>
      </c>
      <c r="BS367" s="135"/>
      <c r="BT367" s="135"/>
      <c r="BU367" s="135"/>
      <c r="BV367" s="135"/>
      <c r="BW367" s="135"/>
      <c r="BX367" s="135"/>
      <c r="BY367" s="135"/>
      <c r="BZ367" s="135"/>
      <c r="CA367" s="135"/>
      <c r="CB367" s="135"/>
      <c r="CC367" s="135"/>
      <c r="CD367" s="135"/>
      <c r="CE367" s="135"/>
      <c r="CF367" s="135"/>
      <c r="CG367" s="135"/>
      <c r="CH367" s="135"/>
      <c r="CI367" s="185"/>
      <c r="CJ367" s="187"/>
      <c r="CK367" s="136">
        <f t="shared" si="100"/>
        <v>2.6681486766706765E-3</v>
      </c>
      <c r="CL367" s="188"/>
      <c r="CM367" s="188"/>
      <c r="CN367" s="188"/>
      <c r="CO367" s="138" t="s">
        <v>2488</v>
      </c>
      <c r="CP367" s="189" t="s">
        <v>2489</v>
      </c>
      <c r="CQ367" s="183">
        <v>1.4471580313422192</v>
      </c>
      <c r="CR367" s="191">
        <f t="shared" si="106"/>
        <v>3.5714285714285698E-2</v>
      </c>
      <c r="CS367" s="135" t="s">
        <v>539</v>
      </c>
      <c r="CT367" s="135"/>
      <c r="CU367" s="135"/>
      <c r="CV367" s="332">
        <f t="shared" si="101"/>
        <v>42.055231311358042</v>
      </c>
      <c r="CW367" s="329">
        <f t="shared" si="102"/>
        <v>1</v>
      </c>
      <c r="CX367" s="329"/>
      <c r="CY367" s="189" t="s">
        <v>6351</v>
      </c>
    </row>
    <row r="368" spans="1:103" ht="11.25" customHeight="1" x14ac:dyDescent="0.2">
      <c r="A368" s="72">
        <v>665</v>
      </c>
      <c r="B368" s="183">
        <v>1141</v>
      </c>
      <c r="C368" s="133" t="s">
        <v>3174</v>
      </c>
      <c r="D368" s="133" t="s">
        <v>6903</v>
      </c>
      <c r="E368" s="134"/>
      <c r="F368" s="134" t="s">
        <v>3175</v>
      </c>
      <c r="G368" s="184">
        <v>62924703</v>
      </c>
      <c r="H368" s="138" t="s">
        <v>3176</v>
      </c>
      <c r="I368" s="138" t="s">
        <v>7962</v>
      </c>
      <c r="J368" s="138" t="s">
        <v>3177</v>
      </c>
      <c r="K368" s="138" t="s">
        <v>1011</v>
      </c>
      <c r="L368" s="138" t="s">
        <v>6040</v>
      </c>
      <c r="M368" s="138" t="s">
        <v>6082</v>
      </c>
      <c r="N368" s="138" t="s">
        <v>6082</v>
      </c>
      <c r="O368" s="138"/>
      <c r="P368" s="138"/>
      <c r="Q368" s="138"/>
      <c r="R368" s="138"/>
      <c r="S368" s="138"/>
      <c r="T368" s="135">
        <v>421.73</v>
      </c>
      <c r="U368" s="185">
        <v>7.0000000000000007E-2</v>
      </c>
      <c r="V368" s="185">
        <v>4.972E-2</v>
      </c>
      <c r="W368" s="185">
        <v>2.3715620707252548E-2</v>
      </c>
      <c r="X368" s="185">
        <v>7.0000000000000007E-2</v>
      </c>
      <c r="Y368" s="204">
        <v>7</v>
      </c>
      <c r="Z368" s="135">
        <v>6.09</v>
      </c>
      <c r="AA368" s="135">
        <v>5.45</v>
      </c>
      <c r="AB368" s="135">
        <v>5.26</v>
      </c>
      <c r="AC368" s="135">
        <v>0.81359999999999999</v>
      </c>
      <c r="AD368" s="135">
        <v>5.42</v>
      </c>
      <c r="AE368" s="135">
        <v>5.91</v>
      </c>
      <c r="AF368" s="135">
        <f t="shared" si="103"/>
        <v>5.45</v>
      </c>
      <c r="AG368" s="136">
        <v>4.76</v>
      </c>
      <c r="AH368" s="185">
        <v>6.3199999999999996E-6</v>
      </c>
      <c r="AI368" s="185">
        <v>1.9E-6</v>
      </c>
      <c r="AJ368" s="136">
        <f t="shared" si="105"/>
        <v>-3.5878492480302668</v>
      </c>
      <c r="AK368" s="136">
        <f>LOG10(AI368*1000/(0.08206*298.15))</f>
        <v>-4.1098127253598227</v>
      </c>
      <c r="AL368" s="136">
        <f t="shared" si="104"/>
        <v>-4.1098127253598227</v>
      </c>
      <c r="AM368" s="136">
        <v>-11.695880000000001</v>
      </c>
      <c r="AN368" s="186">
        <v>-2.85</v>
      </c>
      <c r="AO368" s="481"/>
      <c r="AP368" s="481">
        <v>-2.63</v>
      </c>
      <c r="AQ368" s="135" t="s">
        <v>6311</v>
      </c>
      <c r="AR368" s="135" t="s">
        <v>6311</v>
      </c>
      <c r="AS368" s="190"/>
      <c r="AT368" s="137" t="s">
        <v>266</v>
      </c>
      <c r="AU368" s="135">
        <v>6</v>
      </c>
      <c r="AV368" s="135">
        <v>120</v>
      </c>
      <c r="AW368" s="135">
        <v>114</v>
      </c>
      <c r="AX368" s="135">
        <v>28</v>
      </c>
      <c r="AY368" s="135" t="s">
        <v>8728</v>
      </c>
      <c r="AZ368" s="135" t="s">
        <v>1563</v>
      </c>
      <c r="BA368" s="135">
        <v>32</v>
      </c>
      <c r="BB368" s="138" t="s">
        <v>2485</v>
      </c>
      <c r="BC368" s="458" t="s">
        <v>8726</v>
      </c>
      <c r="BD368" s="138" t="s">
        <v>8374</v>
      </c>
      <c r="BE368" s="135" t="s">
        <v>2449</v>
      </c>
      <c r="BF368" s="135" t="s">
        <v>272</v>
      </c>
      <c r="BG368" s="135" t="s">
        <v>272</v>
      </c>
      <c r="BH368" s="135" t="s">
        <v>2486</v>
      </c>
      <c r="BI368" s="185">
        <v>2.6990719999999998E-3</v>
      </c>
      <c r="BJ368" s="185">
        <v>26.990720000000003</v>
      </c>
      <c r="BK368" s="135"/>
      <c r="BL368" s="485">
        <v>7.3519999579687814E-2</v>
      </c>
      <c r="BM368" s="138" t="s">
        <v>2487</v>
      </c>
      <c r="BN368" s="135"/>
      <c r="BO368" s="135"/>
      <c r="BP368" s="135"/>
      <c r="BQ368" s="135"/>
      <c r="BR368" s="138" t="e">
        <v>#VALUE!</v>
      </c>
      <c r="BS368" s="135"/>
      <c r="BT368" s="135"/>
      <c r="BU368" s="135">
        <v>2.6990720000000001</v>
      </c>
      <c r="BV368" s="135"/>
      <c r="BW368" s="135"/>
      <c r="BX368" s="135"/>
      <c r="BY368" s="135"/>
      <c r="BZ368" s="135"/>
      <c r="CA368" s="135"/>
      <c r="CB368" s="135"/>
      <c r="CC368" s="135"/>
      <c r="CD368" s="135"/>
      <c r="CE368" s="135"/>
      <c r="CF368" s="135"/>
      <c r="CG368" s="135"/>
      <c r="CH368" s="135"/>
      <c r="CI368" s="185"/>
      <c r="CJ368" s="187"/>
      <c r="CK368" s="136">
        <f t="shared" si="100"/>
        <v>2.7238991616262108E-3</v>
      </c>
      <c r="CL368" s="188"/>
      <c r="CM368" s="188"/>
      <c r="CN368" s="188"/>
      <c r="CO368" s="138" t="s">
        <v>2488</v>
      </c>
      <c r="CP368" s="189" t="s">
        <v>2489</v>
      </c>
      <c r="CQ368" s="183">
        <v>-1.6684026304303026</v>
      </c>
      <c r="CR368" s="191">
        <f t="shared" si="106"/>
        <v>46.601793426621555</v>
      </c>
      <c r="CS368" s="135" t="s">
        <v>539</v>
      </c>
      <c r="CT368" s="135"/>
      <c r="CU368" s="135"/>
      <c r="CV368" s="332">
        <f t="shared" si="101"/>
        <v>2.5934839826429234E-3</v>
      </c>
      <c r="CW368" s="329">
        <f t="shared" si="102"/>
        <v>0</v>
      </c>
      <c r="CX368" s="329"/>
      <c r="CY368" s="189" t="s">
        <v>5921</v>
      </c>
    </row>
    <row r="369" spans="1:103" ht="11.25" customHeight="1" x14ac:dyDescent="0.2">
      <c r="A369" s="72">
        <v>666</v>
      </c>
      <c r="B369" s="183">
        <v>1266</v>
      </c>
      <c r="C369" s="133" t="s">
        <v>3477</v>
      </c>
      <c r="D369" s="133" t="s">
        <v>6904</v>
      </c>
      <c r="E369" s="134"/>
      <c r="F369" s="134" t="s">
        <v>656</v>
      </c>
      <c r="G369" s="184">
        <v>68268</v>
      </c>
      <c r="H369" s="138" t="s">
        <v>657</v>
      </c>
      <c r="I369" s="138" t="s">
        <v>657</v>
      </c>
      <c r="J369" s="138" t="s">
        <v>658</v>
      </c>
      <c r="K369" s="138" t="s">
        <v>659</v>
      </c>
      <c r="L369" s="138" t="s">
        <v>279</v>
      </c>
      <c r="M369" s="138" t="s">
        <v>660</v>
      </c>
      <c r="N369" s="138" t="s">
        <v>6383</v>
      </c>
      <c r="O369" s="138" t="s">
        <v>281</v>
      </c>
      <c r="P369" s="138"/>
      <c r="Q369" s="138"/>
      <c r="R369" s="138"/>
      <c r="S369" s="138"/>
      <c r="T369" s="135">
        <v>286.45</v>
      </c>
      <c r="U369" s="185"/>
      <c r="V369" s="185">
        <v>0.6712999999999999</v>
      </c>
      <c r="W369" s="185">
        <v>3.9541107259549561E-2</v>
      </c>
      <c r="X369" s="185">
        <v>3.9541107259549561E-2</v>
      </c>
      <c r="Y369" s="204">
        <v>7</v>
      </c>
      <c r="Z369" s="135">
        <v>7.62</v>
      </c>
      <c r="AA369" s="135">
        <v>5.68</v>
      </c>
      <c r="AB369" s="135">
        <v>5.66</v>
      </c>
      <c r="AC369" s="135">
        <v>0.80779999999999996</v>
      </c>
      <c r="AD369" s="135">
        <v>6.01</v>
      </c>
      <c r="AE369" s="135">
        <v>6.84</v>
      </c>
      <c r="AF369" s="135">
        <f t="shared" si="103"/>
        <v>5.68</v>
      </c>
      <c r="AG369" s="136">
        <v>5.97</v>
      </c>
      <c r="AH369" s="185">
        <v>1.16E-4</v>
      </c>
      <c r="AI369" s="185"/>
      <c r="AJ369" s="136">
        <f t="shared" si="105"/>
        <v>-2.3241083370857334</v>
      </c>
      <c r="AK369" s="136"/>
      <c r="AL369" s="136">
        <f t="shared" si="104"/>
        <v>-2.3241083370857334</v>
      </c>
      <c r="AM369" s="136">
        <v>-8.7534200000000002</v>
      </c>
      <c r="AN369" s="186">
        <v>-6.03</v>
      </c>
      <c r="AO369" s="481">
        <v>14.09</v>
      </c>
      <c r="AP369" s="481"/>
      <c r="AQ369" s="135" t="s">
        <v>6311</v>
      </c>
      <c r="AR369" s="135" t="s">
        <v>6311</v>
      </c>
      <c r="AS369" s="190"/>
      <c r="AT369" s="137" t="s">
        <v>266</v>
      </c>
      <c r="AU369" s="135">
        <v>6</v>
      </c>
      <c r="AV369" s="135">
        <v>120</v>
      </c>
      <c r="AW369" s="135">
        <v>114</v>
      </c>
      <c r="AX369" s="135">
        <v>28</v>
      </c>
      <c r="AY369" s="135" t="s">
        <v>8728</v>
      </c>
      <c r="AZ369" s="135" t="s">
        <v>1563</v>
      </c>
      <c r="BA369" s="135">
        <v>32</v>
      </c>
      <c r="BB369" s="138" t="s">
        <v>2485</v>
      </c>
      <c r="BC369" s="458" t="s">
        <v>8726</v>
      </c>
      <c r="BD369" s="138" t="s">
        <v>8374</v>
      </c>
      <c r="BE369" s="135" t="s">
        <v>2449</v>
      </c>
      <c r="BF369" s="135" t="s">
        <v>272</v>
      </c>
      <c r="BG369" s="135" t="s">
        <v>272</v>
      </c>
      <c r="BH369" s="135" t="s">
        <v>2486</v>
      </c>
      <c r="BI369" s="185">
        <v>1.8332799999999998E-3</v>
      </c>
      <c r="BJ369" s="185">
        <v>18.332799999999999</v>
      </c>
      <c r="BK369" s="135"/>
      <c r="BL369" s="485">
        <v>2.1102155868985293E-3</v>
      </c>
      <c r="BM369" s="138" t="s">
        <v>2487</v>
      </c>
      <c r="BN369" s="135"/>
      <c r="BO369" s="135"/>
      <c r="BP369" s="135"/>
      <c r="BQ369" s="135"/>
      <c r="BR369" s="138" t="e">
        <v>#VALUE!</v>
      </c>
      <c r="BS369" s="135"/>
      <c r="BT369" s="135"/>
      <c r="BU369" s="135">
        <v>1.9163505000000001E-2</v>
      </c>
      <c r="BV369" s="135"/>
      <c r="BW369" s="135"/>
      <c r="BX369" s="135"/>
      <c r="BY369" s="135"/>
      <c r="BZ369" s="135"/>
      <c r="CA369" s="135"/>
      <c r="CB369" s="135"/>
      <c r="CC369" s="135"/>
      <c r="CD369" s="135"/>
      <c r="CE369" s="135"/>
      <c r="CF369" s="135"/>
      <c r="CG369" s="135"/>
      <c r="CH369" s="135"/>
      <c r="CI369" s="185"/>
      <c r="CJ369" s="187"/>
      <c r="CK369" s="136">
        <f t="shared" si="100"/>
        <v>1.1510601691495731E-4</v>
      </c>
      <c r="CL369" s="188"/>
      <c r="CM369" s="188"/>
      <c r="CN369" s="188"/>
      <c r="CO369" s="138" t="s">
        <v>2488</v>
      </c>
      <c r="CP369" s="189" t="s">
        <v>2489</v>
      </c>
      <c r="CQ369" s="183">
        <v>1.2069084602177049</v>
      </c>
      <c r="CR369" s="191">
        <f t="shared" si="106"/>
        <v>6.209999136418947E-2</v>
      </c>
      <c r="CS369" s="135" t="s">
        <v>539</v>
      </c>
      <c r="CT369" s="135"/>
      <c r="CU369" s="135"/>
      <c r="CV369" s="332">
        <f t="shared" si="101"/>
        <v>2.1568504134420038E-3</v>
      </c>
      <c r="CW369" s="329">
        <f t="shared" si="102"/>
        <v>0</v>
      </c>
      <c r="CX369" s="329"/>
      <c r="CY369" s="189" t="s">
        <v>6351</v>
      </c>
    </row>
    <row r="370" spans="1:103" ht="11.25" customHeight="1" x14ac:dyDescent="0.2">
      <c r="A370" s="72">
        <v>667</v>
      </c>
      <c r="B370" s="183">
        <v>1309</v>
      </c>
      <c r="C370" s="133" t="s">
        <v>1788</v>
      </c>
      <c r="D370" s="133" t="s">
        <v>6781</v>
      </c>
      <c r="E370" s="134"/>
      <c r="F370" s="134" t="s">
        <v>1789</v>
      </c>
      <c r="G370" s="184">
        <v>101202</v>
      </c>
      <c r="H370" s="138" t="s">
        <v>1790</v>
      </c>
      <c r="I370" s="138" t="s">
        <v>7908</v>
      </c>
      <c r="J370" s="138" t="s">
        <v>1791</v>
      </c>
      <c r="K370" s="138" t="s">
        <v>1292</v>
      </c>
      <c r="L370" s="138" t="s">
        <v>6064</v>
      </c>
      <c r="M370" s="138" t="s">
        <v>6065</v>
      </c>
      <c r="N370" s="138" t="s">
        <v>6082</v>
      </c>
      <c r="O370" s="138" t="s">
        <v>6086</v>
      </c>
      <c r="P370" s="138"/>
      <c r="Q370" s="138"/>
      <c r="R370" s="138"/>
      <c r="S370" s="138"/>
      <c r="T370" s="135">
        <v>315.58</v>
      </c>
      <c r="U370" s="185"/>
      <c r="V370" s="185">
        <v>0.64790000000000003</v>
      </c>
      <c r="W370" s="185">
        <v>0.14096440801100099</v>
      </c>
      <c r="X370" s="185">
        <v>0.14096440801100099</v>
      </c>
      <c r="Y370" s="204">
        <v>7</v>
      </c>
      <c r="Z370" s="135">
        <v>4.9000000000000004</v>
      </c>
      <c r="AA370" s="135"/>
      <c r="AB370" s="135">
        <v>5.05</v>
      </c>
      <c r="AC370" s="135">
        <v>0.84040000000000004</v>
      </c>
      <c r="AD370" s="135">
        <v>5.23</v>
      </c>
      <c r="AE370" s="135">
        <v>5.75</v>
      </c>
      <c r="AF370" s="135">
        <f t="shared" si="103"/>
        <v>5.23</v>
      </c>
      <c r="AG370" s="136">
        <v>4.74</v>
      </c>
      <c r="AH370" s="185">
        <v>4.5200000000000003E-11</v>
      </c>
      <c r="AI370" s="185"/>
      <c r="AJ370" s="136">
        <f t="shared" si="105"/>
        <v>-8.73342789150127</v>
      </c>
      <c r="AK370" s="136"/>
      <c r="AL370" s="136">
        <f t="shared" si="104"/>
        <v>-8.73342789150127</v>
      </c>
      <c r="AM370" s="136">
        <v>-15.384709999999998</v>
      </c>
      <c r="AN370" s="186">
        <v>-9.3699999999999992</v>
      </c>
      <c r="AO370" s="481">
        <v>12.77</v>
      </c>
      <c r="AP370" s="481">
        <v>-0.34</v>
      </c>
      <c r="AQ370" s="135" t="s">
        <v>6311</v>
      </c>
      <c r="AR370" s="135" t="s">
        <v>6311</v>
      </c>
      <c r="AS370" s="190"/>
      <c r="AT370" s="137" t="s">
        <v>266</v>
      </c>
      <c r="AU370" s="135">
        <v>6</v>
      </c>
      <c r="AV370" s="135">
        <v>120</v>
      </c>
      <c r="AW370" s="135">
        <v>114</v>
      </c>
      <c r="AX370" s="135">
        <v>28</v>
      </c>
      <c r="AY370" s="135" t="s">
        <v>8728</v>
      </c>
      <c r="AZ370" s="135" t="s">
        <v>1563</v>
      </c>
      <c r="BA370" s="135">
        <v>32</v>
      </c>
      <c r="BB370" s="138" t="s">
        <v>2485</v>
      </c>
      <c r="BC370" s="458" t="s">
        <v>8726</v>
      </c>
      <c r="BD370" s="138" t="s">
        <v>8374</v>
      </c>
      <c r="BE370" s="135" t="s">
        <v>2449</v>
      </c>
      <c r="BF370" s="135" t="s">
        <v>272</v>
      </c>
      <c r="BG370" s="135" t="s">
        <v>272</v>
      </c>
      <c r="BH370" s="135" t="s">
        <v>2486</v>
      </c>
      <c r="BI370" s="185">
        <v>2.0197119999999999E-3</v>
      </c>
      <c r="BJ370" s="185">
        <v>20.197119999999998</v>
      </c>
      <c r="BK370" s="135"/>
      <c r="BL370" s="485">
        <v>0.64449488038087366</v>
      </c>
      <c r="BM370" s="138" t="s">
        <v>2487</v>
      </c>
      <c r="BN370" s="135"/>
      <c r="BO370" s="135"/>
      <c r="BP370" s="135"/>
      <c r="BQ370" s="135"/>
      <c r="BR370" s="138" t="e">
        <v>#VALUE!</v>
      </c>
      <c r="BS370" s="135"/>
      <c r="BT370" s="135"/>
      <c r="BU370" s="135">
        <v>0.20197120000000002</v>
      </c>
      <c r="BV370" s="135"/>
      <c r="BW370" s="135"/>
      <c r="BX370" s="135"/>
      <c r="BY370" s="135"/>
      <c r="BZ370" s="135"/>
      <c r="CA370" s="135"/>
      <c r="CB370" s="135"/>
      <c r="CC370" s="135"/>
      <c r="CD370" s="135"/>
      <c r="CE370" s="135"/>
      <c r="CF370" s="135"/>
      <c r="CG370" s="135"/>
      <c r="CH370" s="135"/>
      <c r="CI370" s="185"/>
      <c r="CJ370" s="187"/>
      <c r="CK370" s="136">
        <f t="shared" si="100"/>
        <v>3.1910236725873474E-2</v>
      </c>
      <c r="CL370" s="188"/>
      <c r="CM370" s="188">
        <v>-1.3665315444204138</v>
      </c>
      <c r="CN370" s="188">
        <f>BJ370/(10^CM370)</f>
        <v>469.70046511627959</v>
      </c>
      <c r="CO370" s="138" t="s">
        <v>2488</v>
      </c>
      <c r="CP370" s="189" t="s">
        <v>2489</v>
      </c>
      <c r="CQ370" s="183">
        <v>-1.0512625687480355</v>
      </c>
      <c r="CR370" s="191">
        <f t="shared" si="106"/>
        <v>11.252851009623335</v>
      </c>
      <c r="CS370" s="135" t="s">
        <v>539</v>
      </c>
      <c r="CT370" s="135"/>
      <c r="CU370" s="135"/>
      <c r="CV370" s="332">
        <f t="shared" si="101"/>
        <v>6.9794311273588018E-3</v>
      </c>
      <c r="CW370" s="329">
        <f t="shared" si="102"/>
        <v>0</v>
      </c>
      <c r="CX370" s="329"/>
      <c r="CY370" s="189" t="s">
        <v>6351</v>
      </c>
    </row>
    <row r="371" spans="1:103" ht="11.25" customHeight="1" x14ac:dyDescent="0.2">
      <c r="A371" s="72">
        <v>668</v>
      </c>
      <c r="B371" s="183">
        <v>1038</v>
      </c>
      <c r="C371" s="133" t="s">
        <v>982</v>
      </c>
      <c r="D371" s="133" t="s">
        <v>6591</v>
      </c>
      <c r="E371" s="134"/>
      <c r="F371" s="134" t="s">
        <v>983</v>
      </c>
      <c r="G371" s="184">
        <v>188425856</v>
      </c>
      <c r="H371" s="138" t="s">
        <v>984</v>
      </c>
      <c r="I371" s="138" t="s">
        <v>7963</v>
      </c>
      <c r="J371" s="138" t="s">
        <v>985</v>
      </c>
      <c r="K371" s="138" t="s">
        <v>986</v>
      </c>
      <c r="L371" s="138" t="s">
        <v>5929</v>
      </c>
      <c r="M371" s="138" t="s">
        <v>5952</v>
      </c>
      <c r="N371" s="138" t="s">
        <v>6381</v>
      </c>
      <c r="O371" s="138" t="s">
        <v>5953</v>
      </c>
      <c r="P371" s="138"/>
      <c r="Q371" s="138"/>
      <c r="R371" s="138"/>
      <c r="S371" s="138"/>
      <c r="T371" s="135">
        <v>343.21</v>
      </c>
      <c r="U371" s="185"/>
      <c r="V371" s="185">
        <v>20.190000000000001</v>
      </c>
      <c r="W371" s="185">
        <v>0.73376996873806033</v>
      </c>
      <c r="X371" s="185">
        <v>0.73376996873806033</v>
      </c>
      <c r="Y371" s="204">
        <v>7</v>
      </c>
      <c r="Z371" s="135">
        <v>4</v>
      </c>
      <c r="AA371" s="135">
        <v>2.96</v>
      </c>
      <c r="AB371" s="135">
        <v>4.82</v>
      </c>
      <c r="AC371" s="135">
        <v>0.84850000000000003</v>
      </c>
      <c r="AD371" s="135">
        <v>4.6900000000000004</v>
      </c>
      <c r="AE371" s="135">
        <v>4.3099999999999996</v>
      </c>
      <c r="AF371" s="135">
        <f t="shared" si="103"/>
        <v>2.96</v>
      </c>
      <c r="AG371" s="136">
        <v>4.6900000000000004</v>
      </c>
      <c r="AH371" s="185">
        <v>4.2499999999999999E-12</v>
      </c>
      <c r="AI371" s="185"/>
      <c r="AJ371" s="136">
        <f t="shared" si="105"/>
        <v>-9.7601773962623408</v>
      </c>
      <c r="AK371" s="136"/>
      <c r="AL371" s="136">
        <f t="shared" si="104"/>
        <v>-9.7601773962623408</v>
      </c>
      <c r="AM371" s="136">
        <v>-17.975920000000002</v>
      </c>
      <c r="AN371" s="186">
        <v>-11.6</v>
      </c>
      <c r="AO371" s="481">
        <v>10.75</v>
      </c>
      <c r="AP371" s="481">
        <v>-0.3</v>
      </c>
      <c r="AQ371" s="135" t="s">
        <v>6311</v>
      </c>
      <c r="AR371" s="135" t="s">
        <v>6311</v>
      </c>
      <c r="AS371" s="190"/>
      <c r="AT371" s="137" t="s">
        <v>266</v>
      </c>
      <c r="AU371" s="135">
        <v>6</v>
      </c>
      <c r="AV371" s="135">
        <v>120</v>
      </c>
      <c r="AW371" s="135">
        <v>114</v>
      </c>
      <c r="AX371" s="135">
        <v>28</v>
      </c>
      <c r="AY371" s="135" t="s">
        <v>8728</v>
      </c>
      <c r="AZ371" s="135" t="s">
        <v>1563</v>
      </c>
      <c r="BA371" s="135">
        <v>32</v>
      </c>
      <c r="BB371" s="138" t="s">
        <v>2485</v>
      </c>
      <c r="BC371" s="458" t="s">
        <v>8726</v>
      </c>
      <c r="BD371" s="138" t="s">
        <v>8374</v>
      </c>
      <c r="BE371" s="135" t="s">
        <v>2449</v>
      </c>
      <c r="BF371" s="135" t="s">
        <v>272</v>
      </c>
      <c r="BG371" s="135" t="s">
        <v>272</v>
      </c>
      <c r="BH371" s="135" t="s">
        <v>2486</v>
      </c>
      <c r="BI371" s="185">
        <v>2.1965439999999999E-3</v>
      </c>
      <c r="BJ371" s="185">
        <v>21.965439999999997</v>
      </c>
      <c r="BK371" s="135"/>
      <c r="BL371" s="485">
        <v>4.5077511542839943</v>
      </c>
      <c r="BM371" s="138" t="s">
        <v>2487</v>
      </c>
      <c r="BN371" s="135"/>
      <c r="BO371" s="135"/>
      <c r="BP371" s="135"/>
      <c r="BQ371" s="135"/>
      <c r="BR371" s="138" t="e">
        <v>#VALUE!</v>
      </c>
      <c r="BS371" s="135"/>
      <c r="BT371" s="135"/>
      <c r="BU371" s="135">
        <v>2.1965439999999998</v>
      </c>
      <c r="BV371" s="135"/>
      <c r="BW371" s="135"/>
      <c r="BX371" s="135"/>
      <c r="BY371" s="135"/>
      <c r="BZ371" s="135"/>
      <c r="CA371" s="135"/>
      <c r="CB371" s="135"/>
      <c r="CC371" s="135"/>
      <c r="CD371" s="135"/>
      <c r="CE371" s="135"/>
      <c r="CF371" s="135"/>
      <c r="CG371" s="135"/>
      <c r="CH371" s="135"/>
      <c r="CI371" s="185"/>
      <c r="CJ371" s="187"/>
      <c r="CK371" s="136">
        <f t="shared" si="100"/>
        <v>0.20522016195823961</v>
      </c>
      <c r="CL371" s="188"/>
      <c r="CM371" s="188">
        <v>0.43136376415898714</v>
      </c>
      <c r="CN371" s="188">
        <f>BJ371/(10^CM371)</f>
        <v>8.1353481481481502</v>
      </c>
      <c r="CO371" s="138" t="s">
        <v>2488</v>
      </c>
      <c r="CP371" s="189" t="s">
        <v>2489</v>
      </c>
      <c r="CQ371" s="183">
        <v>0.43136376415898736</v>
      </c>
      <c r="CR371" s="191">
        <f t="shared" si="106"/>
        <v>0.37037037037037029</v>
      </c>
      <c r="CS371" s="135" t="s">
        <v>539</v>
      </c>
      <c r="CT371" s="135"/>
      <c r="CU371" s="135"/>
      <c r="CV371" s="332">
        <f t="shared" si="101"/>
        <v>3.3405657648472344E-2</v>
      </c>
      <c r="CW371" s="329">
        <f t="shared" si="102"/>
        <v>0</v>
      </c>
      <c r="CX371" s="329"/>
      <c r="CY371" s="189" t="s">
        <v>5921</v>
      </c>
    </row>
    <row r="372" spans="1:103" ht="11.25" customHeight="1" x14ac:dyDescent="0.2">
      <c r="A372" s="72">
        <v>669</v>
      </c>
      <c r="B372" s="183">
        <v>1934</v>
      </c>
      <c r="C372" s="133" t="s">
        <v>6905</v>
      </c>
      <c r="D372" s="133"/>
      <c r="E372" s="134"/>
      <c r="F372" s="134" t="s">
        <v>5427</v>
      </c>
      <c r="G372" s="184">
        <v>127308821</v>
      </c>
      <c r="H372" s="138" t="s">
        <v>5428</v>
      </c>
      <c r="I372" s="138" t="s">
        <v>7759</v>
      </c>
      <c r="J372" s="138" t="s">
        <v>5429</v>
      </c>
      <c r="K372" s="138" t="s">
        <v>349</v>
      </c>
      <c r="L372" s="138"/>
      <c r="M372" s="138"/>
      <c r="N372" s="138"/>
      <c r="O372" s="138"/>
      <c r="P372" s="138"/>
      <c r="Q372" s="138"/>
      <c r="R372" s="138"/>
      <c r="S372" s="138"/>
      <c r="T372" s="135">
        <v>234.38</v>
      </c>
      <c r="U372" s="185"/>
      <c r="V372" s="185">
        <v>0.44409999999999999</v>
      </c>
      <c r="W372" s="185">
        <v>39.803434726398315</v>
      </c>
      <c r="X372" s="185">
        <v>39.803434726398315</v>
      </c>
      <c r="Y372" s="204">
        <v>6.97</v>
      </c>
      <c r="Z372" s="135">
        <v>6.31</v>
      </c>
      <c r="AA372" s="135"/>
      <c r="AB372" s="135">
        <v>5.24</v>
      </c>
      <c r="AC372" s="135">
        <v>0.78490000000000004</v>
      </c>
      <c r="AD372" s="135">
        <v>5.46</v>
      </c>
      <c r="AE372" s="135">
        <v>5.92</v>
      </c>
      <c r="AF372" s="135">
        <f t="shared" si="103"/>
        <v>5.46</v>
      </c>
      <c r="AG372" s="136">
        <v>5.6</v>
      </c>
      <c r="AH372" s="185">
        <v>6.5899999999999996E-6</v>
      </c>
      <c r="AI372" s="185"/>
      <c r="AJ372" s="136">
        <f t="shared" si="105"/>
        <v>-3.5696809117186419</v>
      </c>
      <c r="AK372" s="136"/>
      <c r="AL372" s="136">
        <f t="shared" si="104"/>
        <v>-3.5696809117186419</v>
      </c>
      <c r="AM372" s="136">
        <v>-7.2398999999999996</v>
      </c>
      <c r="AN372" s="186">
        <v>-3.11</v>
      </c>
      <c r="AO372" s="481">
        <v>11</v>
      </c>
      <c r="AP372" s="481"/>
      <c r="AQ372" s="186" t="s">
        <v>6311</v>
      </c>
      <c r="AR372" s="186" t="s">
        <v>6311</v>
      </c>
      <c r="AS372" s="183"/>
      <c r="AT372" s="137" t="s">
        <v>266</v>
      </c>
      <c r="AU372" s="135">
        <v>6</v>
      </c>
      <c r="AV372" s="135">
        <v>120</v>
      </c>
      <c r="AW372" s="135">
        <v>114</v>
      </c>
      <c r="AX372" s="135">
        <v>28</v>
      </c>
      <c r="AY372" s="135" t="s">
        <v>8728</v>
      </c>
      <c r="AZ372" s="135" t="s">
        <v>1563</v>
      </c>
      <c r="BA372" s="135">
        <v>32</v>
      </c>
      <c r="BB372" s="138" t="s">
        <v>2485</v>
      </c>
      <c r="BC372" s="458" t="s">
        <v>8726</v>
      </c>
      <c r="BD372" s="138" t="s">
        <v>8374</v>
      </c>
      <c r="BE372" s="135" t="s">
        <v>2449</v>
      </c>
      <c r="BF372" s="135" t="s">
        <v>272</v>
      </c>
      <c r="BG372" s="135" t="s">
        <v>272</v>
      </c>
      <c r="BH372" s="135" t="s">
        <v>2486</v>
      </c>
      <c r="BI372" s="185">
        <v>1.5000319999999999E-3</v>
      </c>
      <c r="BJ372" s="185">
        <v>15.00032</v>
      </c>
      <c r="BK372" s="135"/>
      <c r="BL372" s="485">
        <v>2.592444991254057E-2</v>
      </c>
      <c r="BM372" s="138" t="s">
        <v>2487</v>
      </c>
      <c r="BN372" s="135"/>
      <c r="BO372" s="135"/>
      <c r="BP372" s="135"/>
      <c r="BQ372" s="135"/>
      <c r="BR372" s="138" t="e">
        <v>#VALUE!</v>
      </c>
      <c r="BS372" s="135"/>
      <c r="BT372" s="135"/>
      <c r="BU372" s="135"/>
      <c r="BV372" s="135"/>
      <c r="BW372" s="135"/>
      <c r="BX372" s="135"/>
      <c r="BY372" s="135"/>
      <c r="BZ372" s="135"/>
      <c r="CA372" s="135"/>
      <c r="CB372" s="135"/>
      <c r="CC372" s="135"/>
      <c r="CD372" s="135"/>
      <c r="CE372" s="135"/>
      <c r="CF372" s="135"/>
      <c r="CG372" s="135"/>
      <c r="CH372" s="135"/>
      <c r="CI372" s="185"/>
      <c r="CJ372" s="187"/>
      <c r="CK372" s="136">
        <f t="shared" si="100"/>
        <v>1.7282597912938237E-3</v>
      </c>
      <c r="CL372" s="188"/>
      <c r="CM372" s="188"/>
      <c r="CN372" s="188"/>
      <c r="CO372" s="138" t="s">
        <v>2488</v>
      </c>
      <c r="CP372" s="189" t="s">
        <v>2489</v>
      </c>
      <c r="CQ372" s="191" t="s">
        <v>272</v>
      </c>
      <c r="CR372" s="191"/>
      <c r="CS372" s="135" t="s">
        <v>539</v>
      </c>
      <c r="CT372" s="135"/>
      <c r="CU372" s="135"/>
      <c r="CV372" s="332">
        <f t="shared" si="101"/>
        <v>2.653505706971472</v>
      </c>
      <c r="CW372" s="329">
        <f t="shared" si="102"/>
        <v>1</v>
      </c>
      <c r="CX372" s="329"/>
      <c r="CY372" s="189" t="s">
        <v>5921</v>
      </c>
    </row>
    <row r="373" spans="1:103" ht="11.25" customHeight="1" x14ac:dyDescent="0.2">
      <c r="A373" s="72">
        <v>671</v>
      </c>
      <c r="B373" s="183">
        <v>1150</v>
      </c>
      <c r="C373" s="133" t="s">
        <v>6907</v>
      </c>
      <c r="D373" s="133"/>
      <c r="E373" s="134"/>
      <c r="F373" s="134" t="s">
        <v>3183</v>
      </c>
      <c r="G373" s="184">
        <v>129453618</v>
      </c>
      <c r="H373" s="138" t="s">
        <v>3184</v>
      </c>
      <c r="I373" s="138" t="s">
        <v>7965</v>
      </c>
      <c r="J373" s="138" t="s">
        <v>3185</v>
      </c>
      <c r="K373" s="138" t="s">
        <v>349</v>
      </c>
      <c r="L373" s="138" t="s">
        <v>279</v>
      </c>
      <c r="M373" s="138" t="s">
        <v>3186</v>
      </c>
      <c r="N373" s="138" t="s">
        <v>6386</v>
      </c>
      <c r="O373" s="138" t="s">
        <v>281</v>
      </c>
      <c r="P373" s="138"/>
      <c r="Q373" s="138"/>
      <c r="R373" s="138"/>
      <c r="S373" s="138"/>
      <c r="T373" s="135">
        <v>606.77</v>
      </c>
      <c r="U373" s="185"/>
      <c r="V373" s="185">
        <v>9.5310000000000007E-6</v>
      </c>
      <c r="W373" s="185">
        <v>9.3977545985752572E-2</v>
      </c>
      <c r="X373" s="185">
        <v>9.3977545985752572E-2</v>
      </c>
      <c r="Y373" s="204">
        <v>7</v>
      </c>
      <c r="Z373" s="135">
        <v>9.09</v>
      </c>
      <c r="AA373" s="135"/>
      <c r="AB373" s="135">
        <v>7.18</v>
      </c>
      <c r="AC373" s="135">
        <v>0.45960000000000001</v>
      </c>
      <c r="AD373" s="135">
        <v>7.56</v>
      </c>
      <c r="AE373" s="135">
        <v>7.92</v>
      </c>
      <c r="AF373" s="135">
        <f t="shared" si="103"/>
        <v>7.56</v>
      </c>
      <c r="AG373" s="136">
        <v>8.32</v>
      </c>
      <c r="AH373" s="185">
        <v>3.0400000000000002E-14</v>
      </c>
      <c r="AI373" s="185"/>
      <c r="AJ373" s="136">
        <f t="shared" si="105"/>
        <v>-11.905692742703899</v>
      </c>
      <c r="AK373" s="136"/>
      <c r="AL373" s="136">
        <f t="shared" si="104"/>
        <v>-11.905692742703899</v>
      </c>
      <c r="AM373" s="136">
        <v>-24.151900000000001</v>
      </c>
      <c r="AN373" s="186">
        <v>-7.03</v>
      </c>
      <c r="AO373" s="481">
        <v>10.27</v>
      </c>
      <c r="AP373" s="481"/>
      <c r="AQ373" s="135" t="s">
        <v>6311</v>
      </c>
      <c r="AR373" s="135" t="s">
        <v>6311</v>
      </c>
      <c r="AS373" s="190"/>
      <c r="AT373" s="137" t="s">
        <v>266</v>
      </c>
      <c r="AU373" s="135">
        <v>6</v>
      </c>
      <c r="AV373" s="135">
        <v>120</v>
      </c>
      <c r="AW373" s="135">
        <v>114</v>
      </c>
      <c r="AX373" s="135">
        <v>28</v>
      </c>
      <c r="AY373" s="135" t="s">
        <v>8728</v>
      </c>
      <c r="AZ373" s="135" t="s">
        <v>1563</v>
      </c>
      <c r="BA373" s="135">
        <v>32</v>
      </c>
      <c r="BB373" s="138" t="s">
        <v>2485</v>
      </c>
      <c r="BC373" s="458" t="s">
        <v>8726</v>
      </c>
      <c r="BD373" s="138" t="s">
        <v>8374</v>
      </c>
      <c r="BE373" s="135" t="s">
        <v>2449</v>
      </c>
      <c r="BF373" s="135" t="s">
        <v>272</v>
      </c>
      <c r="BG373" s="135" t="s">
        <v>272</v>
      </c>
      <c r="BH373" s="135" t="s">
        <v>2486</v>
      </c>
      <c r="BI373" s="185">
        <v>3.8833279999999997E-3</v>
      </c>
      <c r="BJ373" s="185">
        <v>38.833280000000002</v>
      </c>
      <c r="BK373" s="135"/>
      <c r="BL373" s="485">
        <v>2.1384303038088178E-4</v>
      </c>
      <c r="BM373" s="138" t="s">
        <v>2487</v>
      </c>
      <c r="BN373" s="135"/>
      <c r="BO373" s="135"/>
      <c r="BP373" s="135"/>
      <c r="BQ373" s="135"/>
      <c r="BR373" s="138" t="e">
        <v>#VALUE!</v>
      </c>
      <c r="BS373" s="135"/>
      <c r="BT373" s="135"/>
      <c r="BU373" s="135">
        <v>3.8833279999999998E-2</v>
      </c>
      <c r="BV373" s="135"/>
      <c r="BW373" s="135"/>
      <c r="BX373" s="135"/>
      <c r="BY373" s="135"/>
      <c r="BZ373" s="135"/>
      <c r="CA373" s="135"/>
      <c r="CB373" s="135"/>
      <c r="CC373" s="135"/>
      <c r="CD373" s="135"/>
      <c r="CE373" s="135"/>
      <c r="CF373" s="135"/>
      <c r="CG373" s="135"/>
      <c r="CH373" s="135"/>
      <c r="CI373" s="185"/>
      <c r="CJ373" s="187"/>
      <c r="CK373" s="136">
        <f t="shared" si="100"/>
        <v>5.506695040462247E-6</v>
      </c>
      <c r="CL373" s="188"/>
      <c r="CM373" s="188"/>
      <c r="CN373" s="188"/>
      <c r="CO373" s="138" t="s">
        <v>2488</v>
      </c>
      <c r="CP373" s="189" t="s">
        <v>2489</v>
      </c>
      <c r="CQ373" s="191" t="s">
        <v>272</v>
      </c>
      <c r="CR373" s="191"/>
      <c r="CS373" s="135" t="s">
        <v>539</v>
      </c>
      <c r="CT373" s="135"/>
      <c r="CU373" s="135"/>
      <c r="CV373" s="332">
        <f t="shared" si="101"/>
        <v>2.4200259670507504E-3</v>
      </c>
      <c r="CW373" s="329">
        <f t="shared" si="102"/>
        <v>0</v>
      </c>
      <c r="CX373" s="329"/>
      <c r="CY373" s="189" t="s">
        <v>5921</v>
      </c>
    </row>
    <row r="374" spans="1:103" ht="11.25" customHeight="1" x14ac:dyDescent="0.2">
      <c r="A374" s="72">
        <v>672</v>
      </c>
      <c r="B374" s="183">
        <v>1664</v>
      </c>
      <c r="C374" s="133" t="s">
        <v>3865</v>
      </c>
      <c r="D374" s="133" t="s">
        <v>6906</v>
      </c>
      <c r="E374" s="134"/>
      <c r="F374" s="134" t="s">
        <v>3866</v>
      </c>
      <c r="G374" s="184">
        <v>39515418</v>
      </c>
      <c r="H374" s="138" t="s">
        <v>3867</v>
      </c>
      <c r="I374" s="138" t="s">
        <v>7964</v>
      </c>
      <c r="J374" s="138" t="s">
        <v>3868</v>
      </c>
      <c r="K374" s="138" t="s">
        <v>1711</v>
      </c>
      <c r="L374" s="138" t="s">
        <v>617</v>
      </c>
      <c r="M374" s="138" t="s">
        <v>1086</v>
      </c>
      <c r="N374" s="138" t="s">
        <v>6376</v>
      </c>
      <c r="O374" s="138" t="s">
        <v>918</v>
      </c>
      <c r="P374" s="138"/>
      <c r="Q374" s="138"/>
      <c r="R374" s="138"/>
      <c r="S374" s="138"/>
      <c r="T374" s="135">
        <v>349.42</v>
      </c>
      <c r="U374" s="185">
        <v>1.41E-2</v>
      </c>
      <c r="V374" s="185">
        <v>2.5499999999999998E-2</v>
      </c>
      <c r="W374" s="185">
        <v>0.74704671331386929</v>
      </c>
      <c r="X374" s="185">
        <v>1.41E-2</v>
      </c>
      <c r="Y374" s="204">
        <v>7</v>
      </c>
      <c r="Z374" s="135">
        <v>5.62</v>
      </c>
      <c r="AA374" s="135">
        <v>6</v>
      </c>
      <c r="AB374" s="135">
        <v>5.92</v>
      </c>
      <c r="AC374" s="135">
        <v>0.86950000000000005</v>
      </c>
      <c r="AD374" s="135">
        <v>5.82</v>
      </c>
      <c r="AE374" s="135">
        <v>5.48</v>
      </c>
      <c r="AF374" s="135">
        <f t="shared" si="103"/>
        <v>6</v>
      </c>
      <c r="AG374" s="136">
        <v>4.42</v>
      </c>
      <c r="AH374" s="185">
        <v>2.0499999999999999E-6</v>
      </c>
      <c r="AI374" s="185">
        <v>7.6399999999999997E-6</v>
      </c>
      <c r="AJ374" s="136">
        <f t="shared" si="105"/>
        <v>-4.0768124652568973</v>
      </c>
      <c r="AK374" s="136">
        <f>LOG10(AI374*1000/(0.08206*298.15))</f>
        <v>-3.5054729677369618</v>
      </c>
      <c r="AL374" s="136">
        <f t="shared" si="104"/>
        <v>-3.5054729677369618</v>
      </c>
      <c r="AM374" s="136">
        <v>-13.435850000000002</v>
      </c>
      <c r="AN374" s="186">
        <v>-3.91</v>
      </c>
      <c r="AO374" s="481"/>
      <c r="AP374" s="481"/>
      <c r="AQ374" s="186" t="s">
        <v>6311</v>
      </c>
      <c r="AR374" s="186" t="s">
        <v>6312</v>
      </c>
      <c r="AS374" s="183"/>
      <c r="AT374" s="137" t="s">
        <v>266</v>
      </c>
      <c r="AU374" s="135">
        <v>6</v>
      </c>
      <c r="AV374" s="135">
        <v>120</v>
      </c>
      <c r="AW374" s="135">
        <v>114</v>
      </c>
      <c r="AX374" s="135">
        <v>28</v>
      </c>
      <c r="AY374" s="135" t="s">
        <v>8728</v>
      </c>
      <c r="AZ374" s="135" t="s">
        <v>1563</v>
      </c>
      <c r="BA374" s="135">
        <v>32</v>
      </c>
      <c r="BB374" s="138" t="s">
        <v>2485</v>
      </c>
      <c r="BC374" s="458" t="s">
        <v>8726</v>
      </c>
      <c r="BD374" s="138" t="s">
        <v>8374</v>
      </c>
      <c r="BE374" s="135" t="s">
        <v>2449</v>
      </c>
      <c r="BF374" s="135" t="s">
        <v>272</v>
      </c>
      <c r="BG374" s="135" t="s">
        <v>272</v>
      </c>
      <c r="BH374" s="135" t="s">
        <v>2486</v>
      </c>
      <c r="BI374" s="185">
        <v>2.2362879999999999E-3</v>
      </c>
      <c r="BJ374" s="185">
        <v>22.362880000000001</v>
      </c>
      <c r="BK374" s="135"/>
      <c r="BL374" s="485">
        <v>0.16099995675496975</v>
      </c>
      <c r="BM374" s="138" t="s">
        <v>2487</v>
      </c>
      <c r="BN374" s="135"/>
      <c r="BO374" s="135"/>
      <c r="BP374" s="135"/>
      <c r="BQ374" s="135"/>
      <c r="BR374" s="138" t="e">
        <v>#VALUE!</v>
      </c>
      <c r="BS374" s="135"/>
      <c r="BT374" s="135"/>
      <c r="BU374" s="135"/>
      <c r="BV374" s="135"/>
      <c r="BW374" s="135"/>
      <c r="BX374" s="135"/>
      <c r="BY374" s="135"/>
      <c r="BZ374" s="135"/>
      <c r="CA374" s="135"/>
      <c r="CB374" s="135"/>
      <c r="CC374" s="135"/>
      <c r="CD374" s="135"/>
      <c r="CE374" s="135"/>
      <c r="CF374" s="135"/>
      <c r="CG374" s="135"/>
      <c r="CH374" s="135"/>
      <c r="CI374" s="185"/>
      <c r="CJ374" s="187"/>
      <c r="CK374" s="136">
        <f t="shared" si="100"/>
        <v>7.1994285510171207E-3</v>
      </c>
      <c r="CL374" s="188"/>
      <c r="CM374" s="188"/>
      <c r="CN374" s="188"/>
      <c r="CO374" s="138" t="s">
        <v>2488</v>
      </c>
      <c r="CP374" s="189" t="s">
        <v>2489</v>
      </c>
      <c r="CQ374" s="183">
        <v>-2.625251653989896</v>
      </c>
      <c r="CR374" s="191">
        <f>10^(CJ374-CQ374)</f>
        <v>421.94092827004215</v>
      </c>
      <c r="CS374" s="135" t="s">
        <v>539</v>
      </c>
      <c r="CT374" s="135"/>
      <c r="CU374" s="135"/>
      <c r="CV374" s="332">
        <f t="shared" si="101"/>
        <v>6.3050912941445823E-4</v>
      </c>
      <c r="CW374" s="329">
        <f t="shared" si="102"/>
        <v>0</v>
      </c>
      <c r="CX374" s="329"/>
      <c r="CY374" s="189" t="s">
        <v>5921</v>
      </c>
    </row>
    <row r="375" spans="1:103" ht="11.25" customHeight="1" x14ac:dyDescent="0.2">
      <c r="A375" s="72">
        <v>673</v>
      </c>
      <c r="B375" s="183">
        <v>1343</v>
      </c>
      <c r="C375" s="133" t="s">
        <v>6908</v>
      </c>
      <c r="D375" s="133"/>
      <c r="E375" s="134"/>
      <c r="F375" s="134" t="s">
        <v>4157</v>
      </c>
      <c r="G375" s="184">
        <v>139149556</v>
      </c>
      <c r="H375" s="138" t="s">
        <v>4158</v>
      </c>
      <c r="I375" s="138" t="s">
        <v>7821</v>
      </c>
      <c r="J375" s="138" t="s">
        <v>4159</v>
      </c>
      <c r="K375" s="138" t="s">
        <v>455</v>
      </c>
      <c r="L375" s="138"/>
      <c r="M375" s="138"/>
      <c r="N375" s="138"/>
      <c r="O375" s="138"/>
      <c r="P375" s="138"/>
      <c r="Q375" s="138"/>
      <c r="R375" s="138"/>
      <c r="S375" s="138"/>
      <c r="T375" s="135">
        <v>584.51</v>
      </c>
      <c r="U375" s="185"/>
      <c r="V375" s="185">
        <v>6.8069999999999988E-3</v>
      </c>
      <c r="W375" s="185">
        <v>0.53307945571192239</v>
      </c>
      <c r="X375" s="185">
        <v>0.53307945571192239</v>
      </c>
      <c r="Y375" s="204">
        <v>7.59</v>
      </c>
      <c r="Z375" s="135">
        <v>5.24</v>
      </c>
      <c r="AA375" s="135"/>
      <c r="AB375" s="135">
        <v>5.29</v>
      </c>
      <c r="AC375" s="135">
        <v>0.68200000000000005</v>
      </c>
      <c r="AD375" s="135">
        <v>5.48</v>
      </c>
      <c r="AE375" s="135">
        <v>5.89</v>
      </c>
      <c r="AF375" s="135">
        <f t="shared" si="103"/>
        <v>5.48</v>
      </c>
      <c r="AG375" s="136">
        <v>4.84</v>
      </c>
      <c r="AH375" s="185">
        <v>9.1899999999999996E-18</v>
      </c>
      <c r="AI375" s="185"/>
      <c r="AJ375" s="136">
        <f t="shared" si="105"/>
        <v>-15.425250814926541</v>
      </c>
      <c r="AK375" s="136"/>
      <c r="AL375" s="136">
        <f t="shared" si="104"/>
        <v>-15.425250814926541</v>
      </c>
      <c r="AM375" s="136">
        <v>-27.993769999999998</v>
      </c>
      <c r="AN375" s="186">
        <v>-31</v>
      </c>
      <c r="AO375" s="481">
        <v>15.53</v>
      </c>
      <c r="AP375" s="481">
        <v>7.55</v>
      </c>
      <c r="AQ375" s="135" t="s">
        <v>6311</v>
      </c>
      <c r="AR375" s="135" t="s">
        <v>6311</v>
      </c>
      <c r="AS375" s="190"/>
      <c r="AT375" s="137" t="s">
        <v>266</v>
      </c>
      <c r="AU375" s="135">
        <v>6</v>
      </c>
      <c r="AV375" s="135">
        <v>120</v>
      </c>
      <c r="AW375" s="135">
        <v>114</v>
      </c>
      <c r="AX375" s="135">
        <v>28</v>
      </c>
      <c r="AY375" s="135" t="s">
        <v>8728</v>
      </c>
      <c r="AZ375" s="135" t="s">
        <v>1563</v>
      </c>
      <c r="BA375" s="135">
        <v>32</v>
      </c>
      <c r="BB375" s="138" t="s">
        <v>2485</v>
      </c>
      <c r="BC375" s="458" t="s">
        <v>8726</v>
      </c>
      <c r="BD375" s="138" t="s">
        <v>8374</v>
      </c>
      <c r="BE375" s="135" t="s">
        <v>2449</v>
      </c>
      <c r="BF375" s="135" t="s">
        <v>272</v>
      </c>
      <c r="BG375" s="135" t="s">
        <v>272</v>
      </c>
      <c r="BH375" s="135" t="s">
        <v>2486</v>
      </c>
      <c r="BI375" s="185">
        <v>3.7408639999999996E-3</v>
      </c>
      <c r="BJ375" s="185">
        <v>37.408639999999998</v>
      </c>
      <c r="BK375" s="135"/>
      <c r="BL375" s="485">
        <v>0.59094620176952484</v>
      </c>
      <c r="BM375" s="138" t="s">
        <v>2487</v>
      </c>
      <c r="BN375" s="135"/>
      <c r="BO375" s="135"/>
      <c r="BP375" s="135"/>
      <c r="BQ375" s="135"/>
      <c r="BR375" s="138" t="e">
        <v>#VALUE!</v>
      </c>
      <c r="BS375" s="135"/>
      <c r="BT375" s="135"/>
      <c r="BU375" s="135"/>
      <c r="BV375" s="135"/>
      <c r="BW375" s="135"/>
      <c r="BX375" s="135"/>
      <c r="BY375" s="135"/>
      <c r="BZ375" s="135"/>
      <c r="CA375" s="135"/>
      <c r="CB375" s="135"/>
      <c r="CC375" s="135"/>
      <c r="CD375" s="135"/>
      <c r="CE375" s="135"/>
      <c r="CF375" s="135"/>
      <c r="CG375" s="135"/>
      <c r="CH375" s="135"/>
      <c r="CI375" s="185"/>
      <c r="CJ375" s="187"/>
      <c r="CK375" s="136">
        <f t="shared" si="100"/>
        <v>1.5797051209814762E-2</v>
      </c>
      <c r="CL375" s="188"/>
      <c r="CM375" s="188"/>
      <c r="CN375" s="188"/>
      <c r="CO375" s="138" t="s">
        <v>2488</v>
      </c>
      <c r="CP375" s="189" t="s">
        <v>2489</v>
      </c>
      <c r="CQ375" s="191" t="s">
        <v>272</v>
      </c>
      <c r="CR375" s="191"/>
      <c r="CS375" s="135" t="s">
        <v>539</v>
      </c>
      <c r="CT375" s="135"/>
      <c r="CU375" s="135"/>
      <c r="CV375" s="332">
        <f t="shared" si="101"/>
        <v>1.425016936493608E-2</v>
      </c>
      <c r="CW375" s="329">
        <f t="shared" si="102"/>
        <v>0</v>
      </c>
      <c r="CX375" s="329"/>
      <c r="CY375" s="189" t="s">
        <v>5921</v>
      </c>
    </row>
    <row r="376" spans="1:103" ht="11.25" customHeight="1" x14ac:dyDescent="0.2">
      <c r="A376" s="72">
        <v>674</v>
      </c>
      <c r="B376" s="191">
        <v>1588</v>
      </c>
      <c r="C376" s="128" t="s">
        <v>4742</v>
      </c>
      <c r="D376" s="128" t="s">
        <v>6909</v>
      </c>
      <c r="E376" s="129"/>
      <c r="F376" s="129" t="s">
        <v>4743</v>
      </c>
      <c r="G376" s="192">
        <v>27138314</v>
      </c>
      <c r="H376" s="139" t="s">
        <v>4744</v>
      </c>
      <c r="I376" s="139" t="s">
        <v>4744</v>
      </c>
      <c r="J376" s="139" t="s">
        <v>4745</v>
      </c>
      <c r="K376" s="139" t="s">
        <v>357</v>
      </c>
      <c r="L376" s="139" t="s">
        <v>6025</v>
      </c>
      <c r="M376" s="138" t="s">
        <v>2342</v>
      </c>
      <c r="N376" s="138" t="s">
        <v>2342</v>
      </c>
      <c r="O376" s="139"/>
      <c r="P376" s="138"/>
      <c r="Q376" s="138"/>
      <c r="R376" s="138"/>
      <c r="S376" s="138"/>
      <c r="T376" s="130">
        <v>342.39</v>
      </c>
      <c r="U376" s="187">
        <v>15</v>
      </c>
      <c r="V376" s="185">
        <v>3.3730000000000002</v>
      </c>
      <c r="W376" s="185">
        <v>19.254004633192352</v>
      </c>
      <c r="X376" s="187">
        <v>15</v>
      </c>
      <c r="Y376" s="194">
        <v>7</v>
      </c>
      <c r="Z376" s="130">
        <v>3.88</v>
      </c>
      <c r="AA376" s="130"/>
      <c r="AB376" s="130">
        <v>4.47</v>
      </c>
      <c r="AC376" s="130">
        <v>0.80959999999999999</v>
      </c>
      <c r="AD376" s="130">
        <v>4.4400000000000004</v>
      </c>
      <c r="AE376" s="130">
        <v>4.34</v>
      </c>
      <c r="AF376" s="130">
        <f t="shared" si="103"/>
        <v>4.4400000000000004</v>
      </c>
      <c r="AG376" s="131">
        <v>4.66</v>
      </c>
      <c r="AH376" s="187">
        <v>5.9500000000000001E-10</v>
      </c>
      <c r="AI376" s="187">
        <v>1.3799999999999999E-8</v>
      </c>
      <c r="AJ376" s="136">
        <f t="shared" si="105"/>
        <v>-7.6140493605841026</v>
      </c>
      <c r="AK376" s="136">
        <f>LOG10(AI376*1000/(0.08206*298.15))</f>
        <v>-6.2486872399114155</v>
      </c>
      <c r="AL376" s="136">
        <f t="shared" si="104"/>
        <v>-6.2486872399114155</v>
      </c>
      <c r="AM376" s="136">
        <v>-13.390799999999999</v>
      </c>
      <c r="AN376" s="193">
        <v>-11</v>
      </c>
      <c r="AO376" s="481"/>
      <c r="AP376" s="481"/>
      <c r="AQ376" s="130" t="s">
        <v>6311</v>
      </c>
      <c r="AR376" s="130" t="s">
        <v>6312</v>
      </c>
      <c r="AS376" s="198"/>
      <c r="AT376" s="132" t="s">
        <v>266</v>
      </c>
      <c r="AU376" s="130">
        <v>6</v>
      </c>
      <c r="AV376" s="130">
        <v>120</v>
      </c>
      <c r="AW376" s="130">
        <v>114</v>
      </c>
      <c r="AX376" s="130">
        <v>28</v>
      </c>
      <c r="AY376" s="130" t="s">
        <v>8728</v>
      </c>
      <c r="AZ376" s="130" t="s">
        <v>1563</v>
      </c>
      <c r="BA376" s="130">
        <v>32</v>
      </c>
      <c r="BB376" s="139" t="s">
        <v>2485</v>
      </c>
      <c r="BC376" s="458" t="s">
        <v>8726</v>
      </c>
      <c r="BD376" s="139" t="s">
        <v>8374</v>
      </c>
      <c r="BE376" s="130" t="s">
        <v>2449</v>
      </c>
      <c r="BF376" s="130" t="s">
        <v>272</v>
      </c>
      <c r="BG376" s="130" t="s">
        <v>272</v>
      </c>
      <c r="BH376" s="130" t="s">
        <v>2486</v>
      </c>
      <c r="BI376" s="187">
        <v>2.1912959999999997E-3</v>
      </c>
      <c r="BJ376" s="187">
        <v>21.912959999999998</v>
      </c>
      <c r="BK376" s="130"/>
      <c r="BL376" s="485">
        <v>5.7635899046111989</v>
      </c>
      <c r="BM376" s="139" t="s">
        <v>2487</v>
      </c>
      <c r="BN376" s="130"/>
      <c r="BO376" s="130"/>
      <c r="BP376" s="130"/>
      <c r="BQ376" s="130"/>
      <c r="BR376" s="139" t="e">
        <v>#VALUE!</v>
      </c>
      <c r="BS376" s="130"/>
      <c r="BT376" s="130"/>
      <c r="BU376" s="195"/>
      <c r="BV376" s="130"/>
      <c r="BW376" s="130"/>
      <c r="BX376" s="130"/>
      <c r="BY376" s="130"/>
      <c r="BZ376" s="130"/>
      <c r="CA376" s="130"/>
      <c r="CB376" s="130"/>
      <c r="CC376" s="130"/>
      <c r="CD376" s="130"/>
      <c r="CE376" s="130"/>
      <c r="CF376" s="130"/>
      <c r="CG376" s="130"/>
      <c r="CH376" s="130"/>
      <c r="CI376" s="187"/>
      <c r="CJ376" s="187"/>
      <c r="CK376" s="131">
        <f t="shared" si="100"/>
        <v>0.2630219698576185</v>
      </c>
      <c r="CL376" s="188"/>
      <c r="CM376" s="188"/>
      <c r="CN376" s="188"/>
      <c r="CO376" s="139" t="s">
        <v>2488</v>
      </c>
      <c r="CP376" s="499" t="s">
        <v>2489</v>
      </c>
      <c r="CQ376" s="191">
        <v>0.56820172406699498</v>
      </c>
      <c r="CR376" s="191">
        <f>10^(CJ376-CQ376)</f>
        <v>0.27027027027027023</v>
      </c>
      <c r="CS376" s="135" t="s">
        <v>539</v>
      </c>
      <c r="CT376" s="135"/>
      <c r="CU376" s="135"/>
      <c r="CV376" s="332">
        <f t="shared" si="101"/>
        <v>0.68452641724349428</v>
      </c>
      <c r="CW376" s="329">
        <f t="shared" si="102"/>
        <v>0</v>
      </c>
      <c r="CX376" s="329"/>
      <c r="CY376" s="189" t="s">
        <v>6351</v>
      </c>
    </row>
    <row r="377" spans="1:103" ht="11.25" customHeight="1" x14ac:dyDescent="0.2">
      <c r="A377" s="72">
        <v>675</v>
      </c>
      <c r="B377" s="183">
        <v>1282</v>
      </c>
      <c r="C377" s="133" t="s">
        <v>6694</v>
      </c>
      <c r="D377" s="133"/>
      <c r="E377" s="134"/>
      <c r="F377" s="134" t="s">
        <v>1453</v>
      </c>
      <c r="G377" s="184">
        <v>148477718</v>
      </c>
      <c r="H377" s="138" t="s">
        <v>1454</v>
      </c>
      <c r="I377" s="138" t="s">
        <v>7966</v>
      </c>
      <c r="J377" s="138" t="s">
        <v>1455</v>
      </c>
      <c r="K377" s="138" t="s">
        <v>361</v>
      </c>
      <c r="L377" s="138" t="s">
        <v>617</v>
      </c>
      <c r="M377" s="138" t="s">
        <v>1456</v>
      </c>
      <c r="N377" s="138"/>
      <c r="O377" s="138" t="s">
        <v>918</v>
      </c>
      <c r="P377" s="138"/>
      <c r="Q377" s="138"/>
      <c r="R377" s="138"/>
      <c r="S377" s="138"/>
      <c r="T377" s="135">
        <v>411.32</v>
      </c>
      <c r="U377" s="185"/>
      <c r="V377" s="185">
        <v>1.285E-2</v>
      </c>
      <c r="W377" s="185">
        <v>0.1213891379112416</v>
      </c>
      <c r="X377" s="185">
        <v>0.1213891379112416</v>
      </c>
      <c r="Y377" s="204">
        <v>7</v>
      </c>
      <c r="Z377" s="135">
        <v>6.21</v>
      </c>
      <c r="AA377" s="135"/>
      <c r="AB377" s="135">
        <v>5.44</v>
      </c>
      <c r="AC377" s="135">
        <v>0.57879999999999998</v>
      </c>
      <c r="AD377" s="135">
        <v>5.83</v>
      </c>
      <c r="AE377" s="135">
        <v>6.36</v>
      </c>
      <c r="AF377" s="135">
        <f t="shared" si="103"/>
        <v>5.83</v>
      </c>
      <c r="AG377" s="136">
        <v>5.76</v>
      </c>
      <c r="AH377" s="185">
        <v>1.2599999999999999E-7</v>
      </c>
      <c r="AI377" s="185"/>
      <c r="AJ377" s="136">
        <f t="shared" si="105"/>
        <v>-5.288195781195089</v>
      </c>
      <c r="AK377" s="136"/>
      <c r="AL377" s="136">
        <f t="shared" si="104"/>
        <v>-5.288195781195089</v>
      </c>
      <c r="AM377" s="136">
        <v>-11.30762</v>
      </c>
      <c r="AN377" s="186">
        <v>-6.99</v>
      </c>
      <c r="AO377" s="481"/>
      <c r="AP377" s="481"/>
      <c r="AQ377" s="135" t="s">
        <v>6311</v>
      </c>
      <c r="AR377" s="135" t="s">
        <v>6312</v>
      </c>
      <c r="AS377" s="190"/>
      <c r="AT377" s="137" t="s">
        <v>266</v>
      </c>
      <c r="AU377" s="135">
        <v>6</v>
      </c>
      <c r="AV377" s="135">
        <v>120</v>
      </c>
      <c r="AW377" s="135">
        <v>114</v>
      </c>
      <c r="AX377" s="135">
        <v>28</v>
      </c>
      <c r="AY377" s="135" t="s">
        <v>8728</v>
      </c>
      <c r="AZ377" s="135" t="s">
        <v>1563</v>
      </c>
      <c r="BA377" s="135">
        <v>32</v>
      </c>
      <c r="BB377" s="138" t="s">
        <v>2485</v>
      </c>
      <c r="BC377" s="458" t="s">
        <v>8726</v>
      </c>
      <c r="BD377" s="138" t="s">
        <v>8374</v>
      </c>
      <c r="BE377" s="135" t="s">
        <v>2449</v>
      </c>
      <c r="BF377" s="135" t="s">
        <v>272</v>
      </c>
      <c r="BG377" s="135" t="s">
        <v>272</v>
      </c>
      <c r="BH377" s="135" t="s">
        <v>2486</v>
      </c>
      <c r="BI377" s="185">
        <v>2.6324479999999999E-3</v>
      </c>
      <c r="BJ377" s="185">
        <v>26.324480000000001</v>
      </c>
      <c r="BK377" s="135"/>
      <c r="BL377" s="485">
        <v>5.5947260668222726E-2</v>
      </c>
      <c r="BM377" s="138" t="s">
        <v>2487</v>
      </c>
      <c r="BN377" s="135"/>
      <c r="BO377" s="135"/>
      <c r="BP377" s="135"/>
      <c r="BQ377" s="135"/>
      <c r="BR377" s="138" t="e">
        <v>#VALUE!</v>
      </c>
      <c r="BS377" s="135"/>
      <c r="BT377" s="135"/>
      <c r="BU377" s="135">
        <v>0.2632448</v>
      </c>
      <c r="BV377" s="135"/>
      <c r="BW377" s="135"/>
      <c r="BX377" s="135"/>
      <c r="BY377" s="135"/>
      <c r="BZ377" s="135"/>
      <c r="CA377" s="135"/>
      <c r="CB377" s="135"/>
      <c r="CC377" s="135"/>
      <c r="CD377" s="135"/>
      <c r="CE377" s="135"/>
      <c r="CF377" s="135"/>
      <c r="CG377" s="135"/>
      <c r="CH377" s="135"/>
      <c r="CI377" s="185"/>
      <c r="CJ377" s="187"/>
      <c r="CK377" s="136">
        <f t="shared" si="100"/>
        <v>2.1252940482859575E-3</v>
      </c>
      <c r="CL377" s="188"/>
      <c r="CM377" s="188"/>
      <c r="CN377" s="188"/>
      <c r="CO377" s="138" t="s">
        <v>2488</v>
      </c>
      <c r="CP377" s="189" t="s">
        <v>2489</v>
      </c>
      <c r="CQ377" s="191" t="s">
        <v>272</v>
      </c>
      <c r="CR377" s="191"/>
      <c r="CS377" s="135" t="s">
        <v>539</v>
      </c>
      <c r="CT377" s="135"/>
      <c r="CU377" s="135"/>
      <c r="CV377" s="332">
        <f t="shared" si="101"/>
        <v>4.611264416666221E-3</v>
      </c>
      <c r="CW377" s="329">
        <f t="shared" si="102"/>
        <v>0</v>
      </c>
      <c r="CX377" s="329"/>
      <c r="CY377" s="189" t="s">
        <v>5921</v>
      </c>
    </row>
    <row r="378" spans="1:103" ht="11.25" customHeight="1" x14ac:dyDescent="0.2">
      <c r="A378" s="72">
        <v>676</v>
      </c>
      <c r="B378" s="183">
        <v>1373</v>
      </c>
      <c r="C378" s="133" t="s">
        <v>6910</v>
      </c>
      <c r="D378" s="133"/>
      <c r="E378" s="134"/>
      <c r="F378" s="134" t="s">
        <v>4238</v>
      </c>
      <c r="G378" s="184">
        <v>149062759</v>
      </c>
      <c r="H378" s="138" t="s">
        <v>4239</v>
      </c>
      <c r="I378" s="138" t="s">
        <v>7852</v>
      </c>
      <c r="J378" s="138" t="s">
        <v>4240</v>
      </c>
      <c r="K378" s="138" t="s">
        <v>4241</v>
      </c>
      <c r="L378" s="138"/>
      <c r="M378" s="138"/>
      <c r="N378" s="138"/>
      <c r="O378" s="138"/>
      <c r="P378" s="138"/>
      <c r="Q378" s="138"/>
      <c r="R378" s="138"/>
      <c r="S378" s="138"/>
      <c r="T378" s="135">
        <v>502.62</v>
      </c>
      <c r="U378" s="185"/>
      <c r="V378" s="185">
        <v>4.2379999999999996E-3</v>
      </c>
      <c r="W378" s="185">
        <v>1.2057014017575747</v>
      </c>
      <c r="X378" s="185">
        <v>1.2057014017575747</v>
      </c>
      <c r="Y378" s="204">
        <v>8.14</v>
      </c>
      <c r="Z378" s="135">
        <v>6.1</v>
      </c>
      <c r="AA378" s="135"/>
      <c r="AB378" s="135">
        <v>5.0999999999999996</v>
      </c>
      <c r="AC378" s="135">
        <v>0.72609999999999997</v>
      </c>
      <c r="AD378" s="135">
        <v>5.37</v>
      </c>
      <c r="AE378" s="135">
        <v>5.98</v>
      </c>
      <c r="AF378" s="135">
        <f t="shared" si="103"/>
        <v>5.37</v>
      </c>
      <c r="AG378" s="136">
        <v>6.65</v>
      </c>
      <c r="AH378" s="185">
        <v>2.0699999999999999E-17</v>
      </c>
      <c r="AI378" s="185"/>
      <c r="AJ378" s="136">
        <f t="shared" si="105"/>
        <v>-15.072595980855734</v>
      </c>
      <c r="AK378" s="136"/>
      <c r="AL378" s="136">
        <f t="shared" si="104"/>
        <v>-15.072595980855734</v>
      </c>
      <c r="AM378" s="136">
        <v>-22.861709999999999</v>
      </c>
      <c r="AN378" s="186">
        <v>-21.1</v>
      </c>
      <c r="AO378" s="481">
        <v>14.17</v>
      </c>
      <c r="AP378" s="481">
        <v>8.7200000000000006</v>
      </c>
      <c r="AQ378" s="135" t="s">
        <v>6311</v>
      </c>
      <c r="AR378" s="135" t="s">
        <v>6311</v>
      </c>
      <c r="AS378" s="190"/>
      <c r="AT378" s="137" t="s">
        <v>266</v>
      </c>
      <c r="AU378" s="135">
        <v>6</v>
      </c>
      <c r="AV378" s="135">
        <v>120</v>
      </c>
      <c r="AW378" s="135">
        <v>114</v>
      </c>
      <c r="AX378" s="135">
        <v>28</v>
      </c>
      <c r="AY378" s="135" t="s">
        <v>8728</v>
      </c>
      <c r="AZ378" s="135" t="s">
        <v>1563</v>
      </c>
      <c r="BA378" s="135">
        <v>32</v>
      </c>
      <c r="BB378" s="138" t="s">
        <v>2485</v>
      </c>
      <c r="BC378" s="458" t="s">
        <v>8726</v>
      </c>
      <c r="BD378" s="138" t="s">
        <v>8374</v>
      </c>
      <c r="BE378" s="135" t="s">
        <v>2449</v>
      </c>
      <c r="BF378" s="135" t="s">
        <v>272</v>
      </c>
      <c r="BG378" s="135" t="s">
        <v>272</v>
      </c>
      <c r="BH378" s="135" t="s">
        <v>2486</v>
      </c>
      <c r="BI378" s="185">
        <v>3.2167680000000001E-3</v>
      </c>
      <c r="BJ378" s="185">
        <v>32.167680000000004</v>
      </c>
      <c r="BK378" s="135"/>
      <c r="BL378" s="485">
        <v>8.582815282356579E-2</v>
      </c>
      <c r="BM378" s="138" t="s">
        <v>2487</v>
      </c>
      <c r="BN378" s="135"/>
      <c r="BO378" s="135"/>
      <c r="BP378" s="135"/>
      <c r="BQ378" s="135"/>
      <c r="BR378" s="138" t="e">
        <v>#VALUE!</v>
      </c>
      <c r="BS378" s="135"/>
      <c r="BT378" s="135"/>
      <c r="BU378" s="135"/>
      <c r="BV378" s="135"/>
      <c r="BW378" s="135"/>
      <c r="BX378" s="135"/>
      <c r="BY378" s="135"/>
      <c r="BZ378" s="135"/>
      <c r="CA378" s="135"/>
      <c r="CB378" s="135"/>
      <c r="CC378" s="135"/>
      <c r="CD378" s="135"/>
      <c r="CE378" s="135"/>
      <c r="CF378" s="135"/>
      <c r="CG378" s="135"/>
      <c r="CH378" s="135"/>
      <c r="CI378" s="185"/>
      <c r="CJ378" s="187"/>
      <c r="CK378" s="136">
        <f t="shared" si="100"/>
        <v>2.668148676670676E-3</v>
      </c>
      <c r="CL378" s="188"/>
      <c r="CM378" s="188"/>
      <c r="CN378" s="188"/>
      <c r="CO378" s="138" t="s">
        <v>2488</v>
      </c>
      <c r="CP378" s="189" t="s">
        <v>2489</v>
      </c>
      <c r="CQ378" s="191" t="s">
        <v>272</v>
      </c>
      <c r="CR378" s="191"/>
      <c r="CS378" s="135" t="s">
        <v>539</v>
      </c>
      <c r="CT378" s="135"/>
      <c r="CU378" s="135"/>
      <c r="CV378" s="332">
        <f t="shared" si="101"/>
        <v>3.7481764359679481E-2</v>
      </c>
      <c r="CW378" s="329">
        <f t="shared" si="102"/>
        <v>0</v>
      </c>
      <c r="CX378" s="329"/>
      <c r="CY378" s="189" t="s">
        <v>5921</v>
      </c>
    </row>
    <row r="379" spans="1:103" ht="11.25" customHeight="1" x14ac:dyDescent="0.2">
      <c r="A379" s="72">
        <v>677</v>
      </c>
      <c r="B379" s="183">
        <v>1428</v>
      </c>
      <c r="C379" s="133" t="s">
        <v>6911</v>
      </c>
      <c r="D379" s="133"/>
      <c r="E379" s="134"/>
      <c r="F379" s="134" t="s">
        <v>4393</v>
      </c>
      <c r="G379" s="184">
        <v>151506444</v>
      </c>
      <c r="H379" s="138" t="s">
        <v>4394</v>
      </c>
      <c r="I379" s="138" t="s">
        <v>7856</v>
      </c>
      <c r="J379" s="138" t="s">
        <v>4395</v>
      </c>
      <c r="K379" s="138" t="s">
        <v>306</v>
      </c>
      <c r="L379" s="138"/>
      <c r="M379" s="138"/>
      <c r="N379" s="138"/>
      <c r="O379" s="138"/>
      <c r="P379" s="138"/>
      <c r="Q379" s="138"/>
      <c r="R379" s="138"/>
      <c r="S379" s="138"/>
      <c r="T379" s="135">
        <v>465.49</v>
      </c>
      <c r="U379" s="185"/>
      <c r="V379" s="185">
        <v>5.944E-2</v>
      </c>
      <c r="W379" s="185">
        <v>3.7836447696922608</v>
      </c>
      <c r="X379" s="185">
        <v>3.7836447696922608</v>
      </c>
      <c r="Y379" s="204">
        <v>5.15</v>
      </c>
      <c r="Z379" s="135">
        <v>5.63</v>
      </c>
      <c r="AA379" s="135"/>
      <c r="AB379" s="135">
        <v>4.72</v>
      </c>
      <c r="AC379" s="135">
        <v>0.52839999999999998</v>
      </c>
      <c r="AD379" s="135">
        <v>4.8</v>
      </c>
      <c r="AE379" s="135">
        <v>4.88</v>
      </c>
      <c r="AF379" s="135">
        <f t="shared" si="103"/>
        <v>4.8</v>
      </c>
      <c r="AG379" s="136">
        <v>5.03</v>
      </c>
      <c r="AH379" s="185">
        <v>6.2800000000000002E-21</v>
      </c>
      <c r="AI379" s="185"/>
      <c r="AJ379" s="136">
        <f t="shared" si="105"/>
        <v>-18.590606682575455</v>
      </c>
      <c r="AK379" s="136"/>
      <c r="AL379" s="136">
        <f t="shared" si="104"/>
        <v>-18.590606682575455</v>
      </c>
      <c r="AM379" s="136">
        <v>-24.77713</v>
      </c>
      <c r="AN379" s="186">
        <v>-20</v>
      </c>
      <c r="AO379" s="481">
        <v>4.25</v>
      </c>
      <c r="AP379" s="481">
        <v>0.68</v>
      </c>
      <c r="AQ379" s="135" t="s">
        <v>6311</v>
      </c>
      <c r="AR379" s="135" t="s">
        <v>6311</v>
      </c>
      <c r="AS379" s="190"/>
      <c r="AT379" s="137" t="s">
        <v>266</v>
      </c>
      <c r="AU379" s="135">
        <v>6</v>
      </c>
      <c r="AV379" s="135">
        <v>120</v>
      </c>
      <c r="AW379" s="135">
        <v>114</v>
      </c>
      <c r="AX379" s="135">
        <v>28</v>
      </c>
      <c r="AY379" s="135" t="s">
        <v>8728</v>
      </c>
      <c r="AZ379" s="135" t="s">
        <v>1563</v>
      </c>
      <c r="BA379" s="135">
        <v>32</v>
      </c>
      <c r="BB379" s="138" t="s">
        <v>2485</v>
      </c>
      <c r="BC379" s="458" t="s">
        <v>8726</v>
      </c>
      <c r="BD379" s="138" t="s">
        <v>8374</v>
      </c>
      <c r="BE379" s="135" t="s">
        <v>2449</v>
      </c>
      <c r="BF379" s="135" t="s">
        <v>272</v>
      </c>
      <c r="BG379" s="135" t="s">
        <v>272</v>
      </c>
      <c r="BH379" s="135" t="s">
        <v>2486</v>
      </c>
      <c r="BI379" s="185">
        <v>2.9791359999999999E-3</v>
      </c>
      <c r="BJ379" s="185">
        <v>29.791360000000001</v>
      </c>
      <c r="BK379" s="135"/>
      <c r="BL379" s="485">
        <v>0.2100909551740443</v>
      </c>
      <c r="BM379" s="138" t="s">
        <v>2487</v>
      </c>
      <c r="BN379" s="135"/>
      <c r="BO379" s="135"/>
      <c r="BP379" s="135"/>
      <c r="BQ379" s="135"/>
      <c r="BR379" s="138" t="e">
        <v>#VALUE!</v>
      </c>
      <c r="BS379" s="135"/>
      <c r="BT379" s="135"/>
      <c r="BU379" s="135"/>
      <c r="BV379" s="135"/>
      <c r="BW379" s="135"/>
      <c r="BX379" s="135"/>
      <c r="BY379" s="135"/>
      <c r="BZ379" s="135"/>
      <c r="CA379" s="135"/>
      <c r="CB379" s="135"/>
      <c r="CC379" s="135"/>
      <c r="CD379" s="135"/>
      <c r="CE379" s="135"/>
      <c r="CF379" s="135"/>
      <c r="CG379" s="135"/>
      <c r="CH379" s="135"/>
      <c r="CI379" s="185"/>
      <c r="CJ379" s="187"/>
      <c r="CK379" s="136">
        <f t="shared" si="100"/>
        <v>7.0520766817642527E-3</v>
      </c>
      <c r="CL379" s="188"/>
      <c r="CM379" s="188"/>
      <c r="CN379" s="188"/>
      <c r="CO379" s="138" t="s">
        <v>2488</v>
      </c>
      <c r="CP379" s="189" t="s">
        <v>2489</v>
      </c>
      <c r="CQ379" s="191" t="s">
        <v>272</v>
      </c>
      <c r="CR379" s="191"/>
      <c r="CS379" s="135" t="s">
        <v>539</v>
      </c>
      <c r="CT379" s="135"/>
      <c r="CU379" s="135"/>
      <c r="CV379" s="332">
        <f t="shared" si="101"/>
        <v>0.12700476815064035</v>
      </c>
      <c r="CW379" s="329">
        <f t="shared" si="102"/>
        <v>0</v>
      </c>
      <c r="CX379" s="329"/>
      <c r="CY379" s="189" t="s">
        <v>5921</v>
      </c>
    </row>
    <row r="380" spans="1:103" ht="11.25" customHeight="1" x14ac:dyDescent="0.2">
      <c r="A380" s="72">
        <v>678</v>
      </c>
      <c r="B380" s="183">
        <v>1651</v>
      </c>
      <c r="C380" s="133" t="s">
        <v>6696</v>
      </c>
      <c r="D380" s="133"/>
      <c r="E380" s="134"/>
      <c r="F380" s="134" t="s">
        <v>1141</v>
      </c>
      <c r="G380" s="184">
        <v>153233911</v>
      </c>
      <c r="H380" s="138" t="s">
        <v>1142</v>
      </c>
      <c r="I380" s="138" t="s">
        <v>1142</v>
      </c>
      <c r="J380" s="138" t="s">
        <v>1143</v>
      </c>
      <c r="K380" s="138" t="s">
        <v>426</v>
      </c>
      <c r="L380" s="138" t="s">
        <v>617</v>
      </c>
      <c r="M380" s="138" t="s">
        <v>1144</v>
      </c>
      <c r="N380" s="138"/>
      <c r="O380" s="138" t="s">
        <v>918</v>
      </c>
      <c r="P380" s="138"/>
      <c r="Q380" s="138"/>
      <c r="R380" s="138"/>
      <c r="S380" s="138"/>
      <c r="T380" s="135">
        <v>359.41</v>
      </c>
      <c r="U380" s="185">
        <v>7.5399999999999995E-2</v>
      </c>
      <c r="V380" s="185">
        <v>3.8080000000000002E-3</v>
      </c>
      <c r="W380" s="185">
        <v>0.73382103469367388</v>
      </c>
      <c r="X380" s="185">
        <v>7.5399999999999995E-2</v>
      </c>
      <c r="Y380" s="204">
        <v>7</v>
      </c>
      <c r="Z380" s="135">
        <v>7.21</v>
      </c>
      <c r="AA380" s="135"/>
      <c r="AB380" s="135">
        <v>5.2</v>
      </c>
      <c r="AC380" s="135">
        <v>0.68340000000000001</v>
      </c>
      <c r="AD380" s="135">
        <v>5.44</v>
      </c>
      <c r="AE380" s="135">
        <v>5.85</v>
      </c>
      <c r="AF380" s="135">
        <f t="shared" si="103"/>
        <v>5.44</v>
      </c>
      <c r="AG380" s="136">
        <v>5.6</v>
      </c>
      <c r="AH380" s="185">
        <v>4.51E-8</v>
      </c>
      <c r="AI380" s="185">
        <v>1.03E-7</v>
      </c>
      <c r="AJ380" s="136">
        <f t="shared" si="105"/>
        <v>-5.7343897844346916</v>
      </c>
      <c r="AK380" s="136">
        <f>LOG10(AI380*1000/(0.08206*298.15))</f>
        <v>-5.3757291016074795</v>
      </c>
      <c r="AL380" s="136">
        <f t="shared" si="104"/>
        <v>-5.3757291016074795</v>
      </c>
      <c r="AM380" s="136">
        <v>-9.1111300000000011</v>
      </c>
      <c r="AN380" s="186">
        <v>-3</v>
      </c>
      <c r="AO380" s="481"/>
      <c r="AP380" s="481">
        <v>2.04</v>
      </c>
      <c r="AQ380" s="186" t="s">
        <v>6311</v>
      </c>
      <c r="AR380" s="186" t="s">
        <v>6311</v>
      </c>
      <c r="AS380" s="183"/>
      <c r="AT380" s="137" t="s">
        <v>266</v>
      </c>
      <c r="AU380" s="135">
        <v>6</v>
      </c>
      <c r="AV380" s="135">
        <v>120</v>
      </c>
      <c r="AW380" s="135">
        <v>114</v>
      </c>
      <c r="AX380" s="135">
        <v>28</v>
      </c>
      <c r="AY380" s="135" t="s">
        <v>8728</v>
      </c>
      <c r="AZ380" s="135" t="s">
        <v>1563</v>
      </c>
      <c r="BA380" s="135">
        <v>32</v>
      </c>
      <c r="BB380" s="138" t="s">
        <v>2485</v>
      </c>
      <c r="BC380" s="458" t="s">
        <v>8726</v>
      </c>
      <c r="BD380" s="138" t="s">
        <v>8374</v>
      </c>
      <c r="BE380" s="135" t="s">
        <v>2449</v>
      </c>
      <c r="BF380" s="135" t="s">
        <v>272</v>
      </c>
      <c r="BG380" s="135" t="s">
        <v>272</v>
      </c>
      <c r="BH380" s="135" t="s">
        <v>2486</v>
      </c>
      <c r="BI380" s="185">
        <v>2.300224E-3</v>
      </c>
      <c r="BJ380" s="185">
        <v>23.00224</v>
      </c>
      <c r="BK380" s="135"/>
      <c r="BL380" s="485">
        <v>6.1814328598528154E-3</v>
      </c>
      <c r="BM380" s="138" t="s">
        <v>2487</v>
      </c>
      <c r="BN380" s="135"/>
      <c r="BO380" s="135"/>
      <c r="BP380" s="135"/>
      <c r="BQ380" s="135"/>
      <c r="BR380" s="138" t="e">
        <v>#VALUE!</v>
      </c>
      <c r="BS380" s="135"/>
      <c r="BT380" s="135"/>
      <c r="BU380" s="135"/>
      <c r="BV380" s="135"/>
      <c r="BW380" s="135"/>
      <c r="BX380" s="135"/>
      <c r="BY380" s="135"/>
      <c r="BZ380" s="135"/>
      <c r="CA380" s="135"/>
      <c r="CB380" s="135"/>
      <c r="CC380" s="135"/>
      <c r="CD380" s="135"/>
      <c r="CE380" s="135"/>
      <c r="CF380" s="135"/>
      <c r="CG380" s="135"/>
      <c r="CH380" s="135"/>
      <c r="CI380" s="185"/>
      <c r="CJ380" s="187"/>
      <c r="CK380" s="136">
        <f t="shared" si="100"/>
        <v>2.687317782899759E-4</v>
      </c>
      <c r="CL380" s="188"/>
      <c r="CM380" s="188"/>
      <c r="CN380" s="188"/>
      <c r="CO380" s="138" t="s">
        <v>2488</v>
      </c>
      <c r="CP380" s="189" t="s">
        <v>2489</v>
      </c>
      <c r="CQ380" s="191" t="s">
        <v>272</v>
      </c>
      <c r="CR380" s="191"/>
      <c r="CS380" s="135" t="s">
        <v>539</v>
      </c>
      <c r="CT380" s="135"/>
      <c r="CU380" s="135"/>
      <c r="CV380" s="332">
        <f t="shared" si="101"/>
        <v>3.277941626554631E-3</v>
      </c>
      <c r="CW380" s="329">
        <f t="shared" si="102"/>
        <v>0</v>
      </c>
      <c r="CX380" s="329"/>
      <c r="CY380" s="189" t="s">
        <v>5921</v>
      </c>
    </row>
    <row r="381" spans="1:103" ht="11.25" customHeight="1" x14ac:dyDescent="0.2">
      <c r="A381" s="72">
        <v>679</v>
      </c>
      <c r="B381" s="183">
        <v>1751</v>
      </c>
      <c r="C381" s="133" t="s">
        <v>6912</v>
      </c>
      <c r="D381" s="133"/>
      <c r="E381" s="134"/>
      <c r="F381" s="134" t="s">
        <v>5045</v>
      </c>
      <c r="G381" s="184">
        <v>155990208</v>
      </c>
      <c r="H381" s="138" t="s">
        <v>5046</v>
      </c>
      <c r="I381" s="138" t="s">
        <v>7841</v>
      </c>
      <c r="J381" s="138" t="s">
        <v>5047</v>
      </c>
      <c r="K381" s="138" t="s">
        <v>471</v>
      </c>
      <c r="L381" s="140"/>
      <c r="M381" s="138"/>
      <c r="N381" s="138"/>
      <c r="O381" s="138"/>
      <c r="P381" s="138"/>
      <c r="Q381" s="138"/>
      <c r="R381" s="138"/>
      <c r="S381" s="138"/>
      <c r="T381" s="135">
        <v>408.45</v>
      </c>
      <c r="U381" s="185"/>
      <c r="V381" s="185">
        <v>0.49940000000000001</v>
      </c>
      <c r="W381" s="185">
        <v>1.7829489167849565E-2</v>
      </c>
      <c r="X381" s="185">
        <v>1.7829489167849565E-2</v>
      </c>
      <c r="Y381" s="204">
        <v>7</v>
      </c>
      <c r="Z381" s="135">
        <v>4.0599999999999996</v>
      </c>
      <c r="AA381" s="135"/>
      <c r="AB381" s="135">
        <v>4.63</v>
      </c>
      <c r="AC381" s="135">
        <v>0.71450000000000002</v>
      </c>
      <c r="AD381" s="135">
        <v>4.8499999999999996</v>
      </c>
      <c r="AE381" s="135">
        <v>5.35</v>
      </c>
      <c r="AF381" s="135">
        <f t="shared" si="103"/>
        <v>4.8499999999999996</v>
      </c>
      <c r="AG381" s="136">
        <v>4.4000000000000004</v>
      </c>
      <c r="AH381" s="185">
        <v>5.5900000000000002E-21</v>
      </c>
      <c r="AI381" s="185"/>
      <c r="AJ381" s="136">
        <f t="shared" si="105"/>
        <v>-18.64115451842623</v>
      </c>
      <c r="AK381" s="136"/>
      <c r="AL381" s="136">
        <f t="shared" si="104"/>
        <v>-18.64115451842623</v>
      </c>
      <c r="AM381" s="136">
        <v>-24.970479999999998</v>
      </c>
      <c r="AN381" s="186">
        <v>-19</v>
      </c>
      <c r="AO381" s="481">
        <v>10.029999999999999</v>
      </c>
      <c r="AP381" s="481">
        <v>2.78</v>
      </c>
      <c r="AQ381" s="186" t="s">
        <v>6311</v>
      </c>
      <c r="AR381" s="186" t="s">
        <v>6311</v>
      </c>
      <c r="AS381" s="183"/>
      <c r="AT381" s="137" t="s">
        <v>266</v>
      </c>
      <c r="AU381" s="135">
        <v>6</v>
      </c>
      <c r="AV381" s="135">
        <v>120</v>
      </c>
      <c r="AW381" s="135">
        <v>114</v>
      </c>
      <c r="AX381" s="135">
        <v>28</v>
      </c>
      <c r="AY381" s="135" t="s">
        <v>8728</v>
      </c>
      <c r="AZ381" s="135" t="s">
        <v>1563</v>
      </c>
      <c r="BA381" s="135">
        <v>32</v>
      </c>
      <c r="BB381" s="138" t="s">
        <v>2485</v>
      </c>
      <c r="BC381" s="458" t="s">
        <v>8726</v>
      </c>
      <c r="BD381" s="138" t="s">
        <v>8374</v>
      </c>
      <c r="BE381" s="135" t="s">
        <v>2449</v>
      </c>
      <c r="BF381" s="135" t="s">
        <v>272</v>
      </c>
      <c r="BG381" s="135" t="s">
        <v>272</v>
      </c>
      <c r="BH381" s="135" t="s">
        <v>2486</v>
      </c>
      <c r="BI381" s="185">
        <v>2.61408E-3</v>
      </c>
      <c r="BJ381" s="185">
        <v>26.140799999999999</v>
      </c>
      <c r="BK381" s="135"/>
      <c r="BL381" s="485">
        <v>4.7386310998132748</v>
      </c>
      <c r="BM381" s="138" t="s">
        <v>2487</v>
      </c>
      <c r="BN381" s="135"/>
      <c r="BO381" s="135"/>
      <c r="BP381" s="135"/>
      <c r="BQ381" s="135"/>
      <c r="BR381" s="138" t="e">
        <v>#VALUE!</v>
      </c>
      <c r="BS381" s="135"/>
      <c r="BT381" s="135"/>
      <c r="BU381" s="135"/>
      <c r="BV381" s="135"/>
      <c r="BW381" s="135"/>
      <c r="BX381" s="135"/>
      <c r="BY381" s="135"/>
      <c r="BZ381" s="135"/>
      <c r="CA381" s="135"/>
      <c r="CB381" s="135"/>
      <c r="CC381" s="135"/>
      <c r="CD381" s="135"/>
      <c r="CE381" s="135"/>
      <c r="CF381" s="135"/>
      <c r="CG381" s="135"/>
      <c r="CH381" s="135"/>
      <c r="CI381" s="185"/>
      <c r="CJ381" s="187"/>
      <c r="CK381" s="136">
        <f t="shared" si="100"/>
        <v>0.18127337724221429</v>
      </c>
      <c r="CL381" s="188"/>
      <c r="CM381" s="188"/>
      <c r="CN381" s="188"/>
      <c r="CO381" s="138" t="s">
        <v>2488</v>
      </c>
      <c r="CP381" s="189" t="s">
        <v>2489</v>
      </c>
      <c r="CQ381" s="191" t="s">
        <v>272</v>
      </c>
      <c r="CR381" s="191"/>
      <c r="CS381" s="135" t="s">
        <v>539</v>
      </c>
      <c r="CT381" s="135"/>
      <c r="CU381" s="135"/>
      <c r="CV381" s="332">
        <f t="shared" si="101"/>
        <v>6.820559878752588E-4</v>
      </c>
      <c r="CW381" s="329">
        <f t="shared" si="102"/>
        <v>0</v>
      </c>
      <c r="CX381" s="329"/>
      <c r="CY381" s="189" t="s">
        <v>5921</v>
      </c>
    </row>
    <row r="382" spans="1:103" ht="11.25" customHeight="1" x14ac:dyDescent="0.2">
      <c r="A382" s="72">
        <v>681</v>
      </c>
      <c r="B382" s="191">
        <v>1733</v>
      </c>
      <c r="C382" s="128" t="s">
        <v>6913</v>
      </c>
      <c r="D382" s="128"/>
      <c r="E382" s="129"/>
      <c r="F382" s="129" t="s">
        <v>3937</v>
      </c>
      <c r="G382" s="192">
        <v>161050584</v>
      </c>
      <c r="H382" s="139" t="s">
        <v>3938</v>
      </c>
      <c r="I382" s="139" t="s">
        <v>3938</v>
      </c>
      <c r="J382" s="139" t="s">
        <v>3939</v>
      </c>
      <c r="K382" s="139" t="s">
        <v>483</v>
      </c>
      <c r="L382" s="139" t="s">
        <v>8531</v>
      </c>
      <c r="M382" s="138" t="s">
        <v>2342</v>
      </c>
      <c r="N382" s="139" t="s">
        <v>2342</v>
      </c>
      <c r="O382" s="139" t="s">
        <v>918</v>
      </c>
      <c r="P382" s="138" t="s">
        <v>6631</v>
      </c>
      <c r="Q382" s="138" t="s">
        <v>6173</v>
      </c>
      <c r="R382" s="138" t="s">
        <v>6183</v>
      </c>
      <c r="S382" s="138" t="s">
        <v>6173</v>
      </c>
      <c r="T382" s="130">
        <v>368.47</v>
      </c>
      <c r="U382" s="187">
        <v>1</v>
      </c>
      <c r="V382" s="185">
        <v>3.3119999999999998</v>
      </c>
      <c r="W382" s="185">
        <v>2.6085678317202268</v>
      </c>
      <c r="X382" s="187">
        <v>1</v>
      </c>
      <c r="Y382" s="194">
        <v>6.99</v>
      </c>
      <c r="Z382" s="130">
        <v>3.48</v>
      </c>
      <c r="AA382" s="130">
        <v>3.7</v>
      </c>
      <c r="AB382" s="130">
        <v>3.59</v>
      </c>
      <c r="AC382" s="130">
        <v>0.87209999999999999</v>
      </c>
      <c r="AD382" s="130">
        <v>3.62</v>
      </c>
      <c r="AE382" s="130">
        <v>3.72</v>
      </c>
      <c r="AF382" s="130">
        <f t="shared" si="103"/>
        <v>3.7</v>
      </c>
      <c r="AG382" s="131">
        <v>4.51</v>
      </c>
      <c r="AH382" s="187">
        <v>3.8399999999999998E-12</v>
      </c>
      <c r="AI382" s="187"/>
      <c r="AJ382" s="136">
        <f t="shared" si="105"/>
        <v>-9.804235101945121</v>
      </c>
      <c r="AK382" s="136"/>
      <c r="AL382" s="136">
        <f t="shared" si="104"/>
        <v>-9.804235101945121</v>
      </c>
      <c r="AM382" s="136">
        <v>-19.715879999999999</v>
      </c>
      <c r="AN382" s="193">
        <v>-11.1</v>
      </c>
      <c r="AO382" s="481">
        <v>10.43</v>
      </c>
      <c r="AP382" s="481">
        <v>-2.2599999999999998</v>
      </c>
      <c r="AQ382" s="193" t="s">
        <v>6311</v>
      </c>
      <c r="AR382" s="193" t="s">
        <v>6311</v>
      </c>
      <c r="AS382" s="191"/>
      <c r="AT382" s="132" t="s">
        <v>266</v>
      </c>
      <c r="AU382" s="130">
        <v>6</v>
      </c>
      <c r="AV382" s="130">
        <v>120</v>
      </c>
      <c r="AW382" s="130">
        <v>114</v>
      </c>
      <c r="AX382" s="130">
        <v>28</v>
      </c>
      <c r="AY382" s="130" t="s">
        <v>8728</v>
      </c>
      <c r="AZ382" s="130" t="s">
        <v>1563</v>
      </c>
      <c r="BA382" s="130">
        <v>32</v>
      </c>
      <c r="BB382" s="139" t="s">
        <v>2485</v>
      </c>
      <c r="BC382" s="458" t="s">
        <v>8726</v>
      </c>
      <c r="BD382" s="139" t="s">
        <v>8374</v>
      </c>
      <c r="BE382" s="130" t="s">
        <v>2449</v>
      </c>
      <c r="BF382" s="130" t="s">
        <v>272</v>
      </c>
      <c r="BG382" s="130" t="s">
        <v>272</v>
      </c>
      <c r="BH382" s="130" t="s">
        <v>2486</v>
      </c>
      <c r="BI382" s="187">
        <v>2.3582080000000001E-3</v>
      </c>
      <c r="BJ382" s="187">
        <v>23.582080000000001</v>
      </c>
      <c r="BK382" s="130"/>
      <c r="BL382" s="485">
        <v>14.184503354964354</v>
      </c>
      <c r="BM382" s="139" t="s">
        <v>2487</v>
      </c>
      <c r="BN382" s="130"/>
      <c r="BO382" s="130"/>
      <c r="BP382" s="130"/>
      <c r="BQ382" s="130"/>
      <c r="BR382" s="139" t="e">
        <v>#VALUE!</v>
      </c>
      <c r="BS382" s="130"/>
      <c r="BT382" s="130"/>
      <c r="BU382" s="195"/>
      <c r="BV382" s="130"/>
      <c r="BW382" s="130"/>
      <c r="BX382" s="130"/>
      <c r="BY382" s="130"/>
      <c r="BZ382" s="130"/>
      <c r="CA382" s="130"/>
      <c r="CB382" s="130"/>
      <c r="CC382" s="130"/>
      <c r="CD382" s="130"/>
      <c r="CE382" s="130"/>
      <c r="CF382" s="130"/>
      <c r="CG382" s="130"/>
      <c r="CH382" s="130"/>
      <c r="CI382" s="187"/>
      <c r="CJ382" s="187"/>
      <c r="CK382" s="131">
        <f t="shared" si="100"/>
        <v>0.60149500616418705</v>
      </c>
      <c r="CL382" s="188"/>
      <c r="CM382" s="188"/>
      <c r="CN382" s="188"/>
      <c r="CO382" s="139" t="s">
        <v>2488</v>
      </c>
      <c r="CP382" s="499" t="s">
        <v>2489</v>
      </c>
      <c r="CQ382" s="191" t="s">
        <v>272</v>
      </c>
      <c r="CR382" s="191"/>
      <c r="CS382" s="135" t="s">
        <v>539</v>
      </c>
      <c r="CT382" s="135"/>
      <c r="CU382" s="135"/>
      <c r="CV382" s="332">
        <f t="shared" si="101"/>
        <v>4.240508046788069E-2</v>
      </c>
      <c r="CW382" s="329">
        <f t="shared" si="102"/>
        <v>0</v>
      </c>
      <c r="CX382" s="329"/>
      <c r="CY382" s="189" t="s">
        <v>5921</v>
      </c>
    </row>
    <row r="383" spans="1:103" ht="11.25" customHeight="1" x14ac:dyDescent="0.2">
      <c r="A383" s="72">
        <v>682</v>
      </c>
      <c r="B383" s="183">
        <v>1611</v>
      </c>
      <c r="C383" s="133" t="s">
        <v>6914</v>
      </c>
      <c r="D383" s="133"/>
      <c r="E383" s="134"/>
      <c r="F383" s="134" t="s">
        <v>4780</v>
      </c>
      <c r="G383" s="184">
        <v>166412788</v>
      </c>
      <c r="H383" s="138" t="s">
        <v>4781</v>
      </c>
      <c r="I383" s="138" t="s">
        <v>7844</v>
      </c>
      <c r="J383" s="138" t="s">
        <v>4782</v>
      </c>
      <c r="K383" s="138" t="s">
        <v>357</v>
      </c>
      <c r="L383" s="138"/>
      <c r="M383" s="138"/>
      <c r="N383" s="138"/>
      <c r="O383" s="138"/>
      <c r="P383" s="138"/>
      <c r="Q383" s="138"/>
      <c r="R383" s="138"/>
      <c r="S383" s="138"/>
      <c r="T383" s="135">
        <v>424.66</v>
      </c>
      <c r="U383" s="185"/>
      <c r="V383" s="185"/>
      <c r="W383" s="185">
        <v>5.7285057772137063E-2</v>
      </c>
      <c r="X383" s="185">
        <v>5.7285057772137063E-2</v>
      </c>
      <c r="Y383" s="204">
        <v>7</v>
      </c>
      <c r="Z383" s="135"/>
      <c r="AA383" s="135"/>
      <c r="AB383" s="135">
        <v>8.01</v>
      </c>
      <c r="AC383" s="135">
        <v>0.70909999999999995</v>
      </c>
      <c r="AD383" s="135">
        <v>8.66</v>
      </c>
      <c r="AE383" s="135">
        <v>9.6999999999999993</v>
      </c>
      <c r="AF383" s="135">
        <f t="shared" si="103"/>
        <v>8.66</v>
      </c>
      <c r="AG383" s="136">
        <v>7.61</v>
      </c>
      <c r="AH383" s="185">
        <v>7.0599999999999995E-5</v>
      </c>
      <c r="AI383" s="185"/>
      <c r="AJ383" s="136">
        <f t="shared" si="105"/>
        <v>-2.5397616252608479</v>
      </c>
      <c r="AK383" s="136"/>
      <c r="AL383" s="136">
        <f t="shared" si="104"/>
        <v>-2.5397616252608479</v>
      </c>
      <c r="AM383" s="136">
        <v>-9.0040899999999997</v>
      </c>
      <c r="AN383" s="186">
        <v>-2.61</v>
      </c>
      <c r="AO383" s="481"/>
      <c r="AP383" s="481"/>
      <c r="AQ383" s="135" t="s">
        <v>6311</v>
      </c>
      <c r="AR383" s="135" t="s">
        <v>6312</v>
      </c>
      <c r="AS383" s="190"/>
      <c r="AT383" s="137" t="s">
        <v>266</v>
      </c>
      <c r="AU383" s="135">
        <v>6</v>
      </c>
      <c r="AV383" s="135">
        <v>120</v>
      </c>
      <c r="AW383" s="135">
        <v>114</v>
      </c>
      <c r="AX383" s="135">
        <v>28</v>
      </c>
      <c r="AY383" s="135" t="s">
        <v>8728</v>
      </c>
      <c r="AZ383" s="135" t="s">
        <v>1563</v>
      </c>
      <c r="BA383" s="135">
        <v>32</v>
      </c>
      <c r="BB383" s="138" t="s">
        <v>2485</v>
      </c>
      <c r="BC383" s="458" t="s">
        <v>8726</v>
      </c>
      <c r="BD383" s="138" t="s">
        <v>8374</v>
      </c>
      <c r="BE383" s="135" t="s">
        <v>2449</v>
      </c>
      <c r="BF383" s="135" t="s">
        <v>272</v>
      </c>
      <c r="BG383" s="135" t="s">
        <v>272</v>
      </c>
      <c r="BH383" s="135" t="s">
        <v>2486</v>
      </c>
      <c r="BI383" s="185">
        <v>2.7178240000000002E-3</v>
      </c>
      <c r="BJ383" s="185">
        <v>27.178240000000002</v>
      </c>
      <c r="BK383" s="135"/>
      <c r="BL383" s="485"/>
      <c r="BM383" s="138" t="s">
        <v>2487</v>
      </c>
      <c r="BN383" s="135"/>
      <c r="BO383" s="135"/>
      <c r="BP383" s="135"/>
      <c r="BQ383" s="135"/>
      <c r="BR383" s="138" t="e">
        <v>#VALUE!</v>
      </c>
      <c r="BS383" s="135"/>
      <c r="BT383" s="135"/>
      <c r="BU383" s="135"/>
      <c r="BV383" s="135"/>
      <c r="BW383" s="135"/>
      <c r="BX383" s="135"/>
      <c r="BY383" s="135"/>
      <c r="BZ383" s="135"/>
      <c r="CA383" s="135"/>
      <c r="CB383" s="135"/>
      <c r="CC383" s="135"/>
      <c r="CD383" s="135"/>
      <c r="CE383" s="135"/>
      <c r="CF383" s="135"/>
      <c r="CG383" s="135"/>
      <c r="CH383" s="135"/>
      <c r="CI383" s="185"/>
      <c r="CJ383" s="187"/>
      <c r="CK383" s="136">
        <f t="shared" si="100"/>
        <v>0</v>
      </c>
      <c r="CL383" s="188"/>
      <c r="CM383" s="188"/>
      <c r="CN383" s="188"/>
      <c r="CO383" s="138" t="s">
        <v>2488</v>
      </c>
      <c r="CP383" s="189" t="s">
        <v>2489</v>
      </c>
      <c r="CQ383" s="191" t="s">
        <v>272</v>
      </c>
      <c r="CR383" s="191"/>
      <c r="CS383" s="135" t="s">
        <v>539</v>
      </c>
      <c r="CT383" s="135"/>
      <c r="CU383" s="135"/>
      <c r="CV383" s="332">
        <f t="shared" si="101"/>
        <v>2.1077545040494548E-3</v>
      </c>
      <c r="CW383" s="329">
        <f t="shared" si="102"/>
        <v>0</v>
      </c>
      <c r="CX383" s="329"/>
      <c r="CY383" s="189" t="s">
        <v>6351</v>
      </c>
    </row>
    <row r="384" spans="1:103" ht="11.25" customHeight="1" x14ac:dyDescent="0.2">
      <c r="A384" s="72">
        <v>683</v>
      </c>
      <c r="B384" s="183">
        <v>996</v>
      </c>
      <c r="C384" s="133" t="s">
        <v>6915</v>
      </c>
      <c r="D384" s="133" t="s">
        <v>6568</v>
      </c>
      <c r="E384" s="134"/>
      <c r="F384" s="134" t="s">
        <v>2079</v>
      </c>
      <c r="G384" s="184">
        <v>84852153</v>
      </c>
      <c r="H384" s="138" t="s">
        <v>2080</v>
      </c>
      <c r="I384" s="138" t="s">
        <v>2080</v>
      </c>
      <c r="J384" s="138"/>
      <c r="K384" s="138" t="s">
        <v>349</v>
      </c>
      <c r="L384" s="138" t="s">
        <v>5527</v>
      </c>
      <c r="M384" s="138" t="s">
        <v>602</v>
      </c>
      <c r="N384" s="138" t="s">
        <v>6386</v>
      </c>
      <c r="O384" s="138" t="s">
        <v>2081</v>
      </c>
      <c r="P384" s="138"/>
      <c r="Q384" s="138"/>
      <c r="R384" s="138"/>
      <c r="S384" s="138"/>
      <c r="T384" s="135">
        <v>220.36</v>
      </c>
      <c r="U384" s="185">
        <v>5000</v>
      </c>
      <c r="V384" s="185">
        <v>1.544</v>
      </c>
      <c r="W384" s="185">
        <v>36.570657092294041</v>
      </c>
      <c r="X384" s="185">
        <v>5000</v>
      </c>
      <c r="Y384" s="204">
        <v>6.83</v>
      </c>
      <c r="Z384" s="135">
        <v>5.77</v>
      </c>
      <c r="AA384" s="135"/>
      <c r="AB384" s="135">
        <v>5.2</v>
      </c>
      <c r="AC384" s="135">
        <v>0.65349999999999997</v>
      </c>
      <c r="AD384" s="135">
        <v>5.39</v>
      </c>
      <c r="AE384" s="135">
        <v>5.64</v>
      </c>
      <c r="AF384" s="135">
        <f t="shared" si="103"/>
        <v>5.39</v>
      </c>
      <c r="AG384" s="136">
        <v>5.39</v>
      </c>
      <c r="AH384" s="185">
        <v>5.9699999999999996E-6</v>
      </c>
      <c r="AI384" s="185">
        <v>4.3000000000000003E-6</v>
      </c>
      <c r="AJ384" s="136">
        <f t="shared" si="105"/>
        <v>-3.6125919951832826</v>
      </c>
      <c r="AK384" s="136">
        <f>LOG10(AI384*1000/(0.08206*298.15))</f>
        <v>-3.7550978707330653</v>
      </c>
      <c r="AL384" s="136">
        <f t="shared" si="104"/>
        <v>-3.7550978707330653</v>
      </c>
      <c r="AM384" s="136">
        <v>-7.7129099999999999</v>
      </c>
      <c r="AN384" s="186"/>
      <c r="AO384" s="481">
        <v>10.15</v>
      </c>
      <c r="AP384" s="481"/>
      <c r="AQ384" s="135" t="s">
        <v>6311</v>
      </c>
      <c r="AR384" s="135" t="s">
        <v>6311</v>
      </c>
      <c r="AS384" s="190"/>
      <c r="AT384" s="137" t="s">
        <v>266</v>
      </c>
      <c r="AU384" s="135">
        <v>6</v>
      </c>
      <c r="AV384" s="135">
        <v>120</v>
      </c>
      <c r="AW384" s="135">
        <v>114</v>
      </c>
      <c r="AX384" s="135">
        <v>28</v>
      </c>
      <c r="AY384" s="135" t="s">
        <v>8728</v>
      </c>
      <c r="AZ384" s="135" t="s">
        <v>1563</v>
      </c>
      <c r="BA384" s="135">
        <v>32</v>
      </c>
      <c r="BB384" s="138" t="s">
        <v>2485</v>
      </c>
      <c r="BC384" s="458" t="s">
        <v>8726</v>
      </c>
      <c r="BD384" s="138" t="s">
        <v>8374</v>
      </c>
      <c r="BE384" s="135" t="s">
        <v>2449</v>
      </c>
      <c r="BF384" s="135" t="s">
        <v>272</v>
      </c>
      <c r="BG384" s="135" t="s">
        <v>272</v>
      </c>
      <c r="BH384" s="135" t="s">
        <v>2486</v>
      </c>
      <c r="BI384" s="185">
        <v>1.410304E-3</v>
      </c>
      <c r="BJ384" s="185">
        <v>14.103040000000002</v>
      </c>
      <c r="BK384" s="135"/>
      <c r="BL384" s="485">
        <v>7.4455325003865938E-2</v>
      </c>
      <c r="BM384" s="138" t="s">
        <v>2487</v>
      </c>
      <c r="BN384" s="135"/>
      <c r="BO384" s="135"/>
      <c r="BP384" s="135"/>
      <c r="BQ384" s="135"/>
      <c r="BR384" s="138" t="e">
        <v>#VALUE!</v>
      </c>
      <c r="BS384" s="135"/>
      <c r="BT384" s="135"/>
      <c r="BU384" s="135">
        <v>1.4103040000000001E-2</v>
      </c>
      <c r="BV384" s="135"/>
      <c r="BW384" s="135"/>
      <c r="BX384" s="135"/>
      <c r="BY384" s="135"/>
      <c r="BZ384" s="135"/>
      <c r="CA384" s="135"/>
      <c r="CB384" s="135"/>
      <c r="CC384" s="135"/>
      <c r="CD384" s="135"/>
      <c r="CE384" s="135"/>
      <c r="CF384" s="135"/>
      <c r="CG384" s="135"/>
      <c r="CH384" s="135"/>
      <c r="CI384" s="185"/>
      <c r="CJ384" s="187"/>
      <c r="CK384" s="136">
        <f t="shared" si="100"/>
        <v>5.2793812542448956E-3</v>
      </c>
      <c r="CL384" s="188"/>
      <c r="CM384" s="188"/>
      <c r="CN384" s="188"/>
      <c r="CO384" s="138" t="s">
        <v>2488</v>
      </c>
      <c r="CP384" s="189" t="s">
        <v>2489</v>
      </c>
      <c r="CQ384" s="183">
        <v>-0.679853713888946</v>
      </c>
      <c r="CR384" s="191">
        <f>10^(CJ384-CQ384)</f>
        <v>4.7846889952153111</v>
      </c>
      <c r="CS384" s="135" t="s">
        <v>539</v>
      </c>
      <c r="CT384" s="135"/>
      <c r="CU384" s="135"/>
      <c r="CV384" s="332">
        <f t="shared" si="101"/>
        <v>354.53349065166088</v>
      </c>
      <c r="CW384" s="329">
        <f t="shared" si="102"/>
        <v>1</v>
      </c>
      <c r="CX384" s="329"/>
      <c r="CY384" s="189" t="s">
        <v>6351</v>
      </c>
    </row>
    <row r="385" spans="1:103" ht="11.25" customHeight="1" x14ac:dyDescent="0.2">
      <c r="A385" s="72">
        <v>684</v>
      </c>
      <c r="B385" s="191">
        <v>71</v>
      </c>
      <c r="C385" s="128" t="s">
        <v>6916</v>
      </c>
      <c r="D385" s="128"/>
      <c r="E385" s="129"/>
      <c r="F385" s="129" t="s">
        <v>3640</v>
      </c>
      <c r="G385" s="192">
        <v>177785476</v>
      </c>
      <c r="H385" s="139" t="s">
        <v>3641</v>
      </c>
      <c r="I385" s="139" t="s">
        <v>7967</v>
      </c>
      <c r="J385" s="206" t="s">
        <v>3642</v>
      </c>
      <c r="K385" s="206" t="s">
        <v>731</v>
      </c>
      <c r="L385" s="139"/>
      <c r="M385" s="139"/>
      <c r="N385" s="138"/>
      <c r="O385" s="207"/>
      <c r="P385" s="138"/>
      <c r="Q385" s="138"/>
      <c r="R385" s="138"/>
      <c r="S385" s="138"/>
      <c r="T385" s="193">
        <v>411.63</v>
      </c>
      <c r="U385" s="187"/>
      <c r="V385" s="187">
        <v>445.4</v>
      </c>
      <c r="W385" s="187">
        <v>265.77065029753504</v>
      </c>
      <c r="X385" s="187">
        <v>265.77065029753504</v>
      </c>
      <c r="Y385" s="194">
        <v>3.55</v>
      </c>
      <c r="Z385" s="130">
        <v>1.92</v>
      </c>
      <c r="AA385" s="130"/>
      <c r="AB385" s="130">
        <v>1.93</v>
      </c>
      <c r="AC385" s="130">
        <v>0.78</v>
      </c>
      <c r="AD385" s="130">
        <v>2.1800000000000002</v>
      </c>
      <c r="AE385" s="130">
        <v>2.93</v>
      </c>
      <c r="AF385" s="130">
        <f t="shared" si="103"/>
        <v>2.1800000000000002</v>
      </c>
      <c r="AG385" s="130">
        <v>4.3600000000000003</v>
      </c>
      <c r="AH385" s="187">
        <v>7.0000000000000001E-12</v>
      </c>
      <c r="AI385" s="187"/>
      <c r="AJ385" s="136">
        <f t="shared" si="105"/>
        <v>-9.5434682862983955</v>
      </c>
      <c r="AK385" s="136"/>
      <c r="AL385" s="136">
        <f t="shared" si="104"/>
        <v>-9.5434682862983955</v>
      </c>
      <c r="AM385" s="136">
        <v>-16.244520000000001</v>
      </c>
      <c r="AN385" s="130">
        <v>-12.89</v>
      </c>
      <c r="AO385" s="481">
        <v>3.66</v>
      </c>
      <c r="AP385" s="481">
        <v>-2.46</v>
      </c>
      <c r="AQ385" s="130" t="s">
        <v>6311</v>
      </c>
      <c r="AR385" s="130" t="s">
        <v>6311</v>
      </c>
      <c r="AS385" s="198"/>
      <c r="AT385" s="132" t="s">
        <v>266</v>
      </c>
      <c r="AU385" s="130">
        <v>6</v>
      </c>
      <c r="AV385" s="130">
        <v>120</v>
      </c>
      <c r="AW385" s="130">
        <v>114</v>
      </c>
      <c r="AX385" s="130">
        <v>28</v>
      </c>
      <c r="AY385" s="130" t="s">
        <v>8728</v>
      </c>
      <c r="AZ385" s="130" t="s">
        <v>1563</v>
      </c>
      <c r="BA385" s="130">
        <v>32</v>
      </c>
      <c r="BB385" s="139" t="s">
        <v>2485</v>
      </c>
      <c r="BC385" s="458" t="s">
        <v>8726</v>
      </c>
      <c r="BD385" s="139" t="s">
        <v>8374</v>
      </c>
      <c r="BE385" s="130" t="s">
        <v>2449</v>
      </c>
      <c r="BF385" s="130" t="s">
        <v>272</v>
      </c>
      <c r="BG385" s="130" t="s">
        <v>272</v>
      </c>
      <c r="BH385" s="130" t="s">
        <v>2486</v>
      </c>
      <c r="BI385" s="187">
        <v>2.6344319999999999E-3</v>
      </c>
      <c r="BJ385" s="187">
        <v>26.34432</v>
      </c>
      <c r="BK385" s="130"/>
      <c r="BL385" s="485">
        <v>398.98357651291695</v>
      </c>
      <c r="BM385" s="139" t="s">
        <v>2487</v>
      </c>
      <c r="BN385" s="130"/>
      <c r="BO385" s="130"/>
      <c r="BP385" s="130"/>
      <c r="BQ385" s="130"/>
      <c r="BR385" s="139" t="e">
        <v>#VALUE!</v>
      </c>
      <c r="BS385" s="130"/>
      <c r="BT385" s="130"/>
      <c r="BU385" s="195"/>
      <c r="BV385" s="130"/>
      <c r="BW385" s="130"/>
      <c r="BX385" s="130"/>
      <c r="BY385" s="130"/>
      <c r="BZ385" s="130"/>
      <c r="CA385" s="130"/>
      <c r="CB385" s="130"/>
      <c r="CC385" s="130"/>
      <c r="CD385" s="130"/>
      <c r="CE385" s="130"/>
      <c r="CF385" s="130"/>
      <c r="CG385" s="130"/>
      <c r="CH385" s="130"/>
      <c r="CI385" s="187"/>
      <c r="CJ385" s="187"/>
      <c r="CK385" s="131">
        <f t="shared" si="100"/>
        <v>15.144956351612681</v>
      </c>
      <c r="CL385" s="188"/>
      <c r="CM385" s="188"/>
      <c r="CN385" s="188"/>
      <c r="CO385" s="139" t="s">
        <v>2488</v>
      </c>
      <c r="CP385" s="499" t="s">
        <v>2489</v>
      </c>
      <c r="CQ385" s="191" t="s">
        <v>272</v>
      </c>
      <c r="CR385" s="191"/>
      <c r="CS385" s="135" t="s">
        <v>539</v>
      </c>
      <c r="CT385" s="135"/>
      <c r="CU385" s="135"/>
      <c r="CV385" s="332">
        <f t="shared" si="101"/>
        <v>10.088347328666485</v>
      </c>
      <c r="CW385" s="329">
        <f t="shared" si="102"/>
        <v>1</v>
      </c>
      <c r="CX385" s="329"/>
      <c r="CY385" s="189" t="s">
        <v>5921</v>
      </c>
    </row>
    <row r="386" spans="1:103" ht="11.25" customHeight="1" x14ac:dyDescent="0.2">
      <c r="A386" s="72">
        <v>685</v>
      </c>
      <c r="B386" s="183">
        <v>1687</v>
      </c>
      <c r="C386" s="133" t="s">
        <v>4919</v>
      </c>
      <c r="D386" s="133" t="s">
        <v>6680</v>
      </c>
      <c r="E386" s="134"/>
      <c r="F386" s="134" t="s">
        <v>4920</v>
      </c>
      <c r="G386" s="184">
        <v>76448</v>
      </c>
      <c r="H386" s="138" t="s">
        <v>4921</v>
      </c>
      <c r="I386" s="138" t="s">
        <v>5514</v>
      </c>
      <c r="J386" s="138" t="s">
        <v>4922</v>
      </c>
      <c r="K386" s="138" t="s">
        <v>1139</v>
      </c>
      <c r="L386" s="138" t="s">
        <v>617</v>
      </c>
      <c r="M386" s="197" t="s">
        <v>6080</v>
      </c>
      <c r="N386" s="138" t="s">
        <v>6376</v>
      </c>
      <c r="O386" s="138" t="s">
        <v>6083</v>
      </c>
      <c r="P386" s="138"/>
      <c r="Q386" s="138"/>
      <c r="R386" s="138"/>
      <c r="S386" s="138"/>
      <c r="T386" s="135">
        <v>373.32</v>
      </c>
      <c r="U386" s="185">
        <v>0.18</v>
      </c>
      <c r="V386" s="185">
        <v>9.5259999999999984E-2</v>
      </c>
      <c r="W386" s="185">
        <v>0.14193230543439181</v>
      </c>
      <c r="X386" s="185">
        <v>0.18</v>
      </c>
      <c r="Y386" s="204">
        <v>7</v>
      </c>
      <c r="Z386" s="135">
        <v>5.86</v>
      </c>
      <c r="AA386" s="135">
        <v>5.47</v>
      </c>
      <c r="AB386" s="135">
        <v>5.56</v>
      </c>
      <c r="AC386" s="135">
        <v>0.88070000000000004</v>
      </c>
      <c r="AD386" s="135">
        <v>5.54</v>
      </c>
      <c r="AE386" s="135">
        <v>5.46</v>
      </c>
      <c r="AF386" s="135">
        <f t="shared" si="103"/>
        <v>5.47</v>
      </c>
      <c r="AG386" s="136">
        <v>4.68</v>
      </c>
      <c r="AH386" s="185">
        <v>1.76E-4</v>
      </c>
      <c r="AI386" s="185">
        <v>2.9399999999999999E-4</v>
      </c>
      <c r="AJ386" s="136">
        <f t="shared" si="105"/>
        <v>-2.143053658498502</v>
      </c>
      <c r="AK386" s="136">
        <f>LOG10(AI386*1000/(0.08206*298.15))</f>
        <v>-1.9202189959004945</v>
      </c>
      <c r="AL386" s="136">
        <f t="shared" si="104"/>
        <v>-1.9202189959004945</v>
      </c>
      <c r="AM386" s="136">
        <v>-7.7129900000000005</v>
      </c>
      <c r="AN386" s="186">
        <v>-2.35</v>
      </c>
      <c r="AO386" s="481"/>
      <c r="AP386" s="481"/>
      <c r="AQ386" s="186" t="s">
        <v>6311</v>
      </c>
      <c r="AR386" s="186" t="s">
        <v>6311</v>
      </c>
      <c r="AS386" s="183"/>
      <c r="AT386" s="137" t="s">
        <v>266</v>
      </c>
      <c r="AU386" s="135">
        <v>6</v>
      </c>
      <c r="AV386" s="135">
        <v>120</v>
      </c>
      <c r="AW386" s="135">
        <v>114</v>
      </c>
      <c r="AX386" s="135">
        <v>28</v>
      </c>
      <c r="AY386" s="135" t="s">
        <v>8728</v>
      </c>
      <c r="AZ386" s="135" t="s">
        <v>1563</v>
      </c>
      <c r="BA386" s="135">
        <v>32</v>
      </c>
      <c r="BB386" s="138" t="s">
        <v>2485</v>
      </c>
      <c r="BC386" s="458" t="s">
        <v>8726</v>
      </c>
      <c r="BD386" s="138" t="s">
        <v>8374</v>
      </c>
      <c r="BE386" s="135" t="s">
        <v>2449</v>
      </c>
      <c r="BF386" s="135" t="s">
        <v>272</v>
      </c>
      <c r="BG386" s="135" t="s">
        <v>272</v>
      </c>
      <c r="BH386" s="135" t="s">
        <v>2486</v>
      </c>
      <c r="BI386" s="185">
        <v>2.3892479999999996E-3</v>
      </c>
      <c r="BJ386" s="185">
        <v>23.892479999999999</v>
      </c>
      <c r="BK386" s="135"/>
      <c r="BL386" s="485">
        <v>0.10471653352661424</v>
      </c>
      <c r="BM386" s="138" t="s">
        <v>2487</v>
      </c>
      <c r="BN386" s="135"/>
      <c r="BO386" s="135"/>
      <c r="BP386" s="135"/>
      <c r="BQ386" s="135"/>
      <c r="BR386" s="138" t="e">
        <v>#VALUE!</v>
      </c>
      <c r="BS386" s="135"/>
      <c r="BT386" s="135"/>
      <c r="BU386" s="135"/>
      <c r="BV386" s="135"/>
      <c r="BW386" s="135"/>
      <c r="BX386" s="135"/>
      <c r="BY386" s="135"/>
      <c r="BZ386" s="135"/>
      <c r="CA386" s="135"/>
      <c r="CB386" s="135"/>
      <c r="CC386" s="135"/>
      <c r="CD386" s="135"/>
      <c r="CE386" s="135"/>
      <c r="CF386" s="135"/>
      <c r="CG386" s="135"/>
      <c r="CH386" s="135"/>
      <c r="CI386" s="185"/>
      <c r="CJ386" s="187"/>
      <c r="CK386" s="136">
        <f t="shared" si="100"/>
        <v>4.382823948230332E-3</v>
      </c>
      <c r="CL386" s="188"/>
      <c r="CM386" s="188">
        <v>-1.8532685174701502</v>
      </c>
      <c r="CN386" s="188">
        <f>BJ386/(10^CM386)</f>
        <v>1704.2360532831017</v>
      </c>
      <c r="CO386" s="138" t="s">
        <v>2488</v>
      </c>
      <c r="CP386" s="189" t="s">
        <v>2489</v>
      </c>
      <c r="CQ386" s="183">
        <v>-1.7201414601608911</v>
      </c>
      <c r="CR386" s="191">
        <f>10^(CJ386-CQ386)</f>
        <v>52.497843050829879</v>
      </c>
      <c r="CS386" s="135" t="s">
        <v>539</v>
      </c>
      <c r="CT386" s="135"/>
      <c r="CU386" s="135"/>
      <c r="CV386" s="332">
        <f t="shared" si="101"/>
        <v>7.5337512054001925E-3</v>
      </c>
      <c r="CW386" s="329">
        <f t="shared" si="102"/>
        <v>0</v>
      </c>
      <c r="CX386" s="329"/>
      <c r="CY386" s="189" t="s">
        <v>5921</v>
      </c>
    </row>
    <row r="387" spans="1:103" ht="11.25" customHeight="1" x14ac:dyDescent="0.2">
      <c r="A387" s="72">
        <v>686</v>
      </c>
      <c r="B387" s="183">
        <v>1749</v>
      </c>
      <c r="C387" s="133" t="s">
        <v>6917</v>
      </c>
      <c r="D387" s="133"/>
      <c r="E387" s="134"/>
      <c r="F387" s="134" t="s">
        <v>5039</v>
      </c>
      <c r="G387" s="184">
        <v>210826407</v>
      </c>
      <c r="H387" s="138" t="s">
        <v>5040</v>
      </c>
      <c r="I387" s="138" t="s">
        <v>7760</v>
      </c>
      <c r="J387" s="138" t="s">
        <v>5041</v>
      </c>
      <c r="K387" s="138" t="s">
        <v>349</v>
      </c>
      <c r="L387" s="138"/>
      <c r="M387" s="138"/>
      <c r="N387" s="138"/>
      <c r="O387" s="138"/>
      <c r="P387" s="138"/>
      <c r="Q387" s="138"/>
      <c r="R387" s="138"/>
      <c r="S387" s="138"/>
      <c r="T387" s="135">
        <v>330.46</v>
      </c>
      <c r="U387" s="185"/>
      <c r="V387" s="185">
        <v>5.4800000000000008E-2</v>
      </c>
      <c r="W387" s="185">
        <v>0.48878615795406516</v>
      </c>
      <c r="X387" s="185">
        <v>0.48878615795406516</v>
      </c>
      <c r="Y387" s="204">
        <v>7</v>
      </c>
      <c r="Z387" s="135">
        <v>6.73</v>
      </c>
      <c r="AA387" s="135"/>
      <c r="AB387" s="135">
        <v>6.34</v>
      </c>
      <c r="AC387" s="135">
        <v>0.6321</v>
      </c>
      <c r="AD387" s="135">
        <v>6.57</v>
      </c>
      <c r="AE387" s="135">
        <v>6.85</v>
      </c>
      <c r="AF387" s="135">
        <f t="shared" si="103"/>
        <v>6.57</v>
      </c>
      <c r="AG387" s="136">
        <v>6.61</v>
      </c>
      <c r="AH387" s="185">
        <v>1.3799999999999999E-8</v>
      </c>
      <c r="AI387" s="185"/>
      <c r="AJ387" s="136">
        <f t="shared" si="105"/>
        <v>-6.2486872399114155</v>
      </c>
      <c r="AK387" s="136"/>
      <c r="AL387" s="136">
        <f t="shared" si="104"/>
        <v>-6.2486872399114155</v>
      </c>
      <c r="AM387" s="136">
        <v>-12.430519999999998</v>
      </c>
      <c r="AN387" s="186">
        <v>-7.04</v>
      </c>
      <c r="AO387" s="481">
        <v>10.71</v>
      </c>
      <c r="AP387" s="481"/>
      <c r="AQ387" s="186" t="s">
        <v>6311</v>
      </c>
      <c r="AR387" s="186" t="s">
        <v>6311</v>
      </c>
      <c r="AS387" s="183"/>
      <c r="AT387" s="137" t="s">
        <v>266</v>
      </c>
      <c r="AU387" s="135">
        <v>6</v>
      </c>
      <c r="AV387" s="135">
        <v>120</v>
      </c>
      <c r="AW387" s="135">
        <v>114</v>
      </c>
      <c r="AX387" s="135">
        <v>28</v>
      </c>
      <c r="AY387" s="135" t="s">
        <v>8728</v>
      </c>
      <c r="AZ387" s="135" t="s">
        <v>1563</v>
      </c>
      <c r="BA387" s="135">
        <v>32</v>
      </c>
      <c r="BB387" s="138" t="s">
        <v>2485</v>
      </c>
      <c r="BC387" s="458" t="s">
        <v>8726</v>
      </c>
      <c r="BD387" s="138" t="s">
        <v>8374</v>
      </c>
      <c r="BE387" s="135" t="s">
        <v>2449</v>
      </c>
      <c r="BF387" s="135" t="s">
        <v>272</v>
      </c>
      <c r="BG387" s="135" t="s">
        <v>272</v>
      </c>
      <c r="BH387" s="135" t="s">
        <v>2486</v>
      </c>
      <c r="BI387" s="185">
        <v>2.1149439999999997E-3</v>
      </c>
      <c r="BJ387" s="185">
        <v>21.149439999999998</v>
      </c>
      <c r="BK387" s="135"/>
      <c r="BL387" s="485">
        <v>1.5335781016902908E-2</v>
      </c>
      <c r="BM387" s="138" t="s">
        <v>2487</v>
      </c>
      <c r="BN387" s="135"/>
      <c r="BO387" s="135"/>
      <c r="BP387" s="135"/>
      <c r="BQ387" s="135"/>
      <c r="BR387" s="138" t="e">
        <v>#VALUE!</v>
      </c>
      <c r="BS387" s="135"/>
      <c r="BT387" s="135"/>
      <c r="BU387" s="135"/>
      <c r="BV387" s="135"/>
      <c r="BW387" s="135"/>
      <c r="BX387" s="135"/>
      <c r="BY387" s="135"/>
      <c r="BZ387" s="135"/>
      <c r="CA387" s="135"/>
      <c r="CB387" s="135"/>
      <c r="CC387" s="135"/>
      <c r="CD387" s="135"/>
      <c r="CE387" s="135"/>
      <c r="CF387" s="135"/>
      <c r="CG387" s="135"/>
      <c r="CH387" s="135"/>
      <c r="CI387" s="185"/>
      <c r="CJ387" s="187"/>
      <c r="CK387" s="136">
        <f t="shared" si="100"/>
        <v>7.25115228436446E-4</v>
      </c>
      <c r="CL387" s="188"/>
      <c r="CM387" s="188"/>
      <c r="CN387" s="188"/>
      <c r="CO387" s="138" t="s">
        <v>2488</v>
      </c>
      <c r="CP387" s="189" t="s">
        <v>2489</v>
      </c>
      <c r="CQ387" s="191" t="s">
        <v>272</v>
      </c>
      <c r="CR387" s="191"/>
      <c r="CS387" s="135" t="s">
        <v>539</v>
      </c>
      <c r="CT387" s="135"/>
      <c r="CU387" s="135"/>
      <c r="CV387" s="332">
        <f t="shared" si="101"/>
        <v>2.311106856512821E-2</v>
      </c>
      <c r="CW387" s="329">
        <f t="shared" si="102"/>
        <v>0</v>
      </c>
      <c r="CX387" s="329"/>
      <c r="CY387" s="189" t="s">
        <v>5921</v>
      </c>
    </row>
    <row r="388" spans="1:103" ht="11.25" customHeight="1" x14ac:dyDescent="0.2">
      <c r="A388" s="72">
        <v>687</v>
      </c>
      <c r="B388" s="183">
        <v>1654</v>
      </c>
      <c r="C388" s="133" t="s">
        <v>6918</v>
      </c>
      <c r="D388" s="133"/>
      <c r="E388" s="134"/>
      <c r="F388" s="134" t="s">
        <v>4868</v>
      </c>
      <c r="G388" s="184">
        <v>221246124</v>
      </c>
      <c r="H388" s="138" t="s">
        <v>4869</v>
      </c>
      <c r="I388" s="138" t="s">
        <v>7829</v>
      </c>
      <c r="J388" s="138" t="s">
        <v>4870</v>
      </c>
      <c r="K388" s="138" t="s">
        <v>4871</v>
      </c>
      <c r="L388" s="138"/>
      <c r="M388" s="138"/>
      <c r="N388" s="138"/>
      <c r="O388" s="138"/>
      <c r="P388" s="138"/>
      <c r="Q388" s="138"/>
      <c r="R388" s="138"/>
      <c r="S388" s="138"/>
      <c r="T388" s="135">
        <v>576.67999999999995</v>
      </c>
      <c r="U388" s="185"/>
      <c r="V388" s="185">
        <v>5.4640000000000001E-2</v>
      </c>
      <c r="W388" s="185">
        <v>7.9603999771119032</v>
      </c>
      <c r="X388" s="185">
        <v>7.9603999771119032</v>
      </c>
      <c r="Y388" s="204">
        <v>8.69</v>
      </c>
      <c r="Z388" s="135">
        <v>4.24</v>
      </c>
      <c r="AA388" s="135"/>
      <c r="AB388" s="135">
        <v>4.2300000000000004</v>
      </c>
      <c r="AC388" s="135">
        <v>0.54820000000000002</v>
      </c>
      <c r="AD388" s="135">
        <v>4.1500000000000004</v>
      </c>
      <c r="AE388" s="135">
        <v>4.05</v>
      </c>
      <c r="AF388" s="135">
        <f t="shared" si="103"/>
        <v>4.1500000000000004</v>
      </c>
      <c r="AG388" s="136">
        <v>5.81</v>
      </c>
      <c r="AH388" s="185">
        <v>3.0699999999999998E-23</v>
      </c>
      <c r="AI388" s="185"/>
      <c r="AJ388" s="136">
        <f t="shared" si="105"/>
        <v>-20.901427950835465</v>
      </c>
      <c r="AK388" s="136"/>
      <c r="AL388" s="136">
        <f t="shared" si="104"/>
        <v>-20.901427950835465</v>
      </c>
      <c r="AM388" s="136">
        <v>-28.123570000000001</v>
      </c>
      <c r="AN388" s="186">
        <v>-19.2</v>
      </c>
      <c r="AO388" s="481">
        <v>13.63</v>
      </c>
      <c r="AP388" s="481">
        <v>9.0500000000000007</v>
      </c>
      <c r="AQ388" s="186" t="s">
        <v>6311</v>
      </c>
      <c r="AR388" s="186" t="s">
        <v>6311</v>
      </c>
      <c r="AS388" s="183"/>
      <c r="AT388" s="137" t="s">
        <v>266</v>
      </c>
      <c r="AU388" s="135">
        <v>6</v>
      </c>
      <c r="AV388" s="135">
        <v>120</v>
      </c>
      <c r="AW388" s="135">
        <v>114</v>
      </c>
      <c r="AX388" s="135">
        <v>28</v>
      </c>
      <c r="AY388" s="135" t="s">
        <v>8728</v>
      </c>
      <c r="AZ388" s="135" t="s">
        <v>1563</v>
      </c>
      <c r="BA388" s="135">
        <v>32</v>
      </c>
      <c r="BB388" s="138" t="s">
        <v>2485</v>
      </c>
      <c r="BC388" s="458" t="s">
        <v>8726</v>
      </c>
      <c r="BD388" s="138" t="s">
        <v>8374</v>
      </c>
      <c r="BE388" s="135" t="s">
        <v>2449</v>
      </c>
      <c r="BF388" s="135" t="s">
        <v>272</v>
      </c>
      <c r="BG388" s="135" t="s">
        <v>272</v>
      </c>
      <c r="BH388" s="135" t="s">
        <v>2486</v>
      </c>
      <c r="BI388" s="185">
        <v>3.6907519999999994E-3</v>
      </c>
      <c r="BJ388" s="185">
        <v>36.907519999999998</v>
      </c>
      <c r="BK388" s="135"/>
      <c r="BL388" s="485">
        <v>4.6109550635212493</v>
      </c>
      <c r="BM388" s="138" t="s">
        <v>2487</v>
      </c>
      <c r="BN388" s="135"/>
      <c r="BO388" s="135"/>
      <c r="BP388" s="135"/>
      <c r="BQ388" s="135"/>
      <c r="BR388" s="138" t="e">
        <v>#VALUE!</v>
      </c>
      <c r="BS388" s="135"/>
      <c r="BT388" s="135"/>
      <c r="BU388" s="135"/>
      <c r="BV388" s="135"/>
      <c r="BW388" s="135"/>
      <c r="BX388" s="135"/>
      <c r="BY388" s="135"/>
      <c r="BZ388" s="135"/>
      <c r="CA388" s="135"/>
      <c r="CB388" s="135"/>
      <c r="CC388" s="135"/>
      <c r="CD388" s="135"/>
      <c r="CE388" s="135"/>
      <c r="CF388" s="135"/>
      <c r="CG388" s="135"/>
      <c r="CH388" s="135"/>
      <c r="CI388" s="185"/>
      <c r="CJ388" s="187"/>
      <c r="CK388" s="136">
        <f t="shared" si="100"/>
        <v>0.12493267126919526</v>
      </c>
      <c r="CL388" s="188"/>
      <c r="CM388" s="188"/>
      <c r="CN388" s="188"/>
      <c r="CO388" s="138" t="s">
        <v>2488</v>
      </c>
      <c r="CP388" s="189" t="s">
        <v>2489</v>
      </c>
      <c r="CQ388" s="191" t="s">
        <v>272</v>
      </c>
      <c r="CR388" s="191"/>
      <c r="CS388" s="135" t="s">
        <v>539</v>
      </c>
      <c r="CT388" s="135"/>
      <c r="CU388" s="135"/>
      <c r="CV388" s="332">
        <f t="shared" si="101"/>
        <v>0.21568504134420041</v>
      </c>
      <c r="CW388" s="329">
        <f t="shared" si="102"/>
        <v>0</v>
      </c>
      <c r="CX388" s="329"/>
      <c r="CY388" s="189" t="s">
        <v>5921</v>
      </c>
    </row>
    <row r="389" spans="1:103" ht="11.25" customHeight="1" x14ac:dyDescent="0.2">
      <c r="A389" s="72">
        <v>688</v>
      </c>
      <c r="B389" s="183">
        <v>1328</v>
      </c>
      <c r="C389" s="133" t="s">
        <v>6919</v>
      </c>
      <c r="D389" s="133"/>
      <c r="E389" s="134"/>
      <c r="F389" s="134" t="s">
        <v>3616</v>
      </c>
      <c r="G389" s="184">
        <v>221671621</v>
      </c>
      <c r="H389" s="201" t="s">
        <v>3617</v>
      </c>
      <c r="I389" s="201"/>
      <c r="J389" s="201" t="s">
        <v>3618</v>
      </c>
      <c r="K389" s="201"/>
      <c r="L389" s="138"/>
      <c r="M389" s="138"/>
      <c r="N389" s="138"/>
      <c r="O389" s="141"/>
      <c r="P389" s="138"/>
      <c r="Q389" s="138"/>
      <c r="R389" s="138"/>
      <c r="S389" s="138"/>
      <c r="T389" s="209">
        <v>610.16999999999996</v>
      </c>
      <c r="U389" s="408"/>
      <c r="V389" s="185">
        <v>4.8539999999999996E-6</v>
      </c>
      <c r="W389" s="185">
        <v>0.5694437767172994</v>
      </c>
      <c r="X389" s="185">
        <v>0.5694437767172994</v>
      </c>
      <c r="Y389" s="204">
        <v>6.03</v>
      </c>
      <c r="Z389" s="135">
        <v>8.73</v>
      </c>
      <c r="AA389" s="135"/>
      <c r="AB389" s="135">
        <v>6.82</v>
      </c>
      <c r="AC389" s="135">
        <v>0.50219999999999998</v>
      </c>
      <c r="AD389" s="135">
        <v>7.56</v>
      </c>
      <c r="AE389" s="135">
        <v>8.3800000000000008</v>
      </c>
      <c r="AF389" s="135">
        <f t="shared" si="103"/>
        <v>7.56</v>
      </c>
      <c r="AG389" s="135">
        <v>5.71</v>
      </c>
      <c r="AH389" s="185">
        <v>1.84E-20</v>
      </c>
      <c r="AI389" s="185"/>
      <c r="AJ389" s="136">
        <f t="shared" si="105"/>
        <v>-18.123748503303116</v>
      </c>
      <c r="AK389" s="136"/>
      <c r="AL389" s="136">
        <f t="shared" si="104"/>
        <v>-18.123748503303116</v>
      </c>
      <c r="AM389" s="136">
        <v>-28.812149999999999</v>
      </c>
      <c r="AN389" s="135">
        <v>-19.600000000000001</v>
      </c>
      <c r="AO389" s="481">
        <v>4.01</v>
      </c>
      <c r="AP389" s="481">
        <v>1.71</v>
      </c>
      <c r="AQ389" s="135" t="s">
        <v>6311</v>
      </c>
      <c r="AR389" s="135" t="s">
        <v>6311</v>
      </c>
      <c r="AS389" s="190"/>
      <c r="AT389" s="137" t="s">
        <v>266</v>
      </c>
      <c r="AU389" s="135">
        <v>6</v>
      </c>
      <c r="AV389" s="135">
        <v>120</v>
      </c>
      <c r="AW389" s="135">
        <v>114</v>
      </c>
      <c r="AX389" s="135">
        <v>28</v>
      </c>
      <c r="AY389" s="135" t="s">
        <v>8728</v>
      </c>
      <c r="AZ389" s="135" t="s">
        <v>1563</v>
      </c>
      <c r="BA389" s="135">
        <v>32</v>
      </c>
      <c r="BB389" s="138" t="s">
        <v>2485</v>
      </c>
      <c r="BC389" s="458" t="s">
        <v>8726</v>
      </c>
      <c r="BD389" s="138" t="s">
        <v>8374</v>
      </c>
      <c r="BE389" s="135" t="s">
        <v>2449</v>
      </c>
      <c r="BF389" s="135" t="s">
        <v>272</v>
      </c>
      <c r="BG389" s="135" t="s">
        <v>272</v>
      </c>
      <c r="BH389" s="135" t="s">
        <v>2486</v>
      </c>
      <c r="BI389" s="185">
        <v>3.9050879999999997E-3</v>
      </c>
      <c r="BJ389" s="185">
        <v>39.050879999999999</v>
      </c>
      <c r="BK389" s="135"/>
      <c r="BL389" s="485"/>
      <c r="BM389" s="138" t="s">
        <v>2487</v>
      </c>
      <c r="BN389" s="135"/>
      <c r="BO389" s="135"/>
      <c r="BP389" s="135"/>
      <c r="BQ389" s="135"/>
      <c r="BR389" s="138" t="e">
        <v>#VALUE!</v>
      </c>
      <c r="BS389" s="135"/>
      <c r="BT389" s="135"/>
      <c r="BU389" s="135"/>
      <c r="BV389" s="135"/>
      <c r="BW389" s="135"/>
      <c r="BX389" s="135"/>
      <c r="BY389" s="135"/>
      <c r="BZ389" s="135"/>
      <c r="CA389" s="135"/>
      <c r="CB389" s="135"/>
      <c r="CC389" s="135"/>
      <c r="CD389" s="135"/>
      <c r="CE389" s="135"/>
      <c r="CF389" s="135"/>
      <c r="CG389" s="135"/>
      <c r="CH389" s="135"/>
      <c r="CI389" s="185"/>
      <c r="CJ389" s="187"/>
      <c r="CK389" s="136">
        <f t="shared" si="100"/>
        <v>0</v>
      </c>
      <c r="CL389" s="188"/>
      <c r="CM389" s="188"/>
      <c r="CN389" s="188"/>
      <c r="CO389" s="138" t="s">
        <v>2488</v>
      </c>
      <c r="CP389" s="189" t="s">
        <v>2489</v>
      </c>
      <c r="CQ389" s="191" t="s">
        <v>272</v>
      </c>
      <c r="CR389" s="191"/>
      <c r="CS389" s="135" t="s">
        <v>539</v>
      </c>
      <c r="CT389" s="135"/>
      <c r="CU389" s="135"/>
      <c r="CV389" s="332">
        <f t="shared" si="101"/>
        <v>1.4582098449952969E-2</v>
      </c>
      <c r="CW389" s="329">
        <f t="shared" si="102"/>
        <v>0</v>
      </c>
      <c r="CX389" s="329"/>
      <c r="CY389" s="189" t="s">
        <v>5921</v>
      </c>
    </row>
    <row r="390" spans="1:103" ht="11.25" customHeight="1" x14ac:dyDescent="0.2">
      <c r="A390" s="72">
        <v>689</v>
      </c>
      <c r="B390" s="183">
        <v>1446</v>
      </c>
      <c r="C390" s="133" t="s">
        <v>6920</v>
      </c>
      <c r="D390" s="133"/>
      <c r="E390" s="134"/>
      <c r="F390" s="134" t="s">
        <v>4447</v>
      </c>
      <c r="G390" s="184">
        <v>249296433</v>
      </c>
      <c r="H390" s="138" t="s">
        <v>4448</v>
      </c>
      <c r="I390" s="138" t="s">
        <v>7836</v>
      </c>
      <c r="J390" s="138" t="s">
        <v>4449</v>
      </c>
      <c r="K390" s="138" t="s">
        <v>455</v>
      </c>
      <c r="L390" s="138"/>
      <c r="M390" s="138"/>
      <c r="N390" s="138"/>
      <c r="O390" s="138"/>
      <c r="P390" s="138"/>
      <c r="Q390" s="138"/>
      <c r="R390" s="138"/>
      <c r="S390" s="138"/>
      <c r="T390" s="135">
        <v>604.85</v>
      </c>
      <c r="U390" s="185"/>
      <c r="V390" s="185"/>
      <c r="W390" s="185">
        <v>21.460887847792772</v>
      </c>
      <c r="X390" s="185">
        <v>21.460887847792772</v>
      </c>
      <c r="Y390" s="204">
        <v>9.19</v>
      </c>
      <c r="Z390" s="135"/>
      <c r="AA390" s="135"/>
      <c r="AB390" s="135">
        <v>5.49</v>
      </c>
      <c r="AC390" s="135">
        <v>0.77700000000000002</v>
      </c>
      <c r="AD390" s="135">
        <v>5.32</v>
      </c>
      <c r="AE390" s="135">
        <v>4.4800000000000004</v>
      </c>
      <c r="AF390" s="135">
        <f t="shared" si="103"/>
        <v>5.32</v>
      </c>
      <c r="AG390" s="136">
        <v>6.56</v>
      </c>
      <c r="AH390" s="185">
        <v>6.4700000000000002E-21</v>
      </c>
      <c r="AI390" s="185"/>
      <c r="AJ390" s="136">
        <f t="shared" si="105"/>
        <v>-18.577662045643951</v>
      </c>
      <c r="AK390" s="136"/>
      <c r="AL390" s="136">
        <f t="shared" si="104"/>
        <v>-18.577662045643951</v>
      </c>
      <c r="AM390" s="136">
        <v>-29.493640000000003</v>
      </c>
      <c r="AN390" s="186">
        <v>-35.9</v>
      </c>
      <c r="AO390" s="481"/>
      <c r="AP390" s="481">
        <v>9.0299999999999994</v>
      </c>
      <c r="AQ390" s="135" t="s">
        <v>6311</v>
      </c>
      <c r="AR390" s="135" t="s">
        <v>6311</v>
      </c>
      <c r="AS390" s="190"/>
      <c r="AT390" s="137" t="s">
        <v>266</v>
      </c>
      <c r="AU390" s="135">
        <v>6</v>
      </c>
      <c r="AV390" s="135">
        <v>120</v>
      </c>
      <c r="AW390" s="135">
        <v>114</v>
      </c>
      <c r="AX390" s="135">
        <v>28</v>
      </c>
      <c r="AY390" s="135" t="s">
        <v>8728</v>
      </c>
      <c r="AZ390" s="135" t="s">
        <v>1563</v>
      </c>
      <c r="BA390" s="135">
        <v>32</v>
      </c>
      <c r="BB390" s="138" t="s">
        <v>2485</v>
      </c>
      <c r="BC390" s="458" t="s">
        <v>8726</v>
      </c>
      <c r="BD390" s="138" t="s">
        <v>8374</v>
      </c>
      <c r="BE390" s="135" t="s">
        <v>2449</v>
      </c>
      <c r="BF390" s="135" t="s">
        <v>272</v>
      </c>
      <c r="BG390" s="135" t="s">
        <v>272</v>
      </c>
      <c r="BH390" s="135" t="s">
        <v>2486</v>
      </c>
      <c r="BI390" s="185">
        <v>3.8710400000000001E-3</v>
      </c>
      <c r="BJ390" s="185">
        <v>38.7104</v>
      </c>
      <c r="BK390" s="135"/>
      <c r="BL390" s="485"/>
      <c r="BM390" s="138" t="s">
        <v>2487</v>
      </c>
      <c r="BN390" s="135"/>
      <c r="BO390" s="135"/>
      <c r="BP390" s="135"/>
      <c r="BQ390" s="135"/>
      <c r="BR390" s="138" t="e">
        <v>#VALUE!</v>
      </c>
      <c r="BS390" s="135"/>
      <c r="BT390" s="135"/>
      <c r="BU390" s="135"/>
      <c r="BV390" s="135"/>
      <c r="BW390" s="135"/>
      <c r="BX390" s="135"/>
      <c r="BY390" s="135"/>
      <c r="BZ390" s="135"/>
      <c r="CA390" s="135"/>
      <c r="CB390" s="135"/>
      <c r="CC390" s="135"/>
      <c r="CD390" s="135"/>
      <c r="CE390" s="135"/>
      <c r="CF390" s="135"/>
      <c r="CG390" s="135"/>
      <c r="CH390" s="135"/>
      <c r="CI390" s="185"/>
      <c r="CJ390" s="187"/>
      <c r="CK390" s="136">
        <f t="shared" si="100"/>
        <v>0</v>
      </c>
      <c r="CL390" s="188"/>
      <c r="CM390" s="188"/>
      <c r="CN390" s="188"/>
      <c r="CO390" s="138" t="s">
        <v>2488</v>
      </c>
      <c r="CP390" s="189" t="s">
        <v>2489</v>
      </c>
      <c r="CQ390" s="191" t="s">
        <v>272</v>
      </c>
      <c r="CR390" s="191"/>
      <c r="CS390" s="135" t="s">
        <v>539</v>
      </c>
      <c r="CT390" s="135"/>
      <c r="CU390" s="135"/>
      <c r="CV390" s="332">
        <f t="shared" si="101"/>
        <v>0.55439592067746069</v>
      </c>
      <c r="CW390" s="329">
        <f t="shared" ref="CW390:CW413" si="107">IF(CV390&lt;1,0,1)</f>
        <v>0</v>
      </c>
      <c r="CX390" s="329"/>
      <c r="CY390" s="189" t="s">
        <v>5921</v>
      </c>
    </row>
    <row r="391" spans="1:103" ht="11.25" customHeight="1" x14ac:dyDescent="0.2">
      <c r="A391" s="72">
        <v>690</v>
      </c>
      <c r="B391" s="183">
        <v>1762</v>
      </c>
      <c r="C391" s="133" t="s">
        <v>6921</v>
      </c>
      <c r="D391" s="133"/>
      <c r="E391" s="134"/>
      <c r="F391" s="134" t="s">
        <v>5077</v>
      </c>
      <c r="G391" s="184">
        <v>263553339</v>
      </c>
      <c r="H391" s="138" t="s">
        <v>5078</v>
      </c>
      <c r="I391" s="138" t="s">
        <v>7837</v>
      </c>
      <c r="J391" s="138" t="s">
        <v>5079</v>
      </c>
      <c r="K391" s="138" t="s">
        <v>940</v>
      </c>
      <c r="L391" s="138"/>
      <c r="M391" s="138"/>
      <c r="N391" s="138"/>
      <c r="O391" s="138"/>
      <c r="P391" s="138"/>
      <c r="Q391" s="138"/>
      <c r="R391" s="138"/>
      <c r="S391" s="138"/>
      <c r="T391" s="135">
        <v>425.38</v>
      </c>
      <c r="U391" s="185"/>
      <c r="V391" s="185">
        <v>5.9420000000000002E-3</v>
      </c>
      <c r="W391" s="185">
        <v>2.5048231411516002</v>
      </c>
      <c r="X391" s="185">
        <v>2.5048231411516002</v>
      </c>
      <c r="Y391" s="204">
        <v>5.9</v>
      </c>
      <c r="Z391" s="135">
        <v>6.5</v>
      </c>
      <c r="AA391" s="135"/>
      <c r="AB391" s="135">
        <v>3.84</v>
      </c>
      <c r="AC391" s="135">
        <v>0.70809999999999995</v>
      </c>
      <c r="AD391" s="135">
        <v>3.61</v>
      </c>
      <c r="AE391" s="135">
        <v>2.9</v>
      </c>
      <c r="AF391" s="135">
        <f t="shared" si="103"/>
        <v>3.61</v>
      </c>
      <c r="AG391" s="136">
        <v>4.63</v>
      </c>
      <c r="AH391" s="185">
        <v>5.4700000000000001E-16</v>
      </c>
      <c r="AI391" s="185"/>
      <c r="AJ391" s="136">
        <f t="shared" si="105"/>
        <v>-13.650578999979221</v>
      </c>
      <c r="AK391" s="136"/>
      <c r="AL391" s="136">
        <f t="shared" si="104"/>
        <v>-13.650578999979221</v>
      </c>
      <c r="AM391" s="136">
        <v>-18.39526</v>
      </c>
      <c r="AN391" s="186">
        <v>-2.6</v>
      </c>
      <c r="AO391" s="481">
        <v>6.47</v>
      </c>
      <c r="AP391" s="481">
        <v>-0.91</v>
      </c>
      <c r="AQ391" s="186" t="s">
        <v>6311</v>
      </c>
      <c r="AR391" s="186" t="s">
        <v>6311</v>
      </c>
      <c r="AS391" s="183"/>
      <c r="AT391" s="137" t="s">
        <v>266</v>
      </c>
      <c r="AU391" s="135">
        <v>6</v>
      </c>
      <c r="AV391" s="135">
        <v>120</v>
      </c>
      <c r="AW391" s="135">
        <v>114</v>
      </c>
      <c r="AX391" s="135">
        <v>28</v>
      </c>
      <c r="AY391" s="135" t="s">
        <v>8728</v>
      </c>
      <c r="AZ391" s="135" t="s">
        <v>1563</v>
      </c>
      <c r="BA391" s="135">
        <v>32</v>
      </c>
      <c r="BB391" s="138" t="s">
        <v>2485</v>
      </c>
      <c r="BC391" s="458" t="s">
        <v>8726</v>
      </c>
      <c r="BD391" s="138" t="s">
        <v>8374</v>
      </c>
      <c r="BE391" s="135" t="s">
        <v>2449</v>
      </c>
      <c r="BF391" s="135" t="s">
        <v>272</v>
      </c>
      <c r="BG391" s="135" t="s">
        <v>272</v>
      </c>
      <c r="BH391" s="135" t="s">
        <v>2486</v>
      </c>
      <c r="BI391" s="185">
        <v>2.7224319999999999E-3</v>
      </c>
      <c r="BJ391" s="185">
        <v>27.224319999999999</v>
      </c>
      <c r="BK391" s="135"/>
      <c r="BL391" s="485">
        <v>3.1763406082696413E-2</v>
      </c>
      <c r="BM391" s="138" t="s">
        <v>2487</v>
      </c>
      <c r="BN391" s="135"/>
      <c r="BO391" s="135"/>
      <c r="BP391" s="135"/>
      <c r="BQ391" s="135"/>
      <c r="BR391" s="138" t="e">
        <v>#VALUE!</v>
      </c>
      <c r="BS391" s="135"/>
      <c r="BT391" s="135"/>
      <c r="BU391" s="135"/>
      <c r="BV391" s="135"/>
      <c r="BW391" s="135"/>
      <c r="BX391" s="135"/>
      <c r="BY391" s="135"/>
      <c r="BZ391" s="135"/>
      <c r="CA391" s="135"/>
      <c r="CB391" s="135"/>
      <c r="CC391" s="135"/>
      <c r="CD391" s="135"/>
      <c r="CE391" s="135"/>
      <c r="CF391" s="135"/>
      <c r="CG391" s="135"/>
      <c r="CH391" s="135"/>
      <c r="CI391" s="185"/>
      <c r="CJ391" s="187"/>
      <c r="CK391" s="136">
        <f t="shared" si="100"/>
        <v>1.1667290893839191E-3</v>
      </c>
      <c r="CL391" s="188"/>
      <c r="CM391" s="188"/>
      <c r="CN391" s="188"/>
      <c r="CO391" s="138" t="s">
        <v>2488</v>
      </c>
      <c r="CP391" s="189" t="s">
        <v>2489</v>
      </c>
      <c r="CQ391" s="191" t="s">
        <v>272</v>
      </c>
      <c r="CR391" s="191"/>
      <c r="CS391" s="135" t="s">
        <v>539</v>
      </c>
      <c r="CT391" s="135"/>
      <c r="CU391" s="135"/>
      <c r="CV391" s="332">
        <f t="shared" si="101"/>
        <v>9.2006821149310622E-2</v>
      </c>
      <c r="CW391" s="329">
        <f t="shared" si="107"/>
        <v>0</v>
      </c>
      <c r="CX391" s="329"/>
      <c r="CY391" s="189" t="s">
        <v>5921</v>
      </c>
    </row>
    <row r="392" spans="1:103" ht="11.25" customHeight="1" x14ac:dyDescent="0.2">
      <c r="A392" s="72">
        <v>691</v>
      </c>
      <c r="B392" s="183">
        <v>988</v>
      </c>
      <c r="C392" s="133" t="s">
        <v>6922</v>
      </c>
      <c r="D392" s="133"/>
      <c r="E392" s="134"/>
      <c r="F392" s="134" t="s">
        <v>2818</v>
      </c>
      <c r="G392" s="184">
        <v>298198524</v>
      </c>
      <c r="H392" s="138" t="s">
        <v>2819</v>
      </c>
      <c r="I392" s="138" t="s">
        <v>7857</v>
      </c>
      <c r="J392" s="138" t="s">
        <v>2820</v>
      </c>
      <c r="K392" s="138" t="s">
        <v>2821</v>
      </c>
      <c r="L392" s="138"/>
      <c r="M392" s="138"/>
      <c r="N392" s="138"/>
      <c r="O392" s="138"/>
      <c r="P392" s="138"/>
      <c r="Q392" s="138"/>
      <c r="R392" s="138"/>
      <c r="S392" s="138"/>
      <c r="T392" s="135">
        <v>483.66</v>
      </c>
      <c r="U392" s="185"/>
      <c r="V392" s="185">
        <v>8.1779999999999995E-3</v>
      </c>
      <c r="W392" s="185">
        <v>36.689362993861451</v>
      </c>
      <c r="X392" s="185">
        <v>36.689362993861451</v>
      </c>
      <c r="Y392" s="204">
        <v>4.83</v>
      </c>
      <c r="Z392" s="135">
        <v>5.91</v>
      </c>
      <c r="AA392" s="135"/>
      <c r="AB392" s="135">
        <v>5.03</v>
      </c>
      <c r="AC392" s="135">
        <v>0.60880000000000001</v>
      </c>
      <c r="AD392" s="135">
        <v>4.7699999999999996</v>
      </c>
      <c r="AE392" s="135">
        <v>4.4000000000000004</v>
      </c>
      <c r="AF392" s="135">
        <f t="shared" si="103"/>
        <v>4.7699999999999996</v>
      </c>
      <c r="AG392" s="136">
        <v>5.82</v>
      </c>
      <c r="AH392" s="185">
        <v>1.7899999999999999E-15</v>
      </c>
      <c r="AI392" s="185"/>
      <c r="AJ392" s="136">
        <f t="shared" si="105"/>
        <v>-13.135713295332758</v>
      </c>
      <c r="AK392" s="136"/>
      <c r="AL392" s="136">
        <f t="shared" si="104"/>
        <v>-13.135713295332758</v>
      </c>
      <c r="AM392" s="136">
        <v>-23.36656</v>
      </c>
      <c r="AN392" s="186">
        <v>-18.5</v>
      </c>
      <c r="AO392" s="481">
        <v>4.5</v>
      </c>
      <c r="AP392" s="481">
        <v>4.82</v>
      </c>
      <c r="AQ392" s="135" t="s">
        <v>6311</v>
      </c>
      <c r="AR392" s="135" t="s">
        <v>6311</v>
      </c>
      <c r="AS392" s="190"/>
      <c r="AT392" s="137" t="s">
        <v>266</v>
      </c>
      <c r="AU392" s="135">
        <v>6</v>
      </c>
      <c r="AV392" s="135">
        <v>120</v>
      </c>
      <c r="AW392" s="135">
        <v>114</v>
      </c>
      <c r="AX392" s="135">
        <v>28</v>
      </c>
      <c r="AY392" s="135" t="s">
        <v>8728</v>
      </c>
      <c r="AZ392" s="135" t="s">
        <v>1563</v>
      </c>
      <c r="BA392" s="135">
        <v>32</v>
      </c>
      <c r="BB392" s="138" t="s">
        <v>2485</v>
      </c>
      <c r="BC392" s="458" t="s">
        <v>8726</v>
      </c>
      <c r="BD392" s="138" t="s">
        <v>8374</v>
      </c>
      <c r="BE392" s="135" t="s">
        <v>2449</v>
      </c>
      <c r="BF392" s="135" t="s">
        <v>272</v>
      </c>
      <c r="BG392" s="135" t="s">
        <v>272</v>
      </c>
      <c r="BH392" s="135" t="s">
        <v>2486</v>
      </c>
      <c r="BI392" s="185">
        <v>3.0954239999999998E-3</v>
      </c>
      <c r="BJ392" s="185">
        <v>30.954240000000002</v>
      </c>
      <c r="BK392" s="135"/>
      <c r="BL392" s="485">
        <v>0.12234019588599747</v>
      </c>
      <c r="BM392" s="138" t="s">
        <v>2487</v>
      </c>
      <c r="BN392" s="135"/>
      <c r="BO392" s="135"/>
      <c r="BP392" s="135"/>
      <c r="BQ392" s="135"/>
      <c r="BR392" s="138" t="e">
        <v>#VALUE!</v>
      </c>
      <c r="BS392" s="135"/>
      <c r="BT392" s="135"/>
      <c r="BU392" s="135">
        <v>3.0954240000000004</v>
      </c>
      <c r="BV392" s="135"/>
      <c r="BW392" s="135"/>
      <c r="BX392" s="135"/>
      <c r="BY392" s="135"/>
      <c r="BZ392" s="135"/>
      <c r="CA392" s="135"/>
      <c r="CB392" s="135"/>
      <c r="CC392" s="135"/>
      <c r="CD392" s="135"/>
      <c r="CE392" s="135"/>
      <c r="CF392" s="135"/>
      <c r="CG392" s="135"/>
      <c r="CH392" s="135"/>
      <c r="CI392" s="185"/>
      <c r="CJ392" s="187"/>
      <c r="CK392" s="136">
        <f t="shared" si="100"/>
        <v>3.9522920248081508E-3</v>
      </c>
      <c r="CL392" s="188"/>
      <c r="CM392" s="188"/>
      <c r="CN392" s="188"/>
      <c r="CO392" s="138" t="s">
        <v>2488</v>
      </c>
      <c r="CP392" s="189" t="s">
        <v>2489</v>
      </c>
      <c r="CQ392" s="191" t="s">
        <v>272</v>
      </c>
      <c r="CR392" s="191"/>
      <c r="CS392" s="135" t="s">
        <v>539</v>
      </c>
      <c r="CT392" s="135"/>
      <c r="CU392" s="135"/>
      <c r="CV392" s="332">
        <f t="shared" si="101"/>
        <v>1.1852774609830978</v>
      </c>
      <c r="CW392" s="329">
        <f t="shared" si="107"/>
        <v>1</v>
      </c>
      <c r="CX392" s="329"/>
      <c r="CY392" s="189" t="s">
        <v>5921</v>
      </c>
    </row>
    <row r="393" spans="1:103" ht="11.25" customHeight="1" x14ac:dyDescent="0.2">
      <c r="A393" s="72">
        <v>692</v>
      </c>
      <c r="B393" s="191">
        <v>1320</v>
      </c>
      <c r="C393" s="128" t="s">
        <v>6923</v>
      </c>
      <c r="D393" s="128"/>
      <c r="E393" s="129"/>
      <c r="F393" s="129" t="s">
        <v>3605</v>
      </c>
      <c r="G393" s="192">
        <v>368832422</v>
      </c>
      <c r="H393" s="206" t="s">
        <v>3606</v>
      </c>
      <c r="I393" s="206" t="s">
        <v>7968</v>
      </c>
      <c r="J393" s="206" t="s">
        <v>3607</v>
      </c>
      <c r="K393" s="206" t="s">
        <v>3608</v>
      </c>
      <c r="L393" s="139"/>
      <c r="M393" s="139"/>
      <c r="N393" s="138"/>
      <c r="O393" s="207"/>
      <c r="P393" s="138"/>
      <c r="Q393" s="138"/>
      <c r="R393" s="138"/>
      <c r="S393" s="138"/>
      <c r="T393" s="193">
        <v>402.57</v>
      </c>
      <c r="U393" s="187"/>
      <c r="V393" s="187">
        <v>3.8650000000000002</v>
      </c>
      <c r="W393" s="187">
        <v>66.809990132713793</v>
      </c>
      <c r="X393" s="187">
        <v>66.809990132713793</v>
      </c>
      <c r="Y393" s="194">
        <v>9.82</v>
      </c>
      <c r="Z393" s="130">
        <v>3.25</v>
      </c>
      <c r="AA393" s="130"/>
      <c r="AB393" s="130">
        <v>3.86</v>
      </c>
      <c r="AC393" s="130">
        <v>0.56599999999999995</v>
      </c>
      <c r="AD393" s="130">
        <v>3.76</v>
      </c>
      <c r="AE393" s="130">
        <v>3.63</v>
      </c>
      <c r="AF393" s="130">
        <f t="shared" ref="AF393:AF410" si="108">IF(AA393=0,AD393,AA393)</f>
        <v>3.76</v>
      </c>
      <c r="AG393" s="130">
        <v>4.9800000000000004</v>
      </c>
      <c r="AH393" s="187">
        <v>3.3200000000000002E-17</v>
      </c>
      <c r="AI393" s="187"/>
      <c r="AJ393" s="136">
        <f t="shared" si="105"/>
        <v>-14.867428242608616</v>
      </c>
      <c r="AK393" s="136"/>
      <c r="AL393" s="136">
        <f t="shared" ref="AL393:AL394" si="109">IF(AK393=0,AJ393,AK393)</f>
        <v>-14.867428242608616</v>
      </c>
      <c r="AM393" s="136">
        <v>-22.329050000000002</v>
      </c>
      <c r="AN393" s="130">
        <v>-5.61</v>
      </c>
      <c r="AO393" s="481"/>
      <c r="AP393" s="481">
        <v>9.31</v>
      </c>
      <c r="AQ393" s="130" t="s">
        <v>6311</v>
      </c>
      <c r="AR393" s="130" t="s">
        <v>6311</v>
      </c>
      <c r="AS393" s="198"/>
      <c r="AT393" s="132" t="s">
        <v>266</v>
      </c>
      <c r="AU393" s="130">
        <v>6</v>
      </c>
      <c r="AV393" s="130">
        <v>120</v>
      </c>
      <c r="AW393" s="130">
        <v>114</v>
      </c>
      <c r="AX393" s="130">
        <v>28</v>
      </c>
      <c r="AY393" s="130" t="s">
        <v>8728</v>
      </c>
      <c r="AZ393" s="130" t="s">
        <v>1563</v>
      </c>
      <c r="BA393" s="130">
        <v>32</v>
      </c>
      <c r="BB393" s="139" t="s">
        <v>2485</v>
      </c>
      <c r="BC393" s="458" t="s">
        <v>8726</v>
      </c>
      <c r="BD393" s="139" t="s">
        <v>8374</v>
      </c>
      <c r="BE393" s="130" t="s">
        <v>2449</v>
      </c>
      <c r="BF393" s="130" t="s">
        <v>272</v>
      </c>
      <c r="BG393" s="130" t="s">
        <v>272</v>
      </c>
      <c r="BH393" s="130" t="s">
        <v>2486</v>
      </c>
      <c r="BI393" s="187">
        <v>2.5764479999999998E-3</v>
      </c>
      <c r="BJ393" s="187">
        <v>25.764479999999999</v>
      </c>
      <c r="BK393" s="130"/>
      <c r="BL393" s="485">
        <v>24.935403920817247</v>
      </c>
      <c r="BM393" s="139" t="s">
        <v>2487</v>
      </c>
      <c r="BN393" s="130"/>
      <c r="BO393" s="130"/>
      <c r="BP393" s="130"/>
      <c r="BQ393" s="130"/>
      <c r="BR393" s="139" t="e">
        <v>#VALUE!</v>
      </c>
      <c r="BS393" s="130"/>
      <c r="BT393" s="130"/>
      <c r="BU393" s="195"/>
      <c r="BV393" s="130"/>
      <c r="BW393" s="130"/>
      <c r="BX393" s="130"/>
      <c r="BY393" s="130"/>
      <c r="BZ393" s="130"/>
      <c r="CA393" s="130"/>
      <c r="CB393" s="130"/>
      <c r="CC393" s="130"/>
      <c r="CD393" s="130"/>
      <c r="CE393" s="130"/>
      <c r="CF393" s="130"/>
      <c r="CG393" s="130"/>
      <c r="CH393" s="130"/>
      <c r="CI393" s="187"/>
      <c r="CJ393" s="187"/>
      <c r="CK393" s="131">
        <f t="shared" si="100"/>
        <v>0.96782096595069056</v>
      </c>
      <c r="CL393" s="188"/>
      <c r="CM393" s="188"/>
      <c r="CN393" s="188"/>
      <c r="CO393" s="139" t="s">
        <v>2488</v>
      </c>
      <c r="CP393" s="499" t="s">
        <v>2489</v>
      </c>
      <c r="CQ393" s="191" t="s">
        <v>272</v>
      </c>
      <c r="CR393" s="191"/>
      <c r="CS393" s="135" t="s">
        <v>539</v>
      </c>
      <c r="CT393" s="135"/>
      <c r="CU393" s="135"/>
      <c r="CV393" s="332">
        <f t="shared" si="101"/>
        <v>2.5931045428711852</v>
      </c>
      <c r="CW393" s="329">
        <f t="shared" si="107"/>
        <v>1</v>
      </c>
      <c r="CX393" s="329"/>
      <c r="CY393" s="189" t="s">
        <v>5921</v>
      </c>
    </row>
    <row r="394" spans="1:103" ht="11.25" customHeight="1" x14ac:dyDescent="0.2">
      <c r="A394" s="72">
        <v>693</v>
      </c>
      <c r="B394" s="183">
        <v>1774</v>
      </c>
      <c r="C394" s="133" t="s">
        <v>6924</v>
      </c>
      <c r="D394" s="133"/>
      <c r="E394" s="134"/>
      <c r="F394" s="134" t="s">
        <v>5107</v>
      </c>
      <c r="G394" s="184">
        <v>439687691</v>
      </c>
      <c r="H394" s="138" t="s">
        <v>5108</v>
      </c>
      <c r="I394" s="138" t="s">
        <v>7740</v>
      </c>
      <c r="J394" s="138" t="s">
        <v>5109</v>
      </c>
      <c r="K394" s="138" t="s">
        <v>455</v>
      </c>
      <c r="L394" s="138"/>
      <c r="M394" s="138"/>
      <c r="N394" s="138"/>
      <c r="O394" s="138"/>
      <c r="P394" s="138"/>
      <c r="Q394" s="138"/>
      <c r="R394" s="138"/>
      <c r="S394" s="138"/>
      <c r="T394" s="135">
        <v>396.83</v>
      </c>
      <c r="U394" s="185"/>
      <c r="V394" s="185">
        <v>0.1118</v>
      </c>
      <c r="W394" s="185">
        <v>20.82593444509169</v>
      </c>
      <c r="X394" s="185">
        <v>20.82593444509169</v>
      </c>
      <c r="Y394" s="204">
        <v>9.4499999999999993</v>
      </c>
      <c r="Z394" s="135">
        <v>5.22</v>
      </c>
      <c r="AA394" s="135"/>
      <c r="AB394" s="135">
        <v>4.88</v>
      </c>
      <c r="AC394" s="135">
        <v>0.81710000000000005</v>
      </c>
      <c r="AD394" s="135">
        <v>4.88</v>
      </c>
      <c r="AE394" s="135">
        <v>4.8899999999999997</v>
      </c>
      <c r="AF394" s="135">
        <f t="shared" si="108"/>
        <v>4.88</v>
      </c>
      <c r="AG394" s="136">
        <v>4.7300000000000004</v>
      </c>
      <c r="AH394" s="185">
        <v>7.82E-13</v>
      </c>
      <c r="AI394" s="185"/>
      <c r="AJ394" s="136">
        <f t="shared" si="105"/>
        <v>-10.495359573252804</v>
      </c>
      <c r="AK394" s="136"/>
      <c r="AL394" s="136">
        <f t="shared" si="109"/>
        <v>-10.495359573252804</v>
      </c>
      <c r="AM394" s="136">
        <v>-15.511379999999999</v>
      </c>
      <c r="AN394" s="186">
        <v>-12.3</v>
      </c>
      <c r="AO394" s="481">
        <v>12.83</v>
      </c>
      <c r="AP394" s="481">
        <v>9.4499999999999993</v>
      </c>
      <c r="AQ394" s="186" t="s">
        <v>6311</v>
      </c>
      <c r="AR394" s="186" t="s">
        <v>6311</v>
      </c>
      <c r="AS394" s="183"/>
      <c r="AT394" s="137" t="s">
        <v>266</v>
      </c>
      <c r="AU394" s="135">
        <v>6</v>
      </c>
      <c r="AV394" s="135">
        <v>120</v>
      </c>
      <c r="AW394" s="135">
        <v>114</v>
      </c>
      <c r="AX394" s="135">
        <v>28</v>
      </c>
      <c r="AY394" s="135" t="s">
        <v>8728</v>
      </c>
      <c r="AZ394" s="135" t="s">
        <v>1563</v>
      </c>
      <c r="BA394" s="135">
        <v>32</v>
      </c>
      <c r="BB394" s="138" t="s">
        <v>2485</v>
      </c>
      <c r="BC394" s="458" t="s">
        <v>8726</v>
      </c>
      <c r="BD394" s="138" t="s">
        <v>8374</v>
      </c>
      <c r="BE394" s="135" t="s">
        <v>2449</v>
      </c>
      <c r="BF394" s="135" t="s">
        <v>272</v>
      </c>
      <c r="BG394" s="135" t="s">
        <v>272</v>
      </c>
      <c r="BH394" s="135" t="s">
        <v>2486</v>
      </c>
      <c r="BI394" s="185">
        <v>2.539712E-3</v>
      </c>
      <c r="BJ394" s="185">
        <v>25.397120000000001</v>
      </c>
      <c r="BK394" s="135"/>
      <c r="BL394" s="485">
        <v>0.41814075301047265</v>
      </c>
      <c r="BM394" s="138" t="s">
        <v>2487</v>
      </c>
      <c r="BN394" s="135"/>
      <c r="BO394" s="135"/>
      <c r="BP394" s="135"/>
      <c r="BQ394" s="135"/>
      <c r="BR394" s="138" t="e">
        <v>#VALUE!</v>
      </c>
      <c r="BS394" s="135"/>
      <c r="BT394" s="135"/>
      <c r="BU394" s="135"/>
      <c r="BV394" s="135"/>
      <c r="BW394" s="135"/>
      <c r="BX394" s="135"/>
      <c r="BY394" s="135"/>
      <c r="BZ394" s="135"/>
      <c r="CA394" s="135"/>
      <c r="CB394" s="135"/>
      <c r="CC394" s="135"/>
      <c r="CD394" s="135"/>
      <c r="CE394" s="135"/>
      <c r="CF394" s="135"/>
      <c r="CG394" s="135"/>
      <c r="CH394" s="135"/>
      <c r="CI394" s="185"/>
      <c r="CJ394" s="187"/>
      <c r="CK394" s="136">
        <f t="shared" si="100"/>
        <v>1.6464101166213833E-2</v>
      </c>
      <c r="CL394" s="188"/>
      <c r="CM394" s="188"/>
      <c r="CN394" s="188"/>
      <c r="CO394" s="138" t="s">
        <v>2488</v>
      </c>
      <c r="CP394" s="189" t="s">
        <v>2489</v>
      </c>
      <c r="CQ394" s="191" t="s">
        <v>272</v>
      </c>
      <c r="CR394" s="191"/>
      <c r="CS394" s="135" t="s">
        <v>539</v>
      </c>
      <c r="CT394" s="135"/>
      <c r="CU394" s="135"/>
      <c r="CV394" s="332">
        <f t="shared" si="101"/>
        <v>0.82001165664026821</v>
      </c>
      <c r="CW394" s="329">
        <f t="shared" si="107"/>
        <v>0</v>
      </c>
      <c r="CX394" s="329"/>
      <c r="CY394" s="189" t="s">
        <v>5921</v>
      </c>
    </row>
    <row r="395" spans="1:103" ht="11.25" customHeight="1" x14ac:dyDescent="0.2">
      <c r="A395" s="72">
        <v>694</v>
      </c>
      <c r="B395" s="183">
        <v>878</v>
      </c>
      <c r="C395" s="133" t="s">
        <v>6925</v>
      </c>
      <c r="D395" s="133"/>
      <c r="E395" s="134"/>
      <c r="F395" s="134" t="s">
        <v>2493</v>
      </c>
      <c r="G395" s="184">
        <v>444610917</v>
      </c>
      <c r="H395" s="138" t="s">
        <v>2494</v>
      </c>
      <c r="I395" s="138" t="s">
        <v>7833</v>
      </c>
      <c r="J395" s="138" t="s">
        <v>2495</v>
      </c>
      <c r="K395" s="138" t="s">
        <v>426</v>
      </c>
      <c r="L395" s="138"/>
      <c r="M395" s="138"/>
      <c r="N395" s="138"/>
      <c r="O395" s="138"/>
      <c r="P395" s="138"/>
      <c r="Q395" s="138"/>
      <c r="R395" s="138"/>
      <c r="S395" s="138"/>
      <c r="T395" s="135">
        <v>276.49</v>
      </c>
      <c r="U395" s="185"/>
      <c r="V395" s="185">
        <v>2.7539999999999998E-6</v>
      </c>
      <c r="W395" s="185"/>
      <c r="X395" s="185">
        <v>2.7539999999999998E-6</v>
      </c>
      <c r="Y395" s="204"/>
      <c r="Z395" s="135">
        <v>11.46</v>
      </c>
      <c r="AA395" s="135"/>
      <c r="AB395" s="135">
        <v>4.4800000000000004</v>
      </c>
      <c r="AC395" s="135">
        <v>0.70789999999999997</v>
      </c>
      <c r="AD395" s="135">
        <v>4.4800000000000004</v>
      </c>
      <c r="AE395" s="135"/>
      <c r="AF395" s="135">
        <f t="shared" si="108"/>
        <v>4.4800000000000004</v>
      </c>
      <c r="AG395" s="136">
        <v>4.4800000000000004</v>
      </c>
      <c r="AH395" s="185"/>
      <c r="AI395" s="185"/>
      <c r="AJ395" s="136"/>
      <c r="AK395" s="136"/>
      <c r="AL395" s="136"/>
      <c r="AM395" s="136">
        <v>-5.8602699999999999</v>
      </c>
      <c r="AN395" s="186">
        <v>-4.3499999999999996</v>
      </c>
      <c r="AO395" s="481"/>
      <c r="AP395" s="481"/>
      <c r="AQ395" s="135" t="s">
        <v>6311</v>
      </c>
      <c r="AR395" s="135" t="s">
        <v>6311</v>
      </c>
      <c r="AS395" s="190"/>
      <c r="AT395" s="137" t="s">
        <v>266</v>
      </c>
      <c r="AU395" s="135">
        <v>6</v>
      </c>
      <c r="AV395" s="135">
        <v>120</v>
      </c>
      <c r="AW395" s="135">
        <v>114</v>
      </c>
      <c r="AX395" s="135">
        <v>28</v>
      </c>
      <c r="AY395" s="135" t="s">
        <v>8728</v>
      </c>
      <c r="AZ395" s="135" t="s">
        <v>1563</v>
      </c>
      <c r="BA395" s="135">
        <v>32</v>
      </c>
      <c r="BB395" s="138" t="s">
        <v>2485</v>
      </c>
      <c r="BC395" s="458" t="s">
        <v>8726</v>
      </c>
      <c r="BD395" s="138" t="s">
        <v>8374</v>
      </c>
      <c r="BE395" s="135" t="s">
        <v>2449</v>
      </c>
      <c r="BF395" s="135" t="s">
        <v>272</v>
      </c>
      <c r="BG395" s="135" t="s">
        <v>272</v>
      </c>
      <c r="BH395" s="135" t="s">
        <v>2486</v>
      </c>
      <c r="BI395" s="185">
        <v>1.7695359999999999E-3</v>
      </c>
      <c r="BJ395" s="185">
        <v>17.695360000000001</v>
      </c>
      <c r="BK395" s="135"/>
      <c r="BL395" s="485">
        <v>7.2485882130498772E-7</v>
      </c>
      <c r="BM395" s="138" t="s">
        <v>2487</v>
      </c>
      <c r="BN395" s="135"/>
      <c r="BO395" s="135"/>
      <c r="BP395" s="135"/>
      <c r="BQ395" s="135"/>
      <c r="BR395" s="138" t="e">
        <v>#VALUE!</v>
      </c>
      <c r="BS395" s="135"/>
      <c r="BT395" s="135"/>
      <c r="BU395" s="135">
        <v>17.695360000000001</v>
      </c>
      <c r="BV395" s="135"/>
      <c r="BW395" s="135"/>
      <c r="BX395" s="135"/>
      <c r="BY395" s="135"/>
      <c r="BZ395" s="135"/>
      <c r="CA395" s="135"/>
      <c r="CB395" s="135"/>
      <c r="CC395" s="135"/>
      <c r="CD395" s="135"/>
      <c r="CE395" s="135"/>
      <c r="CF395" s="135"/>
      <c r="CG395" s="135"/>
      <c r="CH395" s="135"/>
      <c r="CI395" s="185"/>
      <c r="CJ395" s="187"/>
      <c r="CK395" s="136">
        <f t="shared" si="100"/>
        <v>4.0963214159247828E-8</v>
      </c>
      <c r="CL395" s="188"/>
      <c r="CM395" s="188"/>
      <c r="CN395" s="188"/>
      <c r="CO395" s="138" t="s">
        <v>2488</v>
      </c>
      <c r="CP395" s="189" t="s">
        <v>2489</v>
      </c>
      <c r="CQ395" s="191" t="s">
        <v>272</v>
      </c>
      <c r="CR395" s="191"/>
      <c r="CS395" s="135" t="s">
        <v>539</v>
      </c>
      <c r="CT395" s="135"/>
      <c r="CU395" s="135"/>
      <c r="CV395" s="332">
        <f t="shared" si="101"/>
        <v>1.5563401931353755E-7</v>
      </c>
      <c r="CW395" s="329">
        <f t="shared" si="107"/>
        <v>0</v>
      </c>
      <c r="CX395" s="329"/>
      <c r="CY395" s="189" t="s">
        <v>5921</v>
      </c>
    </row>
    <row r="396" spans="1:103" ht="11.25" customHeight="1" x14ac:dyDescent="0.2">
      <c r="A396" s="72">
        <v>695</v>
      </c>
      <c r="B396" s="183">
        <v>1344</v>
      </c>
      <c r="C396" s="133" t="s">
        <v>6926</v>
      </c>
      <c r="D396" s="133"/>
      <c r="E396" s="134"/>
      <c r="F396" s="134" t="s">
        <v>4160</v>
      </c>
      <c r="G396" s="184">
        <v>648917139</v>
      </c>
      <c r="H396" s="138" t="s">
        <v>4161</v>
      </c>
      <c r="I396" s="138" t="s">
        <v>7822</v>
      </c>
      <c r="J396" s="138" t="s">
        <v>4162</v>
      </c>
      <c r="K396" s="138" t="s">
        <v>2507</v>
      </c>
      <c r="L396" s="140"/>
      <c r="M396" s="138"/>
      <c r="N396" s="138"/>
      <c r="O396" s="138"/>
      <c r="P396" s="138"/>
      <c r="Q396" s="138"/>
      <c r="R396" s="138"/>
      <c r="S396" s="138"/>
      <c r="T396" s="135">
        <v>696.25</v>
      </c>
      <c r="U396" s="185"/>
      <c r="V396" s="185"/>
      <c r="W396" s="185">
        <v>6.6491358801742475</v>
      </c>
      <c r="X396" s="185">
        <v>6.6491358801742475</v>
      </c>
      <c r="Y396" s="204">
        <v>7.96</v>
      </c>
      <c r="Z396" s="135"/>
      <c r="AA396" s="135"/>
      <c r="AB396" s="135">
        <v>4.9400000000000004</v>
      </c>
      <c r="AC396" s="135">
        <v>0.33689999999999998</v>
      </c>
      <c r="AD396" s="135">
        <v>5.61</v>
      </c>
      <c r="AE396" s="135">
        <v>6.06</v>
      </c>
      <c r="AF396" s="135">
        <f t="shared" si="108"/>
        <v>5.61</v>
      </c>
      <c r="AG396" s="136">
        <v>6.34</v>
      </c>
      <c r="AH396" s="185">
        <v>1.27E-20</v>
      </c>
      <c r="AI396" s="185"/>
      <c r="AJ396" s="136">
        <f t="shared" ref="AJ396:AJ412" si="110">LOG10(AH396*1000/(0.08206*298.15))</f>
        <v>-18.284762605356693</v>
      </c>
      <c r="AK396" s="136"/>
      <c r="AL396" s="136">
        <f t="shared" ref="AL396:AL412" si="111">IF(AK396=0,AJ396,AK396)</f>
        <v>-18.284762605356693</v>
      </c>
      <c r="AM396" s="136">
        <v>-33.133949999999999</v>
      </c>
      <c r="AN396" s="186">
        <v>-29.1</v>
      </c>
      <c r="AO396" s="481">
        <v>10.53</v>
      </c>
      <c r="AP396" s="481">
        <v>10.62</v>
      </c>
      <c r="AQ396" s="135" t="s">
        <v>6311</v>
      </c>
      <c r="AR396" s="135" t="s">
        <v>6311</v>
      </c>
      <c r="AS396" s="190"/>
      <c r="AT396" s="137" t="s">
        <v>266</v>
      </c>
      <c r="AU396" s="135">
        <v>6</v>
      </c>
      <c r="AV396" s="135">
        <v>120</v>
      </c>
      <c r="AW396" s="135">
        <v>114</v>
      </c>
      <c r="AX396" s="135">
        <v>28</v>
      </c>
      <c r="AY396" s="135" t="s">
        <v>8728</v>
      </c>
      <c r="AZ396" s="135" t="s">
        <v>1563</v>
      </c>
      <c r="BA396" s="135">
        <v>32</v>
      </c>
      <c r="BB396" s="138" t="s">
        <v>2485</v>
      </c>
      <c r="BC396" s="458" t="s">
        <v>8726</v>
      </c>
      <c r="BD396" s="138" t="s">
        <v>8374</v>
      </c>
      <c r="BE396" s="135" t="s">
        <v>2449</v>
      </c>
      <c r="BF396" s="135" t="s">
        <v>272</v>
      </c>
      <c r="BG396" s="135" t="s">
        <v>272</v>
      </c>
      <c r="BH396" s="135" t="s">
        <v>2486</v>
      </c>
      <c r="BI396" s="185">
        <v>4.4559999999999999E-3</v>
      </c>
      <c r="BJ396" s="185">
        <v>44.56</v>
      </c>
      <c r="BK396" s="135"/>
      <c r="BL396" s="485"/>
      <c r="BM396" s="138" t="s">
        <v>2487</v>
      </c>
      <c r="BN396" s="135"/>
      <c r="BO396" s="135"/>
      <c r="BP396" s="135"/>
      <c r="BQ396" s="135"/>
      <c r="BR396" s="138" t="e">
        <v>#VALUE!</v>
      </c>
      <c r="BS396" s="135"/>
      <c r="BT396" s="135"/>
      <c r="BU396" s="135"/>
      <c r="BV396" s="135"/>
      <c r="BW396" s="135"/>
      <c r="BX396" s="135"/>
      <c r="BY396" s="135"/>
      <c r="BZ396" s="135"/>
      <c r="CA396" s="135"/>
      <c r="CB396" s="135"/>
      <c r="CC396" s="135"/>
      <c r="CD396" s="135"/>
      <c r="CE396" s="135"/>
      <c r="CF396" s="135"/>
      <c r="CG396" s="135"/>
      <c r="CH396" s="135"/>
      <c r="CI396" s="185"/>
      <c r="CJ396" s="187"/>
      <c r="CK396" s="136">
        <f t="shared" si="100"/>
        <v>0</v>
      </c>
      <c r="CL396" s="188"/>
      <c r="CM396" s="188"/>
      <c r="CN396" s="188"/>
      <c r="CO396" s="138" t="s">
        <v>2488</v>
      </c>
      <c r="CP396" s="189" t="s">
        <v>2489</v>
      </c>
      <c r="CQ396" s="191" t="s">
        <v>272</v>
      </c>
      <c r="CR396" s="191"/>
      <c r="CS396" s="135" t="s">
        <v>539</v>
      </c>
      <c r="CT396" s="135"/>
      <c r="CU396" s="135"/>
      <c r="CV396" s="332">
        <f t="shared" si="101"/>
        <v>0.14921759156584935</v>
      </c>
      <c r="CW396" s="329">
        <f t="shared" si="107"/>
        <v>0</v>
      </c>
      <c r="CX396" s="329"/>
      <c r="CY396" s="189" t="s">
        <v>5921</v>
      </c>
    </row>
    <row r="397" spans="1:103" ht="11.25" customHeight="1" x14ac:dyDescent="0.2">
      <c r="A397" s="72">
        <v>696</v>
      </c>
      <c r="B397" s="183">
        <v>928</v>
      </c>
      <c r="C397" s="133" t="s">
        <v>6927</v>
      </c>
      <c r="D397" s="133"/>
      <c r="E397" s="134"/>
      <c r="F397" s="134" t="s">
        <v>2648</v>
      </c>
      <c r="G397" s="184">
        <v>825643570</v>
      </c>
      <c r="H397" s="138" t="s">
        <v>2649</v>
      </c>
      <c r="I397" s="138" t="s">
        <v>7855</v>
      </c>
      <c r="J397" s="138" t="s">
        <v>2650</v>
      </c>
      <c r="K397" s="138" t="s">
        <v>1473</v>
      </c>
      <c r="L397" s="138"/>
      <c r="M397" s="138"/>
      <c r="N397" s="138"/>
      <c r="O397" s="138"/>
      <c r="P397" s="138"/>
      <c r="Q397" s="138"/>
      <c r="R397" s="138"/>
      <c r="S397" s="138"/>
      <c r="T397" s="135">
        <v>401.41</v>
      </c>
      <c r="U397" s="185"/>
      <c r="V397" s="185">
        <v>1.377E-3</v>
      </c>
      <c r="W397" s="185">
        <v>2.9079583873370202E-2</v>
      </c>
      <c r="X397" s="185">
        <v>2.9079583873370202E-2</v>
      </c>
      <c r="Y397" s="204">
        <v>7</v>
      </c>
      <c r="Z397" s="135">
        <v>6.12</v>
      </c>
      <c r="AA397" s="135"/>
      <c r="AB397" s="135">
        <v>4.88</v>
      </c>
      <c r="AC397" s="135">
        <v>0.74260000000000004</v>
      </c>
      <c r="AD397" s="135">
        <v>4.75</v>
      </c>
      <c r="AE397" s="135">
        <v>4.3899999999999997</v>
      </c>
      <c r="AF397" s="135">
        <f t="shared" si="108"/>
        <v>4.75</v>
      </c>
      <c r="AG397" s="136">
        <v>5.4</v>
      </c>
      <c r="AH397" s="185">
        <v>7.7500000000000002E-17</v>
      </c>
      <c r="AI397" s="185"/>
      <c r="AJ397" s="136">
        <f t="shared" si="110"/>
        <v>-14.499264623806342</v>
      </c>
      <c r="AK397" s="136"/>
      <c r="AL397" s="136">
        <f t="shared" si="111"/>
        <v>-14.499264623806342</v>
      </c>
      <c r="AM397" s="136">
        <v>-22.015399999999996</v>
      </c>
      <c r="AN397" s="186">
        <v>-17.100000000000001</v>
      </c>
      <c r="AO397" s="481">
        <v>13.57</v>
      </c>
      <c r="AP397" s="481">
        <v>-1.56</v>
      </c>
      <c r="AQ397" s="135" t="s">
        <v>6311</v>
      </c>
      <c r="AR397" s="135" t="s">
        <v>6311</v>
      </c>
      <c r="AS397" s="190"/>
      <c r="AT397" s="137" t="s">
        <v>266</v>
      </c>
      <c r="AU397" s="135">
        <v>6</v>
      </c>
      <c r="AV397" s="135">
        <v>120</v>
      </c>
      <c r="AW397" s="135">
        <v>114</v>
      </c>
      <c r="AX397" s="135">
        <v>28</v>
      </c>
      <c r="AY397" s="135" t="s">
        <v>8728</v>
      </c>
      <c r="AZ397" s="135" t="s">
        <v>1563</v>
      </c>
      <c r="BA397" s="135">
        <v>32</v>
      </c>
      <c r="BB397" s="138" t="s">
        <v>2485</v>
      </c>
      <c r="BC397" s="458" t="s">
        <v>8726</v>
      </c>
      <c r="BD397" s="138" t="s">
        <v>8374</v>
      </c>
      <c r="BE397" s="135" t="s">
        <v>2449</v>
      </c>
      <c r="BF397" s="135" t="s">
        <v>272</v>
      </c>
      <c r="BG397" s="135" t="s">
        <v>272</v>
      </c>
      <c r="BH397" s="135" t="s">
        <v>2486</v>
      </c>
      <c r="BI397" s="185">
        <v>2.569024E-3</v>
      </c>
      <c r="BJ397" s="185">
        <v>25.690240000000003</v>
      </c>
      <c r="BK397" s="135"/>
      <c r="BL397" s="485">
        <v>6.5768235077202128E-2</v>
      </c>
      <c r="BM397" s="138" t="s">
        <v>2487</v>
      </c>
      <c r="BN397" s="135"/>
      <c r="BO397" s="135"/>
      <c r="BP397" s="135"/>
      <c r="BQ397" s="135"/>
      <c r="BR397" s="138" t="e">
        <v>#VALUE!</v>
      </c>
      <c r="BS397" s="135"/>
      <c r="BT397" s="135"/>
      <c r="BU397" s="135">
        <v>2.0873320000000003E-3</v>
      </c>
      <c r="BV397" s="135"/>
      <c r="BW397" s="135"/>
      <c r="BX397" s="135"/>
      <c r="BY397" s="135"/>
      <c r="BZ397" s="135"/>
      <c r="CA397" s="135"/>
      <c r="CB397" s="135"/>
      <c r="CC397" s="135"/>
      <c r="CD397" s="135"/>
      <c r="CE397" s="135"/>
      <c r="CF397" s="135"/>
      <c r="CG397" s="135"/>
      <c r="CH397" s="135"/>
      <c r="CI397" s="185"/>
      <c r="CJ397" s="187"/>
      <c r="CK397" s="136">
        <f t="shared" si="100"/>
        <v>2.5600475152120854E-3</v>
      </c>
      <c r="CL397" s="188"/>
      <c r="CM397" s="188"/>
      <c r="CN397" s="188"/>
      <c r="CO397" s="138" t="s">
        <v>2488</v>
      </c>
      <c r="CP397" s="189" t="s">
        <v>2489</v>
      </c>
      <c r="CQ397" s="191" t="s">
        <v>272</v>
      </c>
      <c r="CR397" s="191"/>
      <c r="CS397" s="135" t="s">
        <v>539</v>
      </c>
      <c r="CT397" s="135"/>
      <c r="CU397" s="135"/>
      <c r="CV397" s="332">
        <f t="shared" si="101"/>
        <v>1.1319311876171727E-3</v>
      </c>
      <c r="CW397" s="329">
        <f t="shared" si="107"/>
        <v>0</v>
      </c>
      <c r="CX397" s="329"/>
      <c r="CY397" s="189" t="s">
        <v>5921</v>
      </c>
    </row>
    <row r="398" spans="1:103" ht="11.25" customHeight="1" x14ac:dyDescent="0.2">
      <c r="A398" s="72">
        <v>697</v>
      </c>
      <c r="B398" s="183">
        <v>1342</v>
      </c>
      <c r="C398" s="133" t="s">
        <v>6928</v>
      </c>
      <c r="D398" s="133"/>
      <c r="E398" s="134"/>
      <c r="F398" s="134" t="s">
        <v>4154</v>
      </c>
      <c r="G398" s="184">
        <v>862243296</v>
      </c>
      <c r="H398" s="138" t="s">
        <v>4155</v>
      </c>
      <c r="I398" s="138" t="s">
        <v>7831</v>
      </c>
      <c r="J398" s="138" t="s">
        <v>4156</v>
      </c>
      <c r="K398" s="138" t="s">
        <v>371</v>
      </c>
      <c r="L398" s="138"/>
      <c r="M398" s="138"/>
      <c r="N398" s="138"/>
      <c r="O398" s="138"/>
      <c r="P398" s="138"/>
      <c r="Q398" s="138"/>
      <c r="R398" s="138"/>
      <c r="S398" s="138"/>
      <c r="T398" s="135">
        <v>505.25</v>
      </c>
      <c r="U398" s="185"/>
      <c r="V398" s="185">
        <v>3.1220000000000002E-3</v>
      </c>
      <c r="W398" s="185">
        <v>8.0076728549097744</v>
      </c>
      <c r="X398" s="185">
        <v>8.0076728549097744</v>
      </c>
      <c r="Y398" s="204">
        <v>4.8</v>
      </c>
      <c r="Z398" s="135">
        <v>6.7</v>
      </c>
      <c r="AA398" s="135"/>
      <c r="AB398" s="135">
        <v>4.8499999999999996</v>
      </c>
      <c r="AC398" s="135">
        <v>0.62639999999999996</v>
      </c>
      <c r="AD398" s="135">
        <v>4.9800000000000004</v>
      </c>
      <c r="AE398" s="135">
        <v>5.33</v>
      </c>
      <c r="AF398" s="135">
        <f t="shared" si="108"/>
        <v>4.9800000000000004</v>
      </c>
      <c r="AG398" s="136">
        <v>5.31</v>
      </c>
      <c r="AH398" s="185">
        <v>1.9700000000000001E-22</v>
      </c>
      <c r="AI398" s="185"/>
      <c r="AJ398" s="136">
        <f t="shared" si="110"/>
        <v>-20.09410010015106</v>
      </c>
      <c r="AK398" s="136"/>
      <c r="AL398" s="136">
        <f t="shared" si="111"/>
        <v>-20.09410010015106</v>
      </c>
      <c r="AM398" s="136">
        <v>-28.152249999999999</v>
      </c>
      <c r="AN398" s="186">
        <v>-12.4</v>
      </c>
      <c r="AO398" s="481">
        <v>3.33</v>
      </c>
      <c r="AP398" s="481">
        <v>-5</v>
      </c>
      <c r="AQ398" s="135" t="s">
        <v>6311</v>
      </c>
      <c r="AR398" s="135" t="s">
        <v>6311</v>
      </c>
      <c r="AS398" s="190"/>
      <c r="AT398" s="137" t="s">
        <v>266</v>
      </c>
      <c r="AU398" s="135">
        <v>6</v>
      </c>
      <c r="AV398" s="135">
        <v>120</v>
      </c>
      <c r="AW398" s="135">
        <v>114</v>
      </c>
      <c r="AX398" s="135">
        <v>28</v>
      </c>
      <c r="AY398" s="135" t="s">
        <v>8728</v>
      </c>
      <c r="AZ398" s="135" t="s">
        <v>1563</v>
      </c>
      <c r="BA398" s="135">
        <v>32</v>
      </c>
      <c r="BB398" s="138" t="s">
        <v>2485</v>
      </c>
      <c r="BC398" s="458" t="s">
        <v>8726</v>
      </c>
      <c r="BD398" s="138" t="s">
        <v>8374</v>
      </c>
      <c r="BE398" s="135" t="s">
        <v>2449</v>
      </c>
      <c r="BF398" s="135" t="s">
        <v>272</v>
      </c>
      <c r="BG398" s="135" t="s">
        <v>272</v>
      </c>
      <c r="BH398" s="135" t="s">
        <v>2486</v>
      </c>
      <c r="BI398" s="185">
        <v>3.2335999999999997E-3</v>
      </c>
      <c r="BJ398" s="185">
        <v>32.335999999999999</v>
      </c>
      <c r="BK398" s="135"/>
      <c r="BL398" s="485">
        <v>2.494803370915967E-2</v>
      </c>
      <c r="BM398" s="138" t="s">
        <v>2487</v>
      </c>
      <c r="BN398" s="135"/>
      <c r="BO398" s="135"/>
      <c r="BP398" s="135"/>
      <c r="BQ398" s="135"/>
      <c r="BR398" s="138" t="e">
        <v>#VALUE!</v>
      </c>
      <c r="BS398" s="135"/>
      <c r="BT398" s="135"/>
      <c r="BU398" s="135"/>
      <c r="BV398" s="135"/>
      <c r="BW398" s="135"/>
      <c r="BX398" s="135"/>
      <c r="BY398" s="135"/>
      <c r="BZ398" s="135"/>
      <c r="CA398" s="135"/>
      <c r="CB398" s="135"/>
      <c r="CC398" s="135"/>
      <c r="CD398" s="135"/>
      <c r="CE398" s="135"/>
      <c r="CF398" s="135"/>
      <c r="CG398" s="135"/>
      <c r="CH398" s="135"/>
      <c r="CI398" s="185"/>
      <c r="CJ398" s="187"/>
      <c r="CK398" s="136">
        <f t="shared" si="100"/>
        <v>7.7152504048613529E-4</v>
      </c>
      <c r="CL398" s="188"/>
      <c r="CM398" s="188"/>
      <c r="CN398" s="188"/>
      <c r="CO398" s="138" t="s">
        <v>2488</v>
      </c>
      <c r="CP398" s="189" t="s">
        <v>2489</v>
      </c>
      <c r="CQ398" s="191" t="s">
        <v>272</v>
      </c>
      <c r="CR398" s="191"/>
      <c r="CS398" s="135" t="s">
        <v>539</v>
      </c>
      <c r="CT398" s="135"/>
      <c r="CU398" s="135"/>
      <c r="CV398" s="332">
        <f t="shared" si="101"/>
        <v>0.24763956132204895</v>
      </c>
      <c r="CW398" s="329">
        <f t="shared" si="107"/>
        <v>0</v>
      </c>
      <c r="CX398" s="329"/>
      <c r="CY398" s="189" t="s">
        <v>5921</v>
      </c>
    </row>
    <row r="399" spans="1:103" ht="11.25" customHeight="1" x14ac:dyDescent="0.2">
      <c r="A399" s="72">
        <v>698</v>
      </c>
      <c r="B399" s="183">
        <v>1770</v>
      </c>
      <c r="C399" s="133" t="s">
        <v>6929</v>
      </c>
      <c r="D399" s="133"/>
      <c r="E399" s="134"/>
      <c r="F399" s="134" t="s">
        <v>5101</v>
      </c>
      <c r="G399" s="184">
        <v>864283487</v>
      </c>
      <c r="H399" s="138" t="s">
        <v>5102</v>
      </c>
      <c r="I399" s="138" t="s">
        <v>7751</v>
      </c>
      <c r="J399" s="138" t="s">
        <v>5103</v>
      </c>
      <c r="K399" s="138" t="s">
        <v>357</v>
      </c>
      <c r="L399" s="140"/>
      <c r="M399" s="138"/>
      <c r="N399" s="138"/>
      <c r="O399" s="138"/>
      <c r="P399" s="138"/>
      <c r="Q399" s="138" t="s">
        <v>6173</v>
      </c>
      <c r="R399" s="138" t="s">
        <v>6175</v>
      </c>
      <c r="S399" s="138" t="s">
        <v>6176</v>
      </c>
      <c r="T399" s="135">
        <v>342.51</v>
      </c>
      <c r="U399" s="185"/>
      <c r="V399" s="185">
        <v>4.1669999999999997E-3</v>
      </c>
      <c r="W399" s="185">
        <v>1.4278193253242459</v>
      </c>
      <c r="X399" s="185">
        <v>1.4278193253242459</v>
      </c>
      <c r="Y399" s="204">
        <v>7</v>
      </c>
      <c r="Z399" s="135">
        <v>7.28</v>
      </c>
      <c r="AA399" s="135"/>
      <c r="AB399" s="135">
        <v>7.24</v>
      </c>
      <c r="AC399" s="135">
        <v>0.73570000000000002</v>
      </c>
      <c r="AD399" s="135">
        <v>7.38</v>
      </c>
      <c r="AE399" s="135">
        <v>7.64</v>
      </c>
      <c r="AF399" s="135">
        <f t="shared" si="108"/>
        <v>7.38</v>
      </c>
      <c r="AG399" s="136">
        <v>6</v>
      </c>
      <c r="AH399" s="185">
        <v>2.9300000000000001E-5</v>
      </c>
      <c r="AI399" s="185"/>
      <c r="AJ399" s="136">
        <f t="shared" si="110"/>
        <v>-2.9216987059585424</v>
      </c>
      <c r="AK399" s="136"/>
      <c r="AL399" s="136">
        <f t="shared" si="111"/>
        <v>-2.9216987059585424</v>
      </c>
      <c r="AM399" s="136">
        <v>-7.5437200000000004</v>
      </c>
      <c r="AN399" s="186">
        <v>-3.3</v>
      </c>
      <c r="AO399" s="481"/>
      <c r="AP399" s="481"/>
      <c r="AQ399" s="186" t="s">
        <v>6311</v>
      </c>
      <c r="AR399" s="186" t="s">
        <v>6312</v>
      </c>
      <c r="AS399" s="183"/>
      <c r="AT399" s="137" t="s">
        <v>266</v>
      </c>
      <c r="AU399" s="135">
        <v>6</v>
      </c>
      <c r="AV399" s="135">
        <v>120</v>
      </c>
      <c r="AW399" s="135">
        <v>114</v>
      </c>
      <c r="AX399" s="135">
        <v>28</v>
      </c>
      <c r="AY399" s="135" t="s">
        <v>8728</v>
      </c>
      <c r="AZ399" s="135" t="s">
        <v>1563</v>
      </c>
      <c r="BA399" s="135">
        <v>32</v>
      </c>
      <c r="BB399" s="138" t="s">
        <v>2485</v>
      </c>
      <c r="BC399" s="458" t="s">
        <v>8726</v>
      </c>
      <c r="BD399" s="138" t="s">
        <v>8374</v>
      </c>
      <c r="BE399" s="135" t="s">
        <v>2449</v>
      </c>
      <c r="BF399" s="135" t="s">
        <v>272</v>
      </c>
      <c r="BG399" s="135" t="s">
        <v>272</v>
      </c>
      <c r="BH399" s="135" t="s">
        <v>2486</v>
      </c>
      <c r="BI399" s="185">
        <v>2.1920639999999996E-3</v>
      </c>
      <c r="BJ399" s="185">
        <v>21.920639999999999</v>
      </c>
      <c r="BK399" s="135"/>
      <c r="BL399" s="485">
        <v>5.0968899405668079E-3</v>
      </c>
      <c r="BM399" s="138" t="s">
        <v>2487</v>
      </c>
      <c r="BN399" s="135"/>
      <c r="BO399" s="135"/>
      <c r="BP399" s="135"/>
      <c r="BQ399" s="135"/>
      <c r="BR399" s="138" t="e">
        <v>#VALUE!</v>
      </c>
      <c r="BS399" s="135"/>
      <c r="BT399" s="135"/>
      <c r="BU399" s="135"/>
      <c r="BV399" s="135"/>
      <c r="BW399" s="135"/>
      <c r="BX399" s="135"/>
      <c r="BY399" s="135"/>
      <c r="BZ399" s="135"/>
      <c r="CA399" s="135"/>
      <c r="CB399" s="135"/>
      <c r="CC399" s="135"/>
      <c r="CD399" s="135"/>
      <c r="CE399" s="135"/>
      <c r="CF399" s="135"/>
      <c r="CG399" s="135"/>
      <c r="CH399" s="135"/>
      <c r="CI399" s="185"/>
      <c r="CJ399" s="187"/>
      <c r="CK399" s="136">
        <f t="shared" si="100"/>
        <v>2.3251556252768205E-4</v>
      </c>
      <c r="CL399" s="188"/>
      <c r="CM399" s="188"/>
      <c r="CN399" s="188"/>
      <c r="CO399" s="138" t="s">
        <v>2488</v>
      </c>
      <c r="CP399" s="189" t="s">
        <v>2489</v>
      </c>
      <c r="CQ399" s="191" t="s">
        <v>272</v>
      </c>
      <c r="CR399" s="191"/>
      <c r="CS399" s="135" t="s">
        <v>539</v>
      </c>
      <c r="CT399" s="135"/>
      <c r="CU399" s="135"/>
      <c r="CV399" s="332">
        <f t="shared" si="101"/>
        <v>6.5135841167239916E-2</v>
      </c>
      <c r="CW399" s="329">
        <f t="shared" si="107"/>
        <v>0</v>
      </c>
      <c r="CX399" s="329"/>
      <c r="CY399" s="189" t="s">
        <v>5921</v>
      </c>
    </row>
    <row r="400" spans="1:103" ht="11.25" customHeight="1" x14ac:dyDescent="0.2">
      <c r="A400" s="72">
        <v>699</v>
      </c>
      <c r="B400" s="183">
        <v>1275</v>
      </c>
      <c r="C400" s="133" t="s">
        <v>6930</v>
      </c>
      <c r="D400" s="133"/>
      <c r="E400" s="134"/>
      <c r="F400" s="134" t="s">
        <v>3506</v>
      </c>
      <c r="G400" s="184">
        <v>1061517621</v>
      </c>
      <c r="H400" s="138" t="s">
        <v>3507</v>
      </c>
      <c r="I400" s="138" t="s">
        <v>7830</v>
      </c>
      <c r="J400" s="138" t="s">
        <v>3508</v>
      </c>
      <c r="K400" s="138" t="s">
        <v>357</v>
      </c>
      <c r="L400" s="138"/>
      <c r="M400" s="138"/>
      <c r="N400" s="138"/>
      <c r="O400" s="138"/>
      <c r="P400" s="138"/>
      <c r="Q400" s="138"/>
      <c r="R400" s="138"/>
      <c r="S400" s="138"/>
      <c r="T400" s="135">
        <v>588.86</v>
      </c>
      <c r="U400" s="185"/>
      <c r="V400" s="185"/>
      <c r="W400" s="185">
        <v>1.8197513683899504E-4</v>
      </c>
      <c r="X400" s="185">
        <v>1.8197513683899504E-4</v>
      </c>
      <c r="Y400" s="204">
        <v>7</v>
      </c>
      <c r="Z400" s="135"/>
      <c r="AA400" s="135"/>
      <c r="AB400" s="135">
        <v>10.029999999999999</v>
      </c>
      <c r="AC400" s="135">
        <v>0.5615</v>
      </c>
      <c r="AD400" s="135">
        <v>12.15</v>
      </c>
      <c r="AE400" s="135">
        <v>14.39</v>
      </c>
      <c r="AF400" s="135">
        <f t="shared" si="108"/>
        <v>12.15</v>
      </c>
      <c r="AG400" s="136">
        <v>11.35</v>
      </c>
      <c r="AH400" s="185">
        <v>1.2899999999999999E-6</v>
      </c>
      <c r="AI400" s="185"/>
      <c r="AJ400" s="136">
        <f t="shared" si="110"/>
        <v>-4.2779766160134027</v>
      </c>
      <c r="AK400" s="136"/>
      <c r="AL400" s="136">
        <f t="shared" si="111"/>
        <v>-4.2779766160134027</v>
      </c>
      <c r="AM400" s="136">
        <v>-14.47678</v>
      </c>
      <c r="AN400" s="186">
        <v>-4.7300000000000004</v>
      </c>
      <c r="AO400" s="481"/>
      <c r="AP400" s="481"/>
      <c r="AQ400" s="135" t="s">
        <v>6311</v>
      </c>
      <c r="AR400" s="135" t="s">
        <v>6312</v>
      </c>
      <c r="AS400" s="190"/>
      <c r="AT400" s="137" t="s">
        <v>266</v>
      </c>
      <c r="AU400" s="135">
        <v>6</v>
      </c>
      <c r="AV400" s="135">
        <v>120</v>
      </c>
      <c r="AW400" s="135">
        <v>114</v>
      </c>
      <c r="AX400" s="135">
        <v>28</v>
      </c>
      <c r="AY400" s="135" t="s">
        <v>8728</v>
      </c>
      <c r="AZ400" s="135" t="s">
        <v>1563</v>
      </c>
      <c r="BA400" s="135">
        <v>32</v>
      </c>
      <c r="BB400" s="138" t="s">
        <v>2485</v>
      </c>
      <c r="BC400" s="458" t="s">
        <v>8726</v>
      </c>
      <c r="BD400" s="138" t="s">
        <v>8374</v>
      </c>
      <c r="BE400" s="135" t="s">
        <v>2449</v>
      </c>
      <c r="BF400" s="135" t="s">
        <v>272</v>
      </c>
      <c r="BG400" s="135" t="s">
        <v>272</v>
      </c>
      <c r="BH400" s="135" t="s">
        <v>2486</v>
      </c>
      <c r="BI400" s="185">
        <v>3.7687039999999999E-3</v>
      </c>
      <c r="BJ400" s="185">
        <v>37.687040000000003</v>
      </c>
      <c r="BK400" s="135"/>
      <c r="BL400" s="485"/>
      <c r="BM400" s="138" t="s">
        <v>2487</v>
      </c>
      <c r="BN400" s="135"/>
      <c r="BO400" s="135"/>
      <c r="BP400" s="135"/>
      <c r="BQ400" s="135"/>
      <c r="BR400" s="138" t="e">
        <v>#VALUE!</v>
      </c>
      <c r="BS400" s="135"/>
      <c r="BT400" s="135"/>
      <c r="BU400" s="135">
        <v>0.37687040000000005</v>
      </c>
      <c r="BV400" s="135"/>
      <c r="BW400" s="135"/>
      <c r="BX400" s="135"/>
      <c r="BY400" s="135"/>
      <c r="BZ400" s="135"/>
      <c r="CA400" s="135"/>
      <c r="CB400" s="135"/>
      <c r="CC400" s="135"/>
      <c r="CD400" s="135"/>
      <c r="CE400" s="135"/>
      <c r="CF400" s="135"/>
      <c r="CG400" s="135"/>
      <c r="CH400" s="135"/>
      <c r="CI400" s="185"/>
      <c r="CJ400" s="187"/>
      <c r="CK400" s="136">
        <f t="shared" si="100"/>
        <v>0</v>
      </c>
      <c r="CL400" s="188"/>
      <c r="CM400" s="188"/>
      <c r="CN400" s="188"/>
      <c r="CO400" s="138" t="s">
        <v>2488</v>
      </c>
      <c r="CP400" s="189" t="s">
        <v>2489</v>
      </c>
      <c r="CQ400" s="191" t="s">
        <v>272</v>
      </c>
      <c r="CR400" s="191"/>
      <c r="CS400" s="135" t="s">
        <v>539</v>
      </c>
      <c r="CT400" s="135"/>
      <c r="CU400" s="135"/>
      <c r="CV400" s="332">
        <f t="shared" si="101"/>
        <v>4.8285866133024783E-6</v>
      </c>
      <c r="CW400" s="329">
        <f t="shared" si="107"/>
        <v>0</v>
      </c>
      <c r="CX400" s="329"/>
      <c r="CY400" s="189" t="s">
        <v>5921</v>
      </c>
    </row>
    <row r="401" spans="1:103" ht="11.25" customHeight="1" x14ac:dyDescent="0.2">
      <c r="A401" s="72">
        <v>700</v>
      </c>
      <c r="B401" s="183">
        <v>1473</v>
      </c>
      <c r="C401" s="133" t="s">
        <v>6931</v>
      </c>
      <c r="D401" s="133"/>
      <c r="E401" s="134"/>
      <c r="F401" s="183" t="s">
        <v>6391</v>
      </c>
      <c r="G401" s="183" t="s">
        <v>6391</v>
      </c>
      <c r="H401" s="138" t="s">
        <v>4524</v>
      </c>
      <c r="I401" s="138" t="s">
        <v>7763</v>
      </c>
      <c r="J401" s="138" t="s">
        <v>4525</v>
      </c>
      <c r="K401" s="138" t="s">
        <v>376</v>
      </c>
      <c r="L401" s="138"/>
      <c r="M401" s="138"/>
      <c r="N401" s="138"/>
      <c r="O401" s="138"/>
      <c r="P401" s="138"/>
      <c r="Q401" s="138"/>
      <c r="R401" s="138"/>
      <c r="S401" s="138"/>
      <c r="T401" s="135">
        <v>306.36</v>
      </c>
      <c r="U401" s="185"/>
      <c r="V401" s="185">
        <v>7.7949999999999999</v>
      </c>
      <c r="W401" s="185">
        <v>45.313964579921169</v>
      </c>
      <c r="X401" s="185">
        <v>45.313964579921169</v>
      </c>
      <c r="Y401" s="204">
        <v>6.81</v>
      </c>
      <c r="Z401" s="135">
        <v>4.38</v>
      </c>
      <c r="AA401" s="135"/>
      <c r="AB401" s="135">
        <v>3.98</v>
      </c>
      <c r="AC401" s="135">
        <v>0.65090000000000003</v>
      </c>
      <c r="AD401" s="135">
        <v>3.92</v>
      </c>
      <c r="AE401" s="135">
        <v>3.83</v>
      </c>
      <c r="AF401" s="135">
        <f t="shared" si="108"/>
        <v>3.92</v>
      </c>
      <c r="AG401" s="136">
        <v>4.5599999999999996</v>
      </c>
      <c r="AH401" s="185">
        <v>5.8000000000000006E-17</v>
      </c>
      <c r="AI401" s="185"/>
      <c r="AJ401" s="136">
        <f t="shared" si="110"/>
        <v>-14.625138332749714</v>
      </c>
      <c r="AK401" s="136"/>
      <c r="AL401" s="136">
        <f t="shared" si="111"/>
        <v>-14.625138332749714</v>
      </c>
      <c r="AM401" s="136">
        <v>-20.567339999999998</v>
      </c>
      <c r="AN401" s="186">
        <v>-16.2</v>
      </c>
      <c r="AO401" s="481">
        <v>10.02</v>
      </c>
      <c r="AP401" s="481"/>
      <c r="AQ401" s="135" t="s">
        <v>5921</v>
      </c>
      <c r="AR401" s="135" t="s">
        <v>5921</v>
      </c>
      <c r="AS401" s="190"/>
      <c r="AT401" s="137" t="s">
        <v>266</v>
      </c>
      <c r="AU401" s="135">
        <v>6</v>
      </c>
      <c r="AV401" s="135">
        <v>120</v>
      </c>
      <c r="AW401" s="135">
        <v>114</v>
      </c>
      <c r="AX401" s="135">
        <v>28</v>
      </c>
      <c r="AY401" s="135" t="s">
        <v>8728</v>
      </c>
      <c r="AZ401" s="135" t="s">
        <v>1563</v>
      </c>
      <c r="BA401" s="135">
        <v>32</v>
      </c>
      <c r="BB401" s="138" t="s">
        <v>2485</v>
      </c>
      <c r="BC401" s="458" t="s">
        <v>8726</v>
      </c>
      <c r="BD401" s="138" t="s">
        <v>8374</v>
      </c>
      <c r="BE401" s="135" t="s">
        <v>2449</v>
      </c>
      <c r="BF401" s="135" t="s">
        <v>272</v>
      </c>
      <c r="BG401" s="135" t="s">
        <v>272</v>
      </c>
      <c r="BH401" s="135" t="s">
        <v>2486</v>
      </c>
      <c r="BI401" s="185">
        <v>1.9607040000000002E-3</v>
      </c>
      <c r="BJ401" s="185">
        <v>19.607040000000001</v>
      </c>
      <c r="BK401" s="135"/>
      <c r="BL401" s="485">
        <v>1.8338088353857849</v>
      </c>
      <c r="BM401" s="138" t="s">
        <v>2487</v>
      </c>
      <c r="BN401" s="135"/>
      <c r="BO401" s="135"/>
      <c r="BP401" s="135"/>
      <c r="BQ401" s="135"/>
      <c r="BR401" s="138" t="e">
        <v>#VALUE!</v>
      </c>
      <c r="BS401" s="135"/>
      <c r="BT401" s="135"/>
      <c r="BU401" s="135"/>
      <c r="BV401" s="135"/>
      <c r="BW401" s="135"/>
      <c r="BX401" s="135"/>
      <c r="BY401" s="135"/>
      <c r="BZ401" s="135"/>
      <c r="CA401" s="135"/>
      <c r="CB401" s="135"/>
      <c r="CC401" s="135"/>
      <c r="CD401" s="135"/>
      <c r="CE401" s="135"/>
      <c r="CF401" s="135"/>
      <c r="CG401" s="135"/>
      <c r="CH401" s="135"/>
      <c r="CI401" s="185"/>
      <c r="CJ401" s="187"/>
      <c r="CK401" s="136">
        <f t="shared" si="100"/>
        <v>9.3528081514893877E-2</v>
      </c>
      <c r="CL401" s="188"/>
      <c r="CM401" s="188"/>
      <c r="CN401" s="188"/>
      <c r="CO401" s="138" t="s">
        <v>2488</v>
      </c>
      <c r="CP401" s="189" t="s">
        <v>2489</v>
      </c>
      <c r="CQ401" s="191" t="s">
        <v>272</v>
      </c>
      <c r="CR401" s="191"/>
      <c r="CS401" s="135" t="s">
        <v>539</v>
      </c>
      <c r="CT401" s="135"/>
      <c r="CU401" s="135"/>
      <c r="CV401" s="332">
        <f t="shared" si="101"/>
        <v>2.3111068565128221</v>
      </c>
      <c r="CW401" s="329">
        <f t="shared" si="107"/>
        <v>1</v>
      </c>
      <c r="CX401" s="329"/>
      <c r="CY401" s="189" t="s">
        <v>5921</v>
      </c>
    </row>
    <row r="402" spans="1:103" ht="11.25" customHeight="1" x14ac:dyDescent="0.2">
      <c r="A402" s="72">
        <v>702</v>
      </c>
      <c r="B402" s="183">
        <v>1451</v>
      </c>
      <c r="C402" s="133" t="s">
        <v>6933</v>
      </c>
      <c r="D402" s="133"/>
      <c r="E402" s="134"/>
      <c r="F402" s="134" t="s">
        <v>4462</v>
      </c>
      <c r="G402" s="184" t="s">
        <v>4462</v>
      </c>
      <c r="H402" s="138" t="s">
        <v>4463</v>
      </c>
      <c r="I402" s="138" t="s">
        <v>7850</v>
      </c>
      <c r="J402" s="138" t="s">
        <v>2204</v>
      </c>
      <c r="K402" s="138" t="s">
        <v>2507</v>
      </c>
      <c r="L402" s="138"/>
      <c r="M402" s="138"/>
      <c r="N402" s="138"/>
      <c r="O402" s="138"/>
      <c r="P402" s="138"/>
      <c r="Q402" s="138"/>
      <c r="R402" s="138"/>
      <c r="S402" s="138"/>
      <c r="T402" s="135">
        <v>696.25</v>
      </c>
      <c r="U402" s="185"/>
      <c r="V402" s="185">
        <v>4.5059999999999999E-5</v>
      </c>
      <c r="W402" s="185">
        <v>6.6491358801742475</v>
      </c>
      <c r="X402" s="185">
        <v>6.6491358801742475</v>
      </c>
      <c r="Y402" s="204">
        <v>7.96</v>
      </c>
      <c r="Z402" s="135">
        <v>6.93</v>
      </c>
      <c r="AA402" s="135"/>
      <c r="AB402" s="135">
        <v>4.9400000000000004</v>
      </c>
      <c r="AC402" s="135">
        <v>0.33689999999999998</v>
      </c>
      <c r="AD402" s="135">
        <v>5.61</v>
      </c>
      <c r="AE402" s="135">
        <v>6.06</v>
      </c>
      <c r="AF402" s="135">
        <f t="shared" si="108"/>
        <v>5.61</v>
      </c>
      <c r="AG402" s="136">
        <v>5.61</v>
      </c>
      <c r="AH402" s="185">
        <v>1.27E-20</v>
      </c>
      <c r="AI402" s="185"/>
      <c r="AJ402" s="136">
        <f t="shared" si="110"/>
        <v>-18.284762605356693</v>
      </c>
      <c r="AK402" s="136"/>
      <c r="AL402" s="136">
        <f t="shared" si="111"/>
        <v>-18.284762605356693</v>
      </c>
      <c r="AM402" s="136">
        <v>-33.133949999999999</v>
      </c>
      <c r="AN402" s="186"/>
      <c r="AO402" s="481">
        <v>10.53</v>
      </c>
      <c r="AP402" s="481">
        <v>10.62</v>
      </c>
      <c r="AQ402" s="135" t="s">
        <v>5921</v>
      </c>
      <c r="AR402" s="135" t="s">
        <v>5921</v>
      </c>
      <c r="AS402" s="190"/>
      <c r="AT402" s="137" t="s">
        <v>266</v>
      </c>
      <c r="AU402" s="135">
        <v>6</v>
      </c>
      <c r="AV402" s="135">
        <v>120</v>
      </c>
      <c r="AW402" s="135">
        <v>114</v>
      </c>
      <c r="AX402" s="135">
        <v>28</v>
      </c>
      <c r="AY402" s="135" t="s">
        <v>8728</v>
      </c>
      <c r="AZ402" s="135" t="s">
        <v>1563</v>
      </c>
      <c r="BA402" s="135">
        <v>32</v>
      </c>
      <c r="BB402" s="138" t="s">
        <v>2485</v>
      </c>
      <c r="BC402" s="458" t="s">
        <v>8726</v>
      </c>
      <c r="BD402" s="138" t="s">
        <v>8374</v>
      </c>
      <c r="BE402" s="135" t="s">
        <v>2449</v>
      </c>
      <c r="BF402" s="135" t="s">
        <v>272</v>
      </c>
      <c r="BG402" s="135" t="s">
        <v>272</v>
      </c>
      <c r="BH402" s="135" t="s">
        <v>2486</v>
      </c>
      <c r="BI402" s="185">
        <v>4.4559999999999999E-3</v>
      </c>
      <c r="BJ402" s="185">
        <v>44.56</v>
      </c>
      <c r="BK402" s="135"/>
      <c r="BL402" s="485">
        <v>2.1366441996811945E-2</v>
      </c>
      <c r="BM402" s="138" t="s">
        <v>2487</v>
      </c>
      <c r="BN402" s="135"/>
      <c r="BO402" s="135"/>
      <c r="BP402" s="135"/>
      <c r="BQ402" s="135"/>
      <c r="BR402" s="138" t="e">
        <v>#VALUE!</v>
      </c>
      <c r="BS402" s="135"/>
      <c r="BT402" s="135"/>
      <c r="BU402" s="135"/>
      <c r="BV402" s="135"/>
      <c r="BW402" s="135"/>
      <c r="BX402" s="135"/>
      <c r="BY402" s="135"/>
      <c r="BZ402" s="135"/>
      <c r="CA402" s="135"/>
      <c r="CB402" s="135"/>
      <c r="CC402" s="135"/>
      <c r="CD402" s="135"/>
      <c r="CE402" s="135"/>
      <c r="CF402" s="135"/>
      <c r="CG402" s="135"/>
      <c r="CH402" s="135"/>
      <c r="CI402" s="185"/>
      <c r="CJ402" s="187"/>
      <c r="CK402" s="136">
        <f t="shared" si="100"/>
        <v>4.7949824947962172E-4</v>
      </c>
      <c r="CL402" s="188"/>
      <c r="CM402" s="188"/>
      <c r="CN402" s="188"/>
      <c r="CO402" s="138" t="s">
        <v>2488</v>
      </c>
      <c r="CP402" s="189" t="s">
        <v>2489</v>
      </c>
      <c r="CQ402" s="191" t="s">
        <v>272</v>
      </c>
      <c r="CR402" s="191"/>
      <c r="CS402" s="135" t="s">
        <v>539</v>
      </c>
      <c r="CT402" s="135"/>
      <c r="CU402" s="135"/>
      <c r="CV402" s="332">
        <f t="shared" si="101"/>
        <v>0.14921759156584935</v>
      </c>
      <c r="CW402" s="329">
        <f t="shared" si="107"/>
        <v>0</v>
      </c>
      <c r="CX402" s="329"/>
      <c r="CY402" s="189" t="s">
        <v>5921</v>
      </c>
    </row>
    <row r="403" spans="1:103" ht="11.25" customHeight="1" x14ac:dyDescent="0.2">
      <c r="A403" s="72">
        <v>703</v>
      </c>
      <c r="B403" s="183">
        <v>887</v>
      </c>
      <c r="C403" s="133" t="s">
        <v>6934</v>
      </c>
      <c r="D403" s="133"/>
      <c r="E403" s="134"/>
      <c r="F403" s="134" t="s">
        <v>2524</v>
      </c>
      <c r="G403" s="184" t="s">
        <v>2524</v>
      </c>
      <c r="H403" s="138" t="s">
        <v>2525</v>
      </c>
      <c r="I403" s="138" t="s">
        <v>7969</v>
      </c>
      <c r="J403" s="138" t="s">
        <v>2526</v>
      </c>
      <c r="K403" s="138"/>
      <c r="L403" s="138"/>
      <c r="M403" s="138"/>
      <c r="N403" s="138"/>
      <c r="O403" s="138"/>
      <c r="P403" s="138"/>
      <c r="Q403" s="138"/>
      <c r="R403" s="138"/>
      <c r="S403" s="138"/>
      <c r="T403" s="135">
        <v>469.41</v>
      </c>
      <c r="U403" s="185"/>
      <c r="V403" s="185">
        <v>2.3069508542456648E-2</v>
      </c>
      <c r="W403" s="185">
        <v>3.7286561666192464</v>
      </c>
      <c r="X403" s="185">
        <v>3.7286561666192464</v>
      </c>
      <c r="Y403" s="204">
        <v>8.69</v>
      </c>
      <c r="Z403" s="135">
        <v>5.32</v>
      </c>
      <c r="AA403" s="135"/>
      <c r="AB403" s="135">
        <v>3.87</v>
      </c>
      <c r="AC403" s="135">
        <v>0.67279999999999995</v>
      </c>
      <c r="AD403" s="135">
        <v>4.38</v>
      </c>
      <c r="AE403" s="135">
        <v>5.35</v>
      </c>
      <c r="AF403" s="135">
        <f t="shared" si="108"/>
        <v>4.38</v>
      </c>
      <c r="AG403" s="136">
        <v>6.73</v>
      </c>
      <c r="AH403" s="185">
        <v>2.9299999999999999E-14</v>
      </c>
      <c r="AI403" s="185"/>
      <c r="AJ403" s="136">
        <f t="shared" si="110"/>
        <v>-11.921698705958542</v>
      </c>
      <c r="AK403" s="136"/>
      <c r="AL403" s="136">
        <f t="shared" si="111"/>
        <v>-11.921698705958542</v>
      </c>
      <c r="AM403" s="136">
        <v>-18.677509999999998</v>
      </c>
      <c r="AN403" s="186">
        <v>-32.6</v>
      </c>
      <c r="AO403" s="481"/>
      <c r="AP403" s="481">
        <v>9.0299999999999994</v>
      </c>
      <c r="AQ403" s="135" t="s">
        <v>5921</v>
      </c>
      <c r="AR403" s="135" t="s">
        <v>5921</v>
      </c>
      <c r="AS403" s="190"/>
      <c r="AT403" s="137" t="s">
        <v>266</v>
      </c>
      <c r="AU403" s="135">
        <v>6</v>
      </c>
      <c r="AV403" s="135">
        <v>120</v>
      </c>
      <c r="AW403" s="135">
        <v>114</v>
      </c>
      <c r="AX403" s="135">
        <v>28</v>
      </c>
      <c r="AY403" s="135" t="s">
        <v>8728</v>
      </c>
      <c r="AZ403" s="135" t="s">
        <v>1563</v>
      </c>
      <c r="BA403" s="135">
        <v>32</v>
      </c>
      <c r="BB403" s="138" t="s">
        <v>2485</v>
      </c>
      <c r="BC403" s="458" t="s">
        <v>8726</v>
      </c>
      <c r="BD403" s="138" t="s">
        <v>8374</v>
      </c>
      <c r="BE403" s="135" t="s">
        <v>2449</v>
      </c>
      <c r="BF403" s="135" t="s">
        <v>272</v>
      </c>
      <c r="BG403" s="135" t="s">
        <v>272</v>
      </c>
      <c r="BH403" s="135" t="s">
        <v>2486</v>
      </c>
      <c r="BI403" s="185">
        <v>3.0042240000000002E-3</v>
      </c>
      <c r="BJ403" s="185">
        <v>30.042240000000003</v>
      </c>
      <c r="BK403" s="135"/>
      <c r="BL403" s="485"/>
      <c r="BM403" s="138" t="s">
        <v>2487</v>
      </c>
      <c r="BN403" s="135"/>
      <c r="BO403" s="135"/>
      <c r="BP403" s="135"/>
      <c r="BQ403" s="135"/>
      <c r="BR403" s="138" t="e">
        <v>#VALUE!</v>
      </c>
      <c r="BS403" s="135"/>
      <c r="BT403" s="135"/>
      <c r="BU403" s="135">
        <v>2.8164599999999998E-4</v>
      </c>
      <c r="BV403" s="135"/>
      <c r="BW403" s="135"/>
      <c r="BX403" s="135"/>
      <c r="BY403" s="135"/>
      <c r="BZ403" s="135"/>
      <c r="CA403" s="135"/>
      <c r="CB403" s="135"/>
      <c r="CC403" s="135"/>
      <c r="CD403" s="135"/>
      <c r="CE403" s="135"/>
      <c r="CF403" s="135"/>
      <c r="CG403" s="135"/>
      <c r="CH403" s="135"/>
      <c r="CI403" s="185"/>
      <c r="CJ403" s="187"/>
      <c r="CK403" s="136">
        <f t="shared" si="100"/>
        <v>0</v>
      </c>
      <c r="CL403" s="188"/>
      <c r="CM403" s="188"/>
      <c r="CN403" s="188"/>
      <c r="CO403" s="138" t="s">
        <v>2488</v>
      </c>
      <c r="CP403" s="189" t="s">
        <v>2489</v>
      </c>
      <c r="CQ403" s="191" t="s">
        <v>272</v>
      </c>
      <c r="CR403" s="191"/>
      <c r="CS403" s="135" t="s">
        <v>539</v>
      </c>
      <c r="CT403" s="135"/>
      <c r="CU403" s="135"/>
      <c r="CV403" s="332">
        <f t="shared" si="101"/>
        <v>0.12411378667566886</v>
      </c>
      <c r="CW403" s="329">
        <f t="shared" si="107"/>
        <v>0</v>
      </c>
      <c r="CX403" s="329"/>
      <c r="CY403" s="189" t="s">
        <v>5921</v>
      </c>
    </row>
    <row r="404" spans="1:103" ht="11.25" customHeight="1" x14ac:dyDescent="0.2">
      <c r="A404" s="72">
        <v>704</v>
      </c>
      <c r="B404" s="183">
        <v>1126</v>
      </c>
      <c r="C404" s="133" t="s">
        <v>6935</v>
      </c>
      <c r="D404" s="133"/>
      <c r="E404" s="134"/>
      <c r="F404" s="134" t="s">
        <v>3145</v>
      </c>
      <c r="G404" s="184" t="s">
        <v>3145</v>
      </c>
      <c r="H404" s="138" t="s">
        <v>3146</v>
      </c>
      <c r="I404" s="138" t="s">
        <v>7970</v>
      </c>
      <c r="J404" s="138" t="s">
        <v>2658</v>
      </c>
      <c r="K404" s="138"/>
      <c r="L404" s="138"/>
      <c r="M404" s="138"/>
      <c r="N404" s="138"/>
      <c r="O404" s="138"/>
      <c r="P404" s="138"/>
      <c r="Q404" s="138"/>
      <c r="R404" s="138"/>
      <c r="S404" s="138"/>
      <c r="T404" s="135">
        <v>506.61</v>
      </c>
      <c r="U404" s="185"/>
      <c r="V404" s="185">
        <v>28.019446922742883</v>
      </c>
      <c r="W404" s="185">
        <v>2.4812684768024833</v>
      </c>
      <c r="X404" s="185">
        <v>2.4812684768024833</v>
      </c>
      <c r="Y404" s="204">
        <v>8.23</v>
      </c>
      <c r="Z404" s="186">
        <v>3.46</v>
      </c>
      <c r="AA404" s="135"/>
      <c r="AB404" s="135">
        <v>3.31</v>
      </c>
      <c r="AC404" s="135">
        <v>0.50319999999999998</v>
      </c>
      <c r="AD404" s="135">
        <v>3.49</v>
      </c>
      <c r="AE404" s="135">
        <v>3.64</v>
      </c>
      <c r="AF404" s="135">
        <f t="shared" si="108"/>
        <v>3.49</v>
      </c>
      <c r="AG404" s="136">
        <v>4.5</v>
      </c>
      <c r="AH404" s="185">
        <v>1.3099999999999999E-22</v>
      </c>
      <c r="AI404" s="185"/>
      <c r="AJ404" s="136">
        <f t="shared" si="110"/>
        <v>-20.271295030656887</v>
      </c>
      <c r="AK404" s="136"/>
      <c r="AL404" s="136">
        <f t="shared" si="111"/>
        <v>-20.271295030656887</v>
      </c>
      <c r="AM404" s="136">
        <v>-28.507390000000001</v>
      </c>
      <c r="AN404" s="186">
        <v>-12.2</v>
      </c>
      <c r="AO404" s="481">
        <v>8.48</v>
      </c>
      <c r="AP404" s="481">
        <v>9.5</v>
      </c>
      <c r="AQ404" s="135" t="s">
        <v>5921</v>
      </c>
      <c r="AR404" s="135" t="s">
        <v>5921</v>
      </c>
      <c r="AS404" s="190"/>
      <c r="AT404" s="137" t="s">
        <v>266</v>
      </c>
      <c r="AU404" s="135">
        <v>6</v>
      </c>
      <c r="AV404" s="135">
        <v>120</v>
      </c>
      <c r="AW404" s="135">
        <v>114</v>
      </c>
      <c r="AX404" s="135">
        <v>28</v>
      </c>
      <c r="AY404" s="135" t="s">
        <v>8728</v>
      </c>
      <c r="AZ404" s="135" t="s">
        <v>1563</v>
      </c>
      <c r="BA404" s="135">
        <v>32</v>
      </c>
      <c r="BB404" s="138" t="s">
        <v>2485</v>
      </c>
      <c r="BC404" s="458" t="s">
        <v>8726</v>
      </c>
      <c r="BD404" s="138" t="s">
        <v>8374</v>
      </c>
      <c r="BE404" s="135" t="s">
        <v>2449</v>
      </c>
      <c r="BF404" s="135" t="s">
        <v>272</v>
      </c>
      <c r="BG404" s="135" t="s">
        <v>272</v>
      </c>
      <c r="BH404" s="135" t="s">
        <v>2486</v>
      </c>
      <c r="BI404" s="185">
        <v>3.2423040000000001E-3</v>
      </c>
      <c r="BJ404" s="185">
        <v>32.42304</v>
      </c>
      <c r="BK404" s="135"/>
      <c r="BL404" s="485"/>
      <c r="BM404" s="138" t="s">
        <v>2487</v>
      </c>
      <c r="BN404" s="135"/>
      <c r="BO404" s="135"/>
      <c r="BP404" s="135"/>
      <c r="BQ404" s="135"/>
      <c r="BR404" s="138" t="e">
        <v>#VALUE!</v>
      </c>
      <c r="BS404" s="135"/>
      <c r="BT404" s="135"/>
      <c r="BU404" s="135">
        <v>3.0295277999999998E-2</v>
      </c>
      <c r="BV404" s="135"/>
      <c r="BW404" s="135"/>
      <c r="BX404" s="135"/>
      <c r="BY404" s="135"/>
      <c r="BZ404" s="135"/>
      <c r="CA404" s="135"/>
      <c r="CB404" s="135"/>
      <c r="CC404" s="135"/>
      <c r="CD404" s="135"/>
      <c r="CE404" s="135"/>
      <c r="CF404" s="135"/>
      <c r="CG404" s="135"/>
      <c r="CH404" s="135"/>
      <c r="CI404" s="185"/>
      <c r="CJ404" s="187"/>
      <c r="CK404" s="136">
        <f t="shared" si="100"/>
        <v>0</v>
      </c>
      <c r="CL404" s="188"/>
      <c r="CM404" s="188"/>
      <c r="CN404" s="188"/>
      <c r="CO404" s="138" t="s">
        <v>2488</v>
      </c>
      <c r="CP404" s="189" t="s">
        <v>2489</v>
      </c>
      <c r="CQ404" s="191" t="s">
        <v>272</v>
      </c>
      <c r="CR404" s="191"/>
      <c r="CS404" s="135" t="s">
        <v>539</v>
      </c>
      <c r="CT404" s="135"/>
      <c r="CU404" s="135"/>
      <c r="CV404" s="332">
        <f t="shared" si="101"/>
        <v>7.6527940526319657E-2</v>
      </c>
      <c r="CW404" s="329">
        <f t="shared" si="107"/>
        <v>0</v>
      </c>
      <c r="CX404" s="329"/>
      <c r="CY404" s="189" t="s">
        <v>5921</v>
      </c>
    </row>
    <row r="405" spans="1:103" ht="11.25" customHeight="1" x14ac:dyDescent="0.2">
      <c r="A405" s="72">
        <v>705</v>
      </c>
      <c r="B405" s="183">
        <v>1474</v>
      </c>
      <c r="C405" s="133" t="s">
        <v>6936</v>
      </c>
      <c r="D405" s="133"/>
      <c r="E405" s="134"/>
      <c r="F405" s="134" t="s">
        <v>4526</v>
      </c>
      <c r="G405" s="184" t="s">
        <v>4526</v>
      </c>
      <c r="H405" s="138" t="s">
        <v>4527</v>
      </c>
      <c r="I405" s="138" t="s">
        <v>7971</v>
      </c>
      <c r="J405" s="138" t="s">
        <v>4528</v>
      </c>
      <c r="K405" s="138"/>
      <c r="L405" s="138"/>
      <c r="M405" s="138"/>
      <c r="N405" s="138"/>
      <c r="O405" s="138"/>
      <c r="P405" s="138"/>
      <c r="Q405" s="138"/>
      <c r="R405" s="138"/>
      <c r="S405" s="138"/>
      <c r="T405" s="135">
        <v>376.36</v>
      </c>
      <c r="U405" s="185"/>
      <c r="V405" s="185">
        <v>33.92</v>
      </c>
      <c r="W405" s="185">
        <v>25.445058861852598</v>
      </c>
      <c r="X405" s="185">
        <v>25.445058861852598</v>
      </c>
      <c r="Y405" s="204">
        <v>7.1</v>
      </c>
      <c r="Z405" s="135">
        <v>2.46</v>
      </c>
      <c r="AA405" s="135"/>
      <c r="AB405" s="135">
        <v>2.37</v>
      </c>
      <c r="AC405" s="135">
        <v>0.64039999999999997</v>
      </c>
      <c r="AD405" s="135">
        <v>2.41</v>
      </c>
      <c r="AE405" s="135">
        <v>2.4900000000000002</v>
      </c>
      <c r="AF405" s="135">
        <f t="shared" si="108"/>
        <v>2.41</v>
      </c>
      <c r="AG405" s="136">
        <v>5.56</v>
      </c>
      <c r="AH405" s="185">
        <v>8.0900000000000006E-17</v>
      </c>
      <c r="AI405" s="185"/>
      <c r="AJ405" s="136">
        <f t="shared" si="110"/>
        <v>-14.48061780470038</v>
      </c>
      <c r="AK405" s="136"/>
      <c r="AL405" s="136">
        <f t="shared" si="111"/>
        <v>-14.48061780470038</v>
      </c>
      <c r="AM405" s="136">
        <v>-20.639800000000001</v>
      </c>
      <c r="AN405" s="186">
        <v>-15.6</v>
      </c>
      <c r="AO405" s="481">
        <v>14.66</v>
      </c>
      <c r="AP405" s="481">
        <v>3.96</v>
      </c>
      <c r="AQ405" s="135" t="s">
        <v>5921</v>
      </c>
      <c r="AR405" s="135" t="s">
        <v>5921</v>
      </c>
      <c r="AS405" s="190"/>
      <c r="AT405" s="137" t="s">
        <v>266</v>
      </c>
      <c r="AU405" s="135">
        <v>6</v>
      </c>
      <c r="AV405" s="135">
        <v>120</v>
      </c>
      <c r="AW405" s="135">
        <v>114</v>
      </c>
      <c r="AX405" s="135">
        <v>28</v>
      </c>
      <c r="AY405" s="135" t="s">
        <v>8728</v>
      </c>
      <c r="AZ405" s="135" t="s">
        <v>1563</v>
      </c>
      <c r="BA405" s="135">
        <v>32</v>
      </c>
      <c r="BB405" s="138" t="s">
        <v>2485</v>
      </c>
      <c r="BC405" s="458" t="s">
        <v>8726</v>
      </c>
      <c r="BD405" s="138" t="s">
        <v>8374</v>
      </c>
      <c r="BE405" s="135" t="s">
        <v>2449</v>
      </c>
      <c r="BF405" s="135" t="s">
        <v>272</v>
      </c>
      <c r="BG405" s="135" t="s">
        <v>272</v>
      </c>
      <c r="BH405" s="135" t="s">
        <v>2486</v>
      </c>
      <c r="BI405" s="185">
        <v>2.4087039999999998E-3</v>
      </c>
      <c r="BJ405" s="185">
        <v>24.087040000000002</v>
      </c>
      <c r="BK405" s="135"/>
      <c r="BL405" s="485"/>
      <c r="BM405" s="138" t="s">
        <v>2487</v>
      </c>
      <c r="BN405" s="135"/>
      <c r="BO405" s="135"/>
      <c r="BP405" s="135"/>
      <c r="BQ405" s="135"/>
      <c r="BR405" s="138" t="e">
        <v>#VALUE!</v>
      </c>
      <c r="BS405" s="135"/>
      <c r="BT405" s="135"/>
      <c r="BU405" s="135"/>
      <c r="BV405" s="135"/>
      <c r="BW405" s="135"/>
      <c r="BX405" s="135"/>
      <c r="BY405" s="135"/>
      <c r="BZ405" s="135"/>
      <c r="CA405" s="135"/>
      <c r="CB405" s="135"/>
      <c r="CC405" s="135"/>
      <c r="CD405" s="135"/>
      <c r="CE405" s="135"/>
      <c r="CF405" s="135"/>
      <c r="CG405" s="135"/>
      <c r="CH405" s="135"/>
      <c r="CI405" s="185"/>
      <c r="CJ405" s="187"/>
      <c r="CK405" s="136">
        <f t="shared" si="100"/>
        <v>0</v>
      </c>
      <c r="CL405" s="188"/>
      <c r="CM405" s="188"/>
      <c r="CN405" s="188"/>
      <c r="CO405" s="138" t="s">
        <v>2488</v>
      </c>
      <c r="CP405" s="189" t="s">
        <v>2489</v>
      </c>
      <c r="CQ405" s="191" t="s">
        <v>272</v>
      </c>
      <c r="CR405" s="191"/>
      <c r="CS405" s="135" t="s">
        <v>539</v>
      </c>
      <c r="CT405" s="135"/>
      <c r="CU405" s="135"/>
      <c r="CV405" s="332">
        <f t="shared" si="101"/>
        <v>1.0563796490499702</v>
      </c>
      <c r="CW405" s="329">
        <f t="shared" si="107"/>
        <v>1</v>
      </c>
      <c r="CX405" s="329"/>
      <c r="CY405" s="189" t="s">
        <v>5921</v>
      </c>
    </row>
    <row r="406" spans="1:103" ht="11.25" customHeight="1" x14ac:dyDescent="0.2">
      <c r="A406" s="72">
        <v>706</v>
      </c>
      <c r="B406" s="183">
        <v>1271</v>
      </c>
      <c r="C406" s="133" t="s">
        <v>6937</v>
      </c>
      <c r="D406" s="133"/>
      <c r="E406" s="134"/>
      <c r="F406" s="134" t="s">
        <v>3491</v>
      </c>
      <c r="G406" s="184" t="s">
        <v>3491</v>
      </c>
      <c r="H406" s="138" t="s">
        <v>3492</v>
      </c>
      <c r="I406" s="138" t="s">
        <v>7972</v>
      </c>
      <c r="J406" s="138" t="s">
        <v>3493</v>
      </c>
      <c r="K406" s="138" t="s">
        <v>471</v>
      </c>
      <c r="L406" s="138"/>
      <c r="M406" s="138"/>
      <c r="N406" s="138"/>
      <c r="O406" s="138"/>
      <c r="P406" s="138"/>
      <c r="Q406" s="138"/>
      <c r="R406" s="138"/>
      <c r="S406" s="138"/>
      <c r="T406" s="135">
        <v>365.83</v>
      </c>
      <c r="U406" s="185"/>
      <c r="V406" s="185">
        <v>18.39</v>
      </c>
      <c r="W406" s="185">
        <v>129.80138218331879</v>
      </c>
      <c r="X406" s="185">
        <v>129.80138218331879</v>
      </c>
      <c r="Y406" s="204">
        <v>3.48</v>
      </c>
      <c r="Z406" s="135">
        <v>2.69</v>
      </c>
      <c r="AA406" s="135"/>
      <c r="AB406" s="135">
        <v>3.76</v>
      </c>
      <c r="AC406" s="135">
        <v>0.6038</v>
      </c>
      <c r="AD406" s="135">
        <v>3.75</v>
      </c>
      <c r="AE406" s="135">
        <v>3.73</v>
      </c>
      <c r="AF406" s="135">
        <f t="shared" si="108"/>
        <v>3.75</v>
      </c>
      <c r="AG406" s="136">
        <v>4.6399999999999997</v>
      </c>
      <c r="AH406" s="185">
        <v>7.9300000000000003E-12</v>
      </c>
      <c r="AI406" s="185"/>
      <c r="AJ406" s="136">
        <f t="shared" si="110"/>
        <v>-9.4892931389950483</v>
      </c>
      <c r="AK406" s="136"/>
      <c r="AL406" s="136">
        <f t="shared" si="111"/>
        <v>-9.4892931389950483</v>
      </c>
      <c r="AM406" s="136">
        <v>-19.844100000000001</v>
      </c>
      <c r="AN406" s="186">
        <v>-11.4</v>
      </c>
      <c r="AO406" s="481">
        <v>2.0499999999999998</v>
      </c>
      <c r="AP406" s="481">
        <v>-3.42</v>
      </c>
      <c r="AQ406" s="135" t="s">
        <v>5921</v>
      </c>
      <c r="AR406" s="135" t="s">
        <v>5921</v>
      </c>
      <c r="AS406" s="190"/>
      <c r="AT406" s="137" t="s">
        <v>266</v>
      </c>
      <c r="AU406" s="135">
        <v>6</v>
      </c>
      <c r="AV406" s="135">
        <v>120</v>
      </c>
      <c r="AW406" s="135">
        <v>114</v>
      </c>
      <c r="AX406" s="135">
        <v>28</v>
      </c>
      <c r="AY406" s="135" t="s">
        <v>8728</v>
      </c>
      <c r="AZ406" s="135" t="s">
        <v>1563</v>
      </c>
      <c r="BA406" s="135">
        <v>32</v>
      </c>
      <c r="BB406" s="138" t="s">
        <v>2485</v>
      </c>
      <c r="BC406" s="458" t="s">
        <v>8726</v>
      </c>
      <c r="BD406" s="138" t="s">
        <v>8374</v>
      </c>
      <c r="BE406" s="135" t="s">
        <v>2449</v>
      </c>
      <c r="BF406" s="135" t="s">
        <v>272</v>
      </c>
      <c r="BG406" s="135" t="s">
        <v>272</v>
      </c>
      <c r="BH406" s="135" t="s">
        <v>2486</v>
      </c>
      <c r="BI406" s="185">
        <v>2.3413119999999999E-3</v>
      </c>
      <c r="BJ406" s="185">
        <v>23.413119999999999</v>
      </c>
      <c r="BK406" s="135"/>
      <c r="BL406" s="485">
        <v>72.142355302170557</v>
      </c>
      <c r="BM406" s="138" t="s">
        <v>2487</v>
      </c>
      <c r="BN406" s="135"/>
      <c r="BO406" s="135"/>
      <c r="BP406" s="135"/>
      <c r="BQ406" s="135"/>
      <c r="BR406" s="138" t="e">
        <v>#VALUE!</v>
      </c>
      <c r="BS406" s="135"/>
      <c r="BT406" s="135"/>
      <c r="BU406" s="135">
        <v>23.413119999999999</v>
      </c>
      <c r="BV406" s="135"/>
      <c r="BW406" s="135"/>
      <c r="BX406" s="135"/>
      <c r="BY406" s="135"/>
      <c r="BZ406" s="135"/>
      <c r="CA406" s="135"/>
      <c r="CB406" s="135"/>
      <c r="CC406" s="135"/>
      <c r="CD406" s="135"/>
      <c r="CE406" s="135"/>
      <c r="CF406" s="135"/>
      <c r="CG406" s="135"/>
      <c r="CH406" s="135"/>
      <c r="CI406" s="185"/>
      <c r="CJ406" s="187"/>
      <c r="CK406" s="136">
        <f t="shared" si="100"/>
        <v>3.0812790137397563</v>
      </c>
      <c r="CL406" s="188"/>
      <c r="CM406" s="188"/>
      <c r="CN406" s="188"/>
      <c r="CO406" s="138" t="s">
        <v>2488</v>
      </c>
      <c r="CP406" s="189" t="s">
        <v>2489</v>
      </c>
      <c r="CQ406" s="191" t="s">
        <v>272</v>
      </c>
      <c r="CR406" s="191"/>
      <c r="CS406" s="135" t="s">
        <v>539</v>
      </c>
      <c r="CT406" s="135"/>
      <c r="CU406" s="135"/>
      <c r="CV406" s="332">
        <f t="shared" si="101"/>
        <v>5.5439592067746117</v>
      </c>
      <c r="CW406" s="329">
        <f t="shared" si="107"/>
        <v>1</v>
      </c>
      <c r="CX406" s="329"/>
      <c r="CY406" s="189" t="s">
        <v>5921</v>
      </c>
    </row>
    <row r="407" spans="1:103" ht="11.25" customHeight="1" x14ac:dyDescent="0.2">
      <c r="A407" s="72">
        <v>707</v>
      </c>
      <c r="B407" s="183">
        <v>1104</v>
      </c>
      <c r="C407" s="133" t="s">
        <v>6938</v>
      </c>
      <c r="D407" s="133"/>
      <c r="E407" s="134"/>
      <c r="F407" s="134" t="s">
        <v>3085</v>
      </c>
      <c r="G407" s="184">
        <v>120558</v>
      </c>
      <c r="H407" s="138" t="s">
        <v>3086</v>
      </c>
      <c r="I407" s="138" t="s">
        <v>3086</v>
      </c>
      <c r="J407" s="138" t="s">
        <v>3087</v>
      </c>
      <c r="K407" s="138" t="s">
        <v>357</v>
      </c>
      <c r="L407" s="138"/>
      <c r="M407" s="138"/>
      <c r="N407" s="138"/>
      <c r="O407" s="138"/>
      <c r="P407" s="138"/>
      <c r="Q407" s="138"/>
      <c r="R407" s="138"/>
      <c r="S407" s="138"/>
      <c r="T407" s="135">
        <v>314.33</v>
      </c>
      <c r="U407" s="185"/>
      <c r="V407" s="185">
        <v>25.61</v>
      </c>
      <c r="W407" s="185">
        <v>70.369721548618571</v>
      </c>
      <c r="X407" s="185">
        <v>70.369721548618571</v>
      </c>
      <c r="Y407" s="204">
        <v>7</v>
      </c>
      <c r="Z407" s="135">
        <v>3.04</v>
      </c>
      <c r="AA407" s="135"/>
      <c r="AB407" s="135">
        <v>3.87</v>
      </c>
      <c r="AC407" s="135">
        <v>0.7994</v>
      </c>
      <c r="AD407" s="135">
        <v>3.81</v>
      </c>
      <c r="AE407" s="135">
        <v>3.64</v>
      </c>
      <c r="AF407" s="135">
        <f t="shared" si="108"/>
        <v>3.81</v>
      </c>
      <c r="AG407" s="136">
        <v>7.81</v>
      </c>
      <c r="AH407" s="185">
        <v>3.3800000000000002E-10</v>
      </c>
      <c r="AI407" s="185"/>
      <c r="AJ407" s="136">
        <f t="shared" si="110"/>
        <v>-7.8596496260349973</v>
      </c>
      <c r="AK407" s="136"/>
      <c r="AL407" s="136">
        <f t="shared" si="111"/>
        <v>-7.8596496260349973</v>
      </c>
      <c r="AM407" s="136">
        <v>-13.005929999999999</v>
      </c>
      <c r="AN407" s="186">
        <v>-11.8</v>
      </c>
      <c r="AO407" s="481"/>
      <c r="AP407" s="481"/>
      <c r="AQ407" s="135" t="s">
        <v>6311</v>
      </c>
      <c r="AR407" s="135" t="s">
        <v>6312</v>
      </c>
      <c r="AS407" s="190"/>
      <c r="AT407" s="137" t="s">
        <v>266</v>
      </c>
      <c r="AU407" s="135">
        <v>6</v>
      </c>
      <c r="AV407" s="135">
        <v>120</v>
      </c>
      <c r="AW407" s="135">
        <v>114</v>
      </c>
      <c r="AX407" s="135">
        <v>28</v>
      </c>
      <c r="AY407" s="135" t="s">
        <v>8728</v>
      </c>
      <c r="AZ407" s="135" t="s">
        <v>1563</v>
      </c>
      <c r="BA407" s="135">
        <v>32</v>
      </c>
      <c r="BB407" s="138" t="s">
        <v>2485</v>
      </c>
      <c r="BC407" s="458" t="s">
        <v>8726</v>
      </c>
      <c r="BD407" s="138" t="s">
        <v>8374</v>
      </c>
      <c r="BE407" s="135" t="s">
        <v>2449</v>
      </c>
      <c r="BF407" s="135" t="s">
        <v>272</v>
      </c>
      <c r="BG407" s="135" t="s">
        <v>272</v>
      </c>
      <c r="BH407" s="135" t="s">
        <v>2486</v>
      </c>
      <c r="BI407" s="185">
        <v>2.0117119999999997E-3</v>
      </c>
      <c r="BJ407" s="185">
        <v>20.11712</v>
      </c>
      <c r="BK407" s="135"/>
      <c r="BL407" s="485">
        <v>30.058121287370206</v>
      </c>
      <c r="BM407" s="138" t="s">
        <v>2487</v>
      </c>
      <c r="BN407" s="135"/>
      <c r="BO407" s="135"/>
      <c r="BP407" s="135"/>
      <c r="BQ407" s="135"/>
      <c r="BR407" s="138"/>
      <c r="BS407" s="135"/>
      <c r="BT407" s="135"/>
      <c r="BU407" s="135">
        <v>2.0117119999999999E-2</v>
      </c>
      <c r="BV407" s="135"/>
      <c r="BW407" s="135"/>
      <c r="BX407" s="135"/>
      <c r="BY407" s="135"/>
      <c r="BZ407" s="135"/>
      <c r="CA407" s="135"/>
      <c r="CB407" s="135"/>
      <c r="CC407" s="135"/>
      <c r="CD407" s="135"/>
      <c r="CE407" s="135"/>
      <c r="CF407" s="135"/>
      <c r="CG407" s="135"/>
      <c r="CH407" s="135"/>
      <c r="CI407" s="141"/>
      <c r="CJ407" s="185"/>
      <c r="CK407" s="136">
        <f t="shared" si="100"/>
        <v>1.494156285162598</v>
      </c>
      <c r="CL407" s="188"/>
      <c r="CM407" s="188"/>
      <c r="CN407" s="188"/>
      <c r="CO407" s="138" t="s">
        <v>2488</v>
      </c>
      <c r="CP407" s="189" t="s">
        <v>2489</v>
      </c>
      <c r="CQ407" s="191" t="s">
        <v>272</v>
      </c>
      <c r="CR407" s="191"/>
      <c r="CS407" s="135" t="s">
        <v>539</v>
      </c>
      <c r="CT407" s="135"/>
      <c r="CU407" s="135"/>
      <c r="CV407" s="332">
        <f t="shared" si="101"/>
        <v>3.4980017790130282</v>
      </c>
      <c r="CW407" s="329">
        <f t="shared" si="107"/>
        <v>1</v>
      </c>
      <c r="CX407" s="329"/>
      <c r="CY407" s="189" t="s">
        <v>6351</v>
      </c>
    </row>
    <row r="408" spans="1:103" ht="11.25" customHeight="1" x14ac:dyDescent="0.2">
      <c r="A408" s="72">
        <v>708</v>
      </c>
      <c r="B408" s="210">
        <v>1296</v>
      </c>
      <c r="C408" s="99" t="s">
        <v>6939</v>
      </c>
      <c r="D408" s="99"/>
      <c r="E408" s="112"/>
      <c r="F408" s="112" t="s">
        <v>3560</v>
      </c>
      <c r="G408" s="211">
        <v>50351</v>
      </c>
      <c r="H408" s="212" t="s">
        <v>3561</v>
      </c>
      <c r="I408" s="212" t="s">
        <v>3561</v>
      </c>
      <c r="J408" s="212" t="s">
        <v>3562</v>
      </c>
      <c r="K408" s="212" t="s">
        <v>1314</v>
      </c>
      <c r="L408" s="212" t="s">
        <v>279</v>
      </c>
      <c r="M408" s="212" t="s">
        <v>2342</v>
      </c>
      <c r="N408" s="212" t="s">
        <v>2342</v>
      </c>
      <c r="O408" s="212" t="s">
        <v>281</v>
      </c>
      <c r="P408" s="110" t="s">
        <v>8537</v>
      </c>
      <c r="Q408" s="110" t="s">
        <v>6173</v>
      </c>
      <c r="R408" s="110" t="s">
        <v>6183</v>
      </c>
      <c r="S408" s="110" t="s">
        <v>6173</v>
      </c>
      <c r="T408" s="100">
        <v>258.23</v>
      </c>
      <c r="U408" s="104">
        <v>545</v>
      </c>
      <c r="V408" s="104">
        <v>544.79999999999995</v>
      </c>
      <c r="W408" s="104">
        <v>1786.5151162039685</v>
      </c>
      <c r="X408" s="104">
        <v>545</v>
      </c>
      <c r="Y408" s="412">
        <v>6.41</v>
      </c>
      <c r="Z408" s="100">
        <v>-0.24</v>
      </c>
      <c r="AA408" s="100">
        <v>0.33</v>
      </c>
      <c r="AB408" s="100">
        <v>0.45</v>
      </c>
      <c r="AC408" s="100">
        <v>0.73229999999999995</v>
      </c>
      <c r="AD408" s="100">
        <v>0.48</v>
      </c>
      <c r="AE408" s="100">
        <v>0.54</v>
      </c>
      <c r="AF408" s="100">
        <f t="shared" si="108"/>
        <v>0.33</v>
      </c>
      <c r="AG408" s="101">
        <v>-0.12</v>
      </c>
      <c r="AH408" s="104">
        <v>1.29E-16</v>
      </c>
      <c r="AI408" s="104"/>
      <c r="AJ408" s="107">
        <f t="shared" si="110"/>
        <v>-14.277976616013403</v>
      </c>
      <c r="AK408" s="107"/>
      <c r="AL408" s="107">
        <f t="shared" si="111"/>
        <v>-14.277976616013403</v>
      </c>
      <c r="AM408" s="107">
        <v>-19.407769999999999</v>
      </c>
      <c r="AN408" s="213">
        <v>-10.1</v>
      </c>
      <c r="AO408" s="482">
        <v>10.7</v>
      </c>
      <c r="AP408" s="482">
        <v>-2.5499999999999998</v>
      </c>
      <c r="AQ408" s="100" t="s">
        <v>6311</v>
      </c>
      <c r="AR408" s="100" t="s">
        <v>6311</v>
      </c>
      <c r="AS408" s="214"/>
      <c r="AT408" s="102" t="s">
        <v>266</v>
      </c>
      <c r="AU408" s="100">
        <v>6</v>
      </c>
      <c r="AV408" s="100">
        <v>120</v>
      </c>
      <c r="AW408" s="100">
        <v>114</v>
      </c>
      <c r="AX408" s="100">
        <v>28</v>
      </c>
      <c r="AY408" s="100" t="s">
        <v>8728</v>
      </c>
      <c r="AZ408" s="100" t="s">
        <v>1563</v>
      </c>
      <c r="BA408" s="100">
        <v>32</v>
      </c>
      <c r="BB408" s="212" t="s">
        <v>2485</v>
      </c>
      <c r="BC408" s="212" t="s">
        <v>8726</v>
      </c>
      <c r="BD408" s="212" t="s">
        <v>8374</v>
      </c>
      <c r="BE408" s="100" t="s">
        <v>2449</v>
      </c>
      <c r="BF408" s="100" t="s">
        <v>272</v>
      </c>
      <c r="BG408" s="100" t="s">
        <v>272</v>
      </c>
      <c r="BH408" s="100" t="s">
        <v>2486</v>
      </c>
      <c r="BI408" s="104">
        <v>1.652672E-3</v>
      </c>
      <c r="BJ408" s="104">
        <v>16.526720000000001</v>
      </c>
      <c r="BK408" s="100"/>
      <c r="BL408" s="486">
        <v>21794.689954597859</v>
      </c>
      <c r="BM408" s="100" t="s">
        <v>2487</v>
      </c>
      <c r="BN408" s="100"/>
      <c r="BO408" s="100"/>
      <c r="BP408" s="100"/>
      <c r="BQ408" s="100"/>
      <c r="BR408" s="212"/>
      <c r="BS408" s="100"/>
      <c r="BT408" s="100"/>
      <c r="BU408" s="215"/>
      <c r="BV408" s="100"/>
      <c r="BW408" s="100"/>
      <c r="BX408" s="100"/>
      <c r="BY408" s="100"/>
      <c r="BZ408" s="100"/>
      <c r="CA408" s="100"/>
      <c r="CB408" s="100"/>
      <c r="CC408" s="100"/>
      <c r="CD408" s="100"/>
      <c r="CE408" s="100"/>
      <c r="CF408" s="100"/>
      <c r="CG408" s="100"/>
      <c r="CH408" s="100"/>
      <c r="CI408" s="104"/>
      <c r="CJ408" s="104"/>
      <c r="CK408" s="101">
        <f t="shared" si="100"/>
        <v>1318.7547168825913</v>
      </c>
      <c r="CL408" s="216"/>
      <c r="CM408" s="216"/>
      <c r="CN408" s="216"/>
      <c r="CO408" s="212" t="s">
        <v>2488</v>
      </c>
      <c r="CP408" s="501" t="s">
        <v>2489</v>
      </c>
      <c r="CQ408" s="210" t="s">
        <v>272</v>
      </c>
      <c r="CR408" s="210"/>
      <c r="CS408" s="106" t="s">
        <v>539</v>
      </c>
      <c r="CT408" s="106"/>
      <c r="CU408" s="106"/>
      <c r="CV408" s="333">
        <f t="shared" si="101"/>
        <v>32.976900437594388</v>
      </c>
      <c r="CW408" s="106">
        <f t="shared" si="107"/>
        <v>1</v>
      </c>
      <c r="CX408" s="334"/>
      <c r="CY408" s="217" t="s">
        <v>5921</v>
      </c>
    </row>
    <row r="409" spans="1:103" ht="11.25" customHeight="1" x14ac:dyDescent="0.2">
      <c r="A409" s="72">
        <v>709</v>
      </c>
      <c r="B409" s="218">
        <v>1542</v>
      </c>
      <c r="C409" s="105" t="s">
        <v>6940</v>
      </c>
      <c r="D409" s="105"/>
      <c r="E409" s="113"/>
      <c r="F409" s="113" t="s">
        <v>4660</v>
      </c>
      <c r="G409" s="219">
        <v>842079</v>
      </c>
      <c r="H409" s="110" t="s">
        <v>4661</v>
      </c>
      <c r="I409" s="110" t="s">
        <v>4661</v>
      </c>
      <c r="J409" s="110" t="s">
        <v>4662</v>
      </c>
      <c r="K409" s="110" t="s">
        <v>349</v>
      </c>
      <c r="L409" s="110"/>
      <c r="M409" s="110"/>
      <c r="N409" s="212"/>
      <c r="O409" s="110"/>
      <c r="P409" s="110"/>
      <c r="Q409" s="110"/>
      <c r="R409" s="110"/>
      <c r="S409" s="110"/>
      <c r="T409" s="106">
        <v>248.28</v>
      </c>
      <c r="U409" s="220"/>
      <c r="V409" s="104">
        <v>0.67379999999999995</v>
      </c>
      <c r="W409" s="104">
        <v>1.9721581411734441</v>
      </c>
      <c r="X409" s="104">
        <v>1.9721581411734441</v>
      </c>
      <c r="Y409" s="413">
        <v>7</v>
      </c>
      <c r="Z409" s="106">
        <v>5.51</v>
      </c>
      <c r="AA409" s="106"/>
      <c r="AB409" s="106">
        <v>4.55</v>
      </c>
      <c r="AC409" s="106">
        <v>0.8206</v>
      </c>
      <c r="AD409" s="106">
        <v>4.46</v>
      </c>
      <c r="AE409" s="106">
        <v>4.24</v>
      </c>
      <c r="AF409" s="106">
        <f t="shared" si="108"/>
        <v>4.46</v>
      </c>
      <c r="AG409" s="107">
        <v>4.3499999999999996</v>
      </c>
      <c r="AH409" s="220">
        <v>1.49E-10</v>
      </c>
      <c r="AI409" s="220"/>
      <c r="AJ409" s="107">
        <f t="shared" si="110"/>
        <v>-8.2153800579003775</v>
      </c>
      <c r="AK409" s="107"/>
      <c r="AL409" s="107">
        <f t="shared" si="111"/>
        <v>-8.2153800579003775</v>
      </c>
      <c r="AM409" s="107">
        <v>-11.958</v>
      </c>
      <c r="AN409" s="221">
        <v>-4.66</v>
      </c>
      <c r="AO409" s="482">
        <v>13.5</v>
      </c>
      <c r="AP409" s="482"/>
      <c r="AQ409" s="106" t="s">
        <v>6311</v>
      </c>
      <c r="AR409" s="106" t="s">
        <v>6311</v>
      </c>
      <c r="AS409" s="222"/>
      <c r="AT409" s="108" t="s">
        <v>266</v>
      </c>
      <c r="AU409" s="106">
        <v>6</v>
      </c>
      <c r="AV409" s="106">
        <v>120</v>
      </c>
      <c r="AW409" s="106">
        <v>114</v>
      </c>
      <c r="AX409" s="106">
        <v>28</v>
      </c>
      <c r="AY409" s="106" t="s">
        <v>8728</v>
      </c>
      <c r="AZ409" s="106" t="s">
        <v>1563</v>
      </c>
      <c r="BA409" s="106">
        <v>32</v>
      </c>
      <c r="BB409" s="110" t="s">
        <v>2485</v>
      </c>
      <c r="BC409" s="212" t="s">
        <v>8726</v>
      </c>
      <c r="BD409" s="110" t="s">
        <v>8374</v>
      </c>
      <c r="BE409" s="106" t="s">
        <v>2449</v>
      </c>
      <c r="BF409" s="106" t="s">
        <v>272</v>
      </c>
      <c r="BG409" s="106" t="s">
        <v>272</v>
      </c>
      <c r="BH409" s="106" t="s">
        <v>2486</v>
      </c>
      <c r="BI409" s="220">
        <v>1.588992E-3</v>
      </c>
      <c r="BJ409" s="220">
        <v>15.88992</v>
      </c>
      <c r="BK409" s="106"/>
      <c r="BL409" s="486">
        <v>0.14361861581444704</v>
      </c>
      <c r="BM409" s="110" t="s">
        <v>2487</v>
      </c>
      <c r="BN409" s="106"/>
      <c r="BO409" s="106"/>
      <c r="BP409" s="106"/>
      <c r="BQ409" s="106"/>
      <c r="BR409" s="110"/>
      <c r="BS409" s="106"/>
      <c r="BT409" s="106"/>
      <c r="BU409" s="106"/>
      <c r="BV409" s="106"/>
      <c r="BW409" s="106"/>
      <c r="BX409" s="106"/>
      <c r="BY409" s="106"/>
      <c r="BZ409" s="106"/>
      <c r="CA409" s="106"/>
      <c r="CB409" s="106"/>
      <c r="CC409" s="106"/>
      <c r="CD409" s="106"/>
      <c r="CE409" s="106"/>
      <c r="CF409" s="106"/>
      <c r="CG409" s="106"/>
      <c r="CH409" s="106"/>
      <c r="CI409" s="109"/>
      <c r="CJ409" s="104"/>
      <c r="CK409" s="107">
        <f t="shared" si="100"/>
        <v>9.0383473179504389E-3</v>
      </c>
      <c r="CL409" s="216"/>
      <c r="CM409" s="216"/>
      <c r="CN409" s="216"/>
      <c r="CO409" s="110" t="s">
        <v>2488</v>
      </c>
      <c r="CP409" s="217" t="s">
        <v>2489</v>
      </c>
      <c r="CQ409" s="210" t="s">
        <v>272</v>
      </c>
      <c r="CR409" s="210"/>
      <c r="CS409" s="106" t="s">
        <v>539</v>
      </c>
      <c r="CT409" s="106"/>
      <c r="CU409" s="106"/>
      <c r="CV409" s="333">
        <f t="shared" si="101"/>
        <v>0.12411378667566886</v>
      </c>
      <c r="CW409" s="106">
        <f t="shared" si="107"/>
        <v>0</v>
      </c>
      <c r="CX409" s="334"/>
      <c r="CY409" s="217" t="s">
        <v>5921</v>
      </c>
    </row>
    <row r="410" spans="1:103" ht="11.25" customHeight="1" x14ac:dyDescent="0.2">
      <c r="A410" s="72">
        <v>710</v>
      </c>
      <c r="B410" s="218">
        <v>1458</v>
      </c>
      <c r="C410" s="105" t="s">
        <v>6941</v>
      </c>
      <c r="D410" s="105"/>
      <c r="E410" s="113"/>
      <c r="F410" s="113" t="s">
        <v>4483</v>
      </c>
      <c r="G410" s="219">
        <v>1987504</v>
      </c>
      <c r="H410" s="110" t="s">
        <v>4484</v>
      </c>
      <c r="I410" s="110" t="s">
        <v>4484</v>
      </c>
      <c r="J410" s="110" t="s">
        <v>4485</v>
      </c>
      <c r="K410" s="110" t="s">
        <v>349</v>
      </c>
      <c r="L410" s="110"/>
      <c r="M410" s="110"/>
      <c r="N410" s="212"/>
      <c r="O410" s="110"/>
      <c r="P410" s="110" t="s">
        <v>6184</v>
      </c>
      <c r="Q410" s="110" t="s">
        <v>6179</v>
      </c>
      <c r="R410" s="110" t="s">
        <v>6185</v>
      </c>
      <c r="S410" s="110" t="s">
        <v>6176</v>
      </c>
      <c r="T410" s="106">
        <v>192.3</v>
      </c>
      <c r="U410" s="220"/>
      <c r="V410" s="104">
        <v>9.6449999999999996</v>
      </c>
      <c r="W410" s="104">
        <v>56.751753428794601</v>
      </c>
      <c r="X410" s="104">
        <v>56.751753428794601</v>
      </c>
      <c r="Y410" s="413">
        <v>6.76</v>
      </c>
      <c r="Z410" s="106">
        <v>5.01</v>
      </c>
      <c r="AA410" s="106"/>
      <c r="AB410" s="106">
        <v>4.7699999999999996</v>
      </c>
      <c r="AC410" s="106">
        <v>0.72319999999999995</v>
      </c>
      <c r="AD410" s="106">
        <v>4.91</v>
      </c>
      <c r="AE410" s="106">
        <v>5.13</v>
      </c>
      <c r="AF410" s="106">
        <f t="shared" si="108"/>
        <v>4.91</v>
      </c>
      <c r="AG410" s="107">
        <v>4.49</v>
      </c>
      <c r="AH410" s="220">
        <v>3.3900000000000002E-6</v>
      </c>
      <c r="AI410" s="220"/>
      <c r="AJ410" s="107">
        <f t="shared" si="110"/>
        <v>-3.8583666281095694</v>
      </c>
      <c r="AK410" s="107"/>
      <c r="AL410" s="107">
        <f t="shared" si="111"/>
        <v>-3.8583666281095694</v>
      </c>
      <c r="AM410" s="107">
        <v>-7.2366099999999998</v>
      </c>
      <c r="AN410" s="221">
        <v>-3.88</v>
      </c>
      <c r="AO410" s="482">
        <v>10.16</v>
      </c>
      <c r="AP410" s="482"/>
      <c r="AQ410" s="106" t="s">
        <v>6311</v>
      </c>
      <c r="AR410" s="106" t="s">
        <v>6311</v>
      </c>
      <c r="AS410" s="222"/>
      <c r="AT410" s="108" t="s">
        <v>266</v>
      </c>
      <c r="AU410" s="106">
        <v>6</v>
      </c>
      <c r="AV410" s="106">
        <v>120</v>
      </c>
      <c r="AW410" s="106">
        <v>114</v>
      </c>
      <c r="AX410" s="106">
        <v>28</v>
      </c>
      <c r="AY410" s="106" t="s">
        <v>8728</v>
      </c>
      <c r="AZ410" s="106" t="s">
        <v>1563</v>
      </c>
      <c r="BA410" s="106">
        <v>32</v>
      </c>
      <c r="BB410" s="110" t="s">
        <v>2485</v>
      </c>
      <c r="BC410" s="212" t="s">
        <v>8726</v>
      </c>
      <c r="BD410" s="110" t="s">
        <v>8374</v>
      </c>
      <c r="BE410" s="106" t="s">
        <v>2449</v>
      </c>
      <c r="BF410" s="106" t="s">
        <v>272</v>
      </c>
      <c r="BG410" s="106" t="s">
        <v>272</v>
      </c>
      <c r="BH410" s="106" t="s">
        <v>2486</v>
      </c>
      <c r="BI410" s="220">
        <v>1.23072E-3</v>
      </c>
      <c r="BJ410" s="220">
        <v>12.307200000000002</v>
      </c>
      <c r="BK410" s="106"/>
      <c r="BL410" s="486">
        <v>0.31282271735872103</v>
      </c>
      <c r="BM410" s="110" t="s">
        <v>2487</v>
      </c>
      <c r="BN410" s="106"/>
      <c r="BO410" s="106"/>
      <c r="BP410" s="106"/>
      <c r="BQ410" s="106"/>
      <c r="BR410" s="110"/>
      <c r="BS410" s="106"/>
      <c r="BT410" s="106"/>
      <c r="BU410" s="106"/>
      <c r="BV410" s="106"/>
      <c r="BW410" s="106"/>
      <c r="BX410" s="106"/>
      <c r="BY410" s="106"/>
      <c r="BZ410" s="106"/>
      <c r="CA410" s="106"/>
      <c r="CB410" s="106"/>
      <c r="CC410" s="106"/>
      <c r="CD410" s="106"/>
      <c r="CE410" s="106"/>
      <c r="CF410" s="106"/>
      <c r="CG410" s="106"/>
      <c r="CH410" s="106"/>
      <c r="CI410" s="109"/>
      <c r="CJ410" s="104"/>
      <c r="CK410" s="107">
        <f t="shared" si="100"/>
        <v>2.5417862499896075E-2</v>
      </c>
      <c r="CL410" s="216"/>
      <c r="CM410" s="216"/>
      <c r="CN410" s="216"/>
      <c r="CO410" s="110" t="s">
        <v>2488</v>
      </c>
      <c r="CP410" s="217" t="s">
        <v>2489</v>
      </c>
      <c r="CQ410" s="210" t="s">
        <v>272</v>
      </c>
      <c r="CR410" s="210"/>
      <c r="CS410" s="106" t="s">
        <v>539</v>
      </c>
      <c r="CT410" s="106"/>
      <c r="CU410" s="106"/>
      <c r="CV410" s="333">
        <f t="shared" si="101"/>
        <v>4.6112644166662271</v>
      </c>
      <c r="CW410" s="106">
        <f t="shared" si="107"/>
        <v>1</v>
      </c>
      <c r="CX410" s="334"/>
      <c r="CY410" s="217" t="s">
        <v>5921</v>
      </c>
    </row>
    <row r="411" spans="1:103" ht="11.25" customHeight="1" x14ac:dyDescent="0.2">
      <c r="A411" s="72">
        <v>711</v>
      </c>
      <c r="B411" s="210">
        <v>970</v>
      </c>
      <c r="C411" s="99" t="s">
        <v>6942</v>
      </c>
      <c r="D411" s="99"/>
      <c r="E411" s="112"/>
      <c r="F411" s="112" t="s">
        <v>2767</v>
      </c>
      <c r="G411" s="211">
        <v>20325400</v>
      </c>
      <c r="H411" s="212" t="s">
        <v>2768</v>
      </c>
      <c r="I411" s="212" t="s">
        <v>7973</v>
      </c>
      <c r="J411" s="212" t="s">
        <v>2769</v>
      </c>
      <c r="K411" s="212" t="s">
        <v>426</v>
      </c>
      <c r="L411" s="212"/>
      <c r="M411" s="212"/>
      <c r="N411" s="212"/>
      <c r="O411" s="212"/>
      <c r="P411" s="110"/>
      <c r="Q411" s="110"/>
      <c r="R411" s="110"/>
      <c r="S411" s="110"/>
      <c r="T411" s="100">
        <v>317.22000000000003</v>
      </c>
      <c r="U411" s="104"/>
      <c r="V411" s="104">
        <v>3178</v>
      </c>
      <c r="W411" s="104">
        <v>6.9400174234927592</v>
      </c>
      <c r="X411" s="104">
        <v>6.9400174234927592</v>
      </c>
      <c r="Y411" s="412">
        <v>7</v>
      </c>
      <c r="Z411" s="100">
        <v>0.56999999999999995</v>
      </c>
      <c r="AA411" s="100"/>
      <c r="AB411" s="100"/>
      <c r="AC411" s="100"/>
      <c r="AD411" s="100"/>
      <c r="AE411" s="100"/>
      <c r="AF411" s="100"/>
      <c r="AG411" s="101">
        <v>5.44</v>
      </c>
      <c r="AH411" s="104">
        <v>1.5499999999999999E-21</v>
      </c>
      <c r="AI411" s="104"/>
      <c r="AJ411" s="107">
        <f t="shared" si="110"/>
        <v>-19.198234628142359</v>
      </c>
      <c r="AK411" s="107"/>
      <c r="AL411" s="107">
        <f t="shared" si="111"/>
        <v>-19.198234628142359</v>
      </c>
      <c r="AM411" s="107"/>
      <c r="AN411" s="213">
        <v>-22.1</v>
      </c>
      <c r="AO411" s="482"/>
      <c r="AP411" s="482">
        <v>-1.1000000000000001</v>
      </c>
      <c r="AQ411" s="100" t="s">
        <v>6311</v>
      </c>
      <c r="AR411" s="100" t="s">
        <v>6311</v>
      </c>
      <c r="AS411" s="214"/>
      <c r="AT411" s="102" t="s">
        <v>266</v>
      </c>
      <c r="AU411" s="100">
        <v>6</v>
      </c>
      <c r="AV411" s="100">
        <v>120</v>
      </c>
      <c r="AW411" s="100">
        <v>114</v>
      </c>
      <c r="AX411" s="100">
        <v>28</v>
      </c>
      <c r="AY411" s="100" t="s">
        <v>8728</v>
      </c>
      <c r="AZ411" s="100" t="s">
        <v>1563</v>
      </c>
      <c r="BA411" s="100">
        <v>32</v>
      </c>
      <c r="BB411" s="212" t="s">
        <v>2485</v>
      </c>
      <c r="BC411" s="212" t="s">
        <v>8726</v>
      </c>
      <c r="BD411" s="212" t="s">
        <v>8374</v>
      </c>
      <c r="BE411" s="100" t="s">
        <v>2449</v>
      </c>
      <c r="BF411" s="100" t="s">
        <v>272</v>
      </c>
      <c r="BG411" s="100" t="s">
        <v>272</v>
      </c>
      <c r="BH411" s="100" t="s">
        <v>2486</v>
      </c>
      <c r="BI411" s="104">
        <v>2.0302079999999999E-3</v>
      </c>
      <c r="BJ411" s="104">
        <v>20.302080000000004</v>
      </c>
      <c r="BK411" s="100"/>
      <c r="BL411" s="486">
        <v>5014.6838800273581</v>
      </c>
      <c r="BM411" s="212" t="s">
        <v>2487</v>
      </c>
      <c r="BN411" s="100"/>
      <c r="BO411" s="100"/>
      <c r="BP411" s="100"/>
      <c r="BQ411" s="100"/>
      <c r="BR411" s="212"/>
      <c r="BS411" s="100"/>
      <c r="BT411" s="100"/>
      <c r="BU411" s="215">
        <v>20.302080000000004</v>
      </c>
      <c r="BV411" s="100"/>
      <c r="BW411" s="100"/>
      <c r="BX411" s="100"/>
      <c r="BY411" s="100"/>
      <c r="BZ411" s="100"/>
      <c r="CA411" s="100"/>
      <c r="CB411" s="100"/>
      <c r="CC411" s="100"/>
      <c r="CD411" s="100"/>
      <c r="CE411" s="100"/>
      <c r="CF411" s="100"/>
      <c r="CG411" s="100"/>
      <c r="CH411" s="100"/>
      <c r="CI411" s="109"/>
      <c r="CJ411" s="104"/>
      <c r="CK411" s="101">
        <f t="shared" si="100"/>
        <v>247.00345383464932</v>
      </c>
      <c r="CL411" s="216"/>
      <c r="CM411" s="216"/>
      <c r="CN411" s="216"/>
      <c r="CO411" s="212" t="s">
        <v>2488</v>
      </c>
      <c r="CP411" s="501" t="s">
        <v>2489</v>
      </c>
      <c r="CQ411" s="210" t="s">
        <v>272</v>
      </c>
      <c r="CR411" s="210"/>
      <c r="CS411" s="106" t="s">
        <v>539</v>
      </c>
      <c r="CT411" s="106"/>
      <c r="CU411" s="106"/>
      <c r="CV411" s="333">
        <f t="shared" si="101"/>
        <v>0.34183775374211695</v>
      </c>
      <c r="CW411" s="106">
        <f t="shared" si="107"/>
        <v>0</v>
      </c>
      <c r="CX411" s="334"/>
      <c r="CY411" s="217" t="s">
        <v>6351</v>
      </c>
    </row>
    <row r="412" spans="1:103" ht="11.25" customHeight="1" x14ac:dyDescent="0.2">
      <c r="A412" s="72">
        <v>712</v>
      </c>
      <c r="B412" s="218">
        <v>1719</v>
      </c>
      <c r="C412" s="105" t="s">
        <v>1278</v>
      </c>
      <c r="D412" s="105" t="s">
        <v>6766</v>
      </c>
      <c r="E412" s="113"/>
      <c r="F412" s="113" t="s">
        <v>1279</v>
      </c>
      <c r="G412" s="219">
        <v>77501634</v>
      </c>
      <c r="H412" s="110" t="s">
        <v>1280</v>
      </c>
      <c r="I412" s="110" t="s">
        <v>7898</v>
      </c>
      <c r="J412" s="110" t="s">
        <v>1281</v>
      </c>
      <c r="K412" s="110" t="s">
        <v>357</v>
      </c>
      <c r="L412" s="110" t="s">
        <v>5996</v>
      </c>
      <c r="M412" s="110" t="s">
        <v>2342</v>
      </c>
      <c r="N412" s="212" t="s">
        <v>2342</v>
      </c>
      <c r="O412" s="110"/>
      <c r="P412" s="110"/>
      <c r="Q412" s="110"/>
      <c r="R412" s="110"/>
      <c r="S412" s="110"/>
      <c r="T412" s="106">
        <v>461.77</v>
      </c>
      <c r="U412" s="220">
        <v>0.1</v>
      </c>
      <c r="V412" s="220">
        <v>3.9899999999999998E-2</v>
      </c>
      <c r="W412" s="220">
        <v>0.28472507400957625</v>
      </c>
      <c r="X412" s="220">
        <v>0.1</v>
      </c>
      <c r="Y412" s="413">
        <v>7</v>
      </c>
      <c r="Z412" s="106">
        <v>4.92</v>
      </c>
      <c r="AA412" s="106">
        <v>4.8099999999999996</v>
      </c>
      <c r="AB412" s="106">
        <v>4.49</v>
      </c>
      <c r="AC412" s="106">
        <v>0.83730000000000004</v>
      </c>
      <c r="AD412" s="106">
        <v>4.5599999999999996</v>
      </c>
      <c r="AE412" s="106">
        <v>4.84</v>
      </c>
      <c r="AF412" s="106">
        <f>IF(AA412=0,AD412,AA412)</f>
        <v>4.8099999999999996</v>
      </c>
      <c r="AG412" s="107">
        <v>4.46</v>
      </c>
      <c r="AH412" s="220">
        <v>5.7299999999999999E-10</v>
      </c>
      <c r="AI412" s="220">
        <v>4.7199999999999999E-7</v>
      </c>
      <c r="AJ412" s="107">
        <f t="shared" si="110"/>
        <v>-7.6304117043452617</v>
      </c>
      <c r="AK412" s="107">
        <f>LOG10(AI412*1000/(0.08206*298.15))</f>
        <v>-4.714624327678564</v>
      </c>
      <c r="AL412" s="107">
        <f t="shared" si="111"/>
        <v>-4.714624327678564</v>
      </c>
      <c r="AM412" s="107">
        <v>-14.377310000000001</v>
      </c>
      <c r="AN412" s="221">
        <v>-7.74</v>
      </c>
      <c r="AO412" s="482"/>
      <c r="AP412" s="482"/>
      <c r="AQ412" s="221" t="s">
        <v>6311</v>
      </c>
      <c r="AR412" s="221" t="s">
        <v>6312</v>
      </c>
      <c r="AS412" s="218"/>
      <c r="AT412" s="108" t="s">
        <v>266</v>
      </c>
      <c r="AU412" s="106">
        <v>6</v>
      </c>
      <c r="AV412" s="106">
        <v>120</v>
      </c>
      <c r="AW412" s="106">
        <v>114</v>
      </c>
      <c r="AX412" s="106">
        <v>28</v>
      </c>
      <c r="AY412" s="106" t="s">
        <v>8728</v>
      </c>
      <c r="AZ412" s="106" t="s">
        <v>1563</v>
      </c>
      <c r="BA412" s="106">
        <v>32</v>
      </c>
      <c r="BB412" s="110" t="s">
        <v>2485</v>
      </c>
      <c r="BC412" s="212" t="s">
        <v>8726</v>
      </c>
      <c r="BD412" s="110" t="s">
        <v>8374</v>
      </c>
      <c r="BE412" s="106" t="s">
        <v>2449</v>
      </c>
      <c r="BF412" s="106" t="s">
        <v>272</v>
      </c>
      <c r="BG412" s="106" t="s">
        <v>272</v>
      </c>
      <c r="BH412" s="106" t="s">
        <v>2486</v>
      </c>
      <c r="BI412" s="220">
        <v>2.9553279999999997E-3</v>
      </c>
      <c r="BJ412" s="220">
        <v>29.553280000000001</v>
      </c>
      <c r="BK412" s="106"/>
      <c r="BL412" s="486">
        <v>0.90484400743761029</v>
      </c>
      <c r="BM412" s="110" t="s">
        <v>2487</v>
      </c>
      <c r="BN412" s="106"/>
      <c r="BO412" s="106"/>
      <c r="BP412" s="106"/>
      <c r="BQ412" s="106"/>
      <c r="BR412" s="110"/>
      <c r="BS412" s="106"/>
      <c r="BT412" s="106"/>
      <c r="BU412" s="106"/>
      <c r="BV412" s="106"/>
      <c r="BW412" s="106"/>
      <c r="BX412" s="106"/>
      <c r="BY412" s="106"/>
      <c r="BZ412" s="106"/>
      <c r="CA412" s="106"/>
      <c r="CB412" s="106"/>
      <c r="CC412" s="106"/>
      <c r="CD412" s="106"/>
      <c r="CE412" s="106"/>
      <c r="CF412" s="106"/>
      <c r="CG412" s="106"/>
      <c r="CH412" s="106"/>
      <c r="CI412" s="109"/>
      <c r="CJ412" s="104"/>
      <c r="CK412" s="107">
        <f t="shared" si="100"/>
        <v>3.061738011610252E-2</v>
      </c>
      <c r="CL412" s="216"/>
      <c r="CM412" s="216">
        <v>0.3222192947339193</v>
      </c>
      <c r="CN412" s="216">
        <f>BJ412/(10^CM412)</f>
        <v>14.072990476190476</v>
      </c>
      <c r="CO412" s="110" t="s">
        <v>2488</v>
      </c>
      <c r="CP412" s="217" t="s">
        <v>2489</v>
      </c>
      <c r="CQ412" s="218">
        <v>0.44521050940045714</v>
      </c>
      <c r="CR412" s="210">
        <f>10^(CJ412-CQ412)</f>
        <v>0.35874800166708753</v>
      </c>
      <c r="CS412" s="106" t="s">
        <v>539</v>
      </c>
      <c r="CT412" s="106"/>
      <c r="CU412" s="106"/>
      <c r="CV412" s="333">
        <f t="shared" si="101"/>
        <v>3.3837191675509452E-3</v>
      </c>
      <c r="CW412" s="106">
        <f t="shared" si="107"/>
        <v>0</v>
      </c>
      <c r="CX412" s="334"/>
      <c r="CY412" s="217" t="s">
        <v>6351</v>
      </c>
    </row>
    <row r="413" spans="1:103" ht="11.25" customHeight="1" x14ac:dyDescent="0.2">
      <c r="A413" s="72">
        <v>713</v>
      </c>
      <c r="B413" s="218">
        <v>1495</v>
      </c>
      <c r="C413" s="105" t="s">
        <v>6943</v>
      </c>
      <c r="D413" s="105"/>
      <c r="E413" s="113"/>
      <c r="F413" s="113" t="s">
        <v>4584</v>
      </c>
      <c r="G413" s="219">
        <v>66456539</v>
      </c>
      <c r="H413" s="110" t="s">
        <v>6337</v>
      </c>
      <c r="I413" s="110"/>
      <c r="J413" s="110" t="s">
        <v>6337</v>
      </c>
      <c r="K413" s="110"/>
      <c r="L413" s="110"/>
      <c r="M413" s="110"/>
      <c r="N413" s="212"/>
      <c r="O413" s="110"/>
      <c r="P413" s="110"/>
      <c r="Q413" s="110"/>
      <c r="R413" s="110"/>
      <c r="S413" s="110"/>
      <c r="T413" s="106" t="s">
        <v>404</v>
      </c>
      <c r="U413" s="220"/>
      <c r="V413" s="104"/>
      <c r="W413" s="104"/>
      <c r="X413" s="104"/>
      <c r="Y413" s="413"/>
      <c r="Z413" s="106"/>
      <c r="AA413" s="106"/>
      <c r="AB413" s="106"/>
      <c r="AC413" s="106"/>
      <c r="AD413" s="106"/>
      <c r="AE413" s="106"/>
      <c r="AF413" s="106"/>
      <c r="AG413" s="106" t="s">
        <v>6332</v>
      </c>
      <c r="AH413" s="220"/>
      <c r="AI413" s="220"/>
      <c r="AJ413" s="107"/>
      <c r="AK413" s="107"/>
      <c r="AL413" s="107"/>
      <c r="AM413" s="107"/>
      <c r="AN413" s="221"/>
      <c r="AO413" s="482"/>
      <c r="AP413" s="482"/>
      <c r="AQ413" s="106" t="s">
        <v>6317</v>
      </c>
      <c r="AR413" s="106" t="s">
        <v>6317</v>
      </c>
      <c r="AS413" s="222"/>
      <c r="AT413" s="108" t="s">
        <v>266</v>
      </c>
      <c r="AU413" s="106">
        <v>6</v>
      </c>
      <c r="AV413" s="106">
        <v>120</v>
      </c>
      <c r="AW413" s="106">
        <v>114</v>
      </c>
      <c r="AX413" s="106">
        <v>28</v>
      </c>
      <c r="AY413" s="106" t="s">
        <v>8728</v>
      </c>
      <c r="AZ413" s="106" t="s">
        <v>1563</v>
      </c>
      <c r="BA413" s="106">
        <v>32</v>
      </c>
      <c r="BB413" s="110" t="s">
        <v>2485</v>
      </c>
      <c r="BC413" s="212" t="s">
        <v>8726</v>
      </c>
      <c r="BD413" s="110" t="s">
        <v>8374</v>
      </c>
      <c r="BE413" s="106" t="s">
        <v>2449</v>
      </c>
      <c r="BF413" s="106" t="s">
        <v>272</v>
      </c>
      <c r="BG413" s="106" t="s">
        <v>272</v>
      </c>
      <c r="BH413" s="106" t="s">
        <v>2486</v>
      </c>
      <c r="BI413" s="220"/>
      <c r="BJ413" s="220"/>
      <c r="BK413" s="106"/>
      <c r="BL413" s="486"/>
      <c r="BM413" s="110" t="s">
        <v>2487</v>
      </c>
      <c r="BN413" s="106"/>
      <c r="BO413" s="106"/>
      <c r="BP413" s="106"/>
      <c r="BQ413" s="106"/>
      <c r="BR413" s="110"/>
      <c r="BS413" s="106"/>
      <c r="BT413" s="106"/>
      <c r="BU413" s="106"/>
      <c r="BV413" s="106"/>
      <c r="BW413" s="106"/>
      <c r="BX413" s="106"/>
      <c r="BY413" s="106"/>
      <c r="BZ413" s="106"/>
      <c r="CA413" s="106"/>
      <c r="CB413" s="106"/>
      <c r="CC413" s="106"/>
      <c r="CD413" s="106"/>
      <c r="CE413" s="106"/>
      <c r="CF413" s="106"/>
      <c r="CG413" s="106"/>
      <c r="CH413" s="106"/>
      <c r="CI413" s="109"/>
      <c r="CJ413" s="104"/>
      <c r="CK413" s="107"/>
      <c r="CL413" s="216"/>
      <c r="CM413" s="216"/>
      <c r="CN413" s="216"/>
      <c r="CO413" s="110" t="s">
        <v>2488</v>
      </c>
      <c r="CP413" s="217" t="s">
        <v>2489</v>
      </c>
      <c r="CQ413" s="210" t="s">
        <v>272</v>
      </c>
      <c r="CR413" s="210"/>
      <c r="CS413" s="106" t="s">
        <v>539</v>
      </c>
      <c r="CT413" s="106"/>
      <c r="CU413" s="106"/>
      <c r="CV413" s="333" t="s">
        <v>6310</v>
      </c>
      <c r="CW413" s="106">
        <f t="shared" si="107"/>
        <v>1</v>
      </c>
      <c r="CX413" s="334"/>
      <c r="CY413" s="217" t="s">
        <v>5921</v>
      </c>
    </row>
    <row r="414" spans="1:103" ht="11.25" customHeight="1" x14ac:dyDescent="0.2">
      <c r="A414" s="72">
        <v>714</v>
      </c>
      <c r="B414" s="218">
        <v>1045</v>
      </c>
      <c r="C414" s="105" t="s">
        <v>6944</v>
      </c>
      <c r="D414" s="105"/>
      <c r="E414" s="113"/>
      <c r="F414" s="113" t="s">
        <v>2963</v>
      </c>
      <c r="G414" s="219">
        <v>91082176</v>
      </c>
      <c r="H414" s="217" t="s">
        <v>6330</v>
      </c>
      <c r="I414" s="217" t="s">
        <v>7789</v>
      </c>
      <c r="J414" s="217" t="s">
        <v>6331</v>
      </c>
      <c r="K414" s="110"/>
      <c r="L414" s="223"/>
      <c r="M414" s="110"/>
      <c r="N414" s="212"/>
      <c r="O414" s="110"/>
      <c r="P414" s="110"/>
      <c r="Q414" s="110"/>
      <c r="R414" s="110"/>
      <c r="S414" s="110"/>
      <c r="T414" s="106" t="s">
        <v>404</v>
      </c>
      <c r="U414" s="220"/>
      <c r="V414" s="104"/>
      <c r="W414" s="104"/>
      <c r="X414" s="104"/>
      <c r="Y414" s="413"/>
      <c r="Z414" s="106">
        <v>8.2200000000000006</v>
      </c>
      <c r="AA414" s="106"/>
      <c r="AB414" s="106">
        <v>8.73</v>
      </c>
      <c r="AC414" s="106">
        <v>0.63380000000000003</v>
      </c>
      <c r="AD414" s="106">
        <v>8.7100000000000009</v>
      </c>
      <c r="AE414" s="106">
        <v>8.69</v>
      </c>
      <c r="AF414" s="106">
        <f>IF(AA414=0,AD414,AA414)</f>
        <v>8.7100000000000009</v>
      </c>
      <c r="AG414" s="106" t="s">
        <v>6332</v>
      </c>
      <c r="AH414" s="220">
        <v>7.8700000000000002E-5</v>
      </c>
      <c r="AI414" s="220"/>
      <c r="AJ414" s="107">
        <f>LOG10(AH414*1000/(0.08206*298.15))</f>
        <v>-2.4925915939535872</v>
      </c>
      <c r="AK414" s="107"/>
      <c r="AL414" s="107">
        <f>IF(AK414=0,AJ414,AK414)</f>
        <v>-2.4925915939535872</v>
      </c>
      <c r="AM414" s="107">
        <v>-10.792699999999998</v>
      </c>
      <c r="AN414" s="221"/>
      <c r="AO414" s="482"/>
      <c r="AP414" s="482"/>
      <c r="AQ414" s="106" t="s">
        <v>6311</v>
      </c>
      <c r="AR414" s="106" t="s">
        <v>6311</v>
      </c>
      <c r="AS414" s="222"/>
      <c r="AT414" s="108" t="s">
        <v>266</v>
      </c>
      <c r="AU414" s="106">
        <v>6</v>
      </c>
      <c r="AV414" s="106">
        <v>120</v>
      </c>
      <c r="AW414" s="106">
        <v>114</v>
      </c>
      <c r="AX414" s="106">
        <v>28</v>
      </c>
      <c r="AY414" s="106" t="s">
        <v>8728</v>
      </c>
      <c r="AZ414" s="106" t="s">
        <v>1563</v>
      </c>
      <c r="BA414" s="106">
        <v>32</v>
      </c>
      <c r="BB414" s="110" t="s">
        <v>2485</v>
      </c>
      <c r="BC414" s="212" t="s">
        <v>8726</v>
      </c>
      <c r="BD414" s="110" t="s">
        <v>8374</v>
      </c>
      <c r="BE414" s="106" t="s">
        <v>2449</v>
      </c>
      <c r="BF414" s="106" t="s">
        <v>272</v>
      </c>
      <c r="BG414" s="106" t="s">
        <v>272</v>
      </c>
      <c r="BH414" s="106" t="s">
        <v>2486</v>
      </c>
      <c r="BI414" s="220"/>
      <c r="BJ414" s="220"/>
      <c r="BK414" s="106"/>
      <c r="BL414" s="486"/>
      <c r="BM414" s="110" t="s">
        <v>2487</v>
      </c>
      <c r="BN414" s="106"/>
      <c r="BO414" s="106"/>
      <c r="BP414" s="106"/>
      <c r="BQ414" s="106"/>
      <c r="BR414" s="110"/>
      <c r="BS414" s="106"/>
      <c r="BT414" s="106"/>
      <c r="BU414" s="106"/>
      <c r="BV414" s="106"/>
      <c r="BW414" s="106"/>
      <c r="BX414" s="106"/>
      <c r="BY414" s="106"/>
      <c r="BZ414" s="106"/>
      <c r="CA414" s="106"/>
      <c r="CB414" s="106"/>
      <c r="CC414" s="106"/>
      <c r="CD414" s="106"/>
      <c r="CE414" s="106"/>
      <c r="CF414" s="106"/>
      <c r="CG414" s="106"/>
      <c r="CH414" s="106"/>
      <c r="CI414" s="109"/>
      <c r="CJ414" s="104"/>
      <c r="CK414" s="107"/>
      <c r="CL414" s="216"/>
      <c r="CM414" s="216"/>
      <c r="CN414" s="216"/>
      <c r="CO414" s="110" t="s">
        <v>2488</v>
      </c>
      <c r="CP414" s="217" t="s">
        <v>2489</v>
      </c>
      <c r="CQ414" s="210" t="s">
        <v>272</v>
      </c>
      <c r="CR414" s="210"/>
      <c r="CS414" s="106" t="s">
        <v>539</v>
      </c>
      <c r="CT414" s="106"/>
      <c r="CU414" s="106"/>
      <c r="CV414" s="333"/>
      <c r="CW414" s="106"/>
      <c r="CX414" s="334"/>
      <c r="CY414" s="217" t="s">
        <v>6351</v>
      </c>
    </row>
    <row r="415" spans="1:103" ht="11.25" customHeight="1" x14ac:dyDescent="0.2">
      <c r="A415" s="72">
        <v>715</v>
      </c>
      <c r="B415" s="218">
        <v>1427</v>
      </c>
      <c r="C415" s="105" t="s">
        <v>6945</v>
      </c>
      <c r="D415" s="105"/>
      <c r="E415" s="113"/>
      <c r="F415" s="113" t="s">
        <v>4390</v>
      </c>
      <c r="G415" s="219">
        <v>181640095</v>
      </c>
      <c r="H415" s="110" t="s">
        <v>4391</v>
      </c>
      <c r="I415" s="110" t="s">
        <v>7838</v>
      </c>
      <c r="J415" s="110" t="s">
        <v>4392</v>
      </c>
      <c r="K415" s="110" t="s">
        <v>1292</v>
      </c>
      <c r="L415" s="110"/>
      <c r="M415" s="110"/>
      <c r="N415" s="212"/>
      <c r="O415" s="110"/>
      <c r="P415" s="110"/>
      <c r="Q415" s="110"/>
      <c r="R415" s="110"/>
      <c r="S415" s="110"/>
      <c r="T415" s="106">
        <v>428.41</v>
      </c>
      <c r="U415" s="220"/>
      <c r="V415" s="104">
        <v>0.60829999999999995</v>
      </c>
      <c r="W415" s="104">
        <v>2.0982614400563588</v>
      </c>
      <c r="X415" s="104">
        <v>2.0982614400563588</v>
      </c>
      <c r="Y415" s="413">
        <v>7.2</v>
      </c>
      <c r="Z415" s="106">
        <v>4.13</v>
      </c>
      <c r="AA415" s="106"/>
      <c r="AB415" s="106">
        <v>3.6</v>
      </c>
      <c r="AC415" s="106">
        <v>0.72989999999999999</v>
      </c>
      <c r="AD415" s="106">
        <v>3.63</v>
      </c>
      <c r="AE415" s="106">
        <v>3.74</v>
      </c>
      <c r="AF415" s="106">
        <f>IF(AA415=0,AD415,AA415)</f>
        <v>3.63</v>
      </c>
      <c r="AG415" s="107">
        <v>4.5199999999999996</v>
      </c>
      <c r="AH415" s="220">
        <v>4.0100000000000001E-15</v>
      </c>
      <c r="AI415" s="220"/>
      <c r="AJ415" s="107">
        <f>LOG10(AH415*1000/(0.08206*298.15))</f>
        <v>-12.78542195369247</v>
      </c>
      <c r="AK415" s="107"/>
      <c r="AL415" s="107">
        <f>IF(AK415=0,AJ415,AK415)</f>
        <v>-12.78542195369247</v>
      </c>
      <c r="AM415" s="107">
        <v>-19.463719999999999</v>
      </c>
      <c r="AN415" s="221">
        <v>-15.5</v>
      </c>
      <c r="AO415" s="482">
        <v>12.54</v>
      </c>
      <c r="AP415" s="482">
        <v>5.3</v>
      </c>
      <c r="AQ415" s="106" t="s">
        <v>6311</v>
      </c>
      <c r="AR415" s="106" t="s">
        <v>6311</v>
      </c>
      <c r="AS415" s="222"/>
      <c r="AT415" s="108" t="s">
        <v>266</v>
      </c>
      <c r="AU415" s="106">
        <v>6</v>
      </c>
      <c r="AV415" s="106">
        <v>120</v>
      </c>
      <c r="AW415" s="106">
        <v>114</v>
      </c>
      <c r="AX415" s="106">
        <v>28</v>
      </c>
      <c r="AY415" s="106" t="s">
        <v>8728</v>
      </c>
      <c r="AZ415" s="106" t="s">
        <v>1563</v>
      </c>
      <c r="BA415" s="106">
        <v>32</v>
      </c>
      <c r="BB415" s="110" t="s">
        <v>2485</v>
      </c>
      <c r="BC415" s="212" t="s">
        <v>8726</v>
      </c>
      <c r="BD415" s="110" t="s">
        <v>8374</v>
      </c>
      <c r="BE415" s="106" t="s">
        <v>2449</v>
      </c>
      <c r="BF415" s="106" t="s">
        <v>272</v>
      </c>
      <c r="BG415" s="106" t="s">
        <v>272</v>
      </c>
      <c r="BH415" s="106" t="s">
        <v>2486</v>
      </c>
      <c r="BI415" s="220">
        <v>2.7418239999999999E-3</v>
      </c>
      <c r="BJ415" s="220">
        <v>27.418240000000001</v>
      </c>
      <c r="BK415" s="106"/>
      <c r="BL415" s="486">
        <v>4.3003776852938733</v>
      </c>
      <c r="BM415" s="110" t="s">
        <v>2487</v>
      </c>
      <c r="BN415" s="106"/>
      <c r="BO415" s="106"/>
      <c r="BP415" s="106"/>
      <c r="BQ415" s="106"/>
      <c r="BR415" s="110"/>
      <c r="BS415" s="106"/>
      <c r="BT415" s="106"/>
      <c r="BU415" s="106"/>
      <c r="BV415" s="106"/>
      <c r="BW415" s="106"/>
      <c r="BX415" s="106"/>
      <c r="BY415" s="106"/>
      <c r="BZ415" s="106"/>
      <c r="CA415" s="106"/>
      <c r="CB415" s="106"/>
      <c r="CC415" s="106"/>
      <c r="CD415" s="106"/>
      <c r="CE415" s="106"/>
      <c r="CF415" s="106"/>
      <c r="CG415" s="106"/>
      <c r="CH415" s="106"/>
      <c r="CI415" s="109"/>
      <c r="CJ415" s="104"/>
      <c r="CK415" s="107">
        <f>BL415/BJ415</f>
        <v>0.15684368089614334</v>
      </c>
      <c r="CL415" s="216"/>
      <c r="CM415" s="216"/>
      <c r="CN415" s="216"/>
      <c r="CO415" s="110" t="s">
        <v>2488</v>
      </c>
      <c r="CP415" s="217" t="s">
        <v>2489</v>
      </c>
      <c r="CQ415" s="210" t="s">
        <v>272</v>
      </c>
      <c r="CR415" s="210"/>
      <c r="CS415" s="106" t="s">
        <v>539</v>
      </c>
      <c r="CT415" s="106"/>
      <c r="CU415" s="106"/>
      <c r="CV415" s="333">
        <f>X415/BJ415</f>
        <v>7.6527940526319657E-2</v>
      </c>
      <c r="CW415" s="106">
        <f t="shared" ref="CW415:CW478" si="112">IF(CV415&lt;1,0,1)</f>
        <v>0</v>
      </c>
      <c r="CX415" s="334"/>
      <c r="CY415" s="217" t="s">
        <v>5921</v>
      </c>
    </row>
    <row r="416" spans="1:103" ht="11.25" customHeight="1" x14ac:dyDescent="0.2">
      <c r="A416" s="72">
        <v>716</v>
      </c>
      <c r="B416" s="218">
        <v>1149</v>
      </c>
      <c r="C416" s="105" t="s">
        <v>6946</v>
      </c>
      <c r="D416" s="105"/>
      <c r="E416" s="113"/>
      <c r="F416" s="113" t="s">
        <v>3182</v>
      </c>
      <c r="G416" s="219">
        <v>330198919</v>
      </c>
      <c r="H416" s="110"/>
      <c r="I416" s="110"/>
      <c r="J416" s="110"/>
      <c r="K416" s="110"/>
      <c r="L416" s="110"/>
      <c r="M416" s="110"/>
      <c r="N416" s="212"/>
      <c r="O416" s="110"/>
      <c r="P416" s="110"/>
      <c r="Q416" s="110"/>
      <c r="R416" s="110"/>
      <c r="S416" s="110"/>
      <c r="T416" s="106">
        <v>500.66500000000002</v>
      </c>
      <c r="U416" s="220"/>
      <c r="V416" s="104"/>
      <c r="W416" s="104"/>
      <c r="X416" s="104"/>
      <c r="Y416" s="413"/>
      <c r="Z416" s="106"/>
      <c r="AA416" s="106"/>
      <c r="AB416" s="106"/>
      <c r="AC416" s="106"/>
      <c r="AD416" s="106"/>
      <c r="AE416" s="106"/>
      <c r="AF416" s="106"/>
      <c r="AG416" s="106" t="s">
        <v>6332</v>
      </c>
      <c r="AH416" s="220"/>
      <c r="AI416" s="220"/>
      <c r="AJ416" s="107"/>
      <c r="AK416" s="107"/>
      <c r="AL416" s="107"/>
      <c r="AM416" s="107"/>
      <c r="AN416" s="221"/>
      <c r="AO416" s="482"/>
      <c r="AP416" s="482"/>
      <c r="AQ416" s="106" t="s">
        <v>6317</v>
      </c>
      <c r="AR416" s="106" t="s">
        <v>6317</v>
      </c>
      <c r="AS416" s="222"/>
      <c r="AT416" s="108" t="s">
        <v>266</v>
      </c>
      <c r="AU416" s="106">
        <v>6</v>
      </c>
      <c r="AV416" s="106">
        <v>120</v>
      </c>
      <c r="AW416" s="106">
        <v>114</v>
      </c>
      <c r="AX416" s="106">
        <v>28</v>
      </c>
      <c r="AY416" s="106" t="s">
        <v>8728</v>
      </c>
      <c r="AZ416" s="106" t="s">
        <v>1563</v>
      </c>
      <c r="BA416" s="106">
        <v>32</v>
      </c>
      <c r="BB416" s="110" t="s">
        <v>2485</v>
      </c>
      <c r="BC416" s="212" t="s">
        <v>8726</v>
      </c>
      <c r="BD416" s="110" t="s">
        <v>8374</v>
      </c>
      <c r="BE416" s="106" t="s">
        <v>2449</v>
      </c>
      <c r="BF416" s="106" t="s">
        <v>272</v>
      </c>
      <c r="BG416" s="106" t="s">
        <v>272</v>
      </c>
      <c r="BH416" s="106" t="s">
        <v>2486</v>
      </c>
      <c r="BI416" s="220"/>
      <c r="BJ416" s="220"/>
      <c r="BK416" s="106"/>
      <c r="BL416" s="486"/>
      <c r="BM416" s="110" t="s">
        <v>2487</v>
      </c>
      <c r="BN416" s="106"/>
      <c r="BO416" s="106"/>
      <c r="BP416" s="106"/>
      <c r="BQ416" s="106"/>
      <c r="BR416" s="110"/>
      <c r="BS416" s="106"/>
      <c r="BT416" s="106"/>
      <c r="BU416" s="106"/>
      <c r="BV416" s="106"/>
      <c r="BW416" s="106"/>
      <c r="BX416" s="106"/>
      <c r="BY416" s="106"/>
      <c r="BZ416" s="106"/>
      <c r="CA416" s="106"/>
      <c r="CB416" s="106"/>
      <c r="CC416" s="106"/>
      <c r="CD416" s="106"/>
      <c r="CE416" s="106"/>
      <c r="CF416" s="106"/>
      <c r="CG416" s="106"/>
      <c r="CH416" s="106"/>
      <c r="CI416" s="109"/>
      <c r="CJ416" s="104"/>
      <c r="CK416" s="107"/>
      <c r="CL416" s="216"/>
      <c r="CM416" s="216"/>
      <c r="CN416" s="216"/>
      <c r="CO416" s="110" t="s">
        <v>2488</v>
      </c>
      <c r="CP416" s="217" t="s">
        <v>2489</v>
      </c>
      <c r="CQ416" s="210" t="s">
        <v>272</v>
      </c>
      <c r="CR416" s="210"/>
      <c r="CS416" s="106" t="s">
        <v>539</v>
      </c>
      <c r="CT416" s="106"/>
      <c r="CU416" s="106"/>
      <c r="CV416" s="333" t="s">
        <v>6310</v>
      </c>
      <c r="CW416" s="106">
        <f t="shared" si="112"/>
        <v>1</v>
      </c>
      <c r="CX416" s="334"/>
      <c r="CY416" s="217" t="s">
        <v>5921</v>
      </c>
    </row>
    <row r="417" spans="1:103" ht="11.25" customHeight="1" x14ac:dyDescent="0.2">
      <c r="A417" s="72">
        <v>717</v>
      </c>
      <c r="B417" s="218">
        <v>1771</v>
      </c>
      <c r="C417" s="105" t="s">
        <v>6947</v>
      </c>
      <c r="D417" s="105"/>
      <c r="E417" s="113"/>
      <c r="F417" s="113" t="s">
        <v>5104</v>
      </c>
      <c r="G417" s="219" t="s">
        <v>5104</v>
      </c>
      <c r="H417" s="110" t="s">
        <v>5105</v>
      </c>
      <c r="I417" s="110"/>
      <c r="J417" s="110" t="s">
        <v>5106</v>
      </c>
      <c r="K417" s="110"/>
      <c r="L417" s="110"/>
      <c r="M417" s="110"/>
      <c r="N417" s="212"/>
      <c r="O417" s="110"/>
      <c r="P417" s="110"/>
      <c r="Q417" s="110"/>
      <c r="R417" s="110"/>
      <c r="S417" s="110"/>
      <c r="T417" s="106">
        <v>756.95</v>
      </c>
      <c r="U417" s="220"/>
      <c r="V417" s="104">
        <v>1.2180000000000002E-5</v>
      </c>
      <c r="W417" s="104">
        <v>1.5454935372175966</v>
      </c>
      <c r="X417" s="104">
        <v>1.5454935372175966</v>
      </c>
      <c r="Y417" s="413">
        <v>7.45</v>
      </c>
      <c r="Z417" s="106">
        <v>7.12</v>
      </c>
      <c r="AA417" s="106"/>
      <c r="AB417" s="106">
        <v>5.61</v>
      </c>
      <c r="AC417" s="106">
        <v>0.64080000000000004</v>
      </c>
      <c r="AD417" s="106">
        <v>6.07</v>
      </c>
      <c r="AE417" s="106">
        <v>7.07</v>
      </c>
      <c r="AF417" s="106">
        <f t="shared" ref="AF417:AF448" si="113">IF(AA417=0,AD417,AA417)</f>
        <v>6.07</v>
      </c>
      <c r="AG417" s="107">
        <v>4.8899999999999997</v>
      </c>
      <c r="AH417" s="220">
        <v>9.6700000000000002E-25</v>
      </c>
      <c r="AI417" s="220"/>
      <c r="AJ417" s="107">
        <f t="shared" ref="AJ417:AJ448" si="114">LOG10(AH417*1000/(0.08206*298.15))</f>
        <v>-22.40313985222965</v>
      </c>
      <c r="AK417" s="107"/>
      <c r="AL417" s="107">
        <f t="shared" ref="AL417:AL448" si="115">IF(AK417=0,AJ417,AK417)</f>
        <v>-22.40313985222965</v>
      </c>
      <c r="AM417" s="107">
        <v>-41.97075000000001</v>
      </c>
      <c r="AN417" s="221">
        <v>-9.99</v>
      </c>
      <c r="AO417" s="482">
        <v>9.7899999999999991</v>
      </c>
      <c r="AP417" s="482">
        <v>10.01</v>
      </c>
      <c r="AQ417" s="221" t="s">
        <v>5921</v>
      </c>
      <c r="AR417" s="221" t="s">
        <v>5921</v>
      </c>
      <c r="AS417" s="218"/>
      <c r="AT417" s="108" t="s">
        <v>266</v>
      </c>
      <c r="AU417" s="106">
        <v>6</v>
      </c>
      <c r="AV417" s="106">
        <v>120</v>
      </c>
      <c r="AW417" s="106">
        <v>114</v>
      </c>
      <c r="AX417" s="106">
        <v>28</v>
      </c>
      <c r="AY417" s="106" t="s">
        <v>8728</v>
      </c>
      <c r="AZ417" s="106" t="s">
        <v>1563</v>
      </c>
      <c r="BA417" s="106">
        <v>32</v>
      </c>
      <c r="BB417" s="110" t="s">
        <v>2485</v>
      </c>
      <c r="BC417" s="212" t="s">
        <v>8726</v>
      </c>
      <c r="BD417" s="110" t="s">
        <v>8374</v>
      </c>
      <c r="BE417" s="106" t="s">
        <v>2449</v>
      </c>
      <c r="BF417" s="106" t="s">
        <v>272</v>
      </c>
      <c r="BG417" s="106" t="s">
        <v>272</v>
      </c>
      <c r="BH417" s="106" t="s">
        <v>2486</v>
      </c>
      <c r="BI417" s="220">
        <v>4.84448E-3</v>
      </c>
      <c r="BJ417" s="220">
        <v>48.444800000000001</v>
      </c>
      <c r="BK417" s="106"/>
      <c r="BL417" s="486"/>
      <c r="BM417" s="110" t="s">
        <v>2487</v>
      </c>
      <c r="BN417" s="106"/>
      <c r="BO417" s="106"/>
      <c r="BP417" s="106"/>
      <c r="BQ417" s="106"/>
      <c r="BR417" s="110"/>
      <c r="BS417" s="106"/>
      <c r="BT417" s="106"/>
      <c r="BU417" s="106"/>
      <c r="BV417" s="106"/>
      <c r="BW417" s="106"/>
      <c r="BX417" s="106"/>
      <c r="BY417" s="106"/>
      <c r="BZ417" s="106"/>
      <c r="CA417" s="106"/>
      <c r="CB417" s="106"/>
      <c r="CC417" s="106"/>
      <c r="CD417" s="106"/>
      <c r="CE417" s="106"/>
      <c r="CF417" s="106"/>
      <c r="CG417" s="106"/>
      <c r="CH417" s="106"/>
      <c r="CI417" s="109"/>
      <c r="CJ417" s="104"/>
      <c r="CK417" s="107">
        <f t="shared" ref="CK417:CK480" si="116">BL417/BJ417</f>
        <v>0</v>
      </c>
      <c r="CL417" s="216"/>
      <c r="CM417" s="216"/>
      <c r="CN417" s="216"/>
      <c r="CO417" s="110" t="s">
        <v>2488</v>
      </c>
      <c r="CP417" s="217" t="s">
        <v>2489</v>
      </c>
      <c r="CQ417" s="210" t="s">
        <v>272</v>
      </c>
      <c r="CR417" s="210"/>
      <c r="CS417" s="106" t="s">
        <v>539</v>
      </c>
      <c r="CT417" s="106"/>
      <c r="CU417" s="106"/>
      <c r="CV417" s="333">
        <f t="shared" ref="CV417:CV480" si="117">X417/BJ417</f>
        <v>3.1902155385461324E-2</v>
      </c>
      <c r="CW417" s="106">
        <f t="shared" si="112"/>
        <v>0</v>
      </c>
      <c r="CX417" s="334"/>
      <c r="CY417" s="217" t="s">
        <v>5921</v>
      </c>
    </row>
    <row r="418" spans="1:103" s="456" customFormat="1" ht="11.25" customHeight="1" x14ac:dyDescent="0.2">
      <c r="A418" s="72">
        <v>718</v>
      </c>
      <c r="B418" s="224">
        <v>1564</v>
      </c>
      <c r="C418" s="46" t="s">
        <v>6948</v>
      </c>
      <c r="D418" s="46"/>
      <c r="E418" s="114"/>
      <c r="F418" s="114" t="s">
        <v>4706</v>
      </c>
      <c r="G418" s="225">
        <v>50226</v>
      </c>
      <c r="H418" s="47" t="s">
        <v>4707</v>
      </c>
      <c r="I418" s="47" t="s">
        <v>4707</v>
      </c>
      <c r="J418" s="47" t="s">
        <v>4708</v>
      </c>
      <c r="K418" s="47" t="s">
        <v>3444</v>
      </c>
      <c r="L418" s="47"/>
      <c r="M418" s="47"/>
      <c r="N418" s="47"/>
      <c r="O418" s="47"/>
      <c r="P418" s="53"/>
      <c r="Q418" s="53"/>
      <c r="R418" s="53"/>
      <c r="S418" s="53"/>
      <c r="T418" s="48">
        <v>346.46</v>
      </c>
      <c r="U418" s="98">
        <v>199</v>
      </c>
      <c r="V418" s="98">
        <v>143.4</v>
      </c>
      <c r="W418" s="98">
        <v>128.72209547300628</v>
      </c>
      <c r="X418" s="98">
        <v>199</v>
      </c>
      <c r="Y418" s="233">
        <v>7</v>
      </c>
      <c r="Z418" s="48">
        <v>1.99</v>
      </c>
      <c r="AA418" s="48">
        <v>1.94</v>
      </c>
      <c r="AB418" s="48">
        <v>2.2000000000000002</v>
      </c>
      <c r="AC418" s="48">
        <v>0.88149999999999995</v>
      </c>
      <c r="AD418" s="48">
        <v>2.1</v>
      </c>
      <c r="AE418" s="48">
        <v>1.76</v>
      </c>
      <c r="AF418" s="48">
        <f t="shared" si="113"/>
        <v>1.94</v>
      </c>
      <c r="AG418" s="49">
        <v>1.95</v>
      </c>
      <c r="AH418" s="98">
        <v>3.7000000000000001E-10</v>
      </c>
      <c r="AI418" s="98"/>
      <c r="AJ418" s="483">
        <f t="shared" si="114"/>
        <v>-7.8203646022456565</v>
      </c>
      <c r="AK418" s="483"/>
      <c r="AL418" s="483">
        <f t="shared" si="115"/>
        <v>-7.8203646022456565</v>
      </c>
      <c r="AM418" s="483">
        <v>-20.406409999999997</v>
      </c>
      <c r="AN418" s="226">
        <v>-11.7</v>
      </c>
      <c r="AO418" s="484">
        <v>12.98</v>
      </c>
      <c r="AP418" s="484"/>
      <c r="AQ418" s="48" t="s">
        <v>6311</v>
      </c>
      <c r="AR418" s="48" t="s">
        <v>6311</v>
      </c>
      <c r="AS418" s="227"/>
      <c r="AT418" s="50" t="s">
        <v>266</v>
      </c>
      <c r="AU418" s="48">
        <v>6</v>
      </c>
      <c r="AV418" s="48">
        <v>120</v>
      </c>
      <c r="AW418" s="48">
        <v>114</v>
      </c>
      <c r="AX418" s="48">
        <v>28</v>
      </c>
      <c r="AY418" s="48" t="s">
        <v>8728</v>
      </c>
      <c r="AZ418" s="48" t="s">
        <v>1563</v>
      </c>
      <c r="BA418" s="48">
        <v>32</v>
      </c>
      <c r="BB418" s="47" t="s">
        <v>2485</v>
      </c>
      <c r="BC418" s="47" t="s">
        <v>8726</v>
      </c>
      <c r="BD418" s="47" t="s">
        <v>8374</v>
      </c>
      <c r="BE418" s="48" t="s">
        <v>2449</v>
      </c>
      <c r="BF418" s="48" t="s">
        <v>272</v>
      </c>
      <c r="BG418" s="48" t="s">
        <v>272</v>
      </c>
      <c r="BH418" s="48" t="s">
        <v>2486</v>
      </c>
      <c r="BI418" s="98">
        <v>2.2173439999999996E-3</v>
      </c>
      <c r="BJ418" s="98">
        <v>22.173439999999999</v>
      </c>
      <c r="BK418" s="48"/>
      <c r="BL418" s="487">
        <v>290.55884537971804</v>
      </c>
      <c r="BM418" s="47" t="s">
        <v>2487</v>
      </c>
      <c r="BN418" s="48"/>
      <c r="BO418" s="48"/>
      <c r="BP418" s="48"/>
      <c r="BQ418" s="48"/>
      <c r="BR418" s="47" t="e">
        <v>#VALUE!</v>
      </c>
      <c r="BS418" s="48"/>
      <c r="BT418" s="48"/>
      <c r="BU418" s="228"/>
      <c r="BV418" s="48"/>
      <c r="BW418" s="48"/>
      <c r="BX418" s="48"/>
      <c r="BY418" s="48"/>
      <c r="BZ418" s="48"/>
      <c r="CA418" s="48"/>
      <c r="CB418" s="48"/>
      <c r="CC418" s="48"/>
      <c r="CD418" s="48"/>
      <c r="CE418" s="48"/>
      <c r="CF418" s="48"/>
      <c r="CG418" s="48"/>
      <c r="CH418" s="48"/>
      <c r="CI418" s="98"/>
      <c r="CJ418" s="98"/>
      <c r="CK418" s="49">
        <f t="shared" si="116"/>
        <v>13.103913753559125</v>
      </c>
      <c r="CL418" s="229"/>
      <c r="CM418" s="229"/>
      <c r="CN418" s="229"/>
      <c r="CO418" s="47" t="s">
        <v>2488</v>
      </c>
      <c r="CP418" s="500" t="s">
        <v>2489</v>
      </c>
      <c r="CQ418" s="224" t="s">
        <v>272</v>
      </c>
      <c r="CR418" s="224"/>
      <c r="CS418" s="230" t="s">
        <v>539</v>
      </c>
      <c r="CT418" s="230"/>
      <c r="CU418" s="328"/>
      <c r="CV418" s="335">
        <f t="shared" si="117"/>
        <v>8.9747012642152058</v>
      </c>
      <c r="CW418" s="230">
        <f t="shared" si="112"/>
        <v>1</v>
      </c>
      <c r="CX418" s="336"/>
      <c r="CY418" s="230" t="s">
        <v>5921</v>
      </c>
    </row>
    <row r="419" spans="1:103" ht="11.25" customHeight="1" x14ac:dyDescent="0.2">
      <c r="A419" s="72">
        <v>719</v>
      </c>
      <c r="B419" s="224">
        <v>909</v>
      </c>
      <c r="C419" s="46" t="s">
        <v>6949</v>
      </c>
      <c r="D419" s="46"/>
      <c r="E419" s="114"/>
      <c r="F419" s="114" t="s">
        <v>2592</v>
      </c>
      <c r="G419" s="225">
        <v>50282</v>
      </c>
      <c r="H419" s="47" t="s">
        <v>2593</v>
      </c>
      <c r="I419" s="47" t="s">
        <v>2593</v>
      </c>
      <c r="J419" s="47" t="s">
        <v>2594</v>
      </c>
      <c r="K419" s="47" t="s">
        <v>349</v>
      </c>
      <c r="L419" s="47" t="s">
        <v>279</v>
      </c>
      <c r="M419" s="47" t="s">
        <v>2595</v>
      </c>
      <c r="N419" s="47" t="s">
        <v>6386</v>
      </c>
      <c r="O419" s="47" t="s">
        <v>281</v>
      </c>
      <c r="P419" s="53"/>
      <c r="Q419" s="53"/>
      <c r="R419" s="53"/>
      <c r="S419" s="53"/>
      <c r="T419" s="48">
        <v>272.38</v>
      </c>
      <c r="U419" s="98">
        <v>3.9</v>
      </c>
      <c r="V419" s="98">
        <v>81.97</v>
      </c>
      <c r="W419" s="98">
        <v>3.0561538658276861</v>
      </c>
      <c r="X419" s="98">
        <v>3.9</v>
      </c>
      <c r="Y419" s="233">
        <v>6.99</v>
      </c>
      <c r="Z419" s="48">
        <v>3.94</v>
      </c>
      <c r="AA419" s="48">
        <v>4.01</v>
      </c>
      <c r="AB419" s="48">
        <v>3.37</v>
      </c>
      <c r="AC419" s="48">
        <v>0.78210000000000002</v>
      </c>
      <c r="AD419" s="48">
        <v>3.62</v>
      </c>
      <c r="AE419" s="48">
        <v>4.13</v>
      </c>
      <c r="AF419" s="48">
        <f t="shared" si="113"/>
        <v>4.01</v>
      </c>
      <c r="AG419" s="49">
        <v>3.6</v>
      </c>
      <c r="AH419" s="98">
        <v>3.6399999999999998E-11</v>
      </c>
      <c r="AI419" s="98"/>
      <c r="AJ419" s="483">
        <f t="shared" si="114"/>
        <v>-8.827464942663596</v>
      </c>
      <c r="AK419" s="483"/>
      <c r="AL419" s="483">
        <f t="shared" si="115"/>
        <v>-8.827464942663596</v>
      </c>
      <c r="AM419" s="483">
        <v>-16.673349999999999</v>
      </c>
      <c r="AN419" s="226">
        <v>-9.5500000000000007</v>
      </c>
      <c r="AO419" s="484">
        <v>10.27</v>
      </c>
      <c r="AP419" s="484"/>
      <c r="AQ419" s="48" t="s">
        <v>6311</v>
      </c>
      <c r="AR419" s="48" t="s">
        <v>6311</v>
      </c>
      <c r="AS419" s="227"/>
      <c r="AT419" s="50" t="s">
        <v>266</v>
      </c>
      <c r="AU419" s="48">
        <v>6</v>
      </c>
      <c r="AV419" s="48">
        <v>120</v>
      </c>
      <c r="AW419" s="48">
        <v>114</v>
      </c>
      <c r="AX419" s="48">
        <v>28</v>
      </c>
      <c r="AY419" s="48" t="s">
        <v>8728</v>
      </c>
      <c r="AZ419" s="48" t="s">
        <v>1563</v>
      </c>
      <c r="BA419" s="48">
        <v>32</v>
      </c>
      <c r="BB419" s="47" t="s">
        <v>2485</v>
      </c>
      <c r="BC419" s="47" t="s">
        <v>8726</v>
      </c>
      <c r="BD419" s="47" t="s">
        <v>8374</v>
      </c>
      <c r="BE419" s="48" t="s">
        <v>2449</v>
      </c>
      <c r="BF419" s="48" t="s">
        <v>272</v>
      </c>
      <c r="BG419" s="48" t="s">
        <v>272</v>
      </c>
      <c r="BH419" s="48" t="s">
        <v>2486</v>
      </c>
      <c r="BI419" s="98">
        <v>1.7432319999999999E-3</v>
      </c>
      <c r="BJ419" s="98">
        <v>17.432320000000001</v>
      </c>
      <c r="BK419" s="48"/>
      <c r="BL419" s="487">
        <v>4.0500577467933541</v>
      </c>
      <c r="BM419" s="47" t="s">
        <v>2487</v>
      </c>
      <c r="BN419" s="48"/>
      <c r="BO419" s="48"/>
      <c r="BP419" s="48"/>
      <c r="BQ419" s="48"/>
      <c r="BR419" s="47" t="e">
        <v>#VALUE!</v>
      </c>
      <c r="BS419" s="48"/>
      <c r="BT419" s="48"/>
      <c r="BU419" s="228">
        <v>17.432320000000001</v>
      </c>
      <c r="BV419" s="48"/>
      <c r="BW419" s="48"/>
      <c r="BX419" s="48"/>
      <c r="BY419" s="48"/>
      <c r="BZ419" s="48"/>
      <c r="CA419" s="48"/>
      <c r="CB419" s="48"/>
      <c r="CC419" s="48"/>
      <c r="CD419" s="48"/>
      <c r="CE419" s="48"/>
      <c r="CF419" s="48"/>
      <c r="CG419" s="48"/>
      <c r="CH419" s="48"/>
      <c r="CI419" s="98"/>
      <c r="CJ419" s="98"/>
      <c r="CK419" s="49">
        <f t="shared" si="116"/>
        <v>0.2323303924430801</v>
      </c>
      <c r="CL419" s="229"/>
      <c r="CM419" s="229"/>
      <c r="CN419" s="229"/>
      <c r="CO419" s="47" t="s">
        <v>2488</v>
      </c>
      <c r="CP419" s="500" t="s">
        <v>2489</v>
      </c>
      <c r="CQ419" s="224" t="s">
        <v>272</v>
      </c>
      <c r="CR419" s="224"/>
      <c r="CS419" s="230" t="s">
        <v>539</v>
      </c>
      <c r="CT419" s="230"/>
      <c r="CU419" s="230"/>
      <c r="CV419" s="335">
        <f t="shared" si="117"/>
        <v>0.22372237315515087</v>
      </c>
      <c r="CW419" s="230">
        <f t="shared" si="112"/>
        <v>0</v>
      </c>
      <c r="CX419" s="336"/>
      <c r="CY419" s="230" t="s">
        <v>6351</v>
      </c>
    </row>
    <row r="420" spans="1:103" ht="11.25" customHeight="1" x14ac:dyDescent="0.2">
      <c r="A420" s="72">
        <v>720</v>
      </c>
      <c r="B420" s="224">
        <v>1851</v>
      </c>
      <c r="C420" s="46" t="s">
        <v>6950</v>
      </c>
      <c r="D420" s="46"/>
      <c r="E420" s="114"/>
      <c r="F420" s="114" t="s">
        <v>5267</v>
      </c>
      <c r="G420" s="225">
        <v>50555</v>
      </c>
      <c r="H420" s="47" t="s">
        <v>5268</v>
      </c>
      <c r="I420" s="47" t="s">
        <v>7974</v>
      </c>
      <c r="J420" s="47" t="s">
        <v>5269</v>
      </c>
      <c r="K420" s="47" t="s">
        <v>5270</v>
      </c>
      <c r="L420" s="47" t="s">
        <v>279</v>
      </c>
      <c r="M420" s="47" t="s">
        <v>5271</v>
      </c>
      <c r="N420" s="47" t="s">
        <v>6376</v>
      </c>
      <c r="O420" s="47" t="s">
        <v>281</v>
      </c>
      <c r="P420" s="53"/>
      <c r="Q420" s="53"/>
      <c r="R420" s="53"/>
      <c r="S420" s="53"/>
      <c r="T420" s="48">
        <v>608.67999999999995</v>
      </c>
      <c r="U420" s="98">
        <v>73</v>
      </c>
      <c r="V420" s="98">
        <v>2.0840000000000001</v>
      </c>
      <c r="W420" s="98">
        <v>6.6740434842843337</v>
      </c>
      <c r="X420" s="98">
        <v>73</v>
      </c>
      <c r="Y420" s="233">
        <v>8.1199999999999992</v>
      </c>
      <c r="Z420" s="48">
        <v>3.32</v>
      </c>
      <c r="AA420" s="48"/>
      <c r="AB420" s="48">
        <v>4.22</v>
      </c>
      <c r="AC420" s="48">
        <v>0.68579999999999997</v>
      </c>
      <c r="AD420" s="48">
        <v>4.16</v>
      </c>
      <c r="AE420" s="48">
        <v>4.05</v>
      </c>
      <c r="AF420" s="48">
        <f t="shared" si="113"/>
        <v>4.16</v>
      </c>
      <c r="AG420" s="49">
        <v>4.16</v>
      </c>
      <c r="AH420" s="98">
        <v>5.3599999999999995E-23</v>
      </c>
      <c r="AI420" s="98"/>
      <c r="AJ420" s="483">
        <f t="shared" si="114"/>
        <v>-20.659401536619882</v>
      </c>
      <c r="AK420" s="483"/>
      <c r="AL420" s="483">
        <f t="shared" si="115"/>
        <v>-20.659401536619882</v>
      </c>
      <c r="AM420" s="483">
        <v>-30.879480000000001</v>
      </c>
      <c r="AN420" s="226">
        <v>-22.2</v>
      </c>
      <c r="AO420" s="484">
        <v>18.11</v>
      </c>
      <c r="AP420" s="484">
        <v>7.25</v>
      </c>
      <c r="AQ420" s="226" t="s">
        <v>6311</v>
      </c>
      <c r="AR420" s="226" t="s">
        <v>6312</v>
      </c>
      <c r="AS420" s="224"/>
      <c r="AT420" s="50" t="s">
        <v>266</v>
      </c>
      <c r="AU420" s="48">
        <v>6</v>
      </c>
      <c r="AV420" s="48">
        <v>120</v>
      </c>
      <c r="AW420" s="48">
        <v>114</v>
      </c>
      <c r="AX420" s="48">
        <v>28</v>
      </c>
      <c r="AY420" s="48" t="s">
        <v>8728</v>
      </c>
      <c r="AZ420" s="48" t="s">
        <v>1563</v>
      </c>
      <c r="BA420" s="48">
        <v>32</v>
      </c>
      <c r="BB420" s="47" t="s">
        <v>2485</v>
      </c>
      <c r="BC420" s="47" t="s">
        <v>8726</v>
      </c>
      <c r="BD420" s="47" t="s">
        <v>8374</v>
      </c>
      <c r="BE420" s="48" t="s">
        <v>2449</v>
      </c>
      <c r="BF420" s="48" t="s">
        <v>272</v>
      </c>
      <c r="BG420" s="48" t="s">
        <v>272</v>
      </c>
      <c r="BH420" s="48" t="s">
        <v>2486</v>
      </c>
      <c r="BI420" s="98">
        <v>3.8955519999999996E-3</v>
      </c>
      <c r="BJ420" s="98">
        <v>38.95552</v>
      </c>
      <c r="BK420" s="48"/>
      <c r="BL420" s="487">
        <v>32.620982100350211</v>
      </c>
      <c r="BM420" s="47" t="s">
        <v>2487</v>
      </c>
      <c r="BN420" s="48"/>
      <c r="BO420" s="48"/>
      <c r="BP420" s="48"/>
      <c r="BQ420" s="48"/>
      <c r="BR420" s="47" t="e">
        <v>#VALUE!</v>
      </c>
      <c r="BS420" s="48"/>
      <c r="BT420" s="48"/>
      <c r="BU420" s="228"/>
      <c r="BV420" s="48"/>
      <c r="BW420" s="48"/>
      <c r="BX420" s="48"/>
      <c r="BY420" s="48"/>
      <c r="BZ420" s="48"/>
      <c r="CA420" s="48"/>
      <c r="CB420" s="48"/>
      <c r="CC420" s="48"/>
      <c r="CD420" s="48"/>
      <c r="CE420" s="48"/>
      <c r="CF420" s="48"/>
      <c r="CG420" s="48"/>
      <c r="CH420" s="48"/>
      <c r="CI420" s="98"/>
      <c r="CJ420" s="98"/>
      <c r="CK420" s="49">
        <f t="shared" si="116"/>
        <v>0.83739049306363289</v>
      </c>
      <c r="CL420" s="229"/>
      <c r="CM420" s="229"/>
      <c r="CN420" s="229"/>
      <c r="CO420" s="47" t="s">
        <v>2488</v>
      </c>
      <c r="CP420" s="500" t="s">
        <v>2489</v>
      </c>
      <c r="CQ420" s="224" t="s">
        <v>272</v>
      </c>
      <c r="CR420" s="224"/>
      <c r="CS420" s="230" t="s">
        <v>539</v>
      </c>
      <c r="CT420" s="230"/>
      <c r="CU420" s="230"/>
      <c r="CV420" s="335">
        <f t="shared" si="117"/>
        <v>1.873932115397253</v>
      </c>
      <c r="CW420" s="230">
        <f t="shared" si="112"/>
        <v>1</v>
      </c>
      <c r="CX420" s="336"/>
      <c r="CY420" s="230" t="s">
        <v>5921</v>
      </c>
    </row>
    <row r="421" spans="1:103" ht="11.25" customHeight="1" x14ac:dyDescent="0.2">
      <c r="A421" s="72">
        <v>721</v>
      </c>
      <c r="B421" s="224">
        <v>1205</v>
      </c>
      <c r="C421" s="46" t="s">
        <v>1327</v>
      </c>
      <c r="D421" s="46"/>
      <c r="E421" s="114"/>
      <c r="F421" s="114" t="s">
        <v>1328</v>
      </c>
      <c r="G421" s="225">
        <v>50657</v>
      </c>
      <c r="H421" s="47" t="s">
        <v>1329</v>
      </c>
      <c r="I421" s="47" t="s">
        <v>7886</v>
      </c>
      <c r="J421" s="47" t="s">
        <v>1330</v>
      </c>
      <c r="K421" s="47" t="s">
        <v>464</v>
      </c>
      <c r="L421" s="47" t="s">
        <v>279</v>
      </c>
      <c r="M421" s="47" t="s">
        <v>1331</v>
      </c>
      <c r="N421" s="47" t="s">
        <v>6381</v>
      </c>
      <c r="O421" s="47" t="s">
        <v>281</v>
      </c>
      <c r="P421" s="53"/>
      <c r="Q421" s="53"/>
      <c r="R421" s="53"/>
      <c r="S421" s="53"/>
      <c r="T421" s="48">
        <v>327.12</v>
      </c>
      <c r="U421" s="98">
        <v>1.5999999999999999</v>
      </c>
      <c r="V421" s="98">
        <v>1.6850000000000001</v>
      </c>
      <c r="W421" s="98">
        <v>0.35051539512932522</v>
      </c>
      <c r="X421" s="98">
        <v>1.5999999999999999</v>
      </c>
      <c r="Y421" s="233">
        <v>6.72</v>
      </c>
      <c r="Z421" s="48">
        <v>4.5599999999999996</v>
      </c>
      <c r="AA421" s="48"/>
      <c r="AB421" s="48">
        <v>4.43</v>
      </c>
      <c r="AC421" s="48">
        <v>0.72719999999999996</v>
      </c>
      <c r="AD421" s="48">
        <v>4.72</v>
      </c>
      <c r="AE421" s="48">
        <v>5.4</v>
      </c>
      <c r="AF421" s="48">
        <f t="shared" si="113"/>
        <v>4.72</v>
      </c>
      <c r="AG421" s="49">
        <v>3.4</v>
      </c>
      <c r="AH421" s="98">
        <v>3.4699999999999999E-13</v>
      </c>
      <c r="AI421" s="98">
        <v>3.9999999999999999E-12</v>
      </c>
      <c r="AJ421" s="483">
        <f t="shared" si="114"/>
        <v>-10.848236851521778</v>
      </c>
      <c r="AK421" s="483">
        <f>LOG10(AI421*1000/(0.08206*298.15))</f>
        <v>-9.7865063349846899</v>
      </c>
      <c r="AL421" s="483">
        <f t="shared" si="115"/>
        <v>-9.7865063349846899</v>
      </c>
      <c r="AM421" s="483">
        <v>-17.142900000000001</v>
      </c>
      <c r="AN421" s="226">
        <v>-8.14</v>
      </c>
      <c r="AO421" s="484">
        <v>7.45</v>
      </c>
      <c r="AP421" s="484">
        <v>-2.36</v>
      </c>
      <c r="AQ421" s="48" t="s">
        <v>6311</v>
      </c>
      <c r="AR421" s="48" t="s">
        <v>6311</v>
      </c>
      <c r="AS421" s="227"/>
      <c r="AT421" s="50" t="s">
        <v>266</v>
      </c>
      <c r="AU421" s="48">
        <v>6</v>
      </c>
      <c r="AV421" s="48">
        <v>120</v>
      </c>
      <c r="AW421" s="48">
        <v>114</v>
      </c>
      <c r="AX421" s="48">
        <v>28</v>
      </c>
      <c r="AY421" s="48" t="s">
        <v>8728</v>
      </c>
      <c r="AZ421" s="48" t="s">
        <v>1563</v>
      </c>
      <c r="BA421" s="48">
        <v>32</v>
      </c>
      <c r="BB421" s="47" t="s">
        <v>2485</v>
      </c>
      <c r="BC421" s="47" t="s">
        <v>8726</v>
      </c>
      <c r="BD421" s="47" t="s">
        <v>8374</v>
      </c>
      <c r="BE421" s="48" t="s">
        <v>2449</v>
      </c>
      <c r="BF421" s="48" t="s">
        <v>272</v>
      </c>
      <c r="BG421" s="48" t="s">
        <v>272</v>
      </c>
      <c r="BH421" s="48" t="s">
        <v>2486</v>
      </c>
      <c r="BI421" s="98">
        <v>2.0935680000000001E-3</v>
      </c>
      <c r="BJ421" s="98">
        <v>20.935680000000001</v>
      </c>
      <c r="BK421" s="48"/>
      <c r="BL421" s="487">
        <v>1.3494944336921437</v>
      </c>
      <c r="BM421" s="47" t="s">
        <v>2487</v>
      </c>
      <c r="BN421" s="48"/>
      <c r="BO421" s="48"/>
      <c r="BP421" s="48"/>
      <c r="BQ421" s="48"/>
      <c r="BR421" s="47" t="e">
        <v>#VALUE!</v>
      </c>
      <c r="BS421" s="48"/>
      <c r="BT421" s="48"/>
      <c r="BU421" s="228">
        <v>1.046784E-3</v>
      </c>
      <c r="BV421" s="48"/>
      <c r="BW421" s="48"/>
      <c r="BX421" s="48"/>
      <c r="BY421" s="48"/>
      <c r="BZ421" s="48"/>
      <c r="CA421" s="48"/>
      <c r="CB421" s="48"/>
      <c r="CC421" s="48"/>
      <c r="CD421" s="48"/>
      <c r="CE421" s="48"/>
      <c r="CF421" s="48"/>
      <c r="CG421" s="48"/>
      <c r="CH421" s="48"/>
      <c r="CI421" s="98"/>
      <c r="CJ421" s="98"/>
      <c r="CK421" s="49">
        <f t="shared" si="116"/>
        <v>6.4459068618365561E-2</v>
      </c>
      <c r="CL421" s="229"/>
      <c r="CM421" s="229">
        <v>-0.9586073148417753</v>
      </c>
      <c r="CN421" s="229">
        <f>BJ421/(10^CM421)</f>
        <v>190.3243636363639</v>
      </c>
      <c r="CO421" s="47" t="s">
        <v>2488</v>
      </c>
      <c r="CP421" s="500" t="s">
        <v>2489</v>
      </c>
      <c r="CQ421" s="224">
        <v>-0.95860731484177497</v>
      </c>
      <c r="CR421" s="224">
        <f>10^(CJ421-CQ421)</f>
        <v>9.0909090909090935</v>
      </c>
      <c r="CS421" s="230" t="s">
        <v>539</v>
      </c>
      <c r="CT421" s="230"/>
      <c r="CU421" s="230"/>
      <c r="CV421" s="335">
        <f t="shared" si="117"/>
        <v>7.6424553680606494E-2</v>
      </c>
      <c r="CW421" s="230">
        <f t="shared" si="112"/>
        <v>0</v>
      </c>
      <c r="CX421" s="336"/>
      <c r="CY421" s="230" t="s">
        <v>5921</v>
      </c>
    </row>
    <row r="422" spans="1:103" ht="11.25" customHeight="1" x14ac:dyDescent="0.2">
      <c r="A422" s="72">
        <v>722</v>
      </c>
      <c r="B422" s="224">
        <v>1506</v>
      </c>
      <c r="C422" s="46" t="s">
        <v>6951</v>
      </c>
      <c r="D422" s="46"/>
      <c r="E422" s="114"/>
      <c r="F422" s="114" t="s">
        <v>531</v>
      </c>
      <c r="G422" s="225">
        <v>50782</v>
      </c>
      <c r="H422" s="47" t="s">
        <v>532</v>
      </c>
      <c r="I422" s="47" t="s">
        <v>532</v>
      </c>
      <c r="J422" s="47" t="s">
        <v>533</v>
      </c>
      <c r="K422" s="47" t="s">
        <v>357</v>
      </c>
      <c r="L422" s="47" t="s">
        <v>279</v>
      </c>
      <c r="M422" s="47" t="s">
        <v>8513</v>
      </c>
      <c r="N422" s="47"/>
      <c r="O422" s="47" t="s">
        <v>281</v>
      </c>
      <c r="P422" s="53"/>
      <c r="Q422" s="53"/>
      <c r="R422" s="53"/>
      <c r="S422" s="53"/>
      <c r="T422" s="48">
        <v>180.16</v>
      </c>
      <c r="U422" s="98">
        <v>4600</v>
      </c>
      <c r="V422" s="98">
        <v>5295</v>
      </c>
      <c r="W422" s="98">
        <v>2374.9713401832237</v>
      </c>
      <c r="X422" s="98">
        <v>4600</v>
      </c>
      <c r="Y422" s="233">
        <v>2.72</v>
      </c>
      <c r="Z422" s="48">
        <v>1.1299999999999999</v>
      </c>
      <c r="AA422" s="48">
        <v>1.19</v>
      </c>
      <c r="AB422" s="48">
        <v>1.44</v>
      </c>
      <c r="AC422" s="48">
        <v>0.93910000000000005</v>
      </c>
      <c r="AD422" s="48">
        <v>1.39</v>
      </c>
      <c r="AE422" s="48">
        <v>1.19</v>
      </c>
      <c r="AF422" s="48">
        <f t="shared" si="113"/>
        <v>1.19</v>
      </c>
      <c r="AG422" s="49">
        <v>1.24</v>
      </c>
      <c r="AH422" s="98">
        <v>1.3000000000000001E-9</v>
      </c>
      <c r="AI422" s="98">
        <v>1.3000000000000001E-9</v>
      </c>
      <c r="AJ422" s="483">
        <f t="shared" si="114"/>
        <v>-7.2746229740058146</v>
      </c>
      <c r="AK422" s="483">
        <f>LOG10(AI422*1000/(0.08206*298.15))</f>
        <v>-7.2746229740058146</v>
      </c>
      <c r="AL422" s="483">
        <f t="shared" si="115"/>
        <v>-7.2746229740058146</v>
      </c>
      <c r="AM422" s="483">
        <v>-10.548029999999999</v>
      </c>
      <c r="AN422" s="226">
        <v>-7.7</v>
      </c>
      <c r="AO422" s="484">
        <v>3.48</v>
      </c>
      <c r="AP422" s="484"/>
      <c r="AQ422" s="48" t="s">
        <v>6311</v>
      </c>
      <c r="AR422" s="48" t="s">
        <v>6314</v>
      </c>
      <c r="AS422" s="227"/>
      <c r="AT422" s="50" t="s">
        <v>266</v>
      </c>
      <c r="AU422" s="48">
        <v>6</v>
      </c>
      <c r="AV422" s="48">
        <v>120</v>
      </c>
      <c r="AW422" s="48">
        <v>114</v>
      </c>
      <c r="AX422" s="48">
        <v>28</v>
      </c>
      <c r="AY422" s="48" t="s">
        <v>8728</v>
      </c>
      <c r="AZ422" s="48" t="s">
        <v>1563</v>
      </c>
      <c r="BA422" s="48">
        <v>32</v>
      </c>
      <c r="BB422" s="47" t="s">
        <v>2485</v>
      </c>
      <c r="BC422" s="47" t="s">
        <v>8726</v>
      </c>
      <c r="BD422" s="47" t="s">
        <v>8374</v>
      </c>
      <c r="BE422" s="48" t="s">
        <v>2449</v>
      </c>
      <c r="BF422" s="48" t="s">
        <v>272</v>
      </c>
      <c r="BG422" s="48" t="s">
        <v>272</v>
      </c>
      <c r="BH422" s="48" t="s">
        <v>2486</v>
      </c>
      <c r="BI422" s="98">
        <v>1.1530239999999999E-3</v>
      </c>
      <c r="BJ422" s="98">
        <v>11.530239999999999</v>
      </c>
      <c r="BK422" s="48"/>
      <c r="BL422" s="487">
        <v>894.55155126681882</v>
      </c>
      <c r="BM422" s="47" t="s">
        <v>2487</v>
      </c>
      <c r="BN422" s="48"/>
      <c r="BO422" s="48"/>
      <c r="BP422" s="48"/>
      <c r="BQ422" s="48"/>
      <c r="BR422" s="47" t="e">
        <v>#VALUE!</v>
      </c>
      <c r="BS422" s="48"/>
      <c r="BT422" s="48"/>
      <c r="BU422" s="228"/>
      <c r="BV422" s="48"/>
      <c r="BW422" s="48"/>
      <c r="BX422" s="48"/>
      <c r="BY422" s="48"/>
      <c r="BZ422" s="48"/>
      <c r="CA422" s="48"/>
      <c r="CB422" s="48"/>
      <c r="CC422" s="48"/>
      <c r="CD422" s="48"/>
      <c r="CE422" s="48"/>
      <c r="CF422" s="48"/>
      <c r="CG422" s="48"/>
      <c r="CH422" s="48"/>
      <c r="CI422" s="98"/>
      <c r="CJ422" s="98"/>
      <c r="CK422" s="49">
        <f t="shared" si="116"/>
        <v>77.583081641563311</v>
      </c>
      <c r="CL422" s="229"/>
      <c r="CM422" s="229"/>
      <c r="CN422" s="229"/>
      <c r="CO422" s="47" t="s">
        <v>2488</v>
      </c>
      <c r="CP422" s="500" t="s">
        <v>2489</v>
      </c>
      <c r="CQ422" s="224" t="s">
        <v>272</v>
      </c>
      <c r="CR422" s="224"/>
      <c r="CS422" s="230" t="s">
        <v>539</v>
      </c>
      <c r="CT422" s="230"/>
      <c r="CU422" s="230"/>
      <c r="CV422" s="335">
        <f t="shared" si="117"/>
        <v>398.95093250444052</v>
      </c>
      <c r="CW422" s="230">
        <f t="shared" si="112"/>
        <v>1</v>
      </c>
      <c r="CX422" s="336"/>
      <c r="CY422" s="230" t="s">
        <v>6351</v>
      </c>
    </row>
    <row r="423" spans="1:103" ht="11.25" customHeight="1" x14ac:dyDescent="0.2">
      <c r="A423" s="72">
        <v>723</v>
      </c>
      <c r="B423" s="224">
        <v>1475</v>
      </c>
      <c r="C423" s="46" t="s">
        <v>6952</v>
      </c>
      <c r="D423" s="46"/>
      <c r="E423" s="114"/>
      <c r="F423" s="114" t="s">
        <v>4529</v>
      </c>
      <c r="G423" s="225">
        <v>51218</v>
      </c>
      <c r="H423" s="47" t="s">
        <v>4530</v>
      </c>
      <c r="I423" s="47" t="s">
        <v>4530</v>
      </c>
      <c r="J423" s="47" t="s">
        <v>4531</v>
      </c>
      <c r="K423" s="47" t="s">
        <v>2039</v>
      </c>
      <c r="L423" s="47" t="s">
        <v>279</v>
      </c>
      <c r="M423" s="47" t="s">
        <v>8516</v>
      </c>
      <c r="N423" s="47" t="s">
        <v>6383</v>
      </c>
      <c r="O423" s="47" t="s">
        <v>281</v>
      </c>
      <c r="P423" s="53"/>
      <c r="Q423" s="53"/>
      <c r="R423" s="53"/>
      <c r="S423" s="53"/>
      <c r="T423" s="48">
        <v>130.08000000000001</v>
      </c>
      <c r="U423" s="98">
        <v>11100</v>
      </c>
      <c r="V423" s="98">
        <v>25900</v>
      </c>
      <c r="W423" s="98">
        <v>16757.550168424284</v>
      </c>
      <c r="X423" s="98">
        <v>11100</v>
      </c>
      <c r="Y423" s="233">
        <v>3.65</v>
      </c>
      <c r="Z423" s="48">
        <v>-0.81</v>
      </c>
      <c r="AA423" s="48">
        <v>-0.89</v>
      </c>
      <c r="AB423" s="48">
        <v>-0.48</v>
      </c>
      <c r="AC423" s="48">
        <v>0.80269999999999997</v>
      </c>
      <c r="AD423" s="48">
        <v>-0.56999999999999995</v>
      </c>
      <c r="AE423" s="48">
        <v>-0.78</v>
      </c>
      <c r="AF423" s="48">
        <f t="shared" si="113"/>
        <v>-0.89</v>
      </c>
      <c r="AG423" s="49">
        <v>-0.13</v>
      </c>
      <c r="AH423" s="98">
        <v>1.66E-10</v>
      </c>
      <c r="AI423" s="98"/>
      <c r="AJ423" s="483">
        <f t="shared" si="114"/>
        <v>-8.1684582382725974</v>
      </c>
      <c r="AK423" s="483"/>
      <c r="AL423" s="483">
        <f t="shared" si="115"/>
        <v>-8.1684582382725974</v>
      </c>
      <c r="AM423" s="483">
        <v>-10.14142</v>
      </c>
      <c r="AN423" s="226">
        <v>-8.4499999999999993</v>
      </c>
      <c r="AO423" s="484">
        <v>6.73</v>
      </c>
      <c r="AP423" s="484"/>
      <c r="AQ423" s="48" t="s">
        <v>6311</v>
      </c>
      <c r="AR423" s="48" t="s">
        <v>6311</v>
      </c>
      <c r="AS423" s="227"/>
      <c r="AT423" s="50" t="s">
        <v>266</v>
      </c>
      <c r="AU423" s="48">
        <v>6</v>
      </c>
      <c r="AV423" s="48">
        <v>120</v>
      </c>
      <c r="AW423" s="48">
        <v>114</v>
      </c>
      <c r="AX423" s="48">
        <v>28</v>
      </c>
      <c r="AY423" s="48" t="s">
        <v>8728</v>
      </c>
      <c r="AZ423" s="48" t="s">
        <v>1563</v>
      </c>
      <c r="BA423" s="48">
        <v>32</v>
      </c>
      <c r="BB423" s="47" t="s">
        <v>2485</v>
      </c>
      <c r="BC423" s="47" t="s">
        <v>8726</v>
      </c>
      <c r="BD423" s="47" t="s">
        <v>8374</v>
      </c>
      <c r="BE423" s="48" t="s">
        <v>2449</v>
      </c>
      <c r="BF423" s="48" t="s">
        <v>272</v>
      </c>
      <c r="BG423" s="48" t="s">
        <v>272</v>
      </c>
      <c r="BH423" s="48" t="s">
        <v>2486</v>
      </c>
      <c r="BI423" s="98">
        <v>8.325120000000001E-4</v>
      </c>
      <c r="BJ423" s="98">
        <v>8.3251200000000019</v>
      </c>
      <c r="BK423" s="48"/>
      <c r="BL423" s="487">
        <v>35683.835468398807</v>
      </c>
      <c r="BM423" s="47" t="s">
        <v>2487</v>
      </c>
      <c r="BN423" s="48"/>
      <c r="BO423" s="48"/>
      <c r="BP423" s="48"/>
      <c r="BQ423" s="48"/>
      <c r="BR423" s="47" t="e">
        <v>#VALUE!</v>
      </c>
      <c r="BS423" s="48"/>
      <c r="BT423" s="48"/>
      <c r="BU423" s="228"/>
      <c r="BV423" s="48"/>
      <c r="BW423" s="48"/>
      <c r="BX423" s="48"/>
      <c r="BY423" s="48"/>
      <c r="BZ423" s="48"/>
      <c r="CA423" s="48"/>
      <c r="CB423" s="48"/>
      <c r="CC423" s="48"/>
      <c r="CD423" s="48"/>
      <c r="CE423" s="48"/>
      <c r="CF423" s="48"/>
      <c r="CG423" s="48"/>
      <c r="CH423" s="48"/>
      <c r="CI423" s="98"/>
      <c r="CJ423" s="98"/>
      <c r="CK423" s="49">
        <f t="shared" si="116"/>
        <v>4286.2848185249941</v>
      </c>
      <c r="CL423" s="229"/>
      <c r="CM423" s="229"/>
      <c r="CN423" s="229"/>
      <c r="CO423" s="47" t="s">
        <v>2488</v>
      </c>
      <c r="CP423" s="500" t="s">
        <v>2489</v>
      </c>
      <c r="CQ423" s="224" t="s">
        <v>272</v>
      </c>
      <c r="CR423" s="224"/>
      <c r="CS423" s="230" t="s">
        <v>539</v>
      </c>
      <c r="CT423" s="230"/>
      <c r="CU423" s="230"/>
      <c r="CV423" s="335">
        <f t="shared" si="117"/>
        <v>1333.3141143911437</v>
      </c>
      <c r="CW423" s="230">
        <f t="shared" si="112"/>
        <v>1</v>
      </c>
      <c r="CX423" s="336"/>
      <c r="CY423" s="230" t="s">
        <v>6351</v>
      </c>
    </row>
    <row r="424" spans="1:103" ht="11.25" customHeight="1" x14ac:dyDescent="0.2">
      <c r="A424" s="72">
        <v>724</v>
      </c>
      <c r="B424" s="224">
        <v>1715</v>
      </c>
      <c r="C424" s="46" t="s">
        <v>6953</v>
      </c>
      <c r="D424" s="46"/>
      <c r="E424" s="114"/>
      <c r="F424" s="114" t="s">
        <v>4984</v>
      </c>
      <c r="G424" s="225">
        <v>51309</v>
      </c>
      <c r="H424" s="47" t="s">
        <v>4985</v>
      </c>
      <c r="I424" s="47" t="s">
        <v>7975</v>
      </c>
      <c r="J424" s="47" t="s">
        <v>4986</v>
      </c>
      <c r="K424" s="47" t="s">
        <v>4987</v>
      </c>
      <c r="L424" s="47"/>
      <c r="M424" s="47"/>
      <c r="N424" s="47"/>
      <c r="O424" s="47"/>
      <c r="P424" s="53"/>
      <c r="Q424" s="53"/>
      <c r="R424" s="53"/>
      <c r="S424" s="53"/>
      <c r="T424" s="48">
        <v>247.72</v>
      </c>
      <c r="U424" s="98"/>
      <c r="V424" s="98">
        <v>1000000</v>
      </c>
      <c r="W424" s="98">
        <v>4017.5479731775381</v>
      </c>
      <c r="X424" s="98">
        <v>4017.5479731775381</v>
      </c>
      <c r="Y424" s="233">
        <v>5.6</v>
      </c>
      <c r="Z424" s="48">
        <v>-2.67</v>
      </c>
      <c r="AA424" s="48">
        <v>-2.69</v>
      </c>
      <c r="AB424" s="48"/>
      <c r="AC424" s="48"/>
      <c r="AD424" s="48"/>
      <c r="AE424" s="48"/>
      <c r="AF424" s="48">
        <f t="shared" si="113"/>
        <v>-2.69</v>
      </c>
      <c r="AG424" s="49">
        <v>0.77</v>
      </c>
      <c r="AH424" s="98">
        <v>9.5099999999999995E-26</v>
      </c>
      <c r="AI424" s="98"/>
      <c r="AJ424" s="483">
        <f t="shared" si="114"/>
        <v>-23.410385809375239</v>
      </c>
      <c r="AK424" s="483"/>
      <c r="AL424" s="483">
        <f t="shared" si="115"/>
        <v>-23.410385809375239</v>
      </c>
      <c r="AM424" s="483"/>
      <c r="AN424" s="226">
        <v>-36.299999999999997</v>
      </c>
      <c r="AO424" s="484">
        <v>9.57</v>
      </c>
      <c r="AP424" s="484">
        <v>-2.2599999999999998</v>
      </c>
      <c r="AQ424" s="226" t="s">
        <v>6311</v>
      </c>
      <c r="AR424" s="226" t="s">
        <v>6311</v>
      </c>
      <c r="AS424" s="224"/>
      <c r="AT424" s="50" t="s">
        <v>266</v>
      </c>
      <c r="AU424" s="48">
        <v>6</v>
      </c>
      <c r="AV424" s="48">
        <v>120</v>
      </c>
      <c r="AW424" s="48">
        <v>114</v>
      </c>
      <c r="AX424" s="48">
        <v>28</v>
      </c>
      <c r="AY424" s="48" t="s">
        <v>8728</v>
      </c>
      <c r="AZ424" s="48" t="s">
        <v>1563</v>
      </c>
      <c r="BA424" s="48">
        <v>32</v>
      </c>
      <c r="BB424" s="47" t="s">
        <v>2485</v>
      </c>
      <c r="BC424" s="47" t="s">
        <v>8726</v>
      </c>
      <c r="BD424" s="47" t="s">
        <v>8374</v>
      </c>
      <c r="BE424" s="48" t="s">
        <v>2449</v>
      </c>
      <c r="BF424" s="48" t="s">
        <v>272</v>
      </c>
      <c r="BG424" s="48" t="s">
        <v>272</v>
      </c>
      <c r="BH424" s="48" t="s">
        <v>2486</v>
      </c>
      <c r="BI424" s="98">
        <v>1.585408E-3</v>
      </c>
      <c r="BJ424" s="98">
        <v>15.85408</v>
      </c>
      <c r="BK424" s="48"/>
      <c r="BL424" s="487">
        <v>3181911.3175343582</v>
      </c>
      <c r="BM424" s="47" t="s">
        <v>2487</v>
      </c>
      <c r="BN424" s="48"/>
      <c r="BO424" s="48"/>
      <c r="BP424" s="48"/>
      <c r="BQ424" s="48"/>
      <c r="BR424" s="47" t="e">
        <v>#VALUE!</v>
      </c>
      <c r="BS424" s="48"/>
      <c r="BT424" s="48"/>
      <c r="BU424" s="228"/>
      <c r="BV424" s="48"/>
      <c r="BW424" s="48"/>
      <c r="BX424" s="48"/>
      <c r="BY424" s="48"/>
      <c r="BZ424" s="48"/>
      <c r="CA424" s="48"/>
      <c r="CB424" s="48"/>
      <c r="CC424" s="48"/>
      <c r="CD424" s="48"/>
      <c r="CE424" s="48"/>
      <c r="CF424" s="48"/>
      <c r="CG424" s="48"/>
      <c r="CH424" s="48"/>
      <c r="CI424" s="98"/>
      <c r="CJ424" s="98"/>
      <c r="CK424" s="49">
        <f t="shared" si="116"/>
        <v>200699.83988565457</v>
      </c>
      <c r="CL424" s="229"/>
      <c r="CM424" s="229"/>
      <c r="CN424" s="229"/>
      <c r="CO424" s="47" t="s">
        <v>2488</v>
      </c>
      <c r="CP424" s="500" t="s">
        <v>2489</v>
      </c>
      <c r="CQ424" s="224" t="s">
        <v>272</v>
      </c>
      <c r="CR424" s="224"/>
      <c r="CS424" s="230" t="s">
        <v>539</v>
      </c>
      <c r="CT424" s="230"/>
      <c r="CU424" s="230"/>
      <c r="CV424" s="335">
        <f t="shared" si="117"/>
        <v>253.40782771233262</v>
      </c>
      <c r="CW424" s="230">
        <f t="shared" si="112"/>
        <v>1</v>
      </c>
      <c r="CX424" s="336"/>
      <c r="CY424" s="230" t="s">
        <v>5921</v>
      </c>
    </row>
    <row r="425" spans="1:103" ht="11.25" customHeight="1" x14ac:dyDescent="0.2">
      <c r="A425" s="72">
        <v>725</v>
      </c>
      <c r="B425" s="224">
        <v>1480</v>
      </c>
      <c r="C425" s="46" t="s">
        <v>6954</v>
      </c>
      <c r="D425" s="46"/>
      <c r="E425" s="114"/>
      <c r="F425" s="114" t="s">
        <v>4546</v>
      </c>
      <c r="G425" s="225">
        <v>51525</v>
      </c>
      <c r="H425" s="47" t="s">
        <v>4547</v>
      </c>
      <c r="I425" s="47" t="s">
        <v>4547</v>
      </c>
      <c r="J425" s="47" t="s">
        <v>4548</v>
      </c>
      <c r="K425" s="47" t="s">
        <v>4549</v>
      </c>
      <c r="L425" s="47" t="s">
        <v>279</v>
      </c>
      <c r="M425" s="47" t="s">
        <v>4550</v>
      </c>
      <c r="N425" s="47" t="s">
        <v>6386</v>
      </c>
      <c r="O425" s="47" t="s">
        <v>281</v>
      </c>
      <c r="P425" s="53"/>
      <c r="Q425" s="53"/>
      <c r="R425" s="53"/>
      <c r="S425" s="53"/>
      <c r="T425" s="48">
        <v>170.23</v>
      </c>
      <c r="U425" s="98">
        <v>1200</v>
      </c>
      <c r="V425" s="98">
        <v>9014</v>
      </c>
      <c r="W425" s="98">
        <v>331.92204621681179</v>
      </c>
      <c r="X425" s="98">
        <v>1200</v>
      </c>
      <c r="Y425" s="233">
        <v>5.3</v>
      </c>
      <c r="Z425" s="48">
        <v>0.98</v>
      </c>
      <c r="AA425" s="48"/>
      <c r="AB425" s="48">
        <v>-0.17</v>
      </c>
      <c r="AC425" s="48">
        <v>0.65790000000000004</v>
      </c>
      <c r="AD425" s="48">
        <v>0.46</v>
      </c>
      <c r="AE425" s="48">
        <v>1.37</v>
      </c>
      <c r="AF425" s="48">
        <f t="shared" si="113"/>
        <v>0.46</v>
      </c>
      <c r="AG425" s="49">
        <v>2.11</v>
      </c>
      <c r="AH425" s="98">
        <v>1.14E-9</v>
      </c>
      <c r="AI425" s="98"/>
      <c r="AJ425" s="483">
        <f t="shared" si="114"/>
        <v>-7.3316614749761788</v>
      </c>
      <c r="AK425" s="483"/>
      <c r="AL425" s="483">
        <f t="shared" si="115"/>
        <v>-7.3316614749761788</v>
      </c>
      <c r="AM425" s="483">
        <v>-12.55368</v>
      </c>
      <c r="AN425" s="226">
        <v>-14.3</v>
      </c>
      <c r="AO425" s="484">
        <v>7.63</v>
      </c>
      <c r="AP425" s="484">
        <v>-1.94</v>
      </c>
      <c r="AQ425" s="48" t="s">
        <v>6311</v>
      </c>
      <c r="AR425" s="48" t="s">
        <v>6311</v>
      </c>
      <c r="AS425" s="227"/>
      <c r="AT425" s="50" t="s">
        <v>266</v>
      </c>
      <c r="AU425" s="48">
        <v>6</v>
      </c>
      <c r="AV425" s="48">
        <v>120</v>
      </c>
      <c r="AW425" s="48">
        <v>114</v>
      </c>
      <c r="AX425" s="48">
        <v>28</v>
      </c>
      <c r="AY425" s="48" t="s">
        <v>8728</v>
      </c>
      <c r="AZ425" s="48" t="s">
        <v>1563</v>
      </c>
      <c r="BA425" s="48">
        <v>32</v>
      </c>
      <c r="BB425" s="47" t="s">
        <v>2485</v>
      </c>
      <c r="BC425" s="47" t="s">
        <v>8726</v>
      </c>
      <c r="BD425" s="47" t="s">
        <v>8374</v>
      </c>
      <c r="BE425" s="48" t="s">
        <v>2449</v>
      </c>
      <c r="BF425" s="48" t="s">
        <v>272</v>
      </c>
      <c r="BG425" s="48" t="s">
        <v>272</v>
      </c>
      <c r="BH425" s="48" t="s">
        <v>2486</v>
      </c>
      <c r="BI425" s="98">
        <v>1.089472E-3</v>
      </c>
      <c r="BJ425" s="98">
        <v>10.89472</v>
      </c>
      <c r="BK425" s="48"/>
      <c r="BL425" s="487">
        <v>1152.6517106462463</v>
      </c>
      <c r="BM425" s="47" t="s">
        <v>2487</v>
      </c>
      <c r="BN425" s="48"/>
      <c r="BO425" s="48"/>
      <c r="BP425" s="48"/>
      <c r="BQ425" s="48"/>
      <c r="BR425" s="47" t="e">
        <v>#VALUE!</v>
      </c>
      <c r="BS425" s="48"/>
      <c r="BT425" s="48"/>
      <c r="BU425" s="228"/>
      <c r="BV425" s="48"/>
      <c r="BW425" s="48"/>
      <c r="BX425" s="48"/>
      <c r="BY425" s="48"/>
      <c r="BZ425" s="48"/>
      <c r="CA425" s="48"/>
      <c r="CB425" s="48"/>
      <c r="CC425" s="48"/>
      <c r="CD425" s="48"/>
      <c r="CE425" s="48"/>
      <c r="CF425" s="48"/>
      <c r="CG425" s="48"/>
      <c r="CH425" s="48"/>
      <c r="CI425" s="98"/>
      <c r="CJ425" s="98"/>
      <c r="CK425" s="49">
        <f t="shared" si="116"/>
        <v>105.79911284055454</v>
      </c>
      <c r="CL425" s="229"/>
      <c r="CM425" s="229"/>
      <c r="CN425" s="229"/>
      <c r="CO425" s="47" t="s">
        <v>2488</v>
      </c>
      <c r="CP425" s="500" t="s">
        <v>2489</v>
      </c>
      <c r="CQ425" s="224" t="s">
        <v>272</v>
      </c>
      <c r="CR425" s="224"/>
      <c r="CS425" s="230" t="s">
        <v>539</v>
      </c>
      <c r="CT425" s="230"/>
      <c r="CU425" s="230"/>
      <c r="CV425" s="335">
        <f t="shared" si="117"/>
        <v>110.14509780884686</v>
      </c>
      <c r="CW425" s="230">
        <f t="shared" si="112"/>
        <v>1</v>
      </c>
      <c r="CX425" s="336"/>
      <c r="CY425" s="230" t="s">
        <v>5921</v>
      </c>
    </row>
    <row r="426" spans="1:103" ht="11.25" customHeight="1" x14ac:dyDescent="0.2">
      <c r="A426" s="72">
        <v>726</v>
      </c>
      <c r="B426" s="224">
        <v>1931</v>
      </c>
      <c r="C426" s="46" t="s">
        <v>6955</v>
      </c>
      <c r="D426" s="46"/>
      <c r="E426" s="114"/>
      <c r="F426" s="114" t="s">
        <v>5423</v>
      </c>
      <c r="G426" s="225">
        <v>51796</v>
      </c>
      <c r="H426" s="47" t="s">
        <v>5424</v>
      </c>
      <c r="I426" s="47" t="s">
        <v>5424</v>
      </c>
      <c r="J426" s="47" t="s">
        <v>5425</v>
      </c>
      <c r="K426" s="47" t="s">
        <v>357</v>
      </c>
      <c r="L426" s="47"/>
      <c r="M426" s="47"/>
      <c r="N426" s="47"/>
      <c r="O426" s="47"/>
      <c r="P426" s="53" t="s">
        <v>6178</v>
      </c>
      <c r="Q426" s="53" t="s">
        <v>6173</v>
      </c>
      <c r="R426" s="53" t="s">
        <v>6185</v>
      </c>
      <c r="S426" s="53" t="s">
        <v>6176</v>
      </c>
      <c r="T426" s="48">
        <v>89.09</v>
      </c>
      <c r="U426" s="98">
        <v>479999.99999999994</v>
      </c>
      <c r="V426" s="98">
        <v>168000</v>
      </c>
      <c r="W426" s="98">
        <v>102289.0061391573</v>
      </c>
      <c r="X426" s="98">
        <v>479999.99999999994</v>
      </c>
      <c r="Y426" s="233">
        <v>6.71</v>
      </c>
      <c r="Z426" s="48">
        <v>-0.02</v>
      </c>
      <c r="AA426" s="48">
        <v>-0.15</v>
      </c>
      <c r="AB426" s="48">
        <v>0.01</v>
      </c>
      <c r="AC426" s="48">
        <v>0.86950000000000005</v>
      </c>
      <c r="AD426" s="48">
        <v>-0.03</v>
      </c>
      <c r="AE426" s="48">
        <v>-0.15</v>
      </c>
      <c r="AF426" s="48">
        <f t="shared" si="113"/>
        <v>-0.15</v>
      </c>
      <c r="AG426" s="49">
        <v>-0.23</v>
      </c>
      <c r="AH426" s="98">
        <v>5.25E-8</v>
      </c>
      <c r="AI426" s="98">
        <v>6.43E-8</v>
      </c>
      <c r="AJ426" s="483">
        <f t="shared" si="114"/>
        <v>-5.6684070229066945</v>
      </c>
      <c r="AK426" s="483">
        <f>LOG10(AI426*1000/(0.08206*298.15))</f>
        <v>-5.5803553533884296</v>
      </c>
      <c r="AL426" s="483">
        <f t="shared" si="115"/>
        <v>-5.5803553533884296</v>
      </c>
      <c r="AM426" s="483">
        <v>-6.6229300000000002</v>
      </c>
      <c r="AN426" s="226">
        <v>-5.27</v>
      </c>
      <c r="AO426" s="484">
        <v>13.58</v>
      </c>
      <c r="AP426" s="484">
        <v>-1.34</v>
      </c>
      <c r="AQ426" s="226" t="s">
        <v>6311</v>
      </c>
      <c r="AR426" s="226" t="s">
        <v>6312</v>
      </c>
      <c r="AS426" s="224"/>
      <c r="AT426" s="50" t="s">
        <v>266</v>
      </c>
      <c r="AU426" s="48">
        <v>6</v>
      </c>
      <c r="AV426" s="48">
        <v>120</v>
      </c>
      <c r="AW426" s="48">
        <v>114</v>
      </c>
      <c r="AX426" s="48">
        <v>28</v>
      </c>
      <c r="AY426" s="48" t="s">
        <v>8728</v>
      </c>
      <c r="AZ426" s="48" t="s">
        <v>1563</v>
      </c>
      <c r="BA426" s="48">
        <v>32</v>
      </c>
      <c r="BB426" s="47" t="s">
        <v>2485</v>
      </c>
      <c r="BC426" s="47" t="s">
        <v>8726</v>
      </c>
      <c r="BD426" s="47" t="s">
        <v>8374</v>
      </c>
      <c r="BE426" s="48" t="s">
        <v>2449</v>
      </c>
      <c r="BF426" s="48" t="s">
        <v>272</v>
      </c>
      <c r="BG426" s="48" t="s">
        <v>272</v>
      </c>
      <c r="BH426" s="48" t="s">
        <v>2486</v>
      </c>
      <c r="BI426" s="98">
        <v>5.7017600000000004E-4</v>
      </c>
      <c r="BJ426" s="98">
        <v>5.7017600000000002</v>
      </c>
      <c r="BK426" s="48"/>
      <c r="BL426" s="487">
        <v>4770.7972356209066</v>
      </c>
      <c r="BM426" s="47" t="s">
        <v>2487</v>
      </c>
      <c r="BN426" s="48"/>
      <c r="BO426" s="48"/>
      <c r="BP426" s="48"/>
      <c r="BQ426" s="48"/>
      <c r="BR426" s="47" t="e">
        <v>#VALUE!</v>
      </c>
      <c r="BS426" s="48"/>
      <c r="BT426" s="48"/>
      <c r="BU426" s="228"/>
      <c r="BV426" s="48"/>
      <c r="BW426" s="48"/>
      <c r="BX426" s="48"/>
      <c r="BY426" s="48"/>
      <c r="BZ426" s="48"/>
      <c r="CA426" s="48"/>
      <c r="CB426" s="48"/>
      <c r="CC426" s="48"/>
      <c r="CD426" s="48"/>
      <c r="CE426" s="48"/>
      <c r="CF426" s="48"/>
      <c r="CG426" s="48"/>
      <c r="CH426" s="48"/>
      <c r="CI426" s="98"/>
      <c r="CJ426" s="98"/>
      <c r="CK426" s="49">
        <f t="shared" si="116"/>
        <v>836.72361439641554</v>
      </c>
      <c r="CL426" s="229"/>
      <c r="CM426" s="229"/>
      <c r="CN426" s="229"/>
      <c r="CO426" s="47" t="s">
        <v>2488</v>
      </c>
      <c r="CP426" s="500" t="s">
        <v>2489</v>
      </c>
      <c r="CQ426" s="224">
        <v>3.720159303405957</v>
      </c>
      <c r="CR426" s="224">
        <f>10^(CJ426-CQ426)</f>
        <v>1.9047619047619032E-4</v>
      </c>
      <c r="CS426" s="230" t="s">
        <v>539</v>
      </c>
      <c r="CT426" s="230"/>
      <c r="CU426" s="230"/>
      <c r="CV426" s="335">
        <f t="shared" si="117"/>
        <v>84184.532495229534</v>
      </c>
      <c r="CW426" s="230">
        <f t="shared" si="112"/>
        <v>1</v>
      </c>
      <c r="CX426" s="336"/>
      <c r="CY426" s="230" t="s">
        <v>5921</v>
      </c>
    </row>
    <row r="427" spans="1:103" ht="11.25" customHeight="1" x14ac:dyDescent="0.2">
      <c r="A427" s="72">
        <v>727</v>
      </c>
      <c r="B427" s="224">
        <v>1283</v>
      </c>
      <c r="C427" s="46" t="s">
        <v>6956</v>
      </c>
      <c r="D427" s="46"/>
      <c r="E427" s="114"/>
      <c r="F427" s="114" t="s">
        <v>3521</v>
      </c>
      <c r="G427" s="225">
        <v>52017</v>
      </c>
      <c r="H427" s="47" t="s">
        <v>3522</v>
      </c>
      <c r="I427" s="47" t="s">
        <v>3522</v>
      </c>
      <c r="J427" s="47" t="s">
        <v>3523</v>
      </c>
      <c r="K427" s="47" t="s">
        <v>3524</v>
      </c>
      <c r="L427" s="47" t="s">
        <v>279</v>
      </c>
      <c r="M427" s="47" t="s">
        <v>3525</v>
      </c>
      <c r="N427" s="47" t="s">
        <v>6386</v>
      </c>
      <c r="O427" s="47" t="s">
        <v>281</v>
      </c>
      <c r="P427" s="53"/>
      <c r="Q427" s="53"/>
      <c r="R427" s="53"/>
      <c r="S427" s="53"/>
      <c r="T427" s="48">
        <v>416.57</v>
      </c>
      <c r="U427" s="98">
        <v>22</v>
      </c>
      <c r="V427" s="98">
        <v>28.379999999999995</v>
      </c>
      <c r="W427" s="98">
        <v>1.9040922714786839</v>
      </c>
      <c r="X427" s="98">
        <v>22</v>
      </c>
      <c r="Y427" s="233">
        <v>7</v>
      </c>
      <c r="Z427" s="48">
        <v>2.88</v>
      </c>
      <c r="AA427" s="48">
        <v>2.2599999999999998</v>
      </c>
      <c r="AB427" s="48">
        <v>2.68</v>
      </c>
      <c r="AC427" s="48">
        <v>0.85429999999999995</v>
      </c>
      <c r="AD427" s="48">
        <v>2.78</v>
      </c>
      <c r="AE427" s="48">
        <v>3.12</v>
      </c>
      <c r="AF427" s="48">
        <f t="shared" si="113"/>
        <v>2.2599999999999998</v>
      </c>
      <c r="AG427" s="49">
        <v>3.56</v>
      </c>
      <c r="AH427" s="98">
        <v>1.1399999999999999E-10</v>
      </c>
      <c r="AI427" s="98"/>
      <c r="AJ427" s="483">
        <f t="shared" si="114"/>
        <v>-8.3316614749761797</v>
      </c>
      <c r="AK427" s="483"/>
      <c r="AL427" s="483">
        <f t="shared" si="115"/>
        <v>-8.3316614749761797</v>
      </c>
      <c r="AM427" s="483">
        <v>-22.280190000000001</v>
      </c>
      <c r="AN427" s="226">
        <v>-12.1</v>
      </c>
      <c r="AO427" s="484"/>
      <c r="AP427" s="484"/>
      <c r="AQ427" s="48" t="s">
        <v>6311</v>
      </c>
      <c r="AR427" s="48" t="s">
        <v>6311</v>
      </c>
      <c r="AS427" s="227"/>
      <c r="AT427" s="50" t="s">
        <v>266</v>
      </c>
      <c r="AU427" s="48">
        <v>6</v>
      </c>
      <c r="AV427" s="48">
        <v>120</v>
      </c>
      <c r="AW427" s="48">
        <v>114</v>
      </c>
      <c r="AX427" s="48">
        <v>28</v>
      </c>
      <c r="AY427" s="48" t="s">
        <v>8728</v>
      </c>
      <c r="AZ427" s="48" t="s">
        <v>1563</v>
      </c>
      <c r="BA427" s="48">
        <v>32</v>
      </c>
      <c r="BB427" s="47" t="s">
        <v>2485</v>
      </c>
      <c r="BC427" s="47" t="s">
        <v>8726</v>
      </c>
      <c r="BD427" s="47" t="s">
        <v>8374</v>
      </c>
      <c r="BE427" s="48" t="s">
        <v>2449</v>
      </c>
      <c r="BF427" s="48" t="s">
        <v>272</v>
      </c>
      <c r="BG427" s="48" t="s">
        <v>272</v>
      </c>
      <c r="BH427" s="48" t="s">
        <v>2486</v>
      </c>
      <c r="BI427" s="98">
        <v>2.6660479999999999E-3</v>
      </c>
      <c r="BJ427" s="98">
        <v>26.66048</v>
      </c>
      <c r="BK427" s="48"/>
      <c r="BL427" s="487">
        <v>55.457461998112336</v>
      </c>
      <c r="BM427" s="47" t="s">
        <v>2487</v>
      </c>
      <c r="BN427" s="48"/>
      <c r="BO427" s="48"/>
      <c r="BP427" s="48"/>
      <c r="BQ427" s="48"/>
      <c r="BR427" s="47" t="e">
        <v>#VALUE!</v>
      </c>
      <c r="BS427" s="48"/>
      <c r="BT427" s="48"/>
      <c r="BU427" s="228">
        <v>2.6660479999999999E-3</v>
      </c>
      <c r="BV427" s="48"/>
      <c r="BW427" s="48"/>
      <c r="BX427" s="48"/>
      <c r="BY427" s="48"/>
      <c r="BZ427" s="48"/>
      <c r="CA427" s="48"/>
      <c r="CB427" s="48"/>
      <c r="CC427" s="48"/>
      <c r="CD427" s="48"/>
      <c r="CE427" s="48"/>
      <c r="CF427" s="48"/>
      <c r="CG427" s="48"/>
      <c r="CH427" s="48"/>
      <c r="CI427" s="98"/>
      <c r="CJ427" s="98"/>
      <c r="CK427" s="49">
        <f t="shared" si="116"/>
        <v>2.0801374168099125</v>
      </c>
      <c r="CL427" s="229"/>
      <c r="CM427" s="229"/>
      <c r="CN427" s="229"/>
      <c r="CO427" s="47" t="s">
        <v>2488</v>
      </c>
      <c r="CP427" s="500" t="s">
        <v>2489</v>
      </c>
      <c r="CQ427" s="224" t="s">
        <v>272</v>
      </c>
      <c r="CR427" s="224"/>
      <c r="CS427" s="230" t="s">
        <v>539</v>
      </c>
      <c r="CT427" s="230"/>
      <c r="CU427" s="230"/>
      <c r="CV427" s="335">
        <f t="shared" si="117"/>
        <v>0.82519144441510428</v>
      </c>
      <c r="CW427" s="230">
        <f t="shared" si="112"/>
        <v>0</v>
      </c>
      <c r="CX427" s="336"/>
      <c r="CY427" s="230" t="s">
        <v>5921</v>
      </c>
    </row>
    <row r="428" spans="1:103" ht="11.25" customHeight="1" x14ac:dyDescent="0.2">
      <c r="A428" s="72">
        <v>728</v>
      </c>
      <c r="B428" s="224">
        <v>1533</v>
      </c>
      <c r="C428" s="46" t="s">
        <v>6957</v>
      </c>
      <c r="D428" s="46" t="s">
        <v>8681</v>
      </c>
      <c r="E428" s="114"/>
      <c r="F428" s="114" t="s">
        <v>4642</v>
      </c>
      <c r="G428" s="225">
        <v>52517</v>
      </c>
      <c r="H428" s="47" t="s">
        <v>4643</v>
      </c>
      <c r="I428" s="47" t="s">
        <v>4643</v>
      </c>
      <c r="J428" s="47" t="s">
        <v>4644</v>
      </c>
      <c r="K428" s="47" t="s">
        <v>4645</v>
      </c>
      <c r="L428" s="47"/>
      <c r="M428" s="47" t="s">
        <v>6088</v>
      </c>
      <c r="N428" s="47" t="s">
        <v>6088</v>
      </c>
      <c r="O428" s="47"/>
      <c r="P428" s="53"/>
      <c r="Q428" s="53"/>
      <c r="R428" s="53"/>
      <c r="S428" s="53"/>
      <c r="T428" s="48">
        <v>199.99</v>
      </c>
      <c r="U428" s="98">
        <v>249999.99999999997</v>
      </c>
      <c r="V428" s="98">
        <v>62850</v>
      </c>
      <c r="W428" s="98">
        <v>109902.67936278634</v>
      </c>
      <c r="X428" s="98">
        <v>249999.99999999997</v>
      </c>
      <c r="Y428" s="233">
        <v>6.13</v>
      </c>
      <c r="Z428" s="48">
        <v>-0.64</v>
      </c>
      <c r="AA428" s="48"/>
      <c r="AB428" s="48">
        <v>-0.47</v>
      </c>
      <c r="AC428" s="48">
        <v>0.58299999999999996</v>
      </c>
      <c r="AD428" s="48">
        <v>0.47</v>
      </c>
      <c r="AE428" s="48">
        <v>1.72</v>
      </c>
      <c r="AF428" s="48">
        <f t="shared" si="113"/>
        <v>0.47</v>
      </c>
      <c r="AG428" s="49">
        <v>-1.1399999999999999</v>
      </c>
      <c r="AH428" s="98">
        <v>1.1400000000000001E-11</v>
      </c>
      <c r="AI428" s="98">
        <v>1.33E-11</v>
      </c>
      <c r="AJ428" s="483">
        <f t="shared" si="114"/>
        <v>-9.3316614749761797</v>
      </c>
      <c r="AK428" s="483">
        <f>LOG10(AI428*1000/(0.08206*298.15))</f>
        <v>-9.2647146853455666</v>
      </c>
      <c r="AL428" s="483">
        <f t="shared" si="115"/>
        <v>-9.2647146853455666</v>
      </c>
      <c r="AM428" s="483">
        <v>-11.331100000000001</v>
      </c>
      <c r="AN428" s="226">
        <v>-7.7</v>
      </c>
      <c r="AO428" s="484">
        <v>12.02</v>
      </c>
      <c r="AP428" s="484"/>
      <c r="AQ428" s="48" t="s">
        <v>6311</v>
      </c>
      <c r="AR428" s="48" t="s">
        <v>6311</v>
      </c>
      <c r="AS428" s="227"/>
      <c r="AT428" s="50" t="s">
        <v>266</v>
      </c>
      <c r="AU428" s="48">
        <v>6</v>
      </c>
      <c r="AV428" s="48">
        <v>120</v>
      </c>
      <c r="AW428" s="48">
        <v>114</v>
      </c>
      <c r="AX428" s="48">
        <v>28</v>
      </c>
      <c r="AY428" s="48" t="s">
        <v>8728</v>
      </c>
      <c r="AZ428" s="48" t="s">
        <v>1563</v>
      </c>
      <c r="BA428" s="48">
        <v>32</v>
      </c>
      <c r="BB428" s="47" t="s">
        <v>2485</v>
      </c>
      <c r="BC428" s="47" t="s">
        <v>8726</v>
      </c>
      <c r="BD428" s="47" t="s">
        <v>8374</v>
      </c>
      <c r="BE428" s="48" t="s">
        <v>2449</v>
      </c>
      <c r="BF428" s="48" t="s">
        <v>272</v>
      </c>
      <c r="BG428" s="48" t="s">
        <v>272</v>
      </c>
      <c r="BH428" s="48" t="s">
        <v>2486</v>
      </c>
      <c r="BI428" s="98">
        <v>1.279936E-3</v>
      </c>
      <c r="BJ428" s="98">
        <v>12.79936</v>
      </c>
      <c r="BK428" s="48"/>
      <c r="BL428" s="487">
        <v>38600.442243921374</v>
      </c>
      <c r="BM428" s="47" t="s">
        <v>2487</v>
      </c>
      <c r="BN428" s="48"/>
      <c r="BO428" s="48"/>
      <c r="BP428" s="48"/>
      <c r="BQ428" s="48"/>
      <c r="BR428" s="47" t="e">
        <v>#VALUE!</v>
      </c>
      <c r="BS428" s="48"/>
      <c r="BT428" s="48"/>
      <c r="BU428" s="228"/>
      <c r="BV428" s="48"/>
      <c r="BW428" s="48"/>
      <c r="BX428" s="48"/>
      <c r="BY428" s="48"/>
      <c r="BZ428" s="48"/>
      <c r="CA428" s="48"/>
      <c r="CB428" s="48"/>
      <c r="CC428" s="48"/>
      <c r="CD428" s="48"/>
      <c r="CE428" s="48"/>
      <c r="CF428" s="48"/>
      <c r="CG428" s="48"/>
      <c r="CH428" s="48"/>
      <c r="CI428" s="98"/>
      <c r="CJ428" s="98"/>
      <c r="CK428" s="49">
        <f t="shared" si="116"/>
        <v>3015.8103408233983</v>
      </c>
      <c r="CL428" s="229"/>
      <c r="CM428" s="229"/>
      <c r="CN428" s="229"/>
      <c r="CO428" s="47" t="s">
        <v>2488</v>
      </c>
      <c r="CP428" s="500" t="s">
        <v>2489</v>
      </c>
      <c r="CQ428" s="224">
        <v>1.3892405085366748</v>
      </c>
      <c r="CR428" s="224">
        <f>10^(CJ428-CQ428)</f>
        <v>4.0809332518094744E-2</v>
      </c>
      <c r="CS428" s="230" t="s">
        <v>539</v>
      </c>
      <c r="CT428" s="230"/>
      <c r="CU428" s="230"/>
      <c r="CV428" s="335">
        <f t="shared" si="117"/>
        <v>19532.226611330563</v>
      </c>
      <c r="CW428" s="230">
        <f t="shared" si="112"/>
        <v>1</v>
      </c>
      <c r="CX428" s="336"/>
      <c r="CY428" s="230" t="s">
        <v>6351</v>
      </c>
    </row>
    <row r="429" spans="1:103" ht="11.25" customHeight="1" x14ac:dyDescent="0.2">
      <c r="A429" s="72">
        <v>730</v>
      </c>
      <c r="B429" s="224">
        <v>1308</v>
      </c>
      <c r="C429" s="46" t="s">
        <v>2053</v>
      </c>
      <c r="D429" s="46"/>
      <c r="E429" s="114"/>
      <c r="F429" s="114" t="s">
        <v>2054</v>
      </c>
      <c r="G429" s="225">
        <v>52686</v>
      </c>
      <c r="H429" s="47" t="s">
        <v>2055</v>
      </c>
      <c r="I429" s="47" t="s">
        <v>7976</v>
      </c>
      <c r="J429" s="47" t="s">
        <v>2056</v>
      </c>
      <c r="K429" s="47" t="s">
        <v>2057</v>
      </c>
      <c r="L429" s="47" t="s">
        <v>617</v>
      </c>
      <c r="M429" s="47" t="s">
        <v>946</v>
      </c>
      <c r="N429" s="47" t="s">
        <v>6376</v>
      </c>
      <c r="O429" s="47" t="s">
        <v>918</v>
      </c>
      <c r="P429" s="53"/>
      <c r="Q429" s="53"/>
      <c r="R429" s="53"/>
      <c r="S429" s="53"/>
      <c r="T429" s="48">
        <v>257.44</v>
      </c>
      <c r="U429" s="98">
        <v>120000</v>
      </c>
      <c r="V429" s="98">
        <v>25530</v>
      </c>
      <c r="W429" s="98">
        <v>102488.70998729233</v>
      </c>
      <c r="X429" s="98">
        <v>120000</v>
      </c>
      <c r="Y429" s="233">
        <v>5.35</v>
      </c>
      <c r="Z429" s="48">
        <v>0.42</v>
      </c>
      <c r="AA429" s="48">
        <v>0.51</v>
      </c>
      <c r="AB429" s="48">
        <v>0.84</v>
      </c>
      <c r="AC429" s="48">
        <v>0.75449999999999995</v>
      </c>
      <c r="AD429" s="48">
        <v>0.73</v>
      </c>
      <c r="AE429" s="48">
        <v>0.48</v>
      </c>
      <c r="AF429" s="48">
        <f t="shared" si="113"/>
        <v>0.51</v>
      </c>
      <c r="AG429" s="49">
        <v>0.9</v>
      </c>
      <c r="AH429" s="98">
        <v>2.6499999999999998E-12</v>
      </c>
      <c r="AI429" s="98">
        <v>1.6999999999999999E-11</v>
      </c>
      <c r="AJ429" s="483">
        <f t="shared" si="114"/>
        <v>-9.9653204523758436</v>
      </c>
      <c r="AK429" s="483">
        <f>LOG10(AI429*1000/(0.08206*298.15))</f>
        <v>-9.1581174049343783</v>
      </c>
      <c r="AL429" s="483">
        <f t="shared" si="115"/>
        <v>-9.1581174049343783</v>
      </c>
      <c r="AM429" s="483">
        <v>-11.525370000000001</v>
      </c>
      <c r="AN429" s="226">
        <v>-8.69</v>
      </c>
      <c r="AO429" s="484">
        <v>10.3</v>
      </c>
      <c r="AP429" s="484"/>
      <c r="AQ429" s="48" t="s">
        <v>6312</v>
      </c>
      <c r="AR429" s="48" t="s">
        <v>6312</v>
      </c>
      <c r="AS429" s="227"/>
      <c r="AT429" s="50" t="s">
        <v>266</v>
      </c>
      <c r="AU429" s="48">
        <v>6</v>
      </c>
      <c r="AV429" s="48">
        <v>120</v>
      </c>
      <c r="AW429" s="48">
        <v>114</v>
      </c>
      <c r="AX429" s="48">
        <v>28</v>
      </c>
      <c r="AY429" s="48" t="s">
        <v>8728</v>
      </c>
      <c r="AZ429" s="48" t="s">
        <v>1563</v>
      </c>
      <c r="BA429" s="48">
        <v>32</v>
      </c>
      <c r="BB429" s="47" t="s">
        <v>2485</v>
      </c>
      <c r="BC429" s="47" t="s">
        <v>8726</v>
      </c>
      <c r="BD429" s="47" t="s">
        <v>8374</v>
      </c>
      <c r="BE429" s="48" t="s">
        <v>2449</v>
      </c>
      <c r="BF429" s="48" t="s">
        <v>272</v>
      </c>
      <c r="BG429" s="48" t="s">
        <v>272</v>
      </c>
      <c r="BH429" s="48" t="s">
        <v>2486</v>
      </c>
      <c r="BI429" s="98">
        <v>1.647616E-3</v>
      </c>
      <c r="BJ429" s="98">
        <v>16.47616</v>
      </c>
      <c r="BK429" s="48"/>
      <c r="BL429" s="487">
        <v>5549.7577552808461</v>
      </c>
      <c r="BM429" s="47" t="s">
        <v>2487</v>
      </c>
      <c r="BN429" s="48"/>
      <c r="BO429" s="48"/>
      <c r="BP429" s="48"/>
      <c r="BQ429" s="48"/>
      <c r="BR429" s="47" t="e">
        <v>#VALUE!</v>
      </c>
      <c r="BS429" s="48"/>
      <c r="BT429" s="48"/>
      <c r="BU429" s="228">
        <v>1.647616E-2</v>
      </c>
      <c r="BV429" s="48"/>
      <c r="BW429" s="48"/>
      <c r="BX429" s="48"/>
      <c r="BY429" s="48"/>
      <c r="BZ429" s="48"/>
      <c r="CA429" s="48"/>
      <c r="CB429" s="48"/>
      <c r="CC429" s="48"/>
      <c r="CD429" s="48"/>
      <c r="CE429" s="48"/>
      <c r="CF429" s="48"/>
      <c r="CG429" s="48"/>
      <c r="CH429" s="48"/>
      <c r="CI429" s="98"/>
      <c r="CJ429" s="98"/>
      <c r="CK429" s="49">
        <f t="shared" si="116"/>
        <v>336.83563131705728</v>
      </c>
      <c r="CL429" s="229"/>
      <c r="CM429" s="229"/>
      <c r="CN429" s="229"/>
      <c r="CO429" s="47" t="s">
        <v>2488</v>
      </c>
      <c r="CP429" s="500" t="s">
        <v>2489</v>
      </c>
      <c r="CQ429" s="224">
        <v>0.33760324502253658</v>
      </c>
      <c r="CR429" s="224">
        <f>10^(CJ429-CQ429)</f>
        <v>0.45961771041697719</v>
      </c>
      <c r="CS429" s="230" t="s">
        <v>539</v>
      </c>
      <c r="CT429" s="230"/>
      <c r="CU429" s="230"/>
      <c r="CV429" s="335">
        <f t="shared" si="117"/>
        <v>7283.25046612803</v>
      </c>
      <c r="CW429" s="230">
        <f t="shared" si="112"/>
        <v>1</v>
      </c>
      <c r="CX429" s="336"/>
      <c r="CY429" s="230" t="s">
        <v>5921</v>
      </c>
    </row>
    <row r="430" spans="1:103" ht="11.25" customHeight="1" x14ac:dyDescent="0.2">
      <c r="A430" s="72">
        <v>731</v>
      </c>
      <c r="B430" s="224">
        <v>1686</v>
      </c>
      <c r="C430" s="46" t="s">
        <v>6958</v>
      </c>
      <c r="D430" s="46"/>
      <c r="E430" s="114"/>
      <c r="F430" s="114" t="s">
        <v>4914</v>
      </c>
      <c r="G430" s="225">
        <v>52868</v>
      </c>
      <c r="H430" s="47" t="s">
        <v>4915</v>
      </c>
      <c r="I430" s="47" t="s">
        <v>7977</v>
      </c>
      <c r="J430" s="47" t="s">
        <v>4916</v>
      </c>
      <c r="K430" s="47" t="s">
        <v>4917</v>
      </c>
      <c r="L430" s="47" t="s">
        <v>279</v>
      </c>
      <c r="M430" s="47" t="s">
        <v>4918</v>
      </c>
      <c r="N430" s="47" t="s">
        <v>6376</v>
      </c>
      <c r="O430" s="47" t="s">
        <v>281</v>
      </c>
      <c r="P430" s="53"/>
      <c r="Q430" s="53"/>
      <c r="R430" s="53"/>
      <c r="S430" s="53"/>
      <c r="T430" s="48">
        <v>375.86</v>
      </c>
      <c r="U430" s="98">
        <v>14</v>
      </c>
      <c r="V430" s="98">
        <v>9.343</v>
      </c>
      <c r="W430" s="98">
        <v>49.547997775381106</v>
      </c>
      <c r="X430" s="98">
        <v>14</v>
      </c>
      <c r="Y430" s="233">
        <v>9.11</v>
      </c>
      <c r="Z430" s="48">
        <v>4.2</v>
      </c>
      <c r="AA430" s="48">
        <v>4.3</v>
      </c>
      <c r="AB430" s="48">
        <v>3.61</v>
      </c>
      <c r="AC430" s="48">
        <v>0.87649999999999995</v>
      </c>
      <c r="AD430" s="48">
        <v>3.48</v>
      </c>
      <c r="AE430" s="48">
        <v>3.01</v>
      </c>
      <c r="AF430" s="48">
        <f t="shared" si="113"/>
        <v>4.3</v>
      </c>
      <c r="AG430" s="49">
        <v>4.17</v>
      </c>
      <c r="AH430" s="98">
        <v>2.26E-14</v>
      </c>
      <c r="AI430" s="98"/>
      <c r="AJ430" s="483">
        <f t="shared" si="114"/>
        <v>-12.034457887165251</v>
      </c>
      <c r="AK430" s="483"/>
      <c r="AL430" s="483">
        <f t="shared" si="115"/>
        <v>-12.034457887165251</v>
      </c>
      <c r="AM430" s="483">
        <v>-17.044370000000001</v>
      </c>
      <c r="AN430" s="226">
        <v>-12.9</v>
      </c>
      <c r="AO430" s="484">
        <v>13.86</v>
      </c>
      <c r="AP430" s="484">
        <v>8.0399999999999991</v>
      </c>
      <c r="AQ430" s="226" t="s">
        <v>6311</v>
      </c>
      <c r="AR430" s="226" t="s">
        <v>6311</v>
      </c>
      <c r="AS430" s="224"/>
      <c r="AT430" s="50" t="s">
        <v>266</v>
      </c>
      <c r="AU430" s="48">
        <v>6</v>
      </c>
      <c r="AV430" s="48">
        <v>120</v>
      </c>
      <c r="AW430" s="48">
        <v>114</v>
      </c>
      <c r="AX430" s="48">
        <v>28</v>
      </c>
      <c r="AY430" s="48" t="s">
        <v>8728</v>
      </c>
      <c r="AZ430" s="48" t="s">
        <v>1563</v>
      </c>
      <c r="BA430" s="48">
        <v>32</v>
      </c>
      <c r="BB430" s="47" t="s">
        <v>2485</v>
      </c>
      <c r="BC430" s="47" t="s">
        <v>8726</v>
      </c>
      <c r="BD430" s="47" t="s">
        <v>8374</v>
      </c>
      <c r="BE430" s="48" t="s">
        <v>2449</v>
      </c>
      <c r="BF430" s="48" t="s">
        <v>272</v>
      </c>
      <c r="BG430" s="48" t="s">
        <v>272</v>
      </c>
      <c r="BH430" s="48" t="s">
        <v>2486</v>
      </c>
      <c r="BI430" s="98">
        <v>2.4055040000000001E-3</v>
      </c>
      <c r="BJ430" s="98">
        <v>24.055040000000002</v>
      </c>
      <c r="BK430" s="48"/>
      <c r="BL430" s="487">
        <v>3.2644205972352403</v>
      </c>
      <c r="BM430" s="47" t="s">
        <v>2487</v>
      </c>
      <c r="BN430" s="48"/>
      <c r="BO430" s="48"/>
      <c r="BP430" s="48"/>
      <c r="BQ430" s="48"/>
      <c r="BR430" s="47" t="e">
        <v>#VALUE!</v>
      </c>
      <c r="BS430" s="48"/>
      <c r="BT430" s="48"/>
      <c r="BU430" s="228"/>
      <c r="BV430" s="48"/>
      <c r="BW430" s="48"/>
      <c r="BX430" s="48"/>
      <c r="BY430" s="48"/>
      <c r="BZ430" s="48"/>
      <c r="CA430" s="48"/>
      <c r="CB430" s="48"/>
      <c r="CC430" s="48"/>
      <c r="CD430" s="48"/>
      <c r="CE430" s="48"/>
      <c r="CF430" s="48"/>
      <c r="CG430" s="48"/>
      <c r="CH430" s="48"/>
      <c r="CI430" s="98"/>
      <c r="CJ430" s="98"/>
      <c r="CK430" s="49">
        <f t="shared" si="116"/>
        <v>0.13570630509179116</v>
      </c>
      <c r="CL430" s="229"/>
      <c r="CM430" s="229"/>
      <c r="CN430" s="229"/>
      <c r="CO430" s="47" t="s">
        <v>2488</v>
      </c>
      <c r="CP430" s="500" t="s">
        <v>2489</v>
      </c>
      <c r="CQ430" s="224" t="s">
        <v>272</v>
      </c>
      <c r="CR430" s="224"/>
      <c r="CS430" s="230" t="s">
        <v>539</v>
      </c>
      <c r="CT430" s="230"/>
      <c r="CU430" s="230"/>
      <c r="CV430" s="335">
        <f t="shared" si="117"/>
        <v>0.58199861650614582</v>
      </c>
      <c r="CW430" s="230">
        <f t="shared" si="112"/>
        <v>0</v>
      </c>
      <c r="CX430" s="336"/>
      <c r="CY430" s="230" t="s">
        <v>5921</v>
      </c>
    </row>
    <row r="431" spans="1:103" ht="11.25" customHeight="1" x14ac:dyDescent="0.2">
      <c r="A431" s="72">
        <v>732</v>
      </c>
      <c r="B431" s="224">
        <v>1251</v>
      </c>
      <c r="C431" s="46" t="s">
        <v>6959</v>
      </c>
      <c r="D431" s="46"/>
      <c r="E431" s="114"/>
      <c r="F431" s="114" t="s">
        <v>3441</v>
      </c>
      <c r="G431" s="225">
        <v>53032</v>
      </c>
      <c r="H431" s="47" t="s">
        <v>3442</v>
      </c>
      <c r="I431" s="47" t="s">
        <v>7978</v>
      </c>
      <c r="J431" s="47" t="s">
        <v>3443</v>
      </c>
      <c r="K431" s="47" t="s">
        <v>3444</v>
      </c>
      <c r="L431" s="51" t="s">
        <v>279</v>
      </c>
      <c r="M431" s="47" t="s">
        <v>3445</v>
      </c>
      <c r="N431" s="47" t="s">
        <v>6386</v>
      </c>
      <c r="O431" s="47" t="s">
        <v>281</v>
      </c>
      <c r="P431" s="53"/>
      <c r="Q431" s="53"/>
      <c r="R431" s="53"/>
      <c r="S431" s="53"/>
      <c r="T431" s="48">
        <v>358.43</v>
      </c>
      <c r="U431" s="98"/>
      <c r="V431" s="98">
        <v>312</v>
      </c>
      <c r="W431" s="98">
        <v>98.719819413749761</v>
      </c>
      <c r="X431" s="98">
        <v>98.719819413749761</v>
      </c>
      <c r="Y431" s="233">
        <v>7</v>
      </c>
      <c r="Z431" s="48">
        <v>1.59</v>
      </c>
      <c r="AA431" s="48">
        <v>1.46</v>
      </c>
      <c r="AB431" s="48">
        <v>1.67</v>
      </c>
      <c r="AC431" s="48">
        <v>0.78979999999999995</v>
      </c>
      <c r="AD431" s="48">
        <v>1.64</v>
      </c>
      <c r="AE431" s="48">
        <v>1.57</v>
      </c>
      <c r="AF431" s="48">
        <f t="shared" si="113"/>
        <v>1.46</v>
      </c>
      <c r="AG431" s="49">
        <v>1.1599999999999999</v>
      </c>
      <c r="AH431" s="98">
        <v>2.8300000000000001E-10</v>
      </c>
      <c r="AI431" s="98"/>
      <c r="AJ431" s="483">
        <f t="shared" si="114"/>
        <v>-7.9367798907883618</v>
      </c>
      <c r="AK431" s="483"/>
      <c r="AL431" s="483">
        <f t="shared" si="115"/>
        <v>-7.9367798907883618</v>
      </c>
      <c r="AM431" s="483">
        <v>-23.3504</v>
      </c>
      <c r="AN431" s="226">
        <v>-17.899999999999999</v>
      </c>
      <c r="AO431" s="484">
        <v>12.36</v>
      </c>
      <c r="AP431" s="484"/>
      <c r="AQ431" s="48" t="s">
        <v>6311</v>
      </c>
      <c r="AR431" s="48" t="s">
        <v>6311</v>
      </c>
      <c r="AS431" s="227"/>
      <c r="AT431" s="50" t="s">
        <v>266</v>
      </c>
      <c r="AU431" s="48">
        <v>6</v>
      </c>
      <c r="AV431" s="48">
        <v>120</v>
      </c>
      <c r="AW431" s="48">
        <v>114</v>
      </c>
      <c r="AX431" s="48">
        <v>28</v>
      </c>
      <c r="AY431" s="48" t="s">
        <v>8728</v>
      </c>
      <c r="AZ431" s="48" t="s">
        <v>1563</v>
      </c>
      <c r="BA431" s="48">
        <v>32</v>
      </c>
      <c r="BB431" s="47" t="s">
        <v>2485</v>
      </c>
      <c r="BC431" s="47" t="s">
        <v>8726</v>
      </c>
      <c r="BD431" s="47" t="s">
        <v>8374</v>
      </c>
      <c r="BE431" s="48" t="s">
        <v>2449</v>
      </c>
      <c r="BF431" s="48" t="s">
        <v>272</v>
      </c>
      <c r="BG431" s="48" t="s">
        <v>272</v>
      </c>
      <c r="BH431" s="48" t="s">
        <v>2486</v>
      </c>
      <c r="BI431" s="98">
        <v>2.2939520000000001E-3</v>
      </c>
      <c r="BJ431" s="98">
        <v>22.939520000000002</v>
      </c>
      <c r="BK431" s="48"/>
      <c r="BL431" s="487">
        <v>687.42504733588078</v>
      </c>
      <c r="BM431" s="47" t="s">
        <v>2487</v>
      </c>
      <c r="BN431" s="48"/>
      <c r="BO431" s="48"/>
      <c r="BP431" s="48"/>
      <c r="BQ431" s="48"/>
      <c r="BR431" s="47" t="e">
        <v>#VALUE!</v>
      </c>
      <c r="BS431" s="48"/>
      <c r="BT431" s="48"/>
      <c r="BU431" s="228">
        <v>2.2939520000000001E-3</v>
      </c>
      <c r="BV431" s="48"/>
      <c r="BW431" s="48"/>
      <c r="BX431" s="48"/>
      <c r="BY431" s="48"/>
      <c r="BZ431" s="48"/>
      <c r="CA431" s="48"/>
      <c r="CB431" s="48"/>
      <c r="CC431" s="48"/>
      <c r="CD431" s="48"/>
      <c r="CE431" s="48"/>
      <c r="CF431" s="48"/>
      <c r="CG431" s="48"/>
      <c r="CH431" s="48"/>
      <c r="CI431" s="98"/>
      <c r="CJ431" s="98"/>
      <c r="CK431" s="49">
        <f t="shared" si="116"/>
        <v>29.966845310445933</v>
      </c>
      <c r="CL431" s="229"/>
      <c r="CM431" s="229"/>
      <c r="CN431" s="229"/>
      <c r="CO431" s="47" t="s">
        <v>2488</v>
      </c>
      <c r="CP431" s="500" t="s">
        <v>2489</v>
      </c>
      <c r="CQ431" s="224" t="s">
        <v>272</v>
      </c>
      <c r="CR431" s="224"/>
      <c r="CS431" s="230" t="s">
        <v>539</v>
      </c>
      <c r="CT431" s="230"/>
      <c r="CU431" s="230"/>
      <c r="CV431" s="335">
        <f t="shared" si="117"/>
        <v>4.3034823489658791</v>
      </c>
      <c r="CW431" s="230">
        <f t="shared" si="112"/>
        <v>1</v>
      </c>
      <c r="CX431" s="336"/>
      <c r="CY431" s="230" t="s">
        <v>5921</v>
      </c>
    </row>
    <row r="432" spans="1:103" ht="11.25" customHeight="1" x14ac:dyDescent="0.2">
      <c r="A432" s="72">
        <v>733</v>
      </c>
      <c r="B432" s="224">
        <v>1122</v>
      </c>
      <c r="C432" s="46" t="s">
        <v>6960</v>
      </c>
      <c r="D432" s="46"/>
      <c r="E432" s="114"/>
      <c r="F432" s="114" t="s">
        <v>3132</v>
      </c>
      <c r="G432" s="225">
        <v>53167</v>
      </c>
      <c r="H432" s="47" t="s">
        <v>3133</v>
      </c>
      <c r="I432" s="47" t="s">
        <v>3133</v>
      </c>
      <c r="J432" s="47" t="s">
        <v>3134</v>
      </c>
      <c r="K432" s="47" t="s">
        <v>349</v>
      </c>
      <c r="L432" s="47" t="s">
        <v>279</v>
      </c>
      <c r="M432" s="47" t="s">
        <v>3135</v>
      </c>
      <c r="N432" s="47" t="s">
        <v>6386</v>
      </c>
      <c r="O432" s="47" t="s">
        <v>281</v>
      </c>
      <c r="P432" s="53"/>
      <c r="Q432" s="53"/>
      <c r="R432" s="53"/>
      <c r="S432" s="53"/>
      <c r="T432" s="48">
        <v>270.37</v>
      </c>
      <c r="U432" s="98">
        <v>30</v>
      </c>
      <c r="V432" s="98">
        <v>146.80000000000001</v>
      </c>
      <c r="W432" s="98">
        <v>5.1517941431572263</v>
      </c>
      <c r="X432" s="98">
        <v>30</v>
      </c>
      <c r="Y432" s="233">
        <v>6.98</v>
      </c>
      <c r="Z432" s="48">
        <v>3.43</v>
      </c>
      <c r="AA432" s="48">
        <v>3.13</v>
      </c>
      <c r="AB432" s="48">
        <v>3.23</v>
      </c>
      <c r="AC432" s="48">
        <v>0.78990000000000005</v>
      </c>
      <c r="AD432" s="48">
        <v>3.38</v>
      </c>
      <c r="AE432" s="48">
        <v>3.69</v>
      </c>
      <c r="AF432" s="48">
        <f t="shared" si="113"/>
        <v>3.13</v>
      </c>
      <c r="AG432" s="49">
        <v>3.63</v>
      </c>
      <c r="AH432" s="98">
        <v>3.7999999999999998E-10</v>
      </c>
      <c r="AI432" s="98"/>
      <c r="AJ432" s="483">
        <f t="shared" si="114"/>
        <v>-7.8087827296958414</v>
      </c>
      <c r="AK432" s="483"/>
      <c r="AL432" s="483">
        <f t="shared" si="115"/>
        <v>-7.8087827296958414</v>
      </c>
      <c r="AM432" s="483">
        <v>-16.089739999999999</v>
      </c>
      <c r="AN432" s="226">
        <v>-9.34</v>
      </c>
      <c r="AO432" s="484">
        <v>10.25</v>
      </c>
      <c r="AP432" s="484"/>
      <c r="AQ432" s="48" t="s">
        <v>6311</v>
      </c>
      <c r="AR432" s="48" t="s">
        <v>6311</v>
      </c>
      <c r="AS432" s="227"/>
      <c r="AT432" s="50" t="s">
        <v>266</v>
      </c>
      <c r="AU432" s="48">
        <v>6</v>
      </c>
      <c r="AV432" s="48">
        <v>120</v>
      </c>
      <c r="AW432" s="48">
        <v>114</v>
      </c>
      <c r="AX432" s="48">
        <v>28</v>
      </c>
      <c r="AY432" s="48" t="s">
        <v>8728</v>
      </c>
      <c r="AZ432" s="48" t="s">
        <v>1563</v>
      </c>
      <c r="BA432" s="48">
        <v>32</v>
      </c>
      <c r="BB432" s="47" t="s">
        <v>2485</v>
      </c>
      <c r="BC432" s="47" t="s">
        <v>8726</v>
      </c>
      <c r="BD432" s="47" t="s">
        <v>8374</v>
      </c>
      <c r="BE432" s="48" t="s">
        <v>2449</v>
      </c>
      <c r="BF432" s="48" t="s">
        <v>272</v>
      </c>
      <c r="BG432" s="48" t="s">
        <v>272</v>
      </c>
      <c r="BH432" s="48" t="s">
        <v>2486</v>
      </c>
      <c r="BI432" s="98">
        <v>1.7303679999999999E-3</v>
      </c>
      <c r="BJ432" s="98">
        <v>17.30368</v>
      </c>
      <c r="BK432" s="48"/>
      <c r="BL432" s="487">
        <v>11.541851998483819</v>
      </c>
      <c r="BM432" s="47" t="s">
        <v>2487</v>
      </c>
      <c r="BN432" s="48"/>
      <c r="BO432" s="48"/>
      <c r="BP432" s="48"/>
      <c r="BQ432" s="48"/>
      <c r="BR432" s="47" t="e">
        <v>#VALUE!</v>
      </c>
      <c r="BS432" s="48"/>
      <c r="BT432" s="48"/>
      <c r="BU432" s="228">
        <v>0.17303680000000002</v>
      </c>
      <c r="BV432" s="48"/>
      <c r="BW432" s="48"/>
      <c r="BX432" s="48"/>
      <c r="BY432" s="48"/>
      <c r="BZ432" s="48"/>
      <c r="CA432" s="48"/>
      <c r="CB432" s="48"/>
      <c r="CC432" s="48"/>
      <c r="CD432" s="48"/>
      <c r="CE432" s="48"/>
      <c r="CF432" s="48"/>
      <c r="CG432" s="48"/>
      <c r="CH432" s="48"/>
      <c r="CI432" s="98"/>
      <c r="CJ432" s="98"/>
      <c r="CK432" s="49">
        <f t="shared" si="116"/>
        <v>0.66701718931948695</v>
      </c>
      <c r="CL432" s="229"/>
      <c r="CM432" s="229"/>
      <c r="CN432" s="229"/>
      <c r="CO432" s="47" t="s">
        <v>2488</v>
      </c>
      <c r="CP432" s="500" t="s">
        <v>2489</v>
      </c>
      <c r="CQ432" s="224" t="s">
        <v>272</v>
      </c>
      <c r="CR432" s="224"/>
      <c r="CS432" s="230" t="s">
        <v>539</v>
      </c>
      <c r="CT432" s="230"/>
      <c r="CU432" s="230"/>
      <c r="CV432" s="335">
        <f t="shared" si="117"/>
        <v>1.7337352516921256</v>
      </c>
      <c r="CW432" s="230">
        <f t="shared" si="112"/>
        <v>1</v>
      </c>
      <c r="CX432" s="336"/>
      <c r="CY432" s="230" t="s">
        <v>6351</v>
      </c>
    </row>
    <row r="433" spans="1:103" ht="11.25" customHeight="1" x14ac:dyDescent="0.2">
      <c r="A433" s="72">
        <v>734</v>
      </c>
      <c r="B433" s="224">
        <v>1706</v>
      </c>
      <c r="C433" s="46" t="s">
        <v>6961</v>
      </c>
      <c r="D433" s="46"/>
      <c r="E433" s="114"/>
      <c r="F433" s="114" t="s">
        <v>4963</v>
      </c>
      <c r="G433" s="225">
        <v>53861</v>
      </c>
      <c r="H433" s="47" t="s">
        <v>4964</v>
      </c>
      <c r="I433" s="47" t="s">
        <v>7979</v>
      </c>
      <c r="J433" s="47" t="s">
        <v>4965</v>
      </c>
      <c r="K433" s="47" t="s">
        <v>1594</v>
      </c>
      <c r="L433" s="47" t="s">
        <v>279</v>
      </c>
      <c r="M433" s="47" t="s">
        <v>4966</v>
      </c>
      <c r="N433" s="47" t="s">
        <v>6384</v>
      </c>
      <c r="O433" s="47" t="s">
        <v>281</v>
      </c>
      <c r="P433" s="53"/>
      <c r="Q433" s="53"/>
      <c r="R433" s="53"/>
      <c r="S433" s="53"/>
      <c r="T433" s="48">
        <v>357.79</v>
      </c>
      <c r="U433" s="98">
        <v>0.93699999999999994</v>
      </c>
      <c r="V433" s="98">
        <v>3.1139999999999994</v>
      </c>
      <c r="W433" s="98">
        <v>62.176775851823926</v>
      </c>
      <c r="X433" s="98">
        <v>0.93699999999999994</v>
      </c>
      <c r="Y433" s="233">
        <v>4.04</v>
      </c>
      <c r="Z433" s="48">
        <v>4.2300000000000004</v>
      </c>
      <c r="AA433" s="48">
        <v>4.2699999999999996</v>
      </c>
      <c r="AB433" s="48">
        <v>4.4800000000000004</v>
      </c>
      <c r="AC433" s="48">
        <v>0.74509999999999998</v>
      </c>
      <c r="AD433" s="48">
        <v>4.0199999999999996</v>
      </c>
      <c r="AE433" s="48">
        <v>3.1</v>
      </c>
      <c r="AF433" s="48">
        <f t="shared" si="113"/>
        <v>4.2699999999999996</v>
      </c>
      <c r="AG433" s="49">
        <v>4.1900000000000004</v>
      </c>
      <c r="AH433" s="98">
        <v>3.1300000000000003E-14</v>
      </c>
      <c r="AI433" s="98"/>
      <c r="AJ433" s="483">
        <f t="shared" si="114"/>
        <v>-11.893021988766204</v>
      </c>
      <c r="AK433" s="483"/>
      <c r="AL433" s="483">
        <f t="shared" si="115"/>
        <v>-11.893021988766204</v>
      </c>
      <c r="AM433" s="483">
        <v>-18.59442</v>
      </c>
      <c r="AN433" s="226">
        <v>-13.3</v>
      </c>
      <c r="AO433" s="484">
        <v>3.96</v>
      </c>
      <c r="AP433" s="484"/>
      <c r="AQ433" s="226" t="s">
        <v>6311</v>
      </c>
      <c r="AR433" s="226" t="s">
        <v>6311</v>
      </c>
      <c r="AS433" s="224"/>
      <c r="AT433" s="50" t="s">
        <v>266</v>
      </c>
      <c r="AU433" s="48">
        <v>6</v>
      </c>
      <c r="AV433" s="48">
        <v>120</v>
      </c>
      <c r="AW433" s="48">
        <v>114</v>
      </c>
      <c r="AX433" s="48">
        <v>28</v>
      </c>
      <c r="AY433" s="48" t="s">
        <v>8728</v>
      </c>
      <c r="AZ433" s="48" t="s">
        <v>1563</v>
      </c>
      <c r="BA433" s="48">
        <v>32</v>
      </c>
      <c r="BB433" s="47" t="s">
        <v>2485</v>
      </c>
      <c r="BC433" s="47" t="s">
        <v>8726</v>
      </c>
      <c r="BD433" s="47" t="s">
        <v>8374</v>
      </c>
      <c r="BE433" s="48" t="s">
        <v>2449</v>
      </c>
      <c r="BF433" s="48" t="s">
        <v>272</v>
      </c>
      <c r="BG433" s="48" t="s">
        <v>272</v>
      </c>
      <c r="BH433" s="48" t="s">
        <v>2486</v>
      </c>
      <c r="BI433" s="98">
        <v>2.2898559999999998E-3</v>
      </c>
      <c r="BJ433" s="98">
        <v>22.898560000000003</v>
      </c>
      <c r="BK433" s="48"/>
      <c r="BL433" s="487">
        <v>2.9205537145328559</v>
      </c>
      <c r="BM433" s="47" t="s">
        <v>2487</v>
      </c>
      <c r="BN433" s="48"/>
      <c r="BO433" s="48"/>
      <c r="BP433" s="48"/>
      <c r="BQ433" s="48"/>
      <c r="BR433" s="47" t="e">
        <v>#VALUE!</v>
      </c>
      <c r="BS433" s="48"/>
      <c r="BT433" s="48"/>
      <c r="BU433" s="228"/>
      <c r="BV433" s="48"/>
      <c r="BW433" s="48"/>
      <c r="BX433" s="48"/>
      <c r="BY433" s="48"/>
      <c r="BZ433" s="48"/>
      <c r="CA433" s="48"/>
      <c r="CB433" s="48"/>
      <c r="CC433" s="48"/>
      <c r="CD433" s="48"/>
      <c r="CE433" s="48"/>
      <c r="CF433" s="48"/>
      <c r="CG433" s="48"/>
      <c r="CH433" s="48"/>
      <c r="CI433" s="98"/>
      <c r="CJ433" s="98"/>
      <c r="CK433" s="49">
        <f t="shared" si="116"/>
        <v>0.12754311688302039</v>
      </c>
      <c r="CL433" s="229"/>
      <c r="CM433" s="229"/>
      <c r="CN433" s="229"/>
      <c r="CO433" s="47" t="s">
        <v>2488</v>
      </c>
      <c r="CP433" s="500" t="s">
        <v>2489</v>
      </c>
      <c r="CQ433" s="224" t="s">
        <v>272</v>
      </c>
      <c r="CR433" s="224"/>
      <c r="CS433" s="230" t="s">
        <v>539</v>
      </c>
      <c r="CT433" s="230"/>
      <c r="CU433" s="230"/>
      <c r="CV433" s="335">
        <f t="shared" si="117"/>
        <v>4.0919603678135213E-2</v>
      </c>
      <c r="CW433" s="230">
        <f t="shared" si="112"/>
        <v>0</v>
      </c>
      <c r="CX433" s="336"/>
      <c r="CY433" s="230" t="s">
        <v>6351</v>
      </c>
    </row>
    <row r="434" spans="1:103" ht="11.25" customHeight="1" x14ac:dyDescent="0.2">
      <c r="A434" s="72">
        <v>735</v>
      </c>
      <c r="B434" s="224">
        <v>1775</v>
      </c>
      <c r="C434" s="46" t="s">
        <v>312</v>
      </c>
      <c r="D434" s="46"/>
      <c r="E434" s="114"/>
      <c r="F434" s="114" t="s">
        <v>5110</v>
      </c>
      <c r="G434" s="225">
        <v>54115</v>
      </c>
      <c r="H434" s="47" t="s">
        <v>313</v>
      </c>
      <c r="I434" s="47" t="s">
        <v>313</v>
      </c>
      <c r="J434" s="47" t="s">
        <v>314</v>
      </c>
      <c r="K434" s="47" t="s">
        <v>315</v>
      </c>
      <c r="L434" s="47" t="s">
        <v>617</v>
      </c>
      <c r="M434" s="47" t="s">
        <v>317</v>
      </c>
      <c r="N434" s="47" t="s">
        <v>6376</v>
      </c>
      <c r="O434" s="47" t="s">
        <v>918</v>
      </c>
      <c r="P434" s="53"/>
      <c r="Q434" s="53" t="s">
        <v>6173</v>
      </c>
      <c r="R434" s="53" t="s">
        <v>6185</v>
      </c>
      <c r="S434" s="53" t="s">
        <v>6176</v>
      </c>
      <c r="T434" s="48">
        <v>162.22999999999999</v>
      </c>
      <c r="U434" s="98">
        <v>1000000</v>
      </c>
      <c r="V434" s="98">
        <v>1000000</v>
      </c>
      <c r="W434" s="98">
        <v>44681.852254255064</v>
      </c>
      <c r="X434" s="98">
        <v>1000000</v>
      </c>
      <c r="Y434" s="233">
        <v>11</v>
      </c>
      <c r="Z434" s="48">
        <v>1</v>
      </c>
      <c r="AA434" s="48">
        <v>1.17</v>
      </c>
      <c r="AB434" s="48">
        <v>0.86</v>
      </c>
      <c r="AC434" s="48">
        <v>0.84609999999999996</v>
      </c>
      <c r="AD434" s="48">
        <v>0.82</v>
      </c>
      <c r="AE434" s="48">
        <v>0.72</v>
      </c>
      <c r="AF434" s="48">
        <f t="shared" si="113"/>
        <v>1.17</v>
      </c>
      <c r="AG434" s="49">
        <v>1.37</v>
      </c>
      <c r="AH434" s="98">
        <v>3E-9</v>
      </c>
      <c r="AI434" s="98"/>
      <c r="AJ434" s="483">
        <f t="shared" si="114"/>
        <v>-6.9114450715929898</v>
      </c>
      <c r="AK434" s="483"/>
      <c r="AL434" s="483">
        <f t="shared" si="115"/>
        <v>-6.9114450715929898</v>
      </c>
      <c r="AM434" s="483">
        <v>-8.0645500000000006</v>
      </c>
      <c r="AN434" s="226">
        <v>-6.79</v>
      </c>
      <c r="AO434" s="484"/>
      <c r="AP434" s="484">
        <v>8</v>
      </c>
      <c r="AQ434" s="226" t="s">
        <v>6311</v>
      </c>
      <c r="AR434" s="226" t="s">
        <v>6311</v>
      </c>
      <c r="AS434" s="224"/>
      <c r="AT434" s="50" t="s">
        <v>266</v>
      </c>
      <c r="AU434" s="48">
        <v>6</v>
      </c>
      <c r="AV434" s="48">
        <v>120</v>
      </c>
      <c r="AW434" s="48">
        <v>114</v>
      </c>
      <c r="AX434" s="48">
        <v>28</v>
      </c>
      <c r="AY434" s="48" t="s">
        <v>8728</v>
      </c>
      <c r="AZ434" s="48" t="s">
        <v>1563</v>
      </c>
      <c r="BA434" s="48">
        <v>32</v>
      </c>
      <c r="BB434" s="47" t="s">
        <v>2485</v>
      </c>
      <c r="BC434" s="47" t="s">
        <v>8726</v>
      </c>
      <c r="BD434" s="47" t="s">
        <v>8374</v>
      </c>
      <c r="BE434" s="48" t="s">
        <v>2449</v>
      </c>
      <c r="BF434" s="48" t="s">
        <v>272</v>
      </c>
      <c r="BG434" s="48" t="s">
        <v>272</v>
      </c>
      <c r="BH434" s="48" t="s">
        <v>2486</v>
      </c>
      <c r="BI434" s="98">
        <v>1.0382719999999998E-3</v>
      </c>
      <c r="BJ434" s="98">
        <v>10.382719999999999</v>
      </c>
      <c r="BK434" s="48"/>
      <c r="BL434" s="487">
        <v>1053.977083545846</v>
      </c>
      <c r="BM434" s="47" t="s">
        <v>2487</v>
      </c>
      <c r="BN434" s="48"/>
      <c r="BO434" s="48"/>
      <c r="BP434" s="48"/>
      <c r="BQ434" s="48"/>
      <c r="BR434" s="47" t="e">
        <v>#VALUE!</v>
      </c>
      <c r="BS434" s="48"/>
      <c r="BT434" s="48"/>
      <c r="BU434" s="228"/>
      <c r="BV434" s="48"/>
      <c r="BW434" s="48"/>
      <c r="BX434" s="48"/>
      <c r="BY434" s="48"/>
      <c r="BZ434" s="48"/>
      <c r="CA434" s="48"/>
      <c r="CB434" s="48"/>
      <c r="CC434" s="48"/>
      <c r="CD434" s="48"/>
      <c r="CE434" s="48"/>
      <c r="CF434" s="48"/>
      <c r="CG434" s="48"/>
      <c r="CH434" s="48"/>
      <c r="CI434" s="98"/>
      <c r="CJ434" s="98"/>
      <c r="CK434" s="49">
        <f t="shared" si="116"/>
        <v>101.51261745918661</v>
      </c>
      <c r="CL434" s="229"/>
      <c r="CM434" s="229">
        <v>0.6020599913279624</v>
      </c>
      <c r="CN434" s="229">
        <f>BJ434/(10^CM434)</f>
        <v>2.5956799999999993</v>
      </c>
      <c r="CO434" s="47" t="s">
        <v>2488</v>
      </c>
      <c r="CP434" s="500" t="s">
        <v>2489</v>
      </c>
      <c r="CQ434" s="224">
        <v>0.66922824680230242</v>
      </c>
      <c r="CR434" s="224">
        <f>10^(CJ434-CQ434)</f>
        <v>0.21417646843905963</v>
      </c>
      <c r="CS434" s="230" t="s">
        <v>539</v>
      </c>
      <c r="CT434" s="230"/>
      <c r="CU434" s="230"/>
      <c r="CV434" s="335">
        <f t="shared" si="117"/>
        <v>96313.875362140185</v>
      </c>
      <c r="CW434" s="230">
        <f t="shared" si="112"/>
        <v>1</v>
      </c>
      <c r="CX434" s="336"/>
      <c r="CY434" s="230" t="s">
        <v>6351</v>
      </c>
    </row>
    <row r="435" spans="1:103" ht="11.25" customHeight="1" x14ac:dyDescent="0.2">
      <c r="A435" s="72">
        <v>736</v>
      </c>
      <c r="B435" s="224">
        <v>986</v>
      </c>
      <c r="C435" s="46" t="s">
        <v>6962</v>
      </c>
      <c r="D435" s="46"/>
      <c r="E435" s="114"/>
      <c r="F435" s="114" t="s">
        <v>2812</v>
      </c>
      <c r="G435" s="225">
        <v>54626</v>
      </c>
      <c r="H435" s="47" t="s">
        <v>2813</v>
      </c>
      <c r="I435" s="47" t="s">
        <v>2813</v>
      </c>
      <c r="J435" s="47" t="s">
        <v>2814</v>
      </c>
      <c r="K435" s="47" t="s">
        <v>2815</v>
      </c>
      <c r="L435" s="47"/>
      <c r="M435" s="47"/>
      <c r="N435" s="47"/>
      <c r="O435" s="47"/>
      <c r="P435" s="53"/>
      <c r="Q435" s="53"/>
      <c r="R435" s="53"/>
      <c r="S435" s="53"/>
      <c r="T435" s="48">
        <v>440.41</v>
      </c>
      <c r="U435" s="98"/>
      <c r="V435" s="98">
        <v>3034</v>
      </c>
      <c r="W435" s="98">
        <v>24.766074302708155</v>
      </c>
      <c r="X435" s="98">
        <v>24.766074302708155</v>
      </c>
      <c r="Y435" s="233">
        <v>4.6100000000000003</v>
      </c>
      <c r="Z435" s="48">
        <v>-1.82</v>
      </c>
      <c r="AA435" s="48"/>
      <c r="AB435" s="48">
        <v>-0.8</v>
      </c>
      <c r="AC435" s="48">
        <v>0.71</v>
      </c>
      <c r="AD435" s="48">
        <v>-0.93</v>
      </c>
      <c r="AE435" s="48">
        <v>-1.21</v>
      </c>
      <c r="AF435" s="48">
        <f t="shared" si="113"/>
        <v>-0.93</v>
      </c>
      <c r="AG435" s="49">
        <v>-0.87</v>
      </c>
      <c r="AH435" s="98">
        <v>7.52E-33</v>
      </c>
      <c r="AI435" s="98"/>
      <c r="AJ435" s="483">
        <f t="shared" si="114"/>
        <v>-30.512348485721009</v>
      </c>
      <c r="AK435" s="483"/>
      <c r="AL435" s="483">
        <f t="shared" si="115"/>
        <v>-30.512348485721009</v>
      </c>
      <c r="AM435" s="483">
        <v>-38.256950000000003</v>
      </c>
      <c r="AN435" s="226">
        <v>-30.1</v>
      </c>
      <c r="AO435" s="484">
        <v>3.47</v>
      </c>
      <c r="AP435" s="484">
        <v>5.46</v>
      </c>
      <c r="AQ435" s="48" t="s">
        <v>6311</v>
      </c>
      <c r="AR435" s="48" t="s">
        <v>6311</v>
      </c>
      <c r="AS435" s="227"/>
      <c r="AT435" s="50" t="s">
        <v>266</v>
      </c>
      <c r="AU435" s="48">
        <v>6</v>
      </c>
      <c r="AV435" s="48">
        <v>120</v>
      </c>
      <c r="AW435" s="48">
        <v>114</v>
      </c>
      <c r="AX435" s="48">
        <v>28</v>
      </c>
      <c r="AY435" s="48" t="s">
        <v>8728</v>
      </c>
      <c r="AZ435" s="48" t="s">
        <v>1563</v>
      </c>
      <c r="BA435" s="48">
        <v>32</v>
      </c>
      <c r="BB435" s="47" t="s">
        <v>2485</v>
      </c>
      <c r="BC435" s="47" t="s">
        <v>8726</v>
      </c>
      <c r="BD435" s="47" t="s">
        <v>8374</v>
      </c>
      <c r="BE435" s="48" t="s">
        <v>2449</v>
      </c>
      <c r="BF435" s="48" t="s">
        <v>272</v>
      </c>
      <c r="BG435" s="48" t="s">
        <v>272</v>
      </c>
      <c r="BH435" s="48" t="s">
        <v>2486</v>
      </c>
      <c r="BI435" s="98">
        <v>2.818624E-3</v>
      </c>
      <c r="BJ435" s="98">
        <v>28.186240000000002</v>
      </c>
      <c r="BK435" s="48"/>
      <c r="BL435" s="487">
        <v>975436.87972246448</v>
      </c>
      <c r="BM435" s="47" t="s">
        <v>2487</v>
      </c>
      <c r="BN435" s="48"/>
      <c r="BO435" s="48"/>
      <c r="BP435" s="48"/>
      <c r="BQ435" s="48"/>
      <c r="BR435" s="47" t="e">
        <v>#VALUE!</v>
      </c>
      <c r="BS435" s="48"/>
      <c r="BT435" s="48"/>
      <c r="BU435" s="228">
        <v>26.4950656</v>
      </c>
      <c r="BV435" s="48"/>
      <c r="BW435" s="48"/>
      <c r="BX435" s="48"/>
      <c r="BY435" s="48"/>
      <c r="BZ435" s="48"/>
      <c r="CA435" s="48"/>
      <c r="CB435" s="48"/>
      <c r="CC435" s="48"/>
      <c r="CD435" s="48"/>
      <c r="CE435" s="48"/>
      <c r="CF435" s="48"/>
      <c r="CG435" s="48"/>
      <c r="CH435" s="48"/>
      <c r="CI435" s="98"/>
      <c r="CJ435" s="98"/>
      <c r="CK435" s="49">
        <f t="shared" si="116"/>
        <v>34606.846451405523</v>
      </c>
      <c r="CL435" s="229"/>
      <c r="CM435" s="229"/>
      <c r="CN435" s="229"/>
      <c r="CO435" s="47" t="s">
        <v>2488</v>
      </c>
      <c r="CP435" s="500" t="s">
        <v>2489</v>
      </c>
      <c r="CQ435" s="224" t="s">
        <v>272</v>
      </c>
      <c r="CR435" s="224"/>
      <c r="CS435" s="230" t="s">
        <v>539</v>
      </c>
      <c r="CT435" s="230"/>
      <c r="CU435" s="230"/>
      <c r="CV435" s="335">
        <f t="shared" si="117"/>
        <v>0.87865832060992011</v>
      </c>
      <c r="CW435" s="230">
        <f t="shared" si="112"/>
        <v>0</v>
      </c>
      <c r="CX435" s="336"/>
      <c r="CY435" s="230" t="s">
        <v>5921</v>
      </c>
    </row>
    <row r="436" spans="1:103" ht="11.25" customHeight="1" x14ac:dyDescent="0.2">
      <c r="A436" s="72">
        <v>737</v>
      </c>
      <c r="B436" s="224">
        <v>1168</v>
      </c>
      <c r="C436" s="46" t="s">
        <v>479</v>
      </c>
      <c r="D436" s="46" t="s">
        <v>8352</v>
      </c>
      <c r="E436" s="114"/>
      <c r="F436" s="114" t="s">
        <v>480</v>
      </c>
      <c r="G436" s="225">
        <v>54853</v>
      </c>
      <c r="H436" s="47" t="s">
        <v>481</v>
      </c>
      <c r="I436" s="47" t="s">
        <v>481</v>
      </c>
      <c r="J436" s="47" t="s">
        <v>482</v>
      </c>
      <c r="K436" s="47" t="s">
        <v>483</v>
      </c>
      <c r="L436" s="47" t="s">
        <v>279</v>
      </c>
      <c r="M436" s="47" t="s">
        <v>484</v>
      </c>
      <c r="N436" s="47"/>
      <c r="O436" s="47" t="s">
        <v>281</v>
      </c>
      <c r="P436" s="53"/>
      <c r="Q436" s="53"/>
      <c r="R436" s="53"/>
      <c r="S436" s="53"/>
      <c r="T436" s="48">
        <v>137.13999999999999</v>
      </c>
      <c r="U436" s="98">
        <v>140000</v>
      </c>
      <c r="V436" s="98">
        <v>16690</v>
      </c>
      <c r="W436" s="98"/>
      <c r="X436" s="98">
        <v>140000</v>
      </c>
      <c r="Y436" s="233">
        <v>7.32</v>
      </c>
      <c r="Z436" s="48">
        <v>-0.81</v>
      </c>
      <c r="AA436" s="48">
        <v>-0.7</v>
      </c>
      <c r="AB436" s="48">
        <v>-0.52</v>
      </c>
      <c r="AC436" s="48">
        <v>0.80269999999999997</v>
      </c>
      <c r="AD436" s="48">
        <v>-0.63</v>
      </c>
      <c r="AE436" s="48">
        <v>-0.89</v>
      </c>
      <c r="AF436" s="48">
        <f t="shared" si="113"/>
        <v>-0.7</v>
      </c>
      <c r="AG436" s="49">
        <v>-0.67</v>
      </c>
      <c r="AH436" s="98">
        <v>1.21E-14</v>
      </c>
      <c r="AI436" s="98"/>
      <c r="AJ436" s="483">
        <f t="shared" si="114"/>
        <v>-12.305780955996202</v>
      </c>
      <c r="AK436" s="483"/>
      <c r="AL436" s="483">
        <f t="shared" si="115"/>
        <v>-12.305780955996202</v>
      </c>
      <c r="AM436" s="483">
        <v>-14.64358</v>
      </c>
      <c r="AN436" s="226">
        <v>-11.7</v>
      </c>
      <c r="AO436" s="484">
        <v>11.4</v>
      </c>
      <c r="AP436" s="484">
        <v>3.79</v>
      </c>
      <c r="AQ436" s="48" t="s">
        <v>6311</v>
      </c>
      <c r="AR436" s="48" t="s">
        <v>6311</v>
      </c>
      <c r="AS436" s="227"/>
      <c r="AT436" s="50" t="s">
        <v>266</v>
      </c>
      <c r="AU436" s="48">
        <v>6</v>
      </c>
      <c r="AV436" s="48">
        <v>120</v>
      </c>
      <c r="AW436" s="48">
        <v>114</v>
      </c>
      <c r="AX436" s="48">
        <v>28</v>
      </c>
      <c r="AY436" s="48" t="s">
        <v>8728</v>
      </c>
      <c r="AZ436" s="48" t="s">
        <v>1563</v>
      </c>
      <c r="BA436" s="48">
        <v>32</v>
      </c>
      <c r="BB436" s="47" t="s">
        <v>2485</v>
      </c>
      <c r="BC436" s="47" t="s">
        <v>8726</v>
      </c>
      <c r="BD436" s="47" t="s">
        <v>8374</v>
      </c>
      <c r="BE436" s="48" t="s">
        <v>2449</v>
      </c>
      <c r="BF436" s="48" t="s">
        <v>272</v>
      </c>
      <c r="BG436" s="48" t="s">
        <v>272</v>
      </c>
      <c r="BH436" s="48" t="s">
        <v>2486</v>
      </c>
      <c r="BI436" s="98">
        <v>8.7769599999999986E-4</v>
      </c>
      <c r="BJ436" s="98">
        <v>8.776959999999999</v>
      </c>
      <c r="BK436" s="48"/>
      <c r="BL436" s="487">
        <v>37620.550400801134</v>
      </c>
      <c r="BM436" s="47" t="s">
        <v>2487</v>
      </c>
      <c r="BN436" s="48"/>
      <c r="BO436" s="48"/>
      <c r="BP436" s="48"/>
      <c r="BQ436" s="48"/>
      <c r="BR436" s="47" t="e">
        <v>#VALUE!</v>
      </c>
      <c r="BS436" s="48"/>
      <c r="BT436" s="48"/>
      <c r="BU436" s="228">
        <v>3.8399199999999994E-4</v>
      </c>
      <c r="BV436" s="48"/>
      <c r="BW436" s="48"/>
      <c r="BX436" s="48"/>
      <c r="BY436" s="48"/>
      <c r="BZ436" s="48"/>
      <c r="CA436" s="48"/>
      <c r="CB436" s="48"/>
      <c r="CC436" s="48"/>
      <c r="CD436" s="48"/>
      <c r="CE436" s="48"/>
      <c r="CF436" s="48"/>
      <c r="CG436" s="48"/>
      <c r="CH436" s="48"/>
      <c r="CI436" s="98"/>
      <c r="CJ436" s="98"/>
      <c r="CK436" s="49">
        <f t="shared" si="116"/>
        <v>4286.284818524995</v>
      </c>
      <c r="CL436" s="229"/>
      <c r="CM436" s="229"/>
      <c r="CN436" s="229"/>
      <c r="CO436" s="47" t="s">
        <v>2488</v>
      </c>
      <c r="CP436" s="500" t="s">
        <v>2489</v>
      </c>
      <c r="CQ436" s="224" t="s">
        <v>272</v>
      </c>
      <c r="CR436" s="224"/>
      <c r="CS436" s="230" t="s">
        <v>539</v>
      </c>
      <c r="CT436" s="230"/>
      <c r="CU436" s="230"/>
      <c r="CV436" s="335">
        <f t="shared" si="117"/>
        <v>15950.853142773809</v>
      </c>
      <c r="CW436" s="230">
        <f t="shared" si="112"/>
        <v>1</v>
      </c>
      <c r="CX436" s="336"/>
      <c r="CY436" s="230" t="s">
        <v>5921</v>
      </c>
    </row>
    <row r="437" spans="1:103" ht="11.25" customHeight="1" x14ac:dyDescent="0.2">
      <c r="A437" s="72">
        <v>738</v>
      </c>
      <c r="B437" s="224">
        <v>1211</v>
      </c>
      <c r="C437" s="46" t="s">
        <v>6963</v>
      </c>
      <c r="D437" s="46"/>
      <c r="E437" s="114"/>
      <c r="F437" s="114" t="s">
        <v>3337</v>
      </c>
      <c r="G437" s="225">
        <v>55185</v>
      </c>
      <c r="H437" s="47" t="s">
        <v>3338</v>
      </c>
      <c r="I437" s="47" t="s">
        <v>3338</v>
      </c>
      <c r="J437" s="47" t="s">
        <v>3339</v>
      </c>
      <c r="K437" s="47" t="s">
        <v>300</v>
      </c>
      <c r="L437" s="47" t="s">
        <v>6133</v>
      </c>
      <c r="M437" s="47" t="s">
        <v>5960</v>
      </c>
      <c r="N437" s="47"/>
      <c r="O437" s="47"/>
      <c r="P437" s="53"/>
      <c r="Q437" s="53"/>
      <c r="R437" s="53"/>
      <c r="S437" s="53"/>
      <c r="T437" s="48">
        <v>102.14</v>
      </c>
      <c r="U437" s="98">
        <v>106000</v>
      </c>
      <c r="V437" s="98">
        <v>44840</v>
      </c>
      <c r="W437" s="98">
        <v>62979.013490131787</v>
      </c>
      <c r="X437" s="98">
        <v>106000</v>
      </c>
      <c r="Y437" s="233">
        <v>7</v>
      </c>
      <c r="Z437" s="48">
        <v>0.34</v>
      </c>
      <c r="AA437" s="48">
        <v>0.48</v>
      </c>
      <c r="AB437" s="48">
        <v>0.51</v>
      </c>
      <c r="AC437" s="48">
        <v>0.92259999999999998</v>
      </c>
      <c r="AD437" s="48">
        <v>0.49</v>
      </c>
      <c r="AE437" s="48">
        <v>0.42</v>
      </c>
      <c r="AF437" s="48">
        <f t="shared" si="113"/>
        <v>0.48</v>
      </c>
      <c r="AG437" s="49">
        <v>0.77</v>
      </c>
      <c r="AH437" s="98">
        <v>3.63E-6</v>
      </c>
      <c r="AI437" s="98">
        <v>3.63E-6</v>
      </c>
      <c r="AJ437" s="483">
        <f t="shared" si="114"/>
        <v>-3.8286597012765395</v>
      </c>
      <c r="AK437" s="483">
        <f>LOG10(AI437*1000/(0.08206*298.15))</f>
        <v>-3.8286597012765395</v>
      </c>
      <c r="AL437" s="483">
        <f t="shared" si="115"/>
        <v>-3.8286597012765395</v>
      </c>
      <c r="AM437" s="483">
        <v>-5.1099500000000004</v>
      </c>
      <c r="AN437" s="226">
        <v>-4.41</v>
      </c>
      <c r="AO437" s="484"/>
      <c r="AP437" s="484">
        <v>-3.14</v>
      </c>
      <c r="AQ437" s="48" t="s">
        <v>6311</v>
      </c>
      <c r="AR437" s="48" t="s">
        <v>6311</v>
      </c>
      <c r="AS437" s="227"/>
      <c r="AT437" s="50" t="s">
        <v>266</v>
      </c>
      <c r="AU437" s="48">
        <v>6</v>
      </c>
      <c r="AV437" s="48">
        <v>120</v>
      </c>
      <c r="AW437" s="48">
        <v>114</v>
      </c>
      <c r="AX437" s="48">
        <v>28</v>
      </c>
      <c r="AY437" s="48" t="s">
        <v>8728</v>
      </c>
      <c r="AZ437" s="48" t="s">
        <v>1563</v>
      </c>
      <c r="BA437" s="48">
        <v>32</v>
      </c>
      <c r="BB437" s="47" t="s">
        <v>2485</v>
      </c>
      <c r="BC437" s="47" t="s">
        <v>8726</v>
      </c>
      <c r="BD437" s="47" t="s">
        <v>8374</v>
      </c>
      <c r="BE437" s="48" t="s">
        <v>2449</v>
      </c>
      <c r="BF437" s="48" t="s">
        <v>272</v>
      </c>
      <c r="BG437" s="48" t="s">
        <v>272</v>
      </c>
      <c r="BH437" s="48" t="s">
        <v>2486</v>
      </c>
      <c r="BI437" s="98">
        <v>6.5369599999999994E-4</v>
      </c>
      <c r="BJ437" s="98">
        <v>6.5369600000000005</v>
      </c>
      <c r="BK437" s="48"/>
      <c r="BL437" s="487">
        <v>2598.0161923376286</v>
      </c>
      <c r="BM437" s="47" t="s">
        <v>2487</v>
      </c>
      <c r="BN437" s="48"/>
      <c r="BO437" s="48"/>
      <c r="BP437" s="48"/>
      <c r="BQ437" s="48"/>
      <c r="BR437" s="47" t="e">
        <v>#VALUE!</v>
      </c>
      <c r="BS437" s="48"/>
      <c r="BT437" s="48"/>
      <c r="BU437" s="228">
        <v>6.53696E-2</v>
      </c>
      <c r="BV437" s="48"/>
      <c r="BW437" s="48"/>
      <c r="BX437" s="48"/>
      <c r="BY437" s="48"/>
      <c r="BZ437" s="48"/>
      <c r="CA437" s="48"/>
      <c r="CB437" s="48"/>
      <c r="CC437" s="48"/>
      <c r="CD437" s="48"/>
      <c r="CE437" s="48"/>
      <c r="CF437" s="48"/>
      <c r="CG437" s="48"/>
      <c r="CH437" s="48"/>
      <c r="CI437" s="98"/>
      <c r="CJ437" s="98"/>
      <c r="CK437" s="49">
        <f t="shared" si="116"/>
        <v>397.43492270682833</v>
      </c>
      <c r="CL437" s="229"/>
      <c r="CM437" s="229"/>
      <c r="CN437" s="229"/>
      <c r="CO437" s="47" t="s">
        <v>2488</v>
      </c>
      <c r="CP437" s="500" t="s">
        <v>2489</v>
      </c>
      <c r="CQ437" s="224">
        <v>2.8893017025063101</v>
      </c>
      <c r="CR437" s="224">
        <f>10^(CJ437-CQ437)</f>
        <v>1.2903225806451609E-3</v>
      </c>
      <c r="CS437" s="230" t="s">
        <v>539</v>
      </c>
      <c r="CT437" s="230"/>
      <c r="CU437" s="230"/>
      <c r="CV437" s="335">
        <f t="shared" si="117"/>
        <v>16215.488545134129</v>
      </c>
      <c r="CW437" s="230">
        <f t="shared" si="112"/>
        <v>1</v>
      </c>
      <c r="CX437" s="336"/>
      <c r="CY437" s="230" t="s">
        <v>5921</v>
      </c>
    </row>
    <row r="438" spans="1:103" ht="11.25" customHeight="1" x14ac:dyDescent="0.2">
      <c r="A438" s="72">
        <v>739</v>
      </c>
      <c r="B438" s="224">
        <v>1137</v>
      </c>
      <c r="C438" s="46" t="s">
        <v>1181</v>
      </c>
      <c r="D438" s="46"/>
      <c r="E438" s="114"/>
      <c r="F438" s="114" t="s">
        <v>1182</v>
      </c>
      <c r="G438" s="225">
        <v>55389</v>
      </c>
      <c r="H438" s="47" t="s">
        <v>1183</v>
      </c>
      <c r="I438" s="47" t="s">
        <v>1183</v>
      </c>
      <c r="J438" s="47" t="s">
        <v>1184</v>
      </c>
      <c r="K438" s="47" t="s">
        <v>628</v>
      </c>
      <c r="L438" s="47" t="s">
        <v>617</v>
      </c>
      <c r="M438" s="47" t="s">
        <v>946</v>
      </c>
      <c r="N438" s="47" t="s">
        <v>6376</v>
      </c>
      <c r="O438" s="47" t="s">
        <v>918</v>
      </c>
      <c r="P438" s="53" t="s">
        <v>6178</v>
      </c>
      <c r="Q438" s="53" t="s">
        <v>6176</v>
      </c>
      <c r="R438" s="53" t="s">
        <v>6177</v>
      </c>
      <c r="S438" s="53" t="s">
        <v>6173</v>
      </c>
      <c r="T438" s="48">
        <v>278.33</v>
      </c>
      <c r="U438" s="98">
        <v>7.5</v>
      </c>
      <c r="V438" s="98">
        <v>5.266</v>
      </c>
      <c r="W438" s="98">
        <v>20.632887946128402</v>
      </c>
      <c r="X438" s="98">
        <v>7.5</v>
      </c>
      <c r="Y438" s="233">
        <v>7</v>
      </c>
      <c r="Z438" s="48">
        <v>4.08</v>
      </c>
      <c r="AA438" s="48">
        <v>4.09</v>
      </c>
      <c r="AB438" s="48">
        <v>3.95</v>
      </c>
      <c r="AC438" s="48">
        <v>0.90920000000000001</v>
      </c>
      <c r="AD438" s="48">
        <v>3.8</v>
      </c>
      <c r="AE438" s="48">
        <v>3.21</v>
      </c>
      <c r="AF438" s="48">
        <f t="shared" si="113"/>
        <v>4.09</v>
      </c>
      <c r="AG438" s="49">
        <v>3.76</v>
      </c>
      <c r="AH438" s="98">
        <v>1.37E-6</v>
      </c>
      <c r="AI438" s="98">
        <v>1.46E-6</v>
      </c>
      <c r="AJ438" s="483">
        <f t="shared" si="114"/>
        <v>-4.2518457591562449</v>
      </c>
      <c r="AK438" s="483">
        <f>LOG10(AI438*1000/(0.08206*298.15))</f>
        <v>-4.2242134705282144</v>
      </c>
      <c r="AL438" s="483">
        <f t="shared" si="115"/>
        <v>-4.2242134705282144</v>
      </c>
      <c r="AM438" s="483">
        <v>-10.03593</v>
      </c>
      <c r="AN438" s="226">
        <v>-4.05</v>
      </c>
      <c r="AO438" s="484"/>
      <c r="AP438" s="484"/>
      <c r="AQ438" s="48" t="s">
        <v>6312</v>
      </c>
      <c r="AR438" s="48" t="s">
        <v>6312</v>
      </c>
      <c r="AS438" s="227"/>
      <c r="AT438" s="50" t="s">
        <v>266</v>
      </c>
      <c r="AU438" s="48">
        <v>6</v>
      </c>
      <c r="AV438" s="48">
        <v>120</v>
      </c>
      <c r="AW438" s="48">
        <v>114</v>
      </c>
      <c r="AX438" s="48">
        <v>28</v>
      </c>
      <c r="AY438" s="48" t="s">
        <v>8728</v>
      </c>
      <c r="AZ438" s="48" t="s">
        <v>1563</v>
      </c>
      <c r="BA438" s="48">
        <v>32</v>
      </c>
      <c r="BB438" s="47" t="s">
        <v>2485</v>
      </c>
      <c r="BC438" s="47" t="s">
        <v>8726</v>
      </c>
      <c r="BD438" s="47" t="s">
        <v>8374</v>
      </c>
      <c r="BE438" s="48" t="s">
        <v>2449</v>
      </c>
      <c r="BF438" s="48" t="s">
        <v>272</v>
      </c>
      <c r="BG438" s="48" t="s">
        <v>272</v>
      </c>
      <c r="BH438" s="48" t="s">
        <v>2486</v>
      </c>
      <c r="BI438" s="98">
        <v>1.7813119999999997E-3</v>
      </c>
      <c r="BJ438" s="98">
        <v>17.813119999999998</v>
      </c>
      <c r="BK438" s="48"/>
      <c r="BL438" s="487">
        <v>3.09821833406781</v>
      </c>
      <c r="BM438" s="47" t="s">
        <v>2487</v>
      </c>
      <c r="BN438" s="48"/>
      <c r="BO438" s="48"/>
      <c r="BP438" s="48"/>
      <c r="BQ438" s="48"/>
      <c r="BR438" s="47" t="e">
        <v>#VALUE!</v>
      </c>
      <c r="BS438" s="48"/>
      <c r="BT438" s="48"/>
      <c r="BU438" s="228">
        <v>1.7813119999999998E-2</v>
      </c>
      <c r="BV438" s="48"/>
      <c r="BW438" s="48"/>
      <c r="BX438" s="48"/>
      <c r="BY438" s="48"/>
      <c r="BZ438" s="48"/>
      <c r="CA438" s="48"/>
      <c r="CB438" s="48"/>
      <c r="CC438" s="48"/>
      <c r="CD438" s="48"/>
      <c r="CE438" s="48"/>
      <c r="CF438" s="48"/>
      <c r="CG438" s="48"/>
      <c r="CH438" s="48"/>
      <c r="CI438" s="98"/>
      <c r="CJ438" s="98"/>
      <c r="CK438" s="49">
        <f t="shared" si="116"/>
        <v>0.17392901041860215</v>
      </c>
      <c r="CL438" s="229"/>
      <c r="CM438" s="229">
        <v>-0.11339667824661508</v>
      </c>
      <c r="CN438" s="229">
        <f>BJ438/(10^CM438)</f>
        <v>23.127925080488108</v>
      </c>
      <c r="CO438" s="47" t="s">
        <v>2488</v>
      </c>
      <c r="CP438" s="500" t="s">
        <v>2489</v>
      </c>
      <c r="CQ438" s="224">
        <v>0.23096654631797453</v>
      </c>
      <c r="CR438" s="224">
        <f>10^(CJ438-CQ438)</f>
        <v>0.58753460854796802</v>
      </c>
      <c r="CS438" s="230" t="s">
        <v>539</v>
      </c>
      <c r="CT438" s="230"/>
      <c r="CU438" s="230"/>
      <c r="CV438" s="335">
        <f t="shared" si="117"/>
        <v>0.42103797650271269</v>
      </c>
      <c r="CW438" s="230">
        <f t="shared" si="112"/>
        <v>0</v>
      </c>
      <c r="CX438" s="336"/>
      <c r="CY438" s="230" t="s">
        <v>5921</v>
      </c>
    </row>
    <row r="439" spans="1:103" ht="11.25" customHeight="1" x14ac:dyDescent="0.2">
      <c r="A439" s="72">
        <v>740</v>
      </c>
      <c r="B439" s="224">
        <v>1040</v>
      </c>
      <c r="C439" s="46" t="s">
        <v>6964</v>
      </c>
      <c r="D439" s="46"/>
      <c r="E439" s="114"/>
      <c r="F439" s="114" t="s">
        <v>2951</v>
      </c>
      <c r="G439" s="225">
        <v>55981</v>
      </c>
      <c r="H439" s="47" t="s">
        <v>2952</v>
      </c>
      <c r="I439" s="47" t="s">
        <v>2952</v>
      </c>
      <c r="J439" s="47" t="s">
        <v>2953</v>
      </c>
      <c r="K439" s="47" t="s">
        <v>357</v>
      </c>
      <c r="L439" s="47" t="s">
        <v>279</v>
      </c>
      <c r="M439" s="47" t="s">
        <v>2954</v>
      </c>
      <c r="N439" s="47" t="s">
        <v>6088</v>
      </c>
      <c r="O439" s="47" t="s">
        <v>281</v>
      </c>
      <c r="P439" s="53"/>
      <c r="Q439" s="53"/>
      <c r="R439" s="53"/>
      <c r="S439" s="53"/>
      <c r="T439" s="48">
        <v>246.3</v>
      </c>
      <c r="U439" s="98"/>
      <c r="V439" s="98">
        <v>68950</v>
      </c>
      <c r="W439" s="98">
        <v>6941.6771597043489</v>
      </c>
      <c r="X439" s="98">
        <v>6941.6771597043489</v>
      </c>
      <c r="Y439" s="233">
        <v>7</v>
      </c>
      <c r="Z439" s="48">
        <v>-0.68</v>
      </c>
      <c r="AA439" s="48">
        <v>-0.52</v>
      </c>
      <c r="AB439" s="48">
        <v>-0.37</v>
      </c>
      <c r="AC439" s="48">
        <v>0.73</v>
      </c>
      <c r="AD439" s="48">
        <v>-0.42</v>
      </c>
      <c r="AE439" s="48">
        <v>-0.52</v>
      </c>
      <c r="AF439" s="48">
        <f t="shared" si="113"/>
        <v>-0.52</v>
      </c>
      <c r="AG439" s="49">
        <v>0.25</v>
      </c>
      <c r="AH439" s="98">
        <v>5.1599999999999998E-10</v>
      </c>
      <c r="AI439" s="98"/>
      <c r="AJ439" s="483">
        <f t="shared" si="114"/>
        <v>-7.6759166246854402</v>
      </c>
      <c r="AK439" s="483"/>
      <c r="AL439" s="483">
        <f t="shared" si="115"/>
        <v>-7.6759166246854402</v>
      </c>
      <c r="AM439" s="483">
        <v>-13.49606</v>
      </c>
      <c r="AN439" s="226">
        <v>-8.57</v>
      </c>
      <c r="AO439" s="484"/>
      <c r="AP439" s="484"/>
      <c r="AQ439" s="48" t="s">
        <v>6311</v>
      </c>
      <c r="AR439" s="48" t="s">
        <v>6311</v>
      </c>
      <c r="AS439" s="227"/>
      <c r="AT439" s="50" t="s">
        <v>266</v>
      </c>
      <c r="AU439" s="48">
        <v>6</v>
      </c>
      <c r="AV439" s="48">
        <v>120</v>
      </c>
      <c r="AW439" s="48">
        <v>114</v>
      </c>
      <c r="AX439" s="48">
        <v>28</v>
      </c>
      <c r="AY439" s="48" t="s">
        <v>8728</v>
      </c>
      <c r="AZ439" s="48" t="s">
        <v>1563</v>
      </c>
      <c r="BA439" s="48">
        <v>32</v>
      </c>
      <c r="BB439" s="47" t="s">
        <v>2485</v>
      </c>
      <c r="BC439" s="47" t="s">
        <v>8726</v>
      </c>
      <c r="BD439" s="47" t="s">
        <v>8374</v>
      </c>
      <c r="BE439" s="48" t="s">
        <v>2449</v>
      </c>
      <c r="BF439" s="48" t="s">
        <v>272</v>
      </c>
      <c r="BG439" s="48" t="s">
        <v>272</v>
      </c>
      <c r="BH439" s="48" t="s">
        <v>2486</v>
      </c>
      <c r="BI439" s="98">
        <v>1.57632E-3</v>
      </c>
      <c r="BJ439" s="98">
        <v>15.763200000000001</v>
      </c>
      <c r="BK439" s="48"/>
      <c r="BL439" s="487">
        <v>51638.356543510054</v>
      </c>
      <c r="BM439" s="47" t="s">
        <v>2487</v>
      </c>
      <c r="BN439" s="48"/>
      <c r="BO439" s="48"/>
      <c r="BP439" s="48"/>
      <c r="BQ439" s="48"/>
      <c r="BR439" s="47" t="e">
        <v>#VALUE!</v>
      </c>
      <c r="BS439" s="48"/>
      <c r="BT439" s="48"/>
      <c r="BU439" s="228">
        <v>1.5763200000000002E-2</v>
      </c>
      <c r="BV439" s="48"/>
      <c r="BW439" s="48"/>
      <c r="BX439" s="48"/>
      <c r="BY439" s="48"/>
      <c r="BZ439" s="48"/>
      <c r="CA439" s="48"/>
      <c r="CB439" s="48"/>
      <c r="CC439" s="48"/>
      <c r="CD439" s="48"/>
      <c r="CE439" s="48"/>
      <c r="CF439" s="48"/>
      <c r="CG439" s="48"/>
      <c r="CH439" s="48"/>
      <c r="CI439" s="98"/>
      <c r="CJ439" s="98"/>
      <c r="CK439" s="49">
        <f t="shared" si="116"/>
        <v>3275.8803125957957</v>
      </c>
      <c r="CL439" s="229"/>
      <c r="CM439" s="229"/>
      <c r="CN439" s="229"/>
      <c r="CO439" s="47" t="s">
        <v>2488</v>
      </c>
      <c r="CP439" s="500" t="s">
        <v>2489</v>
      </c>
      <c r="CQ439" s="224" t="s">
        <v>272</v>
      </c>
      <c r="CR439" s="224"/>
      <c r="CS439" s="230" t="s">
        <v>539</v>
      </c>
      <c r="CT439" s="230"/>
      <c r="CU439" s="230"/>
      <c r="CV439" s="335">
        <f t="shared" si="117"/>
        <v>440.3723330100708</v>
      </c>
      <c r="CW439" s="230">
        <f t="shared" si="112"/>
        <v>1</v>
      </c>
      <c r="CX439" s="336"/>
      <c r="CY439" s="230" t="s">
        <v>5921</v>
      </c>
    </row>
    <row r="440" spans="1:103" ht="11.25" customHeight="1" x14ac:dyDescent="0.2">
      <c r="A440" s="72">
        <v>741</v>
      </c>
      <c r="B440" s="224">
        <v>1479</v>
      </c>
      <c r="C440" s="46" t="s">
        <v>6965</v>
      </c>
      <c r="D440" s="46"/>
      <c r="E440" s="114"/>
      <c r="F440" s="114" t="s">
        <v>4543</v>
      </c>
      <c r="G440" s="225">
        <v>56042</v>
      </c>
      <c r="H440" s="47" t="s">
        <v>4544</v>
      </c>
      <c r="I440" s="47" t="s">
        <v>4544</v>
      </c>
      <c r="J440" s="47" t="s">
        <v>4545</v>
      </c>
      <c r="K440" s="47" t="s">
        <v>349</v>
      </c>
      <c r="L440" s="47"/>
      <c r="M440" s="47"/>
      <c r="N440" s="47"/>
      <c r="O440" s="47"/>
      <c r="P440" s="53"/>
      <c r="Q440" s="53"/>
      <c r="R440" s="53"/>
      <c r="S440" s="53"/>
      <c r="T440" s="48">
        <v>142.18</v>
      </c>
      <c r="U440" s="98">
        <v>533</v>
      </c>
      <c r="V440" s="98">
        <v>4739</v>
      </c>
      <c r="W440" s="98">
        <v>620.63821027906761</v>
      </c>
      <c r="X440" s="98">
        <v>533</v>
      </c>
      <c r="Y440" s="233">
        <v>3.37</v>
      </c>
      <c r="Z440" s="48">
        <v>1.45</v>
      </c>
      <c r="AA440" s="48"/>
      <c r="AB440" s="48">
        <v>0.96</v>
      </c>
      <c r="AC440" s="48">
        <v>0.68640000000000001</v>
      </c>
      <c r="AD440" s="48">
        <v>0.17</v>
      </c>
      <c r="AE440" s="48">
        <v>-1.39</v>
      </c>
      <c r="AF440" s="48">
        <f t="shared" si="113"/>
        <v>0.17</v>
      </c>
      <c r="AG440" s="49">
        <v>1.22</v>
      </c>
      <c r="AH440" s="98">
        <v>1.26E-9</v>
      </c>
      <c r="AI440" s="98"/>
      <c r="AJ440" s="483">
        <f t="shared" si="114"/>
        <v>-7.288195781195089</v>
      </c>
      <c r="AK440" s="483"/>
      <c r="AL440" s="483">
        <f t="shared" si="115"/>
        <v>-7.288195781195089</v>
      </c>
      <c r="AM440" s="483">
        <v>-10.210979999999999</v>
      </c>
      <c r="AN440" s="226">
        <v>-14.6</v>
      </c>
      <c r="AO440" s="484">
        <v>4.8</v>
      </c>
      <c r="AP440" s="484">
        <v>12.04</v>
      </c>
      <c r="AQ440" s="48" t="s">
        <v>6311</v>
      </c>
      <c r="AR440" s="48" t="s">
        <v>6311</v>
      </c>
      <c r="AS440" s="227"/>
      <c r="AT440" s="50" t="s">
        <v>266</v>
      </c>
      <c r="AU440" s="48">
        <v>6</v>
      </c>
      <c r="AV440" s="48">
        <v>120</v>
      </c>
      <c r="AW440" s="48">
        <v>114</v>
      </c>
      <c r="AX440" s="48">
        <v>28</v>
      </c>
      <c r="AY440" s="48" t="s">
        <v>8728</v>
      </c>
      <c r="AZ440" s="48" t="s">
        <v>1563</v>
      </c>
      <c r="BA440" s="48">
        <v>32</v>
      </c>
      <c r="BB440" s="47" t="s">
        <v>2485</v>
      </c>
      <c r="BC440" s="47" t="s">
        <v>8726</v>
      </c>
      <c r="BD440" s="47" t="s">
        <v>8374</v>
      </c>
      <c r="BE440" s="48" t="s">
        <v>2449</v>
      </c>
      <c r="BF440" s="48" t="s">
        <v>272</v>
      </c>
      <c r="BG440" s="48" t="s">
        <v>272</v>
      </c>
      <c r="BH440" s="48" t="s">
        <v>2486</v>
      </c>
      <c r="BI440" s="98">
        <v>9.09952E-4</v>
      </c>
      <c r="BJ440" s="98">
        <v>9.0995200000000001</v>
      </c>
      <c r="BK440" s="48"/>
      <c r="BL440" s="487">
        <v>364.24492533866442</v>
      </c>
      <c r="BM440" s="47" t="s">
        <v>2487</v>
      </c>
      <c r="BN440" s="48"/>
      <c r="BO440" s="48"/>
      <c r="BP440" s="48"/>
      <c r="BQ440" s="48"/>
      <c r="BR440" s="47" t="e">
        <v>#VALUE!</v>
      </c>
      <c r="BS440" s="48"/>
      <c r="BT440" s="48"/>
      <c r="BU440" s="228"/>
      <c r="BV440" s="48"/>
      <c r="BW440" s="48"/>
      <c r="BX440" s="48"/>
      <c r="BY440" s="48"/>
      <c r="BZ440" s="48"/>
      <c r="CA440" s="48"/>
      <c r="CB440" s="48"/>
      <c r="CC440" s="48"/>
      <c r="CD440" s="48"/>
      <c r="CE440" s="48"/>
      <c r="CF440" s="48"/>
      <c r="CG440" s="48"/>
      <c r="CH440" s="48"/>
      <c r="CI440" s="98"/>
      <c r="CJ440" s="98"/>
      <c r="CK440" s="49">
        <f t="shared" si="116"/>
        <v>40.029026293547837</v>
      </c>
      <c r="CL440" s="229"/>
      <c r="CM440" s="229"/>
      <c r="CN440" s="229"/>
      <c r="CO440" s="47" t="s">
        <v>2488</v>
      </c>
      <c r="CP440" s="500" t="s">
        <v>2489</v>
      </c>
      <c r="CQ440" s="224" t="s">
        <v>272</v>
      </c>
      <c r="CR440" s="224"/>
      <c r="CS440" s="230" t="s">
        <v>539</v>
      </c>
      <c r="CT440" s="230"/>
      <c r="CU440" s="230"/>
      <c r="CV440" s="335">
        <f t="shared" si="117"/>
        <v>58.574518216345474</v>
      </c>
      <c r="CW440" s="230">
        <f t="shared" si="112"/>
        <v>1</v>
      </c>
      <c r="CX440" s="336"/>
      <c r="CY440" s="230" t="s">
        <v>5921</v>
      </c>
    </row>
    <row r="441" spans="1:103" ht="11.25" customHeight="1" x14ac:dyDescent="0.2">
      <c r="A441" s="72">
        <v>742</v>
      </c>
      <c r="B441" s="224">
        <v>1227</v>
      </c>
      <c r="C441" s="46" t="s">
        <v>6966</v>
      </c>
      <c r="D441" s="46"/>
      <c r="E441" s="114"/>
      <c r="F441" s="114" t="s">
        <v>1350</v>
      </c>
      <c r="G441" s="225">
        <v>56382</v>
      </c>
      <c r="H441" s="47" t="s">
        <v>1351</v>
      </c>
      <c r="I441" s="47" t="s">
        <v>7980</v>
      </c>
      <c r="J441" s="47" t="s">
        <v>1352</v>
      </c>
      <c r="K441" s="47" t="s">
        <v>628</v>
      </c>
      <c r="L441" s="47" t="s">
        <v>617</v>
      </c>
      <c r="M441" s="47" t="s">
        <v>618</v>
      </c>
      <c r="N441" s="47" t="s">
        <v>6376</v>
      </c>
      <c r="O441" s="47" t="s">
        <v>1353</v>
      </c>
      <c r="P441" s="53" t="s">
        <v>6178</v>
      </c>
      <c r="Q441" s="53" t="s">
        <v>6173</v>
      </c>
      <c r="R441" s="53" t="s">
        <v>6177</v>
      </c>
      <c r="S441" s="53" t="s">
        <v>6176</v>
      </c>
      <c r="T441" s="48">
        <v>291.26</v>
      </c>
      <c r="U441" s="98">
        <v>11</v>
      </c>
      <c r="V441" s="98">
        <v>3.0139999999999998</v>
      </c>
      <c r="W441" s="98">
        <v>6.8278008475008045</v>
      </c>
      <c r="X441" s="98">
        <v>11</v>
      </c>
      <c r="Y441" s="233">
        <v>7</v>
      </c>
      <c r="Z441" s="48">
        <v>3.73</v>
      </c>
      <c r="AA441" s="48">
        <v>3.83</v>
      </c>
      <c r="AB441" s="48">
        <v>3.48</v>
      </c>
      <c r="AC441" s="48">
        <v>0.87450000000000006</v>
      </c>
      <c r="AD441" s="48">
        <v>3.57</v>
      </c>
      <c r="AE441" s="48">
        <v>3.84</v>
      </c>
      <c r="AF441" s="48">
        <f t="shared" si="113"/>
        <v>3.83</v>
      </c>
      <c r="AG441" s="49">
        <v>3</v>
      </c>
      <c r="AH441" s="98">
        <v>2.96E-7</v>
      </c>
      <c r="AI441" s="98">
        <v>2.9799999999999999E-7</v>
      </c>
      <c r="AJ441" s="483">
        <f t="shared" si="114"/>
        <v>-4.9172746152537128</v>
      </c>
      <c r="AK441" s="483">
        <f>LOG10(AI441*1000/(0.08206*298.15))</f>
        <v>-4.9143500622363963</v>
      </c>
      <c r="AL441" s="483">
        <f t="shared" si="115"/>
        <v>-4.9143500622363963</v>
      </c>
      <c r="AM441" s="483">
        <v>-11.31479</v>
      </c>
      <c r="AN441" s="226">
        <v>-4.29</v>
      </c>
      <c r="AO441" s="484"/>
      <c r="AP441" s="484"/>
      <c r="AQ441" s="48" t="s">
        <v>6314</v>
      </c>
      <c r="AR441" s="48" t="s">
        <v>6314</v>
      </c>
      <c r="AS441" s="227"/>
      <c r="AT441" s="50" t="s">
        <v>266</v>
      </c>
      <c r="AU441" s="48">
        <v>6</v>
      </c>
      <c r="AV441" s="48">
        <v>120</v>
      </c>
      <c r="AW441" s="48">
        <v>114</v>
      </c>
      <c r="AX441" s="48">
        <v>28</v>
      </c>
      <c r="AY441" s="48" t="s">
        <v>8728</v>
      </c>
      <c r="AZ441" s="48" t="s">
        <v>1563</v>
      </c>
      <c r="BA441" s="48">
        <v>32</v>
      </c>
      <c r="BB441" s="47" t="s">
        <v>2485</v>
      </c>
      <c r="BC441" s="47" t="s">
        <v>8726</v>
      </c>
      <c r="BD441" s="47" t="s">
        <v>8374</v>
      </c>
      <c r="BE441" s="48" t="s">
        <v>2449</v>
      </c>
      <c r="BF441" s="48" t="s">
        <v>272</v>
      </c>
      <c r="BG441" s="48" t="s">
        <v>272</v>
      </c>
      <c r="BH441" s="48" t="s">
        <v>2486</v>
      </c>
      <c r="BI441" s="98">
        <v>1.8640639999999999E-3</v>
      </c>
      <c r="BJ441" s="98">
        <v>18.640640000000001</v>
      </c>
      <c r="BK441" s="48"/>
      <c r="BL441" s="487">
        <v>6.6860226757664334</v>
      </c>
      <c r="BM441" s="47" t="s">
        <v>2487</v>
      </c>
      <c r="BN441" s="48"/>
      <c r="BO441" s="48"/>
      <c r="BP441" s="48"/>
      <c r="BQ441" s="48"/>
      <c r="BR441" s="47" t="e">
        <v>#VALUE!</v>
      </c>
      <c r="BS441" s="48"/>
      <c r="BT441" s="48"/>
      <c r="BU441" s="228">
        <v>9.32032E-2</v>
      </c>
      <c r="BV441" s="48"/>
      <c r="BW441" s="48"/>
      <c r="BX441" s="48"/>
      <c r="BY441" s="48"/>
      <c r="BZ441" s="48"/>
      <c r="CA441" s="48"/>
      <c r="CB441" s="48"/>
      <c r="CC441" s="48"/>
      <c r="CD441" s="48"/>
      <c r="CE441" s="48"/>
      <c r="CF441" s="48"/>
      <c r="CG441" s="48"/>
      <c r="CH441" s="48"/>
      <c r="CI441" s="98"/>
      <c r="CJ441" s="98"/>
      <c r="CK441" s="49">
        <f t="shared" si="116"/>
        <v>0.35867988844623538</v>
      </c>
      <c r="CL441" s="229"/>
      <c r="CM441" s="229">
        <v>-0.81902829642671837</v>
      </c>
      <c r="CN441" s="229">
        <f>BJ441/(10^CM441)</f>
        <v>122.88223890936605</v>
      </c>
      <c r="CO441" s="47" t="s">
        <v>2488</v>
      </c>
      <c r="CP441" s="500" t="s">
        <v>2489</v>
      </c>
      <c r="CQ441" s="224">
        <v>-0.23289357127406324</v>
      </c>
      <c r="CR441" s="224">
        <f>10^(CJ441-CQ441)</f>
        <v>1.7095963080321837</v>
      </c>
      <c r="CS441" s="230" t="s">
        <v>539</v>
      </c>
      <c r="CT441" s="230"/>
      <c r="CU441" s="230"/>
      <c r="CV441" s="335">
        <f t="shared" si="117"/>
        <v>0.59010849412895694</v>
      </c>
      <c r="CW441" s="230">
        <f t="shared" si="112"/>
        <v>0</v>
      </c>
      <c r="CX441" s="336"/>
      <c r="CY441" s="230" t="s">
        <v>5921</v>
      </c>
    </row>
    <row r="442" spans="1:103" ht="11.25" customHeight="1" x14ac:dyDescent="0.2">
      <c r="A442" s="72">
        <v>743</v>
      </c>
      <c r="B442" s="224">
        <v>1156</v>
      </c>
      <c r="C442" s="46" t="s">
        <v>428</v>
      </c>
      <c r="D442" s="46"/>
      <c r="E442" s="114"/>
      <c r="F442" s="114" t="s">
        <v>3200</v>
      </c>
      <c r="G442" s="225">
        <v>56815</v>
      </c>
      <c r="H442" s="47" t="s">
        <v>429</v>
      </c>
      <c r="I442" s="47" t="s">
        <v>429</v>
      </c>
      <c r="J442" s="47" t="s">
        <v>430</v>
      </c>
      <c r="K442" s="47" t="s">
        <v>426</v>
      </c>
      <c r="L442" s="47" t="s">
        <v>6147</v>
      </c>
      <c r="M442" s="47" t="s">
        <v>6025</v>
      </c>
      <c r="N442" s="47" t="s">
        <v>2342</v>
      </c>
      <c r="O442" s="47"/>
      <c r="P442" s="53"/>
      <c r="Q442" s="53"/>
      <c r="R442" s="53"/>
      <c r="S442" s="53"/>
      <c r="T442" s="48">
        <v>92.09</v>
      </c>
      <c r="U442" s="98">
        <v>1000000</v>
      </c>
      <c r="V442" s="98">
        <v>1000000</v>
      </c>
      <c r="W442" s="98">
        <v>1009746.7708282595</v>
      </c>
      <c r="X442" s="98">
        <v>1000000</v>
      </c>
      <c r="Y442" s="233">
        <v>6.27</v>
      </c>
      <c r="Z442" s="48">
        <v>-1.65</v>
      </c>
      <c r="AA442" s="48">
        <v>-1.76</v>
      </c>
      <c r="AB442" s="48">
        <v>-1.57</v>
      </c>
      <c r="AC442" s="48">
        <v>0.88339999999999996</v>
      </c>
      <c r="AD442" s="48">
        <v>-1.73</v>
      </c>
      <c r="AE442" s="48">
        <v>-2.3199999999999998</v>
      </c>
      <c r="AF442" s="48">
        <f t="shared" si="113"/>
        <v>-1.76</v>
      </c>
      <c r="AG442" s="49">
        <v>-1.41</v>
      </c>
      <c r="AH442" s="98">
        <v>6.3499999999999998E-9</v>
      </c>
      <c r="AI442" s="98">
        <v>1.7299999999999999E-8</v>
      </c>
      <c r="AJ442" s="483">
        <f t="shared" si="114"/>
        <v>-6.5857926010206764</v>
      </c>
      <c r="AK442" s="483">
        <f>LOG10(AI442*1000/(0.08206*298.15))</f>
        <v>-6.1505202231838565</v>
      </c>
      <c r="AL442" s="483">
        <f t="shared" si="115"/>
        <v>-6.1505202231838565</v>
      </c>
      <c r="AM442" s="483">
        <v>-10.09398</v>
      </c>
      <c r="AN442" s="226">
        <v>-7.48</v>
      </c>
      <c r="AO442" s="484">
        <v>13.68</v>
      </c>
      <c r="AP442" s="484"/>
      <c r="AQ442" s="48" t="s">
        <v>6311</v>
      </c>
      <c r="AR442" s="48" t="s">
        <v>6311</v>
      </c>
      <c r="AS442" s="227"/>
      <c r="AT442" s="50" t="s">
        <v>266</v>
      </c>
      <c r="AU442" s="48">
        <v>6</v>
      </c>
      <c r="AV442" s="48">
        <v>120</v>
      </c>
      <c r="AW442" s="48">
        <v>114</v>
      </c>
      <c r="AX442" s="48">
        <v>28</v>
      </c>
      <c r="AY442" s="48" t="s">
        <v>8728</v>
      </c>
      <c r="AZ442" s="48" t="s">
        <v>1563</v>
      </c>
      <c r="BA442" s="48">
        <v>32</v>
      </c>
      <c r="BB442" s="47" t="s">
        <v>2485</v>
      </c>
      <c r="BC442" s="47" t="s">
        <v>8726</v>
      </c>
      <c r="BD442" s="47" t="s">
        <v>8374</v>
      </c>
      <c r="BE442" s="48" t="s">
        <v>2449</v>
      </c>
      <c r="BF442" s="48" t="s">
        <v>272</v>
      </c>
      <c r="BG442" s="48" t="s">
        <v>272</v>
      </c>
      <c r="BH442" s="48" t="s">
        <v>2486</v>
      </c>
      <c r="BI442" s="98">
        <v>5.8937599999999996E-4</v>
      </c>
      <c r="BJ442" s="98">
        <v>5.8937600000000003</v>
      </c>
      <c r="BK442" s="48"/>
      <c r="BL442" s="487">
        <v>143508.4497404694</v>
      </c>
      <c r="BM442" s="47" t="s">
        <v>2487</v>
      </c>
      <c r="BN442" s="48"/>
      <c r="BO442" s="48"/>
      <c r="BP442" s="48"/>
      <c r="BQ442" s="48"/>
      <c r="BR442" s="47" t="e">
        <v>#VALUE!</v>
      </c>
      <c r="BS442" s="48"/>
      <c r="BT442" s="48"/>
      <c r="BU442" s="228">
        <v>0.58937600000000001</v>
      </c>
      <c r="BV442" s="48"/>
      <c r="BW442" s="48"/>
      <c r="BX442" s="48"/>
      <c r="BY442" s="48"/>
      <c r="BZ442" s="48"/>
      <c r="CA442" s="48"/>
      <c r="CB442" s="48"/>
      <c r="CC442" s="48"/>
      <c r="CD442" s="48"/>
      <c r="CE442" s="48"/>
      <c r="CF442" s="48"/>
      <c r="CG442" s="48"/>
      <c r="CH442" s="48"/>
      <c r="CI442" s="98"/>
      <c r="CJ442" s="98"/>
      <c r="CK442" s="49">
        <f t="shared" si="116"/>
        <v>24349.218451458728</v>
      </c>
      <c r="CL442" s="229"/>
      <c r="CM442" s="229"/>
      <c r="CN442" s="229"/>
      <c r="CO442" s="47" t="s">
        <v>2488</v>
      </c>
      <c r="CP442" s="500" t="s">
        <v>2489</v>
      </c>
      <c r="CQ442" s="224">
        <v>4.7323937598229682</v>
      </c>
      <c r="CR442" s="224">
        <f>10^(CJ442-CQ442)</f>
        <v>1.8518518518518522E-5</v>
      </c>
      <c r="CS442" s="230" t="s">
        <v>539</v>
      </c>
      <c r="CT442" s="230"/>
      <c r="CU442" s="230"/>
      <c r="CV442" s="335">
        <f t="shared" si="117"/>
        <v>169670.97404712779</v>
      </c>
      <c r="CW442" s="230">
        <f t="shared" si="112"/>
        <v>1</v>
      </c>
      <c r="CX442" s="336"/>
      <c r="CY442" s="230" t="s">
        <v>6351</v>
      </c>
    </row>
    <row r="443" spans="1:103" ht="11.25" customHeight="1" x14ac:dyDescent="0.2">
      <c r="A443" s="72">
        <v>744</v>
      </c>
      <c r="B443" s="224">
        <v>1815</v>
      </c>
      <c r="C443" s="46" t="s">
        <v>6967</v>
      </c>
      <c r="D443" s="46"/>
      <c r="E443" s="114"/>
      <c r="F443" s="114" t="s">
        <v>5212</v>
      </c>
      <c r="G443" s="225">
        <v>57307</v>
      </c>
      <c r="H443" s="47" t="s">
        <v>5213</v>
      </c>
      <c r="I443" s="47" t="s">
        <v>7981</v>
      </c>
      <c r="J443" s="47" t="s">
        <v>5214</v>
      </c>
      <c r="K443" s="47" t="s">
        <v>471</v>
      </c>
      <c r="L443" s="47"/>
      <c r="M443" s="47"/>
      <c r="N443" s="47"/>
      <c r="O443" s="47"/>
      <c r="P443" s="53"/>
      <c r="Q443" s="53"/>
      <c r="R443" s="53"/>
      <c r="S443" s="53"/>
      <c r="T443" s="48">
        <v>232.24</v>
      </c>
      <c r="U443" s="98"/>
      <c r="V443" s="98">
        <v>871.4</v>
      </c>
      <c r="W443" s="98">
        <v>824.01861515605526</v>
      </c>
      <c r="X443" s="98">
        <v>824.01861515605526</v>
      </c>
      <c r="Y443" s="233">
        <v>4.75</v>
      </c>
      <c r="Z443" s="48">
        <v>0.26</v>
      </c>
      <c r="AA443" s="48"/>
      <c r="AB443" s="48">
        <v>0.54</v>
      </c>
      <c r="AC443" s="48">
        <v>0.49070000000000003</v>
      </c>
      <c r="AD443" s="48">
        <v>0.83</v>
      </c>
      <c r="AE443" s="48">
        <v>1.1299999999999999</v>
      </c>
      <c r="AF443" s="48">
        <f t="shared" si="113"/>
        <v>0.83</v>
      </c>
      <c r="AG443" s="49">
        <v>0.83</v>
      </c>
      <c r="AH443" s="98">
        <v>6.5399999999999998E-15</v>
      </c>
      <c r="AI443" s="98"/>
      <c r="AJ443" s="483">
        <f t="shared" si="114"/>
        <v>-12.572988577988385</v>
      </c>
      <c r="AK443" s="483"/>
      <c r="AL443" s="483">
        <f t="shared" si="115"/>
        <v>-12.572988577988385</v>
      </c>
      <c r="AM443" s="483">
        <v>-17.40164</v>
      </c>
      <c r="AN443" s="226"/>
      <c r="AO443" s="484">
        <v>7.24</v>
      </c>
      <c r="AP443" s="484">
        <v>-2.36</v>
      </c>
      <c r="AQ443" s="226" t="s">
        <v>6311</v>
      </c>
      <c r="AR443" s="226" t="s">
        <v>6311</v>
      </c>
      <c r="AS443" s="224"/>
      <c r="AT443" s="50" t="s">
        <v>266</v>
      </c>
      <c r="AU443" s="48">
        <v>6</v>
      </c>
      <c r="AV443" s="48">
        <v>120</v>
      </c>
      <c r="AW443" s="48">
        <v>114</v>
      </c>
      <c r="AX443" s="48">
        <v>28</v>
      </c>
      <c r="AY443" s="48" t="s">
        <v>8728</v>
      </c>
      <c r="AZ443" s="48" t="s">
        <v>1563</v>
      </c>
      <c r="BA443" s="48">
        <v>32</v>
      </c>
      <c r="BB443" s="47" t="s">
        <v>2485</v>
      </c>
      <c r="BC443" s="47" t="s">
        <v>8726</v>
      </c>
      <c r="BD443" s="47" t="s">
        <v>8374</v>
      </c>
      <c r="BE443" s="48" t="s">
        <v>2449</v>
      </c>
      <c r="BF443" s="48" t="s">
        <v>272</v>
      </c>
      <c r="BG443" s="48" t="s">
        <v>272</v>
      </c>
      <c r="BH443" s="48" t="s">
        <v>2486</v>
      </c>
      <c r="BI443" s="98">
        <v>1.486336E-3</v>
      </c>
      <c r="BJ443" s="98">
        <v>14.86336</v>
      </c>
      <c r="BK443" s="48"/>
      <c r="BL443" s="487">
        <v>6969.9718296264455</v>
      </c>
      <c r="BM443" s="47" t="s">
        <v>2487</v>
      </c>
      <c r="BN443" s="48"/>
      <c r="BO443" s="48"/>
      <c r="BP443" s="48"/>
      <c r="BQ443" s="48"/>
      <c r="BR443" s="47" t="e">
        <v>#VALUE!</v>
      </c>
      <c r="BS443" s="48"/>
      <c r="BT443" s="48"/>
      <c r="BU443" s="228"/>
      <c r="BV443" s="48"/>
      <c r="BW443" s="48"/>
      <c r="BX443" s="48"/>
      <c r="BY443" s="48"/>
      <c r="BZ443" s="48"/>
      <c r="CA443" s="48"/>
      <c r="CB443" s="48"/>
      <c r="CC443" s="48"/>
      <c r="CD443" s="48"/>
      <c r="CE443" s="48"/>
      <c r="CF443" s="48"/>
      <c r="CG443" s="48"/>
      <c r="CH443" s="48"/>
      <c r="CI443" s="98"/>
      <c r="CJ443" s="98"/>
      <c r="CK443" s="49">
        <f t="shared" si="116"/>
        <v>468.93648741781436</v>
      </c>
      <c r="CL443" s="229"/>
      <c r="CM443" s="229"/>
      <c r="CN443" s="229"/>
      <c r="CO443" s="47" t="s">
        <v>2488</v>
      </c>
      <c r="CP443" s="500" t="s">
        <v>2489</v>
      </c>
      <c r="CQ443" s="224" t="s">
        <v>272</v>
      </c>
      <c r="CR443" s="224"/>
      <c r="CS443" s="230" t="s">
        <v>539</v>
      </c>
      <c r="CT443" s="230"/>
      <c r="CU443" s="230"/>
      <c r="CV443" s="335">
        <f t="shared" si="117"/>
        <v>55.43959206774614</v>
      </c>
      <c r="CW443" s="230">
        <f t="shared" si="112"/>
        <v>1</v>
      </c>
      <c r="CX443" s="336"/>
      <c r="CY443" s="230" t="s">
        <v>5921</v>
      </c>
    </row>
    <row r="444" spans="1:103" ht="11.25" customHeight="1" x14ac:dyDescent="0.2">
      <c r="A444" s="72">
        <v>745</v>
      </c>
      <c r="B444" s="224">
        <v>1001</v>
      </c>
      <c r="C444" s="46" t="s">
        <v>6968</v>
      </c>
      <c r="D444" s="46"/>
      <c r="E444" s="114"/>
      <c r="F444" s="114" t="s">
        <v>2855</v>
      </c>
      <c r="G444" s="225">
        <v>57410</v>
      </c>
      <c r="H444" s="47" t="s">
        <v>2856</v>
      </c>
      <c r="I444" s="47" t="s">
        <v>2856</v>
      </c>
      <c r="J444" s="47" t="s">
        <v>2857</v>
      </c>
      <c r="K444" s="47" t="s">
        <v>2039</v>
      </c>
      <c r="L444" s="47" t="s">
        <v>279</v>
      </c>
      <c r="M444" s="47" t="s">
        <v>2858</v>
      </c>
      <c r="N444" s="47" t="s">
        <v>6376</v>
      </c>
      <c r="O444" s="47" t="s">
        <v>281</v>
      </c>
      <c r="P444" s="53"/>
      <c r="Q444" s="53"/>
      <c r="R444" s="53"/>
      <c r="S444" s="53"/>
      <c r="T444" s="48">
        <v>252.27</v>
      </c>
      <c r="U444" s="98">
        <v>32</v>
      </c>
      <c r="V444" s="98">
        <v>178.6</v>
      </c>
      <c r="W444" s="98">
        <v>67.899348498664324</v>
      </c>
      <c r="X444" s="98">
        <v>32</v>
      </c>
      <c r="Y444" s="233">
        <v>6.01</v>
      </c>
      <c r="Z444" s="48">
        <v>2.16</v>
      </c>
      <c r="AA444" s="48">
        <v>2.4700000000000002</v>
      </c>
      <c r="AB444" s="48">
        <v>2.38</v>
      </c>
      <c r="AC444" s="48">
        <v>0.82340000000000002</v>
      </c>
      <c r="AD444" s="48">
        <v>2.42</v>
      </c>
      <c r="AE444" s="48">
        <v>2.52</v>
      </c>
      <c r="AF444" s="48">
        <f t="shared" si="113"/>
        <v>2.4700000000000002</v>
      </c>
      <c r="AG444" s="49">
        <v>2.2200000000000002</v>
      </c>
      <c r="AH444" s="98">
        <v>1.0199999999999999E-11</v>
      </c>
      <c r="AI444" s="98"/>
      <c r="AJ444" s="483">
        <f t="shared" si="114"/>
        <v>-9.3799661545507345</v>
      </c>
      <c r="AK444" s="483"/>
      <c r="AL444" s="483">
        <f t="shared" si="115"/>
        <v>-9.3799661545507345</v>
      </c>
      <c r="AM444" s="483">
        <v>-15.56823</v>
      </c>
      <c r="AN444" s="226">
        <v>-10.1</v>
      </c>
      <c r="AO444" s="484">
        <v>8.2799999999999994</v>
      </c>
      <c r="AP444" s="484">
        <v>-2.81</v>
      </c>
      <c r="AQ444" s="48" t="s">
        <v>6311</v>
      </c>
      <c r="AR444" s="48" t="s">
        <v>6311</v>
      </c>
      <c r="AS444" s="227"/>
      <c r="AT444" s="50" t="s">
        <v>266</v>
      </c>
      <c r="AU444" s="48">
        <v>6</v>
      </c>
      <c r="AV444" s="48">
        <v>120</v>
      </c>
      <c r="AW444" s="48">
        <v>114</v>
      </c>
      <c r="AX444" s="48">
        <v>28</v>
      </c>
      <c r="AY444" s="48" t="s">
        <v>8728</v>
      </c>
      <c r="AZ444" s="48" t="s">
        <v>1563</v>
      </c>
      <c r="BA444" s="48">
        <v>32</v>
      </c>
      <c r="BB444" s="47" t="s">
        <v>2485</v>
      </c>
      <c r="BC444" s="47" t="s">
        <v>8726</v>
      </c>
      <c r="BD444" s="47" t="s">
        <v>8374</v>
      </c>
      <c r="BE444" s="48" t="s">
        <v>2449</v>
      </c>
      <c r="BF444" s="48" t="s">
        <v>272</v>
      </c>
      <c r="BG444" s="48" t="s">
        <v>272</v>
      </c>
      <c r="BH444" s="48" t="s">
        <v>2486</v>
      </c>
      <c r="BI444" s="98">
        <v>1.6145280000000001E-3</v>
      </c>
      <c r="BJ444" s="98">
        <v>16.14528</v>
      </c>
      <c r="BK444" s="48"/>
      <c r="BL444" s="487">
        <v>148.85711826450896</v>
      </c>
      <c r="BM444" s="47" t="s">
        <v>2487</v>
      </c>
      <c r="BN444" s="48"/>
      <c r="BO444" s="48"/>
      <c r="BP444" s="48"/>
      <c r="BQ444" s="48"/>
      <c r="BR444" s="47" t="e">
        <v>#VALUE!</v>
      </c>
      <c r="BS444" s="48"/>
      <c r="BT444" s="48"/>
      <c r="BU444" s="228">
        <v>1.6145280000000001E-3</v>
      </c>
      <c r="BV444" s="48"/>
      <c r="BW444" s="48"/>
      <c r="BX444" s="48"/>
      <c r="BY444" s="48"/>
      <c r="BZ444" s="48"/>
      <c r="CA444" s="48"/>
      <c r="CB444" s="48"/>
      <c r="CC444" s="48"/>
      <c r="CD444" s="48"/>
      <c r="CE444" s="48"/>
      <c r="CF444" s="48"/>
      <c r="CG444" s="48"/>
      <c r="CH444" s="48"/>
      <c r="CI444" s="98"/>
      <c r="CJ444" s="98"/>
      <c r="CK444" s="49">
        <f t="shared" si="116"/>
        <v>9.2198536206562505</v>
      </c>
      <c r="CL444" s="229"/>
      <c r="CM444" s="229"/>
      <c r="CN444" s="229"/>
      <c r="CO444" s="47" t="s">
        <v>2488</v>
      </c>
      <c r="CP444" s="500" t="s">
        <v>2489</v>
      </c>
      <c r="CQ444" s="224" t="s">
        <v>272</v>
      </c>
      <c r="CR444" s="224"/>
      <c r="CS444" s="230" t="s">
        <v>539</v>
      </c>
      <c r="CT444" s="230"/>
      <c r="CU444" s="230"/>
      <c r="CV444" s="335">
        <f t="shared" si="117"/>
        <v>1.9820034090458636</v>
      </c>
      <c r="CW444" s="230">
        <f t="shared" si="112"/>
        <v>1</v>
      </c>
      <c r="CX444" s="336"/>
      <c r="CY444" s="230" t="s">
        <v>5921</v>
      </c>
    </row>
    <row r="445" spans="1:103" ht="11.25" customHeight="1" x14ac:dyDescent="0.2">
      <c r="A445" s="72">
        <v>746</v>
      </c>
      <c r="B445" s="224">
        <v>1878</v>
      </c>
      <c r="C445" s="46" t="s">
        <v>6969</v>
      </c>
      <c r="D445" s="46"/>
      <c r="E445" s="114"/>
      <c r="F445" s="114" t="s">
        <v>5332</v>
      </c>
      <c r="G445" s="225">
        <v>57501</v>
      </c>
      <c r="H445" s="47" t="s">
        <v>5333</v>
      </c>
      <c r="I445" s="47" t="s">
        <v>5333</v>
      </c>
      <c r="J445" s="47" t="s">
        <v>5334</v>
      </c>
      <c r="K445" s="47" t="s">
        <v>426</v>
      </c>
      <c r="L445" s="47"/>
      <c r="M445" s="47"/>
      <c r="N445" s="47"/>
      <c r="O445" s="47"/>
      <c r="P445" s="53"/>
      <c r="Q445" s="53"/>
      <c r="R445" s="53"/>
      <c r="S445" s="53"/>
      <c r="T445" s="48">
        <v>342.3</v>
      </c>
      <c r="U445" s="98">
        <v>2100000</v>
      </c>
      <c r="V445" s="98">
        <v>1000000</v>
      </c>
      <c r="W445" s="98">
        <v>451239.28160785825</v>
      </c>
      <c r="X445" s="98">
        <v>2100000</v>
      </c>
      <c r="Y445" s="233">
        <v>6.1</v>
      </c>
      <c r="Z445" s="48">
        <v>-4.2699999999999996</v>
      </c>
      <c r="AA445" s="48">
        <v>-3.7</v>
      </c>
      <c r="AB445" s="48">
        <v>-3.66</v>
      </c>
      <c r="AC445" s="48">
        <v>0.48420000000000002</v>
      </c>
      <c r="AD445" s="48">
        <v>-3.57</v>
      </c>
      <c r="AE445" s="48">
        <v>-3.48</v>
      </c>
      <c r="AF445" s="48">
        <f t="shared" si="113"/>
        <v>-3.7</v>
      </c>
      <c r="AG445" s="49">
        <v>-4.7699999999999996</v>
      </c>
      <c r="AH445" s="98">
        <v>4.4699999999999998E-22</v>
      </c>
      <c r="AI445" s="98"/>
      <c r="AJ445" s="483">
        <f t="shared" si="114"/>
        <v>-19.738258803180717</v>
      </c>
      <c r="AK445" s="483"/>
      <c r="AL445" s="483">
        <f t="shared" si="115"/>
        <v>-19.738258803180717</v>
      </c>
      <c r="AM445" s="483">
        <v>-34.980319999999999</v>
      </c>
      <c r="AN445" s="226">
        <v>-26</v>
      </c>
      <c r="AO445" s="484">
        <v>12.81</v>
      </c>
      <c r="AP445" s="484"/>
      <c r="AQ445" s="226" t="s">
        <v>6311</v>
      </c>
      <c r="AR445" s="226" t="s">
        <v>6311</v>
      </c>
      <c r="AS445" s="224"/>
      <c r="AT445" s="50" t="s">
        <v>266</v>
      </c>
      <c r="AU445" s="48">
        <v>6</v>
      </c>
      <c r="AV445" s="48">
        <v>120</v>
      </c>
      <c r="AW445" s="48">
        <v>114</v>
      </c>
      <c r="AX445" s="48">
        <v>28</v>
      </c>
      <c r="AY445" s="48" t="s">
        <v>8728</v>
      </c>
      <c r="AZ445" s="48" t="s">
        <v>1563</v>
      </c>
      <c r="BA445" s="48">
        <v>32</v>
      </c>
      <c r="BB445" s="47" t="s">
        <v>2485</v>
      </c>
      <c r="BC445" s="47" t="s">
        <v>8726</v>
      </c>
      <c r="BD445" s="47" t="s">
        <v>8374</v>
      </c>
      <c r="BE445" s="48" t="s">
        <v>2449</v>
      </c>
      <c r="BF445" s="48" t="s">
        <v>272</v>
      </c>
      <c r="BG445" s="48" t="s">
        <v>272</v>
      </c>
      <c r="BH445" s="48" t="s">
        <v>2486</v>
      </c>
      <c r="BI445" s="98">
        <v>2.1907200000000002E-3</v>
      </c>
      <c r="BJ445" s="98">
        <v>21.9072</v>
      </c>
      <c r="BK445" s="48"/>
      <c r="BL445" s="487">
        <v>120252440.52218851</v>
      </c>
      <c r="BM445" s="47" t="s">
        <v>2487</v>
      </c>
      <c r="BN445" s="48"/>
      <c r="BO445" s="48"/>
      <c r="BP445" s="48"/>
      <c r="BQ445" s="48"/>
      <c r="BR445" s="47" t="e">
        <v>#VALUE!</v>
      </c>
      <c r="BS445" s="48"/>
      <c r="BT445" s="48"/>
      <c r="BU445" s="228"/>
      <c r="BV445" s="48"/>
      <c r="BW445" s="48"/>
      <c r="BX445" s="48"/>
      <c r="BY445" s="48"/>
      <c r="BZ445" s="48"/>
      <c r="CA445" s="48"/>
      <c r="CB445" s="48"/>
      <c r="CC445" s="48"/>
      <c r="CD445" s="48"/>
      <c r="CE445" s="48"/>
      <c r="CF445" s="48"/>
      <c r="CG445" s="48"/>
      <c r="CH445" s="48"/>
      <c r="CI445" s="98"/>
      <c r="CJ445" s="98"/>
      <c r="CK445" s="49">
        <f t="shared" si="116"/>
        <v>5489174.359214711</v>
      </c>
      <c r="CL445" s="229"/>
      <c r="CM445" s="229"/>
      <c r="CN445" s="229"/>
      <c r="CO445" s="47" t="s">
        <v>2488</v>
      </c>
      <c r="CP445" s="500" t="s">
        <v>2489</v>
      </c>
      <c r="CQ445" s="224" t="s">
        <v>272</v>
      </c>
      <c r="CR445" s="224"/>
      <c r="CS445" s="230" t="s">
        <v>539</v>
      </c>
      <c r="CT445" s="230"/>
      <c r="CU445" s="230"/>
      <c r="CV445" s="335">
        <f t="shared" si="117"/>
        <v>95858.895705521471</v>
      </c>
      <c r="CW445" s="230">
        <f t="shared" si="112"/>
        <v>1</v>
      </c>
      <c r="CX445" s="336"/>
      <c r="CY445" s="230" t="s">
        <v>5921</v>
      </c>
    </row>
    <row r="446" spans="1:103" ht="11.25" customHeight="1" x14ac:dyDescent="0.2">
      <c r="A446" s="72">
        <v>747</v>
      </c>
      <c r="B446" s="224">
        <v>900</v>
      </c>
      <c r="C446" s="46" t="s">
        <v>6970</v>
      </c>
      <c r="D446" s="46" t="s">
        <v>8553</v>
      </c>
      <c r="E446" s="114"/>
      <c r="F446" s="114" t="s">
        <v>2567</v>
      </c>
      <c r="G446" s="225">
        <v>57556</v>
      </c>
      <c r="H446" s="47" t="s">
        <v>2568</v>
      </c>
      <c r="I446" s="47" t="s">
        <v>2568</v>
      </c>
      <c r="J446" s="47" t="s">
        <v>2569</v>
      </c>
      <c r="K446" s="47" t="s">
        <v>426</v>
      </c>
      <c r="L446" s="47" t="s">
        <v>5527</v>
      </c>
      <c r="M446" s="47" t="s">
        <v>2342</v>
      </c>
      <c r="N446" s="47" t="s">
        <v>2342</v>
      </c>
      <c r="O446" s="47" t="s">
        <v>498</v>
      </c>
      <c r="P446" s="53" t="s">
        <v>404</v>
      </c>
      <c r="Q446" s="53" t="s">
        <v>6173</v>
      </c>
      <c r="R446" s="53" t="s">
        <v>6183</v>
      </c>
      <c r="S446" s="53" t="s">
        <v>6179</v>
      </c>
      <c r="T446" s="48">
        <v>76.09</v>
      </c>
      <c r="U446" s="98">
        <v>1000000</v>
      </c>
      <c r="V446" s="98">
        <v>811100</v>
      </c>
      <c r="W446" s="98">
        <v>514431.53597575898</v>
      </c>
      <c r="X446" s="98">
        <v>1000000</v>
      </c>
      <c r="Y446" s="233">
        <v>6.72</v>
      </c>
      <c r="Z446" s="48">
        <v>-0.78</v>
      </c>
      <c r="AA446" s="48">
        <v>-0.92</v>
      </c>
      <c r="AB446" s="48">
        <v>-0.91</v>
      </c>
      <c r="AC446" s="48">
        <v>0.88649999999999995</v>
      </c>
      <c r="AD446" s="48">
        <v>-1.02</v>
      </c>
      <c r="AE446" s="48">
        <v>-1.34</v>
      </c>
      <c r="AF446" s="48">
        <f t="shared" si="113"/>
        <v>-0.92</v>
      </c>
      <c r="AG446" s="49">
        <v>-0.47</v>
      </c>
      <c r="AH446" s="98">
        <v>1.74E-7</v>
      </c>
      <c r="AI446" s="98">
        <v>1.29E-8</v>
      </c>
      <c r="AJ446" s="483">
        <f t="shared" si="114"/>
        <v>-5.148017078030052</v>
      </c>
      <c r="AK446" s="483">
        <f>LOG10(AI446*1000/(0.08206*298.15))</f>
        <v>-6.2779766160134027</v>
      </c>
      <c r="AL446" s="483">
        <f t="shared" si="115"/>
        <v>-6.2779766160134027</v>
      </c>
      <c r="AM446" s="483">
        <v>-6.6144400000000001</v>
      </c>
      <c r="AN446" s="226">
        <v>-6.17</v>
      </c>
      <c r="AO446" s="484">
        <v>14.49</v>
      </c>
      <c r="AP446" s="484"/>
      <c r="AQ446" s="48" t="s">
        <v>6311</v>
      </c>
      <c r="AR446" s="48" t="s">
        <v>6311</v>
      </c>
      <c r="AS446" s="227"/>
      <c r="AT446" s="50" t="s">
        <v>266</v>
      </c>
      <c r="AU446" s="48">
        <v>6</v>
      </c>
      <c r="AV446" s="48">
        <v>120</v>
      </c>
      <c r="AW446" s="48">
        <v>114</v>
      </c>
      <c r="AX446" s="48">
        <v>28</v>
      </c>
      <c r="AY446" s="48" t="s">
        <v>8728</v>
      </c>
      <c r="AZ446" s="48" t="s">
        <v>1563</v>
      </c>
      <c r="BA446" s="48">
        <v>32</v>
      </c>
      <c r="BB446" s="47" t="s">
        <v>2485</v>
      </c>
      <c r="BC446" s="47" t="s">
        <v>8726</v>
      </c>
      <c r="BD446" s="47" t="s">
        <v>8374</v>
      </c>
      <c r="BE446" s="48" t="s">
        <v>2449</v>
      </c>
      <c r="BF446" s="48" t="s">
        <v>272</v>
      </c>
      <c r="BG446" s="48" t="s">
        <v>272</v>
      </c>
      <c r="BH446" s="48" t="s">
        <v>2486</v>
      </c>
      <c r="BI446" s="98">
        <v>4.8697600000000002E-4</v>
      </c>
      <c r="BJ446" s="98">
        <v>4.8697600000000003</v>
      </c>
      <c r="BK446" s="48"/>
      <c r="BL446" s="487">
        <v>19617.586855791127</v>
      </c>
      <c r="BM446" s="47" t="s">
        <v>2487</v>
      </c>
      <c r="BN446" s="48"/>
      <c r="BO446" s="48"/>
      <c r="BP446" s="48"/>
      <c r="BQ446" s="48"/>
      <c r="BR446" s="47" t="e">
        <v>#VALUE!</v>
      </c>
      <c r="BS446" s="48"/>
      <c r="BT446" s="48"/>
      <c r="BU446" s="228">
        <v>4.8697600000000002E-4</v>
      </c>
      <c r="BV446" s="48"/>
      <c r="BW446" s="48"/>
      <c r="BX446" s="48"/>
      <c r="BY446" s="48"/>
      <c r="BZ446" s="48"/>
      <c r="CA446" s="48"/>
      <c r="CB446" s="48"/>
      <c r="CC446" s="48"/>
      <c r="CD446" s="48"/>
      <c r="CE446" s="48"/>
      <c r="CF446" s="48"/>
      <c r="CG446" s="48"/>
      <c r="CH446" s="48"/>
      <c r="CI446" s="98"/>
      <c r="CJ446" s="98"/>
      <c r="CK446" s="49">
        <f t="shared" si="116"/>
        <v>4028.4504484391687</v>
      </c>
      <c r="CL446" s="229"/>
      <c r="CM446" s="229"/>
      <c r="CN446" s="229"/>
      <c r="CO446" s="47" t="s">
        <v>2488</v>
      </c>
      <c r="CP446" s="500" t="s">
        <v>2489</v>
      </c>
      <c r="CQ446" s="224">
        <v>4.4047007193413972</v>
      </c>
      <c r="CR446" s="224">
        <f>10^(CJ446-CQ446)</f>
        <v>3.9382137182932348E-5</v>
      </c>
      <c r="CS446" s="230" t="s">
        <v>539</v>
      </c>
      <c r="CT446" s="230"/>
      <c r="CU446" s="230"/>
      <c r="CV446" s="335">
        <f t="shared" si="117"/>
        <v>205348.92889998684</v>
      </c>
      <c r="CW446" s="230">
        <f t="shared" si="112"/>
        <v>1</v>
      </c>
      <c r="CX446" s="336"/>
      <c r="CY446" s="230" t="s">
        <v>6351</v>
      </c>
    </row>
    <row r="447" spans="1:103" ht="11.25" customHeight="1" x14ac:dyDescent="0.2">
      <c r="A447" s="72">
        <v>748</v>
      </c>
      <c r="B447" s="224">
        <v>908</v>
      </c>
      <c r="C447" s="46" t="s">
        <v>6971</v>
      </c>
      <c r="D447" s="46"/>
      <c r="E447" s="114"/>
      <c r="F447" s="114" t="s">
        <v>598</v>
      </c>
      <c r="G447" s="225">
        <v>57636</v>
      </c>
      <c r="H447" s="47" t="s">
        <v>599</v>
      </c>
      <c r="I447" s="47" t="s">
        <v>7940</v>
      </c>
      <c r="J447" s="47"/>
      <c r="K447" s="47" t="s">
        <v>601</v>
      </c>
      <c r="L447" s="47" t="s">
        <v>279</v>
      </c>
      <c r="M447" s="47" t="s">
        <v>6108</v>
      </c>
      <c r="N447" s="47" t="s">
        <v>6386</v>
      </c>
      <c r="O447" s="47" t="s">
        <v>2591</v>
      </c>
      <c r="P447" s="53"/>
      <c r="Q447" s="53"/>
      <c r="R447" s="53"/>
      <c r="S447" s="53"/>
      <c r="T447" s="48">
        <v>296.39999999999998</v>
      </c>
      <c r="U447" s="98">
        <v>11.3</v>
      </c>
      <c r="V447" s="98">
        <v>116.4</v>
      </c>
      <c r="W447" s="98">
        <v>1.9582953798945142</v>
      </c>
      <c r="X447" s="98">
        <v>11.3</v>
      </c>
      <c r="Y447" s="233">
        <v>6.99</v>
      </c>
      <c r="Z447" s="48">
        <v>4.12</v>
      </c>
      <c r="AA447" s="48">
        <v>3.67</v>
      </c>
      <c r="AB447" s="48">
        <v>3.64</v>
      </c>
      <c r="AC447" s="48">
        <v>0.84489999999999998</v>
      </c>
      <c r="AD447" s="48">
        <v>3.87</v>
      </c>
      <c r="AE447" s="48">
        <v>4.5199999999999996</v>
      </c>
      <c r="AF447" s="48">
        <f t="shared" si="113"/>
        <v>3.67</v>
      </c>
      <c r="AG447" s="49">
        <v>3.86</v>
      </c>
      <c r="AH447" s="98">
        <v>7.9400000000000005E-12</v>
      </c>
      <c r="AI447" s="98"/>
      <c r="AJ447" s="483">
        <f t="shared" si="114"/>
        <v>-9.4887458238855551</v>
      </c>
      <c r="AK447" s="483"/>
      <c r="AL447" s="483">
        <f t="shared" si="115"/>
        <v>-9.4887458238855551</v>
      </c>
      <c r="AM447" s="483">
        <v>-18.03331</v>
      </c>
      <c r="AN447" s="226"/>
      <c r="AO447" s="484">
        <v>10.24</v>
      </c>
      <c r="AP447" s="484"/>
      <c r="AQ447" s="48" t="s">
        <v>6311</v>
      </c>
      <c r="AR447" s="48" t="s">
        <v>6311</v>
      </c>
      <c r="AS447" s="227"/>
      <c r="AT447" s="50" t="s">
        <v>266</v>
      </c>
      <c r="AU447" s="48">
        <v>6</v>
      </c>
      <c r="AV447" s="48">
        <v>120</v>
      </c>
      <c r="AW447" s="48">
        <v>114</v>
      </c>
      <c r="AX447" s="48">
        <v>28</v>
      </c>
      <c r="AY447" s="48" t="s">
        <v>8728</v>
      </c>
      <c r="AZ447" s="48" t="s">
        <v>1563</v>
      </c>
      <c r="BA447" s="48">
        <v>32</v>
      </c>
      <c r="BB447" s="47" t="s">
        <v>2485</v>
      </c>
      <c r="BC447" s="47" t="s">
        <v>8726</v>
      </c>
      <c r="BD447" s="47" t="s">
        <v>8374</v>
      </c>
      <c r="BE447" s="48" t="s">
        <v>2449</v>
      </c>
      <c r="BF447" s="48" t="s">
        <v>272</v>
      </c>
      <c r="BG447" s="48" t="s">
        <v>272</v>
      </c>
      <c r="BH447" s="48" t="s">
        <v>2486</v>
      </c>
      <c r="BI447" s="98">
        <v>1.8969599999999998E-3</v>
      </c>
      <c r="BJ447" s="98">
        <v>18.9696</v>
      </c>
      <c r="BK447" s="48"/>
      <c r="BL447" s="487">
        <v>3.0374294492184628</v>
      </c>
      <c r="BM447" s="47" t="s">
        <v>2487</v>
      </c>
      <c r="BN447" s="48"/>
      <c r="BO447" s="48"/>
      <c r="BP447" s="48"/>
      <c r="BQ447" s="48"/>
      <c r="BR447" s="47" t="e">
        <v>#VALUE!</v>
      </c>
      <c r="BS447" s="48"/>
      <c r="BT447" s="48"/>
      <c r="BU447" s="228">
        <v>1.8969599999999996E-2</v>
      </c>
      <c r="BV447" s="48"/>
      <c r="BW447" s="48"/>
      <c r="BX447" s="48"/>
      <c r="BY447" s="48"/>
      <c r="BZ447" s="48"/>
      <c r="CA447" s="48"/>
      <c r="CB447" s="48"/>
      <c r="CC447" s="48"/>
      <c r="CD447" s="48"/>
      <c r="CE447" s="48"/>
      <c r="CF447" s="48"/>
      <c r="CG447" s="48"/>
      <c r="CH447" s="48"/>
      <c r="CI447" s="98"/>
      <c r="CJ447" s="98"/>
      <c r="CK447" s="49">
        <f t="shared" si="116"/>
        <v>0.16012090129567638</v>
      </c>
      <c r="CL447" s="229"/>
      <c r="CM447" s="229"/>
      <c r="CN447" s="229"/>
      <c r="CO447" s="47" t="s">
        <v>2488</v>
      </c>
      <c r="CP447" s="500" t="s">
        <v>2489</v>
      </c>
      <c r="CQ447" s="224">
        <v>0.23044892137827391</v>
      </c>
      <c r="CR447" s="224">
        <f>10^(CJ447-CQ447)</f>
        <v>0.58823529411764708</v>
      </c>
      <c r="CS447" s="230" t="s">
        <v>539</v>
      </c>
      <c r="CT447" s="230"/>
      <c r="CU447" s="230"/>
      <c r="CV447" s="335">
        <f t="shared" si="117"/>
        <v>0.59568994601889347</v>
      </c>
      <c r="CW447" s="230">
        <f t="shared" si="112"/>
        <v>0</v>
      </c>
      <c r="CX447" s="336"/>
      <c r="CY447" s="230" t="s">
        <v>5921</v>
      </c>
    </row>
    <row r="448" spans="1:103" ht="11.25" customHeight="1" x14ac:dyDescent="0.2">
      <c r="A448" s="72">
        <v>749</v>
      </c>
      <c r="B448" s="224">
        <v>1254</v>
      </c>
      <c r="C448" s="46" t="s">
        <v>6972</v>
      </c>
      <c r="D448" s="46"/>
      <c r="E448" s="114"/>
      <c r="F448" s="114" t="s">
        <v>3446</v>
      </c>
      <c r="G448" s="225">
        <v>57830</v>
      </c>
      <c r="H448" s="47" t="s">
        <v>3447</v>
      </c>
      <c r="I448" s="47" t="s">
        <v>3447</v>
      </c>
      <c r="J448" s="47" t="s">
        <v>3448</v>
      </c>
      <c r="K448" s="47" t="s">
        <v>371</v>
      </c>
      <c r="L448" s="47" t="s">
        <v>279</v>
      </c>
      <c r="M448" s="47" t="s">
        <v>3449</v>
      </c>
      <c r="N448" s="47" t="s">
        <v>6386</v>
      </c>
      <c r="O448" s="47" t="s">
        <v>281</v>
      </c>
      <c r="P448" s="53"/>
      <c r="Q448" s="53"/>
      <c r="R448" s="53"/>
      <c r="S448" s="53"/>
      <c r="T448" s="48">
        <v>314.45999999999998</v>
      </c>
      <c r="U448" s="98">
        <v>8.81</v>
      </c>
      <c r="V448" s="98">
        <v>5.0030000000000001</v>
      </c>
      <c r="W448" s="98">
        <v>6.7230355866487077</v>
      </c>
      <c r="X448" s="98">
        <v>8.81</v>
      </c>
      <c r="Y448" s="233">
        <v>7</v>
      </c>
      <c r="Z448" s="48">
        <v>3.67</v>
      </c>
      <c r="AA448" s="48">
        <v>3.87</v>
      </c>
      <c r="AB448" s="48">
        <v>3.58</v>
      </c>
      <c r="AC448" s="48">
        <v>0.78669999999999995</v>
      </c>
      <c r="AD448" s="48">
        <v>3.72</v>
      </c>
      <c r="AE448" s="48">
        <v>4.04</v>
      </c>
      <c r="AF448" s="48">
        <f t="shared" si="113"/>
        <v>3.87</v>
      </c>
      <c r="AG448" s="49">
        <v>3.72</v>
      </c>
      <c r="AH448" s="98">
        <v>6.4900000000000005E-8</v>
      </c>
      <c r="AI448" s="98"/>
      <c r="AJ448" s="483">
        <f t="shared" si="114"/>
        <v>-5.5763216295122824</v>
      </c>
      <c r="AK448" s="483"/>
      <c r="AL448" s="483">
        <f t="shared" si="115"/>
        <v>-5.5763216295122824</v>
      </c>
      <c r="AM448" s="483">
        <v>-14.412470000000001</v>
      </c>
      <c r="AN448" s="226">
        <v>-7.7</v>
      </c>
      <c r="AO448" s="484"/>
      <c r="AP448" s="484"/>
      <c r="AQ448" s="48" t="s">
        <v>6311</v>
      </c>
      <c r="AR448" s="48" t="s">
        <v>6311</v>
      </c>
      <c r="AS448" s="227"/>
      <c r="AT448" s="50" t="s">
        <v>266</v>
      </c>
      <c r="AU448" s="48">
        <v>6</v>
      </c>
      <c r="AV448" s="48">
        <v>120</v>
      </c>
      <c r="AW448" s="48">
        <v>114</v>
      </c>
      <c r="AX448" s="48">
        <v>28</v>
      </c>
      <c r="AY448" s="48" t="s">
        <v>8728</v>
      </c>
      <c r="AZ448" s="48" t="s">
        <v>1563</v>
      </c>
      <c r="BA448" s="48">
        <v>32</v>
      </c>
      <c r="BB448" s="47" t="s">
        <v>2485</v>
      </c>
      <c r="BC448" s="47" t="s">
        <v>8726</v>
      </c>
      <c r="BD448" s="47" t="s">
        <v>8374</v>
      </c>
      <c r="BE448" s="48" t="s">
        <v>2449</v>
      </c>
      <c r="BF448" s="48" t="s">
        <v>272</v>
      </c>
      <c r="BG448" s="48" t="s">
        <v>272</v>
      </c>
      <c r="BH448" s="48" t="s">
        <v>2486</v>
      </c>
      <c r="BI448" s="98">
        <v>2.0125439999999998E-3</v>
      </c>
      <c r="BJ448" s="98">
        <v>20.125439999999998</v>
      </c>
      <c r="BK448" s="48"/>
      <c r="BL448" s="487">
        <v>8.172189150280186</v>
      </c>
      <c r="BM448" s="47" t="s">
        <v>2487</v>
      </c>
      <c r="BN448" s="48"/>
      <c r="BO448" s="48"/>
      <c r="BP448" s="48"/>
      <c r="BQ448" s="48"/>
      <c r="BR448" s="47" t="e">
        <v>#VALUE!</v>
      </c>
      <c r="BS448" s="48"/>
      <c r="BT448" s="48"/>
      <c r="BU448" s="228">
        <v>2.0125440000000001</v>
      </c>
      <c r="BV448" s="48"/>
      <c r="BW448" s="48"/>
      <c r="BX448" s="48"/>
      <c r="BY448" s="48"/>
      <c r="BZ448" s="48"/>
      <c r="CA448" s="48"/>
      <c r="CB448" s="48"/>
      <c r="CC448" s="48"/>
      <c r="CD448" s="48"/>
      <c r="CE448" s="48"/>
      <c r="CF448" s="48"/>
      <c r="CG448" s="48"/>
      <c r="CH448" s="48"/>
      <c r="CI448" s="98"/>
      <c r="CJ448" s="98"/>
      <c r="CK448" s="49">
        <f t="shared" si="116"/>
        <v>0.40606263268182891</v>
      </c>
      <c r="CL448" s="229"/>
      <c r="CM448" s="229"/>
      <c r="CN448" s="229"/>
      <c r="CO448" s="47" t="s">
        <v>2488</v>
      </c>
      <c r="CP448" s="500" t="s">
        <v>2489</v>
      </c>
      <c r="CQ448" s="224" t="s">
        <v>272</v>
      </c>
      <c r="CR448" s="224"/>
      <c r="CS448" s="230" t="s">
        <v>539</v>
      </c>
      <c r="CT448" s="230"/>
      <c r="CU448" s="230"/>
      <c r="CV448" s="335">
        <f t="shared" si="117"/>
        <v>0.43775440437575536</v>
      </c>
      <c r="CW448" s="230">
        <f t="shared" si="112"/>
        <v>0</v>
      </c>
      <c r="CX448" s="336"/>
      <c r="CY448" s="230" t="s">
        <v>6351</v>
      </c>
    </row>
    <row r="449" spans="1:103" ht="11.25" customHeight="1" x14ac:dyDescent="0.2">
      <c r="A449" s="72">
        <v>750</v>
      </c>
      <c r="B449" s="224">
        <v>1890</v>
      </c>
      <c r="C449" s="46" t="s">
        <v>6973</v>
      </c>
      <c r="D449" s="46"/>
      <c r="E449" s="114"/>
      <c r="F449" s="114" t="s">
        <v>5354</v>
      </c>
      <c r="G449" s="225">
        <v>57852</v>
      </c>
      <c r="H449" s="47" t="s">
        <v>5355</v>
      </c>
      <c r="I449" s="47" t="s">
        <v>5355</v>
      </c>
      <c r="J449" s="47" t="s">
        <v>5356</v>
      </c>
      <c r="K449" s="47" t="s">
        <v>3524</v>
      </c>
      <c r="L449" s="47" t="s">
        <v>279</v>
      </c>
      <c r="M449" s="47" t="s">
        <v>5357</v>
      </c>
      <c r="N449" s="47" t="s">
        <v>6386</v>
      </c>
      <c r="O449" s="47" t="s">
        <v>281</v>
      </c>
      <c r="P449" s="53"/>
      <c r="Q449" s="53"/>
      <c r="R449" s="53"/>
      <c r="S449" s="53"/>
      <c r="T449" s="48">
        <v>344.49</v>
      </c>
      <c r="U449" s="98">
        <v>1.48</v>
      </c>
      <c r="V449" s="98">
        <v>0.56930000000000003</v>
      </c>
      <c r="W449" s="98">
        <v>1.5037533904841447</v>
      </c>
      <c r="X449" s="98">
        <v>1.48</v>
      </c>
      <c r="Y449" s="233">
        <v>7</v>
      </c>
      <c r="Z449" s="48">
        <v>4.7699999999999996</v>
      </c>
      <c r="AA449" s="48"/>
      <c r="AB449" s="48">
        <v>3.98</v>
      </c>
      <c r="AC449" s="48">
        <v>0.74850000000000005</v>
      </c>
      <c r="AD449" s="48">
        <v>4.3</v>
      </c>
      <c r="AE449" s="48">
        <v>4.9000000000000004</v>
      </c>
      <c r="AF449" s="48">
        <f t="shared" ref="AF449:AF482" si="118">IF(AA449=0,AD449,AA449)</f>
        <v>4.3</v>
      </c>
      <c r="AG449" s="49">
        <v>4.0599999999999996</v>
      </c>
      <c r="AH449" s="98">
        <v>3.0499999999999999E-7</v>
      </c>
      <c r="AI449" s="98"/>
      <c r="AJ449" s="483">
        <f t="shared" ref="AJ449:AJ480" si="119">LOG10(AH449*1000/(0.08206*298.15))</f>
        <v>-4.9042664869658656</v>
      </c>
      <c r="AK449" s="483"/>
      <c r="AL449" s="483">
        <f t="shared" ref="AL449:AL480" si="120">IF(AK449=0,AJ449,AK449)</f>
        <v>-4.9042664869658656</v>
      </c>
      <c r="AM449" s="483">
        <v>-14.27192</v>
      </c>
      <c r="AN449" s="226">
        <v>-6.94</v>
      </c>
      <c r="AO449" s="484"/>
      <c r="AP449" s="484"/>
      <c r="AQ449" s="226" t="s">
        <v>6311</v>
      </c>
      <c r="AR449" s="226" t="s">
        <v>6312</v>
      </c>
      <c r="AS449" s="224"/>
      <c r="AT449" s="50" t="s">
        <v>266</v>
      </c>
      <c r="AU449" s="48">
        <v>6</v>
      </c>
      <c r="AV449" s="48">
        <v>120</v>
      </c>
      <c r="AW449" s="48">
        <v>114</v>
      </c>
      <c r="AX449" s="48">
        <v>28</v>
      </c>
      <c r="AY449" s="48" t="s">
        <v>8728</v>
      </c>
      <c r="AZ449" s="48" t="s">
        <v>1563</v>
      </c>
      <c r="BA449" s="48">
        <v>32</v>
      </c>
      <c r="BB449" s="47" t="s">
        <v>2485</v>
      </c>
      <c r="BC449" s="47" t="s">
        <v>8726</v>
      </c>
      <c r="BD449" s="47" t="s">
        <v>8374</v>
      </c>
      <c r="BE449" s="48" t="s">
        <v>2449</v>
      </c>
      <c r="BF449" s="48" t="s">
        <v>272</v>
      </c>
      <c r="BG449" s="48" t="s">
        <v>272</v>
      </c>
      <c r="BH449" s="48" t="s">
        <v>2486</v>
      </c>
      <c r="BI449" s="98">
        <v>2.2047360000000001E-3</v>
      </c>
      <c r="BJ449" s="98">
        <v>22.047360000000001</v>
      </c>
      <c r="BK449" s="48"/>
      <c r="BL449" s="487">
        <v>0.92053354577949487</v>
      </c>
      <c r="BM449" s="47" t="s">
        <v>2487</v>
      </c>
      <c r="BN449" s="48"/>
      <c r="BO449" s="48"/>
      <c r="BP449" s="48"/>
      <c r="BQ449" s="48"/>
      <c r="BR449" s="47" t="e">
        <v>#VALUE!</v>
      </c>
      <c r="BS449" s="48"/>
      <c r="BT449" s="48"/>
      <c r="BU449" s="228"/>
      <c r="BV449" s="48"/>
      <c r="BW449" s="48"/>
      <c r="BX449" s="48"/>
      <c r="BY449" s="48"/>
      <c r="BZ449" s="48"/>
      <c r="CA449" s="48"/>
      <c r="CB449" s="48"/>
      <c r="CC449" s="48"/>
      <c r="CD449" s="48"/>
      <c r="CE449" s="48"/>
      <c r="CF449" s="48"/>
      <c r="CG449" s="48"/>
      <c r="CH449" s="48"/>
      <c r="CI449" s="98"/>
      <c r="CJ449" s="98"/>
      <c r="CK449" s="49">
        <f t="shared" si="116"/>
        <v>4.1752552041582069E-2</v>
      </c>
      <c r="CL449" s="229"/>
      <c r="CM449" s="229"/>
      <c r="CN449" s="229"/>
      <c r="CO449" s="47" t="s">
        <v>2488</v>
      </c>
      <c r="CP449" s="500" t="s">
        <v>2489</v>
      </c>
      <c r="CQ449" s="224" t="s">
        <v>272</v>
      </c>
      <c r="CR449" s="224"/>
      <c r="CS449" s="230" t="s">
        <v>539</v>
      </c>
      <c r="CT449" s="230"/>
      <c r="CU449" s="230"/>
      <c r="CV449" s="335">
        <f t="shared" si="117"/>
        <v>6.7128218525936895E-2</v>
      </c>
      <c r="CW449" s="230">
        <f t="shared" si="112"/>
        <v>0</v>
      </c>
      <c r="CX449" s="336"/>
      <c r="CY449" s="230" t="s">
        <v>5921</v>
      </c>
    </row>
    <row r="450" spans="1:103" ht="11.25" customHeight="1" x14ac:dyDescent="0.2">
      <c r="A450" s="72">
        <v>751</v>
      </c>
      <c r="B450" s="224">
        <v>907</v>
      </c>
      <c r="C450" s="46" t="s">
        <v>6974</v>
      </c>
      <c r="D450" s="46"/>
      <c r="E450" s="114"/>
      <c r="F450" s="114" t="s">
        <v>2589</v>
      </c>
      <c r="G450" s="225">
        <v>57910</v>
      </c>
      <c r="H450" s="47" t="s">
        <v>2590</v>
      </c>
      <c r="I450" s="47" t="s">
        <v>2590</v>
      </c>
      <c r="J450" s="47" t="s">
        <v>600</v>
      </c>
      <c r="K450" s="47" t="s">
        <v>349</v>
      </c>
      <c r="L450" s="51"/>
      <c r="M450" s="47"/>
      <c r="N450" s="47"/>
      <c r="O450" s="47"/>
      <c r="P450" s="53"/>
      <c r="Q450" s="53"/>
      <c r="R450" s="53"/>
      <c r="S450" s="53"/>
      <c r="T450" s="48">
        <v>272.38</v>
      </c>
      <c r="U450" s="98">
        <v>3.9</v>
      </c>
      <c r="V450" s="98">
        <v>81.97</v>
      </c>
      <c r="W450" s="98">
        <v>3.0561538658276861</v>
      </c>
      <c r="X450" s="98">
        <v>3.9</v>
      </c>
      <c r="Y450" s="233">
        <v>6.99</v>
      </c>
      <c r="Z450" s="48">
        <v>3.94</v>
      </c>
      <c r="AA450" s="48">
        <v>4.01</v>
      </c>
      <c r="AB450" s="48">
        <v>3.37</v>
      </c>
      <c r="AC450" s="48">
        <v>0.78210000000000002</v>
      </c>
      <c r="AD450" s="48">
        <v>3.62</v>
      </c>
      <c r="AE450" s="48">
        <v>4.13</v>
      </c>
      <c r="AF450" s="48">
        <f t="shared" si="118"/>
        <v>4.01</v>
      </c>
      <c r="AG450" s="49">
        <v>3.86</v>
      </c>
      <c r="AH450" s="98">
        <v>3.6399999999999998E-11</v>
      </c>
      <c r="AI450" s="98"/>
      <c r="AJ450" s="483">
        <f t="shared" si="119"/>
        <v>-8.827464942663596</v>
      </c>
      <c r="AK450" s="483"/>
      <c r="AL450" s="483">
        <f t="shared" si="120"/>
        <v>-8.827464942663596</v>
      </c>
      <c r="AM450" s="483">
        <v>-16.673349999999999</v>
      </c>
      <c r="AN450" s="226">
        <v>-9.83</v>
      </c>
      <c r="AO450" s="484">
        <v>10.27</v>
      </c>
      <c r="AP450" s="484"/>
      <c r="AQ450" s="48" t="s">
        <v>6311</v>
      </c>
      <c r="AR450" s="48" t="s">
        <v>6311</v>
      </c>
      <c r="AS450" s="227"/>
      <c r="AT450" s="50" t="s">
        <v>266</v>
      </c>
      <c r="AU450" s="48">
        <v>6</v>
      </c>
      <c r="AV450" s="48">
        <v>120</v>
      </c>
      <c r="AW450" s="48">
        <v>114</v>
      </c>
      <c r="AX450" s="48">
        <v>28</v>
      </c>
      <c r="AY450" s="48" t="s">
        <v>8728</v>
      </c>
      <c r="AZ450" s="48" t="s">
        <v>1563</v>
      </c>
      <c r="BA450" s="48">
        <v>32</v>
      </c>
      <c r="BB450" s="47" t="s">
        <v>2485</v>
      </c>
      <c r="BC450" s="47" t="s">
        <v>8726</v>
      </c>
      <c r="BD450" s="47" t="s">
        <v>8374</v>
      </c>
      <c r="BE450" s="48" t="s">
        <v>2449</v>
      </c>
      <c r="BF450" s="48" t="s">
        <v>272</v>
      </c>
      <c r="BG450" s="48" t="s">
        <v>272</v>
      </c>
      <c r="BH450" s="48" t="s">
        <v>2486</v>
      </c>
      <c r="BI450" s="98">
        <v>1.7432319999999999E-3</v>
      </c>
      <c r="BJ450" s="98">
        <v>17.432320000000001</v>
      </c>
      <c r="BK450" s="48"/>
      <c r="BL450" s="487">
        <v>4.0500577467933541</v>
      </c>
      <c r="BM450" s="47" t="s">
        <v>2487</v>
      </c>
      <c r="BN450" s="48"/>
      <c r="BO450" s="48"/>
      <c r="BP450" s="48"/>
      <c r="BQ450" s="48"/>
      <c r="BR450" s="47" t="e">
        <v>#VALUE!</v>
      </c>
      <c r="BS450" s="48"/>
      <c r="BT450" s="48"/>
      <c r="BU450" s="228">
        <v>1.7432319999999998E-2</v>
      </c>
      <c r="BV450" s="48"/>
      <c r="BW450" s="48"/>
      <c r="BX450" s="48"/>
      <c r="BY450" s="48"/>
      <c r="BZ450" s="48"/>
      <c r="CA450" s="48"/>
      <c r="CB450" s="48"/>
      <c r="CC450" s="48"/>
      <c r="CD450" s="48"/>
      <c r="CE450" s="48"/>
      <c r="CF450" s="48"/>
      <c r="CG450" s="48"/>
      <c r="CH450" s="48"/>
      <c r="CI450" s="98"/>
      <c r="CJ450" s="98"/>
      <c r="CK450" s="49">
        <f t="shared" si="116"/>
        <v>0.2323303924430801</v>
      </c>
      <c r="CL450" s="229"/>
      <c r="CM450" s="229"/>
      <c r="CN450" s="229"/>
      <c r="CO450" s="47" t="s">
        <v>2488</v>
      </c>
      <c r="CP450" s="500" t="s">
        <v>2489</v>
      </c>
      <c r="CQ450" s="224" t="s">
        <v>272</v>
      </c>
      <c r="CR450" s="224"/>
      <c r="CS450" s="230" t="s">
        <v>539</v>
      </c>
      <c r="CT450" s="230"/>
      <c r="CU450" s="230"/>
      <c r="CV450" s="335">
        <f t="shared" si="117"/>
        <v>0.22372237315515087</v>
      </c>
      <c r="CW450" s="230">
        <f t="shared" si="112"/>
        <v>0</v>
      </c>
      <c r="CX450" s="336"/>
      <c r="CY450" s="230" t="s">
        <v>5921</v>
      </c>
    </row>
    <row r="451" spans="1:103" ht="11.25" customHeight="1" x14ac:dyDescent="0.2">
      <c r="A451" s="72">
        <v>752</v>
      </c>
      <c r="B451" s="224">
        <v>1046</v>
      </c>
      <c r="C451" s="46" t="s">
        <v>629</v>
      </c>
      <c r="D451" s="46"/>
      <c r="E451" s="114"/>
      <c r="F451" s="114" t="s">
        <v>630</v>
      </c>
      <c r="G451" s="225">
        <v>58082</v>
      </c>
      <c r="H451" s="47" t="s">
        <v>631</v>
      </c>
      <c r="I451" s="47" t="s">
        <v>631</v>
      </c>
      <c r="J451" s="47" t="s">
        <v>632</v>
      </c>
      <c r="K451" s="47" t="s">
        <v>333</v>
      </c>
      <c r="L451" s="47" t="s">
        <v>279</v>
      </c>
      <c r="M451" s="47" t="s">
        <v>633</v>
      </c>
      <c r="N451" s="47" t="s">
        <v>6376</v>
      </c>
      <c r="O451" s="47" t="s">
        <v>281</v>
      </c>
      <c r="P451" s="53"/>
      <c r="Q451" s="53" t="s">
        <v>6173</v>
      </c>
      <c r="R451" s="53" t="s">
        <v>6185</v>
      </c>
      <c r="S451" s="53" t="s">
        <v>6176</v>
      </c>
      <c r="T451" s="48">
        <v>194.19</v>
      </c>
      <c r="U451" s="98">
        <v>21600</v>
      </c>
      <c r="V451" s="98">
        <v>2632</v>
      </c>
      <c r="W451" s="98">
        <v>53484.367190123849</v>
      </c>
      <c r="X451" s="98">
        <v>21600</v>
      </c>
      <c r="Y451" s="233">
        <v>7.14</v>
      </c>
      <c r="Z451" s="48">
        <v>0.16</v>
      </c>
      <c r="AA451" s="48">
        <v>-7.0000000000000007E-2</v>
      </c>
      <c r="AB451" s="48">
        <v>0.42</v>
      </c>
      <c r="AC451" s="48">
        <v>0.85360000000000003</v>
      </c>
      <c r="AD451" s="48">
        <v>0.28000000000000003</v>
      </c>
      <c r="AE451" s="48">
        <v>-0.13</v>
      </c>
      <c r="AF451" s="48">
        <f t="shared" si="118"/>
        <v>-7.0000000000000007E-2</v>
      </c>
      <c r="AG451" s="49">
        <v>-0.09</v>
      </c>
      <c r="AH451" s="98">
        <v>3.5800000000000002E-11</v>
      </c>
      <c r="AI451" s="98"/>
      <c r="AJ451" s="483">
        <f t="shared" si="119"/>
        <v>-8.834683299668777</v>
      </c>
      <c r="AK451" s="483"/>
      <c r="AL451" s="483">
        <f t="shared" si="120"/>
        <v>-8.834683299668777</v>
      </c>
      <c r="AM451" s="483">
        <v>-12.930309999999999</v>
      </c>
      <c r="AN451" s="226">
        <v>-6.54</v>
      </c>
      <c r="AO451" s="484"/>
      <c r="AP451" s="484">
        <v>0.52</v>
      </c>
      <c r="AQ451" s="48" t="s">
        <v>6311</v>
      </c>
      <c r="AR451" s="48" t="s">
        <v>6311</v>
      </c>
      <c r="AS451" s="227"/>
      <c r="AT451" s="50" t="s">
        <v>266</v>
      </c>
      <c r="AU451" s="48">
        <v>6</v>
      </c>
      <c r="AV451" s="48">
        <v>120</v>
      </c>
      <c r="AW451" s="48">
        <v>114</v>
      </c>
      <c r="AX451" s="48">
        <v>28</v>
      </c>
      <c r="AY451" s="48" t="s">
        <v>8728</v>
      </c>
      <c r="AZ451" s="48" t="s">
        <v>1563</v>
      </c>
      <c r="BA451" s="48">
        <v>32</v>
      </c>
      <c r="BB451" s="47" t="s">
        <v>2485</v>
      </c>
      <c r="BC451" s="47" t="s">
        <v>8726</v>
      </c>
      <c r="BD451" s="47" t="s">
        <v>8374</v>
      </c>
      <c r="BE451" s="48" t="s">
        <v>2449</v>
      </c>
      <c r="BF451" s="48" t="s">
        <v>272</v>
      </c>
      <c r="BG451" s="48" t="s">
        <v>272</v>
      </c>
      <c r="BH451" s="48" t="s">
        <v>2486</v>
      </c>
      <c r="BI451" s="98">
        <v>1.2428159999999999E-3</v>
      </c>
      <c r="BJ451" s="98">
        <v>12.42816</v>
      </c>
      <c r="BK451" s="48"/>
      <c r="BL451" s="487">
        <v>7166.8920285460554</v>
      </c>
      <c r="BM451" s="47" t="s">
        <v>2487</v>
      </c>
      <c r="BN451" s="48"/>
      <c r="BO451" s="48"/>
      <c r="BP451" s="48"/>
      <c r="BQ451" s="48"/>
      <c r="BR451" s="47" t="e">
        <v>#VALUE!</v>
      </c>
      <c r="BS451" s="48"/>
      <c r="BT451" s="48"/>
      <c r="BU451" s="228">
        <v>1.2428159999999999E-2</v>
      </c>
      <c r="BV451" s="48"/>
      <c r="BW451" s="48"/>
      <c r="BX451" s="48"/>
      <c r="BY451" s="48"/>
      <c r="BZ451" s="48"/>
      <c r="CA451" s="48"/>
      <c r="CB451" s="48"/>
      <c r="CC451" s="48"/>
      <c r="CD451" s="48"/>
      <c r="CE451" s="48"/>
      <c r="CF451" s="48"/>
      <c r="CG451" s="48"/>
      <c r="CH451" s="48"/>
      <c r="CI451" s="98"/>
      <c r="CJ451" s="98"/>
      <c r="CK451" s="49">
        <f t="shared" si="116"/>
        <v>576.66557467445341</v>
      </c>
      <c r="CL451" s="229"/>
      <c r="CM451" s="229"/>
      <c r="CN451" s="229"/>
      <c r="CO451" s="47" t="s">
        <v>2488</v>
      </c>
      <c r="CP451" s="500" t="s">
        <v>2489</v>
      </c>
      <c r="CQ451" s="224">
        <v>2.1789769472931693</v>
      </c>
      <c r="CR451" s="224">
        <f>10^(CJ451-CQ451)</f>
        <v>6.6225165562913907E-3</v>
      </c>
      <c r="CS451" s="230" t="s">
        <v>539</v>
      </c>
      <c r="CT451" s="230"/>
      <c r="CU451" s="230"/>
      <c r="CV451" s="335">
        <f t="shared" si="117"/>
        <v>1737.9885678974201</v>
      </c>
      <c r="CW451" s="230">
        <f t="shared" si="112"/>
        <v>1</v>
      </c>
      <c r="CX451" s="336"/>
      <c r="CY451" s="230" t="s">
        <v>6351</v>
      </c>
    </row>
    <row r="452" spans="1:103" ht="11.25" customHeight="1" x14ac:dyDescent="0.2">
      <c r="A452" s="72">
        <v>753</v>
      </c>
      <c r="B452" s="224">
        <v>1846</v>
      </c>
      <c r="C452" s="46" t="s">
        <v>6975</v>
      </c>
      <c r="D452" s="46"/>
      <c r="E452" s="114"/>
      <c r="F452" s="114" t="s">
        <v>5263</v>
      </c>
      <c r="G452" s="225">
        <v>58140</v>
      </c>
      <c r="H452" s="47" t="s">
        <v>5264</v>
      </c>
      <c r="I452" s="47" t="s">
        <v>7982</v>
      </c>
      <c r="J452" s="47" t="s">
        <v>5265</v>
      </c>
      <c r="K452" s="47" t="s">
        <v>3700</v>
      </c>
      <c r="L452" s="47" t="s">
        <v>279</v>
      </c>
      <c r="M452" s="47" t="s">
        <v>5266</v>
      </c>
      <c r="N452" s="47" t="s">
        <v>6383</v>
      </c>
      <c r="O452" s="47" t="s">
        <v>281</v>
      </c>
      <c r="P452" s="53"/>
      <c r="Q452" s="53"/>
      <c r="R452" s="53"/>
      <c r="S452" s="53"/>
      <c r="T452" s="48">
        <v>248.71</v>
      </c>
      <c r="U452" s="98"/>
      <c r="V452" s="98">
        <v>121.3</v>
      </c>
      <c r="W452" s="98">
        <v>59.661373528933687</v>
      </c>
      <c r="X452" s="98">
        <v>59.661373528933687</v>
      </c>
      <c r="Y452" s="233">
        <v>8.7799999999999994</v>
      </c>
      <c r="Z452" s="48">
        <v>2.41</v>
      </c>
      <c r="AA452" s="48">
        <v>2.69</v>
      </c>
      <c r="AB452" s="48">
        <v>2.5299999999999998</v>
      </c>
      <c r="AC452" s="48">
        <v>0.93810000000000004</v>
      </c>
      <c r="AD452" s="48">
        <v>2.57</v>
      </c>
      <c r="AE452" s="48">
        <v>2.75</v>
      </c>
      <c r="AF452" s="48">
        <f t="shared" si="118"/>
        <v>2.69</v>
      </c>
      <c r="AG452" s="49">
        <v>2.94</v>
      </c>
      <c r="AH452" s="98">
        <v>1.08E-10</v>
      </c>
      <c r="AI452" s="98"/>
      <c r="AJ452" s="483">
        <f t="shared" si="119"/>
        <v>-8.3551425708257021</v>
      </c>
      <c r="AK452" s="483"/>
      <c r="AL452" s="483">
        <f t="shared" si="120"/>
        <v>-8.3551425708257021</v>
      </c>
      <c r="AM452" s="483">
        <v>-14.7592</v>
      </c>
      <c r="AN452" s="226">
        <v>-10.3</v>
      </c>
      <c r="AO452" s="484"/>
      <c r="AP452" s="484">
        <v>7.18</v>
      </c>
      <c r="AQ452" s="226" t="s">
        <v>6311</v>
      </c>
      <c r="AR452" s="226" t="s">
        <v>6311</v>
      </c>
      <c r="AS452" s="224"/>
      <c r="AT452" s="50" t="s">
        <v>266</v>
      </c>
      <c r="AU452" s="48">
        <v>6</v>
      </c>
      <c r="AV452" s="48">
        <v>120</v>
      </c>
      <c r="AW452" s="48">
        <v>114</v>
      </c>
      <c r="AX452" s="48">
        <v>28</v>
      </c>
      <c r="AY452" s="48" t="s">
        <v>8728</v>
      </c>
      <c r="AZ452" s="48" t="s">
        <v>1563</v>
      </c>
      <c r="BA452" s="48">
        <v>32</v>
      </c>
      <c r="BB452" s="47" t="s">
        <v>2485</v>
      </c>
      <c r="BC452" s="47" t="s">
        <v>8726</v>
      </c>
      <c r="BD452" s="47" t="s">
        <v>8374</v>
      </c>
      <c r="BE452" s="48" t="s">
        <v>2449</v>
      </c>
      <c r="BF452" s="48" t="s">
        <v>272</v>
      </c>
      <c r="BG452" s="48" t="s">
        <v>272</v>
      </c>
      <c r="BH452" s="48" t="s">
        <v>2486</v>
      </c>
      <c r="BI452" s="98">
        <v>1.591744E-3</v>
      </c>
      <c r="BJ452" s="98">
        <v>15.917440000000001</v>
      </c>
      <c r="BK452" s="48"/>
      <c r="BL452" s="487">
        <v>87.512934615797803</v>
      </c>
      <c r="BM452" s="47" t="s">
        <v>2487</v>
      </c>
      <c r="BN452" s="48"/>
      <c r="BO452" s="48"/>
      <c r="BP452" s="48"/>
      <c r="BQ452" s="48"/>
      <c r="BR452" s="47" t="e">
        <v>#VALUE!</v>
      </c>
      <c r="BS452" s="48"/>
      <c r="BT452" s="48"/>
      <c r="BU452" s="228"/>
      <c r="BV452" s="48"/>
      <c r="BW452" s="48"/>
      <c r="BX452" s="48"/>
      <c r="BY452" s="48"/>
      <c r="BZ452" s="48"/>
      <c r="CA452" s="48"/>
      <c r="CB452" s="48"/>
      <c r="CC452" s="48"/>
      <c r="CD452" s="48"/>
      <c r="CE452" s="48"/>
      <c r="CF452" s="48"/>
      <c r="CG452" s="48"/>
      <c r="CH452" s="48"/>
      <c r="CI452" s="98"/>
      <c r="CJ452" s="98"/>
      <c r="CK452" s="49">
        <f t="shared" si="116"/>
        <v>5.497927720525273</v>
      </c>
      <c r="CL452" s="229"/>
      <c r="CM452" s="229"/>
      <c r="CN452" s="229"/>
      <c r="CO452" s="47" t="s">
        <v>2488</v>
      </c>
      <c r="CP452" s="500" t="s">
        <v>2489</v>
      </c>
      <c r="CQ452" s="224" t="s">
        <v>272</v>
      </c>
      <c r="CR452" s="224"/>
      <c r="CS452" s="230" t="s">
        <v>539</v>
      </c>
      <c r="CT452" s="230"/>
      <c r="CU452" s="230"/>
      <c r="CV452" s="335">
        <f t="shared" si="117"/>
        <v>3.7481764359679497</v>
      </c>
      <c r="CW452" s="230">
        <f t="shared" si="112"/>
        <v>1</v>
      </c>
      <c r="CX452" s="336"/>
      <c r="CY452" s="230" t="s">
        <v>5921</v>
      </c>
    </row>
    <row r="453" spans="1:103" ht="11.25" customHeight="1" x14ac:dyDescent="0.2">
      <c r="A453" s="72">
        <v>754</v>
      </c>
      <c r="B453" s="224">
        <v>911</v>
      </c>
      <c r="C453" s="46" t="s">
        <v>6976</v>
      </c>
      <c r="D453" s="46"/>
      <c r="E453" s="114"/>
      <c r="F453" s="114" t="s">
        <v>2599</v>
      </c>
      <c r="G453" s="225">
        <v>58184</v>
      </c>
      <c r="H453" s="47" t="s">
        <v>2600</v>
      </c>
      <c r="I453" s="47" t="s">
        <v>2600</v>
      </c>
      <c r="J453" s="47" t="s">
        <v>2601</v>
      </c>
      <c r="K453" s="47" t="s">
        <v>371</v>
      </c>
      <c r="L453" s="47"/>
      <c r="M453" s="47" t="s">
        <v>2602</v>
      </c>
      <c r="N453" s="47" t="s">
        <v>6386</v>
      </c>
      <c r="O453" s="47" t="s">
        <v>2603</v>
      </c>
      <c r="P453" s="53"/>
      <c r="Q453" s="53"/>
      <c r="R453" s="53"/>
      <c r="S453" s="53"/>
      <c r="T453" s="48">
        <v>302.45</v>
      </c>
      <c r="U453" s="98">
        <v>33.9</v>
      </c>
      <c r="V453" s="98">
        <v>51.920000000000009</v>
      </c>
      <c r="W453" s="98">
        <v>6.6168850316354106</v>
      </c>
      <c r="X453" s="98">
        <v>33.9</v>
      </c>
      <c r="Y453" s="233">
        <v>7</v>
      </c>
      <c r="Z453" s="48">
        <v>3.72</v>
      </c>
      <c r="AA453" s="48">
        <v>3.36</v>
      </c>
      <c r="AB453" s="48">
        <v>3.37</v>
      </c>
      <c r="AC453" s="48">
        <v>0.87990000000000002</v>
      </c>
      <c r="AD453" s="48">
        <v>3.53</v>
      </c>
      <c r="AE453" s="48">
        <v>4.0199999999999996</v>
      </c>
      <c r="AF453" s="48">
        <f t="shared" si="118"/>
        <v>3.36</v>
      </c>
      <c r="AG453" s="49">
        <v>3.56</v>
      </c>
      <c r="AH453" s="98">
        <v>4.6800000000000004E-9</v>
      </c>
      <c r="AI453" s="98"/>
      <c r="AJ453" s="483">
        <f t="shared" si="119"/>
        <v>-6.7183204732385278</v>
      </c>
      <c r="AK453" s="483"/>
      <c r="AL453" s="483">
        <f t="shared" si="120"/>
        <v>-6.7183204732385278</v>
      </c>
      <c r="AM453" s="483">
        <v>-14.637619999999998</v>
      </c>
      <c r="AN453" s="226">
        <v>-8.0399999999999991</v>
      </c>
      <c r="AO453" s="484">
        <v>15.13</v>
      </c>
      <c r="AP453" s="484"/>
      <c r="AQ453" s="48" t="s">
        <v>6311</v>
      </c>
      <c r="AR453" s="48" t="s">
        <v>6311</v>
      </c>
      <c r="AS453" s="227"/>
      <c r="AT453" s="50" t="s">
        <v>266</v>
      </c>
      <c r="AU453" s="48">
        <v>6</v>
      </c>
      <c r="AV453" s="48">
        <v>120</v>
      </c>
      <c r="AW453" s="48">
        <v>114</v>
      </c>
      <c r="AX453" s="48">
        <v>28</v>
      </c>
      <c r="AY453" s="48" t="s">
        <v>8728</v>
      </c>
      <c r="AZ453" s="48" t="s">
        <v>1563</v>
      </c>
      <c r="BA453" s="48">
        <v>32</v>
      </c>
      <c r="BB453" s="47" t="s">
        <v>2485</v>
      </c>
      <c r="BC453" s="47" t="s">
        <v>8726</v>
      </c>
      <c r="BD453" s="47" t="s">
        <v>8374</v>
      </c>
      <c r="BE453" s="48" t="s">
        <v>2449</v>
      </c>
      <c r="BF453" s="48" t="s">
        <v>272</v>
      </c>
      <c r="BG453" s="48" t="s">
        <v>272</v>
      </c>
      <c r="BH453" s="48" t="s">
        <v>2486</v>
      </c>
      <c r="BI453" s="98">
        <v>1.9356799999999997E-3</v>
      </c>
      <c r="BJ453" s="98">
        <v>19.3568</v>
      </c>
      <c r="BK453" s="48"/>
      <c r="BL453" s="487">
        <v>7.0879653995699732</v>
      </c>
      <c r="BM453" s="47" t="s">
        <v>2487</v>
      </c>
      <c r="BN453" s="48"/>
      <c r="BO453" s="48"/>
      <c r="BP453" s="48"/>
      <c r="BQ453" s="48"/>
      <c r="BR453" s="47" t="e">
        <v>#VALUE!</v>
      </c>
      <c r="BS453" s="48"/>
      <c r="BT453" s="48"/>
      <c r="BU453" s="228">
        <v>17.711472000000001</v>
      </c>
      <c r="BV453" s="48"/>
      <c r="BW453" s="48"/>
      <c r="BX453" s="48"/>
      <c r="BY453" s="48"/>
      <c r="BZ453" s="48"/>
      <c r="CA453" s="48"/>
      <c r="CB453" s="48"/>
      <c r="CC453" s="48"/>
      <c r="CD453" s="48"/>
      <c r="CE453" s="48"/>
      <c r="CF453" s="48"/>
      <c r="CG453" s="48"/>
      <c r="CH453" s="48"/>
      <c r="CI453" s="98"/>
      <c r="CJ453" s="98"/>
      <c r="CK453" s="49">
        <f t="shared" si="116"/>
        <v>0.3661744399678652</v>
      </c>
      <c r="CL453" s="229"/>
      <c r="CM453" s="229"/>
      <c r="CN453" s="229"/>
      <c r="CO453" s="47" t="s">
        <v>2488</v>
      </c>
      <c r="CP453" s="500" t="s">
        <v>2489</v>
      </c>
      <c r="CQ453" s="224" t="s">
        <v>272</v>
      </c>
      <c r="CR453" s="224"/>
      <c r="CS453" s="230" t="s">
        <v>539</v>
      </c>
      <c r="CT453" s="230"/>
      <c r="CU453" s="230"/>
      <c r="CV453" s="335">
        <f t="shared" si="117"/>
        <v>1.7513225326500248</v>
      </c>
      <c r="CW453" s="230">
        <f t="shared" si="112"/>
        <v>1</v>
      </c>
      <c r="CX453" s="336"/>
      <c r="CY453" s="230" t="s">
        <v>5921</v>
      </c>
    </row>
    <row r="454" spans="1:103" ht="11.25" customHeight="1" x14ac:dyDescent="0.2">
      <c r="A454" s="72">
        <v>755</v>
      </c>
      <c r="B454" s="224">
        <v>1894</v>
      </c>
      <c r="C454" s="46" t="s">
        <v>2238</v>
      </c>
      <c r="D454" s="46" t="s">
        <v>8354</v>
      </c>
      <c r="E454" s="114"/>
      <c r="F454" s="114" t="s">
        <v>2239</v>
      </c>
      <c r="G454" s="225">
        <v>58559</v>
      </c>
      <c r="H454" s="47" t="s">
        <v>2240</v>
      </c>
      <c r="I454" s="47" t="s">
        <v>2240</v>
      </c>
      <c r="J454" s="47" t="s">
        <v>2241</v>
      </c>
      <c r="K454" s="47" t="s">
        <v>333</v>
      </c>
      <c r="L454" s="47" t="s">
        <v>279</v>
      </c>
      <c r="M454" s="47" t="s">
        <v>2242</v>
      </c>
      <c r="N454" s="47"/>
      <c r="O454" s="47" t="s">
        <v>281</v>
      </c>
      <c r="P454" s="53"/>
      <c r="Q454" s="53"/>
      <c r="R454" s="53"/>
      <c r="S454" s="53"/>
      <c r="T454" s="48">
        <v>180.16</v>
      </c>
      <c r="U454" s="98">
        <v>7360.0000000000009</v>
      </c>
      <c r="V454" s="98">
        <v>2912.0000000000005</v>
      </c>
      <c r="W454" s="98">
        <v>9454.9312038599001</v>
      </c>
      <c r="X454" s="98">
        <v>7360.0000000000009</v>
      </c>
      <c r="Y454" s="233">
        <v>5.28</v>
      </c>
      <c r="Z454" s="48">
        <v>-0.39</v>
      </c>
      <c r="AA454" s="48">
        <v>-0.04</v>
      </c>
      <c r="AB454" s="48">
        <v>0.1</v>
      </c>
      <c r="AC454" s="48">
        <v>0.69630000000000003</v>
      </c>
      <c r="AD454" s="48">
        <v>0</v>
      </c>
      <c r="AE454" s="48">
        <v>-0.17</v>
      </c>
      <c r="AF454" s="48">
        <f t="shared" si="118"/>
        <v>-0.04</v>
      </c>
      <c r="AG454" s="49">
        <v>-0.21</v>
      </c>
      <c r="AH454" s="98">
        <v>1.6799999999999999E-12</v>
      </c>
      <c r="AI454" s="98"/>
      <c r="AJ454" s="483">
        <f t="shared" si="119"/>
        <v>-10.163257044586789</v>
      </c>
      <c r="AK454" s="483"/>
      <c r="AL454" s="483">
        <f t="shared" si="120"/>
        <v>-10.163257044586789</v>
      </c>
      <c r="AM454" s="483">
        <v>-15.289169999999999</v>
      </c>
      <c r="AN454" s="226">
        <v>-9.16</v>
      </c>
      <c r="AO454" s="484">
        <v>8.6</v>
      </c>
      <c r="AP454" s="484">
        <v>1.64</v>
      </c>
      <c r="AQ454" s="226" t="s">
        <v>6311</v>
      </c>
      <c r="AR454" s="226" t="s">
        <v>6311</v>
      </c>
      <c r="AS454" s="224"/>
      <c r="AT454" s="50" t="s">
        <v>266</v>
      </c>
      <c r="AU454" s="48">
        <v>6</v>
      </c>
      <c r="AV454" s="48">
        <v>120</v>
      </c>
      <c r="AW454" s="48">
        <v>114</v>
      </c>
      <c r="AX454" s="48">
        <v>28</v>
      </c>
      <c r="AY454" s="48" t="s">
        <v>8728</v>
      </c>
      <c r="AZ454" s="48" t="s">
        <v>1563</v>
      </c>
      <c r="BA454" s="48">
        <v>32</v>
      </c>
      <c r="BB454" s="47" t="s">
        <v>2485</v>
      </c>
      <c r="BC454" s="47" t="s">
        <v>8726</v>
      </c>
      <c r="BD454" s="47" t="s">
        <v>8374</v>
      </c>
      <c r="BE454" s="48" t="s">
        <v>2449</v>
      </c>
      <c r="BF454" s="48" t="s">
        <v>272</v>
      </c>
      <c r="BG454" s="48" t="s">
        <v>272</v>
      </c>
      <c r="BH454" s="48" t="s">
        <v>2486</v>
      </c>
      <c r="BI454" s="98">
        <v>1.1530239999999999E-3</v>
      </c>
      <c r="BJ454" s="98">
        <v>11.530239999999999</v>
      </c>
      <c r="BK454" s="48"/>
      <c r="BL454" s="487">
        <v>20735.636604380754</v>
      </c>
      <c r="BM454" s="47" t="s">
        <v>2487</v>
      </c>
      <c r="BN454" s="48"/>
      <c r="BO454" s="48"/>
      <c r="BP454" s="48"/>
      <c r="BQ454" s="48"/>
      <c r="BR454" s="47" t="e">
        <v>#VALUE!</v>
      </c>
      <c r="BS454" s="48"/>
      <c r="BT454" s="48"/>
      <c r="BU454" s="228"/>
      <c r="BV454" s="48"/>
      <c r="BW454" s="48"/>
      <c r="BX454" s="48"/>
      <c r="BY454" s="48"/>
      <c r="BZ454" s="48"/>
      <c r="CA454" s="48"/>
      <c r="CB454" s="48"/>
      <c r="CC454" s="48"/>
      <c r="CD454" s="48"/>
      <c r="CE454" s="48"/>
      <c r="CF454" s="48"/>
      <c r="CG454" s="48"/>
      <c r="CH454" s="48"/>
      <c r="CI454" s="98"/>
      <c r="CJ454" s="98"/>
      <c r="CK454" s="49">
        <f t="shared" si="116"/>
        <v>1798.3699042154158</v>
      </c>
      <c r="CL454" s="229"/>
      <c r="CM454" s="229"/>
      <c r="CN454" s="229"/>
      <c r="CO454" s="47" t="s">
        <v>2488</v>
      </c>
      <c r="CP454" s="500" t="s">
        <v>2489</v>
      </c>
      <c r="CQ454" s="224" t="s">
        <v>272</v>
      </c>
      <c r="CR454" s="224"/>
      <c r="CS454" s="230" t="s">
        <v>539</v>
      </c>
      <c r="CT454" s="230"/>
      <c r="CU454" s="230"/>
      <c r="CV454" s="335">
        <f t="shared" si="117"/>
        <v>638.32149200710489</v>
      </c>
      <c r="CW454" s="230">
        <f t="shared" si="112"/>
        <v>1</v>
      </c>
      <c r="CX454" s="336"/>
      <c r="CY454" s="230" t="s">
        <v>6351</v>
      </c>
    </row>
    <row r="455" spans="1:103" ht="11.25" customHeight="1" x14ac:dyDescent="0.2">
      <c r="A455" s="72">
        <v>756</v>
      </c>
      <c r="B455" s="224">
        <v>1720</v>
      </c>
      <c r="C455" s="46" t="s">
        <v>1282</v>
      </c>
      <c r="D455" s="46"/>
      <c r="E455" s="114"/>
      <c r="F455" s="114" t="s">
        <v>1283</v>
      </c>
      <c r="G455" s="225">
        <v>58899</v>
      </c>
      <c r="H455" s="47" t="s">
        <v>1284</v>
      </c>
      <c r="I455" s="47" t="s">
        <v>7983</v>
      </c>
      <c r="J455" s="47" t="s">
        <v>1285</v>
      </c>
      <c r="K455" s="47" t="s">
        <v>426</v>
      </c>
      <c r="L455" s="47" t="s">
        <v>617</v>
      </c>
      <c r="M455" s="47" t="s">
        <v>1286</v>
      </c>
      <c r="N455" s="47" t="s">
        <v>6376</v>
      </c>
      <c r="O455" s="47" t="s">
        <v>1287</v>
      </c>
      <c r="P455" s="53" t="s">
        <v>6183</v>
      </c>
      <c r="Q455" s="53" t="s">
        <v>6176</v>
      </c>
      <c r="R455" s="53" t="s">
        <v>6181</v>
      </c>
      <c r="S455" s="53" t="s">
        <v>6173</v>
      </c>
      <c r="T455" s="48">
        <v>290.83</v>
      </c>
      <c r="U455" s="98">
        <v>8</v>
      </c>
      <c r="V455" s="98">
        <v>4.0439999999999996</v>
      </c>
      <c r="W455" s="98">
        <v>6.2178351448993316</v>
      </c>
      <c r="X455" s="98">
        <v>8</v>
      </c>
      <c r="Y455" s="233">
        <v>7</v>
      </c>
      <c r="Z455" s="48">
        <v>4.26</v>
      </c>
      <c r="AA455" s="48">
        <v>4.1399999999999997</v>
      </c>
      <c r="AB455" s="48">
        <v>3.79</v>
      </c>
      <c r="AC455" s="48">
        <v>0.93030000000000002</v>
      </c>
      <c r="AD455" s="48">
        <v>3.82</v>
      </c>
      <c r="AE455" s="48">
        <v>3.99</v>
      </c>
      <c r="AF455" s="48">
        <f t="shared" si="118"/>
        <v>4.1399999999999997</v>
      </c>
      <c r="AG455" s="49">
        <v>3.92</v>
      </c>
      <c r="AH455" s="98">
        <v>2.5599999999999999E-4</v>
      </c>
      <c r="AI455" s="98">
        <v>5.1399999999999999E-6</v>
      </c>
      <c r="AJ455" s="483">
        <f t="shared" si="119"/>
        <v>-1.9803263610008022</v>
      </c>
      <c r="AK455" s="483">
        <f>LOG10(AI455*1000/(0.08206*298.15))</f>
        <v>-3.6776032073173761</v>
      </c>
      <c r="AL455" s="483">
        <f t="shared" si="120"/>
        <v>-3.6776032073173761</v>
      </c>
      <c r="AM455" s="483">
        <v>-6.2972599999999996</v>
      </c>
      <c r="AN455" s="226">
        <v>-3.77</v>
      </c>
      <c r="AO455" s="484"/>
      <c r="AP455" s="484"/>
      <c r="AQ455" s="226" t="s">
        <v>6311</v>
      </c>
      <c r="AR455" s="226" t="s">
        <v>6312</v>
      </c>
      <c r="AS455" s="224"/>
      <c r="AT455" s="50" t="s">
        <v>266</v>
      </c>
      <c r="AU455" s="48">
        <v>6</v>
      </c>
      <c r="AV455" s="48">
        <v>120</v>
      </c>
      <c r="AW455" s="48">
        <v>114</v>
      </c>
      <c r="AX455" s="48">
        <v>28</v>
      </c>
      <c r="AY455" s="48" t="s">
        <v>8728</v>
      </c>
      <c r="AZ455" s="48" t="s">
        <v>1563</v>
      </c>
      <c r="BA455" s="48">
        <v>32</v>
      </c>
      <c r="BB455" s="47" t="s">
        <v>2485</v>
      </c>
      <c r="BC455" s="47" t="s">
        <v>8726</v>
      </c>
      <c r="BD455" s="47" t="s">
        <v>8374</v>
      </c>
      <c r="BE455" s="48" t="s">
        <v>2449</v>
      </c>
      <c r="BF455" s="48" t="s">
        <v>272</v>
      </c>
      <c r="BG455" s="48" t="s">
        <v>272</v>
      </c>
      <c r="BH455" s="48" t="s">
        <v>2486</v>
      </c>
      <c r="BI455" s="98">
        <v>1.8613119999999997E-3</v>
      </c>
      <c r="BJ455" s="98">
        <v>18.613119999999999</v>
      </c>
      <c r="BK455" s="48"/>
      <c r="BL455" s="487">
        <v>2.231172781737881</v>
      </c>
      <c r="BM455" s="47" t="s">
        <v>2487</v>
      </c>
      <c r="BN455" s="48"/>
      <c r="BO455" s="48"/>
      <c r="BP455" s="48"/>
      <c r="BQ455" s="48"/>
      <c r="BR455" s="47" t="e">
        <v>#VALUE!</v>
      </c>
      <c r="BS455" s="48"/>
      <c r="BT455" s="48"/>
      <c r="BU455" s="228"/>
      <c r="BV455" s="48"/>
      <c r="BW455" s="48"/>
      <c r="BX455" s="48"/>
      <c r="BY455" s="48"/>
      <c r="BZ455" s="48"/>
      <c r="CA455" s="48"/>
      <c r="CB455" s="48"/>
      <c r="CC455" s="48"/>
      <c r="CD455" s="48"/>
      <c r="CE455" s="48"/>
      <c r="CF455" s="48"/>
      <c r="CG455" s="48"/>
      <c r="CH455" s="48"/>
      <c r="CI455" s="98"/>
      <c r="CJ455" s="98"/>
      <c r="CK455" s="49">
        <f t="shared" si="116"/>
        <v>0.11987097175206957</v>
      </c>
      <c r="CL455" s="229"/>
      <c r="CM455" s="229">
        <v>-1.4143096872808381</v>
      </c>
      <c r="CN455" s="229">
        <f>BJ455/(10^CM455)</f>
        <v>483.20215729547579</v>
      </c>
      <c r="CO455" s="47" t="s">
        <v>2488</v>
      </c>
      <c r="CP455" s="500" t="s">
        <v>2489</v>
      </c>
      <c r="CQ455" s="224">
        <v>-1.1048390316279795</v>
      </c>
      <c r="CR455" s="224">
        <f>10^(CJ455-CQ455)</f>
        <v>12.730311530019938</v>
      </c>
      <c r="CS455" s="230" t="s">
        <v>539</v>
      </c>
      <c r="CT455" s="230"/>
      <c r="CU455" s="230"/>
      <c r="CV455" s="335">
        <f t="shared" si="117"/>
        <v>0.4298043530584878</v>
      </c>
      <c r="CW455" s="230">
        <f t="shared" si="112"/>
        <v>0</v>
      </c>
      <c r="CX455" s="336"/>
      <c r="CY455" s="230" t="s">
        <v>5921</v>
      </c>
    </row>
    <row r="456" spans="1:103" ht="11.25" customHeight="1" x14ac:dyDescent="0.2">
      <c r="A456" s="72">
        <v>757</v>
      </c>
      <c r="B456" s="224">
        <v>1699</v>
      </c>
      <c r="C456" s="46" t="s">
        <v>6977</v>
      </c>
      <c r="D456" s="46"/>
      <c r="E456" s="114"/>
      <c r="F456" s="114" t="s">
        <v>4955</v>
      </c>
      <c r="G456" s="225">
        <v>58935</v>
      </c>
      <c r="H456" s="47" t="s">
        <v>4956</v>
      </c>
      <c r="I456" s="47" t="s">
        <v>7984</v>
      </c>
      <c r="J456" s="47" t="s">
        <v>4957</v>
      </c>
      <c r="K456" s="47" t="s">
        <v>471</v>
      </c>
      <c r="L456" s="47" t="s">
        <v>279</v>
      </c>
      <c r="M456" s="47" t="s">
        <v>4958</v>
      </c>
      <c r="N456" s="47" t="s">
        <v>6383</v>
      </c>
      <c r="O456" s="47" t="s">
        <v>281</v>
      </c>
      <c r="P456" s="53"/>
      <c r="Q456" s="53"/>
      <c r="R456" s="53"/>
      <c r="S456" s="53"/>
      <c r="T456" s="48">
        <v>297.74</v>
      </c>
      <c r="U456" s="98">
        <v>722</v>
      </c>
      <c r="V456" s="98">
        <v>1292</v>
      </c>
      <c r="W456" s="98">
        <v>1753.2230994557306</v>
      </c>
      <c r="X456" s="98">
        <v>722</v>
      </c>
      <c r="Y456" s="233">
        <v>5.54</v>
      </c>
      <c r="Z456" s="48">
        <v>-0.1</v>
      </c>
      <c r="AA456" s="48">
        <v>-7.0000000000000007E-2</v>
      </c>
      <c r="AB456" s="48">
        <v>0.03</v>
      </c>
      <c r="AC456" s="48">
        <v>0.91700000000000004</v>
      </c>
      <c r="AD456" s="48">
        <v>0.01</v>
      </c>
      <c r="AE456" s="48">
        <v>-7.0000000000000007E-2</v>
      </c>
      <c r="AF456" s="48">
        <f t="shared" si="118"/>
        <v>-7.0000000000000007E-2</v>
      </c>
      <c r="AG456" s="49">
        <v>-0.3</v>
      </c>
      <c r="AH456" s="98">
        <v>4.3899999999999997E-12</v>
      </c>
      <c r="AI456" s="98"/>
      <c r="AJ456" s="483">
        <f t="shared" si="119"/>
        <v>-9.7461018060705307</v>
      </c>
      <c r="AK456" s="483"/>
      <c r="AL456" s="483">
        <f t="shared" si="120"/>
        <v>-9.7461018060705307</v>
      </c>
      <c r="AM456" s="483">
        <v>-22.838179999999998</v>
      </c>
      <c r="AN456" s="226">
        <v>-21.7</v>
      </c>
      <c r="AO456" s="484">
        <v>8.9499999999999993</v>
      </c>
      <c r="AP456" s="484">
        <v>-4.08</v>
      </c>
      <c r="AQ456" s="226" t="s">
        <v>6311</v>
      </c>
      <c r="AR456" s="226" t="s">
        <v>6311</v>
      </c>
      <c r="AS456" s="224"/>
      <c r="AT456" s="50" t="s">
        <v>266</v>
      </c>
      <c r="AU456" s="48">
        <v>6</v>
      </c>
      <c r="AV456" s="48">
        <v>120</v>
      </c>
      <c r="AW456" s="48">
        <v>114</v>
      </c>
      <c r="AX456" s="48">
        <v>28</v>
      </c>
      <c r="AY456" s="48" t="s">
        <v>8728</v>
      </c>
      <c r="AZ456" s="48" t="s">
        <v>1563</v>
      </c>
      <c r="BA456" s="48">
        <v>32</v>
      </c>
      <c r="BB456" s="47" t="s">
        <v>2485</v>
      </c>
      <c r="BC456" s="47" t="s">
        <v>8726</v>
      </c>
      <c r="BD456" s="47" t="s">
        <v>8374</v>
      </c>
      <c r="BE456" s="48" t="s">
        <v>2449</v>
      </c>
      <c r="BF456" s="48" t="s">
        <v>272</v>
      </c>
      <c r="BG456" s="48" t="s">
        <v>272</v>
      </c>
      <c r="BH456" s="48" t="s">
        <v>2486</v>
      </c>
      <c r="BI456" s="98">
        <v>1.905536E-3</v>
      </c>
      <c r="BJ456" s="98">
        <v>19.05536</v>
      </c>
      <c r="BK456" s="48"/>
      <c r="BL456" s="487">
        <v>18812.529070107474</v>
      </c>
      <c r="BM456" s="47" t="s">
        <v>2487</v>
      </c>
      <c r="BN456" s="48"/>
      <c r="BO456" s="48"/>
      <c r="BP456" s="48"/>
      <c r="BQ456" s="48"/>
      <c r="BR456" s="47" t="e">
        <v>#VALUE!</v>
      </c>
      <c r="BS456" s="48"/>
      <c r="BT456" s="48"/>
      <c r="BU456" s="228"/>
      <c r="BV456" s="48"/>
      <c r="BW456" s="48"/>
      <c r="BX456" s="48"/>
      <c r="BY456" s="48"/>
      <c r="BZ456" s="48"/>
      <c r="CA456" s="48"/>
      <c r="CB456" s="48"/>
      <c r="CC456" s="48"/>
      <c r="CD456" s="48"/>
      <c r="CE456" s="48"/>
      <c r="CF456" s="48"/>
      <c r="CG456" s="48"/>
      <c r="CH456" s="48"/>
      <c r="CI456" s="98"/>
      <c r="CJ456" s="98"/>
      <c r="CK456" s="49">
        <f t="shared" si="116"/>
        <v>987.25655511664297</v>
      </c>
      <c r="CL456" s="229"/>
      <c r="CM456" s="229"/>
      <c r="CN456" s="229"/>
      <c r="CO456" s="47" t="s">
        <v>2488</v>
      </c>
      <c r="CP456" s="500" t="s">
        <v>2489</v>
      </c>
      <c r="CQ456" s="224" t="s">
        <v>272</v>
      </c>
      <c r="CR456" s="224"/>
      <c r="CS456" s="230" t="s">
        <v>539</v>
      </c>
      <c r="CT456" s="230"/>
      <c r="CU456" s="230"/>
      <c r="CV456" s="335">
        <f t="shared" si="117"/>
        <v>37.889601665882985</v>
      </c>
      <c r="CW456" s="230">
        <f t="shared" si="112"/>
        <v>1</v>
      </c>
      <c r="CX456" s="336"/>
      <c r="CY456" s="230" t="s">
        <v>5921</v>
      </c>
    </row>
    <row r="457" spans="1:103" ht="11.25" customHeight="1" x14ac:dyDescent="0.2">
      <c r="A457" s="72">
        <v>758</v>
      </c>
      <c r="B457" s="224">
        <v>1732</v>
      </c>
      <c r="C457" s="46" t="s">
        <v>6978</v>
      </c>
      <c r="D457" s="46"/>
      <c r="E457" s="114"/>
      <c r="F457" s="114" t="s">
        <v>5010</v>
      </c>
      <c r="G457" s="225">
        <v>59052</v>
      </c>
      <c r="H457" s="47" t="s">
        <v>5011</v>
      </c>
      <c r="I457" s="47" t="s">
        <v>5011</v>
      </c>
      <c r="J457" s="47" t="s">
        <v>5012</v>
      </c>
      <c r="K457" s="47" t="s">
        <v>2815</v>
      </c>
      <c r="L457" s="47" t="s">
        <v>279</v>
      </c>
      <c r="M457" s="47" t="s">
        <v>5013</v>
      </c>
      <c r="N457" s="47"/>
      <c r="O457" s="47" t="s">
        <v>281</v>
      </c>
      <c r="P457" s="53"/>
      <c r="Q457" s="53"/>
      <c r="R457" s="53"/>
      <c r="S457" s="53"/>
      <c r="T457" s="48">
        <v>454.44</v>
      </c>
      <c r="U457" s="98"/>
      <c r="V457" s="98">
        <v>2600</v>
      </c>
      <c r="W457" s="98">
        <v>1.6884046951091916</v>
      </c>
      <c r="X457" s="98">
        <v>1.6884046951091916</v>
      </c>
      <c r="Y457" s="233">
        <v>5.37</v>
      </c>
      <c r="Z457" s="48">
        <v>-1.28</v>
      </c>
      <c r="AA457" s="48">
        <v>-1.85</v>
      </c>
      <c r="AB457" s="48">
        <v>-0.67</v>
      </c>
      <c r="AC457" s="48">
        <v>0.79859999999999998</v>
      </c>
      <c r="AD457" s="48">
        <v>-0.56000000000000005</v>
      </c>
      <c r="AE457" s="48">
        <v>-0.24</v>
      </c>
      <c r="AF457" s="48">
        <f t="shared" si="118"/>
        <v>-1.85</v>
      </c>
      <c r="AG457" s="49">
        <v>-0.28000000000000003</v>
      </c>
      <c r="AH457" s="98">
        <v>1.5399999999999999E-31</v>
      </c>
      <c r="AI457" s="98"/>
      <c r="AJ457" s="483">
        <f t="shared" si="119"/>
        <v>-29.201045605476189</v>
      </c>
      <c r="AK457" s="483"/>
      <c r="AL457" s="483">
        <f t="shared" si="120"/>
        <v>-29.201045605476189</v>
      </c>
      <c r="AM457" s="483">
        <v>-38.055599999999998</v>
      </c>
      <c r="AN457" s="226">
        <v>-29.3</v>
      </c>
      <c r="AO457" s="484">
        <v>3.47</v>
      </c>
      <c r="AP457" s="484">
        <v>5.55</v>
      </c>
      <c r="AQ457" s="226" t="s">
        <v>6311</v>
      </c>
      <c r="AR457" s="226" t="s">
        <v>6311</v>
      </c>
      <c r="AS457" s="224"/>
      <c r="AT457" s="50" t="s">
        <v>266</v>
      </c>
      <c r="AU457" s="48">
        <v>6</v>
      </c>
      <c r="AV457" s="48">
        <v>120</v>
      </c>
      <c r="AW457" s="48">
        <v>114</v>
      </c>
      <c r="AX457" s="48">
        <v>28</v>
      </c>
      <c r="AY457" s="48" t="s">
        <v>8728</v>
      </c>
      <c r="AZ457" s="48" t="s">
        <v>1563</v>
      </c>
      <c r="BA457" s="48">
        <v>32</v>
      </c>
      <c r="BB457" s="47" t="s">
        <v>2485</v>
      </c>
      <c r="BC457" s="47" t="s">
        <v>8726</v>
      </c>
      <c r="BD457" s="47" t="s">
        <v>8374</v>
      </c>
      <c r="BE457" s="48" t="s">
        <v>2449</v>
      </c>
      <c r="BF457" s="48" t="s">
        <v>272</v>
      </c>
      <c r="BG457" s="48" t="s">
        <v>272</v>
      </c>
      <c r="BH457" s="48" t="s">
        <v>2486</v>
      </c>
      <c r="BI457" s="98">
        <v>2.908416E-3</v>
      </c>
      <c r="BJ457" s="98">
        <v>29.084160000000001</v>
      </c>
      <c r="BK457" s="48"/>
      <c r="BL457" s="487">
        <v>329491.75471302355</v>
      </c>
      <c r="BM457" s="47" t="s">
        <v>2487</v>
      </c>
      <c r="BN457" s="48"/>
      <c r="BO457" s="48"/>
      <c r="BP457" s="48"/>
      <c r="BQ457" s="48"/>
      <c r="BR457" s="47" t="e">
        <v>#VALUE!</v>
      </c>
      <c r="BS457" s="48"/>
      <c r="BT457" s="48"/>
      <c r="BU457" s="228"/>
      <c r="BV457" s="48"/>
      <c r="BW457" s="48"/>
      <c r="BX457" s="48"/>
      <c r="BY457" s="48"/>
      <c r="BZ457" s="48"/>
      <c r="CA457" s="48"/>
      <c r="CB457" s="48"/>
      <c r="CC457" s="48"/>
      <c r="CD457" s="48"/>
      <c r="CE457" s="48"/>
      <c r="CF457" s="48"/>
      <c r="CG457" s="48"/>
      <c r="CH457" s="48"/>
      <c r="CI457" s="98"/>
      <c r="CJ457" s="98"/>
      <c r="CK457" s="49">
        <f t="shared" si="116"/>
        <v>11328.907374771132</v>
      </c>
      <c r="CL457" s="229"/>
      <c r="CM457" s="229"/>
      <c r="CN457" s="229"/>
      <c r="CO457" s="47" t="s">
        <v>2488</v>
      </c>
      <c r="CP457" s="500" t="s">
        <v>2489</v>
      </c>
      <c r="CQ457" s="224" t="s">
        <v>272</v>
      </c>
      <c r="CR457" s="224"/>
      <c r="CS457" s="230" t="s">
        <v>539</v>
      </c>
      <c r="CT457" s="230"/>
      <c r="CU457" s="230"/>
      <c r="CV457" s="335">
        <f t="shared" si="117"/>
        <v>5.8052379546433233E-2</v>
      </c>
      <c r="CW457" s="230">
        <f t="shared" si="112"/>
        <v>0</v>
      </c>
      <c r="CX457" s="336"/>
      <c r="CY457" s="230" t="s">
        <v>5921</v>
      </c>
    </row>
    <row r="458" spans="1:103" ht="11.25" customHeight="1" x14ac:dyDescent="0.2">
      <c r="A458" s="72">
        <v>759</v>
      </c>
      <c r="B458" s="224">
        <v>1679</v>
      </c>
      <c r="C458" s="46" t="s">
        <v>6979</v>
      </c>
      <c r="D458" s="46"/>
      <c r="E458" s="114"/>
      <c r="F458" s="114" t="s">
        <v>4901</v>
      </c>
      <c r="G458" s="225">
        <v>59303</v>
      </c>
      <c r="H458" s="47" t="s">
        <v>4902</v>
      </c>
      <c r="I458" s="47" t="s">
        <v>4902</v>
      </c>
      <c r="J458" s="47" t="s">
        <v>4903</v>
      </c>
      <c r="K458" s="47" t="s">
        <v>455</v>
      </c>
      <c r="L458" s="47" t="s">
        <v>279</v>
      </c>
      <c r="M458" s="47" t="s">
        <v>4904</v>
      </c>
      <c r="N458" s="47"/>
      <c r="O458" s="47" t="s">
        <v>281</v>
      </c>
      <c r="P458" s="53"/>
      <c r="Q458" s="53"/>
      <c r="R458" s="53"/>
      <c r="S458" s="53"/>
      <c r="T458" s="48">
        <v>441.4</v>
      </c>
      <c r="U458" s="98">
        <v>1.6</v>
      </c>
      <c r="V458" s="98">
        <v>20640</v>
      </c>
      <c r="W458" s="98">
        <v>4952.5894572888665</v>
      </c>
      <c r="X458" s="98">
        <v>1.6</v>
      </c>
      <c r="Y458" s="233">
        <v>2.74</v>
      </c>
      <c r="Z458" s="48">
        <v>-2.81</v>
      </c>
      <c r="AA458" s="48"/>
      <c r="AB458" s="48">
        <v>0.02</v>
      </c>
      <c r="AC458" s="48">
        <v>0.3165</v>
      </c>
      <c r="AD458" s="48">
        <v>-1.63</v>
      </c>
      <c r="AE458" s="48">
        <v>-2.73</v>
      </c>
      <c r="AF458" s="48">
        <f t="shared" si="118"/>
        <v>-1.63</v>
      </c>
      <c r="AG458" s="49">
        <v>-0.96</v>
      </c>
      <c r="AH458" s="98">
        <v>3.5499999999999998E-33</v>
      </c>
      <c r="AI458" s="98"/>
      <c r="AJ458" s="483">
        <f t="shared" si="119"/>
        <v>-30.838337973257559</v>
      </c>
      <c r="AK458" s="483"/>
      <c r="AL458" s="483">
        <f t="shared" si="120"/>
        <v>-30.838337973257559</v>
      </c>
      <c r="AM458" s="483">
        <v>-38.279890000000002</v>
      </c>
      <c r="AN458" s="226">
        <v>-37.6</v>
      </c>
      <c r="AO458" s="484">
        <v>3.48</v>
      </c>
      <c r="AP458" s="484">
        <v>-0.17</v>
      </c>
      <c r="AQ458" s="226" t="s">
        <v>6311</v>
      </c>
      <c r="AR458" s="226" t="s">
        <v>6311</v>
      </c>
      <c r="AS458" s="224"/>
      <c r="AT458" s="50" t="s">
        <v>266</v>
      </c>
      <c r="AU458" s="48">
        <v>6</v>
      </c>
      <c r="AV458" s="48">
        <v>120</v>
      </c>
      <c r="AW458" s="48">
        <v>114</v>
      </c>
      <c r="AX458" s="48">
        <v>28</v>
      </c>
      <c r="AY458" s="48" t="s">
        <v>8728</v>
      </c>
      <c r="AZ458" s="48" t="s">
        <v>1563</v>
      </c>
      <c r="BA458" s="48">
        <v>32</v>
      </c>
      <c r="BB458" s="47" t="s">
        <v>2485</v>
      </c>
      <c r="BC458" s="47" t="s">
        <v>8726</v>
      </c>
      <c r="BD458" s="47" t="s">
        <v>8374</v>
      </c>
      <c r="BE458" s="48" t="s">
        <v>2449</v>
      </c>
      <c r="BF458" s="48" t="s">
        <v>272</v>
      </c>
      <c r="BG458" s="48" t="s">
        <v>272</v>
      </c>
      <c r="BH458" s="48" t="s">
        <v>2486</v>
      </c>
      <c r="BI458" s="98">
        <v>2.8249599999999996E-3</v>
      </c>
      <c r="BJ458" s="98">
        <v>28.249599999999997</v>
      </c>
      <c r="BK458" s="48"/>
      <c r="BL458" s="487">
        <v>7573442.4366057133</v>
      </c>
      <c r="BM458" s="47" t="s">
        <v>2487</v>
      </c>
      <c r="BN458" s="48"/>
      <c r="BO458" s="48"/>
      <c r="BP458" s="48"/>
      <c r="BQ458" s="48"/>
      <c r="BR458" s="47" t="e">
        <v>#VALUE!</v>
      </c>
      <c r="BS458" s="48"/>
      <c r="BT458" s="48"/>
      <c r="BU458" s="228"/>
      <c r="BV458" s="48"/>
      <c r="BW458" s="48"/>
      <c r="BX458" s="48"/>
      <c r="BY458" s="48"/>
      <c r="BZ458" s="48"/>
      <c r="CA458" s="48"/>
      <c r="CB458" s="48"/>
      <c r="CC458" s="48"/>
      <c r="CD458" s="48"/>
      <c r="CE458" s="48"/>
      <c r="CF458" s="48"/>
      <c r="CG458" s="48"/>
      <c r="CH458" s="48"/>
      <c r="CI458" s="98"/>
      <c r="CJ458" s="98"/>
      <c r="CK458" s="49">
        <f t="shared" si="116"/>
        <v>268090.25390114245</v>
      </c>
      <c r="CL458" s="229"/>
      <c r="CM458" s="229"/>
      <c r="CN458" s="229"/>
      <c r="CO458" s="47" t="s">
        <v>2488</v>
      </c>
      <c r="CP458" s="500" t="s">
        <v>2489</v>
      </c>
      <c r="CQ458" s="224" t="s">
        <v>272</v>
      </c>
      <c r="CR458" s="224"/>
      <c r="CS458" s="230" t="s">
        <v>539</v>
      </c>
      <c r="CT458" s="230"/>
      <c r="CU458" s="230"/>
      <c r="CV458" s="335">
        <f t="shared" si="117"/>
        <v>5.6637970095151799E-2</v>
      </c>
      <c r="CW458" s="230">
        <f t="shared" si="112"/>
        <v>0</v>
      </c>
      <c r="CX458" s="336"/>
      <c r="CY458" s="230" t="s">
        <v>5921</v>
      </c>
    </row>
    <row r="459" spans="1:103" ht="11.25" customHeight="1" x14ac:dyDescent="0.2">
      <c r="A459" s="72">
        <v>760</v>
      </c>
      <c r="B459" s="224">
        <v>1452</v>
      </c>
      <c r="C459" s="46" t="s">
        <v>6980</v>
      </c>
      <c r="D459" s="46" t="s">
        <v>8554</v>
      </c>
      <c r="E459" s="114"/>
      <c r="F459" s="114" t="s">
        <v>4464</v>
      </c>
      <c r="G459" s="225">
        <v>59507</v>
      </c>
      <c r="H459" s="47" t="s">
        <v>4465</v>
      </c>
      <c r="I459" s="47" t="s">
        <v>7985</v>
      </c>
      <c r="J459" s="47" t="s">
        <v>4466</v>
      </c>
      <c r="K459" s="47" t="s">
        <v>349</v>
      </c>
      <c r="L459" s="47" t="s">
        <v>6150</v>
      </c>
      <c r="M459" s="47" t="s">
        <v>6082</v>
      </c>
      <c r="N459" s="47" t="s">
        <v>6082</v>
      </c>
      <c r="O459" s="47" t="s">
        <v>6083</v>
      </c>
      <c r="P459" s="53" t="s">
        <v>6184</v>
      </c>
      <c r="Q459" s="53" t="s">
        <v>6179</v>
      </c>
      <c r="R459" s="53" t="s">
        <v>6185</v>
      </c>
      <c r="S459" s="53" t="s">
        <v>6176</v>
      </c>
      <c r="T459" s="48">
        <v>142.58000000000001</v>
      </c>
      <c r="U459" s="98">
        <v>3830</v>
      </c>
      <c r="V459" s="98">
        <v>699.3</v>
      </c>
      <c r="W459" s="98">
        <v>1056.9601420468482</v>
      </c>
      <c r="X459" s="98">
        <v>3830</v>
      </c>
      <c r="Y459" s="233">
        <v>5.88</v>
      </c>
      <c r="Z459" s="48">
        <v>2.7</v>
      </c>
      <c r="AA459" s="48">
        <v>3.1</v>
      </c>
      <c r="AB459" s="48">
        <v>2.82</v>
      </c>
      <c r="AC459" s="48">
        <v>0.87980000000000003</v>
      </c>
      <c r="AD459" s="48">
        <v>2.83</v>
      </c>
      <c r="AE459" s="48">
        <v>2.89</v>
      </c>
      <c r="AF459" s="48">
        <f t="shared" si="118"/>
        <v>3.1</v>
      </c>
      <c r="AG459" s="49">
        <v>2.6</v>
      </c>
      <c r="AH459" s="98">
        <v>4.58E-7</v>
      </c>
      <c r="AI459" s="98">
        <v>2.4499999999999998E-6</v>
      </c>
      <c r="AJ459" s="483">
        <f t="shared" si="119"/>
        <v>-4.7277008483087828</v>
      </c>
      <c r="AK459" s="483">
        <f>LOG10(AI459*1000/(0.08206*298.15))</f>
        <v>-3.9994002419481194</v>
      </c>
      <c r="AL459" s="483">
        <f t="shared" si="120"/>
        <v>-3.9994002419481194</v>
      </c>
      <c r="AM459" s="483">
        <v>-7.6166700000000001</v>
      </c>
      <c r="AN459" s="226">
        <v>-4.8600000000000003</v>
      </c>
      <c r="AO459" s="484">
        <v>9.6300000000000008</v>
      </c>
      <c r="AP459" s="484"/>
      <c r="AQ459" s="48" t="s">
        <v>6311</v>
      </c>
      <c r="AR459" s="48" t="s">
        <v>6311</v>
      </c>
      <c r="AS459" s="227"/>
      <c r="AT459" s="50" t="s">
        <v>266</v>
      </c>
      <c r="AU459" s="48">
        <v>6</v>
      </c>
      <c r="AV459" s="48">
        <v>120</v>
      </c>
      <c r="AW459" s="48">
        <v>114</v>
      </c>
      <c r="AX459" s="48">
        <v>28</v>
      </c>
      <c r="AY459" s="48" t="s">
        <v>8728</v>
      </c>
      <c r="AZ459" s="48" t="s">
        <v>1563</v>
      </c>
      <c r="BA459" s="48">
        <v>32</v>
      </c>
      <c r="BB459" s="47" t="s">
        <v>2485</v>
      </c>
      <c r="BC459" s="47" t="s">
        <v>8726</v>
      </c>
      <c r="BD459" s="47" t="s">
        <v>8374</v>
      </c>
      <c r="BE459" s="48" t="s">
        <v>2449</v>
      </c>
      <c r="BF459" s="48" t="s">
        <v>272</v>
      </c>
      <c r="BG459" s="48" t="s">
        <v>272</v>
      </c>
      <c r="BH459" s="48" t="s">
        <v>2486</v>
      </c>
      <c r="BI459" s="98">
        <v>9.1251200000000009E-4</v>
      </c>
      <c r="BJ459" s="98">
        <v>9.1251200000000008</v>
      </c>
      <c r="BK459" s="48"/>
      <c r="BL459" s="487">
        <v>27.54156473050573</v>
      </c>
      <c r="BM459" s="47" t="s">
        <v>2487</v>
      </c>
      <c r="BN459" s="48"/>
      <c r="BO459" s="48"/>
      <c r="BP459" s="48"/>
      <c r="BQ459" s="48"/>
      <c r="BR459" s="47" t="e">
        <v>#VALUE!</v>
      </c>
      <c r="BS459" s="48"/>
      <c r="BT459" s="48"/>
      <c r="BU459" s="228"/>
      <c r="BV459" s="48"/>
      <c r="BW459" s="48"/>
      <c r="BX459" s="48"/>
      <c r="BY459" s="48"/>
      <c r="BZ459" s="48"/>
      <c r="CA459" s="48"/>
      <c r="CB459" s="48"/>
      <c r="CC459" s="48"/>
      <c r="CD459" s="48"/>
      <c r="CE459" s="48"/>
      <c r="CF459" s="48"/>
      <c r="CG459" s="48"/>
      <c r="CH459" s="48"/>
      <c r="CI459" s="98"/>
      <c r="CJ459" s="98"/>
      <c r="CK459" s="49">
        <f t="shared" si="116"/>
        <v>3.018213977515444</v>
      </c>
      <c r="CL459" s="229"/>
      <c r="CM459" s="229"/>
      <c r="CN459" s="229"/>
      <c r="CO459" s="47" t="s">
        <v>2488</v>
      </c>
      <c r="CP459" s="500" t="s">
        <v>2489</v>
      </c>
      <c r="CQ459" s="224">
        <v>0.35835883569051996</v>
      </c>
      <c r="CR459" s="224">
        <f>10^(CJ459-CQ459)</f>
        <v>0.43816851156105491</v>
      </c>
      <c r="CS459" s="230" t="s">
        <v>539</v>
      </c>
      <c r="CT459" s="230"/>
      <c r="CU459" s="230"/>
      <c r="CV459" s="335">
        <f t="shared" si="117"/>
        <v>419.72050778510305</v>
      </c>
      <c r="CW459" s="230">
        <f t="shared" si="112"/>
        <v>1</v>
      </c>
      <c r="CX459" s="336"/>
      <c r="CY459" s="230" t="s">
        <v>6351</v>
      </c>
    </row>
    <row r="460" spans="1:103" ht="11.25" customHeight="1" x14ac:dyDescent="0.2">
      <c r="A460" s="72">
        <v>761</v>
      </c>
      <c r="B460" s="224">
        <v>1206</v>
      </c>
      <c r="C460" s="46" t="s">
        <v>6981</v>
      </c>
      <c r="D460" s="46"/>
      <c r="E460" s="114"/>
      <c r="F460" s="114" t="s">
        <v>3323</v>
      </c>
      <c r="G460" s="225">
        <v>59676</v>
      </c>
      <c r="H460" s="47" t="s">
        <v>3324</v>
      </c>
      <c r="I460" s="47" t="s">
        <v>3324</v>
      </c>
      <c r="J460" s="47" t="s">
        <v>3325</v>
      </c>
      <c r="K460" s="47" t="s">
        <v>426</v>
      </c>
      <c r="L460" s="47" t="s">
        <v>279</v>
      </c>
      <c r="M460" s="47" t="s">
        <v>8517</v>
      </c>
      <c r="N460" s="47"/>
      <c r="O460" s="47" t="s">
        <v>281</v>
      </c>
      <c r="P460" s="53"/>
      <c r="Q460" s="53"/>
      <c r="R460" s="53"/>
      <c r="S460" s="53"/>
      <c r="T460" s="48">
        <v>123.11</v>
      </c>
      <c r="U460" s="98">
        <v>18000</v>
      </c>
      <c r="V460" s="98">
        <v>48150</v>
      </c>
      <c r="W460" s="98">
        <v>18633.452529498154</v>
      </c>
      <c r="X460" s="98">
        <v>18000</v>
      </c>
      <c r="Y460" s="233">
        <v>3.47</v>
      </c>
      <c r="Z460" s="48">
        <v>0.69</v>
      </c>
      <c r="AA460" s="48">
        <v>0.36</v>
      </c>
      <c r="AB460" s="48">
        <v>0.56999999999999995</v>
      </c>
      <c r="AC460" s="48">
        <v>0.88500000000000001</v>
      </c>
      <c r="AD460" s="48">
        <v>0.47</v>
      </c>
      <c r="AE460" s="48">
        <v>0.15</v>
      </c>
      <c r="AF460" s="48">
        <f t="shared" si="118"/>
        <v>0.36</v>
      </c>
      <c r="AG460" s="49">
        <v>0.44</v>
      </c>
      <c r="AH460" s="98">
        <v>1.42E-10</v>
      </c>
      <c r="AI460" s="98"/>
      <c r="AJ460" s="483">
        <f t="shared" si="119"/>
        <v>-8.2362779819295948</v>
      </c>
      <c r="AK460" s="483"/>
      <c r="AL460" s="483">
        <f t="shared" si="120"/>
        <v>-8.2362779819295948</v>
      </c>
      <c r="AM460" s="483">
        <v>-9.4273600000000002</v>
      </c>
      <c r="AN460" s="226">
        <v>-8.4499999999999993</v>
      </c>
      <c r="AO460" s="484">
        <v>2.2000000000000002</v>
      </c>
      <c r="AP460" s="484">
        <v>4.8</v>
      </c>
      <c r="AQ460" s="48" t="s">
        <v>6311</v>
      </c>
      <c r="AR460" s="48" t="s">
        <v>6311</v>
      </c>
      <c r="AS460" s="227"/>
      <c r="AT460" s="50" t="s">
        <v>266</v>
      </c>
      <c r="AU460" s="48">
        <v>6</v>
      </c>
      <c r="AV460" s="48">
        <v>120</v>
      </c>
      <c r="AW460" s="48">
        <v>114</v>
      </c>
      <c r="AX460" s="48">
        <v>28</v>
      </c>
      <c r="AY460" s="48" t="s">
        <v>8728</v>
      </c>
      <c r="AZ460" s="48" t="s">
        <v>1563</v>
      </c>
      <c r="BA460" s="48">
        <v>32</v>
      </c>
      <c r="BB460" s="47" t="s">
        <v>2485</v>
      </c>
      <c r="BC460" s="47" t="s">
        <v>8726</v>
      </c>
      <c r="BD460" s="47" t="s">
        <v>8374</v>
      </c>
      <c r="BE460" s="48" t="s">
        <v>2449</v>
      </c>
      <c r="BF460" s="48" t="s">
        <v>272</v>
      </c>
      <c r="BG460" s="48" t="s">
        <v>272</v>
      </c>
      <c r="BH460" s="48" t="s">
        <v>2486</v>
      </c>
      <c r="BI460" s="98">
        <v>7.8790399999999997E-4</v>
      </c>
      <c r="BJ460" s="98">
        <v>7.8790399999999998</v>
      </c>
      <c r="BK460" s="48"/>
      <c r="BL460" s="487">
        <v>1518.4634100203134</v>
      </c>
      <c r="BM460" s="47" t="s">
        <v>2487</v>
      </c>
      <c r="BN460" s="48"/>
      <c r="BO460" s="48"/>
      <c r="BP460" s="48"/>
      <c r="BQ460" s="48"/>
      <c r="BR460" s="47" t="e">
        <v>#VALUE!</v>
      </c>
      <c r="BS460" s="48"/>
      <c r="BT460" s="48"/>
      <c r="BU460" s="228">
        <v>0.78790400000000005</v>
      </c>
      <c r="BV460" s="48"/>
      <c r="BW460" s="48"/>
      <c r="BX460" s="48"/>
      <c r="BY460" s="48"/>
      <c r="BZ460" s="48"/>
      <c r="CA460" s="48"/>
      <c r="CB460" s="48"/>
      <c r="CC460" s="48"/>
      <c r="CD460" s="48"/>
      <c r="CE460" s="48"/>
      <c r="CF460" s="48"/>
      <c r="CG460" s="48"/>
      <c r="CH460" s="48"/>
      <c r="CI460" s="98"/>
      <c r="CJ460" s="98"/>
      <c r="CK460" s="49">
        <f t="shared" si="116"/>
        <v>192.7218810946909</v>
      </c>
      <c r="CL460" s="229"/>
      <c r="CM460" s="229"/>
      <c r="CN460" s="229"/>
      <c r="CO460" s="47" t="s">
        <v>2488</v>
      </c>
      <c r="CP460" s="500" t="s">
        <v>2489</v>
      </c>
      <c r="CQ460" s="224" t="s">
        <v>272</v>
      </c>
      <c r="CR460" s="224"/>
      <c r="CS460" s="230" t="s">
        <v>539</v>
      </c>
      <c r="CT460" s="230"/>
      <c r="CU460" s="230"/>
      <c r="CV460" s="335">
        <f t="shared" si="117"/>
        <v>2284.5422792624481</v>
      </c>
      <c r="CW460" s="230">
        <f t="shared" si="112"/>
        <v>1</v>
      </c>
      <c r="CX460" s="336"/>
      <c r="CY460" s="230" t="s">
        <v>6351</v>
      </c>
    </row>
    <row r="461" spans="1:103" ht="11.25" customHeight="1" x14ac:dyDescent="0.2">
      <c r="A461" s="72">
        <v>762</v>
      </c>
      <c r="B461" s="224">
        <v>1780</v>
      </c>
      <c r="C461" s="46" t="s">
        <v>6982</v>
      </c>
      <c r="D461" s="46"/>
      <c r="E461" s="114"/>
      <c r="F461" s="114" t="s">
        <v>5122</v>
      </c>
      <c r="G461" s="225">
        <v>59870</v>
      </c>
      <c r="H461" s="47" t="s">
        <v>5123</v>
      </c>
      <c r="I461" s="47" t="s">
        <v>7986</v>
      </c>
      <c r="J461" s="47" t="s">
        <v>5124</v>
      </c>
      <c r="K461" s="47" t="s">
        <v>2281</v>
      </c>
      <c r="L461" s="47" t="s">
        <v>279</v>
      </c>
      <c r="M461" s="47" t="s">
        <v>5125</v>
      </c>
      <c r="N461" s="47"/>
      <c r="O461" s="47" t="s">
        <v>281</v>
      </c>
      <c r="P461" s="53"/>
      <c r="Q461" s="53"/>
      <c r="R461" s="53"/>
      <c r="S461" s="53"/>
      <c r="T461" s="48">
        <v>198.14</v>
      </c>
      <c r="U461" s="98">
        <v>209.99999999999997</v>
      </c>
      <c r="V461" s="98">
        <v>567.70000000000005</v>
      </c>
      <c r="W461" s="98">
        <v>671.38581097421502</v>
      </c>
      <c r="X461" s="98">
        <v>209.99999999999997</v>
      </c>
      <c r="Y461" s="233">
        <v>6.47</v>
      </c>
      <c r="Z461" s="48">
        <v>0.23</v>
      </c>
      <c r="AA461" s="48">
        <v>0.23</v>
      </c>
      <c r="AB461" s="48">
        <v>0.42</v>
      </c>
      <c r="AC461" s="48">
        <v>0.77129999999999999</v>
      </c>
      <c r="AD461" s="48">
        <v>0.18</v>
      </c>
      <c r="AE461" s="48">
        <v>-0.36</v>
      </c>
      <c r="AF461" s="48">
        <f t="shared" si="118"/>
        <v>0.23</v>
      </c>
      <c r="AG461" s="49">
        <v>0.4</v>
      </c>
      <c r="AH461" s="98">
        <v>3.0999999999999999E-13</v>
      </c>
      <c r="AI461" s="98"/>
      <c r="AJ461" s="483">
        <f t="shared" si="119"/>
        <v>-10.897204632478379</v>
      </c>
      <c r="AK461" s="483"/>
      <c r="AL461" s="483">
        <f t="shared" si="120"/>
        <v>-10.897204632478379</v>
      </c>
      <c r="AM461" s="483">
        <v>-14.329220000000001</v>
      </c>
      <c r="AN461" s="226">
        <v>-11.5</v>
      </c>
      <c r="AO461" s="484">
        <v>10.98</v>
      </c>
      <c r="AP461" s="484">
        <v>-0.45</v>
      </c>
      <c r="AQ461" s="226" t="s">
        <v>6311</v>
      </c>
      <c r="AR461" s="226" t="s">
        <v>6311</v>
      </c>
      <c r="AS461" s="224"/>
      <c r="AT461" s="50" t="s">
        <v>266</v>
      </c>
      <c r="AU461" s="48">
        <v>6</v>
      </c>
      <c r="AV461" s="48">
        <v>120</v>
      </c>
      <c r="AW461" s="48">
        <v>114</v>
      </c>
      <c r="AX461" s="48">
        <v>28</v>
      </c>
      <c r="AY461" s="48" t="s">
        <v>8728</v>
      </c>
      <c r="AZ461" s="48" t="s">
        <v>1563</v>
      </c>
      <c r="BA461" s="48">
        <v>32</v>
      </c>
      <c r="BB461" s="47" t="s">
        <v>2485</v>
      </c>
      <c r="BC461" s="47" t="s">
        <v>8726</v>
      </c>
      <c r="BD461" s="47" t="s">
        <v>8374</v>
      </c>
      <c r="BE461" s="48" t="s">
        <v>2449</v>
      </c>
      <c r="BF461" s="48" t="s">
        <v>272</v>
      </c>
      <c r="BG461" s="48" t="s">
        <v>272</v>
      </c>
      <c r="BH461" s="48" t="s">
        <v>2486</v>
      </c>
      <c r="BI461" s="98">
        <v>1.2680959999999998E-3</v>
      </c>
      <c r="BJ461" s="98">
        <v>12.680959999999999</v>
      </c>
      <c r="BK461" s="48"/>
      <c r="BL461" s="487">
        <v>6327.1649782208788</v>
      </c>
      <c r="BM461" s="47" t="s">
        <v>2487</v>
      </c>
      <c r="BN461" s="48"/>
      <c r="BO461" s="48"/>
      <c r="BP461" s="48"/>
      <c r="BQ461" s="48"/>
      <c r="BR461" s="47" t="e">
        <v>#VALUE!</v>
      </c>
      <c r="BS461" s="48"/>
      <c r="BT461" s="48"/>
      <c r="BU461" s="228"/>
      <c r="BV461" s="48"/>
      <c r="BW461" s="48"/>
      <c r="BX461" s="48"/>
      <c r="BY461" s="48"/>
      <c r="BZ461" s="48"/>
      <c r="CA461" s="48"/>
      <c r="CB461" s="48"/>
      <c r="CC461" s="48"/>
      <c r="CD461" s="48"/>
      <c r="CE461" s="48"/>
      <c r="CF461" s="48"/>
      <c r="CG461" s="48"/>
      <c r="CH461" s="48"/>
      <c r="CI461" s="98"/>
      <c r="CJ461" s="98"/>
      <c r="CK461" s="49">
        <f t="shared" si="116"/>
        <v>498.9499989134008</v>
      </c>
      <c r="CL461" s="229"/>
      <c r="CM461" s="229"/>
      <c r="CN461" s="229"/>
      <c r="CO461" s="47" t="s">
        <v>2488</v>
      </c>
      <c r="CP461" s="500" t="s">
        <v>2489</v>
      </c>
      <c r="CQ461" s="224" t="s">
        <v>272</v>
      </c>
      <c r="CR461" s="224"/>
      <c r="CS461" s="230" t="s">
        <v>539</v>
      </c>
      <c r="CT461" s="230"/>
      <c r="CU461" s="230"/>
      <c r="CV461" s="335">
        <f t="shared" si="117"/>
        <v>16.560260421923893</v>
      </c>
      <c r="CW461" s="230">
        <f t="shared" si="112"/>
        <v>1</v>
      </c>
      <c r="CX461" s="336"/>
      <c r="CY461" s="230" t="s">
        <v>5921</v>
      </c>
    </row>
    <row r="462" spans="1:103" ht="11.25" customHeight="1" x14ac:dyDescent="0.2">
      <c r="A462" s="72">
        <v>763</v>
      </c>
      <c r="B462" s="224">
        <v>1448</v>
      </c>
      <c r="C462" s="46" t="s">
        <v>6983</v>
      </c>
      <c r="D462" s="46"/>
      <c r="E462" s="114"/>
      <c r="F462" s="114" t="s">
        <v>4453</v>
      </c>
      <c r="G462" s="225">
        <v>60093</v>
      </c>
      <c r="H462" s="47" t="s">
        <v>4454</v>
      </c>
      <c r="I462" s="47" t="s">
        <v>4454</v>
      </c>
      <c r="J462" s="47" t="s">
        <v>4455</v>
      </c>
      <c r="K462" s="47" t="s">
        <v>1573</v>
      </c>
      <c r="L462" s="47"/>
      <c r="M462" s="47"/>
      <c r="N462" s="47"/>
      <c r="O462" s="47"/>
      <c r="P462" s="53" t="s">
        <v>6172</v>
      </c>
      <c r="Q462" s="53" t="s">
        <v>6173</v>
      </c>
      <c r="R462" s="53" t="s">
        <v>6185</v>
      </c>
      <c r="S462" s="53" t="s">
        <v>6176</v>
      </c>
      <c r="T462" s="48">
        <v>197.24</v>
      </c>
      <c r="U462" s="98">
        <v>31.999999999999996</v>
      </c>
      <c r="V462" s="98">
        <v>20.46</v>
      </c>
      <c r="W462" s="98">
        <v>15.310698128384296</v>
      </c>
      <c r="X462" s="98">
        <v>31.999999999999996</v>
      </c>
      <c r="Y462" s="233">
        <v>7.02</v>
      </c>
      <c r="Z462" s="48">
        <v>3.19</v>
      </c>
      <c r="AA462" s="48">
        <v>3.41</v>
      </c>
      <c r="AB462" s="48">
        <v>3.29</v>
      </c>
      <c r="AC462" s="48">
        <v>0.85019999999999996</v>
      </c>
      <c r="AD462" s="48">
        <v>3.32</v>
      </c>
      <c r="AE462" s="48">
        <v>3.41</v>
      </c>
      <c r="AF462" s="48">
        <f t="shared" si="118"/>
        <v>3.41</v>
      </c>
      <c r="AG462" s="49">
        <v>2.77</v>
      </c>
      <c r="AH462" s="98">
        <v>5.2000000000000002E-9</v>
      </c>
      <c r="AI462" s="98"/>
      <c r="AJ462" s="483">
        <f t="shared" si="119"/>
        <v>-6.672562982677853</v>
      </c>
      <c r="AK462" s="483"/>
      <c r="AL462" s="483">
        <f t="shared" si="120"/>
        <v>-6.672562982677853</v>
      </c>
      <c r="AM462" s="483">
        <v>-9.5694200000000009</v>
      </c>
      <c r="AN462" s="226">
        <v>-6.18</v>
      </c>
      <c r="AO462" s="484"/>
      <c r="AP462" s="484">
        <v>3.12</v>
      </c>
      <c r="AQ462" s="48" t="s">
        <v>6311</v>
      </c>
      <c r="AR462" s="48" t="s">
        <v>6311</v>
      </c>
      <c r="AS462" s="227"/>
      <c r="AT462" s="50" t="s">
        <v>266</v>
      </c>
      <c r="AU462" s="48">
        <v>6</v>
      </c>
      <c r="AV462" s="48">
        <v>120</v>
      </c>
      <c r="AW462" s="48">
        <v>114</v>
      </c>
      <c r="AX462" s="48">
        <v>28</v>
      </c>
      <c r="AY462" s="48" t="s">
        <v>8728</v>
      </c>
      <c r="AZ462" s="48" t="s">
        <v>1563</v>
      </c>
      <c r="BA462" s="48">
        <v>32</v>
      </c>
      <c r="BB462" s="47" t="s">
        <v>2485</v>
      </c>
      <c r="BC462" s="47" t="s">
        <v>8726</v>
      </c>
      <c r="BD462" s="47" t="s">
        <v>8374</v>
      </c>
      <c r="BE462" s="48" t="s">
        <v>2449</v>
      </c>
      <c r="BF462" s="48" t="s">
        <v>272</v>
      </c>
      <c r="BG462" s="48" t="s">
        <v>272</v>
      </c>
      <c r="BH462" s="48" t="s">
        <v>2486</v>
      </c>
      <c r="BI462" s="98">
        <v>1.262336E-3</v>
      </c>
      <c r="BJ462" s="98">
        <v>12.623360000000002</v>
      </c>
      <c r="BK462" s="48"/>
      <c r="BL462" s="487">
        <v>13.831076832390712</v>
      </c>
      <c r="BM462" s="47" t="s">
        <v>2487</v>
      </c>
      <c r="BN462" s="48"/>
      <c r="BO462" s="48"/>
      <c r="BP462" s="48"/>
      <c r="BQ462" s="48"/>
      <c r="BR462" s="47"/>
      <c r="BS462" s="48"/>
      <c r="BT462" s="48"/>
      <c r="BU462" s="228"/>
      <c r="BV462" s="48"/>
      <c r="BW462" s="48"/>
      <c r="BX462" s="48"/>
      <c r="BY462" s="48"/>
      <c r="BZ462" s="48"/>
      <c r="CA462" s="48"/>
      <c r="CB462" s="48"/>
      <c r="CC462" s="48"/>
      <c r="CD462" s="48"/>
      <c r="CE462" s="48"/>
      <c r="CF462" s="48"/>
      <c r="CG462" s="48"/>
      <c r="CH462" s="48"/>
      <c r="CI462" s="52"/>
      <c r="CJ462" s="98"/>
      <c r="CK462" s="49">
        <f t="shared" si="116"/>
        <v>1.0956731672384143</v>
      </c>
      <c r="CL462" s="229"/>
      <c r="CM462" s="229"/>
      <c r="CN462" s="229"/>
      <c r="CO462" s="47" t="s">
        <v>2488</v>
      </c>
      <c r="CP462" s="500" t="s">
        <v>2489</v>
      </c>
      <c r="CQ462" s="224" t="s">
        <v>272</v>
      </c>
      <c r="CR462" s="224"/>
      <c r="CS462" s="230" t="s">
        <v>539</v>
      </c>
      <c r="CT462" s="230"/>
      <c r="CU462" s="230"/>
      <c r="CV462" s="335">
        <f t="shared" si="117"/>
        <v>2.5349827621172172</v>
      </c>
      <c r="CW462" s="230">
        <f t="shared" si="112"/>
        <v>1</v>
      </c>
      <c r="CX462" s="336"/>
      <c r="CY462" s="230" t="s">
        <v>6351</v>
      </c>
    </row>
    <row r="463" spans="1:103" ht="11.25" customHeight="1" x14ac:dyDescent="0.2">
      <c r="A463" s="72">
        <v>764</v>
      </c>
      <c r="B463" s="224">
        <v>1486</v>
      </c>
      <c r="C463" s="46" t="s">
        <v>6984</v>
      </c>
      <c r="D463" s="46"/>
      <c r="E463" s="114"/>
      <c r="F463" s="114" t="s">
        <v>4567</v>
      </c>
      <c r="G463" s="225">
        <v>60355</v>
      </c>
      <c r="H463" s="47" t="s">
        <v>4568</v>
      </c>
      <c r="I463" s="47" t="s">
        <v>4568</v>
      </c>
      <c r="J463" s="47" t="s">
        <v>4569</v>
      </c>
      <c r="K463" s="47" t="s">
        <v>471</v>
      </c>
      <c r="L463" s="47"/>
      <c r="M463" s="47"/>
      <c r="N463" s="47"/>
      <c r="O463" s="47"/>
      <c r="P463" s="53"/>
      <c r="Q463" s="53"/>
      <c r="R463" s="53"/>
      <c r="S463" s="53"/>
      <c r="T463" s="48">
        <v>59.07</v>
      </c>
      <c r="U463" s="98">
        <v>2250000</v>
      </c>
      <c r="V463" s="98">
        <v>1000000</v>
      </c>
      <c r="W463" s="98">
        <v>129231.07912670006</v>
      </c>
      <c r="X463" s="98">
        <v>2250000</v>
      </c>
      <c r="Y463" s="233">
        <v>7.12</v>
      </c>
      <c r="Z463" s="48">
        <v>-1.1599999999999999</v>
      </c>
      <c r="AA463" s="48">
        <v>-1.26</v>
      </c>
      <c r="AB463" s="48">
        <v>-0.93</v>
      </c>
      <c r="AC463" s="48">
        <v>0.84370000000000001</v>
      </c>
      <c r="AD463" s="48">
        <v>-1.01</v>
      </c>
      <c r="AE463" s="48">
        <v>-1.23</v>
      </c>
      <c r="AF463" s="48">
        <f t="shared" si="118"/>
        <v>-1.26</v>
      </c>
      <c r="AG463" s="49">
        <v>-0.72</v>
      </c>
      <c r="AH463" s="98">
        <v>1.1199999999999999E-8</v>
      </c>
      <c r="AI463" s="98"/>
      <c r="AJ463" s="483">
        <f t="shared" si="119"/>
        <v>-6.3393483036424705</v>
      </c>
      <c r="AK463" s="483"/>
      <c r="AL463" s="483">
        <f t="shared" si="120"/>
        <v>-6.3393483036424705</v>
      </c>
      <c r="AM463" s="483">
        <v>-7.3004100000000003</v>
      </c>
      <c r="AN463" s="226">
        <v>-7.58</v>
      </c>
      <c r="AO463" s="484">
        <v>16.600000000000001</v>
      </c>
      <c r="AP463" s="484">
        <v>-0.47</v>
      </c>
      <c r="AQ463" s="48" t="s">
        <v>6311</v>
      </c>
      <c r="AR463" s="48" t="s">
        <v>6311</v>
      </c>
      <c r="AS463" s="227"/>
      <c r="AT463" s="50" t="s">
        <v>266</v>
      </c>
      <c r="AU463" s="48">
        <v>6</v>
      </c>
      <c r="AV463" s="48">
        <v>120</v>
      </c>
      <c r="AW463" s="48">
        <v>114</v>
      </c>
      <c r="AX463" s="48">
        <v>28</v>
      </c>
      <c r="AY463" s="48" t="s">
        <v>8728</v>
      </c>
      <c r="AZ463" s="48" t="s">
        <v>1563</v>
      </c>
      <c r="BA463" s="48">
        <v>32</v>
      </c>
      <c r="BB463" s="47" t="s">
        <v>2485</v>
      </c>
      <c r="BC463" s="47" t="s">
        <v>8726</v>
      </c>
      <c r="BD463" s="47" t="s">
        <v>8374</v>
      </c>
      <c r="BE463" s="48" t="s">
        <v>2449</v>
      </c>
      <c r="BF463" s="48" t="s">
        <v>272</v>
      </c>
      <c r="BG463" s="48" t="s">
        <v>272</v>
      </c>
      <c r="BH463" s="48" t="s">
        <v>2486</v>
      </c>
      <c r="BI463" s="98">
        <v>3.7804799999999997E-4</v>
      </c>
      <c r="BJ463" s="98">
        <v>3.7804800000000003</v>
      </c>
      <c r="BK463" s="48"/>
      <c r="BL463" s="487">
        <v>33416.654685239184</v>
      </c>
      <c r="BM463" s="47" t="s">
        <v>2487</v>
      </c>
      <c r="BN463" s="48"/>
      <c r="BO463" s="48"/>
      <c r="BP463" s="48"/>
      <c r="BQ463" s="48"/>
      <c r="BR463" s="47" t="e">
        <v>#VALUE!</v>
      </c>
      <c r="BS463" s="48"/>
      <c r="BT463" s="48"/>
      <c r="BU463" s="228"/>
      <c r="BV463" s="48"/>
      <c r="BW463" s="48"/>
      <c r="BX463" s="48"/>
      <c r="BY463" s="48"/>
      <c r="BZ463" s="48"/>
      <c r="CA463" s="48"/>
      <c r="CB463" s="48"/>
      <c r="CC463" s="48"/>
      <c r="CD463" s="48"/>
      <c r="CE463" s="48"/>
      <c r="CF463" s="48"/>
      <c r="CG463" s="48"/>
      <c r="CH463" s="48"/>
      <c r="CI463" s="98"/>
      <c r="CJ463" s="98"/>
      <c r="CK463" s="49">
        <f t="shared" si="116"/>
        <v>8839.2623913469142</v>
      </c>
      <c r="CL463" s="229"/>
      <c r="CM463" s="229"/>
      <c r="CN463" s="229"/>
      <c r="CO463" s="47" t="s">
        <v>2488</v>
      </c>
      <c r="CP463" s="500" t="s">
        <v>2489</v>
      </c>
      <c r="CQ463" s="224" t="s">
        <v>272</v>
      </c>
      <c r="CR463" s="224"/>
      <c r="CS463" s="230" t="s">
        <v>539</v>
      </c>
      <c r="CT463" s="230"/>
      <c r="CU463" s="230"/>
      <c r="CV463" s="335">
        <f t="shared" si="117"/>
        <v>595162.51904520055</v>
      </c>
      <c r="CW463" s="230">
        <f t="shared" si="112"/>
        <v>1</v>
      </c>
      <c r="CX463" s="336"/>
      <c r="CY463" s="230" t="s">
        <v>5921</v>
      </c>
    </row>
    <row r="464" spans="1:103" ht="11.25" customHeight="1" x14ac:dyDescent="0.2">
      <c r="A464" s="72">
        <v>766</v>
      </c>
      <c r="B464" s="224">
        <v>1614</v>
      </c>
      <c r="C464" s="46" t="s">
        <v>6985</v>
      </c>
      <c r="D464" s="46" t="s">
        <v>8555</v>
      </c>
      <c r="E464" s="114"/>
      <c r="F464" s="114" t="s">
        <v>3826</v>
      </c>
      <c r="G464" s="225">
        <v>60515</v>
      </c>
      <c r="H464" s="47" t="s">
        <v>3827</v>
      </c>
      <c r="I464" s="47" t="s">
        <v>3827</v>
      </c>
      <c r="J464" s="47" t="s">
        <v>3828</v>
      </c>
      <c r="K464" s="47" t="s">
        <v>951</v>
      </c>
      <c r="L464" s="47" t="s">
        <v>617</v>
      </c>
      <c r="M464" s="47" t="s">
        <v>618</v>
      </c>
      <c r="N464" s="47" t="s">
        <v>6376</v>
      </c>
      <c r="O464" s="47" t="s">
        <v>1353</v>
      </c>
      <c r="P464" s="53"/>
      <c r="Q464" s="53"/>
      <c r="R464" s="53"/>
      <c r="S464" s="53"/>
      <c r="T464" s="48">
        <v>229.26</v>
      </c>
      <c r="U464" s="98">
        <v>23300</v>
      </c>
      <c r="V464" s="98">
        <v>6626</v>
      </c>
      <c r="W464" s="98">
        <v>6765.9422730553533</v>
      </c>
      <c r="X464" s="98">
        <v>23300</v>
      </c>
      <c r="Y464" s="233">
        <v>7</v>
      </c>
      <c r="Z464" s="48">
        <v>0.72</v>
      </c>
      <c r="AA464" s="48">
        <v>0.78</v>
      </c>
      <c r="AB464" s="48">
        <v>1.31</v>
      </c>
      <c r="AC464" s="48">
        <v>0.73839999999999995</v>
      </c>
      <c r="AD464" s="48">
        <v>1.03</v>
      </c>
      <c r="AE464" s="48">
        <v>0.48</v>
      </c>
      <c r="AF464" s="48">
        <f t="shared" si="118"/>
        <v>0.78</v>
      </c>
      <c r="AG464" s="49">
        <v>1.17</v>
      </c>
      <c r="AH464" s="98">
        <v>2.11E-11</v>
      </c>
      <c r="AI464" s="98">
        <v>2.4299999999999999E-10</v>
      </c>
      <c r="AJ464" s="483">
        <f t="shared" si="119"/>
        <v>-9.0642838710149594</v>
      </c>
      <c r="AK464" s="483">
        <f>LOG10(AI464*1000/(0.08206*298.15))</f>
        <v>-8.0029600527143394</v>
      </c>
      <c r="AL464" s="483">
        <f t="shared" si="120"/>
        <v>-8.0029600527143394</v>
      </c>
      <c r="AM464" s="483">
        <v>-12.755280000000001</v>
      </c>
      <c r="AN464" s="226">
        <v>-8.14</v>
      </c>
      <c r="AO464" s="484">
        <v>14.4</v>
      </c>
      <c r="AP464" s="484">
        <v>-0.98</v>
      </c>
      <c r="AQ464" s="48" t="s">
        <v>6311</v>
      </c>
      <c r="AR464" s="48" t="s">
        <v>6311</v>
      </c>
      <c r="AS464" s="227"/>
      <c r="AT464" s="50" t="s">
        <v>266</v>
      </c>
      <c r="AU464" s="48">
        <v>6</v>
      </c>
      <c r="AV464" s="48">
        <v>120</v>
      </c>
      <c r="AW464" s="48">
        <v>114</v>
      </c>
      <c r="AX464" s="48">
        <v>28</v>
      </c>
      <c r="AY464" s="48" t="s">
        <v>8728</v>
      </c>
      <c r="AZ464" s="48" t="s">
        <v>1563</v>
      </c>
      <c r="BA464" s="48">
        <v>32</v>
      </c>
      <c r="BB464" s="47" t="s">
        <v>2485</v>
      </c>
      <c r="BC464" s="47" t="s">
        <v>8726</v>
      </c>
      <c r="BD464" s="47" t="s">
        <v>8374</v>
      </c>
      <c r="BE464" s="48" t="s">
        <v>2449</v>
      </c>
      <c r="BF464" s="48" t="s">
        <v>272</v>
      </c>
      <c r="BG464" s="48" t="s">
        <v>272</v>
      </c>
      <c r="BH464" s="48" t="s">
        <v>2486</v>
      </c>
      <c r="BI464" s="98">
        <v>1.4672639999999998E-3</v>
      </c>
      <c r="BJ464" s="98">
        <v>14.672639999999999</v>
      </c>
      <c r="BK464" s="48"/>
      <c r="BL464" s="487">
        <v>2657.6408345214077</v>
      </c>
      <c r="BM464" s="47" t="s">
        <v>2487</v>
      </c>
      <c r="BN464" s="48"/>
      <c r="BO464" s="48"/>
      <c r="BP464" s="48"/>
      <c r="BQ464" s="48"/>
      <c r="BR464" s="47" t="e">
        <v>#VALUE!</v>
      </c>
      <c r="BS464" s="48"/>
      <c r="BT464" s="48"/>
      <c r="BU464" s="228"/>
      <c r="BV464" s="48"/>
      <c r="BW464" s="48"/>
      <c r="BX464" s="48"/>
      <c r="BY464" s="48"/>
      <c r="BZ464" s="48"/>
      <c r="CA464" s="48"/>
      <c r="CB464" s="48"/>
      <c r="CC464" s="48"/>
      <c r="CD464" s="48"/>
      <c r="CE464" s="48"/>
      <c r="CF464" s="48"/>
      <c r="CG464" s="48"/>
      <c r="CH464" s="48"/>
      <c r="CI464" s="98"/>
      <c r="CJ464" s="98"/>
      <c r="CK464" s="49">
        <f t="shared" si="116"/>
        <v>181.12901526387941</v>
      </c>
      <c r="CL464" s="229"/>
      <c r="CM464" s="229"/>
      <c r="CN464" s="229"/>
      <c r="CO464" s="47" t="s">
        <v>2488</v>
      </c>
      <c r="CP464" s="500" t="s">
        <v>2489</v>
      </c>
      <c r="CQ464" s="224">
        <v>0.19174998686525094</v>
      </c>
      <c r="CR464" s="224">
        <f>10^(CJ464-CQ464)</f>
        <v>0.64305780405862678</v>
      </c>
      <c r="CS464" s="230" t="s">
        <v>539</v>
      </c>
      <c r="CT464" s="230"/>
      <c r="CU464" s="230"/>
      <c r="CV464" s="335">
        <f t="shared" si="117"/>
        <v>1587.989618773445</v>
      </c>
      <c r="CW464" s="230">
        <f t="shared" si="112"/>
        <v>1</v>
      </c>
      <c r="CX464" s="336"/>
      <c r="CY464" s="230" t="s">
        <v>5921</v>
      </c>
    </row>
    <row r="465" spans="1:103" ht="11.25" customHeight="1" x14ac:dyDescent="0.2">
      <c r="A465" s="72">
        <v>767</v>
      </c>
      <c r="B465" s="224">
        <v>1891</v>
      </c>
      <c r="C465" s="46" t="s">
        <v>6986</v>
      </c>
      <c r="D465" s="46"/>
      <c r="E465" s="114"/>
      <c r="F465" s="114" t="s">
        <v>5358</v>
      </c>
      <c r="G465" s="225">
        <v>60548</v>
      </c>
      <c r="H465" s="47" t="s">
        <v>5359</v>
      </c>
      <c r="I465" s="47" t="s">
        <v>7987</v>
      </c>
      <c r="J465" s="47" t="s">
        <v>5360</v>
      </c>
      <c r="K465" s="47" t="s">
        <v>561</v>
      </c>
      <c r="L465" s="47" t="s">
        <v>279</v>
      </c>
      <c r="M465" s="47" t="s">
        <v>8518</v>
      </c>
      <c r="N465" s="47"/>
      <c r="O465" s="47" t="s">
        <v>281</v>
      </c>
      <c r="P465" s="53"/>
      <c r="Q465" s="53"/>
      <c r="R465" s="53"/>
      <c r="S465" s="53"/>
      <c r="T465" s="48">
        <v>444.43</v>
      </c>
      <c r="U465" s="98">
        <v>231</v>
      </c>
      <c r="V465" s="98">
        <v>3877</v>
      </c>
      <c r="W465" s="98">
        <v>2936.3198909801577</v>
      </c>
      <c r="X465" s="98">
        <v>231</v>
      </c>
      <c r="Y465" s="233">
        <v>5.53</v>
      </c>
      <c r="Z465" s="48">
        <v>-1.33</v>
      </c>
      <c r="AA465" s="48">
        <v>-1.3</v>
      </c>
      <c r="AB465" s="48">
        <v>-0.59</v>
      </c>
      <c r="AC465" s="48">
        <v>0.84519999999999995</v>
      </c>
      <c r="AD465" s="48">
        <v>-0.76</v>
      </c>
      <c r="AE465" s="48">
        <v>-1.47</v>
      </c>
      <c r="AF465" s="48">
        <f t="shared" si="118"/>
        <v>-1.3</v>
      </c>
      <c r="AG465" s="49">
        <v>-1.29</v>
      </c>
      <c r="AH465" s="98">
        <v>4.66E-24</v>
      </c>
      <c r="AI465" s="98"/>
      <c r="AJ465" s="483">
        <f t="shared" si="119"/>
        <v>-21.720180409622653</v>
      </c>
      <c r="AK465" s="483"/>
      <c r="AL465" s="483">
        <f t="shared" si="120"/>
        <v>-21.720180409622653</v>
      </c>
      <c r="AM465" s="483">
        <v>-37.533799999999999</v>
      </c>
      <c r="AN465" s="226">
        <v>-27.6</v>
      </c>
      <c r="AO465" s="484">
        <v>4.5</v>
      </c>
      <c r="AP465" s="484">
        <v>11.02</v>
      </c>
      <c r="AQ465" s="226" t="s">
        <v>6311</v>
      </c>
      <c r="AR465" s="226" t="s">
        <v>6311</v>
      </c>
      <c r="AS465" s="224"/>
      <c r="AT465" s="50" t="s">
        <v>266</v>
      </c>
      <c r="AU465" s="48">
        <v>6</v>
      </c>
      <c r="AV465" s="48">
        <v>120</v>
      </c>
      <c r="AW465" s="48">
        <v>114</v>
      </c>
      <c r="AX465" s="48">
        <v>28</v>
      </c>
      <c r="AY465" s="48" t="s">
        <v>8728</v>
      </c>
      <c r="AZ465" s="48" t="s">
        <v>1563</v>
      </c>
      <c r="BA465" s="48">
        <v>32</v>
      </c>
      <c r="BB465" s="47" t="s">
        <v>2485</v>
      </c>
      <c r="BC465" s="47" t="s">
        <v>8726</v>
      </c>
      <c r="BD465" s="47" t="s">
        <v>8374</v>
      </c>
      <c r="BE465" s="48" t="s">
        <v>2449</v>
      </c>
      <c r="BF465" s="48" t="s">
        <v>272</v>
      </c>
      <c r="BG465" s="48" t="s">
        <v>272</v>
      </c>
      <c r="BH465" s="48" t="s">
        <v>2486</v>
      </c>
      <c r="BI465" s="98">
        <v>2.8443520000000001E-3</v>
      </c>
      <c r="BJ465" s="98">
        <v>28.443519999999999</v>
      </c>
      <c r="BK465" s="48"/>
      <c r="BL465" s="487">
        <v>357335.66714605433</v>
      </c>
      <c r="BM465" s="47" t="s">
        <v>2487</v>
      </c>
      <c r="BN465" s="48"/>
      <c r="BO465" s="48"/>
      <c r="BP465" s="48"/>
      <c r="BQ465" s="48"/>
      <c r="BR465" s="47" t="e">
        <v>#VALUE!</v>
      </c>
      <c r="BS465" s="48"/>
      <c r="BT465" s="48"/>
      <c r="BU465" s="228"/>
      <c r="BV465" s="48"/>
      <c r="BW465" s="48"/>
      <c r="BX465" s="48"/>
      <c r="BY465" s="48"/>
      <c r="BZ465" s="48"/>
      <c r="CA465" s="48"/>
      <c r="CB465" s="48"/>
      <c r="CC465" s="48"/>
      <c r="CD465" s="48"/>
      <c r="CE465" s="48"/>
      <c r="CF465" s="48"/>
      <c r="CG465" s="48"/>
      <c r="CH465" s="48"/>
      <c r="CI465" s="98"/>
      <c r="CJ465" s="98"/>
      <c r="CK465" s="49">
        <f t="shared" si="116"/>
        <v>12562.990345289694</v>
      </c>
      <c r="CL465" s="229"/>
      <c r="CM465" s="229"/>
      <c r="CN465" s="229"/>
      <c r="CO465" s="47" t="s">
        <v>2488</v>
      </c>
      <c r="CP465" s="500" t="s">
        <v>2489</v>
      </c>
      <c r="CQ465" s="224" t="s">
        <v>272</v>
      </c>
      <c r="CR465" s="224"/>
      <c r="CS465" s="230" t="s">
        <v>539</v>
      </c>
      <c r="CT465" s="230"/>
      <c r="CU465" s="230"/>
      <c r="CV465" s="335">
        <f t="shared" si="117"/>
        <v>8.1213576941250594</v>
      </c>
      <c r="CW465" s="230">
        <f t="shared" si="112"/>
        <v>1</v>
      </c>
      <c r="CX465" s="336"/>
      <c r="CY465" s="230" t="s">
        <v>5921</v>
      </c>
    </row>
    <row r="466" spans="1:103" ht="11.25" customHeight="1" x14ac:dyDescent="0.2">
      <c r="A466" s="72">
        <v>768</v>
      </c>
      <c r="B466" s="224">
        <v>1731</v>
      </c>
      <c r="C466" s="46" t="s">
        <v>6987</v>
      </c>
      <c r="D466" s="46"/>
      <c r="E466" s="114"/>
      <c r="F466" s="114" t="s">
        <v>5006</v>
      </c>
      <c r="G466" s="225">
        <v>60560</v>
      </c>
      <c r="H466" s="47" t="s">
        <v>5007</v>
      </c>
      <c r="I466" s="47" t="s">
        <v>5007</v>
      </c>
      <c r="J466" s="47" t="s">
        <v>5008</v>
      </c>
      <c r="K466" s="47" t="s">
        <v>3153</v>
      </c>
      <c r="L466" s="51" t="s">
        <v>279</v>
      </c>
      <c r="M466" s="47" t="s">
        <v>5009</v>
      </c>
      <c r="N466" s="47"/>
      <c r="O466" s="47" t="s">
        <v>281</v>
      </c>
      <c r="P466" s="53"/>
      <c r="Q466" s="53"/>
      <c r="R466" s="53"/>
      <c r="S466" s="53"/>
      <c r="T466" s="48">
        <v>114.17</v>
      </c>
      <c r="U466" s="98"/>
      <c r="V466" s="98">
        <v>102500</v>
      </c>
      <c r="W466" s="98">
        <v>49837.012566859747</v>
      </c>
      <c r="X466" s="98">
        <v>49837.012566859747</v>
      </c>
      <c r="Y466" s="233">
        <v>6.36</v>
      </c>
      <c r="Z466" s="48">
        <v>-0.49</v>
      </c>
      <c r="AA466" s="48">
        <v>-0.34</v>
      </c>
      <c r="AB466" s="48">
        <v>-0.04</v>
      </c>
      <c r="AC466" s="48">
        <v>0.86770000000000003</v>
      </c>
      <c r="AD466" s="48">
        <v>-0.11</v>
      </c>
      <c r="AE466" s="48">
        <v>-0.34</v>
      </c>
      <c r="AF466" s="48">
        <f t="shared" si="118"/>
        <v>-0.34</v>
      </c>
      <c r="AG466" s="49">
        <v>0.91</v>
      </c>
      <c r="AH466" s="98">
        <v>2.03E-6</v>
      </c>
      <c r="AI466" s="98"/>
      <c r="AJ466" s="483">
        <f t="shared" si="119"/>
        <v>-4.081070288399439</v>
      </c>
      <c r="AK466" s="483"/>
      <c r="AL466" s="483">
        <f t="shared" si="120"/>
        <v>-4.081070288399439</v>
      </c>
      <c r="AM466" s="483">
        <v>-8.6419999999999995</v>
      </c>
      <c r="AN466" s="226">
        <v>-9.86</v>
      </c>
      <c r="AO466" s="484">
        <v>12.37</v>
      </c>
      <c r="AP466" s="484">
        <v>-1.63</v>
      </c>
      <c r="AQ466" s="226" t="s">
        <v>6311</v>
      </c>
      <c r="AR466" s="226" t="s">
        <v>6311</v>
      </c>
      <c r="AS466" s="224"/>
      <c r="AT466" s="50" t="s">
        <v>266</v>
      </c>
      <c r="AU466" s="48">
        <v>6</v>
      </c>
      <c r="AV466" s="48">
        <v>120</v>
      </c>
      <c r="AW466" s="48">
        <v>114</v>
      </c>
      <c r="AX466" s="48">
        <v>28</v>
      </c>
      <c r="AY466" s="48" t="s">
        <v>8728</v>
      </c>
      <c r="AZ466" s="48" t="s">
        <v>1563</v>
      </c>
      <c r="BA466" s="48">
        <v>32</v>
      </c>
      <c r="BB466" s="47" t="s">
        <v>2485</v>
      </c>
      <c r="BC466" s="47" t="s">
        <v>8726</v>
      </c>
      <c r="BD466" s="47" t="s">
        <v>8374</v>
      </c>
      <c r="BE466" s="48" t="s">
        <v>2449</v>
      </c>
      <c r="BF466" s="48" t="s">
        <v>272</v>
      </c>
      <c r="BG466" s="48" t="s">
        <v>272</v>
      </c>
      <c r="BH466" s="48" t="s">
        <v>2486</v>
      </c>
      <c r="BI466" s="98">
        <v>7.3068799999999995E-4</v>
      </c>
      <c r="BJ466" s="98">
        <v>7.3068800000000005</v>
      </c>
      <c r="BK466" s="48"/>
      <c r="BL466" s="487">
        <v>16159.242598487801</v>
      </c>
      <c r="BM466" s="47" t="s">
        <v>2487</v>
      </c>
      <c r="BN466" s="48"/>
      <c r="BO466" s="48"/>
      <c r="BP466" s="48"/>
      <c r="BQ466" s="48"/>
      <c r="BR466" s="47" t="e">
        <v>#VALUE!</v>
      </c>
      <c r="BS466" s="48"/>
      <c r="BT466" s="48"/>
      <c r="BU466" s="228"/>
      <c r="BV466" s="48"/>
      <c r="BW466" s="48"/>
      <c r="BX466" s="48"/>
      <c r="BY466" s="48"/>
      <c r="BZ466" s="48"/>
      <c r="CA466" s="48"/>
      <c r="CB466" s="48"/>
      <c r="CC466" s="48"/>
      <c r="CD466" s="48"/>
      <c r="CE466" s="48"/>
      <c r="CF466" s="48"/>
      <c r="CG466" s="48"/>
      <c r="CH466" s="48"/>
      <c r="CI466" s="98"/>
      <c r="CJ466" s="98"/>
      <c r="CK466" s="49">
        <f t="shared" si="116"/>
        <v>2211.5106034980458</v>
      </c>
      <c r="CL466" s="229"/>
      <c r="CM466" s="229"/>
      <c r="CN466" s="229"/>
      <c r="CO466" s="47" t="s">
        <v>2488</v>
      </c>
      <c r="CP466" s="500" t="s">
        <v>2489</v>
      </c>
      <c r="CQ466" s="224" t="s">
        <v>272</v>
      </c>
      <c r="CR466" s="224"/>
      <c r="CS466" s="230" t="s">
        <v>539</v>
      </c>
      <c r="CT466" s="230"/>
      <c r="CU466" s="230"/>
      <c r="CV466" s="335">
        <f t="shared" si="117"/>
        <v>6820.5598787525923</v>
      </c>
      <c r="CW466" s="230">
        <f t="shared" si="112"/>
        <v>1</v>
      </c>
      <c r="CX466" s="336"/>
      <c r="CY466" s="230" t="s">
        <v>5921</v>
      </c>
    </row>
    <row r="467" spans="1:103" ht="11.25" customHeight="1" x14ac:dyDescent="0.2">
      <c r="A467" s="72">
        <v>769</v>
      </c>
      <c r="B467" s="224">
        <v>1100</v>
      </c>
      <c r="C467" s="46" t="s">
        <v>2221</v>
      </c>
      <c r="D467" s="46" t="s">
        <v>6434</v>
      </c>
      <c r="E467" s="114"/>
      <c r="F467" s="114" t="s">
        <v>2222</v>
      </c>
      <c r="G467" s="225">
        <v>60571</v>
      </c>
      <c r="H467" s="47" t="s">
        <v>1703</v>
      </c>
      <c r="I467" s="47" t="s">
        <v>7988</v>
      </c>
      <c r="J467" s="47" t="s">
        <v>2223</v>
      </c>
      <c r="K467" s="47" t="s">
        <v>1705</v>
      </c>
      <c r="L467" s="47" t="s">
        <v>6118</v>
      </c>
      <c r="M467" s="47" t="s">
        <v>1286</v>
      </c>
      <c r="N467" s="47" t="s">
        <v>6376</v>
      </c>
      <c r="O467" s="47" t="s">
        <v>2224</v>
      </c>
      <c r="P467" s="53" t="s">
        <v>6172</v>
      </c>
      <c r="Q467" s="53" t="s">
        <v>6176</v>
      </c>
      <c r="R467" s="53" t="s">
        <v>6181</v>
      </c>
      <c r="S467" s="53" t="s">
        <v>6173</v>
      </c>
      <c r="T467" s="48">
        <v>380.91</v>
      </c>
      <c r="U467" s="98">
        <v>0.25</v>
      </c>
      <c r="V467" s="98">
        <v>0.14549999999999999</v>
      </c>
      <c r="W467" s="98">
        <v>0.16248840450671448</v>
      </c>
      <c r="X467" s="98">
        <v>0.25</v>
      </c>
      <c r="Y467" s="233">
        <v>7</v>
      </c>
      <c r="Z467" s="48">
        <v>5.45</v>
      </c>
      <c r="AA467" s="48">
        <v>5.2</v>
      </c>
      <c r="AB467" s="48">
        <v>4.97</v>
      </c>
      <c r="AC467" s="48">
        <v>0.6804</v>
      </c>
      <c r="AD467" s="48">
        <v>4.9400000000000004</v>
      </c>
      <c r="AE467" s="48">
        <v>4.88</v>
      </c>
      <c r="AF467" s="48">
        <f t="shared" si="118"/>
        <v>5.2</v>
      </c>
      <c r="AG467" s="49">
        <v>4.05</v>
      </c>
      <c r="AH467" s="98">
        <v>5.4099999999999999E-7</v>
      </c>
      <c r="AI467" s="98">
        <v>1.0000000000000001E-5</v>
      </c>
      <c r="AJ467" s="483">
        <f t="shared" si="119"/>
        <v>-4.6553690612060823</v>
      </c>
      <c r="AK467" s="483">
        <f>LOG10(AI467*1000/(0.08206*298.15))</f>
        <v>-3.388566326312652</v>
      </c>
      <c r="AL467" s="483">
        <f t="shared" si="120"/>
        <v>-3.388566326312652</v>
      </c>
      <c r="AM467" s="483">
        <v>-9.114469999999999</v>
      </c>
      <c r="AN467" s="226">
        <v>-4.32</v>
      </c>
      <c r="AO467" s="484"/>
      <c r="AP467" s="484"/>
      <c r="AQ467" s="48" t="s">
        <v>6312</v>
      </c>
      <c r="AR467" s="48" t="s">
        <v>6311</v>
      </c>
      <c r="AS467" s="227"/>
      <c r="AT467" s="50" t="s">
        <v>266</v>
      </c>
      <c r="AU467" s="48">
        <v>6</v>
      </c>
      <c r="AV467" s="48">
        <v>120</v>
      </c>
      <c r="AW467" s="48">
        <v>114</v>
      </c>
      <c r="AX467" s="48">
        <v>28</v>
      </c>
      <c r="AY467" s="48" t="s">
        <v>8728</v>
      </c>
      <c r="AZ467" s="48" t="s">
        <v>1563</v>
      </c>
      <c r="BA467" s="48">
        <v>32</v>
      </c>
      <c r="BB467" s="47" t="s">
        <v>2485</v>
      </c>
      <c r="BC467" s="47" t="s">
        <v>8726</v>
      </c>
      <c r="BD467" s="47" t="s">
        <v>8374</v>
      </c>
      <c r="BE467" s="48" t="s">
        <v>2449</v>
      </c>
      <c r="BF467" s="48" t="s">
        <v>272</v>
      </c>
      <c r="BG467" s="48" t="s">
        <v>272</v>
      </c>
      <c r="BH467" s="48" t="s">
        <v>2486</v>
      </c>
      <c r="BI467" s="98">
        <v>2.4378239999999999E-3</v>
      </c>
      <c r="BJ467" s="98">
        <v>24.378240000000002</v>
      </c>
      <c r="BK467" s="48"/>
      <c r="BL467" s="487">
        <v>0.24944647679838694</v>
      </c>
      <c r="BM467" s="47" t="s">
        <v>2487</v>
      </c>
      <c r="BN467" s="48"/>
      <c r="BO467" s="48"/>
      <c r="BP467" s="48"/>
      <c r="BQ467" s="48"/>
      <c r="BR467" s="47" t="e">
        <v>#VALUE!</v>
      </c>
      <c r="BS467" s="48"/>
      <c r="BT467" s="48"/>
      <c r="BU467" s="228">
        <v>2.4378239999999999E-2</v>
      </c>
      <c r="BV467" s="48"/>
      <c r="BW467" s="48"/>
      <c r="BX467" s="48"/>
      <c r="BY467" s="48"/>
      <c r="BZ467" s="48"/>
      <c r="CA467" s="48"/>
      <c r="CB467" s="48"/>
      <c r="CC467" s="48"/>
      <c r="CD467" s="48"/>
      <c r="CE467" s="48"/>
      <c r="CF467" s="48"/>
      <c r="CG467" s="48"/>
      <c r="CH467" s="48"/>
      <c r="CI467" s="98"/>
      <c r="CJ467" s="98"/>
      <c r="CK467" s="49">
        <f t="shared" si="116"/>
        <v>1.0232341497925483E-2</v>
      </c>
      <c r="CL467" s="229"/>
      <c r="CM467" s="229">
        <v>-2.1633801408079694</v>
      </c>
      <c r="CN467" s="229">
        <f>BJ467/(10^CM467)</f>
        <v>3551.2601589430765</v>
      </c>
      <c r="CO467" s="47" t="s">
        <v>2488</v>
      </c>
      <c r="CP467" s="500" t="s">
        <v>2489</v>
      </c>
      <c r="CQ467" s="224">
        <v>-2.0793624855436361</v>
      </c>
      <c r="CR467" s="224">
        <f>10^(CJ467-CQ467)</f>
        <v>120.05008877419399</v>
      </c>
      <c r="CS467" s="230" t="s">
        <v>539</v>
      </c>
      <c r="CT467" s="230"/>
      <c r="CU467" s="230"/>
      <c r="CV467" s="335">
        <f t="shared" si="117"/>
        <v>1.0255047123992543E-2</v>
      </c>
      <c r="CW467" s="230">
        <f t="shared" si="112"/>
        <v>0</v>
      </c>
      <c r="CX467" s="336"/>
      <c r="CY467" s="230" t="s">
        <v>5921</v>
      </c>
    </row>
    <row r="468" spans="1:103" ht="11.25" customHeight="1" x14ac:dyDescent="0.2">
      <c r="A468" s="72">
        <v>771</v>
      </c>
      <c r="B468" s="224">
        <v>1463</v>
      </c>
      <c r="C468" s="46" t="s">
        <v>6988</v>
      </c>
      <c r="D468" s="46"/>
      <c r="E468" s="114"/>
      <c r="F468" s="114" t="s">
        <v>1748</v>
      </c>
      <c r="G468" s="225">
        <v>62237</v>
      </c>
      <c r="H468" s="47" t="s">
        <v>1749</v>
      </c>
      <c r="I468" s="47" t="s">
        <v>1749</v>
      </c>
      <c r="J468" s="47" t="s">
        <v>1750</v>
      </c>
      <c r="K468" s="47" t="s">
        <v>426</v>
      </c>
      <c r="L468" s="47"/>
      <c r="M468" s="47"/>
      <c r="N468" s="47"/>
      <c r="O468" s="47"/>
      <c r="P468" s="53"/>
      <c r="Q468" s="53"/>
      <c r="R468" s="53"/>
      <c r="S468" s="53"/>
      <c r="T468" s="48">
        <v>167.12</v>
      </c>
      <c r="U468" s="98">
        <v>200</v>
      </c>
      <c r="V468" s="98">
        <v>628.5</v>
      </c>
      <c r="W468" s="98">
        <v>1633.1588436613506</v>
      </c>
      <c r="X468" s="98">
        <v>200</v>
      </c>
      <c r="Y468" s="233">
        <v>2.76</v>
      </c>
      <c r="Z468" s="48">
        <v>1.69</v>
      </c>
      <c r="AA468" s="48">
        <v>1.89</v>
      </c>
      <c r="AB468" s="48">
        <v>1.96</v>
      </c>
      <c r="AC468" s="48">
        <v>0.90569999999999995</v>
      </c>
      <c r="AD468" s="48">
        <v>1.94</v>
      </c>
      <c r="AE468" s="48">
        <v>1.89</v>
      </c>
      <c r="AF468" s="48">
        <f t="shared" si="118"/>
        <v>1.89</v>
      </c>
      <c r="AG468" s="49">
        <v>1.06</v>
      </c>
      <c r="AH468" s="98">
        <v>4.2800000000000002E-10</v>
      </c>
      <c r="AI468" s="98"/>
      <c r="AJ468" s="483">
        <f t="shared" si="119"/>
        <v>-7.7571225572994793</v>
      </c>
      <c r="AK468" s="483"/>
      <c r="AL468" s="483">
        <f t="shared" si="120"/>
        <v>-7.7571225572994793</v>
      </c>
      <c r="AM468" s="483">
        <v>-10.549720000000001</v>
      </c>
      <c r="AN468" s="226">
        <v>-7.79</v>
      </c>
      <c r="AO468" s="484">
        <v>3.42</v>
      </c>
      <c r="AP468" s="484"/>
      <c r="AQ468" s="48" t="s">
        <v>6311</v>
      </c>
      <c r="AR468" s="48" t="s">
        <v>6311</v>
      </c>
      <c r="AS468" s="227"/>
      <c r="AT468" s="50" t="s">
        <v>266</v>
      </c>
      <c r="AU468" s="48">
        <v>6</v>
      </c>
      <c r="AV468" s="48">
        <v>120</v>
      </c>
      <c r="AW468" s="48">
        <v>114</v>
      </c>
      <c r="AX468" s="48">
        <v>28</v>
      </c>
      <c r="AY468" s="48" t="s">
        <v>8728</v>
      </c>
      <c r="AZ468" s="48" t="s">
        <v>1563</v>
      </c>
      <c r="BA468" s="48">
        <v>32</v>
      </c>
      <c r="BB468" s="47" t="s">
        <v>2485</v>
      </c>
      <c r="BC468" s="47" t="s">
        <v>8726</v>
      </c>
      <c r="BD468" s="47" t="s">
        <v>8374</v>
      </c>
      <c r="BE468" s="48" t="s">
        <v>2449</v>
      </c>
      <c r="BF468" s="48" t="s">
        <v>272</v>
      </c>
      <c r="BG468" s="48" t="s">
        <v>272</v>
      </c>
      <c r="BH468" s="48" t="s">
        <v>2486</v>
      </c>
      <c r="BI468" s="98">
        <v>1.0695679999999999E-3</v>
      </c>
      <c r="BJ468" s="98">
        <v>10.695680000000001</v>
      </c>
      <c r="BK468" s="48"/>
      <c r="BL468" s="487">
        <v>260.63901576747332</v>
      </c>
      <c r="BM468" s="47" t="s">
        <v>2487</v>
      </c>
      <c r="BN468" s="48"/>
      <c r="BO468" s="48"/>
      <c r="BP468" s="48"/>
      <c r="BQ468" s="48"/>
      <c r="BR468" s="47" t="e">
        <v>#VALUE!</v>
      </c>
      <c r="BS468" s="48"/>
      <c r="BT468" s="48"/>
      <c r="BU468" s="228"/>
      <c r="BV468" s="48"/>
      <c r="BW468" s="48"/>
      <c r="BX468" s="48"/>
      <c r="BY468" s="48"/>
      <c r="BZ468" s="48"/>
      <c r="CA468" s="48"/>
      <c r="CB468" s="48"/>
      <c r="CC468" s="48"/>
      <c r="CD468" s="48"/>
      <c r="CE468" s="48"/>
      <c r="CF468" s="48"/>
      <c r="CG468" s="48"/>
      <c r="CH468" s="48"/>
      <c r="CI468" s="98"/>
      <c r="CJ468" s="98"/>
      <c r="CK468" s="49">
        <f t="shared" si="116"/>
        <v>24.368625068015618</v>
      </c>
      <c r="CL468" s="229"/>
      <c r="CM468" s="229"/>
      <c r="CN468" s="229"/>
      <c r="CO468" s="47" t="s">
        <v>2488</v>
      </c>
      <c r="CP468" s="500" t="s">
        <v>2489</v>
      </c>
      <c r="CQ468" s="224" t="s">
        <v>272</v>
      </c>
      <c r="CR468" s="224"/>
      <c r="CS468" s="230" t="s">
        <v>539</v>
      </c>
      <c r="CT468" s="230"/>
      <c r="CU468" s="230"/>
      <c r="CV468" s="335">
        <f t="shared" si="117"/>
        <v>18.699138343705119</v>
      </c>
      <c r="CW468" s="230">
        <f t="shared" si="112"/>
        <v>1</v>
      </c>
      <c r="CX468" s="336"/>
      <c r="CY468" s="230" t="s">
        <v>6351</v>
      </c>
    </row>
    <row r="469" spans="1:103" ht="11.25" customHeight="1" x14ac:dyDescent="0.2">
      <c r="A469" s="72">
        <v>773</v>
      </c>
      <c r="B469" s="224">
        <v>1596</v>
      </c>
      <c r="C469" s="46" t="s">
        <v>6989</v>
      </c>
      <c r="D469" s="46"/>
      <c r="E469" s="114"/>
      <c r="F469" s="114" t="s">
        <v>2105</v>
      </c>
      <c r="G469" s="225">
        <v>62737</v>
      </c>
      <c r="H469" s="47" t="s">
        <v>2106</v>
      </c>
      <c r="I469" s="47" t="s">
        <v>7989</v>
      </c>
      <c r="J469" s="47" t="s">
        <v>2107</v>
      </c>
      <c r="K469" s="47" t="s">
        <v>2108</v>
      </c>
      <c r="L469" s="47" t="s">
        <v>617</v>
      </c>
      <c r="M469" s="47" t="s">
        <v>946</v>
      </c>
      <c r="N469" s="47" t="s">
        <v>6376</v>
      </c>
      <c r="O469" s="47" t="s">
        <v>918</v>
      </c>
      <c r="P469" s="53"/>
      <c r="Q469" s="53"/>
      <c r="R469" s="53"/>
      <c r="S469" s="53"/>
      <c r="T469" s="48">
        <v>220.98</v>
      </c>
      <c r="U469" s="98">
        <v>8000</v>
      </c>
      <c r="V469" s="98">
        <v>2043.9999999999998</v>
      </c>
      <c r="W469" s="98">
        <v>55507.666363498698</v>
      </c>
      <c r="X469" s="98">
        <v>8000</v>
      </c>
      <c r="Y469" s="233">
        <v>7</v>
      </c>
      <c r="Z469" s="48">
        <v>0.6</v>
      </c>
      <c r="AA469" s="48">
        <v>1.43</v>
      </c>
      <c r="AB469" s="48">
        <v>1.56</v>
      </c>
      <c r="AC469" s="48">
        <v>0.76459999999999995</v>
      </c>
      <c r="AD469" s="48">
        <v>1.28</v>
      </c>
      <c r="AE469" s="48">
        <v>0.71</v>
      </c>
      <c r="AF469" s="48">
        <f t="shared" si="118"/>
        <v>1.43</v>
      </c>
      <c r="AG469" s="49">
        <v>1.06</v>
      </c>
      <c r="AH469" s="98">
        <v>8.5799999999999998E-7</v>
      </c>
      <c r="AI469" s="98">
        <v>5.7400000000000003E-7</v>
      </c>
      <c r="AJ469" s="483">
        <f t="shared" si="119"/>
        <v>-4.4550790384639463</v>
      </c>
      <c r="AK469" s="483">
        <f>LOG10(AI469*1000/(0.08206*298.15))</f>
        <v>-4.6296544339146779</v>
      </c>
      <c r="AL469" s="483">
        <f t="shared" si="120"/>
        <v>-4.6296544339146779</v>
      </c>
      <c r="AM469" s="483">
        <v>-9.5230700000000006</v>
      </c>
      <c r="AN469" s="226">
        <v>-4.45</v>
      </c>
      <c r="AO469" s="484"/>
      <c r="AP469" s="484"/>
      <c r="AQ469" s="48" t="s">
        <v>6315</v>
      </c>
      <c r="AR469" s="48" t="s">
        <v>6315</v>
      </c>
      <c r="AS469" s="227"/>
      <c r="AT469" s="50" t="s">
        <v>266</v>
      </c>
      <c r="AU469" s="48">
        <v>6</v>
      </c>
      <c r="AV469" s="48">
        <v>120</v>
      </c>
      <c r="AW469" s="48">
        <v>114</v>
      </c>
      <c r="AX469" s="48">
        <v>28</v>
      </c>
      <c r="AY469" s="48" t="s">
        <v>8728</v>
      </c>
      <c r="AZ469" s="48" t="s">
        <v>1563</v>
      </c>
      <c r="BA469" s="48">
        <v>32</v>
      </c>
      <c r="BB469" s="47" t="s">
        <v>2485</v>
      </c>
      <c r="BC469" s="47" t="s">
        <v>8726</v>
      </c>
      <c r="BD469" s="47" t="s">
        <v>8374</v>
      </c>
      <c r="BE469" s="48" t="s">
        <v>2449</v>
      </c>
      <c r="BF469" s="48" t="s">
        <v>272</v>
      </c>
      <c r="BG469" s="48" t="s">
        <v>272</v>
      </c>
      <c r="BH469" s="48" t="s">
        <v>2486</v>
      </c>
      <c r="BI469" s="98">
        <v>1.4142719999999998E-3</v>
      </c>
      <c r="BJ469" s="98">
        <v>14.142719999999999</v>
      </c>
      <c r="BK469" s="48"/>
      <c r="BL469" s="487">
        <v>3283.1669647131121</v>
      </c>
      <c r="BM469" s="47" t="s">
        <v>2487</v>
      </c>
      <c r="BN469" s="48"/>
      <c r="BO469" s="48"/>
      <c r="BP469" s="48"/>
      <c r="BQ469" s="48"/>
      <c r="BR469" s="47" t="e">
        <v>#VALUE!</v>
      </c>
      <c r="BS469" s="48"/>
      <c r="BT469" s="48"/>
      <c r="BU469" s="228"/>
      <c r="BV469" s="48"/>
      <c r="BW469" s="48"/>
      <c r="BX469" s="48"/>
      <c r="BY469" s="48"/>
      <c r="BZ469" s="48"/>
      <c r="CA469" s="48"/>
      <c r="CB469" s="48"/>
      <c r="CC469" s="48"/>
      <c r="CD469" s="48"/>
      <c r="CE469" s="48"/>
      <c r="CF469" s="48"/>
      <c r="CG469" s="48"/>
      <c r="CH469" s="48"/>
      <c r="CI469" s="98"/>
      <c r="CJ469" s="98"/>
      <c r="CK469" s="49">
        <f t="shared" si="116"/>
        <v>232.14536982370521</v>
      </c>
      <c r="CL469" s="229"/>
      <c r="CM469" s="229"/>
      <c r="CN469" s="229"/>
      <c r="CO469" s="47" t="s">
        <v>2488</v>
      </c>
      <c r="CP469" s="500" t="s">
        <v>2489</v>
      </c>
      <c r="CQ469" s="224">
        <v>0.13752884922968245</v>
      </c>
      <c r="CR469" s="224">
        <f>10^(CJ469-CQ469)</f>
        <v>0.72856977561386338</v>
      </c>
      <c r="CS469" s="230" t="s">
        <v>539</v>
      </c>
      <c r="CT469" s="230"/>
      <c r="CU469" s="230"/>
      <c r="CV469" s="335">
        <f t="shared" si="117"/>
        <v>565.6620508643316</v>
      </c>
      <c r="CW469" s="230">
        <f t="shared" si="112"/>
        <v>1</v>
      </c>
      <c r="CX469" s="336"/>
      <c r="CY469" s="230" t="s">
        <v>5921</v>
      </c>
    </row>
    <row r="470" spans="1:103" ht="11.25" customHeight="1" x14ac:dyDescent="0.2">
      <c r="A470" s="72">
        <v>774</v>
      </c>
      <c r="B470" s="224">
        <v>1768</v>
      </c>
      <c r="C470" s="46" t="s">
        <v>6990</v>
      </c>
      <c r="D470" s="46"/>
      <c r="E470" s="114"/>
      <c r="F470" s="114" t="s">
        <v>5095</v>
      </c>
      <c r="G470" s="225">
        <v>62759</v>
      </c>
      <c r="H470" s="47" t="s">
        <v>5096</v>
      </c>
      <c r="I470" s="47" t="s">
        <v>5096</v>
      </c>
      <c r="J470" s="47" t="s">
        <v>5097</v>
      </c>
      <c r="K470" s="47" t="s">
        <v>300</v>
      </c>
      <c r="L470" s="47"/>
      <c r="M470" s="47"/>
      <c r="N470" s="47"/>
      <c r="O470" s="47"/>
      <c r="P470" s="53"/>
      <c r="Q470" s="53"/>
      <c r="R470" s="53"/>
      <c r="S470" s="53"/>
      <c r="T470" s="48">
        <v>74.08</v>
      </c>
      <c r="U470" s="98">
        <v>1000000</v>
      </c>
      <c r="V470" s="98">
        <v>410399.99999999994</v>
      </c>
      <c r="W470" s="98">
        <v>301787.30979728675</v>
      </c>
      <c r="X470" s="98">
        <v>1000000</v>
      </c>
      <c r="Y470" s="233">
        <v>7</v>
      </c>
      <c r="Z470" s="48">
        <v>-0.64</v>
      </c>
      <c r="AA470" s="48">
        <v>-0.56999999999999995</v>
      </c>
      <c r="AB470" s="48">
        <v>-0.09</v>
      </c>
      <c r="AC470" s="48">
        <v>0.8982</v>
      </c>
      <c r="AD470" s="48">
        <v>-0.22</v>
      </c>
      <c r="AE470" s="48">
        <v>-0.64</v>
      </c>
      <c r="AF470" s="48">
        <f t="shared" si="118"/>
        <v>-0.56999999999999995</v>
      </c>
      <c r="AG470" s="49">
        <v>0.01</v>
      </c>
      <c r="AH470" s="98">
        <v>2.0600000000000002E-6</v>
      </c>
      <c r="AI470" s="98">
        <v>1.8199999999999999E-6</v>
      </c>
      <c r="AJ470" s="483">
        <f t="shared" si="119"/>
        <v>-4.0746991059434983</v>
      </c>
      <c r="AK470" s="483">
        <f>LOG10(AI470*1000/(0.08206*298.15))</f>
        <v>-4.1284949383275773</v>
      </c>
      <c r="AL470" s="483">
        <f t="shared" si="120"/>
        <v>-4.1284949383275773</v>
      </c>
      <c r="AM470" s="483">
        <v>-4.8235100000000006</v>
      </c>
      <c r="AN470" s="226">
        <v>-4.68</v>
      </c>
      <c r="AO470" s="484"/>
      <c r="AP470" s="484">
        <v>-3.63</v>
      </c>
      <c r="AQ470" s="226" t="s">
        <v>6311</v>
      </c>
      <c r="AR470" s="226" t="s">
        <v>6311</v>
      </c>
      <c r="AS470" s="224"/>
      <c r="AT470" s="50" t="s">
        <v>266</v>
      </c>
      <c r="AU470" s="48">
        <v>6</v>
      </c>
      <c r="AV470" s="48">
        <v>120</v>
      </c>
      <c r="AW470" s="48">
        <v>114</v>
      </c>
      <c r="AX470" s="48">
        <v>28</v>
      </c>
      <c r="AY470" s="48" t="s">
        <v>8728</v>
      </c>
      <c r="AZ470" s="48" t="s">
        <v>1563</v>
      </c>
      <c r="BA470" s="48">
        <v>32</v>
      </c>
      <c r="BB470" s="47" t="s">
        <v>2485</v>
      </c>
      <c r="BC470" s="47" t="s">
        <v>8726</v>
      </c>
      <c r="BD470" s="47" t="s">
        <v>8374</v>
      </c>
      <c r="BE470" s="48" t="s">
        <v>2449</v>
      </c>
      <c r="BF470" s="48" t="s">
        <v>272</v>
      </c>
      <c r="BG470" s="48" t="s">
        <v>272</v>
      </c>
      <c r="BH470" s="48" t="s">
        <v>2486</v>
      </c>
      <c r="BI470" s="98">
        <v>4.7411199999999995E-4</v>
      </c>
      <c r="BJ470" s="98">
        <v>4.7411199999999996</v>
      </c>
      <c r="BK470" s="48"/>
      <c r="BL470" s="487">
        <v>14298.318723084631</v>
      </c>
      <c r="BM470" s="47" t="s">
        <v>2487</v>
      </c>
      <c r="BN470" s="48"/>
      <c r="BO470" s="48"/>
      <c r="BP470" s="48"/>
      <c r="BQ470" s="48"/>
      <c r="BR470" s="47"/>
      <c r="BS470" s="48"/>
      <c r="BT470" s="48"/>
      <c r="BU470" s="228"/>
      <c r="BV470" s="48"/>
      <c r="BW470" s="48"/>
      <c r="BX470" s="48"/>
      <c r="BY470" s="48"/>
      <c r="BZ470" s="48"/>
      <c r="CA470" s="48"/>
      <c r="CB470" s="48"/>
      <c r="CC470" s="48"/>
      <c r="CD470" s="48"/>
      <c r="CE470" s="48"/>
      <c r="CF470" s="48"/>
      <c r="CG470" s="48"/>
      <c r="CH470" s="48"/>
      <c r="CI470" s="52"/>
      <c r="CJ470" s="98"/>
      <c r="CK470" s="49">
        <f t="shared" si="116"/>
        <v>3015.8103408233987</v>
      </c>
      <c r="CL470" s="229"/>
      <c r="CM470" s="229"/>
      <c r="CN470" s="229"/>
      <c r="CO470" s="47" t="s">
        <v>2488</v>
      </c>
      <c r="CP470" s="500" t="s">
        <v>2489</v>
      </c>
      <c r="CQ470" s="224">
        <v>2.9731278535996988</v>
      </c>
      <c r="CR470" s="224">
        <f>10^(CJ470-CQ470)</f>
        <v>1.0638297872340415E-3</v>
      </c>
      <c r="CS470" s="230" t="s">
        <v>539</v>
      </c>
      <c r="CT470" s="230"/>
      <c r="CU470" s="230"/>
      <c r="CV470" s="335">
        <f t="shared" si="117"/>
        <v>210920.62634989203</v>
      </c>
      <c r="CW470" s="230">
        <f t="shared" si="112"/>
        <v>1</v>
      </c>
      <c r="CX470" s="336"/>
      <c r="CY470" s="230" t="s">
        <v>5921</v>
      </c>
    </row>
    <row r="471" spans="1:103" ht="11.25" customHeight="1" x14ac:dyDescent="0.2">
      <c r="A471" s="72">
        <v>775</v>
      </c>
      <c r="B471" s="224">
        <v>987</v>
      </c>
      <c r="C471" s="46" t="s">
        <v>6991</v>
      </c>
      <c r="D471" s="46"/>
      <c r="E471" s="114"/>
      <c r="F471" s="114" t="s">
        <v>2816</v>
      </c>
      <c r="G471" s="225">
        <v>63058</v>
      </c>
      <c r="H471" s="47" t="s">
        <v>2817</v>
      </c>
      <c r="I471" s="47" t="s">
        <v>2817</v>
      </c>
      <c r="J471" s="47"/>
      <c r="K471" s="47" t="s">
        <v>371</v>
      </c>
      <c r="L471" s="47"/>
      <c r="M471" s="47"/>
      <c r="N471" s="47"/>
      <c r="O471" s="47"/>
      <c r="P471" s="53"/>
      <c r="Q471" s="53"/>
      <c r="R471" s="53"/>
      <c r="S471" s="53"/>
      <c r="T471" s="48">
        <v>286.42</v>
      </c>
      <c r="U471" s="98">
        <v>57.8</v>
      </c>
      <c r="V471" s="98">
        <v>65.97</v>
      </c>
      <c r="W471" s="98">
        <v>26.730269683427402</v>
      </c>
      <c r="X471" s="98">
        <v>57.8</v>
      </c>
      <c r="Y471" s="233">
        <v>7</v>
      </c>
      <c r="Z471" s="48">
        <v>2.76</v>
      </c>
      <c r="AA471" s="48">
        <v>2.75</v>
      </c>
      <c r="AB471" s="48">
        <v>2.91</v>
      </c>
      <c r="AC471" s="48">
        <v>0.85040000000000004</v>
      </c>
      <c r="AD471" s="48">
        <v>2.9</v>
      </c>
      <c r="AE471" s="48">
        <v>2.9</v>
      </c>
      <c r="AF471" s="48">
        <f t="shared" si="118"/>
        <v>2.75</v>
      </c>
      <c r="AG471" s="49">
        <v>2.9</v>
      </c>
      <c r="AH471" s="98">
        <v>3.6799999999999999E-8</v>
      </c>
      <c r="AI471" s="98"/>
      <c r="AJ471" s="483">
        <f t="shared" si="119"/>
        <v>-5.8227185076391343</v>
      </c>
      <c r="AK471" s="483"/>
      <c r="AL471" s="483">
        <f t="shared" si="120"/>
        <v>-5.8227185076391343</v>
      </c>
      <c r="AM471" s="483">
        <v>-14.108039999999999</v>
      </c>
      <c r="AN471" s="226"/>
      <c r="AO471" s="484"/>
      <c r="AP471" s="484"/>
      <c r="AQ471" s="48" t="s">
        <v>6311</v>
      </c>
      <c r="AR471" s="48" t="s">
        <v>6311</v>
      </c>
      <c r="AS471" s="227"/>
      <c r="AT471" s="50" t="s">
        <v>266</v>
      </c>
      <c r="AU471" s="48">
        <v>6</v>
      </c>
      <c r="AV471" s="48">
        <v>120</v>
      </c>
      <c r="AW471" s="48">
        <v>114</v>
      </c>
      <c r="AX471" s="48">
        <v>28</v>
      </c>
      <c r="AY471" s="48" t="s">
        <v>8728</v>
      </c>
      <c r="AZ471" s="48" t="s">
        <v>1563</v>
      </c>
      <c r="BA471" s="48">
        <v>32</v>
      </c>
      <c r="BB471" s="47" t="s">
        <v>2485</v>
      </c>
      <c r="BC471" s="47" t="s">
        <v>8726</v>
      </c>
      <c r="BD471" s="47" t="s">
        <v>8374</v>
      </c>
      <c r="BE471" s="48" t="s">
        <v>2449</v>
      </c>
      <c r="BF471" s="48" t="s">
        <v>272</v>
      </c>
      <c r="BG471" s="48" t="s">
        <v>272</v>
      </c>
      <c r="BH471" s="48" t="s">
        <v>2486</v>
      </c>
      <c r="BI471" s="98">
        <v>1.8330880000000001E-3</v>
      </c>
      <c r="BJ471" s="98">
        <v>18.330880000000001</v>
      </c>
      <c r="BK471" s="48"/>
      <c r="BL471" s="487">
        <v>48.870562794713251</v>
      </c>
      <c r="BM471" s="47" t="s">
        <v>2487</v>
      </c>
      <c r="BN471" s="48"/>
      <c r="BO471" s="48"/>
      <c r="BP471" s="48"/>
      <c r="BQ471" s="48"/>
      <c r="BR471" s="47" t="e">
        <v>#VALUE!</v>
      </c>
      <c r="BS471" s="48"/>
      <c r="BT471" s="48"/>
      <c r="BU471" s="228">
        <v>0.18330880000000002</v>
      </c>
      <c r="BV471" s="48"/>
      <c r="BW471" s="48"/>
      <c r="BX471" s="48"/>
      <c r="BY471" s="48"/>
      <c r="BZ471" s="48"/>
      <c r="CA471" s="48"/>
      <c r="CB471" s="48"/>
      <c r="CC471" s="48"/>
      <c r="CD471" s="48"/>
      <c r="CE471" s="48"/>
      <c r="CF471" s="48"/>
      <c r="CG471" s="48"/>
      <c r="CH471" s="48"/>
      <c r="CI471" s="98"/>
      <c r="CJ471" s="98"/>
      <c r="CK471" s="49">
        <f t="shared" si="116"/>
        <v>2.6660238239906242</v>
      </c>
      <c r="CL471" s="229"/>
      <c r="CM471" s="229"/>
      <c r="CN471" s="229"/>
      <c r="CO471" s="47" t="s">
        <v>2488</v>
      </c>
      <c r="CP471" s="500" t="s">
        <v>2489</v>
      </c>
      <c r="CQ471" s="224" t="s">
        <v>272</v>
      </c>
      <c r="CR471" s="224"/>
      <c r="CS471" s="230" t="s">
        <v>539</v>
      </c>
      <c r="CT471" s="230"/>
      <c r="CU471" s="230"/>
      <c r="CV471" s="335">
        <f t="shared" si="117"/>
        <v>3.1531492214230847</v>
      </c>
      <c r="CW471" s="230">
        <f t="shared" si="112"/>
        <v>1</v>
      </c>
      <c r="CX471" s="336"/>
      <c r="CY471" s="230" t="s">
        <v>6351</v>
      </c>
    </row>
    <row r="472" spans="1:103" ht="11.25" customHeight="1" x14ac:dyDescent="0.2">
      <c r="A472" s="72">
        <v>777</v>
      </c>
      <c r="B472" s="224">
        <v>1489</v>
      </c>
      <c r="C472" s="46" t="s">
        <v>435</v>
      </c>
      <c r="D472" s="46"/>
      <c r="E472" s="114"/>
      <c r="F472" s="114" t="s">
        <v>436</v>
      </c>
      <c r="G472" s="225">
        <v>64197</v>
      </c>
      <c r="H472" s="47" t="s">
        <v>437</v>
      </c>
      <c r="I472" s="47" t="s">
        <v>437</v>
      </c>
      <c r="J472" s="47" t="s">
        <v>438</v>
      </c>
      <c r="K472" s="47" t="s">
        <v>426</v>
      </c>
      <c r="L472" s="47"/>
      <c r="M472" s="47" t="s">
        <v>6082</v>
      </c>
      <c r="N472" s="47" t="s">
        <v>6082</v>
      </c>
      <c r="O472" s="47"/>
      <c r="P472" s="53"/>
      <c r="Q472" s="53"/>
      <c r="R472" s="53"/>
      <c r="S472" s="53"/>
      <c r="T472" s="48">
        <v>60.05</v>
      </c>
      <c r="U472" s="98">
        <v>1000000</v>
      </c>
      <c r="V472" s="98">
        <v>475900</v>
      </c>
      <c r="W472" s="98">
        <v>198844.23845029599</v>
      </c>
      <c r="X472" s="98">
        <v>1000000</v>
      </c>
      <c r="Y472" s="233">
        <v>2.14</v>
      </c>
      <c r="Z472" s="48">
        <v>0.09</v>
      </c>
      <c r="AA472" s="48">
        <v>-0.17</v>
      </c>
      <c r="AB472" s="48">
        <v>0.02</v>
      </c>
      <c r="AC472" s="48">
        <v>0.81850000000000001</v>
      </c>
      <c r="AD472" s="48">
        <v>-7.0000000000000007E-2</v>
      </c>
      <c r="AE472" s="48">
        <v>-0.28999999999999998</v>
      </c>
      <c r="AF472" s="48">
        <f t="shared" si="118"/>
        <v>-0.17</v>
      </c>
      <c r="AG472" s="49">
        <v>-0.15</v>
      </c>
      <c r="AH472" s="98">
        <v>5.4799999999999998E-7</v>
      </c>
      <c r="AI472" s="98">
        <v>9.9999999999999995E-8</v>
      </c>
      <c r="AJ472" s="483">
        <f t="shared" si="119"/>
        <v>-4.6497857678282823</v>
      </c>
      <c r="AK472" s="483">
        <f>LOG10(AI472*1000/(0.08206*298.15))</f>
        <v>-5.3885663263126515</v>
      </c>
      <c r="AL472" s="483">
        <f t="shared" si="120"/>
        <v>-5.3885663263126515</v>
      </c>
      <c r="AM472" s="483">
        <v>-4.8964699999999999</v>
      </c>
      <c r="AN472" s="226">
        <v>-5.0199999999999996</v>
      </c>
      <c r="AO472" s="484">
        <v>4.79</v>
      </c>
      <c r="AP472" s="484"/>
      <c r="AQ472" s="48" t="s">
        <v>6311</v>
      </c>
      <c r="AR472" s="48" t="s">
        <v>6311</v>
      </c>
      <c r="AS472" s="227"/>
      <c r="AT472" s="50" t="s">
        <v>266</v>
      </c>
      <c r="AU472" s="48">
        <v>6</v>
      </c>
      <c r="AV472" s="48">
        <v>120</v>
      </c>
      <c r="AW472" s="48">
        <v>114</v>
      </c>
      <c r="AX472" s="48">
        <v>28</v>
      </c>
      <c r="AY472" s="48" t="s">
        <v>8728</v>
      </c>
      <c r="AZ472" s="48" t="s">
        <v>1563</v>
      </c>
      <c r="BA472" s="48">
        <v>32</v>
      </c>
      <c r="BB472" s="47" t="s">
        <v>2485</v>
      </c>
      <c r="BC472" s="47" t="s">
        <v>8726</v>
      </c>
      <c r="BD472" s="47" t="s">
        <v>8374</v>
      </c>
      <c r="BE472" s="48" t="s">
        <v>2449</v>
      </c>
      <c r="BF472" s="48" t="s">
        <v>272</v>
      </c>
      <c r="BG472" s="48" t="s">
        <v>272</v>
      </c>
      <c r="BH472" s="48" t="s">
        <v>2486</v>
      </c>
      <c r="BI472" s="98">
        <v>3.8431999999999995E-4</v>
      </c>
      <c r="BJ472" s="98">
        <v>3.8431999999999999</v>
      </c>
      <c r="BK472" s="48"/>
      <c r="BL472" s="487">
        <v>2561.4389646887184</v>
      </c>
      <c r="BM472" s="47" t="s">
        <v>2487</v>
      </c>
      <c r="BN472" s="48"/>
      <c r="BO472" s="48"/>
      <c r="BP472" s="48"/>
      <c r="BQ472" s="48"/>
      <c r="BR472" s="47" t="e">
        <v>#VALUE!</v>
      </c>
      <c r="BS472" s="48"/>
      <c r="BT472" s="48"/>
      <c r="BU472" s="228"/>
      <c r="BV472" s="48"/>
      <c r="BW472" s="48"/>
      <c r="BX472" s="48"/>
      <c r="BY472" s="48"/>
      <c r="BZ472" s="48"/>
      <c r="CA472" s="48"/>
      <c r="CB472" s="48"/>
      <c r="CC472" s="48"/>
      <c r="CD472" s="48"/>
      <c r="CE472" s="48"/>
      <c r="CF472" s="48"/>
      <c r="CG472" s="48"/>
      <c r="CH472" s="48"/>
      <c r="CI472" s="98"/>
      <c r="CJ472" s="98"/>
      <c r="CK472" s="49">
        <f t="shared" si="116"/>
        <v>666.48599206096958</v>
      </c>
      <c r="CL472" s="229"/>
      <c r="CM472" s="229">
        <v>1.8750612633917001</v>
      </c>
      <c r="CN472" s="229">
        <f>BJ472/(10^CM472)</f>
        <v>5.1242666666666638E-2</v>
      </c>
      <c r="CO472" s="47" t="s">
        <v>2488</v>
      </c>
      <c r="CP472" s="500" t="s">
        <v>2489</v>
      </c>
      <c r="CQ472" s="224">
        <v>1.8868932224905968</v>
      </c>
      <c r="CR472" s="224">
        <f>10^(CJ472-CQ472)</f>
        <v>1.2974982402692041E-2</v>
      </c>
      <c r="CS472" s="230" t="s">
        <v>539</v>
      </c>
      <c r="CT472" s="230"/>
      <c r="CU472" s="230"/>
      <c r="CV472" s="335">
        <f t="shared" si="117"/>
        <v>260199.83347210658</v>
      </c>
      <c r="CW472" s="230">
        <f t="shared" si="112"/>
        <v>1</v>
      </c>
      <c r="CX472" s="336"/>
      <c r="CY472" s="230" t="s">
        <v>6351</v>
      </c>
    </row>
    <row r="473" spans="1:103" ht="11.25" customHeight="1" x14ac:dyDescent="0.2">
      <c r="A473" s="72">
        <v>778</v>
      </c>
      <c r="B473" s="224">
        <v>1102</v>
      </c>
      <c r="C473" s="46" t="s">
        <v>6992</v>
      </c>
      <c r="D473" s="46"/>
      <c r="E473" s="114"/>
      <c r="F473" s="114" t="s">
        <v>3082</v>
      </c>
      <c r="G473" s="225">
        <v>64675</v>
      </c>
      <c r="H473" s="47" t="s">
        <v>3083</v>
      </c>
      <c r="I473" s="47" t="s">
        <v>3083</v>
      </c>
      <c r="J473" s="47" t="s">
        <v>3084</v>
      </c>
      <c r="K473" s="47" t="s">
        <v>357</v>
      </c>
      <c r="L473" s="47"/>
      <c r="M473" s="47"/>
      <c r="N473" s="47"/>
      <c r="O473" s="47"/>
      <c r="P473" s="53"/>
      <c r="Q473" s="53"/>
      <c r="R473" s="53"/>
      <c r="S473" s="53"/>
      <c r="T473" s="48">
        <v>154.19</v>
      </c>
      <c r="U473" s="98">
        <v>6999.9999999999991</v>
      </c>
      <c r="V473" s="98">
        <v>7727</v>
      </c>
      <c r="W473" s="98">
        <v>6138.4144627643745</v>
      </c>
      <c r="X473" s="98">
        <v>6999.9999999999991</v>
      </c>
      <c r="Y473" s="233">
        <v>7</v>
      </c>
      <c r="Z473" s="48">
        <v>1.1399999999999999</v>
      </c>
      <c r="AA473" s="48">
        <v>1.1399999999999999</v>
      </c>
      <c r="AB473" s="48">
        <v>0.95</v>
      </c>
      <c r="AC473" s="48">
        <v>0.58819999999999995</v>
      </c>
      <c r="AD473" s="48">
        <v>1.04</v>
      </c>
      <c r="AE473" s="48">
        <v>1.1399999999999999</v>
      </c>
      <c r="AF473" s="48">
        <f t="shared" si="118"/>
        <v>1.1399999999999999</v>
      </c>
      <c r="AG473" s="49">
        <v>0.64</v>
      </c>
      <c r="AH473" s="98">
        <v>4.5900000000000001E-6</v>
      </c>
      <c r="AI473" s="98">
        <v>6.1399999999999997E-6</v>
      </c>
      <c r="AJ473" s="483">
        <f t="shared" si="119"/>
        <v>-3.7267536407753905</v>
      </c>
      <c r="AK473" s="483">
        <f>LOG10(AI473*1000/(0.08206*298.15))</f>
        <v>-3.6003979551714842</v>
      </c>
      <c r="AL473" s="483">
        <f t="shared" si="120"/>
        <v>-3.6003979551714842</v>
      </c>
      <c r="AM473" s="483">
        <v>-8.0120399999999989</v>
      </c>
      <c r="AN473" s="226">
        <v>-3.93</v>
      </c>
      <c r="AO473" s="484"/>
      <c r="AP473" s="484"/>
      <c r="AQ473" s="48" t="s">
        <v>6311</v>
      </c>
      <c r="AR473" s="48" t="s">
        <v>6311</v>
      </c>
      <c r="AS473" s="227"/>
      <c r="AT473" s="50" t="s">
        <v>266</v>
      </c>
      <c r="AU473" s="48">
        <v>6</v>
      </c>
      <c r="AV473" s="48">
        <v>120</v>
      </c>
      <c r="AW473" s="48">
        <v>114</v>
      </c>
      <c r="AX473" s="48">
        <v>28</v>
      </c>
      <c r="AY473" s="48" t="s">
        <v>8728</v>
      </c>
      <c r="AZ473" s="48" t="s">
        <v>1563</v>
      </c>
      <c r="BA473" s="48">
        <v>32</v>
      </c>
      <c r="BB473" s="47" t="s">
        <v>2485</v>
      </c>
      <c r="BC473" s="47" t="s">
        <v>8726</v>
      </c>
      <c r="BD473" s="47" t="s">
        <v>8374</v>
      </c>
      <c r="BE473" s="48" t="s">
        <v>2449</v>
      </c>
      <c r="BF473" s="48" t="s">
        <v>272</v>
      </c>
      <c r="BG473" s="48" t="s">
        <v>272</v>
      </c>
      <c r="BH473" s="48" t="s">
        <v>2486</v>
      </c>
      <c r="BI473" s="98">
        <v>9.8681599999999995E-4</v>
      </c>
      <c r="BJ473" s="98">
        <v>9.8681599999999996</v>
      </c>
      <c r="BK473" s="48"/>
      <c r="BL473" s="487">
        <v>749.93255751749746</v>
      </c>
      <c r="BM473" s="47" t="s">
        <v>2487</v>
      </c>
      <c r="BN473" s="48"/>
      <c r="BO473" s="48"/>
      <c r="BP473" s="48"/>
      <c r="BQ473" s="48"/>
      <c r="BR473" s="47" t="e">
        <v>#VALUE!</v>
      </c>
      <c r="BS473" s="48"/>
      <c r="BT473" s="48"/>
      <c r="BU473" s="228">
        <v>9.8681599999999995E-4</v>
      </c>
      <c r="BV473" s="48"/>
      <c r="BW473" s="48"/>
      <c r="BX473" s="48"/>
      <c r="BY473" s="48"/>
      <c r="BZ473" s="48"/>
      <c r="CA473" s="48"/>
      <c r="CB473" s="48"/>
      <c r="CC473" s="48"/>
      <c r="CD473" s="48"/>
      <c r="CE473" s="48"/>
      <c r="CF473" s="48"/>
      <c r="CG473" s="48"/>
      <c r="CH473" s="48"/>
      <c r="CI473" s="98"/>
      <c r="CJ473" s="98"/>
      <c r="CK473" s="49">
        <f t="shared" si="116"/>
        <v>75.995176154166273</v>
      </c>
      <c r="CL473" s="229"/>
      <c r="CM473" s="229"/>
      <c r="CN473" s="229"/>
      <c r="CO473" s="47" t="s">
        <v>2488</v>
      </c>
      <c r="CP473" s="500" t="s">
        <v>2489</v>
      </c>
      <c r="CQ473" s="224" t="s">
        <v>272</v>
      </c>
      <c r="CR473" s="224"/>
      <c r="CS473" s="230" t="s">
        <v>539</v>
      </c>
      <c r="CT473" s="230"/>
      <c r="CU473" s="230"/>
      <c r="CV473" s="335">
        <f t="shared" si="117"/>
        <v>709.35209806083401</v>
      </c>
      <c r="CW473" s="230">
        <f t="shared" si="112"/>
        <v>1</v>
      </c>
      <c r="CX473" s="336"/>
      <c r="CY473" s="230" t="s">
        <v>6351</v>
      </c>
    </row>
    <row r="474" spans="1:103" ht="11.25" customHeight="1" x14ac:dyDescent="0.2">
      <c r="A474" s="72">
        <v>779</v>
      </c>
      <c r="B474" s="224">
        <v>1073</v>
      </c>
      <c r="C474" s="46" t="s">
        <v>290</v>
      </c>
      <c r="D474" s="46" t="s">
        <v>8356</v>
      </c>
      <c r="E474" s="114"/>
      <c r="F474" s="114" t="s">
        <v>291</v>
      </c>
      <c r="G474" s="225">
        <v>64868</v>
      </c>
      <c r="H474" s="47" t="s">
        <v>292</v>
      </c>
      <c r="I474" s="47" t="s">
        <v>7990</v>
      </c>
      <c r="J474" s="47" t="s">
        <v>293</v>
      </c>
      <c r="K474" s="47" t="s">
        <v>294</v>
      </c>
      <c r="L474" s="51" t="s">
        <v>279</v>
      </c>
      <c r="M474" s="47" t="s">
        <v>295</v>
      </c>
      <c r="N474" s="47"/>
      <c r="O474" s="47" t="s">
        <v>281</v>
      </c>
      <c r="P474" s="53"/>
      <c r="Q474" s="53"/>
      <c r="R474" s="53"/>
      <c r="S474" s="53"/>
      <c r="T474" s="48">
        <v>399.44</v>
      </c>
      <c r="U474" s="98">
        <v>45000</v>
      </c>
      <c r="V474" s="98">
        <v>239.5</v>
      </c>
      <c r="W474" s="98">
        <v>214.51198074213363</v>
      </c>
      <c r="X474" s="98">
        <v>45000</v>
      </c>
      <c r="Y474" s="233">
        <v>7</v>
      </c>
      <c r="Z474" s="48">
        <v>1.86</v>
      </c>
      <c r="AA474" s="48">
        <v>1.3</v>
      </c>
      <c r="AB474" s="48">
        <v>1.1399999999999999</v>
      </c>
      <c r="AC474" s="48">
        <v>0.92149999999999999</v>
      </c>
      <c r="AD474" s="48">
        <v>1.1000000000000001</v>
      </c>
      <c r="AE474" s="48">
        <v>0.92</v>
      </c>
      <c r="AF474" s="48">
        <f t="shared" si="118"/>
        <v>1.3</v>
      </c>
      <c r="AG474" s="49">
        <v>2.73</v>
      </c>
      <c r="AH474" s="98">
        <v>1.7899999999999999E-17</v>
      </c>
      <c r="AI474" s="98"/>
      <c r="AJ474" s="483">
        <f t="shared" si="119"/>
        <v>-15.135713295332758</v>
      </c>
      <c r="AK474" s="483"/>
      <c r="AL474" s="483">
        <f t="shared" si="120"/>
        <v>-15.135713295332758</v>
      </c>
      <c r="AM474" s="483">
        <v>-23.910819999999998</v>
      </c>
      <c r="AN474" s="226">
        <v>-19.5</v>
      </c>
      <c r="AO474" s="484">
        <v>14.75</v>
      </c>
      <c r="AP474" s="484">
        <v>-0.91</v>
      </c>
      <c r="AQ474" s="48" t="s">
        <v>6311</v>
      </c>
      <c r="AR474" s="48" t="s">
        <v>6311</v>
      </c>
      <c r="AS474" s="227"/>
      <c r="AT474" s="50" t="s">
        <v>266</v>
      </c>
      <c r="AU474" s="48">
        <v>6</v>
      </c>
      <c r="AV474" s="48">
        <v>120</v>
      </c>
      <c r="AW474" s="48">
        <v>114</v>
      </c>
      <c r="AX474" s="48">
        <v>28</v>
      </c>
      <c r="AY474" s="48" t="s">
        <v>8728</v>
      </c>
      <c r="AZ474" s="48" t="s">
        <v>1563</v>
      </c>
      <c r="BA474" s="48">
        <v>32</v>
      </c>
      <c r="BB474" s="47" t="s">
        <v>2485</v>
      </c>
      <c r="BC474" s="47" t="s">
        <v>8726</v>
      </c>
      <c r="BD474" s="47" t="s">
        <v>8374</v>
      </c>
      <c r="BE474" s="48" t="s">
        <v>2449</v>
      </c>
      <c r="BF474" s="48" t="s">
        <v>272</v>
      </c>
      <c r="BG474" s="48" t="s">
        <v>272</v>
      </c>
      <c r="BH474" s="48" t="s">
        <v>2486</v>
      </c>
      <c r="BI474" s="98">
        <v>2.5564159999999997E-3</v>
      </c>
      <c r="BJ474" s="98">
        <v>25.564160000000001</v>
      </c>
      <c r="BK474" s="48"/>
      <c r="BL474" s="487">
        <v>438.31421250608264</v>
      </c>
      <c r="BM474" s="47" t="s">
        <v>2487</v>
      </c>
      <c r="BN474" s="48"/>
      <c r="BO474" s="48"/>
      <c r="BP474" s="48"/>
      <c r="BQ474" s="48"/>
      <c r="BR474" s="47" t="e">
        <v>#VALUE!</v>
      </c>
      <c r="BS474" s="48"/>
      <c r="BT474" s="48"/>
      <c r="BU474" s="228">
        <v>25.564160000000001</v>
      </c>
      <c r="BV474" s="48"/>
      <c r="BW474" s="48"/>
      <c r="BX474" s="48"/>
      <c r="BY474" s="48"/>
      <c r="BZ474" s="48"/>
      <c r="CA474" s="48"/>
      <c r="CB474" s="48"/>
      <c r="CC474" s="48"/>
      <c r="CD474" s="48"/>
      <c r="CE474" s="48"/>
      <c r="CF474" s="48"/>
      <c r="CG474" s="48"/>
      <c r="CH474" s="48"/>
      <c r="CI474" s="98"/>
      <c r="CJ474" s="98"/>
      <c r="CK474" s="49">
        <f t="shared" si="116"/>
        <v>17.145652839994845</v>
      </c>
      <c r="CL474" s="229"/>
      <c r="CM474" s="229"/>
      <c r="CN474" s="229"/>
      <c r="CO474" s="47" t="s">
        <v>2488</v>
      </c>
      <c r="CP474" s="500" t="s">
        <v>2489</v>
      </c>
      <c r="CQ474" s="224" t="s">
        <v>272</v>
      </c>
      <c r="CR474" s="224"/>
      <c r="CS474" s="230" t="s">
        <v>539</v>
      </c>
      <c r="CT474" s="230"/>
      <c r="CU474" s="230"/>
      <c r="CV474" s="335">
        <f t="shared" si="117"/>
        <v>1760.2768876426996</v>
      </c>
      <c r="CW474" s="230">
        <f t="shared" si="112"/>
        <v>1</v>
      </c>
      <c r="CX474" s="336"/>
      <c r="CY474" s="230" t="s">
        <v>6351</v>
      </c>
    </row>
    <row r="475" spans="1:103" ht="11.25" customHeight="1" x14ac:dyDescent="0.2">
      <c r="A475" s="72">
        <v>780</v>
      </c>
      <c r="B475" s="224">
        <v>1845</v>
      </c>
      <c r="C475" s="46" t="s">
        <v>6993</v>
      </c>
      <c r="D475" s="46"/>
      <c r="E475" s="114"/>
      <c r="F475" s="114" t="s">
        <v>5258</v>
      </c>
      <c r="G475" s="225">
        <v>65236</v>
      </c>
      <c r="H475" s="47" t="s">
        <v>5259</v>
      </c>
      <c r="I475" s="47" t="s">
        <v>5259</v>
      </c>
      <c r="J475" s="47" t="s">
        <v>5260</v>
      </c>
      <c r="K475" s="47" t="s">
        <v>5261</v>
      </c>
      <c r="L475" s="47" t="s">
        <v>279</v>
      </c>
      <c r="M475" s="47" t="s">
        <v>5262</v>
      </c>
      <c r="N475" s="47"/>
      <c r="O475" s="47" t="s">
        <v>281</v>
      </c>
      <c r="P475" s="53"/>
      <c r="Q475" s="53"/>
      <c r="R475" s="53"/>
      <c r="S475" s="53"/>
      <c r="T475" s="48">
        <v>169.18</v>
      </c>
      <c r="U475" s="98"/>
      <c r="V475" s="98">
        <v>282000</v>
      </c>
      <c r="W475" s="98">
        <v>37874.684222299162</v>
      </c>
      <c r="X475" s="98">
        <v>37874.684222299162</v>
      </c>
      <c r="Y475" s="233">
        <v>7.06</v>
      </c>
      <c r="Z475" s="48">
        <v>-0.56000000000000005</v>
      </c>
      <c r="AA475" s="48">
        <v>-0.77</v>
      </c>
      <c r="AB475" s="48">
        <v>-0.39</v>
      </c>
      <c r="AC475" s="48">
        <v>0.79039999999999999</v>
      </c>
      <c r="AD475" s="48">
        <v>-0.62</v>
      </c>
      <c r="AE475" s="48">
        <v>-1.1000000000000001</v>
      </c>
      <c r="AF475" s="48">
        <f t="shared" si="118"/>
        <v>-0.77</v>
      </c>
      <c r="AG475" s="49">
        <v>-0.27</v>
      </c>
      <c r="AH475" s="98">
        <v>1.32E-15</v>
      </c>
      <c r="AI475" s="98"/>
      <c r="AJ475" s="483">
        <f t="shared" si="119"/>
        <v>-13.267992395106802</v>
      </c>
      <c r="AK475" s="483"/>
      <c r="AL475" s="483">
        <f t="shared" si="120"/>
        <v>-13.267992395106802</v>
      </c>
      <c r="AM475" s="483">
        <v>-15.706199999999999</v>
      </c>
      <c r="AN475" s="226">
        <v>-11.4</v>
      </c>
      <c r="AO475" s="484">
        <v>9.6300000000000008</v>
      </c>
      <c r="AP475" s="484">
        <v>5.01</v>
      </c>
      <c r="AQ475" s="226" t="s">
        <v>6311</v>
      </c>
      <c r="AR475" s="226" t="s">
        <v>6311</v>
      </c>
      <c r="AS475" s="224"/>
      <c r="AT475" s="50" t="s">
        <v>266</v>
      </c>
      <c r="AU475" s="48">
        <v>6</v>
      </c>
      <c r="AV475" s="48">
        <v>120</v>
      </c>
      <c r="AW475" s="48">
        <v>114</v>
      </c>
      <c r="AX475" s="48">
        <v>28</v>
      </c>
      <c r="AY475" s="48" t="s">
        <v>8728</v>
      </c>
      <c r="AZ475" s="48" t="s">
        <v>1563</v>
      </c>
      <c r="BA475" s="48">
        <v>32</v>
      </c>
      <c r="BB475" s="47" t="s">
        <v>2485</v>
      </c>
      <c r="BC475" s="47" t="s">
        <v>8726</v>
      </c>
      <c r="BD475" s="47" t="s">
        <v>8374</v>
      </c>
      <c r="BE475" s="48" t="s">
        <v>2449</v>
      </c>
      <c r="BF475" s="48" t="s">
        <v>272</v>
      </c>
      <c r="BG475" s="48" t="s">
        <v>272</v>
      </c>
      <c r="BH475" s="48" t="s">
        <v>2486</v>
      </c>
      <c r="BI475" s="98">
        <v>1.082752E-3</v>
      </c>
      <c r="BJ475" s="98">
        <v>10.82752</v>
      </c>
      <c r="BK475" s="48"/>
      <c r="BL475" s="487">
        <v>27674.83374911662</v>
      </c>
      <c r="BM475" s="47" t="s">
        <v>2487</v>
      </c>
      <c r="BN475" s="48"/>
      <c r="BO475" s="48"/>
      <c r="BP475" s="48"/>
      <c r="BQ475" s="48"/>
      <c r="BR475" s="47" t="e">
        <v>#VALUE!</v>
      </c>
      <c r="BS475" s="48"/>
      <c r="BT475" s="48"/>
      <c r="BU475" s="228"/>
      <c r="BV475" s="48"/>
      <c r="BW475" s="48"/>
      <c r="BX475" s="48"/>
      <c r="BY475" s="48"/>
      <c r="BZ475" s="48"/>
      <c r="CA475" s="48"/>
      <c r="CB475" s="48"/>
      <c r="CC475" s="48"/>
      <c r="CD475" s="48"/>
      <c r="CE475" s="48"/>
      <c r="CF475" s="48"/>
      <c r="CG475" s="48"/>
      <c r="CH475" s="48"/>
      <c r="CI475" s="98"/>
      <c r="CJ475" s="98"/>
      <c r="CK475" s="49">
        <f t="shared" si="116"/>
        <v>2555.9716120696726</v>
      </c>
      <c r="CL475" s="229"/>
      <c r="CM475" s="229"/>
      <c r="CN475" s="229"/>
      <c r="CO475" s="47" t="s">
        <v>2488</v>
      </c>
      <c r="CP475" s="500" t="s">
        <v>2489</v>
      </c>
      <c r="CQ475" s="224" t="s">
        <v>272</v>
      </c>
      <c r="CR475" s="224"/>
      <c r="CS475" s="230" t="s">
        <v>539</v>
      </c>
      <c r="CT475" s="230"/>
      <c r="CU475" s="230"/>
      <c r="CV475" s="335">
        <f t="shared" si="117"/>
        <v>3498.00177901303</v>
      </c>
      <c r="CW475" s="230">
        <f t="shared" si="112"/>
        <v>1</v>
      </c>
      <c r="CX475" s="336"/>
      <c r="CY475" s="230" t="s">
        <v>5921</v>
      </c>
    </row>
    <row r="476" spans="1:103" ht="11.25" customHeight="1" x14ac:dyDescent="0.2">
      <c r="A476" s="72">
        <v>781</v>
      </c>
      <c r="B476" s="224">
        <v>1030</v>
      </c>
      <c r="C476" s="46" t="s">
        <v>6994</v>
      </c>
      <c r="D476" s="46"/>
      <c r="E476" s="114"/>
      <c r="F476" s="114" t="s">
        <v>680</v>
      </c>
      <c r="G476" s="225">
        <v>65850</v>
      </c>
      <c r="H476" s="47" t="s">
        <v>681</v>
      </c>
      <c r="I476" s="47" t="s">
        <v>681</v>
      </c>
      <c r="J476" s="47" t="s">
        <v>682</v>
      </c>
      <c r="K476" s="47" t="s">
        <v>426</v>
      </c>
      <c r="L476" s="47" t="s">
        <v>6115</v>
      </c>
      <c r="M476" s="47" t="s">
        <v>5960</v>
      </c>
      <c r="N476" s="47"/>
      <c r="O476" s="47"/>
      <c r="P476" s="53"/>
      <c r="Q476" s="53"/>
      <c r="R476" s="53"/>
      <c r="S476" s="53"/>
      <c r="T476" s="48">
        <v>122.12</v>
      </c>
      <c r="U476" s="98">
        <v>3400</v>
      </c>
      <c r="V476" s="98">
        <v>2493</v>
      </c>
      <c r="W476" s="98">
        <v>4234.3504177263158</v>
      </c>
      <c r="X476" s="98">
        <v>3400</v>
      </c>
      <c r="Y476" s="233">
        <v>2.84</v>
      </c>
      <c r="Z476" s="48">
        <v>1.87</v>
      </c>
      <c r="AA476" s="48">
        <v>1.87</v>
      </c>
      <c r="AB476" s="48">
        <v>1.87</v>
      </c>
      <c r="AC476" s="48">
        <v>0.87239999999999995</v>
      </c>
      <c r="AD476" s="48">
        <v>1.87</v>
      </c>
      <c r="AE476" s="48">
        <v>1.89</v>
      </c>
      <c r="AF476" s="48">
        <f t="shared" si="118"/>
        <v>1.87</v>
      </c>
      <c r="AG476" s="49">
        <v>1.44</v>
      </c>
      <c r="AH476" s="98">
        <v>1.08E-7</v>
      </c>
      <c r="AI476" s="98">
        <v>3.8099999999999997E-8</v>
      </c>
      <c r="AJ476" s="483">
        <f t="shared" si="119"/>
        <v>-5.3551425708257021</v>
      </c>
      <c r="AK476" s="483">
        <f>LOG10(AI476*1000/(0.08206*298.15))</f>
        <v>-5.8076413506370326</v>
      </c>
      <c r="AL476" s="483">
        <f t="shared" si="120"/>
        <v>-5.8076413506370326</v>
      </c>
      <c r="AM476" s="483">
        <v>-7.6162700000000001</v>
      </c>
      <c r="AN476" s="226">
        <v>-5.58</v>
      </c>
      <c r="AO476" s="484">
        <v>4.2</v>
      </c>
      <c r="AP476" s="484"/>
      <c r="AQ476" s="48" t="s">
        <v>6311</v>
      </c>
      <c r="AR476" s="48" t="s">
        <v>6311</v>
      </c>
      <c r="AS476" s="227"/>
      <c r="AT476" s="50" t="s">
        <v>266</v>
      </c>
      <c r="AU476" s="48">
        <v>6</v>
      </c>
      <c r="AV476" s="48">
        <v>120</v>
      </c>
      <c r="AW476" s="48">
        <v>114</v>
      </c>
      <c r="AX476" s="48">
        <v>28</v>
      </c>
      <c r="AY476" s="48" t="s">
        <v>8728</v>
      </c>
      <c r="AZ476" s="48" t="s">
        <v>1563</v>
      </c>
      <c r="BA476" s="48">
        <v>32</v>
      </c>
      <c r="BB476" s="47" t="s">
        <v>2485</v>
      </c>
      <c r="BC476" s="47" t="s">
        <v>8726</v>
      </c>
      <c r="BD476" s="47" t="s">
        <v>8374</v>
      </c>
      <c r="BE476" s="48" t="s">
        <v>2449</v>
      </c>
      <c r="BF476" s="48" t="s">
        <v>272</v>
      </c>
      <c r="BG476" s="48" t="s">
        <v>272</v>
      </c>
      <c r="BH476" s="48" t="s">
        <v>2486</v>
      </c>
      <c r="BI476" s="98">
        <v>7.8156799999999995E-4</v>
      </c>
      <c r="BJ476" s="98">
        <v>7.8156800000000004</v>
      </c>
      <c r="BK476" s="48"/>
      <c r="BL476" s="487">
        <v>131.26223527730363</v>
      </c>
      <c r="BM476" s="47" t="s">
        <v>2487</v>
      </c>
      <c r="BN476" s="48"/>
      <c r="BO476" s="48"/>
      <c r="BP476" s="48"/>
      <c r="BQ476" s="48"/>
      <c r="BR476" s="47" t="e">
        <v>#VALUE!</v>
      </c>
      <c r="BS476" s="48"/>
      <c r="BT476" s="48"/>
      <c r="BU476" s="228">
        <v>8.0599200000000006E-4</v>
      </c>
      <c r="BV476" s="48"/>
      <c r="BW476" s="48"/>
      <c r="BX476" s="48"/>
      <c r="BY476" s="48"/>
      <c r="BZ476" s="48"/>
      <c r="CA476" s="48"/>
      <c r="CB476" s="48"/>
      <c r="CC476" s="48"/>
      <c r="CD476" s="48"/>
      <c r="CE476" s="48"/>
      <c r="CF476" s="48"/>
      <c r="CG476" s="48"/>
      <c r="CH476" s="48"/>
      <c r="CI476" s="98"/>
      <c r="CJ476" s="98"/>
      <c r="CK476" s="49">
        <f t="shared" si="116"/>
        <v>16.794729988600302</v>
      </c>
      <c r="CL476" s="229"/>
      <c r="CM476" s="229"/>
      <c r="CN476" s="229"/>
      <c r="CO476" s="47" t="s">
        <v>2488</v>
      </c>
      <c r="CP476" s="500" t="s">
        <v>2489</v>
      </c>
      <c r="CQ476" s="224">
        <v>2.255272505103306</v>
      </c>
      <c r="CR476" s="224">
        <f>10^(CJ476-CQ476)</f>
        <v>5.5555555555555558E-3</v>
      </c>
      <c r="CS476" s="230" t="s">
        <v>539</v>
      </c>
      <c r="CT476" s="230"/>
      <c r="CU476" s="230"/>
      <c r="CV476" s="335">
        <f t="shared" si="117"/>
        <v>435.02292826727808</v>
      </c>
      <c r="CW476" s="230">
        <f t="shared" si="112"/>
        <v>1</v>
      </c>
      <c r="CX476" s="336"/>
      <c r="CY476" s="230" t="s">
        <v>6351</v>
      </c>
    </row>
    <row r="477" spans="1:103" ht="11.25" customHeight="1" x14ac:dyDescent="0.2">
      <c r="A477" s="72">
        <v>782</v>
      </c>
      <c r="B477" s="224">
        <v>1736</v>
      </c>
      <c r="C477" s="46" t="s">
        <v>6995</v>
      </c>
      <c r="D477" s="46"/>
      <c r="E477" s="114"/>
      <c r="F477" s="114" t="s">
        <v>5017</v>
      </c>
      <c r="G477" s="225">
        <v>66273</v>
      </c>
      <c r="H477" s="47" t="s">
        <v>5018</v>
      </c>
      <c r="I477" s="47" t="s">
        <v>5018</v>
      </c>
      <c r="J477" s="47" t="s">
        <v>5019</v>
      </c>
      <c r="K477" s="47" t="s">
        <v>357</v>
      </c>
      <c r="L477" s="47"/>
      <c r="M477" s="47"/>
      <c r="N477" s="47"/>
      <c r="O477" s="47"/>
      <c r="P477" s="53"/>
      <c r="Q477" s="53"/>
      <c r="R477" s="53"/>
      <c r="S477" s="53"/>
      <c r="T477" s="48">
        <v>110.13</v>
      </c>
      <c r="U477" s="98"/>
      <c r="V477" s="98">
        <v>396400</v>
      </c>
      <c r="W477" s="98">
        <v>159186.28195224897</v>
      </c>
      <c r="X477" s="98">
        <v>159186.28195224897</v>
      </c>
      <c r="Y477" s="233">
        <v>7</v>
      </c>
      <c r="Z477" s="48">
        <v>-0.66</v>
      </c>
      <c r="AA477" s="48"/>
      <c r="AB477" s="48">
        <v>-0.73</v>
      </c>
      <c r="AC477" s="48">
        <v>0.71</v>
      </c>
      <c r="AD477" s="48">
        <v>-0.67</v>
      </c>
      <c r="AE477" s="48">
        <v>-0.56999999999999995</v>
      </c>
      <c r="AF477" s="48">
        <f t="shared" si="118"/>
        <v>-0.67</v>
      </c>
      <c r="AG477" s="49">
        <v>-0.11</v>
      </c>
      <c r="AH477" s="98">
        <v>4.0300000000000004E-6</v>
      </c>
      <c r="AI477" s="98"/>
      <c r="AJ477" s="483">
        <f t="shared" si="119"/>
        <v>-3.7832612801715424</v>
      </c>
      <c r="AK477" s="483"/>
      <c r="AL477" s="483">
        <f t="shared" si="120"/>
        <v>-3.7832612801715424</v>
      </c>
      <c r="AM477" s="483">
        <v>-6.2436199999999999</v>
      </c>
      <c r="AN477" s="226">
        <v>-3.91</v>
      </c>
      <c r="AO477" s="484"/>
      <c r="AP477" s="484"/>
      <c r="AQ477" s="226" t="s">
        <v>6311</v>
      </c>
      <c r="AR477" s="226" t="s">
        <v>6311</v>
      </c>
      <c r="AS477" s="224"/>
      <c r="AT477" s="50" t="s">
        <v>266</v>
      </c>
      <c r="AU477" s="48">
        <v>6</v>
      </c>
      <c r="AV477" s="48">
        <v>120</v>
      </c>
      <c r="AW477" s="48">
        <v>114</v>
      </c>
      <c r="AX477" s="48">
        <v>28</v>
      </c>
      <c r="AY477" s="48" t="s">
        <v>8728</v>
      </c>
      <c r="AZ477" s="48" t="s">
        <v>1563</v>
      </c>
      <c r="BA477" s="48">
        <v>32</v>
      </c>
      <c r="BB477" s="47" t="s">
        <v>2485</v>
      </c>
      <c r="BC477" s="47" t="s">
        <v>8726</v>
      </c>
      <c r="BD477" s="47" t="s">
        <v>8374</v>
      </c>
      <c r="BE477" s="48" t="s">
        <v>2449</v>
      </c>
      <c r="BF477" s="48" t="s">
        <v>272</v>
      </c>
      <c r="BG477" s="48" t="s">
        <v>272</v>
      </c>
      <c r="BH477" s="48" t="s">
        <v>2486</v>
      </c>
      <c r="BI477" s="98">
        <v>7.0483199999999996E-4</v>
      </c>
      <c r="BJ477" s="98">
        <v>7.0483199999999995</v>
      </c>
      <c r="BK477" s="48"/>
      <c r="BL477" s="487">
        <v>22153.973874380012</v>
      </c>
      <c r="BM477" s="47" t="s">
        <v>2487</v>
      </c>
      <c r="BN477" s="48"/>
      <c r="BO477" s="48"/>
      <c r="BP477" s="48"/>
      <c r="BQ477" s="48"/>
      <c r="BR477" s="47" t="e">
        <v>#VALUE!</v>
      </c>
      <c r="BS477" s="48"/>
      <c r="BT477" s="48"/>
      <c r="BU477" s="228"/>
      <c r="BV477" s="48"/>
      <c r="BW477" s="48"/>
      <c r="BX477" s="48"/>
      <c r="BY477" s="48"/>
      <c r="BZ477" s="48"/>
      <c r="CA477" s="48"/>
      <c r="CB477" s="48"/>
      <c r="CC477" s="48"/>
      <c r="CD477" s="48"/>
      <c r="CE477" s="48"/>
      <c r="CF477" s="48"/>
      <c r="CG477" s="48"/>
      <c r="CH477" s="48"/>
      <c r="CI477" s="98"/>
      <c r="CJ477" s="98"/>
      <c r="CK477" s="49">
        <f t="shared" si="116"/>
        <v>3143.1566492979905</v>
      </c>
      <c r="CL477" s="229"/>
      <c r="CM477" s="229"/>
      <c r="CN477" s="229"/>
      <c r="CO477" s="47" t="s">
        <v>2488</v>
      </c>
      <c r="CP477" s="500" t="s">
        <v>2489</v>
      </c>
      <c r="CQ477" s="224" t="s">
        <v>272</v>
      </c>
      <c r="CR477" s="224"/>
      <c r="CS477" s="230" t="s">
        <v>539</v>
      </c>
      <c r="CT477" s="230"/>
      <c r="CU477" s="230"/>
      <c r="CV477" s="335">
        <f t="shared" si="117"/>
        <v>22584.996417905117</v>
      </c>
      <c r="CW477" s="230">
        <f t="shared" si="112"/>
        <v>1</v>
      </c>
      <c r="CX477" s="336"/>
      <c r="CY477" s="230" t="s">
        <v>5921</v>
      </c>
    </row>
    <row r="478" spans="1:103" ht="11.25" customHeight="1" x14ac:dyDescent="0.2">
      <c r="A478" s="72">
        <v>783</v>
      </c>
      <c r="B478" s="224">
        <v>1779</v>
      </c>
      <c r="C478" s="46" t="s">
        <v>6996</v>
      </c>
      <c r="D478" s="46"/>
      <c r="E478" s="114"/>
      <c r="F478" s="114" t="s">
        <v>5117</v>
      </c>
      <c r="G478" s="225">
        <v>67209</v>
      </c>
      <c r="H478" s="47" t="s">
        <v>5118</v>
      </c>
      <c r="I478" s="47" t="s">
        <v>7991</v>
      </c>
      <c r="J478" s="47" t="s">
        <v>5119</v>
      </c>
      <c r="K478" s="47" t="s">
        <v>5120</v>
      </c>
      <c r="L478" s="47" t="s">
        <v>279</v>
      </c>
      <c r="M478" s="47" t="s">
        <v>5121</v>
      </c>
      <c r="N478" s="47"/>
      <c r="O478" s="47" t="s">
        <v>281</v>
      </c>
      <c r="P478" s="53"/>
      <c r="Q478" s="53"/>
      <c r="R478" s="53"/>
      <c r="S478" s="53"/>
      <c r="T478" s="48">
        <v>238.16</v>
      </c>
      <c r="U478" s="98">
        <v>79.5</v>
      </c>
      <c r="V478" s="98">
        <v>1382</v>
      </c>
      <c r="W478" s="98">
        <v>41.387464537495134</v>
      </c>
      <c r="X478" s="98">
        <v>79.5</v>
      </c>
      <c r="Y478" s="233">
        <v>5.66</v>
      </c>
      <c r="Z478" s="48">
        <v>-0.17</v>
      </c>
      <c r="AA478" s="48">
        <v>-0.47</v>
      </c>
      <c r="AB478" s="48">
        <v>0.08</v>
      </c>
      <c r="AC478" s="48">
        <v>0.86109999999999998</v>
      </c>
      <c r="AD478" s="48">
        <v>-0.03</v>
      </c>
      <c r="AE478" s="48">
        <v>-0.4</v>
      </c>
      <c r="AF478" s="48">
        <f t="shared" si="118"/>
        <v>-0.47</v>
      </c>
      <c r="AG478" s="49">
        <v>-7.0000000000000007E-2</v>
      </c>
      <c r="AH478" s="98">
        <v>1.33E-12</v>
      </c>
      <c r="AI478" s="98"/>
      <c r="AJ478" s="483">
        <f t="shared" si="119"/>
        <v>-10.264714685345567</v>
      </c>
      <c r="AK478" s="483"/>
      <c r="AL478" s="483">
        <f t="shared" si="120"/>
        <v>-10.264714685345567</v>
      </c>
      <c r="AM478" s="483">
        <v>-15.049899999999999</v>
      </c>
      <c r="AN478" s="226">
        <v>-10.5</v>
      </c>
      <c r="AO478" s="484">
        <v>7.55</v>
      </c>
      <c r="AP478" s="484">
        <v>-2.36</v>
      </c>
      <c r="AQ478" s="226" t="s">
        <v>6311</v>
      </c>
      <c r="AR478" s="226" t="s">
        <v>6311</v>
      </c>
      <c r="AS478" s="224"/>
      <c r="AT478" s="50" t="s">
        <v>266</v>
      </c>
      <c r="AU478" s="48">
        <v>6</v>
      </c>
      <c r="AV478" s="48">
        <v>120</v>
      </c>
      <c r="AW478" s="48">
        <v>114</v>
      </c>
      <c r="AX478" s="48">
        <v>28</v>
      </c>
      <c r="AY478" s="48" t="s">
        <v>8728</v>
      </c>
      <c r="AZ478" s="48" t="s">
        <v>1563</v>
      </c>
      <c r="BA478" s="48">
        <v>32</v>
      </c>
      <c r="BB478" s="47" t="s">
        <v>2485</v>
      </c>
      <c r="BC478" s="47" t="s">
        <v>8726</v>
      </c>
      <c r="BD478" s="47" t="s">
        <v>8374</v>
      </c>
      <c r="BE478" s="48" t="s">
        <v>2449</v>
      </c>
      <c r="BF478" s="48" t="s">
        <v>272</v>
      </c>
      <c r="BG478" s="48" t="s">
        <v>272</v>
      </c>
      <c r="BH478" s="48" t="s">
        <v>2486</v>
      </c>
      <c r="BI478" s="98">
        <v>1.5242239999999998E-3</v>
      </c>
      <c r="BJ478" s="98">
        <v>15.242240000000001</v>
      </c>
      <c r="BK478" s="48"/>
      <c r="BL478" s="487">
        <v>17391.851623981507</v>
      </c>
      <c r="BM478" s="47" t="s">
        <v>2487</v>
      </c>
      <c r="BN478" s="48"/>
      <c r="BO478" s="48"/>
      <c r="BP478" s="48"/>
      <c r="BQ478" s="48"/>
      <c r="BR478" s="47"/>
      <c r="BS478" s="48"/>
      <c r="BT478" s="48"/>
      <c r="BU478" s="228"/>
      <c r="BV478" s="48"/>
      <c r="BW478" s="48"/>
      <c r="BX478" s="48"/>
      <c r="BY478" s="48"/>
      <c r="BZ478" s="48"/>
      <c r="CA478" s="48"/>
      <c r="CB478" s="48"/>
      <c r="CC478" s="48"/>
      <c r="CD478" s="48"/>
      <c r="CE478" s="48"/>
      <c r="CF478" s="48"/>
      <c r="CG478" s="48"/>
      <c r="CH478" s="48"/>
      <c r="CI478" s="52"/>
      <c r="CJ478" s="98"/>
      <c r="CK478" s="49">
        <f t="shared" si="116"/>
        <v>1141.0299026902546</v>
      </c>
      <c r="CL478" s="229"/>
      <c r="CM478" s="229"/>
      <c r="CN478" s="229"/>
      <c r="CO478" s="47" t="s">
        <v>2488</v>
      </c>
      <c r="CP478" s="500" t="s">
        <v>2489</v>
      </c>
      <c r="CQ478" s="224" t="s">
        <v>272</v>
      </c>
      <c r="CR478" s="224"/>
      <c r="CS478" s="230" t="s">
        <v>539</v>
      </c>
      <c r="CT478" s="230"/>
      <c r="CU478" s="230"/>
      <c r="CV478" s="335">
        <f t="shared" si="117"/>
        <v>5.2157688108834392</v>
      </c>
      <c r="CW478" s="230">
        <f t="shared" si="112"/>
        <v>1</v>
      </c>
      <c r="CX478" s="336"/>
      <c r="CY478" s="230" t="s">
        <v>5921</v>
      </c>
    </row>
    <row r="479" spans="1:103" ht="11.25" customHeight="1" x14ac:dyDescent="0.2">
      <c r="A479" s="72">
        <v>784</v>
      </c>
      <c r="B479" s="224">
        <v>1785</v>
      </c>
      <c r="C479" s="46" t="s">
        <v>6997</v>
      </c>
      <c r="D479" s="46" t="s">
        <v>8559</v>
      </c>
      <c r="E479" s="114"/>
      <c r="F479" s="114" t="s">
        <v>733</v>
      </c>
      <c r="G479" s="225">
        <v>68122</v>
      </c>
      <c r="H479" s="47" t="s">
        <v>734</v>
      </c>
      <c r="I479" s="47" t="s">
        <v>734</v>
      </c>
      <c r="J479" s="47" t="s">
        <v>735</v>
      </c>
      <c r="K479" s="47" t="s">
        <v>471</v>
      </c>
      <c r="L479" s="47"/>
      <c r="M479" s="47" t="s">
        <v>2342</v>
      </c>
      <c r="N479" s="47" t="s">
        <v>2342</v>
      </c>
      <c r="O479" s="47"/>
      <c r="P479" s="53" t="s">
        <v>8537</v>
      </c>
      <c r="Q479" s="53" t="s">
        <v>6173</v>
      </c>
      <c r="R479" s="53" t="s">
        <v>8539</v>
      </c>
      <c r="S479" s="53" t="s">
        <v>6173</v>
      </c>
      <c r="T479" s="48">
        <v>73.09</v>
      </c>
      <c r="U479" s="98">
        <v>1000000</v>
      </c>
      <c r="V479" s="98">
        <v>977900</v>
      </c>
      <c r="W479" s="98">
        <v>1008922.8589982488</v>
      </c>
      <c r="X479" s="98">
        <v>1000000</v>
      </c>
      <c r="Y479" s="233">
        <v>7.39</v>
      </c>
      <c r="Z479" s="48">
        <v>-0.93</v>
      </c>
      <c r="AA479" s="48">
        <v>-1.01</v>
      </c>
      <c r="AB479" s="48">
        <v>-0.7</v>
      </c>
      <c r="AC479" s="48">
        <v>0.86360000000000003</v>
      </c>
      <c r="AD479" s="48">
        <v>-0.78</v>
      </c>
      <c r="AE479" s="48">
        <v>-1.01</v>
      </c>
      <c r="AF479" s="48">
        <f t="shared" si="118"/>
        <v>-1.01</v>
      </c>
      <c r="AG479" s="49">
        <v>-0.09</v>
      </c>
      <c r="AH479" s="98">
        <v>7.3799999999999999E-8</v>
      </c>
      <c r="AI479" s="98">
        <v>7.3900000000000007E-8</v>
      </c>
      <c r="AJ479" s="483">
        <f t="shared" si="119"/>
        <v>-5.5205099644896105</v>
      </c>
      <c r="AK479" s="483">
        <f>LOG10(AI479*1000/(0.08206*298.15))</f>
        <v>-5.5199218879178265</v>
      </c>
      <c r="AL479" s="483">
        <f t="shared" si="120"/>
        <v>-5.5199218879178265</v>
      </c>
      <c r="AM479" s="483">
        <v>-5.7034300000000009</v>
      </c>
      <c r="AN479" s="226">
        <v>-5.99</v>
      </c>
      <c r="AO479" s="484"/>
      <c r="AP479" s="484">
        <v>-0.44</v>
      </c>
      <c r="AQ479" s="226" t="s">
        <v>6311</v>
      </c>
      <c r="AR479" s="226" t="s">
        <v>6311</v>
      </c>
      <c r="AS479" s="224"/>
      <c r="AT479" s="50" t="s">
        <v>266</v>
      </c>
      <c r="AU479" s="48">
        <v>6</v>
      </c>
      <c r="AV479" s="48">
        <v>120</v>
      </c>
      <c r="AW479" s="48">
        <v>114</v>
      </c>
      <c r="AX479" s="48">
        <v>28</v>
      </c>
      <c r="AY479" s="48" t="s">
        <v>8728</v>
      </c>
      <c r="AZ479" s="48" t="s">
        <v>1563</v>
      </c>
      <c r="BA479" s="48">
        <v>32</v>
      </c>
      <c r="BB479" s="47" t="s">
        <v>2485</v>
      </c>
      <c r="BC479" s="47" t="s">
        <v>8726</v>
      </c>
      <c r="BD479" s="47" t="s">
        <v>8374</v>
      </c>
      <c r="BE479" s="48" t="s">
        <v>2449</v>
      </c>
      <c r="BF479" s="48" t="s">
        <v>272</v>
      </c>
      <c r="BG479" s="48" t="s">
        <v>272</v>
      </c>
      <c r="BH479" s="48" t="s">
        <v>2486</v>
      </c>
      <c r="BI479" s="98">
        <v>4.6777599999999999E-4</v>
      </c>
      <c r="BJ479" s="98">
        <v>4.6777600000000001</v>
      </c>
      <c r="BK479" s="48"/>
      <c r="BL479" s="487">
        <v>25697.505156875439</v>
      </c>
      <c r="BM479" s="47" t="s">
        <v>2487</v>
      </c>
      <c r="BN479" s="48"/>
      <c r="BO479" s="48"/>
      <c r="BP479" s="48"/>
      <c r="BQ479" s="48"/>
      <c r="BR479" s="47" t="e">
        <v>#VALUE!</v>
      </c>
      <c r="BS479" s="48"/>
      <c r="BT479" s="48"/>
      <c r="BU479" s="228"/>
      <c r="BV479" s="48"/>
      <c r="BW479" s="48"/>
      <c r="BX479" s="48"/>
      <c r="BY479" s="48"/>
      <c r="BZ479" s="48"/>
      <c r="CA479" s="48"/>
      <c r="CB479" s="48"/>
      <c r="CC479" s="48"/>
      <c r="CD479" s="48"/>
      <c r="CE479" s="48"/>
      <c r="CF479" s="48"/>
      <c r="CG479" s="48"/>
      <c r="CH479" s="48"/>
      <c r="CI479" s="98"/>
      <c r="CJ479" s="98"/>
      <c r="CK479" s="49">
        <f t="shared" si="116"/>
        <v>5493.5492964315054</v>
      </c>
      <c r="CL479" s="229"/>
      <c r="CM479" s="229"/>
      <c r="CN479" s="229"/>
      <c r="CO479" s="47" t="s">
        <v>2488</v>
      </c>
      <c r="CP479" s="500" t="s">
        <v>2489</v>
      </c>
      <c r="CQ479" s="224">
        <v>4.0010327659684135</v>
      </c>
      <c r="CR479" s="224">
        <f>10^(CJ479-CQ479)</f>
        <v>9.9762479375356547E-5</v>
      </c>
      <c r="CS479" s="230" t="s">
        <v>539</v>
      </c>
      <c r="CT479" s="230"/>
      <c r="CU479" s="230"/>
      <c r="CV479" s="335">
        <f t="shared" si="117"/>
        <v>213777.53454644958</v>
      </c>
      <c r="CW479" s="230">
        <f t="shared" ref="CW479:CW542" si="121">IF(CV479&lt;1,0,1)</f>
        <v>1</v>
      </c>
      <c r="CX479" s="336"/>
      <c r="CY479" s="230" t="s">
        <v>6351</v>
      </c>
    </row>
    <row r="480" spans="1:103" ht="11.25" customHeight="1" x14ac:dyDescent="0.2">
      <c r="A480" s="72">
        <v>785</v>
      </c>
      <c r="B480" s="224">
        <v>1790</v>
      </c>
      <c r="C480" s="46" t="s">
        <v>6998</v>
      </c>
      <c r="D480" s="46"/>
      <c r="E480" s="114"/>
      <c r="F480" s="114" t="s">
        <v>5147</v>
      </c>
      <c r="G480" s="225">
        <v>68224</v>
      </c>
      <c r="H480" s="47" t="s">
        <v>5148</v>
      </c>
      <c r="I480" s="47" t="s">
        <v>7992</v>
      </c>
      <c r="J480" s="47" t="s">
        <v>5149</v>
      </c>
      <c r="K480" s="47" t="s">
        <v>3289</v>
      </c>
      <c r="L480" s="47"/>
      <c r="M480" s="47" t="s">
        <v>5150</v>
      </c>
      <c r="N480" s="47"/>
      <c r="O480" s="47" t="s">
        <v>5151</v>
      </c>
      <c r="P480" s="53"/>
      <c r="Q480" s="53"/>
      <c r="R480" s="53"/>
      <c r="S480" s="53"/>
      <c r="T480" s="48">
        <v>298.42</v>
      </c>
      <c r="U480" s="98">
        <v>7.04</v>
      </c>
      <c r="V480" s="98">
        <v>117.99999999999999</v>
      </c>
      <c r="W480" s="98">
        <v>13.329931756969051</v>
      </c>
      <c r="X480" s="98">
        <v>7.04</v>
      </c>
      <c r="Y480" s="233">
        <v>7</v>
      </c>
      <c r="Z480" s="48">
        <v>2.99</v>
      </c>
      <c r="AA480" s="48">
        <v>2.97</v>
      </c>
      <c r="AB480" s="48">
        <v>2.89</v>
      </c>
      <c r="AC480" s="48">
        <v>0.93410000000000004</v>
      </c>
      <c r="AD480" s="48">
        <v>2.98</v>
      </c>
      <c r="AE480" s="48">
        <v>3.38</v>
      </c>
      <c r="AF480" s="48">
        <f t="shared" si="118"/>
        <v>2.97</v>
      </c>
      <c r="AG480" s="49">
        <v>3.15</v>
      </c>
      <c r="AH480" s="98">
        <v>5.7999999999999996E-10</v>
      </c>
      <c r="AI480" s="98"/>
      <c r="AJ480" s="483">
        <f t="shared" si="119"/>
        <v>-7.6251383327497146</v>
      </c>
      <c r="AK480" s="483"/>
      <c r="AL480" s="483">
        <f t="shared" si="120"/>
        <v>-7.6251383327497146</v>
      </c>
      <c r="AM480" s="483">
        <v>-16.08034</v>
      </c>
      <c r="AN480" s="226">
        <v>-8.58</v>
      </c>
      <c r="AO480" s="484">
        <v>13.09</v>
      </c>
      <c r="AP480" s="484"/>
      <c r="AQ480" s="226" t="s">
        <v>6311</v>
      </c>
      <c r="AR480" s="226" t="s">
        <v>6311</v>
      </c>
      <c r="AS480" s="224"/>
      <c r="AT480" s="50" t="s">
        <v>266</v>
      </c>
      <c r="AU480" s="48">
        <v>6</v>
      </c>
      <c r="AV480" s="48">
        <v>120</v>
      </c>
      <c r="AW480" s="48">
        <v>114</v>
      </c>
      <c r="AX480" s="48">
        <v>28</v>
      </c>
      <c r="AY480" s="48" t="s">
        <v>8728</v>
      </c>
      <c r="AZ480" s="48" t="s">
        <v>1563</v>
      </c>
      <c r="BA480" s="48">
        <v>32</v>
      </c>
      <c r="BB480" s="47" t="s">
        <v>2485</v>
      </c>
      <c r="BC480" s="47" t="s">
        <v>8726</v>
      </c>
      <c r="BD480" s="47" t="s">
        <v>8374</v>
      </c>
      <c r="BE480" s="48" t="s">
        <v>2449</v>
      </c>
      <c r="BF480" s="48" t="s">
        <v>272</v>
      </c>
      <c r="BG480" s="48" t="s">
        <v>272</v>
      </c>
      <c r="BH480" s="48" t="s">
        <v>2486</v>
      </c>
      <c r="BI480" s="98">
        <v>1.909888E-3</v>
      </c>
      <c r="BJ480" s="98">
        <v>19.098880000000001</v>
      </c>
      <c r="BK480" s="48"/>
      <c r="BL480" s="487">
        <v>31.645278785625681</v>
      </c>
      <c r="BM480" s="47" t="s">
        <v>2487</v>
      </c>
      <c r="BN480" s="48"/>
      <c r="BO480" s="48"/>
      <c r="BP480" s="48"/>
      <c r="BQ480" s="48"/>
      <c r="BR480" s="47" t="e">
        <v>#VALUE!</v>
      </c>
      <c r="BS480" s="48"/>
      <c r="BT480" s="48"/>
      <c r="BU480" s="228"/>
      <c r="BV480" s="48"/>
      <c r="BW480" s="48"/>
      <c r="BX480" s="48"/>
      <c r="BY480" s="48"/>
      <c r="BZ480" s="48"/>
      <c r="CA480" s="48"/>
      <c r="CB480" s="48"/>
      <c r="CC480" s="48"/>
      <c r="CD480" s="48"/>
      <c r="CE480" s="48"/>
      <c r="CF480" s="48"/>
      <c r="CG480" s="48"/>
      <c r="CH480" s="48"/>
      <c r="CI480" s="98"/>
      <c r="CJ480" s="98"/>
      <c r="CK480" s="49">
        <f t="shared" si="116"/>
        <v>1.6569180384203512</v>
      </c>
      <c r="CL480" s="229"/>
      <c r="CM480" s="229"/>
      <c r="CN480" s="229"/>
      <c r="CO480" s="47" t="s">
        <v>2488</v>
      </c>
      <c r="CP480" s="500" t="s">
        <v>2489</v>
      </c>
      <c r="CQ480" s="224" t="s">
        <v>272</v>
      </c>
      <c r="CR480" s="224"/>
      <c r="CS480" s="230" t="s">
        <v>539</v>
      </c>
      <c r="CT480" s="230"/>
      <c r="CU480" s="230"/>
      <c r="CV480" s="335">
        <f t="shared" si="117"/>
        <v>0.36860800214462836</v>
      </c>
      <c r="CW480" s="230">
        <f t="shared" si="121"/>
        <v>0</v>
      </c>
      <c r="CX480" s="336"/>
      <c r="CY480" s="230" t="s">
        <v>6351</v>
      </c>
    </row>
    <row r="481" spans="1:103" ht="11.25" customHeight="1" x14ac:dyDescent="0.2">
      <c r="A481" s="72">
        <v>786</v>
      </c>
      <c r="B481" s="224">
        <v>1382</v>
      </c>
      <c r="C481" s="46" t="s">
        <v>6999</v>
      </c>
      <c r="D481" s="46"/>
      <c r="E481" s="114"/>
      <c r="F481" s="114" t="s">
        <v>4261</v>
      </c>
      <c r="G481" s="225">
        <v>68962</v>
      </c>
      <c r="H481" s="47" t="s">
        <v>4262</v>
      </c>
      <c r="I481" s="47" t="s">
        <v>4262</v>
      </c>
      <c r="J481" s="47"/>
      <c r="K481" s="47" t="s">
        <v>3444</v>
      </c>
      <c r="L481" s="47"/>
      <c r="M481" s="47"/>
      <c r="N481" s="47"/>
      <c r="O481" s="47"/>
      <c r="P481" s="53"/>
      <c r="Q481" s="53"/>
      <c r="R481" s="53"/>
      <c r="S481" s="53"/>
      <c r="T481" s="48">
        <v>330.47</v>
      </c>
      <c r="U481" s="98">
        <v>6.48</v>
      </c>
      <c r="V481" s="98">
        <v>51.54</v>
      </c>
      <c r="W481" s="98">
        <v>30.139222208194735</v>
      </c>
      <c r="X481" s="98">
        <v>6.48</v>
      </c>
      <c r="Y481" s="233">
        <v>7</v>
      </c>
      <c r="Z481" s="48">
        <v>3.08</v>
      </c>
      <c r="AA481" s="48">
        <v>3.17</v>
      </c>
      <c r="AB481" s="48">
        <v>3.24</v>
      </c>
      <c r="AC481" s="48">
        <v>0.86319999999999997</v>
      </c>
      <c r="AD481" s="48">
        <v>3.16</v>
      </c>
      <c r="AE481" s="48">
        <v>2.89</v>
      </c>
      <c r="AF481" s="48">
        <f t="shared" si="118"/>
        <v>3.17</v>
      </c>
      <c r="AG481" s="49">
        <v>3.16</v>
      </c>
      <c r="AH481" s="98">
        <v>1.0099999999999999E-8</v>
      </c>
      <c r="AI481" s="98"/>
      <c r="AJ481" s="483">
        <f t="shared" ref="AJ481:AJ486" si="122">LOG10(AH481*1000/(0.08206*298.15))</f>
        <v>-6.3842449525300093</v>
      </c>
      <c r="AK481" s="483"/>
      <c r="AL481" s="483">
        <f t="shared" ref="AL481:AL486" si="123">IF(AK481=0,AJ481,AK481)</f>
        <v>-6.3842449525300093</v>
      </c>
      <c r="AM481" s="483">
        <v>-16.531570000000002</v>
      </c>
      <c r="AN481" s="226"/>
      <c r="AO481" s="484">
        <v>13.03</v>
      </c>
      <c r="AP481" s="484"/>
      <c r="AQ481" s="48" t="s">
        <v>6311</v>
      </c>
      <c r="AR481" s="48" t="s">
        <v>6311</v>
      </c>
      <c r="AS481" s="227"/>
      <c r="AT481" s="50" t="s">
        <v>266</v>
      </c>
      <c r="AU481" s="48">
        <v>6</v>
      </c>
      <c r="AV481" s="48">
        <v>120</v>
      </c>
      <c r="AW481" s="48">
        <v>114</v>
      </c>
      <c r="AX481" s="48">
        <v>28</v>
      </c>
      <c r="AY481" s="48" t="s">
        <v>8728</v>
      </c>
      <c r="AZ481" s="48" t="s">
        <v>1563</v>
      </c>
      <c r="BA481" s="48">
        <v>32</v>
      </c>
      <c r="BB481" s="47" t="s">
        <v>2485</v>
      </c>
      <c r="BC481" s="47" t="s">
        <v>8726</v>
      </c>
      <c r="BD481" s="47" t="s">
        <v>8374</v>
      </c>
      <c r="BE481" s="48" t="s">
        <v>2449</v>
      </c>
      <c r="BF481" s="48" t="s">
        <v>272</v>
      </c>
      <c r="BG481" s="48" t="s">
        <v>272</v>
      </c>
      <c r="BH481" s="48" t="s">
        <v>2486</v>
      </c>
      <c r="BI481" s="98">
        <v>2.1150080000000003E-3</v>
      </c>
      <c r="BJ481" s="98">
        <v>21.150080000000003</v>
      </c>
      <c r="BK481" s="48"/>
      <c r="BL481" s="487">
        <v>29.092700793995625</v>
      </c>
      <c r="BM481" s="47" t="s">
        <v>2487</v>
      </c>
      <c r="BN481" s="48"/>
      <c r="BO481" s="48"/>
      <c r="BP481" s="48"/>
      <c r="BQ481" s="48"/>
      <c r="BR481" s="47" t="e">
        <v>#VALUE!</v>
      </c>
      <c r="BS481" s="48"/>
      <c r="BT481" s="48"/>
      <c r="BU481" s="228"/>
      <c r="BV481" s="48"/>
      <c r="BW481" s="48"/>
      <c r="BX481" s="48"/>
      <c r="BY481" s="48"/>
      <c r="BZ481" s="48"/>
      <c r="CA481" s="48"/>
      <c r="CB481" s="48"/>
      <c r="CC481" s="48"/>
      <c r="CD481" s="48"/>
      <c r="CE481" s="48"/>
      <c r="CF481" s="48"/>
      <c r="CG481" s="48"/>
      <c r="CH481" s="48"/>
      <c r="CI481" s="98"/>
      <c r="CJ481" s="98"/>
      <c r="CK481" s="49">
        <f t="shared" ref="CK481:CK544" si="124">BL481/BJ481</f>
        <v>1.3755362057257288</v>
      </c>
      <c r="CL481" s="229"/>
      <c r="CM481" s="229"/>
      <c r="CN481" s="229"/>
      <c r="CO481" s="47" t="s">
        <v>2488</v>
      </c>
      <c r="CP481" s="500" t="s">
        <v>2489</v>
      </c>
      <c r="CQ481" s="224" t="s">
        <v>272</v>
      </c>
      <c r="CR481" s="224"/>
      <c r="CS481" s="230" t="s">
        <v>539</v>
      </c>
      <c r="CT481" s="230"/>
      <c r="CU481" s="230"/>
      <c r="CV481" s="335">
        <f t="shared" ref="CV481:CV544" si="125">X481/BJ481</f>
        <v>0.30638181983235996</v>
      </c>
      <c r="CW481" s="230">
        <f t="shared" si="121"/>
        <v>0</v>
      </c>
      <c r="CX481" s="336"/>
      <c r="CY481" s="230" t="s">
        <v>5921</v>
      </c>
    </row>
    <row r="482" spans="1:103" ht="11.25" customHeight="1" x14ac:dyDescent="0.2">
      <c r="A482" s="72">
        <v>787</v>
      </c>
      <c r="B482" s="224">
        <v>1578</v>
      </c>
      <c r="C482" s="46" t="s">
        <v>7000</v>
      </c>
      <c r="D482" s="46"/>
      <c r="E482" s="114"/>
      <c r="F482" s="114" t="s">
        <v>759</v>
      </c>
      <c r="G482" s="225">
        <v>69658</v>
      </c>
      <c r="H482" s="47" t="s">
        <v>760</v>
      </c>
      <c r="I482" s="47" t="s">
        <v>760</v>
      </c>
      <c r="J482" s="47" t="s">
        <v>761</v>
      </c>
      <c r="K482" s="47" t="s">
        <v>426</v>
      </c>
      <c r="L482" s="47" t="s">
        <v>279</v>
      </c>
      <c r="M482" s="47" t="s">
        <v>8519</v>
      </c>
      <c r="N482" s="47"/>
      <c r="O482" s="47" t="s">
        <v>281</v>
      </c>
      <c r="P482" s="53"/>
      <c r="Q482" s="53"/>
      <c r="R482" s="53"/>
      <c r="S482" s="53"/>
      <c r="T482" s="48">
        <v>182.17</v>
      </c>
      <c r="U482" s="98">
        <v>31000</v>
      </c>
      <c r="V482" s="98">
        <v>1000000.0000000001</v>
      </c>
      <c r="W482" s="98">
        <v>1001098.6099064347</v>
      </c>
      <c r="X482" s="98">
        <v>31000</v>
      </c>
      <c r="Y482" s="233">
        <v>6.07</v>
      </c>
      <c r="Z482" s="48">
        <v>-3.01</v>
      </c>
      <c r="AA482" s="48">
        <v>-3.1</v>
      </c>
      <c r="AB482" s="48">
        <v>-2.97</v>
      </c>
      <c r="AC482" s="48">
        <v>0.83179999999999998</v>
      </c>
      <c r="AD482" s="48">
        <v>-3.29</v>
      </c>
      <c r="AE482" s="48">
        <v>-4.67</v>
      </c>
      <c r="AF482" s="48">
        <f t="shared" si="118"/>
        <v>-3.1</v>
      </c>
      <c r="AG482" s="49">
        <v>-3.1</v>
      </c>
      <c r="AH482" s="98">
        <v>7.2600000000000004E-13</v>
      </c>
      <c r="AI482" s="98"/>
      <c r="AJ482" s="483">
        <f t="shared" si="122"/>
        <v>-10.527629705612558</v>
      </c>
      <c r="AK482" s="483"/>
      <c r="AL482" s="483">
        <f t="shared" si="123"/>
        <v>-10.527629705612558</v>
      </c>
      <c r="AM482" s="483">
        <v>-21.092560000000002</v>
      </c>
      <c r="AN482" s="226">
        <v>-16</v>
      </c>
      <c r="AO482" s="484">
        <v>13.14</v>
      </c>
      <c r="AP482" s="484"/>
      <c r="AQ482" s="48" t="s">
        <v>6311</v>
      </c>
      <c r="AR482" s="48" t="s">
        <v>6311</v>
      </c>
      <c r="AS482" s="227"/>
      <c r="AT482" s="50" t="s">
        <v>266</v>
      </c>
      <c r="AU482" s="48">
        <v>6</v>
      </c>
      <c r="AV482" s="48">
        <v>120</v>
      </c>
      <c r="AW482" s="48">
        <v>114</v>
      </c>
      <c r="AX482" s="48">
        <v>28</v>
      </c>
      <c r="AY482" s="48" t="s">
        <v>8728</v>
      </c>
      <c r="AZ482" s="48" t="s">
        <v>1563</v>
      </c>
      <c r="BA482" s="48">
        <v>32</v>
      </c>
      <c r="BB482" s="47" t="s">
        <v>2485</v>
      </c>
      <c r="BC482" s="47" t="s">
        <v>8726</v>
      </c>
      <c r="BD482" s="47" t="s">
        <v>8374</v>
      </c>
      <c r="BE482" s="48" t="s">
        <v>2449</v>
      </c>
      <c r="BF482" s="48" t="s">
        <v>272</v>
      </c>
      <c r="BG482" s="48" t="s">
        <v>272</v>
      </c>
      <c r="BH482" s="48" t="s">
        <v>2486</v>
      </c>
      <c r="BI482" s="98">
        <v>1.1658879999999999E-3</v>
      </c>
      <c r="BJ482" s="98">
        <v>11.65888</v>
      </c>
      <c r="BK482" s="48"/>
      <c r="BL482" s="487">
        <v>4726698.0353453439</v>
      </c>
      <c r="BM482" s="47" t="s">
        <v>2487</v>
      </c>
      <c r="BN482" s="48"/>
      <c r="BO482" s="48"/>
      <c r="BP482" s="48"/>
      <c r="BQ482" s="48"/>
      <c r="BR482" s="47" t="e">
        <v>#VALUE!</v>
      </c>
      <c r="BS482" s="48"/>
      <c r="BT482" s="48"/>
      <c r="BU482" s="228"/>
      <c r="BV482" s="48"/>
      <c r="BW482" s="48"/>
      <c r="BX482" s="48"/>
      <c r="BY482" s="48"/>
      <c r="BZ482" s="48"/>
      <c r="CA482" s="48"/>
      <c r="CB482" s="48"/>
      <c r="CC482" s="48"/>
      <c r="CD482" s="48"/>
      <c r="CE482" s="48"/>
      <c r="CF482" s="48"/>
      <c r="CG482" s="48"/>
      <c r="CH482" s="48"/>
      <c r="CI482" s="98"/>
      <c r="CJ482" s="98"/>
      <c r="CK482" s="49">
        <f t="shared" si="124"/>
        <v>405416.1321966899</v>
      </c>
      <c r="CL482" s="229"/>
      <c r="CM482" s="229"/>
      <c r="CN482" s="229"/>
      <c r="CO482" s="47" t="s">
        <v>2488</v>
      </c>
      <c r="CP482" s="500" t="s">
        <v>2489</v>
      </c>
      <c r="CQ482" s="224" t="s">
        <v>272</v>
      </c>
      <c r="CR482" s="224"/>
      <c r="CS482" s="230" t="s">
        <v>539</v>
      </c>
      <c r="CT482" s="230"/>
      <c r="CU482" s="230"/>
      <c r="CV482" s="335">
        <f t="shared" si="125"/>
        <v>2658.9174946478565</v>
      </c>
      <c r="CW482" s="230">
        <f t="shared" si="121"/>
        <v>1</v>
      </c>
      <c r="CX482" s="336"/>
      <c r="CY482" s="230" t="s">
        <v>5921</v>
      </c>
    </row>
    <row r="483" spans="1:103" ht="11.25" customHeight="1" x14ac:dyDescent="0.2">
      <c r="A483" s="72">
        <v>788</v>
      </c>
      <c r="B483" s="224">
        <v>1577</v>
      </c>
      <c r="C483" s="46" t="s">
        <v>7001</v>
      </c>
      <c r="D483" s="46"/>
      <c r="E483" s="114"/>
      <c r="F483" s="114" t="s">
        <v>4719</v>
      </c>
      <c r="G483" s="225">
        <v>69749</v>
      </c>
      <c r="H483" s="47" t="s">
        <v>4720</v>
      </c>
      <c r="I483" s="47" t="s">
        <v>7993</v>
      </c>
      <c r="J483" s="47" t="s">
        <v>4721</v>
      </c>
      <c r="K483" s="47" t="s">
        <v>426</v>
      </c>
      <c r="L483" s="47"/>
      <c r="M483" s="47"/>
      <c r="N483" s="47"/>
      <c r="O483" s="47"/>
      <c r="P483" s="53"/>
      <c r="Q483" s="53"/>
      <c r="R483" s="53"/>
      <c r="S483" s="53"/>
      <c r="T483" s="48">
        <v>279.68</v>
      </c>
      <c r="U483" s="98"/>
      <c r="V483" s="98">
        <v>999999.99999999988</v>
      </c>
      <c r="W483" s="98">
        <v>3285.9534816548758</v>
      </c>
      <c r="X483" s="98">
        <v>3285.9534816548758</v>
      </c>
      <c r="Y483" s="233">
        <v>7.53</v>
      </c>
      <c r="Z483" s="48">
        <v>-4.3899999999999997</v>
      </c>
      <c r="AA483" s="48"/>
      <c r="AB483" s="48"/>
      <c r="AC483" s="48"/>
      <c r="AD483" s="48"/>
      <c r="AE483" s="48"/>
      <c r="AF483" s="48"/>
      <c r="AG483" s="49">
        <v>-2.5099999999999998</v>
      </c>
      <c r="AH483" s="98">
        <v>1.4499999999999999E-26</v>
      </c>
      <c r="AI483" s="98"/>
      <c r="AJ483" s="483">
        <f t="shared" si="122"/>
        <v>-24.227198324077676</v>
      </c>
      <c r="AK483" s="483"/>
      <c r="AL483" s="483">
        <f t="shared" si="123"/>
        <v>-24.227198324077676</v>
      </c>
      <c r="AM483" s="483"/>
      <c r="AN483" s="226">
        <v>-22.2</v>
      </c>
      <c r="AO483" s="484">
        <v>13.48</v>
      </c>
      <c r="AP483" s="484">
        <v>3.17</v>
      </c>
      <c r="AQ483" s="48" t="s">
        <v>6311</v>
      </c>
      <c r="AR483" s="48" t="s">
        <v>6316</v>
      </c>
      <c r="AS483" s="227"/>
      <c r="AT483" s="50" t="s">
        <v>266</v>
      </c>
      <c r="AU483" s="48">
        <v>6</v>
      </c>
      <c r="AV483" s="48">
        <v>120</v>
      </c>
      <c r="AW483" s="48">
        <v>114</v>
      </c>
      <c r="AX483" s="48">
        <v>28</v>
      </c>
      <c r="AY483" s="48" t="s">
        <v>8728</v>
      </c>
      <c r="AZ483" s="48" t="s">
        <v>1563</v>
      </c>
      <c r="BA483" s="48">
        <v>32</v>
      </c>
      <c r="BB483" s="47" t="s">
        <v>2485</v>
      </c>
      <c r="BC483" s="47" t="s">
        <v>8726</v>
      </c>
      <c r="BD483" s="47" t="s">
        <v>8374</v>
      </c>
      <c r="BE483" s="48" t="s">
        <v>2449</v>
      </c>
      <c r="BF483" s="48" t="s">
        <v>272</v>
      </c>
      <c r="BG483" s="48" t="s">
        <v>272</v>
      </c>
      <c r="BH483" s="48" t="s">
        <v>2486</v>
      </c>
      <c r="BI483" s="98">
        <v>1.789952E-3</v>
      </c>
      <c r="BJ483" s="98">
        <v>17.899520000000003</v>
      </c>
      <c r="BK483" s="48"/>
      <c r="BL483" s="487">
        <v>125927450.53998476</v>
      </c>
      <c r="BM483" s="47" t="s">
        <v>2487</v>
      </c>
      <c r="BN483" s="48"/>
      <c r="BO483" s="48"/>
      <c r="BP483" s="48"/>
      <c r="BQ483" s="48"/>
      <c r="BR483" s="47" t="e">
        <v>#VALUE!</v>
      </c>
      <c r="BS483" s="48"/>
      <c r="BT483" s="48"/>
      <c r="BU483" s="228"/>
      <c r="BV483" s="48"/>
      <c r="BW483" s="48"/>
      <c r="BX483" s="48"/>
      <c r="BY483" s="48"/>
      <c r="BZ483" s="48"/>
      <c r="CA483" s="48"/>
      <c r="CB483" s="48"/>
      <c r="CC483" s="48"/>
      <c r="CD483" s="48"/>
      <c r="CE483" s="48"/>
      <c r="CF483" s="48"/>
      <c r="CG483" s="48"/>
      <c r="CH483" s="48"/>
      <c r="CI483" s="98"/>
      <c r="CJ483" s="98"/>
      <c r="CK483" s="49">
        <f t="shared" si="124"/>
        <v>7035241.7573200148</v>
      </c>
      <c r="CL483" s="229"/>
      <c r="CM483" s="229"/>
      <c r="CN483" s="229"/>
      <c r="CO483" s="47" t="s">
        <v>2488</v>
      </c>
      <c r="CP483" s="500" t="s">
        <v>2489</v>
      </c>
      <c r="CQ483" s="224" t="s">
        <v>272</v>
      </c>
      <c r="CR483" s="224"/>
      <c r="CS483" s="230" t="s">
        <v>539</v>
      </c>
      <c r="CT483" s="230"/>
      <c r="CU483" s="230"/>
      <c r="CV483" s="335">
        <f t="shared" si="125"/>
        <v>183.57774295930145</v>
      </c>
      <c r="CW483" s="230">
        <f t="shared" si="121"/>
        <v>1</v>
      </c>
      <c r="CX483" s="336"/>
      <c r="CY483" s="230" t="s">
        <v>5921</v>
      </c>
    </row>
    <row r="484" spans="1:103" ht="11.25" customHeight="1" x14ac:dyDescent="0.2">
      <c r="A484" s="72">
        <v>789</v>
      </c>
      <c r="B484" s="224">
        <v>1120</v>
      </c>
      <c r="C484" s="46" t="s">
        <v>1701</v>
      </c>
      <c r="D484" s="46" t="s">
        <v>8561</v>
      </c>
      <c r="E484" s="114"/>
      <c r="F484" s="114" t="s">
        <v>1702</v>
      </c>
      <c r="G484" s="225">
        <v>72208</v>
      </c>
      <c r="H484" s="47" t="s">
        <v>1703</v>
      </c>
      <c r="I484" s="47" t="s">
        <v>7988</v>
      </c>
      <c r="J484" s="47" t="s">
        <v>1704</v>
      </c>
      <c r="K484" s="47" t="s">
        <v>1705</v>
      </c>
      <c r="L484" s="47" t="s">
        <v>617</v>
      </c>
      <c r="M484" s="47" t="s">
        <v>3081</v>
      </c>
      <c r="N484" s="47" t="s">
        <v>6376</v>
      </c>
      <c r="O484" s="47" t="s">
        <v>1706</v>
      </c>
      <c r="P484" s="53" t="s">
        <v>6172</v>
      </c>
      <c r="Q484" s="53" t="s">
        <v>6176</v>
      </c>
      <c r="R484" s="53" t="s">
        <v>6181</v>
      </c>
      <c r="S484" s="53" t="s">
        <v>6173</v>
      </c>
      <c r="T484" s="48">
        <v>380.91</v>
      </c>
      <c r="U484" s="98">
        <v>0.25</v>
      </c>
      <c r="V484" s="98">
        <v>0.14549999999999999</v>
      </c>
      <c r="W484" s="98">
        <v>0.16248840450671448</v>
      </c>
      <c r="X484" s="98">
        <v>0.25</v>
      </c>
      <c r="Y484" s="233">
        <v>7</v>
      </c>
      <c r="Z484" s="48">
        <v>5.45</v>
      </c>
      <c r="AA484" s="48">
        <v>5.2</v>
      </c>
      <c r="AB484" s="48">
        <v>4.97</v>
      </c>
      <c r="AC484" s="48">
        <v>0.6804</v>
      </c>
      <c r="AD484" s="48">
        <v>4.9400000000000004</v>
      </c>
      <c r="AE484" s="48">
        <v>4.88</v>
      </c>
      <c r="AF484" s="48">
        <f t="shared" ref="AF484:AF547" si="126">IF(AA484=0,AD484,AA484)</f>
        <v>5.2</v>
      </c>
      <c r="AG484" s="49">
        <v>4.05</v>
      </c>
      <c r="AH484" s="98">
        <v>5.4099999999999999E-7</v>
      </c>
      <c r="AI484" s="98">
        <v>1.0000000000000001E-5</v>
      </c>
      <c r="AJ484" s="483">
        <f t="shared" si="122"/>
        <v>-4.6553690612060823</v>
      </c>
      <c r="AK484" s="483">
        <f>LOG10(AI484*1000/(0.08206*298.15))</f>
        <v>-3.388566326312652</v>
      </c>
      <c r="AL484" s="483">
        <f t="shared" si="123"/>
        <v>-3.388566326312652</v>
      </c>
      <c r="AM484" s="483">
        <v>-9.114469999999999</v>
      </c>
      <c r="AN484" s="226">
        <v>-4.32</v>
      </c>
      <c r="AO484" s="484"/>
      <c r="AP484" s="484"/>
      <c r="AQ484" s="48" t="s">
        <v>6312</v>
      </c>
      <c r="AR484" s="48" t="s">
        <v>6311</v>
      </c>
      <c r="AS484" s="227"/>
      <c r="AT484" s="50" t="s">
        <v>266</v>
      </c>
      <c r="AU484" s="48">
        <v>6</v>
      </c>
      <c r="AV484" s="48">
        <v>120</v>
      </c>
      <c r="AW484" s="48">
        <v>114</v>
      </c>
      <c r="AX484" s="48">
        <v>28</v>
      </c>
      <c r="AY484" s="48" t="s">
        <v>8728</v>
      </c>
      <c r="AZ484" s="48" t="s">
        <v>1563</v>
      </c>
      <c r="BA484" s="48">
        <v>32</v>
      </c>
      <c r="BB484" s="47" t="s">
        <v>2485</v>
      </c>
      <c r="BC484" s="47" t="s">
        <v>8726</v>
      </c>
      <c r="BD484" s="47" t="s">
        <v>8374</v>
      </c>
      <c r="BE484" s="48" t="s">
        <v>2449</v>
      </c>
      <c r="BF484" s="48" t="s">
        <v>272</v>
      </c>
      <c r="BG484" s="48" t="s">
        <v>272</v>
      </c>
      <c r="BH484" s="48" t="s">
        <v>2486</v>
      </c>
      <c r="BI484" s="98">
        <v>2.4378239999999999E-3</v>
      </c>
      <c r="BJ484" s="98">
        <v>24.378240000000002</v>
      </c>
      <c r="BK484" s="48"/>
      <c r="BL484" s="487">
        <v>0.24944647679838694</v>
      </c>
      <c r="BM484" s="47" t="s">
        <v>2487</v>
      </c>
      <c r="BN484" s="48"/>
      <c r="BO484" s="48"/>
      <c r="BP484" s="48"/>
      <c r="BQ484" s="48"/>
      <c r="BR484" s="47" t="e">
        <v>#VALUE!</v>
      </c>
      <c r="BS484" s="48"/>
      <c r="BT484" s="48"/>
      <c r="BU484" s="228">
        <v>2.4378239999999999E-3</v>
      </c>
      <c r="BV484" s="48"/>
      <c r="BW484" s="48"/>
      <c r="BX484" s="48"/>
      <c r="BY484" s="48"/>
      <c r="BZ484" s="48"/>
      <c r="CA484" s="48"/>
      <c r="CB484" s="48"/>
      <c r="CC484" s="48"/>
      <c r="CD484" s="48"/>
      <c r="CE484" s="48"/>
      <c r="CF484" s="48"/>
      <c r="CG484" s="48"/>
      <c r="CH484" s="48"/>
      <c r="CI484" s="98"/>
      <c r="CJ484" s="98"/>
      <c r="CK484" s="49">
        <f t="shared" si="124"/>
        <v>1.0232341497925483E-2</v>
      </c>
      <c r="CL484" s="229"/>
      <c r="CM484" s="229"/>
      <c r="CN484" s="229"/>
      <c r="CO484" s="47" t="s">
        <v>2488</v>
      </c>
      <c r="CP484" s="500" t="s">
        <v>2489</v>
      </c>
      <c r="CQ484" s="224">
        <v>-3.1296548654173053</v>
      </c>
      <c r="CR484" s="224">
        <f>10^(CJ484-CQ484)</f>
        <v>1347.8912852911831</v>
      </c>
      <c r="CS484" s="230" t="s">
        <v>539</v>
      </c>
      <c r="CT484" s="230"/>
      <c r="CU484" s="230"/>
      <c r="CV484" s="335">
        <f t="shared" si="125"/>
        <v>1.0255047123992543E-2</v>
      </c>
      <c r="CW484" s="230">
        <f t="shared" si="121"/>
        <v>0</v>
      </c>
      <c r="CX484" s="336"/>
      <c r="CY484" s="230" t="s">
        <v>5921</v>
      </c>
    </row>
    <row r="485" spans="1:103" ht="11.25" customHeight="1" x14ac:dyDescent="0.2">
      <c r="A485" s="72">
        <v>791</v>
      </c>
      <c r="B485" s="224">
        <v>1718</v>
      </c>
      <c r="C485" s="46" t="s">
        <v>7002</v>
      </c>
      <c r="D485" s="46"/>
      <c r="E485" s="114"/>
      <c r="F485" s="114" t="s">
        <v>4991</v>
      </c>
      <c r="G485" s="225">
        <v>73223</v>
      </c>
      <c r="H485" s="47" t="s">
        <v>4992</v>
      </c>
      <c r="I485" s="47" t="s">
        <v>7994</v>
      </c>
      <c r="J485" s="47" t="s">
        <v>4993</v>
      </c>
      <c r="K485" s="47" t="s">
        <v>4994</v>
      </c>
      <c r="L485" s="47" t="s">
        <v>279</v>
      </c>
      <c r="M485" s="47" t="s">
        <v>8520</v>
      </c>
      <c r="N485" s="47"/>
      <c r="O485" s="47" t="s">
        <v>281</v>
      </c>
      <c r="P485" s="53"/>
      <c r="Q485" s="53"/>
      <c r="R485" s="53"/>
      <c r="S485" s="53"/>
      <c r="T485" s="48">
        <v>204.23</v>
      </c>
      <c r="U485" s="98">
        <v>13400.000000000002</v>
      </c>
      <c r="V485" s="98">
        <v>2848</v>
      </c>
      <c r="W485" s="98">
        <v>17382.792154207127</v>
      </c>
      <c r="X485" s="98">
        <v>13400.000000000002</v>
      </c>
      <c r="Y485" s="233">
        <v>5.95</v>
      </c>
      <c r="Z485" s="48">
        <v>-1.22</v>
      </c>
      <c r="AA485" s="48">
        <v>-1.06</v>
      </c>
      <c r="AB485" s="48">
        <v>1.54</v>
      </c>
      <c r="AC485" s="48">
        <v>0.92100000000000004</v>
      </c>
      <c r="AD485" s="48">
        <v>1.44</v>
      </c>
      <c r="AE485" s="48">
        <v>1.04</v>
      </c>
      <c r="AF485" s="48">
        <f t="shared" si="126"/>
        <v>-1.06</v>
      </c>
      <c r="AG485" s="49">
        <v>-0.01</v>
      </c>
      <c r="AH485" s="98">
        <v>1.9800000000000001E-14</v>
      </c>
      <c r="AI485" s="98"/>
      <c r="AJ485" s="483">
        <f t="shared" si="122"/>
        <v>-12.091901136051121</v>
      </c>
      <c r="AK485" s="483"/>
      <c r="AL485" s="483">
        <f t="shared" si="123"/>
        <v>-12.091901136051121</v>
      </c>
      <c r="AM485" s="483">
        <v>-17.059670000000001</v>
      </c>
      <c r="AN485" s="226">
        <v>-13.5</v>
      </c>
      <c r="AO485" s="484">
        <v>2.2999999999999998</v>
      </c>
      <c r="AP485" s="484">
        <v>9.7100000000000009</v>
      </c>
      <c r="AQ485" s="226" t="s">
        <v>6311</v>
      </c>
      <c r="AR485" s="226" t="s">
        <v>6311</v>
      </c>
      <c r="AS485" s="224"/>
      <c r="AT485" s="50" t="s">
        <v>266</v>
      </c>
      <c r="AU485" s="48">
        <v>6</v>
      </c>
      <c r="AV485" s="48">
        <v>120</v>
      </c>
      <c r="AW485" s="48">
        <v>114</v>
      </c>
      <c r="AX485" s="48">
        <v>28</v>
      </c>
      <c r="AY485" s="48" t="s">
        <v>8728</v>
      </c>
      <c r="AZ485" s="48" t="s">
        <v>1563</v>
      </c>
      <c r="BA485" s="48">
        <v>32</v>
      </c>
      <c r="BB485" s="47" t="s">
        <v>2485</v>
      </c>
      <c r="BC485" s="47" t="s">
        <v>8726</v>
      </c>
      <c r="BD485" s="47" t="s">
        <v>8374</v>
      </c>
      <c r="BE485" s="48" t="s">
        <v>2449</v>
      </c>
      <c r="BF485" s="48" t="s">
        <v>272</v>
      </c>
      <c r="BG485" s="48" t="s">
        <v>272</v>
      </c>
      <c r="BH485" s="48" t="s">
        <v>2486</v>
      </c>
      <c r="BI485" s="98">
        <v>1.3070719999999998E-3</v>
      </c>
      <c r="BJ485" s="98">
        <v>13.07072</v>
      </c>
      <c r="BK485" s="48"/>
      <c r="BL485" s="487">
        <v>130798.13070869441</v>
      </c>
      <c r="BM485" s="47" t="s">
        <v>2487</v>
      </c>
      <c r="BN485" s="48"/>
      <c r="BO485" s="48"/>
      <c r="BP485" s="48"/>
      <c r="BQ485" s="48"/>
      <c r="BR485" s="47" t="e">
        <v>#VALUE!</v>
      </c>
      <c r="BS485" s="48"/>
      <c r="BT485" s="48"/>
      <c r="BU485" s="228"/>
      <c r="BV485" s="48"/>
      <c r="BW485" s="48"/>
      <c r="BX485" s="48"/>
      <c r="BY485" s="48"/>
      <c r="BZ485" s="48"/>
      <c r="CA485" s="48"/>
      <c r="CB485" s="48"/>
      <c r="CC485" s="48"/>
      <c r="CD485" s="48"/>
      <c r="CE485" s="48"/>
      <c r="CF485" s="48"/>
      <c r="CG485" s="48"/>
      <c r="CH485" s="48"/>
      <c r="CI485" s="98"/>
      <c r="CJ485" s="98"/>
      <c r="CK485" s="49">
        <f t="shared" si="124"/>
        <v>10006.956824772806</v>
      </c>
      <c r="CL485" s="229"/>
      <c r="CM485" s="229"/>
      <c r="CN485" s="229"/>
      <c r="CO485" s="47" t="s">
        <v>2488</v>
      </c>
      <c r="CP485" s="500" t="s">
        <v>2489</v>
      </c>
      <c r="CQ485" s="224" t="s">
        <v>272</v>
      </c>
      <c r="CR485" s="224"/>
      <c r="CS485" s="230" t="s">
        <v>539</v>
      </c>
      <c r="CT485" s="230"/>
      <c r="CU485" s="230"/>
      <c r="CV485" s="335">
        <f t="shared" si="125"/>
        <v>1025.1921852813007</v>
      </c>
      <c r="CW485" s="230">
        <f t="shared" si="121"/>
        <v>1</v>
      </c>
      <c r="CX485" s="336"/>
      <c r="CY485" s="230" t="s">
        <v>6351</v>
      </c>
    </row>
    <row r="486" spans="1:103" ht="11.25" customHeight="1" x14ac:dyDescent="0.2">
      <c r="A486" s="72">
        <v>792</v>
      </c>
      <c r="B486" s="224">
        <v>1682</v>
      </c>
      <c r="C486" s="46" t="s">
        <v>1713</v>
      </c>
      <c r="D486" s="46" t="s">
        <v>8359</v>
      </c>
      <c r="E486" s="114"/>
      <c r="F486" s="114" t="s">
        <v>1714</v>
      </c>
      <c r="G486" s="225">
        <v>75127</v>
      </c>
      <c r="H486" s="47" t="s">
        <v>1715</v>
      </c>
      <c r="I486" s="47" t="s">
        <v>1715</v>
      </c>
      <c r="J486" s="47" t="s">
        <v>1716</v>
      </c>
      <c r="K486" s="47" t="s">
        <v>471</v>
      </c>
      <c r="L486" s="47"/>
      <c r="M486" s="47"/>
      <c r="N486" s="47"/>
      <c r="O486" s="47"/>
      <c r="P486" s="53"/>
      <c r="Q486" s="53"/>
      <c r="R486" s="53"/>
      <c r="S486" s="53"/>
      <c r="T486" s="48">
        <v>45.04</v>
      </c>
      <c r="U486" s="98">
        <v>1000000</v>
      </c>
      <c r="V486" s="98">
        <v>1000000</v>
      </c>
      <c r="W486" s="98">
        <v>898666.14666198369</v>
      </c>
      <c r="X486" s="98">
        <v>1000000</v>
      </c>
      <c r="Y486" s="233">
        <v>7.42</v>
      </c>
      <c r="Z486" s="48">
        <v>-1.61</v>
      </c>
      <c r="AA486" s="48">
        <v>-1.51</v>
      </c>
      <c r="AB486" s="48">
        <v>-1.27</v>
      </c>
      <c r="AC486" s="48">
        <v>0.85529999999999995</v>
      </c>
      <c r="AD486" s="48">
        <v>-1.34</v>
      </c>
      <c r="AE486" s="48">
        <v>-1.51</v>
      </c>
      <c r="AF486" s="48">
        <f t="shared" si="126"/>
        <v>-1.51</v>
      </c>
      <c r="AG486" s="49">
        <v>-0.89</v>
      </c>
      <c r="AH486" s="98">
        <v>1.5300000000000001E-8</v>
      </c>
      <c r="AI486" s="98">
        <v>1.39E-9</v>
      </c>
      <c r="AJ486" s="483">
        <f t="shared" si="122"/>
        <v>-6.2038748954950531</v>
      </c>
      <c r="AK486" s="483">
        <f>LOG10(AI486*1000/(0.08206*298.15))</f>
        <v>-7.2455515260585566</v>
      </c>
      <c r="AL486" s="483">
        <f t="shared" si="123"/>
        <v>-7.2455515260585566</v>
      </c>
      <c r="AM486" s="483">
        <v>-7.3395299999999999</v>
      </c>
      <c r="AN486" s="226">
        <v>-7.27</v>
      </c>
      <c r="AO486" s="484">
        <v>16.5</v>
      </c>
      <c r="AP486" s="484">
        <v>-0.5</v>
      </c>
      <c r="AQ486" s="226" t="s">
        <v>6311</v>
      </c>
      <c r="AR486" s="226" t="s">
        <v>6311</v>
      </c>
      <c r="AS486" s="224"/>
      <c r="AT486" s="50" t="s">
        <v>266</v>
      </c>
      <c r="AU486" s="48">
        <v>6</v>
      </c>
      <c r="AV486" s="48">
        <v>120</v>
      </c>
      <c r="AW486" s="48">
        <v>114</v>
      </c>
      <c r="AX486" s="48">
        <v>28</v>
      </c>
      <c r="AY486" s="48" t="s">
        <v>8728</v>
      </c>
      <c r="AZ486" s="48" t="s">
        <v>1563</v>
      </c>
      <c r="BA486" s="48">
        <v>32</v>
      </c>
      <c r="BB486" s="47" t="s">
        <v>2485</v>
      </c>
      <c r="BC486" s="47" t="s">
        <v>8726</v>
      </c>
      <c r="BD486" s="47" t="s">
        <v>8374</v>
      </c>
      <c r="BE486" s="48" t="s">
        <v>2449</v>
      </c>
      <c r="BF486" s="48" t="s">
        <v>272</v>
      </c>
      <c r="BG486" s="48" t="s">
        <v>272</v>
      </c>
      <c r="BH486" s="48" t="s">
        <v>2486</v>
      </c>
      <c r="BI486" s="98">
        <v>2.8825599999999997E-4</v>
      </c>
      <c r="BJ486" s="98">
        <v>2.8825599999999998</v>
      </c>
      <c r="BK486" s="48"/>
      <c r="BL486" s="487">
        <v>64615.897632339525</v>
      </c>
      <c r="BM486" s="47" t="s">
        <v>2487</v>
      </c>
      <c r="BN486" s="48"/>
      <c r="BO486" s="48"/>
      <c r="BP486" s="48"/>
      <c r="BQ486" s="48"/>
      <c r="BR486" s="47" t="e">
        <v>#VALUE!</v>
      </c>
      <c r="BS486" s="48"/>
      <c r="BT486" s="48"/>
      <c r="BU486" s="228"/>
      <c r="BV486" s="48"/>
      <c r="BW486" s="48"/>
      <c r="BX486" s="48"/>
      <c r="BY486" s="48"/>
      <c r="BZ486" s="48"/>
      <c r="CA486" s="48"/>
      <c r="CB486" s="48"/>
      <c r="CC486" s="48"/>
      <c r="CD486" s="48"/>
      <c r="CE486" s="48"/>
      <c r="CF486" s="48"/>
      <c r="CG486" s="48"/>
      <c r="CH486" s="48"/>
      <c r="CI486" s="98"/>
      <c r="CJ486" s="98"/>
      <c r="CK486" s="49">
        <f t="shared" si="124"/>
        <v>22416.150100028979</v>
      </c>
      <c r="CL486" s="229"/>
      <c r="CM486" s="229"/>
      <c r="CN486" s="229"/>
      <c r="CO486" s="47" t="s">
        <v>2488</v>
      </c>
      <c r="CP486" s="500" t="s">
        <v>2489</v>
      </c>
      <c r="CQ486" s="224" t="s">
        <v>272</v>
      </c>
      <c r="CR486" s="224"/>
      <c r="CS486" s="230" t="s">
        <v>539</v>
      </c>
      <c r="CT486" s="230"/>
      <c r="CU486" s="230"/>
      <c r="CV486" s="335">
        <f t="shared" si="125"/>
        <v>346913.85435168742</v>
      </c>
      <c r="CW486" s="230">
        <f t="shared" si="121"/>
        <v>1</v>
      </c>
      <c r="CX486" s="336"/>
      <c r="CY486" s="230" t="s">
        <v>6351</v>
      </c>
    </row>
    <row r="487" spans="1:103" ht="11.25" customHeight="1" x14ac:dyDescent="0.2">
      <c r="A487" s="72">
        <v>794</v>
      </c>
      <c r="B487" s="224">
        <v>1109</v>
      </c>
      <c r="C487" s="46" t="s">
        <v>7004</v>
      </c>
      <c r="D487" s="46"/>
      <c r="E487" s="114"/>
      <c r="F487" s="114" t="s">
        <v>3099</v>
      </c>
      <c r="G487" s="225">
        <v>75605</v>
      </c>
      <c r="H487" s="47" t="s">
        <v>3100</v>
      </c>
      <c r="I487" s="47" t="s">
        <v>3100</v>
      </c>
      <c r="J487" s="47" t="s">
        <v>3101</v>
      </c>
      <c r="K487" s="47" t="s">
        <v>426</v>
      </c>
      <c r="L487" s="47"/>
      <c r="M487" s="47"/>
      <c r="N487" s="47"/>
      <c r="O487" s="47"/>
      <c r="P487" s="53"/>
      <c r="Q487" s="53"/>
      <c r="R487" s="53"/>
      <c r="S487" s="53"/>
      <c r="T487" s="48">
        <v>138</v>
      </c>
      <c r="U487" s="98">
        <v>2000000</v>
      </c>
      <c r="V487" s="98">
        <v>134800</v>
      </c>
      <c r="W487" s="98">
        <v>151313.99106775955</v>
      </c>
      <c r="X487" s="98">
        <v>2000000</v>
      </c>
      <c r="Y487" s="233">
        <v>3.13</v>
      </c>
      <c r="Z487" s="48">
        <v>0.36</v>
      </c>
      <c r="AA487" s="48"/>
      <c r="AB487" s="48">
        <v>-0.12</v>
      </c>
      <c r="AC487" s="48">
        <v>0.32100000000000001</v>
      </c>
      <c r="AD487" s="48">
        <v>-1.06</v>
      </c>
      <c r="AE487" s="48">
        <v>-1.62</v>
      </c>
      <c r="AF487" s="48">
        <f t="shared" si="126"/>
        <v>-1.06</v>
      </c>
      <c r="AG487" s="49">
        <v>-1.06</v>
      </c>
      <c r="AH487" s="98"/>
      <c r="AI487" s="98"/>
      <c r="AJ487" s="483"/>
      <c r="AK487" s="483"/>
      <c r="AL487" s="483"/>
      <c r="AM487" s="483">
        <v>-5.7197300000000002</v>
      </c>
      <c r="AN487" s="226"/>
      <c r="AO487" s="484">
        <v>6.3</v>
      </c>
      <c r="AP487" s="484"/>
      <c r="AQ487" s="48" t="s">
        <v>6311</v>
      </c>
      <c r="AR487" s="48" t="s">
        <v>6311</v>
      </c>
      <c r="AS487" s="227"/>
      <c r="AT487" s="50" t="s">
        <v>266</v>
      </c>
      <c r="AU487" s="48">
        <v>6</v>
      </c>
      <c r="AV487" s="48">
        <v>120</v>
      </c>
      <c r="AW487" s="48">
        <v>114</v>
      </c>
      <c r="AX487" s="48">
        <v>28</v>
      </c>
      <c r="AY487" s="48" t="s">
        <v>8728</v>
      </c>
      <c r="AZ487" s="48" t="s">
        <v>1563</v>
      </c>
      <c r="BA487" s="48">
        <v>32</v>
      </c>
      <c r="BB487" s="47" t="s">
        <v>2485</v>
      </c>
      <c r="BC487" s="47" t="s">
        <v>8726</v>
      </c>
      <c r="BD487" s="47" t="s">
        <v>8374</v>
      </c>
      <c r="BE487" s="48" t="s">
        <v>2449</v>
      </c>
      <c r="BF487" s="48" t="s">
        <v>272</v>
      </c>
      <c r="BG487" s="48" t="s">
        <v>272</v>
      </c>
      <c r="BH487" s="48" t="s">
        <v>2486</v>
      </c>
      <c r="BI487" s="98">
        <v>8.832E-4</v>
      </c>
      <c r="BJ487" s="98">
        <v>8.8320000000000007</v>
      </c>
      <c r="BK487" s="48"/>
      <c r="BL487" s="487">
        <v>3367.9302324771243</v>
      </c>
      <c r="BM487" s="47" t="s">
        <v>2487</v>
      </c>
      <c r="BN487" s="48"/>
      <c r="BO487" s="48"/>
      <c r="BP487" s="48"/>
      <c r="BQ487" s="48"/>
      <c r="BR487" s="47" t="e">
        <v>#VALUE!</v>
      </c>
      <c r="BS487" s="48"/>
      <c r="BT487" s="48"/>
      <c r="BU487" s="228">
        <v>8.832E-4</v>
      </c>
      <c r="BV487" s="48"/>
      <c r="BW487" s="48"/>
      <c r="BX487" s="48"/>
      <c r="BY487" s="48"/>
      <c r="BZ487" s="48"/>
      <c r="CA487" s="48"/>
      <c r="CB487" s="48"/>
      <c r="CC487" s="48"/>
      <c r="CD487" s="48"/>
      <c r="CE487" s="48"/>
      <c r="CF487" s="48"/>
      <c r="CG487" s="48"/>
      <c r="CH487" s="48"/>
      <c r="CI487" s="98"/>
      <c r="CJ487" s="98"/>
      <c r="CK487" s="49">
        <f t="shared" si="124"/>
        <v>381.33268030764538</v>
      </c>
      <c r="CL487" s="229"/>
      <c r="CM487" s="229"/>
      <c r="CN487" s="229"/>
      <c r="CO487" s="47" t="s">
        <v>2488</v>
      </c>
      <c r="CP487" s="500" t="s">
        <v>2489</v>
      </c>
      <c r="CQ487" s="224" t="s">
        <v>272</v>
      </c>
      <c r="CR487" s="224"/>
      <c r="CS487" s="230" t="s">
        <v>539</v>
      </c>
      <c r="CT487" s="230"/>
      <c r="CU487" s="230"/>
      <c r="CV487" s="335">
        <f t="shared" si="125"/>
        <v>226449.27536231882</v>
      </c>
      <c r="CW487" s="230">
        <f t="shared" si="121"/>
        <v>1</v>
      </c>
      <c r="CX487" s="336"/>
      <c r="CY487" s="230" t="s">
        <v>5921</v>
      </c>
    </row>
    <row r="488" spans="1:103" ht="11.25" customHeight="1" x14ac:dyDescent="0.2">
      <c r="A488" s="72">
        <v>795</v>
      </c>
      <c r="B488" s="224">
        <v>1088</v>
      </c>
      <c r="C488" s="46" t="s">
        <v>7005</v>
      </c>
      <c r="D488" s="46"/>
      <c r="E488" s="114"/>
      <c r="F488" s="114" t="s">
        <v>3045</v>
      </c>
      <c r="G488" s="225">
        <v>75990</v>
      </c>
      <c r="H488" s="47" t="s">
        <v>3046</v>
      </c>
      <c r="I488" s="47" t="s">
        <v>7995</v>
      </c>
      <c r="J488" s="47" t="s">
        <v>3047</v>
      </c>
      <c r="K488" s="47" t="s">
        <v>450</v>
      </c>
      <c r="L488" s="47" t="s">
        <v>5248</v>
      </c>
      <c r="M488" s="47" t="s">
        <v>5960</v>
      </c>
      <c r="N488" s="47"/>
      <c r="O488" s="47"/>
      <c r="P488" s="53"/>
      <c r="Q488" s="53"/>
      <c r="R488" s="53"/>
      <c r="S488" s="53"/>
      <c r="T488" s="48">
        <v>142.97</v>
      </c>
      <c r="U488" s="98">
        <v>502000</v>
      </c>
      <c r="V488" s="98">
        <v>43580</v>
      </c>
      <c r="W488" s="98">
        <v>35912.440311292463</v>
      </c>
      <c r="X488" s="98">
        <v>502000</v>
      </c>
      <c r="Y488" s="233">
        <v>1.2</v>
      </c>
      <c r="Z488" s="48">
        <v>1.68</v>
      </c>
      <c r="AA488" s="48">
        <v>0.78</v>
      </c>
      <c r="AB488" s="48">
        <v>1.27</v>
      </c>
      <c r="AC488" s="48">
        <v>0.77239999999999998</v>
      </c>
      <c r="AD488" s="48">
        <v>1.1499999999999999</v>
      </c>
      <c r="AE488" s="48">
        <v>0.89</v>
      </c>
      <c r="AF488" s="48">
        <f t="shared" si="126"/>
        <v>0.78</v>
      </c>
      <c r="AG488" s="49">
        <v>1.1200000000000001</v>
      </c>
      <c r="AH488" s="98">
        <v>9.02E-8</v>
      </c>
      <c r="AI488" s="98">
        <v>5.6599999999999997E-8</v>
      </c>
      <c r="AJ488" s="483">
        <f>LOG10(AH488*1000/(0.08206*298.15))</f>
        <v>-5.4333597887707104</v>
      </c>
      <c r="AK488" s="483">
        <f>LOG10(AI488*1000/(0.08206*298.15))</f>
        <v>-5.6357498951243805</v>
      </c>
      <c r="AL488" s="483">
        <f t="shared" ref="AL488:AL551" si="127">IF(AK488=0,AJ488,AK488)</f>
        <v>-5.6357498951243805</v>
      </c>
      <c r="AM488" s="483">
        <v>-6.8416399999999999</v>
      </c>
      <c r="AN488" s="226">
        <v>-6.96</v>
      </c>
      <c r="AO488" s="484">
        <v>1.68</v>
      </c>
      <c r="AP488" s="484"/>
      <c r="AQ488" s="48" t="s">
        <v>6311</v>
      </c>
      <c r="AR488" s="48" t="s">
        <v>6311</v>
      </c>
      <c r="AS488" s="227"/>
      <c r="AT488" s="50" t="s">
        <v>266</v>
      </c>
      <c r="AU488" s="48">
        <v>6</v>
      </c>
      <c r="AV488" s="48">
        <v>120</v>
      </c>
      <c r="AW488" s="48">
        <v>114</v>
      </c>
      <c r="AX488" s="48">
        <v>28</v>
      </c>
      <c r="AY488" s="48" t="s">
        <v>8728</v>
      </c>
      <c r="AZ488" s="48" t="s">
        <v>1563</v>
      </c>
      <c r="BA488" s="48">
        <v>32</v>
      </c>
      <c r="BB488" s="47" t="s">
        <v>2485</v>
      </c>
      <c r="BC488" s="47" t="s">
        <v>8726</v>
      </c>
      <c r="BD488" s="47" t="s">
        <v>8374</v>
      </c>
      <c r="BE488" s="48" t="s">
        <v>2449</v>
      </c>
      <c r="BF488" s="48" t="s">
        <v>272</v>
      </c>
      <c r="BG488" s="48" t="s">
        <v>272</v>
      </c>
      <c r="BH488" s="48" t="s">
        <v>2486</v>
      </c>
      <c r="BI488" s="98">
        <v>9.1500799999999992E-4</v>
      </c>
      <c r="BJ488" s="98">
        <v>9.1500800000000009</v>
      </c>
      <c r="BK488" s="48"/>
      <c r="BL488" s="487">
        <v>227.6338884966986</v>
      </c>
      <c r="BM488" s="47" t="s">
        <v>2487</v>
      </c>
      <c r="BN488" s="48"/>
      <c r="BO488" s="48"/>
      <c r="BP488" s="48"/>
      <c r="BQ488" s="48"/>
      <c r="BR488" s="47" t="e">
        <v>#VALUE!</v>
      </c>
      <c r="BS488" s="48"/>
      <c r="BT488" s="48"/>
      <c r="BU488" s="228">
        <v>9.1500799999999997E-3</v>
      </c>
      <c r="BV488" s="48"/>
      <c r="BW488" s="48"/>
      <c r="BX488" s="48"/>
      <c r="BY488" s="48"/>
      <c r="BZ488" s="48"/>
      <c r="CA488" s="48"/>
      <c r="CB488" s="48"/>
      <c r="CC488" s="48"/>
      <c r="CD488" s="48"/>
      <c r="CE488" s="48"/>
      <c r="CF488" s="48"/>
      <c r="CG488" s="48"/>
      <c r="CH488" s="48"/>
      <c r="CI488" s="98"/>
      <c r="CJ488" s="98"/>
      <c r="CK488" s="49">
        <f t="shared" si="124"/>
        <v>24.877803089885397</v>
      </c>
      <c r="CL488" s="229"/>
      <c r="CM488" s="229"/>
      <c r="CN488" s="229"/>
      <c r="CO488" s="47" t="s">
        <v>2488</v>
      </c>
      <c r="CP488" s="500" t="s">
        <v>2489</v>
      </c>
      <c r="CQ488" s="224">
        <v>2.241793648484447</v>
      </c>
      <c r="CR488" s="224">
        <f>10^(CJ488-CQ488)</f>
        <v>5.7306825506125269E-3</v>
      </c>
      <c r="CS488" s="230" t="s">
        <v>539</v>
      </c>
      <c r="CT488" s="230"/>
      <c r="CU488" s="230"/>
      <c r="CV488" s="335">
        <f t="shared" si="125"/>
        <v>54862.908302441065</v>
      </c>
      <c r="CW488" s="230">
        <f t="shared" si="121"/>
        <v>1</v>
      </c>
      <c r="CX488" s="336"/>
      <c r="CY488" s="230" t="s">
        <v>5921</v>
      </c>
    </row>
    <row r="489" spans="1:103" ht="11.25" customHeight="1" x14ac:dyDescent="0.2">
      <c r="A489" s="72">
        <v>796</v>
      </c>
      <c r="B489" s="224">
        <v>1911</v>
      </c>
      <c r="C489" s="46" t="s">
        <v>447</v>
      </c>
      <c r="D489" s="46"/>
      <c r="E489" s="114"/>
      <c r="F489" s="114" t="s">
        <v>5378</v>
      </c>
      <c r="G489" s="225">
        <v>76039</v>
      </c>
      <c r="H489" s="47" t="s">
        <v>448</v>
      </c>
      <c r="I489" s="47" t="s">
        <v>7996</v>
      </c>
      <c r="J489" s="47" t="s">
        <v>449</v>
      </c>
      <c r="K489" s="47" t="s">
        <v>450</v>
      </c>
      <c r="L489" s="47"/>
      <c r="M489" s="47" t="s">
        <v>2342</v>
      </c>
      <c r="N489" s="47" t="s">
        <v>2342</v>
      </c>
      <c r="O489" s="47"/>
      <c r="P489" s="53"/>
      <c r="Q489" s="53"/>
      <c r="R489" s="53"/>
      <c r="S489" s="53"/>
      <c r="T489" s="48">
        <v>163.38999999999999</v>
      </c>
      <c r="U489" s="98">
        <v>54600.000000000007</v>
      </c>
      <c r="V489" s="98">
        <v>11990</v>
      </c>
      <c r="W489" s="98">
        <v>54103.513939040546</v>
      </c>
      <c r="X489" s="98">
        <v>54600.000000000007</v>
      </c>
      <c r="Y489" s="233">
        <v>0.6</v>
      </c>
      <c r="Z489" s="48">
        <v>1.44</v>
      </c>
      <c r="AA489" s="48">
        <v>1.33</v>
      </c>
      <c r="AB489" s="48">
        <v>1.45</v>
      </c>
      <c r="AC489" s="48">
        <v>0.74429999999999996</v>
      </c>
      <c r="AD489" s="48">
        <v>1.52</v>
      </c>
      <c r="AE489" s="48">
        <v>1.67</v>
      </c>
      <c r="AF489" s="48">
        <f t="shared" si="126"/>
        <v>1.33</v>
      </c>
      <c r="AG489" s="49">
        <v>1.41</v>
      </c>
      <c r="AH489" s="98">
        <v>2.3899999999999999E-8</v>
      </c>
      <c r="AI489" s="98">
        <v>1.35E-8</v>
      </c>
      <c r="AJ489" s="483">
        <f>LOG10(AH489*1000/(0.08206*298.15))</f>
        <v>-6.0101684253645145</v>
      </c>
      <c r="AK489" s="483">
        <f>LOG10(AI489*1000/(0.08206*298.15))</f>
        <v>-6.2582325578176459</v>
      </c>
      <c r="AL489" s="483">
        <f t="shared" si="127"/>
        <v>-6.2582325578176459</v>
      </c>
      <c r="AM489" s="483">
        <v>-7.3551800000000007</v>
      </c>
      <c r="AN489" s="226">
        <v>-6.88</v>
      </c>
      <c r="AO489" s="484">
        <v>0.09</v>
      </c>
      <c r="AP489" s="484"/>
      <c r="AQ489" s="226" t="s">
        <v>6311</v>
      </c>
      <c r="AR489" s="226" t="s">
        <v>6311</v>
      </c>
      <c r="AS489" s="224"/>
      <c r="AT489" s="50" t="s">
        <v>266</v>
      </c>
      <c r="AU489" s="48">
        <v>6</v>
      </c>
      <c r="AV489" s="48">
        <v>120</v>
      </c>
      <c r="AW489" s="48">
        <v>114</v>
      </c>
      <c r="AX489" s="48">
        <v>28</v>
      </c>
      <c r="AY489" s="48" t="s">
        <v>8728</v>
      </c>
      <c r="AZ489" s="48" t="s">
        <v>1563</v>
      </c>
      <c r="BA489" s="48">
        <v>32</v>
      </c>
      <c r="BB489" s="47" t="s">
        <v>2485</v>
      </c>
      <c r="BC489" s="47" t="s">
        <v>8726</v>
      </c>
      <c r="BD489" s="47" t="s">
        <v>8374</v>
      </c>
      <c r="BE489" s="48" t="s">
        <v>2449</v>
      </c>
      <c r="BF489" s="48" t="s">
        <v>272</v>
      </c>
      <c r="BG489" s="48" t="s">
        <v>272</v>
      </c>
      <c r="BH489" s="48" t="s">
        <v>2486</v>
      </c>
      <c r="BI489" s="98">
        <v>1.0456959999999998E-3</v>
      </c>
      <c r="BJ489" s="98">
        <v>10.456959999999999</v>
      </c>
      <c r="BK489" s="48"/>
      <c r="BL489" s="487">
        <v>427.32812059013713</v>
      </c>
      <c r="BM489" s="47" t="s">
        <v>2487</v>
      </c>
      <c r="BN489" s="48"/>
      <c r="BO489" s="48"/>
      <c r="BP489" s="48"/>
      <c r="BQ489" s="48"/>
      <c r="BR489" s="47" t="e">
        <v>#VALUE!</v>
      </c>
      <c r="BS489" s="48"/>
      <c r="BT489" s="48"/>
      <c r="BU489" s="228"/>
      <c r="BV489" s="48"/>
      <c r="BW489" s="48"/>
      <c r="BX489" s="48"/>
      <c r="BY489" s="48"/>
      <c r="BZ489" s="48"/>
      <c r="CA489" s="48"/>
      <c r="CB489" s="48"/>
      <c r="CC489" s="48"/>
      <c r="CD489" s="48"/>
      <c r="CE489" s="48"/>
      <c r="CF489" s="48"/>
      <c r="CG489" s="48"/>
      <c r="CH489" s="48"/>
      <c r="CI489" s="98"/>
      <c r="CJ489" s="98"/>
      <c r="CK489" s="49">
        <f t="shared" si="124"/>
        <v>40.865425572072304</v>
      </c>
      <c r="CL489" s="229"/>
      <c r="CM489" s="229">
        <v>3.3021130265422349</v>
      </c>
      <c r="CN489" s="229">
        <f>BJ489/(10^CM489)</f>
        <v>5.2154576136520334E-3</v>
      </c>
      <c r="CO489" s="47" t="s">
        <v>2488</v>
      </c>
      <c r="CP489" s="500" t="s">
        <v>2489</v>
      </c>
      <c r="CQ489" s="224">
        <v>3.3021130265422349</v>
      </c>
      <c r="CR489" s="224">
        <f>10^(CJ489-CQ489)</f>
        <v>4.9875466805381617E-4</v>
      </c>
      <c r="CS489" s="230" t="s">
        <v>539</v>
      </c>
      <c r="CT489" s="230"/>
      <c r="CU489" s="230"/>
      <c r="CV489" s="335">
        <f t="shared" si="125"/>
        <v>5221.4027786278248</v>
      </c>
      <c r="CW489" s="230">
        <f t="shared" si="121"/>
        <v>1</v>
      </c>
      <c r="CX489" s="336"/>
      <c r="CY489" s="230" t="s">
        <v>6351</v>
      </c>
    </row>
    <row r="490" spans="1:103" ht="11.25" customHeight="1" x14ac:dyDescent="0.2">
      <c r="A490" s="72">
        <v>797</v>
      </c>
      <c r="B490" s="224">
        <v>1816</v>
      </c>
      <c r="C490" s="46" t="s">
        <v>7006</v>
      </c>
      <c r="D490" s="46"/>
      <c r="E490" s="114"/>
      <c r="F490" s="114" t="s">
        <v>5215</v>
      </c>
      <c r="G490" s="225">
        <v>77098</v>
      </c>
      <c r="H490" s="47" t="s">
        <v>5216</v>
      </c>
      <c r="I490" s="47" t="s">
        <v>5216</v>
      </c>
      <c r="J490" s="47" t="s">
        <v>5217</v>
      </c>
      <c r="K490" s="47" t="s">
        <v>3383</v>
      </c>
      <c r="L490" s="47"/>
      <c r="M490" s="47"/>
      <c r="N490" s="47"/>
      <c r="O490" s="47"/>
      <c r="P490" s="53"/>
      <c r="Q490" s="53"/>
      <c r="R490" s="53"/>
      <c r="S490" s="53"/>
      <c r="T490" s="48">
        <v>318.32</v>
      </c>
      <c r="U490" s="98">
        <v>400</v>
      </c>
      <c r="V490" s="98">
        <v>318.60000000000002</v>
      </c>
      <c r="W490" s="98">
        <v>55.317675980750131</v>
      </c>
      <c r="X490" s="98">
        <v>400</v>
      </c>
      <c r="Y490" s="233">
        <v>6.47</v>
      </c>
      <c r="Z490" s="48">
        <v>3.06</v>
      </c>
      <c r="AA490" s="48">
        <v>2.41</v>
      </c>
      <c r="AB490" s="48">
        <v>3.39</v>
      </c>
      <c r="AC490" s="48">
        <v>0.66259999999999997</v>
      </c>
      <c r="AD490" s="48">
        <v>3.1</v>
      </c>
      <c r="AE490" s="48">
        <v>2.63</v>
      </c>
      <c r="AF490" s="48">
        <f t="shared" si="126"/>
        <v>2.41</v>
      </c>
      <c r="AG490" s="49">
        <v>3.71</v>
      </c>
      <c r="AH490" s="98">
        <v>8.98E-16</v>
      </c>
      <c r="AI490" s="98"/>
      <c r="AJ490" s="483">
        <f t="shared" ref="AJ490:AJ553" si="128">LOG10(AH490*1000/(0.08206*298.15))</f>
        <v>-13.435289989645348</v>
      </c>
      <c r="AK490" s="483"/>
      <c r="AL490" s="483">
        <f t="shared" si="127"/>
        <v>-13.435289989645348</v>
      </c>
      <c r="AM490" s="483">
        <v>-19.41433</v>
      </c>
      <c r="AN490" s="226">
        <v>-14.6</v>
      </c>
      <c r="AO490" s="484">
        <v>9.23</v>
      </c>
      <c r="AP490" s="484"/>
      <c r="AQ490" s="226" t="s">
        <v>6311</v>
      </c>
      <c r="AR490" s="226" t="s">
        <v>6311</v>
      </c>
      <c r="AS490" s="224"/>
      <c r="AT490" s="50" t="s">
        <v>266</v>
      </c>
      <c r="AU490" s="48">
        <v>6</v>
      </c>
      <c r="AV490" s="48">
        <v>120</v>
      </c>
      <c r="AW490" s="48">
        <v>114</v>
      </c>
      <c r="AX490" s="48">
        <v>28</v>
      </c>
      <c r="AY490" s="48" t="s">
        <v>8728</v>
      </c>
      <c r="AZ490" s="48" t="s">
        <v>1563</v>
      </c>
      <c r="BA490" s="48">
        <v>32</v>
      </c>
      <c r="BB490" s="47" t="s">
        <v>2485</v>
      </c>
      <c r="BC490" s="47" t="s">
        <v>8726</v>
      </c>
      <c r="BD490" s="47" t="s">
        <v>8374</v>
      </c>
      <c r="BE490" s="48" t="s">
        <v>2449</v>
      </c>
      <c r="BF490" s="48" t="s">
        <v>272</v>
      </c>
      <c r="BG490" s="48" t="s">
        <v>272</v>
      </c>
      <c r="BH490" s="48" t="s">
        <v>2486</v>
      </c>
      <c r="BI490" s="98">
        <v>2.0372479999999998E-3</v>
      </c>
      <c r="BJ490" s="98">
        <v>20.372479999999999</v>
      </c>
      <c r="BK490" s="48"/>
      <c r="BL490" s="487">
        <v>29.206393092615105</v>
      </c>
      <c r="BM490" s="47" t="s">
        <v>2487</v>
      </c>
      <c r="BN490" s="48"/>
      <c r="BO490" s="48"/>
      <c r="BP490" s="48"/>
      <c r="BQ490" s="48"/>
      <c r="BR490" s="47" t="e">
        <v>#VALUE!</v>
      </c>
      <c r="BS490" s="48"/>
      <c r="BT490" s="48"/>
      <c r="BU490" s="228"/>
      <c r="BV490" s="48"/>
      <c r="BW490" s="48"/>
      <c r="BX490" s="48"/>
      <c r="BY490" s="48"/>
      <c r="BZ490" s="48"/>
      <c r="CA490" s="48"/>
      <c r="CB490" s="48"/>
      <c r="CC490" s="48"/>
      <c r="CD490" s="48"/>
      <c r="CE490" s="48"/>
      <c r="CF490" s="48"/>
      <c r="CG490" s="48"/>
      <c r="CH490" s="48"/>
      <c r="CI490" s="98"/>
      <c r="CJ490" s="98"/>
      <c r="CK490" s="49">
        <f t="shared" si="124"/>
        <v>1.4336199172911255</v>
      </c>
      <c r="CL490" s="229"/>
      <c r="CM490" s="229"/>
      <c r="CN490" s="229"/>
      <c r="CO490" s="47" t="s">
        <v>2488</v>
      </c>
      <c r="CP490" s="500" t="s">
        <v>2489</v>
      </c>
      <c r="CQ490" s="224" t="s">
        <v>272</v>
      </c>
      <c r="CR490" s="224"/>
      <c r="CS490" s="230" t="s">
        <v>539</v>
      </c>
      <c r="CT490" s="230"/>
      <c r="CU490" s="230"/>
      <c r="CV490" s="335">
        <f t="shared" si="125"/>
        <v>19.634330233727066</v>
      </c>
      <c r="CW490" s="230">
        <f t="shared" si="121"/>
        <v>1</v>
      </c>
      <c r="CX490" s="336"/>
      <c r="CY490" s="230" t="s">
        <v>6351</v>
      </c>
    </row>
    <row r="491" spans="1:103" ht="11.25" customHeight="1" x14ac:dyDescent="0.2">
      <c r="A491" s="72">
        <v>798</v>
      </c>
      <c r="B491" s="224">
        <v>1690</v>
      </c>
      <c r="C491" s="46" t="s">
        <v>7007</v>
      </c>
      <c r="D491" s="46" t="s">
        <v>8702</v>
      </c>
      <c r="E491" s="114"/>
      <c r="F491" s="114" t="s">
        <v>4930</v>
      </c>
      <c r="G491" s="225">
        <v>77474</v>
      </c>
      <c r="H491" s="47" t="s">
        <v>4931</v>
      </c>
      <c r="I491" s="47" t="s">
        <v>7997</v>
      </c>
      <c r="J491" s="47" t="s">
        <v>4932</v>
      </c>
      <c r="K491" s="47" t="s">
        <v>1139</v>
      </c>
      <c r="L491" s="47" t="s">
        <v>5527</v>
      </c>
      <c r="M491" s="47" t="s">
        <v>6088</v>
      </c>
      <c r="N491" s="47" t="s">
        <v>6088</v>
      </c>
      <c r="O491" s="47" t="s">
        <v>6083</v>
      </c>
      <c r="P491" s="53"/>
      <c r="Q491" s="53"/>
      <c r="R491" s="53"/>
      <c r="S491" s="53"/>
      <c r="T491" s="48">
        <v>272.77</v>
      </c>
      <c r="U491" s="98">
        <v>1.7999999999999998</v>
      </c>
      <c r="V491" s="98">
        <v>0.87470000000000003</v>
      </c>
      <c r="W491" s="98">
        <v>1.6061888387134373</v>
      </c>
      <c r="X491" s="98">
        <v>1.7999999999999998</v>
      </c>
      <c r="Y491" s="233">
        <v>7</v>
      </c>
      <c r="Z491" s="48">
        <v>4.63</v>
      </c>
      <c r="AA491" s="48">
        <v>5.04</v>
      </c>
      <c r="AB491" s="48">
        <v>4.7300000000000004</v>
      </c>
      <c r="AC491" s="48">
        <v>0.64990000000000003</v>
      </c>
      <c r="AD491" s="48">
        <v>4.8600000000000003</v>
      </c>
      <c r="AE491" s="48">
        <v>5.04</v>
      </c>
      <c r="AF491" s="48">
        <f t="shared" si="126"/>
        <v>5.04</v>
      </c>
      <c r="AG491" s="49">
        <v>3.74</v>
      </c>
      <c r="AH491" s="98">
        <v>2.1099999999999999E-3</v>
      </c>
      <c r="AI491" s="98">
        <v>2.7E-2</v>
      </c>
      <c r="AJ491" s="483">
        <f t="shared" si="128"/>
        <v>-1.0642838710149591</v>
      </c>
      <c r="AK491" s="483">
        <f>LOG10(AI491*1000/(0.08206*298.15))</f>
        <v>4.2797437846335551E-2</v>
      </c>
      <c r="AL491" s="483">
        <f t="shared" si="127"/>
        <v>4.2797437846335551E-2</v>
      </c>
      <c r="AM491" s="483">
        <v>-4.43</v>
      </c>
      <c r="AN491" s="226">
        <v>-0.61</v>
      </c>
      <c r="AO491" s="484"/>
      <c r="AP491" s="484"/>
      <c r="AQ491" s="226" t="s">
        <v>6311</v>
      </c>
      <c r="AR491" s="226" t="s">
        <v>6311</v>
      </c>
      <c r="AS491" s="224"/>
      <c r="AT491" s="50" t="s">
        <v>266</v>
      </c>
      <c r="AU491" s="48">
        <v>6</v>
      </c>
      <c r="AV491" s="48">
        <v>120</v>
      </c>
      <c r="AW491" s="48">
        <v>114</v>
      </c>
      <c r="AX491" s="48">
        <v>28</v>
      </c>
      <c r="AY491" s="48" t="s">
        <v>8728</v>
      </c>
      <c r="AZ491" s="48" t="s">
        <v>1563</v>
      </c>
      <c r="BA491" s="48">
        <v>32</v>
      </c>
      <c r="BB491" s="47" t="s">
        <v>2485</v>
      </c>
      <c r="BC491" s="47" t="s">
        <v>8726</v>
      </c>
      <c r="BD491" s="47" t="s">
        <v>8374</v>
      </c>
      <c r="BE491" s="48" t="s">
        <v>2449</v>
      </c>
      <c r="BF491" s="48" t="s">
        <v>272</v>
      </c>
      <c r="BG491" s="48" t="s">
        <v>272</v>
      </c>
      <c r="BH491" s="48" t="s">
        <v>2486</v>
      </c>
      <c r="BI491" s="98">
        <v>1.7457279999999998E-3</v>
      </c>
      <c r="BJ491" s="98">
        <v>17.457280000000001</v>
      </c>
      <c r="BK491" s="48"/>
      <c r="BL491" s="487">
        <v>0.97362923006000901</v>
      </c>
      <c r="BM491" s="47" t="s">
        <v>2487</v>
      </c>
      <c r="BN491" s="48"/>
      <c r="BO491" s="48"/>
      <c r="BP491" s="48"/>
      <c r="BQ491" s="48"/>
      <c r="BR491" s="47" t="e">
        <v>#VALUE!</v>
      </c>
      <c r="BS491" s="48"/>
      <c r="BT491" s="48"/>
      <c r="BU491" s="228"/>
      <c r="BV491" s="48"/>
      <c r="BW491" s="48"/>
      <c r="BX491" s="48"/>
      <c r="BY491" s="48"/>
      <c r="BZ491" s="48"/>
      <c r="CA491" s="48"/>
      <c r="CB491" s="48"/>
      <c r="CC491" s="48"/>
      <c r="CD491" s="48"/>
      <c r="CE491" s="48"/>
      <c r="CF491" s="48"/>
      <c r="CG491" s="48"/>
      <c r="CH491" s="48"/>
      <c r="CI491" s="98"/>
      <c r="CJ491" s="98"/>
      <c r="CK491" s="49">
        <f t="shared" si="124"/>
        <v>5.5772103675945449E-2</v>
      </c>
      <c r="CL491" s="229"/>
      <c r="CM491" s="229"/>
      <c r="CN491" s="229"/>
      <c r="CO491" s="47" t="s">
        <v>2488</v>
      </c>
      <c r="CP491" s="500" t="s">
        <v>2489</v>
      </c>
      <c r="CQ491" s="224">
        <v>-0.72387753625783346</v>
      </c>
      <c r="CR491" s="224">
        <f>10^(CJ491-CQ491)</f>
        <v>5.2951410876162264</v>
      </c>
      <c r="CS491" s="230" t="s">
        <v>539</v>
      </c>
      <c r="CT491" s="230"/>
      <c r="CU491" s="230"/>
      <c r="CV491" s="335">
        <f t="shared" si="125"/>
        <v>0.10310884628074933</v>
      </c>
      <c r="CW491" s="230">
        <f t="shared" si="121"/>
        <v>0</v>
      </c>
      <c r="CX491" s="336"/>
      <c r="CY491" s="230" t="s">
        <v>5921</v>
      </c>
    </row>
    <row r="492" spans="1:103" ht="11.25" customHeight="1" x14ac:dyDescent="0.2">
      <c r="A492" s="72">
        <v>799</v>
      </c>
      <c r="B492" s="224">
        <v>903</v>
      </c>
      <c r="C492" s="46" t="s">
        <v>7008</v>
      </c>
      <c r="D492" s="46" t="s">
        <v>8562</v>
      </c>
      <c r="E492" s="114"/>
      <c r="F492" s="114" t="s">
        <v>2577</v>
      </c>
      <c r="G492" s="225">
        <v>77485</v>
      </c>
      <c r="H492" s="47" t="s">
        <v>2578</v>
      </c>
      <c r="I492" s="47" t="s">
        <v>2578</v>
      </c>
      <c r="J492" s="47" t="s">
        <v>2579</v>
      </c>
      <c r="K492" s="47" t="s">
        <v>2580</v>
      </c>
      <c r="L492" s="47" t="s">
        <v>6025</v>
      </c>
      <c r="M492" s="47" t="s">
        <v>2342</v>
      </c>
      <c r="N492" s="47" t="s">
        <v>2342</v>
      </c>
      <c r="O492" s="47"/>
      <c r="P492" s="53" t="s">
        <v>6631</v>
      </c>
      <c r="Q492" s="53" t="s">
        <v>6173</v>
      </c>
      <c r="R492" s="53" t="s">
        <v>6082</v>
      </c>
      <c r="S492" s="53" t="s">
        <v>6173</v>
      </c>
      <c r="T492" s="48">
        <v>285.92</v>
      </c>
      <c r="U492" s="98"/>
      <c r="V492" s="98">
        <v>4645</v>
      </c>
      <c r="W492" s="98">
        <v>4428.376476794564</v>
      </c>
      <c r="X492" s="98">
        <v>4428.376476794564</v>
      </c>
      <c r="Y492" s="233">
        <v>7</v>
      </c>
      <c r="Z492" s="48">
        <v>-0.94</v>
      </c>
      <c r="AA492" s="48"/>
      <c r="AB492" s="48">
        <v>1.48</v>
      </c>
      <c r="AC492" s="48">
        <v>0.30480000000000002</v>
      </c>
      <c r="AD492" s="48">
        <v>1.61</v>
      </c>
      <c r="AE492" s="48">
        <v>1.69</v>
      </c>
      <c r="AF492" s="48">
        <f t="shared" si="126"/>
        <v>1.61</v>
      </c>
      <c r="AG492" s="49">
        <v>0.25</v>
      </c>
      <c r="AH492" s="98">
        <v>6.44E-7</v>
      </c>
      <c r="AI492" s="98"/>
      <c r="AJ492" s="483">
        <f t="shared" si="128"/>
        <v>-4.5796804589528399</v>
      </c>
      <c r="AK492" s="483"/>
      <c r="AL492" s="483">
        <f t="shared" si="127"/>
        <v>-4.5796804589528399</v>
      </c>
      <c r="AM492" s="483">
        <v>-11.06326</v>
      </c>
      <c r="AN492" s="226">
        <v>-9.93</v>
      </c>
      <c r="AO492" s="484"/>
      <c r="AP492" s="484">
        <v>-3.44</v>
      </c>
      <c r="AQ492" s="48" t="s">
        <v>6311</v>
      </c>
      <c r="AR492" s="48" t="s">
        <v>6311</v>
      </c>
      <c r="AS492" s="227"/>
      <c r="AT492" s="50" t="s">
        <v>266</v>
      </c>
      <c r="AU492" s="48">
        <v>6</v>
      </c>
      <c r="AV492" s="48">
        <v>120</v>
      </c>
      <c r="AW492" s="48">
        <v>114</v>
      </c>
      <c r="AX492" s="48">
        <v>28</v>
      </c>
      <c r="AY492" s="48" t="s">
        <v>8728</v>
      </c>
      <c r="AZ492" s="48" t="s">
        <v>1563</v>
      </c>
      <c r="BA492" s="48">
        <v>32</v>
      </c>
      <c r="BB492" s="47" t="s">
        <v>2485</v>
      </c>
      <c r="BC492" s="47" t="s">
        <v>8726</v>
      </c>
      <c r="BD492" s="47" t="s">
        <v>8374</v>
      </c>
      <c r="BE492" s="48" t="s">
        <v>2449</v>
      </c>
      <c r="BF492" s="48" t="s">
        <v>272</v>
      </c>
      <c r="BG492" s="48" t="s">
        <v>272</v>
      </c>
      <c r="BH492" s="48" t="s">
        <v>2486</v>
      </c>
      <c r="BI492" s="98">
        <v>1.829888E-3</v>
      </c>
      <c r="BJ492" s="98">
        <v>18.29888</v>
      </c>
      <c r="BK492" s="48"/>
      <c r="BL492" s="487">
        <v>102626.26778037814</v>
      </c>
      <c r="BM492" s="47" t="s">
        <v>2487</v>
      </c>
      <c r="BN492" s="48"/>
      <c r="BO492" s="48"/>
      <c r="BP492" s="48"/>
      <c r="BQ492" s="48"/>
      <c r="BR492" s="47" t="e">
        <v>#VALUE!</v>
      </c>
      <c r="BS492" s="48"/>
      <c r="BT492" s="48"/>
      <c r="BU492" s="228">
        <v>1.8298880000000002</v>
      </c>
      <c r="BV492" s="48"/>
      <c r="BW492" s="48"/>
      <c r="BX492" s="48"/>
      <c r="BY492" s="48"/>
      <c r="BZ492" s="48"/>
      <c r="CA492" s="48"/>
      <c r="CB492" s="48"/>
      <c r="CC492" s="48"/>
      <c r="CD492" s="48"/>
      <c r="CE492" s="48"/>
      <c r="CF492" s="48"/>
      <c r="CG492" s="48"/>
      <c r="CH492" s="48"/>
      <c r="CI492" s="98"/>
      <c r="CJ492" s="98"/>
      <c r="CK492" s="49">
        <f t="shared" si="124"/>
        <v>5608.3360173069686</v>
      </c>
      <c r="CL492" s="229"/>
      <c r="CM492" s="229"/>
      <c r="CN492" s="229"/>
      <c r="CO492" s="47" t="s">
        <v>2488</v>
      </c>
      <c r="CP492" s="500" t="s">
        <v>2489</v>
      </c>
      <c r="CQ492" s="224">
        <v>-0.4315067490576126</v>
      </c>
      <c r="CR492" s="224">
        <f>10^(CJ492-CQ492)</f>
        <v>2.700889080569608</v>
      </c>
      <c r="CS492" s="230" t="s">
        <v>539</v>
      </c>
      <c r="CT492" s="230"/>
      <c r="CU492" s="230"/>
      <c r="CV492" s="335">
        <f t="shared" si="125"/>
        <v>242.00259670507506</v>
      </c>
      <c r="CW492" s="230">
        <f t="shared" si="121"/>
        <v>1</v>
      </c>
      <c r="CX492" s="336"/>
      <c r="CY492" s="230" t="s">
        <v>6351</v>
      </c>
    </row>
    <row r="493" spans="1:103" ht="11.25" customHeight="1" x14ac:dyDescent="0.2">
      <c r="A493" s="72">
        <v>800</v>
      </c>
      <c r="B493" s="224">
        <v>1477</v>
      </c>
      <c r="C493" s="46" t="s">
        <v>7009</v>
      </c>
      <c r="D493" s="46"/>
      <c r="E493" s="114"/>
      <c r="F493" s="114" t="s">
        <v>4537</v>
      </c>
      <c r="G493" s="225">
        <v>77714</v>
      </c>
      <c r="H493" s="47" t="s">
        <v>4538</v>
      </c>
      <c r="I493" s="47" t="s">
        <v>7998</v>
      </c>
      <c r="J493" s="47" t="s">
        <v>4539</v>
      </c>
      <c r="K493" s="47" t="s">
        <v>2039</v>
      </c>
      <c r="L493" s="47"/>
      <c r="M493" s="47"/>
      <c r="N493" s="47"/>
      <c r="O493" s="47"/>
      <c r="P493" s="53"/>
      <c r="Q493" s="53"/>
      <c r="R493" s="53"/>
      <c r="S493" s="53"/>
      <c r="T493" s="48">
        <v>128.13</v>
      </c>
      <c r="U493" s="98">
        <v>100000</v>
      </c>
      <c r="V493" s="98">
        <v>11770</v>
      </c>
      <c r="W493" s="98">
        <v>30036.603810694156</v>
      </c>
      <c r="X493" s="98">
        <v>100000</v>
      </c>
      <c r="Y493" s="233">
        <v>4.97</v>
      </c>
      <c r="Z493" s="48">
        <v>-0.27</v>
      </c>
      <c r="AA493" s="48">
        <v>-0.48</v>
      </c>
      <c r="AB493" s="48">
        <v>-0.69</v>
      </c>
      <c r="AC493" s="48">
        <v>0.84489999999999998</v>
      </c>
      <c r="AD493" s="48">
        <v>-0.68</v>
      </c>
      <c r="AE493" s="48">
        <v>-0.66</v>
      </c>
      <c r="AF493" s="48">
        <f t="shared" si="126"/>
        <v>-0.48</v>
      </c>
      <c r="AG493" s="49">
        <v>-0.3</v>
      </c>
      <c r="AH493" s="98">
        <v>2.7700000000000002E-9</v>
      </c>
      <c r="AI493" s="98"/>
      <c r="AJ493" s="483">
        <f t="shared" si="128"/>
        <v>-6.9460865572482033</v>
      </c>
      <c r="AK493" s="483"/>
      <c r="AL493" s="483">
        <f t="shared" si="127"/>
        <v>-6.9460865572482033</v>
      </c>
      <c r="AM493" s="483">
        <v>-10.13931</v>
      </c>
      <c r="AN493" s="226">
        <v>-7.88</v>
      </c>
      <c r="AO493" s="484">
        <v>8.93</v>
      </c>
      <c r="AP493" s="484">
        <v>-1.1299999999999999</v>
      </c>
      <c r="AQ493" s="48" t="s">
        <v>6311</v>
      </c>
      <c r="AR493" s="48" t="s">
        <v>6311</v>
      </c>
      <c r="AS493" s="227"/>
      <c r="AT493" s="50" t="s">
        <v>266</v>
      </c>
      <c r="AU493" s="48">
        <v>6</v>
      </c>
      <c r="AV493" s="48">
        <v>120</v>
      </c>
      <c r="AW493" s="48">
        <v>114</v>
      </c>
      <c r="AX493" s="48">
        <v>28</v>
      </c>
      <c r="AY493" s="48" t="s">
        <v>8728</v>
      </c>
      <c r="AZ493" s="48" t="s">
        <v>1563</v>
      </c>
      <c r="BA493" s="48">
        <v>32</v>
      </c>
      <c r="BB493" s="47" t="s">
        <v>2485</v>
      </c>
      <c r="BC493" s="47" t="s">
        <v>8726</v>
      </c>
      <c r="BD493" s="47" t="s">
        <v>8374</v>
      </c>
      <c r="BE493" s="48" t="s">
        <v>2449</v>
      </c>
      <c r="BF493" s="48" t="s">
        <v>272</v>
      </c>
      <c r="BG493" s="48" t="s">
        <v>272</v>
      </c>
      <c r="BH493" s="48" t="s">
        <v>2486</v>
      </c>
      <c r="BI493" s="98">
        <v>8.2003199999999994E-4</v>
      </c>
      <c r="BJ493" s="98">
        <v>8.2003199999999996</v>
      </c>
      <c r="BK493" s="48"/>
      <c r="BL493" s="487">
        <v>11506.356514760068</v>
      </c>
      <c r="BM493" s="47" t="s">
        <v>2487</v>
      </c>
      <c r="BN493" s="48"/>
      <c r="BO493" s="48"/>
      <c r="BP493" s="48"/>
      <c r="BQ493" s="48"/>
      <c r="BR493" s="47" t="e">
        <v>#VALUE!</v>
      </c>
      <c r="BS493" s="48"/>
      <c r="BT493" s="48"/>
      <c r="BU493" s="228"/>
      <c r="BV493" s="48"/>
      <c r="BW493" s="48"/>
      <c r="BX493" s="48"/>
      <c r="BY493" s="48"/>
      <c r="BZ493" s="48"/>
      <c r="CA493" s="48"/>
      <c r="CB493" s="48"/>
      <c r="CC493" s="48"/>
      <c r="CD493" s="48"/>
      <c r="CE493" s="48"/>
      <c r="CF493" s="48"/>
      <c r="CG493" s="48"/>
      <c r="CH493" s="48"/>
      <c r="CI493" s="98"/>
      <c r="CJ493" s="98"/>
      <c r="CK493" s="49">
        <f t="shared" si="124"/>
        <v>1403.1594516750649</v>
      </c>
      <c r="CL493" s="229"/>
      <c r="CM493" s="229"/>
      <c r="CN493" s="229"/>
      <c r="CO493" s="47" t="s">
        <v>2488</v>
      </c>
      <c r="CP493" s="500" t="s">
        <v>2489</v>
      </c>
      <c r="CQ493" s="224">
        <v>4.2174839442139067</v>
      </c>
      <c r="CR493" s="224">
        <f>10^(CJ493-CQ493)</f>
        <v>6.0606060606060435E-5</v>
      </c>
      <c r="CS493" s="230" t="s">
        <v>539</v>
      </c>
      <c r="CT493" s="230"/>
      <c r="CU493" s="230"/>
      <c r="CV493" s="335">
        <f t="shared" si="125"/>
        <v>12194.646062592679</v>
      </c>
      <c r="CW493" s="230">
        <f t="shared" si="121"/>
        <v>1</v>
      </c>
      <c r="CX493" s="336"/>
      <c r="CY493" s="230" t="s">
        <v>6351</v>
      </c>
    </row>
    <row r="494" spans="1:103" ht="11.25" customHeight="1" x14ac:dyDescent="0.2">
      <c r="A494" s="72">
        <v>801</v>
      </c>
      <c r="B494" s="224">
        <v>1621</v>
      </c>
      <c r="C494" s="46" t="s">
        <v>7010</v>
      </c>
      <c r="D494" s="46"/>
      <c r="E494" s="114"/>
      <c r="F494" s="114" t="s">
        <v>4802</v>
      </c>
      <c r="G494" s="225">
        <v>77781</v>
      </c>
      <c r="H494" s="47" t="s">
        <v>4803</v>
      </c>
      <c r="I494" s="47" t="s">
        <v>4803</v>
      </c>
      <c r="J494" s="47" t="s">
        <v>4804</v>
      </c>
      <c r="K494" s="47" t="s">
        <v>357</v>
      </c>
      <c r="L494" s="47"/>
      <c r="M494" s="47"/>
      <c r="N494" s="47"/>
      <c r="O494" s="47"/>
      <c r="P494" s="53"/>
      <c r="Q494" s="53"/>
      <c r="R494" s="53"/>
      <c r="S494" s="53"/>
      <c r="T494" s="48">
        <v>126.13</v>
      </c>
      <c r="U494" s="98">
        <v>28000</v>
      </c>
      <c r="V494" s="98">
        <v>69440</v>
      </c>
      <c r="W494" s="98">
        <v>31682.42356063033</v>
      </c>
      <c r="X494" s="98">
        <v>28000</v>
      </c>
      <c r="Y494" s="233">
        <v>7</v>
      </c>
      <c r="Z494" s="48">
        <v>0.16</v>
      </c>
      <c r="AA494" s="48"/>
      <c r="AB494" s="48">
        <v>0.48</v>
      </c>
      <c r="AC494" s="48">
        <v>0.56830000000000003</v>
      </c>
      <c r="AD494" s="48">
        <v>0.27</v>
      </c>
      <c r="AE494" s="48">
        <v>0.08</v>
      </c>
      <c r="AF494" s="48">
        <f t="shared" si="126"/>
        <v>0.27</v>
      </c>
      <c r="AG494" s="49">
        <v>-0.13</v>
      </c>
      <c r="AH494" s="98">
        <v>2.6000000000000001E-6</v>
      </c>
      <c r="AI494" s="98">
        <v>3.9999999999999998E-6</v>
      </c>
      <c r="AJ494" s="483">
        <f t="shared" si="128"/>
        <v>-3.9735929783418338</v>
      </c>
      <c r="AK494" s="483">
        <f>LOG10(AI494*1000/(0.08206*298.15))</f>
        <v>-3.7865063349846895</v>
      </c>
      <c r="AL494" s="483">
        <f t="shared" si="127"/>
        <v>-3.7865063349846895</v>
      </c>
      <c r="AM494" s="483">
        <v>-7.7277300000000002</v>
      </c>
      <c r="AN494" s="226">
        <v>-4.2</v>
      </c>
      <c r="AO494" s="484"/>
      <c r="AP494" s="484"/>
      <c r="AQ494" s="226" t="s">
        <v>6311</v>
      </c>
      <c r="AR494" s="226" t="s">
        <v>6311</v>
      </c>
      <c r="AS494" s="224"/>
      <c r="AT494" s="50" t="s">
        <v>266</v>
      </c>
      <c r="AU494" s="48">
        <v>6</v>
      </c>
      <c r="AV494" s="48">
        <v>120</v>
      </c>
      <c r="AW494" s="48">
        <v>114</v>
      </c>
      <c r="AX494" s="48">
        <v>28</v>
      </c>
      <c r="AY494" s="48" t="s">
        <v>8728</v>
      </c>
      <c r="AZ494" s="48" t="s">
        <v>1563</v>
      </c>
      <c r="BA494" s="48">
        <v>32</v>
      </c>
      <c r="BB494" s="47" t="s">
        <v>2485</v>
      </c>
      <c r="BC494" s="47" t="s">
        <v>8726</v>
      </c>
      <c r="BD494" s="47" t="s">
        <v>8374</v>
      </c>
      <c r="BE494" s="48" t="s">
        <v>2449</v>
      </c>
      <c r="BF494" s="48" t="s">
        <v>272</v>
      </c>
      <c r="BG494" s="48" t="s">
        <v>272</v>
      </c>
      <c r="BH494" s="48" t="s">
        <v>2486</v>
      </c>
      <c r="BI494" s="98">
        <v>8.0723199999999996E-4</v>
      </c>
      <c r="BJ494" s="98">
        <v>8.0723199999999995</v>
      </c>
      <c r="BK494" s="48"/>
      <c r="BL494" s="487">
        <v>4655.0290517560843</v>
      </c>
      <c r="BM494" s="47" t="s">
        <v>2487</v>
      </c>
      <c r="BN494" s="48"/>
      <c r="BO494" s="48"/>
      <c r="BP494" s="48"/>
      <c r="BQ494" s="48"/>
      <c r="BR494" s="47"/>
      <c r="BS494" s="48"/>
      <c r="BT494" s="48"/>
      <c r="BU494" s="228"/>
      <c r="BV494" s="48"/>
      <c r="BW494" s="48"/>
      <c r="BX494" s="48"/>
      <c r="BY494" s="48"/>
      <c r="BZ494" s="48"/>
      <c r="CA494" s="48"/>
      <c r="CB494" s="48"/>
      <c r="CC494" s="48"/>
      <c r="CD494" s="48"/>
      <c r="CE494" s="48"/>
      <c r="CF494" s="48"/>
      <c r="CG494" s="48"/>
      <c r="CH494" s="48"/>
      <c r="CI494" s="52"/>
      <c r="CJ494" s="98"/>
      <c r="CK494" s="49">
        <f t="shared" si="124"/>
        <v>576.66557467445352</v>
      </c>
      <c r="CL494" s="229"/>
      <c r="CM494" s="229"/>
      <c r="CN494" s="229"/>
      <c r="CO494" s="47" t="s">
        <v>2488</v>
      </c>
      <c r="CP494" s="500" t="s">
        <v>2489</v>
      </c>
      <c r="CQ494" s="224">
        <v>0.87506126339170009</v>
      </c>
      <c r="CR494" s="224">
        <f>10^(CJ494-CQ494)</f>
        <v>0.13333333333333328</v>
      </c>
      <c r="CS494" s="230" t="s">
        <v>539</v>
      </c>
      <c r="CT494" s="230"/>
      <c r="CU494" s="230"/>
      <c r="CV494" s="335">
        <f t="shared" si="125"/>
        <v>3468.6434630936337</v>
      </c>
      <c r="CW494" s="230">
        <f t="shared" si="121"/>
        <v>1</v>
      </c>
      <c r="CX494" s="336"/>
      <c r="CY494" s="230" t="s">
        <v>6351</v>
      </c>
    </row>
    <row r="495" spans="1:103" ht="11.25" customHeight="1" x14ac:dyDescent="0.2">
      <c r="A495" s="72">
        <v>802</v>
      </c>
      <c r="B495" s="224">
        <v>1492</v>
      </c>
      <c r="C495" s="46" t="s">
        <v>7011</v>
      </c>
      <c r="D495" s="46"/>
      <c r="E495" s="114"/>
      <c r="F495" s="114" t="s">
        <v>4577</v>
      </c>
      <c r="G495" s="225">
        <v>77894</v>
      </c>
      <c r="H495" s="47" t="s">
        <v>4578</v>
      </c>
      <c r="I495" s="47" t="s">
        <v>4578</v>
      </c>
      <c r="J495" s="47" t="s">
        <v>4579</v>
      </c>
      <c r="K495" s="47" t="s">
        <v>357</v>
      </c>
      <c r="L495" s="47"/>
      <c r="M495" s="47"/>
      <c r="N495" s="47"/>
      <c r="O495" s="47"/>
      <c r="P495" s="53"/>
      <c r="Q495" s="53"/>
      <c r="R495" s="53"/>
      <c r="S495" s="53"/>
      <c r="T495" s="48">
        <v>318.32</v>
      </c>
      <c r="U495" s="98"/>
      <c r="V495" s="98">
        <v>688.2</v>
      </c>
      <c r="W495" s="98">
        <v>493.01930613222072</v>
      </c>
      <c r="X495" s="98">
        <v>493.01930613222072</v>
      </c>
      <c r="Y495" s="233">
        <v>7</v>
      </c>
      <c r="Z495" s="48">
        <v>1.34</v>
      </c>
      <c r="AA495" s="48"/>
      <c r="AB495" s="48">
        <v>1.51</v>
      </c>
      <c r="AC495" s="48">
        <v>0.75149999999999995</v>
      </c>
      <c r="AD495" s="48">
        <v>2.16</v>
      </c>
      <c r="AE495" s="48">
        <v>3.73</v>
      </c>
      <c r="AF495" s="48">
        <f t="shared" si="126"/>
        <v>2.16</v>
      </c>
      <c r="AG495" s="49">
        <v>2.76</v>
      </c>
      <c r="AH495" s="98">
        <v>6.9099999999999999E-11</v>
      </c>
      <c r="AI495" s="98"/>
      <c r="AJ495" s="483">
        <f t="shared" si="128"/>
        <v>-8.5490882789384539</v>
      </c>
      <c r="AK495" s="483"/>
      <c r="AL495" s="483">
        <f t="shared" si="127"/>
        <v>-8.5490882789384539</v>
      </c>
      <c r="AM495" s="483">
        <v>-12.35515</v>
      </c>
      <c r="AN495" s="226">
        <v>-36.200000000000003</v>
      </c>
      <c r="AO495" s="484"/>
      <c r="AP495" s="484"/>
      <c r="AQ495" s="48" t="s">
        <v>6311</v>
      </c>
      <c r="AR495" s="48" t="s">
        <v>6312</v>
      </c>
      <c r="AS495" s="227"/>
      <c r="AT495" s="50" t="s">
        <v>266</v>
      </c>
      <c r="AU495" s="48">
        <v>6</v>
      </c>
      <c r="AV495" s="48">
        <v>120</v>
      </c>
      <c r="AW495" s="48">
        <v>114</v>
      </c>
      <c r="AX495" s="48">
        <v>28</v>
      </c>
      <c r="AY495" s="48" t="s">
        <v>8728</v>
      </c>
      <c r="AZ495" s="48" t="s">
        <v>1563</v>
      </c>
      <c r="BA495" s="48">
        <v>32</v>
      </c>
      <c r="BB495" s="47" t="s">
        <v>2485</v>
      </c>
      <c r="BC495" s="47" t="s">
        <v>8726</v>
      </c>
      <c r="BD495" s="47" t="s">
        <v>8374</v>
      </c>
      <c r="BE495" s="48" t="s">
        <v>2449</v>
      </c>
      <c r="BF495" s="48" t="s">
        <v>272</v>
      </c>
      <c r="BG495" s="48" t="s">
        <v>272</v>
      </c>
      <c r="BH495" s="48" t="s">
        <v>2486</v>
      </c>
      <c r="BI495" s="98">
        <v>2.0372479999999998E-3</v>
      </c>
      <c r="BJ495" s="98">
        <v>20.372479999999999</v>
      </c>
      <c r="BK495" s="48"/>
      <c r="BL495" s="487">
        <v>1023.7877438414201</v>
      </c>
      <c r="BM495" s="47" t="s">
        <v>2487</v>
      </c>
      <c r="BN495" s="48"/>
      <c r="BO495" s="48"/>
      <c r="BP495" s="48"/>
      <c r="BQ495" s="48"/>
      <c r="BR495" s="47" t="e">
        <v>#VALUE!</v>
      </c>
      <c r="BS495" s="48"/>
      <c r="BT495" s="48"/>
      <c r="BU495" s="228"/>
      <c r="BV495" s="48"/>
      <c r="BW495" s="48"/>
      <c r="BX495" s="48"/>
      <c r="BY495" s="48"/>
      <c r="BZ495" s="48"/>
      <c r="CA495" s="48"/>
      <c r="CB495" s="48"/>
      <c r="CC495" s="48"/>
      <c r="CD495" s="48"/>
      <c r="CE495" s="48"/>
      <c r="CF495" s="48"/>
      <c r="CG495" s="48"/>
      <c r="CH495" s="48"/>
      <c r="CI495" s="98"/>
      <c r="CJ495" s="98"/>
      <c r="CK495" s="49">
        <f t="shared" si="124"/>
        <v>50.253466629562041</v>
      </c>
      <c r="CL495" s="229"/>
      <c r="CM495" s="229"/>
      <c r="CN495" s="229"/>
      <c r="CO495" s="47" t="s">
        <v>2488</v>
      </c>
      <c r="CP495" s="500" t="s">
        <v>2489</v>
      </c>
      <c r="CQ495" s="224" t="s">
        <v>272</v>
      </c>
      <c r="CR495" s="224"/>
      <c r="CS495" s="230" t="s">
        <v>539</v>
      </c>
      <c r="CT495" s="230"/>
      <c r="CU495" s="230"/>
      <c r="CV495" s="335">
        <f t="shared" si="125"/>
        <v>24.200259670507506</v>
      </c>
      <c r="CW495" s="230">
        <f t="shared" si="121"/>
        <v>1</v>
      </c>
      <c r="CX495" s="336"/>
      <c r="CY495" s="230" t="s">
        <v>5921</v>
      </c>
    </row>
    <row r="496" spans="1:103" ht="11.25" customHeight="1" x14ac:dyDescent="0.2">
      <c r="A496" s="72">
        <v>803</v>
      </c>
      <c r="B496" s="224">
        <v>1491</v>
      </c>
      <c r="C496" s="46" t="s">
        <v>7012</v>
      </c>
      <c r="D496" s="46"/>
      <c r="E496" s="114"/>
      <c r="F496" s="114" t="s">
        <v>4574</v>
      </c>
      <c r="G496" s="225">
        <v>77907</v>
      </c>
      <c r="H496" s="47" t="s">
        <v>4575</v>
      </c>
      <c r="I496" s="47" t="s">
        <v>4575</v>
      </c>
      <c r="J496" s="47" t="s">
        <v>4576</v>
      </c>
      <c r="K496" s="47" t="s">
        <v>357</v>
      </c>
      <c r="L496" s="47"/>
      <c r="M496" s="47"/>
      <c r="N496" s="47"/>
      <c r="O496" s="47"/>
      <c r="P496" s="53"/>
      <c r="Q496" s="53"/>
      <c r="R496" s="53"/>
      <c r="S496" s="53"/>
      <c r="T496" s="48">
        <v>402.48</v>
      </c>
      <c r="U496" s="98">
        <v>5</v>
      </c>
      <c r="V496" s="98">
        <v>0.64639999999999997</v>
      </c>
      <c r="W496" s="98">
        <v>6.5274612798502183</v>
      </c>
      <c r="X496" s="98">
        <v>5</v>
      </c>
      <c r="Y496" s="233">
        <v>7</v>
      </c>
      <c r="Z496" s="48">
        <v>4.29</v>
      </c>
      <c r="AA496" s="48"/>
      <c r="AB496" s="48">
        <v>3.5</v>
      </c>
      <c r="AC496" s="48">
        <v>0.68149999999999999</v>
      </c>
      <c r="AD496" s="48">
        <v>4.7</v>
      </c>
      <c r="AE496" s="48">
        <v>6.92</v>
      </c>
      <c r="AF496" s="48">
        <f t="shared" si="126"/>
        <v>4.7</v>
      </c>
      <c r="AG496" s="49">
        <v>3.37</v>
      </c>
      <c r="AH496" s="98">
        <v>3.7799999999999999E-10</v>
      </c>
      <c r="AI496" s="98"/>
      <c r="AJ496" s="483">
        <f t="shared" si="128"/>
        <v>-7.8110745264754264</v>
      </c>
      <c r="AK496" s="483"/>
      <c r="AL496" s="483">
        <f t="shared" si="127"/>
        <v>-7.8110745264754264</v>
      </c>
      <c r="AM496" s="483">
        <v>-13.155979999999998</v>
      </c>
      <c r="AN496" s="226">
        <v>-9.23</v>
      </c>
      <c r="AO496" s="484"/>
      <c r="AP496" s="484"/>
      <c r="AQ496" s="48" t="s">
        <v>6311</v>
      </c>
      <c r="AR496" s="48" t="s">
        <v>6312</v>
      </c>
      <c r="AS496" s="227"/>
      <c r="AT496" s="50" t="s">
        <v>266</v>
      </c>
      <c r="AU496" s="48">
        <v>6</v>
      </c>
      <c r="AV496" s="48">
        <v>120</v>
      </c>
      <c r="AW496" s="48">
        <v>114</v>
      </c>
      <c r="AX496" s="48">
        <v>28</v>
      </c>
      <c r="AY496" s="48" t="s">
        <v>8728</v>
      </c>
      <c r="AZ496" s="48" t="s">
        <v>1563</v>
      </c>
      <c r="BA496" s="48">
        <v>32</v>
      </c>
      <c r="BB496" s="47" t="s">
        <v>2485</v>
      </c>
      <c r="BC496" s="47" t="s">
        <v>8726</v>
      </c>
      <c r="BD496" s="47" t="s">
        <v>8374</v>
      </c>
      <c r="BE496" s="48" t="s">
        <v>2449</v>
      </c>
      <c r="BF496" s="48" t="s">
        <v>272</v>
      </c>
      <c r="BG496" s="48" t="s">
        <v>272</v>
      </c>
      <c r="BH496" s="48" t="s">
        <v>2486</v>
      </c>
      <c r="BI496" s="98">
        <v>2.5758719999999999E-3</v>
      </c>
      <c r="BJ496" s="98">
        <v>25.75872</v>
      </c>
      <c r="BK496" s="48"/>
      <c r="BL496" s="487">
        <v>2.9019859423347318</v>
      </c>
      <c r="BM496" s="47" t="s">
        <v>2487</v>
      </c>
      <c r="BN496" s="48"/>
      <c r="BO496" s="48"/>
      <c r="BP496" s="48"/>
      <c r="BQ496" s="48"/>
      <c r="BR496" s="47" t="e">
        <v>#VALUE!</v>
      </c>
      <c r="BS496" s="48"/>
      <c r="BT496" s="48"/>
      <c r="BU496" s="228"/>
      <c r="BV496" s="48"/>
      <c r="BW496" s="48"/>
      <c r="BX496" s="48"/>
      <c r="BY496" s="48"/>
      <c r="BZ496" s="48"/>
      <c r="CA496" s="48"/>
      <c r="CB496" s="48"/>
      <c r="CC496" s="48"/>
      <c r="CD496" s="48"/>
      <c r="CE496" s="48"/>
      <c r="CF496" s="48"/>
      <c r="CG496" s="48"/>
      <c r="CH496" s="48"/>
      <c r="CI496" s="98"/>
      <c r="CJ496" s="98"/>
      <c r="CK496" s="49">
        <f t="shared" si="124"/>
        <v>0.11266033181519625</v>
      </c>
      <c r="CL496" s="229"/>
      <c r="CM496" s="229"/>
      <c r="CN496" s="229"/>
      <c r="CO496" s="47" t="s">
        <v>2488</v>
      </c>
      <c r="CP496" s="500" t="s">
        <v>2489</v>
      </c>
      <c r="CQ496" s="224" t="s">
        <v>272</v>
      </c>
      <c r="CR496" s="224"/>
      <c r="CS496" s="230" t="s">
        <v>539</v>
      </c>
      <c r="CT496" s="230"/>
      <c r="CU496" s="230"/>
      <c r="CV496" s="335">
        <f t="shared" si="125"/>
        <v>0.19410902405088451</v>
      </c>
      <c r="CW496" s="230">
        <f t="shared" si="121"/>
        <v>0</v>
      </c>
      <c r="CX496" s="336"/>
      <c r="CY496" s="230" t="s">
        <v>6351</v>
      </c>
    </row>
    <row r="497" spans="1:103" ht="11.25" customHeight="1" x14ac:dyDescent="0.2">
      <c r="A497" s="72">
        <v>804</v>
      </c>
      <c r="B497" s="224">
        <v>1555</v>
      </c>
      <c r="C497" s="46" t="s">
        <v>7013</v>
      </c>
      <c r="D497" s="46"/>
      <c r="E497" s="114"/>
      <c r="F497" s="114" t="s">
        <v>4690</v>
      </c>
      <c r="G497" s="225">
        <v>77929</v>
      </c>
      <c r="H497" s="47" t="s">
        <v>4691</v>
      </c>
      <c r="I497" s="47" t="s">
        <v>4691</v>
      </c>
      <c r="J497" s="47" t="s">
        <v>4692</v>
      </c>
      <c r="K497" s="47" t="s">
        <v>426</v>
      </c>
      <c r="L497" s="51"/>
      <c r="M497" s="47"/>
      <c r="N497" s="47"/>
      <c r="O497" s="47"/>
      <c r="P497" s="53"/>
      <c r="Q497" s="53"/>
      <c r="R497" s="53"/>
      <c r="S497" s="53"/>
      <c r="T497" s="48">
        <v>192.12</v>
      </c>
      <c r="U497" s="98">
        <v>1000000</v>
      </c>
      <c r="V497" s="98">
        <v>1000000</v>
      </c>
      <c r="W497" s="98">
        <v>1008260.0926318632</v>
      </c>
      <c r="X497" s="98">
        <v>1000000</v>
      </c>
      <c r="Y497" s="233">
        <v>0.85</v>
      </c>
      <c r="Z497" s="48">
        <v>-1.67</v>
      </c>
      <c r="AA497" s="48">
        <v>-1.64</v>
      </c>
      <c r="AB497" s="48">
        <v>-1.34</v>
      </c>
      <c r="AC497" s="48">
        <v>0.89319999999999999</v>
      </c>
      <c r="AD497" s="48">
        <v>-1.42</v>
      </c>
      <c r="AE497" s="48">
        <v>-1.72</v>
      </c>
      <c r="AF497" s="48">
        <f t="shared" si="126"/>
        <v>-1.64</v>
      </c>
      <c r="AG497" s="49">
        <v>-1.76</v>
      </c>
      <c r="AH497" s="98">
        <v>8.3299999999999996E-18</v>
      </c>
      <c r="AI497" s="98">
        <v>4.3300000000000002E-14</v>
      </c>
      <c r="AJ497" s="483">
        <f t="shared" si="128"/>
        <v>-15.467921324905864</v>
      </c>
      <c r="AK497" s="483">
        <f>LOG10(AI497*1000/(0.08206*298.15))</f>
        <v>-11.752078429959287</v>
      </c>
      <c r="AL497" s="483">
        <f t="shared" si="127"/>
        <v>-11.752078429959287</v>
      </c>
      <c r="AM497" s="483">
        <v>-17.369890000000002</v>
      </c>
      <c r="AN497" s="226">
        <v>-17.3</v>
      </c>
      <c r="AO497" s="484">
        <v>2.93</v>
      </c>
      <c r="AP497" s="484"/>
      <c r="AQ497" s="48" t="s">
        <v>6311</v>
      </c>
      <c r="AR497" s="48" t="s">
        <v>6311</v>
      </c>
      <c r="AS497" s="227"/>
      <c r="AT497" s="50" t="s">
        <v>266</v>
      </c>
      <c r="AU497" s="48">
        <v>6</v>
      </c>
      <c r="AV497" s="48">
        <v>120</v>
      </c>
      <c r="AW497" s="48">
        <v>114</v>
      </c>
      <c r="AX497" s="48">
        <v>28</v>
      </c>
      <c r="AY497" s="48" t="s">
        <v>8728</v>
      </c>
      <c r="AZ497" s="48" t="s">
        <v>1563</v>
      </c>
      <c r="BA497" s="48">
        <v>32</v>
      </c>
      <c r="BB497" s="47" t="s">
        <v>2485</v>
      </c>
      <c r="BC497" s="47" t="s">
        <v>8726</v>
      </c>
      <c r="BD497" s="47" t="s">
        <v>8374</v>
      </c>
      <c r="BE497" s="48" t="s">
        <v>2449</v>
      </c>
      <c r="BF497" s="48" t="s">
        <v>272</v>
      </c>
      <c r="BG497" s="48" t="s">
        <v>272</v>
      </c>
      <c r="BH497" s="48" t="s">
        <v>2486</v>
      </c>
      <c r="BI497" s="98">
        <v>1.2295679999999999E-3</v>
      </c>
      <c r="BJ497" s="98">
        <v>12.295680000000001</v>
      </c>
      <c r="BK497" s="48"/>
      <c r="BL497" s="487">
        <v>312032.31843692285</v>
      </c>
      <c r="BM497" s="47" t="s">
        <v>2487</v>
      </c>
      <c r="BN497" s="48"/>
      <c r="BO497" s="48"/>
      <c r="BP497" s="48"/>
      <c r="BQ497" s="48"/>
      <c r="BR497" s="47"/>
      <c r="BS497" s="48"/>
      <c r="BT497" s="48"/>
      <c r="BU497" s="228"/>
      <c r="BV497" s="48"/>
      <c r="BW497" s="48"/>
      <c r="BX497" s="48"/>
      <c r="BY497" s="48"/>
      <c r="BZ497" s="48"/>
      <c r="CA497" s="48"/>
      <c r="CB497" s="48"/>
      <c r="CC497" s="48"/>
      <c r="CD497" s="48"/>
      <c r="CE497" s="48"/>
      <c r="CF497" s="48"/>
      <c r="CG497" s="48"/>
      <c r="CH497" s="48"/>
      <c r="CI497" s="52"/>
      <c r="CJ497" s="98"/>
      <c r="CK497" s="49">
        <f t="shared" si="124"/>
        <v>25377.394209748694</v>
      </c>
      <c r="CL497" s="229"/>
      <c r="CM497" s="229"/>
      <c r="CN497" s="229"/>
      <c r="CO497" s="47" t="s">
        <v>2488</v>
      </c>
      <c r="CP497" s="500" t="s">
        <v>2489</v>
      </c>
      <c r="CQ497" s="224" t="s">
        <v>272</v>
      </c>
      <c r="CR497" s="224"/>
      <c r="CS497" s="230" t="s">
        <v>539</v>
      </c>
      <c r="CT497" s="230"/>
      <c r="CU497" s="230"/>
      <c r="CV497" s="335">
        <f t="shared" si="125"/>
        <v>81329.377472413064</v>
      </c>
      <c r="CW497" s="230">
        <f t="shared" si="121"/>
        <v>1</v>
      </c>
      <c r="CX497" s="336"/>
      <c r="CY497" s="230" t="s">
        <v>6351</v>
      </c>
    </row>
    <row r="498" spans="1:103" ht="11.25" customHeight="1" x14ac:dyDescent="0.2">
      <c r="A498" s="72">
        <v>805</v>
      </c>
      <c r="B498" s="224">
        <v>1314</v>
      </c>
      <c r="C498" s="46" t="s">
        <v>7014</v>
      </c>
      <c r="D498" s="46"/>
      <c r="E498" s="114"/>
      <c r="F498" s="114" t="s">
        <v>3596</v>
      </c>
      <c r="G498" s="225">
        <v>77930</v>
      </c>
      <c r="H498" s="47" t="s">
        <v>3597</v>
      </c>
      <c r="I498" s="47" t="s">
        <v>3597</v>
      </c>
      <c r="J498" s="236" t="s">
        <v>3598</v>
      </c>
      <c r="K498" s="236" t="s">
        <v>357</v>
      </c>
      <c r="L498" s="47"/>
      <c r="M498" s="47"/>
      <c r="N498" s="47"/>
      <c r="O498" s="52"/>
      <c r="P498" s="53"/>
      <c r="Q498" s="53"/>
      <c r="R498" s="53"/>
      <c r="S498" s="53"/>
      <c r="T498" s="226">
        <v>276.29000000000002</v>
      </c>
      <c r="U498" s="98">
        <v>65000</v>
      </c>
      <c r="V498" s="98">
        <v>28240</v>
      </c>
      <c r="W498" s="98">
        <v>11785.965524969197</v>
      </c>
      <c r="X498" s="98">
        <v>65000</v>
      </c>
      <c r="Y498" s="233">
        <v>6.45</v>
      </c>
      <c r="Z498" s="48">
        <v>0.33</v>
      </c>
      <c r="AA498" s="48"/>
      <c r="AB498" s="48">
        <v>0.91</v>
      </c>
      <c r="AC498" s="48">
        <v>0.74709999999999999</v>
      </c>
      <c r="AD498" s="48">
        <v>1.0900000000000001</v>
      </c>
      <c r="AE498" s="48">
        <v>1.49</v>
      </c>
      <c r="AF498" s="48">
        <f t="shared" si="126"/>
        <v>1.0900000000000001</v>
      </c>
      <c r="AG498" s="48">
        <v>0.61</v>
      </c>
      <c r="AH498" s="98">
        <v>6.3899999999999996E-10</v>
      </c>
      <c r="AI498" s="98">
        <v>3.84E-9</v>
      </c>
      <c r="AJ498" s="483">
        <f t="shared" si="128"/>
        <v>-7.5830654681542518</v>
      </c>
      <c r="AK498" s="483">
        <f>LOG10(AI498*1000/(0.08206*298.15))</f>
        <v>-6.804235101945121</v>
      </c>
      <c r="AL498" s="483">
        <f t="shared" si="127"/>
        <v>-6.804235101945121</v>
      </c>
      <c r="AM498" s="483">
        <v>-11.52106</v>
      </c>
      <c r="AN498" s="48">
        <v>-9.16</v>
      </c>
      <c r="AO498" s="484">
        <v>11.57</v>
      </c>
      <c r="AP498" s="484"/>
      <c r="AQ498" s="48" t="s">
        <v>6311</v>
      </c>
      <c r="AR498" s="48" t="s">
        <v>6312</v>
      </c>
      <c r="AS498" s="227"/>
      <c r="AT498" s="50" t="s">
        <v>266</v>
      </c>
      <c r="AU498" s="48">
        <v>6</v>
      </c>
      <c r="AV498" s="48">
        <v>120</v>
      </c>
      <c r="AW498" s="48">
        <v>114</v>
      </c>
      <c r="AX498" s="48">
        <v>28</v>
      </c>
      <c r="AY498" s="48" t="s">
        <v>8728</v>
      </c>
      <c r="AZ498" s="48" t="s">
        <v>1563</v>
      </c>
      <c r="BA498" s="48">
        <v>32</v>
      </c>
      <c r="BB498" s="47" t="s">
        <v>2485</v>
      </c>
      <c r="BC498" s="47" t="s">
        <v>8726</v>
      </c>
      <c r="BD498" s="47" t="s">
        <v>8374</v>
      </c>
      <c r="BE498" s="48" t="s">
        <v>2449</v>
      </c>
      <c r="BF498" s="48" t="s">
        <v>272</v>
      </c>
      <c r="BG498" s="48" t="s">
        <v>272</v>
      </c>
      <c r="BH498" s="48" t="s">
        <v>2486</v>
      </c>
      <c r="BI498" s="98">
        <v>1.768256E-3</v>
      </c>
      <c r="BJ498" s="98">
        <v>17.682560000000002</v>
      </c>
      <c r="BK498" s="48"/>
      <c r="BL498" s="487">
        <v>7174.50869743565</v>
      </c>
      <c r="BM498" s="47" t="s">
        <v>2487</v>
      </c>
      <c r="BN498" s="48"/>
      <c r="BO498" s="48"/>
      <c r="BP498" s="48"/>
      <c r="BQ498" s="48"/>
      <c r="BR498" s="47" t="e">
        <v>#VALUE!</v>
      </c>
      <c r="BS498" s="48"/>
      <c r="BT498" s="48"/>
      <c r="BU498" s="228">
        <v>1.7682560000000003</v>
      </c>
      <c r="BV498" s="48"/>
      <c r="BW498" s="48"/>
      <c r="BX498" s="48"/>
      <c r="BY498" s="48"/>
      <c r="BZ498" s="48"/>
      <c r="CA498" s="48"/>
      <c r="CB498" s="48"/>
      <c r="CC498" s="48"/>
      <c r="CD498" s="48"/>
      <c r="CE498" s="48"/>
      <c r="CF498" s="48"/>
      <c r="CG498" s="48"/>
      <c r="CH498" s="48"/>
      <c r="CI498" s="98"/>
      <c r="CJ498" s="98"/>
      <c r="CK498" s="49">
        <f t="shared" si="124"/>
        <v>405.73925367343014</v>
      </c>
      <c r="CL498" s="229"/>
      <c r="CM498" s="229"/>
      <c r="CN498" s="229"/>
      <c r="CO498" s="47" t="s">
        <v>2488</v>
      </c>
      <c r="CP498" s="500" t="s">
        <v>2489</v>
      </c>
      <c r="CQ498" s="224" t="s">
        <v>272</v>
      </c>
      <c r="CR498" s="224"/>
      <c r="CS498" s="230" t="s">
        <v>539</v>
      </c>
      <c r="CT498" s="230"/>
      <c r="CU498" s="230"/>
      <c r="CV498" s="335">
        <f t="shared" si="125"/>
        <v>3675.9383256723004</v>
      </c>
      <c r="CW498" s="230">
        <f t="shared" si="121"/>
        <v>1</v>
      </c>
      <c r="CX498" s="336"/>
      <c r="CY498" s="230" t="s">
        <v>6351</v>
      </c>
    </row>
    <row r="499" spans="1:103" ht="11.25" customHeight="1" x14ac:dyDescent="0.2">
      <c r="A499" s="72">
        <v>806</v>
      </c>
      <c r="B499" s="224">
        <v>1713</v>
      </c>
      <c r="C499" s="46" t="s">
        <v>7015</v>
      </c>
      <c r="D499" s="46" t="s">
        <v>5685</v>
      </c>
      <c r="E499" s="114"/>
      <c r="F499" s="114" t="s">
        <v>4978</v>
      </c>
      <c r="G499" s="225">
        <v>78591</v>
      </c>
      <c r="H499" s="47" t="s">
        <v>4979</v>
      </c>
      <c r="I499" s="47" t="s">
        <v>4979</v>
      </c>
      <c r="J499" s="47" t="s">
        <v>4980</v>
      </c>
      <c r="K499" s="47" t="s">
        <v>371</v>
      </c>
      <c r="L499" s="47"/>
      <c r="M499" s="47" t="s">
        <v>2342</v>
      </c>
      <c r="N499" s="47" t="s">
        <v>2342</v>
      </c>
      <c r="O499" s="47">
        <v>0</v>
      </c>
      <c r="P499" s="53"/>
      <c r="Q499" s="53"/>
      <c r="R499" s="53"/>
      <c r="S499" s="53"/>
      <c r="T499" s="48">
        <v>138.21</v>
      </c>
      <c r="U499" s="98">
        <v>12000.000000000002</v>
      </c>
      <c r="V499" s="98">
        <v>3010</v>
      </c>
      <c r="W499" s="98">
        <v>2044.2757032872792</v>
      </c>
      <c r="X499" s="98">
        <v>12000.000000000002</v>
      </c>
      <c r="Y499" s="233">
        <v>7</v>
      </c>
      <c r="Z499" s="48">
        <v>2.62</v>
      </c>
      <c r="AA499" s="48">
        <v>1.7</v>
      </c>
      <c r="AB499" s="48">
        <v>1.95</v>
      </c>
      <c r="AC499" s="48">
        <v>0.77210000000000001</v>
      </c>
      <c r="AD499" s="48">
        <v>1.99</v>
      </c>
      <c r="AE499" s="48">
        <v>2.0699999999999998</v>
      </c>
      <c r="AF499" s="48">
        <f t="shared" si="126"/>
        <v>1.7</v>
      </c>
      <c r="AG499" s="49">
        <v>1.83</v>
      </c>
      <c r="AH499" s="98">
        <v>6.6199999999999996E-5</v>
      </c>
      <c r="AI499" s="98">
        <v>6.64E-6</v>
      </c>
      <c r="AJ499" s="483">
        <f t="shared" si="128"/>
        <v>-2.5677083368729519</v>
      </c>
      <c r="AK499" s="483">
        <f>LOG10(AI499*1000/(0.08206*298.15))</f>
        <v>-3.5663982469446345</v>
      </c>
      <c r="AL499" s="483">
        <f t="shared" si="127"/>
        <v>-3.5663982469446345</v>
      </c>
      <c r="AM499" s="483">
        <v>-4.4313500000000001</v>
      </c>
      <c r="AN499" s="226">
        <v>-3.29</v>
      </c>
      <c r="AO499" s="484"/>
      <c r="AP499" s="484"/>
      <c r="AQ499" s="226" t="s">
        <v>6311</v>
      </c>
      <c r="AR499" s="226" t="s">
        <v>6311</v>
      </c>
      <c r="AS499" s="224"/>
      <c r="AT499" s="50" t="s">
        <v>266</v>
      </c>
      <c r="AU499" s="48">
        <v>6</v>
      </c>
      <c r="AV499" s="48">
        <v>120</v>
      </c>
      <c r="AW499" s="48">
        <v>114</v>
      </c>
      <c r="AX499" s="48">
        <v>28</v>
      </c>
      <c r="AY499" s="48" t="s">
        <v>8728</v>
      </c>
      <c r="AZ499" s="48" t="s">
        <v>1563</v>
      </c>
      <c r="BA499" s="48">
        <v>32</v>
      </c>
      <c r="BB499" s="47" t="s">
        <v>2485</v>
      </c>
      <c r="BC499" s="47" t="s">
        <v>8726</v>
      </c>
      <c r="BD499" s="47" t="s">
        <v>8374</v>
      </c>
      <c r="BE499" s="48" t="s">
        <v>2449</v>
      </c>
      <c r="BF499" s="48" t="s">
        <v>272</v>
      </c>
      <c r="BG499" s="48" t="s">
        <v>272</v>
      </c>
      <c r="BH499" s="48" t="s">
        <v>2486</v>
      </c>
      <c r="BI499" s="98">
        <v>8.8454400000000002E-4</v>
      </c>
      <c r="BJ499" s="98">
        <v>8.84544</v>
      </c>
      <c r="BK499" s="48"/>
      <c r="BL499" s="487">
        <v>31.500501427023959</v>
      </c>
      <c r="BM499" s="47" t="s">
        <v>2487</v>
      </c>
      <c r="BN499" s="48"/>
      <c r="BO499" s="48"/>
      <c r="BP499" s="48"/>
      <c r="BQ499" s="48"/>
      <c r="BR499" s="47" t="e">
        <v>#VALUE!</v>
      </c>
      <c r="BS499" s="48"/>
      <c r="BT499" s="48"/>
      <c r="BU499" s="228"/>
      <c r="BV499" s="48"/>
      <c r="BW499" s="48"/>
      <c r="BX499" s="48"/>
      <c r="BY499" s="48"/>
      <c r="BZ499" s="48"/>
      <c r="CA499" s="48"/>
      <c r="CB499" s="48"/>
      <c r="CC499" s="48"/>
      <c r="CD499" s="48"/>
      <c r="CE499" s="48"/>
      <c r="CF499" s="48"/>
      <c r="CG499" s="48"/>
      <c r="CH499" s="48"/>
      <c r="CI499" s="98"/>
      <c r="CJ499" s="98"/>
      <c r="CK499" s="49">
        <f t="shared" si="124"/>
        <v>3.5612136227280904</v>
      </c>
      <c r="CL499" s="229"/>
      <c r="CM499" s="229"/>
      <c r="CN499" s="229"/>
      <c r="CO499" s="47" t="s">
        <v>2488</v>
      </c>
      <c r="CP499" s="500" t="s">
        <v>2489</v>
      </c>
      <c r="CQ499" s="224">
        <v>2.3261972440085721</v>
      </c>
      <c r="CR499" s="224">
        <f>10^(CJ499-CQ499)</f>
        <v>4.7184869254552854E-3</v>
      </c>
      <c r="CS499" s="230" t="s">
        <v>539</v>
      </c>
      <c r="CT499" s="230"/>
      <c r="CU499" s="230"/>
      <c r="CV499" s="335">
        <f t="shared" si="125"/>
        <v>1356.6312133709575</v>
      </c>
      <c r="CW499" s="230">
        <f t="shared" si="121"/>
        <v>1</v>
      </c>
      <c r="CX499" s="336"/>
      <c r="CY499" s="230" t="s">
        <v>6351</v>
      </c>
    </row>
    <row r="500" spans="1:103" ht="11.25" customHeight="1" x14ac:dyDescent="0.2">
      <c r="A500" s="72">
        <v>807</v>
      </c>
      <c r="B500" s="224">
        <v>1494</v>
      </c>
      <c r="C500" s="46" t="s">
        <v>4580</v>
      </c>
      <c r="D500" s="46"/>
      <c r="E500" s="114"/>
      <c r="F500" s="114" t="s">
        <v>4581</v>
      </c>
      <c r="G500" s="225">
        <v>79061</v>
      </c>
      <c r="H500" s="47" t="s">
        <v>4582</v>
      </c>
      <c r="I500" s="47" t="s">
        <v>4582</v>
      </c>
      <c r="J500" s="47" t="s">
        <v>4583</v>
      </c>
      <c r="K500" s="47" t="s">
        <v>3832</v>
      </c>
      <c r="L500" s="47"/>
      <c r="M500" s="47" t="s">
        <v>4294</v>
      </c>
      <c r="N500" s="47" t="s">
        <v>6088</v>
      </c>
      <c r="O500" s="47" t="s">
        <v>498</v>
      </c>
      <c r="P500" s="53"/>
      <c r="Q500" s="53" t="s">
        <v>6176</v>
      </c>
      <c r="R500" s="53" t="s">
        <v>6175</v>
      </c>
      <c r="S500" s="53" t="s">
        <v>6173</v>
      </c>
      <c r="T500" s="48">
        <v>71.08</v>
      </c>
      <c r="U500" s="98">
        <v>390000</v>
      </c>
      <c r="V500" s="98">
        <v>504000</v>
      </c>
      <c r="W500" s="98">
        <v>36454.187174106213</v>
      </c>
      <c r="X500" s="98">
        <v>390000</v>
      </c>
      <c r="Y500" s="233">
        <v>7.01</v>
      </c>
      <c r="Z500" s="48">
        <v>-0.81</v>
      </c>
      <c r="AA500" s="48">
        <v>-0.67</v>
      </c>
      <c r="AB500" s="48">
        <v>-0.64</v>
      </c>
      <c r="AC500" s="48">
        <v>0.87749999999999995</v>
      </c>
      <c r="AD500" s="48">
        <v>-0.67</v>
      </c>
      <c r="AE500" s="48">
        <v>-0.78</v>
      </c>
      <c r="AF500" s="48">
        <f t="shared" si="126"/>
        <v>-0.67</v>
      </c>
      <c r="AG500" s="49">
        <v>-0.25</v>
      </c>
      <c r="AH500" s="98">
        <v>5.8999999999999999E-9</v>
      </c>
      <c r="AI500" s="98">
        <v>1.6999999999999999E-9</v>
      </c>
      <c r="AJ500" s="483">
        <f t="shared" si="128"/>
        <v>-6.6177143146705077</v>
      </c>
      <c r="AK500" s="483">
        <f>LOG10(AI500*1000/(0.08206*298.15))</f>
        <v>-7.1581174049343783</v>
      </c>
      <c r="AL500" s="483">
        <f t="shared" si="127"/>
        <v>-7.1581174049343783</v>
      </c>
      <c r="AM500" s="483">
        <v>-7.9461899999999996</v>
      </c>
      <c r="AN500" s="226">
        <v>-7.82</v>
      </c>
      <c r="AO500" s="484">
        <v>15.35</v>
      </c>
      <c r="AP500" s="484">
        <v>-0.83</v>
      </c>
      <c r="AQ500" s="48" t="s">
        <v>6311</v>
      </c>
      <c r="AR500" s="48" t="s">
        <v>6311</v>
      </c>
      <c r="AS500" s="227"/>
      <c r="AT500" s="50" t="s">
        <v>266</v>
      </c>
      <c r="AU500" s="48">
        <v>6</v>
      </c>
      <c r="AV500" s="48">
        <v>120</v>
      </c>
      <c r="AW500" s="48">
        <v>114</v>
      </c>
      <c r="AX500" s="48">
        <v>28</v>
      </c>
      <c r="AY500" s="48" t="s">
        <v>8728</v>
      </c>
      <c r="AZ500" s="48" t="s">
        <v>1563</v>
      </c>
      <c r="BA500" s="48">
        <v>32</v>
      </c>
      <c r="BB500" s="47" t="s">
        <v>2485</v>
      </c>
      <c r="BC500" s="47" t="s">
        <v>8726</v>
      </c>
      <c r="BD500" s="47" t="s">
        <v>8374</v>
      </c>
      <c r="BE500" s="48" t="s">
        <v>2449</v>
      </c>
      <c r="BF500" s="48" t="s">
        <v>272</v>
      </c>
      <c r="BG500" s="48" t="s">
        <v>272</v>
      </c>
      <c r="BH500" s="48" t="s">
        <v>2486</v>
      </c>
      <c r="BI500" s="98">
        <v>4.5491199999999997E-4</v>
      </c>
      <c r="BJ500" s="98">
        <v>4.5491200000000003</v>
      </c>
      <c r="BK500" s="48"/>
      <c r="BL500" s="487">
        <v>19498.823993648424</v>
      </c>
      <c r="BM500" s="47" t="s">
        <v>2487</v>
      </c>
      <c r="BN500" s="48"/>
      <c r="BO500" s="48"/>
      <c r="BP500" s="48"/>
      <c r="BQ500" s="48"/>
      <c r="BR500" s="47" t="e">
        <v>#VALUE!</v>
      </c>
      <c r="BS500" s="48"/>
      <c r="BT500" s="48"/>
      <c r="BU500" s="228"/>
      <c r="BV500" s="48"/>
      <c r="BW500" s="48"/>
      <c r="BX500" s="48"/>
      <c r="BY500" s="48"/>
      <c r="BZ500" s="48"/>
      <c r="CA500" s="48"/>
      <c r="CB500" s="48"/>
      <c r="CC500" s="48"/>
      <c r="CD500" s="48"/>
      <c r="CE500" s="48"/>
      <c r="CF500" s="48"/>
      <c r="CG500" s="48"/>
      <c r="CH500" s="48"/>
      <c r="CI500" s="98"/>
      <c r="CJ500" s="98"/>
      <c r="CK500" s="49">
        <f t="shared" si="124"/>
        <v>4286.2848185249941</v>
      </c>
      <c r="CL500" s="229"/>
      <c r="CM500" s="229">
        <v>2</v>
      </c>
      <c r="CN500" s="229">
        <f>BJ500/(10^CM500)</f>
        <v>4.5491200000000002E-2</v>
      </c>
      <c r="CO500" s="47" t="s">
        <v>2488</v>
      </c>
      <c r="CP500" s="500" t="s">
        <v>2489</v>
      </c>
      <c r="CQ500" s="224">
        <v>2.0851633451628415</v>
      </c>
      <c r="CR500" s="224">
        <f>10^(CJ500-CQ500)</f>
        <v>8.2193344936922798E-3</v>
      </c>
      <c r="CS500" s="230" t="s">
        <v>539</v>
      </c>
      <c r="CT500" s="230"/>
      <c r="CU500" s="230"/>
      <c r="CV500" s="335">
        <f t="shared" si="125"/>
        <v>85730.866629150245</v>
      </c>
      <c r="CW500" s="230">
        <f t="shared" si="121"/>
        <v>1</v>
      </c>
      <c r="CX500" s="336"/>
      <c r="CY500" s="230" t="s">
        <v>6351</v>
      </c>
    </row>
    <row r="501" spans="1:103" ht="11.25" customHeight="1" x14ac:dyDescent="0.2">
      <c r="A501" s="72">
        <v>808</v>
      </c>
      <c r="B501" s="224">
        <v>1766</v>
      </c>
      <c r="C501" s="46" t="s">
        <v>7016</v>
      </c>
      <c r="D501" s="46"/>
      <c r="E501" s="114"/>
      <c r="F501" s="114" t="s">
        <v>5089</v>
      </c>
      <c r="G501" s="225">
        <v>79163</v>
      </c>
      <c r="H501" s="47" t="s">
        <v>5090</v>
      </c>
      <c r="I501" s="47" t="s">
        <v>5090</v>
      </c>
      <c r="J501" s="47" t="s">
        <v>5091</v>
      </c>
      <c r="K501" s="47" t="s">
        <v>471</v>
      </c>
      <c r="L501" s="47"/>
      <c r="M501" s="47"/>
      <c r="N501" s="47"/>
      <c r="O501" s="47"/>
      <c r="P501" s="53"/>
      <c r="Q501" s="53"/>
      <c r="R501" s="53"/>
      <c r="S501" s="53"/>
      <c r="T501" s="48">
        <v>73.09</v>
      </c>
      <c r="U501" s="98">
        <v>1000000</v>
      </c>
      <c r="V501" s="98">
        <v>1000000</v>
      </c>
      <c r="W501" s="98">
        <v>284353.09647631971</v>
      </c>
      <c r="X501" s="98">
        <v>1000000</v>
      </c>
      <c r="Y501" s="233">
        <v>7.19</v>
      </c>
      <c r="Z501" s="48">
        <v>-0.7</v>
      </c>
      <c r="AA501" s="48">
        <v>-1.05</v>
      </c>
      <c r="AB501" s="48">
        <v>-0.74</v>
      </c>
      <c r="AC501" s="48">
        <v>0.84960000000000002</v>
      </c>
      <c r="AD501" s="48">
        <v>-0.82</v>
      </c>
      <c r="AE501" s="48">
        <v>-1.05</v>
      </c>
      <c r="AF501" s="48">
        <f t="shared" si="126"/>
        <v>-1.05</v>
      </c>
      <c r="AG501" s="49">
        <v>-0.14000000000000001</v>
      </c>
      <c r="AH501" s="98">
        <v>2.4599999999999999E-8</v>
      </c>
      <c r="AI501" s="98">
        <v>4.2300000000000002E-8</v>
      </c>
      <c r="AJ501" s="483">
        <f t="shared" si="128"/>
        <v>-5.9976312192092731</v>
      </c>
      <c r="AK501" s="483">
        <f>LOG10(AI501*1000/(0.08206*298.15))</f>
        <v>-5.7622259589376092</v>
      </c>
      <c r="AL501" s="483">
        <f t="shared" si="127"/>
        <v>-5.7622259589376092</v>
      </c>
      <c r="AM501" s="483">
        <v>-6.3813999999999993</v>
      </c>
      <c r="AN501" s="226">
        <v>-7.09</v>
      </c>
      <c r="AO501" s="484">
        <v>16.61</v>
      </c>
      <c r="AP501" s="484">
        <v>-0.44</v>
      </c>
      <c r="AQ501" s="226" t="s">
        <v>6311</v>
      </c>
      <c r="AR501" s="226" t="s">
        <v>6311</v>
      </c>
      <c r="AS501" s="224"/>
      <c r="AT501" s="50" t="s">
        <v>266</v>
      </c>
      <c r="AU501" s="48">
        <v>6</v>
      </c>
      <c r="AV501" s="48">
        <v>120</v>
      </c>
      <c r="AW501" s="48">
        <v>114</v>
      </c>
      <c r="AX501" s="48">
        <v>28</v>
      </c>
      <c r="AY501" s="48" t="s">
        <v>8728</v>
      </c>
      <c r="AZ501" s="48" t="s">
        <v>1563</v>
      </c>
      <c r="BA501" s="48">
        <v>32</v>
      </c>
      <c r="BB501" s="47" t="s">
        <v>2485</v>
      </c>
      <c r="BC501" s="47" t="s">
        <v>8726</v>
      </c>
      <c r="BD501" s="47" t="s">
        <v>8374</v>
      </c>
      <c r="BE501" s="48" t="s">
        <v>2449</v>
      </c>
      <c r="BF501" s="48" t="s">
        <v>272</v>
      </c>
      <c r="BG501" s="48" t="s">
        <v>272</v>
      </c>
      <c r="BH501" s="48" t="s">
        <v>2486</v>
      </c>
      <c r="BI501" s="98">
        <v>4.6777599999999999E-4</v>
      </c>
      <c r="BJ501" s="98">
        <v>4.6777600000000001</v>
      </c>
      <c r="BK501" s="48"/>
      <c r="BL501" s="487">
        <v>15970.847467181797</v>
      </c>
      <c r="BM501" s="47" t="s">
        <v>2487</v>
      </c>
      <c r="BN501" s="48"/>
      <c r="BO501" s="48"/>
      <c r="BP501" s="48"/>
      <c r="BQ501" s="48"/>
      <c r="BR501" s="47" t="e">
        <v>#VALUE!</v>
      </c>
      <c r="BS501" s="48"/>
      <c r="BT501" s="48"/>
      <c r="BU501" s="228"/>
      <c r="BV501" s="48"/>
      <c r="BW501" s="48"/>
      <c r="BX501" s="48"/>
      <c r="BY501" s="48"/>
      <c r="BZ501" s="48"/>
      <c r="CA501" s="48"/>
      <c r="CB501" s="48"/>
      <c r="CC501" s="48"/>
      <c r="CD501" s="48"/>
      <c r="CE501" s="48"/>
      <c r="CF501" s="48"/>
      <c r="CG501" s="48"/>
      <c r="CH501" s="48"/>
      <c r="CI501" s="98"/>
      <c r="CJ501" s="98"/>
      <c r="CK501" s="49">
        <f t="shared" si="124"/>
        <v>3414.2083961515332</v>
      </c>
      <c r="CL501" s="229"/>
      <c r="CM501" s="229"/>
      <c r="CN501" s="229"/>
      <c r="CO501" s="47" t="s">
        <v>2488</v>
      </c>
      <c r="CP501" s="500" t="s">
        <v>2489</v>
      </c>
      <c r="CQ501" s="224" t="s">
        <v>272</v>
      </c>
      <c r="CR501" s="224"/>
      <c r="CS501" s="230" t="s">
        <v>539</v>
      </c>
      <c r="CT501" s="230"/>
      <c r="CU501" s="230"/>
      <c r="CV501" s="335">
        <f t="shared" si="125"/>
        <v>213777.53454644958</v>
      </c>
      <c r="CW501" s="230">
        <f t="shared" si="121"/>
        <v>1</v>
      </c>
      <c r="CX501" s="336"/>
      <c r="CY501" s="230" t="s">
        <v>6351</v>
      </c>
    </row>
    <row r="502" spans="1:103" ht="11.25" customHeight="1" x14ac:dyDescent="0.2">
      <c r="A502" s="72">
        <v>809</v>
      </c>
      <c r="B502" s="224">
        <v>1728</v>
      </c>
      <c r="C502" s="46" t="s">
        <v>7017</v>
      </c>
      <c r="D502" s="46"/>
      <c r="E502" s="114"/>
      <c r="F502" s="114" t="s">
        <v>5003</v>
      </c>
      <c r="G502" s="225">
        <v>79390</v>
      </c>
      <c r="H502" s="47" t="s">
        <v>5004</v>
      </c>
      <c r="I502" s="47" t="s">
        <v>5004</v>
      </c>
      <c r="J502" s="47" t="s">
        <v>5005</v>
      </c>
      <c r="K502" s="47" t="s">
        <v>3832</v>
      </c>
      <c r="L502" s="47"/>
      <c r="M502" s="47"/>
      <c r="N502" s="47"/>
      <c r="O502" s="47"/>
      <c r="P502" s="53"/>
      <c r="Q502" s="53"/>
      <c r="R502" s="53"/>
      <c r="S502" s="53"/>
      <c r="T502" s="48">
        <v>85.1</v>
      </c>
      <c r="U502" s="98"/>
      <c r="V502" s="98">
        <v>1000000</v>
      </c>
      <c r="W502" s="98">
        <v>26910.982888032908</v>
      </c>
      <c r="X502" s="98">
        <v>26910.982888032908</v>
      </c>
      <c r="Y502" s="233">
        <v>7.01</v>
      </c>
      <c r="Z502" s="48">
        <v>-0.26</v>
      </c>
      <c r="AA502" s="48">
        <v>-1.1100000000000001</v>
      </c>
      <c r="AB502" s="48">
        <v>-0.06</v>
      </c>
      <c r="AC502" s="48">
        <v>0.75749999999999995</v>
      </c>
      <c r="AD502" s="48">
        <v>-0.12</v>
      </c>
      <c r="AE502" s="48">
        <v>-0.23</v>
      </c>
      <c r="AF502" s="48">
        <f t="shared" si="126"/>
        <v>-1.1100000000000001</v>
      </c>
      <c r="AG502" s="49">
        <v>0.03</v>
      </c>
      <c r="AH502" s="98">
        <v>9.2400000000000004E-9</v>
      </c>
      <c r="AI502" s="98"/>
      <c r="AJ502" s="483">
        <f t="shared" si="128"/>
        <v>-6.422894355092545</v>
      </c>
      <c r="AK502" s="483"/>
      <c r="AL502" s="483">
        <f t="shared" si="127"/>
        <v>-6.422894355092545</v>
      </c>
      <c r="AM502" s="483">
        <v>-7.9655600000000009</v>
      </c>
      <c r="AN502" s="226">
        <v>-7.82</v>
      </c>
      <c r="AO502" s="484">
        <v>15.46</v>
      </c>
      <c r="AP502" s="484">
        <v>-0.8</v>
      </c>
      <c r="AQ502" s="226" t="s">
        <v>6311</v>
      </c>
      <c r="AR502" s="226" t="s">
        <v>6311</v>
      </c>
      <c r="AS502" s="224"/>
      <c r="AT502" s="50" t="s">
        <v>266</v>
      </c>
      <c r="AU502" s="48">
        <v>6</v>
      </c>
      <c r="AV502" s="48">
        <v>120</v>
      </c>
      <c r="AW502" s="48">
        <v>114</v>
      </c>
      <c r="AX502" s="48">
        <v>28</v>
      </c>
      <c r="AY502" s="48" t="s">
        <v>8728</v>
      </c>
      <c r="AZ502" s="48" t="s">
        <v>1563</v>
      </c>
      <c r="BA502" s="48">
        <v>32</v>
      </c>
      <c r="BB502" s="47" t="s">
        <v>2485</v>
      </c>
      <c r="BC502" s="47" t="s">
        <v>8726</v>
      </c>
      <c r="BD502" s="47" t="s">
        <v>8374</v>
      </c>
      <c r="BE502" s="48" t="s">
        <v>2449</v>
      </c>
      <c r="BF502" s="48" t="s">
        <v>272</v>
      </c>
      <c r="BG502" s="48" t="s">
        <v>272</v>
      </c>
      <c r="BH502" s="48" t="s">
        <v>2486</v>
      </c>
      <c r="BI502" s="98">
        <v>5.4463999999999999E-4</v>
      </c>
      <c r="BJ502" s="98">
        <v>5.4463999999999997</v>
      </c>
      <c r="BK502" s="48"/>
      <c r="BL502" s="487">
        <v>7485.7541558156063</v>
      </c>
      <c r="BM502" s="47" t="s">
        <v>2487</v>
      </c>
      <c r="BN502" s="48"/>
      <c r="BO502" s="48"/>
      <c r="BP502" s="48"/>
      <c r="BQ502" s="48"/>
      <c r="BR502" s="47" t="e">
        <v>#VALUE!</v>
      </c>
      <c r="BS502" s="48"/>
      <c r="BT502" s="48"/>
      <c r="BU502" s="228"/>
      <c r="BV502" s="48"/>
      <c r="BW502" s="48"/>
      <c r="BX502" s="48"/>
      <c r="BY502" s="48"/>
      <c r="BZ502" s="48"/>
      <c r="CA502" s="48"/>
      <c r="CB502" s="48"/>
      <c r="CC502" s="48"/>
      <c r="CD502" s="48"/>
      <c r="CE502" s="48"/>
      <c r="CF502" s="48"/>
      <c r="CG502" s="48"/>
      <c r="CH502" s="48"/>
      <c r="CI502" s="98"/>
      <c r="CJ502" s="98"/>
      <c r="CK502" s="49">
        <f t="shared" si="124"/>
        <v>1374.4407601012792</v>
      </c>
      <c r="CL502" s="229"/>
      <c r="CM502" s="229"/>
      <c r="CN502" s="229"/>
      <c r="CO502" s="47" t="s">
        <v>2488</v>
      </c>
      <c r="CP502" s="500" t="s">
        <v>2489</v>
      </c>
      <c r="CQ502" s="224" t="s">
        <v>272</v>
      </c>
      <c r="CR502" s="224"/>
      <c r="CS502" s="230" t="s">
        <v>539</v>
      </c>
      <c r="CT502" s="230"/>
      <c r="CU502" s="230"/>
      <c r="CV502" s="335">
        <f t="shared" si="125"/>
        <v>4941.0588440130932</v>
      </c>
      <c r="CW502" s="230">
        <f t="shared" si="121"/>
        <v>1</v>
      </c>
      <c r="CX502" s="336"/>
      <c r="CY502" s="230" t="s">
        <v>6351</v>
      </c>
    </row>
    <row r="503" spans="1:103" ht="11.25" customHeight="1" x14ac:dyDescent="0.2">
      <c r="A503" s="72">
        <v>810</v>
      </c>
      <c r="B503" s="224">
        <v>1595</v>
      </c>
      <c r="C503" s="46" t="s">
        <v>7018</v>
      </c>
      <c r="D503" s="46"/>
      <c r="E503" s="114"/>
      <c r="F503" s="114" t="s">
        <v>4756</v>
      </c>
      <c r="G503" s="225">
        <v>79436</v>
      </c>
      <c r="H503" s="47" t="s">
        <v>4757</v>
      </c>
      <c r="I503" s="47" t="s">
        <v>7999</v>
      </c>
      <c r="J503" s="47" t="s">
        <v>4758</v>
      </c>
      <c r="K503" s="47" t="s">
        <v>450</v>
      </c>
      <c r="L503" s="47"/>
      <c r="M503" s="47"/>
      <c r="N503" s="47"/>
      <c r="O503" s="47"/>
      <c r="P503" s="53"/>
      <c r="Q503" s="53"/>
      <c r="R503" s="53"/>
      <c r="S503" s="53"/>
      <c r="T503" s="48">
        <v>128.94</v>
      </c>
      <c r="U503" s="98">
        <v>1000000</v>
      </c>
      <c r="V503" s="98">
        <v>37760</v>
      </c>
      <c r="W503" s="98">
        <v>63152.080969367446</v>
      </c>
      <c r="X503" s="98">
        <v>1000000</v>
      </c>
      <c r="Y503" s="233">
        <v>0.91</v>
      </c>
      <c r="Z503" s="48">
        <v>0.52</v>
      </c>
      <c r="AA503" s="48">
        <v>0.92</v>
      </c>
      <c r="AB503" s="48">
        <v>1.02</v>
      </c>
      <c r="AC503" s="48">
        <v>0.83409999999999995</v>
      </c>
      <c r="AD503" s="48">
        <v>0.89</v>
      </c>
      <c r="AE503" s="48">
        <v>0.54</v>
      </c>
      <c r="AF503" s="48">
        <f t="shared" si="126"/>
        <v>0.92</v>
      </c>
      <c r="AG503" s="49">
        <v>0.76</v>
      </c>
      <c r="AH503" s="98">
        <v>6.8E-8</v>
      </c>
      <c r="AI503" s="98">
        <v>8.3799999999999996E-9</v>
      </c>
      <c r="AJ503" s="483">
        <f t="shared" si="128"/>
        <v>-5.5560574136064158</v>
      </c>
      <c r="AK503" s="483">
        <f>LOG10(AI503*1000/(0.08206*298.15))</f>
        <v>-6.4653223076823751</v>
      </c>
      <c r="AL503" s="483">
        <f t="shared" si="127"/>
        <v>-6.4653223076823751</v>
      </c>
      <c r="AM503" s="483">
        <v>-7.1997700000000009</v>
      </c>
      <c r="AN503" s="226">
        <v>-7.1</v>
      </c>
      <c r="AO503" s="484">
        <v>1.37</v>
      </c>
      <c r="AP503" s="484"/>
      <c r="AQ503" s="48" t="s">
        <v>6311</v>
      </c>
      <c r="AR503" s="48" t="s">
        <v>6311</v>
      </c>
      <c r="AS503" s="227"/>
      <c r="AT503" s="50" t="s">
        <v>266</v>
      </c>
      <c r="AU503" s="48">
        <v>6</v>
      </c>
      <c r="AV503" s="48">
        <v>120</v>
      </c>
      <c r="AW503" s="48">
        <v>114</v>
      </c>
      <c r="AX503" s="48">
        <v>28</v>
      </c>
      <c r="AY503" s="48" t="s">
        <v>8728</v>
      </c>
      <c r="AZ503" s="48" t="s">
        <v>1563</v>
      </c>
      <c r="BA503" s="48">
        <v>32</v>
      </c>
      <c r="BB503" s="47" t="s">
        <v>2485</v>
      </c>
      <c r="BC503" s="47" t="s">
        <v>8726</v>
      </c>
      <c r="BD503" s="47" t="s">
        <v>8374</v>
      </c>
      <c r="BE503" s="48" t="s">
        <v>2449</v>
      </c>
      <c r="BF503" s="48" t="s">
        <v>272</v>
      </c>
      <c r="BG503" s="48" t="s">
        <v>272</v>
      </c>
      <c r="BH503" s="48" t="s">
        <v>2486</v>
      </c>
      <c r="BI503" s="98">
        <v>8.2521599999999993E-4</v>
      </c>
      <c r="BJ503" s="98">
        <v>8.2521599999999999</v>
      </c>
      <c r="BK503" s="48"/>
      <c r="BL503" s="487">
        <v>2260.3498643678822</v>
      </c>
      <c r="BM503" s="47" t="s">
        <v>2487</v>
      </c>
      <c r="BN503" s="48"/>
      <c r="BO503" s="48"/>
      <c r="BP503" s="48"/>
      <c r="BQ503" s="48"/>
      <c r="BR503" s="47" t="e">
        <v>#VALUE!</v>
      </c>
      <c r="BS503" s="48"/>
      <c r="BT503" s="48"/>
      <c r="BU503" s="228"/>
      <c r="BV503" s="48"/>
      <c r="BW503" s="48"/>
      <c r="BX503" s="48"/>
      <c r="BY503" s="48"/>
      <c r="BZ503" s="48"/>
      <c r="CA503" s="48"/>
      <c r="CB503" s="48"/>
      <c r="CC503" s="48"/>
      <c r="CD503" s="48"/>
      <c r="CE503" s="48"/>
      <c r="CF503" s="48"/>
      <c r="CG503" s="48"/>
      <c r="CH503" s="48"/>
      <c r="CI503" s="98"/>
      <c r="CJ503" s="98"/>
      <c r="CK503" s="49">
        <f t="shared" si="124"/>
        <v>273.91008710057514</v>
      </c>
      <c r="CL503" s="229"/>
      <c r="CM503" s="229"/>
      <c r="CN503" s="229"/>
      <c r="CO503" s="47" t="s">
        <v>2488</v>
      </c>
      <c r="CP503" s="500" t="s">
        <v>2489</v>
      </c>
      <c r="CQ503" s="224" t="s">
        <v>272</v>
      </c>
      <c r="CR503" s="224"/>
      <c r="CS503" s="230" t="s">
        <v>539</v>
      </c>
      <c r="CT503" s="230"/>
      <c r="CU503" s="230"/>
      <c r="CV503" s="335">
        <f t="shared" si="125"/>
        <v>121180.39398169692</v>
      </c>
      <c r="CW503" s="230">
        <f t="shared" si="121"/>
        <v>1</v>
      </c>
      <c r="CX503" s="336"/>
      <c r="CY503" s="230" t="s">
        <v>5921</v>
      </c>
    </row>
    <row r="504" spans="1:103" ht="11.25" customHeight="1" x14ac:dyDescent="0.2">
      <c r="A504" s="72">
        <v>811</v>
      </c>
      <c r="B504" s="224">
        <v>1624</v>
      </c>
      <c r="C504" s="46" t="s">
        <v>7019</v>
      </c>
      <c r="D504" s="46"/>
      <c r="E504" s="114"/>
      <c r="F504" s="114" t="s">
        <v>4812</v>
      </c>
      <c r="G504" s="225">
        <v>79447</v>
      </c>
      <c r="H504" s="47" t="s">
        <v>4813</v>
      </c>
      <c r="I504" s="47" t="s">
        <v>8000</v>
      </c>
      <c r="J504" s="47" t="s">
        <v>4814</v>
      </c>
      <c r="K504" s="47" t="s">
        <v>4815</v>
      </c>
      <c r="L504" s="47"/>
      <c r="M504" s="47"/>
      <c r="N504" s="47"/>
      <c r="O504" s="47"/>
      <c r="P504" s="53"/>
      <c r="Q504" s="53"/>
      <c r="R504" s="53"/>
      <c r="S504" s="53"/>
      <c r="T504" s="48">
        <v>107.54</v>
      </c>
      <c r="U504" s="98"/>
      <c r="V504" s="98">
        <v>458500</v>
      </c>
      <c r="W504" s="98">
        <v>66308.626500183789</v>
      </c>
      <c r="X504" s="98">
        <v>66308.626500183789</v>
      </c>
      <c r="Y504" s="233">
        <v>7</v>
      </c>
      <c r="Z504" s="48">
        <v>-0.72</v>
      </c>
      <c r="AA504" s="48"/>
      <c r="AB504" s="48">
        <v>0.86</v>
      </c>
      <c r="AC504" s="48">
        <v>0.15310000000000001</v>
      </c>
      <c r="AD504" s="48">
        <v>0.37</v>
      </c>
      <c r="AE504" s="48">
        <v>0.24</v>
      </c>
      <c r="AF504" s="48">
        <f t="shared" si="126"/>
        <v>0.37</v>
      </c>
      <c r="AG504" s="49">
        <v>0.43</v>
      </c>
      <c r="AH504" s="98">
        <v>7.23E-7</v>
      </c>
      <c r="AI504" s="98"/>
      <c r="AJ504" s="483">
        <f t="shared" si="128"/>
        <v>-4.5294280290181206</v>
      </c>
      <c r="AK504" s="483"/>
      <c r="AL504" s="483">
        <f t="shared" si="127"/>
        <v>-4.5294280290181206</v>
      </c>
      <c r="AM504" s="483">
        <v>-6.1892700000000005</v>
      </c>
      <c r="AN504" s="226">
        <v>-5.36</v>
      </c>
      <c r="AO504" s="484"/>
      <c r="AP504" s="484">
        <v>-1.85</v>
      </c>
      <c r="AQ504" s="226" t="s">
        <v>6311</v>
      </c>
      <c r="AR504" s="226" t="s">
        <v>6311</v>
      </c>
      <c r="AS504" s="224"/>
      <c r="AT504" s="50" t="s">
        <v>266</v>
      </c>
      <c r="AU504" s="48">
        <v>6</v>
      </c>
      <c r="AV504" s="48">
        <v>120</v>
      </c>
      <c r="AW504" s="48">
        <v>114</v>
      </c>
      <c r="AX504" s="48">
        <v>28</v>
      </c>
      <c r="AY504" s="48" t="s">
        <v>8728</v>
      </c>
      <c r="AZ504" s="48" t="s">
        <v>1563</v>
      </c>
      <c r="BA504" s="48">
        <v>32</v>
      </c>
      <c r="BB504" s="47" t="s">
        <v>2485</v>
      </c>
      <c r="BC504" s="47" t="s">
        <v>8726</v>
      </c>
      <c r="BD504" s="47" t="s">
        <v>8374</v>
      </c>
      <c r="BE504" s="48" t="s">
        <v>2449</v>
      </c>
      <c r="BF504" s="48" t="s">
        <v>272</v>
      </c>
      <c r="BG504" s="48" t="s">
        <v>272</v>
      </c>
      <c r="BH504" s="48" t="s">
        <v>2486</v>
      </c>
      <c r="BI504" s="98">
        <v>6.8825600000000005E-4</v>
      </c>
      <c r="BJ504" s="98">
        <v>6.8825600000000007</v>
      </c>
      <c r="BK504" s="48"/>
      <c r="BL504" s="487">
        <v>24490.747014739223</v>
      </c>
      <c r="BM504" s="47" t="s">
        <v>2487</v>
      </c>
      <c r="BN504" s="48"/>
      <c r="BO504" s="48"/>
      <c r="BP504" s="48"/>
      <c r="BQ504" s="48"/>
      <c r="BR504" s="47" t="e">
        <v>#VALUE!</v>
      </c>
      <c r="BS504" s="48"/>
      <c r="BT504" s="48"/>
      <c r="BU504" s="228"/>
      <c r="BV504" s="48"/>
      <c r="BW504" s="48"/>
      <c r="BX504" s="48"/>
      <c r="BY504" s="48"/>
      <c r="BZ504" s="48"/>
      <c r="CA504" s="48"/>
      <c r="CB504" s="48"/>
      <c r="CC504" s="48"/>
      <c r="CD504" s="48"/>
      <c r="CE504" s="48"/>
      <c r="CF504" s="48"/>
      <c r="CG504" s="48"/>
      <c r="CH504" s="48"/>
      <c r="CI504" s="98"/>
      <c r="CJ504" s="98"/>
      <c r="CK504" s="49">
        <f t="shared" si="124"/>
        <v>3558.3775535177638</v>
      </c>
      <c r="CL504" s="229"/>
      <c r="CM504" s="229"/>
      <c r="CN504" s="229"/>
      <c r="CO504" s="47" t="s">
        <v>2488</v>
      </c>
      <c r="CP504" s="500" t="s">
        <v>2489</v>
      </c>
      <c r="CQ504" s="224" t="s">
        <v>272</v>
      </c>
      <c r="CR504" s="224"/>
      <c r="CS504" s="230" t="s">
        <v>539</v>
      </c>
      <c r="CT504" s="230"/>
      <c r="CU504" s="230"/>
      <c r="CV504" s="335">
        <f t="shared" si="125"/>
        <v>9634.2969040856569</v>
      </c>
      <c r="CW504" s="230">
        <f t="shared" si="121"/>
        <v>1</v>
      </c>
      <c r="CX504" s="336"/>
      <c r="CY504" s="230" t="s">
        <v>6351</v>
      </c>
    </row>
    <row r="505" spans="1:103" ht="11.25" customHeight="1" x14ac:dyDescent="0.2">
      <c r="A505" s="72">
        <v>814</v>
      </c>
      <c r="B505" s="224">
        <v>1580</v>
      </c>
      <c r="C505" s="46" t="s">
        <v>7021</v>
      </c>
      <c r="D505" s="46"/>
      <c r="E505" s="114"/>
      <c r="F505" s="114" t="s">
        <v>4722</v>
      </c>
      <c r="G505" s="225">
        <v>80080</v>
      </c>
      <c r="H505" s="47" t="s">
        <v>4723</v>
      </c>
      <c r="I505" s="47" t="s">
        <v>4723</v>
      </c>
      <c r="J505" s="47" t="s">
        <v>4724</v>
      </c>
      <c r="K505" s="47" t="s">
        <v>1573</v>
      </c>
      <c r="L505" s="47" t="s">
        <v>279</v>
      </c>
      <c r="M505" s="47" t="s">
        <v>4725</v>
      </c>
      <c r="N505" s="47"/>
      <c r="O505" s="47" t="s">
        <v>281</v>
      </c>
      <c r="P505" s="53"/>
      <c r="Q505" s="53"/>
      <c r="R505" s="53"/>
      <c r="S505" s="53"/>
      <c r="T505" s="48">
        <v>248.3</v>
      </c>
      <c r="U505" s="98">
        <v>380</v>
      </c>
      <c r="V505" s="98">
        <v>3589</v>
      </c>
      <c r="W505" s="98">
        <v>184.06733291501777</v>
      </c>
      <c r="X505" s="98">
        <v>380</v>
      </c>
      <c r="Y505" s="233">
        <v>7</v>
      </c>
      <c r="Z505" s="48">
        <v>0.77</v>
      </c>
      <c r="AA505" s="48">
        <v>0.97</v>
      </c>
      <c r="AB505" s="48">
        <v>1.1200000000000001</v>
      </c>
      <c r="AC505" s="48">
        <v>0.89380000000000004</v>
      </c>
      <c r="AD505" s="48">
        <v>1.08</v>
      </c>
      <c r="AE505" s="48">
        <v>0.94</v>
      </c>
      <c r="AF505" s="48">
        <f t="shared" si="126"/>
        <v>0.97</v>
      </c>
      <c r="AG505" s="49">
        <v>1.24</v>
      </c>
      <c r="AH505" s="98">
        <v>3.1100000000000001E-14</v>
      </c>
      <c r="AI505" s="98"/>
      <c r="AJ505" s="483">
        <f t="shared" si="128"/>
        <v>-11.895805937285814</v>
      </c>
      <c r="AK505" s="483"/>
      <c r="AL505" s="483">
        <f t="shared" si="127"/>
        <v>-11.895805937285814</v>
      </c>
      <c r="AM505" s="483">
        <v>-18.380189999999999</v>
      </c>
      <c r="AN505" s="226">
        <v>-28.3</v>
      </c>
      <c r="AO505" s="484"/>
      <c r="AP505" s="484">
        <v>1.24</v>
      </c>
      <c r="AQ505" s="48" t="s">
        <v>6311</v>
      </c>
      <c r="AR505" s="48" t="s">
        <v>6311</v>
      </c>
      <c r="AS505" s="227"/>
      <c r="AT505" s="50" t="s">
        <v>266</v>
      </c>
      <c r="AU505" s="48">
        <v>6</v>
      </c>
      <c r="AV505" s="48">
        <v>120</v>
      </c>
      <c r="AW505" s="48">
        <v>114</v>
      </c>
      <c r="AX505" s="48">
        <v>28</v>
      </c>
      <c r="AY505" s="48" t="s">
        <v>8728</v>
      </c>
      <c r="AZ505" s="48" t="s">
        <v>1563</v>
      </c>
      <c r="BA505" s="48">
        <v>32</v>
      </c>
      <c r="BB505" s="47" t="s">
        <v>2485</v>
      </c>
      <c r="BC505" s="47" t="s">
        <v>8726</v>
      </c>
      <c r="BD505" s="47" t="s">
        <v>8374</v>
      </c>
      <c r="BE505" s="48" t="s">
        <v>2449</v>
      </c>
      <c r="BF505" s="48" t="s">
        <v>272</v>
      </c>
      <c r="BG505" s="48" t="s">
        <v>272</v>
      </c>
      <c r="BH505" s="48" t="s">
        <v>2486</v>
      </c>
      <c r="BI505" s="98">
        <v>1.5891200000000001E-3</v>
      </c>
      <c r="BJ505" s="98">
        <v>15.891200000000001</v>
      </c>
      <c r="BK505" s="48"/>
      <c r="BL505" s="487">
        <v>2595.6116786883749</v>
      </c>
      <c r="BM505" s="47" t="s">
        <v>2487</v>
      </c>
      <c r="BN505" s="48"/>
      <c r="BO505" s="48"/>
      <c r="BP505" s="48"/>
      <c r="BQ505" s="48"/>
      <c r="BR505" s="47" t="e">
        <v>#VALUE!</v>
      </c>
      <c r="BS505" s="48"/>
      <c r="BT505" s="48"/>
      <c r="BU505" s="228"/>
      <c r="BV505" s="48"/>
      <c r="BW505" s="48"/>
      <c r="BX505" s="48"/>
      <c r="BY505" s="48"/>
      <c r="BZ505" s="48"/>
      <c r="CA505" s="48"/>
      <c r="CB505" s="48"/>
      <c r="CC505" s="48"/>
      <c r="CD505" s="48"/>
      <c r="CE505" s="48"/>
      <c r="CF505" s="48"/>
      <c r="CG505" s="48"/>
      <c r="CH505" s="48"/>
      <c r="CI505" s="98"/>
      <c r="CJ505" s="98"/>
      <c r="CK505" s="49">
        <f t="shared" si="124"/>
        <v>163.33641755741382</v>
      </c>
      <c r="CL505" s="229"/>
      <c r="CM505" s="229"/>
      <c r="CN505" s="229"/>
      <c r="CO505" s="47" t="s">
        <v>2488</v>
      </c>
      <c r="CP505" s="500" t="s">
        <v>2489</v>
      </c>
      <c r="CQ505" s="224" t="s">
        <v>272</v>
      </c>
      <c r="CR505" s="224"/>
      <c r="CS505" s="230" t="s">
        <v>539</v>
      </c>
      <c r="CT505" s="230"/>
      <c r="CU505" s="230"/>
      <c r="CV505" s="335">
        <f t="shared" si="125"/>
        <v>23.91260571888844</v>
      </c>
      <c r="CW505" s="230">
        <f t="shared" si="121"/>
        <v>1</v>
      </c>
      <c r="CX505" s="336"/>
      <c r="CY505" s="230" t="s">
        <v>6351</v>
      </c>
    </row>
    <row r="506" spans="1:103" ht="11.25" customHeight="1" x14ac:dyDescent="0.2">
      <c r="A506" s="72">
        <v>815</v>
      </c>
      <c r="B506" s="224">
        <v>1076</v>
      </c>
      <c r="C506" s="46" t="s">
        <v>7022</v>
      </c>
      <c r="D506" s="46" t="s">
        <v>8563</v>
      </c>
      <c r="E506" s="114"/>
      <c r="F506" s="114" t="s">
        <v>3023</v>
      </c>
      <c r="G506" s="225">
        <v>80159</v>
      </c>
      <c r="H506" s="47" t="s">
        <v>3024</v>
      </c>
      <c r="I506" s="47" t="s">
        <v>3024</v>
      </c>
      <c r="J506" s="47" t="s">
        <v>3025</v>
      </c>
      <c r="K506" s="47" t="s">
        <v>3026</v>
      </c>
      <c r="L506" s="47" t="s">
        <v>5527</v>
      </c>
      <c r="M506" s="47" t="s">
        <v>5960</v>
      </c>
      <c r="N506" s="47"/>
      <c r="O506" s="47"/>
      <c r="P506" s="53"/>
      <c r="Q506" s="53"/>
      <c r="R506" s="53"/>
      <c r="S506" s="53"/>
      <c r="T506" s="48">
        <v>152.19</v>
      </c>
      <c r="U506" s="98">
        <v>13900</v>
      </c>
      <c r="V506" s="98">
        <v>1071</v>
      </c>
      <c r="W506" s="98">
        <v>5039.484537843553</v>
      </c>
      <c r="X506" s="98">
        <v>13900</v>
      </c>
      <c r="Y506" s="233">
        <v>6.74</v>
      </c>
      <c r="Z506" s="48">
        <v>2.16</v>
      </c>
      <c r="AA506" s="48"/>
      <c r="AB506" s="48">
        <v>2.42</v>
      </c>
      <c r="AC506" s="48">
        <v>0.25719999999999998</v>
      </c>
      <c r="AD506" s="48">
        <v>2.57</v>
      </c>
      <c r="AE506" s="48">
        <v>2.63</v>
      </c>
      <c r="AF506" s="48">
        <f t="shared" si="126"/>
        <v>2.57</v>
      </c>
      <c r="AG506" s="49">
        <v>1.72</v>
      </c>
      <c r="AH506" s="98">
        <v>9.7000000000000003E-7</v>
      </c>
      <c r="AI506" s="98">
        <v>4.7099999999999998E-8</v>
      </c>
      <c r="AJ506" s="483">
        <f t="shared" si="128"/>
        <v>-4.4017945920464072</v>
      </c>
      <c r="AK506" s="483">
        <f>LOG10(AI506*1000/(0.08206*298.15))</f>
        <v>-5.7155454191837558</v>
      </c>
      <c r="AL506" s="483">
        <f t="shared" si="127"/>
        <v>-5.7155454191837558</v>
      </c>
      <c r="AM506" s="483">
        <v>-7.5978399999999997</v>
      </c>
      <c r="AN506" s="226">
        <v>-4.6399999999999997</v>
      </c>
      <c r="AO506" s="484">
        <v>12.17</v>
      </c>
      <c r="AP506" s="484"/>
      <c r="AQ506" s="48" t="s">
        <v>6311</v>
      </c>
      <c r="AR506" s="48" t="s">
        <v>6311</v>
      </c>
      <c r="AS506" s="227"/>
      <c r="AT506" s="50" t="s">
        <v>266</v>
      </c>
      <c r="AU506" s="48">
        <v>6</v>
      </c>
      <c r="AV506" s="48">
        <v>120</v>
      </c>
      <c r="AW506" s="48">
        <v>114</v>
      </c>
      <c r="AX506" s="48">
        <v>28</v>
      </c>
      <c r="AY506" s="48" t="s">
        <v>8728</v>
      </c>
      <c r="AZ506" s="48" t="s">
        <v>1563</v>
      </c>
      <c r="BA506" s="48">
        <v>32</v>
      </c>
      <c r="BB506" s="47" t="s">
        <v>2485</v>
      </c>
      <c r="BC506" s="47" t="s">
        <v>8726</v>
      </c>
      <c r="BD506" s="47" t="s">
        <v>8374</v>
      </c>
      <c r="BE506" s="48" t="s">
        <v>2449</v>
      </c>
      <c r="BF506" s="48" t="s">
        <v>272</v>
      </c>
      <c r="BG506" s="48" t="s">
        <v>272</v>
      </c>
      <c r="BH506" s="48" t="s">
        <v>2486</v>
      </c>
      <c r="BI506" s="98">
        <v>9.7401599999999997E-4</v>
      </c>
      <c r="BJ506" s="98">
        <v>9.7401599999999995</v>
      </c>
      <c r="BK506" s="48"/>
      <c r="BL506" s="487">
        <v>89.802849441771187</v>
      </c>
      <c r="BM506" s="47" t="s">
        <v>2487</v>
      </c>
      <c r="BN506" s="48"/>
      <c r="BO506" s="48"/>
      <c r="BP506" s="48"/>
      <c r="BQ506" s="48"/>
      <c r="BR506" s="47" t="e">
        <v>#VALUE!</v>
      </c>
      <c r="BS506" s="48"/>
      <c r="BT506" s="48"/>
      <c r="BU506" s="228">
        <v>9.7401599999999994E-3</v>
      </c>
      <c r="BV506" s="48"/>
      <c r="BW506" s="48"/>
      <c r="BX506" s="48"/>
      <c r="BY506" s="48"/>
      <c r="BZ506" s="48"/>
      <c r="CA506" s="48"/>
      <c r="CB506" s="48"/>
      <c r="CC506" s="48"/>
      <c r="CD506" s="48"/>
      <c r="CE506" s="48"/>
      <c r="CF506" s="48"/>
      <c r="CG506" s="48"/>
      <c r="CH506" s="48"/>
      <c r="CI506" s="98"/>
      <c r="CJ506" s="98"/>
      <c r="CK506" s="49">
        <f t="shared" si="124"/>
        <v>9.2198536206562505</v>
      </c>
      <c r="CL506" s="229"/>
      <c r="CM506" s="229"/>
      <c r="CN506" s="229"/>
      <c r="CO506" s="47" t="s">
        <v>2488</v>
      </c>
      <c r="CP506" s="500" t="s">
        <v>2489</v>
      </c>
      <c r="CQ506" s="224">
        <v>0.59106460702649921</v>
      </c>
      <c r="CR506" s="224">
        <f>10^(CJ506-CQ506)</f>
        <v>0.25641025641025639</v>
      </c>
      <c r="CS506" s="230" t="s">
        <v>539</v>
      </c>
      <c r="CT506" s="230"/>
      <c r="CU506" s="230"/>
      <c r="CV506" s="335">
        <f t="shared" si="125"/>
        <v>1427.0812799789737</v>
      </c>
      <c r="CW506" s="230">
        <f t="shared" si="121"/>
        <v>1</v>
      </c>
      <c r="CX506" s="336"/>
      <c r="CY506" s="230" t="s">
        <v>6351</v>
      </c>
    </row>
    <row r="507" spans="1:103" ht="11.25" customHeight="1" x14ac:dyDescent="0.2">
      <c r="A507" s="72">
        <v>816</v>
      </c>
      <c r="B507" s="224">
        <v>87</v>
      </c>
      <c r="C507" s="46" t="s">
        <v>7023</v>
      </c>
      <c r="D507" s="46"/>
      <c r="E507" s="114"/>
      <c r="F507" s="114" t="s">
        <v>3653</v>
      </c>
      <c r="G507" s="225">
        <v>81812</v>
      </c>
      <c r="H507" s="47" t="s">
        <v>3654</v>
      </c>
      <c r="I507" s="47" t="s">
        <v>3654</v>
      </c>
      <c r="J507" s="48" t="s">
        <v>3655</v>
      </c>
      <c r="K507" s="47" t="s">
        <v>3440</v>
      </c>
      <c r="L507" s="47" t="s">
        <v>279</v>
      </c>
      <c r="M507" s="47" t="s">
        <v>3656</v>
      </c>
      <c r="N507" s="47"/>
      <c r="O507" s="52" t="s">
        <v>281</v>
      </c>
      <c r="P507" s="53"/>
      <c r="Q507" s="53"/>
      <c r="R507" s="53"/>
      <c r="S507" s="53"/>
      <c r="T507" s="226">
        <v>308.33</v>
      </c>
      <c r="U507" s="98">
        <v>17</v>
      </c>
      <c r="V507" s="98">
        <v>54.27</v>
      </c>
      <c r="W507" s="98">
        <v>42.56138803050073</v>
      </c>
      <c r="X507" s="98">
        <v>17</v>
      </c>
      <c r="Y507" s="233">
        <v>4.28</v>
      </c>
      <c r="Z507" s="48">
        <v>2.23</v>
      </c>
      <c r="AA507" s="48">
        <v>2.7</v>
      </c>
      <c r="AB507" s="48">
        <v>2.99</v>
      </c>
      <c r="AC507" s="48">
        <v>0.81420000000000003</v>
      </c>
      <c r="AD507" s="48">
        <v>3.1</v>
      </c>
      <c r="AE507" s="48">
        <v>3.42</v>
      </c>
      <c r="AF507" s="48">
        <f t="shared" si="126"/>
        <v>2.7</v>
      </c>
      <c r="AG507" s="48">
        <v>2.85</v>
      </c>
      <c r="AH507" s="98">
        <v>2.2799999999999999E-13</v>
      </c>
      <c r="AI507" s="98">
        <v>2.7700000000000002E-9</v>
      </c>
      <c r="AJ507" s="483">
        <f t="shared" si="128"/>
        <v>-11.030631479312198</v>
      </c>
      <c r="AK507" s="483">
        <f>LOG10(AI507*1000/(0.08206*298.15))</f>
        <v>-6.9460865572482033</v>
      </c>
      <c r="AL507" s="483">
        <f t="shared" si="127"/>
        <v>-6.9460865572482033</v>
      </c>
      <c r="AM507" s="483">
        <v>-16.212859999999999</v>
      </c>
      <c r="AN507" s="48">
        <v>-11.15</v>
      </c>
      <c r="AO507" s="484">
        <v>4.5</v>
      </c>
      <c r="AP507" s="484"/>
      <c r="AQ507" s="48" t="s">
        <v>6311</v>
      </c>
      <c r="AR507" s="48" t="s">
        <v>6311</v>
      </c>
      <c r="AS507" s="227"/>
      <c r="AT507" s="50" t="s">
        <v>266</v>
      </c>
      <c r="AU507" s="48">
        <v>6</v>
      </c>
      <c r="AV507" s="48">
        <v>120</v>
      </c>
      <c r="AW507" s="48">
        <v>114</v>
      </c>
      <c r="AX507" s="48">
        <v>28</v>
      </c>
      <c r="AY507" s="48" t="s">
        <v>8728</v>
      </c>
      <c r="AZ507" s="48" t="s">
        <v>1563</v>
      </c>
      <c r="BA507" s="48">
        <v>32</v>
      </c>
      <c r="BB507" s="47" t="s">
        <v>2485</v>
      </c>
      <c r="BC507" s="47" t="s">
        <v>8726</v>
      </c>
      <c r="BD507" s="47" t="s">
        <v>8374</v>
      </c>
      <c r="BE507" s="48" t="s">
        <v>2449</v>
      </c>
      <c r="BF507" s="48" t="s">
        <v>272</v>
      </c>
      <c r="BG507" s="48" t="s">
        <v>272</v>
      </c>
      <c r="BH507" s="48" t="s">
        <v>2486</v>
      </c>
      <c r="BI507" s="98">
        <v>1.9733119999999996E-3</v>
      </c>
      <c r="BJ507" s="98">
        <v>19.73312</v>
      </c>
      <c r="BK507" s="48"/>
      <c r="BL507" s="487">
        <v>157.41741735008904</v>
      </c>
      <c r="BM507" s="47" t="s">
        <v>2487</v>
      </c>
      <c r="BN507" s="48"/>
      <c r="BO507" s="48"/>
      <c r="BP507" s="48"/>
      <c r="BQ507" s="48"/>
      <c r="BR507" s="47" t="e">
        <v>#VALUE!</v>
      </c>
      <c r="BS507" s="48"/>
      <c r="BT507" s="48"/>
      <c r="BU507" s="228">
        <v>0.19733120000000001</v>
      </c>
      <c r="BV507" s="48"/>
      <c r="BW507" s="48"/>
      <c r="BX507" s="48"/>
      <c r="BY507" s="48"/>
      <c r="BZ507" s="48"/>
      <c r="CA507" s="48"/>
      <c r="CB507" s="48"/>
      <c r="CC507" s="48"/>
      <c r="CD507" s="48"/>
      <c r="CE507" s="48"/>
      <c r="CF507" s="48"/>
      <c r="CG507" s="48"/>
      <c r="CH507" s="48"/>
      <c r="CI507" s="98"/>
      <c r="CJ507" s="98"/>
      <c r="CK507" s="49">
        <f t="shared" si="124"/>
        <v>7.9773202286353628</v>
      </c>
      <c r="CL507" s="229"/>
      <c r="CM507" s="229"/>
      <c r="CN507" s="229"/>
      <c r="CO507" s="47" t="s">
        <v>2488</v>
      </c>
      <c r="CP507" s="500" t="s">
        <v>2489</v>
      </c>
      <c r="CQ507" s="224">
        <v>2.4097719677709342</v>
      </c>
      <c r="CR507" s="224">
        <f>10^(CJ507-CQ507)</f>
        <v>3.8924947208076161E-3</v>
      </c>
      <c r="CS507" s="230" t="s">
        <v>539</v>
      </c>
      <c r="CT507" s="230"/>
      <c r="CU507" s="230"/>
      <c r="CV507" s="335">
        <f t="shared" si="125"/>
        <v>0.86149579995459413</v>
      </c>
      <c r="CW507" s="230">
        <f t="shared" si="121"/>
        <v>0</v>
      </c>
      <c r="CX507" s="336"/>
      <c r="CY507" s="230" t="s">
        <v>6351</v>
      </c>
    </row>
    <row r="508" spans="1:103" ht="11.25" customHeight="1" x14ac:dyDescent="0.2">
      <c r="A508" s="72">
        <v>817</v>
      </c>
      <c r="B508" s="224">
        <v>1238</v>
      </c>
      <c r="C508" s="46" t="s">
        <v>7024</v>
      </c>
      <c r="D508" s="46"/>
      <c r="E508" s="114"/>
      <c r="F508" s="114" t="s">
        <v>3407</v>
      </c>
      <c r="G508" s="225">
        <v>81903</v>
      </c>
      <c r="H508" s="47" t="s">
        <v>3408</v>
      </c>
      <c r="I508" s="47" t="s">
        <v>3408</v>
      </c>
      <c r="J508" s="47" t="s">
        <v>3409</v>
      </c>
      <c r="K508" s="47" t="s">
        <v>376</v>
      </c>
      <c r="L508" s="47"/>
      <c r="M508" s="47"/>
      <c r="N508" s="47"/>
      <c r="O508" s="47"/>
      <c r="P508" s="53"/>
      <c r="Q508" s="53"/>
      <c r="R508" s="53"/>
      <c r="S508" s="53"/>
      <c r="T508" s="48">
        <v>320.33999999999997</v>
      </c>
      <c r="U508" s="98">
        <v>175</v>
      </c>
      <c r="V508" s="98">
        <v>209.2</v>
      </c>
      <c r="W508" s="98">
        <v>55.668711748157506</v>
      </c>
      <c r="X508" s="98">
        <v>175</v>
      </c>
      <c r="Y508" s="233">
        <v>4.01</v>
      </c>
      <c r="Z508" s="48">
        <v>3.95</v>
      </c>
      <c r="AA508" s="48">
        <v>2.61</v>
      </c>
      <c r="AB508" s="48">
        <v>3.94</v>
      </c>
      <c r="AC508" s="48">
        <v>0.67220000000000002</v>
      </c>
      <c r="AD508" s="48">
        <v>3.92</v>
      </c>
      <c r="AE508" s="48">
        <v>3.89</v>
      </c>
      <c r="AF508" s="48">
        <f t="shared" si="126"/>
        <v>2.61</v>
      </c>
      <c r="AG508" s="49">
        <v>4.08</v>
      </c>
      <c r="AH508" s="98">
        <v>8.4399999999999998E-18</v>
      </c>
      <c r="AI508" s="98"/>
      <c r="AJ508" s="483">
        <f t="shared" si="128"/>
        <v>-15.462223879686997</v>
      </c>
      <c r="AK508" s="483"/>
      <c r="AL508" s="483">
        <f t="shared" si="127"/>
        <v>-15.462223879686997</v>
      </c>
      <c r="AM508" s="483">
        <v>-21.778799999999997</v>
      </c>
      <c r="AN508" s="226">
        <v>-17.2</v>
      </c>
      <c r="AO508" s="484">
        <v>3.96</v>
      </c>
      <c r="AP508" s="484"/>
      <c r="AQ508" s="48" t="s">
        <v>6311</v>
      </c>
      <c r="AR508" s="48" t="s">
        <v>6311</v>
      </c>
      <c r="AS508" s="227"/>
      <c r="AT508" s="50" t="s">
        <v>266</v>
      </c>
      <c r="AU508" s="48">
        <v>6</v>
      </c>
      <c r="AV508" s="48">
        <v>120</v>
      </c>
      <c r="AW508" s="48">
        <v>114</v>
      </c>
      <c r="AX508" s="48">
        <v>28</v>
      </c>
      <c r="AY508" s="48" t="s">
        <v>8728</v>
      </c>
      <c r="AZ508" s="48" t="s">
        <v>1563</v>
      </c>
      <c r="BA508" s="48">
        <v>32</v>
      </c>
      <c r="BB508" s="47" t="s">
        <v>2485</v>
      </c>
      <c r="BC508" s="47" t="s">
        <v>8726</v>
      </c>
      <c r="BD508" s="47" t="s">
        <v>8374</v>
      </c>
      <c r="BE508" s="48" t="s">
        <v>2449</v>
      </c>
      <c r="BF508" s="48" t="s">
        <v>272</v>
      </c>
      <c r="BG508" s="48" t="s">
        <v>272</v>
      </c>
      <c r="BH508" s="48" t="s">
        <v>2486</v>
      </c>
      <c r="BI508" s="98">
        <v>2.0501759999999999E-3</v>
      </c>
      <c r="BJ508" s="98">
        <v>20.501759999999997</v>
      </c>
      <c r="BK508" s="48"/>
      <c r="BL508" s="487">
        <v>4.6656931308372025</v>
      </c>
      <c r="BM508" s="47" t="s">
        <v>2487</v>
      </c>
      <c r="BN508" s="48"/>
      <c r="BO508" s="48"/>
      <c r="BP508" s="48"/>
      <c r="BQ508" s="48"/>
      <c r="BR508" s="47" t="e">
        <v>#VALUE!</v>
      </c>
      <c r="BS508" s="48"/>
      <c r="BT508" s="48"/>
      <c r="BU508" s="228">
        <v>20.501759999999997</v>
      </c>
      <c r="BV508" s="48"/>
      <c r="BW508" s="48"/>
      <c r="BX508" s="48"/>
      <c r="BY508" s="48"/>
      <c r="BZ508" s="48"/>
      <c r="CA508" s="48"/>
      <c r="CB508" s="48"/>
      <c r="CC508" s="48"/>
      <c r="CD508" s="48"/>
      <c r="CE508" s="48"/>
      <c r="CF508" s="48"/>
      <c r="CG508" s="48"/>
      <c r="CH508" s="48"/>
      <c r="CI508" s="98"/>
      <c r="CJ508" s="98"/>
      <c r="CK508" s="49">
        <f t="shared" si="124"/>
        <v>0.227575248702414</v>
      </c>
      <c r="CL508" s="229"/>
      <c r="CM508" s="229"/>
      <c r="CN508" s="229"/>
      <c r="CO508" s="47" t="s">
        <v>2488</v>
      </c>
      <c r="CP508" s="500" t="s">
        <v>2489</v>
      </c>
      <c r="CQ508" s="224" t="s">
        <v>272</v>
      </c>
      <c r="CR508" s="224"/>
      <c r="CS508" s="230" t="s">
        <v>539</v>
      </c>
      <c r="CT508" s="230"/>
      <c r="CU508" s="230"/>
      <c r="CV508" s="335">
        <f t="shared" si="125"/>
        <v>8.5358525316850855</v>
      </c>
      <c r="CW508" s="230">
        <f t="shared" si="121"/>
        <v>1</v>
      </c>
      <c r="CX508" s="336"/>
      <c r="CY508" s="230" t="s">
        <v>5921</v>
      </c>
    </row>
    <row r="509" spans="1:103" ht="11.25" customHeight="1" x14ac:dyDescent="0.2">
      <c r="A509" s="72">
        <v>818</v>
      </c>
      <c r="B509" s="224">
        <v>1484</v>
      </c>
      <c r="C509" s="46" t="s">
        <v>7025</v>
      </c>
      <c r="D509" s="46" t="s">
        <v>8564</v>
      </c>
      <c r="E509" s="114"/>
      <c r="F509" s="114" t="s">
        <v>4561</v>
      </c>
      <c r="G509" s="225">
        <v>83329</v>
      </c>
      <c r="H509" s="47" t="s">
        <v>4562</v>
      </c>
      <c r="I509" s="47" t="s">
        <v>4562</v>
      </c>
      <c r="J509" s="47" t="s">
        <v>4563</v>
      </c>
      <c r="K509" s="47" t="s">
        <v>426</v>
      </c>
      <c r="L509" s="47" t="s">
        <v>6124</v>
      </c>
      <c r="M509" s="47" t="s">
        <v>866</v>
      </c>
      <c r="N509" s="47" t="s">
        <v>6082</v>
      </c>
      <c r="O509" s="47" t="s">
        <v>6086</v>
      </c>
      <c r="P509" s="53" t="s">
        <v>6183</v>
      </c>
      <c r="Q509" s="53" t="s">
        <v>6173</v>
      </c>
      <c r="R509" s="53" t="s">
        <v>6185</v>
      </c>
      <c r="S509" s="53" t="s">
        <v>6176</v>
      </c>
      <c r="T509" s="48">
        <v>154.21</v>
      </c>
      <c r="U509" s="98">
        <v>3.8999999999999995</v>
      </c>
      <c r="V509" s="98">
        <v>2.5339999999999998</v>
      </c>
      <c r="W509" s="98">
        <v>3.4523318677862309</v>
      </c>
      <c r="X509" s="98">
        <v>3.8999999999999995</v>
      </c>
      <c r="Y509" s="233">
        <v>7</v>
      </c>
      <c r="Z509" s="48">
        <v>4.1500000000000004</v>
      </c>
      <c r="AA509" s="48">
        <v>3.92</v>
      </c>
      <c r="AB509" s="48">
        <v>3.94</v>
      </c>
      <c r="AC509" s="48">
        <v>0.93359999999999999</v>
      </c>
      <c r="AD509" s="48">
        <v>3.99</v>
      </c>
      <c r="AE509" s="48">
        <v>4.1900000000000004</v>
      </c>
      <c r="AF509" s="48">
        <f t="shared" si="126"/>
        <v>3.92</v>
      </c>
      <c r="AG509" s="49">
        <v>3.49</v>
      </c>
      <c r="AH509" s="98">
        <v>2.8200000000000002E-4</v>
      </c>
      <c r="AI509" s="98">
        <v>1.84E-4</v>
      </c>
      <c r="AJ509" s="483">
        <f t="shared" si="128"/>
        <v>-1.9383172179932906</v>
      </c>
      <c r="AK509" s="483">
        <f>LOG10(AI509*1000/(0.08206*298.15))</f>
        <v>-2.1237485033031152</v>
      </c>
      <c r="AL509" s="483">
        <f t="shared" si="127"/>
        <v>-2.1237485033031152</v>
      </c>
      <c r="AM509" s="483">
        <v>-4.8216099999999997</v>
      </c>
      <c r="AN509" s="226">
        <v>-2.4700000000000002</v>
      </c>
      <c r="AO509" s="484"/>
      <c r="AP509" s="484"/>
      <c r="AQ509" s="48" t="s">
        <v>6311</v>
      </c>
      <c r="AR509" s="48" t="s">
        <v>6311</v>
      </c>
      <c r="AS509" s="227"/>
      <c r="AT509" s="50" t="s">
        <v>266</v>
      </c>
      <c r="AU509" s="48">
        <v>6</v>
      </c>
      <c r="AV509" s="48">
        <v>120</v>
      </c>
      <c r="AW509" s="48">
        <v>114</v>
      </c>
      <c r="AX509" s="48">
        <v>28</v>
      </c>
      <c r="AY509" s="48" t="s">
        <v>8728</v>
      </c>
      <c r="AZ509" s="48" t="s">
        <v>1563</v>
      </c>
      <c r="BA509" s="48">
        <v>32</v>
      </c>
      <c r="BB509" s="47" t="s">
        <v>2485</v>
      </c>
      <c r="BC509" s="47" t="s">
        <v>8726</v>
      </c>
      <c r="BD509" s="47" t="s">
        <v>8374</v>
      </c>
      <c r="BE509" s="48" t="s">
        <v>2449</v>
      </c>
      <c r="BF509" s="48" t="s">
        <v>272</v>
      </c>
      <c r="BG509" s="48" t="s">
        <v>272</v>
      </c>
      <c r="BH509" s="48" t="s">
        <v>2486</v>
      </c>
      <c r="BI509" s="98">
        <v>9.8694400000000002E-4</v>
      </c>
      <c r="BJ509" s="98">
        <v>9.8694400000000009</v>
      </c>
      <c r="BK509" s="48"/>
      <c r="BL509" s="487">
        <v>1.4852430785068937</v>
      </c>
      <c r="BM509" s="47" t="s">
        <v>2487</v>
      </c>
      <c r="BN509" s="48"/>
      <c r="BO509" s="48"/>
      <c r="BP509" s="48"/>
      <c r="BQ509" s="48"/>
      <c r="BR509" s="47" t="e">
        <v>#VALUE!</v>
      </c>
      <c r="BS509" s="48"/>
      <c r="BT509" s="48"/>
      <c r="BU509" s="228"/>
      <c r="BV509" s="48"/>
      <c r="BW509" s="48"/>
      <c r="BX509" s="48"/>
      <c r="BY509" s="48"/>
      <c r="BZ509" s="48"/>
      <c r="CA509" s="48"/>
      <c r="CB509" s="48"/>
      <c r="CC509" s="48"/>
      <c r="CD509" s="48"/>
      <c r="CE509" s="48"/>
      <c r="CF509" s="48"/>
      <c r="CG509" s="48"/>
      <c r="CH509" s="48"/>
      <c r="CI509" s="98"/>
      <c r="CJ509" s="98"/>
      <c r="CK509" s="49">
        <f t="shared" si="124"/>
        <v>0.15048909345483569</v>
      </c>
      <c r="CL509" s="229"/>
      <c r="CM509" s="229"/>
      <c r="CN509" s="229"/>
      <c r="CO509" s="47" t="s">
        <v>2488</v>
      </c>
      <c r="CP509" s="500" t="s">
        <v>2489</v>
      </c>
      <c r="CQ509" s="224">
        <v>0.15009329917385436</v>
      </c>
      <c r="CR509" s="224">
        <f>10^(CJ509-CQ509)</f>
        <v>0.70779371323136431</v>
      </c>
      <c r="CS509" s="230" t="s">
        <v>539</v>
      </c>
      <c r="CT509" s="230"/>
      <c r="CU509" s="230"/>
      <c r="CV509" s="335">
        <f t="shared" si="125"/>
        <v>0.39515919849555792</v>
      </c>
      <c r="CW509" s="230">
        <f t="shared" si="121"/>
        <v>0</v>
      </c>
      <c r="CX509" s="336"/>
      <c r="CY509" s="230" t="s">
        <v>6351</v>
      </c>
    </row>
    <row r="510" spans="1:103" ht="11.25" customHeight="1" x14ac:dyDescent="0.2">
      <c r="A510" s="72">
        <v>819</v>
      </c>
      <c r="B510" s="224">
        <v>1362</v>
      </c>
      <c r="C510" s="46" t="s">
        <v>7026</v>
      </c>
      <c r="D510" s="46"/>
      <c r="E510" s="114"/>
      <c r="F510" s="114" t="s">
        <v>4206</v>
      </c>
      <c r="G510" s="225">
        <v>83410</v>
      </c>
      <c r="H510" s="47" t="s">
        <v>4207</v>
      </c>
      <c r="I510" s="47" t="s">
        <v>8002</v>
      </c>
      <c r="J510" s="47" t="s">
        <v>4208</v>
      </c>
      <c r="K510" s="47" t="s">
        <v>426</v>
      </c>
      <c r="L510" s="47"/>
      <c r="M510" s="47"/>
      <c r="N510" s="47"/>
      <c r="O510" s="47"/>
      <c r="P510" s="53" t="s">
        <v>6184</v>
      </c>
      <c r="Q510" s="53" t="s">
        <v>6176</v>
      </c>
      <c r="R510" s="53" t="s">
        <v>6185</v>
      </c>
      <c r="S510" s="53" t="s">
        <v>6179</v>
      </c>
      <c r="T510" s="48">
        <v>151.16</v>
      </c>
      <c r="U510" s="98"/>
      <c r="V510" s="98">
        <v>117</v>
      </c>
      <c r="W510" s="98">
        <v>102.19670256025188</v>
      </c>
      <c r="X510" s="98">
        <v>102.19670256025188</v>
      </c>
      <c r="Y510" s="233">
        <v>7</v>
      </c>
      <c r="Z510" s="48">
        <v>2.91</v>
      </c>
      <c r="AA510" s="48">
        <v>2.83</v>
      </c>
      <c r="AB510" s="48">
        <v>2.99</v>
      </c>
      <c r="AC510" s="48">
        <v>0.95569999999999999</v>
      </c>
      <c r="AD510" s="48">
        <v>2.96</v>
      </c>
      <c r="AE510" s="48">
        <v>2.87</v>
      </c>
      <c r="AF510" s="48">
        <f t="shared" si="126"/>
        <v>2.83</v>
      </c>
      <c r="AG510" s="49">
        <v>2.35</v>
      </c>
      <c r="AH510" s="98">
        <v>2.5899999999999999E-5</v>
      </c>
      <c r="AI510" s="98"/>
      <c r="AJ510" s="483">
        <f t="shared" si="128"/>
        <v>-2.9752665622314001</v>
      </c>
      <c r="AK510" s="483"/>
      <c r="AL510" s="483">
        <f t="shared" si="127"/>
        <v>-2.9752665622314001</v>
      </c>
      <c r="AM510" s="483">
        <v>-4.755469999999999</v>
      </c>
      <c r="AN510" s="226">
        <v>-2.93</v>
      </c>
      <c r="AO510" s="484"/>
      <c r="AP510" s="484"/>
      <c r="AQ510" s="48" t="s">
        <v>6311</v>
      </c>
      <c r="AR510" s="48" t="s">
        <v>6311</v>
      </c>
      <c r="AS510" s="227"/>
      <c r="AT510" s="50" t="s">
        <v>266</v>
      </c>
      <c r="AU510" s="48">
        <v>6</v>
      </c>
      <c r="AV510" s="48">
        <v>120</v>
      </c>
      <c r="AW510" s="48">
        <v>114</v>
      </c>
      <c r="AX510" s="48">
        <v>28</v>
      </c>
      <c r="AY510" s="48" t="s">
        <v>8728</v>
      </c>
      <c r="AZ510" s="48" t="s">
        <v>1563</v>
      </c>
      <c r="BA510" s="48">
        <v>32</v>
      </c>
      <c r="BB510" s="47" t="s">
        <v>2485</v>
      </c>
      <c r="BC510" s="47" t="s">
        <v>8726</v>
      </c>
      <c r="BD510" s="47" t="s">
        <v>8374</v>
      </c>
      <c r="BE510" s="48" t="s">
        <v>2449</v>
      </c>
      <c r="BF510" s="48" t="s">
        <v>272</v>
      </c>
      <c r="BG510" s="48" t="s">
        <v>272</v>
      </c>
      <c r="BH510" s="48" t="s">
        <v>2486</v>
      </c>
      <c r="BI510" s="98">
        <v>9.6742399999999993E-4</v>
      </c>
      <c r="BJ510" s="98">
        <v>9.6742399999999993</v>
      </c>
      <c r="BK510" s="48"/>
      <c r="BL510" s="487">
        <v>18.913237807825332</v>
      </c>
      <c r="BM510" s="47" t="s">
        <v>2487</v>
      </c>
      <c r="BN510" s="48"/>
      <c r="BO510" s="48"/>
      <c r="BP510" s="48"/>
      <c r="BQ510" s="48"/>
      <c r="BR510" s="47" t="e">
        <v>#VALUE!</v>
      </c>
      <c r="BS510" s="48"/>
      <c r="BT510" s="48"/>
      <c r="BU510" s="228"/>
      <c r="BV510" s="48"/>
      <c r="BW510" s="48"/>
      <c r="BX510" s="48"/>
      <c r="BY510" s="48"/>
      <c r="BZ510" s="48"/>
      <c r="CA510" s="48"/>
      <c r="CB510" s="48"/>
      <c r="CC510" s="48"/>
      <c r="CD510" s="48"/>
      <c r="CE510" s="48"/>
      <c r="CF510" s="48"/>
      <c r="CG510" s="48"/>
      <c r="CH510" s="48"/>
      <c r="CI510" s="98"/>
      <c r="CJ510" s="98"/>
      <c r="CK510" s="49">
        <f t="shared" si="124"/>
        <v>1.9550101928239669</v>
      </c>
      <c r="CL510" s="229"/>
      <c r="CM510" s="229"/>
      <c r="CN510" s="229"/>
      <c r="CO510" s="47" t="s">
        <v>2488</v>
      </c>
      <c r="CP510" s="500" t="s">
        <v>2489</v>
      </c>
      <c r="CQ510" s="224" t="s">
        <v>272</v>
      </c>
      <c r="CR510" s="224"/>
      <c r="CS510" s="230" t="s">
        <v>539</v>
      </c>
      <c r="CT510" s="230"/>
      <c r="CU510" s="230"/>
      <c r="CV510" s="335">
        <f t="shared" si="125"/>
        <v>10.563796490499707</v>
      </c>
      <c r="CW510" s="230">
        <f t="shared" si="121"/>
        <v>1</v>
      </c>
      <c r="CX510" s="336"/>
      <c r="CY510" s="230" t="s">
        <v>5921</v>
      </c>
    </row>
    <row r="511" spans="1:103" ht="11.25" customHeight="1" x14ac:dyDescent="0.2">
      <c r="A511" s="72">
        <v>820</v>
      </c>
      <c r="B511" s="224">
        <v>1893</v>
      </c>
      <c r="C511" s="46" t="s">
        <v>330</v>
      </c>
      <c r="D511" s="46" t="s">
        <v>8360</v>
      </c>
      <c r="E511" s="114"/>
      <c r="F511" s="114" t="s">
        <v>5362</v>
      </c>
      <c r="G511" s="225">
        <v>83670</v>
      </c>
      <c r="H511" s="47" t="s">
        <v>331</v>
      </c>
      <c r="I511" s="47" t="s">
        <v>331</v>
      </c>
      <c r="J511" s="47" t="s">
        <v>332</v>
      </c>
      <c r="K511" s="47" t="s">
        <v>333</v>
      </c>
      <c r="L511" s="47" t="s">
        <v>279</v>
      </c>
      <c r="M511" s="47" t="s">
        <v>334</v>
      </c>
      <c r="N511" s="47"/>
      <c r="O511" s="47" t="s">
        <v>281</v>
      </c>
      <c r="P511" s="53"/>
      <c r="Q511" s="53"/>
      <c r="R511" s="53"/>
      <c r="S511" s="53"/>
      <c r="T511" s="48">
        <v>180.16</v>
      </c>
      <c r="U511" s="98">
        <v>330</v>
      </c>
      <c r="V511" s="98">
        <v>12480</v>
      </c>
      <c r="W511" s="98">
        <v>7339.3630849188949</v>
      </c>
      <c r="X511" s="98">
        <v>330</v>
      </c>
      <c r="Y511" s="233">
        <v>5.67</v>
      </c>
      <c r="Z511" s="48">
        <v>-0.05</v>
      </c>
      <c r="AA511" s="48">
        <v>-0.78</v>
      </c>
      <c r="AB511" s="48">
        <v>-0.23</v>
      </c>
      <c r="AC511" s="48">
        <v>0.84499999999999997</v>
      </c>
      <c r="AD511" s="48">
        <v>-0.34</v>
      </c>
      <c r="AE511" s="48">
        <v>-0.72</v>
      </c>
      <c r="AF511" s="48">
        <f t="shared" si="126"/>
        <v>-0.78</v>
      </c>
      <c r="AG511" s="49">
        <v>-0.25</v>
      </c>
      <c r="AH511" s="98">
        <v>1.6300000000000001E-11</v>
      </c>
      <c r="AI511" s="98"/>
      <c r="AJ511" s="483">
        <f t="shared" si="128"/>
        <v>-9.1763787219086943</v>
      </c>
      <c r="AK511" s="483"/>
      <c r="AL511" s="483">
        <f t="shared" si="127"/>
        <v>-9.1763787219086943</v>
      </c>
      <c r="AM511" s="483">
        <v>-13.55288</v>
      </c>
      <c r="AN511" s="226">
        <v>-7.34</v>
      </c>
      <c r="AO511" s="484">
        <v>9.9</v>
      </c>
      <c r="AP511" s="484">
        <v>0.41</v>
      </c>
      <c r="AQ511" s="226" t="s">
        <v>6311</v>
      </c>
      <c r="AR511" s="226" t="s">
        <v>6311</v>
      </c>
      <c r="AS511" s="224"/>
      <c r="AT511" s="50" t="s">
        <v>266</v>
      </c>
      <c r="AU511" s="48">
        <v>6</v>
      </c>
      <c r="AV511" s="48">
        <v>120</v>
      </c>
      <c r="AW511" s="48">
        <v>114</v>
      </c>
      <c r="AX511" s="48">
        <v>28</v>
      </c>
      <c r="AY511" s="48" t="s">
        <v>8728</v>
      </c>
      <c r="AZ511" s="48" t="s">
        <v>1563</v>
      </c>
      <c r="BA511" s="48">
        <v>32</v>
      </c>
      <c r="BB511" s="47" t="s">
        <v>2485</v>
      </c>
      <c r="BC511" s="47" t="s">
        <v>8726</v>
      </c>
      <c r="BD511" s="47" t="s">
        <v>8374</v>
      </c>
      <c r="BE511" s="48" t="s">
        <v>2449</v>
      </c>
      <c r="BF511" s="48" t="s">
        <v>272</v>
      </c>
      <c r="BG511" s="48" t="s">
        <v>272</v>
      </c>
      <c r="BH511" s="48" t="s">
        <v>2486</v>
      </c>
      <c r="BI511" s="98">
        <v>1.1530239999999999E-3</v>
      </c>
      <c r="BJ511" s="98">
        <v>11.530239999999999</v>
      </c>
      <c r="BK511" s="48"/>
      <c r="BL511" s="487">
        <v>10265.104459156777</v>
      </c>
      <c r="BM511" s="47" t="s">
        <v>2487</v>
      </c>
      <c r="BN511" s="48"/>
      <c r="BO511" s="48"/>
      <c r="BP511" s="48"/>
      <c r="BQ511" s="48"/>
      <c r="BR511" s="47" t="e">
        <v>#VALUE!</v>
      </c>
      <c r="BS511" s="48"/>
      <c r="BT511" s="48"/>
      <c r="BU511" s="228"/>
      <c r="BV511" s="48"/>
      <c r="BW511" s="48"/>
      <c r="BX511" s="48"/>
      <c r="BY511" s="48"/>
      <c r="BZ511" s="48"/>
      <c r="CA511" s="48"/>
      <c r="CB511" s="48"/>
      <c r="CC511" s="48"/>
      <c r="CD511" s="48"/>
      <c r="CE511" s="48"/>
      <c r="CF511" s="48"/>
      <c r="CG511" s="48"/>
      <c r="CH511" s="48"/>
      <c r="CI511" s="98"/>
      <c r="CJ511" s="98"/>
      <c r="CK511" s="49">
        <f t="shared" si="124"/>
        <v>890.27673831219283</v>
      </c>
      <c r="CL511" s="229"/>
      <c r="CM511" s="229"/>
      <c r="CN511" s="229"/>
      <c r="CO511" s="47" t="s">
        <v>2488</v>
      </c>
      <c r="CP511" s="500" t="s">
        <v>2489</v>
      </c>
      <c r="CQ511" s="224" t="s">
        <v>272</v>
      </c>
      <c r="CR511" s="224"/>
      <c r="CS511" s="230" t="s">
        <v>539</v>
      </c>
      <c r="CT511" s="230"/>
      <c r="CU511" s="230"/>
      <c r="CV511" s="335">
        <f t="shared" si="125"/>
        <v>28.620392984014213</v>
      </c>
      <c r="CW511" s="230">
        <f t="shared" si="121"/>
        <v>1</v>
      </c>
      <c r="CX511" s="336"/>
      <c r="CY511" s="230" t="s">
        <v>5921</v>
      </c>
    </row>
    <row r="512" spans="1:103" ht="11.25" customHeight="1" x14ac:dyDescent="0.2">
      <c r="A512" s="72">
        <v>822</v>
      </c>
      <c r="B512" s="224">
        <v>1101</v>
      </c>
      <c r="C512" s="46" t="s">
        <v>1812</v>
      </c>
      <c r="D512" s="46"/>
      <c r="E512" s="114"/>
      <c r="F512" s="114" t="s">
        <v>1813</v>
      </c>
      <c r="G512" s="225">
        <v>84662</v>
      </c>
      <c r="H512" s="47" t="s">
        <v>1814</v>
      </c>
      <c r="I512" s="47" t="s">
        <v>1814</v>
      </c>
      <c r="J512" s="47" t="s">
        <v>1815</v>
      </c>
      <c r="K512" s="47" t="s">
        <v>357</v>
      </c>
      <c r="L512" s="47" t="s">
        <v>5527</v>
      </c>
      <c r="M512" s="47" t="s">
        <v>6082</v>
      </c>
      <c r="N512" s="47" t="s">
        <v>6082</v>
      </c>
      <c r="O512" s="47" t="s">
        <v>6083</v>
      </c>
      <c r="P512" s="53"/>
      <c r="Q512" s="53" t="s">
        <v>6173</v>
      </c>
      <c r="R512" s="53" t="s">
        <v>6174</v>
      </c>
      <c r="S512" s="53" t="s">
        <v>6176</v>
      </c>
      <c r="T512" s="48">
        <v>222.24</v>
      </c>
      <c r="U512" s="98">
        <v>1080</v>
      </c>
      <c r="V512" s="98">
        <v>287.2</v>
      </c>
      <c r="W512" s="98">
        <v>545.53450942184111</v>
      </c>
      <c r="X512" s="98">
        <v>1080</v>
      </c>
      <c r="Y512" s="233">
        <v>7</v>
      </c>
      <c r="Z512" s="48">
        <v>2.65</v>
      </c>
      <c r="AA512" s="48">
        <v>2.42</v>
      </c>
      <c r="AB512" s="48">
        <v>2.72</v>
      </c>
      <c r="AC512" s="48">
        <v>0.77739999999999998</v>
      </c>
      <c r="AD512" s="48">
        <v>2.72</v>
      </c>
      <c r="AE512" s="48">
        <v>2.7</v>
      </c>
      <c r="AF512" s="48">
        <f t="shared" si="126"/>
        <v>2.42</v>
      </c>
      <c r="AG512" s="49">
        <v>2.38</v>
      </c>
      <c r="AH512" s="98">
        <v>3.9400000000000001E-7</v>
      </c>
      <c r="AI512" s="98">
        <v>6.0999999999999998E-7</v>
      </c>
      <c r="AJ512" s="483">
        <f t="shared" si="128"/>
        <v>-4.7930701044870778</v>
      </c>
      <c r="AK512" s="483">
        <f>LOG10(AI512*1000/(0.08206*298.15))</f>
        <v>-4.6032364913018844</v>
      </c>
      <c r="AL512" s="483">
        <f t="shared" si="127"/>
        <v>-4.6032364913018844</v>
      </c>
      <c r="AM512" s="483">
        <v>-8.4111799999999999</v>
      </c>
      <c r="AN512" s="226">
        <v>-5.19</v>
      </c>
      <c r="AO512" s="484"/>
      <c r="AP512" s="484"/>
      <c r="AQ512" s="48" t="s">
        <v>6311</v>
      </c>
      <c r="AR512" s="48" t="s">
        <v>6312</v>
      </c>
      <c r="AS512" s="227"/>
      <c r="AT512" s="50" t="s">
        <v>266</v>
      </c>
      <c r="AU512" s="48">
        <v>6</v>
      </c>
      <c r="AV512" s="48">
        <v>120</v>
      </c>
      <c r="AW512" s="48">
        <v>114</v>
      </c>
      <c r="AX512" s="48">
        <v>28</v>
      </c>
      <c r="AY512" s="48" t="s">
        <v>8728</v>
      </c>
      <c r="AZ512" s="48" t="s">
        <v>1563</v>
      </c>
      <c r="BA512" s="48">
        <v>32</v>
      </c>
      <c r="BB512" s="47" t="s">
        <v>2485</v>
      </c>
      <c r="BC512" s="47" t="s">
        <v>8726</v>
      </c>
      <c r="BD512" s="47" t="s">
        <v>8374</v>
      </c>
      <c r="BE512" s="48" t="s">
        <v>2449</v>
      </c>
      <c r="BF512" s="48" t="s">
        <v>272</v>
      </c>
      <c r="BG512" s="48" t="s">
        <v>272</v>
      </c>
      <c r="BH512" s="48" t="s">
        <v>2486</v>
      </c>
      <c r="BI512" s="98">
        <v>1.422336E-3</v>
      </c>
      <c r="BJ512" s="98">
        <v>14.223360000000001</v>
      </c>
      <c r="BK512" s="48"/>
      <c r="BL512" s="487">
        <v>47.605510686091655</v>
      </c>
      <c r="BM512" s="47" t="s">
        <v>2487</v>
      </c>
      <c r="BN512" s="48"/>
      <c r="BO512" s="48"/>
      <c r="BP512" s="48"/>
      <c r="BQ512" s="48"/>
      <c r="BR512" s="47" t="e">
        <v>#VALUE!</v>
      </c>
      <c r="BS512" s="48"/>
      <c r="BT512" s="48"/>
      <c r="BU512" s="228">
        <v>14.223360000000001</v>
      </c>
      <c r="BV512" s="48"/>
      <c r="BW512" s="48"/>
      <c r="BX512" s="48"/>
      <c r="BY512" s="48"/>
      <c r="BZ512" s="48"/>
      <c r="CA512" s="48"/>
      <c r="CB512" s="48"/>
      <c r="CC512" s="48"/>
      <c r="CD512" s="48"/>
      <c r="CE512" s="48"/>
      <c r="CF512" s="48"/>
      <c r="CG512" s="48"/>
      <c r="CH512" s="48"/>
      <c r="CI512" s="98"/>
      <c r="CJ512" s="98"/>
      <c r="CK512" s="49">
        <f t="shared" si="124"/>
        <v>3.3469947105389761</v>
      </c>
      <c r="CL512" s="229"/>
      <c r="CM512" s="229"/>
      <c r="CN512" s="229"/>
      <c r="CO512" s="47" t="s">
        <v>2488</v>
      </c>
      <c r="CP512" s="500" t="s">
        <v>2489</v>
      </c>
      <c r="CQ512" s="224">
        <v>1.4806759069734372</v>
      </c>
      <c r="CR512" s="224">
        <f t="shared" ref="CR512:CR520" si="129">10^(CJ512-CQ512)</f>
        <v>3.3061617190504704E-2</v>
      </c>
      <c r="CS512" s="230" t="s">
        <v>539</v>
      </c>
      <c r="CT512" s="230"/>
      <c r="CU512" s="230"/>
      <c r="CV512" s="335">
        <f t="shared" si="125"/>
        <v>75.931425485961114</v>
      </c>
      <c r="CW512" s="230">
        <f t="shared" si="121"/>
        <v>1</v>
      </c>
      <c r="CX512" s="336"/>
      <c r="CY512" s="230" t="s">
        <v>6351</v>
      </c>
    </row>
    <row r="513" spans="1:103" ht="11.25" customHeight="1" x14ac:dyDescent="0.2">
      <c r="A513" s="72">
        <v>823</v>
      </c>
      <c r="B513" s="224">
        <v>1106</v>
      </c>
      <c r="C513" s="46" t="s">
        <v>7027</v>
      </c>
      <c r="D513" s="46" t="s">
        <v>8371</v>
      </c>
      <c r="E513" s="114"/>
      <c r="F513" s="114" t="s">
        <v>3093</v>
      </c>
      <c r="G513" s="225">
        <v>84695</v>
      </c>
      <c r="H513" s="47" t="s">
        <v>3094</v>
      </c>
      <c r="I513" s="47" t="s">
        <v>3094</v>
      </c>
      <c r="J513" s="47" t="s">
        <v>3095</v>
      </c>
      <c r="K513" s="47" t="s">
        <v>357</v>
      </c>
      <c r="L513" s="47" t="s">
        <v>5527</v>
      </c>
      <c r="M513" s="47" t="s">
        <v>2342</v>
      </c>
      <c r="N513" s="47" t="s">
        <v>2342</v>
      </c>
      <c r="O513" s="47"/>
      <c r="P513" s="53"/>
      <c r="Q513" s="53" t="s">
        <v>6173</v>
      </c>
      <c r="R513" s="53" t="s">
        <v>6082</v>
      </c>
      <c r="S513" s="53" t="s">
        <v>6173</v>
      </c>
      <c r="T513" s="48">
        <v>278.33999999999997</v>
      </c>
      <c r="U513" s="98">
        <v>6.2</v>
      </c>
      <c r="V513" s="98">
        <v>5.0609999999999999</v>
      </c>
      <c r="W513" s="98">
        <v>29.8246683419835</v>
      </c>
      <c r="X513" s="98">
        <v>6.2</v>
      </c>
      <c r="Y513" s="233">
        <v>7</v>
      </c>
      <c r="Z513" s="48">
        <v>4.46</v>
      </c>
      <c r="AA513" s="48">
        <v>4.1100000000000003</v>
      </c>
      <c r="AB513" s="48">
        <v>4.25</v>
      </c>
      <c r="AC513" s="48">
        <v>0.72309999999999997</v>
      </c>
      <c r="AD513" s="48">
        <v>4.33</v>
      </c>
      <c r="AE513" s="48">
        <v>4.46</v>
      </c>
      <c r="AF513" s="48">
        <f t="shared" si="126"/>
        <v>4.1100000000000003</v>
      </c>
      <c r="AG513" s="49">
        <v>3.8</v>
      </c>
      <c r="AH513" s="98">
        <v>1.22E-6</v>
      </c>
      <c r="AI513" s="98"/>
      <c r="AJ513" s="483">
        <f t="shared" si="128"/>
        <v>-4.302206495637904</v>
      </c>
      <c r="AK513" s="483"/>
      <c r="AL513" s="483">
        <f t="shared" si="127"/>
        <v>-4.302206495637904</v>
      </c>
      <c r="AM513" s="483">
        <v>-9.0742700000000003</v>
      </c>
      <c r="AN513" s="226">
        <v>-4.67</v>
      </c>
      <c r="AO513" s="484"/>
      <c r="AP513" s="484"/>
      <c r="AQ513" s="48" t="s">
        <v>6311</v>
      </c>
      <c r="AR513" s="48" t="s">
        <v>6312</v>
      </c>
      <c r="AS513" s="227"/>
      <c r="AT513" s="50" t="s">
        <v>266</v>
      </c>
      <c r="AU513" s="48">
        <v>6</v>
      </c>
      <c r="AV513" s="48">
        <v>120</v>
      </c>
      <c r="AW513" s="48">
        <v>114</v>
      </c>
      <c r="AX513" s="48">
        <v>28</v>
      </c>
      <c r="AY513" s="48" t="s">
        <v>8728</v>
      </c>
      <c r="AZ513" s="48" t="s">
        <v>1563</v>
      </c>
      <c r="BA513" s="48">
        <v>32</v>
      </c>
      <c r="BB513" s="47" t="s">
        <v>2485</v>
      </c>
      <c r="BC513" s="47" t="s">
        <v>8726</v>
      </c>
      <c r="BD513" s="47" t="s">
        <v>8374</v>
      </c>
      <c r="BE513" s="48" t="s">
        <v>2449</v>
      </c>
      <c r="BF513" s="48" t="s">
        <v>272</v>
      </c>
      <c r="BG513" s="48" t="s">
        <v>272</v>
      </c>
      <c r="BH513" s="48" t="s">
        <v>2486</v>
      </c>
      <c r="BI513" s="98">
        <v>1.7813759999999997E-3</v>
      </c>
      <c r="BJ513" s="98">
        <v>17.813759999999998</v>
      </c>
      <c r="BK513" s="48"/>
      <c r="BL513" s="487">
        <v>1.4120485296004488</v>
      </c>
      <c r="BM513" s="47" t="s">
        <v>2487</v>
      </c>
      <c r="BN513" s="48"/>
      <c r="BO513" s="48"/>
      <c r="BP513" s="48"/>
      <c r="BQ513" s="48"/>
      <c r="BR513" s="47" t="e">
        <v>#VALUE!</v>
      </c>
      <c r="BS513" s="48"/>
      <c r="BT513" s="48"/>
      <c r="BU513" s="228">
        <v>17.813759999999998</v>
      </c>
      <c r="BV513" s="48"/>
      <c r="BW513" s="48"/>
      <c r="BX513" s="48"/>
      <c r="BY513" s="48"/>
      <c r="BZ513" s="48"/>
      <c r="CA513" s="48"/>
      <c r="CB513" s="48"/>
      <c r="CC513" s="48"/>
      <c r="CD513" s="48"/>
      <c r="CE513" s="48"/>
      <c r="CF513" s="48"/>
      <c r="CG513" s="48"/>
      <c r="CH513" s="48"/>
      <c r="CI513" s="98"/>
      <c r="CJ513" s="98"/>
      <c r="CK513" s="49">
        <f t="shared" si="124"/>
        <v>7.9267292789419463E-2</v>
      </c>
      <c r="CL513" s="229"/>
      <c r="CM513" s="229"/>
      <c r="CN513" s="229"/>
      <c r="CO513" s="47" t="s">
        <v>2488</v>
      </c>
      <c r="CP513" s="500" t="s">
        <v>2489</v>
      </c>
      <c r="CQ513" s="224">
        <v>-4.5757490560675115E-2</v>
      </c>
      <c r="CR513" s="224">
        <f t="shared" si="129"/>
        <v>1.1111111111111112</v>
      </c>
      <c r="CS513" s="230" t="s">
        <v>539</v>
      </c>
      <c r="CT513" s="230"/>
      <c r="CU513" s="230"/>
      <c r="CV513" s="335">
        <f t="shared" si="125"/>
        <v>0.34804555579507079</v>
      </c>
      <c r="CW513" s="230">
        <f t="shared" si="121"/>
        <v>0</v>
      </c>
      <c r="CX513" s="336"/>
      <c r="CY513" s="230" t="s">
        <v>6351</v>
      </c>
    </row>
    <row r="514" spans="1:103" ht="11.25" customHeight="1" x14ac:dyDescent="0.2">
      <c r="A514" s="72">
        <v>824</v>
      </c>
      <c r="B514" s="224">
        <v>1593</v>
      </c>
      <c r="C514" s="46" t="s">
        <v>7028</v>
      </c>
      <c r="D514" s="46" t="s">
        <v>6673</v>
      </c>
      <c r="E514" s="114"/>
      <c r="F514" s="114" t="s">
        <v>1096</v>
      </c>
      <c r="G514" s="225">
        <v>84742</v>
      </c>
      <c r="H514" s="47" t="s">
        <v>1097</v>
      </c>
      <c r="I514" s="47" t="s">
        <v>1097</v>
      </c>
      <c r="J514" s="47" t="s">
        <v>1098</v>
      </c>
      <c r="K514" s="47" t="s">
        <v>357</v>
      </c>
      <c r="L514" s="47" t="s">
        <v>5492</v>
      </c>
      <c r="M514" s="47" t="s">
        <v>866</v>
      </c>
      <c r="N514" s="47" t="s">
        <v>6082</v>
      </c>
      <c r="O514" s="47" t="s">
        <v>6086</v>
      </c>
      <c r="P514" s="53"/>
      <c r="Q514" s="53" t="s">
        <v>6173</v>
      </c>
      <c r="R514" s="53" t="s">
        <v>6174</v>
      </c>
      <c r="S514" s="53" t="s">
        <v>6176</v>
      </c>
      <c r="T514" s="48">
        <v>278.33999999999997</v>
      </c>
      <c r="U514" s="98">
        <v>11.2</v>
      </c>
      <c r="V514" s="98">
        <v>2.351</v>
      </c>
      <c r="W514" s="98">
        <v>24.807078612014664</v>
      </c>
      <c r="X514" s="98">
        <v>11.2</v>
      </c>
      <c r="Y514" s="233">
        <v>7</v>
      </c>
      <c r="Z514" s="48">
        <v>4.6100000000000003</v>
      </c>
      <c r="AA514" s="48">
        <v>4.5</v>
      </c>
      <c r="AB514" s="48">
        <v>4.62</v>
      </c>
      <c r="AC514" s="48">
        <v>0.79549999999999998</v>
      </c>
      <c r="AD514" s="48">
        <v>4.68</v>
      </c>
      <c r="AE514" s="48">
        <v>4.83</v>
      </c>
      <c r="AF514" s="48">
        <f t="shared" si="126"/>
        <v>4.5</v>
      </c>
      <c r="AG514" s="49">
        <v>3.98</v>
      </c>
      <c r="AH514" s="98">
        <v>1.22E-6</v>
      </c>
      <c r="AI514" s="98">
        <v>1.81E-6</v>
      </c>
      <c r="AJ514" s="483">
        <f t="shared" si="128"/>
        <v>-4.302206495637904</v>
      </c>
      <c r="AK514" s="483">
        <f>LOG10(AI514*1000/(0.08206*298.15))</f>
        <v>-4.130887751443467</v>
      </c>
      <c r="AL514" s="483">
        <f t="shared" si="127"/>
        <v>-4.130887751443467</v>
      </c>
      <c r="AM514" s="483">
        <v>-8.9484100000000009</v>
      </c>
      <c r="AN514" s="226">
        <v>-4.67</v>
      </c>
      <c r="AO514" s="484"/>
      <c r="AP514" s="484"/>
      <c r="AQ514" s="48" t="s">
        <v>6311</v>
      </c>
      <c r="AR514" s="48" t="s">
        <v>6312</v>
      </c>
      <c r="AS514" s="227"/>
      <c r="AT514" s="50" t="s">
        <v>266</v>
      </c>
      <c r="AU514" s="48">
        <v>6</v>
      </c>
      <c r="AV514" s="48">
        <v>120</v>
      </c>
      <c r="AW514" s="48">
        <v>114</v>
      </c>
      <c r="AX514" s="48">
        <v>28</v>
      </c>
      <c r="AY514" s="48" t="s">
        <v>8728</v>
      </c>
      <c r="AZ514" s="48" t="s">
        <v>1563</v>
      </c>
      <c r="BA514" s="48">
        <v>32</v>
      </c>
      <c r="BB514" s="47" t="s">
        <v>2485</v>
      </c>
      <c r="BC514" s="47" t="s">
        <v>8726</v>
      </c>
      <c r="BD514" s="47" t="s">
        <v>8374</v>
      </c>
      <c r="BE514" s="48" t="s">
        <v>2449</v>
      </c>
      <c r="BF514" s="48" t="s">
        <v>272</v>
      </c>
      <c r="BG514" s="48" t="s">
        <v>272</v>
      </c>
      <c r="BH514" s="48" t="s">
        <v>2486</v>
      </c>
      <c r="BI514" s="98">
        <v>1.7813759999999997E-3</v>
      </c>
      <c r="BJ514" s="98">
        <v>17.813759999999998</v>
      </c>
      <c r="BK514" s="48"/>
      <c r="BL514" s="487">
        <v>1.0354630904981286</v>
      </c>
      <c r="BM514" s="47" t="s">
        <v>2487</v>
      </c>
      <c r="BN514" s="48"/>
      <c r="BO514" s="48"/>
      <c r="BP514" s="48"/>
      <c r="BQ514" s="48"/>
      <c r="BR514" s="47" t="e">
        <v>#VALUE!</v>
      </c>
      <c r="BS514" s="48"/>
      <c r="BT514" s="48"/>
      <c r="BU514" s="228"/>
      <c r="BV514" s="48"/>
      <c r="BW514" s="48"/>
      <c r="BX514" s="48"/>
      <c r="BY514" s="48"/>
      <c r="BZ514" s="48"/>
      <c r="CA514" s="48"/>
      <c r="CB514" s="48"/>
      <c r="CC514" s="48"/>
      <c r="CD514" s="48"/>
      <c r="CE514" s="48"/>
      <c r="CF514" s="48"/>
      <c r="CG514" s="48"/>
      <c r="CH514" s="48"/>
      <c r="CI514" s="98"/>
      <c r="CJ514" s="98"/>
      <c r="CK514" s="49">
        <f t="shared" si="124"/>
        <v>5.8127149489952075E-2</v>
      </c>
      <c r="CL514" s="229"/>
      <c r="CM514" s="229">
        <v>8.6211163422833609E-2</v>
      </c>
      <c r="CN514" s="229">
        <f>BJ514/(10^CM514)</f>
        <v>14.606441829772873</v>
      </c>
      <c r="CO514" s="47" t="s">
        <v>2488</v>
      </c>
      <c r="CP514" s="500" t="s">
        <v>2489</v>
      </c>
      <c r="CQ514" s="224">
        <v>0.15057234125395008</v>
      </c>
      <c r="CR514" s="224">
        <f t="shared" si="129"/>
        <v>0.70701342230819242</v>
      </c>
      <c r="CS514" s="230" t="s">
        <v>539</v>
      </c>
      <c r="CT514" s="230"/>
      <c r="CU514" s="230"/>
      <c r="CV514" s="335">
        <f t="shared" si="125"/>
        <v>0.62872745562980525</v>
      </c>
      <c r="CW514" s="230">
        <f t="shared" si="121"/>
        <v>0</v>
      </c>
      <c r="CX514" s="336"/>
      <c r="CY514" s="230" t="s">
        <v>6351</v>
      </c>
    </row>
    <row r="515" spans="1:103" ht="11.25" customHeight="1" x14ac:dyDescent="0.2">
      <c r="A515" s="72">
        <v>826</v>
      </c>
      <c r="B515" s="224">
        <v>1814</v>
      </c>
      <c r="C515" s="46" t="s">
        <v>5208</v>
      </c>
      <c r="D515" s="46"/>
      <c r="E515" s="114"/>
      <c r="F515" s="114" t="s">
        <v>5209</v>
      </c>
      <c r="G515" s="225">
        <v>85018</v>
      </c>
      <c r="H515" s="47" t="s">
        <v>5210</v>
      </c>
      <c r="I515" s="47" t="s">
        <v>5210</v>
      </c>
      <c r="J515" s="47" t="s">
        <v>5211</v>
      </c>
      <c r="K515" s="47" t="s">
        <v>426</v>
      </c>
      <c r="L515" s="53" t="s">
        <v>5492</v>
      </c>
      <c r="M515" s="53" t="s">
        <v>866</v>
      </c>
      <c r="N515" s="47" t="s">
        <v>6082</v>
      </c>
      <c r="O515" s="53" t="s">
        <v>6086</v>
      </c>
      <c r="P515" s="53"/>
      <c r="Q515" s="53"/>
      <c r="R515" s="53"/>
      <c r="S515" s="53"/>
      <c r="T515" s="48">
        <v>178.23</v>
      </c>
      <c r="U515" s="98">
        <v>1.1499999999999999</v>
      </c>
      <c r="V515" s="98">
        <v>0.67700000000000005</v>
      </c>
      <c r="W515" s="98">
        <v>0.45812164036289388</v>
      </c>
      <c r="X515" s="98">
        <v>1.1499999999999999</v>
      </c>
      <c r="Y515" s="233">
        <v>7</v>
      </c>
      <c r="Z515" s="48">
        <v>4.3499999999999996</v>
      </c>
      <c r="AA515" s="48">
        <v>4.46</v>
      </c>
      <c r="AB515" s="48">
        <v>4.72</v>
      </c>
      <c r="AC515" s="48">
        <v>0.88919999999999999</v>
      </c>
      <c r="AD515" s="48">
        <v>4.71</v>
      </c>
      <c r="AE515" s="48">
        <v>4.68</v>
      </c>
      <c r="AF515" s="48">
        <f t="shared" si="126"/>
        <v>4.46</v>
      </c>
      <c r="AG515" s="49">
        <v>4.09</v>
      </c>
      <c r="AH515" s="98">
        <v>5.13E-5</v>
      </c>
      <c r="AI515" s="98">
        <v>4.2299999999999998E-5</v>
      </c>
      <c r="AJ515" s="483">
        <f t="shared" si="128"/>
        <v>-2.6784489612008358</v>
      </c>
      <c r="AK515" s="483">
        <f>LOG10(AI515*1000/(0.08206*298.15))</f>
        <v>-2.7622259589376097</v>
      </c>
      <c r="AL515" s="483">
        <f t="shared" si="127"/>
        <v>-2.7622259589376097</v>
      </c>
      <c r="AM515" s="483">
        <v>-6.7898499999999995</v>
      </c>
      <c r="AN515" s="226">
        <v>-2.78</v>
      </c>
      <c r="AO515" s="484"/>
      <c r="AP515" s="484"/>
      <c r="AQ515" s="226" t="s">
        <v>6311</v>
      </c>
      <c r="AR515" s="226" t="s">
        <v>6311</v>
      </c>
      <c r="AS515" s="224"/>
      <c r="AT515" s="50" t="s">
        <v>266</v>
      </c>
      <c r="AU515" s="48">
        <v>6</v>
      </c>
      <c r="AV515" s="48">
        <v>120</v>
      </c>
      <c r="AW515" s="48">
        <v>114</v>
      </c>
      <c r="AX515" s="48">
        <v>28</v>
      </c>
      <c r="AY515" s="48" t="s">
        <v>8728</v>
      </c>
      <c r="AZ515" s="48" t="s">
        <v>1563</v>
      </c>
      <c r="BA515" s="48">
        <v>32</v>
      </c>
      <c r="BB515" s="47" t="s">
        <v>2485</v>
      </c>
      <c r="BC515" s="47" t="s">
        <v>8726</v>
      </c>
      <c r="BD515" s="47" t="s">
        <v>8374</v>
      </c>
      <c r="BE515" s="48" t="s">
        <v>2449</v>
      </c>
      <c r="BF515" s="48" t="s">
        <v>272</v>
      </c>
      <c r="BG515" s="48" t="s">
        <v>272</v>
      </c>
      <c r="BH515" s="48" t="s">
        <v>2486</v>
      </c>
      <c r="BI515" s="98">
        <v>1.1406719999999999E-3</v>
      </c>
      <c r="BJ515" s="98">
        <v>11.40672</v>
      </c>
      <c r="BK515" s="48"/>
      <c r="BL515" s="487">
        <v>1.1351305369535005</v>
      </c>
      <c r="BM515" s="47" t="s">
        <v>2487</v>
      </c>
      <c r="BN515" s="48"/>
      <c r="BO515" s="48"/>
      <c r="BP515" s="48"/>
      <c r="BQ515" s="48"/>
      <c r="BR515" s="47" t="e">
        <v>#VALUE!</v>
      </c>
      <c r="BS515" s="48"/>
      <c r="BT515" s="48"/>
      <c r="BU515" s="228"/>
      <c r="BV515" s="48"/>
      <c r="BW515" s="48"/>
      <c r="BX515" s="48"/>
      <c r="BY515" s="48"/>
      <c r="BZ515" s="48"/>
      <c r="CA515" s="48"/>
      <c r="CB515" s="48"/>
      <c r="CC515" s="48"/>
      <c r="CD515" s="48"/>
      <c r="CE515" s="48"/>
      <c r="CF515" s="48"/>
      <c r="CG515" s="48"/>
      <c r="CH515" s="48"/>
      <c r="CI515" s="98"/>
      <c r="CJ515" s="98"/>
      <c r="CK515" s="49">
        <f t="shared" si="124"/>
        <v>9.9514193120678038E-2</v>
      </c>
      <c r="CL515" s="229"/>
      <c r="CM515" s="229">
        <v>-0.63078414258985727</v>
      </c>
      <c r="CN515" s="229">
        <f>BJ515/(10^CM515)</f>
        <v>48.746666666666684</v>
      </c>
      <c r="CO515" s="47" t="s">
        <v>2488</v>
      </c>
      <c r="CP515" s="500" t="s">
        <v>2489</v>
      </c>
      <c r="CQ515" s="224">
        <v>-0.18386763218074403</v>
      </c>
      <c r="CR515" s="224">
        <f t="shared" si="129"/>
        <v>1.5271005451236315</v>
      </c>
      <c r="CS515" s="230" t="s">
        <v>539</v>
      </c>
      <c r="CT515" s="230"/>
      <c r="CU515" s="230"/>
      <c r="CV515" s="335">
        <f t="shared" si="125"/>
        <v>0.10081776356393424</v>
      </c>
      <c r="CW515" s="230">
        <f t="shared" si="121"/>
        <v>0</v>
      </c>
      <c r="CX515" s="336"/>
      <c r="CY515" s="230" t="s">
        <v>5921</v>
      </c>
    </row>
    <row r="516" spans="1:103" ht="11.25" customHeight="1" x14ac:dyDescent="0.2">
      <c r="A516" s="72">
        <v>827</v>
      </c>
      <c r="B516" s="224">
        <v>1043</v>
      </c>
      <c r="C516" s="46" t="s">
        <v>7030</v>
      </c>
      <c r="D516" s="46" t="s">
        <v>8565</v>
      </c>
      <c r="E516" s="114"/>
      <c r="F516" s="114" t="s">
        <v>2955</v>
      </c>
      <c r="G516" s="225">
        <v>85687</v>
      </c>
      <c r="H516" s="47" t="s">
        <v>2956</v>
      </c>
      <c r="I516" s="47" t="s">
        <v>2956</v>
      </c>
      <c r="J516" s="47" t="s">
        <v>2957</v>
      </c>
      <c r="K516" s="47" t="s">
        <v>357</v>
      </c>
      <c r="L516" s="47" t="s">
        <v>5527</v>
      </c>
      <c r="M516" s="47" t="s">
        <v>866</v>
      </c>
      <c r="N516" s="47" t="s">
        <v>6082</v>
      </c>
      <c r="O516" s="47" t="s">
        <v>6086</v>
      </c>
      <c r="P516" s="53"/>
      <c r="Q516" s="53" t="s">
        <v>6173</v>
      </c>
      <c r="R516" s="53" t="s">
        <v>6174</v>
      </c>
      <c r="S516" s="53" t="s">
        <v>6182</v>
      </c>
      <c r="T516" s="48">
        <v>312.36</v>
      </c>
      <c r="U516" s="98">
        <v>2.6900000000000004</v>
      </c>
      <c r="V516" s="98">
        <v>0.94889999999999997</v>
      </c>
      <c r="W516" s="98">
        <v>7.8461284574633217</v>
      </c>
      <c r="X516" s="98">
        <v>2.6900000000000004</v>
      </c>
      <c r="Y516" s="233">
        <v>7</v>
      </c>
      <c r="Z516" s="48">
        <v>4.84</v>
      </c>
      <c r="AA516" s="48">
        <v>4.7300000000000004</v>
      </c>
      <c r="AB516" s="48">
        <v>4.51</v>
      </c>
      <c r="AC516" s="48">
        <v>0.77100000000000002</v>
      </c>
      <c r="AD516" s="48">
        <v>4.67</v>
      </c>
      <c r="AE516" s="48">
        <v>5</v>
      </c>
      <c r="AF516" s="48">
        <f t="shared" si="126"/>
        <v>4.7300000000000004</v>
      </c>
      <c r="AG516" s="49">
        <v>4.25</v>
      </c>
      <c r="AH516" s="98">
        <v>4.2200000000000001E-8</v>
      </c>
      <c r="AI516" s="98">
        <v>1.26E-6</v>
      </c>
      <c r="AJ516" s="483">
        <f t="shared" si="128"/>
        <v>-5.7632538753509781</v>
      </c>
      <c r="AK516" s="483">
        <f>LOG10(AI516*1000/(0.08206*298.15))</f>
        <v>-4.288195781195089</v>
      </c>
      <c r="AL516" s="483">
        <f t="shared" si="127"/>
        <v>-4.288195781195089</v>
      </c>
      <c r="AM516" s="483">
        <v>-11.402480000000001</v>
      </c>
      <c r="AN516" s="226">
        <v>-6.02</v>
      </c>
      <c r="AO516" s="484"/>
      <c r="AP516" s="484"/>
      <c r="AQ516" s="48" t="s">
        <v>6311</v>
      </c>
      <c r="AR516" s="48" t="s">
        <v>6312</v>
      </c>
      <c r="AS516" s="227"/>
      <c r="AT516" s="50" t="s">
        <v>266</v>
      </c>
      <c r="AU516" s="48">
        <v>6</v>
      </c>
      <c r="AV516" s="48">
        <v>120</v>
      </c>
      <c r="AW516" s="48">
        <v>114</v>
      </c>
      <c r="AX516" s="48">
        <v>28</v>
      </c>
      <c r="AY516" s="48" t="s">
        <v>8728</v>
      </c>
      <c r="AZ516" s="48" t="s">
        <v>1563</v>
      </c>
      <c r="BA516" s="48">
        <v>32</v>
      </c>
      <c r="BB516" s="47" t="s">
        <v>2485</v>
      </c>
      <c r="BC516" s="47" t="s">
        <v>8726</v>
      </c>
      <c r="BD516" s="47" t="s">
        <v>8374</v>
      </c>
      <c r="BE516" s="48" t="s">
        <v>2449</v>
      </c>
      <c r="BF516" s="48" t="s">
        <v>272</v>
      </c>
      <c r="BG516" s="48" t="s">
        <v>272</v>
      </c>
      <c r="BH516" s="48" t="s">
        <v>2486</v>
      </c>
      <c r="BI516" s="98">
        <v>1.9991039999999998E-3</v>
      </c>
      <c r="BJ516" s="98">
        <v>19.991040000000002</v>
      </c>
      <c r="BK516" s="48"/>
      <c r="BL516" s="487">
        <v>0.72218990621376766</v>
      </c>
      <c r="BM516" s="47" t="s">
        <v>2487</v>
      </c>
      <c r="BN516" s="48"/>
      <c r="BO516" s="48"/>
      <c r="BP516" s="48"/>
      <c r="BQ516" s="48"/>
      <c r="BR516" s="47"/>
      <c r="BS516" s="48"/>
      <c r="BT516" s="48"/>
      <c r="BU516" s="228">
        <v>1.9991039999999998E-3</v>
      </c>
      <c r="BV516" s="48"/>
      <c r="BW516" s="48"/>
      <c r="BX516" s="48"/>
      <c r="BY516" s="48"/>
      <c r="BZ516" s="48"/>
      <c r="CA516" s="48"/>
      <c r="CB516" s="48"/>
      <c r="CC516" s="48"/>
      <c r="CD516" s="48"/>
      <c r="CE516" s="48"/>
      <c r="CF516" s="48"/>
      <c r="CG516" s="48"/>
      <c r="CH516" s="48"/>
      <c r="CI516" s="98"/>
      <c r="CJ516" s="98"/>
      <c r="CK516" s="49">
        <f t="shared" si="124"/>
        <v>3.6125679615155969E-2</v>
      </c>
      <c r="CL516" s="229"/>
      <c r="CM516" s="229"/>
      <c r="CN516" s="229"/>
      <c r="CO516" s="47" t="s">
        <v>2488</v>
      </c>
      <c r="CP516" s="500" t="s">
        <v>2489</v>
      </c>
      <c r="CQ516" s="224">
        <v>0.74466776441412319</v>
      </c>
      <c r="CR516" s="224">
        <f t="shared" si="129"/>
        <v>0.18002475791587261</v>
      </c>
      <c r="CS516" s="230" t="s">
        <v>539</v>
      </c>
      <c r="CT516" s="230"/>
      <c r="CU516" s="230"/>
      <c r="CV516" s="335">
        <f t="shared" si="125"/>
        <v>0.13456028300678705</v>
      </c>
      <c r="CW516" s="230">
        <f t="shared" si="121"/>
        <v>0</v>
      </c>
      <c r="CX516" s="336"/>
      <c r="CY516" s="230" t="s">
        <v>6351</v>
      </c>
    </row>
    <row r="517" spans="1:103" ht="11.25" customHeight="1" x14ac:dyDescent="0.2">
      <c r="A517" s="72">
        <v>828</v>
      </c>
      <c r="B517" s="224">
        <v>1212</v>
      </c>
      <c r="C517" s="46" t="s">
        <v>7031</v>
      </c>
      <c r="D517" s="46"/>
      <c r="E517" s="114"/>
      <c r="F517" s="114" t="s">
        <v>3340</v>
      </c>
      <c r="G517" s="225">
        <v>86306</v>
      </c>
      <c r="H517" s="47" t="s">
        <v>3341</v>
      </c>
      <c r="I517" s="47" t="s">
        <v>3341</v>
      </c>
      <c r="J517" s="47" t="s">
        <v>3342</v>
      </c>
      <c r="K517" s="47" t="s">
        <v>300</v>
      </c>
      <c r="L517" s="47" t="s">
        <v>5527</v>
      </c>
      <c r="M517" s="47" t="s">
        <v>5960</v>
      </c>
      <c r="N517" s="47"/>
      <c r="O517" s="47"/>
      <c r="P517" s="53"/>
      <c r="Q517" s="53"/>
      <c r="R517" s="53"/>
      <c r="S517" s="53"/>
      <c r="T517" s="48">
        <v>198.22</v>
      </c>
      <c r="U517" s="98">
        <v>35</v>
      </c>
      <c r="V517" s="98">
        <v>94.85</v>
      </c>
      <c r="W517" s="98">
        <v>111.46729747923088</v>
      </c>
      <c r="X517" s="98">
        <v>35</v>
      </c>
      <c r="Y517" s="233">
        <v>7</v>
      </c>
      <c r="Z517" s="48">
        <v>3.16</v>
      </c>
      <c r="AA517" s="48">
        <v>3.13</v>
      </c>
      <c r="AB517" s="48">
        <v>3</v>
      </c>
      <c r="AC517" s="48">
        <v>0.86890000000000001</v>
      </c>
      <c r="AD517" s="48">
        <v>3.03</v>
      </c>
      <c r="AE517" s="48">
        <v>3.13</v>
      </c>
      <c r="AF517" s="48">
        <f t="shared" si="126"/>
        <v>3.13</v>
      </c>
      <c r="AG517" s="49">
        <v>2.84</v>
      </c>
      <c r="AH517" s="98">
        <v>1.2100000000000001E-6</v>
      </c>
      <c r="AI517" s="98"/>
      <c r="AJ517" s="483">
        <f t="shared" si="128"/>
        <v>-4.3057809559962017</v>
      </c>
      <c r="AK517" s="483"/>
      <c r="AL517" s="483">
        <f t="shared" si="127"/>
        <v>-4.3057809559962017</v>
      </c>
      <c r="AM517" s="483">
        <v>-9.7603200000000001</v>
      </c>
      <c r="AN517" s="226">
        <v>-5.43</v>
      </c>
      <c r="AO517" s="484"/>
      <c r="AP517" s="484">
        <v>-5.83</v>
      </c>
      <c r="AQ517" s="48" t="s">
        <v>6311</v>
      </c>
      <c r="AR517" s="48" t="s">
        <v>6311</v>
      </c>
      <c r="AS517" s="227"/>
      <c r="AT517" s="50" t="s">
        <v>266</v>
      </c>
      <c r="AU517" s="48">
        <v>6</v>
      </c>
      <c r="AV517" s="48">
        <v>120</v>
      </c>
      <c r="AW517" s="48">
        <v>114</v>
      </c>
      <c r="AX517" s="48">
        <v>28</v>
      </c>
      <c r="AY517" s="48" t="s">
        <v>8728</v>
      </c>
      <c r="AZ517" s="48" t="s">
        <v>1563</v>
      </c>
      <c r="BA517" s="48">
        <v>32</v>
      </c>
      <c r="BB517" s="47" t="s">
        <v>2485</v>
      </c>
      <c r="BC517" s="47" t="s">
        <v>8726</v>
      </c>
      <c r="BD517" s="47" t="s">
        <v>8374</v>
      </c>
      <c r="BE517" s="48" t="s">
        <v>2449</v>
      </c>
      <c r="BF517" s="48" t="s">
        <v>272</v>
      </c>
      <c r="BG517" s="48" t="s">
        <v>272</v>
      </c>
      <c r="BH517" s="48" t="s">
        <v>2486</v>
      </c>
      <c r="BI517" s="98">
        <v>1.2686079999999998E-3</v>
      </c>
      <c r="BJ517" s="98">
        <v>12.68608</v>
      </c>
      <c r="BK517" s="48"/>
      <c r="BL517" s="487">
        <v>14.789431213764988</v>
      </c>
      <c r="BM517" s="47" t="s">
        <v>2487</v>
      </c>
      <c r="BN517" s="48"/>
      <c r="BO517" s="48"/>
      <c r="BP517" s="48"/>
      <c r="BQ517" s="48"/>
      <c r="BR517" s="47" t="e">
        <v>#VALUE!</v>
      </c>
      <c r="BS517" s="48"/>
      <c r="BT517" s="48"/>
      <c r="BU517" s="228">
        <v>0.1268608</v>
      </c>
      <c r="BV517" s="48"/>
      <c r="BW517" s="48"/>
      <c r="BX517" s="48"/>
      <c r="BY517" s="48"/>
      <c r="BZ517" s="48"/>
      <c r="CA517" s="48"/>
      <c r="CB517" s="48"/>
      <c r="CC517" s="48"/>
      <c r="CD517" s="48"/>
      <c r="CE517" s="48"/>
      <c r="CF517" s="48"/>
      <c r="CG517" s="48"/>
      <c r="CH517" s="48"/>
      <c r="CI517" s="98"/>
      <c r="CJ517" s="98"/>
      <c r="CK517" s="49">
        <f t="shared" si="124"/>
        <v>1.1657999329789019</v>
      </c>
      <c r="CL517" s="229"/>
      <c r="CM517" s="229"/>
      <c r="CN517" s="229"/>
      <c r="CO517" s="47" t="s">
        <v>2488</v>
      </c>
      <c r="CP517" s="500" t="s">
        <v>2489</v>
      </c>
      <c r="CQ517" s="224">
        <v>0.76342799356293722</v>
      </c>
      <c r="CR517" s="224">
        <f t="shared" si="129"/>
        <v>0.17241379310344829</v>
      </c>
      <c r="CS517" s="230" t="s">
        <v>539</v>
      </c>
      <c r="CT517" s="230"/>
      <c r="CU517" s="230"/>
      <c r="CV517" s="335">
        <f t="shared" si="125"/>
        <v>2.7589294723035009</v>
      </c>
      <c r="CW517" s="230">
        <f t="shared" si="121"/>
        <v>1</v>
      </c>
      <c r="CX517" s="336"/>
      <c r="CY517" s="230" t="s">
        <v>5921</v>
      </c>
    </row>
    <row r="518" spans="1:103" ht="11.25" customHeight="1" x14ac:dyDescent="0.2">
      <c r="A518" s="72">
        <v>829</v>
      </c>
      <c r="B518" s="224">
        <v>1510</v>
      </c>
      <c r="C518" s="46" t="s">
        <v>947</v>
      </c>
      <c r="D518" s="46"/>
      <c r="E518" s="114"/>
      <c r="F518" s="114" t="s">
        <v>948</v>
      </c>
      <c r="G518" s="225">
        <v>86500</v>
      </c>
      <c r="H518" s="47" t="s">
        <v>949</v>
      </c>
      <c r="I518" s="47" t="s">
        <v>949</v>
      </c>
      <c r="J518" s="47" t="s">
        <v>950</v>
      </c>
      <c r="K518" s="47" t="s">
        <v>951</v>
      </c>
      <c r="L518" s="47" t="s">
        <v>617</v>
      </c>
      <c r="M518" s="47" t="s">
        <v>618</v>
      </c>
      <c r="N518" s="47" t="s">
        <v>6376</v>
      </c>
      <c r="O518" s="47" t="s">
        <v>952</v>
      </c>
      <c r="P518" s="53" t="s">
        <v>6178</v>
      </c>
      <c r="Q518" s="53" t="s">
        <v>6176</v>
      </c>
      <c r="R518" s="53" t="s">
        <v>6177</v>
      </c>
      <c r="S518" s="53" t="s">
        <v>6176</v>
      </c>
      <c r="T518" s="48">
        <v>317.33</v>
      </c>
      <c r="U518" s="98">
        <v>20.9</v>
      </c>
      <c r="V518" s="98">
        <v>43.54</v>
      </c>
      <c r="W518" s="98">
        <v>52.663671333716046</v>
      </c>
      <c r="X518" s="98">
        <v>20.9</v>
      </c>
      <c r="Y518" s="233">
        <v>7</v>
      </c>
      <c r="Z518" s="48">
        <v>2.5299999999999998</v>
      </c>
      <c r="AA518" s="48">
        <v>2.75</v>
      </c>
      <c r="AB518" s="48">
        <v>3.17</v>
      </c>
      <c r="AC518" s="48">
        <v>0.83950000000000002</v>
      </c>
      <c r="AD518" s="48">
        <v>3.01</v>
      </c>
      <c r="AE518" s="48">
        <v>2.54</v>
      </c>
      <c r="AF518" s="48">
        <f t="shared" si="126"/>
        <v>2.75</v>
      </c>
      <c r="AG518" s="49">
        <v>3.27</v>
      </c>
      <c r="AH518" s="98">
        <v>2.8599999999999999E-10</v>
      </c>
      <c r="AI518" s="98">
        <v>2.3899999999999999E-8</v>
      </c>
      <c r="AJ518" s="483">
        <f t="shared" si="128"/>
        <v>-7.9322002931836089</v>
      </c>
      <c r="AK518" s="483">
        <f>LOG10(AI518*1000/(0.08206*298.15))</f>
        <v>-6.0101684253645145</v>
      </c>
      <c r="AL518" s="483">
        <f t="shared" si="127"/>
        <v>-6.0101684253645145</v>
      </c>
      <c r="AM518" s="483">
        <v>-15.46162</v>
      </c>
      <c r="AN518" s="226">
        <v>-6.71</v>
      </c>
      <c r="AO518" s="484"/>
      <c r="AP518" s="484">
        <v>-2.6</v>
      </c>
      <c r="AQ518" s="48" t="s">
        <v>6314</v>
      </c>
      <c r="AR518" s="48" t="s">
        <v>6314</v>
      </c>
      <c r="AS518" s="227"/>
      <c r="AT518" s="50" t="s">
        <v>266</v>
      </c>
      <c r="AU518" s="48">
        <v>6</v>
      </c>
      <c r="AV518" s="48">
        <v>120</v>
      </c>
      <c r="AW518" s="48">
        <v>114</v>
      </c>
      <c r="AX518" s="48">
        <v>28</v>
      </c>
      <c r="AY518" s="48" t="s">
        <v>8728</v>
      </c>
      <c r="AZ518" s="48" t="s">
        <v>1563</v>
      </c>
      <c r="BA518" s="48">
        <v>32</v>
      </c>
      <c r="BB518" s="47" t="s">
        <v>2485</v>
      </c>
      <c r="BC518" s="47" t="s">
        <v>8726</v>
      </c>
      <c r="BD518" s="47" t="s">
        <v>8374</v>
      </c>
      <c r="BE518" s="48" t="s">
        <v>2449</v>
      </c>
      <c r="BF518" s="48" t="s">
        <v>272</v>
      </c>
      <c r="BG518" s="48" t="s">
        <v>272</v>
      </c>
      <c r="BH518" s="48" t="s">
        <v>2486</v>
      </c>
      <c r="BI518" s="98">
        <v>2.0309119999999997E-3</v>
      </c>
      <c r="BJ518" s="98">
        <v>20.30912</v>
      </c>
      <c r="BK518" s="48"/>
      <c r="BL518" s="487">
        <v>87.120053154584937</v>
      </c>
      <c r="BM518" s="47" t="s">
        <v>2487</v>
      </c>
      <c r="BN518" s="48"/>
      <c r="BO518" s="48"/>
      <c r="BP518" s="48"/>
      <c r="BQ518" s="48"/>
      <c r="BR518" s="47" t="e">
        <v>#VALUE!</v>
      </c>
      <c r="BS518" s="48"/>
      <c r="BT518" s="48"/>
      <c r="BU518" s="228"/>
      <c r="BV518" s="48"/>
      <c r="BW518" s="48"/>
      <c r="BX518" s="48"/>
      <c r="BY518" s="48"/>
      <c r="BZ518" s="48"/>
      <c r="CA518" s="48"/>
      <c r="CB518" s="48"/>
      <c r="CC518" s="48"/>
      <c r="CD518" s="48"/>
      <c r="CE518" s="48"/>
      <c r="CF518" s="48"/>
      <c r="CG518" s="48"/>
      <c r="CH518" s="48"/>
      <c r="CI518" s="98"/>
      <c r="CJ518" s="98"/>
      <c r="CK518" s="49">
        <f t="shared" si="124"/>
        <v>4.2897010384785226</v>
      </c>
      <c r="CL518" s="229"/>
      <c r="CM518" s="229">
        <v>-2.1493680459054527</v>
      </c>
      <c r="CN518" s="229">
        <f>BJ518/(10^CM518)</f>
        <v>2864.5681021628252</v>
      </c>
      <c r="CO518" s="47" t="s">
        <v>2488</v>
      </c>
      <c r="CP518" s="500" t="s">
        <v>2489</v>
      </c>
      <c r="CQ518" s="224">
        <v>-1.0681269040684367</v>
      </c>
      <c r="CR518" s="224">
        <f t="shared" si="129"/>
        <v>11.698411773490131</v>
      </c>
      <c r="CS518" s="230" t="s">
        <v>539</v>
      </c>
      <c r="CT518" s="230"/>
      <c r="CU518" s="230"/>
      <c r="CV518" s="335">
        <f t="shared" si="125"/>
        <v>1.0290943182176282</v>
      </c>
      <c r="CW518" s="230">
        <f t="shared" si="121"/>
        <v>1</v>
      </c>
      <c r="CX518" s="336"/>
      <c r="CY518" s="230" t="s">
        <v>5921</v>
      </c>
    </row>
    <row r="519" spans="1:103" ht="11.25" customHeight="1" x14ac:dyDescent="0.2">
      <c r="A519" s="72">
        <v>830</v>
      </c>
      <c r="B519" s="224">
        <v>1674</v>
      </c>
      <c r="C519" s="46" t="s">
        <v>7032</v>
      </c>
      <c r="D519" s="46" t="s">
        <v>8566</v>
      </c>
      <c r="E519" s="114"/>
      <c r="F519" s="114" t="s">
        <v>4890</v>
      </c>
      <c r="G519" s="225">
        <v>86737</v>
      </c>
      <c r="H519" s="47" t="s">
        <v>4891</v>
      </c>
      <c r="I519" s="47" t="s">
        <v>4891</v>
      </c>
      <c r="J519" s="47" t="s">
        <v>4892</v>
      </c>
      <c r="K519" s="47" t="s">
        <v>426</v>
      </c>
      <c r="L519" s="47" t="s">
        <v>6124</v>
      </c>
      <c r="M519" s="47" t="s">
        <v>6082</v>
      </c>
      <c r="N519" s="47" t="s">
        <v>6082</v>
      </c>
      <c r="O519" s="47" t="s">
        <v>6083</v>
      </c>
      <c r="P519" s="53"/>
      <c r="Q519" s="53"/>
      <c r="R519" s="53"/>
      <c r="S519" s="53"/>
      <c r="T519" s="48">
        <v>166.22</v>
      </c>
      <c r="U519" s="98">
        <v>1.69</v>
      </c>
      <c r="V519" s="98">
        <v>1.339</v>
      </c>
      <c r="W519" s="98">
        <v>2.1413284048243284</v>
      </c>
      <c r="X519" s="98">
        <v>1.69</v>
      </c>
      <c r="Y519" s="233">
        <v>7</v>
      </c>
      <c r="Z519" s="48">
        <v>4.0199999999999996</v>
      </c>
      <c r="AA519" s="48">
        <v>4.18</v>
      </c>
      <c r="AB519" s="48">
        <v>4.01</v>
      </c>
      <c r="AC519" s="48">
        <v>0.80079999999999996</v>
      </c>
      <c r="AD519" s="48">
        <v>4.0599999999999996</v>
      </c>
      <c r="AE519" s="48">
        <v>4.16</v>
      </c>
      <c r="AF519" s="48">
        <f t="shared" si="126"/>
        <v>4.18</v>
      </c>
      <c r="AG519" s="49">
        <v>3.67</v>
      </c>
      <c r="AH519" s="98">
        <v>1.6699999999999999E-4</v>
      </c>
      <c r="AI519" s="98">
        <v>9.6199999999999994E-5</v>
      </c>
      <c r="AJ519" s="483">
        <f t="shared" si="128"/>
        <v>-2.1658498551650687</v>
      </c>
      <c r="AK519" s="483">
        <f>LOG10(AI519*1000/(0.08206*298.15))</f>
        <v>-2.4053912542748388</v>
      </c>
      <c r="AL519" s="483">
        <f t="shared" si="127"/>
        <v>-2.4053912542748388</v>
      </c>
      <c r="AM519" s="483">
        <v>-5.5990699999999993</v>
      </c>
      <c r="AN519" s="226">
        <v>-2.54</v>
      </c>
      <c r="AO519" s="484"/>
      <c r="AP519" s="484"/>
      <c r="AQ519" s="226" t="s">
        <v>6311</v>
      </c>
      <c r="AR519" s="226" t="s">
        <v>6311</v>
      </c>
      <c r="AS519" s="224"/>
      <c r="AT519" s="50" t="s">
        <v>266</v>
      </c>
      <c r="AU519" s="48">
        <v>6</v>
      </c>
      <c r="AV519" s="48">
        <v>120</v>
      </c>
      <c r="AW519" s="48">
        <v>114</v>
      </c>
      <c r="AX519" s="48">
        <v>28</v>
      </c>
      <c r="AY519" s="48" t="s">
        <v>8728</v>
      </c>
      <c r="AZ519" s="48" t="s">
        <v>1563</v>
      </c>
      <c r="BA519" s="48">
        <v>32</v>
      </c>
      <c r="BB519" s="47" t="s">
        <v>2485</v>
      </c>
      <c r="BC519" s="47" t="s">
        <v>8726</v>
      </c>
      <c r="BD519" s="47" t="s">
        <v>8374</v>
      </c>
      <c r="BE519" s="48" t="s">
        <v>2449</v>
      </c>
      <c r="BF519" s="48" t="s">
        <v>272</v>
      </c>
      <c r="BG519" s="48" t="s">
        <v>272</v>
      </c>
      <c r="BH519" s="48" t="s">
        <v>2486</v>
      </c>
      <c r="BI519" s="98">
        <v>1.0638079999999999E-3</v>
      </c>
      <c r="BJ519" s="98">
        <v>10.63808</v>
      </c>
      <c r="BK519" s="48"/>
      <c r="BL519" s="487">
        <v>2.0946973243939366</v>
      </c>
      <c r="BM519" s="47" t="s">
        <v>2487</v>
      </c>
      <c r="BN519" s="48"/>
      <c r="BO519" s="48"/>
      <c r="BP519" s="48"/>
      <c r="BQ519" s="48"/>
      <c r="BR519" s="47" t="e">
        <v>#VALUE!</v>
      </c>
      <c r="BS519" s="48"/>
      <c r="BT519" s="48"/>
      <c r="BU519" s="228"/>
      <c r="BV519" s="48"/>
      <c r="BW519" s="48"/>
      <c r="BX519" s="48"/>
      <c r="BY519" s="48"/>
      <c r="BZ519" s="48"/>
      <c r="CA519" s="48"/>
      <c r="CB519" s="48"/>
      <c r="CC519" s="48"/>
      <c r="CD519" s="48"/>
      <c r="CE519" s="48"/>
      <c r="CF519" s="48"/>
      <c r="CG519" s="48"/>
      <c r="CH519" s="48"/>
      <c r="CI519" s="98"/>
      <c r="CJ519" s="98"/>
      <c r="CK519" s="49">
        <f t="shared" si="124"/>
        <v>0.19690558111933135</v>
      </c>
      <c r="CL519" s="229"/>
      <c r="CM519" s="229"/>
      <c r="CN519" s="229"/>
      <c r="CO519" s="47" t="s">
        <v>2488</v>
      </c>
      <c r="CP519" s="500" t="s">
        <v>2489</v>
      </c>
      <c r="CQ519" s="224">
        <v>-8.2110387671466112E-2</v>
      </c>
      <c r="CR519" s="224">
        <f t="shared" si="129"/>
        <v>1.2081208726314072</v>
      </c>
      <c r="CS519" s="230" t="s">
        <v>539</v>
      </c>
      <c r="CT519" s="230"/>
      <c r="CU519" s="230"/>
      <c r="CV519" s="335">
        <f t="shared" si="125"/>
        <v>0.15886325351943206</v>
      </c>
      <c r="CW519" s="230">
        <f t="shared" si="121"/>
        <v>0</v>
      </c>
      <c r="CX519" s="336"/>
      <c r="CY519" s="230" t="s">
        <v>6351</v>
      </c>
    </row>
    <row r="520" spans="1:103" ht="11.25" customHeight="1" x14ac:dyDescent="0.2">
      <c r="A520" s="72">
        <v>831</v>
      </c>
      <c r="B520" s="224">
        <v>896</v>
      </c>
      <c r="C520" s="46" t="s">
        <v>7033</v>
      </c>
      <c r="D520" s="46" t="s">
        <v>8594</v>
      </c>
      <c r="E520" s="114"/>
      <c r="F520" s="114" t="s">
        <v>2552</v>
      </c>
      <c r="G520" s="225">
        <v>87616</v>
      </c>
      <c r="H520" s="47" t="s">
        <v>2553</v>
      </c>
      <c r="I520" s="47" t="s">
        <v>8003</v>
      </c>
      <c r="J520" s="47" t="s">
        <v>2554</v>
      </c>
      <c r="K520" s="47" t="s">
        <v>426</v>
      </c>
      <c r="L520" s="47" t="s">
        <v>5527</v>
      </c>
      <c r="M520" s="47" t="s">
        <v>866</v>
      </c>
      <c r="N520" s="47"/>
      <c r="O520" s="47" t="s">
        <v>6086</v>
      </c>
      <c r="P520" s="53" t="s">
        <v>6183</v>
      </c>
      <c r="Q520" s="53" t="s">
        <v>6176</v>
      </c>
      <c r="R520" s="53" t="s">
        <v>6185</v>
      </c>
      <c r="S520" s="53" t="s">
        <v>6182</v>
      </c>
      <c r="T520" s="48">
        <v>181.45</v>
      </c>
      <c r="U520" s="98">
        <v>18</v>
      </c>
      <c r="V520" s="98">
        <v>18.84</v>
      </c>
      <c r="W520" s="98">
        <v>5.4797023966694614</v>
      </c>
      <c r="X520" s="98">
        <v>18</v>
      </c>
      <c r="Y520" s="233">
        <v>7</v>
      </c>
      <c r="Z520" s="48">
        <v>3.93</v>
      </c>
      <c r="AA520" s="48">
        <v>4.05</v>
      </c>
      <c r="AB520" s="48">
        <v>3.99</v>
      </c>
      <c r="AC520" s="48">
        <v>0.91300000000000003</v>
      </c>
      <c r="AD520" s="48">
        <v>3.94</v>
      </c>
      <c r="AE520" s="48">
        <v>3.77</v>
      </c>
      <c r="AF520" s="48">
        <f t="shared" si="126"/>
        <v>4.05</v>
      </c>
      <c r="AG520" s="49">
        <v>3.84</v>
      </c>
      <c r="AH520" s="98">
        <v>2.1900000000000001E-3</v>
      </c>
      <c r="AI520" s="98">
        <v>1.25E-3</v>
      </c>
      <c r="AJ520" s="483">
        <f t="shared" si="128"/>
        <v>-1.0481222114725335</v>
      </c>
      <c r="AK520" s="483">
        <f>LOG10(AI520*1000/(0.08206*298.15))</f>
        <v>-1.2916563133045953</v>
      </c>
      <c r="AL520" s="483">
        <f t="shared" si="127"/>
        <v>-1.2916563133045953</v>
      </c>
      <c r="AM520" s="483">
        <v>-3.2761099999999996</v>
      </c>
      <c r="AN520" s="226">
        <v>-1.22</v>
      </c>
      <c r="AO520" s="484"/>
      <c r="AP520" s="484"/>
      <c r="AQ520" s="48" t="s">
        <v>6311</v>
      </c>
      <c r="AR520" s="48" t="s">
        <v>6311</v>
      </c>
      <c r="AS520" s="227"/>
      <c r="AT520" s="50" t="s">
        <v>266</v>
      </c>
      <c r="AU520" s="48">
        <v>6</v>
      </c>
      <c r="AV520" s="48">
        <v>120</v>
      </c>
      <c r="AW520" s="48">
        <v>114</v>
      </c>
      <c r="AX520" s="48">
        <v>28</v>
      </c>
      <c r="AY520" s="48" t="s">
        <v>8728</v>
      </c>
      <c r="AZ520" s="48" t="s">
        <v>1563</v>
      </c>
      <c r="BA520" s="48">
        <v>32</v>
      </c>
      <c r="BB520" s="47" t="s">
        <v>2485</v>
      </c>
      <c r="BC520" s="47" t="s">
        <v>8726</v>
      </c>
      <c r="BD520" s="47" t="s">
        <v>8374</v>
      </c>
      <c r="BE520" s="48" t="s">
        <v>2449</v>
      </c>
      <c r="BF520" s="48" t="s">
        <v>272</v>
      </c>
      <c r="BG520" s="48" t="s">
        <v>272</v>
      </c>
      <c r="BH520" s="48" t="s">
        <v>2486</v>
      </c>
      <c r="BI520" s="98">
        <v>1.1612799999999998E-3</v>
      </c>
      <c r="BJ520" s="98">
        <v>11.6128</v>
      </c>
      <c r="BK520" s="48"/>
      <c r="BL520" s="487">
        <v>2.7543807376682925</v>
      </c>
      <c r="BM520" s="47" t="s">
        <v>2487</v>
      </c>
      <c r="BN520" s="48"/>
      <c r="BO520" s="48"/>
      <c r="BP520" s="48"/>
      <c r="BQ520" s="48"/>
      <c r="BR520" s="47"/>
      <c r="BS520" s="48"/>
      <c r="BT520" s="48"/>
      <c r="BU520" s="228">
        <v>1.16128E-2</v>
      </c>
      <c r="BV520" s="48"/>
      <c r="BW520" s="48"/>
      <c r="BX520" s="48"/>
      <c r="BY520" s="48"/>
      <c r="BZ520" s="48"/>
      <c r="CA520" s="48"/>
      <c r="CB520" s="48"/>
      <c r="CC520" s="48"/>
      <c r="CD520" s="48"/>
      <c r="CE520" s="48"/>
      <c r="CF520" s="48"/>
      <c r="CG520" s="48"/>
      <c r="CH520" s="48"/>
      <c r="CI520" s="98"/>
      <c r="CJ520" s="98"/>
      <c r="CK520" s="49">
        <f t="shared" si="124"/>
        <v>0.23718489405382789</v>
      </c>
      <c r="CL520" s="229"/>
      <c r="CM520" s="229"/>
      <c r="CN520" s="229"/>
      <c r="CO520" s="47" t="s">
        <v>2488</v>
      </c>
      <c r="CP520" s="500" t="s">
        <v>2489</v>
      </c>
      <c r="CQ520" s="224">
        <v>0.36921585741014279</v>
      </c>
      <c r="CR520" s="224">
        <f t="shared" si="129"/>
        <v>0.42735042735042739</v>
      </c>
      <c r="CS520" s="230" t="s">
        <v>539</v>
      </c>
      <c r="CT520" s="230"/>
      <c r="CU520" s="230"/>
      <c r="CV520" s="335">
        <f t="shared" si="125"/>
        <v>1.5500137779002481</v>
      </c>
      <c r="CW520" s="230">
        <f t="shared" si="121"/>
        <v>1</v>
      </c>
      <c r="CX520" s="336"/>
      <c r="CY520" s="230" t="s">
        <v>6351</v>
      </c>
    </row>
    <row r="521" spans="1:103" ht="11.25" customHeight="1" x14ac:dyDescent="0.2">
      <c r="A521" s="72">
        <v>832</v>
      </c>
      <c r="B521" s="224">
        <v>1424</v>
      </c>
      <c r="C521" s="46" t="s">
        <v>7034</v>
      </c>
      <c r="D521" s="46"/>
      <c r="E521" s="114"/>
      <c r="F521" s="114" t="s">
        <v>4381</v>
      </c>
      <c r="G521" s="225">
        <v>87627</v>
      </c>
      <c r="H521" s="47" t="s">
        <v>4382</v>
      </c>
      <c r="I521" s="47" t="s">
        <v>4382</v>
      </c>
      <c r="J521" s="47" t="s">
        <v>4383</v>
      </c>
      <c r="K521" s="47" t="s">
        <v>2695</v>
      </c>
      <c r="L521" s="47"/>
      <c r="M521" s="47"/>
      <c r="N521" s="47"/>
      <c r="O521" s="47"/>
      <c r="P521" s="53"/>
      <c r="Q521" s="53"/>
      <c r="R521" s="53"/>
      <c r="S521" s="53"/>
      <c r="T521" s="48">
        <v>121.18</v>
      </c>
      <c r="U521" s="98">
        <v>8240</v>
      </c>
      <c r="V521" s="98">
        <v>2666</v>
      </c>
      <c r="W521" s="98">
        <v>5051.6231888935235</v>
      </c>
      <c r="X521" s="98">
        <v>8240</v>
      </c>
      <c r="Y521" s="233">
        <v>8.4600000000000009</v>
      </c>
      <c r="Z521" s="48">
        <v>2.17</v>
      </c>
      <c r="AA521" s="48">
        <v>1.84</v>
      </c>
      <c r="AB521" s="48">
        <v>1.53</v>
      </c>
      <c r="AC521" s="48">
        <v>0.79149999999999998</v>
      </c>
      <c r="AD521" s="48">
        <v>1.64</v>
      </c>
      <c r="AE521" s="48">
        <v>1.86</v>
      </c>
      <c r="AF521" s="48">
        <f t="shared" si="126"/>
        <v>1.84</v>
      </c>
      <c r="AG521" s="49">
        <v>2.04</v>
      </c>
      <c r="AH521" s="98">
        <v>2.3199999999999998E-6</v>
      </c>
      <c r="AI521" s="98">
        <v>2.52E-6</v>
      </c>
      <c r="AJ521" s="483">
        <f t="shared" si="128"/>
        <v>-4.0230783414217521</v>
      </c>
      <c r="AK521" s="483">
        <f>LOG10(AI521*1000/(0.08206*298.15))</f>
        <v>-3.9871657855311078</v>
      </c>
      <c r="AL521" s="483">
        <f t="shared" si="127"/>
        <v>-3.9871657855311078</v>
      </c>
      <c r="AM521" s="483">
        <v>-5.6021100000000006</v>
      </c>
      <c r="AN521" s="226">
        <v>-3.94</v>
      </c>
      <c r="AO521" s="484"/>
      <c r="AP521" s="484">
        <v>4.3099999999999996</v>
      </c>
      <c r="AQ521" s="48" t="s">
        <v>6311</v>
      </c>
      <c r="AR521" s="48" t="s">
        <v>6311</v>
      </c>
      <c r="AS521" s="227"/>
      <c r="AT521" s="50" t="s">
        <v>266</v>
      </c>
      <c r="AU521" s="48">
        <v>6</v>
      </c>
      <c r="AV521" s="48">
        <v>120</v>
      </c>
      <c r="AW521" s="48">
        <v>114</v>
      </c>
      <c r="AX521" s="48">
        <v>28</v>
      </c>
      <c r="AY521" s="48" t="s">
        <v>8728</v>
      </c>
      <c r="AZ521" s="48" t="s">
        <v>1563</v>
      </c>
      <c r="BA521" s="48">
        <v>32</v>
      </c>
      <c r="BB521" s="47" t="s">
        <v>2485</v>
      </c>
      <c r="BC521" s="47" t="s">
        <v>8726</v>
      </c>
      <c r="BD521" s="47" t="s">
        <v>8374</v>
      </c>
      <c r="BE521" s="48" t="s">
        <v>2449</v>
      </c>
      <c r="BF521" s="48" t="s">
        <v>272</v>
      </c>
      <c r="BG521" s="48" t="s">
        <v>272</v>
      </c>
      <c r="BH521" s="48" t="s">
        <v>2486</v>
      </c>
      <c r="BI521" s="98">
        <v>7.7555199999999999E-4</v>
      </c>
      <c r="BJ521" s="98">
        <v>7.7555200000000006</v>
      </c>
      <c r="BK521" s="48"/>
      <c r="BL521" s="487">
        <v>70.041259674735528</v>
      </c>
      <c r="BM521" s="47" t="s">
        <v>2487</v>
      </c>
      <c r="BN521" s="48"/>
      <c r="BO521" s="48"/>
      <c r="BP521" s="48"/>
      <c r="BQ521" s="48"/>
      <c r="BR521" s="47"/>
      <c r="BS521" s="48"/>
      <c r="BT521" s="48"/>
      <c r="BU521" s="228"/>
      <c r="BV521" s="48"/>
      <c r="BW521" s="48"/>
      <c r="BX521" s="48"/>
      <c r="BY521" s="48"/>
      <c r="BZ521" s="48"/>
      <c r="CA521" s="48"/>
      <c r="CB521" s="48"/>
      <c r="CC521" s="48"/>
      <c r="CD521" s="48"/>
      <c r="CE521" s="48"/>
      <c r="CF521" s="48"/>
      <c r="CG521" s="48"/>
      <c r="CH521" s="48"/>
      <c r="CI521" s="98"/>
      <c r="CJ521" s="98"/>
      <c r="CK521" s="49">
        <f t="shared" si="124"/>
        <v>9.0311493845332773</v>
      </c>
      <c r="CL521" s="229"/>
      <c r="CM521" s="229"/>
      <c r="CN521" s="229"/>
      <c r="CO521" s="47" t="s">
        <v>2488</v>
      </c>
      <c r="CP521" s="500" t="s">
        <v>2489</v>
      </c>
      <c r="CQ521" s="224" t="s">
        <v>272</v>
      </c>
      <c r="CR521" s="224"/>
      <c r="CS521" s="230" t="s">
        <v>539</v>
      </c>
      <c r="CT521" s="230"/>
      <c r="CU521" s="230"/>
      <c r="CV521" s="335">
        <f t="shared" si="125"/>
        <v>1062.4690542993892</v>
      </c>
      <c r="CW521" s="230">
        <f t="shared" si="121"/>
        <v>1</v>
      </c>
      <c r="CX521" s="336"/>
      <c r="CY521" s="230" t="s">
        <v>6351</v>
      </c>
    </row>
    <row r="522" spans="1:103" ht="11.25" customHeight="1" x14ac:dyDescent="0.2">
      <c r="A522" s="72">
        <v>833</v>
      </c>
      <c r="B522" s="224">
        <v>1717</v>
      </c>
      <c r="C522" s="46" t="s">
        <v>7035</v>
      </c>
      <c r="D522" s="46"/>
      <c r="E522" s="114"/>
      <c r="F522" s="114" t="s">
        <v>4988</v>
      </c>
      <c r="G522" s="225">
        <v>87694</v>
      </c>
      <c r="H522" s="47" t="s">
        <v>4989</v>
      </c>
      <c r="I522" s="47" t="s">
        <v>4989</v>
      </c>
      <c r="J522" s="47" t="s">
        <v>4990</v>
      </c>
      <c r="K522" s="47" t="s">
        <v>426</v>
      </c>
      <c r="L522" s="47"/>
      <c r="M522" s="47"/>
      <c r="N522" s="47"/>
      <c r="O522" s="47"/>
      <c r="P522" s="53"/>
      <c r="Q522" s="53"/>
      <c r="R522" s="53"/>
      <c r="S522" s="53"/>
      <c r="T522" s="48">
        <v>150.09</v>
      </c>
      <c r="U522" s="98">
        <v>246000</v>
      </c>
      <c r="V522" s="98">
        <v>1000000</v>
      </c>
      <c r="W522" s="98">
        <v>991634.79611460096</v>
      </c>
      <c r="X522" s="98">
        <v>246000</v>
      </c>
      <c r="Y522" s="233">
        <v>0.83</v>
      </c>
      <c r="Z522" s="48">
        <v>-1</v>
      </c>
      <c r="AA522" s="48"/>
      <c r="AB522" s="48">
        <v>-1.42</v>
      </c>
      <c r="AC522" s="48">
        <v>0.27810000000000001</v>
      </c>
      <c r="AD522" s="48">
        <v>-1.42</v>
      </c>
      <c r="AE522" s="48">
        <v>-1.43</v>
      </c>
      <c r="AF522" s="48">
        <f t="shared" si="126"/>
        <v>-1.42</v>
      </c>
      <c r="AG522" s="49">
        <v>-1.94</v>
      </c>
      <c r="AH522" s="98">
        <v>1.3200000000000001E-10</v>
      </c>
      <c r="AI522" s="98"/>
      <c r="AJ522" s="483">
        <f t="shared" si="128"/>
        <v>-8.267992395106802</v>
      </c>
      <c r="AK522" s="483"/>
      <c r="AL522" s="483">
        <f t="shared" si="127"/>
        <v>-8.267992395106802</v>
      </c>
      <c r="AM522" s="483">
        <v>-14.254909999999999</v>
      </c>
      <c r="AN522" s="226">
        <v>-12.9</v>
      </c>
      <c r="AO522" s="484">
        <v>3.07</v>
      </c>
      <c r="AP522" s="484"/>
      <c r="AQ522" s="226" t="s">
        <v>6311</v>
      </c>
      <c r="AR522" s="226" t="s">
        <v>6311</v>
      </c>
      <c r="AS522" s="224"/>
      <c r="AT522" s="50" t="s">
        <v>266</v>
      </c>
      <c r="AU522" s="48">
        <v>6</v>
      </c>
      <c r="AV522" s="48">
        <v>120</v>
      </c>
      <c r="AW522" s="48">
        <v>114</v>
      </c>
      <c r="AX522" s="48">
        <v>28</v>
      </c>
      <c r="AY522" s="48" t="s">
        <v>8728</v>
      </c>
      <c r="AZ522" s="48" t="s">
        <v>1563</v>
      </c>
      <c r="BA522" s="48">
        <v>32</v>
      </c>
      <c r="BB522" s="47" t="s">
        <v>2485</v>
      </c>
      <c r="BC522" s="47" t="s">
        <v>8726</v>
      </c>
      <c r="BD522" s="47" t="s">
        <v>8374</v>
      </c>
      <c r="BE522" s="48" t="s">
        <v>2449</v>
      </c>
      <c r="BF522" s="48" t="s">
        <v>272</v>
      </c>
      <c r="BG522" s="48" t="s">
        <v>272</v>
      </c>
      <c r="BH522" s="48" t="s">
        <v>2486</v>
      </c>
      <c r="BI522" s="98">
        <v>9.6057599999999999E-4</v>
      </c>
      <c r="BJ522" s="98">
        <v>9.6057600000000001</v>
      </c>
      <c r="BK522" s="48"/>
      <c r="BL522" s="487">
        <v>60989.034413346883</v>
      </c>
      <c r="BM522" s="47" t="s">
        <v>2487</v>
      </c>
      <c r="BN522" s="48"/>
      <c r="BO522" s="48"/>
      <c r="BP522" s="48"/>
      <c r="BQ522" s="48"/>
      <c r="BR522" s="47" t="e">
        <v>#VALUE!</v>
      </c>
      <c r="BS522" s="48"/>
      <c r="BT522" s="48"/>
      <c r="BU522" s="228"/>
      <c r="BV522" s="48"/>
      <c r="BW522" s="48"/>
      <c r="BX522" s="48"/>
      <c r="BY522" s="48"/>
      <c r="BZ522" s="48"/>
      <c r="CA522" s="48"/>
      <c r="CB522" s="48"/>
      <c r="CC522" s="48"/>
      <c r="CD522" s="48"/>
      <c r="CE522" s="48"/>
      <c r="CF522" s="48"/>
      <c r="CG522" s="48"/>
      <c r="CH522" s="48"/>
      <c r="CI522" s="98"/>
      <c r="CJ522" s="98"/>
      <c r="CK522" s="49">
        <f t="shared" si="124"/>
        <v>6349.2148891234929</v>
      </c>
      <c r="CL522" s="229"/>
      <c r="CM522" s="229"/>
      <c r="CN522" s="229"/>
      <c r="CO522" s="47" t="s">
        <v>2488</v>
      </c>
      <c r="CP522" s="500" t="s">
        <v>2489</v>
      </c>
      <c r="CQ522" s="224" t="s">
        <v>272</v>
      </c>
      <c r="CR522" s="224"/>
      <c r="CS522" s="230" t="s">
        <v>539</v>
      </c>
      <c r="CT522" s="230"/>
      <c r="CU522" s="230"/>
      <c r="CV522" s="335">
        <f t="shared" si="125"/>
        <v>25609.63421946832</v>
      </c>
      <c r="CW522" s="230">
        <f t="shared" si="121"/>
        <v>1</v>
      </c>
      <c r="CX522" s="336"/>
      <c r="CY522" s="230" t="s">
        <v>6351</v>
      </c>
    </row>
    <row r="523" spans="1:103" ht="11.25" customHeight="1" x14ac:dyDescent="0.2">
      <c r="A523" s="72">
        <v>835</v>
      </c>
      <c r="B523" s="224">
        <v>1286</v>
      </c>
      <c r="C523" s="46" t="s">
        <v>7036</v>
      </c>
      <c r="D523" s="46" t="s">
        <v>8567</v>
      </c>
      <c r="E523" s="114"/>
      <c r="F523" s="114" t="s">
        <v>3535</v>
      </c>
      <c r="G523" s="225">
        <v>87901</v>
      </c>
      <c r="H523" s="47" t="s">
        <v>3536</v>
      </c>
      <c r="I523" s="47" t="s">
        <v>8004</v>
      </c>
      <c r="J523" s="47" t="s">
        <v>3537</v>
      </c>
      <c r="K523" s="47" t="s">
        <v>2580</v>
      </c>
      <c r="L523" s="47" t="s">
        <v>6140</v>
      </c>
      <c r="M523" s="47" t="s">
        <v>6082</v>
      </c>
      <c r="N523" s="47" t="s">
        <v>6082</v>
      </c>
      <c r="O523" s="47" t="s">
        <v>6083</v>
      </c>
      <c r="P523" s="53"/>
      <c r="Q523" s="53"/>
      <c r="R523" s="53"/>
      <c r="S523" s="53"/>
      <c r="T523" s="48">
        <v>232.41</v>
      </c>
      <c r="U523" s="98">
        <v>12000</v>
      </c>
      <c r="V523" s="98">
        <v>4610</v>
      </c>
      <c r="W523" s="98">
        <v>8246.2179791775234</v>
      </c>
      <c r="X523" s="98">
        <v>12000</v>
      </c>
      <c r="Y523" s="233">
        <v>7</v>
      </c>
      <c r="Z523" s="48">
        <v>0.94</v>
      </c>
      <c r="AA523" s="48"/>
      <c r="AB523" s="48">
        <v>1.1000000000000001</v>
      </c>
      <c r="AC523" s="48">
        <v>0.2382</v>
      </c>
      <c r="AD523" s="48">
        <v>0.42</v>
      </c>
      <c r="AE523" s="48">
        <v>0.11</v>
      </c>
      <c r="AF523" s="48">
        <f t="shared" si="126"/>
        <v>0.42</v>
      </c>
      <c r="AG523" s="49">
        <v>0.34</v>
      </c>
      <c r="AH523" s="98">
        <v>6.1900000000000001E-11</v>
      </c>
      <c r="AI523" s="98"/>
      <c r="AJ523" s="483">
        <f t="shared" si="128"/>
        <v>-8.5968756772925339</v>
      </c>
      <c r="AK523" s="483"/>
      <c r="AL523" s="483">
        <f t="shared" si="127"/>
        <v>-8.5968756772925339</v>
      </c>
      <c r="AM523" s="483">
        <v>-12.730219999999999</v>
      </c>
      <c r="AN523" s="226">
        <v>-2.99</v>
      </c>
      <c r="AO523" s="484"/>
      <c r="AP523" s="484">
        <v>-4.49</v>
      </c>
      <c r="AQ523" s="48" t="s">
        <v>6311</v>
      </c>
      <c r="AR523" s="48" t="s">
        <v>6311</v>
      </c>
      <c r="AS523" s="227"/>
      <c r="AT523" s="50" t="s">
        <v>266</v>
      </c>
      <c r="AU523" s="48">
        <v>6</v>
      </c>
      <c r="AV523" s="48">
        <v>120</v>
      </c>
      <c r="AW523" s="48">
        <v>114</v>
      </c>
      <c r="AX523" s="48">
        <v>28</v>
      </c>
      <c r="AY523" s="48" t="s">
        <v>8728</v>
      </c>
      <c r="AZ523" s="48" t="s">
        <v>1563</v>
      </c>
      <c r="BA523" s="48">
        <v>32</v>
      </c>
      <c r="BB523" s="47" t="s">
        <v>2485</v>
      </c>
      <c r="BC523" s="47" t="s">
        <v>8726</v>
      </c>
      <c r="BD523" s="47" t="s">
        <v>8374</v>
      </c>
      <c r="BE523" s="48" t="s">
        <v>2449</v>
      </c>
      <c r="BF523" s="48" t="s">
        <v>272</v>
      </c>
      <c r="BG523" s="48" t="s">
        <v>272</v>
      </c>
      <c r="BH523" s="48" t="s">
        <v>2486</v>
      </c>
      <c r="BI523" s="98">
        <v>1.487424E-3</v>
      </c>
      <c r="BJ523" s="98">
        <v>14.87424</v>
      </c>
      <c r="BK523" s="48"/>
      <c r="BL523" s="487">
        <v>1709.3886290702881</v>
      </c>
      <c r="BM523" s="47" t="s">
        <v>2487</v>
      </c>
      <c r="BN523" s="48"/>
      <c r="BO523" s="48"/>
      <c r="BP523" s="48"/>
      <c r="BQ523" s="48"/>
      <c r="BR523" s="47" t="e">
        <v>#VALUE!</v>
      </c>
      <c r="BS523" s="48"/>
      <c r="BT523" s="48"/>
      <c r="BU523" s="228">
        <v>1.4874240000000001</v>
      </c>
      <c r="BV523" s="48"/>
      <c r="BW523" s="48"/>
      <c r="BX523" s="48"/>
      <c r="BY523" s="48"/>
      <c r="BZ523" s="48"/>
      <c r="CA523" s="48"/>
      <c r="CB523" s="48"/>
      <c r="CC523" s="48"/>
      <c r="CD523" s="48"/>
      <c r="CE523" s="48"/>
      <c r="CF523" s="48"/>
      <c r="CG523" s="48"/>
      <c r="CH523" s="48"/>
      <c r="CI523" s="98"/>
      <c r="CJ523" s="98"/>
      <c r="CK523" s="49">
        <f t="shared" si="124"/>
        <v>114.92275431015554</v>
      </c>
      <c r="CL523" s="229"/>
      <c r="CM523" s="229"/>
      <c r="CN523" s="229"/>
      <c r="CO523" s="47" t="s">
        <v>2488</v>
      </c>
      <c r="CP523" s="500" t="s">
        <v>2489</v>
      </c>
      <c r="CQ523" s="224">
        <v>-0.58335453278018778</v>
      </c>
      <c r="CR523" s="224">
        <f>10^(CJ523-CQ523)</f>
        <v>3.8313738678771547</v>
      </c>
      <c r="CS523" s="230" t="s">
        <v>539</v>
      </c>
      <c r="CT523" s="230"/>
      <c r="CU523" s="230"/>
      <c r="CV523" s="335">
        <f t="shared" si="125"/>
        <v>806.76390860978438</v>
      </c>
      <c r="CW523" s="230">
        <f t="shared" si="121"/>
        <v>1</v>
      </c>
      <c r="CX523" s="336"/>
      <c r="CY523" s="230" t="s">
        <v>5921</v>
      </c>
    </row>
    <row r="524" spans="1:103" ht="11.25" customHeight="1" x14ac:dyDescent="0.2">
      <c r="A524" s="72">
        <v>836</v>
      </c>
      <c r="B524" s="224">
        <v>1218</v>
      </c>
      <c r="C524" s="46" t="s">
        <v>7037</v>
      </c>
      <c r="D524" s="46"/>
      <c r="E524" s="114"/>
      <c r="F524" s="114" t="s">
        <v>3363</v>
      </c>
      <c r="G524" s="225">
        <v>88120</v>
      </c>
      <c r="H524" s="47" t="s">
        <v>3364</v>
      </c>
      <c r="I524" s="47" t="s">
        <v>3364</v>
      </c>
      <c r="J524" s="47" t="s">
        <v>3365</v>
      </c>
      <c r="K524" s="47" t="s">
        <v>471</v>
      </c>
      <c r="L524" s="47"/>
      <c r="M524" s="47"/>
      <c r="N524" s="47"/>
      <c r="O524" s="47"/>
      <c r="P524" s="53"/>
      <c r="Q524" s="53"/>
      <c r="R524" s="53"/>
      <c r="S524" s="53"/>
      <c r="T524" s="48">
        <v>111.14</v>
      </c>
      <c r="U524" s="98"/>
      <c r="V524" s="98">
        <v>52090</v>
      </c>
      <c r="W524" s="98">
        <v>14651.105392315907</v>
      </c>
      <c r="X524" s="98">
        <v>14651.105392315907</v>
      </c>
      <c r="Y524" s="233">
        <v>7.01</v>
      </c>
      <c r="Z524" s="48">
        <v>0.25</v>
      </c>
      <c r="AA524" s="48">
        <v>0.37</v>
      </c>
      <c r="AB524" s="48">
        <v>0.39</v>
      </c>
      <c r="AC524" s="48">
        <v>0.75680000000000003</v>
      </c>
      <c r="AD524" s="48">
        <v>0.38</v>
      </c>
      <c r="AE524" s="48">
        <v>0.37</v>
      </c>
      <c r="AF524" s="48">
        <f t="shared" si="126"/>
        <v>0.37</v>
      </c>
      <c r="AG524" s="49">
        <v>0.37</v>
      </c>
      <c r="AH524" s="98">
        <v>5.5299999999999999E-8</v>
      </c>
      <c r="AI524" s="98"/>
      <c r="AJ524" s="483">
        <f t="shared" si="128"/>
        <v>-5.6458411950079537</v>
      </c>
      <c r="AK524" s="483"/>
      <c r="AL524" s="483">
        <f t="shared" si="127"/>
        <v>-5.6458411950079537</v>
      </c>
      <c r="AM524" s="483">
        <v>-7.0418400000000005</v>
      </c>
      <c r="AN524" s="226">
        <v>-7.35</v>
      </c>
      <c r="AO524" s="484"/>
      <c r="AP524" s="484">
        <v>-0.34</v>
      </c>
      <c r="AQ524" s="48" t="s">
        <v>6311</v>
      </c>
      <c r="AR524" s="48" t="s">
        <v>6311</v>
      </c>
      <c r="AS524" s="227"/>
      <c r="AT524" s="50" t="s">
        <v>266</v>
      </c>
      <c r="AU524" s="48">
        <v>6</v>
      </c>
      <c r="AV524" s="48">
        <v>120</v>
      </c>
      <c r="AW524" s="48">
        <v>114</v>
      </c>
      <c r="AX524" s="48">
        <v>28</v>
      </c>
      <c r="AY524" s="48" t="s">
        <v>8728</v>
      </c>
      <c r="AZ524" s="48" t="s">
        <v>1563</v>
      </c>
      <c r="BA524" s="48">
        <v>32</v>
      </c>
      <c r="BB524" s="47" t="s">
        <v>2485</v>
      </c>
      <c r="BC524" s="47" t="s">
        <v>8726</v>
      </c>
      <c r="BD524" s="47" t="s">
        <v>8374</v>
      </c>
      <c r="BE524" s="48" t="s">
        <v>2449</v>
      </c>
      <c r="BF524" s="48" t="s">
        <v>272</v>
      </c>
      <c r="BG524" s="48" t="s">
        <v>272</v>
      </c>
      <c r="BH524" s="48" t="s">
        <v>2486</v>
      </c>
      <c r="BI524" s="98">
        <v>7.1129599999999993E-4</v>
      </c>
      <c r="BJ524" s="98">
        <v>7.1129600000000002</v>
      </c>
      <c r="BK524" s="48"/>
      <c r="BL524" s="487">
        <v>3405.2217011758307</v>
      </c>
      <c r="BM524" s="47" t="s">
        <v>2487</v>
      </c>
      <c r="BN524" s="48"/>
      <c r="BO524" s="48"/>
      <c r="BP524" s="48"/>
      <c r="BQ524" s="48"/>
      <c r="BR524" s="47" t="e">
        <v>#VALUE!</v>
      </c>
      <c r="BS524" s="48"/>
      <c r="BT524" s="48"/>
      <c r="BU524" s="228">
        <v>7.1129599999999993E-4</v>
      </c>
      <c r="BV524" s="48"/>
      <c r="BW524" s="48"/>
      <c r="BX524" s="48"/>
      <c r="BY524" s="48"/>
      <c r="BZ524" s="48"/>
      <c r="CA524" s="48"/>
      <c r="CB524" s="48"/>
      <c r="CC524" s="48"/>
      <c r="CD524" s="48"/>
      <c r="CE524" s="48"/>
      <c r="CF524" s="48"/>
      <c r="CG524" s="48"/>
      <c r="CH524" s="48"/>
      <c r="CI524" s="98"/>
      <c r="CJ524" s="98"/>
      <c r="CK524" s="49">
        <f t="shared" si="124"/>
        <v>478.73483067187652</v>
      </c>
      <c r="CL524" s="229"/>
      <c r="CM524" s="229"/>
      <c r="CN524" s="229"/>
      <c r="CO524" s="47" t="s">
        <v>2488</v>
      </c>
      <c r="CP524" s="500" t="s">
        <v>2489</v>
      </c>
      <c r="CQ524" s="224" t="s">
        <v>272</v>
      </c>
      <c r="CR524" s="224"/>
      <c r="CS524" s="230" t="s">
        <v>539</v>
      </c>
      <c r="CT524" s="230"/>
      <c r="CU524" s="230"/>
      <c r="CV524" s="335">
        <f t="shared" si="125"/>
        <v>2059.7761539943858</v>
      </c>
      <c r="CW524" s="230">
        <f t="shared" si="121"/>
        <v>1</v>
      </c>
      <c r="CX524" s="336"/>
      <c r="CY524" s="230" t="s">
        <v>6351</v>
      </c>
    </row>
    <row r="525" spans="1:103" ht="11.25" customHeight="1" x14ac:dyDescent="0.2">
      <c r="A525" s="72">
        <v>837</v>
      </c>
      <c r="B525" s="224">
        <v>1406</v>
      </c>
      <c r="C525" s="46" t="s">
        <v>7038</v>
      </c>
      <c r="D525" s="46"/>
      <c r="E525" s="114"/>
      <c r="F525" s="114" t="s">
        <v>4328</v>
      </c>
      <c r="G525" s="225">
        <v>88186</v>
      </c>
      <c r="H525" s="47" t="s">
        <v>4329</v>
      </c>
      <c r="I525" s="47" t="s">
        <v>4329</v>
      </c>
      <c r="J525" s="47" t="s">
        <v>4330</v>
      </c>
      <c r="K525" s="47" t="s">
        <v>349</v>
      </c>
      <c r="L525" s="47"/>
      <c r="M525" s="47"/>
      <c r="N525" s="47"/>
      <c r="O525" s="47"/>
      <c r="P525" s="53"/>
      <c r="Q525" s="53"/>
      <c r="R525" s="53"/>
      <c r="S525" s="53"/>
      <c r="T525" s="48">
        <v>150.22</v>
      </c>
      <c r="U525" s="98">
        <v>700</v>
      </c>
      <c r="V525" s="98">
        <v>428.9</v>
      </c>
      <c r="W525" s="98">
        <v>1193.2398742028151</v>
      </c>
      <c r="X525" s="98">
        <v>700</v>
      </c>
      <c r="Y525" s="233">
        <v>6.67</v>
      </c>
      <c r="Z525" s="48">
        <v>3.42</v>
      </c>
      <c r="AA525" s="48">
        <v>3.31</v>
      </c>
      <c r="AB525" s="48">
        <v>3.4</v>
      </c>
      <c r="AC525" s="48">
        <v>0.93430000000000002</v>
      </c>
      <c r="AD525" s="48">
        <v>3.36</v>
      </c>
      <c r="AE525" s="48">
        <v>3.17</v>
      </c>
      <c r="AF525" s="48">
        <f t="shared" si="126"/>
        <v>3.31</v>
      </c>
      <c r="AG525" s="49">
        <v>3.11</v>
      </c>
      <c r="AH525" s="98">
        <v>1.4500000000000001E-6</v>
      </c>
      <c r="AI525" s="98">
        <v>2.5400000000000001E-5</v>
      </c>
      <c r="AJ525" s="483">
        <f t="shared" si="128"/>
        <v>-4.2271983240776771</v>
      </c>
      <c r="AK525" s="483">
        <f>LOG10(AI525*1000/(0.08206*298.15))</f>
        <v>-2.9837326096927139</v>
      </c>
      <c r="AL525" s="483">
        <f t="shared" si="127"/>
        <v>-2.9837326096927139</v>
      </c>
      <c r="AM525" s="483">
        <v>-6.7175700000000003</v>
      </c>
      <c r="AN525" s="226">
        <v>-3.78</v>
      </c>
      <c r="AO525" s="484">
        <v>11.34</v>
      </c>
      <c r="AP525" s="484"/>
      <c r="AQ525" s="48" t="s">
        <v>6311</v>
      </c>
      <c r="AR525" s="48" t="s">
        <v>6311</v>
      </c>
      <c r="AS525" s="227"/>
      <c r="AT525" s="50" t="s">
        <v>266</v>
      </c>
      <c r="AU525" s="48">
        <v>6</v>
      </c>
      <c r="AV525" s="48">
        <v>120</v>
      </c>
      <c r="AW525" s="48">
        <v>114</v>
      </c>
      <c r="AX525" s="48">
        <v>28</v>
      </c>
      <c r="AY525" s="48" t="s">
        <v>8728</v>
      </c>
      <c r="AZ525" s="48" t="s">
        <v>1563</v>
      </c>
      <c r="BA525" s="48">
        <v>32</v>
      </c>
      <c r="BB525" s="47" t="s">
        <v>2485</v>
      </c>
      <c r="BC525" s="47" t="s">
        <v>8726</v>
      </c>
      <c r="BD525" s="47" t="s">
        <v>8374</v>
      </c>
      <c r="BE525" s="48" t="s">
        <v>2449</v>
      </c>
      <c r="BF525" s="48" t="s">
        <v>272</v>
      </c>
      <c r="BG525" s="48" t="s">
        <v>272</v>
      </c>
      <c r="BH525" s="48" t="s">
        <v>2486</v>
      </c>
      <c r="BI525" s="98">
        <v>9.6140799999999997E-4</v>
      </c>
      <c r="BJ525" s="98">
        <v>9.6140799999999995</v>
      </c>
      <c r="BK525" s="48"/>
      <c r="BL525" s="487">
        <v>6.5467500114518993</v>
      </c>
      <c r="BM525" s="47" t="s">
        <v>2487</v>
      </c>
      <c r="BN525" s="48"/>
      <c r="BO525" s="48"/>
      <c r="BP525" s="48"/>
      <c r="BQ525" s="48"/>
      <c r="BR525" s="47" t="e">
        <v>#VALUE!</v>
      </c>
      <c r="BS525" s="48"/>
      <c r="BT525" s="48"/>
      <c r="BU525" s="228"/>
      <c r="BV525" s="48"/>
      <c r="BW525" s="48"/>
      <c r="BX525" s="48"/>
      <c r="BY525" s="48"/>
      <c r="BZ525" s="48"/>
      <c r="CA525" s="48"/>
      <c r="CB525" s="48"/>
      <c r="CC525" s="48"/>
      <c r="CD525" s="48"/>
      <c r="CE525" s="48"/>
      <c r="CF525" s="48"/>
      <c r="CG525" s="48"/>
      <c r="CH525" s="48"/>
      <c r="CI525" s="98"/>
      <c r="CJ525" s="98"/>
      <c r="CK525" s="49">
        <f t="shared" si="124"/>
        <v>0.68095439308305106</v>
      </c>
      <c r="CL525" s="229"/>
      <c r="CM525" s="229"/>
      <c r="CN525" s="229"/>
      <c r="CO525" s="47" t="s">
        <v>2488</v>
      </c>
      <c r="CP525" s="500" t="s">
        <v>2489</v>
      </c>
      <c r="CQ525" s="224" t="s">
        <v>272</v>
      </c>
      <c r="CR525" s="224"/>
      <c r="CS525" s="230" t="s">
        <v>539</v>
      </c>
      <c r="CT525" s="230"/>
      <c r="CU525" s="230"/>
      <c r="CV525" s="335">
        <f t="shared" si="125"/>
        <v>72.809878844361606</v>
      </c>
      <c r="CW525" s="230">
        <f t="shared" si="121"/>
        <v>1</v>
      </c>
      <c r="CX525" s="336"/>
      <c r="CY525" s="230" t="s">
        <v>6351</v>
      </c>
    </row>
    <row r="526" spans="1:103" ht="11.25" customHeight="1" x14ac:dyDescent="0.2">
      <c r="A526" s="72">
        <v>838</v>
      </c>
      <c r="B526" s="224">
        <v>960</v>
      </c>
      <c r="C526" s="46" t="s">
        <v>7039</v>
      </c>
      <c r="D526" s="46"/>
      <c r="E526" s="114"/>
      <c r="F526" s="114" t="s">
        <v>2737</v>
      </c>
      <c r="G526" s="225">
        <v>88608</v>
      </c>
      <c r="H526" s="47" t="s">
        <v>2738</v>
      </c>
      <c r="I526" s="47" t="s">
        <v>2738</v>
      </c>
      <c r="J526" s="47" t="s">
        <v>2739</v>
      </c>
      <c r="K526" s="47" t="s">
        <v>349</v>
      </c>
      <c r="L526" s="47"/>
      <c r="M526" s="47"/>
      <c r="N526" s="47"/>
      <c r="O526" s="47"/>
      <c r="P526" s="53"/>
      <c r="Q526" s="53"/>
      <c r="R526" s="53"/>
      <c r="S526" s="53"/>
      <c r="T526" s="48">
        <v>164.24</v>
      </c>
      <c r="U526" s="98"/>
      <c r="V526" s="98">
        <v>101.3</v>
      </c>
      <c r="W526" s="98">
        <v>462.89121263087367</v>
      </c>
      <c r="X526" s="98">
        <v>462.89121263087367</v>
      </c>
      <c r="Y526" s="233">
        <v>6.85</v>
      </c>
      <c r="Z526" s="48">
        <v>3.97</v>
      </c>
      <c r="AA526" s="48"/>
      <c r="AB526" s="48">
        <v>3.69</v>
      </c>
      <c r="AC526" s="48">
        <v>0.83940000000000003</v>
      </c>
      <c r="AD526" s="48">
        <v>3.67</v>
      </c>
      <c r="AE526" s="48">
        <v>3.63</v>
      </c>
      <c r="AF526" s="48">
        <f t="shared" si="126"/>
        <v>3.67</v>
      </c>
      <c r="AG526" s="49">
        <v>3.58</v>
      </c>
      <c r="AH526" s="98">
        <v>1.5999999999999999E-6</v>
      </c>
      <c r="AI526" s="98"/>
      <c r="AJ526" s="483">
        <f t="shared" si="128"/>
        <v>-4.1844463436567274</v>
      </c>
      <c r="AK526" s="483"/>
      <c r="AL526" s="483">
        <f t="shared" si="127"/>
        <v>-4.1844463436567274</v>
      </c>
      <c r="AM526" s="483">
        <v>-6.6695399999999996</v>
      </c>
      <c r="AN526" s="226">
        <v>-3.77</v>
      </c>
      <c r="AO526" s="484">
        <v>11.45</v>
      </c>
      <c r="AP526" s="484"/>
      <c r="AQ526" s="48" t="s">
        <v>6311</v>
      </c>
      <c r="AR526" s="48" t="s">
        <v>6311</v>
      </c>
      <c r="AS526" s="227"/>
      <c r="AT526" s="50" t="s">
        <v>266</v>
      </c>
      <c r="AU526" s="48">
        <v>6</v>
      </c>
      <c r="AV526" s="48">
        <v>120</v>
      </c>
      <c r="AW526" s="48">
        <v>114</v>
      </c>
      <c r="AX526" s="48">
        <v>28</v>
      </c>
      <c r="AY526" s="48" t="s">
        <v>8728</v>
      </c>
      <c r="AZ526" s="48" t="s">
        <v>1563</v>
      </c>
      <c r="BA526" s="48">
        <v>32</v>
      </c>
      <c r="BB526" s="47" t="s">
        <v>2485</v>
      </c>
      <c r="BC526" s="47" t="s">
        <v>8726</v>
      </c>
      <c r="BD526" s="47" t="s">
        <v>8374</v>
      </c>
      <c r="BE526" s="48" t="s">
        <v>2449</v>
      </c>
      <c r="BF526" s="48" t="s">
        <v>272</v>
      </c>
      <c r="BG526" s="48" t="s">
        <v>272</v>
      </c>
      <c r="BH526" s="48" t="s">
        <v>2486</v>
      </c>
      <c r="BI526" s="98">
        <v>1.051136E-3</v>
      </c>
      <c r="BJ526" s="98">
        <v>10.511360000000002</v>
      </c>
      <c r="BK526" s="48"/>
      <c r="BL526" s="487">
        <v>2.295207404805927</v>
      </c>
      <c r="BM526" s="47" t="s">
        <v>2487</v>
      </c>
      <c r="BN526" s="48"/>
      <c r="BO526" s="48"/>
      <c r="BP526" s="48"/>
      <c r="BQ526" s="48"/>
      <c r="BR526" s="47" t="e">
        <v>#VALUE!</v>
      </c>
      <c r="BS526" s="48"/>
      <c r="BT526" s="48"/>
      <c r="BU526" s="228">
        <v>1.0511360000000001E-2</v>
      </c>
      <c r="BV526" s="48"/>
      <c r="BW526" s="48"/>
      <c r="BX526" s="48"/>
      <c r="BY526" s="48"/>
      <c r="BZ526" s="48"/>
      <c r="CA526" s="48"/>
      <c r="CB526" s="48"/>
      <c r="CC526" s="48"/>
      <c r="CD526" s="48"/>
      <c r="CE526" s="48"/>
      <c r="CF526" s="48"/>
      <c r="CG526" s="48"/>
      <c r="CH526" s="48"/>
      <c r="CI526" s="98"/>
      <c r="CJ526" s="98"/>
      <c r="CK526" s="49">
        <f t="shared" si="124"/>
        <v>0.21835494215838167</v>
      </c>
      <c r="CL526" s="229"/>
      <c r="CM526" s="229"/>
      <c r="CN526" s="229"/>
      <c r="CO526" s="47" t="s">
        <v>2488</v>
      </c>
      <c r="CP526" s="500" t="s">
        <v>2489</v>
      </c>
      <c r="CQ526" s="224" t="s">
        <v>272</v>
      </c>
      <c r="CR526" s="224"/>
      <c r="CS526" s="230" t="s">
        <v>539</v>
      </c>
      <c r="CT526" s="230"/>
      <c r="CU526" s="230"/>
      <c r="CV526" s="335">
        <f t="shared" si="125"/>
        <v>44.037233301007063</v>
      </c>
      <c r="CW526" s="230">
        <f t="shared" si="121"/>
        <v>1</v>
      </c>
      <c r="CX526" s="336"/>
      <c r="CY526" s="230" t="s">
        <v>6351</v>
      </c>
    </row>
    <row r="527" spans="1:103" ht="11.25" customHeight="1" x14ac:dyDescent="0.2">
      <c r="A527" s="72">
        <v>839</v>
      </c>
      <c r="B527" s="224">
        <v>1402</v>
      </c>
      <c r="C527" s="46" t="s">
        <v>7040</v>
      </c>
      <c r="D527" s="46"/>
      <c r="E527" s="114"/>
      <c r="F527" s="114" t="s">
        <v>4319</v>
      </c>
      <c r="G527" s="225">
        <v>88722</v>
      </c>
      <c r="H527" s="47" t="s">
        <v>4320</v>
      </c>
      <c r="I527" s="47" t="s">
        <v>4320</v>
      </c>
      <c r="J527" s="47" t="s">
        <v>4321</v>
      </c>
      <c r="K527" s="47" t="s">
        <v>426</v>
      </c>
      <c r="L527" s="47"/>
      <c r="M527" s="47"/>
      <c r="N527" s="47"/>
      <c r="O527" s="47"/>
      <c r="P527" s="53" t="s">
        <v>6184</v>
      </c>
      <c r="Q527" s="53" t="s">
        <v>6176</v>
      </c>
      <c r="R527" s="53" t="s">
        <v>6185</v>
      </c>
      <c r="S527" s="53" t="s">
        <v>6182</v>
      </c>
      <c r="T527" s="48">
        <v>137.13999999999999</v>
      </c>
      <c r="U527" s="98">
        <v>650</v>
      </c>
      <c r="V527" s="98">
        <v>380.7</v>
      </c>
      <c r="W527" s="98">
        <v>433.67475831549109</v>
      </c>
      <c r="X527" s="98">
        <v>650</v>
      </c>
      <c r="Y527" s="233">
        <v>7</v>
      </c>
      <c r="Z527" s="48">
        <v>2.36</v>
      </c>
      <c r="AA527" s="48">
        <v>2.2999999999999998</v>
      </c>
      <c r="AB527" s="48">
        <v>2.46</v>
      </c>
      <c r="AC527" s="48">
        <v>0.92769999999999997</v>
      </c>
      <c r="AD527" s="48">
        <v>2.4500000000000002</v>
      </c>
      <c r="AE527" s="48">
        <v>2.41</v>
      </c>
      <c r="AF527" s="48">
        <f t="shared" si="126"/>
        <v>2.2999999999999998</v>
      </c>
      <c r="AG527" s="49">
        <v>1.89</v>
      </c>
      <c r="AH527" s="98">
        <v>2.3499999999999999E-5</v>
      </c>
      <c r="AI527" s="98">
        <v>1.2500000000000001E-5</v>
      </c>
      <c r="AJ527" s="483">
        <f t="shared" si="128"/>
        <v>-3.0174984640409157</v>
      </c>
      <c r="AK527" s="483">
        <f>LOG10(AI527*1000/(0.08206*298.15))</f>
        <v>-3.2916563133045953</v>
      </c>
      <c r="AL527" s="483">
        <f t="shared" si="127"/>
        <v>-3.2916563133045953</v>
      </c>
      <c r="AM527" s="483">
        <v>-4.7760700000000007</v>
      </c>
      <c r="AN527" s="226">
        <v>-2.78</v>
      </c>
      <c r="AO527" s="484"/>
      <c r="AP527" s="484"/>
      <c r="AQ527" s="48" t="s">
        <v>6311</v>
      </c>
      <c r="AR527" s="48" t="s">
        <v>6311</v>
      </c>
      <c r="AS527" s="227"/>
      <c r="AT527" s="50" t="s">
        <v>266</v>
      </c>
      <c r="AU527" s="48">
        <v>6</v>
      </c>
      <c r="AV527" s="48">
        <v>120</v>
      </c>
      <c r="AW527" s="48">
        <v>114</v>
      </c>
      <c r="AX527" s="48">
        <v>28</v>
      </c>
      <c r="AY527" s="48" t="s">
        <v>8728</v>
      </c>
      <c r="AZ527" s="48" t="s">
        <v>1563</v>
      </c>
      <c r="BA527" s="48">
        <v>32</v>
      </c>
      <c r="BB527" s="47" t="s">
        <v>2485</v>
      </c>
      <c r="BC527" s="47" t="s">
        <v>8726</v>
      </c>
      <c r="BD527" s="47" t="s">
        <v>8374</v>
      </c>
      <c r="BE527" s="48" t="s">
        <v>2449</v>
      </c>
      <c r="BF527" s="48" t="s">
        <v>272</v>
      </c>
      <c r="BG527" s="48" t="s">
        <v>272</v>
      </c>
      <c r="BH527" s="48" t="s">
        <v>2486</v>
      </c>
      <c r="BI527" s="98">
        <v>8.7769599999999986E-4</v>
      </c>
      <c r="BJ527" s="98">
        <v>8.776959999999999</v>
      </c>
      <c r="BK527" s="48"/>
      <c r="BL527" s="487">
        <v>53.511625694070879</v>
      </c>
      <c r="BM527" s="47" t="s">
        <v>2487</v>
      </c>
      <c r="BN527" s="48"/>
      <c r="BO527" s="48"/>
      <c r="BP527" s="48"/>
      <c r="BQ527" s="48"/>
      <c r="BR527" s="47" t="e">
        <v>#VALUE!</v>
      </c>
      <c r="BS527" s="48"/>
      <c r="BT527" s="48"/>
      <c r="BU527" s="228"/>
      <c r="BV527" s="48"/>
      <c r="BW527" s="48"/>
      <c r="BX527" s="48"/>
      <c r="BY527" s="48"/>
      <c r="BZ527" s="48"/>
      <c r="CA527" s="48"/>
      <c r="CB527" s="48"/>
      <c r="CC527" s="48"/>
      <c r="CD527" s="48"/>
      <c r="CE527" s="48"/>
      <c r="CF527" s="48"/>
      <c r="CG527" s="48"/>
      <c r="CH527" s="48"/>
      <c r="CI527" s="98"/>
      <c r="CJ527" s="98"/>
      <c r="CK527" s="49">
        <f t="shared" si="124"/>
        <v>6.096829163408616</v>
      </c>
      <c r="CL527" s="229"/>
      <c r="CM527" s="229"/>
      <c r="CN527" s="229"/>
      <c r="CO527" s="47" t="s">
        <v>2488</v>
      </c>
      <c r="CP527" s="500" t="s">
        <v>2489</v>
      </c>
      <c r="CQ527" s="224">
        <v>1.5670263661590604</v>
      </c>
      <c r="CR527" s="224">
        <f>10^(CJ527-CQ527)</f>
        <v>2.7100271002710011E-2</v>
      </c>
      <c r="CS527" s="230" t="s">
        <v>539</v>
      </c>
      <c r="CT527" s="230"/>
      <c r="CU527" s="230"/>
      <c r="CV527" s="335">
        <f t="shared" si="125"/>
        <v>74.057532448592681</v>
      </c>
      <c r="CW527" s="230">
        <f t="shared" si="121"/>
        <v>1</v>
      </c>
      <c r="CX527" s="336"/>
      <c r="CY527" s="230" t="s">
        <v>6351</v>
      </c>
    </row>
    <row r="528" spans="1:103" ht="11.25" customHeight="1" x14ac:dyDescent="0.2">
      <c r="A528" s="72">
        <v>840</v>
      </c>
      <c r="B528" s="224">
        <v>925</v>
      </c>
      <c r="C528" s="46" t="s">
        <v>7041</v>
      </c>
      <c r="D528" s="46"/>
      <c r="E528" s="114"/>
      <c r="F528" s="114" t="s">
        <v>2641</v>
      </c>
      <c r="G528" s="225">
        <v>89725</v>
      </c>
      <c r="H528" s="47" t="s">
        <v>2642</v>
      </c>
      <c r="I528" s="47" t="s">
        <v>2642</v>
      </c>
      <c r="J528" s="47" t="s">
        <v>2643</v>
      </c>
      <c r="K528" s="47" t="s">
        <v>349</v>
      </c>
      <c r="L528" s="47"/>
      <c r="M528" s="47"/>
      <c r="N528" s="47"/>
      <c r="O528" s="47"/>
      <c r="P528" s="53"/>
      <c r="Q528" s="53"/>
      <c r="R528" s="53"/>
      <c r="S528" s="53"/>
      <c r="T528" s="48">
        <v>150.22</v>
      </c>
      <c r="U528" s="98"/>
      <c r="V528" s="98">
        <v>464</v>
      </c>
      <c r="W528" s="98">
        <v>844.74913870094178</v>
      </c>
      <c r="X528" s="98">
        <v>844.74913870094178</v>
      </c>
      <c r="Y528" s="233">
        <v>6.29</v>
      </c>
      <c r="Z528" s="48">
        <v>3.46</v>
      </c>
      <c r="AA528" s="48">
        <v>3.27</v>
      </c>
      <c r="AB528" s="48">
        <v>3.29</v>
      </c>
      <c r="AC528" s="48">
        <v>0.9214</v>
      </c>
      <c r="AD528" s="48">
        <v>3.3</v>
      </c>
      <c r="AE528" s="48">
        <v>3.35</v>
      </c>
      <c r="AF528" s="48">
        <f t="shared" si="126"/>
        <v>3.27</v>
      </c>
      <c r="AG528" s="49">
        <v>3.12</v>
      </c>
      <c r="AH528" s="98">
        <v>1.4500000000000001E-6</v>
      </c>
      <c r="AI528" s="98"/>
      <c r="AJ528" s="483">
        <f t="shared" si="128"/>
        <v>-4.2271983240776771</v>
      </c>
      <c r="AK528" s="483"/>
      <c r="AL528" s="483">
        <f t="shared" si="127"/>
        <v>-4.2271983240776771</v>
      </c>
      <c r="AM528" s="483">
        <v>-6.9180200000000003</v>
      </c>
      <c r="AN528" s="226">
        <v>-3.78</v>
      </c>
      <c r="AO528" s="484">
        <v>10.36</v>
      </c>
      <c r="AP528" s="484"/>
      <c r="AQ528" s="48" t="s">
        <v>6311</v>
      </c>
      <c r="AR528" s="48" t="s">
        <v>6311</v>
      </c>
      <c r="AS528" s="227"/>
      <c r="AT528" s="50" t="s">
        <v>266</v>
      </c>
      <c r="AU528" s="48">
        <v>6</v>
      </c>
      <c r="AV528" s="48">
        <v>120</v>
      </c>
      <c r="AW528" s="48">
        <v>114</v>
      </c>
      <c r="AX528" s="48">
        <v>28</v>
      </c>
      <c r="AY528" s="48" t="s">
        <v>8728</v>
      </c>
      <c r="AZ528" s="48" t="s">
        <v>1563</v>
      </c>
      <c r="BA528" s="48">
        <v>32</v>
      </c>
      <c r="BB528" s="47" t="s">
        <v>2485</v>
      </c>
      <c r="BC528" s="47" t="s">
        <v>8726</v>
      </c>
      <c r="BD528" s="47" t="s">
        <v>8374</v>
      </c>
      <c r="BE528" s="48" t="s">
        <v>2449</v>
      </c>
      <c r="BF528" s="48" t="s">
        <v>272</v>
      </c>
      <c r="BG528" s="48" t="s">
        <v>272</v>
      </c>
      <c r="BH528" s="48" t="s">
        <v>2486</v>
      </c>
      <c r="BI528" s="98">
        <v>9.6140799999999997E-4</v>
      </c>
      <c r="BJ528" s="98">
        <v>9.6140799999999995</v>
      </c>
      <c r="BK528" s="48"/>
      <c r="BL528" s="487">
        <v>6.0270078572185275</v>
      </c>
      <c r="BM528" s="47" t="s">
        <v>2487</v>
      </c>
      <c r="BN528" s="48"/>
      <c r="BO528" s="48"/>
      <c r="BP528" s="48"/>
      <c r="BQ528" s="48"/>
      <c r="BR528" s="47" t="e">
        <v>#VALUE!</v>
      </c>
      <c r="BS528" s="48"/>
      <c r="BT528" s="48"/>
      <c r="BU528" s="228">
        <v>9.6140799999999997E-4</v>
      </c>
      <c r="BV528" s="48"/>
      <c r="BW528" s="48"/>
      <c r="BX528" s="48"/>
      <c r="BY528" s="48"/>
      <c r="BZ528" s="48"/>
      <c r="CA528" s="48"/>
      <c r="CB528" s="48"/>
      <c r="CC528" s="48"/>
      <c r="CD528" s="48"/>
      <c r="CE528" s="48"/>
      <c r="CF528" s="48"/>
      <c r="CG528" s="48"/>
      <c r="CH528" s="48"/>
      <c r="CI528" s="98"/>
      <c r="CJ528" s="98"/>
      <c r="CK528" s="49">
        <f t="shared" si="124"/>
        <v>0.62689387411156638</v>
      </c>
      <c r="CL528" s="229"/>
      <c r="CM528" s="229"/>
      <c r="CN528" s="229"/>
      <c r="CO528" s="47" t="s">
        <v>2488</v>
      </c>
      <c r="CP528" s="500" t="s">
        <v>2489</v>
      </c>
      <c r="CQ528" s="224" t="s">
        <v>272</v>
      </c>
      <c r="CR528" s="224"/>
      <c r="CS528" s="230" t="s">
        <v>539</v>
      </c>
      <c r="CT528" s="230"/>
      <c r="CU528" s="230"/>
      <c r="CV528" s="335">
        <f t="shared" si="125"/>
        <v>87.865832060991991</v>
      </c>
      <c r="CW528" s="230">
        <f t="shared" si="121"/>
        <v>1</v>
      </c>
      <c r="CX528" s="336"/>
      <c r="CY528" s="230" t="s">
        <v>6351</v>
      </c>
    </row>
    <row r="529" spans="1:103" ht="11.25" customHeight="1" x14ac:dyDescent="0.2">
      <c r="A529" s="72">
        <v>841</v>
      </c>
      <c r="B529" s="224">
        <v>1901</v>
      </c>
      <c r="C529" s="46" t="s">
        <v>7042</v>
      </c>
      <c r="D529" s="46"/>
      <c r="E529" s="114"/>
      <c r="F529" s="114" t="s">
        <v>5363</v>
      </c>
      <c r="G529" s="225">
        <v>89838</v>
      </c>
      <c r="H529" s="47" t="s">
        <v>5364</v>
      </c>
      <c r="I529" s="47" t="s">
        <v>5364</v>
      </c>
      <c r="J529" s="47" t="s">
        <v>5365</v>
      </c>
      <c r="K529" s="47" t="s">
        <v>349</v>
      </c>
      <c r="L529" s="47"/>
      <c r="M529" s="47"/>
      <c r="N529" s="47"/>
      <c r="O529" s="47"/>
      <c r="P529" s="53"/>
      <c r="Q529" s="53"/>
      <c r="R529" s="53"/>
      <c r="S529" s="53"/>
      <c r="T529" s="48">
        <v>150.22</v>
      </c>
      <c r="U529" s="98">
        <v>900</v>
      </c>
      <c r="V529" s="98">
        <v>437.39999999999992</v>
      </c>
      <c r="W529" s="98">
        <v>844.74913870094178</v>
      </c>
      <c r="X529" s="98">
        <v>900</v>
      </c>
      <c r="Y529" s="233">
        <v>6.41</v>
      </c>
      <c r="Z529" s="48">
        <v>3.52</v>
      </c>
      <c r="AA529" s="48">
        <v>3.3</v>
      </c>
      <c r="AB529" s="48">
        <v>3.01</v>
      </c>
      <c r="AC529" s="48">
        <v>0.86939999999999995</v>
      </c>
      <c r="AD529" s="48">
        <v>3.08</v>
      </c>
      <c r="AE529" s="48">
        <v>3.28</v>
      </c>
      <c r="AF529" s="48">
        <f t="shared" si="126"/>
        <v>3.3</v>
      </c>
      <c r="AG529" s="49">
        <v>3.18</v>
      </c>
      <c r="AH529" s="98">
        <v>1.1999999999999999E-6</v>
      </c>
      <c r="AI529" s="98">
        <v>4.8299999999999997E-7</v>
      </c>
      <c r="AJ529" s="483">
        <f t="shared" si="128"/>
        <v>-4.3093850802650273</v>
      </c>
      <c r="AK529" s="483">
        <f t="shared" ref="AK529:AK534" si="130">LOG10(AI529*1000/(0.08206*298.15))</f>
        <v>-4.7046191955611398</v>
      </c>
      <c r="AL529" s="483">
        <f t="shared" si="127"/>
        <v>-4.7046191955611398</v>
      </c>
      <c r="AM529" s="483">
        <v>-6.7235699999999996</v>
      </c>
      <c r="AN529" s="226">
        <v>-3.9</v>
      </c>
      <c r="AO529" s="484">
        <v>10.59</v>
      </c>
      <c r="AP529" s="484"/>
      <c r="AQ529" s="226" t="s">
        <v>6311</v>
      </c>
      <c r="AR529" s="226" t="s">
        <v>6311</v>
      </c>
      <c r="AS529" s="224"/>
      <c r="AT529" s="50" t="s">
        <v>266</v>
      </c>
      <c r="AU529" s="48">
        <v>6</v>
      </c>
      <c r="AV529" s="48">
        <v>120</v>
      </c>
      <c r="AW529" s="48">
        <v>114</v>
      </c>
      <c r="AX529" s="48">
        <v>28</v>
      </c>
      <c r="AY529" s="48" t="s">
        <v>8728</v>
      </c>
      <c r="AZ529" s="48" t="s">
        <v>1563</v>
      </c>
      <c r="BA529" s="48">
        <v>32</v>
      </c>
      <c r="BB529" s="47" t="s">
        <v>2485</v>
      </c>
      <c r="BC529" s="47" t="s">
        <v>8726</v>
      </c>
      <c r="BD529" s="47" t="s">
        <v>8374</v>
      </c>
      <c r="BE529" s="48" t="s">
        <v>2449</v>
      </c>
      <c r="BF529" s="48" t="s">
        <v>272</v>
      </c>
      <c r="BG529" s="48" t="s">
        <v>272</v>
      </c>
      <c r="BH529" s="48" t="s">
        <v>2486</v>
      </c>
      <c r="BI529" s="98">
        <v>9.6140799999999997E-4</v>
      </c>
      <c r="BJ529" s="98">
        <v>9.6140799999999995</v>
      </c>
      <c r="BK529" s="48"/>
      <c r="BL529" s="487">
        <v>5.3237267650421307</v>
      </c>
      <c r="BM529" s="47" t="s">
        <v>2487</v>
      </c>
      <c r="BN529" s="48"/>
      <c r="BO529" s="48"/>
      <c r="BP529" s="48"/>
      <c r="BQ529" s="48"/>
      <c r="BR529" s="47" t="e">
        <v>#VALUE!</v>
      </c>
      <c r="BS529" s="48"/>
      <c r="BT529" s="48"/>
      <c r="BU529" s="228"/>
      <c r="BV529" s="48"/>
      <c r="BW529" s="48"/>
      <c r="BX529" s="48"/>
      <c r="BY529" s="48"/>
      <c r="BZ529" s="48"/>
      <c r="CA529" s="48"/>
      <c r="CB529" s="48"/>
      <c r="CC529" s="48"/>
      <c r="CD529" s="48"/>
      <c r="CE529" s="48"/>
      <c r="CF529" s="48"/>
      <c r="CG529" s="48"/>
      <c r="CH529" s="48"/>
      <c r="CI529" s="98"/>
      <c r="CJ529" s="98"/>
      <c r="CK529" s="49">
        <f t="shared" si="124"/>
        <v>0.55374271537600384</v>
      </c>
      <c r="CL529" s="229"/>
      <c r="CM529" s="229"/>
      <c r="CN529" s="229"/>
      <c r="CO529" s="47" t="s">
        <v>2488</v>
      </c>
      <c r="CP529" s="500" t="s">
        <v>2489</v>
      </c>
      <c r="CQ529" s="224" t="s">
        <v>272</v>
      </c>
      <c r="CR529" s="224"/>
      <c r="CS529" s="230" t="s">
        <v>539</v>
      </c>
      <c r="CT529" s="230"/>
      <c r="CU529" s="230"/>
      <c r="CV529" s="335">
        <f t="shared" si="125"/>
        <v>93.612701371322061</v>
      </c>
      <c r="CW529" s="230">
        <f t="shared" si="121"/>
        <v>1</v>
      </c>
      <c r="CX529" s="336"/>
      <c r="CY529" s="230" t="s">
        <v>6351</v>
      </c>
    </row>
    <row r="530" spans="1:103" ht="11.25" customHeight="1" x14ac:dyDescent="0.2">
      <c r="A530" s="72">
        <v>842</v>
      </c>
      <c r="B530" s="224">
        <v>1389</v>
      </c>
      <c r="C530" s="46" t="s">
        <v>7043</v>
      </c>
      <c r="D530" s="46"/>
      <c r="E530" s="114"/>
      <c r="F530" s="114" t="s">
        <v>4282</v>
      </c>
      <c r="G530" s="225">
        <v>90040</v>
      </c>
      <c r="H530" s="47" t="s">
        <v>4283</v>
      </c>
      <c r="I530" s="47" t="s">
        <v>4283</v>
      </c>
      <c r="J530" s="47" t="s">
        <v>4284</v>
      </c>
      <c r="K530" s="47" t="s">
        <v>1573</v>
      </c>
      <c r="L530" s="47"/>
      <c r="M530" s="47"/>
      <c r="N530" s="47"/>
      <c r="O530" s="47"/>
      <c r="P530" s="53"/>
      <c r="Q530" s="53"/>
      <c r="R530" s="53"/>
      <c r="S530" s="53"/>
      <c r="T530" s="48">
        <v>123.15</v>
      </c>
      <c r="U530" s="98">
        <v>12600</v>
      </c>
      <c r="V530" s="98">
        <v>9598</v>
      </c>
      <c r="W530" s="98">
        <v>5500.9084373391088</v>
      </c>
      <c r="X530" s="98">
        <v>12600</v>
      </c>
      <c r="Y530" s="233">
        <v>8.59</v>
      </c>
      <c r="Z530" s="48">
        <v>1.1599999999999999</v>
      </c>
      <c r="AA530" s="48">
        <v>1.18</v>
      </c>
      <c r="AB530" s="48">
        <v>1.46</v>
      </c>
      <c r="AC530" s="48">
        <v>0.87819999999999998</v>
      </c>
      <c r="AD530" s="48">
        <v>1.37</v>
      </c>
      <c r="AE530" s="48">
        <v>1.0900000000000001</v>
      </c>
      <c r="AF530" s="48">
        <f t="shared" si="126"/>
        <v>1.18</v>
      </c>
      <c r="AG530" s="49">
        <v>1.0900000000000001</v>
      </c>
      <c r="AH530" s="98">
        <v>1.1300000000000001E-7</v>
      </c>
      <c r="AI530" s="98">
        <v>9.2600000000000001E-7</v>
      </c>
      <c r="AJ530" s="483">
        <f t="shared" si="128"/>
        <v>-5.3354878828292325</v>
      </c>
      <c r="AK530" s="483">
        <f t="shared" si="130"/>
        <v>-4.4219553396307179</v>
      </c>
      <c r="AL530" s="483">
        <f t="shared" si="127"/>
        <v>-4.4219553396307179</v>
      </c>
      <c r="AM530" s="483">
        <v>-7.5309499999999989</v>
      </c>
      <c r="AN530" s="226">
        <v>-3.52</v>
      </c>
      <c r="AO530" s="484"/>
      <c r="AP530" s="484">
        <v>4.54</v>
      </c>
      <c r="AQ530" s="48" t="s">
        <v>6311</v>
      </c>
      <c r="AR530" s="48" t="s">
        <v>6311</v>
      </c>
      <c r="AS530" s="227"/>
      <c r="AT530" s="50" t="s">
        <v>266</v>
      </c>
      <c r="AU530" s="48">
        <v>6</v>
      </c>
      <c r="AV530" s="48">
        <v>120</v>
      </c>
      <c r="AW530" s="48">
        <v>114</v>
      </c>
      <c r="AX530" s="48">
        <v>28</v>
      </c>
      <c r="AY530" s="48" t="s">
        <v>8728</v>
      </c>
      <c r="AZ530" s="48" t="s">
        <v>1563</v>
      </c>
      <c r="BA530" s="48">
        <v>32</v>
      </c>
      <c r="BB530" s="47" t="s">
        <v>2485</v>
      </c>
      <c r="BC530" s="47" t="s">
        <v>8726</v>
      </c>
      <c r="BD530" s="47" t="s">
        <v>8374</v>
      </c>
      <c r="BE530" s="48" t="s">
        <v>2449</v>
      </c>
      <c r="BF530" s="48" t="s">
        <v>272</v>
      </c>
      <c r="BG530" s="48" t="s">
        <v>272</v>
      </c>
      <c r="BH530" s="48" t="s">
        <v>2486</v>
      </c>
      <c r="BI530" s="98">
        <v>7.8815999999999999E-4</v>
      </c>
      <c r="BJ530" s="98">
        <v>7.8816000000000006</v>
      </c>
      <c r="BK530" s="48"/>
      <c r="BL530" s="487">
        <v>574.69631998138857</v>
      </c>
      <c r="BM530" s="47" t="s">
        <v>2487</v>
      </c>
      <c r="BN530" s="48"/>
      <c r="BO530" s="48"/>
      <c r="BP530" s="48"/>
      <c r="BQ530" s="48"/>
      <c r="BR530" s="47" t="e">
        <v>#VALUE!</v>
      </c>
      <c r="BS530" s="48"/>
      <c r="BT530" s="48"/>
      <c r="BU530" s="228"/>
      <c r="BV530" s="48"/>
      <c r="BW530" s="48"/>
      <c r="BX530" s="48"/>
      <c r="BY530" s="48"/>
      <c r="BZ530" s="48"/>
      <c r="CA530" s="48"/>
      <c r="CB530" s="48"/>
      <c r="CC530" s="48"/>
      <c r="CD530" s="48"/>
      <c r="CE530" s="48"/>
      <c r="CF530" s="48"/>
      <c r="CG530" s="48"/>
      <c r="CH530" s="48"/>
      <c r="CI530" s="98"/>
      <c r="CJ530" s="98"/>
      <c r="CK530" s="49">
        <f t="shared" si="124"/>
        <v>72.916199754033258</v>
      </c>
      <c r="CL530" s="229"/>
      <c r="CM530" s="229"/>
      <c r="CN530" s="229"/>
      <c r="CO530" s="47" t="s">
        <v>2488</v>
      </c>
      <c r="CP530" s="500" t="s">
        <v>2489</v>
      </c>
      <c r="CQ530" s="224" t="s">
        <v>272</v>
      </c>
      <c r="CR530" s="224"/>
      <c r="CS530" s="230" t="s">
        <v>539</v>
      </c>
      <c r="CT530" s="230"/>
      <c r="CU530" s="230"/>
      <c r="CV530" s="335">
        <f t="shared" si="125"/>
        <v>1598.6601705237515</v>
      </c>
      <c r="CW530" s="230">
        <f t="shared" si="121"/>
        <v>1</v>
      </c>
      <c r="CX530" s="336"/>
      <c r="CY530" s="230" t="s">
        <v>6351</v>
      </c>
    </row>
    <row r="531" spans="1:103" ht="11.25" customHeight="1" x14ac:dyDescent="0.2">
      <c r="A531" s="72">
        <v>843</v>
      </c>
      <c r="B531" s="224">
        <v>1354</v>
      </c>
      <c r="C531" s="46" t="s">
        <v>7044</v>
      </c>
      <c r="D531" s="46"/>
      <c r="E531" s="114"/>
      <c r="F531" s="114" t="s">
        <v>4189</v>
      </c>
      <c r="G531" s="225">
        <v>90120</v>
      </c>
      <c r="H531" s="47" t="s">
        <v>4190</v>
      </c>
      <c r="I531" s="47" t="s">
        <v>4190</v>
      </c>
      <c r="J531" s="47" t="s">
        <v>4191</v>
      </c>
      <c r="K531" s="47" t="s">
        <v>426</v>
      </c>
      <c r="L531" s="47" t="s">
        <v>5527</v>
      </c>
      <c r="M531" s="47" t="s">
        <v>5960</v>
      </c>
      <c r="N531" s="47"/>
      <c r="O531" s="47"/>
      <c r="P531" s="53"/>
      <c r="Q531" s="53"/>
      <c r="R531" s="53"/>
      <c r="S531" s="53"/>
      <c r="T531" s="48">
        <v>142.19999999999999</v>
      </c>
      <c r="U531" s="98">
        <v>25.000000000000004</v>
      </c>
      <c r="V531" s="98">
        <v>40.619999999999997</v>
      </c>
      <c r="W531" s="98">
        <v>35.719025056066187</v>
      </c>
      <c r="X531" s="98">
        <v>25.000000000000004</v>
      </c>
      <c r="Y531" s="233">
        <v>7</v>
      </c>
      <c r="Z531" s="48">
        <v>3.72</v>
      </c>
      <c r="AA531" s="48">
        <v>3.87</v>
      </c>
      <c r="AB531" s="48">
        <v>3.94</v>
      </c>
      <c r="AC531" s="48">
        <v>0.89700000000000002</v>
      </c>
      <c r="AD531" s="48">
        <v>3.93</v>
      </c>
      <c r="AE531" s="48">
        <v>3.91</v>
      </c>
      <c r="AF531" s="48">
        <f t="shared" si="126"/>
        <v>3.87</v>
      </c>
      <c r="AG531" s="49">
        <v>3.41</v>
      </c>
      <c r="AH531" s="98">
        <v>5.8E-4</v>
      </c>
      <c r="AI531" s="98">
        <v>5.1400000000000003E-4</v>
      </c>
      <c r="AJ531" s="483">
        <f t="shared" si="128"/>
        <v>-1.6251383327497146</v>
      </c>
      <c r="AK531" s="483">
        <f t="shared" si="130"/>
        <v>-1.6776032073173761</v>
      </c>
      <c r="AL531" s="483">
        <f t="shared" si="127"/>
        <v>-1.6776032073173761</v>
      </c>
      <c r="AM531" s="483">
        <v>-4.4846599999999999</v>
      </c>
      <c r="AN531" s="226">
        <v>-1.85</v>
      </c>
      <c r="AO531" s="484"/>
      <c r="AP531" s="484"/>
      <c r="AQ531" s="48" t="s">
        <v>6311</v>
      </c>
      <c r="AR531" s="48" t="s">
        <v>6311</v>
      </c>
      <c r="AS531" s="227"/>
      <c r="AT531" s="50" t="s">
        <v>266</v>
      </c>
      <c r="AU531" s="48">
        <v>6</v>
      </c>
      <c r="AV531" s="48">
        <v>120</v>
      </c>
      <c r="AW531" s="48">
        <v>114</v>
      </c>
      <c r="AX531" s="48">
        <v>28</v>
      </c>
      <c r="AY531" s="48" t="s">
        <v>8728</v>
      </c>
      <c r="AZ531" s="48" t="s">
        <v>1563</v>
      </c>
      <c r="BA531" s="48">
        <v>32</v>
      </c>
      <c r="BB531" s="47" t="s">
        <v>2485</v>
      </c>
      <c r="BC531" s="47" t="s">
        <v>8726</v>
      </c>
      <c r="BD531" s="47" t="s">
        <v>8374</v>
      </c>
      <c r="BE531" s="48" t="s">
        <v>2449</v>
      </c>
      <c r="BF531" s="48" t="s">
        <v>272</v>
      </c>
      <c r="BG531" s="48" t="s">
        <v>272</v>
      </c>
      <c r="BH531" s="48" t="s">
        <v>2486</v>
      </c>
      <c r="BI531" s="98">
        <v>9.1007999999999985E-4</v>
      </c>
      <c r="BJ531" s="98">
        <v>9.1007999999999996</v>
      </c>
      <c r="BK531" s="48"/>
      <c r="BL531" s="487">
        <v>3.3324803432595478</v>
      </c>
      <c r="BM531" s="47" t="s">
        <v>2487</v>
      </c>
      <c r="BN531" s="48"/>
      <c r="BO531" s="48"/>
      <c r="BP531" s="48"/>
      <c r="BQ531" s="48"/>
      <c r="BR531" s="47" t="e">
        <v>#VALUE!</v>
      </c>
      <c r="BS531" s="48"/>
      <c r="BT531" s="48"/>
      <c r="BU531" s="228"/>
      <c r="BV531" s="48"/>
      <c r="BW531" s="48"/>
      <c r="BX531" s="48"/>
      <c r="BY531" s="48"/>
      <c r="BZ531" s="48"/>
      <c r="CA531" s="48"/>
      <c r="CB531" s="48"/>
      <c r="CC531" s="48"/>
      <c r="CD531" s="48"/>
      <c r="CE531" s="48"/>
      <c r="CF531" s="48"/>
      <c r="CG531" s="48"/>
      <c r="CH531" s="48"/>
      <c r="CI531" s="98"/>
      <c r="CJ531" s="98"/>
      <c r="CK531" s="49">
        <f t="shared" si="124"/>
        <v>0.36617443996786525</v>
      </c>
      <c r="CL531" s="229"/>
      <c r="CM531" s="229"/>
      <c r="CN531" s="229"/>
      <c r="CO531" s="47" t="s">
        <v>2488</v>
      </c>
      <c r="CP531" s="500" t="s">
        <v>2489</v>
      </c>
      <c r="CQ531" s="224">
        <v>0.95279244304409216</v>
      </c>
      <c r="CR531" s="224">
        <f>10^(CJ531-CQ531)</f>
        <v>0.11148272017837232</v>
      </c>
      <c r="CS531" s="230" t="s">
        <v>539</v>
      </c>
      <c r="CT531" s="230"/>
      <c r="CU531" s="230"/>
      <c r="CV531" s="335">
        <f t="shared" si="125"/>
        <v>2.7470112517580878</v>
      </c>
      <c r="CW531" s="230">
        <f t="shared" si="121"/>
        <v>1</v>
      </c>
      <c r="CX531" s="336"/>
      <c r="CY531" s="230" t="s">
        <v>6351</v>
      </c>
    </row>
    <row r="532" spans="1:103" ht="11.25" customHeight="1" x14ac:dyDescent="0.2">
      <c r="A532" s="72">
        <v>844</v>
      </c>
      <c r="B532" s="224">
        <v>959</v>
      </c>
      <c r="C532" s="46" t="s">
        <v>905</v>
      </c>
      <c r="D532" s="46"/>
      <c r="E532" s="114"/>
      <c r="F532" s="114" t="s">
        <v>906</v>
      </c>
      <c r="G532" s="225">
        <v>90437</v>
      </c>
      <c r="H532" s="47" t="s">
        <v>907</v>
      </c>
      <c r="I532" s="47" t="s">
        <v>907</v>
      </c>
      <c r="J532" s="47" t="s">
        <v>908</v>
      </c>
      <c r="K532" s="47" t="s">
        <v>349</v>
      </c>
      <c r="L532" s="47" t="s">
        <v>6111</v>
      </c>
      <c r="M532" s="47" t="s">
        <v>6082</v>
      </c>
      <c r="N532" s="47" t="s">
        <v>6082</v>
      </c>
      <c r="O532" s="47" t="s">
        <v>6083</v>
      </c>
      <c r="P532" s="53"/>
      <c r="Q532" s="53" t="s">
        <v>6173</v>
      </c>
      <c r="R532" s="53" t="s">
        <v>6185</v>
      </c>
      <c r="S532" s="53" t="s">
        <v>6176</v>
      </c>
      <c r="T532" s="48">
        <v>170.21</v>
      </c>
      <c r="U532" s="98">
        <v>700</v>
      </c>
      <c r="V532" s="98">
        <v>535.79999999999995</v>
      </c>
      <c r="W532" s="98">
        <v>251.75903875011045</v>
      </c>
      <c r="X532" s="98">
        <v>700</v>
      </c>
      <c r="Y532" s="233">
        <v>6.4</v>
      </c>
      <c r="Z532" s="48">
        <v>3.28</v>
      </c>
      <c r="AA532" s="48">
        <v>3.09</v>
      </c>
      <c r="AB532" s="48">
        <v>3.12</v>
      </c>
      <c r="AC532" s="48">
        <v>0.95399999999999996</v>
      </c>
      <c r="AD532" s="48">
        <v>3.08</v>
      </c>
      <c r="AE532" s="48">
        <v>2.94</v>
      </c>
      <c r="AF532" s="48">
        <f t="shared" si="126"/>
        <v>3.09</v>
      </c>
      <c r="AG532" s="49">
        <v>3.16</v>
      </c>
      <c r="AH532" s="98">
        <v>4.3000000000000001E-8</v>
      </c>
      <c r="AI532" s="98">
        <v>1.0499999999999999E-6</v>
      </c>
      <c r="AJ532" s="483">
        <f t="shared" si="128"/>
        <v>-5.7550978707330653</v>
      </c>
      <c r="AK532" s="483">
        <f t="shared" si="130"/>
        <v>-4.3673770272427141</v>
      </c>
      <c r="AL532" s="483">
        <f t="shared" si="127"/>
        <v>-4.3673770272427141</v>
      </c>
      <c r="AM532" s="483">
        <v>-9.6377500000000005</v>
      </c>
      <c r="AN532" s="226">
        <v>-5.99</v>
      </c>
      <c r="AO532" s="484">
        <v>10</v>
      </c>
      <c r="AP532" s="484"/>
      <c r="AQ532" s="48" t="s">
        <v>6311</v>
      </c>
      <c r="AR532" s="48" t="s">
        <v>6311</v>
      </c>
      <c r="AS532" s="227"/>
      <c r="AT532" s="50" t="s">
        <v>266</v>
      </c>
      <c r="AU532" s="48">
        <v>6</v>
      </c>
      <c r="AV532" s="48">
        <v>120</v>
      </c>
      <c r="AW532" s="48">
        <v>114</v>
      </c>
      <c r="AX532" s="48">
        <v>28</v>
      </c>
      <c r="AY532" s="48" t="s">
        <v>8728</v>
      </c>
      <c r="AZ532" s="48" t="s">
        <v>1563</v>
      </c>
      <c r="BA532" s="48">
        <v>32</v>
      </c>
      <c r="BB532" s="47" t="s">
        <v>2485</v>
      </c>
      <c r="BC532" s="47" t="s">
        <v>8726</v>
      </c>
      <c r="BD532" s="47" t="s">
        <v>8374</v>
      </c>
      <c r="BE532" s="48" t="s">
        <v>2449</v>
      </c>
      <c r="BF532" s="48" t="s">
        <v>272</v>
      </c>
      <c r="BG532" s="48" t="s">
        <v>272</v>
      </c>
      <c r="BH532" s="48" t="s">
        <v>2486</v>
      </c>
      <c r="BI532" s="98">
        <v>1.0893439999999999E-3</v>
      </c>
      <c r="BJ532" s="98">
        <v>10.89344</v>
      </c>
      <c r="BK532" s="48"/>
      <c r="BL532" s="487">
        <v>9.9087089434368956</v>
      </c>
      <c r="BM532" s="47" t="s">
        <v>2487</v>
      </c>
      <c r="BN532" s="48"/>
      <c r="BO532" s="48"/>
      <c r="BP532" s="48"/>
      <c r="BQ532" s="48"/>
      <c r="BR532" s="47" t="e">
        <v>#VALUE!</v>
      </c>
      <c r="BS532" s="48"/>
      <c r="BT532" s="48"/>
      <c r="BU532" s="228">
        <v>10.89344</v>
      </c>
      <c r="BV532" s="48"/>
      <c r="BW532" s="48"/>
      <c r="BX532" s="48"/>
      <c r="BY532" s="48"/>
      <c r="BZ532" s="48"/>
      <c r="CA532" s="48"/>
      <c r="CB532" s="48"/>
      <c r="CC532" s="48"/>
      <c r="CD532" s="48"/>
      <c r="CE532" s="48"/>
      <c r="CF532" s="48"/>
      <c r="CG532" s="48"/>
      <c r="CH532" s="48"/>
      <c r="CI532" s="98"/>
      <c r="CJ532" s="98"/>
      <c r="CK532" s="49">
        <f t="shared" si="124"/>
        <v>0.9096032973456406</v>
      </c>
      <c r="CL532" s="229"/>
      <c r="CM532" s="229">
        <v>0.52177937345736614</v>
      </c>
      <c r="CN532" s="229">
        <f>BJ532/(10^CM532)</f>
        <v>3.276315166529264</v>
      </c>
      <c r="CO532" s="47" t="s">
        <v>2488</v>
      </c>
      <c r="CP532" s="500" t="s">
        <v>2489</v>
      </c>
      <c r="CQ532" s="224">
        <v>0.64792666164159751</v>
      </c>
      <c r="CR532" s="224">
        <f>10^(CJ532-CQ532)</f>
        <v>0.22494344308326483</v>
      </c>
      <c r="CS532" s="230" t="s">
        <v>539</v>
      </c>
      <c r="CT532" s="230"/>
      <c r="CU532" s="230"/>
      <c r="CV532" s="335">
        <f t="shared" si="125"/>
        <v>64.258856706421483</v>
      </c>
      <c r="CW532" s="230">
        <f t="shared" si="121"/>
        <v>1</v>
      </c>
      <c r="CX532" s="336"/>
      <c r="CY532" s="230" t="s">
        <v>6351</v>
      </c>
    </row>
    <row r="533" spans="1:103" ht="11.25" customHeight="1" x14ac:dyDescent="0.2">
      <c r="A533" s="72">
        <v>845</v>
      </c>
      <c r="B533" s="224">
        <v>1772</v>
      </c>
      <c r="C533" s="46" t="s">
        <v>1816</v>
      </c>
      <c r="D533" s="46"/>
      <c r="E533" s="114"/>
      <c r="F533" s="114" t="s">
        <v>1817</v>
      </c>
      <c r="G533" s="225">
        <v>91203</v>
      </c>
      <c r="H533" s="47" t="s">
        <v>1818</v>
      </c>
      <c r="I533" s="47" t="s">
        <v>1818</v>
      </c>
      <c r="J533" s="47" t="s">
        <v>1819</v>
      </c>
      <c r="K533" s="47" t="s">
        <v>426</v>
      </c>
      <c r="L533" s="47" t="s">
        <v>6161</v>
      </c>
      <c r="M533" s="47" t="s">
        <v>866</v>
      </c>
      <c r="N533" s="47" t="s">
        <v>6082</v>
      </c>
      <c r="O533" s="47" t="s">
        <v>6086</v>
      </c>
      <c r="P533" s="53" t="s">
        <v>6183</v>
      </c>
      <c r="Q533" s="53" t="s">
        <v>6173</v>
      </c>
      <c r="R533" s="53" t="s">
        <v>6185</v>
      </c>
      <c r="S533" s="53" t="s">
        <v>6176</v>
      </c>
      <c r="T533" s="48">
        <v>128.16999999999999</v>
      </c>
      <c r="U533" s="98">
        <v>31</v>
      </c>
      <c r="V533" s="98">
        <v>142.1</v>
      </c>
      <c r="W533" s="98">
        <v>119.61520373315027</v>
      </c>
      <c r="X533" s="98">
        <v>31</v>
      </c>
      <c r="Y533" s="233">
        <v>7</v>
      </c>
      <c r="Z533" s="48">
        <v>3.17</v>
      </c>
      <c r="AA533" s="48">
        <v>3.3</v>
      </c>
      <c r="AB533" s="48">
        <v>3.34</v>
      </c>
      <c r="AC533" s="48">
        <v>0.91310000000000002</v>
      </c>
      <c r="AD533" s="48">
        <v>3.37</v>
      </c>
      <c r="AE533" s="48">
        <v>3.45</v>
      </c>
      <c r="AF533" s="48">
        <f t="shared" si="126"/>
        <v>3.3</v>
      </c>
      <c r="AG533" s="49">
        <v>2.95</v>
      </c>
      <c r="AH533" s="98">
        <v>5.2599999999999999E-4</v>
      </c>
      <c r="AI533" s="98">
        <v>4.4000000000000002E-4</v>
      </c>
      <c r="AJ533" s="483">
        <f t="shared" si="128"/>
        <v>-1.6675805821589127</v>
      </c>
      <c r="AK533" s="483">
        <f t="shared" si="130"/>
        <v>-1.7451136498264643</v>
      </c>
      <c r="AL533" s="483">
        <f t="shared" si="127"/>
        <v>-1.7451136498264643</v>
      </c>
      <c r="AM533" s="483">
        <v>-4.5244700000000009</v>
      </c>
      <c r="AN533" s="226">
        <v>-1.86</v>
      </c>
      <c r="AO533" s="484"/>
      <c r="AP533" s="484"/>
      <c r="AQ533" s="226" t="s">
        <v>6311</v>
      </c>
      <c r="AR533" s="226" t="s">
        <v>6311</v>
      </c>
      <c r="AS533" s="224"/>
      <c r="AT533" s="50" t="s">
        <v>266</v>
      </c>
      <c r="AU533" s="48">
        <v>6</v>
      </c>
      <c r="AV533" s="48">
        <v>120</v>
      </c>
      <c r="AW533" s="48">
        <v>114</v>
      </c>
      <c r="AX533" s="48">
        <v>28</v>
      </c>
      <c r="AY533" s="48" t="s">
        <v>8728</v>
      </c>
      <c r="AZ533" s="48" t="s">
        <v>1563</v>
      </c>
      <c r="BA533" s="48">
        <v>32</v>
      </c>
      <c r="BB533" s="47" t="s">
        <v>2485</v>
      </c>
      <c r="BC533" s="47" t="s">
        <v>8726</v>
      </c>
      <c r="BD533" s="47" t="s">
        <v>8374</v>
      </c>
      <c r="BE533" s="48" t="s">
        <v>2449</v>
      </c>
      <c r="BF533" s="48" t="s">
        <v>272</v>
      </c>
      <c r="BG533" s="48" t="s">
        <v>272</v>
      </c>
      <c r="BH533" s="48" t="s">
        <v>2486</v>
      </c>
      <c r="BI533" s="98">
        <v>8.2028799999999985E-4</v>
      </c>
      <c r="BJ533" s="98">
        <v>8.2028799999999986</v>
      </c>
      <c r="BK533" s="48"/>
      <c r="BL533" s="487">
        <v>9.3671911853439802</v>
      </c>
      <c r="BM533" s="47" t="s">
        <v>2487</v>
      </c>
      <c r="BN533" s="48"/>
      <c r="BO533" s="48"/>
      <c r="BP533" s="48"/>
      <c r="BQ533" s="48"/>
      <c r="BR533" s="47" t="e">
        <v>#VALUE!</v>
      </c>
      <c r="BS533" s="48"/>
      <c r="BT533" s="48"/>
      <c r="BU533" s="228"/>
      <c r="BV533" s="48"/>
      <c r="BW533" s="48"/>
      <c r="BX533" s="48"/>
      <c r="BY533" s="48"/>
      <c r="BZ533" s="48"/>
      <c r="CA533" s="48"/>
      <c r="CB533" s="48"/>
      <c r="CC533" s="48"/>
      <c r="CD533" s="48"/>
      <c r="CE533" s="48"/>
      <c r="CF533" s="48"/>
      <c r="CG533" s="48"/>
      <c r="CH533" s="48"/>
      <c r="CI533" s="98"/>
      <c r="CJ533" s="98"/>
      <c r="CK533" s="49">
        <f t="shared" si="124"/>
        <v>1.1419393170866796</v>
      </c>
      <c r="CL533" s="229"/>
      <c r="CM533" s="229"/>
      <c r="CN533" s="229"/>
      <c r="CO533" s="47" t="s">
        <v>2488</v>
      </c>
      <c r="CP533" s="500" t="s">
        <v>2489</v>
      </c>
      <c r="CQ533" s="224">
        <v>0.81042980838148881</v>
      </c>
      <c r="CR533" s="224">
        <f>10^(CJ533-CQ533)</f>
        <v>0.15472845592350723</v>
      </c>
      <c r="CS533" s="230" t="s">
        <v>539</v>
      </c>
      <c r="CT533" s="230"/>
      <c r="CU533" s="230"/>
      <c r="CV533" s="335">
        <f t="shared" si="125"/>
        <v>3.7791604899742537</v>
      </c>
      <c r="CW533" s="230">
        <f t="shared" si="121"/>
        <v>1</v>
      </c>
      <c r="CX533" s="336"/>
      <c r="CY533" s="230" t="s">
        <v>6351</v>
      </c>
    </row>
    <row r="534" spans="1:103" ht="11.25" customHeight="1" x14ac:dyDescent="0.2">
      <c r="A534" s="72">
        <v>846</v>
      </c>
      <c r="B534" s="224">
        <v>1849</v>
      </c>
      <c r="C534" s="46" t="s">
        <v>2273</v>
      </c>
      <c r="D534" s="46"/>
      <c r="E534" s="114"/>
      <c r="F534" s="114" t="s">
        <v>2274</v>
      </c>
      <c r="G534" s="225">
        <v>91225</v>
      </c>
      <c r="H534" s="47" t="s">
        <v>2275</v>
      </c>
      <c r="I534" s="47" t="s">
        <v>2275</v>
      </c>
      <c r="J534" s="47" t="s">
        <v>2276</v>
      </c>
      <c r="K534" s="47" t="s">
        <v>426</v>
      </c>
      <c r="L534" s="47" t="s">
        <v>5527</v>
      </c>
      <c r="M534" s="47" t="s">
        <v>6025</v>
      </c>
      <c r="N534" s="47" t="s">
        <v>2342</v>
      </c>
      <c r="O534" s="47"/>
      <c r="P534" s="53"/>
      <c r="Q534" s="53"/>
      <c r="R534" s="53"/>
      <c r="S534" s="53"/>
      <c r="T534" s="48">
        <v>129.16</v>
      </c>
      <c r="U534" s="98">
        <v>6110</v>
      </c>
      <c r="V534" s="98">
        <v>1711</v>
      </c>
      <c r="W534" s="98">
        <v>9574.7630766426519</v>
      </c>
      <c r="X534" s="98">
        <v>6110</v>
      </c>
      <c r="Y534" s="233">
        <v>8.92</v>
      </c>
      <c r="Z534" s="48">
        <v>2.14</v>
      </c>
      <c r="AA534" s="48">
        <v>2.0299999999999998</v>
      </c>
      <c r="AB534" s="48">
        <v>1.95</v>
      </c>
      <c r="AC534" s="48">
        <v>0.92710000000000004</v>
      </c>
      <c r="AD534" s="48">
        <v>1.98</v>
      </c>
      <c r="AE534" s="48">
        <v>2.08</v>
      </c>
      <c r="AF534" s="48">
        <f t="shared" si="126"/>
        <v>2.0299999999999998</v>
      </c>
      <c r="AG534" s="49">
        <v>2.11</v>
      </c>
      <c r="AH534" s="98">
        <v>6.8800000000000002E-7</v>
      </c>
      <c r="AI534" s="98">
        <v>1.6700000000000001E-6</v>
      </c>
      <c r="AJ534" s="483">
        <f t="shared" si="128"/>
        <v>-4.5509778880771403</v>
      </c>
      <c r="AK534" s="483">
        <f t="shared" si="130"/>
        <v>-4.1658498551650682</v>
      </c>
      <c r="AL534" s="483">
        <f t="shared" si="127"/>
        <v>-4.1658498551650682</v>
      </c>
      <c r="AM534" s="483">
        <v>-6.3437800000000006</v>
      </c>
      <c r="AN534" s="226">
        <v>-4.24</v>
      </c>
      <c r="AO534" s="484"/>
      <c r="AP534" s="484">
        <v>4.97</v>
      </c>
      <c r="AQ534" s="226" t="s">
        <v>6311</v>
      </c>
      <c r="AR534" s="226" t="s">
        <v>6311</v>
      </c>
      <c r="AS534" s="224"/>
      <c r="AT534" s="50" t="s">
        <v>266</v>
      </c>
      <c r="AU534" s="48">
        <v>6</v>
      </c>
      <c r="AV534" s="48">
        <v>120</v>
      </c>
      <c r="AW534" s="48">
        <v>114</v>
      </c>
      <c r="AX534" s="48">
        <v>28</v>
      </c>
      <c r="AY534" s="48" t="s">
        <v>8728</v>
      </c>
      <c r="AZ534" s="48" t="s">
        <v>1563</v>
      </c>
      <c r="BA534" s="48">
        <v>32</v>
      </c>
      <c r="BB534" s="47" t="s">
        <v>2485</v>
      </c>
      <c r="BC534" s="47" t="s">
        <v>8726</v>
      </c>
      <c r="BD534" s="47" t="s">
        <v>8374</v>
      </c>
      <c r="BE534" s="48" t="s">
        <v>2449</v>
      </c>
      <c r="BF534" s="48" t="s">
        <v>272</v>
      </c>
      <c r="BG534" s="48" t="s">
        <v>272</v>
      </c>
      <c r="BH534" s="48" t="s">
        <v>2486</v>
      </c>
      <c r="BI534" s="98">
        <v>8.2662399999999998E-4</v>
      </c>
      <c r="BJ534" s="98">
        <v>8.2662399999999998</v>
      </c>
      <c r="BK534" s="48"/>
      <c r="BL534" s="487">
        <v>79.431732722459373</v>
      </c>
      <c r="BM534" s="47" t="s">
        <v>2487</v>
      </c>
      <c r="BN534" s="48"/>
      <c r="BO534" s="48"/>
      <c r="BP534" s="48"/>
      <c r="BQ534" s="48"/>
      <c r="BR534" s="47" t="e">
        <v>#VALUE!</v>
      </c>
      <c r="BS534" s="48"/>
      <c r="BT534" s="48"/>
      <c r="BU534" s="228"/>
      <c r="BV534" s="48"/>
      <c r="BW534" s="48"/>
      <c r="BX534" s="48"/>
      <c r="BY534" s="48"/>
      <c r="BZ534" s="48"/>
      <c r="CA534" s="48"/>
      <c r="CB534" s="48"/>
      <c r="CC534" s="48"/>
      <c r="CD534" s="48"/>
      <c r="CE534" s="48"/>
      <c r="CF534" s="48"/>
      <c r="CG534" s="48"/>
      <c r="CH534" s="48"/>
      <c r="CI534" s="98"/>
      <c r="CJ534" s="98"/>
      <c r="CK534" s="49">
        <f t="shared" si="124"/>
        <v>9.6091733027905519</v>
      </c>
      <c r="CL534" s="229"/>
      <c r="CM534" s="229"/>
      <c r="CN534" s="229"/>
      <c r="CO534" s="47" t="s">
        <v>2488</v>
      </c>
      <c r="CP534" s="500" t="s">
        <v>2489</v>
      </c>
      <c r="CQ534" s="224">
        <v>1.0657300350524834</v>
      </c>
      <c r="CR534" s="224">
        <f>10^(CJ534-CQ534)</f>
        <v>8.595476651394382E-2</v>
      </c>
      <c r="CS534" s="230" t="s">
        <v>539</v>
      </c>
      <c r="CT534" s="230"/>
      <c r="CU534" s="230"/>
      <c r="CV534" s="335">
        <f t="shared" si="125"/>
        <v>739.15105295757201</v>
      </c>
      <c r="CW534" s="230">
        <f t="shared" si="121"/>
        <v>1</v>
      </c>
      <c r="CX534" s="336"/>
      <c r="CY534" s="230" t="s">
        <v>6351</v>
      </c>
    </row>
    <row r="535" spans="1:103" ht="11.25" customHeight="1" x14ac:dyDescent="0.2">
      <c r="A535" s="72">
        <v>847</v>
      </c>
      <c r="B535" s="224">
        <v>1124</v>
      </c>
      <c r="C535" s="46" t="s">
        <v>7045</v>
      </c>
      <c r="D535" s="46"/>
      <c r="E535" s="114"/>
      <c r="F535" s="114" t="s">
        <v>3139</v>
      </c>
      <c r="G535" s="225">
        <v>91532</v>
      </c>
      <c r="H535" s="47" t="s">
        <v>3140</v>
      </c>
      <c r="I535" s="47" t="s">
        <v>3140</v>
      </c>
      <c r="J535" s="47" t="s">
        <v>3141</v>
      </c>
      <c r="K535" s="47" t="s">
        <v>426</v>
      </c>
      <c r="L535" s="47" t="s">
        <v>6120</v>
      </c>
      <c r="M535" s="47" t="s">
        <v>5960</v>
      </c>
      <c r="N535" s="47"/>
      <c r="O535" s="47"/>
      <c r="P535" s="53"/>
      <c r="Q535" s="53"/>
      <c r="R535" s="53"/>
      <c r="S535" s="53"/>
      <c r="T535" s="48">
        <v>217.31</v>
      </c>
      <c r="U535" s="98"/>
      <c r="V535" s="98">
        <v>17.46</v>
      </c>
      <c r="W535" s="98">
        <v>261.26408428670987</v>
      </c>
      <c r="X535" s="98">
        <v>261.26408428670987</v>
      </c>
      <c r="Y535" s="233">
        <v>8.0500000000000007</v>
      </c>
      <c r="Z535" s="48">
        <v>3.87</v>
      </c>
      <c r="AA535" s="48"/>
      <c r="AB535" s="48">
        <v>3.24</v>
      </c>
      <c r="AC535" s="48">
        <v>0.71589999999999998</v>
      </c>
      <c r="AD535" s="48">
        <v>3.5</v>
      </c>
      <c r="AE535" s="48">
        <v>3.93</v>
      </c>
      <c r="AF535" s="48">
        <f t="shared" si="126"/>
        <v>3.5</v>
      </c>
      <c r="AG535" s="49">
        <v>3.28</v>
      </c>
      <c r="AH535" s="98">
        <v>2.4200000000000002E-7</v>
      </c>
      <c r="AI535" s="98"/>
      <c r="AJ535" s="483">
        <f t="shared" si="128"/>
        <v>-5.0047509603322204</v>
      </c>
      <c r="AK535" s="483"/>
      <c r="AL535" s="483">
        <f t="shared" si="127"/>
        <v>-5.0047509603322204</v>
      </c>
      <c r="AM535" s="483">
        <v>-8.2463499999999996</v>
      </c>
      <c r="AN535" s="226">
        <v>-5.51</v>
      </c>
      <c r="AO535" s="484"/>
      <c r="AP535" s="484">
        <v>5.0199999999999996</v>
      </c>
      <c r="AQ535" s="48" t="s">
        <v>6311</v>
      </c>
      <c r="AR535" s="48" t="s">
        <v>6311</v>
      </c>
      <c r="AS535" s="227"/>
      <c r="AT535" s="50" t="s">
        <v>266</v>
      </c>
      <c r="AU535" s="48">
        <v>6</v>
      </c>
      <c r="AV535" s="48">
        <v>120</v>
      </c>
      <c r="AW535" s="48">
        <v>114</v>
      </c>
      <c r="AX535" s="48">
        <v>28</v>
      </c>
      <c r="AY535" s="48" t="s">
        <v>8728</v>
      </c>
      <c r="AZ535" s="48" t="s">
        <v>1563</v>
      </c>
      <c r="BA535" s="48">
        <v>32</v>
      </c>
      <c r="BB535" s="47" t="s">
        <v>2485</v>
      </c>
      <c r="BC535" s="47" t="s">
        <v>8726</v>
      </c>
      <c r="BD535" s="47" t="s">
        <v>8374</v>
      </c>
      <c r="BE535" s="48" t="s">
        <v>2449</v>
      </c>
      <c r="BF535" s="48" t="s">
        <v>272</v>
      </c>
      <c r="BG535" s="48" t="s">
        <v>272</v>
      </c>
      <c r="BH535" s="48" t="s">
        <v>2486</v>
      </c>
      <c r="BI535" s="98">
        <v>1.3907839999999999E-3</v>
      </c>
      <c r="BJ535" s="98">
        <v>13.90784</v>
      </c>
      <c r="BK535" s="48"/>
      <c r="BL535" s="487">
        <v>3.73450213277878</v>
      </c>
      <c r="BM535" s="47" t="s">
        <v>2487</v>
      </c>
      <c r="BN535" s="48"/>
      <c r="BO535" s="48"/>
      <c r="BP535" s="48"/>
      <c r="BQ535" s="48"/>
      <c r="BR535" s="47" t="e">
        <v>#VALUE!</v>
      </c>
      <c r="BS535" s="48"/>
      <c r="BT535" s="48"/>
      <c r="BU535" s="228">
        <v>13.90784</v>
      </c>
      <c r="BV535" s="48"/>
      <c r="BW535" s="48"/>
      <c r="BX535" s="48"/>
      <c r="BY535" s="48"/>
      <c r="BZ535" s="48"/>
      <c r="CA535" s="48"/>
      <c r="CB535" s="48"/>
      <c r="CC535" s="48"/>
      <c r="CD535" s="48"/>
      <c r="CE535" s="48"/>
      <c r="CF535" s="48"/>
      <c r="CG535" s="48"/>
      <c r="CH535" s="48"/>
      <c r="CI535" s="98"/>
      <c r="CJ535" s="98"/>
      <c r="CK535" s="49">
        <f t="shared" si="124"/>
        <v>0.26851776643812264</v>
      </c>
      <c r="CL535" s="229"/>
      <c r="CM535" s="229"/>
      <c r="CN535" s="229"/>
      <c r="CO535" s="47" t="s">
        <v>2488</v>
      </c>
      <c r="CP535" s="500" t="s">
        <v>2489</v>
      </c>
      <c r="CQ535" s="224">
        <v>1.255272505103306</v>
      </c>
      <c r="CR535" s="224">
        <f>10^(CJ535-CQ535)</f>
        <v>5.5555555555555546E-2</v>
      </c>
      <c r="CS535" s="230" t="s">
        <v>539</v>
      </c>
      <c r="CT535" s="230"/>
      <c r="CU535" s="230"/>
      <c r="CV535" s="335">
        <f t="shared" si="125"/>
        <v>18.785381790897066</v>
      </c>
      <c r="CW535" s="230">
        <f t="shared" si="121"/>
        <v>1</v>
      </c>
      <c r="CX535" s="336"/>
      <c r="CY535" s="230" t="s">
        <v>5921</v>
      </c>
    </row>
    <row r="536" spans="1:103" ht="11.25" customHeight="1" x14ac:dyDescent="0.2">
      <c r="A536" s="72">
        <v>848</v>
      </c>
      <c r="B536" s="224">
        <v>958</v>
      </c>
      <c r="C536" s="46" t="s">
        <v>7046</v>
      </c>
      <c r="D536" s="46"/>
      <c r="E536" s="114"/>
      <c r="F536" s="114" t="s">
        <v>2734</v>
      </c>
      <c r="G536" s="225">
        <v>91598</v>
      </c>
      <c r="H536" s="47" t="s">
        <v>2735</v>
      </c>
      <c r="I536" s="47" t="s">
        <v>2735</v>
      </c>
      <c r="J536" s="47" t="s">
        <v>2736</v>
      </c>
      <c r="K536" s="47" t="s">
        <v>1573</v>
      </c>
      <c r="L536" s="47"/>
      <c r="M536" s="47"/>
      <c r="N536" s="47"/>
      <c r="O536" s="47"/>
      <c r="P536" s="53"/>
      <c r="Q536" s="53"/>
      <c r="R536" s="53"/>
      <c r="S536" s="53"/>
      <c r="T536" s="48">
        <v>143.19</v>
      </c>
      <c r="U536" s="98">
        <v>189</v>
      </c>
      <c r="V536" s="98">
        <v>917</v>
      </c>
      <c r="W536" s="98">
        <v>596.91527019117314</v>
      </c>
      <c r="X536" s="98">
        <v>189</v>
      </c>
      <c r="Y536" s="233">
        <v>7.97</v>
      </c>
      <c r="Z536" s="48">
        <v>2.25</v>
      </c>
      <c r="AA536" s="48">
        <v>2.2799999999999998</v>
      </c>
      <c r="AB536" s="48">
        <v>2.34</v>
      </c>
      <c r="AC536" s="48">
        <v>0.88859999999999995</v>
      </c>
      <c r="AD536" s="48">
        <v>2.2999999999999998</v>
      </c>
      <c r="AE536" s="48">
        <v>2.17</v>
      </c>
      <c r="AF536" s="48">
        <f t="shared" si="126"/>
        <v>2.2799999999999998</v>
      </c>
      <c r="AG536" s="49">
        <v>2.2599999999999998</v>
      </c>
      <c r="AH536" s="98">
        <v>1.86E-7</v>
      </c>
      <c r="AI536" s="98">
        <v>8.0999999999999997E-8</v>
      </c>
      <c r="AJ536" s="483">
        <f t="shared" si="128"/>
        <v>-5.1190533820947355</v>
      </c>
      <c r="AK536" s="483">
        <f>LOG10(AI536*1000/(0.08206*298.15))</f>
        <v>-5.480081307434002</v>
      </c>
      <c r="AL536" s="483">
        <f t="shared" si="127"/>
        <v>-5.480081307434002</v>
      </c>
      <c r="AM536" s="483">
        <v>-8.5388000000000002</v>
      </c>
      <c r="AN536" s="226">
        <v>-5.24</v>
      </c>
      <c r="AO536" s="484"/>
      <c r="AP536" s="484">
        <v>4.32</v>
      </c>
      <c r="AQ536" s="48" t="s">
        <v>6311</v>
      </c>
      <c r="AR536" s="48" t="s">
        <v>6311</v>
      </c>
      <c r="AS536" s="227"/>
      <c r="AT536" s="50" t="s">
        <v>266</v>
      </c>
      <c r="AU536" s="48">
        <v>6</v>
      </c>
      <c r="AV536" s="48">
        <v>120</v>
      </c>
      <c r="AW536" s="48">
        <v>114</v>
      </c>
      <c r="AX536" s="48">
        <v>28</v>
      </c>
      <c r="AY536" s="48" t="s">
        <v>8728</v>
      </c>
      <c r="AZ536" s="48" t="s">
        <v>1563</v>
      </c>
      <c r="BA536" s="48">
        <v>32</v>
      </c>
      <c r="BB536" s="47" t="s">
        <v>2485</v>
      </c>
      <c r="BC536" s="47" t="s">
        <v>8726</v>
      </c>
      <c r="BD536" s="47" t="s">
        <v>8374</v>
      </c>
      <c r="BE536" s="48" t="s">
        <v>2449</v>
      </c>
      <c r="BF536" s="48" t="s">
        <v>272</v>
      </c>
      <c r="BG536" s="48" t="s">
        <v>272</v>
      </c>
      <c r="BH536" s="48" t="s">
        <v>2486</v>
      </c>
      <c r="BI536" s="98">
        <v>9.1641599999999998E-4</v>
      </c>
      <c r="BJ536" s="98">
        <v>9.1641600000000007</v>
      </c>
      <c r="BK536" s="48"/>
      <c r="BL536" s="487">
        <v>70.143541459946547</v>
      </c>
      <c r="BM536" s="47" t="s">
        <v>2487</v>
      </c>
      <c r="BN536" s="48"/>
      <c r="BO536" s="48"/>
      <c r="BP536" s="48"/>
      <c r="BQ536" s="48"/>
      <c r="BR536" s="47" t="e">
        <v>#VALUE!</v>
      </c>
      <c r="BS536" s="48"/>
      <c r="BT536" s="48"/>
      <c r="BU536" s="228">
        <v>9.1641599999999998E-4</v>
      </c>
      <c r="BV536" s="48"/>
      <c r="BW536" s="48"/>
      <c r="BX536" s="48"/>
      <c r="BY536" s="48"/>
      <c r="BZ536" s="48"/>
      <c r="CA536" s="48"/>
      <c r="CB536" s="48"/>
      <c r="CC536" s="48"/>
      <c r="CD536" s="48"/>
      <c r="CE536" s="48"/>
      <c r="CF536" s="48"/>
      <c r="CG536" s="48"/>
      <c r="CH536" s="48"/>
      <c r="CI536" s="98"/>
      <c r="CJ536" s="98"/>
      <c r="CK536" s="49">
        <f t="shared" si="124"/>
        <v>7.6541157574667551</v>
      </c>
      <c r="CL536" s="229"/>
      <c r="CM536" s="229"/>
      <c r="CN536" s="229"/>
      <c r="CO536" s="47" t="s">
        <v>2488</v>
      </c>
      <c r="CP536" s="500" t="s">
        <v>2489</v>
      </c>
      <c r="CQ536" s="224" t="s">
        <v>272</v>
      </c>
      <c r="CR536" s="224"/>
      <c r="CS536" s="230" t="s">
        <v>539</v>
      </c>
      <c r="CT536" s="230"/>
      <c r="CU536" s="230"/>
      <c r="CV536" s="335">
        <f t="shared" si="125"/>
        <v>20.623821495914516</v>
      </c>
      <c r="CW536" s="230">
        <f t="shared" si="121"/>
        <v>1</v>
      </c>
      <c r="CX536" s="336"/>
      <c r="CY536" s="230" t="s">
        <v>5921</v>
      </c>
    </row>
    <row r="537" spans="1:103" ht="11.25" customHeight="1" x14ac:dyDescent="0.2">
      <c r="A537" s="72">
        <v>849</v>
      </c>
      <c r="B537" s="224">
        <v>1013</v>
      </c>
      <c r="C537" s="46" t="s">
        <v>7047</v>
      </c>
      <c r="D537" s="46"/>
      <c r="E537" s="114"/>
      <c r="F537" s="114" t="s">
        <v>2897</v>
      </c>
      <c r="G537" s="225">
        <v>91623</v>
      </c>
      <c r="H537" s="47" t="s">
        <v>2898</v>
      </c>
      <c r="I537" s="47" t="s">
        <v>2898</v>
      </c>
      <c r="J537" s="47" t="s">
        <v>2899</v>
      </c>
      <c r="K537" s="47" t="s">
        <v>426</v>
      </c>
      <c r="L537" s="47"/>
      <c r="M537" s="47"/>
      <c r="N537" s="47"/>
      <c r="O537" s="47"/>
      <c r="P537" s="53"/>
      <c r="Q537" s="53"/>
      <c r="R537" s="53"/>
      <c r="S537" s="53"/>
      <c r="T537" s="48">
        <v>143.19</v>
      </c>
      <c r="U537" s="98"/>
      <c r="V537" s="98">
        <v>631.1</v>
      </c>
      <c r="W537" s="98">
        <v>3680.5497213467347</v>
      </c>
      <c r="X537" s="98">
        <v>3680.5497213467347</v>
      </c>
      <c r="Y537" s="233">
        <v>8.81</v>
      </c>
      <c r="Z537" s="48">
        <v>2.69</v>
      </c>
      <c r="AA537" s="48">
        <v>2.4700000000000002</v>
      </c>
      <c r="AB537" s="48">
        <v>2.57</v>
      </c>
      <c r="AC537" s="48">
        <v>0.97260000000000002</v>
      </c>
      <c r="AD537" s="48">
        <v>2.57</v>
      </c>
      <c r="AE537" s="48">
        <v>2.54</v>
      </c>
      <c r="AF537" s="48">
        <f t="shared" si="126"/>
        <v>2.4700000000000002</v>
      </c>
      <c r="AG537" s="49">
        <v>2.57</v>
      </c>
      <c r="AH537" s="98">
        <v>7.6000000000000003E-7</v>
      </c>
      <c r="AI537" s="98"/>
      <c r="AJ537" s="483">
        <f t="shared" si="128"/>
        <v>-4.5077527340318602</v>
      </c>
      <c r="AK537" s="483"/>
      <c r="AL537" s="483">
        <f t="shared" si="127"/>
        <v>-4.5077527340318602</v>
      </c>
      <c r="AM537" s="483">
        <v>-6.2957500000000008</v>
      </c>
      <c r="AN537" s="226">
        <v>-4.24</v>
      </c>
      <c r="AO537" s="484"/>
      <c r="AP537" s="484">
        <v>5.21</v>
      </c>
      <c r="AQ537" s="48" t="s">
        <v>6311</v>
      </c>
      <c r="AR537" s="48" t="s">
        <v>6311</v>
      </c>
      <c r="AS537" s="227"/>
      <c r="AT537" s="50" t="s">
        <v>266</v>
      </c>
      <c r="AU537" s="48">
        <v>6</v>
      </c>
      <c r="AV537" s="48">
        <v>120</v>
      </c>
      <c r="AW537" s="48">
        <v>114</v>
      </c>
      <c r="AX537" s="48">
        <v>28</v>
      </c>
      <c r="AY537" s="48" t="s">
        <v>8728</v>
      </c>
      <c r="AZ537" s="48" t="s">
        <v>1563</v>
      </c>
      <c r="BA537" s="48">
        <v>32</v>
      </c>
      <c r="BB537" s="47" t="s">
        <v>2485</v>
      </c>
      <c r="BC537" s="47" t="s">
        <v>8726</v>
      </c>
      <c r="BD537" s="47" t="s">
        <v>8374</v>
      </c>
      <c r="BE537" s="48" t="s">
        <v>2449</v>
      </c>
      <c r="BF537" s="48" t="s">
        <v>272</v>
      </c>
      <c r="BG537" s="48" t="s">
        <v>272</v>
      </c>
      <c r="BH537" s="48" t="s">
        <v>2486</v>
      </c>
      <c r="BI537" s="98">
        <v>9.1641599999999998E-4</v>
      </c>
      <c r="BJ537" s="98">
        <v>9.1641600000000007</v>
      </c>
      <c r="BK537" s="48"/>
      <c r="BL537" s="487">
        <v>28.237333886553323</v>
      </c>
      <c r="BM537" s="47" t="s">
        <v>2487</v>
      </c>
      <c r="BN537" s="48"/>
      <c r="BO537" s="48"/>
      <c r="BP537" s="48"/>
      <c r="BQ537" s="48"/>
      <c r="BR537" s="47" t="e">
        <v>#VALUE!</v>
      </c>
      <c r="BS537" s="48"/>
      <c r="BT537" s="48"/>
      <c r="BU537" s="228">
        <v>9.1641599999999993E-3</v>
      </c>
      <c r="BV537" s="48"/>
      <c r="BW537" s="48"/>
      <c r="BX537" s="48"/>
      <c r="BY537" s="48"/>
      <c r="BZ537" s="48"/>
      <c r="CA537" s="48"/>
      <c r="CB537" s="48"/>
      <c r="CC537" s="48"/>
      <c r="CD537" s="48"/>
      <c r="CE537" s="48"/>
      <c r="CF537" s="48"/>
      <c r="CG537" s="48"/>
      <c r="CH537" s="48"/>
      <c r="CI537" s="98"/>
      <c r="CJ537" s="98"/>
      <c r="CK537" s="49">
        <f t="shared" si="124"/>
        <v>3.0812790137397559</v>
      </c>
      <c r="CL537" s="229"/>
      <c r="CM537" s="229"/>
      <c r="CN537" s="229"/>
      <c r="CO537" s="47" t="s">
        <v>2488</v>
      </c>
      <c r="CP537" s="500" t="s">
        <v>2489</v>
      </c>
      <c r="CQ537" s="224" t="s">
        <v>272</v>
      </c>
      <c r="CR537" s="224"/>
      <c r="CS537" s="230" t="s">
        <v>539</v>
      </c>
      <c r="CT537" s="230"/>
      <c r="CU537" s="230"/>
      <c r="CV537" s="335">
        <f t="shared" si="125"/>
        <v>401.62434105763481</v>
      </c>
      <c r="CW537" s="230">
        <f t="shared" si="121"/>
        <v>1</v>
      </c>
      <c r="CX537" s="336"/>
      <c r="CY537" s="230" t="s">
        <v>5921</v>
      </c>
    </row>
    <row r="538" spans="1:103" ht="11.25" customHeight="1" x14ac:dyDescent="0.2">
      <c r="A538" s="72">
        <v>850</v>
      </c>
      <c r="B538" s="224">
        <v>1075</v>
      </c>
      <c r="C538" s="46" t="s">
        <v>354</v>
      </c>
      <c r="D538" s="46" t="s">
        <v>8361</v>
      </c>
      <c r="E538" s="114"/>
      <c r="F538" s="114" t="s">
        <v>3022</v>
      </c>
      <c r="G538" s="225">
        <v>91645</v>
      </c>
      <c r="H538" s="47" t="s">
        <v>355</v>
      </c>
      <c r="I538" s="47" t="s">
        <v>355</v>
      </c>
      <c r="J538" s="47" t="s">
        <v>356</v>
      </c>
      <c r="K538" s="47" t="s">
        <v>357</v>
      </c>
      <c r="L538" s="47"/>
      <c r="M538" s="47"/>
      <c r="N538" s="47"/>
      <c r="O538" s="47"/>
      <c r="P538" s="53"/>
      <c r="Q538" s="53"/>
      <c r="R538" s="53"/>
      <c r="S538" s="53"/>
      <c r="T538" s="48">
        <v>146.13999999999999</v>
      </c>
      <c r="U538" s="98">
        <v>1900</v>
      </c>
      <c r="V538" s="98">
        <v>5126.0000000000009</v>
      </c>
      <c r="W538" s="98">
        <v>4728.9977023695847</v>
      </c>
      <c r="X538" s="98">
        <v>1900</v>
      </c>
      <c r="Y538" s="233">
        <v>7</v>
      </c>
      <c r="Z538" s="48">
        <v>1.51</v>
      </c>
      <c r="AA538" s="48">
        <v>1.39</v>
      </c>
      <c r="AB538" s="48">
        <v>2.06</v>
      </c>
      <c r="AC538" s="48">
        <v>0.79700000000000004</v>
      </c>
      <c r="AD538" s="48">
        <v>1.85</v>
      </c>
      <c r="AE538" s="48">
        <v>1.39</v>
      </c>
      <c r="AF538" s="48">
        <f t="shared" si="126"/>
        <v>1.39</v>
      </c>
      <c r="AG538" s="49">
        <v>2.06</v>
      </c>
      <c r="AH538" s="98">
        <v>6.9500000000000004E-6</v>
      </c>
      <c r="AI538" s="98">
        <v>9.9200000000000002E-8</v>
      </c>
      <c r="AJ538" s="483">
        <f t="shared" si="128"/>
        <v>-3.5465815217225378</v>
      </c>
      <c r="AK538" s="483">
        <f>LOG10(AI538*1000/(0.08206*298.15))</f>
        <v>-5.3920546541584731</v>
      </c>
      <c r="AL538" s="483">
        <f t="shared" si="127"/>
        <v>-5.3920546541584731</v>
      </c>
      <c r="AM538" s="483">
        <v>-6.2431699999999992</v>
      </c>
      <c r="AN538" s="226">
        <v>-4.9400000000000004</v>
      </c>
      <c r="AO538" s="484"/>
      <c r="AP538" s="484"/>
      <c r="AQ538" s="48" t="s">
        <v>6311</v>
      </c>
      <c r="AR538" s="48" t="s">
        <v>6311</v>
      </c>
      <c r="AS538" s="227"/>
      <c r="AT538" s="50" t="s">
        <v>266</v>
      </c>
      <c r="AU538" s="48">
        <v>6</v>
      </c>
      <c r="AV538" s="48">
        <v>120</v>
      </c>
      <c r="AW538" s="48">
        <v>114</v>
      </c>
      <c r="AX538" s="48">
        <v>28</v>
      </c>
      <c r="AY538" s="48" t="s">
        <v>8728</v>
      </c>
      <c r="AZ538" s="48" t="s">
        <v>1563</v>
      </c>
      <c r="BA538" s="48">
        <v>32</v>
      </c>
      <c r="BB538" s="47" t="s">
        <v>2485</v>
      </c>
      <c r="BC538" s="47" t="s">
        <v>8726</v>
      </c>
      <c r="BD538" s="47" t="s">
        <v>8374</v>
      </c>
      <c r="BE538" s="48" t="s">
        <v>2449</v>
      </c>
      <c r="BF538" s="48" t="s">
        <v>272</v>
      </c>
      <c r="BG538" s="48" t="s">
        <v>272</v>
      </c>
      <c r="BH538" s="48" t="s">
        <v>2486</v>
      </c>
      <c r="BI538" s="98">
        <v>9.3529599999999985E-4</v>
      </c>
      <c r="BJ538" s="98">
        <v>9.3529599999999995</v>
      </c>
      <c r="BK538" s="48"/>
      <c r="BL538" s="487">
        <v>330.70297589089722</v>
      </c>
      <c r="BM538" s="47" t="s">
        <v>2487</v>
      </c>
      <c r="BN538" s="48"/>
      <c r="BO538" s="48"/>
      <c r="BP538" s="48"/>
      <c r="BQ538" s="48"/>
      <c r="BR538" s="47" t="e">
        <v>#VALUE!</v>
      </c>
      <c r="BS538" s="48"/>
      <c r="BT538" s="48"/>
      <c r="BU538" s="228">
        <v>0.93529599999999991</v>
      </c>
      <c r="BV538" s="48"/>
      <c r="BW538" s="48"/>
      <c r="BX538" s="48"/>
      <c r="BY538" s="48"/>
      <c r="BZ538" s="48"/>
      <c r="CA538" s="48"/>
      <c r="CB538" s="48"/>
      <c r="CC538" s="48"/>
      <c r="CD538" s="48"/>
      <c r="CE538" s="48"/>
      <c r="CF538" s="48"/>
      <c r="CG538" s="48"/>
      <c r="CH538" s="48"/>
      <c r="CI538" s="98"/>
      <c r="CJ538" s="98"/>
      <c r="CK538" s="49">
        <f t="shared" si="124"/>
        <v>35.358108651260913</v>
      </c>
      <c r="CL538" s="229"/>
      <c r="CM538" s="229"/>
      <c r="CN538" s="229"/>
      <c r="CO538" s="47" t="s">
        <v>2488</v>
      </c>
      <c r="CP538" s="500" t="s">
        <v>2489</v>
      </c>
      <c r="CQ538" s="224" t="s">
        <v>272</v>
      </c>
      <c r="CR538" s="224"/>
      <c r="CS538" s="230" t="s">
        <v>539</v>
      </c>
      <c r="CT538" s="230"/>
      <c r="CU538" s="230"/>
      <c r="CV538" s="335">
        <f t="shared" si="125"/>
        <v>203.14424524428631</v>
      </c>
      <c r="CW538" s="230">
        <f t="shared" si="121"/>
        <v>1</v>
      </c>
      <c r="CX538" s="336"/>
      <c r="CY538" s="230" t="s">
        <v>6351</v>
      </c>
    </row>
    <row r="539" spans="1:103" ht="11.25" customHeight="1" x14ac:dyDescent="0.2">
      <c r="A539" s="72">
        <v>851</v>
      </c>
      <c r="B539" s="224">
        <v>1782</v>
      </c>
      <c r="C539" s="46" t="s">
        <v>7048</v>
      </c>
      <c r="D539" s="46"/>
      <c r="E539" s="114"/>
      <c r="F539" s="114" t="s">
        <v>5126</v>
      </c>
      <c r="G539" s="225">
        <v>91667</v>
      </c>
      <c r="H539" s="47" t="s">
        <v>5127</v>
      </c>
      <c r="I539" s="47" t="s">
        <v>5127</v>
      </c>
      <c r="J539" s="47" t="s">
        <v>5128</v>
      </c>
      <c r="K539" s="47" t="s">
        <v>426</v>
      </c>
      <c r="L539" s="47" t="s">
        <v>5527</v>
      </c>
      <c r="M539" s="47" t="s">
        <v>6082</v>
      </c>
      <c r="N539" s="47" t="s">
        <v>6082</v>
      </c>
      <c r="O539" s="47" t="s">
        <v>6083</v>
      </c>
      <c r="P539" s="53"/>
      <c r="Q539" s="53" t="s">
        <v>6179</v>
      </c>
      <c r="R539" s="53" t="s">
        <v>6185</v>
      </c>
      <c r="S539" s="53" t="s">
        <v>6176</v>
      </c>
      <c r="T539" s="48">
        <v>149.22999999999999</v>
      </c>
      <c r="U539" s="98">
        <v>140</v>
      </c>
      <c r="V539" s="98">
        <v>113.9</v>
      </c>
      <c r="W539" s="98">
        <v>210.79297778405336</v>
      </c>
      <c r="X539" s="98">
        <v>140</v>
      </c>
      <c r="Y539" s="233">
        <v>8.92</v>
      </c>
      <c r="Z539" s="48">
        <v>3.15</v>
      </c>
      <c r="AA539" s="48">
        <v>3.31</v>
      </c>
      <c r="AB539" s="48">
        <v>2.83</v>
      </c>
      <c r="AC539" s="48">
        <v>0.82250000000000001</v>
      </c>
      <c r="AD539" s="48">
        <v>3</v>
      </c>
      <c r="AE539" s="48">
        <v>3.39</v>
      </c>
      <c r="AF539" s="48">
        <f t="shared" si="126"/>
        <v>3.31</v>
      </c>
      <c r="AG539" s="49">
        <v>2.92</v>
      </c>
      <c r="AH539" s="98">
        <v>1.5100000000000001E-4</v>
      </c>
      <c r="AI539" s="98">
        <v>1.92E-4</v>
      </c>
      <c r="AJ539" s="483">
        <f t="shared" si="128"/>
        <v>-2.2095893790194823</v>
      </c>
      <c r="AK539" s="483">
        <f>LOG10(AI539*1000/(0.08206*298.15))</f>
        <v>-2.1052650976091023</v>
      </c>
      <c r="AL539" s="483">
        <f t="shared" si="127"/>
        <v>-2.1052650976091023</v>
      </c>
      <c r="AM539" s="483">
        <v>-5.36158</v>
      </c>
      <c r="AN539" s="226">
        <v>-2.41</v>
      </c>
      <c r="AO539" s="484"/>
      <c r="AP539" s="484">
        <v>6.69</v>
      </c>
      <c r="AQ539" s="226" t="s">
        <v>6311</v>
      </c>
      <c r="AR539" s="226" t="s">
        <v>6311</v>
      </c>
      <c r="AS539" s="224"/>
      <c r="AT539" s="50" t="s">
        <v>266</v>
      </c>
      <c r="AU539" s="48">
        <v>6</v>
      </c>
      <c r="AV539" s="48">
        <v>120</v>
      </c>
      <c r="AW539" s="48">
        <v>114</v>
      </c>
      <c r="AX539" s="48">
        <v>28</v>
      </c>
      <c r="AY539" s="48" t="s">
        <v>8728</v>
      </c>
      <c r="AZ539" s="48" t="s">
        <v>1563</v>
      </c>
      <c r="BA539" s="48">
        <v>32</v>
      </c>
      <c r="BB539" s="47" t="s">
        <v>2485</v>
      </c>
      <c r="BC539" s="47" t="s">
        <v>8726</v>
      </c>
      <c r="BD539" s="47" t="s">
        <v>8374</v>
      </c>
      <c r="BE539" s="48" t="s">
        <v>2449</v>
      </c>
      <c r="BF539" s="48" t="s">
        <v>272</v>
      </c>
      <c r="BG539" s="48" t="s">
        <v>272</v>
      </c>
      <c r="BH539" s="48" t="s">
        <v>2486</v>
      </c>
      <c r="BI539" s="98">
        <v>9.5507199999999984E-4</v>
      </c>
      <c r="BJ539" s="98">
        <v>9.5507200000000001</v>
      </c>
      <c r="BK539" s="48"/>
      <c r="BL539" s="487">
        <v>11.3668764354306</v>
      </c>
      <c r="BM539" s="47" t="s">
        <v>2487</v>
      </c>
      <c r="BN539" s="48"/>
      <c r="BO539" s="48"/>
      <c r="BP539" s="48"/>
      <c r="BQ539" s="48"/>
      <c r="BR539" s="47" t="e">
        <v>#VALUE!</v>
      </c>
      <c r="BS539" s="48"/>
      <c r="BT539" s="48"/>
      <c r="BU539" s="228"/>
      <c r="BV539" s="48"/>
      <c r="BW539" s="48"/>
      <c r="BX539" s="48"/>
      <c r="BY539" s="48"/>
      <c r="BZ539" s="48"/>
      <c r="CA539" s="48"/>
      <c r="CB539" s="48"/>
      <c r="CC539" s="48"/>
      <c r="CD539" s="48"/>
      <c r="CE539" s="48"/>
      <c r="CF539" s="48"/>
      <c r="CG539" s="48"/>
      <c r="CH539" s="48"/>
      <c r="CI539" s="98"/>
      <c r="CJ539" s="98"/>
      <c r="CK539" s="49">
        <f t="shared" si="124"/>
        <v>1.19015911213297</v>
      </c>
      <c r="CL539" s="229"/>
      <c r="CM539" s="229"/>
      <c r="CN539" s="229"/>
      <c r="CO539" s="47" t="s">
        <v>2488</v>
      </c>
      <c r="CP539" s="500" t="s">
        <v>2489</v>
      </c>
      <c r="CQ539" s="224">
        <v>1.2148438480476977</v>
      </c>
      <c r="CR539" s="224">
        <f>10^(CJ539-CQ539)</f>
        <v>6.0975609756097553E-2</v>
      </c>
      <c r="CS539" s="230" t="s">
        <v>539</v>
      </c>
      <c r="CT539" s="230"/>
      <c r="CU539" s="230"/>
      <c r="CV539" s="335">
        <f t="shared" si="125"/>
        <v>14.65858071433358</v>
      </c>
      <c r="CW539" s="230">
        <f t="shared" si="121"/>
        <v>1</v>
      </c>
      <c r="CX539" s="336"/>
      <c r="CY539" s="230" t="s">
        <v>6351</v>
      </c>
    </row>
    <row r="540" spans="1:103" ht="11.25" customHeight="1" x14ac:dyDescent="0.2">
      <c r="A540" s="72">
        <v>852</v>
      </c>
      <c r="B540" s="224">
        <v>1525</v>
      </c>
      <c r="C540" s="46" t="s">
        <v>7049</v>
      </c>
      <c r="D540" s="46" t="s">
        <v>8568</v>
      </c>
      <c r="E540" s="114"/>
      <c r="F540" s="114" t="s">
        <v>4626</v>
      </c>
      <c r="G540" s="225">
        <v>92524</v>
      </c>
      <c r="H540" s="47" t="s">
        <v>4627</v>
      </c>
      <c r="I540" s="47" t="s">
        <v>4627</v>
      </c>
      <c r="J540" s="47" t="s">
        <v>4628</v>
      </c>
      <c r="K540" s="47" t="s">
        <v>426</v>
      </c>
      <c r="L540" s="47" t="s">
        <v>5527</v>
      </c>
      <c r="M540" s="47" t="s">
        <v>6082</v>
      </c>
      <c r="N540" s="47" t="s">
        <v>6082</v>
      </c>
      <c r="O540" s="47" t="s">
        <v>6083</v>
      </c>
      <c r="P540" s="53" t="s">
        <v>6183</v>
      </c>
      <c r="Q540" s="53" t="s">
        <v>6173</v>
      </c>
      <c r="R540" s="53" t="s">
        <v>6185</v>
      </c>
      <c r="S540" s="53" t="s">
        <v>6176</v>
      </c>
      <c r="T540" s="48">
        <v>154.21</v>
      </c>
      <c r="U540" s="98">
        <v>6.94</v>
      </c>
      <c r="V540" s="98">
        <v>27.35</v>
      </c>
      <c r="W540" s="98">
        <v>27.42284678221019</v>
      </c>
      <c r="X540" s="98">
        <v>6.94</v>
      </c>
      <c r="Y540" s="233">
        <v>7</v>
      </c>
      <c r="Z540" s="48">
        <v>3.76</v>
      </c>
      <c r="AA540" s="48">
        <v>4.01</v>
      </c>
      <c r="AB540" s="48">
        <v>3.78</v>
      </c>
      <c r="AC540" s="48">
        <v>0.92759999999999998</v>
      </c>
      <c r="AD540" s="48">
        <v>3.82</v>
      </c>
      <c r="AE540" s="48">
        <v>3.98</v>
      </c>
      <c r="AF540" s="48">
        <f t="shared" si="126"/>
        <v>4.01</v>
      </c>
      <c r="AG540" s="49">
        <v>3.48</v>
      </c>
      <c r="AH540" s="98">
        <v>4.1399999999999998E-4</v>
      </c>
      <c r="AI540" s="98">
        <v>3.0800000000000001E-4</v>
      </c>
      <c r="AJ540" s="483">
        <f t="shared" si="128"/>
        <v>-1.7715659851917529</v>
      </c>
      <c r="AK540" s="483">
        <f>LOG10(AI540*1000/(0.08206*298.15))</f>
        <v>-1.9000156098122076</v>
      </c>
      <c r="AL540" s="483">
        <f t="shared" si="127"/>
        <v>-1.9000156098122076</v>
      </c>
      <c r="AM540" s="483">
        <v>-5.406299999999999</v>
      </c>
      <c r="AN540" s="226">
        <v>-1.88</v>
      </c>
      <c r="AO540" s="484"/>
      <c r="AP540" s="484"/>
      <c r="AQ540" s="48" t="s">
        <v>6311</v>
      </c>
      <c r="AR540" s="48" t="s">
        <v>6311</v>
      </c>
      <c r="AS540" s="227"/>
      <c r="AT540" s="50" t="s">
        <v>266</v>
      </c>
      <c r="AU540" s="48">
        <v>6</v>
      </c>
      <c r="AV540" s="48">
        <v>120</v>
      </c>
      <c r="AW540" s="48">
        <v>114</v>
      </c>
      <c r="AX540" s="48">
        <v>28</v>
      </c>
      <c r="AY540" s="48" t="s">
        <v>8728</v>
      </c>
      <c r="AZ540" s="48" t="s">
        <v>1563</v>
      </c>
      <c r="BA540" s="48">
        <v>32</v>
      </c>
      <c r="BB540" s="47" t="s">
        <v>2485</v>
      </c>
      <c r="BC540" s="47" t="s">
        <v>8726</v>
      </c>
      <c r="BD540" s="47" t="s">
        <v>8374</v>
      </c>
      <c r="BE540" s="48" t="s">
        <v>2449</v>
      </c>
      <c r="BF540" s="48" t="s">
        <v>272</v>
      </c>
      <c r="BG540" s="48" t="s">
        <v>272</v>
      </c>
      <c r="BH540" s="48" t="s">
        <v>2486</v>
      </c>
      <c r="BI540" s="98">
        <v>9.8694400000000002E-4</v>
      </c>
      <c r="BJ540" s="98">
        <v>9.8694400000000009</v>
      </c>
      <c r="BK540" s="48"/>
      <c r="BL540" s="487">
        <v>3.3270286227696975</v>
      </c>
      <c r="BM540" s="47" t="s">
        <v>2487</v>
      </c>
      <c r="BN540" s="48"/>
      <c r="BO540" s="48"/>
      <c r="BP540" s="48"/>
      <c r="BQ540" s="48"/>
      <c r="BR540" s="47"/>
      <c r="BS540" s="48"/>
      <c r="BT540" s="48"/>
      <c r="BU540" s="228"/>
      <c r="BV540" s="48"/>
      <c r="BW540" s="48"/>
      <c r="BX540" s="48"/>
      <c r="BY540" s="48"/>
      <c r="BZ540" s="48"/>
      <c r="CA540" s="48"/>
      <c r="CB540" s="48"/>
      <c r="CC540" s="48"/>
      <c r="CD540" s="48"/>
      <c r="CE540" s="48"/>
      <c r="CF540" s="48"/>
      <c r="CG540" s="48"/>
      <c r="CH540" s="48"/>
      <c r="CI540" s="52"/>
      <c r="CJ540" s="98"/>
      <c r="CK540" s="49">
        <f t="shared" si="124"/>
        <v>0.3371040933193471</v>
      </c>
      <c r="CL540" s="229"/>
      <c r="CM540" s="229"/>
      <c r="CN540" s="229"/>
      <c r="CO540" s="47" t="s">
        <v>2488</v>
      </c>
      <c r="CP540" s="500" t="s">
        <v>2489</v>
      </c>
      <c r="CQ540" s="224">
        <v>0.50061011345946205</v>
      </c>
      <c r="CR540" s="224">
        <f>10^(CJ540-CQ540)</f>
        <v>0.3157838290876806</v>
      </c>
      <c r="CS540" s="230" t="s">
        <v>539</v>
      </c>
      <c r="CT540" s="230"/>
      <c r="CU540" s="230"/>
      <c r="CV540" s="335">
        <f t="shared" si="125"/>
        <v>0.70318072757927497</v>
      </c>
      <c r="CW540" s="230">
        <f t="shared" si="121"/>
        <v>0</v>
      </c>
      <c r="CX540" s="336"/>
      <c r="CY540" s="230" t="s">
        <v>6351</v>
      </c>
    </row>
    <row r="541" spans="1:103" ht="11.25" customHeight="1" x14ac:dyDescent="0.2">
      <c r="A541" s="72">
        <v>853</v>
      </c>
      <c r="B541" s="224">
        <v>1239</v>
      </c>
      <c r="C541" s="46" t="s">
        <v>7050</v>
      </c>
      <c r="D541" s="46"/>
      <c r="E541" s="114"/>
      <c r="F541" s="114" t="s">
        <v>3410</v>
      </c>
      <c r="G541" s="225">
        <v>92842</v>
      </c>
      <c r="H541" s="47" t="s">
        <v>3411</v>
      </c>
      <c r="I541" s="47" t="s">
        <v>3411</v>
      </c>
      <c r="J541" s="47" t="s">
        <v>3412</v>
      </c>
      <c r="K541" s="47" t="s">
        <v>426</v>
      </c>
      <c r="L541" s="47"/>
      <c r="M541" s="47"/>
      <c r="N541" s="47"/>
      <c r="O541" s="47"/>
      <c r="P541" s="53"/>
      <c r="Q541" s="53"/>
      <c r="R541" s="53"/>
      <c r="S541" s="53"/>
      <c r="T541" s="48">
        <v>199.27</v>
      </c>
      <c r="U541" s="98">
        <v>1.59</v>
      </c>
      <c r="V541" s="98">
        <v>0.97870000000000013</v>
      </c>
      <c r="W541" s="98">
        <v>4.7801543577301295</v>
      </c>
      <c r="X541" s="98">
        <v>1.59</v>
      </c>
      <c r="Y541" s="233">
        <v>7</v>
      </c>
      <c r="Z541" s="48">
        <v>3.82</v>
      </c>
      <c r="AA541" s="48">
        <v>4.1500000000000004</v>
      </c>
      <c r="AB541" s="48">
        <v>4.28</v>
      </c>
      <c r="AC541" s="48">
        <v>0.86760000000000004</v>
      </c>
      <c r="AD541" s="48">
        <v>4.25</v>
      </c>
      <c r="AE541" s="48">
        <v>4.1500000000000004</v>
      </c>
      <c r="AF541" s="48">
        <f t="shared" si="126"/>
        <v>4.1500000000000004</v>
      </c>
      <c r="AG541" s="49">
        <v>3.29</v>
      </c>
      <c r="AH541" s="98">
        <v>2.7800000000000001E-8</v>
      </c>
      <c r="AI541" s="98"/>
      <c r="AJ541" s="483">
        <f t="shared" si="128"/>
        <v>-5.9445215303945753</v>
      </c>
      <c r="AK541" s="483"/>
      <c r="AL541" s="483">
        <f t="shared" si="127"/>
        <v>-5.9445215303945753</v>
      </c>
      <c r="AM541" s="483">
        <v>-9.3538200000000007</v>
      </c>
      <c r="AN541" s="226">
        <v>-5.63</v>
      </c>
      <c r="AO541" s="484"/>
      <c r="AP541" s="484">
        <v>-1.87</v>
      </c>
      <c r="AQ541" s="48" t="s">
        <v>6311</v>
      </c>
      <c r="AR541" s="48" t="s">
        <v>6311</v>
      </c>
      <c r="AS541" s="227"/>
      <c r="AT541" s="50" t="s">
        <v>266</v>
      </c>
      <c r="AU541" s="48">
        <v>6</v>
      </c>
      <c r="AV541" s="48">
        <v>120</v>
      </c>
      <c r="AW541" s="48">
        <v>114</v>
      </c>
      <c r="AX541" s="48">
        <v>28</v>
      </c>
      <c r="AY541" s="48" t="s">
        <v>8728</v>
      </c>
      <c r="AZ541" s="48" t="s">
        <v>1563</v>
      </c>
      <c r="BA541" s="48">
        <v>32</v>
      </c>
      <c r="BB541" s="47" t="s">
        <v>2485</v>
      </c>
      <c r="BC541" s="47" t="s">
        <v>8726</v>
      </c>
      <c r="BD541" s="47" t="s">
        <v>8374</v>
      </c>
      <c r="BE541" s="48" t="s">
        <v>2449</v>
      </c>
      <c r="BF541" s="48" t="s">
        <v>272</v>
      </c>
      <c r="BG541" s="48" t="s">
        <v>272</v>
      </c>
      <c r="BH541" s="48" t="s">
        <v>2486</v>
      </c>
      <c r="BI541" s="98">
        <v>1.2753280000000001E-3</v>
      </c>
      <c r="BJ541" s="98">
        <v>12.75328</v>
      </c>
      <c r="BK541" s="48"/>
      <c r="BL541" s="487">
        <v>3.7975186971980524</v>
      </c>
      <c r="BM541" s="47" t="s">
        <v>2487</v>
      </c>
      <c r="BN541" s="48"/>
      <c r="BO541" s="48"/>
      <c r="BP541" s="48"/>
      <c r="BQ541" s="48"/>
      <c r="BR541" s="47" t="e">
        <v>#VALUE!</v>
      </c>
      <c r="BS541" s="48"/>
      <c r="BT541" s="48"/>
      <c r="BU541" s="228">
        <v>1.2753280000000001E-2</v>
      </c>
      <c r="BV541" s="48"/>
      <c r="BW541" s="48"/>
      <c r="BX541" s="48"/>
      <c r="BY541" s="48"/>
      <c r="BZ541" s="48"/>
      <c r="CA541" s="48"/>
      <c r="CB541" s="48"/>
      <c r="CC541" s="48"/>
      <c r="CD541" s="48"/>
      <c r="CE541" s="48"/>
      <c r="CF541" s="48"/>
      <c r="CG541" s="48"/>
      <c r="CH541" s="48"/>
      <c r="CI541" s="98"/>
      <c r="CJ541" s="98"/>
      <c r="CK541" s="49">
        <f t="shared" si="124"/>
        <v>0.29776800142379467</v>
      </c>
      <c r="CL541" s="229"/>
      <c r="CM541" s="229"/>
      <c r="CN541" s="229"/>
      <c r="CO541" s="47" t="s">
        <v>2488</v>
      </c>
      <c r="CP541" s="500" t="s">
        <v>2489</v>
      </c>
      <c r="CQ541" s="224" t="s">
        <v>272</v>
      </c>
      <c r="CR541" s="224"/>
      <c r="CS541" s="230" t="s">
        <v>539</v>
      </c>
      <c r="CT541" s="230"/>
      <c r="CU541" s="230"/>
      <c r="CV541" s="335">
        <f t="shared" si="125"/>
        <v>0.12467380940432579</v>
      </c>
      <c r="CW541" s="230">
        <f t="shared" si="121"/>
        <v>0</v>
      </c>
      <c r="CX541" s="336"/>
      <c r="CY541" s="230" t="s">
        <v>6351</v>
      </c>
    </row>
    <row r="542" spans="1:103" ht="11.25" customHeight="1" x14ac:dyDescent="0.2">
      <c r="A542" s="72">
        <v>854</v>
      </c>
      <c r="B542" s="224">
        <v>1518</v>
      </c>
      <c r="C542" s="46" t="s">
        <v>7051</v>
      </c>
      <c r="D542" s="46"/>
      <c r="E542" s="114"/>
      <c r="F542" s="114" t="s">
        <v>4608</v>
      </c>
      <c r="G542" s="225">
        <v>92875</v>
      </c>
      <c r="H542" s="47" t="s">
        <v>4609</v>
      </c>
      <c r="I542" s="47" t="s">
        <v>4609</v>
      </c>
      <c r="J542" s="47" t="s">
        <v>4610</v>
      </c>
      <c r="K542" s="47" t="s">
        <v>1573</v>
      </c>
      <c r="L542" s="47"/>
      <c r="M542" s="47"/>
      <c r="N542" s="47"/>
      <c r="O542" s="47"/>
      <c r="P542" s="53"/>
      <c r="Q542" s="53"/>
      <c r="R542" s="53"/>
      <c r="S542" s="53"/>
      <c r="T542" s="48">
        <v>184.24</v>
      </c>
      <c r="U542" s="98">
        <v>322</v>
      </c>
      <c r="V542" s="98">
        <v>3765</v>
      </c>
      <c r="W542" s="98">
        <v>842.13928054644589</v>
      </c>
      <c r="X542" s="98">
        <v>322</v>
      </c>
      <c r="Y542" s="233">
        <v>8.18</v>
      </c>
      <c r="Z542" s="48">
        <v>1.92</v>
      </c>
      <c r="AA542" s="48">
        <v>1.34</v>
      </c>
      <c r="AB542" s="48">
        <v>1.44</v>
      </c>
      <c r="AC542" s="48">
        <v>0.88549999999999995</v>
      </c>
      <c r="AD542" s="48">
        <v>1.47</v>
      </c>
      <c r="AE542" s="48">
        <v>1.56</v>
      </c>
      <c r="AF542" s="48">
        <f t="shared" si="126"/>
        <v>1.34</v>
      </c>
      <c r="AG542" s="49">
        <v>2.1</v>
      </c>
      <c r="AH542" s="98">
        <v>5.17E-11</v>
      </c>
      <c r="AI542" s="98"/>
      <c r="AJ542" s="483">
        <f t="shared" si="128"/>
        <v>-8.6750757832187091</v>
      </c>
      <c r="AK542" s="483"/>
      <c r="AL542" s="483">
        <f t="shared" si="127"/>
        <v>-8.6750757832187091</v>
      </c>
      <c r="AM542" s="483">
        <v>-13.331340000000001</v>
      </c>
      <c r="AN542" s="226">
        <v>-8.64</v>
      </c>
      <c r="AO542" s="484"/>
      <c r="AP542" s="484">
        <v>4.7</v>
      </c>
      <c r="AQ542" s="48" t="s">
        <v>6311</v>
      </c>
      <c r="AR542" s="48" t="s">
        <v>6311</v>
      </c>
      <c r="AS542" s="227"/>
      <c r="AT542" s="50" t="s">
        <v>266</v>
      </c>
      <c r="AU542" s="48">
        <v>6</v>
      </c>
      <c r="AV542" s="48">
        <v>120</v>
      </c>
      <c r="AW542" s="48">
        <v>114</v>
      </c>
      <c r="AX542" s="48">
        <v>28</v>
      </c>
      <c r="AY542" s="48" t="s">
        <v>8728</v>
      </c>
      <c r="AZ542" s="48" t="s">
        <v>1563</v>
      </c>
      <c r="BA542" s="48">
        <v>32</v>
      </c>
      <c r="BB542" s="47" t="s">
        <v>2485</v>
      </c>
      <c r="BC542" s="47" t="s">
        <v>8726</v>
      </c>
      <c r="BD542" s="47" t="s">
        <v>8374</v>
      </c>
      <c r="BE542" s="48" t="s">
        <v>2449</v>
      </c>
      <c r="BF542" s="48" t="s">
        <v>272</v>
      </c>
      <c r="BG542" s="48" t="s">
        <v>272</v>
      </c>
      <c r="BH542" s="48" t="s">
        <v>2486</v>
      </c>
      <c r="BI542" s="98">
        <v>1.1791359999999999E-3</v>
      </c>
      <c r="BJ542" s="98">
        <v>11.791360000000001</v>
      </c>
      <c r="BK542" s="48"/>
      <c r="BL542" s="487">
        <v>178.5796325261517</v>
      </c>
      <c r="BM542" s="47" t="s">
        <v>2487</v>
      </c>
      <c r="BN542" s="48"/>
      <c r="BO542" s="48"/>
      <c r="BP542" s="48"/>
      <c r="BQ542" s="48"/>
      <c r="BR542" s="47" t="e">
        <v>#VALUE!</v>
      </c>
      <c r="BS542" s="48"/>
      <c r="BT542" s="48"/>
      <c r="BU542" s="228"/>
      <c r="BV542" s="48"/>
      <c r="BW542" s="48"/>
      <c r="BX542" s="48"/>
      <c r="BY542" s="48"/>
      <c r="BZ542" s="48"/>
      <c r="CA542" s="48"/>
      <c r="CB542" s="48"/>
      <c r="CC542" s="48"/>
      <c r="CD542" s="48"/>
      <c r="CE542" s="48"/>
      <c r="CF542" s="48"/>
      <c r="CG542" s="48"/>
      <c r="CH542" s="48"/>
      <c r="CI542" s="98"/>
      <c r="CJ542" s="98"/>
      <c r="CK542" s="49">
        <f t="shared" si="124"/>
        <v>15.144956351612679</v>
      </c>
      <c r="CL542" s="229"/>
      <c r="CM542" s="229"/>
      <c r="CN542" s="229"/>
      <c r="CO542" s="47" t="s">
        <v>2488</v>
      </c>
      <c r="CP542" s="500" t="s">
        <v>2489</v>
      </c>
      <c r="CQ542" s="224">
        <v>0.86923171973097624</v>
      </c>
      <c r="CR542" s="224">
        <f>10^(CJ542-CQ542)</f>
        <v>0.13513513513513511</v>
      </c>
      <c r="CS542" s="230" t="s">
        <v>539</v>
      </c>
      <c r="CT542" s="230"/>
      <c r="CU542" s="230"/>
      <c r="CV542" s="335">
        <f t="shared" si="125"/>
        <v>27.308130699088142</v>
      </c>
      <c r="CW542" s="230">
        <f t="shared" si="121"/>
        <v>1</v>
      </c>
      <c r="CX542" s="336"/>
      <c r="CY542" s="230" t="s">
        <v>5921</v>
      </c>
    </row>
    <row r="543" spans="1:103" ht="11.25" customHeight="1" x14ac:dyDescent="0.2">
      <c r="A543" s="72">
        <v>855</v>
      </c>
      <c r="B543" s="224">
        <v>1188</v>
      </c>
      <c r="C543" s="46" t="s">
        <v>7052</v>
      </c>
      <c r="D543" s="46" t="s">
        <v>8569</v>
      </c>
      <c r="E543" s="114"/>
      <c r="F543" s="114" t="s">
        <v>3277</v>
      </c>
      <c r="G543" s="225">
        <v>93152</v>
      </c>
      <c r="H543" s="47" t="s">
        <v>3278</v>
      </c>
      <c r="I543" s="47" t="s">
        <v>3278</v>
      </c>
      <c r="J543" s="47" t="s">
        <v>3279</v>
      </c>
      <c r="K543" s="47" t="s">
        <v>426</v>
      </c>
      <c r="L543" s="51" t="s">
        <v>6126</v>
      </c>
      <c r="M543" s="47" t="s">
        <v>6082</v>
      </c>
      <c r="N543" s="47" t="s">
        <v>6082</v>
      </c>
      <c r="O543" s="47" t="s">
        <v>6083</v>
      </c>
      <c r="P543" s="53"/>
      <c r="Q543" s="53"/>
      <c r="R543" s="53"/>
      <c r="S543" s="53"/>
      <c r="T543" s="48">
        <v>178.23</v>
      </c>
      <c r="U543" s="98">
        <v>499.99999999999994</v>
      </c>
      <c r="V543" s="98">
        <v>144.80000000000001</v>
      </c>
      <c r="W543" s="98">
        <v>662.18723881989001</v>
      </c>
      <c r="X543" s="98">
        <v>499.99999999999994</v>
      </c>
      <c r="Y543" s="233">
        <v>7</v>
      </c>
      <c r="Z543" s="48">
        <v>3.03</v>
      </c>
      <c r="AA543" s="48"/>
      <c r="AB543" s="48">
        <v>2.62</v>
      </c>
      <c r="AC543" s="48">
        <v>0.79</v>
      </c>
      <c r="AD543" s="48">
        <v>2.73</v>
      </c>
      <c r="AE543" s="48">
        <v>2.97</v>
      </c>
      <c r="AF543" s="48">
        <f t="shared" si="126"/>
        <v>2.73</v>
      </c>
      <c r="AG543" s="49">
        <v>2.94</v>
      </c>
      <c r="AH543" s="98">
        <v>2.73E-5</v>
      </c>
      <c r="AI543" s="98">
        <v>5.5999999999999997E-6</v>
      </c>
      <c r="AJ543" s="483">
        <f t="shared" si="128"/>
        <v>-2.952403679271896</v>
      </c>
      <c r="AK543" s="483">
        <f>LOG10(AI543*1000/(0.08206*298.15))</f>
        <v>-3.6403782993064513</v>
      </c>
      <c r="AL543" s="483">
        <f t="shared" si="127"/>
        <v>-3.6403782993064513</v>
      </c>
      <c r="AM543" s="483">
        <v>-7.4194800000000001</v>
      </c>
      <c r="AN543" s="226">
        <v>-3.49</v>
      </c>
      <c r="AO543" s="484"/>
      <c r="AP543" s="484"/>
      <c r="AQ543" s="48" t="s">
        <v>6311</v>
      </c>
      <c r="AR543" s="48" t="s">
        <v>6311</v>
      </c>
      <c r="AS543" s="227"/>
      <c r="AT543" s="50" t="s">
        <v>266</v>
      </c>
      <c r="AU543" s="48">
        <v>6</v>
      </c>
      <c r="AV543" s="48">
        <v>120</v>
      </c>
      <c r="AW543" s="48">
        <v>114</v>
      </c>
      <c r="AX543" s="48">
        <v>28</v>
      </c>
      <c r="AY543" s="48" t="s">
        <v>8728</v>
      </c>
      <c r="AZ543" s="48" t="s">
        <v>1563</v>
      </c>
      <c r="BA543" s="48">
        <v>32</v>
      </c>
      <c r="BB543" s="47" t="s">
        <v>2485</v>
      </c>
      <c r="BC543" s="47" t="s">
        <v>8726</v>
      </c>
      <c r="BD543" s="47" t="s">
        <v>8374</v>
      </c>
      <c r="BE543" s="48" t="s">
        <v>2449</v>
      </c>
      <c r="BF543" s="48" t="s">
        <v>272</v>
      </c>
      <c r="BG543" s="48" t="s">
        <v>272</v>
      </c>
      <c r="BH543" s="48" t="s">
        <v>2486</v>
      </c>
      <c r="BI543" s="98">
        <v>1.1406719999999999E-3</v>
      </c>
      <c r="BJ543" s="98">
        <v>11.40672</v>
      </c>
      <c r="BK543" s="48"/>
      <c r="BL543" s="487">
        <v>17.399541615132584</v>
      </c>
      <c r="BM543" s="47" t="s">
        <v>2487</v>
      </c>
      <c r="BN543" s="48"/>
      <c r="BO543" s="48"/>
      <c r="BP543" s="48"/>
      <c r="BQ543" s="48"/>
      <c r="BR543" s="47" t="e">
        <v>#VALUE!</v>
      </c>
      <c r="BS543" s="48"/>
      <c r="BT543" s="48"/>
      <c r="BU543" s="228">
        <v>11.40672</v>
      </c>
      <c r="BV543" s="48"/>
      <c r="BW543" s="48"/>
      <c r="BX543" s="48"/>
      <c r="BY543" s="48"/>
      <c r="BZ543" s="48"/>
      <c r="CA543" s="48"/>
      <c r="CB543" s="48"/>
      <c r="CC543" s="48"/>
      <c r="CD543" s="48"/>
      <c r="CE543" s="48"/>
      <c r="CF543" s="48"/>
      <c r="CG543" s="48"/>
      <c r="CH543" s="48"/>
      <c r="CI543" s="98"/>
      <c r="CJ543" s="98"/>
      <c r="CK543" s="49">
        <f t="shared" si="124"/>
        <v>1.5253764110219752</v>
      </c>
      <c r="CL543" s="229"/>
      <c r="CM543" s="229"/>
      <c r="CN543" s="229"/>
      <c r="CO543" s="47" t="s">
        <v>2488</v>
      </c>
      <c r="CP543" s="500" t="s">
        <v>2489</v>
      </c>
      <c r="CQ543" s="224">
        <v>0.84331813463114669</v>
      </c>
      <c r="CR543" s="224">
        <f>10^(CJ543-CQ543)</f>
        <v>0.1434438276373117</v>
      </c>
      <c r="CS543" s="230" t="s">
        <v>539</v>
      </c>
      <c r="CT543" s="230"/>
      <c r="CU543" s="230"/>
      <c r="CV543" s="335">
        <f t="shared" si="125"/>
        <v>43.833810245188793</v>
      </c>
      <c r="CW543" s="230">
        <f t="shared" ref="CW543:CW606" si="131">IF(CV543&lt;1,0,1)</f>
        <v>1</v>
      </c>
      <c r="CX543" s="336"/>
      <c r="CY543" s="230" t="s">
        <v>5921</v>
      </c>
    </row>
    <row r="544" spans="1:103" ht="11.25" customHeight="1" x14ac:dyDescent="0.2">
      <c r="A544" s="72">
        <v>856</v>
      </c>
      <c r="B544" s="224">
        <v>1917</v>
      </c>
      <c r="C544" s="46" t="s">
        <v>7053</v>
      </c>
      <c r="D544" s="46"/>
      <c r="E544" s="114"/>
      <c r="F544" s="114" t="s">
        <v>5389</v>
      </c>
      <c r="G544" s="225">
        <v>94280</v>
      </c>
      <c r="H544" s="47" t="s">
        <v>5390</v>
      </c>
      <c r="I544" s="47" t="s">
        <v>5390</v>
      </c>
      <c r="J544" s="47" t="s">
        <v>5391</v>
      </c>
      <c r="K544" s="47" t="s">
        <v>357</v>
      </c>
      <c r="L544" s="47"/>
      <c r="M544" s="47"/>
      <c r="N544" s="47"/>
      <c r="O544" s="47"/>
      <c r="P544" s="53"/>
      <c r="Q544" s="53"/>
      <c r="R544" s="53"/>
      <c r="S544" s="53"/>
      <c r="T544" s="48">
        <v>402.57</v>
      </c>
      <c r="U544" s="98"/>
      <c r="V544" s="98">
        <v>4.8509999999999998E-2</v>
      </c>
      <c r="W544" s="98">
        <v>24.822264989937675</v>
      </c>
      <c r="X544" s="98">
        <v>24.822264989937675</v>
      </c>
      <c r="Y544" s="233">
        <v>7</v>
      </c>
      <c r="Z544" s="48">
        <v>5.6</v>
      </c>
      <c r="AA544" s="48"/>
      <c r="AB544" s="48">
        <v>6.06</v>
      </c>
      <c r="AC544" s="48">
        <v>0.52810000000000001</v>
      </c>
      <c r="AD544" s="48">
        <v>5.82</v>
      </c>
      <c r="AE544" s="48">
        <v>5.57</v>
      </c>
      <c r="AF544" s="48">
        <f t="shared" si="126"/>
        <v>5.82</v>
      </c>
      <c r="AG544" s="49">
        <v>3.27</v>
      </c>
      <c r="AH544" s="98">
        <v>4.01E-9</v>
      </c>
      <c r="AI544" s="98"/>
      <c r="AJ544" s="483">
        <f t="shared" si="128"/>
        <v>-6.7854219536924694</v>
      </c>
      <c r="AK544" s="483"/>
      <c r="AL544" s="483">
        <f t="shared" si="127"/>
        <v>-6.7854219536924694</v>
      </c>
      <c r="AM544" s="483">
        <v>-11.101880000000001</v>
      </c>
      <c r="AN544" s="226">
        <v>-26.4</v>
      </c>
      <c r="AO544" s="484"/>
      <c r="AP544" s="484"/>
      <c r="AQ544" s="226" t="s">
        <v>6311</v>
      </c>
      <c r="AR544" s="226" t="s">
        <v>6312</v>
      </c>
      <c r="AS544" s="224"/>
      <c r="AT544" s="50" t="s">
        <v>266</v>
      </c>
      <c r="AU544" s="48">
        <v>6</v>
      </c>
      <c r="AV544" s="48">
        <v>120</v>
      </c>
      <c r="AW544" s="48">
        <v>114</v>
      </c>
      <c r="AX544" s="48">
        <v>28</v>
      </c>
      <c r="AY544" s="48" t="s">
        <v>8728</v>
      </c>
      <c r="AZ544" s="48" t="s">
        <v>1563</v>
      </c>
      <c r="BA544" s="48">
        <v>32</v>
      </c>
      <c r="BB544" s="47" t="s">
        <v>2485</v>
      </c>
      <c r="BC544" s="47" t="s">
        <v>8726</v>
      </c>
      <c r="BD544" s="47" t="s">
        <v>8374</v>
      </c>
      <c r="BE544" s="48" t="s">
        <v>2449</v>
      </c>
      <c r="BF544" s="48" t="s">
        <v>272</v>
      </c>
      <c r="BG544" s="48" t="s">
        <v>272</v>
      </c>
      <c r="BH544" s="48" t="s">
        <v>2486</v>
      </c>
      <c r="BI544" s="98">
        <v>2.5764479999999998E-3</v>
      </c>
      <c r="BJ544" s="98">
        <v>25.764479999999999</v>
      </c>
      <c r="BK544" s="48"/>
      <c r="BL544" s="487">
        <v>0.19332205704785216</v>
      </c>
      <c r="BM544" s="47" t="s">
        <v>2487</v>
      </c>
      <c r="BN544" s="48"/>
      <c r="BO544" s="48"/>
      <c r="BP544" s="48"/>
      <c r="BQ544" s="48"/>
      <c r="BR544" s="47" t="e">
        <v>#VALUE!</v>
      </c>
      <c r="BS544" s="48"/>
      <c r="BT544" s="48"/>
      <c r="BU544" s="228"/>
      <c r="BV544" s="48"/>
      <c r="BW544" s="48"/>
      <c r="BX544" s="48"/>
      <c r="BY544" s="48"/>
      <c r="BZ544" s="48"/>
      <c r="CA544" s="48"/>
      <c r="CB544" s="48"/>
      <c r="CC544" s="48"/>
      <c r="CD544" s="48"/>
      <c r="CE544" s="48"/>
      <c r="CF544" s="48"/>
      <c r="CG544" s="48"/>
      <c r="CH544" s="48"/>
      <c r="CI544" s="98"/>
      <c r="CJ544" s="98"/>
      <c r="CK544" s="49">
        <f t="shared" si="124"/>
        <v>7.5034332945144696E-3</v>
      </c>
      <c r="CL544" s="229"/>
      <c r="CM544" s="229"/>
      <c r="CN544" s="229"/>
      <c r="CO544" s="47" t="s">
        <v>2488</v>
      </c>
      <c r="CP544" s="500" t="s">
        <v>2489</v>
      </c>
      <c r="CQ544" s="224" t="s">
        <v>272</v>
      </c>
      <c r="CR544" s="224"/>
      <c r="CS544" s="230" t="s">
        <v>539</v>
      </c>
      <c r="CT544" s="230"/>
      <c r="CU544" s="230"/>
      <c r="CV544" s="335">
        <f t="shared" si="125"/>
        <v>0.96342969040856541</v>
      </c>
      <c r="CW544" s="230">
        <f t="shared" si="131"/>
        <v>0</v>
      </c>
      <c r="CX544" s="336"/>
      <c r="CY544" s="230" t="s">
        <v>6351</v>
      </c>
    </row>
    <row r="545" spans="1:103" ht="21.6" customHeight="1" x14ac:dyDescent="0.2">
      <c r="A545" s="72">
        <v>857</v>
      </c>
      <c r="B545" s="224">
        <v>1856</v>
      </c>
      <c r="C545" s="46" t="s">
        <v>7054</v>
      </c>
      <c r="D545" s="46"/>
      <c r="E545" s="114"/>
      <c r="F545" s="114" t="s">
        <v>5277</v>
      </c>
      <c r="G545" s="225">
        <v>94597</v>
      </c>
      <c r="H545" s="47" t="s">
        <v>5278</v>
      </c>
      <c r="I545" s="47" t="s">
        <v>5278</v>
      </c>
      <c r="J545" s="47" t="s">
        <v>5279</v>
      </c>
      <c r="K545" s="47" t="s">
        <v>287</v>
      </c>
      <c r="L545" s="47"/>
      <c r="M545" s="47"/>
      <c r="N545" s="47"/>
      <c r="O545" s="47"/>
      <c r="P545" s="53"/>
      <c r="Q545" s="53"/>
      <c r="R545" s="53"/>
      <c r="S545" s="53"/>
      <c r="T545" s="48">
        <v>162.19</v>
      </c>
      <c r="U545" s="98"/>
      <c r="V545" s="98">
        <v>75.98</v>
      </c>
      <c r="W545" s="98">
        <v>177.83779863246315</v>
      </c>
      <c r="X545" s="98">
        <v>177.83779863246315</v>
      </c>
      <c r="Y545" s="233">
        <v>7</v>
      </c>
      <c r="Z545" s="48">
        <v>3.45</v>
      </c>
      <c r="AA545" s="48"/>
      <c r="AB545" s="48">
        <v>2.4300000000000002</v>
      </c>
      <c r="AC545" s="48">
        <v>0.65590000000000004</v>
      </c>
      <c r="AD545" s="48">
        <v>2.71</v>
      </c>
      <c r="AE545" s="48">
        <v>3.1</v>
      </c>
      <c r="AF545" s="48">
        <f t="shared" si="126"/>
        <v>2.71</v>
      </c>
      <c r="AG545" s="49">
        <v>2.54</v>
      </c>
      <c r="AH545" s="98">
        <v>9.0699999999999996E-6</v>
      </c>
      <c r="AI545" s="98"/>
      <c r="AJ545" s="483">
        <f t="shared" si="128"/>
        <v>-3.4309590392525564</v>
      </c>
      <c r="AK545" s="483"/>
      <c r="AL545" s="483">
        <f t="shared" si="127"/>
        <v>-3.4309590392525564</v>
      </c>
      <c r="AM545" s="483">
        <v>-6.2209000000000003</v>
      </c>
      <c r="AN545" s="226">
        <v>-1.82</v>
      </c>
      <c r="AO545" s="484"/>
      <c r="AP545" s="484"/>
      <c r="AQ545" s="226" t="s">
        <v>6311</v>
      </c>
      <c r="AR545" s="226" t="s">
        <v>6311</v>
      </c>
      <c r="AS545" s="224"/>
      <c r="AT545" s="50" t="s">
        <v>266</v>
      </c>
      <c r="AU545" s="48">
        <v>6</v>
      </c>
      <c r="AV545" s="48">
        <v>120</v>
      </c>
      <c r="AW545" s="48">
        <v>114</v>
      </c>
      <c r="AX545" s="48">
        <v>28</v>
      </c>
      <c r="AY545" s="48" t="s">
        <v>8728</v>
      </c>
      <c r="AZ545" s="48" t="s">
        <v>1563</v>
      </c>
      <c r="BA545" s="48">
        <v>32</v>
      </c>
      <c r="BB545" s="47" t="s">
        <v>2485</v>
      </c>
      <c r="BC545" s="47" t="s">
        <v>8726</v>
      </c>
      <c r="BD545" s="47" t="s">
        <v>8374</v>
      </c>
      <c r="BE545" s="48" t="s">
        <v>2449</v>
      </c>
      <c r="BF545" s="48" t="s">
        <v>272</v>
      </c>
      <c r="BG545" s="48" t="s">
        <v>272</v>
      </c>
      <c r="BH545" s="48" t="s">
        <v>2486</v>
      </c>
      <c r="BI545" s="98">
        <v>1.0380159999999999E-3</v>
      </c>
      <c r="BJ545" s="98">
        <v>10.38016</v>
      </c>
      <c r="BK545" s="48"/>
      <c r="BL545" s="487">
        <v>6.6432267125107201</v>
      </c>
      <c r="BM545" s="47" t="s">
        <v>2487</v>
      </c>
      <c r="BN545" s="48"/>
      <c r="BO545" s="48"/>
      <c r="BP545" s="48"/>
      <c r="BQ545" s="48"/>
      <c r="BR545" s="47" t="e">
        <v>#VALUE!</v>
      </c>
      <c r="BS545" s="48"/>
      <c r="BT545" s="48"/>
      <c r="BU545" s="228"/>
      <c r="BV545" s="48"/>
      <c r="BW545" s="48"/>
      <c r="BX545" s="48"/>
      <c r="BY545" s="48"/>
      <c r="BZ545" s="48"/>
      <c r="CA545" s="48"/>
      <c r="CB545" s="48"/>
      <c r="CC545" s="48"/>
      <c r="CD545" s="48"/>
      <c r="CE545" s="48"/>
      <c r="CF545" s="48"/>
      <c r="CG545" s="48"/>
      <c r="CH545" s="48"/>
      <c r="CI545" s="98"/>
      <c r="CJ545" s="98"/>
      <c r="CK545" s="49">
        <f t="shared" ref="CK545:CK608" si="132">BL545/BJ545</f>
        <v>0.63999270844675993</v>
      </c>
      <c r="CL545" s="229"/>
      <c r="CM545" s="229"/>
      <c r="CN545" s="229"/>
      <c r="CO545" s="47" t="s">
        <v>2488</v>
      </c>
      <c r="CP545" s="500" t="s">
        <v>2489</v>
      </c>
      <c r="CQ545" s="224" t="s">
        <v>272</v>
      </c>
      <c r="CR545" s="224"/>
      <c r="CS545" s="230" t="s">
        <v>539</v>
      </c>
      <c r="CT545" s="230"/>
      <c r="CU545" s="230"/>
      <c r="CV545" s="335">
        <f t="shared" ref="CV545:CV608" si="133">X545/BJ545</f>
        <v>17.132471814737261</v>
      </c>
      <c r="CW545" s="230">
        <f t="shared" si="131"/>
        <v>1</v>
      </c>
      <c r="CX545" s="336"/>
      <c r="CY545" s="230" t="s">
        <v>5921</v>
      </c>
    </row>
    <row r="546" spans="1:103" ht="11.25" customHeight="1" x14ac:dyDescent="0.2">
      <c r="A546" s="72">
        <v>859</v>
      </c>
      <c r="B546" s="224">
        <v>1399</v>
      </c>
      <c r="C546" s="46" t="s">
        <v>7056</v>
      </c>
      <c r="D546" s="46" t="s">
        <v>8570</v>
      </c>
      <c r="E546" s="114"/>
      <c r="F546" s="114" t="s">
        <v>3918</v>
      </c>
      <c r="G546" s="225">
        <v>94746</v>
      </c>
      <c r="H546" s="47" t="s">
        <v>3919</v>
      </c>
      <c r="I546" s="47" t="s">
        <v>8005</v>
      </c>
      <c r="J546" s="47" t="s">
        <v>3920</v>
      </c>
      <c r="K546" s="47" t="s">
        <v>426</v>
      </c>
      <c r="L546" s="47" t="s">
        <v>6033</v>
      </c>
      <c r="M546" s="47" t="s">
        <v>6082</v>
      </c>
      <c r="N546" s="47" t="s">
        <v>6082</v>
      </c>
      <c r="O546" s="47" t="s">
        <v>6083</v>
      </c>
      <c r="P546" s="53"/>
      <c r="Q546" s="53"/>
      <c r="R546" s="53"/>
      <c r="S546" s="53"/>
      <c r="T546" s="48">
        <v>200.62</v>
      </c>
      <c r="U546" s="98">
        <v>630</v>
      </c>
      <c r="V546" s="98">
        <v>180.9</v>
      </c>
      <c r="W546" s="98">
        <v>1265.8266244961624</v>
      </c>
      <c r="X546" s="98">
        <v>630</v>
      </c>
      <c r="Y546" s="233">
        <v>2.74</v>
      </c>
      <c r="Z546" s="48">
        <v>2.52</v>
      </c>
      <c r="AA546" s="48">
        <v>3.25</v>
      </c>
      <c r="AB546" s="48">
        <v>2.57</v>
      </c>
      <c r="AC546" s="48">
        <v>0.86439999999999995</v>
      </c>
      <c r="AD546" s="48">
        <v>2.5499999999999998</v>
      </c>
      <c r="AE546" s="48">
        <v>2.4900000000000002</v>
      </c>
      <c r="AF546" s="48">
        <f t="shared" si="126"/>
        <v>3.25</v>
      </c>
      <c r="AG546" s="49">
        <v>2.29</v>
      </c>
      <c r="AH546" s="98">
        <v>1.37E-8</v>
      </c>
      <c r="AI546" s="98">
        <v>1.33E-9</v>
      </c>
      <c r="AJ546" s="483">
        <f t="shared" si="128"/>
        <v>-6.2518457591562449</v>
      </c>
      <c r="AK546" s="483">
        <f>LOG10(AI546*1000/(0.08206*298.15))</f>
        <v>-7.2647146853455657</v>
      </c>
      <c r="AL546" s="483">
        <f t="shared" si="127"/>
        <v>-7.2647146853455657</v>
      </c>
      <c r="AM546" s="483">
        <v>-9.7762999999999991</v>
      </c>
      <c r="AN546" s="226">
        <v>-8.1999999999999993</v>
      </c>
      <c r="AO546" s="484">
        <v>3.14</v>
      </c>
      <c r="AP546" s="484"/>
      <c r="AQ546" s="48" t="s">
        <v>6311</v>
      </c>
      <c r="AR546" s="48" t="s">
        <v>6311</v>
      </c>
      <c r="AS546" s="227"/>
      <c r="AT546" s="50" t="s">
        <v>266</v>
      </c>
      <c r="AU546" s="48">
        <v>6</v>
      </c>
      <c r="AV546" s="48">
        <v>120</v>
      </c>
      <c r="AW546" s="48">
        <v>114</v>
      </c>
      <c r="AX546" s="48">
        <v>28</v>
      </c>
      <c r="AY546" s="48" t="s">
        <v>8728</v>
      </c>
      <c r="AZ546" s="48" t="s">
        <v>1563</v>
      </c>
      <c r="BA546" s="48">
        <v>32</v>
      </c>
      <c r="BB546" s="47" t="s">
        <v>2485</v>
      </c>
      <c r="BC546" s="47" t="s">
        <v>8726</v>
      </c>
      <c r="BD546" s="47" t="s">
        <v>8374</v>
      </c>
      <c r="BE546" s="48" t="s">
        <v>2449</v>
      </c>
      <c r="BF546" s="48" t="s">
        <v>272</v>
      </c>
      <c r="BG546" s="48" t="s">
        <v>272</v>
      </c>
      <c r="BH546" s="48" t="s">
        <v>2486</v>
      </c>
      <c r="BI546" s="98">
        <v>1.2839679999999999E-3</v>
      </c>
      <c r="BJ546" s="98">
        <v>12.839680000000001</v>
      </c>
      <c r="BK546" s="48"/>
      <c r="BL546" s="487">
        <v>56.229241617620396</v>
      </c>
      <c r="BM546" s="47" t="s">
        <v>2487</v>
      </c>
      <c r="BN546" s="48"/>
      <c r="BO546" s="48"/>
      <c r="BP546" s="48"/>
      <c r="BQ546" s="48"/>
      <c r="BR546" s="47" t="e">
        <v>#VALUE!</v>
      </c>
      <c r="BS546" s="48"/>
      <c r="BT546" s="48"/>
      <c r="BU546" s="228"/>
      <c r="BV546" s="48"/>
      <c r="BW546" s="48"/>
      <c r="BX546" s="48"/>
      <c r="BY546" s="48"/>
      <c r="BZ546" s="48"/>
      <c r="CA546" s="48"/>
      <c r="CB546" s="48"/>
      <c r="CC546" s="48"/>
      <c r="CD546" s="48"/>
      <c r="CE546" s="48"/>
      <c r="CF546" s="48"/>
      <c r="CG546" s="48"/>
      <c r="CH546" s="48"/>
      <c r="CI546" s="98"/>
      <c r="CJ546" s="98"/>
      <c r="CK546" s="49">
        <f t="shared" si="132"/>
        <v>4.3793335673179072</v>
      </c>
      <c r="CL546" s="229"/>
      <c r="CM546" s="229"/>
      <c r="CN546" s="229"/>
      <c r="CO546" s="47" t="s">
        <v>2488</v>
      </c>
      <c r="CP546" s="500" t="s">
        <v>2489</v>
      </c>
      <c r="CQ546" s="224">
        <v>1.9650677110774168</v>
      </c>
      <c r="CR546" s="224">
        <f>10^(CJ546-CQ546)</f>
        <v>1.0837579315885276E-2</v>
      </c>
      <c r="CS546" s="230" t="s">
        <v>539</v>
      </c>
      <c r="CT546" s="230"/>
      <c r="CU546" s="230"/>
      <c r="CV546" s="335">
        <f t="shared" si="133"/>
        <v>49.066643405443124</v>
      </c>
      <c r="CW546" s="230">
        <f t="shared" si="131"/>
        <v>1</v>
      </c>
      <c r="CX546" s="336"/>
      <c r="CY546" s="230" t="s">
        <v>5921</v>
      </c>
    </row>
    <row r="547" spans="1:103" ht="11.25" customHeight="1" x14ac:dyDescent="0.2">
      <c r="A547" s="72">
        <v>861</v>
      </c>
      <c r="B547" s="224">
        <v>939</v>
      </c>
      <c r="C547" s="46" t="s">
        <v>7057</v>
      </c>
      <c r="D547" s="46"/>
      <c r="E547" s="114"/>
      <c r="F547" s="114" t="s">
        <v>2210</v>
      </c>
      <c r="G547" s="225">
        <v>94757</v>
      </c>
      <c r="H547" s="47" t="s">
        <v>2211</v>
      </c>
      <c r="I547" s="47" t="s">
        <v>8006</v>
      </c>
      <c r="J547" s="47" t="s">
        <v>2212</v>
      </c>
      <c r="K547" s="47" t="s">
        <v>426</v>
      </c>
      <c r="L547" s="47" t="s">
        <v>6032</v>
      </c>
      <c r="M547" s="47" t="s">
        <v>6082</v>
      </c>
      <c r="N547" s="47" t="s">
        <v>6082</v>
      </c>
      <c r="O547" s="47" t="s">
        <v>6083</v>
      </c>
      <c r="P547" s="53"/>
      <c r="Q547" s="53"/>
      <c r="R547" s="53"/>
      <c r="S547" s="53"/>
      <c r="T547" s="48">
        <v>221.04</v>
      </c>
      <c r="U547" s="98">
        <v>677</v>
      </c>
      <c r="V547" s="98">
        <v>336.2</v>
      </c>
      <c r="W547" s="98">
        <v>715.27141927724961</v>
      </c>
      <c r="X547" s="98">
        <v>677</v>
      </c>
      <c r="Y547" s="233">
        <v>2.86</v>
      </c>
      <c r="Z547" s="48">
        <v>2.62</v>
      </c>
      <c r="AA547" s="48">
        <v>2.81</v>
      </c>
      <c r="AB547" s="48">
        <v>2.91</v>
      </c>
      <c r="AC547" s="48">
        <v>0.88449999999999995</v>
      </c>
      <c r="AD547" s="48">
        <v>2.84</v>
      </c>
      <c r="AE547" s="48">
        <v>2.58</v>
      </c>
      <c r="AF547" s="48">
        <f t="shared" si="126"/>
        <v>2.81</v>
      </c>
      <c r="AG547" s="49">
        <v>2.5099999999999998</v>
      </c>
      <c r="AH547" s="98">
        <v>9.2099999999999994E-9</v>
      </c>
      <c r="AI547" s="98">
        <v>3.5399999999999999E-8</v>
      </c>
      <c r="AJ547" s="483">
        <f t="shared" si="128"/>
        <v>-6.4243066961158029</v>
      </c>
      <c r="AK547" s="483">
        <f>LOG10(AI547*1000/(0.08206*298.15))</f>
        <v>-5.8395630642868639</v>
      </c>
      <c r="AL547" s="483">
        <f t="shared" si="127"/>
        <v>-5.8395630642868639</v>
      </c>
      <c r="AM547" s="483">
        <v>-9.8747099999999985</v>
      </c>
      <c r="AN547" s="226">
        <v>-7.63</v>
      </c>
      <c r="AO547" s="484">
        <v>2.98</v>
      </c>
      <c r="AP547" s="484"/>
      <c r="AQ547" s="48" t="s">
        <v>6311</v>
      </c>
      <c r="AR547" s="48" t="s">
        <v>6311</v>
      </c>
      <c r="AS547" s="227"/>
      <c r="AT547" s="50" t="s">
        <v>266</v>
      </c>
      <c r="AU547" s="48">
        <v>6</v>
      </c>
      <c r="AV547" s="48">
        <v>120</v>
      </c>
      <c r="AW547" s="48">
        <v>114</v>
      </c>
      <c r="AX547" s="48">
        <v>28</v>
      </c>
      <c r="AY547" s="48" t="s">
        <v>8728</v>
      </c>
      <c r="AZ547" s="48" t="s">
        <v>1563</v>
      </c>
      <c r="BA547" s="48">
        <v>32</v>
      </c>
      <c r="BB547" s="47" t="s">
        <v>2485</v>
      </c>
      <c r="BC547" s="47" t="s">
        <v>8726</v>
      </c>
      <c r="BD547" s="47" t="s">
        <v>8374</v>
      </c>
      <c r="BE547" s="48" t="s">
        <v>2449</v>
      </c>
      <c r="BF547" s="48" t="s">
        <v>272</v>
      </c>
      <c r="BG547" s="48" t="s">
        <v>272</v>
      </c>
      <c r="BH547" s="48" t="s">
        <v>2486</v>
      </c>
      <c r="BI547" s="98">
        <v>1.4146559999999998E-3</v>
      </c>
      <c r="BJ547" s="98">
        <v>14.146559999999999</v>
      </c>
      <c r="BK547" s="48"/>
      <c r="BL547" s="487">
        <v>50.37892218674029</v>
      </c>
      <c r="BM547" s="47" t="s">
        <v>2487</v>
      </c>
      <c r="BN547" s="48"/>
      <c r="BO547" s="48"/>
      <c r="BP547" s="48"/>
      <c r="BQ547" s="48"/>
      <c r="BR547" s="47" t="e">
        <v>#VALUE!</v>
      </c>
      <c r="BS547" s="48"/>
      <c r="BT547" s="48"/>
      <c r="BU547" s="228">
        <v>1.4146559999999998E-3</v>
      </c>
      <c r="BV547" s="48"/>
      <c r="BW547" s="48"/>
      <c r="BX547" s="48"/>
      <c r="BY547" s="48"/>
      <c r="BZ547" s="48"/>
      <c r="CA547" s="48"/>
      <c r="CB547" s="48"/>
      <c r="CC547" s="48"/>
      <c r="CD547" s="48"/>
      <c r="CE547" s="48"/>
      <c r="CF547" s="48"/>
      <c r="CG547" s="48"/>
      <c r="CH547" s="48"/>
      <c r="CI547" s="98"/>
      <c r="CJ547" s="98"/>
      <c r="CK547" s="49">
        <f t="shared" si="132"/>
        <v>3.5612136227280904</v>
      </c>
      <c r="CL547" s="229"/>
      <c r="CM547" s="229">
        <v>2.2041199826559246</v>
      </c>
      <c r="CN547" s="229">
        <f>BJ547/(10^CM547)</f>
        <v>8.8416000000000022E-2</v>
      </c>
      <c r="CO547" s="47" t="s">
        <v>2488</v>
      </c>
      <c r="CP547" s="500" t="s">
        <v>2489</v>
      </c>
      <c r="CQ547" s="224">
        <v>2.4844649999726776</v>
      </c>
      <c r="CR547" s="224">
        <f>10^(CJ547-CQ547)</f>
        <v>3.2774418882241972E-3</v>
      </c>
      <c r="CS547" s="230" t="s">
        <v>539</v>
      </c>
      <c r="CT547" s="230"/>
      <c r="CU547" s="230"/>
      <c r="CV547" s="335">
        <f t="shared" si="133"/>
        <v>47.856157256605144</v>
      </c>
      <c r="CW547" s="230">
        <f t="shared" si="131"/>
        <v>1</v>
      </c>
      <c r="CX547" s="336"/>
      <c r="CY547" s="230" t="s">
        <v>5921</v>
      </c>
    </row>
    <row r="548" spans="1:103" ht="11.25" customHeight="1" x14ac:dyDescent="0.2">
      <c r="A548" s="72">
        <v>862</v>
      </c>
      <c r="B548" s="224">
        <v>980</v>
      </c>
      <c r="C548" s="46" t="s">
        <v>7058</v>
      </c>
      <c r="D548" s="46"/>
      <c r="E548" s="114"/>
      <c r="F548" s="114" t="s">
        <v>898</v>
      </c>
      <c r="G548" s="225">
        <v>94826</v>
      </c>
      <c r="H548" s="47" t="s">
        <v>899</v>
      </c>
      <c r="I548" s="47" t="s">
        <v>8007</v>
      </c>
      <c r="J548" s="47" t="s">
        <v>900</v>
      </c>
      <c r="K548" s="47" t="s">
        <v>426</v>
      </c>
      <c r="L548" s="47" t="s">
        <v>6032</v>
      </c>
      <c r="M548" s="47" t="s">
        <v>6082</v>
      </c>
      <c r="N548" s="47" t="s">
        <v>6082</v>
      </c>
      <c r="O548" s="47" t="s">
        <v>6083</v>
      </c>
      <c r="P548" s="53"/>
      <c r="Q548" s="53"/>
      <c r="R548" s="53"/>
      <c r="S548" s="53"/>
      <c r="T548" s="48">
        <v>249.09</v>
      </c>
      <c r="U548" s="98">
        <v>46</v>
      </c>
      <c r="V548" s="98">
        <v>57.46</v>
      </c>
      <c r="W548" s="98">
        <v>111.26441596888328</v>
      </c>
      <c r="X548" s="98">
        <v>46</v>
      </c>
      <c r="Y548" s="233">
        <v>4.01</v>
      </c>
      <c r="Z548" s="48">
        <v>3.6</v>
      </c>
      <c r="AA548" s="48">
        <v>3.53</v>
      </c>
      <c r="AB548" s="48">
        <v>3.33</v>
      </c>
      <c r="AC548" s="48">
        <v>0.87439999999999996</v>
      </c>
      <c r="AD548" s="48">
        <v>3.37</v>
      </c>
      <c r="AE548" s="48">
        <v>3.51</v>
      </c>
      <c r="AF548" s="48">
        <f t="shared" ref="AF548:AF611" si="134">IF(AA548=0,AD548,AA548)</f>
        <v>3.53</v>
      </c>
      <c r="AG548" s="49">
        <v>3.1</v>
      </c>
      <c r="AH548" s="98">
        <v>2.2900000000000002E-9</v>
      </c>
      <c r="AI548" s="98"/>
      <c r="AJ548" s="483">
        <f t="shared" si="128"/>
        <v>-7.028730843972764</v>
      </c>
      <c r="AK548" s="483"/>
      <c r="AL548" s="483">
        <f t="shared" si="127"/>
        <v>-7.028730843972764</v>
      </c>
      <c r="AM548" s="483">
        <v>-10.113009999999999</v>
      </c>
      <c r="AN548" s="226">
        <v>-7.36</v>
      </c>
      <c r="AO548" s="484">
        <v>4.5599999999999996</v>
      </c>
      <c r="AP548" s="484"/>
      <c r="AQ548" s="48" t="s">
        <v>6311</v>
      </c>
      <c r="AR548" s="48" t="s">
        <v>6311</v>
      </c>
      <c r="AS548" s="227"/>
      <c r="AT548" s="50" t="s">
        <v>266</v>
      </c>
      <c r="AU548" s="48">
        <v>6</v>
      </c>
      <c r="AV548" s="48">
        <v>120</v>
      </c>
      <c r="AW548" s="48">
        <v>114</v>
      </c>
      <c r="AX548" s="48">
        <v>28</v>
      </c>
      <c r="AY548" s="48" t="s">
        <v>8728</v>
      </c>
      <c r="AZ548" s="48" t="s">
        <v>1563</v>
      </c>
      <c r="BA548" s="48">
        <v>32</v>
      </c>
      <c r="BB548" s="47" t="s">
        <v>2485</v>
      </c>
      <c r="BC548" s="47" t="s">
        <v>8726</v>
      </c>
      <c r="BD548" s="47" t="s">
        <v>8374</v>
      </c>
      <c r="BE548" s="48" t="s">
        <v>2449</v>
      </c>
      <c r="BF548" s="48" t="s">
        <v>272</v>
      </c>
      <c r="BG548" s="48" t="s">
        <v>272</v>
      </c>
      <c r="BH548" s="48" t="s">
        <v>2486</v>
      </c>
      <c r="BI548" s="98">
        <v>1.5941759999999999E-3</v>
      </c>
      <c r="BJ548" s="98">
        <v>15.94176</v>
      </c>
      <c r="BK548" s="48"/>
      <c r="BL548" s="487">
        <v>7.4816311378561036</v>
      </c>
      <c r="BM548" s="47" t="s">
        <v>2487</v>
      </c>
      <c r="BN548" s="48"/>
      <c r="BO548" s="48"/>
      <c r="BP548" s="48"/>
      <c r="BQ548" s="48"/>
      <c r="BR548" s="47" t="e">
        <v>#VALUE!</v>
      </c>
      <c r="BS548" s="48"/>
      <c r="BT548" s="48"/>
      <c r="BU548" s="228">
        <v>1.6180886400000001</v>
      </c>
      <c r="BV548" s="48"/>
      <c r="BW548" s="48"/>
      <c r="BX548" s="48"/>
      <c r="BY548" s="48"/>
      <c r="BZ548" s="48"/>
      <c r="CA548" s="48"/>
      <c r="CB548" s="48"/>
      <c r="CC548" s="48"/>
      <c r="CD548" s="48"/>
      <c r="CE548" s="48"/>
      <c r="CF548" s="48"/>
      <c r="CG548" s="48"/>
      <c r="CH548" s="48"/>
      <c r="CI548" s="98"/>
      <c r="CJ548" s="98"/>
      <c r="CK548" s="49">
        <f t="shared" si="132"/>
        <v>0.46931023537276334</v>
      </c>
      <c r="CL548" s="229"/>
      <c r="CM548" s="229">
        <v>0.74364692823696932</v>
      </c>
      <c r="CN548" s="229">
        <f>BJ548/(10^CM548)</f>
        <v>2.8766653246533593</v>
      </c>
      <c r="CO548" s="47" t="s">
        <v>2488</v>
      </c>
      <c r="CP548" s="500" t="s">
        <v>2489</v>
      </c>
      <c r="CQ548" s="224">
        <v>0.90794619361063444</v>
      </c>
      <c r="CR548" s="224">
        <f>10^(CJ548-CQ548)</f>
        <v>0.12361005691424409</v>
      </c>
      <c r="CS548" s="230" t="s">
        <v>539</v>
      </c>
      <c r="CT548" s="230"/>
      <c r="CU548" s="230"/>
      <c r="CV548" s="335">
        <f t="shared" si="133"/>
        <v>2.8855032317636193</v>
      </c>
      <c r="CW548" s="230">
        <f t="shared" si="131"/>
        <v>1</v>
      </c>
      <c r="CX548" s="336"/>
      <c r="CY548" s="230" t="s">
        <v>5921</v>
      </c>
    </row>
    <row r="549" spans="1:103" ht="11.25" customHeight="1" x14ac:dyDescent="0.2">
      <c r="A549" s="72">
        <v>863</v>
      </c>
      <c r="B549" s="224">
        <v>1366</v>
      </c>
      <c r="C549" s="46" t="s">
        <v>7059</v>
      </c>
      <c r="D549" s="46"/>
      <c r="E549" s="114"/>
      <c r="F549" s="114" t="s">
        <v>4218</v>
      </c>
      <c r="G549" s="225">
        <v>95147</v>
      </c>
      <c r="H549" s="47" t="s">
        <v>4219</v>
      </c>
      <c r="I549" s="47" t="s">
        <v>4219</v>
      </c>
      <c r="J549" s="47" t="s">
        <v>4220</v>
      </c>
      <c r="K549" s="47" t="s">
        <v>4221</v>
      </c>
      <c r="L549" s="47"/>
      <c r="M549" s="47"/>
      <c r="N549" s="47"/>
      <c r="O549" s="47"/>
      <c r="P549" s="53"/>
      <c r="Q549" s="53"/>
      <c r="R549" s="53"/>
      <c r="S549" s="53"/>
      <c r="T549" s="48">
        <v>119.12</v>
      </c>
      <c r="U549" s="98">
        <v>19800</v>
      </c>
      <c r="V549" s="98">
        <v>5957</v>
      </c>
      <c r="W549" s="98">
        <v>18449.503564485472</v>
      </c>
      <c r="X549" s="98">
        <v>19800</v>
      </c>
      <c r="Y549" s="233">
        <v>4.97</v>
      </c>
      <c r="Z549" s="48">
        <v>1.17</v>
      </c>
      <c r="AA549" s="48">
        <v>1.44</v>
      </c>
      <c r="AB549" s="48">
        <v>1.61</v>
      </c>
      <c r="AC549" s="48">
        <v>0.86890000000000001</v>
      </c>
      <c r="AD549" s="48">
        <v>1.54</v>
      </c>
      <c r="AE549" s="48">
        <v>1.34</v>
      </c>
      <c r="AF549" s="48">
        <f t="shared" si="134"/>
        <v>1.44</v>
      </c>
      <c r="AG549" s="49">
        <v>1.31</v>
      </c>
      <c r="AH549" s="98">
        <v>1.4700000000000001E-7</v>
      </c>
      <c r="AI549" s="98"/>
      <c r="AJ549" s="483">
        <f t="shared" si="128"/>
        <v>-5.221248991564476</v>
      </c>
      <c r="AK549" s="483"/>
      <c r="AL549" s="483">
        <f t="shared" si="127"/>
        <v>-5.221248991564476</v>
      </c>
      <c r="AM549" s="483">
        <v>-9.7054899999999993</v>
      </c>
      <c r="AN549" s="226">
        <v>-4.1500000000000004</v>
      </c>
      <c r="AO549" s="484">
        <v>8.3800000000000008</v>
      </c>
      <c r="AP549" s="484">
        <v>1.17</v>
      </c>
      <c r="AQ549" s="48" t="s">
        <v>6311</v>
      </c>
      <c r="AR549" s="48" t="s">
        <v>6311</v>
      </c>
      <c r="AS549" s="227"/>
      <c r="AT549" s="50" t="s">
        <v>266</v>
      </c>
      <c r="AU549" s="48">
        <v>6</v>
      </c>
      <c r="AV549" s="48">
        <v>120</v>
      </c>
      <c r="AW549" s="48">
        <v>114</v>
      </c>
      <c r="AX549" s="48">
        <v>28</v>
      </c>
      <c r="AY549" s="48" t="s">
        <v>8728</v>
      </c>
      <c r="AZ549" s="48" t="s">
        <v>1563</v>
      </c>
      <c r="BA549" s="48">
        <v>32</v>
      </c>
      <c r="BB549" s="47" t="s">
        <v>2485</v>
      </c>
      <c r="BC549" s="47" t="s">
        <v>8726</v>
      </c>
      <c r="BD549" s="47" t="s">
        <v>8374</v>
      </c>
      <c r="BE549" s="48" t="s">
        <v>2449</v>
      </c>
      <c r="BF549" s="48" t="s">
        <v>272</v>
      </c>
      <c r="BG549" s="48" t="s">
        <v>272</v>
      </c>
      <c r="BH549" s="48" t="s">
        <v>2486</v>
      </c>
      <c r="BI549" s="98">
        <v>7.6236800000000003E-4</v>
      </c>
      <c r="BJ549" s="98">
        <v>7.6236800000000002</v>
      </c>
      <c r="BK549" s="48"/>
      <c r="BL549" s="487">
        <v>544.51228778082145</v>
      </c>
      <c r="BM549" s="47" t="s">
        <v>2487</v>
      </c>
      <c r="BN549" s="48"/>
      <c r="BO549" s="48"/>
      <c r="BP549" s="48"/>
      <c r="BQ549" s="48"/>
      <c r="BR549" s="47" t="e">
        <v>#VALUE!</v>
      </c>
      <c r="BS549" s="48"/>
      <c r="BT549" s="48"/>
      <c r="BU549" s="228"/>
      <c r="BV549" s="48"/>
      <c r="BW549" s="48"/>
      <c r="BX549" s="48"/>
      <c r="BY549" s="48"/>
      <c r="BZ549" s="48"/>
      <c r="CA549" s="48"/>
      <c r="CB549" s="48"/>
      <c r="CC549" s="48"/>
      <c r="CD549" s="48"/>
      <c r="CE549" s="48"/>
      <c r="CF549" s="48"/>
      <c r="CG549" s="48"/>
      <c r="CH549" s="48"/>
      <c r="CI549" s="98"/>
      <c r="CJ549" s="98"/>
      <c r="CK549" s="49">
        <f t="shared" si="132"/>
        <v>71.423812093479981</v>
      </c>
      <c r="CL549" s="229"/>
      <c r="CM549" s="229"/>
      <c r="CN549" s="229"/>
      <c r="CO549" s="47" t="s">
        <v>2488</v>
      </c>
      <c r="CP549" s="500" t="s">
        <v>2489</v>
      </c>
      <c r="CQ549" s="224" t="s">
        <v>272</v>
      </c>
      <c r="CR549" s="224"/>
      <c r="CS549" s="230" t="s">
        <v>539</v>
      </c>
      <c r="CT549" s="230"/>
      <c r="CU549" s="230"/>
      <c r="CV549" s="335">
        <f t="shared" si="133"/>
        <v>2597.1709200805908</v>
      </c>
      <c r="CW549" s="230">
        <f t="shared" si="131"/>
        <v>1</v>
      </c>
      <c r="CX549" s="336"/>
      <c r="CY549" s="230" t="s">
        <v>6351</v>
      </c>
    </row>
    <row r="550" spans="1:103" ht="11.25" customHeight="1" x14ac:dyDescent="0.2">
      <c r="A550" s="72">
        <v>864</v>
      </c>
      <c r="B550" s="224">
        <v>1401</v>
      </c>
      <c r="C550" s="46" t="s">
        <v>7060</v>
      </c>
      <c r="D550" s="46" t="s">
        <v>8571</v>
      </c>
      <c r="E550" s="114"/>
      <c r="F550" s="114" t="s">
        <v>4316</v>
      </c>
      <c r="G550" s="225">
        <v>95487</v>
      </c>
      <c r="H550" s="47" t="s">
        <v>4317</v>
      </c>
      <c r="I550" s="47" t="s">
        <v>4317</v>
      </c>
      <c r="J550" s="47" t="s">
        <v>4318</v>
      </c>
      <c r="K550" s="47" t="s">
        <v>349</v>
      </c>
      <c r="L550" s="47"/>
      <c r="M550" s="47" t="s">
        <v>6616</v>
      </c>
      <c r="N550" s="47" t="s">
        <v>6082</v>
      </c>
      <c r="O550" s="47"/>
      <c r="P550" s="53" t="s">
        <v>6184</v>
      </c>
      <c r="Q550" s="53" t="s">
        <v>6179</v>
      </c>
      <c r="R550" s="53" t="s">
        <v>6185</v>
      </c>
      <c r="S550" s="53" t="s">
        <v>6176</v>
      </c>
      <c r="T550" s="48">
        <v>108.14</v>
      </c>
      <c r="U550" s="98">
        <v>25900</v>
      </c>
      <c r="V550" s="98">
        <v>9066</v>
      </c>
      <c r="W550" s="98">
        <v>25350.490408869635</v>
      </c>
      <c r="X550" s="98">
        <v>25900</v>
      </c>
      <c r="Y550" s="233">
        <v>5.47</v>
      </c>
      <c r="Z550" s="48">
        <v>2.06</v>
      </c>
      <c r="AA550" s="48">
        <v>1.95</v>
      </c>
      <c r="AB550" s="48">
        <v>2.13</v>
      </c>
      <c r="AC550" s="48">
        <v>0.92190000000000005</v>
      </c>
      <c r="AD550" s="48">
        <v>2.09</v>
      </c>
      <c r="AE550" s="48">
        <v>1.94</v>
      </c>
      <c r="AF550" s="48">
        <f t="shared" si="134"/>
        <v>1.95</v>
      </c>
      <c r="AG550" s="49">
        <v>1.93</v>
      </c>
      <c r="AH550" s="98">
        <v>6.1900000000000002E-7</v>
      </c>
      <c r="AI550" s="98">
        <v>1.1999999999999999E-6</v>
      </c>
      <c r="AJ550" s="483">
        <f t="shared" si="128"/>
        <v>-4.5968756772925339</v>
      </c>
      <c r="AK550" s="483">
        <f t="shared" ref="AK550:AK557" si="135">LOG10(AI550*1000/(0.08206*298.15))</f>
        <v>-4.3093850802650273</v>
      </c>
      <c r="AL550" s="483">
        <f t="shared" si="127"/>
        <v>-4.3093850802650273</v>
      </c>
      <c r="AM550" s="483">
        <v>-6.4610799999999999</v>
      </c>
      <c r="AN550" s="226">
        <v>-4.17</v>
      </c>
      <c r="AO550" s="484">
        <v>10.32</v>
      </c>
      <c r="AP550" s="484"/>
      <c r="AQ550" s="48" t="s">
        <v>6311</v>
      </c>
      <c r="AR550" s="48" t="s">
        <v>6311</v>
      </c>
      <c r="AS550" s="227"/>
      <c r="AT550" s="50" t="s">
        <v>266</v>
      </c>
      <c r="AU550" s="48">
        <v>6</v>
      </c>
      <c r="AV550" s="48">
        <v>120</v>
      </c>
      <c r="AW550" s="48">
        <v>114</v>
      </c>
      <c r="AX550" s="48">
        <v>28</v>
      </c>
      <c r="AY550" s="48" t="s">
        <v>8728</v>
      </c>
      <c r="AZ550" s="48" t="s">
        <v>1563</v>
      </c>
      <c r="BA550" s="48">
        <v>32</v>
      </c>
      <c r="BB550" s="47" t="s">
        <v>2485</v>
      </c>
      <c r="BC550" s="47" t="s">
        <v>8726</v>
      </c>
      <c r="BD550" s="47" t="s">
        <v>8374</v>
      </c>
      <c r="BE550" s="48" t="s">
        <v>2449</v>
      </c>
      <c r="BF550" s="48" t="s">
        <v>272</v>
      </c>
      <c r="BG550" s="48" t="s">
        <v>272</v>
      </c>
      <c r="BH550" s="48" t="s">
        <v>2486</v>
      </c>
      <c r="BI550" s="98">
        <v>6.9209600000000001E-4</v>
      </c>
      <c r="BJ550" s="98">
        <v>6.92096</v>
      </c>
      <c r="BK550" s="48"/>
      <c r="BL550" s="487">
        <v>78.469406027640559</v>
      </c>
      <c r="BM550" s="47" t="s">
        <v>2487</v>
      </c>
      <c r="BN550" s="48"/>
      <c r="BO550" s="48"/>
      <c r="BP550" s="48"/>
      <c r="BQ550" s="48"/>
      <c r="BR550" s="47" t="e">
        <v>#VALUE!</v>
      </c>
      <c r="BS550" s="48"/>
      <c r="BT550" s="48"/>
      <c r="BU550" s="228"/>
      <c r="BV550" s="48"/>
      <c r="BW550" s="48"/>
      <c r="BX550" s="48"/>
      <c r="BY550" s="48"/>
      <c r="BZ550" s="48"/>
      <c r="CA550" s="48"/>
      <c r="CB550" s="48"/>
      <c r="CC550" s="48"/>
      <c r="CD550" s="48"/>
      <c r="CE550" s="48"/>
      <c r="CF550" s="48"/>
      <c r="CG550" s="48"/>
      <c r="CH550" s="48"/>
      <c r="CI550" s="98"/>
      <c r="CJ550" s="98"/>
      <c r="CK550" s="49">
        <f t="shared" si="132"/>
        <v>11.337936648621081</v>
      </c>
      <c r="CL550" s="229"/>
      <c r="CM550" s="229"/>
      <c r="CN550" s="229"/>
      <c r="CO550" s="47" t="s">
        <v>2488</v>
      </c>
      <c r="CP550" s="500" t="s">
        <v>2489</v>
      </c>
      <c r="CQ550" s="224">
        <v>1.2816394243072238</v>
      </c>
      <c r="CR550" s="224">
        <f>10^(CJ550-CQ550)</f>
        <v>5.2283009178208779E-2</v>
      </c>
      <c r="CS550" s="230" t="s">
        <v>539</v>
      </c>
      <c r="CT550" s="230"/>
      <c r="CU550" s="230"/>
      <c r="CV550" s="335">
        <f t="shared" si="133"/>
        <v>3742.2554096541521</v>
      </c>
      <c r="CW550" s="230">
        <f t="shared" si="131"/>
        <v>1</v>
      </c>
      <c r="CX550" s="336"/>
      <c r="CY550" s="230" t="s">
        <v>6351</v>
      </c>
    </row>
    <row r="551" spans="1:103" ht="11.25" customHeight="1" x14ac:dyDescent="0.2">
      <c r="A551" s="72">
        <v>865</v>
      </c>
      <c r="B551" s="224">
        <v>1394</v>
      </c>
      <c r="C551" s="46" t="s">
        <v>7061</v>
      </c>
      <c r="D551" s="46"/>
      <c r="E551" s="114"/>
      <c r="F551" s="114" t="s">
        <v>4298</v>
      </c>
      <c r="G551" s="225">
        <v>95498</v>
      </c>
      <c r="H551" s="47" t="s">
        <v>4299</v>
      </c>
      <c r="I551" s="47" t="s">
        <v>8008</v>
      </c>
      <c r="J551" s="47" t="s">
        <v>4300</v>
      </c>
      <c r="K551" s="47" t="s">
        <v>426</v>
      </c>
      <c r="L551" s="47" t="s">
        <v>5527</v>
      </c>
      <c r="M551" s="47" t="s">
        <v>5960</v>
      </c>
      <c r="N551" s="47"/>
      <c r="O551" s="47"/>
      <c r="P551" s="53" t="s">
        <v>6183</v>
      </c>
      <c r="Q551" s="53" t="s">
        <v>6182</v>
      </c>
      <c r="R551" s="53" t="s">
        <v>6185</v>
      </c>
      <c r="S551" s="53" t="s">
        <v>6182</v>
      </c>
      <c r="T551" s="48">
        <v>126.58</v>
      </c>
      <c r="U551" s="98">
        <v>374</v>
      </c>
      <c r="V551" s="98">
        <v>113.8</v>
      </c>
      <c r="W551" s="98">
        <v>38.226548876848717</v>
      </c>
      <c r="X551" s="98">
        <v>374</v>
      </c>
      <c r="Y551" s="233">
        <v>7</v>
      </c>
      <c r="Z551" s="48">
        <v>3.18</v>
      </c>
      <c r="AA551" s="48">
        <v>3.42</v>
      </c>
      <c r="AB551" s="48">
        <v>3.26</v>
      </c>
      <c r="AC551" s="48">
        <v>0.95009999999999994</v>
      </c>
      <c r="AD551" s="48">
        <v>3.27</v>
      </c>
      <c r="AE551" s="48">
        <v>3.27</v>
      </c>
      <c r="AF551" s="48">
        <f t="shared" si="134"/>
        <v>3.42</v>
      </c>
      <c r="AG551" s="49">
        <v>2.95</v>
      </c>
      <c r="AH551" s="98">
        <v>4.4099999999999999E-3</v>
      </c>
      <c r="AI551" s="98">
        <v>3.5699999999999998E-3</v>
      </c>
      <c r="AJ551" s="483">
        <f t="shared" si="128"/>
        <v>-0.74412773684481326</v>
      </c>
      <c r="AK551" s="483">
        <f t="shared" si="135"/>
        <v>-0.83589811020045857</v>
      </c>
      <c r="AL551" s="483">
        <f t="shared" si="127"/>
        <v>-0.83589811020045857</v>
      </c>
      <c r="AM551" s="483">
        <v>-2.6709099999999992</v>
      </c>
      <c r="AN551" s="226">
        <v>-0.745</v>
      </c>
      <c r="AO551" s="484"/>
      <c r="AP551" s="484"/>
      <c r="AQ551" s="48" t="s">
        <v>6311</v>
      </c>
      <c r="AR551" s="48" t="s">
        <v>6311</v>
      </c>
      <c r="AS551" s="227"/>
      <c r="AT551" s="50" t="s">
        <v>266</v>
      </c>
      <c r="AU551" s="48">
        <v>6</v>
      </c>
      <c r="AV551" s="48">
        <v>120</v>
      </c>
      <c r="AW551" s="48">
        <v>114</v>
      </c>
      <c r="AX551" s="48">
        <v>28</v>
      </c>
      <c r="AY551" s="48" t="s">
        <v>8728</v>
      </c>
      <c r="AZ551" s="48" t="s">
        <v>1563</v>
      </c>
      <c r="BA551" s="48">
        <v>32</v>
      </c>
      <c r="BB551" s="47" t="s">
        <v>2485</v>
      </c>
      <c r="BC551" s="47" t="s">
        <v>8726</v>
      </c>
      <c r="BD551" s="47" t="s">
        <v>8374</v>
      </c>
      <c r="BE551" s="48" t="s">
        <v>2449</v>
      </c>
      <c r="BF551" s="48" t="s">
        <v>272</v>
      </c>
      <c r="BG551" s="48" t="s">
        <v>272</v>
      </c>
      <c r="BH551" s="48" t="s">
        <v>2486</v>
      </c>
      <c r="BI551" s="98">
        <v>8.1011199999999998E-4</v>
      </c>
      <c r="BJ551" s="98">
        <v>8.1011199999999999</v>
      </c>
      <c r="BK551" s="48"/>
      <c r="BL551" s="487">
        <v>9.061645983386347</v>
      </c>
      <c r="BM551" s="47" t="s">
        <v>2487</v>
      </c>
      <c r="BN551" s="48"/>
      <c r="BO551" s="48"/>
      <c r="BP551" s="48"/>
      <c r="BQ551" s="48"/>
      <c r="BR551" s="47" t="e">
        <v>#VALUE!</v>
      </c>
      <c r="BS551" s="48"/>
      <c r="BT551" s="48"/>
      <c r="BU551" s="228"/>
      <c r="BV551" s="48"/>
      <c r="BW551" s="48"/>
      <c r="BX551" s="48"/>
      <c r="BY551" s="48"/>
      <c r="BZ551" s="48"/>
      <c r="CA551" s="48"/>
      <c r="CB551" s="48"/>
      <c r="CC551" s="48"/>
      <c r="CD551" s="48"/>
      <c r="CE551" s="48"/>
      <c r="CF551" s="48"/>
      <c r="CG551" s="48"/>
      <c r="CH551" s="48"/>
      <c r="CI551" s="98"/>
      <c r="CJ551" s="98"/>
      <c r="CK551" s="49">
        <f t="shared" si="132"/>
        <v>1.1185670602813373</v>
      </c>
      <c r="CL551" s="229"/>
      <c r="CM551" s="229"/>
      <c r="CN551" s="229"/>
      <c r="CO551" s="47" t="s">
        <v>2488</v>
      </c>
      <c r="CP551" s="500" t="s">
        <v>2489</v>
      </c>
      <c r="CQ551" s="224">
        <v>0.87215627274829288</v>
      </c>
      <c r="CR551" s="224">
        <f>10^(CJ551-CQ551)</f>
        <v>0.13422818791946306</v>
      </c>
      <c r="CS551" s="230" t="s">
        <v>539</v>
      </c>
      <c r="CT551" s="230"/>
      <c r="CU551" s="230"/>
      <c r="CV551" s="335">
        <f t="shared" si="133"/>
        <v>46.16645599620793</v>
      </c>
      <c r="CW551" s="230">
        <f t="shared" si="131"/>
        <v>1</v>
      </c>
      <c r="CX551" s="336"/>
      <c r="CY551" s="230" t="s">
        <v>6351</v>
      </c>
    </row>
    <row r="552" spans="1:103" ht="11.25" customHeight="1" x14ac:dyDescent="0.2">
      <c r="A552" s="72">
        <v>866</v>
      </c>
      <c r="B552" s="224">
        <v>1361</v>
      </c>
      <c r="C552" s="46" t="s">
        <v>7062</v>
      </c>
      <c r="D552" s="46"/>
      <c r="E552" s="114"/>
      <c r="F552" s="114" t="s">
        <v>1823</v>
      </c>
      <c r="G552" s="225">
        <v>95501</v>
      </c>
      <c r="H552" s="47" t="s">
        <v>1824</v>
      </c>
      <c r="I552" s="47" t="s">
        <v>8009</v>
      </c>
      <c r="J552" s="47" t="s">
        <v>1825</v>
      </c>
      <c r="K552" s="47" t="s">
        <v>426</v>
      </c>
      <c r="L552" s="47" t="s">
        <v>5527</v>
      </c>
      <c r="M552" s="47" t="s">
        <v>6082</v>
      </c>
      <c r="N552" s="47" t="s">
        <v>6082</v>
      </c>
      <c r="O552" s="47" t="s">
        <v>6083</v>
      </c>
      <c r="P552" s="53" t="s">
        <v>6183</v>
      </c>
      <c r="Q552" s="53" t="s">
        <v>6176</v>
      </c>
      <c r="R552" s="53" t="s">
        <v>6185</v>
      </c>
      <c r="S552" s="53" t="s">
        <v>6182</v>
      </c>
      <c r="T552" s="48">
        <v>147</v>
      </c>
      <c r="U552" s="98">
        <v>80.000000000000014</v>
      </c>
      <c r="V552" s="98">
        <v>92.03</v>
      </c>
      <c r="W552" s="98">
        <v>21.742893306072631</v>
      </c>
      <c r="X552" s="98">
        <v>80.000000000000014</v>
      </c>
      <c r="Y552" s="233">
        <v>7</v>
      </c>
      <c r="Z552" s="48">
        <v>3.28</v>
      </c>
      <c r="AA552" s="48">
        <v>3.43</v>
      </c>
      <c r="AB552" s="48">
        <v>3.25</v>
      </c>
      <c r="AC552" s="48">
        <v>0.92110000000000003</v>
      </c>
      <c r="AD552" s="48">
        <v>3.26</v>
      </c>
      <c r="AE552" s="48">
        <v>3.28</v>
      </c>
      <c r="AF552" s="48">
        <f t="shared" si="134"/>
        <v>3.43</v>
      </c>
      <c r="AG552" s="49">
        <v>3.16</v>
      </c>
      <c r="AH552" s="98">
        <v>2.96E-3</v>
      </c>
      <c r="AI552" s="98">
        <v>1.92E-3</v>
      </c>
      <c r="AJ552" s="483">
        <f t="shared" si="128"/>
        <v>-0.91727461525371323</v>
      </c>
      <c r="AK552" s="483">
        <f t="shared" si="135"/>
        <v>-1.1052650976091021</v>
      </c>
      <c r="AL552" s="483">
        <f t="shared" ref="AL552:AL615" si="136">IF(AK552=0,AJ552,AK552)</f>
        <v>-1.1052650976091021</v>
      </c>
      <c r="AM552" s="483">
        <v>-3.1465000000000001</v>
      </c>
      <c r="AN552" s="226">
        <v>-0.98599999999999999</v>
      </c>
      <c r="AO552" s="484"/>
      <c r="AP552" s="484"/>
      <c r="AQ552" s="48" t="s">
        <v>6311</v>
      </c>
      <c r="AR552" s="48" t="s">
        <v>6311</v>
      </c>
      <c r="AS552" s="227"/>
      <c r="AT552" s="50" t="s">
        <v>266</v>
      </c>
      <c r="AU552" s="48">
        <v>6</v>
      </c>
      <c r="AV552" s="48">
        <v>120</v>
      </c>
      <c r="AW552" s="48">
        <v>114</v>
      </c>
      <c r="AX552" s="48">
        <v>28</v>
      </c>
      <c r="AY552" s="48" t="s">
        <v>8728</v>
      </c>
      <c r="AZ552" s="48" t="s">
        <v>1563</v>
      </c>
      <c r="BA552" s="48">
        <v>32</v>
      </c>
      <c r="BB552" s="47" t="s">
        <v>2485</v>
      </c>
      <c r="BC552" s="47" t="s">
        <v>8726</v>
      </c>
      <c r="BD552" s="47" t="s">
        <v>8374</v>
      </c>
      <c r="BE552" s="48" t="s">
        <v>2449</v>
      </c>
      <c r="BF552" s="48" t="s">
        <v>272</v>
      </c>
      <c r="BG552" s="48" t="s">
        <v>272</v>
      </c>
      <c r="BH552" s="48" t="s">
        <v>2486</v>
      </c>
      <c r="BI552" s="98">
        <v>9.4079999999999999E-4</v>
      </c>
      <c r="BJ552" s="98">
        <v>9.4079999999999995</v>
      </c>
      <c r="BK552" s="48"/>
      <c r="BL552" s="487">
        <v>8.5575478214277876</v>
      </c>
      <c r="BM552" s="47" t="s">
        <v>2487</v>
      </c>
      <c r="BN552" s="48"/>
      <c r="BO552" s="48"/>
      <c r="BP552" s="48"/>
      <c r="BQ552" s="48"/>
      <c r="BR552" s="47" t="e">
        <v>#VALUE!</v>
      </c>
      <c r="BS552" s="48"/>
      <c r="BT552" s="48"/>
      <c r="BU552" s="228"/>
      <c r="BV552" s="48"/>
      <c r="BW552" s="48"/>
      <c r="BX552" s="48"/>
      <c r="BY552" s="48"/>
      <c r="BZ552" s="48"/>
      <c r="CA552" s="48"/>
      <c r="CB552" s="48"/>
      <c r="CC552" s="48"/>
      <c r="CD552" s="48"/>
      <c r="CE552" s="48"/>
      <c r="CF552" s="48"/>
      <c r="CG552" s="48"/>
      <c r="CH552" s="48"/>
      <c r="CI552" s="98"/>
      <c r="CJ552" s="98"/>
      <c r="CK552" s="49">
        <f t="shared" si="132"/>
        <v>0.90960329734564072</v>
      </c>
      <c r="CL552" s="229"/>
      <c r="CM552" s="229"/>
      <c r="CN552" s="229"/>
      <c r="CO552" s="47" t="s">
        <v>2488</v>
      </c>
      <c r="CP552" s="500" t="s">
        <v>2489</v>
      </c>
      <c r="CQ552" s="224">
        <v>0.83096433084659549</v>
      </c>
      <c r="CR552" s="224">
        <f>10^(CJ552-CQ552)</f>
        <v>0.14758277398915617</v>
      </c>
      <c r="CS552" s="230" t="s">
        <v>539</v>
      </c>
      <c r="CT552" s="230"/>
      <c r="CU552" s="230"/>
      <c r="CV552" s="335">
        <f t="shared" si="133"/>
        <v>8.5034013605442205</v>
      </c>
      <c r="CW552" s="230">
        <f t="shared" si="131"/>
        <v>1</v>
      </c>
      <c r="CX552" s="336"/>
      <c r="CY552" s="230" t="s">
        <v>6351</v>
      </c>
    </row>
    <row r="553" spans="1:103" ht="11.25" customHeight="1" x14ac:dyDescent="0.2">
      <c r="A553" s="72">
        <v>867</v>
      </c>
      <c r="B553" s="224">
        <v>956</v>
      </c>
      <c r="C553" s="46" t="s">
        <v>7063</v>
      </c>
      <c r="D553" s="46"/>
      <c r="E553" s="114"/>
      <c r="F553" s="114" t="s">
        <v>2727</v>
      </c>
      <c r="G553" s="225">
        <v>95534</v>
      </c>
      <c r="H553" s="47" t="s">
        <v>2728</v>
      </c>
      <c r="I553" s="47" t="s">
        <v>2728</v>
      </c>
      <c r="J553" s="47" t="s">
        <v>2729</v>
      </c>
      <c r="K553" s="47" t="s">
        <v>2695</v>
      </c>
      <c r="L553" s="47"/>
      <c r="M553" s="47"/>
      <c r="N553" s="47"/>
      <c r="O553" s="47"/>
      <c r="P553" s="53" t="s">
        <v>6184</v>
      </c>
      <c r="Q553" s="53" t="s">
        <v>6176</v>
      </c>
      <c r="R553" s="53" t="s">
        <v>6185</v>
      </c>
      <c r="S553" s="53" t="s">
        <v>6179</v>
      </c>
      <c r="T553" s="48">
        <v>107.15</v>
      </c>
      <c r="U553" s="98">
        <v>16600</v>
      </c>
      <c r="V553" s="98">
        <v>8292</v>
      </c>
      <c r="W553" s="98">
        <v>12882.26341692558</v>
      </c>
      <c r="X553" s="98">
        <v>16600</v>
      </c>
      <c r="Y553" s="233">
        <v>8.77</v>
      </c>
      <c r="Z553" s="48">
        <v>1.62</v>
      </c>
      <c r="AA553" s="48">
        <v>1.32</v>
      </c>
      <c r="AB553" s="48">
        <v>1.49</v>
      </c>
      <c r="AC553" s="48">
        <v>0.94979999999999998</v>
      </c>
      <c r="AD553" s="48">
        <v>1.47</v>
      </c>
      <c r="AE553" s="48">
        <v>1.4</v>
      </c>
      <c r="AF553" s="48">
        <f t="shared" si="134"/>
        <v>1.32</v>
      </c>
      <c r="AG553" s="49">
        <v>1.58</v>
      </c>
      <c r="AH553" s="98">
        <v>2.0999999999999998E-6</v>
      </c>
      <c r="AI553" s="98">
        <v>1.9800000000000001E-6</v>
      </c>
      <c r="AJ553" s="483">
        <f t="shared" si="128"/>
        <v>-4.0663470315787329</v>
      </c>
      <c r="AK553" s="483">
        <f t="shared" si="135"/>
        <v>-4.0919011360511206</v>
      </c>
      <c r="AL553" s="483">
        <f t="shared" si="136"/>
        <v>-4.0919011360511206</v>
      </c>
      <c r="AM553" s="483">
        <v>-6.2000900000000003</v>
      </c>
      <c r="AN553" s="226">
        <v>-3.95</v>
      </c>
      <c r="AO553" s="484"/>
      <c r="AP553" s="484">
        <v>4.45</v>
      </c>
      <c r="AQ553" s="48" t="s">
        <v>6311</v>
      </c>
      <c r="AR553" s="48" t="s">
        <v>6311</v>
      </c>
      <c r="AS553" s="227"/>
      <c r="AT553" s="50" t="s">
        <v>266</v>
      </c>
      <c r="AU553" s="48">
        <v>6</v>
      </c>
      <c r="AV553" s="48">
        <v>120</v>
      </c>
      <c r="AW553" s="48">
        <v>114</v>
      </c>
      <c r="AX553" s="48">
        <v>28</v>
      </c>
      <c r="AY553" s="48" t="s">
        <v>8728</v>
      </c>
      <c r="AZ553" s="48" t="s">
        <v>1563</v>
      </c>
      <c r="BA553" s="48">
        <v>32</v>
      </c>
      <c r="BB553" s="47" t="s">
        <v>2485</v>
      </c>
      <c r="BC553" s="47" t="s">
        <v>8726</v>
      </c>
      <c r="BD553" s="47" t="s">
        <v>8374</v>
      </c>
      <c r="BE553" s="48" t="s">
        <v>2449</v>
      </c>
      <c r="BF553" s="48" t="s">
        <v>272</v>
      </c>
      <c r="BG553" s="48" t="s">
        <v>272</v>
      </c>
      <c r="BH553" s="48" t="s">
        <v>2486</v>
      </c>
      <c r="BI553" s="98">
        <v>6.8575999999999999E-4</v>
      </c>
      <c r="BJ553" s="98">
        <v>6.8576000000000006</v>
      </c>
      <c r="BK553" s="48"/>
      <c r="BL553" s="487">
        <v>193.13908757131543</v>
      </c>
      <c r="BM553" s="47" t="s">
        <v>2487</v>
      </c>
      <c r="BN553" s="48"/>
      <c r="BO553" s="48"/>
      <c r="BP553" s="48"/>
      <c r="BQ553" s="48"/>
      <c r="BR553" s="47" t="e">
        <v>#VALUE!</v>
      </c>
      <c r="BS553" s="48"/>
      <c r="BT553" s="48"/>
      <c r="BU553" s="228">
        <v>6.8576000000000012E-2</v>
      </c>
      <c r="BV553" s="48"/>
      <c r="BW553" s="48"/>
      <c r="BX553" s="48"/>
      <c r="BY553" s="48"/>
      <c r="BZ553" s="48"/>
      <c r="CA553" s="48"/>
      <c r="CB553" s="48"/>
      <c r="CC553" s="48"/>
      <c r="CD553" s="48"/>
      <c r="CE553" s="48"/>
      <c r="CF553" s="48"/>
      <c r="CG553" s="48"/>
      <c r="CH553" s="48"/>
      <c r="CI553" s="98"/>
      <c r="CJ553" s="98"/>
      <c r="CK553" s="49">
        <f t="shared" si="132"/>
        <v>28.164239321528729</v>
      </c>
      <c r="CL553" s="229"/>
      <c r="CM553" s="229"/>
      <c r="CN553" s="229"/>
      <c r="CO553" s="47" t="s">
        <v>2488</v>
      </c>
      <c r="CP553" s="500" t="s">
        <v>2489</v>
      </c>
      <c r="CQ553" s="224">
        <v>1.9100905455940682</v>
      </c>
      <c r="CR553" s="224">
        <f>10^(CJ553-CQ553)</f>
        <v>1.2300123001230009E-2</v>
      </c>
      <c r="CS553" s="230" t="s">
        <v>539</v>
      </c>
      <c r="CT553" s="230"/>
      <c r="CU553" s="230"/>
      <c r="CV553" s="335">
        <f t="shared" si="133"/>
        <v>2420.6719552029863</v>
      </c>
      <c r="CW553" s="230">
        <f t="shared" si="131"/>
        <v>1</v>
      </c>
      <c r="CX553" s="336"/>
      <c r="CY553" s="230" t="s">
        <v>6351</v>
      </c>
    </row>
    <row r="554" spans="1:103" ht="11.25" customHeight="1" x14ac:dyDescent="0.2">
      <c r="A554" s="72">
        <v>868</v>
      </c>
      <c r="B554" s="224">
        <v>1365</v>
      </c>
      <c r="C554" s="46" t="s">
        <v>7064</v>
      </c>
      <c r="D554" s="46"/>
      <c r="E554" s="114"/>
      <c r="F554" s="114" t="s">
        <v>4215</v>
      </c>
      <c r="G554" s="225">
        <v>95545</v>
      </c>
      <c r="H554" s="47" t="s">
        <v>4216</v>
      </c>
      <c r="I554" s="47" t="s">
        <v>4216</v>
      </c>
      <c r="J554" s="47" t="s">
        <v>4217</v>
      </c>
      <c r="K554" s="47" t="s">
        <v>2667</v>
      </c>
      <c r="L554" s="47"/>
      <c r="M554" s="47"/>
      <c r="N554" s="47"/>
      <c r="O554" s="47"/>
      <c r="P554" s="53"/>
      <c r="Q554" s="53"/>
      <c r="R554" s="53"/>
      <c r="S554" s="53"/>
      <c r="T554" s="48">
        <v>108.14</v>
      </c>
      <c r="U554" s="98">
        <v>40400</v>
      </c>
      <c r="V554" s="98">
        <v>82150</v>
      </c>
      <c r="W554" s="98">
        <v>51759.058183770103</v>
      </c>
      <c r="X554" s="98">
        <v>40400</v>
      </c>
      <c r="Y554" s="233">
        <v>9.07</v>
      </c>
      <c r="Z554" s="48">
        <v>0.16</v>
      </c>
      <c r="AA554" s="48">
        <v>0.15</v>
      </c>
      <c r="AB554" s="48">
        <v>0.49</v>
      </c>
      <c r="AC554" s="48">
        <v>0.80269999999999997</v>
      </c>
      <c r="AD554" s="48">
        <v>0.35</v>
      </c>
      <c r="AE554" s="48">
        <v>0.05</v>
      </c>
      <c r="AF554" s="48">
        <f t="shared" si="134"/>
        <v>0.15</v>
      </c>
      <c r="AG554" s="49">
        <v>0.42</v>
      </c>
      <c r="AH554" s="98">
        <v>6.7299999999999995E-10</v>
      </c>
      <c r="AI554" s="98">
        <v>7.2E-9</v>
      </c>
      <c r="AJ554" s="483">
        <f t="shared" ref="AJ554:AJ617" si="137">LOG10(AH554*1000/(0.08206*298.15))</f>
        <v>-7.5605512620886746</v>
      </c>
      <c r="AK554" s="483">
        <f t="shared" si="135"/>
        <v>-6.5312338298813835</v>
      </c>
      <c r="AL554" s="483">
        <f t="shared" si="136"/>
        <v>-6.5312338298813835</v>
      </c>
      <c r="AM554" s="483">
        <v>-9.9733099999999979</v>
      </c>
      <c r="AN554" s="226">
        <v>-5.6</v>
      </c>
      <c r="AO554" s="484"/>
      <c r="AP554" s="484">
        <v>4.46</v>
      </c>
      <c r="AQ554" s="48" t="s">
        <v>6311</v>
      </c>
      <c r="AR554" s="48" t="s">
        <v>6311</v>
      </c>
      <c r="AS554" s="227"/>
      <c r="AT554" s="50" t="s">
        <v>266</v>
      </c>
      <c r="AU554" s="48">
        <v>6</v>
      </c>
      <c r="AV554" s="48">
        <v>120</v>
      </c>
      <c r="AW554" s="48">
        <v>114</v>
      </c>
      <c r="AX554" s="48">
        <v>28</v>
      </c>
      <c r="AY554" s="48" t="s">
        <v>8728</v>
      </c>
      <c r="AZ554" s="48" t="s">
        <v>1563</v>
      </c>
      <c r="BA554" s="48">
        <v>32</v>
      </c>
      <c r="BB554" s="47" t="s">
        <v>2485</v>
      </c>
      <c r="BC554" s="47" t="s">
        <v>8726</v>
      </c>
      <c r="BD554" s="47" t="s">
        <v>8374</v>
      </c>
      <c r="BE554" s="48" t="s">
        <v>2449</v>
      </c>
      <c r="BF554" s="48" t="s">
        <v>272</v>
      </c>
      <c r="BG554" s="48" t="s">
        <v>272</v>
      </c>
      <c r="BH554" s="48" t="s">
        <v>2486</v>
      </c>
      <c r="BI554" s="98">
        <v>6.9209600000000001E-4</v>
      </c>
      <c r="BJ554" s="98">
        <v>6.92096</v>
      </c>
      <c r="BK554" s="48"/>
      <c r="BL554" s="487">
        <v>3991.0793756989056</v>
      </c>
      <c r="BM554" s="47" t="s">
        <v>2487</v>
      </c>
      <c r="BN554" s="48"/>
      <c r="BO554" s="48"/>
      <c r="BP554" s="48"/>
      <c r="BQ554" s="48"/>
      <c r="BR554" s="47" t="e">
        <v>#VALUE!</v>
      </c>
      <c r="BS554" s="48"/>
      <c r="BT554" s="48"/>
      <c r="BU554" s="228"/>
      <c r="BV554" s="48"/>
      <c r="BW554" s="48"/>
      <c r="BX554" s="48"/>
      <c r="BY554" s="48"/>
      <c r="BZ554" s="48"/>
      <c r="CA554" s="48"/>
      <c r="CB554" s="48"/>
      <c r="CC554" s="48"/>
      <c r="CD554" s="48"/>
      <c r="CE554" s="48"/>
      <c r="CF554" s="48"/>
      <c r="CG554" s="48"/>
      <c r="CH554" s="48"/>
      <c r="CI554" s="98"/>
      <c r="CJ554" s="98"/>
      <c r="CK554" s="49">
        <f t="shared" si="132"/>
        <v>576.66557467445352</v>
      </c>
      <c r="CL554" s="229"/>
      <c r="CM554" s="229"/>
      <c r="CN554" s="229"/>
      <c r="CO554" s="47" t="s">
        <v>2488</v>
      </c>
      <c r="CP554" s="500" t="s">
        <v>2489</v>
      </c>
      <c r="CQ554" s="224" t="s">
        <v>272</v>
      </c>
      <c r="CR554" s="224"/>
      <c r="CS554" s="230" t="s">
        <v>539</v>
      </c>
      <c r="CT554" s="230"/>
      <c r="CU554" s="230"/>
      <c r="CV554" s="335">
        <f t="shared" si="133"/>
        <v>5837.3404845570558</v>
      </c>
      <c r="CW554" s="230">
        <f t="shared" si="131"/>
        <v>1</v>
      </c>
      <c r="CX554" s="336"/>
      <c r="CY554" s="230" t="s">
        <v>6351</v>
      </c>
    </row>
    <row r="555" spans="1:103" ht="11.25" customHeight="1" x14ac:dyDescent="0.2">
      <c r="A555" s="72">
        <v>869</v>
      </c>
      <c r="B555" s="224">
        <v>1393</v>
      </c>
      <c r="C555" s="46" t="s">
        <v>7065</v>
      </c>
      <c r="D555" s="46" t="s">
        <v>8703</v>
      </c>
      <c r="E555" s="114"/>
      <c r="F555" s="114" t="s">
        <v>4295</v>
      </c>
      <c r="G555" s="225">
        <v>95578</v>
      </c>
      <c r="H555" s="47" t="s">
        <v>4296</v>
      </c>
      <c r="I555" s="47" t="s">
        <v>8010</v>
      </c>
      <c r="J555" s="47" t="s">
        <v>4297</v>
      </c>
      <c r="K555" s="47" t="s">
        <v>349</v>
      </c>
      <c r="L555" s="47" t="s">
        <v>5527</v>
      </c>
      <c r="M555" s="47" t="s">
        <v>6082</v>
      </c>
      <c r="N555" s="47" t="s">
        <v>6082</v>
      </c>
      <c r="O555" s="47" t="s">
        <v>6083</v>
      </c>
      <c r="P555" s="53" t="s">
        <v>6184</v>
      </c>
      <c r="Q555" s="53" t="s">
        <v>6176</v>
      </c>
      <c r="R555" s="53" t="s">
        <v>6185</v>
      </c>
      <c r="S555" s="53" t="s">
        <v>6176</v>
      </c>
      <c r="T555" s="48">
        <v>128.56</v>
      </c>
      <c r="U555" s="98">
        <v>28500</v>
      </c>
      <c r="V555" s="98">
        <v>5165</v>
      </c>
      <c r="W555" s="98">
        <v>2878.0998957434567</v>
      </c>
      <c r="X555" s="98">
        <v>28500</v>
      </c>
      <c r="Y555" s="233">
        <v>5.07</v>
      </c>
      <c r="Z555" s="48">
        <v>2.16</v>
      </c>
      <c r="AA555" s="48">
        <v>2.15</v>
      </c>
      <c r="AB555" s="48">
        <v>2.3199999999999998</v>
      </c>
      <c r="AC555" s="48">
        <v>0.85680000000000001</v>
      </c>
      <c r="AD555" s="48">
        <v>2.2400000000000002</v>
      </c>
      <c r="AE555" s="48">
        <v>2.04</v>
      </c>
      <c r="AF555" s="48">
        <f t="shared" si="134"/>
        <v>2.15</v>
      </c>
      <c r="AG555" s="49">
        <v>2.14</v>
      </c>
      <c r="AH555" s="98">
        <v>4.15E-7</v>
      </c>
      <c r="AI555" s="98">
        <v>1.1199999999999999E-5</v>
      </c>
      <c r="AJ555" s="483">
        <f t="shared" si="137"/>
        <v>-4.770518229600559</v>
      </c>
      <c r="AK555" s="483">
        <f t="shared" si="135"/>
        <v>-3.33934830364247</v>
      </c>
      <c r="AL555" s="483">
        <f t="shared" si="136"/>
        <v>-3.33934830364247</v>
      </c>
      <c r="AM555" s="483">
        <v>-5.4185800000000004</v>
      </c>
      <c r="AN555" s="226">
        <v>-3.03</v>
      </c>
      <c r="AO555" s="484">
        <v>8.5</v>
      </c>
      <c r="AP555" s="484"/>
      <c r="AQ555" s="48" t="s">
        <v>6311</v>
      </c>
      <c r="AR555" s="48" t="s">
        <v>6311</v>
      </c>
      <c r="AS555" s="227"/>
      <c r="AT555" s="50" t="s">
        <v>266</v>
      </c>
      <c r="AU555" s="48">
        <v>6</v>
      </c>
      <c r="AV555" s="48">
        <v>120</v>
      </c>
      <c r="AW555" s="48">
        <v>114</v>
      </c>
      <c r="AX555" s="48">
        <v>28</v>
      </c>
      <c r="AY555" s="48" t="s">
        <v>8728</v>
      </c>
      <c r="AZ555" s="48" t="s">
        <v>1563</v>
      </c>
      <c r="BA555" s="48">
        <v>32</v>
      </c>
      <c r="BB555" s="47" t="s">
        <v>2485</v>
      </c>
      <c r="BC555" s="47" t="s">
        <v>8726</v>
      </c>
      <c r="BD555" s="47" t="s">
        <v>8374</v>
      </c>
      <c r="BE555" s="48" t="s">
        <v>2449</v>
      </c>
      <c r="BF555" s="48" t="s">
        <v>272</v>
      </c>
      <c r="BG555" s="48" t="s">
        <v>272</v>
      </c>
      <c r="BH555" s="48" t="s">
        <v>2486</v>
      </c>
      <c r="BI555" s="98">
        <v>8.2278400000000002E-4</v>
      </c>
      <c r="BJ555" s="98">
        <v>8.2278400000000005</v>
      </c>
      <c r="BK555" s="48"/>
      <c r="BL555" s="487">
        <v>75.859480414180325</v>
      </c>
      <c r="BM555" s="47" t="s">
        <v>2487</v>
      </c>
      <c r="BN555" s="48"/>
      <c r="BO555" s="48"/>
      <c r="BP555" s="48"/>
      <c r="BQ555" s="48"/>
      <c r="BR555" s="47" t="e">
        <v>#VALUE!</v>
      </c>
      <c r="BS555" s="48"/>
      <c r="BT555" s="48"/>
      <c r="BU555" s="228"/>
      <c r="BV555" s="48"/>
      <c r="BW555" s="48"/>
      <c r="BX555" s="48"/>
      <c r="BY555" s="48"/>
      <c r="BZ555" s="48"/>
      <c r="CA555" s="48"/>
      <c r="CB555" s="48"/>
      <c r="CC555" s="48"/>
      <c r="CD555" s="48"/>
      <c r="CE555" s="48"/>
      <c r="CF555" s="48"/>
      <c r="CG555" s="48"/>
      <c r="CH555" s="48"/>
      <c r="CI555" s="98"/>
      <c r="CJ555" s="98"/>
      <c r="CK555" s="49">
        <f t="shared" si="132"/>
        <v>9.2198536206562505</v>
      </c>
      <c r="CL555" s="229"/>
      <c r="CM555" s="229"/>
      <c r="CN555" s="229"/>
      <c r="CO555" s="47" t="s">
        <v>2488</v>
      </c>
      <c r="CP555" s="500" t="s">
        <v>2489</v>
      </c>
      <c r="CQ555" s="224">
        <v>1.0229965008599975</v>
      </c>
      <c r="CR555" s="224">
        <f>10^(CJ555-CQ555)</f>
        <v>9.4842610480336043E-2</v>
      </c>
      <c r="CS555" s="230" t="s">
        <v>539</v>
      </c>
      <c r="CT555" s="230"/>
      <c r="CU555" s="230"/>
      <c r="CV555" s="335">
        <f t="shared" si="133"/>
        <v>3463.8495644057248</v>
      </c>
      <c r="CW555" s="230">
        <f t="shared" si="131"/>
        <v>1</v>
      </c>
      <c r="CX555" s="336"/>
      <c r="CY555" s="230" t="s">
        <v>6351</v>
      </c>
    </row>
    <row r="556" spans="1:103" ht="11.25" customHeight="1" x14ac:dyDescent="0.2">
      <c r="A556" s="72">
        <v>870</v>
      </c>
      <c r="B556" s="224">
        <v>897</v>
      </c>
      <c r="C556" s="46" t="s">
        <v>7066</v>
      </c>
      <c r="D556" s="46"/>
      <c r="E556" s="114"/>
      <c r="F556" s="114" t="s">
        <v>2555</v>
      </c>
      <c r="G556" s="225">
        <v>95636</v>
      </c>
      <c r="H556" s="47" t="s">
        <v>2556</v>
      </c>
      <c r="I556" s="47" t="s">
        <v>2556</v>
      </c>
      <c r="J556" s="47" t="s">
        <v>2557</v>
      </c>
      <c r="K556" s="47" t="s">
        <v>426</v>
      </c>
      <c r="L556" s="47" t="s">
        <v>5492</v>
      </c>
      <c r="M556" s="47" t="s">
        <v>5960</v>
      </c>
      <c r="N556" s="47"/>
      <c r="O556" s="47"/>
      <c r="P556" s="53" t="s">
        <v>6183</v>
      </c>
      <c r="Q556" s="53" t="s">
        <v>6182</v>
      </c>
      <c r="R556" s="53" t="s">
        <v>6185</v>
      </c>
      <c r="S556" s="53" t="s">
        <v>6176</v>
      </c>
      <c r="T556" s="48">
        <v>120.19</v>
      </c>
      <c r="U556" s="98">
        <v>57</v>
      </c>
      <c r="V556" s="98">
        <v>79.59</v>
      </c>
      <c r="W556" s="98">
        <v>42.645021251983394</v>
      </c>
      <c r="X556" s="98">
        <v>57</v>
      </c>
      <c r="Y556" s="233">
        <v>7</v>
      </c>
      <c r="Z556" s="48">
        <v>3.63</v>
      </c>
      <c r="AA556" s="48">
        <v>3.63</v>
      </c>
      <c r="AB556" s="48">
        <v>3.9</v>
      </c>
      <c r="AC556" s="48">
        <v>0.88629999999999998</v>
      </c>
      <c r="AD556" s="48">
        <v>3.83</v>
      </c>
      <c r="AE556" s="48">
        <v>3.6</v>
      </c>
      <c r="AF556" s="48">
        <f t="shared" si="134"/>
        <v>3.63</v>
      </c>
      <c r="AG556" s="49">
        <v>3.19</v>
      </c>
      <c r="AH556" s="98">
        <v>7.2399999999999999E-3</v>
      </c>
      <c r="AI556" s="98">
        <v>6.1599999999999997E-3</v>
      </c>
      <c r="AJ556" s="483">
        <f t="shared" si="137"/>
        <v>-0.52882776011550481</v>
      </c>
      <c r="AK556" s="483">
        <f t="shared" si="135"/>
        <v>-0.59898561414822638</v>
      </c>
      <c r="AL556" s="483">
        <f t="shared" si="136"/>
        <v>-0.59898561414822638</v>
      </c>
      <c r="AM556" s="483">
        <v>-2.1817100000000003</v>
      </c>
      <c r="AN556" s="226">
        <v>-0.71599999999999997</v>
      </c>
      <c r="AO556" s="484"/>
      <c r="AP556" s="484"/>
      <c r="AQ556" s="48" t="s">
        <v>6311</v>
      </c>
      <c r="AR556" s="48" t="s">
        <v>6311</v>
      </c>
      <c r="AS556" s="227"/>
      <c r="AT556" s="50" t="s">
        <v>266</v>
      </c>
      <c r="AU556" s="48">
        <v>6</v>
      </c>
      <c r="AV556" s="48">
        <v>120</v>
      </c>
      <c r="AW556" s="48">
        <v>114</v>
      </c>
      <c r="AX556" s="48">
        <v>28</v>
      </c>
      <c r="AY556" s="48" t="s">
        <v>8728</v>
      </c>
      <c r="AZ556" s="48" t="s">
        <v>1563</v>
      </c>
      <c r="BA556" s="48">
        <v>32</v>
      </c>
      <c r="BB556" s="47" t="s">
        <v>2485</v>
      </c>
      <c r="BC556" s="47" t="s">
        <v>8726</v>
      </c>
      <c r="BD556" s="47" t="s">
        <v>8374</v>
      </c>
      <c r="BE556" s="48" t="s">
        <v>2449</v>
      </c>
      <c r="BF556" s="48" t="s">
        <v>272</v>
      </c>
      <c r="BG556" s="48" t="s">
        <v>272</v>
      </c>
      <c r="BH556" s="48" t="s">
        <v>2486</v>
      </c>
      <c r="BI556" s="98">
        <v>7.6921599999999998E-4</v>
      </c>
      <c r="BJ556" s="98">
        <v>7.6921600000000003</v>
      </c>
      <c r="BK556" s="48"/>
      <c r="BL556" s="487">
        <v>3.3928552774933203</v>
      </c>
      <c r="BM556" s="47" t="s">
        <v>2487</v>
      </c>
      <c r="BN556" s="48"/>
      <c r="BO556" s="48"/>
      <c r="BP556" s="48"/>
      <c r="BQ556" s="48"/>
      <c r="BR556" s="47" t="e">
        <v>#VALUE!</v>
      </c>
      <c r="BS556" s="48"/>
      <c r="BT556" s="48"/>
      <c r="BU556" s="228">
        <v>8.0046539999999999E-3</v>
      </c>
      <c r="BV556" s="48"/>
      <c r="BW556" s="48"/>
      <c r="BX556" s="48"/>
      <c r="BY556" s="48"/>
      <c r="BZ556" s="48"/>
      <c r="CA556" s="48"/>
      <c r="CB556" s="48"/>
      <c r="CC556" s="48"/>
      <c r="CD556" s="48"/>
      <c r="CE556" s="48"/>
      <c r="CF556" s="48"/>
      <c r="CG556" s="48"/>
      <c r="CH556" s="48"/>
      <c r="CI556" s="98"/>
      <c r="CJ556" s="98"/>
      <c r="CK556" s="49">
        <f t="shared" si="132"/>
        <v>0.44107965480350386</v>
      </c>
      <c r="CL556" s="229"/>
      <c r="CM556" s="229"/>
      <c r="CN556" s="229"/>
      <c r="CO556" s="47" t="s">
        <v>2488</v>
      </c>
      <c r="CP556" s="500" t="s">
        <v>2489</v>
      </c>
      <c r="CQ556" s="224">
        <v>0.88873951079696234</v>
      </c>
      <c r="CR556" s="224">
        <f>10^(CJ556-CQ556)</f>
        <v>0.12919939773789432</v>
      </c>
      <c r="CS556" s="230" t="s">
        <v>539</v>
      </c>
      <c r="CT556" s="230"/>
      <c r="CU556" s="230"/>
      <c r="CV556" s="335">
        <f t="shared" si="133"/>
        <v>7.4101422747316743</v>
      </c>
      <c r="CW556" s="230">
        <f t="shared" si="131"/>
        <v>1</v>
      </c>
      <c r="CX556" s="336"/>
      <c r="CY556" s="230" t="s">
        <v>6351</v>
      </c>
    </row>
    <row r="557" spans="1:103" ht="11.25" customHeight="1" x14ac:dyDescent="0.2">
      <c r="A557" s="72">
        <v>871</v>
      </c>
      <c r="B557" s="224">
        <v>1442</v>
      </c>
      <c r="C557" s="46" t="s">
        <v>7067</v>
      </c>
      <c r="D557" s="46"/>
      <c r="E557" s="114"/>
      <c r="F557" s="114" t="s">
        <v>4435</v>
      </c>
      <c r="G557" s="225">
        <v>95658</v>
      </c>
      <c r="H557" s="47" t="s">
        <v>4436</v>
      </c>
      <c r="I557" s="47" t="s">
        <v>4436</v>
      </c>
      <c r="J557" s="47" t="s">
        <v>4437</v>
      </c>
      <c r="K557" s="47" t="s">
        <v>349</v>
      </c>
      <c r="L557" s="47" t="s">
        <v>5527</v>
      </c>
      <c r="M557" s="47" t="s">
        <v>5960</v>
      </c>
      <c r="N557" s="47"/>
      <c r="O557" s="47"/>
      <c r="P557" s="53" t="s">
        <v>6184</v>
      </c>
      <c r="Q557" s="53" t="s">
        <v>6182</v>
      </c>
      <c r="R557" s="53" t="s">
        <v>6185</v>
      </c>
      <c r="S557" s="53" t="s">
        <v>6176</v>
      </c>
      <c r="T557" s="48">
        <v>122.16</v>
      </c>
      <c r="U557" s="98">
        <v>4760</v>
      </c>
      <c r="V557" s="98">
        <v>4668</v>
      </c>
      <c r="W557" s="98">
        <v>6869.5616285253018</v>
      </c>
      <c r="X557" s="98">
        <v>4760</v>
      </c>
      <c r="Y557" s="233">
        <v>5.81</v>
      </c>
      <c r="Z557" s="48">
        <v>2.61</v>
      </c>
      <c r="AA557" s="48">
        <v>2.23</v>
      </c>
      <c r="AB557" s="48">
        <v>2.35</v>
      </c>
      <c r="AC557" s="48">
        <v>0.97360000000000002</v>
      </c>
      <c r="AD557" s="48">
        <v>2.36</v>
      </c>
      <c r="AE557" s="48">
        <v>2.4</v>
      </c>
      <c r="AF557" s="48">
        <f t="shared" si="134"/>
        <v>2.23</v>
      </c>
      <c r="AG557" s="49">
        <v>2.39</v>
      </c>
      <c r="AH557" s="98">
        <v>6.8299999999999996E-7</v>
      </c>
      <c r="AI557" s="98">
        <v>4.15E-7</v>
      </c>
      <c r="AJ557" s="483">
        <f t="shared" si="137"/>
        <v>-4.5541456226311192</v>
      </c>
      <c r="AK557" s="483">
        <f t="shared" si="135"/>
        <v>-4.770518229600559</v>
      </c>
      <c r="AL557" s="483">
        <f t="shared" si="136"/>
        <v>-4.770518229600559</v>
      </c>
      <c r="AM557" s="483">
        <v>-6.4130500000000001</v>
      </c>
      <c r="AN557" s="226">
        <v>-4.83</v>
      </c>
      <c r="AO557" s="484">
        <v>10.38</v>
      </c>
      <c r="AP557" s="484"/>
      <c r="AQ557" s="48" t="s">
        <v>6311</v>
      </c>
      <c r="AR557" s="48" t="s">
        <v>6311</v>
      </c>
      <c r="AS557" s="227"/>
      <c r="AT557" s="50" t="s">
        <v>266</v>
      </c>
      <c r="AU557" s="48">
        <v>6</v>
      </c>
      <c r="AV557" s="48">
        <v>120</v>
      </c>
      <c r="AW557" s="48">
        <v>114</v>
      </c>
      <c r="AX557" s="48">
        <v>28</v>
      </c>
      <c r="AY557" s="48" t="s">
        <v>8728</v>
      </c>
      <c r="AZ557" s="48" t="s">
        <v>1563</v>
      </c>
      <c r="BA557" s="48">
        <v>32</v>
      </c>
      <c r="BB557" s="47" t="s">
        <v>2485</v>
      </c>
      <c r="BC557" s="47" t="s">
        <v>8726</v>
      </c>
      <c r="BD557" s="47" t="s">
        <v>8374</v>
      </c>
      <c r="BE557" s="48" t="s">
        <v>2449</v>
      </c>
      <c r="BF557" s="48" t="s">
        <v>272</v>
      </c>
      <c r="BG557" s="48" t="s">
        <v>272</v>
      </c>
      <c r="BH557" s="48" t="s">
        <v>2486</v>
      </c>
      <c r="BI557" s="98">
        <v>7.8182399999999997E-4</v>
      </c>
      <c r="BJ557" s="98">
        <v>7.8182400000000003</v>
      </c>
      <c r="BK557" s="48"/>
      <c r="BL557" s="487">
        <v>28.424185192030809</v>
      </c>
      <c r="BM557" s="47" t="s">
        <v>2487</v>
      </c>
      <c r="BN557" s="48"/>
      <c r="BO557" s="48"/>
      <c r="BP557" s="48"/>
      <c r="BQ557" s="48"/>
      <c r="BR557" s="47" t="e">
        <v>#VALUE!</v>
      </c>
      <c r="BS557" s="48"/>
      <c r="BT557" s="48"/>
      <c r="BU557" s="228"/>
      <c r="BV557" s="48"/>
      <c r="BW557" s="48"/>
      <c r="BX557" s="48"/>
      <c r="BY557" s="48"/>
      <c r="BZ557" s="48"/>
      <c r="CA557" s="48"/>
      <c r="CB557" s="48"/>
      <c r="CC557" s="48"/>
      <c r="CD557" s="48"/>
      <c r="CE557" s="48"/>
      <c r="CF557" s="48"/>
      <c r="CG557" s="48"/>
      <c r="CH557" s="48"/>
      <c r="CI557" s="98"/>
      <c r="CJ557" s="98"/>
      <c r="CK557" s="49">
        <f t="shared" si="132"/>
        <v>3.6356245385190027</v>
      </c>
      <c r="CL557" s="229"/>
      <c r="CM557" s="229"/>
      <c r="CN557" s="229"/>
      <c r="CO557" s="47" t="s">
        <v>2488</v>
      </c>
      <c r="CP557" s="500" t="s">
        <v>2489</v>
      </c>
      <c r="CQ557" s="224">
        <v>1.1669886970876258</v>
      </c>
      <c r="CR557" s="224">
        <f>10^(CJ557-CQ557)</f>
        <v>6.8078707657149573E-2</v>
      </c>
      <c r="CS557" s="230" t="s">
        <v>539</v>
      </c>
      <c r="CT557" s="230"/>
      <c r="CU557" s="230"/>
      <c r="CV557" s="335">
        <f t="shared" si="133"/>
        <v>608.83267845448586</v>
      </c>
      <c r="CW557" s="230">
        <f t="shared" si="131"/>
        <v>1</v>
      </c>
      <c r="CX557" s="336"/>
      <c r="CY557" s="230" t="s">
        <v>5921</v>
      </c>
    </row>
    <row r="558" spans="1:103" ht="11.25" customHeight="1" x14ac:dyDescent="0.2">
      <c r="A558" s="72">
        <v>872</v>
      </c>
      <c r="B558" s="224">
        <v>1414</v>
      </c>
      <c r="C558" s="46" t="s">
        <v>7068</v>
      </c>
      <c r="D558" s="46"/>
      <c r="E558" s="114"/>
      <c r="F558" s="114" t="s">
        <v>4351</v>
      </c>
      <c r="G558" s="225">
        <v>95807</v>
      </c>
      <c r="H558" s="47" t="s">
        <v>4352</v>
      </c>
      <c r="I558" s="47" t="s">
        <v>4352</v>
      </c>
      <c r="J558" s="47" t="s">
        <v>4353</v>
      </c>
      <c r="K558" s="47" t="s">
        <v>3700</v>
      </c>
      <c r="L558" s="47"/>
      <c r="M558" s="47"/>
      <c r="N558" s="47"/>
      <c r="O558" s="47"/>
      <c r="P558" s="53"/>
      <c r="Q558" s="53"/>
      <c r="R558" s="53"/>
      <c r="S558" s="53"/>
      <c r="T558" s="48">
        <v>122.17</v>
      </c>
      <c r="U558" s="98"/>
      <c r="V558" s="98">
        <v>74820</v>
      </c>
      <c r="W558" s="98">
        <v>41396.590555526374</v>
      </c>
      <c r="X558" s="98">
        <v>41396.590555526374</v>
      </c>
      <c r="Y558" s="233">
        <v>9.33</v>
      </c>
      <c r="Z558" s="48">
        <v>0.16</v>
      </c>
      <c r="AA558" s="48">
        <v>0.14000000000000001</v>
      </c>
      <c r="AB558" s="48">
        <v>0.37</v>
      </c>
      <c r="AC558" s="48">
        <v>0.85460000000000003</v>
      </c>
      <c r="AD558" s="48">
        <v>0.31</v>
      </c>
      <c r="AE558" s="48">
        <v>0.15</v>
      </c>
      <c r="AF558" s="48">
        <f t="shared" si="134"/>
        <v>0.14000000000000001</v>
      </c>
      <c r="AG558" s="49">
        <v>0.88</v>
      </c>
      <c r="AH558" s="98">
        <v>7.4300000000000002E-10</v>
      </c>
      <c r="AI558" s="98"/>
      <c r="AJ558" s="483">
        <f t="shared" si="137"/>
        <v>-7.5175775125520765</v>
      </c>
      <c r="AK558" s="483"/>
      <c r="AL558" s="483">
        <f t="shared" si="136"/>
        <v>-7.5175775125520765</v>
      </c>
      <c r="AM558" s="483">
        <v>-9.8213699999999982</v>
      </c>
      <c r="AN558" s="226">
        <v>-7.33</v>
      </c>
      <c r="AO558" s="484"/>
      <c r="AP558" s="484">
        <v>5.0199999999999996</v>
      </c>
      <c r="AQ558" s="48" t="s">
        <v>6311</v>
      </c>
      <c r="AR558" s="48" t="s">
        <v>6311</v>
      </c>
      <c r="AS558" s="227"/>
      <c r="AT558" s="50" t="s">
        <v>266</v>
      </c>
      <c r="AU558" s="48">
        <v>6</v>
      </c>
      <c r="AV558" s="48">
        <v>120</v>
      </c>
      <c r="AW558" s="48">
        <v>114</v>
      </c>
      <c r="AX558" s="48">
        <v>28</v>
      </c>
      <c r="AY558" s="48" t="s">
        <v>8728</v>
      </c>
      <c r="AZ558" s="48" t="s">
        <v>1563</v>
      </c>
      <c r="BA558" s="48">
        <v>32</v>
      </c>
      <c r="BB558" s="47" t="s">
        <v>2485</v>
      </c>
      <c r="BC558" s="47" t="s">
        <v>8726</v>
      </c>
      <c r="BD558" s="47" t="s">
        <v>8374</v>
      </c>
      <c r="BE558" s="48" t="s">
        <v>2449</v>
      </c>
      <c r="BF558" s="48" t="s">
        <v>272</v>
      </c>
      <c r="BG558" s="48" t="s">
        <v>272</v>
      </c>
      <c r="BH558" s="48" t="s">
        <v>2486</v>
      </c>
      <c r="BI558" s="98">
        <v>7.8188800000000001E-4</v>
      </c>
      <c r="BJ558" s="98">
        <v>7.8188800000000001</v>
      </c>
      <c r="BK558" s="48"/>
      <c r="BL558" s="487">
        <v>4508.8789285105904</v>
      </c>
      <c r="BM558" s="47" t="s">
        <v>2487</v>
      </c>
      <c r="BN558" s="48"/>
      <c r="BO558" s="48"/>
      <c r="BP558" s="48"/>
      <c r="BQ558" s="48"/>
      <c r="BR558" s="47" t="e">
        <v>#VALUE!</v>
      </c>
      <c r="BS558" s="48"/>
      <c r="BT558" s="48"/>
      <c r="BU558" s="228"/>
      <c r="BV558" s="48"/>
      <c r="BW558" s="48"/>
      <c r="BX558" s="48"/>
      <c r="BY558" s="48"/>
      <c r="BZ558" s="48"/>
      <c r="CA558" s="48"/>
      <c r="CB558" s="48"/>
      <c r="CC558" s="48"/>
      <c r="CD558" s="48"/>
      <c r="CE558" s="48"/>
      <c r="CF558" s="48"/>
      <c r="CG558" s="48"/>
      <c r="CH558" s="48"/>
      <c r="CI558" s="98"/>
      <c r="CJ558" s="98"/>
      <c r="CK558" s="49">
        <f t="shared" si="132"/>
        <v>576.66557467445341</v>
      </c>
      <c r="CL558" s="229"/>
      <c r="CM558" s="229"/>
      <c r="CN558" s="229"/>
      <c r="CO558" s="47" t="s">
        <v>2488</v>
      </c>
      <c r="CP558" s="500" t="s">
        <v>2489</v>
      </c>
      <c r="CQ558" s="224">
        <v>3.1583624920952498</v>
      </c>
      <c r="CR558" s="224">
        <f>10^(CJ558-CQ558)</f>
        <v>6.944444444444436E-4</v>
      </c>
      <c r="CS558" s="230" t="s">
        <v>539</v>
      </c>
      <c r="CT558" s="230"/>
      <c r="CU558" s="230"/>
      <c r="CV558" s="335">
        <f t="shared" si="133"/>
        <v>5294.4399396750396</v>
      </c>
      <c r="CW558" s="230">
        <f t="shared" si="131"/>
        <v>1</v>
      </c>
      <c r="CX558" s="336"/>
      <c r="CY558" s="230" t="s">
        <v>6351</v>
      </c>
    </row>
    <row r="559" spans="1:103" ht="11.25" customHeight="1" x14ac:dyDescent="0.2">
      <c r="A559" s="72">
        <v>873</v>
      </c>
      <c r="B559" s="224">
        <v>1421</v>
      </c>
      <c r="C559" s="46" t="s">
        <v>7069</v>
      </c>
      <c r="D559" s="46"/>
      <c r="E559" s="114"/>
      <c r="F559" s="114" t="s">
        <v>4372</v>
      </c>
      <c r="G559" s="225">
        <v>95874</v>
      </c>
      <c r="H559" s="47" t="s">
        <v>4373</v>
      </c>
      <c r="I559" s="47" t="s">
        <v>4373</v>
      </c>
      <c r="J559" s="47" t="s">
        <v>4374</v>
      </c>
      <c r="K559" s="47" t="s">
        <v>349</v>
      </c>
      <c r="L559" s="47"/>
      <c r="M559" s="47"/>
      <c r="N559" s="47"/>
      <c r="O559" s="47"/>
      <c r="P559" s="53"/>
      <c r="Q559" s="53"/>
      <c r="R559" s="53"/>
      <c r="S559" s="53"/>
      <c r="T559" s="48">
        <v>122.16</v>
      </c>
      <c r="U559" s="98">
        <v>3540</v>
      </c>
      <c r="V559" s="98">
        <v>3835</v>
      </c>
      <c r="W559" s="98">
        <v>6869.5616285253018</v>
      </c>
      <c r="X559" s="98">
        <v>3540</v>
      </c>
      <c r="Y559" s="233">
        <v>5.84</v>
      </c>
      <c r="Z559" s="48">
        <v>2.61</v>
      </c>
      <c r="AA559" s="48">
        <v>2.33</v>
      </c>
      <c r="AB559" s="48">
        <v>2.35</v>
      </c>
      <c r="AC559" s="48">
        <v>0.97360000000000002</v>
      </c>
      <c r="AD559" s="48">
        <v>2.36</v>
      </c>
      <c r="AE559" s="48">
        <v>2.4</v>
      </c>
      <c r="AF559" s="48">
        <f t="shared" si="134"/>
        <v>2.33</v>
      </c>
      <c r="AG559" s="49">
        <v>2.39</v>
      </c>
      <c r="AH559" s="98">
        <v>6.8299999999999996E-7</v>
      </c>
      <c r="AI559" s="98">
        <v>1.1200000000000001E-6</v>
      </c>
      <c r="AJ559" s="483">
        <f t="shared" si="137"/>
        <v>-4.5541456226311192</v>
      </c>
      <c r="AK559" s="483">
        <f>LOG10(AI559*1000/(0.08206*298.15))</f>
        <v>-4.3393483036424705</v>
      </c>
      <c r="AL559" s="483">
        <f t="shared" si="136"/>
        <v>-4.3393483036424705</v>
      </c>
      <c r="AM559" s="483">
        <v>-6.4130500000000001</v>
      </c>
      <c r="AN559" s="226">
        <v>-4.17</v>
      </c>
      <c r="AO559" s="484">
        <v>10.42</v>
      </c>
      <c r="AP559" s="484"/>
      <c r="AQ559" s="48" t="s">
        <v>6311</v>
      </c>
      <c r="AR559" s="48" t="s">
        <v>6311</v>
      </c>
      <c r="AS559" s="227"/>
      <c r="AT559" s="50" t="s">
        <v>266</v>
      </c>
      <c r="AU559" s="48">
        <v>6</v>
      </c>
      <c r="AV559" s="48">
        <v>120</v>
      </c>
      <c r="AW559" s="48">
        <v>114</v>
      </c>
      <c r="AX559" s="48">
        <v>28</v>
      </c>
      <c r="AY559" s="48" t="s">
        <v>8728</v>
      </c>
      <c r="AZ559" s="48" t="s">
        <v>1563</v>
      </c>
      <c r="BA559" s="48">
        <v>32</v>
      </c>
      <c r="BB559" s="47" t="s">
        <v>2485</v>
      </c>
      <c r="BC559" s="47" t="s">
        <v>8726</v>
      </c>
      <c r="BD559" s="47" t="s">
        <v>8374</v>
      </c>
      <c r="BE559" s="48" t="s">
        <v>2449</v>
      </c>
      <c r="BF559" s="48" t="s">
        <v>272</v>
      </c>
      <c r="BG559" s="48" t="s">
        <v>272</v>
      </c>
      <c r="BH559" s="48" t="s">
        <v>2486</v>
      </c>
      <c r="BI559" s="98">
        <v>7.8182399999999997E-4</v>
      </c>
      <c r="BJ559" s="98">
        <v>7.8182400000000003</v>
      </c>
      <c r="BK559" s="48"/>
      <c r="BL559" s="487">
        <v>28.424185192030809</v>
      </c>
      <c r="BM559" s="47" t="s">
        <v>2487</v>
      </c>
      <c r="BN559" s="48"/>
      <c r="BO559" s="48"/>
      <c r="BP559" s="48"/>
      <c r="BQ559" s="48"/>
      <c r="BR559" s="47" t="e">
        <v>#VALUE!</v>
      </c>
      <c r="BS559" s="48"/>
      <c r="BT559" s="48"/>
      <c r="BU559" s="228"/>
      <c r="BV559" s="48"/>
      <c r="BW559" s="48"/>
      <c r="BX559" s="48"/>
      <c r="BY559" s="48"/>
      <c r="BZ559" s="48"/>
      <c r="CA559" s="48"/>
      <c r="CB559" s="48"/>
      <c r="CC559" s="48"/>
      <c r="CD559" s="48"/>
      <c r="CE559" s="48"/>
      <c r="CF559" s="48"/>
      <c r="CG559" s="48"/>
      <c r="CH559" s="48"/>
      <c r="CI559" s="98"/>
      <c r="CJ559" s="98"/>
      <c r="CK559" s="49">
        <f t="shared" si="132"/>
        <v>3.6356245385190027</v>
      </c>
      <c r="CL559" s="229"/>
      <c r="CM559" s="229"/>
      <c r="CN559" s="229"/>
      <c r="CO559" s="47" t="s">
        <v>2488</v>
      </c>
      <c r="CP559" s="500" t="s">
        <v>2489</v>
      </c>
      <c r="CQ559" s="224" t="s">
        <v>272</v>
      </c>
      <c r="CR559" s="224"/>
      <c r="CS559" s="230" t="s">
        <v>539</v>
      </c>
      <c r="CT559" s="230"/>
      <c r="CU559" s="230"/>
      <c r="CV559" s="335">
        <f t="shared" si="133"/>
        <v>452.78732809430255</v>
      </c>
      <c r="CW559" s="230">
        <f t="shared" si="131"/>
        <v>1</v>
      </c>
      <c r="CX559" s="336"/>
      <c r="CY559" s="230" t="s">
        <v>6351</v>
      </c>
    </row>
    <row r="560" spans="1:103" ht="11.25" customHeight="1" x14ac:dyDescent="0.2">
      <c r="A560" s="72">
        <v>874</v>
      </c>
      <c r="B560" s="224">
        <v>1877</v>
      </c>
      <c r="C560" s="46" t="s">
        <v>7070</v>
      </c>
      <c r="D560" s="46"/>
      <c r="E560" s="114"/>
      <c r="F560" s="114" t="s">
        <v>5329</v>
      </c>
      <c r="G560" s="225">
        <v>96093</v>
      </c>
      <c r="H560" s="47" t="s">
        <v>5330</v>
      </c>
      <c r="I560" s="47" t="s">
        <v>5330</v>
      </c>
      <c r="J560" s="47" t="s">
        <v>5331</v>
      </c>
      <c r="K560" s="47" t="s">
        <v>3346</v>
      </c>
      <c r="L560" s="47"/>
      <c r="M560" s="47"/>
      <c r="N560" s="47"/>
      <c r="O560" s="47"/>
      <c r="P560" s="53" t="s">
        <v>6172</v>
      </c>
      <c r="Q560" s="53" t="s">
        <v>6176</v>
      </c>
      <c r="R560" s="53" t="s">
        <v>6175</v>
      </c>
      <c r="S560" s="53" t="s">
        <v>6173</v>
      </c>
      <c r="T560" s="48">
        <v>120.15</v>
      </c>
      <c r="U560" s="98">
        <v>3000</v>
      </c>
      <c r="V560" s="98">
        <v>4228</v>
      </c>
      <c r="W560" s="98">
        <v>2453.148140520439</v>
      </c>
      <c r="X560" s="98">
        <v>3000</v>
      </c>
      <c r="Y560" s="233">
        <v>7</v>
      </c>
      <c r="Z560" s="48">
        <v>1.59</v>
      </c>
      <c r="AA560" s="48">
        <v>1.61</v>
      </c>
      <c r="AB560" s="48">
        <v>1.7</v>
      </c>
      <c r="AC560" s="48">
        <v>0.74609999999999999</v>
      </c>
      <c r="AD560" s="48">
        <v>1.67</v>
      </c>
      <c r="AE560" s="48">
        <v>1.61</v>
      </c>
      <c r="AF560" s="48">
        <f t="shared" si="134"/>
        <v>1.61</v>
      </c>
      <c r="AG560" s="49">
        <v>1.64</v>
      </c>
      <c r="AH560" s="98">
        <v>9.7000000000000003E-6</v>
      </c>
      <c r="AI560" s="98">
        <v>1.5800000000000001E-5</v>
      </c>
      <c r="AJ560" s="483">
        <f t="shared" si="137"/>
        <v>-3.4017945920464068</v>
      </c>
      <c r="AK560" s="483">
        <f>LOG10(AI560*1000/(0.08206*298.15))</f>
        <v>-3.1899092393582289</v>
      </c>
      <c r="AL560" s="483">
        <f t="shared" si="136"/>
        <v>-3.1899092393582289</v>
      </c>
      <c r="AM560" s="483">
        <v>-4.3673299999999999</v>
      </c>
      <c r="AN560" s="226">
        <v>-3.29</v>
      </c>
      <c r="AO560" s="484"/>
      <c r="AP560" s="484"/>
      <c r="AQ560" s="226" t="s">
        <v>6315</v>
      </c>
      <c r="AR560" s="226" t="s">
        <v>6311</v>
      </c>
      <c r="AS560" s="224"/>
      <c r="AT560" s="50" t="s">
        <v>266</v>
      </c>
      <c r="AU560" s="48">
        <v>6</v>
      </c>
      <c r="AV560" s="48">
        <v>120</v>
      </c>
      <c r="AW560" s="48">
        <v>114</v>
      </c>
      <c r="AX560" s="48">
        <v>28</v>
      </c>
      <c r="AY560" s="48" t="s">
        <v>8728</v>
      </c>
      <c r="AZ560" s="48" t="s">
        <v>1563</v>
      </c>
      <c r="BA560" s="48">
        <v>32</v>
      </c>
      <c r="BB560" s="47" t="s">
        <v>2485</v>
      </c>
      <c r="BC560" s="47" t="s">
        <v>8726</v>
      </c>
      <c r="BD560" s="47" t="s">
        <v>8374</v>
      </c>
      <c r="BE560" s="48" t="s">
        <v>2449</v>
      </c>
      <c r="BF560" s="48" t="s">
        <v>272</v>
      </c>
      <c r="BG560" s="48" t="s">
        <v>272</v>
      </c>
      <c r="BH560" s="48" t="s">
        <v>2486</v>
      </c>
      <c r="BI560" s="98">
        <v>7.6895999999999996E-4</v>
      </c>
      <c r="BJ560" s="98">
        <v>7.6896000000000004</v>
      </c>
      <c r="BK560" s="48"/>
      <c r="BL560" s="487">
        <v>230.43305369920509</v>
      </c>
      <c r="BM560" s="47" t="s">
        <v>2487</v>
      </c>
      <c r="BN560" s="48"/>
      <c r="BO560" s="48"/>
      <c r="BP560" s="48"/>
      <c r="BQ560" s="48"/>
      <c r="BR560" s="47" t="e">
        <v>#VALUE!</v>
      </c>
      <c r="BS560" s="48"/>
      <c r="BT560" s="48"/>
      <c r="BU560" s="228"/>
      <c r="BV560" s="48"/>
      <c r="BW560" s="48"/>
      <c r="BX560" s="48"/>
      <c r="BY560" s="48"/>
      <c r="BZ560" s="48"/>
      <c r="CA560" s="48"/>
      <c r="CB560" s="48"/>
      <c r="CC560" s="48"/>
      <c r="CD560" s="48"/>
      <c r="CE560" s="48"/>
      <c r="CF560" s="48"/>
      <c r="CG560" s="48"/>
      <c r="CH560" s="48"/>
      <c r="CI560" s="98"/>
      <c r="CJ560" s="98"/>
      <c r="CK560" s="49">
        <f t="shared" si="132"/>
        <v>29.966845310445937</v>
      </c>
      <c r="CL560" s="229"/>
      <c r="CM560" s="229"/>
      <c r="CN560" s="229"/>
      <c r="CO560" s="47" t="s">
        <v>2488</v>
      </c>
      <c r="CP560" s="500" t="s">
        <v>2489</v>
      </c>
      <c r="CQ560" s="224">
        <v>0.64933485871214192</v>
      </c>
      <c r="CR560" s="224">
        <f>10^(CJ560-CQ560)</f>
        <v>0.22421524663677125</v>
      </c>
      <c r="CS560" s="230" t="s">
        <v>539</v>
      </c>
      <c r="CT560" s="230"/>
      <c r="CU560" s="230"/>
      <c r="CV560" s="335">
        <f t="shared" si="133"/>
        <v>390.1373283395755</v>
      </c>
      <c r="CW560" s="230">
        <f t="shared" si="131"/>
        <v>1</v>
      </c>
      <c r="CX560" s="336"/>
      <c r="CY560" s="230" t="s">
        <v>6351</v>
      </c>
    </row>
    <row r="561" spans="1:103" ht="11.25" customHeight="1" x14ac:dyDescent="0.2">
      <c r="A561" s="72">
        <v>875</v>
      </c>
      <c r="B561" s="224">
        <v>1367</v>
      </c>
      <c r="C561" s="46" t="s">
        <v>7071</v>
      </c>
      <c r="D561" s="46"/>
      <c r="E561" s="114"/>
      <c r="F561" s="114" t="s">
        <v>4222</v>
      </c>
      <c r="G561" s="225">
        <v>96184</v>
      </c>
      <c r="H561" s="47" t="s">
        <v>4223</v>
      </c>
      <c r="I561" s="47" t="s">
        <v>8011</v>
      </c>
      <c r="J561" s="47" t="s">
        <v>4224</v>
      </c>
      <c r="K561" s="47" t="s">
        <v>426</v>
      </c>
      <c r="L561" s="47" t="s">
        <v>6148</v>
      </c>
      <c r="M561" s="47" t="s">
        <v>6082</v>
      </c>
      <c r="N561" s="47"/>
      <c r="O561" s="47" t="s">
        <v>6083</v>
      </c>
      <c r="P561" s="53" t="s">
        <v>6183</v>
      </c>
      <c r="Q561" s="53" t="s">
        <v>6176</v>
      </c>
      <c r="R561" s="53" t="s">
        <v>6185</v>
      </c>
      <c r="S561" s="53" t="s">
        <v>6176</v>
      </c>
      <c r="T561" s="48">
        <v>147.43</v>
      </c>
      <c r="U561" s="98">
        <v>1750.0000000000002</v>
      </c>
      <c r="V561" s="98">
        <v>896.8</v>
      </c>
      <c r="W561" s="98">
        <v>600.60074356660277</v>
      </c>
      <c r="X561" s="98">
        <v>1750.0000000000002</v>
      </c>
      <c r="Y561" s="233">
        <v>7</v>
      </c>
      <c r="Z561" s="48">
        <v>2.5</v>
      </c>
      <c r="AA561" s="48">
        <v>2.27</v>
      </c>
      <c r="AB561" s="48">
        <v>2.2000000000000002</v>
      </c>
      <c r="AC561" s="48">
        <v>0.84199999999999997</v>
      </c>
      <c r="AD561" s="48">
        <v>2.14</v>
      </c>
      <c r="AE561" s="48">
        <v>1.96</v>
      </c>
      <c r="AF561" s="48">
        <f t="shared" si="134"/>
        <v>2.27</v>
      </c>
      <c r="AG561" s="49">
        <v>2.17</v>
      </c>
      <c r="AH561" s="98">
        <v>5.6699999999999997E-3</v>
      </c>
      <c r="AI561" s="98">
        <v>3.4299999999999999E-4</v>
      </c>
      <c r="AJ561" s="483">
        <f t="shared" si="137"/>
        <v>-0.6349832674197452</v>
      </c>
      <c r="AK561" s="483">
        <f>LOG10(AI561*1000/(0.08206*298.15))</f>
        <v>-1.8532722062698814</v>
      </c>
      <c r="AL561" s="483">
        <f t="shared" si="136"/>
        <v>-1.8532722062698814</v>
      </c>
      <c r="AM561" s="483">
        <v>-2.4556900000000002</v>
      </c>
      <c r="AN561" s="226">
        <v>-2.76</v>
      </c>
      <c r="AO561" s="484"/>
      <c r="AP561" s="484"/>
      <c r="AQ561" s="48" t="s">
        <v>6311</v>
      </c>
      <c r="AR561" s="48" t="s">
        <v>6312</v>
      </c>
      <c r="AS561" s="227"/>
      <c r="AT561" s="50" t="s">
        <v>266</v>
      </c>
      <c r="AU561" s="48">
        <v>6</v>
      </c>
      <c r="AV561" s="48">
        <v>120</v>
      </c>
      <c r="AW561" s="48">
        <v>114</v>
      </c>
      <c r="AX561" s="48">
        <v>28</v>
      </c>
      <c r="AY561" s="48" t="s">
        <v>8728</v>
      </c>
      <c r="AZ561" s="48" t="s">
        <v>1563</v>
      </c>
      <c r="BA561" s="48">
        <v>32</v>
      </c>
      <c r="BB561" s="47" t="s">
        <v>2485</v>
      </c>
      <c r="BC561" s="47" t="s">
        <v>8726</v>
      </c>
      <c r="BD561" s="47" t="s">
        <v>8374</v>
      </c>
      <c r="BE561" s="48" t="s">
        <v>2449</v>
      </c>
      <c r="BF561" s="48" t="s">
        <v>272</v>
      </c>
      <c r="BG561" s="48" t="s">
        <v>272</v>
      </c>
      <c r="BH561" s="48" t="s">
        <v>2486</v>
      </c>
      <c r="BI561" s="98">
        <v>9.4355199999999995E-4</v>
      </c>
      <c r="BJ561" s="98">
        <v>9.4355200000000004</v>
      </c>
      <c r="BK561" s="48"/>
      <c r="BL561" s="487">
        <v>43.066131834988461</v>
      </c>
      <c r="BM561" s="47" t="s">
        <v>2487</v>
      </c>
      <c r="BN561" s="48"/>
      <c r="BO561" s="48"/>
      <c r="BP561" s="48"/>
      <c r="BQ561" s="48"/>
      <c r="BR561" s="47" t="e">
        <v>#VALUE!</v>
      </c>
      <c r="BS561" s="48"/>
      <c r="BT561" s="48"/>
      <c r="BU561" s="228"/>
      <c r="BV561" s="48"/>
      <c r="BW561" s="48"/>
      <c r="BX561" s="48"/>
      <c r="BY561" s="48"/>
      <c r="BZ561" s="48"/>
      <c r="CA561" s="48"/>
      <c r="CB561" s="48"/>
      <c r="CC561" s="48"/>
      <c r="CD561" s="48"/>
      <c r="CE561" s="48"/>
      <c r="CF561" s="48"/>
      <c r="CG561" s="48"/>
      <c r="CH561" s="48"/>
      <c r="CI561" s="98"/>
      <c r="CJ561" s="98"/>
      <c r="CK561" s="49">
        <f t="shared" si="132"/>
        <v>4.5642563245044743</v>
      </c>
      <c r="CL561" s="229"/>
      <c r="CM561" s="229"/>
      <c r="CN561" s="229"/>
      <c r="CO561" s="47" t="s">
        <v>2488</v>
      </c>
      <c r="CP561" s="500" t="s">
        <v>2489</v>
      </c>
      <c r="CQ561" s="224">
        <v>1.7686381012476144</v>
      </c>
      <c r="CR561" s="224">
        <f>10^(CJ561-CQ561)</f>
        <v>1.7035775127768313E-2</v>
      </c>
      <c r="CS561" s="230" t="s">
        <v>539</v>
      </c>
      <c r="CT561" s="230"/>
      <c r="CU561" s="230"/>
      <c r="CV561" s="335">
        <f t="shared" si="133"/>
        <v>185.46937529675102</v>
      </c>
      <c r="CW561" s="230">
        <f t="shared" si="131"/>
        <v>1</v>
      </c>
      <c r="CX561" s="336"/>
      <c r="CY561" s="230" t="s">
        <v>6351</v>
      </c>
    </row>
    <row r="562" spans="1:103" ht="11.25" customHeight="1" x14ac:dyDescent="0.2">
      <c r="A562" s="72">
        <v>876</v>
      </c>
      <c r="B562" s="224">
        <v>904</v>
      </c>
      <c r="C562" s="46" t="s">
        <v>7072</v>
      </c>
      <c r="D562" s="46"/>
      <c r="E562" s="114"/>
      <c r="F562" s="114" t="s">
        <v>2581</v>
      </c>
      <c r="G562" s="225">
        <v>96231</v>
      </c>
      <c r="H562" s="47" t="s">
        <v>2582</v>
      </c>
      <c r="I562" s="47" t="s">
        <v>8012</v>
      </c>
      <c r="J562" s="47" t="s">
        <v>2583</v>
      </c>
      <c r="K562" s="47" t="s">
        <v>1808</v>
      </c>
      <c r="L562" s="47"/>
      <c r="M562" s="47"/>
      <c r="N562" s="47"/>
      <c r="O562" s="47"/>
      <c r="P562" s="53"/>
      <c r="Q562" s="53" t="s">
        <v>6179</v>
      </c>
      <c r="R562" s="53" t="s">
        <v>6175</v>
      </c>
      <c r="S562" s="53" t="s">
        <v>6173</v>
      </c>
      <c r="T562" s="48">
        <v>128.97999999999999</v>
      </c>
      <c r="U562" s="98">
        <v>99000</v>
      </c>
      <c r="V562" s="98">
        <v>64220</v>
      </c>
      <c r="W562" s="98">
        <v>47920.613848953311</v>
      </c>
      <c r="X562" s="98">
        <v>99000</v>
      </c>
      <c r="Y562" s="233">
        <v>6.61</v>
      </c>
      <c r="Z562" s="48">
        <v>0.78</v>
      </c>
      <c r="AA562" s="48"/>
      <c r="AB562" s="48">
        <v>0.66</v>
      </c>
      <c r="AC562" s="48">
        <v>0.78659999999999997</v>
      </c>
      <c r="AD562" s="48">
        <v>0.66</v>
      </c>
      <c r="AE562" s="48">
        <v>0.66</v>
      </c>
      <c r="AF562" s="48">
        <f t="shared" si="134"/>
        <v>0.66</v>
      </c>
      <c r="AG562" s="49">
        <v>0.91</v>
      </c>
      <c r="AH562" s="98">
        <v>5.8899999999999999E-7</v>
      </c>
      <c r="AI562" s="98">
        <v>1.2899999999999999E-6</v>
      </c>
      <c r="AJ562" s="483">
        <f t="shared" si="137"/>
        <v>-4.6184510315255505</v>
      </c>
      <c r="AK562" s="483">
        <f>LOG10(AI562*1000/(0.08206*298.15))</f>
        <v>-4.2779766160134027</v>
      </c>
      <c r="AL562" s="483">
        <f t="shared" si="136"/>
        <v>-4.2779766160134027</v>
      </c>
      <c r="AM562" s="483">
        <v>-5.0571600000000005</v>
      </c>
      <c r="AN562" s="226">
        <v>-4.8</v>
      </c>
      <c r="AO562" s="484">
        <v>12.87</v>
      </c>
      <c r="AP562" s="484"/>
      <c r="AQ562" s="48" t="s">
        <v>6311</v>
      </c>
      <c r="AR562" s="48" t="s">
        <v>6311</v>
      </c>
      <c r="AS562" s="227"/>
      <c r="AT562" s="50" t="s">
        <v>266</v>
      </c>
      <c r="AU562" s="48">
        <v>6</v>
      </c>
      <c r="AV562" s="48">
        <v>120</v>
      </c>
      <c r="AW562" s="48">
        <v>114</v>
      </c>
      <c r="AX562" s="48">
        <v>28</v>
      </c>
      <c r="AY562" s="48" t="s">
        <v>8728</v>
      </c>
      <c r="AZ562" s="48" t="s">
        <v>1563</v>
      </c>
      <c r="BA562" s="48">
        <v>32</v>
      </c>
      <c r="BB562" s="47" t="s">
        <v>2485</v>
      </c>
      <c r="BC562" s="47" t="s">
        <v>8726</v>
      </c>
      <c r="BD562" s="47" t="s">
        <v>8374</v>
      </c>
      <c r="BE562" s="48" t="s">
        <v>2449</v>
      </c>
      <c r="BF562" s="48" t="s">
        <v>272</v>
      </c>
      <c r="BG562" s="48" t="s">
        <v>272</v>
      </c>
      <c r="BH562" s="48" t="s">
        <v>2486</v>
      </c>
      <c r="BI562" s="98">
        <v>8.2547199999999995E-4</v>
      </c>
      <c r="BJ562" s="98">
        <v>8.2547199999999989</v>
      </c>
      <c r="BK562" s="48"/>
      <c r="BL562" s="487">
        <v>1320.7005922715919</v>
      </c>
      <c r="BM562" s="47" t="s">
        <v>2487</v>
      </c>
      <c r="BN562" s="48"/>
      <c r="BO562" s="48"/>
      <c r="BP562" s="48"/>
      <c r="BQ562" s="48"/>
      <c r="BR562" s="47" t="e">
        <v>#VALUE!</v>
      </c>
      <c r="BS562" s="48"/>
      <c r="BT562" s="48"/>
      <c r="BU562" s="228">
        <v>8.2547199999999984E-3</v>
      </c>
      <c r="BV562" s="48"/>
      <c r="BW562" s="48"/>
      <c r="BX562" s="48"/>
      <c r="BY562" s="48"/>
      <c r="BZ562" s="48"/>
      <c r="CA562" s="48"/>
      <c r="CB562" s="48"/>
      <c r="CC562" s="48"/>
      <c r="CD562" s="48"/>
      <c r="CE562" s="48"/>
      <c r="CF562" s="48"/>
      <c r="CG562" s="48"/>
      <c r="CH562" s="48"/>
      <c r="CI562" s="98"/>
      <c r="CJ562" s="98"/>
      <c r="CK562" s="49">
        <f t="shared" si="132"/>
        <v>159.99338466617789</v>
      </c>
      <c r="CL562" s="229"/>
      <c r="CM562" s="229"/>
      <c r="CN562" s="229"/>
      <c r="CO562" s="47" t="s">
        <v>2488</v>
      </c>
      <c r="CP562" s="500" t="s">
        <v>2489</v>
      </c>
      <c r="CQ562" s="224" t="s">
        <v>272</v>
      </c>
      <c r="CR562" s="224"/>
      <c r="CS562" s="230" t="s">
        <v>539</v>
      </c>
      <c r="CT562" s="230"/>
      <c r="CU562" s="230"/>
      <c r="CV562" s="335">
        <f t="shared" si="133"/>
        <v>11993.138471080789</v>
      </c>
      <c r="CW562" s="230">
        <f t="shared" si="131"/>
        <v>1</v>
      </c>
      <c r="CX562" s="336"/>
      <c r="CY562" s="230" t="s">
        <v>6351</v>
      </c>
    </row>
    <row r="563" spans="1:103" ht="11.25" customHeight="1" x14ac:dyDescent="0.2">
      <c r="A563" s="72">
        <v>877</v>
      </c>
      <c r="B563" s="224">
        <v>1391</v>
      </c>
      <c r="C563" s="46" t="s">
        <v>7073</v>
      </c>
      <c r="D563" s="46"/>
      <c r="E563" s="114"/>
      <c r="F563" s="114" t="s">
        <v>4288</v>
      </c>
      <c r="G563" s="225">
        <v>96297</v>
      </c>
      <c r="H563" s="47" t="s">
        <v>4289</v>
      </c>
      <c r="I563" s="47" t="s">
        <v>4289</v>
      </c>
      <c r="J563" s="47" t="s">
        <v>4290</v>
      </c>
      <c r="K563" s="47" t="s">
        <v>300</v>
      </c>
      <c r="L563" s="47"/>
      <c r="M563" s="47"/>
      <c r="N563" s="47"/>
      <c r="O563" s="47"/>
      <c r="P563" s="53"/>
      <c r="Q563" s="53"/>
      <c r="R563" s="53"/>
      <c r="S563" s="53"/>
      <c r="T563" s="48">
        <v>87.12</v>
      </c>
      <c r="U563" s="98">
        <v>100000</v>
      </c>
      <c r="V563" s="98">
        <v>36630</v>
      </c>
      <c r="W563" s="98">
        <v>134932.9038396554</v>
      </c>
      <c r="X563" s="98">
        <v>100000</v>
      </c>
      <c r="Y563" s="233">
        <v>6.1</v>
      </c>
      <c r="Z563" s="48">
        <v>1.69</v>
      </c>
      <c r="AA563" s="48">
        <v>0.63</v>
      </c>
      <c r="AB563" s="48">
        <v>0.6</v>
      </c>
      <c r="AC563" s="48">
        <v>0.8518</v>
      </c>
      <c r="AD563" s="48">
        <v>0.62</v>
      </c>
      <c r="AE563" s="48">
        <v>0.65</v>
      </c>
      <c r="AF563" s="48">
        <f t="shared" si="134"/>
        <v>0.63</v>
      </c>
      <c r="AG563" s="49">
        <v>0.89</v>
      </c>
      <c r="AH563" s="98">
        <v>1.04E-5</v>
      </c>
      <c r="AI563" s="98"/>
      <c r="AJ563" s="483">
        <f t="shared" si="137"/>
        <v>-3.3715329870138713</v>
      </c>
      <c r="AK563" s="483"/>
      <c r="AL563" s="483">
        <f t="shared" si="136"/>
        <v>-3.3715329870138713</v>
      </c>
      <c r="AM563" s="483">
        <v>-3.91438</v>
      </c>
      <c r="AN563" s="226">
        <v>-2.21</v>
      </c>
      <c r="AO563" s="484">
        <v>12.4</v>
      </c>
      <c r="AP563" s="484"/>
      <c r="AQ563" s="48" t="s">
        <v>6311</v>
      </c>
      <c r="AR563" s="48" t="s">
        <v>6311</v>
      </c>
      <c r="AS563" s="227"/>
      <c r="AT563" s="50" t="s">
        <v>266</v>
      </c>
      <c r="AU563" s="48">
        <v>6</v>
      </c>
      <c r="AV563" s="48">
        <v>120</v>
      </c>
      <c r="AW563" s="48">
        <v>114</v>
      </c>
      <c r="AX563" s="48">
        <v>28</v>
      </c>
      <c r="AY563" s="48" t="s">
        <v>8728</v>
      </c>
      <c r="AZ563" s="48" t="s">
        <v>1563</v>
      </c>
      <c r="BA563" s="48">
        <v>32</v>
      </c>
      <c r="BB563" s="47" t="s">
        <v>2485</v>
      </c>
      <c r="BC563" s="47" t="s">
        <v>8726</v>
      </c>
      <c r="BD563" s="47" t="s">
        <v>8374</v>
      </c>
      <c r="BE563" s="48" t="s">
        <v>2449</v>
      </c>
      <c r="BF563" s="48" t="s">
        <v>272</v>
      </c>
      <c r="BG563" s="48" t="s">
        <v>272</v>
      </c>
      <c r="BH563" s="48" t="s">
        <v>2486</v>
      </c>
      <c r="BI563" s="98">
        <v>5.5756800000000004E-4</v>
      </c>
      <c r="BJ563" s="98">
        <v>5.5756800000000002</v>
      </c>
      <c r="BK563" s="48"/>
      <c r="BL563" s="487">
        <v>135.87165541923335</v>
      </c>
      <c r="BM563" s="47" t="s">
        <v>2487</v>
      </c>
      <c r="BN563" s="48"/>
      <c r="BO563" s="48"/>
      <c r="BP563" s="48"/>
      <c r="BQ563" s="48"/>
      <c r="BR563" s="47"/>
      <c r="BS563" s="48"/>
      <c r="BT563" s="48"/>
      <c r="BU563" s="228"/>
      <c r="BV563" s="48"/>
      <c r="BW563" s="48"/>
      <c r="BX563" s="48"/>
      <c r="BY563" s="48"/>
      <c r="BZ563" s="48"/>
      <c r="CA563" s="48"/>
      <c r="CB563" s="48"/>
      <c r="CC563" s="48"/>
      <c r="CD563" s="48"/>
      <c r="CE563" s="48"/>
      <c r="CF563" s="48"/>
      <c r="CG563" s="48"/>
      <c r="CH563" s="48"/>
      <c r="CI563" s="52"/>
      <c r="CJ563" s="98"/>
      <c r="CK563" s="49">
        <f t="shared" si="132"/>
        <v>24.368625068015621</v>
      </c>
      <c r="CL563" s="229"/>
      <c r="CM563" s="229"/>
      <c r="CN563" s="229"/>
      <c r="CO563" s="47" t="s">
        <v>2488</v>
      </c>
      <c r="CP563" s="500" t="s">
        <v>2489</v>
      </c>
      <c r="CQ563" s="224">
        <v>2.929929560084588</v>
      </c>
      <c r="CR563" s="224">
        <f>10^(CJ563-CQ563)</f>
        <v>1.1750881316098694E-3</v>
      </c>
      <c r="CS563" s="230" t="s">
        <v>539</v>
      </c>
      <c r="CT563" s="230"/>
      <c r="CU563" s="230"/>
      <c r="CV563" s="335">
        <f t="shared" si="133"/>
        <v>17935.032139577594</v>
      </c>
      <c r="CW563" s="230">
        <f t="shared" si="131"/>
        <v>1</v>
      </c>
      <c r="CX563" s="336"/>
      <c r="CY563" s="230" t="s">
        <v>6351</v>
      </c>
    </row>
    <row r="564" spans="1:103" ht="11.25" customHeight="1" x14ac:dyDescent="0.2">
      <c r="A564" s="72">
        <v>879</v>
      </c>
      <c r="B564" s="224">
        <v>1128</v>
      </c>
      <c r="C564" s="46" t="s">
        <v>7075</v>
      </c>
      <c r="D564" s="46"/>
      <c r="E564" s="114"/>
      <c r="F564" s="114" t="s">
        <v>3150</v>
      </c>
      <c r="G564" s="225">
        <v>96457</v>
      </c>
      <c r="H564" s="47" t="s">
        <v>3151</v>
      </c>
      <c r="I564" s="47" t="s">
        <v>3151</v>
      </c>
      <c r="J564" s="47" t="s">
        <v>3152</v>
      </c>
      <c r="K564" s="47" t="s">
        <v>3153</v>
      </c>
      <c r="L564" s="47"/>
      <c r="M564" s="47" t="s">
        <v>3861</v>
      </c>
      <c r="N564" s="47"/>
      <c r="O564" s="47" t="s">
        <v>1516</v>
      </c>
      <c r="P564" s="53"/>
      <c r="Q564" s="53"/>
      <c r="R564" s="53"/>
      <c r="S564" s="53"/>
      <c r="T564" s="48">
        <v>102.16</v>
      </c>
      <c r="U564" s="98">
        <v>20000</v>
      </c>
      <c r="V564" s="98">
        <v>210500.00000000003</v>
      </c>
      <c r="W564" s="98">
        <v>114625.4052914886</v>
      </c>
      <c r="X564" s="98">
        <v>20000</v>
      </c>
      <c r="Y564" s="233">
        <v>8.0500000000000007</v>
      </c>
      <c r="Z564" s="48">
        <v>-0.49</v>
      </c>
      <c r="AA564" s="48">
        <v>-0.66</v>
      </c>
      <c r="AB564" s="48">
        <v>-0.49</v>
      </c>
      <c r="AC564" s="48">
        <v>0.89780000000000004</v>
      </c>
      <c r="AD564" s="48">
        <v>-0.52</v>
      </c>
      <c r="AE564" s="48">
        <v>-0.66</v>
      </c>
      <c r="AF564" s="48">
        <f t="shared" si="134"/>
        <v>-0.66</v>
      </c>
      <c r="AG564" s="49">
        <v>0.19</v>
      </c>
      <c r="AH564" s="98">
        <v>3.3599999999999999E-7</v>
      </c>
      <c r="AI564" s="98"/>
      <c r="AJ564" s="483">
        <f t="shared" si="137"/>
        <v>-4.8622270489228079</v>
      </c>
      <c r="AK564" s="483"/>
      <c r="AL564" s="483">
        <f t="shared" si="136"/>
        <v>-4.8622270489228079</v>
      </c>
      <c r="AM564" s="483">
        <v>-8.2308299999999992</v>
      </c>
      <c r="AN564" s="226">
        <v>-10.1</v>
      </c>
      <c r="AO564" s="484">
        <v>15.01</v>
      </c>
      <c r="AP564" s="484">
        <v>2.09</v>
      </c>
      <c r="AQ564" s="48" t="s">
        <v>6311</v>
      </c>
      <c r="AR564" s="48" t="s">
        <v>6311</v>
      </c>
      <c r="AS564" s="227"/>
      <c r="AT564" s="50" t="s">
        <v>266</v>
      </c>
      <c r="AU564" s="48">
        <v>6</v>
      </c>
      <c r="AV564" s="48">
        <v>120</v>
      </c>
      <c r="AW564" s="48">
        <v>114</v>
      </c>
      <c r="AX564" s="48">
        <v>28</v>
      </c>
      <c r="AY564" s="48" t="s">
        <v>8728</v>
      </c>
      <c r="AZ564" s="48" t="s">
        <v>1563</v>
      </c>
      <c r="BA564" s="48">
        <v>32</v>
      </c>
      <c r="BB564" s="47" t="s">
        <v>2485</v>
      </c>
      <c r="BC564" s="47" t="s">
        <v>8726</v>
      </c>
      <c r="BD564" s="47" t="s">
        <v>8374</v>
      </c>
      <c r="BE564" s="48" t="s">
        <v>2449</v>
      </c>
      <c r="BF564" s="48" t="s">
        <v>272</v>
      </c>
      <c r="BG564" s="48" t="s">
        <v>272</v>
      </c>
      <c r="BH564" s="48" t="s">
        <v>2486</v>
      </c>
      <c r="BI564" s="98">
        <v>6.538239999999999E-4</v>
      </c>
      <c r="BJ564" s="98">
        <v>6.5382400000000001</v>
      </c>
      <c r="BK564" s="48"/>
      <c r="BL564" s="487">
        <v>14459.387088215062</v>
      </c>
      <c r="BM564" s="47" t="s">
        <v>2487</v>
      </c>
      <c r="BN564" s="48"/>
      <c r="BO564" s="48"/>
      <c r="BP564" s="48"/>
      <c r="BQ564" s="48"/>
      <c r="BR564" s="47" t="e">
        <v>#VALUE!</v>
      </c>
      <c r="BS564" s="48"/>
      <c r="BT564" s="48"/>
      <c r="BU564" s="228">
        <v>6.5382399999999999E-3</v>
      </c>
      <c r="BV564" s="48"/>
      <c r="BW564" s="48"/>
      <c r="BX564" s="48"/>
      <c r="BY564" s="48"/>
      <c r="BZ564" s="48"/>
      <c r="CA564" s="48"/>
      <c r="CB564" s="48"/>
      <c r="CC564" s="48"/>
      <c r="CD564" s="48"/>
      <c r="CE564" s="48"/>
      <c r="CF564" s="48"/>
      <c r="CG564" s="48"/>
      <c r="CH564" s="48"/>
      <c r="CI564" s="98"/>
      <c r="CJ564" s="98"/>
      <c r="CK564" s="49">
        <f t="shared" si="132"/>
        <v>2211.5106034980458</v>
      </c>
      <c r="CL564" s="229"/>
      <c r="CM564" s="229"/>
      <c r="CN564" s="229"/>
      <c r="CO564" s="47" t="s">
        <v>2488</v>
      </c>
      <c r="CP564" s="500" t="s">
        <v>2489</v>
      </c>
      <c r="CQ564" s="224" t="s">
        <v>272</v>
      </c>
      <c r="CR564" s="224"/>
      <c r="CS564" s="230" t="s">
        <v>539</v>
      </c>
      <c r="CT564" s="230"/>
      <c r="CU564" s="230"/>
      <c r="CV564" s="335">
        <f t="shared" si="133"/>
        <v>3058.9271730618639</v>
      </c>
      <c r="CW564" s="230">
        <f t="shared" si="131"/>
        <v>1</v>
      </c>
      <c r="CX564" s="336"/>
      <c r="CY564" s="230" t="s">
        <v>6351</v>
      </c>
    </row>
    <row r="565" spans="1:103" ht="11.25" customHeight="1" x14ac:dyDescent="0.2">
      <c r="A565" s="72">
        <v>880</v>
      </c>
      <c r="B565" s="224">
        <v>1450</v>
      </c>
      <c r="C565" s="46" t="s">
        <v>7076</v>
      </c>
      <c r="D565" s="46"/>
      <c r="E565" s="114"/>
      <c r="F565" s="114" t="s">
        <v>4459</v>
      </c>
      <c r="G565" s="225">
        <v>96480</v>
      </c>
      <c r="H565" s="47" t="s">
        <v>4460</v>
      </c>
      <c r="I565" s="47" t="s">
        <v>4460</v>
      </c>
      <c r="J565" s="47" t="s">
        <v>4461</v>
      </c>
      <c r="K565" s="47" t="s">
        <v>357</v>
      </c>
      <c r="L565" s="47"/>
      <c r="M565" s="47"/>
      <c r="N565" s="47"/>
      <c r="O565" s="47"/>
      <c r="P565" s="53"/>
      <c r="Q565" s="53"/>
      <c r="R565" s="53"/>
      <c r="S565" s="53"/>
      <c r="T565" s="48">
        <v>86.09</v>
      </c>
      <c r="U565" s="98">
        <v>1000000</v>
      </c>
      <c r="V565" s="98">
        <v>447500</v>
      </c>
      <c r="W565" s="98">
        <v>56879.098938973941</v>
      </c>
      <c r="X565" s="98">
        <v>1000000</v>
      </c>
      <c r="Y565" s="233">
        <v>7</v>
      </c>
      <c r="Z565" s="48">
        <v>-0.31</v>
      </c>
      <c r="AA565" s="48">
        <v>-0.64</v>
      </c>
      <c r="AB565" s="48">
        <v>-0.23</v>
      </c>
      <c r="AC565" s="48">
        <v>0.79459999999999997</v>
      </c>
      <c r="AD565" s="48">
        <v>-0.39</v>
      </c>
      <c r="AE565" s="48">
        <v>-0.76</v>
      </c>
      <c r="AF565" s="48">
        <f t="shared" si="134"/>
        <v>-0.64</v>
      </c>
      <c r="AG565" s="49">
        <v>0.31</v>
      </c>
      <c r="AH565" s="98">
        <v>1.03E-4</v>
      </c>
      <c r="AI565" s="98">
        <v>5.2700000000000002E-8</v>
      </c>
      <c r="AJ565" s="483">
        <f t="shared" si="137"/>
        <v>-2.3757291016074795</v>
      </c>
      <c r="AK565" s="483">
        <f>LOG10(AI565*1000/(0.08206*298.15))</f>
        <v>-5.6667557111001052</v>
      </c>
      <c r="AL565" s="483">
        <f t="shared" si="136"/>
        <v>-5.6667557111001052</v>
      </c>
      <c r="AM565" s="483">
        <v>-5.7931099999999986</v>
      </c>
      <c r="AN565" s="226">
        <v>-4.5999999999999996</v>
      </c>
      <c r="AO565" s="484"/>
      <c r="AP565" s="484"/>
      <c r="AQ565" s="48" t="s">
        <v>6311</v>
      </c>
      <c r="AR565" s="48" t="s">
        <v>6311</v>
      </c>
      <c r="AS565" s="227"/>
      <c r="AT565" s="50" t="s">
        <v>266</v>
      </c>
      <c r="AU565" s="48">
        <v>6</v>
      </c>
      <c r="AV565" s="48">
        <v>120</v>
      </c>
      <c r="AW565" s="48">
        <v>114</v>
      </c>
      <c r="AX565" s="48">
        <v>28</v>
      </c>
      <c r="AY565" s="48" t="s">
        <v>8728</v>
      </c>
      <c r="AZ565" s="48" t="s">
        <v>1563</v>
      </c>
      <c r="BA565" s="48">
        <v>32</v>
      </c>
      <c r="BB565" s="47" t="s">
        <v>2485</v>
      </c>
      <c r="BC565" s="47" t="s">
        <v>8726</v>
      </c>
      <c r="BD565" s="47" t="s">
        <v>8374</v>
      </c>
      <c r="BE565" s="48" t="s">
        <v>2449</v>
      </c>
      <c r="BF565" s="48" t="s">
        <v>272</v>
      </c>
      <c r="BG565" s="48" t="s">
        <v>272</v>
      </c>
      <c r="BH565" s="48" t="s">
        <v>2486</v>
      </c>
      <c r="BI565" s="98">
        <v>5.50976E-4</v>
      </c>
      <c r="BJ565" s="98">
        <v>5.50976</v>
      </c>
      <c r="BK565" s="48"/>
      <c r="BL565" s="487">
        <v>8397.7648160057361</v>
      </c>
      <c r="BM565" s="47" t="s">
        <v>2487</v>
      </c>
      <c r="BN565" s="48"/>
      <c r="BO565" s="48"/>
      <c r="BP565" s="48"/>
      <c r="BQ565" s="48"/>
      <c r="BR565" s="47" t="e">
        <v>#VALUE!</v>
      </c>
      <c r="BS565" s="48"/>
      <c r="BT565" s="48"/>
      <c r="BU565" s="228"/>
      <c r="BV565" s="48"/>
      <c r="BW565" s="48"/>
      <c r="BX565" s="48"/>
      <c r="BY565" s="48"/>
      <c r="BZ565" s="48"/>
      <c r="CA565" s="48"/>
      <c r="CB565" s="48"/>
      <c r="CC565" s="48"/>
      <c r="CD565" s="48"/>
      <c r="CE565" s="48"/>
      <c r="CF565" s="48"/>
      <c r="CG565" s="48"/>
      <c r="CH565" s="48"/>
      <c r="CI565" s="98"/>
      <c r="CJ565" s="98"/>
      <c r="CK565" s="49">
        <f t="shared" si="132"/>
        <v>1524.1616360795636</v>
      </c>
      <c r="CL565" s="229"/>
      <c r="CM565" s="229"/>
      <c r="CN565" s="229"/>
      <c r="CO565" s="47" t="s">
        <v>2488</v>
      </c>
      <c r="CP565" s="500" t="s">
        <v>2489</v>
      </c>
      <c r="CQ565" s="224" t="s">
        <v>272</v>
      </c>
      <c r="CR565" s="224"/>
      <c r="CS565" s="230" t="s">
        <v>539</v>
      </c>
      <c r="CT565" s="230"/>
      <c r="CU565" s="230"/>
      <c r="CV565" s="335">
        <f t="shared" si="133"/>
        <v>181496.10872342897</v>
      </c>
      <c r="CW565" s="230">
        <f t="shared" si="131"/>
        <v>1</v>
      </c>
      <c r="CX565" s="336"/>
      <c r="CY565" s="230" t="s">
        <v>6351</v>
      </c>
    </row>
    <row r="566" spans="1:103" ht="11.25" customHeight="1" x14ac:dyDescent="0.2">
      <c r="A566" s="72">
        <v>881</v>
      </c>
      <c r="B566" s="224">
        <v>1404</v>
      </c>
      <c r="C566" s="46" t="s">
        <v>7077</v>
      </c>
      <c r="D566" s="46"/>
      <c r="E566" s="114"/>
      <c r="F566" s="114" t="s">
        <v>4322</v>
      </c>
      <c r="G566" s="225">
        <v>96708</v>
      </c>
      <c r="H566" s="47" t="s">
        <v>4323</v>
      </c>
      <c r="I566" s="47" t="s">
        <v>4323</v>
      </c>
      <c r="J566" s="47" t="s">
        <v>4324</v>
      </c>
      <c r="K566" s="47" t="s">
        <v>349</v>
      </c>
      <c r="L566" s="47"/>
      <c r="M566" s="47"/>
      <c r="N566" s="47"/>
      <c r="O566" s="47"/>
      <c r="P566" s="53"/>
      <c r="Q566" s="53"/>
      <c r="R566" s="53"/>
      <c r="S566" s="53"/>
      <c r="T566" s="48">
        <v>178.27</v>
      </c>
      <c r="U566" s="98"/>
      <c r="V566" s="98">
        <v>33.1</v>
      </c>
      <c r="W566" s="98">
        <v>195.46916802644557</v>
      </c>
      <c r="X566" s="98">
        <v>195.46916802644557</v>
      </c>
      <c r="Y566" s="233">
        <v>6.96</v>
      </c>
      <c r="Z566" s="48">
        <v>4.46</v>
      </c>
      <c r="AA566" s="48"/>
      <c r="AB566" s="48">
        <v>3.93</v>
      </c>
      <c r="AC566" s="48">
        <v>0.82169999999999999</v>
      </c>
      <c r="AD566" s="48">
        <v>4</v>
      </c>
      <c r="AE566" s="48">
        <v>4.16</v>
      </c>
      <c r="AF566" s="48">
        <f t="shared" si="134"/>
        <v>4</v>
      </c>
      <c r="AG566" s="49">
        <v>0.08</v>
      </c>
      <c r="AH566" s="98">
        <v>2.12E-6</v>
      </c>
      <c r="AI566" s="98"/>
      <c r="AJ566" s="483">
        <f t="shared" si="137"/>
        <v>-4.0622304653839008</v>
      </c>
      <c r="AK566" s="483"/>
      <c r="AL566" s="483">
        <f t="shared" si="136"/>
        <v>-4.0622304653839008</v>
      </c>
      <c r="AM566" s="483">
        <v>-6.8494799999999998</v>
      </c>
      <c r="AN566" s="226">
        <v>-12.7</v>
      </c>
      <c r="AO566" s="484">
        <v>11.68</v>
      </c>
      <c r="AP566" s="484"/>
      <c r="AQ566" s="48" t="s">
        <v>6311</v>
      </c>
      <c r="AR566" s="48" t="s">
        <v>6311</v>
      </c>
      <c r="AS566" s="227"/>
      <c r="AT566" s="50" t="s">
        <v>266</v>
      </c>
      <c r="AU566" s="48">
        <v>6</v>
      </c>
      <c r="AV566" s="48">
        <v>120</v>
      </c>
      <c r="AW566" s="48">
        <v>114</v>
      </c>
      <c r="AX566" s="48">
        <v>28</v>
      </c>
      <c r="AY566" s="48" t="s">
        <v>8728</v>
      </c>
      <c r="AZ566" s="48" t="s">
        <v>1563</v>
      </c>
      <c r="BA566" s="48">
        <v>32</v>
      </c>
      <c r="BB566" s="47" t="s">
        <v>2485</v>
      </c>
      <c r="BC566" s="47" t="s">
        <v>8726</v>
      </c>
      <c r="BD566" s="47" t="s">
        <v>8374</v>
      </c>
      <c r="BE566" s="48" t="s">
        <v>2449</v>
      </c>
      <c r="BF566" s="48" t="s">
        <v>272</v>
      </c>
      <c r="BG566" s="48" t="s">
        <v>272</v>
      </c>
      <c r="BH566" s="48" t="s">
        <v>2486</v>
      </c>
      <c r="BI566" s="98">
        <v>1.140928E-3</v>
      </c>
      <c r="BJ566" s="98">
        <v>11.409280000000001</v>
      </c>
      <c r="BK566" s="48"/>
      <c r="BL566" s="487">
        <v>0.90438273827646787</v>
      </c>
      <c r="BM566" s="47" t="s">
        <v>2487</v>
      </c>
      <c r="BN566" s="48"/>
      <c r="BO566" s="48"/>
      <c r="BP566" s="48"/>
      <c r="BQ566" s="48"/>
      <c r="BR566" s="47"/>
      <c r="BS566" s="48"/>
      <c r="BT566" s="48"/>
      <c r="BU566" s="228"/>
      <c r="BV566" s="48"/>
      <c r="BW566" s="48"/>
      <c r="BX566" s="48"/>
      <c r="BY566" s="48"/>
      <c r="BZ566" s="48"/>
      <c r="CA566" s="48"/>
      <c r="CB566" s="48"/>
      <c r="CC566" s="48"/>
      <c r="CD566" s="48"/>
      <c r="CE566" s="48"/>
      <c r="CF566" s="48"/>
      <c r="CG566" s="48"/>
      <c r="CH566" s="48"/>
      <c r="CI566" s="52"/>
      <c r="CJ566" s="98"/>
      <c r="CK566" s="49">
        <f t="shared" si="132"/>
        <v>7.9267292789419477E-2</v>
      </c>
      <c r="CL566" s="229"/>
      <c r="CM566" s="229"/>
      <c r="CN566" s="229"/>
      <c r="CO566" s="47" t="s">
        <v>2488</v>
      </c>
      <c r="CP566" s="500" t="s">
        <v>2489</v>
      </c>
      <c r="CQ566" s="224" t="s">
        <v>272</v>
      </c>
      <c r="CR566" s="224"/>
      <c r="CS566" s="230" t="s">
        <v>539</v>
      </c>
      <c r="CT566" s="230"/>
      <c r="CU566" s="230"/>
      <c r="CV566" s="335">
        <f t="shared" si="133"/>
        <v>17.132471814737261</v>
      </c>
      <c r="CW566" s="230">
        <f t="shared" si="131"/>
        <v>1</v>
      </c>
      <c r="CX566" s="336"/>
      <c r="CY566" s="230" t="s">
        <v>5921</v>
      </c>
    </row>
    <row r="567" spans="1:103" ht="11.25" customHeight="1" x14ac:dyDescent="0.2">
      <c r="A567" s="72">
        <v>882</v>
      </c>
      <c r="B567" s="224">
        <v>1653</v>
      </c>
      <c r="C567" s="46" t="s">
        <v>7078</v>
      </c>
      <c r="D567" s="46"/>
      <c r="E567" s="114"/>
      <c r="F567" s="114" t="s">
        <v>4865</v>
      </c>
      <c r="G567" s="225">
        <v>97530</v>
      </c>
      <c r="H567" s="47" t="s">
        <v>4866</v>
      </c>
      <c r="I567" s="47" t="s">
        <v>4866</v>
      </c>
      <c r="J567" s="47" t="s">
        <v>4867</v>
      </c>
      <c r="K567" s="47" t="s">
        <v>349</v>
      </c>
      <c r="L567" s="47"/>
      <c r="M567" s="47"/>
      <c r="N567" s="47"/>
      <c r="O567" s="47"/>
      <c r="P567" s="53"/>
      <c r="Q567" s="53"/>
      <c r="R567" s="53"/>
      <c r="S567" s="53"/>
      <c r="T567" s="48">
        <v>164.2</v>
      </c>
      <c r="U567" s="98">
        <v>2460</v>
      </c>
      <c r="V567" s="98">
        <v>754</v>
      </c>
      <c r="W567" s="98">
        <v>2543.1568882542929</v>
      </c>
      <c r="X567" s="98">
        <v>2460</v>
      </c>
      <c r="Y567" s="233">
        <v>6.05</v>
      </c>
      <c r="Z567" s="48">
        <v>2.73</v>
      </c>
      <c r="AA567" s="48">
        <v>2.27</v>
      </c>
      <c r="AB567" s="48">
        <v>2.58</v>
      </c>
      <c r="AC567" s="48">
        <v>0.85029999999999994</v>
      </c>
      <c r="AD567" s="48">
        <v>2.48</v>
      </c>
      <c r="AE567" s="48">
        <v>2.2000000000000002</v>
      </c>
      <c r="AF567" s="48">
        <f t="shared" si="134"/>
        <v>2.27</v>
      </c>
      <c r="AG567" s="49">
        <v>2.4900000000000002</v>
      </c>
      <c r="AH567" s="98">
        <v>4.8100000000000001E-8</v>
      </c>
      <c r="AI567" s="98">
        <v>1.99E-6</v>
      </c>
      <c r="AJ567" s="483">
        <f t="shared" si="137"/>
        <v>-5.7064212499388196</v>
      </c>
      <c r="AK567" s="483">
        <f>LOG10(AI567*1000/(0.08206*298.15))</f>
        <v>-4.0897132499029452</v>
      </c>
      <c r="AL567" s="483">
        <f t="shared" si="136"/>
        <v>-4.0897132499029452</v>
      </c>
      <c r="AM567" s="483">
        <v>-7.0105800000000009</v>
      </c>
      <c r="AN567" s="226">
        <v>-4</v>
      </c>
      <c r="AO567" s="484">
        <v>10.29</v>
      </c>
      <c r="AP567" s="484"/>
      <c r="AQ567" s="226" t="s">
        <v>6311</v>
      </c>
      <c r="AR567" s="226" t="s">
        <v>6311</v>
      </c>
      <c r="AS567" s="224"/>
      <c r="AT567" s="50" t="s">
        <v>266</v>
      </c>
      <c r="AU567" s="48">
        <v>6</v>
      </c>
      <c r="AV567" s="48">
        <v>120</v>
      </c>
      <c r="AW567" s="48">
        <v>114</v>
      </c>
      <c r="AX567" s="48">
        <v>28</v>
      </c>
      <c r="AY567" s="48" t="s">
        <v>8728</v>
      </c>
      <c r="AZ567" s="48" t="s">
        <v>1563</v>
      </c>
      <c r="BA567" s="48">
        <v>32</v>
      </c>
      <c r="BB567" s="47" t="s">
        <v>2485</v>
      </c>
      <c r="BC567" s="47" t="s">
        <v>8726</v>
      </c>
      <c r="BD567" s="47" t="s">
        <v>8374</v>
      </c>
      <c r="BE567" s="48" t="s">
        <v>2449</v>
      </c>
      <c r="BF567" s="48" t="s">
        <v>272</v>
      </c>
      <c r="BG567" s="48" t="s">
        <v>272</v>
      </c>
      <c r="BH567" s="48" t="s">
        <v>2486</v>
      </c>
      <c r="BI567" s="98">
        <v>1.0508799999999999E-3</v>
      </c>
      <c r="BJ567" s="98">
        <v>10.508799999999999</v>
      </c>
      <c r="BK567" s="48"/>
      <c r="BL567" s="487">
        <v>29.809874852324651</v>
      </c>
      <c r="BM567" s="47" t="s">
        <v>2487</v>
      </c>
      <c r="BN567" s="48"/>
      <c r="BO567" s="48"/>
      <c r="BP567" s="48"/>
      <c r="BQ567" s="48"/>
      <c r="BR567" s="47" t="e">
        <v>#VALUE!</v>
      </c>
      <c r="BS567" s="48"/>
      <c r="BT567" s="48"/>
      <c r="BU567" s="228"/>
      <c r="BV567" s="48"/>
      <c r="BW567" s="48"/>
      <c r="BX567" s="48"/>
      <c r="BY567" s="48"/>
      <c r="BZ567" s="48"/>
      <c r="CA567" s="48"/>
      <c r="CB567" s="48"/>
      <c r="CC567" s="48"/>
      <c r="CD567" s="48"/>
      <c r="CE567" s="48"/>
      <c r="CF567" s="48"/>
      <c r="CG567" s="48"/>
      <c r="CH567" s="48"/>
      <c r="CI567" s="98"/>
      <c r="CJ567" s="98"/>
      <c r="CK567" s="49">
        <f t="shared" si="132"/>
        <v>2.8366583103993466</v>
      </c>
      <c r="CL567" s="229"/>
      <c r="CM567" s="229"/>
      <c r="CN567" s="229"/>
      <c r="CO567" s="47" t="s">
        <v>2488</v>
      </c>
      <c r="CP567" s="500" t="s">
        <v>2489</v>
      </c>
      <c r="CQ567" s="224" t="s">
        <v>272</v>
      </c>
      <c r="CR567" s="224"/>
      <c r="CS567" s="230" t="s">
        <v>539</v>
      </c>
      <c r="CT567" s="230"/>
      <c r="CU567" s="230"/>
      <c r="CV567" s="335">
        <f t="shared" si="133"/>
        <v>234.08952496954936</v>
      </c>
      <c r="CW567" s="230">
        <f t="shared" si="131"/>
        <v>1</v>
      </c>
      <c r="CX567" s="336"/>
      <c r="CY567" s="230" t="s">
        <v>6351</v>
      </c>
    </row>
    <row r="568" spans="1:103" ht="11.25" customHeight="1" x14ac:dyDescent="0.2">
      <c r="A568" s="72">
        <v>883</v>
      </c>
      <c r="B568" s="224">
        <v>1710</v>
      </c>
      <c r="C568" s="46" t="s">
        <v>7079</v>
      </c>
      <c r="D568" s="46"/>
      <c r="E568" s="114"/>
      <c r="F568" s="114" t="s">
        <v>4971</v>
      </c>
      <c r="G568" s="225">
        <v>97541</v>
      </c>
      <c r="H568" s="47" t="s">
        <v>4972</v>
      </c>
      <c r="I568" s="47" t="s">
        <v>4972</v>
      </c>
      <c r="J568" s="47" t="s">
        <v>4973</v>
      </c>
      <c r="K568" s="47" t="s">
        <v>349</v>
      </c>
      <c r="L568" s="47"/>
      <c r="M568" s="47"/>
      <c r="N568" s="47"/>
      <c r="O568" s="47"/>
      <c r="P568" s="53"/>
      <c r="Q568" s="53"/>
      <c r="R568" s="53"/>
      <c r="S568" s="53"/>
      <c r="T568" s="48">
        <v>164.2</v>
      </c>
      <c r="U568" s="98"/>
      <c r="V568" s="98">
        <v>165.9</v>
      </c>
      <c r="W568" s="98">
        <v>2115.3057638801247</v>
      </c>
      <c r="X568" s="98">
        <v>2115.3057638801247</v>
      </c>
      <c r="Y568" s="233">
        <v>6</v>
      </c>
      <c r="Z568" s="48">
        <v>2.65</v>
      </c>
      <c r="AA568" s="48">
        <v>3.04</v>
      </c>
      <c r="AB568" s="48">
        <v>2.59</v>
      </c>
      <c r="AC568" s="48">
        <v>0.8609</v>
      </c>
      <c r="AD568" s="48">
        <v>2.5499999999999998</v>
      </c>
      <c r="AE568" s="48">
        <v>2.4500000000000002</v>
      </c>
      <c r="AF568" s="48">
        <f t="shared" si="134"/>
        <v>3.04</v>
      </c>
      <c r="AG568" s="49">
        <v>2.61</v>
      </c>
      <c r="AH568" s="98">
        <v>2.6700000000000001E-8</v>
      </c>
      <c r="AI568" s="98"/>
      <c r="AJ568" s="483">
        <f t="shared" si="137"/>
        <v>-5.9620550649480766</v>
      </c>
      <c r="AK568" s="483"/>
      <c r="AL568" s="483">
        <f t="shared" si="136"/>
        <v>-5.9620550649480766</v>
      </c>
      <c r="AM568" s="483">
        <v>-7.2037499999999994</v>
      </c>
      <c r="AN568" s="226">
        <v>-4.13</v>
      </c>
      <c r="AO568" s="484">
        <v>10.1</v>
      </c>
      <c r="AP568" s="484"/>
      <c r="AQ568" s="226" t="s">
        <v>6311</v>
      </c>
      <c r="AR568" s="226" t="s">
        <v>6311</v>
      </c>
      <c r="AS568" s="224"/>
      <c r="AT568" s="50" t="s">
        <v>266</v>
      </c>
      <c r="AU568" s="48">
        <v>6</v>
      </c>
      <c r="AV568" s="48">
        <v>120</v>
      </c>
      <c r="AW568" s="48">
        <v>114</v>
      </c>
      <c r="AX568" s="48">
        <v>28</v>
      </c>
      <c r="AY568" s="48" t="s">
        <v>8728</v>
      </c>
      <c r="AZ568" s="48" t="s">
        <v>1563</v>
      </c>
      <c r="BA568" s="48">
        <v>32</v>
      </c>
      <c r="BB568" s="47" t="s">
        <v>2485</v>
      </c>
      <c r="BC568" s="47" t="s">
        <v>8726</v>
      </c>
      <c r="BD568" s="47" t="s">
        <v>8374</v>
      </c>
      <c r="BE568" s="48" t="s">
        <v>2449</v>
      </c>
      <c r="BF568" s="48" t="s">
        <v>272</v>
      </c>
      <c r="BG568" s="48" t="s">
        <v>272</v>
      </c>
      <c r="BH568" s="48" t="s">
        <v>2486</v>
      </c>
      <c r="BI568" s="98">
        <v>1.0508799999999999E-3</v>
      </c>
      <c r="BJ568" s="98">
        <v>10.508799999999999</v>
      </c>
      <c r="BK568" s="48"/>
      <c r="BL568" s="487">
        <v>35.172898014111993</v>
      </c>
      <c r="BM568" s="47" t="s">
        <v>2487</v>
      </c>
      <c r="BN568" s="48"/>
      <c r="BO568" s="48"/>
      <c r="BP568" s="48"/>
      <c r="BQ568" s="48"/>
      <c r="BR568" s="47" t="e">
        <v>#VALUE!</v>
      </c>
      <c r="BS568" s="48"/>
      <c r="BT568" s="48"/>
      <c r="BU568" s="228"/>
      <c r="BV568" s="48"/>
      <c r="BW568" s="48"/>
      <c r="BX568" s="48"/>
      <c r="BY568" s="48"/>
      <c r="BZ568" s="48"/>
      <c r="CA568" s="48"/>
      <c r="CB568" s="48"/>
      <c r="CC568" s="48"/>
      <c r="CD568" s="48"/>
      <c r="CE568" s="48"/>
      <c r="CF568" s="48"/>
      <c r="CG568" s="48"/>
      <c r="CH568" s="48"/>
      <c r="CI568" s="98"/>
      <c r="CJ568" s="98"/>
      <c r="CK568" s="49">
        <f t="shared" si="132"/>
        <v>3.3469947105389766</v>
      </c>
      <c r="CL568" s="229"/>
      <c r="CM568" s="229"/>
      <c r="CN568" s="229"/>
      <c r="CO568" s="47" t="s">
        <v>2488</v>
      </c>
      <c r="CP568" s="500" t="s">
        <v>2489</v>
      </c>
      <c r="CQ568" s="224" t="s">
        <v>272</v>
      </c>
      <c r="CR568" s="224"/>
      <c r="CS568" s="230" t="s">
        <v>539</v>
      </c>
      <c r="CT568" s="230"/>
      <c r="CU568" s="230"/>
      <c r="CV568" s="335">
        <f t="shared" si="133"/>
        <v>201.28899245205207</v>
      </c>
      <c r="CW568" s="230">
        <f t="shared" si="131"/>
        <v>1</v>
      </c>
      <c r="CX568" s="336"/>
      <c r="CY568" s="230" t="s">
        <v>5921</v>
      </c>
    </row>
    <row r="569" spans="1:103" ht="11.25" customHeight="1" x14ac:dyDescent="0.2">
      <c r="A569" s="72">
        <v>884</v>
      </c>
      <c r="B569" s="224">
        <v>1151</v>
      </c>
      <c r="C569" s="46" t="s">
        <v>7080</v>
      </c>
      <c r="D569" s="46" t="s">
        <v>8572</v>
      </c>
      <c r="E569" s="114"/>
      <c r="F569" s="114" t="s">
        <v>3187</v>
      </c>
      <c r="G569" s="225">
        <v>98011</v>
      </c>
      <c r="H569" s="47" t="s">
        <v>3188</v>
      </c>
      <c r="I569" s="47" t="s">
        <v>8013</v>
      </c>
      <c r="J569" s="47" t="s">
        <v>3189</v>
      </c>
      <c r="K569" s="47" t="s">
        <v>511</v>
      </c>
      <c r="L569" s="47" t="s">
        <v>6124</v>
      </c>
      <c r="M569" s="47" t="s">
        <v>6125</v>
      </c>
      <c r="N569" s="47" t="s">
        <v>6088</v>
      </c>
      <c r="O569" s="47" t="s">
        <v>6083</v>
      </c>
      <c r="P569" s="53" t="s">
        <v>6172</v>
      </c>
      <c r="Q569" s="53" t="s">
        <v>6176</v>
      </c>
      <c r="R569" s="53" t="s">
        <v>6185</v>
      </c>
      <c r="S569" s="53" t="s">
        <v>6173</v>
      </c>
      <c r="T569" s="48">
        <v>96.08</v>
      </c>
      <c r="U569" s="98">
        <v>74100</v>
      </c>
      <c r="V569" s="98">
        <v>53580.000000000007</v>
      </c>
      <c r="W569" s="98">
        <v>4927.5721773890309</v>
      </c>
      <c r="X569" s="98">
        <v>74100</v>
      </c>
      <c r="Y569" s="233">
        <v>7</v>
      </c>
      <c r="Z569" s="48">
        <v>0.83</v>
      </c>
      <c r="AA569" s="48">
        <v>0.41</v>
      </c>
      <c r="AB569" s="48">
        <v>0.68</v>
      </c>
      <c r="AC569" s="48">
        <v>0.87160000000000004</v>
      </c>
      <c r="AD569" s="48">
        <v>0.69</v>
      </c>
      <c r="AE569" s="48">
        <v>0.73</v>
      </c>
      <c r="AF569" s="48">
        <f t="shared" si="134"/>
        <v>0.41</v>
      </c>
      <c r="AG569" s="49">
        <v>0.97</v>
      </c>
      <c r="AH569" s="98">
        <v>1.34E-5</v>
      </c>
      <c r="AI569" s="98">
        <v>3.7699999999999999E-6</v>
      </c>
      <c r="AJ569" s="483">
        <f t="shared" si="137"/>
        <v>-3.2614615279478443</v>
      </c>
      <c r="AK569" s="483">
        <f>LOG10(AI569*1000/(0.08206*298.15))</f>
        <v>-3.812224976106859</v>
      </c>
      <c r="AL569" s="483">
        <f t="shared" si="136"/>
        <v>-3.812224976106859</v>
      </c>
      <c r="AM569" s="483">
        <v>-4.9614899999999995</v>
      </c>
      <c r="AN569" s="226">
        <v>-2.98</v>
      </c>
      <c r="AO569" s="484"/>
      <c r="AP569" s="484"/>
      <c r="AQ569" s="48" t="s">
        <v>6311</v>
      </c>
      <c r="AR569" s="48" t="s">
        <v>6311</v>
      </c>
      <c r="AS569" s="227"/>
      <c r="AT569" s="50" t="s">
        <v>266</v>
      </c>
      <c r="AU569" s="48">
        <v>6</v>
      </c>
      <c r="AV569" s="48">
        <v>120</v>
      </c>
      <c r="AW569" s="48">
        <v>114</v>
      </c>
      <c r="AX569" s="48">
        <v>28</v>
      </c>
      <c r="AY569" s="48" t="s">
        <v>8728</v>
      </c>
      <c r="AZ569" s="48" t="s">
        <v>1563</v>
      </c>
      <c r="BA569" s="48">
        <v>32</v>
      </c>
      <c r="BB569" s="47" t="s">
        <v>2485</v>
      </c>
      <c r="BC569" s="47" t="s">
        <v>8726</v>
      </c>
      <c r="BD569" s="47" t="s">
        <v>8374</v>
      </c>
      <c r="BE569" s="48" t="s">
        <v>2449</v>
      </c>
      <c r="BF569" s="48" t="s">
        <v>272</v>
      </c>
      <c r="BG569" s="48" t="s">
        <v>272</v>
      </c>
      <c r="BH569" s="48" t="s">
        <v>2486</v>
      </c>
      <c r="BI569" s="98">
        <v>6.1491200000000001E-4</v>
      </c>
      <c r="BJ569" s="98">
        <v>6.1491199999999999</v>
      </c>
      <c r="BK569" s="48"/>
      <c r="BL569" s="487">
        <v>887.1764283450317</v>
      </c>
      <c r="BM569" s="47" t="s">
        <v>2487</v>
      </c>
      <c r="BN569" s="48"/>
      <c r="BO569" s="48"/>
      <c r="BP569" s="48"/>
      <c r="BQ569" s="48"/>
      <c r="BR569" s="47" t="e">
        <v>#VALUE!</v>
      </c>
      <c r="BS569" s="48"/>
      <c r="BT569" s="48"/>
      <c r="BU569" s="228">
        <v>0.61491200000000001</v>
      </c>
      <c r="BV569" s="48"/>
      <c r="BW569" s="48"/>
      <c r="BX569" s="48"/>
      <c r="BY569" s="48"/>
      <c r="BZ569" s="48"/>
      <c r="CA569" s="48"/>
      <c r="CB569" s="48"/>
      <c r="CC569" s="48"/>
      <c r="CD569" s="48"/>
      <c r="CE569" s="48"/>
      <c r="CF569" s="48"/>
      <c r="CG569" s="48"/>
      <c r="CH569" s="48"/>
      <c r="CI569" s="98"/>
      <c r="CJ569" s="98"/>
      <c r="CK569" s="49">
        <f t="shared" si="132"/>
        <v>144.27697432234723</v>
      </c>
      <c r="CL569" s="229"/>
      <c r="CM569" s="229"/>
      <c r="CN569" s="229"/>
      <c r="CO569" s="47" t="s">
        <v>2488</v>
      </c>
      <c r="CP569" s="500" t="s">
        <v>2489</v>
      </c>
      <c r="CQ569" s="224">
        <v>1.0180723737648689</v>
      </c>
      <c r="CR569" s="224">
        <f>10^(CJ569-CQ569)</f>
        <v>9.5924076383780227E-2</v>
      </c>
      <c r="CS569" s="230" t="s">
        <v>539</v>
      </c>
      <c r="CT569" s="230"/>
      <c r="CU569" s="230"/>
      <c r="CV569" s="335">
        <f t="shared" si="133"/>
        <v>12050.504787676937</v>
      </c>
      <c r="CW569" s="230">
        <f t="shared" si="131"/>
        <v>1</v>
      </c>
      <c r="CX569" s="336"/>
      <c r="CY569" s="230" t="s">
        <v>6351</v>
      </c>
    </row>
    <row r="570" spans="1:103" ht="11.25" customHeight="1" x14ac:dyDescent="0.2">
      <c r="A570" s="72">
        <v>885</v>
      </c>
      <c r="B570" s="224">
        <v>1521</v>
      </c>
      <c r="C570" s="46" t="s">
        <v>7081</v>
      </c>
      <c r="D570" s="46"/>
      <c r="E570" s="114"/>
      <c r="F570" s="114" t="s">
        <v>4614</v>
      </c>
      <c r="G570" s="225">
        <v>98077</v>
      </c>
      <c r="H570" s="47" t="s">
        <v>4615</v>
      </c>
      <c r="I570" s="47" t="s">
        <v>8014</v>
      </c>
      <c r="J570" s="47" t="s">
        <v>4616</v>
      </c>
      <c r="K570" s="47" t="s">
        <v>2938</v>
      </c>
      <c r="L570" s="47"/>
      <c r="M570" s="47"/>
      <c r="N570" s="47"/>
      <c r="O570" s="47"/>
      <c r="P570" s="53"/>
      <c r="Q570" s="53"/>
      <c r="R570" s="53"/>
      <c r="S570" s="53"/>
      <c r="T570" s="48">
        <v>195.47</v>
      </c>
      <c r="U570" s="98">
        <v>53.000000000000007</v>
      </c>
      <c r="V570" s="98">
        <v>21.72</v>
      </c>
      <c r="W570" s="98">
        <v>25.767964468562081</v>
      </c>
      <c r="X570" s="98">
        <v>53.000000000000007</v>
      </c>
      <c r="Y570" s="233">
        <v>7</v>
      </c>
      <c r="Z570" s="48">
        <v>3.9</v>
      </c>
      <c r="AA570" s="48"/>
      <c r="AB570" s="48">
        <v>4.0199999999999996</v>
      </c>
      <c r="AC570" s="48">
        <v>0.72019999999999995</v>
      </c>
      <c r="AD570" s="48">
        <v>3.78</v>
      </c>
      <c r="AE570" s="48">
        <v>3.34</v>
      </c>
      <c r="AF570" s="48">
        <f t="shared" si="134"/>
        <v>3.78</v>
      </c>
      <c r="AG570" s="49">
        <v>3.38</v>
      </c>
      <c r="AH570" s="98">
        <v>2.5999999999999998E-4</v>
      </c>
      <c r="AI570" s="98"/>
      <c r="AJ570" s="483">
        <f t="shared" si="137"/>
        <v>-1.973592978341834</v>
      </c>
      <c r="AK570" s="483"/>
      <c r="AL570" s="483">
        <f t="shared" si="136"/>
        <v>-1.973592978341834</v>
      </c>
      <c r="AM570" s="483">
        <v>-3.4823700000000004</v>
      </c>
      <c r="AN570" s="226">
        <v>-1.69</v>
      </c>
      <c r="AO570" s="484"/>
      <c r="AP570" s="484"/>
      <c r="AQ570" s="48" t="s">
        <v>6311</v>
      </c>
      <c r="AR570" s="48" t="s">
        <v>6311</v>
      </c>
      <c r="AS570" s="227"/>
      <c r="AT570" s="50" t="s">
        <v>266</v>
      </c>
      <c r="AU570" s="48">
        <v>6</v>
      </c>
      <c r="AV570" s="48">
        <v>120</v>
      </c>
      <c r="AW570" s="48">
        <v>114</v>
      </c>
      <c r="AX570" s="48">
        <v>28</v>
      </c>
      <c r="AY570" s="48" t="s">
        <v>8728</v>
      </c>
      <c r="AZ570" s="48" t="s">
        <v>1563</v>
      </c>
      <c r="BA570" s="48">
        <v>32</v>
      </c>
      <c r="BB570" s="47" t="s">
        <v>2485</v>
      </c>
      <c r="BC570" s="47" t="s">
        <v>8726</v>
      </c>
      <c r="BD570" s="47" t="s">
        <v>8374</v>
      </c>
      <c r="BE570" s="48" t="s">
        <v>2449</v>
      </c>
      <c r="BF570" s="48" t="s">
        <v>272</v>
      </c>
      <c r="BG570" s="48" t="s">
        <v>272</v>
      </c>
      <c r="BH570" s="48" t="s">
        <v>2486</v>
      </c>
      <c r="BI570" s="98">
        <v>1.2510079999999999E-3</v>
      </c>
      <c r="BJ570" s="98">
        <v>12.51008</v>
      </c>
      <c r="BK570" s="48"/>
      <c r="BL570" s="487">
        <v>3.1571129014318648</v>
      </c>
      <c r="BM570" s="47" t="s">
        <v>2487</v>
      </c>
      <c r="BN570" s="48"/>
      <c r="BO570" s="48"/>
      <c r="BP570" s="48"/>
      <c r="BQ570" s="48"/>
      <c r="BR570" s="47" t="e">
        <v>#VALUE!</v>
      </c>
      <c r="BS570" s="48"/>
      <c r="BT570" s="48"/>
      <c r="BU570" s="228"/>
      <c r="BV570" s="48"/>
      <c r="BW570" s="48"/>
      <c r="BX570" s="48"/>
      <c r="BY570" s="48"/>
      <c r="BZ570" s="48"/>
      <c r="CA570" s="48"/>
      <c r="CB570" s="48"/>
      <c r="CC570" s="48"/>
      <c r="CD570" s="48"/>
      <c r="CE570" s="48"/>
      <c r="CF570" s="48"/>
      <c r="CG570" s="48"/>
      <c r="CH570" s="48"/>
      <c r="CI570" s="98"/>
      <c r="CJ570" s="98"/>
      <c r="CK570" s="49">
        <f t="shared" si="132"/>
        <v>0.25236552455554762</v>
      </c>
      <c r="CL570" s="229"/>
      <c r="CM570" s="229"/>
      <c r="CN570" s="229"/>
      <c r="CO570" s="47" t="s">
        <v>2488</v>
      </c>
      <c r="CP570" s="500" t="s">
        <v>2489</v>
      </c>
      <c r="CQ570" s="224" t="s">
        <v>272</v>
      </c>
      <c r="CR570" s="224"/>
      <c r="CS570" s="230" t="s">
        <v>539</v>
      </c>
      <c r="CT570" s="230"/>
      <c r="CU570" s="230"/>
      <c r="CV570" s="335">
        <f t="shared" si="133"/>
        <v>4.2365836189696635</v>
      </c>
      <c r="CW570" s="230">
        <f t="shared" si="131"/>
        <v>1</v>
      </c>
      <c r="CX570" s="336"/>
      <c r="CY570" s="230" t="s">
        <v>6351</v>
      </c>
    </row>
    <row r="571" spans="1:103" ht="11.25" customHeight="1" x14ac:dyDescent="0.2">
      <c r="A571" s="72">
        <v>886</v>
      </c>
      <c r="B571" s="224">
        <v>1490</v>
      </c>
      <c r="C571" s="46" t="s">
        <v>7082</v>
      </c>
      <c r="D571" s="46"/>
      <c r="E571" s="114"/>
      <c r="F571" s="114" t="s">
        <v>4571</v>
      </c>
      <c r="G571" s="225">
        <v>98862</v>
      </c>
      <c r="H571" s="47" t="s">
        <v>4572</v>
      </c>
      <c r="I571" s="47" t="s">
        <v>4572</v>
      </c>
      <c r="J571" s="47" t="s">
        <v>4573</v>
      </c>
      <c r="K571" s="47" t="s">
        <v>426</v>
      </c>
      <c r="L571" s="47"/>
      <c r="M571" s="47"/>
      <c r="N571" s="47"/>
      <c r="O571" s="47"/>
      <c r="P571" s="53"/>
      <c r="Q571" s="53" t="s">
        <v>6173</v>
      </c>
      <c r="R571" s="53" t="s">
        <v>6185</v>
      </c>
      <c r="S571" s="53" t="s">
        <v>6176</v>
      </c>
      <c r="T571" s="48">
        <v>120.15</v>
      </c>
      <c r="U571" s="98">
        <v>6130</v>
      </c>
      <c r="V571" s="98">
        <v>4484</v>
      </c>
      <c r="W571" s="98">
        <v>2237.2976947004349</v>
      </c>
      <c r="X571" s="98">
        <v>6130</v>
      </c>
      <c r="Y571" s="233">
        <v>7</v>
      </c>
      <c r="Z571" s="48">
        <v>1.67</v>
      </c>
      <c r="AA571" s="48">
        <v>1.58</v>
      </c>
      <c r="AB571" s="48">
        <v>1.63</v>
      </c>
      <c r="AC571" s="48">
        <v>0.9153</v>
      </c>
      <c r="AD571" s="48">
        <v>1.63</v>
      </c>
      <c r="AE571" s="48">
        <v>1.66</v>
      </c>
      <c r="AF571" s="48">
        <f t="shared" si="134"/>
        <v>1.58</v>
      </c>
      <c r="AG571" s="49">
        <v>1.61</v>
      </c>
      <c r="AH571" s="98">
        <v>9.8099999999999992E-6</v>
      </c>
      <c r="AI571" s="98">
        <v>1.04E-5</v>
      </c>
      <c r="AJ571" s="483">
        <f t="shared" si="137"/>
        <v>-3.3968973189327034</v>
      </c>
      <c r="AK571" s="483">
        <f>LOG10(AI571*1000/(0.08206*298.15))</f>
        <v>-3.3715329870138713</v>
      </c>
      <c r="AL571" s="483">
        <f t="shared" si="136"/>
        <v>-3.3715329870138713</v>
      </c>
      <c r="AM571" s="483">
        <v>-5.4860399999999991</v>
      </c>
      <c r="AN571" s="226">
        <v>-3.29</v>
      </c>
      <c r="AO571" s="484"/>
      <c r="AP571" s="484"/>
      <c r="AQ571" s="48" t="s">
        <v>6311</v>
      </c>
      <c r="AR571" s="48" t="s">
        <v>6311</v>
      </c>
      <c r="AS571" s="227"/>
      <c r="AT571" s="50" t="s">
        <v>266</v>
      </c>
      <c r="AU571" s="48">
        <v>6</v>
      </c>
      <c r="AV571" s="48">
        <v>120</v>
      </c>
      <c r="AW571" s="48">
        <v>114</v>
      </c>
      <c r="AX571" s="48">
        <v>28</v>
      </c>
      <c r="AY571" s="48" t="s">
        <v>8728</v>
      </c>
      <c r="AZ571" s="48" t="s">
        <v>1563</v>
      </c>
      <c r="BA571" s="48">
        <v>32</v>
      </c>
      <c r="BB571" s="47" t="s">
        <v>2485</v>
      </c>
      <c r="BC571" s="47" t="s">
        <v>8726</v>
      </c>
      <c r="BD571" s="47" t="s">
        <v>8374</v>
      </c>
      <c r="BE571" s="48" t="s">
        <v>2449</v>
      </c>
      <c r="BF571" s="48" t="s">
        <v>272</v>
      </c>
      <c r="BG571" s="48" t="s">
        <v>272</v>
      </c>
      <c r="BH571" s="48" t="s">
        <v>2486</v>
      </c>
      <c r="BI571" s="98">
        <v>7.6895999999999996E-4</v>
      </c>
      <c r="BJ571" s="98">
        <v>7.6896000000000004</v>
      </c>
      <c r="BK571" s="48"/>
      <c r="BL571" s="487">
        <v>195.29754101741278</v>
      </c>
      <c r="BM571" s="47" t="s">
        <v>2487</v>
      </c>
      <c r="BN571" s="48"/>
      <c r="BO571" s="48"/>
      <c r="BP571" s="48"/>
      <c r="BQ571" s="48"/>
      <c r="BR571" s="47" t="e">
        <v>#VALUE!</v>
      </c>
      <c r="BS571" s="48"/>
      <c r="BT571" s="48"/>
      <c r="BU571" s="228"/>
      <c r="BV571" s="48"/>
      <c r="BW571" s="48"/>
      <c r="BX571" s="48"/>
      <c r="BY571" s="48"/>
      <c r="BZ571" s="48"/>
      <c r="CA571" s="48"/>
      <c r="CB571" s="48"/>
      <c r="CC571" s="48"/>
      <c r="CD571" s="48"/>
      <c r="CE571" s="48"/>
      <c r="CF571" s="48"/>
      <c r="CG571" s="48"/>
      <c r="CH571" s="48"/>
      <c r="CI571" s="98"/>
      <c r="CJ571" s="98"/>
      <c r="CK571" s="49">
        <f t="shared" si="132"/>
        <v>25.397620294607361</v>
      </c>
      <c r="CL571" s="229"/>
      <c r="CM571" s="229"/>
      <c r="CN571" s="229"/>
      <c r="CO571" s="47" t="s">
        <v>2488</v>
      </c>
      <c r="CP571" s="500" t="s">
        <v>2489</v>
      </c>
      <c r="CQ571" s="224">
        <v>2.2095150145426308</v>
      </c>
      <c r="CR571" s="224">
        <f>10^(CJ571-CQ571)</f>
        <v>6.1728395061728366E-3</v>
      </c>
      <c r="CS571" s="230" t="s">
        <v>539</v>
      </c>
      <c r="CT571" s="230"/>
      <c r="CU571" s="230"/>
      <c r="CV571" s="335">
        <f t="shared" si="133"/>
        <v>797.18060757386593</v>
      </c>
      <c r="CW571" s="230">
        <f t="shared" si="131"/>
        <v>1</v>
      </c>
      <c r="CX571" s="336"/>
      <c r="CY571" s="230" t="s">
        <v>6351</v>
      </c>
    </row>
    <row r="572" spans="1:103" ht="11.25" customHeight="1" x14ac:dyDescent="0.2">
      <c r="A572" s="72">
        <v>887</v>
      </c>
      <c r="B572" s="224">
        <v>1029</v>
      </c>
      <c r="C572" s="46" t="s">
        <v>7083</v>
      </c>
      <c r="D572" s="46"/>
      <c r="E572" s="114"/>
      <c r="F572" s="114" t="s">
        <v>2935</v>
      </c>
      <c r="G572" s="225">
        <v>98873</v>
      </c>
      <c r="H572" s="47" t="s">
        <v>2936</v>
      </c>
      <c r="I572" s="47" t="s">
        <v>8015</v>
      </c>
      <c r="J572" s="47" t="s">
        <v>2937</v>
      </c>
      <c r="K572" s="47" t="s">
        <v>2938</v>
      </c>
      <c r="L572" s="47"/>
      <c r="M572" s="47"/>
      <c r="N572" s="47"/>
      <c r="O572" s="47"/>
      <c r="P572" s="53"/>
      <c r="Q572" s="53"/>
      <c r="R572" s="53"/>
      <c r="S572" s="53"/>
      <c r="T572" s="48">
        <v>161.03</v>
      </c>
      <c r="U572" s="98">
        <v>250</v>
      </c>
      <c r="V572" s="98">
        <v>195</v>
      </c>
      <c r="W572" s="98">
        <v>73.60491117368332</v>
      </c>
      <c r="X572" s="98">
        <v>250</v>
      </c>
      <c r="Y572" s="233">
        <v>7</v>
      </c>
      <c r="Z572" s="48">
        <v>2.97</v>
      </c>
      <c r="AA572" s="48"/>
      <c r="AB572" s="48">
        <v>3.19</v>
      </c>
      <c r="AC572" s="48">
        <v>0.7369</v>
      </c>
      <c r="AD572" s="48">
        <v>2.99</v>
      </c>
      <c r="AE572" s="48">
        <v>2.65</v>
      </c>
      <c r="AF572" s="48">
        <f t="shared" si="134"/>
        <v>2.99</v>
      </c>
      <c r="AG572" s="49">
        <v>2.93</v>
      </c>
      <c r="AH572" s="98">
        <v>7.3800000000000005E-4</v>
      </c>
      <c r="AI572" s="98">
        <v>3.9800000000000002E-4</v>
      </c>
      <c r="AJ572" s="483">
        <f t="shared" si="137"/>
        <v>-1.5205099644896103</v>
      </c>
      <c r="AK572" s="483">
        <f>LOG10(AI572*1000/(0.08206*298.15))</f>
        <v>-1.7886832542389639</v>
      </c>
      <c r="AL572" s="483">
        <f t="shared" si="136"/>
        <v>-1.7886832542389639</v>
      </c>
      <c r="AM572" s="483">
        <v>-3.5325099999999998</v>
      </c>
      <c r="AN572" s="226">
        <v>-1.91</v>
      </c>
      <c r="AO572" s="484"/>
      <c r="AP572" s="484"/>
      <c r="AQ572" s="48" t="s">
        <v>6311</v>
      </c>
      <c r="AR572" s="48" t="s">
        <v>6311</v>
      </c>
      <c r="AS572" s="227"/>
      <c r="AT572" s="50" t="s">
        <v>266</v>
      </c>
      <c r="AU572" s="48">
        <v>6</v>
      </c>
      <c r="AV572" s="48">
        <v>120</v>
      </c>
      <c r="AW572" s="48">
        <v>114</v>
      </c>
      <c r="AX572" s="48">
        <v>28</v>
      </c>
      <c r="AY572" s="48" t="s">
        <v>8728</v>
      </c>
      <c r="AZ572" s="48" t="s">
        <v>1563</v>
      </c>
      <c r="BA572" s="48">
        <v>32</v>
      </c>
      <c r="BB572" s="47" t="s">
        <v>2485</v>
      </c>
      <c r="BC572" s="47" t="s">
        <v>8726</v>
      </c>
      <c r="BD572" s="47" t="s">
        <v>8374</v>
      </c>
      <c r="BE572" s="48" t="s">
        <v>2449</v>
      </c>
      <c r="BF572" s="48" t="s">
        <v>272</v>
      </c>
      <c r="BG572" s="48" t="s">
        <v>272</v>
      </c>
      <c r="BH572" s="48" t="s">
        <v>2486</v>
      </c>
      <c r="BI572" s="98">
        <v>1.0305919999999999E-3</v>
      </c>
      <c r="BJ572" s="98">
        <v>10.30592</v>
      </c>
      <c r="BK572" s="48"/>
      <c r="BL572" s="487">
        <v>17.797122629991605</v>
      </c>
      <c r="BM572" s="47" t="s">
        <v>2487</v>
      </c>
      <c r="BN572" s="48"/>
      <c r="BO572" s="48"/>
      <c r="BP572" s="48"/>
      <c r="BQ572" s="48"/>
      <c r="BR572" s="47" t="e">
        <v>#VALUE!</v>
      </c>
      <c r="BS572" s="48"/>
      <c r="BT572" s="48"/>
      <c r="BU572" s="228">
        <v>1.030592E-2</v>
      </c>
      <c r="BV572" s="48"/>
      <c r="BW572" s="48"/>
      <c r="BX572" s="48"/>
      <c r="BY572" s="48"/>
      <c r="BZ572" s="48"/>
      <c r="CA572" s="48"/>
      <c r="CB572" s="48"/>
      <c r="CC572" s="48"/>
      <c r="CD572" s="48"/>
      <c r="CE572" s="48"/>
      <c r="CF572" s="48"/>
      <c r="CG572" s="48"/>
      <c r="CH572" s="48"/>
      <c r="CI572" s="98"/>
      <c r="CJ572" s="98"/>
      <c r="CK572" s="49">
        <f t="shared" si="132"/>
        <v>1.7268834446601182</v>
      </c>
      <c r="CL572" s="229"/>
      <c r="CM572" s="229"/>
      <c r="CN572" s="229"/>
      <c r="CO572" s="47" t="s">
        <v>2488</v>
      </c>
      <c r="CP572" s="500" t="s">
        <v>2489</v>
      </c>
      <c r="CQ572" s="224" t="s">
        <v>272</v>
      </c>
      <c r="CR572" s="224"/>
      <c r="CS572" s="230" t="s">
        <v>539</v>
      </c>
      <c r="CT572" s="230"/>
      <c r="CU572" s="230"/>
      <c r="CV572" s="335">
        <f t="shared" si="133"/>
        <v>24.257902254238338</v>
      </c>
      <c r="CW572" s="230">
        <f t="shared" si="131"/>
        <v>1</v>
      </c>
      <c r="CX572" s="336"/>
      <c r="CY572" s="230" t="s">
        <v>6351</v>
      </c>
    </row>
    <row r="573" spans="1:103" ht="11.25" customHeight="1" x14ac:dyDescent="0.2">
      <c r="A573" s="72">
        <v>888</v>
      </c>
      <c r="B573" s="224">
        <v>1777</v>
      </c>
      <c r="C573" s="46" t="s">
        <v>7084</v>
      </c>
      <c r="D573" s="46" t="s">
        <v>8573</v>
      </c>
      <c r="E573" s="114"/>
      <c r="F573" s="114" t="s">
        <v>5111</v>
      </c>
      <c r="G573" s="225">
        <v>98953</v>
      </c>
      <c r="H573" s="47" t="s">
        <v>5112</v>
      </c>
      <c r="I573" s="47" t="s">
        <v>5112</v>
      </c>
      <c r="J573" s="47" t="s">
        <v>5113</v>
      </c>
      <c r="K573" s="47" t="s">
        <v>426</v>
      </c>
      <c r="L573" s="47"/>
      <c r="M573" s="47" t="s">
        <v>6616</v>
      </c>
      <c r="N573" s="47" t="s">
        <v>6082</v>
      </c>
      <c r="O573" s="47"/>
      <c r="P573" s="53" t="s">
        <v>6184</v>
      </c>
      <c r="Q573" s="53" t="s">
        <v>6176</v>
      </c>
      <c r="R573" s="53" t="s">
        <v>6185</v>
      </c>
      <c r="S573" s="53" t="s">
        <v>6176</v>
      </c>
      <c r="T573" s="48">
        <v>123.11</v>
      </c>
      <c r="U573" s="98">
        <v>2090</v>
      </c>
      <c r="V573" s="98">
        <v>1047</v>
      </c>
      <c r="W573" s="98">
        <v>1820.9303366738798</v>
      </c>
      <c r="X573" s="98">
        <v>2090</v>
      </c>
      <c r="Y573" s="233">
        <v>7</v>
      </c>
      <c r="Z573" s="48">
        <v>1.81</v>
      </c>
      <c r="AA573" s="48">
        <v>1.85</v>
      </c>
      <c r="AB573" s="48">
        <v>1.76</v>
      </c>
      <c r="AC573" s="48">
        <v>0.90720000000000001</v>
      </c>
      <c r="AD573" s="48">
        <v>1.81</v>
      </c>
      <c r="AE573" s="48">
        <v>1.95</v>
      </c>
      <c r="AF573" s="48">
        <f t="shared" si="134"/>
        <v>1.85</v>
      </c>
      <c r="AG573" s="49">
        <v>1.42</v>
      </c>
      <c r="AH573" s="98">
        <v>2.1299999999999999E-5</v>
      </c>
      <c r="AI573" s="98">
        <v>2.4000000000000001E-5</v>
      </c>
      <c r="AJ573" s="483">
        <f t="shared" si="137"/>
        <v>-3.0601867228739139</v>
      </c>
      <c r="AK573" s="483">
        <f>LOG10(AI573*1000/(0.08206*298.15))</f>
        <v>-3.0083550846010456</v>
      </c>
      <c r="AL573" s="483">
        <f t="shared" si="136"/>
        <v>-3.0083550846010456</v>
      </c>
      <c r="AM573" s="483">
        <v>-4.8240999999999996</v>
      </c>
      <c r="AN573" s="226">
        <v>-2.78</v>
      </c>
      <c r="AO573" s="484"/>
      <c r="AP573" s="484"/>
      <c r="AQ573" s="226" t="s">
        <v>6311</v>
      </c>
      <c r="AR573" s="226" t="s">
        <v>6311</v>
      </c>
      <c r="AS573" s="224"/>
      <c r="AT573" s="50" t="s">
        <v>266</v>
      </c>
      <c r="AU573" s="48">
        <v>6</v>
      </c>
      <c r="AV573" s="48">
        <v>120</v>
      </c>
      <c r="AW573" s="48">
        <v>114</v>
      </c>
      <c r="AX573" s="48">
        <v>28</v>
      </c>
      <c r="AY573" s="48" t="s">
        <v>8728</v>
      </c>
      <c r="AZ573" s="48" t="s">
        <v>1563</v>
      </c>
      <c r="BA573" s="48">
        <v>32</v>
      </c>
      <c r="BB573" s="47" t="s">
        <v>2485</v>
      </c>
      <c r="BC573" s="47" t="s">
        <v>8726</v>
      </c>
      <c r="BD573" s="47" t="s">
        <v>8374</v>
      </c>
      <c r="BE573" s="48" t="s">
        <v>2449</v>
      </c>
      <c r="BF573" s="48" t="s">
        <v>272</v>
      </c>
      <c r="BG573" s="48" t="s">
        <v>272</v>
      </c>
      <c r="BH573" s="48" t="s">
        <v>2486</v>
      </c>
      <c r="BI573" s="98">
        <v>7.8790399999999997E-4</v>
      </c>
      <c r="BJ573" s="98">
        <v>7.8790399999999998</v>
      </c>
      <c r="BK573" s="48"/>
      <c r="BL573" s="487">
        <v>149.80707736603637</v>
      </c>
      <c r="BM573" s="47" t="s">
        <v>2487</v>
      </c>
      <c r="BN573" s="48"/>
      <c r="BO573" s="48"/>
      <c r="BP573" s="48"/>
      <c r="BQ573" s="48"/>
      <c r="BR573" s="47"/>
      <c r="BS573" s="48"/>
      <c r="BT573" s="48"/>
      <c r="BU573" s="228"/>
      <c r="BV573" s="48"/>
      <c r="BW573" s="48"/>
      <c r="BX573" s="48"/>
      <c r="BY573" s="48"/>
      <c r="BZ573" s="48"/>
      <c r="CA573" s="48"/>
      <c r="CB573" s="48"/>
      <c r="CC573" s="48"/>
      <c r="CD573" s="48"/>
      <c r="CE573" s="48"/>
      <c r="CF573" s="48"/>
      <c r="CG573" s="48"/>
      <c r="CH573" s="48"/>
      <c r="CI573" s="52"/>
      <c r="CJ573" s="98"/>
      <c r="CK573" s="49">
        <f t="shared" si="132"/>
        <v>19.013366776413925</v>
      </c>
      <c r="CL573" s="229"/>
      <c r="CM573" s="229"/>
      <c r="CN573" s="229"/>
      <c r="CO573" s="47" t="s">
        <v>2488</v>
      </c>
      <c r="CP573" s="500" t="s">
        <v>2489</v>
      </c>
      <c r="CQ573" s="224">
        <v>1.8574366841732948</v>
      </c>
      <c r="CR573" s="224">
        <f>10^(CJ573-CQ573)</f>
        <v>1.3885557328226593E-2</v>
      </c>
      <c r="CS573" s="230" t="s">
        <v>539</v>
      </c>
      <c r="CT573" s="230"/>
      <c r="CU573" s="230"/>
      <c r="CV573" s="335">
        <f t="shared" si="133"/>
        <v>265.26074242547315</v>
      </c>
      <c r="CW573" s="230">
        <f t="shared" si="131"/>
        <v>1</v>
      </c>
      <c r="CX573" s="336"/>
      <c r="CY573" s="230" t="s">
        <v>6351</v>
      </c>
    </row>
    <row r="574" spans="1:103" ht="11.25" customHeight="1" x14ac:dyDescent="0.2">
      <c r="A574" s="72">
        <v>889</v>
      </c>
      <c r="B574" s="224">
        <v>977</v>
      </c>
      <c r="C574" s="46" t="s">
        <v>7085</v>
      </c>
      <c r="D574" s="46" t="s">
        <v>8701</v>
      </c>
      <c r="E574" s="114"/>
      <c r="F574" s="114" t="s">
        <v>2791</v>
      </c>
      <c r="G574" s="225">
        <v>99081</v>
      </c>
      <c r="H574" s="47" t="s">
        <v>2792</v>
      </c>
      <c r="I574" s="47" t="s">
        <v>2792</v>
      </c>
      <c r="J574" s="47" t="s">
        <v>2793</v>
      </c>
      <c r="K574" s="47" t="s">
        <v>426</v>
      </c>
      <c r="L574" s="47" t="s">
        <v>5527</v>
      </c>
      <c r="M574" s="47" t="s">
        <v>6082</v>
      </c>
      <c r="N574" s="47" t="s">
        <v>6082</v>
      </c>
      <c r="O574" s="47" t="s">
        <v>6083</v>
      </c>
      <c r="P574" s="53" t="s">
        <v>6184</v>
      </c>
      <c r="Q574" s="53" t="s">
        <v>6176</v>
      </c>
      <c r="R574" s="53" t="s">
        <v>6185</v>
      </c>
      <c r="S574" s="53" t="s">
        <v>6176</v>
      </c>
      <c r="T574" s="48">
        <v>137.13999999999999</v>
      </c>
      <c r="U574" s="98">
        <v>500</v>
      </c>
      <c r="V574" s="98">
        <v>283.5</v>
      </c>
      <c r="W574" s="98">
        <v>433.67475831549109</v>
      </c>
      <c r="X574" s="98">
        <v>500</v>
      </c>
      <c r="Y574" s="233">
        <v>7</v>
      </c>
      <c r="Z574" s="48">
        <v>2.36</v>
      </c>
      <c r="AA574" s="48">
        <v>2.4500000000000002</v>
      </c>
      <c r="AB574" s="48">
        <v>2.46</v>
      </c>
      <c r="AC574" s="48">
        <v>0.92769999999999997</v>
      </c>
      <c r="AD574" s="48">
        <v>2.4500000000000002</v>
      </c>
      <c r="AE574" s="48">
        <v>2.41</v>
      </c>
      <c r="AF574" s="48">
        <f t="shared" si="134"/>
        <v>2.4500000000000002</v>
      </c>
      <c r="AG574" s="49">
        <v>1.9</v>
      </c>
      <c r="AH574" s="98">
        <v>2.3499999999999999E-5</v>
      </c>
      <c r="AI574" s="98">
        <v>9.3000000000000007E-6</v>
      </c>
      <c r="AJ574" s="483">
        <f t="shared" si="137"/>
        <v>-3.0174984640409157</v>
      </c>
      <c r="AK574" s="483">
        <f>LOG10(AI574*1000/(0.08206*298.15))</f>
        <v>-3.4200833777587167</v>
      </c>
      <c r="AL574" s="483">
        <f t="shared" si="136"/>
        <v>-3.4200833777587167</v>
      </c>
      <c r="AM574" s="483">
        <v>-4.7760700000000007</v>
      </c>
      <c r="AN574" s="226">
        <v>-2.78</v>
      </c>
      <c r="AO574" s="484"/>
      <c r="AP574" s="484"/>
      <c r="AQ574" s="48" t="s">
        <v>6311</v>
      </c>
      <c r="AR574" s="48" t="s">
        <v>6311</v>
      </c>
      <c r="AS574" s="227"/>
      <c r="AT574" s="50" t="s">
        <v>266</v>
      </c>
      <c r="AU574" s="48">
        <v>6</v>
      </c>
      <c r="AV574" s="48">
        <v>120</v>
      </c>
      <c r="AW574" s="48">
        <v>114</v>
      </c>
      <c r="AX574" s="48">
        <v>28</v>
      </c>
      <c r="AY574" s="48" t="s">
        <v>8728</v>
      </c>
      <c r="AZ574" s="48" t="s">
        <v>1563</v>
      </c>
      <c r="BA574" s="48">
        <v>32</v>
      </c>
      <c r="BB574" s="47" t="s">
        <v>2485</v>
      </c>
      <c r="BC574" s="47" t="s">
        <v>8726</v>
      </c>
      <c r="BD574" s="47" t="s">
        <v>8374</v>
      </c>
      <c r="BE574" s="48" t="s">
        <v>2449</v>
      </c>
      <c r="BF574" s="48" t="s">
        <v>272</v>
      </c>
      <c r="BG574" s="48" t="s">
        <v>272</v>
      </c>
      <c r="BH574" s="48" t="s">
        <v>2486</v>
      </c>
      <c r="BI574" s="98">
        <v>8.7769599999999986E-4</v>
      </c>
      <c r="BJ574" s="98">
        <v>8.776959999999999</v>
      </c>
      <c r="BK574" s="48"/>
      <c r="BL574" s="487">
        <v>53.511625694070879</v>
      </c>
      <c r="BM574" s="47" t="s">
        <v>2487</v>
      </c>
      <c r="BN574" s="48"/>
      <c r="BO574" s="48"/>
      <c r="BP574" s="48"/>
      <c r="BQ574" s="48"/>
      <c r="BR574" s="47" t="e">
        <v>#VALUE!</v>
      </c>
      <c r="BS574" s="48"/>
      <c r="BT574" s="48"/>
      <c r="BU574" s="228">
        <v>0.87769599999999992</v>
      </c>
      <c r="BV574" s="48"/>
      <c r="BW574" s="48"/>
      <c r="BX574" s="48"/>
      <c r="BY574" s="48"/>
      <c r="BZ574" s="48"/>
      <c r="CA574" s="48"/>
      <c r="CB574" s="48"/>
      <c r="CC574" s="48"/>
      <c r="CD574" s="48"/>
      <c r="CE574" s="48"/>
      <c r="CF574" s="48"/>
      <c r="CG574" s="48"/>
      <c r="CH574" s="48"/>
      <c r="CI574" s="98"/>
      <c r="CJ574" s="98"/>
      <c r="CK574" s="49">
        <f t="shared" si="132"/>
        <v>6.096829163408616</v>
      </c>
      <c r="CL574" s="229"/>
      <c r="CM574" s="229"/>
      <c r="CN574" s="229"/>
      <c r="CO574" s="47" t="s">
        <v>2488</v>
      </c>
      <c r="CP574" s="500" t="s">
        <v>2489</v>
      </c>
      <c r="CQ574" s="224">
        <v>1.4616228751250995</v>
      </c>
      <c r="CR574" s="224">
        <f>10^(CJ574-CQ574)</f>
        <v>3.4544357924934377E-2</v>
      </c>
      <c r="CS574" s="230" t="s">
        <v>539</v>
      </c>
      <c r="CT574" s="230"/>
      <c r="CU574" s="230"/>
      <c r="CV574" s="335">
        <f t="shared" si="133"/>
        <v>56.967332652763609</v>
      </c>
      <c r="CW574" s="230">
        <f t="shared" si="131"/>
        <v>1</v>
      </c>
      <c r="CX574" s="336"/>
      <c r="CY574" s="230" t="s">
        <v>6351</v>
      </c>
    </row>
    <row r="575" spans="1:103" ht="11.25" customHeight="1" x14ac:dyDescent="0.2">
      <c r="A575" s="72">
        <v>891</v>
      </c>
      <c r="B575" s="224">
        <v>1598</v>
      </c>
      <c r="C575" s="46" t="s">
        <v>7087</v>
      </c>
      <c r="D575" s="46" t="s">
        <v>8574</v>
      </c>
      <c r="E575" s="114"/>
      <c r="F575" s="114" t="s">
        <v>3805</v>
      </c>
      <c r="G575" s="225">
        <v>99309</v>
      </c>
      <c r="H575" s="47" t="s">
        <v>3806</v>
      </c>
      <c r="I575" s="47" t="s">
        <v>8016</v>
      </c>
      <c r="J575" s="47" t="s">
        <v>3807</v>
      </c>
      <c r="K575" s="47" t="s">
        <v>1573</v>
      </c>
      <c r="L575" s="47"/>
      <c r="M575" s="47" t="s">
        <v>6082</v>
      </c>
      <c r="N575" s="47"/>
      <c r="O575" s="47"/>
      <c r="P575" s="53"/>
      <c r="Q575" s="53"/>
      <c r="R575" s="53"/>
      <c r="S575" s="53"/>
      <c r="T575" s="48">
        <v>207.01</v>
      </c>
      <c r="U575" s="98">
        <v>7</v>
      </c>
      <c r="V575" s="98">
        <v>163.6</v>
      </c>
      <c r="W575" s="98">
        <v>38.547065816058016</v>
      </c>
      <c r="X575" s="98">
        <v>7</v>
      </c>
      <c r="Y575" s="233">
        <v>7</v>
      </c>
      <c r="Z575" s="48">
        <v>2.76</v>
      </c>
      <c r="AA575" s="48">
        <v>2.8</v>
      </c>
      <c r="AB575" s="48">
        <v>2.72</v>
      </c>
      <c r="AC575" s="48">
        <v>0.93020000000000003</v>
      </c>
      <c r="AD575" s="48">
        <v>2.88</v>
      </c>
      <c r="AE575" s="48">
        <v>3.54</v>
      </c>
      <c r="AF575" s="48">
        <f t="shared" si="134"/>
        <v>2.8</v>
      </c>
      <c r="AG575" s="49">
        <v>2.08</v>
      </c>
      <c r="AH575" s="98">
        <v>4.1199999999999998E-9</v>
      </c>
      <c r="AI575" s="98">
        <v>4.6700000000000001E-8</v>
      </c>
      <c r="AJ575" s="483">
        <f t="shared" si="137"/>
        <v>-6.773669110279517</v>
      </c>
      <c r="AK575" s="483">
        <f>LOG10(AI575*1000/(0.08206*298.15))</f>
        <v>-5.7192494457465397</v>
      </c>
      <c r="AL575" s="483">
        <f t="shared" si="136"/>
        <v>-5.7192494457465397</v>
      </c>
      <c r="AM575" s="483">
        <v>-9.5344400000000018</v>
      </c>
      <c r="AN575" s="226">
        <v>-0.64</v>
      </c>
      <c r="AO575" s="484"/>
      <c r="AP575" s="484">
        <v>-3.18</v>
      </c>
      <c r="AQ575" s="48" t="s">
        <v>6311</v>
      </c>
      <c r="AR575" s="48" t="s">
        <v>6311</v>
      </c>
      <c r="AS575" s="227"/>
      <c r="AT575" s="50" t="s">
        <v>266</v>
      </c>
      <c r="AU575" s="48">
        <v>6</v>
      </c>
      <c r="AV575" s="48">
        <v>120</v>
      </c>
      <c r="AW575" s="48">
        <v>114</v>
      </c>
      <c r="AX575" s="48">
        <v>28</v>
      </c>
      <c r="AY575" s="48" t="s">
        <v>8728</v>
      </c>
      <c r="AZ575" s="48" t="s">
        <v>1563</v>
      </c>
      <c r="BA575" s="48">
        <v>32</v>
      </c>
      <c r="BB575" s="47" t="s">
        <v>2485</v>
      </c>
      <c r="BC575" s="47" t="s">
        <v>8726</v>
      </c>
      <c r="BD575" s="47" t="s">
        <v>8374</v>
      </c>
      <c r="BE575" s="48" t="s">
        <v>2449</v>
      </c>
      <c r="BF575" s="48" t="s">
        <v>272</v>
      </c>
      <c r="BG575" s="48" t="s">
        <v>272</v>
      </c>
      <c r="BH575" s="48" t="s">
        <v>2486</v>
      </c>
      <c r="BI575" s="98">
        <v>1.3248639999999998E-3</v>
      </c>
      <c r="BJ575" s="98">
        <v>13.24864</v>
      </c>
      <c r="BK575" s="48"/>
      <c r="BL575" s="487">
        <v>35.321189875475142</v>
      </c>
      <c r="BM575" s="47" t="s">
        <v>2487</v>
      </c>
      <c r="BN575" s="48"/>
      <c r="BO575" s="48"/>
      <c r="BP575" s="48"/>
      <c r="BQ575" s="48"/>
      <c r="BR575" s="47" t="e">
        <v>#VALUE!</v>
      </c>
      <c r="BS575" s="48"/>
      <c r="BT575" s="48"/>
      <c r="BU575" s="228"/>
      <c r="BV575" s="48"/>
      <c r="BW575" s="48"/>
      <c r="BX575" s="48"/>
      <c r="BY575" s="48"/>
      <c r="BZ575" s="48"/>
      <c r="CA575" s="48"/>
      <c r="CB575" s="48"/>
      <c r="CC575" s="48"/>
      <c r="CD575" s="48"/>
      <c r="CE575" s="48"/>
      <c r="CF575" s="48"/>
      <c r="CG575" s="48"/>
      <c r="CH575" s="48"/>
      <c r="CI575" s="98"/>
      <c r="CJ575" s="98"/>
      <c r="CK575" s="49">
        <f t="shared" si="132"/>
        <v>2.6660238239906242</v>
      </c>
      <c r="CL575" s="229"/>
      <c r="CM575" s="229"/>
      <c r="CN575" s="229"/>
      <c r="CO575" s="47" t="s">
        <v>2488</v>
      </c>
      <c r="CP575" s="500" t="s">
        <v>2489</v>
      </c>
      <c r="CQ575" s="224">
        <v>0.50196923099167701</v>
      </c>
      <c r="CR575" s="224">
        <f>10^(CJ575-CQ575)</f>
        <v>0.31479713344921534</v>
      </c>
      <c r="CS575" s="230" t="s">
        <v>539</v>
      </c>
      <c r="CT575" s="230"/>
      <c r="CU575" s="230"/>
      <c r="CV575" s="335">
        <f t="shared" si="133"/>
        <v>0.52835611806192939</v>
      </c>
      <c r="CW575" s="230">
        <f t="shared" si="131"/>
        <v>0</v>
      </c>
      <c r="CX575" s="336"/>
      <c r="CY575" s="230" t="s">
        <v>5921</v>
      </c>
    </row>
    <row r="576" spans="1:103" ht="11.25" customHeight="1" x14ac:dyDescent="0.2">
      <c r="A576" s="72">
        <v>892</v>
      </c>
      <c r="B576" s="224">
        <v>1363</v>
      </c>
      <c r="C576" s="46" t="s">
        <v>7088</v>
      </c>
      <c r="D576" s="46"/>
      <c r="E576" s="114"/>
      <c r="F576" s="114" t="s">
        <v>4209</v>
      </c>
      <c r="G576" s="225">
        <v>99514</v>
      </c>
      <c r="H576" s="47" t="s">
        <v>4210</v>
      </c>
      <c r="I576" s="47" t="s">
        <v>8017</v>
      </c>
      <c r="J576" s="47" t="s">
        <v>4211</v>
      </c>
      <c r="K576" s="47" t="s">
        <v>426</v>
      </c>
      <c r="L576" s="47"/>
      <c r="M576" s="47"/>
      <c r="N576" s="47"/>
      <c r="O576" s="47"/>
      <c r="P576" s="53" t="s">
        <v>6184</v>
      </c>
      <c r="Q576" s="53" t="s">
        <v>6176</v>
      </c>
      <c r="R576" s="53" t="s">
        <v>6185</v>
      </c>
      <c r="S576" s="53" t="s">
        <v>6176</v>
      </c>
      <c r="T576" s="48">
        <v>151.16</v>
      </c>
      <c r="U576" s="98"/>
      <c r="V576" s="98">
        <v>99.96</v>
      </c>
      <c r="W576" s="98">
        <v>102.19670256025188</v>
      </c>
      <c r="X576" s="98">
        <v>102.19670256025188</v>
      </c>
      <c r="Y576" s="233">
        <v>7</v>
      </c>
      <c r="Z576" s="48">
        <v>2.91</v>
      </c>
      <c r="AA576" s="48">
        <v>2.91</v>
      </c>
      <c r="AB576" s="48">
        <v>2.99</v>
      </c>
      <c r="AC576" s="48">
        <v>0.95569999999999999</v>
      </c>
      <c r="AD576" s="48">
        <v>2.96</v>
      </c>
      <c r="AE576" s="48">
        <v>2.87</v>
      </c>
      <c r="AF576" s="48">
        <f t="shared" si="134"/>
        <v>2.91</v>
      </c>
      <c r="AG576" s="49">
        <v>2.35</v>
      </c>
      <c r="AH576" s="98">
        <v>2.5899999999999999E-5</v>
      </c>
      <c r="AI576" s="98"/>
      <c r="AJ576" s="483">
        <f t="shared" si="137"/>
        <v>-2.9752665622314001</v>
      </c>
      <c r="AK576" s="483"/>
      <c r="AL576" s="483">
        <f t="shared" si="136"/>
        <v>-2.9752665622314001</v>
      </c>
      <c r="AM576" s="483">
        <v>-4.755469999999999</v>
      </c>
      <c r="AN576" s="226">
        <v>-2.93</v>
      </c>
      <c r="AO576" s="484"/>
      <c r="AP576" s="484"/>
      <c r="AQ576" s="48" t="s">
        <v>6311</v>
      </c>
      <c r="AR576" s="48" t="s">
        <v>6311</v>
      </c>
      <c r="AS576" s="227"/>
      <c r="AT576" s="50" t="s">
        <v>266</v>
      </c>
      <c r="AU576" s="48">
        <v>6</v>
      </c>
      <c r="AV576" s="48">
        <v>120</v>
      </c>
      <c r="AW576" s="48">
        <v>114</v>
      </c>
      <c r="AX576" s="48">
        <v>28</v>
      </c>
      <c r="AY576" s="48" t="s">
        <v>8728</v>
      </c>
      <c r="AZ576" s="48" t="s">
        <v>1563</v>
      </c>
      <c r="BA576" s="48">
        <v>32</v>
      </c>
      <c r="BB576" s="47" t="s">
        <v>2485</v>
      </c>
      <c r="BC576" s="47" t="s">
        <v>8726</v>
      </c>
      <c r="BD576" s="47" t="s">
        <v>8374</v>
      </c>
      <c r="BE576" s="48" t="s">
        <v>2449</v>
      </c>
      <c r="BF576" s="48" t="s">
        <v>272</v>
      </c>
      <c r="BG576" s="48" t="s">
        <v>272</v>
      </c>
      <c r="BH576" s="48" t="s">
        <v>2486</v>
      </c>
      <c r="BI576" s="98">
        <v>9.6742399999999993E-4</v>
      </c>
      <c r="BJ576" s="98">
        <v>9.6742399999999993</v>
      </c>
      <c r="BK576" s="48"/>
      <c r="BL576" s="487">
        <v>18.913237807825332</v>
      </c>
      <c r="BM576" s="47" t="s">
        <v>2487</v>
      </c>
      <c r="BN576" s="48"/>
      <c r="BO576" s="48"/>
      <c r="BP576" s="48"/>
      <c r="BQ576" s="48"/>
      <c r="BR576" s="47" t="e">
        <v>#VALUE!</v>
      </c>
      <c r="BS576" s="48"/>
      <c r="BT576" s="48"/>
      <c r="BU576" s="228"/>
      <c r="BV576" s="48"/>
      <c r="BW576" s="48"/>
      <c r="BX576" s="48"/>
      <c r="BY576" s="48"/>
      <c r="BZ576" s="48"/>
      <c r="CA576" s="48"/>
      <c r="CB576" s="48"/>
      <c r="CC576" s="48"/>
      <c r="CD576" s="48"/>
      <c r="CE576" s="48"/>
      <c r="CF576" s="48"/>
      <c r="CG576" s="48"/>
      <c r="CH576" s="48"/>
      <c r="CI576" s="98"/>
      <c r="CJ576" s="98"/>
      <c r="CK576" s="49">
        <f t="shared" si="132"/>
        <v>1.9550101928239669</v>
      </c>
      <c r="CL576" s="229"/>
      <c r="CM576" s="229"/>
      <c r="CN576" s="229"/>
      <c r="CO576" s="47" t="s">
        <v>2488</v>
      </c>
      <c r="CP576" s="500" t="s">
        <v>2489</v>
      </c>
      <c r="CQ576" s="224" t="s">
        <v>272</v>
      </c>
      <c r="CR576" s="224"/>
      <c r="CS576" s="230" t="s">
        <v>539</v>
      </c>
      <c r="CT576" s="230"/>
      <c r="CU576" s="230"/>
      <c r="CV576" s="335">
        <f t="shared" si="133"/>
        <v>10.563796490499707</v>
      </c>
      <c r="CW576" s="230">
        <f t="shared" si="131"/>
        <v>1</v>
      </c>
      <c r="CX576" s="336"/>
      <c r="CY576" s="230" t="s">
        <v>6351</v>
      </c>
    </row>
    <row r="577" spans="1:103" ht="11.25" customHeight="1" x14ac:dyDescent="0.2">
      <c r="A577" s="72">
        <v>893</v>
      </c>
      <c r="B577" s="224">
        <v>1441</v>
      </c>
      <c r="C577" s="46" t="s">
        <v>7089</v>
      </c>
      <c r="D577" s="46"/>
      <c r="E577" s="114"/>
      <c r="F577" s="114" t="s">
        <v>4432</v>
      </c>
      <c r="G577" s="225">
        <v>99547</v>
      </c>
      <c r="H577" s="47" t="s">
        <v>4433</v>
      </c>
      <c r="I577" s="47" t="s">
        <v>8018</v>
      </c>
      <c r="J577" s="47" t="s">
        <v>4434</v>
      </c>
      <c r="K577" s="47" t="s">
        <v>426</v>
      </c>
      <c r="L577" s="47"/>
      <c r="M577" s="47"/>
      <c r="N577" s="47"/>
      <c r="O577" s="47"/>
      <c r="P577" s="53" t="s">
        <v>6184</v>
      </c>
      <c r="Q577" s="53" t="s">
        <v>6176</v>
      </c>
      <c r="R577" s="53" t="s">
        <v>6185</v>
      </c>
      <c r="S577" s="53" t="s">
        <v>6176</v>
      </c>
      <c r="T577" s="48">
        <v>192</v>
      </c>
      <c r="U577" s="98">
        <v>121</v>
      </c>
      <c r="V577" s="98">
        <v>42.37</v>
      </c>
      <c r="W577" s="98">
        <v>78.217013338389535</v>
      </c>
      <c r="X577" s="98">
        <v>121</v>
      </c>
      <c r="Y577" s="233">
        <v>7</v>
      </c>
      <c r="Z577" s="48">
        <v>3.1</v>
      </c>
      <c r="AA577" s="48">
        <v>3.12</v>
      </c>
      <c r="AB577" s="48">
        <v>3.11</v>
      </c>
      <c r="AC577" s="48">
        <v>0.94130000000000003</v>
      </c>
      <c r="AD577" s="48">
        <v>3.12</v>
      </c>
      <c r="AE577" s="48">
        <v>3.16</v>
      </c>
      <c r="AF577" s="48">
        <f t="shared" si="134"/>
        <v>3.12</v>
      </c>
      <c r="AG577" s="49">
        <v>2.78</v>
      </c>
      <c r="AH577" s="98">
        <v>1.17E-5</v>
      </c>
      <c r="AI577" s="98">
        <v>8.0700000000000007E-6</v>
      </c>
      <c r="AJ577" s="483">
        <f t="shared" si="137"/>
        <v>-3.3203804645664903</v>
      </c>
      <c r="AK577" s="483">
        <f>LOG10(AI577*1000/(0.08206*298.15))</f>
        <v>-3.4816927915905813</v>
      </c>
      <c r="AL577" s="483">
        <f t="shared" si="136"/>
        <v>-3.4816927915905813</v>
      </c>
      <c r="AM577" s="483">
        <v>-5.7307199999999989</v>
      </c>
      <c r="AN577" s="226">
        <v>-3.2</v>
      </c>
      <c r="AO577" s="484"/>
      <c r="AP577" s="484"/>
      <c r="AQ577" s="48" t="s">
        <v>6311</v>
      </c>
      <c r="AR577" s="48" t="s">
        <v>6311</v>
      </c>
      <c r="AS577" s="227"/>
      <c r="AT577" s="50" t="s">
        <v>266</v>
      </c>
      <c r="AU577" s="48">
        <v>6</v>
      </c>
      <c r="AV577" s="48">
        <v>120</v>
      </c>
      <c r="AW577" s="48">
        <v>114</v>
      </c>
      <c r="AX577" s="48">
        <v>28</v>
      </c>
      <c r="AY577" s="48" t="s">
        <v>8728</v>
      </c>
      <c r="AZ577" s="48" t="s">
        <v>1563</v>
      </c>
      <c r="BA577" s="48">
        <v>32</v>
      </c>
      <c r="BB577" s="47" t="s">
        <v>2485</v>
      </c>
      <c r="BC577" s="47" t="s">
        <v>8726</v>
      </c>
      <c r="BD577" s="47" t="s">
        <v>8374</v>
      </c>
      <c r="BE577" s="48" t="s">
        <v>2449</v>
      </c>
      <c r="BF577" s="48" t="s">
        <v>272</v>
      </c>
      <c r="BG577" s="48" t="s">
        <v>272</v>
      </c>
      <c r="BH577" s="48" t="s">
        <v>2486</v>
      </c>
      <c r="BI577" s="98">
        <v>1.2287999999999999E-3</v>
      </c>
      <c r="BJ577" s="98">
        <v>12.288</v>
      </c>
      <c r="BK577" s="48"/>
      <c r="BL577" s="487">
        <v>16.217773425483315</v>
      </c>
      <c r="BM577" s="47" t="s">
        <v>2487</v>
      </c>
      <c r="BN577" s="48"/>
      <c r="BO577" s="48"/>
      <c r="BP577" s="48"/>
      <c r="BQ577" s="48"/>
      <c r="BR577" s="47" t="e">
        <v>#VALUE!</v>
      </c>
      <c r="BS577" s="48"/>
      <c r="BT577" s="48"/>
      <c r="BU577" s="228"/>
      <c r="BV577" s="48"/>
      <c r="BW577" s="48"/>
      <c r="BX577" s="48"/>
      <c r="BY577" s="48"/>
      <c r="BZ577" s="48"/>
      <c r="CA577" s="48"/>
      <c r="CB577" s="48"/>
      <c r="CC577" s="48"/>
      <c r="CD577" s="48"/>
      <c r="CE577" s="48"/>
      <c r="CF577" s="48"/>
      <c r="CG577" s="48"/>
      <c r="CH577" s="48"/>
      <c r="CI577" s="98"/>
      <c r="CJ577" s="98"/>
      <c r="CK577" s="49">
        <f t="shared" si="132"/>
        <v>1.3198057800686291</v>
      </c>
      <c r="CL577" s="229"/>
      <c r="CM577" s="229"/>
      <c r="CN577" s="229"/>
      <c r="CO577" s="47" t="s">
        <v>2488</v>
      </c>
      <c r="CP577" s="500" t="s">
        <v>2489</v>
      </c>
      <c r="CQ577" s="224" t="s">
        <v>272</v>
      </c>
      <c r="CR577" s="224"/>
      <c r="CS577" s="230" t="s">
        <v>539</v>
      </c>
      <c r="CT577" s="230"/>
      <c r="CU577" s="230"/>
      <c r="CV577" s="335">
        <f t="shared" si="133"/>
        <v>9.8470052083333339</v>
      </c>
      <c r="CW577" s="230">
        <f t="shared" si="131"/>
        <v>1</v>
      </c>
      <c r="CX577" s="336"/>
      <c r="CY577" s="230" t="s">
        <v>6351</v>
      </c>
    </row>
    <row r="578" spans="1:103" ht="11.25" customHeight="1" x14ac:dyDescent="0.2">
      <c r="A578" s="72">
        <v>894</v>
      </c>
      <c r="B578" s="224">
        <v>1400</v>
      </c>
      <c r="C578" s="46" t="s">
        <v>7090</v>
      </c>
      <c r="D578" s="46"/>
      <c r="E578" s="114"/>
      <c r="F578" s="114" t="s">
        <v>4313</v>
      </c>
      <c r="G578" s="225">
        <v>99558</v>
      </c>
      <c r="H578" s="47" t="s">
        <v>4314</v>
      </c>
      <c r="I578" s="47" t="s">
        <v>8019</v>
      </c>
      <c r="J578" s="47" t="s">
        <v>4315</v>
      </c>
      <c r="K578" s="47" t="s">
        <v>2695</v>
      </c>
      <c r="L578" s="47"/>
      <c r="M578" s="47"/>
      <c r="N578" s="47"/>
      <c r="O578" s="47"/>
      <c r="P578" s="53"/>
      <c r="Q578" s="53"/>
      <c r="R578" s="53"/>
      <c r="S578" s="53"/>
      <c r="T578" s="48">
        <v>152.15</v>
      </c>
      <c r="U578" s="98"/>
      <c r="V578" s="98">
        <v>1878</v>
      </c>
      <c r="W578" s="98">
        <v>895.92562162352863</v>
      </c>
      <c r="X578" s="98">
        <v>895.92562162352863</v>
      </c>
      <c r="Y578" s="233">
        <v>7.18</v>
      </c>
      <c r="Z578" s="48">
        <v>2.02</v>
      </c>
      <c r="AA578" s="48">
        <v>1.87</v>
      </c>
      <c r="AB578" s="48">
        <v>1.52</v>
      </c>
      <c r="AC578" s="48">
        <v>0.89549999999999996</v>
      </c>
      <c r="AD578" s="48">
        <v>1.59</v>
      </c>
      <c r="AE578" s="48">
        <v>1.83</v>
      </c>
      <c r="AF578" s="48">
        <f t="shared" si="134"/>
        <v>1.87</v>
      </c>
      <c r="AG578" s="49">
        <v>1.19</v>
      </c>
      <c r="AH578" s="98">
        <v>8.2900000000000001E-9</v>
      </c>
      <c r="AI578" s="98"/>
      <c r="AJ578" s="483">
        <f t="shared" si="137"/>
        <v>-6.4700117957623782</v>
      </c>
      <c r="AK578" s="483"/>
      <c r="AL578" s="483">
        <f t="shared" si="136"/>
        <v>-6.4700117957623782</v>
      </c>
      <c r="AM578" s="483">
        <v>-9.0554600000000001</v>
      </c>
      <c r="AN578" s="226">
        <v>-6.16</v>
      </c>
      <c r="AO578" s="484"/>
      <c r="AP578" s="484">
        <v>2.34</v>
      </c>
      <c r="AQ578" s="48" t="s">
        <v>6311</v>
      </c>
      <c r="AR578" s="48" t="s">
        <v>6311</v>
      </c>
      <c r="AS578" s="227"/>
      <c r="AT578" s="50" t="s">
        <v>266</v>
      </c>
      <c r="AU578" s="48">
        <v>6</v>
      </c>
      <c r="AV578" s="48">
        <v>120</v>
      </c>
      <c r="AW578" s="48">
        <v>114</v>
      </c>
      <c r="AX578" s="48">
        <v>28</v>
      </c>
      <c r="AY578" s="48" t="s">
        <v>8728</v>
      </c>
      <c r="AZ578" s="48" t="s">
        <v>1563</v>
      </c>
      <c r="BA578" s="48">
        <v>32</v>
      </c>
      <c r="BB578" s="47" t="s">
        <v>2485</v>
      </c>
      <c r="BC578" s="47" t="s">
        <v>8726</v>
      </c>
      <c r="BD578" s="47" t="s">
        <v>8374</v>
      </c>
      <c r="BE578" s="48" t="s">
        <v>2449</v>
      </c>
      <c r="BF578" s="48" t="s">
        <v>272</v>
      </c>
      <c r="BG578" s="48" t="s">
        <v>272</v>
      </c>
      <c r="BH578" s="48" t="s">
        <v>2486</v>
      </c>
      <c r="BI578" s="98">
        <v>9.7375999999999995E-4</v>
      </c>
      <c r="BJ578" s="98">
        <v>9.7376000000000005</v>
      </c>
      <c r="BK578" s="48"/>
      <c r="BL578" s="487">
        <v>119.92506338911005</v>
      </c>
      <c r="BM578" s="47" t="s">
        <v>2487</v>
      </c>
      <c r="BN578" s="48"/>
      <c r="BO578" s="48"/>
      <c r="BP578" s="48"/>
      <c r="BQ578" s="48"/>
      <c r="BR578" s="47" t="e">
        <v>#VALUE!</v>
      </c>
      <c r="BS578" s="48"/>
      <c r="BT578" s="48"/>
      <c r="BU578" s="228"/>
      <c r="BV578" s="48"/>
      <c r="BW578" s="48"/>
      <c r="BX578" s="48"/>
      <c r="BY578" s="48"/>
      <c r="BZ578" s="48"/>
      <c r="CA578" s="48"/>
      <c r="CB578" s="48"/>
      <c r="CC578" s="48"/>
      <c r="CD578" s="48"/>
      <c r="CE578" s="48"/>
      <c r="CF578" s="48"/>
      <c r="CG578" s="48"/>
      <c r="CH578" s="48"/>
      <c r="CI578" s="98"/>
      <c r="CJ578" s="98"/>
      <c r="CK578" s="49">
        <f t="shared" si="132"/>
        <v>12.315669506768613</v>
      </c>
      <c r="CL578" s="229"/>
      <c r="CM578" s="229"/>
      <c r="CN578" s="229"/>
      <c r="CO578" s="47" t="s">
        <v>2488</v>
      </c>
      <c r="CP578" s="500" t="s">
        <v>2489</v>
      </c>
      <c r="CQ578" s="224">
        <v>1.8325089127062364</v>
      </c>
      <c r="CR578" s="224">
        <f>10^(CJ578-CQ578)</f>
        <v>1.4705882352941173E-2</v>
      </c>
      <c r="CS578" s="230" t="s">
        <v>539</v>
      </c>
      <c r="CT578" s="230"/>
      <c r="CU578" s="230"/>
      <c r="CV578" s="335">
        <f t="shared" si="133"/>
        <v>92.006821149310767</v>
      </c>
      <c r="CW578" s="230">
        <f t="shared" si="131"/>
        <v>1</v>
      </c>
      <c r="CX578" s="336"/>
      <c r="CY578" s="230" t="s">
        <v>6351</v>
      </c>
    </row>
    <row r="579" spans="1:103" ht="11.25" customHeight="1" x14ac:dyDescent="0.2">
      <c r="A579" s="72">
        <v>895</v>
      </c>
      <c r="B579" s="224">
        <v>952</v>
      </c>
      <c r="C579" s="46" t="s">
        <v>7091</v>
      </c>
      <c r="D579" s="46"/>
      <c r="E579" s="114"/>
      <c r="F579" s="114" t="s">
        <v>2721</v>
      </c>
      <c r="G579" s="225">
        <v>99592</v>
      </c>
      <c r="H579" s="47" t="s">
        <v>2722</v>
      </c>
      <c r="I579" s="47" t="s">
        <v>8020</v>
      </c>
      <c r="J579" s="47" t="s">
        <v>2723</v>
      </c>
      <c r="K579" s="47" t="s">
        <v>1573</v>
      </c>
      <c r="L579" s="47"/>
      <c r="M579" s="47"/>
      <c r="N579" s="47"/>
      <c r="O579" s="47"/>
      <c r="P579" s="53"/>
      <c r="Q579" s="53"/>
      <c r="R579" s="53"/>
      <c r="S579" s="53"/>
      <c r="T579" s="48">
        <v>168.15</v>
      </c>
      <c r="U579" s="98">
        <v>115</v>
      </c>
      <c r="V579" s="98">
        <v>3485</v>
      </c>
      <c r="W579" s="98">
        <v>1085.667586121773</v>
      </c>
      <c r="X579" s="98">
        <v>115</v>
      </c>
      <c r="Y579" s="233">
        <v>7.22</v>
      </c>
      <c r="Z579" s="48">
        <v>1.55</v>
      </c>
      <c r="AA579" s="48">
        <v>1.47</v>
      </c>
      <c r="AB579" s="48">
        <v>1.48</v>
      </c>
      <c r="AC579" s="48">
        <v>0.90159999999999996</v>
      </c>
      <c r="AD579" s="48">
        <v>1.53</v>
      </c>
      <c r="AE579" s="48">
        <v>1.69</v>
      </c>
      <c r="AF579" s="48">
        <f t="shared" si="134"/>
        <v>1.47</v>
      </c>
      <c r="AG579" s="49">
        <v>0.71</v>
      </c>
      <c r="AH579" s="98">
        <v>4.4400000000000002E-10</v>
      </c>
      <c r="AI579" s="98"/>
      <c r="AJ579" s="483">
        <f t="shared" si="137"/>
        <v>-7.7411833561980323</v>
      </c>
      <c r="AK579" s="483"/>
      <c r="AL579" s="483">
        <f t="shared" si="136"/>
        <v>-7.7411833561980323</v>
      </c>
      <c r="AM579" s="483">
        <v>-10.338179999999998</v>
      </c>
      <c r="AN579" s="226">
        <v>-5.73</v>
      </c>
      <c r="AO579" s="484"/>
      <c r="AP579" s="484">
        <v>2.42</v>
      </c>
      <c r="AQ579" s="48" t="s">
        <v>6311</v>
      </c>
      <c r="AR579" s="48" t="s">
        <v>6311</v>
      </c>
      <c r="AS579" s="227"/>
      <c r="AT579" s="50" t="s">
        <v>266</v>
      </c>
      <c r="AU579" s="48">
        <v>6</v>
      </c>
      <c r="AV579" s="48">
        <v>120</v>
      </c>
      <c r="AW579" s="48">
        <v>114</v>
      </c>
      <c r="AX579" s="48">
        <v>28</v>
      </c>
      <c r="AY579" s="48" t="s">
        <v>8728</v>
      </c>
      <c r="AZ579" s="48" t="s">
        <v>1563</v>
      </c>
      <c r="BA579" s="48">
        <v>32</v>
      </c>
      <c r="BB579" s="47" t="s">
        <v>2485</v>
      </c>
      <c r="BC579" s="47" t="s">
        <v>8726</v>
      </c>
      <c r="BD579" s="47" t="s">
        <v>8374</v>
      </c>
      <c r="BE579" s="48" t="s">
        <v>2449</v>
      </c>
      <c r="BF579" s="48" t="s">
        <v>272</v>
      </c>
      <c r="BG579" s="48" t="s">
        <v>272</v>
      </c>
      <c r="BH579" s="48" t="s">
        <v>2486</v>
      </c>
      <c r="BI579" s="98">
        <v>1.0761600000000001E-3</v>
      </c>
      <c r="BJ579" s="98">
        <v>10.761600000000001</v>
      </c>
      <c r="BK579" s="48"/>
      <c r="BL579" s="487">
        <v>350.30139890805668</v>
      </c>
      <c r="BM579" s="47" t="s">
        <v>2487</v>
      </c>
      <c r="BN579" s="48"/>
      <c r="BO579" s="48"/>
      <c r="BP579" s="48"/>
      <c r="BQ579" s="48"/>
      <c r="BR579" s="47" t="e">
        <v>#VALUE!</v>
      </c>
      <c r="BS579" s="48"/>
      <c r="BT579" s="48"/>
      <c r="BU579" s="228">
        <v>10.761600000000001</v>
      </c>
      <c r="BV579" s="48"/>
      <c r="BW579" s="48"/>
      <c r="BX579" s="48"/>
      <c r="BY579" s="48"/>
      <c r="BZ579" s="48"/>
      <c r="CA579" s="48"/>
      <c r="CB579" s="48"/>
      <c r="CC579" s="48"/>
      <c r="CD579" s="48"/>
      <c r="CE579" s="48"/>
      <c r="CF579" s="48"/>
      <c r="CG579" s="48"/>
      <c r="CH579" s="48"/>
      <c r="CI579" s="98"/>
      <c r="CJ579" s="98"/>
      <c r="CK579" s="49">
        <f t="shared" si="132"/>
        <v>32.551051786728429</v>
      </c>
      <c r="CL579" s="229"/>
      <c r="CM579" s="229"/>
      <c r="CN579" s="229"/>
      <c r="CO579" s="47" t="s">
        <v>2488</v>
      </c>
      <c r="CP579" s="500" t="s">
        <v>2489</v>
      </c>
      <c r="CQ579" s="224" t="s">
        <v>272</v>
      </c>
      <c r="CR579" s="224"/>
      <c r="CS579" s="230" t="s">
        <v>539</v>
      </c>
      <c r="CT579" s="230"/>
      <c r="CU579" s="230"/>
      <c r="CV579" s="335">
        <f t="shared" si="133"/>
        <v>10.686143324412726</v>
      </c>
      <c r="CW579" s="230">
        <f t="shared" si="131"/>
        <v>1</v>
      </c>
      <c r="CX579" s="336"/>
      <c r="CY579" s="230" t="s">
        <v>6351</v>
      </c>
    </row>
    <row r="580" spans="1:103" ht="11.25" customHeight="1" x14ac:dyDescent="0.2">
      <c r="A580" s="72">
        <v>896</v>
      </c>
      <c r="B580" s="224">
        <v>1375</v>
      </c>
      <c r="C580" s="46" t="s">
        <v>7092</v>
      </c>
      <c r="D580" s="46"/>
      <c r="E580" s="114"/>
      <c r="F580" s="114" t="s">
        <v>4245</v>
      </c>
      <c r="G580" s="225">
        <v>99627</v>
      </c>
      <c r="H580" s="47" t="s">
        <v>4246</v>
      </c>
      <c r="I580" s="47" t="s">
        <v>4246</v>
      </c>
      <c r="J580" s="47" t="s">
        <v>4247</v>
      </c>
      <c r="K580" s="47" t="s">
        <v>426</v>
      </c>
      <c r="L580" s="47"/>
      <c r="M580" s="47"/>
      <c r="N580" s="47"/>
      <c r="O580" s="47"/>
      <c r="P580" s="53"/>
      <c r="Q580" s="53"/>
      <c r="R580" s="53"/>
      <c r="S580" s="53"/>
      <c r="T580" s="48">
        <v>162.27000000000001</v>
      </c>
      <c r="U580" s="98"/>
      <c r="V580" s="98">
        <v>4.3250000000000002</v>
      </c>
      <c r="W580" s="98">
        <v>0.83222016780278696</v>
      </c>
      <c r="X580" s="98">
        <v>0.83222016780278696</v>
      </c>
      <c r="Y580" s="233">
        <v>7</v>
      </c>
      <c r="Z580" s="48">
        <v>4.9000000000000004</v>
      </c>
      <c r="AA580" s="48"/>
      <c r="AB580" s="48">
        <v>4.18</v>
      </c>
      <c r="AC580" s="48">
        <v>0.61529999999999996</v>
      </c>
      <c r="AD580" s="48">
        <v>4.5199999999999996</v>
      </c>
      <c r="AE580" s="48">
        <v>4.9000000000000004</v>
      </c>
      <c r="AF580" s="48">
        <f t="shared" si="134"/>
        <v>4.5199999999999996</v>
      </c>
      <c r="AG580" s="49">
        <v>4.32</v>
      </c>
      <c r="AH580" s="98">
        <v>2.0400000000000001E-2</v>
      </c>
      <c r="AI580" s="98"/>
      <c r="AJ580" s="483">
        <f t="shared" si="137"/>
        <v>-7.8936158886753024E-2</v>
      </c>
      <c r="AK580" s="483"/>
      <c r="AL580" s="483">
        <f t="shared" si="136"/>
        <v>-7.8936158886753024E-2</v>
      </c>
      <c r="AM580" s="483">
        <v>-2.8446900000000004</v>
      </c>
      <c r="AN580" s="226">
        <v>-3.15E-2</v>
      </c>
      <c r="AO580" s="484"/>
      <c r="AP580" s="484"/>
      <c r="AQ580" s="48" t="s">
        <v>6311</v>
      </c>
      <c r="AR580" s="48" t="s">
        <v>6311</v>
      </c>
      <c r="AS580" s="227"/>
      <c r="AT580" s="50" t="s">
        <v>266</v>
      </c>
      <c r="AU580" s="48">
        <v>6</v>
      </c>
      <c r="AV580" s="48">
        <v>120</v>
      </c>
      <c r="AW580" s="48">
        <v>114</v>
      </c>
      <c r="AX580" s="48">
        <v>28</v>
      </c>
      <c r="AY580" s="48" t="s">
        <v>8728</v>
      </c>
      <c r="AZ580" s="48" t="s">
        <v>1563</v>
      </c>
      <c r="BA580" s="48">
        <v>32</v>
      </c>
      <c r="BB580" s="47" t="s">
        <v>2485</v>
      </c>
      <c r="BC580" s="47" t="s">
        <v>8726</v>
      </c>
      <c r="BD580" s="47" t="s">
        <v>8374</v>
      </c>
      <c r="BE580" s="48" t="s">
        <v>2449</v>
      </c>
      <c r="BF580" s="48" t="s">
        <v>272</v>
      </c>
      <c r="BG580" s="48" t="s">
        <v>272</v>
      </c>
      <c r="BH580" s="48" t="s">
        <v>2486</v>
      </c>
      <c r="BI580" s="98">
        <v>1.0385279999999999E-3</v>
      </c>
      <c r="BJ580" s="98">
        <v>10.385280000000002</v>
      </c>
      <c r="BK580" s="48"/>
      <c r="BL580" s="487">
        <v>0.33139674326447927</v>
      </c>
      <c r="BM580" s="47" t="s">
        <v>2487</v>
      </c>
      <c r="BN580" s="48"/>
      <c r="BO580" s="48"/>
      <c r="BP580" s="48"/>
      <c r="BQ580" s="48"/>
      <c r="BR580" s="47" t="e">
        <v>#VALUE!</v>
      </c>
      <c r="BS580" s="48"/>
      <c r="BT580" s="48"/>
      <c r="BU580" s="228"/>
      <c r="BV580" s="48"/>
      <c r="BW580" s="48"/>
      <c r="BX580" s="48"/>
      <c r="BY580" s="48"/>
      <c r="BZ580" s="48"/>
      <c r="CA580" s="48"/>
      <c r="CB580" s="48"/>
      <c r="CC580" s="48"/>
      <c r="CD580" s="48"/>
      <c r="CE580" s="48"/>
      <c r="CF580" s="48"/>
      <c r="CG580" s="48"/>
      <c r="CH580" s="48"/>
      <c r="CI580" s="98"/>
      <c r="CJ580" s="98"/>
      <c r="CK580" s="49">
        <f t="shared" si="132"/>
        <v>3.1910236725873467E-2</v>
      </c>
      <c r="CL580" s="229"/>
      <c r="CM580" s="229"/>
      <c r="CN580" s="229"/>
      <c r="CO580" s="47" t="s">
        <v>2488</v>
      </c>
      <c r="CP580" s="500" t="s">
        <v>2489</v>
      </c>
      <c r="CQ580" s="224" t="s">
        <v>272</v>
      </c>
      <c r="CR580" s="224"/>
      <c r="CS580" s="230" t="s">
        <v>539</v>
      </c>
      <c r="CT580" s="230"/>
      <c r="CU580" s="230"/>
      <c r="CV580" s="335">
        <f t="shared" si="133"/>
        <v>8.0134591248650675E-2</v>
      </c>
      <c r="CW580" s="230">
        <f t="shared" si="131"/>
        <v>0</v>
      </c>
      <c r="CX580" s="336"/>
      <c r="CY580" s="230" t="s">
        <v>6351</v>
      </c>
    </row>
    <row r="581" spans="1:103" ht="11.25" customHeight="1" x14ac:dyDescent="0.2">
      <c r="A581" s="72">
        <v>897</v>
      </c>
      <c r="B581" s="224">
        <v>1376</v>
      </c>
      <c r="C581" s="46" t="s">
        <v>7093</v>
      </c>
      <c r="D581" s="46" t="s">
        <v>8575</v>
      </c>
      <c r="E581" s="114"/>
      <c r="F581" s="114" t="s">
        <v>4248</v>
      </c>
      <c r="G581" s="225">
        <v>99650</v>
      </c>
      <c r="H581" s="47" t="s">
        <v>4249</v>
      </c>
      <c r="I581" s="47" t="s">
        <v>4249</v>
      </c>
      <c r="J581" s="47" t="s">
        <v>4250</v>
      </c>
      <c r="K581" s="47" t="s">
        <v>1011</v>
      </c>
      <c r="L581" s="47"/>
      <c r="M581" s="47" t="s">
        <v>6088</v>
      </c>
      <c r="N581" s="47" t="s">
        <v>6088</v>
      </c>
      <c r="O581" s="47"/>
      <c r="P581" s="53"/>
      <c r="Q581" s="53" t="s">
        <v>6176</v>
      </c>
      <c r="R581" s="53" t="s">
        <v>6175</v>
      </c>
      <c r="S581" s="53" t="s">
        <v>6182</v>
      </c>
      <c r="T581" s="48">
        <v>168.11</v>
      </c>
      <c r="U581" s="98">
        <v>533</v>
      </c>
      <c r="V581" s="98">
        <v>1366</v>
      </c>
      <c r="W581" s="98">
        <v>422.27322800107515</v>
      </c>
      <c r="X581" s="98">
        <v>533</v>
      </c>
      <c r="Y581" s="233">
        <v>7</v>
      </c>
      <c r="Z581" s="48">
        <v>1.63</v>
      </c>
      <c r="AA581" s="48">
        <v>1.49</v>
      </c>
      <c r="AB581" s="48">
        <v>1.54</v>
      </c>
      <c r="AC581" s="48">
        <v>0.92079999999999995</v>
      </c>
      <c r="AD581" s="48">
        <v>1.55</v>
      </c>
      <c r="AE581" s="48">
        <v>1.62</v>
      </c>
      <c r="AF581" s="48">
        <f t="shared" si="134"/>
        <v>1.49</v>
      </c>
      <c r="AG581" s="49">
        <v>1.05</v>
      </c>
      <c r="AH581" s="98">
        <v>8.3900000000000004E-8</v>
      </c>
      <c r="AI581" s="98">
        <v>4.9000000000000002E-8</v>
      </c>
      <c r="AJ581" s="483">
        <f t="shared" si="137"/>
        <v>-5.4648043654839515</v>
      </c>
      <c r="AK581" s="483">
        <f>LOG10(AI581*1000/(0.08206*298.15))</f>
        <v>-5.6983702462841377</v>
      </c>
      <c r="AL581" s="483">
        <f t="shared" si="136"/>
        <v>-5.6983702462841377</v>
      </c>
      <c r="AM581" s="483">
        <v>-7.4061899999999996</v>
      </c>
      <c r="AN581" s="226">
        <v>-5</v>
      </c>
      <c r="AO581" s="484"/>
      <c r="AP581" s="484"/>
      <c r="AQ581" s="48" t="s">
        <v>6311</v>
      </c>
      <c r="AR581" s="48" t="s">
        <v>6311</v>
      </c>
      <c r="AS581" s="227"/>
      <c r="AT581" s="50" t="s">
        <v>266</v>
      </c>
      <c r="AU581" s="48">
        <v>6</v>
      </c>
      <c r="AV581" s="48">
        <v>120</v>
      </c>
      <c r="AW581" s="48">
        <v>114</v>
      </c>
      <c r="AX581" s="48">
        <v>28</v>
      </c>
      <c r="AY581" s="48" t="s">
        <v>8728</v>
      </c>
      <c r="AZ581" s="48" t="s">
        <v>1563</v>
      </c>
      <c r="BA581" s="48">
        <v>32</v>
      </c>
      <c r="BB581" s="47" t="s">
        <v>2485</v>
      </c>
      <c r="BC581" s="47" t="s">
        <v>8726</v>
      </c>
      <c r="BD581" s="47" t="s">
        <v>8374</v>
      </c>
      <c r="BE581" s="48" t="s">
        <v>2449</v>
      </c>
      <c r="BF581" s="48" t="s">
        <v>272</v>
      </c>
      <c r="BG581" s="48" t="s">
        <v>272</v>
      </c>
      <c r="BH581" s="48" t="s">
        <v>2486</v>
      </c>
      <c r="BI581" s="98">
        <v>1.0759040000000001E-3</v>
      </c>
      <c r="BJ581" s="98">
        <v>10.759040000000001</v>
      </c>
      <c r="BK581" s="48"/>
      <c r="BL581" s="487">
        <v>296.81821442002718</v>
      </c>
      <c r="BM581" s="47" t="s">
        <v>2487</v>
      </c>
      <c r="BN581" s="48"/>
      <c r="BO581" s="48"/>
      <c r="BP581" s="48"/>
      <c r="BQ581" s="48"/>
      <c r="BR581" s="47" t="e">
        <v>#VALUE!</v>
      </c>
      <c r="BS581" s="48"/>
      <c r="BT581" s="48"/>
      <c r="BU581" s="228"/>
      <c r="BV581" s="48"/>
      <c r="BW581" s="48"/>
      <c r="BX581" s="48"/>
      <c r="BY581" s="48"/>
      <c r="BZ581" s="48"/>
      <c r="CA581" s="48"/>
      <c r="CB581" s="48"/>
      <c r="CC581" s="48"/>
      <c r="CD581" s="48"/>
      <c r="CE581" s="48"/>
      <c r="CF581" s="48"/>
      <c r="CG581" s="48"/>
      <c r="CH581" s="48"/>
      <c r="CI581" s="98"/>
      <c r="CJ581" s="98"/>
      <c r="CK581" s="49">
        <f t="shared" si="132"/>
        <v>27.587797277454786</v>
      </c>
      <c r="CL581" s="229"/>
      <c r="CM581" s="229"/>
      <c r="CN581" s="229"/>
      <c r="CO581" s="47" t="s">
        <v>2488</v>
      </c>
      <c r="CP581" s="500" t="s">
        <v>2489</v>
      </c>
      <c r="CQ581" s="224">
        <v>0.73224716749729934</v>
      </c>
      <c r="CR581" s="224">
        <f>10^(CJ581-CQ581)</f>
        <v>0.18524770338468685</v>
      </c>
      <c r="CS581" s="230" t="s">
        <v>539</v>
      </c>
      <c r="CT581" s="230"/>
      <c r="CU581" s="230"/>
      <c r="CV581" s="335">
        <f t="shared" si="133"/>
        <v>49.5397358872167</v>
      </c>
      <c r="CW581" s="230">
        <f t="shared" si="131"/>
        <v>1</v>
      </c>
      <c r="CX581" s="336"/>
      <c r="CY581" s="230" t="s">
        <v>5921</v>
      </c>
    </row>
    <row r="582" spans="1:103" ht="11.25" customHeight="1" x14ac:dyDescent="0.2">
      <c r="A582" s="72">
        <v>898</v>
      </c>
      <c r="B582" s="224">
        <v>1932</v>
      </c>
      <c r="C582" s="46" t="s">
        <v>7094</v>
      </c>
      <c r="D582" s="46"/>
      <c r="E582" s="114"/>
      <c r="F582" s="114" t="s">
        <v>569</v>
      </c>
      <c r="G582" s="225">
        <v>99661</v>
      </c>
      <c r="H582" s="47" t="s">
        <v>570</v>
      </c>
      <c r="I582" s="47" t="s">
        <v>8021</v>
      </c>
      <c r="J582" s="47" t="s">
        <v>571</v>
      </c>
      <c r="K582" s="47" t="s">
        <v>426</v>
      </c>
      <c r="L582" s="51" t="s">
        <v>279</v>
      </c>
      <c r="M582" s="47" t="s">
        <v>572</v>
      </c>
      <c r="N582" s="47"/>
      <c r="O582" s="47" t="s">
        <v>281</v>
      </c>
      <c r="P582" s="53"/>
      <c r="Q582" s="53"/>
      <c r="R582" s="53"/>
      <c r="S582" s="53"/>
      <c r="T582" s="48">
        <v>144.21</v>
      </c>
      <c r="U582" s="98">
        <v>2000</v>
      </c>
      <c r="V582" s="98">
        <v>894.6</v>
      </c>
      <c r="W582" s="98">
        <v>2084.4686933927019</v>
      </c>
      <c r="X582" s="98">
        <v>2000</v>
      </c>
      <c r="Y582" s="233">
        <v>3.33</v>
      </c>
      <c r="Z582" s="48">
        <v>2.96</v>
      </c>
      <c r="AA582" s="48">
        <v>2.75</v>
      </c>
      <c r="AB582" s="48">
        <v>2.64</v>
      </c>
      <c r="AC582" s="48">
        <v>0.93820000000000003</v>
      </c>
      <c r="AD582" s="48">
        <v>2.65</v>
      </c>
      <c r="AE582" s="48">
        <v>2.72</v>
      </c>
      <c r="AF582" s="48">
        <f t="shared" si="134"/>
        <v>2.75</v>
      </c>
      <c r="AG582" s="49">
        <v>2.3199999999999998</v>
      </c>
      <c r="AH582" s="98">
        <v>3.0000000000000001E-6</v>
      </c>
      <c r="AI582" s="98"/>
      <c r="AJ582" s="483">
        <f t="shared" si="137"/>
        <v>-3.9114450715929894</v>
      </c>
      <c r="AK582" s="483"/>
      <c r="AL582" s="483">
        <f t="shared" si="136"/>
        <v>-3.9114450715929894</v>
      </c>
      <c r="AM582" s="483">
        <v>-5.7235100000000001</v>
      </c>
      <c r="AN582" s="226">
        <v>-3.88</v>
      </c>
      <c r="AO582" s="484">
        <v>4.82</v>
      </c>
      <c r="AP582" s="484"/>
      <c r="AQ582" s="226" t="s">
        <v>6311</v>
      </c>
      <c r="AR582" s="226" t="s">
        <v>6311</v>
      </c>
      <c r="AS582" s="224"/>
      <c r="AT582" s="50" t="s">
        <v>266</v>
      </c>
      <c r="AU582" s="48">
        <v>6</v>
      </c>
      <c r="AV582" s="48">
        <v>120</v>
      </c>
      <c r="AW582" s="48">
        <v>114</v>
      </c>
      <c r="AX582" s="48">
        <v>28</v>
      </c>
      <c r="AY582" s="48" t="s">
        <v>8728</v>
      </c>
      <c r="AZ582" s="48" t="s">
        <v>1563</v>
      </c>
      <c r="BA582" s="48">
        <v>32</v>
      </c>
      <c r="BB582" s="47" t="s">
        <v>2485</v>
      </c>
      <c r="BC582" s="47" t="s">
        <v>8726</v>
      </c>
      <c r="BD582" s="47" t="s">
        <v>8374</v>
      </c>
      <c r="BE582" s="48" t="s">
        <v>2449</v>
      </c>
      <c r="BF582" s="48" t="s">
        <v>272</v>
      </c>
      <c r="BG582" s="48" t="s">
        <v>272</v>
      </c>
      <c r="BH582" s="48" t="s">
        <v>2486</v>
      </c>
      <c r="BI582" s="98">
        <v>9.2294399999999998E-4</v>
      </c>
      <c r="BJ582" s="98">
        <v>9.2294400000000003</v>
      </c>
      <c r="BK582" s="48"/>
      <c r="BL582" s="487">
        <v>16.271192264769432</v>
      </c>
      <c r="BM582" s="47" t="s">
        <v>2487</v>
      </c>
      <c r="BN582" s="48"/>
      <c r="BO582" s="48"/>
      <c r="BP582" s="48"/>
      <c r="BQ582" s="48"/>
      <c r="BR582" s="47" t="e">
        <v>#VALUE!</v>
      </c>
      <c r="BS582" s="48"/>
      <c r="BT582" s="48"/>
      <c r="BU582" s="228"/>
      <c r="BV582" s="48"/>
      <c r="BW582" s="48"/>
      <c r="BX582" s="48"/>
      <c r="BY582" s="48"/>
      <c r="BZ582" s="48"/>
      <c r="CA582" s="48"/>
      <c r="CB582" s="48"/>
      <c r="CC582" s="48"/>
      <c r="CD582" s="48"/>
      <c r="CE582" s="48"/>
      <c r="CF582" s="48"/>
      <c r="CG582" s="48"/>
      <c r="CH582" s="48"/>
      <c r="CI582" s="98"/>
      <c r="CJ582" s="98"/>
      <c r="CK582" s="49">
        <f t="shared" si="132"/>
        <v>1.7629663625062226</v>
      </c>
      <c r="CL582" s="229"/>
      <c r="CM582" s="229"/>
      <c r="CN582" s="229"/>
      <c r="CO582" s="47" t="s">
        <v>2488</v>
      </c>
      <c r="CP582" s="500" t="s">
        <v>2489</v>
      </c>
      <c r="CQ582" s="224" t="s">
        <v>272</v>
      </c>
      <c r="CR582" s="224"/>
      <c r="CS582" s="230" t="s">
        <v>539</v>
      </c>
      <c r="CT582" s="230"/>
      <c r="CU582" s="230"/>
      <c r="CV582" s="335">
        <f t="shared" si="133"/>
        <v>216.69787116011372</v>
      </c>
      <c r="CW582" s="230">
        <f t="shared" si="131"/>
        <v>1</v>
      </c>
      <c r="CX582" s="336"/>
      <c r="CY582" s="230" t="s">
        <v>6351</v>
      </c>
    </row>
    <row r="583" spans="1:103" ht="11.25" customHeight="1" x14ac:dyDescent="0.2">
      <c r="A583" s="72">
        <v>899</v>
      </c>
      <c r="B583" s="224">
        <v>982</v>
      </c>
      <c r="C583" s="46" t="s">
        <v>7095</v>
      </c>
      <c r="D583" s="46"/>
      <c r="E583" s="114"/>
      <c r="F583" s="114" t="s">
        <v>2800</v>
      </c>
      <c r="G583" s="225">
        <v>99718</v>
      </c>
      <c r="H583" s="47" t="s">
        <v>2801</v>
      </c>
      <c r="I583" s="47" t="s">
        <v>2801</v>
      </c>
      <c r="J583" s="47" t="s">
        <v>2802</v>
      </c>
      <c r="K583" s="47" t="s">
        <v>349</v>
      </c>
      <c r="L583" s="47"/>
      <c r="M583" s="47"/>
      <c r="N583" s="47"/>
      <c r="O583" s="47"/>
      <c r="P583" s="53"/>
      <c r="Q583" s="53"/>
      <c r="R583" s="53"/>
      <c r="S583" s="53"/>
      <c r="T583" s="48">
        <v>150.22</v>
      </c>
      <c r="U583" s="98">
        <v>960.00000000000011</v>
      </c>
      <c r="V583" s="98">
        <v>674.2</v>
      </c>
      <c r="W583" s="98">
        <v>844.74913870094178</v>
      </c>
      <c r="X583" s="98">
        <v>960.00000000000011</v>
      </c>
      <c r="Y583" s="233">
        <v>6.18</v>
      </c>
      <c r="Z583" s="48">
        <v>3.46</v>
      </c>
      <c r="AA583" s="48">
        <v>3.08</v>
      </c>
      <c r="AB583" s="48">
        <v>3.29</v>
      </c>
      <c r="AC583" s="48">
        <v>0.9214</v>
      </c>
      <c r="AD583" s="48">
        <v>3.3</v>
      </c>
      <c r="AE583" s="48">
        <v>3.35</v>
      </c>
      <c r="AF583" s="48">
        <f t="shared" si="134"/>
        <v>3.08</v>
      </c>
      <c r="AG583" s="49">
        <v>3.12</v>
      </c>
      <c r="AH583" s="98">
        <v>1.4500000000000001E-6</v>
      </c>
      <c r="AI583" s="98"/>
      <c r="AJ583" s="483">
        <f t="shared" si="137"/>
        <v>-4.2271983240776771</v>
      </c>
      <c r="AK583" s="483"/>
      <c r="AL583" s="483">
        <f t="shared" si="136"/>
        <v>-4.2271983240776771</v>
      </c>
      <c r="AM583" s="483">
        <v>-6.9180200000000003</v>
      </c>
      <c r="AN583" s="226">
        <v>-4.28</v>
      </c>
      <c r="AO583" s="484">
        <v>10.11</v>
      </c>
      <c r="AP583" s="484"/>
      <c r="AQ583" s="48" t="s">
        <v>6311</v>
      </c>
      <c r="AR583" s="48" t="s">
        <v>6311</v>
      </c>
      <c r="AS583" s="227"/>
      <c r="AT583" s="50" t="s">
        <v>266</v>
      </c>
      <c r="AU583" s="48">
        <v>6</v>
      </c>
      <c r="AV583" s="48">
        <v>120</v>
      </c>
      <c r="AW583" s="48">
        <v>114</v>
      </c>
      <c r="AX583" s="48">
        <v>28</v>
      </c>
      <c r="AY583" s="48" t="s">
        <v>8728</v>
      </c>
      <c r="AZ583" s="48" t="s">
        <v>1563</v>
      </c>
      <c r="BA583" s="48">
        <v>32</v>
      </c>
      <c r="BB583" s="47" t="s">
        <v>2485</v>
      </c>
      <c r="BC583" s="47" t="s">
        <v>8726</v>
      </c>
      <c r="BD583" s="47" t="s">
        <v>8374</v>
      </c>
      <c r="BE583" s="48" t="s">
        <v>2449</v>
      </c>
      <c r="BF583" s="48" t="s">
        <v>272</v>
      </c>
      <c r="BG583" s="48" t="s">
        <v>272</v>
      </c>
      <c r="BH583" s="48" t="s">
        <v>2486</v>
      </c>
      <c r="BI583" s="98">
        <v>9.6140799999999997E-4</v>
      </c>
      <c r="BJ583" s="98">
        <v>9.6140799999999995</v>
      </c>
      <c r="BK583" s="48"/>
      <c r="BL583" s="487">
        <v>6.0270078572185275</v>
      </c>
      <c r="BM583" s="47" t="s">
        <v>2487</v>
      </c>
      <c r="BN583" s="48"/>
      <c r="BO583" s="48"/>
      <c r="BP583" s="48"/>
      <c r="BQ583" s="48"/>
      <c r="BR583" s="47" t="e">
        <v>#VALUE!</v>
      </c>
      <c r="BS583" s="48"/>
      <c r="BT583" s="48"/>
      <c r="BU583" s="228">
        <v>9.6140799999999988E-3</v>
      </c>
      <c r="BV583" s="48"/>
      <c r="BW583" s="48"/>
      <c r="BX583" s="48"/>
      <c r="BY583" s="48"/>
      <c r="BZ583" s="48"/>
      <c r="CA583" s="48"/>
      <c r="CB583" s="48"/>
      <c r="CC583" s="48"/>
      <c r="CD583" s="48"/>
      <c r="CE583" s="48"/>
      <c r="CF583" s="48"/>
      <c r="CG583" s="48"/>
      <c r="CH583" s="48"/>
      <c r="CI583" s="98"/>
      <c r="CJ583" s="98"/>
      <c r="CK583" s="49">
        <f t="shared" si="132"/>
        <v>0.62689387411156638</v>
      </c>
      <c r="CL583" s="229"/>
      <c r="CM583" s="229"/>
      <c r="CN583" s="229"/>
      <c r="CO583" s="47" t="s">
        <v>2488</v>
      </c>
      <c r="CP583" s="500" t="s">
        <v>2489</v>
      </c>
      <c r="CQ583" s="224" t="s">
        <v>272</v>
      </c>
      <c r="CR583" s="224"/>
      <c r="CS583" s="230" t="s">
        <v>539</v>
      </c>
      <c r="CT583" s="230"/>
      <c r="CU583" s="230"/>
      <c r="CV583" s="335">
        <f t="shared" si="133"/>
        <v>99.853548129410214</v>
      </c>
      <c r="CW583" s="230">
        <f t="shared" si="131"/>
        <v>1</v>
      </c>
      <c r="CX583" s="336"/>
      <c r="CY583" s="230" t="s">
        <v>5921</v>
      </c>
    </row>
    <row r="584" spans="1:103" ht="11.25" customHeight="1" x14ac:dyDescent="0.2">
      <c r="A584" s="72">
        <v>900</v>
      </c>
      <c r="B584" s="224">
        <v>1741</v>
      </c>
      <c r="C584" s="46" t="s">
        <v>7096</v>
      </c>
      <c r="D584" s="46"/>
      <c r="E584" s="114"/>
      <c r="F584" s="114" t="s">
        <v>5027</v>
      </c>
      <c r="G584" s="225">
        <v>99763</v>
      </c>
      <c r="H584" s="47" t="s">
        <v>5028</v>
      </c>
      <c r="I584" s="47" t="s">
        <v>5028</v>
      </c>
      <c r="J584" s="47" t="s">
        <v>5029</v>
      </c>
      <c r="K584" s="47" t="s">
        <v>2962</v>
      </c>
      <c r="L584" s="47"/>
      <c r="M584" s="47"/>
      <c r="N584" s="47"/>
      <c r="O584" s="47"/>
      <c r="P584" s="53"/>
      <c r="Q584" s="53" t="s">
        <v>6173</v>
      </c>
      <c r="R584" s="53" t="s">
        <v>6174</v>
      </c>
      <c r="S584" s="53" t="s">
        <v>6176</v>
      </c>
      <c r="T584" s="48">
        <v>152.15</v>
      </c>
      <c r="U584" s="98">
        <v>2500</v>
      </c>
      <c r="V584" s="98">
        <v>5981</v>
      </c>
      <c r="W584" s="98">
        <v>5784.5816650173374</v>
      </c>
      <c r="X584" s="98">
        <v>2500</v>
      </c>
      <c r="Y584" s="233">
        <v>4.8600000000000003</v>
      </c>
      <c r="Z584" s="48">
        <v>2</v>
      </c>
      <c r="AA584" s="48">
        <v>1.96</v>
      </c>
      <c r="AB584" s="48">
        <v>2.2599999999999998</v>
      </c>
      <c r="AC584" s="48">
        <v>0.83209999999999995</v>
      </c>
      <c r="AD584" s="48">
        <v>2.14</v>
      </c>
      <c r="AE584" s="48">
        <v>1.86</v>
      </c>
      <c r="AF584" s="48">
        <f t="shared" si="134"/>
        <v>1.96</v>
      </c>
      <c r="AG584" s="49">
        <v>1.37</v>
      </c>
      <c r="AH584" s="98">
        <v>3.6100000000000001E-9</v>
      </c>
      <c r="AI584" s="98"/>
      <c r="AJ584" s="483">
        <f t="shared" si="137"/>
        <v>-6.8310591244069938</v>
      </c>
      <c r="AK584" s="483"/>
      <c r="AL584" s="483">
        <f t="shared" si="136"/>
        <v>-6.8310591244069938</v>
      </c>
      <c r="AM584" s="483">
        <v>-10.029859999999999</v>
      </c>
      <c r="AN584" s="226">
        <v>-7.12</v>
      </c>
      <c r="AO584" s="484">
        <v>8.31</v>
      </c>
      <c r="AP584" s="484"/>
      <c r="AQ584" s="226" t="s">
        <v>6311</v>
      </c>
      <c r="AR584" s="226" t="s">
        <v>6312</v>
      </c>
      <c r="AS584" s="224"/>
      <c r="AT584" s="50" t="s">
        <v>266</v>
      </c>
      <c r="AU584" s="48">
        <v>6</v>
      </c>
      <c r="AV584" s="48">
        <v>120</v>
      </c>
      <c r="AW584" s="48">
        <v>114</v>
      </c>
      <c r="AX584" s="48">
        <v>28</v>
      </c>
      <c r="AY584" s="48" t="s">
        <v>8728</v>
      </c>
      <c r="AZ584" s="48" t="s">
        <v>1563</v>
      </c>
      <c r="BA584" s="48">
        <v>32</v>
      </c>
      <c r="BB584" s="47" t="s">
        <v>2485</v>
      </c>
      <c r="BC584" s="47" t="s">
        <v>8726</v>
      </c>
      <c r="BD584" s="47" t="s">
        <v>8374</v>
      </c>
      <c r="BE584" s="48" t="s">
        <v>2449</v>
      </c>
      <c r="BF584" s="48" t="s">
        <v>272</v>
      </c>
      <c r="BG584" s="48" t="s">
        <v>272</v>
      </c>
      <c r="BH584" s="48" t="s">
        <v>2486</v>
      </c>
      <c r="BI584" s="98">
        <v>9.7375999999999995E-4</v>
      </c>
      <c r="BJ584" s="98">
        <v>9.7376000000000005</v>
      </c>
      <c r="BK584" s="48"/>
      <c r="BL584" s="487">
        <v>124.98904699227501</v>
      </c>
      <c r="BM584" s="47" t="s">
        <v>2487</v>
      </c>
      <c r="BN584" s="48"/>
      <c r="BO584" s="48"/>
      <c r="BP584" s="48"/>
      <c r="BQ584" s="48"/>
      <c r="BR584" s="47" t="e">
        <v>#VALUE!</v>
      </c>
      <c r="BS584" s="48"/>
      <c r="BT584" s="48"/>
      <c r="BU584" s="228"/>
      <c r="BV584" s="48"/>
      <c r="BW584" s="48"/>
      <c r="BX584" s="48"/>
      <c r="BY584" s="48"/>
      <c r="BZ584" s="48"/>
      <c r="CA584" s="48"/>
      <c r="CB584" s="48"/>
      <c r="CC584" s="48"/>
      <c r="CD584" s="48"/>
      <c r="CE584" s="48"/>
      <c r="CF584" s="48"/>
      <c r="CG584" s="48"/>
      <c r="CH584" s="48"/>
      <c r="CI584" s="98"/>
      <c r="CJ584" s="98"/>
      <c r="CK584" s="49">
        <f t="shared" si="132"/>
        <v>12.835713830130114</v>
      </c>
      <c r="CL584" s="229"/>
      <c r="CM584" s="229"/>
      <c r="CN584" s="229"/>
      <c r="CO584" s="47" t="s">
        <v>2488</v>
      </c>
      <c r="CP584" s="500" t="s">
        <v>2489</v>
      </c>
      <c r="CQ584" s="224" t="s">
        <v>272</v>
      </c>
      <c r="CR584" s="224"/>
      <c r="CS584" s="230" t="s">
        <v>539</v>
      </c>
      <c r="CT584" s="230"/>
      <c r="CU584" s="230"/>
      <c r="CV584" s="335">
        <f t="shared" si="133"/>
        <v>256.73677292145908</v>
      </c>
      <c r="CW584" s="230">
        <f t="shared" si="131"/>
        <v>1</v>
      </c>
      <c r="CX584" s="336"/>
      <c r="CY584" s="230" t="s">
        <v>6351</v>
      </c>
    </row>
    <row r="585" spans="1:103" ht="11.25" customHeight="1" x14ac:dyDescent="0.2">
      <c r="A585" s="72">
        <v>901</v>
      </c>
      <c r="B585" s="224">
        <v>1800</v>
      </c>
      <c r="C585" s="46" t="s">
        <v>7097</v>
      </c>
      <c r="D585" s="46"/>
      <c r="E585" s="114"/>
      <c r="F585" s="114" t="s">
        <v>5179</v>
      </c>
      <c r="G585" s="225">
        <v>99876</v>
      </c>
      <c r="H585" s="47" t="s">
        <v>5180</v>
      </c>
      <c r="I585" s="47" t="s">
        <v>5180</v>
      </c>
      <c r="J585" s="47" t="s">
        <v>5181</v>
      </c>
      <c r="K585" s="47" t="s">
        <v>426</v>
      </c>
      <c r="L585" s="47" t="s">
        <v>6126</v>
      </c>
      <c r="M585" s="47" t="s">
        <v>6082</v>
      </c>
      <c r="N585" s="47"/>
      <c r="O585" s="47" t="s">
        <v>6083</v>
      </c>
      <c r="P585" s="53" t="s">
        <v>6183</v>
      </c>
      <c r="Q585" s="53" t="s">
        <v>6173</v>
      </c>
      <c r="R585" s="53" t="s">
        <v>6185</v>
      </c>
      <c r="S585" s="53" t="s">
        <v>6176</v>
      </c>
      <c r="T585" s="48">
        <v>134.22</v>
      </c>
      <c r="U585" s="98">
        <v>23.4</v>
      </c>
      <c r="V585" s="98">
        <v>27.88</v>
      </c>
      <c r="W585" s="98">
        <v>13.116477979668883</v>
      </c>
      <c r="X585" s="98">
        <v>23.4</v>
      </c>
      <c r="Y585" s="233">
        <v>7</v>
      </c>
      <c r="Z585" s="48">
        <v>4</v>
      </c>
      <c r="AA585" s="48">
        <v>4.0999999999999996</v>
      </c>
      <c r="AB585" s="48">
        <v>4.17</v>
      </c>
      <c r="AC585" s="48">
        <v>0.87439999999999996</v>
      </c>
      <c r="AD585" s="48">
        <v>4.13</v>
      </c>
      <c r="AE585" s="48">
        <v>4.0199999999999996</v>
      </c>
      <c r="AF585" s="48">
        <f t="shared" si="134"/>
        <v>4.0999999999999996</v>
      </c>
      <c r="AG585" s="49">
        <v>3.52</v>
      </c>
      <c r="AH585" s="98">
        <v>1.1599999999999999E-2</v>
      </c>
      <c r="AI585" s="98">
        <v>1.0999999999999999E-2</v>
      </c>
      <c r="AJ585" s="483">
        <f t="shared" si="137"/>
        <v>-0.32410833708573333</v>
      </c>
      <c r="AK585" s="483">
        <f t="shared" ref="AK585:AK590" si="138">LOG10(AI585*1000/(0.08206*298.15))</f>
        <v>-0.34717364115442678</v>
      </c>
      <c r="AL585" s="483">
        <f t="shared" si="136"/>
        <v>-0.34717364115442678</v>
      </c>
      <c r="AM585" s="483">
        <v>-2.5341699999999996</v>
      </c>
      <c r="AN585" s="226">
        <v>-0.3</v>
      </c>
      <c r="AO585" s="484"/>
      <c r="AP585" s="484"/>
      <c r="AQ585" s="226" t="s">
        <v>6311</v>
      </c>
      <c r="AR585" s="226" t="s">
        <v>6311</v>
      </c>
      <c r="AS585" s="224"/>
      <c r="AT585" s="50" t="s">
        <v>266</v>
      </c>
      <c r="AU585" s="48">
        <v>6</v>
      </c>
      <c r="AV585" s="48">
        <v>120</v>
      </c>
      <c r="AW585" s="48">
        <v>114</v>
      </c>
      <c r="AX585" s="48">
        <v>28</v>
      </c>
      <c r="AY585" s="48" t="s">
        <v>8728</v>
      </c>
      <c r="AZ585" s="48" t="s">
        <v>1563</v>
      </c>
      <c r="BA585" s="48">
        <v>32</v>
      </c>
      <c r="BB585" s="47" t="s">
        <v>2485</v>
      </c>
      <c r="BC585" s="47" t="s">
        <v>8726</v>
      </c>
      <c r="BD585" s="47" t="s">
        <v>8374</v>
      </c>
      <c r="BE585" s="48" t="s">
        <v>2449</v>
      </c>
      <c r="BF585" s="48" t="s">
        <v>272</v>
      </c>
      <c r="BG585" s="48" t="s">
        <v>272</v>
      </c>
      <c r="BH585" s="48" t="s">
        <v>2486</v>
      </c>
      <c r="BI585" s="98">
        <v>8.5900799999999997E-4</v>
      </c>
      <c r="BJ585" s="98">
        <v>8.5900800000000004</v>
      </c>
      <c r="BK585" s="48"/>
      <c r="BL585" s="487">
        <v>1.7628576088342349</v>
      </c>
      <c r="BM585" s="47" t="s">
        <v>2487</v>
      </c>
      <c r="BN585" s="48"/>
      <c r="BO585" s="48"/>
      <c r="BP585" s="48"/>
      <c r="BQ585" s="48"/>
      <c r="BR585" s="47" t="e">
        <v>#VALUE!</v>
      </c>
      <c r="BS585" s="48"/>
      <c r="BT585" s="48"/>
      <c r="BU585" s="228"/>
      <c r="BV585" s="48"/>
      <c r="BW585" s="48"/>
      <c r="BX585" s="48"/>
      <c r="BY585" s="48"/>
      <c r="BZ585" s="48"/>
      <c r="CA585" s="48"/>
      <c r="CB585" s="48"/>
      <c r="CC585" s="48"/>
      <c r="CD585" s="48"/>
      <c r="CE585" s="48"/>
      <c r="CF585" s="48"/>
      <c r="CG585" s="48"/>
      <c r="CH585" s="48"/>
      <c r="CI585" s="98"/>
      <c r="CJ585" s="98"/>
      <c r="CK585" s="49">
        <f t="shared" si="132"/>
        <v>0.20522016195823961</v>
      </c>
      <c r="CL585" s="229"/>
      <c r="CM585" s="229"/>
      <c r="CN585" s="229"/>
      <c r="CO585" s="47" t="s">
        <v>2488</v>
      </c>
      <c r="CP585" s="500" t="s">
        <v>2489</v>
      </c>
      <c r="CQ585" s="224">
        <v>1.6434526764861874</v>
      </c>
      <c r="CR585" s="224">
        <f t="shared" ref="CR585:CR592" si="139">10^(CJ585-CQ585)</f>
        <v>2.2727272727272721E-2</v>
      </c>
      <c r="CS585" s="230" t="s">
        <v>539</v>
      </c>
      <c r="CT585" s="230"/>
      <c r="CU585" s="230"/>
      <c r="CV585" s="335">
        <f t="shared" si="133"/>
        <v>2.7240724184175233</v>
      </c>
      <c r="CW585" s="230">
        <f t="shared" si="131"/>
        <v>1</v>
      </c>
      <c r="CX585" s="336"/>
      <c r="CY585" s="230" t="s">
        <v>6351</v>
      </c>
    </row>
    <row r="586" spans="1:103" ht="11.25" customHeight="1" x14ac:dyDescent="0.2">
      <c r="A586" s="72">
        <v>902</v>
      </c>
      <c r="B586" s="224">
        <v>1788</v>
      </c>
      <c r="C586" s="46" t="s">
        <v>7098</v>
      </c>
      <c r="D586" s="46"/>
      <c r="E586" s="114"/>
      <c r="F586" s="114" t="s">
        <v>5141</v>
      </c>
      <c r="G586" s="225">
        <v>99978</v>
      </c>
      <c r="H586" s="47" t="s">
        <v>5142</v>
      </c>
      <c r="I586" s="47" t="s">
        <v>5142</v>
      </c>
      <c r="J586" s="47" t="s">
        <v>5143</v>
      </c>
      <c r="K586" s="47" t="s">
        <v>426</v>
      </c>
      <c r="L586" s="47" t="s">
        <v>6025</v>
      </c>
      <c r="M586" s="47" t="s">
        <v>6082</v>
      </c>
      <c r="N586" s="47"/>
      <c r="O586" s="47" t="s">
        <v>6083</v>
      </c>
      <c r="P586" s="53"/>
      <c r="Q586" s="53" t="s">
        <v>6173</v>
      </c>
      <c r="R586" s="53" t="s">
        <v>6185</v>
      </c>
      <c r="S586" s="53" t="s">
        <v>6176</v>
      </c>
      <c r="T586" s="48">
        <v>135.21</v>
      </c>
      <c r="U586" s="98">
        <v>650</v>
      </c>
      <c r="V586" s="98">
        <v>349.10000000000008</v>
      </c>
      <c r="W586" s="98">
        <v>538.28070530538355</v>
      </c>
      <c r="X586" s="98">
        <v>650</v>
      </c>
      <c r="Y586" s="233">
        <v>8.6199999999999992</v>
      </c>
      <c r="Z586" s="48">
        <v>2.72</v>
      </c>
      <c r="AA586" s="48">
        <v>2.81</v>
      </c>
      <c r="AB586" s="48">
        <v>2.79</v>
      </c>
      <c r="AC586" s="48">
        <v>0.92820000000000003</v>
      </c>
      <c r="AD586" s="48">
        <v>2.79</v>
      </c>
      <c r="AE586" s="48">
        <v>2.79</v>
      </c>
      <c r="AF586" s="48">
        <f t="shared" si="134"/>
        <v>2.81</v>
      </c>
      <c r="AG586" s="49">
        <v>2.6</v>
      </c>
      <c r="AH586" s="98">
        <v>9.4500000000000007E-5</v>
      </c>
      <c r="AI586" s="98">
        <v>4.8699999999999998E-5</v>
      </c>
      <c r="AJ586" s="483">
        <f t="shared" si="137"/>
        <v>-2.4131345178033889</v>
      </c>
      <c r="AK586" s="483">
        <f t="shared" si="138"/>
        <v>-2.7010373650980175</v>
      </c>
      <c r="AL586" s="483">
        <f t="shared" si="136"/>
        <v>-2.7010373650980175</v>
      </c>
      <c r="AM586" s="483">
        <v>-5.0648900000000001</v>
      </c>
      <c r="AN586" s="226">
        <v>-2.67</v>
      </c>
      <c r="AO586" s="484"/>
      <c r="AP586" s="484">
        <v>5.64</v>
      </c>
      <c r="AQ586" s="226" t="s">
        <v>6311</v>
      </c>
      <c r="AR586" s="226" t="s">
        <v>6311</v>
      </c>
      <c r="AS586" s="224"/>
      <c r="AT586" s="50" t="s">
        <v>266</v>
      </c>
      <c r="AU586" s="48">
        <v>6</v>
      </c>
      <c r="AV586" s="48">
        <v>120</v>
      </c>
      <c r="AW586" s="48">
        <v>114</v>
      </c>
      <c r="AX586" s="48">
        <v>28</v>
      </c>
      <c r="AY586" s="48" t="s">
        <v>8728</v>
      </c>
      <c r="AZ586" s="48" t="s">
        <v>1563</v>
      </c>
      <c r="BA586" s="48">
        <v>32</v>
      </c>
      <c r="BB586" s="47" t="s">
        <v>2485</v>
      </c>
      <c r="BC586" s="47" t="s">
        <v>8726</v>
      </c>
      <c r="BD586" s="47" t="s">
        <v>8374</v>
      </c>
      <c r="BE586" s="48" t="s">
        <v>2449</v>
      </c>
      <c r="BF586" s="48" t="s">
        <v>272</v>
      </c>
      <c r="BG586" s="48" t="s">
        <v>272</v>
      </c>
      <c r="BH586" s="48" t="s">
        <v>2486</v>
      </c>
      <c r="BI586" s="98">
        <v>8.6534399999999999E-4</v>
      </c>
      <c r="BJ586" s="98">
        <v>8.6534400000000016</v>
      </c>
      <c r="BK586" s="48"/>
      <c r="BL586" s="487">
        <v>25.059754541211788</v>
      </c>
      <c r="BM586" s="47" t="s">
        <v>2487</v>
      </c>
      <c r="BN586" s="48"/>
      <c r="BO586" s="48"/>
      <c r="BP586" s="48"/>
      <c r="BQ586" s="48"/>
      <c r="BR586" s="47" t="e">
        <v>#VALUE!</v>
      </c>
      <c r="BS586" s="48"/>
      <c r="BT586" s="48"/>
      <c r="BU586" s="228"/>
      <c r="BV586" s="48"/>
      <c r="BW586" s="48"/>
      <c r="BX586" s="48"/>
      <c r="BY586" s="48"/>
      <c r="BZ586" s="48"/>
      <c r="CA586" s="48"/>
      <c r="CB586" s="48"/>
      <c r="CC586" s="48"/>
      <c r="CD586" s="48"/>
      <c r="CE586" s="48"/>
      <c r="CF586" s="48"/>
      <c r="CG586" s="48"/>
      <c r="CH586" s="48"/>
      <c r="CI586" s="98"/>
      <c r="CJ586" s="98"/>
      <c r="CK586" s="49">
        <f t="shared" si="132"/>
        <v>2.8959297737329646</v>
      </c>
      <c r="CL586" s="229"/>
      <c r="CM586" s="229"/>
      <c r="CN586" s="229"/>
      <c r="CO586" s="47" t="s">
        <v>2488</v>
      </c>
      <c r="CP586" s="500" t="s">
        <v>2489</v>
      </c>
      <c r="CQ586" s="224">
        <v>1.6910814921229684</v>
      </c>
      <c r="CR586" s="224">
        <f t="shared" si="139"/>
        <v>2.0366598778004064E-2</v>
      </c>
      <c r="CS586" s="230" t="s">
        <v>539</v>
      </c>
      <c r="CT586" s="230"/>
      <c r="CU586" s="230"/>
      <c r="CV586" s="335">
        <f t="shared" si="133"/>
        <v>75.114636491383763</v>
      </c>
      <c r="CW586" s="230">
        <f t="shared" si="131"/>
        <v>1</v>
      </c>
      <c r="CX586" s="336"/>
      <c r="CY586" s="230" t="s">
        <v>6351</v>
      </c>
    </row>
    <row r="587" spans="1:103" ht="11.25" customHeight="1" x14ac:dyDescent="0.2">
      <c r="A587" s="72">
        <v>903</v>
      </c>
      <c r="B587" s="224">
        <v>1465</v>
      </c>
      <c r="C587" s="46" t="s">
        <v>7099</v>
      </c>
      <c r="D587" s="46"/>
      <c r="E587" s="114"/>
      <c r="F587" s="114" t="s">
        <v>4499</v>
      </c>
      <c r="G587" s="225">
        <v>99990</v>
      </c>
      <c r="H587" s="47" t="s">
        <v>4500</v>
      </c>
      <c r="I587" s="47" t="s">
        <v>4500</v>
      </c>
      <c r="J587" s="47" t="s">
        <v>4501</v>
      </c>
      <c r="K587" s="47" t="s">
        <v>426</v>
      </c>
      <c r="L587" s="47"/>
      <c r="M587" s="47" t="s">
        <v>866</v>
      </c>
      <c r="N587" s="47"/>
      <c r="O587" s="47" t="s">
        <v>498</v>
      </c>
      <c r="P587" s="53" t="s">
        <v>6184</v>
      </c>
      <c r="Q587" s="53" t="s">
        <v>6176</v>
      </c>
      <c r="R587" s="53" t="s">
        <v>6185</v>
      </c>
      <c r="S587" s="53" t="s">
        <v>6176</v>
      </c>
      <c r="T587" s="48">
        <v>137.13999999999999</v>
      </c>
      <c r="U587" s="98">
        <v>442</v>
      </c>
      <c r="V587" s="98">
        <v>331.7</v>
      </c>
      <c r="W587" s="98">
        <v>433.67475831549109</v>
      </c>
      <c r="X587" s="98">
        <v>442</v>
      </c>
      <c r="Y587" s="233">
        <v>7</v>
      </c>
      <c r="Z587" s="48">
        <v>2.36</v>
      </c>
      <c r="AA587" s="48">
        <v>2.37</v>
      </c>
      <c r="AB587" s="48">
        <v>2.46</v>
      </c>
      <c r="AC587" s="48">
        <v>0.92769999999999997</v>
      </c>
      <c r="AD587" s="48">
        <v>2.4500000000000002</v>
      </c>
      <c r="AE587" s="48">
        <v>2.41</v>
      </c>
      <c r="AF587" s="48">
        <f t="shared" si="134"/>
        <v>2.37</v>
      </c>
      <c r="AG587" s="49">
        <v>1.89</v>
      </c>
      <c r="AH587" s="98">
        <v>2.3499999999999999E-5</v>
      </c>
      <c r="AI587" s="98">
        <v>5.6300000000000003E-6</v>
      </c>
      <c r="AJ587" s="483">
        <f t="shared" si="137"/>
        <v>-3.0174984640409157</v>
      </c>
      <c r="AK587" s="483">
        <f t="shared" si="138"/>
        <v>-3.6380579314613057</v>
      </c>
      <c r="AL587" s="483">
        <f t="shared" si="136"/>
        <v>-3.6380579314613057</v>
      </c>
      <c r="AM587" s="483">
        <v>-4.7760700000000007</v>
      </c>
      <c r="AN587" s="226">
        <v>-2.78</v>
      </c>
      <c r="AO587" s="484"/>
      <c r="AP587" s="484"/>
      <c r="AQ587" s="48" t="s">
        <v>6311</v>
      </c>
      <c r="AR587" s="48" t="s">
        <v>6311</v>
      </c>
      <c r="AS587" s="227"/>
      <c r="AT587" s="50" t="s">
        <v>266</v>
      </c>
      <c r="AU587" s="48">
        <v>6</v>
      </c>
      <c r="AV587" s="48">
        <v>120</v>
      </c>
      <c r="AW587" s="48">
        <v>114</v>
      </c>
      <c r="AX587" s="48">
        <v>28</v>
      </c>
      <c r="AY587" s="48" t="s">
        <v>8728</v>
      </c>
      <c r="AZ587" s="48" t="s">
        <v>1563</v>
      </c>
      <c r="BA587" s="48">
        <v>32</v>
      </c>
      <c r="BB587" s="47" t="s">
        <v>2485</v>
      </c>
      <c r="BC587" s="47" t="s">
        <v>8726</v>
      </c>
      <c r="BD587" s="47" t="s">
        <v>8374</v>
      </c>
      <c r="BE587" s="48" t="s">
        <v>2449</v>
      </c>
      <c r="BF587" s="48" t="s">
        <v>272</v>
      </c>
      <c r="BG587" s="48" t="s">
        <v>272</v>
      </c>
      <c r="BH587" s="48" t="s">
        <v>2486</v>
      </c>
      <c r="BI587" s="98">
        <v>8.7769599999999986E-4</v>
      </c>
      <c r="BJ587" s="98">
        <v>8.776959999999999</v>
      </c>
      <c r="BK587" s="48"/>
      <c r="BL587" s="487">
        <v>53.511625694070879</v>
      </c>
      <c r="BM587" s="47" t="s">
        <v>2487</v>
      </c>
      <c r="BN587" s="48"/>
      <c r="BO587" s="48"/>
      <c r="BP587" s="48"/>
      <c r="BQ587" s="48"/>
      <c r="BR587" s="47" t="e">
        <v>#VALUE!</v>
      </c>
      <c r="BS587" s="48"/>
      <c r="BT587" s="48"/>
      <c r="BU587" s="228"/>
      <c r="BV587" s="48"/>
      <c r="BW587" s="48"/>
      <c r="BX587" s="48"/>
      <c r="BY587" s="48"/>
      <c r="BZ587" s="48"/>
      <c r="CA587" s="48"/>
      <c r="CB587" s="48"/>
      <c r="CC587" s="48"/>
      <c r="CD587" s="48"/>
      <c r="CE587" s="48"/>
      <c r="CF587" s="48"/>
      <c r="CG587" s="48"/>
      <c r="CH587" s="48"/>
      <c r="CI587" s="98"/>
      <c r="CJ587" s="98"/>
      <c r="CK587" s="49">
        <f t="shared" si="132"/>
        <v>6.096829163408616</v>
      </c>
      <c r="CL587" s="229"/>
      <c r="CM587" s="229"/>
      <c r="CN587" s="229"/>
      <c r="CO587" s="47" t="s">
        <v>2488</v>
      </c>
      <c r="CP587" s="500" t="s">
        <v>2489</v>
      </c>
      <c r="CQ587" s="224">
        <v>1.3765769570565121</v>
      </c>
      <c r="CR587" s="224">
        <f t="shared" si="139"/>
        <v>4.2016806722689058E-2</v>
      </c>
      <c r="CS587" s="230" t="s">
        <v>539</v>
      </c>
      <c r="CT587" s="230"/>
      <c r="CU587" s="230"/>
      <c r="CV587" s="335">
        <f t="shared" si="133"/>
        <v>50.359122065043024</v>
      </c>
      <c r="CW587" s="230">
        <f t="shared" si="131"/>
        <v>1</v>
      </c>
      <c r="CX587" s="336"/>
      <c r="CY587" s="230" t="s">
        <v>6351</v>
      </c>
    </row>
    <row r="588" spans="1:103" ht="11.25" customHeight="1" x14ac:dyDescent="0.2">
      <c r="A588" s="72">
        <v>904</v>
      </c>
      <c r="B588" s="224">
        <v>912</v>
      </c>
      <c r="C588" s="46" t="s">
        <v>7100</v>
      </c>
      <c r="D588" s="46"/>
      <c r="E588" s="114"/>
      <c r="F588" s="114" t="s">
        <v>2604</v>
      </c>
      <c r="G588" s="225">
        <v>100005</v>
      </c>
      <c r="H588" s="47" t="s">
        <v>2605</v>
      </c>
      <c r="I588" s="47" t="s">
        <v>8022</v>
      </c>
      <c r="J588" s="47" t="s">
        <v>2606</v>
      </c>
      <c r="K588" s="47" t="s">
        <v>426</v>
      </c>
      <c r="L588" s="47" t="s">
        <v>6025</v>
      </c>
      <c r="M588" s="47" t="s">
        <v>5960</v>
      </c>
      <c r="N588" s="47"/>
      <c r="O588" s="47"/>
      <c r="P588" s="53" t="s">
        <v>6184</v>
      </c>
      <c r="Q588" s="53" t="s">
        <v>6176</v>
      </c>
      <c r="R588" s="53" t="s">
        <v>6185</v>
      </c>
      <c r="S588" s="53" t="s">
        <v>6176</v>
      </c>
      <c r="T588" s="48">
        <v>157.55000000000001</v>
      </c>
      <c r="U588" s="98">
        <v>225.00000000000003</v>
      </c>
      <c r="V588" s="98">
        <v>260.2</v>
      </c>
      <c r="W588" s="98">
        <v>344.68184385325162</v>
      </c>
      <c r="X588" s="98">
        <v>225.00000000000003</v>
      </c>
      <c r="Y588" s="233">
        <v>7</v>
      </c>
      <c r="Z588" s="48">
        <v>2.46</v>
      </c>
      <c r="AA588" s="48">
        <v>2.39</v>
      </c>
      <c r="AB588" s="48">
        <v>2.46</v>
      </c>
      <c r="AC588" s="48">
        <v>0.93059999999999998</v>
      </c>
      <c r="AD588" s="48">
        <v>2.4900000000000002</v>
      </c>
      <c r="AE588" s="48">
        <v>2.6</v>
      </c>
      <c r="AF588" s="48">
        <f t="shared" si="134"/>
        <v>2.39</v>
      </c>
      <c r="AG588" s="49">
        <v>2.11</v>
      </c>
      <c r="AH588" s="98">
        <v>1.5800000000000001E-5</v>
      </c>
      <c r="AI588" s="98">
        <v>4.8899999999999998E-6</v>
      </c>
      <c r="AJ588" s="483">
        <f t="shared" si="137"/>
        <v>-3.1899092393582289</v>
      </c>
      <c r="AK588" s="483">
        <f t="shared" si="138"/>
        <v>-3.6992574671890317</v>
      </c>
      <c r="AL588" s="483">
        <f t="shared" si="136"/>
        <v>-3.6992574671890317</v>
      </c>
      <c r="AM588" s="483">
        <v>-5.2928099999999993</v>
      </c>
      <c r="AN588" s="226">
        <v>-2.96</v>
      </c>
      <c r="AO588" s="484"/>
      <c r="AP588" s="484"/>
      <c r="AQ588" s="48" t="s">
        <v>6311</v>
      </c>
      <c r="AR588" s="48" t="s">
        <v>6311</v>
      </c>
      <c r="AS588" s="227"/>
      <c r="AT588" s="50" t="s">
        <v>266</v>
      </c>
      <c r="AU588" s="48">
        <v>6</v>
      </c>
      <c r="AV588" s="48">
        <v>120</v>
      </c>
      <c r="AW588" s="48">
        <v>114</v>
      </c>
      <c r="AX588" s="48">
        <v>28</v>
      </c>
      <c r="AY588" s="48" t="s">
        <v>8728</v>
      </c>
      <c r="AZ588" s="48" t="s">
        <v>1563</v>
      </c>
      <c r="BA588" s="48">
        <v>32</v>
      </c>
      <c r="BB588" s="47" t="s">
        <v>2485</v>
      </c>
      <c r="BC588" s="47" t="s">
        <v>8726</v>
      </c>
      <c r="BD588" s="47" t="s">
        <v>8374</v>
      </c>
      <c r="BE588" s="48" t="s">
        <v>2449</v>
      </c>
      <c r="BF588" s="48" t="s">
        <v>272</v>
      </c>
      <c r="BG588" s="48" t="s">
        <v>272</v>
      </c>
      <c r="BH588" s="48" t="s">
        <v>2486</v>
      </c>
      <c r="BI588" s="98">
        <v>1.00832E-3</v>
      </c>
      <c r="BJ588" s="98">
        <v>10.083200000000001</v>
      </c>
      <c r="BK588" s="48"/>
      <c r="BL588" s="487">
        <v>49.991067133315539</v>
      </c>
      <c r="BM588" s="47" t="s">
        <v>2487</v>
      </c>
      <c r="BN588" s="48"/>
      <c r="BO588" s="48"/>
      <c r="BP588" s="48"/>
      <c r="BQ588" s="48"/>
      <c r="BR588" s="47" t="e">
        <v>#VALUE!</v>
      </c>
      <c r="BS588" s="48"/>
      <c r="BT588" s="48"/>
      <c r="BU588" s="228">
        <v>1.00832E-2</v>
      </c>
      <c r="BV588" s="48"/>
      <c r="BW588" s="48"/>
      <c r="BX588" s="48"/>
      <c r="BY588" s="48"/>
      <c r="BZ588" s="48"/>
      <c r="CA588" s="48"/>
      <c r="CB588" s="48"/>
      <c r="CC588" s="48"/>
      <c r="CD588" s="48"/>
      <c r="CE588" s="48"/>
      <c r="CF588" s="48"/>
      <c r="CG588" s="48"/>
      <c r="CH588" s="48"/>
      <c r="CI588" s="98"/>
      <c r="CJ588" s="98"/>
      <c r="CK588" s="49">
        <f t="shared" si="132"/>
        <v>4.9578573402605848</v>
      </c>
      <c r="CL588" s="229"/>
      <c r="CM588" s="229"/>
      <c r="CN588" s="229"/>
      <c r="CO588" s="47" t="s">
        <v>2488</v>
      </c>
      <c r="CP588" s="500" t="s">
        <v>2489</v>
      </c>
      <c r="CQ588" s="224">
        <v>1.1760912590556813</v>
      </c>
      <c r="CR588" s="224">
        <f t="shared" si="139"/>
        <v>6.6666666666666638E-2</v>
      </c>
      <c r="CS588" s="230" t="s">
        <v>539</v>
      </c>
      <c r="CT588" s="230"/>
      <c r="CU588" s="230"/>
      <c r="CV588" s="335">
        <f t="shared" si="133"/>
        <v>22.314344652491272</v>
      </c>
      <c r="CW588" s="230">
        <f t="shared" si="131"/>
        <v>1</v>
      </c>
      <c r="CX588" s="336"/>
      <c r="CY588" s="230" t="s">
        <v>6351</v>
      </c>
    </row>
    <row r="589" spans="1:103" ht="11.25" customHeight="1" x14ac:dyDescent="0.2">
      <c r="A589" s="72">
        <v>905</v>
      </c>
      <c r="B589" s="224">
        <v>1462</v>
      </c>
      <c r="C589" s="46" t="s">
        <v>7101</v>
      </c>
      <c r="D589" s="46" t="s">
        <v>8694</v>
      </c>
      <c r="E589" s="114"/>
      <c r="F589" s="114" t="s">
        <v>4496</v>
      </c>
      <c r="G589" s="225">
        <v>100016</v>
      </c>
      <c r="H589" s="47" t="s">
        <v>4497</v>
      </c>
      <c r="I589" s="47" t="s">
        <v>4497</v>
      </c>
      <c r="J589" s="47" t="s">
        <v>4498</v>
      </c>
      <c r="K589" s="47" t="s">
        <v>1573</v>
      </c>
      <c r="L589" s="47"/>
      <c r="M589" s="47" t="s">
        <v>6616</v>
      </c>
      <c r="N589" s="47" t="s">
        <v>6082</v>
      </c>
      <c r="O589" s="47" t="s">
        <v>498</v>
      </c>
      <c r="P589" s="53" t="s">
        <v>6184</v>
      </c>
      <c r="Q589" s="53" t="s">
        <v>6176</v>
      </c>
      <c r="R589" s="53" t="s">
        <v>6185</v>
      </c>
      <c r="S589" s="53" t="s">
        <v>6176</v>
      </c>
      <c r="T589" s="48">
        <v>138.12</v>
      </c>
      <c r="U589" s="98">
        <v>728</v>
      </c>
      <c r="V589" s="98">
        <v>5542</v>
      </c>
      <c r="W589" s="98">
        <v>1738.8277787701027</v>
      </c>
      <c r="X589" s="98">
        <v>728</v>
      </c>
      <c r="Y589" s="233">
        <v>7.03</v>
      </c>
      <c r="Z589" s="48">
        <v>1.47</v>
      </c>
      <c r="AA589" s="48">
        <v>1.39</v>
      </c>
      <c r="AB589" s="48">
        <v>1.28</v>
      </c>
      <c r="AC589" s="48">
        <v>0.85070000000000001</v>
      </c>
      <c r="AD589" s="48">
        <v>1.31</v>
      </c>
      <c r="AE589" s="48">
        <v>1.39</v>
      </c>
      <c r="AF589" s="48">
        <f t="shared" si="134"/>
        <v>1.39</v>
      </c>
      <c r="AG589" s="49">
        <v>0.74</v>
      </c>
      <c r="AH589" s="98">
        <v>7.5100000000000007E-9</v>
      </c>
      <c r="AI589" s="98">
        <v>1.26E-9</v>
      </c>
      <c r="AJ589" s="483">
        <f t="shared" si="137"/>
        <v>-6.5129263893084834</v>
      </c>
      <c r="AK589" s="483">
        <f t="shared" si="138"/>
        <v>-7.288195781195089</v>
      </c>
      <c r="AL589" s="483">
        <f t="shared" si="136"/>
        <v>-7.288195781195089</v>
      </c>
      <c r="AM589" s="483">
        <v>-9.0254100000000008</v>
      </c>
      <c r="AN589" s="226">
        <v>-2.97</v>
      </c>
      <c r="AO589" s="484"/>
      <c r="AP589" s="484">
        <v>1.01</v>
      </c>
      <c r="AQ589" s="48" t="s">
        <v>6311</v>
      </c>
      <c r="AR589" s="48" t="s">
        <v>6311</v>
      </c>
      <c r="AS589" s="227"/>
      <c r="AT589" s="50" t="s">
        <v>266</v>
      </c>
      <c r="AU589" s="48">
        <v>6</v>
      </c>
      <c r="AV589" s="48">
        <v>120</v>
      </c>
      <c r="AW589" s="48">
        <v>114</v>
      </c>
      <c r="AX589" s="48">
        <v>28</v>
      </c>
      <c r="AY589" s="48" t="s">
        <v>8728</v>
      </c>
      <c r="AZ589" s="48" t="s">
        <v>1563</v>
      </c>
      <c r="BA589" s="48">
        <v>32</v>
      </c>
      <c r="BB589" s="47" t="s">
        <v>2485</v>
      </c>
      <c r="BC589" s="47" t="s">
        <v>8726</v>
      </c>
      <c r="BD589" s="47" t="s">
        <v>8374</v>
      </c>
      <c r="BE589" s="48" t="s">
        <v>2449</v>
      </c>
      <c r="BF589" s="48" t="s">
        <v>272</v>
      </c>
      <c r="BG589" s="48" t="s">
        <v>272</v>
      </c>
      <c r="BH589" s="48" t="s">
        <v>2486</v>
      </c>
      <c r="BI589" s="98">
        <v>8.8396799999999995E-4</v>
      </c>
      <c r="BJ589" s="98">
        <v>8.8396800000000013</v>
      </c>
      <c r="BK589" s="48"/>
      <c r="BL589" s="487">
        <v>339.50765402919728</v>
      </c>
      <c r="BM589" s="47" t="s">
        <v>2487</v>
      </c>
      <c r="BN589" s="48"/>
      <c r="BO589" s="48"/>
      <c r="BP589" s="48"/>
      <c r="BQ589" s="48"/>
      <c r="BR589" s="47" t="e">
        <v>#VALUE!</v>
      </c>
      <c r="BS589" s="48"/>
      <c r="BT589" s="48"/>
      <c r="BU589" s="228"/>
      <c r="BV589" s="48"/>
      <c r="BW589" s="48"/>
      <c r="BX589" s="48"/>
      <c r="BY589" s="48"/>
      <c r="BZ589" s="48"/>
      <c r="CA589" s="48"/>
      <c r="CB589" s="48"/>
      <c r="CC589" s="48"/>
      <c r="CD589" s="48"/>
      <c r="CE589" s="48"/>
      <c r="CF589" s="48"/>
      <c r="CG589" s="48"/>
      <c r="CH589" s="48"/>
      <c r="CI589" s="98"/>
      <c r="CJ589" s="98"/>
      <c r="CK589" s="49">
        <f t="shared" si="132"/>
        <v>38.407233523068392</v>
      </c>
      <c r="CL589" s="229"/>
      <c r="CM589" s="229"/>
      <c r="CN589" s="229"/>
      <c r="CO589" s="47" t="s">
        <v>2488</v>
      </c>
      <c r="CP589" s="500" t="s">
        <v>2489</v>
      </c>
      <c r="CQ589" s="224">
        <v>2.0347381402640776</v>
      </c>
      <c r="CR589" s="224">
        <f t="shared" si="139"/>
        <v>9.2312786332226348E-3</v>
      </c>
      <c r="CS589" s="230" t="s">
        <v>539</v>
      </c>
      <c r="CT589" s="230"/>
      <c r="CU589" s="230"/>
      <c r="CV589" s="335">
        <f t="shared" si="133"/>
        <v>82.355922386330718</v>
      </c>
      <c r="CW589" s="230">
        <f t="shared" si="131"/>
        <v>1</v>
      </c>
      <c r="CX589" s="336"/>
      <c r="CY589" s="230" t="s">
        <v>6351</v>
      </c>
    </row>
    <row r="590" spans="1:103" ht="11.25" customHeight="1" x14ac:dyDescent="0.2">
      <c r="A590" s="72">
        <v>906</v>
      </c>
      <c r="B590" s="224">
        <v>1464</v>
      </c>
      <c r="C590" s="46" t="s">
        <v>1751</v>
      </c>
      <c r="D590" s="46"/>
      <c r="E590" s="114"/>
      <c r="F590" s="114" t="s">
        <v>1752</v>
      </c>
      <c r="G590" s="225">
        <v>100027</v>
      </c>
      <c r="H590" s="47" t="s">
        <v>1753</v>
      </c>
      <c r="I590" s="47" t="s">
        <v>1753</v>
      </c>
      <c r="J590" s="47" t="s">
        <v>1754</v>
      </c>
      <c r="K590" s="47" t="s">
        <v>349</v>
      </c>
      <c r="L590" s="47"/>
      <c r="M590" s="47" t="s">
        <v>1694</v>
      </c>
      <c r="N590" s="47" t="s">
        <v>6381</v>
      </c>
      <c r="O590" s="47" t="s">
        <v>1755</v>
      </c>
      <c r="P590" s="53" t="s">
        <v>6184</v>
      </c>
      <c r="Q590" s="53" t="s">
        <v>6182</v>
      </c>
      <c r="R590" s="53" t="s">
        <v>6185</v>
      </c>
      <c r="S590" s="53" t="s">
        <v>6176</v>
      </c>
      <c r="T590" s="48">
        <v>139.11000000000001</v>
      </c>
      <c r="U590" s="98">
        <v>11600</v>
      </c>
      <c r="V590" s="98">
        <v>7507</v>
      </c>
      <c r="W590" s="98">
        <v>3744.1940657427303</v>
      </c>
      <c r="X590" s="98">
        <v>11600</v>
      </c>
      <c r="Y590" s="233">
        <v>4.4000000000000004</v>
      </c>
      <c r="Z590" s="48">
        <v>1.91</v>
      </c>
      <c r="AA590" s="48">
        <v>1.91</v>
      </c>
      <c r="AB590" s="48">
        <v>1.74</v>
      </c>
      <c r="AC590" s="48">
        <v>0.92979999999999996</v>
      </c>
      <c r="AD590" s="48">
        <v>1.71</v>
      </c>
      <c r="AE590" s="48">
        <v>1.57</v>
      </c>
      <c r="AF590" s="48">
        <f t="shared" si="134"/>
        <v>1.91</v>
      </c>
      <c r="AG590" s="49">
        <v>1.08</v>
      </c>
      <c r="AH590" s="98">
        <v>2.21E-9</v>
      </c>
      <c r="AI590" s="98">
        <v>4.1500000000000001E-10</v>
      </c>
      <c r="AJ590" s="483">
        <f t="shared" si="137"/>
        <v>-7.0441740526275414</v>
      </c>
      <c r="AK590" s="483">
        <f t="shared" si="138"/>
        <v>-7.770518229600559</v>
      </c>
      <c r="AL590" s="483">
        <f t="shared" si="136"/>
        <v>-7.770518229600559</v>
      </c>
      <c r="AM590" s="483">
        <v>-9.7192299999999996</v>
      </c>
      <c r="AN590" s="226">
        <v>-6.89</v>
      </c>
      <c r="AO590" s="484">
        <v>7.23</v>
      </c>
      <c r="AP590" s="484"/>
      <c r="AQ590" s="48" t="s">
        <v>6311</v>
      </c>
      <c r="AR590" s="48" t="s">
        <v>6311</v>
      </c>
      <c r="AS590" s="227"/>
      <c r="AT590" s="50" t="s">
        <v>266</v>
      </c>
      <c r="AU590" s="48">
        <v>6</v>
      </c>
      <c r="AV590" s="48">
        <v>120</v>
      </c>
      <c r="AW590" s="48">
        <v>114</v>
      </c>
      <c r="AX590" s="48">
        <v>28</v>
      </c>
      <c r="AY590" s="48" t="s">
        <v>8728</v>
      </c>
      <c r="AZ590" s="48" t="s">
        <v>1563</v>
      </c>
      <c r="BA590" s="48">
        <v>32</v>
      </c>
      <c r="BB590" s="47" t="s">
        <v>2485</v>
      </c>
      <c r="BC590" s="47" t="s">
        <v>8726</v>
      </c>
      <c r="BD590" s="47" t="s">
        <v>8374</v>
      </c>
      <c r="BE590" s="48" t="s">
        <v>2449</v>
      </c>
      <c r="BF590" s="48" t="s">
        <v>272</v>
      </c>
      <c r="BG590" s="48" t="s">
        <v>272</v>
      </c>
      <c r="BH590" s="48" t="s">
        <v>2486</v>
      </c>
      <c r="BI590" s="98">
        <v>8.9030400000000007E-4</v>
      </c>
      <c r="BJ590" s="98">
        <v>8.9030400000000007</v>
      </c>
      <c r="BK590" s="48"/>
      <c r="BL590" s="487">
        <v>137.65352925672985</v>
      </c>
      <c r="BM590" s="47" t="s">
        <v>2487</v>
      </c>
      <c r="BN590" s="48"/>
      <c r="BO590" s="48"/>
      <c r="BP590" s="48"/>
      <c r="BQ590" s="48"/>
      <c r="BR590" s="47" t="e">
        <v>#VALUE!</v>
      </c>
      <c r="BS590" s="48"/>
      <c r="BT590" s="48"/>
      <c r="BU590" s="228"/>
      <c r="BV590" s="48"/>
      <c r="BW590" s="48"/>
      <c r="BX590" s="48"/>
      <c r="BY590" s="48"/>
      <c r="BZ590" s="48"/>
      <c r="CA590" s="48"/>
      <c r="CB590" s="48"/>
      <c r="CC590" s="48"/>
      <c r="CD590" s="48"/>
      <c r="CE590" s="48"/>
      <c r="CF590" s="48"/>
      <c r="CG590" s="48"/>
      <c r="CH590" s="48"/>
      <c r="CI590" s="98"/>
      <c r="CJ590" s="98"/>
      <c r="CK590" s="49">
        <f t="shared" si="132"/>
        <v>15.461407480672877</v>
      </c>
      <c r="CL590" s="229"/>
      <c r="CM590" s="229"/>
      <c r="CN590" s="229"/>
      <c r="CO590" s="47" t="s">
        <v>2488</v>
      </c>
      <c r="CP590" s="500" t="s">
        <v>2489</v>
      </c>
      <c r="CQ590" s="224">
        <v>1.2322608872357181</v>
      </c>
      <c r="CR590" s="224">
        <f t="shared" si="139"/>
        <v>5.8578616822673339E-2</v>
      </c>
      <c r="CS590" s="230" t="s">
        <v>539</v>
      </c>
      <c r="CT590" s="230"/>
      <c r="CU590" s="230"/>
      <c r="CV590" s="335">
        <f t="shared" si="133"/>
        <v>1302.9257422183882</v>
      </c>
      <c r="CW590" s="230">
        <f t="shared" si="131"/>
        <v>1</v>
      </c>
      <c r="CX590" s="336"/>
      <c r="CY590" s="230" t="s">
        <v>6351</v>
      </c>
    </row>
    <row r="591" spans="1:103" ht="11.25" customHeight="1" x14ac:dyDescent="0.2">
      <c r="A591" s="72">
        <v>907</v>
      </c>
      <c r="B591" s="224">
        <v>1783</v>
      </c>
      <c r="C591" s="46" t="s">
        <v>7102</v>
      </c>
      <c r="D591" s="46"/>
      <c r="E591" s="114"/>
      <c r="F591" s="114" t="s">
        <v>5129</v>
      </c>
      <c r="G591" s="225">
        <v>100378</v>
      </c>
      <c r="H591" s="47" t="s">
        <v>5130</v>
      </c>
      <c r="I591" s="47" t="s">
        <v>5130</v>
      </c>
      <c r="J591" s="47" t="s">
        <v>5131</v>
      </c>
      <c r="K591" s="47" t="s">
        <v>300</v>
      </c>
      <c r="L591" s="51"/>
      <c r="M591" s="47"/>
      <c r="N591" s="47"/>
      <c r="O591" s="47"/>
      <c r="P591" s="53"/>
      <c r="Q591" s="53" t="s">
        <v>6173</v>
      </c>
      <c r="R591" s="53" t="s">
        <v>6185</v>
      </c>
      <c r="S591" s="53" t="s">
        <v>6176</v>
      </c>
      <c r="T591" s="48">
        <v>117.19</v>
      </c>
      <c r="U591" s="98">
        <v>1000000.0000000001</v>
      </c>
      <c r="V591" s="98">
        <v>953900</v>
      </c>
      <c r="W591" s="98">
        <v>208396.5640624614</v>
      </c>
      <c r="X591" s="98">
        <v>1000000.0000000001</v>
      </c>
      <c r="Y591" s="233">
        <v>11.96</v>
      </c>
      <c r="Z591" s="48">
        <v>0.05</v>
      </c>
      <c r="AA591" s="48"/>
      <c r="AB591" s="48">
        <v>0.52</v>
      </c>
      <c r="AC591" s="48">
        <v>0.87109999999999999</v>
      </c>
      <c r="AD591" s="48">
        <v>0.57999999999999996</v>
      </c>
      <c r="AE591" s="48">
        <v>0.74</v>
      </c>
      <c r="AF591" s="48">
        <f t="shared" si="134"/>
        <v>0.57999999999999996</v>
      </c>
      <c r="AG591" s="49">
        <v>0.5</v>
      </c>
      <c r="AH591" s="98">
        <v>3.12E-9</v>
      </c>
      <c r="AI591" s="98"/>
      <c r="AJ591" s="483">
        <f t="shared" si="137"/>
        <v>-6.8944117322942091</v>
      </c>
      <c r="AK591" s="483"/>
      <c r="AL591" s="483">
        <f t="shared" si="136"/>
        <v>-6.8944117322942091</v>
      </c>
      <c r="AM591" s="483">
        <v>-6.80253</v>
      </c>
      <c r="AN591" s="226">
        <v>-6.74</v>
      </c>
      <c r="AO591" s="484">
        <v>14.74</v>
      </c>
      <c r="AP591" s="484">
        <v>9.7899999999999991</v>
      </c>
      <c r="AQ591" s="226" t="s">
        <v>6311</v>
      </c>
      <c r="AR591" s="226" t="s">
        <v>6311</v>
      </c>
      <c r="AS591" s="224"/>
      <c r="AT591" s="50" t="s">
        <v>266</v>
      </c>
      <c r="AU591" s="48">
        <v>6</v>
      </c>
      <c r="AV591" s="48">
        <v>120</v>
      </c>
      <c r="AW591" s="48">
        <v>114</v>
      </c>
      <c r="AX591" s="48">
        <v>28</v>
      </c>
      <c r="AY591" s="48" t="s">
        <v>8728</v>
      </c>
      <c r="AZ591" s="48" t="s">
        <v>1563</v>
      </c>
      <c r="BA591" s="48">
        <v>32</v>
      </c>
      <c r="BB591" s="47" t="s">
        <v>2485</v>
      </c>
      <c r="BC591" s="47" t="s">
        <v>8726</v>
      </c>
      <c r="BD591" s="47" t="s">
        <v>8374</v>
      </c>
      <c r="BE591" s="48" t="s">
        <v>2449</v>
      </c>
      <c r="BF591" s="48" t="s">
        <v>272</v>
      </c>
      <c r="BG591" s="48" t="s">
        <v>272</v>
      </c>
      <c r="BH591" s="48" t="s">
        <v>2486</v>
      </c>
      <c r="BI591" s="98">
        <v>7.5001599999999994E-4</v>
      </c>
      <c r="BJ591" s="98">
        <v>7.5001600000000002</v>
      </c>
      <c r="BK591" s="48"/>
      <c r="BL591" s="487">
        <v>5429.8215179420285</v>
      </c>
      <c r="BM591" s="47" t="s">
        <v>2487</v>
      </c>
      <c r="BN591" s="48"/>
      <c r="BO591" s="48"/>
      <c r="BP591" s="48"/>
      <c r="BQ591" s="48"/>
      <c r="BR591" s="47" t="e">
        <v>#VALUE!</v>
      </c>
      <c r="BS591" s="48"/>
      <c r="BT591" s="48"/>
      <c r="BU591" s="228"/>
      <c r="BV591" s="48"/>
      <c r="BW591" s="48"/>
      <c r="BX591" s="48"/>
      <c r="BY591" s="48"/>
      <c r="BZ591" s="48"/>
      <c r="CA591" s="48"/>
      <c r="CB591" s="48"/>
      <c r="CC591" s="48"/>
      <c r="CD591" s="48"/>
      <c r="CE591" s="48"/>
      <c r="CF591" s="48"/>
      <c r="CG591" s="48"/>
      <c r="CH591" s="48"/>
      <c r="CI591" s="98"/>
      <c r="CJ591" s="98"/>
      <c r="CK591" s="49">
        <f t="shared" si="132"/>
        <v>723.960757896102</v>
      </c>
      <c r="CL591" s="229"/>
      <c r="CM591" s="229"/>
      <c r="CN591" s="229"/>
      <c r="CO591" s="47" t="s">
        <v>2488</v>
      </c>
      <c r="CP591" s="500" t="s">
        <v>2489</v>
      </c>
      <c r="CQ591" s="224">
        <v>3.2479732663618068</v>
      </c>
      <c r="CR591" s="224">
        <f t="shared" si="139"/>
        <v>5.6497175141242896E-4</v>
      </c>
      <c r="CS591" s="230" t="s">
        <v>539</v>
      </c>
      <c r="CT591" s="230"/>
      <c r="CU591" s="230"/>
      <c r="CV591" s="335">
        <f t="shared" si="133"/>
        <v>133330.48894956909</v>
      </c>
      <c r="CW591" s="230">
        <f t="shared" si="131"/>
        <v>1</v>
      </c>
      <c r="CX591" s="336"/>
      <c r="CY591" s="230" t="s">
        <v>6351</v>
      </c>
    </row>
    <row r="592" spans="1:103" ht="11.25" customHeight="1" x14ac:dyDescent="0.2">
      <c r="A592" s="72">
        <v>908</v>
      </c>
      <c r="B592" s="224">
        <v>1522</v>
      </c>
      <c r="C592" s="46" t="s">
        <v>7103</v>
      </c>
      <c r="D592" s="46" t="s">
        <v>8716</v>
      </c>
      <c r="E592" s="114"/>
      <c r="F592" s="114" t="s">
        <v>4617</v>
      </c>
      <c r="G592" s="225">
        <v>100516</v>
      </c>
      <c r="H592" s="47" t="s">
        <v>4618</v>
      </c>
      <c r="I592" s="47" t="s">
        <v>4618</v>
      </c>
      <c r="J592" s="47" t="s">
        <v>4619</v>
      </c>
      <c r="K592" s="47" t="s">
        <v>306</v>
      </c>
      <c r="L592" s="47"/>
      <c r="M592" s="47" t="s">
        <v>2342</v>
      </c>
      <c r="N592" s="47" t="s">
        <v>2342</v>
      </c>
      <c r="O592" s="47" t="s">
        <v>498</v>
      </c>
      <c r="P592" s="53" t="s">
        <v>6631</v>
      </c>
      <c r="Q592" s="53" t="s">
        <v>6173</v>
      </c>
      <c r="R592" s="53" t="s">
        <v>6183</v>
      </c>
      <c r="S592" s="53" t="s">
        <v>6173</v>
      </c>
      <c r="T592" s="48">
        <v>108.14</v>
      </c>
      <c r="U592" s="98">
        <v>42900</v>
      </c>
      <c r="V592" s="98">
        <v>41050</v>
      </c>
      <c r="W592" s="98">
        <v>47204.822098451543</v>
      </c>
      <c r="X592" s="98">
        <v>42900</v>
      </c>
      <c r="Y592" s="233">
        <v>6.96</v>
      </c>
      <c r="Z592" s="48">
        <v>1.08</v>
      </c>
      <c r="AA592" s="48">
        <v>1.1000000000000001</v>
      </c>
      <c r="AB592" s="48">
        <v>1.25</v>
      </c>
      <c r="AC592" s="48">
        <v>0.93379999999999996</v>
      </c>
      <c r="AD592" s="48">
        <v>1.21</v>
      </c>
      <c r="AE592" s="48">
        <v>1.03</v>
      </c>
      <c r="AF592" s="48">
        <f t="shared" si="134"/>
        <v>1.1000000000000001</v>
      </c>
      <c r="AG592" s="49">
        <v>1.1599999999999999</v>
      </c>
      <c r="AH592" s="98">
        <v>2.17E-7</v>
      </c>
      <c r="AI592" s="98">
        <v>3.3700000000000001E-7</v>
      </c>
      <c r="AJ592" s="483">
        <f t="shared" si="137"/>
        <v>-5.0521065924641224</v>
      </c>
      <c r="AK592" s="483">
        <f>LOG10(AI592*1000/(0.08206*298.15))</f>
        <v>-4.860936425441313</v>
      </c>
      <c r="AL592" s="483">
        <f t="shared" si="136"/>
        <v>-4.860936425441313</v>
      </c>
      <c r="AM592" s="483">
        <v>-6.36402</v>
      </c>
      <c r="AN592" s="226">
        <v>-4.66</v>
      </c>
      <c r="AO592" s="484">
        <v>14.36</v>
      </c>
      <c r="AP592" s="484"/>
      <c r="AQ592" s="48" t="s">
        <v>6311</v>
      </c>
      <c r="AR592" s="48" t="s">
        <v>6311</v>
      </c>
      <c r="AS592" s="227"/>
      <c r="AT592" s="50" t="s">
        <v>266</v>
      </c>
      <c r="AU592" s="48">
        <v>6</v>
      </c>
      <c r="AV592" s="48">
        <v>120</v>
      </c>
      <c r="AW592" s="48">
        <v>114</v>
      </c>
      <c r="AX592" s="48">
        <v>28</v>
      </c>
      <c r="AY592" s="48" t="s">
        <v>8728</v>
      </c>
      <c r="AZ592" s="48" t="s">
        <v>1563</v>
      </c>
      <c r="BA592" s="48">
        <v>32</v>
      </c>
      <c r="BB592" s="47" t="s">
        <v>2485</v>
      </c>
      <c r="BC592" s="47" t="s">
        <v>8726</v>
      </c>
      <c r="BD592" s="47" t="s">
        <v>8374</v>
      </c>
      <c r="BE592" s="48" t="s">
        <v>2449</v>
      </c>
      <c r="BF592" s="48" t="s">
        <v>272</v>
      </c>
      <c r="BG592" s="48" t="s">
        <v>272</v>
      </c>
      <c r="BH592" s="48" t="s">
        <v>2486</v>
      </c>
      <c r="BI592" s="98">
        <v>6.9209600000000001E-4</v>
      </c>
      <c r="BJ592" s="98">
        <v>6.92096</v>
      </c>
      <c r="BK592" s="48"/>
      <c r="BL592" s="487">
        <v>595.44049255831123</v>
      </c>
      <c r="BM592" s="47" t="s">
        <v>2487</v>
      </c>
      <c r="BN592" s="48"/>
      <c r="BO592" s="48"/>
      <c r="BP592" s="48"/>
      <c r="BQ592" s="48"/>
      <c r="BR592" s="47"/>
      <c r="BS592" s="48"/>
      <c r="BT592" s="48"/>
      <c r="BU592" s="228"/>
      <c r="BV592" s="48"/>
      <c r="BW592" s="48"/>
      <c r="BX592" s="48"/>
      <c r="BY592" s="48"/>
      <c r="BZ592" s="48"/>
      <c r="CA592" s="48"/>
      <c r="CB592" s="48"/>
      <c r="CC592" s="48"/>
      <c r="CD592" s="48"/>
      <c r="CE592" s="48"/>
      <c r="CF592" s="48"/>
      <c r="CG592" s="48"/>
      <c r="CH592" s="48"/>
      <c r="CI592" s="52"/>
      <c r="CJ592" s="98"/>
      <c r="CK592" s="49">
        <f t="shared" si="132"/>
        <v>86.034378548396646</v>
      </c>
      <c r="CL592" s="229"/>
      <c r="CM592" s="229"/>
      <c r="CN592" s="229"/>
      <c r="CO592" s="47" t="s">
        <v>2488</v>
      </c>
      <c r="CP592" s="500" t="s">
        <v>2489</v>
      </c>
      <c r="CQ592" s="224">
        <v>1.8318504626948242</v>
      </c>
      <c r="CR592" s="224">
        <f t="shared" si="139"/>
        <v>1.4728195398497125E-2</v>
      </c>
      <c r="CS592" s="230" t="s">
        <v>539</v>
      </c>
      <c r="CT592" s="230"/>
      <c r="CU592" s="230"/>
      <c r="CV592" s="335">
        <f t="shared" si="133"/>
        <v>6198.5620491954869</v>
      </c>
      <c r="CW592" s="230">
        <f t="shared" si="131"/>
        <v>1</v>
      </c>
      <c r="CX592" s="336"/>
      <c r="CY592" s="230" t="s">
        <v>6351</v>
      </c>
    </row>
    <row r="593" spans="1:103" ht="11.25" customHeight="1" x14ac:dyDescent="0.2">
      <c r="A593" s="72">
        <v>909</v>
      </c>
      <c r="B593" s="224">
        <v>1437</v>
      </c>
      <c r="C593" s="46" t="s">
        <v>7104</v>
      </c>
      <c r="D593" s="46"/>
      <c r="E593" s="114"/>
      <c r="F593" s="114" t="s">
        <v>4419</v>
      </c>
      <c r="G593" s="225">
        <v>100549</v>
      </c>
      <c r="H593" s="47" t="s">
        <v>4420</v>
      </c>
      <c r="I593" s="47"/>
      <c r="J593" s="47" t="s">
        <v>4421</v>
      </c>
      <c r="K593" s="47" t="s">
        <v>426</v>
      </c>
      <c r="L593" s="47"/>
      <c r="M593" s="47"/>
      <c r="N593" s="47"/>
      <c r="O593" s="47"/>
      <c r="P593" s="53"/>
      <c r="Q593" s="53"/>
      <c r="R593" s="53"/>
      <c r="S593" s="53"/>
      <c r="T593" s="48">
        <v>104.11</v>
      </c>
      <c r="U593" s="98">
        <v>135000</v>
      </c>
      <c r="V593" s="98">
        <v>30420</v>
      </c>
      <c r="W593" s="98">
        <v>10901.655313757916</v>
      </c>
      <c r="X593" s="98">
        <v>135000</v>
      </c>
      <c r="Y593" s="233">
        <v>7.43</v>
      </c>
      <c r="Z593" s="48">
        <v>0.35</v>
      </c>
      <c r="AA593" s="48">
        <v>0.36</v>
      </c>
      <c r="AB593" s="48">
        <v>0.53</v>
      </c>
      <c r="AC593" s="48">
        <v>0.93389999999999995</v>
      </c>
      <c r="AD593" s="48">
        <v>0.53</v>
      </c>
      <c r="AE593" s="48">
        <v>0.5</v>
      </c>
      <c r="AF593" s="48">
        <f t="shared" si="134"/>
        <v>0.36</v>
      </c>
      <c r="AG593" s="49">
        <v>0.63</v>
      </c>
      <c r="AH593" s="98">
        <v>6.8099999999999994E-8</v>
      </c>
      <c r="AI593" s="98">
        <v>2.7399999999999999E-7</v>
      </c>
      <c r="AJ593" s="483">
        <f t="shared" si="137"/>
        <v>-5.5554192143998664</v>
      </c>
      <c r="AK593" s="483">
        <f>LOG10(AI593*1000/(0.08206*298.15))</f>
        <v>-4.9508157634922636</v>
      </c>
      <c r="AL593" s="483">
        <f t="shared" si="136"/>
        <v>-4.9508157634922636</v>
      </c>
      <c r="AM593" s="483">
        <v>-6.44543</v>
      </c>
      <c r="AN593" s="226">
        <v>-5.47</v>
      </c>
      <c r="AO593" s="484"/>
      <c r="AP593" s="484">
        <v>1.78</v>
      </c>
      <c r="AQ593" s="48" t="s">
        <v>6311</v>
      </c>
      <c r="AR593" s="48" t="s">
        <v>6311</v>
      </c>
      <c r="AS593" s="227"/>
      <c r="AT593" s="50" t="s">
        <v>266</v>
      </c>
      <c r="AU593" s="48">
        <v>6</v>
      </c>
      <c r="AV593" s="48">
        <v>120</v>
      </c>
      <c r="AW593" s="48">
        <v>114</v>
      </c>
      <c r="AX593" s="48">
        <v>28</v>
      </c>
      <c r="AY593" s="48" t="s">
        <v>8728</v>
      </c>
      <c r="AZ593" s="48" t="s">
        <v>1563</v>
      </c>
      <c r="BA593" s="48">
        <v>32</v>
      </c>
      <c r="BB593" s="47" t="s">
        <v>2485</v>
      </c>
      <c r="BC593" s="47" t="s">
        <v>8726</v>
      </c>
      <c r="BD593" s="47" t="s">
        <v>8374</v>
      </c>
      <c r="BE593" s="48" t="s">
        <v>2449</v>
      </c>
      <c r="BF593" s="48" t="s">
        <v>272</v>
      </c>
      <c r="BG593" s="48" t="s">
        <v>272</v>
      </c>
      <c r="BH593" s="48" t="s">
        <v>2486</v>
      </c>
      <c r="BI593" s="98">
        <v>6.6630399999999994E-4</v>
      </c>
      <c r="BJ593" s="98">
        <v>6.6630400000000005</v>
      </c>
      <c r="BK593" s="48"/>
      <c r="BL593" s="487">
        <v>2593.9251888171393</v>
      </c>
      <c r="BM593" s="47" t="s">
        <v>2487</v>
      </c>
      <c r="BN593" s="48"/>
      <c r="BO593" s="48"/>
      <c r="BP593" s="48"/>
      <c r="BQ593" s="48"/>
      <c r="BR593" s="47" t="e">
        <v>#VALUE!</v>
      </c>
      <c r="BS593" s="48"/>
      <c r="BT593" s="48"/>
      <c r="BU593" s="228"/>
      <c r="BV593" s="48"/>
      <c r="BW593" s="48"/>
      <c r="BX593" s="48"/>
      <c r="BY593" s="48"/>
      <c r="BZ593" s="48"/>
      <c r="CA593" s="48"/>
      <c r="CB593" s="48"/>
      <c r="CC593" s="48"/>
      <c r="CD593" s="48"/>
      <c r="CE593" s="48"/>
      <c r="CF593" s="48"/>
      <c r="CG593" s="48"/>
      <c r="CH593" s="48"/>
      <c r="CI593" s="98"/>
      <c r="CJ593" s="98"/>
      <c r="CK593" s="49">
        <f t="shared" si="132"/>
        <v>389.30055782602824</v>
      </c>
      <c r="CL593" s="229"/>
      <c r="CM593" s="229"/>
      <c r="CN593" s="229"/>
      <c r="CO593" s="47" t="s">
        <v>2488</v>
      </c>
      <c r="CP593" s="500" t="s">
        <v>2489</v>
      </c>
      <c r="CQ593" s="224" t="s">
        <v>272</v>
      </c>
      <c r="CR593" s="224"/>
      <c r="CS593" s="230" t="s">
        <v>539</v>
      </c>
      <c r="CT593" s="230"/>
      <c r="CU593" s="230"/>
      <c r="CV593" s="335">
        <f t="shared" si="133"/>
        <v>20261.021995965802</v>
      </c>
      <c r="CW593" s="230">
        <f t="shared" si="131"/>
        <v>1</v>
      </c>
      <c r="CX593" s="336"/>
      <c r="CY593" s="230" t="s">
        <v>6351</v>
      </c>
    </row>
    <row r="594" spans="1:103" ht="11.25" customHeight="1" x14ac:dyDescent="0.2">
      <c r="A594" s="72">
        <v>910</v>
      </c>
      <c r="B594" s="224">
        <v>1729</v>
      </c>
      <c r="C594" s="46" t="s">
        <v>7105</v>
      </c>
      <c r="D594" s="46" t="s">
        <v>6544</v>
      </c>
      <c r="E594" s="114"/>
      <c r="F594" s="114" t="s">
        <v>1880</v>
      </c>
      <c r="G594" s="225">
        <v>100970</v>
      </c>
      <c r="H594" s="47" t="s">
        <v>1881</v>
      </c>
      <c r="I594" s="47" t="s">
        <v>1881</v>
      </c>
      <c r="J594" s="47" t="s">
        <v>1882</v>
      </c>
      <c r="K594" s="47" t="s">
        <v>1883</v>
      </c>
      <c r="L594" s="51"/>
      <c r="M594" s="47" t="s">
        <v>2342</v>
      </c>
      <c r="N594" s="47" t="s">
        <v>2342</v>
      </c>
      <c r="O594" s="47" t="s">
        <v>498</v>
      </c>
      <c r="P594" s="53" t="s">
        <v>404</v>
      </c>
      <c r="Q594" s="53" t="s">
        <v>6173</v>
      </c>
      <c r="R594" s="53" t="s">
        <v>6183</v>
      </c>
      <c r="S594" s="53" t="s">
        <v>6173</v>
      </c>
      <c r="T594" s="48">
        <v>140.19</v>
      </c>
      <c r="U594" s="98">
        <v>449000</v>
      </c>
      <c r="V594" s="98">
        <v>1000000</v>
      </c>
      <c r="W594" s="98">
        <v>992469.19512812293</v>
      </c>
      <c r="X594" s="98">
        <v>449000</v>
      </c>
      <c r="Y594" s="233">
        <v>10.06</v>
      </c>
      <c r="Z594" s="48">
        <v>-4.1500000000000004</v>
      </c>
      <c r="AA594" s="48"/>
      <c r="AB594" s="48">
        <v>-0.49</v>
      </c>
      <c r="AC594" s="48">
        <v>0.40629999999999999</v>
      </c>
      <c r="AD594" s="48">
        <v>0.99</v>
      </c>
      <c r="AE594" s="48">
        <v>2.17</v>
      </c>
      <c r="AF594" s="48">
        <f t="shared" si="134"/>
        <v>0.99</v>
      </c>
      <c r="AG594" s="49">
        <v>-0.33</v>
      </c>
      <c r="AH594" s="98">
        <v>0.16300000000000001</v>
      </c>
      <c r="AI594" s="98">
        <v>1.6399999999999999E-9</v>
      </c>
      <c r="AJ594" s="483">
        <f t="shared" si="137"/>
        <v>0.82362127809130603</v>
      </c>
      <c r="AK594" s="483">
        <f>LOG10(AI594*1000/(0.08206*298.15))</f>
        <v>-7.1737224782649536</v>
      </c>
      <c r="AL594" s="483">
        <f t="shared" si="136"/>
        <v>-7.1737224782649536</v>
      </c>
      <c r="AM594" s="483">
        <v>-13.43446</v>
      </c>
      <c r="AN594" s="226">
        <v>-6.49</v>
      </c>
      <c r="AO594" s="484"/>
      <c r="AP594" s="484">
        <v>5.28</v>
      </c>
      <c r="AQ594" s="226" t="s">
        <v>6311</v>
      </c>
      <c r="AR594" s="226" t="s">
        <v>6311</v>
      </c>
      <c r="AS594" s="224"/>
      <c r="AT594" s="50" t="s">
        <v>266</v>
      </c>
      <c r="AU594" s="48">
        <v>6</v>
      </c>
      <c r="AV594" s="48">
        <v>120</v>
      </c>
      <c r="AW594" s="48">
        <v>114</v>
      </c>
      <c r="AX594" s="48">
        <v>28</v>
      </c>
      <c r="AY594" s="48" t="s">
        <v>8728</v>
      </c>
      <c r="AZ594" s="48" t="s">
        <v>1563</v>
      </c>
      <c r="BA594" s="48">
        <v>32</v>
      </c>
      <c r="BB594" s="47" t="s">
        <v>2485</v>
      </c>
      <c r="BC594" s="47" t="s">
        <v>8726</v>
      </c>
      <c r="BD594" s="47" t="s">
        <v>8374</v>
      </c>
      <c r="BE594" s="48" t="s">
        <v>2449</v>
      </c>
      <c r="BF594" s="48" t="s">
        <v>272</v>
      </c>
      <c r="BG594" s="48" t="s">
        <v>272</v>
      </c>
      <c r="BH594" s="48" t="s">
        <v>2486</v>
      </c>
      <c r="BI594" s="98">
        <v>8.9721599999999994E-4</v>
      </c>
      <c r="BJ594" s="98">
        <v>8.9721600000000006</v>
      </c>
      <c r="BK594" s="48"/>
      <c r="BL594" s="487">
        <v>38426606.735013537</v>
      </c>
      <c r="BM594" s="47" t="s">
        <v>2487</v>
      </c>
      <c r="BN594" s="48"/>
      <c r="BO594" s="48"/>
      <c r="BP594" s="48"/>
      <c r="BQ594" s="48"/>
      <c r="BR594" s="47" t="e">
        <v>#VALUE!</v>
      </c>
      <c r="BS594" s="48"/>
      <c r="BT594" s="48"/>
      <c r="BU594" s="228"/>
      <c r="BV594" s="48"/>
      <c r="BW594" s="48"/>
      <c r="BX594" s="48"/>
      <c r="BY594" s="48"/>
      <c r="BZ594" s="48"/>
      <c r="CA594" s="48"/>
      <c r="CB594" s="48"/>
      <c r="CC594" s="48"/>
      <c r="CD594" s="48"/>
      <c r="CE594" s="48"/>
      <c r="CF594" s="48"/>
      <c r="CG594" s="48"/>
      <c r="CH594" s="48"/>
      <c r="CI594" s="98"/>
      <c r="CJ594" s="98"/>
      <c r="CK594" s="49">
        <f t="shared" si="132"/>
        <v>4282871.3191710282</v>
      </c>
      <c r="CL594" s="229"/>
      <c r="CM594" s="229"/>
      <c r="CN594" s="229"/>
      <c r="CO594" s="47" t="s">
        <v>2488</v>
      </c>
      <c r="CP594" s="500" t="s">
        <v>2489</v>
      </c>
      <c r="CQ594" s="224">
        <v>4.6687898627375946</v>
      </c>
      <c r="CR594" s="224">
        <f>10^(CJ594-CQ594)</f>
        <v>2.143927708755575E-5</v>
      </c>
      <c r="CS594" s="230" t="s">
        <v>539</v>
      </c>
      <c r="CT594" s="230"/>
      <c r="CU594" s="230"/>
      <c r="CV594" s="335">
        <f t="shared" si="133"/>
        <v>50043.690705471141</v>
      </c>
      <c r="CW594" s="230">
        <f t="shared" si="131"/>
        <v>1</v>
      </c>
      <c r="CX594" s="336"/>
      <c r="CY594" s="230" t="s">
        <v>6351</v>
      </c>
    </row>
    <row r="595" spans="1:103" ht="11.25" customHeight="1" x14ac:dyDescent="0.2">
      <c r="A595" s="72">
        <v>911</v>
      </c>
      <c r="B595" s="224">
        <v>1502</v>
      </c>
      <c r="C595" s="46" t="s">
        <v>936</v>
      </c>
      <c r="D595" s="46"/>
      <c r="E595" s="114"/>
      <c r="F595" s="114" t="s">
        <v>937</v>
      </c>
      <c r="G595" s="225">
        <v>101053</v>
      </c>
      <c r="H595" s="47" t="s">
        <v>938</v>
      </c>
      <c r="I595" s="47" t="s">
        <v>8023</v>
      </c>
      <c r="J595" s="47" t="s">
        <v>939</v>
      </c>
      <c r="K595" s="47" t="s">
        <v>940</v>
      </c>
      <c r="L595" s="47" t="s">
        <v>5929</v>
      </c>
      <c r="M595" s="47" t="s">
        <v>5942</v>
      </c>
      <c r="N595" s="47" t="s">
        <v>6382</v>
      </c>
      <c r="O595" s="51" t="s">
        <v>5943</v>
      </c>
      <c r="P595" s="53"/>
      <c r="Q595" s="53"/>
      <c r="R595" s="53"/>
      <c r="S595" s="53"/>
      <c r="T595" s="48">
        <v>275.52</v>
      </c>
      <c r="U595" s="98">
        <v>8</v>
      </c>
      <c r="V595" s="98">
        <v>8.2569999999999997</v>
      </c>
      <c r="W595" s="98">
        <v>14.13035685173006</v>
      </c>
      <c r="X595" s="98">
        <v>8</v>
      </c>
      <c r="Y595" s="233">
        <v>7</v>
      </c>
      <c r="Z595" s="48">
        <v>3.64</v>
      </c>
      <c r="AA595" s="48">
        <v>3.88</v>
      </c>
      <c r="AB595" s="48">
        <v>3.71</v>
      </c>
      <c r="AC595" s="48">
        <v>0.80279999999999996</v>
      </c>
      <c r="AD595" s="48">
        <v>3.55</v>
      </c>
      <c r="AE595" s="48">
        <v>3.07</v>
      </c>
      <c r="AF595" s="48">
        <f t="shared" si="134"/>
        <v>3.88</v>
      </c>
      <c r="AG595" s="49">
        <v>3.91</v>
      </c>
      <c r="AH595" s="98">
        <v>3.3999999999999997E-7</v>
      </c>
      <c r="AI595" s="98">
        <v>2.8100000000000001E-10</v>
      </c>
      <c r="AJ595" s="483">
        <f t="shared" si="137"/>
        <v>-4.8570874092703971</v>
      </c>
      <c r="AK595" s="483">
        <f>LOG10(AI595*1000/(0.08206*298.15))</f>
        <v>-7.9398600064075717</v>
      </c>
      <c r="AL595" s="483">
        <f t="shared" si="136"/>
        <v>-7.9398600064075717</v>
      </c>
      <c r="AM595" s="483">
        <v>-11.064970000000001</v>
      </c>
      <c r="AN595" s="226">
        <v>-5.27</v>
      </c>
      <c r="AO595" s="484"/>
      <c r="AP595" s="484">
        <v>0.43</v>
      </c>
      <c r="AQ595" s="48" t="s">
        <v>6311</v>
      </c>
      <c r="AR595" s="48" t="s">
        <v>6311</v>
      </c>
      <c r="AS595" s="227"/>
      <c r="AT595" s="50" t="s">
        <v>266</v>
      </c>
      <c r="AU595" s="48">
        <v>6</v>
      </c>
      <c r="AV595" s="48">
        <v>120</v>
      </c>
      <c r="AW595" s="48">
        <v>114</v>
      </c>
      <c r="AX595" s="48">
        <v>28</v>
      </c>
      <c r="AY595" s="48" t="s">
        <v>8728</v>
      </c>
      <c r="AZ595" s="48" t="s">
        <v>1563</v>
      </c>
      <c r="BA595" s="48">
        <v>32</v>
      </c>
      <c r="BB595" s="47" t="s">
        <v>2485</v>
      </c>
      <c r="BC595" s="47" t="s">
        <v>8726</v>
      </c>
      <c r="BD595" s="47" t="s">
        <v>8374</v>
      </c>
      <c r="BE595" s="48" t="s">
        <v>2449</v>
      </c>
      <c r="BF595" s="48" t="s">
        <v>272</v>
      </c>
      <c r="BG595" s="48" t="s">
        <v>272</v>
      </c>
      <c r="BH595" s="48" t="s">
        <v>2486</v>
      </c>
      <c r="BI595" s="98">
        <v>1.7633279999999998E-3</v>
      </c>
      <c r="BJ595" s="98">
        <v>17.633279999999999</v>
      </c>
      <c r="BK595" s="48"/>
      <c r="BL595" s="487">
        <v>7.6184939986124798</v>
      </c>
      <c r="BM595" s="47" t="s">
        <v>2487</v>
      </c>
      <c r="BN595" s="48"/>
      <c r="BO595" s="48"/>
      <c r="BP595" s="48"/>
      <c r="BQ595" s="48"/>
      <c r="BR595" s="47" t="e">
        <v>#VALUE!</v>
      </c>
      <c r="BS595" s="48"/>
      <c r="BT595" s="48"/>
      <c r="BU595" s="228"/>
      <c r="BV595" s="48"/>
      <c r="BW595" s="48"/>
      <c r="BX595" s="48"/>
      <c r="BY595" s="48"/>
      <c r="BZ595" s="48"/>
      <c r="CA595" s="48"/>
      <c r="CB595" s="48"/>
      <c r="CC595" s="48"/>
      <c r="CD595" s="48"/>
      <c r="CE595" s="48"/>
      <c r="CF595" s="48"/>
      <c r="CG595" s="48"/>
      <c r="CH595" s="48"/>
      <c r="CI595" s="98"/>
      <c r="CJ595" s="98"/>
      <c r="CK595" s="49">
        <f t="shared" si="132"/>
        <v>0.4320520061277584</v>
      </c>
      <c r="CL595" s="229"/>
      <c r="CM595" s="229">
        <v>-0.77426029743756952</v>
      </c>
      <c r="CN595" s="229">
        <f>BJ595/(10^CM595)</f>
        <v>104.85602771098455</v>
      </c>
      <c r="CO595" s="47" t="s">
        <v>2488</v>
      </c>
      <c r="CP595" s="500" t="s">
        <v>2489</v>
      </c>
      <c r="CQ595" s="224">
        <v>-0.68112353885174404</v>
      </c>
      <c r="CR595" s="224">
        <f>10^(CJ595-CQ595)</f>
        <v>4.7986993240975639</v>
      </c>
      <c r="CS595" s="230" t="s">
        <v>539</v>
      </c>
      <c r="CT595" s="230"/>
      <c r="CU595" s="230"/>
      <c r="CV595" s="335">
        <f t="shared" si="133"/>
        <v>0.45368757259001163</v>
      </c>
      <c r="CW595" s="230">
        <f t="shared" si="131"/>
        <v>0</v>
      </c>
      <c r="CX595" s="336"/>
      <c r="CY595" s="230" t="s">
        <v>5921</v>
      </c>
    </row>
    <row r="596" spans="1:103" ht="11.25" customHeight="1" x14ac:dyDescent="0.2">
      <c r="A596" s="72">
        <v>913</v>
      </c>
      <c r="B596" s="224">
        <v>1560</v>
      </c>
      <c r="C596" s="46" t="s">
        <v>7106</v>
      </c>
      <c r="D596" s="46"/>
      <c r="E596" s="114"/>
      <c r="F596" s="114" t="s">
        <v>3764</v>
      </c>
      <c r="G596" s="225">
        <v>101100</v>
      </c>
      <c r="H596" s="47" t="s">
        <v>3765</v>
      </c>
      <c r="I596" s="47" t="s">
        <v>8024</v>
      </c>
      <c r="J596" s="47" t="s">
        <v>3766</v>
      </c>
      <c r="K596" s="47" t="s">
        <v>426</v>
      </c>
      <c r="L596" s="47"/>
      <c r="M596" s="47"/>
      <c r="N596" s="47"/>
      <c r="O596" s="47"/>
      <c r="P596" s="53"/>
      <c r="Q596" s="53"/>
      <c r="R596" s="53"/>
      <c r="S596" s="53"/>
      <c r="T596" s="48">
        <v>200.62</v>
      </c>
      <c r="U596" s="98">
        <v>1200</v>
      </c>
      <c r="V596" s="98">
        <v>980.7</v>
      </c>
      <c r="W596" s="98">
        <v>1102.4889011331668</v>
      </c>
      <c r="X596" s="98">
        <v>1200</v>
      </c>
      <c r="Y596" s="233">
        <v>2.77</v>
      </c>
      <c r="Z596" s="48">
        <v>2.39</v>
      </c>
      <c r="AA596" s="48"/>
      <c r="AB596" s="48">
        <v>2.44</v>
      </c>
      <c r="AC596" s="48">
        <v>0.85780000000000001</v>
      </c>
      <c r="AD596" s="48">
        <v>2.46</v>
      </c>
      <c r="AE596" s="48">
        <v>2.52</v>
      </c>
      <c r="AF596" s="48">
        <f t="shared" si="134"/>
        <v>2.46</v>
      </c>
      <c r="AG596" s="49">
        <v>2.21</v>
      </c>
      <c r="AH596" s="98">
        <v>1.6499999999999999E-8</v>
      </c>
      <c r="AI596" s="98"/>
      <c r="AJ596" s="483">
        <f t="shared" si="137"/>
        <v>-6.1710823820987457</v>
      </c>
      <c r="AK596" s="483"/>
      <c r="AL596" s="483">
        <f t="shared" si="136"/>
        <v>-6.1710823820987457</v>
      </c>
      <c r="AM596" s="483">
        <v>-9.6279699999999995</v>
      </c>
      <c r="AN596" s="226">
        <v>-8.07</v>
      </c>
      <c r="AO596" s="484">
        <v>3.13</v>
      </c>
      <c r="AP596" s="484"/>
      <c r="AQ596" s="48" t="s">
        <v>6311</v>
      </c>
      <c r="AR596" s="48" t="s">
        <v>6311</v>
      </c>
      <c r="AS596" s="227"/>
      <c r="AT596" s="50" t="s">
        <v>266</v>
      </c>
      <c r="AU596" s="48">
        <v>6</v>
      </c>
      <c r="AV596" s="48">
        <v>120</v>
      </c>
      <c r="AW596" s="48">
        <v>114</v>
      </c>
      <c r="AX596" s="48">
        <v>28</v>
      </c>
      <c r="AY596" s="48" t="s">
        <v>8728</v>
      </c>
      <c r="AZ596" s="48" t="s">
        <v>1563</v>
      </c>
      <c r="BA596" s="48">
        <v>32</v>
      </c>
      <c r="BB596" s="47" t="s">
        <v>2485</v>
      </c>
      <c r="BC596" s="47" t="s">
        <v>8726</v>
      </c>
      <c r="BD596" s="47" t="s">
        <v>8374</v>
      </c>
      <c r="BE596" s="48" t="s">
        <v>2449</v>
      </c>
      <c r="BF596" s="48" t="s">
        <v>272</v>
      </c>
      <c r="BG596" s="48" t="s">
        <v>272</v>
      </c>
      <c r="BH596" s="48" t="s">
        <v>2486</v>
      </c>
      <c r="BI596" s="98">
        <v>1.2839679999999999E-3</v>
      </c>
      <c r="BJ596" s="98">
        <v>12.839680000000001</v>
      </c>
      <c r="BK596" s="48"/>
      <c r="BL596" s="487">
        <v>73.57245128159181</v>
      </c>
      <c r="BM596" s="47" t="s">
        <v>2487</v>
      </c>
      <c r="BN596" s="48"/>
      <c r="BO596" s="48"/>
      <c r="BP596" s="48"/>
      <c r="BQ596" s="48"/>
      <c r="BR596" s="47" t="e">
        <v>#VALUE!</v>
      </c>
      <c r="BS596" s="48"/>
      <c r="BT596" s="48"/>
      <c r="BU596" s="228"/>
      <c r="BV596" s="48"/>
      <c r="BW596" s="48"/>
      <c r="BX596" s="48"/>
      <c r="BY596" s="48"/>
      <c r="BZ596" s="48"/>
      <c r="CA596" s="48"/>
      <c r="CB596" s="48"/>
      <c r="CC596" s="48"/>
      <c r="CD596" s="48"/>
      <c r="CE596" s="48"/>
      <c r="CF596" s="48"/>
      <c r="CG596" s="48"/>
      <c r="CH596" s="48"/>
      <c r="CI596" s="98"/>
      <c r="CJ596" s="98"/>
      <c r="CK596" s="49">
        <f t="shared" si="132"/>
        <v>5.7300844944415905</v>
      </c>
      <c r="CL596" s="229"/>
      <c r="CM596" s="229"/>
      <c r="CN596" s="229"/>
      <c r="CO596" s="47" t="s">
        <v>2488</v>
      </c>
      <c r="CP596" s="500" t="s">
        <v>2489</v>
      </c>
      <c r="CQ596" s="224" t="s">
        <v>272</v>
      </c>
      <c r="CR596" s="224"/>
      <c r="CS596" s="230" t="s">
        <v>539</v>
      </c>
      <c r="CT596" s="230"/>
      <c r="CU596" s="230"/>
      <c r="CV596" s="335">
        <f t="shared" si="133"/>
        <v>93.460273153224989</v>
      </c>
      <c r="CW596" s="230">
        <f t="shared" si="131"/>
        <v>1</v>
      </c>
      <c r="CX596" s="336"/>
      <c r="CY596" s="230" t="s">
        <v>5921</v>
      </c>
    </row>
    <row r="597" spans="1:103" ht="11.25" customHeight="1" x14ac:dyDescent="0.2">
      <c r="A597" s="72">
        <v>915</v>
      </c>
      <c r="B597" s="224">
        <v>1062</v>
      </c>
      <c r="C597" s="46" t="s">
        <v>7107</v>
      </c>
      <c r="D597" s="46" t="s">
        <v>8576</v>
      </c>
      <c r="E597" s="114"/>
      <c r="F597" s="114" t="s">
        <v>2993</v>
      </c>
      <c r="G597" s="225">
        <v>101213</v>
      </c>
      <c r="H597" s="47" t="s">
        <v>2994</v>
      </c>
      <c r="I597" s="47" t="s">
        <v>8025</v>
      </c>
      <c r="J597" s="47" t="s">
        <v>2995</v>
      </c>
      <c r="K597" s="47" t="s">
        <v>1180</v>
      </c>
      <c r="L597" s="47" t="s">
        <v>6030</v>
      </c>
      <c r="M597" s="47" t="s">
        <v>6082</v>
      </c>
      <c r="N597" s="47" t="s">
        <v>6082</v>
      </c>
      <c r="O597" s="47" t="s">
        <v>6083</v>
      </c>
      <c r="P597" s="53"/>
      <c r="Q597" s="53"/>
      <c r="R597" s="53"/>
      <c r="S597" s="53"/>
      <c r="T597" s="48">
        <v>213.66</v>
      </c>
      <c r="U597" s="98">
        <v>89</v>
      </c>
      <c r="V597" s="98">
        <v>37.39</v>
      </c>
      <c r="W597" s="98">
        <v>112.13036195696635</v>
      </c>
      <c r="X597" s="98">
        <v>89</v>
      </c>
      <c r="Y597" s="233">
        <v>7</v>
      </c>
      <c r="Z597" s="48">
        <v>3.3</v>
      </c>
      <c r="AA597" s="48">
        <v>3.51</v>
      </c>
      <c r="AB597" s="48">
        <v>3.28</v>
      </c>
      <c r="AC597" s="48">
        <v>0.89549999999999996</v>
      </c>
      <c r="AD597" s="48">
        <v>3.32</v>
      </c>
      <c r="AE597" s="48">
        <v>3.49</v>
      </c>
      <c r="AF597" s="48">
        <f t="shared" si="134"/>
        <v>3.51</v>
      </c>
      <c r="AG597" s="49">
        <v>2.82</v>
      </c>
      <c r="AH597" s="98">
        <v>2.85E-8</v>
      </c>
      <c r="AI597" s="98">
        <v>5.6899999999999997E-7</v>
      </c>
      <c r="AJ597" s="483">
        <f t="shared" si="137"/>
        <v>-5.9337214663041413</v>
      </c>
      <c r="AK597" s="483">
        <f>LOG10(AI597*1000/(0.08206*298.15))</f>
        <v>-4.6334540599175806</v>
      </c>
      <c r="AL597" s="483">
        <f t="shared" si="136"/>
        <v>-4.6334540599175806</v>
      </c>
      <c r="AM597" s="483">
        <v>-9.3203499999999995</v>
      </c>
      <c r="AN597" s="226">
        <v>-4.5999999999999996</v>
      </c>
      <c r="AO597" s="484">
        <v>13.06</v>
      </c>
      <c r="AP597" s="484">
        <v>-0.56999999999999995</v>
      </c>
      <c r="AQ597" s="48" t="s">
        <v>6311</v>
      </c>
      <c r="AR597" s="48" t="s">
        <v>6312</v>
      </c>
      <c r="AS597" s="227"/>
      <c r="AT597" s="50" t="s">
        <v>266</v>
      </c>
      <c r="AU597" s="48">
        <v>6</v>
      </c>
      <c r="AV597" s="48">
        <v>120</v>
      </c>
      <c r="AW597" s="48">
        <v>114</v>
      </c>
      <c r="AX597" s="48">
        <v>28</v>
      </c>
      <c r="AY597" s="48" t="s">
        <v>8728</v>
      </c>
      <c r="AZ597" s="48" t="s">
        <v>1563</v>
      </c>
      <c r="BA597" s="48">
        <v>32</v>
      </c>
      <c r="BB597" s="47" t="s">
        <v>2485</v>
      </c>
      <c r="BC597" s="47" t="s">
        <v>8726</v>
      </c>
      <c r="BD597" s="47" t="s">
        <v>8374</v>
      </c>
      <c r="BE597" s="48" t="s">
        <v>2449</v>
      </c>
      <c r="BF597" s="48" t="s">
        <v>272</v>
      </c>
      <c r="BG597" s="48" t="s">
        <v>272</v>
      </c>
      <c r="BH597" s="48" t="s">
        <v>2486</v>
      </c>
      <c r="BI597" s="98">
        <v>1.3674239999999999E-3</v>
      </c>
      <c r="BJ597" s="98">
        <v>13.674239999999999</v>
      </c>
      <c r="BK597" s="48"/>
      <c r="BL597" s="487">
        <v>11.934197591117313</v>
      </c>
      <c r="BM597" s="47" t="s">
        <v>2487</v>
      </c>
      <c r="BN597" s="48"/>
      <c r="BO597" s="48"/>
      <c r="BP597" s="48"/>
      <c r="BQ597" s="48"/>
      <c r="BR597" s="47" t="e">
        <v>#VALUE!</v>
      </c>
      <c r="BS597" s="48"/>
      <c r="BT597" s="48"/>
      <c r="BU597" s="228">
        <v>1.3674239999999999E-2</v>
      </c>
      <c r="BV597" s="48"/>
      <c r="BW597" s="48"/>
      <c r="BX597" s="48"/>
      <c r="BY597" s="48"/>
      <c r="BZ597" s="48"/>
      <c r="CA597" s="48"/>
      <c r="CB597" s="48"/>
      <c r="CC597" s="48"/>
      <c r="CD597" s="48"/>
      <c r="CE597" s="48"/>
      <c r="CF597" s="48"/>
      <c r="CG597" s="48"/>
      <c r="CH597" s="48"/>
      <c r="CI597" s="98"/>
      <c r="CJ597" s="98"/>
      <c r="CK597" s="49">
        <f t="shared" si="132"/>
        <v>0.87275033867456719</v>
      </c>
      <c r="CL597" s="229"/>
      <c r="CM597" s="229"/>
      <c r="CN597" s="229"/>
      <c r="CO597" s="47" t="s">
        <v>2488</v>
      </c>
      <c r="CP597" s="500" t="s">
        <v>2489</v>
      </c>
      <c r="CQ597" s="224">
        <v>0.71693281519736507</v>
      </c>
      <c r="CR597" s="224">
        <f>10^(CJ597-CQ597)</f>
        <v>0.19189655792378943</v>
      </c>
      <c r="CS597" s="230" t="s">
        <v>539</v>
      </c>
      <c r="CT597" s="230"/>
      <c r="CU597" s="230"/>
      <c r="CV597" s="335">
        <f t="shared" si="133"/>
        <v>6.5085884114948991</v>
      </c>
      <c r="CW597" s="230">
        <f t="shared" si="131"/>
        <v>1</v>
      </c>
      <c r="CX597" s="336"/>
      <c r="CY597" s="230" t="s">
        <v>5921</v>
      </c>
    </row>
    <row r="598" spans="1:103" ht="11.25" customHeight="1" x14ac:dyDescent="0.2">
      <c r="A598" s="72">
        <v>916</v>
      </c>
      <c r="B598" s="224">
        <v>1228</v>
      </c>
      <c r="C598" s="46" t="s">
        <v>7108</v>
      </c>
      <c r="D598" s="46" t="s">
        <v>8704</v>
      </c>
      <c r="E598" s="114"/>
      <c r="F598" s="114" t="s">
        <v>3388</v>
      </c>
      <c r="G598" s="225">
        <v>101553</v>
      </c>
      <c r="H598" s="47" t="s">
        <v>3389</v>
      </c>
      <c r="I598" s="47" t="s">
        <v>3389</v>
      </c>
      <c r="J598" s="47" t="s">
        <v>3390</v>
      </c>
      <c r="K598" s="47" t="s">
        <v>426</v>
      </c>
      <c r="L598" s="47" t="s">
        <v>6025</v>
      </c>
      <c r="M598" s="47" t="s">
        <v>6616</v>
      </c>
      <c r="N598" s="47" t="s">
        <v>6082</v>
      </c>
      <c r="O598" s="47" t="s">
        <v>498</v>
      </c>
      <c r="P598" s="53" t="s">
        <v>404</v>
      </c>
      <c r="Q598" s="53" t="s">
        <v>6173</v>
      </c>
      <c r="R598" s="53" t="s">
        <v>6185</v>
      </c>
      <c r="S598" s="53" t="s">
        <v>6176</v>
      </c>
      <c r="T598" s="48">
        <v>249.1</v>
      </c>
      <c r="U598" s="98"/>
      <c r="V598" s="98">
        <v>1.448</v>
      </c>
      <c r="W598" s="98">
        <v>9.2549425568105637</v>
      </c>
      <c r="X598" s="98">
        <v>9.2549425568105637</v>
      </c>
      <c r="Y598" s="233">
        <v>7</v>
      </c>
      <c r="Z598" s="48">
        <v>4.9400000000000004</v>
      </c>
      <c r="AA598" s="48"/>
      <c r="AB598" s="48">
        <v>4.67</v>
      </c>
      <c r="AC598" s="48">
        <v>0.82879999999999998</v>
      </c>
      <c r="AD598" s="48">
        <v>4.78</v>
      </c>
      <c r="AE598" s="48">
        <v>5.1100000000000003</v>
      </c>
      <c r="AF598" s="48">
        <f t="shared" si="134"/>
        <v>4.78</v>
      </c>
      <c r="AG598" s="49">
        <v>3.97</v>
      </c>
      <c r="AH598" s="98">
        <v>4.6900000000000002E-5</v>
      </c>
      <c r="AI598" s="98"/>
      <c r="AJ598" s="483">
        <f t="shared" si="137"/>
        <v>-2.7173934835975686</v>
      </c>
      <c r="AK598" s="483"/>
      <c r="AL598" s="483">
        <f t="shared" si="136"/>
        <v>-2.7173934835975686</v>
      </c>
      <c r="AM598" s="483">
        <v>-7.4767200000000003</v>
      </c>
      <c r="AN598" s="226">
        <v>-2.4700000000000002</v>
      </c>
      <c r="AO598" s="484"/>
      <c r="AP598" s="484"/>
      <c r="AQ598" s="48" t="s">
        <v>6311</v>
      </c>
      <c r="AR598" s="48" t="s">
        <v>6311</v>
      </c>
      <c r="AS598" s="227"/>
      <c r="AT598" s="50" t="s">
        <v>266</v>
      </c>
      <c r="AU598" s="48">
        <v>6</v>
      </c>
      <c r="AV598" s="48">
        <v>120</v>
      </c>
      <c r="AW598" s="48">
        <v>114</v>
      </c>
      <c r="AX598" s="48">
        <v>28</v>
      </c>
      <c r="AY598" s="48" t="s">
        <v>8728</v>
      </c>
      <c r="AZ598" s="48" t="s">
        <v>1563</v>
      </c>
      <c r="BA598" s="48">
        <v>32</v>
      </c>
      <c r="BB598" s="47" t="s">
        <v>2485</v>
      </c>
      <c r="BC598" s="47" t="s">
        <v>8726</v>
      </c>
      <c r="BD598" s="47" t="s">
        <v>8374</v>
      </c>
      <c r="BE598" s="48" t="s">
        <v>2449</v>
      </c>
      <c r="BF598" s="48" t="s">
        <v>272</v>
      </c>
      <c r="BG598" s="48" t="s">
        <v>272</v>
      </c>
      <c r="BH598" s="48" t="s">
        <v>2486</v>
      </c>
      <c r="BI598" s="98">
        <v>1.5942399999999998E-3</v>
      </c>
      <c r="BJ598" s="98">
        <v>15.942399999999999</v>
      </c>
      <c r="BK598" s="48"/>
      <c r="BL598" s="487">
        <v>0.46833835645822636</v>
      </c>
      <c r="BM598" s="47" t="s">
        <v>2487</v>
      </c>
      <c r="BN598" s="48"/>
      <c r="BO598" s="48"/>
      <c r="BP598" s="48"/>
      <c r="BQ598" s="48"/>
      <c r="BR598" s="47" t="e">
        <v>#VALUE!</v>
      </c>
      <c r="BS598" s="48"/>
      <c r="BT598" s="48"/>
      <c r="BU598" s="228">
        <v>1.5942399999999999E-2</v>
      </c>
      <c r="BV598" s="48"/>
      <c r="BW598" s="48"/>
      <c r="BX598" s="48"/>
      <c r="BY598" s="48"/>
      <c r="BZ598" s="48"/>
      <c r="CA598" s="48"/>
      <c r="CB598" s="48"/>
      <c r="CC598" s="48"/>
      <c r="CD598" s="48"/>
      <c r="CE598" s="48"/>
      <c r="CF598" s="48"/>
      <c r="CG598" s="48"/>
      <c r="CH598" s="48"/>
      <c r="CI598" s="98"/>
      <c r="CJ598" s="98"/>
      <c r="CK598" s="49">
        <f t="shared" si="132"/>
        <v>2.9376904133519819E-2</v>
      </c>
      <c r="CL598" s="229"/>
      <c r="CM598" s="229"/>
      <c r="CN598" s="229"/>
      <c r="CO598" s="47" t="s">
        <v>2488</v>
      </c>
      <c r="CP598" s="500" t="s">
        <v>2489</v>
      </c>
      <c r="CQ598" s="224">
        <v>0.26114522470773938</v>
      </c>
      <c r="CR598" s="224">
        <f>10^(CJ598-CQ598)</f>
        <v>0.54809365600472781</v>
      </c>
      <c r="CS598" s="230" t="s">
        <v>539</v>
      </c>
      <c r="CT598" s="230"/>
      <c r="CU598" s="230"/>
      <c r="CV598" s="335">
        <f t="shared" si="133"/>
        <v>0.58052379546433186</v>
      </c>
      <c r="CW598" s="230">
        <f t="shared" si="131"/>
        <v>0</v>
      </c>
      <c r="CX598" s="336"/>
      <c r="CY598" s="230" t="s">
        <v>5921</v>
      </c>
    </row>
    <row r="599" spans="1:103" ht="11.25" customHeight="1" x14ac:dyDescent="0.2">
      <c r="A599" s="72">
        <v>917</v>
      </c>
      <c r="B599" s="224">
        <v>1470</v>
      </c>
      <c r="C599" s="46" t="s">
        <v>7109</v>
      </c>
      <c r="D599" s="46"/>
      <c r="E599" s="114"/>
      <c r="F599" s="114" t="s">
        <v>4515</v>
      </c>
      <c r="G599" s="225">
        <v>101611</v>
      </c>
      <c r="H599" s="47" t="s">
        <v>4516</v>
      </c>
      <c r="I599" s="47" t="s">
        <v>4516</v>
      </c>
      <c r="J599" s="47" t="s">
        <v>4517</v>
      </c>
      <c r="K599" s="47" t="s">
        <v>426</v>
      </c>
      <c r="L599" s="47"/>
      <c r="M599" s="47"/>
      <c r="N599" s="47"/>
      <c r="O599" s="47"/>
      <c r="P599" s="53"/>
      <c r="Q599" s="53" t="s">
        <v>6173</v>
      </c>
      <c r="R599" s="53" t="s">
        <v>6185</v>
      </c>
      <c r="S599" s="53" t="s">
        <v>6182</v>
      </c>
      <c r="T599" s="48">
        <v>254.37</v>
      </c>
      <c r="U599" s="98"/>
      <c r="V599" s="98">
        <v>4.1399999999999997</v>
      </c>
      <c r="W599" s="98">
        <v>6.2440430688279989</v>
      </c>
      <c r="X599" s="98">
        <v>6.2440430688279989</v>
      </c>
      <c r="Y599" s="233">
        <v>7.5</v>
      </c>
      <c r="Z599" s="48">
        <v>4.37</v>
      </c>
      <c r="AA599" s="48"/>
      <c r="AB599" s="48">
        <v>4.12</v>
      </c>
      <c r="AC599" s="48">
        <v>0.79949999999999999</v>
      </c>
      <c r="AD599" s="48">
        <v>4.21</v>
      </c>
      <c r="AE599" s="48">
        <v>4.43</v>
      </c>
      <c r="AF599" s="48">
        <f t="shared" si="134"/>
        <v>4.21</v>
      </c>
      <c r="AG599" s="49">
        <v>4.33</v>
      </c>
      <c r="AH599" s="98">
        <v>1.2100000000000001E-7</v>
      </c>
      <c r="AI599" s="98"/>
      <c r="AJ599" s="483">
        <f t="shared" si="137"/>
        <v>-5.3057809559962017</v>
      </c>
      <c r="AK599" s="483"/>
      <c r="AL599" s="483">
        <f t="shared" si="136"/>
        <v>-5.3057809559962017</v>
      </c>
      <c r="AM599" s="483">
        <v>-10.74503</v>
      </c>
      <c r="AN599" s="226">
        <v>-6.47</v>
      </c>
      <c r="AO599" s="484"/>
      <c r="AP599" s="484">
        <v>5.57</v>
      </c>
      <c r="AQ599" s="48" t="s">
        <v>6311</v>
      </c>
      <c r="AR599" s="48" t="s">
        <v>6311</v>
      </c>
      <c r="AS599" s="227"/>
      <c r="AT599" s="50" t="s">
        <v>266</v>
      </c>
      <c r="AU599" s="48">
        <v>6</v>
      </c>
      <c r="AV599" s="48">
        <v>120</v>
      </c>
      <c r="AW599" s="48">
        <v>114</v>
      </c>
      <c r="AX599" s="48">
        <v>28</v>
      </c>
      <c r="AY599" s="48" t="s">
        <v>8728</v>
      </c>
      <c r="AZ599" s="48" t="s">
        <v>1563</v>
      </c>
      <c r="BA599" s="48">
        <v>32</v>
      </c>
      <c r="BB599" s="47" t="s">
        <v>2485</v>
      </c>
      <c r="BC599" s="47" t="s">
        <v>8726</v>
      </c>
      <c r="BD599" s="47" t="s">
        <v>8374</v>
      </c>
      <c r="BE599" s="48" t="s">
        <v>2449</v>
      </c>
      <c r="BF599" s="48" t="s">
        <v>272</v>
      </c>
      <c r="BG599" s="48" t="s">
        <v>272</v>
      </c>
      <c r="BH599" s="48" t="s">
        <v>2486</v>
      </c>
      <c r="BI599" s="98">
        <v>1.627968E-3</v>
      </c>
      <c r="BJ599" s="98">
        <v>16.279679999999999</v>
      </c>
      <c r="BK599" s="48"/>
      <c r="BL599" s="487">
        <v>1.5544218414610429</v>
      </c>
      <c r="BM599" s="47" t="s">
        <v>2487</v>
      </c>
      <c r="BN599" s="48"/>
      <c r="BO599" s="48"/>
      <c r="BP599" s="48"/>
      <c r="BQ599" s="48"/>
      <c r="BR599" s="47" t="e">
        <v>#VALUE!</v>
      </c>
      <c r="BS599" s="48"/>
      <c r="BT599" s="48"/>
      <c r="BU599" s="228"/>
      <c r="BV599" s="48"/>
      <c r="BW599" s="48"/>
      <c r="BX599" s="48"/>
      <c r="BY599" s="48"/>
      <c r="BZ599" s="48"/>
      <c r="CA599" s="48"/>
      <c r="CB599" s="48"/>
      <c r="CC599" s="48"/>
      <c r="CD599" s="48"/>
      <c r="CE599" s="48"/>
      <c r="CF599" s="48"/>
      <c r="CG599" s="48"/>
      <c r="CH599" s="48"/>
      <c r="CI599" s="98"/>
      <c r="CJ599" s="98"/>
      <c r="CK599" s="49">
        <f t="shared" si="132"/>
        <v>9.5482333894833502E-2</v>
      </c>
      <c r="CL599" s="229"/>
      <c r="CM599" s="229"/>
      <c r="CN599" s="229"/>
      <c r="CO599" s="47" t="s">
        <v>2488</v>
      </c>
      <c r="CP599" s="500" t="s">
        <v>2489</v>
      </c>
      <c r="CQ599" s="224" t="s">
        <v>272</v>
      </c>
      <c r="CR599" s="224"/>
      <c r="CS599" s="230" t="s">
        <v>539</v>
      </c>
      <c r="CT599" s="230"/>
      <c r="CU599" s="230"/>
      <c r="CV599" s="335">
        <f t="shared" si="133"/>
        <v>0.38354826807578524</v>
      </c>
      <c r="CW599" s="230">
        <f t="shared" si="131"/>
        <v>0</v>
      </c>
      <c r="CX599" s="336"/>
      <c r="CY599" s="230" t="s">
        <v>5921</v>
      </c>
    </row>
    <row r="600" spans="1:103" ht="11.25" customHeight="1" x14ac:dyDescent="0.2">
      <c r="A600" s="72">
        <v>918</v>
      </c>
      <c r="B600" s="224">
        <v>985</v>
      </c>
      <c r="C600" s="46" t="s">
        <v>7110</v>
      </c>
      <c r="D600" s="46"/>
      <c r="E600" s="114"/>
      <c r="F600" s="114" t="s">
        <v>2809</v>
      </c>
      <c r="G600" s="225">
        <v>101779</v>
      </c>
      <c r="H600" s="47" t="s">
        <v>2810</v>
      </c>
      <c r="I600" s="47" t="s">
        <v>2810</v>
      </c>
      <c r="J600" s="47" t="s">
        <v>2811</v>
      </c>
      <c r="K600" s="47" t="s">
        <v>1573</v>
      </c>
      <c r="L600" s="47"/>
      <c r="M600" s="47"/>
      <c r="N600" s="47"/>
      <c r="O600" s="47"/>
      <c r="P600" s="53"/>
      <c r="Q600" s="53" t="s">
        <v>6173</v>
      </c>
      <c r="R600" s="53" t="s">
        <v>6185</v>
      </c>
      <c r="S600" s="53" t="s">
        <v>6182</v>
      </c>
      <c r="T600" s="48">
        <v>198.26</v>
      </c>
      <c r="U600" s="98">
        <v>1000.0000000000001</v>
      </c>
      <c r="V600" s="98">
        <v>1959</v>
      </c>
      <c r="W600" s="98">
        <v>571.7880858098805</v>
      </c>
      <c r="X600" s="98">
        <v>1000.0000000000001</v>
      </c>
      <c r="Y600" s="233">
        <v>8.39</v>
      </c>
      <c r="Z600" s="48">
        <v>2.1800000000000002</v>
      </c>
      <c r="AA600" s="48">
        <v>1.59</v>
      </c>
      <c r="AB600" s="48">
        <v>1.69</v>
      </c>
      <c r="AC600" s="48">
        <v>0.88490000000000002</v>
      </c>
      <c r="AD600" s="48">
        <v>1.68</v>
      </c>
      <c r="AE600" s="48">
        <v>1.64</v>
      </c>
      <c r="AF600" s="48">
        <f t="shared" si="134"/>
        <v>1.59</v>
      </c>
      <c r="AG600" s="49">
        <v>2.29</v>
      </c>
      <c r="AH600" s="98">
        <v>5.9899999999999995E-11</v>
      </c>
      <c r="AI600" s="98"/>
      <c r="AJ600" s="483">
        <f t="shared" si="137"/>
        <v>-8.61113950392334</v>
      </c>
      <c r="AK600" s="483"/>
      <c r="AL600" s="483">
        <f t="shared" si="136"/>
        <v>-8.61113950392334</v>
      </c>
      <c r="AM600" s="483">
        <v>-13.041600000000001</v>
      </c>
      <c r="AN600" s="226">
        <v>-9.0299999999999994</v>
      </c>
      <c r="AO600" s="484"/>
      <c r="AP600" s="484">
        <v>5.32</v>
      </c>
      <c r="AQ600" s="48" t="s">
        <v>6311</v>
      </c>
      <c r="AR600" s="48" t="s">
        <v>6311</v>
      </c>
      <c r="AS600" s="227"/>
      <c r="AT600" s="50" t="s">
        <v>266</v>
      </c>
      <c r="AU600" s="48">
        <v>6</v>
      </c>
      <c r="AV600" s="48">
        <v>120</v>
      </c>
      <c r="AW600" s="48">
        <v>114</v>
      </c>
      <c r="AX600" s="48">
        <v>28</v>
      </c>
      <c r="AY600" s="48" t="s">
        <v>8728</v>
      </c>
      <c r="AZ600" s="48" t="s">
        <v>1563</v>
      </c>
      <c r="BA600" s="48">
        <v>32</v>
      </c>
      <c r="BB600" s="47" t="s">
        <v>2485</v>
      </c>
      <c r="BC600" s="47" t="s">
        <v>8726</v>
      </c>
      <c r="BD600" s="47" t="s">
        <v>8374</v>
      </c>
      <c r="BE600" s="48" t="s">
        <v>2449</v>
      </c>
      <c r="BF600" s="48" t="s">
        <v>272</v>
      </c>
      <c r="BG600" s="48" t="s">
        <v>272</v>
      </c>
      <c r="BH600" s="48" t="s">
        <v>2486</v>
      </c>
      <c r="BI600" s="98">
        <v>1.268864E-3</v>
      </c>
      <c r="BJ600" s="98">
        <v>12.688639999999999</v>
      </c>
      <c r="BK600" s="48"/>
      <c r="BL600" s="487">
        <v>112.24760978264405</v>
      </c>
      <c r="BM600" s="47" t="s">
        <v>2487</v>
      </c>
      <c r="BN600" s="48"/>
      <c r="BO600" s="48"/>
      <c r="BP600" s="48"/>
      <c r="BQ600" s="48"/>
      <c r="BR600" s="47" t="e">
        <v>#VALUE!</v>
      </c>
      <c r="BS600" s="48"/>
      <c r="BT600" s="48"/>
      <c r="BU600" s="228">
        <v>1.268864E-3</v>
      </c>
      <c r="BV600" s="48"/>
      <c r="BW600" s="48"/>
      <c r="BX600" s="48"/>
      <c r="BY600" s="48"/>
      <c r="BZ600" s="48"/>
      <c r="CA600" s="48"/>
      <c r="CB600" s="48"/>
      <c r="CC600" s="48"/>
      <c r="CD600" s="48"/>
      <c r="CE600" s="48"/>
      <c r="CF600" s="48"/>
      <c r="CG600" s="48"/>
      <c r="CH600" s="48"/>
      <c r="CI600" s="98"/>
      <c r="CJ600" s="98"/>
      <c r="CK600" s="49">
        <f t="shared" si="132"/>
        <v>8.8463073885494463</v>
      </c>
      <c r="CL600" s="229"/>
      <c r="CM600" s="229"/>
      <c r="CN600" s="229"/>
      <c r="CO600" s="47" t="s">
        <v>2488</v>
      </c>
      <c r="CP600" s="500" t="s">
        <v>2489</v>
      </c>
      <c r="CQ600" s="224" t="s">
        <v>272</v>
      </c>
      <c r="CR600" s="224"/>
      <c r="CS600" s="230" t="s">
        <v>539</v>
      </c>
      <c r="CT600" s="230"/>
      <c r="CU600" s="230"/>
      <c r="CV600" s="335">
        <f t="shared" si="133"/>
        <v>78.810652678301238</v>
      </c>
      <c r="CW600" s="230">
        <f t="shared" si="131"/>
        <v>1</v>
      </c>
      <c r="CX600" s="336"/>
      <c r="CY600" s="230" t="s">
        <v>6351</v>
      </c>
    </row>
    <row r="601" spans="1:103" ht="11.25" customHeight="1" x14ac:dyDescent="0.2">
      <c r="A601" s="72">
        <v>919</v>
      </c>
      <c r="B601" s="224">
        <v>1471</v>
      </c>
      <c r="C601" s="46" t="s">
        <v>7111</v>
      </c>
      <c r="D601" s="46"/>
      <c r="E601" s="114"/>
      <c r="F601" s="114" t="s">
        <v>4518</v>
      </c>
      <c r="G601" s="225">
        <v>101804</v>
      </c>
      <c r="H601" s="47" t="s">
        <v>4519</v>
      </c>
      <c r="I601" s="47" t="s">
        <v>4519</v>
      </c>
      <c r="J601" s="47" t="s">
        <v>4520</v>
      </c>
      <c r="K601" s="47" t="s">
        <v>1573</v>
      </c>
      <c r="L601" s="47"/>
      <c r="M601" s="47"/>
      <c r="N601" s="47"/>
      <c r="O601" s="47"/>
      <c r="P601" s="53"/>
      <c r="Q601" s="53" t="s">
        <v>6182</v>
      </c>
      <c r="R601" s="53" t="s">
        <v>6185</v>
      </c>
      <c r="S601" s="53" t="s">
        <v>6182</v>
      </c>
      <c r="T601" s="48">
        <v>200.24</v>
      </c>
      <c r="U601" s="98"/>
      <c r="V601" s="98">
        <v>3009</v>
      </c>
      <c r="W601" s="98">
        <v>408.83760604062655</v>
      </c>
      <c r="X601" s="98">
        <v>408.83760604062655</v>
      </c>
      <c r="Y601" s="233">
        <v>8.4</v>
      </c>
      <c r="Z601" s="48">
        <v>2.2200000000000002</v>
      </c>
      <c r="AA601" s="48">
        <v>1.36</v>
      </c>
      <c r="AB601" s="48">
        <v>1.37</v>
      </c>
      <c r="AC601" s="48">
        <v>0.84699999999999998</v>
      </c>
      <c r="AD601" s="48">
        <v>1.1399999999999999</v>
      </c>
      <c r="AE601" s="48">
        <v>0.51</v>
      </c>
      <c r="AF601" s="48">
        <f t="shared" si="134"/>
        <v>1.36</v>
      </c>
      <c r="AG601" s="49">
        <v>1.78</v>
      </c>
      <c r="AH601" s="98">
        <v>1.4700000000000002E-11</v>
      </c>
      <c r="AI601" s="98"/>
      <c r="AJ601" s="483">
        <f t="shared" si="137"/>
        <v>-9.221248991564476</v>
      </c>
      <c r="AK601" s="483"/>
      <c r="AL601" s="483">
        <f t="shared" si="136"/>
        <v>-9.221248991564476</v>
      </c>
      <c r="AM601" s="483">
        <v>-14.486319999999999</v>
      </c>
      <c r="AN601" s="226">
        <v>-8.8800000000000008</v>
      </c>
      <c r="AO601" s="484"/>
      <c r="AP601" s="484">
        <v>5.49</v>
      </c>
      <c r="AQ601" s="48" t="s">
        <v>6311</v>
      </c>
      <c r="AR601" s="48" t="s">
        <v>6311</v>
      </c>
      <c r="AS601" s="227"/>
      <c r="AT601" s="50" t="s">
        <v>266</v>
      </c>
      <c r="AU601" s="48">
        <v>6</v>
      </c>
      <c r="AV601" s="48">
        <v>120</v>
      </c>
      <c r="AW601" s="48">
        <v>114</v>
      </c>
      <c r="AX601" s="48">
        <v>28</v>
      </c>
      <c r="AY601" s="48" t="s">
        <v>8728</v>
      </c>
      <c r="AZ601" s="48" t="s">
        <v>1563</v>
      </c>
      <c r="BA601" s="48">
        <v>32</v>
      </c>
      <c r="BB601" s="47" t="s">
        <v>2485</v>
      </c>
      <c r="BC601" s="47" t="s">
        <v>8726</v>
      </c>
      <c r="BD601" s="47" t="s">
        <v>8374</v>
      </c>
      <c r="BE601" s="48" t="s">
        <v>2449</v>
      </c>
      <c r="BF601" s="48" t="s">
        <v>272</v>
      </c>
      <c r="BG601" s="48" t="s">
        <v>272</v>
      </c>
      <c r="BH601" s="48" t="s">
        <v>2486</v>
      </c>
      <c r="BI601" s="98">
        <v>1.281536E-3</v>
      </c>
      <c r="BJ601" s="98">
        <v>12.81536</v>
      </c>
      <c r="BK601" s="48"/>
      <c r="BL601" s="487">
        <v>104.36835456835315</v>
      </c>
      <c r="BM601" s="47" t="s">
        <v>2487</v>
      </c>
      <c r="BN601" s="48"/>
      <c r="BO601" s="48"/>
      <c r="BP601" s="48"/>
      <c r="BQ601" s="48"/>
      <c r="BR601" s="47" t="e">
        <v>#VALUE!</v>
      </c>
      <c r="BS601" s="48"/>
      <c r="BT601" s="48"/>
      <c r="BU601" s="228"/>
      <c r="BV601" s="48"/>
      <c r="BW601" s="48"/>
      <c r="BX601" s="48"/>
      <c r="BY601" s="48"/>
      <c r="BZ601" s="48"/>
      <c r="CA601" s="48"/>
      <c r="CB601" s="48"/>
      <c r="CC601" s="48"/>
      <c r="CD601" s="48"/>
      <c r="CE601" s="48"/>
      <c r="CF601" s="48"/>
      <c r="CG601" s="48"/>
      <c r="CH601" s="48"/>
      <c r="CI601" s="98"/>
      <c r="CJ601" s="98"/>
      <c r="CK601" s="49">
        <f t="shared" si="132"/>
        <v>8.1440048947788561</v>
      </c>
      <c r="CL601" s="229"/>
      <c r="CM601" s="229"/>
      <c r="CN601" s="229"/>
      <c r="CO601" s="47" t="s">
        <v>2488</v>
      </c>
      <c r="CP601" s="500" t="s">
        <v>2489</v>
      </c>
      <c r="CQ601" s="224" t="s">
        <v>272</v>
      </c>
      <c r="CR601" s="224"/>
      <c r="CS601" s="230" t="s">
        <v>539</v>
      </c>
      <c r="CT601" s="230"/>
      <c r="CU601" s="230"/>
      <c r="CV601" s="335">
        <f t="shared" si="133"/>
        <v>31.902155385461395</v>
      </c>
      <c r="CW601" s="230">
        <f t="shared" si="131"/>
        <v>1</v>
      </c>
      <c r="CX601" s="336"/>
      <c r="CY601" s="230" t="s">
        <v>6351</v>
      </c>
    </row>
    <row r="602" spans="1:103" ht="11.25" customHeight="1" x14ac:dyDescent="0.2">
      <c r="A602" s="72">
        <v>920</v>
      </c>
      <c r="B602" s="224">
        <v>1390</v>
      </c>
      <c r="C602" s="46" t="s">
        <v>7112</v>
      </c>
      <c r="D602" s="46"/>
      <c r="E602" s="114"/>
      <c r="F602" s="114" t="s">
        <v>4285</v>
      </c>
      <c r="G602" s="225">
        <v>101860</v>
      </c>
      <c r="H602" s="47" t="s">
        <v>4286</v>
      </c>
      <c r="I602" s="47" t="s">
        <v>4286</v>
      </c>
      <c r="J602" s="47" t="s">
        <v>4287</v>
      </c>
      <c r="K602" s="47" t="s">
        <v>1557</v>
      </c>
      <c r="L602" s="47"/>
      <c r="M602" s="47"/>
      <c r="N602" s="47"/>
      <c r="O602" s="47"/>
      <c r="P602" s="53"/>
      <c r="Q602" s="53"/>
      <c r="R602" s="53"/>
      <c r="S602" s="53"/>
      <c r="T602" s="48">
        <v>216.32</v>
      </c>
      <c r="U602" s="98"/>
      <c r="V602" s="98">
        <v>2.75</v>
      </c>
      <c r="W602" s="98">
        <v>28.516529768452191</v>
      </c>
      <c r="X602" s="98">
        <v>28.516529768452191</v>
      </c>
      <c r="Y602" s="233">
        <v>7</v>
      </c>
      <c r="Z602" s="48">
        <v>4.82</v>
      </c>
      <c r="AA602" s="48"/>
      <c r="AB602" s="48">
        <v>4.7</v>
      </c>
      <c r="AC602" s="48">
        <v>0.8034</v>
      </c>
      <c r="AD602" s="48">
        <v>4.88</v>
      </c>
      <c r="AE602" s="48">
        <v>5.33</v>
      </c>
      <c r="AF602" s="48">
        <f t="shared" si="134"/>
        <v>4.88</v>
      </c>
      <c r="AG602" s="49">
        <v>4.28</v>
      </c>
      <c r="AH602" s="98">
        <v>1.04E-5</v>
      </c>
      <c r="AI602" s="98"/>
      <c r="AJ602" s="483">
        <f t="shared" si="137"/>
        <v>-3.3715329870138713</v>
      </c>
      <c r="AK602" s="483"/>
      <c r="AL602" s="483">
        <f t="shared" si="136"/>
        <v>-3.3715329870138713</v>
      </c>
      <c r="AM602" s="483">
        <v>-7.1258200000000009</v>
      </c>
      <c r="AN602" s="226">
        <v>-2.92</v>
      </c>
      <c r="AO602" s="484"/>
      <c r="AP602" s="484"/>
      <c r="AQ602" s="48" t="s">
        <v>6311</v>
      </c>
      <c r="AR602" s="48" t="s">
        <v>6311</v>
      </c>
      <c r="AS602" s="227"/>
      <c r="AT602" s="50" t="s">
        <v>266</v>
      </c>
      <c r="AU602" s="48">
        <v>6</v>
      </c>
      <c r="AV602" s="48">
        <v>120</v>
      </c>
      <c r="AW602" s="48">
        <v>114</v>
      </c>
      <c r="AX602" s="48">
        <v>28</v>
      </c>
      <c r="AY602" s="48" t="s">
        <v>8728</v>
      </c>
      <c r="AZ602" s="48" t="s">
        <v>1563</v>
      </c>
      <c r="BA602" s="48">
        <v>32</v>
      </c>
      <c r="BB602" s="47" t="s">
        <v>2485</v>
      </c>
      <c r="BC602" s="47" t="s">
        <v>8726</v>
      </c>
      <c r="BD602" s="47" t="s">
        <v>8374</v>
      </c>
      <c r="BE602" s="48" t="s">
        <v>2449</v>
      </c>
      <c r="BF602" s="48" t="s">
        <v>272</v>
      </c>
      <c r="BG602" s="48" t="s">
        <v>272</v>
      </c>
      <c r="BH602" s="48" t="s">
        <v>2486</v>
      </c>
      <c r="BI602" s="98">
        <v>1.3844479999999999E-3</v>
      </c>
      <c r="BJ602" s="98">
        <v>13.844479999999999</v>
      </c>
      <c r="BK602" s="48"/>
      <c r="BL602" s="487">
        <v>0.52126032955274426</v>
      </c>
      <c r="BM602" s="47" t="s">
        <v>2487</v>
      </c>
      <c r="BN602" s="48"/>
      <c r="BO602" s="48"/>
      <c r="BP602" s="48"/>
      <c r="BQ602" s="48"/>
      <c r="BR602" s="47" t="e">
        <v>#VALUE!</v>
      </c>
      <c r="BS602" s="48"/>
      <c r="BT602" s="48"/>
      <c r="BU602" s="228"/>
      <c r="BV602" s="48"/>
      <c r="BW602" s="48"/>
      <c r="BX602" s="48"/>
      <c r="BY602" s="48"/>
      <c r="BZ602" s="48"/>
      <c r="CA602" s="48"/>
      <c r="CB602" s="48"/>
      <c r="CC602" s="48"/>
      <c r="CD602" s="48"/>
      <c r="CE602" s="48"/>
      <c r="CF602" s="48"/>
      <c r="CG602" s="48"/>
      <c r="CH602" s="48"/>
      <c r="CI602" s="98"/>
      <c r="CJ602" s="98"/>
      <c r="CK602" s="49">
        <f t="shared" si="132"/>
        <v>3.7651130959974251E-2</v>
      </c>
      <c r="CL602" s="229"/>
      <c r="CM602" s="229"/>
      <c r="CN602" s="229"/>
      <c r="CO602" s="47" t="s">
        <v>2488</v>
      </c>
      <c r="CP602" s="500" t="s">
        <v>2489</v>
      </c>
      <c r="CQ602" s="224" t="s">
        <v>272</v>
      </c>
      <c r="CR602" s="224"/>
      <c r="CS602" s="230" t="s">
        <v>539</v>
      </c>
      <c r="CT602" s="230"/>
      <c r="CU602" s="230"/>
      <c r="CV602" s="335">
        <f t="shared" si="133"/>
        <v>2.0597761539943855</v>
      </c>
      <c r="CW602" s="230">
        <f t="shared" si="131"/>
        <v>1</v>
      </c>
      <c r="CX602" s="336"/>
      <c r="CY602" s="230" t="s">
        <v>5921</v>
      </c>
    </row>
    <row r="603" spans="1:103" ht="11.25" customHeight="1" x14ac:dyDescent="0.2">
      <c r="A603" s="72">
        <v>921</v>
      </c>
      <c r="B603" s="224">
        <v>905</v>
      </c>
      <c r="C603" s="46" t="s">
        <v>7113</v>
      </c>
      <c r="D603" s="46"/>
      <c r="E603" s="114"/>
      <c r="F603" s="114" t="s">
        <v>2584</v>
      </c>
      <c r="G603" s="225">
        <v>102067</v>
      </c>
      <c r="H603" s="47" t="s">
        <v>2585</v>
      </c>
      <c r="I603" s="47" t="s">
        <v>2585</v>
      </c>
      <c r="J603" s="47" t="s">
        <v>2586</v>
      </c>
      <c r="K603" s="47" t="s">
        <v>300</v>
      </c>
      <c r="L603" s="47"/>
      <c r="M603" s="47"/>
      <c r="N603" s="47"/>
      <c r="O603" s="47"/>
      <c r="P603" s="53"/>
      <c r="Q603" s="53"/>
      <c r="R603" s="53"/>
      <c r="S603" s="53"/>
      <c r="T603" s="48">
        <v>211.26</v>
      </c>
      <c r="U603" s="98">
        <v>15800</v>
      </c>
      <c r="V603" s="98">
        <v>129.1</v>
      </c>
      <c r="W603" s="98">
        <v>1530.4434092544225</v>
      </c>
      <c r="X603" s="98">
        <v>15800</v>
      </c>
      <c r="Y603" s="233">
        <v>9.36</v>
      </c>
      <c r="Z603" s="48">
        <v>2.89</v>
      </c>
      <c r="AA603" s="48"/>
      <c r="AB603" s="48">
        <v>2.72</v>
      </c>
      <c r="AC603" s="48">
        <v>0.59689999999999999</v>
      </c>
      <c r="AD603" s="48">
        <v>2.57</v>
      </c>
      <c r="AE603" s="48">
        <v>2.36</v>
      </c>
      <c r="AF603" s="48">
        <f t="shared" si="134"/>
        <v>2.57</v>
      </c>
      <c r="AG603" s="49">
        <v>3.44</v>
      </c>
      <c r="AH603" s="98">
        <v>7.1200000000000004E-12</v>
      </c>
      <c r="AI603" s="98"/>
      <c r="AJ603" s="483">
        <f t="shared" si="137"/>
        <v>-9.5360863326757954</v>
      </c>
      <c r="AK603" s="483"/>
      <c r="AL603" s="483">
        <f t="shared" si="136"/>
        <v>-9.5360863326757954</v>
      </c>
      <c r="AM603" s="483">
        <v>-12.31105</v>
      </c>
      <c r="AN603" s="226">
        <v>-8.86</v>
      </c>
      <c r="AO603" s="484"/>
      <c r="AP603" s="484">
        <v>10.119999999999999</v>
      </c>
      <c r="AQ603" s="48" t="s">
        <v>6311</v>
      </c>
      <c r="AR603" s="48" t="s">
        <v>6311</v>
      </c>
      <c r="AS603" s="227"/>
      <c r="AT603" s="50" t="s">
        <v>266</v>
      </c>
      <c r="AU603" s="48">
        <v>6</v>
      </c>
      <c r="AV603" s="48">
        <v>120</v>
      </c>
      <c r="AW603" s="48">
        <v>114</v>
      </c>
      <c r="AX603" s="48">
        <v>28</v>
      </c>
      <c r="AY603" s="48" t="s">
        <v>8728</v>
      </c>
      <c r="AZ603" s="48" t="s">
        <v>1563</v>
      </c>
      <c r="BA603" s="48">
        <v>32</v>
      </c>
      <c r="BB603" s="47" t="s">
        <v>2485</v>
      </c>
      <c r="BC603" s="47" t="s">
        <v>8726</v>
      </c>
      <c r="BD603" s="47" t="s">
        <v>8374</v>
      </c>
      <c r="BE603" s="48" t="s">
        <v>2449</v>
      </c>
      <c r="BF603" s="48" t="s">
        <v>272</v>
      </c>
      <c r="BG603" s="48" t="s">
        <v>272</v>
      </c>
      <c r="BH603" s="48" t="s">
        <v>2486</v>
      </c>
      <c r="BI603" s="98">
        <v>1.3520639999999998E-3</v>
      </c>
      <c r="BJ603" s="98">
        <v>13.52064</v>
      </c>
      <c r="BK603" s="48"/>
      <c r="BL603" s="487">
        <v>27.549154551917265</v>
      </c>
      <c r="BM603" s="47" t="s">
        <v>2487</v>
      </c>
      <c r="BN603" s="48"/>
      <c r="BO603" s="48"/>
      <c r="BP603" s="48"/>
      <c r="BQ603" s="48"/>
      <c r="BR603" s="47"/>
      <c r="BS603" s="48"/>
      <c r="BT603" s="48"/>
      <c r="BU603" s="228">
        <v>1.3520639999999999E-2</v>
      </c>
      <c r="BV603" s="48"/>
      <c r="BW603" s="48"/>
      <c r="BX603" s="48"/>
      <c r="BY603" s="48"/>
      <c r="BZ603" s="48"/>
      <c r="CA603" s="48"/>
      <c r="CB603" s="48"/>
      <c r="CC603" s="48"/>
      <c r="CD603" s="48"/>
      <c r="CE603" s="48"/>
      <c r="CF603" s="48"/>
      <c r="CG603" s="48"/>
      <c r="CH603" s="48"/>
      <c r="CI603" s="98"/>
      <c r="CJ603" s="98"/>
      <c r="CK603" s="49">
        <f t="shared" si="132"/>
        <v>2.0375629076668904</v>
      </c>
      <c r="CL603" s="229"/>
      <c r="CM603" s="229"/>
      <c r="CN603" s="229"/>
      <c r="CO603" s="47" t="s">
        <v>2488</v>
      </c>
      <c r="CP603" s="500" t="s">
        <v>2489</v>
      </c>
      <c r="CQ603" s="224" t="s">
        <v>272</v>
      </c>
      <c r="CR603" s="224"/>
      <c r="CS603" s="230" t="s">
        <v>539</v>
      </c>
      <c r="CT603" s="230"/>
      <c r="CU603" s="230"/>
      <c r="CV603" s="335">
        <f t="shared" si="133"/>
        <v>1168.5837356811512</v>
      </c>
      <c r="CW603" s="230">
        <f t="shared" si="131"/>
        <v>1</v>
      </c>
      <c r="CX603" s="336"/>
      <c r="CY603" s="230" t="s">
        <v>6351</v>
      </c>
    </row>
    <row r="604" spans="1:103" ht="11.25" customHeight="1" x14ac:dyDescent="0.2">
      <c r="A604" s="72">
        <v>922</v>
      </c>
      <c r="B604" s="224">
        <v>1763</v>
      </c>
      <c r="C604" s="46" t="s">
        <v>7114</v>
      </c>
      <c r="D604" s="46"/>
      <c r="E604" s="114"/>
      <c r="F604" s="114" t="s">
        <v>5080</v>
      </c>
      <c r="G604" s="225">
        <v>102272</v>
      </c>
      <c r="H604" s="47" t="s">
        <v>5081</v>
      </c>
      <c r="I604" s="47" t="s">
        <v>5081</v>
      </c>
      <c r="J604" s="47" t="s">
        <v>5082</v>
      </c>
      <c r="K604" s="47" t="s">
        <v>426</v>
      </c>
      <c r="L604" s="47" t="s">
        <v>6025</v>
      </c>
      <c r="M604" s="47" t="s">
        <v>6082</v>
      </c>
      <c r="N604" s="47"/>
      <c r="O604" s="47" t="s">
        <v>6083</v>
      </c>
      <c r="P604" s="53"/>
      <c r="Q604" s="53" t="s">
        <v>6173</v>
      </c>
      <c r="R604" s="53" t="s">
        <v>6185</v>
      </c>
      <c r="S604" s="53" t="s">
        <v>6176</v>
      </c>
      <c r="T604" s="48">
        <v>135.21</v>
      </c>
      <c r="U604" s="98"/>
      <c r="V604" s="98">
        <v>467.3</v>
      </c>
      <c r="W604" s="98">
        <v>872.98908307775741</v>
      </c>
      <c r="X604" s="98">
        <v>872.98908307775741</v>
      </c>
      <c r="Y604" s="233">
        <v>8.5399999999999991</v>
      </c>
      <c r="Z604" s="48">
        <v>2.66</v>
      </c>
      <c r="AA604" s="48"/>
      <c r="AB604" s="48">
        <v>2.38</v>
      </c>
      <c r="AC604" s="48">
        <v>0.96040000000000003</v>
      </c>
      <c r="AD604" s="48">
        <v>2.42</v>
      </c>
      <c r="AE604" s="48">
        <v>2.59</v>
      </c>
      <c r="AF604" s="48">
        <f t="shared" si="134"/>
        <v>2.42</v>
      </c>
      <c r="AG604" s="49">
        <v>2.6</v>
      </c>
      <c r="AH604" s="98">
        <v>6.1199999999999999E-6</v>
      </c>
      <c r="AI604" s="98"/>
      <c r="AJ604" s="483">
        <f t="shared" si="137"/>
        <v>-3.6018149041670906</v>
      </c>
      <c r="AK604" s="483"/>
      <c r="AL604" s="483">
        <f t="shared" si="136"/>
        <v>-3.6018149041670906</v>
      </c>
      <c r="AM604" s="483">
        <v>-5.3623900000000004</v>
      </c>
      <c r="AN604" s="226">
        <v>-3.33</v>
      </c>
      <c r="AO604" s="484"/>
      <c r="AP604" s="484">
        <v>5.27</v>
      </c>
      <c r="AQ604" s="226" t="s">
        <v>6311</v>
      </c>
      <c r="AR604" s="226" t="s">
        <v>6311</v>
      </c>
      <c r="AS604" s="224"/>
      <c r="AT604" s="50" t="s">
        <v>266</v>
      </c>
      <c r="AU604" s="48">
        <v>6</v>
      </c>
      <c r="AV604" s="48">
        <v>120</v>
      </c>
      <c r="AW604" s="48">
        <v>114</v>
      </c>
      <c r="AX604" s="48">
        <v>28</v>
      </c>
      <c r="AY604" s="48" t="s">
        <v>8728</v>
      </c>
      <c r="AZ604" s="48" t="s">
        <v>1563</v>
      </c>
      <c r="BA604" s="48">
        <v>32</v>
      </c>
      <c r="BB604" s="47" t="s">
        <v>2485</v>
      </c>
      <c r="BC604" s="47" t="s">
        <v>8726</v>
      </c>
      <c r="BD604" s="47" t="s">
        <v>8374</v>
      </c>
      <c r="BE604" s="48" t="s">
        <v>2449</v>
      </c>
      <c r="BF604" s="48" t="s">
        <v>272</v>
      </c>
      <c r="BG604" s="48" t="s">
        <v>272</v>
      </c>
      <c r="BH604" s="48" t="s">
        <v>2486</v>
      </c>
      <c r="BI604" s="98">
        <v>8.6534399999999999E-4</v>
      </c>
      <c r="BJ604" s="98">
        <v>8.6534400000000016</v>
      </c>
      <c r="BK604" s="48"/>
      <c r="BL604" s="487">
        <v>28.370227133295728</v>
      </c>
      <c r="BM604" s="47" t="s">
        <v>2487</v>
      </c>
      <c r="BN604" s="48"/>
      <c r="BO604" s="48"/>
      <c r="BP604" s="48"/>
      <c r="BQ604" s="48"/>
      <c r="BR604" s="47" t="e">
        <v>#VALUE!</v>
      </c>
      <c r="BS604" s="48"/>
      <c r="BT604" s="48"/>
      <c r="BU604" s="228"/>
      <c r="BV604" s="48"/>
      <c r="BW604" s="48"/>
      <c r="BX604" s="48"/>
      <c r="BY604" s="48"/>
      <c r="BZ604" s="48"/>
      <c r="CA604" s="48"/>
      <c r="CB604" s="48"/>
      <c r="CC604" s="48"/>
      <c r="CD604" s="48"/>
      <c r="CE604" s="48"/>
      <c r="CF604" s="48"/>
      <c r="CG604" s="48"/>
      <c r="CH604" s="48"/>
      <c r="CI604" s="98"/>
      <c r="CJ604" s="98"/>
      <c r="CK604" s="49">
        <f t="shared" si="132"/>
        <v>3.2784912281469247</v>
      </c>
      <c r="CL604" s="229"/>
      <c r="CM604" s="229"/>
      <c r="CN604" s="229"/>
      <c r="CO604" s="47" t="s">
        <v>2488</v>
      </c>
      <c r="CP604" s="500" t="s">
        <v>2489</v>
      </c>
      <c r="CQ604" s="224">
        <v>1.6910814921229684</v>
      </c>
      <c r="CR604" s="224">
        <f>10^(CJ604-CQ604)</f>
        <v>2.0366598778004064E-2</v>
      </c>
      <c r="CS604" s="230" t="s">
        <v>539</v>
      </c>
      <c r="CT604" s="230"/>
      <c r="CU604" s="230"/>
      <c r="CV604" s="335">
        <f t="shared" si="133"/>
        <v>100.88347328666487</v>
      </c>
      <c r="CW604" s="230">
        <f t="shared" si="131"/>
        <v>1</v>
      </c>
      <c r="CX604" s="336"/>
      <c r="CY604" s="230" t="s">
        <v>5921</v>
      </c>
    </row>
    <row r="605" spans="1:103" ht="11.25" customHeight="1" x14ac:dyDescent="0.2">
      <c r="A605" s="72">
        <v>923</v>
      </c>
      <c r="B605" s="224">
        <v>1789</v>
      </c>
      <c r="C605" s="46" t="s">
        <v>7115</v>
      </c>
      <c r="D605" s="46"/>
      <c r="E605" s="114"/>
      <c r="F605" s="114" t="s">
        <v>5144</v>
      </c>
      <c r="G605" s="225">
        <v>102603</v>
      </c>
      <c r="H605" s="47" t="s">
        <v>5145</v>
      </c>
      <c r="I605" s="47" t="s">
        <v>5145</v>
      </c>
      <c r="J605" s="47" t="s">
        <v>5146</v>
      </c>
      <c r="K605" s="47" t="s">
        <v>300</v>
      </c>
      <c r="L605" s="47"/>
      <c r="M605" s="47"/>
      <c r="N605" s="47"/>
      <c r="O605" s="47"/>
      <c r="P605" s="53"/>
      <c r="Q605" s="53"/>
      <c r="R605" s="53"/>
      <c r="S605" s="53"/>
      <c r="T605" s="48">
        <v>292.42</v>
      </c>
      <c r="U605" s="98">
        <v>1000000</v>
      </c>
      <c r="V605" s="98">
        <v>1000000</v>
      </c>
      <c r="W605" s="98">
        <v>75163.513479727102</v>
      </c>
      <c r="X605" s="98">
        <v>1000000</v>
      </c>
      <c r="Y605" s="233">
        <v>10.63</v>
      </c>
      <c r="Z605" s="48">
        <v>-2.08</v>
      </c>
      <c r="AA605" s="48"/>
      <c r="AB605" s="48">
        <v>-0.87</v>
      </c>
      <c r="AC605" s="48">
        <v>0.73219999999999996</v>
      </c>
      <c r="AD605" s="48">
        <v>-0.52</v>
      </c>
      <c r="AE605" s="48">
        <v>0.13</v>
      </c>
      <c r="AF605" s="48">
        <f t="shared" si="134"/>
        <v>-0.52</v>
      </c>
      <c r="AG605" s="49">
        <v>-0.4</v>
      </c>
      <c r="AH605" s="98">
        <v>4.1499999999999999E-16</v>
      </c>
      <c r="AI605" s="98"/>
      <c r="AJ605" s="483">
        <f t="shared" si="137"/>
        <v>-13.77051822960056</v>
      </c>
      <c r="AK605" s="483"/>
      <c r="AL605" s="483">
        <f t="shared" si="136"/>
        <v>-13.77051822960056</v>
      </c>
      <c r="AM605" s="483">
        <v>-22.148489999999999</v>
      </c>
      <c r="AN605" s="226">
        <v>-17.7</v>
      </c>
      <c r="AO605" s="484">
        <v>14.23</v>
      </c>
      <c r="AP605" s="484">
        <v>8.6300000000000008</v>
      </c>
      <c r="AQ605" s="226" t="s">
        <v>6311</v>
      </c>
      <c r="AR605" s="226" t="s">
        <v>6311</v>
      </c>
      <c r="AS605" s="224"/>
      <c r="AT605" s="50" t="s">
        <v>266</v>
      </c>
      <c r="AU605" s="48">
        <v>6</v>
      </c>
      <c r="AV605" s="48">
        <v>120</v>
      </c>
      <c r="AW605" s="48">
        <v>114</v>
      </c>
      <c r="AX605" s="48">
        <v>28</v>
      </c>
      <c r="AY605" s="48" t="s">
        <v>8728</v>
      </c>
      <c r="AZ605" s="48" t="s">
        <v>1563</v>
      </c>
      <c r="BA605" s="48">
        <v>32</v>
      </c>
      <c r="BB605" s="47" t="s">
        <v>2485</v>
      </c>
      <c r="BC605" s="47" t="s">
        <v>8726</v>
      </c>
      <c r="BD605" s="47" t="s">
        <v>8374</v>
      </c>
      <c r="BE605" s="48" t="s">
        <v>2449</v>
      </c>
      <c r="BF605" s="48" t="s">
        <v>272</v>
      </c>
      <c r="BG605" s="48" t="s">
        <v>272</v>
      </c>
      <c r="BH605" s="48" t="s">
        <v>2486</v>
      </c>
      <c r="BI605" s="98">
        <v>1.8714879999999999E-3</v>
      </c>
      <c r="BJ605" s="98">
        <v>18.714880000000001</v>
      </c>
      <c r="BK605" s="48"/>
      <c r="BL605" s="487">
        <v>1108804.7373171735</v>
      </c>
      <c r="BM605" s="47" t="s">
        <v>2487</v>
      </c>
      <c r="BN605" s="48"/>
      <c r="BO605" s="48"/>
      <c r="BP605" s="48"/>
      <c r="BQ605" s="48"/>
      <c r="BR605" s="47" t="e">
        <v>#VALUE!</v>
      </c>
      <c r="BS605" s="48"/>
      <c r="BT605" s="48"/>
      <c r="BU605" s="228"/>
      <c r="BV605" s="48"/>
      <c r="BW605" s="48"/>
      <c r="BX605" s="48"/>
      <c r="BY605" s="48"/>
      <c r="BZ605" s="48"/>
      <c r="CA605" s="48"/>
      <c r="CB605" s="48"/>
      <c r="CC605" s="48"/>
      <c r="CD605" s="48"/>
      <c r="CE605" s="48"/>
      <c r="CF605" s="48"/>
      <c r="CG605" s="48"/>
      <c r="CH605" s="48"/>
      <c r="CI605" s="98"/>
      <c r="CJ605" s="98"/>
      <c r="CK605" s="49">
        <f t="shared" si="132"/>
        <v>59247.226662269459</v>
      </c>
      <c r="CL605" s="229"/>
      <c r="CM605" s="229"/>
      <c r="CN605" s="229"/>
      <c r="CO605" s="47" t="s">
        <v>2488</v>
      </c>
      <c r="CP605" s="500" t="s">
        <v>2489</v>
      </c>
      <c r="CQ605" s="224" t="s">
        <v>272</v>
      </c>
      <c r="CR605" s="224"/>
      <c r="CS605" s="230" t="s">
        <v>539</v>
      </c>
      <c r="CT605" s="230"/>
      <c r="CU605" s="230"/>
      <c r="CV605" s="335">
        <f t="shared" si="133"/>
        <v>53433.417686888723</v>
      </c>
      <c r="CW605" s="230">
        <f t="shared" si="131"/>
        <v>1</v>
      </c>
      <c r="CX605" s="336"/>
      <c r="CY605" s="230" t="s">
        <v>6351</v>
      </c>
    </row>
    <row r="606" spans="1:103" ht="11.25" customHeight="1" x14ac:dyDescent="0.2">
      <c r="A606" s="72">
        <v>925</v>
      </c>
      <c r="B606" s="224">
        <v>1914</v>
      </c>
      <c r="C606" s="46" t="s">
        <v>7117</v>
      </c>
      <c r="D606" s="46"/>
      <c r="E606" s="114"/>
      <c r="F606" s="114" t="s">
        <v>5382</v>
      </c>
      <c r="G606" s="225">
        <v>102716</v>
      </c>
      <c r="H606" s="47" t="s">
        <v>5383</v>
      </c>
      <c r="I606" s="47" t="s">
        <v>5383</v>
      </c>
      <c r="J606" s="47" t="s">
        <v>5384</v>
      </c>
      <c r="K606" s="47" t="s">
        <v>300</v>
      </c>
      <c r="L606" s="47"/>
      <c r="M606" s="47"/>
      <c r="N606" s="47"/>
      <c r="O606" s="47"/>
      <c r="P606" s="53"/>
      <c r="Q606" s="53" t="s">
        <v>6173</v>
      </c>
      <c r="R606" s="53" t="s">
        <v>6185</v>
      </c>
      <c r="S606" s="53" t="s">
        <v>6182</v>
      </c>
      <c r="T606" s="48">
        <v>149.19</v>
      </c>
      <c r="U606" s="98">
        <v>1000000</v>
      </c>
      <c r="V606" s="98">
        <v>1000000</v>
      </c>
      <c r="W606" s="98">
        <v>985688.55508253258</v>
      </c>
      <c r="X606" s="98">
        <v>1000000</v>
      </c>
      <c r="Y606" s="233">
        <v>10.98</v>
      </c>
      <c r="Z606" s="48">
        <v>-2.48</v>
      </c>
      <c r="AA606" s="48">
        <v>-1</v>
      </c>
      <c r="AB606" s="48">
        <v>-1.05</v>
      </c>
      <c r="AC606" s="48">
        <v>0.75680000000000003</v>
      </c>
      <c r="AD606" s="48">
        <v>-1.07</v>
      </c>
      <c r="AE606" s="48">
        <v>-1.1100000000000001</v>
      </c>
      <c r="AF606" s="48">
        <f t="shared" si="134"/>
        <v>-1</v>
      </c>
      <c r="AG606" s="49">
        <v>-1.37</v>
      </c>
      <c r="AH606" s="98">
        <v>4.1800000000000004E-12</v>
      </c>
      <c r="AI606" s="98">
        <v>7.0500000000000003E-13</v>
      </c>
      <c r="AJ606" s="483">
        <f t="shared" si="137"/>
        <v>-9.7673900445376169</v>
      </c>
      <c r="AK606" s="483">
        <f t="shared" ref="AK606:AK611" si="140">LOG10(AI606*1000/(0.08206*298.15))</f>
        <v>-10.540377209321253</v>
      </c>
      <c r="AL606" s="483">
        <f t="shared" si="136"/>
        <v>-10.540377209321253</v>
      </c>
      <c r="AM606" s="483">
        <v>-14.10375</v>
      </c>
      <c r="AN606" s="226">
        <v>-16.399999999999999</v>
      </c>
      <c r="AO606" s="484">
        <v>14.17</v>
      </c>
      <c r="AP606" s="484">
        <v>7.77</v>
      </c>
      <c r="AQ606" s="226" t="s">
        <v>6311</v>
      </c>
      <c r="AR606" s="226" t="s">
        <v>6311</v>
      </c>
      <c r="AS606" s="224"/>
      <c r="AT606" s="50" t="s">
        <v>266</v>
      </c>
      <c r="AU606" s="48">
        <v>6</v>
      </c>
      <c r="AV606" s="48">
        <v>120</v>
      </c>
      <c r="AW606" s="48">
        <v>114</v>
      </c>
      <c r="AX606" s="48">
        <v>28</v>
      </c>
      <c r="AY606" s="48" t="s">
        <v>8728</v>
      </c>
      <c r="AZ606" s="48" t="s">
        <v>1563</v>
      </c>
      <c r="BA606" s="48">
        <v>32</v>
      </c>
      <c r="BB606" s="47" t="s">
        <v>2485</v>
      </c>
      <c r="BC606" s="47" t="s">
        <v>8726</v>
      </c>
      <c r="BD606" s="47" t="s">
        <v>8374</v>
      </c>
      <c r="BE606" s="48" t="s">
        <v>2449</v>
      </c>
      <c r="BF606" s="48" t="s">
        <v>272</v>
      </c>
      <c r="BG606" s="48" t="s">
        <v>272</v>
      </c>
      <c r="BH606" s="48" t="s">
        <v>2486</v>
      </c>
      <c r="BI606" s="98">
        <v>9.5481599999999993E-4</v>
      </c>
      <c r="BJ606" s="98">
        <v>9.5481599999999993</v>
      </c>
      <c r="BK606" s="48"/>
      <c r="BL606" s="487">
        <v>1293682.5315294072</v>
      </c>
      <c r="BM606" s="47" t="s">
        <v>2487</v>
      </c>
      <c r="BN606" s="48"/>
      <c r="BO606" s="48"/>
      <c r="BP606" s="48"/>
      <c r="BQ606" s="48"/>
      <c r="BR606" s="47" t="e">
        <v>#VALUE!</v>
      </c>
      <c r="BS606" s="48"/>
      <c r="BT606" s="48"/>
      <c r="BU606" s="228"/>
      <c r="BV606" s="48"/>
      <c r="BW606" s="48"/>
      <c r="BX606" s="48"/>
      <c r="BY606" s="48"/>
      <c r="BZ606" s="48"/>
      <c r="CA606" s="48"/>
      <c r="CB606" s="48"/>
      <c r="CC606" s="48"/>
      <c r="CD606" s="48"/>
      <c r="CE606" s="48"/>
      <c r="CF606" s="48"/>
      <c r="CG606" s="48"/>
      <c r="CH606" s="48"/>
      <c r="CI606" s="98"/>
      <c r="CJ606" s="98"/>
      <c r="CK606" s="49">
        <f t="shared" si="132"/>
        <v>135490.24435382392</v>
      </c>
      <c r="CL606" s="229"/>
      <c r="CM606" s="229"/>
      <c r="CN606" s="229"/>
      <c r="CO606" s="47" t="s">
        <v>2488</v>
      </c>
      <c r="CP606" s="500" t="s">
        <v>2489</v>
      </c>
      <c r="CQ606" s="224">
        <v>4.071882007306125</v>
      </c>
      <c r="CR606" s="224">
        <f>10^(CJ606-CQ606)</f>
        <v>8.4745762711864426E-5</v>
      </c>
      <c r="CS606" s="230" t="s">
        <v>539</v>
      </c>
      <c r="CT606" s="230"/>
      <c r="CU606" s="230"/>
      <c r="CV606" s="335">
        <f t="shared" si="133"/>
        <v>104732.22065822106</v>
      </c>
      <c r="CW606" s="230">
        <f t="shared" si="131"/>
        <v>1</v>
      </c>
      <c r="CX606" s="336"/>
      <c r="CY606" s="230" t="s">
        <v>6351</v>
      </c>
    </row>
    <row r="607" spans="1:103" ht="11.25" customHeight="1" x14ac:dyDescent="0.2">
      <c r="A607" s="72">
        <v>926</v>
      </c>
      <c r="B607" s="224">
        <v>1303</v>
      </c>
      <c r="C607" s="46" t="s">
        <v>7118</v>
      </c>
      <c r="D607" s="46"/>
      <c r="E607" s="114"/>
      <c r="F607" s="114" t="s">
        <v>3572</v>
      </c>
      <c r="G607" s="225">
        <v>102761</v>
      </c>
      <c r="H607" s="47" t="s">
        <v>3573</v>
      </c>
      <c r="I607" s="47" t="s">
        <v>3573</v>
      </c>
      <c r="J607" s="47" t="s">
        <v>3574</v>
      </c>
      <c r="K607" s="47" t="s">
        <v>357</v>
      </c>
      <c r="L607" s="47"/>
      <c r="M607" s="47"/>
      <c r="N607" s="47"/>
      <c r="O607" s="47"/>
      <c r="P607" s="53"/>
      <c r="Q607" s="53"/>
      <c r="R607" s="53"/>
      <c r="S607" s="53"/>
      <c r="T607" s="48">
        <v>218.2</v>
      </c>
      <c r="U607" s="98">
        <v>58000</v>
      </c>
      <c r="V607" s="98">
        <v>21520</v>
      </c>
      <c r="W607" s="98">
        <v>40630.741321983762</v>
      </c>
      <c r="X607" s="98">
        <v>58000</v>
      </c>
      <c r="Y607" s="233">
        <v>7</v>
      </c>
      <c r="Z607" s="48">
        <v>0.36</v>
      </c>
      <c r="AA607" s="48">
        <v>0.25</v>
      </c>
      <c r="AB607" s="48">
        <v>0.54</v>
      </c>
      <c r="AC607" s="48">
        <v>0.87980000000000003</v>
      </c>
      <c r="AD607" s="48">
        <v>0.35</v>
      </c>
      <c r="AE607" s="48">
        <v>-0.24</v>
      </c>
      <c r="AF607" s="48">
        <f t="shared" si="134"/>
        <v>0.25</v>
      </c>
      <c r="AG607" s="49">
        <v>0.03</v>
      </c>
      <c r="AH607" s="98">
        <v>1.75E-9</v>
      </c>
      <c r="AI607" s="98">
        <v>1.2299999999999999E-8</v>
      </c>
      <c r="AJ607" s="483">
        <f t="shared" si="137"/>
        <v>-7.1455282776263571</v>
      </c>
      <c r="AK607" s="483">
        <f t="shared" si="140"/>
        <v>-6.2986612148732544</v>
      </c>
      <c r="AL607" s="483">
        <f t="shared" si="136"/>
        <v>-6.2986612148732544</v>
      </c>
      <c r="AM607" s="483">
        <v>-9.0467999999999993</v>
      </c>
      <c r="AN607" s="226">
        <v>-6.81</v>
      </c>
      <c r="AO607" s="484"/>
      <c r="AP607" s="484"/>
      <c r="AQ607" s="48" t="s">
        <v>6311</v>
      </c>
      <c r="AR607" s="48" t="s">
        <v>6312</v>
      </c>
      <c r="AS607" s="227"/>
      <c r="AT607" s="50" t="s">
        <v>266</v>
      </c>
      <c r="AU607" s="48">
        <v>6</v>
      </c>
      <c r="AV607" s="48">
        <v>120</v>
      </c>
      <c r="AW607" s="48">
        <v>114</v>
      </c>
      <c r="AX607" s="48">
        <v>28</v>
      </c>
      <c r="AY607" s="48" t="s">
        <v>8728</v>
      </c>
      <c r="AZ607" s="48" t="s">
        <v>1563</v>
      </c>
      <c r="BA607" s="48">
        <v>32</v>
      </c>
      <c r="BB607" s="47" t="s">
        <v>2485</v>
      </c>
      <c r="BC607" s="47" t="s">
        <v>8726</v>
      </c>
      <c r="BD607" s="47" t="s">
        <v>8374</v>
      </c>
      <c r="BE607" s="48" t="s">
        <v>2449</v>
      </c>
      <c r="BF607" s="48" t="s">
        <v>272</v>
      </c>
      <c r="BG607" s="48" t="s">
        <v>272</v>
      </c>
      <c r="BH607" s="48" t="s">
        <v>2486</v>
      </c>
      <c r="BI607" s="98">
        <v>1.3964799999999999E-3</v>
      </c>
      <c r="BJ607" s="98">
        <v>13.9648</v>
      </c>
      <c r="BK607" s="48"/>
      <c r="BL607" s="487">
        <v>5325.2346139602059</v>
      </c>
      <c r="BM607" s="47" t="s">
        <v>2487</v>
      </c>
      <c r="BN607" s="48"/>
      <c r="BO607" s="48"/>
      <c r="BP607" s="48"/>
      <c r="BQ607" s="48"/>
      <c r="BR607" s="47" t="e">
        <v>#VALUE!</v>
      </c>
      <c r="BS607" s="48"/>
      <c r="BT607" s="48"/>
      <c r="BU607" s="228">
        <v>13.9648</v>
      </c>
      <c r="BV607" s="48"/>
      <c r="BW607" s="48"/>
      <c r="BX607" s="48"/>
      <c r="BY607" s="48"/>
      <c r="BZ607" s="48"/>
      <c r="CA607" s="48"/>
      <c r="CB607" s="48"/>
      <c r="CC607" s="48"/>
      <c r="CD607" s="48"/>
      <c r="CE607" s="48"/>
      <c r="CF607" s="48"/>
      <c r="CG607" s="48"/>
      <c r="CH607" s="48"/>
      <c r="CI607" s="98"/>
      <c r="CJ607" s="98"/>
      <c r="CK607" s="49">
        <f t="shared" si="132"/>
        <v>381.33268030764538</v>
      </c>
      <c r="CL607" s="229"/>
      <c r="CM607" s="229"/>
      <c r="CN607" s="229"/>
      <c r="CO607" s="47" t="s">
        <v>2488</v>
      </c>
      <c r="CP607" s="500" t="s">
        <v>2489</v>
      </c>
      <c r="CQ607" s="224" t="s">
        <v>272</v>
      </c>
      <c r="CR607" s="224"/>
      <c r="CS607" s="230" t="s">
        <v>539</v>
      </c>
      <c r="CT607" s="230"/>
      <c r="CU607" s="230"/>
      <c r="CV607" s="335">
        <f t="shared" si="133"/>
        <v>4153.2997250229146</v>
      </c>
      <c r="CW607" s="230">
        <f t="shared" ref="CW607:CW670" si="141">IF(CV607&lt;1,0,1)</f>
        <v>1</v>
      </c>
      <c r="CX607" s="336"/>
      <c r="CY607" s="230" t="s">
        <v>6351</v>
      </c>
    </row>
    <row r="608" spans="1:103" ht="11.25" customHeight="1" x14ac:dyDescent="0.2">
      <c r="A608" s="72">
        <v>927</v>
      </c>
      <c r="B608" s="224">
        <v>1910</v>
      </c>
      <c r="C608" s="46" t="s">
        <v>7119</v>
      </c>
      <c r="D608" s="46"/>
      <c r="E608" s="114"/>
      <c r="F608" s="114" t="s">
        <v>880</v>
      </c>
      <c r="G608" s="225">
        <v>102829</v>
      </c>
      <c r="H608" s="47" t="s">
        <v>881</v>
      </c>
      <c r="I608" s="47" t="s">
        <v>881</v>
      </c>
      <c r="J608" s="47" t="s">
        <v>882</v>
      </c>
      <c r="K608" s="47" t="s">
        <v>300</v>
      </c>
      <c r="L608" s="47" t="s">
        <v>5527</v>
      </c>
      <c r="M608" s="47" t="s">
        <v>5960</v>
      </c>
      <c r="N608" s="47"/>
      <c r="O608" s="47"/>
      <c r="P608" s="53"/>
      <c r="Q608" s="53"/>
      <c r="R608" s="53"/>
      <c r="S608" s="53"/>
      <c r="T608" s="48">
        <v>185.35</v>
      </c>
      <c r="U608" s="98">
        <v>142</v>
      </c>
      <c r="V608" s="98">
        <v>82.23</v>
      </c>
      <c r="W608" s="98">
        <v>369.82187007948153</v>
      </c>
      <c r="X608" s="98">
        <v>142</v>
      </c>
      <c r="Y608" s="233">
        <v>10.59</v>
      </c>
      <c r="Z608" s="48">
        <v>4.46</v>
      </c>
      <c r="AA608" s="48"/>
      <c r="AB608" s="48">
        <v>3.88</v>
      </c>
      <c r="AC608" s="48">
        <v>0.83279999999999998</v>
      </c>
      <c r="AD608" s="48">
        <v>4.16</v>
      </c>
      <c r="AE608" s="48">
        <v>4.84</v>
      </c>
      <c r="AF608" s="48">
        <f t="shared" si="134"/>
        <v>4.16</v>
      </c>
      <c r="AG608" s="49">
        <v>3.83</v>
      </c>
      <c r="AH608" s="98">
        <v>4.6799999999999999E-4</v>
      </c>
      <c r="AI608" s="98">
        <v>1.6000000000000001E-4</v>
      </c>
      <c r="AJ608" s="483">
        <f t="shared" si="137"/>
        <v>-1.7183204732385278</v>
      </c>
      <c r="AK608" s="483">
        <f t="shared" si="140"/>
        <v>-2.184446343656727</v>
      </c>
      <c r="AL608" s="483">
        <f t="shared" si="136"/>
        <v>-2.184446343656727</v>
      </c>
      <c r="AM608" s="483">
        <v>-3.9047200000000002</v>
      </c>
      <c r="AN608" s="226">
        <v>-1.1100000000000001</v>
      </c>
      <c r="AO608" s="484"/>
      <c r="AP608" s="484">
        <v>9.99</v>
      </c>
      <c r="AQ608" s="226" t="s">
        <v>6311</v>
      </c>
      <c r="AR608" s="226" t="s">
        <v>6311</v>
      </c>
      <c r="AS608" s="224"/>
      <c r="AT608" s="50" t="s">
        <v>266</v>
      </c>
      <c r="AU608" s="48">
        <v>6</v>
      </c>
      <c r="AV608" s="48">
        <v>120</v>
      </c>
      <c r="AW608" s="48">
        <v>114</v>
      </c>
      <c r="AX608" s="48">
        <v>28</v>
      </c>
      <c r="AY608" s="48" t="s">
        <v>8728</v>
      </c>
      <c r="AZ608" s="48" t="s">
        <v>1563</v>
      </c>
      <c r="BA608" s="48">
        <v>32</v>
      </c>
      <c r="BB608" s="47" t="s">
        <v>2485</v>
      </c>
      <c r="BC608" s="47" t="s">
        <v>8726</v>
      </c>
      <c r="BD608" s="47" t="s">
        <v>8374</v>
      </c>
      <c r="BE608" s="48" t="s">
        <v>2449</v>
      </c>
      <c r="BF608" s="48" t="s">
        <v>272</v>
      </c>
      <c r="BG608" s="48" t="s">
        <v>272</v>
      </c>
      <c r="BH608" s="48" t="s">
        <v>2486</v>
      </c>
      <c r="BI608" s="98">
        <v>1.1862399999999999E-3</v>
      </c>
      <c r="BJ608" s="98">
        <v>11.862399999999999</v>
      </c>
      <c r="BK608" s="48"/>
      <c r="BL608" s="487">
        <v>0.94030033398520951</v>
      </c>
      <c r="BM608" s="47" t="s">
        <v>2487</v>
      </c>
      <c r="BN608" s="48"/>
      <c r="BO608" s="48"/>
      <c r="BP608" s="48"/>
      <c r="BQ608" s="48"/>
      <c r="BR608" s="47" t="e">
        <v>#VALUE!</v>
      </c>
      <c r="BS608" s="48"/>
      <c r="BT608" s="48"/>
      <c r="BU608" s="228"/>
      <c r="BV608" s="48"/>
      <c r="BW608" s="48"/>
      <c r="BX608" s="48"/>
      <c r="BY608" s="48"/>
      <c r="BZ608" s="48"/>
      <c r="CA608" s="48"/>
      <c r="CB608" s="48"/>
      <c r="CC608" s="48"/>
      <c r="CD608" s="48"/>
      <c r="CE608" s="48"/>
      <c r="CF608" s="48"/>
      <c r="CG608" s="48"/>
      <c r="CH608" s="48"/>
      <c r="CI608" s="98"/>
      <c r="CJ608" s="98"/>
      <c r="CK608" s="49">
        <f t="shared" si="132"/>
        <v>7.9267292789419477E-2</v>
      </c>
      <c r="CL608" s="229"/>
      <c r="CM608" s="229"/>
      <c r="CN608" s="229"/>
      <c r="CO608" s="47" t="s">
        <v>2488</v>
      </c>
      <c r="CP608" s="500" t="s">
        <v>2489</v>
      </c>
      <c r="CQ608" s="224" t="s">
        <v>272</v>
      </c>
      <c r="CR608" s="224"/>
      <c r="CS608" s="230" t="s">
        <v>539</v>
      </c>
      <c r="CT608" s="230"/>
      <c r="CU608" s="230"/>
      <c r="CV608" s="335">
        <f t="shared" si="133"/>
        <v>11.970596169409227</v>
      </c>
      <c r="CW608" s="230">
        <f t="shared" si="141"/>
        <v>1</v>
      </c>
      <c r="CX608" s="336"/>
      <c r="CY608" s="230" t="s">
        <v>6351</v>
      </c>
    </row>
    <row r="609" spans="1:103" ht="11.25" customHeight="1" x14ac:dyDescent="0.2">
      <c r="A609" s="72">
        <v>928</v>
      </c>
      <c r="B609" s="224">
        <v>1511</v>
      </c>
      <c r="C609" s="46" t="s">
        <v>7120</v>
      </c>
      <c r="D609" s="46"/>
      <c r="E609" s="114"/>
      <c r="F609" s="114" t="s">
        <v>4602</v>
      </c>
      <c r="G609" s="225">
        <v>103333</v>
      </c>
      <c r="H609" s="47" t="s">
        <v>4603</v>
      </c>
      <c r="I609" s="47" t="s">
        <v>4603</v>
      </c>
      <c r="J609" s="47" t="s">
        <v>4604</v>
      </c>
      <c r="K609" s="47" t="s">
        <v>426</v>
      </c>
      <c r="L609" s="47"/>
      <c r="M609" s="47"/>
      <c r="N609" s="47"/>
      <c r="O609" s="47"/>
      <c r="P609" s="53" t="s">
        <v>6172</v>
      </c>
      <c r="Q609" s="53" t="s">
        <v>6173</v>
      </c>
      <c r="R609" s="53" t="s">
        <v>6185</v>
      </c>
      <c r="S609" s="53" t="s">
        <v>6182</v>
      </c>
      <c r="T609" s="48">
        <v>182.22</v>
      </c>
      <c r="U609" s="98">
        <v>6.3999999999999995</v>
      </c>
      <c r="V609" s="98">
        <v>10.86</v>
      </c>
      <c r="W609" s="98">
        <v>16.61866151474338</v>
      </c>
      <c r="X609" s="98">
        <v>6.3999999999999995</v>
      </c>
      <c r="Y609" s="233">
        <v>7</v>
      </c>
      <c r="Z609" s="48">
        <v>4.1100000000000003</v>
      </c>
      <c r="AA609" s="48">
        <v>3.82</v>
      </c>
      <c r="AB609" s="48">
        <v>4.16</v>
      </c>
      <c r="AC609" s="48">
        <v>0.85780000000000001</v>
      </c>
      <c r="AD609" s="48">
        <v>4.07</v>
      </c>
      <c r="AE609" s="48">
        <v>3.82</v>
      </c>
      <c r="AF609" s="48">
        <f t="shared" si="134"/>
        <v>3.82</v>
      </c>
      <c r="AG609" s="49">
        <v>3.54</v>
      </c>
      <c r="AH609" s="98">
        <v>1.47E-5</v>
      </c>
      <c r="AI609" s="98">
        <v>1.3499999999999999E-5</v>
      </c>
      <c r="AJ609" s="483">
        <f t="shared" si="137"/>
        <v>-3.2212489915644755</v>
      </c>
      <c r="AK609" s="483">
        <f t="shared" si="140"/>
        <v>-3.2582325578176459</v>
      </c>
      <c r="AL609" s="483">
        <f t="shared" si="136"/>
        <v>-3.2582325578176459</v>
      </c>
      <c r="AM609" s="483">
        <v>-5.5401100000000003</v>
      </c>
      <c r="AN609" s="226">
        <v>-2.79</v>
      </c>
      <c r="AO609" s="484"/>
      <c r="AP609" s="484"/>
      <c r="AQ609" s="48" t="s">
        <v>6311</v>
      </c>
      <c r="AR609" s="48" t="s">
        <v>6311</v>
      </c>
      <c r="AS609" s="227"/>
      <c r="AT609" s="50" t="s">
        <v>266</v>
      </c>
      <c r="AU609" s="48">
        <v>6</v>
      </c>
      <c r="AV609" s="48">
        <v>120</v>
      </c>
      <c r="AW609" s="48">
        <v>114</v>
      </c>
      <c r="AX609" s="48">
        <v>28</v>
      </c>
      <c r="AY609" s="48" t="s">
        <v>8728</v>
      </c>
      <c r="AZ609" s="48" t="s">
        <v>1563</v>
      </c>
      <c r="BA609" s="48">
        <v>32</v>
      </c>
      <c r="BB609" s="47" t="s">
        <v>2485</v>
      </c>
      <c r="BC609" s="47" t="s">
        <v>8726</v>
      </c>
      <c r="BD609" s="47" t="s">
        <v>8374</v>
      </c>
      <c r="BE609" s="48" t="s">
        <v>2449</v>
      </c>
      <c r="BF609" s="48" t="s">
        <v>272</v>
      </c>
      <c r="BG609" s="48" t="s">
        <v>272</v>
      </c>
      <c r="BH609" s="48" t="s">
        <v>2486</v>
      </c>
      <c r="BI609" s="98">
        <v>1.166208E-3</v>
      </c>
      <c r="BJ609" s="98">
        <v>11.66208</v>
      </c>
      <c r="BK609" s="48"/>
      <c r="BL609" s="487">
        <v>1.906360550479425</v>
      </c>
      <c r="BM609" s="47" t="s">
        <v>2487</v>
      </c>
      <c r="BN609" s="48"/>
      <c r="BO609" s="48"/>
      <c r="BP609" s="48"/>
      <c r="BQ609" s="48"/>
      <c r="BR609" s="47" t="e">
        <v>#VALUE!</v>
      </c>
      <c r="BS609" s="48"/>
      <c r="BT609" s="48"/>
      <c r="BU609" s="228"/>
      <c r="BV609" s="48"/>
      <c r="BW609" s="48"/>
      <c r="BX609" s="48"/>
      <c r="BY609" s="48"/>
      <c r="BZ609" s="48"/>
      <c r="CA609" s="48"/>
      <c r="CB609" s="48"/>
      <c r="CC609" s="48"/>
      <c r="CD609" s="48"/>
      <c r="CE609" s="48"/>
      <c r="CF609" s="48"/>
      <c r="CG609" s="48"/>
      <c r="CH609" s="48"/>
      <c r="CI609" s="98"/>
      <c r="CJ609" s="98"/>
      <c r="CK609" s="49">
        <f t="shared" ref="CK609:CK672" si="142">BL609/BJ609</f>
        <v>0.16346659862386684</v>
      </c>
      <c r="CL609" s="229"/>
      <c r="CM609" s="229"/>
      <c r="CN609" s="229"/>
      <c r="CO609" s="47" t="s">
        <v>2488</v>
      </c>
      <c r="CP609" s="500" t="s">
        <v>2489</v>
      </c>
      <c r="CQ609" s="224" t="s">
        <v>272</v>
      </c>
      <c r="CR609" s="224"/>
      <c r="CS609" s="230" t="s">
        <v>539</v>
      </c>
      <c r="CT609" s="230"/>
      <c r="CU609" s="230"/>
      <c r="CV609" s="335">
        <f t="shared" ref="CV609:CV672" si="143">X609/BJ609</f>
        <v>0.54878718033146745</v>
      </c>
      <c r="CW609" s="230">
        <f t="shared" si="141"/>
        <v>0</v>
      </c>
      <c r="CX609" s="336"/>
      <c r="CY609" s="230" t="s">
        <v>5921</v>
      </c>
    </row>
    <row r="610" spans="1:103" ht="11.25" customHeight="1" x14ac:dyDescent="0.2">
      <c r="A610" s="72">
        <v>929</v>
      </c>
      <c r="B610" s="224">
        <v>1840</v>
      </c>
      <c r="C610" s="46" t="s">
        <v>7121</v>
      </c>
      <c r="D610" s="46" t="s">
        <v>8577</v>
      </c>
      <c r="E610" s="114"/>
      <c r="F610" s="114" t="s">
        <v>5252</v>
      </c>
      <c r="G610" s="225">
        <v>103651</v>
      </c>
      <c r="H610" s="47" t="s">
        <v>5253</v>
      </c>
      <c r="I610" s="47" t="s">
        <v>5253</v>
      </c>
      <c r="J610" s="47" t="s">
        <v>5254</v>
      </c>
      <c r="K610" s="47" t="s">
        <v>426</v>
      </c>
      <c r="L610" s="47" t="s">
        <v>5527</v>
      </c>
      <c r="M610" s="47" t="s">
        <v>5960</v>
      </c>
      <c r="N610" s="47"/>
      <c r="O610" s="47"/>
      <c r="P610" s="53"/>
      <c r="Q610" s="53"/>
      <c r="R610" s="53"/>
      <c r="S610" s="53"/>
      <c r="T610" s="48">
        <v>120.19</v>
      </c>
      <c r="U610" s="98">
        <v>52.2</v>
      </c>
      <c r="V610" s="98">
        <v>70.73</v>
      </c>
      <c r="W610" s="98">
        <v>30.893586913098936</v>
      </c>
      <c r="X610" s="98">
        <v>52.2</v>
      </c>
      <c r="Y610" s="233">
        <v>7</v>
      </c>
      <c r="Z610" s="48">
        <v>3.52</v>
      </c>
      <c r="AA610" s="48">
        <v>3.69</v>
      </c>
      <c r="AB610" s="48">
        <v>3.64</v>
      </c>
      <c r="AC610" s="48">
        <v>0.90459999999999996</v>
      </c>
      <c r="AD610" s="48">
        <v>3.67</v>
      </c>
      <c r="AE610" s="48">
        <v>3.74</v>
      </c>
      <c r="AF610" s="48">
        <f t="shared" si="134"/>
        <v>3.69</v>
      </c>
      <c r="AG610" s="49">
        <v>3.07</v>
      </c>
      <c r="AH610" s="98">
        <v>1.0500000000000001E-2</v>
      </c>
      <c r="AI610" s="98">
        <v>1.0500000000000001E-2</v>
      </c>
      <c r="AJ610" s="483">
        <f t="shared" si="137"/>
        <v>-0.36737702724271376</v>
      </c>
      <c r="AK610" s="483">
        <f t="shared" si="140"/>
        <v>-0.36737702724271376</v>
      </c>
      <c r="AL610" s="483">
        <f t="shared" si="136"/>
        <v>-0.36737702724271376</v>
      </c>
      <c r="AM610" s="483">
        <v>-2.4804199999999996</v>
      </c>
      <c r="AN610" s="226">
        <v>-0.3</v>
      </c>
      <c r="AO610" s="484"/>
      <c r="AP610" s="484"/>
      <c r="AQ610" s="226" t="s">
        <v>6311</v>
      </c>
      <c r="AR610" s="226" t="s">
        <v>6311</v>
      </c>
      <c r="AS610" s="224"/>
      <c r="AT610" s="50" t="s">
        <v>266</v>
      </c>
      <c r="AU610" s="48">
        <v>6</v>
      </c>
      <c r="AV610" s="48">
        <v>120</v>
      </c>
      <c r="AW610" s="48">
        <v>114</v>
      </c>
      <c r="AX610" s="48">
        <v>28</v>
      </c>
      <c r="AY610" s="48" t="s">
        <v>8728</v>
      </c>
      <c r="AZ610" s="48" t="s">
        <v>1563</v>
      </c>
      <c r="BA610" s="48">
        <v>32</v>
      </c>
      <c r="BB610" s="47" t="s">
        <v>2485</v>
      </c>
      <c r="BC610" s="47" t="s">
        <v>8726</v>
      </c>
      <c r="BD610" s="47" t="s">
        <v>8374</v>
      </c>
      <c r="BE610" s="48" t="s">
        <v>2449</v>
      </c>
      <c r="BF610" s="48" t="s">
        <v>272</v>
      </c>
      <c r="BG610" s="48" t="s">
        <v>272</v>
      </c>
      <c r="BH610" s="48" t="s">
        <v>2486</v>
      </c>
      <c r="BI610" s="98">
        <v>7.6921599999999998E-4</v>
      </c>
      <c r="BJ610" s="98">
        <v>7.6921600000000003</v>
      </c>
      <c r="BK610" s="48"/>
      <c r="BL610" s="487">
        <v>4.2594775655066819</v>
      </c>
      <c r="BM610" s="47" t="s">
        <v>2487</v>
      </c>
      <c r="BN610" s="48"/>
      <c r="BO610" s="48"/>
      <c r="BP610" s="48"/>
      <c r="BQ610" s="48"/>
      <c r="BR610" s="47" t="e">
        <v>#VALUE!</v>
      </c>
      <c r="BS610" s="48"/>
      <c r="BT610" s="48"/>
      <c r="BU610" s="228"/>
      <c r="BV610" s="48"/>
      <c r="BW610" s="48"/>
      <c r="BX610" s="48"/>
      <c r="BY610" s="48"/>
      <c r="BZ610" s="48"/>
      <c r="CA610" s="48"/>
      <c r="CB610" s="48"/>
      <c r="CC610" s="48"/>
      <c r="CD610" s="48"/>
      <c r="CE610" s="48"/>
      <c r="CF610" s="48"/>
      <c r="CG610" s="48"/>
      <c r="CH610" s="48"/>
      <c r="CI610" s="98"/>
      <c r="CJ610" s="98"/>
      <c r="CK610" s="49">
        <f t="shared" si="142"/>
        <v>0.55374271537600384</v>
      </c>
      <c r="CL610" s="229"/>
      <c r="CM610" s="229"/>
      <c r="CN610" s="229"/>
      <c r="CO610" s="47" t="s">
        <v>2488</v>
      </c>
      <c r="CP610" s="500" t="s">
        <v>2489</v>
      </c>
      <c r="CQ610" s="224">
        <v>0.1903316981702915</v>
      </c>
      <c r="CR610" s="224">
        <f>10^(CJ610-CQ610)</f>
        <v>0.64516129032258063</v>
      </c>
      <c r="CS610" s="230" t="s">
        <v>539</v>
      </c>
      <c r="CT610" s="230"/>
      <c r="CU610" s="230"/>
      <c r="CV610" s="335">
        <f t="shared" si="143"/>
        <v>6.786130293701639</v>
      </c>
      <c r="CW610" s="230">
        <f t="shared" si="141"/>
        <v>1</v>
      </c>
      <c r="CX610" s="336"/>
      <c r="CY610" s="230" t="s">
        <v>5921</v>
      </c>
    </row>
    <row r="611" spans="1:103" ht="11.25" customHeight="1" x14ac:dyDescent="0.2">
      <c r="A611" s="72">
        <v>930</v>
      </c>
      <c r="B611" s="224">
        <v>1764</v>
      </c>
      <c r="C611" s="46" t="s">
        <v>7122</v>
      </c>
      <c r="D611" s="46"/>
      <c r="E611" s="114"/>
      <c r="F611" s="114" t="s">
        <v>5083</v>
      </c>
      <c r="G611" s="225">
        <v>103695</v>
      </c>
      <c r="H611" s="47" t="s">
        <v>5084</v>
      </c>
      <c r="I611" s="47" t="s">
        <v>5084</v>
      </c>
      <c r="J611" s="47" t="s">
        <v>5085</v>
      </c>
      <c r="K611" s="47" t="s">
        <v>426</v>
      </c>
      <c r="L611" s="47"/>
      <c r="M611" s="47"/>
      <c r="N611" s="47"/>
      <c r="O611" s="47"/>
      <c r="P611" s="53"/>
      <c r="Q611" s="53" t="s">
        <v>6173</v>
      </c>
      <c r="R611" s="53" t="s">
        <v>6185</v>
      </c>
      <c r="S611" s="53" t="s">
        <v>6176</v>
      </c>
      <c r="T611" s="48">
        <v>121.18</v>
      </c>
      <c r="U611" s="98">
        <v>2410</v>
      </c>
      <c r="V611" s="98">
        <v>1421</v>
      </c>
      <c r="W611" s="98">
        <v>1672.7496518457747</v>
      </c>
      <c r="X611" s="98">
        <v>2410</v>
      </c>
      <c r="Y611" s="233">
        <v>8.6300000000000008</v>
      </c>
      <c r="Z611" s="48">
        <v>2.11</v>
      </c>
      <c r="AA611" s="48">
        <v>2.16</v>
      </c>
      <c r="AB611" s="48">
        <v>2.25</v>
      </c>
      <c r="AC611" s="48">
        <v>0.85440000000000005</v>
      </c>
      <c r="AD611" s="48">
        <v>2.2200000000000002</v>
      </c>
      <c r="AE611" s="48">
        <v>2.13</v>
      </c>
      <c r="AF611" s="48">
        <f t="shared" si="134"/>
        <v>2.16</v>
      </c>
      <c r="AG611" s="49">
        <v>2.13</v>
      </c>
      <c r="AH611" s="98">
        <v>5.5500000000000002E-6</v>
      </c>
      <c r="AI611" s="98">
        <v>9.7799999999999995E-6</v>
      </c>
      <c r="AJ611" s="483">
        <f t="shared" si="137"/>
        <v>-3.6442733431899756</v>
      </c>
      <c r="AK611" s="483">
        <f t="shared" si="140"/>
        <v>-3.3982274715250504</v>
      </c>
      <c r="AL611" s="483">
        <f t="shared" si="136"/>
        <v>-3.3982274715250504</v>
      </c>
      <c r="AM611" s="483">
        <v>-5.4104200000000002</v>
      </c>
      <c r="AN611" s="226">
        <v>-3.34</v>
      </c>
      <c r="AO611" s="484"/>
      <c r="AP611" s="484">
        <v>5.12</v>
      </c>
      <c r="AQ611" s="226" t="s">
        <v>6311</v>
      </c>
      <c r="AR611" s="226" t="s">
        <v>6311</v>
      </c>
      <c r="AS611" s="224"/>
      <c r="AT611" s="50" t="s">
        <v>266</v>
      </c>
      <c r="AU611" s="48">
        <v>6</v>
      </c>
      <c r="AV611" s="48">
        <v>120</v>
      </c>
      <c r="AW611" s="48">
        <v>114</v>
      </c>
      <c r="AX611" s="48">
        <v>28</v>
      </c>
      <c r="AY611" s="48" t="s">
        <v>8728</v>
      </c>
      <c r="AZ611" s="48" t="s">
        <v>1563</v>
      </c>
      <c r="BA611" s="48">
        <v>32</v>
      </c>
      <c r="BB611" s="47" t="s">
        <v>2485</v>
      </c>
      <c r="BC611" s="47" t="s">
        <v>8726</v>
      </c>
      <c r="BD611" s="47" t="s">
        <v>8374</v>
      </c>
      <c r="BE611" s="48" t="s">
        <v>2449</v>
      </c>
      <c r="BF611" s="48" t="s">
        <v>272</v>
      </c>
      <c r="BG611" s="48" t="s">
        <v>272</v>
      </c>
      <c r="BH611" s="48" t="s">
        <v>2486</v>
      </c>
      <c r="BI611" s="98">
        <v>7.7555199999999999E-4</v>
      </c>
      <c r="BJ611" s="98">
        <v>7.7555200000000006</v>
      </c>
      <c r="BK611" s="48"/>
      <c r="BL611" s="487">
        <v>79.293930928435501</v>
      </c>
      <c r="BM611" s="47" t="s">
        <v>2487</v>
      </c>
      <c r="BN611" s="48"/>
      <c r="BO611" s="48"/>
      <c r="BP611" s="48"/>
      <c r="BQ611" s="48"/>
      <c r="BR611" s="47" t="e">
        <v>#VALUE!</v>
      </c>
      <c r="BS611" s="48"/>
      <c r="BT611" s="48"/>
      <c r="BU611" s="228"/>
      <c r="BV611" s="48"/>
      <c r="BW611" s="48"/>
      <c r="BX611" s="48"/>
      <c r="BY611" s="48"/>
      <c r="BZ611" s="48"/>
      <c r="CA611" s="48"/>
      <c r="CB611" s="48"/>
      <c r="CC611" s="48"/>
      <c r="CD611" s="48"/>
      <c r="CE611" s="48"/>
      <c r="CF611" s="48"/>
      <c r="CG611" s="48"/>
      <c r="CH611" s="48"/>
      <c r="CI611" s="98"/>
      <c r="CJ611" s="98"/>
      <c r="CK611" s="49">
        <f t="shared" si="142"/>
        <v>10.224192694807762</v>
      </c>
      <c r="CL611" s="229"/>
      <c r="CM611" s="229"/>
      <c r="CN611" s="229"/>
      <c r="CO611" s="47" t="s">
        <v>2488</v>
      </c>
      <c r="CP611" s="500" t="s">
        <v>2489</v>
      </c>
      <c r="CQ611" s="224" t="s">
        <v>272</v>
      </c>
      <c r="CR611" s="224"/>
      <c r="CS611" s="230" t="s">
        <v>539</v>
      </c>
      <c r="CT611" s="230"/>
      <c r="CU611" s="230"/>
      <c r="CV611" s="335">
        <f t="shared" si="143"/>
        <v>310.74641029872913</v>
      </c>
      <c r="CW611" s="230">
        <f t="shared" si="141"/>
        <v>1</v>
      </c>
      <c r="CX611" s="336"/>
      <c r="CY611" s="230" t="s">
        <v>6351</v>
      </c>
    </row>
    <row r="612" spans="1:103" ht="11.25" customHeight="1" x14ac:dyDescent="0.2">
      <c r="A612" s="72">
        <v>931</v>
      </c>
      <c r="B612" s="224">
        <v>1487</v>
      </c>
      <c r="C612" s="46" t="s">
        <v>7123</v>
      </c>
      <c r="D612" s="46"/>
      <c r="E612" s="114"/>
      <c r="F612" s="114" t="s">
        <v>556</v>
      </c>
      <c r="G612" s="225">
        <v>103902</v>
      </c>
      <c r="H612" s="47" t="s">
        <v>462</v>
      </c>
      <c r="I612" s="47" t="s">
        <v>462</v>
      </c>
      <c r="J612" s="47" t="s">
        <v>463</v>
      </c>
      <c r="K612" s="47" t="s">
        <v>464</v>
      </c>
      <c r="L612" s="51" t="s">
        <v>279</v>
      </c>
      <c r="M612" s="47" t="s">
        <v>465</v>
      </c>
      <c r="N612" s="47" t="s">
        <v>6384</v>
      </c>
      <c r="O612" s="47" t="s">
        <v>281</v>
      </c>
      <c r="P612" s="53"/>
      <c r="Q612" s="53" t="s">
        <v>6173</v>
      </c>
      <c r="R612" s="53" t="s">
        <v>6175</v>
      </c>
      <c r="S612" s="53" t="s">
        <v>6182</v>
      </c>
      <c r="T612" s="48">
        <v>151.16</v>
      </c>
      <c r="U612" s="98">
        <v>14000</v>
      </c>
      <c r="V612" s="98">
        <v>30350</v>
      </c>
      <c r="W612" s="98">
        <v>17759.751440465923</v>
      </c>
      <c r="X612" s="98">
        <v>14000</v>
      </c>
      <c r="Y612" s="233">
        <v>5.7</v>
      </c>
      <c r="Z612" s="48">
        <v>0.27</v>
      </c>
      <c r="AA612" s="48">
        <v>0.46</v>
      </c>
      <c r="AB612" s="48">
        <v>0.43</v>
      </c>
      <c r="AC612" s="48">
        <v>0.85150000000000003</v>
      </c>
      <c r="AD612" s="48">
        <v>0.4</v>
      </c>
      <c r="AE612" s="48">
        <v>0.34</v>
      </c>
      <c r="AF612" s="48">
        <f t="shared" ref="AF612:AF675" si="144">IF(AA612=0,AD612,AA612)</f>
        <v>0.46</v>
      </c>
      <c r="AG612" s="49">
        <v>0.91</v>
      </c>
      <c r="AH612" s="98">
        <v>6.4199999999999999E-13</v>
      </c>
      <c r="AI612" s="98"/>
      <c r="AJ612" s="483">
        <f t="shared" si="137"/>
        <v>-10.581031298243799</v>
      </c>
      <c r="AK612" s="483"/>
      <c r="AL612" s="483">
        <f t="shared" si="136"/>
        <v>-10.581031298243799</v>
      </c>
      <c r="AM612" s="483">
        <v>-13.617180000000001</v>
      </c>
      <c r="AN612" s="226">
        <v>-11.6</v>
      </c>
      <c r="AO612" s="484">
        <v>9.86</v>
      </c>
      <c r="AP612" s="484">
        <v>1.72</v>
      </c>
      <c r="AQ612" s="48" t="s">
        <v>6311</v>
      </c>
      <c r="AR612" s="48" t="s">
        <v>6311</v>
      </c>
      <c r="AS612" s="227"/>
      <c r="AT612" s="50" t="s">
        <v>266</v>
      </c>
      <c r="AU612" s="48">
        <v>6</v>
      </c>
      <c r="AV612" s="48">
        <v>120</v>
      </c>
      <c r="AW612" s="48">
        <v>114</v>
      </c>
      <c r="AX612" s="48">
        <v>28</v>
      </c>
      <c r="AY612" s="48" t="s">
        <v>8728</v>
      </c>
      <c r="AZ612" s="48" t="s">
        <v>1563</v>
      </c>
      <c r="BA612" s="48">
        <v>32</v>
      </c>
      <c r="BB612" s="47" t="s">
        <v>2485</v>
      </c>
      <c r="BC612" s="47" t="s">
        <v>8726</v>
      </c>
      <c r="BD612" s="47" t="s">
        <v>8374</v>
      </c>
      <c r="BE612" s="48" t="s">
        <v>2449</v>
      </c>
      <c r="BF612" s="48" t="s">
        <v>272</v>
      </c>
      <c r="BG612" s="48" t="s">
        <v>272</v>
      </c>
      <c r="BH612" s="48" t="s">
        <v>2486</v>
      </c>
      <c r="BI612" s="98">
        <v>9.6742399999999993E-4</v>
      </c>
      <c r="BJ612" s="98">
        <v>9.6742399999999993</v>
      </c>
      <c r="BK612" s="48"/>
      <c r="BL612" s="487">
        <v>4443.7527132617224</v>
      </c>
      <c r="BM612" s="47" t="s">
        <v>2487</v>
      </c>
      <c r="BN612" s="48"/>
      <c r="BO612" s="48"/>
      <c r="BP612" s="48"/>
      <c r="BQ612" s="48"/>
      <c r="BR612" s="47" t="e">
        <v>#VALUE!</v>
      </c>
      <c r="BS612" s="48"/>
      <c r="BT612" s="48"/>
      <c r="BU612" s="228"/>
      <c r="BV612" s="48"/>
      <c r="BW612" s="48"/>
      <c r="BX612" s="48"/>
      <c r="BY612" s="48"/>
      <c r="BZ612" s="48"/>
      <c r="CA612" s="48"/>
      <c r="CB612" s="48"/>
      <c r="CC612" s="48"/>
      <c r="CD612" s="48"/>
      <c r="CE612" s="48"/>
      <c r="CF612" s="48"/>
      <c r="CG612" s="48"/>
      <c r="CH612" s="48"/>
      <c r="CI612" s="98"/>
      <c r="CJ612" s="98"/>
      <c r="CK612" s="49">
        <f t="shared" si="142"/>
        <v>459.33868844082042</v>
      </c>
      <c r="CL612" s="229"/>
      <c r="CM612" s="229">
        <v>2.9100902170651883</v>
      </c>
      <c r="CN612" s="229">
        <f>BJ612/(10^CM612)</f>
        <v>1.1899443195859168E-2</v>
      </c>
      <c r="CO612" s="47" t="s">
        <v>2488</v>
      </c>
      <c r="CP612" s="500" t="s">
        <v>2489</v>
      </c>
      <c r="CQ612" s="224">
        <v>2.9100902170651883</v>
      </c>
      <c r="CR612" s="224">
        <f>10^(CJ612-CQ612)</f>
        <v>1.2300132305854692E-3</v>
      </c>
      <c r="CS612" s="230" t="s">
        <v>539</v>
      </c>
      <c r="CT612" s="230"/>
      <c r="CU612" s="230"/>
      <c r="CV612" s="335">
        <f t="shared" si="143"/>
        <v>1447.1421010849433</v>
      </c>
      <c r="CW612" s="230">
        <f t="shared" si="141"/>
        <v>1</v>
      </c>
      <c r="CX612" s="336"/>
      <c r="CY612" s="230" t="s">
        <v>6351</v>
      </c>
    </row>
    <row r="613" spans="1:103" ht="11.25" customHeight="1" x14ac:dyDescent="0.2">
      <c r="A613" s="72">
        <v>932</v>
      </c>
      <c r="B613" s="224">
        <v>1540</v>
      </c>
      <c r="C613" s="46" t="s">
        <v>7124</v>
      </c>
      <c r="D613" s="46"/>
      <c r="E613" s="114"/>
      <c r="F613" s="114" t="s">
        <v>4655</v>
      </c>
      <c r="G613" s="225">
        <v>104518</v>
      </c>
      <c r="H613" s="47" t="s">
        <v>4656</v>
      </c>
      <c r="I613" s="47" t="s">
        <v>4656</v>
      </c>
      <c r="J613" s="47" t="s">
        <v>4657</v>
      </c>
      <c r="K613" s="47" t="s">
        <v>426</v>
      </c>
      <c r="L613" s="47" t="s">
        <v>6025</v>
      </c>
      <c r="M613" s="47" t="s">
        <v>5960</v>
      </c>
      <c r="N613" s="47"/>
      <c r="O613" s="47"/>
      <c r="P613" s="53" t="s">
        <v>6183</v>
      </c>
      <c r="Q613" s="53" t="s">
        <v>6179</v>
      </c>
      <c r="R613" s="53" t="s">
        <v>6185</v>
      </c>
      <c r="S613" s="53" t="s">
        <v>6176</v>
      </c>
      <c r="T613" s="48">
        <v>134.22</v>
      </c>
      <c r="U613" s="98">
        <v>11.8</v>
      </c>
      <c r="V613" s="98">
        <v>16.079999999999998</v>
      </c>
      <c r="W613" s="98">
        <v>7.5477452667048617</v>
      </c>
      <c r="X613" s="98">
        <v>11.8</v>
      </c>
      <c r="Y613" s="233">
        <v>7</v>
      </c>
      <c r="Z613" s="48">
        <v>4.01</v>
      </c>
      <c r="AA613" s="48">
        <v>4.38</v>
      </c>
      <c r="AB613" s="48">
        <v>4.0599999999999996</v>
      </c>
      <c r="AC613" s="48">
        <v>0.88329999999999997</v>
      </c>
      <c r="AD613" s="48">
        <v>4.12</v>
      </c>
      <c r="AE613" s="48">
        <v>4.2699999999999996</v>
      </c>
      <c r="AF613" s="48">
        <f t="shared" si="144"/>
        <v>4.38</v>
      </c>
      <c r="AG613" s="49">
        <v>3.51</v>
      </c>
      <c r="AH613" s="98">
        <v>1.3899999999999999E-2</v>
      </c>
      <c r="AI613" s="98">
        <v>1.5900000000000001E-2</v>
      </c>
      <c r="AJ613" s="483">
        <f t="shared" si="137"/>
        <v>-0.24555152605855673</v>
      </c>
      <c r="AK613" s="483">
        <f>LOG10(AI613*1000/(0.08206*298.15))</f>
        <v>-0.18716920199220033</v>
      </c>
      <c r="AL613" s="483">
        <f t="shared" si="136"/>
        <v>-0.18716920199220033</v>
      </c>
      <c r="AM613" s="483">
        <v>-2.6603600000000003</v>
      </c>
      <c r="AN613" s="226">
        <v>-0.16900000000000001</v>
      </c>
      <c r="AO613" s="484"/>
      <c r="AP613" s="484"/>
      <c r="AQ613" s="48" t="s">
        <v>6311</v>
      </c>
      <c r="AR613" s="48" t="s">
        <v>6311</v>
      </c>
      <c r="AS613" s="227"/>
      <c r="AT613" s="50" t="s">
        <v>266</v>
      </c>
      <c r="AU613" s="48">
        <v>6</v>
      </c>
      <c r="AV613" s="48">
        <v>120</v>
      </c>
      <c r="AW613" s="48">
        <v>114</v>
      </c>
      <c r="AX613" s="48">
        <v>28</v>
      </c>
      <c r="AY613" s="48" t="s">
        <v>8728</v>
      </c>
      <c r="AZ613" s="48" t="s">
        <v>1563</v>
      </c>
      <c r="BA613" s="48">
        <v>32</v>
      </c>
      <c r="BB613" s="47" t="s">
        <v>2485</v>
      </c>
      <c r="BC613" s="47" t="s">
        <v>8726</v>
      </c>
      <c r="BD613" s="47" t="s">
        <v>8374</v>
      </c>
      <c r="BE613" s="48" t="s">
        <v>2449</v>
      </c>
      <c r="BF613" s="48" t="s">
        <v>272</v>
      </c>
      <c r="BG613" s="48" t="s">
        <v>272</v>
      </c>
      <c r="BH613" s="48" t="s">
        <v>2486</v>
      </c>
      <c r="BI613" s="98">
        <v>8.5900799999999997E-4</v>
      </c>
      <c r="BJ613" s="98">
        <v>8.5900800000000004</v>
      </c>
      <c r="BK613" s="48"/>
      <c r="BL613" s="487">
        <v>1.7267769168671359</v>
      </c>
      <c r="BM613" s="47" t="s">
        <v>2487</v>
      </c>
      <c r="BN613" s="48"/>
      <c r="BO613" s="48"/>
      <c r="BP613" s="48"/>
      <c r="BQ613" s="48"/>
      <c r="BR613" s="47" t="e">
        <v>#VALUE!</v>
      </c>
      <c r="BS613" s="48"/>
      <c r="BT613" s="48"/>
      <c r="BU613" s="228"/>
      <c r="BV613" s="48"/>
      <c r="BW613" s="48"/>
      <c r="BX613" s="48"/>
      <c r="BY613" s="48"/>
      <c r="BZ613" s="48"/>
      <c r="CA613" s="48"/>
      <c r="CB613" s="48"/>
      <c r="CC613" s="48"/>
      <c r="CD613" s="48"/>
      <c r="CE613" s="48"/>
      <c r="CF613" s="48"/>
      <c r="CG613" s="48"/>
      <c r="CH613" s="48"/>
      <c r="CI613" s="98"/>
      <c r="CJ613" s="98"/>
      <c r="CK613" s="49">
        <f t="shared" si="142"/>
        <v>0.20101988769221424</v>
      </c>
      <c r="CL613" s="229"/>
      <c r="CM613" s="229"/>
      <c r="CN613" s="229"/>
      <c r="CO613" s="47" t="s">
        <v>2488</v>
      </c>
      <c r="CP613" s="500" t="s">
        <v>2489</v>
      </c>
      <c r="CQ613" s="224">
        <v>0.29885307640970665</v>
      </c>
      <c r="CR613" s="224">
        <f>10^(CJ613-CQ613)</f>
        <v>0.50251256281407031</v>
      </c>
      <c r="CS613" s="230" t="s">
        <v>539</v>
      </c>
      <c r="CT613" s="230"/>
      <c r="CU613" s="230"/>
      <c r="CV613" s="335">
        <f t="shared" si="143"/>
        <v>1.3736775443302041</v>
      </c>
      <c r="CW613" s="230">
        <f t="shared" si="141"/>
        <v>1</v>
      </c>
      <c r="CX613" s="336"/>
      <c r="CY613" s="230" t="s">
        <v>5921</v>
      </c>
    </row>
    <row r="614" spans="1:103" ht="11.25" customHeight="1" x14ac:dyDescent="0.2">
      <c r="A614" s="72">
        <v>933</v>
      </c>
      <c r="B614" s="224">
        <v>1397</v>
      </c>
      <c r="C614" s="46" t="s">
        <v>7125</v>
      </c>
      <c r="D614" s="46" t="s">
        <v>8710</v>
      </c>
      <c r="E614" s="114"/>
      <c r="F614" s="114" t="s">
        <v>4307</v>
      </c>
      <c r="G614" s="225">
        <v>104767</v>
      </c>
      <c r="H614" s="47" t="s">
        <v>4308</v>
      </c>
      <c r="I614" s="47" t="s">
        <v>4308</v>
      </c>
      <c r="J614" s="47" t="s">
        <v>4309</v>
      </c>
      <c r="K614" s="47" t="s">
        <v>426</v>
      </c>
      <c r="L614" s="47" t="s">
        <v>5527</v>
      </c>
      <c r="M614" s="47" t="s">
        <v>6082</v>
      </c>
      <c r="N614" s="47" t="s">
        <v>6082</v>
      </c>
      <c r="O614" s="47" t="s">
        <v>6083</v>
      </c>
      <c r="P614" s="53" t="s">
        <v>6183</v>
      </c>
      <c r="Q614" s="53" t="s">
        <v>6173</v>
      </c>
      <c r="R614" s="53" t="s">
        <v>6185</v>
      </c>
      <c r="S614" s="53" t="s">
        <v>6176</v>
      </c>
      <c r="T614" s="48">
        <v>130.22999999999999</v>
      </c>
      <c r="U614" s="98">
        <v>880</v>
      </c>
      <c r="V614" s="98">
        <v>1379</v>
      </c>
      <c r="W614" s="98">
        <v>1530.069085797749</v>
      </c>
      <c r="X614" s="98">
        <v>880</v>
      </c>
      <c r="Y614" s="233">
        <v>7</v>
      </c>
      <c r="Z614" s="48">
        <v>2.73</v>
      </c>
      <c r="AA614" s="48"/>
      <c r="AB614" s="48">
        <v>2.44</v>
      </c>
      <c r="AC614" s="48">
        <v>0.93489999999999995</v>
      </c>
      <c r="AD614" s="48">
        <v>2.52</v>
      </c>
      <c r="AE614" s="48">
        <v>2.82</v>
      </c>
      <c r="AF614" s="48">
        <f t="shared" si="144"/>
        <v>2.52</v>
      </c>
      <c r="AG614" s="49">
        <v>2.46</v>
      </c>
      <c r="AH614" s="98">
        <v>3.1000000000000001E-5</v>
      </c>
      <c r="AI614" s="98">
        <v>2.65E-5</v>
      </c>
      <c r="AJ614" s="483">
        <f t="shared" si="137"/>
        <v>-2.8972046324783789</v>
      </c>
      <c r="AK614" s="483">
        <f>LOG10(AI614*1000/(0.08206*298.15))</f>
        <v>-2.9653204523758441</v>
      </c>
      <c r="AL614" s="483">
        <f t="shared" si="136"/>
        <v>-2.9653204523758441</v>
      </c>
      <c r="AM614" s="483">
        <v>-4.0063899999999997</v>
      </c>
      <c r="AN614" s="226">
        <v>-2.78</v>
      </c>
      <c r="AO614" s="484">
        <v>15.05</v>
      </c>
      <c r="AP614" s="484"/>
      <c r="AQ614" s="48" t="s">
        <v>6311</v>
      </c>
      <c r="AR614" s="48" t="s">
        <v>6311</v>
      </c>
      <c r="AS614" s="227"/>
      <c r="AT614" s="50" t="s">
        <v>266</v>
      </c>
      <c r="AU614" s="48">
        <v>6</v>
      </c>
      <c r="AV614" s="48">
        <v>120</v>
      </c>
      <c r="AW614" s="48">
        <v>114</v>
      </c>
      <c r="AX614" s="48">
        <v>28</v>
      </c>
      <c r="AY614" s="48" t="s">
        <v>8728</v>
      </c>
      <c r="AZ614" s="48" t="s">
        <v>1563</v>
      </c>
      <c r="BA614" s="48">
        <v>32</v>
      </c>
      <c r="BB614" s="47" t="s">
        <v>2485</v>
      </c>
      <c r="BC614" s="47" t="s">
        <v>8726</v>
      </c>
      <c r="BD614" s="47" t="s">
        <v>8374</v>
      </c>
      <c r="BE614" s="48" t="s">
        <v>2449</v>
      </c>
      <c r="BF614" s="48" t="s">
        <v>272</v>
      </c>
      <c r="BG614" s="48" t="s">
        <v>272</v>
      </c>
      <c r="BH614" s="48" t="s">
        <v>2486</v>
      </c>
      <c r="BI614" s="98">
        <v>8.3347199999999992E-4</v>
      </c>
      <c r="BJ614" s="98">
        <v>8.334719999999999</v>
      </c>
      <c r="BK614" s="48"/>
      <c r="BL614" s="487">
        <v>23.642752752851639</v>
      </c>
      <c r="BM614" s="47" t="s">
        <v>2487</v>
      </c>
      <c r="BN614" s="48"/>
      <c r="BO614" s="48"/>
      <c r="BP614" s="48"/>
      <c r="BQ614" s="48"/>
      <c r="BR614" s="47" t="e">
        <v>#VALUE!</v>
      </c>
      <c r="BS614" s="48"/>
      <c r="BT614" s="48"/>
      <c r="BU614" s="228"/>
      <c r="BV614" s="48"/>
      <c r="BW614" s="48"/>
      <c r="BX614" s="48"/>
      <c r="BY614" s="48"/>
      <c r="BZ614" s="48"/>
      <c r="CA614" s="48"/>
      <c r="CB614" s="48"/>
      <c r="CC614" s="48"/>
      <c r="CD614" s="48"/>
      <c r="CE614" s="48"/>
      <c r="CF614" s="48"/>
      <c r="CG614" s="48"/>
      <c r="CH614" s="48"/>
      <c r="CI614" s="98"/>
      <c r="CJ614" s="98"/>
      <c r="CK614" s="49">
        <f t="shared" si="142"/>
        <v>2.8366583103993466</v>
      </c>
      <c r="CL614" s="229"/>
      <c r="CM614" s="229"/>
      <c r="CN614" s="229"/>
      <c r="CO614" s="47" t="s">
        <v>2488</v>
      </c>
      <c r="CP614" s="500" t="s">
        <v>2489</v>
      </c>
      <c r="CQ614" s="224">
        <v>1.2274224300042551</v>
      </c>
      <c r="CR614" s="224">
        <f>10^(CJ614-CQ614)</f>
        <v>5.9234887775909233E-2</v>
      </c>
      <c r="CS614" s="230" t="s">
        <v>539</v>
      </c>
      <c r="CT614" s="230"/>
      <c r="CU614" s="230"/>
      <c r="CV614" s="335">
        <f t="shared" si="143"/>
        <v>105.58243108346772</v>
      </c>
      <c r="CW614" s="230">
        <f t="shared" si="141"/>
        <v>1</v>
      </c>
      <c r="CX614" s="336"/>
      <c r="CY614" s="230" t="s">
        <v>6351</v>
      </c>
    </row>
    <row r="615" spans="1:103" ht="11.25" customHeight="1" x14ac:dyDescent="0.2">
      <c r="A615" s="72">
        <v>934</v>
      </c>
      <c r="B615" s="224">
        <v>1647</v>
      </c>
      <c r="C615" s="46" t="s">
        <v>7126</v>
      </c>
      <c r="D615" s="46"/>
      <c r="E615" s="114"/>
      <c r="F615" s="114" t="s">
        <v>4851</v>
      </c>
      <c r="G615" s="225">
        <v>105544</v>
      </c>
      <c r="H615" s="47" t="s">
        <v>4852</v>
      </c>
      <c r="I615" s="47" t="s">
        <v>4852</v>
      </c>
      <c r="J615" s="47" t="s">
        <v>4853</v>
      </c>
      <c r="K615" s="47" t="s">
        <v>357</v>
      </c>
      <c r="L615" s="47"/>
      <c r="M615" s="47"/>
      <c r="N615" s="47"/>
      <c r="O615" s="47"/>
      <c r="P615" s="53"/>
      <c r="Q615" s="53"/>
      <c r="R615" s="53"/>
      <c r="S615" s="53"/>
      <c r="T615" s="48">
        <v>116.16</v>
      </c>
      <c r="U615" s="98">
        <v>4900</v>
      </c>
      <c r="V615" s="98">
        <v>2745</v>
      </c>
      <c r="W615" s="98">
        <v>8415.0481122310812</v>
      </c>
      <c r="X615" s="98">
        <v>4900</v>
      </c>
      <c r="Y615" s="233">
        <v>7</v>
      </c>
      <c r="Z615" s="48">
        <v>1.85</v>
      </c>
      <c r="AA615" s="48"/>
      <c r="AB615" s="48">
        <v>1.86</v>
      </c>
      <c r="AC615" s="48">
        <v>0.93179999999999996</v>
      </c>
      <c r="AD615" s="48">
        <v>1.84</v>
      </c>
      <c r="AE615" s="48">
        <v>1.77</v>
      </c>
      <c r="AF615" s="48">
        <f t="shared" si="144"/>
        <v>1.84</v>
      </c>
      <c r="AG615" s="49">
        <v>1.42</v>
      </c>
      <c r="AH615" s="98">
        <v>4.0999999999999999E-4</v>
      </c>
      <c r="AI615" s="98">
        <v>3.9899999999999999E-4</v>
      </c>
      <c r="AJ615" s="483">
        <f t="shared" si="137"/>
        <v>-1.7757824695929163</v>
      </c>
      <c r="AK615" s="483">
        <f>LOG10(AI615*1000/(0.08206*298.15))</f>
        <v>-1.7875934306259036</v>
      </c>
      <c r="AL615" s="483">
        <f t="shared" si="136"/>
        <v>-1.7875934306259036</v>
      </c>
      <c r="AM615" s="483">
        <v>-2.8892899999999999</v>
      </c>
      <c r="AN615" s="226">
        <v>-2.0499999999999998</v>
      </c>
      <c r="AO615" s="484"/>
      <c r="AP615" s="484"/>
      <c r="AQ615" s="226" t="s">
        <v>6311</v>
      </c>
      <c r="AR615" s="226" t="s">
        <v>6312</v>
      </c>
      <c r="AS615" s="224"/>
      <c r="AT615" s="50" t="s">
        <v>266</v>
      </c>
      <c r="AU615" s="48">
        <v>6</v>
      </c>
      <c r="AV615" s="48">
        <v>120</v>
      </c>
      <c r="AW615" s="48">
        <v>114</v>
      </c>
      <c r="AX615" s="48">
        <v>28</v>
      </c>
      <c r="AY615" s="48" t="s">
        <v>8728</v>
      </c>
      <c r="AZ615" s="48" t="s">
        <v>1563</v>
      </c>
      <c r="BA615" s="48">
        <v>32</v>
      </c>
      <c r="BB615" s="47" t="s">
        <v>2485</v>
      </c>
      <c r="BC615" s="47" t="s">
        <v>8726</v>
      </c>
      <c r="BD615" s="47" t="s">
        <v>8374</v>
      </c>
      <c r="BE615" s="48" t="s">
        <v>2449</v>
      </c>
      <c r="BF615" s="48" t="s">
        <v>272</v>
      </c>
      <c r="BG615" s="48" t="s">
        <v>272</v>
      </c>
      <c r="BH615" s="48" t="s">
        <v>2486</v>
      </c>
      <c r="BI615" s="98">
        <v>7.4342399999999991E-4</v>
      </c>
      <c r="BJ615" s="98">
        <v>7.43424</v>
      </c>
      <c r="BK615" s="48"/>
      <c r="BL615" s="487">
        <v>130.12825420699681</v>
      </c>
      <c r="BM615" s="47" t="s">
        <v>2487</v>
      </c>
      <c r="BN615" s="48"/>
      <c r="BO615" s="48"/>
      <c r="BP615" s="48"/>
      <c r="BQ615" s="48"/>
      <c r="BR615" s="47" t="e">
        <v>#VALUE!</v>
      </c>
      <c r="BS615" s="48"/>
      <c r="BT615" s="48"/>
      <c r="BU615" s="228"/>
      <c r="BV615" s="48"/>
      <c r="BW615" s="48"/>
      <c r="BX615" s="48"/>
      <c r="BY615" s="48"/>
      <c r="BZ615" s="48"/>
      <c r="CA615" s="48"/>
      <c r="CB615" s="48"/>
      <c r="CC615" s="48"/>
      <c r="CD615" s="48"/>
      <c r="CE615" s="48"/>
      <c r="CF615" s="48"/>
      <c r="CG615" s="48"/>
      <c r="CH615" s="48"/>
      <c r="CI615" s="98"/>
      <c r="CJ615" s="98"/>
      <c r="CK615" s="49">
        <f t="shared" si="142"/>
        <v>17.503908161022082</v>
      </c>
      <c r="CL615" s="229"/>
      <c r="CM615" s="229"/>
      <c r="CN615" s="229"/>
      <c r="CO615" s="47" t="s">
        <v>2488</v>
      </c>
      <c r="CP615" s="500" t="s">
        <v>2489</v>
      </c>
      <c r="CQ615" s="224" t="s">
        <v>272</v>
      </c>
      <c r="CR615" s="224"/>
      <c r="CS615" s="230" t="s">
        <v>539</v>
      </c>
      <c r="CT615" s="230"/>
      <c r="CU615" s="230"/>
      <c r="CV615" s="335">
        <f t="shared" si="143"/>
        <v>659.11243112947659</v>
      </c>
      <c r="CW615" s="230">
        <f t="shared" si="141"/>
        <v>1</v>
      </c>
      <c r="CX615" s="336"/>
      <c r="CY615" s="230" t="s">
        <v>5921</v>
      </c>
    </row>
    <row r="616" spans="1:103" ht="11.25" customHeight="1" x14ac:dyDescent="0.2">
      <c r="A616" s="72">
        <v>935</v>
      </c>
      <c r="B616" s="224">
        <v>1544</v>
      </c>
      <c r="C616" s="46" t="s">
        <v>7127</v>
      </c>
      <c r="D616" s="46"/>
      <c r="E616" s="114"/>
      <c r="F616" s="114" t="s">
        <v>4666</v>
      </c>
      <c r="G616" s="225">
        <v>105602</v>
      </c>
      <c r="H616" s="47" t="s">
        <v>4667</v>
      </c>
      <c r="I616" s="47" t="s">
        <v>4667</v>
      </c>
      <c r="J616" s="47" t="s">
        <v>4668</v>
      </c>
      <c r="K616" s="47" t="s">
        <v>471</v>
      </c>
      <c r="L616" s="47"/>
      <c r="M616" s="47"/>
      <c r="N616" s="47"/>
      <c r="O616" s="47"/>
      <c r="P616" s="53"/>
      <c r="Q616" s="53"/>
      <c r="R616" s="53"/>
      <c r="S616" s="53"/>
      <c r="T616" s="48">
        <v>113.16</v>
      </c>
      <c r="U616" s="98">
        <v>772000</v>
      </c>
      <c r="V616" s="98">
        <v>28720</v>
      </c>
      <c r="W616" s="98">
        <v>21071.378038477003</v>
      </c>
      <c r="X616" s="98">
        <v>772000</v>
      </c>
      <c r="Y616" s="233">
        <v>7.03</v>
      </c>
      <c r="Z616" s="48">
        <v>0.66</v>
      </c>
      <c r="AA616" s="48"/>
      <c r="AB616" s="48">
        <v>0.11</v>
      </c>
      <c r="AC616" s="48">
        <v>0.82720000000000005</v>
      </c>
      <c r="AD616" s="48">
        <v>-0.02</v>
      </c>
      <c r="AE616" s="48">
        <v>-0.32</v>
      </c>
      <c r="AF616" s="48">
        <f t="shared" si="144"/>
        <v>-0.02</v>
      </c>
      <c r="AG616" s="49">
        <v>0.53</v>
      </c>
      <c r="AH616" s="98">
        <v>2.5300000000000002E-8</v>
      </c>
      <c r="AI616" s="98"/>
      <c r="AJ616" s="483">
        <f t="shared" si="137"/>
        <v>-5.985445805136834</v>
      </c>
      <c r="AK616" s="483"/>
      <c r="AL616" s="483">
        <f t="shared" ref="AL616:AL679" si="145">IF(AK616=0,AJ616,AK616)</f>
        <v>-5.985445805136834</v>
      </c>
      <c r="AM616" s="483">
        <v>-7.3831499999999988</v>
      </c>
      <c r="AN616" s="226">
        <v>-7.79</v>
      </c>
      <c r="AO616" s="484">
        <v>16.61</v>
      </c>
      <c r="AP616" s="484">
        <v>-0.14000000000000001</v>
      </c>
      <c r="AQ616" s="48" t="s">
        <v>6311</v>
      </c>
      <c r="AR616" s="48" t="s">
        <v>6311</v>
      </c>
      <c r="AS616" s="227"/>
      <c r="AT616" s="50" t="s">
        <v>266</v>
      </c>
      <c r="AU616" s="48">
        <v>6</v>
      </c>
      <c r="AV616" s="48">
        <v>120</v>
      </c>
      <c r="AW616" s="48">
        <v>114</v>
      </c>
      <c r="AX616" s="48">
        <v>28</v>
      </c>
      <c r="AY616" s="48" t="s">
        <v>8728</v>
      </c>
      <c r="AZ616" s="48" t="s">
        <v>1563</v>
      </c>
      <c r="BA616" s="48">
        <v>32</v>
      </c>
      <c r="BB616" s="47" t="s">
        <v>2485</v>
      </c>
      <c r="BC616" s="47" t="s">
        <v>8726</v>
      </c>
      <c r="BD616" s="47" t="s">
        <v>8374</v>
      </c>
      <c r="BE616" s="48" t="s">
        <v>2449</v>
      </c>
      <c r="BF616" s="48" t="s">
        <v>272</v>
      </c>
      <c r="BG616" s="48" t="s">
        <v>272</v>
      </c>
      <c r="BH616" s="48" t="s">
        <v>2486</v>
      </c>
      <c r="BI616" s="98">
        <v>7.2422399999999998E-4</v>
      </c>
      <c r="BJ616" s="98">
        <v>7.2422399999999998</v>
      </c>
      <c r="BK616" s="48"/>
      <c r="BL616" s="487">
        <v>1485.0700472590217</v>
      </c>
      <c r="BM616" s="47" t="s">
        <v>2487</v>
      </c>
      <c r="BN616" s="48"/>
      <c r="BO616" s="48"/>
      <c r="BP616" s="48"/>
      <c r="BQ616" s="48"/>
      <c r="BR616" s="47" t="e">
        <v>#VALUE!</v>
      </c>
      <c r="BS616" s="48"/>
      <c r="BT616" s="48"/>
      <c r="BU616" s="228"/>
      <c r="BV616" s="48"/>
      <c r="BW616" s="48"/>
      <c r="BX616" s="48"/>
      <c r="BY616" s="48"/>
      <c r="BZ616" s="48"/>
      <c r="CA616" s="48"/>
      <c r="CB616" s="48"/>
      <c r="CC616" s="48"/>
      <c r="CD616" s="48"/>
      <c r="CE616" s="48"/>
      <c r="CF616" s="48"/>
      <c r="CG616" s="48"/>
      <c r="CH616" s="48"/>
      <c r="CI616" s="98"/>
      <c r="CJ616" s="98"/>
      <c r="CK616" s="49">
        <f t="shared" si="142"/>
        <v>205.056729307372</v>
      </c>
      <c r="CL616" s="229"/>
      <c r="CM616" s="229"/>
      <c r="CN616" s="229"/>
      <c r="CO616" s="47" t="s">
        <v>2488</v>
      </c>
      <c r="CP616" s="500" t="s">
        <v>2489</v>
      </c>
      <c r="CQ616" s="224" t="s">
        <v>272</v>
      </c>
      <c r="CR616" s="224"/>
      <c r="CS616" s="230" t="s">
        <v>539</v>
      </c>
      <c r="CT616" s="230"/>
      <c r="CU616" s="230"/>
      <c r="CV616" s="335">
        <f t="shared" si="143"/>
        <v>106596.85401201839</v>
      </c>
      <c r="CW616" s="230">
        <f t="shared" si="141"/>
        <v>1</v>
      </c>
      <c r="CX616" s="336"/>
      <c r="CY616" s="230" t="s">
        <v>6351</v>
      </c>
    </row>
    <row r="617" spans="1:103" ht="11.25" customHeight="1" x14ac:dyDescent="0.2">
      <c r="A617" s="72">
        <v>936</v>
      </c>
      <c r="B617" s="224">
        <v>1415</v>
      </c>
      <c r="C617" s="46" t="s">
        <v>1993</v>
      </c>
      <c r="D617" s="46" t="s">
        <v>8578</v>
      </c>
      <c r="E617" s="114"/>
      <c r="F617" s="114" t="s">
        <v>4354</v>
      </c>
      <c r="G617" s="225">
        <v>105679</v>
      </c>
      <c r="H617" s="47" t="s">
        <v>1995</v>
      </c>
      <c r="I617" s="47" t="s">
        <v>1995</v>
      </c>
      <c r="J617" s="47" t="s">
        <v>1996</v>
      </c>
      <c r="K617" s="47" t="s">
        <v>349</v>
      </c>
      <c r="L617" s="47" t="s">
        <v>5527</v>
      </c>
      <c r="M617" s="47" t="s">
        <v>866</v>
      </c>
      <c r="N617" s="47" t="s">
        <v>6082</v>
      </c>
      <c r="O617" s="47" t="s">
        <v>6086</v>
      </c>
      <c r="P617" s="53" t="s">
        <v>6184</v>
      </c>
      <c r="Q617" s="53" t="s">
        <v>6179</v>
      </c>
      <c r="R617" s="53" t="s">
        <v>6185</v>
      </c>
      <c r="S617" s="53" t="s">
        <v>6176</v>
      </c>
      <c r="T617" s="48">
        <v>122.16</v>
      </c>
      <c r="U617" s="98">
        <v>7869.9999999999991</v>
      </c>
      <c r="V617" s="98">
        <v>4067.9999999999995</v>
      </c>
      <c r="W617" s="98">
        <v>6869.5616285253018</v>
      </c>
      <c r="X617" s="98">
        <v>7869.9999999999991</v>
      </c>
      <c r="Y617" s="233">
        <v>5.93</v>
      </c>
      <c r="Z617" s="48">
        <v>2.61</v>
      </c>
      <c r="AA617" s="48">
        <v>2.2999999999999998</v>
      </c>
      <c r="AB617" s="48">
        <v>2.35</v>
      </c>
      <c r="AC617" s="48">
        <v>0.97360000000000002</v>
      </c>
      <c r="AD617" s="48">
        <v>2.36</v>
      </c>
      <c r="AE617" s="48">
        <v>2.4</v>
      </c>
      <c r="AF617" s="48">
        <f t="shared" si="144"/>
        <v>2.2999999999999998</v>
      </c>
      <c r="AG617" s="49">
        <v>2.39</v>
      </c>
      <c r="AH617" s="98">
        <v>6.8299999999999996E-7</v>
      </c>
      <c r="AI617" s="98">
        <v>9.5099999999999998E-7</v>
      </c>
      <c r="AJ617" s="483">
        <f t="shared" si="137"/>
        <v>-4.5541456226311192</v>
      </c>
      <c r="AK617" s="483">
        <f>LOG10(AI617*1000/(0.08206*298.15))</f>
        <v>-4.4103858093752377</v>
      </c>
      <c r="AL617" s="483">
        <f t="shared" si="145"/>
        <v>-4.4103858093752377</v>
      </c>
      <c r="AM617" s="483">
        <v>-6.4130500000000001</v>
      </c>
      <c r="AN617" s="226">
        <v>-4.17</v>
      </c>
      <c r="AO617" s="484">
        <v>10.61</v>
      </c>
      <c r="AP617" s="484"/>
      <c r="AQ617" s="48" t="s">
        <v>6311</v>
      </c>
      <c r="AR617" s="48" t="s">
        <v>6311</v>
      </c>
      <c r="AS617" s="227"/>
      <c r="AT617" s="50" t="s">
        <v>266</v>
      </c>
      <c r="AU617" s="48">
        <v>6</v>
      </c>
      <c r="AV617" s="48">
        <v>120</v>
      </c>
      <c r="AW617" s="48">
        <v>114</v>
      </c>
      <c r="AX617" s="48">
        <v>28</v>
      </c>
      <c r="AY617" s="48" t="s">
        <v>8728</v>
      </c>
      <c r="AZ617" s="48" t="s">
        <v>1563</v>
      </c>
      <c r="BA617" s="48">
        <v>32</v>
      </c>
      <c r="BB617" s="47" t="s">
        <v>2485</v>
      </c>
      <c r="BC617" s="47" t="s">
        <v>8726</v>
      </c>
      <c r="BD617" s="47" t="s">
        <v>8374</v>
      </c>
      <c r="BE617" s="48" t="s">
        <v>2449</v>
      </c>
      <c r="BF617" s="48" t="s">
        <v>272</v>
      </c>
      <c r="BG617" s="48" t="s">
        <v>272</v>
      </c>
      <c r="BH617" s="48" t="s">
        <v>2486</v>
      </c>
      <c r="BI617" s="98">
        <v>7.8182399999999997E-4</v>
      </c>
      <c r="BJ617" s="98">
        <v>7.8182400000000003</v>
      </c>
      <c r="BK617" s="48"/>
      <c r="BL617" s="487">
        <v>28.424185192030809</v>
      </c>
      <c r="BM617" s="47" t="s">
        <v>2487</v>
      </c>
      <c r="BN617" s="48"/>
      <c r="BO617" s="48"/>
      <c r="BP617" s="48"/>
      <c r="BQ617" s="48"/>
      <c r="BR617" s="47" t="e">
        <v>#VALUE!</v>
      </c>
      <c r="BS617" s="48"/>
      <c r="BT617" s="48"/>
      <c r="BU617" s="228"/>
      <c r="BV617" s="48"/>
      <c r="BW617" s="48"/>
      <c r="BX617" s="48"/>
      <c r="BY617" s="48"/>
      <c r="BZ617" s="48"/>
      <c r="CA617" s="48"/>
      <c r="CB617" s="48"/>
      <c r="CC617" s="48"/>
      <c r="CD617" s="48"/>
      <c r="CE617" s="48"/>
      <c r="CF617" s="48"/>
      <c r="CG617" s="48"/>
      <c r="CH617" s="48"/>
      <c r="CI617" s="98"/>
      <c r="CJ617" s="98"/>
      <c r="CK617" s="49">
        <f t="shared" si="142"/>
        <v>3.6356245385190027</v>
      </c>
      <c r="CL617" s="229"/>
      <c r="CM617" s="229"/>
      <c r="CN617" s="229"/>
      <c r="CO617" s="47" t="s">
        <v>2488</v>
      </c>
      <c r="CP617" s="500" t="s">
        <v>2489</v>
      </c>
      <c r="CQ617" s="224">
        <v>1.0544819309384768</v>
      </c>
      <c r="CR617" s="224">
        <f>10^(CJ617-CQ617)</f>
        <v>8.8210050165124884E-2</v>
      </c>
      <c r="CS617" s="230" t="s">
        <v>539</v>
      </c>
      <c r="CT617" s="230"/>
      <c r="CU617" s="230"/>
      <c r="CV617" s="335">
        <f t="shared" si="143"/>
        <v>1006.620415848068</v>
      </c>
      <c r="CW617" s="230">
        <f t="shared" si="141"/>
        <v>1</v>
      </c>
      <c r="CX617" s="336"/>
      <c r="CY617" s="230" t="s">
        <v>6351</v>
      </c>
    </row>
    <row r="618" spans="1:103" ht="11.25" customHeight="1" x14ac:dyDescent="0.2">
      <c r="A618" s="72">
        <v>937</v>
      </c>
      <c r="B618" s="224">
        <v>1684</v>
      </c>
      <c r="C618" s="46" t="s">
        <v>7128</v>
      </c>
      <c r="D618" s="46"/>
      <c r="E618" s="114"/>
      <c r="F618" s="114" t="s">
        <v>4908</v>
      </c>
      <c r="G618" s="225">
        <v>105873</v>
      </c>
      <c r="H618" s="47" t="s">
        <v>4909</v>
      </c>
      <c r="I618" s="47" t="s">
        <v>4909</v>
      </c>
      <c r="J618" s="47" t="s">
        <v>4910</v>
      </c>
      <c r="K618" s="47" t="s">
        <v>361</v>
      </c>
      <c r="L618" s="47"/>
      <c r="M618" s="47"/>
      <c r="N618" s="47"/>
      <c r="O618" s="47"/>
      <c r="P618" s="53"/>
      <c r="Q618" s="53"/>
      <c r="R618" s="53"/>
      <c r="S618" s="53"/>
      <c r="T618" s="48">
        <v>196.29</v>
      </c>
      <c r="U618" s="98"/>
      <c r="V618" s="98">
        <v>18.239999999999998</v>
      </c>
      <c r="W618" s="98">
        <v>712.6859137082314</v>
      </c>
      <c r="X618" s="98">
        <v>712.6859137082314</v>
      </c>
      <c r="Y618" s="233">
        <v>7</v>
      </c>
      <c r="Z618" s="48">
        <v>4.4800000000000004</v>
      </c>
      <c r="AA618" s="48">
        <v>3.98</v>
      </c>
      <c r="AB618" s="48">
        <v>3.86</v>
      </c>
      <c r="AC618" s="48">
        <v>0.93689999999999996</v>
      </c>
      <c r="AD618" s="48">
        <v>3.9</v>
      </c>
      <c r="AE618" s="48">
        <v>4.0999999999999996</v>
      </c>
      <c r="AF618" s="48">
        <f t="shared" si="144"/>
        <v>3.98</v>
      </c>
      <c r="AG618" s="49">
        <v>3.16</v>
      </c>
      <c r="AH618" s="98">
        <v>2.4199999999999998E-3</v>
      </c>
      <c r="AI618" s="98"/>
      <c r="AJ618" s="483">
        <f t="shared" ref="AJ618:AJ681" si="146">LOG10(AH618*1000/(0.08206*298.15))</f>
        <v>-1.0047509603322204</v>
      </c>
      <c r="AK618" s="483"/>
      <c r="AL618" s="483">
        <f t="shared" si="145"/>
        <v>-1.0047509603322204</v>
      </c>
      <c r="AM618" s="483">
        <v>-4.8421000000000003</v>
      </c>
      <c r="AN618" s="226">
        <v>-2.5499999999999998</v>
      </c>
      <c r="AO618" s="484"/>
      <c r="AP618" s="484"/>
      <c r="AQ618" s="226" t="s">
        <v>6311</v>
      </c>
      <c r="AR618" s="226" t="s">
        <v>6312</v>
      </c>
      <c r="AS618" s="224"/>
      <c r="AT618" s="50" t="s">
        <v>266</v>
      </c>
      <c r="AU618" s="48">
        <v>6</v>
      </c>
      <c r="AV618" s="48">
        <v>120</v>
      </c>
      <c r="AW618" s="48">
        <v>114</v>
      </c>
      <c r="AX618" s="48">
        <v>28</v>
      </c>
      <c r="AY618" s="48" t="s">
        <v>8728</v>
      </c>
      <c r="AZ618" s="48" t="s">
        <v>1563</v>
      </c>
      <c r="BA618" s="48">
        <v>32</v>
      </c>
      <c r="BB618" s="47" t="s">
        <v>2485</v>
      </c>
      <c r="BC618" s="47" t="s">
        <v>8726</v>
      </c>
      <c r="BD618" s="47" t="s">
        <v>8374</v>
      </c>
      <c r="BE618" s="48" t="s">
        <v>2449</v>
      </c>
      <c r="BF618" s="48" t="s">
        <v>272</v>
      </c>
      <c r="BG618" s="48" t="s">
        <v>272</v>
      </c>
      <c r="BH618" s="48" t="s">
        <v>2486</v>
      </c>
      <c r="BI618" s="98">
        <v>1.2562559999999999E-3</v>
      </c>
      <c r="BJ618" s="98">
        <v>12.56256</v>
      </c>
      <c r="BK618" s="48"/>
      <c r="BL618" s="487">
        <v>0.95545486258243317</v>
      </c>
      <c r="BM618" s="47" t="s">
        <v>2487</v>
      </c>
      <c r="BN618" s="48"/>
      <c r="BO618" s="48"/>
      <c r="BP618" s="48"/>
      <c r="BQ618" s="48"/>
      <c r="BR618" s="47" t="e">
        <v>#VALUE!</v>
      </c>
      <c r="BS618" s="48"/>
      <c r="BT618" s="48"/>
      <c r="BU618" s="228"/>
      <c r="BV618" s="48"/>
      <c r="BW618" s="48"/>
      <c r="BX618" s="48"/>
      <c r="BY618" s="48"/>
      <c r="BZ618" s="48"/>
      <c r="CA618" s="48"/>
      <c r="CB618" s="48"/>
      <c r="CC618" s="48"/>
      <c r="CD618" s="48"/>
      <c r="CE618" s="48"/>
      <c r="CF618" s="48"/>
      <c r="CG618" s="48"/>
      <c r="CH618" s="48"/>
      <c r="CI618" s="98"/>
      <c r="CJ618" s="98"/>
      <c r="CK618" s="49">
        <f t="shared" si="142"/>
        <v>7.6055745212952872E-2</v>
      </c>
      <c r="CL618" s="229"/>
      <c r="CM618" s="229"/>
      <c r="CN618" s="229"/>
      <c r="CO618" s="47" t="s">
        <v>2488</v>
      </c>
      <c r="CP618" s="500" t="s">
        <v>2489</v>
      </c>
      <c r="CQ618" s="224" t="s">
        <v>272</v>
      </c>
      <c r="CR618" s="224"/>
      <c r="CS618" s="230" t="s">
        <v>539</v>
      </c>
      <c r="CT618" s="230"/>
      <c r="CU618" s="230"/>
      <c r="CV618" s="335">
        <f t="shared" si="143"/>
        <v>56.730946057828298</v>
      </c>
      <c r="CW618" s="230">
        <f t="shared" si="141"/>
        <v>1</v>
      </c>
      <c r="CX618" s="336"/>
      <c r="CY618" s="230" t="s">
        <v>6351</v>
      </c>
    </row>
    <row r="619" spans="1:103" ht="11.25" customHeight="1" x14ac:dyDescent="0.2">
      <c r="A619" s="72">
        <v>938</v>
      </c>
      <c r="B619" s="224">
        <v>1592</v>
      </c>
      <c r="C619" s="46" t="s">
        <v>7129</v>
      </c>
      <c r="D619" s="46"/>
      <c r="E619" s="114"/>
      <c r="F619" s="114" t="s">
        <v>4753</v>
      </c>
      <c r="G619" s="225">
        <v>105997</v>
      </c>
      <c r="H619" s="47" t="s">
        <v>4754</v>
      </c>
      <c r="I619" s="47" t="s">
        <v>4754</v>
      </c>
      <c r="J619" s="47" t="s">
        <v>4755</v>
      </c>
      <c r="K619" s="47" t="s">
        <v>357</v>
      </c>
      <c r="L619" s="47" t="s">
        <v>6025</v>
      </c>
      <c r="M619" s="47" t="s">
        <v>5960</v>
      </c>
      <c r="N619" s="47"/>
      <c r="O619" s="47"/>
      <c r="P619" s="53"/>
      <c r="Q619" s="53" t="s">
        <v>6173</v>
      </c>
      <c r="R619" s="53" t="s">
        <v>6175</v>
      </c>
      <c r="S619" s="53" t="s">
        <v>6176</v>
      </c>
      <c r="T619" s="48">
        <v>258.35000000000002</v>
      </c>
      <c r="U619" s="98"/>
      <c r="V619" s="98">
        <v>4.2309999999999999</v>
      </c>
      <c r="W619" s="98">
        <v>126.53435798383794</v>
      </c>
      <c r="X619" s="98">
        <v>126.53435798383794</v>
      </c>
      <c r="Y619" s="233">
        <v>7</v>
      </c>
      <c r="Z619" s="48">
        <v>4.33</v>
      </c>
      <c r="AA619" s="48"/>
      <c r="AB619" s="48">
        <v>3.43</v>
      </c>
      <c r="AC619" s="48">
        <v>0.76490000000000002</v>
      </c>
      <c r="AD619" s="48">
        <v>3.67</v>
      </c>
      <c r="AE619" s="48">
        <v>4.22</v>
      </c>
      <c r="AF619" s="48">
        <f t="shared" si="144"/>
        <v>3.67</v>
      </c>
      <c r="AG619" s="49">
        <v>3.3</v>
      </c>
      <c r="AH619" s="98">
        <v>5.3499999999999996E-6</v>
      </c>
      <c r="AI619" s="98"/>
      <c r="AJ619" s="483">
        <f t="shared" si="146"/>
        <v>-3.6602125442914235</v>
      </c>
      <c r="AK619" s="483"/>
      <c r="AL619" s="483">
        <f t="shared" si="145"/>
        <v>-3.6602125442914235</v>
      </c>
      <c r="AM619" s="483">
        <v>-6.7681899999999997</v>
      </c>
      <c r="AN619" s="226">
        <v>-4.84</v>
      </c>
      <c r="AO619" s="484"/>
      <c r="AP619" s="484"/>
      <c r="AQ619" s="48" t="s">
        <v>6311</v>
      </c>
      <c r="AR619" s="48" t="s">
        <v>6312</v>
      </c>
      <c r="AS619" s="227"/>
      <c r="AT619" s="50" t="s">
        <v>266</v>
      </c>
      <c r="AU619" s="48">
        <v>6</v>
      </c>
      <c r="AV619" s="48">
        <v>120</v>
      </c>
      <c r="AW619" s="48">
        <v>114</v>
      </c>
      <c r="AX619" s="48">
        <v>28</v>
      </c>
      <c r="AY619" s="48" t="s">
        <v>8728</v>
      </c>
      <c r="AZ619" s="48" t="s">
        <v>1563</v>
      </c>
      <c r="BA619" s="48">
        <v>32</v>
      </c>
      <c r="BB619" s="47" t="s">
        <v>2485</v>
      </c>
      <c r="BC619" s="47" t="s">
        <v>8726</v>
      </c>
      <c r="BD619" s="47" t="s">
        <v>8374</v>
      </c>
      <c r="BE619" s="48" t="s">
        <v>2449</v>
      </c>
      <c r="BF619" s="48" t="s">
        <v>272</v>
      </c>
      <c r="BG619" s="48" t="s">
        <v>272</v>
      </c>
      <c r="BH619" s="48" t="s">
        <v>2486</v>
      </c>
      <c r="BI619" s="98">
        <v>1.6534400000000002E-3</v>
      </c>
      <c r="BJ619" s="98">
        <v>16.534400000000002</v>
      </c>
      <c r="BK619" s="48"/>
      <c r="BL619" s="487">
        <v>1.7148868332364862</v>
      </c>
      <c r="BM619" s="47" t="s">
        <v>2487</v>
      </c>
      <c r="BN619" s="48"/>
      <c r="BO619" s="48"/>
      <c r="BP619" s="48"/>
      <c r="BQ619" s="48"/>
      <c r="BR619" s="47" t="e">
        <v>#VALUE!</v>
      </c>
      <c r="BS619" s="48"/>
      <c r="BT619" s="48"/>
      <c r="BU619" s="228"/>
      <c r="BV619" s="48"/>
      <c r="BW619" s="48"/>
      <c r="BX619" s="48"/>
      <c r="BY619" s="48"/>
      <c r="BZ619" s="48"/>
      <c r="CA619" s="48"/>
      <c r="CB619" s="48"/>
      <c r="CC619" s="48"/>
      <c r="CD619" s="48"/>
      <c r="CE619" s="48"/>
      <c r="CF619" s="48"/>
      <c r="CG619" s="48"/>
      <c r="CH619" s="48"/>
      <c r="CI619" s="98"/>
      <c r="CJ619" s="98"/>
      <c r="CK619" s="49">
        <f t="shared" si="142"/>
        <v>0.10371630257139576</v>
      </c>
      <c r="CL619" s="229"/>
      <c r="CM619" s="229"/>
      <c r="CN619" s="229"/>
      <c r="CO619" s="47" t="s">
        <v>2488</v>
      </c>
      <c r="CP619" s="500" t="s">
        <v>2489</v>
      </c>
      <c r="CQ619" s="224">
        <v>0.56229286445647475</v>
      </c>
      <c r="CR619" s="224">
        <f>10^(CJ619-CQ619)</f>
        <v>0.27397260273972596</v>
      </c>
      <c r="CS619" s="230" t="s">
        <v>539</v>
      </c>
      <c r="CT619" s="230"/>
      <c r="CU619" s="230"/>
      <c r="CV619" s="335">
        <f t="shared" si="143"/>
        <v>7.6527940526319629</v>
      </c>
      <c r="CW619" s="230">
        <f t="shared" si="141"/>
        <v>1</v>
      </c>
      <c r="CX619" s="336"/>
      <c r="CY619" s="230" t="s">
        <v>6351</v>
      </c>
    </row>
    <row r="620" spans="1:103" ht="11.25" customHeight="1" x14ac:dyDescent="0.2">
      <c r="A620" s="72">
        <v>939</v>
      </c>
      <c r="B620" s="224">
        <v>1556</v>
      </c>
      <c r="C620" s="46" t="s">
        <v>7130</v>
      </c>
      <c r="D620" s="46"/>
      <c r="E620" s="114"/>
      <c r="F620" s="114" t="s">
        <v>4693</v>
      </c>
      <c r="G620" s="225">
        <v>106229</v>
      </c>
      <c r="H620" s="47" t="s">
        <v>4694</v>
      </c>
      <c r="I620" s="47" t="s">
        <v>4694</v>
      </c>
      <c r="J620" s="47" t="s">
        <v>4695</v>
      </c>
      <c r="K620" s="47" t="s">
        <v>426</v>
      </c>
      <c r="L620" s="47"/>
      <c r="M620" s="47"/>
      <c r="N620" s="47"/>
      <c r="O620" s="47"/>
      <c r="P620" s="53"/>
      <c r="Q620" s="53"/>
      <c r="R620" s="53"/>
      <c r="S620" s="53"/>
      <c r="T620" s="48">
        <v>156.27000000000001</v>
      </c>
      <c r="U620" s="98"/>
      <c r="V620" s="98">
        <v>105.5</v>
      </c>
      <c r="W620" s="98">
        <v>420.60614380965899</v>
      </c>
      <c r="X620" s="98">
        <v>420.60614380965899</v>
      </c>
      <c r="Y620" s="233">
        <v>7</v>
      </c>
      <c r="Z620" s="48">
        <v>3.56</v>
      </c>
      <c r="AA620" s="48">
        <v>3.91</v>
      </c>
      <c r="AB620" s="48">
        <v>3.62</v>
      </c>
      <c r="AC620" s="48">
        <v>0.89980000000000004</v>
      </c>
      <c r="AD620" s="48">
        <v>3.56</v>
      </c>
      <c r="AE620" s="48">
        <v>3.38</v>
      </c>
      <c r="AF620" s="48">
        <f t="shared" si="144"/>
        <v>3.91</v>
      </c>
      <c r="AG620" s="49">
        <v>3.03</v>
      </c>
      <c r="AH620" s="98">
        <v>5.6799999999999998E-5</v>
      </c>
      <c r="AI620" s="98"/>
      <c r="AJ620" s="483">
        <f t="shared" si="146"/>
        <v>-2.6342179906016328</v>
      </c>
      <c r="AK620" s="483"/>
      <c r="AL620" s="483">
        <f t="shared" si="145"/>
        <v>-2.6342179906016328</v>
      </c>
      <c r="AM620" s="483">
        <v>-4.8625799999999995</v>
      </c>
      <c r="AN620" s="226">
        <v>-3.16</v>
      </c>
      <c r="AO620" s="484">
        <v>15.13</v>
      </c>
      <c r="AP620" s="484"/>
      <c r="AQ620" s="48" t="s">
        <v>6311</v>
      </c>
      <c r="AR620" s="48" t="s">
        <v>6311</v>
      </c>
      <c r="AS620" s="227"/>
      <c r="AT620" s="50" t="s">
        <v>266</v>
      </c>
      <c r="AU620" s="48">
        <v>6</v>
      </c>
      <c r="AV620" s="48">
        <v>120</v>
      </c>
      <c r="AW620" s="48">
        <v>114</v>
      </c>
      <c r="AX620" s="48">
        <v>28</v>
      </c>
      <c r="AY620" s="48" t="s">
        <v>8728</v>
      </c>
      <c r="AZ620" s="48" t="s">
        <v>1563</v>
      </c>
      <c r="BA620" s="48">
        <v>32</v>
      </c>
      <c r="BB620" s="47" t="s">
        <v>2485</v>
      </c>
      <c r="BC620" s="47" t="s">
        <v>8726</v>
      </c>
      <c r="BD620" s="47" t="s">
        <v>8374</v>
      </c>
      <c r="BE620" s="48" t="s">
        <v>2449</v>
      </c>
      <c r="BF620" s="48" t="s">
        <v>272</v>
      </c>
      <c r="BG620" s="48" t="s">
        <v>272</v>
      </c>
      <c r="BH620" s="48" t="s">
        <v>2486</v>
      </c>
      <c r="BI620" s="98">
        <v>1.0001280000000001E-3</v>
      </c>
      <c r="BJ620" s="98">
        <v>10.001280000000001</v>
      </c>
      <c r="BK620" s="48"/>
      <c r="BL620" s="487">
        <v>5.0984669940155465</v>
      </c>
      <c r="BM620" s="47" t="s">
        <v>2487</v>
      </c>
      <c r="BN620" s="48"/>
      <c r="BO620" s="48"/>
      <c r="BP620" s="48"/>
      <c r="BQ620" s="48"/>
      <c r="BR620" s="47" t="e">
        <v>#VALUE!</v>
      </c>
      <c r="BS620" s="48"/>
      <c r="BT620" s="48"/>
      <c r="BU620" s="228"/>
      <c r="BV620" s="48"/>
      <c r="BW620" s="48"/>
      <c r="BX620" s="48"/>
      <c r="BY620" s="48"/>
      <c r="BZ620" s="48"/>
      <c r="CA620" s="48"/>
      <c r="CB620" s="48"/>
      <c r="CC620" s="48"/>
      <c r="CD620" s="48"/>
      <c r="CE620" s="48"/>
      <c r="CF620" s="48"/>
      <c r="CG620" s="48"/>
      <c r="CH620" s="48"/>
      <c r="CI620" s="98"/>
      <c r="CJ620" s="98"/>
      <c r="CK620" s="49">
        <f t="shared" si="142"/>
        <v>0.50978144737629039</v>
      </c>
      <c r="CL620" s="229"/>
      <c r="CM620" s="229"/>
      <c r="CN620" s="229"/>
      <c r="CO620" s="47" t="s">
        <v>2488</v>
      </c>
      <c r="CP620" s="500" t="s">
        <v>2489</v>
      </c>
      <c r="CQ620" s="224" t="s">
        <v>272</v>
      </c>
      <c r="CR620" s="224"/>
      <c r="CS620" s="230" t="s">
        <v>539</v>
      </c>
      <c r="CT620" s="230"/>
      <c r="CU620" s="230"/>
      <c r="CV620" s="335">
        <f t="shared" si="143"/>
        <v>42.055231311358042</v>
      </c>
      <c r="CW620" s="230">
        <f t="shared" si="141"/>
        <v>1</v>
      </c>
      <c r="CX620" s="336"/>
      <c r="CY620" s="230" t="s">
        <v>6351</v>
      </c>
    </row>
    <row r="621" spans="1:103" ht="11.25" customHeight="1" x14ac:dyDescent="0.2">
      <c r="A621" s="72">
        <v>940</v>
      </c>
      <c r="B621" s="224">
        <v>1154</v>
      </c>
      <c r="C621" s="46" t="s">
        <v>7131</v>
      </c>
      <c r="D621" s="46" t="s">
        <v>8579</v>
      </c>
      <c r="E621" s="114"/>
      <c r="F621" s="114" t="s">
        <v>3194</v>
      </c>
      <c r="G621" s="225">
        <v>106241</v>
      </c>
      <c r="H621" s="47" t="s">
        <v>3195</v>
      </c>
      <c r="I621" s="47" t="s">
        <v>3195</v>
      </c>
      <c r="J621" s="47" t="s">
        <v>3196</v>
      </c>
      <c r="K621" s="47" t="s">
        <v>659</v>
      </c>
      <c r="L621" s="47" t="s">
        <v>6127</v>
      </c>
      <c r="M621" s="47" t="s">
        <v>2342</v>
      </c>
      <c r="N621" s="47" t="s">
        <v>2342</v>
      </c>
      <c r="O621" s="47" t="s">
        <v>498</v>
      </c>
      <c r="P621" s="53" t="s">
        <v>6631</v>
      </c>
      <c r="Q621" s="53" t="s">
        <v>6173</v>
      </c>
      <c r="R621" s="53" t="s">
        <v>6183</v>
      </c>
      <c r="S621" s="53" t="s">
        <v>6173</v>
      </c>
      <c r="T621" s="48">
        <v>154.25</v>
      </c>
      <c r="U621" s="98">
        <v>531</v>
      </c>
      <c r="V621" s="98">
        <v>255.8</v>
      </c>
      <c r="W621" s="98">
        <v>673.32567123045555</v>
      </c>
      <c r="X621" s="98">
        <v>531</v>
      </c>
      <c r="Y621" s="233">
        <v>7</v>
      </c>
      <c r="Z621" s="48">
        <v>3.47</v>
      </c>
      <c r="AA621" s="48">
        <v>3.47</v>
      </c>
      <c r="AB621" s="48">
        <v>3.45</v>
      </c>
      <c r="AC621" s="48">
        <v>0.90790000000000004</v>
      </c>
      <c r="AD621" s="48">
        <v>3.41</v>
      </c>
      <c r="AE621" s="48">
        <v>3.28</v>
      </c>
      <c r="AF621" s="48">
        <f t="shared" si="144"/>
        <v>3.47</v>
      </c>
      <c r="AG621" s="49">
        <v>2.75</v>
      </c>
      <c r="AH621" s="98">
        <v>5.8900000000000002E-5</v>
      </c>
      <c r="AI621" s="98">
        <v>1.15E-5</v>
      </c>
      <c r="AJ621" s="483">
        <f t="shared" si="146"/>
        <v>-2.61845103152555</v>
      </c>
      <c r="AK621" s="483">
        <f>LOG10(AI621*1000/(0.08206*298.15))</f>
        <v>-3.3278684859590402</v>
      </c>
      <c r="AL621" s="483">
        <f t="shared" si="145"/>
        <v>-3.3278684859590402</v>
      </c>
      <c r="AM621" s="483">
        <v>-5.3601099999999997</v>
      </c>
      <c r="AN621" s="226">
        <v>-3.8</v>
      </c>
      <c r="AO621" s="484">
        <v>14.45</v>
      </c>
      <c r="AP621" s="484"/>
      <c r="AQ621" s="48" t="s">
        <v>6311</v>
      </c>
      <c r="AR621" s="48" t="s">
        <v>6311</v>
      </c>
      <c r="AS621" s="227"/>
      <c r="AT621" s="50" t="s">
        <v>266</v>
      </c>
      <c r="AU621" s="48">
        <v>6</v>
      </c>
      <c r="AV621" s="48">
        <v>120</v>
      </c>
      <c r="AW621" s="48">
        <v>114</v>
      </c>
      <c r="AX621" s="48">
        <v>28</v>
      </c>
      <c r="AY621" s="48" t="s">
        <v>8728</v>
      </c>
      <c r="AZ621" s="48" t="s">
        <v>1563</v>
      </c>
      <c r="BA621" s="48">
        <v>32</v>
      </c>
      <c r="BB621" s="47" t="s">
        <v>2485</v>
      </c>
      <c r="BC621" s="47" t="s">
        <v>8726</v>
      </c>
      <c r="BD621" s="47" t="s">
        <v>8374</v>
      </c>
      <c r="BE621" s="48" t="s">
        <v>2449</v>
      </c>
      <c r="BF621" s="48" t="s">
        <v>272</v>
      </c>
      <c r="BG621" s="48" t="s">
        <v>272</v>
      </c>
      <c r="BH621" s="48" t="s">
        <v>2486</v>
      </c>
      <c r="BI621" s="98">
        <v>9.8719999999999993E-4</v>
      </c>
      <c r="BJ621" s="98">
        <v>9.8719999999999999</v>
      </c>
      <c r="BK621" s="48"/>
      <c r="BL621" s="487">
        <v>6.0620312760106962</v>
      </c>
      <c r="BM621" s="47" t="s">
        <v>2487</v>
      </c>
      <c r="BN621" s="48"/>
      <c r="BO621" s="48"/>
      <c r="BP621" s="48"/>
      <c r="BQ621" s="48"/>
      <c r="BR621" s="47" t="e">
        <v>#VALUE!</v>
      </c>
      <c r="BS621" s="48"/>
      <c r="BT621" s="48"/>
      <c r="BU621" s="228">
        <v>9.8719999999999999</v>
      </c>
      <c r="BV621" s="48"/>
      <c r="BW621" s="48"/>
      <c r="BX621" s="48"/>
      <c r="BY621" s="48"/>
      <c r="BZ621" s="48"/>
      <c r="CA621" s="48"/>
      <c r="CB621" s="48"/>
      <c r="CC621" s="48"/>
      <c r="CD621" s="48"/>
      <c r="CE621" s="48"/>
      <c r="CF621" s="48"/>
      <c r="CG621" s="48"/>
      <c r="CH621" s="48"/>
      <c r="CI621" s="98"/>
      <c r="CJ621" s="98"/>
      <c r="CK621" s="49">
        <f t="shared" si="142"/>
        <v>0.61406313573852267</v>
      </c>
      <c r="CL621" s="229"/>
      <c r="CM621" s="229"/>
      <c r="CN621" s="229"/>
      <c r="CO621" s="47" t="s">
        <v>2488</v>
      </c>
      <c r="CP621" s="500" t="s">
        <v>2489</v>
      </c>
      <c r="CQ621" s="224">
        <v>0.59077390224097326</v>
      </c>
      <c r="CR621" s="224">
        <f>10^(CJ621-CQ621)</f>
        <v>0.25658194784240623</v>
      </c>
      <c r="CS621" s="230" t="s">
        <v>539</v>
      </c>
      <c r="CT621" s="230"/>
      <c r="CU621" s="230"/>
      <c r="CV621" s="335">
        <f t="shared" si="143"/>
        <v>53.788492706645059</v>
      </c>
      <c r="CW621" s="230">
        <f t="shared" si="141"/>
        <v>1</v>
      </c>
      <c r="CX621" s="336"/>
      <c r="CY621" s="230" t="s">
        <v>6351</v>
      </c>
    </row>
    <row r="622" spans="1:103" ht="11.25" customHeight="1" x14ac:dyDescent="0.2">
      <c r="A622" s="72">
        <v>941</v>
      </c>
      <c r="B622" s="224">
        <v>75</v>
      </c>
      <c r="C622" s="46" t="s">
        <v>7132</v>
      </c>
      <c r="D622" s="46"/>
      <c r="E622" s="114"/>
      <c r="F622" s="114" t="s">
        <v>3646</v>
      </c>
      <c r="G622" s="225">
        <v>106252</v>
      </c>
      <c r="H622" s="47" t="s">
        <v>3195</v>
      </c>
      <c r="I622" s="47" t="s">
        <v>3195</v>
      </c>
      <c r="J622" s="236" t="s">
        <v>3196</v>
      </c>
      <c r="K622" s="236" t="s">
        <v>659</v>
      </c>
      <c r="L622" s="47"/>
      <c r="M622" s="47"/>
      <c r="N622" s="47"/>
      <c r="O622" s="52"/>
      <c r="P622" s="53"/>
      <c r="Q622" s="53"/>
      <c r="R622" s="53"/>
      <c r="S622" s="53"/>
      <c r="T622" s="226">
        <v>154.25</v>
      </c>
      <c r="U622" s="98">
        <v>531</v>
      </c>
      <c r="V622" s="98">
        <v>255.8</v>
      </c>
      <c r="W622" s="98">
        <v>673.32567123045555</v>
      </c>
      <c r="X622" s="98">
        <v>531</v>
      </c>
      <c r="Y622" s="233">
        <v>7</v>
      </c>
      <c r="Z622" s="48">
        <v>3.47</v>
      </c>
      <c r="AA622" s="48">
        <v>3.47</v>
      </c>
      <c r="AB622" s="48">
        <v>3.45</v>
      </c>
      <c r="AC622" s="48">
        <v>0.90790000000000004</v>
      </c>
      <c r="AD622" s="48">
        <v>3.41</v>
      </c>
      <c r="AE622" s="48">
        <v>3.28</v>
      </c>
      <c r="AF622" s="48">
        <f t="shared" si="144"/>
        <v>3.47</v>
      </c>
      <c r="AG622" s="48">
        <v>2.75</v>
      </c>
      <c r="AH622" s="98">
        <v>5.8900000000000002E-5</v>
      </c>
      <c r="AI622" s="98">
        <v>1.15E-5</v>
      </c>
      <c r="AJ622" s="483">
        <f t="shared" si="146"/>
        <v>-2.61845103152555</v>
      </c>
      <c r="AK622" s="483">
        <f>LOG10(AI622*1000/(0.08206*298.15))</f>
        <v>-3.3278684859590402</v>
      </c>
      <c r="AL622" s="483">
        <f t="shared" si="145"/>
        <v>-3.3278684859590402</v>
      </c>
      <c r="AM622" s="483">
        <v>-5.3601099999999997</v>
      </c>
      <c r="AN622" s="48">
        <v>-3.8</v>
      </c>
      <c r="AO622" s="484">
        <v>14.45</v>
      </c>
      <c r="AP622" s="484"/>
      <c r="AQ622" s="48" t="s">
        <v>6311</v>
      </c>
      <c r="AR622" s="48" t="s">
        <v>6311</v>
      </c>
      <c r="AS622" s="227"/>
      <c r="AT622" s="50" t="s">
        <v>266</v>
      </c>
      <c r="AU622" s="48">
        <v>6</v>
      </c>
      <c r="AV622" s="48">
        <v>120</v>
      </c>
      <c r="AW622" s="48">
        <v>114</v>
      </c>
      <c r="AX622" s="48">
        <v>28</v>
      </c>
      <c r="AY622" s="48" t="s">
        <v>8728</v>
      </c>
      <c r="AZ622" s="48" t="s">
        <v>1563</v>
      </c>
      <c r="BA622" s="48">
        <v>32</v>
      </c>
      <c r="BB622" s="47" t="s">
        <v>2485</v>
      </c>
      <c r="BC622" s="47" t="s">
        <v>8726</v>
      </c>
      <c r="BD622" s="47" t="s">
        <v>8374</v>
      </c>
      <c r="BE622" s="48" t="s">
        <v>2449</v>
      </c>
      <c r="BF622" s="48" t="s">
        <v>272</v>
      </c>
      <c r="BG622" s="48" t="s">
        <v>272</v>
      </c>
      <c r="BH622" s="48" t="s">
        <v>2486</v>
      </c>
      <c r="BI622" s="98">
        <v>9.8719999999999993E-4</v>
      </c>
      <c r="BJ622" s="98">
        <v>9.8719999999999999</v>
      </c>
      <c r="BK622" s="48"/>
      <c r="BL622" s="487">
        <v>6.0620312760106962</v>
      </c>
      <c r="BM622" s="47" t="s">
        <v>2487</v>
      </c>
      <c r="BN622" s="48"/>
      <c r="BO622" s="48"/>
      <c r="BP622" s="48"/>
      <c r="BQ622" s="48"/>
      <c r="BR622" s="47" t="e">
        <v>#VALUE!</v>
      </c>
      <c r="BS622" s="48"/>
      <c r="BT622" s="48"/>
      <c r="BU622" s="228"/>
      <c r="BV622" s="48"/>
      <c r="BW622" s="48"/>
      <c r="BX622" s="48"/>
      <c r="BY622" s="48"/>
      <c r="BZ622" s="48"/>
      <c r="CA622" s="48"/>
      <c r="CB622" s="48"/>
      <c r="CC622" s="48"/>
      <c r="CD622" s="48"/>
      <c r="CE622" s="48"/>
      <c r="CF622" s="48"/>
      <c r="CG622" s="48"/>
      <c r="CH622" s="48"/>
      <c r="CI622" s="98"/>
      <c r="CJ622" s="98"/>
      <c r="CK622" s="49">
        <f t="shared" si="142"/>
        <v>0.61406313573852267</v>
      </c>
      <c r="CL622" s="229"/>
      <c r="CM622" s="229"/>
      <c r="CN622" s="229"/>
      <c r="CO622" s="47" t="s">
        <v>2488</v>
      </c>
      <c r="CP622" s="500" t="s">
        <v>2489</v>
      </c>
      <c r="CQ622" s="224" t="s">
        <v>272</v>
      </c>
      <c r="CR622" s="224"/>
      <c r="CS622" s="230" t="s">
        <v>539</v>
      </c>
      <c r="CT622" s="230"/>
      <c r="CU622" s="230"/>
      <c r="CV622" s="335">
        <f t="shared" si="143"/>
        <v>53.788492706645059</v>
      </c>
      <c r="CW622" s="230">
        <f t="shared" si="141"/>
        <v>1</v>
      </c>
      <c r="CX622" s="336"/>
      <c r="CY622" s="230" t="s">
        <v>6351</v>
      </c>
    </row>
    <row r="623" spans="1:103" ht="11.25" customHeight="1" x14ac:dyDescent="0.2">
      <c r="A623" s="72">
        <v>942</v>
      </c>
      <c r="B623" s="224">
        <v>1169</v>
      </c>
      <c r="C623" s="46" t="s">
        <v>7133</v>
      </c>
      <c r="D623" s="46"/>
      <c r="E623" s="114"/>
      <c r="F623" s="114" t="s">
        <v>3225</v>
      </c>
      <c r="G623" s="225">
        <v>106274</v>
      </c>
      <c r="H623" s="47" t="s">
        <v>3226</v>
      </c>
      <c r="I623" s="47" t="s">
        <v>3226</v>
      </c>
      <c r="J623" s="47" t="s">
        <v>3227</v>
      </c>
      <c r="K623" s="47" t="s">
        <v>357</v>
      </c>
      <c r="L623" s="47"/>
      <c r="M623" s="47"/>
      <c r="N623" s="47"/>
      <c r="O623" s="47"/>
      <c r="P623" s="53"/>
      <c r="Q623" s="53"/>
      <c r="R623" s="53"/>
      <c r="S623" s="53"/>
      <c r="T623" s="48">
        <v>158.24</v>
      </c>
      <c r="U623" s="98"/>
      <c r="V623" s="98">
        <v>117.8</v>
      </c>
      <c r="W623" s="98">
        <v>889.84891298120783</v>
      </c>
      <c r="X623" s="98">
        <v>889.84891298120783</v>
      </c>
      <c r="Y623" s="233">
        <v>7</v>
      </c>
      <c r="Z623" s="48">
        <v>3.25</v>
      </c>
      <c r="AA623" s="48"/>
      <c r="AB623" s="48">
        <v>2.81</v>
      </c>
      <c r="AC623" s="48">
        <v>0.86019999999999996</v>
      </c>
      <c r="AD623" s="48">
        <v>2.91</v>
      </c>
      <c r="AE623" s="48">
        <v>3.18</v>
      </c>
      <c r="AF623" s="48">
        <f t="shared" si="144"/>
        <v>2.91</v>
      </c>
      <c r="AG623" s="49">
        <v>2.5</v>
      </c>
      <c r="AH623" s="98">
        <v>9.6000000000000002E-4</v>
      </c>
      <c r="AI623" s="98"/>
      <c r="AJ623" s="483">
        <f t="shared" si="146"/>
        <v>-1.4062950932730833</v>
      </c>
      <c r="AK623" s="483"/>
      <c r="AL623" s="483">
        <f t="shared" si="145"/>
        <v>-1.4062950932730833</v>
      </c>
      <c r="AM623" s="483">
        <v>-3.3544499999999999</v>
      </c>
      <c r="AN623" s="226">
        <v>-1.66</v>
      </c>
      <c r="AO623" s="484"/>
      <c r="AP623" s="484"/>
      <c r="AQ623" s="48" t="s">
        <v>6311</v>
      </c>
      <c r="AR623" s="48" t="s">
        <v>6312</v>
      </c>
      <c r="AS623" s="227"/>
      <c r="AT623" s="50" t="s">
        <v>266</v>
      </c>
      <c r="AU623" s="48">
        <v>6</v>
      </c>
      <c r="AV623" s="48">
        <v>120</v>
      </c>
      <c r="AW623" s="48">
        <v>114</v>
      </c>
      <c r="AX623" s="48">
        <v>28</v>
      </c>
      <c r="AY623" s="48" t="s">
        <v>8728</v>
      </c>
      <c r="AZ623" s="48" t="s">
        <v>1563</v>
      </c>
      <c r="BA623" s="48">
        <v>32</v>
      </c>
      <c r="BB623" s="47" t="s">
        <v>2485</v>
      </c>
      <c r="BC623" s="47" t="s">
        <v>8726</v>
      </c>
      <c r="BD623" s="47" t="s">
        <v>8374</v>
      </c>
      <c r="BE623" s="48" t="s">
        <v>2449</v>
      </c>
      <c r="BF623" s="48" t="s">
        <v>272</v>
      </c>
      <c r="BG623" s="48" t="s">
        <v>272</v>
      </c>
      <c r="BH623" s="48" t="s">
        <v>2486</v>
      </c>
      <c r="BI623" s="98">
        <v>1.012736E-3</v>
      </c>
      <c r="BJ623" s="98">
        <v>10.127360000000001</v>
      </c>
      <c r="BK623" s="48"/>
      <c r="BL623" s="487">
        <v>9.8014713377303853</v>
      </c>
      <c r="BM623" s="47" t="s">
        <v>2487</v>
      </c>
      <c r="BN623" s="48"/>
      <c r="BO623" s="48"/>
      <c r="BP623" s="48"/>
      <c r="BQ623" s="48"/>
      <c r="BR623" s="47" t="e">
        <v>#VALUE!</v>
      </c>
      <c r="BS623" s="48"/>
      <c r="BT623" s="48"/>
      <c r="BU623" s="228">
        <v>1.012736E-2</v>
      </c>
      <c r="BV623" s="48"/>
      <c r="BW623" s="48"/>
      <c r="BX623" s="48"/>
      <c r="BY623" s="48"/>
      <c r="BZ623" s="48"/>
      <c r="CA623" s="48"/>
      <c r="CB623" s="48"/>
      <c r="CC623" s="48"/>
      <c r="CD623" s="48"/>
      <c r="CE623" s="48"/>
      <c r="CF623" s="48"/>
      <c r="CG623" s="48"/>
      <c r="CH623" s="48"/>
      <c r="CI623" s="98"/>
      <c r="CJ623" s="98"/>
      <c r="CK623" s="49">
        <f t="shared" si="142"/>
        <v>0.96782096595069045</v>
      </c>
      <c r="CL623" s="229"/>
      <c r="CM623" s="229"/>
      <c r="CN623" s="229"/>
      <c r="CO623" s="47" t="s">
        <v>2488</v>
      </c>
      <c r="CP623" s="500" t="s">
        <v>2489</v>
      </c>
      <c r="CQ623" s="224" t="s">
        <v>272</v>
      </c>
      <c r="CR623" s="224"/>
      <c r="CS623" s="230" t="s">
        <v>539</v>
      </c>
      <c r="CT623" s="230"/>
      <c r="CU623" s="230"/>
      <c r="CV623" s="335">
        <f t="shared" si="143"/>
        <v>87.865832060991977</v>
      </c>
      <c r="CW623" s="230">
        <f t="shared" si="141"/>
        <v>1</v>
      </c>
      <c r="CX623" s="336"/>
      <c r="CY623" s="230" t="s">
        <v>5921</v>
      </c>
    </row>
    <row r="624" spans="1:103" ht="11.25" customHeight="1" x14ac:dyDescent="0.2">
      <c r="A624" s="72">
        <v>943</v>
      </c>
      <c r="B624" s="224">
        <v>1454</v>
      </c>
      <c r="C624" s="46" t="s">
        <v>7134</v>
      </c>
      <c r="D624" s="46"/>
      <c r="E624" s="114"/>
      <c r="F624" s="114" t="s">
        <v>4470</v>
      </c>
      <c r="G624" s="225">
        <v>106434</v>
      </c>
      <c r="H624" s="47" t="s">
        <v>4471</v>
      </c>
      <c r="I624" s="47" t="s">
        <v>8027</v>
      </c>
      <c r="J624" s="47" t="s">
        <v>4472</v>
      </c>
      <c r="K624" s="47" t="s">
        <v>426</v>
      </c>
      <c r="L624" s="47" t="s">
        <v>5527</v>
      </c>
      <c r="M624" s="47" t="s">
        <v>866</v>
      </c>
      <c r="N624" s="47" t="s">
        <v>6082</v>
      </c>
      <c r="O624" s="47" t="s">
        <v>498</v>
      </c>
      <c r="P624" s="53" t="s">
        <v>6183</v>
      </c>
      <c r="Q624" s="53" t="s">
        <v>6176</v>
      </c>
      <c r="R624" s="53" t="s">
        <v>6185</v>
      </c>
      <c r="S624" s="53" t="s">
        <v>6176</v>
      </c>
      <c r="T624" s="48">
        <v>126.58</v>
      </c>
      <c r="U624" s="98">
        <v>106</v>
      </c>
      <c r="V624" s="98">
        <v>135.80000000000001</v>
      </c>
      <c r="W624" s="98">
        <v>38.226548876848717</v>
      </c>
      <c r="X624" s="98">
        <v>106</v>
      </c>
      <c r="Y624" s="233">
        <v>7</v>
      </c>
      <c r="Z624" s="48">
        <v>3.18</v>
      </c>
      <c r="AA624" s="48">
        <v>3.33</v>
      </c>
      <c r="AB624" s="48">
        <v>3.26</v>
      </c>
      <c r="AC624" s="48">
        <v>0.95009999999999994</v>
      </c>
      <c r="AD624" s="48">
        <v>3.27</v>
      </c>
      <c r="AE624" s="48">
        <v>3.27</v>
      </c>
      <c r="AF624" s="48">
        <f t="shared" si="144"/>
        <v>3.33</v>
      </c>
      <c r="AG624" s="49">
        <v>2.95</v>
      </c>
      <c r="AH624" s="98">
        <v>4.4099999999999999E-3</v>
      </c>
      <c r="AI624" s="98">
        <v>4.3800000000000002E-3</v>
      </c>
      <c r="AJ624" s="483">
        <f t="shared" si="146"/>
        <v>-0.74412773684481326</v>
      </c>
      <c r="AK624" s="483">
        <f>LOG10(AI624*1000/(0.08206*298.15))</f>
        <v>-0.74709221580855223</v>
      </c>
      <c r="AL624" s="483">
        <f t="shared" si="145"/>
        <v>-0.74709221580855223</v>
      </c>
      <c r="AM624" s="483">
        <v>-2.6709099999999992</v>
      </c>
      <c r="AN624" s="226">
        <v>-0.745</v>
      </c>
      <c r="AO624" s="484"/>
      <c r="AP624" s="484"/>
      <c r="AQ624" s="48" t="s">
        <v>6311</v>
      </c>
      <c r="AR624" s="48" t="s">
        <v>6311</v>
      </c>
      <c r="AS624" s="227"/>
      <c r="AT624" s="50" t="s">
        <v>266</v>
      </c>
      <c r="AU624" s="48">
        <v>6</v>
      </c>
      <c r="AV624" s="48">
        <v>120</v>
      </c>
      <c r="AW624" s="48">
        <v>114</v>
      </c>
      <c r="AX624" s="48">
        <v>28</v>
      </c>
      <c r="AY624" s="48" t="s">
        <v>8728</v>
      </c>
      <c r="AZ624" s="48" t="s">
        <v>1563</v>
      </c>
      <c r="BA624" s="48">
        <v>32</v>
      </c>
      <c r="BB624" s="47" t="s">
        <v>2485</v>
      </c>
      <c r="BC624" s="47" t="s">
        <v>8726</v>
      </c>
      <c r="BD624" s="47" t="s">
        <v>8374</v>
      </c>
      <c r="BE624" s="48" t="s">
        <v>2449</v>
      </c>
      <c r="BF624" s="48" t="s">
        <v>272</v>
      </c>
      <c r="BG624" s="48" t="s">
        <v>272</v>
      </c>
      <c r="BH624" s="48" t="s">
        <v>2486</v>
      </c>
      <c r="BI624" s="98">
        <v>8.1011199999999998E-4</v>
      </c>
      <c r="BJ624" s="98">
        <v>8.1011199999999999</v>
      </c>
      <c r="BK624" s="48"/>
      <c r="BL624" s="487">
        <v>9.061645983386347</v>
      </c>
      <c r="BM624" s="47" t="s">
        <v>2487</v>
      </c>
      <c r="BN624" s="48"/>
      <c r="BO624" s="48"/>
      <c r="BP624" s="48"/>
      <c r="BQ624" s="48"/>
      <c r="BR624" s="47" t="e">
        <v>#VALUE!</v>
      </c>
      <c r="BS624" s="48"/>
      <c r="BT624" s="48"/>
      <c r="BU624" s="228"/>
      <c r="BV624" s="48"/>
      <c r="BW624" s="48"/>
      <c r="BX624" s="48"/>
      <c r="BY624" s="48"/>
      <c r="BZ624" s="48"/>
      <c r="CA624" s="48"/>
      <c r="CB624" s="48"/>
      <c r="CC624" s="48"/>
      <c r="CD624" s="48"/>
      <c r="CE624" s="48"/>
      <c r="CF624" s="48"/>
      <c r="CG624" s="48"/>
      <c r="CH624" s="48"/>
      <c r="CI624" s="98"/>
      <c r="CJ624" s="98"/>
      <c r="CK624" s="49">
        <f t="shared" si="142"/>
        <v>1.1185670602813373</v>
      </c>
      <c r="CL624" s="229"/>
      <c r="CM624" s="229"/>
      <c r="CN624" s="229"/>
      <c r="CO624" s="47" t="s">
        <v>2488</v>
      </c>
      <c r="CP624" s="500" t="s">
        <v>2489</v>
      </c>
      <c r="CQ624" s="224">
        <v>0.77232170672291978</v>
      </c>
      <c r="CR624" s="224">
        <f>10^(CJ624-CQ624)</f>
        <v>0.16891891891891886</v>
      </c>
      <c r="CS624" s="230" t="s">
        <v>539</v>
      </c>
      <c r="CT624" s="230"/>
      <c r="CU624" s="230"/>
      <c r="CV624" s="335">
        <f t="shared" si="143"/>
        <v>13.084610522989413</v>
      </c>
      <c r="CW624" s="230">
        <f t="shared" si="141"/>
        <v>1</v>
      </c>
      <c r="CX624" s="336"/>
      <c r="CY624" s="230" t="s">
        <v>6351</v>
      </c>
    </row>
    <row r="625" spans="1:103" ht="11.25" customHeight="1" x14ac:dyDescent="0.2">
      <c r="A625" s="72">
        <v>944</v>
      </c>
      <c r="B625" s="224">
        <v>994</v>
      </c>
      <c r="C625" s="46" t="s">
        <v>7135</v>
      </c>
      <c r="D625" s="46" t="s">
        <v>8682</v>
      </c>
      <c r="E625" s="114"/>
      <c r="F625" s="114" t="s">
        <v>2837</v>
      </c>
      <c r="G625" s="225">
        <v>106445</v>
      </c>
      <c r="H625" s="47" t="s">
        <v>2838</v>
      </c>
      <c r="I625" s="47" t="s">
        <v>2838</v>
      </c>
      <c r="J625" s="47" t="s">
        <v>2839</v>
      </c>
      <c r="K625" s="47" t="s">
        <v>349</v>
      </c>
      <c r="L625" s="47" t="s">
        <v>6124</v>
      </c>
      <c r="M625" s="47" t="s">
        <v>5952</v>
      </c>
      <c r="N625" s="47" t="s">
        <v>6381</v>
      </c>
      <c r="O625" s="47" t="s">
        <v>498</v>
      </c>
      <c r="P625" s="53" t="s">
        <v>6184</v>
      </c>
      <c r="Q625" s="53" t="s">
        <v>6182</v>
      </c>
      <c r="R625" s="53" t="s">
        <v>8683</v>
      </c>
      <c r="S625" s="53" t="s">
        <v>6176</v>
      </c>
      <c r="T625" s="48">
        <v>108.14</v>
      </c>
      <c r="U625" s="98">
        <v>21500</v>
      </c>
      <c r="V625" s="98">
        <v>9246</v>
      </c>
      <c r="W625" s="98">
        <v>25350.490408869635</v>
      </c>
      <c r="X625" s="98">
        <v>21500</v>
      </c>
      <c r="Y625" s="233">
        <v>5.42</v>
      </c>
      <c r="Z625" s="48">
        <v>2.06</v>
      </c>
      <c r="AA625" s="48">
        <v>1.94</v>
      </c>
      <c r="AB625" s="48">
        <v>2.13</v>
      </c>
      <c r="AC625" s="48">
        <v>0.92190000000000005</v>
      </c>
      <c r="AD625" s="48">
        <v>2.09</v>
      </c>
      <c r="AE625" s="48">
        <v>1.94</v>
      </c>
      <c r="AF625" s="48">
        <f t="shared" si="144"/>
        <v>1.94</v>
      </c>
      <c r="AG625" s="49">
        <v>1.93</v>
      </c>
      <c r="AH625" s="98">
        <v>6.1900000000000002E-7</v>
      </c>
      <c r="AI625" s="98">
        <v>9.9999999999999995E-7</v>
      </c>
      <c r="AJ625" s="483">
        <f t="shared" si="146"/>
        <v>-4.5968756772925339</v>
      </c>
      <c r="AK625" s="483">
        <f>LOG10(AI625*1000/(0.08206*298.15))</f>
        <v>-4.3885663263126515</v>
      </c>
      <c r="AL625" s="483">
        <f t="shared" si="145"/>
        <v>-4.3885663263126515</v>
      </c>
      <c r="AM625" s="483">
        <v>-6.4610799999999999</v>
      </c>
      <c r="AN625" s="226">
        <v>-4.68</v>
      </c>
      <c r="AO625" s="484">
        <v>10.210000000000001</v>
      </c>
      <c r="AP625" s="484"/>
      <c r="AQ625" s="48" t="s">
        <v>6311</v>
      </c>
      <c r="AR625" s="48" t="s">
        <v>6311</v>
      </c>
      <c r="AS625" s="227"/>
      <c r="AT625" s="50" t="s">
        <v>266</v>
      </c>
      <c r="AU625" s="48">
        <v>6</v>
      </c>
      <c r="AV625" s="48">
        <v>120</v>
      </c>
      <c r="AW625" s="48">
        <v>114</v>
      </c>
      <c r="AX625" s="48">
        <v>28</v>
      </c>
      <c r="AY625" s="48" t="s">
        <v>8728</v>
      </c>
      <c r="AZ625" s="48" t="s">
        <v>1563</v>
      </c>
      <c r="BA625" s="48">
        <v>32</v>
      </c>
      <c r="BB625" s="47" t="s">
        <v>2485</v>
      </c>
      <c r="BC625" s="47" t="s">
        <v>8726</v>
      </c>
      <c r="BD625" s="47" t="s">
        <v>8374</v>
      </c>
      <c r="BE625" s="48" t="s">
        <v>2449</v>
      </c>
      <c r="BF625" s="48" t="s">
        <v>272</v>
      </c>
      <c r="BG625" s="48" t="s">
        <v>272</v>
      </c>
      <c r="BH625" s="48" t="s">
        <v>2486</v>
      </c>
      <c r="BI625" s="98">
        <v>6.9209600000000001E-4</v>
      </c>
      <c r="BJ625" s="98">
        <v>6.92096</v>
      </c>
      <c r="BK625" s="48"/>
      <c r="BL625" s="487">
        <v>78.469406027640559</v>
      </c>
      <c r="BM625" s="47" t="s">
        <v>2487</v>
      </c>
      <c r="BN625" s="48"/>
      <c r="BO625" s="48"/>
      <c r="BP625" s="48"/>
      <c r="BQ625" s="48"/>
      <c r="BR625" s="47" t="e">
        <v>#VALUE!</v>
      </c>
      <c r="BS625" s="48"/>
      <c r="BT625" s="48"/>
      <c r="BU625" s="228">
        <v>6.9209599999999994E-3</v>
      </c>
      <c r="BV625" s="48"/>
      <c r="BW625" s="48"/>
      <c r="BX625" s="48"/>
      <c r="BY625" s="48"/>
      <c r="BZ625" s="48"/>
      <c r="CA625" s="48"/>
      <c r="CB625" s="48"/>
      <c r="CC625" s="48"/>
      <c r="CD625" s="48"/>
      <c r="CE625" s="48"/>
      <c r="CF625" s="48"/>
      <c r="CG625" s="48"/>
      <c r="CH625" s="48"/>
      <c r="CI625" s="98"/>
      <c r="CJ625" s="98"/>
      <c r="CK625" s="49">
        <f t="shared" si="142"/>
        <v>11.337936648621081</v>
      </c>
      <c r="CL625" s="229"/>
      <c r="CM625" s="229"/>
      <c r="CN625" s="229"/>
      <c r="CO625" s="47" t="s">
        <v>2488</v>
      </c>
      <c r="CP625" s="500" t="s">
        <v>2489</v>
      </c>
      <c r="CQ625" s="224">
        <v>1.0989263658995541</v>
      </c>
      <c r="CR625" s="224">
        <f>10^(CJ625-CQ625)</f>
        <v>7.9629434970963739E-2</v>
      </c>
      <c r="CS625" s="230" t="s">
        <v>539</v>
      </c>
      <c r="CT625" s="230"/>
      <c r="CU625" s="230"/>
      <c r="CV625" s="335">
        <f t="shared" si="143"/>
        <v>3106.5054558905122</v>
      </c>
      <c r="CW625" s="230">
        <f t="shared" si="141"/>
        <v>1</v>
      </c>
      <c r="CX625" s="336"/>
      <c r="CY625" s="230" t="s">
        <v>6351</v>
      </c>
    </row>
    <row r="626" spans="1:103" ht="11.25" customHeight="1" x14ac:dyDescent="0.2">
      <c r="A626" s="72">
        <v>945</v>
      </c>
      <c r="B626" s="224">
        <v>1377</v>
      </c>
      <c r="C626" s="46" t="s">
        <v>7136</v>
      </c>
      <c r="D626" s="46" t="s">
        <v>8580</v>
      </c>
      <c r="E626" s="114"/>
      <c r="F626" s="114" t="s">
        <v>4077</v>
      </c>
      <c r="G626" s="225">
        <v>106467</v>
      </c>
      <c r="H626" s="47" t="s">
        <v>4078</v>
      </c>
      <c r="I626" s="47" t="s">
        <v>8028</v>
      </c>
      <c r="J626" s="47" t="s">
        <v>4079</v>
      </c>
      <c r="K626" s="47" t="s">
        <v>426</v>
      </c>
      <c r="L626" s="51" t="s">
        <v>5527</v>
      </c>
      <c r="M626" s="47" t="s">
        <v>866</v>
      </c>
      <c r="N626" s="47" t="s">
        <v>6082</v>
      </c>
      <c r="O626" s="47" t="s">
        <v>6086</v>
      </c>
      <c r="P626" s="53" t="s">
        <v>6183</v>
      </c>
      <c r="Q626" s="53" t="s">
        <v>6176</v>
      </c>
      <c r="R626" s="53" t="s">
        <v>6185</v>
      </c>
      <c r="S626" s="53" t="s">
        <v>6176</v>
      </c>
      <c r="T626" s="48">
        <v>147</v>
      </c>
      <c r="U626" s="98">
        <v>81.3</v>
      </c>
      <c r="V626" s="98">
        <v>90.24</v>
      </c>
      <c r="W626" s="98">
        <v>21.247964629965121</v>
      </c>
      <c r="X626" s="98">
        <v>81.3</v>
      </c>
      <c r="Y626" s="233">
        <v>7</v>
      </c>
      <c r="Z626" s="48">
        <v>3.28</v>
      </c>
      <c r="AA626" s="48">
        <v>3.44</v>
      </c>
      <c r="AB626" s="48">
        <v>3.28</v>
      </c>
      <c r="AC626" s="48">
        <v>0.92520000000000002</v>
      </c>
      <c r="AD626" s="48">
        <v>3.29</v>
      </c>
      <c r="AE626" s="48">
        <v>3.34</v>
      </c>
      <c r="AF626" s="48">
        <f t="shared" si="144"/>
        <v>3.44</v>
      </c>
      <c r="AG626" s="49">
        <v>3.17</v>
      </c>
      <c r="AH626" s="98">
        <v>2.96E-3</v>
      </c>
      <c r="AI626" s="98">
        <v>2.4099999999999998E-3</v>
      </c>
      <c r="AJ626" s="483">
        <f t="shared" si="146"/>
        <v>-0.91727461525371323</v>
      </c>
      <c r="AK626" s="483">
        <f>LOG10(AI626*1000/(0.08206*298.15))</f>
        <v>-1.0065492837377834</v>
      </c>
      <c r="AL626" s="483">
        <f t="shared" si="145"/>
        <v>-1.0065492837377834</v>
      </c>
      <c r="AM626" s="483">
        <v>-3.2108500000000002</v>
      </c>
      <c r="AN626" s="226">
        <v>-0.93100000000000005</v>
      </c>
      <c r="AO626" s="484"/>
      <c r="AP626" s="484"/>
      <c r="AQ626" s="48" t="s">
        <v>6311</v>
      </c>
      <c r="AR626" s="48" t="s">
        <v>6311</v>
      </c>
      <c r="AS626" s="227"/>
      <c r="AT626" s="50" t="s">
        <v>266</v>
      </c>
      <c r="AU626" s="48">
        <v>6</v>
      </c>
      <c r="AV626" s="48">
        <v>120</v>
      </c>
      <c r="AW626" s="48">
        <v>114</v>
      </c>
      <c r="AX626" s="48">
        <v>28</v>
      </c>
      <c r="AY626" s="48" t="s">
        <v>8728</v>
      </c>
      <c r="AZ626" s="48" t="s">
        <v>1563</v>
      </c>
      <c r="BA626" s="48">
        <v>32</v>
      </c>
      <c r="BB626" s="47" t="s">
        <v>2485</v>
      </c>
      <c r="BC626" s="47" t="s">
        <v>8726</v>
      </c>
      <c r="BD626" s="47" t="s">
        <v>8374</v>
      </c>
      <c r="BE626" s="48" t="s">
        <v>2449</v>
      </c>
      <c r="BF626" s="48" t="s">
        <v>272</v>
      </c>
      <c r="BG626" s="48" t="s">
        <v>272</v>
      </c>
      <c r="BH626" s="48" t="s">
        <v>2486</v>
      </c>
      <c r="BI626" s="98">
        <v>9.4079999999999999E-4</v>
      </c>
      <c r="BJ626" s="98">
        <v>9.4079999999999995</v>
      </c>
      <c r="BK626" s="48"/>
      <c r="BL626" s="487">
        <v>8.5575478214277876</v>
      </c>
      <c r="BM626" s="47" t="s">
        <v>2487</v>
      </c>
      <c r="BN626" s="48"/>
      <c r="BO626" s="48"/>
      <c r="BP626" s="48"/>
      <c r="BQ626" s="48"/>
      <c r="BR626" s="47" t="e">
        <v>#VALUE!</v>
      </c>
      <c r="BS626" s="48"/>
      <c r="BT626" s="48"/>
      <c r="BU626" s="228"/>
      <c r="BV626" s="48"/>
      <c r="BW626" s="48"/>
      <c r="BX626" s="48"/>
      <c r="BY626" s="48"/>
      <c r="BZ626" s="48"/>
      <c r="CA626" s="48"/>
      <c r="CB626" s="48"/>
      <c r="CC626" s="48"/>
      <c r="CD626" s="48"/>
      <c r="CE626" s="48"/>
      <c r="CF626" s="48"/>
      <c r="CG626" s="48"/>
      <c r="CH626" s="48"/>
      <c r="CI626" s="98"/>
      <c r="CJ626" s="98"/>
      <c r="CK626" s="49">
        <f t="shared" si="142"/>
        <v>0.90960329734564072</v>
      </c>
      <c r="CL626" s="229"/>
      <c r="CM626" s="229"/>
      <c r="CN626" s="229"/>
      <c r="CO626" s="47" t="s">
        <v>2488</v>
      </c>
      <c r="CP626" s="500" t="s">
        <v>2489</v>
      </c>
      <c r="CQ626" s="224">
        <v>0.71498239185563861</v>
      </c>
      <c r="CR626" s="224">
        <f>10^(CJ626-CQ626)</f>
        <v>0.19276030648285775</v>
      </c>
      <c r="CS626" s="230" t="s">
        <v>539</v>
      </c>
      <c r="CT626" s="230"/>
      <c r="CU626" s="230"/>
      <c r="CV626" s="335">
        <f t="shared" si="143"/>
        <v>8.641581632653061</v>
      </c>
      <c r="CW626" s="230">
        <f t="shared" si="141"/>
        <v>1</v>
      </c>
      <c r="CX626" s="336"/>
      <c r="CY626" s="230" t="s">
        <v>6351</v>
      </c>
    </row>
    <row r="627" spans="1:103" ht="11.25" customHeight="1" x14ac:dyDescent="0.2">
      <c r="A627" s="72">
        <v>946</v>
      </c>
      <c r="B627" s="224">
        <v>990</v>
      </c>
      <c r="C627" s="46" t="s">
        <v>1631</v>
      </c>
      <c r="D627" s="46"/>
      <c r="E627" s="114"/>
      <c r="F627" s="114" t="s">
        <v>1632</v>
      </c>
      <c r="G627" s="225">
        <v>106478</v>
      </c>
      <c r="H627" s="47" t="s">
        <v>1633</v>
      </c>
      <c r="I627" s="47" t="s">
        <v>8029</v>
      </c>
      <c r="J627" s="47" t="s">
        <v>1634</v>
      </c>
      <c r="K627" s="47" t="s">
        <v>1573</v>
      </c>
      <c r="L627" s="47" t="s">
        <v>5527</v>
      </c>
      <c r="M627" s="47" t="s">
        <v>866</v>
      </c>
      <c r="N627" s="47" t="s">
        <v>6082</v>
      </c>
      <c r="O627" s="47" t="s">
        <v>6086</v>
      </c>
      <c r="P627" s="53" t="s">
        <v>6184</v>
      </c>
      <c r="Q627" s="53" t="s">
        <v>6176</v>
      </c>
      <c r="R627" s="53" t="s">
        <v>6185</v>
      </c>
      <c r="S627" s="53" t="s">
        <v>6176</v>
      </c>
      <c r="T627" s="48">
        <v>127.57</v>
      </c>
      <c r="U627" s="98">
        <v>3899.0830721003135</v>
      </c>
      <c r="V627" s="98">
        <v>2571.3952978056427</v>
      </c>
      <c r="W627" s="98">
        <v>1464.6995749435732</v>
      </c>
      <c r="X627" s="98">
        <v>3899.0830721003135</v>
      </c>
      <c r="Y627" s="233">
        <v>8.02</v>
      </c>
      <c r="Z627" s="48">
        <v>1.72</v>
      </c>
      <c r="AA627" s="48">
        <v>1.83</v>
      </c>
      <c r="AB627" s="48">
        <v>1.8</v>
      </c>
      <c r="AC627" s="48">
        <v>0.91020000000000001</v>
      </c>
      <c r="AD627" s="48">
        <v>1.79</v>
      </c>
      <c r="AE627" s="48">
        <v>1.76</v>
      </c>
      <c r="AF627" s="48">
        <f t="shared" si="144"/>
        <v>1.83</v>
      </c>
      <c r="AG627" s="49">
        <v>1.8</v>
      </c>
      <c r="AH627" s="98">
        <v>1.4100000000000001E-6</v>
      </c>
      <c r="AI627" s="98">
        <v>1.1599999999999999E-6</v>
      </c>
      <c r="AJ627" s="483">
        <f t="shared" si="146"/>
        <v>-4.2393472136572719</v>
      </c>
      <c r="AK627" s="483">
        <f>LOG10(AI627*1000/(0.08206*298.15))</f>
        <v>-4.3241083370857334</v>
      </c>
      <c r="AL627" s="483">
        <f t="shared" si="145"/>
        <v>-4.3241083370857334</v>
      </c>
      <c r="AM627" s="483">
        <v>-6.9352299999999998</v>
      </c>
      <c r="AN627" s="226">
        <v>-4.13</v>
      </c>
      <c r="AO627" s="484"/>
      <c r="AP627" s="484">
        <v>3.97</v>
      </c>
      <c r="AQ627" s="48" t="s">
        <v>6311</v>
      </c>
      <c r="AR627" s="48" t="s">
        <v>6311</v>
      </c>
      <c r="AS627" s="227"/>
      <c r="AT627" s="50" t="s">
        <v>266</v>
      </c>
      <c r="AU627" s="48">
        <v>6</v>
      </c>
      <c r="AV627" s="48">
        <v>120</v>
      </c>
      <c r="AW627" s="48">
        <v>114</v>
      </c>
      <c r="AX627" s="48">
        <v>28</v>
      </c>
      <c r="AY627" s="48" t="s">
        <v>8728</v>
      </c>
      <c r="AZ627" s="48" t="s">
        <v>1563</v>
      </c>
      <c r="BA627" s="48">
        <v>32</v>
      </c>
      <c r="BB627" s="47" t="s">
        <v>2485</v>
      </c>
      <c r="BC627" s="47" t="s">
        <v>8726</v>
      </c>
      <c r="BD627" s="47" t="s">
        <v>8374</v>
      </c>
      <c r="BE627" s="48" t="s">
        <v>2449</v>
      </c>
      <c r="BF627" s="48" t="s">
        <v>272</v>
      </c>
      <c r="BG627" s="48" t="s">
        <v>272</v>
      </c>
      <c r="BH627" s="48" t="s">
        <v>2486</v>
      </c>
      <c r="BI627" s="98">
        <v>8.1644799999999989E-4</v>
      </c>
      <c r="BJ627" s="98">
        <v>8.1644799999999993</v>
      </c>
      <c r="BK627" s="48"/>
      <c r="BL627" s="487">
        <v>186.98921376193246</v>
      </c>
      <c r="BM627" s="47" t="s">
        <v>2487</v>
      </c>
      <c r="BN627" s="48"/>
      <c r="BO627" s="48"/>
      <c r="BP627" s="48"/>
      <c r="BQ627" s="48"/>
      <c r="BR627" s="47" t="e">
        <v>#VALUE!</v>
      </c>
      <c r="BS627" s="48"/>
      <c r="BT627" s="48"/>
      <c r="BU627" s="228">
        <v>8.2869471999999986E-2</v>
      </c>
      <c r="BV627" s="48"/>
      <c r="BW627" s="48"/>
      <c r="BX627" s="48"/>
      <c r="BY627" s="48"/>
      <c r="BZ627" s="48"/>
      <c r="CA627" s="48"/>
      <c r="CB627" s="48"/>
      <c r="CC627" s="48"/>
      <c r="CD627" s="48"/>
      <c r="CE627" s="48"/>
      <c r="CF627" s="48"/>
      <c r="CG627" s="48"/>
      <c r="CH627" s="48"/>
      <c r="CI627" s="98"/>
      <c r="CJ627" s="98"/>
      <c r="CK627" s="49">
        <f t="shared" si="142"/>
        <v>22.902770753548602</v>
      </c>
      <c r="CL627" s="229"/>
      <c r="CM627" s="229">
        <v>0.38021124171160575</v>
      </c>
      <c r="CN627" s="229">
        <f>BJ627/(10^CM627)</f>
        <v>3.4018666666666686</v>
      </c>
      <c r="CO627" s="47" t="s">
        <v>2488</v>
      </c>
      <c r="CP627" s="500" t="s">
        <v>2489</v>
      </c>
      <c r="CQ627" s="224">
        <v>1.2387924988193562</v>
      </c>
      <c r="CR627" s="224">
        <f>10^(CJ627-CQ627)</f>
        <v>5.7704210197963006E-2</v>
      </c>
      <c r="CS627" s="230" t="s">
        <v>539</v>
      </c>
      <c r="CT627" s="230"/>
      <c r="CU627" s="230"/>
      <c r="CV627" s="335">
        <f t="shared" si="143"/>
        <v>477.56661442006276</v>
      </c>
      <c r="CW627" s="230">
        <f t="shared" si="141"/>
        <v>1</v>
      </c>
      <c r="CX627" s="336"/>
      <c r="CY627" s="230" t="s">
        <v>6351</v>
      </c>
    </row>
    <row r="628" spans="1:103" ht="11.25" customHeight="1" x14ac:dyDescent="0.2">
      <c r="A628" s="72">
        <v>947</v>
      </c>
      <c r="B628" s="224">
        <v>1461</v>
      </c>
      <c r="C628" s="46" t="s">
        <v>7137</v>
      </c>
      <c r="D628" s="46"/>
      <c r="E628" s="114"/>
      <c r="F628" s="114" t="s">
        <v>4493</v>
      </c>
      <c r="G628" s="225">
        <v>106490</v>
      </c>
      <c r="H628" s="47" t="s">
        <v>4494</v>
      </c>
      <c r="I628" s="47" t="s">
        <v>4494</v>
      </c>
      <c r="J628" s="47" t="s">
        <v>4495</v>
      </c>
      <c r="K628" s="47" t="s">
        <v>1573</v>
      </c>
      <c r="L628" s="47"/>
      <c r="M628" s="47"/>
      <c r="N628" s="47"/>
      <c r="O628" s="47"/>
      <c r="P628" s="53" t="s">
        <v>6184</v>
      </c>
      <c r="Q628" s="53" t="s">
        <v>6176</v>
      </c>
      <c r="R628" s="53" t="s">
        <v>6185</v>
      </c>
      <c r="S628" s="53" t="s">
        <v>6176</v>
      </c>
      <c r="T628" s="48">
        <v>107.15</v>
      </c>
      <c r="U628" s="98">
        <v>6500</v>
      </c>
      <c r="V628" s="98">
        <v>7224.9999999999991</v>
      </c>
      <c r="W628" s="98">
        <v>12882.26341692558</v>
      </c>
      <c r="X628" s="98">
        <v>6500</v>
      </c>
      <c r="Y628" s="233">
        <v>9.06</v>
      </c>
      <c r="Z628" s="48">
        <v>1.62</v>
      </c>
      <c r="AA628" s="48">
        <v>1.39</v>
      </c>
      <c r="AB628" s="48">
        <v>1.49</v>
      </c>
      <c r="AC628" s="48">
        <v>0.94979999999999998</v>
      </c>
      <c r="AD628" s="48">
        <v>1.47</v>
      </c>
      <c r="AE628" s="48">
        <v>1.4</v>
      </c>
      <c r="AF628" s="48">
        <f t="shared" si="144"/>
        <v>1.39</v>
      </c>
      <c r="AG628" s="49">
        <v>1.58</v>
      </c>
      <c r="AH628" s="98">
        <v>2.0999999999999998E-6</v>
      </c>
      <c r="AI628" s="98">
        <v>2.0200000000000001E-6</v>
      </c>
      <c r="AJ628" s="483">
        <f t="shared" si="146"/>
        <v>-4.0663470315787329</v>
      </c>
      <c r="AK628" s="483">
        <f>LOG10(AI628*1000/(0.08206*298.15))</f>
        <v>-4.0832149568660281</v>
      </c>
      <c r="AL628" s="483">
        <f t="shared" si="145"/>
        <v>-4.0832149568660281</v>
      </c>
      <c r="AM628" s="483">
        <v>-6.2000900000000003</v>
      </c>
      <c r="AN628" s="226">
        <v>-3.95</v>
      </c>
      <c r="AO628" s="484"/>
      <c r="AP628" s="484">
        <v>5.04</v>
      </c>
      <c r="AQ628" s="48" t="s">
        <v>6311</v>
      </c>
      <c r="AR628" s="48" t="s">
        <v>6311</v>
      </c>
      <c r="AS628" s="227"/>
      <c r="AT628" s="50" t="s">
        <v>266</v>
      </c>
      <c r="AU628" s="48">
        <v>6</v>
      </c>
      <c r="AV628" s="48">
        <v>120</v>
      </c>
      <c r="AW628" s="48">
        <v>114</v>
      </c>
      <c r="AX628" s="48">
        <v>28</v>
      </c>
      <c r="AY628" s="48" t="s">
        <v>8728</v>
      </c>
      <c r="AZ628" s="48" t="s">
        <v>1563</v>
      </c>
      <c r="BA628" s="48">
        <v>32</v>
      </c>
      <c r="BB628" s="47" t="s">
        <v>2485</v>
      </c>
      <c r="BC628" s="47" t="s">
        <v>8726</v>
      </c>
      <c r="BD628" s="47" t="s">
        <v>8374</v>
      </c>
      <c r="BE628" s="48" t="s">
        <v>2449</v>
      </c>
      <c r="BF628" s="48" t="s">
        <v>272</v>
      </c>
      <c r="BG628" s="48" t="s">
        <v>272</v>
      </c>
      <c r="BH628" s="48" t="s">
        <v>2486</v>
      </c>
      <c r="BI628" s="98">
        <v>6.8575999999999999E-4</v>
      </c>
      <c r="BJ628" s="98">
        <v>6.8576000000000006</v>
      </c>
      <c r="BK628" s="48"/>
      <c r="BL628" s="487">
        <v>193.13908757131543</v>
      </c>
      <c r="BM628" s="47" t="s">
        <v>2487</v>
      </c>
      <c r="BN628" s="48"/>
      <c r="BO628" s="48"/>
      <c r="BP628" s="48"/>
      <c r="BQ628" s="48"/>
      <c r="BR628" s="47" t="e">
        <v>#VALUE!</v>
      </c>
      <c r="BS628" s="48"/>
      <c r="BT628" s="48"/>
      <c r="BU628" s="228"/>
      <c r="BV628" s="48"/>
      <c r="BW628" s="48"/>
      <c r="BX628" s="48"/>
      <c r="BY628" s="48"/>
      <c r="BZ628" s="48"/>
      <c r="CA628" s="48"/>
      <c r="CB628" s="48"/>
      <c r="CC628" s="48"/>
      <c r="CD628" s="48"/>
      <c r="CE628" s="48"/>
      <c r="CF628" s="48"/>
      <c r="CG628" s="48"/>
      <c r="CH628" s="48"/>
      <c r="CI628" s="98"/>
      <c r="CJ628" s="98"/>
      <c r="CK628" s="49">
        <f t="shared" si="142"/>
        <v>28.164239321528729</v>
      </c>
      <c r="CL628" s="229"/>
      <c r="CM628" s="229"/>
      <c r="CN628" s="229"/>
      <c r="CO628" s="47" t="s">
        <v>2488</v>
      </c>
      <c r="CP628" s="500" t="s">
        <v>2489</v>
      </c>
      <c r="CQ628" s="224">
        <v>2.1986570869544226</v>
      </c>
      <c r="CR628" s="224">
        <f>10^(CJ628-CQ628)</f>
        <v>6.3291139240506319E-3</v>
      </c>
      <c r="CS628" s="230" t="s">
        <v>539</v>
      </c>
      <c r="CT628" s="230"/>
      <c r="CU628" s="230"/>
      <c r="CV628" s="335">
        <f t="shared" si="143"/>
        <v>947.85347643490422</v>
      </c>
      <c r="CW628" s="230">
        <f t="shared" si="141"/>
        <v>1</v>
      </c>
      <c r="CX628" s="336"/>
      <c r="CY628" s="230" t="s">
        <v>6351</v>
      </c>
    </row>
    <row r="629" spans="1:103" ht="11.25" customHeight="1" x14ac:dyDescent="0.2">
      <c r="A629" s="72">
        <v>948</v>
      </c>
      <c r="B629" s="224">
        <v>1620</v>
      </c>
      <c r="C629" s="46" t="s">
        <v>7138</v>
      </c>
      <c r="D629" s="46"/>
      <c r="E629" s="114"/>
      <c r="F629" s="114" t="s">
        <v>4799</v>
      </c>
      <c r="G629" s="225">
        <v>106650</v>
      </c>
      <c r="H629" s="47" t="s">
        <v>4800</v>
      </c>
      <c r="I629" s="47" t="s">
        <v>4800</v>
      </c>
      <c r="J629" s="47" t="s">
        <v>4801</v>
      </c>
      <c r="K629" s="47" t="s">
        <v>357</v>
      </c>
      <c r="L629" s="47"/>
      <c r="M629" s="47"/>
      <c r="N629" s="47"/>
      <c r="O629" s="47"/>
      <c r="P629" s="53"/>
      <c r="Q629" s="53"/>
      <c r="R629" s="53"/>
      <c r="S629" s="53"/>
      <c r="T629" s="48">
        <v>146.13999999999999</v>
      </c>
      <c r="U629" s="98">
        <v>25000</v>
      </c>
      <c r="V629" s="98">
        <v>39620</v>
      </c>
      <c r="W629" s="98">
        <v>54296.158380260786</v>
      </c>
      <c r="X629" s="98">
        <v>25000</v>
      </c>
      <c r="Y629" s="233">
        <v>7</v>
      </c>
      <c r="Z629" s="48">
        <v>0.4</v>
      </c>
      <c r="AA629" s="48">
        <v>0.35</v>
      </c>
      <c r="AB629" s="48">
        <v>0.5</v>
      </c>
      <c r="AC629" s="48">
        <v>0.90920000000000001</v>
      </c>
      <c r="AD629" s="48">
        <v>0.43</v>
      </c>
      <c r="AE629" s="48">
        <v>0.2</v>
      </c>
      <c r="AF629" s="48">
        <f t="shared" si="144"/>
        <v>0.35</v>
      </c>
      <c r="AG629" s="49">
        <v>0.11</v>
      </c>
      <c r="AH629" s="98">
        <v>5.5400000000000001E-7</v>
      </c>
      <c r="AI629" s="98"/>
      <c r="AJ629" s="483">
        <f t="shared" si="146"/>
        <v>-4.6450565615842221</v>
      </c>
      <c r="AK629" s="483"/>
      <c r="AL629" s="483">
        <f t="shared" si="145"/>
        <v>-4.6450565615842221</v>
      </c>
      <c r="AM629" s="483">
        <v>-5.7372800000000002</v>
      </c>
      <c r="AN629" s="226">
        <v>-5.15</v>
      </c>
      <c r="AO629" s="484"/>
      <c r="AP629" s="484"/>
      <c r="AQ629" s="226" t="s">
        <v>6311</v>
      </c>
      <c r="AR629" s="226" t="s">
        <v>6312</v>
      </c>
      <c r="AS629" s="224"/>
      <c r="AT629" s="50" t="s">
        <v>266</v>
      </c>
      <c r="AU629" s="48">
        <v>6</v>
      </c>
      <c r="AV629" s="48">
        <v>120</v>
      </c>
      <c r="AW629" s="48">
        <v>114</v>
      </c>
      <c r="AX629" s="48">
        <v>28</v>
      </c>
      <c r="AY629" s="48" t="s">
        <v>8728</v>
      </c>
      <c r="AZ629" s="48" t="s">
        <v>1563</v>
      </c>
      <c r="BA629" s="48">
        <v>32</v>
      </c>
      <c r="BB629" s="47" t="s">
        <v>2485</v>
      </c>
      <c r="BC629" s="47" t="s">
        <v>8726</v>
      </c>
      <c r="BD629" s="47" t="s">
        <v>8374</v>
      </c>
      <c r="BE629" s="48" t="s">
        <v>2449</v>
      </c>
      <c r="BF629" s="48" t="s">
        <v>272</v>
      </c>
      <c r="BG629" s="48" t="s">
        <v>272</v>
      </c>
      <c r="BH629" s="48" t="s">
        <v>2486</v>
      </c>
      <c r="BI629" s="98">
        <v>9.3529599999999985E-4</v>
      </c>
      <c r="BJ629" s="98">
        <v>9.3529599999999995</v>
      </c>
      <c r="BK629" s="48"/>
      <c r="BL629" s="487">
        <v>3283.4401391198035</v>
      </c>
      <c r="BM629" s="47" t="s">
        <v>2487</v>
      </c>
      <c r="BN629" s="48"/>
      <c r="BO629" s="48"/>
      <c r="BP629" s="48"/>
      <c r="BQ629" s="48"/>
      <c r="BR629" s="47" t="e">
        <v>#VALUE!</v>
      </c>
      <c r="BS629" s="48"/>
      <c r="BT629" s="48"/>
      <c r="BU629" s="228"/>
      <c r="BV629" s="48"/>
      <c r="BW629" s="48"/>
      <c r="BX629" s="48"/>
      <c r="BY629" s="48"/>
      <c r="BZ629" s="48"/>
      <c r="CA629" s="48"/>
      <c r="CB629" s="48"/>
      <c r="CC629" s="48"/>
      <c r="CD629" s="48"/>
      <c r="CE629" s="48"/>
      <c r="CF629" s="48"/>
      <c r="CG629" s="48"/>
      <c r="CH629" s="48"/>
      <c r="CI629" s="98"/>
      <c r="CJ629" s="98"/>
      <c r="CK629" s="49">
        <f t="shared" si="142"/>
        <v>351.0589309822563</v>
      </c>
      <c r="CL629" s="229"/>
      <c r="CM629" s="229"/>
      <c r="CN629" s="229"/>
      <c r="CO629" s="47" t="s">
        <v>2488</v>
      </c>
      <c r="CP629" s="500" t="s">
        <v>2489</v>
      </c>
      <c r="CQ629" s="224" t="s">
        <v>272</v>
      </c>
      <c r="CR629" s="224"/>
      <c r="CS629" s="230" t="s">
        <v>539</v>
      </c>
      <c r="CT629" s="230"/>
      <c r="CU629" s="230"/>
      <c r="CV629" s="335">
        <f t="shared" si="143"/>
        <v>2672.9505953195567</v>
      </c>
      <c r="CW629" s="230">
        <f t="shared" si="141"/>
        <v>1</v>
      </c>
      <c r="CX629" s="336"/>
      <c r="CY629" s="230" t="s">
        <v>6351</v>
      </c>
    </row>
    <row r="630" spans="1:103" ht="11.25" customHeight="1" x14ac:dyDescent="0.2">
      <c r="A630" s="72">
        <v>949</v>
      </c>
      <c r="B630" s="224">
        <v>1468</v>
      </c>
      <c r="C630" s="46" t="s">
        <v>7139</v>
      </c>
      <c r="D630" s="46"/>
      <c r="E630" s="114"/>
      <c r="F630" s="114" t="s">
        <v>4508</v>
      </c>
      <c r="G630" s="225">
        <v>106876</v>
      </c>
      <c r="H630" s="47" t="s">
        <v>4509</v>
      </c>
      <c r="I630" s="47" t="s">
        <v>4509</v>
      </c>
      <c r="J630" s="47" t="s">
        <v>4510</v>
      </c>
      <c r="K630" s="47" t="s">
        <v>4511</v>
      </c>
      <c r="L630" s="47"/>
      <c r="M630" s="47"/>
      <c r="N630" s="47"/>
      <c r="O630" s="47"/>
      <c r="P630" s="53"/>
      <c r="Q630" s="53"/>
      <c r="R630" s="53"/>
      <c r="S630" s="53"/>
      <c r="T630" s="48">
        <v>140.18</v>
      </c>
      <c r="U630" s="98"/>
      <c r="V630" s="98">
        <v>35190</v>
      </c>
      <c r="W630" s="98">
        <v>2492.7920769925618</v>
      </c>
      <c r="X630" s="98">
        <v>2492.7920769925618</v>
      </c>
      <c r="Y630" s="233">
        <v>7</v>
      </c>
      <c r="Z630" s="48">
        <v>1.1299999999999999</v>
      </c>
      <c r="AA630" s="48">
        <v>0.44</v>
      </c>
      <c r="AB630" s="48">
        <v>0.73</v>
      </c>
      <c r="AC630" s="48">
        <v>0.7379</v>
      </c>
      <c r="AD630" s="48">
        <v>0.76</v>
      </c>
      <c r="AE630" s="48">
        <v>0.81</v>
      </c>
      <c r="AF630" s="48">
        <f t="shared" si="144"/>
        <v>0.44</v>
      </c>
      <c r="AG630" s="49">
        <v>0.78</v>
      </c>
      <c r="AH630" s="98">
        <v>1.42E-7</v>
      </c>
      <c r="AI630" s="98"/>
      <c r="AJ630" s="483">
        <f t="shared" si="146"/>
        <v>-5.2362779819295957</v>
      </c>
      <c r="AK630" s="483"/>
      <c r="AL630" s="483">
        <f t="shared" si="145"/>
        <v>-5.2362779819295957</v>
      </c>
      <c r="AM630" s="483">
        <v>-4.7854799999999997</v>
      </c>
      <c r="AN630" s="226">
        <v>-5.75</v>
      </c>
      <c r="AO630" s="484"/>
      <c r="AP630" s="484"/>
      <c r="AQ630" s="48" t="s">
        <v>6314</v>
      </c>
      <c r="AR630" s="48" t="s">
        <v>6311</v>
      </c>
      <c r="AS630" s="227"/>
      <c r="AT630" s="50" t="s">
        <v>266</v>
      </c>
      <c r="AU630" s="48">
        <v>6</v>
      </c>
      <c r="AV630" s="48">
        <v>120</v>
      </c>
      <c r="AW630" s="48">
        <v>114</v>
      </c>
      <c r="AX630" s="48">
        <v>28</v>
      </c>
      <c r="AY630" s="48" t="s">
        <v>8728</v>
      </c>
      <c r="AZ630" s="48" t="s">
        <v>1563</v>
      </c>
      <c r="BA630" s="48">
        <v>32</v>
      </c>
      <c r="BB630" s="47" t="s">
        <v>2485</v>
      </c>
      <c r="BC630" s="47" t="s">
        <v>8726</v>
      </c>
      <c r="BD630" s="47" t="s">
        <v>8374</v>
      </c>
      <c r="BE630" s="48" t="s">
        <v>2449</v>
      </c>
      <c r="BF630" s="48" t="s">
        <v>272</v>
      </c>
      <c r="BG630" s="48" t="s">
        <v>272</v>
      </c>
      <c r="BH630" s="48" t="s">
        <v>2486</v>
      </c>
      <c r="BI630" s="98">
        <v>8.9715200000000002E-4</v>
      </c>
      <c r="BJ630" s="98">
        <v>8.9715199999999999</v>
      </c>
      <c r="BK630" s="48"/>
      <c r="BL630" s="487">
        <v>696.038168608918</v>
      </c>
      <c r="BM630" s="47" t="s">
        <v>2487</v>
      </c>
      <c r="BN630" s="48"/>
      <c r="BO630" s="48"/>
      <c r="BP630" s="48"/>
      <c r="BQ630" s="48"/>
      <c r="BR630" s="47" t="e">
        <v>#VALUE!</v>
      </c>
      <c r="BS630" s="48"/>
      <c r="BT630" s="48"/>
      <c r="BU630" s="228"/>
      <c r="BV630" s="48"/>
      <c r="BW630" s="48"/>
      <c r="BX630" s="48"/>
      <c r="BY630" s="48"/>
      <c r="BZ630" s="48"/>
      <c r="CA630" s="48"/>
      <c r="CB630" s="48"/>
      <c r="CC630" s="48"/>
      <c r="CD630" s="48"/>
      <c r="CE630" s="48"/>
      <c r="CF630" s="48"/>
      <c r="CG630" s="48"/>
      <c r="CH630" s="48"/>
      <c r="CI630" s="98"/>
      <c r="CJ630" s="98"/>
      <c r="CK630" s="49">
        <f t="shared" si="142"/>
        <v>77.583081641563297</v>
      </c>
      <c r="CL630" s="229"/>
      <c r="CM630" s="229"/>
      <c r="CN630" s="229"/>
      <c r="CO630" s="47" t="s">
        <v>2488</v>
      </c>
      <c r="CP630" s="500" t="s">
        <v>2489</v>
      </c>
      <c r="CQ630" s="224" t="s">
        <v>272</v>
      </c>
      <c r="CR630" s="224"/>
      <c r="CS630" s="230" t="s">
        <v>539</v>
      </c>
      <c r="CT630" s="230"/>
      <c r="CU630" s="230"/>
      <c r="CV630" s="335">
        <f t="shared" si="143"/>
        <v>277.85615781858166</v>
      </c>
      <c r="CW630" s="230">
        <f t="shared" si="141"/>
        <v>1</v>
      </c>
      <c r="CX630" s="336"/>
      <c r="CY630" s="230" t="s">
        <v>5921</v>
      </c>
    </row>
    <row r="631" spans="1:103" ht="11.25" customHeight="1" x14ac:dyDescent="0.2">
      <c r="A631" s="72">
        <v>950</v>
      </c>
      <c r="B631" s="224">
        <v>1392</v>
      </c>
      <c r="C631" s="46" t="s">
        <v>7140</v>
      </c>
      <c r="D631" s="46" t="s">
        <v>8583</v>
      </c>
      <c r="E631" s="114"/>
      <c r="F631" s="114" t="s">
        <v>4291</v>
      </c>
      <c r="G631" s="225">
        <v>107073</v>
      </c>
      <c r="H631" s="47" t="s">
        <v>4292</v>
      </c>
      <c r="I631" s="47" t="s">
        <v>8030</v>
      </c>
      <c r="J631" s="47" t="s">
        <v>4293</v>
      </c>
      <c r="K631" s="47" t="s">
        <v>1808</v>
      </c>
      <c r="L631" s="47"/>
      <c r="M631" s="47" t="s">
        <v>4294</v>
      </c>
      <c r="N631" s="47" t="s">
        <v>6088</v>
      </c>
      <c r="O631" s="47" t="s">
        <v>498</v>
      </c>
      <c r="P631" s="53"/>
      <c r="Q631" s="53" t="s">
        <v>6179</v>
      </c>
      <c r="R631" s="53" t="s">
        <v>6175</v>
      </c>
      <c r="S631" s="53" t="s">
        <v>6176</v>
      </c>
      <c r="T631" s="48">
        <v>80.510000000000005</v>
      </c>
      <c r="U631" s="98">
        <v>999999.99999999988</v>
      </c>
      <c r="V631" s="98">
        <v>398200</v>
      </c>
      <c r="W631" s="98">
        <v>197628.61480180183</v>
      </c>
      <c r="X631" s="98">
        <v>999999.99999999988</v>
      </c>
      <c r="Y631" s="233">
        <v>6.74</v>
      </c>
      <c r="Z631" s="48">
        <v>0.11</v>
      </c>
      <c r="AA631" s="48">
        <v>0.03</v>
      </c>
      <c r="AB631" s="48">
        <v>0.15</v>
      </c>
      <c r="AC631" s="48">
        <v>0.89480000000000004</v>
      </c>
      <c r="AD631" s="48">
        <v>0.09</v>
      </c>
      <c r="AE631" s="48">
        <v>-0.08</v>
      </c>
      <c r="AF631" s="48">
        <f t="shared" si="144"/>
        <v>0.03</v>
      </c>
      <c r="AG631" s="49">
        <v>0.31</v>
      </c>
      <c r="AH631" s="98">
        <v>1.26E-6</v>
      </c>
      <c r="AI631" s="98">
        <v>7.61E-7</v>
      </c>
      <c r="AJ631" s="483">
        <f t="shared" si="146"/>
        <v>-4.288195781195089</v>
      </c>
      <c r="AK631" s="483">
        <f>LOG10(AI631*1000/(0.08206*298.15))</f>
        <v>-4.5071816695420788</v>
      </c>
      <c r="AL631" s="483">
        <f t="shared" si="145"/>
        <v>-4.5071816695420788</v>
      </c>
      <c r="AM631" s="483">
        <v>-4.0716099999999997</v>
      </c>
      <c r="AN631" s="226">
        <v>-3.34</v>
      </c>
      <c r="AO631" s="484">
        <v>14.02</v>
      </c>
      <c r="AP631" s="484"/>
      <c r="AQ631" s="48" t="s">
        <v>6311</v>
      </c>
      <c r="AR631" s="48" t="s">
        <v>6311</v>
      </c>
      <c r="AS631" s="227"/>
      <c r="AT631" s="50" t="s">
        <v>266</v>
      </c>
      <c r="AU631" s="48">
        <v>6</v>
      </c>
      <c r="AV631" s="48">
        <v>120</v>
      </c>
      <c r="AW631" s="48">
        <v>114</v>
      </c>
      <c r="AX631" s="48">
        <v>28</v>
      </c>
      <c r="AY631" s="48" t="s">
        <v>8728</v>
      </c>
      <c r="AZ631" s="48" t="s">
        <v>1563</v>
      </c>
      <c r="BA631" s="48">
        <v>32</v>
      </c>
      <c r="BB631" s="47" t="s">
        <v>2485</v>
      </c>
      <c r="BC631" s="47" t="s">
        <v>8726</v>
      </c>
      <c r="BD631" s="47" t="s">
        <v>8374</v>
      </c>
      <c r="BE631" s="48" t="s">
        <v>2449</v>
      </c>
      <c r="BF631" s="48" t="s">
        <v>272</v>
      </c>
      <c r="BG631" s="48" t="s">
        <v>272</v>
      </c>
      <c r="BH631" s="48" t="s">
        <v>2486</v>
      </c>
      <c r="BI631" s="98">
        <v>5.1526399999999998E-4</v>
      </c>
      <c r="BJ631" s="98">
        <v>5.1526400000000008</v>
      </c>
      <c r="BK631" s="48"/>
      <c r="BL631" s="487">
        <v>3295.0258544755152</v>
      </c>
      <c r="BM631" s="47" t="s">
        <v>2487</v>
      </c>
      <c r="BN631" s="48"/>
      <c r="BO631" s="48"/>
      <c r="BP631" s="48"/>
      <c r="BQ631" s="48"/>
      <c r="BR631" s="47" t="e">
        <v>#VALUE!</v>
      </c>
      <c r="BS631" s="48"/>
      <c r="BT631" s="48"/>
      <c r="BU631" s="228"/>
      <c r="BV631" s="48"/>
      <c r="BW631" s="48"/>
      <c r="BX631" s="48"/>
      <c r="BY631" s="48"/>
      <c r="BZ631" s="48"/>
      <c r="CA631" s="48"/>
      <c r="CB631" s="48"/>
      <c r="CC631" s="48"/>
      <c r="CD631" s="48"/>
      <c r="CE631" s="48"/>
      <c r="CF631" s="48"/>
      <c r="CG631" s="48"/>
      <c r="CH631" s="48"/>
      <c r="CI631" s="98"/>
      <c r="CJ631" s="98"/>
      <c r="CK631" s="49">
        <f t="shared" si="142"/>
        <v>639.48303286771727</v>
      </c>
      <c r="CL631" s="229"/>
      <c r="CM631" s="229"/>
      <c r="CN631" s="229"/>
      <c r="CO631" s="47" t="s">
        <v>2488</v>
      </c>
      <c r="CP631" s="500" t="s">
        <v>2489</v>
      </c>
      <c r="CQ631" s="224">
        <v>1.6447213948565482</v>
      </c>
      <c r="CR631" s="224">
        <f>10^(CJ631-CQ631)</f>
        <v>2.2660975702985982E-2</v>
      </c>
      <c r="CS631" s="230" t="s">
        <v>539</v>
      </c>
      <c r="CT631" s="230"/>
      <c r="CU631" s="230"/>
      <c r="CV631" s="335">
        <f t="shared" si="143"/>
        <v>194075.27015277601</v>
      </c>
      <c r="CW631" s="230">
        <f t="shared" si="141"/>
        <v>1</v>
      </c>
      <c r="CX631" s="336"/>
      <c r="CY631" s="230" t="s">
        <v>6351</v>
      </c>
    </row>
    <row r="632" spans="1:103" ht="11.25" customHeight="1" x14ac:dyDescent="0.2">
      <c r="A632" s="72">
        <v>951</v>
      </c>
      <c r="B632" s="224">
        <v>1127</v>
      </c>
      <c r="C632" s="46" t="s">
        <v>7141</v>
      </c>
      <c r="D632" s="46" t="s">
        <v>8584</v>
      </c>
      <c r="E632" s="114"/>
      <c r="F632" s="114" t="s">
        <v>3147</v>
      </c>
      <c r="G632" s="225">
        <v>107211</v>
      </c>
      <c r="H632" s="47" t="s">
        <v>3148</v>
      </c>
      <c r="I632" s="47" t="s">
        <v>3148</v>
      </c>
      <c r="J632" s="47" t="s">
        <v>3149</v>
      </c>
      <c r="K632" s="47" t="s">
        <v>426</v>
      </c>
      <c r="L632" s="47" t="s">
        <v>5527</v>
      </c>
      <c r="M632" s="47" t="s">
        <v>6082</v>
      </c>
      <c r="N632" s="47" t="s">
        <v>6082</v>
      </c>
      <c r="O632" s="47" t="s">
        <v>6083</v>
      </c>
      <c r="P632" s="53"/>
      <c r="Q632" s="53" t="s">
        <v>6176</v>
      </c>
      <c r="R632" s="53" t="s">
        <v>6185</v>
      </c>
      <c r="S632" s="53" t="s">
        <v>6179</v>
      </c>
      <c r="T632" s="48">
        <v>62.07</v>
      </c>
      <c r="U632" s="98">
        <v>1000000</v>
      </c>
      <c r="V632" s="98">
        <v>1000000</v>
      </c>
      <c r="W632" s="98">
        <v>729258.91235096625</v>
      </c>
      <c r="X632" s="98">
        <v>1000000</v>
      </c>
      <c r="Y632" s="233">
        <v>6.5</v>
      </c>
      <c r="Z632" s="48">
        <v>-1.2</v>
      </c>
      <c r="AA632" s="48">
        <v>-1.36</v>
      </c>
      <c r="AB632" s="48">
        <v>-1.1000000000000001</v>
      </c>
      <c r="AC632" s="48">
        <v>0.87150000000000005</v>
      </c>
      <c r="AD632" s="48">
        <v>-1.25</v>
      </c>
      <c r="AE632" s="48">
        <v>-1.69</v>
      </c>
      <c r="AF632" s="48">
        <f t="shared" si="144"/>
        <v>-1.36</v>
      </c>
      <c r="AG632" s="49">
        <v>-0.85</v>
      </c>
      <c r="AH632" s="98">
        <v>1.31E-7</v>
      </c>
      <c r="AI632" s="98">
        <v>5.9999999999999995E-8</v>
      </c>
      <c r="AJ632" s="483">
        <f t="shared" si="146"/>
        <v>-5.271295030656888</v>
      </c>
      <c r="AK632" s="483">
        <f>LOG10(AI632*1000/(0.08206*298.15))</f>
        <v>-5.6104150759290086</v>
      </c>
      <c r="AL632" s="483">
        <f t="shared" si="145"/>
        <v>-5.6104150759290086</v>
      </c>
      <c r="AM632" s="483">
        <v>-6.4165099999999997</v>
      </c>
      <c r="AN632" s="226">
        <v>-6.72</v>
      </c>
      <c r="AO632" s="484">
        <v>14.13</v>
      </c>
      <c r="AP632" s="484"/>
      <c r="AQ632" s="48" t="s">
        <v>6311</v>
      </c>
      <c r="AR632" s="48" t="s">
        <v>6311</v>
      </c>
      <c r="AS632" s="227"/>
      <c r="AT632" s="50" t="s">
        <v>266</v>
      </c>
      <c r="AU632" s="48">
        <v>6</v>
      </c>
      <c r="AV632" s="48">
        <v>120</v>
      </c>
      <c r="AW632" s="48">
        <v>114</v>
      </c>
      <c r="AX632" s="48">
        <v>28</v>
      </c>
      <c r="AY632" s="48" t="s">
        <v>8728</v>
      </c>
      <c r="AZ632" s="48" t="s">
        <v>1563</v>
      </c>
      <c r="BA632" s="48">
        <v>32</v>
      </c>
      <c r="BB632" s="47" t="s">
        <v>2485</v>
      </c>
      <c r="BC632" s="47" t="s">
        <v>8726</v>
      </c>
      <c r="BD632" s="47" t="s">
        <v>8374</v>
      </c>
      <c r="BE632" s="48" t="s">
        <v>2449</v>
      </c>
      <c r="BF632" s="48" t="s">
        <v>272</v>
      </c>
      <c r="BG632" s="48" t="s">
        <v>272</v>
      </c>
      <c r="BH632" s="48" t="s">
        <v>2486</v>
      </c>
      <c r="BI632" s="98">
        <v>3.97248E-4</v>
      </c>
      <c r="BJ632" s="98">
        <v>3.97248</v>
      </c>
      <c r="BK632" s="48"/>
      <c r="BL632" s="487">
        <v>38141.849254602676</v>
      </c>
      <c r="BM632" s="47" t="s">
        <v>2487</v>
      </c>
      <c r="BN632" s="48"/>
      <c r="BO632" s="48"/>
      <c r="BP632" s="48"/>
      <c r="BQ632" s="48"/>
      <c r="BR632" s="47" t="e">
        <v>#VALUE!</v>
      </c>
      <c r="BS632" s="48"/>
      <c r="BT632" s="48"/>
      <c r="BU632" s="228">
        <v>3.9911010000000004E-3</v>
      </c>
      <c r="BV632" s="48"/>
      <c r="BW632" s="48"/>
      <c r="BX632" s="48"/>
      <c r="BY632" s="48"/>
      <c r="BZ632" s="48"/>
      <c r="CA632" s="48"/>
      <c r="CB632" s="48"/>
      <c r="CC632" s="48"/>
      <c r="CD632" s="48"/>
      <c r="CE632" s="48"/>
      <c r="CF632" s="48"/>
      <c r="CG632" s="48"/>
      <c r="CH632" s="48"/>
      <c r="CI632" s="98"/>
      <c r="CJ632" s="98"/>
      <c r="CK632" s="49">
        <f t="shared" si="142"/>
        <v>9601.5207765936339</v>
      </c>
      <c r="CL632" s="229"/>
      <c r="CM632" s="229"/>
      <c r="CN632" s="229"/>
      <c r="CO632" s="47" t="s">
        <v>2488</v>
      </c>
      <c r="CP632" s="500" t="s">
        <v>2489</v>
      </c>
      <c r="CQ632" s="224">
        <v>4.6813635330609857</v>
      </c>
      <c r="CR632" s="224">
        <f>10^(CJ632-CQ632)</f>
        <v>2.0827467571299118E-5</v>
      </c>
      <c r="CS632" s="230" t="s">
        <v>539</v>
      </c>
      <c r="CT632" s="230"/>
      <c r="CU632" s="230"/>
      <c r="CV632" s="335">
        <f t="shared" si="143"/>
        <v>251731.9155791848</v>
      </c>
      <c r="CW632" s="230">
        <f t="shared" si="141"/>
        <v>1</v>
      </c>
      <c r="CX632" s="336"/>
      <c r="CY632" s="230" t="s">
        <v>6351</v>
      </c>
    </row>
    <row r="633" spans="1:103" ht="11.25" customHeight="1" x14ac:dyDescent="0.2">
      <c r="A633" s="72">
        <v>952</v>
      </c>
      <c r="B633" s="224">
        <v>954</v>
      </c>
      <c r="C633" s="46" t="s">
        <v>7142</v>
      </c>
      <c r="D633" s="46" t="s">
        <v>8585</v>
      </c>
      <c r="E633" s="114"/>
      <c r="F633" s="114" t="s">
        <v>2724</v>
      </c>
      <c r="G633" s="225">
        <v>107415</v>
      </c>
      <c r="H633" s="47" t="s">
        <v>2725</v>
      </c>
      <c r="I633" s="47" t="s">
        <v>2725</v>
      </c>
      <c r="J633" s="47" t="s">
        <v>2726</v>
      </c>
      <c r="K633" s="47" t="s">
        <v>426</v>
      </c>
      <c r="L633" s="47" t="s">
        <v>5527</v>
      </c>
      <c r="M633" s="47" t="s">
        <v>6082</v>
      </c>
      <c r="N633" s="47" t="s">
        <v>6082</v>
      </c>
      <c r="O633" s="47" t="s">
        <v>6083</v>
      </c>
      <c r="P633" s="53" t="s">
        <v>6183</v>
      </c>
      <c r="Q633" s="53" t="s">
        <v>6173</v>
      </c>
      <c r="R633" s="53" t="s">
        <v>6185</v>
      </c>
      <c r="S633" s="53" t="s">
        <v>6176</v>
      </c>
      <c r="T633" s="48">
        <v>118.17</v>
      </c>
      <c r="U633" s="98">
        <v>1000000</v>
      </c>
      <c r="V633" s="98">
        <v>32559.999999999996</v>
      </c>
      <c r="W633" s="98">
        <v>67999.737395131844</v>
      </c>
      <c r="X633" s="98">
        <v>1000000</v>
      </c>
      <c r="Y633" s="233">
        <v>6.99</v>
      </c>
      <c r="Z633" s="48">
        <v>0.57999999999999996</v>
      </c>
      <c r="AA633" s="48"/>
      <c r="AB633" s="48">
        <v>0.31</v>
      </c>
      <c r="AC633" s="48">
        <v>0.80989999999999995</v>
      </c>
      <c r="AD633" s="48">
        <v>0.23</v>
      </c>
      <c r="AE633" s="48">
        <v>0</v>
      </c>
      <c r="AF633" s="48">
        <f t="shared" si="144"/>
        <v>0.23</v>
      </c>
      <c r="AG633" s="49">
        <v>0.55000000000000004</v>
      </c>
      <c r="AH633" s="98">
        <v>4.0600000000000001E-7</v>
      </c>
      <c r="AI633" s="98"/>
      <c r="AJ633" s="483">
        <f t="shared" si="146"/>
        <v>-4.7800402927354577</v>
      </c>
      <c r="AK633" s="483"/>
      <c r="AL633" s="483">
        <f t="shared" si="145"/>
        <v>-4.7800402927354577</v>
      </c>
      <c r="AM633" s="483">
        <v>-7.3209900000000001</v>
      </c>
      <c r="AN633" s="226">
        <v>-4.34</v>
      </c>
      <c r="AO633" s="484">
        <v>15.1</v>
      </c>
      <c r="AP633" s="484"/>
      <c r="AQ633" s="48" t="s">
        <v>6311</v>
      </c>
      <c r="AR633" s="48" t="s">
        <v>6311</v>
      </c>
      <c r="AS633" s="227"/>
      <c r="AT633" s="50" t="s">
        <v>266</v>
      </c>
      <c r="AU633" s="48">
        <v>6</v>
      </c>
      <c r="AV633" s="48">
        <v>120</v>
      </c>
      <c r="AW633" s="48">
        <v>114</v>
      </c>
      <c r="AX633" s="48">
        <v>28</v>
      </c>
      <c r="AY633" s="48" t="s">
        <v>8728</v>
      </c>
      <c r="AZ633" s="48" t="s">
        <v>1563</v>
      </c>
      <c r="BA633" s="48">
        <v>32</v>
      </c>
      <c r="BB633" s="47" t="s">
        <v>2485</v>
      </c>
      <c r="BC633" s="47" t="s">
        <v>8726</v>
      </c>
      <c r="BD633" s="47" t="s">
        <v>8374</v>
      </c>
      <c r="BE633" s="48" t="s">
        <v>2449</v>
      </c>
      <c r="BF633" s="48" t="s">
        <v>272</v>
      </c>
      <c r="BG633" s="48" t="s">
        <v>272</v>
      </c>
      <c r="BH633" s="48" t="s">
        <v>2486</v>
      </c>
      <c r="BI633" s="98">
        <v>7.5628799999999993E-4</v>
      </c>
      <c r="BJ633" s="98">
        <v>7.5628799999999998</v>
      </c>
      <c r="BK633" s="48"/>
      <c r="BL633" s="487">
        <v>1829.8236461628419</v>
      </c>
      <c r="BM633" s="47" t="s">
        <v>2487</v>
      </c>
      <c r="BN633" s="48"/>
      <c r="BO633" s="48"/>
      <c r="BP633" s="48"/>
      <c r="BQ633" s="48"/>
      <c r="BR633" s="47" t="e">
        <v>#VALUE!</v>
      </c>
      <c r="BS633" s="48"/>
      <c r="BT633" s="48"/>
      <c r="BU633" s="228">
        <v>7.9173900000000007E-4</v>
      </c>
      <c r="BV633" s="48"/>
      <c r="BW633" s="48"/>
      <c r="BX633" s="48"/>
      <c r="BY633" s="48"/>
      <c r="BZ633" s="48"/>
      <c r="CA633" s="48"/>
      <c r="CB633" s="48"/>
      <c r="CC633" s="48"/>
      <c r="CD633" s="48"/>
      <c r="CE633" s="48"/>
      <c r="CF633" s="48"/>
      <c r="CG633" s="48"/>
      <c r="CH633" s="48"/>
      <c r="CI633" s="98"/>
      <c r="CJ633" s="98"/>
      <c r="CK633" s="49">
        <f t="shared" si="142"/>
        <v>241.94799417190831</v>
      </c>
      <c r="CL633" s="229"/>
      <c r="CM633" s="229"/>
      <c r="CN633" s="229"/>
      <c r="CO633" s="47" t="s">
        <v>2488</v>
      </c>
      <c r="CP633" s="500" t="s">
        <v>2489</v>
      </c>
      <c r="CQ633" s="224">
        <v>4.0130351222411225</v>
      </c>
      <c r="CR633" s="224">
        <f>10^(CJ633-CQ633)</f>
        <v>9.7043148338668212E-5</v>
      </c>
      <c r="CS633" s="230" t="s">
        <v>539</v>
      </c>
      <c r="CT633" s="230"/>
      <c r="CU633" s="230"/>
      <c r="CV633" s="335">
        <f t="shared" si="143"/>
        <v>132224.76093763224</v>
      </c>
      <c r="CW633" s="230">
        <f t="shared" si="141"/>
        <v>1</v>
      </c>
      <c r="CX633" s="336"/>
      <c r="CY633" s="230" t="s">
        <v>6351</v>
      </c>
    </row>
    <row r="634" spans="1:103" ht="11.25" customHeight="1" x14ac:dyDescent="0.2">
      <c r="A634" s="72">
        <v>953</v>
      </c>
      <c r="B634" s="224">
        <v>1371</v>
      </c>
      <c r="C634" s="46" t="s">
        <v>7143</v>
      </c>
      <c r="D634" s="46"/>
      <c r="E634" s="114"/>
      <c r="F634" s="114" t="s">
        <v>4232</v>
      </c>
      <c r="G634" s="225">
        <v>107880</v>
      </c>
      <c r="H634" s="47" t="s">
        <v>4233</v>
      </c>
      <c r="I634" s="47" t="s">
        <v>4233</v>
      </c>
      <c r="J634" s="47" t="s">
        <v>4234</v>
      </c>
      <c r="K634" s="47" t="s">
        <v>426</v>
      </c>
      <c r="L634" s="47"/>
      <c r="M634" s="47"/>
      <c r="N634" s="47"/>
      <c r="O634" s="47"/>
      <c r="P634" s="53"/>
      <c r="Q634" s="53"/>
      <c r="R634" s="53"/>
      <c r="S634" s="53"/>
      <c r="T634" s="48">
        <v>90.12</v>
      </c>
      <c r="U634" s="98">
        <v>1000000</v>
      </c>
      <c r="V634" s="98">
        <v>220400</v>
      </c>
      <c r="W634" s="98">
        <v>206452.99286743172</v>
      </c>
      <c r="X634" s="98">
        <v>1000000</v>
      </c>
      <c r="Y634" s="233">
        <v>6.9</v>
      </c>
      <c r="Z634" s="48">
        <v>-0.28999999999999998</v>
      </c>
      <c r="AA634" s="48"/>
      <c r="AB634" s="48">
        <v>-0.79</v>
      </c>
      <c r="AC634" s="48">
        <v>0.95799999999999996</v>
      </c>
      <c r="AD634" s="48">
        <v>-0.77</v>
      </c>
      <c r="AE634" s="48">
        <v>-0.69</v>
      </c>
      <c r="AF634" s="48">
        <f t="shared" si="144"/>
        <v>-0.77</v>
      </c>
      <c r="AG634" s="49">
        <v>-0.17</v>
      </c>
      <c r="AH634" s="98">
        <v>2.2999999999999999E-7</v>
      </c>
      <c r="AI634" s="98">
        <v>2.3800000000000001E-9</v>
      </c>
      <c r="AJ634" s="483">
        <f t="shared" si="146"/>
        <v>-5.0268384902950585</v>
      </c>
      <c r="AK634" s="483">
        <f t="shared" ref="AK634:AK640" si="147">LOG10(AI634*1000/(0.08206*298.15))</f>
        <v>-7.0119893692561401</v>
      </c>
      <c r="AL634" s="483">
        <f t="shared" si="145"/>
        <v>-7.0119893692561401</v>
      </c>
      <c r="AM634" s="483">
        <v>-7.1709999999999994</v>
      </c>
      <c r="AN634" s="226">
        <v>-4.6100000000000003</v>
      </c>
      <c r="AO634" s="484">
        <v>14.83</v>
      </c>
      <c r="AP634" s="484"/>
      <c r="AQ634" s="48" t="s">
        <v>6311</v>
      </c>
      <c r="AR634" s="48" t="s">
        <v>6311</v>
      </c>
      <c r="AS634" s="227"/>
      <c r="AT634" s="50" t="s">
        <v>266</v>
      </c>
      <c r="AU634" s="48">
        <v>6</v>
      </c>
      <c r="AV634" s="48">
        <v>120</v>
      </c>
      <c r="AW634" s="48">
        <v>114</v>
      </c>
      <c r="AX634" s="48">
        <v>28</v>
      </c>
      <c r="AY634" s="48" t="s">
        <v>8728</v>
      </c>
      <c r="AZ634" s="48" t="s">
        <v>1563</v>
      </c>
      <c r="BA634" s="48">
        <v>32</v>
      </c>
      <c r="BB634" s="47" t="s">
        <v>2485</v>
      </c>
      <c r="BC634" s="47" t="s">
        <v>8726</v>
      </c>
      <c r="BD634" s="47" t="s">
        <v>8374</v>
      </c>
      <c r="BE634" s="48" t="s">
        <v>2449</v>
      </c>
      <c r="BF634" s="48" t="s">
        <v>272</v>
      </c>
      <c r="BG634" s="48" t="s">
        <v>272</v>
      </c>
      <c r="BH634" s="48" t="s">
        <v>2486</v>
      </c>
      <c r="BI634" s="98">
        <v>5.7676799999999996E-4</v>
      </c>
      <c r="BJ634" s="98">
        <v>5.7676800000000004</v>
      </c>
      <c r="BK634" s="48"/>
      <c r="BL634" s="487">
        <v>8434.7105373890736</v>
      </c>
      <c r="BM634" s="47" t="s">
        <v>2487</v>
      </c>
      <c r="BN634" s="48"/>
      <c r="BO634" s="48"/>
      <c r="BP634" s="48"/>
      <c r="BQ634" s="48"/>
      <c r="BR634" s="47" t="e">
        <v>#VALUE!</v>
      </c>
      <c r="BS634" s="48"/>
      <c r="BT634" s="48"/>
      <c r="BU634" s="228"/>
      <c r="BV634" s="48"/>
      <c r="BW634" s="48"/>
      <c r="BX634" s="48"/>
      <c r="BY634" s="48"/>
      <c r="BZ634" s="48"/>
      <c r="CA634" s="48"/>
      <c r="CB634" s="48"/>
      <c r="CC634" s="48"/>
      <c r="CD634" s="48"/>
      <c r="CE634" s="48"/>
      <c r="CF634" s="48"/>
      <c r="CG634" s="48"/>
      <c r="CH634" s="48"/>
      <c r="CI634" s="98"/>
      <c r="CJ634" s="98"/>
      <c r="CK634" s="49">
        <f t="shared" si="142"/>
        <v>1462.4095888449208</v>
      </c>
      <c r="CL634" s="229"/>
      <c r="CM634" s="229"/>
      <c r="CN634" s="229"/>
      <c r="CO634" s="47" t="s">
        <v>2488</v>
      </c>
      <c r="CP634" s="500" t="s">
        <v>2489</v>
      </c>
      <c r="CQ634" s="224" t="s">
        <v>272</v>
      </c>
      <c r="CR634" s="224"/>
      <c r="CS634" s="230" t="s">
        <v>539</v>
      </c>
      <c r="CT634" s="230"/>
      <c r="CU634" s="230"/>
      <c r="CV634" s="335">
        <f t="shared" si="143"/>
        <v>173379.93786063025</v>
      </c>
      <c r="CW634" s="230">
        <f t="shared" si="141"/>
        <v>1</v>
      </c>
      <c r="CX634" s="336"/>
      <c r="CY634" s="230" t="s">
        <v>6351</v>
      </c>
    </row>
    <row r="635" spans="1:103" ht="11.25" customHeight="1" x14ac:dyDescent="0.2">
      <c r="A635" s="72">
        <v>954</v>
      </c>
      <c r="B635" s="224">
        <v>1537</v>
      </c>
      <c r="C635" s="46" t="s">
        <v>7144</v>
      </c>
      <c r="D635" s="46"/>
      <c r="E635" s="114"/>
      <c r="F635" s="114" t="s">
        <v>4649</v>
      </c>
      <c r="G635" s="225">
        <v>107926</v>
      </c>
      <c r="H635" s="47" t="s">
        <v>4650</v>
      </c>
      <c r="I635" s="47" t="s">
        <v>4650</v>
      </c>
      <c r="J635" s="47" t="s">
        <v>4651</v>
      </c>
      <c r="K635" s="47" t="s">
        <v>426</v>
      </c>
      <c r="L635" s="47"/>
      <c r="M635" s="47"/>
      <c r="N635" s="47"/>
      <c r="O635" s="47"/>
      <c r="P635" s="53"/>
      <c r="Q635" s="53"/>
      <c r="R635" s="53"/>
      <c r="S635" s="53"/>
      <c r="T635" s="48">
        <v>88.11</v>
      </c>
      <c r="U635" s="98">
        <v>60000</v>
      </c>
      <c r="V635" s="98">
        <v>66060</v>
      </c>
      <c r="W635" s="98">
        <v>43154.411774553788</v>
      </c>
      <c r="X635" s="98">
        <v>60000</v>
      </c>
      <c r="Y635" s="233">
        <v>2.5299999999999998</v>
      </c>
      <c r="Z635" s="48">
        <v>1.07</v>
      </c>
      <c r="AA635" s="48">
        <v>0.79</v>
      </c>
      <c r="AB635" s="48">
        <v>0.89</v>
      </c>
      <c r="AC635" s="48">
        <v>0.9073</v>
      </c>
      <c r="AD635" s="48">
        <v>0.86</v>
      </c>
      <c r="AE635" s="48">
        <v>0.78</v>
      </c>
      <c r="AF635" s="48">
        <f t="shared" si="144"/>
        <v>0.79</v>
      </c>
      <c r="AG635" s="49">
        <v>0.69</v>
      </c>
      <c r="AH635" s="98">
        <v>9.6500000000000008E-7</v>
      </c>
      <c r="AI635" s="98">
        <v>5.3499999999999996E-7</v>
      </c>
      <c r="AJ635" s="483">
        <f t="shared" si="146"/>
        <v>-4.4040390129688589</v>
      </c>
      <c r="AK635" s="483">
        <f t="shared" si="147"/>
        <v>-4.6602125442914231</v>
      </c>
      <c r="AL635" s="483">
        <f t="shared" si="145"/>
        <v>-4.6602125442914231</v>
      </c>
      <c r="AM635" s="483">
        <v>-5.1326399999999994</v>
      </c>
      <c r="AN635" s="226">
        <v>-4.75</v>
      </c>
      <c r="AO635" s="484">
        <v>4.76</v>
      </c>
      <c r="AP635" s="484"/>
      <c r="AQ635" s="48" t="s">
        <v>6311</v>
      </c>
      <c r="AR635" s="48" t="s">
        <v>6311</v>
      </c>
      <c r="AS635" s="227"/>
      <c r="AT635" s="50" t="s">
        <v>266</v>
      </c>
      <c r="AU635" s="48">
        <v>6</v>
      </c>
      <c r="AV635" s="48">
        <v>120</v>
      </c>
      <c r="AW635" s="48">
        <v>114</v>
      </c>
      <c r="AX635" s="48">
        <v>28</v>
      </c>
      <c r="AY635" s="48" t="s">
        <v>8728</v>
      </c>
      <c r="AZ635" s="48" t="s">
        <v>1563</v>
      </c>
      <c r="BA635" s="48">
        <v>32</v>
      </c>
      <c r="BB635" s="47" t="s">
        <v>2485</v>
      </c>
      <c r="BC635" s="47" t="s">
        <v>8726</v>
      </c>
      <c r="BD635" s="47" t="s">
        <v>8374</v>
      </c>
      <c r="BE635" s="48" t="s">
        <v>2449</v>
      </c>
      <c r="BF635" s="48" t="s">
        <v>272</v>
      </c>
      <c r="BG635" s="48" t="s">
        <v>272</v>
      </c>
      <c r="BH635" s="48" t="s">
        <v>2486</v>
      </c>
      <c r="BI635" s="98">
        <v>5.6390399999999995E-4</v>
      </c>
      <c r="BJ635" s="98">
        <v>5.6390400000000005</v>
      </c>
      <c r="BK635" s="48"/>
      <c r="BL635" s="487">
        <v>495.28845088747391</v>
      </c>
      <c r="BM635" s="47" t="s">
        <v>2487</v>
      </c>
      <c r="BN635" s="48"/>
      <c r="BO635" s="48"/>
      <c r="BP635" s="48"/>
      <c r="BQ635" s="48"/>
      <c r="BR635" s="47" t="e">
        <v>#VALUE!</v>
      </c>
      <c r="BS635" s="48"/>
      <c r="BT635" s="48"/>
      <c r="BU635" s="228"/>
      <c r="BV635" s="48"/>
      <c r="BW635" s="48"/>
      <c r="BX635" s="48"/>
      <c r="BY635" s="48"/>
      <c r="BZ635" s="48"/>
      <c r="CA635" s="48"/>
      <c r="CB635" s="48"/>
      <c r="CC635" s="48"/>
      <c r="CD635" s="48"/>
      <c r="CE635" s="48"/>
      <c r="CF635" s="48"/>
      <c r="CG635" s="48"/>
      <c r="CH635" s="48"/>
      <c r="CI635" s="98"/>
      <c r="CJ635" s="98"/>
      <c r="CK635" s="49">
        <f t="shared" si="142"/>
        <v>87.832051357584604</v>
      </c>
      <c r="CL635" s="229"/>
      <c r="CM635" s="229"/>
      <c r="CN635" s="229"/>
      <c r="CO635" s="47" t="s">
        <v>2488</v>
      </c>
      <c r="CP635" s="500" t="s">
        <v>2489</v>
      </c>
      <c r="CQ635" s="224" t="s">
        <v>272</v>
      </c>
      <c r="CR635" s="224"/>
      <c r="CS635" s="230" t="s">
        <v>539</v>
      </c>
      <c r="CT635" s="230"/>
      <c r="CU635" s="230"/>
      <c r="CV635" s="335">
        <f t="shared" si="143"/>
        <v>10640.108954715695</v>
      </c>
      <c r="CW635" s="230">
        <f t="shared" si="141"/>
        <v>1</v>
      </c>
      <c r="CX635" s="336"/>
      <c r="CY635" s="230" t="s">
        <v>6351</v>
      </c>
    </row>
    <row r="636" spans="1:103" ht="11.25" customHeight="1" x14ac:dyDescent="0.2">
      <c r="A636" s="72">
        <v>955</v>
      </c>
      <c r="B636" s="224">
        <v>1353</v>
      </c>
      <c r="C636" s="46" t="s">
        <v>740</v>
      </c>
      <c r="D636" s="46"/>
      <c r="E636" s="114"/>
      <c r="F636" s="114" t="s">
        <v>741</v>
      </c>
      <c r="G636" s="225">
        <v>107982</v>
      </c>
      <c r="H636" s="47" t="s">
        <v>742</v>
      </c>
      <c r="I636" s="47" t="s">
        <v>742</v>
      </c>
      <c r="J636" s="47" t="s">
        <v>743</v>
      </c>
      <c r="K636" s="47" t="s">
        <v>426</v>
      </c>
      <c r="L636" s="47" t="s">
        <v>5527</v>
      </c>
      <c r="M636" s="47" t="s">
        <v>6082</v>
      </c>
      <c r="N636" s="47" t="s">
        <v>6082</v>
      </c>
      <c r="O636" s="47"/>
      <c r="P636" s="53"/>
      <c r="Q636" s="53"/>
      <c r="R636" s="53"/>
      <c r="S636" s="53"/>
      <c r="T636" s="48">
        <v>90.12</v>
      </c>
      <c r="U636" s="98">
        <v>1000000</v>
      </c>
      <c r="V636" s="98">
        <v>1000000</v>
      </c>
      <c r="W636" s="98">
        <v>431341.43920116173</v>
      </c>
      <c r="X636" s="98">
        <v>1000000</v>
      </c>
      <c r="Y636" s="233">
        <v>6.8</v>
      </c>
      <c r="Z636" s="48">
        <v>-0.49</v>
      </c>
      <c r="AA636" s="48"/>
      <c r="AB636" s="48">
        <v>-0.14000000000000001</v>
      </c>
      <c r="AC636" s="48">
        <v>0.86470000000000002</v>
      </c>
      <c r="AD636" s="48">
        <v>-0.22</v>
      </c>
      <c r="AE636" s="48">
        <v>-0.45</v>
      </c>
      <c r="AF636" s="48">
        <f t="shared" si="144"/>
        <v>-0.22</v>
      </c>
      <c r="AG636" s="49">
        <v>0.14000000000000001</v>
      </c>
      <c r="AH636" s="98">
        <v>5.5600000000000002E-8</v>
      </c>
      <c r="AI636" s="98">
        <v>9.1999999999999998E-7</v>
      </c>
      <c r="AJ636" s="483">
        <f t="shared" si="146"/>
        <v>-5.6434915347305941</v>
      </c>
      <c r="AK636" s="483">
        <f t="shared" si="147"/>
        <v>-4.4247784989670969</v>
      </c>
      <c r="AL636" s="483">
        <f t="shared" si="145"/>
        <v>-4.4247784989670969</v>
      </c>
      <c r="AM636" s="483">
        <v>-5.0744100000000003</v>
      </c>
      <c r="AN636" s="226">
        <v>-4.1100000000000003</v>
      </c>
      <c r="AO636" s="484">
        <v>14.49</v>
      </c>
      <c r="AP636" s="484"/>
      <c r="AQ636" s="48" t="s">
        <v>6311</v>
      </c>
      <c r="AR636" s="48" t="s">
        <v>6311</v>
      </c>
      <c r="AS636" s="227"/>
      <c r="AT636" s="50" t="s">
        <v>266</v>
      </c>
      <c r="AU636" s="48">
        <v>6</v>
      </c>
      <c r="AV636" s="48">
        <v>120</v>
      </c>
      <c r="AW636" s="48">
        <v>114</v>
      </c>
      <c r="AX636" s="48">
        <v>28</v>
      </c>
      <c r="AY636" s="48" t="s">
        <v>8728</v>
      </c>
      <c r="AZ636" s="48" t="s">
        <v>1563</v>
      </c>
      <c r="BA636" s="48">
        <v>32</v>
      </c>
      <c r="BB636" s="47" t="s">
        <v>2485</v>
      </c>
      <c r="BC636" s="47" t="s">
        <v>8726</v>
      </c>
      <c r="BD636" s="47" t="s">
        <v>8374</v>
      </c>
      <c r="BE636" s="48" t="s">
        <v>2449</v>
      </c>
      <c r="BF636" s="48" t="s">
        <v>272</v>
      </c>
      <c r="BG636" s="48" t="s">
        <v>272</v>
      </c>
      <c r="BH636" s="48" t="s">
        <v>2486</v>
      </c>
      <c r="BI636" s="98">
        <v>5.7676799999999996E-4</v>
      </c>
      <c r="BJ636" s="98">
        <v>5.7676800000000004</v>
      </c>
      <c r="BK636" s="48"/>
      <c r="BL636" s="487">
        <v>12755.285477583609</v>
      </c>
      <c r="BM636" s="47" t="s">
        <v>2487</v>
      </c>
      <c r="BN636" s="48"/>
      <c r="BO636" s="48"/>
      <c r="BP636" s="48"/>
      <c r="BQ636" s="48"/>
      <c r="BR636" s="47"/>
      <c r="BS636" s="48"/>
      <c r="BT636" s="48"/>
      <c r="BU636" s="228"/>
      <c r="BV636" s="48"/>
      <c r="BW636" s="48"/>
      <c r="BX636" s="48"/>
      <c r="BY636" s="48"/>
      <c r="BZ636" s="48"/>
      <c r="CA636" s="48"/>
      <c r="CB636" s="48"/>
      <c r="CC636" s="48"/>
      <c r="CD636" s="48"/>
      <c r="CE636" s="48"/>
      <c r="CF636" s="48"/>
      <c r="CG636" s="48"/>
      <c r="CH636" s="48"/>
      <c r="CI636" s="52"/>
      <c r="CJ636" s="98"/>
      <c r="CK636" s="49">
        <f t="shared" si="142"/>
        <v>2211.5106034980458</v>
      </c>
      <c r="CL636" s="229"/>
      <c r="CM636" s="229"/>
      <c r="CN636" s="229"/>
      <c r="CO636" s="47" t="s">
        <v>2488</v>
      </c>
      <c r="CP636" s="500" t="s">
        <v>2489</v>
      </c>
      <c r="CQ636" s="224">
        <v>4.318063334962762</v>
      </c>
      <c r="CR636" s="224">
        <f>10^(CJ636-CQ636)</f>
        <v>4.8076923076922975E-5</v>
      </c>
      <c r="CS636" s="230" t="s">
        <v>539</v>
      </c>
      <c r="CT636" s="230"/>
      <c r="CU636" s="230"/>
      <c r="CV636" s="335">
        <f t="shared" si="143"/>
        <v>173379.93786063025</v>
      </c>
      <c r="CW636" s="230">
        <f t="shared" si="141"/>
        <v>1</v>
      </c>
      <c r="CX636" s="336"/>
      <c r="CY636" s="230" t="s">
        <v>6351</v>
      </c>
    </row>
    <row r="637" spans="1:103" ht="11.25" customHeight="1" x14ac:dyDescent="0.2">
      <c r="A637" s="72">
        <v>956</v>
      </c>
      <c r="B637" s="224">
        <v>993</v>
      </c>
      <c r="C637" s="46" t="s">
        <v>7145</v>
      </c>
      <c r="D637" s="46"/>
      <c r="E637" s="114"/>
      <c r="F637" s="114" t="s">
        <v>2834</v>
      </c>
      <c r="G637" s="225">
        <v>108112</v>
      </c>
      <c r="H637" s="47" t="s">
        <v>2835</v>
      </c>
      <c r="I637" s="47" t="s">
        <v>2835</v>
      </c>
      <c r="J637" s="47" t="s">
        <v>2836</v>
      </c>
      <c r="K637" s="47" t="s">
        <v>426</v>
      </c>
      <c r="L637" s="47"/>
      <c r="M637" s="47"/>
      <c r="N637" s="47"/>
      <c r="O637" s="47"/>
      <c r="P637" s="53"/>
      <c r="Q637" s="53"/>
      <c r="R637" s="53"/>
      <c r="S637" s="53"/>
      <c r="T637" s="48">
        <v>102.17</v>
      </c>
      <c r="U637" s="98">
        <v>16400</v>
      </c>
      <c r="V637" s="98">
        <v>13800</v>
      </c>
      <c r="W637" s="98">
        <v>16955.999433289551</v>
      </c>
      <c r="X637" s="98">
        <v>16400</v>
      </c>
      <c r="Y637" s="233">
        <v>7</v>
      </c>
      <c r="Z637" s="48">
        <v>1.68</v>
      </c>
      <c r="AA637" s="48"/>
      <c r="AB637" s="48">
        <v>1.62</v>
      </c>
      <c r="AC637" s="48">
        <v>0.92549999999999999</v>
      </c>
      <c r="AD637" s="48">
        <v>1.61</v>
      </c>
      <c r="AE637" s="48">
        <v>1.57</v>
      </c>
      <c r="AF637" s="48">
        <f t="shared" si="144"/>
        <v>1.61</v>
      </c>
      <c r="AG637" s="49">
        <v>1.55</v>
      </c>
      <c r="AH637" s="98">
        <v>1.7600000000000001E-5</v>
      </c>
      <c r="AI637" s="98">
        <v>4.4499999999999997E-5</v>
      </c>
      <c r="AJ637" s="483">
        <f t="shared" si="146"/>
        <v>-3.143053658498502</v>
      </c>
      <c r="AK637" s="483">
        <f t="shared" si="147"/>
        <v>-2.7402063153317204</v>
      </c>
      <c r="AL637" s="483">
        <f t="shared" si="145"/>
        <v>-2.7402063153317204</v>
      </c>
      <c r="AM637" s="483">
        <v>-3.79217</v>
      </c>
      <c r="AN637" s="226">
        <v>-3.04</v>
      </c>
      <c r="AO637" s="484">
        <v>15.31</v>
      </c>
      <c r="AP637" s="484"/>
      <c r="AQ637" s="48" t="s">
        <v>6311</v>
      </c>
      <c r="AR637" s="48" t="s">
        <v>6311</v>
      </c>
      <c r="AS637" s="227"/>
      <c r="AT637" s="50" t="s">
        <v>266</v>
      </c>
      <c r="AU637" s="48">
        <v>6</v>
      </c>
      <c r="AV637" s="48">
        <v>120</v>
      </c>
      <c r="AW637" s="48">
        <v>114</v>
      </c>
      <c r="AX637" s="48">
        <v>28</v>
      </c>
      <c r="AY637" s="48" t="s">
        <v>8728</v>
      </c>
      <c r="AZ637" s="48" t="s">
        <v>1563</v>
      </c>
      <c r="BA637" s="48">
        <v>32</v>
      </c>
      <c r="BB637" s="47" t="s">
        <v>2485</v>
      </c>
      <c r="BC637" s="47" t="s">
        <v>8726</v>
      </c>
      <c r="BD637" s="47" t="s">
        <v>8374</v>
      </c>
      <c r="BE637" s="48" t="s">
        <v>2449</v>
      </c>
      <c r="BF637" s="48" t="s">
        <v>272</v>
      </c>
      <c r="BG637" s="48" t="s">
        <v>272</v>
      </c>
      <c r="BH637" s="48" t="s">
        <v>2486</v>
      </c>
      <c r="BI637" s="98">
        <v>6.5388799999999993E-4</v>
      </c>
      <c r="BJ637" s="98">
        <v>6.5388799999999998</v>
      </c>
      <c r="BK637" s="48"/>
      <c r="BL637" s="487">
        <v>162.67296906838985</v>
      </c>
      <c r="BM637" s="47" t="s">
        <v>2487</v>
      </c>
      <c r="BN637" s="48"/>
      <c r="BO637" s="48"/>
      <c r="BP637" s="48"/>
      <c r="BQ637" s="48"/>
      <c r="BR637" s="47" t="e">
        <v>#VALUE!</v>
      </c>
      <c r="BS637" s="48"/>
      <c r="BT637" s="48"/>
      <c r="BU637" s="228">
        <v>6.5388799999999993E-4</v>
      </c>
      <c r="BV637" s="48"/>
      <c r="BW637" s="48"/>
      <c r="BX637" s="48"/>
      <c r="BY637" s="48"/>
      <c r="BZ637" s="48"/>
      <c r="CA637" s="48"/>
      <c r="CB637" s="48"/>
      <c r="CC637" s="48"/>
      <c r="CD637" s="48"/>
      <c r="CE637" s="48"/>
      <c r="CF637" s="48"/>
      <c r="CG637" s="48"/>
      <c r="CH637" s="48"/>
      <c r="CI637" s="98"/>
      <c r="CJ637" s="98"/>
      <c r="CK637" s="49">
        <f t="shared" si="142"/>
        <v>24.877803089885401</v>
      </c>
      <c r="CL637" s="229"/>
      <c r="CM637" s="229"/>
      <c r="CN637" s="229"/>
      <c r="CO637" s="47" t="s">
        <v>2488</v>
      </c>
      <c r="CP637" s="500" t="s">
        <v>2489</v>
      </c>
      <c r="CQ637" s="224" t="s">
        <v>272</v>
      </c>
      <c r="CR637" s="224"/>
      <c r="CS637" s="230" t="s">
        <v>539</v>
      </c>
      <c r="CT637" s="230"/>
      <c r="CU637" s="230"/>
      <c r="CV637" s="335">
        <f t="shared" si="143"/>
        <v>2508.0747773318981</v>
      </c>
      <c r="CW637" s="230">
        <f t="shared" si="141"/>
        <v>1</v>
      </c>
      <c r="CX637" s="336"/>
      <c r="CY637" s="230" t="s">
        <v>6351</v>
      </c>
    </row>
    <row r="638" spans="1:103" ht="11.25" customHeight="1" x14ac:dyDescent="0.2">
      <c r="A638" s="72">
        <v>957</v>
      </c>
      <c r="B638" s="224">
        <v>1434</v>
      </c>
      <c r="C638" s="46" t="s">
        <v>7146</v>
      </c>
      <c r="D638" s="46"/>
      <c r="E638" s="114"/>
      <c r="F638" s="114" t="s">
        <v>4410</v>
      </c>
      <c r="G638" s="225">
        <v>108441</v>
      </c>
      <c r="H638" s="47" t="s">
        <v>4411</v>
      </c>
      <c r="I638" s="47" t="s">
        <v>4411</v>
      </c>
      <c r="J638" s="47" t="s">
        <v>4412</v>
      </c>
      <c r="K638" s="47" t="s">
        <v>1573</v>
      </c>
      <c r="L638" s="47"/>
      <c r="M638" s="47"/>
      <c r="N638" s="47"/>
      <c r="O638" s="47"/>
      <c r="P638" s="53" t="s">
        <v>6184</v>
      </c>
      <c r="Q638" s="53" t="s">
        <v>6176</v>
      </c>
      <c r="R638" s="53" t="s">
        <v>6185</v>
      </c>
      <c r="S638" s="53" t="s">
        <v>6182</v>
      </c>
      <c r="T638" s="48">
        <v>107.15</v>
      </c>
      <c r="U638" s="98">
        <v>14999.999999999998</v>
      </c>
      <c r="V638" s="98">
        <v>7085</v>
      </c>
      <c r="W638" s="98">
        <v>12882.26341692558</v>
      </c>
      <c r="X638" s="98">
        <v>14999.999999999998</v>
      </c>
      <c r="Y638" s="233">
        <v>8.9</v>
      </c>
      <c r="Z638" s="48">
        <v>1.62</v>
      </c>
      <c r="AA638" s="48">
        <v>1.4</v>
      </c>
      <c r="AB638" s="48">
        <v>1.49</v>
      </c>
      <c r="AC638" s="48">
        <v>0.94979999999999998</v>
      </c>
      <c r="AD638" s="48">
        <v>1.47</v>
      </c>
      <c r="AE638" s="48">
        <v>1.4</v>
      </c>
      <c r="AF638" s="48">
        <f t="shared" si="144"/>
        <v>1.4</v>
      </c>
      <c r="AG638" s="49">
        <v>1.59</v>
      </c>
      <c r="AH638" s="98">
        <v>2.0999999999999998E-6</v>
      </c>
      <c r="AI638" s="98">
        <v>1.66E-6</v>
      </c>
      <c r="AJ638" s="483">
        <f t="shared" si="146"/>
        <v>-4.0663470315787329</v>
      </c>
      <c r="AK638" s="483">
        <f t="shared" si="147"/>
        <v>-4.1684582382725965</v>
      </c>
      <c r="AL638" s="483">
        <f t="shared" si="145"/>
        <v>-4.1684582382725965</v>
      </c>
      <c r="AM638" s="483">
        <v>-6.2000900000000003</v>
      </c>
      <c r="AN638" s="226">
        <v>-3.95</v>
      </c>
      <c r="AO638" s="484"/>
      <c r="AP638" s="484">
        <v>4.72</v>
      </c>
      <c r="AQ638" s="48" t="s">
        <v>6311</v>
      </c>
      <c r="AR638" s="48" t="s">
        <v>6311</v>
      </c>
      <c r="AS638" s="227"/>
      <c r="AT638" s="50" t="s">
        <v>266</v>
      </c>
      <c r="AU638" s="48">
        <v>6</v>
      </c>
      <c r="AV638" s="48">
        <v>120</v>
      </c>
      <c r="AW638" s="48">
        <v>114</v>
      </c>
      <c r="AX638" s="48">
        <v>28</v>
      </c>
      <c r="AY638" s="48" t="s">
        <v>8728</v>
      </c>
      <c r="AZ638" s="48" t="s">
        <v>1563</v>
      </c>
      <c r="BA638" s="48">
        <v>32</v>
      </c>
      <c r="BB638" s="47" t="s">
        <v>2485</v>
      </c>
      <c r="BC638" s="47" t="s">
        <v>8726</v>
      </c>
      <c r="BD638" s="47" t="s">
        <v>8374</v>
      </c>
      <c r="BE638" s="48" t="s">
        <v>2449</v>
      </c>
      <c r="BF638" s="48" t="s">
        <v>272</v>
      </c>
      <c r="BG638" s="48" t="s">
        <v>272</v>
      </c>
      <c r="BH638" s="48" t="s">
        <v>2486</v>
      </c>
      <c r="BI638" s="98">
        <v>6.8575999999999999E-4</v>
      </c>
      <c r="BJ638" s="98">
        <v>6.8576000000000006</v>
      </c>
      <c r="BK638" s="48"/>
      <c r="BL638" s="487">
        <v>193.13908757131543</v>
      </c>
      <c r="BM638" s="47" t="s">
        <v>2487</v>
      </c>
      <c r="BN638" s="48"/>
      <c r="BO638" s="48"/>
      <c r="BP638" s="48"/>
      <c r="BQ638" s="48"/>
      <c r="BR638" s="47" t="e">
        <v>#VALUE!</v>
      </c>
      <c r="BS638" s="48"/>
      <c r="BT638" s="48"/>
      <c r="BU638" s="228"/>
      <c r="BV638" s="48"/>
      <c r="BW638" s="48"/>
      <c r="BX638" s="48"/>
      <c r="BY638" s="48"/>
      <c r="BZ638" s="48"/>
      <c r="CA638" s="48"/>
      <c r="CB638" s="48"/>
      <c r="CC638" s="48"/>
      <c r="CD638" s="48"/>
      <c r="CE638" s="48"/>
      <c r="CF638" s="48"/>
      <c r="CG638" s="48"/>
      <c r="CH638" s="48"/>
      <c r="CI638" s="98"/>
      <c r="CJ638" s="98"/>
      <c r="CK638" s="49">
        <f t="shared" si="142"/>
        <v>28.164239321528729</v>
      </c>
      <c r="CL638" s="229"/>
      <c r="CM638" s="229"/>
      <c r="CN638" s="229"/>
      <c r="CO638" s="47" t="s">
        <v>2488</v>
      </c>
      <c r="CP638" s="500" t="s">
        <v>2489</v>
      </c>
      <c r="CQ638" s="224">
        <v>1.5599066250361124</v>
      </c>
      <c r="CR638" s="224">
        <f>10^(CJ638-CQ638)</f>
        <v>2.7548209366391175E-2</v>
      </c>
      <c r="CS638" s="230" t="s">
        <v>539</v>
      </c>
      <c r="CT638" s="230"/>
      <c r="CU638" s="230"/>
      <c r="CV638" s="335">
        <f t="shared" si="143"/>
        <v>2187.3541763882404</v>
      </c>
      <c r="CW638" s="230">
        <f t="shared" si="141"/>
        <v>1</v>
      </c>
      <c r="CX638" s="336"/>
      <c r="CY638" s="230" t="s">
        <v>6351</v>
      </c>
    </row>
    <row r="639" spans="1:103" ht="11.25" customHeight="1" x14ac:dyDescent="0.2">
      <c r="A639" s="72">
        <v>958</v>
      </c>
      <c r="B639" s="224">
        <v>902</v>
      </c>
      <c r="C639" s="46" t="s">
        <v>7147</v>
      </c>
      <c r="D639" s="46"/>
      <c r="E639" s="114"/>
      <c r="F639" s="114" t="s">
        <v>2573</v>
      </c>
      <c r="G639" s="225">
        <v>108452</v>
      </c>
      <c r="H639" s="47" t="s">
        <v>2574</v>
      </c>
      <c r="I639" s="47" t="s">
        <v>2574</v>
      </c>
      <c r="J639" s="47" t="s">
        <v>2575</v>
      </c>
      <c r="K639" s="47" t="s">
        <v>2576</v>
      </c>
      <c r="L639" s="47"/>
      <c r="M639" s="47"/>
      <c r="N639" s="47"/>
      <c r="O639" s="47"/>
      <c r="P639" s="53"/>
      <c r="Q639" s="53" t="s">
        <v>6182</v>
      </c>
      <c r="R639" s="53" t="s">
        <v>6185</v>
      </c>
      <c r="S639" s="53" t="s">
        <v>6182</v>
      </c>
      <c r="T639" s="48">
        <v>108.14</v>
      </c>
      <c r="U639" s="98">
        <v>237999.99999999997</v>
      </c>
      <c r="V639" s="98">
        <v>211100</v>
      </c>
      <c r="W639" s="98">
        <v>92042.067451204988</v>
      </c>
      <c r="X639" s="98">
        <v>237999.99999999997</v>
      </c>
      <c r="Y639" s="233">
        <v>9.41</v>
      </c>
      <c r="Z639" s="48">
        <v>-0.39</v>
      </c>
      <c r="AA639" s="48">
        <v>-0.33</v>
      </c>
      <c r="AB639" s="48">
        <v>-0.02</v>
      </c>
      <c r="AC639" s="48">
        <v>0.88180000000000003</v>
      </c>
      <c r="AD639" s="48">
        <v>-0.09</v>
      </c>
      <c r="AE639" s="48">
        <v>-0.31</v>
      </c>
      <c r="AF639" s="48">
        <f t="shared" si="144"/>
        <v>-0.33</v>
      </c>
      <c r="AG639" s="49">
        <v>0.44</v>
      </c>
      <c r="AH639" s="98">
        <v>6.7299999999999995E-10</v>
      </c>
      <c r="AI639" s="98">
        <v>1.25E-9</v>
      </c>
      <c r="AJ639" s="483">
        <f t="shared" si="146"/>
        <v>-7.5605512620886746</v>
      </c>
      <c r="AK639" s="483">
        <f t="shared" si="147"/>
        <v>-7.2916563133045953</v>
      </c>
      <c r="AL639" s="483">
        <f t="shared" si="145"/>
        <v>-7.2916563133045953</v>
      </c>
      <c r="AM639" s="483">
        <v>-9.8611799999999992</v>
      </c>
      <c r="AN639" s="226">
        <v>-7.34</v>
      </c>
      <c r="AO639" s="484"/>
      <c r="AP639" s="484">
        <v>4.88</v>
      </c>
      <c r="AQ639" s="48" t="s">
        <v>6311</v>
      </c>
      <c r="AR639" s="48" t="s">
        <v>6311</v>
      </c>
      <c r="AS639" s="227"/>
      <c r="AT639" s="50" t="s">
        <v>266</v>
      </c>
      <c r="AU639" s="48">
        <v>6</v>
      </c>
      <c r="AV639" s="48">
        <v>120</v>
      </c>
      <c r="AW639" s="48">
        <v>114</v>
      </c>
      <c r="AX639" s="48">
        <v>28</v>
      </c>
      <c r="AY639" s="48" t="s">
        <v>8728</v>
      </c>
      <c r="AZ639" s="48" t="s">
        <v>1563</v>
      </c>
      <c r="BA639" s="48">
        <v>32</v>
      </c>
      <c r="BB639" s="47" t="s">
        <v>2485</v>
      </c>
      <c r="BC639" s="47" t="s">
        <v>8726</v>
      </c>
      <c r="BD639" s="47" t="s">
        <v>8374</v>
      </c>
      <c r="BE639" s="48" t="s">
        <v>2449</v>
      </c>
      <c r="BF639" s="48" t="s">
        <v>272</v>
      </c>
      <c r="BG639" s="48" t="s">
        <v>272</v>
      </c>
      <c r="BH639" s="48" t="s">
        <v>2486</v>
      </c>
      <c r="BI639" s="98">
        <v>6.9209600000000001E-4</v>
      </c>
      <c r="BJ639" s="98">
        <v>6.92096</v>
      </c>
      <c r="BK639" s="48"/>
      <c r="BL639" s="487">
        <v>12446.446172278722</v>
      </c>
      <c r="BM639" s="47" t="s">
        <v>2487</v>
      </c>
      <c r="BN639" s="48"/>
      <c r="BO639" s="48"/>
      <c r="BP639" s="48"/>
      <c r="BQ639" s="48"/>
      <c r="BR639" s="47" t="e">
        <v>#VALUE!</v>
      </c>
      <c r="BS639" s="48"/>
      <c r="BT639" s="48"/>
      <c r="BU639" s="228">
        <v>6.92096</v>
      </c>
      <c r="BV639" s="48"/>
      <c r="BW639" s="48"/>
      <c r="BX639" s="48"/>
      <c r="BY639" s="48"/>
      <c r="BZ639" s="48"/>
      <c r="CA639" s="48"/>
      <c r="CB639" s="48"/>
      <c r="CC639" s="48"/>
      <c r="CD639" s="48"/>
      <c r="CE639" s="48"/>
      <c r="CF639" s="48"/>
      <c r="CG639" s="48"/>
      <c r="CH639" s="48"/>
      <c r="CI639" s="98"/>
      <c r="CJ639" s="98"/>
      <c r="CK639" s="49">
        <f t="shared" si="142"/>
        <v>1798.3699042154155</v>
      </c>
      <c r="CL639" s="229"/>
      <c r="CM639" s="229"/>
      <c r="CN639" s="229"/>
      <c r="CO639" s="47" t="s">
        <v>2488</v>
      </c>
      <c r="CP639" s="500" t="s">
        <v>2489</v>
      </c>
      <c r="CQ639" s="224" t="s">
        <v>272</v>
      </c>
      <c r="CR639" s="224"/>
      <c r="CS639" s="230" t="s">
        <v>539</v>
      </c>
      <c r="CT639" s="230"/>
      <c r="CU639" s="230"/>
      <c r="CV639" s="335">
        <f t="shared" si="143"/>
        <v>34388.29295357869</v>
      </c>
      <c r="CW639" s="230">
        <f t="shared" si="141"/>
        <v>1</v>
      </c>
      <c r="CX639" s="336"/>
      <c r="CY639" s="230" t="s">
        <v>6351</v>
      </c>
    </row>
    <row r="640" spans="1:103" ht="11.25" customHeight="1" x14ac:dyDescent="0.2">
      <c r="A640" s="72">
        <v>959</v>
      </c>
      <c r="B640" s="224">
        <v>1853</v>
      </c>
      <c r="C640" s="46" t="s">
        <v>7148</v>
      </c>
      <c r="D640" s="46"/>
      <c r="E640" s="114"/>
      <c r="F640" s="114" t="s">
        <v>5272</v>
      </c>
      <c r="G640" s="225">
        <v>108463</v>
      </c>
      <c r="H640" s="47" t="s">
        <v>5273</v>
      </c>
      <c r="I640" s="47" t="s">
        <v>5273</v>
      </c>
      <c r="J640" s="47" t="s">
        <v>5274</v>
      </c>
      <c r="K640" s="47" t="s">
        <v>376</v>
      </c>
      <c r="L640" s="47"/>
      <c r="M640" s="47" t="s">
        <v>5275</v>
      </c>
      <c r="N640" s="47" t="s">
        <v>6383</v>
      </c>
      <c r="O640" s="47" t="s">
        <v>5276</v>
      </c>
      <c r="P640" s="53"/>
      <c r="Q640" s="53" t="s">
        <v>6182</v>
      </c>
      <c r="R640" s="53" t="s">
        <v>6185</v>
      </c>
      <c r="S640" s="53" t="s">
        <v>6182</v>
      </c>
      <c r="T640" s="48">
        <v>110.11</v>
      </c>
      <c r="U640" s="98">
        <v>717000</v>
      </c>
      <c r="V640" s="98">
        <v>85710</v>
      </c>
      <c r="W640" s="98">
        <v>174512.58942189321</v>
      </c>
      <c r="X640" s="98">
        <v>717000</v>
      </c>
      <c r="Y640" s="233">
        <v>4.62</v>
      </c>
      <c r="Z640" s="48">
        <v>1.03</v>
      </c>
      <c r="AA640" s="48">
        <v>0.8</v>
      </c>
      <c r="AB640" s="48">
        <v>0.91</v>
      </c>
      <c r="AC640" s="48">
        <v>0.82740000000000002</v>
      </c>
      <c r="AD640" s="48">
        <v>0.87</v>
      </c>
      <c r="AE640" s="48">
        <v>0.76</v>
      </c>
      <c r="AF640" s="48">
        <f t="shared" si="144"/>
        <v>0.8</v>
      </c>
      <c r="AG640" s="49">
        <v>1.1299999999999999</v>
      </c>
      <c r="AH640" s="98">
        <v>5.8299999999999995E-11</v>
      </c>
      <c r="AI640" s="98">
        <v>9.8799999999999997E-11</v>
      </c>
      <c r="AJ640" s="483">
        <f t="shared" si="146"/>
        <v>-8.622897771553637</v>
      </c>
      <c r="AK640" s="483">
        <f t="shared" si="147"/>
        <v>-8.3938093817250241</v>
      </c>
      <c r="AL640" s="483">
        <f t="shared" si="145"/>
        <v>-8.3938093817250241</v>
      </c>
      <c r="AM640" s="483">
        <v>-10.359120000000001</v>
      </c>
      <c r="AN640" s="226">
        <v>-8.7899999999999991</v>
      </c>
      <c r="AO640" s="484">
        <v>9.4499999999999993</v>
      </c>
      <c r="AP640" s="484"/>
      <c r="AQ640" s="226" t="s">
        <v>6311</v>
      </c>
      <c r="AR640" s="226" t="s">
        <v>6311</v>
      </c>
      <c r="AS640" s="224"/>
      <c r="AT640" s="50" t="s">
        <v>266</v>
      </c>
      <c r="AU640" s="48">
        <v>6</v>
      </c>
      <c r="AV640" s="48">
        <v>120</v>
      </c>
      <c r="AW640" s="48">
        <v>114</v>
      </c>
      <c r="AX640" s="48">
        <v>28</v>
      </c>
      <c r="AY640" s="48" t="s">
        <v>8728</v>
      </c>
      <c r="AZ640" s="48" t="s">
        <v>1563</v>
      </c>
      <c r="BA640" s="48">
        <v>32</v>
      </c>
      <c r="BB640" s="47" t="s">
        <v>2485</v>
      </c>
      <c r="BC640" s="47" t="s">
        <v>8726</v>
      </c>
      <c r="BD640" s="47" t="s">
        <v>8374</v>
      </c>
      <c r="BE640" s="48" t="s">
        <v>2449</v>
      </c>
      <c r="BF640" s="48" t="s">
        <v>272</v>
      </c>
      <c r="BG640" s="48" t="s">
        <v>272</v>
      </c>
      <c r="BH640" s="48" t="s">
        <v>2486</v>
      </c>
      <c r="BI640" s="98">
        <v>7.0470400000000001E-4</v>
      </c>
      <c r="BJ640" s="98">
        <v>7.04704</v>
      </c>
      <c r="BK640" s="48"/>
      <c r="BL640" s="487">
        <v>672.33196967807544</v>
      </c>
      <c r="BM640" s="47" t="s">
        <v>2487</v>
      </c>
      <c r="BN640" s="48"/>
      <c r="BO640" s="48"/>
      <c r="BP640" s="48"/>
      <c r="BQ640" s="48"/>
      <c r="BR640" s="47" t="e">
        <v>#VALUE!</v>
      </c>
      <c r="BS640" s="48"/>
      <c r="BT640" s="48"/>
      <c r="BU640" s="228"/>
      <c r="BV640" s="48"/>
      <c r="BW640" s="48"/>
      <c r="BX640" s="48"/>
      <c r="BY640" s="48"/>
      <c r="BZ640" s="48"/>
      <c r="CA640" s="48"/>
      <c r="CB640" s="48"/>
      <c r="CC640" s="48"/>
      <c r="CD640" s="48"/>
      <c r="CE640" s="48"/>
      <c r="CF640" s="48"/>
      <c r="CG640" s="48"/>
      <c r="CH640" s="48"/>
      <c r="CI640" s="98"/>
      <c r="CJ640" s="98"/>
      <c r="CK640" s="49">
        <f t="shared" si="142"/>
        <v>95.406293944418564</v>
      </c>
      <c r="CL640" s="229"/>
      <c r="CM640" s="229"/>
      <c r="CN640" s="229"/>
      <c r="CO640" s="47" t="s">
        <v>2488</v>
      </c>
      <c r="CP640" s="500" t="s">
        <v>2489</v>
      </c>
      <c r="CQ640" s="224">
        <v>1.7756523565368556</v>
      </c>
      <c r="CR640" s="224">
        <f>10^(CJ640-CQ640)</f>
        <v>1.6762841688150721E-2</v>
      </c>
      <c r="CS640" s="230" t="s">
        <v>539</v>
      </c>
      <c r="CT640" s="230"/>
      <c r="CU640" s="230"/>
      <c r="CV640" s="335">
        <f t="shared" si="143"/>
        <v>101744.84606302789</v>
      </c>
      <c r="CW640" s="230">
        <f t="shared" si="141"/>
        <v>1</v>
      </c>
      <c r="CX640" s="336"/>
      <c r="CY640" s="230" t="s">
        <v>6351</v>
      </c>
    </row>
    <row r="641" spans="1:103" ht="11.25" customHeight="1" x14ac:dyDescent="0.2">
      <c r="A641" s="72">
        <v>960</v>
      </c>
      <c r="B641" s="224">
        <v>1108</v>
      </c>
      <c r="C641" s="46" t="s">
        <v>7149</v>
      </c>
      <c r="D641" s="46"/>
      <c r="E641" s="114"/>
      <c r="F641" s="114" t="s">
        <v>3096</v>
      </c>
      <c r="G641" s="225">
        <v>108598</v>
      </c>
      <c r="H641" s="47" t="s">
        <v>3097</v>
      </c>
      <c r="I641" s="47" t="s">
        <v>3097</v>
      </c>
      <c r="J641" s="47" t="s">
        <v>3098</v>
      </c>
      <c r="K641" s="47" t="s">
        <v>357</v>
      </c>
      <c r="L641" s="47" t="s">
        <v>5527</v>
      </c>
      <c r="M641" s="47" t="s">
        <v>5960</v>
      </c>
      <c r="N641" s="47"/>
      <c r="O641" s="47"/>
      <c r="P641" s="53"/>
      <c r="Q641" s="53"/>
      <c r="R641" s="53"/>
      <c r="S641" s="53"/>
      <c r="T641" s="48">
        <v>132.11000000000001</v>
      </c>
      <c r="U641" s="98"/>
      <c r="V641" s="98">
        <v>99510</v>
      </c>
      <c r="W641" s="98">
        <v>126164.0705392919</v>
      </c>
      <c r="X641" s="98">
        <v>126164.0705392919</v>
      </c>
      <c r="Y641" s="233">
        <v>5.91</v>
      </c>
      <c r="Z641" s="48">
        <v>-0.09</v>
      </c>
      <c r="AA641" s="48">
        <v>-0.05</v>
      </c>
      <c r="AB641" s="48">
        <v>0.34</v>
      </c>
      <c r="AC641" s="48">
        <v>0.83620000000000005</v>
      </c>
      <c r="AD641" s="48">
        <v>0.14000000000000001</v>
      </c>
      <c r="AE641" s="48">
        <v>-0.36</v>
      </c>
      <c r="AF641" s="48">
        <f t="shared" si="144"/>
        <v>-0.05</v>
      </c>
      <c r="AG641" s="49">
        <v>0.06</v>
      </c>
      <c r="AH641" s="98">
        <v>4.1699999999999999E-7</v>
      </c>
      <c r="AI641" s="98"/>
      <c r="AJ641" s="483">
        <f t="shared" si="146"/>
        <v>-4.768430271338894</v>
      </c>
      <c r="AK641" s="483"/>
      <c r="AL641" s="483">
        <f t="shared" si="145"/>
        <v>-4.768430271338894</v>
      </c>
      <c r="AM641" s="483">
        <v>-5.5826399999999996</v>
      </c>
      <c r="AN641" s="226">
        <v>-4.0599999999999996</v>
      </c>
      <c r="AO641" s="484">
        <v>11.8</v>
      </c>
      <c r="AP641" s="484"/>
      <c r="AQ641" s="48" t="s">
        <v>6311</v>
      </c>
      <c r="AR641" s="48" t="s">
        <v>6314</v>
      </c>
      <c r="AS641" s="227"/>
      <c r="AT641" s="50" t="s">
        <v>266</v>
      </c>
      <c r="AU641" s="48">
        <v>6</v>
      </c>
      <c r="AV641" s="48">
        <v>120</v>
      </c>
      <c r="AW641" s="48">
        <v>114</v>
      </c>
      <c r="AX641" s="48">
        <v>28</v>
      </c>
      <c r="AY641" s="48" t="s">
        <v>8728</v>
      </c>
      <c r="AZ641" s="48" t="s">
        <v>1563</v>
      </c>
      <c r="BA641" s="48">
        <v>32</v>
      </c>
      <c r="BB641" s="47" t="s">
        <v>2485</v>
      </c>
      <c r="BC641" s="47" t="s">
        <v>8726</v>
      </c>
      <c r="BD641" s="47" t="s">
        <v>8374</v>
      </c>
      <c r="BE641" s="48" t="s">
        <v>2449</v>
      </c>
      <c r="BF641" s="48" t="s">
        <v>272</v>
      </c>
      <c r="BG641" s="48" t="s">
        <v>272</v>
      </c>
      <c r="BH641" s="48" t="s">
        <v>2486</v>
      </c>
      <c r="BI641" s="98">
        <v>8.4550400000000007E-4</v>
      </c>
      <c r="BJ641" s="98">
        <v>8.4550400000000003</v>
      </c>
      <c r="BK641" s="48"/>
      <c r="BL641" s="487">
        <v>8176.4482534962508</v>
      </c>
      <c r="BM641" s="47" t="s">
        <v>2487</v>
      </c>
      <c r="BN641" s="48"/>
      <c r="BO641" s="48"/>
      <c r="BP641" s="48"/>
      <c r="BQ641" s="48"/>
      <c r="BR641" s="47" t="e">
        <v>#VALUE!</v>
      </c>
      <c r="BS641" s="48"/>
      <c r="BT641" s="48"/>
      <c r="BU641" s="228">
        <v>8.4550400000000005E-3</v>
      </c>
      <c r="BV641" s="48"/>
      <c r="BW641" s="48"/>
      <c r="BX641" s="48"/>
      <c r="BY641" s="48"/>
      <c r="BZ641" s="48"/>
      <c r="CA641" s="48"/>
      <c r="CB641" s="48"/>
      <c r="CC641" s="48"/>
      <c r="CD641" s="48"/>
      <c r="CE641" s="48"/>
      <c r="CF641" s="48"/>
      <c r="CG641" s="48"/>
      <c r="CH641" s="48"/>
      <c r="CI641" s="98"/>
      <c r="CJ641" s="98"/>
      <c r="CK641" s="49">
        <f t="shared" si="142"/>
        <v>967.0502154331914</v>
      </c>
      <c r="CL641" s="229"/>
      <c r="CM641" s="229"/>
      <c r="CN641" s="229"/>
      <c r="CO641" s="47" t="s">
        <v>2488</v>
      </c>
      <c r="CP641" s="500" t="s">
        <v>2489</v>
      </c>
      <c r="CQ641" s="224">
        <v>1.0899051114393981</v>
      </c>
      <c r="CR641" s="224">
        <f>10^(CJ641-CQ641)</f>
        <v>8.1300813008130024E-2</v>
      </c>
      <c r="CS641" s="230" t="s">
        <v>539</v>
      </c>
      <c r="CT641" s="230"/>
      <c r="CU641" s="230"/>
      <c r="CV641" s="335">
        <f t="shared" si="143"/>
        <v>14921.759156584936</v>
      </c>
      <c r="CW641" s="230">
        <f t="shared" si="141"/>
        <v>1</v>
      </c>
      <c r="CX641" s="336"/>
      <c r="CY641" s="230" t="s">
        <v>6351</v>
      </c>
    </row>
    <row r="642" spans="1:103" ht="11.25" customHeight="1" x14ac:dyDescent="0.2">
      <c r="A642" s="72">
        <v>961</v>
      </c>
      <c r="B642" s="224">
        <v>901</v>
      </c>
      <c r="C642" s="46" t="s">
        <v>7150</v>
      </c>
      <c r="D642" s="46"/>
      <c r="E642" s="114"/>
      <c r="F642" s="114" t="s">
        <v>2570</v>
      </c>
      <c r="G642" s="225">
        <v>108678</v>
      </c>
      <c r="H642" s="47" t="s">
        <v>2571</v>
      </c>
      <c r="I642" s="47" t="s">
        <v>2571</v>
      </c>
      <c r="J642" s="47" t="s">
        <v>2572</v>
      </c>
      <c r="K642" s="47" t="s">
        <v>426</v>
      </c>
      <c r="L642" s="47"/>
      <c r="M642" s="47"/>
      <c r="N642" s="47"/>
      <c r="O642" s="47"/>
      <c r="P642" s="53"/>
      <c r="Q642" s="53"/>
      <c r="R642" s="53"/>
      <c r="S642" s="53"/>
      <c r="T642" s="48">
        <v>120.19</v>
      </c>
      <c r="U642" s="98">
        <v>48.2</v>
      </c>
      <c r="V642" s="98">
        <v>120.3</v>
      </c>
      <c r="W642" s="98">
        <v>42.645021251983394</v>
      </c>
      <c r="X642" s="98">
        <v>48.2</v>
      </c>
      <c r="Y642" s="233">
        <v>7</v>
      </c>
      <c r="Z642" s="48">
        <v>3.63</v>
      </c>
      <c r="AA642" s="48">
        <v>3.42</v>
      </c>
      <c r="AB642" s="48">
        <v>3.9</v>
      </c>
      <c r="AC642" s="48">
        <v>0.88629999999999998</v>
      </c>
      <c r="AD642" s="48">
        <v>3.83</v>
      </c>
      <c r="AE642" s="48">
        <v>3.6</v>
      </c>
      <c r="AF642" s="48">
        <f t="shared" si="144"/>
        <v>3.42</v>
      </c>
      <c r="AG642" s="49">
        <v>3.23</v>
      </c>
      <c r="AH642" s="98">
        <v>7.2399999999999999E-3</v>
      </c>
      <c r="AI642" s="98">
        <v>8.77E-3</v>
      </c>
      <c r="AJ642" s="483">
        <f t="shared" si="146"/>
        <v>-0.52882776011550481</v>
      </c>
      <c r="AK642" s="483">
        <f>LOG10(AI642*1000/(0.08206*298.15))</f>
        <v>-0.44556673294661131</v>
      </c>
      <c r="AL642" s="483">
        <f t="shared" si="145"/>
        <v>-0.44556673294661131</v>
      </c>
      <c r="AM642" s="483">
        <v>-2.1817100000000003</v>
      </c>
      <c r="AN642" s="226">
        <v>-0.55400000000000005</v>
      </c>
      <c r="AO642" s="484"/>
      <c r="AP642" s="484"/>
      <c r="AQ642" s="48" t="s">
        <v>6311</v>
      </c>
      <c r="AR642" s="48" t="s">
        <v>6311</v>
      </c>
      <c r="AS642" s="227"/>
      <c r="AT642" s="50" t="s">
        <v>266</v>
      </c>
      <c r="AU642" s="48">
        <v>6</v>
      </c>
      <c r="AV642" s="48">
        <v>120</v>
      </c>
      <c r="AW642" s="48">
        <v>114</v>
      </c>
      <c r="AX642" s="48">
        <v>28</v>
      </c>
      <c r="AY642" s="48" t="s">
        <v>8728</v>
      </c>
      <c r="AZ642" s="48" t="s">
        <v>1563</v>
      </c>
      <c r="BA642" s="48">
        <v>32</v>
      </c>
      <c r="BB642" s="47" t="s">
        <v>2485</v>
      </c>
      <c r="BC642" s="47" t="s">
        <v>8726</v>
      </c>
      <c r="BD642" s="47" t="s">
        <v>8374</v>
      </c>
      <c r="BE642" s="48" t="s">
        <v>2449</v>
      </c>
      <c r="BF642" s="48" t="s">
        <v>272</v>
      </c>
      <c r="BG642" s="48" t="s">
        <v>272</v>
      </c>
      <c r="BH642" s="48" t="s">
        <v>2486</v>
      </c>
      <c r="BI642" s="98">
        <v>7.6921599999999998E-4</v>
      </c>
      <c r="BJ642" s="98">
        <v>7.6921600000000003</v>
      </c>
      <c r="BK642" s="48"/>
      <c r="BL642" s="487">
        <v>3.3928552774933203</v>
      </c>
      <c r="BM642" s="47" t="s">
        <v>2487</v>
      </c>
      <c r="BN642" s="48"/>
      <c r="BO642" s="48"/>
      <c r="BP642" s="48"/>
      <c r="BQ642" s="48"/>
      <c r="BR642" s="47" t="e">
        <v>#VALUE!</v>
      </c>
      <c r="BS642" s="48"/>
      <c r="BT642" s="48"/>
      <c r="BU642" s="228">
        <v>7.6921599999999998E-4</v>
      </c>
      <c r="BV642" s="48"/>
      <c r="BW642" s="48"/>
      <c r="BX642" s="48"/>
      <c r="BY642" s="48"/>
      <c r="BZ642" s="48"/>
      <c r="CA642" s="48"/>
      <c r="CB642" s="48"/>
      <c r="CC642" s="48"/>
      <c r="CD642" s="48"/>
      <c r="CE642" s="48"/>
      <c r="CF642" s="48"/>
      <c r="CG642" s="48"/>
      <c r="CH642" s="48"/>
      <c r="CI642" s="98"/>
      <c r="CJ642" s="98"/>
      <c r="CK642" s="49">
        <f t="shared" si="142"/>
        <v>0.44107965480350386</v>
      </c>
      <c r="CL642" s="229"/>
      <c r="CM642" s="229"/>
      <c r="CN642" s="229"/>
      <c r="CO642" s="47" t="s">
        <v>2488</v>
      </c>
      <c r="CP642" s="500" t="s">
        <v>2489</v>
      </c>
      <c r="CQ642" s="224" t="s">
        <v>272</v>
      </c>
      <c r="CR642" s="224"/>
      <c r="CS642" s="230" t="s">
        <v>539</v>
      </c>
      <c r="CT642" s="230"/>
      <c r="CU642" s="230"/>
      <c r="CV642" s="335">
        <f t="shared" si="143"/>
        <v>6.2661203095099429</v>
      </c>
      <c r="CW642" s="230">
        <f t="shared" si="141"/>
        <v>1</v>
      </c>
      <c r="CX642" s="336"/>
      <c r="CY642" s="230" t="s">
        <v>6351</v>
      </c>
    </row>
    <row r="643" spans="1:103" ht="11.25" customHeight="1" x14ac:dyDescent="0.2">
      <c r="A643" s="72">
        <v>962</v>
      </c>
      <c r="B643" s="224">
        <v>1078</v>
      </c>
      <c r="C643" s="46" t="s">
        <v>7151</v>
      </c>
      <c r="D643" s="46"/>
      <c r="E643" s="114"/>
      <c r="F643" s="114" t="s">
        <v>3030</v>
      </c>
      <c r="G643" s="225">
        <v>108805</v>
      </c>
      <c r="H643" s="47" t="s">
        <v>3031</v>
      </c>
      <c r="I643" s="47" t="s">
        <v>8031</v>
      </c>
      <c r="J643" s="47" t="s">
        <v>3032</v>
      </c>
      <c r="K643" s="47" t="s">
        <v>940</v>
      </c>
      <c r="L643" s="47"/>
      <c r="M643" s="47"/>
      <c r="N643" s="47"/>
      <c r="O643" s="47"/>
      <c r="P643" s="53"/>
      <c r="Q643" s="53"/>
      <c r="R643" s="53"/>
      <c r="S643" s="53"/>
      <c r="T643" s="48">
        <v>129.07</v>
      </c>
      <c r="U643" s="98">
        <v>2000</v>
      </c>
      <c r="V643" s="98">
        <v>1994</v>
      </c>
      <c r="W643" s="98">
        <v>576534.51238924812</v>
      </c>
      <c r="X643" s="98">
        <v>2000</v>
      </c>
      <c r="Y643" s="233">
        <v>2.0499999999999998</v>
      </c>
      <c r="Z643" s="48">
        <v>1.95</v>
      </c>
      <c r="AA643" s="48"/>
      <c r="AB643" s="48">
        <v>-1.1499999999999999</v>
      </c>
      <c r="AC643" s="48">
        <v>0.66349999999999998</v>
      </c>
      <c r="AD643" s="48">
        <v>-1.53</v>
      </c>
      <c r="AE643" s="48">
        <v>-2.2000000000000002</v>
      </c>
      <c r="AF643" s="48">
        <f t="shared" si="144"/>
        <v>-1.53</v>
      </c>
      <c r="AG643" s="49">
        <v>-0.75</v>
      </c>
      <c r="AH643" s="98">
        <v>8.7399999999999992E-15</v>
      </c>
      <c r="AI643" s="98"/>
      <c r="AJ643" s="483">
        <f t="shared" si="146"/>
        <v>-12.447054893678249</v>
      </c>
      <c r="AK643" s="483"/>
      <c r="AL643" s="483">
        <f t="shared" si="145"/>
        <v>-12.447054893678249</v>
      </c>
      <c r="AM643" s="483">
        <v>-12.599690000000001</v>
      </c>
      <c r="AN643" s="226">
        <v>-0.17599999999999999</v>
      </c>
      <c r="AO643" s="484">
        <v>5.21</v>
      </c>
      <c r="AP643" s="484"/>
      <c r="AQ643" s="48" t="s">
        <v>6311</v>
      </c>
      <c r="AR643" s="48" t="s">
        <v>6311</v>
      </c>
      <c r="AS643" s="227"/>
      <c r="AT643" s="50" t="s">
        <v>266</v>
      </c>
      <c r="AU643" s="48">
        <v>6</v>
      </c>
      <c r="AV643" s="48">
        <v>120</v>
      </c>
      <c r="AW643" s="48">
        <v>114</v>
      </c>
      <c r="AX643" s="48">
        <v>28</v>
      </c>
      <c r="AY643" s="48" t="s">
        <v>8728</v>
      </c>
      <c r="AZ643" s="48" t="s">
        <v>1563</v>
      </c>
      <c r="BA643" s="48">
        <v>32</v>
      </c>
      <c r="BB643" s="47" t="s">
        <v>2485</v>
      </c>
      <c r="BC643" s="47" t="s">
        <v>8726</v>
      </c>
      <c r="BD643" s="47" t="s">
        <v>8374</v>
      </c>
      <c r="BE643" s="48" t="s">
        <v>2449</v>
      </c>
      <c r="BF643" s="48" t="s">
        <v>272</v>
      </c>
      <c r="BG643" s="48" t="s">
        <v>272</v>
      </c>
      <c r="BH643" s="48" t="s">
        <v>2486</v>
      </c>
      <c r="BI643" s="98">
        <v>8.2604799999999991E-4</v>
      </c>
      <c r="BJ643" s="98">
        <v>8.2604799999999994</v>
      </c>
      <c r="BK643" s="48"/>
      <c r="BL643" s="487">
        <v>117.57914831613991</v>
      </c>
      <c r="BM643" s="47" t="s">
        <v>2487</v>
      </c>
      <c r="BN643" s="48"/>
      <c r="BO643" s="48"/>
      <c r="BP643" s="48"/>
      <c r="BQ643" s="48"/>
      <c r="BR643" s="47" t="e">
        <v>#VALUE!</v>
      </c>
      <c r="BS643" s="48"/>
      <c r="BT643" s="48"/>
      <c r="BU643" s="228">
        <v>8.2217590000000004E-3</v>
      </c>
      <c r="BV643" s="48"/>
      <c r="BW643" s="48"/>
      <c r="BX643" s="48"/>
      <c r="BY643" s="48"/>
      <c r="BZ643" s="48"/>
      <c r="CA643" s="48"/>
      <c r="CB643" s="48"/>
      <c r="CC643" s="48"/>
      <c r="CD643" s="48"/>
      <c r="CE643" s="48"/>
      <c r="CF643" s="48"/>
      <c r="CG643" s="48"/>
      <c r="CH643" s="48"/>
      <c r="CI643" s="98"/>
      <c r="CJ643" s="98"/>
      <c r="CK643" s="49">
        <f t="shared" si="142"/>
        <v>14.233936564962317</v>
      </c>
      <c r="CL643" s="229"/>
      <c r="CM643" s="229"/>
      <c r="CN643" s="229"/>
      <c r="CO643" s="47" t="s">
        <v>2488</v>
      </c>
      <c r="CP643" s="500" t="s">
        <v>2489</v>
      </c>
      <c r="CQ643" s="224">
        <v>-0.20760831050174613</v>
      </c>
      <c r="CR643" s="224">
        <f t="shared" ref="CR643:CR648" si="148">10^(CJ643-CQ643)</f>
        <v>1.6129032258064517</v>
      </c>
      <c r="CS643" s="230" t="s">
        <v>539</v>
      </c>
      <c r="CT643" s="230"/>
      <c r="CU643" s="230"/>
      <c r="CV643" s="335">
        <f t="shared" si="143"/>
        <v>242.1166808708453</v>
      </c>
      <c r="CW643" s="230">
        <f t="shared" si="141"/>
        <v>1</v>
      </c>
      <c r="CX643" s="336"/>
      <c r="CY643" s="230" t="s">
        <v>6351</v>
      </c>
    </row>
    <row r="644" spans="1:103" ht="11.25" customHeight="1" x14ac:dyDescent="0.2">
      <c r="A644" s="72">
        <v>963</v>
      </c>
      <c r="B644" s="224">
        <v>1570</v>
      </c>
      <c r="C644" s="46" t="s">
        <v>7152</v>
      </c>
      <c r="D644" s="46" t="s">
        <v>8690</v>
      </c>
      <c r="E644" s="114"/>
      <c r="F644" s="114" t="s">
        <v>793</v>
      </c>
      <c r="G644" s="225">
        <v>108918</v>
      </c>
      <c r="H644" s="47" t="s">
        <v>794</v>
      </c>
      <c r="I644" s="47" t="s">
        <v>794</v>
      </c>
      <c r="J644" s="47" t="s">
        <v>795</v>
      </c>
      <c r="K644" s="47" t="s">
        <v>300</v>
      </c>
      <c r="L644" s="47" t="s">
        <v>5527</v>
      </c>
      <c r="M644" s="47" t="s">
        <v>2342</v>
      </c>
      <c r="N644" s="47" t="s">
        <v>2342</v>
      </c>
      <c r="O644" s="47" t="s">
        <v>498</v>
      </c>
      <c r="P644" s="53" t="s">
        <v>6184</v>
      </c>
      <c r="Q644" s="53" t="s">
        <v>6173</v>
      </c>
      <c r="R644" s="53" t="s">
        <v>6183</v>
      </c>
      <c r="S644" s="53" t="s">
        <v>6173</v>
      </c>
      <c r="T644" s="48">
        <v>99.17</v>
      </c>
      <c r="U644" s="98">
        <v>38334.800816063573</v>
      </c>
      <c r="V644" s="98">
        <v>22170.29313862343</v>
      </c>
      <c r="W644" s="98">
        <v>19787.016377546381</v>
      </c>
      <c r="X644" s="98">
        <v>38334.800816063573</v>
      </c>
      <c r="Y644" s="233">
        <v>11.93</v>
      </c>
      <c r="Z644" s="48">
        <v>1.08</v>
      </c>
      <c r="AA644" s="48">
        <v>0.9</v>
      </c>
      <c r="AB644" s="48">
        <v>1.25</v>
      </c>
      <c r="AC644" s="48">
        <v>0.78800000000000003</v>
      </c>
      <c r="AD644" s="48">
        <v>1.3</v>
      </c>
      <c r="AE644" s="48">
        <v>1.4</v>
      </c>
      <c r="AF644" s="48">
        <f t="shared" si="144"/>
        <v>0.9</v>
      </c>
      <c r="AG644" s="49">
        <v>0.9</v>
      </c>
      <c r="AH644" s="98">
        <v>1.38E-5</v>
      </c>
      <c r="AI644" s="98">
        <v>4.16E-6</v>
      </c>
      <c r="AJ644" s="483">
        <f t="shared" si="146"/>
        <v>-3.2486872399114155</v>
      </c>
      <c r="AK644" s="483">
        <f t="shared" ref="AK644:AK649" si="149">LOG10(AI644*1000/(0.08206*298.15))</f>
        <v>-3.7694729956859092</v>
      </c>
      <c r="AL644" s="483">
        <f t="shared" si="145"/>
        <v>-3.7694729956859092</v>
      </c>
      <c r="AM644" s="483">
        <v>-5.1368099999999997</v>
      </c>
      <c r="AN644" s="226">
        <v>-3.79</v>
      </c>
      <c r="AO644" s="484"/>
      <c r="AP644" s="484">
        <v>10.57</v>
      </c>
      <c r="AQ644" s="48" t="s">
        <v>6311</v>
      </c>
      <c r="AR644" s="48" t="s">
        <v>6311</v>
      </c>
      <c r="AS644" s="227"/>
      <c r="AT644" s="50" t="s">
        <v>266</v>
      </c>
      <c r="AU644" s="48">
        <v>6</v>
      </c>
      <c r="AV644" s="48">
        <v>120</v>
      </c>
      <c r="AW644" s="48">
        <v>114</v>
      </c>
      <c r="AX644" s="48">
        <v>28</v>
      </c>
      <c r="AY644" s="48" t="s">
        <v>8728</v>
      </c>
      <c r="AZ644" s="48" t="s">
        <v>1563</v>
      </c>
      <c r="BA644" s="48">
        <v>32</v>
      </c>
      <c r="BB644" s="47" t="s">
        <v>2485</v>
      </c>
      <c r="BC644" s="47" t="s">
        <v>8726</v>
      </c>
      <c r="BD644" s="47" t="s">
        <v>8374</v>
      </c>
      <c r="BE644" s="48" t="s">
        <v>2449</v>
      </c>
      <c r="BF644" s="48" t="s">
        <v>272</v>
      </c>
      <c r="BG644" s="48" t="s">
        <v>272</v>
      </c>
      <c r="BH644" s="48" t="s">
        <v>2486</v>
      </c>
      <c r="BI644" s="98">
        <v>6.3468800000000001E-4</v>
      </c>
      <c r="BJ644" s="98">
        <v>6.3468800000000005</v>
      </c>
      <c r="BK644" s="48"/>
      <c r="BL644" s="487">
        <v>546.04987652124771</v>
      </c>
      <c r="BM644" s="47" t="s">
        <v>2487</v>
      </c>
      <c r="BN644" s="48"/>
      <c r="BO644" s="48"/>
      <c r="BP644" s="48"/>
      <c r="BQ644" s="48"/>
      <c r="BR644" s="47" t="e">
        <v>#VALUE!</v>
      </c>
      <c r="BS644" s="48"/>
      <c r="BT644" s="48"/>
      <c r="BU644" s="228"/>
      <c r="BV644" s="48"/>
      <c r="BW644" s="48"/>
      <c r="BX644" s="48"/>
      <c r="BY644" s="48"/>
      <c r="BZ644" s="48"/>
      <c r="CA644" s="48"/>
      <c r="CB644" s="48"/>
      <c r="CC644" s="48"/>
      <c r="CD644" s="48"/>
      <c r="CE644" s="48"/>
      <c r="CF644" s="48"/>
      <c r="CG644" s="48"/>
      <c r="CH644" s="48"/>
      <c r="CI644" s="98"/>
      <c r="CJ644" s="98"/>
      <c r="CK644" s="49">
        <f t="shared" si="142"/>
        <v>86.034378548396646</v>
      </c>
      <c r="CL644" s="229"/>
      <c r="CM644" s="229"/>
      <c r="CN644" s="229"/>
      <c r="CO644" s="47" t="s">
        <v>2488</v>
      </c>
      <c r="CP644" s="500" t="s">
        <v>2489</v>
      </c>
      <c r="CQ644" s="224">
        <v>2.0899310146204098</v>
      </c>
      <c r="CR644" s="224">
        <f t="shared" si="148"/>
        <v>8.1295964024408526E-3</v>
      </c>
      <c r="CS644" s="230" t="s">
        <v>539</v>
      </c>
      <c r="CT644" s="230"/>
      <c r="CU644" s="230"/>
      <c r="CV644" s="335">
        <f t="shared" si="143"/>
        <v>6039.9441640717278</v>
      </c>
      <c r="CW644" s="230">
        <f t="shared" si="141"/>
        <v>1</v>
      </c>
      <c r="CX644" s="336"/>
      <c r="CY644" s="230" t="s">
        <v>6351</v>
      </c>
    </row>
    <row r="645" spans="1:103" ht="11.25" customHeight="1" x14ac:dyDescent="0.2">
      <c r="A645" s="72">
        <v>964</v>
      </c>
      <c r="B645" s="224">
        <v>1568</v>
      </c>
      <c r="C645" s="46" t="s">
        <v>1651</v>
      </c>
      <c r="D645" s="46"/>
      <c r="E645" s="114"/>
      <c r="F645" s="114" t="s">
        <v>1652</v>
      </c>
      <c r="G645" s="225">
        <v>108930</v>
      </c>
      <c r="H645" s="47" t="s">
        <v>1653</v>
      </c>
      <c r="I645" s="47" t="s">
        <v>1653</v>
      </c>
      <c r="J645" s="47" t="s">
        <v>1654</v>
      </c>
      <c r="K645" s="47" t="s">
        <v>426</v>
      </c>
      <c r="L645" s="47" t="s">
        <v>5492</v>
      </c>
      <c r="M645" s="47" t="s">
        <v>6082</v>
      </c>
      <c r="N645" s="47" t="s">
        <v>6082</v>
      </c>
      <c r="O645" s="47"/>
      <c r="P645" s="53"/>
      <c r="Q645" s="53" t="s">
        <v>6173</v>
      </c>
      <c r="R645" s="53" t="s">
        <v>6185</v>
      </c>
      <c r="S645" s="53" t="s">
        <v>6176</v>
      </c>
      <c r="T645" s="48">
        <v>100.16</v>
      </c>
      <c r="U645" s="98">
        <v>42000</v>
      </c>
      <c r="V645" s="98">
        <v>33660</v>
      </c>
      <c r="W645" s="98">
        <v>41753.637448388792</v>
      </c>
      <c r="X645" s="98">
        <v>42000</v>
      </c>
      <c r="Y645" s="233">
        <v>7</v>
      </c>
      <c r="Z645" s="48">
        <v>1.64</v>
      </c>
      <c r="AA645" s="48">
        <v>1.23</v>
      </c>
      <c r="AB645" s="48">
        <v>1.32</v>
      </c>
      <c r="AC645" s="48">
        <v>0.84599999999999997</v>
      </c>
      <c r="AD645" s="48">
        <v>1.33</v>
      </c>
      <c r="AE645" s="48">
        <v>1.34</v>
      </c>
      <c r="AF645" s="48">
        <f t="shared" si="144"/>
        <v>1.23</v>
      </c>
      <c r="AG645" s="49">
        <v>1.1000000000000001</v>
      </c>
      <c r="AH645" s="98">
        <v>4.8999999999999997E-6</v>
      </c>
      <c r="AI645" s="98">
        <v>4.4000000000000002E-6</v>
      </c>
      <c r="AJ645" s="483">
        <f t="shared" si="146"/>
        <v>-3.6983702462841381</v>
      </c>
      <c r="AK645" s="483">
        <f t="shared" si="149"/>
        <v>-3.7451136498264646</v>
      </c>
      <c r="AL645" s="483">
        <f t="shared" si="145"/>
        <v>-3.7451136498264646</v>
      </c>
      <c r="AM645" s="483">
        <v>-4.0753700000000004</v>
      </c>
      <c r="AN645" s="226">
        <v>-3.91</v>
      </c>
      <c r="AO645" s="484">
        <v>15.31</v>
      </c>
      <c r="AP645" s="484"/>
      <c r="AQ645" s="48" t="s">
        <v>6311</v>
      </c>
      <c r="AR645" s="48" t="s">
        <v>6311</v>
      </c>
      <c r="AS645" s="227"/>
      <c r="AT645" s="50" t="s">
        <v>266</v>
      </c>
      <c r="AU645" s="48">
        <v>6</v>
      </c>
      <c r="AV645" s="48">
        <v>120</v>
      </c>
      <c r="AW645" s="48">
        <v>114</v>
      </c>
      <c r="AX645" s="48">
        <v>28</v>
      </c>
      <c r="AY645" s="48" t="s">
        <v>8728</v>
      </c>
      <c r="AZ645" s="48" t="s">
        <v>1563</v>
      </c>
      <c r="BA645" s="48">
        <v>32</v>
      </c>
      <c r="BB645" s="47" t="s">
        <v>2485</v>
      </c>
      <c r="BC645" s="47" t="s">
        <v>8726</v>
      </c>
      <c r="BD645" s="47" t="s">
        <v>8374</v>
      </c>
      <c r="BE645" s="48" t="s">
        <v>2449</v>
      </c>
      <c r="BF645" s="48" t="s">
        <v>272</v>
      </c>
      <c r="BG645" s="48" t="s">
        <v>272</v>
      </c>
      <c r="BH645" s="48" t="s">
        <v>2486</v>
      </c>
      <c r="BI645" s="98">
        <v>6.4102399999999991E-4</v>
      </c>
      <c r="BJ645" s="98">
        <v>6.4102399999999999</v>
      </c>
      <c r="BK645" s="48"/>
      <c r="BL645" s="487">
        <v>173.2248986327638</v>
      </c>
      <c r="BM645" s="47" t="s">
        <v>2487</v>
      </c>
      <c r="BN645" s="48"/>
      <c r="BO645" s="48"/>
      <c r="BP645" s="48"/>
      <c r="BQ645" s="48"/>
      <c r="BR645" s="47" t="e">
        <v>#VALUE!</v>
      </c>
      <c r="BS645" s="48"/>
      <c r="BT645" s="48"/>
      <c r="BU645" s="228"/>
      <c r="BV645" s="48"/>
      <c r="BW645" s="48"/>
      <c r="BX645" s="48"/>
      <c r="BY645" s="48"/>
      <c r="BZ645" s="48"/>
      <c r="CA645" s="48"/>
      <c r="CB645" s="48"/>
      <c r="CC645" s="48"/>
      <c r="CD645" s="48"/>
      <c r="CE645" s="48"/>
      <c r="CF645" s="48"/>
      <c r="CG645" s="48"/>
      <c r="CH645" s="48"/>
      <c r="CI645" s="98"/>
      <c r="CJ645" s="98"/>
      <c r="CK645" s="49">
        <f t="shared" si="142"/>
        <v>27.02315336598377</v>
      </c>
      <c r="CL645" s="229"/>
      <c r="CM645" s="229">
        <v>2.8491094471625895</v>
      </c>
      <c r="CN645" s="229">
        <f>BJ645/(10^CM645)</f>
        <v>9.0732910590584446E-3</v>
      </c>
      <c r="CO645" s="47" t="s">
        <v>2488</v>
      </c>
      <c r="CP645" s="500" t="s">
        <v>2489</v>
      </c>
      <c r="CQ645" s="224">
        <v>2.9700462454377488</v>
      </c>
      <c r="CR645" s="224">
        <f t="shared" si="148"/>
        <v>1.0714052115910371E-3</v>
      </c>
      <c r="CS645" s="230" t="s">
        <v>539</v>
      </c>
      <c r="CT645" s="230"/>
      <c r="CU645" s="230"/>
      <c r="CV645" s="335">
        <f t="shared" si="143"/>
        <v>6552.016773162939</v>
      </c>
      <c r="CW645" s="230">
        <f t="shared" si="141"/>
        <v>1</v>
      </c>
      <c r="CX645" s="336"/>
      <c r="CY645" s="230" t="s">
        <v>6351</v>
      </c>
    </row>
    <row r="646" spans="1:103" ht="11.25" customHeight="1" x14ac:dyDescent="0.2">
      <c r="A646" s="72">
        <v>965</v>
      </c>
      <c r="B646" s="224">
        <v>1569</v>
      </c>
      <c r="C646" s="46" t="s">
        <v>7153</v>
      </c>
      <c r="D646" s="46"/>
      <c r="E646" s="114"/>
      <c r="F646" s="114" t="s">
        <v>4709</v>
      </c>
      <c r="G646" s="225">
        <v>108941</v>
      </c>
      <c r="H646" s="47" t="s">
        <v>4710</v>
      </c>
      <c r="I646" s="47" t="s">
        <v>4710</v>
      </c>
      <c r="J646" s="47" t="s">
        <v>4711</v>
      </c>
      <c r="K646" s="47" t="s">
        <v>426</v>
      </c>
      <c r="L646" s="47"/>
      <c r="M646" s="47"/>
      <c r="N646" s="47"/>
      <c r="O646" s="47"/>
      <c r="P646" s="53" t="s">
        <v>6183</v>
      </c>
      <c r="Q646" s="53" t="s">
        <v>6173</v>
      </c>
      <c r="R646" s="53" t="s">
        <v>6185</v>
      </c>
      <c r="S646" s="53" t="s">
        <v>6176</v>
      </c>
      <c r="T646" s="48">
        <v>98.14</v>
      </c>
      <c r="U646" s="98">
        <v>25000</v>
      </c>
      <c r="V646" s="98">
        <v>24080</v>
      </c>
      <c r="W646" s="98">
        <v>12642.881100316414</v>
      </c>
      <c r="X646" s="98">
        <v>25000</v>
      </c>
      <c r="Y646" s="233">
        <v>7</v>
      </c>
      <c r="Z646" s="48">
        <v>1.1299999999999999</v>
      </c>
      <c r="AA646" s="48">
        <v>0.81</v>
      </c>
      <c r="AB646" s="48">
        <v>0.95</v>
      </c>
      <c r="AC646" s="48">
        <v>0.86750000000000005</v>
      </c>
      <c r="AD646" s="48">
        <v>0.9</v>
      </c>
      <c r="AE646" s="48">
        <v>0.76</v>
      </c>
      <c r="AF646" s="48">
        <f t="shared" si="144"/>
        <v>0.81</v>
      </c>
      <c r="AG646" s="49">
        <v>1.04</v>
      </c>
      <c r="AH646" s="98">
        <v>5.1100000000000002E-5</v>
      </c>
      <c r="AI646" s="98">
        <v>9.0000000000000002E-6</v>
      </c>
      <c r="AJ646" s="483">
        <f t="shared" si="146"/>
        <v>-2.6801454261779392</v>
      </c>
      <c r="AK646" s="483">
        <f t="shared" si="149"/>
        <v>-3.4343238168733268</v>
      </c>
      <c r="AL646" s="483">
        <f t="shared" si="145"/>
        <v>-3.4343238168733268</v>
      </c>
      <c r="AM646" s="483">
        <v>-3.51919</v>
      </c>
      <c r="AN646" s="226">
        <v>-3.21</v>
      </c>
      <c r="AO646" s="484"/>
      <c r="AP646" s="484"/>
      <c r="AQ646" s="48" t="s">
        <v>6311</v>
      </c>
      <c r="AR646" s="48" t="s">
        <v>6311</v>
      </c>
      <c r="AS646" s="227"/>
      <c r="AT646" s="50" t="s">
        <v>266</v>
      </c>
      <c r="AU646" s="48">
        <v>6</v>
      </c>
      <c r="AV646" s="48">
        <v>120</v>
      </c>
      <c r="AW646" s="48">
        <v>114</v>
      </c>
      <c r="AX646" s="48">
        <v>28</v>
      </c>
      <c r="AY646" s="48" t="s">
        <v>8728</v>
      </c>
      <c r="AZ646" s="48" t="s">
        <v>1563</v>
      </c>
      <c r="BA646" s="48">
        <v>32</v>
      </c>
      <c r="BB646" s="47" t="s">
        <v>2485</v>
      </c>
      <c r="BC646" s="47" t="s">
        <v>8726</v>
      </c>
      <c r="BD646" s="47" t="s">
        <v>8374</v>
      </c>
      <c r="BE646" s="48" t="s">
        <v>2449</v>
      </c>
      <c r="BF646" s="48" t="s">
        <v>272</v>
      </c>
      <c r="BG646" s="48" t="s">
        <v>272</v>
      </c>
      <c r="BH646" s="48" t="s">
        <v>2486</v>
      </c>
      <c r="BI646" s="98">
        <v>6.2809599999999997E-4</v>
      </c>
      <c r="BJ646" s="98">
        <v>6.2809600000000003</v>
      </c>
      <c r="BK646" s="48"/>
      <c r="BL646" s="487">
        <v>487.29623246739345</v>
      </c>
      <c r="BM646" s="47" t="s">
        <v>2487</v>
      </c>
      <c r="BN646" s="48"/>
      <c r="BO646" s="48"/>
      <c r="BP646" s="48"/>
      <c r="BQ646" s="48"/>
      <c r="BR646" s="47" t="e">
        <v>#VALUE!</v>
      </c>
      <c r="BS646" s="48"/>
      <c r="BT646" s="48"/>
      <c r="BU646" s="228"/>
      <c r="BV646" s="48"/>
      <c r="BW646" s="48"/>
      <c r="BX646" s="48"/>
      <c r="BY646" s="48"/>
      <c r="BZ646" s="48"/>
      <c r="CA646" s="48"/>
      <c r="CB646" s="48"/>
      <c r="CC646" s="48"/>
      <c r="CD646" s="48"/>
      <c r="CE646" s="48"/>
      <c r="CF646" s="48"/>
      <c r="CG646" s="48"/>
      <c r="CH646" s="48"/>
      <c r="CI646" s="98"/>
      <c r="CJ646" s="98"/>
      <c r="CK646" s="49">
        <f t="shared" si="142"/>
        <v>77.583081641563297</v>
      </c>
      <c r="CL646" s="229"/>
      <c r="CM646" s="229"/>
      <c r="CN646" s="229"/>
      <c r="CO646" s="47" t="s">
        <v>2488</v>
      </c>
      <c r="CP646" s="500" t="s">
        <v>2489</v>
      </c>
      <c r="CQ646" s="224">
        <v>2.8007149036676573</v>
      </c>
      <c r="CR646" s="224">
        <f t="shared" si="148"/>
        <v>1.5822864038734028E-3</v>
      </c>
      <c r="CS646" s="230" t="s">
        <v>539</v>
      </c>
      <c r="CT646" s="230"/>
      <c r="CU646" s="230"/>
      <c r="CV646" s="335">
        <f t="shared" si="143"/>
        <v>3980.2832687996738</v>
      </c>
      <c r="CW646" s="230">
        <f t="shared" si="141"/>
        <v>1</v>
      </c>
      <c r="CX646" s="336"/>
      <c r="CY646" s="230" t="s">
        <v>6351</v>
      </c>
    </row>
    <row r="647" spans="1:103" ht="11.25" customHeight="1" x14ac:dyDescent="0.2">
      <c r="A647" s="72">
        <v>966</v>
      </c>
      <c r="B647" s="224">
        <v>1237</v>
      </c>
      <c r="C647" s="46" t="s">
        <v>494</v>
      </c>
      <c r="D647" s="46"/>
      <c r="E647" s="114"/>
      <c r="F647" s="114" t="s">
        <v>1767</v>
      </c>
      <c r="G647" s="225">
        <v>108952</v>
      </c>
      <c r="H647" s="47" t="s">
        <v>495</v>
      </c>
      <c r="I647" s="47" t="s">
        <v>495</v>
      </c>
      <c r="J647" s="47" t="s">
        <v>496</v>
      </c>
      <c r="K647" s="47" t="s">
        <v>349</v>
      </c>
      <c r="L647" s="51" t="s">
        <v>5527</v>
      </c>
      <c r="M647" s="47" t="s">
        <v>497</v>
      </c>
      <c r="N647" s="47" t="s">
        <v>6381</v>
      </c>
      <c r="O647" s="47" t="s">
        <v>6086</v>
      </c>
      <c r="P647" s="53" t="s">
        <v>6184</v>
      </c>
      <c r="Q647" s="53" t="s">
        <v>6176</v>
      </c>
      <c r="R647" s="53" t="s">
        <v>6185</v>
      </c>
      <c r="S647" s="53" t="s">
        <v>6176</v>
      </c>
      <c r="T647" s="48">
        <v>94.11</v>
      </c>
      <c r="U647" s="98">
        <v>39463.059105431312</v>
      </c>
      <c r="V647" s="98">
        <v>31626.823083067095</v>
      </c>
      <c r="W647" s="98">
        <v>103189.56303903516</v>
      </c>
      <c r="X647" s="98">
        <v>39463.059105431312</v>
      </c>
      <c r="Y647" s="233">
        <v>4.91</v>
      </c>
      <c r="Z647" s="48">
        <v>1.64</v>
      </c>
      <c r="AA647" s="48">
        <v>1.23</v>
      </c>
      <c r="AB647" s="48">
        <v>1.67</v>
      </c>
      <c r="AC647" s="48">
        <v>0.93669999999999998</v>
      </c>
      <c r="AD647" s="48">
        <v>1.63</v>
      </c>
      <c r="AE647" s="48">
        <v>1.48</v>
      </c>
      <c r="AF647" s="48">
        <f t="shared" si="144"/>
        <v>1.23</v>
      </c>
      <c r="AG647" s="49">
        <v>1.46</v>
      </c>
      <c r="AH647" s="98">
        <v>5.6100000000000001E-7</v>
      </c>
      <c r="AI647" s="98">
        <v>3.3299999999999998E-7</v>
      </c>
      <c r="AJ647" s="483">
        <f t="shared" si="146"/>
        <v>-4.6396034650564904</v>
      </c>
      <c r="AK647" s="483">
        <f t="shared" si="149"/>
        <v>-4.8661220928063322</v>
      </c>
      <c r="AL647" s="483">
        <f t="shared" si="145"/>
        <v>-4.8661220928063322</v>
      </c>
      <c r="AM647" s="483">
        <v>-6.4734600000000002</v>
      </c>
      <c r="AN647" s="226">
        <v>-4.68</v>
      </c>
      <c r="AO647" s="484">
        <v>9.86</v>
      </c>
      <c r="AP647" s="484"/>
      <c r="AQ647" s="48" t="s">
        <v>6311</v>
      </c>
      <c r="AR647" s="48" t="s">
        <v>6311</v>
      </c>
      <c r="AS647" s="227"/>
      <c r="AT647" s="50" t="s">
        <v>266</v>
      </c>
      <c r="AU647" s="48">
        <v>6</v>
      </c>
      <c r="AV647" s="48">
        <v>120</v>
      </c>
      <c r="AW647" s="48">
        <v>114</v>
      </c>
      <c r="AX647" s="48">
        <v>28</v>
      </c>
      <c r="AY647" s="48" t="s">
        <v>8728</v>
      </c>
      <c r="AZ647" s="48" t="s">
        <v>1563</v>
      </c>
      <c r="BA647" s="48">
        <v>32</v>
      </c>
      <c r="BB647" s="47" t="s">
        <v>2485</v>
      </c>
      <c r="BC647" s="47" t="s">
        <v>8726</v>
      </c>
      <c r="BD647" s="47" t="s">
        <v>8374</v>
      </c>
      <c r="BE647" s="48" t="s">
        <v>2449</v>
      </c>
      <c r="BF647" s="48" t="s">
        <v>272</v>
      </c>
      <c r="BG647" s="48" t="s">
        <v>272</v>
      </c>
      <c r="BH647" s="48" t="s">
        <v>2486</v>
      </c>
      <c r="BI647" s="98">
        <v>6.0230400000000001E-4</v>
      </c>
      <c r="BJ647" s="98">
        <v>6.0230399999999999</v>
      </c>
      <c r="BK647" s="48"/>
      <c r="BL647" s="487">
        <v>162.76153364945489</v>
      </c>
      <c r="BM647" s="47" t="s">
        <v>2487</v>
      </c>
      <c r="BN647" s="48"/>
      <c r="BO647" s="48"/>
      <c r="BP647" s="48"/>
      <c r="BQ647" s="48"/>
      <c r="BR647" s="47" t="e">
        <v>#VALUE!</v>
      </c>
      <c r="BS647" s="48"/>
      <c r="BT647" s="48"/>
      <c r="BU647" s="228">
        <v>0.60230400000000006</v>
      </c>
      <c r="BV647" s="48"/>
      <c r="BW647" s="48"/>
      <c r="BX647" s="48"/>
      <c r="BY647" s="48"/>
      <c r="BZ647" s="48"/>
      <c r="CA647" s="48"/>
      <c r="CB647" s="48"/>
      <c r="CC647" s="48"/>
      <c r="CD647" s="48"/>
      <c r="CE647" s="48"/>
      <c r="CF647" s="48"/>
      <c r="CG647" s="48"/>
      <c r="CH647" s="48"/>
      <c r="CI647" s="98"/>
      <c r="CJ647" s="98"/>
      <c r="CK647" s="49">
        <f t="shared" si="142"/>
        <v>27.02315336598377</v>
      </c>
      <c r="CL647" s="229"/>
      <c r="CM647" s="229">
        <v>0.96044207232975776</v>
      </c>
      <c r="CN647" s="229">
        <f>BJ647/(10^CM647)</f>
        <v>0.65974130482683846</v>
      </c>
      <c r="CO647" s="47" t="s">
        <v>2488</v>
      </c>
      <c r="CP647" s="500" t="s">
        <v>2489</v>
      </c>
      <c r="CQ647" s="224">
        <v>1.2958965951606112</v>
      </c>
      <c r="CR647" s="224">
        <f t="shared" si="148"/>
        <v>5.0594511240587801E-2</v>
      </c>
      <c r="CS647" s="230" t="s">
        <v>539</v>
      </c>
      <c r="CT647" s="230"/>
      <c r="CU647" s="230"/>
      <c r="CV647" s="335">
        <f t="shared" si="143"/>
        <v>6552.0167731629399</v>
      </c>
      <c r="CW647" s="230">
        <f t="shared" si="141"/>
        <v>1</v>
      </c>
      <c r="CX647" s="336"/>
      <c r="CY647" s="230" t="s">
        <v>6351</v>
      </c>
    </row>
    <row r="648" spans="1:103" ht="11.25" customHeight="1" x14ac:dyDescent="0.2">
      <c r="A648" s="72">
        <v>968</v>
      </c>
      <c r="B648" s="224">
        <v>953</v>
      </c>
      <c r="C648" s="46" t="s">
        <v>747</v>
      </c>
      <c r="D648" s="46"/>
      <c r="E648" s="114"/>
      <c r="F648" s="114" t="s">
        <v>748</v>
      </c>
      <c r="G648" s="225">
        <v>109864</v>
      </c>
      <c r="H648" s="47" t="s">
        <v>749</v>
      </c>
      <c r="I648" s="47" t="s">
        <v>749</v>
      </c>
      <c r="J648" s="47" t="s">
        <v>750</v>
      </c>
      <c r="K648" s="47" t="s">
        <v>426</v>
      </c>
      <c r="L648" s="47" t="s">
        <v>5527</v>
      </c>
      <c r="M648" s="47" t="s">
        <v>6082</v>
      </c>
      <c r="N648" s="47" t="s">
        <v>6082</v>
      </c>
      <c r="O648" s="47"/>
      <c r="P648" s="53"/>
      <c r="Q648" s="53" t="s">
        <v>6176</v>
      </c>
      <c r="R648" s="53" t="s">
        <v>6185</v>
      </c>
      <c r="S648" s="53" t="s">
        <v>6179</v>
      </c>
      <c r="T648" s="48">
        <v>76.09</v>
      </c>
      <c r="U648" s="98">
        <v>1000000</v>
      </c>
      <c r="V648" s="98">
        <v>1000000</v>
      </c>
      <c r="W648" s="98">
        <v>853743.8418783641</v>
      </c>
      <c r="X648" s="98">
        <v>1000000</v>
      </c>
      <c r="Y648" s="233">
        <v>6.64</v>
      </c>
      <c r="Z648" s="48">
        <v>-0.91</v>
      </c>
      <c r="AA648" s="48">
        <v>-0.77</v>
      </c>
      <c r="AB648" s="48">
        <v>-0.59</v>
      </c>
      <c r="AC648" s="48">
        <v>0.89429999999999998</v>
      </c>
      <c r="AD648" s="48">
        <v>-0.64</v>
      </c>
      <c r="AE648" s="48">
        <v>-0.8</v>
      </c>
      <c r="AF648" s="48">
        <f t="shared" si="144"/>
        <v>-0.77</v>
      </c>
      <c r="AG648" s="49">
        <v>-0.34</v>
      </c>
      <c r="AH648" s="98">
        <v>4.1899999999999998E-8</v>
      </c>
      <c r="AI648" s="98">
        <v>3.3000000000000002E-7</v>
      </c>
      <c r="AJ648" s="483">
        <f t="shared" si="146"/>
        <v>-5.7663523033463564</v>
      </c>
      <c r="AK648" s="483">
        <f t="shared" si="149"/>
        <v>-4.8700523864347645</v>
      </c>
      <c r="AL648" s="483">
        <f t="shared" si="145"/>
        <v>-4.8700523864347645</v>
      </c>
      <c r="AM648" s="483">
        <v>-4.8682600000000003</v>
      </c>
      <c r="AN648" s="226">
        <v>-4.6500000000000004</v>
      </c>
      <c r="AO648" s="484">
        <v>14.43</v>
      </c>
      <c r="AP648" s="484"/>
      <c r="AQ648" s="48" t="s">
        <v>6311</v>
      </c>
      <c r="AR648" s="48" t="s">
        <v>6311</v>
      </c>
      <c r="AS648" s="227"/>
      <c r="AT648" s="50" t="s">
        <v>266</v>
      </c>
      <c r="AU648" s="48">
        <v>6</v>
      </c>
      <c r="AV648" s="48">
        <v>120</v>
      </c>
      <c r="AW648" s="48">
        <v>114</v>
      </c>
      <c r="AX648" s="48">
        <v>28</v>
      </c>
      <c r="AY648" s="48" t="s">
        <v>8728</v>
      </c>
      <c r="AZ648" s="48" t="s">
        <v>1563</v>
      </c>
      <c r="BA648" s="48">
        <v>32</v>
      </c>
      <c r="BB648" s="47" t="s">
        <v>2485</v>
      </c>
      <c r="BC648" s="47" t="s">
        <v>8726</v>
      </c>
      <c r="BD648" s="47" t="s">
        <v>8374</v>
      </c>
      <c r="BE648" s="48" t="s">
        <v>2449</v>
      </c>
      <c r="BF648" s="48" t="s">
        <v>272</v>
      </c>
      <c r="BG648" s="48" t="s">
        <v>272</v>
      </c>
      <c r="BH648" s="48" t="s">
        <v>2486</v>
      </c>
      <c r="BI648" s="98">
        <v>4.8697600000000002E-4</v>
      </c>
      <c r="BJ648" s="98">
        <v>4.8697600000000003</v>
      </c>
      <c r="BK648" s="48"/>
      <c r="BL648" s="487">
        <v>25668.387331722472</v>
      </c>
      <c r="BM648" s="47" t="s">
        <v>2487</v>
      </c>
      <c r="BN648" s="48"/>
      <c r="BO648" s="48"/>
      <c r="BP648" s="48"/>
      <c r="BQ648" s="48"/>
      <c r="BR648" s="47" t="e">
        <v>#VALUE!</v>
      </c>
      <c r="BS648" s="48"/>
      <c r="BT648" s="48"/>
      <c r="BU648" s="228">
        <v>4.8697599999999999E-3</v>
      </c>
      <c r="BV648" s="48"/>
      <c r="BW648" s="48"/>
      <c r="BX648" s="48"/>
      <c r="BY648" s="48"/>
      <c r="BZ648" s="48"/>
      <c r="CA648" s="48"/>
      <c r="CB648" s="48"/>
      <c r="CC648" s="48"/>
      <c r="CD648" s="48"/>
      <c r="CE648" s="48"/>
      <c r="CF648" s="48"/>
      <c r="CG648" s="48"/>
      <c r="CH648" s="48"/>
      <c r="CI648" s="98"/>
      <c r="CJ648" s="98"/>
      <c r="CK648" s="49">
        <f t="shared" si="142"/>
        <v>5270.9758451592006</v>
      </c>
      <c r="CL648" s="229"/>
      <c r="CM648" s="229"/>
      <c r="CN648" s="229"/>
      <c r="CO648" s="47" t="s">
        <v>2488</v>
      </c>
      <c r="CP648" s="500" t="s">
        <v>2489</v>
      </c>
      <c r="CQ648" s="224">
        <v>2.5786392099680722</v>
      </c>
      <c r="CR648" s="224">
        <f t="shared" si="148"/>
        <v>2.6385224274406332E-3</v>
      </c>
      <c r="CS648" s="230" t="s">
        <v>539</v>
      </c>
      <c r="CT648" s="230"/>
      <c r="CU648" s="230"/>
      <c r="CV648" s="335">
        <f t="shared" si="143"/>
        <v>205348.92889998684</v>
      </c>
      <c r="CW648" s="230">
        <f t="shared" si="141"/>
        <v>1</v>
      </c>
      <c r="CX648" s="336"/>
      <c r="CY648" s="230" t="s">
        <v>6351</v>
      </c>
    </row>
    <row r="649" spans="1:103" ht="11.25" customHeight="1" x14ac:dyDescent="0.2">
      <c r="A649" s="72">
        <v>969</v>
      </c>
      <c r="B649" s="224">
        <v>1585</v>
      </c>
      <c r="C649" s="46" t="s">
        <v>7155</v>
      </c>
      <c r="D649" s="46"/>
      <c r="E649" s="114"/>
      <c r="F649" s="114" t="s">
        <v>4735</v>
      </c>
      <c r="G649" s="225">
        <v>110054</v>
      </c>
      <c r="H649" s="47" t="s">
        <v>4736</v>
      </c>
      <c r="I649" s="47" t="s">
        <v>4736</v>
      </c>
      <c r="J649" s="47" t="s">
        <v>4737</v>
      </c>
      <c r="K649" s="47" t="s">
        <v>3026</v>
      </c>
      <c r="L649" s="47"/>
      <c r="M649" s="47"/>
      <c r="N649" s="47"/>
      <c r="O649" s="47"/>
      <c r="P649" s="53"/>
      <c r="Q649" s="53"/>
      <c r="R649" s="53"/>
      <c r="S649" s="53"/>
      <c r="T649" s="48">
        <v>146.22999999999999</v>
      </c>
      <c r="U649" s="98">
        <v>100</v>
      </c>
      <c r="V649" s="98">
        <v>89.51</v>
      </c>
      <c r="W649" s="98">
        <v>96.61320290215069</v>
      </c>
      <c r="X649" s="98">
        <v>100</v>
      </c>
      <c r="Y649" s="233">
        <v>7</v>
      </c>
      <c r="Z649" s="48">
        <v>3.45</v>
      </c>
      <c r="AA649" s="48"/>
      <c r="AB649" s="48">
        <v>2.85</v>
      </c>
      <c r="AC649" s="48">
        <v>0.32740000000000002</v>
      </c>
      <c r="AD649" s="48">
        <v>3.08</v>
      </c>
      <c r="AE649" s="48">
        <v>3.19</v>
      </c>
      <c r="AF649" s="48">
        <f t="shared" si="144"/>
        <v>3.08</v>
      </c>
      <c r="AG649" s="49">
        <v>3.08</v>
      </c>
      <c r="AH649" s="98">
        <v>1.2E-2</v>
      </c>
      <c r="AI649" s="98">
        <v>4.8300000000000003E-2</v>
      </c>
      <c r="AJ649" s="483">
        <f t="shared" si="146"/>
        <v>-0.30938508026502698</v>
      </c>
      <c r="AK649" s="483">
        <f t="shared" si="149"/>
        <v>0.29538080443886039</v>
      </c>
      <c r="AL649" s="483">
        <f t="shared" si="145"/>
        <v>0.29538080443886039</v>
      </c>
      <c r="AM649" s="483">
        <v>-3.2131800000000004</v>
      </c>
      <c r="AN649" s="226">
        <v>-0.21</v>
      </c>
      <c r="AO649" s="484"/>
      <c r="AP649" s="484"/>
      <c r="AQ649" s="48" t="s">
        <v>6311</v>
      </c>
      <c r="AR649" s="48" t="s">
        <v>6311</v>
      </c>
      <c r="AS649" s="227"/>
      <c r="AT649" s="50" t="s">
        <v>266</v>
      </c>
      <c r="AU649" s="48">
        <v>6</v>
      </c>
      <c r="AV649" s="48">
        <v>120</v>
      </c>
      <c r="AW649" s="48">
        <v>114</v>
      </c>
      <c r="AX649" s="48">
        <v>28</v>
      </c>
      <c r="AY649" s="48" t="s">
        <v>8728</v>
      </c>
      <c r="AZ649" s="48" t="s">
        <v>1563</v>
      </c>
      <c r="BA649" s="48">
        <v>32</v>
      </c>
      <c r="BB649" s="47" t="s">
        <v>2485</v>
      </c>
      <c r="BC649" s="47" t="s">
        <v>8726</v>
      </c>
      <c r="BD649" s="47" t="s">
        <v>8374</v>
      </c>
      <c r="BE649" s="48" t="s">
        <v>2449</v>
      </c>
      <c r="BF649" s="48" t="s">
        <v>272</v>
      </c>
      <c r="BG649" s="48" t="s">
        <v>272</v>
      </c>
      <c r="BH649" s="48" t="s">
        <v>2486</v>
      </c>
      <c r="BI649" s="98">
        <v>9.3587199999999992E-4</v>
      </c>
      <c r="BJ649" s="98">
        <v>9.3587199999999999</v>
      </c>
      <c r="BK649" s="48"/>
      <c r="BL649" s="487">
        <v>5.9895125603948607</v>
      </c>
      <c r="BM649" s="47" t="s">
        <v>2487</v>
      </c>
      <c r="BN649" s="48"/>
      <c r="BO649" s="48"/>
      <c r="BP649" s="48"/>
      <c r="BQ649" s="48"/>
      <c r="BR649" s="47" t="e">
        <v>#VALUE!</v>
      </c>
      <c r="BS649" s="48"/>
      <c r="BT649" s="48"/>
      <c r="BU649" s="228"/>
      <c r="BV649" s="48"/>
      <c r="BW649" s="48"/>
      <c r="BX649" s="48"/>
      <c r="BY649" s="48"/>
      <c r="BZ649" s="48"/>
      <c r="CA649" s="48"/>
      <c r="CB649" s="48"/>
      <c r="CC649" s="48"/>
      <c r="CD649" s="48"/>
      <c r="CE649" s="48"/>
      <c r="CF649" s="48"/>
      <c r="CG649" s="48"/>
      <c r="CH649" s="48"/>
      <c r="CI649" s="98"/>
      <c r="CJ649" s="98"/>
      <c r="CK649" s="49">
        <f t="shared" si="142"/>
        <v>0.63999270844675993</v>
      </c>
      <c r="CL649" s="229"/>
      <c r="CM649" s="229"/>
      <c r="CN649" s="229"/>
      <c r="CO649" s="47" t="s">
        <v>2488</v>
      </c>
      <c r="CP649" s="500" t="s">
        <v>2489</v>
      </c>
      <c r="CQ649" s="224" t="s">
        <v>272</v>
      </c>
      <c r="CR649" s="224"/>
      <c r="CS649" s="230" t="s">
        <v>539</v>
      </c>
      <c r="CT649" s="230"/>
      <c r="CU649" s="230"/>
      <c r="CV649" s="335">
        <f t="shared" si="143"/>
        <v>10.685221910688641</v>
      </c>
      <c r="CW649" s="230">
        <f t="shared" si="141"/>
        <v>1</v>
      </c>
      <c r="CX649" s="336"/>
      <c r="CY649" s="230" t="s">
        <v>6351</v>
      </c>
    </row>
    <row r="650" spans="1:103" ht="11.25" customHeight="1" x14ac:dyDescent="0.2">
      <c r="A650" s="72">
        <v>970</v>
      </c>
      <c r="B650" s="224">
        <v>1787</v>
      </c>
      <c r="C650" s="46" t="s">
        <v>7156</v>
      </c>
      <c r="D650" s="46"/>
      <c r="E650" s="114"/>
      <c r="F650" s="114" t="s">
        <v>5138</v>
      </c>
      <c r="G650" s="225">
        <v>110269</v>
      </c>
      <c r="H650" s="47" t="s">
        <v>5139</v>
      </c>
      <c r="I650" s="47" t="s">
        <v>5139</v>
      </c>
      <c r="J650" s="47" t="s">
        <v>5140</v>
      </c>
      <c r="K650" s="47" t="s">
        <v>3832</v>
      </c>
      <c r="L650" s="47"/>
      <c r="M650" s="47"/>
      <c r="N650" s="47"/>
      <c r="O650" s="47"/>
      <c r="P650" s="53"/>
      <c r="Q650" s="53"/>
      <c r="R650" s="53"/>
      <c r="S650" s="53"/>
      <c r="T650" s="48">
        <v>154.16999999999999</v>
      </c>
      <c r="U650" s="98"/>
      <c r="V650" s="98">
        <v>70130</v>
      </c>
      <c r="W650" s="98">
        <v>18535.310788496652</v>
      </c>
      <c r="X650" s="98">
        <v>18535.310788496652</v>
      </c>
      <c r="Y650" s="233">
        <v>6.69</v>
      </c>
      <c r="Z650" s="48">
        <v>-1.52</v>
      </c>
      <c r="AA650" s="48"/>
      <c r="AB650" s="48">
        <v>-1.03</v>
      </c>
      <c r="AC650" s="48">
        <v>0.69450000000000001</v>
      </c>
      <c r="AD650" s="48">
        <v>-1.19</v>
      </c>
      <c r="AE650" s="48">
        <v>-1.44</v>
      </c>
      <c r="AF650" s="48">
        <f t="shared" si="144"/>
        <v>-1.19</v>
      </c>
      <c r="AG650" s="49">
        <v>0.11</v>
      </c>
      <c r="AH650" s="98">
        <v>1.14E-9</v>
      </c>
      <c r="AI650" s="98"/>
      <c r="AJ650" s="483">
        <f t="shared" si="146"/>
        <v>-7.3316614749761788</v>
      </c>
      <c r="AK650" s="483"/>
      <c r="AL650" s="483">
        <f t="shared" si="145"/>
        <v>-7.3316614749761788</v>
      </c>
      <c r="AM650" s="483">
        <v>-14.56385</v>
      </c>
      <c r="AN650" s="226">
        <v>-15.8</v>
      </c>
      <c r="AO650" s="484">
        <v>13.07</v>
      </c>
      <c r="AP650" s="484">
        <v>-0.86</v>
      </c>
      <c r="AQ650" s="226" t="s">
        <v>6311</v>
      </c>
      <c r="AR650" s="226" t="s">
        <v>6311</v>
      </c>
      <c r="AS650" s="224"/>
      <c r="AT650" s="50" t="s">
        <v>266</v>
      </c>
      <c r="AU650" s="48">
        <v>6</v>
      </c>
      <c r="AV650" s="48">
        <v>120</v>
      </c>
      <c r="AW650" s="48">
        <v>114</v>
      </c>
      <c r="AX650" s="48">
        <v>28</v>
      </c>
      <c r="AY650" s="48" t="s">
        <v>8728</v>
      </c>
      <c r="AZ650" s="48" t="s">
        <v>1563</v>
      </c>
      <c r="BA650" s="48">
        <v>32</v>
      </c>
      <c r="BB650" s="47" t="s">
        <v>2485</v>
      </c>
      <c r="BC650" s="47" t="s">
        <v>8726</v>
      </c>
      <c r="BD650" s="47" t="s">
        <v>8374</v>
      </c>
      <c r="BE650" s="48" t="s">
        <v>2449</v>
      </c>
      <c r="BF650" s="48" t="s">
        <v>272</v>
      </c>
      <c r="BG650" s="48" t="s">
        <v>272</v>
      </c>
      <c r="BH650" s="48" t="s">
        <v>2486</v>
      </c>
      <c r="BI650" s="98">
        <v>9.8668799999999989E-4</v>
      </c>
      <c r="BJ650" s="98">
        <v>9.8668800000000001</v>
      </c>
      <c r="BK650" s="48"/>
      <c r="BL650" s="487">
        <v>183616.57084333181</v>
      </c>
      <c r="BM650" s="47" t="s">
        <v>2487</v>
      </c>
      <c r="BN650" s="48"/>
      <c r="BO650" s="48"/>
      <c r="BP650" s="48"/>
      <c r="BQ650" s="48"/>
      <c r="BR650" s="47" t="e">
        <v>#VALUE!</v>
      </c>
      <c r="BS650" s="48"/>
      <c r="BT650" s="48"/>
      <c r="BU650" s="228"/>
      <c r="BV650" s="48"/>
      <c r="BW650" s="48"/>
      <c r="BX650" s="48"/>
      <c r="BY650" s="48"/>
      <c r="BZ650" s="48"/>
      <c r="CA650" s="48"/>
      <c r="CB650" s="48"/>
      <c r="CC650" s="48"/>
      <c r="CD650" s="48"/>
      <c r="CE650" s="48"/>
      <c r="CF650" s="48"/>
      <c r="CG650" s="48"/>
      <c r="CH650" s="48"/>
      <c r="CI650" s="98"/>
      <c r="CJ650" s="98"/>
      <c r="CK650" s="49">
        <f t="shared" si="142"/>
        <v>18609.385220386972</v>
      </c>
      <c r="CL650" s="229"/>
      <c r="CM650" s="229"/>
      <c r="CN650" s="229"/>
      <c r="CO650" s="47" t="s">
        <v>2488</v>
      </c>
      <c r="CP650" s="500" t="s">
        <v>2489</v>
      </c>
      <c r="CQ650" s="224" t="s">
        <v>272</v>
      </c>
      <c r="CR650" s="224"/>
      <c r="CS650" s="230" t="s">
        <v>539</v>
      </c>
      <c r="CT650" s="230"/>
      <c r="CU650" s="230"/>
      <c r="CV650" s="335">
        <f t="shared" si="143"/>
        <v>1878.5381790897075</v>
      </c>
      <c r="CW650" s="230">
        <f t="shared" si="141"/>
        <v>1</v>
      </c>
      <c r="CX650" s="336"/>
      <c r="CY650" s="230" t="s">
        <v>5921</v>
      </c>
    </row>
    <row r="651" spans="1:103" ht="11.25" customHeight="1" x14ac:dyDescent="0.2">
      <c r="A651" s="72">
        <v>971</v>
      </c>
      <c r="B651" s="224">
        <v>1873</v>
      </c>
      <c r="C651" s="46" t="s">
        <v>7157</v>
      </c>
      <c r="D651" s="46"/>
      <c r="E651" s="114"/>
      <c r="F651" s="114" t="s">
        <v>5319</v>
      </c>
      <c r="G651" s="225">
        <v>110441</v>
      </c>
      <c r="H651" s="47" t="s">
        <v>5320</v>
      </c>
      <c r="I651" s="47" t="s">
        <v>5320</v>
      </c>
      <c r="J651" s="47" t="s">
        <v>5321</v>
      </c>
      <c r="K651" s="47" t="s">
        <v>426</v>
      </c>
      <c r="L651" s="47"/>
      <c r="M651" s="47"/>
      <c r="N651" s="47"/>
      <c r="O651" s="47"/>
      <c r="P651" s="53"/>
      <c r="Q651" s="53"/>
      <c r="R651" s="53"/>
      <c r="S651" s="53"/>
      <c r="T651" s="48">
        <v>112.13</v>
      </c>
      <c r="U651" s="98">
        <v>1910</v>
      </c>
      <c r="V651" s="98">
        <v>19440</v>
      </c>
      <c r="W651" s="98">
        <v>8906.8024959633622</v>
      </c>
      <c r="X651" s="98">
        <v>1910</v>
      </c>
      <c r="Y651" s="233">
        <v>2.85</v>
      </c>
      <c r="Z651" s="48">
        <v>1.62</v>
      </c>
      <c r="AA651" s="48">
        <v>1.33</v>
      </c>
      <c r="AB651" s="48">
        <v>1.39</v>
      </c>
      <c r="AC651" s="48">
        <v>0.85960000000000003</v>
      </c>
      <c r="AD651" s="48">
        <v>1.38</v>
      </c>
      <c r="AE651" s="48">
        <v>1.35</v>
      </c>
      <c r="AF651" s="48">
        <f t="shared" si="144"/>
        <v>1.33</v>
      </c>
      <c r="AG651" s="49">
        <v>1.52</v>
      </c>
      <c r="AH651" s="98">
        <v>5.7199999999999999E-7</v>
      </c>
      <c r="AI651" s="98"/>
      <c r="AJ651" s="483">
        <f t="shared" si="146"/>
        <v>-4.6311702975196276</v>
      </c>
      <c r="AK651" s="483"/>
      <c r="AL651" s="483">
        <f t="shared" si="145"/>
        <v>-4.6311702975196276</v>
      </c>
      <c r="AM651" s="483">
        <v>-6.8461899999999991</v>
      </c>
      <c r="AN651" s="226">
        <v>-5.41</v>
      </c>
      <c r="AO651" s="484">
        <v>4.5999999999999996</v>
      </c>
      <c r="AP651" s="484"/>
      <c r="AQ651" s="226" t="s">
        <v>6311</v>
      </c>
      <c r="AR651" s="226" t="s">
        <v>6311</v>
      </c>
      <c r="AS651" s="224"/>
      <c r="AT651" s="50" t="s">
        <v>266</v>
      </c>
      <c r="AU651" s="48">
        <v>6</v>
      </c>
      <c r="AV651" s="48">
        <v>120</v>
      </c>
      <c r="AW651" s="48">
        <v>114</v>
      </c>
      <c r="AX651" s="48">
        <v>28</v>
      </c>
      <c r="AY651" s="48" t="s">
        <v>8728</v>
      </c>
      <c r="AZ651" s="48" t="s">
        <v>1563</v>
      </c>
      <c r="BA651" s="48">
        <v>32</v>
      </c>
      <c r="BB651" s="47" t="s">
        <v>2485</v>
      </c>
      <c r="BC651" s="47" t="s">
        <v>8726</v>
      </c>
      <c r="BD651" s="47" t="s">
        <v>8374</v>
      </c>
      <c r="BE651" s="48" t="s">
        <v>2449</v>
      </c>
      <c r="BF651" s="48" t="s">
        <v>272</v>
      </c>
      <c r="BG651" s="48" t="s">
        <v>272</v>
      </c>
      <c r="BH651" s="48" t="s">
        <v>2486</v>
      </c>
      <c r="BI651" s="98">
        <v>7.1763199999999995E-4</v>
      </c>
      <c r="BJ651" s="98">
        <v>7.1763199999999996</v>
      </c>
      <c r="BK651" s="48"/>
      <c r="BL651" s="487">
        <v>202.11559392787305</v>
      </c>
      <c r="BM651" s="47" t="s">
        <v>2487</v>
      </c>
      <c r="BN651" s="48"/>
      <c r="BO651" s="48"/>
      <c r="BP651" s="48"/>
      <c r="BQ651" s="48"/>
      <c r="BR651" s="47" t="e">
        <v>#VALUE!</v>
      </c>
      <c r="BS651" s="48"/>
      <c r="BT651" s="48"/>
      <c r="BU651" s="228"/>
      <c r="BV651" s="48"/>
      <c r="BW651" s="48"/>
      <c r="BX651" s="48"/>
      <c r="BY651" s="48"/>
      <c r="BZ651" s="48"/>
      <c r="CA651" s="48"/>
      <c r="CB651" s="48"/>
      <c r="CC651" s="48"/>
      <c r="CD651" s="48"/>
      <c r="CE651" s="48"/>
      <c r="CF651" s="48"/>
      <c r="CG651" s="48"/>
      <c r="CH651" s="48"/>
      <c r="CI651" s="98"/>
      <c r="CJ651" s="98"/>
      <c r="CK651" s="49">
        <f t="shared" si="142"/>
        <v>28.164239321528729</v>
      </c>
      <c r="CL651" s="229"/>
      <c r="CM651" s="229"/>
      <c r="CN651" s="229"/>
      <c r="CO651" s="47" t="s">
        <v>2488</v>
      </c>
      <c r="CP651" s="500" t="s">
        <v>2489</v>
      </c>
      <c r="CQ651" s="224" t="s">
        <v>272</v>
      </c>
      <c r="CR651" s="224"/>
      <c r="CS651" s="230" t="s">
        <v>539</v>
      </c>
      <c r="CT651" s="230"/>
      <c r="CU651" s="230"/>
      <c r="CV651" s="335">
        <f t="shared" si="143"/>
        <v>266.15312583608312</v>
      </c>
      <c r="CW651" s="230">
        <f t="shared" si="141"/>
        <v>1</v>
      </c>
      <c r="CX651" s="336"/>
      <c r="CY651" s="230" t="s">
        <v>6351</v>
      </c>
    </row>
    <row r="652" spans="1:103" ht="11.25" customHeight="1" x14ac:dyDescent="0.2">
      <c r="A652" s="72">
        <v>972</v>
      </c>
      <c r="B652" s="224">
        <v>1231</v>
      </c>
      <c r="C652" s="46" t="s">
        <v>7158</v>
      </c>
      <c r="D652" s="46"/>
      <c r="E652" s="114"/>
      <c r="F652" s="114" t="s">
        <v>3391</v>
      </c>
      <c r="G652" s="225">
        <v>110623</v>
      </c>
      <c r="H652" s="47" t="s">
        <v>3392</v>
      </c>
      <c r="I652" s="47" t="s">
        <v>3392</v>
      </c>
      <c r="J652" s="47" t="s">
        <v>3393</v>
      </c>
      <c r="K652" s="47" t="s">
        <v>511</v>
      </c>
      <c r="L652" s="47" t="s">
        <v>6135</v>
      </c>
      <c r="M652" s="47" t="s">
        <v>6088</v>
      </c>
      <c r="N652" s="47"/>
      <c r="O652" s="47" t="s">
        <v>6083</v>
      </c>
      <c r="P652" s="53" t="s">
        <v>6172</v>
      </c>
      <c r="Q652" s="53" t="s">
        <v>6176</v>
      </c>
      <c r="R652" s="53" t="s">
        <v>6175</v>
      </c>
      <c r="S652" s="53" t="s">
        <v>6176</v>
      </c>
      <c r="T652" s="48">
        <v>86.13</v>
      </c>
      <c r="U652" s="98">
        <v>11700.000000000002</v>
      </c>
      <c r="V652" s="98">
        <v>9718</v>
      </c>
      <c r="W652" s="98">
        <v>8225.3511434026241</v>
      </c>
      <c r="X652" s="98">
        <v>11700.000000000002</v>
      </c>
      <c r="Y652" s="233">
        <v>7</v>
      </c>
      <c r="Z652" s="48">
        <v>1.31</v>
      </c>
      <c r="AA652" s="48"/>
      <c r="AB652" s="48">
        <v>1.27</v>
      </c>
      <c r="AC652" s="48">
        <v>0.79630000000000001</v>
      </c>
      <c r="AD652" s="48">
        <v>1.32</v>
      </c>
      <c r="AE652" s="48">
        <v>1.44</v>
      </c>
      <c r="AF652" s="48">
        <f t="shared" si="144"/>
        <v>1.32</v>
      </c>
      <c r="AG652" s="49">
        <v>1.33</v>
      </c>
      <c r="AH652" s="98">
        <v>1.5899999999999999E-4</v>
      </c>
      <c r="AI652" s="98">
        <v>1.47E-4</v>
      </c>
      <c r="AJ652" s="483">
        <f t="shared" si="146"/>
        <v>-2.1871692019922002</v>
      </c>
      <c r="AK652" s="483">
        <f>LOG10(AI652*1000/(0.08206*298.15))</f>
        <v>-2.2212489915644755</v>
      </c>
      <c r="AL652" s="483">
        <f t="shared" si="145"/>
        <v>-2.2212489915644755</v>
      </c>
      <c r="AM652" s="483">
        <v>-3.1925400000000002</v>
      </c>
      <c r="AN652" s="226">
        <v>-2.0299999999999998</v>
      </c>
      <c r="AO652" s="484"/>
      <c r="AP652" s="484"/>
      <c r="AQ652" s="48" t="s">
        <v>6311</v>
      </c>
      <c r="AR652" s="48" t="s">
        <v>6311</v>
      </c>
      <c r="AS652" s="227"/>
      <c r="AT652" s="50" t="s">
        <v>266</v>
      </c>
      <c r="AU652" s="48">
        <v>6</v>
      </c>
      <c r="AV652" s="48">
        <v>120</v>
      </c>
      <c r="AW652" s="48">
        <v>114</v>
      </c>
      <c r="AX652" s="48">
        <v>28</v>
      </c>
      <c r="AY652" s="48" t="s">
        <v>8728</v>
      </c>
      <c r="AZ652" s="48" t="s">
        <v>1563</v>
      </c>
      <c r="BA652" s="48">
        <v>32</v>
      </c>
      <c r="BB652" s="47" t="s">
        <v>2485</v>
      </c>
      <c r="BC652" s="47" t="s">
        <v>8726</v>
      </c>
      <c r="BD652" s="47" t="s">
        <v>8374</v>
      </c>
      <c r="BE652" s="48" t="s">
        <v>2449</v>
      </c>
      <c r="BF652" s="48" t="s">
        <v>272</v>
      </c>
      <c r="BG652" s="48" t="s">
        <v>272</v>
      </c>
      <c r="BH652" s="48" t="s">
        <v>2486</v>
      </c>
      <c r="BI652" s="98">
        <v>5.5123199999999992E-4</v>
      </c>
      <c r="BJ652" s="98">
        <v>5.5123199999999999</v>
      </c>
      <c r="BK652" s="48"/>
      <c r="BL652" s="487">
        <v>294.74296444105352</v>
      </c>
      <c r="BM652" s="47" t="s">
        <v>2487</v>
      </c>
      <c r="BN652" s="48"/>
      <c r="BO652" s="48"/>
      <c r="BP652" s="48"/>
      <c r="BQ652" s="48"/>
      <c r="BR652" s="47" t="e">
        <v>#VALUE!</v>
      </c>
      <c r="BS652" s="48"/>
      <c r="BT652" s="48"/>
      <c r="BU652" s="228">
        <v>5.5123199999999999</v>
      </c>
      <c r="BV652" s="48"/>
      <c r="BW652" s="48"/>
      <c r="BX652" s="48"/>
      <c r="BY652" s="48"/>
      <c r="BZ652" s="48"/>
      <c r="CA652" s="48"/>
      <c r="CB652" s="48"/>
      <c r="CC652" s="48"/>
      <c r="CD652" s="48"/>
      <c r="CE652" s="48"/>
      <c r="CF652" s="48"/>
      <c r="CG652" s="48"/>
      <c r="CH652" s="48"/>
      <c r="CI652" s="98"/>
      <c r="CJ652" s="98"/>
      <c r="CK652" s="49">
        <f t="shared" si="142"/>
        <v>53.469857417757588</v>
      </c>
      <c r="CL652" s="229"/>
      <c r="CM652" s="229"/>
      <c r="CN652" s="229"/>
      <c r="CO652" s="47" t="s">
        <v>2488</v>
      </c>
      <c r="CP652" s="500" t="s">
        <v>2489</v>
      </c>
      <c r="CQ652" s="224">
        <v>1.1114899452779599</v>
      </c>
      <c r="CR652" s="224">
        <f>10^(CJ652-CQ652)</f>
        <v>7.7358858857696555E-2</v>
      </c>
      <c r="CS652" s="230" t="s">
        <v>539</v>
      </c>
      <c r="CT652" s="230"/>
      <c r="CU652" s="230"/>
      <c r="CV652" s="335">
        <f t="shared" si="143"/>
        <v>2122.5182863113901</v>
      </c>
      <c r="CW652" s="230">
        <f t="shared" si="141"/>
        <v>1</v>
      </c>
      <c r="CX652" s="336"/>
      <c r="CY652" s="230" t="s">
        <v>6351</v>
      </c>
    </row>
    <row r="653" spans="1:103" ht="11.25" customHeight="1" x14ac:dyDescent="0.2">
      <c r="A653" s="72">
        <v>973</v>
      </c>
      <c r="B653" s="224">
        <v>1395</v>
      </c>
      <c r="C653" s="46" t="s">
        <v>7159</v>
      </c>
      <c r="D653" s="46"/>
      <c r="E653" s="114"/>
      <c r="F653" s="114" t="s">
        <v>4301</v>
      </c>
      <c r="G653" s="225">
        <v>110805</v>
      </c>
      <c r="H653" s="47" t="s">
        <v>4302</v>
      </c>
      <c r="I653" s="47" t="s">
        <v>4302</v>
      </c>
      <c r="J653" s="47" t="s">
        <v>4303</v>
      </c>
      <c r="K653" s="47" t="s">
        <v>426</v>
      </c>
      <c r="L653" s="47"/>
      <c r="M653" s="47"/>
      <c r="N653" s="47"/>
      <c r="O653" s="47"/>
      <c r="P653" s="53" t="s">
        <v>6183</v>
      </c>
      <c r="Q653" s="53" t="s">
        <v>6176</v>
      </c>
      <c r="R653" s="53" t="s">
        <v>6185</v>
      </c>
      <c r="S653" s="53" t="s">
        <v>6176</v>
      </c>
      <c r="T653" s="48">
        <v>90.12</v>
      </c>
      <c r="U653" s="98">
        <v>1000000</v>
      </c>
      <c r="V653" s="98">
        <v>755100</v>
      </c>
      <c r="W653" s="98">
        <v>393388.06801483763</v>
      </c>
      <c r="X653" s="98">
        <v>1000000</v>
      </c>
      <c r="Y653" s="233">
        <v>6.79</v>
      </c>
      <c r="Z653" s="48">
        <v>-0.42</v>
      </c>
      <c r="AA653" s="48">
        <v>-0.32</v>
      </c>
      <c r="AB653" s="48">
        <v>-0.24</v>
      </c>
      <c r="AC653" s="48">
        <v>0.87719999999999998</v>
      </c>
      <c r="AD653" s="48">
        <v>-0.25</v>
      </c>
      <c r="AE653" s="48">
        <v>-0.27</v>
      </c>
      <c r="AF653" s="48">
        <f t="shared" si="144"/>
        <v>-0.32</v>
      </c>
      <c r="AG653" s="49">
        <v>0.05</v>
      </c>
      <c r="AH653" s="98">
        <v>5.5600000000000002E-8</v>
      </c>
      <c r="AI653" s="98">
        <v>4.7E-7</v>
      </c>
      <c r="AJ653" s="483">
        <f t="shared" si="146"/>
        <v>-5.6434915347305941</v>
      </c>
      <c r="AK653" s="483">
        <f>LOG10(AI653*1000/(0.08206*298.15))</f>
        <v>-4.7164684683769345</v>
      </c>
      <c r="AL653" s="483">
        <f t="shared" si="145"/>
        <v>-4.7164684683769345</v>
      </c>
      <c r="AM653" s="483">
        <v>-5.0000600000000004</v>
      </c>
      <c r="AN653" s="226">
        <v>-4.5199999999999996</v>
      </c>
      <c r="AO653" s="484">
        <v>14.44</v>
      </c>
      <c r="AP653" s="484"/>
      <c r="AQ653" s="48" t="s">
        <v>6311</v>
      </c>
      <c r="AR653" s="48" t="s">
        <v>6311</v>
      </c>
      <c r="AS653" s="227"/>
      <c r="AT653" s="50" t="s">
        <v>266</v>
      </c>
      <c r="AU653" s="48">
        <v>6</v>
      </c>
      <c r="AV653" s="48">
        <v>120</v>
      </c>
      <c r="AW653" s="48">
        <v>114</v>
      </c>
      <c r="AX653" s="48">
        <v>28</v>
      </c>
      <c r="AY653" s="48" t="s">
        <v>8728</v>
      </c>
      <c r="AZ653" s="48" t="s">
        <v>1563</v>
      </c>
      <c r="BA653" s="48">
        <v>32</v>
      </c>
      <c r="BB653" s="47" t="s">
        <v>2485</v>
      </c>
      <c r="BC653" s="47" t="s">
        <v>8726</v>
      </c>
      <c r="BD653" s="47" t="s">
        <v>8374</v>
      </c>
      <c r="BE653" s="48" t="s">
        <v>2449</v>
      </c>
      <c r="BF653" s="48" t="s">
        <v>272</v>
      </c>
      <c r="BG653" s="48" t="s">
        <v>272</v>
      </c>
      <c r="BH653" s="48" t="s">
        <v>2486</v>
      </c>
      <c r="BI653" s="98">
        <v>5.7676799999999996E-4</v>
      </c>
      <c r="BJ653" s="98">
        <v>5.7676800000000004</v>
      </c>
      <c r="BK653" s="48"/>
      <c r="BL653" s="487">
        <v>11036.292011662536</v>
      </c>
      <c r="BM653" s="47" t="s">
        <v>2487</v>
      </c>
      <c r="BN653" s="48"/>
      <c r="BO653" s="48"/>
      <c r="BP653" s="48"/>
      <c r="BQ653" s="48"/>
      <c r="BR653" s="47" t="e">
        <v>#VALUE!</v>
      </c>
      <c r="BS653" s="48"/>
      <c r="BT653" s="48"/>
      <c r="BU653" s="228"/>
      <c r="BV653" s="48"/>
      <c r="BW653" s="48"/>
      <c r="BX653" s="48"/>
      <c r="BY653" s="48"/>
      <c r="BZ653" s="48"/>
      <c r="CA653" s="48"/>
      <c r="CB653" s="48"/>
      <c r="CC653" s="48"/>
      <c r="CD653" s="48"/>
      <c r="CE653" s="48"/>
      <c r="CF653" s="48"/>
      <c r="CG653" s="48"/>
      <c r="CH653" s="48"/>
      <c r="CI653" s="98"/>
      <c r="CJ653" s="98"/>
      <c r="CK653" s="49">
        <f t="shared" si="142"/>
        <v>1913.4716231938205</v>
      </c>
      <c r="CL653" s="229"/>
      <c r="CM653" s="229"/>
      <c r="CN653" s="229"/>
      <c r="CO653" s="47" t="s">
        <v>2488</v>
      </c>
      <c r="CP653" s="500" t="s">
        <v>2489</v>
      </c>
      <c r="CQ653" s="224" t="s">
        <v>272</v>
      </c>
      <c r="CR653" s="224"/>
      <c r="CS653" s="230" t="s">
        <v>539</v>
      </c>
      <c r="CT653" s="230"/>
      <c r="CU653" s="230"/>
      <c r="CV653" s="335">
        <f t="shared" si="143"/>
        <v>173379.93786063025</v>
      </c>
      <c r="CW653" s="230">
        <f t="shared" si="141"/>
        <v>1</v>
      </c>
      <c r="CX653" s="336"/>
      <c r="CY653" s="230" t="s">
        <v>6351</v>
      </c>
    </row>
    <row r="654" spans="1:103" ht="11.25" customHeight="1" x14ac:dyDescent="0.2">
      <c r="A654" s="72">
        <v>974</v>
      </c>
      <c r="B654" s="224">
        <v>1822</v>
      </c>
      <c r="C654" s="46" t="s">
        <v>7160</v>
      </c>
      <c r="D654" s="46"/>
      <c r="E654" s="114"/>
      <c r="F654" s="114" t="s">
        <v>5228</v>
      </c>
      <c r="G654" s="225">
        <v>110850</v>
      </c>
      <c r="H654" s="47" t="s">
        <v>5229</v>
      </c>
      <c r="I654" s="47" t="s">
        <v>5229</v>
      </c>
      <c r="J654" s="47" t="s">
        <v>5230</v>
      </c>
      <c r="K654" s="47" t="s">
        <v>300</v>
      </c>
      <c r="L654" s="47"/>
      <c r="M654" s="47" t="s">
        <v>5231</v>
      </c>
      <c r="N654" s="47"/>
      <c r="O654" s="47"/>
      <c r="P654" s="53"/>
      <c r="Q654" s="53"/>
      <c r="R654" s="53"/>
      <c r="S654" s="53"/>
      <c r="T654" s="48">
        <v>86.14</v>
      </c>
      <c r="U654" s="98">
        <v>1000000</v>
      </c>
      <c r="V654" s="98">
        <v>1000000</v>
      </c>
      <c r="W654" s="98">
        <v>989019.52955741528</v>
      </c>
      <c r="X654" s="98">
        <v>1000000</v>
      </c>
      <c r="Y654" s="233">
        <v>12.31</v>
      </c>
      <c r="Z654" s="48">
        <v>-0.8</v>
      </c>
      <c r="AA654" s="48">
        <v>-1.5</v>
      </c>
      <c r="AB654" s="48">
        <v>-0.85</v>
      </c>
      <c r="AC654" s="48">
        <v>0.84970000000000001</v>
      </c>
      <c r="AD654" s="48">
        <v>-0.93</v>
      </c>
      <c r="AE654" s="48">
        <v>-1.17</v>
      </c>
      <c r="AF654" s="48">
        <f t="shared" si="144"/>
        <v>-1.5</v>
      </c>
      <c r="AG654" s="49">
        <v>-0.5</v>
      </c>
      <c r="AH654" s="98">
        <v>2.1999999999999998E-9</v>
      </c>
      <c r="AI654" s="98"/>
      <c r="AJ654" s="483">
        <f t="shared" si="146"/>
        <v>-7.0461436454904458</v>
      </c>
      <c r="AK654" s="483"/>
      <c r="AL654" s="483">
        <f t="shared" si="145"/>
        <v>-7.0461436454904458</v>
      </c>
      <c r="AM654" s="483">
        <v>-6.9946000000000002</v>
      </c>
      <c r="AN654" s="226">
        <v>-6.24</v>
      </c>
      <c r="AO654" s="484"/>
      <c r="AP654" s="484">
        <v>9.5500000000000007</v>
      </c>
      <c r="AQ654" s="226" t="s">
        <v>6311</v>
      </c>
      <c r="AR654" s="226" t="s">
        <v>6311</v>
      </c>
      <c r="AS654" s="224"/>
      <c r="AT654" s="50" t="s">
        <v>266</v>
      </c>
      <c r="AU654" s="48">
        <v>6</v>
      </c>
      <c r="AV654" s="48">
        <v>120</v>
      </c>
      <c r="AW654" s="48">
        <v>114</v>
      </c>
      <c r="AX654" s="48">
        <v>28</v>
      </c>
      <c r="AY654" s="48" t="s">
        <v>8728</v>
      </c>
      <c r="AZ654" s="48" t="s">
        <v>1563</v>
      </c>
      <c r="BA654" s="48">
        <v>32</v>
      </c>
      <c r="BB654" s="47" t="s">
        <v>2485</v>
      </c>
      <c r="BC654" s="47" t="s">
        <v>8726</v>
      </c>
      <c r="BD654" s="47" t="s">
        <v>8374</v>
      </c>
      <c r="BE654" s="48" t="s">
        <v>2449</v>
      </c>
      <c r="BF654" s="48" t="s">
        <v>272</v>
      </c>
      <c r="BG654" s="48" t="s">
        <v>272</v>
      </c>
      <c r="BH654" s="48" t="s">
        <v>2486</v>
      </c>
      <c r="BI654" s="98">
        <v>5.5129599999999995E-4</v>
      </c>
      <c r="BJ654" s="98">
        <v>5.5129600000000005</v>
      </c>
      <c r="BK654" s="48"/>
      <c r="BL654" s="487">
        <v>23146.475329435831</v>
      </c>
      <c r="BM654" s="47" t="s">
        <v>2487</v>
      </c>
      <c r="BN654" s="48"/>
      <c r="BO654" s="48"/>
      <c r="BP654" s="48"/>
      <c r="BQ654" s="48"/>
      <c r="BR654" s="47" t="e">
        <v>#VALUE!</v>
      </c>
      <c r="BS654" s="48"/>
      <c r="BT654" s="48"/>
      <c r="BU654" s="228"/>
      <c r="BV654" s="48"/>
      <c r="BW654" s="48"/>
      <c r="BX654" s="48"/>
      <c r="BY654" s="48"/>
      <c r="BZ654" s="48"/>
      <c r="CA654" s="48"/>
      <c r="CB654" s="48"/>
      <c r="CC654" s="48"/>
      <c r="CD654" s="48"/>
      <c r="CE654" s="48"/>
      <c r="CF654" s="48"/>
      <c r="CG654" s="48"/>
      <c r="CH654" s="48"/>
      <c r="CI654" s="98"/>
      <c r="CJ654" s="98"/>
      <c r="CK654" s="49">
        <f t="shared" si="142"/>
        <v>4198.5567334854286</v>
      </c>
      <c r="CL654" s="229"/>
      <c r="CM654" s="229"/>
      <c r="CN654" s="229"/>
      <c r="CO654" s="47" t="s">
        <v>2488</v>
      </c>
      <c r="CP654" s="500" t="s">
        <v>2489</v>
      </c>
      <c r="CQ654" s="224" t="s">
        <v>272</v>
      </c>
      <c r="CR654" s="224"/>
      <c r="CS654" s="230" t="s">
        <v>539</v>
      </c>
      <c r="CT654" s="230"/>
      <c r="CU654" s="230"/>
      <c r="CV654" s="335">
        <f t="shared" si="143"/>
        <v>181390.75922916181</v>
      </c>
      <c r="CW654" s="230">
        <f t="shared" si="141"/>
        <v>1</v>
      </c>
      <c r="CX654" s="336"/>
      <c r="CY654" s="230" t="s">
        <v>6351</v>
      </c>
    </row>
    <row r="655" spans="1:103" ht="11.25" customHeight="1" x14ac:dyDescent="0.2">
      <c r="A655" s="72">
        <v>975</v>
      </c>
      <c r="B655" s="224">
        <v>1737</v>
      </c>
      <c r="C655" s="46" t="s">
        <v>7161</v>
      </c>
      <c r="D655" s="46"/>
      <c r="E655" s="114"/>
      <c r="F655" s="114" t="s">
        <v>5020</v>
      </c>
      <c r="G655" s="225">
        <v>111115</v>
      </c>
      <c r="H655" s="47" t="s">
        <v>5021</v>
      </c>
      <c r="I655" s="47" t="s">
        <v>5021</v>
      </c>
      <c r="J655" s="47" t="s">
        <v>5022</v>
      </c>
      <c r="K655" s="47" t="s">
        <v>357</v>
      </c>
      <c r="L655" s="47"/>
      <c r="M655" s="47"/>
      <c r="N655" s="47"/>
      <c r="O655" s="47"/>
      <c r="P655" s="53"/>
      <c r="Q655" s="53"/>
      <c r="R655" s="53"/>
      <c r="S655" s="53"/>
      <c r="T655" s="48">
        <v>158.24</v>
      </c>
      <c r="U655" s="98">
        <v>64.400000000000006</v>
      </c>
      <c r="V655" s="98">
        <v>101.9</v>
      </c>
      <c r="W655" s="98">
        <v>811.55185402793552</v>
      </c>
      <c r="X655" s="98">
        <v>64.400000000000006</v>
      </c>
      <c r="Y655" s="233">
        <v>7</v>
      </c>
      <c r="Z655" s="48">
        <v>3.32</v>
      </c>
      <c r="AA655" s="48"/>
      <c r="AB655" s="48">
        <v>3.55</v>
      </c>
      <c r="AC655" s="48">
        <v>0.8982</v>
      </c>
      <c r="AD655" s="48">
        <v>3.51</v>
      </c>
      <c r="AE655" s="48">
        <v>3.37</v>
      </c>
      <c r="AF655" s="48">
        <f t="shared" si="144"/>
        <v>3.51</v>
      </c>
      <c r="AG655" s="49">
        <v>2.79</v>
      </c>
      <c r="AH655" s="98">
        <v>9.6000000000000002E-4</v>
      </c>
      <c r="AI655" s="98">
        <v>7.8299999999999995E-4</v>
      </c>
      <c r="AJ655" s="483">
        <f t="shared" si="146"/>
        <v>-1.4062950932730833</v>
      </c>
      <c r="AK655" s="483">
        <f>LOG10(AI655*1000/(0.08206*298.15))</f>
        <v>-1.4948045642547085</v>
      </c>
      <c r="AL655" s="483">
        <f t="shared" si="145"/>
        <v>-1.4948045642547085</v>
      </c>
      <c r="AM655" s="483">
        <v>-3.2822300000000002</v>
      </c>
      <c r="AN655" s="226">
        <v>-1.66</v>
      </c>
      <c r="AO655" s="484"/>
      <c r="AP655" s="484"/>
      <c r="AQ655" s="226" t="s">
        <v>6311</v>
      </c>
      <c r="AR655" s="226" t="s">
        <v>6312</v>
      </c>
      <c r="AS655" s="224"/>
      <c r="AT655" s="50" t="s">
        <v>266</v>
      </c>
      <c r="AU655" s="48">
        <v>6</v>
      </c>
      <c r="AV655" s="48">
        <v>120</v>
      </c>
      <c r="AW655" s="48">
        <v>114</v>
      </c>
      <c r="AX655" s="48">
        <v>28</v>
      </c>
      <c r="AY655" s="48" t="s">
        <v>8728</v>
      </c>
      <c r="AZ655" s="48" t="s">
        <v>1563</v>
      </c>
      <c r="BA655" s="48">
        <v>32</v>
      </c>
      <c r="BB655" s="47" t="s">
        <v>2485</v>
      </c>
      <c r="BC655" s="47" t="s">
        <v>8726</v>
      </c>
      <c r="BD655" s="47" t="s">
        <v>8374</v>
      </c>
      <c r="BE655" s="48" t="s">
        <v>2449</v>
      </c>
      <c r="BF655" s="48" t="s">
        <v>272</v>
      </c>
      <c r="BG655" s="48" t="s">
        <v>272</v>
      </c>
      <c r="BH655" s="48" t="s">
        <v>2486</v>
      </c>
      <c r="BI655" s="98">
        <v>1.012736E-3</v>
      </c>
      <c r="BJ655" s="98">
        <v>10.127360000000001</v>
      </c>
      <c r="BK655" s="48"/>
      <c r="BL655" s="487">
        <v>8.4805549838329135</v>
      </c>
      <c r="BM655" s="47" t="s">
        <v>2487</v>
      </c>
      <c r="BN655" s="48"/>
      <c r="BO655" s="48"/>
      <c r="BP655" s="48"/>
      <c r="BQ655" s="48"/>
      <c r="BR655" s="47" t="e">
        <v>#VALUE!</v>
      </c>
      <c r="BS655" s="48"/>
      <c r="BT655" s="48"/>
      <c r="BU655" s="228"/>
      <c r="BV655" s="48"/>
      <c r="BW655" s="48"/>
      <c r="BX655" s="48"/>
      <c r="BY655" s="48"/>
      <c r="BZ655" s="48"/>
      <c r="CA655" s="48"/>
      <c r="CB655" s="48"/>
      <c r="CC655" s="48"/>
      <c r="CD655" s="48"/>
      <c r="CE655" s="48"/>
      <c r="CF655" s="48"/>
      <c r="CG655" s="48"/>
      <c r="CH655" s="48"/>
      <c r="CI655" s="98"/>
      <c r="CJ655" s="98"/>
      <c r="CK655" s="49">
        <f t="shared" si="142"/>
        <v>0.83739049306363278</v>
      </c>
      <c r="CL655" s="229"/>
      <c r="CM655" s="229"/>
      <c r="CN655" s="229"/>
      <c r="CO655" s="47" t="s">
        <v>2488</v>
      </c>
      <c r="CP655" s="500" t="s">
        <v>2489</v>
      </c>
      <c r="CQ655" s="224" t="s">
        <v>272</v>
      </c>
      <c r="CR655" s="224"/>
      <c r="CS655" s="230" t="s">
        <v>539</v>
      </c>
      <c r="CT655" s="230"/>
      <c r="CU655" s="230"/>
      <c r="CV655" s="335">
        <f t="shared" si="143"/>
        <v>6.3590116279069768</v>
      </c>
      <c r="CW655" s="230">
        <f t="shared" si="141"/>
        <v>1</v>
      </c>
      <c r="CX655" s="336"/>
      <c r="CY655" s="230" t="s">
        <v>6351</v>
      </c>
    </row>
    <row r="656" spans="1:103" ht="11.25" customHeight="1" x14ac:dyDescent="0.2">
      <c r="A656" s="72">
        <v>976</v>
      </c>
      <c r="B656" s="224">
        <v>1689</v>
      </c>
      <c r="C656" s="46" t="s">
        <v>7162</v>
      </c>
      <c r="D656" s="46"/>
      <c r="E656" s="114"/>
      <c r="F656" s="114" t="s">
        <v>4927</v>
      </c>
      <c r="G656" s="225">
        <v>111148</v>
      </c>
      <c r="H656" s="47" t="s">
        <v>4928</v>
      </c>
      <c r="I656" s="47" t="s">
        <v>4928</v>
      </c>
      <c r="J656" s="47" t="s">
        <v>4929</v>
      </c>
      <c r="K656" s="47" t="s">
        <v>426</v>
      </c>
      <c r="L656" s="47"/>
      <c r="M656" s="47"/>
      <c r="N656" s="47"/>
      <c r="O656" s="47"/>
      <c r="P656" s="53"/>
      <c r="Q656" s="53"/>
      <c r="R656" s="53"/>
      <c r="S656" s="53"/>
      <c r="T656" s="48">
        <v>130.18</v>
      </c>
      <c r="U656" s="98">
        <v>2820</v>
      </c>
      <c r="V656" s="98">
        <v>1955</v>
      </c>
      <c r="W656" s="98">
        <v>4116.6530580071958</v>
      </c>
      <c r="X656" s="98">
        <v>2820</v>
      </c>
      <c r="Y656" s="233">
        <v>3.15</v>
      </c>
      <c r="Z656" s="48">
        <v>2.54</v>
      </c>
      <c r="AA656" s="48">
        <v>2.42</v>
      </c>
      <c r="AB656" s="48">
        <v>2.41</v>
      </c>
      <c r="AC656" s="48">
        <v>0.83589999999999998</v>
      </c>
      <c r="AD656" s="48">
        <v>2.4</v>
      </c>
      <c r="AE656" s="48">
        <v>2.37</v>
      </c>
      <c r="AF656" s="48">
        <f t="shared" si="144"/>
        <v>2.42</v>
      </c>
      <c r="AG656" s="49">
        <v>2.0099999999999998</v>
      </c>
      <c r="AH656" s="98">
        <v>2.26E-6</v>
      </c>
      <c r="AI656" s="98">
        <v>6.5000000000000002E-7</v>
      </c>
      <c r="AJ656" s="483">
        <f t="shared" si="146"/>
        <v>-4.0344578871652512</v>
      </c>
      <c r="AK656" s="483">
        <f>LOG10(AI656*1000/(0.08206*298.15))</f>
        <v>-4.5756529696697958</v>
      </c>
      <c r="AL656" s="483">
        <f t="shared" si="145"/>
        <v>-4.5756529696697958</v>
      </c>
      <c r="AM656" s="483">
        <v>-5.5530100000000004</v>
      </c>
      <c r="AN656" s="226">
        <v>-4.3600000000000003</v>
      </c>
      <c r="AO656" s="484">
        <v>4.78</v>
      </c>
      <c r="AP656" s="484"/>
      <c r="AQ656" s="226" t="s">
        <v>6311</v>
      </c>
      <c r="AR656" s="226" t="s">
        <v>6311</v>
      </c>
      <c r="AS656" s="224"/>
      <c r="AT656" s="50" t="s">
        <v>266</v>
      </c>
      <c r="AU656" s="48">
        <v>6</v>
      </c>
      <c r="AV656" s="48">
        <v>120</v>
      </c>
      <c r="AW656" s="48">
        <v>114</v>
      </c>
      <c r="AX656" s="48">
        <v>28</v>
      </c>
      <c r="AY656" s="48" t="s">
        <v>8728</v>
      </c>
      <c r="AZ656" s="48" t="s">
        <v>1563</v>
      </c>
      <c r="BA656" s="48">
        <v>32</v>
      </c>
      <c r="BB656" s="47" t="s">
        <v>2485</v>
      </c>
      <c r="BC656" s="47" t="s">
        <v>8726</v>
      </c>
      <c r="BD656" s="47" t="s">
        <v>8374</v>
      </c>
      <c r="BE656" s="48" t="s">
        <v>2449</v>
      </c>
      <c r="BF656" s="48" t="s">
        <v>272</v>
      </c>
      <c r="BG656" s="48" t="s">
        <v>272</v>
      </c>
      <c r="BH656" s="48" t="s">
        <v>2486</v>
      </c>
      <c r="BI656" s="98">
        <v>8.3315199999999998E-4</v>
      </c>
      <c r="BJ656" s="98">
        <v>8.3315200000000011</v>
      </c>
      <c r="BK656" s="48"/>
      <c r="BL656" s="487">
        <v>35.008239158435899</v>
      </c>
      <c r="BM656" s="47" t="s">
        <v>2487</v>
      </c>
      <c r="BN656" s="48"/>
      <c r="BO656" s="48"/>
      <c r="BP656" s="48"/>
      <c r="BQ656" s="48"/>
      <c r="BR656" s="47" t="e">
        <v>#VALUE!</v>
      </c>
      <c r="BS656" s="48"/>
      <c r="BT656" s="48"/>
      <c r="BU656" s="228"/>
      <c r="BV656" s="48"/>
      <c r="BW656" s="48"/>
      <c r="BX656" s="48"/>
      <c r="BY656" s="48"/>
      <c r="BZ656" s="48"/>
      <c r="CA656" s="48"/>
      <c r="CB656" s="48"/>
      <c r="CC656" s="48"/>
      <c r="CD656" s="48"/>
      <c r="CE656" s="48"/>
      <c r="CF656" s="48"/>
      <c r="CG656" s="48"/>
      <c r="CH656" s="48"/>
      <c r="CI656" s="98"/>
      <c r="CJ656" s="98"/>
      <c r="CK656" s="49">
        <f t="shared" si="142"/>
        <v>4.2019030331123126</v>
      </c>
      <c r="CL656" s="229"/>
      <c r="CM656" s="229"/>
      <c r="CN656" s="229"/>
      <c r="CO656" s="47" t="s">
        <v>2488</v>
      </c>
      <c r="CP656" s="500" t="s">
        <v>2489</v>
      </c>
      <c r="CQ656" s="224" t="s">
        <v>272</v>
      </c>
      <c r="CR656" s="224"/>
      <c r="CS656" s="230" t="s">
        <v>539</v>
      </c>
      <c r="CT656" s="230"/>
      <c r="CU656" s="230"/>
      <c r="CV656" s="335">
        <f t="shared" si="143"/>
        <v>338.47365186664615</v>
      </c>
      <c r="CW656" s="230">
        <f t="shared" si="141"/>
        <v>1</v>
      </c>
      <c r="CX656" s="336"/>
      <c r="CY656" s="230" t="s">
        <v>6351</v>
      </c>
    </row>
    <row r="657" spans="1:103" ht="11.25" customHeight="1" x14ac:dyDescent="0.2">
      <c r="A657" s="72">
        <v>977</v>
      </c>
      <c r="B657" s="224">
        <v>1396</v>
      </c>
      <c r="C657" s="46" t="s">
        <v>7163</v>
      </c>
      <c r="D657" s="46" t="s">
        <v>8707</v>
      </c>
      <c r="E657" s="114"/>
      <c r="F657" s="114" t="s">
        <v>4304</v>
      </c>
      <c r="G657" s="225">
        <v>111159</v>
      </c>
      <c r="H657" s="47" t="s">
        <v>4305</v>
      </c>
      <c r="I657" s="47" t="s">
        <v>4305</v>
      </c>
      <c r="J657" s="47" t="s">
        <v>4306</v>
      </c>
      <c r="K657" s="47" t="s">
        <v>357</v>
      </c>
      <c r="L657" s="47"/>
      <c r="M657" s="47" t="s">
        <v>6616</v>
      </c>
      <c r="N657" s="47" t="s">
        <v>6082</v>
      </c>
      <c r="O657" s="47" t="s">
        <v>498</v>
      </c>
      <c r="P657" s="53"/>
      <c r="Q657" s="53" t="s">
        <v>6173</v>
      </c>
      <c r="R657" s="53" t="s">
        <v>6183</v>
      </c>
      <c r="S657" s="53" t="s">
        <v>6176</v>
      </c>
      <c r="T657" s="48">
        <v>132.16</v>
      </c>
      <c r="U657" s="98">
        <v>247000</v>
      </c>
      <c r="V657" s="98">
        <v>28270</v>
      </c>
      <c r="W657" s="98">
        <v>60408.775139501886</v>
      </c>
      <c r="X657" s="98">
        <v>247000</v>
      </c>
      <c r="Y657" s="233">
        <v>7</v>
      </c>
      <c r="Z657" s="48">
        <v>0.59</v>
      </c>
      <c r="AA657" s="48"/>
      <c r="AB657" s="48">
        <v>1.04</v>
      </c>
      <c r="AC657" s="48">
        <v>0.83979999999999999</v>
      </c>
      <c r="AD657" s="48">
        <v>0.89</v>
      </c>
      <c r="AE657" s="48">
        <v>0.45</v>
      </c>
      <c r="AF657" s="48">
        <f t="shared" si="144"/>
        <v>0.89</v>
      </c>
      <c r="AG657" s="49">
        <v>0.63</v>
      </c>
      <c r="AH657" s="98">
        <v>3.6200000000000001E-6</v>
      </c>
      <c r="AI657" s="98">
        <v>3.1999999999999999E-6</v>
      </c>
      <c r="AJ657" s="483">
        <f t="shared" si="146"/>
        <v>-3.8298577557794862</v>
      </c>
      <c r="AK657" s="483">
        <f>LOG10(AI657*1000/(0.08206*298.15))</f>
        <v>-3.8834163479927457</v>
      </c>
      <c r="AL657" s="483">
        <f t="shared" si="145"/>
        <v>-3.8834163479927457</v>
      </c>
      <c r="AM657" s="483">
        <v>-4.4255000000000004</v>
      </c>
      <c r="AN657" s="226">
        <v>-3.86</v>
      </c>
      <c r="AO657" s="484"/>
      <c r="AP657" s="484"/>
      <c r="AQ657" s="48" t="s">
        <v>6311</v>
      </c>
      <c r="AR657" s="48" t="s">
        <v>6312</v>
      </c>
      <c r="AS657" s="227"/>
      <c r="AT657" s="50" t="s">
        <v>266</v>
      </c>
      <c r="AU657" s="48">
        <v>6</v>
      </c>
      <c r="AV657" s="48">
        <v>120</v>
      </c>
      <c r="AW657" s="48">
        <v>114</v>
      </c>
      <c r="AX657" s="48">
        <v>28</v>
      </c>
      <c r="AY657" s="48" t="s">
        <v>8728</v>
      </c>
      <c r="AZ657" s="48" t="s">
        <v>1563</v>
      </c>
      <c r="BA657" s="48">
        <v>32</v>
      </c>
      <c r="BB657" s="47" t="s">
        <v>2485</v>
      </c>
      <c r="BC657" s="47" t="s">
        <v>8726</v>
      </c>
      <c r="BD657" s="47" t="s">
        <v>8374</v>
      </c>
      <c r="BE657" s="48" t="s">
        <v>2449</v>
      </c>
      <c r="BF657" s="48" t="s">
        <v>272</v>
      </c>
      <c r="BG657" s="48" t="s">
        <v>272</v>
      </c>
      <c r="BH657" s="48" t="s">
        <v>2486</v>
      </c>
      <c r="BI657" s="98">
        <v>8.458239999999999E-4</v>
      </c>
      <c r="BJ657" s="98">
        <v>8.45824</v>
      </c>
      <c r="BK657" s="48"/>
      <c r="BL657" s="487">
        <v>2004.5690928855277</v>
      </c>
      <c r="BM657" s="47" t="s">
        <v>2487</v>
      </c>
      <c r="BN657" s="48"/>
      <c r="BO657" s="48"/>
      <c r="BP657" s="48"/>
      <c r="BQ657" s="48"/>
      <c r="BR657" s="47" t="e">
        <v>#VALUE!</v>
      </c>
      <c r="BS657" s="48"/>
      <c r="BT657" s="48"/>
      <c r="BU657" s="228"/>
      <c r="BV657" s="48"/>
      <c r="BW657" s="48"/>
      <c r="BX657" s="48"/>
      <c r="BY657" s="48"/>
      <c r="BZ657" s="48"/>
      <c r="CA657" s="48"/>
      <c r="CB657" s="48"/>
      <c r="CC657" s="48"/>
      <c r="CD657" s="48"/>
      <c r="CE657" s="48"/>
      <c r="CF657" s="48"/>
      <c r="CG657" s="48"/>
      <c r="CH657" s="48"/>
      <c r="CI657" s="98"/>
      <c r="CJ657" s="98"/>
      <c r="CK657" s="49">
        <f t="shared" si="142"/>
        <v>236.99600542022071</v>
      </c>
      <c r="CL657" s="229"/>
      <c r="CM657" s="229"/>
      <c r="CN657" s="229"/>
      <c r="CO657" s="47" t="s">
        <v>2488</v>
      </c>
      <c r="CP657" s="500" t="s">
        <v>2489</v>
      </c>
      <c r="CQ657" s="224">
        <v>1.6371943977751895</v>
      </c>
      <c r="CR657" s="224">
        <f>10^(CJ657-CQ657)</f>
        <v>2.3057148795535817E-2</v>
      </c>
      <c r="CS657" s="230" t="s">
        <v>539</v>
      </c>
      <c r="CT657" s="230"/>
      <c r="CU657" s="230"/>
      <c r="CV657" s="335">
        <f t="shared" si="143"/>
        <v>29202.292675544795</v>
      </c>
      <c r="CW657" s="230">
        <f t="shared" si="141"/>
        <v>1</v>
      </c>
      <c r="CX657" s="336"/>
      <c r="CY657" s="230" t="s">
        <v>5921</v>
      </c>
    </row>
    <row r="658" spans="1:103" ht="11.25" customHeight="1" x14ac:dyDescent="0.2">
      <c r="A658" s="72">
        <v>978</v>
      </c>
      <c r="B658" s="224">
        <v>1918</v>
      </c>
      <c r="C658" s="46" t="s">
        <v>7164</v>
      </c>
      <c r="D658" s="46"/>
      <c r="E658" s="114"/>
      <c r="F658" s="114" t="s">
        <v>5392</v>
      </c>
      <c r="G658" s="225">
        <v>111217</v>
      </c>
      <c r="H658" s="47" t="s">
        <v>5393</v>
      </c>
      <c r="I658" s="47" t="s">
        <v>5393</v>
      </c>
      <c r="J658" s="47" t="s">
        <v>5394</v>
      </c>
      <c r="K658" s="47" t="s">
        <v>357</v>
      </c>
      <c r="L658" s="47"/>
      <c r="M658" s="47"/>
      <c r="N658" s="47"/>
      <c r="O658" s="47"/>
      <c r="P658" s="53"/>
      <c r="Q658" s="53"/>
      <c r="R658" s="53"/>
      <c r="S658" s="53"/>
      <c r="T658" s="48">
        <v>234.25</v>
      </c>
      <c r="U658" s="98"/>
      <c r="V658" s="98">
        <v>38310</v>
      </c>
      <c r="W658" s="98">
        <v>117403.10947718853</v>
      </c>
      <c r="X658" s="98">
        <v>117403.10947718853</v>
      </c>
      <c r="Y658" s="233">
        <v>7</v>
      </c>
      <c r="Z658" s="48">
        <v>-0.14000000000000001</v>
      </c>
      <c r="AA658" s="48"/>
      <c r="AB658" s="48">
        <v>0.88</v>
      </c>
      <c r="AC658" s="48">
        <v>0.77880000000000005</v>
      </c>
      <c r="AD658" s="48">
        <v>0.51</v>
      </c>
      <c r="AE658" s="48">
        <v>-0.44</v>
      </c>
      <c r="AF658" s="48">
        <f t="shared" si="144"/>
        <v>0.51</v>
      </c>
      <c r="AG658" s="49">
        <v>3.94</v>
      </c>
      <c r="AH658" s="98">
        <v>1.34E-10</v>
      </c>
      <c r="AI658" s="98"/>
      <c r="AJ658" s="483">
        <f t="shared" si="146"/>
        <v>-8.2614615279478443</v>
      </c>
      <c r="AK658" s="483"/>
      <c r="AL658" s="483">
        <f t="shared" si="145"/>
        <v>-8.2614615279478443</v>
      </c>
      <c r="AM658" s="483">
        <v>-9.3493899999999996</v>
      </c>
      <c r="AN658" s="226">
        <v>-3.64</v>
      </c>
      <c r="AO658" s="484"/>
      <c r="AP658" s="484"/>
      <c r="AQ658" s="226" t="s">
        <v>6311</v>
      </c>
      <c r="AR658" s="226" t="s">
        <v>6312</v>
      </c>
      <c r="AS658" s="224"/>
      <c r="AT658" s="50" t="s">
        <v>266</v>
      </c>
      <c r="AU658" s="48">
        <v>6</v>
      </c>
      <c r="AV658" s="48">
        <v>120</v>
      </c>
      <c r="AW658" s="48">
        <v>114</v>
      </c>
      <c r="AX658" s="48">
        <v>28</v>
      </c>
      <c r="AY658" s="48" t="s">
        <v>8728</v>
      </c>
      <c r="AZ658" s="48" t="s">
        <v>1563</v>
      </c>
      <c r="BA658" s="48">
        <v>32</v>
      </c>
      <c r="BB658" s="47" t="s">
        <v>2485</v>
      </c>
      <c r="BC658" s="47" t="s">
        <v>8726</v>
      </c>
      <c r="BD658" s="47" t="s">
        <v>8374</v>
      </c>
      <c r="BE658" s="48" t="s">
        <v>2449</v>
      </c>
      <c r="BF658" s="48" t="s">
        <v>272</v>
      </c>
      <c r="BG658" s="48" t="s">
        <v>272</v>
      </c>
      <c r="BH658" s="48" t="s">
        <v>2486</v>
      </c>
      <c r="BI658" s="98">
        <v>1.4992E-3</v>
      </c>
      <c r="BJ658" s="98">
        <v>14.992000000000001</v>
      </c>
      <c r="BK658" s="48"/>
      <c r="BL658" s="487">
        <v>16077.317911868176</v>
      </c>
      <c r="BM658" s="47" t="s">
        <v>2487</v>
      </c>
      <c r="BN658" s="48"/>
      <c r="BO658" s="48"/>
      <c r="BP658" s="48"/>
      <c r="BQ658" s="48"/>
      <c r="BR658" s="47" t="e">
        <v>#VALUE!</v>
      </c>
      <c r="BS658" s="48"/>
      <c r="BT658" s="48"/>
      <c r="BU658" s="228"/>
      <c r="BV658" s="48"/>
      <c r="BW658" s="48"/>
      <c r="BX658" s="48"/>
      <c r="BY658" s="48"/>
      <c r="BZ658" s="48"/>
      <c r="CA658" s="48"/>
      <c r="CB658" s="48"/>
      <c r="CC658" s="48"/>
      <c r="CD658" s="48"/>
      <c r="CE658" s="48"/>
      <c r="CF658" s="48"/>
      <c r="CG658" s="48"/>
      <c r="CH658" s="48"/>
      <c r="CI658" s="98"/>
      <c r="CJ658" s="98"/>
      <c r="CK658" s="49">
        <f t="shared" si="142"/>
        <v>1072.393137131015</v>
      </c>
      <c r="CL658" s="229"/>
      <c r="CM658" s="229"/>
      <c r="CN658" s="229"/>
      <c r="CO658" s="47" t="s">
        <v>2488</v>
      </c>
      <c r="CP658" s="500" t="s">
        <v>2489</v>
      </c>
      <c r="CQ658" s="224" t="s">
        <v>272</v>
      </c>
      <c r="CR658" s="224"/>
      <c r="CS658" s="230" t="s">
        <v>539</v>
      </c>
      <c r="CT658" s="230"/>
      <c r="CU658" s="230"/>
      <c r="CV658" s="335">
        <f t="shared" si="143"/>
        <v>7831.0505254261288</v>
      </c>
      <c r="CW658" s="230">
        <f t="shared" si="141"/>
        <v>1</v>
      </c>
      <c r="CX658" s="336"/>
      <c r="CY658" s="230" t="s">
        <v>6351</v>
      </c>
    </row>
    <row r="659" spans="1:103" ht="11.25" customHeight="1" x14ac:dyDescent="0.2">
      <c r="A659" s="72">
        <v>979</v>
      </c>
      <c r="B659" s="224">
        <v>1155</v>
      </c>
      <c r="C659" s="46" t="s">
        <v>7165</v>
      </c>
      <c r="D659" s="46" t="s">
        <v>8588</v>
      </c>
      <c r="E659" s="114"/>
      <c r="F659" s="114" t="s">
        <v>3197</v>
      </c>
      <c r="G659" s="225">
        <v>111308</v>
      </c>
      <c r="H659" s="47" t="s">
        <v>3198</v>
      </c>
      <c r="I659" s="47" t="s">
        <v>3198</v>
      </c>
      <c r="J659" s="47" t="s">
        <v>3199</v>
      </c>
      <c r="K659" s="47" t="s">
        <v>2562</v>
      </c>
      <c r="L659" s="47" t="s">
        <v>6128</v>
      </c>
      <c r="M659" s="47" t="s">
        <v>6624</v>
      </c>
      <c r="N659" s="47" t="s">
        <v>6088</v>
      </c>
      <c r="O659" s="47"/>
      <c r="P659" s="53" t="s">
        <v>6172</v>
      </c>
      <c r="Q659" s="53" t="s">
        <v>6182</v>
      </c>
      <c r="R659" s="53" t="s">
        <v>6175</v>
      </c>
      <c r="S659" s="53" t="s">
        <v>6182</v>
      </c>
      <c r="T659" s="48">
        <v>100.12</v>
      </c>
      <c r="U659" s="98"/>
      <c r="V659" s="98">
        <v>167200</v>
      </c>
      <c r="W659" s="98">
        <v>35523.916530065573</v>
      </c>
      <c r="X659" s="98">
        <v>35523.916530065573</v>
      </c>
      <c r="Y659" s="233">
        <v>7</v>
      </c>
      <c r="Z659" s="48">
        <v>-0.18</v>
      </c>
      <c r="AA659" s="48"/>
      <c r="AB659" s="48">
        <v>0.39</v>
      </c>
      <c r="AC659" s="48">
        <v>0.82679999999999998</v>
      </c>
      <c r="AD659" s="48">
        <v>0.18</v>
      </c>
      <c r="AE659" s="48">
        <v>-0.33</v>
      </c>
      <c r="AF659" s="48">
        <f t="shared" si="144"/>
        <v>0.18</v>
      </c>
      <c r="AG659" s="49">
        <v>0.26</v>
      </c>
      <c r="AH659" s="98">
        <v>1.1000000000000001E-7</v>
      </c>
      <c r="AI659" s="98"/>
      <c r="AJ659" s="483">
        <f t="shared" si="146"/>
        <v>-5.3471736411544271</v>
      </c>
      <c r="AK659" s="483"/>
      <c r="AL659" s="483">
        <f t="shared" si="145"/>
        <v>-5.3471736411544271</v>
      </c>
      <c r="AM659" s="483">
        <v>-6.3978799999999998</v>
      </c>
      <c r="AN659" s="226">
        <v>-5.72</v>
      </c>
      <c r="AO659" s="484"/>
      <c r="AP659" s="484"/>
      <c r="AQ659" s="48" t="s">
        <v>6311</v>
      </c>
      <c r="AR659" s="48" t="s">
        <v>6311</v>
      </c>
      <c r="AS659" s="227"/>
      <c r="AT659" s="50" t="s">
        <v>266</v>
      </c>
      <c r="AU659" s="48">
        <v>6</v>
      </c>
      <c r="AV659" s="48">
        <v>120</v>
      </c>
      <c r="AW659" s="48">
        <v>114</v>
      </c>
      <c r="AX659" s="48">
        <v>28</v>
      </c>
      <c r="AY659" s="48" t="s">
        <v>8728</v>
      </c>
      <c r="AZ659" s="48" t="s">
        <v>1563</v>
      </c>
      <c r="BA659" s="48">
        <v>32</v>
      </c>
      <c r="BB659" s="47" t="s">
        <v>2485</v>
      </c>
      <c r="BC659" s="47" t="s">
        <v>8726</v>
      </c>
      <c r="BD659" s="47" t="s">
        <v>8374</v>
      </c>
      <c r="BE659" s="48" t="s">
        <v>2449</v>
      </c>
      <c r="BF659" s="48" t="s">
        <v>272</v>
      </c>
      <c r="BG659" s="48" t="s">
        <v>272</v>
      </c>
      <c r="BH659" s="48" t="s">
        <v>2486</v>
      </c>
      <c r="BI659" s="98">
        <v>6.40768E-4</v>
      </c>
      <c r="BJ659" s="98">
        <v>6.40768</v>
      </c>
      <c r="BK659" s="48"/>
      <c r="BL659" s="487">
        <v>7464.1239190570732</v>
      </c>
      <c r="BM659" s="47" t="s">
        <v>2487</v>
      </c>
      <c r="BN659" s="48"/>
      <c r="BO659" s="48"/>
      <c r="BP659" s="48"/>
      <c r="BQ659" s="48"/>
      <c r="BR659" s="47" t="e">
        <v>#VALUE!</v>
      </c>
      <c r="BS659" s="48"/>
      <c r="BT659" s="48"/>
      <c r="BU659" s="228">
        <v>0.64076800000000012</v>
      </c>
      <c r="BV659" s="48"/>
      <c r="BW659" s="48"/>
      <c r="BX659" s="48"/>
      <c r="BY659" s="48"/>
      <c r="BZ659" s="48"/>
      <c r="CA659" s="48"/>
      <c r="CB659" s="48"/>
      <c r="CC659" s="48"/>
      <c r="CD659" s="48"/>
      <c r="CE659" s="48"/>
      <c r="CF659" s="48"/>
      <c r="CG659" s="48"/>
      <c r="CH659" s="48"/>
      <c r="CI659" s="98"/>
      <c r="CJ659" s="98"/>
      <c r="CK659" s="49">
        <f t="shared" si="142"/>
        <v>1164.8715165328283</v>
      </c>
      <c r="CL659" s="229"/>
      <c r="CM659" s="229"/>
      <c r="CN659" s="229"/>
      <c r="CO659" s="47" t="s">
        <v>2488</v>
      </c>
      <c r="CP659" s="500" t="s">
        <v>2489</v>
      </c>
      <c r="CQ659" s="224">
        <v>1.3183542395079209</v>
      </c>
      <c r="CR659" s="224">
        <f t="shared" ref="CR659:CR667" si="150">10^(CJ659-CQ659)</f>
        <v>4.8044730375890334E-2</v>
      </c>
      <c r="CS659" s="230" t="s">
        <v>539</v>
      </c>
      <c r="CT659" s="230"/>
      <c r="CU659" s="230"/>
      <c r="CV659" s="335">
        <f t="shared" si="143"/>
        <v>5543.9592067746162</v>
      </c>
      <c r="CW659" s="230">
        <f t="shared" si="141"/>
        <v>1</v>
      </c>
      <c r="CX659" s="336"/>
      <c r="CY659" s="230" t="s">
        <v>6351</v>
      </c>
    </row>
    <row r="660" spans="1:103" ht="11.25" customHeight="1" x14ac:dyDescent="0.2">
      <c r="A660" s="72">
        <v>980</v>
      </c>
      <c r="B660" s="224">
        <v>1603</v>
      </c>
      <c r="C660" s="46" t="s">
        <v>7166</v>
      </c>
      <c r="D660" s="46" t="s">
        <v>8711</v>
      </c>
      <c r="E660" s="114"/>
      <c r="F660" s="114" t="s">
        <v>4762</v>
      </c>
      <c r="G660" s="225">
        <v>111422</v>
      </c>
      <c r="H660" s="47" t="s">
        <v>4763</v>
      </c>
      <c r="I660" s="47" t="s">
        <v>4763</v>
      </c>
      <c r="J660" s="47" t="s">
        <v>4764</v>
      </c>
      <c r="K660" s="47" t="s">
        <v>300</v>
      </c>
      <c r="L660" s="47"/>
      <c r="M660" s="47" t="s">
        <v>6616</v>
      </c>
      <c r="N660" s="47" t="s">
        <v>6082</v>
      </c>
      <c r="O660" s="47"/>
      <c r="P660" s="53"/>
      <c r="Q660" s="53" t="s">
        <v>6173</v>
      </c>
      <c r="R660" s="53" t="s">
        <v>6185</v>
      </c>
      <c r="S660" s="53" t="s">
        <v>6176</v>
      </c>
      <c r="T660" s="48">
        <v>105.14</v>
      </c>
      <c r="U660" s="98">
        <v>999999.99999999988</v>
      </c>
      <c r="V660" s="98">
        <v>999999.99999999988</v>
      </c>
      <c r="W660" s="98">
        <v>1004079.2049429376</v>
      </c>
      <c r="X660" s="98">
        <v>999999.99999999988</v>
      </c>
      <c r="Y660" s="233">
        <v>11.65</v>
      </c>
      <c r="Z660" s="48">
        <v>-1.71</v>
      </c>
      <c r="AA660" s="48">
        <v>-1.43</v>
      </c>
      <c r="AB660" s="48">
        <v>-1.08</v>
      </c>
      <c r="AC660" s="48">
        <v>0.8075</v>
      </c>
      <c r="AD660" s="48">
        <v>-1.21</v>
      </c>
      <c r="AE660" s="48">
        <v>-1.5</v>
      </c>
      <c r="AF660" s="48">
        <f t="shared" si="144"/>
        <v>-1.43</v>
      </c>
      <c r="AG660" s="49">
        <v>-1.27</v>
      </c>
      <c r="AH660" s="98">
        <v>3.9199999999999998E-11</v>
      </c>
      <c r="AI660" s="98">
        <v>3.8699999999999999E-11</v>
      </c>
      <c r="AJ660" s="483">
        <f t="shared" si="146"/>
        <v>-8.7952802592921948</v>
      </c>
      <c r="AK660" s="483">
        <f>LOG10(AI660*1000/(0.08206*298.15))</f>
        <v>-8.8008553612937401</v>
      </c>
      <c r="AL660" s="483">
        <f t="shared" si="145"/>
        <v>-8.8008553612937401</v>
      </c>
      <c r="AM660" s="483">
        <v>-10.57471</v>
      </c>
      <c r="AN660" s="226">
        <v>-12.5</v>
      </c>
      <c r="AO660" s="484">
        <v>14.44</v>
      </c>
      <c r="AP660" s="484">
        <v>8.7100000000000009</v>
      </c>
      <c r="AQ660" s="48" t="s">
        <v>6311</v>
      </c>
      <c r="AR660" s="48" t="s">
        <v>6311</v>
      </c>
      <c r="AS660" s="227"/>
      <c r="AT660" s="50" t="s">
        <v>266</v>
      </c>
      <c r="AU660" s="48">
        <v>6</v>
      </c>
      <c r="AV660" s="48">
        <v>120</v>
      </c>
      <c r="AW660" s="48">
        <v>114</v>
      </c>
      <c r="AX660" s="48">
        <v>28</v>
      </c>
      <c r="AY660" s="48" t="s">
        <v>8728</v>
      </c>
      <c r="AZ660" s="48" t="s">
        <v>1563</v>
      </c>
      <c r="BA660" s="48">
        <v>32</v>
      </c>
      <c r="BB660" s="47" t="s">
        <v>2485</v>
      </c>
      <c r="BC660" s="47" t="s">
        <v>8726</v>
      </c>
      <c r="BD660" s="47" t="s">
        <v>8374</v>
      </c>
      <c r="BE660" s="48" t="s">
        <v>2449</v>
      </c>
      <c r="BF660" s="48" t="s">
        <v>272</v>
      </c>
      <c r="BG660" s="48" t="s">
        <v>272</v>
      </c>
      <c r="BH660" s="48" t="s">
        <v>2486</v>
      </c>
      <c r="BI660" s="98">
        <v>6.7289599999999998E-4</v>
      </c>
      <c r="BJ660" s="98">
        <v>6.7289599999999998</v>
      </c>
      <c r="BK660" s="48"/>
      <c r="BL660" s="487">
        <v>185489.34715341838</v>
      </c>
      <c r="BM660" s="47" t="s">
        <v>2487</v>
      </c>
      <c r="BN660" s="48"/>
      <c r="BO660" s="48"/>
      <c r="BP660" s="48"/>
      <c r="BQ660" s="48"/>
      <c r="BR660" s="47" t="e">
        <v>#VALUE!</v>
      </c>
      <c r="BS660" s="48"/>
      <c r="BT660" s="48"/>
      <c r="BU660" s="228"/>
      <c r="BV660" s="48"/>
      <c r="BW660" s="48"/>
      <c r="BX660" s="48"/>
      <c r="BY660" s="48"/>
      <c r="BZ660" s="48"/>
      <c r="CA660" s="48"/>
      <c r="CB660" s="48"/>
      <c r="CC660" s="48"/>
      <c r="CD660" s="48"/>
      <c r="CE660" s="48"/>
      <c r="CF660" s="48"/>
      <c r="CG660" s="48"/>
      <c r="CH660" s="48"/>
      <c r="CI660" s="98"/>
      <c r="CJ660" s="98"/>
      <c r="CK660" s="49">
        <f t="shared" si="142"/>
        <v>27565.826985658761</v>
      </c>
      <c r="CL660" s="229"/>
      <c r="CM660" s="229"/>
      <c r="CN660" s="229"/>
      <c r="CO660" s="47" t="s">
        <v>2488</v>
      </c>
      <c r="CP660" s="500" t="s">
        <v>2489</v>
      </c>
      <c r="CQ660" s="224">
        <v>3.5660400425328111</v>
      </c>
      <c r="CR660" s="224">
        <f t="shared" si="150"/>
        <v>2.7161888210467961E-4</v>
      </c>
      <c r="CS660" s="230" t="s">
        <v>539</v>
      </c>
      <c r="CT660" s="230"/>
      <c r="CU660" s="230"/>
      <c r="CV660" s="335">
        <f t="shared" si="143"/>
        <v>148611.37530911164</v>
      </c>
      <c r="CW660" s="230">
        <f t="shared" si="141"/>
        <v>1</v>
      </c>
      <c r="CX660" s="336"/>
      <c r="CY660" s="230" t="s">
        <v>6351</v>
      </c>
    </row>
    <row r="661" spans="1:103" ht="11.25" customHeight="1" x14ac:dyDescent="0.2">
      <c r="A661" s="72">
        <v>981</v>
      </c>
      <c r="B661" s="224">
        <v>1526</v>
      </c>
      <c r="C661" s="46" t="s">
        <v>7167</v>
      </c>
      <c r="D661" s="46"/>
      <c r="E661" s="114"/>
      <c r="F661" s="114" t="s">
        <v>4629</v>
      </c>
      <c r="G661" s="225">
        <v>111444</v>
      </c>
      <c r="H661" s="47" t="s">
        <v>4630</v>
      </c>
      <c r="I661" s="47" t="s">
        <v>8032</v>
      </c>
      <c r="J661" s="47" t="s">
        <v>4631</v>
      </c>
      <c r="K661" s="47" t="s">
        <v>4632</v>
      </c>
      <c r="L661" s="47"/>
      <c r="M661" s="47" t="s">
        <v>6624</v>
      </c>
      <c r="N661" s="47" t="s">
        <v>6088</v>
      </c>
      <c r="O661" s="47"/>
      <c r="P661" s="53" t="s">
        <v>6172</v>
      </c>
      <c r="Q661" s="53" t="s">
        <v>6176</v>
      </c>
      <c r="R661" s="53" t="s">
        <v>6175</v>
      </c>
      <c r="S661" s="53" t="s">
        <v>6179</v>
      </c>
      <c r="T661" s="48">
        <v>143.01</v>
      </c>
      <c r="U661" s="98">
        <v>17200</v>
      </c>
      <c r="V661" s="98">
        <v>6435.0000000000009</v>
      </c>
      <c r="W661" s="98">
        <v>16045.985914972374</v>
      </c>
      <c r="X661" s="98">
        <v>17200</v>
      </c>
      <c r="Y661" s="233">
        <v>7</v>
      </c>
      <c r="Z661" s="48">
        <v>1.56</v>
      </c>
      <c r="AA661" s="48">
        <v>1.29</v>
      </c>
      <c r="AB661" s="48">
        <v>1.66</v>
      </c>
      <c r="AC661" s="48">
        <v>0.87439999999999996</v>
      </c>
      <c r="AD661" s="48">
        <v>1.54</v>
      </c>
      <c r="AE661" s="48">
        <v>1.19</v>
      </c>
      <c r="AF661" s="48">
        <f t="shared" si="144"/>
        <v>1.29</v>
      </c>
      <c r="AG661" s="49">
        <v>1.51</v>
      </c>
      <c r="AH661" s="98">
        <v>1.8900000000000001E-4</v>
      </c>
      <c r="AI661" s="98">
        <v>1.7E-5</v>
      </c>
      <c r="AJ661" s="483">
        <f t="shared" si="146"/>
        <v>-2.1121045221394077</v>
      </c>
      <c r="AK661" s="483">
        <f>LOG10(AI661*1000/(0.08206*298.15))</f>
        <v>-3.1581174049343779</v>
      </c>
      <c r="AL661" s="483">
        <f t="shared" si="145"/>
        <v>-3.1581174049343779</v>
      </c>
      <c r="AM661" s="483">
        <v>-2.59178</v>
      </c>
      <c r="AN661" s="226">
        <v>-3.26</v>
      </c>
      <c r="AO661" s="484"/>
      <c r="AP661" s="484"/>
      <c r="AQ661" s="48" t="s">
        <v>6311</v>
      </c>
      <c r="AR661" s="48" t="s">
        <v>6311</v>
      </c>
      <c r="AS661" s="227"/>
      <c r="AT661" s="50" t="s">
        <v>266</v>
      </c>
      <c r="AU661" s="48">
        <v>6</v>
      </c>
      <c r="AV661" s="48">
        <v>120</v>
      </c>
      <c r="AW661" s="48">
        <v>114</v>
      </c>
      <c r="AX661" s="48">
        <v>28</v>
      </c>
      <c r="AY661" s="48" t="s">
        <v>8728</v>
      </c>
      <c r="AZ661" s="48" t="s">
        <v>1563</v>
      </c>
      <c r="BA661" s="48">
        <v>32</v>
      </c>
      <c r="BB661" s="47" t="s">
        <v>2485</v>
      </c>
      <c r="BC661" s="47" t="s">
        <v>8726</v>
      </c>
      <c r="BD661" s="47" t="s">
        <v>8374</v>
      </c>
      <c r="BE661" s="48" t="s">
        <v>2449</v>
      </c>
      <c r="BF661" s="48" t="s">
        <v>272</v>
      </c>
      <c r="BG661" s="48" t="s">
        <v>272</v>
      </c>
      <c r="BH661" s="48" t="s">
        <v>2486</v>
      </c>
      <c r="BI661" s="98">
        <v>9.1526399999999994E-4</v>
      </c>
      <c r="BJ661" s="98">
        <v>9.1526399999999999</v>
      </c>
      <c r="BK661" s="48"/>
      <c r="BL661" s="487">
        <v>291.83031683505141</v>
      </c>
      <c r="BM661" s="47" t="s">
        <v>2487</v>
      </c>
      <c r="BN661" s="48"/>
      <c r="BO661" s="48"/>
      <c r="BP661" s="48"/>
      <c r="BQ661" s="48"/>
      <c r="BR661" s="47" t="e">
        <v>#VALUE!</v>
      </c>
      <c r="BS661" s="48"/>
      <c r="BT661" s="48"/>
      <c r="BU661" s="228"/>
      <c r="BV661" s="48"/>
      <c r="BW661" s="48"/>
      <c r="BX661" s="48"/>
      <c r="BY661" s="48"/>
      <c r="BZ661" s="48"/>
      <c r="CA661" s="48"/>
      <c r="CB661" s="48"/>
      <c r="CC661" s="48"/>
      <c r="CD661" s="48"/>
      <c r="CE661" s="48"/>
      <c r="CF661" s="48"/>
      <c r="CG661" s="48"/>
      <c r="CH661" s="48"/>
      <c r="CI661" s="98"/>
      <c r="CJ661" s="98"/>
      <c r="CK661" s="49">
        <f t="shared" si="142"/>
        <v>31.884824142001808</v>
      </c>
      <c r="CL661" s="229"/>
      <c r="CM661" s="229"/>
      <c r="CN661" s="229"/>
      <c r="CO661" s="47" t="s">
        <v>2488</v>
      </c>
      <c r="CP661" s="500" t="s">
        <v>2489</v>
      </c>
      <c r="CQ661" s="224">
        <v>2.7766987550619402</v>
      </c>
      <c r="CR661" s="224">
        <f t="shared" si="150"/>
        <v>1.6722501552266255E-3</v>
      </c>
      <c r="CS661" s="230" t="s">
        <v>539</v>
      </c>
      <c r="CT661" s="230"/>
      <c r="CU661" s="230"/>
      <c r="CV661" s="335">
        <f t="shared" si="143"/>
        <v>1879.2392140409761</v>
      </c>
      <c r="CW661" s="230">
        <f t="shared" si="141"/>
        <v>1</v>
      </c>
      <c r="CX661" s="336"/>
      <c r="CY661" s="230" t="s">
        <v>6351</v>
      </c>
    </row>
    <row r="662" spans="1:103" ht="11.25" customHeight="1" x14ac:dyDescent="0.2">
      <c r="A662" s="72">
        <v>982</v>
      </c>
      <c r="B662" s="224">
        <v>1103</v>
      </c>
      <c r="C662" s="46" t="s">
        <v>7168</v>
      </c>
      <c r="D662" s="46"/>
      <c r="E662" s="114"/>
      <c r="F662" s="114" t="s">
        <v>766</v>
      </c>
      <c r="G662" s="225">
        <v>111466</v>
      </c>
      <c r="H662" s="47" t="s">
        <v>767</v>
      </c>
      <c r="I662" s="47" t="s">
        <v>767</v>
      </c>
      <c r="J662" s="47" t="s">
        <v>768</v>
      </c>
      <c r="K662" s="47" t="s">
        <v>426</v>
      </c>
      <c r="L662" s="47" t="s">
        <v>5527</v>
      </c>
      <c r="M662" s="47" t="s">
        <v>6082</v>
      </c>
      <c r="N662" s="47" t="s">
        <v>6082</v>
      </c>
      <c r="O662" s="47" t="s">
        <v>6083</v>
      </c>
      <c r="P662" s="53"/>
      <c r="Q662" s="53" t="s">
        <v>6176</v>
      </c>
      <c r="R662" s="53" t="s">
        <v>6185</v>
      </c>
      <c r="S662" s="53" t="s">
        <v>6176</v>
      </c>
      <c r="T662" s="48">
        <v>106.12</v>
      </c>
      <c r="U662" s="98">
        <v>1000000.0000000001</v>
      </c>
      <c r="V662" s="98">
        <v>1000000.0000000001</v>
      </c>
      <c r="W662" s="98">
        <v>990369.46400576702</v>
      </c>
      <c r="X662" s="98">
        <v>1000000.0000000001</v>
      </c>
      <c r="Y662" s="233">
        <v>6.51</v>
      </c>
      <c r="Z662" s="48">
        <v>-1.47</v>
      </c>
      <c r="AA662" s="48"/>
      <c r="AB662" s="48">
        <v>-0.94</v>
      </c>
      <c r="AC662" s="48">
        <v>0.85299999999999998</v>
      </c>
      <c r="AD662" s="48">
        <v>-1.0900000000000001</v>
      </c>
      <c r="AE662" s="48">
        <v>-1.51</v>
      </c>
      <c r="AF662" s="48">
        <f t="shared" si="144"/>
        <v>-1.0900000000000001</v>
      </c>
      <c r="AG662" s="49">
        <v>-0.89</v>
      </c>
      <c r="AH662" s="98">
        <v>2.0299999999999998E-9</v>
      </c>
      <c r="AI662" s="98"/>
      <c r="AJ662" s="483">
        <f t="shared" si="146"/>
        <v>-7.081070288399439</v>
      </c>
      <c r="AK662" s="483"/>
      <c r="AL662" s="483">
        <f t="shared" si="145"/>
        <v>-7.081070288399439</v>
      </c>
      <c r="AM662" s="483">
        <v>-8.6747399999999999</v>
      </c>
      <c r="AN662" s="226">
        <v>-7.67</v>
      </c>
      <c r="AO662" s="484">
        <v>14.03</v>
      </c>
      <c r="AP662" s="484"/>
      <c r="AQ662" s="48" t="s">
        <v>6311</v>
      </c>
      <c r="AR662" s="48" t="s">
        <v>6311</v>
      </c>
      <c r="AS662" s="227"/>
      <c r="AT662" s="50" t="s">
        <v>266</v>
      </c>
      <c r="AU662" s="48">
        <v>6</v>
      </c>
      <c r="AV662" s="48">
        <v>120</v>
      </c>
      <c r="AW662" s="48">
        <v>114</v>
      </c>
      <c r="AX662" s="48">
        <v>28</v>
      </c>
      <c r="AY662" s="48" t="s">
        <v>8728</v>
      </c>
      <c r="AZ662" s="48" t="s">
        <v>1563</v>
      </c>
      <c r="BA662" s="48">
        <v>32</v>
      </c>
      <c r="BB662" s="47" t="s">
        <v>2485</v>
      </c>
      <c r="BC662" s="47" t="s">
        <v>8726</v>
      </c>
      <c r="BD662" s="47" t="s">
        <v>8374</v>
      </c>
      <c r="BE662" s="48" t="s">
        <v>2449</v>
      </c>
      <c r="BF662" s="48" t="s">
        <v>272</v>
      </c>
      <c r="BG662" s="48" t="s">
        <v>272</v>
      </c>
      <c r="BH662" s="48" t="s">
        <v>2486</v>
      </c>
      <c r="BI662" s="98">
        <v>6.7916799999999996E-4</v>
      </c>
      <c r="BJ662" s="98">
        <v>6.7916800000000004</v>
      </c>
      <c r="BK662" s="48"/>
      <c r="BL662" s="487">
        <v>113973.59346012931</v>
      </c>
      <c r="BM662" s="47" t="s">
        <v>2487</v>
      </c>
      <c r="BN662" s="48"/>
      <c r="BO662" s="48"/>
      <c r="BP662" s="48"/>
      <c r="BQ662" s="48"/>
      <c r="BR662" s="47" t="e">
        <v>#VALUE!</v>
      </c>
      <c r="BS662" s="48"/>
      <c r="BT662" s="48"/>
      <c r="BU662" s="228">
        <v>6.7916799999999996E-3</v>
      </c>
      <c r="BV662" s="48"/>
      <c r="BW662" s="48"/>
      <c r="BX662" s="48"/>
      <c r="BY662" s="48"/>
      <c r="BZ662" s="48"/>
      <c r="CA662" s="48"/>
      <c r="CB662" s="48"/>
      <c r="CC662" s="48"/>
      <c r="CD662" s="48"/>
      <c r="CE662" s="48"/>
      <c r="CF662" s="48"/>
      <c r="CG662" s="48"/>
      <c r="CH662" s="48"/>
      <c r="CI662" s="98"/>
      <c r="CJ662" s="98"/>
      <c r="CK662" s="49">
        <f t="shared" si="142"/>
        <v>16781.355049137961</v>
      </c>
      <c r="CL662" s="229"/>
      <c r="CM662" s="229"/>
      <c r="CN662" s="229"/>
      <c r="CO662" s="47" t="s">
        <v>2488</v>
      </c>
      <c r="CP662" s="500" t="s">
        <v>2489</v>
      </c>
      <c r="CQ662" s="224">
        <v>4.8759288887979055</v>
      </c>
      <c r="CR662" s="224">
        <f t="shared" si="150"/>
        <v>1.3306722838803261E-5</v>
      </c>
      <c r="CS662" s="230" t="s">
        <v>539</v>
      </c>
      <c r="CT662" s="230"/>
      <c r="CU662" s="230"/>
      <c r="CV662" s="335">
        <f t="shared" si="143"/>
        <v>147238.97474557106</v>
      </c>
      <c r="CW662" s="230">
        <f t="shared" si="141"/>
        <v>1</v>
      </c>
      <c r="CX662" s="336"/>
      <c r="CY662" s="230" t="s">
        <v>6351</v>
      </c>
    </row>
    <row r="663" spans="1:103" ht="11.25" customHeight="1" x14ac:dyDescent="0.2">
      <c r="A663" s="72">
        <v>983</v>
      </c>
      <c r="B663" s="224">
        <v>1694</v>
      </c>
      <c r="C663" s="46" t="s">
        <v>7169</v>
      </c>
      <c r="D663" s="46" t="s">
        <v>8712</v>
      </c>
      <c r="E663" s="114"/>
      <c r="F663" s="114" t="s">
        <v>4942</v>
      </c>
      <c r="G663" s="225">
        <v>111693</v>
      </c>
      <c r="H663" s="47" t="s">
        <v>4943</v>
      </c>
      <c r="I663" s="47" t="s">
        <v>7750</v>
      </c>
      <c r="J663" s="47" t="s">
        <v>4944</v>
      </c>
      <c r="K663" s="47" t="s">
        <v>4945</v>
      </c>
      <c r="L663" s="47"/>
      <c r="M663" s="47" t="s">
        <v>6616</v>
      </c>
      <c r="N663" s="47" t="s">
        <v>6082</v>
      </c>
      <c r="O663" s="47"/>
      <c r="P663" s="53"/>
      <c r="Q663" s="53" t="s">
        <v>6173</v>
      </c>
      <c r="R663" s="53" t="s">
        <v>6185</v>
      </c>
      <c r="S663" s="53" t="s">
        <v>6176</v>
      </c>
      <c r="T663" s="48">
        <v>108.14</v>
      </c>
      <c r="U663" s="98">
        <v>80000</v>
      </c>
      <c r="V663" s="98">
        <v>112500</v>
      </c>
      <c r="W663" s="98">
        <v>12416.133262867292</v>
      </c>
      <c r="X663" s="98">
        <v>80000</v>
      </c>
      <c r="Y663" s="233">
        <v>7</v>
      </c>
      <c r="Z663" s="48">
        <v>0.35</v>
      </c>
      <c r="AA663" s="48">
        <v>-0.32</v>
      </c>
      <c r="AB663" s="48">
        <v>-0.1</v>
      </c>
      <c r="AC663" s="48">
        <v>0.87190000000000001</v>
      </c>
      <c r="AD663" s="48">
        <v>-0.14000000000000001</v>
      </c>
      <c r="AE663" s="48">
        <v>-0.32</v>
      </c>
      <c r="AF663" s="48">
        <f t="shared" si="144"/>
        <v>-0.32</v>
      </c>
      <c r="AG663" s="49">
        <v>0.87</v>
      </c>
      <c r="AH663" s="98">
        <v>2.9700000000000001E-8</v>
      </c>
      <c r="AI663" s="98">
        <v>1.21E-9</v>
      </c>
      <c r="AJ663" s="483">
        <f t="shared" si="146"/>
        <v>-5.9158098769954393</v>
      </c>
      <c r="AK663" s="483">
        <f>LOG10(AI663*1000/(0.08206*298.15))</f>
        <v>-7.3057809559962017</v>
      </c>
      <c r="AL663" s="483">
        <f t="shared" si="145"/>
        <v>-7.3057809559962017</v>
      </c>
      <c r="AM663" s="483">
        <v>-5.3290600000000001</v>
      </c>
      <c r="AN663" s="226">
        <v>-6.3</v>
      </c>
      <c r="AO663" s="484"/>
      <c r="AP663" s="484"/>
      <c r="AQ663" s="226" t="s">
        <v>6311</v>
      </c>
      <c r="AR663" s="226" t="s">
        <v>6311</v>
      </c>
      <c r="AS663" s="224"/>
      <c r="AT663" s="50" t="s">
        <v>266</v>
      </c>
      <c r="AU663" s="48">
        <v>6</v>
      </c>
      <c r="AV663" s="48">
        <v>120</v>
      </c>
      <c r="AW663" s="48">
        <v>114</v>
      </c>
      <c r="AX663" s="48">
        <v>28</v>
      </c>
      <c r="AY663" s="48" t="s">
        <v>8728</v>
      </c>
      <c r="AZ663" s="48" t="s">
        <v>1563</v>
      </c>
      <c r="BA663" s="48">
        <v>32</v>
      </c>
      <c r="BB663" s="47" t="s">
        <v>2485</v>
      </c>
      <c r="BC663" s="47" t="s">
        <v>8726</v>
      </c>
      <c r="BD663" s="47" t="s">
        <v>8374</v>
      </c>
      <c r="BE663" s="48" t="s">
        <v>2449</v>
      </c>
      <c r="BF663" s="48" t="s">
        <v>272</v>
      </c>
      <c r="BG663" s="48" t="s">
        <v>272</v>
      </c>
      <c r="BH663" s="48" t="s">
        <v>2486</v>
      </c>
      <c r="BI663" s="98">
        <v>6.9209600000000001E-4</v>
      </c>
      <c r="BJ663" s="98">
        <v>6.92096</v>
      </c>
      <c r="BK663" s="48"/>
      <c r="BL663" s="487">
        <v>2694.3335886916288</v>
      </c>
      <c r="BM663" s="47" t="s">
        <v>2487</v>
      </c>
      <c r="BN663" s="48"/>
      <c r="BO663" s="48"/>
      <c r="BP663" s="48"/>
      <c r="BQ663" s="48"/>
      <c r="BR663" s="47" t="e">
        <v>#VALUE!</v>
      </c>
      <c r="BS663" s="48"/>
      <c r="BT663" s="48"/>
      <c r="BU663" s="228"/>
      <c r="BV663" s="48"/>
      <c r="BW663" s="48"/>
      <c r="BX663" s="48"/>
      <c r="BY663" s="48"/>
      <c r="BZ663" s="48"/>
      <c r="CA663" s="48"/>
      <c r="CB663" s="48"/>
      <c r="CC663" s="48"/>
      <c r="CD663" s="48"/>
      <c r="CE663" s="48"/>
      <c r="CF663" s="48"/>
      <c r="CG663" s="48"/>
      <c r="CH663" s="48"/>
      <c r="CI663" s="98"/>
      <c r="CJ663" s="98"/>
      <c r="CK663" s="49">
        <f t="shared" si="142"/>
        <v>389.3005578260283</v>
      </c>
      <c r="CL663" s="229"/>
      <c r="CM663" s="229"/>
      <c r="CN663" s="229"/>
      <c r="CO663" s="47" t="s">
        <v>2488</v>
      </c>
      <c r="CP663" s="500" t="s">
        <v>2489</v>
      </c>
      <c r="CQ663" s="224">
        <v>3.0378393976316476</v>
      </c>
      <c r="CR663" s="224">
        <f t="shared" si="150"/>
        <v>9.1655937168207569E-4</v>
      </c>
      <c r="CS663" s="230" t="s">
        <v>539</v>
      </c>
      <c r="CT663" s="230"/>
      <c r="CU663" s="230"/>
      <c r="CV663" s="335">
        <f t="shared" si="143"/>
        <v>11559.090068429814</v>
      </c>
      <c r="CW663" s="230">
        <f t="shared" si="141"/>
        <v>1</v>
      </c>
      <c r="CX663" s="336"/>
      <c r="CY663" s="230" t="s">
        <v>6351</v>
      </c>
    </row>
    <row r="664" spans="1:103" ht="11.25" customHeight="1" x14ac:dyDescent="0.2">
      <c r="A664" s="72">
        <v>984</v>
      </c>
      <c r="B664" s="224">
        <v>946</v>
      </c>
      <c r="C664" s="46" t="s">
        <v>7170</v>
      </c>
      <c r="D664" s="46"/>
      <c r="E664" s="114"/>
      <c r="F664" s="114" t="s">
        <v>2700</v>
      </c>
      <c r="G664" s="225">
        <v>111762</v>
      </c>
      <c r="H664" s="47" t="s">
        <v>2701</v>
      </c>
      <c r="I664" s="47" t="s">
        <v>2701</v>
      </c>
      <c r="J664" s="47" t="s">
        <v>2702</v>
      </c>
      <c r="K664" s="47" t="s">
        <v>426</v>
      </c>
      <c r="L664" s="47" t="s">
        <v>5527</v>
      </c>
      <c r="M664" s="47" t="s">
        <v>6082</v>
      </c>
      <c r="N664" s="47" t="s">
        <v>6082</v>
      </c>
      <c r="O664" s="47" t="s">
        <v>6083</v>
      </c>
      <c r="P664" s="53" t="s">
        <v>6183</v>
      </c>
      <c r="Q664" s="53" t="s">
        <v>6176</v>
      </c>
      <c r="R664" s="53" t="s">
        <v>6185</v>
      </c>
      <c r="S664" s="53" t="s">
        <v>6176</v>
      </c>
      <c r="T664" s="48">
        <v>118.17</v>
      </c>
      <c r="U664" s="98">
        <v>1000000</v>
      </c>
      <c r="V664" s="98">
        <v>64470.000000000007</v>
      </c>
      <c r="W664" s="98">
        <v>81753.665833490726</v>
      </c>
      <c r="X664" s="98">
        <v>1000000</v>
      </c>
      <c r="Y664" s="233">
        <v>6.95</v>
      </c>
      <c r="Z664" s="48">
        <v>0.56999999999999995</v>
      </c>
      <c r="AA664" s="48">
        <v>0.83</v>
      </c>
      <c r="AB664" s="48">
        <v>0.77</v>
      </c>
      <c r="AC664" s="48">
        <v>0.92879999999999996</v>
      </c>
      <c r="AD664" s="48">
        <v>0.77</v>
      </c>
      <c r="AE664" s="48">
        <v>0.8</v>
      </c>
      <c r="AF664" s="48">
        <f t="shared" si="144"/>
        <v>0.83</v>
      </c>
      <c r="AG664" s="49">
        <v>0.85</v>
      </c>
      <c r="AH664" s="98">
        <v>9.7899999999999997E-8</v>
      </c>
      <c r="AI664" s="98">
        <v>1.5999999999999999E-6</v>
      </c>
      <c r="AJ664" s="483">
        <f t="shared" si="146"/>
        <v>-5.3977836345095138</v>
      </c>
      <c r="AK664" s="483">
        <f>LOG10(AI664*1000/(0.08206*298.15))</f>
        <v>-4.1844463436567274</v>
      </c>
      <c r="AL664" s="483">
        <f t="shared" si="145"/>
        <v>-4.1844463436567274</v>
      </c>
      <c r="AM664" s="483">
        <v>-5.2865000000000002</v>
      </c>
      <c r="AN664" s="226">
        <v>-4.26</v>
      </c>
      <c r="AO664" s="484">
        <v>14.42</v>
      </c>
      <c r="AP664" s="484"/>
      <c r="AQ664" s="48" t="s">
        <v>6311</v>
      </c>
      <c r="AR664" s="48" t="s">
        <v>6311</v>
      </c>
      <c r="AS664" s="227"/>
      <c r="AT664" s="50" t="s">
        <v>266</v>
      </c>
      <c r="AU664" s="48">
        <v>6</v>
      </c>
      <c r="AV664" s="48">
        <v>120</v>
      </c>
      <c r="AW664" s="48">
        <v>114</v>
      </c>
      <c r="AX664" s="48">
        <v>28</v>
      </c>
      <c r="AY664" s="48" t="s">
        <v>8728</v>
      </c>
      <c r="AZ664" s="48" t="s">
        <v>1563</v>
      </c>
      <c r="BA664" s="48">
        <v>32</v>
      </c>
      <c r="BB664" s="47" t="s">
        <v>2485</v>
      </c>
      <c r="BC664" s="47" t="s">
        <v>8726</v>
      </c>
      <c r="BD664" s="47" t="s">
        <v>8374</v>
      </c>
      <c r="BE664" s="48" t="s">
        <v>2449</v>
      </c>
      <c r="BF664" s="48" t="s">
        <v>272</v>
      </c>
      <c r="BG664" s="48" t="s">
        <v>272</v>
      </c>
      <c r="BH664" s="48" t="s">
        <v>2486</v>
      </c>
      <c r="BI664" s="98">
        <v>7.5628799999999993E-4</v>
      </c>
      <c r="BJ664" s="98">
        <v>7.5628799999999998</v>
      </c>
      <c r="BK664" s="48"/>
      <c r="BL664" s="487">
        <v>1868.0574809369928</v>
      </c>
      <c r="BM664" s="47" t="s">
        <v>2487</v>
      </c>
      <c r="BN664" s="48"/>
      <c r="BO664" s="48"/>
      <c r="BP664" s="48"/>
      <c r="BQ664" s="48"/>
      <c r="BR664" s="47" t="e">
        <v>#VALUE!</v>
      </c>
      <c r="BS664" s="48"/>
      <c r="BT664" s="48"/>
      <c r="BU664" s="228">
        <v>7.5628799999999993E-4</v>
      </c>
      <c r="BV664" s="48"/>
      <c r="BW664" s="48"/>
      <c r="BX664" s="48"/>
      <c r="BY664" s="48"/>
      <c r="BZ664" s="48"/>
      <c r="CA664" s="48"/>
      <c r="CB664" s="48"/>
      <c r="CC664" s="48"/>
      <c r="CD664" s="48"/>
      <c r="CE664" s="48"/>
      <c r="CF664" s="48"/>
      <c r="CG664" s="48"/>
      <c r="CH664" s="48"/>
      <c r="CI664" s="98"/>
      <c r="CJ664" s="98"/>
      <c r="CK664" s="49">
        <f t="shared" si="142"/>
        <v>247.00345383464935</v>
      </c>
      <c r="CL664" s="229"/>
      <c r="CM664" s="229"/>
      <c r="CN664" s="229"/>
      <c r="CO664" s="47" t="s">
        <v>2488</v>
      </c>
      <c r="CP664" s="500" t="s">
        <v>2489</v>
      </c>
      <c r="CQ664" s="224">
        <v>3.173186268412274</v>
      </c>
      <c r="CR664" s="224">
        <f t="shared" si="150"/>
        <v>6.7114093959731518E-4</v>
      </c>
      <c r="CS664" s="230" t="s">
        <v>539</v>
      </c>
      <c r="CT664" s="230"/>
      <c r="CU664" s="230"/>
      <c r="CV664" s="335">
        <f t="shared" si="143"/>
        <v>132224.76093763224</v>
      </c>
      <c r="CW664" s="230">
        <f t="shared" si="141"/>
        <v>1</v>
      </c>
      <c r="CX664" s="336"/>
      <c r="CY664" s="230" t="s">
        <v>6351</v>
      </c>
    </row>
    <row r="665" spans="1:103" ht="11.25" customHeight="1" x14ac:dyDescent="0.2">
      <c r="A665" s="72">
        <v>985</v>
      </c>
      <c r="B665" s="224">
        <v>1605</v>
      </c>
      <c r="C665" s="46" t="s">
        <v>7171</v>
      </c>
      <c r="D665" s="46"/>
      <c r="E665" s="114"/>
      <c r="F665" s="114" t="s">
        <v>4768</v>
      </c>
      <c r="G665" s="225">
        <v>111773</v>
      </c>
      <c r="H665" s="47" t="s">
        <v>4769</v>
      </c>
      <c r="I665" s="47" t="s">
        <v>4769</v>
      </c>
      <c r="J665" s="47" t="s">
        <v>4770</v>
      </c>
      <c r="K665" s="47" t="s">
        <v>426</v>
      </c>
      <c r="L665" s="47"/>
      <c r="M665" s="47"/>
      <c r="N665" s="47"/>
      <c r="O665" s="47"/>
      <c r="P665" s="53"/>
      <c r="Q665" s="53" t="s">
        <v>6182</v>
      </c>
      <c r="R665" s="53" t="s">
        <v>6185</v>
      </c>
      <c r="S665" s="53" t="s">
        <v>6179</v>
      </c>
      <c r="T665" s="48">
        <v>120.15</v>
      </c>
      <c r="U665" s="98">
        <v>1000000</v>
      </c>
      <c r="V665" s="98">
        <v>1000000</v>
      </c>
      <c r="W665" s="98">
        <v>999364.17097985942</v>
      </c>
      <c r="X665" s="98">
        <v>1000000</v>
      </c>
      <c r="Y665" s="233">
        <v>6.67</v>
      </c>
      <c r="Z665" s="48">
        <v>-1.18</v>
      </c>
      <c r="AA665" s="48"/>
      <c r="AB665" s="48">
        <v>-0.46</v>
      </c>
      <c r="AC665" s="48">
        <v>0.81540000000000001</v>
      </c>
      <c r="AD665" s="48">
        <v>-0.66</v>
      </c>
      <c r="AE665" s="48">
        <v>-1.1599999999999999</v>
      </c>
      <c r="AF665" s="48">
        <f t="shared" si="144"/>
        <v>-0.66</v>
      </c>
      <c r="AG665" s="49">
        <v>-0.3</v>
      </c>
      <c r="AH665" s="98">
        <v>6.5000000000000003E-10</v>
      </c>
      <c r="AI665" s="98"/>
      <c r="AJ665" s="483">
        <f t="shared" si="146"/>
        <v>-7.5756529696697958</v>
      </c>
      <c r="AK665" s="483"/>
      <c r="AL665" s="483">
        <f t="shared" si="145"/>
        <v>-7.5756529696697958</v>
      </c>
      <c r="AM665" s="483">
        <v>-6.6680699999999993</v>
      </c>
      <c r="AN665" s="226">
        <v>-6.19</v>
      </c>
      <c r="AO665" s="484">
        <v>14.37</v>
      </c>
      <c r="AP665" s="484"/>
      <c r="AQ665" s="48" t="s">
        <v>6311</v>
      </c>
      <c r="AR665" s="48" t="s">
        <v>6311</v>
      </c>
      <c r="AS665" s="227"/>
      <c r="AT665" s="50" t="s">
        <v>266</v>
      </c>
      <c r="AU665" s="48">
        <v>6</v>
      </c>
      <c r="AV665" s="48">
        <v>120</v>
      </c>
      <c r="AW665" s="48">
        <v>114</v>
      </c>
      <c r="AX665" s="48">
        <v>28</v>
      </c>
      <c r="AY665" s="48" t="s">
        <v>8728</v>
      </c>
      <c r="AZ665" s="48" t="s">
        <v>1563</v>
      </c>
      <c r="BA665" s="48">
        <v>32</v>
      </c>
      <c r="BB665" s="47" t="s">
        <v>2485</v>
      </c>
      <c r="BC665" s="47" t="s">
        <v>8726</v>
      </c>
      <c r="BD665" s="47" t="s">
        <v>8374</v>
      </c>
      <c r="BE665" s="48" t="s">
        <v>2449</v>
      </c>
      <c r="BF665" s="48" t="s">
        <v>272</v>
      </c>
      <c r="BG665" s="48" t="s">
        <v>272</v>
      </c>
      <c r="BH665" s="48" t="s">
        <v>2486</v>
      </c>
      <c r="BI665" s="98">
        <v>7.6895999999999996E-4</v>
      </c>
      <c r="BJ665" s="98">
        <v>7.6896000000000004</v>
      </c>
      <c r="BK665" s="48"/>
      <c r="BL665" s="487">
        <v>70840.52566033107</v>
      </c>
      <c r="BM665" s="47" t="s">
        <v>2487</v>
      </c>
      <c r="BN665" s="48"/>
      <c r="BO665" s="48"/>
      <c r="BP665" s="48"/>
      <c r="BQ665" s="48"/>
      <c r="BR665" s="47" t="e">
        <v>#VALUE!</v>
      </c>
      <c r="BS665" s="48"/>
      <c r="BT665" s="48"/>
      <c r="BU665" s="228"/>
      <c r="BV665" s="48"/>
      <c r="BW665" s="48"/>
      <c r="BX665" s="48"/>
      <c r="BY665" s="48"/>
      <c r="BZ665" s="48"/>
      <c r="CA665" s="48"/>
      <c r="CB665" s="48"/>
      <c r="CC665" s="48"/>
      <c r="CD665" s="48"/>
      <c r="CE665" s="48"/>
      <c r="CF665" s="48"/>
      <c r="CG665" s="48"/>
      <c r="CH665" s="48"/>
      <c r="CI665" s="98"/>
      <c r="CJ665" s="98"/>
      <c r="CK665" s="49">
        <f t="shared" si="142"/>
        <v>9212.5111397642358</v>
      </c>
      <c r="CL665" s="229"/>
      <c r="CM665" s="229"/>
      <c r="CN665" s="229"/>
      <c r="CO665" s="47" t="s">
        <v>2488</v>
      </c>
      <c r="CP665" s="500" t="s">
        <v>2489</v>
      </c>
      <c r="CQ665" s="224">
        <v>3.8750612633917001</v>
      </c>
      <c r="CR665" s="224">
        <f t="shared" si="150"/>
        <v>1.3333333333333331E-4</v>
      </c>
      <c r="CS665" s="230" t="s">
        <v>539</v>
      </c>
      <c r="CT665" s="230"/>
      <c r="CU665" s="230"/>
      <c r="CV665" s="335">
        <f t="shared" si="143"/>
        <v>130045.77611319184</v>
      </c>
      <c r="CW665" s="230">
        <f t="shared" si="141"/>
        <v>1</v>
      </c>
      <c r="CX665" s="336"/>
      <c r="CY665" s="230" t="s">
        <v>6351</v>
      </c>
    </row>
    <row r="666" spans="1:103" ht="11.25" customHeight="1" x14ac:dyDescent="0.2">
      <c r="A666" s="72">
        <v>986</v>
      </c>
      <c r="B666" s="224">
        <v>1355</v>
      </c>
      <c r="C666" s="46" t="s">
        <v>676</v>
      </c>
      <c r="D666" s="46"/>
      <c r="E666" s="114"/>
      <c r="F666" s="114" t="s">
        <v>677</v>
      </c>
      <c r="G666" s="225">
        <v>111875</v>
      </c>
      <c r="H666" s="47" t="s">
        <v>678</v>
      </c>
      <c r="I666" s="47" t="s">
        <v>678</v>
      </c>
      <c r="J666" s="47" t="s">
        <v>679</v>
      </c>
      <c r="K666" s="47" t="s">
        <v>426</v>
      </c>
      <c r="L666" s="47" t="s">
        <v>5527</v>
      </c>
      <c r="M666" s="47" t="s">
        <v>6082</v>
      </c>
      <c r="N666" s="47" t="s">
        <v>6082</v>
      </c>
      <c r="O666" s="47" t="s">
        <v>6083</v>
      </c>
      <c r="P666" s="53" t="s">
        <v>6183</v>
      </c>
      <c r="Q666" s="53" t="s">
        <v>6179</v>
      </c>
      <c r="R666" s="53" t="s">
        <v>6185</v>
      </c>
      <c r="S666" s="53" t="s">
        <v>6176</v>
      </c>
      <c r="T666" s="48">
        <v>130.22999999999999</v>
      </c>
      <c r="U666" s="98">
        <v>540</v>
      </c>
      <c r="V666" s="98">
        <v>814</v>
      </c>
      <c r="W666" s="98">
        <v>1058.5491812005059</v>
      </c>
      <c r="X666" s="98">
        <v>540</v>
      </c>
      <c r="Y666" s="233">
        <v>7</v>
      </c>
      <c r="Z666" s="48">
        <v>2.81</v>
      </c>
      <c r="AA666" s="48">
        <v>3</v>
      </c>
      <c r="AB666" s="48">
        <v>2.99</v>
      </c>
      <c r="AC666" s="48">
        <v>0.92889999999999995</v>
      </c>
      <c r="AD666" s="48">
        <v>2.99</v>
      </c>
      <c r="AE666" s="48">
        <v>3</v>
      </c>
      <c r="AF666" s="48">
        <f t="shared" si="144"/>
        <v>3</v>
      </c>
      <c r="AG666" s="49">
        <v>2.65</v>
      </c>
      <c r="AH666" s="98">
        <v>3.1000000000000001E-5</v>
      </c>
      <c r="AI666" s="98">
        <v>2.4499999999999999E-5</v>
      </c>
      <c r="AJ666" s="483">
        <f t="shared" si="146"/>
        <v>-2.8972046324783789</v>
      </c>
      <c r="AK666" s="483">
        <f>LOG10(AI666*1000/(0.08206*298.15))</f>
        <v>-2.9994002419481194</v>
      </c>
      <c r="AL666" s="483">
        <f t="shared" si="145"/>
        <v>-2.9994002419481194</v>
      </c>
      <c r="AM666" s="483">
        <v>-3.9046099999999999</v>
      </c>
      <c r="AN666" s="226">
        <v>-2.78</v>
      </c>
      <c r="AO666" s="484">
        <v>15.27</v>
      </c>
      <c r="AP666" s="484"/>
      <c r="AQ666" s="48" t="s">
        <v>6311</v>
      </c>
      <c r="AR666" s="48" t="s">
        <v>6311</v>
      </c>
      <c r="AS666" s="227"/>
      <c r="AT666" s="50" t="s">
        <v>266</v>
      </c>
      <c r="AU666" s="48">
        <v>6</v>
      </c>
      <c r="AV666" s="48">
        <v>120</v>
      </c>
      <c r="AW666" s="48">
        <v>114</v>
      </c>
      <c r="AX666" s="48">
        <v>28</v>
      </c>
      <c r="AY666" s="48" t="s">
        <v>8728</v>
      </c>
      <c r="AZ666" s="48" t="s">
        <v>1563</v>
      </c>
      <c r="BA666" s="48">
        <v>32</v>
      </c>
      <c r="BB666" s="47" t="s">
        <v>2485</v>
      </c>
      <c r="BC666" s="47" t="s">
        <v>8726</v>
      </c>
      <c r="BD666" s="47" t="s">
        <v>8374</v>
      </c>
      <c r="BE666" s="48" t="s">
        <v>2449</v>
      </c>
      <c r="BF666" s="48" t="s">
        <v>272</v>
      </c>
      <c r="BG666" s="48" t="s">
        <v>272</v>
      </c>
      <c r="BH666" s="48" t="s">
        <v>2486</v>
      </c>
      <c r="BI666" s="98">
        <v>8.3347199999999992E-4</v>
      </c>
      <c r="BJ666" s="98">
        <v>8.334719999999999</v>
      </c>
      <c r="BK666" s="48"/>
      <c r="BL666" s="487">
        <v>20.037800139305784</v>
      </c>
      <c r="BM666" s="47" t="s">
        <v>2487</v>
      </c>
      <c r="BN666" s="48"/>
      <c r="BO666" s="48"/>
      <c r="BP666" s="48"/>
      <c r="BQ666" s="48"/>
      <c r="BR666" s="47" t="e">
        <v>#VALUE!</v>
      </c>
      <c r="BS666" s="48"/>
      <c r="BT666" s="48"/>
      <c r="BU666" s="228"/>
      <c r="BV666" s="48"/>
      <c r="BW666" s="48"/>
      <c r="BX666" s="48"/>
      <c r="BY666" s="48"/>
      <c r="BZ666" s="48"/>
      <c r="CA666" s="48"/>
      <c r="CB666" s="48"/>
      <c r="CC666" s="48"/>
      <c r="CD666" s="48"/>
      <c r="CE666" s="48"/>
      <c r="CF666" s="48"/>
      <c r="CG666" s="48"/>
      <c r="CH666" s="48"/>
      <c r="CI666" s="98"/>
      <c r="CJ666" s="98"/>
      <c r="CK666" s="49">
        <f t="shared" si="142"/>
        <v>2.4041359684915373</v>
      </c>
      <c r="CL666" s="229"/>
      <c r="CM666" s="229"/>
      <c r="CN666" s="229"/>
      <c r="CO666" s="47" t="s">
        <v>2488</v>
      </c>
      <c r="CP666" s="500" t="s">
        <v>2489</v>
      </c>
      <c r="CQ666" s="224">
        <v>1.1455836013269163</v>
      </c>
      <c r="CR666" s="224">
        <f t="shared" si="150"/>
        <v>7.1518170893889038E-2</v>
      </c>
      <c r="CS666" s="230" t="s">
        <v>539</v>
      </c>
      <c r="CT666" s="230"/>
      <c r="CU666" s="230"/>
      <c r="CV666" s="335">
        <f t="shared" si="143"/>
        <v>64.7892190739461</v>
      </c>
      <c r="CW666" s="230">
        <f t="shared" si="141"/>
        <v>1</v>
      </c>
      <c r="CX666" s="336"/>
      <c r="CY666" s="230" t="s">
        <v>6351</v>
      </c>
    </row>
    <row r="667" spans="1:103" ht="11.25" customHeight="1" x14ac:dyDescent="0.2">
      <c r="A667" s="72">
        <v>987</v>
      </c>
      <c r="B667" s="224">
        <v>923</v>
      </c>
      <c r="C667" s="46" t="s">
        <v>7172</v>
      </c>
      <c r="D667" s="46" t="s">
        <v>8589</v>
      </c>
      <c r="E667" s="114"/>
      <c r="F667" s="114" t="s">
        <v>2635</v>
      </c>
      <c r="G667" s="225">
        <v>111900</v>
      </c>
      <c r="H667" s="47" t="s">
        <v>2636</v>
      </c>
      <c r="I667" s="47" t="s">
        <v>2636</v>
      </c>
      <c r="J667" s="47" t="s">
        <v>2637</v>
      </c>
      <c r="K667" s="47" t="s">
        <v>426</v>
      </c>
      <c r="L667" s="47" t="s">
        <v>5527</v>
      </c>
      <c r="M667" s="47" t="s">
        <v>6082</v>
      </c>
      <c r="N667" s="47" t="s">
        <v>6082</v>
      </c>
      <c r="O667" s="47" t="s">
        <v>6083</v>
      </c>
      <c r="P667" s="53" t="s">
        <v>6183</v>
      </c>
      <c r="Q667" s="53" t="s">
        <v>6176</v>
      </c>
      <c r="R667" s="53" t="s">
        <v>6185</v>
      </c>
      <c r="S667" s="53" t="s">
        <v>6176</v>
      </c>
      <c r="T667" s="48">
        <v>134.16999999999999</v>
      </c>
      <c r="U667" s="98">
        <v>1000000</v>
      </c>
      <c r="V667" s="98">
        <v>828000</v>
      </c>
      <c r="W667" s="98">
        <v>642177.99486928387</v>
      </c>
      <c r="X667" s="98">
        <v>1000000</v>
      </c>
      <c r="Y667" s="233">
        <v>6.76</v>
      </c>
      <c r="Z667" s="48">
        <v>-0.69</v>
      </c>
      <c r="AA667" s="48">
        <v>-0.54</v>
      </c>
      <c r="AB667" s="48">
        <v>-0.17</v>
      </c>
      <c r="AC667" s="48">
        <v>0.86629999999999996</v>
      </c>
      <c r="AD667" s="48">
        <v>-0.28000000000000003</v>
      </c>
      <c r="AE667" s="48">
        <v>-0.62</v>
      </c>
      <c r="AF667" s="48">
        <f t="shared" si="144"/>
        <v>-0.54</v>
      </c>
      <c r="AG667" s="49">
        <v>0.09</v>
      </c>
      <c r="AH667" s="98">
        <v>8.6300000000000002E-10</v>
      </c>
      <c r="AI667" s="98">
        <v>2.2300000000000001E-8</v>
      </c>
      <c r="AJ667" s="483">
        <f t="shared" si="146"/>
        <v>-7.4525555305974418</v>
      </c>
      <c r="AK667" s="483">
        <f>LOG10(AI667*1000/(0.08206*298.15))</f>
        <v>-6.0402614632644909</v>
      </c>
      <c r="AL667" s="483">
        <f t="shared" si="145"/>
        <v>-6.0402614632644909</v>
      </c>
      <c r="AM667" s="483">
        <v>-6.8205799999999996</v>
      </c>
      <c r="AN667" s="226">
        <v>-6.06</v>
      </c>
      <c r="AO667" s="484">
        <v>14.37</v>
      </c>
      <c r="AP667" s="484"/>
      <c r="AQ667" s="48" t="s">
        <v>6311</v>
      </c>
      <c r="AR667" s="48" t="s">
        <v>6311</v>
      </c>
      <c r="AS667" s="227"/>
      <c r="AT667" s="50" t="s">
        <v>266</v>
      </c>
      <c r="AU667" s="48">
        <v>6</v>
      </c>
      <c r="AV667" s="48">
        <v>120</v>
      </c>
      <c r="AW667" s="48">
        <v>114</v>
      </c>
      <c r="AX667" s="48">
        <v>28</v>
      </c>
      <c r="AY667" s="48" t="s">
        <v>8728</v>
      </c>
      <c r="AZ667" s="48" t="s">
        <v>1563</v>
      </c>
      <c r="BA667" s="48">
        <v>32</v>
      </c>
      <c r="BB667" s="47" t="s">
        <v>2485</v>
      </c>
      <c r="BC667" s="47" t="s">
        <v>8726</v>
      </c>
      <c r="BD667" s="47" t="s">
        <v>8374</v>
      </c>
      <c r="BE667" s="48" t="s">
        <v>2449</v>
      </c>
      <c r="BF667" s="48" t="s">
        <v>272</v>
      </c>
      <c r="BG667" s="48" t="s">
        <v>272</v>
      </c>
      <c r="BH667" s="48" t="s">
        <v>2486</v>
      </c>
      <c r="BI667" s="98">
        <v>8.5868799999999992E-4</v>
      </c>
      <c r="BJ667" s="98">
        <v>8.586879999999999</v>
      </c>
      <c r="BK667" s="48"/>
      <c r="BL667" s="487">
        <v>28717.353867623195</v>
      </c>
      <c r="BM667" s="47" t="s">
        <v>2487</v>
      </c>
      <c r="BN667" s="48"/>
      <c r="BO667" s="48"/>
      <c r="BP667" s="48"/>
      <c r="BQ667" s="48"/>
      <c r="BR667" s="47" t="e">
        <v>#VALUE!</v>
      </c>
      <c r="BS667" s="48"/>
      <c r="BT667" s="48"/>
      <c r="BU667" s="228">
        <v>8.5868799999999981E-3</v>
      </c>
      <c r="BV667" s="48"/>
      <c r="BW667" s="48"/>
      <c r="BX667" s="48"/>
      <c r="BY667" s="48"/>
      <c r="BZ667" s="48"/>
      <c r="CA667" s="48"/>
      <c r="CB667" s="48"/>
      <c r="CC667" s="48"/>
      <c r="CD667" s="48"/>
      <c r="CE667" s="48"/>
      <c r="CF667" s="48"/>
      <c r="CG667" s="48"/>
      <c r="CH667" s="48"/>
      <c r="CI667" s="98"/>
      <c r="CJ667" s="98"/>
      <c r="CK667" s="49">
        <f t="shared" si="142"/>
        <v>3344.3292403787173</v>
      </c>
      <c r="CL667" s="229"/>
      <c r="CM667" s="229"/>
      <c r="CN667" s="229"/>
      <c r="CO667" s="47" t="s">
        <v>2488</v>
      </c>
      <c r="CP667" s="500" t="s">
        <v>2489</v>
      </c>
      <c r="CQ667" s="224">
        <v>4.2150050202492899</v>
      </c>
      <c r="CR667" s="224">
        <f t="shared" si="150"/>
        <v>6.095298513079345E-5</v>
      </c>
      <c r="CS667" s="230" t="s">
        <v>539</v>
      </c>
      <c r="CT667" s="230"/>
      <c r="CU667" s="230"/>
      <c r="CV667" s="335">
        <f t="shared" si="143"/>
        <v>116456.73399418649</v>
      </c>
      <c r="CW667" s="230">
        <f t="shared" si="141"/>
        <v>1</v>
      </c>
      <c r="CX667" s="336"/>
      <c r="CY667" s="230" t="s">
        <v>6351</v>
      </c>
    </row>
    <row r="668" spans="1:103" ht="11.25" customHeight="1" x14ac:dyDescent="0.2">
      <c r="A668" s="72">
        <v>988</v>
      </c>
      <c r="B668" s="224">
        <v>1530</v>
      </c>
      <c r="C668" s="46" t="s">
        <v>7173</v>
      </c>
      <c r="D668" s="46"/>
      <c r="E668" s="114"/>
      <c r="F668" s="114" t="s">
        <v>724</v>
      </c>
      <c r="G668" s="225">
        <v>111966</v>
      </c>
      <c r="H668" s="47" t="s">
        <v>725</v>
      </c>
      <c r="I668" s="47" t="s">
        <v>725</v>
      </c>
      <c r="J668" s="47" t="s">
        <v>726</v>
      </c>
      <c r="K668" s="47" t="s">
        <v>426</v>
      </c>
      <c r="L668" s="51"/>
      <c r="M668" s="47"/>
      <c r="N668" s="47"/>
      <c r="O668" s="47"/>
      <c r="P668" s="53"/>
      <c r="Q668" s="53"/>
      <c r="R668" s="53"/>
      <c r="S668" s="53"/>
      <c r="T668" s="48">
        <v>134.16999999999999</v>
      </c>
      <c r="U668" s="98">
        <v>1000000</v>
      </c>
      <c r="V668" s="98">
        <v>179600</v>
      </c>
      <c r="W668" s="98">
        <v>534140.39073162724</v>
      </c>
      <c r="X668" s="98">
        <v>1000000</v>
      </c>
      <c r="Y668" s="233">
        <v>7</v>
      </c>
      <c r="Z668" s="48">
        <v>-0.48</v>
      </c>
      <c r="AA668" s="48">
        <v>-0.36</v>
      </c>
      <c r="AB668" s="48">
        <v>-0.04</v>
      </c>
      <c r="AC668" s="48">
        <v>0.92410000000000003</v>
      </c>
      <c r="AD668" s="48">
        <v>-0.18</v>
      </c>
      <c r="AE668" s="48">
        <v>-0.8</v>
      </c>
      <c r="AF668" s="48">
        <f t="shared" si="144"/>
        <v>-0.36</v>
      </c>
      <c r="AG668" s="49">
        <v>0.37</v>
      </c>
      <c r="AH668" s="98">
        <v>2.0800000000000001E-7</v>
      </c>
      <c r="AI668" s="98">
        <v>5.2300000000000001E-7</v>
      </c>
      <c r="AJ668" s="483">
        <f t="shared" si="146"/>
        <v>-5.0705029913498905</v>
      </c>
      <c r="AK668" s="483">
        <f>LOG10(AI668*1000/(0.08206*298.15))</f>
        <v>-4.6700646374453774</v>
      </c>
      <c r="AL668" s="483">
        <f t="shared" si="145"/>
        <v>-4.6700646374453774</v>
      </c>
      <c r="AM668" s="483">
        <v>-4.7041600000000008</v>
      </c>
      <c r="AN668" s="226">
        <v>-4.71</v>
      </c>
      <c r="AO668" s="484"/>
      <c r="AP668" s="484"/>
      <c r="AQ668" s="48" t="s">
        <v>6311</v>
      </c>
      <c r="AR668" s="48" t="s">
        <v>6311</v>
      </c>
      <c r="AS668" s="227"/>
      <c r="AT668" s="50" t="s">
        <v>266</v>
      </c>
      <c r="AU668" s="48">
        <v>6</v>
      </c>
      <c r="AV668" s="48">
        <v>120</v>
      </c>
      <c r="AW668" s="48">
        <v>114</v>
      </c>
      <c r="AX668" s="48">
        <v>28</v>
      </c>
      <c r="AY668" s="48" t="s">
        <v>8728</v>
      </c>
      <c r="AZ668" s="48" t="s">
        <v>1563</v>
      </c>
      <c r="BA668" s="48">
        <v>32</v>
      </c>
      <c r="BB668" s="47" t="s">
        <v>2485</v>
      </c>
      <c r="BC668" s="47" t="s">
        <v>8726</v>
      </c>
      <c r="BD668" s="47" t="s">
        <v>8374</v>
      </c>
      <c r="BE668" s="48" t="s">
        <v>2449</v>
      </c>
      <c r="BF668" s="48" t="s">
        <v>272</v>
      </c>
      <c r="BG668" s="48" t="s">
        <v>272</v>
      </c>
      <c r="BH668" s="48" t="s">
        <v>2486</v>
      </c>
      <c r="BI668" s="98">
        <v>8.5868799999999992E-4</v>
      </c>
      <c r="BJ668" s="98">
        <v>8.586879999999999</v>
      </c>
      <c r="BK668" s="48"/>
      <c r="BL668" s="487">
        <v>18601.305255484916</v>
      </c>
      <c r="BM668" s="47" t="s">
        <v>2487</v>
      </c>
      <c r="BN668" s="48"/>
      <c r="BO668" s="48"/>
      <c r="BP668" s="48"/>
      <c r="BQ668" s="48"/>
      <c r="BR668" s="47" t="e">
        <v>#VALUE!</v>
      </c>
      <c r="BS668" s="48"/>
      <c r="BT668" s="48"/>
      <c r="BU668" s="228"/>
      <c r="BV668" s="48"/>
      <c r="BW668" s="48"/>
      <c r="BX668" s="48"/>
      <c r="BY668" s="48"/>
      <c r="BZ668" s="48"/>
      <c r="CA668" s="48"/>
      <c r="CB668" s="48"/>
      <c r="CC668" s="48"/>
      <c r="CD668" s="48"/>
      <c r="CE668" s="48"/>
      <c r="CF668" s="48"/>
      <c r="CG668" s="48"/>
      <c r="CH668" s="48"/>
      <c r="CI668" s="98"/>
      <c r="CJ668" s="98"/>
      <c r="CK668" s="49">
        <f t="shared" si="142"/>
        <v>2166.2472580826702</v>
      </c>
      <c r="CL668" s="229"/>
      <c r="CM668" s="229"/>
      <c r="CN668" s="229"/>
      <c r="CO668" s="47" t="s">
        <v>2488</v>
      </c>
      <c r="CP668" s="500" t="s">
        <v>2489</v>
      </c>
      <c r="CQ668" s="224" t="s">
        <v>272</v>
      </c>
      <c r="CR668" s="224"/>
      <c r="CS668" s="230" t="s">
        <v>539</v>
      </c>
      <c r="CT668" s="230"/>
      <c r="CU668" s="230"/>
      <c r="CV668" s="335">
        <f t="shared" si="143"/>
        <v>116456.73399418649</v>
      </c>
      <c r="CW668" s="230">
        <f t="shared" si="141"/>
        <v>1</v>
      </c>
      <c r="CX668" s="336"/>
      <c r="CY668" s="230" t="s">
        <v>6351</v>
      </c>
    </row>
    <row r="669" spans="1:103" ht="11.25" customHeight="1" x14ac:dyDescent="0.2">
      <c r="A669" s="72">
        <v>989</v>
      </c>
      <c r="B669" s="224">
        <v>1214</v>
      </c>
      <c r="C669" s="46" t="s">
        <v>7174</v>
      </c>
      <c r="D669" s="46" t="s">
        <v>8590</v>
      </c>
      <c r="E669" s="114"/>
      <c r="F669" s="114" t="s">
        <v>3347</v>
      </c>
      <c r="G669" s="225">
        <v>112050</v>
      </c>
      <c r="H669" s="47" t="s">
        <v>3348</v>
      </c>
      <c r="I669" s="47" t="s">
        <v>3348</v>
      </c>
      <c r="J669" s="47" t="s">
        <v>3349</v>
      </c>
      <c r="K669" s="47" t="s">
        <v>426</v>
      </c>
      <c r="L669" s="47" t="s">
        <v>5527</v>
      </c>
      <c r="M669" s="47" t="s">
        <v>6082</v>
      </c>
      <c r="N669" s="47" t="s">
        <v>6082</v>
      </c>
      <c r="O669" s="47" t="s">
        <v>6083</v>
      </c>
      <c r="P669" s="53"/>
      <c r="Q669" s="53"/>
      <c r="R669" s="53"/>
      <c r="S669" s="53"/>
      <c r="T669" s="48">
        <v>158.24</v>
      </c>
      <c r="U669" s="98">
        <v>284</v>
      </c>
      <c r="V669" s="98">
        <v>207.8</v>
      </c>
      <c r="W669" s="98">
        <v>869.59347879230552</v>
      </c>
      <c r="X669" s="98">
        <v>284</v>
      </c>
      <c r="Y669" s="233">
        <v>3.53</v>
      </c>
      <c r="Z669" s="48">
        <v>3.52</v>
      </c>
      <c r="AA669" s="48">
        <v>3.42</v>
      </c>
      <c r="AB669" s="48">
        <v>3.37</v>
      </c>
      <c r="AC669" s="48">
        <v>0.90990000000000004</v>
      </c>
      <c r="AD669" s="48">
        <v>3.38</v>
      </c>
      <c r="AE669" s="48">
        <v>3.43</v>
      </c>
      <c r="AF669" s="48">
        <f t="shared" si="144"/>
        <v>3.42</v>
      </c>
      <c r="AG669" s="49">
        <v>2.89</v>
      </c>
      <c r="AH669" s="98">
        <v>3.98E-6</v>
      </c>
      <c r="AI669" s="98">
        <v>1.6199999999999999E-6</v>
      </c>
      <c r="AJ669" s="483">
        <f t="shared" si="146"/>
        <v>-3.7886832542389639</v>
      </c>
      <c r="AK669" s="483">
        <f>LOG10(AI669*1000/(0.08206*298.15))</f>
        <v>-4.1790513117700208</v>
      </c>
      <c r="AL669" s="483">
        <f t="shared" si="145"/>
        <v>-4.1790513117700208</v>
      </c>
      <c r="AM669" s="483">
        <v>-5.8312299999999997</v>
      </c>
      <c r="AN669" s="226">
        <v>-4.09</v>
      </c>
      <c r="AO669" s="484">
        <v>4.78</v>
      </c>
      <c r="AP669" s="484"/>
      <c r="AQ669" s="48" t="s">
        <v>6311</v>
      </c>
      <c r="AR669" s="48" t="s">
        <v>6311</v>
      </c>
      <c r="AS669" s="227"/>
      <c r="AT669" s="50" t="s">
        <v>266</v>
      </c>
      <c r="AU669" s="48">
        <v>6</v>
      </c>
      <c r="AV669" s="48">
        <v>120</v>
      </c>
      <c r="AW669" s="48">
        <v>114</v>
      </c>
      <c r="AX669" s="48">
        <v>28</v>
      </c>
      <c r="AY669" s="48" t="s">
        <v>8728</v>
      </c>
      <c r="AZ669" s="48" t="s">
        <v>1563</v>
      </c>
      <c r="BA669" s="48">
        <v>32</v>
      </c>
      <c r="BB669" s="47" t="s">
        <v>2485</v>
      </c>
      <c r="BC669" s="47" t="s">
        <v>8726</v>
      </c>
      <c r="BD669" s="47" t="s">
        <v>8374</v>
      </c>
      <c r="BE669" s="48" t="s">
        <v>2449</v>
      </c>
      <c r="BF669" s="48" t="s">
        <v>272</v>
      </c>
      <c r="BG669" s="48" t="s">
        <v>272</v>
      </c>
      <c r="BH669" s="48" t="s">
        <v>2486</v>
      </c>
      <c r="BI669" s="98">
        <v>1.012736E-3</v>
      </c>
      <c r="BJ669" s="98">
        <v>10.127360000000001</v>
      </c>
      <c r="BK669" s="48"/>
      <c r="BL669" s="487">
        <v>5.6079518259903267</v>
      </c>
      <c r="BM669" s="47" t="s">
        <v>2487</v>
      </c>
      <c r="BN669" s="48"/>
      <c r="BO669" s="48"/>
      <c r="BP669" s="48"/>
      <c r="BQ669" s="48"/>
      <c r="BR669" s="47" t="e">
        <v>#VALUE!</v>
      </c>
      <c r="BS669" s="48"/>
      <c r="BT669" s="48"/>
      <c r="BU669" s="228">
        <v>0.10127360000000002</v>
      </c>
      <c r="BV669" s="48"/>
      <c r="BW669" s="48"/>
      <c r="BX669" s="48"/>
      <c r="BY669" s="48"/>
      <c r="BZ669" s="48"/>
      <c r="CA669" s="48"/>
      <c r="CB669" s="48"/>
      <c r="CC669" s="48"/>
      <c r="CD669" s="48"/>
      <c r="CE669" s="48"/>
      <c r="CF669" s="48"/>
      <c r="CG669" s="48"/>
      <c r="CH669" s="48"/>
      <c r="CI669" s="98"/>
      <c r="CJ669" s="98"/>
      <c r="CK669" s="49">
        <f t="shared" si="142"/>
        <v>0.55374271537600384</v>
      </c>
      <c r="CL669" s="229"/>
      <c r="CM669" s="229"/>
      <c r="CN669" s="229"/>
      <c r="CO669" s="47" t="s">
        <v>2488</v>
      </c>
      <c r="CP669" s="500" t="s">
        <v>2489</v>
      </c>
      <c r="CQ669" s="224">
        <v>1.9990880102299373</v>
      </c>
      <c r="CR669" s="224">
        <f>10^(CJ669-CQ669)</f>
        <v>1.00210214045518E-2</v>
      </c>
      <c r="CS669" s="230" t="s">
        <v>539</v>
      </c>
      <c r="CT669" s="230"/>
      <c r="CU669" s="230"/>
      <c r="CV669" s="335">
        <f t="shared" si="143"/>
        <v>28.042846309403433</v>
      </c>
      <c r="CW669" s="230">
        <f t="shared" si="141"/>
        <v>1</v>
      </c>
      <c r="CX669" s="336"/>
      <c r="CY669" s="230" t="s">
        <v>6351</v>
      </c>
    </row>
    <row r="670" spans="1:103" ht="11.25" customHeight="1" x14ac:dyDescent="0.2">
      <c r="A670" s="72">
        <v>990</v>
      </c>
      <c r="B670" s="224">
        <v>1385</v>
      </c>
      <c r="C670" s="46" t="s">
        <v>7175</v>
      </c>
      <c r="D670" s="46"/>
      <c r="E670" s="114"/>
      <c r="F670" s="114" t="s">
        <v>4269</v>
      </c>
      <c r="G670" s="225">
        <v>112254</v>
      </c>
      <c r="H670" s="47" t="s">
        <v>4270</v>
      </c>
      <c r="I670" s="47" t="s">
        <v>4270</v>
      </c>
      <c r="J670" s="47" t="s">
        <v>4271</v>
      </c>
      <c r="K670" s="47" t="s">
        <v>426</v>
      </c>
      <c r="L670" s="47"/>
      <c r="M670" s="47"/>
      <c r="N670" s="47"/>
      <c r="O670" s="47"/>
      <c r="P670" s="53" t="s">
        <v>6183</v>
      </c>
      <c r="Q670" s="53" t="s">
        <v>6182</v>
      </c>
      <c r="R670" s="53" t="s">
        <v>6185</v>
      </c>
      <c r="S670" s="53" t="s">
        <v>6176</v>
      </c>
      <c r="T670" s="48">
        <v>146.22999999999999</v>
      </c>
      <c r="U670" s="98">
        <v>9900</v>
      </c>
      <c r="V670" s="98">
        <v>6577</v>
      </c>
      <c r="W670" s="98">
        <v>17180.526945880734</v>
      </c>
      <c r="X670" s="98">
        <v>9900</v>
      </c>
      <c r="Y670" s="233">
        <v>6.99</v>
      </c>
      <c r="Z670" s="48">
        <v>1.55</v>
      </c>
      <c r="AA670" s="48">
        <v>1.86</v>
      </c>
      <c r="AB670" s="48">
        <v>1.97</v>
      </c>
      <c r="AC670" s="48">
        <v>0.88109999999999999</v>
      </c>
      <c r="AD670" s="48">
        <v>1.94</v>
      </c>
      <c r="AE670" s="48">
        <v>1.86</v>
      </c>
      <c r="AF670" s="48">
        <f t="shared" si="144"/>
        <v>1.86</v>
      </c>
      <c r="AG670" s="49">
        <v>1.73</v>
      </c>
      <c r="AH670" s="98">
        <v>1.73E-7</v>
      </c>
      <c r="AI670" s="98">
        <v>3.1200000000000002E-6</v>
      </c>
      <c r="AJ670" s="483">
        <f t="shared" si="146"/>
        <v>-5.1505202231838565</v>
      </c>
      <c r="AK670" s="483">
        <f>LOG10(AI670*1000/(0.08206*298.15))</f>
        <v>-3.8944117322942091</v>
      </c>
      <c r="AL670" s="483">
        <f t="shared" si="145"/>
        <v>-3.8944117322942091</v>
      </c>
      <c r="AM670" s="483">
        <v>-5.5165800000000003</v>
      </c>
      <c r="AN670" s="226">
        <v>-3.99</v>
      </c>
      <c r="AO670" s="484">
        <v>14.44</v>
      </c>
      <c r="AP670" s="484"/>
      <c r="AQ670" s="48" t="s">
        <v>6311</v>
      </c>
      <c r="AR670" s="48" t="s">
        <v>6311</v>
      </c>
      <c r="AS670" s="227"/>
      <c r="AT670" s="50" t="s">
        <v>266</v>
      </c>
      <c r="AU670" s="48">
        <v>6</v>
      </c>
      <c r="AV670" s="48">
        <v>120</v>
      </c>
      <c r="AW670" s="48">
        <v>114</v>
      </c>
      <c r="AX670" s="48">
        <v>28</v>
      </c>
      <c r="AY670" s="48" t="s">
        <v>8728</v>
      </c>
      <c r="AZ670" s="48" t="s">
        <v>1563</v>
      </c>
      <c r="BA670" s="48">
        <v>32</v>
      </c>
      <c r="BB670" s="47" t="s">
        <v>2485</v>
      </c>
      <c r="BC670" s="47" t="s">
        <v>8726</v>
      </c>
      <c r="BD670" s="47" t="s">
        <v>8374</v>
      </c>
      <c r="BE670" s="48" t="s">
        <v>2449</v>
      </c>
      <c r="BF670" s="48" t="s">
        <v>272</v>
      </c>
      <c r="BG670" s="48" t="s">
        <v>272</v>
      </c>
      <c r="BH670" s="48" t="s">
        <v>2486</v>
      </c>
      <c r="BI670" s="98">
        <v>9.3587199999999992E-4</v>
      </c>
      <c r="BJ670" s="98">
        <v>9.3587199999999999</v>
      </c>
      <c r="BK670" s="48"/>
      <c r="BL670" s="487">
        <v>304.63617937749109</v>
      </c>
      <c r="BM670" s="47" t="s">
        <v>2487</v>
      </c>
      <c r="BN670" s="48"/>
      <c r="BO670" s="48"/>
      <c r="BP670" s="48"/>
      <c r="BQ670" s="48"/>
      <c r="BR670" s="47"/>
      <c r="BS670" s="48"/>
      <c r="BT670" s="48"/>
      <c r="BU670" s="228"/>
      <c r="BV670" s="48"/>
      <c r="BW670" s="48"/>
      <c r="BX670" s="48"/>
      <c r="BY670" s="48"/>
      <c r="BZ670" s="48"/>
      <c r="CA670" s="48"/>
      <c r="CB670" s="48"/>
      <c r="CC670" s="48"/>
      <c r="CD670" s="48"/>
      <c r="CE670" s="48"/>
      <c r="CF670" s="48"/>
      <c r="CG670" s="48"/>
      <c r="CH670" s="48"/>
      <c r="CI670" s="52"/>
      <c r="CJ670" s="98"/>
      <c r="CK670" s="49">
        <f t="shared" si="142"/>
        <v>32.551051786728429</v>
      </c>
      <c r="CL670" s="229"/>
      <c r="CM670" s="229"/>
      <c r="CN670" s="229"/>
      <c r="CO670" s="47" t="s">
        <v>2488</v>
      </c>
      <c r="CP670" s="500" t="s">
        <v>2489</v>
      </c>
      <c r="CQ670" s="224" t="s">
        <v>272</v>
      </c>
      <c r="CR670" s="224"/>
      <c r="CS670" s="230" t="s">
        <v>539</v>
      </c>
      <c r="CT670" s="230"/>
      <c r="CU670" s="230"/>
      <c r="CV670" s="335">
        <f t="shared" si="143"/>
        <v>1057.8369691581754</v>
      </c>
      <c r="CW670" s="230">
        <f t="shared" si="141"/>
        <v>1</v>
      </c>
      <c r="CX670" s="336"/>
      <c r="CY670" s="230" t="s">
        <v>6351</v>
      </c>
    </row>
    <row r="671" spans="1:103" ht="11.25" customHeight="1" x14ac:dyDescent="0.2">
      <c r="A671" s="72">
        <v>991</v>
      </c>
      <c r="B671" s="224">
        <v>1916</v>
      </c>
      <c r="C671" s="46" t="s">
        <v>1795</v>
      </c>
      <c r="D671" s="46"/>
      <c r="E671" s="114"/>
      <c r="F671" s="114" t="s">
        <v>1796</v>
      </c>
      <c r="G671" s="225">
        <v>112276</v>
      </c>
      <c r="H671" s="47" t="s">
        <v>1797</v>
      </c>
      <c r="I671" s="47" t="s">
        <v>1797</v>
      </c>
      <c r="J671" s="47" t="s">
        <v>1798</v>
      </c>
      <c r="K671" s="47" t="s">
        <v>426</v>
      </c>
      <c r="L671" s="47"/>
      <c r="M671" s="47" t="s">
        <v>6616</v>
      </c>
      <c r="N671" s="47" t="s">
        <v>6082</v>
      </c>
      <c r="O671" s="47"/>
      <c r="P671" s="53"/>
      <c r="Q671" s="53" t="s">
        <v>6176</v>
      </c>
      <c r="R671" s="53" t="s">
        <v>6185</v>
      </c>
      <c r="S671" s="53" t="s">
        <v>6176</v>
      </c>
      <c r="T671" s="48">
        <v>150.16999999999999</v>
      </c>
      <c r="U671" s="98">
        <v>1000000</v>
      </c>
      <c r="V671" s="98">
        <v>1000000</v>
      </c>
      <c r="W671" s="98">
        <v>992163.35087300697</v>
      </c>
      <c r="X671" s="98">
        <v>1000000</v>
      </c>
      <c r="Y671" s="233">
        <v>6.58</v>
      </c>
      <c r="Z671" s="48">
        <v>-1.75</v>
      </c>
      <c r="AA671" s="48">
        <v>-1.75</v>
      </c>
      <c r="AB671" s="48">
        <v>-1.01</v>
      </c>
      <c r="AC671" s="48">
        <v>0.8387</v>
      </c>
      <c r="AD671" s="48">
        <v>-1.24</v>
      </c>
      <c r="AE671" s="48">
        <v>-1.87</v>
      </c>
      <c r="AF671" s="48">
        <f t="shared" si="144"/>
        <v>-1.75</v>
      </c>
      <c r="AG671" s="49">
        <v>-0.93</v>
      </c>
      <c r="AH671" s="98">
        <v>3.1599999999999999E-11</v>
      </c>
      <c r="AI671" s="98"/>
      <c r="AJ671" s="483">
        <f t="shared" si="146"/>
        <v>-8.8888792436942481</v>
      </c>
      <c r="AK671" s="483"/>
      <c r="AL671" s="483">
        <f t="shared" si="145"/>
        <v>-8.8888792436942481</v>
      </c>
      <c r="AM671" s="483">
        <v>-10.47321</v>
      </c>
      <c r="AN671" s="226">
        <v>-9.2100000000000009</v>
      </c>
      <c r="AO671" s="484">
        <v>14.06</v>
      </c>
      <c r="AP671" s="484"/>
      <c r="AQ671" s="226" t="s">
        <v>6311</v>
      </c>
      <c r="AR671" s="226" t="s">
        <v>6311</v>
      </c>
      <c r="AS671" s="224"/>
      <c r="AT671" s="50" t="s">
        <v>266</v>
      </c>
      <c r="AU671" s="48">
        <v>6</v>
      </c>
      <c r="AV671" s="48">
        <v>120</v>
      </c>
      <c r="AW671" s="48">
        <v>114</v>
      </c>
      <c r="AX671" s="48">
        <v>28</v>
      </c>
      <c r="AY671" s="48" t="s">
        <v>8728</v>
      </c>
      <c r="AZ671" s="48" t="s">
        <v>1563</v>
      </c>
      <c r="BA671" s="48">
        <v>32</v>
      </c>
      <c r="BB671" s="47" t="s">
        <v>2485</v>
      </c>
      <c r="BC671" s="47" t="s">
        <v>8726</v>
      </c>
      <c r="BD671" s="47" t="s">
        <v>8374</v>
      </c>
      <c r="BE671" s="48" t="s">
        <v>2449</v>
      </c>
      <c r="BF671" s="48" t="s">
        <v>272</v>
      </c>
      <c r="BG671" s="48" t="s">
        <v>272</v>
      </c>
      <c r="BH671" s="48" t="s">
        <v>2486</v>
      </c>
      <c r="BI671" s="98">
        <v>9.6108799999999992E-4</v>
      </c>
      <c r="BJ671" s="98">
        <v>9.6108799999999999</v>
      </c>
      <c r="BK671" s="48"/>
      <c r="BL671" s="487">
        <v>287778.39145830373</v>
      </c>
      <c r="BM671" s="47" t="s">
        <v>2487</v>
      </c>
      <c r="BN671" s="48"/>
      <c r="BO671" s="48"/>
      <c r="BP671" s="48"/>
      <c r="BQ671" s="48"/>
      <c r="BR671" s="47" t="e">
        <v>#VALUE!</v>
      </c>
      <c r="BS671" s="48"/>
      <c r="BT671" s="48"/>
      <c r="BU671" s="228"/>
      <c r="BV671" s="48"/>
      <c r="BW671" s="48"/>
      <c r="BX671" s="48"/>
      <c r="BY671" s="48"/>
      <c r="BZ671" s="48"/>
      <c r="CA671" s="48"/>
      <c r="CB671" s="48"/>
      <c r="CC671" s="48"/>
      <c r="CD671" s="48"/>
      <c r="CE671" s="48"/>
      <c r="CF671" s="48"/>
      <c r="CG671" s="48"/>
      <c r="CH671" s="48"/>
      <c r="CI671" s="98"/>
      <c r="CJ671" s="98"/>
      <c r="CK671" s="49">
        <f t="shared" si="142"/>
        <v>29942.980399120966</v>
      </c>
      <c r="CL671" s="229"/>
      <c r="CM671" s="229"/>
      <c r="CN671" s="229"/>
      <c r="CO671" s="47" t="s">
        <v>2488</v>
      </c>
      <c r="CP671" s="500" t="s">
        <v>2489</v>
      </c>
      <c r="CQ671" s="224">
        <v>4.8629941487295589</v>
      </c>
      <c r="CR671" s="224">
        <f>10^(CJ671-CQ671)</f>
        <v>1.3709002362452417E-5</v>
      </c>
      <c r="CS671" s="230" t="s">
        <v>539</v>
      </c>
      <c r="CT671" s="230"/>
      <c r="CU671" s="230"/>
      <c r="CV671" s="335">
        <f t="shared" si="143"/>
        <v>104048.74475594326</v>
      </c>
      <c r="CW671" s="230">
        <f t="shared" ref="CW671:CW734" si="151">IF(CV671&lt;1,0,1)</f>
        <v>1</v>
      </c>
      <c r="CX671" s="336"/>
      <c r="CY671" s="230" t="s">
        <v>6351</v>
      </c>
    </row>
    <row r="672" spans="1:103" ht="11.25" customHeight="1" x14ac:dyDescent="0.2">
      <c r="A672" s="72">
        <v>992</v>
      </c>
      <c r="B672" s="224">
        <v>1351</v>
      </c>
      <c r="C672" s="46" t="s">
        <v>7176</v>
      </c>
      <c r="D672" s="46" t="s">
        <v>8713</v>
      </c>
      <c r="E672" s="114"/>
      <c r="F672" s="114" t="s">
        <v>4182</v>
      </c>
      <c r="G672" s="225">
        <v>112301</v>
      </c>
      <c r="H672" s="47" t="s">
        <v>4183</v>
      </c>
      <c r="I672" s="47" t="s">
        <v>4183</v>
      </c>
      <c r="J672" s="47" t="s">
        <v>4184</v>
      </c>
      <c r="K672" s="47" t="s">
        <v>426</v>
      </c>
      <c r="L672" s="51" t="s">
        <v>5527</v>
      </c>
      <c r="M672" s="47" t="s">
        <v>6082</v>
      </c>
      <c r="N672" s="47" t="s">
        <v>6082</v>
      </c>
      <c r="O672" s="47" t="s">
        <v>6083</v>
      </c>
      <c r="P672" s="53" t="s">
        <v>6183</v>
      </c>
      <c r="Q672" s="53" t="s">
        <v>6179</v>
      </c>
      <c r="R672" s="53" t="s">
        <v>6185</v>
      </c>
      <c r="S672" s="53" t="s">
        <v>6176</v>
      </c>
      <c r="T672" s="48">
        <v>158.28</v>
      </c>
      <c r="U672" s="98">
        <v>37</v>
      </c>
      <c r="V672" s="98">
        <v>28.21</v>
      </c>
      <c r="W672" s="98">
        <v>102.1941513716052</v>
      </c>
      <c r="X672" s="98">
        <v>37</v>
      </c>
      <c r="Y672" s="233">
        <v>7</v>
      </c>
      <c r="Z672" s="48">
        <v>3.79</v>
      </c>
      <c r="AA672" s="48">
        <v>4.57</v>
      </c>
      <c r="AB672" s="48">
        <v>4.42</v>
      </c>
      <c r="AC672" s="48">
        <v>0.89490000000000003</v>
      </c>
      <c r="AD672" s="48">
        <v>4.33</v>
      </c>
      <c r="AE672" s="48">
        <v>4.0599999999999996</v>
      </c>
      <c r="AF672" s="48">
        <f t="shared" si="144"/>
        <v>4.57</v>
      </c>
      <c r="AG672" s="49">
        <v>3.53</v>
      </c>
      <c r="AH672" s="98">
        <v>5.4700000000000001E-5</v>
      </c>
      <c r="AI672" s="98">
        <v>3.1999999999999999E-5</v>
      </c>
      <c r="AJ672" s="483">
        <f t="shared" si="146"/>
        <v>-2.6505789999792211</v>
      </c>
      <c r="AK672" s="483">
        <f>LOG10(AI672*1000/(0.08206*298.15))</f>
        <v>-2.8834163479927457</v>
      </c>
      <c r="AL672" s="483">
        <f t="shared" si="145"/>
        <v>-2.8834163479927457</v>
      </c>
      <c r="AM672" s="483">
        <v>-4.18283</v>
      </c>
      <c r="AN672" s="226">
        <v>-2.5099999999999998</v>
      </c>
      <c r="AO672" s="484">
        <v>15.21</v>
      </c>
      <c r="AP672" s="484"/>
      <c r="AQ672" s="48" t="s">
        <v>6311</v>
      </c>
      <c r="AR672" s="48" t="s">
        <v>6311</v>
      </c>
      <c r="AS672" s="227"/>
      <c r="AT672" s="50" t="s">
        <v>266</v>
      </c>
      <c r="AU672" s="48">
        <v>6</v>
      </c>
      <c r="AV672" s="48">
        <v>120</v>
      </c>
      <c r="AW672" s="48">
        <v>114</v>
      </c>
      <c r="AX672" s="48">
        <v>28</v>
      </c>
      <c r="AY672" s="48" t="s">
        <v>8728</v>
      </c>
      <c r="AZ672" s="48" t="s">
        <v>1563</v>
      </c>
      <c r="BA672" s="48">
        <v>32</v>
      </c>
      <c r="BB672" s="47" t="s">
        <v>2485</v>
      </c>
      <c r="BC672" s="47" t="s">
        <v>8726</v>
      </c>
      <c r="BD672" s="47" t="s">
        <v>8374</v>
      </c>
      <c r="BE672" s="48" t="s">
        <v>2449</v>
      </c>
      <c r="BF672" s="48" t="s">
        <v>272</v>
      </c>
      <c r="BG672" s="48" t="s">
        <v>272</v>
      </c>
      <c r="BH672" s="48" t="s">
        <v>2486</v>
      </c>
      <c r="BI672" s="98">
        <v>1.0129919999999999E-3</v>
      </c>
      <c r="BJ672" s="98">
        <v>10.12992</v>
      </c>
      <c r="BK672" s="48"/>
      <c r="BL672" s="487">
        <v>3.2094235984207091</v>
      </c>
      <c r="BM672" s="47" t="s">
        <v>2487</v>
      </c>
      <c r="BN672" s="48"/>
      <c r="BO672" s="48"/>
      <c r="BP672" s="48"/>
      <c r="BQ672" s="48"/>
      <c r="BR672" s="47" t="e">
        <v>#VALUE!</v>
      </c>
      <c r="BS672" s="48"/>
      <c r="BT672" s="48"/>
      <c r="BU672" s="228"/>
      <c r="BV672" s="48"/>
      <c r="BW672" s="48"/>
      <c r="BX672" s="48"/>
      <c r="BY672" s="48"/>
      <c r="BZ672" s="48"/>
      <c r="CA672" s="48"/>
      <c r="CB672" s="48"/>
      <c r="CC672" s="48"/>
      <c r="CD672" s="48"/>
      <c r="CE672" s="48"/>
      <c r="CF672" s="48"/>
      <c r="CG672" s="48"/>
      <c r="CH672" s="48"/>
      <c r="CI672" s="98"/>
      <c r="CJ672" s="98"/>
      <c r="CK672" s="49">
        <f t="shared" si="142"/>
        <v>0.31682615444354045</v>
      </c>
      <c r="CL672" s="229"/>
      <c r="CM672" s="229"/>
      <c r="CN672" s="229"/>
      <c r="CO672" s="47" t="s">
        <v>2488</v>
      </c>
      <c r="CP672" s="500" t="s">
        <v>2489</v>
      </c>
      <c r="CQ672" s="224">
        <v>0.54175130991513365</v>
      </c>
      <c r="CR672" s="224">
        <f>10^(CJ672-CQ672)</f>
        <v>0.28724249481071307</v>
      </c>
      <c r="CS672" s="230" t="s">
        <v>539</v>
      </c>
      <c r="CT672" s="230"/>
      <c r="CU672" s="230"/>
      <c r="CV672" s="335">
        <f t="shared" si="143"/>
        <v>3.6525461207985845</v>
      </c>
      <c r="CW672" s="230">
        <f t="shared" si="151"/>
        <v>1</v>
      </c>
      <c r="CX672" s="336"/>
      <c r="CY672" s="230" t="s">
        <v>6351</v>
      </c>
    </row>
    <row r="673" spans="1:103" ht="11.25" customHeight="1" x14ac:dyDescent="0.2">
      <c r="A673" s="72">
        <v>993</v>
      </c>
      <c r="B673" s="224">
        <v>922</v>
      </c>
      <c r="C673" s="46" t="s">
        <v>7177</v>
      </c>
      <c r="D673" s="46"/>
      <c r="E673" s="114"/>
      <c r="F673" s="114" t="s">
        <v>701</v>
      </c>
      <c r="G673" s="225">
        <v>112345</v>
      </c>
      <c r="H673" s="47" t="s">
        <v>702</v>
      </c>
      <c r="I673" s="47" t="s">
        <v>702</v>
      </c>
      <c r="J673" s="47" t="s">
        <v>703</v>
      </c>
      <c r="K673" s="47" t="s">
        <v>426</v>
      </c>
      <c r="L673" s="47" t="s">
        <v>5527</v>
      </c>
      <c r="M673" s="47" t="s">
        <v>6082</v>
      </c>
      <c r="N673" s="47" t="s">
        <v>6082</v>
      </c>
      <c r="O673" s="47" t="s">
        <v>6083</v>
      </c>
      <c r="P673" s="53" t="s">
        <v>6183</v>
      </c>
      <c r="Q673" s="53" t="s">
        <v>6176</v>
      </c>
      <c r="R673" s="53" t="s">
        <v>6185</v>
      </c>
      <c r="S673" s="53" t="s">
        <v>6176</v>
      </c>
      <c r="T673" s="48">
        <v>162.22999999999999</v>
      </c>
      <c r="U673" s="98">
        <v>1000000</v>
      </c>
      <c r="V673" s="98">
        <v>71920</v>
      </c>
      <c r="W673" s="98">
        <v>128863.86951932019</v>
      </c>
      <c r="X673" s="98">
        <v>1000000</v>
      </c>
      <c r="Y673" s="233">
        <v>6.94</v>
      </c>
      <c r="Z673" s="48">
        <v>0.28999999999999998</v>
      </c>
      <c r="AA673" s="48">
        <v>0.56000000000000005</v>
      </c>
      <c r="AB673" s="48">
        <v>0.59</v>
      </c>
      <c r="AC673" s="48">
        <v>0.8196</v>
      </c>
      <c r="AD673" s="48">
        <v>0.55000000000000004</v>
      </c>
      <c r="AE673" s="48">
        <v>0.44</v>
      </c>
      <c r="AF673" s="48">
        <f t="shared" si="144"/>
        <v>0.56000000000000005</v>
      </c>
      <c r="AG673" s="49">
        <v>0.89</v>
      </c>
      <c r="AH673" s="98">
        <v>1.5199999999999999E-9</v>
      </c>
      <c r="AI673" s="98">
        <v>7.2E-9</v>
      </c>
      <c r="AJ673" s="483">
        <f t="shared" si="146"/>
        <v>-7.2067227383678789</v>
      </c>
      <c r="AK673" s="483">
        <f>LOG10(AI673*1000/(0.08206*298.15))</f>
        <v>-6.5312338298813835</v>
      </c>
      <c r="AL673" s="483">
        <f t="shared" si="145"/>
        <v>-6.5312338298813835</v>
      </c>
      <c r="AM673" s="483">
        <v>-7.0506599999999997</v>
      </c>
      <c r="AN673" s="226">
        <v>-5.8</v>
      </c>
      <c r="AO673" s="484">
        <v>14.37</v>
      </c>
      <c r="AP673" s="484"/>
      <c r="AQ673" s="48" t="s">
        <v>6311</v>
      </c>
      <c r="AR673" s="48" t="s">
        <v>6311</v>
      </c>
      <c r="AS673" s="227"/>
      <c r="AT673" s="50" t="s">
        <v>266</v>
      </c>
      <c r="AU673" s="48">
        <v>6</v>
      </c>
      <c r="AV673" s="48">
        <v>120</v>
      </c>
      <c r="AW673" s="48">
        <v>114</v>
      </c>
      <c r="AX673" s="48">
        <v>28</v>
      </c>
      <c r="AY673" s="48" t="s">
        <v>8728</v>
      </c>
      <c r="AZ673" s="48" t="s">
        <v>1563</v>
      </c>
      <c r="BA673" s="48">
        <v>32</v>
      </c>
      <c r="BB673" s="47" t="s">
        <v>2485</v>
      </c>
      <c r="BC673" s="47" t="s">
        <v>8726</v>
      </c>
      <c r="BD673" s="47" t="s">
        <v>8374</v>
      </c>
      <c r="BE673" s="48" t="s">
        <v>2449</v>
      </c>
      <c r="BF673" s="48" t="s">
        <v>272</v>
      </c>
      <c r="BG673" s="48" t="s">
        <v>272</v>
      </c>
      <c r="BH673" s="48" t="s">
        <v>2486</v>
      </c>
      <c r="BI673" s="98">
        <v>1.0382719999999998E-3</v>
      </c>
      <c r="BJ673" s="98">
        <v>10.382719999999999</v>
      </c>
      <c r="BK673" s="48"/>
      <c r="BL673" s="487">
        <v>4575.9594594355985</v>
      </c>
      <c r="BM673" s="47" t="s">
        <v>2487</v>
      </c>
      <c r="BN673" s="48"/>
      <c r="BO673" s="48"/>
      <c r="BP673" s="48"/>
      <c r="BQ673" s="48"/>
      <c r="BR673" s="47" t="e">
        <v>#VALUE!</v>
      </c>
      <c r="BS673" s="48"/>
      <c r="BT673" s="48"/>
      <c r="BU673" s="228">
        <v>1.0382719999999998E-2</v>
      </c>
      <c r="BV673" s="48"/>
      <c r="BW673" s="48"/>
      <c r="BX673" s="48"/>
      <c r="BY673" s="48"/>
      <c r="BZ673" s="48"/>
      <c r="CA673" s="48"/>
      <c r="CB673" s="48"/>
      <c r="CC673" s="48"/>
      <c r="CD673" s="48"/>
      <c r="CE673" s="48"/>
      <c r="CF673" s="48"/>
      <c r="CG673" s="48"/>
      <c r="CH673" s="48"/>
      <c r="CI673" s="98"/>
      <c r="CJ673" s="98"/>
      <c r="CK673" s="49">
        <f t="shared" ref="CK673:CK736" si="152">BL673/BJ673</f>
        <v>440.72838903828659</v>
      </c>
      <c r="CL673" s="229"/>
      <c r="CM673" s="229"/>
      <c r="CN673" s="229"/>
      <c r="CO673" s="47" t="s">
        <v>2488</v>
      </c>
      <c r="CP673" s="500" t="s">
        <v>2489</v>
      </c>
      <c r="CQ673" s="224">
        <v>3.1139433523068369</v>
      </c>
      <c r="CR673" s="224">
        <f>10^(CJ673-CQ673)</f>
        <v>7.6923076923076858E-4</v>
      </c>
      <c r="CS673" s="230" t="s">
        <v>539</v>
      </c>
      <c r="CT673" s="230"/>
      <c r="CU673" s="230"/>
      <c r="CV673" s="335">
        <f t="shared" ref="CV673:CV736" si="153">X673/BJ673</f>
        <v>96313.875362140185</v>
      </c>
      <c r="CW673" s="230">
        <f t="shared" si="151"/>
        <v>1</v>
      </c>
      <c r="CX673" s="336"/>
      <c r="CY673" s="230" t="s">
        <v>6351</v>
      </c>
    </row>
    <row r="674" spans="1:103" ht="11.25" customHeight="1" x14ac:dyDescent="0.2">
      <c r="A674" s="72">
        <v>994</v>
      </c>
      <c r="B674" s="224">
        <v>1358</v>
      </c>
      <c r="C674" s="46" t="s">
        <v>7178</v>
      </c>
      <c r="D674" s="46" t="s">
        <v>8394</v>
      </c>
      <c r="E674" s="114"/>
      <c r="F674" s="114" t="s">
        <v>4198</v>
      </c>
      <c r="G674" s="225">
        <v>112389</v>
      </c>
      <c r="H674" s="47" t="s">
        <v>4199</v>
      </c>
      <c r="I674" s="47" t="s">
        <v>4199</v>
      </c>
      <c r="J674" s="47" t="s">
        <v>4200</v>
      </c>
      <c r="K674" s="47" t="s">
        <v>426</v>
      </c>
      <c r="L674" s="51" t="s">
        <v>8398</v>
      </c>
      <c r="M674" s="47" t="s">
        <v>2342</v>
      </c>
      <c r="N674" s="47" t="s">
        <v>2342</v>
      </c>
      <c r="O674" s="47"/>
      <c r="P674" s="53"/>
      <c r="Q674" s="53" t="s">
        <v>6173</v>
      </c>
      <c r="R674" s="53" t="s">
        <v>6183</v>
      </c>
      <c r="S674" s="53" t="s">
        <v>6173</v>
      </c>
      <c r="T674" s="48">
        <v>184.28</v>
      </c>
      <c r="U674" s="98">
        <v>73.7</v>
      </c>
      <c r="V674" s="98">
        <v>65.84</v>
      </c>
      <c r="W674" s="98">
        <v>367.68693940246482</v>
      </c>
      <c r="X674" s="98">
        <v>73.7</v>
      </c>
      <c r="Y674" s="233">
        <v>3.76</v>
      </c>
      <c r="Z674" s="48">
        <v>4.37</v>
      </c>
      <c r="AA674" s="48">
        <v>3.86</v>
      </c>
      <c r="AB674" s="48">
        <v>3.79</v>
      </c>
      <c r="AC674" s="48">
        <v>0.83860000000000001</v>
      </c>
      <c r="AD674" s="48">
        <v>3.84</v>
      </c>
      <c r="AE674" s="48">
        <v>3.99</v>
      </c>
      <c r="AF674" s="48">
        <f t="shared" si="144"/>
        <v>3.86</v>
      </c>
      <c r="AG674" s="49">
        <v>3.77</v>
      </c>
      <c r="AH674" s="98">
        <v>5.2299999999999999E-6</v>
      </c>
      <c r="AI674" s="98"/>
      <c r="AJ674" s="483">
        <f t="shared" si="146"/>
        <v>-3.6700646374453774</v>
      </c>
      <c r="AK674" s="483"/>
      <c r="AL674" s="483">
        <f t="shared" si="145"/>
        <v>-3.6700646374453774</v>
      </c>
      <c r="AM674" s="483">
        <v>-6.5813799999999993</v>
      </c>
      <c r="AN674" s="226">
        <v>-3.83</v>
      </c>
      <c r="AO674" s="484">
        <v>4.78</v>
      </c>
      <c r="AP674" s="484"/>
      <c r="AQ674" s="48" t="s">
        <v>6311</v>
      </c>
      <c r="AR674" s="48" t="s">
        <v>6311</v>
      </c>
      <c r="AS674" s="227"/>
      <c r="AT674" s="50" t="s">
        <v>266</v>
      </c>
      <c r="AU674" s="48">
        <v>6</v>
      </c>
      <c r="AV674" s="48">
        <v>120</v>
      </c>
      <c r="AW674" s="48">
        <v>114</v>
      </c>
      <c r="AX674" s="48">
        <v>28</v>
      </c>
      <c r="AY674" s="48" t="s">
        <v>8728</v>
      </c>
      <c r="AZ674" s="48" t="s">
        <v>1563</v>
      </c>
      <c r="BA674" s="48">
        <v>32</v>
      </c>
      <c r="BB674" s="47" t="s">
        <v>2485</v>
      </c>
      <c r="BC674" s="47" t="s">
        <v>8726</v>
      </c>
      <c r="BD674" s="47" t="s">
        <v>8374</v>
      </c>
      <c r="BE674" s="48" t="s">
        <v>2449</v>
      </c>
      <c r="BF674" s="48" t="s">
        <v>272</v>
      </c>
      <c r="BG674" s="48" t="s">
        <v>272</v>
      </c>
      <c r="BH674" s="48" t="s">
        <v>2486</v>
      </c>
      <c r="BI674" s="98">
        <v>1.179392E-3</v>
      </c>
      <c r="BJ674" s="98">
        <v>11.79392</v>
      </c>
      <c r="BK674" s="48"/>
      <c r="BL674" s="487">
        <v>1.1261110073689546</v>
      </c>
      <c r="BM674" s="47" t="s">
        <v>2487</v>
      </c>
      <c r="BN674" s="48"/>
      <c r="BO674" s="48"/>
      <c r="BP674" s="48"/>
      <c r="BQ674" s="48"/>
      <c r="BR674" s="47" t="e">
        <v>#VALUE!</v>
      </c>
      <c r="BS674" s="48"/>
      <c r="BT674" s="48"/>
      <c r="BU674" s="228"/>
      <c r="BV674" s="48"/>
      <c r="BW674" s="48"/>
      <c r="BX674" s="48"/>
      <c r="BY674" s="48"/>
      <c r="BZ674" s="48"/>
      <c r="CA674" s="48"/>
      <c r="CB674" s="48"/>
      <c r="CC674" s="48"/>
      <c r="CD674" s="48"/>
      <c r="CE674" s="48"/>
      <c r="CF674" s="48"/>
      <c r="CG674" s="48"/>
      <c r="CH674" s="48"/>
      <c r="CI674" s="98"/>
      <c r="CJ674" s="98"/>
      <c r="CK674" s="49">
        <f t="shared" si="152"/>
        <v>9.5482333894833488E-2</v>
      </c>
      <c r="CL674" s="229"/>
      <c r="CM674" s="229"/>
      <c r="CN674" s="229"/>
      <c r="CO674" s="47" t="s">
        <v>2488</v>
      </c>
      <c r="CP674" s="500" t="s">
        <v>2489</v>
      </c>
      <c r="CQ674" s="224">
        <v>1.6025282291599343</v>
      </c>
      <c r="CR674" s="224">
        <f>10^(CJ674-CQ674)</f>
        <v>2.4973060588776193E-2</v>
      </c>
      <c r="CS674" s="230" t="s">
        <v>539</v>
      </c>
      <c r="CT674" s="230"/>
      <c r="CU674" s="230"/>
      <c r="CV674" s="335">
        <f t="shared" si="153"/>
        <v>6.2489825265899723</v>
      </c>
      <c r="CW674" s="230">
        <f t="shared" si="151"/>
        <v>1</v>
      </c>
      <c r="CX674" s="336"/>
      <c r="CY674" s="230" t="s">
        <v>6351</v>
      </c>
    </row>
    <row r="675" spans="1:103" ht="11.25" customHeight="1" x14ac:dyDescent="0.2">
      <c r="A675" s="72">
        <v>995</v>
      </c>
      <c r="B675" s="224">
        <v>919</v>
      </c>
      <c r="C675" s="46" t="s">
        <v>7179</v>
      </c>
      <c r="D675" s="46"/>
      <c r="E675" s="114"/>
      <c r="F675" s="114" t="s">
        <v>2625</v>
      </c>
      <c r="G675" s="225">
        <v>112425</v>
      </c>
      <c r="H675" s="47" t="s">
        <v>2626</v>
      </c>
      <c r="I675" s="47" t="s">
        <v>2626</v>
      </c>
      <c r="J675" s="47" t="s">
        <v>2627</v>
      </c>
      <c r="K675" s="47" t="s">
        <v>426</v>
      </c>
      <c r="L675" s="47" t="s">
        <v>6072</v>
      </c>
      <c r="M675" s="47" t="s">
        <v>5960</v>
      </c>
      <c r="N675" s="47"/>
      <c r="O675" s="47"/>
      <c r="P675" s="53" t="s">
        <v>6183</v>
      </c>
      <c r="Q675" s="53" t="s">
        <v>6173</v>
      </c>
      <c r="R675" s="53" t="s">
        <v>6185</v>
      </c>
      <c r="S675" s="53" t="s">
        <v>6176</v>
      </c>
      <c r="T675" s="48">
        <v>172.31</v>
      </c>
      <c r="U675" s="98"/>
      <c r="V675" s="98">
        <v>43.04</v>
      </c>
      <c r="W675" s="98">
        <v>29.262436375568281</v>
      </c>
      <c r="X675" s="98">
        <v>29.262436375568281</v>
      </c>
      <c r="Y675" s="233">
        <v>7</v>
      </c>
      <c r="Z675" s="48">
        <v>4.28</v>
      </c>
      <c r="AA675" s="48"/>
      <c r="AB675" s="48">
        <v>4.72</v>
      </c>
      <c r="AC675" s="48">
        <v>0.92420000000000002</v>
      </c>
      <c r="AD675" s="48">
        <v>4.6900000000000004</v>
      </c>
      <c r="AE675" s="48">
        <v>4.59</v>
      </c>
      <c r="AF675" s="48">
        <f t="shared" si="144"/>
        <v>4.6900000000000004</v>
      </c>
      <c r="AG675" s="49">
        <v>3.97</v>
      </c>
      <c r="AH675" s="98">
        <v>7.2600000000000003E-5</v>
      </c>
      <c r="AI675" s="98"/>
      <c r="AJ675" s="483">
        <f t="shared" si="146"/>
        <v>-2.5276297056125583</v>
      </c>
      <c r="AK675" s="483"/>
      <c r="AL675" s="483">
        <f t="shared" si="145"/>
        <v>-2.5276297056125583</v>
      </c>
      <c r="AM675" s="483">
        <v>-4.3146299999999993</v>
      </c>
      <c r="AN675" s="226">
        <v>-2.38</v>
      </c>
      <c r="AO675" s="484">
        <v>15.2</v>
      </c>
      <c r="AP675" s="484"/>
      <c r="AQ675" s="48" t="s">
        <v>6311</v>
      </c>
      <c r="AR675" s="48" t="s">
        <v>6311</v>
      </c>
      <c r="AS675" s="227"/>
      <c r="AT675" s="50" t="s">
        <v>266</v>
      </c>
      <c r="AU675" s="48">
        <v>6</v>
      </c>
      <c r="AV675" s="48">
        <v>120</v>
      </c>
      <c r="AW675" s="48">
        <v>114</v>
      </c>
      <c r="AX675" s="48">
        <v>28</v>
      </c>
      <c r="AY675" s="48" t="s">
        <v>8728</v>
      </c>
      <c r="AZ675" s="48" t="s">
        <v>1563</v>
      </c>
      <c r="BA675" s="48">
        <v>32</v>
      </c>
      <c r="BB675" s="47" t="s">
        <v>2485</v>
      </c>
      <c r="BC675" s="47" t="s">
        <v>8726</v>
      </c>
      <c r="BD675" s="47" t="s">
        <v>8374</v>
      </c>
      <c r="BE675" s="48" t="s">
        <v>2449</v>
      </c>
      <c r="BF675" s="48" t="s">
        <v>272</v>
      </c>
      <c r="BG675" s="48" t="s">
        <v>272</v>
      </c>
      <c r="BH675" s="48" t="s">
        <v>2486</v>
      </c>
      <c r="BI675" s="98">
        <v>1.1027839999999999E-3</v>
      </c>
      <c r="BJ675" s="98">
        <v>11.027840000000001</v>
      </c>
      <c r="BK675" s="48"/>
      <c r="BL675" s="487">
        <v>1.2683598397055849</v>
      </c>
      <c r="BM675" s="47" t="s">
        <v>2487</v>
      </c>
      <c r="BN675" s="48"/>
      <c r="BO675" s="48"/>
      <c r="BP675" s="48"/>
      <c r="BQ675" s="48"/>
      <c r="BR675" s="47" t="e">
        <v>#VALUE!</v>
      </c>
      <c r="BS675" s="48"/>
      <c r="BT675" s="48"/>
      <c r="BU675" s="228">
        <v>1.1027839999999999E-2</v>
      </c>
      <c r="BV675" s="48"/>
      <c r="BW675" s="48"/>
      <c r="BX675" s="48"/>
      <c r="BY675" s="48"/>
      <c r="BZ675" s="48"/>
      <c r="CA675" s="48"/>
      <c r="CB675" s="48"/>
      <c r="CC675" s="48"/>
      <c r="CD675" s="48"/>
      <c r="CE675" s="48"/>
      <c r="CF675" s="48"/>
      <c r="CG675" s="48"/>
      <c r="CH675" s="48"/>
      <c r="CI675" s="98"/>
      <c r="CJ675" s="98"/>
      <c r="CK675" s="49">
        <f t="shared" si="152"/>
        <v>0.11501434911148373</v>
      </c>
      <c r="CL675" s="229"/>
      <c r="CM675" s="229"/>
      <c r="CN675" s="229"/>
      <c r="CO675" s="47" t="s">
        <v>2488</v>
      </c>
      <c r="CP675" s="500" t="s">
        <v>2489</v>
      </c>
      <c r="CQ675" s="224">
        <v>1.7033339298780276E-2</v>
      </c>
      <c r="CR675" s="224">
        <f>10^(CJ675-CQ675)</f>
        <v>0.96153846153846168</v>
      </c>
      <c r="CS675" s="230" t="s">
        <v>539</v>
      </c>
      <c r="CT675" s="230"/>
      <c r="CU675" s="230"/>
      <c r="CV675" s="335">
        <f t="shared" si="153"/>
        <v>2.653505706971472</v>
      </c>
      <c r="CW675" s="230">
        <f t="shared" si="151"/>
        <v>1</v>
      </c>
      <c r="CX675" s="336"/>
      <c r="CY675" s="230" t="s">
        <v>6351</v>
      </c>
    </row>
    <row r="676" spans="1:103" ht="11.25" customHeight="1" x14ac:dyDescent="0.2">
      <c r="A676" s="72">
        <v>996</v>
      </c>
      <c r="B676" s="224">
        <v>1318</v>
      </c>
      <c r="C676" s="46" t="s">
        <v>7180</v>
      </c>
      <c r="D676" s="46"/>
      <c r="E676" s="114"/>
      <c r="F676" s="114" t="s">
        <v>3602</v>
      </c>
      <c r="G676" s="225">
        <v>112492</v>
      </c>
      <c r="H676" s="47" t="s">
        <v>3603</v>
      </c>
      <c r="I676" s="47" t="s">
        <v>3603</v>
      </c>
      <c r="J676" s="236" t="s">
        <v>3604</v>
      </c>
      <c r="K676" s="236" t="s">
        <v>426</v>
      </c>
      <c r="L676" s="47"/>
      <c r="M676" s="47"/>
      <c r="N676" s="47"/>
      <c r="O676" s="52"/>
      <c r="P676" s="53"/>
      <c r="Q676" s="53"/>
      <c r="R676" s="53"/>
      <c r="S676" s="53"/>
      <c r="T676" s="226">
        <v>178.23</v>
      </c>
      <c r="U676" s="98"/>
      <c r="V676" s="98">
        <v>248500</v>
      </c>
      <c r="W676" s="98">
        <v>833644.3423161736</v>
      </c>
      <c r="X676" s="98">
        <v>833644.3423161736</v>
      </c>
      <c r="Y676" s="233">
        <v>7</v>
      </c>
      <c r="Z676" s="48">
        <v>-0.76</v>
      </c>
      <c r="AA676" s="48"/>
      <c r="AB676" s="48">
        <v>-0.11</v>
      </c>
      <c r="AC676" s="48">
        <v>0.82210000000000005</v>
      </c>
      <c r="AD676" s="48">
        <v>-0.38</v>
      </c>
      <c r="AE676" s="48">
        <v>-1.1599999999999999</v>
      </c>
      <c r="AF676" s="48">
        <f t="shared" ref="AF676:AF739" si="154">IF(AA676=0,AD676,AA676)</f>
        <v>-0.38</v>
      </c>
      <c r="AG676" s="48">
        <v>0.42</v>
      </c>
      <c r="AH676" s="98">
        <v>3.24E-9</v>
      </c>
      <c r="AI676" s="98"/>
      <c r="AJ676" s="483">
        <f t="shared" si="146"/>
        <v>-6.8780213161060395</v>
      </c>
      <c r="AK676" s="483"/>
      <c r="AL676" s="483">
        <f t="shared" si="145"/>
        <v>-6.8780213161060395</v>
      </c>
      <c r="AM676" s="483">
        <v>-6.5438900000000002</v>
      </c>
      <c r="AN676" s="48">
        <v>-6.25</v>
      </c>
      <c r="AO676" s="484"/>
      <c r="AP676" s="484"/>
      <c r="AQ676" s="48" t="s">
        <v>6311</v>
      </c>
      <c r="AR676" s="48" t="s">
        <v>6311</v>
      </c>
      <c r="AS676" s="227"/>
      <c r="AT676" s="50" t="s">
        <v>266</v>
      </c>
      <c r="AU676" s="48">
        <v>6</v>
      </c>
      <c r="AV676" s="48">
        <v>120</v>
      </c>
      <c r="AW676" s="48">
        <v>114</v>
      </c>
      <c r="AX676" s="48">
        <v>28</v>
      </c>
      <c r="AY676" s="48" t="s">
        <v>8728</v>
      </c>
      <c r="AZ676" s="48" t="s">
        <v>1563</v>
      </c>
      <c r="BA676" s="48">
        <v>32</v>
      </c>
      <c r="BB676" s="47" t="s">
        <v>2485</v>
      </c>
      <c r="BC676" s="47" t="s">
        <v>8726</v>
      </c>
      <c r="BD676" s="47" t="s">
        <v>8374</v>
      </c>
      <c r="BE676" s="48" t="s">
        <v>2449</v>
      </c>
      <c r="BF676" s="48" t="s">
        <v>272</v>
      </c>
      <c r="BG676" s="48" t="s">
        <v>272</v>
      </c>
      <c r="BH676" s="48" t="s">
        <v>2486</v>
      </c>
      <c r="BI676" s="98">
        <v>1.1406719999999999E-3</v>
      </c>
      <c r="BJ676" s="98">
        <v>11.40672</v>
      </c>
      <c r="BK676" s="48"/>
      <c r="BL676" s="487">
        <v>44089.665821624447</v>
      </c>
      <c r="BM676" s="47" t="s">
        <v>2487</v>
      </c>
      <c r="BN676" s="48"/>
      <c r="BO676" s="48"/>
      <c r="BP676" s="48"/>
      <c r="BQ676" s="48"/>
      <c r="BR676" s="47" t="e">
        <v>#VALUE!</v>
      </c>
      <c r="BS676" s="48"/>
      <c r="BT676" s="48"/>
      <c r="BU676" s="228">
        <v>1.1406719999999999E-3</v>
      </c>
      <c r="BV676" s="48"/>
      <c r="BW676" s="48"/>
      <c r="BX676" s="48"/>
      <c r="BY676" s="48"/>
      <c r="BZ676" s="48"/>
      <c r="CA676" s="48"/>
      <c r="CB676" s="48"/>
      <c r="CC676" s="48"/>
      <c r="CD676" s="48"/>
      <c r="CE676" s="48"/>
      <c r="CF676" s="48"/>
      <c r="CG676" s="48"/>
      <c r="CH676" s="48"/>
      <c r="CI676" s="98"/>
      <c r="CJ676" s="98"/>
      <c r="CK676" s="49">
        <f t="shared" si="152"/>
        <v>3865.2360907977445</v>
      </c>
      <c r="CL676" s="229"/>
      <c r="CM676" s="229"/>
      <c r="CN676" s="229"/>
      <c r="CO676" s="47" t="s">
        <v>2488</v>
      </c>
      <c r="CP676" s="500" t="s">
        <v>2489</v>
      </c>
      <c r="CQ676" s="224" t="s">
        <v>272</v>
      </c>
      <c r="CR676" s="224"/>
      <c r="CS676" s="230" t="s">
        <v>539</v>
      </c>
      <c r="CT676" s="230"/>
      <c r="CU676" s="230"/>
      <c r="CV676" s="335">
        <f t="shared" si="153"/>
        <v>73083.615826124747</v>
      </c>
      <c r="CW676" s="230">
        <f t="shared" si="151"/>
        <v>1</v>
      </c>
      <c r="CX676" s="336"/>
      <c r="CY676" s="230" t="s">
        <v>6351</v>
      </c>
    </row>
    <row r="677" spans="1:103" ht="11.25" customHeight="1" x14ac:dyDescent="0.2">
      <c r="A677" s="72">
        <v>997</v>
      </c>
      <c r="B677" s="224">
        <v>927</v>
      </c>
      <c r="C677" s="46" t="s">
        <v>7181</v>
      </c>
      <c r="D677" s="46"/>
      <c r="E677" s="114"/>
      <c r="F677" s="114" t="s">
        <v>2645</v>
      </c>
      <c r="G677" s="225">
        <v>112505</v>
      </c>
      <c r="H677" s="47" t="s">
        <v>2646</v>
      </c>
      <c r="I677" s="47" t="s">
        <v>2646</v>
      </c>
      <c r="J677" s="47" t="s">
        <v>2647</v>
      </c>
      <c r="K677" s="47" t="s">
        <v>426</v>
      </c>
      <c r="L677" s="47"/>
      <c r="M677" s="47"/>
      <c r="N677" s="47"/>
      <c r="O677" s="47"/>
      <c r="P677" s="53" t="s">
        <v>6183</v>
      </c>
      <c r="Q677" s="53" t="s">
        <v>6182</v>
      </c>
      <c r="R677" s="53" t="s">
        <v>6185</v>
      </c>
      <c r="S677" s="53" t="s">
        <v>6182</v>
      </c>
      <c r="T677" s="48">
        <v>178.23</v>
      </c>
      <c r="U677" s="98">
        <v>999999.99999999988</v>
      </c>
      <c r="V677" s="98">
        <v>999999.99999999988</v>
      </c>
      <c r="W677" s="98">
        <v>979446.69947644428</v>
      </c>
      <c r="X677" s="98">
        <v>999999.99999999988</v>
      </c>
      <c r="Y677" s="233">
        <v>6.73</v>
      </c>
      <c r="Z677" s="48">
        <v>-0.96</v>
      </c>
      <c r="AA677" s="48"/>
      <c r="AB677" s="48">
        <v>-0.16</v>
      </c>
      <c r="AC677" s="48">
        <v>0.81159999999999999</v>
      </c>
      <c r="AD677" s="48">
        <v>-0.39</v>
      </c>
      <c r="AE677" s="48">
        <v>-0.98</v>
      </c>
      <c r="AF677" s="48">
        <f t="shared" si="154"/>
        <v>-0.39</v>
      </c>
      <c r="AG677" s="49">
        <v>0.14000000000000001</v>
      </c>
      <c r="AH677" s="98">
        <v>1.34E-11</v>
      </c>
      <c r="AI677" s="98"/>
      <c r="AJ677" s="483">
        <f t="shared" si="146"/>
        <v>-9.2614615279478443</v>
      </c>
      <c r="AK677" s="483"/>
      <c r="AL677" s="483">
        <f t="shared" si="145"/>
        <v>-9.2614615279478443</v>
      </c>
      <c r="AM677" s="483">
        <v>-8.6624400000000001</v>
      </c>
      <c r="AN677" s="226">
        <v>-7.6</v>
      </c>
      <c r="AO677" s="484">
        <v>14.36</v>
      </c>
      <c r="AP677" s="484"/>
      <c r="AQ677" s="48" t="s">
        <v>6311</v>
      </c>
      <c r="AR677" s="48" t="s">
        <v>6311</v>
      </c>
      <c r="AS677" s="227"/>
      <c r="AT677" s="50" t="s">
        <v>266</v>
      </c>
      <c r="AU677" s="48">
        <v>6</v>
      </c>
      <c r="AV677" s="48">
        <v>120</v>
      </c>
      <c r="AW677" s="48">
        <v>114</v>
      </c>
      <c r="AX677" s="48">
        <v>28</v>
      </c>
      <c r="AY677" s="48" t="s">
        <v>8728</v>
      </c>
      <c r="AZ677" s="48" t="s">
        <v>1563</v>
      </c>
      <c r="BA677" s="48">
        <v>32</v>
      </c>
      <c r="BB677" s="47" t="s">
        <v>2485</v>
      </c>
      <c r="BC677" s="47" t="s">
        <v>8726</v>
      </c>
      <c r="BD677" s="47" t="s">
        <v>8374</v>
      </c>
      <c r="BE677" s="48" t="s">
        <v>2449</v>
      </c>
      <c r="BF677" s="48" t="s">
        <v>272</v>
      </c>
      <c r="BG677" s="48" t="s">
        <v>272</v>
      </c>
      <c r="BH677" s="48" t="s">
        <v>2486</v>
      </c>
      <c r="BI677" s="98">
        <v>1.1406719999999999E-3</v>
      </c>
      <c r="BJ677" s="98">
        <v>11.40672</v>
      </c>
      <c r="BK677" s="48"/>
      <c r="BL677" s="487">
        <v>66674.04550200027</v>
      </c>
      <c r="BM677" s="47" t="s">
        <v>2487</v>
      </c>
      <c r="BN677" s="48"/>
      <c r="BO677" s="48"/>
      <c r="BP677" s="48"/>
      <c r="BQ677" s="48"/>
      <c r="BR677" s="47" t="e">
        <v>#VALUE!</v>
      </c>
      <c r="BS677" s="48"/>
      <c r="BT677" s="48"/>
      <c r="BU677" s="228">
        <v>0.11406720000000001</v>
      </c>
      <c r="BV677" s="48"/>
      <c r="BW677" s="48"/>
      <c r="BX677" s="48"/>
      <c r="BY677" s="48"/>
      <c r="BZ677" s="48"/>
      <c r="CA677" s="48"/>
      <c r="CB677" s="48"/>
      <c r="CC677" s="48"/>
      <c r="CD677" s="48"/>
      <c r="CE677" s="48"/>
      <c r="CF677" s="48"/>
      <c r="CG677" s="48"/>
      <c r="CH677" s="48"/>
      <c r="CI677" s="98"/>
      <c r="CJ677" s="98"/>
      <c r="CK677" s="49">
        <f t="shared" si="152"/>
        <v>5845.1549176275275</v>
      </c>
      <c r="CL677" s="229"/>
      <c r="CM677" s="229"/>
      <c r="CN677" s="229"/>
      <c r="CO677" s="47" t="s">
        <v>2488</v>
      </c>
      <c r="CP677" s="500" t="s">
        <v>2489</v>
      </c>
      <c r="CQ677" s="224" t="s">
        <v>272</v>
      </c>
      <c r="CR677" s="224"/>
      <c r="CS677" s="230" t="s">
        <v>539</v>
      </c>
      <c r="CT677" s="230"/>
      <c r="CU677" s="230"/>
      <c r="CV677" s="335">
        <f t="shared" si="153"/>
        <v>87667.620490377594</v>
      </c>
      <c r="CW677" s="230">
        <f t="shared" si="151"/>
        <v>1</v>
      </c>
      <c r="CX677" s="336"/>
      <c r="CY677" s="230" t="s">
        <v>6351</v>
      </c>
    </row>
    <row r="678" spans="1:103" ht="11.25" customHeight="1" x14ac:dyDescent="0.2">
      <c r="A678" s="72">
        <v>998</v>
      </c>
      <c r="B678" s="224">
        <v>1190</v>
      </c>
      <c r="C678" s="46" t="s">
        <v>3280</v>
      </c>
      <c r="D678" s="46"/>
      <c r="E678" s="114"/>
      <c r="F678" s="114" t="s">
        <v>1311</v>
      </c>
      <c r="G678" s="225">
        <v>113484</v>
      </c>
      <c r="H678" s="47" t="s">
        <v>1312</v>
      </c>
      <c r="I678" s="47" t="s">
        <v>1312</v>
      </c>
      <c r="J678" s="47" t="s">
        <v>1313</v>
      </c>
      <c r="K678" s="47" t="s">
        <v>1314</v>
      </c>
      <c r="L678" s="47" t="s">
        <v>617</v>
      </c>
      <c r="M678" s="47" t="s">
        <v>8511</v>
      </c>
      <c r="N678" s="47" t="s">
        <v>2342</v>
      </c>
      <c r="O678" s="47" t="s">
        <v>6001</v>
      </c>
      <c r="P678" s="53"/>
      <c r="Q678" s="53"/>
      <c r="R678" s="53"/>
      <c r="S678" s="53"/>
      <c r="T678" s="48">
        <v>275.39</v>
      </c>
      <c r="U678" s="98"/>
      <c r="V678" s="98">
        <v>11.78</v>
      </c>
      <c r="W678" s="98">
        <v>5.3696770432736747</v>
      </c>
      <c r="X678" s="98">
        <v>5.3696770432736747</v>
      </c>
      <c r="Y678" s="233">
        <v>7</v>
      </c>
      <c r="Z678" s="48">
        <v>3.76</v>
      </c>
      <c r="AA678" s="48">
        <v>3.7</v>
      </c>
      <c r="AB678" s="48">
        <v>3.56</v>
      </c>
      <c r="AC678" s="48">
        <v>0.70889999999999997</v>
      </c>
      <c r="AD678" s="48">
        <v>3.66</v>
      </c>
      <c r="AE678" s="48">
        <v>3.85</v>
      </c>
      <c r="AF678" s="48">
        <f t="shared" si="154"/>
        <v>3.7</v>
      </c>
      <c r="AG678" s="49">
        <v>3.03</v>
      </c>
      <c r="AH678" s="98">
        <v>2.8500000000000002E-7</v>
      </c>
      <c r="AI678" s="98"/>
      <c r="AJ678" s="483">
        <f t="shared" si="146"/>
        <v>-4.9337214663041413</v>
      </c>
      <c r="AK678" s="483"/>
      <c r="AL678" s="483">
        <f t="shared" si="145"/>
        <v>-4.9337214663041413</v>
      </c>
      <c r="AM678" s="483">
        <v>-11.151609999999998</v>
      </c>
      <c r="AN678" s="226">
        <v>-5.39</v>
      </c>
      <c r="AO678" s="484"/>
      <c r="AP678" s="484">
        <v>-7.53</v>
      </c>
      <c r="AQ678" s="48" t="s">
        <v>6311</v>
      </c>
      <c r="AR678" s="48" t="s">
        <v>6311</v>
      </c>
      <c r="AS678" s="227"/>
      <c r="AT678" s="50" t="s">
        <v>266</v>
      </c>
      <c r="AU678" s="48">
        <v>6</v>
      </c>
      <c r="AV678" s="48">
        <v>120</v>
      </c>
      <c r="AW678" s="48">
        <v>114</v>
      </c>
      <c r="AX678" s="48">
        <v>28</v>
      </c>
      <c r="AY678" s="48" t="s">
        <v>8728</v>
      </c>
      <c r="AZ678" s="48" t="s">
        <v>1563</v>
      </c>
      <c r="BA678" s="48">
        <v>32</v>
      </c>
      <c r="BB678" s="47" t="s">
        <v>2485</v>
      </c>
      <c r="BC678" s="47" t="s">
        <v>8726</v>
      </c>
      <c r="BD678" s="47" t="s">
        <v>8374</v>
      </c>
      <c r="BE678" s="48" t="s">
        <v>2449</v>
      </c>
      <c r="BF678" s="48" t="s">
        <v>272</v>
      </c>
      <c r="BG678" s="48" t="s">
        <v>272</v>
      </c>
      <c r="BH678" s="48" t="s">
        <v>2486</v>
      </c>
      <c r="BI678" s="98">
        <v>1.7624959999999999E-3</v>
      </c>
      <c r="BJ678" s="98">
        <v>17.624959999999998</v>
      </c>
      <c r="BK678" s="48"/>
      <c r="BL678" s="487">
        <v>5.9414461605897602</v>
      </c>
      <c r="BM678" s="47" t="s">
        <v>2487</v>
      </c>
      <c r="BN678" s="48"/>
      <c r="BO678" s="48"/>
      <c r="BP678" s="48"/>
      <c r="BQ678" s="48"/>
      <c r="BR678" s="47" t="e">
        <v>#VALUE!</v>
      </c>
      <c r="BS678" s="48"/>
      <c r="BT678" s="48"/>
      <c r="BU678" s="228">
        <v>0.17624960000000001</v>
      </c>
      <c r="BV678" s="48"/>
      <c r="BW678" s="48"/>
      <c r="BX678" s="48"/>
      <c r="BY678" s="48"/>
      <c r="BZ678" s="48"/>
      <c r="CA678" s="48"/>
      <c r="CB678" s="48"/>
      <c r="CC678" s="48"/>
      <c r="CD678" s="48"/>
      <c r="CE678" s="48"/>
      <c r="CF678" s="48"/>
      <c r="CG678" s="48"/>
      <c r="CH678" s="48"/>
      <c r="CI678" s="98"/>
      <c r="CJ678" s="98"/>
      <c r="CK678" s="49">
        <f t="shared" si="152"/>
        <v>0.33710409331934715</v>
      </c>
      <c r="CL678" s="229"/>
      <c r="CM678" s="229">
        <v>-0.46629005903965459</v>
      </c>
      <c r="CN678" s="229">
        <f>BJ678/(10^CM678)</f>
        <v>51.572501725781265</v>
      </c>
      <c r="CO678" s="47" t="s">
        <v>2488</v>
      </c>
      <c r="CP678" s="500" t="s">
        <v>2489</v>
      </c>
      <c r="CQ678" s="224">
        <v>-0.2546647338518393</v>
      </c>
      <c r="CR678" s="224">
        <f>10^(CJ678-CQ678)</f>
        <v>1.7974827607373631</v>
      </c>
      <c r="CS678" s="230" t="s">
        <v>539</v>
      </c>
      <c r="CT678" s="230"/>
      <c r="CU678" s="230"/>
      <c r="CV678" s="335">
        <f t="shared" si="153"/>
        <v>0.30466321871219426</v>
      </c>
      <c r="CW678" s="230">
        <f t="shared" si="151"/>
        <v>0</v>
      </c>
      <c r="CX678" s="336"/>
      <c r="CY678" s="230" t="s">
        <v>5921</v>
      </c>
    </row>
    <row r="679" spans="1:103" ht="11.25" customHeight="1" x14ac:dyDescent="0.2">
      <c r="A679" s="72">
        <v>999</v>
      </c>
      <c r="B679" s="224">
        <v>1640</v>
      </c>
      <c r="C679" s="46" t="s">
        <v>7182</v>
      </c>
      <c r="D679" s="46"/>
      <c r="E679" s="114"/>
      <c r="F679" s="114" t="s">
        <v>3684</v>
      </c>
      <c r="G679" s="225">
        <v>114078</v>
      </c>
      <c r="H679" s="47" t="s">
        <v>3685</v>
      </c>
      <c r="I679" s="47" t="s">
        <v>8033</v>
      </c>
      <c r="J679" s="47" t="s">
        <v>3686</v>
      </c>
      <c r="K679" s="47" t="s">
        <v>3680</v>
      </c>
      <c r="L679" s="47" t="s">
        <v>279</v>
      </c>
      <c r="M679" s="47" t="s">
        <v>8522</v>
      </c>
      <c r="N679" s="47"/>
      <c r="O679" s="47" t="s">
        <v>281</v>
      </c>
      <c r="P679" s="53"/>
      <c r="Q679" s="53"/>
      <c r="R679" s="53"/>
      <c r="S679" s="53"/>
      <c r="T679" s="48">
        <v>733.93</v>
      </c>
      <c r="U679" s="98"/>
      <c r="V679" s="98">
        <v>0.51680000000000004</v>
      </c>
      <c r="W679" s="98">
        <v>27268.085069128781</v>
      </c>
      <c r="X679" s="98">
        <v>27268.085069128781</v>
      </c>
      <c r="Y679" s="233">
        <v>10.19</v>
      </c>
      <c r="Z679" s="48">
        <v>2.48</v>
      </c>
      <c r="AA679" s="48">
        <v>3.06</v>
      </c>
      <c r="AB679" s="48">
        <v>2.37</v>
      </c>
      <c r="AC679" s="48">
        <v>0.91320000000000001</v>
      </c>
      <c r="AD679" s="48">
        <v>2.44</v>
      </c>
      <c r="AE679" s="48">
        <v>2.83</v>
      </c>
      <c r="AF679" s="48">
        <f t="shared" si="154"/>
        <v>3.06</v>
      </c>
      <c r="AG679" s="49">
        <v>2.33</v>
      </c>
      <c r="AH679" s="98">
        <v>5.4199999999999999E-29</v>
      </c>
      <c r="AI679" s="98"/>
      <c r="AJ679" s="483">
        <f t="shared" si="146"/>
        <v>-26.654567039774264</v>
      </c>
      <c r="AK679" s="483"/>
      <c r="AL679" s="483">
        <f t="shared" si="145"/>
        <v>-26.654567039774264</v>
      </c>
      <c r="AM679" s="483">
        <v>-40.716160000000002</v>
      </c>
      <c r="AN679" s="226">
        <v>-30.6</v>
      </c>
      <c r="AO679" s="484">
        <v>13.09</v>
      </c>
      <c r="AP679" s="484">
        <v>8.16</v>
      </c>
      <c r="AQ679" s="226" t="s">
        <v>6311</v>
      </c>
      <c r="AR679" s="226" t="s">
        <v>6311</v>
      </c>
      <c r="AS679" s="224"/>
      <c r="AT679" s="50" t="s">
        <v>266</v>
      </c>
      <c r="AU679" s="48">
        <v>6</v>
      </c>
      <c r="AV679" s="48">
        <v>120</v>
      </c>
      <c r="AW679" s="48">
        <v>114</v>
      </c>
      <c r="AX679" s="48">
        <v>28</v>
      </c>
      <c r="AY679" s="48" t="s">
        <v>8728</v>
      </c>
      <c r="AZ679" s="48" t="s">
        <v>1563</v>
      </c>
      <c r="BA679" s="48">
        <v>32</v>
      </c>
      <c r="BB679" s="47" t="s">
        <v>2485</v>
      </c>
      <c r="BC679" s="47" t="s">
        <v>8726</v>
      </c>
      <c r="BD679" s="47" t="s">
        <v>8374</v>
      </c>
      <c r="BE679" s="48" t="s">
        <v>2449</v>
      </c>
      <c r="BF679" s="48" t="s">
        <v>272</v>
      </c>
      <c r="BG679" s="48" t="s">
        <v>272</v>
      </c>
      <c r="BH679" s="48" t="s">
        <v>2486</v>
      </c>
      <c r="BI679" s="98">
        <v>4.6971519999999996E-3</v>
      </c>
      <c r="BJ679" s="98">
        <v>46.971519999999998</v>
      </c>
      <c r="BK679" s="48"/>
      <c r="BL679" s="487">
        <v>223.44294162306696</v>
      </c>
      <c r="BM679" s="47" t="s">
        <v>2487</v>
      </c>
      <c r="BN679" s="48"/>
      <c r="BO679" s="48"/>
      <c r="BP679" s="48"/>
      <c r="BQ679" s="48"/>
      <c r="BR679" s="47" t="e">
        <v>#VALUE!</v>
      </c>
      <c r="BS679" s="48"/>
      <c r="BT679" s="48"/>
      <c r="BU679" s="228"/>
      <c r="BV679" s="48"/>
      <c r="BW679" s="48"/>
      <c r="BX679" s="48"/>
      <c r="BY679" s="48"/>
      <c r="BZ679" s="48"/>
      <c r="CA679" s="48"/>
      <c r="CB679" s="48"/>
      <c r="CC679" s="48"/>
      <c r="CD679" s="48"/>
      <c r="CE679" s="48"/>
      <c r="CF679" s="48"/>
      <c r="CG679" s="48"/>
      <c r="CH679" s="48"/>
      <c r="CI679" s="98"/>
      <c r="CJ679" s="98"/>
      <c r="CK679" s="49">
        <f t="shared" si="152"/>
        <v>4.756987673021162</v>
      </c>
      <c r="CL679" s="229"/>
      <c r="CM679" s="229"/>
      <c r="CN679" s="229"/>
      <c r="CO679" s="47" t="s">
        <v>2488</v>
      </c>
      <c r="CP679" s="500" t="s">
        <v>2489</v>
      </c>
      <c r="CQ679" s="224" t="s">
        <v>272</v>
      </c>
      <c r="CR679" s="224"/>
      <c r="CS679" s="230" t="s">
        <v>539</v>
      </c>
      <c r="CT679" s="230"/>
      <c r="CU679" s="230"/>
      <c r="CV679" s="335">
        <f t="shared" si="153"/>
        <v>580.52379546433201</v>
      </c>
      <c r="CW679" s="230">
        <f t="shared" si="151"/>
        <v>1</v>
      </c>
      <c r="CX679" s="336"/>
      <c r="CY679" s="230" t="s">
        <v>6351</v>
      </c>
    </row>
    <row r="680" spans="1:103" ht="11.25" customHeight="1" x14ac:dyDescent="0.2">
      <c r="A680" s="72">
        <v>1001</v>
      </c>
      <c r="B680" s="224">
        <v>1837</v>
      </c>
      <c r="C680" s="46" t="s">
        <v>1997</v>
      </c>
      <c r="D680" s="46"/>
      <c r="E680" s="114"/>
      <c r="F680" s="114" t="s">
        <v>1998</v>
      </c>
      <c r="G680" s="225">
        <v>114261</v>
      </c>
      <c r="H680" s="47" t="s">
        <v>1999</v>
      </c>
      <c r="I680" s="47" t="s">
        <v>1999</v>
      </c>
      <c r="J680" s="47" t="s">
        <v>2000</v>
      </c>
      <c r="K680" s="47" t="s">
        <v>616</v>
      </c>
      <c r="L680" s="47" t="s">
        <v>617</v>
      </c>
      <c r="M680" s="47" t="s">
        <v>946</v>
      </c>
      <c r="N680" s="47" t="s">
        <v>6376</v>
      </c>
      <c r="O680" s="47" t="s">
        <v>2001</v>
      </c>
      <c r="P680" s="53"/>
      <c r="Q680" s="53" t="s">
        <v>6173</v>
      </c>
      <c r="R680" s="53" t="s">
        <v>6177</v>
      </c>
      <c r="S680" s="53" t="s">
        <v>6176</v>
      </c>
      <c r="T680" s="48">
        <v>209.24</v>
      </c>
      <c r="U680" s="98">
        <v>1859.9111111111113</v>
      </c>
      <c r="V680" s="98">
        <v>1973.9056630824373</v>
      </c>
      <c r="W680" s="98">
        <v>708.99751230566653</v>
      </c>
      <c r="X680" s="98">
        <v>1859.9111111111113</v>
      </c>
      <c r="Y680" s="233">
        <v>6.96</v>
      </c>
      <c r="Z680" s="48">
        <v>1.9</v>
      </c>
      <c r="AA680" s="48">
        <v>1.52</v>
      </c>
      <c r="AB680" s="48">
        <v>1.54</v>
      </c>
      <c r="AC680" s="48">
        <v>0.89239999999999997</v>
      </c>
      <c r="AD680" s="48">
        <v>1.56</v>
      </c>
      <c r="AE680" s="48">
        <v>1.6</v>
      </c>
      <c r="AF680" s="48">
        <f t="shared" si="154"/>
        <v>1.52</v>
      </c>
      <c r="AG680" s="49">
        <v>1.99</v>
      </c>
      <c r="AH680" s="98">
        <v>3.3499999999999998E-9</v>
      </c>
      <c r="AI680" s="98">
        <v>1.43E-9</v>
      </c>
      <c r="AJ680" s="483">
        <f t="shared" si="146"/>
        <v>-6.8635215192758068</v>
      </c>
      <c r="AK680" s="483">
        <f>LOG10(AI680*1000/(0.08206*298.15))</f>
        <v>-7.2332302888475901</v>
      </c>
      <c r="AL680" s="483">
        <f t="shared" ref="AL680:AL743" si="155">IF(AK680=0,AJ680,AK680)</f>
        <v>-7.2332302888475901</v>
      </c>
      <c r="AM680" s="483">
        <v>-10.072940000000001</v>
      </c>
      <c r="AN680" s="226">
        <v>-6.19</v>
      </c>
      <c r="AO680" s="484">
        <v>12.28</v>
      </c>
      <c r="AP680" s="484">
        <v>-1.49</v>
      </c>
      <c r="AQ680" s="226" t="s">
        <v>6311</v>
      </c>
      <c r="AR680" s="226" t="s">
        <v>6314</v>
      </c>
      <c r="AS680" s="224"/>
      <c r="AT680" s="50" t="s">
        <v>266</v>
      </c>
      <c r="AU680" s="48">
        <v>6</v>
      </c>
      <c r="AV680" s="48">
        <v>120</v>
      </c>
      <c r="AW680" s="48">
        <v>114</v>
      </c>
      <c r="AX680" s="48">
        <v>28</v>
      </c>
      <c r="AY680" s="48" t="s">
        <v>8728</v>
      </c>
      <c r="AZ680" s="48" t="s">
        <v>1563</v>
      </c>
      <c r="BA680" s="48">
        <v>32</v>
      </c>
      <c r="BB680" s="47" t="s">
        <v>2485</v>
      </c>
      <c r="BC680" s="47" t="s">
        <v>8726</v>
      </c>
      <c r="BD680" s="47" t="s">
        <v>8374</v>
      </c>
      <c r="BE680" s="48" t="s">
        <v>2449</v>
      </c>
      <c r="BF680" s="48" t="s">
        <v>272</v>
      </c>
      <c r="BG680" s="48" t="s">
        <v>272</v>
      </c>
      <c r="BH680" s="48" t="s">
        <v>2486</v>
      </c>
      <c r="BI680" s="98">
        <v>1.3391360000000001E-3</v>
      </c>
      <c r="BJ680" s="98">
        <v>13.391360000000001</v>
      </c>
      <c r="BK680" s="48"/>
      <c r="BL680" s="487">
        <v>211.3755308782311</v>
      </c>
      <c r="BM680" s="47" t="s">
        <v>2487</v>
      </c>
      <c r="BN680" s="48"/>
      <c r="BO680" s="48"/>
      <c r="BP680" s="48"/>
      <c r="BQ680" s="48"/>
      <c r="BR680" s="47" t="e">
        <v>#VALUE!</v>
      </c>
      <c r="BS680" s="48"/>
      <c r="BT680" s="48"/>
      <c r="BU680" s="228"/>
      <c r="BV680" s="48"/>
      <c r="BW680" s="48"/>
      <c r="BX680" s="48"/>
      <c r="BY680" s="48"/>
      <c r="BZ680" s="48"/>
      <c r="CA680" s="48"/>
      <c r="CB680" s="48"/>
      <c r="CC680" s="48"/>
      <c r="CD680" s="48"/>
      <c r="CE680" s="48"/>
      <c r="CF680" s="48"/>
      <c r="CG680" s="48"/>
      <c r="CH680" s="48"/>
      <c r="CI680" s="98"/>
      <c r="CJ680" s="98"/>
      <c r="CK680" s="49">
        <f t="shared" si="152"/>
        <v>15.7844707989503</v>
      </c>
      <c r="CL680" s="229"/>
      <c r="CM680" s="229">
        <v>1.0480036186615178</v>
      </c>
      <c r="CN680" s="229">
        <f>BJ680/(10^CM680)</f>
        <v>1.1990052001950644</v>
      </c>
      <c r="CO680" s="47" t="s">
        <v>2488</v>
      </c>
      <c r="CP680" s="500" t="s">
        <v>2489</v>
      </c>
      <c r="CQ680" s="224">
        <v>1.0726577657579373</v>
      </c>
      <c r="CR680" s="224">
        <f>10^(CJ680-CQ680)</f>
        <v>8.4594520724396674E-2</v>
      </c>
      <c r="CS680" s="230" t="s">
        <v>539</v>
      </c>
      <c r="CT680" s="230"/>
      <c r="CU680" s="230"/>
      <c r="CV680" s="335">
        <f t="shared" si="153"/>
        <v>138.88888888888889</v>
      </c>
      <c r="CW680" s="230">
        <f t="shared" si="151"/>
        <v>1</v>
      </c>
      <c r="CX680" s="336"/>
      <c r="CY680" s="230" t="s">
        <v>5921</v>
      </c>
    </row>
    <row r="681" spans="1:103" ht="11.25" customHeight="1" x14ac:dyDescent="0.2">
      <c r="A681" s="72">
        <v>1002</v>
      </c>
      <c r="B681" s="224">
        <v>1058</v>
      </c>
      <c r="C681" s="46" t="s">
        <v>7183</v>
      </c>
      <c r="D681" s="46"/>
      <c r="E681" s="114"/>
      <c r="F681" s="114" t="s">
        <v>2985</v>
      </c>
      <c r="G681" s="225">
        <v>115286</v>
      </c>
      <c r="H681" s="47" t="s">
        <v>2986</v>
      </c>
      <c r="I681" s="47" t="s">
        <v>8034</v>
      </c>
      <c r="J681" s="47" t="s">
        <v>2987</v>
      </c>
      <c r="K681" s="47" t="s">
        <v>1139</v>
      </c>
      <c r="L681" s="47"/>
      <c r="M681" s="47"/>
      <c r="N681" s="47"/>
      <c r="O681" s="47"/>
      <c r="P681" s="53"/>
      <c r="Q681" s="53"/>
      <c r="R681" s="53"/>
      <c r="S681" s="53"/>
      <c r="T681" s="48">
        <v>388.84</v>
      </c>
      <c r="U681" s="98">
        <v>3500</v>
      </c>
      <c r="V681" s="98">
        <v>18.399999999999999</v>
      </c>
      <c r="W681" s="98">
        <v>630.62463825704572</v>
      </c>
      <c r="X681" s="98">
        <v>3500</v>
      </c>
      <c r="Y681" s="233">
        <v>2.73</v>
      </c>
      <c r="Z681" s="48">
        <v>3.14</v>
      </c>
      <c r="AA681" s="48"/>
      <c r="AB681" s="48">
        <v>3.1</v>
      </c>
      <c r="AC681" s="48">
        <v>0.35870000000000002</v>
      </c>
      <c r="AD681" s="48">
        <v>3.95</v>
      </c>
      <c r="AE681" s="48">
        <v>4.46</v>
      </c>
      <c r="AF681" s="48">
        <f t="shared" si="154"/>
        <v>3.95</v>
      </c>
      <c r="AG681" s="49">
        <v>2.42</v>
      </c>
      <c r="AH681" s="98">
        <v>3.0400000000000002E-14</v>
      </c>
      <c r="AI681" s="98"/>
      <c r="AJ681" s="483">
        <f t="shared" si="146"/>
        <v>-11.905692742703899</v>
      </c>
      <c r="AK681" s="483"/>
      <c r="AL681" s="483">
        <f t="shared" si="155"/>
        <v>-11.905692742703899</v>
      </c>
      <c r="AM681" s="483">
        <v>-15.888249999999999</v>
      </c>
      <c r="AN681" s="226">
        <v>-11.3</v>
      </c>
      <c r="AO681" s="484">
        <v>1.26</v>
      </c>
      <c r="AP681" s="484"/>
      <c r="AQ681" s="48" t="s">
        <v>6311</v>
      </c>
      <c r="AR681" s="48" t="s">
        <v>6311</v>
      </c>
      <c r="AS681" s="227"/>
      <c r="AT681" s="50" t="s">
        <v>266</v>
      </c>
      <c r="AU681" s="48">
        <v>6</v>
      </c>
      <c r="AV681" s="48">
        <v>120</v>
      </c>
      <c r="AW681" s="48">
        <v>114</v>
      </c>
      <c r="AX681" s="48">
        <v>28</v>
      </c>
      <c r="AY681" s="48" t="s">
        <v>8728</v>
      </c>
      <c r="AZ681" s="48" t="s">
        <v>1563</v>
      </c>
      <c r="BA681" s="48">
        <v>32</v>
      </c>
      <c r="BB681" s="47" t="s">
        <v>2485</v>
      </c>
      <c r="BC681" s="47" t="s">
        <v>8726</v>
      </c>
      <c r="BD681" s="47" t="s">
        <v>8374</v>
      </c>
      <c r="BE681" s="48" t="s">
        <v>2449</v>
      </c>
      <c r="BF681" s="48" t="s">
        <v>272</v>
      </c>
      <c r="BG681" s="48" t="s">
        <v>272</v>
      </c>
      <c r="BH681" s="48" t="s">
        <v>2486</v>
      </c>
      <c r="BI681" s="98">
        <v>2.4885759999999997E-3</v>
      </c>
      <c r="BJ681" s="98">
        <v>24.885759999999998</v>
      </c>
      <c r="BK681" s="48"/>
      <c r="BL681" s="487">
        <v>30.236877082909782</v>
      </c>
      <c r="BM681" s="47" t="s">
        <v>2487</v>
      </c>
      <c r="BN681" s="48"/>
      <c r="BO681" s="48"/>
      <c r="BP681" s="48"/>
      <c r="BQ681" s="48"/>
      <c r="BR681" s="47" t="e">
        <v>#VALUE!</v>
      </c>
      <c r="BS681" s="48"/>
      <c r="BT681" s="48"/>
      <c r="BU681" s="228">
        <v>0.24885760000000001</v>
      </c>
      <c r="BV681" s="48"/>
      <c r="BW681" s="48"/>
      <c r="BX681" s="48"/>
      <c r="BY681" s="48"/>
      <c r="BZ681" s="48"/>
      <c r="CA681" s="48"/>
      <c r="CB681" s="48"/>
      <c r="CC681" s="48"/>
      <c r="CD681" s="48"/>
      <c r="CE681" s="48"/>
      <c r="CF681" s="48"/>
      <c r="CG681" s="48"/>
      <c r="CH681" s="48"/>
      <c r="CI681" s="98"/>
      <c r="CJ681" s="98"/>
      <c r="CK681" s="49">
        <f t="shared" si="152"/>
        <v>1.2150272719382404</v>
      </c>
      <c r="CL681" s="229"/>
      <c r="CM681" s="229"/>
      <c r="CN681" s="229"/>
      <c r="CO681" s="47" t="s">
        <v>2488</v>
      </c>
      <c r="CP681" s="500" t="s">
        <v>2489</v>
      </c>
      <c r="CQ681" s="224" t="s">
        <v>272</v>
      </c>
      <c r="CR681" s="224"/>
      <c r="CS681" s="230" t="s">
        <v>539</v>
      </c>
      <c r="CT681" s="230"/>
      <c r="CU681" s="230"/>
      <c r="CV681" s="335">
        <f t="shared" si="153"/>
        <v>140.642680794157</v>
      </c>
      <c r="CW681" s="230">
        <f t="shared" si="151"/>
        <v>1</v>
      </c>
      <c r="CX681" s="336"/>
      <c r="CY681" s="230" t="s">
        <v>5921</v>
      </c>
    </row>
    <row r="682" spans="1:103" ht="11.25" customHeight="1" x14ac:dyDescent="0.2">
      <c r="A682" s="72">
        <v>1003</v>
      </c>
      <c r="B682" s="224">
        <v>1638</v>
      </c>
      <c r="C682" s="46" t="s">
        <v>1135</v>
      </c>
      <c r="D682" s="46" t="s">
        <v>6654</v>
      </c>
      <c r="E682" s="114"/>
      <c r="F682" s="114" t="s">
        <v>1136</v>
      </c>
      <c r="G682" s="225">
        <v>115297</v>
      </c>
      <c r="H682" s="47" t="s">
        <v>1137</v>
      </c>
      <c r="I682" s="47" t="s">
        <v>7890</v>
      </c>
      <c r="J682" s="47" t="s">
        <v>1138</v>
      </c>
      <c r="K682" s="47" t="s">
        <v>1139</v>
      </c>
      <c r="L682" s="47" t="s">
        <v>617</v>
      </c>
      <c r="M682" s="47" t="s">
        <v>1140</v>
      </c>
      <c r="N682" s="47" t="s">
        <v>6376</v>
      </c>
      <c r="O682" s="47" t="s">
        <v>918</v>
      </c>
      <c r="P682" s="53" t="s">
        <v>6172</v>
      </c>
      <c r="Q682" s="53" t="s">
        <v>6176</v>
      </c>
      <c r="R682" s="53" t="s">
        <v>6181</v>
      </c>
      <c r="S682" s="53" t="s">
        <v>6173</v>
      </c>
      <c r="T682" s="48">
        <v>406.92</v>
      </c>
      <c r="U682" s="98">
        <v>0.44999999999999996</v>
      </c>
      <c r="V682" s="98">
        <v>1.4870000000000001</v>
      </c>
      <c r="W682" s="98">
        <v>1.173570099252276</v>
      </c>
      <c r="X682" s="98">
        <v>0.44999999999999996</v>
      </c>
      <c r="Y682" s="233">
        <v>7</v>
      </c>
      <c r="Z682" s="48">
        <v>3.5</v>
      </c>
      <c r="AA682" s="48">
        <v>3.83</v>
      </c>
      <c r="AB682" s="48">
        <v>4.1900000000000004</v>
      </c>
      <c r="AC682" s="48">
        <v>0.72519999999999996</v>
      </c>
      <c r="AD682" s="48">
        <v>3.87</v>
      </c>
      <c r="AE682" s="48">
        <v>3.12</v>
      </c>
      <c r="AF682" s="48">
        <f t="shared" si="154"/>
        <v>3.83</v>
      </c>
      <c r="AG682" s="49">
        <v>3.04</v>
      </c>
      <c r="AH682" s="98">
        <v>9.0299999999999995E-8</v>
      </c>
      <c r="AI682" s="98">
        <v>6.4999999999999994E-5</v>
      </c>
      <c r="AJ682" s="483">
        <f t="shared" ref="AJ682:AJ745" si="156">LOG10(AH682*1000/(0.08206*298.15))</f>
        <v>-5.4328785759991458</v>
      </c>
      <c r="AK682" s="483">
        <f>LOG10(AI682*1000/(0.08206*298.15))</f>
        <v>-2.5756529696697963</v>
      </c>
      <c r="AL682" s="483">
        <f t="shared" si="155"/>
        <v>-2.5756529696697963</v>
      </c>
      <c r="AM682" s="483">
        <v>-16.826589999999999</v>
      </c>
      <c r="AN682" s="226">
        <v>0.3</v>
      </c>
      <c r="AO682" s="484"/>
      <c r="AP682" s="484"/>
      <c r="AQ682" s="226" t="s">
        <v>6311</v>
      </c>
      <c r="AR682" s="226" t="s">
        <v>6311</v>
      </c>
      <c r="AS682" s="224"/>
      <c r="AT682" s="50" t="s">
        <v>266</v>
      </c>
      <c r="AU682" s="48">
        <v>6</v>
      </c>
      <c r="AV682" s="48">
        <v>120</v>
      </c>
      <c r="AW682" s="48">
        <v>114</v>
      </c>
      <c r="AX682" s="48">
        <v>28</v>
      </c>
      <c r="AY682" s="48" t="s">
        <v>8728</v>
      </c>
      <c r="AZ682" s="48" t="s">
        <v>1563</v>
      </c>
      <c r="BA682" s="48">
        <v>32</v>
      </c>
      <c r="BB682" s="47" t="s">
        <v>2485</v>
      </c>
      <c r="BC682" s="47" t="s">
        <v>8726</v>
      </c>
      <c r="BD682" s="47" t="s">
        <v>8374</v>
      </c>
      <c r="BE682" s="48" t="s">
        <v>2449</v>
      </c>
      <c r="BF682" s="48" t="s">
        <v>272</v>
      </c>
      <c r="BG682" s="48" t="s">
        <v>272</v>
      </c>
      <c r="BH682" s="48" t="s">
        <v>2486</v>
      </c>
      <c r="BI682" s="98">
        <v>2.6042880000000002E-3</v>
      </c>
      <c r="BJ682" s="98">
        <v>26.04288</v>
      </c>
      <c r="BK682" s="48"/>
      <c r="BL682" s="487">
        <v>15.030001911696553</v>
      </c>
      <c r="BM682" s="47" t="s">
        <v>2487</v>
      </c>
      <c r="BN682" s="48"/>
      <c r="BO682" s="48"/>
      <c r="BP682" s="48"/>
      <c r="BQ682" s="48"/>
      <c r="BR682" s="47" t="e">
        <v>#VALUE!</v>
      </c>
      <c r="BS682" s="48"/>
      <c r="BT682" s="48"/>
      <c r="BU682" s="228"/>
      <c r="BV682" s="48"/>
      <c r="BW682" s="48"/>
      <c r="BX682" s="48"/>
      <c r="BY682" s="48"/>
      <c r="BZ682" s="48"/>
      <c r="CA682" s="48"/>
      <c r="CB682" s="48"/>
      <c r="CC682" s="48"/>
      <c r="CD682" s="48"/>
      <c r="CE682" s="48"/>
      <c r="CF682" s="48"/>
      <c r="CG682" s="48"/>
      <c r="CH682" s="48"/>
      <c r="CI682" s="98"/>
      <c r="CJ682" s="98"/>
      <c r="CK682" s="49">
        <f t="shared" si="152"/>
        <v>0.57712518399257506</v>
      </c>
      <c r="CL682" s="229"/>
      <c r="CM682" s="229">
        <v>-3.0487429239778088</v>
      </c>
      <c r="CN682" s="229">
        <f>BJ682/(10^CM682)</f>
        <v>29136.134534569079</v>
      </c>
      <c r="CO682" s="47" t="s">
        <v>2488</v>
      </c>
      <c r="CP682" s="500" t="s">
        <v>2489</v>
      </c>
      <c r="CQ682" s="224">
        <v>-2.9310762821809169</v>
      </c>
      <c r="CR682" s="224">
        <f>10^(CJ682-CQ682)</f>
        <v>853.24997098213873</v>
      </c>
      <c r="CS682" s="230" t="s">
        <v>539</v>
      </c>
      <c r="CT682" s="230"/>
      <c r="CU682" s="230"/>
      <c r="CV682" s="335">
        <f t="shared" si="153"/>
        <v>1.7279194927749923E-2</v>
      </c>
      <c r="CW682" s="230">
        <f t="shared" si="151"/>
        <v>0</v>
      </c>
      <c r="CX682" s="336"/>
      <c r="CY682" s="230" t="s">
        <v>5921</v>
      </c>
    </row>
    <row r="683" spans="1:103" ht="11.25" customHeight="1" x14ac:dyDescent="0.2">
      <c r="A683" s="72">
        <v>1005</v>
      </c>
      <c r="B683" s="224">
        <v>1806</v>
      </c>
      <c r="C683" s="46" t="s">
        <v>7184</v>
      </c>
      <c r="D683" s="46"/>
      <c r="E683" s="114"/>
      <c r="F683" s="114" t="s">
        <v>5189</v>
      </c>
      <c r="G683" s="225">
        <v>115775</v>
      </c>
      <c r="H683" s="47" t="s">
        <v>5190</v>
      </c>
      <c r="I683" s="47" t="s">
        <v>5190</v>
      </c>
      <c r="J683" s="47" t="s">
        <v>5191</v>
      </c>
      <c r="K683" s="47" t="s">
        <v>426</v>
      </c>
      <c r="L683" s="47"/>
      <c r="M683" s="47"/>
      <c r="N683" s="47"/>
      <c r="O683" s="47"/>
      <c r="P683" s="53"/>
      <c r="Q683" s="53"/>
      <c r="R683" s="53"/>
      <c r="S683" s="53"/>
      <c r="T683" s="48">
        <v>136.15</v>
      </c>
      <c r="U683" s="98">
        <v>72300</v>
      </c>
      <c r="V683" s="98">
        <v>1000000</v>
      </c>
      <c r="W683" s="98">
        <v>472082.22189112194</v>
      </c>
      <c r="X683" s="98">
        <v>72300</v>
      </c>
      <c r="Y683" s="233">
        <v>6.48</v>
      </c>
      <c r="Z683" s="48">
        <v>-1.77</v>
      </c>
      <c r="AA683" s="48">
        <v>-1.69</v>
      </c>
      <c r="AB683" s="48">
        <v>-1.67</v>
      </c>
      <c r="AC683" s="48">
        <v>0.83169999999999999</v>
      </c>
      <c r="AD683" s="48">
        <v>-1.8</v>
      </c>
      <c r="AE683" s="48">
        <v>-2.36</v>
      </c>
      <c r="AF683" s="48">
        <f t="shared" si="154"/>
        <v>-1.69</v>
      </c>
      <c r="AG683" s="49">
        <v>-1.78</v>
      </c>
      <c r="AH683" s="98">
        <v>4.0899999999999998E-10</v>
      </c>
      <c r="AI683" s="98"/>
      <c r="AJ683" s="483">
        <f t="shared" si="156"/>
        <v>-7.7768430183053097</v>
      </c>
      <c r="AK683" s="483"/>
      <c r="AL683" s="483">
        <f t="shared" si="155"/>
        <v>-7.7768430183053097</v>
      </c>
      <c r="AM683" s="483">
        <v>-14.380439999999998</v>
      </c>
      <c r="AN683" s="226">
        <v>-3.55</v>
      </c>
      <c r="AO683" s="484">
        <v>13.55</v>
      </c>
      <c r="AP683" s="484"/>
      <c r="AQ683" s="226" t="s">
        <v>6311</v>
      </c>
      <c r="AR683" s="226" t="s">
        <v>6311</v>
      </c>
      <c r="AS683" s="224"/>
      <c r="AT683" s="50" t="s">
        <v>266</v>
      </c>
      <c r="AU683" s="48">
        <v>6</v>
      </c>
      <c r="AV683" s="48">
        <v>120</v>
      </c>
      <c r="AW683" s="48">
        <v>114</v>
      </c>
      <c r="AX683" s="48">
        <v>28</v>
      </c>
      <c r="AY683" s="48" t="s">
        <v>8728</v>
      </c>
      <c r="AZ683" s="48" t="s">
        <v>1563</v>
      </c>
      <c r="BA683" s="48">
        <v>32</v>
      </c>
      <c r="BB683" s="47" t="s">
        <v>2485</v>
      </c>
      <c r="BC683" s="47" t="s">
        <v>8726</v>
      </c>
      <c r="BD683" s="47" t="s">
        <v>8374</v>
      </c>
      <c r="BE683" s="48" t="s">
        <v>2449</v>
      </c>
      <c r="BF683" s="48" t="s">
        <v>272</v>
      </c>
      <c r="BG683" s="48" t="s">
        <v>272</v>
      </c>
      <c r="BH683" s="48" t="s">
        <v>2486</v>
      </c>
      <c r="BI683" s="98">
        <v>8.7135999999999995E-4</v>
      </c>
      <c r="BJ683" s="98">
        <v>8.7136000000000013</v>
      </c>
      <c r="BK683" s="48"/>
      <c r="BL683" s="487">
        <v>271928.4490434425</v>
      </c>
      <c r="BM683" s="47" t="s">
        <v>2487</v>
      </c>
      <c r="BN683" s="48"/>
      <c r="BO683" s="48"/>
      <c r="BP683" s="48"/>
      <c r="BQ683" s="48"/>
      <c r="BR683" s="47" t="e">
        <v>#VALUE!</v>
      </c>
      <c r="BS683" s="48"/>
      <c r="BT683" s="48"/>
      <c r="BU683" s="228"/>
      <c r="BV683" s="48"/>
      <c r="BW683" s="48"/>
      <c r="BX683" s="48"/>
      <c r="BY683" s="48"/>
      <c r="BZ683" s="48"/>
      <c r="CA683" s="48"/>
      <c r="CB683" s="48"/>
      <c r="CC683" s="48"/>
      <c r="CD683" s="48"/>
      <c r="CE683" s="48"/>
      <c r="CF683" s="48"/>
      <c r="CG683" s="48"/>
      <c r="CH683" s="48"/>
      <c r="CI683" s="98"/>
      <c r="CJ683" s="98"/>
      <c r="CK683" s="49">
        <f t="shared" si="152"/>
        <v>31207.359649678943</v>
      </c>
      <c r="CL683" s="229"/>
      <c r="CM683" s="229"/>
      <c r="CN683" s="229"/>
      <c r="CO683" s="47" t="s">
        <v>2488</v>
      </c>
      <c r="CP683" s="500" t="s">
        <v>2489</v>
      </c>
      <c r="CQ683" s="224" t="s">
        <v>272</v>
      </c>
      <c r="CR683" s="224"/>
      <c r="CS683" s="230" t="s">
        <v>539</v>
      </c>
      <c r="CT683" s="230"/>
      <c r="CU683" s="230"/>
      <c r="CV683" s="335">
        <f t="shared" si="153"/>
        <v>8297.3742196107214</v>
      </c>
      <c r="CW683" s="230">
        <f t="shared" si="151"/>
        <v>1</v>
      </c>
      <c r="CX683" s="336"/>
      <c r="CY683" s="230" t="s">
        <v>6351</v>
      </c>
    </row>
    <row r="684" spans="1:103" ht="11.25" customHeight="1" x14ac:dyDescent="0.2">
      <c r="A684" s="72">
        <v>1006</v>
      </c>
      <c r="B684" s="224">
        <v>1330</v>
      </c>
      <c r="C684" s="46" t="s">
        <v>7185</v>
      </c>
      <c r="D684" s="46" t="s">
        <v>8591</v>
      </c>
      <c r="E684" s="114"/>
      <c r="F684" s="114" t="s">
        <v>3619</v>
      </c>
      <c r="G684" s="225">
        <v>115866</v>
      </c>
      <c r="H684" s="47" t="s">
        <v>3620</v>
      </c>
      <c r="I684" s="47" t="s">
        <v>3620</v>
      </c>
      <c r="J684" s="236" t="s">
        <v>3621</v>
      </c>
      <c r="K684" s="236" t="s">
        <v>637</v>
      </c>
      <c r="L684" s="47" t="s">
        <v>5527</v>
      </c>
      <c r="M684" s="47" t="s">
        <v>6082</v>
      </c>
      <c r="N684" s="47" t="s">
        <v>6082</v>
      </c>
      <c r="O684" s="52" t="s">
        <v>6083</v>
      </c>
      <c r="P684" s="53"/>
      <c r="Q684" s="53"/>
      <c r="R684" s="53"/>
      <c r="S684" s="53"/>
      <c r="T684" s="226">
        <v>326.29000000000002</v>
      </c>
      <c r="U684" s="98">
        <v>1.8999999999999997</v>
      </c>
      <c r="V684" s="98">
        <v>1.034</v>
      </c>
      <c r="W684" s="98">
        <v>8.0094697209886689</v>
      </c>
      <c r="X684" s="98">
        <v>1.8999999999999997</v>
      </c>
      <c r="Y684" s="233">
        <v>7</v>
      </c>
      <c r="Z684" s="48">
        <v>4.7</v>
      </c>
      <c r="AA684" s="48">
        <v>4.59</v>
      </c>
      <c r="AB684" s="48">
        <v>4.1399999999999997</v>
      </c>
      <c r="AC684" s="48">
        <v>0.59050000000000002</v>
      </c>
      <c r="AD684" s="48">
        <v>4.12</v>
      </c>
      <c r="AE684" s="48">
        <v>4.0999999999999996</v>
      </c>
      <c r="AF684" s="48">
        <f t="shared" si="154"/>
        <v>4.59</v>
      </c>
      <c r="AG684" s="48">
        <v>4.1900000000000004</v>
      </c>
      <c r="AH684" s="98">
        <v>3.9799999999999999E-8</v>
      </c>
      <c r="AI684" s="98">
        <v>3.3100000000000001E-6</v>
      </c>
      <c r="AJ684" s="483">
        <f t="shared" si="156"/>
        <v>-5.7886832542389639</v>
      </c>
      <c r="AK684" s="483">
        <f>LOG10(AI684*1000/(0.08206*298.15))</f>
        <v>-3.8687383325369331</v>
      </c>
      <c r="AL684" s="483">
        <f t="shared" si="155"/>
        <v>-3.8687383325369331</v>
      </c>
      <c r="AM684" s="483">
        <v>-15.75759</v>
      </c>
      <c r="AN684" s="48">
        <v>-2.85</v>
      </c>
      <c r="AO684" s="484"/>
      <c r="AP684" s="484"/>
      <c r="AQ684" s="48" t="s">
        <v>6312</v>
      </c>
      <c r="AR684" s="48" t="s">
        <v>6312</v>
      </c>
      <c r="AS684" s="227"/>
      <c r="AT684" s="50" t="s">
        <v>266</v>
      </c>
      <c r="AU684" s="48">
        <v>6</v>
      </c>
      <c r="AV684" s="48">
        <v>120</v>
      </c>
      <c r="AW684" s="48">
        <v>114</v>
      </c>
      <c r="AX684" s="48">
        <v>28</v>
      </c>
      <c r="AY684" s="48" t="s">
        <v>8728</v>
      </c>
      <c r="AZ684" s="48" t="s">
        <v>1563</v>
      </c>
      <c r="BA684" s="48">
        <v>32</v>
      </c>
      <c r="BB684" s="47" t="s">
        <v>2485</v>
      </c>
      <c r="BC684" s="47" t="s">
        <v>8726</v>
      </c>
      <c r="BD684" s="47" t="s">
        <v>8374</v>
      </c>
      <c r="BE684" s="48" t="s">
        <v>2449</v>
      </c>
      <c r="BF684" s="48" t="s">
        <v>272</v>
      </c>
      <c r="BG684" s="48" t="s">
        <v>272</v>
      </c>
      <c r="BH684" s="48" t="s">
        <v>2486</v>
      </c>
      <c r="BI684" s="98">
        <v>2.0882560000000001E-3</v>
      </c>
      <c r="BJ684" s="98">
        <v>20.882560000000002</v>
      </c>
      <c r="BK684" s="48"/>
      <c r="BL684" s="487">
        <v>1.0077058132275396</v>
      </c>
      <c r="BM684" s="47" t="s">
        <v>2487</v>
      </c>
      <c r="BN684" s="48"/>
      <c r="BO684" s="48"/>
      <c r="BP684" s="48"/>
      <c r="BQ684" s="48"/>
      <c r="BR684" s="47" t="e">
        <v>#VALUE!</v>
      </c>
      <c r="BS684" s="48"/>
      <c r="BT684" s="48"/>
      <c r="BU684" s="228">
        <v>20.882560000000002</v>
      </c>
      <c r="BV684" s="48"/>
      <c r="BW684" s="48"/>
      <c r="BX684" s="48"/>
      <c r="BY684" s="48"/>
      <c r="BZ684" s="48"/>
      <c r="CA684" s="48"/>
      <c r="CB684" s="48"/>
      <c r="CC684" s="48"/>
      <c r="CD684" s="48"/>
      <c r="CE684" s="48"/>
      <c r="CF684" s="48"/>
      <c r="CG684" s="48"/>
      <c r="CH684" s="48"/>
      <c r="CI684" s="98"/>
      <c r="CJ684" s="98"/>
      <c r="CK684" s="49">
        <f t="shared" si="152"/>
        <v>4.8255856237335824E-2</v>
      </c>
      <c r="CL684" s="229"/>
      <c r="CM684" s="229"/>
      <c r="CN684" s="229"/>
      <c r="CO684" s="47" t="s">
        <v>2488</v>
      </c>
      <c r="CP684" s="500" t="s">
        <v>2489</v>
      </c>
      <c r="CQ684" s="224">
        <v>-2.141493750339938E-2</v>
      </c>
      <c r="CR684" s="224">
        <f>10^(CJ684-CQ684)</f>
        <v>1.0505456710178354</v>
      </c>
      <c r="CS684" s="230" t="s">
        <v>539</v>
      </c>
      <c r="CT684" s="230"/>
      <c r="CU684" s="230"/>
      <c r="CV684" s="335">
        <f t="shared" si="153"/>
        <v>9.0985013331698769E-2</v>
      </c>
      <c r="CW684" s="230">
        <f t="shared" si="151"/>
        <v>0</v>
      </c>
      <c r="CX684" s="336"/>
      <c r="CY684" s="230" t="s">
        <v>6351</v>
      </c>
    </row>
    <row r="685" spans="1:103" ht="11.25" customHeight="1" x14ac:dyDescent="0.2">
      <c r="A685" s="72">
        <v>1007</v>
      </c>
      <c r="B685" s="224">
        <v>67</v>
      </c>
      <c r="C685" s="46" t="s">
        <v>7186</v>
      </c>
      <c r="D685" s="46"/>
      <c r="E685" s="114"/>
      <c r="F685" s="114" t="s">
        <v>3634</v>
      </c>
      <c r="G685" s="225">
        <v>115968</v>
      </c>
      <c r="H685" s="47" t="s">
        <v>3635</v>
      </c>
      <c r="I685" s="47" t="s">
        <v>8035</v>
      </c>
      <c r="J685" s="236" t="s">
        <v>3636</v>
      </c>
      <c r="K685" s="236" t="s">
        <v>637</v>
      </c>
      <c r="L685" s="47"/>
      <c r="M685" s="47"/>
      <c r="N685" s="47"/>
      <c r="O685" s="52"/>
      <c r="P685" s="53"/>
      <c r="Q685" s="53"/>
      <c r="R685" s="53"/>
      <c r="S685" s="53"/>
      <c r="T685" s="226">
        <v>285.49</v>
      </c>
      <c r="U685" s="98">
        <v>7000</v>
      </c>
      <c r="V685" s="98">
        <v>877.9</v>
      </c>
      <c r="W685" s="98">
        <v>18013.201227565034</v>
      </c>
      <c r="X685" s="98">
        <v>7000</v>
      </c>
      <c r="Y685" s="233">
        <v>7</v>
      </c>
      <c r="Z685" s="48">
        <v>1.63</v>
      </c>
      <c r="AA685" s="48">
        <v>1.44</v>
      </c>
      <c r="AB685" s="48">
        <v>1.79</v>
      </c>
      <c r="AC685" s="48">
        <v>0.81040000000000001</v>
      </c>
      <c r="AD685" s="48">
        <v>1.42</v>
      </c>
      <c r="AE685" s="48">
        <v>0.48</v>
      </c>
      <c r="AF685" s="48">
        <f t="shared" si="154"/>
        <v>1.44</v>
      </c>
      <c r="AG685" s="48">
        <v>1.76</v>
      </c>
      <c r="AH685" s="98">
        <v>2.55E-8</v>
      </c>
      <c r="AI685" s="98">
        <v>3.2899999999999998E-6</v>
      </c>
      <c r="AJ685" s="483">
        <f t="shared" si="156"/>
        <v>-5.982026145878697</v>
      </c>
      <c r="AK685" s="483">
        <f>LOG10(AI685*1000/(0.08206*298.15))</f>
        <v>-3.8713704283626775</v>
      </c>
      <c r="AL685" s="483">
        <f t="shared" si="155"/>
        <v>-3.8713704283626775</v>
      </c>
      <c r="AM685" s="483">
        <v>-9.8505199999999995</v>
      </c>
      <c r="AN685" s="48">
        <v>-7.25</v>
      </c>
      <c r="AO685" s="484"/>
      <c r="AP685" s="484"/>
      <c r="AQ685" s="48" t="s">
        <v>6314</v>
      </c>
      <c r="AR685" s="48" t="s">
        <v>6314</v>
      </c>
      <c r="AS685" s="227"/>
      <c r="AT685" s="50" t="s">
        <v>266</v>
      </c>
      <c r="AU685" s="48">
        <v>6</v>
      </c>
      <c r="AV685" s="48">
        <v>120</v>
      </c>
      <c r="AW685" s="48">
        <v>114</v>
      </c>
      <c r="AX685" s="48">
        <v>28</v>
      </c>
      <c r="AY685" s="48" t="s">
        <v>8728</v>
      </c>
      <c r="AZ685" s="48" t="s">
        <v>1563</v>
      </c>
      <c r="BA685" s="48">
        <v>32</v>
      </c>
      <c r="BB685" s="47" t="s">
        <v>2485</v>
      </c>
      <c r="BC685" s="47" t="s">
        <v>8726</v>
      </c>
      <c r="BD685" s="47" t="s">
        <v>8374</v>
      </c>
      <c r="BE685" s="48" t="s">
        <v>2449</v>
      </c>
      <c r="BF685" s="48" t="s">
        <v>272</v>
      </c>
      <c r="BG685" s="48" t="s">
        <v>272</v>
      </c>
      <c r="BH685" s="48" t="s">
        <v>2486</v>
      </c>
      <c r="BI685" s="98">
        <v>1.827136E-3</v>
      </c>
      <c r="BJ685" s="98">
        <v>18.271360000000001</v>
      </c>
      <c r="BK685" s="48"/>
      <c r="BL685" s="487">
        <v>504.06657566339629</v>
      </c>
      <c r="BM685" s="47" t="s">
        <v>2487</v>
      </c>
      <c r="BN685" s="48"/>
      <c r="BO685" s="48"/>
      <c r="BP685" s="48"/>
      <c r="BQ685" s="48"/>
      <c r="BR685" s="47" t="e">
        <v>#VALUE!</v>
      </c>
      <c r="BS685" s="48"/>
      <c r="BT685" s="48"/>
      <c r="BU685" s="228">
        <v>1.827136E-3</v>
      </c>
      <c r="BV685" s="48"/>
      <c r="BW685" s="48"/>
      <c r="BX685" s="48"/>
      <c r="BY685" s="48"/>
      <c r="BZ685" s="48"/>
      <c r="CA685" s="48"/>
      <c r="CB685" s="48"/>
      <c r="CC685" s="48"/>
      <c r="CD685" s="48"/>
      <c r="CE685" s="48"/>
      <c r="CF685" s="48"/>
      <c r="CG685" s="48"/>
      <c r="CH685" s="48"/>
      <c r="CI685" s="98"/>
      <c r="CJ685" s="98"/>
      <c r="CK685" s="49">
        <f t="shared" si="152"/>
        <v>27.587797277454786</v>
      </c>
      <c r="CL685" s="229"/>
      <c r="CM685" s="229"/>
      <c r="CN685" s="229"/>
      <c r="CO685" s="47" t="s">
        <v>2488</v>
      </c>
      <c r="CP685" s="500" t="s">
        <v>2489</v>
      </c>
      <c r="CQ685" s="224" t="s">
        <v>272</v>
      </c>
      <c r="CR685" s="224"/>
      <c r="CS685" s="230" t="s">
        <v>539</v>
      </c>
      <c r="CT685" s="230"/>
      <c r="CU685" s="230"/>
      <c r="CV685" s="335">
        <f t="shared" si="153"/>
        <v>383.1132438964587</v>
      </c>
      <c r="CW685" s="230">
        <f t="shared" si="151"/>
        <v>1</v>
      </c>
      <c r="CX685" s="336"/>
      <c r="CY685" s="230" t="s">
        <v>6351</v>
      </c>
    </row>
    <row r="686" spans="1:103" ht="11.25" customHeight="1" x14ac:dyDescent="0.2">
      <c r="A686" s="72">
        <v>1009</v>
      </c>
      <c r="B686" s="224">
        <v>1496</v>
      </c>
      <c r="C686" s="46" t="s">
        <v>2464</v>
      </c>
      <c r="D686" s="46" t="s">
        <v>6469</v>
      </c>
      <c r="E686" s="114"/>
      <c r="F686" s="114" t="s">
        <v>3723</v>
      </c>
      <c r="G686" s="225">
        <v>116063</v>
      </c>
      <c r="H686" s="47" t="s">
        <v>2465</v>
      </c>
      <c r="I686" s="47" t="s">
        <v>2465</v>
      </c>
      <c r="J686" s="47" t="s">
        <v>2466</v>
      </c>
      <c r="K686" s="47" t="s">
        <v>1504</v>
      </c>
      <c r="L686" s="47"/>
      <c r="M686" s="47" t="s">
        <v>618</v>
      </c>
      <c r="N686" s="47" t="s">
        <v>6376</v>
      </c>
      <c r="O686" s="47" t="s">
        <v>2467</v>
      </c>
      <c r="P686" s="53"/>
      <c r="Q686" s="53" t="s">
        <v>6173</v>
      </c>
      <c r="R686" s="53" t="s">
        <v>6177</v>
      </c>
      <c r="S686" s="53" t="s">
        <v>6176</v>
      </c>
      <c r="T686" s="48">
        <v>190.26</v>
      </c>
      <c r="U686" s="98">
        <v>6030</v>
      </c>
      <c r="V686" s="98">
        <v>5312</v>
      </c>
      <c r="W686" s="98">
        <v>3085.6558912350974</v>
      </c>
      <c r="X686" s="98">
        <v>6030</v>
      </c>
      <c r="Y686" s="233">
        <v>6.99</v>
      </c>
      <c r="Z686" s="48">
        <v>1.36</v>
      </c>
      <c r="AA686" s="48">
        <v>1.1299999999999999</v>
      </c>
      <c r="AB686" s="48">
        <v>1.44</v>
      </c>
      <c r="AC686" s="48">
        <v>0.81879999999999997</v>
      </c>
      <c r="AD686" s="48">
        <v>1.36</v>
      </c>
      <c r="AE686" s="48">
        <v>1.1299999999999999</v>
      </c>
      <c r="AF686" s="48">
        <f t="shared" si="154"/>
        <v>1.1299999999999999</v>
      </c>
      <c r="AG686" s="49">
        <v>1.64</v>
      </c>
      <c r="AH686" s="98">
        <v>3.5699999999999999E-9</v>
      </c>
      <c r="AI686" s="98">
        <v>1.44E-9</v>
      </c>
      <c r="AJ686" s="483">
        <f t="shared" si="156"/>
        <v>-6.8358981102004588</v>
      </c>
      <c r="AK686" s="483">
        <f>LOG10(AI686*1000/(0.08206*298.15))</f>
        <v>-7.2302038342174022</v>
      </c>
      <c r="AL686" s="483">
        <f t="shared" si="155"/>
        <v>-7.2302038342174022</v>
      </c>
      <c r="AM686" s="483">
        <v>-8.1778699999999986</v>
      </c>
      <c r="AN686" s="226">
        <v>-7.65</v>
      </c>
      <c r="AO686" s="484">
        <v>13.81</v>
      </c>
      <c r="AP686" s="484">
        <v>-1.1200000000000001</v>
      </c>
      <c r="AQ686" s="48" t="s">
        <v>6311</v>
      </c>
      <c r="AR686" s="48" t="s">
        <v>6311</v>
      </c>
      <c r="AS686" s="227"/>
      <c r="AT686" s="50" t="s">
        <v>266</v>
      </c>
      <c r="AU686" s="48">
        <v>6</v>
      </c>
      <c r="AV686" s="48">
        <v>120</v>
      </c>
      <c r="AW686" s="48">
        <v>114</v>
      </c>
      <c r="AX686" s="48">
        <v>28</v>
      </c>
      <c r="AY686" s="48" t="s">
        <v>8728</v>
      </c>
      <c r="AZ686" s="48" t="s">
        <v>1563</v>
      </c>
      <c r="BA686" s="48">
        <v>32</v>
      </c>
      <c r="BB686" s="47" t="s">
        <v>2485</v>
      </c>
      <c r="BC686" s="47" t="s">
        <v>8726</v>
      </c>
      <c r="BD686" s="47" t="s">
        <v>8374</v>
      </c>
      <c r="BE686" s="48" t="s">
        <v>2449</v>
      </c>
      <c r="BF686" s="48" t="s">
        <v>272</v>
      </c>
      <c r="BG686" s="48" t="s">
        <v>272</v>
      </c>
      <c r="BH686" s="48" t="s">
        <v>2486</v>
      </c>
      <c r="BI686" s="98">
        <v>1.2176639999999998E-3</v>
      </c>
      <c r="BJ686" s="98">
        <v>12.176639999999999</v>
      </c>
      <c r="BK686" s="48"/>
      <c r="BL686" s="487">
        <v>587.12624269890546</v>
      </c>
      <c r="BM686" s="47" t="s">
        <v>2487</v>
      </c>
      <c r="BN686" s="48"/>
      <c r="BO686" s="48"/>
      <c r="BP686" s="48"/>
      <c r="BQ686" s="48"/>
      <c r="BR686" s="47" t="e">
        <v>#VALUE!</v>
      </c>
      <c r="BS686" s="48"/>
      <c r="BT686" s="48"/>
      <c r="BU686" s="228"/>
      <c r="BV686" s="48"/>
      <c r="BW686" s="48"/>
      <c r="BX686" s="48"/>
      <c r="BY686" s="48"/>
      <c r="BZ686" s="48"/>
      <c r="CA686" s="48"/>
      <c r="CB686" s="48"/>
      <c r="CC686" s="48"/>
      <c r="CD686" s="48"/>
      <c r="CE686" s="48"/>
      <c r="CF686" s="48"/>
      <c r="CG686" s="48"/>
      <c r="CH686" s="48"/>
      <c r="CI686" s="98"/>
      <c r="CJ686" s="98"/>
      <c r="CK686" s="49">
        <f t="shared" si="152"/>
        <v>48.217426375330589</v>
      </c>
      <c r="CL686" s="229"/>
      <c r="CM686" s="229">
        <v>-0.9762470592396435</v>
      </c>
      <c r="CN686" s="229">
        <f>BJ686/(10^CM686)</f>
        <v>115.28545704041997</v>
      </c>
      <c r="CO686" s="47" t="s">
        <v>2488</v>
      </c>
      <c r="CP686" s="500" t="s">
        <v>2489</v>
      </c>
      <c r="CQ686" s="224">
        <v>-0.3285679141101962</v>
      </c>
      <c r="CR686" s="224">
        <f>10^(CJ686-CQ686)</f>
        <v>2.130923771124476</v>
      </c>
      <c r="CS686" s="230" t="s">
        <v>539</v>
      </c>
      <c r="CT686" s="230"/>
      <c r="CU686" s="230"/>
      <c r="CV686" s="335">
        <f t="shared" si="153"/>
        <v>495.21050141911076</v>
      </c>
      <c r="CW686" s="230">
        <f t="shared" si="151"/>
        <v>1</v>
      </c>
      <c r="CX686" s="336"/>
      <c r="CY686" s="230" t="s">
        <v>5921</v>
      </c>
    </row>
    <row r="687" spans="1:103" ht="11.25" customHeight="1" x14ac:dyDescent="0.2">
      <c r="A687" s="72">
        <v>1010</v>
      </c>
      <c r="B687" s="224">
        <v>1545</v>
      </c>
      <c r="C687" s="46" t="s">
        <v>2464</v>
      </c>
      <c r="D687" s="46" t="s">
        <v>6469</v>
      </c>
      <c r="E687" s="114"/>
      <c r="F687" s="114" t="s">
        <v>3723</v>
      </c>
      <c r="G687" s="225">
        <v>116063</v>
      </c>
      <c r="H687" s="47" t="s">
        <v>2465</v>
      </c>
      <c r="I687" s="47" t="s">
        <v>2465</v>
      </c>
      <c r="J687" s="47" t="s">
        <v>2466</v>
      </c>
      <c r="K687" s="47" t="s">
        <v>1504</v>
      </c>
      <c r="L687" s="47" t="s">
        <v>617</v>
      </c>
      <c r="M687" s="47" t="s">
        <v>618</v>
      </c>
      <c r="N687" s="47" t="s">
        <v>6376</v>
      </c>
      <c r="O687" s="47" t="s">
        <v>2467</v>
      </c>
      <c r="P687" s="53"/>
      <c r="Q687" s="53" t="s">
        <v>6173</v>
      </c>
      <c r="R687" s="53" t="s">
        <v>6177</v>
      </c>
      <c r="S687" s="53" t="s">
        <v>6176</v>
      </c>
      <c r="T687" s="48">
        <v>190.26</v>
      </c>
      <c r="U687" s="98">
        <v>6030</v>
      </c>
      <c r="V687" s="98">
        <v>5312</v>
      </c>
      <c r="W687" s="98">
        <v>3085.6558912350974</v>
      </c>
      <c r="X687" s="98">
        <v>6030</v>
      </c>
      <c r="Y687" s="233">
        <v>6.99</v>
      </c>
      <c r="Z687" s="48">
        <v>1.36</v>
      </c>
      <c r="AA687" s="48">
        <v>1.1299999999999999</v>
      </c>
      <c r="AB687" s="48">
        <v>1.44</v>
      </c>
      <c r="AC687" s="48">
        <v>0.81879999999999997</v>
      </c>
      <c r="AD687" s="48">
        <v>1.36</v>
      </c>
      <c r="AE687" s="48">
        <v>1.1299999999999999</v>
      </c>
      <c r="AF687" s="48">
        <f t="shared" si="154"/>
        <v>1.1299999999999999</v>
      </c>
      <c r="AG687" s="49">
        <v>1.64</v>
      </c>
      <c r="AH687" s="98">
        <v>3.5699999999999999E-9</v>
      </c>
      <c r="AI687" s="98">
        <v>1.44E-9</v>
      </c>
      <c r="AJ687" s="483">
        <f t="shared" si="156"/>
        <v>-6.8358981102004588</v>
      </c>
      <c r="AK687" s="483">
        <f>LOG10(AI687*1000/(0.08206*298.15))</f>
        <v>-7.2302038342174022</v>
      </c>
      <c r="AL687" s="483">
        <f t="shared" si="155"/>
        <v>-7.2302038342174022</v>
      </c>
      <c r="AM687" s="483">
        <v>-8.1778699999999986</v>
      </c>
      <c r="AN687" s="226">
        <v>-7.65</v>
      </c>
      <c r="AO687" s="484">
        <v>13.81</v>
      </c>
      <c r="AP687" s="484">
        <v>-1.1200000000000001</v>
      </c>
      <c r="AQ687" s="48" t="s">
        <v>6311</v>
      </c>
      <c r="AR687" s="48" t="s">
        <v>6311</v>
      </c>
      <c r="AS687" s="227"/>
      <c r="AT687" s="50" t="s">
        <v>266</v>
      </c>
      <c r="AU687" s="48">
        <v>6</v>
      </c>
      <c r="AV687" s="48">
        <v>120</v>
      </c>
      <c r="AW687" s="48">
        <v>114</v>
      </c>
      <c r="AX687" s="48">
        <v>28</v>
      </c>
      <c r="AY687" s="48" t="s">
        <v>8728</v>
      </c>
      <c r="AZ687" s="48" t="s">
        <v>1563</v>
      </c>
      <c r="BA687" s="48">
        <v>32</v>
      </c>
      <c r="BB687" s="47" t="s">
        <v>2485</v>
      </c>
      <c r="BC687" s="47" t="s">
        <v>8726</v>
      </c>
      <c r="BD687" s="47" t="s">
        <v>8374</v>
      </c>
      <c r="BE687" s="48" t="s">
        <v>2449</v>
      </c>
      <c r="BF687" s="48" t="s">
        <v>272</v>
      </c>
      <c r="BG687" s="48" t="s">
        <v>272</v>
      </c>
      <c r="BH687" s="48" t="s">
        <v>2486</v>
      </c>
      <c r="BI687" s="98">
        <v>1.2176639999999998E-3</v>
      </c>
      <c r="BJ687" s="98">
        <v>12.176639999999999</v>
      </c>
      <c r="BK687" s="48"/>
      <c r="BL687" s="487">
        <v>587.12624269890546</v>
      </c>
      <c r="BM687" s="47" t="s">
        <v>2487</v>
      </c>
      <c r="BN687" s="48"/>
      <c r="BO687" s="48"/>
      <c r="BP687" s="48"/>
      <c r="BQ687" s="48"/>
      <c r="BR687" s="47" t="e">
        <v>#VALUE!</v>
      </c>
      <c r="BS687" s="48"/>
      <c r="BT687" s="48"/>
      <c r="BU687" s="228"/>
      <c r="BV687" s="48"/>
      <c r="BW687" s="48"/>
      <c r="BX687" s="48"/>
      <c r="BY687" s="48"/>
      <c r="BZ687" s="48"/>
      <c r="CA687" s="48"/>
      <c r="CB687" s="48"/>
      <c r="CC687" s="48"/>
      <c r="CD687" s="48"/>
      <c r="CE687" s="48"/>
      <c r="CF687" s="48"/>
      <c r="CG687" s="48"/>
      <c r="CH687" s="48"/>
      <c r="CI687" s="98"/>
      <c r="CJ687" s="98"/>
      <c r="CK687" s="49">
        <f t="shared" si="152"/>
        <v>48.217426375330589</v>
      </c>
      <c r="CL687" s="229"/>
      <c r="CM687" s="229">
        <v>-0.9762470592396435</v>
      </c>
      <c r="CN687" s="229">
        <f>BJ687/(10^CM687)</f>
        <v>115.28545704041997</v>
      </c>
      <c r="CO687" s="47" t="s">
        <v>2488</v>
      </c>
      <c r="CP687" s="500" t="s">
        <v>2489</v>
      </c>
      <c r="CQ687" s="224">
        <v>-0.3285679141101962</v>
      </c>
      <c r="CR687" s="224">
        <f>10^(CJ687-CQ687)</f>
        <v>2.130923771124476</v>
      </c>
      <c r="CS687" s="230" t="s">
        <v>539</v>
      </c>
      <c r="CT687" s="230"/>
      <c r="CU687" s="230"/>
      <c r="CV687" s="335">
        <f t="shared" si="153"/>
        <v>495.21050141911076</v>
      </c>
      <c r="CW687" s="230">
        <f t="shared" si="151"/>
        <v>1</v>
      </c>
      <c r="CX687" s="336"/>
      <c r="CY687" s="230" t="s">
        <v>5921</v>
      </c>
    </row>
    <row r="688" spans="1:103" ht="11.25" customHeight="1" x14ac:dyDescent="0.2">
      <c r="A688" s="72">
        <v>1011</v>
      </c>
      <c r="B688" s="224">
        <v>888</v>
      </c>
      <c r="C688" s="46" t="s">
        <v>7187</v>
      </c>
      <c r="D688" s="46"/>
      <c r="E688" s="114"/>
      <c r="F688" s="114" t="s">
        <v>2527</v>
      </c>
      <c r="G688" s="225">
        <v>116256</v>
      </c>
      <c r="H688" s="47" t="s">
        <v>2528</v>
      </c>
      <c r="I688" s="47" t="s">
        <v>2528</v>
      </c>
      <c r="J688" s="47" t="s">
        <v>2529</v>
      </c>
      <c r="K688" s="47" t="s">
        <v>2039</v>
      </c>
      <c r="L688" s="47"/>
      <c r="M688" s="47"/>
      <c r="N688" s="47"/>
      <c r="O688" s="47"/>
      <c r="P688" s="53"/>
      <c r="Q688" s="53"/>
      <c r="R688" s="53"/>
      <c r="S688" s="53"/>
      <c r="T688" s="48">
        <v>158.16</v>
      </c>
      <c r="U688" s="98">
        <v>999999.99999999988</v>
      </c>
      <c r="V688" s="98">
        <v>68650</v>
      </c>
      <c r="W688" s="98">
        <v>194579.30879168629</v>
      </c>
      <c r="X688" s="98">
        <v>999999.99999999988</v>
      </c>
      <c r="Y688" s="233">
        <v>3.93</v>
      </c>
      <c r="Z688" s="48">
        <v>-1.53</v>
      </c>
      <c r="AA688" s="48"/>
      <c r="AB688" s="48">
        <v>-0.17</v>
      </c>
      <c r="AC688" s="48">
        <v>0.55320000000000003</v>
      </c>
      <c r="AD688" s="48">
        <v>-0.51</v>
      </c>
      <c r="AE688" s="48">
        <v>-0.92</v>
      </c>
      <c r="AF688" s="48">
        <f t="shared" si="154"/>
        <v>-0.51</v>
      </c>
      <c r="AG688" s="49">
        <v>-0.77</v>
      </c>
      <c r="AH688" s="98">
        <v>4.4300000000000003E-12</v>
      </c>
      <c r="AI688" s="98"/>
      <c r="AJ688" s="483">
        <f t="shared" si="156"/>
        <v>-9.742162600089582</v>
      </c>
      <c r="AK688" s="483"/>
      <c r="AL688" s="483">
        <f t="shared" si="155"/>
        <v>-9.742162600089582</v>
      </c>
      <c r="AM688" s="483">
        <v>-13.31499</v>
      </c>
      <c r="AN688" s="226">
        <v>-11.9</v>
      </c>
      <c r="AO688" s="484">
        <v>8.2799999999999994</v>
      </c>
      <c r="AP688" s="484">
        <v>-1.96</v>
      </c>
      <c r="AQ688" s="48" t="s">
        <v>6311</v>
      </c>
      <c r="AR688" s="48" t="s">
        <v>6311</v>
      </c>
      <c r="AS688" s="227"/>
      <c r="AT688" s="50" t="s">
        <v>266</v>
      </c>
      <c r="AU688" s="48">
        <v>6</v>
      </c>
      <c r="AV688" s="48">
        <v>120</v>
      </c>
      <c r="AW688" s="48">
        <v>114</v>
      </c>
      <c r="AX688" s="48">
        <v>28</v>
      </c>
      <c r="AY688" s="48" t="s">
        <v>8728</v>
      </c>
      <c r="AZ688" s="48" t="s">
        <v>1563</v>
      </c>
      <c r="BA688" s="48">
        <v>32</v>
      </c>
      <c r="BB688" s="47" t="s">
        <v>2485</v>
      </c>
      <c r="BC688" s="47" t="s">
        <v>8726</v>
      </c>
      <c r="BD688" s="47" t="s">
        <v>8374</v>
      </c>
      <c r="BE688" s="48" t="s">
        <v>2449</v>
      </c>
      <c r="BF688" s="48" t="s">
        <v>272</v>
      </c>
      <c r="BG688" s="48" t="s">
        <v>272</v>
      </c>
      <c r="BH688" s="48" t="s">
        <v>2486</v>
      </c>
      <c r="BI688" s="98">
        <v>1.0122239999999999E-3</v>
      </c>
      <c r="BJ688" s="98">
        <v>10.12224</v>
      </c>
      <c r="BK688" s="48"/>
      <c r="BL688" s="487">
        <v>192304.59267250929</v>
      </c>
      <c r="BM688" s="47" t="s">
        <v>2487</v>
      </c>
      <c r="BN688" s="48"/>
      <c r="BO688" s="48"/>
      <c r="BP688" s="48"/>
      <c r="BQ688" s="48"/>
      <c r="BR688" s="47" t="e">
        <v>#VALUE!</v>
      </c>
      <c r="BS688" s="48"/>
      <c r="BT688" s="48"/>
      <c r="BU688" s="228">
        <v>1.0122239999999999E-3</v>
      </c>
      <c r="BV688" s="48"/>
      <c r="BW688" s="48"/>
      <c r="BX688" s="48"/>
      <c r="BY688" s="48"/>
      <c r="BZ688" s="48"/>
      <c r="CA688" s="48"/>
      <c r="CB688" s="48"/>
      <c r="CC688" s="48"/>
      <c r="CD688" s="48"/>
      <c r="CE688" s="48"/>
      <c r="CF688" s="48"/>
      <c r="CG688" s="48"/>
      <c r="CH688" s="48"/>
      <c r="CI688" s="98"/>
      <c r="CJ688" s="98"/>
      <c r="CK688" s="49">
        <f t="shared" si="152"/>
        <v>18998.224965275404</v>
      </c>
      <c r="CL688" s="229"/>
      <c r="CM688" s="229"/>
      <c r="CN688" s="229"/>
      <c r="CO688" s="47" t="s">
        <v>2488</v>
      </c>
      <c r="CP688" s="500" t="s">
        <v>2489</v>
      </c>
      <c r="CQ688" s="224" t="s">
        <v>272</v>
      </c>
      <c r="CR688" s="224"/>
      <c r="CS688" s="230" t="s">
        <v>539</v>
      </c>
      <c r="CT688" s="230"/>
      <c r="CU688" s="230"/>
      <c r="CV688" s="335">
        <f t="shared" si="153"/>
        <v>98792.362164896302</v>
      </c>
      <c r="CW688" s="230">
        <f t="shared" si="151"/>
        <v>1</v>
      </c>
      <c r="CX688" s="336"/>
      <c r="CY688" s="230" t="s">
        <v>5921</v>
      </c>
    </row>
    <row r="689" spans="1:103" ht="11.25" customHeight="1" x14ac:dyDescent="0.2">
      <c r="A689" s="72">
        <v>1012</v>
      </c>
      <c r="B689" s="224">
        <v>1262</v>
      </c>
      <c r="C689" s="46" t="s">
        <v>7188</v>
      </c>
      <c r="D689" s="46"/>
      <c r="E689" s="114"/>
      <c r="F689" s="114" t="s">
        <v>3462</v>
      </c>
      <c r="G689" s="225">
        <v>117395</v>
      </c>
      <c r="H689" s="232" t="s">
        <v>3463</v>
      </c>
      <c r="I689" s="232" t="s">
        <v>3463</v>
      </c>
      <c r="J689" s="232" t="s">
        <v>3464</v>
      </c>
      <c r="K689" s="47" t="s">
        <v>3465</v>
      </c>
      <c r="L689" s="47"/>
      <c r="M689" s="47"/>
      <c r="N689" s="47"/>
      <c r="O689" s="47"/>
      <c r="P689" s="53"/>
      <c r="Q689" s="53"/>
      <c r="R689" s="53"/>
      <c r="S689" s="53"/>
      <c r="T689" s="48">
        <v>302.24</v>
      </c>
      <c r="U689" s="98">
        <v>60</v>
      </c>
      <c r="V689" s="98">
        <v>2472</v>
      </c>
      <c r="W689" s="98">
        <v>355.10103700492294</v>
      </c>
      <c r="X689" s="98">
        <v>60</v>
      </c>
      <c r="Y689" s="233">
        <v>4.58</v>
      </c>
      <c r="Z689" s="48">
        <v>1.48</v>
      </c>
      <c r="AA689" s="48"/>
      <c r="AB689" s="48">
        <v>1.92</v>
      </c>
      <c r="AC689" s="48">
        <v>0.84319999999999995</v>
      </c>
      <c r="AD689" s="48">
        <v>1.95</v>
      </c>
      <c r="AE689" s="48">
        <v>2.0699999999999998</v>
      </c>
      <c r="AF689" s="48">
        <f t="shared" si="154"/>
        <v>1.95</v>
      </c>
      <c r="AG689" s="49">
        <v>1.37</v>
      </c>
      <c r="AH689" s="98">
        <v>6.6000000000000002E-21</v>
      </c>
      <c r="AI689" s="98"/>
      <c r="AJ689" s="483">
        <f t="shared" si="156"/>
        <v>-18.569022390770783</v>
      </c>
      <c r="AK689" s="483"/>
      <c r="AL689" s="483">
        <f t="shared" si="155"/>
        <v>-18.569022390770783</v>
      </c>
      <c r="AM689" s="483">
        <v>-26.015929999999997</v>
      </c>
      <c r="AN689" s="226">
        <v>-19.100000000000001</v>
      </c>
      <c r="AO689" s="484">
        <v>6.31</v>
      </c>
      <c r="AP689" s="484"/>
      <c r="AQ689" s="48" t="s">
        <v>6311</v>
      </c>
      <c r="AR689" s="48" t="s">
        <v>6311</v>
      </c>
      <c r="AS689" s="227"/>
      <c r="AT689" s="50" t="s">
        <v>266</v>
      </c>
      <c r="AU689" s="48">
        <v>6</v>
      </c>
      <c r="AV689" s="48">
        <v>120</v>
      </c>
      <c r="AW689" s="48">
        <v>114</v>
      </c>
      <c r="AX689" s="48">
        <v>28</v>
      </c>
      <c r="AY689" s="48" t="s">
        <v>8728</v>
      </c>
      <c r="AZ689" s="48" t="s">
        <v>1563</v>
      </c>
      <c r="BA689" s="48">
        <v>32</v>
      </c>
      <c r="BB689" s="47" t="s">
        <v>2485</v>
      </c>
      <c r="BC689" s="47" t="s">
        <v>8726</v>
      </c>
      <c r="BD689" s="47" t="s">
        <v>8374</v>
      </c>
      <c r="BE689" s="48" t="s">
        <v>2449</v>
      </c>
      <c r="BF689" s="48" t="s">
        <v>272</v>
      </c>
      <c r="BG689" s="48" t="s">
        <v>272</v>
      </c>
      <c r="BH689" s="48" t="s">
        <v>2486</v>
      </c>
      <c r="BI689" s="98">
        <v>1.934336E-3</v>
      </c>
      <c r="BJ689" s="98">
        <v>19.343360000000001</v>
      </c>
      <c r="BK689" s="48"/>
      <c r="BL689" s="487">
        <v>727.71937956965473</v>
      </c>
      <c r="BM689" s="47" t="s">
        <v>2487</v>
      </c>
      <c r="BN689" s="48"/>
      <c r="BO689" s="48"/>
      <c r="BP689" s="48"/>
      <c r="BQ689" s="48"/>
      <c r="BR689" s="47" t="e">
        <v>#VALUE!</v>
      </c>
      <c r="BS689" s="48"/>
      <c r="BT689" s="48"/>
      <c r="BU689" s="228">
        <v>1.934336E-3</v>
      </c>
      <c r="BV689" s="48"/>
      <c r="BW689" s="48"/>
      <c r="BX689" s="48"/>
      <c r="BY689" s="48"/>
      <c r="BZ689" s="48"/>
      <c r="CA689" s="48"/>
      <c r="CB689" s="48"/>
      <c r="CC689" s="48"/>
      <c r="CD689" s="48"/>
      <c r="CE689" s="48"/>
      <c r="CF689" s="48"/>
      <c r="CG689" s="48"/>
      <c r="CH689" s="48"/>
      <c r="CI689" s="98"/>
      <c r="CJ689" s="98"/>
      <c r="CK689" s="49">
        <f t="shared" si="152"/>
        <v>37.621146459025461</v>
      </c>
      <c r="CL689" s="229"/>
      <c r="CM689" s="229"/>
      <c r="CN689" s="229"/>
      <c r="CO689" s="47" t="s">
        <v>2488</v>
      </c>
      <c r="CP689" s="500" t="s">
        <v>2489</v>
      </c>
      <c r="CQ689" s="224" t="s">
        <v>272</v>
      </c>
      <c r="CR689" s="224"/>
      <c r="CS689" s="230" t="s">
        <v>539</v>
      </c>
      <c r="CT689" s="230"/>
      <c r="CU689" s="230"/>
      <c r="CV689" s="335">
        <f t="shared" si="153"/>
        <v>3.1018395976707254</v>
      </c>
      <c r="CW689" s="230">
        <f t="shared" si="151"/>
        <v>1</v>
      </c>
      <c r="CX689" s="336"/>
      <c r="CY689" s="230" t="s">
        <v>5921</v>
      </c>
    </row>
    <row r="690" spans="1:103" ht="11.25" customHeight="1" x14ac:dyDescent="0.2">
      <c r="A690" s="72">
        <v>1013</v>
      </c>
      <c r="B690" s="224">
        <v>1388</v>
      </c>
      <c r="C690" s="46" t="s">
        <v>7189</v>
      </c>
      <c r="D690" s="46"/>
      <c r="E690" s="114"/>
      <c r="F690" s="114" t="s">
        <v>4279</v>
      </c>
      <c r="G690" s="225">
        <v>117793</v>
      </c>
      <c r="H690" s="47" t="s">
        <v>4280</v>
      </c>
      <c r="I690" s="47" t="s">
        <v>4280</v>
      </c>
      <c r="J690" s="47" t="s">
        <v>4281</v>
      </c>
      <c r="K690" s="47" t="s">
        <v>1573</v>
      </c>
      <c r="L690" s="47"/>
      <c r="M690" s="47"/>
      <c r="N690" s="47"/>
      <c r="O690" s="47"/>
      <c r="P690" s="53"/>
      <c r="Q690" s="53"/>
      <c r="R690" s="53"/>
      <c r="S690" s="53"/>
      <c r="T690" s="48">
        <v>223.23</v>
      </c>
      <c r="U690" s="98">
        <v>0.16300000000000001</v>
      </c>
      <c r="V690" s="98">
        <v>3.827</v>
      </c>
      <c r="W690" s="98">
        <v>1.6548268516560372</v>
      </c>
      <c r="X690" s="98">
        <v>0.16300000000000001</v>
      </c>
      <c r="Y690" s="233">
        <v>7</v>
      </c>
      <c r="Z690" s="48">
        <v>2.4300000000000002</v>
      </c>
      <c r="AA690" s="48">
        <v>3.31</v>
      </c>
      <c r="AB690" s="48">
        <v>2.86</v>
      </c>
      <c r="AC690" s="48">
        <v>0.75129999999999997</v>
      </c>
      <c r="AD690" s="48">
        <v>2.83</v>
      </c>
      <c r="AE690" s="48">
        <v>2.75</v>
      </c>
      <c r="AF690" s="48">
        <f t="shared" si="154"/>
        <v>3.31</v>
      </c>
      <c r="AG690" s="49">
        <v>2</v>
      </c>
      <c r="AH690" s="98">
        <v>1.1200000000000001E-12</v>
      </c>
      <c r="AI690" s="98">
        <v>9.1900000000000001E-11</v>
      </c>
      <c r="AJ690" s="483">
        <f t="shared" si="156"/>
        <v>-10.33934830364247</v>
      </c>
      <c r="AK690" s="483">
        <f>LOG10(AI690*1000/(0.08206*298.15))</f>
        <v>-8.4252508149265406</v>
      </c>
      <c r="AL690" s="483">
        <f t="shared" si="155"/>
        <v>-8.4252508149265406</v>
      </c>
      <c r="AM690" s="483">
        <v>-15.489410000000001</v>
      </c>
      <c r="AN690" s="226">
        <v>-8.0399999999999991</v>
      </c>
      <c r="AO690" s="484"/>
      <c r="AP690" s="484">
        <v>0.97</v>
      </c>
      <c r="AQ690" s="48" t="s">
        <v>6311</v>
      </c>
      <c r="AR690" s="48" t="s">
        <v>6311</v>
      </c>
      <c r="AS690" s="227"/>
      <c r="AT690" s="50" t="s">
        <v>266</v>
      </c>
      <c r="AU690" s="48">
        <v>6</v>
      </c>
      <c r="AV690" s="48">
        <v>120</v>
      </c>
      <c r="AW690" s="48">
        <v>114</v>
      </c>
      <c r="AX690" s="48">
        <v>28</v>
      </c>
      <c r="AY690" s="48" t="s">
        <v>8728</v>
      </c>
      <c r="AZ690" s="48" t="s">
        <v>1563</v>
      </c>
      <c r="BA690" s="48">
        <v>32</v>
      </c>
      <c r="BB690" s="47" t="s">
        <v>2485</v>
      </c>
      <c r="BC690" s="47" t="s">
        <v>8726</v>
      </c>
      <c r="BD690" s="47" t="s">
        <v>8374</v>
      </c>
      <c r="BE690" s="48" t="s">
        <v>2449</v>
      </c>
      <c r="BF690" s="48" t="s">
        <v>272</v>
      </c>
      <c r="BG690" s="48" t="s">
        <v>272</v>
      </c>
      <c r="BH690" s="48" t="s">
        <v>2486</v>
      </c>
      <c r="BI690" s="98">
        <v>1.428672E-3</v>
      </c>
      <c r="BJ690" s="98">
        <v>14.286719999999999</v>
      </c>
      <c r="BK690" s="48"/>
      <c r="BL690" s="487">
        <v>75.364974971692789</v>
      </c>
      <c r="BM690" s="47" t="s">
        <v>2487</v>
      </c>
      <c r="BN690" s="48"/>
      <c r="BO690" s="48"/>
      <c r="BP690" s="48"/>
      <c r="BQ690" s="48"/>
      <c r="BR690" s="47" t="e">
        <v>#VALUE!</v>
      </c>
      <c r="BS690" s="48"/>
      <c r="BT690" s="48"/>
      <c r="BU690" s="228"/>
      <c r="BV690" s="48"/>
      <c r="BW690" s="48"/>
      <c r="BX690" s="48"/>
      <c r="BY690" s="48"/>
      <c r="BZ690" s="48"/>
      <c r="CA690" s="48"/>
      <c r="CB690" s="48"/>
      <c r="CC690" s="48"/>
      <c r="CD690" s="48"/>
      <c r="CE690" s="48"/>
      <c r="CF690" s="48"/>
      <c r="CG690" s="48"/>
      <c r="CH690" s="48"/>
      <c r="CI690" s="98"/>
      <c r="CJ690" s="98"/>
      <c r="CK690" s="49">
        <f t="shared" si="152"/>
        <v>5.2751768755664559</v>
      </c>
      <c r="CL690" s="229"/>
      <c r="CM690" s="229"/>
      <c r="CN690" s="229"/>
      <c r="CO690" s="47" t="s">
        <v>2488</v>
      </c>
      <c r="CP690" s="500" t="s">
        <v>2489</v>
      </c>
      <c r="CQ690" s="224" t="s">
        <v>272</v>
      </c>
      <c r="CR690" s="224"/>
      <c r="CS690" s="230" t="s">
        <v>539</v>
      </c>
      <c r="CT690" s="230"/>
      <c r="CU690" s="230"/>
      <c r="CV690" s="335">
        <f t="shared" si="153"/>
        <v>1.1409196792545807E-2</v>
      </c>
      <c r="CW690" s="230">
        <f t="shared" si="151"/>
        <v>0</v>
      </c>
      <c r="CX690" s="336"/>
      <c r="CY690" s="230" t="s">
        <v>5921</v>
      </c>
    </row>
    <row r="691" spans="1:103" ht="11.25" customHeight="1" x14ac:dyDescent="0.2">
      <c r="A691" s="72">
        <v>1014</v>
      </c>
      <c r="B691" s="224">
        <v>1372</v>
      </c>
      <c r="C691" s="46" t="s">
        <v>7190</v>
      </c>
      <c r="D691" s="46" t="s">
        <v>8592</v>
      </c>
      <c r="E691" s="114"/>
      <c r="F691" s="114" t="s">
        <v>4235</v>
      </c>
      <c r="G691" s="225">
        <v>118525</v>
      </c>
      <c r="H691" s="47" t="s">
        <v>4236</v>
      </c>
      <c r="I691" s="47" t="s">
        <v>8036</v>
      </c>
      <c r="J691" s="47" t="s">
        <v>4237</v>
      </c>
      <c r="K691" s="47" t="s">
        <v>2580</v>
      </c>
      <c r="L691" s="47"/>
      <c r="M691" s="47" t="s">
        <v>2342</v>
      </c>
      <c r="N691" s="47" t="s">
        <v>2342</v>
      </c>
      <c r="O691" s="47"/>
      <c r="P691" s="53" t="s">
        <v>8537</v>
      </c>
      <c r="Q691" s="53" t="s">
        <v>6173</v>
      </c>
      <c r="R691" s="53" t="s">
        <v>6183</v>
      </c>
      <c r="S691" s="53" t="s">
        <v>6173</v>
      </c>
      <c r="T691" s="48">
        <v>197.02</v>
      </c>
      <c r="U691" s="98">
        <v>500.00000000000006</v>
      </c>
      <c r="V691" s="98">
        <v>14210.000000000002</v>
      </c>
      <c r="W691" s="98">
        <v>1301.698231264565</v>
      </c>
      <c r="X691" s="98">
        <v>500.00000000000006</v>
      </c>
      <c r="Y691" s="233">
        <v>7</v>
      </c>
      <c r="Z691" s="48">
        <v>-0.94</v>
      </c>
      <c r="AA691" s="48"/>
      <c r="AB691" s="48">
        <v>1.4</v>
      </c>
      <c r="AC691" s="48">
        <v>0.3024</v>
      </c>
      <c r="AD691" s="48">
        <v>1.37</v>
      </c>
      <c r="AE691" s="48">
        <v>1.36</v>
      </c>
      <c r="AF691" s="48">
        <f t="shared" si="154"/>
        <v>1.37</v>
      </c>
      <c r="AG691" s="49">
        <v>-0.03</v>
      </c>
      <c r="AH691" s="98">
        <v>1.02E-6</v>
      </c>
      <c r="AI691" s="98"/>
      <c r="AJ691" s="483">
        <f t="shared" si="156"/>
        <v>-4.3799661545507345</v>
      </c>
      <c r="AK691" s="483"/>
      <c r="AL691" s="483">
        <f t="shared" si="155"/>
        <v>-4.3799661545507345</v>
      </c>
      <c r="AM691" s="483">
        <v>-10.08381</v>
      </c>
      <c r="AN691" s="226">
        <v>-9.76</v>
      </c>
      <c r="AO691" s="484"/>
      <c r="AP691" s="484">
        <v>-3.44</v>
      </c>
      <c r="AQ691" s="48" t="s">
        <v>6311</v>
      </c>
      <c r="AR691" s="48" t="s">
        <v>6311</v>
      </c>
      <c r="AS691" s="227"/>
      <c r="AT691" s="50" t="s">
        <v>266</v>
      </c>
      <c r="AU691" s="48">
        <v>6</v>
      </c>
      <c r="AV691" s="48">
        <v>120</v>
      </c>
      <c r="AW691" s="48">
        <v>114</v>
      </c>
      <c r="AX691" s="48">
        <v>28</v>
      </c>
      <c r="AY691" s="48" t="s">
        <v>8728</v>
      </c>
      <c r="AZ691" s="48" t="s">
        <v>1563</v>
      </c>
      <c r="BA691" s="48">
        <v>32</v>
      </c>
      <c r="BB691" s="47" t="s">
        <v>2485</v>
      </c>
      <c r="BC691" s="47" t="s">
        <v>8726</v>
      </c>
      <c r="BD691" s="47" t="s">
        <v>8374</v>
      </c>
      <c r="BE691" s="48" t="s">
        <v>2449</v>
      </c>
      <c r="BF691" s="48" t="s">
        <v>272</v>
      </c>
      <c r="BG691" s="48" t="s">
        <v>272</v>
      </c>
      <c r="BH691" s="48" t="s">
        <v>2486</v>
      </c>
      <c r="BI691" s="98">
        <v>1.2609279999999999E-3</v>
      </c>
      <c r="BJ691" s="98">
        <v>12.60928</v>
      </c>
      <c r="BK691" s="48"/>
      <c r="BL691" s="487">
        <v>70717.079176308413</v>
      </c>
      <c r="BM691" s="47" t="s">
        <v>2487</v>
      </c>
      <c r="BN691" s="48"/>
      <c r="BO691" s="48"/>
      <c r="BP691" s="48"/>
      <c r="BQ691" s="48"/>
      <c r="BR691" s="47" t="e">
        <v>#VALUE!</v>
      </c>
      <c r="BS691" s="48"/>
      <c r="BT691" s="48"/>
      <c r="BU691" s="228"/>
      <c r="BV691" s="48"/>
      <c r="BW691" s="48"/>
      <c r="BX691" s="48"/>
      <c r="BY691" s="48"/>
      <c r="BZ691" s="48"/>
      <c r="CA691" s="48"/>
      <c r="CB691" s="48"/>
      <c r="CC691" s="48"/>
      <c r="CD691" s="48"/>
      <c r="CE691" s="48"/>
      <c r="CF691" s="48"/>
      <c r="CG691" s="48"/>
      <c r="CH691" s="48"/>
      <c r="CI691" s="98"/>
      <c r="CJ691" s="98"/>
      <c r="CK691" s="49">
        <f t="shared" si="152"/>
        <v>5608.3360173069686</v>
      </c>
      <c r="CL691" s="229"/>
      <c r="CM691" s="229"/>
      <c r="CN691" s="229"/>
      <c r="CO691" s="47" t="s">
        <v>2488</v>
      </c>
      <c r="CP691" s="500" t="s">
        <v>2489</v>
      </c>
      <c r="CQ691" s="224">
        <v>0.16319865667355635</v>
      </c>
      <c r="CR691" s="224">
        <f>10^(CJ691-CQ691)</f>
        <v>0.68675423036114347</v>
      </c>
      <c r="CS691" s="230" t="s">
        <v>539</v>
      </c>
      <c r="CT691" s="230"/>
      <c r="CU691" s="230"/>
      <c r="CV691" s="335">
        <f t="shared" si="153"/>
        <v>39.65333468683383</v>
      </c>
      <c r="CW691" s="230">
        <f t="shared" si="151"/>
        <v>1</v>
      </c>
      <c r="CX691" s="336"/>
      <c r="CY691" s="230" t="s">
        <v>5921</v>
      </c>
    </row>
    <row r="692" spans="1:103" ht="11.25" customHeight="1" x14ac:dyDescent="0.2">
      <c r="A692" s="72">
        <v>1015</v>
      </c>
      <c r="B692" s="224">
        <v>1177</v>
      </c>
      <c r="C692" s="46" t="s">
        <v>7191</v>
      </c>
      <c r="D692" s="46"/>
      <c r="E692" s="114"/>
      <c r="F692" s="114" t="s">
        <v>3247</v>
      </c>
      <c r="G692" s="225">
        <v>118718</v>
      </c>
      <c r="H692" s="47" t="s">
        <v>3248</v>
      </c>
      <c r="I692" s="47" t="s">
        <v>3248</v>
      </c>
      <c r="J692" s="47" t="s">
        <v>3249</v>
      </c>
      <c r="K692" s="47" t="s">
        <v>3250</v>
      </c>
      <c r="L692" s="51"/>
      <c r="M692" s="47"/>
      <c r="N692" s="47"/>
      <c r="O692" s="47"/>
      <c r="P692" s="53"/>
      <c r="Q692" s="53"/>
      <c r="R692" s="53"/>
      <c r="S692" s="53"/>
      <c r="T692" s="48">
        <v>126.11</v>
      </c>
      <c r="U692" s="98">
        <v>10900</v>
      </c>
      <c r="V692" s="98">
        <v>79760</v>
      </c>
      <c r="W692" s="98">
        <v>19087.520904029017</v>
      </c>
      <c r="X692" s="98">
        <v>10900</v>
      </c>
      <c r="Y692" s="233">
        <v>4.6100000000000003</v>
      </c>
      <c r="Z692" s="48">
        <v>-0.19</v>
      </c>
      <c r="AA692" s="48">
        <v>0.09</v>
      </c>
      <c r="AB692" s="48">
        <v>-0.01</v>
      </c>
      <c r="AC692" s="48">
        <v>0.81969999999999998</v>
      </c>
      <c r="AD692" s="48">
        <v>0.02</v>
      </c>
      <c r="AE692" s="48">
        <v>0.08</v>
      </c>
      <c r="AF692" s="48">
        <f t="shared" si="154"/>
        <v>0.09</v>
      </c>
      <c r="AG692" s="49">
        <v>0.71</v>
      </c>
      <c r="AH692" s="98">
        <v>6.5400000000000001E-6</v>
      </c>
      <c r="AI692" s="98"/>
      <c r="AJ692" s="483">
        <f t="shared" si="156"/>
        <v>-3.5729885779883843</v>
      </c>
      <c r="AK692" s="483"/>
      <c r="AL692" s="483">
        <f t="shared" si="155"/>
        <v>-3.5729885779883843</v>
      </c>
      <c r="AM692" s="483">
        <v>-9.874769999999998</v>
      </c>
      <c r="AN692" s="226">
        <v>-7.29</v>
      </c>
      <c r="AO692" s="484">
        <v>8.41</v>
      </c>
      <c r="AP692" s="484"/>
      <c r="AQ692" s="48" t="s">
        <v>6311</v>
      </c>
      <c r="AR692" s="48" t="s">
        <v>6311</v>
      </c>
      <c r="AS692" s="227"/>
      <c r="AT692" s="50" t="s">
        <v>266</v>
      </c>
      <c r="AU692" s="48">
        <v>6</v>
      </c>
      <c r="AV692" s="48">
        <v>120</v>
      </c>
      <c r="AW692" s="48">
        <v>114</v>
      </c>
      <c r="AX692" s="48">
        <v>28</v>
      </c>
      <c r="AY692" s="48" t="s">
        <v>8728</v>
      </c>
      <c r="AZ692" s="48" t="s">
        <v>1563</v>
      </c>
      <c r="BA692" s="48">
        <v>32</v>
      </c>
      <c r="BB692" s="47" t="s">
        <v>2485</v>
      </c>
      <c r="BC692" s="47" t="s">
        <v>8726</v>
      </c>
      <c r="BD692" s="47" t="s">
        <v>8374</v>
      </c>
      <c r="BE692" s="48" t="s">
        <v>2449</v>
      </c>
      <c r="BF692" s="48" t="s">
        <v>272</v>
      </c>
      <c r="BG692" s="48" t="s">
        <v>272</v>
      </c>
      <c r="BH692" s="48" t="s">
        <v>2486</v>
      </c>
      <c r="BI692" s="98">
        <v>8.07104E-4</v>
      </c>
      <c r="BJ692" s="98">
        <v>8.07104</v>
      </c>
      <c r="BK692" s="48"/>
      <c r="BL692" s="487">
        <v>9598.1719432527498</v>
      </c>
      <c r="BM692" s="47" t="s">
        <v>2487</v>
      </c>
      <c r="BN692" s="48"/>
      <c r="BO692" s="48"/>
      <c r="BP692" s="48"/>
      <c r="BQ692" s="48"/>
      <c r="BR692" s="47" t="e">
        <v>#VALUE!</v>
      </c>
      <c r="BS692" s="48"/>
      <c r="BT692" s="48"/>
      <c r="BU692" s="228">
        <v>0.83938815999999994</v>
      </c>
      <c r="BV692" s="48"/>
      <c r="BW692" s="48"/>
      <c r="BX692" s="48"/>
      <c r="BY692" s="48"/>
      <c r="BZ692" s="48"/>
      <c r="CA692" s="48"/>
      <c r="CB692" s="48"/>
      <c r="CC692" s="48"/>
      <c r="CD692" s="48"/>
      <c r="CE692" s="48"/>
      <c r="CF692" s="48"/>
      <c r="CG692" s="48"/>
      <c r="CH692" s="48"/>
      <c r="CI692" s="98"/>
      <c r="CJ692" s="98"/>
      <c r="CK692" s="49">
        <f t="shared" si="152"/>
        <v>1189.2112965928493</v>
      </c>
      <c r="CL692" s="229"/>
      <c r="CM692" s="229"/>
      <c r="CN692" s="229"/>
      <c r="CO692" s="47" t="s">
        <v>2488</v>
      </c>
      <c r="CP692" s="500" t="s">
        <v>2489</v>
      </c>
      <c r="CQ692" s="224" t="s">
        <v>272</v>
      </c>
      <c r="CR692" s="224"/>
      <c r="CS692" s="230" t="s">
        <v>539</v>
      </c>
      <c r="CT692" s="230"/>
      <c r="CU692" s="230"/>
      <c r="CV692" s="335">
        <f t="shared" si="153"/>
        <v>1350.5074934580921</v>
      </c>
      <c r="CW692" s="230">
        <f t="shared" si="151"/>
        <v>1</v>
      </c>
      <c r="CX692" s="336"/>
      <c r="CY692" s="230" t="s">
        <v>5921</v>
      </c>
    </row>
    <row r="693" spans="1:103" ht="11.25" customHeight="1" x14ac:dyDescent="0.2">
      <c r="A693" s="72">
        <v>1016</v>
      </c>
      <c r="B693" s="224">
        <v>1739</v>
      </c>
      <c r="C693" s="46" t="s">
        <v>7192</v>
      </c>
      <c r="D693" s="46"/>
      <c r="E693" s="114"/>
      <c r="F693" s="114" t="s">
        <v>5023</v>
      </c>
      <c r="G693" s="225">
        <v>119368</v>
      </c>
      <c r="H693" s="47" t="s">
        <v>5024</v>
      </c>
      <c r="I693" s="47" t="s">
        <v>5024</v>
      </c>
      <c r="J693" s="47" t="s">
        <v>5025</v>
      </c>
      <c r="K693" s="47" t="s">
        <v>2962</v>
      </c>
      <c r="L693" s="47"/>
      <c r="M693" s="47"/>
      <c r="N693" s="47"/>
      <c r="O693" s="47"/>
      <c r="P693" s="53"/>
      <c r="Q693" s="53" t="s">
        <v>6173</v>
      </c>
      <c r="R693" s="53" t="s">
        <v>6174</v>
      </c>
      <c r="S693" s="53" t="s">
        <v>6176</v>
      </c>
      <c r="T693" s="48">
        <v>152.15</v>
      </c>
      <c r="U693" s="98">
        <v>700</v>
      </c>
      <c r="V693" s="98">
        <v>1874.9999999999998</v>
      </c>
      <c r="W693" s="98">
        <v>4190.558972129018</v>
      </c>
      <c r="X693" s="98">
        <v>700</v>
      </c>
      <c r="Y693" s="233">
        <v>5.66</v>
      </c>
      <c r="Z693" s="48">
        <v>2.6</v>
      </c>
      <c r="AA693" s="48">
        <v>2.5499999999999998</v>
      </c>
      <c r="AB693" s="48">
        <v>2.5299999999999998</v>
      </c>
      <c r="AC693" s="48">
        <v>0.77449999999999997</v>
      </c>
      <c r="AD693" s="48">
        <v>2.4300000000000002</v>
      </c>
      <c r="AE693" s="48">
        <v>2.23</v>
      </c>
      <c r="AF693" s="48">
        <f t="shared" si="154"/>
        <v>2.5499999999999998</v>
      </c>
      <c r="AG693" s="49">
        <v>1.54</v>
      </c>
      <c r="AH693" s="98">
        <v>4.5499999999999996E-6</v>
      </c>
      <c r="AI693" s="98">
        <v>9.8099999999999999E-5</v>
      </c>
      <c r="AJ693" s="483">
        <f t="shared" si="156"/>
        <v>-3.7305549296555394</v>
      </c>
      <c r="AK693" s="483">
        <f>LOG10(AI693*1000/(0.08206*298.15))</f>
        <v>-2.3968973189327034</v>
      </c>
      <c r="AL693" s="483">
        <f t="shared" si="155"/>
        <v>-2.3968973189327034</v>
      </c>
      <c r="AM693" s="483">
        <v>-5.8498099999999997</v>
      </c>
      <c r="AN693" s="226">
        <v>-3.59</v>
      </c>
      <c r="AO693" s="484">
        <v>9.76</v>
      </c>
      <c r="AP693" s="484"/>
      <c r="AQ693" s="226" t="s">
        <v>6311</v>
      </c>
      <c r="AR693" s="226" t="s">
        <v>6312</v>
      </c>
      <c r="AS693" s="224"/>
      <c r="AT693" s="50" t="s">
        <v>266</v>
      </c>
      <c r="AU693" s="48">
        <v>6</v>
      </c>
      <c r="AV693" s="48">
        <v>120</v>
      </c>
      <c r="AW693" s="48">
        <v>114</v>
      </c>
      <c r="AX693" s="48">
        <v>28</v>
      </c>
      <c r="AY693" s="48" t="s">
        <v>8728</v>
      </c>
      <c r="AZ693" s="48" t="s">
        <v>1563</v>
      </c>
      <c r="BA693" s="48">
        <v>32</v>
      </c>
      <c r="BB693" s="47" t="s">
        <v>2485</v>
      </c>
      <c r="BC693" s="47" t="s">
        <v>8726</v>
      </c>
      <c r="BD693" s="47" t="s">
        <v>8374</v>
      </c>
      <c r="BE693" s="48" t="s">
        <v>2449</v>
      </c>
      <c r="BF693" s="48" t="s">
        <v>272</v>
      </c>
      <c r="BG693" s="48" t="s">
        <v>272</v>
      </c>
      <c r="BH693" s="48" t="s">
        <v>2486</v>
      </c>
      <c r="BI693" s="98">
        <v>9.7375999999999995E-4</v>
      </c>
      <c r="BJ693" s="98">
        <v>9.7376000000000005</v>
      </c>
      <c r="BK693" s="48"/>
      <c r="BL693" s="487">
        <v>36.141981286202935</v>
      </c>
      <c r="BM693" s="47" t="s">
        <v>2487</v>
      </c>
      <c r="BN693" s="48"/>
      <c r="BO693" s="48"/>
      <c r="BP693" s="48"/>
      <c r="BQ693" s="48"/>
      <c r="BR693" s="47" t="e">
        <v>#VALUE!</v>
      </c>
      <c r="BS693" s="48"/>
      <c r="BT693" s="48"/>
      <c r="BU693" s="228"/>
      <c r="BV693" s="48"/>
      <c r="BW693" s="48"/>
      <c r="BX693" s="48"/>
      <c r="BY693" s="48"/>
      <c r="BZ693" s="48"/>
      <c r="CA693" s="48"/>
      <c r="CB693" s="48"/>
      <c r="CC693" s="48"/>
      <c r="CD693" s="48"/>
      <c r="CE693" s="48"/>
      <c r="CF693" s="48"/>
      <c r="CG693" s="48"/>
      <c r="CH693" s="48"/>
      <c r="CI693" s="98"/>
      <c r="CJ693" s="98"/>
      <c r="CK693" s="49">
        <f t="shared" si="152"/>
        <v>3.7115902569630026</v>
      </c>
      <c r="CL693" s="229"/>
      <c r="CM693" s="229"/>
      <c r="CN693" s="229"/>
      <c r="CO693" s="47" t="s">
        <v>2488</v>
      </c>
      <c r="CP693" s="500" t="s">
        <v>2489</v>
      </c>
      <c r="CQ693" s="224" t="s">
        <v>272</v>
      </c>
      <c r="CR693" s="224"/>
      <c r="CS693" s="230" t="s">
        <v>539</v>
      </c>
      <c r="CT693" s="230"/>
      <c r="CU693" s="230"/>
      <c r="CV693" s="335">
        <f t="shared" si="153"/>
        <v>71.886296418008541</v>
      </c>
      <c r="CW693" s="230">
        <f t="shared" si="151"/>
        <v>1</v>
      </c>
      <c r="CX693" s="336"/>
      <c r="CY693" s="230" t="s">
        <v>6351</v>
      </c>
    </row>
    <row r="694" spans="1:103" ht="11.25" customHeight="1" x14ac:dyDescent="0.2">
      <c r="A694" s="72">
        <v>1017</v>
      </c>
      <c r="B694" s="224">
        <v>1031</v>
      </c>
      <c r="C694" s="46" t="s">
        <v>2480</v>
      </c>
      <c r="D694" s="46"/>
      <c r="E694" s="114"/>
      <c r="F694" s="114" t="s">
        <v>2481</v>
      </c>
      <c r="G694" s="225">
        <v>119619</v>
      </c>
      <c r="H694" s="47" t="s">
        <v>2482</v>
      </c>
      <c r="I694" s="47" t="s">
        <v>2482</v>
      </c>
      <c r="J694" s="47" t="s">
        <v>2939</v>
      </c>
      <c r="K694" s="47" t="s">
        <v>426</v>
      </c>
      <c r="L694" s="47" t="s">
        <v>5527</v>
      </c>
      <c r="M694" s="47" t="s">
        <v>866</v>
      </c>
      <c r="N694" s="47" t="s">
        <v>6082</v>
      </c>
      <c r="O694" s="47" t="s">
        <v>498</v>
      </c>
      <c r="P694" s="53"/>
      <c r="Q694" s="53"/>
      <c r="R694" s="53"/>
      <c r="S694" s="53"/>
      <c r="T694" s="48">
        <v>182.22</v>
      </c>
      <c r="U694" s="98">
        <v>137</v>
      </c>
      <c r="V694" s="98">
        <v>103.3</v>
      </c>
      <c r="W694" s="98">
        <v>129.0018808304776</v>
      </c>
      <c r="X694" s="98">
        <v>137</v>
      </c>
      <c r="Y694" s="233">
        <v>7</v>
      </c>
      <c r="Z694" s="48">
        <v>3.15</v>
      </c>
      <c r="AA694" s="48">
        <v>3.18</v>
      </c>
      <c r="AB694" s="48">
        <v>3.62</v>
      </c>
      <c r="AC694" s="48">
        <v>0.8367</v>
      </c>
      <c r="AD694" s="48">
        <v>3.65</v>
      </c>
      <c r="AE694" s="48">
        <v>3.72</v>
      </c>
      <c r="AF694" s="48">
        <f t="shared" si="154"/>
        <v>3.18</v>
      </c>
      <c r="AG694" s="49">
        <v>2.4500000000000002</v>
      </c>
      <c r="AH694" s="98">
        <v>1.9400000000000001E-6</v>
      </c>
      <c r="AI694" s="98"/>
      <c r="AJ694" s="483">
        <f t="shared" si="156"/>
        <v>-4.100764596382426</v>
      </c>
      <c r="AK694" s="483"/>
      <c r="AL694" s="483">
        <f t="shared" si="155"/>
        <v>-4.100764596382426</v>
      </c>
      <c r="AM694" s="483">
        <v>-6.5662599999999998</v>
      </c>
      <c r="AN694" s="226">
        <v>-4.22</v>
      </c>
      <c r="AO694" s="484"/>
      <c r="AP694" s="484"/>
      <c r="AQ694" s="48" t="s">
        <v>6311</v>
      </c>
      <c r="AR694" s="48" t="s">
        <v>6311</v>
      </c>
      <c r="AS694" s="227"/>
      <c r="AT694" s="50" t="s">
        <v>266</v>
      </c>
      <c r="AU694" s="48">
        <v>6</v>
      </c>
      <c r="AV694" s="48">
        <v>120</v>
      </c>
      <c r="AW694" s="48">
        <v>114</v>
      </c>
      <c r="AX694" s="48">
        <v>28</v>
      </c>
      <c r="AY694" s="48" t="s">
        <v>8728</v>
      </c>
      <c r="AZ694" s="48" t="s">
        <v>1563</v>
      </c>
      <c r="BA694" s="48">
        <v>32</v>
      </c>
      <c r="BB694" s="47" t="s">
        <v>2485</v>
      </c>
      <c r="BC694" s="47" t="s">
        <v>8726</v>
      </c>
      <c r="BD694" s="47" t="s">
        <v>8374</v>
      </c>
      <c r="BE694" s="48" t="s">
        <v>2449</v>
      </c>
      <c r="BF694" s="48" t="s">
        <v>272</v>
      </c>
      <c r="BG694" s="48" t="s">
        <v>272</v>
      </c>
      <c r="BH694" s="48" t="s">
        <v>2486</v>
      </c>
      <c r="BI694" s="98">
        <v>1.166208E-3</v>
      </c>
      <c r="BJ694" s="98">
        <v>11.66208</v>
      </c>
      <c r="BK694" s="48"/>
      <c r="BL694" s="487">
        <v>13.879730778423667</v>
      </c>
      <c r="BM694" s="47" t="s">
        <v>2487</v>
      </c>
      <c r="BN694" s="48"/>
      <c r="BO694" s="48"/>
      <c r="BP694" s="48"/>
      <c r="BQ694" s="48"/>
      <c r="BR694" s="47" t="e">
        <v>#VALUE!</v>
      </c>
      <c r="BS694" s="48"/>
      <c r="BT694" s="48"/>
      <c r="BU694" s="228">
        <v>11.66208</v>
      </c>
      <c r="BV694" s="48"/>
      <c r="BW694" s="48"/>
      <c r="BX694" s="48"/>
      <c r="BY694" s="48"/>
      <c r="BZ694" s="48"/>
      <c r="CA694" s="48"/>
      <c r="CB694" s="48"/>
      <c r="CC694" s="48"/>
      <c r="CD694" s="48"/>
      <c r="CE694" s="48"/>
      <c r="CF694" s="48"/>
      <c r="CG694" s="48"/>
      <c r="CH694" s="48"/>
      <c r="CI694" s="98"/>
      <c r="CJ694" s="98"/>
      <c r="CK694" s="49">
        <f t="shared" si="152"/>
        <v>1.19015911213297</v>
      </c>
      <c r="CL694" s="229"/>
      <c r="CM694" s="229">
        <v>1.1360673425878467</v>
      </c>
      <c r="CN694" s="229">
        <f>BJ694/(10^CM694)</f>
        <v>0.85252804328469589</v>
      </c>
      <c r="CO694" s="47" t="s">
        <v>2488</v>
      </c>
      <c r="CP694" s="500" t="s">
        <v>2489</v>
      </c>
      <c r="CQ694" s="224">
        <v>1.1360673425878469</v>
      </c>
      <c r="CR694" s="224">
        <f>10^(CJ694-CQ694)</f>
        <v>7.3102572035579877E-2</v>
      </c>
      <c r="CS694" s="230" t="s">
        <v>539</v>
      </c>
      <c r="CT694" s="230"/>
      <c r="CU694" s="230"/>
      <c r="CV694" s="335">
        <f t="shared" si="153"/>
        <v>11.747475578970477</v>
      </c>
      <c r="CW694" s="230">
        <f t="shared" si="151"/>
        <v>1</v>
      </c>
      <c r="CX694" s="336"/>
      <c r="CY694" s="230" t="s">
        <v>6351</v>
      </c>
    </row>
    <row r="695" spans="1:103" ht="11.25" customHeight="1" x14ac:dyDescent="0.2">
      <c r="A695" s="72">
        <v>1018</v>
      </c>
      <c r="B695" s="224">
        <v>1439</v>
      </c>
      <c r="C695" s="46" t="s">
        <v>7193</v>
      </c>
      <c r="D695" s="46"/>
      <c r="E695" s="114"/>
      <c r="F695" s="114" t="s">
        <v>4426</v>
      </c>
      <c r="G695" s="225">
        <v>119904</v>
      </c>
      <c r="H695" s="47" t="s">
        <v>4427</v>
      </c>
      <c r="I695" s="47" t="s">
        <v>4427</v>
      </c>
      <c r="J695" s="47" t="s">
        <v>4428</v>
      </c>
      <c r="K695" s="47" t="s">
        <v>1573</v>
      </c>
      <c r="L695" s="47"/>
      <c r="M695" s="47"/>
      <c r="N695" s="47"/>
      <c r="O695" s="47"/>
      <c r="P695" s="53"/>
      <c r="Q695" s="53"/>
      <c r="R695" s="53"/>
      <c r="S695" s="53"/>
      <c r="T695" s="48">
        <v>244.29</v>
      </c>
      <c r="U695" s="98">
        <v>60</v>
      </c>
      <c r="V695" s="98">
        <v>723.9</v>
      </c>
      <c r="W695" s="98">
        <v>300.54235802175646</v>
      </c>
      <c r="X695" s="98">
        <v>60</v>
      </c>
      <c r="Y695" s="233">
        <v>7.9</v>
      </c>
      <c r="Z695" s="48">
        <v>2.08</v>
      </c>
      <c r="AA695" s="48">
        <v>1.81</v>
      </c>
      <c r="AB695" s="48">
        <v>2.0099999999999998</v>
      </c>
      <c r="AC695" s="48">
        <v>0.86719999999999997</v>
      </c>
      <c r="AD695" s="48">
        <v>1.91</v>
      </c>
      <c r="AE695" s="48">
        <v>1.58</v>
      </c>
      <c r="AF695" s="48">
        <f t="shared" si="154"/>
        <v>1.81</v>
      </c>
      <c r="AG695" s="49">
        <v>1.99</v>
      </c>
      <c r="AH695" s="98">
        <v>1.8100000000000001E-13</v>
      </c>
      <c r="AI695" s="98"/>
      <c r="AJ695" s="483">
        <f t="shared" si="156"/>
        <v>-11.130887751443467</v>
      </c>
      <c r="AK695" s="483"/>
      <c r="AL695" s="483">
        <f t="shared" si="155"/>
        <v>-11.130887751443467</v>
      </c>
      <c r="AM695" s="483">
        <v>-15.898250000000001</v>
      </c>
      <c r="AN695" s="226">
        <v>-7.77</v>
      </c>
      <c r="AO695" s="484"/>
      <c r="AP695" s="484">
        <v>4.71</v>
      </c>
      <c r="AQ695" s="48" t="s">
        <v>6311</v>
      </c>
      <c r="AR695" s="48" t="s">
        <v>6311</v>
      </c>
      <c r="AS695" s="227"/>
      <c r="AT695" s="50" t="s">
        <v>266</v>
      </c>
      <c r="AU695" s="48">
        <v>6</v>
      </c>
      <c r="AV695" s="48">
        <v>120</v>
      </c>
      <c r="AW695" s="48">
        <v>114</v>
      </c>
      <c r="AX695" s="48">
        <v>28</v>
      </c>
      <c r="AY695" s="48" t="s">
        <v>8728</v>
      </c>
      <c r="AZ695" s="48" t="s">
        <v>1563</v>
      </c>
      <c r="BA695" s="48">
        <v>32</v>
      </c>
      <c r="BB695" s="47" t="s">
        <v>2485</v>
      </c>
      <c r="BC695" s="47" t="s">
        <v>8726</v>
      </c>
      <c r="BD695" s="47" t="s">
        <v>8374</v>
      </c>
      <c r="BE695" s="48" t="s">
        <v>2449</v>
      </c>
      <c r="BF695" s="48" t="s">
        <v>272</v>
      </c>
      <c r="BG695" s="48" t="s">
        <v>272</v>
      </c>
      <c r="BH695" s="48" t="s">
        <v>2486</v>
      </c>
      <c r="BI695" s="98">
        <v>1.563456E-3</v>
      </c>
      <c r="BJ695" s="98">
        <v>15.63456</v>
      </c>
      <c r="BK695" s="48"/>
      <c r="BL695" s="487">
        <v>170.08173973177102</v>
      </c>
      <c r="BM695" s="47" t="s">
        <v>2487</v>
      </c>
      <c r="BN695" s="48"/>
      <c r="BO695" s="48"/>
      <c r="BP695" s="48"/>
      <c r="BQ695" s="48"/>
      <c r="BR695" s="47" t="e">
        <v>#VALUE!</v>
      </c>
      <c r="BS695" s="48"/>
      <c r="BT695" s="48"/>
      <c r="BU695" s="228"/>
      <c r="BV695" s="48"/>
      <c r="BW695" s="48"/>
      <c r="BX695" s="48"/>
      <c r="BY695" s="48"/>
      <c r="BZ695" s="48"/>
      <c r="CA695" s="48"/>
      <c r="CB695" s="48"/>
      <c r="CC695" s="48"/>
      <c r="CD695" s="48"/>
      <c r="CE695" s="48"/>
      <c r="CF695" s="48"/>
      <c r="CG695" s="48"/>
      <c r="CH695" s="48"/>
      <c r="CI695" s="98"/>
      <c r="CJ695" s="98"/>
      <c r="CK695" s="49">
        <f t="shared" si="152"/>
        <v>10.878575395263507</v>
      </c>
      <c r="CL695" s="229"/>
      <c r="CM695" s="229"/>
      <c r="CN695" s="229"/>
      <c r="CO695" s="47" t="s">
        <v>2488</v>
      </c>
      <c r="CP695" s="500" t="s">
        <v>2489</v>
      </c>
      <c r="CQ695" s="224" t="s">
        <v>272</v>
      </c>
      <c r="CR695" s="224"/>
      <c r="CS695" s="230" t="s">
        <v>539</v>
      </c>
      <c r="CT695" s="230"/>
      <c r="CU695" s="230"/>
      <c r="CV695" s="335">
        <f t="shared" si="153"/>
        <v>3.8376519710180523</v>
      </c>
      <c r="CW695" s="230">
        <f t="shared" si="151"/>
        <v>1</v>
      </c>
      <c r="CX695" s="336"/>
      <c r="CY695" s="230" t="s">
        <v>5921</v>
      </c>
    </row>
    <row r="696" spans="1:103" ht="11.25" customHeight="1" x14ac:dyDescent="0.2">
      <c r="A696" s="72">
        <v>1019</v>
      </c>
      <c r="B696" s="224">
        <v>971</v>
      </c>
      <c r="C696" s="46" t="s">
        <v>7194</v>
      </c>
      <c r="D696" s="46"/>
      <c r="E696" s="114"/>
      <c r="F696" s="114" t="s">
        <v>2770</v>
      </c>
      <c r="G696" s="225">
        <v>119937</v>
      </c>
      <c r="H696" s="47" t="s">
        <v>2771</v>
      </c>
      <c r="I696" s="47" t="s">
        <v>2771</v>
      </c>
      <c r="J696" s="47" t="s">
        <v>2772</v>
      </c>
      <c r="K696" s="47" t="s">
        <v>2695</v>
      </c>
      <c r="L696" s="47"/>
      <c r="M696" s="47"/>
      <c r="N696" s="47"/>
      <c r="O696" s="47"/>
      <c r="P696" s="53"/>
      <c r="Q696" s="53"/>
      <c r="R696" s="53"/>
      <c r="S696" s="53"/>
      <c r="T696" s="48">
        <v>212.29</v>
      </c>
      <c r="U696" s="98">
        <v>1300</v>
      </c>
      <c r="V696" s="98">
        <v>379.4</v>
      </c>
      <c r="W696" s="98">
        <v>125.00561959543795</v>
      </c>
      <c r="X696" s="98">
        <v>1300</v>
      </c>
      <c r="Y696" s="233">
        <v>7.69</v>
      </c>
      <c r="Z696" s="48">
        <v>3.02</v>
      </c>
      <c r="AA696" s="48">
        <v>2.34</v>
      </c>
      <c r="AB696" s="48">
        <v>2.38</v>
      </c>
      <c r="AC696" s="48">
        <v>0.89129999999999998</v>
      </c>
      <c r="AD696" s="48">
        <v>2.4</v>
      </c>
      <c r="AE696" s="48">
        <v>2.48</v>
      </c>
      <c r="AF696" s="48">
        <f t="shared" si="154"/>
        <v>2.34</v>
      </c>
      <c r="AG696" s="49">
        <v>3.02</v>
      </c>
      <c r="AH696" s="98">
        <v>6.2899999999999997E-11</v>
      </c>
      <c r="AI696" s="98"/>
      <c r="AJ696" s="483">
        <f t="shared" si="156"/>
        <v>-8.5899156808673833</v>
      </c>
      <c r="AK696" s="483"/>
      <c r="AL696" s="483">
        <f t="shared" si="155"/>
        <v>-8.5899156808673833</v>
      </c>
      <c r="AM696" s="483">
        <v>-13.27093</v>
      </c>
      <c r="AN696" s="226">
        <v>-8.6300000000000008</v>
      </c>
      <c r="AO696" s="484"/>
      <c r="AP696" s="484">
        <v>4.59</v>
      </c>
      <c r="AQ696" s="48" t="s">
        <v>6311</v>
      </c>
      <c r="AR696" s="48" t="s">
        <v>6311</v>
      </c>
      <c r="AS696" s="227"/>
      <c r="AT696" s="50" t="s">
        <v>266</v>
      </c>
      <c r="AU696" s="48">
        <v>6</v>
      </c>
      <c r="AV696" s="48">
        <v>120</v>
      </c>
      <c r="AW696" s="48">
        <v>114</v>
      </c>
      <c r="AX696" s="48">
        <v>28</v>
      </c>
      <c r="AY696" s="48" t="s">
        <v>8728</v>
      </c>
      <c r="AZ696" s="48" t="s">
        <v>1563</v>
      </c>
      <c r="BA696" s="48">
        <v>32</v>
      </c>
      <c r="BB696" s="47" t="s">
        <v>2485</v>
      </c>
      <c r="BC696" s="47" t="s">
        <v>8726</v>
      </c>
      <c r="BD696" s="47" t="s">
        <v>8374</v>
      </c>
      <c r="BE696" s="48" t="s">
        <v>2449</v>
      </c>
      <c r="BF696" s="48" t="s">
        <v>272</v>
      </c>
      <c r="BG696" s="48" t="s">
        <v>272</v>
      </c>
      <c r="BH696" s="48" t="s">
        <v>2486</v>
      </c>
      <c r="BI696" s="98">
        <v>1.358656E-3</v>
      </c>
      <c r="BJ696" s="98">
        <v>13.58656</v>
      </c>
      <c r="BK696" s="48"/>
      <c r="BL696" s="487">
        <v>21.157655285655693</v>
      </c>
      <c r="BM696" s="47" t="s">
        <v>2487</v>
      </c>
      <c r="BN696" s="48"/>
      <c r="BO696" s="48"/>
      <c r="BP696" s="48"/>
      <c r="BQ696" s="48"/>
      <c r="BR696" s="47" t="e">
        <v>#VALUE!</v>
      </c>
      <c r="BS696" s="48"/>
      <c r="BT696" s="48"/>
      <c r="BU696" s="228">
        <v>13.58656</v>
      </c>
      <c r="BV696" s="48"/>
      <c r="BW696" s="48"/>
      <c r="BX696" s="48"/>
      <c r="BY696" s="48"/>
      <c r="BZ696" s="48"/>
      <c r="CA696" s="48"/>
      <c r="CB696" s="48"/>
      <c r="CC696" s="48"/>
      <c r="CD696" s="48"/>
      <c r="CE696" s="48"/>
      <c r="CF696" s="48"/>
      <c r="CG696" s="48"/>
      <c r="CH696" s="48"/>
      <c r="CI696" s="98"/>
      <c r="CJ696" s="98"/>
      <c r="CK696" s="49">
        <f t="shared" si="152"/>
        <v>1.5572488757754497</v>
      </c>
      <c r="CL696" s="229"/>
      <c r="CM696" s="229"/>
      <c r="CN696" s="229"/>
      <c r="CO696" s="47" t="s">
        <v>2488</v>
      </c>
      <c r="CP696" s="500" t="s">
        <v>2489</v>
      </c>
      <c r="CQ696" s="224" t="s">
        <v>272</v>
      </c>
      <c r="CR696" s="224"/>
      <c r="CS696" s="230" t="s">
        <v>539</v>
      </c>
      <c r="CT696" s="230"/>
      <c r="CU696" s="230"/>
      <c r="CV696" s="335">
        <f t="shared" si="153"/>
        <v>95.682792406613586</v>
      </c>
      <c r="CW696" s="230">
        <f t="shared" si="151"/>
        <v>1</v>
      </c>
      <c r="CX696" s="336"/>
      <c r="CY696" s="230" t="s">
        <v>5921</v>
      </c>
    </row>
    <row r="697" spans="1:103" ht="11.25" customHeight="1" x14ac:dyDescent="0.2">
      <c r="A697" s="72">
        <v>1020</v>
      </c>
      <c r="B697" s="224">
        <v>1503</v>
      </c>
      <c r="C697" s="46" t="s">
        <v>7195</v>
      </c>
      <c r="D697" s="46"/>
      <c r="E697" s="114"/>
      <c r="F697" s="114" t="s">
        <v>4593</v>
      </c>
      <c r="G697" s="225">
        <v>120127</v>
      </c>
      <c r="H697" s="47" t="s">
        <v>4594</v>
      </c>
      <c r="I697" s="47" t="s">
        <v>4594</v>
      </c>
      <c r="J697" s="47" t="s">
        <v>4595</v>
      </c>
      <c r="K697" s="47" t="s">
        <v>426</v>
      </c>
      <c r="L697" s="47" t="s">
        <v>6124</v>
      </c>
      <c r="M697" s="47" t="s">
        <v>6082</v>
      </c>
      <c r="N697" s="47"/>
      <c r="O697" s="47" t="s">
        <v>6083</v>
      </c>
      <c r="P697" s="53"/>
      <c r="Q697" s="53"/>
      <c r="R697" s="53"/>
      <c r="S697" s="53"/>
      <c r="T697" s="48">
        <v>178.23</v>
      </c>
      <c r="U697" s="98">
        <v>4.3400000000000001E-2</v>
      </c>
      <c r="V697" s="98">
        <v>0.6905</v>
      </c>
      <c r="W697" s="98">
        <v>0.45812164036289388</v>
      </c>
      <c r="X697" s="98">
        <v>4.3400000000000001E-2</v>
      </c>
      <c r="Y697" s="233">
        <v>7</v>
      </c>
      <c r="Z697" s="48">
        <v>4.3499999999999996</v>
      </c>
      <c r="AA697" s="48">
        <v>4.45</v>
      </c>
      <c r="AB697" s="48">
        <v>4.68</v>
      </c>
      <c r="AC697" s="48">
        <v>0.89280000000000004</v>
      </c>
      <c r="AD697" s="48">
        <v>4.68</v>
      </c>
      <c r="AE697" s="48">
        <v>4.68</v>
      </c>
      <c r="AF697" s="48">
        <f t="shared" si="154"/>
        <v>4.45</v>
      </c>
      <c r="AG697" s="49">
        <v>4.0999999999999996</v>
      </c>
      <c r="AH697" s="98">
        <v>5.13E-5</v>
      </c>
      <c r="AI697" s="98">
        <v>5.5600000000000003E-5</v>
      </c>
      <c r="AJ697" s="483">
        <f t="shared" si="156"/>
        <v>-2.6784489612008358</v>
      </c>
      <c r="AK697" s="483">
        <f>LOG10(AI697*1000/(0.08206*298.15))</f>
        <v>-2.6434915347305945</v>
      </c>
      <c r="AL697" s="483">
        <f t="shared" si="155"/>
        <v>-2.6434915347305945</v>
      </c>
      <c r="AM697" s="483">
        <v>-6.7898499999999995</v>
      </c>
      <c r="AN697" s="226">
        <v>-3.14</v>
      </c>
      <c r="AO697" s="484"/>
      <c r="AP697" s="484"/>
      <c r="AQ697" s="48" t="s">
        <v>6311</v>
      </c>
      <c r="AR697" s="48" t="s">
        <v>6311</v>
      </c>
      <c r="AS697" s="227"/>
      <c r="AT697" s="50" t="s">
        <v>266</v>
      </c>
      <c r="AU697" s="48">
        <v>6</v>
      </c>
      <c r="AV697" s="48">
        <v>120</v>
      </c>
      <c r="AW697" s="48">
        <v>114</v>
      </c>
      <c r="AX697" s="48">
        <v>28</v>
      </c>
      <c r="AY697" s="48" t="s">
        <v>8728</v>
      </c>
      <c r="AZ697" s="48" t="s">
        <v>1563</v>
      </c>
      <c r="BA697" s="48">
        <v>32</v>
      </c>
      <c r="BB697" s="47" t="s">
        <v>2485</v>
      </c>
      <c r="BC697" s="47" t="s">
        <v>8726</v>
      </c>
      <c r="BD697" s="47" t="s">
        <v>8374</v>
      </c>
      <c r="BE697" s="48" t="s">
        <v>2449</v>
      </c>
      <c r="BF697" s="48" t="s">
        <v>272</v>
      </c>
      <c r="BG697" s="48" t="s">
        <v>272</v>
      </c>
      <c r="BH697" s="48" t="s">
        <v>2486</v>
      </c>
      <c r="BI697" s="98">
        <v>1.1406719999999999E-3</v>
      </c>
      <c r="BJ697" s="98">
        <v>11.40672</v>
      </c>
      <c r="BK697" s="48"/>
      <c r="BL697" s="487">
        <v>1.1351305369535005</v>
      </c>
      <c r="BM697" s="47" t="s">
        <v>2487</v>
      </c>
      <c r="BN697" s="48"/>
      <c r="BO697" s="48"/>
      <c r="BP697" s="48"/>
      <c r="BQ697" s="48"/>
      <c r="BR697" s="47" t="e">
        <v>#VALUE!</v>
      </c>
      <c r="BS697" s="48"/>
      <c r="BT697" s="48"/>
      <c r="BU697" s="228"/>
      <c r="BV697" s="48"/>
      <c r="BW697" s="48"/>
      <c r="BX697" s="48"/>
      <c r="BY697" s="48"/>
      <c r="BZ697" s="48"/>
      <c r="CA697" s="48"/>
      <c r="CB697" s="48"/>
      <c r="CC697" s="48"/>
      <c r="CD697" s="48"/>
      <c r="CE697" s="48"/>
      <c r="CF697" s="48"/>
      <c r="CG697" s="48"/>
      <c r="CH697" s="48"/>
      <c r="CI697" s="98"/>
      <c r="CJ697" s="98"/>
      <c r="CK697" s="49">
        <f t="shared" si="152"/>
        <v>9.9514193120678038E-2</v>
      </c>
      <c r="CL697" s="229"/>
      <c r="CM697" s="229"/>
      <c r="CN697" s="229"/>
      <c r="CO697" s="47" t="s">
        <v>2488</v>
      </c>
      <c r="CP697" s="500" t="s">
        <v>2489</v>
      </c>
      <c r="CQ697" s="224">
        <v>-1.8420148272715411</v>
      </c>
      <c r="CR697" s="224">
        <f>10^(CJ697-CQ697)</f>
        <v>69.50480468569161</v>
      </c>
      <c r="CS697" s="230" t="s">
        <v>539</v>
      </c>
      <c r="CT697" s="230"/>
      <c r="CU697" s="230"/>
      <c r="CV697" s="335">
        <f t="shared" si="153"/>
        <v>3.8047747292823879E-3</v>
      </c>
      <c r="CW697" s="230">
        <f t="shared" si="151"/>
        <v>0</v>
      </c>
      <c r="CX697" s="336"/>
      <c r="CY697" s="230" t="s">
        <v>6351</v>
      </c>
    </row>
    <row r="698" spans="1:103" ht="11.25" customHeight="1" x14ac:dyDescent="0.2">
      <c r="A698" s="72">
        <v>1022</v>
      </c>
      <c r="B698" s="224">
        <v>1096</v>
      </c>
      <c r="C698" s="46" t="s">
        <v>7196</v>
      </c>
      <c r="D698" s="46" t="s">
        <v>8593</v>
      </c>
      <c r="E698" s="114"/>
      <c r="F698" s="114" t="s">
        <v>3070</v>
      </c>
      <c r="G698" s="225">
        <v>120365</v>
      </c>
      <c r="H698" s="47" t="s">
        <v>3071</v>
      </c>
      <c r="I698" s="47" t="s">
        <v>8037</v>
      </c>
      <c r="J698" s="47" t="s">
        <v>3072</v>
      </c>
      <c r="K698" s="47" t="s">
        <v>426</v>
      </c>
      <c r="L698" s="47" t="s">
        <v>6033</v>
      </c>
      <c r="M698" s="47" t="s">
        <v>2342</v>
      </c>
      <c r="N698" s="47" t="s">
        <v>2342</v>
      </c>
      <c r="O698" s="47"/>
      <c r="P698" s="53" t="s">
        <v>8537</v>
      </c>
      <c r="Q698" s="53" t="s">
        <v>6173</v>
      </c>
      <c r="R698" s="53" t="s">
        <v>8540</v>
      </c>
      <c r="S698" s="53" t="s">
        <v>6173</v>
      </c>
      <c r="T698" s="48">
        <v>235.06</v>
      </c>
      <c r="U698" s="98">
        <v>590</v>
      </c>
      <c r="V698" s="98">
        <v>116000</v>
      </c>
      <c r="W698" s="98">
        <v>399.18915294765719</v>
      </c>
      <c r="X698" s="98">
        <v>590</v>
      </c>
      <c r="Y698" s="233">
        <v>3.06</v>
      </c>
      <c r="Z698" s="48">
        <v>3.03</v>
      </c>
      <c r="AA698" s="48">
        <v>-0.25</v>
      </c>
      <c r="AB698" s="48">
        <v>3.1</v>
      </c>
      <c r="AC698" s="48">
        <v>0.88390000000000002</v>
      </c>
      <c r="AD698" s="48">
        <v>3.06</v>
      </c>
      <c r="AE698" s="48">
        <v>2.93</v>
      </c>
      <c r="AF698" s="48">
        <f t="shared" si="154"/>
        <v>-0.25</v>
      </c>
      <c r="AG698" s="49">
        <v>2.88</v>
      </c>
      <c r="AH698" s="98">
        <v>1.22E-8</v>
      </c>
      <c r="AI698" s="98"/>
      <c r="AJ698" s="483">
        <f t="shared" si="156"/>
        <v>-6.3022064956379031</v>
      </c>
      <c r="AK698" s="483"/>
      <c r="AL698" s="483">
        <f t="shared" si="155"/>
        <v>-6.3022064956379031</v>
      </c>
      <c r="AM698" s="483">
        <v>-10.080859999999999</v>
      </c>
      <c r="AN698" s="226">
        <v>-7.49</v>
      </c>
      <c r="AO698" s="484">
        <v>3.03</v>
      </c>
      <c r="AP698" s="484"/>
      <c r="AQ698" s="48" t="s">
        <v>6311</v>
      </c>
      <c r="AR698" s="48" t="s">
        <v>6311</v>
      </c>
      <c r="AS698" s="227"/>
      <c r="AT698" s="50" t="s">
        <v>266</v>
      </c>
      <c r="AU698" s="48">
        <v>6</v>
      </c>
      <c r="AV698" s="48">
        <v>120</v>
      </c>
      <c r="AW698" s="48">
        <v>114</v>
      </c>
      <c r="AX698" s="48">
        <v>28</v>
      </c>
      <c r="AY698" s="48" t="s">
        <v>8728</v>
      </c>
      <c r="AZ698" s="48" t="s">
        <v>1563</v>
      </c>
      <c r="BA698" s="48">
        <v>32</v>
      </c>
      <c r="BB698" s="47" t="s">
        <v>2485</v>
      </c>
      <c r="BC698" s="47" t="s">
        <v>8726</v>
      </c>
      <c r="BD698" s="47" t="s">
        <v>8374</v>
      </c>
      <c r="BE698" s="48" t="s">
        <v>2449</v>
      </c>
      <c r="BF698" s="48" t="s">
        <v>272</v>
      </c>
      <c r="BG698" s="48" t="s">
        <v>272</v>
      </c>
      <c r="BH698" s="48" t="s">
        <v>2486</v>
      </c>
      <c r="BI698" s="98">
        <v>1.5043839999999999E-3</v>
      </c>
      <c r="BJ698" s="98">
        <v>15.043840000000001</v>
      </c>
      <c r="BK698" s="48"/>
      <c r="BL698" s="487">
        <v>22.947518667188831</v>
      </c>
      <c r="BM698" s="47" t="s">
        <v>2487</v>
      </c>
      <c r="BN698" s="48"/>
      <c r="BO698" s="48"/>
      <c r="BP698" s="48"/>
      <c r="BQ698" s="48"/>
      <c r="BR698" s="47" t="e">
        <v>#VALUE!</v>
      </c>
      <c r="BS698" s="48"/>
      <c r="BT698" s="48"/>
      <c r="BU698" s="228">
        <v>15.043840000000001</v>
      </c>
      <c r="BV698" s="48"/>
      <c r="BW698" s="48"/>
      <c r="BX698" s="48"/>
      <c r="BY698" s="48"/>
      <c r="BZ698" s="48"/>
      <c r="CA698" s="48"/>
      <c r="CB698" s="48"/>
      <c r="CC698" s="48"/>
      <c r="CD698" s="48"/>
      <c r="CE698" s="48"/>
      <c r="CF698" s="48"/>
      <c r="CG698" s="48"/>
      <c r="CH698" s="48"/>
      <c r="CI698" s="98"/>
      <c r="CJ698" s="98"/>
      <c r="CK698" s="49">
        <f t="shared" si="152"/>
        <v>1.525376411021975</v>
      </c>
      <c r="CL698" s="229"/>
      <c r="CM698" s="229"/>
      <c r="CN698" s="229"/>
      <c r="CO698" s="47" t="s">
        <v>2488</v>
      </c>
      <c r="CP698" s="500" t="s">
        <v>2489</v>
      </c>
      <c r="CQ698" s="224">
        <v>0.32210390676595257</v>
      </c>
      <c r="CR698" s="224">
        <f>10^(CJ698-CQ698)</f>
        <v>0.47631701233991836</v>
      </c>
      <c r="CS698" s="230" t="s">
        <v>539</v>
      </c>
      <c r="CT698" s="230"/>
      <c r="CU698" s="230"/>
      <c r="CV698" s="335">
        <f t="shared" si="153"/>
        <v>39.21871011656598</v>
      </c>
      <c r="CW698" s="230">
        <f t="shared" si="151"/>
        <v>1</v>
      </c>
      <c r="CX698" s="336"/>
      <c r="CY698" s="230" t="s">
        <v>5921</v>
      </c>
    </row>
    <row r="699" spans="1:103" ht="11.25" customHeight="1" x14ac:dyDescent="0.2">
      <c r="A699" s="72">
        <v>1023</v>
      </c>
      <c r="B699" s="224">
        <v>1649</v>
      </c>
      <c r="C699" s="46" t="s">
        <v>7197</v>
      </c>
      <c r="D699" s="46"/>
      <c r="E699" s="114"/>
      <c r="F699" s="114" t="s">
        <v>4858</v>
      </c>
      <c r="G699" s="225">
        <v>120478</v>
      </c>
      <c r="H699" s="47" t="s">
        <v>4859</v>
      </c>
      <c r="I699" s="47" t="s">
        <v>4859</v>
      </c>
      <c r="J699" s="47" t="s">
        <v>4860</v>
      </c>
      <c r="K699" s="47" t="s">
        <v>2962</v>
      </c>
      <c r="L699" s="47"/>
      <c r="M699" s="47"/>
      <c r="N699" s="47"/>
      <c r="O699" s="47"/>
      <c r="P699" s="53"/>
      <c r="Q699" s="53" t="s">
        <v>6173</v>
      </c>
      <c r="R699" s="53" t="s">
        <v>6174</v>
      </c>
      <c r="S699" s="53" t="s">
        <v>6176</v>
      </c>
      <c r="T699" s="48">
        <v>166.17</v>
      </c>
      <c r="U699" s="98">
        <v>885</v>
      </c>
      <c r="V699" s="98">
        <v>1894</v>
      </c>
      <c r="W699" s="98">
        <v>2573.6685756468687</v>
      </c>
      <c r="X699" s="98">
        <v>885</v>
      </c>
      <c r="Y699" s="233">
        <v>5.0599999999999996</v>
      </c>
      <c r="Z699" s="48">
        <v>2.4900000000000002</v>
      </c>
      <c r="AA699" s="48">
        <v>2.4700000000000002</v>
      </c>
      <c r="AB699" s="48">
        <v>2.58</v>
      </c>
      <c r="AC699" s="48">
        <v>0.83230000000000004</v>
      </c>
      <c r="AD699" s="48">
        <v>2.5299999999999998</v>
      </c>
      <c r="AE699" s="48">
        <v>2.4</v>
      </c>
      <c r="AF699" s="48">
        <f t="shared" si="154"/>
        <v>2.4700000000000002</v>
      </c>
      <c r="AG699" s="49">
        <v>1.76</v>
      </c>
      <c r="AH699" s="98">
        <v>4.7900000000000002E-9</v>
      </c>
      <c r="AI699" s="98"/>
      <c r="AJ699" s="483">
        <f t="shared" si="156"/>
        <v>-6.7082308128980888</v>
      </c>
      <c r="AK699" s="483"/>
      <c r="AL699" s="483">
        <f t="shared" si="155"/>
        <v>-6.7082308128980888</v>
      </c>
      <c r="AM699" s="483">
        <v>-10.161660000000001</v>
      </c>
      <c r="AN699" s="226">
        <v>-6.99</v>
      </c>
      <c r="AO699" s="484">
        <v>8.31</v>
      </c>
      <c r="AP699" s="484"/>
      <c r="AQ699" s="226" t="s">
        <v>6311</v>
      </c>
      <c r="AR699" s="226" t="s">
        <v>6312</v>
      </c>
      <c r="AS699" s="224"/>
      <c r="AT699" s="50" t="s">
        <v>266</v>
      </c>
      <c r="AU699" s="48">
        <v>6</v>
      </c>
      <c r="AV699" s="48">
        <v>120</v>
      </c>
      <c r="AW699" s="48">
        <v>114</v>
      </c>
      <c r="AX699" s="48">
        <v>28</v>
      </c>
      <c r="AY699" s="48" t="s">
        <v>8728</v>
      </c>
      <c r="AZ699" s="48" t="s">
        <v>1563</v>
      </c>
      <c r="BA699" s="48">
        <v>32</v>
      </c>
      <c r="BB699" s="47" t="s">
        <v>2485</v>
      </c>
      <c r="BC699" s="47" t="s">
        <v>8726</v>
      </c>
      <c r="BD699" s="47" t="s">
        <v>8374</v>
      </c>
      <c r="BE699" s="48" t="s">
        <v>2449</v>
      </c>
      <c r="BF699" s="48" t="s">
        <v>272</v>
      </c>
      <c r="BG699" s="48" t="s">
        <v>272</v>
      </c>
      <c r="BH699" s="48" t="s">
        <v>2486</v>
      </c>
      <c r="BI699" s="98">
        <v>1.0634879999999998E-3</v>
      </c>
      <c r="BJ699" s="98">
        <v>10.634879999999999</v>
      </c>
      <c r="BK699" s="48"/>
      <c r="BL699" s="487">
        <v>49.55455948892839</v>
      </c>
      <c r="BM699" s="47" t="s">
        <v>2487</v>
      </c>
      <c r="BN699" s="48"/>
      <c r="BO699" s="48"/>
      <c r="BP699" s="48"/>
      <c r="BQ699" s="48"/>
      <c r="BR699" s="47" t="e">
        <v>#VALUE!</v>
      </c>
      <c r="BS699" s="48"/>
      <c r="BT699" s="48"/>
      <c r="BU699" s="228"/>
      <c r="BV699" s="48"/>
      <c r="BW699" s="48"/>
      <c r="BX699" s="48"/>
      <c r="BY699" s="48"/>
      <c r="BZ699" s="48"/>
      <c r="CA699" s="48"/>
      <c r="CB699" s="48"/>
      <c r="CC699" s="48"/>
      <c r="CD699" s="48"/>
      <c r="CE699" s="48"/>
      <c r="CF699" s="48"/>
      <c r="CG699" s="48"/>
      <c r="CH699" s="48"/>
      <c r="CI699" s="98"/>
      <c r="CJ699" s="98"/>
      <c r="CK699" s="49">
        <f t="shared" si="152"/>
        <v>4.6596256364837583</v>
      </c>
      <c r="CL699" s="229"/>
      <c r="CM699" s="229"/>
      <c r="CN699" s="229"/>
      <c r="CO699" s="47" t="s">
        <v>2488</v>
      </c>
      <c r="CP699" s="500" t="s">
        <v>2489</v>
      </c>
      <c r="CQ699" s="224" t="s">
        <v>272</v>
      </c>
      <c r="CR699" s="224"/>
      <c r="CS699" s="230" t="s">
        <v>539</v>
      </c>
      <c r="CT699" s="230"/>
      <c r="CU699" s="230"/>
      <c r="CV699" s="335">
        <f t="shared" si="153"/>
        <v>83.216735872901253</v>
      </c>
      <c r="CW699" s="230">
        <f t="shared" si="151"/>
        <v>1</v>
      </c>
      <c r="CX699" s="336"/>
      <c r="CY699" s="230" t="s">
        <v>6351</v>
      </c>
    </row>
    <row r="700" spans="1:103" ht="11.25" customHeight="1" x14ac:dyDescent="0.2">
      <c r="A700" s="72">
        <v>1024</v>
      </c>
      <c r="B700" s="224">
        <v>1622</v>
      </c>
      <c r="C700" s="46" t="s">
        <v>7198</v>
      </c>
      <c r="D700" s="46"/>
      <c r="E700" s="114"/>
      <c r="F700" s="114" t="s">
        <v>4805</v>
      </c>
      <c r="G700" s="225">
        <v>120616</v>
      </c>
      <c r="H700" s="47" t="s">
        <v>4806</v>
      </c>
      <c r="I700" s="47" t="s">
        <v>4806</v>
      </c>
      <c r="J700" s="47" t="s">
        <v>4807</v>
      </c>
      <c r="K700" s="47" t="s">
        <v>357</v>
      </c>
      <c r="L700" s="51"/>
      <c r="M700" s="47"/>
      <c r="N700" s="47"/>
      <c r="O700" s="47"/>
      <c r="P700" s="53"/>
      <c r="Q700" s="53" t="s">
        <v>6173</v>
      </c>
      <c r="R700" s="53" t="s">
        <v>6174</v>
      </c>
      <c r="S700" s="53" t="s">
        <v>6182</v>
      </c>
      <c r="T700" s="48">
        <v>194.18</v>
      </c>
      <c r="U700" s="98">
        <v>19</v>
      </c>
      <c r="V700" s="98">
        <v>561.1</v>
      </c>
      <c r="W700" s="98">
        <v>1343.3973793303901</v>
      </c>
      <c r="X700" s="98">
        <v>19</v>
      </c>
      <c r="Y700" s="233">
        <v>7</v>
      </c>
      <c r="Z700" s="48">
        <v>1.66</v>
      </c>
      <c r="AA700" s="48">
        <v>2.25</v>
      </c>
      <c r="AB700" s="48">
        <v>1.96</v>
      </c>
      <c r="AC700" s="48">
        <v>0.87429999999999997</v>
      </c>
      <c r="AD700" s="48">
        <v>2.09</v>
      </c>
      <c r="AE700" s="48">
        <v>2.4700000000000002</v>
      </c>
      <c r="AF700" s="48">
        <f t="shared" si="154"/>
        <v>2.25</v>
      </c>
      <c r="AG700" s="49">
        <v>1.61</v>
      </c>
      <c r="AH700" s="98">
        <v>2.2399999999999999E-7</v>
      </c>
      <c r="AI700" s="98">
        <v>1.34E-4</v>
      </c>
      <c r="AJ700" s="483">
        <f t="shared" si="156"/>
        <v>-5.0383183079784892</v>
      </c>
      <c r="AK700" s="483">
        <f>LOG10(AI700*1000/(0.08206*298.15))</f>
        <v>-2.2614615279478443</v>
      </c>
      <c r="AL700" s="483">
        <f t="shared" si="155"/>
        <v>-2.2614615279478443</v>
      </c>
      <c r="AM700" s="483">
        <v>-8.1728799999999993</v>
      </c>
      <c r="AN700" s="226">
        <v>-5.46</v>
      </c>
      <c r="AO700" s="484"/>
      <c r="AP700" s="484"/>
      <c r="AQ700" s="226" t="s">
        <v>6311</v>
      </c>
      <c r="AR700" s="226" t="s">
        <v>6312</v>
      </c>
      <c r="AS700" s="224"/>
      <c r="AT700" s="50" t="s">
        <v>266</v>
      </c>
      <c r="AU700" s="48">
        <v>6</v>
      </c>
      <c r="AV700" s="48">
        <v>120</v>
      </c>
      <c r="AW700" s="48">
        <v>114</v>
      </c>
      <c r="AX700" s="48">
        <v>28</v>
      </c>
      <c r="AY700" s="48" t="s">
        <v>8728</v>
      </c>
      <c r="AZ700" s="48" t="s">
        <v>1563</v>
      </c>
      <c r="BA700" s="48">
        <v>32</v>
      </c>
      <c r="BB700" s="47" t="s">
        <v>2485</v>
      </c>
      <c r="BC700" s="47" t="s">
        <v>8726</v>
      </c>
      <c r="BD700" s="47" t="s">
        <v>8374</v>
      </c>
      <c r="BE700" s="48" t="s">
        <v>2449</v>
      </c>
      <c r="BF700" s="48" t="s">
        <v>272</v>
      </c>
      <c r="BG700" s="48" t="s">
        <v>272</v>
      </c>
      <c r="BH700" s="48" t="s">
        <v>2486</v>
      </c>
      <c r="BI700" s="98">
        <v>1.242752E-3</v>
      </c>
      <c r="BJ700" s="98">
        <v>12.427520000000001</v>
      </c>
      <c r="BK700" s="48"/>
      <c r="BL700" s="487">
        <v>322.22445421432928</v>
      </c>
      <c r="BM700" s="47" t="s">
        <v>2487</v>
      </c>
      <c r="BN700" s="48"/>
      <c r="BO700" s="48"/>
      <c r="BP700" s="48"/>
      <c r="BQ700" s="48"/>
      <c r="BR700" s="47" t="e">
        <v>#VALUE!</v>
      </c>
      <c r="BS700" s="48"/>
      <c r="BT700" s="48"/>
      <c r="BU700" s="228"/>
      <c r="BV700" s="48"/>
      <c r="BW700" s="48"/>
      <c r="BX700" s="48"/>
      <c r="BY700" s="48"/>
      <c r="BZ700" s="48"/>
      <c r="CA700" s="48"/>
      <c r="CB700" s="48"/>
      <c r="CC700" s="48"/>
      <c r="CD700" s="48"/>
      <c r="CE700" s="48"/>
      <c r="CF700" s="48"/>
      <c r="CG700" s="48"/>
      <c r="CH700" s="48"/>
      <c r="CI700" s="98"/>
      <c r="CJ700" s="98"/>
      <c r="CK700" s="49">
        <f t="shared" si="152"/>
        <v>25.928298985986686</v>
      </c>
      <c r="CL700" s="229"/>
      <c r="CM700" s="229"/>
      <c r="CN700" s="229"/>
      <c r="CO700" s="47" t="s">
        <v>2488</v>
      </c>
      <c r="CP700" s="500" t="s">
        <v>2489</v>
      </c>
      <c r="CQ700" s="224" t="s">
        <v>272</v>
      </c>
      <c r="CR700" s="224"/>
      <c r="CS700" s="230" t="s">
        <v>539</v>
      </c>
      <c r="CT700" s="230"/>
      <c r="CU700" s="230"/>
      <c r="CV700" s="335">
        <f t="shared" si="153"/>
        <v>1.5288649706457924</v>
      </c>
      <c r="CW700" s="230">
        <f t="shared" si="151"/>
        <v>1</v>
      </c>
      <c r="CX700" s="336"/>
      <c r="CY700" s="230" t="s">
        <v>6351</v>
      </c>
    </row>
    <row r="701" spans="1:103" ht="11.25" customHeight="1" x14ac:dyDescent="0.2">
      <c r="A701" s="72">
        <v>1025</v>
      </c>
      <c r="B701" s="224">
        <v>951</v>
      </c>
      <c r="C701" s="46" t="s">
        <v>7199</v>
      </c>
      <c r="D701" s="46"/>
      <c r="E701" s="114"/>
      <c r="F701" s="114" t="s">
        <v>2718</v>
      </c>
      <c r="G701" s="225">
        <v>120718</v>
      </c>
      <c r="H701" s="47" t="s">
        <v>2719</v>
      </c>
      <c r="I701" s="47" t="s">
        <v>2719</v>
      </c>
      <c r="J701" s="47" t="s">
        <v>2720</v>
      </c>
      <c r="K701" s="47" t="s">
        <v>1573</v>
      </c>
      <c r="L701" s="47"/>
      <c r="M701" s="47"/>
      <c r="N701" s="47"/>
      <c r="O701" s="47"/>
      <c r="P701" s="53"/>
      <c r="Q701" s="53"/>
      <c r="R701" s="53"/>
      <c r="S701" s="53"/>
      <c r="T701" s="48">
        <v>137.18</v>
      </c>
      <c r="U701" s="98"/>
      <c r="V701" s="98">
        <v>2810</v>
      </c>
      <c r="W701" s="98">
        <v>2866.0964323055705</v>
      </c>
      <c r="X701" s="98">
        <v>2866.0964323055705</v>
      </c>
      <c r="Y701" s="233">
        <v>8.49</v>
      </c>
      <c r="Z701" s="48">
        <v>1.7</v>
      </c>
      <c r="AA701" s="48">
        <v>1.74</v>
      </c>
      <c r="AB701" s="48">
        <v>1.6</v>
      </c>
      <c r="AC701" s="48">
        <v>0.83540000000000003</v>
      </c>
      <c r="AD701" s="48">
        <v>1.58</v>
      </c>
      <c r="AE701" s="48">
        <v>1.55</v>
      </c>
      <c r="AF701" s="48">
        <f t="shared" si="154"/>
        <v>1.74</v>
      </c>
      <c r="AG701" s="49">
        <v>1.55</v>
      </c>
      <c r="AH701" s="98">
        <v>1.24E-7</v>
      </c>
      <c r="AI701" s="98"/>
      <c r="AJ701" s="483">
        <f t="shared" si="156"/>
        <v>-5.2951446411504168</v>
      </c>
      <c r="AK701" s="483"/>
      <c r="AL701" s="483">
        <f t="shared" si="155"/>
        <v>-5.2951446411504168</v>
      </c>
      <c r="AM701" s="483">
        <v>-7.4911399999999997</v>
      </c>
      <c r="AN701" s="226">
        <v>-3.51</v>
      </c>
      <c r="AO701" s="484"/>
      <c r="AP701" s="484">
        <v>4.66</v>
      </c>
      <c r="AQ701" s="48" t="s">
        <v>6311</v>
      </c>
      <c r="AR701" s="48" t="s">
        <v>6311</v>
      </c>
      <c r="AS701" s="227"/>
      <c r="AT701" s="50" t="s">
        <v>266</v>
      </c>
      <c r="AU701" s="48">
        <v>6</v>
      </c>
      <c r="AV701" s="48">
        <v>120</v>
      </c>
      <c r="AW701" s="48">
        <v>114</v>
      </c>
      <c r="AX701" s="48">
        <v>28</v>
      </c>
      <c r="AY701" s="48" t="s">
        <v>8728</v>
      </c>
      <c r="AZ701" s="48" t="s">
        <v>1563</v>
      </c>
      <c r="BA701" s="48">
        <v>32</v>
      </c>
      <c r="BB701" s="47" t="s">
        <v>2485</v>
      </c>
      <c r="BC701" s="47" t="s">
        <v>8726</v>
      </c>
      <c r="BD701" s="47" t="s">
        <v>8374</v>
      </c>
      <c r="BE701" s="48" t="s">
        <v>2449</v>
      </c>
      <c r="BF701" s="48" t="s">
        <v>272</v>
      </c>
      <c r="BG701" s="48" t="s">
        <v>272</v>
      </c>
      <c r="BH701" s="48" t="s">
        <v>2486</v>
      </c>
      <c r="BI701" s="98">
        <v>8.7795199999999999E-4</v>
      </c>
      <c r="BJ701" s="98">
        <v>8.7795199999999998</v>
      </c>
      <c r="BK701" s="48"/>
      <c r="BL701" s="487">
        <v>209.56598767469308</v>
      </c>
      <c r="BM701" s="47" t="s">
        <v>2487</v>
      </c>
      <c r="BN701" s="48"/>
      <c r="BO701" s="48"/>
      <c r="BP701" s="48"/>
      <c r="BQ701" s="48"/>
      <c r="BR701" s="47"/>
      <c r="BS701" s="48"/>
      <c r="BT701" s="48"/>
      <c r="BU701" s="228">
        <v>8.7795200000000018E-2</v>
      </c>
      <c r="BV701" s="48"/>
      <c r="BW701" s="48"/>
      <c r="BX701" s="48"/>
      <c r="BY701" s="48"/>
      <c r="BZ701" s="48"/>
      <c r="CA701" s="48"/>
      <c r="CB701" s="48"/>
      <c r="CC701" s="48"/>
      <c r="CD701" s="48"/>
      <c r="CE701" s="48"/>
      <c r="CF701" s="48"/>
      <c r="CG701" s="48"/>
      <c r="CH701" s="48"/>
      <c r="CI701" s="52"/>
      <c r="CJ701" s="98"/>
      <c r="CK701" s="49">
        <f t="shared" si="152"/>
        <v>23.86986847512086</v>
      </c>
      <c r="CL701" s="229"/>
      <c r="CM701" s="229"/>
      <c r="CN701" s="229"/>
      <c r="CO701" s="47" t="s">
        <v>2488</v>
      </c>
      <c r="CP701" s="500" t="s">
        <v>2489</v>
      </c>
      <c r="CQ701" s="224" t="s">
        <v>272</v>
      </c>
      <c r="CR701" s="224"/>
      <c r="CS701" s="230" t="s">
        <v>539</v>
      </c>
      <c r="CT701" s="230"/>
      <c r="CU701" s="230"/>
      <c r="CV701" s="335">
        <f t="shared" si="153"/>
        <v>326.45252044594361</v>
      </c>
      <c r="CW701" s="230">
        <f t="shared" si="151"/>
        <v>1</v>
      </c>
      <c r="CX701" s="336"/>
      <c r="CY701" s="230" t="s">
        <v>6351</v>
      </c>
    </row>
    <row r="702" spans="1:103" ht="11.25" customHeight="1" x14ac:dyDescent="0.2">
      <c r="A702" s="72">
        <v>1026</v>
      </c>
      <c r="B702" s="224">
        <v>1547</v>
      </c>
      <c r="C702" s="46" t="s">
        <v>7200</v>
      </c>
      <c r="D702" s="46" t="s">
        <v>8687</v>
      </c>
      <c r="E702" s="114"/>
      <c r="F702" s="114" t="s">
        <v>4672</v>
      </c>
      <c r="G702" s="225">
        <v>120809</v>
      </c>
      <c r="H702" s="47" t="s">
        <v>4673</v>
      </c>
      <c r="I702" s="47" t="s">
        <v>4673</v>
      </c>
      <c r="J702" s="47" t="s">
        <v>4674</v>
      </c>
      <c r="K702" s="47" t="s">
        <v>376</v>
      </c>
      <c r="L702" s="47" t="s">
        <v>5527</v>
      </c>
      <c r="M702" s="47" t="s">
        <v>6616</v>
      </c>
      <c r="N702" s="47" t="s">
        <v>6082</v>
      </c>
      <c r="O702" s="47" t="s">
        <v>498</v>
      </c>
      <c r="P702" s="53"/>
      <c r="Q702" s="53" t="s">
        <v>6173</v>
      </c>
      <c r="R702" s="53" t="s">
        <v>6185</v>
      </c>
      <c r="S702" s="53" t="s">
        <v>6176</v>
      </c>
      <c r="T702" s="48">
        <v>110.11</v>
      </c>
      <c r="U702" s="98">
        <v>461000</v>
      </c>
      <c r="V702" s="98">
        <v>73230</v>
      </c>
      <c r="W702" s="98">
        <v>151994.11137542367</v>
      </c>
      <c r="X702" s="98">
        <v>461000</v>
      </c>
      <c r="Y702" s="233">
        <v>4.68</v>
      </c>
      <c r="Z702" s="48">
        <v>1.03</v>
      </c>
      <c r="AA702" s="48">
        <v>0.88</v>
      </c>
      <c r="AB702" s="48">
        <v>1.1100000000000001</v>
      </c>
      <c r="AC702" s="48">
        <v>0.78569999999999995</v>
      </c>
      <c r="AD702" s="48">
        <v>1.03</v>
      </c>
      <c r="AE702" s="48">
        <v>0.88</v>
      </c>
      <c r="AF702" s="48">
        <f t="shared" si="154"/>
        <v>0.88</v>
      </c>
      <c r="AG702" s="49">
        <v>1.1200000000000001</v>
      </c>
      <c r="AH702" s="98">
        <v>5.8299999999999995E-11</v>
      </c>
      <c r="AI702" s="98">
        <v>1.2E-9</v>
      </c>
      <c r="AJ702" s="483">
        <f t="shared" si="156"/>
        <v>-8.622897771553637</v>
      </c>
      <c r="AK702" s="483">
        <f>LOG10(AI702*1000/(0.08206*298.15))</f>
        <v>-7.3093850802650273</v>
      </c>
      <c r="AL702" s="483">
        <f t="shared" si="155"/>
        <v>-7.3093850802650273</v>
      </c>
      <c r="AM702" s="483">
        <v>-8.9761600000000001</v>
      </c>
      <c r="AN702" s="226">
        <v>-6.69</v>
      </c>
      <c r="AO702" s="484">
        <v>9.5</v>
      </c>
      <c r="AP702" s="484"/>
      <c r="AQ702" s="48" t="s">
        <v>6311</v>
      </c>
      <c r="AR702" s="48" t="s">
        <v>6311</v>
      </c>
      <c r="AS702" s="227"/>
      <c r="AT702" s="50" t="s">
        <v>266</v>
      </c>
      <c r="AU702" s="48">
        <v>6</v>
      </c>
      <c r="AV702" s="48">
        <v>120</v>
      </c>
      <c r="AW702" s="48">
        <v>114</v>
      </c>
      <c r="AX702" s="48">
        <v>28</v>
      </c>
      <c r="AY702" s="48" t="s">
        <v>8728</v>
      </c>
      <c r="AZ702" s="48" t="s">
        <v>1563</v>
      </c>
      <c r="BA702" s="48">
        <v>32</v>
      </c>
      <c r="BB702" s="47" t="s">
        <v>2485</v>
      </c>
      <c r="BC702" s="47" t="s">
        <v>8726</v>
      </c>
      <c r="BD702" s="47" t="s">
        <v>8374</v>
      </c>
      <c r="BE702" s="48" t="s">
        <v>2449</v>
      </c>
      <c r="BF702" s="48" t="s">
        <v>272</v>
      </c>
      <c r="BG702" s="48" t="s">
        <v>272</v>
      </c>
      <c r="BH702" s="48" t="s">
        <v>2486</v>
      </c>
      <c r="BI702" s="98">
        <v>7.0470400000000001E-4</v>
      </c>
      <c r="BJ702" s="98">
        <v>7.04704</v>
      </c>
      <c r="BK702" s="48"/>
      <c r="BL702" s="487">
        <v>672.33196967807544</v>
      </c>
      <c r="BM702" s="47" t="s">
        <v>2487</v>
      </c>
      <c r="BN702" s="48"/>
      <c r="BO702" s="48"/>
      <c r="BP702" s="48"/>
      <c r="BQ702" s="48"/>
      <c r="BR702" s="47" t="e">
        <v>#VALUE!</v>
      </c>
      <c r="BS702" s="48"/>
      <c r="BT702" s="48"/>
      <c r="BU702" s="228"/>
      <c r="BV702" s="48"/>
      <c r="BW702" s="48"/>
      <c r="BX702" s="48"/>
      <c r="BY702" s="48"/>
      <c r="BZ702" s="48"/>
      <c r="CA702" s="48"/>
      <c r="CB702" s="48"/>
      <c r="CC702" s="48"/>
      <c r="CD702" s="48"/>
      <c r="CE702" s="48"/>
      <c r="CF702" s="48"/>
      <c r="CG702" s="48"/>
      <c r="CH702" s="48"/>
      <c r="CI702" s="98"/>
      <c r="CJ702" s="98"/>
      <c r="CK702" s="49">
        <f t="shared" si="152"/>
        <v>95.406293944418564</v>
      </c>
      <c r="CL702" s="229"/>
      <c r="CM702" s="229"/>
      <c r="CN702" s="229"/>
      <c r="CO702" s="47" t="s">
        <v>2488</v>
      </c>
      <c r="CP702" s="500" t="s">
        <v>2489</v>
      </c>
      <c r="CQ702" s="224">
        <v>0.8184511748876796</v>
      </c>
      <c r="CR702" s="224">
        <f>10^(CJ702-CQ702)</f>
        <v>0.15189687009333988</v>
      </c>
      <c r="CS702" s="230" t="s">
        <v>539</v>
      </c>
      <c r="CT702" s="230"/>
      <c r="CU702" s="230"/>
      <c r="CV702" s="335">
        <f t="shared" si="153"/>
        <v>65417.537008446103</v>
      </c>
      <c r="CW702" s="230">
        <f t="shared" si="151"/>
        <v>1</v>
      </c>
      <c r="CX702" s="336"/>
      <c r="CY702" s="230" t="s">
        <v>6351</v>
      </c>
    </row>
    <row r="703" spans="1:103" ht="11.25" customHeight="1" x14ac:dyDescent="0.2">
      <c r="A703" s="72">
        <v>1027</v>
      </c>
      <c r="B703" s="224">
        <v>1368</v>
      </c>
      <c r="C703" s="46" t="s">
        <v>7201</v>
      </c>
      <c r="D703" s="46" t="s">
        <v>6599</v>
      </c>
      <c r="E703" s="114"/>
      <c r="F703" s="114" t="s">
        <v>1831</v>
      </c>
      <c r="G703" s="225">
        <v>120821</v>
      </c>
      <c r="H703" s="47" t="s">
        <v>1832</v>
      </c>
      <c r="I703" s="47" t="s">
        <v>8038</v>
      </c>
      <c r="J703" s="47" t="s">
        <v>1833</v>
      </c>
      <c r="K703" s="47" t="s">
        <v>426</v>
      </c>
      <c r="L703" s="47" t="s">
        <v>5527</v>
      </c>
      <c r="M703" s="47" t="s">
        <v>866</v>
      </c>
      <c r="N703" s="47" t="s">
        <v>6082</v>
      </c>
      <c r="O703" s="47" t="s">
        <v>6086</v>
      </c>
      <c r="P703" s="53" t="s">
        <v>6183</v>
      </c>
      <c r="Q703" s="53" t="s">
        <v>6176</v>
      </c>
      <c r="R703" s="53" t="s">
        <v>6185</v>
      </c>
      <c r="S703" s="53" t="s">
        <v>6176</v>
      </c>
      <c r="T703" s="48">
        <v>181.45</v>
      </c>
      <c r="U703" s="98">
        <v>49</v>
      </c>
      <c r="V703" s="98">
        <v>19.989999999999998</v>
      </c>
      <c r="W703" s="98">
        <v>5.4797023966694614</v>
      </c>
      <c r="X703" s="98">
        <v>49</v>
      </c>
      <c r="Y703" s="233">
        <v>7</v>
      </c>
      <c r="Z703" s="48">
        <v>3.93</v>
      </c>
      <c r="AA703" s="48">
        <v>4.0199999999999996</v>
      </c>
      <c r="AB703" s="48">
        <v>3.92</v>
      </c>
      <c r="AC703" s="48">
        <v>0.89549999999999996</v>
      </c>
      <c r="AD703" s="48">
        <v>3.9</v>
      </c>
      <c r="AE703" s="48">
        <v>3.82</v>
      </c>
      <c r="AF703" s="48">
        <f t="shared" si="154"/>
        <v>4.0199999999999996</v>
      </c>
      <c r="AG703" s="49">
        <v>3.84</v>
      </c>
      <c r="AH703" s="98">
        <v>2.1900000000000001E-3</v>
      </c>
      <c r="AI703" s="98">
        <v>1.42E-3</v>
      </c>
      <c r="AJ703" s="483">
        <f t="shared" si="156"/>
        <v>-1.0481222114725335</v>
      </c>
      <c r="AK703" s="483">
        <f>LOG10(AI703*1000/(0.08206*298.15))</f>
        <v>-1.2362779819295953</v>
      </c>
      <c r="AL703" s="483">
        <f t="shared" si="155"/>
        <v>-1.2362779819295953</v>
      </c>
      <c r="AM703" s="483">
        <v>-3.28653</v>
      </c>
      <c r="AN703" s="226">
        <v>-1.17</v>
      </c>
      <c r="AO703" s="484"/>
      <c r="AP703" s="484"/>
      <c r="AQ703" s="48" t="s">
        <v>6311</v>
      </c>
      <c r="AR703" s="48" t="s">
        <v>6311</v>
      </c>
      <c r="AS703" s="227"/>
      <c r="AT703" s="50" t="s">
        <v>266</v>
      </c>
      <c r="AU703" s="48">
        <v>6</v>
      </c>
      <c r="AV703" s="48">
        <v>120</v>
      </c>
      <c r="AW703" s="48">
        <v>114</v>
      </c>
      <c r="AX703" s="48">
        <v>28</v>
      </c>
      <c r="AY703" s="48" t="s">
        <v>8728</v>
      </c>
      <c r="AZ703" s="48" t="s">
        <v>1563</v>
      </c>
      <c r="BA703" s="48">
        <v>32</v>
      </c>
      <c r="BB703" s="47" t="s">
        <v>2485</v>
      </c>
      <c r="BC703" s="47" t="s">
        <v>8726</v>
      </c>
      <c r="BD703" s="47" t="s">
        <v>8374</v>
      </c>
      <c r="BE703" s="48" t="s">
        <v>2449</v>
      </c>
      <c r="BF703" s="48" t="s">
        <v>272</v>
      </c>
      <c r="BG703" s="48" t="s">
        <v>272</v>
      </c>
      <c r="BH703" s="48" t="s">
        <v>2486</v>
      </c>
      <c r="BI703" s="98">
        <v>1.1612799999999998E-3</v>
      </c>
      <c r="BJ703" s="98">
        <v>11.6128</v>
      </c>
      <c r="BK703" s="48"/>
      <c r="BL703" s="487">
        <v>2.7543807376682925</v>
      </c>
      <c r="BM703" s="47" t="s">
        <v>2487</v>
      </c>
      <c r="BN703" s="48"/>
      <c r="BO703" s="48"/>
      <c r="BP703" s="48"/>
      <c r="BQ703" s="48"/>
      <c r="BR703" s="47" t="e">
        <v>#VALUE!</v>
      </c>
      <c r="BS703" s="48"/>
      <c r="BT703" s="48"/>
      <c r="BU703" s="228"/>
      <c r="BV703" s="48"/>
      <c r="BW703" s="48"/>
      <c r="BX703" s="48"/>
      <c r="BY703" s="48"/>
      <c r="BZ703" s="48"/>
      <c r="CA703" s="48"/>
      <c r="CB703" s="48"/>
      <c r="CC703" s="48"/>
      <c r="CD703" s="48"/>
      <c r="CE703" s="48"/>
      <c r="CF703" s="48"/>
      <c r="CG703" s="48"/>
      <c r="CH703" s="48"/>
      <c r="CI703" s="98"/>
      <c r="CJ703" s="98"/>
      <c r="CK703" s="49">
        <f t="shared" si="152"/>
        <v>0.23718489405382789</v>
      </c>
      <c r="CL703" s="229"/>
      <c r="CM703" s="229"/>
      <c r="CN703" s="229"/>
      <c r="CO703" s="47" t="s">
        <v>2488</v>
      </c>
      <c r="CP703" s="500" t="s">
        <v>2489</v>
      </c>
      <c r="CQ703" s="224">
        <v>0.44808361068751446</v>
      </c>
      <c r="CR703" s="224">
        <f>10^(CJ703-CQ703)</f>
        <v>0.35638251580180408</v>
      </c>
      <c r="CS703" s="230" t="s">
        <v>539</v>
      </c>
      <c r="CT703" s="230"/>
      <c r="CU703" s="230"/>
      <c r="CV703" s="335">
        <f t="shared" si="153"/>
        <v>4.2194819509506747</v>
      </c>
      <c r="CW703" s="230">
        <f t="shared" si="151"/>
        <v>1</v>
      </c>
      <c r="CX703" s="336"/>
      <c r="CY703" s="230" t="s">
        <v>6351</v>
      </c>
    </row>
    <row r="704" spans="1:103" ht="11.25" customHeight="1" x14ac:dyDescent="0.2">
      <c r="A704" s="72">
        <v>1028</v>
      </c>
      <c r="B704" s="224">
        <v>938</v>
      </c>
      <c r="C704" s="46" t="s">
        <v>7202</v>
      </c>
      <c r="D704" s="46"/>
      <c r="E704" s="114"/>
      <c r="F704" s="114" t="s">
        <v>2297</v>
      </c>
      <c r="G704" s="225">
        <v>120832</v>
      </c>
      <c r="H704" s="47" t="s">
        <v>2298</v>
      </c>
      <c r="I704" s="47" t="s">
        <v>8039</v>
      </c>
      <c r="J704" s="47" t="s">
        <v>2299</v>
      </c>
      <c r="K704" s="47" t="s">
        <v>349</v>
      </c>
      <c r="L704" s="47" t="s">
        <v>5527</v>
      </c>
      <c r="M704" s="47" t="s">
        <v>6109</v>
      </c>
      <c r="N704" s="47" t="s">
        <v>6381</v>
      </c>
      <c r="O704" s="47" t="s">
        <v>6086</v>
      </c>
      <c r="P704" s="53" t="s">
        <v>6184</v>
      </c>
      <c r="Q704" s="53" t="s">
        <v>6176</v>
      </c>
      <c r="R704" s="53" t="s">
        <v>6185</v>
      </c>
      <c r="S704" s="53" t="s">
        <v>6176</v>
      </c>
      <c r="T704" s="48">
        <v>163</v>
      </c>
      <c r="U704" s="98">
        <v>4500</v>
      </c>
      <c r="V704" s="98">
        <v>614.20000000000005</v>
      </c>
      <c r="W704" s="98">
        <v>492.25213042552821</v>
      </c>
      <c r="X704" s="98">
        <v>4500</v>
      </c>
      <c r="Y704" s="233">
        <v>5.28</v>
      </c>
      <c r="Z704" s="48">
        <v>2.8</v>
      </c>
      <c r="AA704" s="48">
        <v>3.06</v>
      </c>
      <c r="AB704" s="48">
        <v>3.2</v>
      </c>
      <c r="AC704" s="48">
        <v>0.86060000000000003</v>
      </c>
      <c r="AD704" s="48">
        <v>3.14</v>
      </c>
      <c r="AE704" s="48">
        <v>2.99</v>
      </c>
      <c r="AF704" s="48">
        <f t="shared" si="154"/>
        <v>3.06</v>
      </c>
      <c r="AG704" s="49">
        <v>2.82</v>
      </c>
      <c r="AH704" s="98">
        <v>3.0800000000000001E-7</v>
      </c>
      <c r="AI704" s="98">
        <v>4.2899999999999996E-6</v>
      </c>
      <c r="AJ704" s="483">
        <f t="shared" si="156"/>
        <v>-4.9000156098122076</v>
      </c>
      <c r="AK704" s="483">
        <f>LOG10(AI704*1000/(0.08206*298.15))</f>
        <v>-3.7561090341279275</v>
      </c>
      <c r="AL704" s="483">
        <f t="shared" si="155"/>
        <v>-3.7561090341279275</v>
      </c>
      <c r="AM704" s="483">
        <v>-6.1948599999999994</v>
      </c>
      <c r="AN704" s="226">
        <v>-3.21</v>
      </c>
      <c r="AO704" s="484">
        <v>8.0500000000000007</v>
      </c>
      <c r="AP704" s="484"/>
      <c r="AQ704" s="48" t="s">
        <v>6311</v>
      </c>
      <c r="AR704" s="48" t="s">
        <v>6311</v>
      </c>
      <c r="AS704" s="227"/>
      <c r="AT704" s="50" t="s">
        <v>266</v>
      </c>
      <c r="AU704" s="48">
        <v>6</v>
      </c>
      <c r="AV704" s="48">
        <v>120</v>
      </c>
      <c r="AW704" s="48">
        <v>114</v>
      </c>
      <c r="AX704" s="48">
        <v>28</v>
      </c>
      <c r="AY704" s="48" t="s">
        <v>8728</v>
      </c>
      <c r="AZ704" s="48" t="s">
        <v>1563</v>
      </c>
      <c r="BA704" s="48">
        <v>32</v>
      </c>
      <c r="BB704" s="47" t="s">
        <v>2485</v>
      </c>
      <c r="BC704" s="47" t="s">
        <v>8726</v>
      </c>
      <c r="BD704" s="47" t="s">
        <v>8374</v>
      </c>
      <c r="BE704" s="48" t="s">
        <v>2449</v>
      </c>
      <c r="BF704" s="48" t="s">
        <v>272</v>
      </c>
      <c r="BG704" s="48" t="s">
        <v>272</v>
      </c>
      <c r="BH704" s="48" t="s">
        <v>2486</v>
      </c>
      <c r="BI704" s="98">
        <v>1.0432E-3</v>
      </c>
      <c r="BJ704" s="98">
        <v>10.432</v>
      </c>
      <c r="BK704" s="48"/>
      <c r="BL704" s="487">
        <v>25.603987376487378</v>
      </c>
      <c r="BM704" s="47" t="s">
        <v>2487</v>
      </c>
      <c r="BN704" s="48"/>
      <c r="BO704" s="48"/>
      <c r="BP704" s="48"/>
      <c r="BQ704" s="48"/>
      <c r="BR704" s="47" t="e">
        <v>#VALUE!</v>
      </c>
      <c r="BS704" s="48"/>
      <c r="BT704" s="48"/>
      <c r="BU704" s="228">
        <v>1.0432E-3</v>
      </c>
      <c r="BV704" s="48"/>
      <c r="BW704" s="48"/>
      <c r="BX704" s="48"/>
      <c r="BY704" s="48"/>
      <c r="BZ704" s="48"/>
      <c r="CA704" s="48"/>
      <c r="CB704" s="48"/>
      <c r="CC704" s="48"/>
      <c r="CD704" s="48"/>
      <c r="CE704" s="48"/>
      <c r="CF704" s="48"/>
      <c r="CG704" s="48"/>
      <c r="CH704" s="48"/>
      <c r="CI704" s="98"/>
      <c r="CJ704" s="98"/>
      <c r="CK704" s="49">
        <f t="shared" si="152"/>
        <v>2.4543699555681919</v>
      </c>
      <c r="CL704" s="229"/>
      <c r="CM704" s="229"/>
      <c r="CN704" s="229"/>
      <c r="CO704" s="47" t="s">
        <v>2488</v>
      </c>
      <c r="CP704" s="500" t="s">
        <v>2489</v>
      </c>
      <c r="CQ704" s="224">
        <v>0.62849284084610069</v>
      </c>
      <c r="CR704" s="224">
        <f>10^(CJ704-CQ704)</f>
        <v>0.23523782709925434</v>
      </c>
      <c r="CS704" s="230" t="s">
        <v>539</v>
      </c>
      <c r="CT704" s="230"/>
      <c r="CU704" s="230"/>
      <c r="CV704" s="335">
        <f t="shared" si="153"/>
        <v>431.36503067484659</v>
      </c>
      <c r="CW704" s="230">
        <f t="shared" si="151"/>
        <v>1</v>
      </c>
      <c r="CX704" s="336"/>
      <c r="CY704" s="230" t="s">
        <v>6351</v>
      </c>
    </row>
    <row r="705" spans="1:103" ht="11.25" customHeight="1" x14ac:dyDescent="0.2">
      <c r="A705" s="72">
        <v>1029</v>
      </c>
      <c r="B705" s="224">
        <v>1405</v>
      </c>
      <c r="C705" s="46" t="s">
        <v>7203</v>
      </c>
      <c r="D705" s="46"/>
      <c r="E705" s="114"/>
      <c r="F705" s="114" t="s">
        <v>4325</v>
      </c>
      <c r="G705" s="225">
        <v>121006</v>
      </c>
      <c r="H705" s="47" t="s">
        <v>4326</v>
      </c>
      <c r="I705" s="47" t="s">
        <v>4326</v>
      </c>
      <c r="J705" s="47" t="s">
        <v>4327</v>
      </c>
      <c r="K705" s="47" t="s">
        <v>349</v>
      </c>
      <c r="L705" s="47"/>
      <c r="M705" s="47"/>
      <c r="N705" s="47"/>
      <c r="O705" s="47"/>
      <c r="P705" s="53"/>
      <c r="Q705" s="53"/>
      <c r="R705" s="53"/>
      <c r="S705" s="53"/>
      <c r="T705" s="48">
        <v>180.24</v>
      </c>
      <c r="U705" s="98"/>
      <c r="V705" s="98">
        <v>212.8</v>
      </c>
      <c r="W705" s="98">
        <v>768.86692468799038</v>
      </c>
      <c r="X705" s="98">
        <v>768.86692468799038</v>
      </c>
      <c r="Y705" s="233">
        <v>6.89</v>
      </c>
      <c r="Z705" s="48">
        <v>3.5</v>
      </c>
      <c r="AA705" s="48"/>
      <c r="AB705" s="48">
        <v>3.2</v>
      </c>
      <c r="AC705" s="48">
        <v>0.82240000000000002</v>
      </c>
      <c r="AD705" s="48">
        <v>3.14</v>
      </c>
      <c r="AE705" s="48">
        <v>3</v>
      </c>
      <c r="AF705" s="48">
        <f t="shared" si="154"/>
        <v>3.14</v>
      </c>
      <c r="AG705" s="49">
        <v>3.09</v>
      </c>
      <c r="AH705" s="98">
        <v>8.5599999999999999E-8</v>
      </c>
      <c r="AI705" s="98"/>
      <c r="AJ705" s="483">
        <f t="shared" si="156"/>
        <v>-5.4560925616354989</v>
      </c>
      <c r="AK705" s="483"/>
      <c r="AL705" s="483">
        <f t="shared" si="155"/>
        <v>-5.4560925616354989</v>
      </c>
      <c r="AM705" s="483">
        <v>-8.3045200000000001</v>
      </c>
      <c r="AN705" s="226">
        <v>-5.08</v>
      </c>
      <c r="AO705" s="484">
        <v>11.83</v>
      </c>
      <c r="AP705" s="484"/>
      <c r="AQ705" s="48" t="s">
        <v>6311</v>
      </c>
      <c r="AR705" s="48" t="s">
        <v>6311</v>
      </c>
      <c r="AS705" s="227"/>
      <c r="AT705" s="50" t="s">
        <v>266</v>
      </c>
      <c r="AU705" s="48">
        <v>6</v>
      </c>
      <c r="AV705" s="48">
        <v>120</v>
      </c>
      <c r="AW705" s="48">
        <v>114</v>
      </c>
      <c r="AX705" s="48">
        <v>28</v>
      </c>
      <c r="AY705" s="48" t="s">
        <v>8728</v>
      </c>
      <c r="AZ705" s="48" t="s">
        <v>1563</v>
      </c>
      <c r="BA705" s="48">
        <v>32</v>
      </c>
      <c r="BB705" s="47" t="s">
        <v>2485</v>
      </c>
      <c r="BC705" s="47" t="s">
        <v>8726</v>
      </c>
      <c r="BD705" s="47" t="s">
        <v>8374</v>
      </c>
      <c r="BE705" s="48" t="s">
        <v>2449</v>
      </c>
      <c r="BF705" s="48" t="s">
        <v>272</v>
      </c>
      <c r="BG705" s="48" t="s">
        <v>272</v>
      </c>
      <c r="BH705" s="48" t="s">
        <v>2486</v>
      </c>
      <c r="BI705" s="98">
        <v>1.1535359999999999E-3</v>
      </c>
      <c r="BJ705" s="98">
        <v>11.535360000000001</v>
      </c>
      <c r="BK705" s="48"/>
      <c r="BL705" s="487">
        <v>6.6573467624205902</v>
      </c>
      <c r="BM705" s="47" t="s">
        <v>2487</v>
      </c>
      <c r="BN705" s="48"/>
      <c r="BO705" s="48"/>
      <c r="BP705" s="48"/>
      <c r="BQ705" s="48"/>
      <c r="BR705" s="47" t="e">
        <v>#VALUE!</v>
      </c>
      <c r="BS705" s="48"/>
      <c r="BT705" s="48"/>
      <c r="BU705" s="228"/>
      <c r="BV705" s="48"/>
      <c r="BW705" s="48"/>
      <c r="BX705" s="48"/>
      <c r="BY705" s="48"/>
      <c r="BZ705" s="48"/>
      <c r="CA705" s="48"/>
      <c r="CB705" s="48"/>
      <c r="CC705" s="48"/>
      <c r="CD705" s="48"/>
      <c r="CE705" s="48"/>
      <c r="CF705" s="48"/>
      <c r="CG705" s="48"/>
      <c r="CH705" s="48"/>
      <c r="CI705" s="98"/>
      <c r="CJ705" s="98"/>
      <c r="CK705" s="49">
        <f t="shared" si="152"/>
        <v>0.57712518399257495</v>
      </c>
      <c r="CL705" s="229"/>
      <c r="CM705" s="229"/>
      <c r="CN705" s="229"/>
      <c r="CO705" s="47" t="s">
        <v>2488</v>
      </c>
      <c r="CP705" s="500" t="s">
        <v>2489</v>
      </c>
      <c r="CQ705" s="224" t="s">
        <v>272</v>
      </c>
      <c r="CR705" s="224"/>
      <c r="CS705" s="230" t="s">
        <v>539</v>
      </c>
      <c r="CT705" s="230"/>
      <c r="CU705" s="230"/>
      <c r="CV705" s="335">
        <f t="shared" si="153"/>
        <v>66.653049812748833</v>
      </c>
      <c r="CW705" s="230">
        <f t="shared" si="151"/>
        <v>1</v>
      </c>
      <c r="CX705" s="336"/>
      <c r="CY705" s="230" t="s">
        <v>5921</v>
      </c>
    </row>
    <row r="706" spans="1:103" ht="11.25" customHeight="1" x14ac:dyDescent="0.2">
      <c r="A706" s="72">
        <v>1030</v>
      </c>
      <c r="B706" s="224">
        <v>1416</v>
      </c>
      <c r="C706" s="46" t="s">
        <v>7204</v>
      </c>
      <c r="D706" s="46"/>
      <c r="E706" s="114"/>
      <c r="F706" s="114" t="s">
        <v>4355</v>
      </c>
      <c r="G706" s="225">
        <v>121142</v>
      </c>
      <c r="H706" s="47" t="s">
        <v>4356</v>
      </c>
      <c r="I706" s="47" t="s">
        <v>4356</v>
      </c>
      <c r="J706" s="47" t="s">
        <v>4357</v>
      </c>
      <c r="K706" s="47" t="s">
        <v>1011</v>
      </c>
      <c r="L706" s="47"/>
      <c r="M706" s="47"/>
      <c r="N706" s="47"/>
      <c r="O706" s="47"/>
      <c r="P706" s="53"/>
      <c r="Q706" s="53" t="s">
        <v>6176</v>
      </c>
      <c r="R706" s="53" t="s">
        <v>6175</v>
      </c>
      <c r="S706" s="53" t="s">
        <v>6176</v>
      </c>
      <c r="T706" s="48">
        <v>182.13</v>
      </c>
      <c r="U706" s="98">
        <v>200</v>
      </c>
      <c r="V706" s="98">
        <v>446.2</v>
      </c>
      <c r="W706" s="98">
        <v>97.809601072914077</v>
      </c>
      <c r="X706" s="98">
        <v>200</v>
      </c>
      <c r="Y706" s="233">
        <v>7</v>
      </c>
      <c r="Z706" s="48">
        <v>2.1800000000000002</v>
      </c>
      <c r="AA706" s="48">
        <v>1.98</v>
      </c>
      <c r="AB706" s="48">
        <v>2.11</v>
      </c>
      <c r="AC706" s="48">
        <v>0.92930000000000001</v>
      </c>
      <c r="AD706" s="48">
        <v>2.1</v>
      </c>
      <c r="AE706" s="48">
        <v>2.08</v>
      </c>
      <c r="AF706" s="48">
        <f t="shared" si="154"/>
        <v>1.98</v>
      </c>
      <c r="AG706" s="49">
        <v>1.5</v>
      </c>
      <c r="AH706" s="98">
        <v>9.2599999999999995E-8</v>
      </c>
      <c r="AI706" s="98">
        <v>5.4E-8</v>
      </c>
      <c r="AJ706" s="483">
        <f t="shared" si="156"/>
        <v>-5.4219553396307179</v>
      </c>
      <c r="AK706" s="483">
        <f>LOG10(AI706*1000/(0.08206*298.15))</f>
        <v>-5.6561725664896834</v>
      </c>
      <c r="AL706" s="483">
        <f t="shared" si="155"/>
        <v>-5.6561725664896834</v>
      </c>
      <c r="AM706" s="483">
        <v>-7.3581599999999998</v>
      </c>
      <c r="AN706" s="226">
        <v>-4.99</v>
      </c>
      <c r="AO706" s="484"/>
      <c r="AP706" s="484"/>
      <c r="AQ706" s="48" t="s">
        <v>6311</v>
      </c>
      <c r="AR706" s="48" t="s">
        <v>6311</v>
      </c>
      <c r="AS706" s="227"/>
      <c r="AT706" s="50" t="s">
        <v>266</v>
      </c>
      <c r="AU706" s="48">
        <v>6</v>
      </c>
      <c r="AV706" s="48">
        <v>120</v>
      </c>
      <c r="AW706" s="48">
        <v>114</v>
      </c>
      <c r="AX706" s="48">
        <v>28</v>
      </c>
      <c r="AY706" s="48" t="s">
        <v>8728</v>
      </c>
      <c r="AZ706" s="48" t="s">
        <v>1563</v>
      </c>
      <c r="BA706" s="48">
        <v>32</v>
      </c>
      <c r="BB706" s="47" t="s">
        <v>2485</v>
      </c>
      <c r="BC706" s="47" t="s">
        <v>8726</v>
      </c>
      <c r="BD706" s="47" t="s">
        <v>8374</v>
      </c>
      <c r="BE706" s="48" t="s">
        <v>2449</v>
      </c>
      <c r="BF706" s="48" t="s">
        <v>272</v>
      </c>
      <c r="BG706" s="48" t="s">
        <v>272</v>
      </c>
      <c r="BH706" s="48" t="s">
        <v>2486</v>
      </c>
      <c r="BI706" s="98">
        <v>1.165632E-3</v>
      </c>
      <c r="BJ706" s="98">
        <v>11.656319999999999</v>
      </c>
      <c r="BK706" s="48"/>
      <c r="BL706" s="487">
        <v>103.11538973929669</v>
      </c>
      <c r="BM706" s="47" t="s">
        <v>2487</v>
      </c>
      <c r="BN706" s="48"/>
      <c r="BO706" s="48"/>
      <c r="BP706" s="48"/>
      <c r="BQ706" s="48"/>
      <c r="BR706" s="47" t="e">
        <v>#VALUE!</v>
      </c>
      <c r="BS706" s="48"/>
      <c r="BT706" s="48"/>
      <c r="BU706" s="228"/>
      <c r="BV706" s="48"/>
      <c r="BW706" s="48"/>
      <c r="BX706" s="48"/>
      <c r="BY706" s="48"/>
      <c r="BZ706" s="48"/>
      <c r="CA706" s="48"/>
      <c r="CB706" s="48"/>
      <c r="CC706" s="48"/>
      <c r="CD706" s="48"/>
      <c r="CE706" s="48"/>
      <c r="CF706" s="48"/>
      <c r="CG706" s="48"/>
      <c r="CH706" s="48"/>
      <c r="CI706" s="98"/>
      <c r="CJ706" s="98"/>
      <c r="CK706" s="49">
        <f t="shared" si="152"/>
        <v>8.8463073885494481</v>
      </c>
      <c r="CL706" s="229"/>
      <c r="CM706" s="229"/>
      <c r="CN706" s="229"/>
      <c r="CO706" s="47" t="s">
        <v>2488</v>
      </c>
      <c r="CP706" s="500" t="s">
        <v>2489</v>
      </c>
      <c r="CQ706" s="224">
        <v>1.3909351071033791</v>
      </c>
      <c r="CR706" s="224">
        <f>10^(CJ706-CQ706)</f>
        <v>4.0650406504065026E-2</v>
      </c>
      <c r="CS706" s="230" t="s">
        <v>539</v>
      </c>
      <c r="CT706" s="230"/>
      <c r="CU706" s="230"/>
      <c r="CV706" s="335">
        <f t="shared" si="153"/>
        <v>17.158073903255918</v>
      </c>
      <c r="CW706" s="230">
        <f t="shared" si="151"/>
        <v>1</v>
      </c>
      <c r="CX706" s="336"/>
      <c r="CY706" s="230" t="s">
        <v>5921</v>
      </c>
    </row>
    <row r="707" spans="1:103" ht="11.25" customHeight="1" x14ac:dyDescent="0.2">
      <c r="A707" s="72">
        <v>1031</v>
      </c>
      <c r="B707" s="224">
        <v>1459</v>
      </c>
      <c r="C707" s="46" t="s">
        <v>7205</v>
      </c>
      <c r="D707" s="46"/>
      <c r="E707" s="114"/>
      <c r="F707" s="114" t="s">
        <v>4486</v>
      </c>
      <c r="G707" s="225">
        <v>121335</v>
      </c>
      <c r="H707" s="47" t="s">
        <v>4487</v>
      </c>
      <c r="I707" s="47" t="s">
        <v>4487</v>
      </c>
      <c r="J707" s="47" t="s">
        <v>4488</v>
      </c>
      <c r="K707" s="47" t="s">
        <v>4489</v>
      </c>
      <c r="L707" s="47"/>
      <c r="M707" s="47"/>
      <c r="N707" s="47"/>
      <c r="O707" s="47"/>
      <c r="P707" s="53" t="s">
        <v>6172</v>
      </c>
      <c r="Q707" s="53" t="s">
        <v>6173</v>
      </c>
      <c r="R707" s="53" t="s">
        <v>6185</v>
      </c>
      <c r="S707" s="53" t="s">
        <v>6176</v>
      </c>
      <c r="T707" s="48">
        <v>152.15</v>
      </c>
      <c r="U707" s="98">
        <v>11000</v>
      </c>
      <c r="V707" s="98">
        <v>6875</v>
      </c>
      <c r="W707" s="98">
        <v>4190.558972129018</v>
      </c>
      <c r="X707" s="98">
        <v>11000</v>
      </c>
      <c r="Y707" s="233">
        <v>4.67</v>
      </c>
      <c r="Z707" s="48">
        <v>1.05</v>
      </c>
      <c r="AA707" s="48">
        <v>1.21</v>
      </c>
      <c r="AB707" s="48">
        <v>1.32</v>
      </c>
      <c r="AC707" s="48">
        <v>0.87709999999999999</v>
      </c>
      <c r="AD707" s="48">
        <v>1.29</v>
      </c>
      <c r="AE707" s="48">
        <v>1.19</v>
      </c>
      <c r="AF707" s="48">
        <f t="shared" si="154"/>
        <v>1.21</v>
      </c>
      <c r="AG707" s="49">
        <v>1.23</v>
      </c>
      <c r="AH707" s="98">
        <v>8.2699999999999996E-11</v>
      </c>
      <c r="AI707" s="98">
        <v>2.1499999999999998E-9</v>
      </c>
      <c r="AJ707" s="483">
        <f t="shared" si="156"/>
        <v>-8.4710608167601045</v>
      </c>
      <c r="AK707" s="483">
        <f>LOG10(AI707*1000/(0.08206*298.15))</f>
        <v>-7.0561278663970466</v>
      </c>
      <c r="AL707" s="483">
        <f t="shared" si="155"/>
        <v>-7.0561278663970466</v>
      </c>
      <c r="AM707" s="483">
        <v>-10.196799999999998</v>
      </c>
      <c r="AN707" s="226">
        <v>-6.3</v>
      </c>
      <c r="AO707" s="484">
        <v>7.78</v>
      </c>
      <c r="AP707" s="484"/>
      <c r="AQ707" s="48" t="s">
        <v>6311</v>
      </c>
      <c r="AR707" s="48" t="s">
        <v>6311</v>
      </c>
      <c r="AS707" s="227"/>
      <c r="AT707" s="50" t="s">
        <v>266</v>
      </c>
      <c r="AU707" s="48">
        <v>6</v>
      </c>
      <c r="AV707" s="48">
        <v>120</v>
      </c>
      <c r="AW707" s="48">
        <v>114</v>
      </c>
      <c r="AX707" s="48">
        <v>28</v>
      </c>
      <c r="AY707" s="48" t="s">
        <v>8728</v>
      </c>
      <c r="AZ707" s="48" t="s">
        <v>1563</v>
      </c>
      <c r="BA707" s="48">
        <v>32</v>
      </c>
      <c r="BB707" s="47" t="s">
        <v>2485</v>
      </c>
      <c r="BC707" s="47" t="s">
        <v>8726</v>
      </c>
      <c r="BD707" s="47" t="s">
        <v>8374</v>
      </c>
      <c r="BE707" s="48" t="s">
        <v>2449</v>
      </c>
      <c r="BF707" s="48" t="s">
        <v>272</v>
      </c>
      <c r="BG707" s="48" t="s">
        <v>272</v>
      </c>
      <c r="BH707" s="48" t="s">
        <v>2486</v>
      </c>
      <c r="BI707" s="98">
        <v>9.7375999999999995E-4</v>
      </c>
      <c r="BJ707" s="98">
        <v>9.7376000000000005</v>
      </c>
      <c r="BK707" s="48"/>
      <c r="BL707" s="487">
        <v>891.38835599051993</v>
      </c>
      <c r="BM707" s="47" t="s">
        <v>2487</v>
      </c>
      <c r="BN707" s="48"/>
      <c r="BO707" s="48"/>
      <c r="BP707" s="48"/>
      <c r="BQ707" s="48"/>
      <c r="BR707" s="47" t="e">
        <v>#VALUE!</v>
      </c>
      <c r="BS707" s="48"/>
      <c r="BT707" s="48"/>
      <c r="BU707" s="228"/>
      <c r="BV707" s="48"/>
      <c r="BW707" s="48"/>
      <c r="BX707" s="48"/>
      <c r="BY707" s="48"/>
      <c r="BZ707" s="48"/>
      <c r="CA707" s="48"/>
      <c r="CB707" s="48"/>
      <c r="CC707" s="48"/>
      <c r="CD707" s="48"/>
      <c r="CE707" s="48"/>
      <c r="CF707" s="48"/>
      <c r="CG707" s="48"/>
      <c r="CH707" s="48"/>
      <c r="CI707" s="98"/>
      <c r="CJ707" s="98"/>
      <c r="CK707" s="49">
        <f t="shared" si="152"/>
        <v>91.540867974708334</v>
      </c>
      <c r="CL707" s="229"/>
      <c r="CM707" s="229"/>
      <c r="CN707" s="229"/>
      <c r="CO707" s="47" t="s">
        <v>2488</v>
      </c>
      <c r="CP707" s="500" t="s">
        <v>2489</v>
      </c>
      <c r="CQ707" s="224">
        <v>1.9523080096621253</v>
      </c>
      <c r="CR707" s="224">
        <f>10^(CJ707-CQ707)</f>
        <v>1.1160714285714279E-2</v>
      </c>
      <c r="CS707" s="230" t="s">
        <v>539</v>
      </c>
      <c r="CT707" s="230"/>
      <c r="CU707" s="230"/>
      <c r="CV707" s="335">
        <f t="shared" si="153"/>
        <v>1129.6418008544199</v>
      </c>
      <c r="CW707" s="230">
        <f t="shared" si="151"/>
        <v>1</v>
      </c>
      <c r="CX707" s="336"/>
      <c r="CY707" s="230" t="s">
        <v>6351</v>
      </c>
    </row>
    <row r="708" spans="1:103" ht="11.25" customHeight="1" x14ac:dyDescent="0.2">
      <c r="A708" s="72">
        <v>1032</v>
      </c>
      <c r="B708" s="224">
        <v>1210</v>
      </c>
      <c r="C708" s="46" t="s">
        <v>7206</v>
      </c>
      <c r="D708" s="46"/>
      <c r="E708" s="114"/>
      <c r="F708" s="114" t="s">
        <v>1679</v>
      </c>
      <c r="G708" s="225">
        <v>121697</v>
      </c>
      <c r="H708" s="47" t="s">
        <v>1680</v>
      </c>
      <c r="I708" s="47" t="s">
        <v>1680</v>
      </c>
      <c r="J708" s="47" t="s">
        <v>1681</v>
      </c>
      <c r="K708" s="47" t="s">
        <v>426</v>
      </c>
      <c r="L708" s="47" t="s">
        <v>5527</v>
      </c>
      <c r="M708" s="47" t="s">
        <v>6082</v>
      </c>
      <c r="N708" s="47" t="s">
        <v>6082</v>
      </c>
      <c r="O708" s="47" t="s">
        <v>6083</v>
      </c>
      <c r="P708" s="53"/>
      <c r="Q708" s="53" t="s">
        <v>6173</v>
      </c>
      <c r="R708" s="53" t="s">
        <v>6185</v>
      </c>
      <c r="S708" s="53" t="s">
        <v>6176</v>
      </c>
      <c r="T708" s="48">
        <v>121.18</v>
      </c>
      <c r="U708" s="98">
        <v>1450</v>
      </c>
      <c r="V708" s="98">
        <v>1058</v>
      </c>
      <c r="W708" s="98">
        <v>1031.4090746936404</v>
      </c>
      <c r="X708" s="98">
        <v>1450</v>
      </c>
      <c r="Y708" s="233">
        <v>8.52</v>
      </c>
      <c r="Z708" s="48">
        <v>2.17</v>
      </c>
      <c r="AA708" s="48">
        <v>2.31</v>
      </c>
      <c r="AB708" s="48">
        <v>2.37</v>
      </c>
      <c r="AC708" s="48">
        <v>0.7359</v>
      </c>
      <c r="AD708" s="48">
        <v>2.2799999999999998</v>
      </c>
      <c r="AE708" s="48">
        <v>2.12</v>
      </c>
      <c r="AF708" s="48">
        <f t="shared" si="154"/>
        <v>2.31</v>
      </c>
      <c r="AG708" s="49">
        <v>2.13</v>
      </c>
      <c r="AH708" s="98">
        <v>8.5699999999999996E-5</v>
      </c>
      <c r="AI708" s="98">
        <v>5.6799999999999998E-5</v>
      </c>
      <c r="AJ708" s="483">
        <f t="shared" si="156"/>
        <v>-2.4555855043894534</v>
      </c>
      <c r="AK708" s="483">
        <f>LOG10(AI708*1000/(0.08206*298.15))</f>
        <v>-2.6342179906016328</v>
      </c>
      <c r="AL708" s="483">
        <f t="shared" si="155"/>
        <v>-2.6342179906016328</v>
      </c>
      <c r="AM708" s="483">
        <v>-3.7972600000000005</v>
      </c>
      <c r="AN708" s="226">
        <v>-2.67</v>
      </c>
      <c r="AO708" s="484"/>
      <c r="AP708" s="484">
        <v>5.0999999999999996</v>
      </c>
      <c r="AQ708" s="48" t="s">
        <v>6311</v>
      </c>
      <c r="AR708" s="48" t="s">
        <v>6311</v>
      </c>
      <c r="AS708" s="227"/>
      <c r="AT708" s="50" t="s">
        <v>266</v>
      </c>
      <c r="AU708" s="48">
        <v>6</v>
      </c>
      <c r="AV708" s="48">
        <v>120</v>
      </c>
      <c r="AW708" s="48">
        <v>114</v>
      </c>
      <c r="AX708" s="48">
        <v>28</v>
      </c>
      <c r="AY708" s="48" t="s">
        <v>8728</v>
      </c>
      <c r="AZ708" s="48" t="s">
        <v>1563</v>
      </c>
      <c r="BA708" s="48">
        <v>32</v>
      </c>
      <c r="BB708" s="47" t="s">
        <v>2485</v>
      </c>
      <c r="BC708" s="47" t="s">
        <v>8726</v>
      </c>
      <c r="BD708" s="47" t="s">
        <v>8374</v>
      </c>
      <c r="BE708" s="48" t="s">
        <v>2449</v>
      </c>
      <c r="BF708" s="48" t="s">
        <v>272</v>
      </c>
      <c r="BG708" s="48" t="s">
        <v>272</v>
      </c>
      <c r="BH708" s="48" t="s">
        <v>2486</v>
      </c>
      <c r="BI708" s="98">
        <v>7.7555199999999999E-4</v>
      </c>
      <c r="BJ708" s="98">
        <v>7.7555200000000006</v>
      </c>
      <c r="BK708" s="48"/>
      <c r="BL708" s="487">
        <v>70.041259674735528</v>
      </c>
      <c r="BM708" s="47" t="s">
        <v>2487</v>
      </c>
      <c r="BN708" s="48"/>
      <c r="BO708" s="48"/>
      <c r="BP708" s="48"/>
      <c r="BQ708" s="48"/>
      <c r="BR708" s="47" t="e">
        <v>#VALUE!</v>
      </c>
      <c r="BS708" s="48"/>
      <c r="BT708" s="48"/>
      <c r="BU708" s="228">
        <v>8.0221159999999993E-3</v>
      </c>
      <c r="BV708" s="48"/>
      <c r="BW708" s="48"/>
      <c r="BX708" s="48"/>
      <c r="BY708" s="48"/>
      <c r="BZ708" s="48"/>
      <c r="CA708" s="48"/>
      <c r="CB708" s="48"/>
      <c r="CC708" s="48"/>
      <c r="CD708" s="48"/>
      <c r="CE708" s="48"/>
      <c r="CF708" s="48"/>
      <c r="CG708" s="48"/>
      <c r="CH708" s="48"/>
      <c r="CI708" s="98"/>
      <c r="CJ708" s="98"/>
      <c r="CK708" s="49">
        <f t="shared" si="152"/>
        <v>9.0311493845332773</v>
      </c>
      <c r="CL708" s="229"/>
      <c r="CM708" s="229">
        <v>1.8111693312893598</v>
      </c>
      <c r="CN708" s="229">
        <f>BJ708/(10^CM708)</f>
        <v>0.11979579965565541</v>
      </c>
      <c r="CO708" s="47" t="s">
        <v>2488</v>
      </c>
      <c r="CP708" s="500" t="s">
        <v>2489</v>
      </c>
      <c r="CQ708" s="224">
        <v>1.3014170441222239</v>
      </c>
      <c r="CR708" s="224">
        <f>10^(CJ708-CQ708)</f>
        <v>4.9955459250062909E-2</v>
      </c>
      <c r="CS708" s="230" t="s">
        <v>539</v>
      </c>
      <c r="CT708" s="230"/>
      <c r="CU708" s="230"/>
      <c r="CV708" s="335">
        <f t="shared" si="153"/>
        <v>186.96360785608184</v>
      </c>
      <c r="CW708" s="230">
        <f t="shared" si="151"/>
        <v>1</v>
      </c>
      <c r="CX708" s="336"/>
      <c r="CY708" s="230" t="s">
        <v>6351</v>
      </c>
    </row>
    <row r="709" spans="1:103" ht="11.25" customHeight="1" x14ac:dyDescent="0.2">
      <c r="A709" s="72">
        <v>1033</v>
      </c>
      <c r="B709" s="224">
        <v>1176</v>
      </c>
      <c r="C709" s="46" t="s">
        <v>620</v>
      </c>
      <c r="D709" s="46"/>
      <c r="E709" s="114"/>
      <c r="F709" s="114" t="s">
        <v>621</v>
      </c>
      <c r="G709" s="225">
        <v>121755</v>
      </c>
      <c r="H709" s="47" t="s">
        <v>622</v>
      </c>
      <c r="I709" s="47" t="s">
        <v>622</v>
      </c>
      <c r="J709" s="47" t="s">
        <v>623</v>
      </c>
      <c r="K709" s="47" t="s">
        <v>624</v>
      </c>
      <c r="L709" s="47" t="s">
        <v>6131</v>
      </c>
      <c r="M709" s="47" t="s">
        <v>946</v>
      </c>
      <c r="N709" s="47" t="s">
        <v>6376</v>
      </c>
      <c r="O709" s="47" t="s">
        <v>281</v>
      </c>
      <c r="P709" s="53" t="s">
        <v>6178</v>
      </c>
      <c r="Q709" s="53" t="s">
        <v>6176</v>
      </c>
      <c r="R709" s="53" t="s">
        <v>6177</v>
      </c>
      <c r="S709" s="53" t="s">
        <v>6176</v>
      </c>
      <c r="T709" s="48">
        <v>330.36</v>
      </c>
      <c r="U709" s="98">
        <v>143</v>
      </c>
      <c r="V709" s="98">
        <v>78.45</v>
      </c>
      <c r="W709" s="98">
        <v>185.77508018988354</v>
      </c>
      <c r="X709" s="98">
        <v>143</v>
      </c>
      <c r="Y709" s="233">
        <v>7</v>
      </c>
      <c r="Z709" s="48">
        <v>2.29</v>
      </c>
      <c r="AA709" s="48">
        <v>2.36</v>
      </c>
      <c r="AB709" s="48">
        <v>2.69</v>
      </c>
      <c r="AC709" s="48">
        <v>0.8125</v>
      </c>
      <c r="AD709" s="48">
        <v>2.76</v>
      </c>
      <c r="AE709" s="48">
        <v>2.93</v>
      </c>
      <c r="AF709" s="48">
        <f t="shared" si="154"/>
        <v>2.36</v>
      </c>
      <c r="AG709" s="49">
        <v>2.3199999999999998</v>
      </c>
      <c r="AH709" s="98">
        <v>8.39E-10</v>
      </c>
      <c r="AI709" s="98">
        <v>4.8900000000000003E-9</v>
      </c>
      <c r="AJ709" s="483">
        <f t="shared" si="156"/>
        <v>-7.4648043654839515</v>
      </c>
      <c r="AK709" s="483">
        <f>LOG10(AI709*1000/(0.08206*298.15))</f>
        <v>-6.6992574671890317</v>
      </c>
      <c r="AL709" s="483">
        <f t="shared" si="155"/>
        <v>-6.6992574671890317</v>
      </c>
      <c r="AM709" s="483">
        <v>-12.449109999999999</v>
      </c>
      <c r="AN709" s="226">
        <v>-5.94</v>
      </c>
      <c r="AO709" s="484"/>
      <c r="AP709" s="484"/>
      <c r="AQ709" s="48" t="s">
        <v>6312</v>
      </c>
      <c r="AR709" s="48" t="s">
        <v>6312</v>
      </c>
      <c r="AS709" s="227"/>
      <c r="AT709" s="50" t="s">
        <v>266</v>
      </c>
      <c r="AU709" s="48">
        <v>6</v>
      </c>
      <c r="AV709" s="48">
        <v>120</v>
      </c>
      <c r="AW709" s="48">
        <v>114</v>
      </c>
      <c r="AX709" s="48">
        <v>28</v>
      </c>
      <c r="AY709" s="48" t="s">
        <v>8728</v>
      </c>
      <c r="AZ709" s="48" t="s">
        <v>1563</v>
      </c>
      <c r="BA709" s="48">
        <v>32</v>
      </c>
      <c r="BB709" s="47" t="s">
        <v>2485</v>
      </c>
      <c r="BC709" s="47" t="s">
        <v>8726</v>
      </c>
      <c r="BD709" s="47" t="s">
        <v>8374</v>
      </c>
      <c r="BE709" s="48" t="s">
        <v>2449</v>
      </c>
      <c r="BF709" s="48" t="s">
        <v>272</v>
      </c>
      <c r="BG709" s="48" t="s">
        <v>272</v>
      </c>
      <c r="BH709" s="48" t="s">
        <v>2486</v>
      </c>
      <c r="BI709" s="98">
        <v>2.114304E-3</v>
      </c>
      <c r="BJ709" s="98">
        <v>21.143040000000003</v>
      </c>
      <c r="BK709" s="48"/>
      <c r="BL709" s="487">
        <v>148.98359766722712</v>
      </c>
      <c r="BM709" s="47" t="s">
        <v>2487</v>
      </c>
      <c r="BN709" s="48"/>
      <c r="BO709" s="48"/>
      <c r="BP709" s="48"/>
      <c r="BQ709" s="48"/>
      <c r="BR709" s="47" t="e">
        <v>#VALUE!</v>
      </c>
      <c r="BS709" s="48"/>
      <c r="BT709" s="48"/>
      <c r="BU709" s="228">
        <v>21.143040000000003</v>
      </c>
      <c r="BV709" s="48"/>
      <c r="BW709" s="48"/>
      <c r="BX709" s="48"/>
      <c r="BY709" s="48"/>
      <c r="BZ709" s="48"/>
      <c r="CA709" s="48"/>
      <c r="CB709" s="48"/>
      <c r="CC709" s="48"/>
      <c r="CD709" s="48"/>
      <c r="CE709" s="48"/>
      <c r="CF709" s="48"/>
      <c r="CG709" s="48"/>
      <c r="CH709" s="48"/>
      <c r="CI709" s="98"/>
      <c r="CJ709" s="98"/>
      <c r="CK709" s="49">
        <f t="shared" si="152"/>
        <v>7.0464605689260909</v>
      </c>
      <c r="CL709" s="229"/>
      <c r="CM709" s="229">
        <v>-1.0170155211093046</v>
      </c>
      <c r="CN709" s="229">
        <f>BJ709/(10^CM709)</f>
        <v>219.87859465850025</v>
      </c>
      <c r="CO709" s="47" t="s">
        <v>2488</v>
      </c>
      <c r="CP709" s="500" t="s">
        <v>2489</v>
      </c>
      <c r="CQ709" s="224">
        <v>-0.606977785182086</v>
      </c>
      <c r="CR709" s="224">
        <f>10^(CJ709-CQ709)</f>
        <v>4.0455519755952309</v>
      </c>
      <c r="CS709" s="230" t="s">
        <v>539</v>
      </c>
      <c r="CT709" s="230"/>
      <c r="CU709" s="230"/>
      <c r="CV709" s="335">
        <f t="shared" si="153"/>
        <v>6.7634550187674041</v>
      </c>
      <c r="CW709" s="230">
        <f t="shared" si="151"/>
        <v>1</v>
      </c>
      <c r="CX709" s="336"/>
      <c r="CY709" s="230" t="s">
        <v>5921</v>
      </c>
    </row>
    <row r="710" spans="1:103" ht="11.25" customHeight="1" x14ac:dyDescent="0.2">
      <c r="A710" s="72">
        <v>1034</v>
      </c>
      <c r="B710" s="224">
        <v>1839</v>
      </c>
      <c r="C710" s="46" t="s">
        <v>7207</v>
      </c>
      <c r="D710" s="46"/>
      <c r="E710" s="114"/>
      <c r="F710" s="114" t="s">
        <v>5249</v>
      </c>
      <c r="G710" s="225">
        <v>121799</v>
      </c>
      <c r="H710" s="47" t="s">
        <v>5250</v>
      </c>
      <c r="I710" s="47" t="s">
        <v>5250</v>
      </c>
      <c r="J710" s="47" t="s">
        <v>5251</v>
      </c>
      <c r="K710" s="47" t="s">
        <v>3383</v>
      </c>
      <c r="L710" s="47"/>
      <c r="M710" s="47"/>
      <c r="N710" s="47"/>
      <c r="O710" s="47"/>
      <c r="P710" s="53"/>
      <c r="Q710" s="53"/>
      <c r="R710" s="53"/>
      <c r="S710" s="53"/>
      <c r="T710" s="48">
        <v>212.2</v>
      </c>
      <c r="U710" s="98">
        <v>3500</v>
      </c>
      <c r="V710" s="98">
        <v>4176</v>
      </c>
      <c r="W710" s="98">
        <v>4043.3876435180082</v>
      </c>
      <c r="X710" s="98">
        <v>3500</v>
      </c>
      <c r="Y710" s="233">
        <v>4.7699999999999996</v>
      </c>
      <c r="Z710" s="48">
        <v>1.79</v>
      </c>
      <c r="AA710" s="48">
        <v>1.8</v>
      </c>
      <c r="AB710" s="48">
        <v>1.86</v>
      </c>
      <c r="AC710" s="48">
        <v>0.84560000000000002</v>
      </c>
      <c r="AD710" s="48">
        <v>2.06</v>
      </c>
      <c r="AE710" s="48">
        <v>2.6</v>
      </c>
      <c r="AF710" s="48">
        <f t="shared" si="154"/>
        <v>1.8</v>
      </c>
      <c r="AG710" s="49">
        <v>1.46</v>
      </c>
      <c r="AH710" s="98">
        <v>6.8899999999999995E-17</v>
      </c>
      <c r="AI710" s="98"/>
      <c r="AJ710" s="483">
        <f t="shared" si="156"/>
        <v>-14.550347104405025</v>
      </c>
      <c r="AK710" s="483"/>
      <c r="AL710" s="483">
        <f t="shared" si="155"/>
        <v>-14.550347104405025</v>
      </c>
      <c r="AM710" s="483">
        <v>-16.187249999999999</v>
      </c>
      <c r="AN710" s="226">
        <v>-10.9</v>
      </c>
      <c r="AO710" s="484">
        <v>7.94</v>
      </c>
      <c r="AP710" s="484"/>
      <c r="AQ710" s="226" t="s">
        <v>6311</v>
      </c>
      <c r="AR710" s="226" t="s">
        <v>6312</v>
      </c>
      <c r="AS710" s="224"/>
      <c r="AT710" s="50" t="s">
        <v>266</v>
      </c>
      <c r="AU710" s="48">
        <v>6</v>
      </c>
      <c r="AV710" s="48">
        <v>120</v>
      </c>
      <c r="AW710" s="48">
        <v>114</v>
      </c>
      <c r="AX710" s="48">
        <v>28</v>
      </c>
      <c r="AY710" s="48" t="s">
        <v>8728</v>
      </c>
      <c r="AZ710" s="48" t="s">
        <v>1563</v>
      </c>
      <c r="BA710" s="48">
        <v>32</v>
      </c>
      <c r="BB710" s="47" t="s">
        <v>2485</v>
      </c>
      <c r="BC710" s="47" t="s">
        <v>8726</v>
      </c>
      <c r="BD710" s="47" t="s">
        <v>8374</v>
      </c>
      <c r="BE710" s="48" t="s">
        <v>2449</v>
      </c>
      <c r="BF710" s="48" t="s">
        <v>272</v>
      </c>
      <c r="BG710" s="48" t="s">
        <v>272</v>
      </c>
      <c r="BH710" s="48" t="s">
        <v>2486</v>
      </c>
      <c r="BI710" s="98">
        <v>1.3580799999999998E-3</v>
      </c>
      <c r="BJ710" s="98">
        <v>13.5808</v>
      </c>
      <c r="BK710" s="48"/>
      <c r="BL710" s="487">
        <v>269.12025124446131</v>
      </c>
      <c r="BM710" s="47" t="s">
        <v>2487</v>
      </c>
      <c r="BN710" s="48"/>
      <c r="BO710" s="48"/>
      <c r="BP710" s="48"/>
      <c r="BQ710" s="48"/>
      <c r="BR710" s="47" t="e">
        <v>#VALUE!</v>
      </c>
      <c r="BS710" s="48"/>
      <c r="BT710" s="48"/>
      <c r="BU710" s="228"/>
      <c r="BV710" s="48"/>
      <c r="BW710" s="48"/>
      <c r="BX710" s="48"/>
      <c r="BY710" s="48"/>
      <c r="BZ710" s="48"/>
      <c r="CA710" s="48"/>
      <c r="CB710" s="48"/>
      <c r="CC710" s="48"/>
      <c r="CD710" s="48"/>
      <c r="CE710" s="48"/>
      <c r="CF710" s="48"/>
      <c r="CG710" s="48"/>
      <c r="CH710" s="48"/>
      <c r="CI710" s="98"/>
      <c r="CJ710" s="98"/>
      <c r="CK710" s="49">
        <f t="shared" si="152"/>
        <v>19.816229621558474</v>
      </c>
      <c r="CL710" s="229"/>
      <c r="CM710" s="229"/>
      <c r="CN710" s="229"/>
      <c r="CO710" s="47" t="s">
        <v>2488</v>
      </c>
      <c r="CP710" s="500" t="s">
        <v>2489</v>
      </c>
      <c r="CQ710" s="224" t="s">
        <v>272</v>
      </c>
      <c r="CR710" s="224"/>
      <c r="CS710" s="230" t="s">
        <v>539</v>
      </c>
      <c r="CT710" s="230"/>
      <c r="CU710" s="230"/>
      <c r="CV710" s="335">
        <f t="shared" si="153"/>
        <v>257.71677662582471</v>
      </c>
      <c r="CW710" s="230">
        <f t="shared" si="151"/>
        <v>1</v>
      </c>
      <c r="CX710" s="336"/>
      <c r="CY710" s="230" t="s">
        <v>5921</v>
      </c>
    </row>
    <row r="711" spans="1:103" ht="11.25" customHeight="1" x14ac:dyDescent="0.2">
      <c r="A711" s="72">
        <v>1035</v>
      </c>
      <c r="B711" s="224">
        <v>1370</v>
      </c>
      <c r="C711" s="46" t="s">
        <v>7208</v>
      </c>
      <c r="D711" s="46"/>
      <c r="E711" s="114"/>
      <c r="F711" s="114" t="s">
        <v>4229</v>
      </c>
      <c r="G711" s="225">
        <v>121915</v>
      </c>
      <c r="H711" s="47" t="s">
        <v>4230</v>
      </c>
      <c r="I711" s="47" t="s">
        <v>4230</v>
      </c>
      <c r="J711" s="47" t="s">
        <v>4231</v>
      </c>
      <c r="K711" s="47" t="s">
        <v>426</v>
      </c>
      <c r="L711" s="47"/>
      <c r="M711" s="47"/>
      <c r="N711" s="47"/>
      <c r="O711" s="47"/>
      <c r="P711" s="53"/>
      <c r="Q711" s="53"/>
      <c r="R711" s="53"/>
      <c r="S711" s="53"/>
      <c r="T711" s="48">
        <v>166.13</v>
      </c>
      <c r="U711" s="98">
        <v>130</v>
      </c>
      <c r="V711" s="98">
        <v>2451</v>
      </c>
      <c r="W711" s="98">
        <v>4575.6001448556926</v>
      </c>
      <c r="X711" s="98">
        <v>130</v>
      </c>
      <c r="Y711" s="233">
        <v>2.57</v>
      </c>
      <c r="Z711" s="48">
        <v>1.76</v>
      </c>
      <c r="AA711" s="48">
        <v>1.66</v>
      </c>
      <c r="AB711" s="48">
        <v>1.56</v>
      </c>
      <c r="AC711" s="48">
        <v>0.78700000000000003</v>
      </c>
      <c r="AD711" s="48">
        <v>1.59</v>
      </c>
      <c r="AE711" s="48">
        <v>1.66</v>
      </c>
      <c r="AF711" s="48">
        <f t="shared" si="154"/>
        <v>1.66</v>
      </c>
      <c r="AG711" s="49">
        <v>1.0900000000000001</v>
      </c>
      <c r="AH711" s="98">
        <v>2.18E-12</v>
      </c>
      <c r="AI711" s="98"/>
      <c r="AJ711" s="483">
        <f t="shared" si="156"/>
        <v>-10.050109832708047</v>
      </c>
      <c r="AK711" s="483"/>
      <c r="AL711" s="483">
        <f t="shared" si="155"/>
        <v>-10.050109832708047</v>
      </c>
      <c r="AM711" s="483">
        <v>-12.965229999999998</v>
      </c>
      <c r="AN711" s="226">
        <v>-10.6</v>
      </c>
      <c r="AO711" s="484">
        <v>3.53</v>
      </c>
      <c r="AP711" s="484"/>
      <c r="AQ711" s="48" t="s">
        <v>6311</v>
      </c>
      <c r="AR711" s="48" t="s">
        <v>6311</v>
      </c>
      <c r="AS711" s="227"/>
      <c r="AT711" s="50" t="s">
        <v>266</v>
      </c>
      <c r="AU711" s="48">
        <v>6</v>
      </c>
      <c r="AV711" s="48">
        <v>120</v>
      </c>
      <c r="AW711" s="48">
        <v>114</v>
      </c>
      <c r="AX711" s="48">
        <v>28</v>
      </c>
      <c r="AY711" s="48" t="s">
        <v>8728</v>
      </c>
      <c r="AZ711" s="48" t="s">
        <v>1563</v>
      </c>
      <c r="BA711" s="48">
        <v>32</v>
      </c>
      <c r="BB711" s="47" t="s">
        <v>2485</v>
      </c>
      <c r="BC711" s="47" t="s">
        <v>8726</v>
      </c>
      <c r="BD711" s="47" t="s">
        <v>8374</v>
      </c>
      <c r="BE711" s="48" t="s">
        <v>2449</v>
      </c>
      <c r="BF711" s="48" t="s">
        <v>272</v>
      </c>
      <c r="BG711" s="48" t="s">
        <v>272</v>
      </c>
      <c r="BH711" s="48" t="s">
        <v>2486</v>
      </c>
      <c r="BI711" s="98">
        <v>1.0632319999999999E-3</v>
      </c>
      <c r="BJ711" s="98">
        <v>10.63232</v>
      </c>
      <c r="BK711" s="48"/>
      <c r="BL711" s="487">
        <v>224.17752240952206</v>
      </c>
      <c r="BM711" s="47" t="s">
        <v>2487</v>
      </c>
      <c r="BN711" s="48"/>
      <c r="BO711" s="48"/>
      <c r="BP711" s="48"/>
      <c r="BQ711" s="48"/>
      <c r="BR711" s="47" t="e">
        <v>#VALUE!</v>
      </c>
      <c r="BS711" s="48"/>
      <c r="BT711" s="48"/>
      <c r="BU711" s="228"/>
      <c r="BV711" s="48"/>
      <c r="BW711" s="48"/>
      <c r="BX711" s="48"/>
      <c r="BY711" s="48"/>
      <c r="BZ711" s="48"/>
      <c r="CA711" s="48"/>
      <c r="CB711" s="48"/>
      <c r="CC711" s="48"/>
      <c r="CD711" s="48"/>
      <c r="CE711" s="48"/>
      <c r="CF711" s="48"/>
      <c r="CG711" s="48"/>
      <c r="CH711" s="48"/>
      <c r="CI711" s="98"/>
      <c r="CJ711" s="98"/>
      <c r="CK711" s="49">
        <f t="shared" si="152"/>
        <v>21.084534928362018</v>
      </c>
      <c r="CL711" s="229"/>
      <c r="CM711" s="229"/>
      <c r="CN711" s="229"/>
      <c r="CO711" s="47" t="s">
        <v>2488</v>
      </c>
      <c r="CP711" s="500" t="s">
        <v>2489</v>
      </c>
      <c r="CQ711" s="224" t="s">
        <v>272</v>
      </c>
      <c r="CR711" s="224"/>
      <c r="CS711" s="230" t="s">
        <v>539</v>
      </c>
      <c r="CT711" s="230"/>
      <c r="CU711" s="230"/>
      <c r="CV711" s="335">
        <f t="shared" si="153"/>
        <v>12.226870523084331</v>
      </c>
      <c r="CW711" s="230">
        <f t="shared" si="151"/>
        <v>1</v>
      </c>
      <c r="CX711" s="336"/>
      <c r="CY711" s="230" t="s">
        <v>6351</v>
      </c>
    </row>
    <row r="712" spans="1:103" ht="11.25" customHeight="1" x14ac:dyDescent="0.2">
      <c r="A712" s="72">
        <v>1036</v>
      </c>
      <c r="B712" s="224">
        <v>1662</v>
      </c>
      <c r="C712" s="46" t="s">
        <v>1168</v>
      </c>
      <c r="D712" s="46"/>
      <c r="E712" s="114"/>
      <c r="F712" s="114" t="s">
        <v>1169</v>
      </c>
      <c r="G712" s="225">
        <v>122145</v>
      </c>
      <c r="H712" s="47" t="s">
        <v>1170</v>
      </c>
      <c r="I712" s="47" t="s">
        <v>8040</v>
      </c>
      <c r="J712" s="47" t="s">
        <v>1171</v>
      </c>
      <c r="K712" s="47" t="s">
        <v>628</v>
      </c>
      <c r="L712" s="47" t="s">
        <v>617</v>
      </c>
      <c r="M712" s="47" t="s">
        <v>946</v>
      </c>
      <c r="N712" s="47" t="s">
        <v>6376</v>
      </c>
      <c r="O712" s="47" t="s">
        <v>918</v>
      </c>
      <c r="P712" s="53" t="s">
        <v>6178</v>
      </c>
      <c r="Q712" s="53" t="s">
        <v>6176</v>
      </c>
      <c r="R712" s="53" t="s">
        <v>6177</v>
      </c>
      <c r="S712" s="53" t="s">
        <v>6179</v>
      </c>
      <c r="T712" s="48">
        <v>277.24</v>
      </c>
      <c r="U712" s="98">
        <v>38</v>
      </c>
      <c r="V712" s="98">
        <v>10.29</v>
      </c>
      <c r="W712" s="98">
        <v>17.492661418368865</v>
      </c>
      <c r="X712" s="98">
        <v>38</v>
      </c>
      <c r="Y712" s="233">
        <v>7</v>
      </c>
      <c r="Z712" s="48">
        <v>3.3</v>
      </c>
      <c r="AA712" s="48">
        <v>3.3</v>
      </c>
      <c r="AB712" s="48">
        <v>3.43</v>
      </c>
      <c r="AC712" s="48">
        <v>0.88670000000000004</v>
      </c>
      <c r="AD712" s="48">
        <v>3.39</v>
      </c>
      <c r="AE712" s="48">
        <v>3.24</v>
      </c>
      <c r="AF712" s="48">
        <f t="shared" si="154"/>
        <v>3.3</v>
      </c>
      <c r="AG712" s="49">
        <v>2.74</v>
      </c>
      <c r="AH712" s="98">
        <v>1.86E-7</v>
      </c>
      <c r="AI712" s="98">
        <v>9.2999999999999999E-7</v>
      </c>
      <c r="AJ712" s="483">
        <f t="shared" si="156"/>
        <v>-5.1190533820947355</v>
      </c>
      <c r="AK712" s="483">
        <f>LOG10(AI712*1000/(0.08206*298.15))</f>
        <v>-4.4200833777587167</v>
      </c>
      <c r="AL712" s="483">
        <f t="shared" si="155"/>
        <v>-4.4200833777587167</v>
      </c>
      <c r="AM712" s="483">
        <v>-11.03668</v>
      </c>
      <c r="AN712" s="226">
        <v>-4.55</v>
      </c>
      <c r="AO712" s="484"/>
      <c r="AP712" s="484"/>
      <c r="AQ712" s="226" t="s">
        <v>6314</v>
      </c>
      <c r="AR712" s="226" t="s">
        <v>6314</v>
      </c>
      <c r="AS712" s="224"/>
      <c r="AT712" s="50" t="s">
        <v>266</v>
      </c>
      <c r="AU712" s="48">
        <v>6</v>
      </c>
      <c r="AV712" s="48">
        <v>120</v>
      </c>
      <c r="AW712" s="48">
        <v>114</v>
      </c>
      <c r="AX712" s="48">
        <v>28</v>
      </c>
      <c r="AY712" s="48" t="s">
        <v>8728</v>
      </c>
      <c r="AZ712" s="48" t="s">
        <v>1563</v>
      </c>
      <c r="BA712" s="48">
        <v>32</v>
      </c>
      <c r="BB712" s="47" t="s">
        <v>2485</v>
      </c>
      <c r="BC712" s="47" t="s">
        <v>8726</v>
      </c>
      <c r="BD712" s="47" t="s">
        <v>8374</v>
      </c>
      <c r="BE712" s="48" t="s">
        <v>2449</v>
      </c>
      <c r="BF712" s="48" t="s">
        <v>272</v>
      </c>
      <c r="BG712" s="48" t="s">
        <v>272</v>
      </c>
      <c r="BH712" s="48" t="s">
        <v>2486</v>
      </c>
      <c r="BI712" s="98">
        <v>1.7743360000000001E-3</v>
      </c>
      <c r="BJ712" s="98">
        <v>17.743360000000003</v>
      </c>
      <c r="BK712" s="48"/>
      <c r="BL712" s="487">
        <v>15.485523449224768</v>
      </c>
      <c r="BM712" s="47" t="s">
        <v>2487</v>
      </c>
      <c r="BN712" s="48"/>
      <c r="BO712" s="48"/>
      <c r="BP712" s="48"/>
      <c r="BQ712" s="48"/>
      <c r="BR712" s="47" t="e">
        <v>#VALUE!</v>
      </c>
      <c r="BS712" s="48"/>
      <c r="BT712" s="48"/>
      <c r="BU712" s="228"/>
      <c r="BV712" s="48"/>
      <c r="BW712" s="48"/>
      <c r="BX712" s="48"/>
      <c r="BY712" s="48"/>
      <c r="BZ712" s="48"/>
      <c r="CA712" s="48"/>
      <c r="CB712" s="48"/>
      <c r="CC712" s="48"/>
      <c r="CD712" s="48"/>
      <c r="CE712" s="48"/>
      <c r="CF712" s="48"/>
      <c r="CG712" s="48"/>
      <c r="CH712" s="48"/>
      <c r="CI712" s="98"/>
      <c r="CJ712" s="98"/>
      <c r="CK712" s="49">
        <f t="shared" si="152"/>
        <v>0.87275033867456708</v>
      </c>
      <c r="CL712" s="229"/>
      <c r="CM712" s="229">
        <v>0.3415349447235127</v>
      </c>
      <c r="CN712" s="229">
        <f>BJ712/(10^CM712)</f>
        <v>8.0816664006279613</v>
      </c>
      <c r="CO712" s="47" t="s">
        <v>2488</v>
      </c>
      <c r="CP712" s="500" t="s">
        <v>2489</v>
      </c>
      <c r="CQ712" s="224">
        <v>0.41272540560129078</v>
      </c>
      <c r="CR712" s="224">
        <f>10^(CJ712-CQ712)</f>
        <v>0.38661134524132373</v>
      </c>
      <c r="CS712" s="230" t="s">
        <v>539</v>
      </c>
      <c r="CT712" s="230"/>
      <c r="CU712" s="230"/>
      <c r="CV712" s="335">
        <f t="shared" si="153"/>
        <v>2.1416462270956567</v>
      </c>
      <c r="CW712" s="230">
        <f t="shared" si="151"/>
        <v>1</v>
      </c>
      <c r="CX712" s="336"/>
      <c r="CY712" s="230" t="s">
        <v>5921</v>
      </c>
    </row>
    <row r="713" spans="1:103" ht="11.25" customHeight="1" x14ac:dyDescent="0.2">
      <c r="A713" s="72">
        <v>1038</v>
      </c>
      <c r="B713" s="224">
        <v>1269</v>
      </c>
      <c r="C713" s="46" t="s">
        <v>7209</v>
      </c>
      <c r="D713" s="46" t="s">
        <v>8595</v>
      </c>
      <c r="E713" s="114"/>
      <c r="F713" s="114" t="s">
        <v>3483</v>
      </c>
      <c r="G713" s="225">
        <v>122349</v>
      </c>
      <c r="H713" s="47" t="s">
        <v>3484</v>
      </c>
      <c r="I713" s="47" t="s">
        <v>8041</v>
      </c>
      <c r="J713" s="47" t="s">
        <v>3485</v>
      </c>
      <c r="K713" s="47" t="s">
        <v>940</v>
      </c>
      <c r="L713" s="47" t="s">
        <v>5997</v>
      </c>
      <c r="M713" s="47" t="s">
        <v>6082</v>
      </c>
      <c r="N713" s="47" t="s">
        <v>6082</v>
      </c>
      <c r="O713" s="47" t="s">
        <v>6083</v>
      </c>
      <c r="P713" s="53"/>
      <c r="Q713" s="53"/>
      <c r="R713" s="53"/>
      <c r="S713" s="53"/>
      <c r="T713" s="48">
        <v>201.66</v>
      </c>
      <c r="U713" s="98">
        <v>6.2</v>
      </c>
      <c r="V713" s="98">
        <v>589.9</v>
      </c>
      <c r="W713" s="98">
        <v>142.76434687890523</v>
      </c>
      <c r="X713" s="98">
        <v>6.2</v>
      </c>
      <c r="Y713" s="233">
        <v>7.08</v>
      </c>
      <c r="Z713" s="48">
        <v>2.4</v>
      </c>
      <c r="AA713" s="48">
        <v>2.1800000000000002</v>
      </c>
      <c r="AB713" s="48">
        <v>2.2999999999999998</v>
      </c>
      <c r="AC713" s="48">
        <v>0.89880000000000004</v>
      </c>
      <c r="AD713" s="48">
        <v>2.29</v>
      </c>
      <c r="AE713" s="48">
        <v>2.2799999999999998</v>
      </c>
      <c r="AF713" s="48">
        <f t="shared" si="154"/>
        <v>2.1800000000000002</v>
      </c>
      <c r="AG713" s="49">
        <v>2.0299999999999998</v>
      </c>
      <c r="AH713" s="98">
        <v>3.3700000000000001E-9</v>
      </c>
      <c r="AI713" s="98">
        <v>9.4200000000000006E-10</v>
      </c>
      <c r="AJ713" s="483">
        <f t="shared" si="156"/>
        <v>-6.860936425441313</v>
      </c>
      <c r="AK713" s="483">
        <f>LOG10(AI713*1000/(0.08206*298.15))</f>
        <v>-7.4145154235197746</v>
      </c>
      <c r="AL713" s="483">
        <f t="shared" si="155"/>
        <v>-7.4145154235197746</v>
      </c>
      <c r="AM713" s="483">
        <v>-10.260070000000001</v>
      </c>
      <c r="AN713" s="226">
        <v>-8.4600000000000009</v>
      </c>
      <c r="AO713" s="484"/>
      <c r="AP713" s="484">
        <v>2.71</v>
      </c>
      <c r="AQ713" s="48" t="s">
        <v>6311</v>
      </c>
      <c r="AR713" s="48" t="s">
        <v>6311</v>
      </c>
      <c r="AS713" s="227"/>
      <c r="AT713" s="50" t="s">
        <v>266</v>
      </c>
      <c r="AU713" s="48">
        <v>6</v>
      </c>
      <c r="AV713" s="48">
        <v>120</v>
      </c>
      <c r="AW713" s="48">
        <v>114</v>
      </c>
      <c r="AX713" s="48">
        <v>28</v>
      </c>
      <c r="AY713" s="48" t="s">
        <v>8728</v>
      </c>
      <c r="AZ713" s="48" t="s">
        <v>1563</v>
      </c>
      <c r="BA713" s="48">
        <v>32</v>
      </c>
      <c r="BB713" s="47" t="s">
        <v>2485</v>
      </c>
      <c r="BC713" s="47" t="s">
        <v>8726</v>
      </c>
      <c r="BD713" s="47" t="s">
        <v>8374</v>
      </c>
      <c r="BE713" s="48" t="s">
        <v>2449</v>
      </c>
      <c r="BF713" s="48" t="s">
        <v>272</v>
      </c>
      <c r="BG713" s="48" t="s">
        <v>272</v>
      </c>
      <c r="BH713" s="48" t="s">
        <v>2486</v>
      </c>
      <c r="BI713" s="98">
        <v>1.290624E-3</v>
      </c>
      <c r="BJ713" s="98">
        <v>12.90624</v>
      </c>
      <c r="BK713" s="48"/>
      <c r="BL713" s="487">
        <v>72.440220377374516</v>
      </c>
      <c r="BM713" s="47" t="s">
        <v>2487</v>
      </c>
      <c r="BN713" s="48"/>
      <c r="BO713" s="48"/>
      <c r="BP713" s="48"/>
      <c r="BQ713" s="48"/>
      <c r="BR713" s="47" t="e">
        <v>#VALUE!</v>
      </c>
      <c r="BS713" s="48"/>
      <c r="BT713" s="48"/>
      <c r="BU713" s="228">
        <v>1.290624E-3</v>
      </c>
      <c r="BV713" s="48"/>
      <c r="BW713" s="48"/>
      <c r="BX713" s="48"/>
      <c r="BY713" s="48"/>
      <c r="BZ713" s="48"/>
      <c r="CA713" s="48"/>
      <c r="CB713" s="48"/>
      <c r="CC713" s="48"/>
      <c r="CD713" s="48"/>
      <c r="CE713" s="48"/>
      <c r="CF713" s="48"/>
      <c r="CG713" s="48"/>
      <c r="CH713" s="48"/>
      <c r="CI713" s="98"/>
      <c r="CJ713" s="98"/>
      <c r="CK713" s="49">
        <f t="shared" si="152"/>
        <v>5.6128059277817952</v>
      </c>
      <c r="CL713" s="229"/>
      <c r="CM713" s="229"/>
      <c r="CN713" s="229"/>
      <c r="CO713" s="47" t="s">
        <v>2488</v>
      </c>
      <c r="CP713" s="500" t="s">
        <v>2489</v>
      </c>
      <c r="CQ713" s="224">
        <v>1.7136240627626567</v>
      </c>
      <c r="CR713" s="224">
        <f>10^(CJ713-CQ713)</f>
        <v>1.9336414059113217E-2</v>
      </c>
      <c r="CS713" s="230" t="s">
        <v>539</v>
      </c>
      <c r="CT713" s="230"/>
      <c r="CU713" s="230"/>
      <c r="CV713" s="335">
        <f t="shared" si="153"/>
        <v>0.48038778141426164</v>
      </c>
      <c r="CW713" s="230">
        <f t="shared" si="151"/>
        <v>0</v>
      </c>
      <c r="CX713" s="336"/>
      <c r="CY713" s="230" t="s">
        <v>5921</v>
      </c>
    </row>
    <row r="714" spans="1:103" ht="11.25" customHeight="1" x14ac:dyDescent="0.2">
      <c r="A714" s="72">
        <v>1039</v>
      </c>
      <c r="B714" s="224">
        <v>1364</v>
      </c>
      <c r="C714" s="46" t="s">
        <v>7210</v>
      </c>
      <c r="D714" s="46"/>
      <c r="E714" s="114"/>
      <c r="F714" s="114" t="s">
        <v>4212</v>
      </c>
      <c r="G714" s="225">
        <v>122667</v>
      </c>
      <c r="H714" s="47" t="s">
        <v>4213</v>
      </c>
      <c r="I714" s="47" t="s">
        <v>4213</v>
      </c>
      <c r="J714" s="47" t="s">
        <v>4214</v>
      </c>
      <c r="K714" s="47" t="s">
        <v>2281</v>
      </c>
      <c r="L714" s="47" t="s">
        <v>5527</v>
      </c>
      <c r="M714" s="47" t="s">
        <v>5960</v>
      </c>
      <c r="N714" s="47"/>
      <c r="O714" s="47"/>
      <c r="P714" s="53"/>
      <c r="Q714" s="53"/>
      <c r="R714" s="53"/>
      <c r="S714" s="53"/>
      <c r="T714" s="48">
        <v>184.24</v>
      </c>
      <c r="U714" s="98">
        <v>221</v>
      </c>
      <c r="V714" s="98">
        <v>161.9</v>
      </c>
      <c r="W714" s="98">
        <v>242.87562151163243</v>
      </c>
      <c r="X714" s="98">
        <v>221</v>
      </c>
      <c r="Y714" s="233">
        <v>7.19</v>
      </c>
      <c r="Z714" s="48">
        <v>3.06</v>
      </c>
      <c r="AA714" s="48">
        <v>2.94</v>
      </c>
      <c r="AB714" s="48">
        <v>2.79</v>
      </c>
      <c r="AC714" s="48">
        <v>0.80800000000000005</v>
      </c>
      <c r="AD714" s="48">
        <v>2.83</v>
      </c>
      <c r="AE714" s="48">
        <v>2.94</v>
      </c>
      <c r="AF714" s="48">
        <f t="shared" si="154"/>
        <v>2.94</v>
      </c>
      <c r="AG714" s="49">
        <v>3.2</v>
      </c>
      <c r="AH714" s="98">
        <v>4.3899999999999999E-9</v>
      </c>
      <c r="AI714" s="98">
        <v>4.7800000000000002E-7</v>
      </c>
      <c r="AJ714" s="483">
        <f t="shared" si="156"/>
        <v>-6.7461018060705307</v>
      </c>
      <c r="AK714" s="483">
        <f>LOG10(AI714*1000/(0.08206*298.15))</f>
        <v>-4.7091384297005332</v>
      </c>
      <c r="AL714" s="483">
        <f t="shared" si="155"/>
        <v>-4.7091384297005332</v>
      </c>
      <c r="AM714" s="483">
        <v>-10.99714</v>
      </c>
      <c r="AN714" s="226">
        <v>-6.52</v>
      </c>
      <c r="AO714" s="484"/>
      <c r="AP714" s="484">
        <v>3.02</v>
      </c>
      <c r="AQ714" s="48" t="s">
        <v>6311</v>
      </c>
      <c r="AR714" s="48" t="s">
        <v>6311</v>
      </c>
      <c r="AS714" s="227"/>
      <c r="AT714" s="50" t="s">
        <v>266</v>
      </c>
      <c r="AU714" s="48">
        <v>6</v>
      </c>
      <c r="AV714" s="48">
        <v>120</v>
      </c>
      <c r="AW714" s="48">
        <v>114</v>
      </c>
      <c r="AX714" s="48">
        <v>28</v>
      </c>
      <c r="AY714" s="48" t="s">
        <v>8728</v>
      </c>
      <c r="AZ714" s="48" t="s">
        <v>1563</v>
      </c>
      <c r="BA714" s="48">
        <v>32</v>
      </c>
      <c r="BB714" s="47" t="s">
        <v>2485</v>
      </c>
      <c r="BC714" s="47" t="s">
        <v>8726</v>
      </c>
      <c r="BD714" s="47" t="s">
        <v>8374</v>
      </c>
      <c r="BE714" s="48" t="s">
        <v>2449</v>
      </c>
      <c r="BF714" s="48" t="s">
        <v>272</v>
      </c>
      <c r="BG714" s="48" t="s">
        <v>272</v>
      </c>
      <c r="BH714" s="48" t="s">
        <v>2486</v>
      </c>
      <c r="BI714" s="98">
        <v>1.1791359999999999E-3</v>
      </c>
      <c r="BJ714" s="98">
        <v>11.791360000000001</v>
      </c>
      <c r="BK714" s="48"/>
      <c r="BL714" s="487">
        <v>16.904328547949884</v>
      </c>
      <c r="BM714" s="47" t="s">
        <v>2487</v>
      </c>
      <c r="BN714" s="48"/>
      <c r="BO714" s="48"/>
      <c r="BP714" s="48"/>
      <c r="BQ714" s="48"/>
      <c r="BR714" s="47" t="e">
        <v>#VALUE!</v>
      </c>
      <c r="BS714" s="48"/>
      <c r="BT714" s="48"/>
      <c r="BU714" s="228"/>
      <c r="BV714" s="48"/>
      <c r="BW714" s="48"/>
      <c r="BX714" s="48"/>
      <c r="BY714" s="48"/>
      <c r="BZ714" s="48"/>
      <c r="CA714" s="48"/>
      <c r="CB714" s="48"/>
      <c r="CC714" s="48"/>
      <c r="CD714" s="48"/>
      <c r="CE714" s="48"/>
      <c r="CF714" s="48"/>
      <c r="CG714" s="48"/>
      <c r="CH714" s="48"/>
      <c r="CI714" s="98"/>
      <c r="CJ714" s="98"/>
      <c r="CK714" s="49">
        <f t="shared" si="152"/>
        <v>1.4336199172911253</v>
      </c>
      <c r="CL714" s="229"/>
      <c r="CM714" s="229"/>
      <c r="CN714" s="229"/>
      <c r="CO714" s="47" t="s">
        <v>2488</v>
      </c>
      <c r="CP714" s="500" t="s">
        <v>2489</v>
      </c>
      <c r="CQ714" s="224">
        <v>-0.56703366590340698</v>
      </c>
      <c r="CR714" s="224">
        <f>10^(CJ714-CQ714)</f>
        <v>3.6900620230837307</v>
      </c>
      <c r="CS714" s="230" t="s">
        <v>539</v>
      </c>
      <c r="CT714" s="230"/>
      <c r="CU714" s="230"/>
      <c r="CV714" s="335">
        <f t="shared" si="153"/>
        <v>18.742536908380373</v>
      </c>
      <c r="CW714" s="230">
        <f t="shared" si="151"/>
        <v>1</v>
      </c>
      <c r="CX714" s="336"/>
      <c r="CY714" s="230" t="s">
        <v>5921</v>
      </c>
    </row>
    <row r="715" spans="1:103" ht="11.25" customHeight="1" x14ac:dyDescent="0.2">
      <c r="A715" s="72">
        <v>1041</v>
      </c>
      <c r="B715" s="224">
        <v>1403</v>
      </c>
      <c r="C715" s="46" t="s">
        <v>7212</v>
      </c>
      <c r="D715" s="46"/>
      <c r="E715" s="114"/>
      <c r="F715" s="114" t="s">
        <v>3976</v>
      </c>
      <c r="G715" s="225">
        <v>122996</v>
      </c>
      <c r="H715" s="47" t="s">
        <v>3977</v>
      </c>
      <c r="I715" s="47" t="s">
        <v>3977</v>
      </c>
      <c r="J715" s="47" t="s">
        <v>3978</v>
      </c>
      <c r="K715" s="47" t="s">
        <v>426</v>
      </c>
      <c r="L715" s="47"/>
      <c r="M715" s="47"/>
      <c r="N715" s="47"/>
      <c r="O715" s="47"/>
      <c r="P715" s="53" t="s">
        <v>6183</v>
      </c>
      <c r="Q715" s="53" t="s">
        <v>6179</v>
      </c>
      <c r="R715" s="53" t="s">
        <v>6185</v>
      </c>
      <c r="S715" s="53" t="s">
        <v>6176</v>
      </c>
      <c r="T715" s="48">
        <v>138.16</v>
      </c>
      <c r="U715" s="98">
        <v>26700</v>
      </c>
      <c r="V715" s="98">
        <v>28180</v>
      </c>
      <c r="W715" s="98">
        <v>16610.485428674176</v>
      </c>
      <c r="X715" s="98">
        <v>26700</v>
      </c>
      <c r="Y715" s="233">
        <v>6.99</v>
      </c>
      <c r="Z715" s="48">
        <v>1.1000000000000001</v>
      </c>
      <c r="AA715" s="48">
        <v>1.1599999999999999</v>
      </c>
      <c r="AB715" s="48">
        <v>1.34</v>
      </c>
      <c r="AC715" s="48">
        <v>0.93079999999999996</v>
      </c>
      <c r="AD715" s="48">
        <v>1.3</v>
      </c>
      <c r="AE715" s="48">
        <v>1.1599999999999999</v>
      </c>
      <c r="AF715" s="48">
        <f t="shared" si="154"/>
        <v>1.1599999999999999</v>
      </c>
      <c r="AG715" s="49">
        <v>1.23</v>
      </c>
      <c r="AH715" s="98">
        <v>1.55E-8</v>
      </c>
      <c r="AI715" s="98">
        <v>4.7199999999999999E-8</v>
      </c>
      <c r="AJ715" s="483">
        <f t="shared" si="156"/>
        <v>-6.1982346281423606</v>
      </c>
      <c r="AK715" s="483">
        <f>LOG10(AI715*1000/(0.08206*298.15))</f>
        <v>-5.714624327678564</v>
      </c>
      <c r="AL715" s="483">
        <f t="shared" si="155"/>
        <v>-5.714624327678564</v>
      </c>
      <c r="AM715" s="483">
        <v>-7.5880599999999996</v>
      </c>
      <c r="AN715" s="226">
        <v>-4.8899999999999997</v>
      </c>
      <c r="AO715" s="484">
        <v>14.36</v>
      </c>
      <c r="AP715" s="484"/>
      <c r="AQ715" s="48" t="s">
        <v>6311</v>
      </c>
      <c r="AR715" s="48" t="s">
        <v>6311</v>
      </c>
      <c r="AS715" s="227"/>
      <c r="AT715" s="50" t="s">
        <v>266</v>
      </c>
      <c r="AU715" s="48">
        <v>6</v>
      </c>
      <c r="AV715" s="48">
        <v>120</v>
      </c>
      <c r="AW715" s="48">
        <v>114</v>
      </c>
      <c r="AX715" s="48">
        <v>28</v>
      </c>
      <c r="AY715" s="48" t="s">
        <v>8728</v>
      </c>
      <c r="AZ715" s="48" t="s">
        <v>1563</v>
      </c>
      <c r="BA715" s="48">
        <v>32</v>
      </c>
      <c r="BB715" s="47" t="s">
        <v>2485</v>
      </c>
      <c r="BC715" s="47" t="s">
        <v>8726</v>
      </c>
      <c r="BD715" s="47" t="s">
        <v>8374</v>
      </c>
      <c r="BE715" s="48" t="s">
        <v>2449</v>
      </c>
      <c r="BF715" s="48" t="s">
        <v>272</v>
      </c>
      <c r="BG715" s="48" t="s">
        <v>272</v>
      </c>
      <c r="BH715" s="48" t="s">
        <v>2486</v>
      </c>
      <c r="BI715" s="98">
        <v>8.8422399999999997E-4</v>
      </c>
      <c r="BJ715" s="98">
        <v>8.8422400000000003</v>
      </c>
      <c r="BK715" s="48"/>
      <c r="BL715" s="487">
        <v>729.9150603684169</v>
      </c>
      <c r="BM715" s="47" t="s">
        <v>2487</v>
      </c>
      <c r="BN715" s="48"/>
      <c r="BO715" s="48"/>
      <c r="BP715" s="48"/>
      <c r="BQ715" s="48"/>
      <c r="BR715" s="47"/>
      <c r="BS715" s="48"/>
      <c r="BT715" s="48"/>
      <c r="BU715" s="228"/>
      <c r="BV715" s="48"/>
      <c r="BW715" s="48"/>
      <c r="BX715" s="48"/>
      <c r="BY715" s="48"/>
      <c r="BZ715" s="48"/>
      <c r="CA715" s="48"/>
      <c r="CB715" s="48"/>
      <c r="CC715" s="48"/>
      <c r="CD715" s="48"/>
      <c r="CE715" s="48"/>
      <c r="CF715" s="48"/>
      <c r="CG715" s="48"/>
      <c r="CH715" s="48"/>
      <c r="CI715" s="52"/>
      <c r="CJ715" s="98"/>
      <c r="CK715" s="49">
        <f t="shared" si="152"/>
        <v>82.548659657328557</v>
      </c>
      <c r="CL715" s="229"/>
      <c r="CM715" s="229"/>
      <c r="CN715" s="229"/>
      <c r="CO715" s="47" t="s">
        <v>2488</v>
      </c>
      <c r="CP715" s="500" t="s">
        <v>2489</v>
      </c>
      <c r="CQ715" s="224">
        <v>2.5403294747908736</v>
      </c>
      <c r="CR715" s="224">
        <f>10^(CJ715-CQ715)</f>
        <v>2.8818443804034576E-3</v>
      </c>
      <c r="CS715" s="230" t="s">
        <v>539</v>
      </c>
      <c r="CT715" s="230"/>
      <c r="CU715" s="230"/>
      <c r="CV715" s="335">
        <f t="shared" si="153"/>
        <v>3019.5968442385638</v>
      </c>
      <c r="CW715" s="230">
        <f t="shared" si="151"/>
        <v>1</v>
      </c>
      <c r="CX715" s="336"/>
      <c r="CY715" s="230" t="s">
        <v>6351</v>
      </c>
    </row>
    <row r="716" spans="1:103" ht="11.25" customHeight="1" x14ac:dyDescent="0.2">
      <c r="A716" s="72">
        <v>1042</v>
      </c>
      <c r="B716" s="224">
        <v>1604</v>
      </c>
      <c r="C716" s="46" t="s">
        <v>7213</v>
      </c>
      <c r="D716" s="46"/>
      <c r="E716" s="114"/>
      <c r="F716" s="114" t="s">
        <v>4765</v>
      </c>
      <c r="G716" s="225">
        <v>123251</v>
      </c>
      <c r="H716" s="47" t="s">
        <v>4766</v>
      </c>
      <c r="I716" s="47" t="s">
        <v>4766</v>
      </c>
      <c r="J716" s="47" t="s">
        <v>4767</v>
      </c>
      <c r="K716" s="47" t="s">
        <v>357</v>
      </c>
      <c r="L716" s="47"/>
      <c r="M716" s="47"/>
      <c r="N716" s="47"/>
      <c r="O716" s="47"/>
      <c r="P716" s="53"/>
      <c r="Q716" s="53" t="s">
        <v>6173</v>
      </c>
      <c r="R716" s="53" t="s">
        <v>6175</v>
      </c>
      <c r="S716" s="53" t="s">
        <v>6182</v>
      </c>
      <c r="T716" s="48">
        <v>174.19</v>
      </c>
      <c r="U716" s="98">
        <v>19100</v>
      </c>
      <c r="V716" s="98">
        <v>5547</v>
      </c>
      <c r="W716" s="98">
        <v>10990.645983500484</v>
      </c>
      <c r="X716" s="98">
        <v>19100</v>
      </c>
      <c r="Y716" s="233">
        <v>7</v>
      </c>
      <c r="Z716" s="48">
        <v>1.39</v>
      </c>
      <c r="AA716" s="48">
        <v>1.2</v>
      </c>
      <c r="AB716" s="48">
        <v>1.19</v>
      </c>
      <c r="AC716" s="48">
        <v>0.88660000000000005</v>
      </c>
      <c r="AD716" s="48">
        <v>1.21</v>
      </c>
      <c r="AE716" s="48">
        <v>1.26</v>
      </c>
      <c r="AF716" s="48">
        <f t="shared" si="154"/>
        <v>1.2</v>
      </c>
      <c r="AG716" s="49">
        <v>0.88</v>
      </c>
      <c r="AH716" s="98">
        <v>9.7699999999999992E-7</v>
      </c>
      <c r="AI716" s="98">
        <v>5.2699999999999999E-7</v>
      </c>
      <c r="AJ716" s="483">
        <f t="shared" si="156"/>
        <v>-4.3986717625938789</v>
      </c>
      <c r="AK716" s="483">
        <f>LOG10(AI716*1000/(0.08206*298.15))</f>
        <v>-4.6667557111001052</v>
      </c>
      <c r="AL716" s="483">
        <f t="shared" si="155"/>
        <v>-4.6667557111001052</v>
      </c>
      <c r="AM716" s="483">
        <v>-5.9673600000000002</v>
      </c>
      <c r="AN716" s="226">
        <v>-4.8899999999999997</v>
      </c>
      <c r="AO716" s="484"/>
      <c r="AP716" s="484"/>
      <c r="AQ716" s="48" t="s">
        <v>6311</v>
      </c>
      <c r="AR716" s="48" t="s">
        <v>6312</v>
      </c>
      <c r="AS716" s="227"/>
      <c r="AT716" s="50" t="s">
        <v>266</v>
      </c>
      <c r="AU716" s="48">
        <v>6</v>
      </c>
      <c r="AV716" s="48">
        <v>120</v>
      </c>
      <c r="AW716" s="48">
        <v>114</v>
      </c>
      <c r="AX716" s="48">
        <v>28</v>
      </c>
      <c r="AY716" s="48" t="s">
        <v>8728</v>
      </c>
      <c r="AZ716" s="48" t="s">
        <v>1563</v>
      </c>
      <c r="BA716" s="48">
        <v>32</v>
      </c>
      <c r="BB716" s="47" t="s">
        <v>2485</v>
      </c>
      <c r="BC716" s="47" t="s">
        <v>8726</v>
      </c>
      <c r="BD716" s="47" t="s">
        <v>8374</v>
      </c>
      <c r="BE716" s="48" t="s">
        <v>2449</v>
      </c>
      <c r="BF716" s="48" t="s">
        <v>272</v>
      </c>
      <c r="BG716" s="48" t="s">
        <v>272</v>
      </c>
      <c r="BH716" s="48" t="s">
        <v>2486</v>
      </c>
      <c r="BI716" s="98">
        <v>1.114816E-3</v>
      </c>
      <c r="BJ716" s="98">
        <v>11.148160000000001</v>
      </c>
      <c r="BK716" s="48"/>
      <c r="BL716" s="487">
        <v>505.20102050618965</v>
      </c>
      <c r="BM716" s="47" t="s">
        <v>2487</v>
      </c>
      <c r="BN716" s="48"/>
      <c r="BO716" s="48"/>
      <c r="BP716" s="48"/>
      <c r="BQ716" s="48"/>
      <c r="BR716" s="47" t="e">
        <v>#VALUE!</v>
      </c>
      <c r="BS716" s="48"/>
      <c r="BT716" s="48"/>
      <c r="BU716" s="228"/>
      <c r="BV716" s="48"/>
      <c r="BW716" s="48"/>
      <c r="BX716" s="48"/>
      <c r="BY716" s="48"/>
      <c r="BZ716" s="48"/>
      <c r="CA716" s="48"/>
      <c r="CB716" s="48"/>
      <c r="CC716" s="48"/>
      <c r="CD716" s="48"/>
      <c r="CE716" s="48"/>
      <c r="CF716" s="48"/>
      <c r="CG716" s="48"/>
      <c r="CH716" s="48"/>
      <c r="CI716" s="98"/>
      <c r="CJ716" s="98"/>
      <c r="CK716" s="49">
        <f t="shared" si="152"/>
        <v>45.316986884489424</v>
      </c>
      <c r="CL716" s="229"/>
      <c r="CM716" s="229"/>
      <c r="CN716" s="229"/>
      <c r="CO716" s="47" t="s">
        <v>2488</v>
      </c>
      <c r="CP716" s="500" t="s">
        <v>2489</v>
      </c>
      <c r="CQ716" s="224">
        <v>2.1461280356782382</v>
      </c>
      <c r="CR716" s="224">
        <f>10^(CJ716-CQ716)</f>
        <v>7.14285714285714E-3</v>
      </c>
      <c r="CS716" s="230" t="s">
        <v>539</v>
      </c>
      <c r="CT716" s="230"/>
      <c r="CU716" s="230"/>
      <c r="CV716" s="335">
        <f t="shared" si="153"/>
        <v>1713.2872151099373</v>
      </c>
      <c r="CW716" s="230">
        <f t="shared" si="151"/>
        <v>1</v>
      </c>
      <c r="CX716" s="336"/>
      <c r="CY716" s="230" t="s">
        <v>5921</v>
      </c>
    </row>
    <row r="717" spans="1:103" ht="11.25" customHeight="1" x14ac:dyDescent="0.2">
      <c r="A717" s="72">
        <v>1044</v>
      </c>
      <c r="B717" s="224">
        <v>1722</v>
      </c>
      <c r="C717" s="46" t="s">
        <v>7214</v>
      </c>
      <c r="D717" s="46"/>
      <c r="E717" s="114"/>
      <c r="F717" s="114" t="s">
        <v>3913</v>
      </c>
      <c r="G717" s="225">
        <v>123331</v>
      </c>
      <c r="H717" s="47" t="s">
        <v>3914</v>
      </c>
      <c r="I717" s="47" t="s">
        <v>3914</v>
      </c>
      <c r="J717" s="47" t="s">
        <v>4996</v>
      </c>
      <c r="K717" s="47" t="s">
        <v>2281</v>
      </c>
      <c r="L717" s="47"/>
      <c r="M717" s="47"/>
      <c r="N717" s="47"/>
      <c r="O717" s="47"/>
      <c r="P717" s="53"/>
      <c r="Q717" s="53"/>
      <c r="R717" s="53"/>
      <c r="S717" s="53"/>
      <c r="T717" s="48">
        <v>112.09</v>
      </c>
      <c r="U717" s="98">
        <v>4510</v>
      </c>
      <c r="V717" s="98">
        <v>27350</v>
      </c>
      <c r="W717" s="98">
        <v>134761.82047626583</v>
      </c>
      <c r="X717" s="98">
        <v>4510</v>
      </c>
      <c r="Y717" s="233">
        <v>4.47</v>
      </c>
      <c r="Z717" s="48">
        <v>-0.89</v>
      </c>
      <c r="AA717" s="48">
        <v>-0.84</v>
      </c>
      <c r="AB717" s="48">
        <v>-1.1499999999999999</v>
      </c>
      <c r="AC717" s="48">
        <v>0.623</v>
      </c>
      <c r="AD717" s="48">
        <v>-1.02</v>
      </c>
      <c r="AE717" s="48">
        <v>-0.84</v>
      </c>
      <c r="AF717" s="48">
        <f t="shared" si="154"/>
        <v>-0.84</v>
      </c>
      <c r="AG717" s="49">
        <v>-0.06</v>
      </c>
      <c r="AH717" s="98">
        <v>2.6499999999999999E-11</v>
      </c>
      <c r="AI717" s="98"/>
      <c r="AJ717" s="483">
        <f t="shared" si="156"/>
        <v>-8.9653204523758436</v>
      </c>
      <c r="AK717" s="483"/>
      <c r="AL717" s="483">
        <f t="shared" si="155"/>
        <v>-8.9653204523758436</v>
      </c>
      <c r="AM717" s="483">
        <v>-14.26005</v>
      </c>
      <c r="AN717" s="226">
        <v>-7.19</v>
      </c>
      <c r="AO717" s="484">
        <v>9.01</v>
      </c>
      <c r="AP717" s="484">
        <v>-1.48</v>
      </c>
      <c r="AQ717" s="226" t="s">
        <v>6311</v>
      </c>
      <c r="AR717" s="226" t="s">
        <v>6311</v>
      </c>
      <c r="AS717" s="224"/>
      <c r="AT717" s="50" t="s">
        <v>266</v>
      </c>
      <c r="AU717" s="48">
        <v>6</v>
      </c>
      <c r="AV717" s="48">
        <v>120</v>
      </c>
      <c r="AW717" s="48">
        <v>114</v>
      </c>
      <c r="AX717" s="48">
        <v>28</v>
      </c>
      <c r="AY717" s="48" t="s">
        <v>8728</v>
      </c>
      <c r="AZ717" s="48" t="s">
        <v>1563</v>
      </c>
      <c r="BA717" s="48">
        <v>32</v>
      </c>
      <c r="BB717" s="47" t="s">
        <v>2485</v>
      </c>
      <c r="BC717" s="47" t="s">
        <v>8726</v>
      </c>
      <c r="BD717" s="47" t="s">
        <v>8374</v>
      </c>
      <c r="BE717" s="48" t="s">
        <v>2449</v>
      </c>
      <c r="BF717" s="48" t="s">
        <v>272</v>
      </c>
      <c r="BG717" s="48" t="s">
        <v>272</v>
      </c>
      <c r="BH717" s="48" t="s">
        <v>2486</v>
      </c>
      <c r="BI717" s="98">
        <v>7.1737600000000004E-4</v>
      </c>
      <c r="BJ717" s="98">
        <v>7.1737600000000006</v>
      </c>
      <c r="BK717" s="48"/>
      <c r="BL717" s="487">
        <v>36280.717661564784</v>
      </c>
      <c r="BM717" s="47" t="s">
        <v>2487</v>
      </c>
      <c r="BN717" s="48"/>
      <c r="BO717" s="48"/>
      <c r="BP717" s="48"/>
      <c r="BQ717" s="48"/>
      <c r="BR717" s="47" t="e">
        <v>#VALUE!</v>
      </c>
      <c r="BS717" s="48"/>
      <c r="BT717" s="48"/>
      <c r="BU717" s="228"/>
      <c r="BV717" s="48"/>
      <c r="BW717" s="48"/>
      <c r="BX717" s="48"/>
      <c r="BY717" s="48"/>
      <c r="BZ717" s="48"/>
      <c r="CA717" s="48"/>
      <c r="CB717" s="48"/>
      <c r="CC717" s="48"/>
      <c r="CD717" s="48"/>
      <c r="CE717" s="48"/>
      <c r="CF717" s="48"/>
      <c r="CG717" s="48"/>
      <c r="CH717" s="48"/>
      <c r="CI717" s="98"/>
      <c r="CJ717" s="98"/>
      <c r="CK717" s="49">
        <f t="shared" si="152"/>
        <v>5057.4200505125318</v>
      </c>
      <c r="CL717" s="229"/>
      <c r="CM717" s="229"/>
      <c r="CN717" s="229"/>
      <c r="CO717" s="47" t="s">
        <v>2488</v>
      </c>
      <c r="CP717" s="500" t="s">
        <v>2489</v>
      </c>
      <c r="CQ717" s="224" t="s">
        <v>272</v>
      </c>
      <c r="CR717" s="224"/>
      <c r="CS717" s="230" t="s">
        <v>539</v>
      </c>
      <c r="CT717" s="230"/>
      <c r="CU717" s="230"/>
      <c r="CV717" s="335">
        <f t="shared" si="153"/>
        <v>628.68007850834147</v>
      </c>
      <c r="CW717" s="230">
        <f t="shared" si="151"/>
        <v>1</v>
      </c>
      <c r="CX717" s="336"/>
      <c r="CY717" s="230" t="s">
        <v>5921</v>
      </c>
    </row>
    <row r="718" spans="1:103" ht="11.25" customHeight="1" x14ac:dyDescent="0.2">
      <c r="A718" s="72">
        <v>1045</v>
      </c>
      <c r="B718" s="224">
        <v>1198</v>
      </c>
      <c r="C718" s="46" t="s">
        <v>7215</v>
      </c>
      <c r="D718" s="46"/>
      <c r="E718" s="114"/>
      <c r="F718" s="114" t="s">
        <v>3304</v>
      </c>
      <c r="G718" s="225">
        <v>123353</v>
      </c>
      <c r="H718" s="47" t="s">
        <v>3305</v>
      </c>
      <c r="I718" s="47" t="s">
        <v>3305</v>
      </c>
      <c r="J718" s="47" t="s">
        <v>3306</v>
      </c>
      <c r="K718" s="47" t="s">
        <v>426</v>
      </c>
      <c r="L718" s="47"/>
      <c r="M718" s="47"/>
      <c r="N718" s="47"/>
      <c r="O718" s="47"/>
      <c r="P718" s="53"/>
      <c r="Q718" s="53"/>
      <c r="R718" s="53"/>
      <c r="S718" s="53"/>
      <c r="T718" s="48">
        <v>136.22999999999999</v>
      </c>
      <c r="U718" s="98">
        <v>5.6</v>
      </c>
      <c r="V718" s="98">
        <v>6.9229999999999992</v>
      </c>
      <c r="W718" s="98">
        <v>1.9242998970395784</v>
      </c>
      <c r="X718" s="98">
        <v>5.6</v>
      </c>
      <c r="Y718" s="233">
        <v>7</v>
      </c>
      <c r="Z718" s="48">
        <v>4.88</v>
      </c>
      <c r="AA718" s="48">
        <v>4.17</v>
      </c>
      <c r="AB718" s="48">
        <v>4.28</v>
      </c>
      <c r="AC718" s="48">
        <v>0.87719999999999998</v>
      </c>
      <c r="AD718" s="48">
        <v>4.3499999999999996</v>
      </c>
      <c r="AE718" s="48">
        <v>4.58</v>
      </c>
      <c r="AF718" s="48">
        <f t="shared" si="154"/>
        <v>4.17</v>
      </c>
      <c r="AG718" s="49">
        <v>3.94</v>
      </c>
      <c r="AH718" s="98">
        <v>0.52300000000000002</v>
      </c>
      <c r="AI718" s="98">
        <v>6.4299999999999996E-2</v>
      </c>
      <c r="AJ718" s="483">
        <f t="shared" si="156"/>
        <v>1.3299353625546224</v>
      </c>
      <c r="AK718" s="483">
        <f t="shared" ref="AK718:AK724" si="157">LOG10(AI718*1000/(0.08206*298.15))</f>
        <v>0.41964464661157025</v>
      </c>
      <c r="AL718" s="483">
        <f t="shared" si="155"/>
        <v>0.41964464661157025</v>
      </c>
      <c r="AM718" s="483">
        <v>-1.9885599999999999</v>
      </c>
      <c r="AN718" s="226">
        <v>0.436</v>
      </c>
      <c r="AO718" s="484"/>
      <c r="AP718" s="484"/>
      <c r="AQ718" s="48" t="s">
        <v>6311</v>
      </c>
      <c r="AR718" s="48" t="s">
        <v>6311</v>
      </c>
      <c r="AS718" s="227"/>
      <c r="AT718" s="50" t="s">
        <v>266</v>
      </c>
      <c r="AU718" s="48">
        <v>6</v>
      </c>
      <c r="AV718" s="48">
        <v>120</v>
      </c>
      <c r="AW718" s="48">
        <v>114</v>
      </c>
      <c r="AX718" s="48">
        <v>28</v>
      </c>
      <c r="AY718" s="48" t="s">
        <v>8728</v>
      </c>
      <c r="AZ718" s="48" t="s">
        <v>1563</v>
      </c>
      <c r="BA718" s="48">
        <v>32</v>
      </c>
      <c r="BB718" s="47" t="s">
        <v>2485</v>
      </c>
      <c r="BC718" s="47" t="s">
        <v>8726</v>
      </c>
      <c r="BD718" s="47" t="s">
        <v>8374</v>
      </c>
      <c r="BE718" s="48" t="s">
        <v>2449</v>
      </c>
      <c r="BF718" s="48" t="s">
        <v>272</v>
      </c>
      <c r="BG718" s="48" t="s">
        <v>272</v>
      </c>
      <c r="BH718" s="48" t="s">
        <v>2486</v>
      </c>
      <c r="BI718" s="98">
        <v>8.7187199999999988E-4</v>
      </c>
      <c r="BJ718" s="98">
        <v>8.7187199999999994</v>
      </c>
      <c r="BK718" s="48"/>
      <c r="BL718" s="487">
        <v>0.28996445033270257</v>
      </c>
      <c r="BM718" s="47" t="s">
        <v>2487</v>
      </c>
      <c r="BN718" s="48"/>
      <c r="BO718" s="48"/>
      <c r="BP718" s="48"/>
      <c r="BQ718" s="48"/>
      <c r="BR718" s="47" t="e">
        <v>#VALUE!</v>
      </c>
      <c r="BS718" s="48"/>
      <c r="BT718" s="48"/>
      <c r="BU718" s="228">
        <v>8.7187199999999992E-3</v>
      </c>
      <c r="BV718" s="48"/>
      <c r="BW718" s="48"/>
      <c r="BX718" s="48"/>
      <c r="BY718" s="48"/>
      <c r="BZ718" s="48"/>
      <c r="CA718" s="48"/>
      <c r="CB718" s="48"/>
      <c r="CC718" s="48"/>
      <c r="CD718" s="48"/>
      <c r="CE718" s="48"/>
      <c r="CF718" s="48"/>
      <c r="CG718" s="48"/>
      <c r="CH718" s="48"/>
      <c r="CI718" s="98"/>
      <c r="CJ718" s="98"/>
      <c r="CK718" s="49">
        <f t="shared" si="152"/>
        <v>3.3257685799372223E-2</v>
      </c>
      <c r="CL718" s="229"/>
      <c r="CM718" s="229"/>
      <c r="CN718" s="229"/>
      <c r="CO718" s="47" t="s">
        <v>2488</v>
      </c>
      <c r="CP718" s="500" t="s">
        <v>2489</v>
      </c>
      <c r="CQ718" s="224" t="s">
        <v>272</v>
      </c>
      <c r="CR718" s="224"/>
      <c r="CS718" s="230" t="s">
        <v>539</v>
      </c>
      <c r="CT718" s="230"/>
      <c r="CU718" s="230"/>
      <c r="CV718" s="335">
        <f t="shared" si="153"/>
        <v>0.64229611686119059</v>
      </c>
      <c r="CW718" s="230">
        <f t="shared" si="151"/>
        <v>0</v>
      </c>
      <c r="CX718" s="336"/>
      <c r="CY718" s="230" t="s">
        <v>6351</v>
      </c>
    </row>
    <row r="719" spans="1:103" ht="11.25" customHeight="1" x14ac:dyDescent="0.2">
      <c r="A719" s="72">
        <v>1046</v>
      </c>
      <c r="B719" s="224">
        <v>1589</v>
      </c>
      <c r="C719" s="46" t="s">
        <v>7216</v>
      </c>
      <c r="D719" s="46"/>
      <c r="E719" s="114"/>
      <c r="F719" s="114" t="s">
        <v>4746</v>
      </c>
      <c r="G719" s="225">
        <v>123422</v>
      </c>
      <c r="H719" s="47" t="s">
        <v>4747</v>
      </c>
      <c r="I719" s="47" t="s">
        <v>4747</v>
      </c>
      <c r="J719" s="47" t="s">
        <v>4748</v>
      </c>
      <c r="K719" s="47" t="s">
        <v>4749</v>
      </c>
      <c r="L719" s="47"/>
      <c r="M719" s="47"/>
      <c r="N719" s="47"/>
      <c r="O719" s="47"/>
      <c r="P719" s="53"/>
      <c r="Q719" s="53"/>
      <c r="R719" s="53"/>
      <c r="S719" s="53"/>
      <c r="T719" s="48">
        <v>116.16</v>
      </c>
      <c r="U719" s="98">
        <v>1000000</v>
      </c>
      <c r="V719" s="98">
        <v>651200</v>
      </c>
      <c r="W719" s="98">
        <v>136476.09998177574</v>
      </c>
      <c r="X719" s="98">
        <v>1000000</v>
      </c>
      <c r="Y719" s="233">
        <v>6.94</v>
      </c>
      <c r="Z719" s="48">
        <v>-0.34</v>
      </c>
      <c r="AA719" s="48"/>
      <c r="AB719" s="48">
        <v>0.39</v>
      </c>
      <c r="AC719" s="48">
        <v>0.71740000000000004</v>
      </c>
      <c r="AD719" s="48">
        <v>0.21</v>
      </c>
      <c r="AE719" s="48">
        <v>-0.09</v>
      </c>
      <c r="AF719" s="48">
        <f t="shared" si="154"/>
        <v>0.21</v>
      </c>
      <c r="AG719" s="49">
        <v>0.44</v>
      </c>
      <c r="AH719" s="98">
        <v>4.2400000000000002E-9</v>
      </c>
      <c r="AI719" s="98">
        <v>2.6100000000000002E-7</v>
      </c>
      <c r="AJ719" s="483">
        <f t="shared" si="156"/>
        <v>-6.7612004697199195</v>
      </c>
      <c r="AK719" s="483">
        <f t="shared" si="157"/>
        <v>-4.9719258189743707</v>
      </c>
      <c r="AL719" s="483">
        <f t="shared" si="155"/>
        <v>-4.9719258189743707</v>
      </c>
      <c r="AM719" s="483">
        <v>-6.7257699999999998</v>
      </c>
      <c r="AN719" s="226">
        <v>-3.64</v>
      </c>
      <c r="AO719" s="484">
        <v>14.57</v>
      </c>
      <c r="AP719" s="484"/>
      <c r="AQ719" s="48" t="s">
        <v>6311</v>
      </c>
      <c r="AR719" s="48" t="s">
        <v>6311</v>
      </c>
      <c r="AS719" s="227"/>
      <c r="AT719" s="50" t="s">
        <v>266</v>
      </c>
      <c r="AU719" s="48">
        <v>6</v>
      </c>
      <c r="AV719" s="48">
        <v>120</v>
      </c>
      <c r="AW719" s="48">
        <v>114</v>
      </c>
      <c r="AX719" s="48">
        <v>28</v>
      </c>
      <c r="AY719" s="48" t="s">
        <v>8728</v>
      </c>
      <c r="AZ719" s="48" t="s">
        <v>1563</v>
      </c>
      <c r="BA719" s="48">
        <v>32</v>
      </c>
      <c r="BB719" s="47" t="s">
        <v>2485</v>
      </c>
      <c r="BC719" s="47" t="s">
        <v>8726</v>
      </c>
      <c r="BD719" s="47" t="s">
        <v>8374</v>
      </c>
      <c r="BE719" s="48" t="s">
        <v>2449</v>
      </c>
      <c r="BF719" s="48" t="s">
        <v>272</v>
      </c>
      <c r="BG719" s="48" t="s">
        <v>272</v>
      </c>
      <c r="BH719" s="48" t="s">
        <v>2486</v>
      </c>
      <c r="BI719" s="98">
        <v>7.4342399999999991E-4</v>
      </c>
      <c r="BJ719" s="98">
        <v>7.43424</v>
      </c>
      <c r="BK719" s="48"/>
      <c r="BL719" s="487">
        <v>12056.204427494471</v>
      </c>
      <c r="BM719" s="47" t="s">
        <v>2487</v>
      </c>
      <c r="BN719" s="48"/>
      <c r="BO719" s="48"/>
      <c r="BP719" s="48"/>
      <c r="BQ719" s="48"/>
      <c r="BR719" s="47" t="e">
        <v>#VALUE!</v>
      </c>
      <c r="BS719" s="48"/>
      <c r="BT719" s="48"/>
      <c r="BU719" s="228"/>
      <c r="BV719" s="48"/>
      <c r="BW719" s="48"/>
      <c r="BX719" s="48"/>
      <c r="BY719" s="48"/>
      <c r="BZ719" s="48"/>
      <c r="CA719" s="48"/>
      <c r="CB719" s="48"/>
      <c r="CC719" s="48"/>
      <c r="CD719" s="48"/>
      <c r="CE719" s="48"/>
      <c r="CF719" s="48"/>
      <c r="CG719" s="48"/>
      <c r="CH719" s="48"/>
      <c r="CI719" s="98"/>
      <c r="CJ719" s="98"/>
      <c r="CK719" s="49">
        <f t="shared" si="152"/>
        <v>1621.7131041632326</v>
      </c>
      <c r="CL719" s="229"/>
      <c r="CM719" s="229"/>
      <c r="CN719" s="229"/>
      <c r="CO719" s="47" t="s">
        <v>2488</v>
      </c>
      <c r="CP719" s="500" t="s">
        <v>2489</v>
      </c>
      <c r="CQ719" s="224">
        <v>2.6232492903979003</v>
      </c>
      <c r="CR719" s="224">
        <f>10^(CJ719-CQ719)</f>
        <v>2.3809523809523812E-3</v>
      </c>
      <c r="CS719" s="230" t="s">
        <v>539</v>
      </c>
      <c r="CT719" s="230"/>
      <c r="CU719" s="230"/>
      <c r="CV719" s="335">
        <f t="shared" si="153"/>
        <v>134512.74104683194</v>
      </c>
      <c r="CW719" s="230">
        <f t="shared" si="151"/>
        <v>1</v>
      </c>
      <c r="CX719" s="336"/>
      <c r="CY719" s="230" t="s">
        <v>6351</v>
      </c>
    </row>
    <row r="720" spans="1:103" ht="11.25" customHeight="1" x14ac:dyDescent="0.2">
      <c r="A720" s="72">
        <v>1047</v>
      </c>
      <c r="B720" s="224">
        <v>1712</v>
      </c>
      <c r="C720" s="46" t="s">
        <v>7217</v>
      </c>
      <c r="D720" s="46"/>
      <c r="E720" s="114"/>
      <c r="F720" s="114" t="s">
        <v>708</v>
      </c>
      <c r="G720" s="225">
        <v>123513</v>
      </c>
      <c r="H720" s="47" t="s">
        <v>709</v>
      </c>
      <c r="I720" s="47" t="s">
        <v>709</v>
      </c>
      <c r="J720" s="47" t="s">
        <v>710</v>
      </c>
      <c r="K720" s="47" t="s">
        <v>426</v>
      </c>
      <c r="L720" s="47"/>
      <c r="M720" s="47" t="s">
        <v>6025</v>
      </c>
      <c r="N720" s="47" t="s">
        <v>2342</v>
      </c>
      <c r="O720" s="47"/>
      <c r="P720" s="53"/>
      <c r="Q720" s="53"/>
      <c r="R720" s="53"/>
      <c r="S720" s="53"/>
      <c r="T720" s="48">
        <v>88.15</v>
      </c>
      <c r="U720" s="98">
        <v>26700.000000000004</v>
      </c>
      <c r="V720" s="98">
        <v>41580</v>
      </c>
      <c r="W720" s="98">
        <v>29869.112363670705</v>
      </c>
      <c r="X720" s="98">
        <v>26700.000000000004</v>
      </c>
      <c r="Y720" s="233">
        <v>7</v>
      </c>
      <c r="Z720" s="48">
        <v>1.26</v>
      </c>
      <c r="AA720" s="48">
        <v>1.1599999999999999</v>
      </c>
      <c r="AB720" s="48">
        <v>1.1100000000000001</v>
      </c>
      <c r="AC720" s="48">
        <v>0.91549999999999998</v>
      </c>
      <c r="AD720" s="48">
        <v>1.1399999999999999</v>
      </c>
      <c r="AE720" s="48">
        <v>1.22</v>
      </c>
      <c r="AF720" s="48">
        <f t="shared" si="154"/>
        <v>1.1599999999999999</v>
      </c>
      <c r="AG720" s="49">
        <v>1.18</v>
      </c>
      <c r="AH720" s="98">
        <v>1.33E-5</v>
      </c>
      <c r="AI720" s="98">
        <v>1.4100000000000001E-5</v>
      </c>
      <c r="AJ720" s="483">
        <f t="shared" si="156"/>
        <v>-3.2647146853455662</v>
      </c>
      <c r="AK720" s="483">
        <f t="shared" si="157"/>
        <v>-3.2393472136572719</v>
      </c>
      <c r="AL720" s="483">
        <f t="shared" si="155"/>
        <v>-3.2393472136572719</v>
      </c>
      <c r="AM720" s="483">
        <v>-3.58602</v>
      </c>
      <c r="AN720" s="226">
        <v>-3.17</v>
      </c>
      <c r="AO720" s="484">
        <v>15.24</v>
      </c>
      <c r="AP720" s="484"/>
      <c r="AQ720" s="226" t="s">
        <v>6311</v>
      </c>
      <c r="AR720" s="226" t="s">
        <v>6311</v>
      </c>
      <c r="AS720" s="224"/>
      <c r="AT720" s="50" t="s">
        <v>266</v>
      </c>
      <c r="AU720" s="48">
        <v>6</v>
      </c>
      <c r="AV720" s="48">
        <v>120</v>
      </c>
      <c r="AW720" s="48">
        <v>114</v>
      </c>
      <c r="AX720" s="48">
        <v>28</v>
      </c>
      <c r="AY720" s="48" t="s">
        <v>8728</v>
      </c>
      <c r="AZ720" s="48" t="s">
        <v>1563</v>
      </c>
      <c r="BA720" s="48">
        <v>32</v>
      </c>
      <c r="BB720" s="47" t="s">
        <v>2485</v>
      </c>
      <c r="BC720" s="47" t="s">
        <v>8726</v>
      </c>
      <c r="BD720" s="47" t="s">
        <v>8374</v>
      </c>
      <c r="BE720" s="48" t="s">
        <v>2449</v>
      </c>
      <c r="BF720" s="48" t="s">
        <v>272</v>
      </c>
      <c r="BG720" s="48" t="s">
        <v>272</v>
      </c>
      <c r="BH720" s="48" t="s">
        <v>2486</v>
      </c>
      <c r="BI720" s="98">
        <v>5.6415999999999997E-4</v>
      </c>
      <c r="BJ720" s="98">
        <v>5.6416000000000004</v>
      </c>
      <c r="BK720" s="48"/>
      <c r="BL720" s="487">
        <v>334.51555448693102</v>
      </c>
      <c r="BM720" s="47" t="s">
        <v>2487</v>
      </c>
      <c r="BN720" s="48"/>
      <c r="BO720" s="48"/>
      <c r="BP720" s="48"/>
      <c r="BQ720" s="48"/>
      <c r="BR720" s="47"/>
      <c r="BS720" s="48"/>
      <c r="BT720" s="48"/>
      <c r="BU720" s="228"/>
      <c r="BV720" s="48"/>
      <c r="BW720" s="48"/>
      <c r="BX720" s="48"/>
      <c r="BY720" s="48"/>
      <c r="BZ720" s="48"/>
      <c r="CA720" s="48"/>
      <c r="CB720" s="48"/>
      <c r="CC720" s="48"/>
      <c r="CD720" s="48"/>
      <c r="CE720" s="48"/>
      <c r="CF720" s="48"/>
      <c r="CG720" s="48"/>
      <c r="CH720" s="48"/>
      <c r="CI720" s="52"/>
      <c r="CJ720" s="98"/>
      <c r="CK720" s="49">
        <f t="shared" si="152"/>
        <v>59.294447406220044</v>
      </c>
      <c r="CL720" s="229"/>
      <c r="CM720" s="229"/>
      <c r="CN720" s="229"/>
      <c r="CO720" s="47" t="s">
        <v>2488</v>
      </c>
      <c r="CP720" s="500" t="s">
        <v>2489</v>
      </c>
      <c r="CQ720" s="224">
        <v>2.8450980400142569</v>
      </c>
      <c r="CR720" s="224">
        <f>10^(CJ720-CQ720)</f>
        <v>1.4285714285714277E-3</v>
      </c>
      <c r="CS720" s="230" t="s">
        <v>539</v>
      </c>
      <c r="CT720" s="230"/>
      <c r="CU720" s="230"/>
      <c r="CV720" s="335">
        <f t="shared" si="153"/>
        <v>4732.6999432785033</v>
      </c>
      <c r="CW720" s="230">
        <f t="shared" si="151"/>
        <v>1</v>
      </c>
      <c r="CX720" s="336"/>
      <c r="CY720" s="230" t="s">
        <v>6351</v>
      </c>
    </row>
    <row r="721" spans="1:103" ht="11.25" customHeight="1" x14ac:dyDescent="0.2">
      <c r="A721" s="72">
        <v>1048</v>
      </c>
      <c r="B721" s="224">
        <v>1435</v>
      </c>
      <c r="C721" s="46" t="s">
        <v>7218</v>
      </c>
      <c r="D721" s="46"/>
      <c r="E721" s="114"/>
      <c r="F721" s="114" t="s">
        <v>4413</v>
      </c>
      <c r="G721" s="225">
        <v>123922</v>
      </c>
      <c r="H721" s="232" t="s">
        <v>4414</v>
      </c>
      <c r="I721" s="232" t="s">
        <v>4414</v>
      </c>
      <c r="J721" s="232" t="s">
        <v>4415</v>
      </c>
      <c r="K721" s="47" t="s">
        <v>357</v>
      </c>
      <c r="L721" s="47"/>
      <c r="M721" s="47"/>
      <c r="N721" s="47"/>
      <c r="O721" s="47"/>
      <c r="P721" s="53"/>
      <c r="Q721" s="53"/>
      <c r="R721" s="53"/>
      <c r="S721" s="53"/>
      <c r="T721" s="48">
        <v>130.18</v>
      </c>
      <c r="U721" s="98">
        <v>2000</v>
      </c>
      <c r="V721" s="98">
        <v>1100</v>
      </c>
      <c r="W721" s="98">
        <v>4212.5422259098987</v>
      </c>
      <c r="X721" s="98">
        <v>2000</v>
      </c>
      <c r="Y721" s="233">
        <v>7</v>
      </c>
      <c r="Z721" s="48">
        <v>2.2599999999999998</v>
      </c>
      <c r="AA721" s="405">
        <v>2.25</v>
      </c>
      <c r="AB721" s="405">
        <v>1.95</v>
      </c>
      <c r="AC721" s="405">
        <v>0.9214</v>
      </c>
      <c r="AD721" s="405">
        <v>1.99</v>
      </c>
      <c r="AE721" s="405">
        <v>2.12</v>
      </c>
      <c r="AF721" s="405">
        <f t="shared" si="154"/>
        <v>2.25</v>
      </c>
      <c r="AG721" s="97">
        <v>1.67</v>
      </c>
      <c r="AH721" s="98">
        <v>5.4500000000000002E-4</v>
      </c>
      <c r="AI721" s="98">
        <v>5.8699999999999996E-4</v>
      </c>
      <c r="AJ721" s="483">
        <f t="shared" si="156"/>
        <v>-1.6521698240360094</v>
      </c>
      <c r="AK721" s="483">
        <f t="shared" si="157"/>
        <v>-1.6199282250650373</v>
      </c>
      <c r="AL721" s="483">
        <f t="shared" si="155"/>
        <v>-1.6199282250650373</v>
      </c>
      <c r="AM721" s="483">
        <v>-3.09544</v>
      </c>
      <c r="AN721" s="226">
        <v>-1.92</v>
      </c>
      <c r="AO721" s="484"/>
      <c r="AP721" s="484"/>
      <c r="AQ721" s="48" t="s">
        <v>6311</v>
      </c>
      <c r="AR721" s="48" t="s">
        <v>6312</v>
      </c>
      <c r="AS721" s="227"/>
      <c r="AT721" s="50" t="s">
        <v>266</v>
      </c>
      <c r="AU721" s="48">
        <v>6</v>
      </c>
      <c r="AV721" s="48">
        <v>120</v>
      </c>
      <c r="AW721" s="48">
        <v>114</v>
      </c>
      <c r="AX721" s="48">
        <v>28</v>
      </c>
      <c r="AY721" s="48" t="s">
        <v>8728</v>
      </c>
      <c r="AZ721" s="48" t="s">
        <v>1563</v>
      </c>
      <c r="BA721" s="48">
        <v>32</v>
      </c>
      <c r="BB721" s="47" t="s">
        <v>2485</v>
      </c>
      <c r="BC721" s="47" t="s">
        <v>8726</v>
      </c>
      <c r="BD721" s="47" t="s">
        <v>8374</v>
      </c>
      <c r="BE721" s="48" t="s">
        <v>2449</v>
      </c>
      <c r="BF721" s="48" t="s">
        <v>272</v>
      </c>
      <c r="BG721" s="48" t="s">
        <v>272</v>
      </c>
      <c r="BH721" s="48" t="s">
        <v>2486</v>
      </c>
      <c r="BI721" s="98">
        <v>8.3315199999999998E-4</v>
      </c>
      <c r="BJ721" s="98">
        <v>8.3315200000000011</v>
      </c>
      <c r="BK721" s="48"/>
      <c r="BL721" s="487">
        <v>62.465219039783861</v>
      </c>
      <c r="BM721" s="47" t="s">
        <v>2487</v>
      </c>
      <c r="BN721" s="48"/>
      <c r="BO721" s="48"/>
      <c r="BP721" s="48"/>
      <c r="BQ721" s="48"/>
      <c r="BR721" s="47" t="e">
        <v>#VALUE!</v>
      </c>
      <c r="BS721" s="48"/>
      <c r="BT721" s="48"/>
      <c r="BU721" s="228"/>
      <c r="BV721" s="48"/>
      <c r="BW721" s="48"/>
      <c r="BX721" s="48"/>
      <c r="BY721" s="48"/>
      <c r="BZ721" s="48"/>
      <c r="CA721" s="48"/>
      <c r="CB721" s="48"/>
      <c r="CC721" s="48"/>
      <c r="CD721" s="48"/>
      <c r="CE721" s="48"/>
      <c r="CF721" s="48"/>
      <c r="CG721" s="48"/>
      <c r="CH721" s="48"/>
      <c r="CI721" s="98"/>
      <c r="CJ721" s="98"/>
      <c r="CK721" s="49">
        <f t="shared" si="152"/>
        <v>7.4974577315764535</v>
      </c>
      <c r="CL721" s="229"/>
      <c r="CM721" s="229"/>
      <c r="CN721" s="229"/>
      <c r="CO721" s="47" t="s">
        <v>2488</v>
      </c>
      <c r="CP721" s="500" t="s">
        <v>2489</v>
      </c>
      <c r="CQ721" s="224" t="s">
        <v>272</v>
      </c>
      <c r="CR721" s="224"/>
      <c r="CS721" s="230" t="s">
        <v>539</v>
      </c>
      <c r="CT721" s="230"/>
      <c r="CU721" s="230"/>
      <c r="CV721" s="335">
        <f t="shared" si="153"/>
        <v>240.05223536641569</v>
      </c>
      <c r="CW721" s="230">
        <f t="shared" si="151"/>
        <v>1</v>
      </c>
      <c r="CX721" s="336"/>
      <c r="CY721" s="230" t="s">
        <v>6351</v>
      </c>
    </row>
    <row r="722" spans="1:103" ht="11.25" customHeight="1" x14ac:dyDescent="0.2">
      <c r="A722" s="72">
        <v>1049</v>
      </c>
      <c r="B722" s="224">
        <v>1695</v>
      </c>
      <c r="C722" s="46" t="s">
        <v>7219</v>
      </c>
      <c r="D722" s="46"/>
      <c r="E722" s="114"/>
      <c r="F722" s="114" t="s">
        <v>4946</v>
      </c>
      <c r="G722" s="225">
        <v>124049</v>
      </c>
      <c r="H722" s="232" t="s">
        <v>4947</v>
      </c>
      <c r="I722" s="232" t="s">
        <v>4947</v>
      </c>
      <c r="J722" s="47" t="s">
        <v>4948</v>
      </c>
      <c r="K722" s="47" t="s">
        <v>426</v>
      </c>
      <c r="L722" s="47"/>
      <c r="M722" s="47"/>
      <c r="N722" s="47"/>
      <c r="O722" s="47"/>
      <c r="P722" s="53"/>
      <c r="Q722" s="53"/>
      <c r="R722" s="53"/>
      <c r="S722" s="53"/>
      <c r="T722" s="48">
        <v>146.13999999999999</v>
      </c>
      <c r="U722" s="98">
        <v>30800</v>
      </c>
      <c r="V722" s="98">
        <v>167300</v>
      </c>
      <c r="W722" s="98">
        <v>76695.362240901755</v>
      </c>
      <c r="X722" s="98">
        <v>30800</v>
      </c>
      <c r="Y722" s="233">
        <v>2.33</v>
      </c>
      <c r="Z722" s="48">
        <v>0.23</v>
      </c>
      <c r="AA722" s="48">
        <v>0.08</v>
      </c>
      <c r="AB722" s="48">
        <v>0.16</v>
      </c>
      <c r="AC722" s="48">
        <v>0.90990000000000004</v>
      </c>
      <c r="AD722" s="48">
        <v>0.14000000000000001</v>
      </c>
      <c r="AE722" s="48">
        <v>0.08</v>
      </c>
      <c r="AF722" s="48">
        <f t="shared" si="154"/>
        <v>0.08</v>
      </c>
      <c r="AG722" s="49">
        <v>0.15</v>
      </c>
      <c r="AH722" s="98">
        <v>9.53E-12</v>
      </c>
      <c r="AI722" s="98">
        <v>4.7099999999999999E-12</v>
      </c>
      <c r="AJ722" s="483">
        <f t="shared" si="156"/>
        <v>-9.4094734256743262</v>
      </c>
      <c r="AK722" s="483">
        <f t="shared" si="157"/>
        <v>-9.7155454191837549</v>
      </c>
      <c r="AL722" s="483">
        <f t="shared" si="155"/>
        <v>-9.7155454191837549</v>
      </c>
      <c r="AM722" s="483">
        <v>-10.81607</v>
      </c>
      <c r="AN722" s="226">
        <v>-10.8</v>
      </c>
      <c r="AO722" s="484">
        <v>4.3899999999999997</v>
      </c>
      <c r="AP722" s="484"/>
      <c r="AQ722" s="226" t="s">
        <v>6311</v>
      </c>
      <c r="AR722" s="226" t="s">
        <v>6311</v>
      </c>
      <c r="AS722" s="224"/>
      <c r="AT722" s="50" t="s">
        <v>266</v>
      </c>
      <c r="AU722" s="48">
        <v>6</v>
      </c>
      <c r="AV722" s="48">
        <v>120</v>
      </c>
      <c r="AW722" s="48">
        <v>114</v>
      </c>
      <c r="AX722" s="48">
        <v>28</v>
      </c>
      <c r="AY722" s="48" t="s">
        <v>8728</v>
      </c>
      <c r="AZ722" s="48" t="s">
        <v>1563</v>
      </c>
      <c r="BA722" s="48">
        <v>32</v>
      </c>
      <c r="BB722" s="47" t="s">
        <v>2485</v>
      </c>
      <c r="BC722" s="47" t="s">
        <v>8726</v>
      </c>
      <c r="BD722" s="47" t="s">
        <v>8374</v>
      </c>
      <c r="BE722" s="48" t="s">
        <v>2449</v>
      </c>
      <c r="BF722" s="48" t="s">
        <v>272</v>
      </c>
      <c r="BG722" s="48" t="s">
        <v>272</v>
      </c>
      <c r="BH722" s="48" t="s">
        <v>2486</v>
      </c>
      <c r="BI722" s="98">
        <v>9.3529599999999985E-4</v>
      </c>
      <c r="BJ722" s="98">
        <v>9.3529599999999995</v>
      </c>
      <c r="BK722" s="48"/>
      <c r="BL722" s="487">
        <v>4666.6593818370811</v>
      </c>
      <c r="BM722" s="47" t="s">
        <v>2487</v>
      </c>
      <c r="BN722" s="48"/>
      <c r="BO722" s="48"/>
      <c r="BP722" s="48"/>
      <c r="BQ722" s="48"/>
      <c r="BR722" s="47" t="e">
        <v>#VALUE!</v>
      </c>
      <c r="BS722" s="48"/>
      <c r="BT722" s="48"/>
      <c r="BU722" s="228"/>
      <c r="BV722" s="48"/>
      <c r="BW722" s="48"/>
      <c r="BX722" s="48"/>
      <c r="BY722" s="48"/>
      <c r="BZ722" s="48"/>
      <c r="CA722" s="48"/>
      <c r="CB722" s="48"/>
      <c r="CC722" s="48"/>
      <c r="CD722" s="48"/>
      <c r="CE722" s="48"/>
      <c r="CF722" s="48"/>
      <c r="CG722" s="48"/>
      <c r="CH722" s="48"/>
      <c r="CI722" s="98"/>
      <c r="CJ722" s="98"/>
      <c r="CK722" s="49">
        <f t="shared" si="152"/>
        <v>498.9499989134008</v>
      </c>
      <c r="CL722" s="229"/>
      <c r="CM722" s="229"/>
      <c r="CN722" s="229"/>
      <c r="CO722" s="47" t="s">
        <v>2488</v>
      </c>
      <c r="CP722" s="500" t="s">
        <v>2489</v>
      </c>
      <c r="CQ722" s="224" t="s">
        <v>272</v>
      </c>
      <c r="CR722" s="224"/>
      <c r="CS722" s="230" t="s">
        <v>539</v>
      </c>
      <c r="CT722" s="230"/>
      <c r="CU722" s="230"/>
      <c r="CV722" s="335">
        <f t="shared" si="153"/>
        <v>3293.0751334336937</v>
      </c>
      <c r="CW722" s="230">
        <f t="shared" si="151"/>
        <v>1</v>
      </c>
      <c r="CX722" s="336"/>
      <c r="CY722" s="230" t="s">
        <v>6351</v>
      </c>
    </row>
    <row r="723" spans="1:103" ht="11.25" customHeight="1" x14ac:dyDescent="0.2">
      <c r="A723" s="72">
        <v>1050</v>
      </c>
      <c r="B723" s="224">
        <v>1221</v>
      </c>
      <c r="C723" s="46" t="s">
        <v>7220</v>
      </c>
      <c r="D723" s="46"/>
      <c r="E723" s="114"/>
      <c r="F723" s="114" t="s">
        <v>3372</v>
      </c>
      <c r="G723" s="225">
        <v>124072</v>
      </c>
      <c r="H723" s="47" t="s">
        <v>3373</v>
      </c>
      <c r="I723" s="47" t="s">
        <v>3373</v>
      </c>
      <c r="J723" s="47" t="s">
        <v>2939</v>
      </c>
      <c r="K723" s="47" t="s">
        <v>426</v>
      </c>
      <c r="L723" s="47"/>
      <c r="M723" s="47"/>
      <c r="N723" s="47"/>
      <c r="O723" s="47"/>
      <c r="P723" s="53"/>
      <c r="Q723" s="53"/>
      <c r="R723" s="53"/>
      <c r="S723" s="53"/>
      <c r="T723" s="48">
        <v>144.21</v>
      </c>
      <c r="U723" s="98">
        <v>789.00000000000011</v>
      </c>
      <c r="V723" s="98">
        <v>495.9</v>
      </c>
      <c r="W723" s="98">
        <v>1945.339372985422</v>
      </c>
      <c r="X723" s="98">
        <v>789.00000000000011</v>
      </c>
      <c r="Y723" s="233">
        <v>3.34</v>
      </c>
      <c r="Z723" s="48">
        <v>3.03</v>
      </c>
      <c r="AA723" s="48">
        <v>3.05</v>
      </c>
      <c r="AB723" s="48">
        <v>2.98</v>
      </c>
      <c r="AC723" s="48">
        <v>0.9103</v>
      </c>
      <c r="AD723" s="48">
        <v>2.97</v>
      </c>
      <c r="AE723" s="48">
        <v>2.9</v>
      </c>
      <c r="AF723" s="48">
        <f t="shared" si="154"/>
        <v>3.05</v>
      </c>
      <c r="AG723" s="49">
        <v>2.4500000000000002</v>
      </c>
      <c r="AH723" s="98">
        <v>3.0000000000000001E-6</v>
      </c>
      <c r="AI723" s="98">
        <v>8.9199999999999999E-7</v>
      </c>
      <c r="AJ723" s="483">
        <f t="shared" si="156"/>
        <v>-3.9114450715929894</v>
      </c>
      <c r="AK723" s="483">
        <f t="shared" si="157"/>
        <v>-4.4382014719365284</v>
      </c>
      <c r="AL723" s="483">
        <f t="shared" si="155"/>
        <v>-4.4382014719365284</v>
      </c>
      <c r="AM723" s="483">
        <v>-5.6973000000000003</v>
      </c>
      <c r="AN723" s="226">
        <v>-4.22</v>
      </c>
      <c r="AO723" s="484">
        <v>4.78</v>
      </c>
      <c r="AP723" s="484"/>
      <c r="AQ723" s="48" t="s">
        <v>6311</v>
      </c>
      <c r="AR723" s="48" t="s">
        <v>6311</v>
      </c>
      <c r="AS723" s="227"/>
      <c r="AT723" s="50" t="s">
        <v>266</v>
      </c>
      <c r="AU723" s="48">
        <v>6</v>
      </c>
      <c r="AV723" s="48">
        <v>120</v>
      </c>
      <c r="AW723" s="48">
        <v>114</v>
      </c>
      <c r="AX723" s="48">
        <v>28</v>
      </c>
      <c r="AY723" s="48" t="s">
        <v>8728</v>
      </c>
      <c r="AZ723" s="48" t="s">
        <v>1563</v>
      </c>
      <c r="BA723" s="48">
        <v>32</v>
      </c>
      <c r="BB723" s="47" t="s">
        <v>2485</v>
      </c>
      <c r="BC723" s="47" t="s">
        <v>8726</v>
      </c>
      <c r="BD723" s="47" t="s">
        <v>8374</v>
      </c>
      <c r="BE723" s="48" t="s">
        <v>2449</v>
      </c>
      <c r="BF723" s="48" t="s">
        <v>272</v>
      </c>
      <c r="BG723" s="48" t="s">
        <v>272</v>
      </c>
      <c r="BH723" s="48" t="s">
        <v>2486</v>
      </c>
      <c r="BI723" s="98">
        <v>9.2294399999999998E-4</v>
      </c>
      <c r="BJ723" s="98">
        <v>9.2294400000000003</v>
      </c>
      <c r="BK723" s="48"/>
      <c r="BL723" s="487">
        <v>14.078370062942659</v>
      </c>
      <c r="BM723" s="47" t="s">
        <v>2487</v>
      </c>
      <c r="BN723" s="48"/>
      <c r="BO723" s="48"/>
      <c r="BP723" s="48"/>
      <c r="BQ723" s="48"/>
      <c r="BR723" s="47" t="e">
        <v>#VALUE!</v>
      </c>
      <c r="BS723" s="48"/>
      <c r="BT723" s="48"/>
      <c r="BU723" s="228">
        <v>0.9229440000000001</v>
      </c>
      <c r="BV723" s="48"/>
      <c r="BW723" s="48"/>
      <c r="BX723" s="48"/>
      <c r="BY723" s="48"/>
      <c r="BZ723" s="48"/>
      <c r="CA723" s="48"/>
      <c r="CB723" s="48"/>
      <c r="CC723" s="48"/>
      <c r="CD723" s="48"/>
      <c r="CE723" s="48"/>
      <c r="CF723" s="48"/>
      <c r="CG723" s="48"/>
      <c r="CH723" s="48"/>
      <c r="CI723" s="98"/>
      <c r="CJ723" s="98"/>
      <c r="CK723" s="49">
        <f t="shared" si="152"/>
        <v>1.5253764110219752</v>
      </c>
      <c r="CL723" s="229"/>
      <c r="CM723" s="229"/>
      <c r="CN723" s="229"/>
      <c r="CO723" s="47" t="s">
        <v>2488</v>
      </c>
      <c r="CP723" s="500" t="s">
        <v>2489</v>
      </c>
      <c r="CQ723" s="224" t="s">
        <v>272</v>
      </c>
      <c r="CR723" s="224"/>
      <c r="CS723" s="230" t="s">
        <v>539</v>
      </c>
      <c r="CT723" s="230"/>
      <c r="CU723" s="230"/>
      <c r="CV723" s="335">
        <f t="shared" si="153"/>
        <v>85.487310172664877</v>
      </c>
      <c r="CW723" s="230">
        <f t="shared" si="151"/>
        <v>1</v>
      </c>
      <c r="CX723" s="336"/>
      <c r="CY723" s="230" t="s">
        <v>6351</v>
      </c>
    </row>
    <row r="724" spans="1:103" ht="11.25" customHeight="1" x14ac:dyDescent="0.2">
      <c r="A724" s="72">
        <v>1051</v>
      </c>
      <c r="B724" s="224">
        <v>1794</v>
      </c>
      <c r="C724" s="46" t="s">
        <v>7221</v>
      </c>
      <c r="D724" s="46"/>
      <c r="E724" s="114"/>
      <c r="F724" s="114" t="s">
        <v>5163</v>
      </c>
      <c r="G724" s="225">
        <v>124130</v>
      </c>
      <c r="H724" s="47" t="s">
        <v>5164</v>
      </c>
      <c r="I724" s="47" t="s">
        <v>5164</v>
      </c>
      <c r="J724" s="47" t="s">
        <v>5165</v>
      </c>
      <c r="K724" s="47" t="s">
        <v>511</v>
      </c>
      <c r="L724" s="47"/>
      <c r="M724" s="47"/>
      <c r="N724" s="47"/>
      <c r="O724" s="47"/>
      <c r="P724" s="53" t="s">
        <v>6172</v>
      </c>
      <c r="Q724" s="53" t="s">
        <v>6176</v>
      </c>
      <c r="R724" s="53" t="s">
        <v>6175</v>
      </c>
      <c r="S724" s="53" t="s">
        <v>6176</v>
      </c>
      <c r="T724" s="48">
        <v>128.21</v>
      </c>
      <c r="U724" s="98">
        <v>560</v>
      </c>
      <c r="V724" s="98">
        <v>394.3</v>
      </c>
      <c r="W724" s="98">
        <v>808.95041135805491</v>
      </c>
      <c r="X724" s="98">
        <v>560</v>
      </c>
      <c r="Y724" s="233">
        <v>7</v>
      </c>
      <c r="Z724" s="48">
        <v>2.78</v>
      </c>
      <c r="AA724" s="48"/>
      <c r="AB724" s="48">
        <v>3.37</v>
      </c>
      <c r="AC724" s="48">
        <v>0.72640000000000005</v>
      </c>
      <c r="AD724" s="48">
        <v>3.24</v>
      </c>
      <c r="AE724" s="48">
        <v>3.03</v>
      </c>
      <c r="AF724" s="48">
        <f t="shared" si="154"/>
        <v>3.24</v>
      </c>
      <c r="AG724" s="49">
        <v>2.65</v>
      </c>
      <c r="AH724" s="98">
        <v>3.7100000000000002E-4</v>
      </c>
      <c r="AI724" s="98">
        <v>5.1400000000000003E-4</v>
      </c>
      <c r="AJ724" s="483">
        <f t="shared" si="156"/>
        <v>-1.8191924166976059</v>
      </c>
      <c r="AK724" s="483">
        <f t="shared" si="157"/>
        <v>-1.6776032073173761</v>
      </c>
      <c r="AL724" s="483">
        <f t="shared" si="155"/>
        <v>-1.6776032073173761</v>
      </c>
      <c r="AM724" s="483">
        <v>-3.5833500000000003</v>
      </c>
      <c r="AN724" s="226">
        <v>-1.64</v>
      </c>
      <c r="AO724" s="484"/>
      <c r="AP724" s="484"/>
      <c r="AQ724" s="226" t="s">
        <v>6311</v>
      </c>
      <c r="AR724" s="226" t="s">
        <v>6311</v>
      </c>
      <c r="AS724" s="224"/>
      <c r="AT724" s="50" t="s">
        <v>266</v>
      </c>
      <c r="AU724" s="48">
        <v>6</v>
      </c>
      <c r="AV724" s="48">
        <v>120</v>
      </c>
      <c r="AW724" s="48">
        <v>114</v>
      </c>
      <c r="AX724" s="48">
        <v>28</v>
      </c>
      <c r="AY724" s="48" t="s">
        <v>8728</v>
      </c>
      <c r="AZ724" s="48" t="s">
        <v>1563</v>
      </c>
      <c r="BA724" s="48">
        <v>32</v>
      </c>
      <c r="BB724" s="47" t="s">
        <v>2485</v>
      </c>
      <c r="BC724" s="47" t="s">
        <v>8726</v>
      </c>
      <c r="BD724" s="47" t="s">
        <v>8374</v>
      </c>
      <c r="BE724" s="48" t="s">
        <v>2449</v>
      </c>
      <c r="BF724" s="48" t="s">
        <v>272</v>
      </c>
      <c r="BG724" s="48" t="s">
        <v>272</v>
      </c>
      <c r="BH724" s="48" t="s">
        <v>2486</v>
      </c>
      <c r="BI724" s="98">
        <v>8.2054399999999998E-4</v>
      </c>
      <c r="BJ724" s="98">
        <v>8.2054400000000012</v>
      </c>
      <c r="BK724" s="48"/>
      <c r="BL724" s="487">
        <v>20.989587332604291</v>
      </c>
      <c r="BM724" s="47" t="s">
        <v>2487</v>
      </c>
      <c r="BN724" s="48"/>
      <c r="BO724" s="48"/>
      <c r="BP724" s="48"/>
      <c r="BQ724" s="48"/>
      <c r="BR724" s="47" t="e">
        <v>#VALUE!</v>
      </c>
      <c r="BS724" s="48"/>
      <c r="BT724" s="48"/>
      <c r="BU724" s="228"/>
      <c r="BV724" s="48"/>
      <c r="BW724" s="48"/>
      <c r="BX724" s="48"/>
      <c r="BY724" s="48"/>
      <c r="BZ724" s="48"/>
      <c r="CA724" s="48"/>
      <c r="CB724" s="48"/>
      <c r="CC724" s="48"/>
      <c r="CD724" s="48"/>
      <c r="CE724" s="48"/>
      <c r="CF724" s="48"/>
      <c r="CG724" s="48"/>
      <c r="CH724" s="48"/>
      <c r="CI724" s="98"/>
      <c r="CJ724" s="98"/>
      <c r="CK724" s="49">
        <f t="shared" si="152"/>
        <v>2.5580087518285781</v>
      </c>
      <c r="CL724" s="229"/>
      <c r="CM724" s="229"/>
      <c r="CN724" s="229"/>
      <c r="CO724" s="47" t="s">
        <v>2488</v>
      </c>
      <c r="CP724" s="500" t="s">
        <v>2489</v>
      </c>
      <c r="CQ724" s="224" t="s">
        <v>272</v>
      </c>
      <c r="CR724" s="224"/>
      <c r="CS724" s="230" t="s">
        <v>539</v>
      </c>
      <c r="CT724" s="230"/>
      <c r="CU724" s="230"/>
      <c r="CV724" s="335">
        <f t="shared" si="153"/>
        <v>68.247406598549247</v>
      </c>
      <c r="CW724" s="230">
        <f t="shared" si="151"/>
        <v>1</v>
      </c>
      <c r="CX724" s="336"/>
      <c r="CY724" s="230" t="s">
        <v>6351</v>
      </c>
    </row>
    <row r="725" spans="1:103" ht="11.25" customHeight="1" x14ac:dyDescent="0.2">
      <c r="A725" s="72">
        <v>1052</v>
      </c>
      <c r="B725" s="224">
        <v>1304</v>
      </c>
      <c r="C725" s="46" t="s">
        <v>7222</v>
      </c>
      <c r="D725" s="46"/>
      <c r="E725" s="114"/>
      <c r="F725" s="114" t="s">
        <v>3575</v>
      </c>
      <c r="G725" s="225">
        <v>124947</v>
      </c>
      <c r="H725" s="47" t="s">
        <v>3576</v>
      </c>
      <c r="I725" s="47" t="s">
        <v>3576</v>
      </c>
      <c r="J725" s="47" t="s">
        <v>3577</v>
      </c>
      <c r="K725" s="47" t="s">
        <v>3444</v>
      </c>
      <c r="L725" s="47" t="s">
        <v>279</v>
      </c>
      <c r="M725" s="47" t="s">
        <v>3578</v>
      </c>
      <c r="N725" s="47"/>
      <c r="O725" s="47" t="s">
        <v>281</v>
      </c>
      <c r="P725" s="53"/>
      <c r="Q725" s="53"/>
      <c r="R725" s="53"/>
      <c r="S725" s="53"/>
      <c r="T725" s="48">
        <v>394.43</v>
      </c>
      <c r="U725" s="98">
        <v>80</v>
      </c>
      <c r="V725" s="98">
        <v>338.7</v>
      </c>
      <c r="W725" s="98">
        <v>146.54464041279763</v>
      </c>
      <c r="X725" s="98">
        <v>80</v>
      </c>
      <c r="Y725" s="233">
        <v>6.98</v>
      </c>
      <c r="Z725" s="48">
        <v>0.96</v>
      </c>
      <c r="AA725" s="48">
        <v>1.1599999999999999</v>
      </c>
      <c r="AB725" s="48">
        <v>0.93</v>
      </c>
      <c r="AC725" s="48">
        <v>0.87809999999999999</v>
      </c>
      <c r="AD725" s="48">
        <v>0.92</v>
      </c>
      <c r="AE725" s="48">
        <v>0.83</v>
      </c>
      <c r="AF725" s="48">
        <f t="shared" si="154"/>
        <v>1.1599999999999999</v>
      </c>
      <c r="AG725" s="49">
        <v>0.52</v>
      </c>
      <c r="AH725" s="98">
        <v>1.97E-9</v>
      </c>
      <c r="AI725" s="98"/>
      <c r="AJ725" s="483">
        <f t="shared" si="156"/>
        <v>-7.0941001001510591</v>
      </c>
      <c r="AK725" s="483"/>
      <c r="AL725" s="483">
        <f t="shared" si="155"/>
        <v>-7.0941001001510591</v>
      </c>
      <c r="AM725" s="483">
        <v>-27.147259999999999</v>
      </c>
      <c r="AN725" s="226">
        <v>-16.399999999999999</v>
      </c>
      <c r="AO725" s="484">
        <v>11.57</v>
      </c>
      <c r="AP725" s="484"/>
      <c r="AQ725" s="48" t="s">
        <v>6311</v>
      </c>
      <c r="AR725" s="48" t="s">
        <v>6311</v>
      </c>
      <c r="AS725" s="227"/>
      <c r="AT725" s="50" t="s">
        <v>266</v>
      </c>
      <c r="AU725" s="48">
        <v>6</v>
      </c>
      <c r="AV725" s="48">
        <v>120</v>
      </c>
      <c r="AW725" s="48">
        <v>114</v>
      </c>
      <c r="AX725" s="48">
        <v>28</v>
      </c>
      <c r="AY725" s="48" t="s">
        <v>8728</v>
      </c>
      <c r="AZ725" s="48" t="s">
        <v>1563</v>
      </c>
      <c r="BA725" s="48">
        <v>32</v>
      </c>
      <c r="BB725" s="47" t="s">
        <v>2485</v>
      </c>
      <c r="BC725" s="47" t="s">
        <v>8726</v>
      </c>
      <c r="BD725" s="47" t="s">
        <v>8374</v>
      </c>
      <c r="BE725" s="48" t="s">
        <v>2449</v>
      </c>
      <c r="BF725" s="48" t="s">
        <v>272</v>
      </c>
      <c r="BG725" s="48" t="s">
        <v>272</v>
      </c>
      <c r="BH725" s="48" t="s">
        <v>2486</v>
      </c>
      <c r="BI725" s="98">
        <v>2.5243520000000001E-3</v>
      </c>
      <c r="BJ725" s="98">
        <v>25.24352</v>
      </c>
      <c r="BK725" s="48"/>
      <c r="BL725" s="487">
        <v>2783.5173943624923</v>
      </c>
      <c r="BM725" s="47" t="s">
        <v>2487</v>
      </c>
      <c r="BN725" s="48"/>
      <c r="BO725" s="48"/>
      <c r="BP725" s="48"/>
      <c r="BQ725" s="48"/>
      <c r="BR725" s="47"/>
      <c r="BS725" s="48"/>
      <c r="BT725" s="48"/>
      <c r="BU725" s="228">
        <v>2.5243520000000001E-3</v>
      </c>
      <c r="BV725" s="48"/>
      <c r="BW725" s="48"/>
      <c r="BX725" s="48"/>
      <c r="BY725" s="48"/>
      <c r="BZ725" s="48"/>
      <c r="CA725" s="48"/>
      <c r="CB725" s="48"/>
      <c r="CC725" s="48"/>
      <c r="CD725" s="48"/>
      <c r="CE725" s="48"/>
      <c r="CF725" s="48"/>
      <c r="CG725" s="48"/>
      <c r="CH725" s="48"/>
      <c r="CI725" s="52"/>
      <c r="CJ725" s="98"/>
      <c r="CK725" s="49">
        <f t="shared" si="152"/>
        <v>110.26661077228897</v>
      </c>
      <c r="CL725" s="229"/>
      <c r="CM725" s="229"/>
      <c r="CN725" s="229"/>
      <c r="CO725" s="47" t="s">
        <v>2488</v>
      </c>
      <c r="CP725" s="500" t="s">
        <v>2489</v>
      </c>
      <c r="CQ725" s="224" t="s">
        <v>272</v>
      </c>
      <c r="CR725" s="224"/>
      <c r="CS725" s="230" t="s">
        <v>539</v>
      </c>
      <c r="CT725" s="230"/>
      <c r="CU725" s="230"/>
      <c r="CV725" s="335">
        <f t="shared" si="153"/>
        <v>3.1691301371599523</v>
      </c>
      <c r="CW725" s="230">
        <f t="shared" si="151"/>
        <v>1</v>
      </c>
      <c r="CX725" s="336"/>
      <c r="CY725" s="230" t="s">
        <v>5921</v>
      </c>
    </row>
    <row r="726" spans="1:103" ht="11.25" customHeight="1" x14ac:dyDescent="0.2">
      <c r="A726" s="72">
        <v>1053</v>
      </c>
      <c r="B726" s="224">
        <v>1386</v>
      </c>
      <c r="C726" s="46" t="s">
        <v>7223</v>
      </c>
      <c r="D726" s="46"/>
      <c r="E726" s="114"/>
      <c r="F726" s="114" t="s">
        <v>4272</v>
      </c>
      <c r="G726" s="225">
        <v>126114</v>
      </c>
      <c r="H726" s="47" t="s">
        <v>4273</v>
      </c>
      <c r="I726" s="47" t="s">
        <v>4273</v>
      </c>
      <c r="J726" s="47" t="s">
        <v>4274</v>
      </c>
      <c r="K726" s="47" t="s">
        <v>4275</v>
      </c>
      <c r="L726" s="47"/>
      <c r="M726" s="47"/>
      <c r="N726" s="47"/>
      <c r="O726" s="47"/>
      <c r="P726" s="53"/>
      <c r="Q726" s="53"/>
      <c r="R726" s="53"/>
      <c r="S726" s="53"/>
      <c r="T726" s="48">
        <v>151.12</v>
      </c>
      <c r="U726" s="98">
        <v>2200000</v>
      </c>
      <c r="V726" s="98">
        <v>803700</v>
      </c>
      <c r="W726" s="98">
        <v>338315.53846044745</v>
      </c>
      <c r="X726" s="98">
        <v>2200000</v>
      </c>
      <c r="Y726" s="233">
        <v>5.98</v>
      </c>
      <c r="Z726" s="48">
        <v>-1.66</v>
      </c>
      <c r="AA726" s="48"/>
      <c r="AB726" s="48">
        <v>-1.7</v>
      </c>
      <c r="AC726" s="48">
        <v>0.68400000000000005</v>
      </c>
      <c r="AD726" s="48">
        <v>-1.03</v>
      </c>
      <c r="AE726" s="48">
        <v>0.35</v>
      </c>
      <c r="AF726" s="48">
        <f t="shared" si="154"/>
        <v>-1.03</v>
      </c>
      <c r="AG726" s="49">
        <v>-2.02</v>
      </c>
      <c r="AH726" s="98">
        <v>4.8200000000000001E-12</v>
      </c>
      <c r="AI726" s="98"/>
      <c r="AJ726" s="483">
        <f t="shared" si="156"/>
        <v>-9.7055192880738019</v>
      </c>
      <c r="AK726" s="483"/>
      <c r="AL726" s="483">
        <f t="shared" si="155"/>
        <v>-9.7055192880738019</v>
      </c>
      <c r="AM726" s="483">
        <v>-14.01641</v>
      </c>
      <c r="AN726" s="226">
        <v>-9.77</v>
      </c>
      <c r="AO726" s="484">
        <v>12.32</v>
      </c>
      <c r="AP726" s="484"/>
      <c r="AQ726" s="48" t="s">
        <v>6311</v>
      </c>
      <c r="AR726" s="48" t="s">
        <v>6311</v>
      </c>
      <c r="AS726" s="227"/>
      <c r="AT726" s="50" t="s">
        <v>266</v>
      </c>
      <c r="AU726" s="48">
        <v>6</v>
      </c>
      <c r="AV726" s="48">
        <v>120</v>
      </c>
      <c r="AW726" s="48">
        <v>114</v>
      </c>
      <c r="AX726" s="48">
        <v>28</v>
      </c>
      <c r="AY726" s="48" t="s">
        <v>8728</v>
      </c>
      <c r="AZ726" s="48" t="s">
        <v>1563</v>
      </c>
      <c r="BA726" s="48">
        <v>32</v>
      </c>
      <c r="BB726" s="47" t="s">
        <v>2485</v>
      </c>
      <c r="BC726" s="47" t="s">
        <v>8726</v>
      </c>
      <c r="BD726" s="47" t="s">
        <v>8374</v>
      </c>
      <c r="BE726" s="48" t="s">
        <v>2449</v>
      </c>
      <c r="BF726" s="48" t="s">
        <v>272</v>
      </c>
      <c r="BG726" s="48" t="s">
        <v>272</v>
      </c>
      <c r="BH726" s="48" t="s">
        <v>2486</v>
      </c>
      <c r="BI726" s="98">
        <v>9.6716800000000002E-4</v>
      </c>
      <c r="BJ726" s="98">
        <v>9.6716800000000003</v>
      </c>
      <c r="BK726" s="48"/>
      <c r="BL726" s="487">
        <v>240418.53415868577</v>
      </c>
      <c r="BM726" s="47" t="s">
        <v>2487</v>
      </c>
      <c r="BN726" s="48"/>
      <c r="BO726" s="48"/>
      <c r="BP726" s="48"/>
      <c r="BQ726" s="48"/>
      <c r="BR726" s="47" t="e">
        <v>#VALUE!</v>
      </c>
      <c r="BS726" s="48"/>
      <c r="BT726" s="48"/>
      <c r="BU726" s="228"/>
      <c r="BV726" s="48"/>
      <c r="BW726" s="48"/>
      <c r="BX726" s="48"/>
      <c r="BY726" s="48"/>
      <c r="BZ726" s="48"/>
      <c r="CA726" s="48"/>
      <c r="CB726" s="48"/>
      <c r="CC726" s="48"/>
      <c r="CD726" s="48"/>
      <c r="CE726" s="48"/>
      <c r="CF726" s="48"/>
      <c r="CG726" s="48"/>
      <c r="CH726" s="48"/>
      <c r="CI726" s="98"/>
      <c r="CJ726" s="98"/>
      <c r="CK726" s="49">
        <f t="shared" si="152"/>
        <v>24857.990975578778</v>
      </c>
      <c r="CL726" s="229"/>
      <c r="CM726" s="229"/>
      <c r="CN726" s="229"/>
      <c r="CO726" s="47" t="s">
        <v>2488</v>
      </c>
      <c r="CP726" s="500" t="s">
        <v>2489</v>
      </c>
      <c r="CQ726" s="224">
        <v>2.4471580313422194</v>
      </c>
      <c r="CR726" s="224">
        <f>10^(CJ726-CQ726)</f>
        <v>3.5714285714285665E-3</v>
      </c>
      <c r="CS726" s="230" t="s">
        <v>539</v>
      </c>
      <c r="CT726" s="230"/>
      <c r="CU726" s="230"/>
      <c r="CV726" s="335">
        <f t="shared" si="153"/>
        <v>227468.23716251986</v>
      </c>
      <c r="CW726" s="230">
        <f t="shared" si="151"/>
        <v>1</v>
      </c>
      <c r="CX726" s="336"/>
      <c r="CY726" s="230" t="s">
        <v>5921</v>
      </c>
    </row>
    <row r="727" spans="1:103" ht="11.25" customHeight="1" x14ac:dyDescent="0.2">
      <c r="A727" s="72">
        <v>1054</v>
      </c>
      <c r="B727" s="224">
        <v>1305</v>
      </c>
      <c r="C727" s="46" t="s">
        <v>7224</v>
      </c>
      <c r="D727" s="46" t="s">
        <v>8697</v>
      </c>
      <c r="E727" s="114"/>
      <c r="F727" s="114" t="s">
        <v>3579</v>
      </c>
      <c r="G727" s="225">
        <v>126738</v>
      </c>
      <c r="H727" s="47" t="s">
        <v>3580</v>
      </c>
      <c r="I727" s="47" t="s">
        <v>3580</v>
      </c>
      <c r="J727" s="47" t="s">
        <v>3581</v>
      </c>
      <c r="K727" s="47" t="s">
        <v>637</v>
      </c>
      <c r="L727" s="51" t="s">
        <v>5527</v>
      </c>
      <c r="M727" s="47" t="s">
        <v>8696</v>
      </c>
      <c r="N727" s="47" t="s">
        <v>6376</v>
      </c>
      <c r="O727" s="47" t="s">
        <v>498</v>
      </c>
      <c r="P727" s="53"/>
      <c r="Q727" s="53" t="s">
        <v>6173</v>
      </c>
      <c r="R727" s="53" t="s">
        <v>6177</v>
      </c>
      <c r="S727" s="53" t="s">
        <v>6176</v>
      </c>
      <c r="T727" s="48">
        <v>266.31</v>
      </c>
      <c r="U727" s="98">
        <v>280</v>
      </c>
      <c r="V727" s="98">
        <v>7.3550000000000004</v>
      </c>
      <c r="W727" s="98">
        <v>484.60453565642405</v>
      </c>
      <c r="X727" s="98">
        <v>280</v>
      </c>
      <c r="Y727" s="233">
        <v>7</v>
      </c>
      <c r="Z727" s="48">
        <v>3.82</v>
      </c>
      <c r="AA727" s="48">
        <v>4</v>
      </c>
      <c r="AB727" s="48">
        <v>3.46</v>
      </c>
      <c r="AC727" s="48">
        <v>0.75480000000000003</v>
      </c>
      <c r="AD727" s="48">
        <v>3.74</v>
      </c>
      <c r="AE727" s="48">
        <v>4.26</v>
      </c>
      <c r="AF727" s="48">
        <f t="shared" si="154"/>
        <v>4</v>
      </c>
      <c r="AG727" s="49">
        <v>3.5</v>
      </c>
      <c r="AH727" s="98">
        <v>3.19E-6</v>
      </c>
      <c r="AI727" s="98">
        <v>1.4100000000000001E-6</v>
      </c>
      <c r="AJ727" s="483">
        <f t="shared" si="156"/>
        <v>-3.8847756432554705</v>
      </c>
      <c r="AK727" s="483">
        <f>LOG10(AI727*1000/(0.08206*298.15))</f>
        <v>-4.2393472136572719</v>
      </c>
      <c r="AL727" s="483">
        <f t="shared" si="155"/>
        <v>-4.2393472136572719</v>
      </c>
      <c r="AM727" s="483">
        <v>-8.7545000000000002</v>
      </c>
      <c r="AN727" s="226">
        <v>-3.63</v>
      </c>
      <c r="AO727" s="484"/>
      <c r="AP727" s="484"/>
      <c r="AQ727" s="48" t="s">
        <v>6312</v>
      </c>
      <c r="AR727" s="48" t="s">
        <v>6312</v>
      </c>
      <c r="AS727" s="227"/>
      <c r="AT727" s="50" t="s">
        <v>266</v>
      </c>
      <c r="AU727" s="48">
        <v>6</v>
      </c>
      <c r="AV727" s="48">
        <v>120</v>
      </c>
      <c r="AW727" s="48">
        <v>114</v>
      </c>
      <c r="AX727" s="48">
        <v>28</v>
      </c>
      <c r="AY727" s="48" t="s">
        <v>8728</v>
      </c>
      <c r="AZ727" s="48" t="s">
        <v>1563</v>
      </c>
      <c r="BA727" s="48">
        <v>32</v>
      </c>
      <c r="BB727" s="47" t="s">
        <v>2485</v>
      </c>
      <c r="BC727" s="47" t="s">
        <v>8726</v>
      </c>
      <c r="BD727" s="47" t="s">
        <v>8374</v>
      </c>
      <c r="BE727" s="48" t="s">
        <v>2449</v>
      </c>
      <c r="BF727" s="48" t="s">
        <v>272</v>
      </c>
      <c r="BG727" s="48" t="s">
        <v>272</v>
      </c>
      <c r="BH727" s="48" t="s">
        <v>2486</v>
      </c>
      <c r="BI727" s="98">
        <v>1.704384E-3</v>
      </c>
      <c r="BJ727" s="98">
        <v>17.043839999999999</v>
      </c>
      <c r="BK727" s="48"/>
      <c r="BL727" s="487">
        <v>5.0751101733869293</v>
      </c>
      <c r="BM727" s="47" t="s">
        <v>2487</v>
      </c>
      <c r="BN727" s="48"/>
      <c r="BO727" s="48"/>
      <c r="BP727" s="48"/>
      <c r="BQ727" s="48"/>
      <c r="BR727" s="47" t="e">
        <v>#VALUE!</v>
      </c>
      <c r="BS727" s="48"/>
      <c r="BT727" s="48"/>
      <c r="BU727" s="228">
        <v>17.043839999999999</v>
      </c>
      <c r="BV727" s="48"/>
      <c r="BW727" s="48"/>
      <c r="BX727" s="48"/>
      <c r="BY727" s="48"/>
      <c r="BZ727" s="48"/>
      <c r="CA727" s="48"/>
      <c r="CB727" s="48"/>
      <c r="CC727" s="48"/>
      <c r="CD727" s="48"/>
      <c r="CE727" s="48"/>
      <c r="CF727" s="48"/>
      <c r="CG727" s="48"/>
      <c r="CH727" s="48"/>
      <c r="CI727" s="98"/>
      <c r="CJ727" s="98"/>
      <c r="CK727" s="49">
        <f t="shared" si="152"/>
        <v>0.29776800142379473</v>
      </c>
      <c r="CL727" s="229"/>
      <c r="CM727" s="229"/>
      <c r="CN727" s="229"/>
      <c r="CO727" s="47" t="s">
        <v>2488</v>
      </c>
      <c r="CP727" s="500" t="s">
        <v>2489</v>
      </c>
      <c r="CQ727" s="224">
        <v>0.79929546284980446</v>
      </c>
      <c r="CR727" s="224">
        <f>10^(CJ727-CQ727)</f>
        <v>0.15874663827472885</v>
      </c>
      <c r="CS727" s="230" t="s">
        <v>539</v>
      </c>
      <c r="CT727" s="230"/>
      <c r="CU727" s="230"/>
      <c r="CV727" s="335">
        <f t="shared" si="153"/>
        <v>16.42822274792535</v>
      </c>
      <c r="CW727" s="230">
        <f t="shared" si="151"/>
        <v>1</v>
      </c>
      <c r="CX727" s="336"/>
      <c r="CY727" s="230" t="s">
        <v>6351</v>
      </c>
    </row>
    <row r="728" spans="1:103" ht="11.25" customHeight="1" x14ac:dyDescent="0.2">
      <c r="A728" s="72">
        <v>1055</v>
      </c>
      <c r="B728" s="224">
        <v>1419</v>
      </c>
      <c r="C728" s="46" t="s">
        <v>7225</v>
      </c>
      <c r="D728" s="46"/>
      <c r="E728" s="114"/>
      <c r="F728" s="114" t="s">
        <v>4365</v>
      </c>
      <c r="G728" s="225">
        <v>126863</v>
      </c>
      <c r="H728" s="47" t="s">
        <v>4366</v>
      </c>
      <c r="I728" s="47" t="s">
        <v>7940</v>
      </c>
      <c r="J728" s="47" t="s">
        <v>4367</v>
      </c>
      <c r="K728" s="47" t="s">
        <v>4368</v>
      </c>
      <c r="L728" s="47"/>
      <c r="M728" s="47" t="s">
        <v>526</v>
      </c>
      <c r="N728" s="47" t="s">
        <v>526</v>
      </c>
      <c r="O728" s="47"/>
      <c r="P728" s="53"/>
      <c r="Q728" s="53"/>
      <c r="R728" s="53"/>
      <c r="S728" s="53"/>
      <c r="T728" s="48">
        <v>226.36</v>
      </c>
      <c r="U728" s="98"/>
      <c r="V728" s="98">
        <v>26.35</v>
      </c>
      <c r="W728" s="98">
        <v>30.535123810344665</v>
      </c>
      <c r="X728" s="98">
        <v>30.535123810344665</v>
      </c>
      <c r="Y728" s="233">
        <v>7</v>
      </c>
      <c r="Z728" s="48">
        <v>3.61</v>
      </c>
      <c r="AA728" s="48"/>
      <c r="AB728" s="48">
        <v>2.82</v>
      </c>
      <c r="AC728" s="48">
        <v>0.67310000000000003</v>
      </c>
      <c r="AD728" s="48">
        <v>2.94</v>
      </c>
      <c r="AE728" s="48">
        <v>3.11</v>
      </c>
      <c r="AF728" s="48">
        <f t="shared" si="154"/>
        <v>2.94</v>
      </c>
      <c r="AG728" s="49">
        <v>3.23</v>
      </c>
      <c r="AH728" s="98">
        <v>2.4400000000000001E-7</v>
      </c>
      <c r="AI728" s="98"/>
      <c r="AJ728" s="483">
        <f t="shared" si="156"/>
        <v>-5.0011764999739219</v>
      </c>
      <c r="AK728" s="483"/>
      <c r="AL728" s="483">
        <f t="shared" si="155"/>
        <v>-5.0011764999739219</v>
      </c>
      <c r="AM728" s="483">
        <v>-9.0765900000000013</v>
      </c>
      <c r="AN728" s="226">
        <v>-8.3699999999999992</v>
      </c>
      <c r="AO728" s="484">
        <v>12.92</v>
      </c>
      <c r="AP728" s="484"/>
      <c r="AQ728" s="48" t="s">
        <v>6311</v>
      </c>
      <c r="AR728" s="48" t="s">
        <v>6311</v>
      </c>
      <c r="AS728" s="227"/>
      <c r="AT728" s="50" t="s">
        <v>266</v>
      </c>
      <c r="AU728" s="48">
        <v>6</v>
      </c>
      <c r="AV728" s="48">
        <v>120</v>
      </c>
      <c r="AW728" s="48">
        <v>114</v>
      </c>
      <c r="AX728" s="48">
        <v>28</v>
      </c>
      <c r="AY728" s="48" t="s">
        <v>8728</v>
      </c>
      <c r="AZ728" s="48" t="s">
        <v>1563</v>
      </c>
      <c r="BA728" s="48">
        <v>32</v>
      </c>
      <c r="BB728" s="47" t="s">
        <v>2485</v>
      </c>
      <c r="BC728" s="47" t="s">
        <v>8726</v>
      </c>
      <c r="BD728" s="47" t="s">
        <v>8374</v>
      </c>
      <c r="BE728" s="48" t="s">
        <v>2449</v>
      </c>
      <c r="BF728" s="48" t="s">
        <v>272</v>
      </c>
      <c r="BG728" s="48" t="s">
        <v>272</v>
      </c>
      <c r="BH728" s="48" t="s">
        <v>2486</v>
      </c>
      <c r="BI728" s="98">
        <v>1.4487040000000001E-3</v>
      </c>
      <c r="BJ728" s="98">
        <v>14.48704</v>
      </c>
      <c r="BK728" s="48"/>
      <c r="BL728" s="487">
        <v>6.6597616350830346</v>
      </c>
      <c r="BM728" s="47" t="s">
        <v>2487</v>
      </c>
      <c r="BN728" s="48"/>
      <c r="BO728" s="48"/>
      <c r="BP728" s="48"/>
      <c r="BQ728" s="48"/>
      <c r="BR728" s="47" t="e">
        <v>#VALUE!</v>
      </c>
      <c r="BS728" s="48"/>
      <c r="BT728" s="48"/>
      <c r="BU728" s="228"/>
      <c r="BV728" s="48"/>
      <c r="BW728" s="48"/>
      <c r="BX728" s="48"/>
      <c r="BY728" s="48"/>
      <c r="BZ728" s="48"/>
      <c r="CA728" s="48"/>
      <c r="CB728" s="48"/>
      <c r="CC728" s="48"/>
      <c r="CD728" s="48"/>
      <c r="CE728" s="48"/>
      <c r="CF728" s="48"/>
      <c r="CG728" s="48"/>
      <c r="CH728" s="48"/>
      <c r="CI728" s="98"/>
      <c r="CJ728" s="98"/>
      <c r="CK728" s="49">
        <f t="shared" si="152"/>
        <v>0.45970478683589155</v>
      </c>
      <c r="CL728" s="229"/>
      <c r="CM728" s="229"/>
      <c r="CN728" s="229"/>
      <c r="CO728" s="47" t="s">
        <v>2488</v>
      </c>
      <c r="CP728" s="500" t="s">
        <v>2489</v>
      </c>
      <c r="CQ728" s="224">
        <v>1.5563025007672873</v>
      </c>
      <c r="CR728" s="224">
        <f>10^(CJ728-CQ728)</f>
        <v>2.7777777777777766E-2</v>
      </c>
      <c r="CS728" s="230" t="s">
        <v>539</v>
      </c>
      <c r="CT728" s="230"/>
      <c r="CU728" s="230"/>
      <c r="CV728" s="335">
        <f t="shared" si="153"/>
        <v>2.1077545040494581</v>
      </c>
      <c r="CW728" s="230">
        <f t="shared" si="151"/>
        <v>1</v>
      </c>
      <c r="CX728" s="336"/>
      <c r="CY728" s="230" t="s">
        <v>6351</v>
      </c>
    </row>
    <row r="729" spans="1:103" ht="11.25" customHeight="1" x14ac:dyDescent="0.2">
      <c r="A729" s="72">
        <v>1056</v>
      </c>
      <c r="B729" s="224">
        <v>1161</v>
      </c>
      <c r="C729" s="46" t="s">
        <v>7226</v>
      </c>
      <c r="D729" s="46"/>
      <c r="E729" s="114"/>
      <c r="F729" s="114" t="s">
        <v>717</v>
      </c>
      <c r="G729" s="225">
        <v>127071</v>
      </c>
      <c r="H729" s="47" t="s">
        <v>718</v>
      </c>
      <c r="I729" s="47" t="s">
        <v>718</v>
      </c>
      <c r="J729" s="47" t="s">
        <v>719</v>
      </c>
      <c r="K729" s="47" t="s">
        <v>426</v>
      </c>
      <c r="L729" s="47" t="s">
        <v>279</v>
      </c>
      <c r="M729" s="47" t="s">
        <v>720</v>
      </c>
      <c r="N729" s="47"/>
      <c r="O729" s="47" t="s">
        <v>281</v>
      </c>
      <c r="P729" s="53"/>
      <c r="Q729" s="53"/>
      <c r="R729" s="53"/>
      <c r="S729" s="53"/>
      <c r="T729" s="48">
        <v>76.05</v>
      </c>
      <c r="U729" s="98">
        <v>1000000.0000000001</v>
      </c>
      <c r="V729" s="98">
        <v>224200</v>
      </c>
      <c r="W729" s="98">
        <v>979713.78406262887</v>
      </c>
      <c r="X729" s="98">
        <v>1000000.0000000001</v>
      </c>
      <c r="Y729" s="233">
        <v>4.55</v>
      </c>
      <c r="Z729" s="48">
        <v>-1.68</v>
      </c>
      <c r="AA729" s="48">
        <v>-1.8</v>
      </c>
      <c r="AB729" s="48">
        <v>-1.36</v>
      </c>
      <c r="AC729" s="48">
        <v>0.70209999999999995</v>
      </c>
      <c r="AD729" s="48">
        <v>-1.54</v>
      </c>
      <c r="AE729" s="48">
        <v>-1.8</v>
      </c>
      <c r="AF729" s="48">
        <f t="shared" si="154"/>
        <v>-1.8</v>
      </c>
      <c r="AG729" s="49">
        <v>-1.34</v>
      </c>
      <c r="AH729" s="98">
        <v>5.4199999999999998E-11</v>
      </c>
      <c r="AI729" s="98"/>
      <c r="AJ729" s="483">
        <f t="shared" si="156"/>
        <v>-8.654567039774264</v>
      </c>
      <c r="AK729" s="483"/>
      <c r="AL729" s="483">
        <f t="shared" si="155"/>
        <v>-8.654567039774264</v>
      </c>
      <c r="AM729" s="483">
        <v>-12.359780000000001</v>
      </c>
      <c r="AN729" s="226">
        <v>-13.5</v>
      </c>
      <c r="AO729" s="484">
        <v>10.56</v>
      </c>
      <c r="AP729" s="484">
        <v>-0.47</v>
      </c>
      <c r="AQ729" s="48" t="s">
        <v>6311</v>
      </c>
      <c r="AR729" s="48" t="s">
        <v>6311</v>
      </c>
      <c r="AS729" s="227"/>
      <c r="AT729" s="50" t="s">
        <v>266</v>
      </c>
      <c r="AU729" s="48">
        <v>6</v>
      </c>
      <c r="AV729" s="48">
        <v>120</v>
      </c>
      <c r="AW729" s="48">
        <v>114</v>
      </c>
      <c r="AX729" s="48">
        <v>28</v>
      </c>
      <c r="AY729" s="48" t="s">
        <v>8728</v>
      </c>
      <c r="AZ729" s="48" t="s">
        <v>1563</v>
      </c>
      <c r="BA729" s="48">
        <v>32</v>
      </c>
      <c r="BB729" s="47" t="s">
        <v>2485</v>
      </c>
      <c r="BC729" s="47" t="s">
        <v>8726</v>
      </c>
      <c r="BD729" s="47" t="s">
        <v>8374</v>
      </c>
      <c r="BE729" s="48" t="s">
        <v>2449</v>
      </c>
      <c r="BF729" s="48" t="s">
        <v>272</v>
      </c>
      <c r="BG729" s="48" t="s">
        <v>272</v>
      </c>
      <c r="BH729" s="48" t="s">
        <v>2486</v>
      </c>
      <c r="BI729" s="98">
        <v>4.8671999999999995E-4</v>
      </c>
      <c r="BJ729" s="98">
        <v>4.8671999999999995</v>
      </c>
      <c r="BK729" s="48"/>
      <c r="BL729" s="487">
        <v>126097.7154463983</v>
      </c>
      <c r="BM729" s="47" t="s">
        <v>2487</v>
      </c>
      <c r="BN729" s="48"/>
      <c r="BO729" s="48"/>
      <c r="BP729" s="48"/>
      <c r="BQ729" s="48"/>
      <c r="BR729" s="47" t="e">
        <v>#VALUE!</v>
      </c>
      <c r="BS729" s="48"/>
      <c r="BT729" s="48"/>
      <c r="BU729" s="228">
        <v>4.8671999999999995E-4</v>
      </c>
      <c r="BV729" s="48"/>
      <c r="BW729" s="48"/>
      <c r="BX729" s="48"/>
      <c r="BY729" s="48"/>
      <c r="BZ729" s="48"/>
      <c r="CA729" s="48"/>
      <c r="CB729" s="48"/>
      <c r="CC729" s="48"/>
      <c r="CD729" s="48"/>
      <c r="CE729" s="48"/>
      <c r="CF729" s="48"/>
      <c r="CG729" s="48"/>
      <c r="CH729" s="48"/>
      <c r="CI729" s="98"/>
      <c r="CJ729" s="98"/>
      <c r="CK729" s="49">
        <f t="shared" si="152"/>
        <v>25907.650280736012</v>
      </c>
      <c r="CL729" s="229"/>
      <c r="CM729" s="229"/>
      <c r="CN729" s="229"/>
      <c r="CO729" s="47" t="s">
        <v>2488</v>
      </c>
      <c r="CP729" s="500" t="s">
        <v>2489</v>
      </c>
      <c r="CQ729" s="224" t="s">
        <v>272</v>
      </c>
      <c r="CR729" s="224"/>
      <c r="CS729" s="230" t="s">
        <v>539</v>
      </c>
      <c r="CT729" s="230"/>
      <c r="CU729" s="230"/>
      <c r="CV729" s="335">
        <f t="shared" si="153"/>
        <v>205456.93622616705</v>
      </c>
      <c r="CW729" s="230">
        <f t="shared" si="151"/>
        <v>1</v>
      </c>
      <c r="CX729" s="336"/>
      <c r="CY729" s="230" t="s">
        <v>5921</v>
      </c>
    </row>
    <row r="730" spans="1:103" ht="11.25" customHeight="1" x14ac:dyDescent="0.2">
      <c r="A730" s="72">
        <v>1057</v>
      </c>
      <c r="B730" s="224">
        <v>1432</v>
      </c>
      <c r="C730" s="46" t="s">
        <v>7227</v>
      </c>
      <c r="D730" s="46"/>
      <c r="E730" s="114"/>
      <c r="F730" s="114" t="s">
        <v>4405</v>
      </c>
      <c r="G730" s="225">
        <v>127515</v>
      </c>
      <c r="H730" s="47" t="s">
        <v>4406</v>
      </c>
      <c r="I730" s="47" t="s">
        <v>4406</v>
      </c>
      <c r="J730" s="47"/>
      <c r="K730" s="47" t="s">
        <v>371</v>
      </c>
      <c r="L730" s="47"/>
      <c r="M730" s="47"/>
      <c r="N730" s="47"/>
      <c r="O730" s="47"/>
      <c r="P730" s="53"/>
      <c r="Q730" s="53"/>
      <c r="R730" s="53"/>
      <c r="S730" s="53"/>
      <c r="T730" s="48">
        <v>206.33</v>
      </c>
      <c r="U730" s="98"/>
      <c r="V730" s="98">
        <v>2.98</v>
      </c>
      <c r="W730" s="98">
        <v>192.55835988344307</v>
      </c>
      <c r="X730" s="98">
        <v>192.55835988344307</v>
      </c>
      <c r="Y730" s="233">
        <v>7</v>
      </c>
      <c r="Z730" s="48">
        <v>4.84</v>
      </c>
      <c r="AA730" s="48"/>
      <c r="AB730" s="48">
        <v>4.13</v>
      </c>
      <c r="AC730" s="48">
        <v>0.78820000000000001</v>
      </c>
      <c r="AD730" s="48">
        <v>4.22</v>
      </c>
      <c r="AE730" s="48">
        <v>4.41</v>
      </c>
      <c r="AF730" s="48">
        <f t="shared" si="154"/>
        <v>4.22</v>
      </c>
      <c r="AG730" s="49">
        <v>4.22</v>
      </c>
      <c r="AH730" s="98">
        <v>2.8299999999999999E-4</v>
      </c>
      <c r="AI730" s="98"/>
      <c r="AJ730" s="483">
        <f t="shared" si="156"/>
        <v>-1.9367798907883615</v>
      </c>
      <c r="AK730" s="483"/>
      <c r="AL730" s="483">
        <f t="shared" si="155"/>
        <v>-1.9367798907883615</v>
      </c>
      <c r="AM730" s="483">
        <v>-5.72377</v>
      </c>
      <c r="AN730" s="226"/>
      <c r="AO730" s="484"/>
      <c r="AP730" s="484"/>
      <c r="AQ730" s="48" t="s">
        <v>6311</v>
      </c>
      <c r="AR730" s="48" t="s">
        <v>6311</v>
      </c>
      <c r="AS730" s="227"/>
      <c r="AT730" s="50" t="s">
        <v>266</v>
      </c>
      <c r="AU730" s="48">
        <v>6</v>
      </c>
      <c r="AV730" s="48">
        <v>120</v>
      </c>
      <c r="AW730" s="48">
        <v>114</v>
      </c>
      <c r="AX730" s="48">
        <v>28</v>
      </c>
      <c r="AY730" s="48" t="s">
        <v>8728</v>
      </c>
      <c r="AZ730" s="48" t="s">
        <v>1563</v>
      </c>
      <c r="BA730" s="48">
        <v>32</v>
      </c>
      <c r="BB730" s="47" t="s">
        <v>2485</v>
      </c>
      <c r="BC730" s="47" t="s">
        <v>8726</v>
      </c>
      <c r="BD730" s="47" t="s">
        <v>8374</v>
      </c>
      <c r="BE730" s="48" t="s">
        <v>2449</v>
      </c>
      <c r="BF730" s="48" t="s">
        <v>272</v>
      </c>
      <c r="BG730" s="48" t="s">
        <v>272</v>
      </c>
      <c r="BH730" s="48" t="s">
        <v>2486</v>
      </c>
      <c r="BI730" s="98">
        <v>1.320512E-3</v>
      </c>
      <c r="BJ730" s="98">
        <v>13.205120000000001</v>
      </c>
      <c r="BK730" s="48"/>
      <c r="BL730" s="487">
        <v>0.47704393439968845</v>
      </c>
      <c r="BM730" s="47" t="s">
        <v>2487</v>
      </c>
      <c r="BN730" s="48"/>
      <c r="BO730" s="48"/>
      <c r="BP730" s="48"/>
      <c r="BQ730" s="48"/>
      <c r="BR730" s="47" t="e">
        <v>#VALUE!</v>
      </c>
      <c r="BS730" s="48"/>
      <c r="BT730" s="48"/>
      <c r="BU730" s="228"/>
      <c r="BV730" s="48"/>
      <c r="BW730" s="48"/>
      <c r="BX730" s="48"/>
      <c r="BY730" s="48"/>
      <c r="BZ730" s="48"/>
      <c r="CA730" s="48"/>
      <c r="CB730" s="48"/>
      <c r="CC730" s="48"/>
      <c r="CD730" s="48"/>
      <c r="CE730" s="48"/>
      <c r="CF730" s="48"/>
      <c r="CG730" s="48"/>
      <c r="CH730" s="48"/>
      <c r="CI730" s="98"/>
      <c r="CJ730" s="98"/>
      <c r="CK730" s="49">
        <f t="shared" si="152"/>
        <v>3.6125679615155969E-2</v>
      </c>
      <c r="CL730" s="229"/>
      <c r="CM730" s="229"/>
      <c r="CN730" s="229"/>
      <c r="CO730" s="47" t="s">
        <v>2488</v>
      </c>
      <c r="CP730" s="500" t="s">
        <v>2489</v>
      </c>
      <c r="CQ730" s="224" t="s">
        <v>272</v>
      </c>
      <c r="CR730" s="224"/>
      <c r="CS730" s="230" t="s">
        <v>539</v>
      </c>
      <c r="CT730" s="230"/>
      <c r="CU730" s="230"/>
      <c r="CV730" s="335">
        <f t="shared" si="153"/>
        <v>14.582098449952978</v>
      </c>
      <c r="CW730" s="230">
        <f t="shared" si="151"/>
        <v>1</v>
      </c>
      <c r="CX730" s="336"/>
      <c r="CY730" s="230" t="s">
        <v>5921</v>
      </c>
    </row>
    <row r="731" spans="1:103" ht="11.25" customHeight="1" x14ac:dyDescent="0.2">
      <c r="A731" s="72">
        <v>1058</v>
      </c>
      <c r="B731" s="224">
        <v>1277</v>
      </c>
      <c r="C731" s="46" t="s">
        <v>7228</v>
      </c>
      <c r="D731" s="46" t="s">
        <v>8596</v>
      </c>
      <c r="E731" s="114"/>
      <c r="F731" s="114" t="s">
        <v>3510</v>
      </c>
      <c r="G731" s="225">
        <v>128041</v>
      </c>
      <c r="H731" s="47" t="s">
        <v>3511</v>
      </c>
      <c r="I731" s="47" t="s">
        <v>3511</v>
      </c>
      <c r="J731" s="47" t="s">
        <v>3512</v>
      </c>
      <c r="K731" s="47" t="s">
        <v>1297</v>
      </c>
      <c r="L731" s="47" t="s">
        <v>6025</v>
      </c>
      <c r="M731" s="47" t="s">
        <v>1515</v>
      </c>
      <c r="N731" s="47" t="s">
        <v>6382</v>
      </c>
      <c r="O731" s="47" t="s">
        <v>1516</v>
      </c>
      <c r="P731" s="53"/>
      <c r="Q731" s="53"/>
      <c r="R731" s="53"/>
      <c r="S731" s="53"/>
      <c r="T731" s="48">
        <v>121.23</v>
      </c>
      <c r="U731" s="98"/>
      <c r="V731" s="98">
        <v>259900</v>
      </c>
      <c r="W731" s="98">
        <v>8196.153910676996</v>
      </c>
      <c r="X731" s="98">
        <v>8196.153910676996</v>
      </c>
      <c r="Y731" s="233">
        <v>2.48</v>
      </c>
      <c r="Z731" s="48">
        <v>0.69</v>
      </c>
      <c r="AA731" s="48"/>
      <c r="AB731" s="48">
        <v>1.06</v>
      </c>
      <c r="AC731" s="48">
        <v>0.61360000000000003</v>
      </c>
      <c r="AD731" s="48">
        <v>0.93</v>
      </c>
      <c r="AE731" s="48">
        <v>0.75</v>
      </c>
      <c r="AF731" s="48">
        <f t="shared" si="154"/>
        <v>0.93</v>
      </c>
      <c r="AG731" s="49">
        <v>0.93</v>
      </c>
      <c r="AH731" s="98">
        <v>3.88E-4</v>
      </c>
      <c r="AI731" s="98"/>
      <c r="AJ731" s="483">
        <f t="shared" si="156"/>
        <v>-1.7997346007184445</v>
      </c>
      <c r="AK731" s="483"/>
      <c r="AL731" s="483">
        <f t="shared" si="155"/>
        <v>-1.7997346007184445</v>
      </c>
      <c r="AM731" s="483">
        <v>-5.8227999999999991</v>
      </c>
      <c r="AN731" s="226"/>
      <c r="AO731" s="484">
        <v>4.21</v>
      </c>
      <c r="AP731" s="484">
        <v>0.9</v>
      </c>
      <c r="AQ731" s="48" t="s">
        <v>6311</v>
      </c>
      <c r="AR731" s="48" t="s">
        <v>6311</v>
      </c>
      <c r="AS731" s="227"/>
      <c r="AT731" s="50" t="s">
        <v>266</v>
      </c>
      <c r="AU731" s="48">
        <v>6</v>
      </c>
      <c r="AV731" s="48">
        <v>120</v>
      </c>
      <c r="AW731" s="48">
        <v>114</v>
      </c>
      <c r="AX731" s="48">
        <v>28</v>
      </c>
      <c r="AY731" s="48" t="s">
        <v>8728</v>
      </c>
      <c r="AZ731" s="48" t="s">
        <v>1563</v>
      </c>
      <c r="BA731" s="48">
        <v>32</v>
      </c>
      <c r="BB731" s="47" t="s">
        <v>2485</v>
      </c>
      <c r="BC731" s="47" t="s">
        <v>8726</v>
      </c>
      <c r="BD731" s="47" t="s">
        <v>8374</v>
      </c>
      <c r="BE731" s="48" t="s">
        <v>2449</v>
      </c>
      <c r="BF731" s="48" t="s">
        <v>272</v>
      </c>
      <c r="BG731" s="48" t="s">
        <v>272</v>
      </c>
      <c r="BH731" s="48" t="s">
        <v>2486</v>
      </c>
      <c r="BI731" s="98">
        <v>7.7587200000000004E-4</v>
      </c>
      <c r="BJ731" s="98">
        <v>7.7587200000000003</v>
      </c>
      <c r="BK731" s="48"/>
      <c r="BL731" s="487">
        <v>1495.2751132870003</v>
      </c>
      <c r="BM731" s="47" t="s">
        <v>2487</v>
      </c>
      <c r="BN731" s="48"/>
      <c r="BO731" s="48"/>
      <c r="BP731" s="48"/>
      <c r="BQ731" s="48"/>
      <c r="BR731" s="47"/>
      <c r="BS731" s="48"/>
      <c r="BT731" s="48"/>
      <c r="BU731" s="228">
        <v>7.7587200000000002E-3</v>
      </c>
      <c r="BV731" s="48"/>
      <c r="BW731" s="48"/>
      <c r="BX731" s="48"/>
      <c r="BY731" s="48"/>
      <c r="BZ731" s="48"/>
      <c r="CA731" s="48"/>
      <c r="CB731" s="48"/>
      <c r="CC731" s="48"/>
      <c r="CD731" s="48"/>
      <c r="CE731" s="48"/>
      <c r="CF731" s="48"/>
      <c r="CG731" s="48"/>
      <c r="CH731" s="48"/>
      <c r="CI731" s="52"/>
      <c r="CJ731" s="98"/>
      <c r="CK731" s="49">
        <f t="shared" si="152"/>
        <v>192.7218810946909</v>
      </c>
      <c r="CL731" s="229"/>
      <c r="CM731" s="229"/>
      <c r="CN731" s="229"/>
      <c r="CO731" s="47" t="s">
        <v>2488</v>
      </c>
      <c r="CP731" s="500" t="s">
        <v>2489</v>
      </c>
      <c r="CQ731" s="224">
        <v>1.2057677661046635</v>
      </c>
      <c r="CR731" s="224">
        <f>10^(CJ731-CQ731)</f>
        <v>6.2263314195686217E-2</v>
      </c>
      <c r="CS731" s="230" t="s">
        <v>539</v>
      </c>
      <c r="CT731" s="230"/>
      <c r="CU731" s="230"/>
      <c r="CV731" s="335">
        <f t="shared" si="153"/>
        <v>1056.3796490499717</v>
      </c>
      <c r="CW731" s="230">
        <f t="shared" si="151"/>
        <v>1</v>
      </c>
      <c r="CX731" s="336"/>
      <c r="CY731" s="230" t="s">
        <v>6351</v>
      </c>
    </row>
    <row r="732" spans="1:103" ht="11.25" customHeight="1" x14ac:dyDescent="0.2">
      <c r="A732" s="72">
        <v>1060</v>
      </c>
      <c r="B732" s="224">
        <v>1619</v>
      </c>
      <c r="C732" s="46" t="s">
        <v>7229</v>
      </c>
      <c r="D732" s="46" t="s">
        <v>8714</v>
      </c>
      <c r="E732" s="114"/>
      <c r="F732" s="114" t="s">
        <v>3833</v>
      </c>
      <c r="G732" s="225">
        <v>131113</v>
      </c>
      <c r="H732" s="47" t="s">
        <v>3834</v>
      </c>
      <c r="I732" s="47" t="s">
        <v>3834</v>
      </c>
      <c r="J732" s="47" t="s">
        <v>3835</v>
      </c>
      <c r="K732" s="47" t="s">
        <v>357</v>
      </c>
      <c r="L732" s="47"/>
      <c r="M732" s="47" t="s">
        <v>866</v>
      </c>
      <c r="N732" s="47" t="s">
        <v>6082</v>
      </c>
      <c r="O732" s="47" t="s">
        <v>498</v>
      </c>
      <c r="P732" s="53"/>
      <c r="Q732" s="53" t="s">
        <v>6173</v>
      </c>
      <c r="R732" s="53" t="s">
        <v>6174</v>
      </c>
      <c r="S732" s="53" t="s">
        <v>6182</v>
      </c>
      <c r="T732" s="48">
        <v>194.18</v>
      </c>
      <c r="U732" s="98">
        <v>4000</v>
      </c>
      <c r="V732" s="98">
        <v>2014</v>
      </c>
      <c r="W732" s="98">
        <v>2680.4301650058796</v>
      </c>
      <c r="X732" s="98">
        <v>4000</v>
      </c>
      <c r="Y732" s="233">
        <v>7</v>
      </c>
      <c r="Z732" s="48">
        <v>1.66</v>
      </c>
      <c r="AA732" s="48">
        <v>1.6</v>
      </c>
      <c r="AB732" s="48">
        <v>1.96</v>
      </c>
      <c r="AC732" s="48">
        <v>0.87429999999999997</v>
      </c>
      <c r="AD732" s="48">
        <v>1.88</v>
      </c>
      <c r="AE732" s="48">
        <v>1.64</v>
      </c>
      <c r="AF732" s="48">
        <f t="shared" si="154"/>
        <v>1.6</v>
      </c>
      <c r="AG732" s="49">
        <v>1.61</v>
      </c>
      <c r="AH732" s="98">
        <v>2.2399999999999999E-7</v>
      </c>
      <c r="AI732" s="98">
        <v>1.97E-7</v>
      </c>
      <c r="AJ732" s="483">
        <f t="shared" si="156"/>
        <v>-5.0383183079784892</v>
      </c>
      <c r="AK732" s="483">
        <f>LOG10(AI732*1000/(0.08206*298.15))</f>
        <v>-5.0941001001510591</v>
      </c>
      <c r="AL732" s="483">
        <f t="shared" si="155"/>
        <v>-5.0941001001510591</v>
      </c>
      <c r="AM732" s="483">
        <v>-8.1728799999999993</v>
      </c>
      <c r="AN732" s="226">
        <v>-5.46</v>
      </c>
      <c r="AO732" s="484"/>
      <c r="AP732" s="484"/>
      <c r="AQ732" s="226" t="s">
        <v>6311</v>
      </c>
      <c r="AR732" s="226" t="s">
        <v>6312</v>
      </c>
      <c r="AS732" s="224"/>
      <c r="AT732" s="50" t="s">
        <v>266</v>
      </c>
      <c r="AU732" s="48">
        <v>6</v>
      </c>
      <c r="AV732" s="48">
        <v>120</v>
      </c>
      <c r="AW732" s="48">
        <v>114</v>
      </c>
      <c r="AX732" s="48">
        <v>28</v>
      </c>
      <c r="AY732" s="48" t="s">
        <v>8728</v>
      </c>
      <c r="AZ732" s="48" t="s">
        <v>1563</v>
      </c>
      <c r="BA732" s="48">
        <v>32</v>
      </c>
      <c r="BB732" s="47" t="s">
        <v>2485</v>
      </c>
      <c r="BC732" s="47" t="s">
        <v>8726</v>
      </c>
      <c r="BD732" s="47" t="s">
        <v>8374</v>
      </c>
      <c r="BE732" s="48" t="s">
        <v>2449</v>
      </c>
      <c r="BF732" s="48" t="s">
        <v>272</v>
      </c>
      <c r="BG732" s="48" t="s">
        <v>272</v>
      </c>
      <c r="BH732" s="48" t="s">
        <v>2486</v>
      </c>
      <c r="BI732" s="98">
        <v>1.242752E-3</v>
      </c>
      <c r="BJ732" s="98">
        <v>12.427520000000001</v>
      </c>
      <c r="BK732" s="48"/>
      <c r="BL732" s="487">
        <v>322.22445421432928</v>
      </c>
      <c r="BM732" s="47" t="s">
        <v>2487</v>
      </c>
      <c r="BN732" s="48"/>
      <c r="BO732" s="48"/>
      <c r="BP732" s="48"/>
      <c r="BQ732" s="48"/>
      <c r="BR732" s="47" t="e">
        <v>#VALUE!</v>
      </c>
      <c r="BS732" s="48"/>
      <c r="BT732" s="48"/>
      <c r="BU732" s="228"/>
      <c r="BV732" s="48"/>
      <c r="BW732" s="48"/>
      <c r="BX732" s="48"/>
      <c r="BY732" s="48"/>
      <c r="BZ732" s="48"/>
      <c r="CA732" s="48"/>
      <c r="CB732" s="48"/>
      <c r="CC732" s="48"/>
      <c r="CD732" s="48"/>
      <c r="CE732" s="48"/>
      <c r="CF732" s="48"/>
      <c r="CG732" s="48"/>
      <c r="CH732" s="48"/>
      <c r="CI732" s="98"/>
      <c r="CJ732" s="98"/>
      <c r="CK732" s="49">
        <f t="shared" si="152"/>
        <v>25.928298985986686</v>
      </c>
      <c r="CL732" s="229"/>
      <c r="CM732" s="229"/>
      <c r="CN732" s="229"/>
      <c r="CO732" s="47" t="s">
        <v>2488</v>
      </c>
      <c r="CP732" s="500" t="s">
        <v>2489</v>
      </c>
      <c r="CQ732" s="224">
        <v>1.8254172653356777</v>
      </c>
      <c r="CR732" s="224">
        <f>10^(CJ732-CQ732)</f>
        <v>1.4947987797997591E-2</v>
      </c>
      <c r="CS732" s="230" t="s">
        <v>539</v>
      </c>
      <c r="CT732" s="230"/>
      <c r="CU732" s="230"/>
      <c r="CV732" s="335">
        <f t="shared" si="153"/>
        <v>321.8663096096405</v>
      </c>
      <c r="CW732" s="230">
        <f t="shared" si="151"/>
        <v>1</v>
      </c>
      <c r="CX732" s="336"/>
      <c r="CY732" s="230" t="s">
        <v>6351</v>
      </c>
    </row>
    <row r="733" spans="1:103" ht="11.25" customHeight="1" x14ac:dyDescent="0.2">
      <c r="A733" s="72">
        <v>1061</v>
      </c>
      <c r="B733" s="224">
        <v>1411</v>
      </c>
      <c r="C733" s="46" t="s">
        <v>7230</v>
      </c>
      <c r="D733" s="46"/>
      <c r="E733" s="114"/>
      <c r="F733" s="114" t="s">
        <v>4345</v>
      </c>
      <c r="G733" s="225">
        <v>131555</v>
      </c>
      <c r="H733" s="47" t="s">
        <v>4346</v>
      </c>
      <c r="I733" s="47" t="s">
        <v>4346</v>
      </c>
      <c r="J733" s="47" t="s">
        <v>4347</v>
      </c>
      <c r="K733" s="47" t="s">
        <v>376</v>
      </c>
      <c r="L733" s="47"/>
      <c r="M733" s="47"/>
      <c r="N733" s="47"/>
      <c r="O733" s="47"/>
      <c r="P733" s="53"/>
      <c r="Q733" s="53"/>
      <c r="R733" s="53"/>
      <c r="S733" s="53"/>
      <c r="T733" s="48">
        <v>246.22</v>
      </c>
      <c r="U733" s="98"/>
      <c r="V733" s="98">
        <v>398.5</v>
      </c>
      <c r="W733" s="98">
        <v>936.10233162048587</v>
      </c>
      <c r="X733" s="98">
        <v>936.10233162048587</v>
      </c>
      <c r="Y733" s="233">
        <v>4.5999999999999996</v>
      </c>
      <c r="Z733" s="48">
        <v>2.78</v>
      </c>
      <c r="AA733" s="48"/>
      <c r="AB733" s="48">
        <v>2.1800000000000002</v>
      </c>
      <c r="AC733" s="48">
        <v>0.71350000000000002</v>
      </c>
      <c r="AD733" s="48">
        <v>2.5299999999999998</v>
      </c>
      <c r="AE733" s="48">
        <v>3.16</v>
      </c>
      <c r="AF733" s="48">
        <f t="shared" si="154"/>
        <v>2.5299999999999998</v>
      </c>
      <c r="AG733" s="49">
        <v>2.06</v>
      </c>
      <c r="AH733" s="98">
        <v>3.61E-16</v>
      </c>
      <c r="AI733" s="98"/>
      <c r="AJ733" s="483">
        <f t="shared" si="156"/>
        <v>-13.831059124406995</v>
      </c>
      <c r="AK733" s="483"/>
      <c r="AL733" s="483">
        <f t="shared" si="155"/>
        <v>-13.831059124406995</v>
      </c>
      <c r="AM733" s="483">
        <v>-19.532080000000001</v>
      </c>
      <c r="AN733" s="226">
        <v>-16.8</v>
      </c>
      <c r="AO733" s="484">
        <v>6.98</v>
      </c>
      <c r="AP733" s="484"/>
      <c r="AQ733" s="48" t="s">
        <v>6311</v>
      </c>
      <c r="AR733" s="48" t="s">
        <v>6311</v>
      </c>
      <c r="AS733" s="227"/>
      <c r="AT733" s="50" t="s">
        <v>266</v>
      </c>
      <c r="AU733" s="48">
        <v>6</v>
      </c>
      <c r="AV733" s="48">
        <v>120</v>
      </c>
      <c r="AW733" s="48">
        <v>114</v>
      </c>
      <c r="AX733" s="48">
        <v>28</v>
      </c>
      <c r="AY733" s="48" t="s">
        <v>8728</v>
      </c>
      <c r="AZ733" s="48" t="s">
        <v>1563</v>
      </c>
      <c r="BA733" s="48">
        <v>32</v>
      </c>
      <c r="BB733" s="47" t="s">
        <v>2485</v>
      </c>
      <c r="BC733" s="47" t="s">
        <v>8726</v>
      </c>
      <c r="BD733" s="47" t="s">
        <v>8374</v>
      </c>
      <c r="BE733" s="48" t="s">
        <v>2449</v>
      </c>
      <c r="BF733" s="48" t="s">
        <v>272</v>
      </c>
      <c r="BG733" s="48" t="s">
        <v>272</v>
      </c>
      <c r="BH733" s="48" t="s">
        <v>2486</v>
      </c>
      <c r="BI733" s="98">
        <v>1.5758079999999999E-3</v>
      </c>
      <c r="BJ733" s="98">
        <v>15.75808</v>
      </c>
      <c r="BK733" s="48"/>
      <c r="BL733" s="487">
        <v>40.309306552014881</v>
      </c>
      <c r="BM733" s="47" t="s">
        <v>2487</v>
      </c>
      <c r="BN733" s="48"/>
      <c r="BO733" s="48"/>
      <c r="BP733" s="48"/>
      <c r="BQ733" s="48"/>
      <c r="BR733" s="47" t="e">
        <v>#VALUE!</v>
      </c>
      <c r="BS733" s="48"/>
      <c r="BT733" s="48"/>
      <c r="BU733" s="228"/>
      <c r="BV733" s="48"/>
      <c r="BW733" s="48"/>
      <c r="BX733" s="48"/>
      <c r="BY733" s="48"/>
      <c r="BZ733" s="48"/>
      <c r="CA733" s="48"/>
      <c r="CB733" s="48"/>
      <c r="CC733" s="48"/>
      <c r="CD733" s="48"/>
      <c r="CE733" s="48"/>
      <c r="CF733" s="48"/>
      <c r="CG733" s="48"/>
      <c r="CH733" s="48"/>
      <c r="CI733" s="98"/>
      <c r="CJ733" s="98"/>
      <c r="CK733" s="49">
        <f t="shared" si="152"/>
        <v>2.5580087518285781</v>
      </c>
      <c r="CL733" s="229"/>
      <c r="CM733" s="229"/>
      <c r="CN733" s="229"/>
      <c r="CO733" s="47" t="s">
        <v>2488</v>
      </c>
      <c r="CP733" s="500" t="s">
        <v>2489</v>
      </c>
      <c r="CQ733" s="224" t="s">
        <v>272</v>
      </c>
      <c r="CR733" s="224"/>
      <c r="CS733" s="230" t="s">
        <v>539</v>
      </c>
      <c r="CT733" s="230"/>
      <c r="CU733" s="230"/>
      <c r="CV733" s="335">
        <f t="shared" si="153"/>
        <v>59.404593175087697</v>
      </c>
      <c r="CW733" s="230">
        <f t="shared" si="151"/>
        <v>1</v>
      </c>
      <c r="CX733" s="336"/>
      <c r="CY733" s="230" t="s">
        <v>5921</v>
      </c>
    </row>
    <row r="734" spans="1:103" ht="11.25" customHeight="1" x14ac:dyDescent="0.2">
      <c r="A734" s="72">
        <v>1063</v>
      </c>
      <c r="B734" s="224">
        <v>1746</v>
      </c>
      <c r="C734" s="46" t="s">
        <v>7231</v>
      </c>
      <c r="D734" s="46"/>
      <c r="E734" s="114"/>
      <c r="F734" s="114" t="s">
        <v>3956</v>
      </c>
      <c r="G734" s="225">
        <v>131704</v>
      </c>
      <c r="H734" s="232" t="s">
        <v>3957</v>
      </c>
      <c r="I734" s="232" t="s">
        <v>3957</v>
      </c>
      <c r="J734" s="47" t="s">
        <v>5037</v>
      </c>
      <c r="K734" s="47" t="s">
        <v>357</v>
      </c>
      <c r="L734" s="47"/>
      <c r="M734" s="47"/>
      <c r="N734" s="47"/>
      <c r="O734" s="47"/>
      <c r="P734" s="53"/>
      <c r="Q734" s="53"/>
      <c r="R734" s="53"/>
      <c r="S734" s="53"/>
      <c r="T734" s="48">
        <v>222.24</v>
      </c>
      <c r="U734" s="98"/>
      <c r="V734" s="98">
        <v>125.70000000000002</v>
      </c>
      <c r="W734" s="98">
        <v>640.9471612548565</v>
      </c>
      <c r="X734" s="98">
        <v>640.9471612548565</v>
      </c>
      <c r="Y734" s="233">
        <v>3.04</v>
      </c>
      <c r="Z734" s="48">
        <v>2.84</v>
      </c>
      <c r="AA734" s="48"/>
      <c r="AB734" s="48">
        <v>2.94</v>
      </c>
      <c r="AC734" s="48">
        <v>0.67620000000000002</v>
      </c>
      <c r="AD734" s="48">
        <v>2.85</v>
      </c>
      <c r="AE734" s="48">
        <v>2.72</v>
      </c>
      <c r="AF734" s="48">
        <f t="shared" si="154"/>
        <v>2.85</v>
      </c>
      <c r="AG734" s="49">
        <v>2.5299999999999998</v>
      </c>
      <c r="AH734" s="98">
        <v>1.63E-9</v>
      </c>
      <c r="AI734" s="98"/>
      <c r="AJ734" s="483">
        <f t="shared" si="156"/>
        <v>-7.1763787219086943</v>
      </c>
      <c r="AK734" s="483"/>
      <c r="AL734" s="483">
        <f t="shared" si="155"/>
        <v>-7.1763787219086943</v>
      </c>
      <c r="AM734" s="483">
        <v>-10.93275</v>
      </c>
      <c r="AN734" s="226"/>
      <c r="AO734" s="484">
        <v>3.38</v>
      </c>
      <c r="AP734" s="484"/>
      <c r="AQ734" s="226" t="s">
        <v>6311</v>
      </c>
      <c r="AR734" s="226" t="s">
        <v>6312</v>
      </c>
      <c r="AS734" s="224"/>
      <c r="AT734" s="50" t="s">
        <v>266</v>
      </c>
      <c r="AU734" s="48">
        <v>6</v>
      </c>
      <c r="AV734" s="48">
        <v>120</v>
      </c>
      <c r="AW734" s="48">
        <v>114</v>
      </c>
      <c r="AX734" s="48">
        <v>28</v>
      </c>
      <c r="AY734" s="48" t="s">
        <v>8728</v>
      </c>
      <c r="AZ734" s="48" t="s">
        <v>1563</v>
      </c>
      <c r="BA734" s="48">
        <v>32</v>
      </c>
      <c r="BB734" s="47" t="s">
        <v>2485</v>
      </c>
      <c r="BC734" s="47" t="s">
        <v>8726</v>
      </c>
      <c r="BD734" s="47" t="s">
        <v>8374</v>
      </c>
      <c r="BE734" s="48" t="s">
        <v>2449</v>
      </c>
      <c r="BF734" s="48" t="s">
        <v>272</v>
      </c>
      <c r="BG734" s="48" t="s">
        <v>272</v>
      </c>
      <c r="BH734" s="48" t="s">
        <v>2486</v>
      </c>
      <c r="BI734" s="98">
        <v>1.422336E-3</v>
      </c>
      <c r="BJ734" s="98">
        <v>14.223360000000001</v>
      </c>
      <c r="BK734" s="48"/>
      <c r="BL734" s="487">
        <v>32.137954266042037</v>
      </c>
      <c r="BM734" s="47" t="s">
        <v>2487</v>
      </c>
      <c r="BN734" s="48"/>
      <c r="BO734" s="48"/>
      <c r="BP734" s="48"/>
      <c r="BQ734" s="48"/>
      <c r="BR734" s="47" t="e">
        <v>#VALUE!</v>
      </c>
      <c r="BS734" s="48"/>
      <c r="BT734" s="48"/>
      <c r="BU734" s="228"/>
      <c r="BV734" s="48"/>
      <c r="BW734" s="48"/>
      <c r="BX734" s="48"/>
      <c r="BY734" s="48"/>
      <c r="BZ734" s="48"/>
      <c r="CA734" s="48"/>
      <c r="CB734" s="48"/>
      <c r="CC734" s="48"/>
      <c r="CD734" s="48"/>
      <c r="CE734" s="48"/>
      <c r="CF734" s="48"/>
      <c r="CG734" s="48"/>
      <c r="CH734" s="48"/>
      <c r="CI734" s="98"/>
      <c r="CJ734" s="98"/>
      <c r="CK734" s="49">
        <f t="shared" si="152"/>
        <v>2.2595191477992564</v>
      </c>
      <c r="CL734" s="229"/>
      <c r="CM734" s="229"/>
      <c r="CN734" s="229"/>
      <c r="CO734" s="47" t="s">
        <v>2488</v>
      </c>
      <c r="CP734" s="500" t="s">
        <v>2489</v>
      </c>
      <c r="CQ734" s="224" t="s">
        <v>272</v>
      </c>
      <c r="CR734" s="224"/>
      <c r="CS734" s="230" t="s">
        <v>539</v>
      </c>
      <c r="CT734" s="230"/>
      <c r="CU734" s="230"/>
      <c r="CV734" s="335">
        <f t="shared" si="153"/>
        <v>45.062992236353182</v>
      </c>
      <c r="CW734" s="230">
        <f t="shared" si="151"/>
        <v>1</v>
      </c>
      <c r="CX734" s="336"/>
      <c r="CY734" s="230" t="s">
        <v>5921</v>
      </c>
    </row>
    <row r="735" spans="1:103" ht="11.25" customHeight="1" x14ac:dyDescent="0.2">
      <c r="A735" s="72">
        <v>1064</v>
      </c>
      <c r="B735" s="224">
        <v>1093</v>
      </c>
      <c r="C735" s="46" t="s">
        <v>7232</v>
      </c>
      <c r="D735" s="46" t="s">
        <v>8708</v>
      </c>
      <c r="E735" s="114"/>
      <c r="F735" s="114" t="s">
        <v>3060</v>
      </c>
      <c r="G735" s="225">
        <v>132649</v>
      </c>
      <c r="H735" s="232" t="s">
        <v>3061</v>
      </c>
      <c r="I735" s="232" t="s">
        <v>3061</v>
      </c>
      <c r="J735" s="232" t="s">
        <v>3062</v>
      </c>
      <c r="K735" s="47" t="s">
        <v>426</v>
      </c>
      <c r="L735" s="47" t="s">
        <v>5527</v>
      </c>
      <c r="M735" s="47" t="s">
        <v>2342</v>
      </c>
      <c r="N735" s="47" t="s">
        <v>2342</v>
      </c>
      <c r="O735" s="47" t="s">
        <v>498</v>
      </c>
      <c r="P735" s="53" t="s">
        <v>404</v>
      </c>
      <c r="Q735" s="53" t="s">
        <v>6173</v>
      </c>
      <c r="R735" s="53" t="s">
        <v>6183</v>
      </c>
      <c r="S735" s="53" t="s">
        <v>6173</v>
      </c>
      <c r="T735" s="48">
        <v>168.19</v>
      </c>
      <c r="U735" s="98">
        <v>3.1</v>
      </c>
      <c r="V735" s="98">
        <v>1.4750000000000001</v>
      </c>
      <c r="W735" s="98">
        <v>0.4632337256144462</v>
      </c>
      <c r="X735" s="98">
        <v>3.1</v>
      </c>
      <c r="Y735" s="233">
        <v>7</v>
      </c>
      <c r="Z735" s="48">
        <v>3.71</v>
      </c>
      <c r="AA735" s="48">
        <v>4.12</v>
      </c>
      <c r="AB735" s="48">
        <v>3.96</v>
      </c>
      <c r="AC735" s="48">
        <v>0.90110000000000001</v>
      </c>
      <c r="AD735" s="48">
        <v>4</v>
      </c>
      <c r="AE735" s="48">
        <v>4.12</v>
      </c>
      <c r="AF735" s="48">
        <f t="shared" si="154"/>
        <v>4.12</v>
      </c>
      <c r="AG735" s="49">
        <v>3.47</v>
      </c>
      <c r="AH735" s="98">
        <v>5.1199999999999998E-5</v>
      </c>
      <c r="AI735" s="98">
        <v>2.13E-4</v>
      </c>
      <c r="AJ735" s="483">
        <f t="shared" si="156"/>
        <v>-2.6792963653368211</v>
      </c>
      <c r="AK735" s="483">
        <f>LOG10(AI735*1000/(0.08206*298.15))</f>
        <v>-2.0601867228739139</v>
      </c>
      <c r="AL735" s="483">
        <f t="shared" si="155"/>
        <v>-2.0601867228739139</v>
      </c>
      <c r="AM735" s="483">
        <v>-6.28254</v>
      </c>
      <c r="AN735" s="226">
        <v>-2.77</v>
      </c>
      <c r="AO735" s="484"/>
      <c r="AP735" s="484"/>
      <c r="AQ735" s="48" t="s">
        <v>6311</v>
      </c>
      <c r="AR735" s="48" t="s">
        <v>6311</v>
      </c>
      <c r="AS735" s="227"/>
      <c r="AT735" s="50" t="s">
        <v>266</v>
      </c>
      <c r="AU735" s="48">
        <v>6</v>
      </c>
      <c r="AV735" s="48">
        <v>120</v>
      </c>
      <c r="AW735" s="48">
        <v>114</v>
      </c>
      <c r="AX735" s="48">
        <v>28</v>
      </c>
      <c r="AY735" s="48" t="s">
        <v>8728</v>
      </c>
      <c r="AZ735" s="48" t="s">
        <v>1563</v>
      </c>
      <c r="BA735" s="48">
        <v>32</v>
      </c>
      <c r="BB735" s="47" t="s">
        <v>2485</v>
      </c>
      <c r="BC735" s="47" t="s">
        <v>8726</v>
      </c>
      <c r="BD735" s="47" t="s">
        <v>8374</v>
      </c>
      <c r="BE735" s="48" t="s">
        <v>2449</v>
      </c>
      <c r="BF735" s="48" t="s">
        <v>272</v>
      </c>
      <c r="BG735" s="48" t="s">
        <v>272</v>
      </c>
      <c r="BH735" s="48" t="s">
        <v>2486</v>
      </c>
      <c r="BI735" s="98">
        <v>1.076416E-3</v>
      </c>
      <c r="BJ735" s="98">
        <v>10.76416</v>
      </c>
      <c r="BK735" s="48"/>
      <c r="BL735" s="487">
        <v>4.0239184498367973</v>
      </c>
      <c r="BM735" s="47" t="s">
        <v>2487</v>
      </c>
      <c r="BN735" s="48"/>
      <c r="BO735" s="48"/>
      <c r="BP735" s="48"/>
      <c r="BQ735" s="48"/>
      <c r="BR735" s="47" t="e">
        <v>#VALUE!</v>
      </c>
      <c r="BS735" s="48"/>
      <c r="BT735" s="48"/>
      <c r="BU735" s="228">
        <v>10.76416</v>
      </c>
      <c r="BV735" s="48"/>
      <c r="BW735" s="48"/>
      <c r="BX735" s="48"/>
      <c r="BY735" s="48"/>
      <c r="BZ735" s="48"/>
      <c r="CA735" s="48"/>
      <c r="CB735" s="48"/>
      <c r="CC735" s="48"/>
      <c r="CD735" s="48"/>
      <c r="CE735" s="48"/>
      <c r="CF735" s="48"/>
      <c r="CG735" s="48"/>
      <c r="CH735" s="48"/>
      <c r="CI735" s="98"/>
      <c r="CJ735" s="98"/>
      <c r="CK735" s="49">
        <f t="shared" si="152"/>
        <v>0.37382558879065314</v>
      </c>
      <c r="CL735" s="229"/>
      <c r="CM735" s="229"/>
      <c r="CN735" s="229"/>
      <c r="CO735" s="47" t="s">
        <v>2488</v>
      </c>
      <c r="CP735" s="500" t="s">
        <v>2489</v>
      </c>
      <c r="CQ735" s="224">
        <v>0.2806592993735858</v>
      </c>
      <c r="CR735" s="224">
        <f>10^(CJ735-CQ735)</f>
        <v>0.52401135819687938</v>
      </c>
      <c r="CS735" s="230" t="s">
        <v>539</v>
      </c>
      <c r="CT735" s="230"/>
      <c r="CU735" s="230"/>
      <c r="CV735" s="335">
        <f t="shared" si="153"/>
        <v>0.28799274629882871</v>
      </c>
      <c r="CW735" s="230">
        <f t="shared" ref="CW735:CW798" si="158">IF(CV735&lt;1,0,1)</f>
        <v>0</v>
      </c>
      <c r="CX735" s="336"/>
      <c r="CY735" s="230" t="s">
        <v>5921</v>
      </c>
    </row>
    <row r="736" spans="1:103" ht="11.25" customHeight="1" x14ac:dyDescent="0.2">
      <c r="A736" s="72">
        <v>1065</v>
      </c>
      <c r="B736" s="224">
        <v>1680</v>
      </c>
      <c r="C736" s="46" t="s">
        <v>1248</v>
      </c>
      <c r="D736" s="46"/>
      <c r="E736" s="114"/>
      <c r="F736" s="114" t="s">
        <v>1249</v>
      </c>
      <c r="G736" s="225">
        <v>133073</v>
      </c>
      <c r="H736" s="47" t="s">
        <v>1250</v>
      </c>
      <c r="I736" s="47" t="s">
        <v>8042</v>
      </c>
      <c r="J736" s="47" t="s">
        <v>1251</v>
      </c>
      <c r="K736" s="47" t="s">
        <v>1016</v>
      </c>
      <c r="L736" s="47" t="s">
        <v>5929</v>
      </c>
      <c r="M736" s="47" t="s">
        <v>6082</v>
      </c>
      <c r="N736" s="47" t="s">
        <v>6082</v>
      </c>
      <c r="O736" s="47" t="s">
        <v>6083</v>
      </c>
      <c r="P736" s="53"/>
      <c r="Q736" s="53"/>
      <c r="R736" s="53"/>
      <c r="S736" s="53"/>
      <c r="T736" s="48">
        <v>296.56</v>
      </c>
      <c r="U736" s="98">
        <v>0.80000000000000016</v>
      </c>
      <c r="V736" s="98">
        <v>47.35</v>
      </c>
      <c r="W736" s="98">
        <v>71.139789046441933</v>
      </c>
      <c r="X736" s="98">
        <v>0.80000000000000016</v>
      </c>
      <c r="Y736" s="233">
        <v>7</v>
      </c>
      <c r="Z736" s="48">
        <v>2.84</v>
      </c>
      <c r="AA736" s="48">
        <v>2.85</v>
      </c>
      <c r="AB736" s="48">
        <v>2.97</v>
      </c>
      <c r="AC736" s="48">
        <v>0.59689999999999999</v>
      </c>
      <c r="AD736" s="48">
        <v>2.92</v>
      </c>
      <c r="AE736" s="48">
        <v>2.85</v>
      </c>
      <c r="AF736" s="48">
        <f t="shared" si="154"/>
        <v>2.85</v>
      </c>
      <c r="AG736" s="49">
        <v>2.98</v>
      </c>
      <c r="AH736" s="98">
        <v>1.5400000000000001E-9</v>
      </c>
      <c r="AI736" s="98">
        <v>7.6599999999999998E-8</v>
      </c>
      <c r="AJ736" s="483">
        <f t="shared" si="156"/>
        <v>-7.2010456054761889</v>
      </c>
      <c r="AK736" s="483">
        <f>LOG10(AI736*1000/(0.08206*298.15))</f>
        <v>-5.5043375566800483</v>
      </c>
      <c r="AL736" s="483">
        <f t="shared" si="155"/>
        <v>-5.5043375566800483</v>
      </c>
      <c r="AM736" s="483">
        <v>-12.622150000000001</v>
      </c>
      <c r="AN736" s="226">
        <v>-6.45</v>
      </c>
      <c r="AO736" s="484"/>
      <c r="AP736" s="484">
        <v>-3.34</v>
      </c>
      <c r="AQ736" s="226" t="s">
        <v>6311</v>
      </c>
      <c r="AR736" s="226" t="s">
        <v>6311</v>
      </c>
      <c r="AS736" s="224"/>
      <c r="AT736" s="50" t="s">
        <v>266</v>
      </c>
      <c r="AU736" s="48">
        <v>6</v>
      </c>
      <c r="AV736" s="48">
        <v>120</v>
      </c>
      <c r="AW736" s="48">
        <v>114</v>
      </c>
      <c r="AX736" s="48">
        <v>28</v>
      </c>
      <c r="AY736" s="48" t="s">
        <v>8728</v>
      </c>
      <c r="AZ736" s="48" t="s">
        <v>1563</v>
      </c>
      <c r="BA736" s="48">
        <v>32</v>
      </c>
      <c r="BB736" s="47" t="s">
        <v>2485</v>
      </c>
      <c r="BC736" s="47" t="s">
        <v>8726</v>
      </c>
      <c r="BD736" s="47" t="s">
        <v>8374</v>
      </c>
      <c r="BE736" s="48" t="s">
        <v>2449</v>
      </c>
      <c r="BF736" s="48" t="s">
        <v>272</v>
      </c>
      <c r="BG736" s="48" t="s">
        <v>272</v>
      </c>
      <c r="BH736" s="48" t="s">
        <v>2486</v>
      </c>
      <c r="BI736" s="98">
        <v>1.8979839999999999E-3</v>
      </c>
      <c r="BJ736" s="98">
        <v>18.979839999999999</v>
      </c>
      <c r="BK736" s="48"/>
      <c r="BL736" s="487">
        <v>42.885311902166244</v>
      </c>
      <c r="BM736" s="47" t="s">
        <v>2487</v>
      </c>
      <c r="BN736" s="48"/>
      <c r="BO736" s="48"/>
      <c r="BP736" s="48"/>
      <c r="BQ736" s="48"/>
      <c r="BR736" s="47" t="e">
        <v>#VALUE!</v>
      </c>
      <c r="BS736" s="48"/>
      <c r="BT736" s="48"/>
      <c r="BU736" s="228"/>
      <c r="BV736" s="48"/>
      <c r="BW736" s="48"/>
      <c r="BX736" s="48"/>
      <c r="BY736" s="48"/>
      <c r="BZ736" s="48"/>
      <c r="CA736" s="48"/>
      <c r="CB736" s="48"/>
      <c r="CC736" s="48"/>
      <c r="CD736" s="48"/>
      <c r="CE736" s="48"/>
      <c r="CF736" s="48"/>
      <c r="CG736" s="48"/>
      <c r="CH736" s="48"/>
      <c r="CI736" s="98"/>
      <c r="CJ736" s="98"/>
      <c r="CK736" s="49">
        <f t="shared" si="152"/>
        <v>2.2595191477992569</v>
      </c>
      <c r="CL736" s="229"/>
      <c r="CM736" s="229">
        <v>-1.1974235898560992</v>
      </c>
      <c r="CN736" s="229">
        <f>BJ736/(10^CM736)</f>
        <v>299.0309474530568</v>
      </c>
      <c r="CO736" s="47" t="s">
        <v>2488</v>
      </c>
      <c r="CP736" s="500" t="s">
        <v>2489</v>
      </c>
      <c r="CQ736" s="224">
        <v>-1.1005726806317602</v>
      </c>
      <c r="CR736" s="224">
        <f>10^(CJ736-CQ736)</f>
        <v>12.605865836168672</v>
      </c>
      <c r="CS736" s="230" t="s">
        <v>539</v>
      </c>
      <c r="CT736" s="230"/>
      <c r="CU736" s="230"/>
      <c r="CV736" s="335">
        <f t="shared" si="153"/>
        <v>4.2149986512004328E-2</v>
      </c>
      <c r="CW736" s="230">
        <f t="shared" si="158"/>
        <v>0</v>
      </c>
      <c r="CX736" s="336"/>
      <c r="CY736" s="230" t="s">
        <v>5921</v>
      </c>
    </row>
    <row r="737" spans="1:103" ht="11.25" customHeight="1" x14ac:dyDescent="0.2">
      <c r="A737" s="72">
        <v>1066</v>
      </c>
      <c r="B737" s="224">
        <v>1549</v>
      </c>
      <c r="C737" s="46" t="s">
        <v>7233</v>
      </c>
      <c r="D737" s="46"/>
      <c r="E737" s="114"/>
      <c r="F737" s="114" t="s">
        <v>4679</v>
      </c>
      <c r="G737" s="225">
        <v>133904</v>
      </c>
      <c r="H737" s="47" t="s">
        <v>4680</v>
      </c>
      <c r="I737" s="47" t="s">
        <v>8043</v>
      </c>
      <c r="J737" s="47" t="s">
        <v>4681</v>
      </c>
      <c r="K737" s="47" t="s">
        <v>1573</v>
      </c>
      <c r="L737" s="47"/>
      <c r="M737" s="47"/>
      <c r="N737" s="47"/>
      <c r="O737" s="47"/>
      <c r="P737" s="53"/>
      <c r="Q737" s="53"/>
      <c r="R737" s="53"/>
      <c r="S737" s="53"/>
      <c r="T737" s="48">
        <v>206.03</v>
      </c>
      <c r="U737" s="98">
        <v>700</v>
      </c>
      <c r="V737" s="98">
        <v>964.1</v>
      </c>
      <c r="W737" s="98">
        <v>319.10268799453831</v>
      </c>
      <c r="X737" s="98">
        <v>700</v>
      </c>
      <c r="Y737" s="233">
        <v>3.02</v>
      </c>
      <c r="Z737" s="48">
        <v>1.9</v>
      </c>
      <c r="AA737" s="48"/>
      <c r="AB737" s="48">
        <v>2.33</v>
      </c>
      <c r="AC737" s="48">
        <v>0.77280000000000004</v>
      </c>
      <c r="AD737" s="48">
        <v>2.39</v>
      </c>
      <c r="AE737" s="48">
        <v>2.52</v>
      </c>
      <c r="AF737" s="48">
        <f t="shared" si="154"/>
        <v>2.39</v>
      </c>
      <c r="AG737" s="49">
        <v>2.1</v>
      </c>
      <c r="AH737" s="98">
        <v>2.0999999999999999E-11</v>
      </c>
      <c r="AI737" s="98">
        <v>3.8699999999999999E-11</v>
      </c>
      <c r="AJ737" s="483">
        <f t="shared" si="156"/>
        <v>-9.0663470315787329</v>
      </c>
      <c r="AK737" s="483">
        <f>LOG10(AI737*1000/(0.08206*298.15))</f>
        <v>-8.8008553612937401</v>
      </c>
      <c r="AL737" s="483">
        <f t="shared" si="155"/>
        <v>-8.8008553612937401</v>
      </c>
      <c r="AM737" s="483">
        <v>-12.719449999999998</v>
      </c>
      <c r="AN737" s="226">
        <v>-7.98</v>
      </c>
      <c r="AO737" s="484">
        <v>2.75</v>
      </c>
      <c r="AP737" s="484">
        <v>0.5</v>
      </c>
      <c r="AQ737" s="48" t="s">
        <v>6311</v>
      </c>
      <c r="AR737" s="48" t="s">
        <v>6311</v>
      </c>
      <c r="AS737" s="227"/>
      <c r="AT737" s="50" t="s">
        <v>266</v>
      </c>
      <c r="AU737" s="48">
        <v>6</v>
      </c>
      <c r="AV737" s="48">
        <v>120</v>
      </c>
      <c r="AW737" s="48">
        <v>114</v>
      </c>
      <c r="AX737" s="48">
        <v>28</v>
      </c>
      <c r="AY737" s="48" t="s">
        <v>8728</v>
      </c>
      <c r="AZ737" s="48" t="s">
        <v>1563</v>
      </c>
      <c r="BA737" s="48">
        <v>32</v>
      </c>
      <c r="BB737" s="47" t="s">
        <v>2485</v>
      </c>
      <c r="BC737" s="47" t="s">
        <v>8726</v>
      </c>
      <c r="BD737" s="47" t="s">
        <v>8374</v>
      </c>
      <c r="BE737" s="48" t="s">
        <v>2449</v>
      </c>
      <c r="BF737" s="48" t="s">
        <v>272</v>
      </c>
      <c r="BG737" s="48" t="s">
        <v>272</v>
      </c>
      <c r="BH737" s="48" t="s">
        <v>2486</v>
      </c>
      <c r="BI737" s="98">
        <v>1.3185919999999999E-3</v>
      </c>
      <c r="BJ737" s="98">
        <v>13.185920000000001</v>
      </c>
      <c r="BK737" s="48"/>
      <c r="BL737" s="487">
        <v>208.13276919729475</v>
      </c>
      <c r="BM737" s="47" t="s">
        <v>2487</v>
      </c>
      <c r="BN737" s="48"/>
      <c r="BO737" s="48"/>
      <c r="BP737" s="48"/>
      <c r="BQ737" s="48"/>
      <c r="BR737" s="47" t="e">
        <v>#VALUE!</v>
      </c>
      <c r="BS737" s="48"/>
      <c r="BT737" s="48"/>
      <c r="BU737" s="228"/>
      <c r="BV737" s="48"/>
      <c r="BW737" s="48"/>
      <c r="BX737" s="48"/>
      <c r="BY737" s="48"/>
      <c r="BZ737" s="48"/>
      <c r="CA737" s="48"/>
      <c r="CB737" s="48"/>
      <c r="CC737" s="48"/>
      <c r="CD737" s="48"/>
      <c r="CE737" s="48"/>
      <c r="CF737" s="48"/>
      <c r="CG737" s="48"/>
      <c r="CH737" s="48"/>
      <c r="CI737" s="98"/>
      <c r="CJ737" s="98"/>
      <c r="CK737" s="49">
        <f t="shared" ref="CK737:CK800" si="159">BL737/BJ737</f>
        <v>15.784470798950299</v>
      </c>
      <c r="CL737" s="229"/>
      <c r="CM737" s="229"/>
      <c r="CN737" s="229"/>
      <c r="CO737" s="47" t="s">
        <v>2488</v>
      </c>
      <c r="CP737" s="500" t="s">
        <v>2489</v>
      </c>
      <c r="CQ737" s="224" t="s">
        <v>272</v>
      </c>
      <c r="CR737" s="224"/>
      <c r="CS737" s="230" t="s">
        <v>539</v>
      </c>
      <c r="CT737" s="230"/>
      <c r="CU737" s="230"/>
      <c r="CV737" s="335">
        <f t="shared" ref="CV737:CV800" si="160">X737/BJ737</f>
        <v>53.086929087996886</v>
      </c>
      <c r="CW737" s="230">
        <f t="shared" si="158"/>
        <v>1</v>
      </c>
      <c r="CX737" s="336"/>
      <c r="CY737" s="230" t="s">
        <v>5921</v>
      </c>
    </row>
    <row r="738" spans="1:103" ht="11.25" customHeight="1" x14ac:dyDescent="0.2">
      <c r="A738" s="72">
        <v>1067</v>
      </c>
      <c r="B738" s="224">
        <v>1280</v>
      </c>
      <c r="C738" s="46" t="s">
        <v>7234</v>
      </c>
      <c r="D738" s="46"/>
      <c r="E738" s="114"/>
      <c r="F738" s="114" t="s">
        <v>3516</v>
      </c>
      <c r="G738" s="225">
        <v>134032</v>
      </c>
      <c r="H738" s="47" t="s">
        <v>3517</v>
      </c>
      <c r="I738" s="47" t="s">
        <v>3517</v>
      </c>
      <c r="J738" s="47" t="s">
        <v>3518</v>
      </c>
      <c r="K738" s="47" t="s">
        <v>3519</v>
      </c>
      <c r="L738" s="47"/>
      <c r="M738" s="47"/>
      <c r="N738" s="47"/>
      <c r="O738" s="47"/>
      <c r="P738" s="53"/>
      <c r="Q738" s="53"/>
      <c r="R738" s="53"/>
      <c r="S738" s="53"/>
      <c r="T738" s="48">
        <v>176.12</v>
      </c>
      <c r="U738" s="98">
        <v>400000</v>
      </c>
      <c r="V738" s="98">
        <v>1000000</v>
      </c>
      <c r="W738" s="98">
        <v>531873.89699720324</v>
      </c>
      <c r="X738" s="98">
        <v>400000</v>
      </c>
      <c r="Y738" s="233">
        <v>1.8</v>
      </c>
      <c r="Z738" s="48">
        <v>-1.88</v>
      </c>
      <c r="AA738" s="48">
        <v>-1.85</v>
      </c>
      <c r="AB738" s="48">
        <v>-1.65</v>
      </c>
      <c r="AC738" s="48">
        <v>0.76139999999999997</v>
      </c>
      <c r="AD738" s="48">
        <v>-1.89</v>
      </c>
      <c r="AE738" s="48">
        <v>-2.41</v>
      </c>
      <c r="AF738" s="48">
        <f t="shared" si="154"/>
        <v>-1.85</v>
      </c>
      <c r="AG738" s="49">
        <v>-1.89</v>
      </c>
      <c r="AH738" s="98">
        <v>4.07E-8</v>
      </c>
      <c r="AI738" s="98"/>
      <c r="AJ738" s="483">
        <f t="shared" si="156"/>
        <v>-5.7789719170874321</v>
      </c>
      <c r="AK738" s="483"/>
      <c r="AL738" s="483">
        <f t="shared" si="155"/>
        <v>-5.7789719170874321</v>
      </c>
      <c r="AM738" s="483">
        <v>-18.041989999999998</v>
      </c>
      <c r="AN738" s="226"/>
      <c r="AO738" s="484">
        <v>4.09</v>
      </c>
      <c r="AP738" s="484"/>
      <c r="AQ738" s="48" t="s">
        <v>6311</v>
      </c>
      <c r="AR738" s="48" t="s">
        <v>6311</v>
      </c>
      <c r="AS738" s="227"/>
      <c r="AT738" s="50" t="s">
        <v>266</v>
      </c>
      <c r="AU738" s="48">
        <v>6</v>
      </c>
      <c r="AV738" s="48">
        <v>120</v>
      </c>
      <c r="AW738" s="48">
        <v>114</v>
      </c>
      <c r="AX738" s="48">
        <v>28</v>
      </c>
      <c r="AY738" s="48" t="s">
        <v>8728</v>
      </c>
      <c r="AZ738" s="48" t="s">
        <v>1563</v>
      </c>
      <c r="BA738" s="48">
        <v>32</v>
      </c>
      <c r="BB738" s="47" t="s">
        <v>2485</v>
      </c>
      <c r="BC738" s="47" t="s">
        <v>8726</v>
      </c>
      <c r="BD738" s="47" t="s">
        <v>8374</v>
      </c>
      <c r="BE738" s="48" t="s">
        <v>2449</v>
      </c>
      <c r="BF738" s="48" t="s">
        <v>272</v>
      </c>
      <c r="BG738" s="48" t="s">
        <v>272</v>
      </c>
      <c r="BH738" s="48" t="s">
        <v>2486</v>
      </c>
      <c r="BI738" s="98">
        <v>1.127168E-3</v>
      </c>
      <c r="BJ738" s="98">
        <v>11.27168</v>
      </c>
      <c r="BK738" s="48"/>
      <c r="BL738" s="487">
        <v>441607.74018113897</v>
      </c>
      <c r="BM738" s="47" t="s">
        <v>2487</v>
      </c>
      <c r="BN738" s="48"/>
      <c r="BO738" s="48"/>
      <c r="BP738" s="48"/>
      <c r="BQ738" s="48"/>
      <c r="BR738" s="47" t="e">
        <v>#VALUE!</v>
      </c>
      <c r="BS738" s="48"/>
      <c r="BT738" s="48"/>
      <c r="BU738" s="228">
        <v>11.27168</v>
      </c>
      <c r="BV738" s="48"/>
      <c r="BW738" s="48"/>
      <c r="BX738" s="48"/>
      <c r="BY738" s="48"/>
      <c r="BZ738" s="48"/>
      <c r="CA738" s="48"/>
      <c r="CB738" s="48"/>
      <c r="CC738" s="48"/>
      <c r="CD738" s="48"/>
      <c r="CE738" s="48"/>
      <c r="CF738" s="48"/>
      <c r="CG738" s="48"/>
      <c r="CH738" s="48"/>
      <c r="CI738" s="98"/>
      <c r="CJ738" s="98"/>
      <c r="CK738" s="49">
        <f t="shared" si="159"/>
        <v>39178.519988248336</v>
      </c>
      <c r="CL738" s="229"/>
      <c r="CM738" s="229"/>
      <c r="CN738" s="229"/>
      <c r="CO738" s="47" t="s">
        <v>2488</v>
      </c>
      <c r="CP738" s="500" t="s">
        <v>2489</v>
      </c>
      <c r="CQ738" s="224" t="s">
        <v>272</v>
      </c>
      <c r="CR738" s="224"/>
      <c r="CS738" s="230" t="s">
        <v>539</v>
      </c>
      <c r="CT738" s="230"/>
      <c r="CU738" s="230"/>
      <c r="CV738" s="335">
        <f t="shared" si="160"/>
        <v>35487.167840109018</v>
      </c>
      <c r="CW738" s="230">
        <f t="shared" si="158"/>
        <v>1</v>
      </c>
      <c r="CX738" s="336"/>
      <c r="CY738" s="230" t="s">
        <v>6351</v>
      </c>
    </row>
    <row r="739" spans="1:103" ht="11.25" customHeight="1" x14ac:dyDescent="0.2">
      <c r="A739" s="72">
        <v>1068</v>
      </c>
      <c r="B739" s="224">
        <v>1186</v>
      </c>
      <c r="C739" s="46" t="s">
        <v>7235</v>
      </c>
      <c r="D739" s="46" t="s">
        <v>8597</v>
      </c>
      <c r="E739" s="114"/>
      <c r="F739" s="114" t="s">
        <v>3273</v>
      </c>
      <c r="G739" s="225">
        <v>134203</v>
      </c>
      <c r="H739" s="47" t="s">
        <v>3274</v>
      </c>
      <c r="I739" s="47" t="s">
        <v>3274</v>
      </c>
      <c r="J739" s="47" t="s">
        <v>3275</v>
      </c>
      <c r="K739" s="47" t="s">
        <v>3276</v>
      </c>
      <c r="L739" s="47" t="s">
        <v>6127</v>
      </c>
      <c r="M739" s="47" t="s">
        <v>6082</v>
      </c>
      <c r="N739" s="47" t="s">
        <v>6082</v>
      </c>
      <c r="O739" s="47" t="s">
        <v>6083</v>
      </c>
      <c r="P739" s="53"/>
      <c r="Q739" s="53" t="s">
        <v>6173</v>
      </c>
      <c r="R739" s="53" t="s">
        <v>6174</v>
      </c>
      <c r="S739" s="53" t="s">
        <v>6176</v>
      </c>
      <c r="T739" s="48">
        <v>151.16</v>
      </c>
      <c r="U739" s="98">
        <v>2849.9999999999995</v>
      </c>
      <c r="V739" s="98">
        <v>1860</v>
      </c>
      <c r="W739" s="98">
        <v>2039.0922933255417</v>
      </c>
      <c r="X739" s="98">
        <v>2849.9999999999995</v>
      </c>
      <c r="Y739" s="233">
        <v>7.25</v>
      </c>
      <c r="Z739" s="48">
        <v>2.2599999999999998</v>
      </c>
      <c r="AA739" s="48">
        <v>1.88</v>
      </c>
      <c r="AB739" s="48">
        <v>2.23</v>
      </c>
      <c r="AC739" s="48">
        <v>0.84260000000000002</v>
      </c>
      <c r="AD739" s="48">
        <v>2.1800000000000002</v>
      </c>
      <c r="AE739" s="48">
        <v>2.04</v>
      </c>
      <c r="AF739" s="48">
        <f t="shared" si="154"/>
        <v>1.88</v>
      </c>
      <c r="AG739" s="49">
        <v>1.19</v>
      </c>
      <c r="AH739" s="98">
        <v>1.2299999999999999E-8</v>
      </c>
      <c r="AI739" s="98">
        <v>1.8899999999999999E-6</v>
      </c>
      <c r="AJ739" s="483">
        <f t="shared" si="156"/>
        <v>-6.2986612148732544</v>
      </c>
      <c r="AK739" s="483">
        <f>LOG10(AI739*1000/(0.08206*298.15))</f>
        <v>-4.1121045221394077</v>
      </c>
      <c r="AL739" s="483">
        <f t="shared" si="155"/>
        <v>-4.1121045221394077</v>
      </c>
      <c r="AM739" s="483">
        <v>-8.2364899999999999</v>
      </c>
      <c r="AN739" s="226">
        <v>-4.66</v>
      </c>
      <c r="AO739" s="484"/>
      <c r="AP739" s="484">
        <v>2.19</v>
      </c>
      <c r="AQ739" s="48" t="s">
        <v>6311</v>
      </c>
      <c r="AR739" s="48" t="s">
        <v>6312</v>
      </c>
      <c r="AS739" s="227"/>
      <c r="AT739" s="50" t="s">
        <v>266</v>
      </c>
      <c r="AU739" s="48">
        <v>6</v>
      </c>
      <c r="AV739" s="48">
        <v>120</v>
      </c>
      <c r="AW739" s="48">
        <v>114</v>
      </c>
      <c r="AX739" s="48">
        <v>28</v>
      </c>
      <c r="AY739" s="48" t="s">
        <v>8728</v>
      </c>
      <c r="AZ739" s="48" t="s">
        <v>1563</v>
      </c>
      <c r="BA739" s="48">
        <v>32</v>
      </c>
      <c r="BB739" s="47" t="s">
        <v>2485</v>
      </c>
      <c r="BC739" s="47" t="s">
        <v>8726</v>
      </c>
      <c r="BD739" s="47" t="s">
        <v>8374</v>
      </c>
      <c r="BE739" s="48" t="s">
        <v>2449</v>
      </c>
      <c r="BF739" s="48" t="s">
        <v>272</v>
      </c>
      <c r="BG739" s="48" t="s">
        <v>272</v>
      </c>
      <c r="BH739" s="48" t="s">
        <v>2486</v>
      </c>
      <c r="BI739" s="98">
        <v>9.6742399999999993E-4</v>
      </c>
      <c r="BJ739" s="98">
        <v>9.6742399999999993</v>
      </c>
      <c r="BK739" s="48"/>
      <c r="BL739" s="487">
        <v>72.532205485126198</v>
      </c>
      <c r="BM739" s="47" t="s">
        <v>2487</v>
      </c>
      <c r="BN739" s="48"/>
      <c r="BO739" s="48"/>
      <c r="BP739" s="48"/>
      <c r="BQ739" s="48"/>
      <c r="BR739" s="47" t="e">
        <v>#VALUE!</v>
      </c>
      <c r="BS739" s="48"/>
      <c r="BT739" s="48"/>
      <c r="BU739" s="228">
        <v>9.6742400000000006E-2</v>
      </c>
      <c r="BV739" s="48"/>
      <c r="BW739" s="48"/>
      <c r="BX739" s="48"/>
      <c r="BY739" s="48"/>
      <c r="BZ739" s="48"/>
      <c r="CA739" s="48"/>
      <c r="CB739" s="48"/>
      <c r="CC739" s="48"/>
      <c r="CD739" s="48"/>
      <c r="CE739" s="48"/>
      <c r="CF739" s="48"/>
      <c r="CG739" s="48"/>
      <c r="CH739" s="48"/>
      <c r="CI739" s="98"/>
      <c r="CJ739" s="98"/>
      <c r="CK739" s="49">
        <f t="shared" si="159"/>
        <v>7.4974577315764552</v>
      </c>
      <c r="CL739" s="229"/>
      <c r="CM739" s="229"/>
      <c r="CN739" s="229"/>
      <c r="CO739" s="47" t="s">
        <v>2488</v>
      </c>
      <c r="CP739" s="500" t="s">
        <v>2489</v>
      </c>
      <c r="CQ739" s="224">
        <v>1.3905167241445584</v>
      </c>
      <c r="CR739" s="224">
        <f>10^(CJ739-CQ739)</f>
        <v>4.0689586444988289E-2</v>
      </c>
      <c r="CS739" s="230" t="s">
        <v>539</v>
      </c>
      <c r="CT739" s="230"/>
      <c r="CU739" s="230"/>
      <c r="CV739" s="335">
        <f t="shared" si="160"/>
        <v>294.59678486372053</v>
      </c>
      <c r="CW739" s="230">
        <f t="shared" si="158"/>
        <v>1</v>
      </c>
      <c r="CX739" s="336"/>
      <c r="CY739" s="230" t="s">
        <v>5921</v>
      </c>
    </row>
    <row r="740" spans="1:103" ht="11.25" customHeight="1" x14ac:dyDescent="0.2">
      <c r="A740" s="72">
        <v>1070</v>
      </c>
      <c r="B740" s="224">
        <v>1781</v>
      </c>
      <c r="C740" s="46" t="s">
        <v>7237</v>
      </c>
      <c r="D740" s="46" t="s">
        <v>8598</v>
      </c>
      <c r="E740" s="114"/>
      <c r="F740" s="114" t="s">
        <v>3819</v>
      </c>
      <c r="G740" s="225">
        <v>134623</v>
      </c>
      <c r="H740" s="47" t="s">
        <v>3820</v>
      </c>
      <c r="I740" s="47" t="s">
        <v>3820</v>
      </c>
      <c r="J740" s="47" t="s">
        <v>3821</v>
      </c>
      <c r="K740" s="47" t="s">
        <v>471</v>
      </c>
      <c r="L740" s="47" t="s">
        <v>6034</v>
      </c>
      <c r="M740" s="47" t="s">
        <v>6082</v>
      </c>
      <c r="N740" s="47" t="s">
        <v>6082</v>
      </c>
      <c r="O740" s="47" t="s">
        <v>6083</v>
      </c>
      <c r="P740" s="53"/>
      <c r="Q740" s="53" t="s">
        <v>6173</v>
      </c>
      <c r="R740" s="53" t="s">
        <v>6185</v>
      </c>
      <c r="S740" s="53" t="s">
        <v>6176</v>
      </c>
      <c r="T740" s="48">
        <v>191.27</v>
      </c>
      <c r="U740" s="98"/>
      <c r="V740" s="98">
        <v>666</v>
      </c>
      <c r="W740" s="98">
        <v>7791.9625735592645</v>
      </c>
      <c r="X740" s="98">
        <v>7791.9625735592645</v>
      </c>
      <c r="Y740" s="233">
        <v>7</v>
      </c>
      <c r="Z740" s="48">
        <v>2.2599999999999998</v>
      </c>
      <c r="AA740" s="48">
        <v>2.1800000000000002</v>
      </c>
      <c r="AB740" s="48">
        <v>2.3199999999999998</v>
      </c>
      <c r="AC740" s="48">
        <v>0.90939999999999999</v>
      </c>
      <c r="AD740" s="48">
        <v>2.2400000000000002</v>
      </c>
      <c r="AE740" s="48">
        <v>1.96</v>
      </c>
      <c r="AF740" s="48">
        <f t="shared" ref="AF740:AF803" si="161">IF(AA740=0,AD740,AA740)</f>
        <v>2.1800000000000002</v>
      </c>
      <c r="AG740" s="49">
        <v>2.42</v>
      </c>
      <c r="AH740" s="98">
        <v>2.0800000000000001E-8</v>
      </c>
      <c r="AI740" s="98"/>
      <c r="AJ740" s="483">
        <f t="shared" si="156"/>
        <v>-6.0705029913498905</v>
      </c>
      <c r="AK740" s="483"/>
      <c r="AL740" s="483">
        <f t="shared" si="155"/>
        <v>-6.0705029913498905</v>
      </c>
      <c r="AM740" s="483">
        <v>-8.6535799999999998</v>
      </c>
      <c r="AN740" s="226">
        <v>-6.58</v>
      </c>
      <c r="AO740" s="484"/>
      <c r="AP740" s="484">
        <v>-1.37</v>
      </c>
      <c r="AQ740" s="226" t="s">
        <v>6311</v>
      </c>
      <c r="AR740" s="226" t="s">
        <v>6311</v>
      </c>
      <c r="AS740" s="224"/>
      <c r="AT740" s="50" t="s">
        <v>266</v>
      </c>
      <c r="AU740" s="48">
        <v>6</v>
      </c>
      <c r="AV740" s="48">
        <v>120</v>
      </c>
      <c r="AW740" s="48">
        <v>114</v>
      </c>
      <c r="AX740" s="48">
        <v>28</v>
      </c>
      <c r="AY740" s="48" t="s">
        <v>8728</v>
      </c>
      <c r="AZ740" s="48" t="s">
        <v>1563</v>
      </c>
      <c r="BA740" s="48">
        <v>32</v>
      </c>
      <c r="BB740" s="47" t="s">
        <v>2485</v>
      </c>
      <c r="BC740" s="47" t="s">
        <v>8726</v>
      </c>
      <c r="BD740" s="47" t="s">
        <v>8374</v>
      </c>
      <c r="BE740" s="48" t="s">
        <v>2449</v>
      </c>
      <c r="BF740" s="48" t="s">
        <v>272</v>
      </c>
      <c r="BG740" s="48" t="s">
        <v>272</v>
      </c>
      <c r="BH740" s="48" t="s">
        <v>2486</v>
      </c>
      <c r="BI740" s="98">
        <v>1.2241280000000001E-3</v>
      </c>
      <c r="BJ740" s="98">
        <v>12.241280000000001</v>
      </c>
      <c r="BK740" s="48"/>
      <c r="BL740" s="487">
        <v>91.778479380392213</v>
      </c>
      <c r="BM740" s="47" t="s">
        <v>2487</v>
      </c>
      <c r="BN740" s="48"/>
      <c r="BO740" s="48"/>
      <c r="BP740" s="48"/>
      <c r="BQ740" s="48"/>
      <c r="BR740" s="47" t="e">
        <v>#VALUE!</v>
      </c>
      <c r="BS740" s="48"/>
      <c r="BT740" s="48"/>
      <c r="BU740" s="228"/>
      <c r="BV740" s="48"/>
      <c r="BW740" s="48"/>
      <c r="BX740" s="48"/>
      <c r="BY740" s="48"/>
      <c r="BZ740" s="48"/>
      <c r="CA740" s="48"/>
      <c r="CB740" s="48"/>
      <c r="CC740" s="48"/>
      <c r="CD740" s="48"/>
      <c r="CE740" s="48"/>
      <c r="CF740" s="48"/>
      <c r="CG740" s="48"/>
      <c r="CH740" s="48"/>
      <c r="CI740" s="98"/>
      <c r="CJ740" s="98"/>
      <c r="CK740" s="49">
        <f t="shared" si="159"/>
        <v>7.4974577315764526</v>
      </c>
      <c r="CL740" s="229"/>
      <c r="CM740" s="229"/>
      <c r="CN740" s="229"/>
      <c r="CO740" s="47" t="s">
        <v>2488</v>
      </c>
      <c r="CP740" s="500" t="s">
        <v>2489</v>
      </c>
      <c r="CQ740" s="224">
        <v>1.9231811594672634</v>
      </c>
      <c r="CR740" s="224">
        <f>10^(CJ740-CQ740)</f>
        <v>1.193490153993847E-2</v>
      </c>
      <c r="CS740" s="230" t="s">
        <v>539</v>
      </c>
      <c r="CT740" s="230"/>
      <c r="CU740" s="230"/>
      <c r="CV740" s="335">
        <f t="shared" si="160"/>
        <v>636.5316840689261</v>
      </c>
      <c r="CW740" s="230">
        <f t="shared" si="158"/>
        <v>1</v>
      </c>
      <c r="CX740" s="336"/>
      <c r="CY740" s="230" t="s">
        <v>5921</v>
      </c>
    </row>
    <row r="741" spans="1:103" ht="11.25" customHeight="1" x14ac:dyDescent="0.2">
      <c r="A741" s="72">
        <v>1071</v>
      </c>
      <c r="B741" s="224">
        <v>1538</v>
      </c>
      <c r="C741" s="46" t="s">
        <v>7238</v>
      </c>
      <c r="D741" s="46"/>
      <c r="E741" s="114"/>
      <c r="F741" s="114" t="s">
        <v>4652</v>
      </c>
      <c r="G741" s="225">
        <v>136607</v>
      </c>
      <c r="H741" s="47" t="s">
        <v>4653</v>
      </c>
      <c r="I741" s="47" t="s">
        <v>4653</v>
      </c>
      <c r="J741" s="47" t="s">
        <v>4654</v>
      </c>
      <c r="K741" s="47" t="s">
        <v>357</v>
      </c>
      <c r="L741" s="47"/>
      <c r="M741" s="47"/>
      <c r="N741" s="47"/>
      <c r="O741" s="47"/>
      <c r="P741" s="53"/>
      <c r="Q741" s="53" t="s">
        <v>6173</v>
      </c>
      <c r="R741" s="53" t="s">
        <v>6174</v>
      </c>
      <c r="S741" s="53" t="s">
        <v>6176</v>
      </c>
      <c r="T741" s="48">
        <v>178.23</v>
      </c>
      <c r="U741" s="98">
        <v>59</v>
      </c>
      <c r="V741" s="98">
        <v>29.52</v>
      </c>
      <c r="W741" s="98">
        <v>234.9528985129084</v>
      </c>
      <c r="X741" s="98">
        <v>59</v>
      </c>
      <c r="Y741" s="233">
        <v>7</v>
      </c>
      <c r="Z741" s="48">
        <v>3.3</v>
      </c>
      <c r="AA741" s="48">
        <v>3.84</v>
      </c>
      <c r="AB741" s="48">
        <v>3.54</v>
      </c>
      <c r="AC741" s="48">
        <v>0.85960000000000003</v>
      </c>
      <c r="AD741" s="48">
        <v>3.61</v>
      </c>
      <c r="AE741" s="48">
        <v>3.79</v>
      </c>
      <c r="AF741" s="48">
        <f t="shared" si="161"/>
        <v>3.84</v>
      </c>
      <c r="AG741" s="49">
        <v>2.89</v>
      </c>
      <c r="AH741" s="98">
        <v>8.1199999999999995E-5</v>
      </c>
      <c r="AI741" s="98">
        <v>3.9700000000000003E-5</v>
      </c>
      <c r="AJ741" s="483">
        <f t="shared" si="156"/>
        <v>-2.4790102970714765</v>
      </c>
      <c r="AK741" s="483">
        <f>LOG10(AI741*1000/(0.08206*298.15))</f>
        <v>-2.7897758195495368</v>
      </c>
      <c r="AL741" s="483">
        <f t="shared" si="155"/>
        <v>-2.7897758195495368</v>
      </c>
      <c r="AM741" s="483">
        <v>-5.6319299999999997</v>
      </c>
      <c r="AN741" s="226">
        <v>-2.62</v>
      </c>
      <c r="AO741" s="484"/>
      <c r="AP741" s="484"/>
      <c r="AQ741" s="48" t="s">
        <v>6311</v>
      </c>
      <c r="AR741" s="48" t="s">
        <v>6312</v>
      </c>
      <c r="AS741" s="227"/>
      <c r="AT741" s="50" t="s">
        <v>266</v>
      </c>
      <c r="AU741" s="48">
        <v>6</v>
      </c>
      <c r="AV741" s="48">
        <v>120</v>
      </c>
      <c r="AW741" s="48">
        <v>114</v>
      </c>
      <c r="AX741" s="48">
        <v>28</v>
      </c>
      <c r="AY741" s="48" t="s">
        <v>8728</v>
      </c>
      <c r="AZ741" s="48" t="s">
        <v>1563</v>
      </c>
      <c r="BA741" s="48">
        <v>32</v>
      </c>
      <c r="BB741" s="47" t="s">
        <v>2485</v>
      </c>
      <c r="BC741" s="47" t="s">
        <v>8726</v>
      </c>
      <c r="BD741" s="47" t="s">
        <v>8374</v>
      </c>
      <c r="BE741" s="48" t="s">
        <v>2449</v>
      </c>
      <c r="BF741" s="48" t="s">
        <v>272</v>
      </c>
      <c r="BG741" s="48" t="s">
        <v>272</v>
      </c>
      <c r="BH741" s="48" t="s">
        <v>2486</v>
      </c>
      <c r="BI741" s="98">
        <v>1.1406719999999999E-3</v>
      </c>
      <c r="BJ741" s="98">
        <v>11.40672</v>
      </c>
      <c r="BK741" s="48"/>
      <c r="BL741" s="487">
        <v>9.9552187431659576</v>
      </c>
      <c r="BM741" s="47" t="s">
        <v>2487</v>
      </c>
      <c r="BN741" s="48"/>
      <c r="BO741" s="48"/>
      <c r="BP741" s="48"/>
      <c r="BQ741" s="48"/>
      <c r="BR741" s="47"/>
      <c r="BS741" s="48"/>
      <c r="BT741" s="48"/>
      <c r="BU741" s="228"/>
      <c r="BV741" s="48"/>
      <c r="BW741" s="48"/>
      <c r="BX741" s="48"/>
      <c r="BY741" s="48"/>
      <c r="BZ741" s="48"/>
      <c r="CA741" s="48"/>
      <c r="CB741" s="48"/>
      <c r="CC741" s="48"/>
      <c r="CD741" s="48"/>
      <c r="CE741" s="48"/>
      <c r="CF741" s="48"/>
      <c r="CG741" s="48"/>
      <c r="CH741" s="48"/>
      <c r="CI741" s="52"/>
      <c r="CJ741" s="98"/>
      <c r="CK741" s="49">
        <f t="shared" si="159"/>
        <v>0.87275033867456708</v>
      </c>
      <c r="CL741" s="229"/>
      <c r="CM741" s="229"/>
      <c r="CN741" s="229"/>
      <c r="CO741" s="47" t="s">
        <v>2488</v>
      </c>
      <c r="CP741" s="500" t="s">
        <v>2489</v>
      </c>
      <c r="CQ741" s="224" t="s">
        <v>272</v>
      </c>
      <c r="CR741" s="224"/>
      <c r="CS741" s="230" t="s">
        <v>539</v>
      </c>
      <c r="CT741" s="230"/>
      <c r="CU741" s="230"/>
      <c r="CV741" s="335">
        <f t="shared" si="160"/>
        <v>5.1723896089322787</v>
      </c>
      <c r="CW741" s="230">
        <f t="shared" si="158"/>
        <v>1</v>
      </c>
      <c r="CX741" s="336"/>
      <c r="CY741" s="230" t="s">
        <v>5921</v>
      </c>
    </row>
    <row r="742" spans="1:103" ht="11.25" customHeight="1" x14ac:dyDescent="0.2">
      <c r="A742" s="72">
        <v>1072</v>
      </c>
      <c r="B742" s="224">
        <v>1900</v>
      </c>
      <c r="C742" s="46" t="s">
        <v>1510</v>
      </c>
      <c r="D742" s="46"/>
      <c r="E742" s="114"/>
      <c r="F742" s="114" t="s">
        <v>1511</v>
      </c>
      <c r="G742" s="225">
        <v>137268</v>
      </c>
      <c r="H742" s="47" t="s">
        <v>1512</v>
      </c>
      <c r="I742" s="47" t="s">
        <v>1512</v>
      </c>
      <c r="J742" s="47" t="s">
        <v>1513</v>
      </c>
      <c r="K742" s="47" t="s">
        <v>1514</v>
      </c>
      <c r="L742" s="47" t="s">
        <v>6092</v>
      </c>
      <c r="M742" s="47" t="s">
        <v>1515</v>
      </c>
      <c r="N742" s="47" t="s">
        <v>6382</v>
      </c>
      <c r="O742" s="47" t="s">
        <v>1516</v>
      </c>
      <c r="P742" s="53"/>
      <c r="Q742" s="53"/>
      <c r="R742" s="53"/>
      <c r="S742" s="53"/>
      <c r="T742" s="48">
        <v>240.44</v>
      </c>
      <c r="U742" s="98">
        <v>30</v>
      </c>
      <c r="V742" s="98">
        <v>9064</v>
      </c>
      <c r="W742" s="98">
        <v>53.827811055737122</v>
      </c>
      <c r="X742" s="98">
        <v>30</v>
      </c>
      <c r="Y742" s="233">
        <v>7</v>
      </c>
      <c r="Z742" s="48">
        <v>1.7</v>
      </c>
      <c r="AA742" s="48">
        <v>1.73</v>
      </c>
      <c r="AB742" s="48">
        <v>2.02</v>
      </c>
      <c r="AC742" s="48">
        <v>0.82899999999999996</v>
      </c>
      <c r="AD742" s="48">
        <v>1.94</v>
      </c>
      <c r="AE742" s="48">
        <v>1.75</v>
      </c>
      <c r="AF742" s="48">
        <f t="shared" si="161"/>
        <v>1.73</v>
      </c>
      <c r="AG742" s="49">
        <v>3.34</v>
      </c>
      <c r="AH742" s="98">
        <v>2.6800000000000001E-5</v>
      </c>
      <c r="AI742" s="98">
        <v>1.8199999999999999E-7</v>
      </c>
      <c r="AJ742" s="483">
        <f t="shared" si="156"/>
        <v>-2.960431532283863</v>
      </c>
      <c r="AK742" s="483">
        <f>LOG10(AI742*1000/(0.08206*298.15))</f>
        <v>-5.1284949383275773</v>
      </c>
      <c r="AL742" s="483">
        <f t="shared" si="155"/>
        <v>-5.1284949383275773</v>
      </c>
      <c r="AM742" s="483">
        <v>-12.009799999999998</v>
      </c>
      <c r="AN742" s="226">
        <v>-6.05</v>
      </c>
      <c r="AO742" s="484"/>
      <c r="AP742" s="484">
        <v>0.87</v>
      </c>
      <c r="AQ742" s="226" t="s">
        <v>6311</v>
      </c>
      <c r="AR742" s="226" t="s">
        <v>6311</v>
      </c>
      <c r="AS742" s="224"/>
      <c r="AT742" s="50" t="s">
        <v>266</v>
      </c>
      <c r="AU742" s="48">
        <v>6</v>
      </c>
      <c r="AV742" s="48">
        <v>120</v>
      </c>
      <c r="AW742" s="48">
        <v>114</v>
      </c>
      <c r="AX742" s="48">
        <v>28</v>
      </c>
      <c r="AY742" s="48" t="s">
        <v>8728</v>
      </c>
      <c r="AZ742" s="48" t="s">
        <v>1563</v>
      </c>
      <c r="BA742" s="48">
        <v>32</v>
      </c>
      <c r="BB742" s="47" t="s">
        <v>2485</v>
      </c>
      <c r="BC742" s="47" t="s">
        <v>8726</v>
      </c>
      <c r="BD742" s="47" t="s">
        <v>8374</v>
      </c>
      <c r="BE742" s="48" t="s">
        <v>2449</v>
      </c>
      <c r="BF742" s="48" t="s">
        <v>272</v>
      </c>
      <c r="BG742" s="48" t="s">
        <v>272</v>
      </c>
      <c r="BH742" s="48" t="s">
        <v>2486</v>
      </c>
      <c r="BI742" s="98">
        <v>1.5388159999999999E-3</v>
      </c>
      <c r="BJ742" s="98">
        <v>15.388160000000001</v>
      </c>
      <c r="BK742" s="48"/>
      <c r="BL742" s="487">
        <v>367.31335527411579</v>
      </c>
      <c r="BM742" s="47" t="s">
        <v>2487</v>
      </c>
      <c r="BN742" s="48"/>
      <c r="BO742" s="48"/>
      <c r="BP742" s="48"/>
      <c r="BQ742" s="48"/>
      <c r="BR742" s="47" t="e">
        <v>#VALUE!</v>
      </c>
      <c r="BS742" s="48"/>
      <c r="BT742" s="48"/>
      <c r="BU742" s="228"/>
      <c r="BV742" s="48"/>
      <c r="BW742" s="48"/>
      <c r="BX742" s="48"/>
      <c r="BY742" s="48"/>
      <c r="BZ742" s="48"/>
      <c r="CA742" s="48"/>
      <c r="CB742" s="48"/>
      <c r="CC742" s="48"/>
      <c r="CD742" s="48"/>
      <c r="CE742" s="48"/>
      <c r="CF742" s="48"/>
      <c r="CG742" s="48"/>
      <c r="CH742" s="48"/>
      <c r="CI742" s="98"/>
      <c r="CJ742" s="98"/>
      <c r="CK742" s="49">
        <f t="shared" si="159"/>
        <v>23.869868475120857</v>
      </c>
      <c r="CL742" s="229"/>
      <c r="CM742" s="229">
        <v>-1.6644766621219171</v>
      </c>
      <c r="CN742" s="229">
        <f>BJ742/(10^CM742)</f>
        <v>710.66242809934477</v>
      </c>
      <c r="CO742" s="47" t="s">
        <v>2488</v>
      </c>
      <c r="CP742" s="500" t="s">
        <v>2489</v>
      </c>
      <c r="CQ742" s="224">
        <v>-1.2976425233538103</v>
      </c>
      <c r="CR742" s="224">
        <f>10^(CJ742-CQ742)</f>
        <v>19.844607947533785</v>
      </c>
      <c r="CS742" s="230" t="s">
        <v>539</v>
      </c>
      <c r="CT742" s="230"/>
      <c r="CU742" s="230"/>
      <c r="CV742" s="335">
        <f t="shared" si="160"/>
        <v>1.9495508234902676</v>
      </c>
      <c r="CW742" s="230">
        <f t="shared" si="158"/>
        <v>1</v>
      </c>
      <c r="CX742" s="336"/>
      <c r="CY742" s="230" t="s">
        <v>6351</v>
      </c>
    </row>
    <row r="743" spans="1:103" ht="11.25" customHeight="1" x14ac:dyDescent="0.2">
      <c r="A743" s="72">
        <v>1073</v>
      </c>
      <c r="B743" s="224">
        <v>1208</v>
      </c>
      <c r="C743" s="46" t="s">
        <v>7239</v>
      </c>
      <c r="D743" s="46"/>
      <c r="E743" s="114"/>
      <c r="F743" s="114" t="s">
        <v>3331</v>
      </c>
      <c r="G743" s="225">
        <v>139139</v>
      </c>
      <c r="H743" s="47" t="s">
        <v>3332</v>
      </c>
      <c r="I743" s="47" t="s">
        <v>3332</v>
      </c>
      <c r="J743" s="47" t="s">
        <v>3333</v>
      </c>
      <c r="K743" s="47" t="s">
        <v>300</v>
      </c>
      <c r="L743" s="51"/>
      <c r="M743" s="47"/>
      <c r="N743" s="47"/>
      <c r="O743" s="47"/>
      <c r="P743" s="53"/>
      <c r="Q743" s="53"/>
      <c r="R743" s="53"/>
      <c r="S743" s="53"/>
      <c r="T743" s="48">
        <v>191.14</v>
      </c>
      <c r="U743" s="98">
        <v>59100</v>
      </c>
      <c r="V743" s="98">
        <v>738900</v>
      </c>
      <c r="W743" s="98">
        <v>129226.49991642339</v>
      </c>
      <c r="X743" s="98">
        <v>59100</v>
      </c>
      <c r="Y743" s="233">
        <v>1.74</v>
      </c>
      <c r="Z743" s="48">
        <v>-3.81</v>
      </c>
      <c r="AA743" s="48"/>
      <c r="AB743" s="48">
        <v>-1.1499999999999999</v>
      </c>
      <c r="AC743" s="48">
        <v>0.61799999999999999</v>
      </c>
      <c r="AD743" s="48">
        <v>-1.41</v>
      </c>
      <c r="AE743" s="48">
        <v>-1.76</v>
      </c>
      <c r="AF743" s="48">
        <f t="shared" si="161"/>
        <v>-1.41</v>
      </c>
      <c r="AG743" s="49">
        <v>-1.68</v>
      </c>
      <c r="AH743" s="98">
        <v>1.1900000000000001E-16</v>
      </c>
      <c r="AI743" s="98"/>
      <c r="AJ743" s="483">
        <f t="shared" si="156"/>
        <v>-14.313019364920121</v>
      </c>
      <c r="AK743" s="483"/>
      <c r="AL743" s="483">
        <f t="shared" si="155"/>
        <v>-14.313019364920121</v>
      </c>
      <c r="AM743" s="483">
        <v>-19.280249999999999</v>
      </c>
      <c r="AN743" s="226">
        <v>-20.7</v>
      </c>
      <c r="AO743" s="484">
        <v>1.49</v>
      </c>
      <c r="AP743" s="484">
        <v>10.3</v>
      </c>
      <c r="AQ743" s="48" t="s">
        <v>6311</v>
      </c>
      <c r="AR743" s="48" t="s">
        <v>6311</v>
      </c>
      <c r="AS743" s="227"/>
      <c r="AT743" s="50" t="s">
        <v>266</v>
      </c>
      <c r="AU743" s="48">
        <v>6</v>
      </c>
      <c r="AV743" s="48">
        <v>120</v>
      </c>
      <c r="AW743" s="48">
        <v>114</v>
      </c>
      <c r="AX743" s="48">
        <v>28</v>
      </c>
      <c r="AY743" s="48" t="s">
        <v>8728</v>
      </c>
      <c r="AZ743" s="48" t="s">
        <v>1563</v>
      </c>
      <c r="BA743" s="48">
        <v>32</v>
      </c>
      <c r="BB743" s="47" t="s">
        <v>2485</v>
      </c>
      <c r="BC743" s="47" t="s">
        <v>8726</v>
      </c>
      <c r="BD743" s="47" t="s">
        <v>8374</v>
      </c>
      <c r="BE743" s="48" t="s">
        <v>2449</v>
      </c>
      <c r="BF743" s="48" t="s">
        <v>272</v>
      </c>
      <c r="BG743" s="48" t="s">
        <v>272</v>
      </c>
      <c r="BH743" s="48" t="s">
        <v>2486</v>
      </c>
      <c r="BI743" s="98">
        <v>1.2232959999999998E-3</v>
      </c>
      <c r="BJ743" s="98">
        <v>12.232959999999999</v>
      </c>
      <c r="BK743" s="48"/>
      <c r="BL743" s="487">
        <v>25936572.371379752</v>
      </c>
      <c r="BM743" s="47" t="s">
        <v>2487</v>
      </c>
      <c r="BN743" s="48"/>
      <c r="BO743" s="48"/>
      <c r="BP743" s="48"/>
      <c r="BQ743" s="48"/>
      <c r="BR743" s="47" t="e">
        <v>#VALUE!</v>
      </c>
      <c r="BS743" s="48"/>
      <c r="BT743" s="48"/>
      <c r="BU743" s="228">
        <v>1.1277259999999999E-3</v>
      </c>
      <c r="BV743" s="48"/>
      <c r="BW743" s="48"/>
      <c r="BX743" s="48"/>
      <c r="BY743" s="48"/>
      <c r="BZ743" s="48"/>
      <c r="CA743" s="48"/>
      <c r="CB743" s="48"/>
      <c r="CC743" s="48"/>
      <c r="CD743" s="48"/>
      <c r="CE743" s="48"/>
      <c r="CF743" s="48"/>
      <c r="CG743" s="48"/>
      <c r="CH743" s="48"/>
      <c r="CI743" s="98"/>
      <c r="CJ743" s="98"/>
      <c r="CK743" s="49">
        <f t="shared" si="159"/>
        <v>2120220.4839531686</v>
      </c>
      <c r="CL743" s="229"/>
      <c r="CM743" s="229"/>
      <c r="CN743" s="229"/>
      <c r="CO743" s="47" t="s">
        <v>2488</v>
      </c>
      <c r="CP743" s="500" t="s">
        <v>2489</v>
      </c>
      <c r="CQ743" s="224" t="s">
        <v>272</v>
      </c>
      <c r="CR743" s="224"/>
      <c r="CS743" s="230" t="s">
        <v>539</v>
      </c>
      <c r="CT743" s="230"/>
      <c r="CU743" s="230"/>
      <c r="CV743" s="335">
        <f t="shared" si="160"/>
        <v>4831.2101077744064</v>
      </c>
      <c r="CW743" s="230">
        <f t="shared" si="158"/>
        <v>1</v>
      </c>
      <c r="CX743" s="336"/>
      <c r="CY743" s="230" t="s">
        <v>6351</v>
      </c>
    </row>
    <row r="744" spans="1:103" ht="11.25" customHeight="1" x14ac:dyDescent="0.2">
      <c r="A744" s="72">
        <v>1075</v>
      </c>
      <c r="B744" s="224">
        <v>1835</v>
      </c>
      <c r="C744" s="46" t="s">
        <v>7240</v>
      </c>
      <c r="D744" s="46"/>
      <c r="E744" s="114"/>
      <c r="F744" s="114" t="s">
        <v>3997</v>
      </c>
      <c r="G744" s="225">
        <v>139402</v>
      </c>
      <c r="H744" s="47" t="s">
        <v>3998</v>
      </c>
      <c r="I744" s="47" t="s">
        <v>8044</v>
      </c>
      <c r="J744" s="47" t="s">
        <v>3999</v>
      </c>
      <c r="K744" s="47" t="s">
        <v>940</v>
      </c>
      <c r="L744" s="47"/>
      <c r="M744" s="47"/>
      <c r="N744" s="47"/>
      <c r="O744" s="47"/>
      <c r="P744" s="53"/>
      <c r="Q744" s="53"/>
      <c r="R744" s="53"/>
      <c r="S744" s="53"/>
      <c r="T744" s="48">
        <v>229.71</v>
      </c>
      <c r="U744" s="98">
        <v>8.6</v>
      </c>
      <c r="V744" s="98">
        <v>96.08</v>
      </c>
      <c r="W744" s="98">
        <v>33.976598784611866</v>
      </c>
      <c r="X744" s="98">
        <v>8.6</v>
      </c>
      <c r="Y744" s="233">
        <v>7.01</v>
      </c>
      <c r="Z744" s="48">
        <v>3.24</v>
      </c>
      <c r="AA744" s="48">
        <v>2.93</v>
      </c>
      <c r="AB744" s="48">
        <v>2.97</v>
      </c>
      <c r="AC744" s="48">
        <v>0.86960000000000004</v>
      </c>
      <c r="AD744" s="48">
        <v>2.98</v>
      </c>
      <c r="AE744" s="48">
        <v>2.98</v>
      </c>
      <c r="AF744" s="48">
        <f t="shared" si="161"/>
        <v>2.93</v>
      </c>
      <c r="AG744" s="49">
        <v>2.79</v>
      </c>
      <c r="AH744" s="98">
        <v>5.9399999999999998E-9</v>
      </c>
      <c r="AI744" s="98">
        <v>4.5999999999999998E-9</v>
      </c>
      <c r="AJ744" s="483">
        <f t="shared" si="156"/>
        <v>-6.614779881331458</v>
      </c>
      <c r="AK744" s="483">
        <f>LOG10(AI744*1000/(0.08206*298.15))</f>
        <v>-6.7258084946310781</v>
      </c>
      <c r="AL744" s="483">
        <f t="shared" ref="AL744:AL807" si="162">IF(AK744=0,AJ744,AK744)</f>
        <v>-6.7258084946310781</v>
      </c>
      <c r="AM744" s="483">
        <v>-10.672369999999999</v>
      </c>
      <c r="AN744" s="226">
        <v>-8.19</v>
      </c>
      <c r="AO744" s="484"/>
      <c r="AP744" s="484">
        <v>2.2799999999999998</v>
      </c>
      <c r="AQ744" s="226" t="s">
        <v>6311</v>
      </c>
      <c r="AR744" s="226" t="s">
        <v>6311</v>
      </c>
      <c r="AS744" s="224"/>
      <c r="AT744" s="50" t="s">
        <v>266</v>
      </c>
      <c r="AU744" s="48">
        <v>6</v>
      </c>
      <c r="AV744" s="48">
        <v>120</v>
      </c>
      <c r="AW744" s="48">
        <v>114</v>
      </c>
      <c r="AX744" s="48">
        <v>28</v>
      </c>
      <c r="AY744" s="48" t="s">
        <v>8728</v>
      </c>
      <c r="AZ744" s="48" t="s">
        <v>1563</v>
      </c>
      <c r="BA744" s="48">
        <v>32</v>
      </c>
      <c r="BB744" s="47" t="s">
        <v>2485</v>
      </c>
      <c r="BC744" s="47" t="s">
        <v>8726</v>
      </c>
      <c r="BD744" s="47" t="s">
        <v>8374</v>
      </c>
      <c r="BE744" s="48" t="s">
        <v>2449</v>
      </c>
      <c r="BF744" s="48" t="s">
        <v>272</v>
      </c>
      <c r="BG744" s="48" t="s">
        <v>272</v>
      </c>
      <c r="BH744" s="48" t="s">
        <v>2486</v>
      </c>
      <c r="BI744" s="98">
        <v>1.4701440000000001E-3</v>
      </c>
      <c r="BJ744" s="98">
        <v>14.701440000000002</v>
      </c>
      <c r="BK744" s="48"/>
      <c r="BL744" s="487">
        <v>14.525660914318838</v>
      </c>
      <c r="BM744" s="47" t="s">
        <v>2487</v>
      </c>
      <c r="BN744" s="48"/>
      <c r="BO744" s="48"/>
      <c r="BP744" s="48"/>
      <c r="BQ744" s="48"/>
      <c r="BR744" s="47" t="e">
        <v>#VALUE!</v>
      </c>
      <c r="BS744" s="48"/>
      <c r="BT744" s="48"/>
      <c r="BU744" s="228"/>
      <c r="BV744" s="48"/>
      <c r="BW744" s="48"/>
      <c r="BX744" s="48"/>
      <c r="BY744" s="48"/>
      <c r="BZ744" s="48"/>
      <c r="CA744" s="48"/>
      <c r="CB744" s="48"/>
      <c r="CC744" s="48"/>
      <c r="CD744" s="48"/>
      <c r="CE744" s="48"/>
      <c r="CF744" s="48"/>
      <c r="CG744" s="48"/>
      <c r="CH744" s="48"/>
      <c r="CI744" s="98"/>
      <c r="CJ744" s="98"/>
      <c r="CK744" s="49">
        <f t="shared" si="159"/>
        <v>0.98804341032707244</v>
      </c>
      <c r="CL744" s="229"/>
      <c r="CM744" s="229"/>
      <c r="CN744" s="229"/>
      <c r="CO744" s="47" t="s">
        <v>2488</v>
      </c>
      <c r="CP744" s="500" t="s">
        <v>2489</v>
      </c>
      <c r="CQ744" s="224" t="s">
        <v>272</v>
      </c>
      <c r="CR744" s="224"/>
      <c r="CS744" s="230" t="s">
        <v>539</v>
      </c>
      <c r="CT744" s="230"/>
      <c r="CU744" s="230"/>
      <c r="CV744" s="335">
        <f t="shared" si="160"/>
        <v>0.58497670976448557</v>
      </c>
      <c r="CW744" s="230">
        <f t="shared" si="158"/>
        <v>0</v>
      </c>
      <c r="CX744" s="336"/>
      <c r="CY744" s="230" t="s">
        <v>6351</v>
      </c>
    </row>
    <row r="745" spans="1:103" ht="11.25" customHeight="1" x14ac:dyDescent="0.2">
      <c r="A745" s="72">
        <v>1076</v>
      </c>
      <c r="B745" s="224">
        <v>1658</v>
      </c>
      <c r="C745" s="46" t="s">
        <v>7241</v>
      </c>
      <c r="D745" s="46"/>
      <c r="E745" s="114"/>
      <c r="F745" s="114" t="s">
        <v>4882</v>
      </c>
      <c r="G745" s="225">
        <v>140567</v>
      </c>
      <c r="H745" s="47" t="s">
        <v>4883</v>
      </c>
      <c r="I745" s="47" t="s">
        <v>4883</v>
      </c>
      <c r="J745" s="47" t="s">
        <v>4884</v>
      </c>
      <c r="K745" s="47" t="s">
        <v>426</v>
      </c>
      <c r="L745" s="47"/>
      <c r="M745" s="47"/>
      <c r="N745" s="47"/>
      <c r="O745" s="47"/>
      <c r="P745" s="53"/>
      <c r="Q745" s="53"/>
      <c r="R745" s="53"/>
      <c r="S745" s="53"/>
      <c r="T745" s="48">
        <v>229.26</v>
      </c>
      <c r="U745" s="98"/>
      <c r="V745" s="98">
        <v>394.6</v>
      </c>
      <c r="W745" s="98">
        <v>426.90209695132876</v>
      </c>
      <c r="X745" s="98">
        <v>426.90209695132876</v>
      </c>
      <c r="Y745" s="233">
        <v>3.12</v>
      </c>
      <c r="Z745" s="48">
        <v>-0.63</v>
      </c>
      <c r="AA745" s="48"/>
      <c r="AB745" s="48">
        <v>-0.47</v>
      </c>
      <c r="AC745" s="48">
        <v>0.40649999999999997</v>
      </c>
      <c r="AD745" s="48">
        <v>0.76</v>
      </c>
      <c r="AE745" s="48">
        <v>1.67</v>
      </c>
      <c r="AF745" s="48">
        <f t="shared" si="161"/>
        <v>0.76</v>
      </c>
      <c r="AG745" s="49">
        <v>0.76</v>
      </c>
      <c r="AH745" s="98">
        <v>5.2299999999999995E-10</v>
      </c>
      <c r="AI745" s="98"/>
      <c r="AJ745" s="483">
        <f t="shared" si="156"/>
        <v>-7.6700646374453774</v>
      </c>
      <c r="AK745" s="483"/>
      <c r="AL745" s="483">
        <f t="shared" si="162"/>
        <v>-7.6700646374453774</v>
      </c>
      <c r="AM745" s="483">
        <v>-14.336359999999997</v>
      </c>
      <c r="AN745" s="226"/>
      <c r="AO745" s="484">
        <v>-6.08</v>
      </c>
      <c r="AP745" s="484">
        <v>3.29</v>
      </c>
      <c r="AQ745" s="226" t="s">
        <v>6311</v>
      </c>
      <c r="AR745" s="226" t="s">
        <v>6311</v>
      </c>
      <c r="AS745" s="224"/>
      <c r="AT745" s="50" t="s">
        <v>266</v>
      </c>
      <c r="AU745" s="48">
        <v>6</v>
      </c>
      <c r="AV745" s="48">
        <v>120</v>
      </c>
      <c r="AW745" s="48">
        <v>114</v>
      </c>
      <c r="AX745" s="48">
        <v>28</v>
      </c>
      <c r="AY745" s="48" t="s">
        <v>8728</v>
      </c>
      <c r="AZ745" s="48" t="s">
        <v>1563</v>
      </c>
      <c r="BA745" s="48">
        <v>32</v>
      </c>
      <c r="BB745" s="47" t="s">
        <v>2485</v>
      </c>
      <c r="BC745" s="47" t="s">
        <v>8726</v>
      </c>
      <c r="BD745" s="47" t="s">
        <v>8374</v>
      </c>
      <c r="BE745" s="48" t="s">
        <v>2449</v>
      </c>
      <c r="BF745" s="48" t="s">
        <v>272</v>
      </c>
      <c r="BG745" s="48" t="s">
        <v>272</v>
      </c>
      <c r="BH745" s="48" t="s">
        <v>2486</v>
      </c>
      <c r="BI745" s="98">
        <v>1.4672639999999998E-3</v>
      </c>
      <c r="BJ745" s="98">
        <v>14.672639999999999</v>
      </c>
      <c r="BK745" s="48"/>
      <c r="BL745" s="487">
        <v>43344.229586299691</v>
      </c>
      <c r="BM745" s="47" t="s">
        <v>2487</v>
      </c>
      <c r="BN745" s="48"/>
      <c r="BO745" s="48"/>
      <c r="BP745" s="48"/>
      <c r="BQ745" s="48"/>
      <c r="BR745" s="47" t="e">
        <v>#VALUE!</v>
      </c>
      <c r="BS745" s="48"/>
      <c r="BT745" s="48"/>
      <c r="BU745" s="228"/>
      <c r="BV745" s="48"/>
      <c r="BW745" s="48"/>
      <c r="BX745" s="48"/>
      <c r="BY745" s="48"/>
      <c r="BZ745" s="48"/>
      <c r="CA745" s="48"/>
      <c r="CB745" s="48"/>
      <c r="CC745" s="48"/>
      <c r="CD745" s="48"/>
      <c r="CE745" s="48"/>
      <c r="CF745" s="48"/>
      <c r="CG745" s="48"/>
      <c r="CH745" s="48"/>
      <c r="CI745" s="98"/>
      <c r="CJ745" s="98"/>
      <c r="CK745" s="49">
        <f t="shared" si="159"/>
        <v>2954.0852625226062</v>
      </c>
      <c r="CL745" s="229"/>
      <c r="CM745" s="229"/>
      <c r="CN745" s="229"/>
      <c r="CO745" s="47" t="s">
        <v>2488</v>
      </c>
      <c r="CP745" s="500" t="s">
        <v>2489</v>
      </c>
      <c r="CQ745" s="224" t="s">
        <v>272</v>
      </c>
      <c r="CR745" s="224"/>
      <c r="CS745" s="230" t="s">
        <v>539</v>
      </c>
      <c r="CT745" s="230"/>
      <c r="CU745" s="230"/>
      <c r="CV745" s="335">
        <f t="shared" si="160"/>
        <v>29.095111510357288</v>
      </c>
      <c r="CW745" s="230">
        <f t="shared" si="158"/>
        <v>1</v>
      </c>
      <c r="CX745" s="336"/>
      <c r="CY745" s="230" t="s">
        <v>5921</v>
      </c>
    </row>
    <row r="746" spans="1:103" ht="11.25" customHeight="1" x14ac:dyDescent="0.2">
      <c r="A746" s="72">
        <v>1077</v>
      </c>
      <c r="B746" s="224">
        <v>1807</v>
      </c>
      <c r="C746" s="46" t="s">
        <v>7242</v>
      </c>
      <c r="D746" s="46"/>
      <c r="E746" s="114"/>
      <c r="F746" s="114" t="s">
        <v>5192</v>
      </c>
      <c r="G746" s="225">
        <v>140647</v>
      </c>
      <c r="H746" s="47" t="s">
        <v>5193</v>
      </c>
      <c r="I746" s="47" t="s">
        <v>5193</v>
      </c>
      <c r="J746" s="47" t="s">
        <v>5194</v>
      </c>
      <c r="K746" s="47" t="s">
        <v>300</v>
      </c>
      <c r="L746" s="47"/>
      <c r="M746" s="47"/>
      <c r="N746" s="47"/>
      <c r="O746" s="47"/>
      <c r="P746" s="53"/>
      <c r="Q746" s="53"/>
      <c r="R746" s="53"/>
      <c r="S746" s="53"/>
      <c r="T746" s="48">
        <v>588.65</v>
      </c>
      <c r="U746" s="98"/>
      <c r="V746" s="98">
        <v>20.02</v>
      </c>
      <c r="W746" s="98">
        <v>6.3074983902811672</v>
      </c>
      <c r="X746" s="98">
        <v>6.3074983902811672</v>
      </c>
      <c r="Y746" s="233">
        <v>7</v>
      </c>
      <c r="Z746" s="48">
        <v>1.1499999999999999</v>
      </c>
      <c r="AA746" s="48"/>
      <c r="AB746" s="48">
        <v>0.56999999999999995</v>
      </c>
      <c r="AC746" s="48">
        <v>0.56830000000000003</v>
      </c>
      <c r="AD746" s="48">
        <v>1.23</v>
      </c>
      <c r="AE746" s="48">
        <v>2.16</v>
      </c>
      <c r="AF746" s="48">
        <f t="shared" si="161"/>
        <v>1.23</v>
      </c>
      <c r="AG746" s="49">
        <v>3.79</v>
      </c>
      <c r="AH746" s="98">
        <v>1.0500000000000001E-27</v>
      </c>
      <c r="AI746" s="98"/>
      <c r="AJ746" s="483">
        <f t="shared" ref="AJ746:AJ809" si="163">LOG10(AH746*1000/(0.08206*298.15))</f>
        <v>-25.367377027242714</v>
      </c>
      <c r="AK746" s="483"/>
      <c r="AL746" s="483">
        <f t="shared" si="162"/>
        <v>-25.367377027242714</v>
      </c>
      <c r="AM746" s="483">
        <v>-38.699469999999998</v>
      </c>
      <c r="AN746" s="226">
        <v>-9.4</v>
      </c>
      <c r="AO746" s="484">
        <v>13.5</v>
      </c>
      <c r="AP746" s="484">
        <v>1.54</v>
      </c>
      <c r="AQ746" s="226" t="s">
        <v>6311</v>
      </c>
      <c r="AR746" s="226" t="s">
        <v>6311</v>
      </c>
      <c r="AS746" s="224"/>
      <c r="AT746" s="50" t="s">
        <v>266</v>
      </c>
      <c r="AU746" s="48">
        <v>6</v>
      </c>
      <c r="AV746" s="48">
        <v>120</v>
      </c>
      <c r="AW746" s="48">
        <v>114</v>
      </c>
      <c r="AX746" s="48">
        <v>28</v>
      </c>
      <c r="AY746" s="48" t="s">
        <v>8728</v>
      </c>
      <c r="AZ746" s="48" t="s">
        <v>1563</v>
      </c>
      <c r="BA746" s="48">
        <v>32</v>
      </c>
      <c r="BB746" s="47" t="s">
        <v>2485</v>
      </c>
      <c r="BC746" s="47" t="s">
        <v>8726</v>
      </c>
      <c r="BD746" s="47" t="s">
        <v>8374</v>
      </c>
      <c r="BE746" s="48" t="s">
        <v>2449</v>
      </c>
      <c r="BF746" s="48" t="s">
        <v>272</v>
      </c>
      <c r="BG746" s="48" t="s">
        <v>272</v>
      </c>
      <c r="BH746" s="48" t="s">
        <v>2486</v>
      </c>
      <c r="BI746" s="98">
        <v>3.7673599999999995E-3</v>
      </c>
      <c r="BJ746" s="98">
        <v>37.6736</v>
      </c>
      <c r="BK746" s="48"/>
      <c r="BL746" s="487">
        <v>2804.4141411243913</v>
      </c>
      <c r="BM746" s="47" t="s">
        <v>2487</v>
      </c>
      <c r="BN746" s="48"/>
      <c r="BO746" s="48"/>
      <c r="BP746" s="48"/>
      <c r="BQ746" s="48"/>
      <c r="BR746" s="47" t="e">
        <v>#VALUE!</v>
      </c>
      <c r="BS746" s="48"/>
      <c r="BT746" s="48"/>
      <c r="BU746" s="228"/>
      <c r="BV746" s="48"/>
      <c r="BW746" s="48"/>
      <c r="BX746" s="48"/>
      <c r="BY746" s="48"/>
      <c r="BZ746" s="48"/>
      <c r="CA746" s="48"/>
      <c r="CB746" s="48"/>
      <c r="CC746" s="48"/>
      <c r="CD746" s="48"/>
      <c r="CE746" s="48"/>
      <c r="CF746" s="48"/>
      <c r="CG746" s="48"/>
      <c r="CH746" s="48"/>
      <c r="CI746" s="98"/>
      <c r="CJ746" s="98"/>
      <c r="CK746" s="49">
        <f t="shared" si="159"/>
        <v>74.439770585353969</v>
      </c>
      <c r="CL746" s="229"/>
      <c r="CM746" s="229"/>
      <c r="CN746" s="229"/>
      <c r="CO746" s="47" t="s">
        <v>2488</v>
      </c>
      <c r="CP746" s="500" t="s">
        <v>2489</v>
      </c>
      <c r="CQ746" s="224" t="s">
        <v>272</v>
      </c>
      <c r="CR746" s="224"/>
      <c r="CS746" s="230" t="s">
        <v>539</v>
      </c>
      <c r="CT746" s="230"/>
      <c r="CU746" s="230"/>
      <c r="CV746" s="335">
        <f t="shared" si="160"/>
        <v>0.16742489144337591</v>
      </c>
      <c r="CW746" s="230">
        <f t="shared" si="158"/>
        <v>0</v>
      </c>
      <c r="CX746" s="336"/>
      <c r="CY746" s="230" t="s">
        <v>5921</v>
      </c>
    </row>
    <row r="747" spans="1:103" ht="11.25" customHeight="1" x14ac:dyDescent="0.2">
      <c r="A747" s="72">
        <v>1078</v>
      </c>
      <c r="B747" s="224">
        <v>1609</v>
      </c>
      <c r="C747" s="46" t="s">
        <v>7243</v>
      </c>
      <c r="D747" s="46"/>
      <c r="E747" s="114"/>
      <c r="F747" s="114" t="s">
        <v>4774</v>
      </c>
      <c r="G747" s="225">
        <v>141048</v>
      </c>
      <c r="H747" s="47" t="s">
        <v>4775</v>
      </c>
      <c r="I747" s="47" t="s">
        <v>4775</v>
      </c>
      <c r="J747" s="47" t="s">
        <v>4776</v>
      </c>
      <c r="K747" s="47" t="s">
        <v>357</v>
      </c>
      <c r="L747" s="47"/>
      <c r="M747" s="47"/>
      <c r="N747" s="47"/>
      <c r="O747" s="47"/>
      <c r="P747" s="53"/>
      <c r="Q747" s="53"/>
      <c r="R747" s="53"/>
      <c r="S747" s="53"/>
      <c r="T747" s="48">
        <v>258.35000000000002</v>
      </c>
      <c r="U747" s="98"/>
      <c r="V747" s="98">
        <v>5.649</v>
      </c>
      <c r="W747" s="98">
        <v>155.67126906231013</v>
      </c>
      <c r="X747" s="98">
        <v>155.67126906231013</v>
      </c>
      <c r="Y747" s="233">
        <v>7</v>
      </c>
      <c r="Z747" s="48">
        <v>4.1900000000000004</v>
      </c>
      <c r="AA747" s="48"/>
      <c r="AB747" s="48">
        <v>3.44</v>
      </c>
      <c r="AC747" s="48">
        <v>0.746</v>
      </c>
      <c r="AD747" s="48">
        <v>3.57</v>
      </c>
      <c r="AE747" s="48">
        <v>3.85</v>
      </c>
      <c r="AF747" s="48">
        <f t="shared" si="161"/>
        <v>3.57</v>
      </c>
      <c r="AG747" s="49">
        <v>3.12</v>
      </c>
      <c r="AH747" s="98">
        <v>5.3499999999999996E-6</v>
      </c>
      <c r="AI747" s="98"/>
      <c r="AJ747" s="483">
        <f t="shared" si="163"/>
        <v>-3.6602125442914235</v>
      </c>
      <c r="AK747" s="483"/>
      <c r="AL747" s="483">
        <f t="shared" si="162"/>
        <v>-3.6602125442914235</v>
      </c>
      <c r="AM747" s="483">
        <v>-6.9421900000000001</v>
      </c>
      <c r="AN747" s="226">
        <v>-4.84</v>
      </c>
      <c r="AO747" s="484"/>
      <c r="AP747" s="484"/>
      <c r="AQ747" s="48" t="s">
        <v>6311</v>
      </c>
      <c r="AR747" s="48" t="s">
        <v>6312</v>
      </c>
      <c r="AS747" s="227"/>
      <c r="AT747" s="50" t="s">
        <v>266</v>
      </c>
      <c r="AU747" s="48">
        <v>6</v>
      </c>
      <c r="AV747" s="48">
        <v>120</v>
      </c>
      <c r="AW747" s="48">
        <v>114</v>
      </c>
      <c r="AX747" s="48">
        <v>28</v>
      </c>
      <c r="AY747" s="48" t="s">
        <v>8728</v>
      </c>
      <c r="AZ747" s="48" t="s">
        <v>1563</v>
      </c>
      <c r="BA747" s="48">
        <v>32</v>
      </c>
      <c r="BB747" s="47" t="s">
        <v>2485</v>
      </c>
      <c r="BC747" s="47" t="s">
        <v>8726</v>
      </c>
      <c r="BD747" s="47" t="s">
        <v>8374</v>
      </c>
      <c r="BE747" s="48" t="s">
        <v>2449</v>
      </c>
      <c r="BF747" s="48" t="s">
        <v>272</v>
      </c>
      <c r="BG747" s="48" t="s">
        <v>272</v>
      </c>
      <c r="BH747" s="48" t="s">
        <v>2486</v>
      </c>
      <c r="BI747" s="98">
        <v>1.6534400000000002E-3</v>
      </c>
      <c r="BJ747" s="98">
        <v>16.534400000000002</v>
      </c>
      <c r="BK747" s="48"/>
      <c r="BL747" s="487">
        <v>2.2907065934682698</v>
      </c>
      <c r="BM747" s="47" t="s">
        <v>2487</v>
      </c>
      <c r="BN747" s="48"/>
      <c r="BO747" s="48"/>
      <c r="BP747" s="48"/>
      <c r="BQ747" s="48"/>
      <c r="BR747" s="47" t="e">
        <v>#VALUE!</v>
      </c>
      <c r="BS747" s="48"/>
      <c r="BT747" s="48"/>
      <c r="BU747" s="228"/>
      <c r="BV747" s="48"/>
      <c r="BW747" s="48"/>
      <c r="BX747" s="48"/>
      <c r="BY747" s="48"/>
      <c r="BZ747" s="48"/>
      <c r="CA747" s="48"/>
      <c r="CB747" s="48"/>
      <c r="CC747" s="48"/>
      <c r="CD747" s="48"/>
      <c r="CE747" s="48"/>
      <c r="CF747" s="48"/>
      <c r="CG747" s="48"/>
      <c r="CH747" s="48"/>
      <c r="CI747" s="98"/>
      <c r="CJ747" s="98"/>
      <c r="CK747" s="49">
        <f t="shared" si="159"/>
        <v>0.13854186383952666</v>
      </c>
      <c r="CL747" s="229"/>
      <c r="CM747" s="229"/>
      <c r="CN747" s="229"/>
      <c r="CO747" s="47" t="s">
        <v>2488</v>
      </c>
      <c r="CP747" s="500" t="s">
        <v>2489</v>
      </c>
      <c r="CQ747" s="224" t="s">
        <v>272</v>
      </c>
      <c r="CR747" s="224"/>
      <c r="CS747" s="230" t="s">
        <v>539</v>
      </c>
      <c r="CT747" s="230"/>
      <c r="CU747" s="230"/>
      <c r="CV747" s="335">
        <f t="shared" si="160"/>
        <v>9.4149935324118275</v>
      </c>
      <c r="CW747" s="230">
        <f t="shared" si="158"/>
        <v>1</v>
      </c>
      <c r="CX747" s="336"/>
      <c r="CY747" s="230" t="s">
        <v>5921</v>
      </c>
    </row>
    <row r="748" spans="1:103" ht="11.25" customHeight="1" x14ac:dyDescent="0.2">
      <c r="A748" s="72">
        <v>1079</v>
      </c>
      <c r="B748" s="224">
        <v>1642</v>
      </c>
      <c r="C748" s="46" t="s">
        <v>7244</v>
      </c>
      <c r="D748" s="46"/>
      <c r="E748" s="114"/>
      <c r="F748" s="114" t="s">
        <v>1560</v>
      </c>
      <c r="G748" s="225">
        <v>141435</v>
      </c>
      <c r="H748" s="47" t="s">
        <v>1561</v>
      </c>
      <c r="I748" s="47" t="s">
        <v>1561</v>
      </c>
      <c r="J748" s="47" t="s">
        <v>1562</v>
      </c>
      <c r="K748" s="47" t="s">
        <v>300</v>
      </c>
      <c r="L748" s="47"/>
      <c r="M748" s="47" t="s">
        <v>2342</v>
      </c>
      <c r="N748" s="47" t="s">
        <v>2342</v>
      </c>
      <c r="O748" s="47"/>
      <c r="P748" s="53"/>
      <c r="Q748" s="53"/>
      <c r="R748" s="53"/>
      <c r="S748" s="53"/>
      <c r="T748" s="48">
        <v>61.08</v>
      </c>
      <c r="U748" s="98">
        <v>1000000</v>
      </c>
      <c r="V748" s="98">
        <v>1000000</v>
      </c>
      <c r="W748" s="98">
        <v>990601.60746683436</v>
      </c>
      <c r="X748" s="98">
        <v>1000000</v>
      </c>
      <c r="Y748" s="233">
        <v>11.6</v>
      </c>
      <c r="Z748" s="48">
        <v>-1.61</v>
      </c>
      <c r="AA748" s="48">
        <v>-1.31</v>
      </c>
      <c r="AB748" s="48">
        <v>-1.06</v>
      </c>
      <c r="AC748" s="48">
        <v>0.87129999999999996</v>
      </c>
      <c r="AD748" s="48">
        <v>-1.1200000000000001</v>
      </c>
      <c r="AE748" s="48">
        <v>-1.31</v>
      </c>
      <c r="AF748" s="48">
        <f t="shared" si="161"/>
        <v>-1.31</v>
      </c>
      <c r="AG748" s="49">
        <v>-1.21</v>
      </c>
      <c r="AH748" s="98">
        <v>3.6800000000000002E-10</v>
      </c>
      <c r="AI748" s="98"/>
      <c r="AJ748" s="483">
        <f t="shared" si="163"/>
        <v>-7.8227185076391343</v>
      </c>
      <c r="AK748" s="483"/>
      <c r="AL748" s="483">
        <f t="shared" si="162"/>
        <v>-7.8227185076391343</v>
      </c>
      <c r="AM748" s="483">
        <v>-7.9048299999999996</v>
      </c>
      <c r="AN748" s="226">
        <v>-8.2799999999999994</v>
      </c>
      <c r="AO748" s="484">
        <v>12.85</v>
      </c>
      <c r="AP748" s="484">
        <v>9.16</v>
      </c>
      <c r="AQ748" s="226" t="s">
        <v>6311</v>
      </c>
      <c r="AR748" s="226" t="s">
        <v>6311</v>
      </c>
      <c r="AS748" s="224"/>
      <c r="AT748" s="50" t="s">
        <v>266</v>
      </c>
      <c r="AU748" s="48">
        <v>6</v>
      </c>
      <c r="AV748" s="48">
        <v>120</v>
      </c>
      <c r="AW748" s="48">
        <v>114</v>
      </c>
      <c r="AX748" s="48">
        <v>28</v>
      </c>
      <c r="AY748" s="48" t="s">
        <v>8728</v>
      </c>
      <c r="AZ748" s="48" t="s">
        <v>1563</v>
      </c>
      <c r="BA748" s="48">
        <v>32</v>
      </c>
      <c r="BB748" s="47" t="s">
        <v>2485</v>
      </c>
      <c r="BC748" s="47" t="s">
        <v>8726</v>
      </c>
      <c r="BD748" s="47" t="s">
        <v>8374</v>
      </c>
      <c r="BE748" s="48" t="s">
        <v>2449</v>
      </c>
      <c r="BF748" s="48" t="s">
        <v>272</v>
      </c>
      <c r="BG748" s="48" t="s">
        <v>272</v>
      </c>
      <c r="BH748" s="48" t="s">
        <v>2486</v>
      </c>
      <c r="BI748" s="98">
        <v>3.9091199999999999E-4</v>
      </c>
      <c r="BJ748" s="98">
        <v>3.9091200000000002</v>
      </c>
      <c r="BK748" s="48"/>
      <c r="BL748" s="487">
        <v>87627.420679025265</v>
      </c>
      <c r="BM748" s="47" t="s">
        <v>2487</v>
      </c>
      <c r="BN748" s="48"/>
      <c r="BO748" s="48"/>
      <c r="BP748" s="48"/>
      <c r="BQ748" s="48"/>
      <c r="BR748" s="47" t="e">
        <v>#VALUE!</v>
      </c>
      <c r="BS748" s="48"/>
      <c r="BT748" s="48"/>
      <c r="BU748" s="228"/>
      <c r="BV748" s="48"/>
      <c r="BW748" s="48"/>
      <c r="BX748" s="48"/>
      <c r="BY748" s="48"/>
      <c r="BZ748" s="48"/>
      <c r="CA748" s="48"/>
      <c r="CB748" s="48"/>
      <c r="CC748" s="48"/>
      <c r="CD748" s="48"/>
      <c r="CE748" s="48"/>
      <c r="CF748" s="48"/>
      <c r="CG748" s="48"/>
      <c r="CH748" s="48"/>
      <c r="CI748" s="98"/>
      <c r="CJ748" s="98"/>
      <c r="CK748" s="49">
        <f t="shared" si="159"/>
        <v>22416.150100028972</v>
      </c>
      <c r="CL748" s="229"/>
      <c r="CM748" s="229">
        <v>2.1760912590556813</v>
      </c>
      <c r="CN748" s="229">
        <f>BJ748/(10^CM748)</f>
        <v>2.6060799999999985E-2</v>
      </c>
      <c r="CO748" s="47" t="s">
        <v>2488</v>
      </c>
      <c r="CP748" s="500" t="s">
        <v>2489</v>
      </c>
      <c r="CQ748" s="224">
        <v>2.7616670252264872</v>
      </c>
      <c r="CR748" s="224">
        <f t="shared" ref="CR748:CR753" si="164">10^(CJ748-CQ748)</f>
        <v>1.7311431227260412E-3</v>
      </c>
      <c r="CS748" s="230" t="s">
        <v>539</v>
      </c>
      <c r="CT748" s="230"/>
      <c r="CU748" s="230"/>
      <c r="CV748" s="335">
        <f t="shared" si="160"/>
        <v>255812.04977079239</v>
      </c>
      <c r="CW748" s="230">
        <f t="shared" si="158"/>
        <v>1</v>
      </c>
      <c r="CX748" s="336"/>
      <c r="CY748" s="230" t="s">
        <v>6351</v>
      </c>
    </row>
    <row r="749" spans="1:103" ht="11.25" customHeight="1" x14ac:dyDescent="0.2">
      <c r="A749" s="72">
        <v>1081</v>
      </c>
      <c r="B749" s="224">
        <v>1601</v>
      </c>
      <c r="C749" s="46" t="s">
        <v>7245</v>
      </c>
      <c r="D749" s="46" t="s">
        <v>8599</v>
      </c>
      <c r="E749" s="114"/>
      <c r="F749" s="114" t="s">
        <v>3812</v>
      </c>
      <c r="G749" s="225">
        <v>141662</v>
      </c>
      <c r="H749" s="47" t="s">
        <v>3813</v>
      </c>
      <c r="I749" s="47" t="s">
        <v>3813</v>
      </c>
      <c r="J749" s="47" t="s">
        <v>3814</v>
      </c>
      <c r="K749" s="47" t="s">
        <v>3300</v>
      </c>
      <c r="L749" s="47" t="s">
        <v>617</v>
      </c>
      <c r="M749" s="47" t="s">
        <v>946</v>
      </c>
      <c r="N749" s="47" t="s">
        <v>6376</v>
      </c>
      <c r="O749" s="47" t="s">
        <v>918</v>
      </c>
      <c r="P749" s="53"/>
      <c r="Q749" s="53"/>
      <c r="R749" s="53"/>
      <c r="S749" s="53"/>
      <c r="T749" s="48">
        <v>237.19</v>
      </c>
      <c r="U749" s="98">
        <v>1000000.0000000001</v>
      </c>
      <c r="V749" s="98">
        <v>27820</v>
      </c>
      <c r="W749" s="98">
        <v>988772.49065328867</v>
      </c>
      <c r="X749" s="98">
        <v>1000000.0000000001</v>
      </c>
      <c r="Y749" s="233">
        <v>7.04</v>
      </c>
      <c r="Z749" s="48">
        <v>-0.1</v>
      </c>
      <c r="AA749" s="48"/>
      <c r="AB749" s="48">
        <v>-0.19</v>
      </c>
      <c r="AC749" s="48">
        <v>0.8155</v>
      </c>
      <c r="AD749" s="48">
        <v>-0.24</v>
      </c>
      <c r="AE749" s="48">
        <v>-0.36</v>
      </c>
      <c r="AF749" s="48">
        <f t="shared" si="161"/>
        <v>-0.24</v>
      </c>
      <c r="AG749" s="49">
        <v>0.06</v>
      </c>
      <c r="AH749" s="98">
        <v>1.1999999999999999E-12</v>
      </c>
      <c r="AI749" s="98">
        <v>5.0299999999999997E-11</v>
      </c>
      <c r="AJ749" s="483">
        <f t="shared" si="163"/>
        <v>-10.309385080265027</v>
      </c>
      <c r="AK749" s="483">
        <f>LOG10(AI749*1000/(0.08206*298.15))</f>
        <v>-8.6869983412567251</v>
      </c>
      <c r="AL749" s="483">
        <f t="shared" si="162"/>
        <v>-8.6869983412567251</v>
      </c>
      <c r="AM749" s="483">
        <v>-14.69647</v>
      </c>
      <c r="AN749" s="226">
        <v>-8.1199999999999992</v>
      </c>
      <c r="AO749" s="484"/>
      <c r="AP749" s="484">
        <v>-1.27</v>
      </c>
      <c r="AQ749" s="48" t="s">
        <v>6314</v>
      </c>
      <c r="AR749" s="48" t="s">
        <v>6314</v>
      </c>
      <c r="AS749" s="227"/>
      <c r="AT749" s="50" t="s">
        <v>266</v>
      </c>
      <c r="AU749" s="48">
        <v>6</v>
      </c>
      <c r="AV749" s="48">
        <v>120</v>
      </c>
      <c r="AW749" s="48">
        <v>114</v>
      </c>
      <c r="AX749" s="48">
        <v>28</v>
      </c>
      <c r="AY749" s="48" t="s">
        <v>8728</v>
      </c>
      <c r="AZ749" s="48" t="s">
        <v>1563</v>
      </c>
      <c r="BA749" s="48">
        <v>32</v>
      </c>
      <c r="BB749" s="47" t="s">
        <v>2485</v>
      </c>
      <c r="BC749" s="47" t="s">
        <v>8726</v>
      </c>
      <c r="BD749" s="47" t="s">
        <v>8374</v>
      </c>
      <c r="BE749" s="48" t="s">
        <v>2449</v>
      </c>
      <c r="BF749" s="48" t="s">
        <v>272</v>
      </c>
      <c r="BG749" s="48" t="s">
        <v>272</v>
      </c>
      <c r="BH749" s="48" t="s">
        <v>2486</v>
      </c>
      <c r="BI749" s="98">
        <v>1.5180159999999999E-3</v>
      </c>
      <c r="BJ749" s="98">
        <v>15.180160000000001</v>
      </c>
      <c r="BK749" s="48"/>
      <c r="BL749" s="487">
        <v>14986.712467719457</v>
      </c>
      <c r="BM749" s="47" t="s">
        <v>2487</v>
      </c>
      <c r="BN749" s="48"/>
      <c r="BO749" s="48"/>
      <c r="BP749" s="48"/>
      <c r="BQ749" s="48"/>
      <c r="BR749" s="47" t="e">
        <v>#VALUE!</v>
      </c>
      <c r="BS749" s="48"/>
      <c r="BT749" s="48"/>
      <c r="BU749" s="228"/>
      <c r="BV749" s="48"/>
      <c r="BW749" s="48"/>
      <c r="BX749" s="48"/>
      <c r="BY749" s="48"/>
      <c r="BZ749" s="48"/>
      <c r="CA749" s="48"/>
      <c r="CB749" s="48"/>
      <c r="CC749" s="48"/>
      <c r="CD749" s="48"/>
      <c r="CE749" s="48"/>
      <c r="CF749" s="48"/>
      <c r="CG749" s="48"/>
      <c r="CH749" s="48"/>
      <c r="CI749" s="98"/>
      <c r="CJ749" s="98"/>
      <c r="CK749" s="49">
        <f t="shared" si="159"/>
        <v>987.25655511664274</v>
      </c>
      <c r="CL749" s="229"/>
      <c r="CM749" s="229"/>
      <c r="CN749" s="229"/>
      <c r="CO749" s="47" t="s">
        <v>2488</v>
      </c>
      <c r="CP749" s="500" t="s">
        <v>2489</v>
      </c>
      <c r="CQ749" s="224">
        <v>0.87677131559207733</v>
      </c>
      <c r="CR749" s="224">
        <f t="shared" si="164"/>
        <v>0.13280936016584324</v>
      </c>
      <c r="CS749" s="230" t="s">
        <v>539</v>
      </c>
      <c r="CT749" s="230"/>
      <c r="CU749" s="230"/>
      <c r="CV749" s="335">
        <f t="shared" si="160"/>
        <v>65875.458493191123</v>
      </c>
      <c r="CW749" s="230">
        <f t="shared" si="158"/>
        <v>1</v>
      </c>
      <c r="CX749" s="336"/>
      <c r="CY749" s="230" t="s">
        <v>5921</v>
      </c>
    </row>
    <row r="750" spans="1:103" ht="11.25" customHeight="1" x14ac:dyDescent="0.2">
      <c r="A750" s="72">
        <v>1082</v>
      </c>
      <c r="B750" s="224">
        <v>1697</v>
      </c>
      <c r="C750" s="46" t="s">
        <v>7246</v>
      </c>
      <c r="D750" s="46"/>
      <c r="E750" s="114"/>
      <c r="F750" s="114" t="s">
        <v>4952</v>
      </c>
      <c r="G750" s="225">
        <v>142621</v>
      </c>
      <c r="H750" s="47" t="s">
        <v>4953</v>
      </c>
      <c r="I750" s="47" t="s">
        <v>4953</v>
      </c>
      <c r="J750" s="47" t="s">
        <v>4954</v>
      </c>
      <c r="K750" s="47" t="s">
        <v>426</v>
      </c>
      <c r="L750" s="47"/>
      <c r="M750" s="47"/>
      <c r="N750" s="47"/>
      <c r="O750" s="47"/>
      <c r="P750" s="53"/>
      <c r="Q750" s="53"/>
      <c r="R750" s="53"/>
      <c r="S750" s="53"/>
      <c r="T750" s="48">
        <v>116.16</v>
      </c>
      <c r="U750" s="98">
        <v>10300</v>
      </c>
      <c r="V750" s="98">
        <v>5898</v>
      </c>
      <c r="W750" s="98">
        <v>9226.9167745572468</v>
      </c>
      <c r="X750" s="98">
        <v>10300</v>
      </c>
      <c r="Y750" s="233">
        <v>2.95</v>
      </c>
      <c r="Z750" s="48">
        <v>2.0499999999999998</v>
      </c>
      <c r="AA750" s="48">
        <v>1.92</v>
      </c>
      <c r="AB750" s="48">
        <v>1.9</v>
      </c>
      <c r="AC750" s="48">
        <v>0.90229999999999999</v>
      </c>
      <c r="AD750" s="48">
        <v>1.89</v>
      </c>
      <c r="AE750" s="48">
        <v>1.84</v>
      </c>
      <c r="AF750" s="48">
        <f t="shared" si="161"/>
        <v>1.92</v>
      </c>
      <c r="AG750" s="49">
        <v>1.57</v>
      </c>
      <c r="AH750" s="98">
        <v>1.7E-6</v>
      </c>
      <c r="AI750" s="98">
        <v>7.5799999999999998E-7</v>
      </c>
      <c r="AJ750" s="483">
        <f t="shared" si="163"/>
        <v>-4.1581174049343783</v>
      </c>
      <c r="AK750" s="483">
        <f>LOG10(AI750*1000/(0.08206*298.15))</f>
        <v>-4.5088971206805981</v>
      </c>
      <c r="AL750" s="483">
        <f t="shared" si="162"/>
        <v>-4.5088971206805981</v>
      </c>
      <c r="AM750" s="483">
        <v>-5.4190799999999992</v>
      </c>
      <c r="AN750" s="226">
        <v>-4.49</v>
      </c>
      <c r="AO750" s="484">
        <v>4.78</v>
      </c>
      <c r="AP750" s="484"/>
      <c r="AQ750" s="226" t="s">
        <v>6311</v>
      </c>
      <c r="AR750" s="226" t="s">
        <v>6311</v>
      </c>
      <c r="AS750" s="224"/>
      <c r="AT750" s="50" t="s">
        <v>266</v>
      </c>
      <c r="AU750" s="48">
        <v>6</v>
      </c>
      <c r="AV750" s="48">
        <v>120</v>
      </c>
      <c r="AW750" s="48">
        <v>114</v>
      </c>
      <c r="AX750" s="48">
        <v>28</v>
      </c>
      <c r="AY750" s="48" t="s">
        <v>8728</v>
      </c>
      <c r="AZ750" s="48" t="s">
        <v>1563</v>
      </c>
      <c r="BA750" s="48">
        <v>32</v>
      </c>
      <c r="BB750" s="47" t="s">
        <v>2485</v>
      </c>
      <c r="BC750" s="47" t="s">
        <v>8726</v>
      </c>
      <c r="BD750" s="47" t="s">
        <v>8374</v>
      </c>
      <c r="BE750" s="48" t="s">
        <v>2449</v>
      </c>
      <c r="BF750" s="48" t="s">
        <v>272</v>
      </c>
      <c r="BG750" s="48" t="s">
        <v>272</v>
      </c>
      <c r="BH750" s="48" t="s">
        <v>2486</v>
      </c>
      <c r="BI750" s="98">
        <v>7.4342399999999991E-4</v>
      </c>
      <c r="BJ750" s="98">
        <v>7.43424</v>
      </c>
      <c r="BK750" s="48"/>
      <c r="BL750" s="487">
        <v>86.050144381380974</v>
      </c>
      <c r="BM750" s="47" t="s">
        <v>2487</v>
      </c>
      <c r="BN750" s="48"/>
      <c r="BO750" s="48"/>
      <c r="BP750" s="48"/>
      <c r="BQ750" s="48"/>
      <c r="BR750" s="47" t="e">
        <v>#VALUE!</v>
      </c>
      <c r="BS750" s="48"/>
      <c r="BT750" s="48"/>
      <c r="BU750" s="228"/>
      <c r="BV750" s="48"/>
      <c r="BW750" s="48"/>
      <c r="BX750" s="48"/>
      <c r="BY750" s="48"/>
      <c r="BZ750" s="48"/>
      <c r="CA750" s="48"/>
      <c r="CB750" s="48"/>
      <c r="CC750" s="48"/>
      <c r="CD750" s="48"/>
      <c r="CE750" s="48"/>
      <c r="CF750" s="48"/>
      <c r="CG750" s="48"/>
      <c r="CH750" s="48"/>
      <c r="CI750" s="98"/>
      <c r="CJ750" s="98"/>
      <c r="CK750" s="49">
        <f t="shared" si="159"/>
        <v>11.574840788215202</v>
      </c>
      <c r="CL750" s="229"/>
      <c r="CM750" s="229"/>
      <c r="CN750" s="229"/>
      <c r="CO750" s="47" t="s">
        <v>2488</v>
      </c>
      <c r="CP750" s="500" t="s">
        <v>2489</v>
      </c>
      <c r="CQ750" s="224">
        <v>2.5051499783199058</v>
      </c>
      <c r="CR750" s="224">
        <f t="shared" si="164"/>
        <v>3.1250000000000006E-3</v>
      </c>
      <c r="CS750" s="230" t="s">
        <v>539</v>
      </c>
      <c r="CT750" s="230"/>
      <c r="CU750" s="230"/>
      <c r="CV750" s="335">
        <f t="shared" si="160"/>
        <v>1385.4812327823693</v>
      </c>
      <c r="CW750" s="230">
        <f t="shared" si="158"/>
        <v>1</v>
      </c>
      <c r="CX750" s="336"/>
      <c r="CY750" s="230" t="s">
        <v>6351</v>
      </c>
    </row>
    <row r="751" spans="1:103" ht="11.25" customHeight="1" x14ac:dyDescent="0.2">
      <c r="A751" s="72">
        <v>1083</v>
      </c>
      <c r="B751" s="224">
        <v>1639</v>
      </c>
      <c r="C751" s="46" t="s">
        <v>7247</v>
      </c>
      <c r="D751" s="46" t="s">
        <v>8600</v>
      </c>
      <c r="E751" s="114"/>
      <c r="F751" s="114" t="s">
        <v>4841</v>
      </c>
      <c r="G751" s="225">
        <v>145733</v>
      </c>
      <c r="H751" s="47" t="s">
        <v>4842</v>
      </c>
      <c r="I751" s="47" t="s">
        <v>4842</v>
      </c>
      <c r="J751" s="47" t="s">
        <v>4843</v>
      </c>
      <c r="K751" s="47" t="s">
        <v>426</v>
      </c>
      <c r="L751" s="47" t="s">
        <v>8532</v>
      </c>
      <c r="M751" s="47" t="s">
        <v>2342</v>
      </c>
      <c r="N751" s="47" t="s">
        <v>2342</v>
      </c>
      <c r="O751" s="47"/>
      <c r="P751" s="53" t="s">
        <v>8537</v>
      </c>
      <c r="Q751" s="53" t="s">
        <v>6173</v>
      </c>
      <c r="R751" s="53" t="s">
        <v>6183</v>
      </c>
      <c r="S751" s="53" t="s">
        <v>6173</v>
      </c>
      <c r="T751" s="48">
        <v>186.16</v>
      </c>
      <c r="U751" s="98">
        <v>100000</v>
      </c>
      <c r="V751" s="98">
        <v>2982</v>
      </c>
      <c r="W751" s="98">
        <v>38894.336771978793</v>
      </c>
      <c r="X751" s="98">
        <v>100000</v>
      </c>
      <c r="Y751" s="233">
        <v>2.16</v>
      </c>
      <c r="Z751" s="48">
        <v>1.89</v>
      </c>
      <c r="AA751" s="48">
        <v>1.91</v>
      </c>
      <c r="AB751" s="48">
        <v>0.63</v>
      </c>
      <c r="AC751" s="48">
        <v>0.78810000000000002</v>
      </c>
      <c r="AD751" s="48">
        <v>0.3</v>
      </c>
      <c r="AE751" s="48">
        <v>-0.46</v>
      </c>
      <c r="AF751" s="48">
        <f t="shared" si="161"/>
        <v>1.91</v>
      </c>
      <c r="AG751" s="49">
        <v>-0.39</v>
      </c>
      <c r="AH751" s="98">
        <v>3.6199999999999997E-15</v>
      </c>
      <c r="AI751" s="98">
        <v>3.8499999999999999E-16</v>
      </c>
      <c r="AJ751" s="483">
        <f t="shared" si="163"/>
        <v>-12.829857755779486</v>
      </c>
      <c r="AK751" s="483">
        <f>LOG10(AI751*1000/(0.08206*298.15))</f>
        <v>-13.803105596804151</v>
      </c>
      <c r="AL751" s="483">
        <f t="shared" si="162"/>
        <v>-13.803105596804151</v>
      </c>
      <c r="AM751" s="483">
        <v>-12.986369999999999</v>
      </c>
      <c r="AN751" s="226">
        <v>-13.2</v>
      </c>
      <c r="AO751" s="484">
        <v>3.62</v>
      </c>
      <c r="AP751" s="484"/>
      <c r="AQ751" s="226" t="s">
        <v>6311</v>
      </c>
      <c r="AR751" s="226" t="s">
        <v>6311</v>
      </c>
      <c r="AS751" s="224"/>
      <c r="AT751" s="50" t="s">
        <v>266</v>
      </c>
      <c r="AU751" s="48">
        <v>6</v>
      </c>
      <c r="AV751" s="48">
        <v>120</v>
      </c>
      <c r="AW751" s="48">
        <v>114</v>
      </c>
      <c r="AX751" s="48">
        <v>28</v>
      </c>
      <c r="AY751" s="48" t="s">
        <v>8728</v>
      </c>
      <c r="AZ751" s="48" t="s">
        <v>1563</v>
      </c>
      <c r="BA751" s="48">
        <v>32</v>
      </c>
      <c r="BB751" s="47" t="s">
        <v>2485</v>
      </c>
      <c r="BC751" s="47" t="s">
        <v>8726</v>
      </c>
      <c r="BD751" s="47" t="s">
        <v>8374</v>
      </c>
      <c r="BE751" s="48" t="s">
        <v>2449</v>
      </c>
      <c r="BF751" s="48" t="s">
        <v>272</v>
      </c>
      <c r="BG751" s="48" t="s">
        <v>272</v>
      </c>
      <c r="BH751" s="48" t="s">
        <v>2486</v>
      </c>
      <c r="BI751" s="98">
        <v>1.191424E-3</v>
      </c>
      <c r="BJ751" s="98">
        <v>11.914239999999999</v>
      </c>
      <c r="BK751" s="48"/>
      <c r="BL751" s="487">
        <v>191.98945256745517</v>
      </c>
      <c r="BM751" s="47" t="s">
        <v>2487</v>
      </c>
      <c r="BN751" s="48"/>
      <c r="BO751" s="48"/>
      <c r="BP751" s="48"/>
      <c r="BQ751" s="48"/>
      <c r="BR751" s="47" t="e">
        <v>#VALUE!</v>
      </c>
      <c r="BS751" s="48"/>
      <c r="BT751" s="48"/>
      <c r="BU751" s="228"/>
      <c r="BV751" s="48"/>
      <c r="BW751" s="48"/>
      <c r="BX751" s="48"/>
      <c r="BY751" s="48"/>
      <c r="BZ751" s="48"/>
      <c r="CA751" s="48"/>
      <c r="CB751" s="48"/>
      <c r="CC751" s="48"/>
      <c r="CD751" s="48"/>
      <c r="CE751" s="48"/>
      <c r="CF751" s="48"/>
      <c r="CG751" s="48"/>
      <c r="CH751" s="48"/>
      <c r="CI751" s="98"/>
      <c r="CJ751" s="98"/>
      <c r="CK751" s="49">
        <f t="shared" si="159"/>
        <v>16.114284466945033</v>
      </c>
      <c r="CL751" s="229"/>
      <c r="CM751" s="229"/>
      <c r="CN751" s="229"/>
      <c r="CO751" s="47" t="s">
        <v>2488</v>
      </c>
      <c r="CP751" s="500" t="s">
        <v>2489</v>
      </c>
      <c r="CQ751" s="224">
        <v>2.0352755569955483</v>
      </c>
      <c r="CR751" s="224">
        <f t="shared" si="164"/>
        <v>9.2198624731133962E-3</v>
      </c>
      <c r="CS751" s="230" t="s">
        <v>539</v>
      </c>
      <c r="CT751" s="230"/>
      <c r="CU751" s="230"/>
      <c r="CV751" s="335">
        <f t="shared" si="160"/>
        <v>8393.3175762784704</v>
      </c>
      <c r="CW751" s="230">
        <f t="shared" si="158"/>
        <v>1</v>
      </c>
      <c r="CX751" s="336"/>
      <c r="CY751" s="230" t="s">
        <v>5921</v>
      </c>
    </row>
    <row r="752" spans="1:103" ht="11.25" customHeight="1" x14ac:dyDescent="0.2">
      <c r="A752" s="72">
        <v>1084</v>
      </c>
      <c r="B752" s="224">
        <v>1297</v>
      </c>
      <c r="C752" s="46" t="s">
        <v>1487</v>
      </c>
      <c r="D752" s="46"/>
      <c r="E752" s="114"/>
      <c r="F752" s="114" t="s">
        <v>1488</v>
      </c>
      <c r="G752" s="225">
        <v>148798</v>
      </c>
      <c r="H752" s="47" t="s">
        <v>1489</v>
      </c>
      <c r="I752" s="47" t="s">
        <v>1489</v>
      </c>
      <c r="J752" s="47" t="s">
        <v>1490</v>
      </c>
      <c r="K752" s="47" t="s">
        <v>1064</v>
      </c>
      <c r="L752" s="47" t="s">
        <v>279</v>
      </c>
      <c r="M752" s="47" t="s">
        <v>6142</v>
      </c>
      <c r="N752" s="47" t="s">
        <v>6082</v>
      </c>
      <c r="O752" s="47" t="s">
        <v>6091</v>
      </c>
      <c r="P752" s="53"/>
      <c r="Q752" s="53"/>
      <c r="R752" s="53"/>
      <c r="S752" s="53"/>
      <c r="T752" s="48">
        <v>201.25</v>
      </c>
      <c r="U752" s="98">
        <v>50</v>
      </c>
      <c r="V752" s="98">
        <v>335.2</v>
      </c>
      <c r="W752" s="98">
        <v>59.393085686661017</v>
      </c>
      <c r="X752" s="98">
        <v>50</v>
      </c>
      <c r="Y752" s="233">
        <v>7.21</v>
      </c>
      <c r="Z752" s="48">
        <v>2</v>
      </c>
      <c r="AA752" s="48">
        <v>2.4700000000000002</v>
      </c>
      <c r="AB752" s="48">
        <v>2.37</v>
      </c>
      <c r="AC752" s="48">
        <v>0.88529999999999998</v>
      </c>
      <c r="AD752" s="48">
        <v>2.39</v>
      </c>
      <c r="AE752" s="48">
        <v>2.4700000000000002</v>
      </c>
      <c r="AF752" s="48">
        <f t="shared" si="161"/>
        <v>2.4700000000000002</v>
      </c>
      <c r="AG752" s="49">
        <v>2.59</v>
      </c>
      <c r="AH752" s="98">
        <v>1.9999999999999999E-11</v>
      </c>
      <c r="AI752" s="98">
        <v>2.1199999999999999E-11</v>
      </c>
      <c r="AJ752" s="483">
        <f t="shared" si="163"/>
        <v>-9.0875363306486712</v>
      </c>
      <c r="AK752" s="483">
        <f>LOG10(AI752*1000/(0.08206*298.15))</f>
        <v>-9.0622304653838999</v>
      </c>
      <c r="AL752" s="483">
        <f t="shared" si="162"/>
        <v>-9.0622304653838999</v>
      </c>
      <c r="AM752" s="483">
        <v>-12.588529999999999</v>
      </c>
      <c r="AN752" s="226">
        <v>-12.7</v>
      </c>
      <c r="AO752" s="484">
        <v>10.53</v>
      </c>
      <c r="AP752" s="484">
        <v>3.4</v>
      </c>
      <c r="AQ752" s="48" t="s">
        <v>6311</v>
      </c>
      <c r="AR752" s="48" t="s">
        <v>6311</v>
      </c>
      <c r="AS752" s="227"/>
      <c r="AT752" s="50" t="s">
        <v>266</v>
      </c>
      <c r="AU752" s="48">
        <v>6</v>
      </c>
      <c r="AV752" s="48">
        <v>120</v>
      </c>
      <c r="AW752" s="48">
        <v>114</v>
      </c>
      <c r="AX752" s="48">
        <v>28</v>
      </c>
      <c r="AY752" s="48" t="s">
        <v>8728</v>
      </c>
      <c r="AZ752" s="48" t="s">
        <v>1563</v>
      </c>
      <c r="BA752" s="48">
        <v>32</v>
      </c>
      <c r="BB752" s="47" t="s">
        <v>2485</v>
      </c>
      <c r="BC752" s="47" t="s">
        <v>8726</v>
      </c>
      <c r="BD752" s="47" t="s">
        <v>8374</v>
      </c>
      <c r="BE752" s="48" t="s">
        <v>2449</v>
      </c>
      <c r="BF752" s="48" t="s">
        <v>272</v>
      </c>
      <c r="BG752" s="48" t="s">
        <v>272</v>
      </c>
      <c r="BH752" s="48" t="s">
        <v>2486</v>
      </c>
      <c r="BI752" s="98">
        <v>1.2879999999999999E-3</v>
      </c>
      <c r="BJ752" s="98">
        <v>12.88</v>
      </c>
      <c r="BK752" s="48"/>
      <c r="BL752" s="487">
        <v>165.32399413207588</v>
      </c>
      <c r="BM752" s="47" t="s">
        <v>2487</v>
      </c>
      <c r="BN752" s="48"/>
      <c r="BO752" s="48"/>
      <c r="BP752" s="48"/>
      <c r="BQ752" s="48"/>
      <c r="BR752" s="47" t="e">
        <v>#VALUE!</v>
      </c>
      <c r="BS752" s="48"/>
      <c r="BT752" s="48"/>
      <c r="BU752" s="228">
        <v>12.88</v>
      </c>
      <c r="BV752" s="48"/>
      <c r="BW752" s="48"/>
      <c r="BX752" s="48"/>
      <c r="BY752" s="48"/>
      <c r="BZ752" s="48"/>
      <c r="CA752" s="48"/>
      <c r="CB752" s="48"/>
      <c r="CC752" s="48"/>
      <c r="CD752" s="48"/>
      <c r="CE752" s="48"/>
      <c r="CF752" s="48"/>
      <c r="CG752" s="48"/>
      <c r="CH752" s="48"/>
      <c r="CI752" s="98"/>
      <c r="CJ752" s="98"/>
      <c r="CK752" s="49">
        <f t="shared" si="159"/>
        <v>12.835713830130114</v>
      </c>
      <c r="CL752" s="229"/>
      <c r="CM752" s="229">
        <v>0.30364945603599391</v>
      </c>
      <c r="CN752" s="229">
        <f>BJ752/(10^CM752)</f>
        <v>6.4012738505728963</v>
      </c>
      <c r="CO752" s="47" t="s">
        <v>2488</v>
      </c>
      <c r="CP752" s="500" t="s">
        <v>2489</v>
      </c>
      <c r="CQ752" s="224">
        <v>0.78178444360939892</v>
      </c>
      <c r="CR752" s="224">
        <f t="shared" si="164"/>
        <v>0.16527819313935821</v>
      </c>
      <c r="CS752" s="230" t="s">
        <v>539</v>
      </c>
      <c r="CT752" s="230"/>
      <c r="CU752" s="230"/>
      <c r="CV752" s="335">
        <f t="shared" si="160"/>
        <v>3.8819875776397512</v>
      </c>
      <c r="CW752" s="230">
        <f t="shared" si="158"/>
        <v>1</v>
      </c>
      <c r="CX752" s="336"/>
      <c r="CY752" s="230" t="s">
        <v>5921</v>
      </c>
    </row>
    <row r="753" spans="1:103" ht="11.25" customHeight="1" x14ac:dyDescent="0.2">
      <c r="A753" s="72">
        <v>1085</v>
      </c>
      <c r="B753" s="224">
        <v>950</v>
      </c>
      <c r="C753" s="46" t="s">
        <v>7248</v>
      </c>
      <c r="D753" s="46" t="s">
        <v>8601</v>
      </c>
      <c r="E753" s="114"/>
      <c r="F753" s="114" t="s">
        <v>2714</v>
      </c>
      <c r="G753" s="225">
        <v>149304</v>
      </c>
      <c r="H753" s="47" t="s">
        <v>2715</v>
      </c>
      <c r="I753" s="47" t="s">
        <v>8045</v>
      </c>
      <c r="J753" s="47" t="s">
        <v>2716</v>
      </c>
      <c r="K753" s="47" t="s">
        <v>2717</v>
      </c>
      <c r="L753" s="47" t="s">
        <v>5527</v>
      </c>
      <c r="M753" s="47" t="s">
        <v>6082</v>
      </c>
      <c r="N753" s="47" t="s">
        <v>6082</v>
      </c>
      <c r="O753" s="47" t="s">
        <v>6083</v>
      </c>
      <c r="P753" s="53"/>
      <c r="Q753" s="53"/>
      <c r="R753" s="53"/>
      <c r="S753" s="53"/>
      <c r="T753" s="48">
        <v>167.25</v>
      </c>
      <c r="U753" s="98">
        <v>120</v>
      </c>
      <c r="V753" s="98">
        <v>543.4</v>
      </c>
      <c r="W753" s="98">
        <v>471.37454525397965</v>
      </c>
      <c r="X753" s="98">
        <v>120</v>
      </c>
      <c r="Y753" s="233">
        <v>4.16</v>
      </c>
      <c r="Z753" s="48">
        <v>2.86</v>
      </c>
      <c r="AA753" s="48">
        <v>2.42</v>
      </c>
      <c r="AB753" s="48">
        <v>2.3199999999999998</v>
      </c>
      <c r="AC753" s="48">
        <v>0.88109999999999999</v>
      </c>
      <c r="AD753" s="48">
        <v>2.34</v>
      </c>
      <c r="AE753" s="48">
        <v>2.41</v>
      </c>
      <c r="AF753" s="48">
        <f t="shared" si="161"/>
        <v>2.42</v>
      </c>
      <c r="AG753" s="49">
        <v>3.1</v>
      </c>
      <c r="AH753" s="98">
        <v>3.6300000000000001E-8</v>
      </c>
      <c r="AI753" s="98"/>
      <c r="AJ753" s="483">
        <f t="shared" si="163"/>
        <v>-5.8286597012765391</v>
      </c>
      <c r="AK753" s="483"/>
      <c r="AL753" s="483">
        <f t="shared" si="162"/>
        <v>-5.8286597012765391</v>
      </c>
      <c r="AM753" s="483">
        <v>-7.5212000000000003</v>
      </c>
      <c r="AN753" s="226">
        <v>-5.35</v>
      </c>
      <c r="AO753" s="484"/>
      <c r="AP753" s="484">
        <v>6.51</v>
      </c>
      <c r="AQ753" s="48" t="s">
        <v>6311</v>
      </c>
      <c r="AR753" s="48" t="s">
        <v>6311</v>
      </c>
      <c r="AS753" s="227"/>
      <c r="AT753" s="50" t="s">
        <v>266</v>
      </c>
      <c r="AU753" s="48">
        <v>6</v>
      </c>
      <c r="AV753" s="48">
        <v>120</v>
      </c>
      <c r="AW753" s="48">
        <v>114</v>
      </c>
      <c r="AX753" s="48">
        <v>28</v>
      </c>
      <c r="AY753" s="48" t="s">
        <v>8728</v>
      </c>
      <c r="AZ753" s="48" t="s">
        <v>1563</v>
      </c>
      <c r="BA753" s="48">
        <v>32</v>
      </c>
      <c r="BB753" s="47" t="s">
        <v>2485</v>
      </c>
      <c r="BC753" s="47" t="s">
        <v>8726</v>
      </c>
      <c r="BD753" s="47" t="s">
        <v>8374</v>
      </c>
      <c r="BE753" s="48" t="s">
        <v>2449</v>
      </c>
      <c r="BF753" s="48" t="s">
        <v>272</v>
      </c>
      <c r="BG753" s="48" t="s">
        <v>272</v>
      </c>
      <c r="BH753" s="48" t="s">
        <v>2486</v>
      </c>
      <c r="BI753" s="98">
        <v>1.0704E-3</v>
      </c>
      <c r="BJ753" s="98">
        <v>10.704000000000001</v>
      </c>
      <c r="BK753" s="48"/>
      <c r="BL753" s="487">
        <v>23.205991372146634</v>
      </c>
      <c r="BM753" s="47" t="s">
        <v>2487</v>
      </c>
      <c r="BN753" s="48"/>
      <c r="BO753" s="48"/>
      <c r="BP753" s="48"/>
      <c r="BQ753" s="48"/>
      <c r="BR753" s="47" t="e">
        <v>#VALUE!</v>
      </c>
      <c r="BS753" s="48"/>
      <c r="BT753" s="48"/>
      <c r="BU753" s="228">
        <v>10.704000000000001</v>
      </c>
      <c r="BV753" s="48"/>
      <c r="BW753" s="48"/>
      <c r="BX753" s="48"/>
      <c r="BY753" s="48"/>
      <c r="BZ753" s="48"/>
      <c r="CA753" s="48"/>
      <c r="CB753" s="48"/>
      <c r="CC753" s="48"/>
      <c r="CD753" s="48"/>
      <c r="CE753" s="48"/>
      <c r="CF753" s="48"/>
      <c r="CG753" s="48"/>
      <c r="CH753" s="48"/>
      <c r="CI753" s="98"/>
      <c r="CJ753" s="98"/>
      <c r="CK753" s="49">
        <f t="shared" si="159"/>
        <v>2.1679737828986019</v>
      </c>
      <c r="CL753" s="229"/>
      <c r="CM753" s="229"/>
      <c r="CN753" s="229"/>
      <c r="CO753" s="47" t="s">
        <v>2488</v>
      </c>
      <c r="CP753" s="500" t="s">
        <v>2489</v>
      </c>
      <c r="CQ753" s="224">
        <v>0.25949299521476377</v>
      </c>
      <c r="CR753" s="224">
        <f t="shared" si="164"/>
        <v>0.55018279440019802</v>
      </c>
      <c r="CS753" s="230" t="s">
        <v>539</v>
      </c>
      <c r="CT753" s="230"/>
      <c r="CU753" s="230"/>
      <c r="CV753" s="335">
        <f t="shared" si="160"/>
        <v>11.210762331838565</v>
      </c>
      <c r="CW753" s="230">
        <f t="shared" si="158"/>
        <v>1</v>
      </c>
      <c r="CX753" s="336"/>
      <c r="CY753" s="230" t="s">
        <v>6351</v>
      </c>
    </row>
    <row r="754" spans="1:103" ht="11.25" customHeight="1" x14ac:dyDescent="0.2">
      <c r="A754" s="72">
        <v>1086</v>
      </c>
      <c r="B754" s="224">
        <v>1398</v>
      </c>
      <c r="C754" s="46" t="s">
        <v>7249</v>
      </c>
      <c r="D754" s="46"/>
      <c r="E754" s="114"/>
      <c r="F754" s="114" t="s">
        <v>4310</v>
      </c>
      <c r="G754" s="225">
        <v>149575</v>
      </c>
      <c r="H754" s="47" t="s">
        <v>4311</v>
      </c>
      <c r="I754" s="47" t="s">
        <v>4311</v>
      </c>
      <c r="J754" s="47" t="s">
        <v>4312</v>
      </c>
      <c r="K754" s="47" t="s">
        <v>426</v>
      </c>
      <c r="L754" s="47"/>
      <c r="M754" s="47"/>
      <c r="N754" s="47"/>
      <c r="O754" s="47"/>
      <c r="P754" s="53"/>
      <c r="Q754" s="53"/>
      <c r="R754" s="53"/>
      <c r="S754" s="53"/>
      <c r="T754" s="48">
        <v>144.21</v>
      </c>
      <c r="U754" s="98">
        <v>2000</v>
      </c>
      <c r="V754" s="98">
        <v>1111</v>
      </c>
      <c r="W754" s="98">
        <v>2084.4686933927019</v>
      </c>
      <c r="X754" s="98">
        <v>2000</v>
      </c>
      <c r="Y754" s="233">
        <v>3.33</v>
      </c>
      <c r="Z754" s="48">
        <v>2.96</v>
      </c>
      <c r="AA754" s="48">
        <v>2.64</v>
      </c>
      <c r="AB754" s="48">
        <v>2.64</v>
      </c>
      <c r="AC754" s="48">
        <v>0.93820000000000003</v>
      </c>
      <c r="AD754" s="48">
        <v>2.65</v>
      </c>
      <c r="AE754" s="48">
        <v>2.72</v>
      </c>
      <c r="AF754" s="48">
        <f t="shared" si="161"/>
        <v>2.64</v>
      </c>
      <c r="AG754" s="49">
        <v>2.3199999999999998</v>
      </c>
      <c r="AH754" s="98">
        <v>3.0000000000000001E-6</v>
      </c>
      <c r="AI754" s="98">
        <v>2.8499999999999998E-6</v>
      </c>
      <c r="AJ754" s="483">
        <f t="shared" si="163"/>
        <v>-3.9114450715929894</v>
      </c>
      <c r="AK754" s="483">
        <f>LOG10(AI754*1000/(0.08206*298.15))</f>
        <v>-3.9337214663041418</v>
      </c>
      <c r="AL754" s="483">
        <f t="shared" si="162"/>
        <v>-3.9337214663041418</v>
      </c>
      <c r="AM754" s="483">
        <v>-5.7235100000000001</v>
      </c>
      <c r="AN754" s="226">
        <v>-3.88</v>
      </c>
      <c r="AO754" s="484">
        <v>4.82</v>
      </c>
      <c r="AP754" s="484"/>
      <c r="AQ754" s="48" t="s">
        <v>6311</v>
      </c>
      <c r="AR754" s="48" t="s">
        <v>6311</v>
      </c>
      <c r="AS754" s="227"/>
      <c r="AT754" s="50" t="s">
        <v>266</v>
      </c>
      <c r="AU754" s="48">
        <v>6</v>
      </c>
      <c r="AV754" s="48">
        <v>120</v>
      </c>
      <c r="AW754" s="48">
        <v>114</v>
      </c>
      <c r="AX754" s="48">
        <v>28</v>
      </c>
      <c r="AY754" s="48" t="s">
        <v>8728</v>
      </c>
      <c r="AZ754" s="48" t="s">
        <v>1563</v>
      </c>
      <c r="BA754" s="48">
        <v>32</v>
      </c>
      <c r="BB754" s="47" t="s">
        <v>2485</v>
      </c>
      <c r="BC754" s="47" t="s">
        <v>8726</v>
      </c>
      <c r="BD754" s="47" t="s">
        <v>8374</v>
      </c>
      <c r="BE754" s="48" t="s">
        <v>2449</v>
      </c>
      <c r="BF754" s="48" t="s">
        <v>272</v>
      </c>
      <c r="BG754" s="48" t="s">
        <v>272</v>
      </c>
      <c r="BH754" s="48" t="s">
        <v>2486</v>
      </c>
      <c r="BI754" s="98">
        <v>9.2294399999999998E-4</v>
      </c>
      <c r="BJ754" s="98">
        <v>9.2294400000000003</v>
      </c>
      <c r="BK754" s="48"/>
      <c r="BL754" s="487">
        <v>16.271192264769432</v>
      </c>
      <c r="BM754" s="47" t="s">
        <v>2487</v>
      </c>
      <c r="BN754" s="48"/>
      <c r="BO754" s="48"/>
      <c r="BP754" s="48"/>
      <c r="BQ754" s="48"/>
      <c r="BR754" s="47" t="e">
        <v>#VALUE!</v>
      </c>
      <c r="BS754" s="48"/>
      <c r="BT754" s="48"/>
      <c r="BU754" s="228"/>
      <c r="BV754" s="48"/>
      <c r="BW754" s="48"/>
      <c r="BX754" s="48"/>
      <c r="BY754" s="48"/>
      <c r="BZ754" s="48"/>
      <c r="CA754" s="48"/>
      <c r="CB754" s="48"/>
      <c r="CC754" s="48"/>
      <c r="CD754" s="48"/>
      <c r="CE754" s="48"/>
      <c r="CF754" s="48"/>
      <c r="CG754" s="48"/>
      <c r="CH754" s="48"/>
      <c r="CI754" s="98"/>
      <c r="CJ754" s="98"/>
      <c r="CK754" s="49">
        <f t="shared" si="159"/>
        <v>1.7629663625062226</v>
      </c>
      <c r="CL754" s="229"/>
      <c r="CM754" s="229"/>
      <c r="CN754" s="229"/>
      <c r="CO754" s="47" t="s">
        <v>2488</v>
      </c>
      <c r="CP754" s="500" t="s">
        <v>2489</v>
      </c>
      <c r="CQ754" s="224" t="s">
        <v>272</v>
      </c>
      <c r="CR754" s="224"/>
      <c r="CS754" s="230" t="s">
        <v>539</v>
      </c>
      <c r="CT754" s="230"/>
      <c r="CU754" s="230"/>
      <c r="CV754" s="335">
        <f t="shared" si="160"/>
        <v>216.69787116011372</v>
      </c>
      <c r="CW754" s="230">
        <f t="shared" si="158"/>
        <v>1</v>
      </c>
      <c r="CX754" s="336"/>
      <c r="CY754" s="230" t="s">
        <v>6351</v>
      </c>
    </row>
    <row r="755" spans="1:103" ht="11.25" customHeight="1" x14ac:dyDescent="0.2">
      <c r="A755" s="72">
        <v>1087</v>
      </c>
      <c r="B755" s="224">
        <v>1449</v>
      </c>
      <c r="C755" s="46" t="s">
        <v>7250</v>
      </c>
      <c r="D755" s="46"/>
      <c r="E755" s="114"/>
      <c r="F755" s="114" t="s">
        <v>4456</v>
      </c>
      <c r="G755" s="225">
        <v>150130</v>
      </c>
      <c r="H755" s="47" t="s">
        <v>4457</v>
      </c>
      <c r="I755" s="47" t="s">
        <v>4457</v>
      </c>
      <c r="J755" s="47" t="s">
        <v>4458</v>
      </c>
      <c r="K755" s="47" t="s">
        <v>1573</v>
      </c>
      <c r="L755" s="47"/>
      <c r="M755" s="47"/>
      <c r="N755" s="47"/>
      <c r="O755" s="47"/>
      <c r="P755" s="53"/>
      <c r="Q755" s="53"/>
      <c r="R755" s="53"/>
      <c r="S755" s="53"/>
      <c r="T755" s="48">
        <v>137.13999999999999</v>
      </c>
      <c r="U755" s="98">
        <v>6110</v>
      </c>
      <c r="V755" s="98">
        <v>16830</v>
      </c>
      <c r="W755" s="98">
        <v>7033.3810200575726</v>
      </c>
      <c r="X755" s="98">
        <v>6110</v>
      </c>
      <c r="Y755" s="233">
        <v>3.71</v>
      </c>
      <c r="Z755" s="48">
        <v>0.96</v>
      </c>
      <c r="AA755" s="48">
        <v>0.83</v>
      </c>
      <c r="AB755" s="48">
        <v>0.89</v>
      </c>
      <c r="AC755" s="48">
        <v>0.90429999999999999</v>
      </c>
      <c r="AD755" s="48">
        <v>0.88</v>
      </c>
      <c r="AE755" s="48">
        <v>0.83</v>
      </c>
      <c r="AF755" s="48">
        <f t="shared" si="161"/>
        <v>0.83</v>
      </c>
      <c r="AG755" s="49">
        <v>0.75</v>
      </c>
      <c r="AH755" s="98">
        <v>3.83E-11</v>
      </c>
      <c r="AI755" s="98"/>
      <c r="AJ755" s="483">
        <f t="shared" si="163"/>
        <v>-8.8053675523440287</v>
      </c>
      <c r="AK755" s="483"/>
      <c r="AL755" s="483">
        <f t="shared" si="162"/>
        <v>-8.8053675523440287</v>
      </c>
      <c r="AM755" s="483">
        <v>-11.594949999999999</v>
      </c>
      <c r="AN755" s="226">
        <v>-8.9600000000000009</v>
      </c>
      <c r="AO755" s="484">
        <v>4.8600000000000003</v>
      </c>
      <c r="AP755" s="484">
        <v>2.5099999999999998</v>
      </c>
      <c r="AQ755" s="48" t="s">
        <v>6311</v>
      </c>
      <c r="AR755" s="48" t="s">
        <v>6311</v>
      </c>
      <c r="AS755" s="227"/>
      <c r="AT755" s="50" t="s">
        <v>266</v>
      </c>
      <c r="AU755" s="48">
        <v>6</v>
      </c>
      <c r="AV755" s="48">
        <v>120</v>
      </c>
      <c r="AW755" s="48">
        <v>114</v>
      </c>
      <c r="AX755" s="48">
        <v>28</v>
      </c>
      <c r="AY755" s="48" t="s">
        <v>8728</v>
      </c>
      <c r="AZ755" s="48" t="s">
        <v>1563</v>
      </c>
      <c r="BA755" s="48">
        <v>32</v>
      </c>
      <c r="BB755" s="47" t="s">
        <v>2485</v>
      </c>
      <c r="BC755" s="47" t="s">
        <v>8726</v>
      </c>
      <c r="BD755" s="47" t="s">
        <v>8374</v>
      </c>
      <c r="BE755" s="48" t="s">
        <v>2449</v>
      </c>
      <c r="BF755" s="48" t="s">
        <v>272</v>
      </c>
      <c r="BG755" s="48" t="s">
        <v>272</v>
      </c>
      <c r="BH755" s="48" t="s">
        <v>2486</v>
      </c>
      <c r="BI755" s="98">
        <v>8.7769599999999986E-4</v>
      </c>
      <c r="BJ755" s="98">
        <v>8.776959999999999</v>
      </c>
      <c r="BK755" s="48"/>
      <c r="BL755" s="487">
        <v>967.80563208394938</v>
      </c>
      <c r="BM755" s="47" t="s">
        <v>2487</v>
      </c>
      <c r="BN755" s="48"/>
      <c r="BO755" s="48"/>
      <c r="BP755" s="48"/>
      <c r="BQ755" s="48"/>
      <c r="BR755" s="47" t="e">
        <v>#VALUE!</v>
      </c>
      <c r="BS755" s="48"/>
      <c r="BT755" s="48"/>
      <c r="BU755" s="228"/>
      <c r="BV755" s="48"/>
      <c r="BW755" s="48"/>
      <c r="BX755" s="48"/>
      <c r="BY755" s="48"/>
      <c r="BZ755" s="48"/>
      <c r="CA755" s="48"/>
      <c r="CB755" s="48"/>
      <c r="CC755" s="48"/>
      <c r="CD755" s="48"/>
      <c r="CE755" s="48"/>
      <c r="CF755" s="48"/>
      <c r="CG755" s="48"/>
      <c r="CH755" s="48"/>
      <c r="CI755" s="98"/>
      <c r="CJ755" s="98"/>
      <c r="CK755" s="49">
        <f t="shared" si="159"/>
        <v>110.26661077228898</v>
      </c>
      <c r="CL755" s="229"/>
      <c r="CM755" s="229"/>
      <c r="CN755" s="229"/>
      <c r="CO755" s="47" t="s">
        <v>2488</v>
      </c>
      <c r="CP755" s="500" t="s">
        <v>2489</v>
      </c>
      <c r="CQ755" s="224" t="s">
        <v>272</v>
      </c>
      <c r="CR755" s="224"/>
      <c r="CS755" s="230" t="s">
        <v>539</v>
      </c>
      <c r="CT755" s="230"/>
      <c r="CU755" s="230"/>
      <c r="CV755" s="335">
        <f t="shared" si="160"/>
        <v>696.14080501677131</v>
      </c>
      <c r="CW755" s="230">
        <f t="shared" si="158"/>
        <v>1</v>
      </c>
      <c r="CX755" s="336"/>
      <c r="CY755" s="230" t="s">
        <v>6351</v>
      </c>
    </row>
    <row r="756" spans="1:103" ht="11.25" customHeight="1" x14ac:dyDescent="0.2">
      <c r="A756" s="72">
        <v>1088</v>
      </c>
      <c r="B756" s="224">
        <v>1197</v>
      </c>
      <c r="C756" s="46" t="s">
        <v>7251</v>
      </c>
      <c r="D756" s="46"/>
      <c r="E756" s="114"/>
      <c r="F756" s="114" t="s">
        <v>3301</v>
      </c>
      <c r="G756" s="225">
        <v>150685</v>
      </c>
      <c r="H756" s="47" t="s">
        <v>3302</v>
      </c>
      <c r="I756" s="47" t="s">
        <v>8046</v>
      </c>
      <c r="J756" s="47" t="s">
        <v>3303</v>
      </c>
      <c r="K756" s="47" t="s">
        <v>1292</v>
      </c>
      <c r="L756" s="47" t="s">
        <v>6132</v>
      </c>
      <c r="M756" s="47" t="s">
        <v>5960</v>
      </c>
      <c r="N756" s="47"/>
      <c r="O756" s="47"/>
      <c r="P756" s="53"/>
      <c r="Q756" s="53" t="s">
        <v>6173</v>
      </c>
      <c r="R756" s="53" t="s">
        <v>6185</v>
      </c>
      <c r="S756" s="53" t="s">
        <v>6176</v>
      </c>
      <c r="T756" s="48">
        <v>198.65</v>
      </c>
      <c r="U756" s="98">
        <v>230</v>
      </c>
      <c r="V756" s="98">
        <v>979.8</v>
      </c>
      <c r="W756" s="98">
        <v>287.13661045867843</v>
      </c>
      <c r="X756" s="98">
        <v>230</v>
      </c>
      <c r="Y756" s="233">
        <v>6.99</v>
      </c>
      <c r="Z756" s="48">
        <v>2.0299999999999998</v>
      </c>
      <c r="AA756" s="48">
        <v>1.94</v>
      </c>
      <c r="AB756" s="48">
        <v>1.94</v>
      </c>
      <c r="AC756" s="48">
        <v>0.88229999999999997</v>
      </c>
      <c r="AD756" s="48">
        <v>1.93</v>
      </c>
      <c r="AE756" s="48">
        <v>1.89</v>
      </c>
      <c r="AF756" s="48">
        <f t="shared" si="161"/>
        <v>1.94</v>
      </c>
      <c r="AG756" s="49">
        <v>1.86</v>
      </c>
      <c r="AH756" s="98">
        <v>7.19E-10</v>
      </c>
      <c r="AI756" s="98">
        <v>5.7199999999999999E-10</v>
      </c>
      <c r="AJ756" s="483">
        <f t="shared" si="163"/>
        <v>-7.5318374359297691</v>
      </c>
      <c r="AK756" s="483">
        <f>LOG10(AI756*1000/(0.08206*298.15))</f>
        <v>-7.6311702975196276</v>
      </c>
      <c r="AL756" s="483">
        <f t="shared" si="162"/>
        <v>-7.6311702975196276</v>
      </c>
      <c r="AM756" s="483">
        <v>-11.172229999999999</v>
      </c>
      <c r="AN756" s="226">
        <v>-7.79</v>
      </c>
      <c r="AO756" s="484">
        <v>14.22</v>
      </c>
      <c r="AP756" s="484">
        <v>-0.28999999999999998</v>
      </c>
      <c r="AQ756" s="48" t="s">
        <v>6311</v>
      </c>
      <c r="AR756" s="48" t="s">
        <v>6311</v>
      </c>
      <c r="AS756" s="227"/>
      <c r="AT756" s="50" t="s">
        <v>266</v>
      </c>
      <c r="AU756" s="48">
        <v>6</v>
      </c>
      <c r="AV756" s="48">
        <v>120</v>
      </c>
      <c r="AW756" s="48">
        <v>114</v>
      </c>
      <c r="AX756" s="48">
        <v>28</v>
      </c>
      <c r="AY756" s="48" t="s">
        <v>8728</v>
      </c>
      <c r="AZ756" s="48" t="s">
        <v>1563</v>
      </c>
      <c r="BA756" s="48">
        <v>32</v>
      </c>
      <c r="BB756" s="47" t="s">
        <v>2485</v>
      </c>
      <c r="BC756" s="47" t="s">
        <v>8726</v>
      </c>
      <c r="BD756" s="47" t="s">
        <v>8374</v>
      </c>
      <c r="BE756" s="48" t="s">
        <v>2449</v>
      </c>
      <c r="BF756" s="48" t="s">
        <v>272</v>
      </c>
      <c r="BG756" s="48" t="s">
        <v>272</v>
      </c>
      <c r="BH756" s="48" t="s">
        <v>2486</v>
      </c>
      <c r="BI756" s="98">
        <v>1.27136E-3</v>
      </c>
      <c r="BJ756" s="98">
        <v>12.713600000000001</v>
      </c>
      <c r="BK756" s="48"/>
      <c r="BL756" s="487">
        <v>153.37181936175506</v>
      </c>
      <c r="BM756" s="47" t="s">
        <v>2487</v>
      </c>
      <c r="BN756" s="48"/>
      <c r="BO756" s="48"/>
      <c r="BP756" s="48"/>
      <c r="BQ756" s="48"/>
      <c r="BR756" s="47" t="e">
        <v>#VALUE!</v>
      </c>
      <c r="BS756" s="48"/>
      <c r="BT756" s="48"/>
      <c r="BU756" s="228">
        <v>1.27136E-2</v>
      </c>
      <c r="BV756" s="48"/>
      <c r="BW756" s="48"/>
      <c r="BX756" s="48"/>
      <c r="BY756" s="48"/>
      <c r="BZ756" s="48"/>
      <c r="CA756" s="48"/>
      <c r="CB756" s="48"/>
      <c r="CC756" s="48"/>
      <c r="CD756" s="48"/>
      <c r="CE756" s="48"/>
      <c r="CF756" s="48"/>
      <c r="CG756" s="48"/>
      <c r="CH756" s="48"/>
      <c r="CI756" s="98"/>
      <c r="CJ756" s="98"/>
      <c r="CK756" s="49">
        <f t="shared" si="159"/>
        <v>12.063602705901951</v>
      </c>
      <c r="CL756" s="229"/>
      <c r="CM756" s="229"/>
      <c r="CN756" s="229"/>
      <c r="CO756" s="47" t="s">
        <v>2488</v>
      </c>
      <c r="CP756" s="500" t="s">
        <v>2489</v>
      </c>
      <c r="CQ756" s="224">
        <v>1.5118490930588893</v>
      </c>
      <c r="CR756" s="224">
        <f>10^(CJ756-CQ756)</f>
        <v>3.0771658705070495E-2</v>
      </c>
      <c r="CS756" s="230" t="s">
        <v>539</v>
      </c>
      <c r="CT756" s="230"/>
      <c r="CU756" s="230"/>
      <c r="CV756" s="335">
        <f t="shared" si="160"/>
        <v>18.090863327460355</v>
      </c>
      <c r="CW756" s="230">
        <f t="shared" si="158"/>
        <v>1</v>
      </c>
      <c r="CX756" s="336"/>
      <c r="CY756" s="230" t="s">
        <v>5921</v>
      </c>
    </row>
    <row r="757" spans="1:103" ht="11.25" customHeight="1" x14ac:dyDescent="0.2">
      <c r="A757" s="72">
        <v>1089</v>
      </c>
      <c r="B757" s="224">
        <v>1278</v>
      </c>
      <c r="C757" s="46" t="s">
        <v>522</v>
      </c>
      <c r="D757" s="46"/>
      <c r="E757" s="114"/>
      <c r="F757" s="114" t="s">
        <v>523</v>
      </c>
      <c r="G757" s="225">
        <v>151213</v>
      </c>
      <c r="H757" s="47" t="s">
        <v>524</v>
      </c>
      <c r="I757" s="47" t="s">
        <v>524</v>
      </c>
      <c r="J757" s="47" t="s">
        <v>525</v>
      </c>
      <c r="K757" s="47" t="s">
        <v>426</v>
      </c>
      <c r="L757" s="47" t="s">
        <v>6115</v>
      </c>
      <c r="M757" s="47" t="s">
        <v>1884</v>
      </c>
      <c r="N757" s="47" t="s">
        <v>526</v>
      </c>
      <c r="O757" s="47" t="s">
        <v>281</v>
      </c>
      <c r="P757" s="53"/>
      <c r="Q757" s="53"/>
      <c r="R757" s="53"/>
      <c r="S757" s="53"/>
      <c r="T757" s="48">
        <v>266.39999999999998</v>
      </c>
      <c r="U757" s="98"/>
      <c r="V757" s="98">
        <v>163.69999999999999</v>
      </c>
      <c r="W757" s="98">
        <v>42221.554647164048</v>
      </c>
      <c r="X757" s="98">
        <v>42221.554647164048</v>
      </c>
      <c r="Y757" s="233">
        <v>0.8</v>
      </c>
      <c r="Z757" s="48">
        <v>2.42</v>
      </c>
      <c r="AA757" s="48"/>
      <c r="AB757" s="48">
        <v>2.4300000000000002</v>
      </c>
      <c r="AC757" s="48">
        <v>0.41520000000000001</v>
      </c>
      <c r="AD757" s="48">
        <v>4.12</v>
      </c>
      <c r="AE757" s="48">
        <v>5.39</v>
      </c>
      <c r="AF757" s="48">
        <f t="shared" si="161"/>
        <v>4.12</v>
      </c>
      <c r="AG757" s="49">
        <v>4.12</v>
      </c>
      <c r="AH757" s="98">
        <v>1.8400000000000001E-7</v>
      </c>
      <c r="AI757" s="98"/>
      <c r="AJ757" s="483">
        <f t="shared" si="163"/>
        <v>-5.1237485033031156</v>
      </c>
      <c r="AK757" s="483"/>
      <c r="AL757" s="483">
        <f t="shared" si="162"/>
        <v>-5.1237485033031156</v>
      </c>
      <c r="AM757" s="483">
        <v>-11.085739999999999</v>
      </c>
      <c r="AN757" s="226"/>
      <c r="AO757" s="484">
        <v>-3.29</v>
      </c>
      <c r="AP757" s="484"/>
      <c r="AQ757" s="48" t="s">
        <v>6311</v>
      </c>
      <c r="AR757" s="48" t="s">
        <v>6311</v>
      </c>
      <c r="AS757" s="227"/>
      <c r="AT757" s="50" t="s">
        <v>266</v>
      </c>
      <c r="AU757" s="48">
        <v>6</v>
      </c>
      <c r="AV757" s="48">
        <v>120</v>
      </c>
      <c r="AW757" s="48">
        <v>114</v>
      </c>
      <c r="AX757" s="48">
        <v>28</v>
      </c>
      <c r="AY757" s="48" t="s">
        <v>8728</v>
      </c>
      <c r="AZ757" s="48" t="s">
        <v>1563</v>
      </c>
      <c r="BA757" s="48">
        <v>32</v>
      </c>
      <c r="BB757" s="47" t="s">
        <v>2485</v>
      </c>
      <c r="BC757" s="47" t="s">
        <v>8726</v>
      </c>
      <c r="BD757" s="47" t="s">
        <v>8374</v>
      </c>
      <c r="BE757" s="48" t="s">
        <v>2449</v>
      </c>
      <c r="BF757" s="48" t="s">
        <v>272</v>
      </c>
      <c r="BG757" s="48" t="s">
        <v>272</v>
      </c>
      <c r="BH757" s="48" t="s">
        <v>2486</v>
      </c>
      <c r="BI757" s="98">
        <v>1.7049599999999997E-3</v>
      </c>
      <c r="BJ757" s="98">
        <v>17.049599999999998</v>
      </c>
      <c r="BK757" s="48"/>
      <c r="BL757" s="487">
        <v>91.81892852707891</v>
      </c>
      <c r="BM757" s="47" t="s">
        <v>2487</v>
      </c>
      <c r="BN757" s="48"/>
      <c r="BO757" s="48"/>
      <c r="BP757" s="48"/>
      <c r="BQ757" s="48"/>
      <c r="BR757" s="47"/>
      <c r="BS757" s="48"/>
      <c r="BT757" s="48"/>
      <c r="BU757" s="228">
        <v>17.049599999999998</v>
      </c>
      <c r="BV757" s="48"/>
      <c r="BW757" s="48"/>
      <c r="BX757" s="48"/>
      <c r="BY757" s="48"/>
      <c r="BZ757" s="48"/>
      <c r="CA757" s="48"/>
      <c r="CB757" s="48"/>
      <c r="CC757" s="48"/>
      <c r="CD757" s="48"/>
      <c r="CE757" s="48"/>
      <c r="CF757" s="48"/>
      <c r="CG757" s="48"/>
      <c r="CH757" s="48"/>
      <c r="CI757" s="52"/>
      <c r="CJ757" s="98"/>
      <c r="CK757" s="49">
        <f t="shared" si="159"/>
        <v>5.3854007441276579</v>
      </c>
      <c r="CL757" s="229"/>
      <c r="CM757" s="229">
        <v>0.65321251377534384</v>
      </c>
      <c r="CN757" s="229">
        <f>BJ757/(10^CM757)</f>
        <v>3.7887999999999975</v>
      </c>
      <c r="CO757" s="47" t="s">
        <v>2488</v>
      </c>
      <c r="CP757" s="500" t="s">
        <v>2489</v>
      </c>
      <c r="CQ757" s="224">
        <v>1.0143413694582426</v>
      </c>
      <c r="CR757" s="224">
        <f>10^(CJ757-CQ757)</f>
        <v>9.6751705770800611E-2</v>
      </c>
      <c r="CS757" s="230" t="s">
        <v>539</v>
      </c>
      <c r="CT757" s="230"/>
      <c r="CU757" s="230"/>
      <c r="CV757" s="335">
        <f t="shared" si="160"/>
        <v>2476.3956132204894</v>
      </c>
      <c r="CW757" s="230">
        <f t="shared" si="158"/>
        <v>1</v>
      </c>
      <c r="CX757" s="336"/>
      <c r="CY757" s="230" t="s">
        <v>6351</v>
      </c>
    </row>
    <row r="758" spans="1:103" ht="11.25" customHeight="1" x14ac:dyDescent="0.2">
      <c r="A758" s="72">
        <v>1090</v>
      </c>
      <c r="B758" s="224">
        <v>1485</v>
      </c>
      <c r="C758" s="46" t="s">
        <v>7252</v>
      </c>
      <c r="D758" s="46"/>
      <c r="E758" s="114"/>
      <c r="F758" s="114" t="s">
        <v>4564</v>
      </c>
      <c r="G758" s="225">
        <v>208968</v>
      </c>
      <c r="H758" s="47" t="s">
        <v>4565</v>
      </c>
      <c r="I758" s="47" t="s">
        <v>4565</v>
      </c>
      <c r="J758" s="47" t="s">
        <v>4566</v>
      </c>
      <c r="K758" s="47" t="s">
        <v>426</v>
      </c>
      <c r="L758" s="47"/>
      <c r="M758" s="47"/>
      <c r="N758" s="47"/>
      <c r="O758" s="47"/>
      <c r="P758" s="53"/>
      <c r="Q758" s="53"/>
      <c r="R758" s="53"/>
      <c r="S758" s="53"/>
      <c r="T758" s="48">
        <v>152.19</v>
      </c>
      <c r="U758" s="98">
        <v>16.100000000000001</v>
      </c>
      <c r="V758" s="98">
        <v>2.4870000000000001</v>
      </c>
      <c r="W758" s="98">
        <v>1.6307452306411125</v>
      </c>
      <c r="X758" s="98">
        <v>16.100000000000001</v>
      </c>
      <c r="Y758" s="233">
        <v>7</v>
      </c>
      <c r="Z758" s="48">
        <v>3.94</v>
      </c>
      <c r="AA758" s="48">
        <v>3.94</v>
      </c>
      <c r="AB758" s="48">
        <v>3.77</v>
      </c>
      <c r="AC758" s="48">
        <v>0.93089999999999995</v>
      </c>
      <c r="AD758" s="48">
        <v>3.87</v>
      </c>
      <c r="AE758" s="48">
        <v>4.2699999999999996</v>
      </c>
      <c r="AF758" s="48">
        <f t="shared" si="161"/>
        <v>3.94</v>
      </c>
      <c r="AG758" s="49">
        <v>3.46</v>
      </c>
      <c r="AH758" s="98">
        <v>5.4799999999999997E-5</v>
      </c>
      <c r="AI758" s="98">
        <v>1.1400000000000001E-4</v>
      </c>
      <c r="AJ758" s="483">
        <f t="shared" si="163"/>
        <v>-2.6497857678282828</v>
      </c>
      <c r="AK758" s="483">
        <f>LOG10(AI758*1000/(0.08206*298.15))</f>
        <v>-2.3316614749761793</v>
      </c>
      <c r="AL758" s="483">
        <f t="shared" si="162"/>
        <v>-2.3316614749761793</v>
      </c>
      <c r="AM758" s="483">
        <v>-5.5162700000000005</v>
      </c>
      <c r="AN758" s="226">
        <v>-2.98</v>
      </c>
      <c r="AO758" s="484"/>
      <c r="AP758" s="484"/>
      <c r="AQ758" s="48" t="s">
        <v>6311</v>
      </c>
      <c r="AR758" s="48" t="s">
        <v>6311</v>
      </c>
      <c r="AS758" s="227"/>
      <c r="AT758" s="50" t="s">
        <v>266</v>
      </c>
      <c r="AU758" s="48">
        <v>6</v>
      </c>
      <c r="AV758" s="48">
        <v>120</v>
      </c>
      <c r="AW758" s="48">
        <v>114</v>
      </c>
      <c r="AX758" s="48">
        <v>28</v>
      </c>
      <c r="AY758" s="48" t="s">
        <v>8728</v>
      </c>
      <c r="AZ758" s="48" t="s">
        <v>1563</v>
      </c>
      <c r="BA758" s="48">
        <v>32</v>
      </c>
      <c r="BB758" s="47" t="s">
        <v>2485</v>
      </c>
      <c r="BC758" s="47" t="s">
        <v>8726</v>
      </c>
      <c r="BD758" s="47" t="s">
        <v>8374</v>
      </c>
      <c r="BE758" s="48" t="s">
        <v>2449</v>
      </c>
      <c r="BF758" s="48" t="s">
        <v>272</v>
      </c>
      <c r="BG758" s="48" t="s">
        <v>272</v>
      </c>
      <c r="BH758" s="48" t="s">
        <v>2486</v>
      </c>
      <c r="BI758" s="98">
        <v>9.7401599999999997E-4</v>
      </c>
      <c r="BJ758" s="98">
        <v>9.7401599999999995</v>
      </c>
      <c r="BK758" s="48"/>
      <c r="BL758" s="487">
        <v>2.2629351952583909</v>
      </c>
      <c r="BM758" s="47" t="s">
        <v>2487</v>
      </c>
      <c r="BN758" s="48"/>
      <c r="BO758" s="48"/>
      <c r="BP758" s="48"/>
      <c r="BQ758" s="48"/>
      <c r="BR758" s="47" t="e">
        <v>#VALUE!</v>
      </c>
      <c r="BS758" s="48"/>
      <c r="BT758" s="48"/>
      <c r="BU758" s="228"/>
      <c r="BV758" s="48"/>
      <c r="BW758" s="48"/>
      <c r="BX758" s="48"/>
      <c r="BY758" s="48"/>
      <c r="BZ758" s="48"/>
      <c r="CA758" s="48"/>
      <c r="CB758" s="48"/>
      <c r="CC758" s="48"/>
      <c r="CD758" s="48"/>
      <c r="CE758" s="48"/>
      <c r="CF758" s="48"/>
      <c r="CG758" s="48"/>
      <c r="CH758" s="48"/>
      <c r="CI758" s="98"/>
      <c r="CJ758" s="98"/>
      <c r="CK758" s="49">
        <f t="shared" si="159"/>
        <v>0.2323303924430801</v>
      </c>
      <c r="CL758" s="229"/>
      <c r="CM758" s="229"/>
      <c r="CN758" s="229"/>
      <c r="CO758" s="47" t="s">
        <v>2488</v>
      </c>
      <c r="CP758" s="500" t="s">
        <v>2489</v>
      </c>
      <c r="CQ758" s="224" t="s">
        <v>272</v>
      </c>
      <c r="CR758" s="224"/>
      <c r="CS758" s="230" t="s">
        <v>539</v>
      </c>
      <c r="CT758" s="230"/>
      <c r="CU758" s="230"/>
      <c r="CV758" s="335">
        <f t="shared" si="160"/>
        <v>1.6529502595439913</v>
      </c>
      <c r="CW758" s="230">
        <f t="shared" si="158"/>
        <v>1</v>
      </c>
      <c r="CX758" s="336"/>
      <c r="CY758" s="230" t="s">
        <v>5921</v>
      </c>
    </row>
    <row r="759" spans="1:103" ht="11.25" customHeight="1" x14ac:dyDescent="0.2">
      <c r="A759" s="72">
        <v>1091</v>
      </c>
      <c r="B759" s="224">
        <v>1520</v>
      </c>
      <c r="C759" s="46" t="s">
        <v>2303</v>
      </c>
      <c r="D759" s="46"/>
      <c r="E759" s="114"/>
      <c r="F759" s="114" t="s">
        <v>2304</v>
      </c>
      <c r="G759" s="225">
        <v>271896</v>
      </c>
      <c r="H759" s="47" t="s">
        <v>2305</v>
      </c>
      <c r="I759" s="47" t="s">
        <v>2305</v>
      </c>
      <c r="J759" s="47" t="s">
        <v>2306</v>
      </c>
      <c r="K759" s="47" t="s">
        <v>426</v>
      </c>
      <c r="L759" s="47" t="s">
        <v>6025</v>
      </c>
      <c r="M759" s="47" t="s">
        <v>6088</v>
      </c>
      <c r="N759" s="47" t="s">
        <v>6088</v>
      </c>
      <c r="O759" s="47" t="s">
        <v>6083</v>
      </c>
      <c r="P759" s="53"/>
      <c r="Q759" s="53" t="s">
        <v>6173</v>
      </c>
      <c r="R759" s="53" t="s">
        <v>6185</v>
      </c>
      <c r="S759" s="53" t="s">
        <v>6176</v>
      </c>
      <c r="T759" s="48">
        <v>118.13</v>
      </c>
      <c r="U759" s="98"/>
      <c r="V759" s="98">
        <v>534.79999999999995</v>
      </c>
      <c r="W759" s="98">
        <v>373.55985999569032</v>
      </c>
      <c r="X759" s="98">
        <v>373.55985999569032</v>
      </c>
      <c r="Y759" s="233">
        <v>7</v>
      </c>
      <c r="Z759" s="48">
        <v>2.54</v>
      </c>
      <c r="AA759" s="48">
        <v>2.67</v>
      </c>
      <c r="AB759" s="48">
        <v>2.66</v>
      </c>
      <c r="AC759" s="48">
        <v>0.84040000000000004</v>
      </c>
      <c r="AD759" s="48">
        <v>2.66</v>
      </c>
      <c r="AE759" s="48">
        <v>2.67</v>
      </c>
      <c r="AF759" s="48">
        <f t="shared" si="161"/>
        <v>2.67</v>
      </c>
      <c r="AG759" s="49">
        <v>2.34</v>
      </c>
      <c r="AH759" s="98">
        <v>5.2499999999999997E-4</v>
      </c>
      <c r="AI759" s="98"/>
      <c r="AJ759" s="483">
        <f t="shared" si="163"/>
        <v>-1.668407022906695</v>
      </c>
      <c r="AK759" s="483"/>
      <c r="AL759" s="483">
        <f t="shared" si="162"/>
        <v>-1.668407022906695</v>
      </c>
      <c r="AM759" s="483">
        <v>-3.99186</v>
      </c>
      <c r="AN759" s="226">
        <v>-1.85</v>
      </c>
      <c r="AO759" s="484"/>
      <c r="AP759" s="484"/>
      <c r="AQ759" s="48" t="s">
        <v>6311</v>
      </c>
      <c r="AR759" s="48" t="s">
        <v>6311</v>
      </c>
      <c r="AS759" s="227"/>
      <c r="AT759" s="50" t="s">
        <v>266</v>
      </c>
      <c r="AU759" s="48">
        <v>6</v>
      </c>
      <c r="AV759" s="48">
        <v>120</v>
      </c>
      <c r="AW759" s="48">
        <v>114</v>
      </c>
      <c r="AX759" s="48">
        <v>28</v>
      </c>
      <c r="AY759" s="48" t="s">
        <v>8728</v>
      </c>
      <c r="AZ759" s="48" t="s">
        <v>1563</v>
      </c>
      <c r="BA759" s="48">
        <v>32</v>
      </c>
      <c r="BB759" s="47" t="s">
        <v>2485</v>
      </c>
      <c r="BC759" s="47" t="s">
        <v>8726</v>
      </c>
      <c r="BD759" s="47" t="s">
        <v>8374</v>
      </c>
      <c r="BE759" s="48" t="s">
        <v>2449</v>
      </c>
      <c r="BF759" s="48" t="s">
        <v>272</v>
      </c>
      <c r="BG759" s="48" t="s">
        <v>272</v>
      </c>
      <c r="BH759" s="48" t="s">
        <v>2486</v>
      </c>
      <c r="BI759" s="98">
        <v>7.5603199999999991E-4</v>
      </c>
      <c r="BJ759" s="98">
        <v>7.5603199999999999</v>
      </c>
      <c r="BK759" s="48"/>
      <c r="BL759" s="487">
        <v>31.767731539299682</v>
      </c>
      <c r="BM759" s="47" t="s">
        <v>2487</v>
      </c>
      <c r="BN759" s="48"/>
      <c r="BO759" s="48"/>
      <c r="BP759" s="48"/>
      <c r="BQ759" s="48"/>
      <c r="BR759" s="47" t="e">
        <v>#VALUE!</v>
      </c>
      <c r="BS759" s="48"/>
      <c r="BT759" s="48"/>
      <c r="BU759" s="228"/>
      <c r="BV759" s="48"/>
      <c r="BW759" s="48"/>
      <c r="BX759" s="48"/>
      <c r="BY759" s="48"/>
      <c r="BZ759" s="48"/>
      <c r="CA759" s="48"/>
      <c r="CB759" s="48"/>
      <c r="CC759" s="48"/>
      <c r="CD759" s="48"/>
      <c r="CE759" s="48"/>
      <c r="CF759" s="48"/>
      <c r="CG759" s="48"/>
      <c r="CH759" s="48"/>
      <c r="CI759" s="98"/>
      <c r="CJ759" s="98"/>
      <c r="CK759" s="49">
        <f t="shared" si="159"/>
        <v>4.2019030331123126</v>
      </c>
      <c r="CL759" s="229"/>
      <c r="CM759" s="229"/>
      <c r="CN759" s="229"/>
      <c r="CO759" s="47" t="s">
        <v>2488</v>
      </c>
      <c r="CP759" s="500" t="s">
        <v>2489</v>
      </c>
      <c r="CQ759" s="224">
        <v>1.1445714179661666</v>
      </c>
      <c r="CR759" s="224">
        <f>10^(CJ759-CQ759)</f>
        <v>7.1685048273265384E-2</v>
      </c>
      <c r="CS759" s="230" t="s">
        <v>539</v>
      </c>
      <c r="CT759" s="230"/>
      <c r="CU759" s="230"/>
      <c r="CV759" s="335">
        <f t="shared" si="160"/>
        <v>49.41058844013088</v>
      </c>
      <c r="CW759" s="230">
        <f t="shared" si="158"/>
        <v>1</v>
      </c>
      <c r="CX759" s="336"/>
      <c r="CY759" s="230" t="s">
        <v>5921</v>
      </c>
    </row>
    <row r="760" spans="1:103" ht="11.25" customHeight="1" x14ac:dyDescent="0.2">
      <c r="A760" s="72">
        <v>1092</v>
      </c>
      <c r="B760" s="224">
        <v>1383</v>
      </c>
      <c r="C760" s="46" t="s">
        <v>7253</v>
      </c>
      <c r="D760" s="46"/>
      <c r="E760" s="114"/>
      <c r="F760" s="114" t="s">
        <v>4263</v>
      </c>
      <c r="G760" s="225">
        <v>288880</v>
      </c>
      <c r="H760" s="47" t="s">
        <v>4264</v>
      </c>
      <c r="I760" s="47" t="s">
        <v>4264</v>
      </c>
      <c r="J760" s="47" t="s">
        <v>4265</v>
      </c>
      <c r="K760" s="47" t="s">
        <v>1112</v>
      </c>
      <c r="L760" s="47"/>
      <c r="M760" s="47"/>
      <c r="N760" s="47"/>
      <c r="O760" s="47"/>
      <c r="P760" s="53"/>
      <c r="Q760" s="53"/>
      <c r="R760" s="53"/>
      <c r="S760" s="53"/>
      <c r="T760" s="48">
        <v>69.069999999999993</v>
      </c>
      <c r="U760" s="98"/>
      <c r="V760" s="98">
        <v>424400</v>
      </c>
      <c r="W760" s="98">
        <v>84974.664000011195</v>
      </c>
      <c r="X760" s="98">
        <v>84974.664000011195</v>
      </c>
      <c r="Y760" s="233">
        <v>6.8</v>
      </c>
      <c r="Z760" s="48">
        <v>-0.76</v>
      </c>
      <c r="AA760" s="48">
        <v>-0.57999999999999996</v>
      </c>
      <c r="AB760" s="48">
        <v>-0.49</v>
      </c>
      <c r="AC760" s="48">
        <v>0.85319999999999996</v>
      </c>
      <c r="AD760" s="48">
        <v>-0.51</v>
      </c>
      <c r="AE760" s="48">
        <v>-0.57999999999999996</v>
      </c>
      <c r="AF760" s="48">
        <f t="shared" si="161"/>
        <v>-0.57999999999999996</v>
      </c>
      <c r="AG760" s="49">
        <v>-0.15</v>
      </c>
      <c r="AH760" s="98">
        <v>1.53E-6</v>
      </c>
      <c r="AI760" s="98"/>
      <c r="AJ760" s="483">
        <f t="shared" si="163"/>
        <v>-4.2038748954950531</v>
      </c>
      <c r="AK760" s="483"/>
      <c r="AL760" s="483">
        <f t="shared" si="162"/>
        <v>-4.2038748954950531</v>
      </c>
      <c r="AM760" s="483">
        <v>-7.7744099999999996</v>
      </c>
      <c r="AN760" s="226">
        <v>-6.15</v>
      </c>
      <c r="AO760" s="484">
        <v>10.49</v>
      </c>
      <c r="AP760" s="484">
        <v>2.7</v>
      </c>
      <c r="AQ760" s="48" t="s">
        <v>6311</v>
      </c>
      <c r="AR760" s="48" t="s">
        <v>6311</v>
      </c>
      <c r="AS760" s="227"/>
      <c r="AT760" s="50" t="s">
        <v>266</v>
      </c>
      <c r="AU760" s="48">
        <v>6</v>
      </c>
      <c r="AV760" s="48">
        <v>120</v>
      </c>
      <c r="AW760" s="48">
        <v>114</v>
      </c>
      <c r="AX760" s="48">
        <v>28</v>
      </c>
      <c r="AY760" s="48" t="s">
        <v>8728</v>
      </c>
      <c r="AZ760" s="48" t="s">
        <v>1563</v>
      </c>
      <c r="BA760" s="48">
        <v>32</v>
      </c>
      <c r="BB760" s="47" t="s">
        <v>2485</v>
      </c>
      <c r="BC760" s="47" t="s">
        <v>8726</v>
      </c>
      <c r="BD760" s="47" t="s">
        <v>8374</v>
      </c>
      <c r="BE760" s="48" t="s">
        <v>2449</v>
      </c>
      <c r="BF760" s="48" t="s">
        <v>272</v>
      </c>
      <c r="BG760" s="48" t="s">
        <v>272</v>
      </c>
      <c r="BH760" s="48" t="s">
        <v>2486</v>
      </c>
      <c r="BI760" s="98">
        <v>4.4204799999999995E-4</v>
      </c>
      <c r="BJ760" s="98">
        <v>4.4204799999999995</v>
      </c>
      <c r="BK760" s="48"/>
      <c r="BL760" s="487">
        <v>17086.198834649611</v>
      </c>
      <c r="BM760" s="47" t="s">
        <v>2487</v>
      </c>
      <c r="BN760" s="48"/>
      <c r="BO760" s="48"/>
      <c r="BP760" s="48"/>
      <c r="BQ760" s="48"/>
      <c r="BR760" s="47"/>
      <c r="BS760" s="48"/>
      <c r="BT760" s="48"/>
      <c r="BU760" s="228"/>
      <c r="BV760" s="48"/>
      <c r="BW760" s="48"/>
      <c r="BX760" s="48"/>
      <c r="BY760" s="48"/>
      <c r="BZ760" s="48"/>
      <c r="CA760" s="48"/>
      <c r="CB760" s="48"/>
      <c r="CC760" s="48"/>
      <c r="CD760" s="48"/>
      <c r="CE760" s="48"/>
      <c r="CF760" s="48"/>
      <c r="CG760" s="48"/>
      <c r="CH760" s="48"/>
      <c r="CI760" s="52"/>
      <c r="CJ760" s="98"/>
      <c r="CK760" s="49">
        <f t="shared" si="159"/>
        <v>3865.2360907977445</v>
      </c>
      <c r="CL760" s="229"/>
      <c r="CM760" s="229"/>
      <c r="CN760" s="229"/>
      <c r="CO760" s="47" t="s">
        <v>2488</v>
      </c>
      <c r="CP760" s="500" t="s">
        <v>2489</v>
      </c>
      <c r="CQ760" s="224" t="s">
        <v>272</v>
      </c>
      <c r="CR760" s="224"/>
      <c r="CS760" s="230" t="s">
        <v>539</v>
      </c>
      <c r="CT760" s="230"/>
      <c r="CU760" s="230"/>
      <c r="CV760" s="335">
        <f t="shared" si="160"/>
        <v>19222.949543943465</v>
      </c>
      <c r="CW760" s="230">
        <f t="shared" si="158"/>
        <v>1</v>
      </c>
      <c r="CX760" s="336"/>
      <c r="CY760" s="230" t="s">
        <v>6351</v>
      </c>
    </row>
    <row r="761" spans="1:103" ht="11.25" customHeight="1" x14ac:dyDescent="0.2">
      <c r="A761" s="72">
        <v>1094</v>
      </c>
      <c r="B761" s="224">
        <v>1738</v>
      </c>
      <c r="C761" s="46" t="s">
        <v>7255</v>
      </c>
      <c r="D761" s="46" t="s">
        <v>8602</v>
      </c>
      <c r="E761" s="114"/>
      <c r="F761" s="114" t="s">
        <v>625</v>
      </c>
      <c r="G761" s="225">
        <v>298000</v>
      </c>
      <c r="H761" s="47" t="s">
        <v>626</v>
      </c>
      <c r="I761" s="47" t="s">
        <v>8047</v>
      </c>
      <c r="J761" s="47" t="s">
        <v>627</v>
      </c>
      <c r="K761" s="47" t="s">
        <v>628</v>
      </c>
      <c r="L761" s="47" t="s">
        <v>617</v>
      </c>
      <c r="M761" s="47" t="s">
        <v>946</v>
      </c>
      <c r="N761" s="47" t="s">
        <v>6376</v>
      </c>
      <c r="O761" s="47" t="s">
        <v>918</v>
      </c>
      <c r="P761" s="53" t="s">
        <v>6178</v>
      </c>
      <c r="Q761" s="53" t="s">
        <v>6176</v>
      </c>
      <c r="R761" s="53" t="s">
        <v>6177</v>
      </c>
      <c r="S761" s="53" t="s">
        <v>6179</v>
      </c>
      <c r="T761" s="48">
        <v>263.20999999999998</v>
      </c>
      <c r="U761" s="98">
        <v>37.700000000000003</v>
      </c>
      <c r="V761" s="98">
        <v>29.36</v>
      </c>
      <c r="W761" s="98">
        <v>33.908016450114907</v>
      </c>
      <c r="X761" s="98">
        <v>37.700000000000003</v>
      </c>
      <c r="Y761" s="233">
        <v>7</v>
      </c>
      <c r="Z761" s="48">
        <v>2.75</v>
      </c>
      <c r="AA761" s="48">
        <v>2.86</v>
      </c>
      <c r="AB761" s="48">
        <v>2.99</v>
      </c>
      <c r="AC761" s="48">
        <v>0.88990000000000002</v>
      </c>
      <c r="AD761" s="48">
        <v>2.94</v>
      </c>
      <c r="AE761" s="48">
        <v>2.78</v>
      </c>
      <c r="AF761" s="48">
        <f t="shared" si="161"/>
        <v>2.86</v>
      </c>
      <c r="AG761" s="49">
        <v>2.27</v>
      </c>
      <c r="AH761" s="98">
        <v>1.68E-7</v>
      </c>
      <c r="AI761" s="98">
        <v>9.9999999999999995E-8</v>
      </c>
      <c r="AJ761" s="483">
        <f t="shared" si="163"/>
        <v>-5.1632570445867891</v>
      </c>
      <c r="AK761" s="483">
        <f>LOG10(AI761*1000/(0.08206*298.15))</f>
        <v>-5.3885663263126515</v>
      </c>
      <c r="AL761" s="483">
        <f t="shared" si="162"/>
        <v>-5.3885663263126515</v>
      </c>
      <c r="AM761" s="483">
        <v>-11.07649</v>
      </c>
      <c r="AN761" s="226">
        <v>-4.5599999999999996</v>
      </c>
      <c r="AO761" s="484"/>
      <c r="AP761" s="484"/>
      <c r="AQ761" s="226" t="s">
        <v>6314</v>
      </c>
      <c r="AR761" s="226" t="s">
        <v>6314</v>
      </c>
      <c r="AS761" s="224"/>
      <c r="AT761" s="50" t="s">
        <v>266</v>
      </c>
      <c r="AU761" s="48">
        <v>6</v>
      </c>
      <c r="AV761" s="48">
        <v>120</v>
      </c>
      <c r="AW761" s="48">
        <v>114</v>
      </c>
      <c r="AX761" s="48">
        <v>28</v>
      </c>
      <c r="AY761" s="48" t="s">
        <v>8728</v>
      </c>
      <c r="AZ761" s="48" t="s">
        <v>1563</v>
      </c>
      <c r="BA761" s="48">
        <v>32</v>
      </c>
      <c r="BB761" s="47" t="s">
        <v>2485</v>
      </c>
      <c r="BC761" s="47" t="s">
        <v>8726</v>
      </c>
      <c r="BD761" s="47" t="s">
        <v>8374</v>
      </c>
      <c r="BE761" s="48" t="s">
        <v>2449</v>
      </c>
      <c r="BF761" s="48" t="s">
        <v>272</v>
      </c>
      <c r="BG761" s="48" t="s">
        <v>272</v>
      </c>
      <c r="BH761" s="48" t="s">
        <v>2486</v>
      </c>
      <c r="BI761" s="98">
        <v>1.6845439999999998E-3</v>
      </c>
      <c r="BJ761" s="98">
        <v>16.84544</v>
      </c>
      <c r="BK761" s="48"/>
      <c r="BL761" s="487">
        <v>45.84873790408875</v>
      </c>
      <c r="BM761" s="47" t="s">
        <v>2487</v>
      </c>
      <c r="BN761" s="48"/>
      <c r="BO761" s="48"/>
      <c r="BP761" s="48"/>
      <c r="BQ761" s="48"/>
      <c r="BR761" s="47" t="e">
        <v>#VALUE!</v>
      </c>
      <c r="BS761" s="48"/>
      <c r="BT761" s="48"/>
      <c r="BU761" s="228"/>
      <c r="BV761" s="48"/>
      <c r="BW761" s="48"/>
      <c r="BX761" s="48"/>
      <c r="BY761" s="48"/>
      <c r="BZ761" s="48"/>
      <c r="CA761" s="48"/>
      <c r="CB761" s="48"/>
      <c r="CC761" s="48"/>
      <c r="CD761" s="48"/>
      <c r="CE761" s="48"/>
      <c r="CF761" s="48"/>
      <c r="CG761" s="48"/>
      <c r="CH761" s="48"/>
      <c r="CI761" s="98"/>
      <c r="CJ761" s="98"/>
      <c r="CK761" s="49">
        <f t="shared" si="159"/>
        <v>2.721729910532984</v>
      </c>
      <c r="CL761" s="229"/>
      <c r="CM761" s="229"/>
      <c r="CN761" s="229"/>
      <c r="CO761" s="47" t="s">
        <v>2488</v>
      </c>
      <c r="CP761" s="500" t="s">
        <v>2489</v>
      </c>
      <c r="CQ761" s="224">
        <v>0.75466579682406287</v>
      </c>
      <c r="CR761" s="224">
        <f>10^(CJ761-CQ761)</f>
        <v>0.17592769117520954</v>
      </c>
      <c r="CS761" s="230" t="s">
        <v>539</v>
      </c>
      <c r="CT761" s="230"/>
      <c r="CU761" s="230"/>
      <c r="CV761" s="335">
        <f t="shared" si="160"/>
        <v>2.2379943771133317</v>
      </c>
      <c r="CW761" s="230">
        <f t="shared" si="158"/>
        <v>1</v>
      </c>
      <c r="CX761" s="336"/>
      <c r="CY761" s="230" t="s">
        <v>5921</v>
      </c>
    </row>
    <row r="762" spans="1:103" ht="11.25" customHeight="1" x14ac:dyDescent="0.2">
      <c r="A762" s="72">
        <v>1095</v>
      </c>
      <c r="B762" s="224">
        <v>1817</v>
      </c>
      <c r="C762" s="46" t="s">
        <v>7256</v>
      </c>
      <c r="D762" s="46" t="s">
        <v>8603</v>
      </c>
      <c r="E762" s="114"/>
      <c r="F762" s="114" t="s">
        <v>5218</v>
      </c>
      <c r="G762" s="225">
        <v>298022</v>
      </c>
      <c r="H762" s="47" t="s">
        <v>5219</v>
      </c>
      <c r="I762" s="47" t="s">
        <v>5219</v>
      </c>
      <c r="J762" s="47" t="s">
        <v>5220</v>
      </c>
      <c r="K762" s="47" t="s">
        <v>1872</v>
      </c>
      <c r="L762" s="47" t="s">
        <v>617</v>
      </c>
      <c r="M762" s="47" t="s">
        <v>946</v>
      </c>
      <c r="N762" s="47" t="s">
        <v>6376</v>
      </c>
      <c r="O762" s="47" t="s">
        <v>918</v>
      </c>
      <c r="P762" s="53"/>
      <c r="Q762" s="53"/>
      <c r="R762" s="53"/>
      <c r="S762" s="53"/>
      <c r="T762" s="48">
        <v>260.38</v>
      </c>
      <c r="U762" s="98">
        <v>50</v>
      </c>
      <c r="V762" s="98">
        <v>18.87</v>
      </c>
      <c r="W762" s="98">
        <v>124.62570343896854</v>
      </c>
      <c r="X762" s="98">
        <v>50</v>
      </c>
      <c r="Y762" s="233">
        <v>7</v>
      </c>
      <c r="Z762" s="48">
        <v>3.62</v>
      </c>
      <c r="AA762" s="48">
        <v>3.56</v>
      </c>
      <c r="AB762" s="48">
        <v>3.66</v>
      </c>
      <c r="AC762" s="48">
        <v>0.90090000000000003</v>
      </c>
      <c r="AD762" s="48">
        <v>3.66</v>
      </c>
      <c r="AE762" s="48">
        <v>3.67</v>
      </c>
      <c r="AF762" s="48">
        <f t="shared" si="161"/>
        <v>3.56</v>
      </c>
      <c r="AG762" s="49">
        <v>3.63</v>
      </c>
      <c r="AH762" s="98">
        <v>1.5799999999999999E-6</v>
      </c>
      <c r="AI762" s="98">
        <v>4.3699999999999997E-6</v>
      </c>
      <c r="AJ762" s="483">
        <f t="shared" si="163"/>
        <v>-4.1899092393582293</v>
      </c>
      <c r="AK762" s="483">
        <f>LOG10(AI762*1000/(0.08206*298.15))</f>
        <v>-3.7480848893422301</v>
      </c>
      <c r="AL762" s="483">
        <f t="shared" si="162"/>
        <v>-3.7480848893422301</v>
      </c>
      <c r="AM762" s="483">
        <v>-7.8785600000000002</v>
      </c>
      <c r="AN762" s="226">
        <v>-4.43</v>
      </c>
      <c r="AO762" s="484"/>
      <c r="AP762" s="484"/>
      <c r="AQ762" s="226" t="s">
        <v>6314</v>
      </c>
      <c r="AR762" s="226" t="s">
        <v>6314</v>
      </c>
      <c r="AS762" s="224"/>
      <c r="AT762" s="50" t="s">
        <v>266</v>
      </c>
      <c r="AU762" s="48">
        <v>6</v>
      </c>
      <c r="AV762" s="48">
        <v>120</v>
      </c>
      <c r="AW762" s="48">
        <v>114</v>
      </c>
      <c r="AX762" s="48">
        <v>28</v>
      </c>
      <c r="AY762" s="48" t="s">
        <v>8728</v>
      </c>
      <c r="AZ762" s="48" t="s">
        <v>1563</v>
      </c>
      <c r="BA762" s="48">
        <v>32</v>
      </c>
      <c r="BB762" s="47" t="s">
        <v>2485</v>
      </c>
      <c r="BC762" s="47" t="s">
        <v>8726</v>
      </c>
      <c r="BD762" s="47" t="s">
        <v>8374</v>
      </c>
      <c r="BE762" s="48" t="s">
        <v>2449</v>
      </c>
      <c r="BF762" s="48" t="s">
        <v>272</v>
      </c>
      <c r="BG762" s="48" t="s">
        <v>272</v>
      </c>
      <c r="BH762" s="48" t="s">
        <v>2486</v>
      </c>
      <c r="BI762" s="98">
        <v>1.6664319999999998E-3</v>
      </c>
      <c r="BJ762" s="98">
        <v>16.66432</v>
      </c>
      <c r="BK762" s="48"/>
      <c r="BL762" s="487">
        <v>7.5038755483517736</v>
      </c>
      <c r="BM762" s="47" t="s">
        <v>2487</v>
      </c>
      <c r="BN762" s="48"/>
      <c r="BO762" s="48"/>
      <c r="BP762" s="48"/>
      <c r="BQ762" s="48"/>
      <c r="BR762" s="47" t="e">
        <v>#VALUE!</v>
      </c>
      <c r="BS762" s="48"/>
      <c r="BT762" s="48"/>
      <c r="BU762" s="228"/>
      <c r="BV762" s="48"/>
      <c r="BW762" s="48"/>
      <c r="BX762" s="48"/>
      <c r="BY762" s="48"/>
      <c r="BZ762" s="48"/>
      <c r="CA762" s="48"/>
      <c r="CB762" s="48"/>
      <c r="CC762" s="48"/>
      <c r="CD762" s="48"/>
      <c r="CE762" s="48"/>
      <c r="CF762" s="48"/>
      <c r="CG762" s="48"/>
      <c r="CH762" s="48"/>
      <c r="CI762" s="98"/>
      <c r="CJ762" s="98"/>
      <c r="CK762" s="49">
        <f t="shared" si="159"/>
        <v>0.45029593456869371</v>
      </c>
      <c r="CL762" s="229"/>
      <c r="CM762" s="229"/>
      <c r="CN762" s="229"/>
      <c r="CO762" s="47" t="s">
        <v>2488</v>
      </c>
      <c r="CP762" s="500" t="s">
        <v>2489</v>
      </c>
      <c r="CQ762" s="224">
        <v>-2.111974527443516</v>
      </c>
      <c r="CR762" s="224">
        <f>10^(CJ762-CQ762)</f>
        <v>129.41199355582972</v>
      </c>
      <c r="CS762" s="230" t="s">
        <v>539</v>
      </c>
      <c r="CT762" s="230"/>
      <c r="CU762" s="230"/>
      <c r="CV762" s="335">
        <f t="shared" si="160"/>
        <v>3.0004224594822952</v>
      </c>
      <c r="CW762" s="230">
        <f t="shared" si="158"/>
        <v>1</v>
      </c>
      <c r="CX762" s="336"/>
      <c r="CY762" s="230" t="s">
        <v>5921</v>
      </c>
    </row>
    <row r="763" spans="1:103" ht="11.25" customHeight="1" x14ac:dyDescent="0.2">
      <c r="A763" s="72">
        <v>1097</v>
      </c>
      <c r="B763" s="224">
        <v>1633</v>
      </c>
      <c r="C763" s="46" t="s">
        <v>1868</v>
      </c>
      <c r="D763" s="46"/>
      <c r="E763" s="114"/>
      <c r="F763" s="114" t="s">
        <v>1869</v>
      </c>
      <c r="G763" s="225">
        <v>298044</v>
      </c>
      <c r="H763" s="47" t="s">
        <v>1870</v>
      </c>
      <c r="I763" s="47" t="s">
        <v>1870</v>
      </c>
      <c r="J763" s="47" t="s">
        <v>1871</v>
      </c>
      <c r="K763" s="47" t="s">
        <v>1872</v>
      </c>
      <c r="L763" s="47" t="s">
        <v>617</v>
      </c>
      <c r="M763" s="47" t="s">
        <v>618</v>
      </c>
      <c r="N763" s="47" t="s">
        <v>6376</v>
      </c>
      <c r="O763" s="47" t="s">
        <v>1873</v>
      </c>
      <c r="P763" s="53" t="s">
        <v>6178</v>
      </c>
      <c r="Q763" s="53" t="s">
        <v>6173</v>
      </c>
      <c r="R763" s="53" t="s">
        <v>6177</v>
      </c>
      <c r="S763" s="53" t="s">
        <v>6176</v>
      </c>
      <c r="T763" s="48">
        <v>274.41000000000003</v>
      </c>
      <c r="U763" s="98">
        <v>16.3</v>
      </c>
      <c r="V763" s="98">
        <v>6.3639999999999999</v>
      </c>
      <c r="W763" s="98">
        <v>119.78430952502386</v>
      </c>
      <c r="X763" s="98">
        <v>16.3</v>
      </c>
      <c r="Y763" s="233">
        <v>7</v>
      </c>
      <c r="Z763" s="48">
        <v>4.07</v>
      </c>
      <c r="AA763" s="48">
        <v>4.0199999999999996</v>
      </c>
      <c r="AB763" s="48">
        <v>3.91</v>
      </c>
      <c r="AC763" s="48">
        <v>0.8831</v>
      </c>
      <c r="AD763" s="48">
        <v>3.77</v>
      </c>
      <c r="AE763" s="48">
        <v>3.31</v>
      </c>
      <c r="AF763" s="48">
        <f t="shared" si="161"/>
        <v>4.0199999999999996</v>
      </c>
      <c r="AG763" s="49">
        <v>3.66</v>
      </c>
      <c r="AH763" s="98">
        <v>2.0999999999999998E-6</v>
      </c>
      <c r="AI763" s="98">
        <v>2.1600000000000001E-6</v>
      </c>
      <c r="AJ763" s="483">
        <f t="shared" si="163"/>
        <v>-4.0663470315787329</v>
      </c>
      <c r="AK763" s="483">
        <f>LOG10(AI763*1000/(0.08206*298.15))</f>
        <v>-4.0541125751617209</v>
      </c>
      <c r="AL763" s="483">
        <f t="shared" si="162"/>
        <v>-4.0541125751617209</v>
      </c>
      <c r="AM763" s="483">
        <v>-8.0103600000000004</v>
      </c>
      <c r="AN763" s="226">
        <v>-4.3</v>
      </c>
      <c r="AO763" s="484"/>
      <c r="AP763" s="484"/>
      <c r="AQ763" s="226" t="s">
        <v>6312</v>
      </c>
      <c r="AR763" s="226" t="s">
        <v>6312</v>
      </c>
      <c r="AS763" s="224"/>
      <c r="AT763" s="50" t="s">
        <v>266</v>
      </c>
      <c r="AU763" s="48">
        <v>6</v>
      </c>
      <c r="AV763" s="48">
        <v>120</v>
      </c>
      <c r="AW763" s="48">
        <v>114</v>
      </c>
      <c r="AX763" s="48">
        <v>28</v>
      </c>
      <c r="AY763" s="48" t="s">
        <v>8728</v>
      </c>
      <c r="AZ763" s="48" t="s">
        <v>1563</v>
      </c>
      <c r="BA763" s="48">
        <v>32</v>
      </c>
      <c r="BB763" s="47" t="s">
        <v>2485</v>
      </c>
      <c r="BC763" s="47" t="s">
        <v>8726</v>
      </c>
      <c r="BD763" s="47" t="s">
        <v>8374</v>
      </c>
      <c r="BE763" s="48" t="s">
        <v>2449</v>
      </c>
      <c r="BF763" s="48" t="s">
        <v>272</v>
      </c>
      <c r="BG763" s="48" t="s">
        <v>272</v>
      </c>
      <c r="BH763" s="48" t="s">
        <v>2486</v>
      </c>
      <c r="BI763" s="98">
        <v>1.756224E-3</v>
      </c>
      <c r="BJ763" s="98">
        <v>17.562240000000003</v>
      </c>
      <c r="BK763" s="48"/>
      <c r="BL763" s="487">
        <v>3.1184079848180222</v>
      </c>
      <c r="BM763" s="47" t="s">
        <v>2487</v>
      </c>
      <c r="BN763" s="48"/>
      <c r="BO763" s="48"/>
      <c r="BP763" s="48"/>
      <c r="BQ763" s="48"/>
      <c r="BR763" s="47" t="e">
        <v>#VALUE!</v>
      </c>
      <c r="BS763" s="48"/>
      <c r="BT763" s="48"/>
      <c r="BU763" s="228"/>
      <c r="BV763" s="48"/>
      <c r="BW763" s="48"/>
      <c r="BX763" s="48"/>
      <c r="BY763" s="48"/>
      <c r="BZ763" s="48"/>
      <c r="CA763" s="48"/>
      <c r="CB763" s="48"/>
      <c r="CC763" s="48"/>
      <c r="CD763" s="48"/>
      <c r="CE763" s="48"/>
      <c r="CF763" s="48"/>
      <c r="CG763" s="48"/>
      <c r="CH763" s="48"/>
      <c r="CI763" s="98"/>
      <c r="CJ763" s="98"/>
      <c r="CK763" s="49">
        <f t="shared" si="159"/>
        <v>0.17756322569433181</v>
      </c>
      <c r="CL763" s="229"/>
      <c r="CM763" s="229"/>
      <c r="CN763" s="229"/>
      <c r="CO763" s="47" t="s">
        <v>2488</v>
      </c>
      <c r="CP763" s="500" t="s">
        <v>2489</v>
      </c>
      <c r="CQ763" s="224">
        <v>5.301836404376567E-2</v>
      </c>
      <c r="CR763" s="224">
        <f>10^(CJ763-CQ763)</f>
        <v>0.88507818370910474</v>
      </c>
      <c r="CS763" s="230" t="s">
        <v>539</v>
      </c>
      <c r="CT763" s="230"/>
      <c r="CU763" s="230"/>
      <c r="CV763" s="335">
        <f t="shared" si="160"/>
        <v>0.92812761925585796</v>
      </c>
      <c r="CW763" s="230">
        <f t="shared" si="158"/>
        <v>0</v>
      </c>
      <c r="CX763" s="336"/>
      <c r="CY763" s="230" t="s">
        <v>5921</v>
      </c>
    </row>
    <row r="764" spans="1:103" ht="11.25" customHeight="1" x14ac:dyDescent="0.2">
      <c r="A764" s="72">
        <v>1098</v>
      </c>
      <c r="B764" s="224">
        <v>1050</v>
      </c>
      <c r="C764" s="46" t="s">
        <v>1923</v>
      </c>
      <c r="D764" s="46"/>
      <c r="E764" s="114"/>
      <c r="F764" s="114" t="s">
        <v>1924</v>
      </c>
      <c r="G764" s="225">
        <v>298464</v>
      </c>
      <c r="H764" s="47" t="s">
        <v>1925</v>
      </c>
      <c r="I764" s="47" t="s">
        <v>1925</v>
      </c>
      <c r="J764" s="47" t="s">
        <v>1926</v>
      </c>
      <c r="K764" s="47" t="s">
        <v>1292</v>
      </c>
      <c r="L764" s="47" t="s">
        <v>279</v>
      </c>
      <c r="M764" s="47" t="s">
        <v>1927</v>
      </c>
      <c r="N764" s="47" t="s">
        <v>6376</v>
      </c>
      <c r="O764" s="47" t="s">
        <v>281</v>
      </c>
      <c r="P764" s="53"/>
      <c r="Q764" s="53"/>
      <c r="R764" s="53"/>
      <c r="S764" s="53"/>
      <c r="T764" s="48">
        <v>236.27</v>
      </c>
      <c r="U764" s="98">
        <v>112</v>
      </c>
      <c r="V764" s="98">
        <v>17.66</v>
      </c>
      <c r="W764" s="98">
        <v>78.236350072691764</v>
      </c>
      <c r="X764" s="98">
        <v>112</v>
      </c>
      <c r="Y764" s="233">
        <v>7</v>
      </c>
      <c r="Z764" s="48">
        <v>2.25</v>
      </c>
      <c r="AA764" s="48">
        <v>2.4500000000000002</v>
      </c>
      <c r="AB764" s="48">
        <v>2.17</v>
      </c>
      <c r="AC764" s="48">
        <v>0.88529999999999998</v>
      </c>
      <c r="AD764" s="48">
        <v>2.2799999999999998</v>
      </c>
      <c r="AE764" s="48">
        <v>2.67</v>
      </c>
      <c r="AF764" s="48">
        <f t="shared" si="161"/>
        <v>2.4500000000000002</v>
      </c>
      <c r="AG764" s="49">
        <v>2.52</v>
      </c>
      <c r="AH764" s="98">
        <v>1.08E-10</v>
      </c>
      <c r="AI764" s="98"/>
      <c r="AJ764" s="483">
        <f t="shared" si="163"/>
        <v>-8.3551425708257021</v>
      </c>
      <c r="AK764" s="483"/>
      <c r="AL764" s="483">
        <f t="shared" si="162"/>
        <v>-8.3551425708257021</v>
      </c>
      <c r="AM764" s="483">
        <v>-14.371929999999999</v>
      </c>
      <c r="AN764" s="226">
        <v>-9.82</v>
      </c>
      <c r="AO764" s="484">
        <v>13.94</v>
      </c>
      <c r="AP764" s="484">
        <v>-0.49</v>
      </c>
      <c r="AQ764" s="48" t="s">
        <v>6311</v>
      </c>
      <c r="AR764" s="48" t="s">
        <v>6311</v>
      </c>
      <c r="AS764" s="227"/>
      <c r="AT764" s="50" t="s">
        <v>266</v>
      </c>
      <c r="AU764" s="48">
        <v>6</v>
      </c>
      <c r="AV764" s="48">
        <v>120</v>
      </c>
      <c r="AW764" s="48">
        <v>114</v>
      </c>
      <c r="AX764" s="48">
        <v>28</v>
      </c>
      <c r="AY764" s="48" t="s">
        <v>8728</v>
      </c>
      <c r="AZ764" s="48" t="s">
        <v>1563</v>
      </c>
      <c r="BA764" s="48">
        <v>32</v>
      </c>
      <c r="BB764" s="47" t="s">
        <v>2485</v>
      </c>
      <c r="BC764" s="47" t="s">
        <v>8726</v>
      </c>
      <c r="BD764" s="47" t="s">
        <v>8374</v>
      </c>
      <c r="BE764" s="48" t="s">
        <v>2449</v>
      </c>
      <c r="BF764" s="48" t="s">
        <v>272</v>
      </c>
      <c r="BG764" s="48" t="s">
        <v>272</v>
      </c>
      <c r="BH764" s="48" t="s">
        <v>2486</v>
      </c>
      <c r="BI764" s="98">
        <v>1.512128E-3</v>
      </c>
      <c r="BJ764" s="98">
        <v>15.12128</v>
      </c>
      <c r="BK764" s="48"/>
      <c r="BL764" s="487">
        <v>115.74002752106692</v>
      </c>
      <c r="BM764" s="47" t="s">
        <v>2487</v>
      </c>
      <c r="BN764" s="48"/>
      <c r="BO764" s="48"/>
      <c r="BP764" s="48"/>
      <c r="BQ764" s="48"/>
      <c r="BR764" s="47"/>
      <c r="BS764" s="48"/>
      <c r="BT764" s="48"/>
      <c r="BU764" s="228">
        <v>0.15121280000000001</v>
      </c>
      <c r="BV764" s="48"/>
      <c r="BW764" s="48"/>
      <c r="BX764" s="48"/>
      <c r="BY764" s="48"/>
      <c r="BZ764" s="48"/>
      <c r="CA764" s="48"/>
      <c r="CB764" s="48"/>
      <c r="CC764" s="48"/>
      <c r="CD764" s="48"/>
      <c r="CE764" s="48"/>
      <c r="CF764" s="48"/>
      <c r="CG764" s="48"/>
      <c r="CH764" s="48"/>
      <c r="CI764" s="52"/>
      <c r="CJ764" s="98"/>
      <c r="CK764" s="49">
        <f t="shared" si="159"/>
        <v>7.6541157574667569</v>
      </c>
      <c r="CL764" s="229"/>
      <c r="CM764" s="229"/>
      <c r="CN764" s="229"/>
      <c r="CO764" s="47" t="s">
        <v>2488</v>
      </c>
      <c r="CP764" s="500" t="s">
        <v>2489</v>
      </c>
      <c r="CQ764" s="224">
        <v>1.4661607659946467</v>
      </c>
      <c r="CR764" s="224">
        <f>10^(CJ764-CQ764)</f>
        <v>3.4185287288678222E-2</v>
      </c>
      <c r="CS764" s="230" t="s">
        <v>539</v>
      </c>
      <c r="CT764" s="230"/>
      <c r="CU764" s="230"/>
      <c r="CV764" s="335">
        <f t="shared" si="160"/>
        <v>7.4067803783806658</v>
      </c>
      <c r="CW764" s="230">
        <f t="shared" si="158"/>
        <v>1</v>
      </c>
      <c r="CX764" s="336"/>
      <c r="CY764" s="230" t="s">
        <v>5921</v>
      </c>
    </row>
    <row r="765" spans="1:103" ht="11.25" customHeight="1" x14ac:dyDescent="0.2">
      <c r="A765" s="72">
        <v>1099</v>
      </c>
      <c r="B765" s="224">
        <v>1204</v>
      </c>
      <c r="C765" s="46" t="s">
        <v>1323</v>
      </c>
      <c r="D765" s="46"/>
      <c r="E765" s="114"/>
      <c r="F765" s="114" t="s">
        <v>1324</v>
      </c>
      <c r="G765" s="225">
        <v>300765</v>
      </c>
      <c r="H765" s="47" t="s">
        <v>1325</v>
      </c>
      <c r="I765" s="47" t="s">
        <v>8048</v>
      </c>
      <c r="J765" s="47" t="s">
        <v>1326</v>
      </c>
      <c r="K765" s="47" t="s">
        <v>637</v>
      </c>
      <c r="L765" s="47" t="s">
        <v>617</v>
      </c>
      <c r="M765" s="47" t="s">
        <v>946</v>
      </c>
      <c r="N765" s="47" t="s">
        <v>6376</v>
      </c>
      <c r="O765" s="47" t="s">
        <v>918</v>
      </c>
      <c r="P765" s="53"/>
      <c r="Q765" s="53"/>
      <c r="R765" s="53"/>
      <c r="S765" s="53"/>
      <c r="T765" s="48">
        <v>380.78</v>
      </c>
      <c r="U765" s="98">
        <v>1.5</v>
      </c>
      <c r="V765" s="98">
        <v>266.7</v>
      </c>
      <c r="W765" s="98">
        <v>6034.9562982534235</v>
      </c>
      <c r="X765" s="98">
        <v>1.5</v>
      </c>
      <c r="Y765" s="233">
        <v>7</v>
      </c>
      <c r="Z765" s="48">
        <v>1.6</v>
      </c>
      <c r="AA765" s="48">
        <v>1.38</v>
      </c>
      <c r="AB765" s="48">
        <v>2.33</v>
      </c>
      <c r="AC765" s="48">
        <v>0.77559999999999996</v>
      </c>
      <c r="AD765" s="48">
        <v>2.19</v>
      </c>
      <c r="AE765" s="48">
        <v>1.86</v>
      </c>
      <c r="AF765" s="48">
        <f t="shared" si="161"/>
        <v>1.38</v>
      </c>
      <c r="AG765" s="49">
        <v>2.33</v>
      </c>
      <c r="AH765" s="98">
        <v>5.4499999999999998E-10</v>
      </c>
      <c r="AI765" s="98">
        <v>6.5099999999999997E-5</v>
      </c>
      <c r="AJ765" s="483">
        <f t="shared" si="163"/>
        <v>-7.652169824036009</v>
      </c>
      <c r="AK765" s="483">
        <f>LOG10(AI765*1000/(0.08206*298.15))</f>
        <v>-2.5749853377444598</v>
      </c>
      <c r="AL765" s="483">
        <f t="shared" si="162"/>
        <v>-2.5749853377444598</v>
      </c>
      <c r="AM765" s="483">
        <v>-11.466990000000003</v>
      </c>
      <c r="AN765" s="226">
        <v>-5.81</v>
      </c>
      <c r="AO765" s="484"/>
      <c r="AP765" s="484"/>
      <c r="AQ765" s="48" t="s">
        <v>6315</v>
      </c>
      <c r="AR765" s="48" t="s">
        <v>6315</v>
      </c>
      <c r="AS765" s="227"/>
      <c r="AT765" s="50" t="s">
        <v>266</v>
      </c>
      <c r="AU765" s="48">
        <v>6</v>
      </c>
      <c r="AV765" s="48">
        <v>120</v>
      </c>
      <c r="AW765" s="48">
        <v>114</v>
      </c>
      <c r="AX765" s="48">
        <v>28</v>
      </c>
      <c r="AY765" s="48" t="s">
        <v>8728</v>
      </c>
      <c r="AZ765" s="48" t="s">
        <v>1563</v>
      </c>
      <c r="BA765" s="48">
        <v>32</v>
      </c>
      <c r="BB765" s="47" t="s">
        <v>2485</v>
      </c>
      <c r="BC765" s="47" t="s">
        <v>8726</v>
      </c>
      <c r="BD765" s="47" t="s">
        <v>8374</v>
      </c>
      <c r="BE765" s="48" t="s">
        <v>2449</v>
      </c>
      <c r="BF765" s="48" t="s">
        <v>272</v>
      </c>
      <c r="BG765" s="48" t="s">
        <v>272</v>
      </c>
      <c r="BH765" s="48" t="s">
        <v>2486</v>
      </c>
      <c r="BI765" s="98">
        <v>2.4369919999999998E-3</v>
      </c>
      <c r="BJ765" s="98">
        <v>24.36992</v>
      </c>
      <c r="BK765" s="48"/>
      <c r="BL765" s="487">
        <v>715.34266697234352</v>
      </c>
      <c r="BM765" s="47" t="s">
        <v>2487</v>
      </c>
      <c r="BN765" s="48"/>
      <c r="BO765" s="48"/>
      <c r="BP765" s="48"/>
      <c r="BQ765" s="48"/>
      <c r="BR765" s="47" t="e">
        <v>#VALUE!</v>
      </c>
      <c r="BS765" s="48"/>
      <c r="BT765" s="48"/>
      <c r="BU765" s="228">
        <v>2.4369919999999998E-3</v>
      </c>
      <c r="BV765" s="48"/>
      <c r="BW765" s="48"/>
      <c r="BX765" s="48"/>
      <c r="BY765" s="48"/>
      <c r="BZ765" s="48"/>
      <c r="CA765" s="48"/>
      <c r="CB765" s="48"/>
      <c r="CC765" s="48"/>
      <c r="CD765" s="48"/>
      <c r="CE765" s="48"/>
      <c r="CF765" s="48"/>
      <c r="CG765" s="48"/>
      <c r="CH765" s="48"/>
      <c r="CI765" s="98"/>
      <c r="CJ765" s="98"/>
      <c r="CK765" s="49">
        <f t="shared" si="159"/>
        <v>29.353509037877167</v>
      </c>
      <c r="CL765" s="229"/>
      <c r="CM765" s="229">
        <v>-0.68008149402034412</v>
      </c>
      <c r="CN765" s="229">
        <f>BJ765/(10^CM765)</f>
        <v>116.66366011721662</v>
      </c>
      <c r="CO765" s="47" t="s">
        <v>2488</v>
      </c>
      <c r="CP765" s="500" t="s">
        <v>2489</v>
      </c>
      <c r="CQ765" s="224">
        <v>-0.39620478941950016</v>
      </c>
      <c r="CR765" s="224">
        <f>10^(CJ765-CQ765)</f>
        <v>2.4900312034153003</v>
      </c>
      <c r="CS765" s="230" t="s">
        <v>539</v>
      </c>
      <c r="CT765" s="230"/>
      <c r="CU765" s="230"/>
      <c r="CV765" s="335">
        <f t="shared" si="160"/>
        <v>6.1551289458479964E-2</v>
      </c>
      <c r="CW765" s="230">
        <f t="shared" si="158"/>
        <v>0</v>
      </c>
      <c r="CX765" s="336"/>
      <c r="CY765" s="230" t="s">
        <v>5921</v>
      </c>
    </row>
    <row r="766" spans="1:103" ht="11.25" customHeight="1" x14ac:dyDescent="0.2">
      <c r="A766" s="72">
        <v>1100</v>
      </c>
      <c r="B766" s="224">
        <v>1811</v>
      </c>
      <c r="C766" s="46" t="s">
        <v>7257</v>
      </c>
      <c r="D766" s="46"/>
      <c r="E766" s="114"/>
      <c r="F766" s="114" t="s">
        <v>5204</v>
      </c>
      <c r="G766" s="225">
        <v>307244</v>
      </c>
      <c r="H766" s="47" t="s">
        <v>5205</v>
      </c>
      <c r="I766" s="47" t="s">
        <v>5205</v>
      </c>
      <c r="J766" s="47" t="s">
        <v>5206</v>
      </c>
      <c r="K766" s="47" t="s">
        <v>426</v>
      </c>
      <c r="L766" s="47"/>
      <c r="M766" s="47"/>
      <c r="N766" s="47"/>
      <c r="O766" s="47"/>
      <c r="P766" s="53"/>
      <c r="Q766" s="53"/>
      <c r="R766" s="53"/>
      <c r="S766" s="53"/>
      <c r="T766" s="48">
        <v>314.05</v>
      </c>
      <c r="U766" s="98"/>
      <c r="V766" s="98">
        <v>27.12</v>
      </c>
      <c r="W766" s="98">
        <v>2074.9077734678544</v>
      </c>
      <c r="X766" s="98">
        <v>2074.9077734678544</v>
      </c>
      <c r="Y766" s="233">
        <v>2.19</v>
      </c>
      <c r="Z766" s="48">
        <v>3.48</v>
      </c>
      <c r="AA766" s="48"/>
      <c r="AB766" s="48">
        <v>2.74</v>
      </c>
      <c r="AC766" s="48">
        <v>0.61539999999999995</v>
      </c>
      <c r="AD766" s="48">
        <v>3.9</v>
      </c>
      <c r="AE766" s="48">
        <v>5.97</v>
      </c>
      <c r="AF766" s="48">
        <f t="shared" si="161"/>
        <v>3.9</v>
      </c>
      <c r="AG766" s="49">
        <v>2.73</v>
      </c>
      <c r="AH766" s="98">
        <v>3.29E-3</v>
      </c>
      <c r="AI766" s="98"/>
      <c r="AJ766" s="483">
        <f t="shared" si="163"/>
        <v>-0.87137042836267753</v>
      </c>
      <c r="AK766" s="483"/>
      <c r="AL766" s="483">
        <f t="shared" si="162"/>
        <v>-0.87137042836267753</v>
      </c>
      <c r="AM766" s="483">
        <v>-3.2651399999999997</v>
      </c>
      <c r="AN766" s="226">
        <v>-5.67</v>
      </c>
      <c r="AO766" s="484">
        <v>0.42</v>
      </c>
      <c r="AP766" s="484"/>
      <c r="AQ766" s="226" t="s">
        <v>6311</v>
      </c>
      <c r="AR766" s="226" t="s">
        <v>6311</v>
      </c>
      <c r="AS766" s="224"/>
      <c r="AT766" s="50" t="s">
        <v>266</v>
      </c>
      <c r="AU766" s="48">
        <v>6</v>
      </c>
      <c r="AV766" s="48">
        <v>120</v>
      </c>
      <c r="AW766" s="48">
        <v>114</v>
      </c>
      <c r="AX766" s="48">
        <v>28</v>
      </c>
      <c r="AY766" s="48" t="s">
        <v>8728</v>
      </c>
      <c r="AZ766" s="48" t="s">
        <v>1563</v>
      </c>
      <c r="BA766" s="48">
        <v>32</v>
      </c>
      <c r="BB766" s="47" t="s">
        <v>2485</v>
      </c>
      <c r="BC766" s="47" t="s">
        <v>8726</v>
      </c>
      <c r="BD766" s="47" t="s">
        <v>8374</v>
      </c>
      <c r="BE766" s="48" t="s">
        <v>2449</v>
      </c>
      <c r="BF766" s="48" t="s">
        <v>272</v>
      </c>
      <c r="BG766" s="48" t="s">
        <v>272</v>
      </c>
      <c r="BH766" s="48" t="s">
        <v>2486</v>
      </c>
      <c r="BI766" s="98">
        <v>2.0099200000000001E-3</v>
      </c>
      <c r="BJ766" s="98">
        <v>20.0992</v>
      </c>
      <c r="BK766" s="48"/>
      <c r="BL766" s="487">
        <v>12.089568427895228</v>
      </c>
      <c r="BM766" s="47" t="s">
        <v>2487</v>
      </c>
      <c r="BN766" s="48"/>
      <c r="BO766" s="48"/>
      <c r="BP766" s="48"/>
      <c r="BQ766" s="48"/>
      <c r="BR766" s="47" t="e">
        <v>#VALUE!</v>
      </c>
      <c r="BS766" s="48"/>
      <c r="BT766" s="48"/>
      <c r="BU766" s="228"/>
      <c r="BV766" s="48"/>
      <c r="BW766" s="48"/>
      <c r="BX766" s="48"/>
      <c r="BY766" s="48"/>
      <c r="BZ766" s="48"/>
      <c r="CA766" s="48"/>
      <c r="CB766" s="48"/>
      <c r="CC766" s="48"/>
      <c r="CD766" s="48"/>
      <c r="CE766" s="48"/>
      <c r="CF766" s="48"/>
      <c r="CG766" s="48"/>
      <c r="CH766" s="48"/>
      <c r="CI766" s="98"/>
      <c r="CJ766" s="98"/>
      <c r="CK766" s="49">
        <f t="shared" si="159"/>
        <v>0.60149500616418705</v>
      </c>
      <c r="CL766" s="229"/>
      <c r="CM766" s="229"/>
      <c r="CN766" s="229"/>
      <c r="CO766" s="47" t="s">
        <v>2488</v>
      </c>
      <c r="CP766" s="500" t="s">
        <v>2489</v>
      </c>
      <c r="CQ766" s="224" t="s">
        <v>272</v>
      </c>
      <c r="CR766" s="224"/>
      <c r="CS766" s="230" t="s">
        <v>539</v>
      </c>
      <c r="CT766" s="230"/>
      <c r="CU766" s="230"/>
      <c r="CV766" s="335">
        <f t="shared" si="160"/>
        <v>103.23335125118683</v>
      </c>
      <c r="CW766" s="230">
        <f t="shared" si="158"/>
        <v>1</v>
      </c>
      <c r="CX766" s="336"/>
      <c r="CY766" s="230" t="s">
        <v>5921</v>
      </c>
    </row>
    <row r="767" spans="1:103" ht="11.25" customHeight="1" x14ac:dyDescent="0.2">
      <c r="A767" s="72">
        <v>1102</v>
      </c>
      <c r="B767" s="224">
        <v>1532</v>
      </c>
      <c r="C767" s="46" t="s">
        <v>7258</v>
      </c>
      <c r="D767" s="46" t="s">
        <v>8604</v>
      </c>
      <c r="E767" s="114"/>
      <c r="F767" s="114" t="s">
        <v>3742</v>
      </c>
      <c r="G767" s="225">
        <v>314409</v>
      </c>
      <c r="H767" s="47" t="s">
        <v>3743</v>
      </c>
      <c r="I767" s="47" t="s">
        <v>3743</v>
      </c>
      <c r="J767" s="47" t="s">
        <v>3744</v>
      </c>
      <c r="K767" s="47" t="s">
        <v>3745</v>
      </c>
      <c r="L767" s="47" t="s">
        <v>5997</v>
      </c>
      <c r="M767" s="47" t="s">
        <v>6082</v>
      </c>
      <c r="N767" s="47" t="s">
        <v>6082</v>
      </c>
      <c r="O767" s="47" t="s">
        <v>6083</v>
      </c>
      <c r="P767" s="53"/>
      <c r="Q767" s="53" t="s">
        <v>6173</v>
      </c>
      <c r="R767" s="53" t="s">
        <v>6175</v>
      </c>
      <c r="S767" s="53" t="s">
        <v>6176</v>
      </c>
      <c r="T767" s="48">
        <v>261.12</v>
      </c>
      <c r="U767" s="98">
        <v>815</v>
      </c>
      <c r="V767" s="98">
        <v>323.60000000000002</v>
      </c>
      <c r="W767" s="98">
        <v>157.34035911573611</v>
      </c>
      <c r="X767" s="98">
        <v>815</v>
      </c>
      <c r="Y767" s="233">
        <v>6</v>
      </c>
      <c r="Z767" s="48">
        <v>1.68</v>
      </c>
      <c r="AA767" s="48">
        <v>2.11</v>
      </c>
      <c r="AB767" s="48">
        <v>1.81</v>
      </c>
      <c r="AC767" s="48">
        <v>0.80840000000000001</v>
      </c>
      <c r="AD767" s="48">
        <v>1.89</v>
      </c>
      <c r="AE767" s="48">
        <v>2.1</v>
      </c>
      <c r="AF767" s="48">
        <f t="shared" si="161"/>
        <v>2.11</v>
      </c>
      <c r="AG767" s="49">
        <v>2.33</v>
      </c>
      <c r="AH767" s="98">
        <v>1.3900000000000001E-10</v>
      </c>
      <c r="AI767" s="98">
        <v>1.2899999999999999E-10</v>
      </c>
      <c r="AJ767" s="483">
        <f t="shared" si="163"/>
        <v>-8.2455515260585575</v>
      </c>
      <c r="AK767" s="483">
        <f t="shared" ref="AK767:AK772" si="165">LOG10(AI767*1000/(0.08206*298.15))</f>
        <v>-8.2779766160134027</v>
      </c>
      <c r="AL767" s="483">
        <f t="shared" si="162"/>
        <v>-8.2779766160134027</v>
      </c>
      <c r="AM767" s="483">
        <v>-11.272410000000001</v>
      </c>
      <c r="AN767" s="226">
        <v>-7.65</v>
      </c>
      <c r="AO767" s="484">
        <v>8.7899999999999991</v>
      </c>
      <c r="AP767" s="484">
        <v>-3.73</v>
      </c>
      <c r="AQ767" s="48" t="s">
        <v>6311</v>
      </c>
      <c r="AR767" s="48" t="s">
        <v>6311</v>
      </c>
      <c r="AS767" s="227"/>
      <c r="AT767" s="50" t="s">
        <v>266</v>
      </c>
      <c r="AU767" s="48">
        <v>6</v>
      </c>
      <c r="AV767" s="48">
        <v>120</v>
      </c>
      <c r="AW767" s="48">
        <v>114</v>
      </c>
      <c r="AX767" s="48">
        <v>28</v>
      </c>
      <c r="AY767" s="48" t="s">
        <v>8728</v>
      </c>
      <c r="AZ767" s="48" t="s">
        <v>1563</v>
      </c>
      <c r="BA767" s="48">
        <v>32</v>
      </c>
      <c r="BB767" s="47" t="s">
        <v>2485</v>
      </c>
      <c r="BC767" s="47" t="s">
        <v>8726</v>
      </c>
      <c r="BD767" s="47" t="s">
        <v>8374</v>
      </c>
      <c r="BE767" s="48" t="s">
        <v>2449</v>
      </c>
      <c r="BF767" s="48" t="s">
        <v>272</v>
      </c>
      <c r="BG767" s="48" t="s">
        <v>272</v>
      </c>
      <c r="BH767" s="48" t="s">
        <v>2486</v>
      </c>
      <c r="BI767" s="98">
        <v>1.671168E-3</v>
      </c>
      <c r="BJ767" s="98">
        <v>16.711680000000001</v>
      </c>
      <c r="BK767" s="48"/>
      <c r="BL767" s="487">
        <v>415.74988434117608</v>
      </c>
      <c r="BM767" s="47" t="s">
        <v>2487</v>
      </c>
      <c r="BN767" s="48"/>
      <c r="BO767" s="48"/>
      <c r="BP767" s="48"/>
      <c r="BQ767" s="48"/>
      <c r="BR767" s="47" t="e">
        <v>#VALUE!</v>
      </c>
      <c r="BS767" s="48"/>
      <c r="BT767" s="48"/>
      <c r="BU767" s="228"/>
      <c r="BV767" s="48"/>
      <c r="BW767" s="48"/>
      <c r="BX767" s="48"/>
      <c r="BY767" s="48"/>
      <c r="BZ767" s="48"/>
      <c r="CA767" s="48"/>
      <c r="CB767" s="48"/>
      <c r="CC767" s="48"/>
      <c r="CD767" s="48"/>
      <c r="CE767" s="48"/>
      <c r="CF767" s="48"/>
      <c r="CG767" s="48"/>
      <c r="CH767" s="48"/>
      <c r="CI767" s="98"/>
      <c r="CJ767" s="98"/>
      <c r="CK767" s="49">
        <f t="shared" si="159"/>
        <v>24.877803089885401</v>
      </c>
      <c r="CL767" s="229"/>
      <c r="CM767" s="229"/>
      <c r="CN767" s="229"/>
      <c r="CO767" s="47" t="s">
        <v>2488</v>
      </c>
      <c r="CP767" s="500" t="s">
        <v>2489</v>
      </c>
      <c r="CQ767" s="224">
        <v>1.9757593167087526</v>
      </c>
      <c r="CR767" s="224">
        <f>10^(CJ767-CQ767)</f>
        <v>1.0574033532017463E-2</v>
      </c>
      <c r="CS767" s="230" t="s">
        <v>539</v>
      </c>
      <c r="CT767" s="230"/>
      <c r="CU767" s="230"/>
      <c r="CV767" s="335">
        <f t="shared" si="160"/>
        <v>48.768286611519606</v>
      </c>
      <c r="CW767" s="230">
        <f t="shared" si="158"/>
        <v>1</v>
      </c>
      <c r="CX767" s="336"/>
      <c r="CY767" s="230" t="s">
        <v>5921</v>
      </c>
    </row>
    <row r="768" spans="1:103" ht="11.25" customHeight="1" x14ac:dyDescent="0.2">
      <c r="A768" s="72">
        <v>1103</v>
      </c>
      <c r="B768" s="224">
        <v>1524</v>
      </c>
      <c r="C768" s="46" t="s">
        <v>7259</v>
      </c>
      <c r="D768" s="46"/>
      <c r="E768" s="114"/>
      <c r="F768" s="114" t="s">
        <v>4624</v>
      </c>
      <c r="G768" s="225">
        <v>319857</v>
      </c>
      <c r="H768" s="47" t="s">
        <v>1284</v>
      </c>
      <c r="I768" s="47" t="s">
        <v>7983</v>
      </c>
      <c r="J768" s="47" t="s">
        <v>4625</v>
      </c>
      <c r="K768" s="47" t="s">
        <v>426</v>
      </c>
      <c r="L768" s="51" t="s">
        <v>6153</v>
      </c>
      <c r="M768" s="47" t="s">
        <v>6154</v>
      </c>
      <c r="N768" s="47"/>
      <c r="O768" s="47" t="s">
        <v>1287</v>
      </c>
      <c r="P768" s="53" t="s">
        <v>6183</v>
      </c>
      <c r="Q768" s="53" t="s">
        <v>6176</v>
      </c>
      <c r="R768" s="53" t="s">
        <v>6181</v>
      </c>
      <c r="S768" s="53" t="s">
        <v>6173</v>
      </c>
      <c r="T768" s="48">
        <v>290.83</v>
      </c>
      <c r="U768" s="98">
        <v>8</v>
      </c>
      <c r="V768" s="98">
        <v>4.0439999999999996</v>
      </c>
      <c r="W768" s="98">
        <v>6.2178351448993316</v>
      </c>
      <c r="X768" s="98">
        <v>8</v>
      </c>
      <c r="Y768" s="233">
        <v>7</v>
      </c>
      <c r="Z768" s="48">
        <v>4.26</v>
      </c>
      <c r="AA768" s="48">
        <v>4.1399999999999997</v>
      </c>
      <c r="AB768" s="48">
        <v>3.79</v>
      </c>
      <c r="AC768" s="48">
        <v>0.93030000000000002</v>
      </c>
      <c r="AD768" s="48">
        <v>3.82</v>
      </c>
      <c r="AE768" s="48">
        <v>3.99</v>
      </c>
      <c r="AF768" s="48">
        <f t="shared" si="161"/>
        <v>4.1399999999999997</v>
      </c>
      <c r="AG768" s="49">
        <v>3.92</v>
      </c>
      <c r="AH768" s="98">
        <v>2.5599999999999999E-4</v>
      </c>
      <c r="AI768" s="98">
        <v>5.1399999999999999E-6</v>
      </c>
      <c r="AJ768" s="483">
        <f t="shared" si="163"/>
        <v>-1.9803263610008022</v>
      </c>
      <c r="AK768" s="483">
        <f t="shared" si="165"/>
        <v>-3.6776032073173761</v>
      </c>
      <c r="AL768" s="483">
        <f t="shared" si="162"/>
        <v>-3.6776032073173761</v>
      </c>
      <c r="AM768" s="483">
        <v>-6.2972599999999996</v>
      </c>
      <c r="AN768" s="226">
        <v>-3.77</v>
      </c>
      <c r="AO768" s="484"/>
      <c r="AP768" s="484"/>
      <c r="AQ768" s="48" t="s">
        <v>6311</v>
      </c>
      <c r="AR768" s="48" t="s">
        <v>6312</v>
      </c>
      <c r="AS768" s="227"/>
      <c r="AT768" s="50" t="s">
        <v>266</v>
      </c>
      <c r="AU768" s="48">
        <v>6</v>
      </c>
      <c r="AV768" s="48">
        <v>120</v>
      </c>
      <c r="AW768" s="48">
        <v>114</v>
      </c>
      <c r="AX768" s="48">
        <v>28</v>
      </c>
      <c r="AY768" s="48" t="s">
        <v>8728</v>
      </c>
      <c r="AZ768" s="48" t="s">
        <v>1563</v>
      </c>
      <c r="BA768" s="48">
        <v>32</v>
      </c>
      <c r="BB768" s="47" t="s">
        <v>2485</v>
      </c>
      <c r="BC768" s="47" t="s">
        <v>8726</v>
      </c>
      <c r="BD768" s="47" t="s">
        <v>8374</v>
      </c>
      <c r="BE768" s="48" t="s">
        <v>2449</v>
      </c>
      <c r="BF768" s="48" t="s">
        <v>272</v>
      </c>
      <c r="BG768" s="48" t="s">
        <v>272</v>
      </c>
      <c r="BH768" s="48" t="s">
        <v>2486</v>
      </c>
      <c r="BI768" s="98">
        <v>1.8613119999999997E-3</v>
      </c>
      <c r="BJ768" s="98">
        <v>18.613119999999999</v>
      </c>
      <c r="BK768" s="48"/>
      <c r="BL768" s="487">
        <v>2.231172781737881</v>
      </c>
      <c r="BM768" s="47" t="s">
        <v>2487</v>
      </c>
      <c r="BN768" s="48"/>
      <c r="BO768" s="48"/>
      <c r="BP768" s="48"/>
      <c r="BQ768" s="48"/>
      <c r="BR768" s="47" t="e">
        <v>#VALUE!</v>
      </c>
      <c r="BS768" s="48"/>
      <c r="BT768" s="48"/>
      <c r="BU768" s="228"/>
      <c r="BV768" s="48"/>
      <c r="BW768" s="48"/>
      <c r="BX768" s="48"/>
      <c r="BY768" s="48"/>
      <c r="BZ768" s="48"/>
      <c r="CA768" s="48"/>
      <c r="CB768" s="48"/>
      <c r="CC768" s="48"/>
      <c r="CD768" s="48"/>
      <c r="CE768" s="48"/>
      <c r="CF768" s="48"/>
      <c r="CG768" s="48"/>
      <c r="CH768" s="48"/>
      <c r="CI768" s="98"/>
      <c r="CJ768" s="98"/>
      <c r="CK768" s="49">
        <f t="shared" si="159"/>
        <v>0.11987097175206957</v>
      </c>
      <c r="CL768" s="229"/>
      <c r="CM768" s="229"/>
      <c r="CN768" s="229"/>
      <c r="CO768" s="47" t="s">
        <v>2488</v>
      </c>
      <c r="CP768" s="500" t="s">
        <v>2489</v>
      </c>
      <c r="CQ768" s="224">
        <v>0.18184358794477254</v>
      </c>
      <c r="CR768" s="224">
        <f>10^(CJ768-CQ768)</f>
        <v>0.65789473684210531</v>
      </c>
      <c r="CS768" s="230" t="s">
        <v>539</v>
      </c>
      <c r="CT768" s="230"/>
      <c r="CU768" s="230"/>
      <c r="CV768" s="335">
        <f t="shared" si="160"/>
        <v>0.4298043530584878</v>
      </c>
      <c r="CW768" s="230">
        <f t="shared" si="158"/>
        <v>0</v>
      </c>
      <c r="CX768" s="336"/>
      <c r="CY768" s="230" t="s">
        <v>5921</v>
      </c>
    </row>
    <row r="769" spans="1:103" ht="11.25" customHeight="1" x14ac:dyDescent="0.2">
      <c r="A769" s="72">
        <v>1105</v>
      </c>
      <c r="B769" s="224">
        <v>1635</v>
      </c>
      <c r="C769" s="46" t="s">
        <v>3837</v>
      </c>
      <c r="D769" s="46" t="s">
        <v>8605</v>
      </c>
      <c r="E769" s="114"/>
      <c r="F769" s="114" t="s">
        <v>3838</v>
      </c>
      <c r="G769" s="225">
        <v>330541</v>
      </c>
      <c r="H769" s="47" t="s">
        <v>3839</v>
      </c>
      <c r="I769" s="47" t="s">
        <v>8049</v>
      </c>
      <c r="J769" s="47" t="s">
        <v>3840</v>
      </c>
      <c r="K769" s="47" t="s">
        <v>1292</v>
      </c>
      <c r="L769" s="47" t="s">
        <v>6095</v>
      </c>
      <c r="M769" s="47" t="s">
        <v>3841</v>
      </c>
      <c r="N769" s="47" t="s">
        <v>6385</v>
      </c>
      <c r="O769" s="47" t="s">
        <v>3842</v>
      </c>
      <c r="P769" s="53"/>
      <c r="Q769" s="53" t="s">
        <v>6173</v>
      </c>
      <c r="R769" s="53" t="s">
        <v>6185</v>
      </c>
      <c r="S769" s="53" t="s">
        <v>6176</v>
      </c>
      <c r="T769" s="48">
        <v>233.09</v>
      </c>
      <c r="U769" s="98">
        <v>42</v>
      </c>
      <c r="V769" s="98">
        <v>150.6</v>
      </c>
      <c r="W769" s="98">
        <v>48.699403514076785</v>
      </c>
      <c r="X769" s="98">
        <v>42</v>
      </c>
      <c r="Y769" s="233">
        <v>6.99</v>
      </c>
      <c r="Z769" s="48">
        <v>2.67</v>
      </c>
      <c r="AA769" s="48">
        <v>2.68</v>
      </c>
      <c r="AB769" s="48">
        <v>2.73</v>
      </c>
      <c r="AC769" s="48">
        <v>0.87980000000000003</v>
      </c>
      <c r="AD769" s="48">
        <v>2.75</v>
      </c>
      <c r="AE769" s="48">
        <v>2.78</v>
      </c>
      <c r="AF769" s="48">
        <f t="shared" si="161"/>
        <v>2.68</v>
      </c>
      <c r="AG769" s="49">
        <v>2.54</v>
      </c>
      <c r="AH769" s="98">
        <v>5.3300000000000002E-10</v>
      </c>
      <c r="AI769" s="98">
        <v>5.0400000000000002E-10</v>
      </c>
      <c r="AJ769" s="483">
        <f t="shared" si="163"/>
        <v>-7.6618391172860791</v>
      </c>
      <c r="AK769" s="483">
        <f t="shared" si="165"/>
        <v>-7.6861357898671265</v>
      </c>
      <c r="AL769" s="483">
        <f t="shared" si="162"/>
        <v>-7.6861357898671265</v>
      </c>
      <c r="AM769" s="483">
        <v>-11.529409999999999</v>
      </c>
      <c r="AN769" s="226">
        <v>-8.02</v>
      </c>
      <c r="AO769" s="484">
        <v>13.55</v>
      </c>
      <c r="AP769" s="484">
        <v>-1.0900000000000001</v>
      </c>
      <c r="AQ769" s="226" t="s">
        <v>6311</v>
      </c>
      <c r="AR769" s="226" t="s">
        <v>6311</v>
      </c>
      <c r="AS769" s="224"/>
      <c r="AT769" s="50" t="s">
        <v>266</v>
      </c>
      <c r="AU769" s="48">
        <v>6</v>
      </c>
      <c r="AV769" s="48">
        <v>120</v>
      </c>
      <c r="AW769" s="48">
        <v>114</v>
      </c>
      <c r="AX769" s="48">
        <v>28</v>
      </c>
      <c r="AY769" s="48" t="s">
        <v>8728</v>
      </c>
      <c r="AZ769" s="48" t="s">
        <v>1563</v>
      </c>
      <c r="BA769" s="48">
        <v>32</v>
      </c>
      <c r="BB769" s="47" t="s">
        <v>2485</v>
      </c>
      <c r="BC769" s="47" t="s">
        <v>8726</v>
      </c>
      <c r="BD769" s="47" t="s">
        <v>8374</v>
      </c>
      <c r="BE769" s="48" t="s">
        <v>2449</v>
      </c>
      <c r="BF769" s="48" t="s">
        <v>272</v>
      </c>
      <c r="BG769" s="48" t="s">
        <v>272</v>
      </c>
      <c r="BH769" s="48" t="s">
        <v>2486</v>
      </c>
      <c r="BI769" s="98">
        <v>1.491776E-3</v>
      </c>
      <c r="BJ769" s="98">
        <v>14.917760000000001</v>
      </c>
      <c r="BK769" s="48"/>
      <c r="BL769" s="487">
        <v>47.906742565625287</v>
      </c>
      <c r="BM769" s="47" t="s">
        <v>2487</v>
      </c>
      <c r="BN769" s="48"/>
      <c r="BO769" s="48"/>
      <c r="BP769" s="48"/>
      <c r="BQ769" s="48"/>
      <c r="BR769" s="47" t="e">
        <v>#VALUE!</v>
      </c>
      <c r="BS769" s="48"/>
      <c r="BT769" s="48"/>
      <c r="BU769" s="228"/>
      <c r="BV769" s="48"/>
      <c r="BW769" s="48"/>
      <c r="BX769" s="48"/>
      <c r="BY769" s="48"/>
      <c r="BZ769" s="48"/>
      <c r="CA769" s="48"/>
      <c r="CB769" s="48"/>
      <c r="CC769" s="48"/>
      <c r="CD769" s="48"/>
      <c r="CE769" s="48"/>
      <c r="CF769" s="48"/>
      <c r="CG769" s="48"/>
      <c r="CH769" s="48"/>
      <c r="CI769" s="98"/>
      <c r="CJ769" s="98"/>
      <c r="CK769" s="49">
        <f t="shared" si="159"/>
        <v>3.2113898176150628</v>
      </c>
      <c r="CL769" s="229"/>
      <c r="CM769" s="229"/>
      <c r="CN769" s="229"/>
      <c r="CO769" s="47" t="s">
        <v>2488</v>
      </c>
      <c r="CP769" s="500" t="s">
        <v>2489</v>
      </c>
      <c r="CQ769" s="224">
        <v>0.90647193204310661</v>
      </c>
      <c r="CR769" s="224">
        <f>10^(CJ769-CQ769)</f>
        <v>0.12403037819470435</v>
      </c>
      <c r="CS769" s="230" t="s">
        <v>539</v>
      </c>
      <c r="CT769" s="230"/>
      <c r="CU769" s="230"/>
      <c r="CV769" s="335">
        <f t="shared" si="160"/>
        <v>2.8154360976446862</v>
      </c>
      <c r="CW769" s="230">
        <f t="shared" si="158"/>
        <v>1</v>
      </c>
      <c r="CX769" s="336"/>
      <c r="CY769" s="230" t="s">
        <v>6351</v>
      </c>
    </row>
    <row r="770" spans="1:103" ht="11.25" customHeight="1" x14ac:dyDescent="0.2">
      <c r="A770" s="72">
        <v>1106</v>
      </c>
      <c r="B770" s="224">
        <v>1721</v>
      </c>
      <c r="C770" s="46" t="s">
        <v>1288</v>
      </c>
      <c r="D770" s="46"/>
      <c r="E770" s="114"/>
      <c r="F770" s="114" t="s">
        <v>1289</v>
      </c>
      <c r="G770" s="225">
        <v>330552</v>
      </c>
      <c r="H770" s="47" t="s">
        <v>1290</v>
      </c>
      <c r="I770" s="47" t="s">
        <v>8050</v>
      </c>
      <c r="J770" s="47" t="s">
        <v>1291</v>
      </c>
      <c r="K770" s="47" t="s">
        <v>1292</v>
      </c>
      <c r="L770" s="47" t="s">
        <v>5997</v>
      </c>
      <c r="M770" s="47" t="s">
        <v>6082</v>
      </c>
      <c r="N770" s="47" t="s">
        <v>6082</v>
      </c>
      <c r="O770" s="47" t="s">
        <v>6083</v>
      </c>
      <c r="P770" s="53"/>
      <c r="Q770" s="53"/>
      <c r="R770" s="53"/>
      <c r="S770" s="53"/>
      <c r="T770" s="48">
        <v>249.09</v>
      </c>
      <c r="U770" s="98">
        <v>75</v>
      </c>
      <c r="V770" s="98">
        <v>44.27</v>
      </c>
      <c r="W770" s="98">
        <v>36.004459249510283</v>
      </c>
      <c r="X770" s="98">
        <v>75</v>
      </c>
      <c r="Y770" s="233">
        <v>7</v>
      </c>
      <c r="Z770" s="48">
        <v>2.91</v>
      </c>
      <c r="AA770" s="48">
        <v>3.2</v>
      </c>
      <c r="AB770" s="48">
        <v>3.06</v>
      </c>
      <c r="AC770" s="48">
        <v>0.93340000000000001</v>
      </c>
      <c r="AD770" s="48">
        <v>3.08</v>
      </c>
      <c r="AE770" s="48">
        <v>3.2</v>
      </c>
      <c r="AF770" s="48">
        <f t="shared" si="161"/>
        <v>3.2</v>
      </c>
      <c r="AG770" s="49">
        <v>2.21</v>
      </c>
      <c r="AH770" s="98">
        <v>1.15E-8</v>
      </c>
      <c r="AI770" s="98">
        <v>6.2499999999999997E-9</v>
      </c>
      <c r="AJ770" s="483">
        <f t="shared" si="163"/>
        <v>-6.3278684859590397</v>
      </c>
      <c r="AK770" s="483">
        <f t="shared" si="165"/>
        <v>-6.5926863089685765</v>
      </c>
      <c r="AL770" s="483">
        <f t="shared" si="162"/>
        <v>-6.5926863089685765</v>
      </c>
      <c r="AM770" s="483">
        <v>-13.093050000000002</v>
      </c>
      <c r="AN770" s="226">
        <v>-6.84</v>
      </c>
      <c r="AO770" s="484">
        <v>12.13</v>
      </c>
      <c r="AP770" s="484">
        <v>-1.05</v>
      </c>
      <c r="AQ770" s="226" t="s">
        <v>6311</v>
      </c>
      <c r="AR770" s="226" t="s">
        <v>6311</v>
      </c>
      <c r="AS770" s="224"/>
      <c r="AT770" s="50" t="s">
        <v>266</v>
      </c>
      <c r="AU770" s="48">
        <v>6</v>
      </c>
      <c r="AV770" s="48">
        <v>120</v>
      </c>
      <c r="AW770" s="48">
        <v>114</v>
      </c>
      <c r="AX770" s="48">
        <v>28</v>
      </c>
      <c r="AY770" s="48" t="s">
        <v>8728</v>
      </c>
      <c r="AZ770" s="48" t="s">
        <v>1563</v>
      </c>
      <c r="BA770" s="48">
        <v>32</v>
      </c>
      <c r="BB770" s="47" t="s">
        <v>2485</v>
      </c>
      <c r="BC770" s="47" t="s">
        <v>8726</v>
      </c>
      <c r="BD770" s="47" t="s">
        <v>8374</v>
      </c>
      <c r="BE770" s="48" t="s">
        <v>2449</v>
      </c>
      <c r="BF770" s="48" t="s">
        <v>272</v>
      </c>
      <c r="BG770" s="48" t="s">
        <v>272</v>
      </c>
      <c r="BH770" s="48" t="s">
        <v>2486</v>
      </c>
      <c r="BI770" s="98">
        <v>1.5941759999999999E-3</v>
      </c>
      <c r="BJ770" s="98">
        <v>15.94176</v>
      </c>
      <c r="BK770" s="48"/>
      <c r="BL770" s="487">
        <v>31.166303291553405</v>
      </c>
      <c r="BM770" s="47" t="s">
        <v>2487</v>
      </c>
      <c r="BN770" s="48"/>
      <c r="BO770" s="48"/>
      <c r="BP770" s="48"/>
      <c r="BQ770" s="48"/>
      <c r="BR770" s="47" t="e">
        <v>#VALUE!</v>
      </c>
      <c r="BS770" s="48"/>
      <c r="BT770" s="48"/>
      <c r="BU770" s="228"/>
      <c r="BV770" s="48"/>
      <c r="BW770" s="48"/>
      <c r="BX770" s="48"/>
      <c r="BY770" s="48"/>
      <c r="BZ770" s="48"/>
      <c r="CA770" s="48"/>
      <c r="CB770" s="48"/>
      <c r="CC770" s="48"/>
      <c r="CD770" s="48"/>
      <c r="CE770" s="48"/>
      <c r="CF770" s="48"/>
      <c r="CG770" s="48"/>
      <c r="CH770" s="48"/>
      <c r="CI770" s="98"/>
      <c r="CJ770" s="98"/>
      <c r="CK770" s="49">
        <f t="shared" si="159"/>
        <v>1.9550101928239669</v>
      </c>
      <c r="CL770" s="229"/>
      <c r="CM770" s="229">
        <v>0.73135249861393092</v>
      </c>
      <c r="CN770" s="229">
        <f>BJ770/(10^CM770)</f>
        <v>2.9592643891967385</v>
      </c>
      <c r="CO770" s="47" t="s">
        <v>2488</v>
      </c>
      <c r="CP770" s="500" t="s">
        <v>2489</v>
      </c>
      <c r="CQ770" s="224">
        <v>0.89160526179492461</v>
      </c>
      <c r="CR770" s="224">
        <f>10^(CJ770-CQ770)</f>
        <v>0.12834966462457589</v>
      </c>
      <c r="CS770" s="230" t="s">
        <v>539</v>
      </c>
      <c r="CT770" s="230"/>
      <c r="CU770" s="230"/>
      <c r="CV770" s="335">
        <f t="shared" si="160"/>
        <v>4.7046248343972055</v>
      </c>
      <c r="CW770" s="230">
        <f t="shared" si="158"/>
        <v>1</v>
      </c>
      <c r="CX770" s="336"/>
      <c r="CY770" s="230" t="s">
        <v>5921</v>
      </c>
    </row>
    <row r="771" spans="1:103" ht="11.25" customHeight="1" x14ac:dyDescent="0.2">
      <c r="A771" s="72">
        <v>1107</v>
      </c>
      <c r="B771" s="224">
        <v>1590</v>
      </c>
      <c r="C771" s="46" t="s">
        <v>1087</v>
      </c>
      <c r="D771" s="46"/>
      <c r="E771" s="114"/>
      <c r="F771" s="114" t="s">
        <v>1088</v>
      </c>
      <c r="G771" s="225">
        <v>333415</v>
      </c>
      <c r="H771" s="47" t="s">
        <v>1089</v>
      </c>
      <c r="I771" s="47" t="s">
        <v>1089</v>
      </c>
      <c r="J771" s="47" t="s">
        <v>1090</v>
      </c>
      <c r="K771" s="47" t="s">
        <v>628</v>
      </c>
      <c r="L771" s="47" t="s">
        <v>617</v>
      </c>
      <c r="M771" s="47" t="s">
        <v>946</v>
      </c>
      <c r="N771" s="47" t="s">
        <v>6376</v>
      </c>
      <c r="O771" s="47" t="s">
        <v>918</v>
      </c>
      <c r="P771" s="53" t="s">
        <v>6178</v>
      </c>
      <c r="Q771" s="53" t="s">
        <v>6173</v>
      </c>
      <c r="R771" s="53" t="s">
        <v>6177</v>
      </c>
      <c r="S771" s="53" t="s">
        <v>6176</v>
      </c>
      <c r="T771" s="48">
        <v>304.35000000000002</v>
      </c>
      <c r="U771" s="98">
        <v>40</v>
      </c>
      <c r="V771" s="98">
        <v>6.4560000000000004</v>
      </c>
      <c r="W771" s="98">
        <v>16.344562722528643</v>
      </c>
      <c r="X771" s="98">
        <v>40</v>
      </c>
      <c r="Y771" s="233">
        <v>7</v>
      </c>
      <c r="Z771" s="48">
        <v>3.86</v>
      </c>
      <c r="AA771" s="48">
        <v>3.81</v>
      </c>
      <c r="AB771" s="48">
        <v>3.79</v>
      </c>
      <c r="AC771" s="48">
        <v>0.7823</v>
      </c>
      <c r="AD771" s="48">
        <v>3.8</v>
      </c>
      <c r="AE771" s="48">
        <v>3.81</v>
      </c>
      <c r="AF771" s="48">
        <f t="shared" si="161"/>
        <v>3.81</v>
      </c>
      <c r="AG771" s="49">
        <v>4.32</v>
      </c>
      <c r="AH771" s="98">
        <v>8.7299999999999994E-8</v>
      </c>
      <c r="AI771" s="98">
        <v>1.1300000000000001E-7</v>
      </c>
      <c r="AJ771" s="483">
        <f t="shared" si="163"/>
        <v>-5.447552082607082</v>
      </c>
      <c r="AK771" s="483">
        <f t="shared" si="165"/>
        <v>-5.3354878828292325</v>
      </c>
      <c r="AL771" s="483">
        <f t="shared" si="162"/>
        <v>-5.3354878828292325</v>
      </c>
      <c r="AM771" s="483">
        <v>-11.566619999999999</v>
      </c>
      <c r="AN771" s="226">
        <v>-2.79</v>
      </c>
      <c r="AO771" s="484"/>
      <c r="AP771" s="484">
        <v>1.21</v>
      </c>
      <c r="AQ771" s="48" t="s">
        <v>6312</v>
      </c>
      <c r="AR771" s="48" t="s">
        <v>6312</v>
      </c>
      <c r="AS771" s="227"/>
      <c r="AT771" s="50" t="s">
        <v>266</v>
      </c>
      <c r="AU771" s="48">
        <v>6</v>
      </c>
      <c r="AV771" s="48">
        <v>120</v>
      </c>
      <c r="AW771" s="48">
        <v>114</v>
      </c>
      <c r="AX771" s="48">
        <v>28</v>
      </c>
      <c r="AY771" s="48" t="s">
        <v>8728</v>
      </c>
      <c r="AZ771" s="48" t="s">
        <v>1563</v>
      </c>
      <c r="BA771" s="48">
        <v>32</v>
      </c>
      <c r="BB771" s="47" t="s">
        <v>2485</v>
      </c>
      <c r="BC771" s="47" t="s">
        <v>8726</v>
      </c>
      <c r="BD771" s="47" t="s">
        <v>8374</v>
      </c>
      <c r="BE771" s="48" t="s">
        <v>2449</v>
      </c>
      <c r="BF771" s="48" t="s">
        <v>272</v>
      </c>
      <c r="BG771" s="48" t="s">
        <v>272</v>
      </c>
      <c r="BH771" s="48" t="s">
        <v>2486</v>
      </c>
      <c r="BI771" s="98">
        <v>1.9478400000000002E-3</v>
      </c>
      <c r="BJ771" s="98">
        <v>19.478400000000001</v>
      </c>
      <c r="BK771" s="48"/>
      <c r="BL771" s="487">
        <v>5.3395825622052628</v>
      </c>
      <c r="BM771" s="47" t="s">
        <v>2487</v>
      </c>
      <c r="BN771" s="48"/>
      <c r="BO771" s="48"/>
      <c r="BP771" s="48"/>
      <c r="BQ771" s="48"/>
      <c r="BR771" s="47" t="e">
        <v>#VALUE!</v>
      </c>
      <c r="BS771" s="48"/>
      <c r="BT771" s="48"/>
      <c r="BU771" s="228"/>
      <c r="BV771" s="48"/>
      <c r="BW771" s="48"/>
      <c r="BX771" s="48"/>
      <c r="BY771" s="48"/>
      <c r="BZ771" s="48"/>
      <c r="CA771" s="48"/>
      <c r="CB771" s="48"/>
      <c r="CC771" s="48"/>
      <c r="CD771" s="48"/>
      <c r="CE771" s="48"/>
      <c r="CF771" s="48"/>
      <c r="CG771" s="48"/>
      <c r="CH771" s="48"/>
      <c r="CI771" s="98"/>
      <c r="CJ771" s="98"/>
      <c r="CK771" s="49">
        <f t="shared" si="159"/>
        <v>0.27412839669609734</v>
      </c>
      <c r="CL771" s="229"/>
      <c r="CM771" s="229">
        <v>-0.7518228197217347</v>
      </c>
      <c r="CN771" s="229">
        <f>BJ771/(10^CM771)</f>
        <v>109.99579926700936</v>
      </c>
      <c r="CO771" s="47" t="s">
        <v>2488</v>
      </c>
      <c r="CP771" s="500" t="s">
        <v>2489</v>
      </c>
      <c r="CQ771" s="224">
        <v>2.3058777017553444E-2</v>
      </c>
      <c r="CR771" s="224">
        <f>10^(CJ771-CQ771)</f>
        <v>0.94829011389995932</v>
      </c>
      <c r="CS771" s="230" t="s">
        <v>539</v>
      </c>
      <c r="CT771" s="230"/>
      <c r="CU771" s="230"/>
      <c r="CV771" s="335">
        <f t="shared" si="160"/>
        <v>2.0535567603088549</v>
      </c>
      <c r="CW771" s="230">
        <f t="shared" si="158"/>
        <v>1</v>
      </c>
      <c r="CX771" s="336"/>
      <c r="CY771" s="230" t="s">
        <v>5921</v>
      </c>
    </row>
    <row r="772" spans="1:103" ht="11.25" customHeight="1" x14ac:dyDescent="0.2">
      <c r="A772" s="72">
        <v>1108</v>
      </c>
      <c r="B772" s="224">
        <v>1583</v>
      </c>
      <c r="C772" s="46" t="s">
        <v>7260</v>
      </c>
      <c r="D772" s="46"/>
      <c r="E772" s="114"/>
      <c r="F772" s="114" t="s">
        <v>4729</v>
      </c>
      <c r="G772" s="225">
        <v>334485</v>
      </c>
      <c r="H772" s="47" t="s">
        <v>4730</v>
      </c>
      <c r="I772" s="47" t="s">
        <v>4730</v>
      </c>
      <c r="J772" s="47" t="s">
        <v>4731</v>
      </c>
      <c r="K772" s="47" t="s">
        <v>426</v>
      </c>
      <c r="L772" s="47"/>
      <c r="M772" s="47"/>
      <c r="N772" s="47"/>
      <c r="O772" s="47"/>
      <c r="P772" s="53"/>
      <c r="Q772" s="53"/>
      <c r="R772" s="53"/>
      <c r="S772" s="53"/>
      <c r="T772" s="48">
        <v>172.26</v>
      </c>
      <c r="U772" s="98">
        <v>61.8</v>
      </c>
      <c r="V772" s="98">
        <v>47.89</v>
      </c>
      <c r="W772" s="98">
        <v>422.84815781590328</v>
      </c>
      <c r="X772" s="98">
        <v>61.8</v>
      </c>
      <c r="Y772" s="233">
        <v>3.72</v>
      </c>
      <c r="Z772" s="48">
        <v>4.0199999999999996</v>
      </c>
      <c r="AA772" s="48">
        <v>4.09</v>
      </c>
      <c r="AB772" s="48">
        <v>4.07</v>
      </c>
      <c r="AC772" s="48">
        <v>0.92910000000000004</v>
      </c>
      <c r="AD772" s="48">
        <v>4.05</v>
      </c>
      <c r="AE772" s="48">
        <v>3.97</v>
      </c>
      <c r="AF772" s="48">
        <f t="shared" si="161"/>
        <v>4.09</v>
      </c>
      <c r="AG772" s="49">
        <v>3.33</v>
      </c>
      <c r="AH772" s="98">
        <v>5.2800000000000003E-6</v>
      </c>
      <c r="AI772" s="98">
        <v>1.3400000000000001E-6</v>
      </c>
      <c r="AJ772" s="483">
        <f t="shared" si="163"/>
        <v>-3.6659324037788394</v>
      </c>
      <c r="AK772" s="483">
        <f t="shared" si="165"/>
        <v>-4.2614615279478443</v>
      </c>
      <c r="AL772" s="483">
        <f t="shared" si="162"/>
        <v>-4.2614615279478443</v>
      </c>
      <c r="AM772" s="483">
        <v>-5.9355999999999991</v>
      </c>
      <c r="AN772" s="226">
        <v>-3.96</v>
      </c>
      <c r="AO772" s="484">
        <v>4.79</v>
      </c>
      <c r="AP772" s="484"/>
      <c r="AQ772" s="48" t="s">
        <v>6311</v>
      </c>
      <c r="AR772" s="48" t="s">
        <v>6311</v>
      </c>
      <c r="AS772" s="227"/>
      <c r="AT772" s="50" t="s">
        <v>266</v>
      </c>
      <c r="AU772" s="48">
        <v>6</v>
      </c>
      <c r="AV772" s="48">
        <v>120</v>
      </c>
      <c r="AW772" s="48">
        <v>114</v>
      </c>
      <c r="AX772" s="48">
        <v>28</v>
      </c>
      <c r="AY772" s="48" t="s">
        <v>8728</v>
      </c>
      <c r="AZ772" s="48" t="s">
        <v>1563</v>
      </c>
      <c r="BA772" s="48">
        <v>32</v>
      </c>
      <c r="BB772" s="47" t="s">
        <v>2485</v>
      </c>
      <c r="BC772" s="47" t="s">
        <v>8726</v>
      </c>
      <c r="BD772" s="47" t="s">
        <v>8374</v>
      </c>
      <c r="BE772" s="48" t="s">
        <v>2449</v>
      </c>
      <c r="BF772" s="48" t="s">
        <v>272</v>
      </c>
      <c r="BG772" s="48" t="s">
        <v>272</v>
      </c>
      <c r="BH772" s="48" t="s">
        <v>2486</v>
      </c>
      <c r="BI772" s="98">
        <v>1.1024639999999998E-3</v>
      </c>
      <c r="BJ772" s="98">
        <v>11.02464</v>
      </c>
      <c r="BK772" s="48"/>
      <c r="BL772" s="487">
        <v>2.170813145831425</v>
      </c>
      <c r="BM772" s="47" t="s">
        <v>2487</v>
      </c>
      <c r="BN772" s="48"/>
      <c r="BO772" s="48"/>
      <c r="BP772" s="48"/>
      <c r="BQ772" s="48"/>
      <c r="BR772" s="47" t="e">
        <v>#VALUE!</v>
      </c>
      <c r="BS772" s="48"/>
      <c r="BT772" s="48"/>
      <c r="BU772" s="228"/>
      <c r="BV772" s="48"/>
      <c r="BW772" s="48"/>
      <c r="BX772" s="48"/>
      <c r="BY772" s="48"/>
      <c r="BZ772" s="48"/>
      <c r="CA772" s="48"/>
      <c r="CB772" s="48"/>
      <c r="CC772" s="48"/>
      <c r="CD772" s="48"/>
      <c r="CE772" s="48"/>
      <c r="CF772" s="48"/>
      <c r="CG772" s="48"/>
      <c r="CH772" s="48"/>
      <c r="CI772" s="98"/>
      <c r="CJ772" s="98"/>
      <c r="CK772" s="49">
        <f t="shared" si="159"/>
        <v>0.19690558111933135</v>
      </c>
      <c r="CL772" s="229"/>
      <c r="CM772" s="229"/>
      <c r="CN772" s="229"/>
      <c r="CO772" s="47" t="s">
        <v>2488</v>
      </c>
      <c r="CP772" s="500" t="s">
        <v>2489</v>
      </c>
      <c r="CQ772" s="224" t="s">
        <v>272</v>
      </c>
      <c r="CR772" s="224"/>
      <c r="CS772" s="230" t="s">
        <v>539</v>
      </c>
      <c r="CT772" s="230"/>
      <c r="CU772" s="230"/>
      <c r="CV772" s="335">
        <f t="shared" si="160"/>
        <v>5.6056252176941834</v>
      </c>
      <c r="CW772" s="230">
        <f t="shared" si="158"/>
        <v>1</v>
      </c>
      <c r="CX772" s="336"/>
      <c r="CY772" s="230" t="s">
        <v>5921</v>
      </c>
    </row>
    <row r="773" spans="1:103" ht="11.25" customHeight="1" x14ac:dyDescent="0.2">
      <c r="A773" s="72">
        <v>1110</v>
      </c>
      <c r="B773" s="224">
        <v>1812</v>
      </c>
      <c r="C773" s="46" t="s">
        <v>7261</v>
      </c>
      <c r="D773" s="46"/>
      <c r="E773" s="114"/>
      <c r="F773" s="114" t="s">
        <v>2050</v>
      </c>
      <c r="G773" s="225">
        <v>335671</v>
      </c>
      <c r="H773" s="47" t="s">
        <v>2051</v>
      </c>
      <c r="I773" s="47" t="s">
        <v>2051</v>
      </c>
      <c r="J773" s="47" t="s">
        <v>2052</v>
      </c>
      <c r="K773" s="47" t="s">
        <v>426</v>
      </c>
      <c r="L773" s="47"/>
      <c r="M773" s="47"/>
      <c r="N773" s="47"/>
      <c r="O773" s="47"/>
      <c r="P773" s="53"/>
      <c r="Q773" s="53"/>
      <c r="R773" s="53"/>
      <c r="S773" s="53"/>
      <c r="T773" s="48">
        <v>414.07</v>
      </c>
      <c r="U773" s="98"/>
      <c r="V773" s="98">
        <v>0.48130000000000001</v>
      </c>
      <c r="W773" s="98">
        <v>443.6839987197352</v>
      </c>
      <c r="X773" s="98">
        <v>443.6839987197352</v>
      </c>
      <c r="Y773" s="233">
        <v>2.98</v>
      </c>
      <c r="Z773" s="48">
        <v>4.8099999999999996</v>
      </c>
      <c r="AA773" s="48"/>
      <c r="AB773" s="48">
        <v>4.2</v>
      </c>
      <c r="AC773" s="48">
        <v>0.57179999999999997</v>
      </c>
      <c r="AD773" s="48">
        <v>5.57</v>
      </c>
      <c r="AE773" s="48">
        <v>7.75</v>
      </c>
      <c r="AF773" s="48">
        <f t="shared" si="161"/>
        <v>5.57</v>
      </c>
      <c r="AG773" s="49">
        <v>3.71</v>
      </c>
      <c r="AH773" s="98">
        <v>9.0800000000000006E-2</v>
      </c>
      <c r="AI773" s="98"/>
      <c r="AJ773" s="483">
        <f t="shared" si="163"/>
        <v>0.56951952220843338</v>
      </c>
      <c r="AK773" s="483"/>
      <c r="AL773" s="483">
        <f t="shared" si="162"/>
        <v>0.56951952220843338</v>
      </c>
      <c r="AM773" s="483">
        <v>-2.2879299999999998</v>
      </c>
      <c r="AN773" s="226">
        <v>-6.09</v>
      </c>
      <c r="AO773" s="484">
        <v>0.5</v>
      </c>
      <c r="AP773" s="484"/>
      <c r="AQ773" s="226" t="s">
        <v>6311</v>
      </c>
      <c r="AR773" s="226" t="s">
        <v>6311</v>
      </c>
      <c r="AS773" s="224"/>
      <c r="AT773" s="50" t="s">
        <v>266</v>
      </c>
      <c r="AU773" s="48">
        <v>6</v>
      </c>
      <c r="AV773" s="48">
        <v>120</v>
      </c>
      <c r="AW773" s="48">
        <v>114</v>
      </c>
      <c r="AX773" s="48">
        <v>28</v>
      </c>
      <c r="AY773" s="48" t="s">
        <v>8728</v>
      </c>
      <c r="AZ773" s="48" t="s">
        <v>1563</v>
      </c>
      <c r="BA773" s="48">
        <v>32</v>
      </c>
      <c r="BB773" s="47" t="s">
        <v>2485</v>
      </c>
      <c r="BC773" s="47" t="s">
        <v>8726</v>
      </c>
      <c r="BD773" s="47" t="s">
        <v>8374</v>
      </c>
      <c r="BE773" s="48" t="s">
        <v>2449</v>
      </c>
      <c r="BF773" s="48" t="s">
        <v>272</v>
      </c>
      <c r="BG773" s="48" t="s">
        <v>272</v>
      </c>
      <c r="BH773" s="48" t="s">
        <v>2486</v>
      </c>
      <c r="BI773" s="98">
        <v>2.6500479999999999E-3</v>
      </c>
      <c r="BJ773" s="98">
        <v>26.50048</v>
      </c>
      <c r="BK773" s="48"/>
      <c r="BL773" s="487">
        <v>1.0186213306013063</v>
      </c>
      <c r="BM773" s="47" t="s">
        <v>2487</v>
      </c>
      <c r="BN773" s="48"/>
      <c r="BO773" s="48"/>
      <c r="BP773" s="48"/>
      <c r="BQ773" s="48"/>
      <c r="BR773" s="47"/>
      <c r="BS773" s="48"/>
      <c r="BT773" s="48"/>
      <c r="BU773" s="228"/>
      <c r="BV773" s="48"/>
      <c r="BW773" s="48"/>
      <c r="BX773" s="48"/>
      <c r="BY773" s="48"/>
      <c r="BZ773" s="48"/>
      <c r="CA773" s="48"/>
      <c r="CB773" s="48"/>
      <c r="CC773" s="48"/>
      <c r="CD773" s="48"/>
      <c r="CE773" s="48"/>
      <c r="CF773" s="48"/>
      <c r="CG773" s="48"/>
      <c r="CH773" s="48"/>
      <c r="CI773" s="52"/>
      <c r="CJ773" s="98"/>
      <c r="CK773" s="49">
        <f t="shared" si="159"/>
        <v>3.8437844544751881E-2</v>
      </c>
      <c r="CL773" s="229"/>
      <c r="CM773" s="229"/>
      <c r="CN773" s="229"/>
      <c r="CO773" s="47" t="s">
        <v>2488</v>
      </c>
      <c r="CP773" s="500" t="s">
        <v>2489</v>
      </c>
      <c r="CQ773" s="224" t="s">
        <v>272</v>
      </c>
      <c r="CR773" s="224"/>
      <c r="CS773" s="230" t="s">
        <v>539</v>
      </c>
      <c r="CT773" s="230"/>
      <c r="CU773" s="230"/>
      <c r="CV773" s="335">
        <f t="shared" si="160"/>
        <v>16.742489144337583</v>
      </c>
      <c r="CW773" s="230">
        <f t="shared" si="158"/>
        <v>1</v>
      </c>
      <c r="CX773" s="336"/>
      <c r="CY773" s="230" t="s">
        <v>5921</v>
      </c>
    </row>
    <row r="774" spans="1:103" ht="11.25" customHeight="1" x14ac:dyDescent="0.2">
      <c r="A774" s="72">
        <v>1111</v>
      </c>
      <c r="B774" s="224">
        <v>1810</v>
      </c>
      <c r="C774" s="46" t="s">
        <v>7262</v>
      </c>
      <c r="D774" s="46"/>
      <c r="E774" s="114"/>
      <c r="F774" s="114" t="s">
        <v>5201</v>
      </c>
      <c r="G774" s="225">
        <v>375859</v>
      </c>
      <c r="H774" s="47" t="s">
        <v>5202</v>
      </c>
      <c r="I774" s="47" t="s">
        <v>5202</v>
      </c>
      <c r="J774" s="47" t="s">
        <v>5203</v>
      </c>
      <c r="K774" s="47" t="s">
        <v>426</v>
      </c>
      <c r="L774" s="47"/>
      <c r="M774" s="47"/>
      <c r="N774" s="47"/>
      <c r="O774" s="47"/>
      <c r="P774" s="53"/>
      <c r="Q774" s="53"/>
      <c r="R774" s="53"/>
      <c r="S774" s="53"/>
      <c r="T774" s="48">
        <v>364.06</v>
      </c>
      <c r="U774" s="98"/>
      <c r="V774" s="98">
        <v>3.6469999999999994</v>
      </c>
      <c r="W774" s="98">
        <v>957.5753651294317</v>
      </c>
      <c r="X774" s="98">
        <v>957.5753651294317</v>
      </c>
      <c r="Y774" s="233">
        <v>2.59</v>
      </c>
      <c r="Z774" s="48">
        <v>4.1500000000000004</v>
      </c>
      <c r="AA774" s="48"/>
      <c r="AB774" s="48">
        <v>3.37</v>
      </c>
      <c r="AC774" s="48">
        <v>0.52729999999999999</v>
      </c>
      <c r="AD774" s="48">
        <v>4.8600000000000003</v>
      </c>
      <c r="AE774" s="48">
        <v>6.86</v>
      </c>
      <c r="AF774" s="48">
        <f t="shared" si="161"/>
        <v>4.8600000000000003</v>
      </c>
      <c r="AG774" s="49">
        <v>3.22</v>
      </c>
      <c r="AH774" s="98">
        <v>1.7299999999999999E-2</v>
      </c>
      <c r="AI774" s="98"/>
      <c r="AJ774" s="483">
        <f t="shared" si="163"/>
        <v>-0.15052022318385638</v>
      </c>
      <c r="AK774" s="483"/>
      <c r="AL774" s="483">
        <f t="shared" si="162"/>
        <v>-0.15052022318385638</v>
      </c>
      <c r="AM774" s="483">
        <v>-2.7943599999999997</v>
      </c>
      <c r="AN774" s="226">
        <v>-5.88</v>
      </c>
      <c r="AO774" s="484">
        <v>0.47</v>
      </c>
      <c r="AP774" s="484"/>
      <c r="AQ774" s="226" t="s">
        <v>6311</v>
      </c>
      <c r="AR774" s="226" t="s">
        <v>6311</v>
      </c>
      <c r="AS774" s="224"/>
      <c r="AT774" s="50" t="s">
        <v>266</v>
      </c>
      <c r="AU774" s="48">
        <v>6</v>
      </c>
      <c r="AV774" s="48">
        <v>120</v>
      </c>
      <c r="AW774" s="48">
        <v>114</v>
      </c>
      <c r="AX774" s="48">
        <v>28</v>
      </c>
      <c r="AY774" s="48" t="s">
        <v>8728</v>
      </c>
      <c r="AZ774" s="48" t="s">
        <v>1563</v>
      </c>
      <c r="BA774" s="48">
        <v>32</v>
      </c>
      <c r="BB774" s="47" t="s">
        <v>2485</v>
      </c>
      <c r="BC774" s="47" t="s">
        <v>8726</v>
      </c>
      <c r="BD774" s="47" t="s">
        <v>8374</v>
      </c>
      <c r="BE774" s="48" t="s">
        <v>2449</v>
      </c>
      <c r="BF774" s="48" t="s">
        <v>272</v>
      </c>
      <c r="BG774" s="48" t="s">
        <v>272</v>
      </c>
      <c r="BH774" s="48" t="s">
        <v>2486</v>
      </c>
      <c r="BI774" s="98">
        <v>2.3299839999999998E-3</v>
      </c>
      <c r="BJ774" s="98">
        <v>23.29984</v>
      </c>
      <c r="BK774" s="48"/>
      <c r="BL774" s="487">
        <v>3.5063717992427192</v>
      </c>
      <c r="BM774" s="47" t="s">
        <v>2487</v>
      </c>
      <c r="BN774" s="48"/>
      <c r="BO774" s="48"/>
      <c r="BP774" s="48"/>
      <c r="BQ774" s="48"/>
      <c r="BR774" s="47" t="e">
        <v>#VALUE!</v>
      </c>
      <c r="BS774" s="48"/>
      <c r="BT774" s="48"/>
      <c r="BU774" s="228"/>
      <c r="BV774" s="48"/>
      <c r="BW774" s="48"/>
      <c r="BX774" s="48"/>
      <c r="BY774" s="48"/>
      <c r="BZ774" s="48"/>
      <c r="CA774" s="48"/>
      <c r="CB774" s="48"/>
      <c r="CC774" s="48"/>
      <c r="CD774" s="48"/>
      <c r="CE774" s="48"/>
      <c r="CF774" s="48"/>
      <c r="CG774" s="48"/>
      <c r="CH774" s="48"/>
      <c r="CI774" s="98"/>
      <c r="CJ774" s="98"/>
      <c r="CK774" s="49">
        <f t="shared" si="159"/>
        <v>0.15048909345483572</v>
      </c>
      <c r="CL774" s="229"/>
      <c r="CM774" s="229"/>
      <c r="CN774" s="229"/>
      <c r="CO774" s="47" t="s">
        <v>2488</v>
      </c>
      <c r="CP774" s="500" t="s">
        <v>2489</v>
      </c>
      <c r="CQ774" s="224" t="s">
        <v>272</v>
      </c>
      <c r="CR774" s="224"/>
      <c r="CS774" s="230" t="s">
        <v>539</v>
      </c>
      <c r="CT774" s="230"/>
      <c r="CU774" s="230"/>
      <c r="CV774" s="335">
        <f t="shared" si="160"/>
        <v>41.097937373365298</v>
      </c>
      <c r="CW774" s="230">
        <f t="shared" si="158"/>
        <v>1</v>
      </c>
      <c r="CX774" s="336"/>
      <c r="CY774" s="230" t="s">
        <v>5921</v>
      </c>
    </row>
    <row r="775" spans="1:103" ht="11.25" customHeight="1" x14ac:dyDescent="0.2">
      <c r="A775" s="72">
        <v>1112</v>
      </c>
      <c r="B775" s="224">
        <v>1233</v>
      </c>
      <c r="C775" s="46" t="s">
        <v>7263</v>
      </c>
      <c r="D775" s="46"/>
      <c r="E775" s="114"/>
      <c r="F775" s="114" t="s">
        <v>3397</v>
      </c>
      <c r="G775" s="225">
        <v>375951</v>
      </c>
      <c r="H775" s="47" t="s">
        <v>3398</v>
      </c>
      <c r="I775" s="47" t="s">
        <v>3398</v>
      </c>
      <c r="J775" s="47" t="s">
        <v>3399</v>
      </c>
      <c r="K775" s="47" t="s">
        <v>426</v>
      </c>
      <c r="L775" s="47"/>
      <c r="M775" s="47"/>
      <c r="N775" s="47"/>
      <c r="O775" s="47"/>
      <c r="P775" s="53"/>
      <c r="Q775" s="53"/>
      <c r="R775" s="53"/>
      <c r="S775" s="53"/>
      <c r="T775" s="48">
        <v>464.08</v>
      </c>
      <c r="U775" s="98"/>
      <c r="V775" s="98">
        <v>6.2579999999999997E-2</v>
      </c>
      <c r="W775" s="98">
        <v>212.12548703647116</v>
      </c>
      <c r="X775" s="98">
        <v>212.12548703647116</v>
      </c>
      <c r="Y775" s="233">
        <v>3.35</v>
      </c>
      <c r="Z775" s="48">
        <v>5.48</v>
      </c>
      <c r="AA775" s="48"/>
      <c r="AB775" s="48">
        <v>4.82</v>
      </c>
      <c r="AC775" s="48">
        <v>0.4753</v>
      </c>
      <c r="AD775" s="48">
        <v>6.59</v>
      </c>
      <c r="AE775" s="48">
        <v>8.64</v>
      </c>
      <c r="AF775" s="48">
        <f t="shared" si="161"/>
        <v>6.59</v>
      </c>
      <c r="AG775" s="49">
        <v>4.21</v>
      </c>
      <c r="AH775" s="98">
        <v>0.47699999999999998</v>
      </c>
      <c r="AI775" s="98"/>
      <c r="AJ775" s="483">
        <f t="shared" si="163"/>
        <v>1.2899520527274622</v>
      </c>
      <c r="AK775" s="483"/>
      <c r="AL775" s="483">
        <f t="shared" si="162"/>
        <v>1.2899520527274622</v>
      </c>
      <c r="AM775" s="483">
        <v>-1.7607900000000001</v>
      </c>
      <c r="AN775" s="226">
        <v>-6.29</v>
      </c>
      <c r="AO775" s="484">
        <v>0.52</v>
      </c>
      <c r="AP775" s="484"/>
      <c r="AQ775" s="48" t="s">
        <v>6311</v>
      </c>
      <c r="AR775" s="48" t="s">
        <v>6311</v>
      </c>
      <c r="AS775" s="227"/>
      <c r="AT775" s="50" t="s">
        <v>266</v>
      </c>
      <c r="AU775" s="48">
        <v>6</v>
      </c>
      <c r="AV775" s="48">
        <v>120</v>
      </c>
      <c r="AW775" s="48">
        <v>114</v>
      </c>
      <c r="AX775" s="48">
        <v>28</v>
      </c>
      <c r="AY775" s="48" t="s">
        <v>8728</v>
      </c>
      <c r="AZ775" s="48" t="s">
        <v>1563</v>
      </c>
      <c r="BA775" s="48">
        <v>32</v>
      </c>
      <c r="BB775" s="47" t="s">
        <v>2485</v>
      </c>
      <c r="BC775" s="47" t="s">
        <v>8726</v>
      </c>
      <c r="BD775" s="47" t="s">
        <v>8374</v>
      </c>
      <c r="BE775" s="48" t="s">
        <v>2449</v>
      </c>
      <c r="BF775" s="48" t="s">
        <v>272</v>
      </c>
      <c r="BG775" s="48" t="s">
        <v>272</v>
      </c>
      <c r="BH775" s="48" t="s">
        <v>2486</v>
      </c>
      <c r="BI775" s="98">
        <v>2.9701119999999996E-3</v>
      </c>
      <c r="BJ775" s="98">
        <v>29.70112</v>
      </c>
      <c r="BK775" s="48"/>
      <c r="BL775" s="487">
        <v>0.28563067911757084</v>
      </c>
      <c r="BM775" s="47" t="s">
        <v>2487</v>
      </c>
      <c r="BN775" s="48"/>
      <c r="BO775" s="48"/>
      <c r="BP775" s="48"/>
      <c r="BQ775" s="48"/>
      <c r="BR775" s="47" t="e">
        <v>#VALUE!</v>
      </c>
      <c r="BS775" s="48"/>
      <c r="BT775" s="48"/>
      <c r="BU775" s="228">
        <v>2.9701119999999999</v>
      </c>
      <c r="BV775" s="48"/>
      <c r="BW775" s="48"/>
      <c r="BX775" s="48"/>
      <c r="BY775" s="48"/>
      <c r="BZ775" s="48"/>
      <c r="CA775" s="48"/>
      <c r="CB775" s="48"/>
      <c r="CC775" s="48"/>
      <c r="CD775" s="48"/>
      <c r="CE775" s="48"/>
      <c r="CF775" s="48"/>
      <c r="CG775" s="48"/>
      <c r="CH775" s="48"/>
      <c r="CI775" s="98"/>
      <c r="CJ775" s="98"/>
      <c r="CK775" s="49">
        <f t="shared" si="159"/>
        <v>9.6168319281417954E-3</v>
      </c>
      <c r="CL775" s="229"/>
      <c r="CM775" s="229"/>
      <c r="CN775" s="229"/>
      <c r="CO775" s="47" t="s">
        <v>2488</v>
      </c>
      <c r="CP775" s="500" t="s">
        <v>2489</v>
      </c>
      <c r="CQ775" s="224" t="s">
        <v>272</v>
      </c>
      <c r="CR775" s="224"/>
      <c r="CS775" s="230" t="s">
        <v>539</v>
      </c>
      <c r="CT775" s="230"/>
      <c r="CU775" s="230"/>
      <c r="CV775" s="335">
        <f t="shared" si="160"/>
        <v>7.1420029627324206</v>
      </c>
      <c r="CW775" s="230">
        <f t="shared" si="158"/>
        <v>1</v>
      </c>
      <c r="CX775" s="336"/>
      <c r="CY775" s="230" t="s">
        <v>5921</v>
      </c>
    </row>
    <row r="776" spans="1:103" ht="11.25" customHeight="1" x14ac:dyDescent="0.2">
      <c r="A776" s="72">
        <v>1114</v>
      </c>
      <c r="B776" s="224">
        <v>1077</v>
      </c>
      <c r="C776" s="46" t="s">
        <v>7264</v>
      </c>
      <c r="D776" s="46" t="s">
        <v>8606</v>
      </c>
      <c r="E776" s="114"/>
      <c r="F776" s="114" t="s">
        <v>3027</v>
      </c>
      <c r="G776" s="225">
        <v>420042</v>
      </c>
      <c r="H776" s="47" t="s">
        <v>3028</v>
      </c>
      <c r="I776" s="47" t="s">
        <v>7750</v>
      </c>
      <c r="J776" s="47" t="s">
        <v>3029</v>
      </c>
      <c r="K776" s="47" t="s">
        <v>426</v>
      </c>
      <c r="L776" s="47" t="s">
        <v>5527</v>
      </c>
      <c r="M776" s="47" t="s">
        <v>2342</v>
      </c>
      <c r="N776" s="47" t="s">
        <v>2342</v>
      </c>
      <c r="O776" s="47"/>
      <c r="P776" s="53" t="s">
        <v>8537</v>
      </c>
      <c r="Q776" s="53" t="s">
        <v>6173</v>
      </c>
      <c r="R776" s="53" t="s">
        <v>6183</v>
      </c>
      <c r="S776" s="53" t="s">
        <v>6173</v>
      </c>
      <c r="T776" s="48">
        <v>42.04</v>
      </c>
      <c r="U776" s="98">
        <v>500000</v>
      </c>
      <c r="V776" s="98">
        <v>651500</v>
      </c>
      <c r="W776" s="98">
        <v>73057.146840623755</v>
      </c>
      <c r="X776" s="98">
        <v>500000</v>
      </c>
      <c r="Y776" s="233">
        <v>7.68</v>
      </c>
      <c r="Z776" s="48">
        <v>-0.81</v>
      </c>
      <c r="AA776" s="48">
        <v>-0.82</v>
      </c>
      <c r="AB776" s="48">
        <v>-0.6</v>
      </c>
      <c r="AC776" s="48">
        <v>0.8165</v>
      </c>
      <c r="AD776" s="48">
        <v>-0.66</v>
      </c>
      <c r="AE776" s="48">
        <v>-0.82</v>
      </c>
      <c r="AF776" s="48">
        <f t="shared" si="161"/>
        <v>-0.82</v>
      </c>
      <c r="AG776" s="49">
        <v>-0.33</v>
      </c>
      <c r="AH776" s="98">
        <v>3.3200000000000001E-5</v>
      </c>
      <c r="AI776" s="98">
        <v>2.5899999999999998E-10</v>
      </c>
      <c r="AJ776" s="483">
        <f t="shared" si="163"/>
        <v>-2.8674282426086157</v>
      </c>
      <c r="AK776" s="483">
        <f>LOG10(AI776*1000/(0.08206*298.15))</f>
        <v>-7.9752665622313996</v>
      </c>
      <c r="AL776" s="483">
        <f t="shared" si="162"/>
        <v>-7.9752665622313996</v>
      </c>
      <c r="AM776" s="483">
        <v>-5.90299</v>
      </c>
      <c r="AN776" s="226">
        <v>-7.62</v>
      </c>
      <c r="AO776" s="484"/>
      <c r="AP776" s="484">
        <v>1.1000000000000001</v>
      </c>
      <c r="AQ776" s="48" t="s">
        <v>6311</v>
      </c>
      <c r="AR776" s="48" t="s">
        <v>6311</v>
      </c>
      <c r="AS776" s="227"/>
      <c r="AT776" s="50" t="s">
        <v>266</v>
      </c>
      <c r="AU776" s="48">
        <v>6</v>
      </c>
      <c r="AV776" s="48">
        <v>120</v>
      </c>
      <c r="AW776" s="48">
        <v>114</v>
      </c>
      <c r="AX776" s="48">
        <v>28</v>
      </c>
      <c r="AY776" s="48" t="s">
        <v>8728</v>
      </c>
      <c r="AZ776" s="48" t="s">
        <v>1563</v>
      </c>
      <c r="BA776" s="48">
        <v>32</v>
      </c>
      <c r="BB776" s="47" t="s">
        <v>2485</v>
      </c>
      <c r="BC776" s="47" t="s">
        <v>8726</v>
      </c>
      <c r="BD776" s="47" t="s">
        <v>8374</v>
      </c>
      <c r="BE776" s="48" t="s">
        <v>2449</v>
      </c>
      <c r="BF776" s="48" t="s">
        <v>272</v>
      </c>
      <c r="BG776" s="48" t="s">
        <v>272</v>
      </c>
      <c r="BH776" s="48" t="s">
        <v>2486</v>
      </c>
      <c r="BI776" s="98">
        <v>2.6905599999999999E-4</v>
      </c>
      <c r="BJ776" s="98">
        <v>2.6905600000000001</v>
      </c>
      <c r="BK776" s="48"/>
      <c r="BL776" s="487">
        <v>11532.506481330609</v>
      </c>
      <c r="BM776" s="47" t="s">
        <v>2487</v>
      </c>
      <c r="BN776" s="48"/>
      <c r="BO776" s="48"/>
      <c r="BP776" s="48"/>
      <c r="BQ776" s="48"/>
      <c r="BR776" s="47" t="e">
        <v>#VALUE!</v>
      </c>
      <c r="BS776" s="48"/>
      <c r="BT776" s="48"/>
      <c r="BU776" s="228">
        <v>2.6779479999999999E-3</v>
      </c>
      <c r="BV776" s="48"/>
      <c r="BW776" s="48"/>
      <c r="BX776" s="48"/>
      <c r="BY776" s="48"/>
      <c r="BZ776" s="48"/>
      <c r="CA776" s="48"/>
      <c r="CB776" s="48"/>
      <c r="CC776" s="48"/>
      <c r="CD776" s="48"/>
      <c r="CE776" s="48"/>
      <c r="CF776" s="48"/>
      <c r="CG776" s="48"/>
      <c r="CH776" s="48"/>
      <c r="CI776" s="98"/>
      <c r="CJ776" s="98"/>
      <c r="CK776" s="49">
        <f t="shared" si="159"/>
        <v>4286.2848185249941</v>
      </c>
      <c r="CL776" s="229"/>
      <c r="CM776" s="229"/>
      <c r="CN776" s="229"/>
      <c r="CO776" s="47" t="s">
        <v>2488</v>
      </c>
      <c r="CP776" s="500" t="s">
        <v>2489</v>
      </c>
      <c r="CQ776" s="224">
        <v>1.9397915532447512</v>
      </c>
      <c r="CR776" s="224">
        <f>10^(CJ776-CQ776)</f>
        <v>1.148704828917208E-2</v>
      </c>
      <c r="CS776" s="230" t="s">
        <v>539</v>
      </c>
      <c r="CT776" s="230"/>
      <c r="CU776" s="230"/>
      <c r="CV776" s="335">
        <f t="shared" si="160"/>
        <v>185834.9191246432</v>
      </c>
      <c r="CW776" s="230">
        <f t="shared" si="158"/>
        <v>1</v>
      </c>
      <c r="CX776" s="336"/>
      <c r="CY776" s="230" t="s">
        <v>6351</v>
      </c>
    </row>
    <row r="777" spans="1:103" ht="11.25" customHeight="1" x14ac:dyDescent="0.2">
      <c r="A777" s="72">
        <v>1115</v>
      </c>
      <c r="B777" s="224">
        <v>1086</v>
      </c>
      <c r="C777" s="46" t="s">
        <v>7265</v>
      </c>
      <c r="D777" s="46"/>
      <c r="E777" s="114"/>
      <c r="F777" s="114" t="s">
        <v>3038</v>
      </c>
      <c r="G777" s="225">
        <v>427510</v>
      </c>
      <c r="H777" s="47" t="s">
        <v>3039</v>
      </c>
      <c r="I777" s="47" t="s">
        <v>8051</v>
      </c>
      <c r="J777" s="47" t="s">
        <v>3040</v>
      </c>
      <c r="K777" s="47" t="s">
        <v>3041</v>
      </c>
      <c r="L777" s="47"/>
      <c r="M777" s="47"/>
      <c r="N777" s="47"/>
      <c r="O777" s="47"/>
      <c r="P777" s="53"/>
      <c r="Q777" s="53"/>
      <c r="R777" s="53"/>
      <c r="S777" s="53"/>
      <c r="T777" s="48">
        <v>416.94</v>
      </c>
      <c r="U777" s="98"/>
      <c r="V777" s="98">
        <v>0.64900000000000002</v>
      </c>
      <c r="W777" s="98">
        <v>0.85128221865051157</v>
      </c>
      <c r="X777" s="98">
        <v>0.85128221865051157</v>
      </c>
      <c r="Y777" s="233">
        <v>7</v>
      </c>
      <c r="Z777" s="48">
        <v>4.18</v>
      </c>
      <c r="AA777" s="48"/>
      <c r="AB777" s="48">
        <v>4.04</v>
      </c>
      <c r="AC777" s="48">
        <v>0.4793</v>
      </c>
      <c r="AD777" s="48">
        <v>3.62</v>
      </c>
      <c r="AE777" s="48">
        <v>3.28</v>
      </c>
      <c r="AF777" s="48">
        <f t="shared" si="161"/>
        <v>3.62</v>
      </c>
      <c r="AG777" s="49">
        <v>3.53</v>
      </c>
      <c r="AH777" s="98">
        <v>3.3E-10</v>
      </c>
      <c r="AI777" s="98"/>
      <c r="AJ777" s="483">
        <f t="shared" si="163"/>
        <v>-7.8700523864347645</v>
      </c>
      <c r="AK777" s="483"/>
      <c r="AL777" s="483">
        <f t="shared" si="162"/>
        <v>-7.8700523864347645</v>
      </c>
      <c r="AM777" s="483">
        <v>-19.21987</v>
      </c>
      <c r="AN777" s="226">
        <v>-10.4</v>
      </c>
      <c r="AO777" s="484"/>
      <c r="AP777" s="484"/>
      <c r="AQ777" s="48" t="s">
        <v>6311</v>
      </c>
      <c r="AR777" s="48" t="s">
        <v>6312</v>
      </c>
      <c r="AS777" s="227"/>
      <c r="AT777" s="50" t="s">
        <v>266</v>
      </c>
      <c r="AU777" s="48">
        <v>6</v>
      </c>
      <c r="AV777" s="48">
        <v>120</v>
      </c>
      <c r="AW777" s="48">
        <v>114</v>
      </c>
      <c r="AX777" s="48">
        <v>28</v>
      </c>
      <c r="AY777" s="48" t="s">
        <v>8728</v>
      </c>
      <c r="AZ777" s="48" t="s">
        <v>1563</v>
      </c>
      <c r="BA777" s="48">
        <v>32</v>
      </c>
      <c r="BB777" s="47" t="s">
        <v>2485</v>
      </c>
      <c r="BC777" s="47" t="s">
        <v>8726</v>
      </c>
      <c r="BD777" s="47" t="s">
        <v>8374</v>
      </c>
      <c r="BE777" s="48" t="s">
        <v>2449</v>
      </c>
      <c r="BF777" s="48" t="s">
        <v>272</v>
      </c>
      <c r="BG777" s="48" t="s">
        <v>272</v>
      </c>
      <c r="BH777" s="48" t="s">
        <v>2486</v>
      </c>
      <c r="BI777" s="98">
        <v>2.6684159999999998E-3</v>
      </c>
      <c r="BJ777" s="98">
        <v>26.684160000000002</v>
      </c>
      <c r="BK777" s="48"/>
      <c r="BL777" s="487">
        <v>3.7741187608442064</v>
      </c>
      <c r="BM777" s="47" t="s">
        <v>2487</v>
      </c>
      <c r="BN777" s="48"/>
      <c r="BO777" s="48"/>
      <c r="BP777" s="48"/>
      <c r="BQ777" s="48"/>
      <c r="BR777" s="47" t="e">
        <v>#VALUE!</v>
      </c>
      <c r="BS777" s="48"/>
      <c r="BT777" s="48"/>
      <c r="BU777" s="228">
        <v>2.6684159999999998E-3</v>
      </c>
      <c r="BV777" s="48"/>
      <c r="BW777" s="48"/>
      <c r="BX777" s="48"/>
      <c r="BY777" s="48"/>
      <c r="BZ777" s="48"/>
      <c r="CA777" s="48"/>
      <c r="CB777" s="48"/>
      <c r="CC777" s="48"/>
      <c r="CD777" s="48"/>
      <c r="CE777" s="48"/>
      <c r="CF777" s="48"/>
      <c r="CG777" s="48"/>
      <c r="CH777" s="48"/>
      <c r="CI777" s="98"/>
      <c r="CJ777" s="98"/>
      <c r="CK777" s="49">
        <f t="shared" si="159"/>
        <v>0.14143667107543226</v>
      </c>
      <c r="CL777" s="229"/>
      <c r="CM777" s="229"/>
      <c r="CN777" s="229"/>
      <c r="CO777" s="47" t="s">
        <v>2488</v>
      </c>
      <c r="CP777" s="500" t="s">
        <v>2489</v>
      </c>
      <c r="CQ777" s="224" t="s">
        <v>272</v>
      </c>
      <c r="CR777" s="224"/>
      <c r="CS777" s="230" t="s">
        <v>539</v>
      </c>
      <c r="CT777" s="230"/>
      <c r="CU777" s="230"/>
      <c r="CV777" s="335">
        <f t="shared" si="160"/>
        <v>3.1902155385461317E-2</v>
      </c>
      <c r="CW777" s="230">
        <f t="shared" si="158"/>
        <v>0</v>
      </c>
      <c r="CX777" s="336"/>
      <c r="CY777" s="230" t="s">
        <v>5921</v>
      </c>
    </row>
    <row r="778" spans="1:103" ht="11.25" customHeight="1" x14ac:dyDescent="0.2">
      <c r="A778" s="72">
        <v>1116</v>
      </c>
      <c r="B778" s="224">
        <v>1026</v>
      </c>
      <c r="C778" s="46" t="s">
        <v>7266</v>
      </c>
      <c r="D778" s="46"/>
      <c r="E778" s="114"/>
      <c r="F778" s="114" t="s">
        <v>2927</v>
      </c>
      <c r="G778" s="225">
        <v>446866</v>
      </c>
      <c r="H778" s="47" t="s">
        <v>2928</v>
      </c>
      <c r="I778" s="47" t="s">
        <v>2928</v>
      </c>
      <c r="J778" s="47" t="s">
        <v>2929</v>
      </c>
      <c r="K778" s="47" t="s">
        <v>1064</v>
      </c>
      <c r="L778" s="47" t="s">
        <v>279</v>
      </c>
      <c r="M778" s="47" t="s">
        <v>2930</v>
      </c>
      <c r="N778" s="47"/>
      <c r="O778" s="47" t="s">
        <v>281</v>
      </c>
      <c r="P778" s="53"/>
      <c r="Q778" s="53"/>
      <c r="R778" s="53"/>
      <c r="S778" s="53"/>
      <c r="T778" s="48">
        <v>277.26</v>
      </c>
      <c r="U778" s="98"/>
      <c r="V778" s="98">
        <v>272.3</v>
      </c>
      <c r="W778" s="98">
        <v>2772.6</v>
      </c>
      <c r="X778" s="98">
        <v>2772.6</v>
      </c>
      <c r="Y778" s="233">
        <v>9.74</v>
      </c>
      <c r="Z778" s="48">
        <v>-0.09</v>
      </c>
      <c r="AA778" s="48">
        <v>0.1</v>
      </c>
      <c r="AB778" s="48">
        <v>0.22</v>
      </c>
      <c r="AC778" s="48">
        <v>0.81540000000000001</v>
      </c>
      <c r="AD778" s="48">
        <v>-0.19</v>
      </c>
      <c r="AE778" s="48">
        <v>-1.97</v>
      </c>
      <c r="AF778" s="48">
        <f t="shared" si="161"/>
        <v>0.1</v>
      </c>
      <c r="AG778" s="49">
        <v>0.81</v>
      </c>
      <c r="AH778" s="98">
        <v>2.6399999999999999E-15</v>
      </c>
      <c r="AI778" s="98"/>
      <c r="AJ778" s="483">
        <f t="shared" si="163"/>
        <v>-12.966962399442821</v>
      </c>
      <c r="AK778" s="483"/>
      <c r="AL778" s="483">
        <f t="shared" si="162"/>
        <v>-12.966962399442821</v>
      </c>
      <c r="AM778" s="483">
        <v>-15.871539999999998</v>
      </c>
      <c r="AN778" s="226">
        <v>-15.2</v>
      </c>
      <c r="AO778" s="484"/>
      <c r="AP778" s="484">
        <v>7.47</v>
      </c>
      <c r="AQ778" s="48" t="s">
        <v>6311</v>
      </c>
      <c r="AR778" s="48" t="s">
        <v>6311</v>
      </c>
      <c r="AS778" s="227"/>
      <c r="AT778" s="50" t="s">
        <v>266</v>
      </c>
      <c r="AU778" s="48">
        <v>6</v>
      </c>
      <c r="AV778" s="48">
        <v>120</v>
      </c>
      <c r="AW778" s="48">
        <v>114</v>
      </c>
      <c r="AX778" s="48">
        <v>28</v>
      </c>
      <c r="AY778" s="48" t="s">
        <v>8728</v>
      </c>
      <c r="AZ778" s="48" t="s">
        <v>1563</v>
      </c>
      <c r="BA778" s="48">
        <v>32</v>
      </c>
      <c r="BB778" s="47" t="s">
        <v>2485</v>
      </c>
      <c r="BC778" s="47" t="s">
        <v>8726</v>
      </c>
      <c r="BD778" s="47" t="s">
        <v>8374</v>
      </c>
      <c r="BE778" s="48" t="s">
        <v>2449</v>
      </c>
      <c r="BF778" s="48" t="s">
        <v>272</v>
      </c>
      <c r="BG778" s="48" t="s">
        <v>272</v>
      </c>
      <c r="BH778" s="48" t="s">
        <v>2486</v>
      </c>
      <c r="BI778" s="98">
        <v>1.7744639999999999E-3</v>
      </c>
      <c r="BJ778" s="98">
        <v>17.74464</v>
      </c>
      <c r="BK778" s="48"/>
      <c r="BL778" s="487">
        <v>17159.957934784423</v>
      </c>
      <c r="BM778" s="47" t="s">
        <v>2487</v>
      </c>
      <c r="BN778" s="48"/>
      <c r="BO778" s="48"/>
      <c r="BP778" s="48"/>
      <c r="BQ778" s="48"/>
      <c r="BR778" s="47" t="e">
        <v>#VALUE!</v>
      </c>
      <c r="BS778" s="48"/>
      <c r="BT778" s="48"/>
      <c r="BU778" s="228">
        <v>0.17655916799999999</v>
      </c>
      <c r="BV778" s="48"/>
      <c r="BW778" s="48"/>
      <c r="BX778" s="48"/>
      <c r="BY778" s="48"/>
      <c r="BZ778" s="48"/>
      <c r="CA778" s="48"/>
      <c r="CB778" s="48"/>
      <c r="CC778" s="48"/>
      <c r="CD778" s="48"/>
      <c r="CE778" s="48"/>
      <c r="CF778" s="48"/>
      <c r="CG778" s="48"/>
      <c r="CH778" s="48"/>
      <c r="CI778" s="98"/>
      <c r="CJ778" s="98"/>
      <c r="CK778" s="49">
        <f t="shared" si="159"/>
        <v>967.05021543319128</v>
      </c>
      <c r="CL778" s="229"/>
      <c r="CM778" s="229"/>
      <c r="CN778" s="229"/>
      <c r="CO778" s="47" t="s">
        <v>2488</v>
      </c>
      <c r="CP778" s="500" t="s">
        <v>2489</v>
      </c>
      <c r="CQ778" s="224" t="s">
        <v>272</v>
      </c>
      <c r="CR778" s="224"/>
      <c r="CS778" s="230" t="s">
        <v>539</v>
      </c>
      <c r="CT778" s="230"/>
      <c r="CU778" s="230"/>
      <c r="CV778" s="335">
        <f t="shared" si="160"/>
        <v>156.25</v>
      </c>
      <c r="CW778" s="230">
        <f t="shared" si="158"/>
        <v>1</v>
      </c>
      <c r="CX778" s="336"/>
      <c r="CY778" s="230" t="s">
        <v>5921</v>
      </c>
    </row>
    <row r="779" spans="1:103" ht="11.25" customHeight="1" x14ac:dyDescent="0.2">
      <c r="A779" s="72">
        <v>1117</v>
      </c>
      <c r="B779" s="224">
        <v>1074</v>
      </c>
      <c r="C779" s="46" t="s">
        <v>7267</v>
      </c>
      <c r="D779" s="46"/>
      <c r="E779" s="114"/>
      <c r="F779" s="114" t="s">
        <v>3019</v>
      </c>
      <c r="G779" s="225">
        <v>486566</v>
      </c>
      <c r="H779" s="47" t="s">
        <v>3020</v>
      </c>
      <c r="I779" s="47" t="s">
        <v>3020</v>
      </c>
      <c r="J779" s="47" t="s">
        <v>3021</v>
      </c>
      <c r="K779" s="47" t="s">
        <v>471</v>
      </c>
      <c r="L779" s="47"/>
      <c r="M779" s="47"/>
      <c r="N779" s="47"/>
      <c r="O779" s="47"/>
      <c r="P779" s="53"/>
      <c r="Q779" s="53"/>
      <c r="R779" s="53"/>
      <c r="S779" s="53"/>
      <c r="T779" s="48">
        <v>176.22</v>
      </c>
      <c r="U779" s="98"/>
      <c r="V779" s="98">
        <v>998600</v>
      </c>
      <c r="W779" s="98">
        <v>35979.506060966436</v>
      </c>
      <c r="X779" s="98">
        <v>35979.506060966436</v>
      </c>
      <c r="Y779" s="233">
        <v>9.02</v>
      </c>
      <c r="Z779" s="48">
        <v>0.34</v>
      </c>
      <c r="AA779" s="48">
        <v>7.0000000000000007E-2</v>
      </c>
      <c r="AB779" s="48">
        <v>0.33</v>
      </c>
      <c r="AC779" s="48">
        <v>0.80900000000000005</v>
      </c>
      <c r="AD779" s="48">
        <v>0.17</v>
      </c>
      <c r="AE779" s="48">
        <v>-0.23</v>
      </c>
      <c r="AF779" s="48">
        <f t="shared" si="161"/>
        <v>7.0000000000000007E-2</v>
      </c>
      <c r="AG779" s="49">
        <v>0.64</v>
      </c>
      <c r="AH779" s="98">
        <v>3.3300000000000001E-12</v>
      </c>
      <c r="AI779" s="98"/>
      <c r="AJ779" s="483">
        <f t="shared" si="163"/>
        <v>-9.8661220928063322</v>
      </c>
      <c r="AK779" s="483"/>
      <c r="AL779" s="483">
        <f t="shared" si="162"/>
        <v>-9.8661220928063322</v>
      </c>
      <c r="AM779" s="483">
        <v>-11.15381</v>
      </c>
      <c r="AN779" s="226">
        <v>-10.8</v>
      </c>
      <c r="AO779" s="484"/>
      <c r="AP779" s="484">
        <v>4.72</v>
      </c>
      <c r="AQ779" s="48" t="s">
        <v>6311</v>
      </c>
      <c r="AR779" s="48" t="s">
        <v>6311</v>
      </c>
      <c r="AS779" s="227"/>
      <c r="AT779" s="50" t="s">
        <v>266</v>
      </c>
      <c r="AU779" s="48">
        <v>6</v>
      </c>
      <c r="AV779" s="48">
        <v>120</v>
      </c>
      <c r="AW779" s="48">
        <v>114</v>
      </c>
      <c r="AX779" s="48">
        <v>28</v>
      </c>
      <c r="AY779" s="48" t="s">
        <v>8728</v>
      </c>
      <c r="AZ779" s="48" t="s">
        <v>1563</v>
      </c>
      <c r="BA779" s="48">
        <v>32</v>
      </c>
      <c r="BB779" s="47" t="s">
        <v>2485</v>
      </c>
      <c r="BC779" s="47" t="s">
        <v>8726</v>
      </c>
      <c r="BD779" s="47" t="s">
        <v>8374</v>
      </c>
      <c r="BE779" s="48" t="s">
        <v>2449</v>
      </c>
      <c r="BF779" s="48" t="s">
        <v>272</v>
      </c>
      <c r="BG779" s="48" t="s">
        <v>272</v>
      </c>
      <c r="BH779" s="48" t="s">
        <v>2486</v>
      </c>
      <c r="BI779" s="98">
        <v>1.1278079999999999E-3</v>
      </c>
      <c r="BJ779" s="98">
        <v>11.278080000000001</v>
      </c>
      <c r="BK779" s="48"/>
      <c r="BL779" s="487">
        <v>4482.3028530814263</v>
      </c>
      <c r="BM779" s="47" t="s">
        <v>2487</v>
      </c>
      <c r="BN779" s="48"/>
      <c r="BO779" s="48"/>
      <c r="BP779" s="48"/>
      <c r="BQ779" s="48"/>
      <c r="BR779" s="47" t="e">
        <v>#VALUE!</v>
      </c>
      <c r="BS779" s="48"/>
      <c r="BT779" s="48"/>
      <c r="BU779" s="228">
        <v>0.11278080000000001</v>
      </c>
      <c r="BV779" s="48"/>
      <c r="BW779" s="48"/>
      <c r="BX779" s="48"/>
      <c r="BY779" s="48"/>
      <c r="BZ779" s="48"/>
      <c r="CA779" s="48"/>
      <c r="CB779" s="48"/>
      <c r="CC779" s="48"/>
      <c r="CD779" s="48"/>
      <c r="CE779" s="48"/>
      <c r="CF779" s="48"/>
      <c r="CG779" s="48"/>
      <c r="CH779" s="48"/>
      <c r="CI779" s="98"/>
      <c r="CJ779" s="98"/>
      <c r="CK779" s="49">
        <f t="shared" si="159"/>
        <v>397.43492270682827</v>
      </c>
      <c r="CL779" s="229"/>
      <c r="CM779" s="229"/>
      <c r="CN779" s="229"/>
      <c r="CO779" s="47" t="s">
        <v>2488</v>
      </c>
      <c r="CP779" s="500" t="s">
        <v>2489</v>
      </c>
      <c r="CQ779" s="224" t="s">
        <v>272</v>
      </c>
      <c r="CR779" s="224"/>
      <c r="CS779" s="230" t="s">
        <v>539</v>
      </c>
      <c r="CT779" s="230"/>
      <c r="CU779" s="230"/>
      <c r="CV779" s="335">
        <f t="shared" si="160"/>
        <v>3190.2155385461383</v>
      </c>
      <c r="CW779" s="230">
        <f t="shared" si="158"/>
        <v>1</v>
      </c>
      <c r="CX779" s="336"/>
      <c r="CY779" s="230" t="s">
        <v>5921</v>
      </c>
    </row>
    <row r="780" spans="1:103" ht="11.25" customHeight="1" x14ac:dyDescent="0.2">
      <c r="A780" s="72">
        <v>1118</v>
      </c>
      <c r="B780" s="224">
        <v>1087</v>
      </c>
      <c r="C780" s="46" t="s">
        <v>7268</v>
      </c>
      <c r="D780" s="46"/>
      <c r="E780" s="114"/>
      <c r="F780" s="114" t="s">
        <v>3042</v>
      </c>
      <c r="G780" s="225">
        <v>486668</v>
      </c>
      <c r="H780" s="47" t="s">
        <v>3043</v>
      </c>
      <c r="I780" s="47" t="s">
        <v>3043</v>
      </c>
      <c r="J780" s="47" t="s">
        <v>3044</v>
      </c>
      <c r="K780" s="47" t="s">
        <v>1903</v>
      </c>
      <c r="L780" s="47"/>
      <c r="M780" s="47"/>
      <c r="N780" s="47"/>
      <c r="O780" s="47"/>
      <c r="P780" s="53"/>
      <c r="Q780" s="53"/>
      <c r="R780" s="53"/>
      <c r="S780" s="53"/>
      <c r="T780" s="48">
        <v>254.24</v>
      </c>
      <c r="U780" s="98"/>
      <c r="V780" s="98">
        <v>568.4</v>
      </c>
      <c r="W780" s="98">
        <v>133.42704869390212</v>
      </c>
      <c r="X780" s="98">
        <v>133.42704869390212</v>
      </c>
      <c r="Y780" s="233">
        <v>5.16</v>
      </c>
      <c r="Z780" s="48">
        <v>2.5499999999999998</v>
      </c>
      <c r="AA780" s="48"/>
      <c r="AB780" s="48">
        <v>2.93</v>
      </c>
      <c r="AC780" s="48">
        <v>0.78859999999999997</v>
      </c>
      <c r="AD780" s="48">
        <v>2.91</v>
      </c>
      <c r="AE780" s="48">
        <v>2.78</v>
      </c>
      <c r="AF780" s="48">
        <f t="shared" si="161"/>
        <v>2.91</v>
      </c>
      <c r="AG780" s="49">
        <v>2.65</v>
      </c>
      <c r="AH780" s="98">
        <v>3.9099999999999999E-16</v>
      </c>
      <c r="AI780" s="98"/>
      <c r="AJ780" s="483">
        <f t="shared" si="163"/>
        <v>-13.796389568916785</v>
      </c>
      <c r="AK780" s="483"/>
      <c r="AL780" s="483">
        <f t="shared" si="162"/>
        <v>-13.796389568916785</v>
      </c>
      <c r="AM780" s="483">
        <v>-19.507349999999999</v>
      </c>
      <c r="AN780" s="226">
        <v>-15</v>
      </c>
      <c r="AO780" s="484">
        <v>7.01</v>
      </c>
      <c r="AP780" s="484"/>
      <c r="AQ780" s="48" t="s">
        <v>6311</v>
      </c>
      <c r="AR780" s="48" t="s">
        <v>6311</v>
      </c>
      <c r="AS780" s="227"/>
      <c r="AT780" s="50" t="s">
        <v>266</v>
      </c>
      <c r="AU780" s="48">
        <v>6</v>
      </c>
      <c r="AV780" s="48">
        <v>120</v>
      </c>
      <c r="AW780" s="48">
        <v>114</v>
      </c>
      <c r="AX780" s="48">
        <v>28</v>
      </c>
      <c r="AY780" s="48" t="s">
        <v>8728</v>
      </c>
      <c r="AZ780" s="48" t="s">
        <v>1563</v>
      </c>
      <c r="BA780" s="48">
        <v>32</v>
      </c>
      <c r="BB780" s="47" t="s">
        <v>2485</v>
      </c>
      <c r="BC780" s="47" t="s">
        <v>8726</v>
      </c>
      <c r="BD780" s="47" t="s">
        <v>8374</v>
      </c>
      <c r="BE780" s="48" t="s">
        <v>2449</v>
      </c>
      <c r="BF780" s="48" t="s">
        <v>272</v>
      </c>
      <c r="BG780" s="48" t="s">
        <v>272</v>
      </c>
      <c r="BH780" s="48" t="s">
        <v>2486</v>
      </c>
      <c r="BI780" s="98">
        <v>1.6271359999999999E-3</v>
      </c>
      <c r="BJ780" s="98">
        <v>16.271360000000001</v>
      </c>
      <c r="BK780" s="48"/>
      <c r="BL780" s="487">
        <v>66.971323227419973</v>
      </c>
      <c r="BM780" s="47" t="s">
        <v>2487</v>
      </c>
      <c r="BN780" s="48"/>
      <c r="BO780" s="48"/>
      <c r="BP780" s="48"/>
      <c r="BQ780" s="48"/>
      <c r="BR780" s="47" t="e">
        <v>#VALUE!</v>
      </c>
      <c r="BS780" s="48"/>
      <c r="BT780" s="48"/>
      <c r="BU780" s="228">
        <v>0.16271360000000001</v>
      </c>
      <c r="BV780" s="48"/>
      <c r="BW780" s="48"/>
      <c r="BX780" s="48"/>
      <c r="BY780" s="48"/>
      <c r="BZ780" s="48"/>
      <c r="CA780" s="48"/>
      <c r="CB780" s="48"/>
      <c r="CC780" s="48"/>
      <c r="CD780" s="48"/>
      <c r="CE780" s="48"/>
      <c r="CF780" s="48"/>
      <c r="CG780" s="48"/>
      <c r="CH780" s="48"/>
      <c r="CI780" s="98"/>
      <c r="CJ780" s="98"/>
      <c r="CK780" s="49">
        <f t="shared" si="159"/>
        <v>4.1159020037304792</v>
      </c>
      <c r="CL780" s="229"/>
      <c r="CM780" s="229"/>
      <c r="CN780" s="229"/>
      <c r="CO780" s="47" t="s">
        <v>2488</v>
      </c>
      <c r="CP780" s="500" t="s">
        <v>2489</v>
      </c>
      <c r="CQ780" s="224" t="s">
        <v>272</v>
      </c>
      <c r="CR780" s="224"/>
      <c r="CS780" s="230" t="s">
        <v>539</v>
      </c>
      <c r="CT780" s="230"/>
      <c r="CU780" s="230"/>
      <c r="CV780" s="335">
        <f t="shared" si="160"/>
        <v>8.2001165664026932</v>
      </c>
      <c r="CW780" s="230">
        <f t="shared" si="158"/>
        <v>1</v>
      </c>
      <c r="CX780" s="336"/>
      <c r="CY780" s="230" t="s">
        <v>5921</v>
      </c>
    </row>
    <row r="781" spans="1:103" ht="11.25" customHeight="1" x14ac:dyDescent="0.2">
      <c r="A781" s="72">
        <v>1119</v>
      </c>
      <c r="B781" s="224">
        <v>1440</v>
      </c>
      <c r="C781" s="46" t="s">
        <v>7269</v>
      </c>
      <c r="D781" s="46"/>
      <c r="E781" s="114"/>
      <c r="F781" s="114" t="s">
        <v>4429</v>
      </c>
      <c r="G781" s="225">
        <v>496720</v>
      </c>
      <c r="H781" s="47" t="s">
        <v>4430</v>
      </c>
      <c r="I781" s="47" t="s">
        <v>4430</v>
      </c>
      <c r="J781" s="47" t="s">
        <v>4431</v>
      </c>
      <c r="K781" s="47" t="s">
        <v>2667</v>
      </c>
      <c r="L781" s="47"/>
      <c r="M781" s="47"/>
      <c r="N781" s="47"/>
      <c r="O781" s="47"/>
      <c r="P781" s="53"/>
      <c r="Q781" s="53"/>
      <c r="R781" s="53"/>
      <c r="S781" s="53"/>
      <c r="T781" s="48">
        <v>122.17</v>
      </c>
      <c r="U781" s="98"/>
      <c r="V781" s="98">
        <v>26910</v>
      </c>
      <c r="W781" s="98">
        <v>22749.118548610248</v>
      </c>
      <c r="X781" s="98">
        <v>22749.118548610248</v>
      </c>
      <c r="Y781" s="233">
        <v>9.02</v>
      </c>
      <c r="Z781" s="48">
        <v>0.71</v>
      </c>
      <c r="AA781" s="48">
        <v>0.66</v>
      </c>
      <c r="AB781" s="48">
        <v>0.69</v>
      </c>
      <c r="AC781" s="48">
        <v>0.81369999999999998</v>
      </c>
      <c r="AD781" s="48">
        <v>0.64</v>
      </c>
      <c r="AE781" s="48">
        <v>0.51</v>
      </c>
      <c r="AF781" s="48">
        <f t="shared" si="161"/>
        <v>0.66</v>
      </c>
      <c r="AG781" s="49">
        <v>0.88</v>
      </c>
      <c r="AH781" s="98">
        <v>7.4300000000000002E-10</v>
      </c>
      <c r="AI781" s="98"/>
      <c r="AJ781" s="483">
        <f t="shared" si="163"/>
        <v>-7.5175775125520765</v>
      </c>
      <c r="AK781" s="483"/>
      <c r="AL781" s="483">
        <f t="shared" si="162"/>
        <v>-7.5175775125520765</v>
      </c>
      <c r="AM781" s="483">
        <v>-9.9274100000000001</v>
      </c>
      <c r="AN781" s="226">
        <v>-5.59</v>
      </c>
      <c r="AO781" s="484"/>
      <c r="AP781" s="484">
        <v>4.59</v>
      </c>
      <c r="AQ781" s="48" t="s">
        <v>6311</v>
      </c>
      <c r="AR781" s="48" t="s">
        <v>6311</v>
      </c>
      <c r="AS781" s="227"/>
      <c r="AT781" s="50" t="s">
        <v>266</v>
      </c>
      <c r="AU781" s="48">
        <v>6</v>
      </c>
      <c r="AV781" s="48">
        <v>120</v>
      </c>
      <c r="AW781" s="48">
        <v>114</v>
      </c>
      <c r="AX781" s="48">
        <v>28</v>
      </c>
      <c r="AY781" s="48" t="s">
        <v>8728</v>
      </c>
      <c r="AZ781" s="48" t="s">
        <v>1563</v>
      </c>
      <c r="BA781" s="48">
        <v>32</v>
      </c>
      <c r="BB781" s="47" t="s">
        <v>2485</v>
      </c>
      <c r="BC781" s="47" t="s">
        <v>8726</v>
      </c>
      <c r="BD781" s="47" t="s">
        <v>8374</v>
      </c>
      <c r="BE781" s="48" t="s">
        <v>2449</v>
      </c>
      <c r="BF781" s="48" t="s">
        <v>272</v>
      </c>
      <c r="BG781" s="48" t="s">
        <v>272</v>
      </c>
      <c r="BH781" s="48" t="s">
        <v>2486</v>
      </c>
      <c r="BI781" s="98">
        <v>7.8188800000000001E-4</v>
      </c>
      <c r="BJ781" s="98">
        <v>7.8188800000000001</v>
      </c>
      <c r="BK781" s="48"/>
      <c r="BL781" s="487">
        <v>1445.8178222135352</v>
      </c>
      <c r="BM781" s="47" t="s">
        <v>2487</v>
      </c>
      <c r="BN781" s="48"/>
      <c r="BO781" s="48"/>
      <c r="BP781" s="48"/>
      <c r="BQ781" s="48"/>
      <c r="BR781" s="47" t="e">
        <v>#VALUE!</v>
      </c>
      <c r="BS781" s="48"/>
      <c r="BT781" s="48"/>
      <c r="BU781" s="228"/>
      <c r="BV781" s="48"/>
      <c r="BW781" s="48"/>
      <c r="BX781" s="48"/>
      <c r="BY781" s="48"/>
      <c r="BZ781" s="48"/>
      <c r="CA781" s="48"/>
      <c r="CB781" s="48"/>
      <c r="CC781" s="48"/>
      <c r="CD781" s="48"/>
      <c r="CE781" s="48"/>
      <c r="CF781" s="48"/>
      <c r="CG781" s="48"/>
      <c r="CH781" s="48"/>
      <c r="CI781" s="98"/>
      <c r="CJ781" s="98"/>
      <c r="CK781" s="49">
        <f t="shared" si="159"/>
        <v>184.91367334113519</v>
      </c>
      <c r="CL781" s="229"/>
      <c r="CM781" s="229"/>
      <c r="CN781" s="229"/>
      <c r="CO781" s="47" t="s">
        <v>2488</v>
      </c>
      <c r="CP781" s="500" t="s">
        <v>2489</v>
      </c>
      <c r="CQ781" s="224" t="s">
        <v>272</v>
      </c>
      <c r="CR781" s="224"/>
      <c r="CS781" s="230" t="s">
        <v>539</v>
      </c>
      <c r="CT781" s="230"/>
      <c r="CU781" s="230"/>
      <c r="CV781" s="335">
        <f t="shared" si="160"/>
        <v>2909.5111510357297</v>
      </c>
      <c r="CW781" s="230">
        <f t="shared" si="158"/>
        <v>1</v>
      </c>
      <c r="CX781" s="336"/>
      <c r="CY781" s="230" t="s">
        <v>5921</v>
      </c>
    </row>
    <row r="782" spans="1:103" ht="11.25" customHeight="1" x14ac:dyDescent="0.2">
      <c r="A782" s="72">
        <v>1120</v>
      </c>
      <c r="B782" s="224">
        <v>1552</v>
      </c>
      <c r="C782" s="46" t="s">
        <v>7270</v>
      </c>
      <c r="D782" s="46" t="s">
        <v>8607</v>
      </c>
      <c r="E782" s="114"/>
      <c r="F782" s="114" t="s">
        <v>4682</v>
      </c>
      <c r="G782" s="225">
        <v>510156</v>
      </c>
      <c r="H782" s="47" t="s">
        <v>4683</v>
      </c>
      <c r="I782" s="47" t="s">
        <v>8052</v>
      </c>
      <c r="J782" s="47" t="s">
        <v>4684</v>
      </c>
      <c r="K782" s="47" t="s">
        <v>4685</v>
      </c>
      <c r="L782" s="47"/>
      <c r="M782" s="47" t="s">
        <v>8497</v>
      </c>
      <c r="N782" s="47" t="s">
        <v>6376</v>
      </c>
      <c r="O782" s="47"/>
      <c r="P782" s="53"/>
      <c r="Q782" s="53"/>
      <c r="R782" s="53"/>
      <c r="S782" s="53"/>
      <c r="T782" s="48">
        <v>325.19</v>
      </c>
      <c r="U782" s="98">
        <v>12.999999999999998</v>
      </c>
      <c r="V782" s="98">
        <v>2.528</v>
      </c>
      <c r="W782" s="98">
        <v>11.275535639865874</v>
      </c>
      <c r="X782" s="98">
        <v>12.999999999999998</v>
      </c>
      <c r="Y782" s="233">
        <v>6.99</v>
      </c>
      <c r="Z782" s="48">
        <v>3.99</v>
      </c>
      <c r="AA782" s="48">
        <v>4.74</v>
      </c>
      <c r="AB782" s="48">
        <v>4.51</v>
      </c>
      <c r="AC782" s="48">
        <v>0.68520000000000003</v>
      </c>
      <c r="AD782" s="48">
        <v>4.5999999999999996</v>
      </c>
      <c r="AE782" s="48">
        <v>4.7300000000000004</v>
      </c>
      <c r="AF782" s="48">
        <f t="shared" si="161"/>
        <v>4.74</v>
      </c>
      <c r="AG782" s="49">
        <v>1.1399999999999999</v>
      </c>
      <c r="AH782" s="98">
        <v>1.3E-7</v>
      </c>
      <c r="AI782" s="98">
        <v>7.24E-8</v>
      </c>
      <c r="AJ782" s="483">
        <f t="shared" si="163"/>
        <v>-5.2746229740058155</v>
      </c>
      <c r="AK782" s="483">
        <f>LOG10(AI782*1000/(0.08206*298.15))</f>
        <v>-5.5288277601155054</v>
      </c>
      <c r="AL782" s="483">
        <f t="shared" si="162"/>
        <v>-5.5288277601155054</v>
      </c>
      <c r="AM782" s="483">
        <v>-12.0824</v>
      </c>
      <c r="AN782" s="226">
        <v>-8.6300000000000008</v>
      </c>
      <c r="AO782" s="484">
        <v>11.11</v>
      </c>
      <c r="AP782" s="484"/>
      <c r="AQ782" s="48" t="s">
        <v>6311</v>
      </c>
      <c r="AR782" s="48" t="s">
        <v>6312</v>
      </c>
      <c r="AS782" s="227"/>
      <c r="AT782" s="50" t="s">
        <v>266</v>
      </c>
      <c r="AU782" s="48">
        <v>6</v>
      </c>
      <c r="AV782" s="48">
        <v>120</v>
      </c>
      <c r="AW782" s="48">
        <v>114</v>
      </c>
      <c r="AX782" s="48">
        <v>28</v>
      </c>
      <c r="AY782" s="48" t="s">
        <v>8728</v>
      </c>
      <c r="AZ782" s="48" t="s">
        <v>1563</v>
      </c>
      <c r="BA782" s="48">
        <v>32</v>
      </c>
      <c r="BB782" s="47" t="s">
        <v>2485</v>
      </c>
      <c r="BC782" s="47" t="s">
        <v>8726</v>
      </c>
      <c r="BD782" s="47" t="s">
        <v>8374</v>
      </c>
      <c r="BE782" s="48" t="s">
        <v>2449</v>
      </c>
      <c r="BF782" s="48" t="s">
        <v>272</v>
      </c>
      <c r="BG782" s="48" t="s">
        <v>272</v>
      </c>
      <c r="BH782" s="48" t="s">
        <v>2486</v>
      </c>
      <c r="BI782" s="98">
        <v>2.0812159999999999E-3</v>
      </c>
      <c r="BJ782" s="98">
        <v>20.812159999999999</v>
      </c>
      <c r="BK782" s="48"/>
      <c r="BL782" s="487">
        <v>4.360318183808598</v>
      </c>
      <c r="BM782" s="47" t="s">
        <v>2487</v>
      </c>
      <c r="BN782" s="48"/>
      <c r="BO782" s="48"/>
      <c r="BP782" s="48"/>
      <c r="BQ782" s="48"/>
      <c r="BR782" s="47" t="e">
        <v>#VALUE!</v>
      </c>
      <c r="BS782" s="48"/>
      <c r="BT782" s="48"/>
      <c r="BU782" s="228"/>
      <c r="BV782" s="48"/>
      <c r="BW782" s="48"/>
      <c r="BX782" s="48"/>
      <c r="BY782" s="48"/>
      <c r="BZ782" s="48"/>
      <c r="CA782" s="48"/>
      <c r="CB782" s="48"/>
      <c r="CC782" s="48"/>
      <c r="CD782" s="48"/>
      <c r="CE782" s="48"/>
      <c r="CF782" s="48"/>
      <c r="CG782" s="48"/>
      <c r="CH782" s="48"/>
      <c r="CI782" s="98"/>
      <c r="CJ782" s="98"/>
      <c r="CK782" s="49">
        <f t="shared" si="159"/>
        <v>0.20950820019683677</v>
      </c>
      <c r="CL782" s="229"/>
      <c r="CM782" s="229"/>
      <c r="CN782" s="229"/>
      <c r="CO782" s="47" t="s">
        <v>2488</v>
      </c>
      <c r="CP782" s="500" t="s">
        <v>2489</v>
      </c>
      <c r="CQ782" s="224">
        <v>4.8046045887862675E-2</v>
      </c>
      <c r="CR782" s="224">
        <f>10^(CJ782-CQ782)</f>
        <v>0.89526983991318276</v>
      </c>
      <c r="CS782" s="230" t="s">
        <v>539</v>
      </c>
      <c r="CT782" s="230"/>
      <c r="CU782" s="230"/>
      <c r="CV782" s="335">
        <f t="shared" si="160"/>
        <v>0.62463482886927635</v>
      </c>
      <c r="CW782" s="230">
        <f t="shared" si="158"/>
        <v>0</v>
      </c>
      <c r="CX782" s="336"/>
      <c r="CY782" s="230" t="s">
        <v>5921</v>
      </c>
    </row>
    <row r="783" spans="1:103" ht="11.25" customHeight="1" x14ac:dyDescent="0.2">
      <c r="A783" s="72">
        <v>1121</v>
      </c>
      <c r="B783" s="224">
        <v>1002</v>
      </c>
      <c r="C783" s="46" t="s">
        <v>7271</v>
      </c>
      <c r="D783" s="46"/>
      <c r="E783" s="114"/>
      <c r="F783" s="114" t="s">
        <v>2859</v>
      </c>
      <c r="G783" s="225">
        <v>521186</v>
      </c>
      <c r="H783" s="47" t="s">
        <v>2860</v>
      </c>
      <c r="I783" s="47" t="s">
        <v>2860</v>
      </c>
      <c r="J783" s="47" t="s">
        <v>2861</v>
      </c>
      <c r="K783" s="47" t="s">
        <v>426</v>
      </c>
      <c r="L783" s="47"/>
      <c r="M783" s="47"/>
      <c r="N783" s="47"/>
      <c r="O783" s="47"/>
      <c r="P783" s="53"/>
      <c r="Q783" s="53"/>
      <c r="R783" s="53"/>
      <c r="S783" s="53"/>
      <c r="T783" s="48">
        <v>290.44</v>
      </c>
      <c r="U783" s="98">
        <v>525000</v>
      </c>
      <c r="V783" s="98">
        <v>41.97</v>
      </c>
      <c r="W783" s="98">
        <v>9.3984541718641097</v>
      </c>
      <c r="X783" s="98">
        <v>525000</v>
      </c>
      <c r="Y783" s="233">
        <v>7</v>
      </c>
      <c r="Z783" s="48">
        <v>3.07</v>
      </c>
      <c r="AA783" s="48">
        <v>3.55</v>
      </c>
      <c r="AB783" s="48">
        <v>3.68</v>
      </c>
      <c r="AC783" s="48">
        <v>0.95599999999999996</v>
      </c>
      <c r="AD783" s="48">
        <v>3.69</v>
      </c>
      <c r="AE783" s="48">
        <v>3.75</v>
      </c>
      <c r="AF783" s="48">
        <f t="shared" si="161"/>
        <v>3.55</v>
      </c>
      <c r="AG783" s="49">
        <v>3.35</v>
      </c>
      <c r="AH783" s="98">
        <v>6.3700000000000001E-9</v>
      </c>
      <c r="AI783" s="98"/>
      <c r="AJ783" s="483">
        <f t="shared" si="163"/>
        <v>-6.5844268939773016</v>
      </c>
      <c r="AK783" s="483"/>
      <c r="AL783" s="483">
        <f t="shared" si="162"/>
        <v>-6.5844268939773016</v>
      </c>
      <c r="AM783" s="483">
        <v>-14.185899999999998</v>
      </c>
      <c r="AN783" s="226">
        <v>-7.52</v>
      </c>
      <c r="AO783" s="484">
        <v>15.09</v>
      </c>
      <c r="AP783" s="484"/>
      <c r="AQ783" s="48" t="s">
        <v>6311</v>
      </c>
      <c r="AR783" s="48" t="s">
        <v>6311</v>
      </c>
      <c r="AS783" s="227"/>
      <c r="AT783" s="50" t="s">
        <v>266</v>
      </c>
      <c r="AU783" s="48">
        <v>6</v>
      </c>
      <c r="AV783" s="48">
        <v>120</v>
      </c>
      <c r="AW783" s="48">
        <v>114</v>
      </c>
      <c r="AX783" s="48">
        <v>28</v>
      </c>
      <c r="AY783" s="48" t="s">
        <v>8728</v>
      </c>
      <c r="AZ783" s="48" t="s">
        <v>1563</v>
      </c>
      <c r="BA783" s="48">
        <v>32</v>
      </c>
      <c r="BB783" s="47" t="s">
        <v>2485</v>
      </c>
      <c r="BC783" s="47" t="s">
        <v>8726</v>
      </c>
      <c r="BD783" s="47" t="s">
        <v>8374</v>
      </c>
      <c r="BE783" s="48" t="s">
        <v>2449</v>
      </c>
      <c r="BF783" s="48" t="s">
        <v>272</v>
      </c>
      <c r="BG783" s="48" t="s">
        <v>272</v>
      </c>
      <c r="BH783" s="48" t="s">
        <v>2486</v>
      </c>
      <c r="BI783" s="98">
        <v>1.8588159999999999E-3</v>
      </c>
      <c r="BJ783" s="98">
        <v>18.588160000000002</v>
      </c>
      <c r="BK783" s="48"/>
      <c r="BL783" s="487">
        <v>26.102940178757098</v>
      </c>
      <c r="BM783" s="47" t="s">
        <v>2487</v>
      </c>
      <c r="BN783" s="48"/>
      <c r="BO783" s="48"/>
      <c r="BP783" s="48"/>
      <c r="BQ783" s="48"/>
      <c r="BR783" s="47" t="e">
        <v>#VALUE!</v>
      </c>
      <c r="BS783" s="48"/>
      <c r="BT783" s="48"/>
      <c r="BU783" s="228">
        <v>1.8588159999999999E-2</v>
      </c>
      <c r="BV783" s="48"/>
      <c r="BW783" s="48"/>
      <c r="BX783" s="48"/>
      <c r="BY783" s="48"/>
      <c r="BZ783" s="48"/>
      <c r="CA783" s="48"/>
      <c r="CB783" s="48"/>
      <c r="CC783" s="48"/>
      <c r="CD783" s="48"/>
      <c r="CE783" s="48"/>
      <c r="CF783" s="48"/>
      <c r="CG783" s="48"/>
      <c r="CH783" s="48"/>
      <c r="CI783" s="98"/>
      <c r="CJ783" s="98"/>
      <c r="CK783" s="49">
        <f t="shared" si="159"/>
        <v>1.4042777864380926</v>
      </c>
      <c r="CL783" s="229"/>
      <c r="CM783" s="229"/>
      <c r="CN783" s="229"/>
      <c r="CO783" s="47" t="s">
        <v>2488</v>
      </c>
      <c r="CP783" s="500" t="s">
        <v>2489</v>
      </c>
      <c r="CQ783" s="224" t="s">
        <v>272</v>
      </c>
      <c r="CR783" s="224"/>
      <c r="CS783" s="230" t="s">
        <v>539</v>
      </c>
      <c r="CT783" s="230"/>
      <c r="CU783" s="230"/>
      <c r="CV783" s="335">
        <f t="shared" si="160"/>
        <v>28243.785291282191</v>
      </c>
      <c r="CW783" s="230">
        <f t="shared" si="158"/>
        <v>1</v>
      </c>
      <c r="CX783" s="336"/>
      <c r="CY783" s="230" t="s">
        <v>6351</v>
      </c>
    </row>
    <row r="784" spans="1:103" ht="11.25" customHeight="1" x14ac:dyDescent="0.2">
      <c r="A784" s="72">
        <v>1122</v>
      </c>
      <c r="B784" s="224">
        <v>1417</v>
      </c>
      <c r="C784" s="46" t="s">
        <v>7272</v>
      </c>
      <c r="D784" s="46"/>
      <c r="E784" s="114"/>
      <c r="F784" s="114" t="s">
        <v>4358</v>
      </c>
      <c r="G784" s="225">
        <v>527606</v>
      </c>
      <c r="H784" s="47" t="s">
        <v>4359</v>
      </c>
      <c r="I784" s="47" t="s">
        <v>4359</v>
      </c>
      <c r="J784" s="47" t="s">
        <v>4360</v>
      </c>
      <c r="K784" s="47" t="s">
        <v>349</v>
      </c>
      <c r="L784" s="47" t="s">
        <v>6025</v>
      </c>
      <c r="M784" s="47" t="s">
        <v>6082</v>
      </c>
      <c r="N784" s="47"/>
      <c r="O784" s="47" t="s">
        <v>6083</v>
      </c>
      <c r="P784" s="53" t="s">
        <v>6184</v>
      </c>
      <c r="Q784" s="53" t="s">
        <v>6173</v>
      </c>
      <c r="R784" s="53" t="s">
        <v>6185</v>
      </c>
      <c r="S784" s="53" t="s">
        <v>6176</v>
      </c>
      <c r="T784" s="48">
        <v>136.19</v>
      </c>
      <c r="U784" s="98">
        <v>1200</v>
      </c>
      <c r="V784" s="98">
        <v>1539</v>
      </c>
      <c r="W784" s="98">
        <v>2109.3333532969073</v>
      </c>
      <c r="X784" s="98">
        <v>1200</v>
      </c>
      <c r="Y784" s="233">
        <v>6.38</v>
      </c>
      <c r="Z784" s="48">
        <v>3.15</v>
      </c>
      <c r="AA784" s="48">
        <v>2.73</v>
      </c>
      <c r="AB784" s="48">
        <v>2.72</v>
      </c>
      <c r="AC784" s="48">
        <v>0.95220000000000005</v>
      </c>
      <c r="AD784" s="48">
        <v>2.75</v>
      </c>
      <c r="AE784" s="48">
        <v>2.86</v>
      </c>
      <c r="AF784" s="48">
        <f t="shared" si="161"/>
        <v>2.73</v>
      </c>
      <c r="AG784" s="49">
        <v>2.84</v>
      </c>
      <c r="AH784" s="98">
        <v>7.5300000000000003E-7</v>
      </c>
      <c r="AI784" s="98">
        <v>2.6000000000000001E-6</v>
      </c>
      <c r="AJ784" s="483">
        <f t="shared" si="163"/>
        <v>-4.5117713501119514</v>
      </c>
      <c r="AK784" s="483">
        <f>LOG10(AI784*1000/(0.08206*298.15))</f>
        <v>-3.9735929783418338</v>
      </c>
      <c r="AL784" s="483">
        <f t="shared" si="162"/>
        <v>-3.9735929783418338</v>
      </c>
      <c r="AM784" s="483">
        <v>-5.6314799999999998</v>
      </c>
      <c r="AN784" s="226">
        <v>-3.66</v>
      </c>
      <c r="AO784" s="484">
        <v>10.97</v>
      </c>
      <c r="AP784" s="484"/>
      <c r="AQ784" s="48" t="s">
        <v>6311</v>
      </c>
      <c r="AR784" s="48" t="s">
        <v>6311</v>
      </c>
      <c r="AS784" s="227"/>
      <c r="AT784" s="50" t="s">
        <v>266</v>
      </c>
      <c r="AU784" s="48">
        <v>6</v>
      </c>
      <c r="AV784" s="48">
        <v>120</v>
      </c>
      <c r="AW784" s="48">
        <v>114</v>
      </c>
      <c r="AX784" s="48">
        <v>28</v>
      </c>
      <c r="AY784" s="48" t="s">
        <v>8728</v>
      </c>
      <c r="AZ784" s="48" t="s">
        <v>1563</v>
      </c>
      <c r="BA784" s="48">
        <v>32</v>
      </c>
      <c r="BB784" s="47" t="s">
        <v>2485</v>
      </c>
      <c r="BC784" s="47" t="s">
        <v>8726</v>
      </c>
      <c r="BD784" s="47" t="s">
        <v>8374</v>
      </c>
      <c r="BE784" s="48" t="s">
        <v>2449</v>
      </c>
      <c r="BF784" s="48" t="s">
        <v>272</v>
      </c>
      <c r="BG784" s="48" t="s">
        <v>272</v>
      </c>
      <c r="BH784" s="48" t="s">
        <v>2486</v>
      </c>
      <c r="BI784" s="98">
        <v>8.7161599999999997E-4</v>
      </c>
      <c r="BJ784" s="98">
        <v>8.7161600000000004</v>
      </c>
      <c r="BK784" s="48"/>
      <c r="BL784" s="487">
        <v>10.373617246808909</v>
      </c>
      <c r="BM784" s="47" t="s">
        <v>2487</v>
      </c>
      <c r="BN784" s="48"/>
      <c r="BO784" s="48"/>
      <c r="BP784" s="48"/>
      <c r="BQ784" s="48"/>
      <c r="BR784" s="47" t="e">
        <v>#VALUE!</v>
      </c>
      <c r="BS784" s="48"/>
      <c r="BT784" s="48"/>
      <c r="BU784" s="228"/>
      <c r="BV784" s="48"/>
      <c r="BW784" s="48"/>
      <c r="BX784" s="48"/>
      <c r="BY784" s="48"/>
      <c r="BZ784" s="48"/>
      <c r="CA784" s="48"/>
      <c r="CB784" s="48"/>
      <c r="CC784" s="48"/>
      <c r="CD784" s="48"/>
      <c r="CE784" s="48"/>
      <c r="CF784" s="48"/>
      <c r="CG784" s="48"/>
      <c r="CH784" s="48"/>
      <c r="CI784" s="98"/>
      <c r="CJ784" s="98"/>
      <c r="CK784" s="49">
        <f t="shared" si="159"/>
        <v>1.19015911213297</v>
      </c>
      <c r="CL784" s="229"/>
      <c r="CM784" s="229"/>
      <c r="CN784" s="229"/>
      <c r="CO784" s="47" t="s">
        <v>2488</v>
      </c>
      <c r="CP784" s="500" t="s">
        <v>2489</v>
      </c>
      <c r="CQ784" s="224">
        <v>1.1139433523068367</v>
      </c>
      <c r="CR784" s="224">
        <f>10^(CJ784-CQ784)</f>
        <v>7.6923076923076927E-2</v>
      </c>
      <c r="CS784" s="230" t="s">
        <v>539</v>
      </c>
      <c r="CT784" s="230"/>
      <c r="CU784" s="230"/>
      <c r="CV784" s="335">
        <f t="shared" si="160"/>
        <v>137.67530655701592</v>
      </c>
      <c r="CW784" s="230">
        <f t="shared" si="158"/>
        <v>1</v>
      </c>
      <c r="CX784" s="336"/>
      <c r="CY784" s="230" t="s">
        <v>5921</v>
      </c>
    </row>
    <row r="785" spans="1:103" ht="11.25" customHeight="1" x14ac:dyDescent="0.2">
      <c r="A785" s="72">
        <v>1123</v>
      </c>
      <c r="B785" s="224">
        <v>947</v>
      </c>
      <c r="C785" s="46" t="s">
        <v>7273</v>
      </c>
      <c r="D785" s="46"/>
      <c r="E785" s="114"/>
      <c r="F785" s="114" t="s">
        <v>2703</v>
      </c>
      <c r="G785" s="225">
        <v>532274</v>
      </c>
      <c r="H785" s="47" t="s">
        <v>2704</v>
      </c>
      <c r="I785" s="47" t="s">
        <v>8053</v>
      </c>
      <c r="J785" s="47" t="s">
        <v>2705</v>
      </c>
      <c r="K785" s="47" t="s">
        <v>2706</v>
      </c>
      <c r="L785" s="47"/>
      <c r="M785" s="47"/>
      <c r="N785" s="47"/>
      <c r="O785" s="47"/>
      <c r="P785" s="53"/>
      <c r="Q785" s="53"/>
      <c r="R785" s="53"/>
      <c r="S785" s="53"/>
      <c r="T785" s="48">
        <v>154.59</v>
      </c>
      <c r="U785" s="98"/>
      <c r="V785" s="98">
        <v>1635.0000000000002</v>
      </c>
      <c r="W785" s="98">
        <v>1227.9520180602665</v>
      </c>
      <c r="X785" s="98">
        <v>1227.9520180602665</v>
      </c>
      <c r="Y785" s="233">
        <v>7</v>
      </c>
      <c r="Z785" s="48">
        <v>1.93</v>
      </c>
      <c r="AA785" s="48"/>
      <c r="AB785" s="48">
        <v>1.94</v>
      </c>
      <c r="AC785" s="48">
        <v>0.84799999999999998</v>
      </c>
      <c r="AD785" s="48">
        <v>1.91</v>
      </c>
      <c r="AE785" s="48">
        <v>1.85</v>
      </c>
      <c r="AF785" s="48">
        <f t="shared" si="161"/>
        <v>1.91</v>
      </c>
      <c r="AG785" s="49">
        <v>1.98</v>
      </c>
      <c r="AH785" s="98">
        <v>3.4599999999999999E-6</v>
      </c>
      <c r="AI785" s="98"/>
      <c r="AJ785" s="483">
        <f t="shared" si="163"/>
        <v>-3.8494902275198752</v>
      </c>
      <c r="AK785" s="483"/>
      <c r="AL785" s="483">
        <f t="shared" si="162"/>
        <v>-3.8494902275198752</v>
      </c>
      <c r="AM785" s="483">
        <v>-6.1071499999999999</v>
      </c>
      <c r="AN785" s="226">
        <v>-4.01</v>
      </c>
      <c r="AO785" s="484"/>
      <c r="AP785" s="484"/>
      <c r="AQ785" s="48" t="s">
        <v>6311</v>
      </c>
      <c r="AR785" s="48" t="s">
        <v>6311</v>
      </c>
      <c r="AS785" s="227"/>
      <c r="AT785" s="50" t="s">
        <v>266</v>
      </c>
      <c r="AU785" s="48">
        <v>6</v>
      </c>
      <c r="AV785" s="48">
        <v>120</v>
      </c>
      <c r="AW785" s="48">
        <v>114</v>
      </c>
      <c r="AX785" s="48">
        <v>28</v>
      </c>
      <c r="AY785" s="48" t="s">
        <v>8728</v>
      </c>
      <c r="AZ785" s="48" t="s">
        <v>1563</v>
      </c>
      <c r="BA785" s="48">
        <v>32</v>
      </c>
      <c r="BB785" s="47" t="s">
        <v>2485</v>
      </c>
      <c r="BC785" s="47" t="s">
        <v>8726</v>
      </c>
      <c r="BD785" s="47" t="s">
        <v>8374</v>
      </c>
      <c r="BE785" s="48" t="s">
        <v>2449</v>
      </c>
      <c r="BF785" s="48" t="s">
        <v>272</v>
      </c>
      <c r="BG785" s="48" t="s">
        <v>272</v>
      </c>
      <c r="BH785" s="48" t="s">
        <v>2486</v>
      </c>
      <c r="BI785" s="98">
        <v>9.8937599999999993E-4</v>
      </c>
      <c r="BJ785" s="98">
        <v>9.8937600000000003</v>
      </c>
      <c r="BK785" s="48"/>
      <c r="BL785" s="487">
        <v>146.77375229415389</v>
      </c>
      <c r="BM785" s="47" t="s">
        <v>2487</v>
      </c>
      <c r="BN785" s="48"/>
      <c r="BO785" s="48"/>
      <c r="BP785" s="48"/>
      <c r="BQ785" s="48"/>
      <c r="BR785" s="47" t="e">
        <v>#VALUE!</v>
      </c>
      <c r="BS785" s="48"/>
      <c r="BT785" s="48"/>
      <c r="BU785" s="228">
        <v>9.8937599999999993E-4</v>
      </c>
      <c r="BV785" s="48"/>
      <c r="BW785" s="48"/>
      <c r="BX785" s="48"/>
      <c r="BY785" s="48"/>
      <c r="BZ785" s="48"/>
      <c r="CA785" s="48"/>
      <c r="CB785" s="48"/>
      <c r="CC785" s="48"/>
      <c r="CD785" s="48"/>
      <c r="CE785" s="48"/>
      <c r="CF785" s="48"/>
      <c r="CG785" s="48"/>
      <c r="CH785" s="48"/>
      <c r="CI785" s="98"/>
      <c r="CJ785" s="98"/>
      <c r="CK785" s="49">
        <f t="shared" si="159"/>
        <v>14.834982079022929</v>
      </c>
      <c r="CL785" s="229"/>
      <c r="CM785" s="229"/>
      <c r="CN785" s="229"/>
      <c r="CO785" s="47" t="s">
        <v>2488</v>
      </c>
      <c r="CP785" s="500" t="s">
        <v>2489</v>
      </c>
      <c r="CQ785" s="224" t="s">
        <v>272</v>
      </c>
      <c r="CR785" s="224"/>
      <c r="CS785" s="230" t="s">
        <v>539</v>
      </c>
      <c r="CT785" s="230"/>
      <c r="CU785" s="230"/>
      <c r="CV785" s="335">
        <f t="shared" si="160"/>
        <v>124.11378667566895</v>
      </c>
      <c r="CW785" s="230">
        <f t="shared" si="158"/>
        <v>1</v>
      </c>
      <c r="CX785" s="336"/>
      <c r="CY785" s="230" t="s">
        <v>5921</v>
      </c>
    </row>
    <row r="786" spans="1:103" ht="11.25" customHeight="1" x14ac:dyDescent="0.2">
      <c r="A786" s="72">
        <v>1124</v>
      </c>
      <c r="B786" s="224">
        <v>1864</v>
      </c>
      <c r="C786" s="46" t="s">
        <v>7274</v>
      </c>
      <c r="D786" s="46"/>
      <c r="E786" s="114"/>
      <c r="F786" s="114" t="s">
        <v>5298</v>
      </c>
      <c r="G786" s="225">
        <v>532321</v>
      </c>
      <c r="H786" s="47" t="s">
        <v>5299</v>
      </c>
      <c r="I786" s="47" t="s">
        <v>5299</v>
      </c>
      <c r="J786" s="47" t="s">
        <v>5300</v>
      </c>
      <c r="K786" s="47" t="s">
        <v>426</v>
      </c>
      <c r="L786" s="47" t="s">
        <v>6165</v>
      </c>
      <c r="M786" s="47" t="s">
        <v>5960</v>
      </c>
      <c r="N786" s="47"/>
      <c r="O786" s="47"/>
      <c r="P786" s="53"/>
      <c r="Q786" s="53"/>
      <c r="R786" s="53"/>
      <c r="S786" s="53"/>
      <c r="T786" s="48">
        <v>122.12</v>
      </c>
      <c r="U786" s="98">
        <v>3400</v>
      </c>
      <c r="V786" s="98">
        <v>2493</v>
      </c>
      <c r="W786" s="98">
        <v>4234.3504177263158</v>
      </c>
      <c r="X786" s="98">
        <v>3400</v>
      </c>
      <c r="Y786" s="233">
        <v>2.84</v>
      </c>
      <c r="Z786" s="48">
        <v>1.87</v>
      </c>
      <c r="AA786" s="48">
        <v>1.87</v>
      </c>
      <c r="AB786" s="48">
        <v>1.87</v>
      </c>
      <c r="AC786" s="48">
        <v>0.87239999999999995</v>
      </c>
      <c r="AD786" s="48">
        <v>1.87</v>
      </c>
      <c r="AE786" s="48">
        <v>1.89</v>
      </c>
      <c r="AF786" s="48">
        <f t="shared" si="161"/>
        <v>1.87</v>
      </c>
      <c r="AG786" s="49">
        <v>1.87</v>
      </c>
      <c r="AH786" s="98">
        <v>1.08E-7</v>
      </c>
      <c r="AI786" s="98">
        <v>3.8099999999999997E-8</v>
      </c>
      <c r="AJ786" s="483">
        <f t="shared" si="163"/>
        <v>-5.3551425708257021</v>
      </c>
      <c r="AK786" s="483">
        <f>LOG10(AI786*1000/(0.08206*298.15))</f>
        <v>-5.8076413506370326</v>
      </c>
      <c r="AL786" s="483">
        <f t="shared" si="162"/>
        <v>-5.8076413506370326</v>
      </c>
      <c r="AM786" s="483">
        <v>-7.6162700000000001</v>
      </c>
      <c r="AN786" s="226"/>
      <c r="AO786" s="484">
        <v>4.2</v>
      </c>
      <c r="AP786" s="484"/>
      <c r="AQ786" s="226" t="s">
        <v>6311</v>
      </c>
      <c r="AR786" s="226" t="s">
        <v>6311</v>
      </c>
      <c r="AS786" s="224"/>
      <c r="AT786" s="50" t="s">
        <v>266</v>
      </c>
      <c r="AU786" s="48">
        <v>6</v>
      </c>
      <c r="AV786" s="48">
        <v>120</v>
      </c>
      <c r="AW786" s="48">
        <v>114</v>
      </c>
      <c r="AX786" s="48">
        <v>28</v>
      </c>
      <c r="AY786" s="48" t="s">
        <v>8728</v>
      </c>
      <c r="AZ786" s="48" t="s">
        <v>1563</v>
      </c>
      <c r="BA786" s="48">
        <v>32</v>
      </c>
      <c r="BB786" s="47" t="s">
        <v>2485</v>
      </c>
      <c r="BC786" s="47" t="s">
        <v>8726</v>
      </c>
      <c r="BD786" s="47" t="s">
        <v>8374</v>
      </c>
      <c r="BE786" s="48" t="s">
        <v>2449</v>
      </c>
      <c r="BF786" s="48" t="s">
        <v>272</v>
      </c>
      <c r="BG786" s="48" t="s">
        <v>272</v>
      </c>
      <c r="BH786" s="48" t="s">
        <v>2486</v>
      </c>
      <c r="BI786" s="98">
        <v>7.8156799999999995E-4</v>
      </c>
      <c r="BJ786" s="98">
        <v>7.8156800000000004</v>
      </c>
      <c r="BK786" s="48"/>
      <c r="BL786" s="487">
        <v>131.26223527730363</v>
      </c>
      <c r="BM786" s="47" t="s">
        <v>2487</v>
      </c>
      <c r="BN786" s="48"/>
      <c r="BO786" s="48"/>
      <c r="BP786" s="48"/>
      <c r="BQ786" s="48"/>
      <c r="BR786" s="47"/>
      <c r="BS786" s="48"/>
      <c r="BT786" s="48"/>
      <c r="BU786" s="228"/>
      <c r="BV786" s="48"/>
      <c r="BW786" s="48"/>
      <c r="BX786" s="48"/>
      <c r="BY786" s="48"/>
      <c r="BZ786" s="48"/>
      <c r="CA786" s="48"/>
      <c r="CB786" s="48"/>
      <c r="CC786" s="48"/>
      <c r="CD786" s="48"/>
      <c r="CE786" s="48"/>
      <c r="CF786" s="48"/>
      <c r="CG786" s="48"/>
      <c r="CH786" s="48"/>
      <c r="CI786" s="52"/>
      <c r="CJ786" s="98"/>
      <c r="CK786" s="49">
        <f t="shared" si="159"/>
        <v>16.794729988600302</v>
      </c>
      <c r="CL786" s="229"/>
      <c r="CM786" s="229"/>
      <c r="CN786" s="229"/>
      <c r="CO786" s="47" t="s">
        <v>2488</v>
      </c>
      <c r="CP786" s="500" t="s">
        <v>2489</v>
      </c>
      <c r="CQ786" s="224">
        <v>2.721878627021193</v>
      </c>
      <c r="CR786" s="224">
        <f>10^(CJ786-CQ786)</f>
        <v>1.8972360707492761E-3</v>
      </c>
      <c r="CS786" s="230" t="s">
        <v>539</v>
      </c>
      <c r="CT786" s="230"/>
      <c r="CU786" s="230"/>
      <c r="CV786" s="335">
        <f t="shared" si="160"/>
        <v>435.02292826727808</v>
      </c>
      <c r="CW786" s="230">
        <f t="shared" si="158"/>
        <v>1</v>
      </c>
      <c r="CX786" s="336"/>
      <c r="CY786" s="230" t="s">
        <v>6351</v>
      </c>
    </row>
    <row r="787" spans="1:103" ht="11.25" customHeight="1" x14ac:dyDescent="0.2">
      <c r="A787" s="72">
        <v>1126</v>
      </c>
      <c r="B787" s="224">
        <v>1581</v>
      </c>
      <c r="C787" s="46" t="s">
        <v>7275</v>
      </c>
      <c r="D787" s="46" t="s">
        <v>8608</v>
      </c>
      <c r="E787" s="114"/>
      <c r="F787" s="114" t="s">
        <v>3798</v>
      </c>
      <c r="G787" s="225">
        <v>533744</v>
      </c>
      <c r="H787" s="47" t="s">
        <v>3799</v>
      </c>
      <c r="I787" s="47" t="s">
        <v>3799</v>
      </c>
      <c r="J787" s="47" t="s">
        <v>3800</v>
      </c>
      <c r="K787" s="47" t="s">
        <v>3801</v>
      </c>
      <c r="L787" s="47"/>
      <c r="M787" s="47" t="s">
        <v>6082</v>
      </c>
      <c r="N787" s="47" t="s">
        <v>6082</v>
      </c>
      <c r="O787" s="47"/>
      <c r="P787" s="53"/>
      <c r="Q787" s="53" t="s">
        <v>6173</v>
      </c>
      <c r="R787" s="53" t="s">
        <v>6185</v>
      </c>
      <c r="S787" s="53" t="s">
        <v>6176</v>
      </c>
      <c r="T787" s="48">
        <v>162.28</v>
      </c>
      <c r="U787" s="98">
        <v>3000</v>
      </c>
      <c r="V787" s="98">
        <v>19360</v>
      </c>
      <c r="W787" s="98">
        <v>9125.6750251889807</v>
      </c>
      <c r="X787" s="98">
        <v>3000</v>
      </c>
      <c r="Y787" s="233">
        <v>7.84</v>
      </c>
      <c r="Z787" s="48">
        <v>0.94</v>
      </c>
      <c r="AA787" s="48">
        <v>0.63</v>
      </c>
      <c r="AB787" s="48">
        <v>0.77</v>
      </c>
      <c r="AC787" s="48">
        <v>0.83020000000000005</v>
      </c>
      <c r="AD787" s="48">
        <v>0.62</v>
      </c>
      <c r="AE787" s="48">
        <v>0.16</v>
      </c>
      <c r="AF787" s="48">
        <f t="shared" si="161"/>
        <v>0.63</v>
      </c>
      <c r="AG787" s="49">
        <v>1.71</v>
      </c>
      <c r="AH787" s="98">
        <v>2.8400000000000001E-3</v>
      </c>
      <c r="AI787" s="98">
        <v>4.9800000000000004E-10</v>
      </c>
      <c r="AJ787" s="483">
        <f t="shared" si="163"/>
        <v>-0.93524798626561412</v>
      </c>
      <c r="AK787" s="483">
        <f>LOG10(AI787*1000/(0.08206*298.15))</f>
        <v>-7.6913369835529339</v>
      </c>
      <c r="AL787" s="483">
        <f t="shared" si="162"/>
        <v>-7.6913369835529339</v>
      </c>
      <c r="AM787" s="483">
        <v>-9.3603799999999993</v>
      </c>
      <c r="AN787" s="226">
        <v>-6.56</v>
      </c>
      <c r="AO787" s="484"/>
      <c r="AP787" s="484">
        <v>4.04</v>
      </c>
      <c r="AQ787" s="48" t="s">
        <v>6311</v>
      </c>
      <c r="AR787" s="48" t="s">
        <v>6311</v>
      </c>
      <c r="AS787" s="227"/>
      <c r="AT787" s="50" t="s">
        <v>266</v>
      </c>
      <c r="AU787" s="48">
        <v>6</v>
      </c>
      <c r="AV787" s="48">
        <v>120</v>
      </c>
      <c r="AW787" s="48">
        <v>114</v>
      </c>
      <c r="AX787" s="48">
        <v>28</v>
      </c>
      <c r="AY787" s="48" t="s">
        <v>8728</v>
      </c>
      <c r="AZ787" s="48" t="s">
        <v>1563</v>
      </c>
      <c r="BA787" s="48">
        <v>32</v>
      </c>
      <c r="BB787" s="47" t="s">
        <v>2485</v>
      </c>
      <c r="BC787" s="47" t="s">
        <v>8726</v>
      </c>
      <c r="BD787" s="47" t="s">
        <v>8374</v>
      </c>
      <c r="BE787" s="48" t="s">
        <v>2449</v>
      </c>
      <c r="BF787" s="48" t="s">
        <v>272</v>
      </c>
      <c r="BG787" s="48" t="s">
        <v>272</v>
      </c>
      <c r="BH787" s="48" t="s">
        <v>2486</v>
      </c>
      <c r="BI787" s="98">
        <v>1.0385919999999999E-3</v>
      </c>
      <c r="BJ787" s="98">
        <v>10.38592</v>
      </c>
      <c r="BK787" s="48"/>
      <c r="BL787" s="487">
        <v>1193.5785324449307</v>
      </c>
      <c r="BM787" s="47" t="s">
        <v>2487</v>
      </c>
      <c r="BN787" s="48"/>
      <c r="BO787" s="48"/>
      <c r="BP787" s="48"/>
      <c r="BQ787" s="48"/>
      <c r="BR787" s="47"/>
      <c r="BS787" s="48"/>
      <c r="BT787" s="48"/>
      <c r="BU787" s="228"/>
      <c r="BV787" s="48"/>
      <c r="BW787" s="48"/>
      <c r="BX787" s="48"/>
      <c r="BY787" s="48"/>
      <c r="BZ787" s="48"/>
      <c r="CA787" s="48"/>
      <c r="CB787" s="48"/>
      <c r="CC787" s="48"/>
      <c r="CD787" s="48"/>
      <c r="CE787" s="48"/>
      <c r="CF787" s="48"/>
      <c r="CG787" s="48"/>
      <c r="CH787" s="48"/>
      <c r="CI787" s="52"/>
      <c r="CJ787" s="98"/>
      <c r="CK787" s="49">
        <f t="shared" si="159"/>
        <v>114.92275431015554</v>
      </c>
      <c r="CL787" s="229"/>
      <c r="CM787" s="229"/>
      <c r="CN787" s="229"/>
      <c r="CO787" s="47" t="s">
        <v>2488</v>
      </c>
      <c r="CP787" s="500" t="s">
        <v>2489</v>
      </c>
      <c r="CQ787" s="224">
        <v>6.7207393100050541E-2</v>
      </c>
      <c r="CR787" s="224">
        <f>10^(CJ787-CQ787)</f>
        <v>0.85662867286035904</v>
      </c>
      <c r="CS787" s="230" t="s">
        <v>539</v>
      </c>
      <c r="CT787" s="230"/>
      <c r="CU787" s="230"/>
      <c r="CV787" s="335">
        <f t="shared" si="160"/>
        <v>288.8526004436776</v>
      </c>
      <c r="CW787" s="230">
        <f t="shared" si="158"/>
        <v>1</v>
      </c>
      <c r="CX787" s="336"/>
      <c r="CY787" s="230" t="s">
        <v>5921</v>
      </c>
    </row>
    <row r="788" spans="1:103" ht="11.25" customHeight="1" x14ac:dyDescent="0.2">
      <c r="A788" s="72">
        <v>1127</v>
      </c>
      <c r="B788" s="224">
        <v>955</v>
      </c>
      <c r="C788" s="46" t="s">
        <v>7276</v>
      </c>
      <c r="D788" s="46"/>
      <c r="E788" s="114"/>
      <c r="F788" s="114" t="s">
        <v>1690</v>
      </c>
      <c r="G788" s="225">
        <v>534521</v>
      </c>
      <c r="H788" s="47" t="s">
        <v>1691</v>
      </c>
      <c r="I788" s="47" t="s">
        <v>1691</v>
      </c>
      <c r="J788" s="47" t="s">
        <v>1692</v>
      </c>
      <c r="K788" s="47" t="s">
        <v>1693</v>
      </c>
      <c r="L788" s="47" t="s">
        <v>617</v>
      </c>
      <c r="M788" s="47" t="s">
        <v>1694</v>
      </c>
      <c r="N788" s="47" t="s">
        <v>6381</v>
      </c>
      <c r="O788" s="47" t="s">
        <v>1695</v>
      </c>
      <c r="P788" s="53"/>
      <c r="Q788" s="53" t="s">
        <v>6173</v>
      </c>
      <c r="R788" s="53" t="s">
        <v>6180</v>
      </c>
      <c r="S788" s="53" t="s">
        <v>6176</v>
      </c>
      <c r="T788" s="48">
        <v>198.13</v>
      </c>
      <c r="U788" s="98">
        <v>198</v>
      </c>
      <c r="V788" s="98">
        <v>678.4</v>
      </c>
      <c r="W788" s="98">
        <v>571.41316171447409</v>
      </c>
      <c r="X788" s="98">
        <v>198</v>
      </c>
      <c r="Y788" s="233">
        <v>3.5</v>
      </c>
      <c r="Z788" s="48">
        <v>2.27</v>
      </c>
      <c r="AA788" s="48">
        <v>2.13</v>
      </c>
      <c r="AB788" s="48">
        <v>2.29</v>
      </c>
      <c r="AC788" s="48">
        <v>0.86</v>
      </c>
      <c r="AD788" s="48">
        <v>2.27</v>
      </c>
      <c r="AE788" s="48">
        <v>2.2000000000000002</v>
      </c>
      <c r="AF788" s="48">
        <f t="shared" si="161"/>
        <v>2.13</v>
      </c>
      <c r="AG788" s="49">
        <v>1.1499999999999999</v>
      </c>
      <c r="AH788" s="98">
        <v>3.0500000000000002E-8</v>
      </c>
      <c r="AI788" s="98">
        <v>1.3999999999999999E-6</v>
      </c>
      <c r="AJ788" s="483">
        <f t="shared" si="163"/>
        <v>-5.9042664869658656</v>
      </c>
      <c r="AK788" s="483">
        <f>LOG10(AI788*1000/(0.08206*298.15))</f>
        <v>-4.2424382906344134</v>
      </c>
      <c r="AL788" s="483">
        <f t="shared" si="162"/>
        <v>-4.2424382906344134</v>
      </c>
      <c r="AM788" s="483">
        <v>-9.2475299999999994</v>
      </c>
      <c r="AN788" s="226">
        <v>-5.07</v>
      </c>
      <c r="AO788" s="484">
        <v>4.42</v>
      </c>
      <c r="AP788" s="484"/>
      <c r="AQ788" s="48" t="s">
        <v>6311</v>
      </c>
      <c r="AR788" s="48" t="s">
        <v>6311</v>
      </c>
      <c r="AS788" s="227"/>
      <c r="AT788" s="50" t="s">
        <v>266</v>
      </c>
      <c r="AU788" s="48">
        <v>6</v>
      </c>
      <c r="AV788" s="48">
        <v>120</v>
      </c>
      <c r="AW788" s="48">
        <v>114</v>
      </c>
      <c r="AX788" s="48">
        <v>28</v>
      </c>
      <c r="AY788" s="48" t="s">
        <v>8728</v>
      </c>
      <c r="AZ788" s="48" t="s">
        <v>1563</v>
      </c>
      <c r="BA788" s="48">
        <v>32</v>
      </c>
      <c r="BB788" s="47" t="s">
        <v>2485</v>
      </c>
      <c r="BC788" s="47" t="s">
        <v>8726</v>
      </c>
      <c r="BD788" s="47" t="s">
        <v>8374</v>
      </c>
      <c r="BE788" s="48" t="s">
        <v>2449</v>
      </c>
      <c r="BF788" s="48" t="s">
        <v>272</v>
      </c>
      <c r="BG788" s="48" t="s">
        <v>272</v>
      </c>
      <c r="BH788" s="48" t="s">
        <v>2486</v>
      </c>
      <c r="BI788" s="98">
        <v>1.2680319999999999E-3</v>
      </c>
      <c r="BJ788" s="98">
        <v>12.68032</v>
      </c>
      <c r="BK788" s="48"/>
      <c r="BL788" s="487">
        <v>93.124346806769523</v>
      </c>
      <c r="BM788" s="47" t="s">
        <v>2487</v>
      </c>
      <c r="BN788" s="48"/>
      <c r="BO788" s="48"/>
      <c r="BP788" s="48"/>
      <c r="BQ788" s="48"/>
      <c r="BR788" s="47"/>
      <c r="BS788" s="48"/>
      <c r="BT788" s="48"/>
      <c r="BU788" s="228">
        <v>1.268032</v>
      </c>
      <c r="BV788" s="48"/>
      <c r="BW788" s="48"/>
      <c r="BX788" s="48"/>
      <c r="BY788" s="48"/>
      <c r="BZ788" s="48"/>
      <c r="CA788" s="48"/>
      <c r="CB788" s="48"/>
      <c r="CC788" s="48"/>
      <c r="CD788" s="48"/>
      <c r="CE788" s="48"/>
      <c r="CF788" s="48"/>
      <c r="CG788" s="48"/>
      <c r="CH788" s="48"/>
      <c r="CI788" s="52"/>
      <c r="CJ788" s="98"/>
      <c r="CK788" s="49">
        <f t="shared" si="159"/>
        <v>7.3440060508543574</v>
      </c>
      <c r="CL788" s="229"/>
      <c r="CM788" s="229"/>
      <c r="CN788" s="229"/>
      <c r="CO788" s="47" t="s">
        <v>2488</v>
      </c>
      <c r="CP788" s="500" t="s">
        <v>2489</v>
      </c>
      <c r="CQ788" s="224">
        <v>-0.11350532493431179</v>
      </c>
      <c r="CR788" s="224">
        <f>10^(CJ788-CQ788)</f>
        <v>1.2986894871118744</v>
      </c>
      <c r="CS788" s="230" t="s">
        <v>539</v>
      </c>
      <c r="CT788" s="230"/>
      <c r="CU788" s="230"/>
      <c r="CV788" s="335">
        <f t="shared" si="160"/>
        <v>15.614747892797658</v>
      </c>
      <c r="CW788" s="230">
        <f t="shared" si="158"/>
        <v>1</v>
      </c>
      <c r="CX788" s="336"/>
      <c r="CY788" s="230" t="s">
        <v>6351</v>
      </c>
    </row>
    <row r="789" spans="1:103" ht="11.25" customHeight="1" x14ac:dyDescent="0.2">
      <c r="A789" s="72">
        <v>1128</v>
      </c>
      <c r="B789" s="224">
        <v>1374</v>
      </c>
      <c r="C789" s="46" t="s">
        <v>7277</v>
      </c>
      <c r="D789" s="46" t="s">
        <v>8698</v>
      </c>
      <c r="E789" s="114"/>
      <c r="F789" s="114" t="s">
        <v>4242</v>
      </c>
      <c r="G789" s="225">
        <v>541731</v>
      </c>
      <c r="H789" s="47" t="s">
        <v>4243</v>
      </c>
      <c r="I789" s="47" t="s">
        <v>8054</v>
      </c>
      <c r="J789" s="47" t="s">
        <v>4244</v>
      </c>
      <c r="K789" s="47" t="s">
        <v>426</v>
      </c>
      <c r="L789" s="51" t="s">
        <v>5527</v>
      </c>
      <c r="M789" s="47" t="s">
        <v>866</v>
      </c>
      <c r="N789" s="47" t="s">
        <v>6082</v>
      </c>
      <c r="O789" s="47" t="s">
        <v>6086</v>
      </c>
      <c r="P789" s="53" t="s">
        <v>6183</v>
      </c>
      <c r="Q789" s="53" t="s">
        <v>6176</v>
      </c>
      <c r="R789" s="53" t="s">
        <v>6185</v>
      </c>
      <c r="S789" s="53" t="s">
        <v>6182</v>
      </c>
      <c r="T789" s="48">
        <v>147</v>
      </c>
      <c r="U789" s="98">
        <v>124.99999999999999</v>
      </c>
      <c r="V789" s="98">
        <v>75.599999999999994</v>
      </c>
      <c r="W789" s="98">
        <v>18.084950930941979</v>
      </c>
      <c r="X789" s="98">
        <v>124.99999999999999</v>
      </c>
      <c r="Y789" s="233">
        <v>7</v>
      </c>
      <c r="Z789" s="48">
        <v>3.28</v>
      </c>
      <c r="AA789" s="48">
        <v>3.53</v>
      </c>
      <c r="AB789" s="48">
        <v>3.23</v>
      </c>
      <c r="AC789" s="48">
        <v>0.90880000000000005</v>
      </c>
      <c r="AD789" s="48">
        <v>3.27</v>
      </c>
      <c r="AE789" s="48">
        <v>3.42</v>
      </c>
      <c r="AF789" s="48">
        <f t="shared" si="161"/>
        <v>3.53</v>
      </c>
      <c r="AG789" s="49">
        <v>3.17</v>
      </c>
      <c r="AH789" s="98">
        <v>2.96E-3</v>
      </c>
      <c r="AI789" s="98">
        <v>2.63E-3</v>
      </c>
      <c r="AJ789" s="483">
        <f t="shared" si="163"/>
        <v>-0.91727461525371323</v>
      </c>
      <c r="AK789" s="483">
        <f>LOG10(AI789*1000/(0.08206*298.15))</f>
        <v>-0.96861057782289395</v>
      </c>
      <c r="AL789" s="483">
        <f t="shared" si="162"/>
        <v>-0.96861057782289395</v>
      </c>
      <c r="AM789" s="483">
        <v>-2.8336399999999995</v>
      </c>
      <c r="AN789" s="226">
        <v>-0.93100000000000005</v>
      </c>
      <c r="AO789" s="484"/>
      <c r="AP789" s="484"/>
      <c r="AQ789" s="48" t="s">
        <v>6311</v>
      </c>
      <c r="AR789" s="48" t="s">
        <v>6311</v>
      </c>
      <c r="AS789" s="227"/>
      <c r="AT789" s="50" t="s">
        <v>266</v>
      </c>
      <c r="AU789" s="48">
        <v>6</v>
      </c>
      <c r="AV789" s="48">
        <v>120</v>
      </c>
      <c r="AW789" s="48">
        <v>114</v>
      </c>
      <c r="AX789" s="48">
        <v>28</v>
      </c>
      <c r="AY789" s="48" t="s">
        <v>8728</v>
      </c>
      <c r="AZ789" s="48" t="s">
        <v>1563</v>
      </c>
      <c r="BA789" s="48">
        <v>32</v>
      </c>
      <c r="BB789" s="47" t="s">
        <v>2485</v>
      </c>
      <c r="BC789" s="47" t="s">
        <v>8726</v>
      </c>
      <c r="BD789" s="47" t="s">
        <v>8374</v>
      </c>
      <c r="BE789" s="48" t="s">
        <v>2449</v>
      </c>
      <c r="BF789" s="48" t="s">
        <v>272</v>
      </c>
      <c r="BG789" s="48" t="s">
        <v>272</v>
      </c>
      <c r="BH789" s="48" t="s">
        <v>2486</v>
      </c>
      <c r="BI789" s="98">
        <v>9.4079999999999999E-4</v>
      </c>
      <c r="BJ789" s="98">
        <v>9.4079999999999995</v>
      </c>
      <c r="BK789" s="48"/>
      <c r="BL789" s="487">
        <v>8.5575478214277876</v>
      </c>
      <c r="BM789" s="47" t="s">
        <v>2487</v>
      </c>
      <c r="BN789" s="48"/>
      <c r="BO789" s="48"/>
      <c r="BP789" s="48"/>
      <c r="BQ789" s="48"/>
      <c r="BR789" s="47" t="e">
        <v>#VALUE!</v>
      </c>
      <c r="BS789" s="48"/>
      <c r="BT789" s="48"/>
      <c r="BU789" s="228"/>
      <c r="BV789" s="48"/>
      <c r="BW789" s="48"/>
      <c r="BX789" s="48"/>
      <c r="BY789" s="48"/>
      <c r="BZ789" s="48"/>
      <c r="CA789" s="48"/>
      <c r="CB789" s="48"/>
      <c r="CC789" s="48"/>
      <c r="CD789" s="48"/>
      <c r="CE789" s="48"/>
      <c r="CF789" s="48"/>
      <c r="CG789" s="48"/>
      <c r="CH789" s="48"/>
      <c r="CI789" s="98"/>
      <c r="CJ789" s="98"/>
      <c r="CK789" s="49">
        <f t="shared" si="159"/>
        <v>0.90960329734564072</v>
      </c>
      <c r="CL789" s="229"/>
      <c r="CM789" s="229"/>
      <c r="CN789" s="229"/>
      <c r="CO789" s="47" t="s">
        <v>2488</v>
      </c>
      <c r="CP789" s="500" t="s">
        <v>2489</v>
      </c>
      <c r="CQ789" s="224">
        <v>1.1155352288442475</v>
      </c>
      <c r="CR789" s="224">
        <f>10^(CJ789-CQ789)</f>
        <v>7.6641636792901938E-2</v>
      </c>
      <c r="CS789" s="230" t="s">
        <v>539</v>
      </c>
      <c r="CT789" s="230"/>
      <c r="CU789" s="230"/>
      <c r="CV789" s="335">
        <f t="shared" si="160"/>
        <v>13.286564625850339</v>
      </c>
      <c r="CW789" s="230">
        <f t="shared" si="158"/>
        <v>1</v>
      </c>
      <c r="CX789" s="336"/>
      <c r="CY789" s="230" t="s">
        <v>6351</v>
      </c>
    </row>
    <row r="790" spans="1:103" ht="11.25" customHeight="1" x14ac:dyDescent="0.2">
      <c r="A790" s="72">
        <v>1129</v>
      </c>
      <c r="B790" s="224">
        <v>1469</v>
      </c>
      <c r="C790" s="46" t="s">
        <v>7278</v>
      </c>
      <c r="D790" s="46"/>
      <c r="E790" s="114"/>
      <c r="F790" s="114" t="s">
        <v>4512</v>
      </c>
      <c r="G790" s="225">
        <v>553264</v>
      </c>
      <c r="H790" s="47" t="s">
        <v>4513</v>
      </c>
      <c r="I790" s="47" t="s">
        <v>4513</v>
      </c>
      <c r="J790" s="47" t="s">
        <v>4514</v>
      </c>
      <c r="K790" s="47" t="s">
        <v>426</v>
      </c>
      <c r="L790" s="47"/>
      <c r="M790" s="47"/>
      <c r="N790" s="47"/>
      <c r="O790" s="47"/>
      <c r="P790" s="53"/>
      <c r="Q790" s="53" t="s">
        <v>6173</v>
      </c>
      <c r="R790" s="53" t="s">
        <v>6185</v>
      </c>
      <c r="S790" s="53" t="s">
        <v>6182</v>
      </c>
      <c r="T790" s="48">
        <v>156.18</v>
      </c>
      <c r="U790" s="98">
        <v>4530</v>
      </c>
      <c r="V790" s="98">
        <v>5747</v>
      </c>
      <c r="W790" s="98">
        <v>5670.5530593994426</v>
      </c>
      <c r="X790" s="98">
        <v>4530</v>
      </c>
      <c r="Y790" s="233">
        <v>7.92</v>
      </c>
      <c r="Z790" s="48">
        <v>1.38</v>
      </c>
      <c r="AA790" s="48">
        <v>1.28</v>
      </c>
      <c r="AB790" s="48">
        <v>1.47</v>
      </c>
      <c r="AC790" s="48">
        <v>0.92869999999999997</v>
      </c>
      <c r="AD790" s="48">
        <v>1.41</v>
      </c>
      <c r="AE790" s="48">
        <v>1.2</v>
      </c>
      <c r="AF790" s="48">
        <f t="shared" si="161"/>
        <v>1.28</v>
      </c>
      <c r="AG790" s="49">
        <v>1.48</v>
      </c>
      <c r="AH790" s="98">
        <v>7.0900000000000003E-10</v>
      </c>
      <c r="AI790" s="98">
        <v>2.52E-9</v>
      </c>
      <c r="AJ790" s="483">
        <f t="shared" si="163"/>
        <v>-7.5379200911295854</v>
      </c>
      <c r="AK790" s="483">
        <f>LOG10(AI790*1000/(0.08206*298.15))</f>
        <v>-6.9871657855311078</v>
      </c>
      <c r="AL790" s="483">
        <f t="shared" si="162"/>
        <v>-6.9871657855311078</v>
      </c>
      <c r="AM790" s="483">
        <v>-8.9782100000000007</v>
      </c>
      <c r="AN790" s="226">
        <v>-7.61</v>
      </c>
      <c r="AO790" s="484"/>
      <c r="AP790" s="484">
        <v>3.27</v>
      </c>
      <c r="AQ790" s="48" t="s">
        <v>6311</v>
      </c>
      <c r="AR790" s="48" t="s">
        <v>6311</v>
      </c>
      <c r="AS790" s="227"/>
      <c r="AT790" s="50" t="s">
        <v>266</v>
      </c>
      <c r="AU790" s="48">
        <v>6</v>
      </c>
      <c r="AV790" s="48">
        <v>120</v>
      </c>
      <c r="AW790" s="48">
        <v>114</v>
      </c>
      <c r="AX790" s="48">
        <v>28</v>
      </c>
      <c r="AY790" s="48" t="s">
        <v>8728</v>
      </c>
      <c r="AZ790" s="48" t="s">
        <v>1563</v>
      </c>
      <c r="BA790" s="48">
        <v>32</v>
      </c>
      <c r="BB790" s="47" t="s">
        <v>2485</v>
      </c>
      <c r="BC790" s="47" t="s">
        <v>8726</v>
      </c>
      <c r="BD790" s="47" t="s">
        <v>8374</v>
      </c>
      <c r="BE790" s="48" t="s">
        <v>2449</v>
      </c>
      <c r="BF790" s="48" t="s">
        <v>272</v>
      </c>
      <c r="BG790" s="48" t="s">
        <v>272</v>
      </c>
      <c r="BH790" s="48" t="s">
        <v>2486</v>
      </c>
      <c r="BI790" s="98">
        <v>9.9955199999999991E-4</v>
      </c>
      <c r="BJ790" s="98">
        <v>9.9955200000000008</v>
      </c>
      <c r="BK790" s="48"/>
      <c r="BL790" s="487">
        <v>462.43150928039256</v>
      </c>
      <c r="BM790" s="47" t="s">
        <v>2487</v>
      </c>
      <c r="BN790" s="48"/>
      <c r="BO790" s="48"/>
      <c r="BP790" s="48"/>
      <c r="BQ790" s="48"/>
      <c r="BR790" s="47"/>
      <c r="BS790" s="48"/>
      <c r="BT790" s="48"/>
      <c r="BU790" s="228"/>
      <c r="BV790" s="48"/>
      <c r="BW790" s="48"/>
      <c r="BX790" s="48"/>
      <c r="BY790" s="48"/>
      <c r="BZ790" s="48"/>
      <c r="CA790" s="48"/>
      <c r="CB790" s="48"/>
      <c r="CC790" s="48"/>
      <c r="CD790" s="48"/>
      <c r="CE790" s="48"/>
      <c r="CF790" s="48"/>
      <c r="CG790" s="48"/>
      <c r="CH790" s="48"/>
      <c r="CI790" s="52"/>
      <c r="CJ790" s="98"/>
      <c r="CK790" s="49">
        <f t="shared" si="159"/>
        <v>46.263877145000215</v>
      </c>
      <c r="CL790" s="229"/>
      <c r="CM790" s="229"/>
      <c r="CN790" s="229"/>
      <c r="CO790" s="47" t="s">
        <v>2488</v>
      </c>
      <c r="CP790" s="500" t="s">
        <v>2489</v>
      </c>
      <c r="CQ790" s="224" t="s">
        <v>272</v>
      </c>
      <c r="CR790" s="224"/>
      <c r="CS790" s="230" t="s">
        <v>539</v>
      </c>
      <c r="CT790" s="230"/>
      <c r="CU790" s="230"/>
      <c r="CV790" s="335">
        <f t="shared" si="160"/>
        <v>453.20303495966186</v>
      </c>
      <c r="CW790" s="230">
        <f t="shared" si="158"/>
        <v>1</v>
      </c>
      <c r="CX790" s="336"/>
      <c r="CY790" s="230" t="s">
        <v>5921</v>
      </c>
    </row>
    <row r="791" spans="1:103" ht="11.25" customHeight="1" x14ac:dyDescent="0.2">
      <c r="A791" s="72">
        <v>1130</v>
      </c>
      <c r="B791" s="224">
        <v>1685</v>
      </c>
      <c r="C791" s="46" t="s">
        <v>7279</v>
      </c>
      <c r="D791" s="46"/>
      <c r="E791" s="114"/>
      <c r="F791" s="114" t="s">
        <v>4911</v>
      </c>
      <c r="G791" s="225">
        <v>556525</v>
      </c>
      <c r="H791" s="47" t="s">
        <v>4912</v>
      </c>
      <c r="I791" s="47" t="s">
        <v>4912</v>
      </c>
      <c r="J791" s="47" t="s">
        <v>4913</v>
      </c>
      <c r="K791" s="47" t="s">
        <v>3346</v>
      </c>
      <c r="L791" s="47"/>
      <c r="M791" s="47"/>
      <c r="N791" s="47"/>
      <c r="O791" s="47"/>
      <c r="P791" s="53"/>
      <c r="Q791" s="53" t="s">
        <v>6176</v>
      </c>
      <c r="R791" s="53" t="s">
        <v>6175</v>
      </c>
      <c r="S791" s="53" t="s">
        <v>6173</v>
      </c>
      <c r="T791" s="48">
        <v>74.08</v>
      </c>
      <c r="U791" s="98">
        <v>1000000</v>
      </c>
      <c r="V791" s="98">
        <v>1000000</v>
      </c>
      <c r="W791" s="98">
        <v>330903.20506543352</v>
      </c>
      <c r="X791" s="98">
        <v>1000000</v>
      </c>
      <c r="Y791" s="233">
        <v>6.84</v>
      </c>
      <c r="Z791" s="48">
        <v>-1.0900000000000001</v>
      </c>
      <c r="AA791" s="48">
        <v>-0.95</v>
      </c>
      <c r="AB791" s="48">
        <v>-0.69</v>
      </c>
      <c r="AC791" s="48">
        <v>0.88929999999999998</v>
      </c>
      <c r="AD791" s="48">
        <v>-0.74</v>
      </c>
      <c r="AE791" s="48">
        <v>-0.95</v>
      </c>
      <c r="AF791" s="48">
        <f t="shared" si="161"/>
        <v>-0.95</v>
      </c>
      <c r="AG791" s="49">
        <v>-0.6</v>
      </c>
      <c r="AH791" s="98">
        <v>5.8399999999999997E-9</v>
      </c>
      <c r="AI791" s="98"/>
      <c r="AJ791" s="483">
        <f t="shared" si="163"/>
        <v>-6.6221534792002519</v>
      </c>
      <c r="AK791" s="483"/>
      <c r="AL791" s="483">
        <f t="shared" si="162"/>
        <v>-6.6221534792002519</v>
      </c>
      <c r="AM791" s="483">
        <v>-5.3047499999999994</v>
      </c>
      <c r="AN791" s="226">
        <v>-3.5</v>
      </c>
      <c r="AO791" s="484">
        <v>14.62</v>
      </c>
      <c r="AP791" s="484"/>
      <c r="AQ791" s="226" t="s">
        <v>6312</v>
      </c>
      <c r="AR791" s="226" t="s">
        <v>6311</v>
      </c>
      <c r="AS791" s="224"/>
      <c r="AT791" s="50" t="s">
        <v>266</v>
      </c>
      <c r="AU791" s="48">
        <v>6</v>
      </c>
      <c r="AV791" s="48">
        <v>120</v>
      </c>
      <c r="AW791" s="48">
        <v>114</v>
      </c>
      <c r="AX791" s="48">
        <v>28</v>
      </c>
      <c r="AY791" s="48" t="s">
        <v>8728</v>
      </c>
      <c r="AZ791" s="48" t="s">
        <v>1563</v>
      </c>
      <c r="BA791" s="48">
        <v>32</v>
      </c>
      <c r="BB791" s="47" t="s">
        <v>2485</v>
      </c>
      <c r="BC791" s="47" t="s">
        <v>8726</v>
      </c>
      <c r="BD791" s="47" t="s">
        <v>8374</v>
      </c>
      <c r="BE791" s="48" t="s">
        <v>2449</v>
      </c>
      <c r="BF791" s="48" t="s">
        <v>272</v>
      </c>
      <c r="BG791" s="48" t="s">
        <v>272</v>
      </c>
      <c r="BH791" s="48" t="s">
        <v>2486</v>
      </c>
      <c r="BI791" s="98">
        <v>4.7411199999999995E-4</v>
      </c>
      <c r="BJ791" s="98">
        <v>4.7411199999999996</v>
      </c>
      <c r="BK791" s="48"/>
      <c r="BL791" s="487">
        <v>36260.181504339344</v>
      </c>
      <c r="BM791" s="47" t="s">
        <v>2487</v>
      </c>
      <c r="BN791" s="48"/>
      <c r="BO791" s="48"/>
      <c r="BP791" s="48"/>
      <c r="BQ791" s="48"/>
      <c r="BR791" s="47" t="e">
        <v>#VALUE!</v>
      </c>
      <c r="BS791" s="48"/>
      <c r="BT791" s="48"/>
      <c r="BU791" s="228"/>
      <c r="BV791" s="48"/>
      <c r="BW791" s="48"/>
      <c r="BX791" s="48"/>
      <c r="BY791" s="48"/>
      <c r="BZ791" s="48"/>
      <c r="CA791" s="48"/>
      <c r="CB791" s="48"/>
      <c r="CC791" s="48"/>
      <c r="CD791" s="48"/>
      <c r="CE791" s="48"/>
      <c r="CF791" s="48"/>
      <c r="CG791" s="48"/>
      <c r="CH791" s="48"/>
      <c r="CI791" s="98"/>
      <c r="CJ791" s="98"/>
      <c r="CK791" s="49">
        <f t="shared" si="159"/>
        <v>7648.0201944560249</v>
      </c>
      <c r="CL791" s="229"/>
      <c r="CM791" s="229"/>
      <c r="CN791" s="229"/>
      <c r="CO791" s="47" t="s">
        <v>2488</v>
      </c>
      <c r="CP791" s="500" t="s">
        <v>2489</v>
      </c>
      <c r="CQ791" s="224" t="s">
        <v>272</v>
      </c>
      <c r="CR791" s="224"/>
      <c r="CS791" s="230" t="s">
        <v>539</v>
      </c>
      <c r="CT791" s="230"/>
      <c r="CU791" s="230"/>
      <c r="CV791" s="335">
        <f t="shared" si="160"/>
        <v>210920.62634989203</v>
      </c>
      <c r="CW791" s="230">
        <f t="shared" si="158"/>
        <v>1</v>
      </c>
      <c r="CX791" s="336"/>
      <c r="CY791" s="230" t="s">
        <v>6351</v>
      </c>
    </row>
    <row r="792" spans="1:103" ht="11.25" customHeight="1" x14ac:dyDescent="0.2">
      <c r="A792" s="72">
        <v>1131</v>
      </c>
      <c r="B792" s="224">
        <v>1735</v>
      </c>
      <c r="C792" s="46" t="s">
        <v>2249</v>
      </c>
      <c r="D792" s="46"/>
      <c r="E792" s="114"/>
      <c r="F792" s="114" t="s">
        <v>2250</v>
      </c>
      <c r="G792" s="225">
        <v>556616</v>
      </c>
      <c r="H792" s="47" t="s">
        <v>2251</v>
      </c>
      <c r="I792" s="47" t="s">
        <v>2251</v>
      </c>
      <c r="J792" s="47" t="s">
        <v>2252</v>
      </c>
      <c r="K792" s="47" t="s">
        <v>1468</v>
      </c>
      <c r="L792" s="47" t="s">
        <v>6022</v>
      </c>
      <c r="M792" s="47" t="s">
        <v>6023</v>
      </c>
      <c r="N792" s="47" t="s">
        <v>6382</v>
      </c>
      <c r="O792" s="51" t="s">
        <v>5943</v>
      </c>
      <c r="P792" s="53"/>
      <c r="Q792" s="53"/>
      <c r="R792" s="53"/>
      <c r="S792" s="53"/>
      <c r="T792" s="48">
        <v>73.12</v>
      </c>
      <c r="U792" s="98">
        <v>7600</v>
      </c>
      <c r="V792" s="98">
        <v>21130</v>
      </c>
      <c r="W792" s="98">
        <v>3926.7764950592873</v>
      </c>
      <c r="X792" s="98">
        <v>7600</v>
      </c>
      <c r="Y792" s="233">
        <v>7</v>
      </c>
      <c r="Z792" s="48">
        <v>1.3</v>
      </c>
      <c r="AA792" s="48">
        <v>0.94</v>
      </c>
      <c r="AB792" s="48">
        <v>1.6</v>
      </c>
      <c r="AC792" s="48">
        <v>0.87309999999999999</v>
      </c>
      <c r="AD792" s="48">
        <v>1.44</v>
      </c>
      <c r="AE792" s="48">
        <v>0.94</v>
      </c>
      <c r="AF792" s="48">
        <f t="shared" si="161"/>
        <v>0.94</v>
      </c>
      <c r="AG792" s="49">
        <v>1.53</v>
      </c>
      <c r="AH792" s="98">
        <v>3.1099999999999999E-3</v>
      </c>
      <c r="AI792" s="98">
        <v>4.4799999999999998E-5</v>
      </c>
      <c r="AJ792" s="483">
        <f t="shared" si="163"/>
        <v>-0.89580593728581437</v>
      </c>
      <c r="AK792" s="483">
        <f>LOG10(AI792*1000/(0.08206*298.15))</f>
        <v>-2.737288312314508</v>
      </c>
      <c r="AL792" s="483">
        <f t="shared" si="162"/>
        <v>-2.737288312314508</v>
      </c>
      <c r="AM792" s="483">
        <v>-1.2832599999999998</v>
      </c>
      <c r="AN792" s="226">
        <v>-2.31</v>
      </c>
      <c r="AO792" s="484"/>
      <c r="AP792" s="484"/>
      <c r="AQ792" s="226" t="s">
        <v>6311</v>
      </c>
      <c r="AR792" s="226" t="s">
        <v>6311</v>
      </c>
      <c r="AS792" s="224"/>
      <c r="AT792" s="50" t="s">
        <v>266</v>
      </c>
      <c r="AU792" s="48">
        <v>6</v>
      </c>
      <c r="AV792" s="48">
        <v>120</v>
      </c>
      <c r="AW792" s="48">
        <v>114</v>
      </c>
      <c r="AX792" s="48">
        <v>28</v>
      </c>
      <c r="AY792" s="48" t="s">
        <v>8728</v>
      </c>
      <c r="AZ792" s="48" t="s">
        <v>1563</v>
      </c>
      <c r="BA792" s="48">
        <v>32</v>
      </c>
      <c r="BB792" s="47" t="s">
        <v>2485</v>
      </c>
      <c r="BC792" s="47" t="s">
        <v>8726</v>
      </c>
      <c r="BD792" s="47" t="s">
        <v>8374</v>
      </c>
      <c r="BE792" s="48" t="s">
        <v>2449</v>
      </c>
      <c r="BF792" s="48" t="s">
        <v>272</v>
      </c>
      <c r="BG792" s="48" t="s">
        <v>272</v>
      </c>
      <c r="BH792" s="48" t="s">
        <v>2486</v>
      </c>
      <c r="BI792" s="98">
        <v>4.6796800000000003E-4</v>
      </c>
      <c r="BJ792" s="98">
        <v>4.6796800000000003</v>
      </c>
      <c r="BK792" s="48"/>
      <c r="BL792" s="487">
        <v>255.45016216992011</v>
      </c>
      <c r="BM792" s="47" t="s">
        <v>2487</v>
      </c>
      <c r="BN792" s="48"/>
      <c r="BO792" s="48"/>
      <c r="BP792" s="48"/>
      <c r="BQ792" s="48"/>
      <c r="BR792" s="47" t="e">
        <v>#VALUE!</v>
      </c>
      <c r="BS792" s="48"/>
      <c r="BT792" s="48"/>
      <c r="BU792" s="228"/>
      <c r="BV792" s="48"/>
      <c r="BW792" s="48"/>
      <c r="BX792" s="48"/>
      <c r="BY792" s="48"/>
      <c r="BZ792" s="48"/>
      <c r="CA792" s="48"/>
      <c r="CB792" s="48"/>
      <c r="CC792" s="48"/>
      <c r="CD792" s="48"/>
      <c r="CE792" s="48"/>
      <c r="CF792" s="48"/>
      <c r="CG792" s="48"/>
      <c r="CH792" s="48"/>
      <c r="CI792" s="98"/>
      <c r="CJ792" s="98"/>
      <c r="CK792" s="49">
        <f t="shared" si="159"/>
        <v>54.587100436337543</v>
      </c>
      <c r="CL792" s="229"/>
      <c r="CM792" s="229">
        <v>-1.1588010927122354</v>
      </c>
      <c r="CN792" s="229">
        <f>BJ792/(10^CM792)</f>
        <v>67.455481931072114</v>
      </c>
      <c r="CO792" s="47" t="s">
        <v>2488</v>
      </c>
      <c r="CP792" s="500" t="s">
        <v>2489</v>
      </c>
      <c r="CQ792" s="224">
        <v>-1.0551046136804711</v>
      </c>
      <c r="CR792" s="224">
        <f>10^(CJ792-CQ792)</f>
        <v>11.352842521670793</v>
      </c>
      <c r="CS792" s="230" t="s">
        <v>539</v>
      </c>
      <c r="CT792" s="230"/>
      <c r="CU792" s="230"/>
      <c r="CV792" s="335">
        <f t="shared" si="160"/>
        <v>1624.042669584245</v>
      </c>
      <c r="CW792" s="230">
        <f t="shared" si="158"/>
        <v>1</v>
      </c>
      <c r="CX792" s="336"/>
      <c r="CY792" s="230" t="s">
        <v>6351</v>
      </c>
    </row>
    <row r="793" spans="1:103" ht="11.25" customHeight="1" x14ac:dyDescent="0.2">
      <c r="A793" s="72">
        <v>1132</v>
      </c>
      <c r="B793" s="224">
        <v>1425</v>
      </c>
      <c r="C793" s="46" t="s">
        <v>7280</v>
      </c>
      <c r="D793" s="46"/>
      <c r="E793" s="114"/>
      <c r="F793" s="114" t="s">
        <v>4384</v>
      </c>
      <c r="G793" s="225">
        <v>576261</v>
      </c>
      <c r="H793" s="47" t="s">
        <v>4385</v>
      </c>
      <c r="I793" s="47" t="s">
        <v>4385</v>
      </c>
      <c r="J793" s="47" t="s">
        <v>4386</v>
      </c>
      <c r="K793" s="47" t="s">
        <v>349</v>
      </c>
      <c r="L793" s="47" t="s">
        <v>6124</v>
      </c>
      <c r="M793" s="47" t="s">
        <v>5960</v>
      </c>
      <c r="N793" s="47"/>
      <c r="O793" s="47"/>
      <c r="P793" s="53" t="s">
        <v>6184</v>
      </c>
      <c r="Q793" s="53" t="s">
        <v>6173</v>
      </c>
      <c r="R793" s="53" t="s">
        <v>6185</v>
      </c>
      <c r="S793" s="53" t="s">
        <v>6182</v>
      </c>
      <c r="T793" s="48">
        <v>122.16</v>
      </c>
      <c r="U793" s="98">
        <v>6050</v>
      </c>
      <c r="V793" s="98">
        <v>3615</v>
      </c>
      <c r="W793" s="98">
        <v>6869.5616285253018</v>
      </c>
      <c r="X793" s="98">
        <v>6050</v>
      </c>
      <c r="Y793" s="233">
        <v>5.95</v>
      </c>
      <c r="Z793" s="48">
        <v>2.61</v>
      </c>
      <c r="AA793" s="48">
        <v>2.36</v>
      </c>
      <c r="AB793" s="48">
        <v>2.44</v>
      </c>
      <c r="AC793" s="48">
        <v>0.94279999999999997</v>
      </c>
      <c r="AD793" s="48">
        <v>2.4300000000000002</v>
      </c>
      <c r="AE793" s="48">
        <v>2.4</v>
      </c>
      <c r="AF793" s="48">
        <f t="shared" si="161"/>
        <v>2.36</v>
      </c>
      <c r="AG793" s="49">
        <v>2.39</v>
      </c>
      <c r="AH793" s="98">
        <v>6.8299999999999996E-7</v>
      </c>
      <c r="AI793" s="98">
        <v>6.6499999999999999E-6</v>
      </c>
      <c r="AJ793" s="483">
        <f t="shared" si="163"/>
        <v>-4.5541456226311192</v>
      </c>
      <c r="AK793" s="483">
        <f>LOG10(AI793*1000/(0.08206*298.15))</f>
        <v>-3.5657446810095474</v>
      </c>
      <c r="AL793" s="483">
        <f t="shared" si="162"/>
        <v>-3.5657446810095474</v>
      </c>
      <c r="AM793" s="483">
        <v>-5.6712900000000008</v>
      </c>
      <c r="AN793" s="226">
        <v>-3.67</v>
      </c>
      <c r="AO793" s="484">
        <v>10.66</v>
      </c>
      <c r="AP793" s="484"/>
      <c r="AQ793" s="48" t="s">
        <v>6311</v>
      </c>
      <c r="AR793" s="48" t="s">
        <v>6311</v>
      </c>
      <c r="AS793" s="227"/>
      <c r="AT793" s="50" t="s">
        <v>266</v>
      </c>
      <c r="AU793" s="48">
        <v>6</v>
      </c>
      <c r="AV793" s="48">
        <v>120</v>
      </c>
      <c r="AW793" s="48">
        <v>114</v>
      </c>
      <c r="AX793" s="48">
        <v>28</v>
      </c>
      <c r="AY793" s="48" t="s">
        <v>8728</v>
      </c>
      <c r="AZ793" s="48" t="s">
        <v>1563</v>
      </c>
      <c r="BA793" s="48">
        <v>32</v>
      </c>
      <c r="BB793" s="47" t="s">
        <v>2485</v>
      </c>
      <c r="BC793" s="47" t="s">
        <v>8726</v>
      </c>
      <c r="BD793" s="47" t="s">
        <v>8374</v>
      </c>
      <c r="BE793" s="48" t="s">
        <v>2449</v>
      </c>
      <c r="BF793" s="48" t="s">
        <v>272</v>
      </c>
      <c r="BG793" s="48" t="s">
        <v>272</v>
      </c>
      <c r="BH793" s="48" t="s">
        <v>2486</v>
      </c>
      <c r="BI793" s="98">
        <v>7.8182399999999997E-4</v>
      </c>
      <c r="BJ793" s="98">
        <v>7.8182400000000003</v>
      </c>
      <c r="BK793" s="48"/>
      <c r="BL793" s="487">
        <v>28.424185192030809</v>
      </c>
      <c r="BM793" s="47" t="s">
        <v>2487</v>
      </c>
      <c r="BN793" s="48"/>
      <c r="BO793" s="48"/>
      <c r="BP793" s="48"/>
      <c r="BQ793" s="48"/>
      <c r="BR793" s="47" t="e">
        <v>#VALUE!</v>
      </c>
      <c r="BS793" s="48"/>
      <c r="BT793" s="48"/>
      <c r="BU793" s="228"/>
      <c r="BV793" s="48"/>
      <c r="BW793" s="48"/>
      <c r="BX793" s="48"/>
      <c r="BY793" s="48"/>
      <c r="BZ793" s="48"/>
      <c r="CA793" s="48"/>
      <c r="CB793" s="48"/>
      <c r="CC793" s="48"/>
      <c r="CD793" s="48"/>
      <c r="CE793" s="48"/>
      <c r="CF793" s="48"/>
      <c r="CG793" s="48"/>
      <c r="CH793" s="48"/>
      <c r="CI793" s="98"/>
      <c r="CJ793" s="98"/>
      <c r="CK793" s="49">
        <f t="shared" si="159"/>
        <v>3.6356245385190027</v>
      </c>
      <c r="CL793" s="229"/>
      <c r="CM793" s="229"/>
      <c r="CN793" s="229"/>
      <c r="CO793" s="47" t="s">
        <v>2488</v>
      </c>
      <c r="CP793" s="500" t="s">
        <v>2489</v>
      </c>
      <c r="CQ793" s="224">
        <v>1.3364597338485296</v>
      </c>
      <c r="CR793" s="224">
        <f>10^(CJ793-CQ793)</f>
        <v>4.6082949308755741E-2</v>
      </c>
      <c r="CS793" s="230" t="s">
        <v>539</v>
      </c>
      <c r="CT793" s="230"/>
      <c r="CU793" s="230"/>
      <c r="CV793" s="335">
        <f t="shared" si="160"/>
        <v>773.83145055664704</v>
      </c>
      <c r="CW793" s="230">
        <f t="shared" si="158"/>
        <v>1</v>
      </c>
      <c r="CX793" s="336"/>
      <c r="CY793" s="230" t="s">
        <v>6351</v>
      </c>
    </row>
    <row r="794" spans="1:103" ht="11.25" customHeight="1" x14ac:dyDescent="0.2">
      <c r="A794" s="72">
        <v>1133</v>
      </c>
      <c r="B794" s="224">
        <v>1423</v>
      </c>
      <c r="C794" s="46" t="s">
        <v>7281</v>
      </c>
      <c r="D794" s="46"/>
      <c r="E794" s="114"/>
      <c r="F794" s="114" t="s">
        <v>4378</v>
      </c>
      <c r="G794" s="225">
        <v>579668</v>
      </c>
      <c r="H794" s="47" t="s">
        <v>4379</v>
      </c>
      <c r="I794" s="47" t="s">
        <v>4379</v>
      </c>
      <c r="J794" s="47" t="s">
        <v>4380</v>
      </c>
      <c r="K794" s="47" t="s">
        <v>2695</v>
      </c>
      <c r="L794" s="47"/>
      <c r="M794" s="47"/>
      <c r="N794" s="47"/>
      <c r="O794" s="47"/>
      <c r="P794" s="53"/>
      <c r="Q794" s="53"/>
      <c r="R794" s="53"/>
      <c r="S794" s="53"/>
      <c r="T794" s="48">
        <v>149.22999999999999</v>
      </c>
      <c r="U794" s="98">
        <v>670</v>
      </c>
      <c r="V794" s="98">
        <v>155.19999999999999</v>
      </c>
      <c r="W794" s="98">
        <v>567.35663612917347</v>
      </c>
      <c r="X794" s="98">
        <v>670</v>
      </c>
      <c r="Y794" s="233">
        <v>7.86</v>
      </c>
      <c r="Z794" s="48">
        <v>3.15</v>
      </c>
      <c r="AA794" s="48"/>
      <c r="AB794" s="48">
        <v>1.89</v>
      </c>
      <c r="AC794" s="48">
        <v>0.75049999999999994</v>
      </c>
      <c r="AD794" s="48">
        <v>2.2599999999999998</v>
      </c>
      <c r="AE794" s="48">
        <v>2.92</v>
      </c>
      <c r="AF794" s="48">
        <f t="shared" si="161"/>
        <v>2.2599999999999998</v>
      </c>
      <c r="AG794" s="49">
        <v>2.76</v>
      </c>
      <c r="AH794" s="98">
        <v>4.0899999999999998E-6</v>
      </c>
      <c r="AI794" s="98">
        <v>1.1200000000000001E-6</v>
      </c>
      <c r="AJ794" s="483">
        <f t="shared" si="163"/>
        <v>-3.7768430183053101</v>
      </c>
      <c r="AK794" s="483">
        <f>LOG10(AI794*1000/(0.08206*298.15))</f>
        <v>-4.3393483036424705</v>
      </c>
      <c r="AL794" s="483">
        <f t="shared" si="162"/>
        <v>-4.3393483036424705</v>
      </c>
      <c r="AM794" s="483">
        <v>-5.8529</v>
      </c>
      <c r="AN794" s="226">
        <v>-3.68</v>
      </c>
      <c r="AO794" s="484"/>
      <c r="AP794" s="484">
        <v>4.13</v>
      </c>
      <c r="AQ794" s="48" t="s">
        <v>6311</v>
      </c>
      <c r="AR794" s="48" t="s">
        <v>6311</v>
      </c>
      <c r="AS794" s="227"/>
      <c r="AT794" s="50" t="s">
        <v>266</v>
      </c>
      <c r="AU794" s="48">
        <v>6</v>
      </c>
      <c r="AV794" s="48">
        <v>120</v>
      </c>
      <c r="AW794" s="48">
        <v>114</v>
      </c>
      <c r="AX794" s="48">
        <v>28</v>
      </c>
      <c r="AY794" s="48" t="s">
        <v>8728</v>
      </c>
      <c r="AZ794" s="48" t="s">
        <v>1563</v>
      </c>
      <c r="BA794" s="48">
        <v>32</v>
      </c>
      <c r="BB794" s="47" t="s">
        <v>2485</v>
      </c>
      <c r="BC794" s="47" t="s">
        <v>8726</v>
      </c>
      <c r="BD794" s="47" t="s">
        <v>8374</v>
      </c>
      <c r="BE794" s="48" t="s">
        <v>2449</v>
      </c>
      <c r="BF794" s="48" t="s">
        <v>272</v>
      </c>
      <c r="BG794" s="48" t="s">
        <v>272</v>
      </c>
      <c r="BH794" s="48" t="s">
        <v>2486</v>
      </c>
      <c r="BI794" s="98">
        <v>9.5507199999999984E-4</v>
      </c>
      <c r="BJ794" s="98">
        <v>9.5507200000000001</v>
      </c>
      <c r="BK794" s="48"/>
      <c r="BL794" s="487">
        <v>11.3668764354306</v>
      </c>
      <c r="BM794" s="47" t="s">
        <v>2487</v>
      </c>
      <c r="BN794" s="48"/>
      <c r="BO794" s="48"/>
      <c r="BP794" s="48"/>
      <c r="BQ794" s="48"/>
      <c r="BR794" s="47" t="e">
        <v>#VALUE!</v>
      </c>
      <c r="BS794" s="48"/>
      <c r="BT794" s="48"/>
      <c r="BU794" s="228"/>
      <c r="BV794" s="48"/>
      <c r="BW794" s="48"/>
      <c r="BX794" s="48"/>
      <c r="BY794" s="48"/>
      <c r="BZ794" s="48"/>
      <c r="CA794" s="48"/>
      <c r="CB794" s="48"/>
      <c r="CC794" s="48"/>
      <c r="CD794" s="48"/>
      <c r="CE794" s="48"/>
      <c r="CF794" s="48"/>
      <c r="CG794" s="48"/>
      <c r="CH794" s="48"/>
      <c r="CI794" s="98"/>
      <c r="CJ794" s="98"/>
      <c r="CK794" s="49">
        <f t="shared" si="159"/>
        <v>1.19015911213297</v>
      </c>
      <c r="CL794" s="229"/>
      <c r="CM794" s="229"/>
      <c r="CN794" s="229"/>
      <c r="CO794" s="47" t="s">
        <v>2488</v>
      </c>
      <c r="CP794" s="500" t="s">
        <v>2489</v>
      </c>
      <c r="CQ794" s="224" t="s">
        <v>272</v>
      </c>
      <c r="CR794" s="224"/>
      <c r="CS794" s="230" t="s">
        <v>539</v>
      </c>
      <c r="CT794" s="230"/>
      <c r="CU794" s="230"/>
      <c r="CV794" s="335">
        <f t="shared" si="160"/>
        <v>70.151779132882126</v>
      </c>
      <c r="CW794" s="230">
        <f t="shared" si="158"/>
        <v>1</v>
      </c>
      <c r="CX794" s="336"/>
      <c r="CY794" s="230" t="s">
        <v>5921</v>
      </c>
    </row>
    <row r="795" spans="1:103" ht="11.25" customHeight="1" x14ac:dyDescent="0.2">
      <c r="A795" s="72">
        <v>1134</v>
      </c>
      <c r="B795" s="224">
        <v>1447</v>
      </c>
      <c r="C795" s="46" t="s">
        <v>7282</v>
      </c>
      <c r="D795" s="46"/>
      <c r="E795" s="114"/>
      <c r="F795" s="114" t="s">
        <v>4450</v>
      </c>
      <c r="G795" s="225">
        <v>584134</v>
      </c>
      <c r="H795" s="47" t="s">
        <v>4451</v>
      </c>
      <c r="I795" s="47" t="s">
        <v>8055</v>
      </c>
      <c r="J795" s="47" t="s">
        <v>4452</v>
      </c>
      <c r="K795" s="47" t="s">
        <v>1112</v>
      </c>
      <c r="L795" s="47"/>
      <c r="M795" s="47"/>
      <c r="N795" s="47"/>
      <c r="O795" s="47"/>
      <c r="P795" s="53"/>
      <c r="Q795" s="53"/>
      <c r="R795" s="53"/>
      <c r="S795" s="53"/>
      <c r="T795" s="48">
        <v>84.08</v>
      </c>
      <c r="U795" s="98"/>
      <c r="V795" s="98">
        <v>1000000</v>
      </c>
      <c r="W795" s="98">
        <v>90093.34318437794</v>
      </c>
      <c r="X795" s="98">
        <v>90093.34318437794</v>
      </c>
      <c r="Y795" s="233">
        <v>8.6300000000000008</v>
      </c>
      <c r="Z795" s="48">
        <v>-1.68</v>
      </c>
      <c r="AA795" s="48"/>
      <c r="AB795" s="48">
        <v>-0.77</v>
      </c>
      <c r="AC795" s="48">
        <v>0.68220000000000003</v>
      </c>
      <c r="AD795" s="48">
        <v>-0.99</v>
      </c>
      <c r="AE795" s="48">
        <v>-1.38</v>
      </c>
      <c r="AF795" s="48">
        <f t="shared" si="161"/>
        <v>-0.99</v>
      </c>
      <c r="AG795" s="49">
        <v>-0.93</v>
      </c>
      <c r="AH795" s="98">
        <v>2.0799999999999998E-9</v>
      </c>
      <c r="AI795" s="98"/>
      <c r="AJ795" s="483">
        <f t="shared" si="163"/>
        <v>-7.0705029913498905</v>
      </c>
      <c r="AK795" s="483"/>
      <c r="AL795" s="483">
        <f t="shared" si="162"/>
        <v>-7.0705029913498905</v>
      </c>
      <c r="AM795" s="483">
        <v>-9.3339099999999995</v>
      </c>
      <c r="AN795" s="226">
        <v>-10.7</v>
      </c>
      <c r="AO795" s="484"/>
      <c r="AP795" s="484">
        <v>3.2</v>
      </c>
      <c r="AQ795" s="48" t="s">
        <v>6311</v>
      </c>
      <c r="AR795" s="48" t="s">
        <v>6311</v>
      </c>
      <c r="AS795" s="227"/>
      <c r="AT795" s="50" t="s">
        <v>266</v>
      </c>
      <c r="AU795" s="48">
        <v>6</v>
      </c>
      <c r="AV795" s="48">
        <v>120</v>
      </c>
      <c r="AW795" s="48">
        <v>114</v>
      </c>
      <c r="AX795" s="48">
        <v>28</v>
      </c>
      <c r="AY795" s="48" t="s">
        <v>8728</v>
      </c>
      <c r="AZ795" s="48" t="s">
        <v>1563</v>
      </c>
      <c r="BA795" s="48">
        <v>32</v>
      </c>
      <c r="BB795" s="47" t="s">
        <v>2485</v>
      </c>
      <c r="BC795" s="47" t="s">
        <v>8726</v>
      </c>
      <c r="BD795" s="47" t="s">
        <v>8374</v>
      </c>
      <c r="BE795" s="48" t="s">
        <v>2449</v>
      </c>
      <c r="BF795" s="48" t="s">
        <v>272</v>
      </c>
      <c r="BG795" s="48" t="s">
        <v>272</v>
      </c>
      <c r="BH795" s="48" t="s">
        <v>2486</v>
      </c>
      <c r="BI795" s="98">
        <v>5.3811199999999999E-4</v>
      </c>
      <c r="BJ795" s="98">
        <v>5.3811200000000001</v>
      </c>
      <c r="BK795" s="48"/>
      <c r="BL795" s="487">
        <v>139412.17507867416</v>
      </c>
      <c r="BM795" s="47" t="s">
        <v>2487</v>
      </c>
      <c r="BN795" s="48"/>
      <c r="BO795" s="48"/>
      <c r="BP795" s="48"/>
      <c r="BQ795" s="48"/>
      <c r="BR795" s="47" t="e">
        <v>#VALUE!</v>
      </c>
      <c r="BS795" s="48"/>
      <c r="BT795" s="48"/>
      <c r="BU795" s="228"/>
      <c r="BV795" s="48"/>
      <c r="BW795" s="48"/>
      <c r="BX795" s="48"/>
      <c r="BY795" s="48"/>
      <c r="BZ795" s="48"/>
      <c r="CA795" s="48"/>
      <c r="CB795" s="48"/>
      <c r="CC795" s="48"/>
      <c r="CD795" s="48"/>
      <c r="CE795" s="48"/>
      <c r="CF795" s="48"/>
      <c r="CG795" s="48"/>
      <c r="CH795" s="48"/>
      <c r="CI795" s="98"/>
      <c r="CJ795" s="98"/>
      <c r="CK795" s="49">
        <f t="shared" si="159"/>
        <v>25907.650280736008</v>
      </c>
      <c r="CL795" s="229"/>
      <c r="CM795" s="229"/>
      <c r="CN795" s="229"/>
      <c r="CO795" s="47" t="s">
        <v>2488</v>
      </c>
      <c r="CP795" s="500" t="s">
        <v>2489</v>
      </c>
      <c r="CQ795" s="224" t="s">
        <v>272</v>
      </c>
      <c r="CR795" s="224"/>
      <c r="CS795" s="230" t="s">
        <v>539</v>
      </c>
      <c r="CT795" s="230"/>
      <c r="CU795" s="230"/>
      <c r="CV795" s="335">
        <f t="shared" si="160"/>
        <v>16742.4891443376</v>
      </c>
      <c r="CW795" s="230">
        <f t="shared" si="158"/>
        <v>1</v>
      </c>
      <c r="CX795" s="336"/>
      <c r="CY795" s="230" t="s">
        <v>5921</v>
      </c>
    </row>
    <row r="796" spans="1:103" ht="11.25" customHeight="1" x14ac:dyDescent="0.2">
      <c r="A796" s="72">
        <v>1135</v>
      </c>
      <c r="B796" s="224">
        <v>1498</v>
      </c>
      <c r="C796" s="46" t="s">
        <v>7283</v>
      </c>
      <c r="D796" s="46"/>
      <c r="E796" s="114"/>
      <c r="F796" s="114" t="s">
        <v>1082</v>
      </c>
      <c r="G796" s="225">
        <v>584792</v>
      </c>
      <c r="H796" s="47" t="s">
        <v>1083</v>
      </c>
      <c r="I796" s="47" t="s">
        <v>8056</v>
      </c>
      <c r="J796" s="47" t="s">
        <v>1084</v>
      </c>
      <c r="K796" s="47" t="s">
        <v>1085</v>
      </c>
      <c r="L796" s="47" t="s">
        <v>617</v>
      </c>
      <c r="M796" s="47" t="s">
        <v>1086</v>
      </c>
      <c r="N796" s="47" t="s">
        <v>6376</v>
      </c>
      <c r="O796" s="47" t="s">
        <v>918</v>
      </c>
      <c r="P796" s="53"/>
      <c r="Q796" s="53"/>
      <c r="R796" s="53"/>
      <c r="S796" s="53"/>
      <c r="T796" s="48">
        <v>302.41000000000003</v>
      </c>
      <c r="U796" s="98">
        <v>4.5999999999999996</v>
      </c>
      <c r="V796" s="98">
        <v>0.98380000000000012</v>
      </c>
      <c r="W796" s="98">
        <v>15.156403132122346</v>
      </c>
      <c r="X796" s="98">
        <v>4.5999999999999996</v>
      </c>
      <c r="Y796" s="233">
        <v>7</v>
      </c>
      <c r="Z796" s="48">
        <v>5.52</v>
      </c>
      <c r="AA796" s="48">
        <v>4.78</v>
      </c>
      <c r="AB796" s="48">
        <v>5.0999999999999996</v>
      </c>
      <c r="AC796" s="48">
        <v>0.78859999999999997</v>
      </c>
      <c r="AD796" s="48">
        <v>5.05</v>
      </c>
      <c r="AE796" s="48">
        <v>4.92</v>
      </c>
      <c r="AF796" s="48">
        <f t="shared" si="161"/>
        <v>4.78</v>
      </c>
      <c r="AG796" s="49">
        <v>3.54</v>
      </c>
      <c r="AH796" s="98">
        <v>6.1200000000000003E-7</v>
      </c>
      <c r="AI796" s="98">
        <v>1.04E-7</v>
      </c>
      <c r="AJ796" s="483">
        <f t="shared" si="163"/>
        <v>-4.6018149041670906</v>
      </c>
      <c r="AK796" s="483">
        <f>LOG10(AI796*1000/(0.08206*298.15))</f>
        <v>-5.3715329870138717</v>
      </c>
      <c r="AL796" s="483">
        <f t="shared" si="162"/>
        <v>-5.3715329870138717</v>
      </c>
      <c r="AM796" s="483">
        <v>-10.080069999999999</v>
      </c>
      <c r="AN796" s="226">
        <v>-6.91</v>
      </c>
      <c r="AO796" s="484"/>
      <c r="AP796" s="484"/>
      <c r="AQ796" s="48" t="s">
        <v>6311</v>
      </c>
      <c r="AR796" s="48" t="s">
        <v>6312</v>
      </c>
      <c r="AS796" s="227"/>
      <c r="AT796" s="50" t="s">
        <v>266</v>
      </c>
      <c r="AU796" s="48">
        <v>6</v>
      </c>
      <c r="AV796" s="48">
        <v>120</v>
      </c>
      <c r="AW796" s="48">
        <v>114</v>
      </c>
      <c r="AX796" s="48">
        <v>28</v>
      </c>
      <c r="AY796" s="48" t="s">
        <v>8728</v>
      </c>
      <c r="AZ796" s="48" t="s">
        <v>1563</v>
      </c>
      <c r="BA796" s="48">
        <v>32</v>
      </c>
      <c r="BB796" s="47" t="s">
        <v>2485</v>
      </c>
      <c r="BC796" s="47" t="s">
        <v>8726</v>
      </c>
      <c r="BD796" s="47" t="s">
        <v>8374</v>
      </c>
      <c r="BE796" s="48" t="s">
        <v>2449</v>
      </c>
      <c r="BF796" s="48" t="s">
        <v>272</v>
      </c>
      <c r="BG796" s="48" t="s">
        <v>272</v>
      </c>
      <c r="BH796" s="48" t="s">
        <v>2486</v>
      </c>
      <c r="BI796" s="98">
        <v>1.935424E-3</v>
      </c>
      <c r="BJ796" s="98">
        <v>19.354240000000001</v>
      </c>
      <c r="BK796" s="48"/>
      <c r="BL796" s="487">
        <v>0.17135001555143914</v>
      </c>
      <c r="BM796" s="47" t="s">
        <v>2487</v>
      </c>
      <c r="BN796" s="48"/>
      <c r="BO796" s="48"/>
      <c r="BP796" s="48"/>
      <c r="BQ796" s="48"/>
      <c r="BR796" s="47" t="e">
        <v>#VALUE!</v>
      </c>
      <c r="BS796" s="48"/>
      <c r="BT796" s="48"/>
      <c r="BU796" s="228"/>
      <c r="BV796" s="48"/>
      <c r="BW796" s="48"/>
      <c r="BX796" s="48"/>
      <c r="BY796" s="48"/>
      <c r="BZ796" s="48"/>
      <c r="CA796" s="48"/>
      <c r="CB796" s="48"/>
      <c r="CC796" s="48"/>
      <c r="CD796" s="48"/>
      <c r="CE796" s="48"/>
      <c r="CF796" s="48"/>
      <c r="CG796" s="48"/>
      <c r="CH796" s="48"/>
      <c r="CI796" s="98"/>
      <c r="CJ796" s="98"/>
      <c r="CK796" s="49">
        <f t="shared" si="159"/>
        <v>8.8533580006985094E-3</v>
      </c>
      <c r="CL796" s="229"/>
      <c r="CM796" s="229">
        <v>-1.8371054539601348</v>
      </c>
      <c r="CN796" s="229">
        <f>BJ796/(10^CM796)</f>
        <v>1330.0916777321729</v>
      </c>
      <c r="CO796" s="47" t="s">
        <v>2488</v>
      </c>
      <c r="CP796" s="500" t="s">
        <v>2489</v>
      </c>
      <c r="CQ796" s="224">
        <v>-1.4398728824019746</v>
      </c>
      <c r="CR796" s="224">
        <f>10^(CJ796-CQ796)</f>
        <v>27.534226610829908</v>
      </c>
      <c r="CS796" s="230" t="s">
        <v>539</v>
      </c>
      <c r="CT796" s="230"/>
      <c r="CU796" s="230"/>
      <c r="CV796" s="335">
        <f t="shared" si="160"/>
        <v>0.23767401871631227</v>
      </c>
      <c r="CW796" s="230">
        <f t="shared" si="158"/>
        <v>0</v>
      </c>
      <c r="CX796" s="336"/>
      <c r="CY796" s="230" t="s">
        <v>5921</v>
      </c>
    </row>
    <row r="797" spans="1:103" ht="11.25" customHeight="1" x14ac:dyDescent="0.2">
      <c r="A797" s="72">
        <v>1136</v>
      </c>
      <c r="B797" s="224">
        <v>1904</v>
      </c>
      <c r="C797" s="46" t="s">
        <v>7284</v>
      </c>
      <c r="D797" s="46"/>
      <c r="E797" s="114"/>
      <c r="F797" s="114" t="s">
        <v>5375</v>
      </c>
      <c r="G797" s="225">
        <v>584849</v>
      </c>
      <c r="H797" s="47" t="s">
        <v>5376</v>
      </c>
      <c r="I797" s="47" t="s">
        <v>5376</v>
      </c>
      <c r="J797" s="47" t="s">
        <v>5377</v>
      </c>
      <c r="K797" s="47" t="s">
        <v>426</v>
      </c>
      <c r="L797" s="47"/>
      <c r="M797" s="47"/>
      <c r="N797" s="47"/>
      <c r="O797" s="47"/>
      <c r="P797" s="53"/>
      <c r="Q797" s="53"/>
      <c r="R797" s="53"/>
      <c r="S797" s="53"/>
      <c r="T797" s="48">
        <v>174.16</v>
      </c>
      <c r="U797" s="98"/>
      <c r="V797" s="98">
        <v>37.57</v>
      </c>
      <c r="W797" s="98">
        <v>182.36790792854453</v>
      </c>
      <c r="X797" s="98">
        <v>182.36790792854453</v>
      </c>
      <c r="Y797" s="233">
        <v>7</v>
      </c>
      <c r="Z797" s="48">
        <v>3.74</v>
      </c>
      <c r="AA797" s="48"/>
      <c r="AB797" s="48">
        <v>2.62</v>
      </c>
      <c r="AC797" s="48">
        <v>9.3299999999999994E-2</v>
      </c>
      <c r="AD797" s="48">
        <v>3.31</v>
      </c>
      <c r="AE797" s="48">
        <v>3.47</v>
      </c>
      <c r="AF797" s="48">
        <f t="shared" si="161"/>
        <v>3.31</v>
      </c>
      <c r="AG797" s="49">
        <v>1.96</v>
      </c>
      <c r="AH797" s="98">
        <v>1.11E-5</v>
      </c>
      <c r="AI797" s="98"/>
      <c r="AJ797" s="483">
        <f t="shared" si="163"/>
        <v>-3.3432433475259944</v>
      </c>
      <c r="AK797" s="483"/>
      <c r="AL797" s="483">
        <f t="shared" si="162"/>
        <v>-3.3432433475259944</v>
      </c>
      <c r="AM797" s="483">
        <v>-8.9863999999999997</v>
      </c>
      <c r="AN797" s="226">
        <v>-11.3</v>
      </c>
      <c r="AO797" s="484"/>
      <c r="AP797" s="484"/>
      <c r="AQ797" s="226" t="s">
        <v>6311</v>
      </c>
      <c r="AR797" s="226" t="s">
        <v>6311</v>
      </c>
      <c r="AS797" s="224"/>
      <c r="AT797" s="50" t="s">
        <v>266</v>
      </c>
      <c r="AU797" s="48">
        <v>6</v>
      </c>
      <c r="AV797" s="48">
        <v>120</v>
      </c>
      <c r="AW797" s="48">
        <v>114</v>
      </c>
      <c r="AX797" s="48">
        <v>28</v>
      </c>
      <c r="AY797" s="48" t="s">
        <v>8728</v>
      </c>
      <c r="AZ797" s="48" t="s">
        <v>1563</v>
      </c>
      <c r="BA797" s="48">
        <v>32</v>
      </c>
      <c r="BB797" s="47" t="s">
        <v>2485</v>
      </c>
      <c r="BC797" s="47" t="s">
        <v>8726</v>
      </c>
      <c r="BD797" s="47" t="s">
        <v>8374</v>
      </c>
      <c r="BE797" s="48" t="s">
        <v>2449</v>
      </c>
      <c r="BF797" s="48" t="s">
        <v>272</v>
      </c>
      <c r="BG797" s="48" t="s">
        <v>272</v>
      </c>
      <c r="BH797" s="48" t="s">
        <v>2486</v>
      </c>
      <c r="BI797" s="98">
        <v>1.1146239999999998E-3</v>
      </c>
      <c r="BJ797" s="98">
        <v>11.146240000000001</v>
      </c>
      <c r="BK797" s="48"/>
      <c r="BL797" s="487">
        <v>3.9161057961050529</v>
      </c>
      <c r="BM797" s="47" t="s">
        <v>2487</v>
      </c>
      <c r="BN797" s="48"/>
      <c r="BO797" s="48"/>
      <c r="BP797" s="48"/>
      <c r="BQ797" s="48"/>
      <c r="BR797" s="47" t="e">
        <v>#VALUE!</v>
      </c>
      <c r="BS797" s="48"/>
      <c r="BT797" s="48"/>
      <c r="BU797" s="228"/>
      <c r="BV797" s="48"/>
      <c r="BW797" s="48"/>
      <c r="BX797" s="48"/>
      <c r="BY797" s="48"/>
      <c r="BZ797" s="48"/>
      <c r="CA797" s="48"/>
      <c r="CB797" s="48"/>
      <c r="CC797" s="48"/>
      <c r="CD797" s="48"/>
      <c r="CE797" s="48"/>
      <c r="CF797" s="48"/>
      <c r="CG797" s="48"/>
      <c r="CH797" s="48"/>
      <c r="CI797" s="98"/>
      <c r="CJ797" s="98"/>
      <c r="CK797" s="49">
        <f t="shared" si="159"/>
        <v>0.35133872912345804</v>
      </c>
      <c r="CL797" s="229"/>
      <c r="CM797" s="229"/>
      <c r="CN797" s="229"/>
      <c r="CO797" s="47" t="s">
        <v>2488</v>
      </c>
      <c r="CP797" s="500" t="s">
        <v>2489</v>
      </c>
      <c r="CQ797" s="224">
        <v>2.2174839442139063</v>
      </c>
      <c r="CR797" s="224">
        <f>10^(CJ797-CQ797)</f>
        <v>6.0606060606060571E-3</v>
      </c>
      <c r="CS797" s="230" t="s">
        <v>539</v>
      </c>
      <c r="CT797" s="230"/>
      <c r="CU797" s="230"/>
      <c r="CV797" s="335">
        <f t="shared" si="160"/>
        <v>16.361383563295291</v>
      </c>
      <c r="CW797" s="230">
        <f t="shared" si="158"/>
        <v>1</v>
      </c>
      <c r="CX797" s="336"/>
      <c r="CY797" s="230" t="s">
        <v>6351</v>
      </c>
    </row>
    <row r="798" spans="1:103" ht="11.25" customHeight="1" x14ac:dyDescent="0.2">
      <c r="A798" s="72">
        <v>1137</v>
      </c>
      <c r="B798" s="224">
        <v>1880</v>
      </c>
      <c r="C798" s="46" t="s">
        <v>7285</v>
      </c>
      <c r="D798" s="46"/>
      <c r="E798" s="114"/>
      <c r="F798" s="114" t="s">
        <v>5338</v>
      </c>
      <c r="G798" s="225">
        <v>599791</v>
      </c>
      <c r="H798" s="47" t="s">
        <v>5339</v>
      </c>
      <c r="I798" s="47" t="s">
        <v>5339</v>
      </c>
      <c r="J798" s="47" t="s">
        <v>5340</v>
      </c>
      <c r="K798" s="47" t="s">
        <v>464</v>
      </c>
      <c r="L798" s="47" t="s">
        <v>279</v>
      </c>
      <c r="M798" s="47" t="s">
        <v>5341</v>
      </c>
      <c r="N798" s="47"/>
      <c r="O798" s="47" t="s">
        <v>281</v>
      </c>
      <c r="P798" s="53"/>
      <c r="Q798" s="53"/>
      <c r="R798" s="53"/>
      <c r="S798" s="53"/>
      <c r="T798" s="48">
        <v>398.39</v>
      </c>
      <c r="U798" s="98"/>
      <c r="V798" s="98">
        <v>2.44</v>
      </c>
      <c r="W798" s="98">
        <v>87.158235336526161</v>
      </c>
      <c r="X798" s="98">
        <v>87.158235336526161</v>
      </c>
      <c r="Y798" s="233">
        <v>3.68</v>
      </c>
      <c r="Z798" s="48">
        <v>3.81</v>
      </c>
      <c r="AA798" s="48"/>
      <c r="AB798" s="48">
        <v>3.63</v>
      </c>
      <c r="AC798" s="48">
        <v>0.42109999999999997</v>
      </c>
      <c r="AD798" s="48">
        <v>3.37</v>
      </c>
      <c r="AE798" s="48">
        <v>3.18</v>
      </c>
      <c r="AF798" s="48">
        <f t="shared" si="161"/>
        <v>3.37</v>
      </c>
      <c r="AG798" s="49">
        <v>2.86</v>
      </c>
      <c r="AH798" s="98">
        <v>2.1899999999999999E-18</v>
      </c>
      <c r="AI798" s="98"/>
      <c r="AJ798" s="483">
        <f t="shared" si="163"/>
        <v>-16.048122211472535</v>
      </c>
      <c r="AK798" s="483"/>
      <c r="AL798" s="483">
        <f t="shared" si="162"/>
        <v>-16.048122211472535</v>
      </c>
      <c r="AM798" s="483">
        <v>-23.564149999999998</v>
      </c>
      <c r="AN798" s="226">
        <v>-23.1</v>
      </c>
      <c r="AO798" s="484">
        <v>2.88</v>
      </c>
      <c r="AP798" s="484">
        <v>0.75</v>
      </c>
      <c r="AQ798" s="226" t="s">
        <v>6311</v>
      </c>
      <c r="AR798" s="226" t="s">
        <v>6311</v>
      </c>
      <c r="AS798" s="224"/>
      <c r="AT798" s="50" t="s">
        <v>266</v>
      </c>
      <c r="AU798" s="48">
        <v>6</v>
      </c>
      <c r="AV798" s="48">
        <v>120</v>
      </c>
      <c r="AW798" s="48">
        <v>114</v>
      </c>
      <c r="AX798" s="48">
        <v>28</v>
      </c>
      <c r="AY798" s="48" t="s">
        <v>8728</v>
      </c>
      <c r="AZ798" s="48" t="s">
        <v>1563</v>
      </c>
      <c r="BA798" s="48">
        <v>32</v>
      </c>
      <c r="BB798" s="47" t="s">
        <v>2485</v>
      </c>
      <c r="BC798" s="47" t="s">
        <v>8726</v>
      </c>
      <c r="BD798" s="47" t="s">
        <v>8374</v>
      </c>
      <c r="BE798" s="48" t="s">
        <v>2449</v>
      </c>
      <c r="BF798" s="48" t="s">
        <v>272</v>
      </c>
      <c r="BG798" s="48" t="s">
        <v>272</v>
      </c>
      <c r="BH798" s="48" t="s">
        <v>2486</v>
      </c>
      <c r="BI798" s="98">
        <v>2.5496959999999997E-3</v>
      </c>
      <c r="BJ798" s="98">
        <v>25.496960000000001</v>
      </c>
      <c r="BK798" s="48"/>
      <c r="BL798" s="487">
        <v>7.7508160275497442</v>
      </c>
      <c r="BM798" s="47" t="s">
        <v>2487</v>
      </c>
      <c r="BN798" s="48"/>
      <c r="BO798" s="48"/>
      <c r="BP798" s="48"/>
      <c r="BQ798" s="48"/>
      <c r="BR798" s="47" t="e">
        <v>#VALUE!</v>
      </c>
      <c r="BS798" s="48"/>
      <c r="BT798" s="48"/>
      <c r="BU798" s="228"/>
      <c r="BV798" s="48"/>
      <c r="BW798" s="48"/>
      <c r="BX798" s="48"/>
      <c r="BY798" s="48"/>
      <c r="BZ798" s="48"/>
      <c r="CA798" s="48"/>
      <c r="CB798" s="48"/>
      <c r="CC798" s="48"/>
      <c r="CD798" s="48"/>
      <c r="CE798" s="48"/>
      <c r="CF798" s="48"/>
      <c r="CG798" s="48"/>
      <c r="CH798" s="48"/>
      <c r="CI798" s="98"/>
      <c r="CJ798" s="98"/>
      <c r="CK798" s="49">
        <f t="shared" si="159"/>
        <v>0.30398981006166004</v>
      </c>
      <c r="CL798" s="229"/>
      <c r="CM798" s="229"/>
      <c r="CN798" s="229"/>
      <c r="CO798" s="47" t="s">
        <v>2488</v>
      </c>
      <c r="CP798" s="500" t="s">
        <v>2489</v>
      </c>
      <c r="CQ798" s="224" t="s">
        <v>272</v>
      </c>
      <c r="CR798" s="224"/>
      <c r="CS798" s="230" t="s">
        <v>539</v>
      </c>
      <c r="CT798" s="230"/>
      <c r="CU798" s="230"/>
      <c r="CV798" s="335">
        <f t="shared" si="160"/>
        <v>3.4183775374211733</v>
      </c>
      <c r="CW798" s="230">
        <f t="shared" si="158"/>
        <v>1</v>
      </c>
      <c r="CX798" s="336"/>
      <c r="CY798" s="230" t="s">
        <v>5921</v>
      </c>
    </row>
    <row r="799" spans="1:103" ht="11.25" customHeight="1" x14ac:dyDescent="0.2">
      <c r="A799" s="72">
        <v>1138</v>
      </c>
      <c r="B799" s="224">
        <v>934</v>
      </c>
      <c r="C799" s="46" t="s">
        <v>7286</v>
      </c>
      <c r="D799" s="46" t="s">
        <v>8709</v>
      </c>
      <c r="E799" s="114"/>
      <c r="F799" s="114" t="s">
        <v>2668</v>
      </c>
      <c r="G799" s="225">
        <v>602017</v>
      </c>
      <c r="H799" s="47" t="s">
        <v>2669</v>
      </c>
      <c r="I799" s="47" t="s">
        <v>8057</v>
      </c>
      <c r="J799" s="47" t="s">
        <v>2670</v>
      </c>
      <c r="K799" s="47" t="s">
        <v>1011</v>
      </c>
      <c r="L799" s="47" t="s">
        <v>5527</v>
      </c>
      <c r="M799" s="47" t="s">
        <v>2342</v>
      </c>
      <c r="N799" s="47" t="s">
        <v>2342</v>
      </c>
      <c r="O799" s="47" t="s">
        <v>498</v>
      </c>
      <c r="P799" s="53" t="s">
        <v>404</v>
      </c>
      <c r="Q799" s="53" t="s">
        <v>6173</v>
      </c>
      <c r="R799" s="53" t="s">
        <v>8539</v>
      </c>
      <c r="S799" s="53" t="s">
        <v>6179</v>
      </c>
      <c r="T799" s="48">
        <v>182.13</v>
      </c>
      <c r="U799" s="98">
        <v>270</v>
      </c>
      <c r="V799" s="98">
        <v>303.7</v>
      </c>
      <c r="W799" s="98">
        <v>97.809601072914077</v>
      </c>
      <c r="X799" s="98">
        <v>270</v>
      </c>
      <c r="Y799" s="233">
        <v>7</v>
      </c>
      <c r="Z799" s="48">
        <v>2.1800000000000002</v>
      </c>
      <c r="AA799" s="48"/>
      <c r="AB799" s="48">
        <v>2.11</v>
      </c>
      <c r="AC799" s="48">
        <v>0.92930000000000001</v>
      </c>
      <c r="AD799" s="48">
        <v>2.15</v>
      </c>
      <c r="AE799" s="48">
        <v>2.2999999999999998</v>
      </c>
      <c r="AF799" s="48">
        <f t="shared" si="161"/>
        <v>2.15</v>
      </c>
      <c r="AG799" s="49">
        <v>1.5</v>
      </c>
      <c r="AH799" s="98">
        <v>9.2599999999999995E-8</v>
      </c>
      <c r="AI799" s="98"/>
      <c r="AJ799" s="483">
        <f t="shared" si="163"/>
        <v>-5.4219553396307179</v>
      </c>
      <c r="AK799" s="483"/>
      <c r="AL799" s="483">
        <f t="shared" si="162"/>
        <v>-5.4219553396307179</v>
      </c>
      <c r="AM799" s="483">
        <v>-7.3581599999999998</v>
      </c>
      <c r="AN799" s="226">
        <v>-4.99</v>
      </c>
      <c r="AO799" s="484"/>
      <c r="AP799" s="484"/>
      <c r="AQ799" s="48" t="s">
        <v>6311</v>
      </c>
      <c r="AR799" s="48" t="s">
        <v>6311</v>
      </c>
      <c r="AS799" s="227"/>
      <c r="AT799" s="50" t="s">
        <v>266</v>
      </c>
      <c r="AU799" s="48">
        <v>6</v>
      </c>
      <c r="AV799" s="48">
        <v>120</v>
      </c>
      <c r="AW799" s="48">
        <v>114</v>
      </c>
      <c r="AX799" s="48">
        <v>28</v>
      </c>
      <c r="AY799" s="48" t="s">
        <v>8728</v>
      </c>
      <c r="AZ799" s="48" t="s">
        <v>1563</v>
      </c>
      <c r="BA799" s="48">
        <v>32</v>
      </c>
      <c r="BB799" s="47" t="s">
        <v>2485</v>
      </c>
      <c r="BC799" s="47" t="s">
        <v>8726</v>
      </c>
      <c r="BD799" s="47" t="s">
        <v>8374</v>
      </c>
      <c r="BE799" s="48" t="s">
        <v>2449</v>
      </c>
      <c r="BF799" s="48" t="s">
        <v>272</v>
      </c>
      <c r="BG799" s="48" t="s">
        <v>272</v>
      </c>
      <c r="BH799" s="48" t="s">
        <v>2486</v>
      </c>
      <c r="BI799" s="98">
        <v>1.165632E-3</v>
      </c>
      <c r="BJ799" s="98">
        <v>11.656319999999999</v>
      </c>
      <c r="BK799" s="48"/>
      <c r="BL799" s="487">
        <v>103.11538973929669</v>
      </c>
      <c r="BM799" s="47" t="s">
        <v>2487</v>
      </c>
      <c r="BN799" s="48"/>
      <c r="BO799" s="48"/>
      <c r="BP799" s="48"/>
      <c r="BQ799" s="48"/>
      <c r="BR799" s="47"/>
      <c r="BS799" s="48"/>
      <c r="BT799" s="48"/>
      <c r="BU799" s="228">
        <v>8.3342688000000003</v>
      </c>
      <c r="BV799" s="48"/>
      <c r="BW799" s="48"/>
      <c r="BX799" s="48"/>
      <c r="BY799" s="48"/>
      <c r="BZ799" s="48"/>
      <c r="CA799" s="48"/>
      <c r="CB799" s="48"/>
      <c r="CC799" s="48"/>
      <c r="CD799" s="48"/>
      <c r="CE799" s="48"/>
      <c r="CF799" s="48"/>
      <c r="CG799" s="48"/>
      <c r="CH799" s="48"/>
      <c r="CI799" s="52"/>
      <c r="CJ799" s="98"/>
      <c r="CK799" s="49">
        <f t="shared" si="159"/>
        <v>8.8463073885494481</v>
      </c>
      <c r="CL799" s="229"/>
      <c r="CM799" s="229"/>
      <c r="CN799" s="229"/>
      <c r="CO799" s="47" t="s">
        <v>2488</v>
      </c>
      <c r="CP799" s="500" t="s">
        <v>2489</v>
      </c>
      <c r="CQ799" s="224">
        <v>-0.11399138973354841</v>
      </c>
      <c r="CR799" s="224">
        <f>10^(CJ799-CQ799)</f>
        <v>1.3001438012942506</v>
      </c>
      <c r="CS799" s="230" t="s">
        <v>539</v>
      </c>
      <c r="CT799" s="230"/>
      <c r="CU799" s="230"/>
      <c r="CV799" s="335">
        <f t="shared" si="160"/>
        <v>23.16339976939549</v>
      </c>
      <c r="CW799" s="230">
        <f t="shared" ref="CW799:CW862" si="166">IF(CV799&lt;1,0,1)</f>
        <v>1</v>
      </c>
      <c r="CX799" s="336"/>
      <c r="CY799" s="230" t="s">
        <v>5921</v>
      </c>
    </row>
    <row r="800" spans="1:103" ht="11.25" customHeight="1" x14ac:dyDescent="0.2">
      <c r="A800" s="72">
        <v>1139</v>
      </c>
      <c r="B800" s="224">
        <v>1426</v>
      </c>
      <c r="C800" s="46" t="s">
        <v>7287</v>
      </c>
      <c r="D800" s="46"/>
      <c r="E800" s="114"/>
      <c r="F800" s="114" t="s">
        <v>4387</v>
      </c>
      <c r="G800" s="225">
        <v>606202</v>
      </c>
      <c r="H800" s="47" t="s">
        <v>4388</v>
      </c>
      <c r="I800" s="47" t="s">
        <v>4388</v>
      </c>
      <c r="J800" s="47" t="s">
        <v>4389</v>
      </c>
      <c r="K800" s="47" t="s">
        <v>1011</v>
      </c>
      <c r="L800" s="47"/>
      <c r="M800" s="47"/>
      <c r="N800" s="47"/>
      <c r="O800" s="47"/>
      <c r="P800" s="53"/>
      <c r="Q800" s="53" t="s">
        <v>6182</v>
      </c>
      <c r="R800" s="53" t="s">
        <v>6175</v>
      </c>
      <c r="S800" s="53" t="s">
        <v>6179</v>
      </c>
      <c r="T800" s="48">
        <v>182.13</v>
      </c>
      <c r="U800" s="98"/>
      <c r="V800" s="98">
        <v>352.4</v>
      </c>
      <c r="W800" s="98">
        <v>97.809601072914077</v>
      </c>
      <c r="X800" s="98">
        <v>97.809601072914077</v>
      </c>
      <c r="Y800" s="233">
        <v>7</v>
      </c>
      <c r="Z800" s="48">
        <v>2.1800000000000002</v>
      </c>
      <c r="AA800" s="48">
        <v>2.1</v>
      </c>
      <c r="AB800" s="48">
        <v>2.11</v>
      </c>
      <c r="AC800" s="48">
        <v>0.92930000000000001</v>
      </c>
      <c r="AD800" s="48">
        <v>2.1</v>
      </c>
      <c r="AE800" s="48">
        <v>2.08</v>
      </c>
      <c r="AF800" s="48">
        <f t="shared" si="161"/>
        <v>2.1</v>
      </c>
      <c r="AG800" s="49">
        <v>1.5</v>
      </c>
      <c r="AH800" s="98">
        <v>9.2599999999999995E-8</v>
      </c>
      <c r="AI800" s="98">
        <v>7.4700000000000001E-7</v>
      </c>
      <c r="AJ800" s="483">
        <f t="shared" si="163"/>
        <v>-5.4219553396307179</v>
      </c>
      <c r="AK800" s="483">
        <f>LOG10(AI800*1000/(0.08206*298.15))</f>
        <v>-4.5152457244972526</v>
      </c>
      <c r="AL800" s="483">
        <f t="shared" si="162"/>
        <v>-4.5152457244972526</v>
      </c>
      <c r="AM800" s="483">
        <v>-7.3581599999999998</v>
      </c>
      <c r="AN800" s="226">
        <v>-4.99</v>
      </c>
      <c r="AO800" s="484"/>
      <c r="AP800" s="484"/>
      <c r="AQ800" s="48" t="s">
        <v>6311</v>
      </c>
      <c r="AR800" s="48" t="s">
        <v>6311</v>
      </c>
      <c r="AS800" s="227"/>
      <c r="AT800" s="50" t="s">
        <v>266</v>
      </c>
      <c r="AU800" s="48">
        <v>6</v>
      </c>
      <c r="AV800" s="48">
        <v>120</v>
      </c>
      <c r="AW800" s="48">
        <v>114</v>
      </c>
      <c r="AX800" s="48">
        <v>28</v>
      </c>
      <c r="AY800" s="48" t="s">
        <v>8728</v>
      </c>
      <c r="AZ800" s="48" t="s">
        <v>1563</v>
      </c>
      <c r="BA800" s="48">
        <v>32</v>
      </c>
      <c r="BB800" s="47" t="s">
        <v>2485</v>
      </c>
      <c r="BC800" s="47" t="s">
        <v>8726</v>
      </c>
      <c r="BD800" s="47" t="s">
        <v>8374</v>
      </c>
      <c r="BE800" s="48" t="s">
        <v>2449</v>
      </c>
      <c r="BF800" s="48" t="s">
        <v>272</v>
      </c>
      <c r="BG800" s="48" t="s">
        <v>272</v>
      </c>
      <c r="BH800" s="48" t="s">
        <v>2486</v>
      </c>
      <c r="BI800" s="98">
        <v>1.165632E-3</v>
      </c>
      <c r="BJ800" s="98">
        <v>11.656319999999999</v>
      </c>
      <c r="BK800" s="48"/>
      <c r="BL800" s="487">
        <v>103.11538973929669</v>
      </c>
      <c r="BM800" s="47" t="s">
        <v>2487</v>
      </c>
      <c r="BN800" s="48"/>
      <c r="BO800" s="48"/>
      <c r="BP800" s="48"/>
      <c r="BQ800" s="48"/>
      <c r="BR800" s="47" t="e">
        <v>#VALUE!</v>
      </c>
      <c r="BS800" s="48"/>
      <c r="BT800" s="48"/>
      <c r="BU800" s="228"/>
      <c r="BV800" s="48"/>
      <c r="BW800" s="48"/>
      <c r="BX800" s="48"/>
      <c r="BY800" s="48"/>
      <c r="BZ800" s="48"/>
      <c r="CA800" s="48"/>
      <c r="CB800" s="48"/>
      <c r="CC800" s="48"/>
      <c r="CD800" s="48"/>
      <c r="CE800" s="48"/>
      <c r="CF800" s="48"/>
      <c r="CG800" s="48"/>
      <c r="CH800" s="48"/>
      <c r="CI800" s="98"/>
      <c r="CJ800" s="98"/>
      <c r="CK800" s="49">
        <f t="shared" si="159"/>
        <v>8.8463073885494481</v>
      </c>
      <c r="CL800" s="229"/>
      <c r="CM800" s="229"/>
      <c r="CN800" s="229"/>
      <c r="CO800" s="47" t="s">
        <v>2488</v>
      </c>
      <c r="CP800" s="500" t="s">
        <v>2489</v>
      </c>
      <c r="CQ800" s="224">
        <v>1.2695129442179163</v>
      </c>
      <c r="CR800" s="224">
        <f>10^(CJ800-CQ800)</f>
        <v>5.3763440860215041E-2</v>
      </c>
      <c r="CS800" s="230" t="s">
        <v>539</v>
      </c>
      <c r="CT800" s="230"/>
      <c r="CU800" s="230"/>
      <c r="CV800" s="335">
        <f t="shared" si="160"/>
        <v>8.3911218182851943</v>
      </c>
      <c r="CW800" s="230">
        <f t="shared" si="166"/>
        <v>1</v>
      </c>
      <c r="CX800" s="336"/>
      <c r="CY800" s="230" t="s">
        <v>5921</v>
      </c>
    </row>
    <row r="801" spans="1:103" ht="11.25" customHeight="1" x14ac:dyDescent="0.2">
      <c r="A801" s="72">
        <v>1140</v>
      </c>
      <c r="B801" s="224">
        <v>1889</v>
      </c>
      <c r="C801" s="46" t="s">
        <v>7288</v>
      </c>
      <c r="D801" s="46"/>
      <c r="E801" s="114"/>
      <c r="F801" s="114" t="s">
        <v>5350</v>
      </c>
      <c r="G801" s="225">
        <v>614459</v>
      </c>
      <c r="H801" s="47" t="s">
        <v>5351</v>
      </c>
      <c r="I801" s="47" t="s">
        <v>5351</v>
      </c>
      <c r="J801" s="47" t="s">
        <v>5352</v>
      </c>
      <c r="K801" s="47" t="s">
        <v>5353</v>
      </c>
      <c r="L801" s="47"/>
      <c r="M801" s="47"/>
      <c r="N801" s="47"/>
      <c r="O801" s="47"/>
      <c r="P801" s="53"/>
      <c r="Q801" s="53"/>
      <c r="R801" s="53"/>
      <c r="S801" s="53"/>
      <c r="T801" s="48">
        <v>194.23</v>
      </c>
      <c r="U801" s="98"/>
      <c r="V801" s="98">
        <v>159.19999999999999</v>
      </c>
      <c r="W801" s="98">
        <v>208.12119465630008</v>
      </c>
      <c r="X801" s="98">
        <v>208.12119465630008</v>
      </c>
      <c r="Y801" s="233">
        <v>7</v>
      </c>
      <c r="Z801" s="48">
        <v>2.89</v>
      </c>
      <c r="AA801" s="48"/>
      <c r="AB801" s="48">
        <v>3.18</v>
      </c>
      <c r="AC801" s="48">
        <v>0.62960000000000005</v>
      </c>
      <c r="AD801" s="48">
        <v>3.24</v>
      </c>
      <c r="AE801" s="48">
        <v>3.33</v>
      </c>
      <c r="AF801" s="48">
        <f t="shared" si="161"/>
        <v>3.24</v>
      </c>
      <c r="AG801" s="49">
        <v>3.1</v>
      </c>
      <c r="AH801" s="98">
        <v>2.0599999999999999E-4</v>
      </c>
      <c r="AI801" s="98"/>
      <c r="AJ801" s="483">
        <f t="shared" si="163"/>
        <v>-2.0746991059434983</v>
      </c>
      <c r="AK801" s="483"/>
      <c r="AL801" s="483">
        <f t="shared" si="162"/>
        <v>-2.0746991059434983</v>
      </c>
      <c r="AM801" s="483">
        <v>-7.0591199999999992</v>
      </c>
      <c r="AN801" s="226">
        <v>-1.98</v>
      </c>
      <c r="AO801" s="484"/>
      <c r="AP801" s="484"/>
      <c r="AQ801" s="226" t="s">
        <v>6311</v>
      </c>
      <c r="AR801" s="226" t="s">
        <v>6313</v>
      </c>
      <c r="AS801" s="224"/>
      <c r="AT801" s="50" t="s">
        <v>266</v>
      </c>
      <c r="AU801" s="48">
        <v>6</v>
      </c>
      <c r="AV801" s="48">
        <v>120</v>
      </c>
      <c r="AW801" s="48">
        <v>114</v>
      </c>
      <c r="AX801" s="48">
        <v>28</v>
      </c>
      <c r="AY801" s="48" t="s">
        <v>8728</v>
      </c>
      <c r="AZ801" s="48" t="s">
        <v>1563</v>
      </c>
      <c r="BA801" s="48">
        <v>32</v>
      </c>
      <c r="BB801" s="47" t="s">
        <v>2485</v>
      </c>
      <c r="BC801" s="47" t="s">
        <v>8726</v>
      </c>
      <c r="BD801" s="47" t="s">
        <v>8374</v>
      </c>
      <c r="BE801" s="48" t="s">
        <v>2449</v>
      </c>
      <c r="BF801" s="48" t="s">
        <v>272</v>
      </c>
      <c r="BG801" s="48" t="s">
        <v>272</v>
      </c>
      <c r="BH801" s="48" t="s">
        <v>2486</v>
      </c>
      <c r="BI801" s="98">
        <v>1.2430719999999998E-3</v>
      </c>
      <c r="BJ801" s="98">
        <v>12.430719999999999</v>
      </c>
      <c r="BK801" s="48"/>
      <c r="BL801" s="487">
        <v>25.328373987592968</v>
      </c>
      <c r="BM801" s="47" t="s">
        <v>2487</v>
      </c>
      <c r="BN801" s="48"/>
      <c r="BO801" s="48"/>
      <c r="BP801" s="48"/>
      <c r="BQ801" s="48"/>
      <c r="BR801" s="47" t="e">
        <v>#VALUE!</v>
      </c>
      <c r="BS801" s="48"/>
      <c r="BT801" s="48"/>
      <c r="BU801" s="228"/>
      <c r="BV801" s="48"/>
      <c r="BW801" s="48"/>
      <c r="BX801" s="48"/>
      <c r="BY801" s="48"/>
      <c r="BZ801" s="48"/>
      <c r="CA801" s="48"/>
      <c r="CB801" s="48"/>
      <c r="CC801" s="48"/>
      <c r="CD801" s="48"/>
      <c r="CE801" s="48"/>
      <c r="CF801" s="48"/>
      <c r="CG801" s="48"/>
      <c r="CH801" s="48"/>
      <c r="CI801" s="98"/>
      <c r="CJ801" s="98"/>
      <c r="CK801" s="49">
        <f t="shared" ref="CK801:CK864" si="167">BL801/BJ801</f>
        <v>2.0375629076668904</v>
      </c>
      <c r="CL801" s="229"/>
      <c r="CM801" s="229"/>
      <c r="CN801" s="229"/>
      <c r="CO801" s="47" t="s">
        <v>2488</v>
      </c>
      <c r="CP801" s="500" t="s">
        <v>2489</v>
      </c>
      <c r="CQ801" s="224" t="s">
        <v>272</v>
      </c>
      <c r="CR801" s="224"/>
      <c r="CS801" s="230" t="s">
        <v>539</v>
      </c>
      <c r="CT801" s="230"/>
      <c r="CU801" s="230"/>
      <c r="CV801" s="335">
        <f t="shared" ref="CV801:CV864" si="168">X801/BJ801</f>
        <v>16.742489144337583</v>
      </c>
      <c r="CW801" s="230">
        <f t="shared" si="166"/>
        <v>1</v>
      </c>
      <c r="CX801" s="336"/>
      <c r="CY801" s="230" t="s">
        <v>6351</v>
      </c>
    </row>
    <row r="802" spans="1:103" ht="11.25" customHeight="1" x14ac:dyDescent="0.2">
      <c r="A802" s="72">
        <v>1141</v>
      </c>
      <c r="B802" s="224">
        <v>1769</v>
      </c>
      <c r="C802" s="46" t="s">
        <v>7289</v>
      </c>
      <c r="D802" s="46"/>
      <c r="E802" s="114"/>
      <c r="F802" s="114" t="s">
        <v>5098</v>
      </c>
      <c r="G802" s="225">
        <v>621647</v>
      </c>
      <c r="H802" s="47" t="s">
        <v>5099</v>
      </c>
      <c r="I802" s="47" t="s">
        <v>5099</v>
      </c>
      <c r="J802" s="47" t="s">
        <v>5100</v>
      </c>
      <c r="K802" s="47" t="s">
        <v>300</v>
      </c>
      <c r="L802" s="47"/>
      <c r="M802" s="47"/>
      <c r="N802" s="47"/>
      <c r="O802" s="47"/>
      <c r="P802" s="53"/>
      <c r="Q802" s="53"/>
      <c r="R802" s="53"/>
      <c r="S802" s="53"/>
      <c r="T802" s="48">
        <v>130.19</v>
      </c>
      <c r="U802" s="98">
        <v>13000</v>
      </c>
      <c r="V802" s="98">
        <v>6329</v>
      </c>
      <c r="W802" s="98">
        <v>13019</v>
      </c>
      <c r="X802" s="98">
        <v>13000</v>
      </c>
      <c r="Y802" s="233">
        <v>7</v>
      </c>
      <c r="Z802" s="48">
        <v>1.33</v>
      </c>
      <c r="AA802" s="48">
        <v>1.36</v>
      </c>
      <c r="AB802" s="48">
        <v>1.8</v>
      </c>
      <c r="AC802" s="48">
        <v>0.79049999999999998</v>
      </c>
      <c r="AD802" s="48">
        <v>1.7</v>
      </c>
      <c r="AE802" s="48">
        <v>1.49</v>
      </c>
      <c r="AF802" s="48">
        <f t="shared" si="161"/>
        <v>1.36</v>
      </c>
      <c r="AG802" s="49">
        <v>1.43</v>
      </c>
      <c r="AH802" s="98">
        <v>6.3899999999999998E-6</v>
      </c>
      <c r="AI802" s="98">
        <v>5.3800000000000002E-6</v>
      </c>
      <c r="AJ802" s="483">
        <f t="shared" si="163"/>
        <v>-3.5830654681542518</v>
      </c>
      <c r="AK802" s="483">
        <f>LOG10(AI802*1000/(0.08206*298.15))</f>
        <v>-3.6577840506462627</v>
      </c>
      <c r="AL802" s="483">
        <f t="shared" si="162"/>
        <v>-3.6577840506462627</v>
      </c>
      <c r="AM802" s="483">
        <v>-5.3482500000000002</v>
      </c>
      <c r="AN802" s="226">
        <v>-4.1500000000000004</v>
      </c>
      <c r="AO802" s="484"/>
      <c r="AP802" s="484">
        <v>-3.18</v>
      </c>
      <c r="AQ802" s="226" t="s">
        <v>6311</v>
      </c>
      <c r="AR802" s="226" t="s">
        <v>6311</v>
      </c>
      <c r="AS802" s="224"/>
      <c r="AT802" s="50" t="s">
        <v>266</v>
      </c>
      <c r="AU802" s="48">
        <v>6</v>
      </c>
      <c r="AV802" s="48">
        <v>120</v>
      </c>
      <c r="AW802" s="48">
        <v>114</v>
      </c>
      <c r="AX802" s="48">
        <v>28</v>
      </c>
      <c r="AY802" s="48" t="s">
        <v>8728</v>
      </c>
      <c r="AZ802" s="48" t="s">
        <v>1563</v>
      </c>
      <c r="BA802" s="48">
        <v>32</v>
      </c>
      <c r="BB802" s="47" t="s">
        <v>2485</v>
      </c>
      <c r="BC802" s="47" t="s">
        <v>8726</v>
      </c>
      <c r="BD802" s="47" t="s">
        <v>8374</v>
      </c>
      <c r="BE802" s="48" t="s">
        <v>2449</v>
      </c>
      <c r="BF802" s="48" t="s">
        <v>272</v>
      </c>
      <c r="BG802" s="48" t="s">
        <v>272</v>
      </c>
      <c r="BH802" s="48" t="s">
        <v>2486</v>
      </c>
      <c r="BI802" s="98">
        <v>8.332159999999999E-4</v>
      </c>
      <c r="BJ802" s="98">
        <v>8.33216</v>
      </c>
      <c r="BK802" s="48"/>
      <c r="BL802" s="487">
        <v>427.46900174921291</v>
      </c>
      <c r="BM802" s="47" t="s">
        <v>2487</v>
      </c>
      <c r="BN802" s="48"/>
      <c r="BO802" s="48"/>
      <c r="BP802" s="48"/>
      <c r="BQ802" s="48"/>
      <c r="BR802" s="47" t="e">
        <v>#VALUE!</v>
      </c>
      <c r="BS802" s="48"/>
      <c r="BT802" s="48"/>
      <c r="BU802" s="228"/>
      <c r="BV802" s="48"/>
      <c r="BW802" s="48"/>
      <c r="BX802" s="48"/>
      <c r="BY802" s="48"/>
      <c r="BZ802" s="48"/>
      <c r="CA802" s="48"/>
      <c r="CB802" s="48"/>
      <c r="CC802" s="48"/>
      <c r="CD802" s="48"/>
      <c r="CE802" s="48"/>
      <c r="CF802" s="48"/>
      <c r="CG802" s="48"/>
      <c r="CH802" s="48"/>
      <c r="CI802" s="98"/>
      <c r="CJ802" s="98"/>
      <c r="CK802" s="49">
        <f t="shared" si="167"/>
        <v>51.303503743232596</v>
      </c>
      <c r="CL802" s="229"/>
      <c r="CM802" s="229"/>
      <c r="CN802" s="229"/>
      <c r="CO802" s="47" t="s">
        <v>2488</v>
      </c>
      <c r="CP802" s="500" t="s">
        <v>2489</v>
      </c>
      <c r="CQ802" s="224" t="s">
        <v>272</v>
      </c>
      <c r="CR802" s="224"/>
      <c r="CS802" s="230" t="s">
        <v>539</v>
      </c>
      <c r="CT802" s="230"/>
      <c r="CU802" s="230"/>
      <c r="CV802" s="335">
        <f t="shared" si="168"/>
        <v>1560.2196789307934</v>
      </c>
      <c r="CW802" s="230">
        <f t="shared" si="166"/>
        <v>1</v>
      </c>
      <c r="CX802" s="336"/>
      <c r="CY802" s="230" t="s">
        <v>5921</v>
      </c>
    </row>
    <row r="803" spans="1:103" ht="11.25" customHeight="1" x14ac:dyDescent="0.2">
      <c r="A803" s="72">
        <v>1142</v>
      </c>
      <c r="B803" s="224">
        <v>1431</v>
      </c>
      <c r="C803" s="46" t="s">
        <v>7290</v>
      </c>
      <c r="D803" s="46"/>
      <c r="E803" s="114"/>
      <c r="F803" s="114" t="s">
        <v>4402</v>
      </c>
      <c r="G803" s="225">
        <v>627189</v>
      </c>
      <c r="H803" s="47" t="s">
        <v>4403</v>
      </c>
      <c r="I803" s="47" t="s">
        <v>4403</v>
      </c>
      <c r="J803" s="47" t="s">
        <v>4404</v>
      </c>
      <c r="K803" s="47" t="s">
        <v>1808</v>
      </c>
      <c r="L803" s="47"/>
      <c r="M803" s="47"/>
      <c r="N803" s="47"/>
      <c r="O803" s="47"/>
      <c r="P803" s="53" t="s">
        <v>6183</v>
      </c>
      <c r="Q803" s="53" t="s">
        <v>6173</v>
      </c>
      <c r="R803" s="53" t="s">
        <v>6185</v>
      </c>
      <c r="S803" s="53" t="s">
        <v>6182</v>
      </c>
      <c r="T803" s="48">
        <v>138.99</v>
      </c>
      <c r="U803" s="98">
        <v>142000</v>
      </c>
      <c r="V803" s="98">
        <v>69980</v>
      </c>
      <c r="W803" s="98">
        <v>118299.67592974831</v>
      </c>
      <c r="X803" s="98">
        <v>142000</v>
      </c>
      <c r="Y803" s="233">
        <v>6.96</v>
      </c>
      <c r="Z803" s="48">
        <v>0.69</v>
      </c>
      <c r="AA803" s="48"/>
      <c r="AB803" s="48">
        <v>0.85</v>
      </c>
      <c r="AC803" s="48">
        <v>0.81310000000000004</v>
      </c>
      <c r="AD803" s="48">
        <v>0.69</v>
      </c>
      <c r="AE803" s="48">
        <v>0.34</v>
      </c>
      <c r="AF803" s="48">
        <f t="shared" si="161"/>
        <v>0.69</v>
      </c>
      <c r="AG803" s="49">
        <v>0.83</v>
      </c>
      <c r="AH803" s="98">
        <v>5.4700000000000001E-7</v>
      </c>
      <c r="AI803" s="98">
        <v>1.29E-7</v>
      </c>
      <c r="AJ803" s="483">
        <f t="shared" si="163"/>
        <v>-4.6505789999792206</v>
      </c>
      <c r="AK803" s="483">
        <f>LOG10(AI803*1000/(0.08206*298.15))</f>
        <v>-5.2779766160134027</v>
      </c>
      <c r="AL803" s="483">
        <f t="shared" si="162"/>
        <v>-5.2779766160134027</v>
      </c>
      <c r="AM803" s="483">
        <v>-4.3915100000000002</v>
      </c>
      <c r="AN803" s="226">
        <v>-5.12</v>
      </c>
      <c r="AO803" s="484">
        <v>14.65</v>
      </c>
      <c r="AP803" s="484"/>
      <c r="AQ803" s="48" t="s">
        <v>6311</v>
      </c>
      <c r="AR803" s="48" t="s">
        <v>6311</v>
      </c>
      <c r="AS803" s="227"/>
      <c r="AT803" s="50" t="s">
        <v>266</v>
      </c>
      <c r="AU803" s="48">
        <v>6</v>
      </c>
      <c r="AV803" s="48">
        <v>120</v>
      </c>
      <c r="AW803" s="48">
        <v>114</v>
      </c>
      <c r="AX803" s="48">
        <v>28</v>
      </c>
      <c r="AY803" s="48" t="s">
        <v>8728</v>
      </c>
      <c r="AZ803" s="48" t="s">
        <v>1563</v>
      </c>
      <c r="BA803" s="48">
        <v>32</v>
      </c>
      <c r="BB803" s="47" t="s">
        <v>2485</v>
      </c>
      <c r="BC803" s="47" t="s">
        <v>8726</v>
      </c>
      <c r="BD803" s="47" t="s">
        <v>8374</v>
      </c>
      <c r="BE803" s="48" t="s">
        <v>2449</v>
      </c>
      <c r="BF803" s="48" t="s">
        <v>272</v>
      </c>
      <c r="BG803" s="48" t="s">
        <v>272</v>
      </c>
      <c r="BH803" s="48" t="s">
        <v>2486</v>
      </c>
      <c r="BI803" s="98">
        <v>8.8953600000000002E-4</v>
      </c>
      <c r="BJ803" s="98">
        <v>8.8953600000000002</v>
      </c>
      <c r="BK803" s="48"/>
      <c r="BL803" s="487">
        <v>1714.3305122144698</v>
      </c>
      <c r="BM803" s="47" t="s">
        <v>2487</v>
      </c>
      <c r="BN803" s="48"/>
      <c r="BO803" s="48"/>
      <c r="BP803" s="48"/>
      <c r="BQ803" s="48"/>
      <c r="BR803" s="47" t="e">
        <v>#VALUE!</v>
      </c>
      <c r="BS803" s="48"/>
      <c r="BT803" s="48"/>
      <c r="BU803" s="228"/>
      <c r="BV803" s="48"/>
      <c r="BW803" s="48"/>
      <c r="BX803" s="48"/>
      <c r="BY803" s="48"/>
      <c r="BZ803" s="48"/>
      <c r="CA803" s="48"/>
      <c r="CB803" s="48"/>
      <c r="CC803" s="48"/>
      <c r="CD803" s="48"/>
      <c r="CE803" s="48"/>
      <c r="CF803" s="48"/>
      <c r="CG803" s="48"/>
      <c r="CH803" s="48"/>
      <c r="CI803" s="98"/>
      <c r="CJ803" s="98"/>
      <c r="CK803" s="49">
        <f t="shared" si="167"/>
        <v>192.7218810946909</v>
      </c>
      <c r="CL803" s="229"/>
      <c r="CM803" s="229"/>
      <c r="CN803" s="229"/>
      <c r="CO803" s="47" t="s">
        <v>2488</v>
      </c>
      <c r="CP803" s="500" t="s">
        <v>2489</v>
      </c>
      <c r="CQ803" s="224" t="s">
        <v>272</v>
      </c>
      <c r="CR803" s="224"/>
      <c r="CS803" s="230" t="s">
        <v>539</v>
      </c>
      <c r="CT803" s="230"/>
      <c r="CU803" s="230"/>
      <c r="CV803" s="335">
        <f t="shared" si="168"/>
        <v>15963.378660335276</v>
      </c>
      <c r="CW803" s="230">
        <f t="shared" si="166"/>
        <v>1</v>
      </c>
      <c r="CX803" s="336"/>
      <c r="CY803" s="230" t="s">
        <v>5921</v>
      </c>
    </row>
    <row r="804" spans="1:103" ht="11.25" customHeight="1" x14ac:dyDescent="0.2">
      <c r="A804" s="72">
        <v>1143</v>
      </c>
      <c r="B804" s="224">
        <v>1617</v>
      </c>
      <c r="C804" s="46" t="s">
        <v>7291</v>
      </c>
      <c r="D804" s="46"/>
      <c r="E804" s="114"/>
      <c r="F804" s="114" t="s">
        <v>4793</v>
      </c>
      <c r="G804" s="225">
        <v>627930</v>
      </c>
      <c r="H804" s="47" t="s">
        <v>4794</v>
      </c>
      <c r="I804" s="47" t="s">
        <v>4794</v>
      </c>
      <c r="J804" s="47" t="s">
        <v>4795</v>
      </c>
      <c r="K804" s="47" t="s">
        <v>357</v>
      </c>
      <c r="L804" s="47"/>
      <c r="M804" s="47"/>
      <c r="N804" s="47"/>
      <c r="O804" s="47"/>
      <c r="P804" s="53"/>
      <c r="Q804" s="53"/>
      <c r="R804" s="53"/>
      <c r="S804" s="53"/>
      <c r="T804" s="48">
        <v>174.19</v>
      </c>
      <c r="U804" s="98">
        <v>6000</v>
      </c>
      <c r="V804" s="98">
        <v>7749</v>
      </c>
      <c r="W804" s="98">
        <v>13213.662779433349</v>
      </c>
      <c r="X804" s="98">
        <v>6000</v>
      </c>
      <c r="Y804" s="233">
        <v>7</v>
      </c>
      <c r="Z804" s="48">
        <v>1.39</v>
      </c>
      <c r="AA804" s="48">
        <v>1.03</v>
      </c>
      <c r="AB804" s="48">
        <v>1.19</v>
      </c>
      <c r="AC804" s="48">
        <v>0.88660000000000005</v>
      </c>
      <c r="AD804" s="48">
        <v>1.1599999999999999</v>
      </c>
      <c r="AE804" s="48">
        <v>1.03</v>
      </c>
      <c r="AF804" s="48">
        <f t="shared" ref="AF804:AF826" si="169">IF(AA804=0,AD804,AA804)</f>
        <v>1.03</v>
      </c>
      <c r="AG804" s="49">
        <v>0.93</v>
      </c>
      <c r="AH804" s="98">
        <v>9.7699999999999992E-7</v>
      </c>
      <c r="AI804" s="98">
        <v>2.3099999999999999E-6</v>
      </c>
      <c r="AJ804" s="483">
        <f t="shared" si="163"/>
        <v>-4.3986717625938789</v>
      </c>
      <c r="AK804" s="483">
        <f>LOG10(AI804*1000/(0.08206*298.15))</f>
        <v>-4.0249543464205075</v>
      </c>
      <c r="AL804" s="483">
        <f t="shared" si="162"/>
        <v>-4.0249543464205075</v>
      </c>
      <c r="AM804" s="483">
        <v>-5.9673600000000002</v>
      </c>
      <c r="AN804" s="226">
        <v>-5.64</v>
      </c>
      <c r="AO804" s="484"/>
      <c r="AP804" s="484"/>
      <c r="AQ804" s="48" t="s">
        <v>6311</v>
      </c>
      <c r="AR804" s="48" t="s">
        <v>6312</v>
      </c>
      <c r="AS804" s="224"/>
      <c r="AT804" s="50" t="s">
        <v>266</v>
      </c>
      <c r="AU804" s="48">
        <v>6</v>
      </c>
      <c r="AV804" s="48">
        <v>120</v>
      </c>
      <c r="AW804" s="48">
        <v>114</v>
      </c>
      <c r="AX804" s="48">
        <v>28</v>
      </c>
      <c r="AY804" s="48" t="s">
        <v>8728</v>
      </c>
      <c r="AZ804" s="48" t="s">
        <v>1563</v>
      </c>
      <c r="BA804" s="48">
        <v>32</v>
      </c>
      <c r="BB804" s="47" t="s">
        <v>2485</v>
      </c>
      <c r="BC804" s="47" t="s">
        <v>8726</v>
      </c>
      <c r="BD804" s="47" t="s">
        <v>8374</v>
      </c>
      <c r="BE804" s="48" t="s">
        <v>2449</v>
      </c>
      <c r="BF804" s="48" t="s">
        <v>272</v>
      </c>
      <c r="BG804" s="48" t="s">
        <v>272</v>
      </c>
      <c r="BH804" s="48" t="s">
        <v>2486</v>
      </c>
      <c r="BI804" s="98">
        <v>1.114816E-3</v>
      </c>
      <c r="BJ804" s="98">
        <v>11.148160000000001</v>
      </c>
      <c r="BK804" s="48"/>
      <c r="BL804" s="487">
        <v>505.20102050618965</v>
      </c>
      <c r="BM804" s="47" t="s">
        <v>2487</v>
      </c>
      <c r="BN804" s="48"/>
      <c r="BO804" s="48"/>
      <c r="BP804" s="48"/>
      <c r="BQ804" s="48"/>
      <c r="BR804" s="47" t="e">
        <v>#VALUE!</v>
      </c>
      <c r="BS804" s="48"/>
      <c r="BT804" s="48"/>
      <c r="BU804" s="228"/>
      <c r="BV804" s="48"/>
      <c r="BW804" s="48"/>
      <c r="BX804" s="48"/>
      <c r="BY804" s="48"/>
      <c r="BZ804" s="48"/>
      <c r="CA804" s="48"/>
      <c r="CB804" s="48"/>
      <c r="CC804" s="48"/>
      <c r="CD804" s="48"/>
      <c r="CE804" s="48"/>
      <c r="CF804" s="48"/>
      <c r="CG804" s="48"/>
      <c r="CH804" s="48"/>
      <c r="CI804" s="98"/>
      <c r="CJ804" s="98"/>
      <c r="CK804" s="49">
        <f t="shared" si="167"/>
        <v>45.316986884489424</v>
      </c>
      <c r="CL804" s="229"/>
      <c r="CM804" s="229"/>
      <c r="CN804" s="229"/>
      <c r="CO804" s="47" t="s">
        <v>2488</v>
      </c>
      <c r="CP804" s="500" t="s">
        <v>2489</v>
      </c>
      <c r="CQ804" s="224" t="s">
        <v>272</v>
      </c>
      <c r="CR804" s="224"/>
      <c r="CS804" s="230" t="s">
        <v>539</v>
      </c>
      <c r="CT804" s="230"/>
      <c r="CU804" s="230"/>
      <c r="CV804" s="335">
        <f t="shared" si="168"/>
        <v>538.20540788793846</v>
      </c>
      <c r="CW804" s="230">
        <f t="shared" si="166"/>
        <v>1</v>
      </c>
      <c r="CX804" s="336"/>
      <c r="CY804" s="230" t="s">
        <v>6351</v>
      </c>
    </row>
    <row r="805" spans="1:103" ht="11.25" customHeight="1" x14ac:dyDescent="0.2">
      <c r="A805" s="72">
        <v>1144</v>
      </c>
      <c r="B805" s="224">
        <v>1232</v>
      </c>
      <c r="C805" s="46" t="s">
        <v>7292</v>
      </c>
      <c r="D805" s="46"/>
      <c r="E805" s="114"/>
      <c r="F805" s="114" t="s">
        <v>3394</v>
      </c>
      <c r="G805" s="225">
        <v>628637</v>
      </c>
      <c r="H805" s="47" t="s">
        <v>3395</v>
      </c>
      <c r="I805" s="47" t="s">
        <v>3395</v>
      </c>
      <c r="J805" s="47" t="s">
        <v>3396</v>
      </c>
      <c r="K805" s="47" t="s">
        <v>357</v>
      </c>
      <c r="L805" s="47"/>
      <c r="M805" s="47"/>
      <c r="N805" s="47"/>
      <c r="O805" s="47"/>
      <c r="P805" s="53"/>
      <c r="Q805" s="53" t="s">
        <v>6173</v>
      </c>
      <c r="R805" s="53" t="s">
        <v>6174</v>
      </c>
      <c r="S805" s="53" t="s">
        <v>6176</v>
      </c>
      <c r="T805" s="48">
        <v>130.18</v>
      </c>
      <c r="U805" s="98">
        <v>1700</v>
      </c>
      <c r="V805" s="98">
        <v>996.8</v>
      </c>
      <c r="W805" s="98">
        <v>3841.8841712742997</v>
      </c>
      <c r="X805" s="98">
        <v>1700</v>
      </c>
      <c r="Y805" s="233">
        <v>7</v>
      </c>
      <c r="Z805" s="48">
        <v>2.34</v>
      </c>
      <c r="AA805" s="48">
        <v>2.2999999999999998</v>
      </c>
      <c r="AB805" s="48">
        <v>2.59</v>
      </c>
      <c r="AC805" s="48">
        <v>0.87290000000000001</v>
      </c>
      <c r="AD805" s="48">
        <v>2.52</v>
      </c>
      <c r="AE805" s="48">
        <v>2.2999999999999998</v>
      </c>
      <c r="AF805" s="48">
        <f t="shared" si="169"/>
        <v>2.2999999999999998</v>
      </c>
      <c r="AG805" s="49">
        <v>1.82</v>
      </c>
      <c r="AH805" s="98">
        <v>5.4500000000000002E-4</v>
      </c>
      <c r="AI805" s="98">
        <v>3.88E-4</v>
      </c>
      <c r="AJ805" s="483">
        <f t="shared" si="163"/>
        <v>-1.6521698240360094</v>
      </c>
      <c r="AK805" s="483">
        <f>LOG10(AI805*1000/(0.08206*298.15))</f>
        <v>-1.7997346007184445</v>
      </c>
      <c r="AL805" s="483">
        <f t="shared" si="162"/>
        <v>-1.7997346007184445</v>
      </c>
      <c r="AM805" s="483">
        <v>-2.99579</v>
      </c>
      <c r="AN805" s="226">
        <v>-1.92</v>
      </c>
      <c r="AO805" s="484"/>
      <c r="AP805" s="484"/>
      <c r="AQ805" s="48" t="s">
        <v>6311</v>
      </c>
      <c r="AR805" s="48" t="s">
        <v>6312</v>
      </c>
      <c r="AS805" s="227"/>
      <c r="AT805" s="50" t="s">
        <v>266</v>
      </c>
      <c r="AU805" s="48">
        <v>6</v>
      </c>
      <c r="AV805" s="48">
        <v>120</v>
      </c>
      <c r="AW805" s="48">
        <v>114</v>
      </c>
      <c r="AX805" s="48">
        <v>28</v>
      </c>
      <c r="AY805" s="48" t="s">
        <v>8728</v>
      </c>
      <c r="AZ805" s="48" t="s">
        <v>1563</v>
      </c>
      <c r="BA805" s="48">
        <v>32</v>
      </c>
      <c r="BB805" s="47" t="s">
        <v>2485</v>
      </c>
      <c r="BC805" s="47" t="s">
        <v>8726</v>
      </c>
      <c r="BD805" s="47" t="s">
        <v>8374</v>
      </c>
      <c r="BE805" s="48" t="s">
        <v>2449</v>
      </c>
      <c r="BF805" s="48" t="s">
        <v>272</v>
      </c>
      <c r="BG805" s="48" t="s">
        <v>272</v>
      </c>
      <c r="BH805" s="48" t="s">
        <v>2486</v>
      </c>
      <c r="BI805" s="98">
        <v>8.3315199999999998E-4</v>
      </c>
      <c r="BJ805" s="98">
        <v>8.3315200000000011</v>
      </c>
      <c r="BK805" s="48"/>
      <c r="BL805" s="487">
        <v>52.940771654695773</v>
      </c>
      <c r="BM805" s="47" t="s">
        <v>2487</v>
      </c>
      <c r="BN805" s="48"/>
      <c r="BO805" s="48"/>
      <c r="BP805" s="48"/>
      <c r="BQ805" s="48"/>
      <c r="BR805" s="47" t="e">
        <v>#VALUE!</v>
      </c>
      <c r="BS805" s="48"/>
      <c r="BT805" s="48"/>
      <c r="BU805" s="228">
        <v>8.3315199999999998E-4</v>
      </c>
      <c r="BV805" s="48"/>
      <c r="BW805" s="48"/>
      <c r="BX805" s="48"/>
      <c r="BY805" s="48"/>
      <c r="BZ805" s="48"/>
      <c r="CA805" s="48"/>
      <c r="CB805" s="48"/>
      <c r="CC805" s="48"/>
      <c r="CD805" s="48"/>
      <c r="CE805" s="48"/>
      <c r="CF805" s="48"/>
      <c r="CG805" s="48"/>
      <c r="CH805" s="48"/>
      <c r="CI805" s="98"/>
      <c r="CJ805" s="98"/>
      <c r="CK805" s="49">
        <f t="shared" si="167"/>
        <v>6.354275288866349</v>
      </c>
      <c r="CL805" s="229"/>
      <c r="CM805" s="229"/>
      <c r="CN805" s="229"/>
      <c r="CO805" s="47" t="s">
        <v>2488</v>
      </c>
      <c r="CP805" s="500" t="s">
        <v>2489</v>
      </c>
      <c r="CQ805" s="224" t="s">
        <v>272</v>
      </c>
      <c r="CR805" s="224"/>
      <c r="CS805" s="230" t="s">
        <v>539</v>
      </c>
      <c r="CT805" s="230"/>
      <c r="CU805" s="230"/>
      <c r="CV805" s="335">
        <f t="shared" si="168"/>
        <v>204.04440006145333</v>
      </c>
      <c r="CW805" s="230">
        <f t="shared" si="166"/>
        <v>1</v>
      </c>
      <c r="CX805" s="336"/>
      <c r="CY805" s="230" t="s">
        <v>5921</v>
      </c>
    </row>
    <row r="806" spans="1:103" ht="11.25" customHeight="1" x14ac:dyDescent="0.2">
      <c r="A806" s="72">
        <v>1145</v>
      </c>
      <c r="B806" s="224">
        <v>1068</v>
      </c>
      <c r="C806" s="46" t="s">
        <v>7293</v>
      </c>
      <c r="D806" s="46"/>
      <c r="E806" s="114"/>
      <c r="F806" s="114" t="s">
        <v>3003</v>
      </c>
      <c r="G806" s="225">
        <v>637070</v>
      </c>
      <c r="H806" s="47" t="s">
        <v>3004</v>
      </c>
      <c r="I806" s="47" t="s">
        <v>8058</v>
      </c>
      <c r="J806" s="47" t="s">
        <v>3005</v>
      </c>
      <c r="K806" s="47" t="s">
        <v>357</v>
      </c>
      <c r="L806" s="51" t="s">
        <v>279</v>
      </c>
      <c r="M806" s="47" t="s">
        <v>3006</v>
      </c>
      <c r="N806" s="47"/>
      <c r="O806" s="47" t="s">
        <v>281</v>
      </c>
      <c r="P806" s="53"/>
      <c r="Q806" s="53"/>
      <c r="R806" s="53"/>
      <c r="S806" s="53"/>
      <c r="T806" s="48">
        <v>242.7</v>
      </c>
      <c r="U806" s="98"/>
      <c r="V806" s="98">
        <v>20.97</v>
      </c>
      <c r="W806" s="98">
        <v>136.48023962369757</v>
      </c>
      <c r="X806" s="98">
        <v>136.48023962369757</v>
      </c>
      <c r="Y806" s="233">
        <v>7</v>
      </c>
      <c r="Z806" s="48">
        <v>3.62</v>
      </c>
      <c r="AA806" s="48"/>
      <c r="AB806" s="48">
        <v>3.64</v>
      </c>
      <c r="AC806" s="48">
        <v>0.72640000000000005</v>
      </c>
      <c r="AD806" s="48">
        <v>3.52</v>
      </c>
      <c r="AE806" s="48">
        <v>3.32</v>
      </c>
      <c r="AF806" s="48">
        <f t="shared" si="169"/>
        <v>3.52</v>
      </c>
      <c r="AG806" s="49">
        <v>3.35</v>
      </c>
      <c r="AH806" s="98">
        <v>9.3100000000000006E-6</v>
      </c>
      <c r="AI806" s="98"/>
      <c r="AJ806" s="483">
        <f t="shared" si="163"/>
        <v>-3.4196166453313093</v>
      </c>
      <c r="AK806" s="483"/>
      <c r="AL806" s="483">
        <f t="shared" si="162"/>
        <v>-3.4196166453313093</v>
      </c>
      <c r="AM806" s="483">
        <v>-7.6575299999999995</v>
      </c>
      <c r="AN806" s="226">
        <v>-3.48</v>
      </c>
      <c r="AO806" s="484"/>
      <c r="AP806" s="484"/>
      <c r="AQ806" s="48" t="s">
        <v>6311</v>
      </c>
      <c r="AR806" s="48" t="s">
        <v>6312</v>
      </c>
      <c r="AS806" s="227"/>
      <c r="AT806" s="50" t="s">
        <v>266</v>
      </c>
      <c r="AU806" s="48">
        <v>6</v>
      </c>
      <c r="AV806" s="48">
        <v>120</v>
      </c>
      <c r="AW806" s="48">
        <v>114</v>
      </c>
      <c r="AX806" s="48">
        <v>28</v>
      </c>
      <c r="AY806" s="48" t="s">
        <v>8728</v>
      </c>
      <c r="AZ806" s="48" t="s">
        <v>1563</v>
      </c>
      <c r="BA806" s="48">
        <v>32</v>
      </c>
      <c r="BB806" s="47" t="s">
        <v>2485</v>
      </c>
      <c r="BC806" s="47" t="s">
        <v>8726</v>
      </c>
      <c r="BD806" s="47" t="s">
        <v>8374</v>
      </c>
      <c r="BE806" s="48" t="s">
        <v>2449</v>
      </c>
      <c r="BF806" s="48" t="s">
        <v>272</v>
      </c>
      <c r="BG806" s="48" t="s">
        <v>272</v>
      </c>
      <c r="BH806" s="48" t="s">
        <v>2486</v>
      </c>
      <c r="BI806" s="98">
        <v>1.5532799999999998E-3</v>
      </c>
      <c r="BJ806" s="98">
        <v>15.5328</v>
      </c>
      <c r="BK806" s="48"/>
      <c r="BL806" s="487">
        <v>6.9943566924686049</v>
      </c>
      <c r="BM806" s="47" t="s">
        <v>2487</v>
      </c>
      <c r="BN806" s="48"/>
      <c r="BO806" s="48"/>
      <c r="BP806" s="48"/>
      <c r="BQ806" s="48"/>
      <c r="BR806" s="47" t="e">
        <v>#VALUE!</v>
      </c>
      <c r="BS806" s="48"/>
      <c r="BT806" s="48"/>
      <c r="BU806" s="228">
        <v>15.5328</v>
      </c>
      <c r="BV806" s="48"/>
      <c r="BW806" s="48"/>
      <c r="BX806" s="48"/>
      <c r="BY806" s="48"/>
      <c r="BZ806" s="48"/>
      <c r="CA806" s="48"/>
      <c r="CB806" s="48"/>
      <c r="CC806" s="48"/>
      <c r="CD806" s="48"/>
      <c r="CE806" s="48"/>
      <c r="CF806" s="48"/>
      <c r="CG806" s="48"/>
      <c r="CH806" s="48"/>
      <c r="CI806" s="98"/>
      <c r="CJ806" s="98"/>
      <c r="CK806" s="49">
        <f t="shared" si="167"/>
        <v>0.45029593456869366</v>
      </c>
      <c r="CL806" s="229"/>
      <c r="CM806" s="229"/>
      <c r="CN806" s="229"/>
      <c r="CO806" s="47" t="s">
        <v>2488</v>
      </c>
      <c r="CP806" s="500" t="s">
        <v>2489</v>
      </c>
      <c r="CQ806" s="224" t="s">
        <v>272</v>
      </c>
      <c r="CR806" s="224"/>
      <c r="CS806" s="230" t="s">
        <v>539</v>
      </c>
      <c r="CT806" s="230"/>
      <c r="CU806" s="230"/>
      <c r="CV806" s="335">
        <f t="shared" si="168"/>
        <v>8.7865832060991949</v>
      </c>
      <c r="CW806" s="230">
        <f t="shared" si="166"/>
        <v>1</v>
      </c>
      <c r="CX806" s="336"/>
      <c r="CY806" s="230" t="s">
        <v>5921</v>
      </c>
    </row>
    <row r="807" spans="1:103" ht="11.25" customHeight="1" x14ac:dyDescent="0.2">
      <c r="A807" s="72">
        <v>1146</v>
      </c>
      <c r="B807" s="224">
        <v>968</v>
      </c>
      <c r="C807" s="46" t="s">
        <v>7294</v>
      </c>
      <c r="D807" s="46"/>
      <c r="E807" s="114"/>
      <c r="F807" s="114" t="s">
        <v>2760</v>
      </c>
      <c r="G807" s="225">
        <v>647427</v>
      </c>
      <c r="H807" s="47" t="s">
        <v>2761</v>
      </c>
      <c r="I807" s="47" t="s">
        <v>2761</v>
      </c>
      <c r="J807" s="47" t="s">
        <v>2762</v>
      </c>
      <c r="K807" s="47" t="s">
        <v>426</v>
      </c>
      <c r="L807" s="47"/>
      <c r="M807" s="47"/>
      <c r="N807" s="47"/>
      <c r="O807" s="47"/>
      <c r="P807" s="53"/>
      <c r="Q807" s="53"/>
      <c r="R807" s="53"/>
      <c r="S807" s="53"/>
      <c r="T807" s="48">
        <v>364.1</v>
      </c>
      <c r="U807" s="98"/>
      <c r="V807" s="98">
        <v>2.1850000000000001</v>
      </c>
      <c r="W807" s="98">
        <v>89.375951620091854</v>
      </c>
      <c r="X807" s="98">
        <v>89.375951620091854</v>
      </c>
      <c r="Y807" s="233">
        <v>7</v>
      </c>
      <c r="Z807" s="48">
        <v>4.41</v>
      </c>
      <c r="AA807" s="48">
        <v>4.54</v>
      </c>
      <c r="AB807" s="48">
        <v>4.4000000000000004</v>
      </c>
      <c r="AC807" s="48">
        <v>0.60419999999999996</v>
      </c>
      <c r="AD807" s="48">
        <v>4.3099999999999996</v>
      </c>
      <c r="AE807" s="48">
        <v>4.16</v>
      </c>
      <c r="AF807" s="48">
        <f t="shared" si="169"/>
        <v>4.54</v>
      </c>
      <c r="AG807" s="49">
        <v>3.5</v>
      </c>
      <c r="AH807" s="98">
        <v>0.15</v>
      </c>
      <c r="AI807" s="98"/>
      <c r="AJ807" s="483">
        <f t="shared" si="163"/>
        <v>0.78752493274302948</v>
      </c>
      <c r="AK807" s="483"/>
      <c r="AL807" s="483">
        <f t="shared" si="162"/>
        <v>0.78752493274302948</v>
      </c>
      <c r="AM807" s="483">
        <v>-9.1880000000000073E-2</v>
      </c>
      <c r="AN807" s="226">
        <v>-1.0900000000000001</v>
      </c>
      <c r="AO807" s="484">
        <v>14.26</v>
      </c>
      <c r="AP807" s="484"/>
      <c r="AQ807" s="48" t="s">
        <v>6311</v>
      </c>
      <c r="AR807" s="48" t="s">
        <v>6311</v>
      </c>
      <c r="AS807" s="227"/>
      <c r="AT807" s="50" t="s">
        <v>266</v>
      </c>
      <c r="AU807" s="48">
        <v>6</v>
      </c>
      <c r="AV807" s="48">
        <v>120</v>
      </c>
      <c r="AW807" s="48">
        <v>114</v>
      </c>
      <c r="AX807" s="48">
        <v>28</v>
      </c>
      <c r="AY807" s="48" t="s">
        <v>8728</v>
      </c>
      <c r="AZ807" s="48" t="s">
        <v>1563</v>
      </c>
      <c r="BA807" s="48">
        <v>32</v>
      </c>
      <c r="BB807" s="47" t="s">
        <v>2485</v>
      </c>
      <c r="BC807" s="47" t="s">
        <v>8726</v>
      </c>
      <c r="BD807" s="47" t="s">
        <v>8374</v>
      </c>
      <c r="BE807" s="48" t="s">
        <v>2449</v>
      </c>
      <c r="BF807" s="48" t="s">
        <v>272</v>
      </c>
      <c r="BG807" s="48" t="s">
        <v>272</v>
      </c>
      <c r="BH807" s="48" t="s">
        <v>2486</v>
      </c>
      <c r="BI807" s="98">
        <v>2.3302399999999999E-3</v>
      </c>
      <c r="BJ807" s="98">
        <v>23.302400000000002</v>
      </c>
      <c r="BK807" s="48"/>
      <c r="BL807" s="487">
        <v>2.0483288358671388</v>
      </c>
      <c r="BM807" s="47" t="s">
        <v>2487</v>
      </c>
      <c r="BN807" s="48"/>
      <c r="BO807" s="48"/>
      <c r="BP807" s="48"/>
      <c r="BQ807" s="48"/>
      <c r="BR807" s="47" t="e">
        <v>#VALUE!</v>
      </c>
      <c r="BS807" s="48"/>
      <c r="BT807" s="48"/>
      <c r="BU807" s="228">
        <v>23.302400000000002</v>
      </c>
      <c r="BV807" s="48"/>
      <c r="BW807" s="48"/>
      <c r="BX807" s="48"/>
      <c r="BY807" s="48"/>
      <c r="BZ807" s="48"/>
      <c r="CA807" s="48"/>
      <c r="CB807" s="48"/>
      <c r="CC807" s="48"/>
      <c r="CD807" s="48"/>
      <c r="CE807" s="48"/>
      <c r="CF807" s="48"/>
      <c r="CG807" s="48"/>
      <c r="CH807" s="48"/>
      <c r="CI807" s="98"/>
      <c r="CJ807" s="98"/>
      <c r="CK807" s="49">
        <f t="shared" si="167"/>
        <v>8.7902054546619174E-2</v>
      </c>
      <c r="CL807" s="229"/>
      <c r="CM807" s="229"/>
      <c r="CN807" s="229"/>
      <c r="CO807" s="47" t="s">
        <v>2488</v>
      </c>
      <c r="CP807" s="500" t="s">
        <v>2489</v>
      </c>
      <c r="CQ807" s="224" t="s">
        <v>272</v>
      </c>
      <c r="CR807" s="224"/>
      <c r="CS807" s="230" t="s">
        <v>539</v>
      </c>
      <c r="CT807" s="230"/>
      <c r="CU807" s="230"/>
      <c r="CV807" s="335">
        <f t="shared" si="168"/>
        <v>3.8354826807578553</v>
      </c>
      <c r="CW807" s="230">
        <f t="shared" si="166"/>
        <v>1</v>
      </c>
      <c r="CX807" s="336"/>
      <c r="CY807" s="230" t="s">
        <v>6351</v>
      </c>
    </row>
    <row r="808" spans="1:103" ht="11.25" customHeight="1" x14ac:dyDescent="0.2">
      <c r="A808" s="72">
        <v>1147</v>
      </c>
      <c r="B808" s="224">
        <v>1871</v>
      </c>
      <c r="C808" s="46" t="s">
        <v>7295</v>
      </c>
      <c r="D808" s="46"/>
      <c r="E808" s="114"/>
      <c r="F808" s="114" t="s">
        <v>5314</v>
      </c>
      <c r="G808" s="225">
        <v>650511</v>
      </c>
      <c r="H808" s="47" t="s">
        <v>448</v>
      </c>
      <c r="I808" s="47" t="s">
        <v>7996</v>
      </c>
      <c r="J808" s="47" t="s">
        <v>5315</v>
      </c>
      <c r="K808" s="47" t="s">
        <v>450</v>
      </c>
      <c r="L808" s="47"/>
      <c r="M808" s="47"/>
      <c r="N808" s="47"/>
      <c r="O808" s="47"/>
      <c r="P808" s="53"/>
      <c r="Q808" s="53"/>
      <c r="R808" s="53"/>
      <c r="S808" s="53"/>
      <c r="T808" s="48">
        <v>163.38999999999999</v>
      </c>
      <c r="U808" s="98">
        <v>54600.000000000007</v>
      </c>
      <c r="V808" s="98">
        <v>11990</v>
      </c>
      <c r="W808" s="98">
        <v>54103.513939040546</v>
      </c>
      <c r="X808" s="98">
        <v>54600.000000000007</v>
      </c>
      <c r="Y808" s="233">
        <v>0.6</v>
      </c>
      <c r="Z808" s="48">
        <v>1.44</v>
      </c>
      <c r="AA808" s="48">
        <v>1.33</v>
      </c>
      <c r="AB808" s="48">
        <v>1.45</v>
      </c>
      <c r="AC808" s="48">
        <v>0.74429999999999996</v>
      </c>
      <c r="AD808" s="48">
        <v>1.52</v>
      </c>
      <c r="AE808" s="48">
        <v>1.67</v>
      </c>
      <c r="AF808" s="48">
        <f t="shared" si="169"/>
        <v>1.33</v>
      </c>
      <c r="AG808" s="49">
        <v>1.52</v>
      </c>
      <c r="AH808" s="98">
        <v>2.3899999999999999E-8</v>
      </c>
      <c r="AI808" s="98">
        <v>1.35E-8</v>
      </c>
      <c r="AJ808" s="483">
        <f t="shared" si="163"/>
        <v>-6.0101684253645145</v>
      </c>
      <c r="AK808" s="483">
        <f>LOG10(AI808*1000/(0.08206*298.15))</f>
        <v>-6.2582325578176459</v>
      </c>
      <c r="AL808" s="483">
        <f t="shared" ref="AL808:AL836" si="170">IF(AK808=0,AJ808,AK808)</f>
        <v>-6.2582325578176459</v>
      </c>
      <c r="AM808" s="483">
        <v>-7.3551800000000007</v>
      </c>
      <c r="AN808" s="226">
        <v>-21.7</v>
      </c>
      <c r="AO808" s="484">
        <v>0.09</v>
      </c>
      <c r="AP808" s="484"/>
      <c r="AQ808" s="226" t="s">
        <v>6311</v>
      </c>
      <c r="AR808" s="226" t="s">
        <v>6311</v>
      </c>
      <c r="AS808" s="224"/>
      <c r="AT808" s="50" t="s">
        <v>266</v>
      </c>
      <c r="AU808" s="48">
        <v>6</v>
      </c>
      <c r="AV808" s="48">
        <v>120</v>
      </c>
      <c r="AW808" s="48">
        <v>114</v>
      </c>
      <c r="AX808" s="48">
        <v>28</v>
      </c>
      <c r="AY808" s="48" t="s">
        <v>8728</v>
      </c>
      <c r="AZ808" s="48" t="s">
        <v>1563</v>
      </c>
      <c r="BA808" s="48">
        <v>32</v>
      </c>
      <c r="BB808" s="47" t="s">
        <v>2485</v>
      </c>
      <c r="BC808" s="47" t="s">
        <v>8726</v>
      </c>
      <c r="BD808" s="47" t="s">
        <v>8374</v>
      </c>
      <c r="BE808" s="48" t="s">
        <v>2449</v>
      </c>
      <c r="BF808" s="48" t="s">
        <v>272</v>
      </c>
      <c r="BG808" s="48" t="s">
        <v>272</v>
      </c>
      <c r="BH808" s="48" t="s">
        <v>2486</v>
      </c>
      <c r="BI808" s="98">
        <v>1.0456959999999998E-3</v>
      </c>
      <c r="BJ808" s="98">
        <v>10.456959999999999</v>
      </c>
      <c r="BK808" s="48"/>
      <c r="BL808" s="487">
        <v>427.32812059013713</v>
      </c>
      <c r="BM808" s="47" t="s">
        <v>2487</v>
      </c>
      <c r="BN808" s="48"/>
      <c r="BO808" s="48"/>
      <c r="BP808" s="48"/>
      <c r="BQ808" s="48"/>
      <c r="BR808" s="47" t="e">
        <v>#VALUE!</v>
      </c>
      <c r="BS808" s="48"/>
      <c r="BT808" s="48"/>
      <c r="BU808" s="228"/>
      <c r="BV808" s="48"/>
      <c r="BW808" s="48"/>
      <c r="BX808" s="48"/>
      <c r="BY808" s="48"/>
      <c r="BZ808" s="48"/>
      <c r="CA808" s="48"/>
      <c r="CB808" s="48"/>
      <c r="CC808" s="48"/>
      <c r="CD808" s="48"/>
      <c r="CE808" s="48"/>
      <c r="CF808" s="48"/>
      <c r="CG808" s="48"/>
      <c r="CH808" s="48"/>
      <c r="CI808" s="98"/>
      <c r="CJ808" s="98"/>
      <c r="CK808" s="49">
        <f t="shared" si="167"/>
        <v>40.865425572072304</v>
      </c>
      <c r="CL808" s="229"/>
      <c r="CM808" s="229"/>
      <c r="CN808" s="229"/>
      <c r="CO808" s="47" t="s">
        <v>2488</v>
      </c>
      <c r="CP808" s="500" t="s">
        <v>2489</v>
      </c>
      <c r="CQ808" s="224" t="s">
        <v>272</v>
      </c>
      <c r="CR808" s="224"/>
      <c r="CS808" s="230" t="s">
        <v>539</v>
      </c>
      <c r="CT808" s="230"/>
      <c r="CU808" s="230"/>
      <c r="CV808" s="335">
        <f t="shared" si="168"/>
        <v>5221.4027786278248</v>
      </c>
      <c r="CW808" s="230">
        <f t="shared" si="166"/>
        <v>1</v>
      </c>
      <c r="CX808" s="336"/>
      <c r="CY808" s="230" t="s">
        <v>6351</v>
      </c>
    </row>
    <row r="809" spans="1:103" ht="11.25" customHeight="1" x14ac:dyDescent="0.2">
      <c r="A809" s="72">
        <v>1148</v>
      </c>
      <c r="B809" s="224">
        <v>1833</v>
      </c>
      <c r="C809" s="46" t="s">
        <v>1400</v>
      </c>
      <c r="D809" s="46"/>
      <c r="E809" s="114"/>
      <c r="F809" s="114" t="s">
        <v>1401</v>
      </c>
      <c r="G809" s="225">
        <v>709988</v>
      </c>
      <c r="H809" s="47" t="s">
        <v>1402</v>
      </c>
      <c r="I809" s="47" t="s">
        <v>8059</v>
      </c>
      <c r="J809" s="47" t="s">
        <v>1403</v>
      </c>
      <c r="K809" s="47" t="s">
        <v>471</v>
      </c>
      <c r="L809" s="47" t="s">
        <v>5248</v>
      </c>
      <c r="M809" s="47" t="s">
        <v>6082</v>
      </c>
      <c r="N809" s="47" t="s">
        <v>6082</v>
      </c>
      <c r="O809" s="47" t="s">
        <v>1405</v>
      </c>
      <c r="P809" s="53"/>
      <c r="Q809" s="53" t="s">
        <v>6173</v>
      </c>
      <c r="R809" s="53" t="s">
        <v>6185</v>
      </c>
      <c r="S809" s="53" t="s">
        <v>6176</v>
      </c>
      <c r="T809" s="48">
        <v>218.08</v>
      </c>
      <c r="U809" s="98">
        <v>152</v>
      </c>
      <c r="V809" s="98">
        <v>84.18</v>
      </c>
      <c r="W809" s="98">
        <v>90.910875147210703</v>
      </c>
      <c r="X809" s="98">
        <v>152</v>
      </c>
      <c r="Y809" s="233">
        <v>7</v>
      </c>
      <c r="Z809" s="48">
        <v>2.88</v>
      </c>
      <c r="AA809" s="48">
        <v>3.07</v>
      </c>
      <c r="AB809" s="48">
        <v>3.39</v>
      </c>
      <c r="AC809" s="48">
        <v>0.89070000000000005</v>
      </c>
      <c r="AD809" s="48">
        <v>3.34</v>
      </c>
      <c r="AE809" s="48">
        <v>3.18</v>
      </c>
      <c r="AF809" s="48">
        <f t="shared" si="169"/>
        <v>3.07</v>
      </c>
      <c r="AG809" s="49">
        <v>3.05</v>
      </c>
      <c r="AH809" s="98">
        <v>4.4999999999999998E-9</v>
      </c>
      <c r="AI809" s="98">
        <v>1.7100000000000001E-9</v>
      </c>
      <c r="AJ809" s="483">
        <f t="shared" si="163"/>
        <v>-6.7353538125373085</v>
      </c>
      <c r="AK809" s="483">
        <f>LOG10(AI809*1000/(0.08206*298.15))</f>
        <v>-7.1555702159204984</v>
      </c>
      <c r="AL809" s="483">
        <f t="shared" si="170"/>
        <v>-7.1555702159204984</v>
      </c>
      <c r="AM809" s="483">
        <v>-10.588889999999999</v>
      </c>
      <c r="AN809" s="226">
        <v>-7.75</v>
      </c>
      <c r="AO809" s="484">
        <v>13.58</v>
      </c>
      <c r="AP809" s="484">
        <v>-0.91</v>
      </c>
      <c r="AQ809" s="226" t="s">
        <v>6311</v>
      </c>
      <c r="AR809" s="226" t="s">
        <v>6311</v>
      </c>
      <c r="AS809" s="224"/>
      <c r="AT809" s="50" t="s">
        <v>266</v>
      </c>
      <c r="AU809" s="48">
        <v>6</v>
      </c>
      <c r="AV809" s="48">
        <v>120</v>
      </c>
      <c r="AW809" s="48">
        <v>114</v>
      </c>
      <c r="AX809" s="48">
        <v>28</v>
      </c>
      <c r="AY809" s="48" t="s">
        <v>8728</v>
      </c>
      <c r="AZ809" s="48" t="s">
        <v>1563</v>
      </c>
      <c r="BA809" s="48">
        <v>32</v>
      </c>
      <c r="BB809" s="47" t="s">
        <v>2485</v>
      </c>
      <c r="BC809" s="47" t="s">
        <v>8726</v>
      </c>
      <c r="BD809" s="47" t="s">
        <v>8374</v>
      </c>
      <c r="BE809" s="48" t="s">
        <v>2449</v>
      </c>
      <c r="BF809" s="48" t="s">
        <v>272</v>
      </c>
      <c r="BG809" s="48" t="s">
        <v>272</v>
      </c>
      <c r="BH809" s="48" t="s">
        <v>2486</v>
      </c>
      <c r="BI809" s="98">
        <v>1.3957120000000001E-3</v>
      </c>
      <c r="BJ809" s="98">
        <v>13.957120000000002</v>
      </c>
      <c r="BK809" s="48"/>
      <c r="BL809" s="487">
        <v>29.03272754290597</v>
      </c>
      <c r="BM809" s="47" t="s">
        <v>2487</v>
      </c>
      <c r="BN809" s="48"/>
      <c r="BO809" s="48"/>
      <c r="BP809" s="48"/>
      <c r="BQ809" s="48"/>
      <c r="BR809" s="47" t="e">
        <v>#VALUE!</v>
      </c>
      <c r="BS809" s="48"/>
      <c r="BT809" s="48"/>
      <c r="BU809" s="228"/>
      <c r="BV809" s="48"/>
      <c r="BW809" s="48"/>
      <c r="BX809" s="48"/>
      <c r="BY809" s="48"/>
      <c r="BZ809" s="48"/>
      <c r="CA809" s="48"/>
      <c r="CB809" s="48"/>
      <c r="CC809" s="48"/>
      <c r="CD809" s="48"/>
      <c r="CE809" s="48"/>
      <c r="CF809" s="48"/>
      <c r="CG809" s="48"/>
      <c r="CH809" s="48"/>
      <c r="CI809" s="98"/>
      <c r="CJ809" s="98"/>
      <c r="CK809" s="49">
        <f t="shared" si="167"/>
        <v>2.0801374168099125</v>
      </c>
      <c r="CL809" s="229"/>
      <c r="CM809" s="229">
        <v>0.73446890283273059</v>
      </c>
      <c r="CN809" s="229">
        <f>BJ809/(10^CM809)</f>
        <v>2.5723313438607973</v>
      </c>
      <c r="CO809" s="47" t="s">
        <v>2488</v>
      </c>
      <c r="CP809" s="500" t="s">
        <v>2489</v>
      </c>
      <c r="CQ809" s="224">
        <v>0.87007962959778784</v>
      </c>
      <c r="CR809" s="224">
        <f>10^(CJ809-CQ809)</f>
        <v>0.13487155676264612</v>
      </c>
      <c r="CS809" s="230" t="s">
        <v>539</v>
      </c>
      <c r="CT809" s="230"/>
      <c r="CU809" s="230"/>
      <c r="CV809" s="335">
        <f t="shared" si="168"/>
        <v>10.890498899486426</v>
      </c>
      <c r="CW809" s="230">
        <f t="shared" si="166"/>
        <v>1</v>
      </c>
      <c r="CX809" s="336"/>
      <c r="CY809" s="230" t="s">
        <v>5921</v>
      </c>
    </row>
    <row r="810" spans="1:103" ht="11.25" customHeight="1" x14ac:dyDescent="0.2">
      <c r="A810" s="72">
        <v>1149</v>
      </c>
      <c r="B810" s="224">
        <v>1571</v>
      </c>
      <c r="C810" s="46" t="s">
        <v>7296</v>
      </c>
      <c r="D810" s="46"/>
      <c r="E810" s="114"/>
      <c r="F810" s="114" t="s">
        <v>4712</v>
      </c>
      <c r="G810" s="225">
        <v>712505</v>
      </c>
      <c r="H810" s="47" t="s">
        <v>4713</v>
      </c>
      <c r="I810" s="47" t="s">
        <v>4713</v>
      </c>
      <c r="J810" s="47" t="s">
        <v>4714</v>
      </c>
      <c r="K810" s="47" t="s">
        <v>426</v>
      </c>
      <c r="L810" s="47"/>
      <c r="M810" s="47"/>
      <c r="N810" s="47"/>
      <c r="O810" s="47"/>
      <c r="P810" s="53"/>
      <c r="Q810" s="53"/>
      <c r="R810" s="53"/>
      <c r="S810" s="53"/>
      <c r="T810" s="48">
        <v>188.27</v>
      </c>
      <c r="U810" s="98">
        <v>141.54862254417739</v>
      </c>
      <c r="V810" s="98">
        <v>106.72972780155855</v>
      </c>
      <c r="W810" s="98">
        <v>66.8007167910052</v>
      </c>
      <c r="X810" s="98">
        <v>141.54862254417739</v>
      </c>
      <c r="Y810" s="233">
        <v>7</v>
      </c>
      <c r="Z810" s="48">
        <v>3.15</v>
      </c>
      <c r="AA810" s="48">
        <v>3.18</v>
      </c>
      <c r="AB810" s="48">
        <v>3.62</v>
      </c>
      <c r="AC810" s="48">
        <v>0.8367</v>
      </c>
      <c r="AD810" s="48">
        <v>3.65</v>
      </c>
      <c r="AE810" s="48">
        <v>3.72</v>
      </c>
      <c r="AF810" s="48">
        <f t="shared" si="169"/>
        <v>3.18</v>
      </c>
      <c r="AG810" s="49">
        <v>2.96</v>
      </c>
      <c r="AH810" s="98">
        <v>1.7799999999999999E-5</v>
      </c>
      <c r="AI810" s="98"/>
      <c r="AJ810" s="483">
        <f t="shared" ref="AJ810:AJ836" si="171">LOG10(AH810*1000/(0.08206*298.15))</f>
        <v>-3.1381463240037579</v>
      </c>
      <c r="AK810" s="483"/>
      <c r="AL810" s="483">
        <f t="shared" si="170"/>
        <v>-3.1381463240037579</v>
      </c>
      <c r="AM810" s="483">
        <v>-6.5662599999999998</v>
      </c>
      <c r="AN810" s="226">
        <v>-3.91</v>
      </c>
      <c r="AO810" s="484"/>
      <c r="AP810" s="484"/>
      <c r="AQ810" s="48" t="s">
        <v>6311</v>
      </c>
      <c r="AR810" s="48" t="s">
        <v>6311</v>
      </c>
      <c r="AS810" s="227"/>
      <c r="AT810" s="50" t="s">
        <v>266</v>
      </c>
      <c r="AU810" s="48">
        <v>6</v>
      </c>
      <c r="AV810" s="48">
        <v>120</v>
      </c>
      <c r="AW810" s="48">
        <v>114</v>
      </c>
      <c r="AX810" s="48">
        <v>28</v>
      </c>
      <c r="AY810" s="48" t="s">
        <v>8728</v>
      </c>
      <c r="AZ810" s="48" t="s">
        <v>1563</v>
      </c>
      <c r="BA810" s="48">
        <v>32</v>
      </c>
      <c r="BB810" s="47" t="s">
        <v>2485</v>
      </c>
      <c r="BC810" s="47" t="s">
        <v>8726</v>
      </c>
      <c r="BD810" s="47" t="s">
        <v>8374</v>
      </c>
      <c r="BE810" s="48" t="s">
        <v>2449</v>
      </c>
      <c r="BF810" s="48" t="s">
        <v>272</v>
      </c>
      <c r="BG810" s="48" t="s">
        <v>272</v>
      </c>
      <c r="BH810" s="48" t="s">
        <v>2486</v>
      </c>
      <c r="BI810" s="98">
        <v>1.2049280000000001E-3</v>
      </c>
      <c r="BJ810" s="98">
        <v>12.049280000000001</v>
      </c>
      <c r="BK810" s="48"/>
      <c r="BL810" s="487">
        <v>14.340560386641554</v>
      </c>
      <c r="BM810" s="47" t="s">
        <v>2487</v>
      </c>
      <c r="BN810" s="48"/>
      <c r="BO810" s="48"/>
      <c r="BP810" s="48"/>
      <c r="BQ810" s="48"/>
      <c r="BR810" s="47" t="e">
        <v>#VALUE!</v>
      </c>
      <c r="BS810" s="48"/>
      <c r="BT810" s="48"/>
      <c r="BU810" s="228"/>
      <c r="BV810" s="48"/>
      <c r="BW810" s="48"/>
      <c r="BX810" s="48"/>
      <c r="BY810" s="48"/>
      <c r="BZ810" s="48"/>
      <c r="CA810" s="48"/>
      <c r="CB810" s="48"/>
      <c r="CC810" s="48"/>
      <c r="CD810" s="48"/>
      <c r="CE810" s="48"/>
      <c r="CF810" s="48"/>
      <c r="CG810" s="48"/>
      <c r="CH810" s="48"/>
      <c r="CI810" s="98"/>
      <c r="CJ810" s="98"/>
      <c r="CK810" s="49">
        <f t="shared" si="167"/>
        <v>1.19015911213297</v>
      </c>
      <c r="CL810" s="229"/>
      <c r="CM810" s="229"/>
      <c r="CN810" s="229"/>
      <c r="CO810" s="47" t="s">
        <v>2488</v>
      </c>
      <c r="CP810" s="500" t="s">
        <v>2489</v>
      </c>
      <c r="CQ810" s="224" t="s">
        <v>272</v>
      </c>
      <c r="CR810" s="224"/>
      <c r="CS810" s="230" t="s">
        <v>539</v>
      </c>
      <c r="CT810" s="230"/>
      <c r="CU810" s="230"/>
      <c r="CV810" s="335">
        <f t="shared" si="168"/>
        <v>11.747475578970477</v>
      </c>
      <c r="CW810" s="230">
        <f t="shared" si="166"/>
        <v>1</v>
      </c>
      <c r="CX810" s="336"/>
      <c r="CY810" s="230" t="s">
        <v>6351</v>
      </c>
    </row>
    <row r="811" spans="1:103" ht="11.25" customHeight="1" x14ac:dyDescent="0.2">
      <c r="A811" s="72">
        <v>1150</v>
      </c>
      <c r="B811" s="224">
        <v>1819</v>
      </c>
      <c r="C811" s="46" t="s">
        <v>7297</v>
      </c>
      <c r="D811" s="46" t="s">
        <v>8609</v>
      </c>
      <c r="E811" s="114"/>
      <c r="F811" s="114" t="s">
        <v>5221</v>
      </c>
      <c r="G811" s="225">
        <v>732116</v>
      </c>
      <c r="H811" s="47" t="s">
        <v>5222</v>
      </c>
      <c r="I811" s="47" t="s">
        <v>8060</v>
      </c>
      <c r="J811" s="47" t="s">
        <v>5223</v>
      </c>
      <c r="K811" s="47" t="s">
        <v>5224</v>
      </c>
      <c r="L811" s="47" t="s">
        <v>617</v>
      </c>
      <c r="M811" s="47" t="s">
        <v>946</v>
      </c>
      <c r="N811" s="47" t="s">
        <v>6376</v>
      </c>
      <c r="O811" s="47" t="s">
        <v>918</v>
      </c>
      <c r="P811" s="53" t="s">
        <v>6178</v>
      </c>
      <c r="Q811" s="53" t="s">
        <v>6176</v>
      </c>
      <c r="R811" s="53" t="s">
        <v>6177</v>
      </c>
      <c r="S811" s="53" t="s">
        <v>6173</v>
      </c>
      <c r="T811" s="48">
        <v>317.32</v>
      </c>
      <c r="U811" s="98">
        <v>24.4</v>
      </c>
      <c r="V811" s="98">
        <v>41.05</v>
      </c>
      <c r="W811" s="98">
        <v>28.281174768860001</v>
      </c>
      <c r="X811" s="98">
        <v>24.4</v>
      </c>
      <c r="Y811" s="233">
        <v>7</v>
      </c>
      <c r="Z811" s="48">
        <v>2.48</v>
      </c>
      <c r="AA811" s="48">
        <v>2.78</v>
      </c>
      <c r="AB811" s="48">
        <v>3.17</v>
      </c>
      <c r="AC811" s="48">
        <v>0.86140000000000005</v>
      </c>
      <c r="AD811" s="48">
        <v>3.09</v>
      </c>
      <c r="AE811" s="48">
        <v>2.84</v>
      </c>
      <c r="AF811" s="48">
        <f t="shared" si="169"/>
        <v>2.78</v>
      </c>
      <c r="AG811" s="49">
        <v>2.54</v>
      </c>
      <c r="AH811" s="98">
        <v>9.0200000000000007E-9</v>
      </c>
      <c r="AI811" s="98">
        <v>8.3799999999999996E-9</v>
      </c>
      <c r="AJ811" s="483">
        <f t="shared" si="171"/>
        <v>-6.4333597887707104</v>
      </c>
      <c r="AK811" s="483">
        <f>LOG10(AI811*1000/(0.08206*298.15))</f>
        <v>-6.4653223076823751</v>
      </c>
      <c r="AL811" s="483">
        <f t="shared" si="170"/>
        <v>-6.4653223076823751</v>
      </c>
      <c r="AM811" s="483">
        <v>-16.204470000000001</v>
      </c>
      <c r="AN811" s="226">
        <v>-6.3</v>
      </c>
      <c r="AO811" s="484"/>
      <c r="AP811" s="484">
        <v>-2.63</v>
      </c>
      <c r="AQ811" s="226" t="s">
        <v>6314</v>
      </c>
      <c r="AR811" s="226" t="s">
        <v>6314</v>
      </c>
      <c r="AS811" s="224"/>
      <c r="AT811" s="50" t="s">
        <v>266</v>
      </c>
      <c r="AU811" s="48">
        <v>6</v>
      </c>
      <c r="AV811" s="48">
        <v>120</v>
      </c>
      <c r="AW811" s="48">
        <v>114</v>
      </c>
      <c r="AX811" s="48">
        <v>28</v>
      </c>
      <c r="AY811" s="48" t="s">
        <v>8728</v>
      </c>
      <c r="AZ811" s="48" t="s">
        <v>1563</v>
      </c>
      <c r="BA811" s="48">
        <v>32</v>
      </c>
      <c r="BB811" s="47" t="s">
        <v>2485</v>
      </c>
      <c r="BC811" s="47" t="s">
        <v>8726</v>
      </c>
      <c r="BD811" s="47" t="s">
        <v>8374</v>
      </c>
      <c r="BE811" s="48" t="s">
        <v>2449</v>
      </c>
      <c r="BF811" s="48" t="s">
        <v>272</v>
      </c>
      <c r="BG811" s="48" t="s">
        <v>272</v>
      </c>
      <c r="BH811" s="48" t="s">
        <v>2486</v>
      </c>
      <c r="BI811" s="98">
        <v>2.030848E-3</v>
      </c>
      <c r="BJ811" s="98">
        <v>20.308479999999999</v>
      </c>
      <c r="BK811" s="48"/>
      <c r="BL811" s="487">
        <v>96.607189017796813</v>
      </c>
      <c r="BM811" s="47" t="s">
        <v>2487</v>
      </c>
      <c r="BN811" s="48"/>
      <c r="BO811" s="48"/>
      <c r="BP811" s="48"/>
      <c r="BQ811" s="48"/>
      <c r="BR811" s="47" t="e">
        <v>#VALUE!</v>
      </c>
      <c r="BS811" s="48"/>
      <c r="BT811" s="48"/>
      <c r="BU811" s="228"/>
      <c r="BV811" s="48"/>
      <c r="BW811" s="48"/>
      <c r="BX811" s="48"/>
      <c r="BY811" s="48"/>
      <c r="BZ811" s="48"/>
      <c r="CA811" s="48"/>
      <c r="CB811" s="48"/>
      <c r="CC811" s="48"/>
      <c r="CD811" s="48"/>
      <c r="CE811" s="48"/>
      <c r="CF811" s="48"/>
      <c r="CG811" s="48"/>
      <c r="CH811" s="48"/>
      <c r="CI811" s="98"/>
      <c r="CJ811" s="98"/>
      <c r="CK811" s="49">
        <f t="shared" si="167"/>
        <v>4.756987673021162</v>
      </c>
      <c r="CL811" s="229"/>
      <c r="CM811" s="229"/>
      <c r="CN811" s="229"/>
      <c r="CO811" s="47" t="s">
        <v>2488</v>
      </c>
      <c r="CP811" s="500" t="s">
        <v>2489</v>
      </c>
      <c r="CQ811" s="224">
        <v>-0.35967697742724331</v>
      </c>
      <c r="CR811" s="224">
        <f>10^(CJ811-CQ811)</f>
        <v>2.2891643687976138</v>
      </c>
      <c r="CS811" s="230" t="s">
        <v>539</v>
      </c>
      <c r="CT811" s="230"/>
      <c r="CU811" s="230"/>
      <c r="CV811" s="335">
        <f t="shared" si="168"/>
        <v>1.2014685490987016</v>
      </c>
      <c r="CW811" s="230">
        <f t="shared" si="166"/>
        <v>1</v>
      </c>
      <c r="CX811" s="336"/>
      <c r="CY811" s="230" t="s">
        <v>5921</v>
      </c>
    </row>
    <row r="812" spans="1:103" ht="11.25" customHeight="1" x14ac:dyDescent="0.2">
      <c r="A812" s="72">
        <v>1152</v>
      </c>
      <c r="B812" s="224">
        <v>1515</v>
      </c>
      <c r="C812" s="46" t="s">
        <v>968</v>
      </c>
      <c r="D812" s="46"/>
      <c r="E812" s="114"/>
      <c r="F812" s="114" t="s">
        <v>969</v>
      </c>
      <c r="G812" s="225">
        <v>741582</v>
      </c>
      <c r="H812" s="47" t="s">
        <v>970</v>
      </c>
      <c r="I812" s="47" t="s">
        <v>970</v>
      </c>
      <c r="J812" s="47" t="s">
        <v>971</v>
      </c>
      <c r="K812" s="47" t="s">
        <v>951</v>
      </c>
      <c r="L812" s="47" t="s">
        <v>5948</v>
      </c>
      <c r="M812" s="47" t="s">
        <v>946</v>
      </c>
      <c r="N812" s="47" t="s">
        <v>6376</v>
      </c>
      <c r="O812" s="47" t="s">
        <v>5947</v>
      </c>
      <c r="P812" s="53"/>
      <c r="Q812" s="53"/>
      <c r="R812" s="53"/>
      <c r="S812" s="53"/>
      <c r="T812" s="48">
        <v>397.52</v>
      </c>
      <c r="U812" s="98">
        <v>25</v>
      </c>
      <c r="V812" s="98">
        <v>0.82169999999999999</v>
      </c>
      <c r="W812" s="98">
        <v>7.2336748531463995</v>
      </c>
      <c r="X812" s="98">
        <v>25</v>
      </c>
      <c r="Y812" s="233">
        <v>6.98</v>
      </c>
      <c r="Z812" s="48">
        <v>4.12</v>
      </c>
      <c r="AA812" s="48">
        <v>4.2</v>
      </c>
      <c r="AB812" s="48">
        <v>4.09</v>
      </c>
      <c r="AC812" s="48">
        <v>0.82809999999999995</v>
      </c>
      <c r="AD812" s="48">
        <v>4.12</v>
      </c>
      <c r="AE812" s="48">
        <v>4.22</v>
      </c>
      <c r="AF812" s="48">
        <f t="shared" si="169"/>
        <v>4.2</v>
      </c>
      <c r="AG812" s="49">
        <v>4</v>
      </c>
      <c r="AH812" s="98">
        <v>3.2799999999999998E-9</v>
      </c>
      <c r="AI812" s="98">
        <v>9.1499999999999992E-9</v>
      </c>
      <c r="AJ812" s="483">
        <f t="shared" si="171"/>
        <v>-6.8726924826009723</v>
      </c>
      <c r="AK812" s="483">
        <f>LOG10(AI812*1000/(0.08206*298.15))</f>
        <v>-6.4271452322462039</v>
      </c>
      <c r="AL812" s="483">
        <f t="shared" si="170"/>
        <v>-6.4271452322462039</v>
      </c>
      <c r="AM812" s="483">
        <v>-17.95234</v>
      </c>
      <c r="AN812" s="226">
        <v>-14.8</v>
      </c>
      <c r="AO812" s="484">
        <v>10.210000000000001</v>
      </c>
      <c r="AP812" s="484">
        <v>-7.16</v>
      </c>
      <c r="AQ812" s="48" t="s">
        <v>6313</v>
      </c>
      <c r="AR812" s="48" t="s">
        <v>6313</v>
      </c>
      <c r="AS812" s="227"/>
      <c r="AT812" s="50" t="s">
        <v>266</v>
      </c>
      <c r="AU812" s="48">
        <v>6</v>
      </c>
      <c r="AV812" s="48">
        <v>120</v>
      </c>
      <c r="AW812" s="48">
        <v>114</v>
      </c>
      <c r="AX812" s="48">
        <v>28</v>
      </c>
      <c r="AY812" s="48" t="s">
        <v>8728</v>
      </c>
      <c r="AZ812" s="48" t="s">
        <v>1563</v>
      </c>
      <c r="BA812" s="48">
        <v>32</v>
      </c>
      <c r="BB812" s="47" t="s">
        <v>2485</v>
      </c>
      <c r="BC812" s="47" t="s">
        <v>8726</v>
      </c>
      <c r="BD812" s="47" t="s">
        <v>8374</v>
      </c>
      <c r="BE812" s="48" t="s">
        <v>2449</v>
      </c>
      <c r="BF812" s="48" t="s">
        <v>272</v>
      </c>
      <c r="BG812" s="48" t="s">
        <v>272</v>
      </c>
      <c r="BH812" s="48" t="s">
        <v>2486</v>
      </c>
      <c r="BI812" s="98">
        <v>2.5441279999999997E-3</v>
      </c>
      <c r="BJ812" s="98">
        <v>25.441279999999999</v>
      </c>
      <c r="BK812" s="48"/>
      <c r="BL812" s="487">
        <v>4.0736806837156658</v>
      </c>
      <c r="BM812" s="47" t="s">
        <v>2487</v>
      </c>
      <c r="BN812" s="48"/>
      <c r="BO812" s="48"/>
      <c r="BP812" s="48"/>
      <c r="BQ812" s="48"/>
      <c r="BR812" s="47" t="e">
        <v>#VALUE!</v>
      </c>
      <c r="BS812" s="48"/>
      <c r="BT812" s="48"/>
      <c r="BU812" s="228"/>
      <c r="BV812" s="48"/>
      <c r="BW812" s="48"/>
      <c r="BX812" s="48"/>
      <c r="BY812" s="48"/>
      <c r="BZ812" s="48"/>
      <c r="CA812" s="48"/>
      <c r="CB812" s="48"/>
      <c r="CC812" s="48"/>
      <c r="CD812" s="48"/>
      <c r="CE812" s="48"/>
      <c r="CF812" s="48"/>
      <c r="CG812" s="48"/>
      <c r="CH812" s="48"/>
      <c r="CI812" s="98"/>
      <c r="CJ812" s="98"/>
      <c r="CK812" s="49">
        <f t="shared" si="167"/>
        <v>0.16012090129567641</v>
      </c>
      <c r="CL812" s="229"/>
      <c r="CM812" s="229">
        <v>0.1016776856219269</v>
      </c>
      <c r="CN812" s="229">
        <f>BJ812/(10^CM812)</f>
        <v>20.130811030218105</v>
      </c>
      <c r="CO812" s="47" t="s">
        <v>2488</v>
      </c>
      <c r="CP812" s="500" t="s">
        <v>2489</v>
      </c>
      <c r="CQ812" s="224">
        <v>0.11815136946253021</v>
      </c>
      <c r="CR812" s="224">
        <f>10^(CJ812-CQ812)</f>
        <v>0.76181344047702593</v>
      </c>
      <c r="CS812" s="230" t="s">
        <v>539</v>
      </c>
      <c r="CT812" s="230"/>
      <c r="CU812" s="230"/>
      <c r="CV812" s="335">
        <f t="shared" si="168"/>
        <v>0.98265496075669156</v>
      </c>
      <c r="CW812" s="230">
        <f t="shared" si="166"/>
        <v>0</v>
      </c>
      <c r="CX812" s="336"/>
      <c r="CY812" s="230" t="s">
        <v>5921</v>
      </c>
    </row>
    <row r="813" spans="1:103" ht="11.25" customHeight="1" x14ac:dyDescent="0.2">
      <c r="A813" s="72">
        <v>1154</v>
      </c>
      <c r="B813" s="224">
        <v>1855</v>
      </c>
      <c r="C813" s="46" t="s">
        <v>7300</v>
      </c>
      <c r="D813" s="46" t="s">
        <v>8610</v>
      </c>
      <c r="E813" s="114"/>
      <c r="F813" s="114" t="s">
        <v>3843</v>
      </c>
      <c r="G813" s="225">
        <v>759944</v>
      </c>
      <c r="H813" s="47" t="s">
        <v>3844</v>
      </c>
      <c r="I813" s="47" t="s">
        <v>3844</v>
      </c>
      <c r="J813" s="47" t="s">
        <v>3845</v>
      </c>
      <c r="K813" s="47" t="s">
        <v>1499</v>
      </c>
      <c r="L813" s="47" t="s">
        <v>6035</v>
      </c>
      <c r="M813" s="47" t="s">
        <v>6023</v>
      </c>
      <c r="N813" s="47" t="s">
        <v>6382</v>
      </c>
      <c r="O813" s="47" t="s">
        <v>1516</v>
      </c>
      <c r="P813" s="53"/>
      <c r="Q813" s="53"/>
      <c r="R813" s="53"/>
      <c r="S813" s="53"/>
      <c r="T813" s="48">
        <v>189.32</v>
      </c>
      <c r="U813" s="98">
        <v>375</v>
      </c>
      <c r="V813" s="98">
        <v>89.87</v>
      </c>
      <c r="W813" s="98">
        <v>198.24237671699615</v>
      </c>
      <c r="X813" s="98">
        <v>375</v>
      </c>
      <c r="Y813" s="233">
        <v>7</v>
      </c>
      <c r="Z813" s="48">
        <v>3.02</v>
      </c>
      <c r="AA813" s="48">
        <v>3.21</v>
      </c>
      <c r="AB813" s="48">
        <v>3.1</v>
      </c>
      <c r="AC813" s="48">
        <v>0.80200000000000005</v>
      </c>
      <c r="AD813" s="48">
        <v>3.19</v>
      </c>
      <c r="AE813" s="48">
        <v>3.37</v>
      </c>
      <c r="AF813" s="48">
        <f t="shared" si="169"/>
        <v>3.21</v>
      </c>
      <c r="AG813" s="49">
        <v>2.52</v>
      </c>
      <c r="AH813" s="98">
        <v>1.5400000000000002E-5</v>
      </c>
      <c r="AI813" s="98">
        <v>1.59E-5</v>
      </c>
      <c r="AJ813" s="483">
        <f t="shared" si="171"/>
        <v>-3.2010456054761889</v>
      </c>
      <c r="AK813" s="483">
        <f>LOG10(AI813*1000/(0.08206*298.15))</f>
        <v>-3.1871692019922002</v>
      </c>
      <c r="AL813" s="483">
        <f t="shared" si="170"/>
        <v>-3.1871692019922002</v>
      </c>
      <c r="AM813" s="483">
        <v>-7.9285199999999998</v>
      </c>
      <c r="AN813" s="226">
        <v>-2.96</v>
      </c>
      <c r="AO813" s="484"/>
      <c r="AP813" s="484">
        <v>-1.22</v>
      </c>
      <c r="AQ813" s="226" t="s">
        <v>6311</v>
      </c>
      <c r="AR813" s="226" t="s">
        <v>6311</v>
      </c>
      <c r="AS813" s="224"/>
      <c r="AT813" s="50" t="s">
        <v>266</v>
      </c>
      <c r="AU813" s="48">
        <v>6</v>
      </c>
      <c r="AV813" s="48">
        <v>120</v>
      </c>
      <c r="AW813" s="48">
        <v>114</v>
      </c>
      <c r="AX813" s="48">
        <v>28</v>
      </c>
      <c r="AY813" s="48" t="s">
        <v>8728</v>
      </c>
      <c r="AZ813" s="48" t="s">
        <v>1563</v>
      </c>
      <c r="BA813" s="48">
        <v>32</v>
      </c>
      <c r="BB813" s="47" t="s">
        <v>2485</v>
      </c>
      <c r="BC813" s="47" t="s">
        <v>8726</v>
      </c>
      <c r="BD813" s="47" t="s">
        <v>8374</v>
      </c>
      <c r="BE813" s="48" t="s">
        <v>2449</v>
      </c>
      <c r="BF813" s="48" t="s">
        <v>272</v>
      </c>
      <c r="BG813" s="48" t="s">
        <v>272</v>
      </c>
      <c r="BH813" s="48" t="s">
        <v>2486</v>
      </c>
      <c r="BI813" s="98">
        <v>1.2116479999999998E-3</v>
      </c>
      <c r="BJ813" s="98">
        <v>12.116479999999999</v>
      </c>
      <c r="BK813" s="48"/>
      <c r="BL813" s="487">
        <v>18.868374858355718</v>
      </c>
      <c r="BM813" s="47" t="s">
        <v>2487</v>
      </c>
      <c r="BN813" s="48"/>
      <c r="BO813" s="48"/>
      <c r="BP813" s="48"/>
      <c r="BQ813" s="48"/>
      <c r="BR813" s="47" t="e">
        <v>#VALUE!</v>
      </c>
      <c r="BS813" s="48"/>
      <c r="BT813" s="48"/>
      <c r="BU813" s="228"/>
      <c r="BV813" s="48"/>
      <c r="BW813" s="48"/>
      <c r="BX813" s="48"/>
      <c r="BY813" s="48"/>
      <c r="BZ813" s="48"/>
      <c r="CA813" s="48"/>
      <c r="CB813" s="48"/>
      <c r="CC813" s="48"/>
      <c r="CD813" s="48"/>
      <c r="CE813" s="48"/>
      <c r="CF813" s="48"/>
      <c r="CG813" s="48"/>
      <c r="CH813" s="48"/>
      <c r="CI813" s="98"/>
      <c r="CJ813" s="98"/>
      <c r="CK813" s="49">
        <f t="shared" si="167"/>
        <v>1.5572488757754497</v>
      </c>
      <c r="CL813" s="229"/>
      <c r="CM813" s="229"/>
      <c r="CN813" s="229"/>
      <c r="CO813" s="47" t="s">
        <v>2488</v>
      </c>
      <c r="CP813" s="500" t="s">
        <v>2489</v>
      </c>
      <c r="CQ813" s="224">
        <v>1.3186572043877425</v>
      </c>
      <c r="CR813" s="224">
        <f>10^(CJ813-CQ813)</f>
        <v>4.8011225943650274E-2</v>
      </c>
      <c r="CS813" s="230" t="s">
        <v>539</v>
      </c>
      <c r="CT813" s="230"/>
      <c r="CU813" s="230"/>
      <c r="CV813" s="335">
        <f t="shared" si="168"/>
        <v>30.949582717092756</v>
      </c>
      <c r="CW813" s="230">
        <f t="shared" si="166"/>
        <v>1</v>
      </c>
      <c r="CX813" s="336"/>
      <c r="CY813" s="230" t="s">
        <v>6351</v>
      </c>
    </row>
    <row r="814" spans="1:103" ht="11.25" customHeight="1" x14ac:dyDescent="0.2">
      <c r="A814" s="72">
        <v>1155</v>
      </c>
      <c r="B814" s="224">
        <v>1791</v>
      </c>
      <c r="C814" s="46" t="s">
        <v>7301</v>
      </c>
      <c r="D814" s="46" t="s">
        <v>8611</v>
      </c>
      <c r="E814" s="114"/>
      <c r="F814" s="114" t="s">
        <v>5152</v>
      </c>
      <c r="G814" s="225">
        <v>797637</v>
      </c>
      <c r="H814" s="47" t="s">
        <v>5153</v>
      </c>
      <c r="I814" s="47" t="s">
        <v>8061</v>
      </c>
      <c r="J814" s="47" t="s">
        <v>5154</v>
      </c>
      <c r="K814" s="47" t="s">
        <v>3289</v>
      </c>
      <c r="L814" s="47"/>
      <c r="M814" s="47" t="s">
        <v>5155</v>
      </c>
      <c r="N814" s="47"/>
      <c r="O814" s="47"/>
      <c r="P814" s="53"/>
      <c r="Q814" s="53"/>
      <c r="R814" s="53"/>
      <c r="S814" s="53"/>
      <c r="T814" s="48">
        <v>312.45</v>
      </c>
      <c r="U814" s="98">
        <v>1.73</v>
      </c>
      <c r="V814" s="98">
        <v>35.840000000000003</v>
      </c>
      <c r="W814" s="98">
        <v>7.1578159810729058</v>
      </c>
      <c r="X814" s="98">
        <v>1.73</v>
      </c>
      <c r="Y814" s="233">
        <v>7</v>
      </c>
      <c r="Z814" s="48">
        <v>3.48</v>
      </c>
      <c r="AA814" s="48"/>
      <c r="AB814" s="48">
        <v>3.18</v>
      </c>
      <c r="AC814" s="48">
        <v>0.93330000000000002</v>
      </c>
      <c r="AD814" s="48">
        <v>3.32</v>
      </c>
      <c r="AE814" s="48">
        <v>3.92</v>
      </c>
      <c r="AF814" s="48">
        <f t="shared" si="169"/>
        <v>3.32</v>
      </c>
      <c r="AG814" s="49">
        <v>3.56</v>
      </c>
      <c r="AH814" s="98">
        <v>7.7000000000000003E-10</v>
      </c>
      <c r="AI814" s="98"/>
      <c r="AJ814" s="483">
        <f t="shared" si="171"/>
        <v>-7.5020756011401701</v>
      </c>
      <c r="AK814" s="483"/>
      <c r="AL814" s="483">
        <f t="shared" si="170"/>
        <v>-7.5020756011401701</v>
      </c>
      <c r="AM814" s="483">
        <v>-16.20392</v>
      </c>
      <c r="AN814" s="226">
        <v>-8.4499999999999993</v>
      </c>
      <c r="AO814" s="484">
        <v>13.09</v>
      </c>
      <c r="AP814" s="484"/>
      <c r="AQ814" s="226" t="s">
        <v>6311</v>
      </c>
      <c r="AR814" s="226" t="s">
        <v>6311</v>
      </c>
      <c r="AS814" s="224"/>
      <c r="AT814" s="50" t="s">
        <v>266</v>
      </c>
      <c r="AU814" s="48">
        <v>6</v>
      </c>
      <c r="AV814" s="48">
        <v>120</v>
      </c>
      <c r="AW814" s="48">
        <v>114</v>
      </c>
      <c r="AX814" s="48">
        <v>28</v>
      </c>
      <c r="AY814" s="48" t="s">
        <v>8728</v>
      </c>
      <c r="AZ814" s="48" t="s">
        <v>1563</v>
      </c>
      <c r="BA814" s="48">
        <v>32</v>
      </c>
      <c r="BB814" s="47" t="s">
        <v>2485</v>
      </c>
      <c r="BC814" s="47" t="s">
        <v>8726</v>
      </c>
      <c r="BD814" s="47" t="s">
        <v>8374</v>
      </c>
      <c r="BE814" s="48" t="s">
        <v>2449</v>
      </c>
      <c r="BF814" s="48" t="s">
        <v>272</v>
      </c>
      <c r="BG814" s="48" t="s">
        <v>272</v>
      </c>
      <c r="BH814" s="48" t="s">
        <v>2486</v>
      </c>
      <c r="BI814" s="98">
        <v>1.9996799999999998E-3</v>
      </c>
      <c r="BJ814" s="98">
        <v>19.9968</v>
      </c>
      <c r="BK814" s="48"/>
      <c r="BL814" s="487">
        <v>12.027975339264016</v>
      </c>
      <c r="BM814" s="47" t="s">
        <v>2487</v>
      </c>
      <c r="BN814" s="48"/>
      <c r="BO814" s="48"/>
      <c r="BP814" s="48"/>
      <c r="BQ814" s="48"/>
      <c r="BR814" s="47" t="e">
        <v>#VALUE!</v>
      </c>
      <c r="BS814" s="48"/>
      <c r="BT814" s="48"/>
      <c r="BU814" s="228"/>
      <c r="BV814" s="48"/>
      <c r="BW814" s="48"/>
      <c r="BX814" s="48"/>
      <c r="BY814" s="48"/>
      <c r="BZ814" s="48"/>
      <c r="CA814" s="48"/>
      <c r="CB814" s="48"/>
      <c r="CC814" s="48"/>
      <c r="CD814" s="48"/>
      <c r="CE814" s="48"/>
      <c r="CF814" s="48"/>
      <c r="CG814" s="48"/>
      <c r="CH814" s="48"/>
      <c r="CI814" s="98"/>
      <c r="CJ814" s="98"/>
      <c r="CK814" s="49">
        <f t="shared" si="167"/>
        <v>0.60149500616418705</v>
      </c>
      <c r="CL814" s="229"/>
      <c r="CM814" s="229"/>
      <c r="CN814" s="229"/>
      <c r="CO814" s="47" t="s">
        <v>2488</v>
      </c>
      <c r="CP814" s="500" t="s">
        <v>2489</v>
      </c>
      <c r="CQ814" s="224" t="s">
        <v>272</v>
      </c>
      <c r="CR814" s="224"/>
      <c r="CS814" s="230" t="s">
        <v>539</v>
      </c>
      <c r="CT814" s="230"/>
      <c r="CU814" s="230"/>
      <c r="CV814" s="335">
        <f t="shared" si="168"/>
        <v>8.6513842214754361E-2</v>
      </c>
      <c r="CW814" s="230">
        <f t="shared" si="166"/>
        <v>0</v>
      </c>
      <c r="CX814" s="336"/>
      <c r="CY814" s="230" t="s">
        <v>5921</v>
      </c>
    </row>
    <row r="815" spans="1:103" ht="11.25" customHeight="1" x14ac:dyDescent="0.2">
      <c r="A815" s="72">
        <v>1156</v>
      </c>
      <c r="B815" s="224">
        <v>1381</v>
      </c>
      <c r="C815" s="46" t="s">
        <v>7302</v>
      </c>
      <c r="D815" s="46"/>
      <c r="E815" s="114"/>
      <c r="F815" s="114" t="s">
        <v>4258</v>
      </c>
      <c r="G815" s="225">
        <v>822060</v>
      </c>
      <c r="H815" s="47" t="s">
        <v>4259</v>
      </c>
      <c r="I815" s="47" t="s">
        <v>4259</v>
      </c>
      <c r="J815" s="47" t="s">
        <v>4260</v>
      </c>
      <c r="K815" s="47" t="s">
        <v>426</v>
      </c>
      <c r="L815" s="47"/>
      <c r="M815" s="47"/>
      <c r="N815" s="47"/>
      <c r="O815" s="47"/>
      <c r="P815" s="53"/>
      <c r="Q815" s="53"/>
      <c r="R815" s="53"/>
      <c r="S815" s="53"/>
      <c r="T815" s="48">
        <v>168.19</v>
      </c>
      <c r="U815" s="98"/>
      <c r="V815" s="98">
        <v>117</v>
      </c>
      <c r="W815" s="98">
        <v>531.8634796637192</v>
      </c>
      <c r="X815" s="98">
        <v>531.8634796637192</v>
      </c>
      <c r="Y815" s="233">
        <v>7</v>
      </c>
      <c r="Z815" s="48">
        <v>3.2</v>
      </c>
      <c r="AA815" s="48"/>
      <c r="AB815" s="48">
        <v>2.17</v>
      </c>
      <c r="AC815" s="48">
        <v>5.96E-2</v>
      </c>
      <c r="AD815" s="48">
        <v>2.9</v>
      </c>
      <c r="AE815" s="48">
        <v>3.03</v>
      </c>
      <c r="AF815" s="48">
        <f t="shared" si="169"/>
        <v>2.9</v>
      </c>
      <c r="AG815" s="49">
        <v>1.49</v>
      </c>
      <c r="AH815" s="98">
        <v>4.8000000000000001E-5</v>
      </c>
      <c r="AI815" s="98"/>
      <c r="AJ815" s="483">
        <f t="shared" si="171"/>
        <v>-2.7073250889370648</v>
      </c>
      <c r="AK815" s="483"/>
      <c r="AL815" s="483">
        <f t="shared" si="170"/>
        <v>-2.7073250889370648</v>
      </c>
      <c r="AM815" s="483">
        <v>-7.45688</v>
      </c>
      <c r="AN815" s="226">
        <v>-11.6</v>
      </c>
      <c r="AO815" s="484"/>
      <c r="AP815" s="484"/>
      <c r="AQ815" s="48" t="s">
        <v>6311</v>
      </c>
      <c r="AR815" s="48" t="s">
        <v>6311</v>
      </c>
      <c r="AS815" s="227"/>
      <c r="AT815" s="50" t="s">
        <v>266</v>
      </c>
      <c r="AU815" s="48">
        <v>6</v>
      </c>
      <c r="AV815" s="48">
        <v>120</v>
      </c>
      <c r="AW815" s="48">
        <v>114</v>
      </c>
      <c r="AX815" s="48">
        <v>28</v>
      </c>
      <c r="AY815" s="48" t="s">
        <v>8728</v>
      </c>
      <c r="AZ815" s="48" t="s">
        <v>1563</v>
      </c>
      <c r="BA815" s="48">
        <v>32</v>
      </c>
      <c r="BB815" s="47" t="s">
        <v>2485</v>
      </c>
      <c r="BC815" s="47" t="s">
        <v>8726</v>
      </c>
      <c r="BD815" s="47" t="s">
        <v>8374</v>
      </c>
      <c r="BE815" s="48" t="s">
        <v>2449</v>
      </c>
      <c r="BF815" s="48" t="s">
        <v>272</v>
      </c>
      <c r="BG815" s="48" t="s">
        <v>272</v>
      </c>
      <c r="BH815" s="48" t="s">
        <v>2486</v>
      </c>
      <c r="BI815" s="98">
        <v>1.076416E-3</v>
      </c>
      <c r="BJ815" s="98">
        <v>10.76416</v>
      </c>
      <c r="BK815" s="48"/>
      <c r="BL815" s="487">
        <v>11.552611547017213</v>
      </c>
      <c r="BM815" s="47" t="s">
        <v>2487</v>
      </c>
      <c r="BN815" s="48"/>
      <c r="BO815" s="48"/>
      <c r="BP815" s="48"/>
      <c r="BQ815" s="48"/>
      <c r="BR815" s="47" t="e">
        <v>#VALUE!</v>
      </c>
      <c r="BS815" s="48"/>
      <c r="BT815" s="48"/>
      <c r="BU815" s="228"/>
      <c r="BV815" s="48"/>
      <c r="BW815" s="48"/>
      <c r="BX815" s="48"/>
      <c r="BY815" s="48"/>
      <c r="BZ815" s="48"/>
      <c r="CA815" s="48"/>
      <c r="CB815" s="48"/>
      <c r="CC815" s="48"/>
      <c r="CD815" s="48"/>
      <c r="CE815" s="48"/>
      <c r="CF815" s="48"/>
      <c r="CG815" s="48"/>
      <c r="CH815" s="48"/>
      <c r="CI815" s="98"/>
      <c r="CJ815" s="98"/>
      <c r="CK815" s="49">
        <f t="shared" si="167"/>
        <v>1.0732478472093701</v>
      </c>
      <c r="CL815" s="229"/>
      <c r="CM815" s="229"/>
      <c r="CN815" s="229"/>
      <c r="CO815" s="47" t="s">
        <v>2488</v>
      </c>
      <c r="CP815" s="500" t="s">
        <v>2489</v>
      </c>
      <c r="CQ815" s="224" t="s">
        <v>272</v>
      </c>
      <c r="CR815" s="224"/>
      <c r="CS815" s="230" t="s">
        <v>539</v>
      </c>
      <c r="CT815" s="230"/>
      <c r="CU815" s="230"/>
      <c r="CV815" s="335">
        <f t="shared" si="168"/>
        <v>49.41058844013088</v>
      </c>
      <c r="CW815" s="230">
        <f t="shared" si="166"/>
        <v>1</v>
      </c>
      <c r="CX815" s="336"/>
      <c r="CY815" s="230" t="s">
        <v>6351</v>
      </c>
    </row>
    <row r="816" spans="1:103" ht="11.25" customHeight="1" x14ac:dyDescent="0.2">
      <c r="A816" s="72">
        <v>1157</v>
      </c>
      <c r="B816" s="224">
        <v>1861</v>
      </c>
      <c r="C816" s="46" t="s">
        <v>7303</v>
      </c>
      <c r="D816" s="46"/>
      <c r="E816" s="114"/>
      <c r="F816" s="114" t="s">
        <v>5289</v>
      </c>
      <c r="G816" s="225">
        <v>824782</v>
      </c>
      <c r="H816" s="47" t="s">
        <v>5290</v>
      </c>
      <c r="I816" s="47" t="s">
        <v>8062</v>
      </c>
      <c r="J816" s="47" t="s">
        <v>5291</v>
      </c>
      <c r="K816" s="47" t="s">
        <v>349</v>
      </c>
      <c r="L816" s="47"/>
      <c r="M816" s="47"/>
      <c r="N816" s="47"/>
      <c r="O816" s="47"/>
      <c r="P816" s="53"/>
      <c r="Q816" s="53"/>
      <c r="R816" s="53"/>
      <c r="S816" s="53"/>
      <c r="T816" s="48">
        <v>139.11000000000001</v>
      </c>
      <c r="U816" s="98">
        <v>11600</v>
      </c>
      <c r="V816" s="98">
        <v>7507</v>
      </c>
      <c r="W816" s="98">
        <v>3744.1940657427303</v>
      </c>
      <c r="X816" s="98">
        <v>11600</v>
      </c>
      <c r="Y816" s="233">
        <v>4.4000000000000004</v>
      </c>
      <c r="Z816" s="48">
        <v>1.91</v>
      </c>
      <c r="AA816" s="48">
        <v>1.91</v>
      </c>
      <c r="AB816" s="48">
        <v>1.74</v>
      </c>
      <c r="AC816" s="48">
        <v>0.92979999999999996</v>
      </c>
      <c r="AD816" s="48">
        <v>1.71</v>
      </c>
      <c r="AE816" s="48">
        <v>1.57</v>
      </c>
      <c r="AF816" s="48">
        <f t="shared" si="169"/>
        <v>1.91</v>
      </c>
      <c r="AG816" s="49">
        <v>1.71</v>
      </c>
      <c r="AH816" s="98">
        <v>2.21E-9</v>
      </c>
      <c r="AI816" s="98">
        <v>4.1500000000000001E-10</v>
      </c>
      <c r="AJ816" s="483">
        <f t="shared" si="171"/>
        <v>-7.0441740526275414</v>
      </c>
      <c r="AK816" s="483">
        <f>LOG10(AI816*1000/(0.08206*298.15))</f>
        <v>-7.770518229600559</v>
      </c>
      <c r="AL816" s="483">
        <f t="shared" si="170"/>
        <v>-7.770518229600559</v>
      </c>
      <c r="AM816" s="483">
        <v>-9.7192299999999996</v>
      </c>
      <c r="AN816" s="226"/>
      <c r="AO816" s="484">
        <v>7.23</v>
      </c>
      <c r="AP816" s="484"/>
      <c r="AQ816" s="226" t="s">
        <v>6311</v>
      </c>
      <c r="AR816" s="226" t="s">
        <v>6311</v>
      </c>
      <c r="AS816" s="224"/>
      <c r="AT816" s="50" t="s">
        <v>266</v>
      </c>
      <c r="AU816" s="48">
        <v>6</v>
      </c>
      <c r="AV816" s="48">
        <v>120</v>
      </c>
      <c r="AW816" s="48">
        <v>114</v>
      </c>
      <c r="AX816" s="48">
        <v>28</v>
      </c>
      <c r="AY816" s="48" t="s">
        <v>8728</v>
      </c>
      <c r="AZ816" s="48" t="s">
        <v>1563</v>
      </c>
      <c r="BA816" s="48">
        <v>32</v>
      </c>
      <c r="BB816" s="47" t="s">
        <v>2485</v>
      </c>
      <c r="BC816" s="47" t="s">
        <v>8726</v>
      </c>
      <c r="BD816" s="47" t="s">
        <v>8374</v>
      </c>
      <c r="BE816" s="48" t="s">
        <v>2449</v>
      </c>
      <c r="BF816" s="48" t="s">
        <v>272</v>
      </c>
      <c r="BG816" s="48" t="s">
        <v>272</v>
      </c>
      <c r="BH816" s="48" t="s">
        <v>2486</v>
      </c>
      <c r="BI816" s="98">
        <v>8.9030400000000007E-4</v>
      </c>
      <c r="BJ816" s="98">
        <v>8.9030400000000007</v>
      </c>
      <c r="BK816" s="48"/>
      <c r="BL816" s="487">
        <v>137.65352925672985</v>
      </c>
      <c r="BM816" s="47" t="s">
        <v>2487</v>
      </c>
      <c r="BN816" s="48"/>
      <c r="BO816" s="48"/>
      <c r="BP816" s="48"/>
      <c r="BQ816" s="48"/>
      <c r="BR816" s="47" t="e">
        <v>#VALUE!</v>
      </c>
      <c r="BS816" s="48"/>
      <c r="BT816" s="48"/>
      <c r="BU816" s="228"/>
      <c r="BV816" s="48"/>
      <c r="BW816" s="48"/>
      <c r="BX816" s="48"/>
      <c r="BY816" s="48"/>
      <c r="BZ816" s="48"/>
      <c r="CA816" s="48"/>
      <c r="CB816" s="48"/>
      <c r="CC816" s="48"/>
      <c r="CD816" s="48"/>
      <c r="CE816" s="48"/>
      <c r="CF816" s="48"/>
      <c r="CG816" s="48"/>
      <c r="CH816" s="48"/>
      <c r="CI816" s="98"/>
      <c r="CJ816" s="98"/>
      <c r="CK816" s="49">
        <f t="shared" si="167"/>
        <v>15.461407480672877</v>
      </c>
      <c r="CL816" s="229"/>
      <c r="CM816" s="229"/>
      <c r="CN816" s="229"/>
      <c r="CO816" s="47" t="s">
        <v>2488</v>
      </c>
      <c r="CP816" s="500" t="s">
        <v>2489</v>
      </c>
      <c r="CQ816" s="224" t="s">
        <v>272</v>
      </c>
      <c r="CR816" s="224"/>
      <c r="CS816" s="230" t="s">
        <v>539</v>
      </c>
      <c r="CT816" s="230"/>
      <c r="CU816" s="230"/>
      <c r="CV816" s="335">
        <f t="shared" si="168"/>
        <v>1302.9257422183882</v>
      </c>
      <c r="CW816" s="230">
        <f t="shared" si="166"/>
        <v>1</v>
      </c>
      <c r="CX816" s="336"/>
      <c r="CY816" s="230" t="s">
        <v>5921</v>
      </c>
    </row>
    <row r="817" spans="1:103" ht="11.25" customHeight="1" x14ac:dyDescent="0.2">
      <c r="A817" s="72">
        <v>1158</v>
      </c>
      <c r="B817" s="224">
        <v>1616</v>
      </c>
      <c r="C817" s="46" t="s">
        <v>7304</v>
      </c>
      <c r="D817" s="46"/>
      <c r="E817" s="114"/>
      <c r="F817" s="114" t="s">
        <v>4790</v>
      </c>
      <c r="G817" s="225">
        <v>828002</v>
      </c>
      <c r="H817" s="47" t="s">
        <v>4791</v>
      </c>
      <c r="I817" s="47" t="s">
        <v>4791</v>
      </c>
      <c r="J817" s="47" t="s">
        <v>4792</v>
      </c>
      <c r="K817" s="47" t="s">
        <v>357</v>
      </c>
      <c r="L817" s="47"/>
      <c r="M817" s="47"/>
      <c r="N817" s="47"/>
      <c r="O817" s="47"/>
      <c r="P817" s="53"/>
      <c r="Q817" s="53"/>
      <c r="R817" s="53"/>
      <c r="S817" s="53"/>
      <c r="T817" s="48">
        <v>174.19</v>
      </c>
      <c r="U817" s="98">
        <v>1000000</v>
      </c>
      <c r="V817" s="98">
        <v>22580</v>
      </c>
      <c r="W817" s="98">
        <v>37241.161637039368</v>
      </c>
      <c r="X817" s="98">
        <v>1000000</v>
      </c>
      <c r="Y817" s="233">
        <v>7</v>
      </c>
      <c r="Z817" s="48">
        <v>0.49</v>
      </c>
      <c r="AA817" s="48"/>
      <c r="AB817" s="48">
        <v>0.76</v>
      </c>
      <c r="AC817" s="48">
        <v>0.76339999999999997</v>
      </c>
      <c r="AD817" s="48">
        <v>0.73</v>
      </c>
      <c r="AE817" s="48">
        <v>0.67</v>
      </c>
      <c r="AF817" s="48">
        <f t="shared" si="169"/>
        <v>0.73</v>
      </c>
      <c r="AG817" s="49">
        <v>0.91</v>
      </c>
      <c r="AH817" s="98">
        <v>1.24E-7</v>
      </c>
      <c r="AI817" s="98"/>
      <c r="AJ817" s="483">
        <f t="shared" si="171"/>
        <v>-5.2951446411504168</v>
      </c>
      <c r="AK817" s="483"/>
      <c r="AL817" s="483">
        <f t="shared" si="170"/>
        <v>-5.2951446411504168</v>
      </c>
      <c r="AM817" s="483">
        <v>-6.8290799999999994</v>
      </c>
      <c r="AN817" s="226">
        <v>-4.76</v>
      </c>
      <c r="AO817" s="484"/>
      <c r="AP817" s="484"/>
      <c r="AQ817" s="48" t="s">
        <v>6311</v>
      </c>
      <c r="AR817" s="48" t="s">
        <v>6314</v>
      </c>
      <c r="AS817" s="224"/>
      <c r="AT817" s="50" t="s">
        <v>266</v>
      </c>
      <c r="AU817" s="48">
        <v>6</v>
      </c>
      <c r="AV817" s="48">
        <v>120</v>
      </c>
      <c r="AW817" s="48">
        <v>114</v>
      </c>
      <c r="AX817" s="48">
        <v>28</v>
      </c>
      <c r="AY817" s="48" t="s">
        <v>8728</v>
      </c>
      <c r="AZ817" s="48" t="s">
        <v>1563</v>
      </c>
      <c r="BA817" s="48">
        <v>32</v>
      </c>
      <c r="BB817" s="47" t="s">
        <v>2485</v>
      </c>
      <c r="BC817" s="47" t="s">
        <v>8726</v>
      </c>
      <c r="BD817" s="47" t="s">
        <v>8374</v>
      </c>
      <c r="BE817" s="48" t="s">
        <v>2449</v>
      </c>
      <c r="BF817" s="48" t="s">
        <v>272</v>
      </c>
      <c r="BG817" s="48" t="s">
        <v>272</v>
      </c>
      <c r="BH817" s="48" t="s">
        <v>2486</v>
      </c>
      <c r="BI817" s="98">
        <v>1.114816E-3</v>
      </c>
      <c r="BJ817" s="98">
        <v>11.148160000000001</v>
      </c>
      <c r="BK817" s="48"/>
      <c r="BL817" s="487">
        <v>3249.0337235788757</v>
      </c>
      <c r="BM817" s="47" t="s">
        <v>2487</v>
      </c>
      <c r="BN817" s="48"/>
      <c r="BO817" s="48"/>
      <c r="BP817" s="48"/>
      <c r="BQ817" s="48"/>
      <c r="BR817" s="47" t="e">
        <v>#VALUE!</v>
      </c>
      <c r="BS817" s="48"/>
      <c r="BT817" s="48"/>
      <c r="BU817" s="228"/>
      <c r="BV817" s="48"/>
      <c r="BW817" s="48"/>
      <c r="BX817" s="48"/>
      <c r="BY817" s="48"/>
      <c r="BZ817" s="48"/>
      <c r="CA817" s="48"/>
      <c r="CB817" s="48"/>
      <c r="CC817" s="48"/>
      <c r="CD817" s="48"/>
      <c r="CE817" s="48"/>
      <c r="CF817" s="48"/>
      <c r="CG817" s="48"/>
      <c r="CH817" s="48"/>
      <c r="CI817" s="98"/>
      <c r="CJ817" s="98"/>
      <c r="CK817" s="49">
        <f t="shared" si="167"/>
        <v>291.44125340673935</v>
      </c>
      <c r="CL817" s="229"/>
      <c r="CM817" s="229"/>
      <c r="CN817" s="229"/>
      <c r="CO817" s="47" t="s">
        <v>2488</v>
      </c>
      <c r="CP817" s="500" t="s">
        <v>2489</v>
      </c>
      <c r="CQ817" s="224" t="s">
        <v>272</v>
      </c>
      <c r="CR817" s="224"/>
      <c r="CS817" s="230" t="s">
        <v>539</v>
      </c>
      <c r="CT817" s="230"/>
      <c r="CU817" s="230"/>
      <c r="CV817" s="335">
        <f t="shared" si="168"/>
        <v>89700.90131465641</v>
      </c>
      <c r="CW817" s="230">
        <f t="shared" si="166"/>
        <v>1</v>
      </c>
      <c r="CX817" s="336"/>
      <c r="CY817" s="230" t="s">
        <v>5921</v>
      </c>
    </row>
    <row r="818" spans="1:103" ht="11.25" customHeight="1" x14ac:dyDescent="0.2">
      <c r="A818" s="72">
        <v>1160</v>
      </c>
      <c r="B818" s="224">
        <v>1023</v>
      </c>
      <c r="C818" s="46" t="s">
        <v>7305</v>
      </c>
      <c r="D818" s="46" t="s">
        <v>8612</v>
      </c>
      <c r="E818" s="114"/>
      <c r="F818" s="114" t="s">
        <v>2918</v>
      </c>
      <c r="G818" s="225">
        <v>834128</v>
      </c>
      <c r="H818" s="47" t="s">
        <v>2919</v>
      </c>
      <c r="I818" s="47" t="s">
        <v>2919</v>
      </c>
      <c r="J818" s="47" t="s">
        <v>2920</v>
      </c>
      <c r="K818" s="47" t="s">
        <v>940</v>
      </c>
      <c r="L818" s="47" t="s">
        <v>6026</v>
      </c>
      <c r="M818" s="47" t="s">
        <v>6082</v>
      </c>
      <c r="N818" s="47" t="s">
        <v>6082</v>
      </c>
      <c r="O818" s="47"/>
      <c r="P818" s="53"/>
      <c r="Q818" s="53"/>
      <c r="R818" s="53"/>
      <c r="S818" s="53"/>
      <c r="T818" s="48">
        <v>227.33</v>
      </c>
      <c r="U818" s="98">
        <v>209</v>
      </c>
      <c r="V818" s="98">
        <v>89.7</v>
      </c>
      <c r="W818" s="98">
        <v>136.97987070228359</v>
      </c>
      <c r="X818" s="98">
        <v>209</v>
      </c>
      <c r="Y818" s="233">
        <v>7.46</v>
      </c>
      <c r="Z818" s="48">
        <v>3.32</v>
      </c>
      <c r="AA818" s="48">
        <v>2.98</v>
      </c>
      <c r="AB818" s="48">
        <v>3.02</v>
      </c>
      <c r="AC818" s="48">
        <v>0.8488</v>
      </c>
      <c r="AD818" s="48">
        <v>3.04</v>
      </c>
      <c r="AE818" s="48">
        <v>3.09</v>
      </c>
      <c r="AF818" s="48">
        <f t="shared" si="169"/>
        <v>2.98</v>
      </c>
      <c r="AG818" s="49">
        <v>2.52</v>
      </c>
      <c r="AH818" s="98">
        <v>6.8500000000000001E-9</v>
      </c>
      <c r="AI818" s="98">
        <v>2.4300000000000001E-9</v>
      </c>
      <c r="AJ818" s="483">
        <f t="shared" si="171"/>
        <v>-6.5528757548202261</v>
      </c>
      <c r="AK818" s="483">
        <f>LOG10(AI818*1000/(0.08206*298.15))</f>
        <v>-7.0029600527143394</v>
      </c>
      <c r="AL818" s="483">
        <f t="shared" si="170"/>
        <v>-7.0029600527143394</v>
      </c>
      <c r="AM818" s="483">
        <v>-11.468990000000002</v>
      </c>
      <c r="AN818" s="226">
        <v>-9.15</v>
      </c>
      <c r="AO818" s="484"/>
      <c r="AP818" s="484">
        <v>3.71</v>
      </c>
      <c r="AQ818" s="48" t="s">
        <v>6311</v>
      </c>
      <c r="AR818" s="48" t="s">
        <v>6311</v>
      </c>
      <c r="AS818" s="227"/>
      <c r="AT818" s="50" t="s">
        <v>266</v>
      </c>
      <c r="AU818" s="48">
        <v>6</v>
      </c>
      <c r="AV818" s="48">
        <v>120</v>
      </c>
      <c r="AW818" s="48">
        <v>114</v>
      </c>
      <c r="AX818" s="48">
        <v>28</v>
      </c>
      <c r="AY818" s="48" t="s">
        <v>8728</v>
      </c>
      <c r="AZ818" s="48" t="s">
        <v>1563</v>
      </c>
      <c r="BA818" s="48">
        <v>32</v>
      </c>
      <c r="BB818" s="47" t="s">
        <v>2485</v>
      </c>
      <c r="BC818" s="47" t="s">
        <v>8726</v>
      </c>
      <c r="BD818" s="47" t="s">
        <v>8374</v>
      </c>
      <c r="BE818" s="48" t="s">
        <v>2449</v>
      </c>
      <c r="BF818" s="48" t="s">
        <v>272</v>
      </c>
      <c r="BG818" s="48" t="s">
        <v>272</v>
      </c>
      <c r="BH818" s="48" t="s">
        <v>2486</v>
      </c>
      <c r="BI818" s="98">
        <v>1.454912E-3</v>
      </c>
      <c r="BJ818" s="98">
        <v>14.54912</v>
      </c>
      <c r="BK818" s="48"/>
      <c r="BL818" s="487">
        <v>12.183294770441965</v>
      </c>
      <c r="BM818" s="47" t="s">
        <v>2487</v>
      </c>
      <c r="BN818" s="48"/>
      <c r="BO818" s="48"/>
      <c r="BP818" s="48"/>
      <c r="BQ818" s="48"/>
      <c r="BR818" s="47" t="e">
        <v>#VALUE!</v>
      </c>
      <c r="BS818" s="48"/>
      <c r="BT818" s="48"/>
      <c r="BU818" s="228">
        <v>14.54912</v>
      </c>
      <c r="BV818" s="48"/>
      <c r="BW818" s="48"/>
      <c r="BX818" s="48"/>
      <c r="BY818" s="48"/>
      <c r="BZ818" s="48"/>
      <c r="CA818" s="48"/>
      <c r="CB818" s="48"/>
      <c r="CC818" s="48"/>
      <c r="CD818" s="48"/>
      <c r="CE818" s="48"/>
      <c r="CF818" s="48"/>
      <c r="CG818" s="48"/>
      <c r="CH818" s="48"/>
      <c r="CI818" s="98"/>
      <c r="CJ818" s="98"/>
      <c r="CK818" s="49">
        <f t="shared" si="167"/>
        <v>0.837390493063633</v>
      </c>
      <c r="CL818" s="229"/>
      <c r="CM818" s="229"/>
      <c r="CN818" s="229"/>
      <c r="CO818" s="47" t="s">
        <v>2488</v>
      </c>
      <c r="CP818" s="500" t="s">
        <v>2489</v>
      </c>
      <c r="CQ818" s="224">
        <v>0.80724181104067239</v>
      </c>
      <c r="CR818" s="224">
        <f>10^(CJ818-CQ818)</f>
        <v>0.15586844005108996</v>
      </c>
      <c r="CS818" s="230" t="s">
        <v>539</v>
      </c>
      <c r="CT818" s="230"/>
      <c r="CU818" s="230"/>
      <c r="CV818" s="335">
        <f t="shared" si="168"/>
        <v>14.365129987243215</v>
      </c>
      <c r="CW818" s="230">
        <f t="shared" si="166"/>
        <v>1</v>
      </c>
      <c r="CX818" s="336"/>
      <c r="CY818" s="230" t="s">
        <v>6351</v>
      </c>
    </row>
    <row r="819" spans="1:103" ht="11.25" customHeight="1" x14ac:dyDescent="0.2">
      <c r="A819" s="72">
        <v>1161</v>
      </c>
      <c r="B819" s="224">
        <v>984</v>
      </c>
      <c r="C819" s="46" t="s">
        <v>7306</v>
      </c>
      <c r="D819" s="46"/>
      <c r="E819" s="114"/>
      <c r="F819" s="114" t="s">
        <v>2806</v>
      </c>
      <c r="G819" s="225">
        <v>838880</v>
      </c>
      <c r="H819" s="47" t="s">
        <v>2807</v>
      </c>
      <c r="I819" s="47" t="s">
        <v>2807</v>
      </c>
      <c r="J819" s="47" t="s">
        <v>2808</v>
      </c>
      <c r="K819" s="47" t="s">
        <v>2695</v>
      </c>
      <c r="L819" s="47"/>
      <c r="M819" s="47"/>
      <c r="N819" s="47"/>
      <c r="O819" s="47"/>
      <c r="P819" s="53"/>
      <c r="Q819" s="53"/>
      <c r="R819" s="53"/>
      <c r="S819" s="53"/>
      <c r="T819" s="48">
        <v>226.32</v>
      </c>
      <c r="U819" s="98"/>
      <c r="V819" s="98">
        <v>50.73</v>
      </c>
      <c r="W819" s="98">
        <v>82.171825355569254</v>
      </c>
      <c r="X819" s="98">
        <v>82.171825355569254</v>
      </c>
      <c r="Y819" s="233">
        <v>7.88</v>
      </c>
      <c r="Z819" s="48">
        <v>3.28</v>
      </c>
      <c r="AA819" s="48"/>
      <c r="AB819" s="48">
        <v>2.66</v>
      </c>
      <c r="AC819" s="48">
        <v>0.87980000000000003</v>
      </c>
      <c r="AD819" s="48">
        <v>2.64</v>
      </c>
      <c r="AE819" s="48">
        <v>2.56</v>
      </c>
      <c r="AF819" s="48">
        <f t="shared" si="169"/>
        <v>2.64</v>
      </c>
      <c r="AG819" s="49">
        <v>3.21</v>
      </c>
      <c r="AH819" s="98">
        <v>7.3000000000000006E-11</v>
      </c>
      <c r="AI819" s="98"/>
      <c r="AJ819" s="483">
        <f t="shared" si="171"/>
        <v>-8.5252434661921956</v>
      </c>
      <c r="AK819" s="483"/>
      <c r="AL819" s="483">
        <f t="shared" si="170"/>
        <v>-8.5252434661921956</v>
      </c>
      <c r="AM819" s="483">
        <v>-12.953760000000001</v>
      </c>
      <c r="AN819" s="226">
        <v>-9.02</v>
      </c>
      <c r="AO819" s="484"/>
      <c r="AP819" s="484">
        <v>5.18</v>
      </c>
      <c r="AQ819" s="48" t="s">
        <v>6311</v>
      </c>
      <c r="AR819" s="48" t="s">
        <v>6311</v>
      </c>
      <c r="AS819" s="227"/>
      <c r="AT819" s="50" t="s">
        <v>266</v>
      </c>
      <c r="AU819" s="48">
        <v>6</v>
      </c>
      <c r="AV819" s="48">
        <v>120</v>
      </c>
      <c r="AW819" s="48">
        <v>114</v>
      </c>
      <c r="AX819" s="48">
        <v>28</v>
      </c>
      <c r="AY819" s="48" t="s">
        <v>8728</v>
      </c>
      <c r="AZ819" s="48" t="s">
        <v>1563</v>
      </c>
      <c r="BA819" s="48">
        <v>32</v>
      </c>
      <c r="BB819" s="47" t="s">
        <v>2485</v>
      </c>
      <c r="BC819" s="47" t="s">
        <v>8726</v>
      </c>
      <c r="BD819" s="47" t="s">
        <v>8374</v>
      </c>
      <c r="BE819" s="48" t="s">
        <v>2449</v>
      </c>
      <c r="BF819" s="48" t="s">
        <v>272</v>
      </c>
      <c r="BG819" s="48" t="s">
        <v>272</v>
      </c>
      <c r="BH819" s="48" t="s">
        <v>2486</v>
      </c>
      <c r="BI819" s="98">
        <v>1.448448E-3</v>
      </c>
      <c r="BJ819" s="98">
        <v>14.48448</v>
      </c>
      <c r="BK819" s="48"/>
      <c r="BL819" s="487">
        <v>13.175130768336984</v>
      </c>
      <c r="BM819" s="47" t="s">
        <v>2487</v>
      </c>
      <c r="BN819" s="48"/>
      <c r="BO819" s="48"/>
      <c r="BP819" s="48"/>
      <c r="BQ819" s="48"/>
      <c r="BR819" s="47" t="e">
        <v>#VALUE!</v>
      </c>
      <c r="BS819" s="48"/>
      <c r="BT819" s="48"/>
      <c r="BU819" s="228">
        <v>1.448448E-3</v>
      </c>
      <c r="BV819" s="48"/>
      <c r="BW819" s="48"/>
      <c r="BX819" s="48"/>
      <c r="BY819" s="48"/>
      <c r="BZ819" s="48"/>
      <c r="CA819" s="48"/>
      <c r="CB819" s="48"/>
      <c r="CC819" s="48"/>
      <c r="CD819" s="48"/>
      <c r="CE819" s="48"/>
      <c r="CF819" s="48"/>
      <c r="CG819" s="48"/>
      <c r="CH819" s="48"/>
      <c r="CI819" s="98"/>
      <c r="CJ819" s="98"/>
      <c r="CK819" s="49">
        <f t="shared" si="167"/>
        <v>0.9096032973456406</v>
      </c>
      <c r="CL819" s="229"/>
      <c r="CM819" s="229"/>
      <c r="CN819" s="229"/>
      <c r="CO819" s="47" t="s">
        <v>2488</v>
      </c>
      <c r="CP819" s="500" t="s">
        <v>2489</v>
      </c>
      <c r="CQ819" s="224" t="s">
        <v>272</v>
      </c>
      <c r="CR819" s="224"/>
      <c r="CS819" s="230" t="s">
        <v>539</v>
      </c>
      <c r="CT819" s="230"/>
      <c r="CU819" s="230"/>
      <c r="CV819" s="335">
        <f t="shared" si="168"/>
        <v>5.6730946057828282</v>
      </c>
      <c r="CW819" s="230">
        <f t="shared" si="166"/>
        <v>1</v>
      </c>
      <c r="CX819" s="336"/>
      <c r="CY819" s="230" t="s">
        <v>6351</v>
      </c>
    </row>
    <row r="820" spans="1:103" ht="11.25" customHeight="1" x14ac:dyDescent="0.2">
      <c r="A820" s="72">
        <v>1162</v>
      </c>
      <c r="B820" s="224">
        <v>1765</v>
      </c>
      <c r="C820" s="46" t="s">
        <v>7307</v>
      </c>
      <c r="D820" s="46"/>
      <c r="E820" s="114"/>
      <c r="F820" s="114" t="s">
        <v>5086</v>
      </c>
      <c r="G820" s="225">
        <v>872504</v>
      </c>
      <c r="H820" s="47" t="s">
        <v>5087</v>
      </c>
      <c r="I820" s="47" t="s">
        <v>5087</v>
      </c>
      <c r="J820" s="47" t="s">
        <v>5088</v>
      </c>
      <c r="K820" s="47" t="s">
        <v>471</v>
      </c>
      <c r="L820" s="47"/>
      <c r="M820" s="47"/>
      <c r="N820" s="47"/>
      <c r="O820" s="47"/>
      <c r="P820" s="53"/>
      <c r="Q820" s="53"/>
      <c r="R820" s="53"/>
      <c r="S820" s="53"/>
      <c r="T820" s="48">
        <v>99.13</v>
      </c>
      <c r="U820" s="98">
        <v>1000000</v>
      </c>
      <c r="V820" s="98">
        <v>248300</v>
      </c>
      <c r="W820" s="98">
        <v>84373.313727001572</v>
      </c>
      <c r="X820" s="98">
        <v>1000000</v>
      </c>
      <c r="Y820" s="233">
        <v>7.06</v>
      </c>
      <c r="Z820" s="48">
        <v>-0.11</v>
      </c>
      <c r="AA820" s="48">
        <v>-0.38</v>
      </c>
      <c r="AB820" s="48">
        <v>-0.33</v>
      </c>
      <c r="AC820" s="48">
        <v>0.89439999999999997</v>
      </c>
      <c r="AD820" s="48">
        <v>-0.34</v>
      </c>
      <c r="AE820" s="48">
        <v>-0.4</v>
      </c>
      <c r="AF820" s="48">
        <f t="shared" si="169"/>
        <v>-0.38</v>
      </c>
      <c r="AG820" s="49">
        <v>-0.05</v>
      </c>
      <c r="AH820" s="98">
        <v>3.1599999999999998E-8</v>
      </c>
      <c r="AI820" s="98">
        <v>3.2000000000000001E-9</v>
      </c>
      <c r="AJ820" s="483">
        <f t="shared" si="171"/>
        <v>-5.8888792436942481</v>
      </c>
      <c r="AK820" s="483">
        <f>LOG10(AI820*1000/(0.08206*298.15))</f>
        <v>-6.8834163479927462</v>
      </c>
      <c r="AL820" s="483">
        <f t="shared" si="170"/>
        <v>-6.8834163479927462</v>
      </c>
      <c r="AM820" s="483">
        <v>-6.4441999999999995</v>
      </c>
      <c r="AN820" s="226">
        <v>-7.1</v>
      </c>
      <c r="AO820" s="484"/>
      <c r="AP820" s="484">
        <v>-0.41</v>
      </c>
      <c r="AQ820" s="226" t="s">
        <v>6311</v>
      </c>
      <c r="AR820" s="226" t="s">
        <v>6311</v>
      </c>
      <c r="AS820" s="224"/>
      <c r="AT820" s="50" t="s">
        <v>266</v>
      </c>
      <c r="AU820" s="48">
        <v>6</v>
      </c>
      <c r="AV820" s="48">
        <v>120</v>
      </c>
      <c r="AW820" s="48">
        <v>114</v>
      </c>
      <c r="AX820" s="48">
        <v>28</v>
      </c>
      <c r="AY820" s="48" t="s">
        <v>8728</v>
      </c>
      <c r="AZ820" s="48" t="s">
        <v>1563</v>
      </c>
      <c r="BA820" s="48">
        <v>32</v>
      </c>
      <c r="BB820" s="47" t="s">
        <v>2485</v>
      </c>
      <c r="BC820" s="47" t="s">
        <v>8726</v>
      </c>
      <c r="BD820" s="47" t="s">
        <v>8374</v>
      </c>
      <c r="BE820" s="48" t="s">
        <v>2449</v>
      </c>
      <c r="BF820" s="48" t="s">
        <v>272</v>
      </c>
      <c r="BG820" s="48" t="s">
        <v>272</v>
      </c>
      <c r="BH820" s="48" t="s">
        <v>2486</v>
      </c>
      <c r="BI820" s="98">
        <v>6.3443199999999999E-4</v>
      </c>
      <c r="BJ820" s="98">
        <v>6.3443199999999997</v>
      </c>
      <c r="BK820" s="48"/>
      <c r="BL820" s="487">
        <v>6394.3456142554733</v>
      </c>
      <c r="BM820" s="47" t="s">
        <v>2487</v>
      </c>
      <c r="BN820" s="48"/>
      <c r="BO820" s="48"/>
      <c r="BP820" s="48"/>
      <c r="BQ820" s="48"/>
      <c r="BR820" s="47" t="e">
        <v>#VALUE!</v>
      </c>
      <c r="BS820" s="48"/>
      <c r="BT820" s="48"/>
      <c r="BU820" s="228"/>
      <c r="BV820" s="48"/>
      <c r="BW820" s="48"/>
      <c r="BX820" s="48"/>
      <c r="BY820" s="48"/>
      <c r="BZ820" s="48"/>
      <c r="CA820" s="48"/>
      <c r="CB820" s="48"/>
      <c r="CC820" s="48"/>
      <c r="CD820" s="48"/>
      <c r="CE820" s="48"/>
      <c r="CF820" s="48"/>
      <c r="CG820" s="48"/>
      <c r="CH820" s="48"/>
      <c r="CI820" s="98"/>
      <c r="CJ820" s="98"/>
      <c r="CK820" s="49">
        <f t="shared" si="167"/>
        <v>1007.8851026202136</v>
      </c>
      <c r="CL820" s="229"/>
      <c r="CM820" s="229"/>
      <c r="CN820" s="229"/>
      <c r="CO820" s="47" t="s">
        <v>2488</v>
      </c>
      <c r="CP820" s="500" t="s">
        <v>2489</v>
      </c>
      <c r="CQ820" s="224">
        <v>2.920123326290724</v>
      </c>
      <c r="CR820" s="224">
        <f>10^(CJ820-CQ820)</f>
        <v>1.2019230769230757E-3</v>
      </c>
      <c r="CS820" s="230" t="s">
        <v>539</v>
      </c>
      <c r="CT820" s="230"/>
      <c r="CU820" s="230"/>
      <c r="CV820" s="335">
        <f t="shared" si="168"/>
        <v>157621.30535660245</v>
      </c>
      <c r="CW820" s="230">
        <f t="shared" si="166"/>
        <v>1</v>
      </c>
      <c r="CX820" s="336"/>
      <c r="CY820" s="230" t="s">
        <v>6351</v>
      </c>
    </row>
    <row r="821" spans="1:103" ht="11.25" customHeight="1" x14ac:dyDescent="0.2">
      <c r="A821" s="72">
        <v>1163</v>
      </c>
      <c r="B821" s="224">
        <v>1767</v>
      </c>
      <c r="C821" s="46" t="s">
        <v>7308</v>
      </c>
      <c r="D821" s="46"/>
      <c r="E821" s="114"/>
      <c r="F821" s="114" t="s">
        <v>5092</v>
      </c>
      <c r="G821" s="225">
        <v>924163</v>
      </c>
      <c r="H821" s="47" t="s">
        <v>5093</v>
      </c>
      <c r="I821" s="47" t="s">
        <v>5093</v>
      </c>
      <c r="J821" s="47" t="s">
        <v>5094</v>
      </c>
      <c r="K821" s="47" t="s">
        <v>300</v>
      </c>
      <c r="L821" s="47"/>
      <c r="M821" s="47"/>
      <c r="N821" s="47"/>
      <c r="O821" s="47"/>
      <c r="P821" s="53"/>
      <c r="Q821" s="53"/>
      <c r="R821" s="53"/>
      <c r="S821" s="53"/>
      <c r="T821" s="48">
        <v>158.24</v>
      </c>
      <c r="U821" s="98">
        <v>1270.0000000000002</v>
      </c>
      <c r="V821" s="98">
        <v>395.6</v>
      </c>
      <c r="W821" s="98">
        <v>2687.3007556554621</v>
      </c>
      <c r="X821" s="98">
        <v>1270.0000000000002</v>
      </c>
      <c r="Y821" s="233">
        <v>7</v>
      </c>
      <c r="Z821" s="48">
        <v>2.31</v>
      </c>
      <c r="AA821" s="48">
        <v>2.63</v>
      </c>
      <c r="AB821" s="48">
        <v>2.41</v>
      </c>
      <c r="AC821" s="48">
        <v>0.82410000000000005</v>
      </c>
      <c r="AD821" s="48">
        <v>2.4500000000000002</v>
      </c>
      <c r="AE821" s="48">
        <v>2.5499999999999998</v>
      </c>
      <c r="AF821" s="48">
        <f t="shared" si="169"/>
        <v>2.63</v>
      </c>
      <c r="AG821" s="49">
        <v>2.09</v>
      </c>
      <c r="AH821" s="98">
        <v>1.13E-5</v>
      </c>
      <c r="AI821" s="98">
        <v>1.3200000000000001E-5</v>
      </c>
      <c r="AJ821" s="483">
        <f t="shared" si="171"/>
        <v>-3.335487882829232</v>
      </c>
      <c r="AK821" s="483">
        <f>LOG10(AI821*1000/(0.08206*298.15))</f>
        <v>-3.267992395106802</v>
      </c>
      <c r="AL821" s="483">
        <f t="shared" si="170"/>
        <v>-3.267992395106802</v>
      </c>
      <c r="AM821" s="483">
        <v>-5.6264700000000003</v>
      </c>
      <c r="AN821" s="226">
        <v>-3.88</v>
      </c>
      <c r="AO821" s="484"/>
      <c r="AP821" s="484">
        <v>-3.14</v>
      </c>
      <c r="AQ821" s="226" t="s">
        <v>6311</v>
      </c>
      <c r="AR821" s="226" t="s">
        <v>6311</v>
      </c>
      <c r="AS821" s="224"/>
      <c r="AT821" s="50" t="s">
        <v>266</v>
      </c>
      <c r="AU821" s="48">
        <v>6</v>
      </c>
      <c r="AV821" s="48">
        <v>120</v>
      </c>
      <c r="AW821" s="48">
        <v>114</v>
      </c>
      <c r="AX821" s="48">
        <v>28</v>
      </c>
      <c r="AY821" s="48" t="s">
        <v>8728</v>
      </c>
      <c r="AZ821" s="48" t="s">
        <v>1563</v>
      </c>
      <c r="BA821" s="48">
        <v>32</v>
      </c>
      <c r="BB821" s="47" t="s">
        <v>2485</v>
      </c>
      <c r="BC821" s="47" t="s">
        <v>8726</v>
      </c>
      <c r="BD821" s="47" t="s">
        <v>8374</v>
      </c>
      <c r="BE821" s="48" t="s">
        <v>2449</v>
      </c>
      <c r="BF821" s="48" t="s">
        <v>272</v>
      </c>
      <c r="BG821" s="48" t="s">
        <v>272</v>
      </c>
      <c r="BH821" s="48" t="s">
        <v>2486</v>
      </c>
      <c r="BI821" s="98">
        <v>1.012736E-3</v>
      </c>
      <c r="BJ821" s="98">
        <v>10.127360000000001</v>
      </c>
      <c r="BK821" s="48"/>
      <c r="BL821" s="487">
        <v>68.470779841737667</v>
      </c>
      <c r="BM821" s="47" t="s">
        <v>2487</v>
      </c>
      <c r="BN821" s="48"/>
      <c r="BO821" s="48"/>
      <c r="BP821" s="48"/>
      <c r="BQ821" s="48"/>
      <c r="BR821" s="47" t="e">
        <v>#VALUE!</v>
      </c>
      <c r="BS821" s="48"/>
      <c r="BT821" s="48"/>
      <c r="BU821" s="228"/>
      <c r="BV821" s="48"/>
      <c r="BW821" s="48"/>
      <c r="BX821" s="48"/>
      <c r="BY821" s="48"/>
      <c r="BZ821" s="48"/>
      <c r="CA821" s="48"/>
      <c r="CB821" s="48"/>
      <c r="CC821" s="48"/>
      <c r="CD821" s="48"/>
      <c r="CE821" s="48"/>
      <c r="CF821" s="48"/>
      <c r="CG821" s="48"/>
      <c r="CH821" s="48"/>
      <c r="CI821" s="98"/>
      <c r="CJ821" s="98"/>
      <c r="CK821" s="49">
        <f t="shared" si="167"/>
        <v>6.7609702668550993</v>
      </c>
      <c r="CL821" s="229"/>
      <c r="CM821" s="229"/>
      <c r="CN821" s="229"/>
      <c r="CO821" s="47" t="s">
        <v>2488</v>
      </c>
      <c r="CP821" s="500" t="s">
        <v>2489</v>
      </c>
      <c r="CQ821" s="224" t="s">
        <v>272</v>
      </c>
      <c r="CR821" s="224"/>
      <c r="CS821" s="230" t="s">
        <v>539</v>
      </c>
      <c r="CT821" s="230"/>
      <c r="CU821" s="230"/>
      <c r="CV821" s="335">
        <f t="shared" si="168"/>
        <v>125.40286905965623</v>
      </c>
      <c r="CW821" s="230">
        <f t="shared" si="166"/>
        <v>1</v>
      </c>
      <c r="CX821" s="336"/>
      <c r="CY821" s="230" t="s">
        <v>5921</v>
      </c>
    </row>
    <row r="822" spans="1:103" ht="11.25" customHeight="1" x14ac:dyDescent="0.2">
      <c r="A822" s="72">
        <v>1164</v>
      </c>
      <c r="B822" s="224">
        <v>1410</v>
      </c>
      <c r="C822" s="46" t="s">
        <v>7309</v>
      </c>
      <c r="D822" s="46"/>
      <c r="E822" s="114"/>
      <c r="F822" s="114" t="s">
        <v>4342</v>
      </c>
      <c r="G822" s="225">
        <v>929599</v>
      </c>
      <c r="H822" s="47" t="s">
        <v>4343</v>
      </c>
      <c r="I822" s="47" t="s">
        <v>4343</v>
      </c>
      <c r="J822" s="47" t="s">
        <v>4344</v>
      </c>
      <c r="K822" s="47" t="s">
        <v>300</v>
      </c>
      <c r="L822" s="47"/>
      <c r="M822" s="47"/>
      <c r="N822" s="47"/>
      <c r="O822" s="47"/>
      <c r="P822" s="53"/>
      <c r="Q822" s="53"/>
      <c r="R822" s="53"/>
      <c r="S822" s="53"/>
      <c r="T822" s="48">
        <v>148.19999999999999</v>
      </c>
      <c r="U822" s="98"/>
      <c r="V822" s="98">
        <v>1000000</v>
      </c>
      <c r="W822" s="98">
        <v>1001954.969530917</v>
      </c>
      <c r="X822" s="98">
        <v>1001954.969530917</v>
      </c>
      <c r="Y822" s="233">
        <v>11.94</v>
      </c>
      <c r="Z822" s="48">
        <v>-2.17</v>
      </c>
      <c r="AA822" s="48"/>
      <c r="AB822" s="48">
        <v>-1.08</v>
      </c>
      <c r="AC822" s="48">
        <v>0.56479999999999997</v>
      </c>
      <c r="AD822" s="48">
        <v>-1.32</v>
      </c>
      <c r="AE822" s="48">
        <v>-1.59</v>
      </c>
      <c r="AF822" s="48">
        <f t="shared" si="169"/>
        <v>-1.32</v>
      </c>
      <c r="AG822" s="49">
        <v>3.41</v>
      </c>
      <c r="AH822" s="98">
        <v>2.4999999999999999E-13</v>
      </c>
      <c r="AI822" s="98"/>
      <c r="AJ822" s="483">
        <f t="shared" si="171"/>
        <v>-10.990626317640615</v>
      </c>
      <c r="AK822" s="483"/>
      <c r="AL822" s="483">
        <f t="shared" si="170"/>
        <v>-10.990626317640615</v>
      </c>
      <c r="AM822" s="483">
        <v>-12.59173</v>
      </c>
      <c r="AN822" s="226">
        <v>-18.100000000000001</v>
      </c>
      <c r="AO822" s="484"/>
      <c r="AP822" s="484">
        <v>9.0399999999999991</v>
      </c>
      <c r="AQ822" s="48" t="s">
        <v>6311</v>
      </c>
      <c r="AR822" s="48" t="s">
        <v>6311</v>
      </c>
      <c r="AS822" s="227"/>
      <c r="AT822" s="50" t="s">
        <v>266</v>
      </c>
      <c r="AU822" s="48">
        <v>6</v>
      </c>
      <c r="AV822" s="48">
        <v>120</v>
      </c>
      <c r="AW822" s="48">
        <v>114</v>
      </c>
      <c r="AX822" s="48">
        <v>28</v>
      </c>
      <c r="AY822" s="48" t="s">
        <v>8728</v>
      </c>
      <c r="AZ822" s="48" t="s">
        <v>1563</v>
      </c>
      <c r="BA822" s="48">
        <v>32</v>
      </c>
      <c r="BB822" s="47" t="s">
        <v>2485</v>
      </c>
      <c r="BC822" s="47" t="s">
        <v>8726</v>
      </c>
      <c r="BD822" s="47" t="s">
        <v>8374</v>
      </c>
      <c r="BE822" s="48" t="s">
        <v>2449</v>
      </c>
      <c r="BF822" s="48" t="s">
        <v>272</v>
      </c>
      <c r="BG822" s="48" t="s">
        <v>272</v>
      </c>
      <c r="BH822" s="48" t="s">
        <v>2486</v>
      </c>
      <c r="BI822" s="98">
        <v>9.4847999999999992E-4</v>
      </c>
      <c r="BJ822" s="98">
        <v>9.4847999999999999</v>
      </c>
      <c r="BK822" s="48"/>
      <c r="BL822" s="487">
        <v>676901.07474101603</v>
      </c>
      <c r="BM822" s="47" t="s">
        <v>2487</v>
      </c>
      <c r="BN822" s="48"/>
      <c r="BO822" s="48"/>
      <c r="BP822" s="48"/>
      <c r="BQ822" s="48"/>
      <c r="BR822" s="47"/>
      <c r="BS822" s="48"/>
      <c r="BT822" s="48"/>
      <c r="BU822" s="228"/>
      <c r="BV822" s="48"/>
      <c r="BW822" s="48"/>
      <c r="BX822" s="48"/>
      <c r="BY822" s="48"/>
      <c r="BZ822" s="48"/>
      <c r="CA822" s="48"/>
      <c r="CB822" s="48"/>
      <c r="CC822" s="48"/>
      <c r="CD822" s="48"/>
      <c r="CE822" s="48"/>
      <c r="CF822" s="48"/>
      <c r="CG822" s="48"/>
      <c r="CH822" s="48"/>
      <c r="CI822" s="52"/>
      <c r="CJ822" s="98"/>
      <c r="CK822" s="49">
        <f t="shared" si="167"/>
        <v>71366.931800461374</v>
      </c>
      <c r="CL822" s="229"/>
      <c r="CM822" s="229"/>
      <c r="CN822" s="229"/>
      <c r="CO822" s="47" t="s">
        <v>2488</v>
      </c>
      <c r="CP822" s="500" t="s">
        <v>2489</v>
      </c>
      <c r="CQ822" s="224" t="s">
        <v>272</v>
      </c>
      <c r="CR822" s="224"/>
      <c r="CS822" s="230" t="s">
        <v>539</v>
      </c>
      <c r="CT822" s="230"/>
      <c r="CU822" s="230"/>
      <c r="CV822" s="335">
        <f t="shared" si="168"/>
        <v>105637.96490499715</v>
      </c>
      <c r="CW822" s="230">
        <f t="shared" si="166"/>
        <v>1</v>
      </c>
      <c r="CX822" s="336"/>
      <c r="CY822" s="230" t="s">
        <v>5921</v>
      </c>
    </row>
    <row r="823" spans="1:103" ht="11.25" customHeight="1" x14ac:dyDescent="0.2">
      <c r="A823" s="72">
        <v>1166</v>
      </c>
      <c r="B823" s="224">
        <v>1730</v>
      </c>
      <c r="C823" s="46" t="s">
        <v>7310</v>
      </c>
      <c r="D823" s="46" t="s">
        <v>8613</v>
      </c>
      <c r="E823" s="114"/>
      <c r="F823" s="114" t="s">
        <v>3932</v>
      </c>
      <c r="G823" s="225">
        <v>950378</v>
      </c>
      <c r="H823" s="47" t="s">
        <v>3933</v>
      </c>
      <c r="I823" s="47" t="s">
        <v>3933</v>
      </c>
      <c r="J823" s="47" t="s">
        <v>3934</v>
      </c>
      <c r="K823" s="47" t="s">
        <v>3935</v>
      </c>
      <c r="L823" s="47" t="s">
        <v>617</v>
      </c>
      <c r="M823" s="47" t="s">
        <v>946</v>
      </c>
      <c r="N823" s="47" t="s">
        <v>6376</v>
      </c>
      <c r="O823" s="47" t="s">
        <v>918</v>
      </c>
      <c r="P823" s="53" t="s">
        <v>6178</v>
      </c>
      <c r="Q823" s="53" t="s">
        <v>6176</v>
      </c>
      <c r="R823" s="53" t="s">
        <v>6177</v>
      </c>
      <c r="S823" s="53" t="s">
        <v>6173</v>
      </c>
      <c r="T823" s="48">
        <v>302.33</v>
      </c>
      <c r="U823" s="98">
        <v>187</v>
      </c>
      <c r="V823" s="98">
        <v>157.30000000000001</v>
      </c>
      <c r="W823" s="98">
        <v>120.35974087343877</v>
      </c>
      <c r="X823" s="98">
        <v>187</v>
      </c>
      <c r="Y823" s="233">
        <v>7</v>
      </c>
      <c r="Z823" s="48">
        <v>1.58</v>
      </c>
      <c r="AA823" s="48">
        <v>2.2000000000000002</v>
      </c>
      <c r="AB823" s="48">
        <v>1.73</v>
      </c>
      <c r="AC823" s="48">
        <v>0.71389999999999998</v>
      </c>
      <c r="AD823" s="48">
        <v>1.83</v>
      </c>
      <c r="AE823" s="48">
        <v>2.0299999999999998</v>
      </c>
      <c r="AF823" s="48">
        <f t="shared" si="169"/>
        <v>2.2000000000000002</v>
      </c>
      <c r="AG823" s="49">
        <v>3.36</v>
      </c>
      <c r="AH823" s="98">
        <v>7.0999999999999999E-9</v>
      </c>
      <c r="AI823" s="98">
        <v>7.1699999999999998E-9</v>
      </c>
      <c r="AJ823" s="483">
        <f t="shared" si="171"/>
        <v>-6.5373079775935761</v>
      </c>
      <c r="AK823" s="483">
        <f>LOG10(AI823*1000/(0.08206*298.15))</f>
        <v>-6.5330471706448519</v>
      </c>
      <c r="AL823" s="483">
        <f t="shared" si="170"/>
        <v>-6.5330471706448519</v>
      </c>
      <c r="AM823" s="483">
        <v>-16.076590000000003</v>
      </c>
      <c r="AN823" s="226">
        <v>-1.94</v>
      </c>
      <c r="AO823" s="484"/>
      <c r="AP823" s="484">
        <v>-4.17</v>
      </c>
      <c r="AQ823" s="226" t="s">
        <v>6314</v>
      </c>
      <c r="AR823" s="226" t="s">
        <v>6314</v>
      </c>
      <c r="AS823" s="224"/>
      <c r="AT823" s="50" t="s">
        <v>266</v>
      </c>
      <c r="AU823" s="48">
        <v>6</v>
      </c>
      <c r="AV823" s="48">
        <v>120</v>
      </c>
      <c r="AW823" s="48">
        <v>114</v>
      </c>
      <c r="AX823" s="48">
        <v>28</v>
      </c>
      <c r="AY823" s="48" t="s">
        <v>8728</v>
      </c>
      <c r="AZ823" s="48" t="s">
        <v>1563</v>
      </c>
      <c r="BA823" s="48">
        <v>32</v>
      </c>
      <c r="BB823" s="47" t="s">
        <v>2485</v>
      </c>
      <c r="BC823" s="47" t="s">
        <v>8726</v>
      </c>
      <c r="BD823" s="47" t="s">
        <v>8374</v>
      </c>
      <c r="BE823" s="48" t="s">
        <v>2449</v>
      </c>
      <c r="BF823" s="48" t="s">
        <v>272</v>
      </c>
      <c r="BG823" s="48" t="s">
        <v>272</v>
      </c>
      <c r="BH823" s="48" t="s">
        <v>2486</v>
      </c>
      <c r="BI823" s="98">
        <v>1.9349119999999998E-3</v>
      </c>
      <c r="BJ823" s="98">
        <v>19.349119999999999</v>
      </c>
      <c r="BK823" s="48"/>
      <c r="BL823" s="487">
        <v>591.94757269986974</v>
      </c>
      <c r="BM823" s="47" t="s">
        <v>2487</v>
      </c>
      <c r="BN823" s="48"/>
      <c r="BO823" s="48"/>
      <c r="BP823" s="48"/>
      <c r="BQ823" s="48"/>
      <c r="BR823" s="47" t="e">
        <v>#VALUE!</v>
      </c>
      <c r="BS823" s="48"/>
      <c r="BT823" s="48"/>
      <c r="BU823" s="228"/>
      <c r="BV823" s="48"/>
      <c r="BW823" s="48"/>
      <c r="BX823" s="48"/>
      <c r="BY823" s="48"/>
      <c r="BZ823" s="48"/>
      <c r="CA823" s="48"/>
      <c r="CB823" s="48"/>
      <c r="CC823" s="48"/>
      <c r="CD823" s="48"/>
      <c r="CE823" s="48"/>
      <c r="CF823" s="48"/>
      <c r="CG823" s="48"/>
      <c r="CH823" s="48"/>
      <c r="CI823" s="98"/>
      <c r="CJ823" s="98"/>
      <c r="CK823" s="49">
        <f t="shared" si="167"/>
        <v>30.592997133713045</v>
      </c>
      <c r="CL823" s="229"/>
      <c r="CM823" s="229"/>
      <c r="CN823" s="229"/>
      <c r="CO823" s="47" t="s">
        <v>2488</v>
      </c>
      <c r="CP823" s="500" t="s">
        <v>2489</v>
      </c>
      <c r="CQ823" s="224">
        <v>-1.779695774034832</v>
      </c>
      <c r="CR823" s="224">
        <f>10^(CJ823-CQ823)</f>
        <v>60.213763717129581</v>
      </c>
      <c r="CS823" s="230" t="s">
        <v>539</v>
      </c>
      <c r="CT823" s="230"/>
      <c r="CU823" s="230"/>
      <c r="CV823" s="335">
        <f t="shared" si="168"/>
        <v>9.6645222108292259</v>
      </c>
      <c r="CW823" s="230">
        <f t="shared" si="166"/>
        <v>1</v>
      </c>
      <c r="CX823" s="336"/>
      <c r="CY823" s="230" t="s">
        <v>5921</v>
      </c>
    </row>
    <row r="824" spans="1:103" ht="11.25" customHeight="1" x14ac:dyDescent="0.2">
      <c r="A824" s="72">
        <v>1167</v>
      </c>
      <c r="B824" s="224">
        <v>1092</v>
      </c>
      <c r="C824" s="46" t="s">
        <v>1091</v>
      </c>
      <c r="D824" s="46" t="s">
        <v>8547</v>
      </c>
      <c r="E824" s="114"/>
      <c r="F824" s="114" t="s">
        <v>1092</v>
      </c>
      <c r="G824" s="225">
        <v>962583</v>
      </c>
      <c r="H824" s="47" t="s">
        <v>1093</v>
      </c>
      <c r="I824" s="47" t="s">
        <v>1093</v>
      </c>
      <c r="J824" s="47" t="s">
        <v>1094</v>
      </c>
      <c r="K824" s="47" t="s">
        <v>637</v>
      </c>
      <c r="L824" s="51"/>
      <c r="M824" s="47" t="s">
        <v>5970</v>
      </c>
      <c r="N824" s="47"/>
      <c r="O824" s="47"/>
      <c r="P824" s="53"/>
      <c r="Q824" s="53"/>
      <c r="R824" s="53"/>
      <c r="S824" s="53"/>
      <c r="T824" s="48">
        <v>288.27999999999997</v>
      </c>
      <c r="U824" s="98"/>
      <c r="V824" s="98">
        <v>245.1</v>
      </c>
      <c r="W824" s="98">
        <v>2453.6607365298119</v>
      </c>
      <c r="X824" s="98">
        <v>2453.6607365298119</v>
      </c>
      <c r="Y824" s="233">
        <v>7.03</v>
      </c>
      <c r="Z824" s="48">
        <v>2.1</v>
      </c>
      <c r="AA824" s="48">
        <v>2.0699999999999998</v>
      </c>
      <c r="AB824" s="48">
        <v>1.74</v>
      </c>
      <c r="AC824" s="48">
        <v>0.85509999999999997</v>
      </c>
      <c r="AD824" s="48">
        <v>1.82</v>
      </c>
      <c r="AE824" s="48">
        <v>2.0699999999999998</v>
      </c>
      <c r="AF824" s="48">
        <f t="shared" si="169"/>
        <v>2.0699999999999998</v>
      </c>
      <c r="AG824" s="49">
        <v>2.9</v>
      </c>
      <c r="AH824" s="98">
        <v>1.8899999999999999E-10</v>
      </c>
      <c r="AI824" s="98"/>
      <c r="AJ824" s="483">
        <f t="shared" si="171"/>
        <v>-8.1121045221394077</v>
      </c>
      <c r="AK824" s="483"/>
      <c r="AL824" s="483">
        <f t="shared" si="170"/>
        <v>-8.1121045221394077</v>
      </c>
      <c r="AM824" s="483">
        <v>-13.35488</v>
      </c>
      <c r="AN824" s="226">
        <v>-4.6100000000000003</v>
      </c>
      <c r="AO824" s="484"/>
      <c r="AP824" s="484">
        <v>1.21</v>
      </c>
      <c r="AQ824" s="48" t="s">
        <v>6312</v>
      </c>
      <c r="AR824" s="48" t="s">
        <v>6312</v>
      </c>
      <c r="AS824" s="227"/>
      <c r="AT824" s="50" t="s">
        <v>266</v>
      </c>
      <c r="AU824" s="48">
        <v>6</v>
      </c>
      <c r="AV824" s="48">
        <v>120</v>
      </c>
      <c r="AW824" s="48">
        <v>114</v>
      </c>
      <c r="AX824" s="48">
        <v>28</v>
      </c>
      <c r="AY824" s="48" t="s">
        <v>8728</v>
      </c>
      <c r="AZ824" s="48" t="s">
        <v>1563</v>
      </c>
      <c r="BA824" s="48">
        <v>32</v>
      </c>
      <c r="BB824" s="47" t="s">
        <v>2485</v>
      </c>
      <c r="BC824" s="47" t="s">
        <v>8726</v>
      </c>
      <c r="BD824" s="47" t="s">
        <v>8374</v>
      </c>
      <c r="BE824" s="48" t="s">
        <v>2449</v>
      </c>
      <c r="BF824" s="48" t="s">
        <v>272</v>
      </c>
      <c r="BG824" s="48" t="s">
        <v>272</v>
      </c>
      <c r="BH824" s="48" t="s">
        <v>2486</v>
      </c>
      <c r="BI824" s="98">
        <v>1.8449919999999997E-3</v>
      </c>
      <c r="BJ824" s="98">
        <v>18.449919999999999</v>
      </c>
      <c r="BK824" s="48"/>
      <c r="BL824" s="487">
        <v>192.57704278360194</v>
      </c>
      <c r="BM824" s="47" t="s">
        <v>2487</v>
      </c>
      <c r="BN824" s="48"/>
      <c r="BO824" s="48"/>
      <c r="BP824" s="48"/>
      <c r="BQ824" s="48"/>
      <c r="BR824" s="47" t="e">
        <v>#VALUE!</v>
      </c>
      <c r="BS824" s="48"/>
      <c r="BT824" s="48"/>
      <c r="BU824" s="228">
        <v>1.8449919999999997E-3</v>
      </c>
      <c r="BV824" s="48"/>
      <c r="BW824" s="48"/>
      <c r="BX824" s="48"/>
      <c r="BY824" s="48"/>
      <c r="BZ824" s="48"/>
      <c r="CA824" s="48"/>
      <c r="CB824" s="48"/>
      <c r="CC824" s="48"/>
      <c r="CD824" s="48"/>
      <c r="CE824" s="48"/>
      <c r="CF824" s="48"/>
      <c r="CG824" s="48"/>
      <c r="CH824" s="48"/>
      <c r="CI824" s="98"/>
      <c r="CJ824" s="98"/>
      <c r="CK824" s="49">
        <f t="shared" si="167"/>
        <v>10.437825355535523</v>
      </c>
      <c r="CL824" s="229"/>
      <c r="CM824" s="229"/>
      <c r="CN824" s="229"/>
      <c r="CO824" s="47" t="s">
        <v>2488</v>
      </c>
      <c r="CP824" s="500" t="s">
        <v>2489</v>
      </c>
      <c r="CQ824" s="224" t="s">
        <v>272</v>
      </c>
      <c r="CR824" s="224"/>
      <c r="CS824" s="230" t="s">
        <v>539</v>
      </c>
      <c r="CT824" s="230"/>
      <c r="CU824" s="230"/>
      <c r="CV824" s="335">
        <f t="shared" si="168"/>
        <v>132.99031846912138</v>
      </c>
      <c r="CW824" s="230">
        <f t="shared" si="166"/>
        <v>1</v>
      </c>
      <c r="CX824" s="336"/>
      <c r="CY824" s="230" t="s">
        <v>5921</v>
      </c>
    </row>
    <row r="825" spans="1:103" ht="11.25" customHeight="1" x14ac:dyDescent="0.2">
      <c r="A825" s="72">
        <v>1169</v>
      </c>
      <c r="B825" s="224">
        <v>1090</v>
      </c>
      <c r="C825" s="46" t="s">
        <v>7312</v>
      </c>
      <c r="D825" s="46"/>
      <c r="E825" s="114"/>
      <c r="F825" s="114" t="s">
        <v>3052</v>
      </c>
      <c r="G825" s="225">
        <v>1007289</v>
      </c>
      <c r="H825" s="47" t="s">
        <v>3053</v>
      </c>
      <c r="I825" s="47" t="s">
        <v>8063</v>
      </c>
      <c r="J825" s="47" t="s">
        <v>3054</v>
      </c>
      <c r="K825" s="47" t="s">
        <v>3055</v>
      </c>
      <c r="L825" s="47"/>
      <c r="M825" s="47"/>
      <c r="N825" s="47"/>
      <c r="O825" s="47"/>
      <c r="P825" s="53"/>
      <c r="Q825" s="53"/>
      <c r="R825" s="53"/>
      <c r="S825" s="53"/>
      <c r="T825" s="48">
        <v>173.6</v>
      </c>
      <c r="U825" s="98">
        <v>670</v>
      </c>
      <c r="V825" s="98">
        <v>6160</v>
      </c>
      <c r="W825" s="98">
        <v>932.28719849875813</v>
      </c>
      <c r="X825" s="98">
        <v>670</v>
      </c>
      <c r="Y825" s="233">
        <v>7.88</v>
      </c>
      <c r="Z825" s="48">
        <v>1.36</v>
      </c>
      <c r="AA825" s="48">
        <v>1.1499999999999999</v>
      </c>
      <c r="AB825" s="48">
        <v>1.29</v>
      </c>
      <c r="AC825" s="48">
        <v>0.94299999999999995</v>
      </c>
      <c r="AD825" s="48">
        <v>1.26</v>
      </c>
      <c r="AE825" s="48">
        <v>1.1599999999999999</v>
      </c>
      <c r="AF825" s="48">
        <f t="shared" si="169"/>
        <v>1.1499999999999999</v>
      </c>
      <c r="AG825" s="49">
        <v>1.01</v>
      </c>
      <c r="AH825" s="98">
        <v>1.1599999999999999E-9</v>
      </c>
      <c r="AI825" s="98"/>
      <c r="AJ825" s="483">
        <f t="shared" si="171"/>
        <v>-7.3241083370857334</v>
      </c>
      <c r="AK825" s="483"/>
      <c r="AL825" s="483">
        <f t="shared" si="170"/>
        <v>-7.3241083370857334</v>
      </c>
      <c r="AM825" s="483">
        <v>-11.125200000000001</v>
      </c>
      <c r="AN825" s="226">
        <v>-9.07</v>
      </c>
      <c r="AO825" s="484"/>
      <c r="AP825" s="484">
        <v>3.85</v>
      </c>
      <c r="AQ825" s="48" t="s">
        <v>6311</v>
      </c>
      <c r="AR825" s="48" t="s">
        <v>6311</v>
      </c>
      <c r="AS825" s="227"/>
      <c r="AT825" s="50" t="s">
        <v>266</v>
      </c>
      <c r="AU825" s="48">
        <v>6</v>
      </c>
      <c r="AV825" s="48">
        <v>120</v>
      </c>
      <c r="AW825" s="48">
        <v>114</v>
      </c>
      <c r="AX825" s="48">
        <v>28</v>
      </c>
      <c r="AY825" s="48" t="s">
        <v>8728</v>
      </c>
      <c r="AZ825" s="48" t="s">
        <v>1563</v>
      </c>
      <c r="BA825" s="48">
        <v>32</v>
      </c>
      <c r="BB825" s="47" t="s">
        <v>2485</v>
      </c>
      <c r="BC825" s="47" t="s">
        <v>8726</v>
      </c>
      <c r="BD825" s="47" t="s">
        <v>8374</v>
      </c>
      <c r="BE825" s="48" t="s">
        <v>2449</v>
      </c>
      <c r="BF825" s="48" t="s">
        <v>272</v>
      </c>
      <c r="BG825" s="48" t="s">
        <v>272</v>
      </c>
      <c r="BH825" s="48" t="s">
        <v>2486</v>
      </c>
      <c r="BI825" s="98">
        <v>1.11104E-3</v>
      </c>
      <c r="BJ825" s="98">
        <v>11.1104</v>
      </c>
      <c r="BK825" s="48"/>
      <c r="BL825" s="487">
        <v>535.7148940004729</v>
      </c>
      <c r="BM825" s="47" t="s">
        <v>2487</v>
      </c>
      <c r="BN825" s="48"/>
      <c r="BO825" s="48"/>
      <c r="BP825" s="48"/>
      <c r="BQ825" s="48"/>
      <c r="BR825" s="47" t="e">
        <v>#VALUE!</v>
      </c>
      <c r="BS825" s="48"/>
      <c r="BT825" s="48"/>
      <c r="BU825" s="228">
        <v>1.11104E-3</v>
      </c>
      <c r="BV825" s="48"/>
      <c r="BW825" s="48"/>
      <c r="BX825" s="48"/>
      <c r="BY825" s="48"/>
      <c r="BZ825" s="48"/>
      <c r="CA825" s="48"/>
      <c r="CB825" s="48"/>
      <c r="CC825" s="48"/>
      <c r="CD825" s="48"/>
      <c r="CE825" s="48"/>
      <c r="CF825" s="48"/>
      <c r="CG825" s="48"/>
      <c r="CH825" s="48"/>
      <c r="CI825" s="98"/>
      <c r="CJ825" s="98"/>
      <c r="CK825" s="49">
        <f t="shared" si="167"/>
        <v>48.217426375330582</v>
      </c>
      <c r="CL825" s="229"/>
      <c r="CM825" s="229"/>
      <c r="CN825" s="229"/>
      <c r="CO825" s="47" t="s">
        <v>2488</v>
      </c>
      <c r="CP825" s="500" t="s">
        <v>2489</v>
      </c>
      <c r="CQ825" s="224" t="s">
        <v>272</v>
      </c>
      <c r="CR825" s="224"/>
      <c r="CS825" s="230" t="s">
        <v>539</v>
      </c>
      <c r="CT825" s="230"/>
      <c r="CU825" s="230"/>
      <c r="CV825" s="335">
        <f t="shared" si="168"/>
        <v>60.303859447004605</v>
      </c>
      <c r="CW825" s="230">
        <f t="shared" si="166"/>
        <v>1</v>
      </c>
      <c r="CX825" s="336"/>
      <c r="CY825" s="230" t="s">
        <v>5921</v>
      </c>
    </row>
    <row r="826" spans="1:103" ht="11.25" customHeight="1" x14ac:dyDescent="0.2">
      <c r="A826" s="72">
        <v>1170</v>
      </c>
      <c r="B826" s="224">
        <v>1688</v>
      </c>
      <c r="C826" s="46" t="s">
        <v>7313</v>
      </c>
      <c r="D826" s="46" t="s">
        <v>8614</v>
      </c>
      <c r="E826" s="114"/>
      <c r="F826" s="114" t="s">
        <v>4923</v>
      </c>
      <c r="G826" s="225">
        <v>1024573</v>
      </c>
      <c r="H826" s="47" t="s">
        <v>4924</v>
      </c>
      <c r="I826" s="47" t="s">
        <v>8064</v>
      </c>
      <c r="J826" s="47" t="s">
        <v>4925</v>
      </c>
      <c r="K826" s="47" t="s">
        <v>4926</v>
      </c>
      <c r="L826" s="47" t="s">
        <v>617</v>
      </c>
      <c r="M826" s="239" t="s">
        <v>6080</v>
      </c>
      <c r="N826" s="47" t="s">
        <v>6376</v>
      </c>
      <c r="O826" s="47" t="s">
        <v>6083</v>
      </c>
      <c r="P826" s="53"/>
      <c r="Q826" s="53"/>
      <c r="R826" s="53"/>
      <c r="S826" s="53"/>
      <c r="T826" s="48">
        <v>389.31</v>
      </c>
      <c r="U826" s="98">
        <v>0.20000000000000004</v>
      </c>
      <c r="V826" s="98">
        <v>0.19909999999999997</v>
      </c>
      <c r="W826" s="98">
        <v>0.29532183573461096</v>
      </c>
      <c r="X826" s="98">
        <v>0.20000000000000004</v>
      </c>
      <c r="Y826" s="233">
        <v>7</v>
      </c>
      <c r="Z826" s="48">
        <v>4.5599999999999996</v>
      </c>
      <c r="AA826" s="48">
        <v>4.9800000000000004</v>
      </c>
      <c r="AB826" s="48">
        <v>5.21</v>
      </c>
      <c r="AC826" s="48">
        <v>0.74870000000000003</v>
      </c>
      <c r="AD826" s="48">
        <v>5.29</v>
      </c>
      <c r="AE826" s="48">
        <v>5.47</v>
      </c>
      <c r="AF826" s="48">
        <f t="shared" si="169"/>
        <v>4.9800000000000004</v>
      </c>
      <c r="AG826" s="49">
        <v>4.0599999999999996</v>
      </c>
      <c r="AH826" s="98">
        <v>2.4499999999999998E-7</v>
      </c>
      <c r="AI826" s="98">
        <v>2.0999999999999999E-5</v>
      </c>
      <c r="AJ826" s="483">
        <f t="shared" si="171"/>
        <v>-4.9994002419481198</v>
      </c>
      <c r="AK826" s="483">
        <f>LOG10(AI826*1000/(0.08206*298.15))</f>
        <v>-3.0663470315787325</v>
      </c>
      <c r="AL826" s="483">
        <f t="shared" si="170"/>
        <v>-3.0663470315787325</v>
      </c>
      <c r="AM826" s="483">
        <v>-9.073599999999999</v>
      </c>
      <c r="AN826" s="226">
        <v>-4.53</v>
      </c>
      <c r="AO826" s="484"/>
      <c r="AP826" s="484"/>
      <c r="AQ826" s="226" t="s">
        <v>6312</v>
      </c>
      <c r="AR826" s="226" t="s">
        <v>6311</v>
      </c>
      <c r="AS826" s="224"/>
      <c r="AT826" s="50" t="s">
        <v>266</v>
      </c>
      <c r="AU826" s="48">
        <v>6</v>
      </c>
      <c r="AV826" s="48">
        <v>120</v>
      </c>
      <c r="AW826" s="48">
        <v>114</v>
      </c>
      <c r="AX826" s="48">
        <v>28</v>
      </c>
      <c r="AY826" s="48" t="s">
        <v>8728</v>
      </c>
      <c r="AZ826" s="48" t="s">
        <v>1563</v>
      </c>
      <c r="BA826" s="48">
        <v>32</v>
      </c>
      <c r="BB826" s="47" t="s">
        <v>2485</v>
      </c>
      <c r="BC826" s="47" t="s">
        <v>8726</v>
      </c>
      <c r="BD826" s="47" t="s">
        <v>8374</v>
      </c>
      <c r="BE826" s="48" t="s">
        <v>2449</v>
      </c>
      <c r="BF826" s="48" t="s">
        <v>272</v>
      </c>
      <c r="BG826" s="48" t="s">
        <v>272</v>
      </c>
      <c r="BH826" s="48" t="s">
        <v>2486</v>
      </c>
      <c r="BI826" s="98">
        <v>2.4915839999999998E-3</v>
      </c>
      <c r="BJ826" s="98">
        <v>24.915839999999999</v>
      </c>
      <c r="BK826" s="48"/>
      <c r="BL826" s="487">
        <v>1.6060518402442177</v>
      </c>
      <c r="BM826" s="47" t="s">
        <v>2487</v>
      </c>
      <c r="BN826" s="48"/>
      <c r="BO826" s="48"/>
      <c r="BP826" s="48"/>
      <c r="BQ826" s="48"/>
      <c r="BR826" s="47" t="e">
        <v>#VALUE!</v>
      </c>
      <c r="BS826" s="48"/>
      <c r="BT826" s="48"/>
      <c r="BU826" s="228"/>
      <c r="BV826" s="48"/>
      <c r="BW826" s="48"/>
      <c r="BX826" s="48"/>
      <c r="BY826" s="48"/>
      <c r="BZ826" s="48"/>
      <c r="CA826" s="48"/>
      <c r="CB826" s="48"/>
      <c r="CC826" s="48"/>
      <c r="CD826" s="48"/>
      <c r="CE826" s="48"/>
      <c r="CF826" s="48"/>
      <c r="CG826" s="48"/>
      <c r="CH826" s="48"/>
      <c r="CI826" s="98"/>
      <c r="CJ826" s="98"/>
      <c r="CK826" s="49">
        <f t="shared" si="167"/>
        <v>6.4459068618365575E-2</v>
      </c>
      <c r="CL826" s="229"/>
      <c r="CM826" s="229"/>
      <c r="CN826" s="229"/>
      <c r="CO826" s="47" t="s">
        <v>2488</v>
      </c>
      <c r="CP826" s="500" t="s">
        <v>2489</v>
      </c>
      <c r="CQ826" s="224">
        <v>-1.9873470673676148</v>
      </c>
      <c r="CR826" s="224">
        <f>10^(CJ826-CQ826)</f>
        <v>97.128586235726445</v>
      </c>
      <c r="CS826" s="230" t="s">
        <v>539</v>
      </c>
      <c r="CT826" s="230"/>
      <c r="CU826" s="230"/>
      <c r="CV826" s="335">
        <f t="shared" si="168"/>
        <v>8.0270221674244198E-3</v>
      </c>
      <c r="CW826" s="230">
        <f t="shared" si="166"/>
        <v>0</v>
      </c>
      <c r="CX826" s="336"/>
      <c r="CY826" s="230" t="s">
        <v>5921</v>
      </c>
    </row>
    <row r="827" spans="1:103" ht="11.25" customHeight="1" x14ac:dyDescent="0.2">
      <c r="A827" s="72">
        <v>1171</v>
      </c>
      <c r="B827" s="224">
        <v>1182</v>
      </c>
      <c r="C827" s="46" t="s">
        <v>7314</v>
      </c>
      <c r="D827" s="46"/>
      <c r="E827" s="114"/>
      <c r="F827" s="114" t="s">
        <v>3261</v>
      </c>
      <c r="G827" s="225">
        <v>1095905</v>
      </c>
      <c r="H827" s="47" t="s">
        <v>3262</v>
      </c>
      <c r="I827" s="47" t="s">
        <v>8065</v>
      </c>
      <c r="J827" s="47" t="s">
        <v>3263</v>
      </c>
      <c r="K827" s="47" t="s">
        <v>426</v>
      </c>
      <c r="L827" s="47"/>
      <c r="M827" s="47"/>
      <c r="N827" s="47"/>
      <c r="O827" s="47"/>
      <c r="P827" s="53"/>
      <c r="Q827" s="53"/>
      <c r="R827" s="53"/>
      <c r="S827" s="53"/>
      <c r="T827" s="48">
        <v>345.92</v>
      </c>
      <c r="U827" s="98">
        <v>120000</v>
      </c>
      <c r="V827" s="98">
        <v>418.80000000000007</v>
      </c>
      <c r="W827" s="98"/>
      <c r="X827" s="98">
        <v>120000</v>
      </c>
      <c r="Y827" s="233"/>
      <c r="Z827" s="48">
        <v>1.4</v>
      </c>
      <c r="AA827" s="48"/>
      <c r="AB827" s="48">
        <v>0</v>
      </c>
      <c r="AC827" s="48">
        <v>0</v>
      </c>
      <c r="AD827" s="48">
        <v>0</v>
      </c>
      <c r="AE827" s="48">
        <v>0</v>
      </c>
      <c r="AF827" s="48"/>
      <c r="AG827" s="49">
        <v>3.83</v>
      </c>
      <c r="AH827" s="98">
        <v>3.1400000000000002E-17</v>
      </c>
      <c r="AI827" s="98"/>
      <c r="AJ827" s="483">
        <f t="shared" si="171"/>
        <v>-14.891636678239436</v>
      </c>
      <c r="AK827" s="483"/>
      <c r="AL827" s="483">
        <f t="shared" si="170"/>
        <v>-14.891636678239436</v>
      </c>
      <c r="AM827" s="483"/>
      <c r="AN827" s="226">
        <v>-9.93</v>
      </c>
      <c r="AO827" s="484"/>
      <c r="AP827" s="484"/>
      <c r="AQ827" s="48" t="s">
        <v>6311</v>
      </c>
      <c r="AR827" s="48" t="s">
        <v>6311</v>
      </c>
      <c r="AS827" s="227"/>
      <c r="AT827" s="50" t="s">
        <v>266</v>
      </c>
      <c r="AU827" s="48">
        <v>6</v>
      </c>
      <c r="AV827" s="48">
        <v>120</v>
      </c>
      <c r="AW827" s="48">
        <v>114</v>
      </c>
      <c r="AX827" s="48">
        <v>28</v>
      </c>
      <c r="AY827" s="48" t="s">
        <v>8728</v>
      </c>
      <c r="AZ827" s="48" t="s">
        <v>1563</v>
      </c>
      <c r="BA827" s="48">
        <v>32</v>
      </c>
      <c r="BB827" s="47" t="s">
        <v>2485</v>
      </c>
      <c r="BC827" s="47" t="s">
        <v>8726</v>
      </c>
      <c r="BD827" s="47" t="s">
        <v>8374</v>
      </c>
      <c r="BE827" s="48" t="s">
        <v>2449</v>
      </c>
      <c r="BF827" s="48" t="s">
        <v>272</v>
      </c>
      <c r="BG827" s="48" t="s">
        <v>272</v>
      </c>
      <c r="BH827" s="48" t="s">
        <v>2486</v>
      </c>
      <c r="BI827" s="98">
        <v>2.2138879999999998E-3</v>
      </c>
      <c r="BJ827" s="98">
        <v>22.13888</v>
      </c>
      <c r="BK827" s="48"/>
      <c r="BL827" s="487">
        <v>982.73329969914403</v>
      </c>
      <c r="BM827" s="47" t="s">
        <v>2487</v>
      </c>
      <c r="BN827" s="48"/>
      <c r="BO827" s="48"/>
      <c r="BP827" s="48"/>
      <c r="BQ827" s="48"/>
      <c r="BR827" s="47" t="e">
        <v>#VALUE!</v>
      </c>
      <c r="BS827" s="48"/>
      <c r="BT827" s="48"/>
      <c r="BU827" s="228">
        <v>1.6050688000000002</v>
      </c>
      <c r="BV827" s="48"/>
      <c r="BW827" s="48"/>
      <c r="BX827" s="48"/>
      <c r="BY827" s="48"/>
      <c r="BZ827" s="48"/>
      <c r="CA827" s="48"/>
      <c r="CB827" s="48"/>
      <c r="CC827" s="48"/>
      <c r="CD827" s="48"/>
      <c r="CE827" s="48"/>
      <c r="CF827" s="48"/>
      <c r="CG827" s="48"/>
      <c r="CH827" s="48"/>
      <c r="CI827" s="98"/>
      <c r="CJ827" s="98"/>
      <c r="CK827" s="49">
        <f t="shared" si="167"/>
        <v>44.389476780177858</v>
      </c>
      <c r="CL827" s="229"/>
      <c r="CM827" s="229"/>
      <c r="CN827" s="229"/>
      <c r="CO827" s="47" t="s">
        <v>2488</v>
      </c>
      <c r="CP827" s="500" t="s">
        <v>2489</v>
      </c>
      <c r="CQ827" s="224" t="s">
        <v>272</v>
      </c>
      <c r="CR827" s="224"/>
      <c r="CS827" s="230" t="s">
        <v>539</v>
      </c>
      <c r="CT827" s="230"/>
      <c r="CU827" s="230"/>
      <c r="CV827" s="335">
        <f t="shared" si="168"/>
        <v>5420.3283996299724</v>
      </c>
      <c r="CW827" s="230">
        <f t="shared" si="166"/>
        <v>1</v>
      </c>
      <c r="CX827" s="336"/>
      <c r="CY827" s="230" t="s">
        <v>5921</v>
      </c>
    </row>
    <row r="828" spans="1:103" ht="11.25" customHeight="1" x14ac:dyDescent="0.2">
      <c r="A828" s="72">
        <v>1172</v>
      </c>
      <c r="B828" s="224">
        <v>1501</v>
      </c>
      <c r="C828" s="46" t="s">
        <v>7315</v>
      </c>
      <c r="D828" s="46"/>
      <c r="E828" s="114"/>
      <c r="F828" s="114" t="s">
        <v>4590</v>
      </c>
      <c r="G828" s="225">
        <v>1111780</v>
      </c>
      <c r="H828" s="47" t="s">
        <v>4591</v>
      </c>
      <c r="I828" s="47" t="s">
        <v>4591</v>
      </c>
      <c r="J828" s="47" t="s">
        <v>4592</v>
      </c>
      <c r="K828" s="47" t="s">
        <v>426</v>
      </c>
      <c r="L828" s="47"/>
      <c r="M828" s="47"/>
      <c r="N828" s="47"/>
      <c r="O828" s="47"/>
      <c r="P828" s="53"/>
      <c r="Q828" s="53"/>
      <c r="R828" s="53"/>
      <c r="S828" s="53"/>
      <c r="T828" s="48">
        <v>78.069999999999993</v>
      </c>
      <c r="U828" s="98"/>
      <c r="V828" s="98">
        <v>1000000</v>
      </c>
      <c r="W828" s="98">
        <v>439019.87257610558</v>
      </c>
      <c r="X828" s="98">
        <v>439019.87257610558</v>
      </c>
      <c r="Y828" s="233">
        <v>7.12</v>
      </c>
      <c r="Z828" s="48">
        <v>-3.67</v>
      </c>
      <c r="AA828" s="48"/>
      <c r="AB828" s="48">
        <v>0</v>
      </c>
      <c r="AC828" s="48">
        <v>0</v>
      </c>
      <c r="AD828" s="48">
        <v>0</v>
      </c>
      <c r="AE828" s="48">
        <v>0</v>
      </c>
      <c r="AF828" s="48"/>
      <c r="AG828" s="49">
        <v>-2.98</v>
      </c>
      <c r="AH828" s="98">
        <v>5.9399999999999998E-19</v>
      </c>
      <c r="AI828" s="98"/>
      <c r="AJ828" s="483">
        <f t="shared" si="171"/>
        <v>-16.614779881331458</v>
      </c>
      <c r="AK828" s="483"/>
      <c r="AL828" s="483">
        <f t="shared" si="170"/>
        <v>-16.614779881331458</v>
      </c>
      <c r="AM828" s="483"/>
      <c r="AN828" s="226"/>
      <c r="AO828" s="484">
        <v>14.83</v>
      </c>
      <c r="AP828" s="484">
        <v>-0.19</v>
      </c>
      <c r="AQ828" s="226" t="s">
        <v>6311</v>
      </c>
      <c r="AR828" s="226" t="s">
        <v>6311</v>
      </c>
      <c r="AS828" s="224"/>
      <c r="AT828" s="50" t="s">
        <v>266</v>
      </c>
      <c r="AU828" s="48">
        <v>6</v>
      </c>
      <c r="AV828" s="48">
        <v>120</v>
      </c>
      <c r="AW828" s="48">
        <v>114</v>
      </c>
      <c r="AX828" s="48">
        <v>28</v>
      </c>
      <c r="AY828" s="48" t="s">
        <v>8728</v>
      </c>
      <c r="AZ828" s="48" t="s">
        <v>1563</v>
      </c>
      <c r="BA828" s="48">
        <v>32</v>
      </c>
      <c r="BB828" s="47" t="s">
        <v>2485</v>
      </c>
      <c r="BC828" s="47" t="s">
        <v>8726</v>
      </c>
      <c r="BD828" s="47" t="s">
        <v>8374</v>
      </c>
      <c r="BE828" s="48" t="s">
        <v>2449</v>
      </c>
      <c r="BF828" s="48" t="s">
        <v>272</v>
      </c>
      <c r="BG828" s="48" t="s">
        <v>272</v>
      </c>
      <c r="BH828" s="48" t="s">
        <v>2486</v>
      </c>
      <c r="BI828" s="98">
        <v>4.9964799999999989E-4</v>
      </c>
      <c r="BJ828" s="98">
        <v>4.99648</v>
      </c>
      <c r="BK828" s="48"/>
      <c r="BL828" s="487">
        <v>7930693.7461196491</v>
      </c>
      <c r="BM828" s="47" t="s">
        <v>2487</v>
      </c>
      <c r="BN828" s="48"/>
      <c r="BO828" s="48"/>
      <c r="BP828" s="48"/>
      <c r="BQ828" s="48"/>
      <c r="BR828" s="47" t="e">
        <v>#VALUE!</v>
      </c>
      <c r="BS828" s="48"/>
      <c r="BT828" s="48"/>
      <c r="BU828" s="228"/>
      <c r="BV828" s="48"/>
      <c r="BW828" s="48"/>
      <c r="BX828" s="48"/>
      <c r="BY828" s="48"/>
      <c r="BZ828" s="48"/>
      <c r="CA828" s="48"/>
      <c r="CB828" s="48"/>
      <c r="CC828" s="48"/>
      <c r="CD828" s="48"/>
      <c r="CE828" s="48"/>
      <c r="CF828" s="48"/>
      <c r="CG828" s="48"/>
      <c r="CH828" s="48"/>
      <c r="CI828" s="98"/>
      <c r="CJ828" s="98"/>
      <c r="CK828" s="49">
        <f t="shared" si="167"/>
        <v>1587256.1775729412</v>
      </c>
      <c r="CL828" s="229"/>
      <c r="CM828" s="229"/>
      <c r="CN828" s="229"/>
      <c r="CO828" s="47" t="s">
        <v>2488</v>
      </c>
      <c r="CP828" s="500" t="s">
        <v>2489</v>
      </c>
      <c r="CQ828" s="224" t="s">
        <v>272</v>
      </c>
      <c r="CR828" s="224"/>
      <c r="CS828" s="230" t="s">
        <v>539</v>
      </c>
      <c r="CT828" s="230"/>
      <c r="CU828" s="230"/>
      <c r="CV828" s="335">
        <f t="shared" si="168"/>
        <v>87865.832060992048</v>
      </c>
      <c r="CW828" s="230">
        <f t="shared" si="166"/>
        <v>1</v>
      </c>
      <c r="CX828" s="336"/>
      <c r="CY828" s="230" t="s">
        <v>6351</v>
      </c>
    </row>
    <row r="829" spans="1:103" ht="11.25" customHeight="1" x14ac:dyDescent="0.2">
      <c r="A829" s="72">
        <v>1173</v>
      </c>
      <c r="B829" s="224">
        <v>1618</v>
      </c>
      <c r="C829" s="46" t="s">
        <v>7316</v>
      </c>
      <c r="D829" s="46"/>
      <c r="E829" s="114"/>
      <c r="F829" s="114" t="s">
        <v>4796</v>
      </c>
      <c r="G829" s="225">
        <v>1119400</v>
      </c>
      <c r="H829" s="47" t="s">
        <v>4797</v>
      </c>
      <c r="I829" s="47" t="s">
        <v>4797</v>
      </c>
      <c r="J829" s="47" t="s">
        <v>4798</v>
      </c>
      <c r="K829" s="47" t="s">
        <v>357</v>
      </c>
      <c r="L829" s="47"/>
      <c r="M829" s="47"/>
      <c r="N829" s="47"/>
      <c r="O829" s="47"/>
      <c r="P829" s="53"/>
      <c r="Q829" s="53"/>
      <c r="R829" s="53"/>
      <c r="S829" s="53"/>
      <c r="T829" s="48">
        <v>160.16999999999999</v>
      </c>
      <c r="U829" s="98">
        <v>59000</v>
      </c>
      <c r="V829" s="98">
        <v>20190</v>
      </c>
      <c r="W829" s="98">
        <v>26581.603496427397</v>
      </c>
      <c r="X829" s="98">
        <v>59000</v>
      </c>
      <c r="Y829" s="233">
        <v>7</v>
      </c>
      <c r="Z829" s="48">
        <v>0.9</v>
      </c>
      <c r="AA829" s="48">
        <v>0.62</v>
      </c>
      <c r="AB829" s="48">
        <v>0.81</v>
      </c>
      <c r="AC829" s="48">
        <v>0.9153</v>
      </c>
      <c r="AD829" s="48">
        <v>0.77</v>
      </c>
      <c r="AE829" s="48">
        <v>0.62</v>
      </c>
      <c r="AF829" s="48">
        <f t="shared" ref="AF829:AF856" si="172">IF(AA829=0,AD829,AA829)</f>
        <v>0.62</v>
      </c>
      <c r="AG829" s="49">
        <v>0.54</v>
      </c>
      <c r="AH829" s="98">
        <v>7.3600000000000003E-7</v>
      </c>
      <c r="AI829" s="98">
        <v>6.4300000000000003E-7</v>
      </c>
      <c r="AJ829" s="483">
        <f t="shared" si="171"/>
        <v>-4.5216885119751531</v>
      </c>
      <c r="AK829" s="483">
        <f>LOG10(AI829*1000/(0.08206*298.15))</f>
        <v>-4.5803553533884296</v>
      </c>
      <c r="AL829" s="483">
        <f t="shared" si="170"/>
        <v>-4.5803553533884296</v>
      </c>
      <c r="AM829" s="483">
        <v>-5.8690799999999994</v>
      </c>
      <c r="AN829" s="226">
        <v>-5.77</v>
      </c>
      <c r="AO829" s="484"/>
      <c r="AP829" s="484"/>
      <c r="AQ829" s="226" t="s">
        <v>6311</v>
      </c>
      <c r="AR829" s="226" t="s">
        <v>6312</v>
      </c>
      <c r="AS829" s="224"/>
      <c r="AT829" s="50" t="s">
        <v>266</v>
      </c>
      <c r="AU829" s="48">
        <v>6</v>
      </c>
      <c r="AV829" s="48">
        <v>120</v>
      </c>
      <c r="AW829" s="48">
        <v>114</v>
      </c>
      <c r="AX829" s="48">
        <v>28</v>
      </c>
      <c r="AY829" s="48" t="s">
        <v>8728</v>
      </c>
      <c r="AZ829" s="48" t="s">
        <v>1563</v>
      </c>
      <c r="BA829" s="48">
        <v>32</v>
      </c>
      <c r="BB829" s="47" t="s">
        <v>2485</v>
      </c>
      <c r="BC829" s="47" t="s">
        <v>8726</v>
      </c>
      <c r="BD829" s="47" t="s">
        <v>8374</v>
      </c>
      <c r="BE829" s="48" t="s">
        <v>2449</v>
      </c>
      <c r="BF829" s="48" t="s">
        <v>272</v>
      </c>
      <c r="BG829" s="48" t="s">
        <v>272</v>
      </c>
      <c r="BH829" s="48" t="s">
        <v>2486</v>
      </c>
      <c r="BI829" s="98">
        <v>1.025088E-3</v>
      </c>
      <c r="BJ829" s="98">
        <v>10.250879999999999</v>
      </c>
      <c r="BK829" s="48"/>
      <c r="BL829" s="487">
        <v>1279.6499250578725</v>
      </c>
      <c r="BM829" s="47" t="s">
        <v>2487</v>
      </c>
      <c r="BN829" s="233"/>
      <c r="BO829" s="233"/>
      <c r="BP829" s="233"/>
      <c r="BQ829" s="233"/>
      <c r="BR829" s="47" t="e">
        <v>#VALUE!</v>
      </c>
      <c r="BS829" s="48"/>
      <c r="BT829" s="233"/>
      <c r="BU829" s="228"/>
      <c r="BV829" s="233"/>
      <c r="BW829" s="233"/>
      <c r="BX829" s="233"/>
      <c r="BY829" s="233"/>
      <c r="BZ829" s="233"/>
      <c r="CA829" s="233"/>
      <c r="CB829" s="233"/>
      <c r="CC829" s="48"/>
      <c r="CD829" s="48"/>
      <c r="CE829" s="48"/>
      <c r="CF829" s="48"/>
      <c r="CG829" s="48"/>
      <c r="CH829" s="48"/>
      <c r="CI829" s="98"/>
      <c r="CJ829" s="98"/>
      <c r="CK829" s="49">
        <f t="shared" si="167"/>
        <v>124.83317774258138</v>
      </c>
      <c r="CL829" s="229"/>
      <c r="CM829" s="229"/>
      <c r="CN829" s="229"/>
      <c r="CO829" s="47" t="s">
        <v>2488</v>
      </c>
      <c r="CP829" s="500" t="s">
        <v>2489</v>
      </c>
      <c r="CQ829" s="224" t="s">
        <v>272</v>
      </c>
      <c r="CR829" s="224"/>
      <c r="CS829" s="230" t="s">
        <v>539</v>
      </c>
      <c r="CT829" s="230"/>
      <c r="CU829" s="230"/>
      <c r="CV829" s="335">
        <f t="shared" si="168"/>
        <v>5755.6034213648009</v>
      </c>
      <c r="CW829" s="230">
        <f t="shared" si="166"/>
        <v>1</v>
      </c>
      <c r="CX829" s="336"/>
      <c r="CY829" s="230" t="s">
        <v>6351</v>
      </c>
    </row>
    <row r="830" spans="1:103" ht="11.25" customHeight="1" x14ac:dyDescent="0.2">
      <c r="A830" s="72">
        <v>1174</v>
      </c>
      <c r="B830" s="224">
        <v>1930</v>
      </c>
      <c r="C830" s="46" t="s">
        <v>7317</v>
      </c>
      <c r="D830" s="46"/>
      <c r="E830" s="114"/>
      <c r="F830" s="114" t="s">
        <v>5421</v>
      </c>
      <c r="G830" s="225">
        <v>1120214</v>
      </c>
      <c r="H830" s="47" t="s">
        <v>5422</v>
      </c>
      <c r="I830" s="47" t="s">
        <v>5422</v>
      </c>
      <c r="J830" s="47" t="s">
        <v>4067</v>
      </c>
      <c r="K830" s="47" t="s">
        <v>426</v>
      </c>
      <c r="L830" s="47"/>
      <c r="M830" s="47"/>
      <c r="N830" s="47"/>
      <c r="O830" s="47"/>
      <c r="P830" s="53"/>
      <c r="Q830" s="53"/>
      <c r="R830" s="53"/>
      <c r="S830" s="53"/>
      <c r="T830" s="48">
        <v>156.31</v>
      </c>
      <c r="U830" s="98">
        <v>4.4000000000000003E-3</v>
      </c>
      <c r="V830" s="98">
        <v>0.2571</v>
      </c>
      <c r="W830" s="98">
        <v>6.5160853330248096E-3</v>
      </c>
      <c r="X830" s="98">
        <v>4.4000000000000003E-3</v>
      </c>
      <c r="Y830" s="233">
        <v>7</v>
      </c>
      <c r="Z830" s="48">
        <v>5.74</v>
      </c>
      <c r="AA830" s="48"/>
      <c r="AB830" s="48">
        <v>6.05</v>
      </c>
      <c r="AC830" s="48">
        <v>0.7782</v>
      </c>
      <c r="AD830" s="48">
        <v>6.24</v>
      </c>
      <c r="AE830" s="48">
        <v>6.6</v>
      </c>
      <c r="AF830" s="48">
        <f t="shared" si="172"/>
        <v>6.24</v>
      </c>
      <c r="AG830" s="49">
        <v>3.46</v>
      </c>
      <c r="AH830" s="98">
        <v>7.04</v>
      </c>
      <c r="AI830" s="98">
        <v>1.93</v>
      </c>
      <c r="AJ830" s="483">
        <f t="shared" si="171"/>
        <v>2.4590063328294605</v>
      </c>
      <c r="AK830" s="483">
        <f>LOG10(AI830*1000/(0.08206*298.15))</f>
        <v>1.8969909826951219</v>
      </c>
      <c r="AL830" s="483">
        <f t="shared" si="170"/>
        <v>1.8969909826951219</v>
      </c>
      <c r="AM830" s="483">
        <v>-0.69325000000000003</v>
      </c>
      <c r="AN830" s="226">
        <v>-8.42</v>
      </c>
      <c r="AO830" s="484"/>
      <c r="AP830" s="484"/>
      <c r="AQ830" s="226" t="s">
        <v>6311</v>
      </c>
      <c r="AR830" s="226" t="s">
        <v>6311</v>
      </c>
      <c r="AS830" s="224"/>
      <c r="AT830" s="50" t="s">
        <v>266</v>
      </c>
      <c r="AU830" s="48">
        <v>6</v>
      </c>
      <c r="AV830" s="48">
        <v>120</v>
      </c>
      <c r="AW830" s="48">
        <v>114</v>
      </c>
      <c r="AX830" s="48">
        <v>28</v>
      </c>
      <c r="AY830" s="48" t="s">
        <v>8728</v>
      </c>
      <c r="AZ830" s="48" t="s">
        <v>1563</v>
      </c>
      <c r="BA830" s="48">
        <v>32</v>
      </c>
      <c r="BB830" s="47" t="s">
        <v>2485</v>
      </c>
      <c r="BC830" s="47" t="s">
        <v>8726</v>
      </c>
      <c r="BD830" s="47" t="s">
        <v>8374</v>
      </c>
      <c r="BE830" s="48" t="s">
        <v>2449</v>
      </c>
      <c r="BF830" s="48" t="s">
        <v>272</v>
      </c>
      <c r="BG830" s="48" t="s">
        <v>272</v>
      </c>
      <c r="BH830" s="48" t="s">
        <v>2486</v>
      </c>
      <c r="BI830" s="98">
        <v>1.000384E-3</v>
      </c>
      <c r="BJ830" s="98">
        <v>10.00384</v>
      </c>
      <c r="BK830" s="48"/>
      <c r="BL830" s="487">
        <v>5.6194364361183191E-2</v>
      </c>
      <c r="BM830" s="47" t="s">
        <v>2487</v>
      </c>
      <c r="BN830" s="48"/>
      <c r="BO830" s="48"/>
      <c r="BP830" s="48"/>
      <c r="BQ830" s="48"/>
      <c r="BR830" s="47" t="e">
        <v>#VALUE!</v>
      </c>
      <c r="BS830" s="48"/>
      <c r="BT830" s="48"/>
      <c r="BU830" s="228"/>
      <c r="BV830" s="48"/>
      <c r="BW830" s="48"/>
      <c r="BX830" s="48"/>
      <c r="BY830" s="48"/>
      <c r="BZ830" s="48"/>
      <c r="CA830" s="48"/>
      <c r="CB830" s="48"/>
      <c r="CC830" s="48"/>
      <c r="CD830" s="48"/>
      <c r="CE830" s="48"/>
      <c r="CF830" s="48"/>
      <c r="CG830" s="48"/>
      <c r="CH830" s="48"/>
      <c r="CI830" s="98"/>
      <c r="CJ830" s="98"/>
      <c r="CK830" s="49">
        <f t="shared" si="167"/>
        <v>5.617279400828401E-3</v>
      </c>
      <c r="CL830" s="229"/>
      <c r="CM830" s="229"/>
      <c r="CN830" s="229"/>
      <c r="CO830" s="47" t="s">
        <v>2488</v>
      </c>
      <c r="CP830" s="500" t="s">
        <v>2489</v>
      </c>
      <c r="CQ830" s="224" t="s">
        <v>272</v>
      </c>
      <c r="CR830" s="224"/>
      <c r="CS830" s="230" t="s">
        <v>539</v>
      </c>
      <c r="CT830" s="230"/>
      <c r="CU830" s="230"/>
      <c r="CV830" s="335">
        <f t="shared" si="168"/>
        <v>4.3983110485573543E-4</v>
      </c>
      <c r="CW830" s="230">
        <f t="shared" si="166"/>
        <v>0</v>
      </c>
      <c r="CX830" s="336"/>
      <c r="CY830" s="230" t="s">
        <v>6351</v>
      </c>
    </row>
    <row r="831" spans="1:103" ht="11.25" customHeight="1" x14ac:dyDescent="0.2">
      <c r="A831" s="72">
        <v>1175</v>
      </c>
      <c r="B831" s="224">
        <v>906</v>
      </c>
      <c r="C831" s="46" t="s">
        <v>7318</v>
      </c>
      <c r="D831" s="46"/>
      <c r="E831" s="114"/>
      <c r="F831" s="114" t="s">
        <v>2587</v>
      </c>
      <c r="G831" s="225">
        <v>1120714</v>
      </c>
      <c r="H831" s="47" t="s">
        <v>2588</v>
      </c>
      <c r="I831" s="47" t="s">
        <v>2588</v>
      </c>
      <c r="J831" s="47"/>
      <c r="K831" s="47" t="s">
        <v>357</v>
      </c>
      <c r="L831" s="47"/>
      <c r="M831" s="47"/>
      <c r="N831" s="47"/>
      <c r="O831" s="47"/>
      <c r="P831" s="53"/>
      <c r="Q831" s="53"/>
      <c r="R831" s="53"/>
      <c r="S831" s="53"/>
      <c r="T831" s="48">
        <v>122.14</v>
      </c>
      <c r="U831" s="98"/>
      <c r="V831" s="98">
        <v>170700</v>
      </c>
      <c r="W831" s="98">
        <v>62640.889440705301</v>
      </c>
      <c r="X831" s="98">
        <v>62640.889440705301</v>
      </c>
      <c r="Y831" s="233">
        <v>7</v>
      </c>
      <c r="Z831" s="48">
        <v>-0.28000000000000003</v>
      </c>
      <c r="AA831" s="48"/>
      <c r="AB831" s="48">
        <v>-0.49</v>
      </c>
      <c r="AC831" s="48">
        <v>0.56930000000000003</v>
      </c>
      <c r="AD831" s="48">
        <v>-0.59</v>
      </c>
      <c r="AE831" s="48">
        <v>-0.69</v>
      </c>
      <c r="AF831" s="48">
        <f t="shared" si="172"/>
        <v>-0.59</v>
      </c>
      <c r="AG831" s="49">
        <v>-0.59</v>
      </c>
      <c r="AH831" s="98">
        <v>2.3599999999999999E-6</v>
      </c>
      <c r="AI831" s="98"/>
      <c r="AJ831" s="483">
        <f t="shared" si="171"/>
        <v>-4.0156543233425452</v>
      </c>
      <c r="AK831" s="483"/>
      <c r="AL831" s="483">
        <f t="shared" si="170"/>
        <v>-4.0156543233425452</v>
      </c>
      <c r="AM831" s="483">
        <v>-6.7350999999999992</v>
      </c>
      <c r="AN831" s="226"/>
      <c r="AO831" s="484"/>
      <c r="AP831" s="484"/>
      <c r="AQ831" s="48" t="s">
        <v>6311</v>
      </c>
      <c r="AR831" s="48" t="s">
        <v>6311</v>
      </c>
      <c r="AS831" s="227"/>
      <c r="AT831" s="50" t="s">
        <v>266</v>
      </c>
      <c r="AU831" s="48">
        <v>6</v>
      </c>
      <c r="AV831" s="48">
        <v>120</v>
      </c>
      <c r="AW831" s="48">
        <v>114</v>
      </c>
      <c r="AX831" s="48">
        <v>28</v>
      </c>
      <c r="AY831" s="48" t="s">
        <v>8728</v>
      </c>
      <c r="AZ831" s="48" t="s">
        <v>1563</v>
      </c>
      <c r="BA831" s="48">
        <v>32</v>
      </c>
      <c r="BB831" s="47" t="s">
        <v>2485</v>
      </c>
      <c r="BC831" s="47" t="s">
        <v>8726</v>
      </c>
      <c r="BD831" s="47" t="s">
        <v>8374</v>
      </c>
      <c r="BE831" s="48" t="s">
        <v>2449</v>
      </c>
      <c r="BF831" s="48" t="s">
        <v>272</v>
      </c>
      <c r="BG831" s="48" t="s">
        <v>272</v>
      </c>
      <c r="BH831" s="48" t="s">
        <v>2486</v>
      </c>
      <c r="BI831" s="98">
        <v>7.8169600000000002E-4</v>
      </c>
      <c r="BJ831" s="98">
        <v>7.8169599999999999</v>
      </c>
      <c r="BK831" s="48"/>
      <c r="BL831" s="487">
        <v>11197.624908504318</v>
      </c>
      <c r="BM831" s="47" t="s">
        <v>2487</v>
      </c>
      <c r="BN831" s="48"/>
      <c r="BO831" s="48"/>
      <c r="BP831" s="48"/>
      <c r="BQ831" s="48"/>
      <c r="BR831" s="47" t="e">
        <v>#VALUE!</v>
      </c>
      <c r="BS831" s="48"/>
      <c r="BT831" s="48"/>
      <c r="BU831" s="228">
        <v>7.8169599999999995E-3</v>
      </c>
      <c r="BV831" s="48"/>
      <c r="BW831" s="48"/>
      <c r="BX831" s="48"/>
      <c r="BY831" s="48"/>
      <c r="BZ831" s="48"/>
      <c r="CA831" s="48"/>
      <c r="CB831" s="48"/>
      <c r="CC831" s="48"/>
      <c r="CD831" s="48"/>
      <c r="CE831" s="48"/>
      <c r="CF831" s="48"/>
      <c r="CG831" s="48"/>
      <c r="CH831" s="48"/>
      <c r="CI831" s="98"/>
      <c r="CJ831" s="98"/>
      <c r="CK831" s="49">
        <f t="shared" si="167"/>
        <v>1432.4782151251022</v>
      </c>
      <c r="CL831" s="229"/>
      <c r="CM831" s="229"/>
      <c r="CN831" s="229"/>
      <c r="CO831" s="47" t="s">
        <v>2488</v>
      </c>
      <c r="CP831" s="500" t="s">
        <v>2489</v>
      </c>
      <c r="CQ831" s="224" t="s">
        <v>272</v>
      </c>
      <c r="CR831" s="224"/>
      <c r="CS831" s="230" t="s">
        <v>539</v>
      </c>
      <c r="CT831" s="230"/>
      <c r="CU831" s="230"/>
      <c r="CV831" s="335">
        <f t="shared" si="168"/>
        <v>8013.4591248650759</v>
      </c>
      <c r="CW831" s="230">
        <f t="shared" si="166"/>
        <v>1</v>
      </c>
      <c r="CX831" s="336"/>
      <c r="CY831" s="230" t="s">
        <v>6351</v>
      </c>
    </row>
    <row r="832" spans="1:103" ht="11.25" customHeight="1" x14ac:dyDescent="0.2">
      <c r="A832" s="72">
        <v>1177</v>
      </c>
      <c r="B832" s="224">
        <v>1567</v>
      </c>
      <c r="C832" s="46" t="s">
        <v>7319</v>
      </c>
      <c r="D832" s="46" t="s">
        <v>8615</v>
      </c>
      <c r="E832" s="114"/>
      <c r="F832" s="114" t="s">
        <v>3780</v>
      </c>
      <c r="G832" s="225">
        <v>1134232</v>
      </c>
      <c r="H832" s="47" t="s">
        <v>3781</v>
      </c>
      <c r="I832" s="47" t="s">
        <v>3781</v>
      </c>
      <c r="J832" s="47" t="s">
        <v>3782</v>
      </c>
      <c r="K832" s="47" t="s">
        <v>1499</v>
      </c>
      <c r="L832" s="47" t="s">
        <v>5248</v>
      </c>
      <c r="M832" s="47" t="s">
        <v>6082</v>
      </c>
      <c r="N832" s="47" t="s">
        <v>6082</v>
      </c>
      <c r="O832" s="47" t="s">
        <v>6083</v>
      </c>
      <c r="P832" s="53"/>
      <c r="Q832" s="53"/>
      <c r="R832" s="53"/>
      <c r="S832" s="53"/>
      <c r="T832" s="48">
        <v>215.36</v>
      </c>
      <c r="U832" s="98">
        <v>85</v>
      </c>
      <c r="V832" s="98">
        <v>17.690000000000001</v>
      </c>
      <c r="W832" s="98">
        <v>65.037680250577822</v>
      </c>
      <c r="X832" s="98">
        <v>85</v>
      </c>
      <c r="Y832" s="233">
        <v>7</v>
      </c>
      <c r="Z832" s="48">
        <v>3.81</v>
      </c>
      <c r="AA832" s="48">
        <v>3.88</v>
      </c>
      <c r="AB832" s="48">
        <v>3.64</v>
      </c>
      <c r="AC832" s="48">
        <v>0.79579999999999995</v>
      </c>
      <c r="AD832" s="48">
        <v>3.7</v>
      </c>
      <c r="AE832" s="48">
        <v>3.83</v>
      </c>
      <c r="AF832" s="48">
        <f t="shared" si="172"/>
        <v>3.88</v>
      </c>
      <c r="AG832" s="49">
        <v>3.04</v>
      </c>
      <c r="AH832" s="98">
        <v>1.2E-5</v>
      </c>
      <c r="AI832" s="98">
        <v>6.7000000000000002E-6</v>
      </c>
      <c r="AJ832" s="483">
        <f t="shared" si="171"/>
        <v>-3.3093850802650269</v>
      </c>
      <c r="AK832" s="483">
        <f>LOG10(AI832*1000/(0.08206*298.15))</f>
        <v>-3.5624915236118255</v>
      </c>
      <c r="AL832" s="483">
        <f t="shared" si="170"/>
        <v>-3.5624915236118255</v>
      </c>
      <c r="AM832" s="483">
        <v>-8.6158000000000001</v>
      </c>
      <c r="AN832" s="226">
        <v>-3.56</v>
      </c>
      <c r="AO832" s="484"/>
      <c r="AP832" s="484">
        <v>-1.3</v>
      </c>
      <c r="AQ832" s="48" t="s">
        <v>6311</v>
      </c>
      <c r="AR832" s="48" t="s">
        <v>6311</v>
      </c>
      <c r="AS832" s="227"/>
      <c r="AT832" s="50" t="s">
        <v>266</v>
      </c>
      <c r="AU832" s="48">
        <v>6</v>
      </c>
      <c r="AV832" s="48">
        <v>120</v>
      </c>
      <c r="AW832" s="48">
        <v>114</v>
      </c>
      <c r="AX832" s="48">
        <v>28</v>
      </c>
      <c r="AY832" s="48" t="s">
        <v>8728</v>
      </c>
      <c r="AZ832" s="48" t="s">
        <v>1563</v>
      </c>
      <c r="BA832" s="48">
        <v>32</v>
      </c>
      <c r="BB832" s="47" t="s">
        <v>2485</v>
      </c>
      <c r="BC832" s="47" t="s">
        <v>8726</v>
      </c>
      <c r="BD832" s="47" t="s">
        <v>8374</v>
      </c>
      <c r="BE832" s="48" t="s">
        <v>2449</v>
      </c>
      <c r="BF832" s="48" t="s">
        <v>272</v>
      </c>
      <c r="BG832" s="48" t="s">
        <v>272</v>
      </c>
      <c r="BH832" s="48" t="s">
        <v>2486</v>
      </c>
      <c r="BI832" s="98">
        <v>1.3783040000000001E-3</v>
      </c>
      <c r="BJ832" s="98">
        <v>13.783040000000002</v>
      </c>
      <c r="BK832" s="48"/>
      <c r="BL832" s="487">
        <v>4.1899037116722635</v>
      </c>
      <c r="BM832" s="47" t="s">
        <v>2487</v>
      </c>
      <c r="BN832" s="48"/>
      <c r="BO832" s="48"/>
      <c r="BP832" s="48"/>
      <c r="BQ832" s="48"/>
      <c r="BR832" s="47" t="e">
        <v>#VALUE!</v>
      </c>
      <c r="BS832" s="48"/>
      <c r="BT832" s="48"/>
      <c r="BU832" s="228"/>
      <c r="BV832" s="48"/>
      <c r="BW832" s="48"/>
      <c r="BX832" s="48"/>
      <c r="BY832" s="48"/>
      <c r="BZ832" s="48"/>
      <c r="CA832" s="48"/>
      <c r="CB832" s="48"/>
      <c r="CC832" s="48"/>
      <c r="CD832" s="48"/>
      <c r="CE832" s="48"/>
      <c r="CF832" s="48"/>
      <c r="CG832" s="48"/>
      <c r="CH832" s="48"/>
      <c r="CI832" s="98"/>
      <c r="CJ832" s="98"/>
      <c r="CK832" s="49">
        <f t="shared" si="167"/>
        <v>0.30398981006166004</v>
      </c>
      <c r="CL832" s="229"/>
      <c r="CM832" s="229"/>
      <c r="CN832" s="229"/>
      <c r="CO832" s="47" t="s">
        <v>2488</v>
      </c>
      <c r="CP832" s="500" t="s">
        <v>2489</v>
      </c>
      <c r="CQ832" s="224">
        <v>0.75331942926120909</v>
      </c>
      <c r="CR832" s="224">
        <f>10^(CJ832-CQ832)</f>
        <v>0.17647393543911954</v>
      </c>
      <c r="CS832" s="230" t="s">
        <v>539</v>
      </c>
      <c r="CT832" s="230"/>
      <c r="CU832" s="230"/>
      <c r="CV832" s="335">
        <f t="shared" si="168"/>
        <v>6.1669994427934611</v>
      </c>
      <c r="CW832" s="230">
        <f t="shared" si="166"/>
        <v>1</v>
      </c>
      <c r="CX832" s="336"/>
      <c r="CY832" s="230" t="s">
        <v>5921</v>
      </c>
    </row>
    <row r="833" spans="1:103" ht="11.25" customHeight="1" x14ac:dyDescent="0.2">
      <c r="A833" s="72">
        <v>1178</v>
      </c>
      <c r="B833" s="224">
        <v>1504</v>
      </c>
      <c r="C833" s="46" t="s">
        <v>7320</v>
      </c>
      <c r="D833" s="46"/>
      <c r="E833" s="114"/>
      <c r="F833" s="114" t="s">
        <v>4596</v>
      </c>
      <c r="G833" s="225">
        <v>1143380</v>
      </c>
      <c r="H833" s="47" t="s">
        <v>4597</v>
      </c>
      <c r="I833" s="47" t="s">
        <v>4597</v>
      </c>
      <c r="J833" s="47" t="s">
        <v>4598</v>
      </c>
      <c r="K833" s="47" t="s">
        <v>376</v>
      </c>
      <c r="L833" s="47"/>
      <c r="M833" s="47"/>
      <c r="N833" s="47"/>
      <c r="O833" s="47"/>
      <c r="P833" s="53"/>
      <c r="Q833" s="53"/>
      <c r="R833" s="53"/>
      <c r="S833" s="53"/>
      <c r="T833" s="48">
        <v>226.23</v>
      </c>
      <c r="U833" s="98"/>
      <c r="V833" s="98">
        <v>1.635</v>
      </c>
      <c r="W833" s="98">
        <v>14.946867874275831</v>
      </c>
      <c r="X833" s="98">
        <v>14.946867874275831</v>
      </c>
      <c r="Y833" s="233">
        <v>5.67</v>
      </c>
      <c r="Z833" s="48">
        <v>4.4000000000000004</v>
      </c>
      <c r="AA833" s="48"/>
      <c r="AB833" s="48">
        <v>3.85</v>
      </c>
      <c r="AC833" s="48">
        <v>0.66379999999999995</v>
      </c>
      <c r="AD833" s="48">
        <v>3.98</v>
      </c>
      <c r="AE833" s="48">
        <v>4.16</v>
      </c>
      <c r="AF833" s="48">
        <f t="shared" si="172"/>
        <v>3.98</v>
      </c>
      <c r="AG833" s="49">
        <v>3.01</v>
      </c>
      <c r="AH833" s="98">
        <v>1.35E-8</v>
      </c>
      <c r="AI833" s="98"/>
      <c r="AJ833" s="483">
        <f t="shared" si="171"/>
        <v>-6.2582325578176459</v>
      </c>
      <c r="AK833" s="483"/>
      <c r="AL833" s="483">
        <f t="shared" si="170"/>
        <v>-6.2582325578176459</v>
      </c>
      <c r="AM833" s="483">
        <v>-11.100739999999998</v>
      </c>
      <c r="AN833" s="226">
        <v>-15.5</v>
      </c>
      <c r="AO833" s="484">
        <v>7.16</v>
      </c>
      <c r="AP833" s="484"/>
      <c r="AQ833" s="48" t="s">
        <v>6311</v>
      </c>
      <c r="AR833" s="48" t="s">
        <v>6311</v>
      </c>
      <c r="AS833" s="227"/>
      <c r="AT833" s="50" t="s">
        <v>266</v>
      </c>
      <c r="AU833" s="48">
        <v>6</v>
      </c>
      <c r="AV833" s="48">
        <v>120</v>
      </c>
      <c r="AW833" s="48">
        <v>114</v>
      </c>
      <c r="AX833" s="48">
        <v>28</v>
      </c>
      <c r="AY833" s="48" t="s">
        <v>8728</v>
      </c>
      <c r="AZ833" s="48" t="s">
        <v>1563</v>
      </c>
      <c r="BA833" s="48">
        <v>32</v>
      </c>
      <c r="BB833" s="47" t="s">
        <v>2485</v>
      </c>
      <c r="BC833" s="47" t="s">
        <v>8726</v>
      </c>
      <c r="BD833" s="47" t="s">
        <v>8374</v>
      </c>
      <c r="BE833" s="48" t="s">
        <v>2449</v>
      </c>
      <c r="BF833" s="48" t="s">
        <v>272</v>
      </c>
      <c r="BG833" s="48" t="s">
        <v>272</v>
      </c>
      <c r="BH833" s="48" t="s">
        <v>2486</v>
      </c>
      <c r="BI833" s="98">
        <v>1.4478719999999998E-3</v>
      </c>
      <c r="BJ833" s="98">
        <v>14.478719999999999</v>
      </c>
      <c r="BK833" s="48"/>
      <c r="BL833" s="487">
        <v>1.2993022649304728</v>
      </c>
      <c r="BM833" s="47" t="s">
        <v>2487</v>
      </c>
      <c r="BN833" s="48"/>
      <c r="BO833" s="48"/>
      <c r="BP833" s="48"/>
      <c r="BQ833" s="48"/>
      <c r="BR833" s="47" t="e">
        <v>#VALUE!</v>
      </c>
      <c r="BS833" s="48"/>
      <c r="BT833" s="48"/>
      <c r="BU833" s="228"/>
      <c r="BV833" s="48"/>
      <c r="BW833" s="48"/>
      <c r="BX833" s="48"/>
      <c r="BY833" s="48"/>
      <c r="BZ833" s="48"/>
      <c r="CA833" s="48"/>
      <c r="CB833" s="48"/>
      <c r="CC833" s="48"/>
      <c r="CD833" s="48"/>
      <c r="CE833" s="48"/>
      <c r="CF833" s="48"/>
      <c r="CG833" s="48"/>
      <c r="CH833" s="48"/>
      <c r="CI833" s="98"/>
      <c r="CJ833" s="98"/>
      <c r="CK833" s="49">
        <f t="shared" si="167"/>
        <v>8.9738752108644473E-2</v>
      </c>
      <c r="CL833" s="229"/>
      <c r="CM833" s="229"/>
      <c r="CN833" s="229"/>
      <c r="CO833" s="47" t="s">
        <v>2488</v>
      </c>
      <c r="CP833" s="500" t="s">
        <v>2489</v>
      </c>
      <c r="CQ833" s="224" t="s">
        <v>272</v>
      </c>
      <c r="CR833" s="224"/>
      <c r="CS833" s="230" t="s">
        <v>539</v>
      </c>
      <c r="CT833" s="230"/>
      <c r="CU833" s="230"/>
      <c r="CV833" s="335">
        <f t="shared" si="168"/>
        <v>1.032333512511868</v>
      </c>
      <c r="CW833" s="230">
        <f t="shared" si="166"/>
        <v>1</v>
      </c>
      <c r="CX833" s="336"/>
      <c r="CY833" s="230" t="s">
        <v>5921</v>
      </c>
    </row>
    <row r="834" spans="1:103" ht="11.25" customHeight="1" x14ac:dyDescent="0.2">
      <c r="A834" s="72">
        <v>1179</v>
      </c>
      <c r="B834" s="224">
        <v>1903</v>
      </c>
      <c r="C834" s="46" t="s">
        <v>7321</v>
      </c>
      <c r="D834" s="46"/>
      <c r="E834" s="114"/>
      <c r="F834" s="114" t="s">
        <v>5370</v>
      </c>
      <c r="G834" s="225">
        <v>1156190</v>
      </c>
      <c r="H834" s="47" t="s">
        <v>5371</v>
      </c>
      <c r="I834" s="47" t="s">
        <v>5371</v>
      </c>
      <c r="J834" s="47" t="s">
        <v>5372</v>
      </c>
      <c r="K834" s="47" t="s">
        <v>5373</v>
      </c>
      <c r="L834" s="51" t="s">
        <v>279</v>
      </c>
      <c r="M834" s="47" t="s">
        <v>5374</v>
      </c>
      <c r="N834" s="47" t="s">
        <v>6383</v>
      </c>
      <c r="O834" s="47" t="s">
        <v>281</v>
      </c>
      <c r="P834" s="53"/>
      <c r="Q834" s="53"/>
      <c r="R834" s="53"/>
      <c r="S834" s="53"/>
      <c r="T834" s="48">
        <v>311.39999999999998</v>
      </c>
      <c r="U834" s="98">
        <v>65.400000000000006</v>
      </c>
      <c r="V834" s="98">
        <v>53.1</v>
      </c>
      <c r="W834" s="98">
        <v>183.36591427773033</v>
      </c>
      <c r="X834" s="98">
        <v>65.400000000000006</v>
      </c>
      <c r="Y834" s="233">
        <v>4.37</v>
      </c>
      <c r="Z834" s="48">
        <v>2.23</v>
      </c>
      <c r="AA834" s="48">
        <v>2.69</v>
      </c>
      <c r="AB834" s="48">
        <v>1.31</v>
      </c>
      <c r="AC834" s="48">
        <v>0.87229999999999996</v>
      </c>
      <c r="AD834" s="48">
        <v>1.41</v>
      </c>
      <c r="AE834" s="48">
        <v>1.71</v>
      </c>
      <c r="AF834" s="48">
        <f t="shared" si="172"/>
        <v>2.69</v>
      </c>
      <c r="AG834" s="49">
        <v>1.73</v>
      </c>
      <c r="AH834" s="98">
        <v>1.3600000000000001E-12</v>
      </c>
      <c r="AI834" s="98"/>
      <c r="AJ834" s="483">
        <f t="shared" si="171"/>
        <v>-10.255027417942435</v>
      </c>
      <c r="AK834" s="483"/>
      <c r="AL834" s="483">
        <f t="shared" si="170"/>
        <v>-10.255027417942435</v>
      </c>
      <c r="AM834" s="483">
        <v>-19.76118</v>
      </c>
      <c r="AN834" s="226">
        <v>-17.5</v>
      </c>
      <c r="AO834" s="484">
        <v>6.07</v>
      </c>
      <c r="AP834" s="484">
        <v>3.26</v>
      </c>
      <c r="AQ834" s="226" t="s">
        <v>6311</v>
      </c>
      <c r="AR834" s="226" t="s">
        <v>6311</v>
      </c>
      <c r="AS834" s="224"/>
      <c r="AT834" s="50" t="s">
        <v>266</v>
      </c>
      <c r="AU834" s="48">
        <v>6</v>
      </c>
      <c r="AV834" s="48">
        <v>120</v>
      </c>
      <c r="AW834" s="48">
        <v>114</v>
      </c>
      <c r="AX834" s="48">
        <v>28</v>
      </c>
      <c r="AY834" s="48" t="s">
        <v>8728</v>
      </c>
      <c r="AZ834" s="48" t="s">
        <v>1563</v>
      </c>
      <c r="BA834" s="48">
        <v>32</v>
      </c>
      <c r="BB834" s="47" t="s">
        <v>2485</v>
      </c>
      <c r="BC834" s="47" t="s">
        <v>8726</v>
      </c>
      <c r="BD834" s="47" t="s">
        <v>8374</v>
      </c>
      <c r="BE834" s="48" t="s">
        <v>2449</v>
      </c>
      <c r="BF834" s="48" t="s">
        <v>272</v>
      </c>
      <c r="BG834" s="48" t="s">
        <v>272</v>
      </c>
      <c r="BH834" s="48" t="s">
        <v>2486</v>
      </c>
      <c r="BI834" s="98">
        <v>1.9929599999999998E-3</v>
      </c>
      <c r="BJ834" s="98">
        <v>19.929600000000001</v>
      </c>
      <c r="BK834" s="48"/>
      <c r="BL834" s="487">
        <v>158.9848012286113</v>
      </c>
      <c r="BM834" s="47" t="s">
        <v>2487</v>
      </c>
      <c r="BN834" s="48"/>
      <c r="BO834" s="48"/>
      <c r="BP834" s="48"/>
      <c r="BQ834" s="48"/>
      <c r="BR834" s="47" t="e">
        <v>#VALUE!</v>
      </c>
      <c r="BS834" s="48"/>
      <c r="BT834" s="48"/>
      <c r="BU834" s="228"/>
      <c r="BV834" s="48"/>
      <c r="BW834" s="48"/>
      <c r="BX834" s="48"/>
      <c r="BY834" s="48"/>
      <c r="BZ834" s="48"/>
      <c r="CA834" s="48"/>
      <c r="CB834" s="48"/>
      <c r="CC834" s="48"/>
      <c r="CD834" s="48"/>
      <c r="CE834" s="48"/>
      <c r="CF834" s="48"/>
      <c r="CG834" s="48"/>
      <c r="CH834" s="48"/>
      <c r="CI834" s="98"/>
      <c r="CJ834" s="98"/>
      <c r="CK834" s="49">
        <f t="shared" si="167"/>
        <v>7.9773202286353611</v>
      </c>
      <c r="CL834" s="229"/>
      <c r="CM834" s="229"/>
      <c r="CN834" s="229"/>
      <c r="CO834" s="47" t="s">
        <v>2488</v>
      </c>
      <c r="CP834" s="500" t="s">
        <v>2489</v>
      </c>
      <c r="CQ834" s="224" t="s">
        <v>272</v>
      </c>
      <c r="CR834" s="224"/>
      <c r="CS834" s="230" t="s">
        <v>539</v>
      </c>
      <c r="CT834" s="230"/>
      <c r="CU834" s="230"/>
      <c r="CV834" s="335">
        <f t="shared" si="168"/>
        <v>3.2815510597302509</v>
      </c>
      <c r="CW834" s="230">
        <f t="shared" si="166"/>
        <v>1</v>
      </c>
      <c r="CX834" s="336"/>
      <c r="CY834" s="230" t="s">
        <v>5921</v>
      </c>
    </row>
    <row r="835" spans="1:103" ht="11.25" customHeight="1" x14ac:dyDescent="0.2">
      <c r="A835" s="72">
        <v>1181</v>
      </c>
      <c r="B835" s="224">
        <v>1095</v>
      </c>
      <c r="C835" s="46" t="s">
        <v>7322</v>
      </c>
      <c r="D835" s="46" t="s">
        <v>8616</v>
      </c>
      <c r="E835" s="114"/>
      <c r="F835" s="114" t="s">
        <v>3067</v>
      </c>
      <c r="G835" s="225">
        <v>1194656</v>
      </c>
      <c r="H835" s="47" t="s">
        <v>3068</v>
      </c>
      <c r="I835" s="47" t="s">
        <v>8066</v>
      </c>
      <c r="J835" s="47" t="s">
        <v>3069</v>
      </c>
      <c r="K835" s="47" t="s">
        <v>426</v>
      </c>
      <c r="L835" s="47" t="s">
        <v>5248</v>
      </c>
      <c r="M835" s="47" t="s">
        <v>6082</v>
      </c>
      <c r="N835" s="47" t="s">
        <v>6082</v>
      </c>
      <c r="O835" s="47" t="s">
        <v>6083</v>
      </c>
      <c r="P835" s="53"/>
      <c r="Q835" s="53"/>
      <c r="R835" s="53"/>
      <c r="S835" s="53"/>
      <c r="T835" s="48">
        <v>172.01</v>
      </c>
      <c r="U835" s="98">
        <v>14.6</v>
      </c>
      <c r="V835" s="98">
        <v>149.4</v>
      </c>
      <c r="W835" s="98">
        <v>75.085088303630883</v>
      </c>
      <c r="X835" s="98">
        <v>14.6</v>
      </c>
      <c r="Y835" s="233">
        <v>7</v>
      </c>
      <c r="Z835" s="48">
        <v>2.83</v>
      </c>
      <c r="AA835" s="48">
        <v>2.74</v>
      </c>
      <c r="AB835" s="48">
        <v>3.08</v>
      </c>
      <c r="AC835" s="48">
        <v>0.87619999999999998</v>
      </c>
      <c r="AD835" s="48">
        <v>3.01</v>
      </c>
      <c r="AE835" s="48">
        <v>2.79</v>
      </c>
      <c r="AF835" s="48">
        <f t="shared" si="172"/>
        <v>2.74</v>
      </c>
      <c r="AG835" s="49">
        <v>2.99</v>
      </c>
      <c r="AH835" s="98">
        <v>2.8600000000000001E-5</v>
      </c>
      <c r="AI835" s="98">
        <v>1.01E-5</v>
      </c>
      <c r="AJ835" s="483">
        <f t="shared" si="171"/>
        <v>-2.9322002931836089</v>
      </c>
      <c r="AK835" s="483">
        <f>LOG10(AI835*1000/(0.08206*298.15))</f>
        <v>-3.3842449525300093</v>
      </c>
      <c r="AL835" s="483">
        <f t="shared" si="170"/>
        <v>-3.3842449525300093</v>
      </c>
      <c r="AM835" s="483">
        <v>-5.2783700000000007</v>
      </c>
      <c r="AN835" s="226">
        <v>-2.96</v>
      </c>
      <c r="AO835" s="484"/>
      <c r="AP835" s="484"/>
      <c r="AQ835" s="48" t="s">
        <v>6311</v>
      </c>
      <c r="AR835" s="48" t="s">
        <v>6311</v>
      </c>
      <c r="AS835" s="227"/>
      <c r="AT835" s="50" t="s">
        <v>266</v>
      </c>
      <c r="AU835" s="48">
        <v>6</v>
      </c>
      <c r="AV835" s="48">
        <v>120</v>
      </c>
      <c r="AW835" s="48">
        <v>114</v>
      </c>
      <c r="AX835" s="48">
        <v>28</v>
      </c>
      <c r="AY835" s="48" t="s">
        <v>8728</v>
      </c>
      <c r="AZ835" s="48" t="s">
        <v>1563</v>
      </c>
      <c r="BA835" s="48">
        <v>32</v>
      </c>
      <c r="BB835" s="47" t="s">
        <v>2485</v>
      </c>
      <c r="BC835" s="47" t="s">
        <v>8726</v>
      </c>
      <c r="BD835" s="47" t="s">
        <v>8374</v>
      </c>
      <c r="BE835" s="48" t="s">
        <v>2449</v>
      </c>
      <c r="BF835" s="48" t="s">
        <v>272</v>
      </c>
      <c r="BG835" s="48" t="s">
        <v>272</v>
      </c>
      <c r="BH835" s="48" t="s">
        <v>2486</v>
      </c>
      <c r="BI835" s="98">
        <v>1.1008639999999998E-3</v>
      </c>
      <c r="BJ835" s="98">
        <v>11.00864</v>
      </c>
      <c r="BK835" s="48"/>
      <c r="BL835" s="487">
        <v>25.393975476876413</v>
      </c>
      <c r="BM835" s="47" t="s">
        <v>2487</v>
      </c>
      <c r="BN835" s="48"/>
      <c r="BO835" s="48"/>
      <c r="BP835" s="48"/>
      <c r="BQ835" s="48"/>
      <c r="BR835" s="47" t="e">
        <v>#VALUE!</v>
      </c>
      <c r="BS835" s="48"/>
      <c r="BT835" s="48"/>
      <c r="BU835" s="228">
        <v>1.1008639999999998E-3</v>
      </c>
      <c r="BV835" s="48"/>
      <c r="BW835" s="48"/>
      <c r="BX835" s="48"/>
      <c r="BY835" s="48"/>
      <c r="BZ835" s="48"/>
      <c r="CA835" s="48"/>
      <c r="CB835" s="48"/>
      <c r="CC835" s="48"/>
      <c r="CD835" s="48"/>
      <c r="CE835" s="48"/>
      <c r="CF835" s="48"/>
      <c r="CG835" s="48"/>
      <c r="CH835" s="48"/>
      <c r="CI835" s="98"/>
      <c r="CJ835" s="98"/>
      <c r="CK835" s="49">
        <f t="shared" si="167"/>
        <v>2.3067313925131909</v>
      </c>
      <c r="CL835" s="229"/>
      <c r="CM835" s="229"/>
      <c r="CN835" s="229"/>
      <c r="CO835" s="47" t="s">
        <v>2488</v>
      </c>
      <c r="CP835" s="500" t="s">
        <v>2489</v>
      </c>
      <c r="CQ835" s="224">
        <v>0.97277510431864844</v>
      </c>
      <c r="CR835" s="224">
        <f>10^(CJ835-CQ835)</f>
        <v>0.10646942182856134</v>
      </c>
      <c r="CS835" s="230" t="s">
        <v>539</v>
      </c>
      <c r="CT835" s="230"/>
      <c r="CU835" s="230"/>
      <c r="CV835" s="335">
        <f t="shared" si="168"/>
        <v>1.3262310330794722</v>
      </c>
      <c r="CW835" s="230">
        <f t="shared" si="166"/>
        <v>1</v>
      </c>
      <c r="CX835" s="336"/>
      <c r="CY835" s="230" t="s">
        <v>6351</v>
      </c>
    </row>
    <row r="836" spans="1:103" ht="11.25" customHeight="1" x14ac:dyDescent="0.2">
      <c r="A836" s="72">
        <v>1182</v>
      </c>
      <c r="B836" s="224">
        <v>1056</v>
      </c>
      <c r="C836" s="46" t="s">
        <v>7323</v>
      </c>
      <c r="D836" s="46"/>
      <c r="E836" s="114"/>
      <c r="F836" s="114" t="s">
        <v>2978</v>
      </c>
      <c r="G836" s="225">
        <v>1260179</v>
      </c>
      <c r="H836" s="47" t="s">
        <v>2979</v>
      </c>
      <c r="I836" s="47" t="s">
        <v>8067</v>
      </c>
      <c r="J836" s="47" t="s">
        <v>2980</v>
      </c>
      <c r="K836" s="47" t="s">
        <v>1723</v>
      </c>
      <c r="L836" s="47"/>
      <c r="M836" s="47"/>
      <c r="N836" s="47"/>
      <c r="O836" s="47"/>
      <c r="P836" s="53"/>
      <c r="Q836" s="53"/>
      <c r="R836" s="53"/>
      <c r="S836" s="53"/>
      <c r="T836" s="48">
        <v>492.39</v>
      </c>
      <c r="U836" s="98">
        <v>1300</v>
      </c>
      <c r="V836" s="98">
        <v>34.950000000000003</v>
      </c>
      <c r="W836" s="98">
        <v>105.27111532500035</v>
      </c>
      <c r="X836" s="98">
        <v>1300</v>
      </c>
      <c r="Y836" s="233">
        <v>3.67</v>
      </c>
      <c r="Z836" s="48">
        <v>0.97</v>
      </c>
      <c r="AA836" s="48"/>
      <c r="AB836" s="48">
        <v>1.9</v>
      </c>
      <c r="AC836" s="48">
        <v>0.42320000000000002</v>
      </c>
      <c r="AD836" s="48">
        <v>3.15</v>
      </c>
      <c r="AE836" s="48">
        <v>4.8</v>
      </c>
      <c r="AF836" s="48">
        <f t="shared" si="172"/>
        <v>3.15</v>
      </c>
      <c r="AG836" s="49">
        <v>-0.17</v>
      </c>
      <c r="AH836" s="98">
        <v>6.5699999999999999E-32</v>
      </c>
      <c r="AI836" s="98"/>
      <c r="AJ836" s="483">
        <f t="shared" si="171"/>
        <v>-29.571000956752872</v>
      </c>
      <c r="AK836" s="483"/>
      <c r="AL836" s="483">
        <f t="shared" si="170"/>
        <v>-29.571000956752872</v>
      </c>
      <c r="AM836" s="483">
        <v>-39.416520000000006</v>
      </c>
      <c r="AN836" s="226">
        <v>-26.6</v>
      </c>
      <c r="AO836" s="484">
        <v>1.62</v>
      </c>
      <c r="AP836" s="484"/>
      <c r="AQ836" s="48" t="s">
        <v>6311</v>
      </c>
      <c r="AR836" s="48" t="s">
        <v>6311</v>
      </c>
      <c r="AS836" s="227"/>
      <c r="AT836" s="50" t="s">
        <v>266</v>
      </c>
      <c r="AU836" s="48">
        <v>6</v>
      </c>
      <c r="AV836" s="48">
        <v>120</v>
      </c>
      <c r="AW836" s="48">
        <v>114</v>
      </c>
      <c r="AX836" s="48">
        <v>28</v>
      </c>
      <c r="AY836" s="48" t="s">
        <v>8728</v>
      </c>
      <c r="AZ836" s="48" t="s">
        <v>1563</v>
      </c>
      <c r="BA836" s="48">
        <v>32</v>
      </c>
      <c r="BB836" s="47" t="s">
        <v>2485</v>
      </c>
      <c r="BC836" s="47" t="s">
        <v>8726</v>
      </c>
      <c r="BD836" s="47" t="s">
        <v>8374</v>
      </c>
      <c r="BE836" s="48" t="s">
        <v>2449</v>
      </c>
      <c r="BF836" s="48" t="s">
        <v>272</v>
      </c>
      <c r="BG836" s="48" t="s">
        <v>272</v>
      </c>
      <c r="BH836" s="48" t="s">
        <v>2486</v>
      </c>
      <c r="BI836" s="98">
        <v>3.1512959999999996E-3</v>
      </c>
      <c r="BJ836" s="98">
        <v>31.51296</v>
      </c>
      <c r="BK836" s="48"/>
      <c r="BL836" s="487">
        <v>3403.7074420252043</v>
      </c>
      <c r="BM836" s="47" t="s">
        <v>2487</v>
      </c>
      <c r="BN836" s="48"/>
      <c r="BO836" s="48"/>
      <c r="BP836" s="48"/>
      <c r="BQ836" s="48"/>
      <c r="BR836" s="47" t="e">
        <v>#VALUE!</v>
      </c>
      <c r="BS836" s="48"/>
      <c r="BT836" s="48"/>
      <c r="BU836" s="228">
        <v>3.1512959999999996E-3</v>
      </c>
      <c r="BV836" s="48"/>
      <c r="BW836" s="48"/>
      <c r="BX836" s="48"/>
      <c r="BY836" s="48"/>
      <c r="BZ836" s="48"/>
      <c r="CA836" s="48"/>
      <c r="CB836" s="48"/>
      <c r="CC836" s="48"/>
      <c r="CD836" s="48"/>
      <c r="CE836" s="48"/>
      <c r="CF836" s="48"/>
      <c r="CG836" s="48"/>
      <c r="CH836" s="48"/>
      <c r="CI836" s="98"/>
      <c r="CJ836" s="98"/>
      <c r="CK836" s="49">
        <f t="shared" si="167"/>
        <v>108.00976620492662</v>
      </c>
      <c r="CL836" s="229"/>
      <c r="CM836" s="229"/>
      <c r="CN836" s="229"/>
      <c r="CO836" s="47" t="s">
        <v>2488</v>
      </c>
      <c r="CP836" s="500" t="s">
        <v>2489</v>
      </c>
      <c r="CQ836" s="224" t="s">
        <v>272</v>
      </c>
      <c r="CR836" s="224"/>
      <c r="CS836" s="230" t="s">
        <v>539</v>
      </c>
      <c r="CT836" s="230"/>
      <c r="CU836" s="230"/>
      <c r="CV836" s="335">
        <f t="shared" si="168"/>
        <v>41.252868661020734</v>
      </c>
      <c r="CW836" s="230">
        <f t="shared" si="166"/>
        <v>1</v>
      </c>
      <c r="CX836" s="336"/>
      <c r="CY836" s="230" t="s">
        <v>5921</v>
      </c>
    </row>
    <row r="837" spans="1:103" ht="11.25" customHeight="1" x14ac:dyDescent="0.2">
      <c r="A837" s="72">
        <v>1183</v>
      </c>
      <c r="B837" s="224">
        <v>1289</v>
      </c>
      <c r="C837" s="46" t="s">
        <v>7324</v>
      </c>
      <c r="D837" s="46"/>
      <c r="E837" s="114"/>
      <c r="F837" s="114" t="s">
        <v>3544</v>
      </c>
      <c r="G837" s="225">
        <v>1401554</v>
      </c>
      <c r="H837" s="47" t="s">
        <v>3545</v>
      </c>
      <c r="I837" s="47" t="s">
        <v>8068</v>
      </c>
      <c r="J837" s="47"/>
      <c r="K837" s="47" t="s">
        <v>3383</v>
      </c>
      <c r="L837" s="47"/>
      <c r="M837" s="47"/>
      <c r="N837" s="47"/>
      <c r="O837" s="47"/>
      <c r="P837" s="53"/>
      <c r="Q837" s="53"/>
      <c r="R837" s="53"/>
      <c r="S837" s="53"/>
      <c r="T837" s="48">
        <v>636.48</v>
      </c>
      <c r="U837" s="98"/>
      <c r="V837" s="98">
        <v>512.4</v>
      </c>
      <c r="W837" s="98">
        <v>334.02945229977507</v>
      </c>
      <c r="X837" s="98">
        <v>334.02945229977507</v>
      </c>
      <c r="Y837" s="233">
        <v>5.97</v>
      </c>
      <c r="Z837" s="48">
        <v>-0.19</v>
      </c>
      <c r="AA837" s="48"/>
      <c r="AB837" s="48">
        <v>0.47</v>
      </c>
      <c r="AC837" s="48">
        <v>0.59319999999999995</v>
      </c>
      <c r="AD837" s="48">
        <v>2.09</v>
      </c>
      <c r="AE837" s="48">
        <v>4.2300000000000004</v>
      </c>
      <c r="AF837" s="48">
        <f t="shared" si="172"/>
        <v>2.09</v>
      </c>
      <c r="AG837" s="49">
        <v>2.09</v>
      </c>
      <c r="AH837" s="98"/>
      <c r="AI837" s="98"/>
      <c r="AJ837" s="483"/>
      <c r="AK837" s="483"/>
      <c r="AL837" s="483"/>
      <c r="AM837" s="483">
        <v>-59.19838</v>
      </c>
      <c r="AN837" s="226"/>
      <c r="AO837" s="484">
        <v>8.3699999999999992</v>
      </c>
      <c r="AP837" s="484"/>
      <c r="AQ837" s="48" t="s">
        <v>6311</v>
      </c>
      <c r="AR837" s="48" t="s">
        <v>6312</v>
      </c>
      <c r="AS837" s="227"/>
      <c r="AT837" s="50" t="s">
        <v>266</v>
      </c>
      <c r="AU837" s="48">
        <v>6</v>
      </c>
      <c r="AV837" s="48">
        <v>120</v>
      </c>
      <c r="AW837" s="48">
        <v>114</v>
      </c>
      <c r="AX837" s="48">
        <v>28</v>
      </c>
      <c r="AY837" s="48" t="s">
        <v>8728</v>
      </c>
      <c r="AZ837" s="48" t="s">
        <v>1563</v>
      </c>
      <c r="BA837" s="48">
        <v>32</v>
      </c>
      <c r="BB837" s="47" t="s">
        <v>2485</v>
      </c>
      <c r="BC837" s="47" t="s">
        <v>8726</v>
      </c>
      <c r="BD837" s="47" t="s">
        <v>8374</v>
      </c>
      <c r="BE837" s="48" t="s">
        <v>2449</v>
      </c>
      <c r="BF837" s="48" t="s">
        <v>272</v>
      </c>
      <c r="BG837" s="48" t="s">
        <v>272</v>
      </c>
      <c r="BH837" s="48" t="s">
        <v>2486</v>
      </c>
      <c r="BI837" s="98">
        <v>4.0734719999999999E-3</v>
      </c>
      <c r="BJ837" s="98">
        <v>40.734720000000003</v>
      </c>
      <c r="BK837" s="48"/>
      <c r="BL837" s="487">
        <v>48442.189187546668</v>
      </c>
      <c r="BM837" s="47" t="s">
        <v>2487</v>
      </c>
      <c r="BN837" s="48"/>
      <c r="BO837" s="48"/>
      <c r="BP837" s="48"/>
      <c r="BQ837" s="48"/>
      <c r="BR837" s="47" t="e">
        <v>#VALUE!</v>
      </c>
      <c r="BS837" s="48"/>
      <c r="BT837" s="48"/>
      <c r="BU837" s="228">
        <v>12.4240896</v>
      </c>
      <c r="BV837" s="48"/>
      <c r="BW837" s="48"/>
      <c r="BX837" s="48"/>
      <c r="BY837" s="48"/>
      <c r="BZ837" s="48"/>
      <c r="CA837" s="48"/>
      <c r="CB837" s="48"/>
      <c r="CC837" s="48"/>
      <c r="CD837" s="48"/>
      <c r="CE837" s="48"/>
      <c r="CF837" s="48"/>
      <c r="CG837" s="48"/>
      <c r="CH837" s="48"/>
      <c r="CI837" s="98"/>
      <c r="CJ837" s="98"/>
      <c r="CK837" s="49">
        <f t="shared" si="167"/>
        <v>1189.2112965928491</v>
      </c>
      <c r="CL837" s="229"/>
      <c r="CM837" s="229"/>
      <c r="CN837" s="229"/>
      <c r="CO837" s="47" t="s">
        <v>2488</v>
      </c>
      <c r="CP837" s="500" t="s">
        <v>2489</v>
      </c>
      <c r="CQ837" s="224" t="s">
        <v>272</v>
      </c>
      <c r="CR837" s="224"/>
      <c r="CS837" s="230" t="s">
        <v>539</v>
      </c>
      <c r="CT837" s="230"/>
      <c r="CU837" s="230"/>
      <c r="CV837" s="335">
        <f t="shared" si="168"/>
        <v>8.2001165664026914</v>
      </c>
      <c r="CW837" s="230">
        <f t="shared" si="166"/>
        <v>1</v>
      </c>
      <c r="CX837" s="336"/>
      <c r="CY837" s="230" t="s">
        <v>5921</v>
      </c>
    </row>
    <row r="838" spans="1:103" ht="11.25" customHeight="1" x14ac:dyDescent="0.2">
      <c r="A838" s="72">
        <v>1185</v>
      </c>
      <c r="B838" s="224">
        <v>1612</v>
      </c>
      <c r="C838" s="46" t="s">
        <v>7326</v>
      </c>
      <c r="D838" s="46" t="s">
        <v>8617</v>
      </c>
      <c r="E838" s="114"/>
      <c r="F838" s="114" t="s">
        <v>4783</v>
      </c>
      <c r="G838" s="225">
        <v>1445756</v>
      </c>
      <c r="H838" s="47" t="s">
        <v>4784</v>
      </c>
      <c r="I838" s="47" t="s">
        <v>4784</v>
      </c>
      <c r="J838" s="47" t="s">
        <v>4785</v>
      </c>
      <c r="K838" s="47" t="s">
        <v>637</v>
      </c>
      <c r="L838" s="47" t="s">
        <v>8533</v>
      </c>
      <c r="M838" s="47" t="s">
        <v>2342</v>
      </c>
      <c r="N838" s="47" t="s">
        <v>2342</v>
      </c>
      <c r="O838" s="47"/>
      <c r="P838" s="53" t="s">
        <v>8537</v>
      </c>
      <c r="Q838" s="53" t="s">
        <v>6173</v>
      </c>
      <c r="R838" s="53" t="s">
        <v>6183</v>
      </c>
      <c r="S838" s="53" t="s">
        <v>6173</v>
      </c>
      <c r="T838" s="48">
        <v>180.18</v>
      </c>
      <c r="U838" s="98">
        <v>1500</v>
      </c>
      <c r="V838" s="98">
        <v>7250</v>
      </c>
      <c r="W838" s="98">
        <v>30598.954130055707</v>
      </c>
      <c r="X838" s="98">
        <v>1500</v>
      </c>
      <c r="Y838" s="233">
        <v>7</v>
      </c>
      <c r="Z838" s="48">
        <v>1.23</v>
      </c>
      <c r="AA838" s="48">
        <v>1.03</v>
      </c>
      <c r="AB838" s="48">
        <v>1.1100000000000001</v>
      </c>
      <c r="AC838" s="48">
        <v>0.78080000000000005</v>
      </c>
      <c r="AD838" s="48">
        <v>1.07</v>
      </c>
      <c r="AE838" s="48">
        <v>0.98</v>
      </c>
      <c r="AF838" s="48">
        <f t="shared" si="172"/>
        <v>1.03</v>
      </c>
      <c r="AG838" s="49">
        <v>1.68</v>
      </c>
      <c r="AH838" s="98">
        <v>3.8800000000000001E-6</v>
      </c>
      <c r="AI838" s="98">
        <v>4.3800000000000001E-5</v>
      </c>
      <c r="AJ838" s="483">
        <f t="shared" ref="AJ838:AK843" si="173">LOG10(AH838*1000/(0.08206*298.15))</f>
        <v>-3.7997346007184447</v>
      </c>
      <c r="AK838" s="483">
        <f t="shared" si="173"/>
        <v>-2.7470922158085522</v>
      </c>
      <c r="AL838" s="483">
        <f t="shared" ref="AL838:AL869" si="174">IF(AK838=0,AJ838,AK838)</f>
        <v>-2.7470922158085522</v>
      </c>
      <c r="AM838" s="483">
        <v>-6.6476900000000008</v>
      </c>
      <c r="AN838" s="226">
        <v>-3.43</v>
      </c>
      <c r="AO838" s="484"/>
      <c r="AP838" s="484"/>
      <c r="AQ838" s="48" t="s">
        <v>6312</v>
      </c>
      <c r="AR838" s="48" t="s">
        <v>6312</v>
      </c>
      <c r="AS838" s="227"/>
      <c r="AT838" s="50" t="s">
        <v>266</v>
      </c>
      <c r="AU838" s="48">
        <v>6</v>
      </c>
      <c r="AV838" s="48">
        <v>120</v>
      </c>
      <c r="AW838" s="48">
        <v>114</v>
      </c>
      <c r="AX838" s="48">
        <v>28</v>
      </c>
      <c r="AY838" s="48" t="s">
        <v>8728</v>
      </c>
      <c r="AZ838" s="48" t="s">
        <v>1563</v>
      </c>
      <c r="BA838" s="48">
        <v>32</v>
      </c>
      <c r="BB838" s="47" t="s">
        <v>2485</v>
      </c>
      <c r="BC838" s="47" t="s">
        <v>8726</v>
      </c>
      <c r="BD838" s="47" t="s">
        <v>8374</v>
      </c>
      <c r="BE838" s="48" t="s">
        <v>2449</v>
      </c>
      <c r="BF838" s="48" t="s">
        <v>272</v>
      </c>
      <c r="BG838" s="48" t="s">
        <v>272</v>
      </c>
      <c r="BH838" s="48" t="s">
        <v>2486</v>
      </c>
      <c r="BI838" s="98">
        <v>1.153152E-3</v>
      </c>
      <c r="BJ838" s="98">
        <v>11.53152</v>
      </c>
      <c r="BK838" s="48"/>
      <c r="BL838" s="487">
        <v>727.51773134789335</v>
      </c>
      <c r="BM838" s="47" t="s">
        <v>2487</v>
      </c>
      <c r="BN838" s="48"/>
      <c r="BO838" s="48"/>
      <c r="BP838" s="48"/>
      <c r="BQ838" s="48"/>
      <c r="BR838" s="47" t="e">
        <v>#VALUE!</v>
      </c>
      <c r="BS838" s="48"/>
      <c r="BT838" s="48"/>
      <c r="BU838" s="228"/>
      <c r="BV838" s="48"/>
      <c r="BW838" s="48"/>
      <c r="BX838" s="48"/>
      <c r="BY838" s="48"/>
      <c r="BZ838" s="48"/>
      <c r="CA838" s="48"/>
      <c r="CB838" s="48"/>
      <c r="CC838" s="48"/>
      <c r="CD838" s="48"/>
      <c r="CE838" s="48"/>
      <c r="CF838" s="48"/>
      <c r="CG838" s="48"/>
      <c r="CH838" s="48"/>
      <c r="CI838" s="98"/>
      <c r="CJ838" s="98"/>
      <c r="CK838" s="49">
        <f t="shared" si="167"/>
        <v>63.089491354816481</v>
      </c>
      <c r="CL838" s="229"/>
      <c r="CM838" s="229"/>
      <c r="CN838" s="229"/>
      <c r="CO838" s="47" t="s">
        <v>2488</v>
      </c>
      <c r="CP838" s="500" t="s">
        <v>2489</v>
      </c>
      <c r="CQ838" s="224">
        <v>2.7514554190560703</v>
      </c>
      <c r="CR838" s="224">
        <f>10^(CJ838-CQ838)</f>
        <v>1.7723299679801075E-3</v>
      </c>
      <c r="CS838" s="230" t="s">
        <v>539</v>
      </c>
      <c r="CT838" s="230"/>
      <c r="CU838" s="230"/>
      <c r="CV838" s="335">
        <f t="shared" si="168"/>
        <v>130.07825507825507</v>
      </c>
      <c r="CW838" s="230">
        <f t="shared" si="166"/>
        <v>1</v>
      </c>
      <c r="CX838" s="336"/>
      <c r="CY838" s="230" t="s">
        <v>5921</v>
      </c>
    </row>
    <row r="839" spans="1:103" ht="11.25" customHeight="1" x14ac:dyDescent="0.2">
      <c r="A839" s="72">
        <v>1186</v>
      </c>
      <c r="B839" s="224">
        <v>1052</v>
      </c>
      <c r="C839" s="46" t="s">
        <v>7327</v>
      </c>
      <c r="D839" s="46" t="s">
        <v>8618</v>
      </c>
      <c r="E839" s="114"/>
      <c r="F839" s="114" t="s">
        <v>2970</v>
      </c>
      <c r="G839" s="225">
        <v>1563662</v>
      </c>
      <c r="H839" s="47" t="s">
        <v>2971</v>
      </c>
      <c r="I839" s="47" t="s">
        <v>2971</v>
      </c>
      <c r="J839" s="47" t="s">
        <v>2972</v>
      </c>
      <c r="K839" s="47" t="s">
        <v>616</v>
      </c>
      <c r="L839" s="47" t="s">
        <v>617</v>
      </c>
      <c r="M839" s="47" t="s">
        <v>618</v>
      </c>
      <c r="N839" s="47" t="s">
        <v>6376</v>
      </c>
      <c r="O839" s="47" t="s">
        <v>2973</v>
      </c>
      <c r="P839" s="53"/>
      <c r="Q839" s="53" t="s">
        <v>6173</v>
      </c>
      <c r="R839" s="53" t="s">
        <v>6177</v>
      </c>
      <c r="S839" s="53" t="s">
        <v>6176</v>
      </c>
      <c r="T839" s="48">
        <v>221.25</v>
      </c>
      <c r="U839" s="98">
        <v>320</v>
      </c>
      <c r="V839" s="98">
        <v>353.9</v>
      </c>
      <c r="W839" s="98">
        <v>312.52393174778399</v>
      </c>
      <c r="X839" s="98">
        <v>320</v>
      </c>
      <c r="Y839" s="233">
        <v>6.98</v>
      </c>
      <c r="Z839" s="48">
        <v>2.2999999999999998</v>
      </c>
      <c r="AA839" s="48">
        <v>2.3199999999999998</v>
      </c>
      <c r="AB839" s="48">
        <v>2.39</v>
      </c>
      <c r="AC839" s="48">
        <v>0.84889999999999999</v>
      </c>
      <c r="AD839" s="48">
        <v>2.2200000000000002</v>
      </c>
      <c r="AE839" s="48">
        <v>1.76</v>
      </c>
      <c r="AF839" s="48">
        <f t="shared" si="172"/>
        <v>2.3199999999999998</v>
      </c>
      <c r="AG839" s="49">
        <v>2.02</v>
      </c>
      <c r="AH839" s="98">
        <v>1.63E-9</v>
      </c>
      <c r="AI839" s="98">
        <v>3.0899999999999999E-9</v>
      </c>
      <c r="AJ839" s="483">
        <f t="shared" si="173"/>
        <v>-7.1763787219086943</v>
      </c>
      <c r="AK839" s="483">
        <f t="shared" si="173"/>
        <v>-6.8986078468878169</v>
      </c>
      <c r="AL839" s="483">
        <f t="shared" si="174"/>
        <v>-6.8986078468878169</v>
      </c>
      <c r="AM839" s="483">
        <v>-10.257579999999999</v>
      </c>
      <c r="AN839" s="226">
        <v>-6.88</v>
      </c>
      <c r="AO839" s="484">
        <v>12.28</v>
      </c>
      <c r="AP839" s="484">
        <v>-1.49</v>
      </c>
      <c r="AQ839" s="48" t="s">
        <v>6311</v>
      </c>
      <c r="AR839" s="48" t="s">
        <v>6314</v>
      </c>
      <c r="AS839" s="227"/>
      <c r="AT839" s="50" t="s">
        <v>266</v>
      </c>
      <c r="AU839" s="48">
        <v>6</v>
      </c>
      <c r="AV839" s="48">
        <v>120</v>
      </c>
      <c r="AW839" s="48">
        <v>114</v>
      </c>
      <c r="AX839" s="48">
        <v>28</v>
      </c>
      <c r="AY839" s="48" t="s">
        <v>8728</v>
      </c>
      <c r="AZ839" s="48" t="s">
        <v>1563</v>
      </c>
      <c r="BA839" s="48">
        <v>32</v>
      </c>
      <c r="BB839" s="47" t="s">
        <v>2485</v>
      </c>
      <c r="BC839" s="47" t="s">
        <v>8726</v>
      </c>
      <c r="BD839" s="47" t="s">
        <v>8374</v>
      </c>
      <c r="BE839" s="48" t="s">
        <v>2449</v>
      </c>
      <c r="BF839" s="48" t="s">
        <v>272</v>
      </c>
      <c r="BG839" s="48" t="s">
        <v>272</v>
      </c>
      <c r="BH839" s="48" t="s">
        <v>2486</v>
      </c>
      <c r="BI839" s="98">
        <v>1.4159999999999999E-3</v>
      </c>
      <c r="BJ839" s="98">
        <v>14.16</v>
      </c>
      <c r="BK839" s="48"/>
      <c r="BL839" s="487">
        <v>97.735711604868243</v>
      </c>
      <c r="BM839" s="47" t="s">
        <v>2487</v>
      </c>
      <c r="BN839" s="48"/>
      <c r="BO839" s="48"/>
      <c r="BP839" s="48"/>
      <c r="BQ839" s="48"/>
      <c r="BR839" s="47" t="e">
        <v>#VALUE!</v>
      </c>
      <c r="BS839" s="48"/>
      <c r="BT839" s="48"/>
      <c r="BU839" s="228">
        <v>1.4159999999999999E-3</v>
      </c>
      <c r="BV839" s="48"/>
      <c r="BW839" s="48"/>
      <c r="BX839" s="48"/>
      <c r="BY839" s="48"/>
      <c r="BZ839" s="48"/>
      <c r="CA839" s="48"/>
      <c r="CB839" s="48"/>
      <c r="CC839" s="48"/>
      <c r="CD839" s="48"/>
      <c r="CE839" s="48"/>
      <c r="CF839" s="48"/>
      <c r="CG839" s="48"/>
      <c r="CH839" s="48"/>
      <c r="CI839" s="98"/>
      <c r="CJ839" s="98"/>
      <c r="CK839" s="49">
        <f t="shared" si="167"/>
        <v>6.9022395201178135</v>
      </c>
      <c r="CL839" s="229"/>
      <c r="CM839" s="229"/>
      <c r="CN839" s="229"/>
      <c r="CO839" s="47" t="s">
        <v>2488</v>
      </c>
      <c r="CP839" s="500" t="s">
        <v>2489</v>
      </c>
      <c r="CQ839" s="224">
        <v>-0.32035201679892483</v>
      </c>
      <c r="CR839" s="224">
        <f>10^(CJ839-CQ839)</f>
        <v>2.0909902934861222</v>
      </c>
      <c r="CS839" s="230" t="s">
        <v>539</v>
      </c>
      <c r="CT839" s="230"/>
      <c r="CU839" s="230"/>
      <c r="CV839" s="335">
        <f t="shared" si="168"/>
        <v>22.598870056497177</v>
      </c>
      <c r="CW839" s="230">
        <f t="shared" si="166"/>
        <v>1</v>
      </c>
      <c r="CX839" s="336"/>
      <c r="CY839" s="230" t="s">
        <v>5921</v>
      </c>
    </row>
    <row r="840" spans="1:103" ht="11.25" customHeight="1" x14ac:dyDescent="0.2">
      <c r="A840" s="72">
        <v>1188</v>
      </c>
      <c r="B840" s="224">
        <v>1920</v>
      </c>
      <c r="C840" s="46" t="s">
        <v>7328</v>
      </c>
      <c r="D840" s="46" t="s">
        <v>8619</v>
      </c>
      <c r="E840" s="114"/>
      <c r="F840" s="114" t="s">
        <v>4059</v>
      </c>
      <c r="G840" s="225">
        <v>1582098</v>
      </c>
      <c r="H840" s="47" t="s">
        <v>4060</v>
      </c>
      <c r="I840" s="47" t="s">
        <v>4060</v>
      </c>
      <c r="J840" s="47" t="s">
        <v>4061</v>
      </c>
      <c r="K840" s="47" t="s">
        <v>1011</v>
      </c>
      <c r="L840" s="47" t="s">
        <v>5248</v>
      </c>
      <c r="M840" s="47" t="s">
        <v>6088</v>
      </c>
      <c r="N840" s="47" t="s">
        <v>6088</v>
      </c>
      <c r="O840" s="47" t="s">
        <v>6083</v>
      </c>
      <c r="P840" s="53"/>
      <c r="Q840" s="53"/>
      <c r="R840" s="53"/>
      <c r="S840" s="53"/>
      <c r="T840" s="48">
        <v>335.28</v>
      </c>
      <c r="U840" s="98">
        <v>0.184</v>
      </c>
      <c r="V840" s="98">
        <v>0.20899999999999999</v>
      </c>
      <c r="W840" s="98">
        <v>0.78597303720046241</v>
      </c>
      <c r="X840" s="98">
        <v>0.184</v>
      </c>
      <c r="Y840" s="233">
        <v>7</v>
      </c>
      <c r="Z840" s="48">
        <v>5.31</v>
      </c>
      <c r="AA840" s="48">
        <v>5.34</v>
      </c>
      <c r="AB840" s="48">
        <v>5.12</v>
      </c>
      <c r="AC840" s="48">
        <v>0.84789999999999999</v>
      </c>
      <c r="AD840" s="48">
        <v>5.19</v>
      </c>
      <c r="AE840" s="48">
        <v>5.41</v>
      </c>
      <c r="AF840" s="48">
        <f t="shared" si="172"/>
        <v>5.34</v>
      </c>
      <c r="AG840" s="49">
        <v>3.69</v>
      </c>
      <c r="AH840" s="98">
        <v>2.12E-4</v>
      </c>
      <c r="AI840" s="98">
        <v>1.03E-4</v>
      </c>
      <c r="AJ840" s="483">
        <f t="shared" si="173"/>
        <v>-2.0622304653839003</v>
      </c>
      <c r="AK840" s="483">
        <f t="shared" si="173"/>
        <v>-2.3757291016074795</v>
      </c>
      <c r="AL840" s="483">
        <f t="shared" si="174"/>
        <v>-2.3757291016074795</v>
      </c>
      <c r="AM840" s="483">
        <v>-9.2376700000000014</v>
      </c>
      <c r="AN840" s="226">
        <v>-1.46</v>
      </c>
      <c r="AO840" s="484"/>
      <c r="AP840" s="484">
        <v>-1.45</v>
      </c>
      <c r="AQ840" s="226" t="s">
        <v>6311</v>
      </c>
      <c r="AR840" s="226" t="s">
        <v>6311</v>
      </c>
      <c r="AS840" s="224"/>
      <c r="AT840" s="50" t="s">
        <v>266</v>
      </c>
      <c r="AU840" s="48">
        <v>6</v>
      </c>
      <c r="AV840" s="48">
        <v>120</v>
      </c>
      <c r="AW840" s="48">
        <v>114</v>
      </c>
      <c r="AX840" s="48">
        <v>28</v>
      </c>
      <c r="AY840" s="48" t="s">
        <v>8728</v>
      </c>
      <c r="AZ840" s="48" t="s">
        <v>1563</v>
      </c>
      <c r="BA840" s="48">
        <v>32</v>
      </c>
      <c r="BB840" s="47" t="s">
        <v>2485</v>
      </c>
      <c r="BC840" s="47" t="s">
        <v>8726</v>
      </c>
      <c r="BD840" s="47" t="s">
        <v>8374</v>
      </c>
      <c r="BE840" s="48" t="s">
        <v>2449</v>
      </c>
      <c r="BF840" s="48" t="s">
        <v>272</v>
      </c>
      <c r="BG840" s="48" t="s">
        <v>272</v>
      </c>
      <c r="BH840" s="48" t="s">
        <v>2486</v>
      </c>
      <c r="BI840" s="98">
        <v>2.1457919999999997E-3</v>
      </c>
      <c r="BJ840" s="98">
        <v>21.457919999999998</v>
      </c>
      <c r="BK840" s="48"/>
      <c r="BL840" s="487">
        <v>0.29328958958761553</v>
      </c>
      <c r="BM840" s="47" t="s">
        <v>2487</v>
      </c>
      <c r="BN840" s="48"/>
      <c r="BO840" s="48"/>
      <c r="BP840" s="48"/>
      <c r="BQ840" s="48"/>
      <c r="BR840" s="47" t="e">
        <v>#VALUE!</v>
      </c>
      <c r="BS840" s="48"/>
      <c r="BT840" s="48"/>
      <c r="BU840" s="228"/>
      <c r="BV840" s="48"/>
      <c r="BW840" s="48"/>
      <c r="BX840" s="48"/>
      <c r="BY840" s="48"/>
      <c r="BZ840" s="48"/>
      <c r="CA840" s="48"/>
      <c r="CB840" s="48"/>
      <c r="CC840" s="48"/>
      <c r="CD840" s="48"/>
      <c r="CE840" s="48"/>
      <c r="CF840" s="48"/>
      <c r="CG840" s="48"/>
      <c r="CH840" s="48"/>
      <c r="CI840" s="98"/>
      <c r="CJ840" s="98"/>
      <c r="CK840" s="49">
        <f t="shared" si="167"/>
        <v>1.3668127646464129E-2</v>
      </c>
      <c r="CL840" s="229"/>
      <c r="CM840" s="229"/>
      <c r="CN840" s="229"/>
      <c r="CO840" s="47" t="s">
        <v>2488</v>
      </c>
      <c r="CP840" s="500" t="s">
        <v>2489</v>
      </c>
      <c r="CQ840" s="224">
        <v>-1.0772665892698581</v>
      </c>
      <c r="CR840" s="224">
        <f>10^(CJ840-CQ840)</f>
        <v>11.947212524662707</v>
      </c>
      <c r="CS840" s="230" t="s">
        <v>539</v>
      </c>
      <c r="CT840" s="230"/>
      <c r="CU840" s="230"/>
      <c r="CV840" s="335">
        <f t="shared" si="168"/>
        <v>8.57492245287521E-3</v>
      </c>
      <c r="CW840" s="230">
        <f t="shared" si="166"/>
        <v>0</v>
      </c>
      <c r="CX840" s="336"/>
      <c r="CY840" s="230" t="s">
        <v>5921</v>
      </c>
    </row>
    <row r="841" spans="1:103" ht="11.25" customHeight="1" x14ac:dyDescent="0.2">
      <c r="A841" s="72">
        <v>1190</v>
      </c>
      <c r="B841" s="224">
        <v>1579</v>
      </c>
      <c r="C841" s="46" t="s">
        <v>7329</v>
      </c>
      <c r="D841" s="46"/>
      <c r="E841" s="114"/>
      <c r="F841" s="114" t="s">
        <v>3795</v>
      </c>
      <c r="G841" s="225">
        <v>1596845</v>
      </c>
      <c r="H841" s="47" t="s">
        <v>3796</v>
      </c>
      <c r="I841" s="47" t="s">
        <v>8070</v>
      </c>
      <c r="J841" s="47" t="s">
        <v>3797</v>
      </c>
      <c r="K841" s="47" t="s">
        <v>483</v>
      </c>
      <c r="L841" s="47"/>
      <c r="M841" s="47"/>
      <c r="N841" s="47"/>
      <c r="O841" s="47"/>
      <c r="P841" s="53"/>
      <c r="Q841" s="53"/>
      <c r="R841" s="53"/>
      <c r="S841" s="53"/>
      <c r="T841" s="48">
        <v>160.16999999999999</v>
      </c>
      <c r="U841" s="98">
        <v>100000</v>
      </c>
      <c r="V841" s="98">
        <v>63900</v>
      </c>
      <c r="W841" s="98">
        <v>216063.38490470519</v>
      </c>
      <c r="X841" s="98">
        <v>100000</v>
      </c>
      <c r="Y841" s="233">
        <v>4.17</v>
      </c>
      <c r="Z841" s="48">
        <v>-1.51</v>
      </c>
      <c r="AA841" s="48">
        <v>-1.5</v>
      </c>
      <c r="AB841" s="48">
        <v>-0.84</v>
      </c>
      <c r="AC841" s="48">
        <v>0.74139999999999995</v>
      </c>
      <c r="AD841" s="48">
        <v>-0.93</v>
      </c>
      <c r="AE841" s="48">
        <v>-1.1399999999999999</v>
      </c>
      <c r="AF841" s="48">
        <f t="shared" si="172"/>
        <v>-1.5</v>
      </c>
      <c r="AG841" s="49">
        <v>-0.84</v>
      </c>
      <c r="AH841" s="98">
        <v>2.2200000000000002E-15</v>
      </c>
      <c r="AI841" s="98">
        <v>4.2299999999999999E-10</v>
      </c>
      <c r="AJ841" s="483">
        <f t="shared" si="173"/>
        <v>-13.042213351862014</v>
      </c>
      <c r="AK841" s="483">
        <f t="shared" si="173"/>
        <v>-7.7622259589376092</v>
      </c>
      <c r="AL841" s="483">
        <f t="shared" si="174"/>
        <v>-7.7622259589376092</v>
      </c>
      <c r="AM841" s="483">
        <v>-15.238519999999999</v>
      </c>
      <c r="AN841" s="226">
        <v>-12.3</v>
      </c>
      <c r="AO841" s="484">
        <v>5.59</v>
      </c>
      <c r="AP841" s="484">
        <v>3.41</v>
      </c>
      <c r="AQ841" s="48" t="s">
        <v>6311</v>
      </c>
      <c r="AR841" s="48" t="s">
        <v>6311</v>
      </c>
      <c r="AS841" s="227"/>
      <c r="AT841" s="50" t="s">
        <v>266</v>
      </c>
      <c r="AU841" s="48">
        <v>6</v>
      </c>
      <c r="AV841" s="48">
        <v>120</v>
      </c>
      <c r="AW841" s="48">
        <v>114</v>
      </c>
      <c r="AX841" s="48">
        <v>28</v>
      </c>
      <c r="AY841" s="48" t="s">
        <v>8728</v>
      </c>
      <c r="AZ841" s="48" t="s">
        <v>1563</v>
      </c>
      <c r="BA841" s="48">
        <v>32</v>
      </c>
      <c r="BB841" s="47" t="s">
        <v>2485</v>
      </c>
      <c r="BC841" s="47" t="s">
        <v>8726</v>
      </c>
      <c r="BD841" s="47" t="s">
        <v>8374</v>
      </c>
      <c r="BE841" s="48" t="s">
        <v>2449</v>
      </c>
      <c r="BF841" s="48" t="s">
        <v>272</v>
      </c>
      <c r="BG841" s="48" t="s">
        <v>272</v>
      </c>
      <c r="BH841" s="48" t="s">
        <v>2486</v>
      </c>
      <c r="BI841" s="98">
        <v>1.025088E-3</v>
      </c>
      <c r="BJ841" s="98">
        <v>10.250879999999999</v>
      </c>
      <c r="BK841" s="48"/>
      <c r="BL841" s="487">
        <v>186858.20627866147</v>
      </c>
      <c r="BM841" s="47" t="s">
        <v>2487</v>
      </c>
      <c r="BN841" s="48"/>
      <c r="BO841" s="48"/>
      <c r="BP841" s="48"/>
      <c r="BQ841" s="48"/>
      <c r="BR841" s="47" t="e">
        <v>#VALUE!</v>
      </c>
      <c r="BS841" s="48"/>
      <c r="BT841" s="48"/>
      <c r="BU841" s="228"/>
      <c r="BV841" s="48"/>
      <c r="BW841" s="48"/>
      <c r="BX841" s="48"/>
      <c r="BY841" s="48"/>
      <c r="BZ841" s="48"/>
      <c r="CA841" s="48"/>
      <c r="CB841" s="48"/>
      <c r="CC841" s="48"/>
      <c r="CD841" s="48"/>
      <c r="CE841" s="48"/>
      <c r="CF841" s="48"/>
      <c r="CG841" s="48"/>
      <c r="CH841" s="48"/>
      <c r="CI841" s="98"/>
      <c r="CJ841" s="98"/>
      <c r="CK841" s="49">
        <f t="shared" si="167"/>
        <v>18228.50392148396</v>
      </c>
      <c r="CL841" s="229"/>
      <c r="CM841" s="229"/>
      <c r="CN841" s="229"/>
      <c r="CO841" s="47" t="s">
        <v>2488</v>
      </c>
      <c r="CP841" s="500" t="s">
        <v>2489</v>
      </c>
      <c r="CQ841" s="224">
        <v>2.4122321412052092</v>
      </c>
      <c r="CR841" s="224">
        <f>10^(CJ841-CQ841)</f>
        <v>3.8705070138914505E-3</v>
      </c>
      <c r="CS841" s="230" t="s">
        <v>539</v>
      </c>
      <c r="CT841" s="230"/>
      <c r="CU841" s="230"/>
      <c r="CV841" s="335">
        <f t="shared" si="168"/>
        <v>9755.2600362115263</v>
      </c>
      <c r="CW841" s="230">
        <f t="shared" si="166"/>
        <v>1</v>
      </c>
      <c r="CX841" s="336"/>
      <c r="CY841" s="230" t="s">
        <v>5921</v>
      </c>
    </row>
    <row r="842" spans="1:103" ht="11.25" customHeight="1" x14ac:dyDescent="0.2">
      <c r="A842" s="72">
        <v>1192</v>
      </c>
      <c r="B842" s="224">
        <v>1255</v>
      </c>
      <c r="C842" s="46" t="s">
        <v>7330</v>
      </c>
      <c r="D842" s="46" t="s">
        <v>8621</v>
      </c>
      <c r="E842" s="114"/>
      <c r="F842" s="114" t="s">
        <v>3450</v>
      </c>
      <c r="G842" s="225">
        <v>1610180</v>
      </c>
      <c r="H842" s="47" t="s">
        <v>3451</v>
      </c>
      <c r="I842" s="47" t="s">
        <v>3451</v>
      </c>
      <c r="J842" s="47" t="s">
        <v>3452</v>
      </c>
      <c r="K842" s="47" t="s">
        <v>940</v>
      </c>
      <c r="L842" s="47" t="s">
        <v>6050</v>
      </c>
      <c r="M842" s="47" t="s">
        <v>6082</v>
      </c>
      <c r="N842" s="47" t="s">
        <v>6082</v>
      </c>
      <c r="O842" s="47" t="s">
        <v>6083</v>
      </c>
      <c r="P842" s="53"/>
      <c r="Q842" s="53"/>
      <c r="R842" s="53"/>
      <c r="S842" s="53"/>
      <c r="T842" s="48">
        <v>225.29</v>
      </c>
      <c r="U842" s="98">
        <v>750</v>
      </c>
      <c r="V842" s="98">
        <v>90.19</v>
      </c>
      <c r="W842" s="98">
        <v>553.02137161468045</v>
      </c>
      <c r="X842" s="98">
        <v>750</v>
      </c>
      <c r="Y842" s="233">
        <v>7.99</v>
      </c>
      <c r="Z842" s="48">
        <v>3.57</v>
      </c>
      <c r="AA842" s="48">
        <v>2.99</v>
      </c>
      <c r="AB842" s="48">
        <v>2.76</v>
      </c>
      <c r="AC842" s="48">
        <v>0.91990000000000005</v>
      </c>
      <c r="AD842" s="48">
        <v>2.79</v>
      </c>
      <c r="AE842" s="48">
        <v>2.91</v>
      </c>
      <c r="AF842" s="48">
        <f t="shared" si="172"/>
        <v>2.99</v>
      </c>
      <c r="AG842" s="49">
        <v>2.25</v>
      </c>
      <c r="AH842" s="98">
        <v>4.32E-9</v>
      </c>
      <c r="AI842" s="98">
        <v>9.0899999999999996E-10</v>
      </c>
      <c r="AJ842" s="483">
        <f t="shared" si="173"/>
        <v>-6.7530825794977396</v>
      </c>
      <c r="AK842" s="483">
        <f t="shared" si="173"/>
        <v>-7.4300024430906841</v>
      </c>
      <c r="AL842" s="483">
        <f t="shared" si="174"/>
        <v>-7.4300024430906841</v>
      </c>
      <c r="AM842" s="483">
        <v>-11.672529999999998</v>
      </c>
      <c r="AN842" s="226">
        <v>-8.6</v>
      </c>
      <c r="AO842" s="484"/>
      <c r="AP842" s="484">
        <v>4.3600000000000003</v>
      </c>
      <c r="AQ842" s="48" t="s">
        <v>6311</v>
      </c>
      <c r="AR842" s="48" t="s">
        <v>6311</v>
      </c>
      <c r="AS842" s="227"/>
      <c r="AT842" s="50" t="s">
        <v>266</v>
      </c>
      <c r="AU842" s="48">
        <v>6</v>
      </c>
      <c r="AV842" s="48">
        <v>120</v>
      </c>
      <c r="AW842" s="48">
        <v>114</v>
      </c>
      <c r="AX842" s="48">
        <v>28</v>
      </c>
      <c r="AY842" s="48" t="s">
        <v>8728</v>
      </c>
      <c r="AZ842" s="48" t="s">
        <v>1563</v>
      </c>
      <c r="BA842" s="48">
        <v>32</v>
      </c>
      <c r="BB842" s="47" t="s">
        <v>2485</v>
      </c>
      <c r="BC842" s="47" t="s">
        <v>8726</v>
      </c>
      <c r="BD842" s="47" t="s">
        <v>8374</v>
      </c>
      <c r="BE842" s="48" t="s">
        <v>2449</v>
      </c>
      <c r="BF842" s="48" t="s">
        <v>272</v>
      </c>
      <c r="BG842" s="48" t="s">
        <v>272</v>
      </c>
      <c r="BH842" s="48" t="s">
        <v>2486</v>
      </c>
      <c r="BI842" s="98">
        <v>1.4418559999999998E-3</v>
      </c>
      <c r="BJ842" s="98">
        <v>14.418559999999999</v>
      </c>
      <c r="BK842" s="48"/>
      <c r="BL842" s="487">
        <v>7.1998743118286477</v>
      </c>
      <c r="BM842" s="47" t="s">
        <v>2487</v>
      </c>
      <c r="BN842" s="48"/>
      <c r="BO842" s="48"/>
      <c r="BP842" s="48"/>
      <c r="BQ842" s="48"/>
      <c r="BR842" s="47" t="e">
        <v>#VALUE!</v>
      </c>
      <c r="BS842" s="48"/>
      <c r="BT842" s="48"/>
      <c r="BU842" s="228">
        <v>1.4418559999999998E-3</v>
      </c>
      <c r="BV842" s="48"/>
      <c r="BW842" s="48"/>
      <c r="BX842" s="48"/>
      <c r="BY842" s="48"/>
      <c r="BZ842" s="48"/>
      <c r="CA842" s="48"/>
      <c r="CB842" s="48"/>
      <c r="CC842" s="48"/>
      <c r="CD842" s="48"/>
      <c r="CE842" s="48"/>
      <c r="CF842" s="48"/>
      <c r="CG842" s="48"/>
      <c r="CH842" s="48"/>
      <c r="CI842" s="98"/>
      <c r="CJ842" s="98"/>
      <c r="CK842" s="49">
        <f t="shared" si="167"/>
        <v>0.49934766799379743</v>
      </c>
      <c r="CL842" s="229"/>
      <c r="CM842" s="229"/>
      <c r="CN842" s="229"/>
      <c r="CO842" s="47" t="s">
        <v>2488</v>
      </c>
      <c r="CP842" s="500" t="s">
        <v>2489</v>
      </c>
      <c r="CQ842" s="224">
        <v>1.3267181545620503</v>
      </c>
      <c r="CR842" s="224">
        <f>10^(CJ842-CQ842)</f>
        <v>4.7128307721565309E-2</v>
      </c>
      <c r="CS842" s="230" t="s">
        <v>539</v>
      </c>
      <c r="CT842" s="230"/>
      <c r="CU842" s="230"/>
      <c r="CV842" s="335">
        <f t="shared" si="168"/>
        <v>52.016290114962942</v>
      </c>
      <c r="CW842" s="230">
        <f t="shared" si="166"/>
        <v>1</v>
      </c>
      <c r="CX842" s="336"/>
      <c r="CY842" s="230" t="s">
        <v>5921</v>
      </c>
    </row>
    <row r="843" spans="1:103" ht="11.25" customHeight="1" x14ac:dyDescent="0.2">
      <c r="A843" s="72">
        <v>1194</v>
      </c>
      <c r="B843" s="224">
        <v>1175</v>
      </c>
      <c r="C843" s="46" t="s">
        <v>7331</v>
      </c>
      <c r="D843" s="46"/>
      <c r="E843" s="114"/>
      <c r="F843" s="114" t="s">
        <v>3244</v>
      </c>
      <c r="G843" s="225">
        <v>1634782</v>
      </c>
      <c r="H843" s="47" t="s">
        <v>3245</v>
      </c>
      <c r="I843" s="47" t="s">
        <v>3245</v>
      </c>
      <c r="J843" s="47" t="s">
        <v>3246</v>
      </c>
      <c r="K843" s="47" t="s">
        <v>637</v>
      </c>
      <c r="L843" s="47"/>
      <c r="M843" s="47" t="s">
        <v>618</v>
      </c>
      <c r="N843" s="47"/>
      <c r="O843" s="47"/>
      <c r="P843" s="53"/>
      <c r="Q843" s="53"/>
      <c r="R843" s="53"/>
      <c r="S843" s="53"/>
      <c r="T843" s="48">
        <v>314.29000000000002</v>
      </c>
      <c r="U843" s="98">
        <v>7500</v>
      </c>
      <c r="V843" s="98">
        <v>3622</v>
      </c>
      <c r="W843" s="98">
        <v>15751.813565671535</v>
      </c>
      <c r="X843" s="98">
        <v>7500</v>
      </c>
      <c r="Y843" s="233">
        <v>7</v>
      </c>
      <c r="Z843" s="48">
        <v>0.52</v>
      </c>
      <c r="AA843" s="48"/>
      <c r="AB843" s="48">
        <v>1.32</v>
      </c>
      <c r="AC843" s="48">
        <v>0.57120000000000004</v>
      </c>
      <c r="AD843" s="48">
        <v>1.66</v>
      </c>
      <c r="AE843" s="48">
        <v>2.0699999999999998</v>
      </c>
      <c r="AF843" s="48">
        <f t="shared" si="172"/>
        <v>1.66</v>
      </c>
      <c r="AG843" s="49">
        <v>1.0900000000000001</v>
      </c>
      <c r="AH843" s="98">
        <v>1.81E-12</v>
      </c>
      <c r="AI843" s="98">
        <v>5.4E-10</v>
      </c>
      <c r="AJ843" s="483">
        <f t="shared" si="173"/>
        <v>-10.130887751443467</v>
      </c>
      <c r="AK843" s="483">
        <f t="shared" si="173"/>
        <v>-7.6561725664896834</v>
      </c>
      <c r="AL843" s="483">
        <f t="shared" si="174"/>
        <v>-7.6561725664896834</v>
      </c>
      <c r="AM843" s="483">
        <v>-14.283380000000001</v>
      </c>
      <c r="AN843" s="226">
        <v>-8.6199999999999992</v>
      </c>
      <c r="AO843" s="484"/>
      <c r="AP843" s="484"/>
      <c r="AQ843" s="48" t="s">
        <v>6312</v>
      </c>
      <c r="AR843" s="48" t="s">
        <v>6312</v>
      </c>
      <c r="AS843" s="227"/>
      <c r="AT843" s="50" t="s">
        <v>266</v>
      </c>
      <c r="AU843" s="48">
        <v>6</v>
      </c>
      <c r="AV843" s="48">
        <v>120</v>
      </c>
      <c r="AW843" s="48">
        <v>114</v>
      </c>
      <c r="AX843" s="48">
        <v>28</v>
      </c>
      <c r="AY843" s="48" t="s">
        <v>8728</v>
      </c>
      <c r="AZ843" s="48" t="s">
        <v>1563</v>
      </c>
      <c r="BA843" s="48">
        <v>32</v>
      </c>
      <c r="BB843" s="47" t="s">
        <v>2485</v>
      </c>
      <c r="BC843" s="47" t="s">
        <v>8726</v>
      </c>
      <c r="BD843" s="47" t="s">
        <v>8374</v>
      </c>
      <c r="BE843" s="48" t="s">
        <v>2449</v>
      </c>
      <c r="BF843" s="48" t="s">
        <v>272</v>
      </c>
      <c r="BG843" s="48" t="s">
        <v>272</v>
      </c>
      <c r="BH843" s="48" t="s">
        <v>2486</v>
      </c>
      <c r="BI843" s="98">
        <v>2.011456E-3</v>
      </c>
      <c r="BJ843" s="98">
        <v>20.114560000000001</v>
      </c>
      <c r="BK843" s="48"/>
      <c r="BL843" s="487">
        <v>5509.5808815897444</v>
      </c>
      <c r="BM843" s="47" t="s">
        <v>2487</v>
      </c>
      <c r="BN843" s="48"/>
      <c r="BO843" s="48"/>
      <c r="BP843" s="48"/>
      <c r="BQ843" s="48"/>
      <c r="BR843" s="47" t="e">
        <v>#VALUE!</v>
      </c>
      <c r="BS843" s="48"/>
      <c r="BT843" s="48"/>
      <c r="BU843" s="228">
        <v>2.0114560000000004</v>
      </c>
      <c r="BV843" s="48"/>
      <c r="BW843" s="48"/>
      <c r="BX843" s="48"/>
      <c r="BY843" s="48"/>
      <c r="BZ843" s="48"/>
      <c r="CA843" s="48"/>
      <c r="CB843" s="48"/>
      <c r="CC843" s="48"/>
      <c r="CD843" s="48"/>
      <c r="CE843" s="48"/>
      <c r="CF843" s="48"/>
      <c r="CG843" s="48"/>
      <c r="CH843" s="48"/>
      <c r="CI843" s="98"/>
      <c r="CJ843" s="98"/>
      <c r="CK843" s="49">
        <f t="shared" si="167"/>
        <v>273.91008710057514</v>
      </c>
      <c r="CL843" s="229"/>
      <c r="CM843" s="229"/>
      <c r="CN843" s="229"/>
      <c r="CO843" s="47" t="s">
        <v>2488</v>
      </c>
      <c r="CP843" s="500" t="s">
        <v>2489</v>
      </c>
      <c r="CQ843" s="224" t="s">
        <v>272</v>
      </c>
      <c r="CR843" s="224"/>
      <c r="CS843" s="230" t="s">
        <v>539</v>
      </c>
      <c r="CT843" s="230"/>
      <c r="CU843" s="230"/>
      <c r="CV843" s="335">
        <f t="shared" si="168"/>
        <v>372.86423366954085</v>
      </c>
      <c r="CW843" s="230">
        <f t="shared" si="166"/>
        <v>1</v>
      </c>
      <c r="CX843" s="336"/>
      <c r="CY843" s="230" t="s">
        <v>5921</v>
      </c>
    </row>
    <row r="844" spans="1:103" ht="11.25" customHeight="1" x14ac:dyDescent="0.2">
      <c r="A844" s="72">
        <v>1195</v>
      </c>
      <c r="B844" s="224">
        <v>1021</v>
      </c>
      <c r="C844" s="46" t="s">
        <v>7332</v>
      </c>
      <c r="D844" s="46"/>
      <c r="E844" s="114"/>
      <c r="F844" s="114" t="s">
        <v>2912</v>
      </c>
      <c r="G844" s="225">
        <v>1646759</v>
      </c>
      <c r="H844" s="47" t="s">
        <v>2913</v>
      </c>
      <c r="I844" s="47" t="s">
        <v>2913</v>
      </c>
      <c r="J844" s="47" t="s">
        <v>2914</v>
      </c>
      <c r="K844" s="47" t="s">
        <v>300</v>
      </c>
      <c r="L844" s="47"/>
      <c r="M844" s="47"/>
      <c r="N844" s="47"/>
      <c r="O844" s="47"/>
      <c r="P844" s="53"/>
      <c r="Q844" s="53"/>
      <c r="R844" s="53"/>
      <c r="S844" s="53"/>
      <c r="T844" s="48">
        <v>133.21</v>
      </c>
      <c r="U844" s="98"/>
      <c r="V844" s="98">
        <v>20360</v>
      </c>
      <c r="W844" s="98">
        <v>12721.456238391544</v>
      </c>
      <c r="X844" s="98">
        <v>12721.456238391544</v>
      </c>
      <c r="Y844" s="233">
        <v>6</v>
      </c>
      <c r="Z844" s="48">
        <v>0.75</v>
      </c>
      <c r="AA844" s="48"/>
      <c r="AB844" s="48">
        <v>1.61</v>
      </c>
      <c r="AC844" s="48">
        <v>0.70189999999999997</v>
      </c>
      <c r="AD844" s="48">
        <v>1.47</v>
      </c>
      <c r="AE844" s="48">
        <v>1.21</v>
      </c>
      <c r="AF844" s="48">
        <f t="shared" si="172"/>
        <v>1.47</v>
      </c>
      <c r="AG844" s="49">
        <v>1.64</v>
      </c>
      <c r="AH844" s="98">
        <v>1.1000000000000001E-7</v>
      </c>
      <c r="AI844" s="98"/>
      <c r="AJ844" s="483">
        <f t="shared" ref="AJ844:AJ875" si="175">LOG10(AH844*1000/(0.08206*298.15))</f>
        <v>-5.3471736411544271</v>
      </c>
      <c r="AK844" s="483"/>
      <c r="AL844" s="483">
        <f t="shared" si="174"/>
        <v>-5.3471736411544271</v>
      </c>
      <c r="AM844" s="483">
        <v>-5.6237399999999997</v>
      </c>
      <c r="AN844" s="226">
        <v>-4.54</v>
      </c>
      <c r="AO844" s="484">
        <v>10.99</v>
      </c>
      <c r="AP844" s="484"/>
      <c r="AQ844" s="48" t="s">
        <v>6311</v>
      </c>
      <c r="AR844" s="48" t="s">
        <v>6311</v>
      </c>
      <c r="AS844" s="227"/>
      <c r="AT844" s="50" t="s">
        <v>266</v>
      </c>
      <c r="AU844" s="48">
        <v>6</v>
      </c>
      <c r="AV844" s="48">
        <v>120</v>
      </c>
      <c r="AW844" s="48">
        <v>114</v>
      </c>
      <c r="AX844" s="48">
        <v>28</v>
      </c>
      <c r="AY844" s="48" t="s">
        <v>8728</v>
      </c>
      <c r="AZ844" s="48" t="s">
        <v>1563</v>
      </c>
      <c r="BA844" s="48">
        <v>32</v>
      </c>
      <c r="BB844" s="47" t="s">
        <v>2485</v>
      </c>
      <c r="BC844" s="47" t="s">
        <v>8726</v>
      </c>
      <c r="BD844" s="47" t="s">
        <v>8374</v>
      </c>
      <c r="BE844" s="48" t="s">
        <v>2449</v>
      </c>
      <c r="BF844" s="48" t="s">
        <v>272</v>
      </c>
      <c r="BG844" s="48" t="s">
        <v>272</v>
      </c>
      <c r="BH844" s="48" t="s">
        <v>2486</v>
      </c>
      <c r="BI844" s="98">
        <v>8.52544E-4</v>
      </c>
      <c r="BJ844" s="98">
        <v>8.5254400000000015</v>
      </c>
      <c r="BK844" s="48"/>
      <c r="BL844" s="487">
        <v>1451.315482504257</v>
      </c>
      <c r="BM844" s="47" t="s">
        <v>2487</v>
      </c>
      <c r="BN844" s="48"/>
      <c r="BO844" s="48"/>
      <c r="BP844" s="48"/>
      <c r="BQ844" s="48"/>
      <c r="BR844" s="47" t="e">
        <v>#VALUE!</v>
      </c>
      <c r="BS844" s="48"/>
      <c r="BT844" s="48"/>
      <c r="BU844" s="228">
        <v>8.5254400000000008E-2</v>
      </c>
      <c r="BV844" s="48"/>
      <c r="BW844" s="48"/>
      <c r="BX844" s="48"/>
      <c r="BY844" s="48"/>
      <c r="BZ844" s="48"/>
      <c r="CA844" s="48"/>
      <c r="CB844" s="48"/>
      <c r="CC844" s="48"/>
      <c r="CD844" s="48"/>
      <c r="CE844" s="48"/>
      <c r="CF844" s="48"/>
      <c r="CG844" s="48"/>
      <c r="CH844" s="48"/>
      <c r="CI844" s="98"/>
      <c r="CJ844" s="98"/>
      <c r="CK844" s="49">
        <f t="shared" si="167"/>
        <v>170.23349909262828</v>
      </c>
      <c r="CL844" s="229"/>
      <c r="CM844" s="229"/>
      <c r="CN844" s="229"/>
      <c r="CO844" s="47" t="s">
        <v>2488</v>
      </c>
      <c r="CP844" s="500" t="s">
        <v>2489</v>
      </c>
      <c r="CQ844" s="224" t="s">
        <v>272</v>
      </c>
      <c r="CR844" s="224"/>
      <c r="CS844" s="230" t="s">
        <v>539</v>
      </c>
      <c r="CT844" s="230"/>
      <c r="CU844" s="230"/>
      <c r="CV844" s="335">
        <f t="shared" si="168"/>
        <v>1492.1759156584928</v>
      </c>
      <c r="CW844" s="230">
        <f t="shared" si="166"/>
        <v>1</v>
      </c>
      <c r="CX844" s="336"/>
      <c r="CY844" s="230" t="s">
        <v>5921</v>
      </c>
    </row>
    <row r="845" spans="1:103" ht="11.25" customHeight="1" x14ac:dyDescent="0.2">
      <c r="A845" s="72">
        <v>1197</v>
      </c>
      <c r="B845" s="224">
        <v>1551</v>
      </c>
      <c r="C845" s="46" t="s">
        <v>7333</v>
      </c>
      <c r="D845" s="46"/>
      <c r="E845" s="114"/>
      <c r="F845" s="114" t="s">
        <v>3752</v>
      </c>
      <c r="G845" s="225">
        <v>1698608</v>
      </c>
      <c r="H845" s="47" t="s">
        <v>3753</v>
      </c>
      <c r="I845" s="47" t="s">
        <v>8071</v>
      </c>
      <c r="J845" s="47" t="s">
        <v>3754</v>
      </c>
      <c r="K845" s="47" t="s">
        <v>3353</v>
      </c>
      <c r="L845" s="47"/>
      <c r="M845" s="47"/>
      <c r="N845" s="47"/>
      <c r="O845" s="47"/>
      <c r="P845" s="53"/>
      <c r="Q845" s="53"/>
      <c r="R845" s="53"/>
      <c r="S845" s="53"/>
      <c r="T845" s="48">
        <v>221.64</v>
      </c>
      <c r="U845" s="98">
        <v>400</v>
      </c>
      <c r="V845" s="98">
        <v>3585.0000000000005</v>
      </c>
      <c r="W845" s="98">
        <v>127.54050771140733</v>
      </c>
      <c r="X845" s="98">
        <v>400</v>
      </c>
      <c r="Y845" s="233">
        <v>7</v>
      </c>
      <c r="Z845" s="48">
        <v>0.76</v>
      </c>
      <c r="AA845" s="48">
        <v>1.1399999999999999</v>
      </c>
      <c r="AB845" s="48">
        <v>0.96</v>
      </c>
      <c r="AC845" s="48">
        <v>0.85029999999999994</v>
      </c>
      <c r="AD845" s="48">
        <v>0.92</v>
      </c>
      <c r="AE845" s="48">
        <v>0.73</v>
      </c>
      <c r="AF845" s="48">
        <f t="shared" si="172"/>
        <v>1.1399999999999999</v>
      </c>
      <c r="AG845" s="49">
        <v>1.43</v>
      </c>
      <c r="AH845" s="98">
        <v>6.54E-12</v>
      </c>
      <c r="AI845" s="98">
        <v>3.3299999999999999E-10</v>
      </c>
      <c r="AJ845" s="483">
        <f t="shared" si="175"/>
        <v>-9.5729885779883848</v>
      </c>
      <c r="AK845" s="483">
        <f>LOG10(AI845*1000/(0.08206*298.15))</f>
        <v>-7.8661220928063322</v>
      </c>
      <c r="AL845" s="483">
        <f t="shared" si="174"/>
        <v>-7.8661220928063322</v>
      </c>
      <c r="AM845" s="483">
        <v>-14.229660000000003</v>
      </c>
      <c r="AN845" s="226">
        <v>-8.8000000000000007</v>
      </c>
      <c r="AO845" s="484"/>
      <c r="AP845" s="484">
        <v>0.71</v>
      </c>
      <c r="AQ845" s="48" t="s">
        <v>6311</v>
      </c>
      <c r="AR845" s="48" t="s">
        <v>6311</v>
      </c>
      <c r="AS845" s="227"/>
      <c r="AT845" s="50" t="s">
        <v>266</v>
      </c>
      <c r="AU845" s="48">
        <v>6</v>
      </c>
      <c r="AV845" s="48">
        <v>120</v>
      </c>
      <c r="AW845" s="48">
        <v>114</v>
      </c>
      <c r="AX845" s="48">
        <v>28</v>
      </c>
      <c r="AY845" s="48" t="s">
        <v>8728</v>
      </c>
      <c r="AZ845" s="48" t="s">
        <v>1563</v>
      </c>
      <c r="BA845" s="48">
        <v>32</v>
      </c>
      <c r="BB845" s="47" t="s">
        <v>2485</v>
      </c>
      <c r="BC845" s="47" t="s">
        <v>8726</v>
      </c>
      <c r="BD845" s="47" t="s">
        <v>8374</v>
      </c>
      <c r="BE845" s="48" t="s">
        <v>2449</v>
      </c>
      <c r="BF845" s="48" t="s">
        <v>272</v>
      </c>
      <c r="BG845" s="48" t="s">
        <v>272</v>
      </c>
      <c r="BH845" s="48" t="s">
        <v>2486</v>
      </c>
      <c r="BI845" s="98">
        <v>1.4184959999999998E-3</v>
      </c>
      <c r="BJ845" s="98">
        <v>14.18496</v>
      </c>
      <c r="BK845" s="48"/>
      <c r="BL845" s="487">
        <v>2365.3321862378039</v>
      </c>
      <c r="BM845" s="47" t="s">
        <v>2487</v>
      </c>
      <c r="BN845" s="48"/>
      <c r="BO845" s="48"/>
      <c r="BP845" s="48"/>
      <c r="BQ845" s="48"/>
      <c r="BR845" s="47" t="e">
        <v>#VALUE!</v>
      </c>
      <c r="BS845" s="48"/>
      <c r="BT845" s="48"/>
      <c r="BU845" s="228"/>
      <c r="BV845" s="48"/>
      <c r="BW845" s="48"/>
      <c r="BX845" s="48"/>
      <c r="BY845" s="48"/>
      <c r="BZ845" s="48"/>
      <c r="CA845" s="48"/>
      <c r="CB845" s="48"/>
      <c r="CC845" s="48"/>
      <c r="CD845" s="48"/>
      <c r="CE845" s="48"/>
      <c r="CF845" s="48"/>
      <c r="CG845" s="48"/>
      <c r="CH845" s="48"/>
      <c r="CI845" s="98"/>
      <c r="CJ845" s="98"/>
      <c r="CK845" s="49">
        <f t="shared" si="167"/>
        <v>166.74930251744127</v>
      </c>
      <c r="CL845" s="229"/>
      <c r="CM845" s="229"/>
      <c r="CN845" s="229"/>
      <c r="CO845" s="47" t="s">
        <v>2488</v>
      </c>
      <c r="CP845" s="500" t="s">
        <v>2489</v>
      </c>
      <c r="CQ845" s="224" t="s">
        <v>272</v>
      </c>
      <c r="CR845" s="224"/>
      <c r="CS845" s="230" t="s">
        <v>539</v>
      </c>
      <c r="CT845" s="230"/>
      <c r="CU845" s="230"/>
      <c r="CV845" s="335">
        <f t="shared" si="168"/>
        <v>28.198881068399206</v>
      </c>
      <c r="CW845" s="230">
        <f t="shared" si="166"/>
        <v>1</v>
      </c>
      <c r="CX845" s="336"/>
      <c r="CY845" s="230" t="s">
        <v>5921</v>
      </c>
    </row>
    <row r="846" spans="1:103" ht="11.25" customHeight="1" x14ac:dyDescent="0.2">
      <c r="A846" s="72">
        <v>1199</v>
      </c>
      <c r="B846" s="224">
        <v>1070</v>
      </c>
      <c r="C846" s="46" t="s">
        <v>7334</v>
      </c>
      <c r="D846" s="46" t="s">
        <v>8622</v>
      </c>
      <c r="E846" s="114"/>
      <c r="F846" s="114" t="s">
        <v>3012</v>
      </c>
      <c r="G846" s="225">
        <v>1702176</v>
      </c>
      <c r="H846" s="47" t="s">
        <v>3013</v>
      </c>
      <c r="I846" s="47" t="s">
        <v>8072</v>
      </c>
      <c r="J846" s="47" t="s">
        <v>3014</v>
      </c>
      <c r="K846" s="47" t="s">
        <v>3015</v>
      </c>
      <c r="L846" s="47" t="s">
        <v>6032</v>
      </c>
      <c r="M846" s="47" t="s">
        <v>5960</v>
      </c>
      <c r="N846" s="47"/>
      <c r="O846" s="47"/>
      <c r="P846" s="53"/>
      <c r="Q846" s="53"/>
      <c r="R846" s="53"/>
      <c r="S846" s="53"/>
      <c r="T846" s="48">
        <v>192</v>
      </c>
      <c r="U846" s="98">
        <v>7850</v>
      </c>
      <c r="V846" s="98">
        <v>5974</v>
      </c>
      <c r="W846" s="98">
        <v>5050.1145444391304</v>
      </c>
      <c r="X846" s="98">
        <v>7850</v>
      </c>
      <c r="Y846" s="233">
        <v>1.93</v>
      </c>
      <c r="Z846" s="48">
        <v>1.63</v>
      </c>
      <c r="AA846" s="48">
        <v>1.06</v>
      </c>
      <c r="AB846" s="48">
        <v>1.97</v>
      </c>
      <c r="AC846" s="48">
        <v>0.83960000000000001</v>
      </c>
      <c r="AD846" s="48">
        <v>1.8</v>
      </c>
      <c r="AE846" s="48">
        <v>1.31</v>
      </c>
      <c r="AF846" s="48">
        <f t="shared" si="172"/>
        <v>1.06</v>
      </c>
      <c r="AG846" s="49">
        <v>2.0299999999999998</v>
      </c>
      <c r="AH846" s="98">
        <v>4.9200000000000004E-9</v>
      </c>
      <c r="AI846" s="98">
        <v>3.0300000000000001E-9</v>
      </c>
      <c r="AJ846" s="483">
        <f t="shared" si="175"/>
        <v>-6.6966012235452919</v>
      </c>
      <c r="AK846" s="483">
        <f>LOG10(AI846*1000/(0.08206*298.15))</f>
        <v>-6.9071236978103467</v>
      </c>
      <c r="AL846" s="483">
        <f t="shared" si="174"/>
        <v>-6.9071236978103467</v>
      </c>
      <c r="AM846" s="483">
        <v>-10.62134</v>
      </c>
      <c r="AN846" s="226">
        <v>-7.72</v>
      </c>
      <c r="AO846" s="484">
        <v>2.02</v>
      </c>
      <c r="AP846" s="484">
        <v>-3.21</v>
      </c>
      <c r="AQ846" s="48" t="s">
        <v>6311</v>
      </c>
      <c r="AR846" s="48" t="s">
        <v>6311</v>
      </c>
      <c r="AS846" s="227"/>
      <c r="AT846" s="50" t="s">
        <v>266</v>
      </c>
      <c r="AU846" s="48">
        <v>6</v>
      </c>
      <c r="AV846" s="48">
        <v>120</v>
      </c>
      <c r="AW846" s="48">
        <v>114</v>
      </c>
      <c r="AX846" s="48">
        <v>28</v>
      </c>
      <c r="AY846" s="48" t="s">
        <v>8728</v>
      </c>
      <c r="AZ846" s="48" t="s">
        <v>1563</v>
      </c>
      <c r="BA846" s="48">
        <v>32</v>
      </c>
      <c r="BB846" s="47" t="s">
        <v>2485</v>
      </c>
      <c r="BC846" s="47" t="s">
        <v>8726</v>
      </c>
      <c r="BD846" s="47" t="s">
        <v>8374</v>
      </c>
      <c r="BE846" s="48" t="s">
        <v>2449</v>
      </c>
      <c r="BF846" s="48" t="s">
        <v>272</v>
      </c>
      <c r="BG846" s="48" t="s">
        <v>272</v>
      </c>
      <c r="BH846" s="48" t="s">
        <v>2486</v>
      </c>
      <c r="BI846" s="98">
        <v>1.2287999999999999E-3</v>
      </c>
      <c r="BJ846" s="98">
        <v>12.288</v>
      </c>
      <c r="BK846" s="48"/>
      <c r="BL846" s="487">
        <v>338.99885294536443</v>
      </c>
      <c r="BM846" s="47" t="s">
        <v>2487</v>
      </c>
      <c r="BN846" s="48"/>
      <c r="BO846" s="48"/>
      <c r="BP846" s="48"/>
      <c r="BQ846" s="48"/>
      <c r="BR846" s="47" t="e">
        <v>#VALUE!</v>
      </c>
      <c r="BS846" s="48"/>
      <c r="BT846" s="48"/>
      <c r="BU846" s="228">
        <v>0.12288000000000002</v>
      </c>
      <c r="BV846" s="48"/>
      <c r="BW846" s="48"/>
      <c r="BX846" s="48"/>
      <c r="BY846" s="48"/>
      <c r="BZ846" s="48"/>
      <c r="CA846" s="48"/>
      <c r="CB846" s="48"/>
      <c r="CC846" s="48"/>
      <c r="CD846" s="48"/>
      <c r="CE846" s="48"/>
      <c r="CF846" s="48"/>
      <c r="CG846" s="48"/>
      <c r="CH846" s="48"/>
      <c r="CI846" s="98"/>
      <c r="CJ846" s="98"/>
      <c r="CK846" s="49">
        <f t="shared" si="167"/>
        <v>27.587797277454786</v>
      </c>
      <c r="CL846" s="229"/>
      <c r="CM846" s="229"/>
      <c r="CN846" s="229"/>
      <c r="CO846" s="47" t="s">
        <v>2488</v>
      </c>
      <c r="CP846" s="500" t="s">
        <v>2489</v>
      </c>
      <c r="CQ846" s="224">
        <v>2.8450980400142569</v>
      </c>
      <c r="CR846" s="224">
        <f t="shared" ref="CR846:CR854" si="176">10^(CJ846-CQ846)</f>
        <v>1.4285714285714277E-3</v>
      </c>
      <c r="CS846" s="230" t="s">
        <v>539</v>
      </c>
      <c r="CT846" s="230"/>
      <c r="CU846" s="230"/>
      <c r="CV846" s="335">
        <f t="shared" si="168"/>
        <v>638.83463541666663</v>
      </c>
      <c r="CW846" s="230">
        <f t="shared" si="166"/>
        <v>1</v>
      </c>
      <c r="CX846" s="336"/>
      <c r="CY846" s="230" t="s">
        <v>5921</v>
      </c>
    </row>
    <row r="847" spans="1:103" ht="11.25" customHeight="1" x14ac:dyDescent="0.2">
      <c r="A847" s="72">
        <v>1200</v>
      </c>
      <c r="B847" s="224">
        <v>1778</v>
      </c>
      <c r="C847" s="46" t="s">
        <v>7335</v>
      </c>
      <c r="D847" s="46" t="s">
        <v>8623</v>
      </c>
      <c r="E847" s="114"/>
      <c r="F847" s="114" t="s">
        <v>5114</v>
      </c>
      <c r="G847" s="225">
        <v>1836755</v>
      </c>
      <c r="H847" s="47" t="s">
        <v>5115</v>
      </c>
      <c r="I847" s="47" t="s">
        <v>8073</v>
      </c>
      <c r="J847" s="47" t="s">
        <v>5116</v>
      </c>
      <c r="K847" s="47" t="s">
        <v>426</v>
      </c>
      <c r="L847" s="47" t="s">
        <v>5248</v>
      </c>
      <c r="M847" s="47" t="s">
        <v>8523</v>
      </c>
      <c r="N847" s="47"/>
      <c r="O847" s="47" t="s">
        <v>6163</v>
      </c>
      <c r="P847" s="53"/>
      <c r="Q847" s="53"/>
      <c r="R847" s="53"/>
      <c r="S847" s="53"/>
      <c r="T847" s="48">
        <v>284.08999999999997</v>
      </c>
      <c r="U847" s="98">
        <v>1</v>
      </c>
      <c r="V847" s="98">
        <v>0.67400000000000004</v>
      </c>
      <c r="W847" s="98">
        <v>0.8779220294227853</v>
      </c>
      <c r="X847" s="98">
        <v>1</v>
      </c>
      <c r="Y847" s="233">
        <v>7</v>
      </c>
      <c r="Z847" s="48">
        <v>4.32</v>
      </c>
      <c r="AA847" s="48">
        <v>4.6399999999999997</v>
      </c>
      <c r="AB847" s="48">
        <v>5.14</v>
      </c>
      <c r="AC847" s="48">
        <v>0.89270000000000005</v>
      </c>
      <c r="AD847" s="48">
        <v>5.09</v>
      </c>
      <c r="AE847" s="48">
        <v>4.92</v>
      </c>
      <c r="AF847" s="48">
        <f t="shared" si="172"/>
        <v>4.6399999999999997</v>
      </c>
      <c r="AG847" s="49">
        <v>4.1399999999999997</v>
      </c>
      <c r="AH847" s="98">
        <v>2.5499999999999999E-7</v>
      </c>
      <c r="AI847" s="98"/>
      <c r="AJ847" s="483">
        <f t="shared" si="175"/>
        <v>-4.982026145878697</v>
      </c>
      <c r="AK847" s="483"/>
      <c r="AL847" s="483">
        <f t="shared" si="174"/>
        <v>-4.982026145878697</v>
      </c>
      <c r="AM847" s="483">
        <v>-9.6499399999999991</v>
      </c>
      <c r="AN847" s="226">
        <v>-3.93</v>
      </c>
      <c r="AO847" s="484"/>
      <c r="AP847" s="484"/>
      <c r="AQ847" s="226" t="s">
        <v>6311</v>
      </c>
      <c r="AR847" s="226" t="s">
        <v>6311</v>
      </c>
      <c r="AS847" s="224"/>
      <c r="AT847" s="50" t="s">
        <v>266</v>
      </c>
      <c r="AU847" s="48">
        <v>6</v>
      </c>
      <c r="AV847" s="48">
        <v>120</v>
      </c>
      <c r="AW847" s="48">
        <v>114</v>
      </c>
      <c r="AX847" s="48">
        <v>28</v>
      </c>
      <c r="AY847" s="48" t="s">
        <v>8728</v>
      </c>
      <c r="AZ847" s="48" t="s">
        <v>1563</v>
      </c>
      <c r="BA847" s="48">
        <v>32</v>
      </c>
      <c r="BB847" s="47" t="s">
        <v>2485</v>
      </c>
      <c r="BC847" s="47" t="s">
        <v>8726</v>
      </c>
      <c r="BD847" s="47" t="s">
        <v>8374</v>
      </c>
      <c r="BE847" s="48" t="s">
        <v>2449</v>
      </c>
      <c r="BF847" s="48" t="s">
        <v>272</v>
      </c>
      <c r="BG847" s="48" t="s">
        <v>272</v>
      </c>
      <c r="BH847" s="48" t="s">
        <v>2486</v>
      </c>
      <c r="BI847" s="98">
        <v>1.8181759999999997E-3</v>
      </c>
      <c r="BJ847" s="98">
        <v>18.181759999999997</v>
      </c>
      <c r="BK847" s="48"/>
      <c r="BL847" s="487">
        <v>1.9251472211668905</v>
      </c>
      <c r="BM847" s="47" t="s">
        <v>2487</v>
      </c>
      <c r="BN847" s="48"/>
      <c r="BO847" s="48"/>
      <c r="BP847" s="48"/>
      <c r="BQ847" s="48"/>
      <c r="BR847" s="47" t="e">
        <v>#VALUE!</v>
      </c>
      <c r="BS847" s="48"/>
      <c r="BT847" s="48"/>
      <c r="BU847" s="228"/>
      <c r="BV847" s="48"/>
      <c r="BW847" s="48"/>
      <c r="BX847" s="48"/>
      <c r="BY847" s="48"/>
      <c r="BZ847" s="48"/>
      <c r="CA847" s="48"/>
      <c r="CB847" s="48"/>
      <c r="CC847" s="48"/>
      <c r="CD847" s="48"/>
      <c r="CE847" s="48"/>
      <c r="CF847" s="48"/>
      <c r="CG847" s="48"/>
      <c r="CH847" s="48"/>
      <c r="CI847" s="98"/>
      <c r="CJ847" s="98"/>
      <c r="CK847" s="49">
        <f t="shared" si="167"/>
        <v>0.10588343599117417</v>
      </c>
      <c r="CL847" s="229"/>
      <c r="CM847" s="229"/>
      <c r="CN847" s="229"/>
      <c r="CO847" s="47" t="s">
        <v>2488</v>
      </c>
      <c r="CP847" s="500" t="s">
        <v>2489</v>
      </c>
      <c r="CQ847" s="224">
        <v>0.84509804001425681</v>
      </c>
      <c r="CR847" s="224">
        <f t="shared" si="176"/>
        <v>0.14285714285714285</v>
      </c>
      <c r="CS847" s="230" t="s">
        <v>539</v>
      </c>
      <c r="CT847" s="230"/>
      <c r="CU847" s="230"/>
      <c r="CV847" s="335">
        <f t="shared" si="168"/>
        <v>5.5000176000563214E-2</v>
      </c>
      <c r="CW847" s="230">
        <f t="shared" si="166"/>
        <v>0</v>
      </c>
      <c r="CX847" s="336"/>
      <c r="CY847" s="230" t="s">
        <v>5921</v>
      </c>
    </row>
    <row r="848" spans="1:103" ht="11.25" customHeight="1" x14ac:dyDescent="0.2">
      <c r="A848" s="72">
        <v>1201</v>
      </c>
      <c r="B848" s="224">
        <v>1554</v>
      </c>
      <c r="C848" s="46" t="s">
        <v>7336</v>
      </c>
      <c r="D848" s="46" t="s">
        <v>8624</v>
      </c>
      <c r="E848" s="114"/>
      <c r="F848" s="114" t="s">
        <v>4687</v>
      </c>
      <c r="G848" s="225">
        <v>1861321</v>
      </c>
      <c r="H848" s="47" t="s">
        <v>4688</v>
      </c>
      <c r="I848" s="47" t="s">
        <v>8074</v>
      </c>
      <c r="J848" s="47" t="s">
        <v>4689</v>
      </c>
      <c r="K848" s="47" t="s">
        <v>357</v>
      </c>
      <c r="L848" s="47" t="s">
        <v>6155</v>
      </c>
      <c r="M848" s="47" t="s">
        <v>5960</v>
      </c>
      <c r="N848" s="47"/>
      <c r="O848" s="47"/>
      <c r="P848" s="53"/>
      <c r="Q848" s="53"/>
      <c r="R848" s="53"/>
      <c r="S848" s="53"/>
      <c r="T848" s="48">
        <v>331.96</v>
      </c>
      <c r="U848" s="98">
        <v>0.5</v>
      </c>
      <c r="V848" s="98">
        <v>1.7589999999999997</v>
      </c>
      <c r="W848" s="98">
        <v>9.1429376036013679</v>
      </c>
      <c r="X848" s="98">
        <v>0.5</v>
      </c>
      <c r="Y848" s="233">
        <v>7</v>
      </c>
      <c r="Z848" s="48">
        <v>4.24</v>
      </c>
      <c r="AA848" s="48">
        <v>4.28</v>
      </c>
      <c r="AB848" s="48">
        <v>4.2300000000000004</v>
      </c>
      <c r="AC848" s="48">
        <v>0.80769999999999997</v>
      </c>
      <c r="AD848" s="48">
        <v>4.05</v>
      </c>
      <c r="AE848" s="48">
        <v>3.48</v>
      </c>
      <c r="AF848" s="48">
        <f t="shared" si="172"/>
        <v>4.28</v>
      </c>
      <c r="AG848" s="49">
        <v>4.32</v>
      </c>
      <c r="AH848" s="98">
        <v>6.7399999999999995E-8</v>
      </c>
      <c r="AI848" s="98">
        <v>2.1799999999999999E-6</v>
      </c>
      <c r="AJ848" s="483">
        <f t="shared" si="175"/>
        <v>-5.5599064297773317</v>
      </c>
      <c r="AK848" s="483">
        <f t="shared" ref="AK848:AK854" si="177">LOG10(AI848*1000/(0.08206*298.15))</f>
        <v>-4.0501098327080474</v>
      </c>
      <c r="AL848" s="483">
        <f t="shared" si="174"/>
        <v>-4.0501098327080474</v>
      </c>
      <c r="AM848" s="483">
        <v>-9.2784899999999997</v>
      </c>
      <c r="AN848" s="226">
        <v>-3.08</v>
      </c>
      <c r="AO848" s="484"/>
      <c r="AP848" s="484"/>
      <c r="AQ848" s="48" t="s">
        <v>6311</v>
      </c>
      <c r="AR848" s="48" t="s">
        <v>6315</v>
      </c>
      <c r="AS848" s="227"/>
      <c r="AT848" s="50" t="s">
        <v>266</v>
      </c>
      <c r="AU848" s="48">
        <v>6</v>
      </c>
      <c r="AV848" s="48">
        <v>120</v>
      </c>
      <c r="AW848" s="48">
        <v>114</v>
      </c>
      <c r="AX848" s="48">
        <v>28</v>
      </c>
      <c r="AY848" s="48" t="s">
        <v>8728</v>
      </c>
      <c r="AZ848" s="48" t="s">
        <v>1563</v>
      </c>
      <c r="BA848" s="48">
        <v>32</v>
      </c>
      <c r="BB848" s="47" t="s">
        <v>2485</v>
      </c>
      <c r="BC848" s="47" t="s">
        <v>8726</v>
      </c>
      <c r="BD848" s="47" t="s">
        <v>8374</v>
      </c>
      <c r="BE848" s="48" t="s">
        <v>2449</v>
      </c>
      <c r="BF848" s="48" t="s">
        <v>272</v>
      </c>
      <c r="BG848" s="48" t="s">
        <v>272</v>
      </c>
      <c r="BH848" s="48" t="s">
        <v>2486</v>
      </c>
      <c r="BI848" s="98">
        <v>2.1245439999999999E-3</v>
      </c>
      <c r="BJ848" s="98">
        <v>21.245439999999999</v>
      </c>
      <c r="BK848" s="48"/>
      <c r="BL848" s="487">
        <v>2.6542495714894119</v>
      </c>
      <c r="BM848" s="47" t="s">
        <v>2487</v>
      </c>
      <c r="BN848" s="48"/>
      <c r="BO848" s="48"/>
      <c r="BP848" s="48"/>
      <c r="BQ848" s="48"/>
      <c r="BR848" s="47" t="e">
        <v>#VALUE!</v>
      </c>
      <c r="BS848" s="48"/>
      <c r="BT848" s="48"/>
      <c r="BU848" s="228"/>
      <c r="BV848" s="48"/>
      <c r="BW848" s="48"/>
      <c r="BX848" s="48"/>
      <c r="BY848" s="48"/>
      <c r="BZ848" s="48"/>
      <c r="CA848" s="48"/>
      <c r="CB848" s="48"/>
      <c r="CC848" s="48"/>
      <c r="CD848" s="48"/>
      <c r="CE848" s="48"/>
      <c r="CF848" s="48"/>
      <c r="CG848" s="48"/>
      <c r="CH848" s="48"/>
      <c r="CI848" s="98"/>
      <c r="CJ848" s="98"/>
      <c r="CK848" s="49">
        <f t="shared" si="167"/>
        <v>0.12493267126919527</v>
      </c>
      <c r="CL848" s="229"/>
      <c r="CM848" s="229"/>
      <c r="CN848" s="229"/>
      <c r="CO848" s="47" t="s">
        <v>2488</v>
      </c>
      <c r="CP848" s="500" t="s">
        <v>2489</v>
      </c>
      <c r="CQ848" s="224">
        <v>1.1483325951307655</v>
      </c>
      <c r="CR848" s="224">
        <f t="shared" si="176"/>
        <v>7.1066905451870152E-2</v>
      </c>
      <c r="CS848" s="230" t="s">
        <v>539</v>
      </c>
      <c r="CT848" s="230"/>
      <c r="CU848" s="230"/>
      <c r="CV848" s="335">
        <f t="shared" si="168"/>
        <v>2.3534461983371491E-2</v>
      </c>
      <c r="CW848" s="230">
        <f t="shared" si="166"/>
        <v>0</v>
      </c>
      <c r="CX848" s="336"/>
      <c r="CY848" s="230" t="s">
        <v>5921</v>
      </c>
    </row>
    <row r="849" spans="1:103" ht="11.25" customHeight="1" x14ac:dyDescent="0.2">
      <c r="A849" s="72">
        <v>1203</v>
      </c>
      <c r="B849" s="224">
        <v>1513</v>
      </c>
      <c r="C849" s="46" t="s">
        <v>7337</v>
      </c>
      <c r="D849" s="46" t="s">
        <v>8625</v>
      </c>
      <c r="E849" s="114"/>
      <c r="F849" s="114" t="s">
        <v>3728</v>
      </c>
      <c r="G849" s="225">
        <v>1861401</v>
      </c>
      <c r="H849" s="47" t="s">
        <v>3729</v>
      </c>
      <c r="I849" s="47" t="s">
        <v>8075</v>
      </c>
      <c r="J849" s="47" t="s">
        <v>3730</v>
      </c>
      <c r="K849" s="47" t="s">
        <v>1011</v>
      </c>
      <c r="L849" s="47" t="s">
        <v>6027</v>
      </c>
      <c r="M849" s="47" t="s">
        <v>6088</v>
      </c>
      <c r="N849" s="47" t="s">
        <v>6088</v>
      </c>
      <c r="O849" s="47" t="s">
        <v>6083</v>
      </c>
      <c r="P849" s="53"/>
      <c r="Q849" s="53"/>
      <c r="R849" s="53"/>
      <c r="S849" s="53"/>
      <c r="T849" s="48">
        <v>335.28</v>
      </c>
      <c r="U849" s="98">
        <v>0.1</v>
      </c>
      <c r="V849" s="98">
        <v>0.2306</v>
      </c>
      <c r="W849" s="98">
        <v>0.78597303720046241</v>
      </c>
      <c r="X849" s="98">
        <v>0.1</v>
      </c>
      <c r="Y849" s="233">
        <v>7</v>
      </c>
      <c r="Z849" s="48">
        <v>5.31</v>
      </c>
      <c r="AA849" s="48">
        <v>5.29</v>
      </c>
      <c r="AB849" s="48">
        <v>5.12</v>
      </c>
      <c r="AC849" s="48">
        <v>0.84789999999999999</v>
      </c>
      <c r="AD849" s="48">
        <v>5.19</v>
      </c>
      <c r="AE849" s="48">
        <v>5.41</v>
      </c>
      <c r="AF849" s="48">
        <f t="shared" si="172"/>
        <v>5.29</v>
      </c>
      <c r="AG849" s="49">
        <v>3.67</v>
      </c>
      <c r="AH849" s="98">
        <v>2.12E-4</v>
      </c>
      <c r="AI849" s="98">
        <v>2.9100000000000003E-4</v>
      </c>
      <c r="AJ849" s="483">
        <f t="shared" si="175"/>
        <v>-2.0622304653839003</v>
      </c>
      <c r="AK849" s="483">
        <f t="shared" si="177"/>
        <v>-1.9246733373267444</v>
      </c>
      <c r="AL849" s="483">
        <f t="shared" si="174"/>
        <v>-1.9246733373267444</v>
      </c>
      <c r="AM849" s="483">
        <v>-9.2376700000000014</v>
      </c>
      <c r="AN849" s="226">
        <v>-1.46</v>
      </c>
      <c r="AO849" s="484"/>
      <c r="AP849" s="484">
        <v>-0.59</v>
      </c>
      <c r="AQ849" s="48" t="s">
        <v>6311</v>
      </c>
      <c r="AR849" s="48" t="s">
        <v>6311</v>
      </c>
      <c r="AS849" s="227"/>
      <c r="AT849" s="50" t="s">
        <v>266</v>
      </c>
      <c r="AU849" s="48">
        <v>6</v>
      </c>
      <c r="AV849" s="48">
        <v>120</v>
      </c>
      <c r="AW849" s="48">
        <v>114</v>
      </c>
      <c r="AX849" s="48">
        <v>28</v>
      </c>
      <c r="AY849" s="48" t="s">
        <v>8728</v>
      </c>
      <c r="AZ849" s="48" t="s">
        <v>1563</v>
      </c>
      <c r="BA849" s="48">
        <v>32</v>
      </c>
      <c r="BB849" s="47" t="s">
        <v>2485</v>
      </c>
      <c r="BC849" s="47" t="s">
        <v>8726</v>
      </c>
      <c r="BD849" s="47" t="s">
        <v>8374</v>
      </c>
      <c r="BE849" s="48" t="s">
        <v>2449</v>
      </c>
      <c r="BF849" s="48" t="s">
        <v>272</v>
      </c>
      <c r="BG849" s="48" t="s">
        <v>272</v>
      </c>
      <c r="BH849" s="48" t="s">
        <v>2486</v>
      </c>
      <c r="BI849" s="98">
        <v>2.1457919999999997E-3</v>
      </c>
      <c r="BJ849" s="98">
        <v>21.457919999999998</v>
      </c>
      <c r="BK849" s="48"/>
      <c r="BL849" s="487">
        <v>0.29328958958761553</v>
      </c>
      <c r="BM849" s="47" t="s">
        <v>2487</v>
      </c>
      <c r="BN849" s="48"/>
      <c r="BO849" s="48"/>
      <c r="BP849" s="48"/>
      <c r="BQ849" s="48"/>
      <c r="BR849" s="47" t="e">
        <v>#VALUE!</v>
      </c>
      <c r="BS849" s="48"/>
      <c r="BT849" s="48"/>
      <c r="BU849" s="228"/>
      <c r="BV849" s="48"/>
      <c r="BW849" s="48"/>
      <c r="BX849" s="48"/>
      <c r="BY849" s="48"/>
      <c r="BZ849" s="48"/>
      <c r="CA849" s="48"/>
      <c r="CB849" s="48"/>
      <c r="CC849" s="48"/>
      <c r="CD849" s="48"/>
      <c r="CE849" s="48"/>
      <c r="CF849" s="48"/>
      <c r="CG849" s="48"/>
      <c r="CH849" s="48"/>
      <c r="CI849" s="98"/>
      <c r="CJ849" s="98"/>
      <c r="CK849" s="49">
        <f t="shared" si="167"/>
        <v>1.3668127646464129E-2</v>
      </c>
      <c r="CL849" s="229"/>
      <c r="CM849" s="229"/>
      <c r="CN849" s="229"/>
      <c r="CO849" s="47" t="s">
        <v>2488</v>
      </c>
      <c r="CP849" s="500" t="s">
        <v>2489</v>
      </c>
      <c r="CQ849" s="224">
        <v>-0.64614439051611505</v>
      </c>
      <c r="CR849" s="224">
        <f t="shared" si="176"/>
        <v>4.4273554482449393</v>
      </c>
      <c r="CS849" s="230" t="s">
        <v>539</v>
      </c>
      <c r="CT849" s="230"/>
      <c r="CU849" s="230"/>
      <c r="CV849" s="335">
        <f t="shared" si="168"/>
        <v>4.6602839417800059E-3</v>
      </c>
      <c r="CW849" s="230">
        <f t="shared" si="166"/>
        <v>0</v>
      </c>
      <c r="CX849" s="336"/>
      <c r="CY849" s="230" t="s">
        <v>5921</v>
      </c>
    </row>
    <row r="850" spans="1:103" ht="11.25" customHeight="1" x14ac:dyDescent="0.2">
      <c r="A850" s="72">
        <v>1205</v>
      </c>
      <c r="B850" s="224">
        <v>1508</v>
      </c>
      <c r="C850" s="46" t="s">
        <v>1574</v>
      </c>
      <c r="D850" s="46"/>
      <c r="E850" s="114"/>
      <c r="F850" s="114" t="s">
        <v>1575</v>
      </c>
      <c r="G850" s="225">
        <v>1912249</v>
      </c>
      <c r="H850" s="47" t="s">
        <v>1576</v>
      </c>
      <c r="I850" s="47" t="s">
        <v>8076</v>
      </c>
      <c r="J850" s="47" t="s">
        <v>1577</v>
      </c>
      <c r="K850" s="47" t="s">
        <v>940</v>
      </c>
      <c r="L850" s="47" t="s">
        <v>6152</v>
      </c>
      <c r="M850" s="47" t="s">
        <v>6082</v>
      </c>
      <c r="N850" s="47" t="s">
        <v>6082</v>
      </c>
      <c r="O850" s="47" t="s">
        <v>6083</v>
      </c>
      <c r="P850" s="53"/>
      <c r="Q850" s="53"/>
      <c r="R850" s="53"/>
      <c r="S850" s="53"/>
      <c r="T850" s="48">
        <v>215.68</v>
      </c>
      <c r="U850" s="98">
        <v>34.700000000000003</v>
      </c>
      <c r="V850" s="98">
        <v>214.1</v>
      </c>
      <c r="W850" s="98">
        <v>69.792679926582196</v>
      </c>
      <c r="X850" s="98">
        <v>34.700000000000003</v>
      </c>
      <c r="Y850" s="233">
        <v>7.03</v>
      </c>
      <c r="Z850" s="48">
        <v>2.82</v>
      </c>
      <c r="AA850" s="48">
        <v>2.61</v>
      </c>
      <c r="AB850" s="48">
        <v>2.67</v>
      </c>
      <c r="AC850" s="48">
        <v>0.91020000000000001</v>
      </c>
      <c r="AD850" s="48">
        <v>2.66</v>
      </c>
      <c r="AE850" s="48">
        <v>2.63</v>
      </c>
      <c r="AF850" s="48">
        <f t="shared" si="172"/>
        <v>2.61</v>
      </c>
      <c r="AG850" s="49">
        <v>2.41</v>
      </c>
      <c r="AH850" s="98">
        <v>4.4699999999999997E-9</v>
      </c>
      <c r="AI850" s="98">
        <v>2.3600000000000001E-9</v>
      </c>
      <c r="AJ850" s="483">
        <f t="shared" si="175"/>
        <v>-6.7382588031807158</v>
      </c>
      <c r="AK850" s="483">
        <f t="shared" si="177"/>
        <v>-7.0156543233425452</v>
      </c>
      <c r="AL850" s="483">
        <f t="shared" si="174"/>
        <v>-7.0156543233425452</v>
      </c>
      <c r="AM850" s="483">
        <v>-10.46622</v>
      </c>
      <c r="AN850" s="226">
        <v>-8.32</v>
      </c>
      <c r="AO850" s="484"/>
      <c r="AP850" s="484">
        <v>2.27</v>
      </c>
      <c r="AQ850" s="48" t="s">
        <v>6311</v>
      </c>
      <c r="AR850" s="48" t="s">
        <v>6311</v>
      </c>
      <c r="AS850" s="227"/>
      <c r="AT850" s="50" t="s">
        <v>266</v>
      </c>
      <c r="AU850" s="48">
        <v>6</v>
      </c>
      <c r="AV850" s="48">
        <v>120</v>
      </c>
      <c r="AW850" s="48">
        <v>114</v>
      </c>
      <c r="AX850" s="48">
        <v>28</v>
      </c>
      <c r="AY850" s="48" t="s">
        <v>8728</v>
      </c>
      <c r="AZ850" s="48" t="s">
        <v>1563</v>
      </c>
      <c r="BA850" s="48">
        <v>32</v>
      </c>
      <c r="BB850" s="47" t="s">
        <v>2485</v>
      </c>
      <c r="BC850" s="47" t="s">
        <v>8726</v>
      </c>
      <c r="BD850" s="47" t="s">
        <v>8374</v>
      </c>
      <c r="BE850" s="48" t="s">
        <v>2449</v>
      </c>
      <c r="BF850" s="48" t="s">
        <v>272</v>
      </c>
      <c r="BG850" s="48" t="s">
        <v>272</v>
      </c>
      <c r="BH850" s="48" t="s">
        <v>2486</v>
      </c>
      <c r="BI850" s="98">
        <v>1.3803520000000001E-3</v>
      </c>
      <c r="BJ850" s="98">
        <v>13.803520000000001</v>
      </c>
      <c r="BK850" s="48"/>
      <c r="BL850" s="487">
        <v>32.506325128150984</v>
      </c>
      <c r="BM850" s="47" t="s">
        <v>2487</v>
      </c>
      <c r="BN850" s="48"/>
      <c r="BO850" s="48"/>
      <c r="BP850" s="48"/>
      <c r="BQ850" s="48"/>
      <c r="BR850" s="47" t="e">
        <v>#VALUE!</v>
      </c>
      <c r="BS850" s="48"/>
      <c r="BT850" s="48"/>
      <c r="BU850" s="228"/>
      <c r="BV850" s="48"/>
      <c r="BW850" s="48"/>
      <c r="BX850" s="48"/>
      <c r="BY850" s="48"/>
      <c r="BZ850" s="48"/>
      <c r="CA850" s="48"/>
      <c r="CB850" s="48"/>
      <c r="CC850" s="48"/>
      <c r="CD850" s="48"/>
      <c r="CE850" s="48"/>
      <c r="CF850" s="48"/>
      <c r="CG850" s="48"/>
      <c r="CH850" s="48"/>
      <c r="CI850" s="98"/>
      <c r="CJ850" s="98"/>
      <c r="CK850" s="49">
        <f t="shared" si="167"/>
        <v>2.3549301285578594</v>
      </c>
      <c r="CL850" s="229"/>
      <c r="CM850" s="229">
        <v>1.0328741488313409</v>
      </c>
      <c r="CN850" s="229">
        <f>BJ850/(10^CM850)</f>
        <v>1.2797221884014707</v>
      </c>
      <c r="CO850" s="47" t="s">
        <v>2488</v>
      </c>
      <c r="CP850" s="500" t="s">
        <v>2489</v>
      </c>
      <c r="CQ850" s="224">
        <v>1.2234526426154375</v>
      </c>
      <c r="CR850" s="224">
        <f t="shared" si="176"/>
        <v>5.9778822659789475E-2</v>
      </c>
      <c r="CS850" s="230" t="s">
        <v>539</v>
      </c>
      <c r="CT850" s="230"/>
      <c r="CU850" s="230"/>
      <c r="CV850" s="335">
        <f t="shared" si="168"/>
        <v>2.5138515393175074</v>
      </c>
      <c r="CW850" s="230">
        <f t="shared" si="166"/>
        <v>1</v>
      </c>
      <c r="CX850" s="336"/>
      <c r="CY850" s="230" t="s">
        <v>6351</v>
      </c>
    </row>
    <row r="851" spans="1:103" ht="11.25" customHeight="1" x14ac:dyDescent="0.2">
      <c r="A851" s="72">
        <v>1207</v>
      </c>
      <c r="B851" s="224">
        <v>1594</v>
      </c>
      <c r="C851" s="46" t="s">
        <v>7338</v>
      </c>
      <c r="D851" s="46" t="s">
        <v>8626</v>
      </c>
      <c r="E851" s="114"/>
      <c r="F851" s="114" t="s">
        <v>3802</v>
      </c>
      <c r="G851" s="225">
        <v>1918009</v>
      </c>
      <c r="H851" s="47" t="s">
        <v>3803</v>
      </c>
      <c r="I851" s="47" t="s">
        <v>8077</v>
      </c>
      <c r="J851" s="47" t="s">
        <v>3804</v>
      </c>
      <c r="K851" s="47" t="s">
        <v>426</v>
      </c>
      <c r="L851" s="47" t="s">
        <v>6032</v>
      </c>
      <c r="M851" s="47" t="s">
        <v>2342</v>
      </c>
      <c r="N851" s="47" t="s">
        <v>2342</v>
      </c>
      <c r="O851" s="47"/>
      <c r="P851" s="53" t="s">
        <v>8537</v>
      </c>
      <c r="Q851" s="53" t="s">
        <v>6173</v>
      </c>
      <c r="R851" s="53" t="s">
        <v>8539</v>
      </c>
      <c r="S851" s="53" t="s">
        <v>6173</v>
      </c>
      <c r="T851" s="48">
        <v>221.04</v>
      </c>
      <c r="U851" s="98">
        <v>8310</v>
      </c>
      <c r="V851" s="98">
        <v>440.5</v>
      </c>
      <c r="W851" s="98">
        <v>652.3352874623381</v>
      </c>
      <c r="X851" s="98">
        <v>8310</v>
      </c>
      <c r="Y851" s="233">
        <v>2.71</v>
      </c>
      <c r="Z851" s="48">
        <v>2.14</v>
      </c>
      <c r="AA851" s="48">
        <v>2.21</v>
      </c>
      <c r="AB851" s="48">
        <v>2.79</v>
      </c>
      <c r="AC851" s="48">
        <v>0.84530000000000005</v>
      </c>
      <c r="AD851" s="48">
        <v>2.78</v>
      </c>
      <c r="AE851" s="48">
        <v>2.75</v>
      </c>
      <c r="AF851" s="48">
        <f t="shared" si="172"/>
        <v>2.21</v>
      </c>
      <c r="AG851" s="49">
        <v>2.76</v>
      </c>
      <c r="AH851" s="98">
        <v>3.5199999999999998E-9</v>
      </c>
      <c r="AI851" s="98">
        <v>2.1799999999999999E-9</v>
      </c>
      <c r="AJ851" s="483">
        <f t="shared" si="175"/>
        <v>-6.8420236628345208</v>
      </c>
      <c r="AK851" s="483">
        <f t="shared" si="177"/>
        <v>-7.0501098327080474</v>
      </c>
      <c r="AL851" s="483">
        <f t="shared" si="174"/>
        <v>-7.0501098327080474</v>
      </c>
      <c r="AM851" s="483">
        <v>-9.9556700000000014</v>
      </c>
      <c r="AN851" s="226">
        <v>-6.49</v>
      </c>
      <c r="AO851" s="484">
        <v>2.4</v>
      </c>
      <c r="AP851" s="484"/>
      <c r="AQ851" s="48" t="s">
        <v>6311</v>
      </c>
      <c r="AR851" s="48" t="s">
        <v>6311</v>
      </c>
      <c r="AS851" s="227"/>
      <c r="AT851" s="50" t="s">
        <v>266</v>
      </c>
      <c r="AU851" s="48">
        <v>6</v>
      </c>
      <c r="AV851" s="48">
        <v>120</v>
      </c>
      <c r="AW851" s="48">
        <v>114</v>
      </c>
      <c r="AX851" s="48">
        <v>28</v>
      </c>
      <c r="AY851" s="48" t="s">
        <v>8728</v>
      </c>
      <c r="AZ851" s="48" t="s">
        <v>1563</v>
      </c>
      <c r="BA851" s="48">
        <v>32</v>
      </c>
      <c r="BB851" s="47" t="s">
        <v>2485</v>
      </c>
      <c r="BC851" s="47" t="s">
        <v>8726</v>
      </c>
      <c r="BD851" s="47" t="s">
        <v>8374</v>
      </c>
      <c r="BE851" s="48" t="s">
        <v>2449</v>
      </c>
      <c r="BF851" s="48" t="s">
        <v>272</v>
      </c>
      <c r="BG851" s="48" t="s">
        <v>272</v>
      </c>
      <c r="BH851" s="48" t="s">
        <v>2486</v>
      </c>
      <c r="BI851" s="98">
        <v>1.4146559999999998E-3</v>
      </c>
      <c r="BJ851" s="98">
        <v>14.146559999999999</v>
      </c>
      <c r="BK851" s="48"/>
      <c r="BL851" s="487">
        <v>135.93674667832471</v>
      </c>
      <c r="BM851" s="47" t="s">
        <v>2487</v>
      </c>
      <c r="BN851" s="48"/>
      <c r="BO851" s="48"/>
      <c r="BP851" s="48"/>
      <c r="BQ851" s="48"/>
      <c r="BR851" s="47" t="e">
        <v>#VALUE!</v>
      </c>
      <c r="BS851" s="48"/>
      <c r="BT851" s="48"/>
      <c r="BU851" s="228"/>
      <c r="BV851" s="48"/>
      <c r="BW851" s="48"/>
      <c r="BX851" s="48"/>
      <c r="BY851" s="48"/>
      <c r="BZ851" s="48"/>
      <c r="CA851" s="48"/>
      <c r="CB851" s="48"/>
      <c r="CC851" s="48"/>
      <c r="CD851" s="48"/>
      <c r="CE851" s="48"/>
      <c r="CF851" s="48"/>
      <c r="CG851" s="48"/>
      <c r="CH851" s="48"/>
      <c r="CI851" s="98"/>
      <c r="CJ851" s="98"/>
      <c r="CK851" s="49">
        <f t="shared" si="167"/>
        <v>9.6091733027905519</v>
      </c>
      <c r="CL851" s="229"/>
      <c r="CM851" s="229"/>
      <c r="CN851" s="229"/>
      <c r="CO851" s="47" t="s">
        <v>2488</v>
      </c>
      <c r="CP851" s="500" t="s">
        <v>2489</v>
      </c>
      <c r="CQ851" s="224">
        <v>1.9731292497874575</v>
      </c>
      <c r="CR851" s="224">
        <f t="shared" si="176"/>
        <v>1.0638263671957939E-2</v>
      </c>
      <c r="CS851" s="230" t="s">
        <v>539</v>
      </c>
      <c r="CT851" s="230"/>
      <c r="CU851" s="230"/>
      <c r="CV851" s="335">
        <f t="shared" si="168"/>
        <v>587.42195982627584</v>
      </c>
      <c r="CW851" s="230">
        <f t="shared" si="166"/>
        <v>1</v>
      </c>
      <c r="CX851" s="336"/>
      <c r="CY851" s="230" t="s">
        <v>5921</v>
      </c>
    </row>
    <row r="852" spans="1:103" ht="11.25" customHeight="1" x14ac:dyDescent="0.2">
      <c r="A852" s="72">
        <v>1209</v>
      </c>
      <c r="B852" s="224">
        <v>1820</v>
      </c>
      <c r="C852" s="46" t="s">
        <v>2451</v>
      </c>
      <c r="D852" s="46"/>
      <c r="E852" s="114"/>
      <c r="F852" s="114" t="s">
        <v>3979</v>
      </c>
      <c r="G852" s="225">
        <v>1918021</v>
      </c>
      <c r="H852" s="47" t="s">
        <v>2452</v>
      </c>
      <c r="I852" s="47" t="s">
        <v>8078</v>
      </c>
      <c r="J852" s="47" t="s">
        <v>2453</v>
      </c>
      <c r="K852" s="47" t="s">
        <v>2454</v>
      </c>
      <c r="L852" s="47" t="s">
        <v>6033</v>
      </c>
      <c r="M852" s="47" t="s">
        <v>3980</v>
      </c>
      <c r="N852" s="47" t="s">
        <v>6385</v>
      </c>
      <c r="O852" s="47" t="s">
        <v>1630</v>
      </c>
      <c r="P852" s="53"/>
      <c r="Q852" s="53"/>
      <c r="R852" s="53"/>
      <c r="S852" s="53"/>
      <c r="T852" s="48">
        <v>241.46</v>
      </c>
      <c r="U852" s="98">
        <v>430</v>
      </c>
      <c r="V852" s="98">
        <v>628.6</v>
      </c>
      <c r="W852" s="98">
        <v>746.18273513473173</v>
      </c>
      <c r="X852" s="98">
        <v>430</v>
      </c>
      <c r="Y852" s="233">
        <v>2.6</v>
      </c>
      <c r="Z852" s="48">
        <v>1.36</v>
      </c>
      <c r="AA852" s="48">
        <v>1.9</v>
      </c>
      <c r="AB852" s="48">
        <v>2.4500000000000002</v>
      </c>
      <c r="AC852" s="48">
        <v>0.79590000000000005</v>
      </c>
      <c r="AD852" s="48">
        <v>2.59</v>
      </c>
      <c r="AE852" s="48">
        <v>2.94</v>
      </c>
      <c r="AF852" s="48">
        <f t="shared" si="172"/>
        <v>1.9</v>
      </c>
      <c r="AG852" s="49">
        <v>2.25</v>
      </c>
      <c r="AH852" s="98">
        <v>1.29E-12</v>
      </c>
      <c r="AI852" s="98">
        <v>5.3299999999999998E-14</v>
      </c>
      <c r="AJ852" s="483">
        <f t="shared" si="175"/>
        <v>-10.277976616013403</v>
      </c>
      <c r="AK852" s="483">
        <f t="shared" si="177"/>
        <v>-11.66183911728608</v>
      </c>
      <c r="AL852" s="483">
        <f t="shared" si="174"/>
        <v>-11.66183911728608</v>
      </c>
      <c r="AM852" s="483">
        <v>-14.922219999999998</v>
      </c>
      <c r="AN852" s="226">
        <v>-8.65</v>
      </c>
      <c r="AO852" s="484">
        <v>1.93</v>
      </c>
      <c r="AP852" s="484">
        <v>-4.34</v>
      </c>
      <c r="AQ852" s="226" t="s">
        <v>5921</v>
      </c>
      <c r="AR852" s="226" t="s">
        <v>5921</v>
      </c>
      <c r="AS852" s="224"/>
      <c r="AT852" s="50" t="s">
        <v>266</v>
      </c>
      <c r="AU852" s="48">
        <v>6</v>
      </c>
      <c r="AV852" s="48">
        <v>120</v>
      </c>
      <c r="AW852" s="48">
        <v>114</v>
      </c>
      <c r="AX852" s="48">
        <v>28</v>
      </c>
      <c r="AY852" s="48" t="s">
        <v>8728</v>
      </c>
      <c r="AZ852" s="48" t="s">
        <v>1563</v>
      </c>
      <c r="BA852" s="48">
        <v>32</v>
      </c>
      <c r="BB852" s="47" t="s">
        <v>2485</v>
      </c>
      <c r="BC852" s="47" t="s">
        <v>8726</v>
      </c>
      <c r="BD852" s="47" t="s">
        <v>8374</v>
      </c>
      <c r="BE852" s="48" t="s">
        <v>2449</v>
      </c>
      <c r="BF852" s="48" t="s">
        <v>272</v>
      </c>
      <c r="BG852" s="48" t="s">
        <v>272</v>
      </c>
      <c r="BH852" s="48" t="s">
        <v>2486</v>
      </c>
      <c r="BI852" s="98">
        <v>1.5453439999999999E-3</v>
      </c>
      <c r="BJ852" s="98">
        <v>15.453440000000001</v>
      </c>
      <c r="BK852" s="48"/>
      <c r="BL852" s="487">
        <v>745.1251054455887</v>
      </c>
      <c r="BM852" s="47" t="s">
        <v>2487</v>
      </c>
      <c r="BN852" s="48"/>
      <c r="BO852" s="48"/>
      <c r="BP852" s="48"/>
      <c r="BQ852" s="48"/>
      <c r="BR852" s="47" t="e">
        <v>#VALUE!</v>
      </c>
      <c r="BS852" s="48"/>
      <c r="BT852" s="48"/>
      <c r="BU852" s="228"/>
      <c r="BV852" s="48"/>
      <c r="BW852" s="48"/>
      <c r="BX852" s="48"/>
      <c r="BY852" s="48"/>
      <c r="BZ852" s="48"/>
      <c r="CA852" s="48"/>
      <c r="CB852" s="48"/>
      <c r="CC852" s="48"/>
      <c r="CD852" s="48"/>
      <c r="CE852" s="48"/>
      <c r="CF852" s="48"/>
      <c r="CG852" s="48"/>
      <c r="CH852" s="48"/>
      <c r="CI852" s="98"/>
      <c r="CJ852" s="98"/>
      <c r="CK852" s="49">
        <f t="shared" si="167"/>
        <v>48.217426375330582</v>
      </c>
      <c r="CL852" s="229"/>
      <c r="CM852" s="229">
        <v>1.118728228139199</v>
      </c>
      <c r="CN852" s="229">
        <f>BJ852/(10^CM852)</f>
        <v>1.1757011476780517</v>
      </c>
      <c r="CO852" s="47" t="s">
        <v>2488</v>
      </c>
      <c r="CP852" s="500" t="s">
        <v>2489</v>
      </c>
      <c r="CQ852" s="224">
        <v>1.3145159593146216</v>
      </c>
      <c r="CR852" s="224">
        <f t="shared" si="176"/>
        <v>4.8471230024461277E-2</v>
      </c>
      <c r="CS852" s="230" t="s">
        <v>539</v>
      </c>
      <c r="CT852" s="230"/>
      <c r="CU852" s="230"/>
      <c r="CV852" s="335">
        <f t="shared" si="168"/>
        <v>27.825519754824814</v>
      </c>
      <c r="CW852" s="230">
        <f t="shared" si="166"/>
        <v>1</v>
      </c>
      <c r="CX852" s="336"/>
      <c r="CY852" s="230" t="s">
        <v>5921</v>
      </c>
    </row>
    <row r="853" spans="1:103" ht="11.25" customHeight="1" x14ac:dyDescent="0.2">
      <c r="A853" s="72">
        <v>1210</v>
      </c>
      <c r="B853" s="224">
        <v>72</v>
      </c>
      <c r="C853" s="46" t="s">
        <v>7339</v>
      </c>
      <c r="D853" s="46" t="s">
        <v>8627</v>
      </c>
      <c r="E853" s="114"/>
      <c r="F853" s="114" t="s">
        <v>3643</v>
      </c>
      <c r="G853" s="225">
        <v>1929777</v>
      </c>
      <c r="H853" s="47" t="s">
        <v>3644</v>
      </c>
      <c r="I853" s="47" t="s">
        <v>3644</v>
      </c>
      <c r="J853" s="236" t="s">
        <v>3645</v>
      </c>
      <c r="K853" s="236" t="s">
        <v>1499</v>
      </c>
      <c r="L853" s="47" t="s">
        <v>6145</v>
      </c>
      <c r="M853" s="47" t="s">
        <v>6082</v>
      </c>
      <c r="N853" s="47" t="s">
        <v>6082</v>
      </c>
      <c r="O853" s="52" t="s">
        <v>6083</v>
      </c>
      <c r="P853" s="53"/>
      <c r="Q853" s="53"/>
      <c r="R853" s="53"/>
      <c r="S853" s="53"/>
      <c r="T853" s="226">
        <v>203.35</v>
      </c>
      <c r="U853" s="98">
        <v>90</v>
      </c>
      <c r="V853" s="98">
        <v>22.11</v>
      </c>
      <c r="W853" s="98">
        <v>90.833108463898256</v>
      </c>
      <c r="X853" s="98">
        <v>90</v>
      </c>
      <c r="Y853" s="233">
        <v>7</v>
      </c>
      <c r="Z853" s="48">
        <v>3.51</v>
      </c>
      <c r="AA853" s="48">
        <v>3.84</v>
      </c>
      <c r="AB853" s="48">
        <v>3.37</v>
      </c>
      <c r="AC853" s="48">
        <v>0.85209999999999997</v>
      </c>
      <c r="AD853" s="48">
        <v>3.51</v>
      </c>
      <c r="AE853" s="48">
        <v>3.9</v>
      </c>
      <c r="AF853" s="48">
        <f t="shared" si="172"/>
        <v>3.84</v>
      </c>
      <c r="AG853" s="48">
        <v>2.93</v>
      </c>
      <c r="AH853" s="98">
        <v>2.0400000000000001E-5</v>
      </c>
      <c r="AI853" s="98">
        <v>3.0899999999999999E-5</v>
      </c>
      <c r="AJ853" s="483">
        <f t="shared" si="175"/>
        <v>-3.0789361588867532</v>
      </c>
      <c r="AK853" s="483">
        <f t="shared" si="177"/>
        <v>-2.8986078468878174</v>
      </c>
      <c r="AL853" s="483">
        <f t="shared" si="174"/>
        <v>-2.8986078468878174</v>
      </c>
      <c r="AM853" s="483">
        <v>-8.0542300000000004</v>
      </c>
      <c r="AN853" s="48">
        <v>-2.82</v>
      </c>
      <c r="AO853" s="484"/>
      <c r="AP853" s="484">
        <v>-1.19</v>
      </c>
      <c r="AQ853" s="48" t="s">
        <v>6311</v>
      </c>
      <c r="AR853" s="48" t="s">
        <v>6311</v>
      </c>
      <c r="AS853" s="227"/>
      <c r="AT853" s="50" t="s">
        <v>266</v>
      </c>
      <c r="AU853" s="48">
        <v>6</v>
      </c>
      <c r="AV853" s="48">
        <v>120</v>
      </c>
      <c r="AW853" s="48">
        <v>114</v>
      </c>
      <c r="AX853" s="48">
        <v>28</v>
      </c>
      <c r="AY853" s="48" t="s">
        <v>8728</v>
      </c>
      <c r="AZ853" s="48" t="s">
        <v>1563</v>
      </c>
      <c r="BA853" s="48">
        <v>32</v>
      </c>
      <c r="BB853" s="47" t="s">
        <v>2485</v>
      </c>
      <c r="BC853" s="47" t="s">
        <v>8726</v>
      </c>
      <c r="BD853" s="47" t="s">
        <v>8374</v>
      </c>
      <c r="BE853" s="48" t="s">
        <v>2449</v>
      </c>
      <c r="BF853" s="48" t="s">
        <v>272</v>
      </c>
      <c r="BG853" s="48" t="s">
        <v>272</v>
      </c>
      <c r="BH853" s="48" t="s">
        <v>2486</v>
      </c>
      <c r="BI853" s="98">
        <v>1.3014399999999998E-3</v>
      </c>
      <c r="BJ853" s="98">
        <v>13.0144</v>
      </c>
      <c r="BK853" s="48"/>
      <c r="BL853" s="487">
        <v>7.3572104111069905</v>
      </c>
      <c r="BM853" s="47" t="s">
        <v>2487</v>
      </c>
      <c r="BN853" s="48"/>
      <c r="BO853" s="48"/>
      <c r="BP853" s="48"/>
      <c r="BQ853" s="48"/>
      <c r="BR853" s="47" t="e">
        <v>#VALUE!</v>
      </c>
      <c r="BS853" s="48"/>
      <c r="BT853" s="48"/>
      <c r="BU853" s="228">
        <v>1.3014399999999999E-2</v>
      </c>
      <c r="BV853" s="48"/>
      <c r="BW853" s="48"/>
      <c r="BX853" s="48"/>
      <c r="BY853" s="48"/>
      <c r="BZ853" s="48"/>
      <c r="CA853" s="48"/>
      <c r="CB853" s="48"/>
      <c r="CC853" s="48"/>
      <c r="CD853" s="48"/>
      <c r="CE853" s="48"/>
      <c r="CF853" s="48"/>
      <c r="CG853" s="48"/>
      <c r="CH853" s="48"/>
      <c r="CI853" s="98"/>
      <c r="CJ853" s="98"/>
      <c r="CK853" s="49">
        <f t="shared" si="167"/>
        <v>0.56531306945437287</v>
      </c>
      <c r="CL853" s="229"/>
      <c r="CM853" s="229"/>
      <c r="CN853" s="229"/>
      <c r="CO853" s="47" t="s">
        <v>2488</v>
      </c>
      <c r="CP853" s="500" t="s">
        <v>2489</v>
      </c>
      <c r="CQ853" s="224">
        <v>0.7477265333823695</v>
      </c>
      <c r="CR853" s="224">
        <f t="shared" si="176"/>
        <v>0.17876128448719178</v>
      </c>
      <c r="CS853" s="230" t="s">
        <v>539</v>
      </c>
      <c r="CT853" s="230"/>
      <c r="CU853" s="230"/>
      <c r="CV853" s="335">
        <f t="shared" si="168"/>
        <v>6.915416769117285</v>
      </c>
      <c r="CW853" s="230">
        <f t="shared" si="166"/>
        <v>1</v>
      </c>
      <c r="CX853" s="336"/>
      <c r="CY853" s="230" t="s">
        <v>5921</v>
      </c>
    </row>
    <row r="854" spans="1:103" ht="11.25" customHeight="1" x14ac:dyDescent="0.2">
      <c r="A854" s="72">
        <v>1212</v>
      </c>
      <c r="B854" s="224">
        <v>1776</v>
      </c>
      <c r="C854" s="46" t="s">
        <v>7340</v>
      </c>
      <c r="D854" s="46" t="s">
        <v>8628</v>
      </c>
      <c r="E854" s="114"/>
      <c r="F854" s="114" t="s">
        <v>3962</v>
      </c>
      <c r="G854" s="225">
        <v>1929824</v>
      </c>
      <c r="H854" s="47" t="s">
        <v>3963</v>
      </c>
      <c r="I854" s="47" t="s">
        <v>8079</v>
      </c>
      <c r="J854" s="47" t="s">
        <v>3964</v>
      </c>
      <c r="K854" s="47" t="s">
        <v>3965</v>
      </c>
      <c r="L854" s="47" t="s">
        <v>6047</v>
      </c>
      <c r="M854" s="47" t="s">
        <v>6082</v>
      </c>
      <c r="N854" s="47" t="s">
        <v>6082</v>
      </c>
      <c r="O854" s="47" t="s">
        <v>6083</v>
      </c>
      <c r="P854" s="53"/>
      <c r="Q854" s="53"/>
      <c r="R854" s="53"/>
      <c r="S854" s="53"/>
      <c r="T854" s="48">
        <v>230.91</v>
      </c>
      <c r="U854" s="98">
        <v>72</v>
      </c>
      <c r="V854" s="98">
        <v>36.840000000000003</v>
      </c>
      <c r="W854" s="98">
        <v>650.7928026582747</v>
      </c>
      <c r="X854" s="98">
        <v>72</v>
      </c>
      <c r="Y854" s="233">
        <v>7</v>
      </c>
      <c r="Z854" s="48">
        <v>3.35</v>
      </c>
      <c r="AA854" s="48">
        <v>3.41</v>
      </c>
      <c r="AB854" s="48">
        <v>3.45</v>
      </c>
      <c r="AC854" s="48">
        <v>0.85199999999999998</v>
      </c>
      <c r="AD854" s="48">
        <v>3.22</v>
      </c>
      <c r="AE854" s="48">
        <v>2.52</v>
      </c>
      <c r="AF854" s="48">
        <f t="shared" si="172"/>
        <v>3.41</v>
      </c>
      <c r="AG854" s="49">
        <v>3.5</v>
      </c>
      <c r="AH854" s="98">
        <v>1.59E-5</v>
      </c>
      <c r="AI854" s="98">
        <v>2.0299999999999999E-5</v>
      </c>
      <c r="AJ854" s="483">
        <f t="shared" si="175"/>
        <v>-3.1871692019922002</v>
      </c>
      <c r="AK854" s="483">
        <f t="shared" si="177"/>
        <v>-3.081070288399439</v>
      </c>
      <c r="AL854" s="483">
        <f t="shared" si="174"/>
        <v>-3.081070288399439</v>
      </c>
      <c r="AM854" s="483">
        <v>-5.7222499999999998</v>
      </c>
      <c r="AN854" s="226">
        <v>-3.65</v>
      </c>
      <c r="AO854" s="484"/>
      <c r="AP854" s="484">
        <v>-3.75</v>
      </c>
      <c r="AQ854" s="226" t="s">
        <v>6311</v>
      </c>
      <c r="AR854" s="226" t="s">
        <v>6311</v>
      </c>
      <c r="AS854" s="224"/>
      <c r="AT854" s="50" t="s">
        <v>266</v>
      </c>
      <c r="AU854" s="48">
        <v>6</v>
      </c>
      <c r="AV854" s="48">
        <v>120</v>
      </c>
      <c r="AW854" s="48">
        <v>114</v>
      </c>
      <c r="AX854" s="48">
        <v>28</v>
      </c>
      <c r="AY854" s="48" t="s">
        <v>8728</v>
      </c>
      <c r="AZ854" s="48" t="s">
        <v>1563</v>
      </c>
      <c r="BA854" s="48">
        <v>32</v>
      </c>
      <c r="BB854" s="47" t="s">
        <v>2485</v>
      </c>
      <c r="BC854" s="47" t="s">
        <v>8726</v>
      </c>
      <c r="BD854" s="47" t="s">
        <v>8374</v>
      </c>
      <c r="BE854" s="48" t="s">
        <v>2449</v>
      </c>
      <c r="BF854" s="48" t="s">
        <v>272</v>
      </c>
      <c r="BG854" s="48" t="s">
        <v>272</v>
      </c>
      <c r="BH854" s="48" t="s">
        <v>2486</v>
      </c>
      <c r="BI854" s="98">
        <v>1.477824E-3</v>
      </c>
      <c r="BJ854" s="98">
        <v>14.77824</v>
      </c>
      <c r="BK854" s="48"/>
      <c r="BL854" s="487">
        <v>11.630750549029953</v>
      </c>
      <c r="BM854" s="47" t="s">
        <v>2487</v>
      </c>
      <c r="BN854" s="48"/>
      <c r="BO854" s="48"/>
      <c r="BP854" s="48"/>
      <c r="BQ854" s="48"/>
      <c r="BR854" s="47" t="e">
        <v>#VALUE!</v>
      </c>
      <c r="BS854" s="48"/>
      <c r="BT854" s="48"/>
      <c r="BU854" s="228"/>
      <c r="BV854" s="48"/>
      <c r="BW854" s="48"/>
      <c r="BX854" s="48"/>
      <c r="BY854" s="48"/>
      <c r="BZ854" s="48"/>
      <c r="CA854" s="48"/>
      <c r="CB854" s="48"/>
      <c r="CC854" s="48"/>
      <c r="CD854" s="48"/>
      <c r="CE854" s="48"/>
      <c r="CF854" s="48"/>
      <c r="CG854" s="48"/>
      <c r="CH854" s="48"/>
      <c r="CI854" s="98"/>
      <c r="CJ854" s="98"/>
      <c r="CK854" s="49">
        <f t="shared" si="167"/>
        <v>0.78701865371180557</v>
      </c>
      <c r="CL854" s="229"/>
      <c r="CM854" s="229"/>
      <c r="CN854" s="229"/>
      <c r="CO854" s="47" t="s">
        <v>2488</v>
      </c>
      <c r="CP854" s="500" t="s">
        <v>2489</v>
      </c>
      <c r="CQ854" s="224">
        <v>0.7481112529441738</v>
      </c>
      <c r="CR854" s="224">
        <f t="shared" si="176"/>
        <v>0.1786029990066153</v>
      </c>
      <c r="CS854" s="230" t="s">
        <v>539</v>
      </c>
      <c r="CT854" s="230"/>
      <c r="CU854" s="230"/>
      <c r="CV854" s="335">
        <f t="shared" si="168"/>
        <v>4.8720280628816424</v>
      </c>
      <c r="CW854" s="230">
        <f t="shared" si="166"/>
        <v>1</v>
      </c>
      <c r="CX854" s="336"/>
      <c r="CY854" s="230" t="s">
        <v>6351</v>
      </c>
    </row>
    <row r="855" spans="1:103" ht="11.25" customHeight="1" x14ac:dyDescent="0.2">
      <c r="A855" s="72">
        <v>1213</v>
      </c>
      <c r="B855" s="224">
        <v>1656</v>
      </c>
      <c r="C855" s="46" t="s">
        <v>7341</v>
      </c>
      <c r="D855" s="46"/>
      <c r="E855" s="114"/>
      <c r="F855" s="114" t="s">
        <v>4875</v>
      </c>
      <c r="G855" s="225">
        <v>1934210</v>
      </c>
      <c r="H855" s="47" t="s">
        <v>4876</v>
      </c>
      <c r="I855" s="47" t="s">
        <v>8080</v>
      </c>
      <c r="J855" s="47" t="s">
        <v>4877</v>
      </c>
      <c r="K855" s="47" t="s">
        <v>4878</v>
      </c>
      <c r="L855" s="47"/>
      <c r="M855" s="47"/>
      <c r="N855" s="47"/>
      <c r="O855" s="47"/>
      <c r="P855" s="53"/>
      <c r="Q855" s="53"/>
      <c r="R855" s="53"/>
      <c r="S855" s="53"/>
      <c r="T855" s="48">
        <v>468.42</v>
      </c>
      <c r="U855" s="98"/>
      <c r="V855" s="98">
        <v>432.6</v>
      </c>
      <c r="W855" s="98">
        <v>725496.6806309846</v>
      </c>
      <c r="X855" s="98">
        <v>725496.6806309846</v>
      </c>
      <c r="Y855" s="233">
        <v>-0.42</v>
      </c>
      <c r="Z855" s="48">
        <v>-0.01</v>
      </c>
      <c r="AA855" s="48"/>
      <c r="AB855" s="48">
        <v>-1.35</v>
      </c>
      <c r="AC855" s="48">
        <v>0.55330000000000001</v>
      </c>
      <c r="AD855" s="48">
        <v>-0.17</v>
      </c>
      <c r="AE855" s="48">
        <v>1.56</v>
      </c>
      <c r="AF855" s="48">
        <f t="shared" si="172"/>
        <v>-0.17</v>
      </c>
      <c r="AG855" s="49">
        <v>-0.17</v>
      </c>
      <c r="AH855" s="98">
        <v>1.6700000000000001E-32</v>
      </c>
      <c r="AI855" s="98"/>
      <c r="AJ855" s="483">
        <f t="shared" si="175"/>
        <v>-30.165849855165067</v>
      </c>
      <c r="AK855" s="483"/>
      <c r="AL855" s="483">
        <f t="shared" si="174"/>
        <v>-30.165849855165067</v>
      </c>
      <c r="AM855" s="483">
        <v>-35.693199999999997</v>
      </c>
      <c r="AN855" s="226"/>
      <c r="AO855" s="484">
        <v>-1.37</v>
      </c>
      <c r="AP855" s="484">
        <v>-5.07</v>
      </c>
      <c r="AQ855" s="226" t="s">
        <v>6311</v>
      </c>
      <c r="AR855" s="226" t="s">
        <v>6311</v>
      </c>
      <c r="AS855" s="224"/>
      <c r="AT855" s="50" t="s">
        <v>266</v>
      </c>
      <c r="AU855" s="48">
        <v>6</v>
      </c>
      <c r="AV855" s="48">
        <v>120</v>
      </c>
      <c r="AW855" s="48">
        <v>114</v>
      </c>
      <c r="AX855" s="48">
        <v>28</v>
      </c>
      <c r="AY855" s="48" t="s">
        <v>8728</v>
      </c>
      <c r="AZ855" s="48" t="s">
        <v>1563</v>
      </c>
      <c r="BA855" s="48">
        <v>32</v>
      </c>
      <c r="BB855" s="47" t="s">
        <v>2485</v>
      </c>
      <c r="BC855" s="47" t="s">
        <v>8726</v>
      </c>
      <c r="BD855" s="47" t="s">
        <v>8374</v>
      </c>
      <c r="BE855" s="48" t="s">
        <v>2449</v>
      </c>
      <c r="BF855" s="48" t="s">
        <v>272</v>
      </c>
      <c r="BG855" s="48" t="s">
        <v>272</v>
      </c>
      <c r="BH855" s="48" t="s">
        <v>2486</v>
      </c>
      <c r="BI855" s="98">
        <v>2.9978879999999998E-3</v>
      </c>
      <c r="BJ855" s="98">
        <v>29.97888</v>
      </c>
      <c r="BK855" s="48"/>
      <c r="BL855" s="487">
        <v>24570.637787969736</v>
      </c>
      <c r="BM855" s="47" t="s">
        <v>2487</v>
      </c>
      <c r="BN855" s="48"/>
      <c r="BO855" s="48"/>
      <c r="BP855" s="48"/>
      <c r="BQ855" s="48"/>
      <c r="BR855" s="47" t="e">
        <v>#VALUE!</v>
      </c>
      <c r="BS855" s="48"/>
      <c r="BT855" s="48"/>
      <c r="BU855" s="228"/>
      <c r="BV855" s="48"/>
      <c r="BW855" s="48"/>
      <c r="BX855" s="48"/>
      <c r="BY855" s="48"/>
      <c r="BZ855" s="48"/>
      <c r="CA855" s="48"/>
      <c r="CB855" s="48"/>
      <c r="CC855" s="48"/>
      <c r="CD855" s="48"/>
      <c r="CE855" s="48"/>
      <c r="CF855" s="48"/>
      <c r="CG855" s="48"/>
      <c r="CH855" s="48"/>
      <c r="CI855" s="98"/>
      <c r="CJ855" s="98"/>
      <c r="CK855" s="49">
        <f t="shared" si="167"/>
        <v>819.59825677175854</v>
      </c>
      <c r="CL855" s="229"/>
      <c r="CM855" s="229"/>
      <c r="CN855" s="229"/>
      <c r="CO855" s="47" t="s">
        <v>2488</v>
      </c>
      <c r="CP855" s="500" t="s">
        <v>2489</v>
      </c>
      <c r="CQ855" s="224" t="s">
        <v>272</v>
      </c>
      <c r="CR855" s="224"/>
      <c r="CS855" s="230" t="s">
        <v>539</v>
      </c>
      <c r="CT855" s="230"/>
      <c r="CU855" s="230"/>
      <c r="CV855" s="335">
        <f t="shared" si="168"/>
        <v>24200.259670507523</v>
      </c>
      <c r="CW855" s="230">
        <f t="shared" si="166"/>
        <v>1</v>
      </c>
      <c r="CX855" s="336"/>
      <c r="CY855" s="230" t="s">
        <v>5921</v>
      </c>
    </row>
    <row r="856" spans="1:103" ht="11.25" customHeight="1" x14ac:dyDescent="0.2">
      <c r="A856" s="72">
        <v>1215</v>
      </c>
      <c r="B856" s="224">
        <v>1539</v>
      </c>
      <c r="C856" s="46" t="s">
        <v>7342</v>
      </c>
      <c r="D856" s="46" t="s">
        <v>8629</v>
      </c>
      <c r="E856" s="114"/>
      <c r="F856" s="114" t="s">
        <v>3746</v>
      </c>
      <c r="G856" s="225">
        <v>2008415</v>
      </c>
      <c r="H856" s="47" t="s">
        <v>3747</v>
      </c>
      <c r="I856" s="47" t="s">
        <v>3747</v>
      </c>
      <c r="J856" s="47"/>
      <c r="K856" s="47" t="s">
        <v>1499</v>
      </c>
      <c r="L856" s="47" t="s">
        <v>5248</v>
      </c>
      <c r="M856" s="47" t="s">
        <v>6082</v>
      </c>
      <c r="N856" s="47" t="s">
        <v>6082</v>
      </c>
      <c r="O856" s="47" t="s">
        <v>6083</v>
      </c>
      <c r="P856" s="53"/>
      <c r="Q856" s="53"/>
      <c r="R856" s="53"/>
      <c r="S856" s="53"/>
      <c r="T856" s="48">
        <v>217.37</v>
      </c>
      <c r="U856" s="98">
        <v>45</v>
      </c>
      <c r="V856" s="98">
        <v>10.15</v>
      </c>
      <c r="W856" s="98">
        <v>50.956501758609107</v>
      </c>
      <c r="X856" s="98">
        <v>45</v>
      </c>
      <c r="Y856" s="233">
        <v>7</v>
      </c>
      <c r="Z856" s="48">
        <v>3.85</v>
      </c>
      <c r="AA856" s="48">
        <v>4.1500000000000004</v>
      </c>
      <c r="AB856" s="48">
        <v>3.66</v>
      </c>
      <c r="AC856" s="48">
        <v>0.76280000000000003</v>
      </c>
      <c r="AD856" s="48">
        <v>3.8</v>
      </c>
      <c r="AE856" s="48">
        <v>4.0599999999999996</v>
      </c>
      <c r="AF856" s="48">
        <f t="shared" si="172"/>
        <v>4.1500000000000004</v>
      </c>
      <c r="AG856" s="49">
        <v>3.12</v>
      </c>
      <c r="AH856" s="98">
        <v>2.7100000000000001E-5</v>
      </c>
      <c r="AI856" s="98">
        <v>8.4499999999999994E-5</v>
      </c>
      <c r="AJ856" s="483">
        <f t="shared" si="175"/>
        <v>-2.9555970354382461</v>
      </c>
      <c r="AK856" s="483">
        <f>LOG10(AI856*1000/(0.08206*298.15))</f>
        <v>-2.4617096173629593</v>
      </c>
      <c r="AL856" s="483">
        <f t="shared" si="174"/>
        <v>-2.4617096173629593</v>
      </c>
      <c r="AM856" s="483">
        <v>-8.3325999999999993</v>
      </c>
      <c r="AN856" s="226"/>
      <c r="AO856" s="484"/>
      <c r="AP856" s="484">
        <v>-1.22</v>
      </c>
      <c r="AQ856" s="48" t="s">
        <v>6311</v>
      </c>
      <c r="AR856" s="48" t="s">
        <v>6311</v>
      </c>
      <c r="AS856" s="227"/>
      <c r="AT856" s="50" t="s">
        <v>266</v>
      </c>
      <c r="AU856" s="48">
        <v>6</v>
      </c>
      <c r="AV856" s="48">
        <v>120</v>
      </c>
      <c r="AW856" s="48">
        <v>114</v>
      </c>
      <c r="AX856" s="48">
        <v>28</v>
      </c>
      <c r="AY856" s="48" t="s">
        <v>8728</v>
      </c>
      <c r="AZ856" s="48" t="s">
        <v>1563</v>
      </c>
      <c r="BA856" s="48">
        <v>32</v>
      </c>
      <c r="BB856" s="47" t="s">
        <v>2485</v>
      </c>
      <c r="BC856" s="47" t="s">
        <v>8726</v>
      </c>
      <c r="BD856" s="47" t="s">
        <v>8374</v>
      </c>
      <c r="BE856" s="48" t="s">
        <v>2449</v>
      </c>
      <c r="BF856" s="48" t="s">
        <v>272</v>
      </c>
      <c r="BG856" s="48" t="s">
        <v>272</v>
      </c>
      <c r="BH856" s="48" t="s">
        <v>2486</v>
      </c>
      <c r="BI856" s="98">
        <v>1.3911679999999999E-3</v>
      </c>
      <c r="BJ856" s="98">
        <v>13.91168</v>
      </c>
      <c r="BK856" s="48"/>
      <c r="BL856" s="487">
        <v>3.8932707359585152</v>
      </c>
      <c r="BM856" s="47" t="s">
        <v>2487</v>
      </c>
      <c r="BN856" s="48"/>
      <c r="BO856" s="48"/>
      <c r="BP856" s="48"/>
      <c r="BQ856" s="48"/>
      <c r="BR856" s="47" t="e">
        <v>#VALUE!</v>
      </c>
      <c r="BS856" s="48"/>
      <c r="BT856" s="48"/>
      <c r="BU856" s="228"/>
      <c r="BV856" s="48"/>
      <c r="BW856" s="48"/>
      <c r="BX856" s="48"/>
      <c r="BY856" s="48"/>
      <c r="BZ856" s="48"/>
      <c r="CA856" s="48"/>
      <c r="CB856" s="48"/>
      <c r="CC856" s="48"/>
      <c r="CD856" s="48"/>
      <c r="CE856" s="48"/>
      <c r="CF856" s="48"/>
      <c r="CG856" s="48"/>
      <c r="CH856" s="48"/>
      <c r="CI856" s="98"/>
      <c r="CJ856" s="98"/>
      <c r="CK856" s="49">
        <f t="shared" si="167"/>
        <v>0.27985626006050418</v>
      </c>
      <c r="CL856" s="229"/>
      <c r="CM856" s="229"/>
      <c r="CN856" s="229"/>
      <c r="CO856" s="47" t="s">
        <v>2488</v>
      </c>
      <c r="CP856" s="500" t="s">
        <v>2489</v>
      </c>
      <c r="CQ856" s="224">
        <v>0.44019070666728904</v>
      </c>
      <c r="CR856" s="224">
        <f>10^(CJ856-CQ856)</f>
        <v>0.36291865554143182</v>
      </c>
      <c r="CS856" s="230" t="s">
        <v>539</v>
      </c>
      <c r="CT856" s="230"/>
      <c r="CU856" s="230"/>
      <c r="CV856" s="335">
        <f t="shared" si="168"/>
        <v>3.2346919998159818</v>
      </c>
      <c r="CW856" s="230">
        <f t="shared" si="166"/>
        <v>1</v>
      </c>
      <c r="CX856" s="336"/>
      <c r="CY856" s="230" t="s">
        <v>5921</v>
      </c>
    </row>
    <row r="857" spans="1:103" ht="11.25" customHeight="1" x14ac:dyDescent="0.2">
      <c r="A857" s="72">
        <v>1216</v>
      </c>
      <c r="B857" s="224">
        <v>1799</v>
      </c>
      <c r="C857" s="46" t="s">
        <v>7343</v>
      </c>
      <c r="D857" s="46"/>
      <c r="E857" s="114"/>
      <c r="F857" s="114" t="s">
        <v>5175</v>
      </c>
      <c r="G857" s="225">
        <v>2058460</v>
      </c>
      <c r="H857" s="47" t="s">
        <v>5176</v>
      </c>
      <c r="I857" s="47" t="s">
        <v>8081</v>
      </c>
      <c r="J857" s="47" t="s">
        <v>5177</v>
      </c>
      <c r="K857" s="47" t="s">
        <v>5178</v>
      </c>
      <c r="L857" s="47"/>
      <c r="M857" s="47"/>
      <c r="N857" s="47"/>
      <c r="O857" s="47"/>
      <c r="P857" s="53"/>
      <c r="Q857" s="53"/>
      <c r="R857" s="53"/>
      <c r="S857" s="53"/>
      <c r="T857" s="48">
        <v>450.88</v>
      </c>
      <c r="U857" s="98"/>
      <c r="V857" s="98">
        <v>84930</v>
      </c>
      <c r="W857" s="98"/>
      <c r="X857" s="98">
        <v>84930</v>
      </c>
      <c r="Y857" s="233"/>
      <c r="Z857" s="48">
        <v>-3.6</v>
      </c>
      <c r="AA857" s="48"/>
      <c r="AB857" s="48">
        <v>0</v>
      </c>
      <c r="AC857" s="48">
        <v>0</v>
      </c>
      <c r="AD857" s="48">
        <v>0</v>
      </c>
      <c r="AE857" s="48">
        <v>0</v>
      </c>
      <c r="AF857" s="48"/>
      <c r="AG857" s="49" t="s">
        <v>5921</v>
      </c>
      <c r="AH857" s="98">
        <v>1.6899999999999999E-30</v>
      </c>
      <c r="AI857" s="98"/>
      <c r="AJ857" s="483">
        <f t="shared" si="175"/>
        <v>-28.160679621698979</v>
      </c>
      <c r="AK857" s="483"/>
      <c r="AL857" s="483">
        <f t="shared" si="174"/>
        <v>-28.160679621698979</v>
      </c>
      <c r="AM857" s="483"/>
      <c r="AN857" s="226"/>
      <c r="AO857" s="484"/>
      <c r="AP857" s="484"/>
      <c r="AQ857" s="226" t="s">
        <v>6311</v>
      </c>
      <c r="AR857" s="226" t="s">
        <v>6311</v>
      </c>
      <c r="AS857" s="224"/>
      <c r="AT857" s="50" t="s">
        <v>266</v>
      </c>
      <c r="AU857" s="48">
        <v>6</v>
      </c>
      <c r="AV857" s="48">
        <v>120</v>
      </c>
      <c r="AW857" s="48">
        <v>114</v>
      </c>
      <c r="AX857" s="48">
        <v>28</v>
      </c>
      <c r="AY857" s="48" t="s">
        <v>8728</v>
      </c>
      <c r="AZ857" s="48" t="s">
        <v>1563</v>
      </c>
      <c r="BA857" s="48">
        <v>32</v>
      </c>
      <c r="BB857" s="47" t="s">
        <v>2485</v>
      </c>
      <c r="BC857" s="47" t="s">
        <v>8726</v>
      </c>
      <c r="BD857" s="47" t="s">
        <v>8374</v>
      </c>
      <c r="BE857" s="48" t="s">
        <v>2449</v>
      </c>
      <c r="BF857" s="48" t="s">
        <v>272</v>
      </c>
      <c r="BG857" s="48" t="s">
        <v>272</v>
      </c>
      <c r="BH857" s="48" t="s">
        <v>2486</v>
      </c>
      <c r="BI857" s="98">
        <v>2.885632E-3</v>
      </c>
      <c r="BJ857" s="98">
        <v>28.85632</v>
      </c>
      <c r="BK857" s="48"/>
      <c r="BL857" s="487">
        <v>39629717.03894791</v>
      </c>
      <c r="BM857" s="47" t="s">
        <v>2487</v>
      </c>
      <c r="BN857" s="48"/>
      <c r="BO857" s="48"/>
      <c r="BP857" s="48"/>
      <c r="BQ857" s="48"/>
      <c r="BR857" s="47" t="e">
        <v>#VALUE!</v>
      </c>
      <c r="BS857" s="48"/>
      <c r="BT857" s="48"/>
      <c r="BU857" s="228"/>
      <c r="BV857" s="48"/>
      <c r="BW857" s="48"/>
      <c r="BX857" s="48"/>
      <c r="BY857" s="48"/>
      <c r="BZ857" s="48"/>
      <c r="CA857" s="48"/>
      <c r="CB857" s="48"/>
      <c r="CC857" s="48"/>
      <c r="CD857" s="48"/>
      <c r="CE857" s="48"/>
      <c r="CF857" s="48"/>
      <c r="CG857" s="48"/>
      <c r="CH857" s="48"/>
      <c r="CI857" s="98"/>
      <c r="CJ857" s="98"/>
      <c r="CK857" s="49">
        <f t="shared" si="167"/>
        <v>1373346.1868647113</v>
      </c>
      <c r="CL857" s="229"/>
      <c r="CM857" s="229"/>
      <c r="CN857" s="229"/>
      <c r="CO857" s="47" t="s">
        <v>2488</v>
      </c>
      <c r="CP857" s="500" t="s">
        <v>2489</v>
      </c>
      <c r="CQ857" s="224" t="s">
        <v>272</v>
      </c>
      <c r="CR857" s="224"/>
      <c r="CS857" s="230" t="s">
        <v>539</v>
      </c>
      <c r="CT857" s="230"/>
      <c r="CU857" s="230"/>
      <c r="CV857" s="335">
        <f t="shared" si="168"/>
        <v>2943.2027368701206</v>
      </c>
      <c r="CW857" s="230">
        <f t="shared" si="166"/>
        <v>1</v>
      </c>
      <c r="CX857" s="336"/>
      <c r="CY857" s="230" t="s">
        <v>5921</v>
      </c>
    </row>
    <row r="858" spans="1:103" ht="11.25" customHeight="1" x14ac:dyDescent="0.2">
      <c r="A858" s="72">
        <v>1217</v>
      </c>
      <c r="B858" s="224">
        <v>1792</v>
      </c>
      <c r="C858" s="46" t="s">
        <v>7344</v>
      </c>
      <c r="D858" s="46" t="s">
        <v>8630</v>
      </c>
      <c r="E858" s="114"/>
      <c r="F858" s="114" t="s">
        <v>5156</v>
      </c>
      <c r="G858" s="225">
        <v>2104645</v>
      </c>
      <c r="H858" s="47" t="s">
        <v>5157</v>
      </c>
      <c r="I858" s="47" t="s">
        <v>8082</v>
      </c>
      <c r="J858" s="47" t="s">
        <v>5158</v>
      </c>
      <c r="K858" s="47" t="s">
        <v>628</v>
      </c>
      <c r="L858" s="47" t="s">
        <v>617</v>
      </c>
      <c r="M858" s="47" t="s">
        <v>618</v>
      </c>
      <c r="N858" s="47" t="s">
        <v>6376</v>
      </c>
      <c r="O858" s="47" t="s">
        <v>5159</v>
      </c>
      <c r="P858" s="53"/>
      <c r="Q858" s="53" t="s">
        <v>6173</v>
      </c>
      <c r="R858" s="53" t="s">
        <v>6185</v>
      </c>
      <c r="S858" s="53" t="s">
        <v>6176</v>
      </c>
      <c r="T858" s="48">
        <v>323.31</v>
      </c>
      <c r="U858" s="98">
        <v>3.11</v>
      </c>
      <c r="V858" s="98">
        <v>0.3019</v>
      </c>
      <c r="W858" s="98">
        <v>3.0875865298659044</v>
      </c>
      <c r="X858" s="98">
        <v>3.11</v>
      </c>
      <c r="Y858" s="233">
        <v>7</v>
      </c>
      <c r="Z858" s="48">
        <v>4.47</v>
      </c>
      <c r="AA858" s="48">
        <v>4.78</v>
      </c>
      <c r="AB858" s="48">
        <v>4.13</v>
      </c>
      <c r="AC858" s="48">
        <v>0.84519999999999995</v>
      </c>
      <c r="AD858" s="48">
        <v>4.0599999999999996</v>
      </c>
      <c r="AE858" s="48">
        <v>3.85</v>
      </c>
      <c r="AF858" s="48">
        <f t="shared" ref="AF858:AF886" si="178">IF(AA858=0,AD858,AA858)</f>
        <v>4.78</v>
      </c>
      <c r="AG858" s="49">
        <v>3.74</v>
      </c>
      <c r="AH858" s="98">
        <v>2.8600000000000001E-8</v>
      </c>
      <c r="AI858" s="98">
        <v>4.4400000000000001E-7</v>
      </c>
      <c r="AJ858" s="483">
        <f t="shared" si="175"/>
        <v>-5.9322002931836089</v>
      </c>
      <c r="AK858" s="483">
        <f>LOG10(AI858*1000/(0.08206*298.15))</f>
        <v>-4.7411833561980323</v>
      </c>
      <c r="AL858" s="483">
        <f t="shared" si="174"/>
        <v>-4.7411833561980323</v>
      </c>
      <c r="AM858" s="483">
        <v>-12.389419999999998</v>
      </c>
      <c r="AN858" s="226">
        <v>-6.08</v>
      </c>
      <c r="AO858" s="484"/>
      <c r="AP858" s="484"/>
      <c r="AQ858" s="226" t="s">
        <v>6311</v>
      </c>
      <c r="AR858" s="226" t="s">
        <v>6311</v>
      </c>
      <c r="AS858" s="224"/>
      <c r="AT858" s="50" t="s">
        <v>266</v>
      </c>
      <c r="AU858" s="48">
        <v>6</v>
      </c>
      <c r="AV858" s="48">
        <v>120</v>
      </c>
      <c r="AW858" s="48">
        <v>114</v>
      </c>
      <c r="AX858" s="48">
        <v>28</v>
      </c>
      <c r="AY858" s="48" t="s">
        <v>8728</v>
      </c>
      <c r="AZ858" s="48" t="s">
        <v>1563</v>
      </c>
      <c r="BA858" s="48">
        <v>32</v>
      </c>
      <c r="BB858" s="47" t="s">
        <v>2485</v>
      </c>
      <c r="BC858" s="47" t="s">
        <v>8726</v>
      </c>
      <c r="BD858" s="47" t="s">
        <v>8374</v>
      </c>
      <c r="BE858" s="48" t="s">
        <v>2449</v>
      </c>
      <c r="BF858" s="48" t="s">
        <v>272</v>
      </c>
      <c r="BG858" s="48" t="s">
        <v>272</v>
      </c>
      <c r="BH858" s="48" t="s">
        <v>2486</v>
      </c>
      <c r="BI858" s="98">
        <v>2.069184E-3</v>
      </c>
      <c r="BJ858" s="98">
        <v>20.691839999999999</v>
      </c>
      <c r="BK858" s="48"/>
      <c r="BL858" s="487">
        <v>1.6066161844770779</v>
      </c>
      <c r="BM858" s="47" t="s">
        <v>2487</v>
      </c>
      <c r="BN858" s="48"/>
      <c r="BO858" s="48"/>
      <c r="BP858" s="48"/>
      <c r="BQ858" s="48"/>
      <c r="BR858" s="47" t="e">
        <v>#VALUE!</v>
      </c>
      <c r="BS858" s="48"/>
      <c r="BT858" s="48"/>
      <c r="BU858" s="228"/>
      <c r="BV858" s="48"/>
      <c r="BW858" s="48"/>
      <c r="BX858" s="48"/>
      <c r="BY858" s="48"/>
      <c r="BZ858" s="48"/>
      <c r="CA858" s="48"/>
      <c r="CB858" s="48"/>
      <c r="CC858" s="48"/>
      <c r="CD858" s="48"/>
      <c r="CE858" s="48"/>
      <c r="CF858" s="48"/>
      <c r="CG858" s="48"/>
      <c r="CH858" s="48"/>
      <c r="CI858" s="98"/>
      <c r="CJ858" s="98"/>
      <c r="CK858" s="49">
        <f t="shared" si="167"/>
        <v>7.7644916279899612E-2</v>
      </c>
      <c r="CL858" s="229"/>
      <c r="CM858" s="229"/>
      <c r="CN858" s="229"/>
      <c r="CO858" s="47" t="s">
        <v>2488</v>
      </c>
      <c r="CP858" s="500" t="s">
        <v>2489</v>
      </c>
      <c r="CQ858" s="224">
        <v>-0.73225653700951987</v>
      </c>
      <c r="CR858" s="224">
        <f>10^(CJ858-CQ858)</f>
        <v>5.3982940466216602</v>
      </c>
      <c r="CS858" s="230" t="s">
        <v>539</v>
      </c>
      <c r="CT858" s="230"/>
      <c r="CU858" s="230"/>
      <c r="CV858" s="335">
        <f t="shared" si="168"/>
        <v>0.15030079490272494</v>
      </c>
      <c r="CW858" s="230">
        <f t="shared" si="166"/>
        <v>0</v>
      </c>
      <c r="CX858" s="336"/>
      <c r="CY858" s="230" t="s">
        <v>5921</v>
      </c>
    </row>
    <row r="859" spans="1:103" ht="11.25" customHeight="1" x14ac:dyDescent="0.2">
      <c r="A859" s="72">
        <v>1219</v>
      </c>
      <c r="B859" s="224">
        <v>1672</v>
      </c>
      <c r="C859" s="46" t="s">
        <v>7345</v>
      </c>
      <c r="D859" s="46" t="s">
        <v>8631</v>
      </c>
      <c r="E859" s="114"/>
      <c r="F859" s="114" t="s">
        <v>3872</v>
      </c>
      <c r="G859" s="225">
        <v>2164172</v>
      </c>
      <c r="H859" s="47" t="s">
        <v>3873</v>
      </c>
      <c r="I859" s="47" t="s">
        <v>3873</v>
      </c>
      <c r="J859" s="47" t="s">
        <v>3874</v>
      </c>
      <c r="K859" s="47" t="s">
        <v>1292</v>
      </c>
      <c r="L859" s="47" t="s">
        <v>6041</v>
      </c>
      <c r="M859" s="47" t="s">
        <v>6082</v>
      </c>
      <c r="N859" s="47" t="s">
        <v>6082</v>
      </c>
      <c r="O859" s="47"/>
      <c r="P859" s="53"/>
      <c r="Q859" s="53" t="s">
        <v>6173</v>
      </c>
      <c r="R859" s="53" t="s">
        <v>6185</v>
      </c>
      <c r="S859" s="53" t="s">
        <v>6182</v>
      </c>
      <c r="T859" s="48">
        <v>232.2</v>
      </c>
      <c r="U859" s="98">
        <v>110</v>
      </c>
      <c r="V859" s="98">
        <v>253.90000000000003</v>
      </c>
      <c r="W859" s="98">
        <v>221.74927847417729</v>
      </c>
      <c r="X859" s="98">
        <v>110</v>
      </c>
      <c r="Y859" s="233">
        <v>7</v>
      </c>
      <c r="Z859" s="48">
        <v>2.35</v>
      </c>
      <c r="AA859" s="48">
        <v>2.42</v>
      </c>
      <c r="AB859" s="48">
        <v>2.35</v>
      </c>
      <c r="AC859" s="48">
        <v>0.80859999999999999</v>
      </c>
      <c r="AD859" s="48">
        <v>2.36</v>
      </c>
      <c r="AE859" s="48">
        <v>2.36</v>
      </c>
      <c r="AF859" s="48">
        <f t="shared" si="178"/>
        <v>2.42</v>
      </c>
      <c r="AG859" s="49">
        <v>1.92</v>
      </c>
      <c r="AH859" s="98">
        <v>8.4399999999999998E-9</v>
      </c>
      <c r="AI859" s="98">
        <v>2.6099999999999999E-9</v>
      </c>
      <c r="AJ859" s="483">
        <f t="shared" si="175"/>
        <v>-6.4622238796869969</v>
      </c>
      <c r="AK859" s="483">
        <f>LOG10(AI859*1000/(0.08206*298.15))</f>
        <v>-6.9719258189743707</v>
      </c>
      <c r="AL859" s="483">
        <f t="shared" si="174"/>
        <v>-6.9719258189743707</v>
      </c>
      <c r="AM859" s="483">
        <v>-9.2389799999999997</v>
      </c>
      <c r="AN859" s="226">
        <v>-7.25</v>
      </c>
      <c r="AO859" s="484">
        <v>14.55</v>
      </c>
      <c r="AP859" s="484">
        <v>-0.6</v>
      </c>
      <c r="AQ859" s="226" t="s">
        <v>6311</v>
      </c>
      <c r="AR859" s="226" t="s">
        <v>6311</v>
      </c>
      <c r="AS859" s="224"/>
      <c r="AT859" s="50" t="s">
        <v>266</v>
      </c>
      <c r="AU859" s="48">
        <v>6</v>
      </c>
      <c r="AV859" s="48">
        <v>120</v>
      </c>
      <c r="AW859" s="48">
        <v>114</v>
      </c>
      <c r="AX859" s="48">
        <v>28</v>
      </c>
      <c r="AY859" s="48" t="s">
        <v>8728</v>
      </c>
      <c r="AZ859" s="48" t="s">
        <v>1563</v>
      </c>
      <c r="BA859" s="48">
        <v>32</v>
      </c>
      <c r="BB859" s="47" t="s">
        <v>2485</v>
      </c>
      <c r="BC859" s="47" t="s">
        <v>8726</v>
      </c>
      <c r="BD859" s="47" t="s">
        <v>8374</v>
      </c>
      <c r="BE859" s="48" t="s">
        <v>2449</v>
      </c>
      <c r="BF859" s="48" t="s">
        <v>272</v>
      </c>
      <c r="BG859" s="48" t="s">
        <v>272</v>
      </c>
      <c r="BH859" s="48" t="s">
        <v>2486</v>
      </c>
      <c r="BI859" s="98">
        <v>1.4860799999999999E-3</v>
      </c>
      <c r="BJ859" s="98">
        <v>14.860799999999999</v>
      </c>
      <c r="BK859" s="48"/>
      <c r="BL859" s="487">
        <v>92.49690801694166</v>
      </c>
      <c r="BM859" s="47" t="s">
        <v>2487</v>
      </c>
      <c r="BN859" s="48"/>
      <c r="BO859" s="48"/>
      <c r="BP859" s="48"/>
      <c r="BQ859" s="48"/>
      <c r="BR859" s="47" t="e">
        <v>#VALUE!</v>
      </c>
      <c r="BS859" s="48"/>
      <c r="BT859" s="48"/>
      <c r="BU859" s="228"/>
      <c r="BV859" s="48"/>
      <c r="BW859" s="48"/>
      <c r="BX859" s="48"/>
      <c r="BY859" s="48"/>
      <c r="BZ859" s="48"/>
      <c r="CA859" s="48"/>
      <c r="CB859" s="48"/>
      <c r="CC859" s="48"/>
      <c r="CD859" s="48"/>
      <c r="CE859" s="48"/>
      <c r="CF859" s="48"/>
      <c r="CG859" s="48"/>
      <c r="CH859" s="48"/>
      <c r="CI859" s="98"/>
      <c r="CJ859" s="98"/>
      <c r="CK859" s="49">
        <f t="shared" si="167"/>
        <v>6.2242213082029005</v>
      </c>
      <c r="CL859" s="229"/>
      <c r="CM859" s="229"/>
      <c r="CN859" s="229"/>
      <c r="CO859" s="47" t="s">
        <v>2488</v>
      </c>
      <c r="CP859" s="500" t="s">
        <v>2489</v>
      </c>
      <c r="CQ859" s="224">
        <v>1.4283642013519744</v>
      </c>
      <c r="CR859" s="224">
        <f>10^(CJ859-CQ859)</f>
        <v>3.729372797038253E-2</v>
      </c>
      <c r="CS859" s="230" t="s">
        <v>539</v>
      </c>
      <c r="CT859" s="230"/>
      <c r="CU859" s="230"/>
      <c r="CV859" s="335">
        <f t="shared" si="168"/>
        <v>7.4020241171403969</v>
      </c>
      <c r="CW859" s="230">
        <f t="shared" si="166"/>
        <v>1</v>
      </c>
      <c r="CX859" s="336"/>
      <c r="CY859" s="230" t="s">
        <v>5921</v>
      </c>
    </row>
    <row r="860" spans="1:103" ht="11.25" customHeight="1" x14ac:dyDescent="0.2">
      <c r="A860" s="72">
        <v>1221</v>
      </c>
      <c r="B860" s="224">
        <v>1194</v>
      </c>
      <c r="C860" s="46" t="s">
        <v>7346</v>
      </c>
      <c r="D860" s="46" t="s">
        <v>8632</v>
      </c>
      <c r="E860" s="114"/>
      <c r="F860" s="114" t="s">
        <v>3293</v>
      </c>
      <c r="G860" s="225">
        <v>2212671</v>
      </c>
      <c r="H860" s="47" t="s">
        <v>3294</v>
      </c>
      <c r="I860" s="47" t="s">
        <v>3294</v>
      </c>
      <c r="J860" s="47" t="s">
        <v>3295</v>
      </c>
      <c r="K860" s="47" t="s">
        <v>1499</v>
      </c>
      <c r="L860" s="47" t="s">
        <v>6096</v>
      </c>
      <c r="M860" s="47" t="s">
        <v>6082</v>
      </c>
      <c r="N860" s="47" t="s">
        <v>6082</v>
      </c>
      <c r="O860" s="47" t="s">
        <v>6083</v>
      </c>
      <c r="P860" s="53"/>
      <c r="Q860" s="53"/>
      <c r="R860" s="53"/>
      <c r="S860" s="53"/>
      <c r="T860" s="48">
        <v>187.3</v>
      </c>
      <c r="U860" s="98">
        <v>970.00000000000011</v>
      </c>
      <c r="V860" s="98">
        <v>91.97</v>
      </c>
      <c r="W860" s="98">
        <v>552.7614881546142</v>
      </c>
      <c r="X860" s="98">
        <v>970.00000000000011</v>
      </c>
      <c r="Y860" s="233">
        <v>7</v>
      </c>
      <c r="Z860" s="48">
        <v>2.91</v>
      </c>
      <c r="AA860" s="48">
        <v>3.21</v>
      </c>
      <c r="AB860" s="48">
        <v>2.29</v>
      </c>
      <c r="AC860" s="48">
        <v>0.748</v>
      </c>
      <c r="AD860" s="48">
        <v>2.61</v>
      </c>
      <c r="AE860" s="48">
        <v>3.21</v>
      </c>
      <c r="AF860" s="48">
        <f t="shared" si="178"/>
        <v>3.21</v>
      </c>
      <c r="AG860" s="49">
        <v>2.2599999999999998</v>
      </c>
      <c r="AH860" s="98">
        <v>6.7800000000000003E-6</v>
      </c>
      <c r="AI860" s="98">
        <v>4.0999999999999997E-6</v>
      </c>
      <c r="AJ860" s="483">
        <f t="shared" si="175"/>
        <v>-3.5573366324455882</v>
      </c>
      <c r="AK860" s="483">
        <f>LOG10(AI860*1000/(0.08206*298.15))</f>
        <v>-3.7757824695929165</v>
      </c>
      <c r="AL860" s="483">
        <f t="shared" si="174"/>
        <v>-3.7757824695929165</v>
      </c>
      <c r="AM860" s="483">
        <v>-8.2653600000000012</v>
      </c>
      <c r="AN860" s="226">
        <v>-4.1399999999999997</v>
      </c>
      <c r="AO860" s="484"/>
      <c r="AP860" s="484">
        <v>-1.22</v>
      </c>
      <c r="AQ860" s="48" t="s">
        <v>6311</v>
      </c>
      <c r="AR860" s="48" t="s">
        <v>6311</v>
      </c>
      <c r="AS860" s="227"/>
      <c r="AT860" s="50" t="s">
        <v>266</v>
      </c>
      <c r="AU860" s="48">
        <v>6</v>
      </c>
      <c r="AV860" s="48">
        <v>120</v>
      </c>
      <c r="AW860" s="48">
        <v>114</v>
      </c>
      <c r="AX860" s="48">
        <v>28</v>
      </c>
      <c r="AY860" s="48" t="s">
        <v>8728</v>
      </c>
      <c r="AZ860" s="48" t="s">
        <v>1563</v>
      </c>
      <c r="BA860" s="48">
        <v>32</v>
      </c>
      <c r="BB860" s="47" t="s">
        <v>2485</v>
      </c>
      <c r="BC860" s="47" t="s">
        <v>8726</v>
      </c>
      <c r="BD860" s="47" t="s">
        <v>8374</v>
      </c>
      <c r="BE860" s="48" t="s">
        <v>2449</v>
      </c>
      <c r="BF860" s="48" t="s">
        <v>272</v>
      </c>
      <c r="BG860" s="48" t="s">
        <v>272</v>
      </c>
      <c r="BH860" s="48" t="s">
        <v>2486</v>
      </c>
      <c r="BI860" s="98">
        <v>1.1987200000000001E-3</v>
      </c>
      <c r="BJ860" s="98">
        <v>11.987200000000001</v>
      </c>
      <c r="BK860" s="48"/>
      <c r="BL860" s="487">
        <v>23.435098183419459</v>
      </c>
      <c r="BM860" s="47" t="s">
        <v>2487</v>
      </c>
      <c r="BN860" s="48"/>
      <c r="BO860" s="48"/>
      <c r="BP860" s="48"/>
      <c r="BQ860" s="48"/>
      <c r="BR860" s="47" t="e">
        <v>#VALUE!</v>
      </c>
      <c r="BS860" s="48"/>
      <c r="BT860" s="48"/>
      <c r="BU860" s="228">
        <v>0.11987200000000002</v>
      </c>
      <c r="BV860" s="48"/>
      <c r="BW860" s="48"/>
      <c r="BX860" s="48"/>
      <c r="BY860" s="48"/>
      <c r="BZ860" s="48"/>
      <c r="CA860" s="48"/>
      <c r="CB860" s="48"/>
      <c r="CC860" s="48"/>
      <c r="CD860" s="48"/>
      <c r="CE860" s="48"/>
      <c r="CF860" s="48"/>
      <c r="CG860" s="48"/>
      <c r="CH860" s="48"/>
      <c r="CI860" s="98"/>
      <c r="CJ860" s="98"/>
      <c r="CK860" s="49">
        <f t="shared" si="167"/>
        <v>1.9550101928239669</v>
      </c>
      <c r="CL860" s="229"/>
      <c r="CM860" s="229"/>
      <c r="CN860" s="229"/>
      <c r="CO860" s="47" t="s">
        <v>2488</v>
      </c>
      <c r="CP860" s="500" t="s">
        <v>2489</v>
      </c>
      <c r="CQ860" s="224">
        <v>0.83620406722687912</v>
      </c>
      <c r="CR860" s="224">
        <f>10^(CJ860-CQ860)</f>
        <v>0.14581289505076214</v>
      </c>
      <c r="CS860" s="230" t="s">
        <v>539</v>
      </c>
      <c r="CT860" s="230"/>
      <c r="CU860" s="230"/>
      <c r="CV860" s="335">
        <f t="shared" si="168"/>
        <v>80.919647624132409</v>
      </c>
      <c r="CW860" s="230">
        <f t="shared" si="166"/>
        <v>1</v>
      </c>
      <c r="CX860" s="336"/>
      <c r="CY860" s="230" t="s">
        <v>5921</v>
      </c>
    </row>
    <row r="861" spans="1:103" ht="11.25" customHeight="1" x14ac:dyDescent="0.2">
      <c r="A861" s="72">
        <v>1222</v>
      </c>
      <c r="B861" s="224">
        <v>1178</v>
      </c>
      <c r="C861" s="46" t="s">
        <v>7347</v>
      </c>
      <c r="D861" s="46"/>
      <c r="E861" s="114"/>
      <c r="F861" s="114" t="s">
        <v>3916</v>
      </c>
      <c r="G861" s="114">
        <v>8018017</v>
      </c>
      <c r="H861" s="47" t="s">
        <v>3251</v>
      </c>
      <c r="I861" s="47" t="s">
        <v>7764</v>
      </c>
      <c r="J861" s="47" t="s">
        <v>3252</v>
      </c>
      <c r="K861" s="47" t="s">
        <v>1297</v>
      </c>
      <c r="L861" s="47"/>
      <c r="M861" s="47"/>
      <c r="N861" s="47"/>
      <c r="O861" s="47"/>
      <c r="P861" s="53"/>
      <c r="Q861" s="53"/>
      <c r="R861" s="53"/>
      <c r="S861" s="53"/>
      <c r="T861" s="48">
        <v>212.38</v>
      </c>
      <c r="U861" s="98"/>
      <c r="V861" s="98">
        <v>28140</v>
      </c>
      <c r="W861" s="98">
        <v>12505.861552441997</v>
      </c>
      <c r="X861" s="98">
        <v>12505.861552441997</v>
      </c>
      <c r="Y861" s="233">
        <v>1.25</v>
      </c>
      <c r="Z861" s="48">
        <v>0.62</v>
      </c>
      <c r="AA861" s="48">
        <v>1.33</v>
      </c>
      <c r="AB861" s="48">
        <v>0.96</v>
      </c>
      <c r="AC861" s="48">
        <v>0.5101</v>
      </c>
      <c r="AD861" s="48">
        <v>1.3</v>
      </c>
      <c r="AE861" s="48">
        <v>1.66</v>
      </c>
      <c r="AF861" s="48">
        <f t="shared" si="178"/>
        <v>1.33</v>
      </c>
      <c r="AG861" s="49">
        <v>1.3</v>
      </c>
      <c r="AH861" s="98">
        <v>5.6400000000000002E-7</v>
      </c>
      <c r="AI861" s="98"/>
      <c r="AJ861" s="483">
        <f t="shared" si="175"/>
        <v>-4.6372872223293093</v>
      </c>
      <c r="AK861" s="483"/>
      <c r="AL861" s="483">
        <f t="shared" si="174"/>
        <v>-4.6372872223293093</v>
      </c>
      <c r="AM861" s="483">
        <v>-12.801919999999999</v>
      </c>
      <c r="AN861" s="226"/>
      <c r="AO861" s="484">
        <v>1.25</v>
      </c>
      <c r="AP861" s="484">
        <v>1.71</v>
      </c>
      <c r="AQ861" s="48" t="s">
        <v>6311</v>
      </c>
      <c r="AR861" s="48" t="s">
        <v>6311</v>
      </c>
      <c r="AS861" s="227"/>
      <c r="AT861" s="50" t="s">
        <v>266</v>
      </c>
      <c r="AU861" s="48">
        <v>6</v>
      </c>
      <c r="AV861" s="48">
        <v>120</v>
      </c>
      <c r="AW861" s="48">
        <v>114</v>
      </c>
      <c r="AX861" s="48">
        <v>28</v>
      </c>
      <c r="AY861" s="48" t="s">
        <v>8728</v>
      </c>
      <c r="AZ861" s="48" t="s">
        <v>1563</v>
      </c>
      <c r="BA861" s="48">
        <v>32</v>
      </c>
      <c r="BB861" s="47" t="s">
        <v>2485</v>
      </c>
      <c r="BC861" s="47" t="s">
        <v>8726</v>
      </c>
      <c r="BD861" s="47" t="s">
        <v>8374</v>
      </c>
      <c r="BE861" s="48" t="s">
        <v>2449</v>
      </c>
      <c r="BF861" s="48" t="s">
        <v>272</v>
      </c>
      <c r="BG861" s="48" t="s">
        <v>272</v>
      </c>
      <c r="BH861" s="48" t="s">
        <v>2486</v>
      </c>
      <c r="BI861" s="98">
        <v>1.3592319999999999E-3</v>
      </c>
      <c r="BJ861" s="98">
        <v>13.592320000000001</v>
      </c>
      <c r="BK861" s="48"/>
      <c r="BL861" s="487">
        <v>3027.5520370915779</v>
      </c>
      <c r="BM861" s="47" t="s">
        <v>2487</v>
      </c>
      <c r="BN861" s="48"/>
      <c r="BO861" s="48"/>
      <c r="BP861" s="48"/>
      <c r="BQ861" s="48"/>
      <c r="BR861" s="47" t="e">
        <v>#VALUE!</v>
      </c>
      <c r="BS861" s="48"/>
      <c r="BT861" s="48"/>
      <c r="BU861" s="228">
        <v>6.7961600000000004</v>
      </c>
      <c r="BV861" s="48"/>
      <c r="BW861" s="48"/>
      <c r="BX861" s="48"/>
      <c r="BY861" s="48"/>
      <c r="BZ861" s="48"/>
      <c r="CA861" s="48"/>
      <c r="CB861" s="48"/>
      <c r="CC861" s="48"/>
      <c r="CD861" s="48"/>
      <c r="CE861" s="48"/>
      <c r="CF861" s="48"/>
      <c r="CG861" s="48"/>
      <c r="CH861" s="48"/>
      <c r="CI861" s="98"/>
      <c r="CJ861" s="98"/>
      <c r="CK861" s="49">
        <f t="shared" si="167"/>
        <v>222.73990290778747</v>
      </c>
      <c r="CL861" s="229"/>
      <c r="CM861" s="229"/>
      <c r="CN861" s="229"/>
      <c r="CO861" s="47" t="s">
        <v>2488</v>
      </c>
      <c r="CP861" s="500" t="s">
        <v>2489</v>
      </c>
      <c r="CQ861" s="224" t="s">
        <v>272</v>
      </c>
      <c r="CR861" s="224"/>
      <c r="CS861" s="230" t="s">
        <v>539</v>
      </c>
      <c r="CT861" s="230"/>
      <c r="CU861" s="230"/>
      <c r="CV861" s="335">
        <f t="shared" si="168"/>
        <v>920.06821149310758</v>
      </c>
      <c r="CW861" s="230">
        <f t="shared" si="166"/>
        <v>1</v>
      </c>
      <c r="CX861" s="336"/>
      <c r="CY861" s="230" t="s">
        <v>5921</v>
      </c>
    </row>
    <row r="862" spans="1:103" ht="11.25" customHeight="1" x14ac:dyDescent="0.2">
      <c r="A862" s="72">
        <v>1223</v>
      </c>
      <c r="B862" s="224">
        <v>1379</v>
      </c>
      <c r="C862" s="46" t="s">
        <v>7348</v>
      </c>
      <c r="D862" s="46"/>
      <c r="E862" s="114"/>
      <c r="F862" s="114" t="s">
        <v>4252</v>
      </c>
      <c r="G862" s="114">
        <v>2243621</v>
      </c>
      <c r="H862" s="47" t="s">
        <v>4253</v>
      </c>
      <c r="I862" s="47" t="s">
        <v>4253</v>
      </c>
      <c r="J862" s="47" t="s">
        <v>4254</v>
      </c>
      <c r="K862" s="47" t="s">
        <v>1573</v>
      </c>
      <c r="L862" s="47"/>
      <c r="M862" s="47"/>
      <c r="N862" s="47"/>
      <c r="O862" s="47"/>
      <c r="P862" s="53"/>
      <c r="Q862" s="53"/>
      <c r="R862" s="53"/>
      <c r="S862" s="53"/>
      <c r="T862" s="48">
        <v>158.19999999999999</v>
      </c>
      <c r="U862" s="98">
        <v>379.99999999999994</v>
      </c>
      <c r="V862" s="98">
        <v>12120</v>
      </c>
      <c r="W862" s="98">
        <v>2038.0107907785366</v>
      </c>
      <c r="X862" s="98">
        <v>379.99999999999994</v>
      </c>
      <c r="Y862" s="233">
        <v>8.35</v>
      </c>
      <c r="Z862" s="48">
        <v>1.34</v>
      </c>
      <c r="AA862" s="48">
        <v>0.89</v>
      </c>
      <c r="AB862" s="48">
        <v>1.25</v>
      </c>
      <c r="AC862" s="48">
        <v>0.84040000000000004</v>
      </c>
      <c r="AD862" s="48">
        <v>1.1599999999999999</v>
      </c>
      <c r="AE862" s="48">
        <v>0.89</v>
      </c>
      <c r="AF862" s="48">
        <f t="shared" si="178"/>
        <v>0.89</v>
      </c>
      <c r="AG862" s="49">
        <v>1.55</v>
      </c>
      <c r="AH862" s="98">
        <v>6.5700000000000003E-11</v>
      </c>
      <c r="AI862" s="98"/>
      <c r="AJ862" s="483">
        <f t="shared" si="175"/>
        <v>-8.5710009567528704</v>
      </c>
      <c r="AK862" s="483"/>
      <c r="AL862" s="483">
        <f t="shared" si="174"/>
        <v>-8.5710009567528704</v>
      </c>
      <c r="AM862" s="483">
        <v>-12.430299999999999</v>
      </c>
      <c r="AN862" s="226">
        <v>-8.6199999999999992</v>
      </c>
      <c r="AO862" s="484"/>
      <c r="AP862" s="484">
        <v>4.59</v>
      </c>
      <c r="AQ862" s="48" t="s">
        <v>6311</v>
      </c>
      <c r="AR862" s="48" t="s">
        <v>6311</v>
      </c>
      <c r="AS862" s="227"/>
      <c r="AT862" s="50" t="s">
        <v>266</v>
      </c>
      <c r="AU862" s="48">
        <v>6</v>
      </c>
      <c r="AV862" s="48">
        <v>120</v>
      </c>
      <c r="AW862" s="48">
        <v>114</v>
      </c>
      <c r="AX862" s="48">
        <v>28</v>
      </c>
      <c r="AY862" s="48" t="s">
        <v>8728</v>
      </c>
      <c r="AZ862" s="48" t="s">
        <v>1563</v>
      </c>
      <c r="BA862" s="48">
        <v>32</v>
      </c>
      <c r="BB862" s="47" t="s">
        <v>2485</v>
      </c>
      <c r="BC862" s="47" t="s">
        <v>8726</v>
      </c>
      <c r="BD862" s="47" t="s">
        <v>8374</v>
      </c>
      <c r="BE862" s="48" t="s">
        <v>2449</v>
      </c>
      <c r="BF862" s="48" t="s">
        <v>272</v>
      </c>
      <c r="BG862" s="48" t="s">
        <v>272</v>
      </c>
      <c r="BH862" s="48" t="s">
        <v>2486</v>
      </c>
      <c r="BI862" s="98">
        <v>1.0124799999999998E-3</v>
      </c>
      <c r="BJ862" s="98">
        <v>10.124799999999999</v>
      </c>
      <c r="BK862" s="48"/>
      <c r="BL862" s="487">
        <v>508.80629893098978</v>
      </c>
      <c r="BM862" s="47" t="s">
        <v>2487</v>
      </c>
      <c r="BN862" s="48"/>
      <c r="BO862" s="48"/>
      <c r="BP862" s="48"/>
      <c r="BQ862" s="48"/>
      <c r="BR862" s="47" t="e">
        <v>#VALUE!</v>
      </c>
      <c r="BS862" s="48"/>
      <c r="BT862" s="48"/>
      <c r="BU862" s="228"/>
      <c r="BV862" s="48"/>
      <c r="BW862" s="48"/>
      <c r="BX862" s="48"/>
      <c r="BY862" s="48"/>
      <c r="BZ862" s="48"/>
      <c r="CA862" s="48"/>
      <c r="CB862" s="48"/>
      <c r="CC862" s="48"/>
      <c r="CD862" s="48"/>
      <c r="CE862" s="48"/>
      <c r="CF862" s="48"/>
      <c r="CG862" s="48"/>
      <c r="CH862" s="48"/>
      <c r="CI862" s="98"/>
      <c r="CJ862" s="98"/>
      <c r="CK862" s="49">
        <f t="shared" si="167"/>
        <v>50.253466629562048</v>
      </c>
      <c r="CL862" s="229"/>
      <c r="CM862" s="229"/>
      <c r="CN862" s="229"/>
      <c r="CO862" s="47" t="s">
        <v>2488</v>
      </c>
      <c r="CP862" s="500" t="s">
        <v>2489</v>
      </c>
      <c r="CQ862" s="224" t="s">
        <v>272</v>
      </c>
      <c r="CR862" s="224"/>
      <c r="CS862" s="230" t="s">
        <v>539</v>
      </c>
      <c r="CT862" s="230"/>
      <c r="CU862" s="230"/>
      <c r="CV862" s="335">
        <f t="shared" si="168"/>
        <v>37.53160556257901</v>
      </c>
      <c r="CW862" s="230">
        <f t="shared" si="166"/>
        <v>1</v>
      </c>
      <c r="CX862" s="336"/>
      <c r="CY862" s="230" t="s">
        <v>6351</v>
      </c>
    </row>
    <row r="863" spans="1:103" ht="11.25" customHeight="1" x14ac:dyDescent="0.2">
      <c r="A863" s="72">
        <v>1224</v>
      </c>
      <c r="B863" s="224">
        <v>1906</v>
      </c>
      <c r="C863" s="46" t="s">
        <v>1526</v>
      </c>
      <c r="D863" s="46"/>
      <c r="E863" s="114"/>
      <c r="F863" s="114" t="s">
        <v>1527</v>
      </c>
      <c r="G863" s="225">
        <v>2303175</v>
      </c>
      <c r="H863" s="47" t="s">
        <v>1528</v>
      </c>
      <c r="I863" s="47" t="s">
        <v>8083</v>
      </c>
      <c r="J863" s="47" t="s">
        <v>1529</v>
      </c>
      <c r="K863" s="47" t="s">
        <v>1530</v>
      </c>
      <c r="L863" s="47" t="s">
        <v>6017</v>
      </c>
      <c r="M863" s="47" t="s">
        <v>6082</v>
      </c>
      <c r="N863" s="47" t="s">
        <v>6082</v>
      </c>
      <c r="O863" s="47" t="s">
        <v>6083</v>
      </c>
      <c r="P863" s="53"/>
      <c r="Q863" s="53"/>
      <c r="R863" s="53"/>
      <c r="S863" s="53"/>
      <c r="T863" s="48">
        <v>304.66000000000003</v>
      </c>
      <c r="U863" s="98">
        <v>4</v>
      </c>
      <c r="V863" s="98">
        <v>1.3599999999999999</v>
      </c>
      <c r="W863" s="98">
        <v>1.4581944392701465</v>
      </c>
      <c r="X863" s="98">
        <v>4</v>
      </c>
      <c r="Y863" s="233">
        <v>7</v>
      </c>
      <c r="Z863" s="48">
        <v>4.57</v>
      </c>
      <c r="AA863" s="48">
        <v>4.5999999999999996</v>
      </c>
      <c r="AB863" s="48">
        <v>4.29</v>
      </c>
      <c r="AC863" s="48">
        <v>0.74060000000000004</v>
      </c>
      <c r="AD863" s="48">
        <v>4.93</v>
      </c>
      <c r="AE863" s="48">
        <v>6.18</v>
      </c>
      <c r="AF863" s="48">
        <f t="shared" si="178"/>
        <v>4.5999999999999996</v>
      </c>
      <c r="AG863" s="49">
        <v>3.99</v>
      </c>
      <c r="AH863" s="98">
        <v>5.66E-6</v>
      </c>
      <c r="AI863" s="98">
        <v>1.2E-5</v>
      </c>
      <c r="AJ863" s="483">
        <f t="shared" si="175"/>
        <v>-3.6357498951243805</v>
      </c>
      <c r="AK863" s="483">
        <f>LOG10(AI863*1000/(0.08206*298.15))</f>
        <v>-3.3093850802650269</v>
      </c>
      <c r="AL863" s="483">
        <f t="shared" si="174"/>
        <v>-3.3093850802650269</v>
      </c>
      <c r="AM863" s="483">
        <v>-10.536390000000001</v>
      </c>
      <c r="AN863" s="226">
        <v>-4.0999999999999996</v>
      </c>
      <c r="AO863" s="484"/>
      <c r="AP863" s="484">
        <v>-1.48</v>
      </c>
      <c r="AQ863" s="226" t="s">
        <v>6311</v>
      </c>
      <c r="AR863" s="226" t="s">
        <v>6311</v>
      </c>
      <c r="AS863" s="224"/>
      <c r="AT863" s="50" t="s">
        <v>266</v>
      </c>
      <c r="AU863" s="48">
        <v>6</v>
      </c>
      <c r="AV863" s="48">
        <v>120</v>
      </c>
      <c r="AW863" s="48">
        <v>114</v>
      </c>
      <c r="AX863" s="48">
        <v>28</v>
      </c>
      <c r="AY863" s="48" t="s">
        <v>8728</v>
      </c>
      <c r="AZ863" s="48" t="s">
        <v>1563</v>
      </c>
      <c r="BA863" s="48">
        <v>32</v>
      </c>
      <c r="BB863" s="47" t="s">
        <v>2485</v>
      </c>
      <c r="BC863" s="47" t="s">
        <v>8726</v>
      </c>
      <c r="BD863" s="47" t="s">
        <v>8374</v>
      </c>
      <c r="BE863" s="48" t="s">
        <v>2449</v>
      </c>
      <c r="BF863" s="48" t="s">
        <v>272</v>
      </c>
      <c r="BG863" s="48" t="s">
        <v>272</v>
      </c>
      <c r="BH863" s="48" t="s">
        <v>2486</v>
      </c>
      <c r="BI863" s="98">
        <v>1.9498240000000002E-3</v>
      </c>
      <c r="BJ863" s="98">
        <v>19.498240000000003</v>
      </c>
      <c r="BK863" s="48"/>
      <c r="BL863" s="487">
        <v>1.2311144753703407</v>
      </c>
      <c r="BM863" s="47" t="s">
        <v>2487</v>
      </c>
      <c r="BN863" s="48"/>
      <c r="BO863" s="48"/>
      <c r="BP863" s="48"/>
      <c r="BQ863" s="48"/>
      <c r="BR863" s="47" t="e">
        <v>#VALUE!</v>
      </c>
      <c r="BS863" s="48"/>
      <c r="BT863" s="48"/>
      <c r="BU863" s="228"/>
      <c r="BV863" s="48"/>
      <c r="BW863" s="48"/>
      <c r="BX863" s="48"/>
      <c r="BY863" s="48"/>
      <c r="BZ863" s="48"/>
      <c r="CA863" s="48"/>
      <c r="CB863" s="48"/>
      <c r="CC863" s="48"/>
      <c r="CD863" s="48"/>
      <c r="CE863" s="48"/>
      <c r="CF863" s="48"/>
      <c r="CG863" s="48"/>
      <c r="CH863" s="48"/>
      <c r="CI863" s="98"/>
      <c r="CJ863" s="98"/>
      <c r="CK863" s="49">
        <f t="shared" si="167"/>
        <v>6.3139774429401857E-2</v>
      </c>
      <c r="CL863" s="229"/>
      <c r="CM863" s="229">
        <v>1.1916048650389709E-2</v>
      </c>
      <c r="CN863" s="229">
        <f>BJ863/(10^CM863)</f>
        <v>18.970525573964409</v>
      </c>
      <c r="CO863" s="47" t="s">
        <v>2488</v>
      </c>
      <c r="CP863" s="500" t="s">
        <v>2489</v>
      </c>
      <c r="CQ863" s="224">
        <v>9.5095775655298337E-2</v>
      </c>
      <c r="CR863" s="224">
        <f>10^(CJ863-CQ863)</f>
        <v>0.80334893882531677</v>
      </c>
      <c r="CS863" s="230" t="s">
        <v>539</v>
      </c>
      <c r="CT863" s="230"/>
      <c r="CU863" s="230"/>
      <c r="CV863" s="335">
        <f t="shared" si="168"/>
        <v>0.20514672093481254</v>
      </c>
      <c r="CW863" s="230">
        <f t="shared" ref="CW863:CW926" si="179">IF(CV863&lt;1,0,1)</f>
        <v>0</v>
      </c>
      <c r="CX863" s="336"/>
      <c r="CY863" s="230" t="s">
        <v>5921</v>
      </c>
    </row>
    <row r="864" spans="1:103" ht="11.25" customHeight="1" x14ac:dyDescent="0.2">
      <c r="A864" s="72">
        <v>1225</v>
      </c>
      <c r="B864" s="224">
        <v>1584</v>
      </c>
      <c r="C864" s="46" t="s">
        <v>7349</v>
      </c>
      <c r="D864" s="46"/>
      <c r="E864" s="114"/>
      <c r="F864" s="114" t="s">
        <v>4732</v>
      </c>
      <c r="G864" s="225">
        <v>2392394</v>
      </c>
      <c r="H864" s="47" t="s">
        <v>4733</v>
      </c>
      <c r="I864" s="47" t="s">
        <v>4733</v>
      </c>
      <c r="J864" s="47" t="s">
        <v>4734</v>
      </c>
      <c r="K864" s="47" t="s">
        <v>3444</v>
      </c>
      <c r="L864" s="47"/>
      <c r="M864" s="47"/>
      <c r="N864" s="47"/>
      <c r="O864" s="47"/>
      <c r="P864" s="53"/>
      <c r="Q864" s="53"/>
      <c r="R864" s="53"/>
      <c r="S864" s="53"/>
      <c r="T864" s="48">
        <v>472.44</v>
      </c>
      <c r="U864" s="98"/>
      <c r="V864" s="98">
        <v>394.3</v>
      </c>
      <c r="W864" s="98">
        <v>1493.9864577699477</v>
      </c>
      <c r="X864" s="98">
        <v>1493.9864577699477</v>
      </c>
      <c r="Y864" s="233">
        <v>2.5499999999999998</v>
      </c>
      <c r="Z864" s="48">
        <v>0.51</v>
      </c>
      <c r="AA864" s="48"/>
      <c r="AB864" s="48">
        <v>-0.39</v>
      </c>
      <c r="AC864" s="48">
        <v>0.47010000000000002</v>
      </c>
      <c r="AD864" s="48">
        <v>0.16</v>
      </c>
      <c r="AE864" s="48">
        <v>0.65</v>
      </c>
      <c r="AF864" s="48">
        <f t="shared" si="178"/>
        <v>0.16</v>
      </c>
      <c r="AG864" s="49">
        <v>0.16</v>
      </c>
      <c r="AH864" s="98">
        <v>1.07E-19</v>
      </c>
      <c r="AI864" s="98"/>
      <c r="AJ864" s="483">
        <f t="shared" si="175"/>
        <v>-17.359182548627441</v>
      </c>
      <c r="AK864" s="483"/>
      <c r="AL864" s="483">
        <f t="shared" si="174"/>
        <v>-17.359182548627441</v>
      </c>
      <c r="AM864" s="483">
        <v>-33.101579999999998</v>
      </c>
      <c r="AN864" s="226"/>
      <c r="AO864" s="484">
        <v>1.67</v>
      </c>
      <c r="AP864" s="484"/>
      <c r="AQ864" s="48" t="s">
        <v>6311</v>
      </c>
      <c r="AR864" s="48" t="s">
        <v>6311</v>
      </c>
      <c r="AS864" s="227"/>
      <c r="AT864" s="50" t="s">
        <v>266</v>
      </c>
      <c r="AU864" s="48">
        <v>6</v>
      </c>
      <c r="AV864" s="48">
        <v>120</v>
      </c>
      <c r="AW864" s="48">
        <v>114</v>
      </c>
      <c r="AX864" s="48">
        <v>28</v>
      </c>
      <c r="AY864" s="48" t="s">
        <v>8728</v>
      </c>
      <c r="AZ864" s="48" t="s">
        <v>1563</v>
      </c>
      <c r="BA864" s="48">
        <v>32</v>
      </c>
      <c r="BB864" s="47" t="s">
        <v>2485</v>
      </c>
      <c r="BC864" s="47" t="s">
        <v>8726</v>
      </c>
      <c r="BD864" s="47" t="s">
        <v>8374</v>
      </c>
      <c r="BE864" s="48" t="s">
        <v>2449</v>
      </c>
      <c r="BF864" s="48" t="s">
        <v>272</v>
      </c>
      <c r="BG864" s="48" t="s">
        <v>272</v>
      </c>
      <c r="BH864" s="48" t="s">
        <v>2486</v>
      </c>
      <c r="BI864" s="98">
        <v>3.0236159999999998E-3</v>
      </c>
      <c r="BJ864" s="98">
        <v>30.236160000000002</v>
      </c>
      <c r="BK864" s="48"/>
      <c r="BL864" s="487">
        <v>8455.0398888903746</v>
      </c>
      <c r="BM864" s="47" t="s">
        <v>2487</v>
      </c>
      <c r="BN864" s="48"/>
      <c r="BO864" s="48"/>
      <c r="BP864" s="48"/>
      <c r="BQ864" s="48"/>
      <c r="BR864" s="47" t="e">
        <v>#VALUE!</v>
      </c>
      <c r="BS864" s="48"/>
      <c r="BT864" s="48"/>
      <c r="BU864" s="228"/>
      <c r="BV864" s="48"/>
      <c r="BW864" s="48"/>
      <c r="BX864" s="48"/>
      <c r="BY864" s="48"/>
      <c r="BZ864" s="48"/>
      <c r="CA864" s="48"/>
      <c r="CB864" s="48"/>
      <c r="CC864" s="48"/>
      <c r="CD864" s="48"/>
      <c r="CE864" s="48"/>
      <c r="CF864" s="48"/>
      <c r="CG864" s="48"/>
      <c r="CH864" s="48"/>
      <c r="CI864" s="98"/>
      <c r="CJ864" s="98"/>
      <c r="CK864" s="49">
        <f t="shared" si="167"/>
        <v>279.63338892539178</v>
      </c>
      <c r="CL864" s="229"/>
      <c r="CM864" s="229"/>
      <c r="CN864" s="229"/>
      <c r="CO864" s="47" t="s">
        <v>2488</v>
      </c>
      <c r="CP864" s="500" t="s">
        <v>2489</v>
      </c>
      <c r="CQ864" s="224" t="s">
        <v>272</v>
      </c>
      <c r="CR864" s="224"/>
      <c r="CS864" s="230" t="s">
        <v>539</v>
      </c>
      <c r="CT864" s="230"/>
      <c r="CU864" s="230"/>
      <c r="CV864" s="335">
        <f t="shared" si="168"/>
        <v>49.41058844013088</v>
      </c>
      <c r="CW864" s="230">
        <f t="shared" si="179"/>
        <v>1</v>
      </c>
      <c r="CX864" s="336"/>
      <c r="CY864" s="230" t="s">
        <v>5921</v>
      </c>
    </row>
    <row r="865" spans="1:103" ht="11.25" customHeight="1" x14ac:dyDescent="0.2">
      <c r="A865" s="72">
        <v>1226</v>
      </c>
      <c r="B865" s="224">
        <v>1412</v>
      </c>
      <c r="C865" s="46" t="s">
        <v>7350</v>
      </c>
      <c r="D865" s="46"/>
      <c r="E865" s="114"/>
      <c r="F865" s="114" t="s">
        <v>1976</v>
      </c>
      <c r="G865" s="225">
        <v>2416946</v>
      </c>
      <c r="H865" s="47" t="s">
        <v>1977</v>
      </c>
      <c r="I865" s="47" t="s">
        <v>1977</v>
      </c>
      <c r="J865" s="47" t="s">
        <v>1978</v>
      </c>
      <c r="K865" s="47" t="s">
        <v>349</v>
      </c>
      <c r="L865" s="47" t="s">
        <v>6025</v>
      </c>
      <c r="M865" s="47" t="s">
        <v>6082</v>
      </c>
      <c r="N865" s="47" t="s">
        <v>6082</v>
      </c>
      <c r="O865" s="47"/>
      <c r="P865" s="53" t="s">
        <v>6184</v>
      </c>
      <c r="Q865" s="53" t="s">
        <v>6173</v>
      </c>
      <c r="R865" s="53" t="s">
        <v>6185</v>
      </c>
      <c r="S865" s="53" t="s">
        <v>6176</v>
      </c>
      <c r="T865" s="48">
        <v>136.19</v>
      </c>
      <c r="U865" s="98">
        <v>1580</v>
      </c>
      <c r="V865" s="98">
        <v>1732</v>
      </c>
      <c r="W865" s="98">
        <v>2109.3333532969073</v>
      </c>
      <c r="X865" s="98">
        <v>1580</v>
      </c>
      <c r="Y865" s="233">
        <v>6.28</v>
      </c>
      <c r="Z865" s="48">
        <v>3.15</v>
      </c>
      <c r="AA865" s="48">
        <v>2.67</v>
      </c>
      <c r="AB865" s="48">
        <v>2.72</v>
      </c>
      <c r="AC865" s="48">
        <v>0.95220000000000005</v>
      </c>
      <c r="AD865" s="48">
        <v>2.75</v>
      </c>
      <c r="AE865" s="48">
        <v>2.86</v>
      </c>
      <c r="AF865" s="48">
        <f t="shared" si="178"/>
        <v>2.67</v>
      </c>
      <c r="AG865" s="49">
        <v>2.83</v>
      </c>
      <c r="AH865" s="98">
        <v>7.5300000000000003E-7</v>
      </c>
      <c r="AI865" s="98">
        <v>3.9400000000000004E-6</v>
      </c>
      <c r="AJ865" s="483">
        <f t="shared" si="175"/>
        <v>-4.5117713501119514</v>
      </c>
      <c r="AK865" s="483">
        <f>LOG10(AI865*1000/(0.08206*298.15))</f>
        <v>-3.7930701044870778</v>
      </c>
      <c r="AL865" s="483">
        <f t="shared" si="174"/>
        <v>-3.7930701044870778</v>
      </c>
      <c r="AM865" s="483">
        <v>-5.6314799999999998</v>
      </c>
      <c r="AN865" s="226">
        <v>-3.82</v>
      </c>
      <c r="AO865" s="484">
        <v>10.77</v>
      </c>
      <c r="AP865" s="484"/>
      <c r="AQ865" s="48" t="s">
        <v>6311</v>
      </c>
      <c r="AR865" s="48" t="s">
        <v>6311</v>
      </c>
      <c r="AS865" s="227"/>
      <c r="AT865" s="50" t="s">
        <v>266</v>
      </c>
      <c r="AU865" s="48">
        <v>6</v>
      </c>
      <c r="AV865" s="48">
        <v>120</v>
      </c>
      <c r="AW865" s="48">
        <v>114</v>
      </c>
      <c r="AX865" s="48">
        <v>28</v>
      </c>
      <c r="AY865" s="48" t="s">
        <v>8728</v>
      </c>
      <c r="AZ865" s="48" t="s">
        <v>1563</v>
      </c>
      <c r="BA865" s="48">
        <v>32</v>
      </c>
      <c r="BB865" s="47" t="s">
        <v>2485</v>
      </c>
      <c r="BC865" s="47" t="s">
        <v>8726</v>
      </c>
      <c r="BD865" s="47" t="s">
        <v>8374</v>
      </c>
      <c r="BE865" s="48" t="s">
        <v>2449</v>
      </c>
      <c r="BF865" s="48" t="s">
        <v>272</v>
      </c>
      <c r="BG865" s="48" t="s">
        <v>272</v>
      </c>
      <c r="BH865" s="48" t="s">
        <v>2486</v>
      </c>
      <c r="BI865" s="98">
        <v>8.7161599999999997E-4</v>
      </c>
      <c r="BJ865" s="98">
        <v>8.7161600000000004</v>
      </c>
      <c r="BK865" s="48"/>
      <c r="BL865" s="487">
        <v>10.373617246808909</v>
      </c>
      <c r="BM865" s="47" t="s">
        <v>2487</v>
      </c>
      <c r="BN865" s="48"/>
      <c r="BO865" s="48"/>
      <c r="BP865" s="48"/>
      <c r="BQ865" s="48"/>
      <c r="BR865" s="47" t="e">
        <v>#VALUE!</v>
      </c>
      <c r="BS865" s="48"/>
      <c r="BT865" s="48"/>
      <c r="BU865" s="228"/>
      <c r="BV865" s="48"/>
      <c r="BW865" s="48"/>
      <c r="BX865" s="48"/>
      <c r="BY865" s="48"/>
      <c r="BZ865" s="48"/>
      <c r="CA865" s="48"/>
      <c r="CB865" s="48"/>
      <c r="CC865" s="48"/>
      <c r="CD865" s="48"/>
      <c r="CE865" s="48"/>
      <c r="CF865" s="48"/>
      <c r="CG865" s="48"/>
      <c r="CH865" s="48"/>
      <c r="CI865" s="98"/>
      <c r="CJ865" s="98"/>
      <c r="CK865" s="49">
        <f t="shared" ref="CK865:CK916" si="180">BL865/BJ865</f>
        <v>1.19015911213297</v>
      </c>
      <c r="CL865" s="229"/>
      <c r="CM865" s="229"/>
      <c r="CN865" s="229"/>
      <c r="CO865" s="47" t="s">
        <v>2488</v>
      </c>
      <c r="CP865" s="500" t="s">
        <v>2489</v>
      </c>
      <c r="CQ865" s="224">
        <v>0.91407850475157881</v>
      </c>
      <c r="CR865" s="224">
        <f>10^(CJ865-CQ865)</f>
        <v>0.12187692695609981</v>
      </c>
      <c r="CS865" s="230" t="s">
        <v>539</v>
      </c>
      <c r="CT865" s="230"/>
      <c r="CU865" s="230"/>
      <c r="CV865" s="335">
        <f t="shared" ref="CV865:CV916" si="181">X865/BJ865</f>
        <v>181.27248696673763</v>
      </c>
      <c r="CW865" s="230">
        <f t="shared" si="179"/>
        <v>1</v>
      </c>
      <c r="CX865" s="336"/>
      <c r="CY865" s="230" t="s">
        <v>6351</v>
      </c>
    </row>
    <row r="866" spans="1:103" ht="11.25" customHeight="1" x14ac:dyDescent="0.2">
      <c r="A866" s="72">
        <v>1227</v>
      </c>
      <c r="B866" s="224">
        <v>1455</v>
      </c>
      <c r="C866" s="46" t="s">
        <v>7351</v>
      </c>
      <c r="D866" s="46"/>
      <c r="E866" s="114"/>
      <c r="F866" s="114" t="s">
        <v>4473</v>
      </c>
      <c r="G866" s="225">
        <v>2433149</v>
      </c>
      <c r="H866" s="47" t="s">
        <v>4474</v>
      </c>
      <c r="I866" s="47" t="s">
        <v>4474</v>
      </c>
      <c r="J866" s="47" t="s">
        <v>4475</v>
      </c>
      <c r="K866" s="47" t="s">
        <v>426</v>
      </c>
      <c r="L866" s="47"/>
      <c r="M866" s="47"/>
      <c r="N866" s="47"/>
      <c r="O866" s="47"/>
      <c r="P866" s="53"/>
      <c r="Q866" s="53"/>
      <c r="R866" s="53"/>
      <c r="S866" s="53"/>
      <c r="T866" s="48">
        <v>182.3</v>
      </c>
      <c r="U866" s="98"/>
      <c r="V866" s="98">
        <v>35.19</v>
      </c>
      <c r="W866" s="98">
        <v>427.3529130328215</v>
      </c>
      <c r="X866" s="98">
        <v>427.3529130328215</v>
      </c>
      <c r="Y866" s="233">
        <v>7</v>
      </c>
      <c r="Z866" s="48">
        <v>4.32</v>
      </c>
      <c r="AA866" s="48"/>
      <c r="AB866" s="48">
        <v>3.02</v>
      </c>
      <c r="AC866" s="48">
        <v>0.78400000000000003</v>
      </c>
      <c r="AD866" s="48">
        <v>3.31</v>
      </c>
      <c r="AE866" s="48">
        <v>3.89</v>
      </c>
      <c r="AF866" s="48">
        <f t="shared" si="178"/>
        <v>3.31</v>
      </c>
      <c r="AG866" s="49">
        <v>0.61</v>
      </c>
      <c r="AH866" s="98">
        <v>1.1800000000000001E-5</v>
      </c>
      <c r="AI866" s="98"/>
      <c r="AJ866" s="483">
        <f t="shared" si="175"/>
        <v>-3.3166843190065265</v>
      </c>
      <c r="AK866" s="483"/>
      <c r="AL866" s="483">
        <f t="shared" si="174"/>
        <v>-3.3166843190065265</v>
      </c>
      <c r="AM866" s="483">
        <v>-5.38917</v>
      </c>
      <c r="AN866" s="226">
        <v>-6.3</v>
      </c>
      <c r="AO866" s="484">
        <v>15.31</v>
      </c>
      <c r="AP866" s="484"/>
      <c r="AQ866" s="48" t="s">
        <v>6311</v>
      </c>
      <c r="AR866" s="48" t="s">
        <v>6311</v>
      </c>
      <c r="AS866" s="227"/>
      <c r="AT866" s="50" t="s">
        <v>266</v>
      </c>
      <c r="AU866" s="48">
        <v>6</v>
      </c>
      <c r="AV866" s="48">
        <v>120</v>
      </c>
      <c r="AW866" s="48">
        <v>114</v>
      </c>
      <c r="AX866" s="48">
        <v>28</v>
      </c>
      <c r="AY866" s="48" t="s">
        <v>8728</v>
      </c>
      <c r="AZ866" s="48" t="s">
        <v>1563</v>
      </c>
      <c r="BA866" s="48">
        <v>32</v>
      </c>
      <c r="BB866" s="47" t="s">
        <v>2485</v>
      </c>
      <c r="BC866" s="47" t="s">
        <v>8726</v>
      </c>
      <c r="BD866" s="47" t="s">
        <v>8374</v>
      </c>
      <c r="BE866" s="48" t="s">
        <v>2449</v>
      </c>
      <c r="BF866" s="48" t="s">
        <v>272</v>
      </c>
      <c r="BG866" s="48" t="s">
        <v>272</v>
      </c>
      <c r="BH866" s="48" t="s">
        <v>2486</v>
      </c>
      <c r="BI866" s="98">
        <v>1.16672E-3</v>
      </c>
      <c r="BJ866" s="98">
        <v>11.667200000000001</v>
      </c>
      <c r="BK866" s="48"/>
      <c r="BL866" s="487">
        <v>1.2353632243962271</v>
      </c>
      <c r="BM866" s="47" t="s">
        <v>2487</v>
      </c>
      <c r="BN866" s="48"/>
      <c r="BO866" s="48"/>
      <c r="BP866" s="48"/>
      <c r="BQ866" s="48"/>
      <c r="BR866" s="47" t="e">
        <v>#VALUE!</v>
      </c>
      <c r="BS866" s="48"/>
      <c r="BT866" s="48"/>
      <c r="BU866" s="228"/>
      <c r="BV866" s="48"/>
      <c r="BW866" s="48"/>
      <c r="BX866" s="48"/>
      <c r="BY866" s="48"/>
      <c r="BZ866" s="48"/>
      <c r="CA866" s="48"/>
      <c r="CB866" s="48"/>
      <c r="CC866" s="48"/>
      <c r="CD866" s="48"/>
      <c r="CE866" s="48"/>
      <c r="CF866" s="48"/>
      <c r="CG866" s="48"/>
      <c r="CH866" s="48"/>
      <c r="CI866" s="98"/>
      <c r="CJ866" s="98"/>
      <c r="CK866" s="49">
        <f t="shared" si="180"/>
        <v>0.10588343599117415</v>
      </c>
      <c r="CL866" s="229"/>
      <c r="CM866" s="229"/>
      <c r="CN866" s="229"/>
      <c r="CO866" s="47" t="s">
        <v>2488</v>
      </c>
      <c r="CP866" s="500" t="s">
        <v>2489</v>
      </c>
      <c r="CQ866" s="224" t="s">
        <v>272</v>
      </c>
      <c r="CR866" s="224"/>
      <c r="CS866" s="230" t="s">
        <v>539</v>
      </c>
      <c r="CT866" s="230"/>
      <c r="CU866" s="230"/>
      <c r="CV866" s="335">
        <f t="shared" si="181"/>
        <v>36.628575239373752</v>
      </c>
      <c r="CW866" s="230">
        <f t="shared" si="179"/>
        <v>1</v>
      </c>
      <c r="CX866" s="336"/>
      <c r="CY866" s="230" t="s">
        <v>5921</v>
      </c>
    </row>
    <row r="867" spans="1:103" ht="11.25" customHeight="1" x14ac:dyDescent="0.2">
      <c r="A867" s="72">
        <v>1228</v>
      </c>
      <c r="B867" s="224">
        <v>1921</v>
      </c>
      <c r="C867" s="46" t="s">
        <v>7352</v>
      </c>
      <c r="D867" s="46"/>
      <c r="E867" s="114"/>
      <c r="F867" s="114" t="s">
        <v>5395</v>
      </c>
      <c r="G867" s="225">
        <v>2451629</v>
      </c>
      <c r="H867" s="47" t="s">
        <v>5396</v>
      </c>
      <c r="I867" s="47" t="s">
        <v>8084</v>
      </c>
      <c r="J867" s="47" t="s">
        <v>5397</v>
      </c>
      <c r="K867" s="47" t="s">
        <v>5398</v>
      </c>
      <c r="L867" s="47"/>
      <c r="M867" s="47"/>
      <c r="N867" s="47"/>
      <c r="O867" s="47"/>
      <c r="P867" s="53"/>
      <c r="Q867" s="53"/>
      <c r="R867" s="53"/>
      <c r="S867" s="53"/>
      <c r="T867" s="48">
        <v>297.26</v>
      </c>
      <c r="U867" s="98"/>
      <c r="V867" s="98">
        <v>1191</v>
      </c>
      <c r="W867" s="98">
        <v>31851.982867493087</v>
      </c>
      <c r="X867" s="98">
        <v>31851.982867493087</v>
      </c>
      <c r="Y867" s="233">
        <v>7</v>
      </c>
      <c r="Z867" s="48">
        <v>1.21</v>
      </c>
      <c r="AA867" s="48"/>
      <c r="AB867" s="48">
        <v>-0.96</v>
      </c>
      <c r="AC867" s="48">
        <v>0.5796</v>
      </c>
      <c r="AD867" s="48">
        <v>-1.69</v>
      </c>
      <c r="AE867" s="48">
        <v>-2.77</v>
      </c>
      <c r="AF867" s="48">
        <f t="shared" si="178"/>
        <v>-1.69</v>
      </c>
      <c r="AG867" s="49">
        <v>-1.1200000000000001</v>
      </c>
      <c r="AH867" s="98">
        <v>9.4099999999999997E-21</v>
      </c>
      <c r="AI867" s="98"/>
      <c r="AJ867" s="483">
        <f t="shared" si="175"/>
        <v>-18.414976702885394</v>
      </c>
      <c r="AK867" s="483"/>
      <c r="AL867" s="483">
        <f t="shared" si="174"/>
        <v>-18.414976702885394</v>
      </c>
      <c r="AM867" s="483">
        <v>-18.009830000000001</v>
      </c>
      <c r="AN867" s="226">
        <v>-1.0900000000000001</v>
      </c>
      <c r="AO867" s="484"/>
      <c r="AP867" s="484">
        <v>-2.44</v>
      </c>
      <c r="AQ867" s="226" t="s">
        <v>6312</v>
      </c>
      <c r="AR867" s="226" t="s">
        <v>6311</v>
      </c>
      <c r="AS867" s="224"/>
      <c r="AT867" s="50" t="s">
        <v>266</v>
      </c>
      <c r="AU867" s="48">
        <v>6</v>
      </c>
      <c r="AV867" s="48">
        <v>120</v>
      </c>
      <c r="AW867" s="48">
        <v>114</v>
      </c>
      <c r="AX867" s="48">
        <v>28</v>
      </c>
      <c r="AY867" s="48" t="s">
        <v>8728</v>
      </c>
      <c r="AZ867" s="48" t="s">
        <v>1563</v>
      </c>
      <c r="BA867" s="48">
        <v>32</v>
      </c>
      <c r="BB867" s="47" t="s">
        <v>2485</v>
      </c>
      <c r="BC867" s="47" t="s">
        <v>8726</v>
      </c>
      <c r="BD867" s="47" t="s">
        <v>8374</v>
      </c>
      <c r="BE867" s="48" t="s">
        <v>2449</v>
      </c>
      <c r="BF867" s="48" t="s">
        <v>272</v>
      </c>
      <c r="BG867" s="48" t="s">
        <v>272</v>
      </c>
      <c r="BH867" s="48" t="s">
        <v>2486</v>
      </c>
      <c r="BI867" s="98">
        <v>1.9024639999999998E-3</v>
      </c>
      <c r="BJ867" s="98">
        <v>19.024640000000002</v>
      </c>
      <c r="BK867" s="48"/>
      <c r="BL867" s="487">
        <v>1250.9371015593913</v>
      </c>
      <c r="BM867" s="47" t="s">
        <v>2487</v>
      </c>
      <c r="BN867" s="48"/>
      <c r="BO867" s="48"/>
      <c r="BP867" s="48"/>
      <c r="BQ867" s="48"/>
      <c r="BR867" s="47" t="e">
        <v>#VALUE!</v>
      </c>
      <c r="BS867" s="48"/>
      <c r="BT867" s="48"/>
      <c r="BU867" s="228"/>
      <c r="BV867" s="48"/>
      <c r="BW867" s="48"/>
      <c r="BX867" s="48"/>
      <c r="BY867" s="48"/>
      <c r="BZ867" s="48"/>
      <c r="CA867" s="48"/>
      <c r="CB867" s="48"/>
      <c r="CC867" s="48"/>
      <c r="CD867" s="48"/>
      <c r="CE867" s="48"/>
      <c r="CF867" s="48"/>
      <c r="CG867" s="48"/>
      <c r="CH867" s="48"/>
      <c r="CI867" s="98"/>
      <c r="CJ867" s="98"/>
      <c r="CK867" s="49">
        <f t="shared" si="180"/>
        <v>65.753522881872726</v>
      </c>
      <c r="CL867" s="229"/>
      <c r="CM867" s="229"/>
      <c r="CN867" s="229"/>
      <c r="CO867" s="47" t="s">
        <v>2488</v>
      </c>
      <c r="CP867" s="500" t="s">
        <v>2489</v>
      </c>
      <c r="CQ867" s="224" t="s">
        <v>272</v>
      </c>
      <c r="CR867" s="224"/>
      <c r="CS867" s="230" t="s">
        <v>539</v>
      </c>
      <c r="CT867" s="230"/>
      <c r="CU867" s="230"/>
      <c r="CV867" s="335">
        <f t="shared" si="181"/>
        <v>1674.2489144337599</v>
      </c>
      <c r="CW867" s="230">
        <f t="shared" si="179"/>
        <v>1</v>
      </c>
      <c r="CX867" s="336"/>
      <c r="CY867" s="230" t="s">
        <v>6351</v>
      </c>
    </row>
    <row r="868" spans="1:103" ht="11.25" customHeight="1" x14ac:dyDescent="0.2">
      <c r="A868" s="72">
        <v>1229</v>
      </c>
      <c r="B868" s="224">
        <v>1745</v>
      </c>
      <c r="C868" s="46" t="s">
        <v>7353</v>
      </c>
      <c r="D868" s="46"/>
      <c r="E868" s="114"/>
      <c r="F868" s="114" t="s">
        <v>5034</v>
      </c>
      <c r="G868" s="225">
        <v>2528167</v>
      </c>
      <c r="H868" s="47" t="s">
        <v>5035</v>
      </c>
      <c r="I868" s="47" t="s">
        <v>5035</v>
      </c>
      <c r="J868" s="47" t="s">
        <v>5036</v>
      </c>
      <c r="K868" s="47" t="s">
        <v>357</v>
      </c>
      <c r="L868" s="47"/>
      <c r="M868" s="47"/>
      <c r="N868" s="47"/>
      <c r="O868" s="47"/>
      <c r="P868" s="53"/>
      <c r="Q868" s="53"/>
      <c r="R868" s="53"/>
      <c r="S868" s="53"/>
      <c r="T868" s="48">
        <v>256.25</v>
      </c>
      <c r="U868" s="98"/>
      <c r="V868" s="98">
        <v>51.66</v>
      </c>
      <c r="W868" s="98">
        <v>262.21882927194304</v>
      </c>
      <c r="X868" s="98">
        <v>262.21882927194304</v>
      </c>
      <c r="Y868" s="233">
        <v>3.32</v>
      </c>
      <c r="Z868" s="48">
        <v>3.07</v>
      </c>
      <c r="AA868" s="48"/>
      <c r="AB868" s="48">
        <v>3.74</v>
      </c>
      <c r="AC868" s="48">
        <v>0.81030000000000002</v>
      </c>
      <c r="AD868" s="48">
        <v>3.49</v>
      </c>
      <c r="AE868" s="48">
        <v>2.9</v>
      </c>
      <c r="AF868" s="48">
        <f t="shared" si="178"/>
        <v>3.49</v>
      </c>
      <c r="AG868" s="49">
        <v>2.74</v>
      </c>
      <c r="AH868" s="98">
        <v>5.64E-11</v>
      </c>
      <c r="AI868" s="98"/>
      <c r="AJ868" s="483">
        <f t="shared" si="175"/>
        <v>-8.6372872223293093</v>
      </c>
      <c r="AK868" s="483"/>
      <c r="AL868" s="483">
        <f t="shared" si="174"/>
        <v>-8.6372872223293093</v>
      </c>
      <c r="AM868" s="483">
        <v>-13.388949999999999</v>
      </c>
      <c r="AN868" s="226">
        <v>-8.07</v>
      </c>
      <c r="AO868" s="484">
        <v>3.37</v>
      </c>
      <c r="AP868" s="484"/>
      <c r="AQ868" s="226" t="s">
        <v>6311</v>
      </c>
      <c r="AR868" s="226" t="s">
        <v>6312</v>
      </c>
      <c r="AS868" s="224"/>
      <c r="AT868" s="50" t="s">
        <v>266</v>
      </c>
      <c r="AU868" s="48">
        <v>6</v>
      </c>
      <c r="AV868" s="48">
        <v>120</v>
      </c>
      <c r="AW868" s="48">
        <v>114</v>
      </c>
      <c r="AX868" s="48">
        <v>28</v>
      </c>
      <c r="AY868" s="48" t="s">
        <v>8728</v>
      </c>
      <c r="AZ868" s="48" t="s">
        <v>1563</v>
      </c>
      <c r="BA868" s="48">
        <v>32</v>
      </c>
      <c r="BB868" s="47" t="s">
        <v>2485</v>
      </c>
      <c r="BC868" s="47" t="s">
        <v>8726</v>
      </c>
      <c r="BD868" s="47" t="s">
        <v>8374</v>
      </c>
      <c r="BE868" s="48" t="s">
        <v>2449</v>
      </c>
      <c r="BF868" s="48" t="s">
        <v>272</v>
      </c>
      <c r="BG868" s="48" t="s">
        <v>272</v>
      </c>
      <c r="BH868" s="48" t="s">
        <v>2486</v>
      </c>
      <c r="BI868" s="98">
        <v>1.64E-3</v>
      </c>
      <c r="BJ868" s="98">
        <v>16.399999999999999</v>
      </c>
      <c r="BK868" s="48"/>
      <c r="BL868" s="487">
        <v>23.030155697584721</v>
      </c>
      <c r="BM868" s="47" t="s">
        <v>2487</v>
      </c>
      <c r="BN868" s="48"/>
      <c r="BO868" s="48"/>
      <c r="BP868" s="48"/>
      <c r="BQ868" s="48"/>
      <c r="BR868" s="47" t="e">
        <v>#VALUE!</v>
      </c>
      <c r="BS868" s="48"/>
      <c r="BT868" s="48"/>
      <c r="BU868" s="228"/>
      <c r="BV868" s="48"/>
      <c r="BW868" s="48"/>
      <c r="BX868" s="48"/>
      <c r="BY868" s="48"/>
      <c r="BZ868" s="48"/>
      <c r="CA868" s="48"/>
      <c r="CB868" s="48"/>
      <c r="CC868" s="48"/>
      <c r="CD868" s="48"/>
      <c r="CE868" s="48"/>
      <c r="CF868" s="48"/>
      <c r="CG868" s="48"/>
      <c r="CH868" s="48"/>
      <c r="CI868" s="98"/>
      <c r="CJ868" s="98"/>
      <c r="CK868" s="49">
        <f t="shared" si="180"/>
        <v>1.4042777864380929</v>
      </c>
      <c r="CL868" s="229"/>
      <c r="CM868" s="229"/>
      <c r="CN868" s="229"/>
      <c r="CO868" s="47" t="s">
        <v>2488</v>
      </c>
      <c r="CP868" s="500" t="s">
        <v>2489</v>
      </c>
      <c r="CQ868" s="224" t="s">
        <v>272</v>
      </c>
      <c r="CR868" s="224"/>
      <c r="CS868" s="230" t="s">
        <v>539</v>
      </c>
      <c r="CT868" s="230"/>
      <c r="CU868" s="230"/>
      <c r="CV868" s="335">
        <f t="shared" si="181"/>
        <v>15.988953004386772</v>
      </c>
      <c r="CW868" s="230">
        <f t="shared" si="179"/>
        <v>1</v>
      </c>
      <c r="CX868" s="336"/>
      <c r="CY868" s="230" t="s">
        <v>5921</v>
      </c>
    </row>
    <row r="869" spans="1:103" ht="11.25" customHeight="1" x14ac:dyDescent="0.2">
      <c r="A869" s="72">
        <v>1230</v>
      </c>
      <c r="B869" s="224">
        <v>1602</v>
      </c>
      <c r="C869" s="46" t="s">
        <v>7354</v>
      </c>
      <c r="D869" s="46"/>
      <c r="E869" s="114"/>
      <c r="F869" s="114" t="s">
        <v>4759</v>
      </c>
      <c r="G869" s="225">
        <v>2550405</v>
      </c>
      <c r="H869" s="47" t="s">
        <v>4760</v>
      </c>
      <c r="I869" s="47" t="s">
        <v>4760</v>
      </c>
      <c r="J869" s="47" t="s">
        <v>4761</v>
      </c>
      <c r="K869" s="47" t="s">
        <v>426</v>
      </c>
      <c r="L869" s="47"/>
      <c r="M869" s="47"/>
      <c r="N869" s="47"/>
      <c r="O869" s="47"/>
      <c r="P869" s="53"/>
      <c r="Q869" s="53"/>
      <c r="R869" s="53"/>
      <c r="S869" s="53"/>
      <c r="T869" s="48">
        <v>230.44</v>
      </c>
      <c r="U869" s="98"/>
      <c r="V869" s="98">
        <v>0.1011</v>
      </c>
      <c r="W869" s="98">
        <v>47.049809196964624</v>
      </c>
      <c r="X869" s="98">
        <v>47.049809196964624</v>
      </c>
      <c r="Y869" s="233">
        <v>7</v>
      </c>
      <c r="Z869" s="48">
        <v>6.41</v>
      </c>
      <c r="AA869" s="48"/>
      <c r="AB869" s="48">
        <v>4.67</v>
      </c>
      <c r="AC869" s="48">
        <v>0.65080000000000005</v>
      </c>
      <c r="AD869" s="48">
        <v>5.19</v>
      </c>
      <c r="AE869" s="48">
        <v>5.89</v>
      </c>
      <c r="AF869" s="48">
        <f t="shared" si="178"/>
        <v>5.19</v>
      </c>
      <c r="AG869" s="49">
        <v>0.22</v>
      </c>
      <c r="AH869" s="98">
        <v>4.0099999999999997E-3</v>
      </c>
      <c r="AI869" s="98"/>
      <c r="AJ869" s="483">
        <f t="shared" si="175"/>
        <v>-0.78542195369246948</v>
      </c>
      <c r="AK869" s="483"/>
      <c r="AL869" s="483">
        <f t="shared" si="174"/>
        <v>-0.78542195369246948</v>
      </c>
      <c r="AM869" s="483">
        <v>-4.8088700000000006</v>
      </c>
      <c r="AN869" s="226">
        <v>-33.9</v>
      </c>
      <c r="AO869" s="484"/>
      <c r="AP869" s="484"/>
      <c r="AQ869" s="48" t="s">
        <v>6311</v>
      </c>
      <c r="AR869" s="48" t="s">
        <v>6311</v>
      </c>
      <c r="AS869" s="227"/>
      <c r="AT869" s="50" t="s">
        <v>266</v>
      </c>
      <c r="AU869" s="48">
        <v>6</v>
      </c>
      <c r="AV869" s="48">
        <v>120</v>
      </c>
      <c r="AW869" s="48">
        <v>114</v>
      </c>
      <c r="AX869" s="48">
        <v>28</v>
      </c>
      <c r="AY869" s="48" t="s">
        <v>8728</v>
      </c>
      <c r="AZ869" s="48" t="s">
        <v>1563</v>
      </c>
      <c r="BA869" s="48">
        <v>32</v>
      </c>
      <c r="BB869" s="47" t="s">
        <v>2485</v>
      </c>
      <c r="BC869" s="47" t="s">
        <v>8726</v>
      </c>
      <c r="BD869" s="47" t="s">
        <v>8374</v>
      </c>
      <c r="BE869" s="48" t="s">
        <v>2449</v>
      </c>
      <c r="BF869" s="48" t="s">
        <v>272</v>
      </c>
      <c r="BG869" s="48" t="s">
        <v>272</v>
      </c>
      <c r="BH869" s="48" t="s">
        <v>2486</v>
      </c>
      <c r="BI869" s="98">
        <v>1.4748159999999999E-3</v>
      </c>
      <c r="BJ869" s="98">
        <v>14.74816</v>
      </c>
      <c r="BK869" s="48"/>
      <c r="BL869" s="487">
        <v>2.0727020004273438E-2</v>
      </c>
      <c r="BM869" s="47" t="s">
        <v>2487</v>
      </c>
      <c r="BN869" s="48"/>
      <c r="BO869" s="48"/>
      <c r="BP869" s="48"/>
      <c r="BQ869" s="48"/>
      <c r="BR869" s="47" t="e">
        <v>#VALUE!</v>
      </c>
      <c r="BS869" s="48"/>
      <c r="BT869" s="48"/>
      <c r="BU869" s="228"/>
      <c r="BV869" s="48"/>
      <c r="BW869" s="48"/>
      <c r="BX869" s="48"/>
      <c r="BY869" s="48"/>
      <c r="BZ869" s="48"/>
      <c r="CA869" s="48"/>
      <c r="CB869" s="48"/>
      <c r="CC869" s="48"/>
      <c r="CD869" s="48"/>
      <c r="CE869" s="48"/>
      <c r="CF869" s="48"/>
      <c r="CG869" s="48"/>
      <c r="CH869" s="48"/>
      <c r="CI869" s="98"/>
      <c r="CJ869" s="98"/>
      <c r="CK869" s="49">
        <f t="shared" si="180"/>
        <v>1.4053970125272196E-3</v>
      </c>
      <c r="CL869" s="229"/>
      <c r="CM869" s="229"/>
      <c r="CN869" s="229"/>
      <c r="CO869" s="47" t="s">
        <v>2488</v>
      </c>
      <c r="CP869" s="500" t="s">
        <v>2489</v>
      </c>
      <c r="CQ869" s="224" t="s">
        <v>272</v>
      </c>
      <c r="CR869" s="224"/>
      <c r="CS869" s="230" t="s">
        <v>539</v>
      </c>
      <c r="CT869" s="230"/>
      <c r="CU869" s="230"/>
      <c r="CV869" s="335">
        <f t="shared" si="181"/>
        <v>3.190215538546139</v>
      </c>
      <c r="CW869" s="230">
        <f t="shared" si="179"/>
        <v>1</v>
      </c>
      <c r="CX869" s="336"/>
      <c r="CY869" s="230" t="s">
        <v>5921</v>
      </c>
    </row>
    <row r="870" spans="1:103" ht="11.25" customHeight="1" x14ac:dyDescent="0.2">
      <c r="A870" s="72">
        <v>1232</v>
      </c>
      <c r="B870" s="224">
        <v>1652</v>
      </c>
      <c r="C870" s="46" t="s">
        <v>7355</v>
      </c>
      <c r="D870" s="46" t="s">
        <v>8633</v>
      </c>
      <c r="E870" s="114"/>
      <c r="F870" s="114" t="s">
        <v>3862</v>
      </c>
      <c r="G870" s="225">
        <v>2593159</v>
      </c>
      <c r="H870" s="47" t="s">
        <v>3863</v>
      </c>
      <c r="I870" s="47" t="s">
        <v>8085</v>
      </c>
      <c r="J870" s="47" t="s">
        <v>3864</v>
      </c>
      <c r="K870" s="47" t="s">
        <v>2938</v>
      </c>
      <c r="L870" s="47" t="s">
        <v>6039</v>
      </c>
      <c r="M870" s="47" t="s">
        <v>6082</v>
      </c>
      <c r="N870" s="47" t="s">
        <v>6082</v>
      </c>
      <c r="O870" s="47" t="s">
        <v>6083</v>
      </c>
      <c r="P870" s="53"/>
      <c r="Q870" s="53"/>
      <c r="R870" s="53"/>
      <c r="S870" s="53"/>
      <c r="T870" s="48">
        <v>247.53</v>
      </c>
      <c r="U870" s="98">
        <v>117</v>
      </c>
      <c r="V870" s="98">
        <v>32.33</v>
      </c>
      <c r="W870" s="98">
        <v>201.19993766609937</v>
      </c>
      <c r="X870" s="98">
        <v>117</v>
      </c>
      <c r="Y870" s="233">
        <v>7</v>
      </c>
      <c r="Z870" s="48">
        <v>3.6</v>
      </c>
      <c r="AA870" s="48">
        <v>3.37</v>
      </c>
      <c r="AB870" s="48">
        <v>2.77</v>
      </c>
      <c r="AC870" s="48">
        <v>0.79220000000000002</v>
      </c>
      <c r="AD870" s="48">
        <v>2.9</v>
      </c>
      <c r="AE870" s="48">
        <v>3.27</v>
      </c>
      <c r="AF870" s="48">
        <f t="shared" si="178"/>
        <v>3.37</v>
      </c>
      <c r="AG870" s="49">
        <v>2.94</v>
      </c>
      <c r="AH870" s="98">
        <v>6.7099999999999999E-8</v>
      </c>
      <c r="AI870" s="98">
        <v>2.7799999999999997E-7</v>
      </c>
      <c r="AJ870" s="483">
        <f t="shared" si="175"/>
        <v>-5.5618438061436599</v>
      </c>
      <c r="AK870" s="483">
        <f>LOG10(AI870*1000/(0.08206*298.15))</f>
        <v>-4.9445215303945753</v>
      </c>
      <c r="AL870" s="483">
        <f t="shared" ref="AL870:AL901" si="182">IF(AK870=0,AJ870,AK870)</f>
        <v>-4.9445215303945753</v>
      </c>
      <c r="AM870" s="483">
        <v>-6.8924500000000002</v>
      </c>
      <c r="AN870" s="226">
        <v>-7.14</v>
      </c>
      <c r="AO870" s="484"/>
      <c r="AP870" s="484">
        <v>-3.46</v>
      </c>
      <c r="AQ870" s="226" t="s">
        <v>6311</v>
      </c>
      <c r="AR870" s="226" t="s">
        <v>6311</v>
      </c>
      <c r="AS870" s="224"/>
      <c r="AT870" s="50" t="s">
        <v>266</v>
      </c>
      <c r="AU870" s="48">
        <v>6</v>
      </c>
      <c r="AV870" s="48">
        <v>120</v>
      </c>
      <c r="AW870" s="48">
        <v>114</v>
      </c>
      <c r="AX870" s="48">
        <v>28</v>
      </c>
      <c r="AY870" s="48" t="s">
        <v>8728</v>
      </c>
      <c r="AZ870" s="48" t="s">
        <v>1563</v>
      </c>
      <c r="BA870" s="48">
        <v>32</v>
      </c>
      <c r="BB870" s="47" t="s">
        <v>2485</v>
      </c>
      <c r="BC870" s="47" t="s">
        <v>8726</v>
      </c>
      <c r="BD870" s="47" t="s">
        <v>8374</v>
      </c>
      <c r="BE870" s="48" t="s">
        <v>2449</v>
      </c>
      <c r="BF870" s="48" t="s">
        <v>272</v>
      </c>
      <c r="BG870" s="48" t="s">
        <v>272</v>
      </c>
      <c r="BH870" s="48" t="s">
        <v>2486</v>
      </c>
      <c r="BI870" s="98">
        <v>1.5841919999999999E-3</v>
      </c>
      <c r="BJ870" s="98">
        <v>15.84192</v>
      </c>
      <c r="BK870" s="48"/>
      <c r="BL870" s="487">
        <v>7.4347752039564874</v>
      </c>
      <c r="BM870" s="47" t="s">
        <v>2487</v>
      </c>
      <c r="BN870" s="48"/>
      <c r="BO870" s="48"/>
      <c r="BP870" s="48"/>
      <c r="BQ870" s="48"/>
      <c r="BR870" s="47" t="e">
        <v>#VALUE!</v>
      </c>
      <c r="BS870" s="48"/>
      <c r="BT870" s="48"/>
      <c r="BU870" s="228"/>
      <c r="BV870" s="48"/>
      <c r="BW870" s="48"/>
      <c r="BX870" s="48"/>
      <c r="BY870" s="48"/>
      <c r="BZ870" s="48"/>
      <c r="CA870" s="48"/>
      <c r="CB870" s="48"/>
      <c r="CC870" s="48"/>
      <c r="CD870" s="48"/>
      <c r="CE870" s="48"/>
      <c r="CF870" s="48"/>
      <c r="CG870" s="48"/>
      <c r="CH870" s="48"/>
      <c r="CI870" s="98"/>
      <c r="CJ870" s="98"/>
      <c r="CK870" s="49">
        <f t="shared" si="180"/>
        <v>0.46931023537276334</v>
      </c>
      <c r="CL870" s="229"/>
      <c r="CM870" s="229"/>
      <c r="CN870" s="229"/>
      <c r="CO870" s="47" t="s">
        <v>2488</v>
      </c>
      <c r="CP870" s="500" t="s">
        <v>2489</v>
      </c>
      <c r="CQ870" s="224">
        <v>0.13425388387367512</v>
      </c>
      <c r="CR870" s="224">
        <f>10^(CJ870-CQ870)</f>
        <v>0.73408460474934323</v>
      </c>
      <c r="CS870" s="230" t="s">
        <v>539</v>
      </c>
      <c r="CT870" s="230"/>
      <c r="CU870" s="230"/>
      <c r="CV870" s="335">
        <f t="shared" si="181"/>
        <v>7.3854684280693252</v>
      </c>
      <c r="CW870" s="230">
        <f t="shared" si="179"/>
        <v>1</v>
      </c>
      <c r="CX870" s="336"/>
      <c r="CY870" s="230" t="s">
        <v>5921</v>
      </c>
    </row>
    <row r="871" spans="1:103" ht="11.25" customHeight="1" x14ac:dyDescent="0.2">
      <c r="A871" s="72">
        <v>1233</v>
      </c>
      <c r="B871" s="224">
        <v>1784</v>
      </c>
      <c r="C871" s="46" t="s">
        <v>7356</v>
      </c>
      <c r="D871" s="46"/>
      <c r="E871" s="114"/>
      <c r="F871" s="114" t="s">
        <v>5132</v>
      </c>
      <c r="G871" s="225">
        <v>2605790</v>
      </c>
      <c r="H871" s="47" t="s">
        <v>5133</v>
      </c>
      <c r="I871" s="47" t="s">
        <v>5133</v>
      </c>
      <c r="J871" s="47" t="s">
        <v>5134</v>
      </c>
      <c r="K871" s="47" t="s">
        <v>300</v>
      </c>
      <c r="L871" s="51"/>
      <c r="M871" s="47"/>
      <c r="N871" s="47"/>
      <c r="O871" s="47"/>
      <c r="P871" s="53"/>
      <c r="Q871" s="53"/>
      <c r="R871" s="53"/>
      <c r="S871" s="53"/>
      <c r="T871" s="48">
        <v>201.35</v>
      </c>
      <c r="U871" s="98"/>
      <c r="V871" s="98">
        <v>30.35</v>
      </c>
      <c r="W871" s="98">
        <v>76551.134949144995</v>
      </c>
      <c r="X871" s="98">
        <v>76551.134949144995</v>
      </c>
      <c r="Y871" s="233">
        <v>9.19</v>
      </c>
      <c r="Z871" s="48">
        <v>3.69</v>
      </c>
      <c r="AA871" s="48"/>
      <c r="AB871" s="48">
        <v>0.73</v>
      </c>
      <c r="AC871" s="48">
        <v>0.59219999999999995</v>
      </c>
      <c r="AD871" s="48">
        <v>1.34</v>
      </c>
      <c r="AE871" s="48">
        <v>2.21</v>
      </c>
      <c r="AF871" s="48">
        <f t="shared" si="178"/>
        <v>1.34</v>
      </c>
      <c r="AG871" s="49">
        <v>1.34</v>
      </c>
      <c r="AH871" s="98">
        <v>3.75E-11</v>
      </c>
      <c r="AI871" s="98"/>
      <c r="AJ871" s="483">
        <f t="shared" si="175"/>
        <v>-8.8145350585849336</v>
      </c>
      <c r="AK871" s="483"/>
      <c r="AL871" s="483">
        <f t="shared" si="182"/>
        <v>-8.8145350585849336</v>
      </c>
      <c r="AM871" s="483">
        <v>-2.40869</v>
      </c>
      <c r="AN871" s="226"/>
      <c r="AO871" s="484"/>
      <c r="AP871" s="484">
        <v>4.79</v>
      </c>
      <c r="AQ871" s="226" t="s">
        <v>6311</v>
      </c>
      <c r="AR871" s="226" t="s">
        <v>6311</v>
      </c>
      <c r="AS871" s="224"/>
      <c r="AT871" s="50" t="s">
        <v>266</v>
      </c>
      <c r="AU871" s="48">
        <v>6</v>
      </c>
      <c r="AV871" s="48">
        <v>120</v>
      </c>
      <c r="AW871" s="48">
        <v>114</v>
      </c>
      <c r="AX871" s="48">
        <v>28</v>
      </c>
      <c r="AY871" s="48" t="s">
        <v>8728</v>
      </c>
      <c r="AZ871" s="48" t="s">
        <v>1563</v>
      </c>
      <c r="BA871" s="48">
        <v>32</v>
      </c>
      <c r="BB871" s="47" t="s">
        <v>2485</v>
      </c>
      <c r="BC871" s="47" t="s">
        <v>8726</v>
      </c>
      <c r="BD871" s="47" t="s">
        <v>8374</v>
      </c>
      <c r="BE871" s="48" t="s">
        <v>2449</v>
      </c>
      <c r="BF871" s="48" t="s">
        <v>272</v>
      </c>
      <c r="BG871" s="48" t="s">
        <v>272</v>
      </c>
      <c r="BH871" s="48" t="s">
        <v>2486</v>
      </c>
      <c r="BI871" s="98">
        <v>1.28864E-3</v>
      </c>
      <c r="BJ871" s="98">
        <v>12.8864</v>
      </c>
      <c r="BK871" s="48"/>
      <c r="BL871" s="487">
        <v>5.0206810641236652</v>
      </c>
      <c r="BM871" s="47" t="s">
        <v>2487</v>
      </c>
      <c r="BN871" s="48"/>
      <c r="BO871" s="48"/>
      <c r="BP871" s="48"/>
      <c r="BQ871" s="48"/>
      <c r="BR871" s="47" t="e">
        <v>#VALUE!</v>
      </c>
      <c r="BS871" s="48"/>
      <c r="BT871" s="48"/>
      <c r="BU871" s="228"/>
      <c r="BV871" s="48"/>
      <c r="BW871" s="48"/>
      <c r="BX871" s="48"/>
      <c r="BY871" s="48"/>
      <c r="BZ871" s="48"/>
      <c r="CA871" s="48"/>
      <c r="CB871" s="48"/>
      <c r="CC871" s="48"/>
      <c r="CD871" s="48"/>
      <c r="CE871" s="48"/>
      <c r="CF871" s="48"/>
      <c r="CG871" s="48"/>
      <c r="CH871" s="48"/>
      <c r="CI871" s="98"/>
      <c r="CJ871" s="98"/>
      <c r="CK871" s="49">
        <f t="shared" si="180"/>
        <v>0.38961083499842197</v>
      </c>
      <c r="CL871" s="229"/>
      <c r="CM871" s="229"/>
      <c r="CN871" s="229"/>
      <c r="CO871" s="47" t="s">
        <v>2488</v>
      </c>
      <c r="CP871" s="500" t="s">
        <v>2489</v>
      </c>
      <c r="CQ871" s="224" t="s">
        <v>272</v>
      </c>
      <c r="CR871" s="224"/>
      <c r="CS871" s="230" t="s">
        <v>539</v>
      </c>
      <c r="CT871" s="230"/>
      <c r="CU871" s="230"/>
      <c r="CV871" s="335">
        <f t="shared" si="181"/>
        <v>5940.4593175087684</v>
      </c>
      <c r="CW871" s="230">
        <f t="shared" si="179"/>
        <v>1</v>
      </c>
      <c r="CX871" s="336"/>
      <c r="CY871" s="230" t="s">
        <v>6351</v>
      </c>
    </row>
    <row r="872" spans="1:103" ht="11.25" customHeight="1" x14ac:dyDescent="0.2">
      <c r="A872" s="72">
        <v>1234</v>
      </c>
      <c r="B872" s="224">
        <v>1360</v>
      </c>
      <c r="C872" s="46" t="s">
        <v>7357</v>
      </c>
      <c r="D872" s="46" t="s">
        <v>8634</v>
      </c>
      <c r="E872" s="114"/>
      <c r="F872" s="114" t="s">
        <v>4203</v>
      </c>
      <c r="G872" s="225">
        <v>2634335</v>
      </c>
      <c r="H872" s="47" t="s">
        <v>4204</v>
      </c>
      <c r="I872" s="47" t="s">
        <v>4204</v>
      </c>
      <c r="J872" s="47" t="s">
        <v>4205</v>
      </c>
      <c r="K872" s="47" t="s">
        <v>731</v>
      </c>
      <c r="L872" s="47"/>
      <c r="M872" s="47" t="s">
        <v>2342</v>
      </c>
      <c r="N872" s="47" t="s">
        <v>2342</v>
      </c>
      <c r="O872" s="47"/>
      <c r="P872" s="53" t="s">
        <v>8537</v>
      </c>
      <c r="Q872" s="53" t="s">
        <v>6173</v>
      </c>
      <c r="R872" s="53" t="s">
        <v>6183</v>
      </c>
      <c r="S872" s="53" t="s">
        <v>6173</v>
      </c>
      <c r="T872" s="48">
        <v>151.19</v>
      </c>
      <c r="U872" s="98"/>
      <c r="V872" s="98">
        <v>21430</v>
      </c>
      <c r="W872" s="98">
        <v>691.07163387872959</v>
      </c>
      <c r="X872" s="98">
        <v>691.07163387872959</v>
      </c>
      <c r="Y872" s="233">
        <v>6.26</v>
      </c>
      <c r="Z872" s="48">
        <v>0.64</v>
      </c>
      <c r="AA872" s="48"/>
      <c r="AB872" s="48">
        <v>1.27</v>
      </c>
      <c r="AC872" s="48">
        <v>0.75619999999999998</v>
      </c>
      <c r="AD872" s="48">
        <v>1.41</v>
      </c>
      <c r="AE872" s="48">
        <v>1.77</v>
      </c>
      <c r="AF872" s="48">
        <f t="shared" si="178"/>
        <v>1.41</v>
      </c>
      <c r="AG872" s="49">
        <v>1.71</v>
      </c>
      <c r="AH872" s="98">
        <v>6.9200000000000001E-9</v>
      </c>
      <c r="AI872" s="98"/>
      <c r="AJ872" s="483">
        <f t="shared" si="175"/>
        <v>-6.548460231855894</v>
      </c>
      <c r="AK872" s="483"/>
      <c r="AL872" s="483">
        <f t="shared" si="182"/>
        <v>-6.548460231855894</v>
      </c>
      <c r="AM872" s="483">
        <v>-10.705149999999998</v>
      </c>
      <c r="AN872" s="226">
        <v>-6.71</v>
      </c>
      <c r="AO872" s="484">
        <v>10.19</v>
      </c>
      <c r="AP872" s="484">
        <v>-1.97</v>
      </c>
      <c r="AQ872" s="48" t="s">
        <v>6311</v>
      </c>
      <c r="AR872" s="48" t="s">
        <v>6311</v>
      </c>
      <c r="AS872" s="227"/>
      <c r="AT872" s="50" t="s">
        <v>266</v>
      </c>
      <c r="AU872" s="48">
        <v>6</v>
      </c>
      <c r="AV872" s="48">
        <v>120</v>
      </c>
      <c r="AW872" s="48">
        <v>114</v>
      </c>
      <c r="AX872" s="48">
        <v>28</v>
      </c>
      <c r="AY872" s="48" t="s">
        <v>8728</v>
      </c>
      <c r="AZ872" s="48" t="s">
        <v>1563</v>
      </c>
      <c r="BA872" s="48">
        <v>32</v>
      </c>
      <c r="BB872" s="47" t="s">
        <v>2485</v>
      </c>
      <c r="BC872" s="47" t="s">
        <v>8726</v>
      </c>
      <c r="BD872" s="47" t="s">
        <v>8374</v>
      </c>
      <c r="BE872" s="48" t="s">
        <v>2449</v>
      </c>
      <c r="BF872" s="48" t="s">
        <v>272</v>
      </c>
      <c r="BG872" s="48" t="s">
        <v>272</v>
      </c>
      <c r="BH872" s="48" t="s">
        <v>2486</v>
      </c>
      <c r="BI872" s="98">
        <v>9.6761599999999992E-4</v>
      </c>
      <c r="BJ872" s="98">
        <v>9.6761599999999994</v>
      </c>
      <c r="BK872" s="48"/>
      <c r="BL872" s="487">
        <v>2067.9453959388543</v>
      </c>
      <c r="BM872" s="47" t="s">
        <v>2487</v>
      </c>
      <c r="BN872" s="48"/>
      <c r="BO872" s="48"/>
      <c r="BP872" s="48"/>
      <c r="BQ872" s="48"/>
      <c r="BR872" s="47" t="e">
        <v>#VALUE!</v>
      </c>
      <c r="BS872" s="48"/>
      <c r="BT872" s="48"/>
      <c r="BU872" s="228"/>
      <c r="BV872" s="48"/>
      <c r="BW872" s="48"/>
      <c r="BX872" s="48"/>
      <c r="BY872" s="48"/>
      <c r="BZ872" s="48"/>
      <c r="CA872" s="48"/>
      <c r="CB872" s="48"/>
      <c r="CC872" s="48"/>
      <c r="CD872" s="48"/>
      <c r="CE872" s="48"/>
      <c r="CF872" s="48"/>
      <c r="CG872" s="48"/>
      <c r="CH872" s="48"/>
      <c r="CI872" s="98"/>
      <c r="CJ872" s="98"/>
      <c r="CK872" s="49">
        <f t="shared" si="180"/>
        <v>213.71550242439713</v>
      </c>
      <c r="CL872" s="229"/>
      <c r="CM872" s="229"/>
      <c r="CN872" s="229"/>
      <c r="CO872" s="47" t="s">
        <v>2488</v>
      </c>
      <c r="CP872" s="500" t="s">
        <v>2489</v>
      </c>
      <c r="CQ872" s="224">
        <v>-7.1947069487614715E-2</v>
      </c>
      <c r="CR872" s="224">
        <f>10^(CJ872-CQ872)</f>
        <v>1.18017679046914</v>
      </c>
      <c r="CS872" s="230" t="s">
        <v>539</v>
      </c>
      <c r="CT872" s="230"/>
      <c r="CU872" s="230"/>
      <c r="CV872" s="335">
        <f t="shared" si="181"/>
        <v>71.420029627324226</v>
      </c>
      <c r="CW872" s="230">
        <f t="shared" si="179"/>
        <v>1</v>
      </c>
      <c r="CX872" s="336"/>
      <c r="CY872" s="230" t="s">
        <v>5921</v>
      </c>
    </row>
    <row r="873" spans="1:103" ht="11.25" customHeight="1" x14ac:dyDescent="0.2">
      <c r="A873" s="72">
        <v>1236</v>
      </c>
      <c r="B873" s="224">
        <v>1059</v>
      </c>
      <c r="C873" s="46" t="s">
        <v>7358</v>
      </c>
      <c r="D873" s="46" t="s">
        <v>8635</v>
      </c>
      <c r="E873" s="114"/>
      <c r="F873" s="114" t="s">
        <v>2988</v>
      </c>
      <c r="G873" s="225">
        <v>2675776</v>
      </c>
      <c r="H873" s="47" t="s">
        <v>2989</v>
      </c>
      <c r="I873" s="47" t="s">
        <v>8086</v>
      </c>
      <c r="J873" s="47" t="s">
        <v>2990</v>
      </c>
      <c r="K873" s="47" t="s">
        <v>426</v>
      </c>
      <c r="L873" s="47" t="s">
        <v>6029</v>
      </c>
      <c r="M873" s="47" t="s">
        <v>6082</v>
      </c>
      <c r="N873" s="47" t="s">
        <v>6082</v>
      </c>
      <c r="O873" s="47"/>
      <c r="P873" s="53"/>
      <c r="Q873" s="53"/>
      <c r="R873" s="53"/>
      <c r="S873" s="53"/>
      <c r="T873" s="48">
        <v>207.05</v>
      </c>
      <c r="U873" s="98">
        <v>8</v>
      </c>
      <c r="V873" s="98">
        <v>46.1</v>
      </c>
      <c r="W873" s="98">
        <v>113.78243793222119</v>
      </c>
      <c r="X873" s="98">
        <v>8</v>
      </c>
      <c r="Y873" s="233">
        <v>7</v>
      </c>
      <c r="Z873" s="48">
        <v>3.44</v>
      </c>
      <c r="AA873" s="48"/>
      <c r="AB873" s="48">
        <v>3.46</v>
      </c>
      <c r="AC873" s="48">
        <v>0.86470000000000002</v>
      </c>
      <c r="AD873" s="48">
        <v>3.49</v>
      </c>
      <c r="AE873" s="48">
        <v>3.58</v>
      </c>
      <c r="AF873" s="48">
        <f t="shared" si="178"/>
        <v>3.49</v>
      </c>
      <c r="AG873" s="49">
        <v>3.1</v>
      </c>
      <c r="AH873" s="98">
        <v>1.04E-5</v>
      </c>
      <c r="AI873" s="98">
        <v>1.02E-4</v>
      </c>
      <c r="AJ873" s="483">
        <f t="shared" si="175"/>
        <v>-3.3715329870138713</v>
      </c>
      <c r="AK873" s="483">
        <f>LOG10(AI873*1000/(0.08206*298.15))</f>
        <v>-2.3799661545507345</v>
      </c>
      <c r="AL873" s="483">
        <f t="shared" si="182"/>
        <v>-2.3799661545507345</v>
      </c>
      <c r="AM873" s="483">
        <v>-5.5212600000000007</v>
      </c>
      <c r="AN873" s="226">
        <v>-2.02</v>
      </c>
      <c r="AO873" s="484"/>
      <c r="AP873" s="484"/>
      <c r="AQ873" s="48" t="s">
        <v>6311</v>
      </c>
      <c r="AR873" s="48" t="s">
        <v>6311</v>
      </c>
      <c r="AS873" s="227"/>
      <c r="AT873" s="50" t="s">
        <v>266</v>
      </c>
      <c r="AU873" s="48">
        <v>6</v>
      </c>
      <c r="AV873" s="48">
        <v>120</v>
      </c>
      <c r="AW873" s="48">
        <v>114</v>
      </c>
      <c r="AX873" s="48">
        <v>28</v>
      </c>
      <c r="AY873" s="48" t="s">
        <v>8728</v>
      </c>
      <c r="AZ873" s="48" t="s">
        <v>1563</v>
      </c>
      <c r="BA873" s="48">
        <v>32</v>
      </c>
      <c r="BB873" s="47" t="s">
        <v>2485</v>
      </c>
      <c r="BC873" s="47" t="s">
        <v>8726</v>
      </c>
      <c r="BD873" s="47" t="s">
        <v>8374</v>
      </c>
      <c r="BE873" s="48" t="s">
        <v>2449</v>
      </c>
      <c r="BF873" s="48" t="s">
        <v>272</v>
      </c>
      <c r="BG873" s="48" t="s">
        <v>272</v>
      </c>
      <c r="BH873" s="48" t="s">
        <v>2486</v>
      </c>
      <c r="BI873" s="98">
        <v>1.3251199999999999E-3</v>
      </c>
      <c r="BJ873" s="98">
        <v>13.251200000000001</v>
      </c>
      <c r="BK873" s="48"/>
      <c r="BL873" s="487">
        <v>8.6578734757198035</v>
      </c>
      <c r="BM873" s="47" t="s">
        <v>2487</v>
      </c>
      <c r="BN873" s="48"/>
      <c r="BO873" s="48"/>
      <c r="BP873" s="48"/>
      <c r="BQ873" s="48"/>
      <c r="BR873" s="47" t="e">
        <v>#VALUE!</v>
      </c>
      <c r="BS873" s="48"/>
      <c r="BT873" s="48"/>
      <c r="BU873" s="228">
        <v>0.13251200000000002</v>
      </c>
      <c r="BV873" s="48"/>
      <c r="BW873" s="48"/>
      <c r="BX873" s="48"/>
      <c r="BY873" s="48"/>
      <c r="BZ873" s="48"/>
      <c r="CA873" s="48"/>
      <c r="CB873" s="48"/>
      <c r="CC873" s="48"/>
      <c r="CD873" s="48"/>
      <c r="CE873" s="48"/>
      <c r="CF873" s="48"/>
      <c r="CG873" s="48"/>
      <c r="CH873" s="48"/>
      <c r="CI873" s="98"/>
      <c r="CJ873" s="98"/>
      <c r="CK873" s="49">
        <f t="shared" si="180"/>
        <v>0.65336524056084</v>
      </c>
      <c r="CL873" s="229"/>
      <c r="CM873" s="229"/>
      <c r="CN873" s="229"/>
      <c r="CO873" s="47" t="s">
        <v>2488</v>
      </c>
      <c r="CP873" s="500" t="s">
        <v>2489</v>
      </c>
      <c r="CQ873" s="224">
        <v>0.71867496512865003</v>
      </c>
      <c r="CR873" s="224">
        <f>10^(CJ873-CQ873)</f>
        <v>0.19112831668199867</v>
      </c>
      <c r="CS873" s="230" t="s">
        <v>539</v>
      </c>
      <c r="CT873" s="230"/>
      <c r="CU873" s="230"/>
      <c r="CV873" s="335">
        <f t="shared" si="181"/>
        <v>0.60371890847621346</v>
      </c>
      <c r="CW873" s="230">
        <f t="shared" si="179"/>
        <v>0</v>
      </c>
      <c r="CX873" s="336"/>
      <c r="CY873" s="230" t="s">
        <v>5921</v>
      </c>
    </row>
    <row r="874" spans="1:103" ht="11.25" customHeight="1" x14ac:dyDescent="0.2">
      <c r="A874" s="72">
        <v>1237</v>
      </c>
      <c r="B874" s="224">
        <v>937</v>
      </c>
      <c r="C874" s="46" t="s">
        <v>7359</v>
      </c>
      <c r="D874" s="46"/>
      <c r="E874" s="114"/>
      <c r="F874" s="114" t="s">
        <v>2676</v>
      </c>
      <c r="G874" s="225">
        <v>2772454</v>
      </c>
      <c r="H874" s="47" t="s">
        <v>2677</v>
      </c>
      <c r="I874" s="47" t="s">
        <v>8087</v>
      </c>
      <c r="J874" s="47" t="s">
        <v>2678</v>
      </c>
      <c r="K874" s="47" t="s">
        <v>349</v>
      </c>
      <c r="L874" s="47"/>
      <c r="M874" s="47"/>
      <c r="N874" s="47"/>
      <c r="O874" s="47"/>
      <c r="P874" s="53"/>
      <c r="Q874" s="53"/>
      <c r="R874" s="53"/>
      <c r="S874" s="53"/>
      <c r="T874" s="48">
        <v>330.46</v>
      </c>
      <c r="U874" s="98"/>
      <c r="V874" s="98">
        <v>5.4800000000000008E-2</v>
      </c>
      <c r="W874" s="98">
        <v>0.48878615795406516</v>
      </c>
      <c r="X874" s="98">
        <v>0.48878615795406516</v>
      </c>
      <c r="Y874" s="233">
        <v>7</v>
      </c>
      <c r="Z874" s="48">
        <v>6.73</v>
      </c>
      <c r="AA874" s="48"/>
      <c r="AB874" s="48">
        <v>6.34</v>
      </c>
      <c r="AC874" s="48">
        <v>0.6321</v>
      </c>
      <c r="AD874" s="48">
        <v>6.57</v>
      </c>
      <c r="AE874" s="48">
        <v>6.85</v>
      </c>
      <c r="AF874" s="48">
        <f t="shared" si="178"/>
        <v>6.57</v>
      </c>
      <c r="AG874" s="49">
        <v>2.3199999999999998</v>
      </c>
      <c r="AH874" s="98">
        <v>1.3799999999999999E-8</v>
      </c>
      <c r="AI874" s="98"/>
      <c r="AJ874" s="483">
        <f t="shared" si="175"/>
        <v>-6.2486872399114155</v>
      </c>
      <c r="AK874" s="483"/>
      <c r="AL874" s="483">
        <f t="shared" si="182"/>
        <v>-6.2486872399114155</v>
      </c>
      <c r="AM874" s="483">
        <v>-12.430519999999998</v>
      </c>
      <c r="AN874" s="226">
        <v>-18.399999999999999</v>
      </c>
      <c r="AO874" s="484">
        <v>10.71</v>
      </c>
      <c r="AP874" s="484"/>
      <c r="AQ874" s="48" t="s">
        <v>6311</v>
      </c>
      <c r="AR874" s="48" t="s">
        <v>6311</v>
      </c>
      <c r="AS874" s="227"/>
      <c r="AT874" s="50" t="s">
        <v>266</v>
      </c>
      <c r="AU874" s="48">
        <v>6</v>
      </c>
      <c r="AV874" s="48">
        <v>120</v>
      </c>
      <c r="AW874" s="48">
        <v>114</v>
      </c>
      <c r="AX874" s="48">
        <v>28</v>
      </c>
      <c r="AY874" s="48" t="s">
        <v>8728</v>
      </c>
      <c r="AZ874" s="48" t="s">
        <v>1563</v>
      </c>
      <c r="BA874" s="48">
        <v>32</v>
      </c>
      <c r="BB874" s="47" t="s">
        <v>2485</v>
      </c>
      <c r="BC874" s="47" t="s">
        <v>8726</v>
      </c>
      <c r="BD874" s="47" t="s">
        <v>8374</v>
      </c>
      <c r="BE874" s="48" t="s">
        <v>2449</v>
      </c>
      <c r="BF874" s="48" t="s">
        <v>272</v>
      </c>
      <c r="BG874" s="48" t="s">
        <v>272</v>
      </c>
      <c r="BH874" s="48" t="s">
        <v>2486</v>
      </c>
      <c r="BI874" s="98">
        <v>2.1149439999999997E-3</v>
      </c>
      <c r="BJ874" s="98">
        <v>21.149439999999998</v>
      </c>
      <c r="BK874" s="48"/>
      <c r="BL874" s="487">
        <v>1.5335781016902908E-2</v>
      </c>
      <c r="BM874" s="47" t="s">
        <v>2487</v>
      </c>
      <c r="BN874" s="48"/>
      <c r="BO874" s="48"/>
      <c r="BP874" s="48"/>
      <c r="BQ874" s="48"/>
      <c r="BR874" s="47" t="e">
        <v>#VALUE!</v>
      </c>
      <c r="BS874" s="48"/>
      <c r="BT874" s="48"/>
      <c r="BU874" s="228">
        <v>2.1149439999999997E-3</v>
      </c>
      <c r="BV874" s="48"/>
      <c r="BW874" s="48"/>
      <c r="BX874" s="48"/>
      <c r="BY874" s="48"/>
      <c r="BZ874" s="48"/>
      <c r="CA874" s="48"/>
      <c r="CB874" s="48"/>
      <c r="CC874" s="48"/>
      <c r="CD874" s="48"/>
      <c r="CE874" s="48"/>
      <c r="CF874" s="48"/>
      <c r="CG874" s="48"/>
      <c r="CH874" s="48"/>
      <c r="CI874" s="98"/>
      <c r="CJ874" s="98"/>
      <c r="CK874" s="49">
        <f t="shared" si="180"/>
        <v>7.25115228436446E-4</v>
      </c>
      <c r="CL874" s="229"/>
      <c r="CM874" s="229"/>
      <c r="CN874" s="229"/>
      <c r="CO874" s="47" t="s">
        <v>2488</v>
      </c>
      <c r="CP874" s="500" t="s">
        <v>2489</v>
      </c>
      <c r="CQ874" s="224" t="s">
        <v>272</v>
      </c>
      <c r="CR874" s="224"/>
      <c r="CS874" s="230" t="s">
        <v>539</v>
      </c>
      <c r="CT874" s="230"/>
      <c r="CU874" s="230"/>
      <c r="CV874" s="335">
        <f t="shared" si="181"/>
        <v>2.311106856512821E-2</v>
      </c>
      <c r="CW874" s="230">
        <f t="shared" si="179"/>
        <v>0</v>
      </c>
      <c r="CX874" s="336"/>
      <c r="CY874" s="230" t="s">
        <v>5921</v>
      </c>
    </row>
    <row r="875" spans="1:103" ht="11.25" customHeight="1" x14ac:dyDescent="0.2">
      <c r="A875" s="72">
        <v>1238</v>
      </c>
      <c r="B875" s="224">
        <v>1657</v>
      </c>
      <c r="C875" s="46" t="s">
        <v>7360</v>
      </c>
      <c r="D875" s="46"/>
      <c r="E875" s="114"/>
      <c r="F875" s="114" t="s">
        <v>4879</v>
      </c>
      <c r="G875" s="225">
        <v>2783940</v>
      </c>
      <c r="H875" s="47" t="s">
        <v>4880</v>
      </c>
      <c r="I875" s="47" t="s">
        <v>4880</v>
      </c>
      <c r="J875" s="47" t="s">
        <v>4881</v>
      </c>
      <c r="K875" s="47" t="s">
        <v>349</v>
      </c>
      <c r="L875" s="47"/>
      <c r="M875" s="47"/>
      <c r="N875" s="47"/>
      <c r="O875" s="47"/>
      <c r="P875" s="53"/>
      <c r="Q875" s="53"/>
      <c r="R875" s="53"/>
      <c r="S875" s="53"/>
      <c r="T875" s="48">
        <v>408.41</v>
      </c>
      <c r="U875" s="98"/>
      <c r="V875" s="98">
        <v>242.69999999999996</v>
      </c>
      <c r="W875" s="98">
        <v>224437.98829219246</v>
      </c>
      <c r="X875" s="98">
        <v>224437.98829219246</v>
      </c>
      <c r="Y875" s="233">
        <v>0.22</v>
      </c>
      <c r="Z875" s="48">
        <v>1.4</v>
      </c>
      <c r="AA875" s="48"/>
      <c r="AB875" s="48">
        <v>-0.42</v>
      </c>
      <c r="AC875" s="48">
        <v>0.52090000000000003</v>
      </c>
      <c r="AD875" s="48">
        <v>0.26</v>
      </c>
      <c r="AE875" s="48">
        <v>1.2</v>
      </c>
      <c r="AF875" s="48">
        <f t="shared" si="178"/>
        <v>0.26</v>
      </c>
      <c r="AG875" s="49">
        <v>0.26</v>
      </c>
      <c r="AH875" s="98">
        <v>3.26E-23</v>
      </c>
      <c r="AI875" s="98"/>
      <c r="AJ875" s="483">
        <f t="shared" si="175"/>
        <v>-20.875348726244713</v>
      </c>
      <c r="AK875" s="483"/>
      <c r="AL875" s="483">
        <f t="shared" si="182"/>
        <v>-20.875348726244713</v>
      </c>
      <c r="AM875" s="483">
        <v>-29.274069999999998</v>
      </c>
      <c r="AN875" s="226"/>
      <c r="AO875" s="484">
        <v>-1.1599999999999999</v>
      </c>
      <c r="AP875" s="484"/>
      <c r="AQ875" s="226" t="s">
        <v>6311</v>
      </c>
      <c r="AR875" s="226" t="s">
        <v>6311</v>
      </c>
      <c r="AS875" s="224"/>
      <c r="AT875" s="50" t="s">
        <v>266</v>
      </c>
      <c r="AU875" s="48">
        <v>6</v>
      </c>
      <c r="AV875" s="48">
        <v>120</v>
      </c>
      <c r="AW875" s="48">
        <v>114</v>
      </c>
      <c r="AX875" s="48">
        <v>28</v>
      </c>
      <c r="AY875" s="48" t="s">
        <v>8728</v>
      </c>
      <c r="AZ875" s="48" t="s">
        <v>1563</v>
      </c>
      <c r="BA875" s="48">
        <v>32</v>
      </c>
      <c r="BB875" s="47" t="s">
        <v>2485</v>
      </c>
      <c r="BC875" s="47" t="s">
        <v>8726</v>
      </c>
      <c r="BD875" s="47" t="s">
        <v>8374</v>
      </c>
      <c r="BE875" s="48" t="s">
        <v>2449</v>
      </c>
      <c r="BF875" s="48" t="s">
        <v>272</v>
      </c>
      <c r="BG875" s="48" t="s">
        <v>272</v>
      </c>
      <c r="BH875" s="48" t="s">
        <v>2486</v>
      </c>
      <c r="BI875" s="98">
        <v>2.6138239999999998E-3</v>
      </c>
      <c r="BJ875" s="98">
        <v>26.138240000000003</v>
      </c>
      <c r="BK875" s="48"/>
      <c r="BL875" s="487">
        <v>1160.2627975547161</v>
      </c>
      <c r="BM875" s="47" t="s">
        <v>2487</v>
      </c>
      <c r="BN875" s="48"/>
      <c r="BO875" s="48"/>
      <c r="BP875" s="48"/>
      <c r="BQ875" s="48"/>
      <c r="BR875" s="47" t="e">
        <v>#VALUE!</v>
      </c>
      <c r="BS875" s="48"/>
      <c r="BT875" s="48"/>
      <c r="BU875" s="228"/>
      <c r="BV875" s="48"/>
      <c r="BW875" s="48"/>
      <c r="BX875" s="48"/>
      <c r="BY875" s="48"/>
      <c r="BZ875" s="48"/>
      <c r="CA875" s="48"/>
      <c r="CB875" s="48"/>
      <c r="CC875" s="48"/>
      <c r="CD875" s="48"/>
      <c r="CE875" s="48"/>
      <c r="CF875" s="48"/>
      <c r="CG875" s="48"/>
      <c r="CH875" s="48"/>
      <c r="CI875" s="98"/>
      <c r="CJ875" s="98"/>
      <c r="CK875" s="49">
        <f t="shared" si="180"/>
        <v>44.389476780177851</v>
      </c>
      <c r="CL875" s="229"/>
      <c r="CM875" s="229"/>
      <c r="CN875" s="229"/>
      <c r="CO875" s="47" t="s">
        <v>2488</v>
      </c>
      <c r="CP875" s="500" t="s">
        <v>2489</v>
      </c>
      <c r="CQ875" s="224" t="s">
        <v>272</v>
      </c>
      <c r="CR875" s="224"/>
      <c r="CS875" s="230" t="s">
        <v>539</v>
      </c>
      <c r="CT875" s="230"/>
      <c r="CU875" s="230"/>
      <c r="CV875" s="335">
        <f t="shared" si="181"/>
        <v>8586.5761540253825</v>
      </c>
      <c r="CW875" s="230">
        <f t="shared" si="179"/>
        <v>1</v>
      </c>
      <c r="CX875" s="336"/>
      <c r="CY875" s="230" t="s">
        <v>6351</v>
      </c>
    </row>
    <row r="876" spans="1:103" ht="11.25" customHeight="1" x14ac:dyDescent="0.2">
      <c r="A876" s="72">
        <v>1239</v>
      </c>
      <c r="B876" s="224">
        <v>1003</v>
      </c>
      <c r="C876" s="46" t="s">
        <v>7361</v>
      </c>
      <c r="D876" s="46"/>
      <c r="E876" s="114"/>
      <c r="F876" s="114" t="s">
        <v>2862</v>
      </c>
      <c r="G876" s="225">
        <v>2835952</v>
      </c>
      <c r="H876" s="47" t="s">
        <v>2863</v>
      </c>
      <c r="I876" s="47" t="s">
        <v>2863</v>
      </c>
      <c r="J876" s="47" t="s">
        <v>2864</v>
      </c>
      <c r="K876" s="47" t="s">
        <v>1568</v>
      </c>
      <c r="L876" s="47"/>
      <c r="M876" s="47"/>
      <c r="N876" s="47"/>
      <c r="O876" s="47"/>
      <c r="P876" s="53"/>
      <c r="Q876" s="53" t="s">
        <v>6179</v>
      </c>
      <c r="R876" s="53" t="s">
        <v>6185</v>
      </c>
      <c r="S876" s="53" t="s">
        <v>6182</v>
      </c>
      <c r="T876" s="48">
        <v>123.15</v>
      </c>
      <c r="U876" s="98"/>
      <c r="V876" s="98">
        <v>20580</v>
      </c>
      <c r="W876" s="98">
        <v>10975.755303117074</v>
      </c>
      <c r="X876" s="98">
        <v>10975.755303117074</v>
      </c>
      <c r="Y876" s="233">
        <v>7.47</v>
      </c>
      <c r="Z876" s="48">
        <v>0.79</v>
      </c>
      <c r="AA876" s="48"/>
      <c r="AB876" s="48">
        <v>1.1399999999999999</v>
      </c>
      <c r="AC876" s="48">
        <v>0.81950000000000001</v>
      </c>
      <c r="AD876" s="48">
        <v>1.04</v>
      </c>
      <c r="AE876" s="48">
        <v>0.8</v>
      </c>
      <c r="AF876" s="48">
        <f t="shared" si="178"/>
        <v>1.04</v>
      </c>
      <c r="AG876" s="49">
        <v>1.23</v>
      </c>
      <c r="AH876" s="98">
        <v>2.1899999999999999E-10</v>
      </c>
      <c r="AI876" s="98"/>
      <c r="AJ876" s="483">
        <f t="shared" ref="AJ876:AJ905" si="183">LOG10(AH876*1000/(0.08206*298.15))</f>
        <v>-8.048122211472533</v>
      </c>
      <c r="AK876" s="483"/>
      <c r="AL876" s="483">
        <f t="shared" si="182"/>
        <v>-8.048122211472533</v>
      </c>
      <c r="AM876" s="483">
        <v>-10.085749999999999</v>
      </c>
      <c r="AN876" s="226">
        <v>-7.56</v>
      </c>
      <c r="AO876" s="484">
        <v>10.36</v>
      </c>
      <c r="AP876" s="484">
        <v>4.74</v>
      </c>
      <c r="AQ876" s="48" t="s">
        <v>6311</v>
      </c>
      <c r="AR876" s="48" t="s">
        <v>6311</v>
      </c>
      <c r="AS876" s="227"/>
      <c r="AT876" s="50" t="s">
        <v>266</v>
      </c>
      <c r="AU876" s="48">
        <v>6</v>
      </c>
      <c r="AV876" s="48">
        <v>120</v>
      </c>
      <c r="AW876" s="48">
        <v>114</v>
      </c>
      <c r="AX876" s="48">
        <v>28</v>
      </c>
      <c r="AY876" s="48" t="s">
        <v>8728</v>
      </c>
      <c r="AZ876" s="48" t="s">
        <v>1563</v>
      </c>
      <c r="BA876" s="48">
        <v>32</v>
      </c>
      <c r="BB876" s="47" t="s">
        <v>2485</v>
      </c>
      <c r="BC876" s="47" t="s">
        <v>8726</v>
      </c>
      <c r="BD876" s="47" t="s">
        <v>8374</v>
      </c>
      <c r="BE876" s="48" t="s">
        <v>2449</v>
      </c>
      <c r="BF876" s="48" t="s">
        <v>272</v>
      </c>
      <c r="BG876" s="48" t="s">
        <v>272</v>
      </c>
      <c r="BH876" s="48" t="s">
        <v>2486</v>
      </c>
      <c r="BI876" s="98">
        <v>7.8815999999999999E-4</v>
      </c>
      <c r="BJ876" s="98">
        <v>7.8816000000000006</v>
      </c>
      <c r="BK876" s="48"/>
      <c r="BL876" s="487">
        <v>1235.1946904993531</v>
      </c>
      <c r="BM876" s="47" t="s">
        <v>2487</v>
      </c>
      <c r="BN876" s="48"/>
      <c r="BO876" s="48"/>
      <c r="BP876" s="48"/>
      <c r="BQ876" s="48"/>
      <c r="BR876" s="47" t="e">
        <v>#VALUE!</v>
      </c>
      <c r="BS876" s="48"/>
      <c r="BT876" s="48"/>
      <c r="BU876" s="228">
        <v>7.8816000000000008E-3</v>
      </c>
      <c r="BV876" s="48"/>
      <c r="BW876" s="48"/>
      <c r="BX876" s="48"/>
      <c r="BY876" s="48"/>
      <c r="BZ876" s="48"/>
      <c r="CA876" s="48"/>
      <c r="CB876" s="48"/>
      <c r="CC876" s="48"/>
      <c r="CD876" s="48"/>
      <c r="CE876" s="48"/>
      <c r="CF876" s="48"/>
      <c r="CG876" s="48"/>
      <c r="CH876" s="48"/>
      <c r="CI876" s="98"/>
      <c r="CJ876" s="98"/>
      <c r="CK876" s="49">
        <f t="shared" si="180"/>
        <v>156.71877417013715</v>
      </c>
      <c r="CL876" s="229"/>
      <c r="CM876" s="229"/>
      <c r="CN876" s="229"/>
      <c r="CO876" s="47" t="s">
        <v>2488</v>
      </c>
      <c r="CP876" s="500" t="s">
        <v>2489</v>
      </c>
      <c r="CQ876" s="224" t="s">
        <v>272</v>
      </c>
      <c r="CR876" s="224"/>
      <c r="CS876" s="230" t="s">
        <v>539</v>
      </c>
      <c r="CT876" s="230"/>
      <c r="CU876" s="230"/>
      <c r="CV876" s="335">
        <f t="shared" si="181"/>
        <v>1392.5795908339769</v>
      </c>
      <c r="CW876" s="230">
        <f t="shared" si="179"/>
        <v>1</v>
      </c>
      <c r="CX876" s="336"/>
      <c r="CY876" s="230" t="s">
        <v>5921</v>
      </c>
    </row>
    <row r="877" spans="1:103" ht="11.25" customHeight="1" x14ac:dyDescent="0.2">
      <c r="A877" s="72">
        <v>1241</v>
      </c>
      <c r="B877" s="224">
        <v>1047</v>
      </c>
      <c r="C877" s="46" t="s">
        <v>1012</v>
      </c>
      <c r="D877" s="46"/>
      <c r="E877" s="114"/>
      <c r="F877" s="114" t="s">
        <v>1013</v>
      </c>
      <c r="G877" s="225">
        <v>2939802</v>
      </c>
      <c r="H877" s="47" t="s">
        <v>1014</v>
      </c>
      <c r="I877" s="47" t="s">
        <v>7880</v>
      </c>
      <c r="J877" s="47" t="s">
        <v>1015</v>
      </c>
      <c r="K877" s="47" t="s">
        <v>1016</v>
      </c>
      <c r="L877" s="47" t="s">
        <v>5929</v>
      </c>
      <c r="M877" s="47" t="s">
        <v>6073</v>
      </c>
      <c r="N877" s="47" t="s">
        <v>6082</v>
      </c>
      <c r="O877" s="47" t="s">
        <v>6083</v>
      </c>
      <c r="P877" s="53"/>
      <c r="Q877" s="53"/>
      <c r="R877" s="53"/>
      <c r="S877" s="53"/>
      <c r="T877" s="48">
        <v>349.06</v>
      </c>
      <c r="U877" s="98">
        <v>1.3999999999999997</v>
      </c>
      <c r="V877" s="98">
        <v>3.5689999999999995</v>
      </c>
      <c r="W877" s="98">
        <v>1.2968808706865911</v>
      </c>
      <c r="X877" s="98">
        <v>1.3999999999999997</v>
      </c>
      <c r="Y877" s="233">
        <v>7</v>
      </c>
      <c r="Z877" s="48">
        <v>3.42</v>
      </c>
      <c r="AA877" s="48">
        <v>3.8</v>
      </c>
      <c r="AB877" s="48">
        <v>3.37</v>
      </c>
      <c r="AC877" s="48">
        <v>0.81399999999999995</v>
      </c>
      <c r="AD877" s="48">
        <v>3.12</v>
      </c>
      <c r="AE877" s="48">
        <v>2.4</v>
      </c>
      <c r="AF877" s="48">
        <f t="shared" si="178"/>
        <v>3.8</v>
      </c>
      <c r="AG877" s="49">
        <v>2.95</v>
      </c>
      <c r="AH877" s="98">
        <v>2.1499999999999998E-9</v>
      </c>
      <c r="AI877" s="98">
        <v>4.9200000000000004E-9</v>
      </c>
      <c r="AJ877" s="483">
        <f t="shared" si="183"/>
        <v>-7.0561278663970466</v>
      </c>
      <c r="AK877" s="483">
        <f>LOG10(AI877*1000/(0.08206*298.15))</f>
        <v>-6.6966012235452919</v>
      </c>
      <c r="AL877" s="483">
        <f t="shared" si="182"/>
        <v>-6.6966012235452919</v>
      </c>
      <c r="AM877" s="483">
        <v>-14.13646</v>
      </c>
      <c r="AN877" s="226">
        <v>-7.96</v>
      </c>
      <c r="AO877" s="484"/>
      <c r="AP877" s="484">
        <v>-2.67</v>
      </c>
      <c r="AQ877" s="48" t="s">
        <v>6311</v>
      </c>
      <c r="AR877" s="48" t="s">
        <v>6311</v>
      </c>
      <c r="AS877" s="227"/>
      <c r="AT877" s="50" t="s">
        <v>266</v>
      </c>
      <c r="AU877" s="48">
        <v>6</v>
      </c>
      <c r="AV877" s="48">
        <v>120</v>
      </c>
      <c r="AW877" s="48">
        <v>114</v>
      </c>
      <c r="AX877" s="48">
        <v>28</v>
      </c>
      <c r="AY877" s="48" t="s">
        <v>8728</v>
      </c>
      <c r="AZ877" s="48" t="s">
        <v>1563</v>
      </c>
      <c r="BA877" s="48">
        <v>32</v>
      </c>
      <c r="BB877" s="47" t="s">
        <v>2485</v>
      </c>
      <c r="BC877" s="47" t="s">
        <v>8726</v>
      </c>
      <c r="BD877" s="47" t="s">
        <v>8374</v>
      </c>
      <c r="BE877" s="48" t="s">
        <v>2449</v>
      </c>
      <c r="BF877" s="48" t="s">
        <v>272</v>
      </c>
      <c r="BG877" s="48" t="s">
        <v>272</v>
      </c>
      <c r="BH877" s="48" t="s">
        <v>2486</v>
      </c>
      <c r="BI877" s="98">
        <v>2.2339840000000001E-3</v>
      </c>
      <c r="BJ877" s="98">
        <v>22.339840000000002</v>
      </c>
      <c r="BK877" s="48"/>
      <c r="BL877" s="487">
        <v>15.212412188772467</v>
      </c>
      <c r="BM877" s="47" t="s">
        <v>2487</v>
      </c>
      <c r="BN877" s="48"/>
      <c r="BO877" s="48"/>
      <c r="BP877" s="48"/>
      <c r="BQ877" s="48"/>
      <c r="BR877" s="47" t="e">
        <v>#VALUE!</v>
      </c>
      <c r="BS877" s="48"/>
      <c r="BT877" s="48"/>
      <c r="BU877" s="228">
        <v>22.339840000000002</v>
      </c>
      <c r="BV877" s="48"/>
      <c r="BW877" s="48"/>
      <c r="BX877" s="48"/>
      <c r="BY877" s="48"/>
      <c r="BZ877" s="48"/>
      <c r="CA877" s="48"/>
      <c r="CB877" s="48"/>
      <c r="CC877" s="48"/>
      <c r="CD877" s="48"/>
      <c r="CE877" s="48"/>
      <c r="CF877" s="48"/>
      <c r="CG877" s="48"/>
      <c r="CH877" s="48"/>
      <c r="CI877" s="98"/>
      <c r="CJ877" s="98"/>
      <c r="CK877" s="49">
        <f t="shared" si="180"/>
        <v>0.68095439308305095</v>
      </c>
      <c r="CL877" s="229"/>
      <c r="CM877" s="229">
        <v>-1.0148584283774775</v>
      </c>
      <c r="CN877" s="229">
        <f>BJ877/(10^CM877)</f>
        <v>231.17373334753029</v>
      </c>
      <c r="CO877" s="47" t="s">
        <v>2488</v>
      </c>
      <c r="CP877" s="500" t="s">
        <v>2489</v>
      </c>
      <c r="CQ877" s="224">
        <v>-0.82759508113974289</v>
      </c>
      <c r="CR877" s="224">
        <f>10^(CJ877-CQ877)</f>
        <v>6.7234949209744261</v>
      </c>
      <c r="CS877" s="230" t="s">
        <v>539</v>
      </c>
      <c r="CT877" s="230"/>
      <c r="CU877" s="230"/>
      <c r="CV877" s="335">
        <f t="shared" si="181"/>
        <v>6.2668309173208023E-2</v>
      </c>
      <c r="CW877" s="230">
        <f t="shared" si="179"/>
        <v>0</v>
      </c>
      <c r="CX877" s="336"/>
      <c r="CY877" s="230" t="s">
        <v>5921</v>
      </c>
    </row>
    <row r="878" spans="1:103" ht="11.25" customHeight="1" x14ac:dyDescent="0.2">
      <c r="A878" s="72">
        <v>1242</v>
      </c>
      <c r="B878" s="224">
        <v>1915</v>
      </c>
      <c r="C878" s="46" t="s">
        <v>7362</v>
      </c>
      <c r="D878" s="46"/>
      <c r="E878" s="114"/>
      <c r="F878" s="114" t="s">
        <v>5385</v>
      </c>
      <c r="G878" s="225">
        <v>2943751</v>
      </c>
      <c r="H878" s="47" t="s">
        <v>5386</v>
      </c>
      <c r="I878" s="47" t="s">
        <v>5386</v>
      </c>
      <c r="J878" s="47" t="s">
        <v>5387</v>
      </c>
      <c r="K878" s="47" t="s">
        <v>5388</v>
      </c>
      <c r="L878" s="47"/>
      <c r="M878" s="47"/>
      <c r="N878" s="47"/>
      <c r="O878" s="47"/>
      <c r="P878" s="53"/>
      <c r="Q878" s="53"/>
      <c r="R878" s="53"/>
      <c r="S878" s="53"/>
      <c r="T878" s="48">
        <v>276.49</v>
      </c>
      <c r="U878" s="98"/>
      <c r="V878" s="98">
        <v>4.0209999999999999</v>
      </c>
      <c r="W878" s="98">
        <v>27.019631922207193</v>
      </c>
      <c r="X878" s="98">
        <v>27.019631922207193</v>
      </c>
      <c r="Y878" s="233">
        <v>7</v>
      </c>
      <c r="Z878" s="48">
        <v>4.24</v>
      </c>
      <c r="AA878" s="48"/>
      <c r="AB878" s="48">
        <v>4.17</v>
      </c>
      <c r="AC878" s="48">
        <v>0.50860000000000005</v>
      </c>
      <c r="AD878" s="48">
        <v>4.84</v>
      </c>
      <c r="AE878" s="48">
        <v>5.45</v>
      </c>
      <c r="AF878" s="48">
        <f t="shared" si="178"/>
        <v>4.84</v>
      </c>
      <c r="AG878" s="49">
        <v>3.9</v>
      </c>
      <c r="AH878" s="98">
        <v>1.47E-3</v>
      </c>
      <c r="AI878" s="98"/>
      <c r="AJ878" s="483">
        <f t="shared" si="183"/>
        <v>-1.2212489915644757</v>
      </c>
      <c r="AK878" s="483"/>
      <c r="AL878" s="483">
        <f t="shared" si="182"/>
        <v>-1.2212489915644757</v>
      </c>
      <c r="AM878" s="483">
        <v>-5.40036</v>
      </c>
      <c r="AN878" s="226">
        <v>-4.8899999999999997</v>
      </c>
      <c r="AO878" s="484"/>
      <c r="AP878" s="484"/>
      <c r="AQ878" s="226" t="s">
        <v>6311</v>
      </c>
      <c r="AR878" s="226" t="s">
        <v>6311</v>
      </c>
      <c r="AS878" s="224"/>
      <c r="AT878" s="50" t="s">
        <v>266</v>
      </c>
      <c r="AU878" s="48">
        <v>6</v>
      </c>
      <c r="AV878" s="48">
        <v>120</v>
      </c>
      <c r="AW878" s="48">
        <v>114</v>
      </c>
      <c r="AX878" s="48">
        <v>28</v>
      </c>
      <c r="AY878" s="48" t="s">
        <v>8728</v>
      </c>
      <c r="AZ878" s="48" t="s">
        <v>1563</v>
      </c>
      <c r="BA878" s="48">
        <v>32</v>
      </c>
      <c r="BB878" s="47" t="s">
        <v>2485</v>
      </c>
      <c r="BC878" s="47" t="s">
        <v>8726</v>
      </c>
      <c r="BD878" s="47" t="s">
        <v>8374</v>
      </c>
      <c r="BE878" s="48" t="s">
        <v>2449</v>
      </c>
      <c r="BF878" s="48" t="s">
        <v>272</v>
      </c>
      <c r="BG878" s="48" t="s">
        <v>272</v>
      </c>
      <c r="BH878" s="48" t="s">
        <v>2486</v>
      </c>
      <c r="BI878" s="98">
        <v>1.7695359999999999E-3</v>
      </c>
      <c r="BJ878" s="98">
        <v>17.695360000000001</v>
      </c>
      <c r="BK878" s="48"/>
      <c r="BL878" s="487">
        <v>2.2107285938700674</v>
      </c>
      <c r="BM878" s="47" t="s">
        <v>2487</v>
      </c>
      <c r="BN878" s="48"/>
      <c r="BO878" s="48"/>
      <c r="BP878" s="48"/>
      <c r="BQ878" s="48"/>
      <c r="BR878" s="47" t="e">
        <v>#VALUE!</v>
      </c>
      <c r="BS878" s="48"/>
      <c r="BT878" s="48"/>
      <c r="BU878" s="228"/>
      <c r="BV878" s="48"/>
      <c r="BW878" s="48"/>
      <c r="BX878" s="48"/>
      <c r="BY878" s="48"/>
      <c r="BZ878" s="48"/>
      <c r="CA878" s="48"/>
      <c r="CB878" s="48"/>
      <c r="CC878" s="48"/>
      <c r="CD878" s="48"/>
      <c r="CE878" s="48"/>
      <c r="CF878" s="48"/>
      <c r="CG878" s="48"/>
      <c r="CH878" s="48"/>
      <c r="CI878" s="98"/>
      <c r="CJ878" s="98"/>
      <c r="CK878" s="49">
        <f t="shared" si="180"/>
        <v>0.12493267126919527</v>
      </c>
      <c r="CL878" s="229"/>
      <c r="CM878" s="229"/>
      <c r="CN878" s="229"/>
      <c r="CO878" s="47" t="s">
        <v>2488</v>
      </c>
      <c r="CP878" s="500" t="s">
        <v>2489</v>
      </c>
      <c r="CQ878" s="224" t="s">
        <v>272</v>
      </c>
      <c r="CR878" s="224"/>
      <c r="CS878" s="230" t="s">
        <v>539</v>
      </c>
      <c r="CT878" s="230"/>
      <c r="CU878" s="230"/>
      <c r="CV878" s="335">
        <f t="shared" si="181"/>
        <v>1.5269331577434531</v>
      </c>
      <c r="CW878" s="230">
        <f t="shared" si="179"/>
        <v>1</v>
      </c>
      <c r="CX878" s="336"/>
      <c r="CY878" s="230" t="s">
        <v>6351</v>
      </c>
    </row>
    <row r="879" spans="1:103" ht="11.25" customHeight="1" x14ac:dyDescent="0.2">
      <c r="A879" s="72">
        <v>1243</v>
      </c>
      <c r="B879" s="224">
        <v>1213</v>
      </c>
      <c r="C879" s="46" t="s">
        <v>7363</v>
      </c>
      <c r="D879" s="46"/>
      <c r="E879" s="114"/>
      <c r="F879" s="114" t="s">
        <v>3343</v>
      </c>
      <c r="G879" s="225">
        <v>3033770</v>
      </c>
      <c r="H879" s="47" t="s">
        <v>3344</v>
      </c>
      <c r="I879" s="47" t="s">
        <v>8088</v>
      </c>
      <c r="J879" s="47" t="s">
        <v>3345</v>
      </c>
      <c r="K879" s="47" t="s">
        <v>3346</v>
      </c>
      <c r="L879" s="51"/>
      <c r="M879" s="47"/>
      <c r="N879" s="47"/>
      <c r="O879" s="47"/>
      <c r="P879" s="53"/>
      <c r="Q879" s="53"/>
      <c r="R879" s="53"/>
      <c r="S879" s="53"/>
      <c r="T879" s="48">
        <v>116.18</v>
      </c>
      <c r="U879" s="98"/>
      <c r="V879" s="98">
        <v>1000000</v>
      </c>
      <c r="W879" s="98">
        <v>272352.50376386853</v>
      </c>
      <c r="X879" s="98">
        <v>272352.50376386853</v>
      </c>
      <c r="Y879" s="233">
        <v>7</v>
      </c>
      <c r="Z879" s="48">
        <v>-3.39</v>
      </c>
      <c r="AA879" s="48"/>
      <c r="AB879" s="48">
        <v>-3.24</v>
      </c>
      <c r="AC879" s="48">
        <v>0.72960000000000003</v>
      </c>
      <c r="AD879" s="48">
        <v>-3.1</v>
      </c>
      <c r="AE879" s="48">
        <v>-2.84</v>
      </c>
      <c r="AF879" s="48">
        <f t="shared" si="178"/>
        <v>-3.1</v>
      </c>
      <c r="AG879" s="49">
        <v>-0.55000000000000004</v>
      </c>
      <c r="AH879" s="98">
        <v>9.0400000000000002E-15</v>
      </c>
      <c r="AI879" s="98"/>
      <c r="AJ879" s="483">
        <f t="shared" si="183"/>
        <v>-12.432397895837289</v>
      </c>
      <c r="AK879" s="483"/>
      <c r="AL879" s="483">
        <f t="shared" si="182"/>
        <v>-12.432397895837289</v>
      </c>
      <c r="AM879" s="483">
        <v>-1.6600800000000002</v>
      </c>
      <c r="AN879" s="226">
        <v>-6.64</v>
      </c>
      <c r="AO879" s="484"/>
      <c r="AP879" s="484"/>
      <c r="AQ879" s="48" t="s">
        <v>6312</v>
      </c>
      <c r="AR879" s="48" t="s">
        <v>6311</v>
      </c>
      <c r="AS879" s="227"/>
      <c r="AT879" s="50" t="s">
        <v>266</v>
      </c>
      <c r="AU879" s="48">
        <v>6</v>
      </c>
      <c r="AV879" s="48">
        <v>120</v>
      </c>
      <c r="AW879" s="48">
        <v>114</v>
      </c>
      <c r="AX879" s="48">
        <v>28</v>
      </c>
      <c r="AY879" s="48" t="s">
        <v>8728</v>
      </c>
      <c r="AZ879" s="48" t="s">
        <v>1563</v>
      </c>
      <c r="BA879" s="48">
        <v>32</v>
      </c>
      <c r="BB879" s="47" t="s">
        <v>2485</v>
      </c>
      <c r="BC879" s="47" t="s">
        <v>8726</v>
      </c>
      <c r="BD879" s="47" t="s">
        <v>8374</v>
      </c>
      <c r="BE879" s="48" t="s">
        <v>2449</v>
      </c>
      <c r="BF879" s="48" t="s">
        <v>272</v>
      </c>
      <c r="BG879" s="48" t="s">
        <v>272</v>
      </c>
      <c r="BH879" s="48" t="s">
        <v>2486</v>
      </c>
      <c r="BI879" s="98">
        <v>7.4355199999999997E-4</v>
      </c>
      <c r="BJ879" s="98">
        <v>7.4355200000000004</v>
      </c>
      <c r="BK879" s="48"/>
      <c r="BL879" s="487">
        <v>6614398.7388316449</v>
      </c>
      <c r="BM879" s="47" t="s">
        <v>2487</v>
      </c>
      <c r="BN879" s="48"/>
      <c r="BO879" s="48"/>
      <c r="BP879" s="48"/>
      <c r="BQ879" s="48"/>
      <c r="BR879" s="47" t="e">
        <v>#VALUE!</v>
      </c>
      <c r="BS879" s="48"/>
      <c r="BT879" s="48"/>
      <c r="BU879" s="228">
        <v>7.4355200000000002E-3</v>
      </c>
      <c r="BV879" s="48"/>
      <c r="BW879" s="48"/>
      <c r="BX879" s="48"/>
      <c r="BY879" s="48"/>
      <c r="BZ879" s="48"/>
      <c r="CA879" s="48"/>
      <c r="CB879" s="48"/>
      <c r="CC879" s="48"/>
      <c r="CD879" s="48"/>
      <c r="CE879" s="48"/>
      <c r="CF879" s="48"/>
      <c r="CG879" s="48"/>
      <c r="CH879" s="48"/>
      <c r="CI879" s="98"/>
      <c r="CJ879" s="98"/>
      <c r="CK879" s="49">
        <f t="shared" si="180"/>
        <v>889567.74224689661</v>
      </c>
      <c r="CL879" s="229"/>
      <c r="CM879" s="229"/>
      <c r="CN879" s="229"/>
      <c r="CO879" s="47" t="s">
        <v>2488</v>
      </c>
      <c r="CP879" s="500" t="s">
        <v>2489</v>
      </c>
      <c r="CQ879" s="224" t="s">
        <v>272</v>
      </c>
      <c r="CR879" s="224"/>
      <c r="CS879" s="230" t="s">
        <v>539</v>
      </c>
      <c r="CT879" s="230"/>
      <c r="CU879" s="230"/>
      <c r="CV879" s="335">
        <f t="shared" si="181"/>
        <v>36628.575239373778</v>
      </c>
      <c r="CW879" s="230">
        <f t="shared" si="179"/>
        <v>1</v>
      </c>
      <c r="CX879" s="336"/>
      <c r="CY879" s="230" t="s">
        <v>6351</v>
      </c>
    </row>
    <row r="880" spans="1:103" ht="11.25" customHeight="1" x14ac:dyDescent="0.2">
      <c r="A880" s="72">
        <v>1244</v>
      </c>
      <c r="B880" s="224">
        <v>1876</v>
      </c>
      <c r="C880" s="46" t="s">
        <v>7364</v>
      </c>
      <c r="D880" s="46"/>
      <c r="E880" s="114"/>
      <c r="F880" s="114" t="s">
        <v>5324</v>
      </c>
      <c r="G880" s="225">
        <v>3056175</v>
      </c>
      <c r="H880" s="47" t="s">
        <v>5325</v>
      </c>
      <c r="I880" s="47" t="s">
        <v>5325</v>
      </c>
      <c r="J880" s="47" t="s">
        <v>5326</v>
      </c>
      <c r="K880" s="47" t="s">
        <v>5327</v>
      </c>
      <c r="L880" s="47" t="s">
        <v>279</v>
      </c>
      <c r="M880" s="47" t="s">
        <v>5328</v>
      </c>
      <c r="N880" s="47"/>
      <c r="O880" s="47" t="s">
        <v>281</v>
      </c>
      <c r="P880" s="53"/>
      <c r="Q880" s="53"/>
      <c r="R880" s="53"/>
      <c r="S880" s="53"/>
      <c r="T880" s="48">
        <v>224.21</v>
      </c>
      <c r="U880" s="98"/>
      <c r="V880" s="98">
        <v>6595</v>
      </c>
      <c r="W880" s="98">
        <v>4473.5776363917239</v>
      </c>
      <c r="X880" s="98">
        <v>4473.5776363917239</v>
      </c>
      <c r="Y880" s="233">
        <v>5.59</v>
      </c>
      <c r="Z880" s="48">
        <v>-0.79</v>
      </c>
      <c r="AA880" s="48">
        <v>-0.72</v>
      </c>
      <c r="AB880" s="48">
        <v>-0.6</v>
      </c>
      <c r="AC880" s="48">
        <v>0.83230000000000004</v>
      </c>
      <c r="AD880" s="48">
        <v>-0.67</v>
      </c>
      <c r="AE880" s="48">
        <v>-0.86</v>
      </c>
      <c r="AF880" s="48">
        <f t="shared" si="178"/>
        <v>-0.72</v>
      </c>
      <c r="AG880" s="49">
        <v>0.15</v>
      </c>
      <c r="AH880" s="98">
        <v>2.3100000000000001E-15</v>
      </c>
      <c r="AI880" s="98"/>
      <c r="AJ880" s="483">
        <f t="shared" si="183"/>
        <v>-13.024954346420508</v>
      </c>
      <c r="AK880" s="483"/>
      <c r="AL880" s="483">
        <f t="shared" si="182"/>
        <v>-13.024954346420508</v>
      </c>
      <c r="AM880" s="483">
        <v>-17.074359999999999</v>
      </c>
      <c r="AN880" s="226">
        <v>-12</v>
      </c>
      <c r="AO880" s="484">
        <v>9.4700000000000006</v>
      </c>
      <c r="AP880" s="484"/>
      <c r="AQ880" s="226" t="s">
        <v>6311</v>
      </c>
      <c r="AR880" s="226" t="s">
        <v>6311</v>
      </c>
      <c r="AS880" s="224"/>
      <c r="AT880" s="50" t="s">
        <v>266</v>
      </c>
      <c r="AU880" s="48">
        <v>6</v>
      </c>
      <c r="AV880" s="48">
        <v>120</v>
      </c>
      <c r="AW880" s="48">
        <v>114</v>
      </c>
      <c r="AX880" s="48">
        <v>28</v>
      </c>
      <c r="AY880" s="48" t="s">
        <v>8728</v>
      </c>
      <c r="AZ880" s="48" t="s">
        <v>1563</v>
      </c>
      <c r="BA880" s="48">
        <v>32</v>
      </c>
      <c r="BB880" s="47" t="s">
        <v>2485</v>
      </c>
      <c r="BC880" s="47" t="s">
        <v>8726</v>
      </c>
      <c r="BD880" s="47" t="s">
        <v>8374</v>
      </c>
      <c r="BE880" s="48" t="s">
        <v>2449</v>
      </c>
      <c r="BF880" s="48" t="s">
        <v>272</v>
      </c>
      <c r="BG880" s="48" t="s">
        <v>272</v>
      </c>
      <c r="BH880" s="48" t="s">
        <v>2486</v>
      </c>
      <c r="BI880" s="98">
        <v>1.4349440000000001E-3</v>
      </c>
      <c r="BJ880" s="98">
        <v>14.349440000000001</v>
      </c>
      <c r="BK880" s="48"/>
      <c r="BL880" s="487">
        <v>59013.854105161925</v>
      </c>
      <c r="BM880" s="47" t="s">
        <v>2487</v>
      </c>
      <c r="BN880" s="48"/>
      <c r="BO880" s="48"/>
      <c r="BP880" s="48"/>
      <c r="BQ880" s="48"/>
      <c r="BR880" s="47" t="e">
        <v>#VALUE!</v>
      </c>
      <c r="BS880" s="48"/>
      <c r="BT880" s="48"/>
      <c r="BU880" s="228"/>
      <c r="BV880" s="48"/>
      <c r="BW880" s="48"/>
      <c r="BX880" s="48"/>
      <c r="BY880" s="48"/>
      <c r="BZ880" s="48"/>
      <c r="CA880" s="48"/>
      <c r="CB880" s="48"/>
      <c r="CC880" s="48"/>
      <c r="CD880" s="48"/>
      <c r="CE880" s="48"/>
      <c r="CF880" s="48"/>
      <c r="CG880" s="48"/>
      <c r="CH880" s="48"/>
      <c r="CI880" s="98"/>
      <c r="CJ880" s="98"/>
      <c r="CK880" s="49">
        <f t="shared" si="180"/>
        <v>4112.6241933595957</v>
      </c>
      <c r="CL880" s="229"/>
      <c r="CM880" s="229"/>
      <c r="CN880" s="229"/>
      <c r="CO880" s="47" t="s">
        <v>2488</v>
      </c>
      <c r="CP880" s="500" t="s">
        <v>2489</v>
      </c>
      <c r="CQ880" s="224" t="s">
        <v>272</v>
      </c>
      <c r="CR880" s="224"/>
      <c r="CS880" s="230" t="s">
        <v>539</v>
      </c>
      <c r="CT880" s="230"/>
      <c r="CU880" s="230"/>
      <c r="CV880" s="335">
        <f t="shared" si="181"/>
        <v>311.75973671388732</v>
      </c>
      <c r="CW880" s="230">
        <f t="shared" si="179"/>
        <v>1</v>
      </c>
      <c r="CX880" s="336"/>
      <c r="CY880" s="230" t="s">
        <v>5921</v>
      </c>
    </row>
    <row r="881" spans="1:103" ht="11.25" customHeight="1" x14ac:dyDescent="0.2">
      <c r="A881" s="72">
        <v>1245</v>
      </c>
      <c r="B881" s="224">
        <v>1795</v>
      </c>
      <c r="C881" s="46" t="s">
        <v>7365</v>
      </c>
      <c r="D881" s="46"/>
      <c r="E881" s="114"/>
      <c r="F881" s="114" t="s">
        <v>5166</v>
      </c>
      <c r="G881" s="225">
        <v>3147759</v>
      </c>
      <c r="H881" s="47" t="s">
        <v>5167</v>
      </c>
      <c r="I881" s="47" t="s">
        <v>5167</v>
      </c>
      <c r="J881" s="47" t="s">
        <v>5168</v>
      </c>
      <c r="K881" s="47" t="s">
        <v>3051</v>
      </c>
      <c r="L881" s="47"/>
      <c r="M881" s="47"/>
      <c r="N881" s="47"/>
      <c r="O881" s="47"/>
      <c r="P881" s="53"/>
      <c r="Q881" s="53"/>
      <c r="R881" s="53"/>
      <c r="S881" s="53"/>
      <c r="T881" s="48">
        <v>323.43</v>
      </c>
      <c r="U881" s="98"/>
      <c r="V881" s="98">
        <v>0.1678</v>
      </c>
      <c r="W881" s="98">
        <v>0.33867278629610192</v>
      </c>
      <c r="X881" s="98">
        <v>0.33867278629610192</v>
      </c>
      <c r="Y881" s="233">
        <v>6.8</v>
      </c>
      <c r="Z881" s="48">
        <v>6.21</v>
      </c>
      <c r="AA881" s="48"/>
      <c r="AB881" s="48">
        <v>4.97</v>
      </c>
      <c r="AC881" s="48">
        <v>0.63619999999999999</v>
      </c>
      <c r="AD881" s="48">
        <v>5.88</v>
      </c>
      <c r="AE881" s="48">
        <v>7.29</v>
      </c>
      <c r="AF881" s="48">
        <f t="shared" si="178"/>
        <v>5.88</v>
      </c>
      <c r="AG881" s="49">
        <v>3.55</v>
      </c>
      <c r="AH881" s="98">
        <v>4.4500000000000002E-13</v>
      </c>
      <c r="AI881" s="98"/>
      <c r="AJ881" s="483">
        <f t="shared" si="183"/>
        <v>-10.74020631533172</v>
      </c>
      <c r="AK881" s="483"/>
      <c r="AL881" s="483">
        <f t="shared" si="182"/>
        <v>-10.74020631533172</v>
      </c>
      <c r="AM881" s="483">
        <v>-13.490129999999999</v>
      </c>
      <c r="AN881" s="226">
        <v>-9.82</v>
      </c>
      <c r="AO881" s="484">
        <v>8.07</v>
      </c>
      <c r="AP881" s="484">
        <v>0.73</v>
      </c>
      <c r="AQ881" s="226" t="s">
        <v>6311</v>
      </c>
      <c r="AR881" s="226" t="s">
        <v>6311</v>
      </c>
      <c r="AS881" s="224"/>
      <c r="AT881" s="50" t="s">
        <v>266</v>
      </c>
      <c r="AU881" s="48">
        <v>6</v>
      </c>
      <c r="AV881" s="48">
        <v>120</v>
      </c>
      <c r="AW881" s="48">
        <v>114</v>
      </c>
      <c r="AX881" s="48">
        <v>28</v>
      </c>
      <c r="AY881" s="48" t="s">
        <v>8728</v>
      </c>
      <c r="AZ881" s="48" t="s">
        <v>1563</v>
      </c>
      <c r="BA881" s="48">
        <v>32</v>
      </c>
      <c r="BB881" s="47" t="s">
        <v>2485</v>
      </c>
      <c r="BC881" s="47" t="s">
        <v>8726</v>
      </c>
      <c r="BD881" s="47" t="s">
        <v>8374</v>
      </c>
      <c r="BE881" s="48" t="s">
        <v>2449</v>
      </c>
      <c r="BF881" s="48" t="s">
        <v>272</v>
      </c>
      <c r="BG881" s="48" t="s">
        <v>272</v>
      </c>
      <c r="BH881" s="48" t="s">
        <v>2486</v>
      </c>
      <c r="BI881" s="98">
        <v>2.0699519999999999E-3</v>
      </c>
      <c r="BJ881" s="98">
        <v>20.69952</v>
      </c>
      <c r="BK881" s="48"/>
      <c r="BL881" s="487">
        <v>4.3992566658376149E-2</v>
      </c>
      <c r="BM881" s="47" t="s">
        <v>2487</v>
      </c>
      <c r="BN881" s="48"/>
      <c r="BO881" s="48"/>
      <c r="BP881" s="48"/>
      <c r="BQ881" s="48"/>
      <c r="BR881" s="47" t="e">
        <v>#VALUE!</v>
      </c>
      <c r="BS881" s="48"/>
      <c r="BT881" s="48"/>
      <c r="BU881" s="228"/>
      <c r="BV881" s="48"/>
      <c r="BW881" s="48"/>
      <c r="BX881" s="48"/>
      <c r="BY881" s="48"/>
      <c r="BZ881" s="48"/>
      <c r="CA881" s="48"/>
      <c r="CB881" s="48"/>
      <c r="CC881" s="48"/>
      <c r="CD881" s="48"/>
      <c r="CE881" s="48"/>
      <c r="CF881" s="48"/>
      <c r="CG881" s="48"/>
      <c r="CH881" s="48"/>
      <c r="CI881" s="98"/>
      <c r="CJ881" s="98"/>
      <c r="CK881" s="49">
        <f t="shared" si="180"/>
        <v>2.1252940482859579E-3</v>
      </c>
      <c r="CL881" s="229"/>
      <c r="CM881" s="229"/>
      <c r="CN881" s="229"/>
      <c r="CO881" s="47" t="s">
        <v>2488</v>
      </c>
      <c r="CP881" s="500" t="s">
        <v>2489</v>
      </c>
      <c r="CQ881" s="224" t="s">
        <v>272</v>
      </c>
      <c r="CR881" s="224"/>
      <c r="CS881" s="230" t="s">
        <v>539</v>
      </c>
      <c r="CT881" s="230"/>
      <c r="CU881" s="230"/>
      <c r="CV881" s="335">
        <f t="shared" si="181"/>
        <v>1.6361383563295282E-2</v>
      </c>
      <c r="CW881" s="230">
        <f t="shared" si="179"/>
        <v>0</v>
      </c>
      <c r="CX881" s="336"/>
      <c r="CY881" s="230" t="s">
        <v>6351</v>
      </c>
    </row>
    <row r="882" spans="1:103" ht="11.25" customHeight="1" x14ac:dyDescent="0.2">
      <c r="A882" s="72">
        <v>1246</v>
      </c>
      <c r="B882" s="224">
        <v>1094</v>
      </c>
      <c r="C882" s="46" t="s">
        <v>7366</v>
      </c>
      <c r="D882" s="46"/>
      <c r="E882" s="114"/>
      <c r="F882" s="114" t="s">
        <v>3063</v>
      </c>
      <c r="G882" s="225">
        <v>3252435</v>
      </c>
      <c r="H882" s="47" t="s">
        <v>3064</v>
      </c>
      <c r="I882" s="47"/>
      <c r="J882" s="47" t="s">
        <v>3065</v>
      </c>
      <c r="K882" s="47" t="s">
        <v>3066</v>
      </c>
      <c r="L882" s="47" t="s">
        <v>6025</v>
      </c>
      <c r="M882" s="47" t="s">
        <v>5960</v>
      </c>
      <c r="N882" s="47"/>
      <c r="O882" s="47"/>
      <c r="P882" s="53"/>
      <c r="Q882" s="53"/>
      <c r="R882" s="53"/>
      <c r="S882" s="53"/>
      <c r="T882" s="48">
        <v>198.84</v>
      </c>
      <c r="U882" s="98"/>
      <c r="V882" s="98">
        <v>9600</v>
      </c>
      <c r="W882" s="98">
        <v>9965.6069534446779</v>
      </c>
      <c r="X882" s="98">
        <v>9965.6069534446779</v>
      </c>
      <c r="Y882" s="233">
        <v>7</v>
      </c>
      <c r="Z882" s="48">
        <v>0.47</v>
      </c>
      <c r="AA882" s="48"/>
      <c r="AB882" s="48">
        <v>1.95</v>
      </c>
      <c r="AC882" s="48">
        <v>0.76500000000000001</v>
      </c>
      <c r="AD882" s="48">
        <v>1.74</v>
      </c>
      <c r="AE882" s="48">
        <v>1.3</v>
      </c>
      <c r="AF882" s="48">
        <f t="shared" si="178"/>
        <v>1.74</v>
      </c>
      <c r="AG882" s="49">
        <v>1.32</v>
      </c>
      <c r="AH882" s="98">
        <v>4.0600000000000001E-7</v>
      </c>
      <c r="AI882" s="98"/>
      <c r="AJ882" s="483">
        <f t="shared" si="183"/>
        <v>-4.7800402927354577</v>
      </c>
      <c r="AK882" s="483"/>
      <c r="AL882" s="483">
        <f t="shared" si="182"/>
        <v>-4.7800402927354577</v>
      </c>
      <c r="AM882" s="483">
        <v>-4.3611899999999997</v>
      </c>
      <c r="AN882" s="226">
        <v>-2.34</v>
      </c>
      <c r="AO882" s="484"/>
      <c r="AP882" s="484"/>
      <c r="AQ882" s="48" t="s">
        <v>6311</v>
      </c>
      <c r="AR882" s="48" t="s">
        <v>6311</v>
      </c>
      <c r="AS882" s="227"/>
      <c r="AT882" s="50" t="s">
        <v>266</v>
      </c>
      <c r="AU882" s="48">
        <v>6</v>
      </c>
      <c r="AV882" s="48">
        <v>120</v>
      </c>
      <c r="AW882" s="48">
        <v>114</v>
      </c>
      <c r="AX882" s="48">
        <v>28</v>
      </c>
      <c r="AY882" s="48" t="s">
        <v>8728</v>
      </c>
      <c r="AZ882" s="48" t="s">
        <v>1563</v>
      </c>
      <c r="BA882" s="48">
        <v>32</v>
      </c>
      <c r="BB882" s="47" t="s">
        <v>2485</v>
      </c>
      <c r="BC882" s="47" t="s">
        <v>8726</v>
      </c>
      <c r="BD882" s="47" t="s">
        <v>8374</v>
      </c>
      <c r="BE882" s="48" t="s">
        <v>2449</v>
      </c>
      <c r="BF882" s="48" t="s">
        <v>272</v>
      </c>
      <c r="BG882" s="48" t="s">
        <v>272</v>
      </c>
      <c r="BH882" s="48" t="s">
        <v>2486</v>
      </c>
      <c r="BI882" s="98">
        <v>1.2725759999999999E-3</v>
      </c>
      <c r="BJ882" s="98">
        <v>12.725760000000001</v>
      </c>
      <c r="BK882" s="48"/>
      <c r="BL882" s="487">
        <v>3865.4205791385525</v>
      </c>
      <c r="BM882" s="47" t="s">
        <v>2487</v>
      </c>
      <c r="BN882" s="48"/>
      <c r="BO882" s="48"/>
      <c r="BP882" s="48"/>
      <c r="BQ882" s="48"/>
      <c r="BR882" s="47" t="e">
        <v>#VALUE!</v>
      </c>
      <c r="BS882" s="48"/>
      <c r="BT882" s="48"/>
      <c r="BU882" s="228">
        <v>1.2725759999999999E-2</v>
      </c>
      <c r="BV882" s="48"/>
      <c r="BW882" s="48"/>
      <c r="BX882" s="48"/>
      <c r="BY882" s="48"/>
      <c r="BZ882" s="48"/>
      <c r="CA882" s="48"/>
      <c r="CB882" s="48"/>
      <c r="CC882" s="48"/>
      <c r="CD882" s="48"/>
      <c r="CE882" s="48"/>
      <c r="CF882" s="48"/>
      <c r="CG882" s="48"/>
      <c r="CH882" s="48"/>
      <c r="CI882" s="98"/>
      <c r="CJ882" s="98"/>
      <c r="CK882" s="49">
        <f t="shared" si="180"/>
        <v>303.74771951840614</v>
      </c>
      <c r="CL882" s="229"/>
      <c r="CM882" s="229"/>
      <c r="CN882" s="229"/>
      <c r="CO882" s="47" t="s">
        <v>2488</v>
      </c>
      <c r="CP882" s="500" t="s">
        <v>2489</v>
      </c>
      <c r="CQ882" s="224">
        <v>-0.25963731050575611</v>
      </c>
      <c r="CR882" s="224">
        <f>10^(CJ882-CQ882)</f>
        <v>1.8181818181818181</v>
      </c>
      <c r="CS882" s="230" t="s">
        <v>539</v>
      </c>
      <c r="CT882" s="230"/>
      <c r="CU882" s="230"/>
      <c r="CV882" s="335">
        <f t="shared" si="181"/>
        <v>783.1050525426125</v>
      </c>
      <c r="CW882" s="230">
        <f t="shared" si="179"/>
        <v>1</v>
      </c>
      <c r="CX882" s="336"/>
      <c r="CY882" s="230" t="s">
        <v>5921</v>
      </c>
    </row>
    <row r="883" spans="1:103" ht="11.25" customHeight="1" x14ac:dyDescent="0.2">
      <c r="A883" s="72">
        <v>1247</v>
      </c>
      <c r="B883" s="224">
        <v>1409</v>
      </c>
      <c r="C883" s="46" t="s">
        <v>7367</v>
      </c>
      <c r="D883" s="46"/>
      <c r="E883" s="114"/>
      <c r="F883" s="114" t="s">
        <v>4339</v>
      </c>
      <c r="G883" s="225">
        <v>3296900</v>
      </c>
      <c r="H883" s="47" t="s">
        <v>4340</v>
      </c>
      <c r="I883" s="47" t="s">
        <v>4340</v>
      </c>
      <c r="J883" s="47" t="s">
        <v>4341</v>
      </c>
      <c r="K883" s="47" t="s">
        <v>1808</v>
      </c>
      <c r="L883" s="47"/>
      <c r="M883" s="47"/>
      <c r="N883" s="47"/>
      <c r="O883" s="47"/>
      <c r="P883" s="53"/>
      <c r="Q883" s="53"/>
      <c r="R883" s="53"/>
      <c r="S883" s="53"/>
      <c r="T883" s="48">
        <v>261.94</v>
      </c>
      <c r="U883" s="98">
        <v>38000</v>
      </c>
      <c r="V883" s="98">
        <v>2524</v>
      </c>
      <c r="W883" s="98">
        <v>34530.417009746525</v>
      </c>
      <c r="X883" s="98">
        <v>38000</v>
      </c>
      <c r="Y883" s="233">
        <v>6.93</v>
      </c>
      <c r="Z883" s="48">
        <v>0.85</v>
      </c>
      <c r="AA883" s="48">
        <v>1.06</v>
      </c>
      <c r="AB883" s="48">
        <v>1.06</v>
      </c>
      <c r="AC883" s="48">
        <v>0.81200000000000006</v>
      </c>
      <c r="AD883" s="48">
        <v>0.89</v>
      </c>
      <c r="AE883" s="48">
        <v>0.39</v>
      </c>
      <c r="AF883" s="48">
        <f t="shared" si="178"/>
        <v>1.06</v>
      </c>
      <c r="AG883" s="49">
        <v>0.99</v>
      </c>
      <c r="AH883" s="98">
        <v>4.0599999999999996E-9</v>
      </c>
      <c r="AI883" s="98"/>
      <c r="AJ883" s="483">
        <f t="shared" si="183"/>
        <v>-6.7800402927354577</v>
      </c>
      <c r="AK883" s="483"/>
      <c r="AL883" s="483">
        <f t="shared" si="182"/>
        <v>-6.7800402927354577</v>
      </c>
      <c r="AM883" s="483">
        <v>-9.3660700000000006</v>
      </c>
      <c r="AN883" s="226">
        <v>-7.85</v>
      </c>
      <c r="AO883" s="484">
        <v>13.57</v>
      </c>
      <c r="AP883" s="484"/>
      <c r="AQ883" s="48" t="s">
        <v>6311</v>
      </c>
      <c r="AR883" s="48" t="s">
        <v>6311</v>
      </c>
      <c r="AS883" s="227"/>
      <c r="AT883" s="50" t="s">
        <v>266</v>
      </c>
      <c r="AU883" s="48">
        <v>6</v>
      </c>
      <c r="AV883" s="48">
        <v>120</v>
      </c>
      <c r="AW883" s="48">
        <v>114</v>
      </c>
      <c r="AX883" s="48">
        <v>28</v>
      </c>
      <c r="AY883" s="48" t="s">
        <v>8728</v>
      </c>
      <c r="AZ883" s="48" t="s">
        <v>1563</v>
      </c>
      <c r="BA883" s="48">
        <v>32</v>
      </c>
      <c r="BB883" s="47" t="s">
        <v>2485</v>
      </c>
      <c r="BC883" s="47" t="s">
        <v>8726</v>
      </c>
      <c r="BD883" s="47" t="s">
        <v>8374</v>
      </c>
      <c r="BE883" s="48" t="s">
        <v>2449</v>
      </c>
      <c r="BF883" s="48" t="s">
        <v>272</v>
      </c>
      <c r="BG883" s="48" t="s">
        <v>272</v>
      </c>
      <c r="BH883" s="48" t="s">
        <v>2486</v>
      </c>
      <c r="BI883" s="98">
        <v>1.676416E-3</v>
      </c>
      <c r="BJ883" s="98">
        <v>16.76416</v>
      </c>
      <c r="BK883" s="48"/>
      <c r="BL883" s="487">
        <v>2320.6883558972322</v>
      </c>
      <c r="BM883" s="47" t="s">
        <v>2487</v>
      </c>
      <c r="BN883" s="48"/>
      <c r="BO883" s="48"/>
      <c r="BP883" s="48"/>
      <c r="BQ883" s="48"/>
      <c r="BR883" s="47"/>
      <c r="BS883" s="48"/>
      <c r="BT883" s="48"/>
      <c r="BU883" s="228"/>
      <c r="BV883" s="48"/>
      <c r="BW883" s="48"/>
      <c r="BX883" s="48"/>
      <c r="BY883" s="48"/>
      <c r="BZ883" s="48"/>
      <c r="CA883" s="48"/>
      <c r="CB883" s="48"/>
      <c r="CC883" s="48"/>
      <c r="CD883" s="48"/>
      <c r="CE883" s="48"/>
      <c r="CF883" s="48"/>
      <c r="CG883" s="48"/>
      <c r="CH883" s="48"/>
      <c r="CI883" s="52"/>
      <c r="CJ883" s="98"/>
      <c r="CK883" s="49">
        <f t="shared" si="180"/>
        <v>138.43153226270999</v>
      </c>
      <c r="CL883" s="229"/>
      <c r="CM883" s="229"/>
      <c r="CN883" s="229"/>
      <c r="CO883" s="47" t="s">
        <v>2488</v>
      </c>
      <c r="CP883" s="500" t="s">
        <v>2489</v>
      </c>
      <c r="CQ883" s="224" t="s">
        <v>272</v>
      </c>
      <c r="CR883" s="224"/>
      <c r="CS883" s="230" t="s">
        <v>539</v>
      </c>
      <c r="CT883" s="230"/>
      <c r="CU883" s="230"/>
      <c r="CV883" s="335">
        <f t="shared" si="181"/>
        <v>2266.74047491792</v>
      </c>
      <c r="CW883" s="230">
        <f t="shared" si="179"/>
        <v>1</v>
      </c>
      <c r="CX883" s="336"/>
      <c r="CY883" s="230" t="s">
        <v>6351</v>
      </c>
    </row>
    <row r="884" spans="1:103" ht="11.25" customHeight="1" x14ac:dyDescent="0.2">
      <c r="A884" s="72">
        <v>1249</v>
      </c>
      <c r="B884" s="224">
        <v>1507</v>
      </c>
      <c r="C884" s="46" t="s">
        <v>7368</v>
      </c>
      <c r="D884" s="46"/>
      <c r="E884" s="114"/>
      <c r="F884" s="114" t="s">
        <v>3724</v>
      </c>
      <c r="G884" s="225">
        <v>3337711</v>
      </c>
      <c r="H884" s="47" t="s">
        <v>3725</v>
      </c>
      <c r="I884" s="47" t="s">
        <v>3725</v>
      </c>
      <c r="J884" s="47" t="s">
        <v>3726</v>
      </c>
      <c r="K884" s="47" t="s">
        <v>3727</v>
      </c>
      <c r="L884" s="47"/>
      <c r="M884" s="47"/>
      <c r="N884" s="47"/>
      <c r="O884" s="47"/>
      <c r="P884" s="53"/>
      <c r="Q884" s="53"/>
      <c r="R884" s="53"/>
      <c r="S884" s="53"/>
      <c r="T884" s="48">
        <v>230.24</v>
      </c>
      <c r="U884" s="98">
        <v>5000</v>
      </c>
      <c r="V884" s="98">
        <v>2527</v>
      </c>
      <c r="W884" s="98">
        <v>4094.3105136736153</v>
      </c>
      <c r="X884" s="98">
        <v>5000</v>
      </c>
      <c r="Y884" s="233">
        <v>3.34</v>
      </c>
      <c r="Z884" s="48">
        <v>0.05</v>
      </c>
      <c r="AA884" s="48">
        <v>-0.27</v>
      </c>
      <c r="AB884" s="48">
        <v>-0.16</v>
      </c>
      <c r="AC884" s="48">
        <v>0.78869999999999996</v>
      </c>
      <c r="AD884" s="48">
        <v>-0.15</v>
      </c>
      <c r="AE884" s="48">
        <v>-0.11</v>
      </c>
      <c r="AF884" s="48">
        <f t="shared" si="178"/>
        <v>-0.27</v>
      </c>
      <c r="AG884" s="49">
        <v>-0.11</v>
      </c>
      <c r="AH884" s="98">
        <v>1.71E-12</v>
      </c>
      <c r="AI884" s="98"/>
      <c r="AJ884" s="483">
        <f t="shared" si="183"/>
        <v>-10.155570215920498</v>
      </c>
      <c r="AK884" s="483"/>
      <c r="AL884" s="483">
        <f t="shared" si="182"/>
        <v>-10.155570215920498</v>
      </c>
      <c r="AM884" s="483">
        <v>-17.404730000000001</v>
      </c>
      <c r="AN884" s="226">
        <v>-17.2</v>
      </c>
      <c r="AO884" s="484">
        <v>4.63</v>
      </c>
      <c r="AP884" s="484">
        <v>1.39</v>
      </c>
      <c r="AQ884" s="48" t="s">
        <v>6311</v>
      </c>
      <c r="AR884" s="48" t="s">
        <v>6311</v>
      </c>
      <c r="AS884" s="227"/>
      <c r="AT884" s="50" t="s">
        <v>266</v>
      </c>
      <c r="AU884" s="48">
        <v>6</v>
      </c>
      <c r="AV884" s="48">
        <v>120</v>
      </c>
      <c r="AW884" s="48">
        <v>114</v>
      </c>
      <c r="AX884" s="48">
        <v>28</v>
      </c>
      <c r="AY884" s="48" t="s">
        <v>8728</v>
      </c>
      <c r="AZ884" s="48" t="s">
        <v>1563</v>
      </c>
      <c r="BA884" s="48">
        <v>32</v>
      </c>
      <c r="BB884" s="47" t="s">
        <v>2485</v>
      </c>
      <c r="BC884" s="47" t="s">
        <v>8726</v>
      </c>
      <c r="BD884" s="47" t="s">
        <v>8374</v>
      </c>
      <c r="BE884" s="48" t="s">
        <v>2449</v>
      </c>
      <c r="BF884" s="48" t="s">
        <v>272</v>
      </c>
      <c r="BG884" s="48" t="s">
        <v>272</v>
      </c>
      <c r="BH884" s="48" t="s">
        <v>2486</v>
      </c>
      <c r="BI884" s="98">
        <v>1.4735359999999999E-3</v>
      </c>
      <c r="BJ884" s="98">
        <v>14.73536</v>
      </c>
      <c r="BK884" s="48"/>
      <c r="BL884" s="487">
        <v>10667.822393471906</v>
      </c>
      <c r="BM884" s="47" t="s">
        <v>2487</v>
      </c>
      <c r="BN884" s="48"/>
      <c r="BO884" s="48"/>
      <c r="BP884" s="48"/>
      <c r="BQ884" s="48"/>
      <c r="BR884" s="47" t="e">
        <v>#VALUE!</v>
      </c>
      <c r="BS884" s="48"/>
      <c r="BT884" s="48"/>
      <c r="BU884" s="228"/>
      <c r="BV884" s="48"/>
      <c r="BW884" s="48"/>
      <c r="BX884" s="48"/>
      <c r="BY884" s="48"/>
      <c r="BZ884" s="48"/>
      <c r="CA884" s="48"/>
      <c r="CB884" s="48"/>
      <c r="CC884" s="48"/>
      <c r="CD884" s="48"/>
      <c r="CE884" s="48"/>
      <c r="CF884" s="48"/>
      <c r="CG884" s="48"/>
      <c r="CH884" s="48"/>
      <c r="CI884" s="98"/>
      <c r="CJ884" s="98"/>
      <c r="CK884" s="49">
        <f t="shared" si="180"/>
        <v>723.960757896102</v>
      </c>
      <c r="CL884" s="229"/>
      <c r="CM884" s="229"/>
      <c r="CN884" s="229"/>
      <c r="CO884" s="47" t="s">
        <v>2488</v>
      </c>
      <c r="CP884" s="500" t="s">
        <v>2489</v>
      </c>
      <c r="CQ884" s="224" t="s">
        <v>272</v>
      </c>
      <c r="CR884" s="224"/>
      <c r="CS884" s="230" t="s">
        <v>539</v>
      </c>
      <c r="CT884" s="230"/>
      <c r="CU884" s="230"/>
      <c r="CV884" s="335">
        <f t="shared" si="181"/>
        <v>339.31984016678251</v>
      </c>
      <c r="CW884" s="230">
        <f t="shared" si="179"/>
        <v>1</v>
      </c>
      <c r="CX884" s="336"/>
      <c r="CY884" s="230" t="s">
        <v>5921</v>
      </c>
    </row>
    <row r="885" spans="1:103" ht="11.25" customHeight="1" x14ac:dyDescent="0.2">
      <c r="A885" s="72">
        <v>1250</v>
      </c>
      <c r="B885" s="224">
        <v>1436</v>
      </c>
      <c r="C885" s="46" t="s">
        <v>7369</v>
      </c>
      <c r="D885" s="46"/>
      <c r="E885" s="114"/>
      <c r="F885" s="114" t="s">
        <v>4416</v>
      </c>
      <c r="G885" s="225">
        <v>3739386</v>
      </c>
      <c r="H885" s="47" t="s">
        <v>4417</v>
      </c>
      <c r="I885" s="47" t="s">
        <v>4417</v>
      </c>
      <c r="J885" s="47" t="s">
        <v>4418</v>
      </c>
      <c r="K885" s="47" t="s">
        <v>426</v>
      </c>
      <c r="L885" s="47"/>
      <c r="M885" s="47"/>
      <c r="N885" s="47"/>
      <c r="O885" s="47"/>
      <c r="P885" s="53"/>
      <c r="Q885" s="53"/>
      <c r="R885" s="53"/>
      <c r="S885" s="53"/>
      <c r="T885" s="48">
        <v>214.22</v>
      </c>
      <c r="U885" s="98"/>
      <c r="V885" s="98">
        <v>16.91</v>
      </c>
      <c r="W885" s="98">
        <v>70.934908844000631</v>
      </c>
      <c r="X885" s="98">
        <v>70.934908844000631</v>
      </c>
      <c r="Y885" s="233">
        <v>3.84</v>
      </c>
      <c r="Z885" s="48">
        <v>3.93</v>
      </c>
      <c r="AA885" s="48">
        <v>3.91</v>
      </c>
      <c r="AB885" s="48">
        <v>3.88</v>
      </c>
      <c r="AC885" s="48">
        <v>0.84099999999999997</v>
      </c>
      <c r="AD885" s="48">
        <v>3.89</v>
      </c>
      <c r="AE885" s="48">
        <v>3.91</v>
      </c>
      <c r="AF885" s="48">
        <f t="shared" si="178"/>
        <v>3.91</v>
      </c>
      <c r="AG885" s="49">
        <v>2.81</v>
      </c>
      <c r="AH885" s="98">
        <v>2.3699999999999999E-9</v>
      </c>
      <c r="AI885" s="98"/>
      <c r="AJ885" s="483">
        <f t="shared" si="183"/>
        <v>-7.013817980302548</v>
      </c>
      <c r="AK885" s="483"/>
      <c r="AL885" s="483">
        <f t="shared" si="182"/>
        <v>-7.013817980302548</v>
      </c>
      <c r="AM885" s="483">
        <v>-11.847089999999998</v>
      </c>
      <c r="AN885" s="226">
        <v>-7.12</v>
      </c>
      <c r="AO885" s="484">
        <v>3.95</v>
      </c>
      <c r="AP885" s="484"/>
      <c r="AQ885" s="48" t="s">
        <v>6311</v>
      </c>
      <c r="AR885" s="48" t="s">
        <v>6311</v>
      </c>
      <c r="AS885" s="227"/>
      <c r="AT885" s="50" t="s">
        <v>266</v>
      </c>
      <c r="AU885" s="48">
        <v>6</v>
      </c>
      <c r="AV885" s="48">
        <v>120</v>
      </c>
      <c r="AW885" s="48">
        <v>114</v>
      </c>
      <c r="AX885" s="48">
        <v>28</v>
      </c>
      <c r="AY885" s="48" t="s">
        <v>8728</v>
      </c>
      <c r="AZ885" s="48" t="s">
        <v>1563</v>
      </c>
      <c r="BA885" s="48">
        <v>32</v>
      </c>
      <c r="BB885" s="47" t="s">
        <v>2485</v>
      </c>
      <c r="BC885" s="47" t="s">
        <v>8726</v>
      </c>
      <c r="BD885" s="47" t="s">
        <v>8374</v>
      </c>
      <c r="BE885" s="48" t="s">
        <v>2449</v>
      </c>
      <c r="BF885" s="48" t="s">
        <v>272</v>
      </c>
      <c r="BG885" s="48" t="s">
        <v>272</v>
      </c>
      <c r="BH885" s="48" t="s">
        <v>2486</v>
      </c>
      <c r="BI885" s="98">
        <v>1.3710079999999999E-3</v>
      </c>
      <c r="BJ885" s="98">
        <v>13.71008</v>
      </c>
      <c r="BK885" s="48"/>
      <c r="BL885" s="487">
        <v>3.2518238722695045</v>
      </c>
      <c r="BM885" s="47" t="s">
        <v>2487</v>
      </c>
      <c r="BN885" s="48"/>
      <c r="BO885" s="48"/>
      <c r="BP885" s="48"/>
      <c r="BQ885" s="48"/>
      <c r="BR885" s="47" t="e">
        <v>#VALUE!</v>
      </c>
      <c r="BS885" s="48"/>
      <c r="BT885" s="48"/>
      <c r="BU885" s="228"/>
      <c r="BV885" s="48"/>
      <c r="BW885" s="48"/>
      <c r="BX885" s="48"/>
      <c r="BY885" s="48"/>
      <c r="BZ885" s="48"/>
      <c r="CA885" s="48"/>
      <c r="CB885" s="48"/>
      <c r="CC885" s="48"/>
      <c r="CD885" s="48"/>
      <c r="CE885" s="48"/>
      <c r="CF885" s="48"/>
      <c r="CG885" s="48"/>
      <c r="CH885" s="48"/>
      <c r="CI885" s="98"/>
      <c r="CJ885" s="98"/>
      <c r="CK885" s="49">
        <f t="shared" si="180"/>
        <v>0.23718489405382789</v>
      </c>
      <c r="CL885" s="229"/>
      <c r="CM885" s="229"/>
      <c r="CN885" s="229"/>
      <c r="CO885" s="47" t="s">
        <v>2488</v>
      </c>
      <c r="CP885" s="500" t="s">
        <v>2489</v>
      </c>
      <c r="CQ885" s="224" t="s">
        <v>272</v>
      </c>
      <c r="CR885" s="224"/>
      <c r="CS885" s="230" t="s">
        <v>539</v>
      </c>
      <c r="CT885" s="230"/>
      <c r="CU885" s="230"/>
      <c r="CV885" s="335">
        <f t="shared" si="181"/>
        <v>5.1739237731654839</v>
      </c>
      <c r="CW885" s="230">
        <f t="shared" si="179"/>
        <v>1</v>
      </c>
      <c r="CX885" s="336"/>
      <c r="CY885" s="230" t="s">
        <v>5921</v>
      </c>
    </row>
    <row r="886" spans="1:103" ht="11.25" customHeight="1" x14ac:dyDescent="0.2">
      <c r="A886" s="72">
        <v>1251</v>
      </c>
      <c r="B886" s="224">
        <v>1272</v>
      </c>
      <c r="C886" s="46" t="s">
        <v>7370</v>
      </c>
      <c r="D886" s="46"/>
      <c r="E886" s="114"/>
      <c r="F886" s="114" t="s">
        <v>3494</v>
      </c>
      <c r="G886" s="225">
        <v>3811732</v>
      </c>
      <c r="H886" s="47" t="s">
        <v>3495</v>
      </c>
      <c r="I886" s="47" t="s">
        <v>3495</v>
      </c>
      <c r="J886" s="47" t="s">
        <v>3496</v>
      </c>
      <c r="K886" s="47" t="s">
        <v>3497</v>
      </c>
      <c r="L886" s="47"/>
      <c r="M886" s="47"/>
      <c r="N886" s="47"/>
      <c r="O886" s="47"/>
      <c r="P886" s="53"/>
      <c r="Q886" s="53"/>
      <c r="R886" s="53"/>
      <c r="S886" s="53"/>
      <c r="T886" s="48">
        <v>127.17</v>
      </c>
      <c r="U886" s="98"/>
      <c r="V886" s="98">
        <v>334300</v>
      </c>
      <c r="W886" s="98">
        <v>24796.173775123058</v>
      </c>
      <c r="X886" s="98">
        <v>24796.173775123058</v>
      </c>
      <c r="Y886" s="233">
        <v>2.96</v>
      </c>
      <c r="Z886" s="48">
        <v>-0.64</v>
      </c>
      <c r="AA886" s="48"/>
      <c r="AB886" s="48">
        <v>0.92</v>
      </c>
      <c r="AC886" s="48">
        <v>0.64180000000000004</v>
      </c>
      <c r="AD886" s="48">
        <v>0.27</v>
      </c>
      <c r="AE886" s="48">
        <v>-0.9</v>
      </c>
      <c r="AF886" s="48">
        <f t="shared" si="178"/>
        <v>0.27</v>
      </c>
      <c r="AG886" s="49">
        <v>0.27</v>
      </c>
      <c r="AH886" s="98">
        <v>2.6600000000000001E-10</v>
      </c>
      <c r="AI886" s="98"/>
      <c r="AJ886" s="483">
        <f t="shared" si="183"/>
        <v>-7.9636846896815845</v>
      </c>
      <c r="AK886" s="483"/>
      <c r="AL886" s="483">
        <f t="shared" si="182"/>
        <v>-7.9636846896815845</v>
      </c>
      <c r="AM886" s="483">
        <v>-3.4164099999999995</v>
      </c>
      <c r="AN886" s="226"/>
      <c r="AO886" s="484">
        <v>5.4</v>
      </c>
      <c r="AP886" s="484">
        <v>-0.15</v>
      </c>
      <c r="AQ886" s="48" t="s">
        <v>6311</v>
      </c>
      <c r="AR886" s="48" t="s">
        <v>6311</v>
      </c>
      <c r="AS886" s="227"/>
      <c r="AT886" s="50" t="s">
        <v>266</v>
      </c>
      <c r="AU886" s="48">
        <v>6</v>
      </c>
      <c r="AV886" s="48">
        <v>120</v>
      </c>
      <c r="AW886" s="48">
        <v>114</v>
      </c>
      <c r="AX886" s="48">
        <v>28</v>
      </c>
      <c r="AY886" s="48" t="s">
        <v>8728</v>
      </c>
      <c r="AZ886" s="48" t="s">
        <v>1563</v>
      </c>
      <c r="BA886" s="48">
        <v>32</v>
      </c>
      <c r="BB886" s="47" t="s">
        <v>2485</v>
      </c>
      <c r="BC886" s="47" t="s">
        <v>8726</v>
      </c>
      <c r="BD886" s="47" t="s">
        <v>8374</v>
      </c>
      <c r="BE886" s="48" t="s">
        <v>2449</v>
      </c>
      <c r="BF886" s="48" t="s">
        <v>272</v>
      </c>
      <c r="BG886" s="48" t="s">
        <v>272</v>
      </c>
      <c r="BH886" s="48" t="s">
        <v>2486</v>
      </c>
      <c r="BI886" s="98">
        <v>8.1388800000000002E-4</v>
      </c>
      <c r="BJ886" s="98">
        <v>8.1388800000000003</v>
      </c>
      <c r="BK886" s="48"/>
      <c r="BL886" s="487">
        <v>24545.318466720742</v>
      </c>
      <c r="BM886" s="47" t="s">
        <v>2487</v>
      </c>
      <c r="BN886" s="48"/>
      <c r="BO886" s="48"/>
      <c r="BP886" s="48"/>
      <c r="BQ886" s="48"/>
      <c r="BR886" s="47" t="e">
        <v>#VALUE!</v>
      </c>
      <c r="BS886" s="48"/>
      <c r="BT886" s="48"/>
      <c r="BU886" s="228">
        <v>8.1388799999999994E-3</v>
      </c>
      <c r="BV886" s="48"/>
      <c r="BW886" s="48"/>
      <c r="BX886" s="48"/>
      <c r="BY886" s="48"/>
      <c r="BZ886" s="48"/>
      <c r="CA886" s="48"/>
      <c r="CB886" s="48"/>
      <c r="CC886" s="48"/>
      <c r="CD886" s="48"/>
      <c r="CE886" s="48"/>
      <c r="CF886" s="48"/>
      <c r="CG886" s="48"/>
      <c r="CH886" s="48"/>
      <c r="CI886" s="98"/>
      <c r="CJ886" s="98"/>
      <c r="CK886" s="49">
        <f t="shared" si="180"/>
        <v>3015.8103408233983</v>
      </c>
      <c r="CL886" s="229"/>
      <c r="CM886" s="229"/>
      <c r="CN886" s="229"/>
      <c r="CO886" s="47" t="s">
        <v>2488</v>
      </c>
      <c r="CP886" s="500" t="s">
        <v>2489</v>
      </c>
      <c r="CQ886" s="224" t="s">
        <v>272</v>
      </c>
      <c r="CR886" s="224"/>
      <c r="CS886" s="230" t="s">
        <v>539</v>
      </c>
      <c r="CT886" s="230"/>
      <c r="CU886" s="230"/>
      <c r="CV886" s="335">
        <f t="shared" si="181"/>
        <v>3046.6321871219452</v>
      </c>
      <c r="CW886" s="230">
        <f t="shared" si="179"/>
        <v>1</v>
      </c>
      <c r="CX886" s="336"/>
      <c r="CY886" s="230" t="s">
        <v>6351</v>
      </c>
    </row>
    <row r="887" spans="1:103" ht="11.25" customHeight="1" x14ac:dyDescent="0.2">
      <c r="A887" s="72">
        <v>1252</v>
      </c>
      <c r="B887" s="224">
        <v>1025</v>
      </c>
      <c r="C887" s="46" t="s">
        <v>7371</v>
      </c>
      <c r="D887" s="46"/>
      <c r="E887" s="114"/>
      <c r="F887" s="114" t="s">
        <v>2924</v>
      </c>
      <c r="G887" s="225">
        <v>3825261</v>
      </c>
      <c r="H887" s="47" t="s">
        <v>2925</v>
      </c>
      <c r="I887" s="47" t="s">
        <v>2925</v>
      </c>
      <c r="J887" s="47" t="s">
        <v>2926</v>
      </c>
      <c r="K887" s="47" t="s">
        <v>426</v>
      </c>
      <c r="L887" s="47"/>
      <c r="M887" s="47"/>
      <c r="N887" s="47"/>
      <c r="O887" s="47"/>
      <c r="P887" s="53"/>
      <c r="Q887" s="53"/>
      <c r="R887" s="53"/>
      <c r="S887" s="53"/>
      <c r="T887" s="48">
        <v>431.1</v>
      </c>
      <c r="U887" s="98"/>
      <c r="V887" s="98">
        <v>43.34</v>
      </c>
      <c r="W887" s="98">
        <v>6.5249625420084865E-4</v>
      </c>
      <c r="X887" s="98">
        <v>6.5249625420084865E-4</v>
      </c>
      <c r="Y887" s="233">
        <v>7</v>
      </c>
      <c r="Z887" s="48">
        <v>1.94</v>
      </c>
      <c r="AA887" s="48"/>
      <c r="AB887" s="48">
        <v>0</v>
      </c>
      <c r="AC887" s="48">
        <v>0</v>
      </c>
      <c r="AD887" s="48">
        <v>0</v>
      </c>
      <c r="AE887" s="48">
        <v>0</v>
      </c>
      <c r="AF887" s="48"/>
      <c r="AG887" s="49">
        <v>1.85</v>
      </c>
      <c r="AH887" s="98">
        <v>4.3699999999999999E-10</v>
      </c>
      <c r="AI887" s="98"/>
      <c r="AJ887" s="483">
        <f t="shared" si="183"/>
        <v>-7.7480848893422296</v>
      </c>
      <c r="AK887" s="483"/>
      <c r="AL887" s="483">
        <f t="shared" si="182"/>
        <v>-7.7480848893422296</v>
      </c>
      <c r="AM887" s="483"/>
      <c r="AN887" s="226">
        <v>-9.64</v>
      </c>
      <c r="AO887" s="484"/>
      <c r="AP887" s="484">
        <v>-3.34</v>
      </c>
      <c r="AQ887" s="48" t="s">
        <v>6311</v>
      </c>
      <c r="AR887" s="48" t="s">
        <v>6313</v>
      </c>
      <c r="AS887" s="227"/>
      <c r="AT887" s="50" t="s">
        <v>266</v>
      </c>
      <c r="AU887" s="48">
        <v>6</v>
      </c>
      <c r="AV887" s="48">
        <v>120</v>
      </c>
      <c r="AW887" s="48">
        <v>114</v>
      </c>
      <c r="AX887" s="48">
        <v>28</v>
      </c>
      <c r="AY887" s="48" t="s">
        <v>8728</v>
      </c>
      <c r="AZ887" s="48" t="s">
        <v>1563</v>
      </c>
      <c r="BA887" s="48">
        <v>32</v>
      </c>
      <c r="BB887" s="47" t="s">
        <v>2485</v>
      </c>
      <c r="BC887" s="47" t="s">
        <v>8726</v>
      </c>
      <c r="BD887" s="47" t="s">
        <v>8374</v>
      </c>
      <c r="BE887" s="48" t="s">
        <v>2449</v>
      </c>
      <c r="BF887" s="48" t="s">
        <v>272</v>
      </c>
      <c r="BG887" s="48" t="s">
        <v>272</v>
      </c>
      <c r="BH887" s="48" t="s">
        <v>2486</v>
      </c>
      <c r="BI887" s="98">
        <v>2.7590399999999999E-3</v>
      </c>
      <c r="BJ887" s="98">
        <v>27.590400000000002</v>
      </c>
      <c r="BK887" s="48"/>
      <c r="BL887" s="487">
        <v>400.92581698078072</v>
      </c>
      <c r="BM887" s="47" t="s">
        <v>2487</v>
      </c>
      <c r="BN887" s="48"/>
      <c r="BO887" s="48"/>
      <c r="BP887" s="48"/>
      <c r="BQ887" s="48"/>
      <c r="BR887" s="47" t="e">
        <v>#VALUE!</v>
      </c>
      <c r="BS887" s="48"/>
      <c r="BT887" s="48"/>
      <c r="BU887" s="228">
        <v>2.7590400000000001E-2</v>
      </c>
      <c r="BV887" s="48"/>
      <c r="BW887" s="48"/>
      <c r="BX887" s="48"/>
      <c r="BY887" s="48"/>
      <c r="BZ887" s="48"/>
      <c r="CA887" s="48"/>
      <c r="CB887" s="48"/>
      <c r="CC887" s="48"/>
      <c r="CD887" s="48"/>
      <c r="CE887" s="48"/>
      <c r="CF887" s="48"/>
      <c r="CG887" s="48"/>
      <c r="CH887" s="48"/>
      <c r="CI887" s="98"/>
      <c r="CJ887" s="98"/>
      <c r="CK887" s="49">
        <f t="shared" si="180"/>
        <v>14.531352100034095</v>
      </c>
      <c r="CL887" s="229"/>
      <c r="CM887" s="229"/>
      <c r="CN887" s="229"/>
      <c r="CO887" s="47" t="s">
        <v>2488</v>
      </c>
      <c r="CP887" s="500" t="s">
        <v>2489</v>
      </c>
      <c r="CQ887" s="224" t="s">
        <v>272</v>
      </c>
      <c r="CR887" s="224"/>
      <c r="CS887" s="230" t="s">
        <v>539</v>
      </c>
      <c r="CT887" s="230"/>
      <c r="CU887" s="230"/>
      <c r="CV887" s="335">
        <f t="shared" si="181"/>
        <v>2.3649394506815724E-5</v>
      </c>
      <c r="CW887" s="230">
        <f t="shared" si="179"/>
        <v>0</v>
      </c>
      <c r="CX887" s="336"/>
      <c r="CY887" s="230" t="s">
        <v>5921</v>
      </c>
    </row>
    <row r="888" spans="1:103" ht="11.25" customHeight="1" x14ac:dyDescent="0.2">
      <c r="A888" s="72">
        <v>1253</v>
      </c>
      <c r="B888" s="224">
        <v>1655</v>
      </c>
      <c r="C888" s="46" t="s">
        <v>7372</v>
      </c>
      <c r="D888" s="46"/>
      <c r="E888" s="114"/>
      <c r="F888" s="114" t="s">
        <v>4872</v>
      </c>
      <c r="G888" s="225">
        <v>3844459</v>
      </c>
      <c r="H888" s="47" t="s">
        <v>4873</v>
      </c>
      <c r="I888" s="47" t="s">
        <v>8089</v>
      </c>
      <c r="J888" s="47" t="s">
        <v>4874</v>
      </c>
      <c r="K888" s="47" t="s">
        <v>426</v>
      </c>
      <c r="L888" s="47"/>
      <c r="M888" s="47"/>
      <c r="N888" s="47"/>
      <c r="O888" s="47"/>
      <c r="P888" s="53"/>
      <c r="Q888" s="53"/>
      <c r="R888" s="53"/>
      <c r="S888" s="53"/>
      <c r="T888" s="48">
        <v>749.89</v>
      </c>
      <c r="U888" s="98"/>
      <c r="V888" s="98">
        <v>0.2205</v>
      </c>
      <c r="W888" s="98"/>
      <c r="X888" s="98">
        <v>0.2205</v>
      </c>
      <c r="Y888" s="233"/>
      <c r="Z888" s="48">
        <v>-0.15</v>
      </c>
      <c r="AA888" s="48"/>
      <c r="AB888" s="48">
        <v>0</v>
      </c>
      <c r="AC888" s="48">
        <v>0</v>
      </c>
      <c r="AD888" s="48">
        <v>0</v>
      </c>
      <c r="AE888" s="48">
        <v>0</v>
      </c>
      <c r="AF888" s="48"/>
      <c r="AG888" s="49" t="s">
        <v>5921</v>
      </c>
      <c r="AH888" s="98">
        <v>2.2500000000000001E-35</v>
      </c>
      <c r="AI888" s="98"/>
      <c r="AJ888" s="483">
        <f t="shared" si="183"/>
        <v>-33.036383808201286</v>
      </c>
      <c r="AK888" s="483"/>
      <c r="AL888" s="483">
        <f t="shared" si="182"/>
        <v>-33.036383808201286</v>
      </c>
      <c r="AM888" s="483"/>
      <c r="AN888" s="226"/>
      <c r="AO888" s="484"/>
      <c r="AP888" s="484"/>
      <c r="AQ888" s="226" t="s">
        <v>6311</v>
      </c>
      <c r="AR888" s="226" t="s">
        <v>6311</v>
      </c>
      <c r="AS888" s="224"/>
      <c r="AT888" s="50" t="s">
        <v>266</v>
      </c>
      <c r="AU888" s="48">
        <v>6</v>
      </c>
      <c r="AV888" s="48">
        <v>120</v>
      </c>
      <c r="AW888" s="48">
        <v>114</v>
      </c>
      <c r="AX888" s="48">
        <v>28</v>
      </c>
      <c r="AY888" s="48" t="s">
        <v>8728</v>
      </c>
      <c r="AZ888" s="48" t="s">
        <v>1563</v>
      </c>
      <c r="BA888" s="48">
        <v>32</v>
      </c>
      <c r="BB888" s="47" t="s">
        <v>2485</v>
      </c>
      <c r="BC888" s="47" t="s">
        <v>8726</v>
      </c>
      <c r="BD888" s="47" t="s">
        <v>8374</v>
      </c>
      <c r="BE888" s="48" t="s">
        <v>2449</v>
      </c>
      <c r="BF888" s="48" t="s">
        <v>272</v>
      </c>
      <c r="BG888" s="48" t="s">
        <v>272</v>
      </c>
      <c r="BH888" s="48" t="s">
        <v>2486</v>
      </c>
      <c r="BI888" s="98">
        <v>4.7992959999999998E-3</v>
      </c>
      <c r="BJ888" s="98">
        <v>47.992960000000004</v>
      </c>
      <c r="BK888" s="48"/>
      <c r="BL888" s="487">
        <v>52542.721314857561</v>
      </c>
      <c r="BM888" s="47" t="s">
        <v>2487</v>
      </c>
      <c r="BN888" s="48"/>
      <c r="BO888" s="48"/>
      <c r="BP888" s="48"/>
      <c r="BQ888" s="48"/>
      <c r="BR888" s="47" t="e">
        <v>#VALUE!</v>
      </c>
      <c r="BS888" s="48"/>
      <c r="BT888" s="48"/>
      <c r="BU888" s="228"/>
      <c r="BV888" s="48"/>
      <c r="BW888" s="48"/>
      <c r="BX888" s="48"/>
      <c r="BY888" s="48"/>
      <c r="BZ888" s="48"/>
      <c r="CA888" s="48"/>
      <c r="CB888" s="48"/>
      <c r="CC888" s="48"/>
      <c r="CD888" s="48"/>
      <c r="CE888" s="48"/>
      <c r="CF888" s="48"/>
      <c r="CG888" s="48"/>
      <c r="CH888" s="48"/>
      <c r="CI888" s="98"/>
      <c r="CJ888" s="98"/>
      <c r="CK888" s="49">
        <f t="shared" si="180"/>
        <v>1094.8005981472606</v>
      </c>
      <c r="CL888" s="229"/>
      <c r="CM888" s="229"/>
      <c r="CN888" s="229"/>
      <c r="CO888" s="47" t="s">
        <v>2488</v>
      </c>
      <c r="CP888" s="500" t="s">
        <v>2489</v>
      </c>
      <c r="CQ888" s="224" t="s">
        <v>272</v>
      </c>
      <c r="CR888" s="224"/>
      <c r="CS888" s="230" t="s">
        <v>539</v>
      </c>
      <c r="CT888" s="230"/>
      <c r="CU888" s="230"/>
      <c r="CV888" s="335">
        <f t="shared" si="181"/>
        <v>4.5944238488311619E-3</v>
      </c>
      <c r="CW888" s="230">
        <f t="shared" si="179"/>
        <v>0</v>
      </c>
      <c r="CX888" s="336"/>
      <c r="CY888" s="230" t="s">
        <v>5921</v>
      </c>
    </row>
    <row r="889" spans="1:103" ht="11.25" customHeight="1" x14ac:dyDescent="0.2">
      <c r="A889" s="72">
        <v>1254</v>
      </c>
      <c r="B889" s="224">
        <v>1246</v>
      </c>
      <c r="C889" s="46" t="s">
        <v>7373</v>
      </c>
      <c r="D889" s="46"/>
      <c r="E889" s="114"/>
      <c r="F889" s="114" t="s">
        <v>3426</v>
      </c>
      <c r="G889" s="225">
        <v>3871996</v>
      </c>
      <c r="H889" s="47" t="s">
        <v>3427</v>
      </c>
      <c r="I889" s="47" t="s">
        <v>3427</v>
      </c>
      <c r="J889" s="47" t="s">
        <v>3428</v>
      </c>
      <c r="K889" s="47" t="s">
        <v>426</v>
      </c>
      <c r="L889" s="47"/>
      <c r="M889" s="47"/>
      <c r="N889" s="47"/>
      <c r="O889" s="47"/>
      <c r="P889" s="53"/>
      <c r="Q889" s="53"/>
      <c r="R889" s="53"/>
      <c r="S889" s="53"/>
      <c r="T889" s="48">
        <v>400.12</v>
      </c>
      <c r="U889" s="98"/>
      <c r="V889" s="98">
        <v>6.1740000000000004</v>
      </c>
      <c r="W889" s="98">
        <v>56518.452235445642</v>
      </c>
      <c r="X889" s="98">
        <v>56518.452235445642</v>
      </c>
      <c r="Y889" s="233">
        <v>0.85</v>
      </c>
      <c r="Z889" s="48">
        <v>3.16</v>
      </c>
      <c r="AA889" s="48"/>
      <c r="AB889" s="48">
        <v>1.18</v>
      </c>
      <c r="AC889" s="48">
        <v>0.5121</v>
      </c>
      <c r="AD889" s="48">
        <v>2.96</v>
      </c>
      <c r="AE889" s="48">
        <v>5.25</v>
      </c>
      <c r="AF889" s="48">
        <f t="shared" ref="AF889:AF913" si="184">IF(AA889=0,AD889,AA889)</f>
        <v>2.96</v>
      </c>
      <c r="AG889" s="49">
        <v>0.66</v>
      </c>
      <c r="AH889" s="98">
        <v>3.97E-4</v>
      </c>
      <c r="AI889" s="98"/>
      <c r="AJ889" s="483">
        <f t="shared" si="183"/>
        <v>-1.7897758195495366</v>
      </c>
      <c r="AK889" s="483"/>
      <c r="AL889" s="483">
        <f t="shared" si="182"/>
        <v>-1.7897758195495366</v>
      </c>
      <c r="AM889" s="483">
        <v>-5.0072799999999997</v>
      </c>
      <c r="AN889" s="226"/>
      <c r="AO889" s="484">
        <v>-3.34</v>
      </c>
      <c r="AP889" s="484"/>
      <c r="AQ889" s="48" t="s">
        <v>6311</v>
      </c>
      <c r="AR889" s="48" t="s">
        <v>6311</v>
      </c>
      <c r="AS889" s="227"/>
      <c r="AT889" s="50" t="s">
        <v>266</v>
      </c>
      <c r="AU889" s="48">
        <v>6</v>
      </c>
      <c r="AV889" s="48">
        <v>120</v>
      </c>
      <c r="AW889" s="48">
        <v>114</v>
      </c>
      <c r="AX889" s="48">
        <v>28</v>
      </c>
      <c r="AY889" s="48" t="s">
        <v>8728</v>
      </c>
      <c r="AZ889" s="48" t="s">
        <v>1563</v>
      </c>
      <c r="BA889" s="48">
        <v>32</v>
      </c>
      <c r="BB889" s="47" t="s">
        <v>2485</v>
      </c>
      <c r="BC889" s="47" t="s">
        <v>8726</v>
      </c>
      <c r="BD889" s="47" t="s">
        <v>8374</v>
      </c>
      <c r="BE889" s="48" t="s">
        <v>2449</v>
      </c>
      <c r="BF889" s="48" t="s">
        <v>272</v>
      </c>
      <c r="BG889" s="48" t="s">
        <v>272</v>
      </c>
      <c r="BH889" s="48" t="s">
        <v>2486</v>
      </c>
      <c r="BI889" s="98">
        <v>2.5607679999999997E-3</v>
      </c>
      <c r="BJ889" s="98">
        <v>25.607680000000002</v>
      </c>
      <c r="BK889" s="48"/>
      <c r="BL889" s="487">
        <v>29.853431627745167</v>
      </c>
      <c r="BM889" s="47" t="s">
        <v>2487</v>
      </c>
      <c r="BN889" s="48"/>
      <c r="BO889" s="48"/>
      <c r="BP889" s="48"/>
      <c r="BQ889" s="48"/>
      <c r="BR889" s="47" t="e">
        <v>#VALUE!</v>
      </c>
      <c r="BS889" s="48"/>
      <c r="BT889" s="48"/>
      <c r="BU889" s="228">
        <v>25.607680000000002</v>
      </c>
      <c r="BV889" s="48"/>
      <c r="BW889" s="48"/>
      <c r="BX889" s="48"/>
      <c r="BY889" s="48"/>
      <c r="BZ889" s="48"/>
      <c r="CA889" s="48"/>
      <c r="CB889" s="48"/>
      <c r="CC889" s="48"/>
      <c r="CD889" s="48"/>
      <c r="CE889" s="48"/>
      <c r="CF889" s="48"/>
      <c r="CG889" s="48"/>
      <c r="CH889" s="48"/>
      <c r="CI889" s="98"/>
      <c r="CJ889" s="98"/>
      <c r="CK889" s="49">
        <f t="shared" si="180"/>
        <v>1.1657999329789017</v>
      </c>
      <c r="CL889" s="229"/>
      <c r="CM889" s="229"/>
      <c r="CN889" s="229"/>
      <c r="CO889" s="47" t="s">
        <v>2488</v>
      </c>
      <c r="CP889" s="500" t="s">
        <v>2489</v>
      </c>
      <c r="CQ889" s="224" t="s">
        <v>272</v>
      </c>
      <c r="CR889" s="224"/>
      <c r="CS889" s="230" t="s">
        <v>539</v>
      </c>
      <c r="CT889" s="230"/>
      <c r="CU889" s="230"/>
      <c r="CV889" s="335">
        <f t="shared" si="181"/>
        <v>2207.0899134730535</v>
      </c>
      <c r="CW889" s="230">
        <f t="shared" si="179"/>
        <v>1</v>
      </c>
      <c r="CX889" s="336"/>
      <c r="CY889" s="230" t="s">
        <v>5921</v>
      </c>
    </row>
    <row r="890" spans="1:103" ht="11.25" customHeight="1" x14ac:dyDescent="0.2">
      <c r="A890" s="72">
        <v>1255</v>
      </c>
      <c r="B890" s="224">
        <v>1714</v>
      </c>
      <c r="C890" s="46" t="s">
        <v>7374</v>
      </c>
      <c r="D890" s="46"/>
      <c r="E890" s="114"/>
      <c r="F890" s="114" t="s">
        <v>4981</v>
      </c>
      <c r="G890" s="225">
        <v>4098719</v>
      </c>
      <c r="H890" s="47" t="s">
        <v>4982</v>
      </c>
      <c r="I890" s="47" t="s">
        <v>4982</v>
      </c>
      <c r="J890" s="47" t="s">
        <v>4983</v>
      </c>
      <c r="K890" s="47" t="s">
        <v>426</v>
      </c>
      <c r="L890" s="47"/>
      <c r="M890" s="47"/>
      <c r="N890" s="47"/>
      <c r="O890" s="47"/>
      <c r="P890" s="53"/>
      <c r="Q890" s="53"/>
      <c r="R890" s="53"/>
      <c r="S890" s="53"/>
      <c r="T890" s="48">
        <v>222.28</v>
      </c>
      <c r="U890" s="98"/>
      <c r="V890" s="98">
        <v>2.9279999999999999</v>
      </c>
      <c r="W890" s="98">
        <v>30.683181433592914</v>
      </c>
      <c r="X890" s="98">
        <v>30.683181433592914</v>
      </c>
      <c r="Y890" s="233">
        <v>7</v>
      </c>
      <c r="Z890" s="48">
        <v>4.75</v>
      </c>
      <c r="AA890" s="48"/>
      <c r="AB890" s="48">
        <v>3.52</v>
      </c>
      <c r="AC890" s="48">
        <v>7.8899999999999998E-2</v>
      </c>
      <c r="AD890" s="48">
        <v>4.47</v>
      </c>
      <c r="AE890" s="48">
        <v>4.67</v>
      </c>
      <c r="AF890" s="48">
        <f t="shared" si="184"/>
        <v>4.47</v>
      </c>
      <c r="AG890" s="49">
        <v>2.19</v>
      </c>
      <c r="AH890" s="98">
        <v>6.5699999999999998E-5</v>
      </c>
      <c r="AI890" s="98"/>
      <c r="AJ890" s="483">
        <f t="shared" si="183"/>
        <v>-2.5710009567528709</v>
      </c>
      <c r="AK890" s="483"/>
      <c r="AL890" s="483">
        <f t="shared" si="182"/>
        <v>-2.5710009567528709</v>
      </c>
      <c r="AM890" s="483">
        <v>-8.2058300000000006</v>
      </c>
      <c r="AN890" s="226">
        <v>-11.8</v>
      </c>
      <c r="AO890" s="484"/>
      <c r="AP890" s="484"/>
      <c r="AQ890" s="226" t="s">
        <v>6311</v>
      </c>
      <c r="AR890" s="226" t="s">
        <v>6311</v>
      </c>
      <c r="AS890" s="224"/>
      <c r="AT890" s="50" t="s">
        <v>266</v>
      </c>
      <c r="AU890" s="48">
        <v>6</v>
      </c>
      <c r="AV890" s="48">
        <v>120</v>
      </c>
      <c r="AW890" s="48">
        <v>114</v>
      </c>
      <c r="AX890" s="48">
        <v>28</v>
      </c>
      <c r="AY890" s="48" t="s">
        <v>8728</v>
      </c>
      <c r="AZ890" s="48" t="s">
        <v>1563</v>
      </c>
      <c r="BA890" s="48">
        <v>32</v>
      </c>
      <c r="BB890" s="47" t="s">
        <v>2485</v>
      </c>
      <c r="BC890" s="47" t="s">
        <v>8726</v>
      </c>
      <c r="BD890" s="47" t="s">
        <v>8374</v>
      </c>
      <c r="BE890" s="48" t="s">
        <v>2449</v>
      </c>
      <c r="BF890" s="48" t="s">
        <v>272</v>
      </c>
      <c r="BG890" s="48" t="s">
        <v>272</v>
      </c>
      <c r="BH890" s="48" t="s">
        <v>2486</v>
      </c>
      <c r="BI890" s="98">
        <v>1.4225919999999999E-3</v>
      </c>
      <c r="BJ890" s="98">
        <v>14.22592</v>
      </c>
      <c r="BK890" s="48"/>
      <c r="BL890" s="487">
        <v>0.61904951561590926</v>
      </c>
      <c r="BM890" s="47" t="s">
        <v>2487</v>
      </c>
      <c r="BN890" s="48"/>
      <c r="BO890" s="48"/>
      <c r="BP890" s="48"/>
      <c r="BQ890" s="48"/>
      <c r="BR890" s="47" t="e">
        <v>#VALUE!</v>
      </c>
      <c r="BS890" s="48"/>
      <c r="BT890" s="48"/>
      <c r="BU890" s="228"/>
      <c r="BV890" s="48"/>
      <c r="BW890" s="48"/>
      <c r="BX890" s="48"/>
      <c r="BY890" s="48"/>
      <c r="BZ890" s="48"/>
      <c r="CA890" s="48"/>
      <c r="CB890" s="48"/>
      <c r="CC890" s="48"/>
      <c r="CD890" s="48"/>
      <c r="CE890" s="48"/>
      <c r="CF890" s="48"/>
      <c r="CG890" s="48"/>
      <c r="CH890" s="48"/>
      <c r="CI890" s="98"/>
      <c r="CJ890" s="98"/>
      <c r="CK890" s="49">
        <f t="shared" si="180"/>
        <v>4.3515605009441162E-2</v>
      </c>
      <c r="CL890" s="229"/>
      <c r="CM890" s="229"/>
      <c r="CN890" s="229"/>
      <c r="CO890" s="47" t="s">
        <v>2488</v>
      </c>
      <c r="CP890" s="500" t="s">
        <v>2489</v>
      </c>
      <c r="CQ890" s="224" t="s">
        <v>272</v>
      </c>
      <c r="CR890" s="224"/>
      <c r="CS890" s="230" t="s">
        <v>539</v>
      </c>
      <c r="CT890" s="230"/>
      <c r="CU890" s="230"/>
      <c r="CV890" s="335">
        <f t="shared" si="181"/>
        <v>2.1568504134420068</v>
      </c>
      <c r="CW890" s="230">
        <f t="shared" si="179"/>
        <v>1</v>
      </c>
      <c r="CX890" s="336"/>
      <c r="CY890" s="230" t="s">
        <v>6351</v>
      </c>
    </row>
    <row r="891" spans="1:103" ht="11.25" customHeight="1" x14ac:dyDescent="0.2">
      <c r="A891" s="72">
        <v>1256</v>
      </c>
      <c r="B891" s="224">
        <v>884</v>
      </c>
      <c r="C891" s="46" t="s">
        <v>7375</v>
      </c>
      <c r="D891" s="46"/>
      <c r="E891" s="114"/>
      <c r="F891" s="114" t="s">
        <v>2515</v>
      </c>
      <c r="G891" s="225">
        <v>4180238</v>
      </c>
      <c r="H891" s="47" t="s">
        <v>2516</v>
      </c>
      <c r="I891" s="47" t="s">
        <v>2516</v>
      </c>
      <c r="J891" s="47" t="s">
        <v>2517</v>
      </c>
      <c r="K891" s="47" t="s">
        <v>426</v>
      </c>
      <c r="L891" s="47" t="s">
        <v>6069</v>
      </c>
      <c r="M891" s="47" t="s">
        <v>5960</v>
      </c>
      <c r="N891" s="47"/>
      <c r="O891" s="47"/>
      <c r="P891" s="53"/>
      <c r="Q891" s="53"/>
      <c r="R891" s="53"/>
      <c r="S891" s="53"/>
      <c r="T891" s="48">
        <v>148.19999999999999</v>
      </c>
      <c r="U891" s="98">
        <v>111</v>
      </c>
      <c r="V891" s="98">
        <v>98.68</v>
      </c>
      <c r="W891" s="98">
        <v>677.40469700924484</v>
      </c>
      <c r="X891" s="98">
        <v>111</v>
      </c>
      <c r="Y891" s="233">
        <v>7</v>
      </c>
      <c r="Z891" s="48">
        <v>3.39</v>
      </c>
      <c r="AA891" s="48"/>
      <c r="AB891" s="48">
        <v>3.06</v>
      </c>
      <c r="AC891" s="48">
        <v>0.87809999999999999</v>
      </c>
      <c r="AD891" s="48">
        <v>3.08</v>
      </c>
      <c r="AE891" s="48">
        <v>3.17</v>
      </c>
      <c r="AF891" s="48">
        <f t="shared" si="184"/>
        <v>3.08</v>
      </c>
      <c r="AG891" s="49">
        <v>2.96</v>
      </c>
      <c r="AH891" s="98">
        <v>2.5599999999999999E-4</v>
      </c>
      <c r="AI891" s="98"/>
      <c r="AJ891" s="483">
        <f t="shared" si="183"/>
        <v>-1.9803263610008022</v>
      </c>
      <c r="AK891" s="483"/>
      <c r="AL891" s="483">
        <f t="shared" si="182"/>
        <v>-1.9803263610008022</v>
      </c>
      <c r="AM891" s="483">
        <v>-4.7366999999999999</v>
      </c>
      <c r="AN891" s="226">
        <v>-2.11</v>
      </c>
      <c r="AO891" s="484"/>
      <c r="AP891" s="484"/>
      <c r="AQ891" s="48" t="s">
        <v>6311</v>
      </c>
      <c r="AR891" s="48" t="s">
        <v>6311</v>
      </c>
      <c r="AS891" s="227"/>
      <c r="AT891" s="50" t="s">
        <v>266</v>
      </c>
      <c r="AU891" s="48">
        <v>6</v>
      </c>
      <c r="AV891" s="48">
        <v>120</v>
      </c>
      <c r="AW891" s="48">
        <v>114</v>
      </c>
      <c r="AX891" s="48">
        <v>28</v>
      </c>
      <c r="AY891" s="48" t="s">
        <v>8728</v>
      </c>
      <c r="AZ891" s="48" t="s">
        <v>1563</v>
      </c>
      <c r="BA891" s="48">
        <v>32</v>
      </c>
      <c r="BB891" s="47" t="s">
        <v>2485</v>
      </c>
      <c r="BC891" s="47" t="s">
        <v>8726</v>
      </c>
      <c r="BD891" s="47" t="s">
        <v>8374</v>
      </c>
      <c r="BE891" s="48" t="s">
        <v>2449</v>
      </c>
      <c r="BF891" s="48" t="s">
        <v>272</v>
      </c>
      <c r="BG891" s="48" t="s">
        <v>272</v>
      </c>
      <c r="BH891" s="48" t="s">
        <v>2486</v>
      </c>
      <c r="BI891" s="98">
        <v>9.4847999999999992E-4</v>
      </c>
      <c r="BJ891" s="98">
        <v>9.4847999999999999</v>
      </c>
      <c r="BK891" s="48"/>
      <c r="BL891" s="487">
        <v>6.8720957766480595</v>
      </c>
      <c r="BM891" s="47" t="s">
        <v>2487</v>
      </c>
      <c r="BN891" s="48"/>
      <c r="BO891" s="48"/>
      <c r="BP891" s="48"/>
      <c r="BQ891" s="48"/>
      <c r="BR891" s="47" t="e">
        <v>#VALUE!</v>
      </c>
      <c r="BS891" s="48"/>
      <c r="BT891" s="48"/>
      <c r="BU891" s="228">
        <v>9.4847999999999981E-3</v>
      </c>
      <c r="BV891" s="48"/>
      <c r="BW891" s="48"/>
      <c r="BX891" s="48"/>
      <c r="BY891" s="48"/>
      <c r="BZ891" s="48"/>
      <c r="CA891" s="48"/>
      <c r="CB891" s="48"/>
      <c r="CC891" s="48"/>
      <c r="CD891" s="48"/>
      <c r="CE891" s="48"/>
      <c r="CF891" s="48"/>
      <c r="CG891" s="48"/>
      <c r="CH891" s="48"/>
      <c r="CI891" s="98"/>
      <c r="CJ891" s="98"/>
      <c r="CK891" s="49">
        <f t="shared" si="180"/>
        <v>0.72453776322622088</v>
      </c>
      <c r="CL891" s="229"/>
      <c r="CM891" s="229"/>
      <c r="CN891" s="229"/>
      <c r="CO891" s="47" t="s">
        <v>2488</v>
      </c>
      <c r="CP891" s="500" t="s">
        <v>2489</v>
      </c>
      <c r="CQ891" s="224">
        <v>0.88845296839555998</v>
      </c>
      <c r="CR891" s="224">
        <f>10^(CJ891-CQ891)</f>
        <v>0.12928467011173891</v>
      </c>
      <c r="CS891" s="230" t="s">
        <v>539</v>
      </c>
      <c r="CT891" s="230"/>
      <c r="CU891" s="230"/>
      <c r="CV891" s="335">
        <f t="shared" si="181"/>
        <v>11.702935222672066</v>
      </c>
      <c r="CW891" s="230">
        <f t="shared" si="179"/>
        <v>1</v>
      </c>
      <c r="CX891" s="336"/>
      <c r="CY891" s="230" t="s">
        <v>6351</v>
      </c>
    </row>
    <row r="892" spans="1:103" ht="11.25" customHeight="1" x14ac:dyDescent="0.2">
      <c r="A892" s="72">
        <v>1257</v>
      </c>
      <c r="B892" s="224">
        <v>1557</v>
      </c>
      <c r="C892" s="46" t="s">
        <v>7376</v>
      </c>
      <c r="D892" s="46"/>
      <c r="E892" s="114"/>
      <c r="F892" s="114" t="s">
        <v>4696</v>
      </c>
      <c r="G892" s="225">
        <v>4291638</v>
      </c>
      <c r="H892" s="47" t="s">
        <v>4697</v>
      </c>
      <c r="I892" s="47" t="s">
        <v>8090</v>
      </c>
      <c r="J892" s="47" t="s">
        <v>4698</v>
      </c>
      <c r="K892" s="47" t="s">
        <v>4699</v>
      </c>
      <c r="L892" s="47" t="s">
        <v>279</v>
      </c>
      <c r="M892" s="47" t="s">
        <v>4700</v>
      </c>
      <c r="N892" s="47"/>
      <c r="O892" s="47" t="s">
        <v>281</v>
      </c>
      <c r="P892" s="53"/>
      <c r="Q892" s="53"/>
      <c r="R892" s="53"/>
      <c r="S892" s="53"/>
      <c r="T892" s="48">
        <v>285.69</v>
      </c>
      <c r="U892" s="98"/>
      <c r="V892" s="98">
        <v>699.8</v>
      </c>
      <c r="W892" s="98">
        <v>26055.237669558977</v>
      </c>
      <c r="X892" s="98">
        <v>26055.237669558977</v>
      </c>
      <c r="Y892" s="233">
        <v>7.16</v>
      </c>
      <c r="Z892" s="48">
        <v>-7.0000000000000007E-2</v>
      </c>
      <c r="AA892" s="48">
        <v>0.02</v>
      </c>
      <c r="AB892" s="48">
        <v>0.01</v>
      </c>
      <c r="AC892" s="48">
        <v>0.85909999999999997</v>
      </c>
      <c r="AD892" s="48">
        <v>0.01</v>
      </c>
      <c r="AE892" s="48">
        <v>0.02</v>
      </c>
      <c r="AF892" s="48">
        <f t="shared" si="184"/>
        <v>0.02</v>
      </c>
      <c r="AG892" s="49">
        <v>-0.4</v>
      </c>
      <c r="AH892" s="98">
        <v>2.2499999999999998E-21</v>
      </c>
      <c r="AI892" s="98"/>
      <c r="AJ892" s="483">
        <f t="shared" si="183"/>
        <v>-19.03638380820129</v>
      </c>
      <c r="AK892" s="483"/>
      <c r="AL892" s="483">
        <f t="shared" si="182"/>
        <v>-19.03638380820129</v>
      </c>
      <c r="AM892" s="483">
        <v>-22.093509999999998</v>
      </c>
      <c r="AN892" s="226">
        <v>-16</v>
      </c>
      <c r="AO892" s="484">
        <v>13.75</v>
      </c>
      <c r="AP892" s="484">
        <v>1.25</v>
      </c>
      <c r="AQ892" s="48" t="s">
        <v>6311</v>
      </c>
      <c r="AR892" s="48" t="s">
        <v>6311</v>
      </c>
      <c r="AS892" s="227"/>
      <c r="AT892" s="50" t="s">
        <v>266</v>
      </c>
      <c r="AU892" s="48">
        <v>6</v>
      </c>
      <c r="AV892" s="48">
        <v>120</v>
      </c>
      <c r="AW892" s="48">
        <v>114</v>
      </c>
      <c r="AX892" s="48">
        <v>28</v>
      </c>
      <c r="AY892" s="48" t="s">
        <v>8728</v>
      </c>
      <c r="AZ892" s="48" t="s">
        <v>1563</v>
      </c>
      <c r="BA892" s="48">
        <v>32</v>
      </c>
      <c r="BB892" s="47" t="s">
        <v>2485</v>
      </c>
      <c r="BC892" s="47" t="s">
        <v>8726</v>
      </c>
      <c r="BD892" s="47" t="s">
        <v>8374</v>
      </c>
      <c r="BE892" s="48" t="s">
        <v>2449</v>
      </c>
      <c r="BF892" s="48" t="s">
        <v>272</v>
      </c>
      <c r="BG892" s="48" t="s">
        <v>272</v>
      </c>
      <c r="BH892" s="48" t="s">
        <v>2486</v>
      </c>
      <c r="BI892" s="98">
        <v>1.8284159999999998E-3</v>
      </c>
      <c r="BJ892" s="98">
        <v>18.28416</v>
      </c>
      <c r="BK892" s="48"/>
      <c r="BL892" s="487">
        <v>16965.319348623452</v>
      </c>
      <c r="BM892" s="47" t="s">
        <v>2487</v>
      </c>
      <c r="BN892" s="48"/>
      <c r="BO892" s="48"/>
      <c r="BP892" s="48"/>
      <c r="BQ892" s="48"/>
      <c r="BR892" s="47" t="e">
        <v>#VALUE!</v>
      </c>
      <c r="BS892" s="48"/>
      <c r="BT892" s="48"/>
      <c r="BU892" s="228"/>
      <c r="BV892" s="48"/>
      <c r="BW892" s="48"/>
      <c r="BX892" s="48"/>
      <c r="BY892" s="48"/>
      <c r="BZ892" s="48"/>
      <c r="CA892" s="48"/>
      <c r="CB892" s="48"/>
      <c r="CC892" s="48"/>
      <c r="CD892" s="48"/>
      <c r="CE892" s="48"/>
      <c r="CF892" s="48"/>
      <c r="CG892" s="48"/>
      <c r="CH892" s="48"/>
      <c r="CI892" s="98"/>
      <c r="CJ892" s="98"/>
      <c r="CK892" s="49">
        <f t="shared" si="180"/>
        <v>927.8697708083638</v>
      </c>
      <c r="CL892" s="229"/>
      <c r="CM892" s="229"/>
      <c r="CN892" s="229"/>
      <c r="CO892" s="47" t="s">
        <v>2488</v>
      </c>
      <c r="CP892" s="500" t="s">
        <v>2489</v>
      </c>
      <c r="CQ892" s="224" t="s">
        <v>272</v>
      </c>
      <c r="CR892" s="224"/>
      <c r="CS892" s="230" t="s">
        <v>539</v>
      </c>
      <c r="CT892" s="230"/>
      <c r="CU892" s="230"/>
      <c r="CV892" s="335">
        <f t="shared" si="181"/>
        <v>1425.0169364936085</v>
      </c>
      <c r="CW892" s="230">
        <f t="shared" si="179"/>
        <v>1</v>
      </c>
      <c r="CX892" s="336"/>
      <c r="CY892" s="230" t="s">
        <v>5921</v>
      </c>
    </row>
    <row r="893" spans="1:103" ht="11.25" customHeight="1" x14ac:dyDescent="0.2">
      <c r="A893" s="72">
        <v>1258</v>
      </c>
      <c r="B893" s="224">
        <v>1747</v>
      </c>
      <c r="C893" s="46" t="s">
        <v>7377</v>
      </c>
      <c r="D893" s="46"/>
      <c r="E893" s="114"/>
      <c r="F893" s="114" t="s">
        <v>3941</v>
      </c>
      <c r="G893" s="225">
        <v>4376185</v>
      </c>
      <c r="H893" s="47" t="s">
        <v>3942</v>
      </c>
      <c r="I893" s="47" t="s">
        <v>3942</v>
      </c>
      <c r="J893" s="47" t="s">
        <v>5038</v>
      </c>
      <c r="K893" s="47" t="s">
        <v>357</v>
      </c>
      <c r="L893" s="47"/>
      <c r="M893" s="47"/>
      <c r="N893" s="47"/>
      <c r="O893" s="47"/>
      <c r="P893" s="53"/>
      <c r="Q893" s="53"/>
      <c r="R893" s="53"/>
      <c r="S893" s="53"/>
      <c r="T893" s="48">
        <v>180.16</v>
      </c>
      <c r="U893" s="98"/>
      <c r="V893" s="98">
        <v>5958</v>
      </c>
      <c r="W893" s="98">
        <v>5697.1594325593505</v>
      </c>
      <c r="X893" s="98">
        <v>5697.1594325593505</v>
      </c>
      <c r="Y893" s="233">
        <v>2.44</v>
      </c>
      <c r="Z893" s="48">
        <v>1.37</v>
      </c>
      <c r="AA893" s="48">
        <v>1.1299999999999999</v>
      </c>
      <c r="AB893" s="48">
        <v>1.62</v>
      </c>
      <c r="AC893" s="48">
        <v>0.84399999999999997</v>
      </c>
      <c r="AD893" s="48">
        <v>1.49</v>
      </c>
      <c r="AE893" s="48">
        <v>1.1299999999999999</v>
      </c>
      <c r="AF893" s="48">
        <f t="shared" si="184"/>
        <v>1.1299999999999999</v>
      </c>
      <c r="AG893" s="49">
        <v>2.4</v>
      </c>
      <c r="AH893" s="98">
        <v>6.9899999999999996E-10</v>
      </c>
      <c r="AI893" s="98"/>
      <c r="AJ893" s="483">
        <f t="shared" si="183"/>
        <v>-7.54408915056697</v>
      </c>
      <c r="AK893" s="483"/>
      <c r="AL893" s="483">
        <f t="shared" si="182"/>
        <v>-7.54408915056697</v>
      </c>
      <c r="AM893" s="483">
        <v>-10.548029999999999</v>
      </c>
      <c r="AN893" s="226">
        <v>-5.42</v>
      </c>
      <c r="AO893" s="484">
        <v>3.32</v>
      </c>
      <c r="AP893" s="484"/>
      <c r="AQ893" s="226" t="s">
        <v>6311</v>
      </c>
      <c r="AR893" s="226" t="s">
        <v>6312</v>
      </c>
      <c r="AS893" s="224"/>
      <c r="AT893" s="50" t="s">
        <v>266</v>
      </c>
      <c r="AU893" s="48">
        <v>6</v>
      </c>
      <c r="AV893" s="48">
        <v>120</v>
      </c>
      <c r="AW893" s="48">
        <v>114</v>
      </c>
      <c r="AX893" s="48">
        <v>28</v>
      </c>
      <c r="AY893" s="48" t="s">
        <v>8728</v>
      </c>
      <c r="AZ893" s="48" t="s">
        <v>1563</v>
      </c>
      <c r="BA893" s="48">
        <v>32</v>
      </c>
      <c r="BB893" s="47" t="s">
        <v>2485</v>
      </c>
      <c r="BC893" s="47" t="s">
        <v>8726</v>
      </c>
      <c r="BD893" s="47" t="s">
        <v>8374</v>
      </c>
      <c r="BE893" s="48" t="s">
        <v>2449</v>
      </c>
      <c r="BF893" s="48" t="s">
        <v>272</v>
      </c>
      <c r="BG893" s="48" t="s">
        <v>272</v>
      </c>
      <c r="BH893" s="48" t="s">
        <v>2486</v>
      </c>
      <c r="BI893" s="98">
        <v>1.1530239999999999E-3</v>
      </c>
      <c r="BJ893" s="98">
        <v>11.530239999999999</v>
      </c>
      <c r="BK893" s="48"/>
      <c r="BL893" s="487">
        <v>544.579605733417</v>
      </c>
      <c r="BM893" s="47" t="s">
        <v>2487</v>
      </c>
      <c r="BN893" s="48"/>
      <c r="BO893" s="48"/>
      <c r="BP893" s="48"/>
      <c r="BQ893" s="48"/>
      <c r="BR893" s="47" t="e">
        <v>#VALUE!</v>
      </c>
      <c r="BS893" s="48"/>
      <c r="BT893" s="48"/>
      <c r="BU893" s="228"/>
      <c r="BV893" s="48"/>
      <c r="BW893" s="48"/>
      <c r="BX893" s="48"/>
      <c r="BY893" s="48"/>
      <c r="BZ893" s="48"/>
      <c r="CA893" s="48"/>
      <c r="CB893" s="48"/>
      <c r="CC893" s="48"/>
      <c r="CD893" s="48"/>
      <c r="CE893" s="48"/>
      <c r="CF893" s="48"/>
      <c r="CG893" s="48"/>
      <c r="CH893" s="48"/>
      <c r="CI893" s="98"/>
      <c r="CJ893" s="98"/>
      <c r="CK893" s="49">
        <f t="shared" si="180"/>
        <v>47.230552506575492</v>
      </c>
      <c r="CL893" s="229"/>
      <c r="CM893" s="229"/>
      <c r="CN893" s="229"/>
      <c r="CO893" s="47" t="s">
        <v>2488</v>
      </c>
      <c r="CP893" s="500" t="s">
        <v>2489</v>
      </c>
      <c r="CQ893" s="224" t="s">
        <v>272</v>
      </c>
      <c r="CR893" s="224"/>
      <c r="CS893" s="230" t="s">
        <v>539</v>
      </c>
      <c r="CT893" s="230"/>
      <c r="CU893" s="230"/>
      <c r="CV893" s="335">
        <f t="shared" si="181"/>
        <v>494.10588440130914</v>
      </c>
      <c r="CW893" s="230">
        <f t="shared" si="179"/>
        <v>1</v>
      </c>
      <c r="CX893" s="336"/>
      <c r="CY893" s="230" t="s">
        <v>5921</v>
      </c>
    </row>
    <row r="894" spans="1:103" ht="11.25" customHeight="1" x14ac:dyDescent="0.2">
      <c r="A894" s="72">
        <v>1260</v>
      </c>
      <c r="B894" s="224">
        <v>1866</v>
      </c>
      <c r="C894" s="46" t="s">
        <v>7379</v>
      </c>
      <c r="D894" s="46"/>
      <c r="E894" s="114"/>
      <c r="F894" s="114" t="s">
        <v>5303</v>
      </c>
      <c r="G894" s="225">
        <v>4418262</v>
      </c>
      <c r="H894" s="47" t="s">
        <v>5304</v>
      </c>
      <c r="I894" s="47" t="s">
        <v>8091</v>
      </c>
      <c r="J894" s="47" t="s">
        <v>5305</v>
      </c>
      <c r="K894" s="47" t="s">
        <v>5306</v>
      </c>
      <c r="L894" s="47"/>
      <c r="M894" s="47"/>
      <c r="N894" s="47"/>
      <c r="O894" s="47"/>
      <c r="P894" s="53"/>
      <c r="Q894" s="53"/>
      <c r="R894" s="53"/>
      <c r="S894" s="53"/>
      <c r="T894" s="48">
        <v>168.15</v>
      </c>
      <c r="U894" s="98">
        <v>690</v>
      </c>
      <c r="V894" s="98">
        <v>13590</v>
      </c>
      <c r="W894" s="98">
        <v>6247.3648772689567</v>
      </c>
      <c r="X894" s="98">
        <v>690</v>
      </c>
      <c r="Y894" s="233">
        <v>3.48</v>
      </c>
      <c r="Z894" s="48">
        <v>0.78</v>
      </c>
      <c r="AA894" s="48"/>
      <c r="AB894" s="48">
        <v>-0.3</v>
      </c>
      <c r="AC894" s="48">
        <v>0.45140000000000002</v>
      </c>
      <c r="AD894" s="48">
        <v>7.0000000000000007E-2</v>
      </c>
      <c r="AE894" s="48">
        <v>0.35</v>
      </c>
      <c r="AF894" s="48">
        <f t="shared" si="184"/>
        <v>7.0000000000000007E-2</v>
      </c>
      <c r="AG894" s="49">
        <v>3.1</v>
      </c>
      <c r="AH894" s="98">
        <v>1.73E-10</v>
      </c>
      <c r="AI894" s="98"/>
      <c r="AJ894" s="483">
        <f t="shared" si="183"/>
        <v>-8.1505202231838556</v>
      </c>
      <c r="AK894" s="483"/>
      <c r="AL894" s="483">
        <f t="shared" si="182"/>
        <v>-8.1505202231838556</v>
      </c>
      <c r="AM894" s="483">
        <v>-13.184059999999999</v>
      </c>
      <c r="AN894" s="226">
        <v>-3.17</v>
      </c>
      <c r="AO894" s="484">
        <v>5.53</v>
      </c>
      <c r="AP894" s="484"/>
      <c r="AQ894" s="226" t="s">
        <v>6311</v>
      </c>
      <c r="AR894" s="226" t="s">
        <v>6311</v>
      </c>
      <c r="AS894" s="224"/>
      <c r="AT894" s="50" t="s">
        <v>266</v>
      </c>
      <c r="AU894" s="48">
        <v>6</v>
      </c>
      <c r="AV894" s="48">
        <v>120</v>
      </c>
      <c r="AW894" s="48">
        <v>114</v>
      </c>
      <c r="AX894" s="48">
        <v>28</v>
      </c>
      <c r="AY894" s="48" t="s">
        <v>8728</v>
      </c>
      <c r="AZ894" s="48" t="s">
        <v>1563</v>
      </c>
      <c r="BA894" s="48">
        <v>32</v>
      </c>
      <c r="BB894" s="47" t="s">
        <v>2485</v>
      </c>
      <c r="BC894" s="47" t="s">
        <v>8726</v>
      </c>
      <c r="BD894" s="47" t="s">
        <v>8374</v>
      </c>
      <c r="BE894" s="48" t="s">
        <v>2449</v>
      </c>
      <c r="BF894" s="48" t="s">
        <v>272</v>
      </c>
      <c r="BG894" s="48" t="s">
        <v>272</v>
      </c>
      <c r="BH894" s="48" t="s">
        <v>2486</v>
      </c>
      <c r="BI894" s="98">
        <v>1.0761600000000001E-3</v>
      </c>
      <c r="BJ894" s="98">
        <v>10.761600000000001</v>
      </c>
      <c r="BK894" s="48"/>
      <c r="BL894" s="487">
        <v>1721.78480842354</v>
      </c>
      <c r="BM894" s="47" t="s">
        <v>2487</v>
      </c>
      <c r="BN894" s="48"/>
      <c r="BO894" s="48"/>
      <c r="BP894" s="48"/>
      <c r="BQ894" s="48"/>
      <c r="BR894" s="47" t="e">
        <v>#VALUE!</v>
      </c>
      <c r="BS894" s="48"/>
      <c r="BT894" s="48"/>
      <c r="BU894" s="228"/>
      <c r="BV894" s="48"/>
      <c r="BW894" s="48"/>
      <c r="BX894" s="48"/>
      <c r="BY894" s="48"/>
      <c r="BZ894" s="48"/>
      <c r="CA894" s="48"/>
      <c r="CB894" s="48"/>
      <c r="CC894" s="48"/>
      <c r="CD894" s="48"/>
      <c r="CE894" s="48"/>
      <c r="CF894" s="48"/>
      <c r="CG894" s="48"/>
      <c r="CH894" s="48"/>
      <c r="CI894" s="98"/>
      <c r="CJ894" s="98"/>
      <c r="CK894" s="49">
        <f t="shared" si="180"/>
        <v>159.99338466617786</v>
      </c>
      <c r="CL894" s="229"/>
      <c r="CM894" s="229"/>
      <c r="CN894" s="229"/>
      <c r="CO894" s="47" t="s">
        <v>2488</v>
      </c>
      <c r="CP894" s="500" t="s">
        <v>2489</v>
      </c>
      <c r="CQ894" s="224" t="s">
        <v>272</v>
      </c>
      <c r="CR894" s="224"/>
      <c r="CS894" s="230" t="s">
        <v>539</v>
      </c>
      <c r="CT894" s="230"/>
      <c r="CU894" s="230"/>
      <c r="CV894" s="335">
        <f t="shared" si="181"/>
        <v>64.116859946476353</v>
      </c>
      <c r="CW894" s="230">
        <f t="shared" si="179"/>
        <v>1</v>
      </c>
      <c r="CX894" s="336"/>
      <c r="CY894" s="230" t="s">
        <v>5921</v>
      </c>
    </row>
    <row r="895" spans="1:103" ht="11.25" customHeight="1" x14ac:dyDescent="0.2">
      <c r="A895" s="72">
        <v>1261</v>
      </c>
      <c r="B895" s="224">
        <v>1082</v>
      </c>
      <c r="C895" s="46" t="s">
        <v>7380</v>
      </c>
      <c r="D895" s="46"/>
      <c r="E895" s="114"/>
      <c r="F895" s="114" t="s">
        <v>3034</v>
      </c>
      <c r="G895" s="225">
        <v>4449518</v>
      </c>
      <c r="H895" s="47" t="s">
        <v>3035</v>
      </c>
      <c r="I895" s="47" t="s">
        <v>3035</v>
      </c>
      <c r="J895" s="47" t="s">
        <v>3036</v>
      </c>
      <c r="K895" s="47" t="s">
        <v>3037</v>
      </c>
      <c r="L895" s="47"/>
      <c r="M895" s="47"/>
      <c r="N895" s="47"/>
      <c r="O895" s="47"/>
      <c r="P895" s="53"/>
      <c r="Q895" s="53"/>
      <c r="R895" s="53"/>
      <c r="S895" s="53"/>
      <c r="T895" s="48">
        <v>411.62</v>
      </c>
      <c r="U895" s="98"/>
      <c r="V895" s="98">
        <v>1.724</v>
      </c>
      <c r="W895" s="98">
        <v>56.819377099583924</v>
      </c>
      <c r="X895" s="98">
        <v>56.819377099583924</v>
      </c>
      <c r="Y895" s="233">
        <v>9.83</v>
      </c>
      <c r="Z895" s="48">
        <v>4.9000000000000004</v>
      </c>
      <c r="AA895" s="48"/>
      <c r="AB895" s="48">
        <v>6.59</v>
      </c>
      <c r="AC895" s="48">
        <v>0.2142</v>
      </c>
      <c r="AD895" s="48">
        <v>5.72</v>
      </c>
      <c r="AE895" s="48">
        <v>5.44</v>
      </c>
      <c r="AF895" s="48">
        <f t="shared" si="184"/>
        <v>5.72</v>
      </c>
      <c r="AG895" s="49">
        <v>2.54</v>
      </c>
      <c r="AH895" s="98">
        <v>7.5200000000000003E-12</v>
      </c>
      <c r="AI895" s="98"/>
      <c r="AJ895" s="483">
        <f t="shared" si="183"/>
        <v>-9.5123484857210094</v>
      </c>
      <c r="AK895" s="483"/>
      <c r="AL895" s="483">
        <f t="shared" si="182"/>
        <v>-9.5123484857210094</v>
      </c>
      <c r="AM895" s="483">
        <v>-14.949420000000002</v>
      </c>
      <c r="AN895" s="226">
        <v>-4.01</v>
      </c>
      <c r="AO895" s="484">
        <v>15.05</v>
      </c>
      <c r="AP895" s="484">
        <v>10.58</v>
      </c>
      <c r="AQ895" s="48" t="s">
        <v>6311</v>
      </c>
      <c r="AR895" s="48" t="s">
        <v>6311</v>
      </c>
      <c r="AS895" s="227"/>
      <c r="AT895" s="50" t="s">
        <v>266</v>
      </c>
      <c r="AU895" s="48">
        <v>6</v>
      </c>
      <c r="AV895" s="48">
        <v>120</v>
      </c>
      <c r="AW895" s="48">
        <v>114</v>
      </c>
      <c r="AX895" s="48">
        <v>28</v>
      </c>
      <c r="AY895" s="48" t="s">
        <v>8728</v>
      </c>
      <c r="AZ895" s="48" t="s">
        <v>1563</v>
      </c>
      <c r="BA895" s="48">
        <v>32</v>
      </c>
      <c r="BB895" s="47" t="s">
        <v>2485</v>
      </c>
      <c r="BC895" s="47" t="s">
        <v>8726</v>
      </c>
      <c r="BD895" s="47" t="s">
        <v>8374</v>
      </c>
      <c r="BE895" s="48" t="s">
        <v>2449</v>
      </c>
      <c r="BF895" s="48" t="s">
        <v>272</v>
      </c>
      <c r="BG895" s="48" t="s">
        <v>272</v>
      </c>
      <c r="BH895" s="48" t="s">
        <v>2486</v>
      </c>
      <c r="BI895" s="98">
        <v>2.6343679999999998E-3</v>
      </c>
      <c r="BJ895" s="98">
        <v>26.343679999999999</v>
      </c>
      <c r="BK895" s="48"/>
      <c r="BL895" s="487">
        <v>0.84063306503065849</v>
      </c>
      <c r="BM895" s="47" t="s">
        <v>2487</v>
      </c>
      <c r="BN895" s="48"/>
      <c r="BO895" s="48"/>
      <c r="BP895" s="48"/>
      <c r="BQ895" s="48"/>
      <c r="BR895" s="47" t="e">
        <v>#VALUE!</v>
      </c>
      <c r="BS895" s="48"/>
      <c r="BT895" s="48"/>
      <c r="BU895" s="228">
        <v>1.3171839999999999E-2</v>
      </c>
      <c r="BV895" s="48"/>
      <c r="BW895" s="48"/>
      <c r="BX895" s="48"/>
      <c r="BY895" s="48"/>
      <c r="BZ895" s="48"/>
      <c r="CA895" s="48"/>
      <c r="CB895" s="48"/>
      <c r="CC895" s="48"/>
      <c r="CD895" s="48"/>
      <c r="CE895" s="48"/>
      <c r="CF895" s="48"/>
      <c r="CG895" s="48"/>
      <c r="CH895" s="48"/>
      <c r="CI895" s="98"/>
      <c r="CJ895" s="98"/>
      <c r="CK895" s="49">
        <f t="shared" si="180"/>
        <v>3.1910236725873474E-2</v>
      </c>
      <c r="CL895" s="229"/>
      <c r="CM895" s="229"/>
      <c r="CN895" s="229"/>
      <c r="CO895" s="47" t="s">
        <v>2488</v>
      </c>
      <c r="CP895" s="500" t="s">
        <v>2489</v>
      </c>
      <c r="CQ895" s="224" t="s">
        <v>272</v>
      </c>
      <c r="CR895" s="224"/>
      <c r="CS895" s="230" t="s">
        <v>539</v>
      </c>
      <c r="CT895" s="230"/>
      <c r="CU895" s="230"/>
      <c r="CV895" s="335">
        <f t="shared" si="181"/>
        <v>2.1568504134420068</v>
      </c>
      <c r="CW895" s="230">
        <f t="shared" si="179"/>
        <v>1</v>
      </c>
      <c r="CX895" s="336"/>
      <c r="CY895" s="230" t="s">
        <v>5921</v>
      </c>
    </row>
    <row r="896" spans="1:103" ht="11.25" customHeight="1" x14ac:dyDescent="0.2">
      <c r="A896" s="72">
        <v>1262</v>
      </c>
      <c r="B896" s="224">
        <v>1380</v>
      </c>
      <c r="C896" s="46" t="s">
        <v>7381</v>
      </c>
      <c r="D896" s="46"/>
      <c r="E896" s="114"/>
      <c r="F896" s="114" t="s">
        <v>4255</v>
      </c>
      <c r="G896" s="225">
        <v>4904614</v>
      </c>
      <c r="H896" s="47" t="s">
        <v>4256</v>
      </c>
      <c r="I896" s="47" t="s">
        <v>4256</v>
      </c>
      <c r="J896" s="47" t="s">
        <v>4257</v>
      </c>
      <c r="K896" s="47" t="s">
        <v>426</v>
      </c>
      <c r="L896" s="47"/>
      <c r="M896" s="47"/>
      <c r="N896" s="47"/>
      <c r="O896" s="47"/>
      <c r="P896" s="53"/>
      <c r="Q896" s="53"/>
      <c r="R896" s="53"/>
      <c r="S896" s="53"/>
      <c r="T896" s="48">
        <v>162.27000000000001</v>
      </c>
      <c r="U896" s="98"/>
      <c r="V896" s="98">
        <v>0.38979999999999998</v>
      </c>
      <c r="W896" s="98">
        <v>0.22399495461710955</v>
      </c>
      <c r="X896" s="98">
        <v>0.22399495461710955</v>
      </c>
      <c r="Y896" s="233">
        <v>7</v>
      </c>
      <c r="Z896" s="48">
        <v>5.48</v>
      </c>
      <c r="AA896" s="48">
        <v>5.5</v>
      </c>
      <c r="AB896" s="48">
        <v>4.45</v>
      </c>
      <c r="AC896" s="48">
        <v>0.79710000000000003</v>
      </c>
      <c r="AD896" s="48">
        <v>4.78</v>
      </c>
      <c r="AE896" s="48">
        <v>5.5</v>
      </c>
      <c r="AF896" s="48">
        <f t="shared" si="184"/>
        <v>5.5</v>
      </c>
      <c r="AG896" s="49">
        <v>3.72</v>
      </c>
      <c r="AH896" s="98">
        <v>0.499</v>
      </c>
      <c r="AI896" s="98"/>
      <c r="AJ896" s="483">
        <f t="shared" si="183"/>
        <v>1.3095342193107382</v>
      </c>
      <c r="AK896" s="483"/>
      <c r="AL896" s="483">
        <f t="shared" si="182"/>
        <v>1.3095342193107382</v>
      </c>
      <c r="AM896" s="483">
        <v>-3.3022400000000003</v>
      </c>
      <c r="AN896" s="226">
        <v>-0.40200000000000002</v>
      </c>
      <c r="AO896" s="484"/>
      <c r="AP896" s="484"/>
      <c r="AQ896" s="48" t="s">
        <v>6311</v>
      </c>
      <c r="AR896" s="48" t="s">
        <v>6311</v>
      </c>
      <c r="AS896" s="227"/>
      <c r="AT896" s="50" t="s">
        <v>266</v>
      </c>
      <c r="AU896" s="48">
        <v>6</v>
      </c>
      <c r="AV896" s="48">
        <v>120</v>
      </c>
      <c r="AW896" s="48">
        <v>114</v>
      </c>
      <c r="AX896" s="48">
        <v>28</v>
      </c>
      <c r="AY896" s="48" t="s">
        <v>8728</v>
      </c>
      <c r="AZ896" s="48" t="s">
        <v>1563</v>
      </c>
      <c r="BA896" s="48">
        <v>32</v>
      </c>
      <c r="BB896" s="47" t="s">
        <v>2485</v>
      </c>
      <c r="BC896" s="47" t="s">
        <v>8726</v>
      </c>
      <c r="BD896" s="47" t="s">
        <v>8374</v>
      </c>
      <c r="BE896" s="48" t="s">
        <v>2449</v>
      </c>
      <c r="BF896" s="48" t="s">
        <v>272</v>
      </c>
      <c r="BG896" s="48" t="s">
        <v>272</v>
      </c>
      <c r="BH896" s="48" t="s">
        <v>2486</v>
      </c>
      <c r="BI896" s="98">
        <v>1.0385279999999999E-3</v>
      </c>
      <c r="BJ896" s="98">
        <v>10.385280000000002</v>
      </c>
      <c r="BK896" s="48"/>
      <c r="BL896" s="487">
        <v>9.9873492286692428E-2</v>
      </c>
      <c r="BM896" s="47" t="s">
        <v>2487</v>
      </c>
      <c r="BN896" s="48"/>
      <c r="BO896" s="48"/>
      <c r="BP896" s="48"/>
      <c r="BQ896" s="48"/>
      <c r="BR896" s="47" t="e">
        <v>#VALUE!</v>
      </c>
      <c r="BS896" s="48"/>
      <c r="BT896" s="48"/>
      <c r="BU896" s="228"/>
      <c r="BV896" s="48"/>
      <c r="BW896" s="48"/>
      <c r="BX896" s="48"/>
      <c r="BY896" s="48"/>
      <c r="BZ896" s="48"/>
      <c r="CA896" s="48"/>
      <c r="CB896" s="48"/>
      <c r="CC896" s="48"/>
      <c r="CD896" s="48"/>
      <c r="CE896" s="48"/>
      <c r="CF896" s="48"/>
      <c r="CG896" s="48"/>
      <c r="CH896" s="48"/>
      <c r="CI896" s="98"/>
      <c r="CJ896" s="98"/>
      <c r="CK896" s="49">
        <f t="shared" si="180"/>
        <v>9.6168319281417936E-3</v>
      </c>
      <c r="CL896" s="229"/>
      <c r="CM896" s="229"/>
      <c r="CN896" s="229"/>
      <c r="CO896" s="47" t="s">
        <v>2488</v>
      </c>
      <c r="CP896" s="500" t="s">
        <v>2489</v>
      </c>
      <c r="CQ896" s="224" t="s">
        <v>272</v>
      </c>
      <c r="CR896" s="224"/>
      <c r="CS896" s="230" t="s">
        <v>539</v>
      </c>
      <c r="CT896" s="230"/>
      <c r="CU896" s="230"/>
      <c r="CV896" s="335">
        <f t="shared" si="181"/>
        <v>2.1568504134420019E-2</v>
      </c>
      <c r="CW896" s="230">
        <f t="shared" si="179"/>
        <v>0</v>
      </c>
      <c r="CX896" s="336"/>
      <c r="CY896" s="230" t="s">
        <v>6351</v>
      </c>
    </row>
    <row r="897" spans="1:103" ht="11.25" customHeight="1" x14ac:dyDescent="0.2">
      <c r="A897" s="72">
        <v>1263</v>
      </c>
      <c r="B897" s="224">
        <v>1453</v>
      </c>
      <c r="C897" s="46" t="s">
        <v>7382</v>
      </c>
      <c r="D897" s="46"/>
      <c r="E897" s="114"/>
      <c r="F897" s="114" t="s">
        <v>4467</v>
      </c>
      <c r="G897" s="225">
        <v>5216251</v>
      </c>
      <c r="H897" s="47" t="s">
        <v>4468</v>
      </c>
      <c r="I897" s="47" t="s">
        <v>8092</v>
      </c>
      <c r="J897" s="47" t="s">
        <v>4469</v>
      </c>
      <c r="K897" s="47" t="s">
        <v>2938</v>
      </c>
      <c r="L897" s="47"/>
      <c r="M897" s="47"/>
      <c r="N897" s="47"/>
      <c r="O897" s="47"/>
      <c r="P897" s="53"/>
      <c r="Q897" s="53"/>
      <c r="R897" s="53"/>
      <c r="S897" s="53"/>
      <c r="T897" s="48">
        <v>229.92</v>
      </c>
      <c r="U897" s="98"/>
      <c r="V897" s="98">
        <v>4.0389999999999997</v>
      </c>
      <c r="W897" s="98">
        <v>5.9098539837421677</v>
      </c>
      <c r="X897" s="98">
        <v>5.9098539837421677</v>
      </c>
      <c r="Y897" s="233">
        <v>7</v>
      </c>
      <c r="Z897" s="48">
        <v>4.54</v>
      </c>
      <c r="AA897" s="48"/>
      <c r="AB897" s="48">
        <v>4.26</v>
      </c>
      <c r="AC897" s="48">
        <v>0.79210000000000003</v>
      </c>
      <c r="AD897" s="48">
        <v>4.16</v>
      </c>
      <c r="AE897" s="48">
        <v>3.94</v>
      </c>
      <c r="AF897" s="48">
        <f t="shared" si="184"/>
        <v>4.16</v>
      </c>
      <c r="AG897" s="49">
        <v>4.07</v>
      </c>
      <c r="AH897" s="98">
        <v>1.93E-4</v>
      </c>
      <c r="AI897" s="98"/>
      <c r="AJ897" s="483">
        <f t="shared" si="183"/>
        <v>-2.1030090173048781</v>
      </c>
      <c r="AK897" s="483"/>
      <c r="AL897" s="483">
        <f t="shared" si="182"/>
        <v>-2.1030090173048781</v>
      </c>
      <c r="AM897" s="483">
        <v>-3.9592999999999998</v>
      </c>
      <c r="AN897" s="226">
        <v>-1.87</v>
      </c>
      <c r="AO897" s="484"/>
      <c r="AP897" s="484"/>
      <c r="AQ897" s="48" t="s">
        <v>6311</v>
      </c>
      <c r="AR897" s="48" t="s">
        <v>6311</v>
      </c>
      <c r="AS897" s="227"/>
      <c r="AT897" s="50" t="s">
        <v>266</v>
      </c>
      <c r="AU897" s="48">
        <v>6</v>
      </c>
      <c r="AV897" s="48">
        <v>120</v>
      </c>
      <c r="AW897" s="48">
        <v>114</v>
      </c>
      <c r="AX897" s="48">
        <v>28</v>
      </c>
      <c r="AY897" s="48" t="s">
        <v>8728</v>
      </c>
      <c r="AZ897" s="48" t="s">
        <v>1563</v>
      </c>
      <c r="BA897" s="48">
        <v>32</v>
      </c>
      <c r="BB897" s="47" t="s">
        <v>2485</v>
      </c>
      <c r="BC897" s="47" t="s">
        <v>8726</v>
      </c>
      <c r="BD897" s="47" t="s">
        <v>8374</v>
      </c>
      <c r="BE897" s="48" t="s">
        <v>2449</v>
      </c>
      <c r="BF897" s="48" t="s">
        <v>272</v>
      </c>
      <c r="BG897" s="48" t="s">
        <v>272</v>
      </c>
      <c r="BH897" s="48" t="s">
        <v>2486</v>
      </c>
      <c r="BI897" s="98">
        <v>1.4714879999999997E-3</v>
      </c>
      <c r="BJ897" s="98">
        <v>14.714879999999999</v>
      </c>
      <c r="BK897" s="48"/>
      <c r="BL897" s="487">
        <v>0.98855935610128398</v>
      </c>
      <c r="BM897" s="47" t="s">
        <v>2487</v>
      </c>
      <c r="BN897" s="48"/>
      <c r="BO897" s="48"/>
      <c r="BP897" s="48"/>
      <c r="BQ897" s="48"/>
      <c r="BR897" s="47" t="e">
        <v>#VALUE!</v>
      </c>
      <c r="BS897" s="48"/>
      <c r="BT897" s="48"/>
      <c r="BU897" s="228"/>
      <c r="BV897" s="48"/>
      <c r="BW897" s="48"/>
      <c r="BX897" s="48"/>
      <c r="BY897" s="48"/>
      <c r="BZ897" s="48"/>
      <c r="CA897" s="48"/>
      <c r="CB897" s="48"/>
      <c r="CC897" s="48"/>
      <c r="CD897" s="48"/>
      <c r="CE897" s="48"/>
      <c r="CF897" s="48"/>
      <c r="CG897" s="48"/>
      <c r="CH897" s="48"/>
      <c r="CI897" s="98"/>
      <c r="CJ897" s="98"/>
      <c r="CK897" s="49">
        <f t="shared" si="180"/>
        <v>6.718093223330969E-2</v>
      </c>
      <c r="CL897" s="229"/>
      <c r="CM897" s="229"/>
      <c r="CN897" s="229"/>
      <c r="CO897" s="47" t="s">
        <v>2488</v>
      </c>
      <c r="CP897" s="500" t="s">
        <v>2489</v>
      </c>
      <c r="CQ897" s="224" t="s">
        <v>272</v>
      </c>
      <c r="CR897" s="224"/>
      <c r="CS897" s="230" t="s">
        <v>539</v>
      </c>
      <c r="CT897" s="230"/>
      <c r="CU897" s="230"/>
      <c r="CV897" s="335">
        <f t="shared" si="181"/>
        <v>0.40162434105763473</v>
      </c>
      <c r="CW897" s="230">
        <f t="shared" si="179"/>
        <v>0</v>
      </c>
      <c r="CX897" s="336"/>
      <c r="CY897" s="230" t="s">
        <v>6351</v>
      </c>
    </row>
    <row r="898" spans="1:103" ht="11.25" customHeight="1" x14ac:dyDescent="0.2">
      <c r="A898" s="72">
        <v>1264</v>
      </c>
      <c r="B898" s="224">
        <v>1445</v>
      </c>
      <c r="C898" s="46" t="s">
        <v>7383</v>
      </c>
      <c r="D898" s="46"/>
      <c r="E898" s="114"/>
      <c r="F898" s="114" t="s">
        <v>4444</v>
      </c>
      <c r="G898" s="225">
        <v>5349519</v>
      </c>
      <c r="H898" s="47" t="s">
        <v>4445</v>
      </c>
      <c r="I898" s="47" t="s">
        <v>4445</v>
      </c>
      <c r="J898" s="47" t="s">
        <v>4446</v>
      </c>
      <c r="K898" s="47" t="s">
        <v>426</v>
      </c>
      <c r="L898" s="47"/>
      <c r="M898" s="47"/>
      <c r="N898" s="47"/>
      <c r="O898" s="47"/>
      <c r="P898" s="53"/>
      <c r="Q898" s="53"/>
      <c r="R898" s="53"/>
      <c r="S898" s="53"/>
      <c r="T898" s="48">
        <v>170.29</v>
      </c>
      <c r="U898" s="98"/>
      <c r="V898" s="98">
        <v>91.17</v>
      </c>
      <c r="W898" s="98">
        <v>491.12172466742942</v>
      </c>
      <c r="X898" s="98">
        <v>491.12172466742942</v>
      </c>
      <c r="Y898" s="233">
        <v>7</v>
      </c>
      <c r="Z898" s="48">
        <v>3.91</v>
      </c>
      <c r="AA898" s="48"/>
      <c r="AB898" s="48">
        <v>3.05</v>
      </c>
      <c r="AC898" s="48">
        <v>0.74019999999999997</v>
      </c>
      <c r="AD898" s="48">
        <v>3.25</v>
      </c>
      <c r="AE898" s="48">
        <v>3.59</v>
      </c>
      <c r="AF898" s="48">
        <f t="shared" si="184"/>
        <v>3.25</v>
      </c>
      <c r="AG898" s="49">
        <v>3.25</v>
      </c>
      <c r="AH898" s="98">
        <v>2.02E-5</v>
      </c>
      <c r="AI898" s="98"/>
      <c r="AJ898" s="483">
        <f t="shared" si="183"/>
        <v>-3.0832149568660281</v>
      </c>
      <c r="AK898" s="483"/>
      <c r="AL898" s="483">
        <f t="shared" si="182"/>
        <v>-3.0832149568660281</v>
      </c>
      <c r="AM898" s="483">
        <v>-4.7200800000000003</v>
      </c>
      <c r="AN898" s="226"/>
      <c r="AO898" s="484">
        <v>15.31</v>
      </c>
      <c r="AP898" s="484"/>
      <c r="AQ898" s="48" t="s">
        <v>6311</v>
      </c>
      <c r="AR898" s="48" t="s">
        <v>6311</v>
      </c>
      <c r="AS898" s="227"/>
      <c r="AT898" s="50" t="s">
        <v>266</v>
      </c>
      <c r="AU898" s="48">
        <v>6</v>
      </c>
      <c r="AV898" s="48">
        <v>120</v>
      </c>
      <c r="AW898" s="48">
        <v>114</v>
      </c>
      <c r="AX898" s="48">
        <v>28</v>
      </c>
      <c r="AY898" s="48" t="s">
        <v>8728</v>
      </c>
      <c r="AZ898" s="48" t="s">
        <v>1563</v>
      </c>
      <c r="BA898" s="48">
        <v>32</v>
      </c>
      <c r="BB898" s="47" t="s">
        <v>2485</v>
      </c>
      <c r="BC898" s="47" t="s">
        <v>8726</v>
      </c>
      <c r="BD898" s="47" t="s">
        <v>8374</v>
      </c>
      <c r="BE898" s="48" t="s">
        <v>2449</v>
      </c>
      <c r="BF898" s="48" t="s">
        <v>272</v>
      </c>
      <c r="BG898" s="48" t="s">
        <v>272</v>
      </c>
      <c r="BH898" s="48" t="s">
        <v>2486</v>
      </c>
      <c r="BI898" s="98">
        <v>1.0898559999999999E-3</v>
      </c>
      <c r="BJ898" s="98">
        <v>10.89856</v>
      </c>
      <c r="BK898" s="48"/>
      <c r="BL898" s="487">
        <v>2.6941275034486352</v>
      </c>
      <c r="BM898" s="47" t="s">
        <v>2487</v>
      </c>
      <c r="BN898" s="48"/>
      <c r="BO898" s="48"/>
      <c r="BP898" s="48"/>
      <c r="BQ898" s="48"/>
      <c r="BR898" s="47" t="e">
        <v>#VALUE!</v>
      </c>
      <c r="BS898" s="48"/>
      <c r="BT898" s="48"/>
      <c r="BU898" s="228"/>
      <c r="BV898" s="48"/>
      <c r="BW898" s="48"/>
      <c r="BX898" s="48"/>
      <c r="BY898" s="48"/>
      <c r="BZ898" s="48"/>
      <c r="CA898" s="48"/>
      <c r="CB898" s="48"/>
      <c r="CC898" s="48"/>
      <c r="CD898" s="48"/>
      <c r="CE898" s="48"/>
      <c r="CF898" s="48"/>
      <c r="CG898" s="48"/>
      <c r="CH898" s="48"/>
      <c r="CI898" s="98"/>
      <c r="CJ898" s="98"/>
      <c r="CK898" s="49">
        <f t="shared" si="180"/>
        <v>0.24720031852360635</v>
      </c>
      <c r="CL898" s="229"/>
      <c r="CM898" s="229"/>
      <c r="CN898" s="229"/>
      <c r="CO898" s="47" t="s">
        <v>2488</v>
      </c>
      <c r="CP898" s="500" t="s">
        <v>2489</v>
      </c>
      <c r="CQ898" s="224" t="s">
        <v>272</v>
      </c>
      <c r="CR898" s="224"/>
      <c r="CS898" s="230" t="s">
        <v>539</v>
      </c>
      <c r="CT898" s="230"/>
      <c r="CU898" s="230"/>
      <c r="CV898" s="335">
        <f t="shared" si="181"/>
        <v>45.062992236353189</v>
      </c>
      <c r="CW898" s="230">
        <f t="shared" si="179"/>
        <v>1</v>
      </c>
      <c r="CX898" s="336"/>
      <c r="CY898" s="230" t="s">
        <v>5921</v>
      </c>
    </row>
    <row r="899" spans="1:103" ht="11.25" customHeight="1" x14ac:dyDescent="0.2">
      <c r="A899" s="72">
        <v>1265</v>
      </c>
      <c r="B899" s="224">
        <v>973</v>
      </c>
      <c r="C899" s="46" t="s">
        <v>7384</v>
      </c>
      <c r="D899" s="46"/>
      <c r="E899" s="114"/>
      <c r="F899" s="114" t="s">
        <v>2777</v>
      </c>
      <c r="G899" s="225">
        <v>5392405</v>
      </c>
      <c r="H899" s="47" t="s">
        <v>2778</v>
      </c>
      <c r="I899" s="47" t="s">
        <v>2778</v>
      </c>
      <c r="J899" s="47" t="s">
        <v>2779</v>
      </c>
      <c r="K899" s="47" t="s">
        <v>1557</v>
      </c>
      <c r="L899" s="47"/>
      <c r="M899" s="47"/>
      <c r="N899" s="47"/>
      <c r="O899" s="47"/>
      <c r="P899" s="53"/>
      <c r="Q899" s="53"/>
      <c r="R899" s="53"/>
      <c r="S899" s="53"/>
      <c r="T899" s="48">
        <v>152.22999999999999</v>
      </c>
      <c r="U899" s="98">
        <v>1340</v>
      </c>
      <c r="V899" s="98">
        <v>84.71</v>
      </c>
      <c r="W899" s="98">
        <v>1872.8381498076874</v>
      </c>
      <c r="X899" s="98">
        <v>1340</v>
      </c>
      <c r="Y899" s="233">
        <v>7</v>
      </c>
      <c r="Z899" s="48">
        <v>3.45</v>
      </c>
      <c r="AA899" s="48"/>
      <c r="AB899" s="48">
        <v>3.08</v>
      </c>
      <c r="AC899" s="48">
        <v>0.70740000000000003</v>
      </c>
      <c r="AD899" s="48">
        <v>3.11</v>
      </c>
      <c r="AE899" s="48">
        <v>3.17</v>
      </c>
      <c r="AF899" s="48">
        <f t="shared" si="184"/>
        <v>3.11</v>
      </c>
      <c r="AG899" s="49">
        <v>2.74</v>
      </c>
      <c r="AH899" s="98">
        <v>3.7599999999999998E-4</v>
      </c>
      <c r="AI899" s="98"/>
      <c r="AJ899" s="483">
        <f t="shared" si="183"/>
        <v>-1.8133784813849907</v>
      </c>
      <c r="AK899" s="483"/>
      <c r="AL899" s="483">
        <f t="shared" si="182"/>
        <v>-1.8133784813849907</v>
      </c>
      <c r="AM899" s="483">
        <v>-4.9632799999999992</v>
      </c>
      <c r="AN899" s="226">
        <v>-2.66</v>
      </c>
      <c r="AO899" s="484"/>
      <c r="AP899" s="484"/>
      <c r="AQ899" s="48" t="s">
        <v>6311</v>
      </c>
      <c r="AR899" s="48" t="s">
        <v>6311</v>
      </c>
      <c r="AS899" s="227"/>
      <c r="AT899" s="50" t="s">
        <v>266</v>
      </c>
      <c r="AU899" s="48">
        <v>6</v>
      </c>
      <c r="AV899" s="48">
        <v>120</v>
      </c>
      <c r="AW899" s="48">
        <v>114</v>
      </c>
      <c r="AX899" s="48">
        <v>28</v>
      </c>
      <c r="AY899" s="48" t="s">
        <v>8728</v>
      </c>
      <c r="AZ899" s="48" t="s">
        <v>1563</v>
      </c>
      <c r="BA899" s="48">
        <v>32</v>
      </c>
      <c r="BB899" s="47" t="s">
        <v>2485</v>
      </c>
      <c r="BC899" s="47" t="s">
        <v>8726</v>
      </c>
      <c r="BD899" s="47" t="s">
        <v>8374</v>
      </c>
      <c r="BE899" s="48" t="s">
        <v>2449</v>
      </c>
      <c r="BF899" s="48" t="s">
        <v>272</v>
      </c>
      <c r="BG899" s="48" t="s">
        <v>272</v>
      </c>
      <c r="BH899" s="48" t="s">
        <v>2486</v>
      </c>
      <c r="BI899" s="98">
        <v>9.7427199999999988E-4</v>
      </c>
      <c r="BJ899" s="98">
        <v>9.7427200000000003</v>
      </c>
      <c r="BK899" s="48"/>
      <c r="BL899" s="487">
        <v>6.2352697604384169</v>
      </c>
      <c r="BM899" s="47" t="s">
        <v>2487</v>
      </c>
      <c r="BN899" s="48"/>
      <c r="BO899" s="48"/>
      <c r="BP899" s="48"/>
      <c r="BQ899" s="48"/>
      <c r="BR899" s="47" t="e">
        <v>#VALUE!</v>
      </c>
      <c r="BS899" s="48"/>
      <c r="BT899" s="48"/>
      <c r="BU899" s="228">
        <v>9.7427199999999981E-3</v>
      </c>
      <c r="BV899" s="48"/>
      <c r="BW899" s="48"/>
      <c r="BX899" s="48"/>
      <c r="BY899" s="48"/>
      <c r="BZ899" s="48"/>
      <c r="CA899" s="48"/>
      <c r="CB899" s="48"/>
      <c r="CC899" s="48"/>
      <c r="CD899" s="48"/>
      <c r="CE899" s="48"/>
      <c r="CF899" s="48"/>
      <c r="CG899" s="48"/>
      <c r="CH899" s="48"/>
      <c r="CI899" s="98"/>
      <c r="CJ899" s="98"/>
      <c r="CK899" s="49">
        <f t="shared" si="180"/>
        <v>0.63999270844675993</v>
      </c>
      <c r="CL899" s="229"/>
      <c r="CM899" s="229"/>
      <c r="CN899" s="229"/>
      <c r="CO899" s="47" t="s">
        <v>2488</v>
      </c>
      <c r="CP899" s="500" t="s">
        <v>2489</v>
      </c>
      <c r="CQ899" s="224" t="s">
        <v>272</v>
      </c>
      <c r="CR899" s="224"/>
      <c r="CS899" s="230" t="s">
        <v>539</v>
      </c>
      <c r="CT899" s="230"/>
      <c r="CU899" s="230"/>
      <c r="CV899" s="335">
        <f t="shared" si="181"/>
        <v>137.53859291860999</v>
      </c>
      <c r="CW899" s="230">
        <f t="shared" si="179"/>
        <v>1</v>
      </c>
      <c r="CX899" s="336"/>
      <c r="CY899" s="230" t="s">
        <v>6351</v>
      </c>
    </row>
    <row r="900" spans="1:103" ht="11.25" customHeight="1" x14ac:dyDescent="0.2">
      <c r="A900" s="72">
        <v>1267</v>
      </c>
      <c r="B900" s="224">
        <v>1887</v>
      </c>
      <c r="C900" s="46" t="s">
        <v>7385</v>
      </c>
      <c r="D900" s="46" t="s">
        <v>8636</v>
      </c>
      <c r="E900" s="114"/>
      <c r="F900" s="114" t="s">
        <v>4035</v>
      </c>
      <c r="G900" s="225">
        <v>5902512</v>
      </c>
      <c r="H900" s="47" t="s">
        <v>4036</v>
      </c>
      <c r="I900" s="47" t="s">
        <v>8093</v>
      </c>
      <c r="J900" s="47" t="s">
        <v>4037</v>
      </c>
      <c r="K900" s="47" t="s">
        <v>3745</v>
      </c>
      <c r="L900" s="47" t="s">
        <v>5248</v>
      </c>
      <c r="M900" s="47" t="s">
        <v>6082</v>
      </c>
      <c r="N900" s="47" t="s">
        <v>6082</v>
      </c>
      <c r="O900" s="47" t="s">
        <v>6083</v>
      </c>
      <c r="P900" s="53"/>
      <c r="Q900" s="53"/>
      <c r="R900" s="53"/>
      <c r="S900" s="53"/>
      <c r="T900" s="48">
        <v>216.66</v>
      </c>
      <c r="U900" s="98">
        <v>710</v>
      </c>
      <c r="V900" s="98">
        <v>871.7</v>
      </c>
      <c r="W900" s="98">
        <v>211.72821629228585</v>
      </c>
      <c r="X900" s="98">
        <v>710</v>
      </c>
      <c r="Y900" s="233">
        <v>5.9</v>
      </c>
      <c r="Z900" s="48">
        <v>1.75</v>
      </c>
      <c r="AA900" s="48">
        <v>1.89</v>
      </c>
      <c r="AB900" s="48">
        <v>1.81</v>
      </c>
      <c r="AC900" s="48">
        <v>0.77769999999999995</v>
      </c>
      <c r="AD900" s="48">
        <v>1.79</v>
      </c>
      <c r="AE900" s="48">
        <v>1.76</v>
      </c>
      <c r="AF900" s="48">
        <f t="shared" si="184"/>
        <v>1.89</v>
      </c>
      <c r="AG900" s="49">
        <v>2.19</v>
      </c>
      <c r="AH900" s="98">
        <v>5.0200000000000002E-10</v>
      </c>
      <c r="AI900" s="98">
        <v>1.2E-10</v>
      </c>
      <c r="AJ900" s="483">
        <f t="shared" si="183"/>
        <v>-7.6878626091676328</v>
      </c>
      <c r="AK900" s="483">
        <f>LOG10(AI900*1000/(0.08206*298.15))</f>
        <v>-8.3093850802650273</v>
      </c>
      <c r="AL900" s="483">
        <f t="shared" si="182"/>
        <v>-8.3093850802650273</v>
      </c>
      <c r="AM900" s="483">
        <v>-10.625200000000001</v>
      </c>
      <c r="AN900" s="226">
        <v>-7.57</v>
      </c>
      <c r="AO900" s="484">
        <v>8.7899999999999991</v>
      </c>
      <c r="AP900" s="484">
        <v>-3.73</v>
      </c>
      <c r="AQ900" s="226" t="s">
        <v>6311</v>
      </c>
      <c r="AR900" s="226" t="s">
        <v>6311</v>
      </c>
      <c r="AS900" s="224"/>
      <c r="AT900" s="50" t="s">
        <v>266</v>
      </c>
      <c r="AU900" s="48">
        <v>6</v>
      </c>
      <c r="AV900" s="48">
        <v>120</v>
      </c>
      <c r="AW900" s="48">
        <v>114</v>
      </c>
      <c r="AX900" s="48">
        <v>28</v>
      </c>
      <c r="AY900" s="48" t="s">
        <v>8728</v>
      </c>
      <c r="AZ900" s="48" t="s">
        <v>1563</v>
      </c>
      <c r="BA900" s="48">
        <v>32</v>
      </c>
      <c r="BB900" s="47" t="s">
        <v>2485</v>
      </c>
      <c r="BC900" s="47" t="s">
        <v>8726</v>
      </c>
      <c r="BD900" s="47" t="s">
        <v>8374</v>
      </c>
      <c r="BE900" s="48" t="s">
        <v>2449</v>
      </c>
      <c r="BF900" s="48" t="s">
        <v>272</v>
      </c>
      <c r="BG900" s="48" t="s">
        <v>272</v>
      </c>
      <c r="BH900" s="48" t="s">
        <v>2486</v>
      </c>
      <c r="BI900" s="98">
        <v>1.3866239999999999E-3</v>
      </c>
      <c r="BJ900" s="98">
        <v>13.866239999999999</v>
      </c>
      <c r="BK900" s="48"/>
      <c r="BL900" s="487">
        <v>298.47209834425252</v>
      </c>
      <c r="BM900" s="47" t="s">
        <v>2487</v>
      </c>
      <c r="BN900" s="48"/>
      <c r="BO900" s="48"/>
      <c r="BP900" s="48"/>
      <c r="BQ900" s="48"/>
      <c r="BR900" s="47" t="e">
        <v>#VALUE!</v>
      </c>
      <c r="BS900" s="48"/>
      <c r="BT900" s="48"/>
      <c r="BU900" s="228"/>
      <c r="BV900" s="48"/>
      <c r="BW900" s="48"/>
      <c r="BX900" s="48"/>
      <c r="BY900" s="48"/>
      <c r="BZ900" s="48"/>
      <c r="CA900" s="48"/>
      <c r="CB900" s="48"/>
      <c r="CC900" s="48"/>
      <c r="CD900" s="48"/>
      <c r="CE900" s="48"/>
      <c r="CF900" s="48"/>
      <c r="CG900" s="48"/>
      <c r="CH900" s="48"/>
      <c r="CI900" s="98"/>
      <c r="CJ900" s="98"/>
      <c r="CK900" s="49">
        <f t="shared" si="180"/>
        <v>21.525092479594505</v>
      </c>
      <c r="CL900" s="229"/>
      <c r="CM900" s="229"/>
      <c r="CN900" s="229"/>
      <c r="CO900" s="47" t="s">
        <v>2488</v>
      </c>
      <c r="CP900" s="500" t="s">
        <v>2489</v>
      </c>
      <c r="CQ900" s="224">
        <v>1.8930796245945305</v>
      </c>
      <c r="CR900" s="224">
        <f>10^(CJ900-CQ900)</f>
        <v>1.2791467608146001E-2</v>
      </c>
      <c r="CS900" s="230" t="s">
        <v>539</v>
      </c>
      <c r="CT900" s="230"/>
      <c r="CU900" s="230"/>
      <c r="CV900" s="335">
        <f t="shared" si="181"/>
        <v>51.203498569186749</v>
      </c>
      <c r="CW900" s="230">
        <f t="shared" si="179"/>
        <v>1</v>
      </c>
      <c r="CX900" s="336"/>
      <c r="CY900" s="230" t="s">
        <v>5921</v>
      </c>
    </row>
    <row r="901" spans="1:103" ht="11.25" customHeight="1" x14ac:dyDescent="0.2">
      <c r="A901" s="72">
        <v>1268</v>
      </c>
      <c r="B901" s="224">
        <v>1292</v>
      </c>
      <c r="C901" s="46" t="s">
        <v>7386</v>
      </c>
      <c r="D901" s="46" t="s">
        <v>8637</v>
      </c>
      <c r="E901" s="114"/>
      <c r="F901" s="114" t="s">
        <v>3550</v>
      </c>
      <c r="G901" s="225">
        <v>5915413</v>
      </c>
      <c r="H901" s="47" t="s">
        <v>3551</v>
      </c>
      <c r="I901" s="47" t="s">
        <v>8094</v>
      </c>
      <c r="J901" s="47" t="s">
        <v>3548</v>
      </c>
      <c r="K901" s="47" t="s">
        <v>940</v>
      </c>
      <c r="L901" s="47" t="s">
        <v>6141</v>
      </c>
      <c r="M901" s="47" t="s">
        <v>6082</v>
      </c>
      <c r="N901" s="47" t="s">
        <v>6082</v>
      </c>
      <c r="O901" s="47" t="s">
        <v>6083</v>
      </c>
      <c r="P901" s="53"/>
      <c r="Q901" s="53"/>
      <c r="R901" s="53"/>
      <c r="S901" s="53"/>
      <c r="T901" s="48">
        <v>229.71</v>
      </c>
      <c r="U901" s="98">
        <v>8.5</v>
      </c>
      <c r="V901" s="98">
        <v>55.4</v>
      </c>
      <c r="W901" s="98">
        <v>40.84885632800404</v>
      </c>
      <c r="X901" s="98">
        <v>8.5</v>
      </c>
      <c r="Y901" s="233">
        <v>7.04</v>
      </c>
      <c r="Z901" s="48">
        <v>3.27</v>
      </c>
      <c r="AA901" s="48">
        <v>3.21</v>
      </c>
      <c r="AB901" s="48">
        <v>3</v>
      </c>
      <c r="AC901" s="48">
        <v>0.81420000000000003</v>
      </c>
      <c r="AD901" s="48">
        <v>2.99</v>
      </c>
      <c r="AE901" s="48">
        <v>2.98</v>
      </c>
      <c r="AF901" s="48">
        <f t="shared" si="184"/>
        <v>3.21</v>
      </c>
      <c r="AG901" s="49">
        <v>2.72</v>
      </c>
      <c r="AH901" s="98">
        <v>5.9399999999999998E-9</v>
      </c>
      <c r="AI901" s="98">
        <v>3.7200000000000002E-8</v>
      </c>
      <c r="AJ901" s="483">
        <f t="shared" si="183"/>
        <v>-6.614779881331458</v>
      </c>
      <c r="AK901" s="483">
        <f>LOG10(AI901*1000/(0.08206*298.15))</f>
        <v>-5.8180233864307542</v>
      </c>
      <c r="AL901" s="483">
        <f t="shared" si="182"/>
        <v>-5.8180233864307542</v>
      </c>
      <c r="AM901" s="483">
        <v>-10.412190000000001</v>
      </c>
      <c r="AN901" s="226">
        <v>-11.4</v>
      </c>
      <c r="AO901" s="484"/>
      <c r="AP901" s="484">
        <v>2.69</v>
      </c>
      <c r="AQ901" s="48" t="s">
        <v>6311</v>
      </c>
      <c r="AR901" s="48" t="s">
        <v>6311</v>
      </c>
      <c r="AS901" s="227"/>
      <c r="AT901" s="50" t="s">
        <v>266</v>
      </c>
      <c r="AU901" s="48">
        <v>6</v>
      </c>
      <c r="AV901" s="48">
        <v>120</v>
      </c>
      <c r="AW901" s="48">
        <v>114</v>
      </c>
      <c r="AX901" s="48">
        <v>28</v>
      </c>
      <c r="AY901" s="48" t="s">
        <v>8728</v>
      </c>
      <c r="AZ901" s="48" t="s">
        <v>1563</v>
      </c>
      <c r="BA901" s="48">
        <v>32</v>
      </c>
      <c r="BB901" s="47" t="s">
        <v>2485</v>
      </c>
      <c r="BC901" s="47" t="s">
        <v>8726</v>
      </c>
      <c r="BD901" s="47" t="s">
        <v>8374</v>
      </c>
      <c r="BE901" s="48" t="s">
        <v>2449</v>
      </c>
      <c r="BF901" s="48" t="s">
        <v>272</v>
      </c>
      <c r="BG901" s="48" t="s">
        <v>272</v>
      </c>
      <c r="BH901" s="48" t="s">
        <v>2486</v>
      </c>
      <c r="BI901" s="98">
        <v>1.4701440000000001E-3</v>
      </c>
      <c r="BJ901" s="98">
        <v>14.701440000000002</v>
      </c>
      <c r="BK901" s="48"/>
      <c r="BL901" s="487">
        <v>13.651893819855792</v>
      </c>
      <c r="BM901" s="47" t="s">
        <v>2487</v>
      </c>
      <c r="BN901" s="48"/>
      <c r="BO901" s="48"/>
      <c r="BP901" s="48"/>
      <c r="BQ901" s="48"/>
      <c r="BR901" s="47" t="e">
        <v>#VALUE!</v>
      </c>
      <c r="BS901" s="48"/>
      <c r="BT901" s="48"/>
      <c r="BU901" s="228">
        <v>0.14701440000000002</v>
      </c>
      <c r="BV901" s="48"/>
      <c r="BW901" s="48"/>
      <c r="BX901" s="48"/>
      <c r="BY901" s="48"/>
      <c r="BZ901" s="48"/>
      <c r="CA901" s="48"/>
      <c r="CB901" s="48"/>
      <c r="CC901" s="48"/>
      <c r="CD901" s="48"/>
      <c r="CE901" s="48"/>
      <c r="CF901" s="48"/>
      <c r="CG901" s="48"/>
      <c r="CH901" s="48"/>
      <c r="CI901" s="98"/>
      <c r="CJ901" s="98"/>
      <c r="CK901" s="49">
        <f t="shared" si="180"/>
        <v>0.92860929404573911</v>
      </c>
      <c r="CL901" s="229"/>
      <c r="CM901" s="229"/>
      <c r="CN901" s="229"/>
      <c r="CO901" s="47" t="s">
        <v>2488</v>
      </c>
      <c r="CP901" s="500" t="s">
        <v>2489</v>
      </c>
      <c r="CQ901" s="224">
        <v>0.68976600403850974</v>
      </c>
      <c r="CR901" s="224">
        <f>10^(CJ901-CQ901)</f>
        <v>0.20428383205287218</v>
      </c>
      <c r="CS901" s="230" t="s">
        <v>539</v>
      </c>
      <c r="CT901" s="230"/>
      <c r="CU901" s="230"/>
      <c r="CV901" s="335">
        <f t="shared" si="181"/>
        <v>0.57817465499978227</v>
      </c>
      <c r="CW901" s="230">
        <f t="shared" si="179"/>
        <v>0</v>
      </c>
      <c r="CX901" s="336"/>
      <c r="CY901" s="230" t="s">
        <v>5921</v>
      </c>
    </row>
    <row r="902" spans="1:103" ht="11.25" customHeight="1" x14ac:dyDescent="0.2">
      <c r="A902" s="72">
        <v>1269</v>
      </c>
      <c r="B902" s="224">
        <v>1572</v>
      </c>
      <c r="C902" s="46" t="s">
        <v>7387</v>
      </c>
      <c r="D902" s="46" t="s">
        <v>8552</v>
      </c>
      <c r="E902" s="114"/>
      <c r="F902" s="114" t="s">
        <v>2033</v>
      </c>
      <c r="G902" s="225">
        <v>6055192</v>
      </c>
      <c r="H902" s="47" t="s">
        <v>4715</v>
      </c>
      <c r="I902" s="47" t="s">
        <v>7770</v>
      </c>
      <c r="J902" s="47" t="s">
        <v>4716</v>
      </c>
      <c r="K902" s="47" t="s">
        <v>4717</v>
      </c>
      <c r="L902" s="47" t="s">
        <v>279</v>
      </c>
      <c r="M902" s="47" t="s">
        <v>459</v>
      </c>
      <c r="N902" s="47"/>
      <c r="O902" s="47" t="s">
        <v>281</v>
      </c>
      <c r="P902" s="53"/>
      <c r="Q902" s="53"/>
      <c r="R902" s="53"/>
      <c r="S902" s="53"/>
      <c r="T902" s="48">
        <v>323.35000000000002</v>
      </c>
      <c r="U902" s="98"/>
      <c r="V902" s="98">
        <v>89.33</v>
      </c>
      <c r="W902" s="98">
        <v>50080.985372535069</v>
      </c>
      <c r="X902" s="98">
        <v>50080.985372535069</v>
      </c>
      <c r="Y902" s="233">
        <v>8.02</v>
      </c>
      <c r="Z902" s="48">
        <v>2.34</v>
      </c>
      <c r="AA902" s="48"/>
      <c r="AB902" s="48">
        <v>1.6</v>
      </c>
      <c r="AC902" s="48">
        <v>0.5927</v>
      </c>
      <c r="AD902" s="48">
        <v>2.1800000000000002</v>
      </c>
      <c r="AE902" s="48">
        <v>3.47</v>
      </c>
      <c r="AF902" s="48">
        <f t="shared" si="184"/>
        <v>2.1800000000000002</v>
      </c>
      <c r="AG902" s="49">
        <v>2.21</v>
      </c>
      <c r="AH902" s="98">
        <v>4.4300000000000002E-20</v>
      </c>
      <c r="AI902" s="98"/>
      <c r="AJ902" s="483">
        <f t="shared" si="183"/>
        <v>-17.742162600089582</v>
      </c>
      <c r="AK902" s="483"/>
      <c r="AL902" s="483">
        <f t="shared" ref="AL902:AL905" si="185">IF(AK902=0,AJ902,AK902)</f>
        <v>-17.742162600089582</v>
      </c>
      <c r="AM902" s="483">
        <v>-21.79476</v>
      </c>
      <c r="AN902" s="226">
        <v>-11.1</v>
      </c>
      <c r="AO902" s="484"/>
      <c r="AP902" s="484">
        <v>2.84</v>
      </c>
      <c r="AQ902" s="48" t="s">
        <v>6311</v>
      </c>
      <c r="AR902" s="48" t="s">
        <v>6311</v>
      </c>
      <c r="AS902" s="227"/>
      <c r="AT902" s="50" t="s">
        <v>266</v>
      </c>
      <c r="AU902" s="48">
        <v>6</v>
      </c>
      <c r="AV902" s="48">
        <v>120</v>
      </c>
      <c r="AW902" s="48">
        <v>114</v>
      </c>
      <c r="AX902" s="48">
        <v>28</v>
      </c>
      <c r="AY902" s="48" t="s">
        <v>8728</v>
      </c>
      <c r="AZ902" s="48" t="s">
        <v>1563</v>
      </c>
      <c r="BA902" s="48">
        <v>32</v>
      </c>
      <c r="BB902" s="47" t="s">
        <v>2485</v>
      </c>
      <c r="BC902" s="47" t="s">
        <v>8726</v>
      </c>
      <c r="BD902" s="47" t="s">
        <v>8374</v>
      </c>
      <c r="BE902" s="48" t="s">
        <v>2449</v>
      </c>
      <c r="BF902" s="48" t="s">
        <v>272</v>
      </c>
      <c r="BG902" s="48" t="s">
        <v>272</v>
      </c>
      <c r="BH902" s="48" t="s">
        <v>2486</v>
      </c>
      <c r="BI902" s="98">
        <v>2.0694400000000001E-3</v>
      </c>
      <c r="BJ902" s="98">
        <v>20.694400000000002</v>
      </c>
      <c r="BK902" s="48"/>
      <c r="BL902" s="487">
        <v>131.49791453791579</v>
      </c>
      <c r="BM902" s="47" t="s">
        <v>2487</v>
      </c>
      <c r="BN902" s="48"/>
      <c r="BO902" s="48"/>
      <c r="BP902" s="48"/>
      <c r="BQ902" s="48"/>
      <c r="BR902" s="47" t="e">
        <v>#VALUE!</v>
      </c>
      <c r="BS902" s="48"/>
      <c r="BT902" s="48"/>
      <c r="BU902" s="228"/>
      <c r="BV902" s="48"/>
      <c r="BW902" s="48"/>
      <c r="BX902" s="48"/>
      <c r="BY902" s="48"/>
      <c r="BZ902" s="48"/>
      <c r="CA902" s="48"/>
      <c r="CB902" s="48"/>
      <c r="CC902" s="48"/>
      <c r="CD902" s="48"/>
      <c r="CE902" s="48"/>
      <c r="CF902" s="48"/>
      <c r="CG902" s="48"/>
      <c r="CH902" s="48"/>
      <c r="CI902" s="98"/>
      <c r="CJ902" s="98"/>
      <c r="CK902" s="49">
        <f t="shared" si="180"/>
        <v>6.354275288866349</v>
      </c>
      <c r="CL902" s="229"/>
      <c r="CM902" s="229"/>
      <c r="CN902" s="229"/>
      <c r="CO902" s="47" t="s">
        <v>2488</v>
      </c>
      <c r="CP902" s="500" t="s">
        <v>2489</v>
      </c>
      <c r="CQ902" s="224" t="s">
        <v>272</v>
      </c>
      <c r="CR902" s="224"/>
      <c r="CS902" s="230" t="s">
        <v>539</v>
      </c>
      <c r="CT902" s="230"/>
      <c r="CU902" s="230"/>
      <c r="CV902" s="335">
        <f t="shared" si="181"/>
        <v>2420.0259670507512</v>
      </c>
      <c r="CW902" s="230">
        <f t="shared" si="179"/>
        <v>1</v>
      </c>
      <c r="CX902" s="336"/>
      <c r="CY902" s="230" t="s">
        <v>5921</v>
      </c>
    </row>
    <row r="903" spans="1:103" ht="11.25" customHeight="1" x14ac:dyDescent="0.2">
      <c r="A903" s="72">
        <v>1270</v>
      </c>
      <c r="B903" s="224">
        <v>1798</v>
      </c>
      <c r="C903" s="46" t="s">
        <v>7388</v>
      </c>
      <c r="D903" s="46"/>
      <c r="E903" s="114"/>
      <c r="F903" s="114" t="s">
        <v>5172</v>
      </c>
      <c r="G903" s="225">
        <v>6153646</v>
      </c>
      <c r="H903" s="47" t="s">
        <v>5173</v>
      </c>
      <c r="I903" s="47" t="s">
        <v>7781</v>
      </c>
      <c r="J903" s="47" t="s">
        <v>5174</v>
      </c>
      <c r="K903" s="47" t="s">
        <v>3608</v>
      </c>
      <c r="L903" s="47"/>
      <c r="M903" s="47"/>
      <c r="N903" s="47"/>
      <c r="O903" s="47"/>
      <c r="P903" s="53"/>
      <c r="Q903" s="53" t="s">
        <v>6173</v>
      </c>
      <c r="R903" s="53" t="s">
        <v>6185</v>
      </c>
      <c r="S903" s="53" t="s">
        <v>6182</v>
      </c>
      <c r="T903" s="48">
        <v>334.41</v>
      </c>
      <c r="U903" s="98"/>
      <c r="V903" s="98">
        <v>780.4</v>
      </c>
      <c r="W903" s="98">
        <v>278.15012269444401</v>
      </c>
      <c r="X903" s="98">
        <v>278.15012269444401</v>
      </c>
      <c r="Y903" s="233">
        <v>9.65</v>
      </c>
      <c r="Z903" s="48">
        <v>1.1599999999999999</v>
      </c>
      <c r="AA903" s="48"/>
      <c r="AB903" s="48">
        <v>1.6</v>
      </c>
      <c r="AC903" s="48">
        <v>0.88100000000000001</v>
      </c>
      <c r="AD903" s="48">
        <v>1.62</v>
      </c>
      <c r="AE903" s="48">
        <v>1.74</v>
      </c>
      <c r="AF903" s="48">
        <f t="shared" si="184"/>
        <v>1.62</v>
      </c>
      <c r="AG903" s="49">
        <v>2.41</v>
      </c>
      <c r="AH903" s="98">
        <v>5.9600000000000006E-14</v>
      </c>
      <c r="AI903" s="98"/>
      <c r="AJ903" s="483">
        <f t="shared" si="183"/>
        <v>-11.613320066572415</v>
      </c>
      <c r="AK903" s="483"/>
      <c r="AL903" s="483">
        <f t="shared" si="185"/>
        <v>-11.613320066572415</v>
      </c>
      <c r="AM903" s="483">
        <v>-17.42351</v>
      </c>
      <c r="AN903" s="226">
        <v>-17.8</v>
      </c>
      <c r="AO903" s="484"/>
      <c r="AP903" s="484">
        <v>8.3699999999999992</v>
      </c>
      <c r="AQ903" s="226" t="s">
        <v>6311</v>
      </c>
      <c r="AR903" s="226" t="s">
        <v>6311</v>
      </c>
      <c r="AS903" s="224"/>
      <c r="AT903" s="50" t="s">
        <v>266</v>
      </c>
      <c r="AU903" s="48">
        <v>6</v>
      </c>
      <c r="AV903" s="48">
        <v>120</v>
      </c>
      <c r="AW903" s="48">
        <v>114</v>
      </c>
      <c r="AX903" s="48">
        <v>28</v>
      </c>
      <c r="AY903" s="48" t="s">
        <v>8728</v>
      </c>
      <c r="AZ903" s="48" t="s">
        <v>1563</v>
      </c>
      <c r="BA903" s="48">
        <v>32</v>
      </c>
      <c r="BB903" s="47" t="s">
        <v>2485</v>
      </c>
      <c r="BC903" s="47" t="s">
        <v>8726</v>
      </c>
      <c r="BD903" s="47" t="s">
        <v>8374</v>
      </c>
      <c r="BE903" s="48" t="s">
        <v>2449</v>
      </c>
      <c r="BF903" s="48" t="s">
        <v>272</v>
      </c>
      <c r="BG903" s="48" t="s">
        <v>272</v>
      </c>
      <c r="BH903" s="48" t="s">
        <v>2486</v>
      </c>
      <c r="BI903" s="98">
        <v>2.140224E-3</v>
      </c>
      <c r="BJ903" s="98">
        <v>21.402240000000003</v>
      </c>
      <c r="BK903" s="48"/>
      <c r="BL903" s="487">
        <v>1560.5700070237608</v>
      </c>
      <c r="BM903" s="47" t="s">
        <v>2487</v>
      </c>
      <c r="BN903" s="48"/>
      <c r="BO903" s="48"/>
      <c r="BP903" s="48"/>
      <c r="BQ903" s="48"/>
      <c r="BR903" s="47"/>
      <c r="BS903" s="48"/>
      <c r="BT903" s="48"/>
      <c r="BU903" s="228"/>
      <c r="BV903" s="48"/>
      <c r="BW903" s="48"/>
      <c r="BX903" s="48"/>
      <c r="BY903" s="48"/>
      <c r="BZ903" s="48"/>
      <c r="CA903" s="48"/>
      <c r="CB903" s="48"/>
      <c r="CC903" s="48"/>
      <c r="CD903" s="48"/>
      <c r="CE903" s="48"/>
      <c r="CF903" s="48"/>
      <c r="CG903" s="48"/>
      <c r="CH903" s="48"/>
      <c r="CI903" s="52"/>
      <c r="CJ903" s="98"/>
      <c r="CK903" s="49">
        <f t="shared" si="180"/>
        <v>72.916199754033258</v>
      </c>
      <c r="CL903" s="229"/>
      <c r="CM903" s="229"/>
      <c r="CN903" s="229"/>
      <c r="CO903" s="47" t="s">
        <v>2488</v>
      </c>
      <c r="CP903" s="500" t="s">
        <v>2489</v>
      </c>
      <c r="CQ903" s="224" t="s">
        <v>272</v>
      </c>
      <c r="CR903" s="224"/>
      <c r="CS903" s="230" t="s">
        <v>539</v>
      </c>
      <c r="CT903" s="230"/>
      <c r="CU903" s="230"/>
      <c r="CV903" s="335">
        <f t="shared" si="181"/>
        <v>12.996308923479223</v>
      </c>
      <c r="CW903" s="230">
        <f t="shared" si="179"/>
        <v>1</v>
      </c>
      <c r="CX903" s="336"/>
      <c r="CY903" s="230" t="s">
        <v>5921</v>
      </c>
    </row>
    <row r="904" spans="1:103" ht="11.25" customHeight="1" x14ac:dyDescent="0.2">
      <c r="A904" s="72">
        <v>1271</v>
      </c>
      <c r="B904" s="224">
        <v>1868</v>
      </c>
      <c r="C904" s="46" t="s">
        <v>7389</v>
      </c>
      <c r="D904" s="46"/>
      <c r="E904" s="114"/>
      <c r="F904" s="114" t="s">
        <v>5309</v>
      </c>
      <c r="G904" s="225">
        <v>6381777</v>
      </c>
      <c r="H904" s="47" t="s">
        <v>5310</v>
      </c>
      <c r="I904" s="47" t="s">
        <v>5310</v>
      </c>
      <c r="J904" s="47" t="s">
        <v>5311</v>
      </c>
      <c r="K904" s="47" t="s">
        <v>3519</v>
      </c>
      <c r="L904" s="47"/>
      <c r="M904" s="47"/>
      <c r="N904" s="47"/>
      <c r="O904" s="47"/>
      <c r="P904" s="53"/>
      <c r="Q904" s="53"/>
      <c r="R904" s="53"/>
      <c r="S904" s="53"/>
      <c r="T904" s="48">
        <v>176.12</v>
      </c>
      <c r="U904" s="98">
        <v>400000</v>
      </c>
      <c r="V904" s="98">
        <v>1000000</v>
      </c>
      <c r="W904" s="98">
        <v>531873.89699720324</v>
      </c>
      <c r="X904" s="98">
        <v>400000</v>
      </c>
      <c r="Y904" s="233">
        <v>1.8</v>
      </c>
      <c r="Z904" s="48">
        <v>-1.88</v>
      </c>
      <c r="AA904" s="48">
        <v>-1.85</v>
      </c>
      <c r="AB904" s="48">
        <v>-1.65</v>
      </c>
      <c r="AC904" s="48">
        <v>0.76139999999999997</v>
      </c>
      <c r="AD904" s="48">
        <v>-1.89</v>
      </c>
      <c r="AE904" s="48">
        <v>-2.41</v>
      </c>
      <c r="AF904" s="48">
        <f t="shared" si="184"/>
        <v>-1.85</v>
      </c>
      <c r="AG904" s="49">
        <v>-1.89</v>
      </c>
      <c r="AH904" s="98">
        <v>4.07E-8</v>
      </c>
      <c r="AI904" s="98"/>
      <c r="AJ904" s="483">
        <f t="shared" si="183"/>
        <v>-5.7789719170874321</v>
      </c>
      <c r="AK904" s="483"/>
      <c r="AL904" s="483">
        <f t="shared" si="185"/>
        <v>-5.7789719170874321</v>
      </c>
      <c r="AM904" s="483">
        <v>-18.041989999999998</v>
      </c>
      <c r="AN904" s="226"/>
      <c r="AO904" s="484">
        <v>4.09</v>
      </c>
      <c r="AP904" s="484"/>
      <c r="AQ904" s="226" t="s">
        <v>6311</v>
      </c>
      <c r="AR904" s="226" t="s">
        <v>6311</v>
      </c>
      <c r="AS904" s="224"/>
      <c r="AT904" s="50" t="s">
        <v>266</v>
      </c>
      <c r="AU904" s="48">
        <v>6</v>
      </c>
      <c r="AV904" s="48">
        <v>120</v>
      </c>
      <c r="AW904" s="48">
        <v>114</v>
      </c>
      <c r="AX904" s="48">
        <v>28</v>
      </c>
      <c r="AY904" s="48" t="s">
        <v>8728</v>
      </c>
      <c r="AZ904" s="48" t="s">
        <v>1563</v>
      </c>
      <c r="BA904" s="48">
        <v>32</v>
      </c>
      <c r="BB904" s="47" t="s">
        <v>2485</v>
      </c>
      <c r="BC904" s="47" t="s">
        <v>8726</v>
      </c>
      <c r="BD904" s="47" t="s">
        <v>8374</v>
      </c>
      <c r="BE904" s="48" t="s">
        <v>2449</v>
      </c>
      <c r="BF904" s="48" t="s">
        <v>272</v>
      </c>
      <c r="BG904" s="48" t="s">
        <v>272</v>
      </c>
      <c r="BH904" s="48" t="s">
        <v>2486</v>
      </c>
      <c r="BI904" s="98">
        <v>1.127168E-3</v>
      </c>
      <c r="BJ904" s="98">
        <v>11.27168</v>
      </c>
      <c r="BK904" s="48"/>
      <c r="BL904" s="487">
        <v>441607.74018113897</v>
      </c>
      <c r="BM904" s="47" t="s">
        <v>2487</v>
      </c>
      <c r="BN904" s="48"/>
      <c r="BO904" s="48"/>
      <c r="BP904" s="48"/>
      <c r="BQ904" s="48"/>
      <c r="BR904" s="47" t="e">
        <v>#VALUE!</v>
      </c>
      <c r="BS904" s="48"/>
      <c r="BT904" s="48"/>
      <c r="BU904" s="228"/>
      <c r="BV904" s="48"/>
      <c r="BW904" s="48"/>
      <c r="BX904" s="48"/>
      <c r="BY904" s="48"/>
      <c r="BZ904" s="48"/>
      <c r="CA904" s="48"/>
      <c r="CB904" s="48"/>
      <c r="CC904" s="48"/>
      <c r="CD904" s="48"/>
      <c r="CE904" s="48"/>
      <c r="CF904" s="48"/>
      <c r="CG904" s="48"/>
      <c r="CH904" s="48"/>
      <c r="CI904" s="98"/>
      <c r="CJ904" s="98"/>
      <c r="CK904" s="49">
        <f t="shared" si="180"/>
        <v>39178.519988248336</v>
      </c>
      <c r="CL904" s="229"/>
      <c r="CM904" s="229"/>
      <c r="CN904" s="229"/>
      <c r="CO904" s="47" t="s">
        <v>2488</v>
      </c>
      <c r="CP904" s="500" t="s">
        <v>2489</v>
      </c>
      <c r="CQ904" s="224" t="s">
        <v>272</v>
      </c>
      <c r="CR904" s="224"/>
      <c r="CS904" s="230" t="s">
        <v>539</v>
      </c>
      <c r="CT904" s="230"/>
      <c r="CU904" s="230"/>
      <c r="CV904" s="335">
        <f t="shared" si="181"/>
        <v>35487.167840109018</v>
      </c>
      <c r="CW904" s="230">
        <f t="shared" si="179"/>
        <v>1</v>
      </c>
      <c r="CX904" s="336"/>
      <c r="CY904" s="230" t="s">
        <v>6351</v>
      </c>
    </row>
    <row r="905" spans="1:103" ht="11.25" customHeight="1" x14ac:dyDescent="0.2">
      <c r="A905" s="72">
        <v>1272</v>
      </c>
      <c r="B905" s="224">
        <v>1631</v>
      </c>
      <c r="C905" s="46" t="s">
        <v>7390</v>
      </c>
      <c r="D905" s="46"/>
      <c r="E905" s="114"/>
      <c r="F905" s="114" t="s">
        <v>4831</v>
      </c>
      <c r="G905" s="225">
        <v>6385622</v>
      </c>
      <c r="H905" s="47" t="s">
        <v>4832</v>
      </c>
      <c r="I905" s="47" t="s">
        <v>7776</v>
      </c>
      <c r="J905" s="47" t="s">
        <v>4833</v>
      </c>
      <c r="K905" s="47" t="s">
        <v>426</v>
      </c>
      <c r="L905" s="51"/>
      <c r="M905" s="47"/>
      <c r="N905" s="47"/>
      <c r="O905" s="47"/>
      <c r="P905" s="53"/>
      <c r="Q905" s="53"/>
      <c r="R905" s="53"/>
      <c r="S905" s="53"/>
      <c r="T905" s="48">
        <v>184.24</v>
      </c>
      <c r="U905" s="98"/>
      <c r="V905" s="98">
        <v>14959.999999999998</v>
      </c>
      <c r="W905" s="98">
        <v>495888.37227549503</v>
      </c>
      <c r="X905" s="98">
        <v>495888.37227549503</v>
      </c>
      <c r="Y905" s="233">
        <v>7</v>
      </c>
      <c r="Z905" s="48">
        <v>-0.67</v>
      </c>
      <c r="AA905" s="48"/>
      <c r="AB905" s="48">
        <v>-5.75</v>
      </c>
      <c r="AC905" s="48">
        <v>0.51390000000000002</v>
      </c>
      <c r="AD905" s="48">
        <v>-5.24</v>
      </c>
      <c r="AE905" s="48">
        <v>-4.71</v>
      </c>
      <c r="AF905" s="48">
        <f t="shared" si="184"/>
        <v>-5.24</v>
      </c>
      <c r="AG905" s="49">
        <v>-5.24</v>
      </c>
      <c r="AH905" s="98">
        <v>1.42E-13</v>
      </c>
      <c r="AI905" s="98"/>
      <c r="AJ905" s="483">
        <f t="shared" si="183"/>
        <v>-11.236277981929595</v>
      </c>
      <c r="AK905" s="483"/>
      <c r="AL905" s="483">
        <f t="shared" si="185"/>
        <v>-11.236277981929595</v>
      </c>
      <c r="AM905" s="483">
        <v>-4.3412300000000004</v>
      </c>
      <c r="AN905" s="226"/>
      <c r="AO905" s="484"/>
      <c r="AP905" s="484"/>
      <c r="AQ905" s="226" t="s">
        <v>6311</v>
      </c>
      <c r="AR905" s="226" t="s">
        <v>6311</v>
      </c>
      <c r="AS905" s="224"/>
      <c r="AT905" s="50" t="s">
        <v>266</v>
      </c>
      <c r="AU905" s="48">
        <v>6</v>
      </c>
      <c r="AV905" s="48">
        <v>120</v>
      </c>
      <c r="AW905" s="48">
        <v>114</v>
      </c>
      <c r="AX905" s="48">
        <v>28</v>
      </c>
      <c r="AY905" s="48" t="s">
        <v>8728</v>
      </c>
      <c r="AZ905" s="48" t="s">
        <v>1563</v>
      </c>
      <c r="BA905" s="48">
        <v>32</v>
      </c>
      <c r="BB905" s="47" t="s">
        <v>2485</v>
      </c>
      <c r="BC905" s="47" t="s">
        <v>8726</v>
      </c>
      <c r="BD905" s="47" t="s">
        <v>8374</v>
      </c>
      <c r="BE905" s="48" t="s">
        <v>2449</v>
      </c>
      <c r="BF905" s="48" t="s">
        <v>272</v>
      </c>
      <c r="BG905" s="48" t="s">
        <v>272</v>
      </c>
      <c r="BH905" s="48" t="s">
        <v>2486</v>
      </c>
      <c r="BI905" s="98">
        <v>1.1791359999999999E-3</v>
      </c>
      <c r="BJ905" s="98">
        <v>11.791360000000001</v>
      </c>
      <c r="BK905" s="48"/>
      <c r="BL905" s="487">
        <v>37836.497301703173</v>
      </c>
      <c r="BM905" s="47" t="s">
        <v>2487</v>
      </c>
      <c r="BN905" s="48"/>
      <c r="BO905" s="48"/>
      <c r="BP905" s="48"/>
      <c r="BQ905" s="48"/>
      <c r="BR905" s="47" t="e">
        <v>#VALUE!</v>
      </c>
      <c r="BS905" s="48"/>
      <c r="BT905" s="48"/>
      <c r="BU905" s="228"/>
      <c r="BV905" s="48"/>
      <c r="BW905" s="48"/>
      <c r="BX905" s="48"/>
      <c r="BY905" s="48"/>
      <c r="BZ905" s="48"/>
      <c r="CA905" s="48"/>
      <c r="CB905" s="48"/>
      <c r="CC905" s="48"/>
      <c r="CD905" s="48"/>
      <c r="CE905" s="48"/>
      <c r="CF905" s="48"/>
      <c r="CG905" s="48"/>
      <c r="CH905" s="48"/>
      <c r="CI905" s="98"/>
      <c r="CJ905" s="98"/>
      <c r="CK905" s="49">
        <f t="shared" si="180"/>
        <v>3208.8323400950503</v>
      </c>
      <c r="CL905" s="229"/>
      <c r="CM905" s="229"/>
      <c r="CN905" s="229"/>
      <c r="CO905" s="47" t="s">
        <v>2488</v>
      </c>
      <c r="CP905" s="500" t="s">
        <v>2489</v>
      </c>
      <c r="CQ905" s="224" t="s">
        <v>272</v>
      </c>
      <c r="CR905" s="224"/>
      <c r="CS905" s="230" t="s">
        <v>539</v>
      </c>
      <c r="CT905" s="230"/>
      <c r="CU905" s="230"/>
      <c r="CV905" s="335">
        <f t="shared" si="181"/>
        <v>42055.23131135806</v>
      </c>
      <c r="CW905" s="230">
        <f t="shared" si="179"/>
        <v>1</v>
      </c>
      <c r="CX905" s="336"/>
      <c r="CY905" s="230" t="s">
        <v>5921</v>
      </c>
    </row>
    <row r="906" spans="1:103" ht="11.25" customHeight="1" x14ac:dyDescent="0.2">
      <c r="A906" s="72">
        <v>1273</v>
      </c>
      <c r="B906" s="224">
        <v>1727</v>
      </c>
      <c r="C906" s="46" t="s">
        <v>1293</v>
      </c>
      <c r="D906" s="46"/>
      <c r="E906" s="114"/>
      <c r="F906" s="114" t="s">
        <v>1294</v>
      </c>
      <c r="G906" s="225">
        <v>6734801</v>
      </c>
      <c r="H906" s="47" t="s">
        <v>5001</v>
      </c>
      <c r="I906" s="47"/>
      <c r="J906" s="47" t="s">
        <v>5002</v>
      </c>
      <c r="K906" s="47" t="s">
        <v>1297</v>
      </c>
      <c r="L906" s="47"/>
      <c r="M906" s="47"/>
      <c r="N906" s="47"/>
      <c r="O906" s="47"/>
      <c r="P906" s="53"/>
      <c r="Q906" s="53"/>
      <c r="R906" s="53"/>
      <c r="S906" s="53"/>
      <c r="T906" s="48">
        <v>129.18</v>
      </c>
      <c r="U906" s="98">
        <v>722000</v>
      </c>
      <c r="V906" s="98">
        <v>1000000</v>
      </c>
      <c r="W906" s="98">
        <v>22971.813418882801</v>
      </c>
      <c r="X906" s="98">
        <v>722000</v>
      </c>
      <c r="Y906" s="233">
        <v>1.98</v>
      </c>
      <c r="Z906" s="48">
        <v>-2.62</v>
      </c>
      <c r="AA906" s="48"/>
      <c r="AB906" s="48">
        <v>0.78</v>
      </c>
      <c r="AC906" s="48">
        <v>0.66080000000000005</v>
      </c>
      <c r="AD906" s="48">
        <v>0.78</v>
      </c>
      <c r="AE906" s="48">
        <v>0.78</v>
      </c>
      <c r="AF906" s="48">
        <f t="shared" si="184"/>
        <v>0.78</v>
      </c>
      <c r="AG906" s="49">
        <v>0.78</v>
      </c>
      <c r="AH906" s="98"/>
      <c r="AI906" s="98"/>
      <c r="AJ906" s="483"/>
      <c r="AK906" s="483"/>
      <c r="AL906" s="483"/>
      <c r="AM906" s="483">
        <v>-6.0241499999999997</v>
      </c>
      <c r="AN906" s="226"/>
      <c r="AO906" s="484">
        <v>4.63</v>
      </c>
      <c r="AP906" s="484">
        <v>0.87</v>
      </c>
      <c r="AQ906" s="226" t="s">
        <v>6311</v>
      </c>
      <c r="AR906" s="226" t="s">
        <v>6311</v>
      </c>
      <c r="AS906" s="224"/>
      <c r="AT906" s="50" t="s">
        <v>266</v>
      </c>
      <c r="AU906" s="48">
        <v>6</v>
      </c>
      <c r="AV906" s="48">
        <v>120</v>
      </c>
      <c r="AW906" s="48">
        <v>114</v>
      </c>
      <c r="AX906" s="48">
        <v>28</v>
      </c>
      <c r="AY906" s="48" t="s">
        <v>8728</v>
      </c>
      <c r="AZ906" s="48" t="s">
        <v>1563</v>
      </c>
      <c r="BA906" s="48">
        <v>32</v>
      </c>
      <c r="BB906" s="47" t="s">
        <v>2485</v>
      </c>
      <c r="BC906" s="47" t="s">
        <v>8726</v>
      </c>
      <c r="BD906" s="47" t="s">
        <v>8374</v>
      </c>
      <c r="BE906" s="48" t="s">
        <v>2449</v>
      </c>
      <c r="BF906" s="48" t="s">
        <v>272</v>
      </c>
      <c r="BG906" s="48" t="s">
        <v>272</v>
      </c>
      <c r="BH906" s="48" t="s">
        <v>2486</v>
      </c>
      <c r="BI906" s="98">
        <v>8.2675200000000004E-4</v>
      </c>
      <c r="BJ906" s="98">
        <v>8.2675200000000011</v>
      </c>
      <c r="BK906" s="48"/>
      <c r="BL906" s="487">
        <v>1496295.1912198346</v>
      </c>
      <c r="BM906" s="47" t="s">
        <v>2487</v>
      </c>
      <c r="BN906" s="48"/>
      <c r="BO906" s="48"/>
      <c r="BP906" s="48"/>
      <c r="BQ906" s="48"/>
      <c r="BR906" s="47" t="e">
        <v>#VALUE!</v>
      </c>
      <c r="BS906" s="48"/>
      <c r="BT906" s="48"/>
      <c r="BU906" s="228"/>
      <c r="BV906" s="48"/>
      <c r="BW906" s="48"/>
      <c r="BX906" s="48"/>
      <c r="BY906" s="48"/>
      <c r="BZ906" s="48"/>
      <c r="CA906" s="48"/>
      <c r="CB906" s="48"/>
      <c r="CC906" s="48"/>
      <c r="CD906" s="48"/>
      <c r="CE906" s="48"/>
      <c r="CF906" s="48"/>
      <c r="CG906" s="48"/>
      <c r="CH906" s="48"/>
      <c r="CI906" s="98"/>
      <c r="CJ906" s="98"/>
      <c r="CK906" s="49">
        <f t="shared" si="180"/>
        <v>180984.76825212812</v>
      </c>
      <c r="CL906" s="229"/>
      <c r="CM906" s="229"/>
      <c r="CN906" s="229"/>
      <c r="CO906" s="47" t="s">
        <v>2488</v>
      </c>
      <c r="CP906" s="500" t="s">
        <v>2489</v>
      </c>
      <c r="CQ906" s="224" t="s">
        <v>272</v>
      </c>
      <c r="CR906" s="224"/>
      <c r="CS906" s="230" t="s">
        <v>539</v>
      </c>
      <c r="CT906" s="230"/>
      <c r="CU906" s="230"/>
      <c r="CV906" s="335">
        <f t="shared" si="181"/>
        <v>87329.694999225874</v>
      </c>
      <c r="CW906" s="230">
        <f t="shared" si="179"/>
        <v>1</v>
      </c>
      <c r="CX906" s="336"/>
      <c r="CY906" s="230" t="s">
        <v>5921</v>
      </c>
    </row>
    <row r="907" spans="1:103" ht="11.25" customHeight="1" x14ac:dyDescent="0.2">
      <c r="A907" s="72">
        <v>1274</v>
      </c>
      <c r="B907" s="224">
        <v>972</v>
      </c>
      <c r="C907" s="46" t="s">
        <v>7391</v>
      </c>
      <c r="D907" s="46"/>
      <c r="E907" s="114"/>
      <c r="F907" s="114" t="s">
        <v>6421</v>
      </c>
      <c r="G907" s="225">
        <v>6893023</v>
      </c>
      <c r="H907" s="47" t="s">
        <v>2773</v>
      </c>
      <c r="I907" s="47" t="s">
        <v>7808</v>
      </c>
      <c r="J907" s="47" t="s">
        <v>2774</v>
      </c>
      <c r="K907" s="47" t="s">
        <v>2775</v>
      </c>
      <c r="L907" s="47" t="s">
        <v>279</v>
      </c>
      <c r="M907" s="47" t="s">
        <v>2776</v>
      </c>
      <c r="N907" s="47"/>
      <c r="O907" s="47" t="s">
        <v>281</v>
      </c>
      <c r="P907" s="53"/>
      <c r="Q907" s="53"/>
      <c r="R907" s="53"/>
      <c r="S907" s="53"/>
      <c r="T907" s="48">
        <v>650.97</v>
      </c>
      <c r="U907" s="98">
        <v>3.96</v>
      </c>
      <c r="V907" s="98">
        <v>7.1850000000000004E-3</v>
      </c>
      <c r="W907" s="98">
        <v>12.988559091752899</v>
      </c>
      <c r="X907" s="98">
        <v>3.96</v>
      </c>
      <c r="Y907" s="233">
        <v>6.36</v>
      </c>
      <c r="Z907" s="48">
        <v>2.96</v>
      </c>
      <c r="AA907" s="48"/>
      <c r="AB907" s="48">
        <v>3.84</v>
      </c>
      <c r="AC907" s="48">
        <v>0.8256</v>
      </c>
      <c r="AD907" s="48">
        <v>4.12</v>
      </c>
      <c r="AE907" s="48">
        <v>5.08</v>
      </c>
      <c r="AF907" s="48">
        <f t="shared" si="184"/>
        <v>4.12</v>
      </c>
      <c r="AG907" s="49">
        <v>2.97</v>
      </c>
      <c r="AH907" s="98">
        <v>3.41E-18</v>
      </c>
      <c r="AI907" s="98"/>
      <c r="AJ907" s="483">
        <f t="shared" ref="AJ907:AJ913" si="186">LOG10(AH907*1000/(0.08206*298.15))</f>
        <v>-15.855811947320154</v>
      </c>
      <c r="AK907" s="483"/>
      <c r="AL907" s="483">
        <f t="shared" ref="AL907:AL913" si="187">IF(AK907=0,AJ907,AK907)</f>
        <v>-15.855811947320154</v>
      </c>
      <c r="AM907" s="483">
        <v>-23.655180000000001</v>
      </c>
      <c r="AN907" s="226">
        <v>-15.8</v>
      </c>
      <c r="AO907" s="484">
        <v>2.13</v>
      </c>
      <c r="AP907" s="484">
        <v>8.27</v>
      </c>
      <c r="AQ907" s="48" t="s">
        <v>5921</v>
      </c>
      <c r="AR907" s="48" t="s">
        <v>5921</v>
      </c>
      <c r="AS907" s="227"/>
      <c r="AT907" s="50" t="s">
        <v>266</v>
      </c>
      <c r="AU907" s="48">
        <v>6</v>
      </c>
      <c r="AV907" s="48">
        <v>120</v>
      </c>
      <c r="AW907" s="48">
        <v>114</v>
      </c>
      <c r="AX907" s="48">
        <v>28</v>
      </c>
      <c r="AY907" s="48" t="s">
        <v>8728</v>
      </c>
      <c r="AZ907" s="48" t="s">
        <v>1563</v>
      </c>
      <c r="BA907" s="48">
        <v>32</v>
      </c>
      <c r="BB907" s="47" t="s">
        <v>2485</v>
      </c>
      <c r="BC907" s="47" t="s">
        <v>8726</v>
      </c>
      <c r="BD907" s="47" t="s">
        <v>8374</v>
      </c>
      <c r="BE907" s="48" t="s">
        <v>2449</v>
      </c>
      <c r="BF907" s="48" t="s">
        <v>272</v>
      </c>
      <c r="BG907" s="48" t="s">
        <v>272</v>
      </c>
      <c r="BH907" s="48" t="s">
        <v>2486</v>
      </c>
      <c r="BI907" s="98">
        <v>4.1662080000000002E-3</v>
      </c>
      <c r="BJ907" s="98">
        <v>41.662080000000003</v>
      </c>
      <c r="BK907" s="48"/>
      <c r="BL907" s="487">
        <v>73.448845632043259</v>
      </c>
      <c r="BM907" s="47" t="s">
        <v>2046</v>
      </c>
      <c r="BN907" s="48"/>
      <c r="BO907" s="48"/>
      <c r="BP907" s="48"/>
      <c r="BQ907" s="48"/>
      <c r="BR907" s="47">
        <v>1053.9765188771401</v>
      </c>
      <c r="BS907" s="48"/>
      <c r="BT907" s="48"/>
      <c r="BU907" s="228">
        <v>0.33329663999999998</v>
      </c>
      <c r="BV907" s="48"/>
      <c r="BW907" s="48"/>
      <c r="BX907" s="48"/>
      <c r="BY907" s="48"/>
      <c r="BZ907" s="48"/>
      <c r="CA907" s="48"/>
      <c r="CB907" s="48"/>
      <c r="CC907" s="48"/>
      <c r="CD907" s="48"/>
      <c r="CE907" s="48"/>
      <c r="CF907" s="48"/>
      <c r="CG907" s="48"/>
      <c r="CH907" s="48"/>
      <c r="CI907" s="98"/>
      <c r="CJ907" s="98"/>
      <c r="CK907" s="49">
        <f t="shared" si="180"/>
        <v>1.7629663625062229</v>
      </c>
      <c r="CL907" s="229"/>
      <c r="CM907" s="229"/>
      <c r="CN907" s="229"/>
      <c r="CO907" s="47" t="s">
        <v>2488</v>
      </c>
      <c r="CP907" s="500" t="s">
        <v>2489</v>
      </c>
      <c r="CQ907" s="224" t="s">
        <v>272</v>
      </c>
      <c r="CR907" s="224"/>
      <c r="CS907" s="230" t="s">
        <v>539</v>
      </c>
      <c r="CT907" s="230"/>
      <c r="CU907" s="230"/>
      <c r="CV907" s="335">
        <f t="shared" si="181"/>
        <v>9.5050463154984097E-2</v>
      </c>
      <c r="CW907" s="230">
        <f t="shared" si="179"/>
        <v>0</v>
      </c>
      <c r="CX907" s="336"/>
      <c r="CY907" s="230" t="s">
        <v>5921</v>
      </c>
    </row>
    <row r="908" spans="1:103" ht="11.25" customHeight="1" x14ac:dyDescent="0.2">
      <c r="A908" s="72">
        <v>1275</v>
      </c>
      <c r="B908" s="224">
        <v>949</v>
      </c>
      <c r="C908" s="46" t="s">
        <v>7392</v>
      </c>
      <c r="D908" s="46"/>
      <c r="E908" s="114"/>
      <c r="F908" s="114" t="s">
        <v>2711</v>
      </c>
      <c r="G908" s="225">
        <v>6915157</v>
      </c>
      <c r="H908" s="47" t="s">
        <v>2712</v>
      </c>
      <c r="I908" s="47" t="s">
        <v>2712</v>
      </c>
      <c r="J908" s="47" t="s">
        <v>2713</v>
      </c>
      <c r="K908" s="47" t="s">
        <v>426</v>
      </c>
      <c r="L908" s="47"/>
      <c r="M908" s="47"/>
      <c r="N908" s="47"/>
      <c r="O908" s="47"/>
      <c r="P908" s="53"/>
      <c r="Q908" s="53"/>
      <c r="R908" s="53"/>
      <c r="S908" s="53"/>
      <c r="T908" s="48">
        <v>134.09</v>
      </c>
      <c r="U908" s="98">
        <v>1000000</v>
      </c>
      <c r="V908" s="98">
        <v>1000000</v>
      </c>
      <c r="W908" s="98">
        <v>994022.90256040054</v>
      </c>
      <c r="X908" s="98">
        <v>1000000</v>
      </c>
      <c r="Y908" s="233">
        <v>1.1100000000000001</v>
      </c>
      <c r="Z908" s="48">
        <v>-1.68</v>
      </c>
      <c r="AA908" s="48">
        <v>-1.26</v>
      </c>
      <c r="AB908" s="48">
        <v>-1.07</v>
      </c>
      <c r="AC908" s="48">
        <v>0.87590000000000001</v>
      </c>
      <c r="AD908" s="48">
        <v>-1.1200000000000001</v>
      </c>
      <c r="AE908" s="48">
        <v>-1.26</v>
      </c>
      <c r="AF908" s="48">
        <f t="shared" si="184"/>
        <v>-1.26</v>
      </c>
      <c r="AG908" s="49">
        <v>-1.24</v>
      </c>
      <c r="AH908" s="98">
        <v>8.4300000000000004E-13</v>
      </c>
      <c r="AI908" s="98"/>
      <c r="AJ908" s="483">
        <f t="shared" si="186"/>
        <v>-10.46273875168791</v>
      </c>
      <c r="AK908" s="483"/>
      <c r="AL908" s="483">
        <f t="shared" si="187"/>
        <v>-10.46273875168791</v>
      </c>
      <c r="AM908" s="483">
        <v>-12.209579999999999</v>
      </c>
      <c r="AN908" s="226">
        <v>-11.6</v>
      </c>
      <c r="AO908" s="484">
        <v>3.61</v>
      </c>
      <c r="AP908" s="484"/>
      <c r="AQ908" s="48" t="s">
        <v>6311</v>
      </c>
      <c r="AR908" s="48" t="s">
        <v>6311</v>
      </c>
      <c r="AS908" s="227"/>
      <c r="AT908" s="50" t="s">
        <v>266</v>
      </c>
      <c r="AU908" s="48">
        <v>6</v>
      </c>
      <c r="AV908" s="48">
        <v>120</v>
      </c>
      <c r="AW908" s="48">
        <v>114</v>
      </c>
      <c r="AX908" s="48">
        <v>28</v>
      </c>
      <c r="AY908" s="48" t="s">
        <v>8728</v>
      </c>
      <c r="AZ908" s="48" t="s">
        <v>1563</v>
      </c>
      <c r="BA908" s="48">
        <v>32</v>
      </c>
      <c r="BB908" s="47" t="s">
        <v>2485</v>
      </c>
      <c r="BC908" s="47" t="s">
        <v>8726</v>
      </c>
      <c r="BD908" s="47" t="s">
        <v>8374</v>
      </c>
      <c r="BE908" s="48" t="s">
        <v>2449</v>
      </c>
      <c r="BF908" s="48" t="s">
        <v>272</v>
      </c>
      <c r="BG908" s="48" t="s">
        <v>272</v>
      </c>
      <c r="BH908" s="48" t="s">
        <v>2486</v>
      </c>
      <c r="BI908" s="98">
        <v>8.5817599999999999E-4</v>
      </c>
      <c r="BJ908" s="98">
        <v>8.5817600000000009</v>
      </c>
      <c r="BK908" s="48"/>
      <c r="BL908" s="487">
        <v>222333.23687320907</v>
      </c>
      <c r="BM908" s="47" t="s">
        <v>2487</v>
      </c>
      <c r="BN908" s="48"/>
      <c r="BO908" s="48"/>
      <c r="BP908" s="48"/>
      <c r="BQ908" s="48"/>
      <c r="BR908" s="47" t="e">
        <v>#VALUE!</v>
      </c>
      <c r="BS908" s="48"/>
      <c r="BT908" s="48"/>
      <c r="BU908" s="228">
        <v>8.5817600000000008E-2</v>
      </c>
      <c r="BV908" s="48"/>
      <c r="BW908" s="48"/>
      <c r="BX908" s="48"/>
      <c r="BY908" s="48"/>
      <c r="BZ908" s="48"/>
      <c r="CA908" s="48"/>
      <c r="CB908" s="48"/>
      <c r="CC908" s="48"/>
      <c r="CD908" s="48"/>
      <c r="CE908" s="48"/>
      <c r="CF908" s="48"/>
      <c r="CG908" s="48"/>
      <c r="CH908" s="48"/>
      <c r="CI908" s="98"/>
      <c r="CJ908" s="98"/>
      <c r="CK908" s="49">
        <f t="shared" si="180"/>
        <v>25907.650280736008</v>
      </c>
      <c r="CL908" s="229"/>
      <c r="CM908" s="229"/>
      <c r="CN908" s="229"/>
      <c r="CO908" s="47" t="s">
        <v>2488</v>
      </c>
      <c r="CP908" s="500" t="s">
        <v>2489</v>
      </c>
      <c r="CQ908" s="224" t="s">
        <v>272</v>
      </c>
      <c r="CR908" s="224"/>
      <c r="CS908" s="230" t="s">
        <v>539</v>
      </c>
      <c r="CT908" s="230"/>
      <c r="CU908" s="230"/>
      <c r="CV908" s="335">
        <f t="shared" si="181"/>
        <v>116526.21373704227</v>
      </c>
      <c r="CW908" s="230">
        <f t="shared" si="179"/>
        <v>1</v>
      </c>
      <c r="CX908" s="336"/>
      <c r="CY908" s="230" t="s">
        <v>6351</v>
      </c>
    </row>
    <row r="909" spans="1:103" ht="11.25" customHeight="1" x14ac:dyDescent="0.2">
      <c r="A909" s="72">
        <v>1277</v>
      </c>
      <c r="B909" s="224">
        <v>1196</v>
      </c>
      <c r="C909" s="46" t="s">
        <v>7393</v>
      </c>
      <c r="D909" s="46" t="s">
        <v>8638</v>
      </c>
      <c r="E909" s="114"/>
      <c r="F909" s="114" t="s">
        <v>3297</v>
      </c>
      <c r="G909" s="225">
        <v>6923224</v>
      </c>
      <c r="H909" s="47" t="s">
        <v>3298</v>
      </c>
      <c r="I909" s="47" t="s">
        <v>3298</v>
      </c>
      <c r="J909" s="47" t="s">
        <v>3299</v>
      </c>
      <c r="K909" s="47" t="s">
        <v>3300</v>
      </c>
      <c r="L909" s="47" t="s">
        <v>617</v>
      </c>
      <c r="M909" s="47" t="s">
        <v>946</v>
      </c>
      <c r="N909" s="47" t="s">
        <v>6376</v>
      </c>
      <c r="O909" s="47" t="s">
        <v>918</v>
      </c>
      <c r="P909" s="53"/>
      <c r="Q909" s="53"/>
      <c r="R909" s="53"/>
      <c r="S909" s="53"/>
      <c r="T909" s="48">
        <v>223.16</v>
      </c>
      <c r="U909" s="98">
        <v>1000000</v>
      </c>
      <c r="V909" s="98">
        <v>49070</v>
      </c>
      <c r="W909" s="98">
        <v>194364.23473459893</v>
      </c>
      <c r="X909" s="98">
        <v>1000000</v>
      </c>
      <c r="Y909" s="233">
        <v>6.54</v>
      </c>
      <c r="Z909" s="48">
        <v>-0.31</v>
      </c>
      <c r="AA909" s="48">
        <v>-0.2</v>
      </c>
      <c r="AB909" s="48">
        <v>-0.35</v>
      </c>
      <c r="AC909" s="48">
        <v>0.79049999999999998</v>
      </c>
      <c r="AD909" s="48">
        <v>-0.38</v>
      </c>
      <c r="AE909" s="48">
        <v>-0.45</v>
      </c>
      <c r="AF909" s="48">
        <f t="shared" si="184"/>
        <v>-0.2</v>
      </c>
      <c r="AG909" s="49">
        <v>-0.03</v>
      </c>
      <c r="AH909" s="98">
        <v>5.45E-13</v>
      </c>
      <c r="AI909" s="98">
        <v>6.4999999999999996E-13</v>
      </c>
      <c r="AJ909" s="483">
        <f t="shared" si="186"/>
        <v>-10.65216982403601</v>
      </c>
      <c r="AK909" s="483">
        <f>LOG10(AI909*1000/(0.08206*298.15))</f>
        <v>-10.575652969669797</v>
      </c>
      <c r="AL909" s="483">
        <f t="shared" si="187"/>
        <v>-10.575652969669797</v>
      </c>
      <c r="AM909" s="483">
        <v>-15.405339999999999</v>
      </c>
      <c r="AN909" s="226">
        <v>-7.18</v>
      </c>
      <c r="AO909" s="484">
        <v>13.06</v>
      </c>
      <c r="AP909" s="484">
        <v>-1.3</v>
      </c>
      <c r="AQ909" s="48" t="s">
        <v>6314</v>
      </c>
      <c r="AR909" s="48" t="s">
        <v>6314</v>
      </c>
      <c r="AS909" s="227"/>
      <c r="AT909" s="50" t="s">
        <v>266</v>
      </c>
      <c r="AU909" s="48">
        <v>6</v>
      </c>
      <c r="AV909" s="48">
        <v>120</v>
      </c>
      <c r="AW909" s="48">
        <v>114</v>
      </c>
      <c r="AX909" s="48">
        <v>28</v>
      </c>
      <c r="AY909" s="48" t="s">
        <v>8728</v>
      </c>
      <c r="AZ909" s="48" t="s">
        <v>1563</v>
      </c>
      <c r="BA909" s="48">
        <v>32</v>
      </c>
      <c r="BB909" s="47" t="s">
        <v>2485</v>
      </c>
      <c r="BC909" s="47" t="s">
        <v>8726</v>
      </c>
      <c r="BD909" s="47" t="s">
        <v>8374</v>
      </c>
      <c r="BE909" s="48" t="s">
        <v>2449</v>
      </c>
      <c r="BF909" s="48" t="s">
        <v>272</v>
      </c>
      <c r="BG909" s="48" t="s">
        <v>272</v>
      </c>
      <c r="BH909" s="48" t="s">
        <v>2486</v>
      </c>
      <c r="BI909" s="98">
        <v>1.4282239999999999E-3</v>
      </c>
      <c r="BJ909" s="98">
        <v>14.28224</v>
      </c>
      <c r="BK909" s="48"/>
      <c r="BL909" s="487">
        <v>21768.442285280984</v>
      </c>
      <c r="BM909" s="47" t="s">
        <v>2487</v>
      </c>
      <c r="BN909" s="48"/>
      <c r="BO909" s="48"/>
      <c r="BP909" s="48"/>
      <c r="BQ909" s="48"/>
      <c r="BR909" s="47" t="e">
        <v>#VALUE!</v>
      </c>
      <c r="BS909" s="48"/>
      <c r="BT909" s="48"/>
      <c r="BU909" s="228">
        <v>1.428224E-2</v>
      </c>
      <c r="BV909" s="48"/>
      <c r="BW909" s="48"/>
      <c r="BX909" s="48"/>
      <c r="BY909" s="48"/>
      <c r="BZ909" s="48"/>
      <c r="CA909" s="48"/>
      <c r="CB909" s="48"/>
      <c r="CC909" s="48"/>
      <c r="CD909" s="48"/>
      <c r="CE909" s="48"/>
      <c r="CF909" s="48"/>
      <c r="CG909" s="48"/>
      <c r="CH909" s="48"/>
      <c r="CI909" s="98"/>
      <c r="CJ909" s="98"/>
      <c r="CK909" s="49">
        <f t="shared" si="180"/>
        <v>1524.1616360795636</v>
      </c>
      <c r="CL909" s="229"/>
      <c r="CM909" s="229"/>
      <c r="CN909" s="229"/>
      <c r="CO909" s="47" t="s">
        <v>2488</v>
      </c>
      <c r="CP909" s="500" t="s">
        <v>2489</v>
      </c>
      <c r="CQ909" s="224">
        <v>0.98622918740737187</v>
      </c>
      <c r="CR909" s="224">
        <f>10^(CJ909-CQ909)</f>
        <v>0.10322165370723679</v>
      </c>
      <c r="CS909" s="230" t="s">
        <v>539</v>
      </c>
      <c r="CT909" s="230"/>
      <c r="CU909" s="230"/>
      <c r="CV909" s="335">
        <f t="shared" si="181"/>
        <v>70017.028141243951</v>
      </c>
      <c r="CW909" s="230">
        <f t="shared" si="179"/>
        <v>1</v>
      </c>
      <c r="CX909" s="336"/>
      <c r="CY909" s="230" t="s">
        <v>5921</v>
      </c>
    </row>
    <row r="910" spans="1:103" ht="11.25" customHeight="1" x14ac:dyDescent="0.2">
      <c r="A910" s="72">
        <v>1279</v>
      </c>
      <c r="B910" s="224">
        <v>1830</v>
      </c>
      <c r="C910" s="46" t="s">
        <v>7394</v>
      </c>
      <c r="D910" s="46" t="s">
        <v>8639</v>
      </c>
      <c r="E910" s="114"/>
      <c r="F910" s="114" t="s">
        <v>3991</v>
      </c>
      <c r="G910" s="225">
        <v>7287196</v>
      </c>
      <c r="H910" s="47" t="s">
        <v>3992</v>
      </c>
      <c r="I910" s="47" t="s">
        <v>3992</v>
      </c>
      <c r="J910" s="47" t="s">
        <v>5223</v>
      </c>
      <c r="K910" s="47" t="s">
        <v>940</v>
      </c>
      <c r="L910" s="47" t="s">
        <v>6051</v>
      </c>
      <c r="M910" s="47" t="s">
        <v>6082</v>
      </c>
      <c r="N910" s="47" t="s">
        <v>6082</v>
      </c>
      <c r="O910" s="47" t="s">
        <v>6083</v>
      </c>
      <c r="P910" s="53" t="s">
        <v>6178</v>
      </c>
      <c r="Q910" s="53" t="s">
        <v>6176</v>
      </c>
      <c r="R910" s="53" t="s">
        <v>6177</v>
      </c>
      <c r="S910" s="53" t="s">
        <v>6173</v>
      </c>
      <c r="T910" s="48">
        <v>241.36</v>
      </c>
      <c r="U910" s="98">
        <v>33</v>
      </c>
      <c r="V910" s="98">
        <v>26.55</v>
      </c>
      <c r="W910" s="98">
        <v>69.608984359463648</v>
      </c>
      <c r="X910" s="98">
        <v>33</v>
      </c>
      <c r="Y910" s="233">
        <v>7.29</v>
      </c>
      <c r="Z910" s="48">
        <v>3.73</v>
      </c>
      <c r="AA910" s="48">
        <v>3.51</v>
      </c>
      <c r="AB910" s="48">
        <v>3.38</v>
      </c>
      <c r="AC910" s="48">
        <v>0.87580000000000002</v>
      </c>
      <c r="AD910" s="48">
        <v>3.4</v>
      </c>
      <c r="AE910" s="48">
        <v>3.44</v>
      </c>
      <c r="AF910" s="48">
        <f t="shared" si="184"/>
        <v>3.51</v>
      </c>
      <c r="AG910" s="49">
        <v>2.54</v>
      </c>
      <c r="AH910" s="98">
        <v>9.0900000000000007E-9</v>
      </c>
      <c r="AI910" s="98">
        <v>1.1900000000000001E-8</v>
      </c>
      <c r="AJ910" s="483">
        <f t="shared" si="186"/>
        <v>-6.4300024430906841</v>
      </c>
      <c r="AK910" s="483">
        <f>LOG10(AI910*1000/(0.08206*298.15))</f>
        <v>-6.3130193649201214</v>
      </c>
      <c r="AL910" s="483">
        <f t="shared" si="187"/>
        <v>-6.3130193649201214</v>
      </c>
      <c r="AM910" s="483">
        <v>-11.675140000000001</v>
      </c>
      <c r="AN910" s="226">
        <v>-6.3</v>
      </c>
      <c r="AO910" s="484"/>
      <c r="AP910" s="484">
        <v>3.76</v>
      </c>
      <c r="AQ910" s="226" t="s">
        <v>6311</v>
      </c>
      <c r="AR910" s="226" t="s">
        <v>6311</v>
      </c>
      <c r="AS910" s="224"/>
      <c r="AT910" s="50" t="s">
        <v>266</v>
      </c>
      <c r="AU910" s="48">
        <v>6</v>
      </c>
      <c r="AV910" s="48">
        <v>120</v>
      </c>
      <c r="AW910" s="48">
        <v>114</v>
      </c>
      <c r="AX910" s="48">
        <v>28</v>
      </c>
      <c r="AY910" s="48" t="s">
        <v>8728</v>
      </c>
      <c r="AZ910" s="48" t="s">
        <v>1563</v>
      </c>
      <c r="BA910" s="48">
        <v>32</v>
      </c>
      <c r="BB910" s="47" t="s">
        <v>2485</v>
      </c>
      <c r="BC910" s="47" t="s">
        <v>8726</v>
      </c>
      <c r="BD910" s="47" t="s">
        <v>8374</v>
      </c>
      <c r="BE910" s="48" t="s">
        <v>2449</v>
      </c>
      <c r="BF910" s="48" t="s">
        <v>272</v>
      </c>
      <c r="BG910" s="48" t="s">
        <v>272</v>
      </c>
      <c r="BH910" s="48" t="s">
        <v>2486</v>
      </c>
      <c r="BI910" s="98">
        <v>1.544704E-3</v>
      </c>
      <c r="BJ910" s="98">
        <v>15.447040000000001</v>
      </c>
      <c r="BK910" s="48"/>
      <c r="BL910" s="487">
        <v>5.5405425840245366</v>
      </c>
      <c r="BM910" s="47" t="s">
        <v>2487</v>
      </c>
      <c r="BN910" s="48"/>
      <c r="BO910" s="48"/>
      <c r="BP910" s="48"/>
      <c r="BQ910" s="48"/>
      <c r="BR910" s="47" t="e">
        <v>#VALUE!</v>
      </c>
      <c r="BS910" s="48"/>
      <c r="BT910" s="48"/>
      <c r="BU910" s="228"/>
      <c r="BV910" s="48"/>
      <c r="BW910" s="48"/>
      <c r="BX910" s="48"/>
      <c r="BY910" s="48"/>
      <c r="BZ910" s="48"/>
      <c r="CA910" s="48"/>
      <c r="CB910" s="48"/>
      <c r="CC910" s="48"/>
      <c r="CD910" s="48"/>
      <c r="CE910" s="48"/>
      <c r="CF910" s="48"/>
      <c r="CG910" s="48"/>
      <c r="CH910" s="48"/>
      <c r="CI910" s="98"/>
      <c r="CJ910" s="98"/>
      <c r="CK910" s="49">
        <f t="shared" si="180"/>
        <v>0.35867988844623538</v>
      </c>
      <c r="CL910" s="229"/>
      <c r="CM910" s="229"/>
      <c r="CN910" s="229"/>
      <c r="CO910" s="47" t="s">
        <v>2488</v>
      </c>
      <c r="CP910" s="500" t="s">
        <v>2489</v>
      </c>
      <c r="CQ910" s="224">
        <v>0.69921293726247169</v>
      </c>
      <c r="CR910" s="224">
        <f>10^(CJ910-CQ910)</f>
        <v>0.19988815653705452</v>
      </c>
      <c r="CS910" s="230" t="s">
        <v>539</v>
      </c>
      <c r="CT910" s="230"/>
      <c r="CU910" s="230"/>
      <c r="CV910" s="335">
        <f t="shared" si="181"/>
        <v>2.1363316208153793</v>
      </c>
      <c r="CW910" s="230">
        <f t="shared" si="179"/>
        <v>1</v>
      </c>
      <c r="CX910" s="336"/>
      <c r="CY910" s="230" t="s">
        <v>5921</v>
      </c>
    </row>
    <row r="911" spans="1:103" ht="11.25" customHeight="1" x14ac:dyDescent="0.2">
      <c r="A911" s="72">
        <v>1280</v>
      </c>
      <c r="B911" s="224">
        <v>1786</v>
      </c>
      <c r="C911" s="46" t="s">
        <v>7395</v>
      </c>
      <c r="D911" s="46"/>
      <c r="E911" s="114"/>
      <c r="F911" s="114" t="s">
        <v>5135</v>
      </c>
      <c r="G911" s="225">
        <v>7378996</v>
      </c>
      <c r="H911" s="47" t="s">
        <v>5136</v>
      </c>
      <c r="I911" s="47" t="s">
        <v>5136</v>
      </c>
      <c r="J911" s="47" t="s">
        <v>5137</v>
      </c>
      <c r="K911" s="47" t="s">
        <v>300</v>
      </c>
      <c r="L911" s="47"/>
      <c r="M911" s="47"/>
      <c r="N911" s="47"/>
      <c r="O911" s="47"/>
      <c r="P911" s="53"/>
      <c r="Q911" s="53"/>
      <c r="R911" s="53"/>
      <c r="S911" s="53"/>
      <c r="T911" s="48">
        <v>157.30000000000001</v>
      </c>
      <c r="U911" s="98"/>
      <c r="V911" s="98">
        <v>770.60000000000014</v>
      </c>
      <c r="W911" s="98">
        <v>1468.009015153667</v>
      </c>
      <c r="X911" s="98">
        <v>1468.009015153667</v>
      </c>
      <c r="Y911" s="233">
        <v>10.9</v>
      </c>
      <c r="Z911" s="48">
        <v>3.48</v>
      </c>
      <c r="AA911" s="48"/>
      <c r="AB911" s="48">
        <v>3.83</v>
      </c>
      <c r="AC911" s="48">
        <v>0.88819999999999999</v>
      </c>
      <c r="AD911" s="48">
        <v>3.81</v>
      </c>
      <c r="AE911" s="48">
        <v>3.78</v>
      </c>
      <c r="AF911" s="48">
        <f t="shared" si="184"/>
        <v>3.81</v>
      </c>
      <c r="AG911" s="49">
        <v>3.3</v>
      </c>
      <c r="AH911" s="98">
        <v>2.6499999999999999E-4</v>
      </c>
      <c r="AI911" s="98"/>
      <c r="AJ911" s="483">
        <f t="shared" si="186"/>
        <v>-1.9653204523758439</v>
      </c>
      <c r="AK911" s="483"/>
      <c r="AL911" s="483">
        <f t="shared" si="187"/>
        <v>-1.9653204523758439</v>
      </c>
      <c r="AM911" s="483">
        <v>-3.6664200000000005</v>
      </c>
      <c r="AN911" s="226">
        <v>-1.38</v>
      </c>
      <c r="AO911" s="484"/>
      <c r="AP911" s="484">
        <v>9.86</v>
      </c>
      <c r="AQ911" s="226" t="s">
        <v>6311</v>
      </c>
      <c r="AR911" s="226" t="s">
        <v>6311</v>
      </c>
      <c r="AS911" s="224"/>
      <c r="AT911" s="50" t="s">
        <v>266</v>
      </c>
      <c r="AU911" s="48">
        <v>6</v>
      </c>
      <c r="AV911" s="48">
        <v>120</v>
      </c>
      <c r="AW911" s="48">
        <v>114</v>
      </c>
      <c r="AX911" s="48">
        <v>28</v>
      </c>
      <c r="AY911" s="48" t="s">
        <v>8728</v>
      </c>
      <c r="AZ911" s="48" t="s">
        <v>1563</v>
      </c>
      <c r="BA911" s="48">
        <v>32</v>
      </c>
      <c r="BB911" s="47" t="s">
        <v>2485</v>
      </c>
      <c r="BC911" s="47" t="s">
        <v>8726</v>
      </c>
      <c r="BD911" s="47" t="s">
        <v>8374</v>
      </c>
      <c r="BE911" s="48" t="s">
        <v>2449</v>
      </c>
      <c r="BF911" s="48" t="s">
        <v>272</v>
      </c>
      <c r="BG911" s="48" t="s">
        <v>272</v>
      </c>
      <c r="BH911" s="48" t="s">
        <v>2486</v>
      </c>
      <c r="BI911" s="98">
        <v>1.00672E-3</v>
      </c>
      <c r="BJ911" s="98">
        <v>10.067200000000001</v>
      </c>
      <c r="BK911" s="48"/>
      <c r="BL911" s="487">
        <v>6.0553705260561044</v>
      </c>
      <c r="BM911" s="47" t="s">
        <v>2487</v>
      </c>
      <c r="BN911" s="48"/>
      <c r="BO911" s="48"/>
      <c r="BP911" s="48"/>
      <c r="BQ911" s="48"/>
      <c r="BR911" s="47" t="e">
        <v>#VALUE!</v>
      </c>
      <c r="BS911" s="48"/>
      <c r="BT911" s="48"/>
      <c r="BU911" s="228"/>
      <c r="BV911" s="48"/>
      <c r="BW911" s="48"/>
      <c r="BX911" s="48"/>
      <c r="BY911" s="48"/>
      <c r="BZ911" s="48"/>
      <c r="CA911" s="48"/>
      <c r="CB911" s="48"/>
      <c r="CC911" s="48"/>
      <c r="CD911" s="48"/>
      <c r="CE911" s="48"/>
      <c r="CF911" s="48"/>
      <c r="CG911" s="48"/>
      <c r="CH911" s="48"/>
      <c r="CI911" s="98"/>
      <c r="CJ911" s="98"/>
      <c r="CK911" s="49">
        <f t="shared" si="180"/>
        <v>0.60149500616418705</v>
      </c>
      <c r="CL911" s="229"/>
      <c r="CM911" s="229"/>
      <c r="CN911" s="229"/>
      <c r="CO911" s="47" t="s">
        <v>2488</v>
      </c>
      <c r="CP911" s="500" t="s">
        <v>2489</v>
      </c>
      <c r="CQ911" s="224" t="s">
        <v>272</v>
      </c>
      <c r="CR911" s="224"/>
      <c r="CS911" s="230" t="s">
        <v>539</v>
      </c>
      <c r="CT911" s="230"/>
      <c r="CU911" s="230"/>
      <c r="CV911" s="335">
        <f t="shared" si="181"/>
        <v>145.82098449952983</v>
      </c>
      <c r="CW911" s="230">
        <f t="shared" si="179"/>
        <v>1</v>
      </c>
      <c r="CX911" s="336"/>
      <c r="CY911" s="230" t="s">
        <v>6351</v>
      </c>
    </row>
    <row r="912" spans="1:103" ht="11.25" customHeight="1" x14ac:dyDescent="0.2">
      <c r="A912" s="72">
        <v>1281</v>
      </c>
      <c r="B912" s="224">
        <v>1892</v>
      </c>
      <c r="C912" s="46" t="s">
        <v>1482</v>
      </c>
      <c r="D912" s="46"/>
      <c r="E912" s="114"/>
      <c r="F912" s="114" t="s">
        <v>1483</v>
      </c>
      <c r="G912" s="225">
        <v>7696120</v>
      </c>
      <c r="H912" s="47" t="s">
        <v>1484</v>
      </c>
      <c r="I912" s="47" t="s">
        <v>1484</v>
      </c>
      <c r="J912" s="47" t="s">
        <v>1485</v>
      </c>
      <c r="K912" s="47" t="s">
        <v>1486</v>
      </c>
      <c r="L912" s="47" t="s">
        <v>617</v>
      </c>
      <c r="M912" s="47" t="s">
        <v>1086</v>
      </c>
      <c r="N912" s="47" t="s">
        <v>6376</v>
      </c>
      <c r="O912" s="47" t="s">
        <v>918</v>
      </c>
      <c r="P912" s="53"/>
      <c r="Q912" s="53"/>
      <c r="R912" s="53"/>
      <c r="S912" s="53"/>
      <c r="T912" s="48">
        <v>331.41</v>
      </c>
      <c r="U912" s="98">
        <v>1.83</v>
      </c>
      <c r="V912" s="98">
        <v>0.73160000000000003</v>
      </c>
      <c r="W912" s="98">
        <v>4.0772337333493098</v>
      </c>
      <c r="X912" s="98">
        <v>1.83</v>
      </c>
      <c r="Y912" s="233">
        <v>7</v>
      </c>
      <c r="Z912" s="48">
        <v>5.54</v>
      </c>
      <c r="AA912" s="48">
        <v>4.7300000000000004</v>
      </c>
      <c r="AB912" s="48">
        <v>4.41</v>
      </c>
      <c r="AC912" s="48">
        <v>0.84209999999999996</v>
      </c>
      <c r="AD912" s="48">
        <v>4.5</v>
      </c>
      <c r="AE912" s="48">
        <v>4.78</v>
      </c>
      <c r="AF912" s="48">
        <f t="shared" si="184"/>
        <v>4.7300000000000004</v>
      </c>
      <c r="AG912" s="49">
        <v>2.65</v>
      </c>
      <c r="AH912" s="98">
        <v>5.5700000000000004E-9</v>
      </c>
      <c r="AI912" s="98">
        <v>1.6899999999999999E-6</v>
      </c>
      <c r="AJ912" s="483">
        <f t="shared" si="186"/>
        <v>-6.6427111311389231</v>
      </c>
      <c r="AK912" s="483">
        <f>LOG10(AI912*1000/(0.08206*298.15))</f>
        <v>-4.1606796216989785</v>
      </c>
      <c r="AL912" s="483">
        <f t="shared" si="187"/>
        <v>-4.1606796216989785</v>
      </c>
      <c r="AM912" s="483">
        <v>-13.825500000000002</v>
      </c>
      <c r="AN912" s="226">
        <v>-7.39</v>
      </c>
      <c r="AO912" s="484"/>
      <c r="AP912" s="484">
        <v>-2.5499999999999998</v>
      </c>
      <c r="AQ912" s="226" t="s">
        <v>6311</v>
      </c>
      <c r="AR912" s="226" t="s">
        <v>6312</v>
      </c>
      <c r="AS912" s="224"/>
      <c r="AT912" s="50" t="s">
        <v>266</v>
      </c>
      <c r="AU912" s="48">
        <v>6</v>
      </c>
      <c r="AV912" s="48">
        <v>120</v>
      </c>
      <c r="AW912" s="48">
        <v>114</v>
      </c>
      <c r="AX912" s="48">
        <v>28</v>
      </c>
      <c r="AY912" s="48" t="s">
        <v>8728</v>
      </c>
      <c r="AZ912" s="48" t="s">
        <v>1563</v>
      </c>
      <c r="BA912" s="48">
        <v>32</v>
      </c>
      <c r="BB912" s="47" t="s">
        <v>2485</v>
      </c>
      <c r="BC912" s="47" t="s">
        <v>8726</v>
      </c>
      <c r="BD912" s="47" t="s">
        <v>8374</v>
      </c>
      <c r="BE912" s="48" t="s">
        <v>2449</v>
      </c>
      <c r="BF912" s="48" t="s">
        <v>272</v>
      </c>
      <c r="BG912" s="48" t="s">
        <v>272</v>
      </c>
      <c r="BH912" s="48" t="s">
        <v>2486</v>
      </c>
      <c r="BI912" s="98">
        <v>2.121024E-3</v>
      </c>
      <c r="BJ912" s="98">
        <v>21.210240000000002</v>
      </c>
      <c r="BK912" s="48"/>
      <c r="BL912" s="487">
        <v>0.18017378775761245</v>
      </c>
      <c r="BM912" s="47" t="s">
        <v>2487</v>
      </c>
      <c r="BN912" s="48"/>
      <c r="BO912" s="48"/>
      <c r="BP912" s="48"/>
      <c r="BQ912" s="48"/>
      <c r="BR912" s="47" t="e">
        <v>#VALUE!</v>
      </c>
      <c r="BS912" s="48"/>
      <c r="BT912" s="48"/>
      <c r="BU912" s="228"/>
      <c r="BV912" s="48"/>
      <c r="BW912" s="48"/>
      <c r="BX912" s="48"/>
      <c r="BY912" s="48"/>
      <c r="BZ912" s="48"/>
      <c r="CA912" s="48"/>
      <c r="CB912" s="48"/>
      <c r="CC912" s="48"/>
      <c r="CD912" s="48"/>
      <c r="CE912" s="48"/>
      <c r="CF912" s="48"/>
      <c r="CG912" s="48"/>
      <c r="CH912" s="48"/>
      <c r="CI912" s="98"/>
      <c r="CJ912" s="98"/>
      <c r="CK912" s="49">
        <f t="shared" si="180"/>
        <v>8.4946604921779488E-3</v>
      </c>
      <c r="CL912" s="229"/>
      <c r="CM912" s="229">
        <v>-2.0547894905995427</v>
      </c>
      <c r="CN912" s="229">
        <f>BJ912/(10^CM912)</f>
        <v>2406.2185654102777</v>
      </c>
      <c r="CO912" s="47" t="s">
        <v>2488</v>
      </c>
      <c r="CP912" s="500" t="s">
        <v>2489</v>
      </c>
      <c r="CQ912" s="224">
        <v>-1.7933340848488464</v>
      </c>
      <c r="CR912" s="224">
        <f>10^(CJ912-CQ912)</f>
        <v>62.134682694335204</v>
      </c>
      <c r="CS912" s="230" t="s">
        <v>539</v>
      </c>
      <c r="CT912" s="230"/>
      <c r="CU912" s="230"/>
      <c r="CV912" s="335">
        <f t="shared" si="181"/>
        <v>8.6279080293292287E-2</v>
      </c>
      <c r="CW912" s="230">
        <f t="shared" si="179"/>
        <v>0</v>
      </c>
      <c r="CX912" s="336"/>
      <c r="CY912" s="230" t="s">
        <v>5921</v>
      </c>
    </row>
    <row r="913" spans="1:103" ht="11.25" customHeight="1" x14ac:dyDescent="0.2">
      <c r="A913" s="72">
        <v>1282</v>
      </c>
      <c r="B913" s="224">
        <v>1005</v>
      </c>
      <c r="C913" s="46" t="s">
        <v>7396</v>
      </c>
      <c r="D913" s="46" t="s">
        <v>8640</v>
      </c>
      <c r="E913" s="114"/>
      <c r="F913" s="114" t="s">
        <v>2870</v>
      </c>
      <c r="G913" s="225">
        <v>7747355</v>
      </c>
      <c r="H913" s="47" t="s">
        <v>2871</v>
      </c>
      <c r="I913" s="47" t="s">
        <v>2871</v>
      </c>
      <c r="J913" s="47" t="s">
        <v>2872</v>
      </c>
      <c r="K913" s="47" t="s">
        <v>300</v>
      </c>
      <c r="L913" s="47" t="s">
        <v>6025</v>
      </c>
      <c r="M913" s="47" t="s">
        <v>6082</v>
      </c>
      <c r="N913" s="47" t="s">
        <v>6082</v>
      </c>
      <c r="O913" s="47" t="s">
        <v>6083</v>
      </c>
      <c r="P913" s="53"/>
      <c r="Q913" s="53"/>
      <c r="R913" s="53"/>
      <c r="S913" s="53"/>
      <c r="T913" s="48">
        <v>143.18</v>
      </c>
      <c r="U913" s="98"/>
      <c r="V913" s="98">
        <v>374600</v>
      </c>
      <c r="W913" s="98">
        <v>160650.60228695517</v>
      </c>
      <c r="X913" s="98">
        <v>160650.60228695517</v>
      </c>
      <c r="Y913" s="233">
        <v>9.64</v>
      </c>
      <c r="Z913" s="48">
        <v>0.4</v>
      </c>
      <c r="AA913" s="48"/>
      <c r="AB913" s="48">
        <v>0.01</v>
      </c>
      <c r="AC913" s="48">
        <v>0.60450000000000004</v>
      </c>
      <c r="AD913" s="48">
        <v>0.16</v>
      </c>
      <c r="AE913" s="48">
        <v>0.36</v>
      </c>
      <c r="AF913" s="48">
        <f t="shared" si="184"/>
        <v>0.16</v>
      </c>
      <c r="AG913" s="49">
        <v>0.54</v>
      </c>
      <c r="AH913" s="98">
        <v>6.8299999999999996E-7</v>
      </c>
      <c r="AI913" s="98"/>
      <c r="AJ913" s="483">
        <f t="shared" si="186"/>
        <v>-4.5541456226311192</v>
      </c>
      <c r="AK913" s="483"/>
      <c r="AL913" s="483">
        <f t="shared" si="187"/>
        <v>-4.5541456226311192</v>
      </c>
      <c r="AM913" s="483">
        <v>-6.9855</v>
      </c>
      <c r="AN913" s="226">
        <v>-9.35</v>
      </c>
      <c r="AO913" s="484"/>
      <c r="AP913" s="484">
        <v>5.23</v>
      </c>
      <c r="AQ913" s="48" t="s">
        <v>6311</v>
      </c>
      <c r="AR913" s="48" t="s">
        <v>6311</v>
      </c>
      <c r="AS913" s="227"/>
      <c r="AT913" s="50" t="s">
        <v>266</v>
      </c>
      <c r="AU913" s="48">
        <v>6</v>
      </c>
      <c r="AV913" s="48">
        <v>120</v>
      </c>
      <c r="AW913" s="48">
        <v>114</v>
      </c>
      <c r="AX913" s="48">
        <v>28</v>
      </c>
      <c r="AY913" s="48" t="s">
        <v>8728</v>
      </c>
      <c r="AZ913" s="48" t="s">
        <v>1563</v>
      </c>
      <c r="BA913" s="48">
        <v>32</v>
      </c>
      <c r="BB913" s="47" t="s">
        <v>2485</v>
      </c>
      <c r="BC913" s="47" t="s">
        <v>8726</v>
      </c>
      <c r="BD913" s="47" t="s">
        <v>8374</v>
      </c>
      <c r="BE913" s="48" t="s">
        <v>2449</v>
      </c>
      <c r="BF913" s="48" t="s">
        <v>272</v>
      </c>
      <c r="BG913" s="48" t="s">
        <v>272</v>
      </c>
      <c r="BH913" s="48" t="s">
        <v>2486</v>
      </c>
      <c r="BI913" s="98">
        <v>9.1635200000000005E-4</v>
      </c>
      <c r="BJ913" s="98">
        <v>9.1635200000000001</v>
      </c>
      <c r="BK913" s="48"/>
      <c r="BL913" s="487">
        <v>3216.9355352345251</v>
      </c>
      <c r="BM913" s="47" t="s">
        <v>2487</v>
      </c>
      <c r="BN913" s="48"/>
      <c r="BO913" s="48"/>
      <c r="BP913" s="48"/>
      <c r="BQ913" s="48"/>
      <c r="BR913" s="47" t="e">
        <v>#VALUE!</v>
      </c>
      <c r="BS913" s="48"/>
      <c r="BT913" s="48"/>
      <c r="BU913" s="228">
        <v>9.1635200000000005E-4</v>
      </c>
      <c r="BV913" s="48"/>
      <c r="BW913" s="48"/>
      <c r="BX913" s="48"/>
      <c r="BY913" s="48"/>
      <c r="BZ913" s="48"/>
      <c r="CA913" s="48"/>
      <c r="CB913" s="48"/>
      <c r="CC913" s="48"/>
      <c r="CD913" s="48"/>
      <c r="CE913" s="48"/>
      <c r="CF913" s="48"/>
      <c r="CG913" s="48"/>
      <c r="CH913" s="48"/>
      <c r="CI913" s="98"/>
      <c r="CJ913" s="98"/>
      <c r="CK913" s="49">
        <f t="shared" si="180"/>
        <v>351.0589309822563</v>
      </c>
      <c r="CL913" s="229"/>
      <c r="CM913" s="229"/>
      <c r="CN913" s="229"/>
      <c r="CO913" s="47" t="s">
        <v>2488</v>
      </c>
      <c r="CP913" s="500" t="s">
        <v>2489</v>
      </c>
      <c r="CQ913" s="224">
        <v>2.2291678129959736</v>
      </c>
      <c r="CR913" s="224">
        <f>10^(CJ913-CQ913)</f>
        <v>5.8997306834413128E-3</v>
      </c>
      <c r="CS913" s="230" t="s">
        <v>539</v>
      </c>
      <c r="CT913" s="230"/>
      <c r="CU913" s="230"/>
      <c r="CV913" s="335">
        <f t="shared" si="181"/>
        <v>17531.538348468184</v>
      </c>
      <c r="CW913" s="230">
        <f t="shared" si="179"/>
        <v>1</v>
      </c>
      <c r="CX913" s="336"/>
      <c r="CY913" s="230" t="s">
        <v>6351</v>
      </c>
    </row>
    <row r="914" spans="1:103" ht="11.25" customHeight="1" x14ac:dyDescent="0.2">
      <c r="A914" s="72">
        <v>1283</v>
      </c>
      <c r="B914" s="224">
        <v>1865</v>
      </c>
      <c r="C914" s="46" t="s">
        <v>7397</v>
      </c>
      <c r="D914" s="46"/>
      <c r="E914" s="114"/>
      <c r="F914" s="114" t="s">
        <v>5301</v>
      </c>
      <c r="G914" s="225">
        <v>7758192</v>
      </c>
      <c r="H914" s="47" t="s">
        <v>5302</v>
      </c>
      <c r="I914" s="47" t="s">
        <v>8096</v>
      </c>
      <c r="J914" s="47"/>
      <c r="K914" s="47" t="s">
        <v>416</v>
      </c>
      <c r="L914" s="51"/>
      <c r="M914" s="47"/>
      <c r="N914" s="47"/>
      <c r="O914" s="47"/>
      <c r="P914" s="53"/>
      <c r="Q914" s="53"/>
      <c r="R914" s="53"/>
      <c r="S914" s="53"/>
      <c r="T914" s="48">
        <v>68.459999999999994</v>
      </c>
      <c r="U914" s="98"/>
      <c r="V914" s="98">
        <v>1000000</v>
      </c>
      <c r="W914" s="98"/>
      <c r="X914" s="98">
        <v>1000000</v>
      </c>
      <c r="Y914" s="233"/>
      <c r="Z914" s="48">
        <v>-4.63</v>
      </c>
      <c r="AA914" s="48"/>
      <c r="AB914" s="48">
        <v>0</v>
      </c>
      <c r="AC914" s="48">
        <v>0</v>
      </c>
      <c r="AD914" s="48">
        <v>0</v>
      </c>
      <c r="AE914" s="48">
        <v>0</v>
      </c>
      <c r="AF914" s="48"/>
      <c r="AG914" s="49" t="s">
        <v>5921</v>
      </c>
      <c r="AH914" s="98"/>
      <c r="AI914" s="98"/>
      <c r="AJ914" s="483"/>
      <c r="AK914" s="483"/>
      <c r="AL914" s="483"/>
      <c r="AM914" s="483"/>
      <c r="AN914" s="226"/>
      <c r="AO914" s="484"/>
      <c r="AP914" s="484"/>
      <c r="AQ914" s="226" t="s">
        <v>6311</v>
      </c>
      <c r="AR914" s="226" t="s">
        <v>6311</v>
      </c>
      <c r="AS914" s="224"/>
      <c r="AT914" s="50" t="s">
        <v>266</v>
      </c>
      <c r="AU914" s="48">
        <v>6</v>
      </c>
      <c r="AV914" s="48">
        <v>120</v>
      </c>
      <c r="AW914" s="48">
        <v>114</v>
      </c>
      <c r="AX914" s="48">
        <v>28</v>
      </c>
      <c r="AY914" s="48" t="s">
        <v>8728</v>
      </c>
      <c r="AZ914" s="48" t="s">
        <v>1563</v>
      </c>
      <c r="BA914" s="48">
        <v>32</v>
      </c>
      <c r="BB914" s="47" t="s">
        <v>2485</v>
      </c>
      <c r="BC914" s="47" t="s">
        <v>8726</v>
      </c>
      <c r="BD914" s="47" t="s">
        <v>8374</v>
      </c>
      <c r="BE914" s="48" t="s">
        <v>2449</v>
      </c>
      <c r="BF914" s="48" t="s">
        <v>272</v>
      </c>
      <c r="BG914" s="48" t="s">
        <v>272</v>
      </c>
      <c r="BH914" s="48" t="s">
        <v>2486</v>
      </c>
      <c r="BI914" s="98">
        <v>4.3814399999999996E-4</v>
      </c>
      <c r="BJ914" s="98">
        <v>4.3814399999999996</v>
      </c>
      <c r="BK914" s="48"/>
      <c r="BL914" s="487">
        <v>50633726.894673206</v>
      </c>
      <c r="BM914" s="47" t="s">
        <v>2487</v>
      </c>
      <c r="BN914" s="48"/>
      <c r="BO914" s="48"/>
      <c r="BP914" s="48"/>
      <c r="BQ914" s="48"/>
      <c r="BR914" s="47" t="e">
        <v>#VALUE!</v>
      </c>
      <c r="BS914" s="48"/>
      <c r="BT914" s="48"/>
      <c r="BU914" s="228"/>
      <c r="BV914" s="48"/>
      <c r="BW914" s="48"/>
      <c r="BX914" s="48"/>
      <c r="BY914" s="48"/>
      <c r="BZ914" s="48"/>
      <c r="CA914" s="48"/>
      <c r="CB914" s="48"/>
      <c r="CC914" s="48"/>
      <c r="CD914" s="48"/>
      <c r="CE914" s="48"/>
      <c r="CF914" s="48"/>
      <c r="CG914" s="48"/>
      <c r="CH914" s="48"/>
      <c r="CI914" s="98"/>
      <c r="CJ914" s="98"/>
      <c r="CK914" s="49">
        <f t="shared" si="180"/>
        <v>11556412.251376992</v>
      </c>
      <c r="CL914" s="229"/>
      <c r="CM914" s="229"/>
      <c r="CN914" s="229"/>
      <c r="CO914" s="47" t="s">
        <v>2488</v>
      </c>
      <c r="CP914" s="500" t="s">
        <v>2489</v>
      </c>
      <c r="CQ914" s="224" t="s">
        <v>272</v>
      </c>
      <c r="CR914" s="224"/>
      <c r="CS914" s="230" t="s">
        <v>539</v>
      </c>
      <c r="CT914" s="230"/>
      <c r="CU914" s="230"/>
      <c r="CV914" s="335">
        <f t="shared" si="181"/>
        <v>228235.46596552734</v>
      </c>
      <c r="CW914" s="230">
        <f t="shared" si="179"/>
        <v>1</v>
      </c>
      <c r="CX914" s="336"/>
      <c r="CY914" s="230" t="s">
        <v>6351</v>
      </c>
    </row>
    <row r="915" spans="1:103" ht="11.25" customHeight="1" x14ac:dyDescent="0.2">
      <c r="A915" s="72">
        <v>1285</v>
      </c>
      <c r="B915" s="224">
        <v>1743</v>
      </c>
      <c r="C915" s="46" t="s">
        <v>7398</v>
      </c>
      <c r="D915" s="46" t="s">
        <v>8642</v>
      </c>
      <c r="E915" s="114"/>
      <c r="F915" s="114" t="s">
        <v>3953</v>
      </c>
      <c r="G915" s="225">
        <v>7786347</v>
      </c>
      <c r="H915" s="47" t="s">
        <v>3954</v>
      </c>
      <c r="I915" s="47" t="s">
        <v>3954</v>
      </c>
      <c r="J915" s="47" t="s">
        <v>3955</v>
      </c>
      <c r="K915" s="47" t="s">
        <v>637</v>
      </c>
      <c r="L915" s="47" t="s">
        <v>617</v>
      </c>
      <c r="M915" s="47" t="s">
        <v>946</v>
      </c>
      <c r="N915" s="47" t="s">
        <v>6376</v>
      </c>
      <c r="O915" s="47" t="s">
        <v>918</v>
      </c>
      <c r="P915" s="53"/>
      <c r="Q915" s="53"/>
      <c r="R915" s="53"/>
      <c r="S915" s="53"/>
      <c r="T915" s="48">
        <v>224.15</v>
      </c>
      <c r="U915" s="98">
        <v>600000</v>
      </c>
      <c r="V915" s="98">
        <v>25330</v>
      </c>
      <c r="W915" s="98">
        <v>251500.43653178515</v>
      </c>
      <c r="X915" s="98">
        <v>600000</v>
      </c>
      <c r="Y915" s="233">
        <v>7</v>
      </c>
      <c r="Z915" s="48">
        <v>0.76</v>
      </c>
      <c r="AA915" s="48">
        <v>0.13</v>
      </c>
      <c r="AB915" s="48">
        <v>0.52</v>
      </c>
      <c r="AC915" s="48">
        <v>0.71879999999999999</v>
      </c>
      <c r="AD915" s="48">
        <v>0.43</v>
      </c>
      <c r="AE915" s="48">
        <v>0.28000000000000003</v>
      </c>
      <c r="AF915" s="48">
        <f>IF(AA915=0,AD915,AA915)</f>
        <v>0.13</v>
      </c>
      <c r="AG915" s="49">
        <v>0.37</v>
      </c>
      <c r="AH915" s="98">
        <v>3.8899999999999996E-9</v>
      </c>
      <c r="AI915" s="98">
        <v>6.3899999999999994E-11</v>
      </c>
      <c r="AJ915" s="483">
        <f>LOG10(AH915*1000/(0.08206*298.15))</f>
        <v>-6.7986167249869442</v>
      </c>
      <c r="AK915" s="483">
        <f>LOG10(AI915*1000/(0.08206*298.15))</f>
        <v>-8.5830654681542509</v>
      </c>
      <c r="AL915" s="483">
        <f>IF(AK915=0,AJ915,AK915)</f>
        <v>-8.5830654681542509</v>
      </c>
      <c r="AM915" s="483">
        <v>-11.53064</v>
      </c>
      <c r="AN915" s="226">
        <v>-3.82</v>
      </c>
      <c r="AO915" s="484"/>
      <c r="AP915" s="484"/>
      <c r="AQ915" s="226" t="s">
        <v>6314</v>
      </c>
      <c r="AR915" s="226" t="s">
        <v>6312</v>
      </c>
      <c r="AS915" s="224"/>
      <c r="AT915" s="50" t="s">
        <v>266</v>
      </c>
      <c r="AU915" s="48">
        <v>6</v>
      </c>
      <c r="AV915" s="48">
        <v>120</v>
      </c>
      <c r="AW915" s="48">
        <v>114</v>
      </c>
      <c r="AX915" s="48">
        <v>28</v>
      </c>
      <c r="AY915" s="48" t="s">
        <v>8728</v>
      </c>
      <c r="AZ915" s="48" t="s">
        <v>1563</v>
      </c>
      <c r="BA915" s="48">
        <v>32</v>
      </c>
      <c r="BB915" s="47" t="s">
        <v>2485</v>
      </c>
      <c r="BC915" s="47" t="s">
        <v>8726</v>
      </c>
      <c r="BD915" s="47" t="s">
        <v>8374</v>
      </c>
      <c r="BE915" s="48" t="s">
        <v>2449</v>
      </c>
      <c r="BF915" s="48" t="s">
        <v>272</v>
      </c>
      <c r="BG915" s="48" t="s">
        <v>272</v>
      </c>
      <c r="BH915" s="48" t="s">
        <v>2486</v>
      </c>
      <c r="BI915" s="98">
        <v>1.4345599999999999E-3</v>
      </c>
      <c r="BJ915" s="98">
        <v>14.345600000000001</v>
      </c>
      <c r="BK915" s="48"/>
      <c r="BL915" s="487">
        <v>2392.1187941942062</v>
      </c>
      <c r="BM915" s="47" t="s">
        <v>2487</v>
      </c>
      <c r="BN915" s="48"/>
      <c r="BO915" s="48"/>
      <c r="BP915" s="48"/>
      <c r="BQ915" s="48"/>
      <c r="BR915" s="47" t="e">
        <v>#VALUE!</v>
      </c>
      <c r="BS915" s="48"/>
      <c r="BT915" s="48"/>
      <c r="BU915" s="228"/>
      <c r="BV915" s="48"/>
      <c r="BW915" s="48"/>
      <c r="BX915" s="48"/>
      <c r="BY915" s="48"/>
      <c r="BZ915" s="48"/>
      <c r="CA915" s="48"/>
      <c r="CB915" s="48"/>
      <c r="CC915" s="48"/>
      <c r="CD915" s="48"/>
      <c r="CE915" s="48"/>
      <c r="CF915" s="48"/>
      <c r="CG915" s="48"/>
      <c r="CH915" s="48"/>
      <c r="CI915" s="98"/>
      <c r="CJ915" s="98"/>
      <c r="CK915" s="49">
        <f t="shared" si="180"/>
        <v>166.74930251744132</v>
      </c>
      <c r="CL915" s="229"/>
      <c r="CM915" s="229"/>
      <c r="CN915" s="229"/>
      <c r="CO915" s="47" t="s">
        <v>2488</v>
      </c>
      <c r="CP915" s="500" t="s">
        <v>2489</v>
      </c>
      <c r="CQ915" s="224">
        <v>-1.355076341264569</v>
      </c>
      <c r="CR915" s="224">
        <f>10^(CJ915-CQ915)</f>
        <v>22.650424268726383</v>
      </c>
      <c r="CS915" s="230" t="s">
        <v>539</v>
      </c>
      <c r="CT915" s="230"/>
      <c r="CU915" s="230"/>
      <c r="CV915" s="335">
        <f t="shared" si="181"/>
        <v>41824.670979254959</v>
      </c>
      <c r="CW915" s="230">
        <f t="shared" si="179"/>
        <v>1</v>
      </c>
      <c r="CX915" s="336"/>
      <c r="CY915" s="230" t="s">
        <v>5921</v>
      </c>
    </row>
    <row r="916" spans="1:103" ht="11.25" customHeight="1" x14ac:dyDescent="0.2">
      <c r="A916" s="72">
        <v>1286</v>
      </c>
      <c r="B916" s="224">
        <v>1072</v>
      </c>
      <c r="C916" s="46" t="s">
        <v>7399</v>
      </c>
      <c r="D916" s="46"/>
      <c r="E916" s="114"/>
      <c r="F916" s="114" t="s">
        <v>3016</v>
      </c>
      <c r="G916" s="225">
        <v>8000348</v>
      </c>
      <c r="H916" s="47" t="s">
        <v>3017</v>
      </c>
      <c r="I916" s="47" t="s">
        <v>8097</v>
      </c>
      <c r="J916" s="47"/>
      <c r="K916" s="47" t="s">
        <v>349</v>
      </c>
      <c r="L916" s="47"/>
      <c r="M916" s="47"/>
      <c r="N916" s="47"/>
      <c r="O916" s="47"/>
      <c r="P916" s="53"/>
      <c r="Q916" s="53"/>
      <c r="R916" s="53"/>
      <c r="S916" s="53"/>
      <c r="T916" s="48">
        <v>164.21</v>
      </c>
      <c r="U916" s="98">
        <v>2460</v>
      </c>
      <c r="V916" s="98">
        <v>754</v>
      </c>
      <c r="W916" s="98">
        <v>2543.3117699161844</v>
      </c>
      <c r="X916" s="98">
        <v>2460</v>
      </c>
      <c r="Y916" s="233">
        <v>6.05</v>
      </c>
      <c r="Z916" s="48">
        <v>2.73</v>
      </c>
      <c r="AA916" s="48">
        <v>2.27</v>
      </c>
      <c r="AB916" s="48">
        <v>2.58</v>
      </c>
      <c r="AC916" s="48">
        <v>0.85029999999999994</v>
      </c>
      <c r="AD916" s="48">
        <v>2.48</v>
      </c>
      <c r="AE916" s="48">
        <v>2.2000000000000002</v>
      </c>
      <c r="AF916" s="48">
        <f>IF(AA916=0,AD916,AA916)</f>
        <v>2.27</v>
      </c>
      <c r="AG916" s="49">
        <v>2.48</v>
      </c>
      <c r="AH916" s="98">
        <v>4.8100000000000001E-8</v>
      </c>
      <c r="AI916" s="98">
        <v>1.99E-6</v>
      </c>
      <c r="AJ916" s="483">
        <f>LOG10(AH916*1000/(0.08206*298.15))</f>
        <v>-5.7064212499388196</v>
      </c>
      <c r="AK916" s="483">
        <f>LOG10(AI916*1000/(0.08206*298.15))</f>
        <v>-4.0897132499029452</v>
      </c>
      <c r="AL916" s="483">
        <f>IF(AK916=0,AJ916,AK916)</f>
        <v>-4.0897132499029452</v>
      </c>
      <c r="AM916" s="483">
        <v>-7.0105800000000009</v>
      </c>
      <c r="AN916" s="226"/>
      <c r="AO916" s="484">
        <v>10.29</v>
      </c>
      <c r="AP916" s="484"/>
      <c r="AQ916" s="48" t="s">
        <v>6311</v>
      </c>
      <c r="AR916" s="48" t="s">
        <v>6311</v>
      </c>
      <c r="AS916" s="227"/>
      <c r="AT916" s="50" t="s">
        <v>266</v>
      </c>
      <c r="AU916" s="48">
        <v>6</v>
      </c>
      <c r="AV916" s="48">
        <v>120</v>
      </c>
      <c r="AW916" s="48">
        <v>114</v>
      </c>
      <c r="AX916" s="48">
        <v>28</v>
      </c>
      <c r="AY916" s="48" t="s">
        <v>8728</v>
      </c>
      <c r="AZ916" s="48" t="s">
        <v>1563</v>
      </c>
      <c r="BA916" s="48">
        <v>32</v>
      </c>
      <c r="BB916" s="47" t="s">
        <v>2485</v>
      </c>
      <c r="BC916" s="47" t="s">
        <v>8726</v>
      </c>
      <c r="BD916" s="47" t="s">
        <v>8374</v>
      </c>
      <c r="BE916" s="48" t="s">
        <v>2449</v>
      </c>
      <c r="BF916" s="48" t="s">
        <v>272</v>
      </c>
      <c r="BG916" s="48" t="s">
        <v>272</v>
      </c>
      <c r="BH916" s="48" t="s">
        <v>2486</v>
      </c>
      <c r="BI916" s="98">
        <v>1.0509440000000001E-3</v>
      </c>
      <c r="BJ916" s="98">
        <v>10.509440000000001</v>
      </c>
      <c r="BK916" s="48"/>
      <c r="BL916" s="487">
        <v>29.811690313643311</v>
      </c>
      <c r="BM916" s="47" t="s">
        <v>2487</v>
      </c>
      <c r="BN916" s="48"/>
      <c r="BO916" s="48"/>
      <c r="BP916" s="48"/>
      <c r="BQ916" s="48"/>
      <c r="BR916" s="47"/>
      <c r="BS916" s="48"/>
      <c r="BT916" s="48"/>
      <c r="BU916" s="228">
        <v>5.2547200000000001E-3</v>
      </c>
      <c r="BV916" s="48"/>
      <c r="BW916" s="48"/>
      <c r="BX916" s="48"/>
      <c r="BY916" s="48"/>
      <c r="BZ916" s="48"/>
      <c r="CA916" s="48"/>
      <c r="CB916" s="48"/>
      <c r="CC916" s="48"/>
      <c r="CD916" s="48"/>
      <c r="CE916" s="48"/>
      <c r="CF916" s="48"/>
      <c r="CG916" s="48"/>
      <c r="CH916" s="48"/>
      <c r="CI916" s="52"/>
      <c r="CJ916" s="98"/>
      <c r="CK916" s="49">
        <f t="shared" si="180"/>
        <v>2.8366583103993466</v>
      </c>
      <c r="CL916" s="229"/>
      <c r="CM916" s="229"/>
      <c r="CN916" s="229"/>
      <c r="CO916" s="47" t="s">
        <v>2488</v>
      </c>
      <c r="CP916" s="500" t="s">
        <v>2489</v>
      </c>
      <c r="CQ916" s="224" t="s">
        <v>272</v>
      </c>
      <c r="CR916" s="224"/>
      <c r="CS916" s="230" t="s">
        <v>539</v>
      </c>
      <c r="CT916" s="230"/>
      <c r="CU916" s="230"/>
      <c r="CV916" s="335">
        <f t="shared" si="181"/>
        <v>234.07526947201751</v>
      </c>
      <c r="CW916" s="230">
        <f t="shared" si="179"/>
        <v>1</v>
      </c>
      <c r="CX916" s="336"/>
      <c r="CY916" s="230" t="s">
        <v>5921</v>
      </c>
    </row>
    <row r="917" spans="1:103" ht="11.25" customHeight="1" x14ac:dyDescent="0.2">
      <c r="A917" s="72">
        <v>1289</v>
      </c>
      <c r="B917" s="224">
        <v>1499</v>
      </c>
      <c r="C917" s="46" t="s">
        <v>7401</v>
      </c>
      <c r="D917" s="46"/>
      <c r="E917" s="114"/>
      <c r="F917" s="114" t="s">
        <v>4589</v>
      </c>
      <c r="G917" s="225">
        <v>10016203</v>
      </c>
      <c r="H917" s="47"/>
      <c r="I917" s="47"/>
      <c r="J917" s="47"/>
      <c r="K917" s="47"/>
      <c r="L917" s="47"/>
      <c r="M917" s="47"/>
      <c r="N917" s="47"/>
      <c r="O917" s="47"/>
      <c r="P917" s="53"/>
      <c r="Q917" s="53"/>
      <c r="R917" s="53"/>
      <c r="S917" s="53"/>
      <c r="T917" s="48">
        <v>972.84</v>
      </c>
      <c r="U917" s="98"/>
      <c r="V917" s="98"/>
      <c r="W917" s="98"/>
      <c r="X917" s="98"/>
      <c r="Y917" s="233"/>
      <c r="Z917" s="48"/>
      <c r="AA917" s="48"/>
      <c r="AB917" s="48"/>
      <c r="AC917" s="48"/>
      <c r="AD917" s="48"/>
      <c r="AE917" s="48"/>
      <c r="AF917" s="48"/>
      <c r="AG917" s="49">
        <v>-6.55</v>
      </c>
      <c r="AH917" s="98"/>
      <c r="AI917" s="98"/>
      <c r="AJ917" s="483"/>
      <c r="AK917" s="483"/>
      <c r="AL917" s="483"/>
      <c r="AM917" s="483"/>
      <c r="AN917" s="226"/>
      <c r="AO917" s="484"/>
      <c r="AP917" s="484"/>
      <c r="AQ917" s="48" t="s">
        <v>6311</v>
      </c>
      <c r="AR917" s="48" t="s">
        <v>6311</v>
      </c>
      <c r="AS917" s="227"/>
      <c r="AT917" s="50" t="s">
        <v>266</v>
      </c>
      <c r="AU917" s="48">
        <v>6</v>
      </c>
      <c r="AV917" s="48">
        <v>120</v>
      </c>
      <c r="AW917" s="48">
        <v>114</v>
      </c>
      <c r="AX917" s="48">
        <v>28</v>
      </c>
      <c r="AY917" s="48" t="s">
        <v>8728</v>
      </c>
      <c r="AZ917" s="48" t="s">
        <v>1563</v>
      </c>
      <c r="BA917" s="48">
        <v>32</v>
      </c>
      <c r="BB917" s="47" t="s">
        <v>2485</v>
      </c>
      <c r="BC917" s="47" t="s">
        <v>8726</v>
      </c>
      <c r="BD917" s="47" t="s">
        <v>8374</v>
      </c>
      <c r="BE917" s="48" t="s">
        <v>2449</v>
      </c>
      <c r="BF917" s="48" t="s">
        <v>272</v>
      </c>
      <c r="BG917" s="48" t="s">
        <v>272</v>
      </c>
      <c r="BH917" s="48" t="s">
        <v>2486</v>
      </c>
      <c r="BI917" s="98"/>
      <c r="BJ917" s="98"/>
      <c r="BK917" s="48"/>
      <c r="BL917" s="487"/>
      <c r="BM917" s="47" t="s">
        <v>2487</v>
      </c>
      <c r="BN917" s="48"/>
      <c r="BO917" s="48"/>
      <c r="BP917" s="48"/>
      <c r="BQ917" s="48"/>
      <c r="BR917" s="47" t="e">
        <v>#VALUE!</v>
      </c>
      <c r="BS917" s="48"/>
      <c r="BT917" s="48"/>
      <c r="BU917" s="228"/>
      <c r="BV917" s="48"/>
      <c r="BW917" s="48"/>
      <c r="BX917" s="48"/>
      <c r="BY917" s="48"/>
      <c r="BZ917" s="48"/>
      <c r="CA917" s="48"/>
      <c r="CB917" s="48"/>
      <c r="CC917" s="48"/>
      <c r="CD917" s="48"/>
      <c r="CE917" s="48"/>
      <c r="CF917" s="48"/>
      <c r="CG917" s="48"/>
      <c r="CH917" s="48"/>
      <c r="CI917" s="98"/>
      <c r="CJ917" s="98"/>
      <c r="CK917" s="49"/>
      <c r="CL917" s="229"/>
      <c r="CM917" s="229"/>
      <c r="CN917" s="229"/>
      <c r="CO917" s="47" t="s">
        <v>2488</v>
      </c>
      <c r="CP917" s="500" t="s">
        <v>2489</v>
      </c>
      <c r="CQ917" s="224" t="s">
        <v>272</v>
      </c>
      <c r="CR917" s="224"/>
      <c r="CS917" s="230" t="s">
        <v>539</v>
      </c>
      <c r="CT917" s="230"/>
      <c r="CU917" s="230"/>
      <c r="CV917" s="335" t="s">
        <v>6310</v>
      </c>
      <c r="CW917" s="230">
        <f t="shared" si="179"/>
        <v>1</v>
      </c>
      <c r="CX917" s="336"/>
      <c r="CY917" s="230" t="s">
        <v>6351</v>
      </c>
    </row>
    <row r="918" spans="1:103" ht="11.25" customHeight="1" x14ac:dyDescent="0.2">
      <c r="A918" s="72">
        <v>1290</v>
      </c>
      <c r="B918" s="224">
        <v>910</v>
      </c>
      <c r="C918" s="46" t="s">
        <v>7402</v>
      </c>
      <c r="D918" s="46"/>
      <c r="E918" s="114"/>
      <c r="F918" s="114" t="s">
        <v>2596</v>
      </c>
      <c r="G918" s="225">
        <v>10161338</v>
      </c>
      <c r="H918" s="47" t="s">
        <v>2597</v>
      </c>
      <c r="I918" s="47" t="s">
        <v>2597</v>
      </c>
      <c r="J918" s="47" t="s">
        <v>2598</v>
      </c>
      <c r="K918" s="47" t="s">
        <v>371</v>
      </c>
      <c r="L918" s="47"/>
      <c r="M918" s="47"/>
      <c r="N918" s="47"/>
      <c r="O918" s="47"/>
      <c r="P918" s="53"/>
      <c r="Q918" s="53"/>
      <c r="R918" s="53"/>
      <c r="S918" s="53"/>
      <c r="T918" s="48">
        <v>270.37</v>
      </c>
      <c r="U918" s="98"/>
      <c r="V918" s="98">
        <v>324.10000000000002</v>
      </c>
      <c r="W918" s="98">
        <v>46.984921006896876</v>
      </c>
      <c r="X918" s="98">
        <v>46.984921006896876</v>
      </c>
      <c r="Y918" s="233">
        <v>7</v>
      </c>
      <c r="Z918" s="48">
        <v>2.65</v>
      </c>
      <c r="AA918" s="48"/>
      <c r="AB918" s="48">
        <v>2.67</v>
      </c>
      <c r="AC918" s="48">
        <v>0.56040000000000001</v>
      </c>
      <c r="AD918" s="48">
        <v>2.48</v>
      </c>
      <c r="AE918" s="48">
        <v>2.27</v>
      </c>
      <c r="AF918" s="48">
        <f t="shared" ref="AF918:AF927" si="188">IF(AA918=0,AD918,AA918)</f>
        <v>2.48</v>
      </c>
      <c r="AG918" s="49">
        <v>2.72</v>
      </c>
      <c r="AH918" s="98">
        <v>1.9000000000000001E-9</v>
      </c>
      <c r="AI918" s="98"/>
      <c r="AJ918" s="483">
        <f t="shared" ref="AJ918:AJ949" si="189">LOG10(AH918*1000/(0.08206*298.15))</f>
        <v>-7.1098127253598227</v>
      </c>
      <c r="AK918" s="483"/>
      <c r="AL918" s="483">
        <f t="shared" ref="AL918:AL949" si="190">IF(AK918=0,AJ918,AK918)</f>
        <v>-7.1098127253598227</v>
      </c>
      <c r="AM918" s="483">
        <v>-15.715440000000001</v>
      </c>
      <c r="AN918" s="226">
        <v>-9.58</v>
      </c>
      <c r="AO918" s="484">
        <v>14.73</v>
      </c>
      <c r="AP918" s="484"/>
      <c r="AQ918" s="48" t="s">
        <v>6311</v>
      </c>
      <c r="AR918" s="48" t="s">
        <v>6311</v>
      </c>
      <c r="AS918" s="227"/>
      <c r="AT918" s="50" t="s">
        <v>266</v>
      </c>
      <c r="AU918" s="48">
        <v>6</v>
      </c>
      <c r="AV918" s="48">
        <v>120</v>
      </c>
      <c r="AW918" s="48">
        <v>114</v>
      </c>
      <c r="AX918" s="48">
        <v>28</v>
      </c>
      <c r="AY918" s="48" t="s">
        <v>8728</v>
      </c>
      <c r="AZ918" s="48" t="s">
        <v>1563</v>
      </c>
      <c r="BA918" s="48">
        <v>32</v>
      </c>
      <c r="BB918" s="47" t="s">
        <v>2485</v>
      </c>
      <c r="BC918" s="47" t="s">
        <v>8726</v>
      </c>
      <c r="BD918" s="47" t="s">
        <v>8374</v>
      </c>
      <c r="BE918" s="48" t="s">
        <v>2449</v>
      </c>
      <c r="BF918" s="48" t="s">
        <v>272</v>
      </c>
      <c r="BG918" s="48" t="s">
        <v>272</v>
      </c>
      <c r="BH918" s="48" t="s">
        <v>2486</v>
      </c>
      <c r="BI918" s="98">
        <v>1.7303679999999999E-3</v>
      </c>
      <c r="BJ918" s="98">
        <v>17.30368</v>
      </c>
      <c r="BK918" s="48"/>
      <c r="BL918" s="487">
        <v>57.915325432859078</v>
      </c>
      <c r="BM918" s="47" t="s">
        <v>2487</v>
      </c>
      <c r="BN918" s="48"/>
      <c r="BO918" s="48"/>
      <c r="BP918" s="48"/>
      <c r="BQ918" s="48"/>
      <c r="BR918" s="47" t="e">
        <v>#VALUE!</v>
      </c>
      <c r="BS918" s="48"/>
      <c r="BT918" s="48"/>
      <c r="BU918" s="228">
        <v>17.30368</v>
      </c>
      <c r="BV918" s="48"/>
      <c r="BW918" s="48"/>
      <c r="BX918" s="48"/>
      <c r="BY918" s="48"/>
      <c r="BZ918" s="48"/>
      <c r="CA918" s="48"/>
      <c r="CB918" s="48"/>
      <c r="CC918" s="48"/>
      <c r="CD918" s="48"/>
      <c r="CE918" s="48"/>
      <c r="CF918" s="48"/>
      <c r="CG918" s="48"/>
      <c r="CH918" s="48"/>
      <c r="CI918" s="98"/>
      <c r="CJ918" s="98"/>
      <c r="CK918" s="49">
        <f t="shared" ref="CK918:CK947" si="191">BL918/BJ918</f>
        <v>3.3469947105389766</v>
      </c>
      <c r="CL918" s="229"/>
      <c r="CM918" s="229"/>
      <c r="CN918" s="229"/>
      <c r="CO918" s="47" t="s">
        <v>2488</v>
      </c>
      <c r="CP918" s="500" t="s">
        <v>2489</v>
      </c>
      <c r="CQ918" s="224" t="s">
        <v>272</v>
      </c>
      <c r="CR918" s="224"/>
      <c r="CS918" s="230" t="s">
        <v>539</v>
      </c>
      <c r="CT918" s="230"/>
      <c r="CU918" s="230"/>
      <c r="CV918" s="335">
        <f t="shared" ref="CV918:CV947" si="192">X918/BJ918</f>
        <v>2.7153137949208999</v>
      </c>
      <c r="CW918" s="230">
        <f t="shared" si="179"/>
        <v>1</v>
      </c>
      <c r="CX918" s="336"/>
      <c r="CY918" s="230" t="s">
        <v>5921</v>
      </c>
    </row>
    <row r="919" spans="1:103" ht="11.25" customHeight="1" x14ac:dyDescent="0.2">
      <c r="A919" s="72">
        <v>1291</v>
      </c>
      <c r="B919" s="224">
        <v>932</v>
      </c>
      <c r="C919" s="46" t="s">
        <v>7403</v>
      </c>
      <c r="D919" s="46" t="s">
        <v>8644</v>
      </c>
      <c r="E919" s="114"/>
      <c r="F919" s="114" t="s">
        <v>2659</v>
      </c>
      <c r="G919" s="225">
        <v>10222012</v>
      </c>
      <c r="H919" s="47" t="s">
        <v>2660</v>
      </c>
      <c r="I919" s="47" t="s">
        <v>8098</v>
      </c>
      <c r="J919" s="47" t="s">
        <v>2661</v>
      </c>
      <c r="K919" s="47" t="s">
        <v>2662</v>
      </c>
      <c r="L919" s="47" t="s">
        <v>5576</v>
      </c>
      <c r="M919" s="47" t="s">
        <v>6088</v>
      </c>
      <c r="N919" s="47" t="s">
        <v>6088</v>
      </c>
      <c r="O919" s="47" t="s">
        <v>6083</v>
      </c>
      <c r="P919" s="53"/>
      <c r="Q919" s="53"/>
      <c r="R919" s="53"/>
      <c r="S919" s="53"/>
      <c r="T919" s="48">
        <v>241.87</v>
      </c>
      <c r="U919" s="98">
        <v>15000</v>
      </c>
      <c r="V919" s="98">
        <v>2841</v>
      </c>
      <c r="W919" s="98">
        <v>3338.7354207949948</v>
      </c>
      <c r="X919" s="98">
        <v>15000</v>
      </c>
      <c r="Y919" s="233">
        <v>6.72</v>
      </c>
      <c r="Z919" s="48">
        <v>1.01</v>
      </c>
      <c r="AA919" s="48">
        <v>0.82</v>
      </c>
      <c r="AB919" s="48">
        <v>1.02</v>
      </c>
      <c r="AC919" s="48">
        <v>0.75309999999999999</v>
      </c>
      <c r="AD919" s="48">
        <v>1.17</v>
      </c>
      <c r="AE919" s="48">
        <v>1.51</v>
      </c>
      <c r="AF919" s="48">
        <f t="shared" si="188"/>
        <v>0.82</v>
      </c>
      <c r="AG919" s="49">
        <v>0.38</v>
      </c>
      <c r="AH919" s="98">
        <v>6.1599999999999998E-14</v>
      </c>
      <c r="AI919" s="98">
        <v>1.9099999999999999E-8</v>
      </c>
      <c r="AJ919" s="483">
        <f t="shared" si="189"/>
        <v>-11.598985614148226</v>
      </c>
      <c r="AK919" s="483">
        <f>LOG10(AI919*1000/(0.08206*298.15))</f>
        <v>-6.1075329590649243</v>
      </c>
      <c r="AL919" s="483">
        <f t="shared" si="190"/>
        <v>-6.1075329590649243</v>
      </c>
      <c r="AM919" s="483">
        <v>-11.327289999999998</v>
      </c>
      <c r="AN919" s="226">
        <v>-9.2100000000000009</v>
      </c>
      <c r="AO919" s="484">
        <v>11.72</v>
      </c>
      <c r="AP919" s="484">
        <v>-1.87</v>
      </c>
      <c r="AQ919" s="48" t="s">
        <v>6311</v>
      </c>
      <c r="AR919" s="48" t="s">
        <v>6311</v>
      </c>
      <c r="AS919" s="227"/>
      <c r="AT919" s="50" t="s">
        <v>266</v>
      </c>
      <c r="AU919" s="48">
        <v>6</v>
      </c>
      <c r="AV919" s="48">
        <v>120</v>
      </c>
      <c r="AW919" s="48">
        <v>114</v>
      </c>
      <c r="AX919" s="48">
        <v>28</v>
      </c>
      <c r="AY919" s="48" t="s">
        <v>8728</v>
      </c>
      <c r="AZ919" s="48" t="s">
        <v>1563</v>
      </c>
      <c r="BA919" s="48">
        <v>32</v>
      </c>
      <c r="BB919" s="47" t="s">
        <v>2485</v>
      </c>
      <c r="BC919" s="47" t="s">
        <v>8726</v>
      </c>
      <c r="BD919" s="47" t="s">
        <v>8374</v>
      </c>
      <c r="BE919" s="48" t="s">
        <v>2449</v>
      </c>
      <c r="BF919" s="48" t="s">
        <v>272</v>
      </c>
      <c r="BG919" s="48" t="s">
        <v>272</v>
      </c>
      <c r="BH919" s="48" t="s">
        <v>2486</v>
      </c>
      <c r="BI919" s="98">
        <v>1.547968E-3</v>
      </c>
      <c r="BJ919" s="98">
        <v>15.47968</v>
      </c>
      <c r="BK919" s="48"/>
      <c r="BL919" s="487">
        <v>1539.2210874621151</v>
      </c>
      <c r="BM919" s="47" t="s">
        <v>2487</v>
      </c>
      <c r="BN919" s="48"/>
      <c r="BO919" s="48"/>
      <c r="BP919" s="48"/>
      <c r="BQ919" s="48"/>
      <c r="BR919" s="47" t="e">
        <v>#VALUE!</v>
      </c>
      <c r="BS919" s="48"/>
      <c r="BT919" s="48"/>
      <c r="BU919" s="228">
        <v>1.5479679999999999E-2</v>
      </c>
      <c r="BV919" s="48"/>
      <c r="BW919" s="48"/>
      <c r="BX919" s="48"/>
      <c r="BY919" s="48"/>
      <c r="BZ919" s="48"/>
      <c r="CA919" s="48"/>
      <c r="CB919" s="48"/>
      <c r="CC919" s="48"/>
      <c r="CD919" s="48"/>
      <c r="CE919" s="48"/>
      <c r="CF919" s="48"/>
      <c r="CG919" s="48"/>
      <c r="CH919" s="48"/>
      <c r="CI919" s="98"/>
      <c r="CJ919" s="98"/>
      <c r="CK919" s="49">
        <f t="shared" si="191"/>
        <v>99.434942289641327</v>
      </c>
      <c r="CL919" s="229"/>
      <c r="CM919" s="229"/>
      <c r="CN919" s="229"/>
      <c r="CO919" s="47" t="s">
        <v>2488</v>
      </c>
      <c r="CP919" s="500" t="s">
        <v>2489</v>
      </c>
      <c r="CQ919" s="224">
        <v>0.41136451445919558</v>
      </c>
      <c r="CR919" s="224">
        <f>10^(CJ919-CQ919)</f>
        <v>0.38782471814877423</v>
      </c>
      <c r="CS919" s="230" t="s">
        <v>539</v>
      </c>
      <c r="CT919" s="230"/>
      <c r="CU919" s="230"/>
      <c r="CV919" s="335">
        <f t="shared" si="192"/>
        <v>969.01227932360359</v>
      </c>
      <c r="CW919" s="230">
        <f t="shared" si="179"/>
        <v>1</v>
      </c>
      <c r="CX919" s="336"/>
      <c r="CY919" s="230" t="s">
        <v>5921</v>
      </c>
    </row>
    <row r="920" spans="1:103" ht="11.25" customHeight="1" x14ac:dyDescent="0.2">
      <c r="A920" s="72">
        <v>1293</v>
      </c>
      <c r="B920" s="224">
        <v>1183</v>
      </c>
      <c r="C920" s="46" t="s">
        <v>7404</v>
      </c>
      <c r="D920" s="46" t="s">
        <v>8645</v>
      </c>
      <c r="E920" s="114"/>
      <c r="F920" s="114" t="s">
        <v>3264</v>
      </c>
      <c r="G920" s="225">
        <v>10265926</v>
      </c>
      <c r="H920" s="47" t="s">
        <v>3265</v>
      </c>
      <c r="I920" s="47" t="s">
        <v>3265</v>
      </c>
      <c r="J920" s="47" t="s">
        <v>3266</v>
      </c>
      <c r="K920" s="47" t="s">
        <v>637</v>
      </c>
      <c r="L920" s="47" t="s">
        <v>617</v>
      </c>
      <c r="M920" s="47" t="s">
        <v>946</v>
      </c>
      <c r="N920" s="47" t="s">
        <v>6376</v>
      </c>
      <c r="O920" s="47" t="s">
        <v>918</v>
      </c>
      <c r="P920" s="53"/>
      <c r="Q920" s="53"/>
      <c r="R920" s="53"/>
      <c r="S920" s="53"/>
      <c r="T920" s="48">
        <v>141.13</v>
      </c>
      <c r="U920" s="98">
        <v>1000000</v>
      </c>
      <c r="V920" s="98">
        <v>399400</v>
      </c>
      <c r="W920" s="98">
        <v>999123.88550133386</v>
      </c>
      <c r="X920" s="98">
        <v>1000000</v>
      </c>
      <c r="Y920" s="233">
        <v>7.23</v>
      </c>
      <c r="Z920" s="48">
        <v>-0.93</v>
      </c>
      <c r="AA920" s="48">
        <v>-0.8</v>
      </c>
      <c r="AB920" s="48">
        <v>-0.47</v>
      </c>
      <c r="AC920" s="48">
        <v>0.86880000000000002</v>
      </c>
      <c r="AD920" s="48">
        <v>-0.56000000000000005</v>
      </c>
      <c r="AE920" s="48">
        <v>-0.82</v>
      </c>
      <c r="AF920" s="48">
        <f t="shared" si="188"/>
        <v>-0.8</v>
      </c>
      <c r="AG920" s="49">
        <v>-0.23</v>
      </c>
      <c r="AH920" s="98">
        <v>8.68E-10</v>
      </c>
      <c r="AI920" s="98"/>
      <c r="AJ920" s="483">
        <f t="shared" si="189"/>
        <v>-7.4500466011361599</v>
      </c>
      <c r="AK920" s="483"/>
      <c r="AL920" s="483">
        <f t="shared" si="190"/>
        <v>-7.4500466011361599</v>
      </c>
      <c r="AM920" s="483">
        <v>-9.6689599999999984</v>
      </c>
      <c r="AN920" s="226">
        <v>-7.09</v>
      </c>
      <c r="AO920" s="484"/>
      <c r="AP920" s="484">
        <v>-0.57999999999999996</v>
      </c>
      <c r="AQ920" s="48" t="s">
        <v>6311</v>
      </c>
      <c r="AR920" s="48" t="s">
        <v>6311</v>
      </c>
      <c r="AS920" s="227"/>
      <c r="AT920" s="50" t="s">
        <v>266</v>
      </c>
      <c r="AU920" s="48">
        <v>6</v>
      </c>
      <c r="AV920" s="48">
        <v>120</v>
      </c>
      <c r="AW920" s="48">
        <v>114</v>
      </c>
      <c r="AX920" s="48">
        <v>28</v>
      </c>
      <c r="AY920" s="48" t="s">
        <v>8728</v>
      </c>
      <c r="AZ920" s="48" t="s">
        <v>1563</v>
      </c>
      <c r="BA920" s="48">
        <v>32</v>
      </c>
      <c r="BB920" s="47" t="s">
        <v>2485</v>
      </c>
      <c r="BC920" s="47" t="s">
        <v>8726</v>
      </c>
      <c r="BD920" s="47" t="s">
        <v>8374</v>
      </c>
      <c r="BE920" s="48" t="s">
        <v>2449</v>
      </c>
      <c r="BF920" s="48" t="s">
        <v>272</v>
      </c>
      <c r="BG920" s="48" t="s">
        <v>272</v>
      </c>
      <c r="BH920" s="48" t="s">
        <v>2486</v>
      </c>
      <c r="BI920" s="98">
        <v>9.0323199999999991E-4</v>
      </c>
      <c r="BJ920" s="98">
        <v>9.0323200000000003</v>
      </c>
      <c r="BK920" s="48"/>
      <c r="BL920" s="487">
        <v>49619.495181144208</v>
      </c>
      <c r="BM920" s="47" t="s">
        <v>2487</v>
      </c>
      <c r="BN920" s="48"/>
      <c r="BO920" s="48"/>
      <c r="BP920" s="48"/>
      <c r="BQ920" s="48"/>
      <c r="BR920" s="47" t="e">
        <v>#VALUE!</v>
      </c>
      <c r="BS920" s="48"/>
      <c r="BT920" s="48"/>
      <c r="BU920" s="228">
        <v>9.0323200000000006E-2</v>
      </c>
      <c r="BV920" s="48"/>
      <c r="BW920" s="48"/>
      <c r="BX920" s="48"/>
      <c r="BY920" s="48"/>
      <c r="BZ920" s="48"/>
      <c r="CA920" s="48"/>
      <c r="CB920" s="48"/>
      <c r="CC920" s="48"/>
      <c r="CD920" s="48"/>
      <c r="CE920" s="48"/>
      <c r="CF920" s="48"/>
      <c r="CG920" s="48"/>
      <c r="CH920" s="48"/>
      <c r="CI920" s="98"/>
      <c r="CJ920" s="98"/>
      <c r="CK920" s="49">
        <f t="shared" si="191"/>
        <v>5493.5492964315044</v>
      </c>
      <c r="CL920" s="229"/>
      <c r="CM920" s="229"/>
      <c r="CN920" s="229"/>
      <c r="CO920" s="47" t="s">
        <v>2488</v>
      </c>
      <c r="CP920" s="500" t="s">
        <v>2489</v>
      </c>
      <c r="CQ920" s="224">
        <v>1.3433615694861691</v>
      </c>
      <c r="CR920" s="224">
        <f>10^(CJ920-CQ920)</f>
        <v>4.5356384732659245E-2</v>
      </c>
      <c r="CS920" s="230" t="s">
        <v>539</v>
      </c>
      <c r="CT920" s="230"/>
      <c r="CU920" s="230"/>
      <c r="CV920" s="335">
        <f t="shared" si="192"/>
        <v>110713.52653581803</v>
      </c>
      <c r="CW920" s="230">
        <f t="shared" si="179"/>
        <v>1</v>
      </c>
      <c r="CX920" s="336"/>
      <c r="CY920" s="230" t="s">
        <v>5921</v>
      </c>
    </row>
    <row r="921" spans="1:103" ht="11.25" customHeight="1" x14ac:dyDescent="0.2">
      <c r="A921" s="72">
        <v>1294</v>
      </c>
      <c r="B921" s="224">
        <v>1051</v>
      </c>
      <c r="C921" s="46" t="s">
        <v>7405</v>
      </c>
      <c r="D921" s="46" t="s">
        <v>8646</v>
      </c>
      <c r="E921" s="114"/>
      <c r="F921" s="114" t="s">
        <v>2967</v>
      </c>
      <c r="G921" s="225">
        <v>10605217</v>
      </c>
      <c r="H921" s="47" t="s">
        <v>2968</v>
      </c>
      <c r="I921" s="47" t="s">
        <v>2968</v>
      </c>
      <c r="J921" s="47" t="s">
        <v>2969</v>
      </c>
      <c r="K921" s="47" t="s">
        <v>967</v>
      </c>
      <c r="L921" s="47" t="s">
        <v>5929</v>
      </c>
      <c r="M921" s="47" t="s">
        <v>6088</v>
      </c>
      <c r="N921" s="47" t="s">
        <v>6088</v>
      </c>
      <c r="O921" s="47" t="s">
        <v>6083</v>
      </c>
      <c r="P921" s="53"/>
      <c r="Q921" s="53"/>
      <c r="R921" s="53"/>
      <c r="S921" s="53"/>
      <c r="T921" s="48">
        <v>191.19</v>
      </c>
      <c r="U921" s="98">
        <v>29.000000000000004</v>
      </c>
      <c r="V921" s="98">
        <v>2441</v>
      </c>
      <c r="W921" s="98">
        <v>174.36735237645618</v>
      </c>
      <c r="X921" s="98">
        <v>29.000000000000004</v>
      </c>
      <c r="Y921" s="233">
        <v>8.25</v>
      </c>
      <c r="Z921" s="48">
        <v>1.55</v>
      </c>
      <c r="AA921" s="48">
        <v>1.52</v>
      </c>
      <c r="AB921" s="48">
        <v>1.66</v>
      </c>
      <c r="AC921" s="48">
        <v>0.83730000000000004</v>
      </c>
      <c r="AD921" s="48">
        <v>1.62</v>
      </c>
      <c r="AE921" s="48">
        <v>1.52</v>
      </c>
      <c r="AF921" s="48">
        <f t="shared" si="188"/>
        <v>1.52</v>
      </c>
      <c r="AG921" s="49">
        <v>1.1499999999999999</v>
      </c>
      <c r="AH921" s="98">
        <v>1.4899999999999999E-12</v>
      </c>
      <c r="AI921" s="98">
        <v>2.1199999999999999E-11</v>
      </c>
      <c r="AJ921" s="483">
        <f t="shared" si="189"/>
        <v>-10.215380057900378</v>
      </c>
      <c r="AK921" s="483">
        <f>LOG10(AI921*1000/(0.08206*298.15))</f>
        <v>-9.0622304653838999</v>
      </c>
      <c r="AL921" s="483">
        <f t="shared" si="190"/>
        <v>-9.0622304653838999</v>
      </c>
      <c r="AM921" s="483">
        <v>-14.520869999999999</v>
      </c>
      <c r="AN921" s="226">
        <v>-9.19</v>
      </c>
      <c r="AO921" s="484">
        <v>11.62</v>
      </c>
      <c r="AP921" s="484">
        <v>5.66</v>
      </c>
      <c r="AQ921" s="48" t="s">
        <v>6311</v>
      </c>
      <c r="AR921" s="48" t="s">
        <v>6312</v>
      </c>
      <c r="AS921" s="227"/>
      <c r="AT921" s="50" t="s">
        <v>266</v>
      </c>
      <c r="AU921" s="48">
        <v>6</v>
      </c>
      <c r="AV921" s="48">
        <v>120</v>
      </c>
      <c r="AW921" s="48">
        <v>114</v>
      </c>
      <c r="AX921" s="48">
        <v>28</v>
      </c>
      <c r="AY921" s="48" t="s">
        <v>8728</v>
      </c>
      <c r="AZ921" s="48" t="s">
        <v>1563</v>
      </c>
      <c r="BA921" s="48">
        <v>32</v>
      </c>
      <c r="BB921" s="47" t="s">
        <v>2485</v>
      </c>
      <c r="BC921" s="47" t="s">
        <v>8726</v>
      </c>
      <c r="BD921" s="47" t="s">
        <v>8374</v>
      </c>
      <c r="BE921" s="48" t="s">
        <v>2449</v>
      </c>
      <c r="BF921" s="48" t="s">
        <v>272</v>
      </c>
      <c r="BG921" s="48" t="s">
        <v>272</v>
      </c>
      <c r="BH921" s="48" t="s">
        <v>2486</v>
      </c>
      <c r="BI921" s="98">
        <v>1.2236159999999999E-3</v>
      </c>
      <c r="BJ921" s="98">
        <v>12.23616</v>
      </c>
      <c r="BK921" s="48"/>
      <c r="BL921" s="487">
        <v>398.29987783069492</v>
      </c>
      <c r="BM921" s="47" t="s">
        <v>2487</v>
      </c>
      <c r="BN921" s="48"/>
      <c r="BO921" s="48"/>
      <c r="BP921" s="48"/>
      <c r="BQ921" s="48"/>
      <c r="BR921" s="47" t="e">
        <v>#VALUE!</v>
      </c>
      <c r="BS921" s="48"/>
      <c r="BT921" s="48"/>
      <c r="BU921" s="228">
        <v>12.23616</v>
      </c>
      <c r="BV921" s="48"/>
      <c r="BW921" s="48"/>
      <c r="BX921" s="48"/>
      <c r="BY921" s="48"/>
      <c r="BZ921" s="48"/>
      <c r="CA921" s="48"/>
      <c r="CB921" s="48"/>
      <c r="CC921" s="48"/>
      <c r="CD921" s="48"/>
      <c r="CE921" s="48"/>
      <c r="CF921" s="48"/>
      <c r="CG921" s="48"/>
      <c r="CH921" s="48"/>
      <c r="CI921" s="98"/>
      <c r="CJ921" s="98"/>
      <c r="CK921" s="49">
        <f t="shared" si="191"/>
        <v>32.551051786728429</v>
      </c>
      <c r="CL921" s="229"/>
      <c r="CM921" s="229"/>
      <c r="CN921" s="229"/>
      <c r="CO921" s="47" t="s">
        <v>2488</v>
      </c>
      <c r="CP921" s="500" t="s">
        <v>2489</v>
      </c>
      <c r="CQ921" s="224">
        <v>-0.47509446240291769</v>
      </c>
      <c r="CR921" s="224">
        <f>10^(CJ921-CQ921)</f>
        <v>2.9860320333108987</v>
      </c>
      <c r="CS921" s="230" t="s">
        <v>539</v>
      </c>
      <c r="CT921" s="230"/>
      <c r="CU921" s="230"/>
      <c r="CV921" s="335">
        <f t="shared" si="192"/>
        <v>2.3700245828756739</v>
      </c>
      <c r="CW921" s="230">
        <f t="shared" si="179"/>
        <v>1</v>
      </c>
      <c r="CX921" s="336"/>
      <c r="CY921" s="230" t="s">
        <v>5921</v>
      </c>
    </row>
    <row r="922" spans="1:103" ht="11.25" customHeight="1" x14ac:dyDescent="0.2">
      <c r="A922" s="72">
        <v>1296</v>
      </c>
      <c r="B922" s="224">
        <v>1723</v>
      </c>
      <c r="C922" s="46" t="s">
        <v>2476</v>
      </c>
      <c r="D922" s="46"/>
      <c r="E922" s="114"/>
      <c r="F922" s="114" t="s">
        <v>2477</v>
      </c>
      <c r="G922" s="225">
        <v>12427382</v>
      </c>
      <c r="H922" s="47" t="s">
        <v>2478</v>
      </c>
      <c r="I922" s="47" t="s">
        <v>2478</v>
      </c>
      <c r="J922" s="47" t="s">
        <v>2479</v>
      </c>
      <c r="K922" s="47" t="s">
        <v>1297</v>
      </c>
      <c r="L922" s="47" t="s">
        <v>5929</v>
      </c>
      <c r="M922" s="47" t="s">
        <v>1515</v>
      </c>
      <c r="N922" s="47" t="s">
        <v>6382</v>
      </c>
      <c r="O922" s="47" t="s">
        <v>1516</v>
      </c>
      <c r="P922" s="53"/>
      <c r="Q922" s="53"/>
      <c r="R922" s="53"/>
      <c r="S922" s="53"/>
      <c r="T922" s="48">
        <v>212.38</v>
      </c>
      <c r="U922" s="98"/>
      <c r="V922" s="98">
        <v>28140</v>
      </c>
      <c r="W922" s="98">
        <v>12505.861552441997</v>
      </c>
      <c r="X922" s="98">
        <v>12505.861552441997</v>
      </c>
      <c r="Y922" s="233">
        <v>1.25</v>
      </c>
      <c r="Z922" s="48">
        <v>0.62</v>
      </c>
      <c r="AA922" s="48">
        <v>1.33</v>
      </c>
      <c r="AB922" s="48">
        <v>0.96</v>
      </c>
      <c r="AC922" s="48">
        <v>0.5101</v>
      </c>
      <c r="AD922" s="48">
        <v>1.3</v>
      </c>
      <c r="AE922" s="48">
        <v>1.66</v>
      </c>
      <c r="AF922" s="48">
        <f t="shared" si="188"/>
        <v>1.33</v>
      </c>
      <c r="AG922" s="49">
        <v>1.3</v>
      </c>
      <c r="AH922" s="98">
        <v>5.6400000000000002E-7</v>
      </c>
      <c r="AI922" s="98"/>
      <c r="AJ922" s="483">
        <f t="shared" si="189"/>
        <v>-4.6372872223293093</v>
      </c>
      <c r="AK922" s="483"/>
      <c r="AL922" s="483">
        <f t="shared" si="190"/>
        <v>-4.6372872223293093</v>
      </c>
      <c r="AM922" s="483">
        <v>-12.801919999999999</v>
      </c>
      <c r="AN922" s="226"/>
      <c r="AO922" s="484">
        <v>1.25</v>
      </c>
      <c r="AP922" s="484">
        <v>1.71</v>
      </c>
      <c r="AQ922" s="226" t="s">
        <v>6311</v>
      </c>
      <c r="AR922" s="226" t="s">
        <v>6311</v>
      </c>
      <c r="AS922" s="224"/>
      <c r="AT922" s="50" t="s">
        <v>266</v>
      </c>
      <c r="AU922" s="48">
        <v>6</v>
      </c>
      <c r="AV922" s="48">
        <v>120</v>
      </c>
      <c r="AW922" s="48">
        <v>114</v>
      </c>
      <c r="AX922" s="48">
        <v>28</v>
      </c>
      <c r="AY922" s="48" t="s">
        <v>8728</v>
      </c>
      <c r="AZ922" s="48" t="s">
        <v>1563</v>
      </c>
      <c r="BA922" s="48">
        <v>32</v>
      </c>
      <c r="BB922" s="47" t="s">
        <v>2485</v>
      </c>
      <c r="BC922" s="47" t="s">
        <v>8726</v>
      </c>
      <c r="BD922" s="47" t="s">
        <v>8374</v>
      </c>
      <c r="BE922" s="48" t="s">
        <v>2449</v>
      </c>
      <c r="BF922" s="48" t="s">
        <v>272</v>
      </c>
      <c r="BG922" s="48" t="s">
        <v>272</v>
      </c>
      <c r="BH922" s="48" t="s">
        <v>2486</v>
      </c>
      <c r="BI922" s="98">
        <v>1.3592319999999999E-3</v>
      </c>
      <c r="BJ922" s="98">
        <v>13.592320000000001</v>
      </c>
      <c r="BK922" s="48"/>
      <c r="BL922" s="487">
        <v>3027.5520370915779</v>
      </c>
      <c r="BM922" s="47" t="s">
        <v>2487</v>
      </c>
      <c r="BN922" s="48"/>
      <c r="BO922" s="48"/>
      <c r="BP922" s="48"/>
      <c r="BQ922" s="48"/>
      <c r="BR922" s="47" t="e">
        <v>#VALUE!</v>
      </c>
      <c r="BS922" s="48"/>
      <c r="BT922" s="48"/>
      <c r="BU922" s="228"/>
      <c r="BV922" s="48"/>
      <c r="BW922" s="48"/>
      <c r="BX922" s="48"/>
      <c r="BY922" s="48"/>
      <c r="BZ922" s="48"/>
      <c r="CA922" s="48"/>
      <c r="CB922" s="48"/>
      <c r="CC922" s="48"/>
      <c r="CD922" s="48"/>
      <c r="CE922" s="48"/>
      <c r="CF922" s="48"/>
      <c r="CG922" s="48"/>
      <c r="CH922" s="48"/>
      <c r="CI922" s="98"/>
      <c r="CJ922" s="98"/>
      <c r="CK922" s="49">
        <f t="shared" si="191"/>
        <v>222.73990290778747</v>
      </c>
      <c r="CL922" s="229"/>
      <c r="CM922" s="229">
        <v>-6.7010207570163058E-2</v>
      </c>
      <c r="CN922" s="229">
        <f>BJ922/(10^CM922)</f>
        <v>15.860022460567686</v>
      </c>
      <c r="CO922" s="47" t="s">
        <v>2488</v>
      </c>
      <c r="CP922" s="500" t="s">
        <v>2489</v>
      </c>
      <c r="CQ922" s="224">
        <v>6.0285517575122641E-2</v>
      </c>
      <c r="CR922" s="224">
        <f>10^(CJ922-CQ922)</f>
        <v>0.87039118183822417</v>
      </c>
      <c r="CS922" s="230" t="s">
        <v>539</v>
      </c>
      <c r="CT922" s="230"/>
      <c r="CU922" s="230"/>
      <c r="CV922" s="335">
        <f t="shared" si="192"/>
        <v>920.06821149310758</v>
      </c>
      <c r="CW922" s="230">
        <f t="shared" si="179"/>
        <v>1</v>
      </c>
      <c r="CX922" s="336"/>
      <c r="CY922" s="230" t="s">
        <v>5921</v>
      </c>
    </row>
    <row r="923" spans="1:103" ht="11.25" customHeight="1" x14ac:dyDescent="0.2">
      <c r="A923" s="72">
        <v>1298</v>
      </c>
      <c r="B923" s="224">
        <v>1645</v>
      </c>
      <c r="C923" s="46" t="s">
        <v>7406</v>
      </c>
      <c r="D923" s="46" t="s">
        <v>8647</v>
      </c>
      <c r="E923" s="114"/>
      <c r="F923" s="114" t="s">
        <v>3857</v>
      </c>
      <c r="G923" s="225">
        <v>13194484</v>
      </c>
      <c r="H923" s="47" t="s">
        <v>3858</v>
      </c>
      <c r="I923" s="47" t="s">
        <v>3858</v>
      </c>
      <c r="J923" s="47" t="s">
        <v>3859</v>
      </c>
      <c r="K923" s="47" t="s">
        <v>637</v>
      </c>
      <c r="L923" s="47" t="s">
        <v>617</v>
      </c>
      <c r="M923" s="47" t="s">
        <v>618</v>
      </c>
      <c r="N923" s="47" t="s">
        <v>6376</v>
      </c>
      <c r="O923" s="47" t="s">
        <v>3860</v>
      </c>
      <c r="P923" s="53"/>
      <c r="Q923" s="53"/>
      <c r="R923" s="53"/>
      <c r="S923" s="53"/>
      <c r="T923" s="48">
        <v>242.34</v>
      </c>
      <c r="U923" s="98">
        <v>750</v>
      </c>
      <c r="V923" s="98">
        <v>22.41</v>
      </c>
      <c r="W923" s="98">
        <v>840.28208338666479</v>
      </c>
      <c r="X923" s="98">
        <v>750</v>
      </c>
      <c r="Y923" s="233">
        <v>7</v>
      </c>
      <c r="Z923" s="48">
        <v>3.14</v>
      </c>
      <c r="AA923" s="48">
        <v>3.59</v>
      </c>
      <c r="AB923" s="48">
        <v>3.13</v>
      </c>
      <c r="AC923" s="48">
        <v>0.84330000000000005</v>
      </c>
      <c r="AD923" s="48">
        <v>3.26</v>
      </c>
      <c r="AE923" s="48">
        <v>3.59</v>
      </c>
      <c r="AF923" s="48">
        <f t="shared" si="188"/>
        <v>3.59</v>
      </c>
      <c r="AG923" s="49">
        <v>3.18</v>
      </c>
      <c r="AH923" s="98">
        <v>3.1E-7</v>
      </c>
      <c r="AI923" s="98">
        <v>1.6199999999999999E-7</v>
      </c>
      <c r="AJ923" s="483">
        <f t="shared" si="189"/>
        <v>-4.8972046324783793</v>
      </c>
      <c r="AK923" s="483">
        <f>LOG10(AI923*1000/(0.08206*298.15))</f>
        <v>-5.1790513117700208</v>
      </c>
      <c r="AL923" s="483">
        <f t="shared" si="190"/>
        <v>-5.1790513117700208</v>
      </c>
      <c r="AM923" s="483">
        <v>-8.2349800000000002</v>
      </c>
      <c r="AN923" s="226">
        <v>-4.63</v>
      </c>
      <c r="AO923" s="484"/>
      <c r="AP923" s="484"/>
      <c r="AQ923" s="226" t="s">
        <v>6312</v>
      </c>
      <c r="AR923" s="226" t="s">
        <v>6312</v>
      </c>
      <c r="AS923" s="224"/>
      <c r="AT923" s="50" t="s">
        <v>266</v>
      </c>
      <c r="AU923" s="48">
        <v>6</v>
      </c>
      <c r="AV923" s="48">
        <v>120</v>
      </c>
      <c r="AW923" s="48">
        <v>114</v>
      </c>
      <c r="AX923" s="48">
        <v>28</v>
      </c>
      <c r="AY923" s="48" t="s">
        <v>8728</v>
      </c>
      <c r="AZ923" s="48" t="s">
        <v>1563</v>
      </c>
      <c r="BA923" s="48">
        <v>32</v>
      </c>
      <c r="BB923" s="47" t="s">
        <v>2485</v>
      </c>
      <c r="BC923" s="47" t="s">
        <v>8726</v>
      </c>
      <c r="BD923" s="47" t="s">
        <v>8374</v>
      </c>
      <c r="BE923" s="48" t="s">
        <v>2449</v>
      </c>
      <c r="BF923" s="48" t="s">
        <v>272</v>
      </c>
      <c r="BG923" s="48" t="s">
        <v>272</v>
      </c>
      <c r="BH923" s="48" t="s">
        <v>2486</v>
      </c>
      <c r="BI923" s="98">
        <v>1.5509759999999999E-3</v>
      </c>
      <c r="BJ923" s="98">
        <v>15.50976</v>
      </c>
      <c r="BK923" s="48"/>
      <c r="BL923" s="487">
        <v>18.844781381216844</v>
      </c>
      <c r="BM923" s="47" t="s">
        <v>2487</v>
      </c>
      <c r="BN923" s="48"/>
      <c r="BO923" s="48"/>
      <c r="BP923" s="48"/>
      <c r="BQ923" s="48"/>
      <c r="BR923" s="47" t="e">
        <v>#VALUE!</v>
      </c>
      <c r="BS923" s="48"/>
      <c r="BT923" s="48"/>
      <c r="BU923" s="228"/>
      <c r="BV923" s="48"/>
      <c r="BW923" s="48"/>
      <c r="BX923" s="48"/>
      <c r="BY923" s="48"/>
      <c r="BZ923" s="48"/>
      <c r="CA923" s="48"/>
      <c r="CB923" s="48"/>
      <c r="CC923" s="48"/>
      <c r="CD923" s="48"/>
      <c r="CE923" s="48"/>
      <c r="CF923" s="48"/>
      <c r="CG923" s="48"/>
      <c r="CH923" s="48"/>
      <c r="CI923" s="98"/>
      <c r="CJ923" s="98"/>
      <c r="CK923" s="49">
        <f t="shared" si="191"/>
        <v>1.2150272719382404</v>
      </c>
      <c r="CL923" s="229"/>
      <c r="CM923" s="229"/>
      <c r="CN923" s="229"/>
      <c r="CO923" s="47" t="s">
        <v>2488</v>
      </c>
      <c r="CP923" s="500" t="s">
        <v>2489</v>
      </c>
      <c r="CQ923" s="224">
        <v>0.46354784930409759</v>
      </c>
      <c r="CR923" s="224">
        <f>10^(CJ923-CQ923)</f>
        <v>0.34391581764768653</v>
      </c>
      <c r="CS923" s="230" t="s">
        <v>539</v>
      </c>
      <c r="CT923" s="230"/>
      <c r="CU923" s="230"/>
      <c r="CV923" s="335">
        <f t="shared" si="192"/>
        <v>48.356647685070563</v>
      </c>
      <c r="CW923" s="230">
        <f t="shared" si="179"/>
        <v>1</v>
      </c>
      <c r="CX923" s="336"/>
      <c r="CY923" s="230" t="s">
        <v>5921</v>
      </c>
    </row>
    <row r="924" spans="1:103" ht="11.25" customHeight="1" x14ac:dyDescent="0.2">
      <c r="A924" s="72">
        <v>1299</v>
      </c>
      <c r="B924" s="224">
        <v>1267</v>
      </c>
      <c r="C924" s="46" t="s">
        <v>7407</v>
      </c>
      <c r="D924" s="46"/>
      <c r="E924" s="114"/>
      <c r="F924" s="114" t="s">
        <v>3478</v>
      </c>
      <c r="G924" s="225">
        <v>13292461</v>
      </c>
      <c r="H924" s="47" t="s">
        <v>3479</v>
      </c>
      <c r="I924" s="47" t="s">
        <v>8099</v>
      </c>
      <c r="J924" s="47" t="s">
        <v>3480</v>
      </c>
      <c r="K924" s="47" t="s">
        <v>3481</v>
      </c>
      <c r="L924" s="47" t="s">
        <v>279</v>
      </c>
      <c r="M924" s="47" t="s">
        <v>3482</v>
      </c>
      <c r="N924" s="47"/>
      <c r="O924" s="47" t="s">
        <v>281</v>
      </c>
      <c r="P924" s="53"/>
      <c r="Q924" s="53"/>
      <c r="R924" s="53"/>
      <c r="S924" s="53"/>
      <c r="T924" s="48">
        <v>822.94</v>
      </c>
      <c r="U924" s="98">
        <v>1400</v>
      </c>
      <c r="V924" s="98">
        <v>3.6769999999999999E-4</v>
      </c>
      <c r="W924" s="98">
        <v>127.45831483678361</v>
      </c>
      <c r="X924" s="98">
        <v>1400</v>
      </c>
      <c r="Y924" s="233">
        <v>6.22</v>
      </c>
      <c r="Z924" s="48">
        <v>4.24</v>
      </c>
      <c r="AA924" s="48"/>
      <c r="AB924" s="48">
        <v>3.81</v>
      </c>
      <c r="AC924" s="48">
        <v>0.38290000000000002</v>
      </c>
      <c r="AD924" s="48">
        <v>2.2400000000000002</v>
      </c>
      <c r="AE924" s="48">
        <v>1.0900000000000001</v>
      </c>
      <c r="AF924" s="48">
        <f t="shared" si="188"/>
        <v>2.2400000000000002</v>
      </c>
      <c r="AG924" s="49">
        <v>1.73</v>
      </c>
      <c r="AH924" s="98">
        <v>2.7200000000000001E-42</v>
      </c>
      <c r="AI924" s="98"/>
      <c r="AJ924" s="483">
        <f t="shared" si="189"/>
        <v>-39.953997422278455</v>
      </c>
      <c r="AK924" s="483"/>
      <c r="AL924" s="483">
        <f t="shared" si="190"/>
        <v>-39.953997422278455</v>
      </c>
      <c r="AM924" s="483">
        <v>-54.152059999999999</v>
      </c>
      <c r="AN924" s="226">
        <v>-40.1</v>
      </c>
      <c r="AO924" s="484">
        <v>4.96</v>
      </c>
      <c r="AP924" s="484">
        <v>7.3</v>
      </c>
      <c r="AQ924" s="48" t="s">
        <v>6311</v>
      </c>
      <c r="AR924" s="48" t="s">
        <v>6312</v>
      </c>
      <c r="AS924" s="227"/>
      <c r="AT924" s="50" t="s">
        <v>266</v>
      </c>
      <c r="AU924" s="48">
        <v>6</v>
      </c>
      <c r="AV924" s="48">
        <v>120</v>
      </c>
      <c r="AW924" s="48">
        <v>114</v>
      </c>
      <c r="AX924" s="48">
        <v>28</v>
      </c>
      <c r="AY924" s="48" t="s">
        <v>8728</v>
      </c>
      <c r="AZ924" s="48" t="s">
        <v>1563</v>
      </c>
      <c r="BA924" s="48">
        <v>32</v>
      </c>
      <c r="BB924" s="47" t="s">
        <v>2485</v>
      </c>
      <c r="BC924" s="47" t="s">
        <v>8726</v>
      </c>
      <c r="BD924" s="47" t="s">
        <v>8374</v>
      </c>
      <c r="BE924" s="48" t="s">
        <v>2449</v>
      </c>
      <c r="BF924" s="48" t="s">
        <v>272</v>
      </c>
      <c r="BG924" s="48" t="s">
        <v>272</v>
      </c>
      <c r="BH924" s="48" t="s">
        <v>2486</v>
      </c>
      <c r="BI924" s="98">
        <v>5.2668159999999997E-3</v>
      </c>
      <c r="BJ924" s="98">
        <v>52.668160000000007</v>
      </c>
      <c r="BK924" s="48"/>
      <c r="BL924" s="487">
        <v>6.57997391963338</v>
      </c>
      <c r="BM924" s="47" t="s">
        <v>2487</v>
      </c>
      <c r="BN924" s="48"/>
      <c r="BO924" s="48"/>
      <c r="BP924" s="48"/>
      <c r="BQ924" s="48"/>
      <c r="BR924" s="47" t="e">
        <v>#VALUE!</v>
      </c>
      <c r="BS924" s="48"/>
      <c r="BT924" s="48"/>
      <c r="BU924" s="228">
        <v>3.2917600000000005E-2</v>
      </c>
      <c r="BV924" s="48"/>
      <c r="BW924" s="48"/>
      <c r="BX924" s="48"/>
      <c r="BY924" s="48"/>
      <c r="BZ924" s="48"/>
      <c r="CA924" s="48"/>
      <c r="CB924" s="48"/>
      <c r="CC924" s="48"/>
      <c r="CD924" s="48"/>
      <c r="CE924" s="48"/>
      <c r="CF924" s="48"/>
      <c r="CG924" s="48"/>
      <c r="CH924" s="48"/>
      <c r="CI924" s="98"/>
      <c r="CJ924" s="98"/>
      <c r="CK924" s="49">
        <f t="shared" si="191"/>
        <v>0.12493267126919526</v>
      </c>
      <c r="CL924" s="229"/>
      <c r="CM924" s="229"/>
      <c r="CN924" s="229"/>
      <c r="CO924" s="47" t="s">
        <v>2488</v>
      </c>
      <c r="CP924" s="500" t="s">
        <v>2489</v>
      </c>
      <c r="CQ924" s="224" t="s">
        <v>272</v>
      </c>
      <c r="CR924" s="224"/>
      <c r="CS924" s="230" t="s">
        <v>539</v>
      </c>
      <c r="CT924" s="230"/>
      <c r="CU924" s="230"/>
      <c r="CV924" s="335">
        <f t="shared" si="192"/>
        <v>26.581524777018977</v>
      </c>
      <c r="CW924" s="230">
        <f t="shared" si="179"/>
        <v>1</v>
      </c>
      <c r="CX924" s="336"/>
      <c r="CY924" s="230" t="s">
        <v>5921</v>
      </c>
    </row>
    <row r="925" spans="1:103" ht="11.25" customHeight="1" x14ac:dyDescent="0.2">
      <c r="A925" s="72">
        <v>1300</v>
      </c>
      <c r="B925" s="224">
        <v>1677</v>
      </c>
      <c r="C925" s="46" t="s">
        <v>7408</v>
      </c>
      <c r="D925" s="46"/>
      <c r="E925" s="114"/>
      <c r="F925" s="114" t="s">
        <v>4897</v>
      </c>
      <c r="G925" s="225">
        <v>13311847</v>
      </c>
      <c r="H925" s="47" t="s">
        <v>4898</v>
      </c>
      <c r="I925" s="47" t="s">
        <v>8100</v>
      </c>
      <c r="J925" s="47" t="s">
        <v>4899</v>
      </c>
      <c r="K925" s="47" t="s">
        <v>471</v>
      </c>
      <c r="L925" s="47" t="s">
        <v>279</v>
      </c>
      <c r="M925" s="47" t="s">
        <v>4900</v>
      </c>
      <c r="N925" s="47"/>
      <c r="O925" s="47" t="s">
        <v>281</v>
      </c>
      <c r="P925" s="53"/>
      <c r="Q925" s="53"/>
      <c r="R925" s="53"/>
      <c r="S925" s="53"/>
      <c r="T925" s="48">
        <v>276.20999999999998</v>
      </c>
      <c r="U925" s="98"/>
      <c r="V925" s="98">
        <v>9.4510000000000005</v>
      </c>
      <c r="W925" s="98">
        <v>36.41156937566651</v>
      </c>
      <c r="X925" s="98">
        <v>36.41156937566651</v>
      </c>
      <c r="Y925" s="233">
        <v>7</v>
      </c>
      <c r="Z925" s="48">
        <v>3.51</v>
      </c>
      <c r="AA925" s="48">
        <v>3.35</v>
      </c>
      <c r="AB925" s="48">
        <v>2.95</v>
      </c>
      <c r="AC925" s="48">
        <v>0.8518</v>
      </c>
      <c r="AD925" s="48">
        <v>3.14</v>
      </c>
      <c r="AE925" s="48">
        <v>3.72</v>
      </c>
      <c r="AF925" s="48">
        <f t="shared" si="188"/>
        <v>3.35</v>
      </c>
      <c r="AG925" s="49">
        <v>2.37</v>
      </c>
      <c r="AH925" s="98">
        <v>3.73E-10</v>
      </c>
      <c r="AI925" s="98"/>
      <c r="AJ925" s="483">
        <f t="shared" si="189"/>
        <v>-7.8168574945039637</v>
      </c>
      <c r="AK925" s="483"/>
      <c r="AL925" s="483">
        <f t="shared" si="190"/>
        <v>-7.8168574945039637</v>
      </c>
      <c r="AM925" s="483">
        <v>-11.2728</v>
      </c>
      <c r="AN925" s="226">
        <v>-5.86</v>
      </c>
      <c r="AO925" s="484">
        <v>13.12</v>
      </c>
      <c r="AP925" s="484">
        <v>-4.58</v>
      </c>
      <c r="AQ925" s="226" t="s">
        <v>6311</v>
      </c>
      <c r="AR925" s="226" t="s">
        <v>6311</v>
      </c>
      <c r="AS925" s="224"/>
      <c r="AT925" s="50" t="s">
        <v>266</v>
      </c>
      <c r="AU925" s="48">
        <v>6</v>
      </c>
      <c r="AV925" s="48">
        <v>120</v>
      </c>
      <c r="AW925" s="48">
        <v>114</v>
      </c>
      <c r="AX925" s="48">
        <v>28</v>
      </c>
      <c r="AY925" s="48" t="s">
        <v>8728</v>
      </c>
      <c r="AZ925" s="48" t="s">
        <v>1563</v>
      </c>
      <c r="BA925" s="48">
        <v>32</v>
      </c>
      <c r="BB925" s="47" t="s">
        <v>2485</v>
      </c>
      <c r="BC925" s="47" t="s">
        <v>8726</v>
      </c>
      <c r="BD925" s="47" t="s">
        <v>8374</v>
      </c>
      <c r="BE925" s="48" t="s">
        <v>2449</v>
      </c>
      <c r="BF925" s="48" t="s">
        <v>272</v>
      </c>
      <c r="BG925" s="48" t="s">
        <v>272</v>
      </c>
      <c r="BH925" s="48" t="s">
        <v>2486</v>
      </c>
      <c r="BI925" s="98">
        <v>1.7677439999999997E-3</v>
      </c>
      <c r="BJ925" s="98">
        <v>17.677440000000001</v>
      </c>
      <c r="BK925" s="48"/>
      <c r="BL925" s="487">
        <v>9.9932878664955087</v>
      </c>
      <c r="BM925" s="47" t="s">
        <v>2487</v>
      </c>
      <c r="BN925" s="48"/>
      <c r="BO925" s="48"/>
      <c r="BP925" s="48"/>
      <c r="BQ925" s="48"/>
      <c r="BR925" s="47" t="e">
        <v>#VALUE!</v>
      </c>
      <c r="BS925" s="48"/>
      <c r="BT925" s="48"/>
      <c r="BU925" s="228"/>
      <c r="BV925" s="48"/>
      <c r="BW925" s="48"/>
      <c r="BX925" s="48"/>
      <c r="BY925" s="48"/>
      <c r="BZ925" s="48"/>
      <c r="CA925" s="48"/>
      <c r="CB925" s="48"/>
      <c r="CC925" s="48"/>
      <c r="CD925" s="48"/>
      <c r="CE925" s="48"/>
      <c r="CF925" s="48"/>
      <c r="CG925" s="48"/>
      <c r="CH925" s="48"/>
      <c r="CI925" s="98"/>
      <c r="CJ925" s="98"/>
      <c r="CK925" s="49">
        <f t="shared" si="191"/>
        <v>0.56531306945437287</v>
      </c>
      <c r="CL925" s="229"/>
      <c r="CM925" s="229"/>
      <c r="CN925" s="229"/>
      <c r="CO925" s="47" t="s">
        <v>2488</v>
      </c>
      <c r="CP925" s="500" t="s">
        <v>2489</v>
      </c>
      <c r="CQ925" s="224" t="s">
        <v>272</v>
      </c>
      <c r="CR925" s="224"/>
      <c r="CS925" s="230" t="s">
        <v>539</v>
      </c>
      <c r="CT925" s="230"/>
      <c r="CU925" s="230"/>
      <c r="CV925" s="335">
        <f t="shared" si="192"/>
        <v>2.0597761539943855</v>
      </c>
      <c r="CW925" s="230">
        <f t="shared" si="179"/>
        <v>1</v>
      </c>
      <c r="CX925" s="336"/>
      <c r="CY925" s="230" t="s">
        <v>5921</v>
      </c>
    </row>
    <row r="926" spans="1:103" ht="11.25" customHeight="1" x14ac:dyDescent="0.2">
      <c r="A926" s="72">
        <v>1301</v>
      </c>
      <c r="B926" s="224">
        <v>1338</v>
      </c>
      <c r="C926" s="46" t="s">
        <v>7409</v>
      </c>
      <c r="D926" s="46"/>
      <c r="E926" s="114"/>
      <c r="F926" s="114" t="s">
        <v>3628</v>
      </c>
      <c r="G926" s="225">
        <v>13674878</v>
      </c>
      <c r="H926" s="236" t="s">
        <v>3629</v>
      </c>
      <c r="I926" s="236" t="s">
        <v>8101</v>
      </c>
      <c r="J926" s="236" t="s">
        <v>3630</v>
      </c>
      <c r="K926" s="236" t="s">
        <v>637</v>
      </c>
      <c r="L926" s="47"/>
      <c r="M926" s="47"/>
      <c r="N926" s="47"/>
      <c r="O926" s="52"/>
      <c r="P926" s="53"/>
      <c r="Q926" s="53"/>
      <c r="R926" s="53"/>
      <c r="S926" s="53"/>
      <c r="T926" s="226">
        <v>430.91</v>
      </c>
      <c r="U926" s="98">
        <v>7</v>
      </c>
      <c r="V926" s="98">
        <v>1.5009999999999999</v>
      </c>
      <c r="W926" s="98">
        <v>384.04894175121223</v>
      </c>
      <c r="X926" s="98">
        <v>7</v>
      </c>
      <c r="Y926" s="233">
        <v>7</v>
      </c>
      <c r="Z926" s="48">
        <v>3.65</v>
      </c>
      <c r="AA926" s="48">
        <v>3.65</v>
      </c>
      <c r="AB926" s="48">
        <v>3.71</v>
      </c>
      <c r="AC926" s="48">
        <v>0.79710000000000003</v>
      </c>
      <c r="AD926" s="48">
        <v>3.26</v>
      </c>
      <c r="AE926" s="48">
        <v>1.79</v>
      </c>
      <c r="AF926" s="48">
        <f t="shared" si="188"/>
        <v>3.65</v>
      </c>
      <c r="AG926" s="48">
        <v>3.53</v>
      </c>
      <c r="AH926" s="98">
        <v>2.6099999999999999E-9</v>
      </c>
      <c r="AI926" s="98"/>
      <c r="AJ926" s="483">
        <f t="shared" si="189"/>
        <v>-6.9719258189743707</v>
      </c>
      <c r="AK926" s="483"/>
      <c r="AL926" s="483">
        <f t="shared" si="190"/>
        <v>-6.9719258189743707</v>
      </c>
      <c r="AM926" s="483">
        <v>-12.334430000000001</v>
      </c>
      <c r="AN926" s="48">
        <v>-9.69</v>
      </c>
      <c r="AO926" s="484"/>
      <c r="AP926" s="484"/>
      <c r="AQ926" s="48" t="s">
        <v>6312</v>
      </c>
      <c r="AR926" s="48" t="s">
        <v>6312</v>
      </c>
      <c r="AS926" s="227"/>
      <c r="AT926" s="50" t="s">
        <v>266</v>
      </c>
      <c r="AU926" s="48">
        <v>6</v>
      </c>
      <c r="AV926" s="48">
        <v>120</v>
      </c>
      <c r="AW926" s="48">
        <v>114</v>
      </c>
      <c r="AX926" s="48">
        <v>28</v>
      </c>
      <c r="AY926" s="48" t="s">
        <v>8728</v>
      </c>
      <c r="AZ926" s="48" t="s">
        <v>1563</v>
      </c>
      <c r="BA926" s="48">
        <v>32</v>
      </c>
      <c r="BB926" s="47" t="s">
        <v>2485</v>
      </c>
      <c r="BC926" s="47" t="s">
        <v>8726</v>
      </c>
      <c r="BD926" s="47" t="s">
        <v>8374</v>
      </c>
      <c r="BE926" s="48" t="s">
        <v>2449</v>
      </c>
      <c r="BF926" s="48" t="s">
        <v>272</v>
      </c>
      <c r="BG926" s="48" t="s">
        <v>272</v>
      </c>
      <c r="BH926" s="48" t="s">
        <v>2486</v>
      </c>
      <c r="BI926" s="98">
        <v>2.7578239999999999E-3</v>
      </c>
      <c r="BJ926" s="98">
        <v>27.578240000000001</v>
      </c>
      <c r="BK926" s="48"/>
      <c r="BL926" s="487">
        <v>11.671362896615626</v>
      </c>
      <c r="BM926" s="47" t="s">
        <v>2487</v>
      </c>
      <c r="BN926" s="48"/>
      <c r="BO926" s="48"/>
      <c r="BP926" s="48"/>
      <c r="BQ926" s="48"/>
      <c r="BR926" s="47" t="e">
        <v>#VALUE!</v>
      </c>
      <c r="BS926" s="48"/>
      <c r="BT926" s="48"/>
      <c r="BU926" s="228">
        <v>27.578240000000001</v>
      </c>
      <c r="BV926" s="48"/>
      <c r="BW926" s="48"/>
      <c r="BX926" s="48"/>
      <c r="BY926" s="48"/>
      <c r="BZ926" s="48"/>
      <c r="CA926" s="48"/>
      <c r="CB926" s="48"/>
      <c r="CC926" s="48"/>
      <c r="CD926" s="48"/>
      <c r="CE926" s="48"/>
      <c r="CF926" s="48"/>
      <c r="CG926" s="48"/>
      <c r="CH926" s="48"/>
      <c r="CI926" s="98"/>
      <c r="CJ926" s="98"/>
      <c r="CK926" s="49">
        <f t="shared" si="191"/>
        <v>0.42320912779842462</v>
      </c>
      <c r="CL926" s="229"/>
      <c r="CM926" s="229"/>
      <c r="CN926" s="229"/>
      <c r="CO926" s="47" t="s">
        <v>2488</v>
      </c>
      <c r="CP926" s="500" t="s">
        <v>2489</v>
      </c>
      <c r="CQ926" s="224" t="s">
        <v>272</v>
      </c>
      <c r="CR926" s="224"/>
      <c r="CS926" s="230" t="s">
        <v>539</v>
      </c>
      <c r="CT926" s="230"/>
      <c r="CU926" s="230"/>
      <c r="CV926" s="335">
        <f t="shared" si="192"/>
        <v>0.25382330417024435</v>
      </c>
      <c r="CW926" s="230">
        <f t="shared" si="179"/>
        <v>0</v>
      </c>
      <c r="CX926" s="336"/>
      <c r="CY926" s="230" t="s">
        <v>6351</v>
      </c>
    </row>
    <row r="927" spans="1:103" ht="11.25" customHeight="1" x14ac:dyDescent="0.2">
      <c r="A927" s="72">
        <v>1303</v>
      </c>
      <c r="B927" s="224">
        <v>1773</v>
      </c>
      <c r="C927" s="46" t="s">
        <v>7410</v>
      </c>
      <c r="D927" s="46" t="s">
        <v>8648</v>
      </c>
      <c r="E927" s="114"/>
      <c r="F927" s="114" t="s">
        <v>3959</v>
      </c>
      <c r="G927" s="225">
        <v>15299997</v>
      </c>
      <c r="H927" s="47" t="s">
        <v>3960</v>
      </c>
      <c r="I927" s="47" t="s">
        <v>3960</v>
      </c>
      <c r="J927" s="47" t="s">
        <v>3961</v>
      </c>
      <c r="K927" s="47" t="s">
        <v>471</v>
      </c>
      <c r="L927" s="47" t="s">
        <v>6046</v>
      </c>
      <c r="M927" s="47" t="s">
        <v>6082</v>
      </c>
      <c r="N927" s="47" t="s">
        <v>6082</v>
      </c>
      <c r="O927" s="47" t="s">
        <v>6083</v>
      </c>
      <c r="P927" s="53"/>
      <c r="Q927" s="53"/>
      <c r="R927" s="53"/>
      <c r="S927" s="53"/>
      <c r="T927" s="48">
        <v>271.35000000000002</v>
      </c>
      <c r="U927" s="98">
        <v>73</v>
      </c>
      <c r="V927" s="98">
        <v>24.24</v>
      </c>
      <c r="W927" s="98">
        <v>121.20759273016373</v>
      </c>
      <c r="X927" s="98">
        <v>73</v>
      </c>
      <c r="Y927" s="233">
        <v>7</v>
      </c>
      <c r="Z927" s="48">
        <v>3.33</v>
      </c>
      <c r="AA927" s="48">
        <v>3.36</v>
      </c>
      <c r="AB927" s="48">
        <v>3.49</v>
      </c>
      <c r="AC927" s="48">
        <v>0.9214</v>
      </c>
      <c r="AD927" s="48">
        <v>3.44</v>
      </c>
      <c r="AE927" s="48">
        <v>3.24</v>
      </c>
      <c r="AF927" s="48">
        <f t="shared" si="188"/>
        <v>3.36</v>
      </c>
      <c r="AG927" s="49">
        <v>3.34</v>
      </c>
      <c r="AH927" s="98">
        <v>3.7699999999999999E-10</v>
      </c>
      <c r="AI927" s="98">
        <v>8.4099999999999999E-10</v>
      </c>
      <c r="AJ927" s="483">
        <f t="shared" si="189"/>
        <v>-7.812224976106859</v>
      </c>
      <c r="AK927" s="483">
        <f>LOG10(AI927*1000/(0.08206*298.15))</f>
        <v>-7.4637703305147394</v>
      </c>
      <c r="AL927" s="483">
        <f t="shared" si="190"/>
        <v>-7.4637703305147394</v>
      </c>
      <c r="AM927" s="483">
        <v>-12.8308</v>
      </c>
      <c r="AN927" s="226">
        <v>-7.96</v>
      </c>
      <c r="AO927" s="484"/>
      <c r="AP927" s="484">
        <v>-0.82</v>
      </c>
      <c r="AQ927" s="226" t="s">
        <v>6311</v>
      </c>
      <c r="AR927" s="226" t="s">
        <v>6311</v>
      </c>
      <c r="AS927" s="224"/>
      <c r="AT927" s="50" t="s">
        <v>266</v>
      </c>
      <c r="AU927" s="48">
        <v>6</v>
      </c>
      <c r="AV927" s="48">
        <v>120</v>
      </c>
      <c r="AW927" s="48">
        <v>114</v>
      </c>
      <c r="AX927" s="48">
        <v>28</v>
      </c>
      <c r="AY927" s="48" t="s">
        <v>8728</v>
      </c>
      <c r="AZ927" s="48" t="s">
        <v>1563</v>
      </c>
      <c r="BA927" s="48">
        <v>32</v>
      </c>
      <c r="BB927" s="47" t="s">
        <v>2485</v>
      </c>
      <c r="BC927" s="47" t="s">
        <v>8726</v>
      </c>
      <c r="BD927" s="47" t="s">
        <v>8374</v>
      </c>
      <c r="BE927" s="48" t="s">
        <v>2449</v>
      </c>
      <c r="BF927" s="48" t="s">
        <v>272</v>
      </c>
      <c r="BG927" s="48" t="s">
        <v>272</v>
      </c>
      <c r="BH927" s="48" t="s">
        <v>2486</v>
      </c>
      <c r="BI927" s="98">
        <v>1.73664E-3</v>
      </c>
      <c r="BJ927" s="98">
        <v>17.366400000000002</v>
      </c>
      <c r="BK927" s="48"/>
      <c r="BL927" s="487">
        <v>14.244815412120916</v>
      </c>
      <c r="BM927" s="47" t="s">
        <v>2487</v>
      </c>
      <c r="BN927" s="48"/>
      <c r="BO927" s="48"/>
      <c r="BP927" s="48"/>
      <c r="BQ927" s="48"/>
      <c r="BR927" s="47" t="e">
        <v>#VALUE!</v>
      </c>
      <c r="BS927" s="48"/>
      <c r="BT927" s="48"/>
      <c r="BU927" s="228"/>
      <c r="BV927" s="48"/>
      <c r="BW927" s="48"/>
      <c r="BX927" s="48"/>
      <c r="BY927" s="48"/>
      <c r="BZ927" s="48"/>
      <c r="CA927" s="48"/>
      <c r="CB927" s="48"/>
      <c r="CC927" s="48"/>
      <c r="CD927" s="48"/>
      <c r="CE927" s="48"/>
      <c r="CF927" s="48"/>
      <c r="CG927" s="48"/>
      <c r="CH927" s="48"/>
      <c r="CI927" s="98"/>
      <c r="CJ927" s="98"/>
      <c r="CK927" s="49">
        <f t="shared" si="191"/>
        <v>0.82025148632537048</v>
      </c>
      <c r="CL927" s="229"/>
      <c r="CM927" s="229"/>
      <c r="CN927" s="229"/>
      <c r="CO927" s="47" t="s">
        <v>2488</v>
      </c>
      <c r="CP927" s="500" t="s">
        <v>2489</v>
      </c>
      <c r="CQ927" s="224">
        <v>1.061517382552372</v>
      </c>
      <c r="CR927" s="224">
        <f>10^(CJ927-CQ927)</f>
        <v>8.6792583803390236E-2</v>
      </c>
      <c r="CS927" s="230" t="s">
        <v>539</v>
      </c>
      <c r="CT927" s="230"/>
      <c r="CU927" s="230"/>
      <c r="CV927" s="335">
        <f t="shared" si="192"/>
        <v>4.203519439837847</v>
      </c>
      <c r="CW927" s="230">
        <f t="shared" ref="CW927:CW947" si="193">IF(CV927&lt;1,0,1)</f>
        <v>1</v>
      </c>
      <c r="CX927" s="336"/>
      <c r="CY927" s="230" t="s">
        <v>5921</v>
      </c>
    </row>
    <row r="928" spans="1:103" ht="11.25" customHeight="1" x14ac:dyDescent="0.2">
      <c r="A928" s="72">
        <v>1304</v>
      </c>
      <c r="B928" s="224">
        <v>1350</v>
      </c>
      <c r="C928" s="46" t="s">
        <v>7411</v>
      </c>
      <c r="D928" s="46"/>
      <c r="E928" s="114"/>
      <c r="F928" s="114" t="s">
        <v>4179</v>
      </c>
      <c r="G928" s="225">
        <v>15619484</v>
      </c>
      <c r="H928" s="47" t="s">
        <v>4180</v>
      </c>
      <c r="I928" s="47" t="s">
        <v>8102</v>
      </c>
      <c r="J928" s="47" t="s">
        <v>4181</v>
      </c>
      <c r="K928" s="47" t="s">
        <v>426</v>
      </c>
      <c r="L928" s="51"/>
      <c r="M928" s="47"/>
      <c r="N928" s="47"/>
      <c r="O928" s="47"/>
      <c r="P928" s="53"/>
      <c r="Q928" s="53"/>
      <c r="R928" s="53"/>
      <c r="S928" s="53"/>
      <c r="T928" s="48">
        <v>255.75</v>
      </c>
      <c r="U928" s="98"/>
      <c r="V928" s="98">
        <v>436400</v>
      </c>
      <c r="W928" s="98"/>
      <c r="X928" s="98">
        <v>436400</v>
      </c>
      <c r="Y928" s="233"/>
      <c r="Z928" s="48">
        <v>-1.52</v>
      </c>
      <c r="AA928" s="48"/>
      <c r="AB928" s="48">
        <v>0</v>
      </c>
      <c r="AC928" s="48">
        <v>0</v>
      </c>
      <c r="AD928" s="48">
        <v>0</v>
      </c>
      <c r="AE928" s="48">
        <v>0</v>
      </c>
      <c r="AF928" s="48"/>
      <c r="AG928" s="49">
        <v>4.22</v>
      </c>
      <c r="AH928" s="98">
        <v>1.19E-12</v>
      </c>
      <c r="AI928" s="98"/>
      <c r="AJ928" s="483">
        <f t="shared" si="189"/>
        <v>-10.313019364920121</v>
      </c>
      <c r="AK928" s="483"/>
      <c r="AL928" s="483">
        <f t="shared" si="190"/>
        <v>-10.313019364920121</v>
      </c>
      <c r="AM928" s="483"/>
      <c r="AN928" s="226">
        <v>-6.95</v>
      </c>
      <c r="AO928" s="484"/>
      <c r="AP928" s="484"/>
      <c r="AQ928" s="48" t="s">
        <v>6311</v>
      </c>
      <c r="AR928" s="48" t="s">
        <v>6311</v>
      </c>
      <c r="AS928" s="227"/>
      <c r="AT928" s="50" t="s">
        <v>266</v>
      </c>
      <c r="AU928" s="48">
        <v>6</v>
      </c>
      <c r="AV928" s="48">
        <v>120</v>
      </c>
      <c r="AW928" s="48">
        <v>114</v>
      </c>
      <c r="AX928" s="48">
        <v>28</v>
      </c>
      <c r="AY928" s="48" t="s">
        <v>8728</v>
      </c>
      <c r="AZ928" s="48" t="s">
        <v>1563</v>
      </c>
      <c r="BA928" s="48">
        <v>32</v>
      </c>
      <c r="BB928" s="47" t="s">
        <v>2485</v>
      </c>
      <c r="BC928" s="47" t="s">
        <v>8726</v>
      </c>
      <c r="BD928" s="47" t="s">
        <v>8374</v>
      </c>
      <c r="BE928" s="48" t="s">
        <v>2449</v>
      </c>
      <c r="BF928" s="48" t="s">
        <v>272</v>
      </c>
      <c r="BG928" s="48" t="s">
        <v>272</v>
      </c>
      <c r="BH928" s="48" t="s">
        <v>2486</v>
      </c>
      <c r="BI928" s="98">
        <v>1.6367999999999999E-3</v>
      </c>
      <c r="BJ928" s="98">
        <v>16.368000000000002</v>
      </c>
      <c r="BK928" s="48"/>
      <c r="BL928" s="487">
        <v>304598.41728729394</v>
      </c>
      <c r="BM928" s="47" t="s">
        <v>2487</v>
      </c>
      <c r="BN928" s="48"/>
      <c r="BO928" s="48"/>
      <c r="BP928" s="48"/>
      <c r="BQ928" s="48"/>
      <c r="BR928" s="47" t="e">
        <v>#VALUE!</v>
      </c>
      <c r="BS928" s="48"/>
      <c r="BT928" s="48"/>
      <c r="BU928" s="228"/>
      <c r="BV928" s="48"/>
      <c r="BW928" s="48"/>
      <c r="BX928" s="48"/>
      <c r="BY928" s="48"/>
      <c r="BZ928" s="48"/>
      <c r="CA928" s="48"/>
      <c r="CB928" s="48"/>
      <c r="CC928" s="48"/>
      <c r="CD928" s="48"/>
      <c r="CE928" s="48"/>
      <c r="CF928" s="48"/>
      <c r="CG928" s="48"/>
      <c r="CH928" s="48"/>
      <c r="CI928" s="98"/>
      <c r="CJ928" s="98"/>
      <c r="CK928" s="49">
        <f t="shared" si="191"/>
        <v>18609.385220386968</v>
      </c>
      <c r="CL928" s="229"/>
      <c r="CM928" s="229"/>
      <c r="CN928" s="229"/>
      <c r="CO928" s="47" t="s">
        <v>2488</v>
      </c>
      <c r="CP928" s="500" t="s">
        <v>2489</v>
      </c>
      <c r="CQ928" s="224" t="s">
        <v>272</v>
      </c>
      <c r="CR928" s="224"/>
      <c r="CS928" s="230" t="s">
        <v>539</v>
      </c>
      <c r="CT928" s="230"/>
      <c r="CU928" s="230"/>
      <c r="CV928" s="335">
        <f t="shared" si="192"/>
        <v>26661.779081133918</v>
      </c>
      <c r="CW928" s="230">
        <f t="shared" si="193"/>
        <v>1</v>
      </c>
      <c r="CX928" s="336"/>
      <c r="CY928" s="230" t="s">
        <v>5921</v>
      </c>
    </row>
    <row r="929" spans="1:103" ht="11.25" customHeight="1" x14ac:dyDescent="0.2">
      <c r="A929" s="72">
        <v>1306</v>
      </c>
      <c r="B929" s="224">
        <v>1643</v>
      </c>
      <c r="C929" s="46" t="s">
        <v>7412</v>
      </c>
      <c r="D929" s="46" t="s">
        <v>8650</v>
      </c>
      <c r="E929" s="114"/>
      <c r="F929" s="114" t="s">
        <v>3854</v>
      </c>
      <c r="G929" s="225">
        <v>16672870</v>
      </c>
      <c r="H929" s="47" t="s">
        <v>3855</v>
      </c>
      <c r="I929" s="47" t="s">
        <v>8103</v>
      </c>
      <c r="J929" s="47" t="s">
        <v>3856</v>
      </c>
      <c r="K929" s="47" t="s">
        <v>426</v>
      </c>
      <c r="L929" s="47"/>
      <c r="M929" s="47" t="s">
        <v>2342</v>
      </c>
      <c r="N929" s="47" t="s">
        <v>2342</v>
      </c>
      <c r="O929" s="47"/>
      <c r="P929" s="53" t="s">
        <v>8537</v>
      </c>
      <c r="Q929" s="53" t="s">
        <v>6173</v>
      </c>
      <c r="R929" s="53" t="s">
        <v>6183</v>
      </c>
      <c r="S929" s="53" t="s">
        <v>6173</v>
      </c>
      <c r="T929" s="48">
        <v>144.49</v>
      </c>
      <c r="U929" s="98">
        <v>1000000</v>
      </c>
      <c r="V929" s="98">
        <v>123500</v>
      </c>
      <c r="W929" s="98">
        <v>91167.02670394312</v>
      </c>
      <c r="X929" s="98">
        <v>1000000</v>
      </c>
      <c r="Y929" s="233">
        <v>1.07</v>
      </c>
      <c r="Z929" s="48">
        <v>-0.25</v>
      </c>
      <c r="AA929" s="48">
        <v>-0.22</v>
      </c>
      <c r="AB929" s="48">
        <v>-0.39</v>
      </c>
      <c r="AC929" s="48">
        <v>0.69820000000000004</v>
      </c>
      <c r="AD929" s="48">
        <v>-0.75</v>
      </c>
      <c r="AE929" s="48">
        <v>-1.42</v>
      </c>
      <c r="AF929" s="48">
        <f>IF(AA929=0,AD929,AA929)</f>
        <v>-0.22</v>
      </c>
      <c r="AG929" s="49">
        <v>-0.45</v>
      </c>
      <c r="AH929" s="98">
        <v>5.7000000000000003E-12</v>
      </c>
      <c r="AI929" s="98"/>
      <c r="AJ929" s="483">
        <f t="shared" si="189"/>
        <v>-9.632691470640161</v>
      </c>
      <c r="AK929" s="483"/>
      <c r="AL929" s="483">
        <f t="shared" si="190"/>
        <v>-9.632691470640161</v>
      </c>
      <c r="AM929" s="483">
        <v>-10.689049999999998</v>
      </c>
      <c r="AN929" s="226">
        <v>-9.56</v>
      </c>
      <c r="AO929" s="484">
        <v>1.88</v>
      </c>
      <c r="AP929" s="484"/>
      <c r="AQ929" s="226" t="s">
        <v>6311</v>
      </c>
      <c r="AR929" s="226" t="s">
        <v>6311</v>
      </c>
      <c r="AS929" s="224"/>
      <c r="AT929" s="50" t="s">
        <v>266</v>
      </c>
      <c r="AU929" s="48">
        <v>6</v>
      </c>
      <c r="AV929" s="48">
        <v>120</v>
      </c>
      <c r="AW929" s="48">
        <v>114</v>
      </c>
      <c r="AX929" s="48">
        <v>28</v>
      </c>
      <c r="AY929" s="48" t="s">
        <v>8728</v>
      </c>
      <c r="AZ929" s="48" t="s">
        <v>1563</v>
      </c>
      <c r="BA929" s="48">
        <v>32</v>
      </c>
      <c r="BB929" s="47" t="s">
        <v>2485</v>
      </c>
      <c r="BC929" s="47" t="s">
        <v>8726</v>
      </c>
      <c r="BD929" s="47" t="s">
        <v>8374</v>
      </c>
      <c r="BE929" s="48" t="s">
        <v>2449</v>
      </c>
      <c r="BF929" s="48" t="s">
        <v>272</v>
      </c>
      <c r="BG929" s="48" t="s">
        <v>272</v>
      </c>
      <c r="BH929" s="48" t="s">
        <v>2486</v>
      </c>
      <c r="BI929" s="98">
        <v>9.24736E-4</v>
      </c>
      <c r="BJ929" s="98">
        <v>9.2473600000000005</v>
      </c>
      <c r="BK929" s="48"/>
      <c r="BL929" s="487">
        <v>12449.811934351983</v>
      </c>
      <c r="BM929" s="47" t="s">
        <v>2487</v>
      </c>
      <c r="BN929" s="48"/>
      <c r="BO929" s="48"/>
      <c r="BP929" s="48"/>
      <c r="BQ929" s="48"/>
      <c r="BR929" s="47" t="e">
        <v>#VALUE!</v>
      </c>
      <c r="BS929" s="48"/>
      <c r="BT929" s="48"/>
      <c r="BU929" s="228"/>
      <c r="BV929" s="48"/>
      <c r="BW929" s="48"/>
      <c r="BX929" s="48"/>
      <c r="BY929" s="48"/>
      <c r="BZ929" s="48"/>
      <c r="CA929" s="48"/>
      <c r="CB929" s="48"/>
      <c r="CC929" s="48"/>
      <c r="CD929" s="48"/>
      <c r="CE929" s="48"/>
      <c r="CF929" s="48"/>
      <c r="CG929" s="48"/>
      <c r="CH929" s="48"/>
      <c r="CI929" s="98"/>
      <c r="CJ929" s="98"/>
      <c r="CK929" s="49">
        <f t="shared" si="191"/>
        <v>1346.3098586355438</v>
      </c>
      <c r="CL929" s="229"/>
      <c r="CM929" s="229"/>
      <c r="CN929" s="229"/>
      <c r="CO929" s="47" t="s">
        <v>2488</v>
      </c>
      <c r="CP929" s="500" t="s">
        <v>2489</v>
      </c>
      <c r="CQ929" s="224">
        <v>2.0699395432006185</v>
      </c>
      <c r="CR929" s="224">
        <f>10^(CJ929-CQ929)</f>
        <v>8.5125653075874795E-3</v>
      </c>
      <c r="CS929" s="230" t="s">
        <v>539</v>
      </c>
      <c r="CT929" s="230"/>
      <c r="CU929" s="230"/>
      <c r="CV929" s="335">
        <f t="shared" si="192"/>
        <v>108138.97155512491</v>
      </c>
      <c r="CW929" s="230">
        <f t="shared" si="193"/>
        <v>1</v>
      </c>
      <c r="CX929" s="336"/>
      <c r="CY929" s="230" t="s">
        <v>5921</v>
      </c>
    </row>
    <row r="930" spans="1:103" ht="11.25" customHeight="1" x14ac:dyDescent="0.2">
      <c r="A930" s="72">
        <v>1308</v>
      </c>
      <c r="B930" s="224">
        <v>1184</v>
      </c>
      <c r="C930" s="46" t="s">
        <v>7413</v>
      </c>
      <c r="D930" s="46" t="s">
        <v>8651</v>
      </c>
      <c r="E930" s="114"/>
      <c r="F930" s="114" t="s">
        <v>3267</v>
      </c>
      <c r="G930" s="225">
        <v>16752775</v>
      </c>
      <c r="H930" s="47" t="s">
        <v>3268</v>
      </c>
      <c r="I930" s="47" t="s">
        <v>3268</v>
      </c>
      <c r="J930" s="47" t="s">
        <v>3269</v>
      </c>
      <c r="K930" s="47" t="s">
        <v>1504</v>
      </c>
      <c r="L930" s="47" t="s">
        <v>617</v>
      </c>
      <c r="M930" s="47" t="s">
        <v>3936</v>
      </c>
      <c r="N930" s="47" t="s">
        <v>6376</v>
      </c>
      <c r="O930" s="47" t="s">
        <v>3271</v>
      </c>
      <c r="P930" s="53"/>
      <c r="Q930" s="53" t="s">
        <v>6173</v>
      </c>
      <c r="R930" s="53" t="s">
        <v>6177</v>
      </c>
      <c r="S930" s="53" t="s">
        <v>6176</v>
      </c>
      <c r="T930" s="48">
        <v>162.21</v>
      </c>
      <c r="U930" s="98">
        <v>58000</v>
      </c>
      <c r="V930" s="98">
        <v>20550</v>
      </c>
      <c r="W930" s="98">
        <v>11483.588568495103</v>
      </c>
      <c r="X930" s="98">
        <v>58000</v>
      </c>
      <c r="Y930" s="233">
        <v>6.93</v>
      </c>
      <c r="Z930" s="48">
        <v>0.61</v>
      </c>
      <c r="AA930" s="48">
        <v>0.6</v>
      </c>
      <c r="AB930" s="48">
        <v>0.53</v>
      </c>
      <c r="AC930" s="48">
        <v>0.8548</v>
      </c>
      <c r="AD930" s="48">
        <v>0.55000000000000004</v>
      </c>
      <c r="AE930" s="48">
        <v>0.6</v>
      </c>
      <c r="AF930" s="48">
        <f>IF(AA930=0,AD930,AA930)</f>
        <v>0.6</v>
      </c>
      <c r="AG930" s="49">
        <v>0.93</v>
      </c>
      <c r="AH930" s="98">
        <v>2.0200000000000001E-9</v>
      </c>
      <c r="AI930" s="98">
        <v>1.97E-11</v>
      </c>
      <c r="AJ930" s="483">
        <f t="shared" si="189"/>
        <v>-7.0832149568660281</v>
      </c>
      <c r="AK930" s="483">
        <f>LOG10(AI930*1000/(0.08206*298.15))</f>
        <v>-9.0941001001510582</v>
      </c>
      <c r="AL930" s="483">
        <f t="shared" si="190"/>
        <v>-9.0941001001510582</v>
      </c>
      <c r="AM930" s="483">
        <v>-7.9050999999999991</v>
      </c>
      <c r="AN930" s="226">
        <v>-7.49</v>
      </c>
      <c r="AO930" s="484">
        <v>13.27</v>
      </c>
      <c r="AP930" s="484">
        <v>-1.25</v>
      </c>
      <c r="AQ930" s="48" t="s">
        <v>6311</v>
      </c>
      <c r="AR930" s="48" t="s">
        <v>6311</v>
      </c>
      <c r="AS930" s="227"/>
      <c r="AT930" s="50" t="s">
        <v>266</v>
      </c>
      <c r="AU930" s="48">
        <v>6</v>
      </c>
      <c r="AV930" s="48">
        <v>120</v>
      </c>
      <c r="AW930" s="48">
        <v>114</v>
      </c>
      <c r="AX930" s="48">
        <v>28</v>
      </c>
      <c r="AY930" s="48" t="s">
        <v>8728</v>
      </c>
      <c r="AZ930" s="48" t="s">
        <v>1563</v>
      </c>
      <c r="BA930" s="48">
        <v>32</v>
      </c>
      <c r="BB930" s="47" t="s">
        <v>2485</v>
      </c>
      <c r="BC930" s="47" t="s">
        <v>8726</v>
      </c>
      <c r="BD930" s="47" t="s">
        <v>8374</v>
      </c>
      <c r="BE930" s="48" t="s">
        <v>2449</v>
      </c>
      <c r="BF930" s="48" t="s">
        <v>272</v>
      </c>
      <c r="BG930" s="48" t="s">
        <v>272</v>
      </c>
      <c r="BH930" s="48" t="s">
        <v>2486</v>
      </c>
      <c r="BI930" s="98">
        <v>1.038144E-3</v>
      </c>
      <c r="BJ930" s="98">
        <v>10.381440000000001</v>
      </c>
      <c r="BK930" s="48"/>
      <c r="BL930" s="487">
        <v>2360.6773020169553</v>
      </c>
      <c r="BM930" s="47" t="s">
        <v>2487</v>
      </c>
      <c r="BN930" s="48"/>
      <c r="BO930" s="48"/>
      <c r="BP930" s="48"/>
      <c r="BQ930" s="48"/>
      <c r="BR930" s="47" t="e">
        <v>#VALUE!</v>
      </c>
      <c r="BS930" s="48"/>
      <c r="BT930" s="48" t="e">
        <v>#VALUE!</v>
      </c>
      <c r="BU930" s="228">
        <v>0.10381440000000002</v>
      </c>
      <c r="BV930" s="48"/>
      <c r="BW930" s="48"/>
      <c r="BX930" s="48"/>
      <c r="BY930" s="48"/>
      <c r="BZ930" s="48"/>
      <c r="CA930" s="48"/>
      <c r="CB930" s="48"/>
      <c r="CC930" s="48"/>
      <c r="CD930" s="48"/>
      <c r="CE930" s="48"/>
      <c r="CF930" s="48"/>
      <c r="CG930" s="48"/>
      <c r="CH930" s="48"/>
      <c r="CI930" s="98"/>
      <c r="CJ930" s="98"/>
      <c r="CK930" s="49">
        <f t="shared" si="191"/>
        <v>227.39401297093227</v>
      </c>
      <c r="CL930" s="229"/>
      <c r="CM930" s="229"/>
      <c r="CN930" s="229"/>
      <c r="CO930" s="47" t="s">
        <v>2488</v>
      </c>
      <c r="CP930" s="500" t="s">
        <v>2489</v>
      </c>
      <c r="CQ930" s="224">
        <v>0.18105186655060296</v>
      </c>
      <c r="CR930" s="224">
        <f>10^(CJ930-CQ930)</f>
        <v>0.65909517668779405</v>
      </c>
      <c r="CS930" s="230" t="s">
        <v>539</v>
      </c>
      <c r="CT930" s="230"/>
      <c r="CU930" s="230"/>
      <c r="CV930" s="335">
        <f t="shared" si="192"/>
        <v>5586.8935330744089</v>
      </c>
      <c r="CW930" s="230">
        <f t="shared" si="193"/>
        <v>1</v>
      </c>
      <c r="CX930" s="336"/>
      <c r="CY930" s="230" t="s">
        <v>5921</v>
      </c>
    </row>
    <row r="931" spans="1:103" ht="11.25" customHeight="1" x14ac:dyDescent="0.2">
      <c r="A931" s="72">
        <v>1309</v>
      </c>
      <c r="B931" s="224">
        <v>1514</v>
      </c>
      <c r="C931" s="46" t="s">
        <v>963</v>
      </c>
      <c r="D931" s="46"/>
      <c r="E931" s="114"/>
      <c r="F931" s="114" t="s">
        <v>964</v>
      </c>
      <c r="G931" s="225">
        <v>17804352</v>
      </c>
      <c r="H931" s="47" t="s">
        <v>965</v>
      </c>
      <c r="I931" s="47" t="s">
        <v>7881</v>
      </c>
      <c r="J931" s="47" t="s">
        <v>966</v>
      </c>
      <c r="K931" s="47" t="s">
        <v>967</v>
      </c>
      <c r="L931" s="47" t="s">
        <v>5929</v>
      </c>
      <c r="M931" s="47" t="s">
        <v>5946</v>
      </c>
      <c r="N931" s="47" t="s">
        <v>6383</v>
      </c>
      <c r="O931" s="47" t="s">
        <v>5947</v>
      </c>
      <c r="P931" s="53"/>
      <c r="Q931" s="53"/>
      <c r="R931" s="53"/>
      <c r="S931" s="53"/>
      <c r="T931" s="48">
        <v>290.32</v>
      </c>
      <c r="U931" s="98">
        <v>3.8</v>
      </c>
      <c r="V931" s="98">
        <v>216.2</v>
      </c>
      <c r="W931" s="98">
        <v>115.57847375509127</v>
      </c>
      <c r="X931" s="98">
        <v>3.8</v>
      </c>
      <c r="Y931" s="233">
        <v>7.05</v>
      </c>
      <c r="Z931" s="48">
        <v>2.2400000000000002</v>
      </c>
      <c r="AA931" s="48">
        <v>2.12</v>
      </c>
      <c r="AB931" s="48">
        <v>1.69</v>
      </c>
      <c r="AC931" s="48">
        <v>0.86480000000000001</v>
      </c>
      <c r="AD931" s="48">
        <v>1.8</v>
      </c>
      <c r="AE931" s="48">
        <v>2.12</v>
      </c>
      <c r="AF931" s="48">
        <f>IF(AA931=0,AD931,AA931)</f>
        <v>2.12</v>
      </c>
      <c r="AG931" s="49">
        <v>1.83</v>
      </c>
      <c r="AH931" s="98">
        <v>1.23E-12</v>
      </c>
      <c r="AI931" s="98">
        <v>4.9300000000000002E-12</v>
      </c>
      <c r="AJ931" s="483">
        <f t="shared" si="189"/>
        <v>-10.298661214873254</v>
      </c>
      <c r="AK931" s="483">
        <f>LOG10(AI931*1000/(0.08206*298.15))</f>
        <v>-9.6957194070354209</v>
      </c>
      <c r="AL931" s="483">
        <f t="shared" si="190"/>
        <v>-9.6957194070354209</v>
      </c>
      <c r="AM931" s="483">
        <v>-20.06701</v>
      </c>
      <c r="AN931" s="226">
        <v>-10.199999999999999</v>
      </c>
      <c r="AO931" s="484">
        <v>11.78</v>
      </c>
      <c r="AP931" s="484">
        <v>3.48</v>
      </c>
      <c r="AQ931" s="48" t="s">
        <v>6311</v>
      </c>
      <c r="AR931" s="48" t="s">
        <v>6312</v>
      </c>
      <c r="AS931" s="227"/>
      <c r="AT931" s="50" t="s">
        <v>266</v>
      </c>
      <c r="AU931" s="48">
        <v>6</v>
      </c>
      <c r="AV931" s="48">
        <v>120</v>
      </c>
      <c r="AW931" s="48">
        <v>114</v>
      </c>
      <c r="AX931" s="48">
        <v>28</v>
      </c>
      <c r="AY931" s="48" t="s">
        <v>8728</v>
      </c>
      <c r="AZ931" s="48" t="s">
        <v>1563</v>
      </c>
      <c r="BA931" s="48">
        <v>32</v>
      </c>
      <c r="BB931" s="47" t="s">
        <v>2485</v>
      </c>
      <c r="BC931" s="47" t="s">
        <v>8726</v>
      </c>
      <c r="BD931" s="47" t="s">
        <v>8374</v>
      </c>
      <c r="BE931" s="48" t="s">
        <v>2449</v>
      </c>
      <c r="BF931" s="48" t="s">
        <v>272</v>
      </c>
      <c r="BG931" s="48" t="s">
        <v>272</v>
      </c>
      <c r="BH931" s="48" t="s">
        <v>2486</v>
      </c>
      <c r="BI931" s="98">
        <v>1.8580479999999999E-3</v>
      </c>
      <c r="BJ931" s="98">
        <v>18.580480000000001</v>
      </c>
      <c r="BK931" s="48"/>
      <c r="BL931" s="487">
        <v>145.18874631636413</v>
      </c>
      <c r="BM931" s="47" t="s">
        <v>2487</v>
      </c>
      <c r="BN931" s="48"/>
      <c r="BO931" s="48"/>
      <c r="BP931" s="48"/>
      <c r="BQ931" s="48"/>
      <c r="BR931" s="47" t="e">
        <v>#VALUE!</v>
      </c>
      <c r="BS931" s="48"/>
      <c r="BT931" s="48"/>
      <c r="BU931" s="228"/>
      <c r="BV931" s="48"/>
      <c r="BW931" s="48"/>
      <c r="BX931" s="48"/>
      <c r="BY931" s="48"/>
      <c r="BZ931" s="48"/>
      <c r="CA931" s="48"/>
      <c r="CB931" s="48"/>
      <c r="CC931" s="48"/>
      <c r="CD931" s="48"/>
      <c r="CE931" s="48"/>
      <c r="CF931" s="48"/>
      <c r="CG931" s="48"/>
      <c r="CH931" s="48"/>
      <c r="CI931" s="98"/>
      <c r="CJ931" s="98"/>
      <c r="CK931" s="49">
        <f t="shared" si="191"/>
        <v>7.8140471245287593</v>
      </c>
      <c r="CL931" s="229"/>
      <c r="CM931" s="229">
        <v>-0.55224186763934668</v>
      </c>
      <c r="CN931" s="229">
        <f>BJ931/(10^CM931)</f>
        <v>66.26722687958447</v>
      </c>
      <c r="CO931" s="47" t="s">
        <v>2488</v>
      </c>
      <c r="CP931" s="500" t="s">
        <v>2489</v>
      </c>
      <c r="CQ931" s="224">
        <v>-0.25914176268082983</v>
      </c>
      <c r="CR931" s="224">
        <f>10^(CJ931-CQ931)</f>
        <v>1.8161083812822725</v>
      </c>
      <c r="CS931" s="230" t="s">
        <v>539</v>
      </c>
      <c r="CT931" s="230"/>
      <c r="CU931" s="230"/>
      <c r="CV931" s="335">
        <f t="shared" si="192"/>
        <v>0.2045157068062827</v>
      </c>
      <c r="CW931" s="230">
        <f t="shared" si="193"/>
        <v>0</v>
      </c>
      <c r="CX931" s="336"/>
      <c r="CY931" s="230" t="s">
        <v>5921</v>
      </c>
    </row>
    <row r="932" spans="1:103" ht="11.25" customHeight="1" x14ac:dyDescent="0.2">
      <c r="A932" s="72">
        <v>1310</v>
      </c>
      <c r="B932" s="224">
        <v>1797</v>
      </c>
      <c r="C932" s="46" t="s">
        <v>1332</v>
      </c>
      <c r="D932" s="46"/>
      <c r="E932" s="114"/>
      <c r="F932" s="114" t="s">
        <v>1333</v>
      </c>
      <c r="G932" s="225">
        <v>19044883</v>
      </c>
      <c r="H932" s="47" t="s">
        <v>1334</v>
      </c>
      <c r="I932" s="47" t="s">
        <v>8104</v>
      </c>
      <c r="J932" s="47" t="s">
        <v>1335</v>
      </c>
      <c r="K932" s="47" t="s">
        <v>1336</v>
      </c>
      <c r="L932" s="47" t="s">
        <v>6003</v>
      </c>
      <c r="M932" s="47" t="s">
        <v>6088</v>
      </c>
      <c r="N932" s="47" t="s">
        <v>6088</v>
      </c>
      <c r="O932" s="47" t="s">
        <v>6083</v>
      </c>
      <c r="P932" s="53"/>
      <c r="Q932" s="53"/>
      <c r="R932" s="53"/>
      <c r="S932" s="53"/>
      <c r="T932" s="48">
        <v>346.36</v>
      </c>
      <c r="U932" s="98">
        <v>2.5</v>
      </c>
      <c r="V932" s="98">
        <v>4.2519999999999998</v>
      </c>
      <c r="W932" s="98">
        <v>3.3077123209438453</v>
      </c>
      <c r="X932" s="98">
        <v>2.5</v>
      </c>
      <c r="Y932" s="233">
        <v>6.89</v>
      </c>
      <c r="Z932" s="48">
        <v>2.73</v>
      </c>
      <c r="AA932" s="48">
        <v>3.73</v>
      </c>
      <c r="AB932" s="48">
        <v>2.34</v>
      </c>
      <c r="AC932" s="48">
        <v>0.86619999999999997</v>
      </c>
      <c r="AD932" s="48">
        <v>2.59</v>
      </c>
      <c r="AE932" s="48">
        <v>3.38</v>
      </c>
      <c r="AF932" s="48">
        <f>IF(AA932=0,AD932,AA932)</f>
        <v>3.73</v>
      </c>
      <c r="AG932" s="49">
        <v>1.55</v>
      </c>
      <c r="AH932" s="98">
        <v>1.9099999999999998E-9</v>
      </c>
      <c r="AI932" s="98"/>
      <c r="AJ932" s="483">
        <f t="shared" si="189"/>
        <v>-7.1075329590649243</v>
      </c>
      <c r="AK932" s="483"/>
      <c r="AL932" s="483">
        <f t="shared" si="190"/>
        <v>-7.1075329590649243</v>
      </c>
      <c r="AM932" s="483">
        <v>-19.59789</v>
      </c>
      <c r="AN932" s="226">
        <v>-15.6</v>
      </c>
      <c r="AO932" s="484">
        <v>9.14</v>
      </c>
      <c r="AP932" s="484">
        <v>-2.57</v>
      </c>
      <c r="AQ932" s="226" t="s">
        <v>6311</v>
      </c>
      <c r="AR932" s="226" t="s">
        <v>6311</v>
      </c>
      <c r="AS932" s="224"/>
      <c r="AT932" s="50" t="s">
        <v>266</v>
      </c>
      <c r="AU932" s="48">
        <v>6</v>
      </c>
      <c r="AV932" s="48">
        <v>120</v>
      </c>
      <c r="AW932" s="48">
        <v>114</v>
      </c>
      <c r="AX932" s="48">
        <v>28</v>
      </c>
      <c r="AY932" s="48" t="s">
        <v>8728</v>
      </c>
      <c r="AZ932" s="48" t="s">
        <v>1563</v>
      </c>
      <c r="BA932" s="48">
        <v>32</v>
      </c>
      <c r="BB932" s="47" t="s">
        <v>2485</v>
      </c>
      <c r="BC932" s="47" t="s">
        <v>8726</v>
      </c>
      <c r="BD932" s="47" t="s">
        <v>8374</v>
      </c>
      <c r="BE932" s="48" t="s">
        <v>2449</v>
      </c>
      <c r="BF932" s="48" t="s">
        <v>272</v>
      </c>
      <c r="BG932" s="48" t="s">
        <v>272</v>
      </c>
      <c r="BH932" s="48" t="s">
        <v>2486</v>
      </c>
      <c r="BI932" s="98">
        <v>2.2167039999999999E-3</v>
      </c>
      <c r="BJ932" s="98">
        <v>22.16704</v>
      </c>
      <c r="BK932" s="48"/>
      <c r="BL932" s="487">
        <v>62.880318232954735</v>
      </c>
      <c r="BM932" s="47" t="s">
        <v>2487</v>
      </c>
      <c r="BN932" s="48"/>
      <c r="BO932" s="48"/>
      <c r="BP932" s="48"/>
      <c r="BQ932" s="48"/>
      <c r="BR932" s="47" t="e">
        <v>#VALUE!</v>
      </c>
      <c r="BS932" s="48"/>
      <c r="BT932" s="48"/>
      <c r="BU932" s="228"/>
      <c r="BV932" s="48"/>
      <c r="BW932" s="48"/>
      <c r="BX932" s="48"/>
      <c r="BY932" s="48"/>
      <c r="BZ932" s="48"/>
      <c r="CA932" s="48"/>
      <c r="CB932" s="48"/>
      <c r="CC932" s="48"/>
      <c r="CD932" s="48"/>
      <c r="CE932" s="48"/>
      <c r="CF932" s="48"/>
      <c r="CG932" s="48"/>
      <c r="CH932" s="48"/>
      <c r="CI932" s="98"/>
      <c r="CJ932" s="98"/>
      <c r="CK932" s="49">
        <f t="shared" si="191"/>
        <v>2.8366583103993466</v>
      </c>
      <c r="CL932" s="229"/>
      <c r="CM932" s="229">
        <v>0.45939248775923058</v>
      </c>
      <c r="CN932" s="229">
        <f>BJ932/(10^CM932)</f>
        <v>7.6968888888888927</v>
      </c>
      <c r="CO932" s="47" t="s">
        <v>2488</v>
      </c>
      <c r="CP932" s="500" t="s">
        <v>2489</v>
      </c>
      <c r="CQ932" s="224">
        <v>0.50347639430014801</v>
      </c>
      <c r="CR932" s="224">
        <f>10^(CJ932-CQ932)</f>
        <v>0.31370656380060591</v>
      </c>
      <c r="CS932" s="230" t="s">
        <v>539</v>
      </c>
      <c r="CT932" s="230"/>
      <c r="CU932" s="230"/>
      <c r="CV932" s="335">
        <f t="shared" si="192"/>
        <v>0.11278005543365284</v>
      </c>
      <c r="CW932" s="230">
        <f t="shared" si="193"/>
        <v>0</v>
      </c>
      <c r="CX932" s="336"/>
      <c r="CY932" s="230" t="s">
        <v>5921</v>
      </c>
    </row>
    <row r="933" spans="1:103" ht="11.25" customHeight="1" x14ac:dyDescent="0.2">
      <c r="A933" s="72">
        <v>1311</v>
      </c>
      <c r="B933" s="224">
        <v>1024</v>
      </c>
      <c r="C933" s="46" t="s">
        <v>7414</v>
      </c>
      <c r="D933" s="46"/>
      <c r="E933" s="114"/>
      <c r="F933" s="114" t="s">
        <v>2921</v>
      </c>
      <c r="G933" s="225">
        <v>19774824</v>
      </c>
      <c r="H933" s="47" t="s">
        <v>2922</v>
      </c>
      <c r="I933" s="47" t="s">
        <v>8105</v>
      </c>
      <c r="J933" s="47" t="s">
        <v>2923</v>
      </c>
      <c r="K933" s="47" t="s">
        <v>426</v>
      </c>
      <c r="L933" s="47"/>
      <c r="M933" s="47"/>
      <c r="N933" s="47"/>
      <c r="O933" s="47"/>
      <c r="P933" s="53"/>
      <c r="Q933" s="53"/>
      <c r="R933" s="53"/>
      <c r="S933" s="53"/>
      <c r="T933" s="48">
        <v>681.78</v>
      </c>
      <c r="U933" s="98"/>
      <c r="V933" s="98">
        <v>2.7549999999999999E-5</v>
      </c>
      <c r="W933" s="98"/>
      <c r="X933" s="98">
        <v>2.7549999999999999E-5</v>
      </c>
      <c r="Y933" s="233"/>
      <c r="Z933" s="48">
        <v>7.29</v>
      </c>
      <c r="AA933" s="48"/>
      <c r="AB933" s="48">
        <v>0</v>
      </c>
      <c r="AC933" s="48">
        <v>0</v>
      </c>
      <c r="AD933" s="48">
        <v>0</v>
      </c>
      <c r="AE933" s="48">
        <v>0</v>
      </c>
      <c r="AF933" s="48"/>
      <c r="AG933" s="49">
        <v>4.1100000000000003</v>
      </c>
      <c r="AH933" s="98">
        <v>1.14E-19</v>
      </c>
      <c r="AI933" s="98"/>
      <c r="AJ933" s="483">
        <f t="shared" si="189"/>
        <v>-17.33166147497618</v>
      </c>
      <c r="AK933" s="483"/>
      <c r="AL933" s="483">
        <f t="shared" si="190"/>
        <v>-17.33166147497618</v>
      </c>
      <c r="AM933" s="483"/>
      <c r="AN933" s="226">
        <v>-20.2</v>
      </c>
      <c r="AO933" s="484"/>
      <c r="AP933" s="484"/>
      <c r="AQ933" s="48" t="s">
        <v>6311</v>
      </c>
      <c r="AR933" s="48" t="s">
        <v>6311</v>
      </c>
      <c r="AS933" s="227"/>
      <c r="AT933" s="50" t="s">
        <v>266</v>
      </c>
      <c r="AU933" s="48">
        <v>6</v>
      </c>
      <c r="AV933" s="48">
        <v>120</v>
      </c>
      <c r="AW933" s="48">
        <v>114</v>
      </c>
      <c r="AX933" s="48">
        <v>28</v>
      </c>
      <c r="AY933" s="48" t="s">
        <v>8728</v>
      </c>
      <c r="AZ933" s="48" t="s">
        <v>1563</v>
      </c>
      <c r="BA933" s="48">
        <v>32</v>
      </c>
      <c r="BB933" s="47" t="s">
        <v>2485</v>
      </c>
      <c r="BC933" s="47" t="s">
        <v>8726</v>
      </c>
      <c r="BD933" s="47" t="s">
        <v>8374</v>
      </c>
      <c r="BE933" s="48" t="s">
        <v>2449</v>
      </c>
      <c r="BF933" s="48" t="s">
        <v>272</v>
      </c>
      <c r="BG933" s="48" t="s">
        <v>272</v>
      </c>
      <c r="BH933" s="48" t="s">
        <v>2486</v>
      </c>
      <c r="BI933" s="98">
        <v>4.3633919999999998E-3</v>
      </c>
      <c r="BJ933" s="98">
        <v>43.633919999999996</v>
      </c>
      <c r="BK933" s="48"/>
      <c r="BL933" s="487">
        <v>9.9379145240600982E-3</v>
      </c>
      <c r="BM933" s="47" t="s">
        <v>2487</v>
      </c>
      <c r="BN933" s="48"/>
      <c r="BO933" s="48"/>
      <c r="BP933" s="48"/>
      <c r="BQ933" s="48"/>
      <c r="BR933" s="47" t="e">
        <v>#VALUE!</v>
      </c>
      <c r="BS933" s="48"/>
      <c r="BT933" s="48"/>
      <c r="BU933" s="228">
        <v>3.2943609600000001</v>
      </c>
      <c r="BV933" s="48"/>
      <c r="BW933" s="48"/>
      <c r="BX933" s="48"/>
      <c r="BY933" s="48"/>
      <c r="BZ933" s="48"/>
      <c r="CA933" s="48"/>
      <c r="CB933" s="48"/>
      <c r="CC933" s="48"/>
      <c r="CD933" s="48"/>
      <c r="CE933" s="48"/>
      <c r="CF933" s="48"/>
      <c r="CG933" s="48"/>
      <c r="CH933" s="48"/>
      <c r="CI933" s="98"/>
      <c r="CJ933" s="98"/>
      <c r="CK933" s="49">
        <f t="shared" si="191"/>
        <v>2.2775662888092793E-4</v>
      </c>
      <c r="CL933" s="229"/>
      <c r="CM933" s="229"/>
      <c r="CN933" s="229"/>
      <c r="CO933" s="47" t="s">
        <v>2488</v>
      </c>
      <c r="CP933" s="500" t="s">
        <v>2489</v>
      </c>
      <c r="CQ933" s="224" t="s">
        <v>272</v>
      </c>
      <c r="CR933" s="224"/>
      <c r="CS933" s="230" t="s">
        <v>539</v>
      </c>
      <c r="CT933" s="230"/>
      <c r="CU933" s="230"/>
      <c r="CV933" s="335">
        <f t="shared" si="192"/>
        <v>6.3138952448003762E-7</v>
      </c>
      <c r="CW933" s="230">
        <f t="shared" si="193"/>
        <v>0</v>
      </c>
      <c r="CX933" s="336"/>
      <c r="CY933" s="230" t="s">
        <v>5921</v>
      </c>
    </row>
    <row r="934" spans="1:103" ht="11.25" customHeight="1" x14ac:dyDescent="0.2">
      <c r="A934" s="72">
        <v>1313</v>
      </c>
      <c r="B934" s="224">
        <v>1742</v>
      </c>
      <c r="C934" s="46" t="s">
        <v>3946</v>
      </c>
      <c r="D934" s="46" t="s">
        <v>8652</v>
      </c>
      <c r="E934" s="114"/>
      <c r="F934" s="114" t="s">
        <v>3947</v>
      </c>
      <c r="G934" s="225">
        <v>21087649</v>
      </c>
      <c r="H934" s="47" t="s">
        <v>3948</v>
      </c>
      <c r="I934" s="47" t="s">
        <v>3948</v>
      </c>
      <c r="J934" s="47" t="s">
        <v>3949</v>
      </c>
      <c r="K934" s="47" t="s">
        <v>483</v>
      </c>
      <c r="L934" s="47"/>
      <c r="M934" s="47" t="s">
        <v>2342</v>
      </c>
      <c r="N934" s="47" t="s">
        <v>2342</v>
      </c>
      <c r="O934" s="47"/>
      <c r="P934" s="53" t="s">
        <v>8538</v>
      </c>
      <c r="Q934" s="53" t="s">
        <v>6173</v>
      </c>
      <c r="R934" s="53" t="s">
        <v>6183</v>
      </c>
      <c r="S934" s="53" t="s">
        <v>6173</v>
      </c>
      <c r="T934" s="48">
        <v>214.29</v>
      </c>
      <c r="U934" s="98">
        <v>1050</v>
      </c>
      <c r="V934" s="98">
        <v>1304</v>
      </c>
      <c r="W934" s="98">
        <v>1025.6564248381817</v>
      </c>
      <c r="X934" s="98">
        <v>1050</v>
      </c>
      <c r="Y934" s="233">
        <v>7</v>
      </c>
      <c r="Z934" s="48">
        <v>1.49</v>
      </c>
      <c r="AA934" s="48">
        <v>1.7</v>
      </c>
      <c r="AB934" s="48">
        <v>1.56</v>
      </c>
      <c r="AC934" s="48">
        <v>0.91379999999999995</v>
      </c>
      <c r="AD934" s="48">
        <v>1.5</v>
      </c>
      <c r="AE934" s="48">
        <v>1.3</v>
      </c>
      <c r="AF934" s="48">
        <f t="shared" ref="AF934:AF940" si="194">IF(AA934=0,AD934,AA934)</f>
        <v>1.7</v>
      </c>
      <c r="AG934" s="49">
        <v>1.33</v>
      </c>
      <c r="AH934" s="98">
        <v>1.81E-12</v>
      </c>
      <c r="AI934" s="98">
        <v>1.1700000000000001E-10</v>
      </c>
      <c r="AJ934" s="483">
        <f t="shared" si="189"/>
        <v>-10.130887751443467</v>
      </c>
      <c r="AK934" s="483">
        <f>LOG10(AI934*1000/(0.08206*298.15))</f>
        <v>-8.3203804645664903</v>
      </c>
      <c r="AL934" s="483">
        <f t="shared" si="190"/>
        <v>-8.3203804645664903</v>
      </c>
      <c r="AM934" s="483">
        <v>-12.96701</v>
      </c>
      <c r="AN934" s="226">
        <v>-6.13</v>
      </c>
      <c r="AO934" s="484"/>
      <c r="AP934" s="484">
        <v>-0.16</v>
      </c>
      <c r="AQ934" s="226" t="s">
        <v>6311</v>
      </c>
      <c r="AR934" s="226" t="s">
        <v>6311</v>
      </c>
      <c r="AS934" s="224"/>
      <c r="AT934" s="50" t="s">
        <v>266</v>
      </c>
      <c r="AU934" s="48">
        <v>6</v>
      </c>
      <c r="AV934" s="48">
        <v>120</v>
      </c>
      <c r="AW934" s="48">
        <v>114</v>
      </c>
      <c r="AX934" s="48">
        <v>28</v>
      </c>
      <c r="AY934" s="48" t="s">
        <v>8728</v>
      </c>
      <c r="AZ934" s="48" t="s">
        <v>1563</v>
      </c>
      <c r="BA934" s="48">
        <v>32</v>
      </c>
      <c r="BB934" s="47" t="s">
        <v>2485</v>
      </c>
      <c r="BC934" s="47" t="s">
        <v>8726</v>
      </c>
      <c r="BD934" s="47" t="s">
        <v>8374</v>
      </c>
      <c r="BE934" s="48" t="s">
        <v>2449</v>
      </c>
      <c r="BF934" s="48" t="s">
        <v>272</v>
      </c>
      <c r="BG934" s="48" t="s">
        <v>272</v>
      </c>
      <c r="BH934" s="48" t="s">
        <v>2486</v>
      </c>
      <c r="BI934" s="98">
        <v>1.3714559999999998E-3</v>
      </c>
      <c r="BJ934" s="98">
        <v>13.714560000000001</v>
      </c>
      <c r="BK934" s="48"/>
      <c r="BL934" s="487">
        <v>505.39728533628062</v>
      </c>
      <c r="BM934" s="47" t="s">
        <v>2487</v>
      </c>
      <c r="BN934" s="48"/>
      <c r="BO934" s="48"/>
      <c r="BP934" s="48"/>
      <c r="BQ934" s="48"/>
      <c r="BR934" s="47" t="e">
        <v>#VALUE!</v>
      </c>
      <c r="BS934" s="48"/>
      <c r="BT934" s="48"/>
      <c r="BU934" s="228"/>
      <c r="BV934" s="48"/>
      <c r="BW934" s="48"/>
      <c r="BX934" s="48"/>
      <c r="BY934" s="48"/>
      <c r="BZ934" s="48"/>
      <c r="CA934" s="48"/>
      <c r="CB934" s="48"/>
      <c r="CC934" s="48"/>
      <c r="CD934" s="48"/>
      <c r="CE934" s="48"/>
      <c r="CF934" s="48"/>
      <c r="CG934" s="48"/>
      <c r="CH934" s="48"/>
      <c r="CI934" s="98"/>
      <c r="CJ934" s="98"/>
      <c r="CK934" s="49">
        <f t="shared" si="191"/>
        <v>36.851148366136471</v>
      </c>
      <c r="CL934" s="229"/>
      <c r="CM934" s="229"/>
      <c r="CN934" s="229"/>
      <c r="CO934" s="47" t="s">
        <v>2488</v>
      </c>
      <c r="CP934" s="500" t="s">
        <v>2489</v>
      </c>
      <c r="CQ934" s="224">
        <v>1.8472130715812232</v>
      </c>
      <c r="CR934" s="224">
        <f>10^(CJ934-CQ934)</f>
        <v>1.4216311418013992E-2</v>
      </c>
      <c r="CS934" s="230" t="s">
        <v>539</v>
      </c>
      <c r="CT934" s="230"/>
      <c r="CU934" s="230"/>
      <c r="CV934" s="335">
        <f t="shared" si="192"/>
        <v>76.560968780624378</v>
      </c>
      <c r="CW934" s="230">
        <f t="shared" si="193"/>
        <v>1</v>
      </c>
      <c r="CX934" s="336"/>
      <c r="CY934" s="230" t="s">
        <v>5921</v>
      </c>
    </row>
    <row r="935" spans="1:103" ht="11.25" customHeight="1" x14ac:dyDescent="0.2">
      <c r="A935" s="72">
        <v>1315</v>
      </c>
      <c r="B935" s="224">
        <v>1566</v>
      </c>
      <c r="C935" s="46" t="s">
        <v>2445</v>
      </c>
      <c r="D935" s="46"/>
      <c r="E935" s="114"/>
      <c r="F935" s="114" t="s">
        <v>3779</v>
      </c>
      <c r="G935" s="225">
        <v>21725462</v>
      </c>
      <c r="H935" s="47" t="s">
        <v>2446</v>
      </c>
      <c r="I935" s="47" t="s">
        <v>8106</v>
      </c>
      <c r="J935" s="47" t="s">
        <v>2447</v>
      </c>
      <c r="K935" s="47" t="s">
        <v>940</v>
      </c>
      <c r="L935" s="47" t="s">
        <v>6026</v>
      </c>
      <c r="M935" s="47" t="s">
        <v>6082</v>
      </c>
      <c r="N935" s="47" t="s">
        <v>6082</v>
      </c>
      <c r="O935" s="47" t="s">
        <v>6083</v>
      </c>
      <c r="P935" s="53"/>
      <c r="Q935" s="53"/>
      <c r="R935" s="53"/>
      <c r="S935" s="53"/>
      <c r="T935" s="48">
        <v>240.69</v>
      </c>
      <c r="U935" s="98">
        <v>170</v>
      </c>
      <c r="V935" s="98">
        <v>183.8</v>
      </c>
      <c r="W935" s="98">
        <v>51.458609532229197</v>
      </c>
      <c r="X935" s="98">
        <v>170</v>
      </c>
      <c r="Y935" s="233">
        <v>7</v>
      </c>
      <c r="Z935" s="48">
        <v>2.5099999999999998</v>
      </c>
      <c r="AA935" s="48">
        <v>2.2200000000000002</v>
      </c>
      <c r="AB935" s="48">
        <v>2.34</v>
      </c>
      <c r="AC935" s="48">
        <v>0.84540000000000004</v>
      </c>
      <c r="AD935" s="48">
        <v>2.2999999999999998</v>
      </c>
      <c r="AE935" s="48">
        <v>2.19</v>
      </c>
      <c r="AF935" s="48">
        <f t="shared" si="194"/>
        <v>2.2200000000000002</v>
      </c>
      <c r="AG935" s="49">
        <v>2.1</v>
      </c>
      <c r="AH935" s="98">
        <v>1.8600000000000002E-12</v>
      </c>
      <c r="AI935" s="98">
        <v>2.5700000000000002E-12</v>
      </c>
      <c r="AJ935" s="483">
        <f t="shared" si="189"/>
        <v>-10.119053382094735</v>
      </c>
      <c r="AK935" s="483">
        <f>LOG10(AI935*1000/(0.08206*298.15))</f>
        <v>-9.9786332029813565</v>
      </c>
      <c r="AL935" s="483">
        <f t="shared" si="190"/>
        <v>-9.9786332029813565</v>
      </c>
      <c r="AM935" s="483">
        <v>-13.04054</v>
      </c>
      <c r="AN935" s="226">
        <v>-9.64</v>
      </c>
      <c r="AO935" s="484"/>
      <c r="AP935" s="484">
        <v>1.46</v>
      </c>
      <c r="AQ935" s="48" t="s">
        <v>6311</v>
      </c>
      <c r="AR935" s="48" t="s">
        <v>6311</v>
      </c>
      <c r="AS935" s="227"/>
      <c r="AT935" s="50" t="s">
        <v>266</v>
      </c>
      <c r="AU935" s="48">
        <v>6</v>
      </c>
      <c r="AV935" s="48">
        <v>120</v>
      </c>
      <c r="AW935" s="48">
        <v>114</v>
      </c>
      <c r="AX935" s="48">
        <v>28</v>
      </c>
      <c r="AY935" s="48" t="s">
        <v>8728</v>
      </c>
      <c r="AZ935" s="48" t="s">
        <v>1563</v>
      </c>
      <c r="BA935" s="48">
        <v>32</v>
      </c>
      <c r="BB935" s="47" t="s">
        <v>2485</v>
      </c>
      <c r="BC935" s="47" t="s">
        <v>8726</v>
      </c>
      <c r="BD935" s="47" t="s">
        <v>8374</v>
      </c>
      <c r="BE935" s="48" t="s">
        <v>2449</v>
      </c>
      <c r="BF935" s="48" t="s">
        <v>272</v>
      </c>
      <c r="BG935" s="48" t="s">
        <v>272</v>
      </c>
      <c r="BH935" s="48" t="s">
        <v>2486</v>
      </c>
      <c r="BI935" s="98">
        <v>1.540416E-3</v>
      </c>
      <c r="BJ935" s="98">
        <v>15.404160000000001</v>
      </c>
      <c r="BK935" s="48"/>
      <c r="BL935" s="487">
        <v>68.869518545715295</v>
      </c>
      <c r="BM935" s="47" t="s">
        <v>2487</v>
      </c>
      <c r="BN935" s="48"/>
      <c r="BO935" s="48"/>
      <c r="BP935" s="48"/>
      <c r="BQ935" s="48"/>
      <c r="BR935" s="47" t="e">
        <v>#VALUE!</v>
      </c>
      <c r="BS935" s="48"/>
      <c r="BT935" s="48"/>
      <c r="BU935" s="228"/>
      <c r="BV935" s="48"/>
      <c r="BW935" s="48"/>
      <c r="BX935" s="48"/>
      <c r="BY935" s="48"/>
      <c r="BZ935" s="48"/>
      <c r="CA935" s="48"/>
      <c r="CB935" s="48"/>
      <c r="CC935" s="48"/>
      <c r="CD935" s="48"/>
      <c r="CE935" s="48"/>
      <c r="CF935" s="48"/>
      <c r="CG935" s="48"/>
      <c r="CH935" s="48"/>
      <c r="CI935" s="98"/>
      <c r="CJ935" s="98"/>
      <c r="CK935" s="49">
        <f t="shared" si="191"/>
        <v>4.4708389516672957</v>
      </c>
      <c r="CL935" s="229"/>
      <c r="CM935" s="229">
        <v>0.77815125038364341</v>
      </c>
      <c r="CN935" s="229">
        <f>BJ935/(10^CM935)</f>
        <v>2.5673600000000008</v>
      </c>
      <c r="CO935" s="47" t="s">
        <v>2488</v>
      </c>
      <c r="CP935" s="500" t="s">
        <v>2489</v>
      </c>
      <c r="CQ935" s="224">
        <v>1.1488097537803779</v>
      </c>
      <c r="CR935" s="224">
        <f>10^(CJ935-CQ935)</f>
        <v>7.0988867235094663E-2</v>
      </c>
      <c r="CS935" s="230" t="s">
        <v>539</v>
      </c>
      <c r="CT935" s="230"/>
      <c r="CU935" s="230"/>
      <c r="CV935" s="335">
        <f t="shared" si="192"/>
        <v>11.035979891146287</v>
      </c>
      <c r="CW935" s="230">
        <f t="shared" si="193"/>
        <v>1</v>
      </c>
      <c r="CX935" s="336"/>
      <c r="CY935" s="230" t="s">
        <v>5921</v>
      </c>
    </row>
    <row r="936" spans="1:103" ht="11.25" customHeight="1" x14ac:dyDescent="0.2">
      <c r="A936" s="72">
        <v>1318</v>
      </c>
      <c r="B936" s="224">
        <v>1512</v>
      </c>
      <c r="C936" s="46" t="s">
        <v>958</v>
      </c>
      <c r="D936" s="46"/>
      <c r="E936" s="114"/>
      <c r="F936" s="114" t="s">
        <v>959</v>
      </c>
      <c r="G936" s="225">
        <v>22781233</v>
      </c>
      <c r="H936" s="47" t="s">
        <v>960</v>
      </c>
      <c r="I936" s="47" t="s">
        <v>960</v>
      </c>
      <c r="J936" s="47" t="s">
        <v>961</v>
      </c>
      <c r="K936" s="47" t="s">
        <v>962</v>
      </c>
      <c r="L936" s="47" t="s">
        <v>617</v>
      </c>
      <c r="M936" s="47" t="s">
        <v>946</v>
      </c>
      <c r="N936" s="47" t="s">
        <v>6376</v>
      </c>
      <c r="O936" s="47" t="s">
        <v>918</v>
      </c>
      <c r="P936" s="53"/>
      <c r="Q936" s="53"/>
      <c r="R936" s="53"/>
      <c r="S936" s="53"/>
      <c r="T936" s="48">
        <v>223.23</v>
      </c>
      <c r="U936" s="98">
        <v>260</v>
      </c>
      <c r="V936" s="98">
        <v>1169</v>
      </c>
      <c r="W936" s="98">
        <v>268.38148973964491</v>
      </c>
      <c r="X936" s="98">
        <v>260</v>
      </c>
      <c r="Y936" s="233">
        <v>6.97</v>
      </c>
      <c r="Z936" s="48">
        <v>2.5499999999999998</v>
      </c>
      <c r="AA936" s="48">
        <v>1.7</v>
      </c>
      <c r="AB936" s="48">
        <v>1.85</v>
      </c>
      <c r="AC936" s="48">
        <v>0.84089999999999998</v>
      </c>
      <c r="AD936" s="48">
        <v>1.85</v>
      </c>
      <c r="AE936" s="48">
        <v>1.86</v>
      </c>
      <c r="AF936" s="48">
        <f t="shared" si="194"/>
        <v>1.7</v>
      </c>
      <c r="AG936" s="49">
        <v>1.38</v>
      </c>
      <c r="AH936" s="98">
        <v>6.5799999999999995E-11</v>
      </c>
      <c r="AI936" s="98">
        <v>3.8999999999999998E-8</v>
      </c>
      <c r="AJ936" s="483">
        <f t="shared" si="189"/>
        <v>-8.5703404326986963</v>
      </c>
      <c r="AK936" s="483">
        <f>LOG10(AI936*1000/(0.08206*298.15))</f>
        <v>-5.7975017192861529</v>
      </c>
      <c r="AL936" s="483">
        <f t="shared" si="190"/>
        <v>-5.7975017192861529</v>
      </c>
      <c r="AM936" s="483">
        <v>-11.31254</v>
      </c>
      <c r="AN936" s="226">
        <v>-5.95</v>
      </c>
      <c r="AO936" s="484">
        <v>11.98</v>
      </c>
      <c r="AP936" s="484">
        <v>-1.56</v>
      </c>
      <c r="AQ936" s="48" t="s">
        <v>6311</v>
      </c>
      <c r="AR936" s="48" t="s">
        <v>6314</v>
      </c>
      <c r="AS936" s="227"/>
      <c r="AT936" s="50" t="s">
        <v>266</v>
      </c>
      <c r="AU936" s="48">
        <v>6</v>
      </c>
      <c r="AV936" s="48">
        <v>120</v>
      </c>
      <c r="AW936" s="48">
        <v>114</v>
      </c>
      <c r="AX936" s="48">
        <v>28</v>
      </c>
      <c r="AY936" s="48" t="s">
        <v>8728</v>
      </c>
      <c r="AZ936" s="48" t="s">
        <v>1563</v>
      </c>
      <c r="BA936" s="48">
        <v>32</v>
      </c>
      <c r="BB936" s="47" t="s">
        <v>2485</v>
      </c>
      <c r="BC936" s="47" t="s">
        <v>8726</v>
      </c>
      <c r="BD936" s="47" t="s">
        <v>8374</v>
      </c>
      <c r="BE936" s="48" t="s">
        <v>2449</v>
      </c>
      <c r="BF936" s="48" t="s">
        <v>272</v>
      </c>
      <c r="BG936" s="48" t="s">
        <v>272</v>
      </c>
      <c r="BH936" s="48" t="s">
        <v>2486</v>
      </c>
      <c r="BI936" s="98">
        <v>1.428672E-3</v>
      </c>
      <c r="BJ936" s="98">
        <v>14.286719999999999</v>
      </c>
      <c r="BK936" s="48"/>
      <c r="BL936" s="487">
        <v>58.802739474736306</v>
      </c>
      <c r="BM936" s="47" t="s">
        <v>2487</v>
      </c>
      <c r="BN936" s="48"/>
      <c r="BO936" s="48"/>
      <c r="BP936" s="48"/>
      <c r="BQ936" s="48"/>
      <c r="BR936" s="47" t="e">
        <v>#VALUE!</v>
      </c>
      <c r="BS936" s="48"/>
      <c r="BT936" s="48"/>
      <c r="BU936" s="228"/>
      <c r="BV936" s="48"/>
      <c r="BW936" s="48"/>
      <c r="BX936" s="48"/>
      <c r="BY936" s="48"/>
      <c r="BZ936" s="48"/>
      <c r="CA936" s="48"/>
      <c r="CB936" s="48"/>
      <c r="CC936" s="48"/>
      <c r="CD936" s="48"/>
      <c r="CE936" s="48"/>
      <c r="CF936" s="48"/>
      <c r="CG936" s="48"/>
      <c r="CH936" s="48"/>
      <c r="CI936" s="98"/>
      <c r="CJ936" s="98"/>
      <c r="CK936" s="49">
        <f t="shared" si="191"/>
        <v>4.1159020037304792</v>
      </c>
      <c r="CL936" s="229"/>
      <c r="CM936" s="229">
        <v>1.7323127703198531E-2</v>
      </c>
      <c r="CN936" s="229">
        <f>BJ936/(10^CM936)</f>
        <v>13.728067488328904</v>
      </c>
      <c r="CO936" s="47" t="s">
        <v>2488</v>
      </c>
      <c r="CP936" s="500" t="s">
        <v>2489</v>
      </c>
      <c r="CQ936" s="224">
        <v>3.6955979419066129E-2</v>
      </c>
      <c r="CR936" s="224">
        <f>10^(CJ936-CQ936)</f>
        <v>0.91842568443410877</v>
      </c>
      <c r="CS936" s="230" t="s">
        <v>539</v>
      </c>
      <c r="CT936" s="230"/>
      <c r="CU936" s="230"/>
      <c r="CV936" s="335">
        <f t="shared" si="192"/>
        <v>18.198718810195764</v>
      </c>
      <c r="CW936" s="230">
        <f t="shared" si="193"/>
        <v>1</v>
      </c>
      <c r="CX936" s="336"/>
      <c r="CY936" s="230" t="s">
        <v>5921</v>
      </c>
    </row>
    <row r="937" spans="1:103" ht="11.25" customHeight="1" x14ac:dyDescent="0.2">
      <c r="A937" s="72">
        <v>1319</v>
      </c>
      <c r="B937" s="224">
        <v>1693</v>
      </c>
      <c r="C937" s="46" t="s">
        <v>7416</v>
      </c>
      <c r="D937" s="46"/>
      <c r="E937" s="114"/>
      <c r="F937" s="114" t="s">
        <v>4939</v>
      </c>
      <c r="G937" s="225">
        <v>22915737</v>
      </c>
      <c r="H937" s="47" t="s">
        <v>4940</v>
      </c>
      <c r="I937" s="47" t="s">
        <v>7755</v>
      </c>
      <c r="J937" s="47" t="s">
        <v>4941</v>
      </c>
      <c r="K937" s="47" t="s">
        <v>357</v>
      </c>
      <c r="L937" s="47"/>
      <c r="M937" s="47"/>
      <c r="N937" s="47"/>
      <c r="O937" s="47"/>
      <c r="P937" s="53"/>
      <c r="Q937" s="53" t="s">
        <v>6173</v>
      </c>
      <c r="R937" s="53" t="s">
        <v>6174</v>
      </c>
      <c r="S937" s="53" t="s">
        <v>6182</v>
      </c>
      <c r="T937" s="48">
        <v>314.33</v>
      </c>
      <c r="U937" s="98"/>
      <c r="V937" s="98">
        <v>25.61</v>
      </c>
      <c r="W937" s="98">
        <v>70.369721548618571</v>
      </c>
      <c r="X937" s="98">
        <v>70.369721548618571</v>
      </c>
      <c r="Y937" s="233">
        <v>7</v>
      </c>
      <c r="Z937" s="48">
        <v>3.04</v>
      </c>
      <c r="AA937" s="48"/>
      <c r="AB937" s="48">
        <v>3.87</v>
      </c>
      <c r="AC937" s="48">
        <v>0.7994</v>
      </c>
      <c r="AD937" s="48">
        <v>3.81</v>
      </c>
      <c r="AE937" s="48">
        <v>3.64</v>
      </c>
      <c r="AF937" s="48">
        <f t="shared" si="194"/>
        <v>3.81</v>
      </c>
      <c r="AG937" s="49">
        <v>3.21</v>
      </c>
      <c r="AH937" s="98">
        <v>3.3800000000000002E-10</v>
      </c>
      <c r="AI937" s="98"/>
      <c r="AJ937" s="483">
        <f t="shared" si="189"/>
        <v>-7.8596496260349973</v>
      </c>
      <c r="AK937" s="483"/>
      <c r="AL937" s="483">
        <f t="shared" si="190"/>
        <v>-7.8596496260349973</v>
      </c>
      <c r="AM937" s="483">
        <v>-13.005929999999999</v>
      </c>
      <c r="AN937" s="226">
        <v>-7.47</v>
      </c>
      <c r="AO937" s="484"/>
      <c r="AP937" s="484"/>
      <c r="AQ937" s="226" t="s">
        <v>6311</v>
      </c>
      <c r="AR937" s="226" t="s">
        <v>6312</v>
      </c>
      <c r="AS937" s="224"/>
      <c r="AT937" s="50" t="s">
        <v>266</v>
      </c>
      <c r="AU937" s="48">
        <v>6</v>
      </c>
      <c r="AV937" s="48">
        <v>120</v>
      </c>
      <c r="AW937" s="48">
        <v>114</v>
      </c>
      <c r="AX937" s="48">
        <v>28</v>
      </c>
      <c r="AY937" s="48" t="s">
        <v>8728</v>
      </c>
      <c r="AZ937" s="48" t="s">
        <v>1563</v>
      </c>
      <c r="BA937" s="48">
        <v>32</v>
      </c>
      <c r="BB937" s="47" t="s">
        <v>2485</v>
      </c>
      <c r="BC937" s="47" t="s">
        <v>8726</v>
      </c>
      <c r="BD937" s="47" t="s">
        <v>8374</v>
      </c>
      <c r="BE937" s="48" t="s">
        <v>2449</v>
      </c>
      <c r="BF937" s="48" t="s">
        <v>272</v>
      </c>
      <c r="BG937" s="48" t="s">
        <v>272</v>
      </c>
      <c r="BH937" s="48" t="s">
        <v>2486</v>
      </c>
      <c r="BI937" s="98">
        <v>2.0117119999999997E-3</v>
      </c>
      <c r="BJ937" s="98">
        <v>20.11712</v>
      </c>
      <c r="BK937" s="48"/>
      <c r="BL937" s="487">
        <v>30.058121287370206</v>
      </c>
      <c r="BM937" s="47" t="s">
        <v>2487</v>
      </c>
      <c r="BN937" s="48"/>
      <c r="BO937" s="48"/>
      <c r="BP937" s="48"/>
      <c r="BQ937" s="48"/>
      <c r="BR937" s="47" t="e">
        <v>#VALUE!</v>
      </c>
      <c r="BS937" s="48"/>
      <c r="BT937" s="48"/>
      <c r="BU937" s="228"/>
      <c r="BV937" s="48"/>
      <c r="BW937" s="48"/>
      <c r="BX937" s="48"/>
      <c r="BY937" s="48"/>
      <c r="BZ937" s="48"/>
      <c r="CA937" s="48"/>
      <c r="CB937" s="48"/>
      <c r="CC937" s="48"/>
      <c r="CD937" s="48"/>
      <c r="CE937" s="48"/>
      <c r="CF937" s="48"/>
      <c r="CG937" s="48"/>
      <c r="CH937" s="48"/>
      <c r="CI937" s="98"/>
      <c r="CJ937" s="98"/>
      <c r="CK937" s="49">
        <f t="shared" si="191"/>
        <v>1.494156285162598</v>
      </c>
      <c r="CL937" s="229"/>
      <c r="CM937" s="229"/>
      <c r="CN937" s="229"/>
      <c r="CO937" s="47" t="s">
        <v>2488</v>
      </c>
      <c r="CP937" s="500" t="s">
        <v>2489</v>
      </c>
      <c r="CQ937" s="224" t="s">
        <v>272</v>
      </c>
      <c r="CR937" s="224"/>
      <c r="CS937" s="230" t="s">
        <v>539</v>
      </c>
      <c r="CT937" s="230"/>
      <c r="CU937" s="230"/>
      <c r="CV937" s="335">
        <f t="shared" si="192"/>
        <v>3.4980017790130282</v>
      </c>
      <c r="CW937" s="230">
        <f t="shared" si="193"/>
        <v>1</v>
      </c>
      <c r="CX937" s="336"/>
      <c r="CY937" s="230" t="s">
        <v>5921</v>
      </c>
    </row>
    <row r="938" spans="1:103" ht="11.25" customHeight="1" x14ac:dyDescent="0.2">
      <c r="A938" s="72">
        <v>1320</v>
      </c>
      <c r="B938" s="224">
        <v>1249</v>
      </c>
      <c r="C938" s="46" t="s">
        <v>1383</v>
      </c>
      <c r="D938" s="46"/>
      <c r="E938" s="114"/>
      <c r="F938" s="114" t="s">
        <v>1384</v>
      </c>
      <c r="G938" s="225">
        <v>23031369</v>
      </c>
      <c r="H938" s="47" t="s">
        <v>1385</v>
      </c>
      <c r="I938" s="47" t="s">
        <v>8108</v>
      </c>
      <c r="J938" s="47" t="s">
        <v>1386</v>
      </c>
      <c r="K938" s="47" t="s">
        <v>1085</v>
      </c>
      <c r="L938" s="47" t="s">
        <v>617</v>
      </c>
      <c r="M938" s="47" t="s">
        <v>1086</v>
      </c>
      <c r="N938" s="47" t="s">
        <v>6376</v>
      </c>
      <c r="O938" s="47" t="s">
        <v>918</v>
      </c>
      <c r="P938" s="53"/>
      <c r="Q938" s="53"/>
      <c r="R938" s="53"/>
      <c r="S938" s="53"/>
      <c r="T938" s="48">
        <v>300.39</v>
      </c>
      <c r="U938" s="98">
        <v>8</v>
      </c>
      <c r="V938" s="98">
        <v>1.788</v>
      </c>
      <c r="W938" s="98">
        <v>12.522339410065394</v>
      </c>
      <c r="X938" s="98">
        <v>8</v>
      </c>
      <c r="Y938" s="233">
        <v>7</v>
      </c>
      <c r="Z938" s="48">
        <v>4.88</v>
      </c>
      <c r="AA938" s="48">
        <v>4.49</v>
      </c>
      <c r="AB938" s="48">
        <v>4.6900000000000004</v>
      </c>
      <c r="AC938" s="48">
        <v>0.82520000000000004</v>
      </c>
      <c r="AD938" s="48">
        <v>4.5999999999999996</v>
      </c>
      <c r="AE938" s="48">
        <v>4.38</v>
      </c>
      <c r="AF938" s="48">
        <f t="shared" si="194"/>
        <v>4.49</v>
      </c>
      <c r="AG938" s="49">
        <v>3.18</v>
      </c>
      <c r="AH938" s="98">
        <v>1.02E-7</v>
      </c>
      <c r="AI938" s="98"/>
      <c r="AJ938" s="483">
        <f t="shared" si="189"/>
        <v>-5.3799661545507345</v>
      </c>
      <c r="AK938" s="483"/>
      <c r="AL938" s="483">
        <f t="shared" si="190"/>
        <v>-5.3799661545507345</v>
      </c>
      <c r="AM938" s="483">
        <v>-10.852540000000001</v>
      </c>
      <c r="AN938" s="226">
        <v>-7.93</v>
      </c>
      <c r="AO938" s="484"/>
      <c r="AP938" s="484"/>
      <c r="AQ938" s="48" t="s">
        <v>6311</v>
      </c>
      <c r="AR938" s="48" t="s">
        <v>6312</v>
      </c>
      <c r="AS938" s="227"/>
      <c r="AT938" s="50" t="s">
        <v>266</v>
      </c>
      <c r="AU938" s="48">
        <v>6</v>
      </c>
      <c r="AV938" s="48">
        <v>120</v>
      </c>
      <c r="AW938" s="48">
        <v>114</v>
      </c>
      <c r="AX938" s="48">
        <v>28</v>
      </c>
      <c r="AY938" s="48" t="s">
        <v>8728</v>
      </c>
      <c r="AZ938" s="48" t="s">
        <v>1563</v>
      </c>
      <c r="BA938" s="48">
        <v>32</v>
      </c>
      <c r="BB938" s="47" t="s">
        <v>2485</v>
      </c>
      <c r="BC938" s="47" t="s">
        <v>8726</v>
      </c>
      <c r="BD938" s="47" t="s">
        <v>8374</v>
      </c>
      <c r="BE938" s="48" t="s">
        <v>2449</v>
      </c>
      <c r="BF938" s="48" t="s">
        <v>272</v>
      </c>
      <c r="BG938" s="48" t="s">
        <v>272</v>
      </c>
      <c r="BH938" s="48" t="s">
        <v>2486</v>
      </c>
      <c r="BI938" s="98">
        <v>1.9224959999999999E-3</v>
      </c>
      <c r="BJ938" s="98">
        <v>19.224959999999999</v>
      </c>
      <c r="BK938" s="48"/>
      <c r="BL938" s="487">
        <v>0.63937767918549904</v>
      </c>
      <c r="BM938" s="47" t="s">
        <v>2487</v>
      </c>
      <c r="BN938" s="48"/>
      <c r="BO938" s="48"/>
      <c r="BP938" s="48"/>
      <c r="BQ938" s="48"/>
      <c r="BR938" s="47" t="e">
        <v>#VALUE!</v>
      </c>
      <c r="BS938" s="48"/>
      <c r="BT938" s="48"/>
      <c r="BU938" s="228">
        <v>1.9128835200000001</v>
      </c>
      <c r="BV938" s="48"/>
      <c r="BW938" s="48"/>
      <c r="BX938" s="48"/>
      <c r="BY938" s="48"/>
      <c r="BZ938" s="48"/>
      <c r="CA938" s="48"/>
      <c r="CB938" s="48"/>
      <c r="CC938" s="48"/>
      <c r="CD938" s="48"/>
      <c r="CE938" s="48"/>
      <c r="CF938" s="48"/>
      <c r="CG938" s="48"/>
      <c r="CH938" s="48"/>
      <c r="CI938" s="98"/>
      <c r="CJ938" s="98"/>
      <c r="CK938" s="49">
        <f t="shared" si="191"/>
        <v>3.3257685799372223E-2</v>
      </c>
      <c r="CL938" s="229"/>
      <c r="CM938" s="229">
        <v>-1.9208187539523762</v>
      </c>
      <c r="CN938" s="229">
        <f>BJ938/(10^CM938)</f>
        <v>1602.0800000000045</v>
      </c>
      <c r="CO938" s="47" t="s">
        <v>2488</v>
      </c>
      <c r="CP938" s="500" t="s">
        <v>2489</v>
      </c>
      <c r="CQ938" s="224">
        <v>-1.7891980365650846</v>
      </c>
      <c r="CR938" s="224">
        <f>10^(CJ938-CQ938)</f>
        <v>61.545745489666409</v>
      </c>
      <c r="CS938" s="230" t="s">
        <v>539</v>
      </c>
      <c r="CT938" s="230"/>
      <c r="CU938" s="230"/>
      <c r="CV938" s="335">
        <f t="shared" si="192"/>
        <v>0.41612570325243853</v>
      </c>
      <c r="CW938" s="230">
        <f t="shared" si="193"/>
        <v>0</v>
      </c>
      <c r="CX938" s="336"/>
      <c r="CY938" s="230" t="s">
        <v>5921</v>
      </c>
    </row>
    <row r="939" spans="1:103" ht="11.25" customHeight="1" x14ac:dyDescent="0.2">
      <c r="A939" s="72">
        <v>1322</v>
      </c>
      <c r="B939" s="224">
        <v>1824</v>
      </c>
      <c r="C939" s="46" t="s">
        <v>7417</v>
      </c>
      <c r="D939" s="46" t="s">
        <v>8653</v>
      </c>
      <c r="E939" s="114"/>
      <c r="F939" s="114" t="s">
        <v>3981</v>
      </c>
      <c r="G939" s="225">
        <v>23103982</v>
      </c>
      <c r="H939" s="47" t="s">
        <v>3982</v>
      </c>
      <c r="I939" s="47" t="s">
        <v>3982</v>
      </c>
      <c r="J939" s="47" t="s">
        <v>3983</v>
      </c>
      <c r="K939" s="47" t="s">
        <v>616</v>
      </c>
      <c r="L939" s="47" t="s">
        <v>617</v>
      </c>
      <c r="M939" s="47" t="s">
        <v>946</v>
      </c>
      <c r="N939" s="47" t="s">
        <v>6376</v>
      </c>
      <c r="O939" s="47" t="s">
        <v>918</v>
      </c>
      <c r="P939" s="53"/>
      <c r="Q939" s="53"/>
      <c r="R939" s="53"/>
      <c r="S939" s="53"/>
      <c r="T939" s="48">
        <v>238.29</v>
      </c>
      <c r="U939" s="98">
        <v>2700</v>
      </c>
      <c r="V939" s="98">
        <v>969.49999999999989</v>
      </c>
      <c r="W939" s="98">
        <v>11145.660681732637</v>
      </c>
      <c r="X939" s="98">
        <v>2700</v>
      </c>
      <c r="Y939" s="233">
        <v>8.6300000000000008</v>
      </c>
      <c r="Z939" s="48">
        <v>1.4</v>
      </c>
      <c r="AA939" s="48">
        <v>1.7</v>
      </c>
      <c r="AB939" s="48">
        <v>1.74</v>
      </c>
      <c r="AC939" s="48">
        <v>0.86729999999999996</v>
      </c>
      <c r="AD939" s="48">
        <v>1.73</v>
      </c>
      <c r="AE939" s="48">
        <v>1.7</v>
      </c>
      <c r="AF939" s="48">
        <f t="shared" si="194"/>
        <v>1.7</v>
      </c>
      <c r="AG939" s="49">
        <v>1.99</v>
      </c>
      <c r="AH939" s="98">
        <v>2.6200000000000001E-9</v>
      </c>
      <c r="AI939" s="98">
        <v>8.4499999999999998E-10</v>
      </c>
      <c r="AJ939" s="483">
        <f t="shared" si="189"/>
        <v>-6.9702650349929067</v>
      </c>
      <c r="AK939" s="483">
        <f>LOG10(AI939*1000/(0.08206*298.15))</f>
        <v>-7.4617096173629598</v>
      </c>
      <c r="AL939" s="483">
        <f t="shared" si="190"/>
        <v>-7.4617096173629598</v>
      </c>
      <c r="AM939" s="483">
        <v>-11.863299999999999</v>
      </c>
      <c r="AN939" s="226">
        <v>-6.48</v>
      </c>
      <c r="AO939" s="484"/>
      <c r="AP939" s="484">
        <v>4.9000000000000004</v>
      </c>
      <c r="AQ939" s="226" t="s">
        <v>6311</v>
      </c>
      <c r="AR939" s="226" t="s">
        <v>6312</v>
      </c>
      <c r="AS939" s="224" t="s">
        <v>6</v>
      </c>
      <c r="AT939" s="50" t="s">
        <v>266</v>
      </c>
      <c r="AU939" s="48">
        <v>6</v>
      </c>
      <c r="AV939" s="48">
        <v>120</v>
      </c>
      <c r="AW939" s="48">
        <v>114</v>
      </c>
      <c r="AX939" s="48">
        <v>28</v>
      </c>
      <c r="AY939" s="48" t="s">
        <v>8728</v>
      </c>
      <c r="AZ939" s="48" t="s">
        <v>1563</v>
      </c>
      <c r="BA939" s="48">
        <v>32</v>
      </c>
      <c r="BB939" s="47" t="s">
        <v>2485</v>
      </c>
      <c r="BC939" s="47" t="s">
        <v>8726</v>
      </c>
      <c r="BD939" s="47" t="s">
        <v>8374</v>
      </c>
      <c r="BE939" s="48" t="s">
        <v>2449</v>
      </c>
      <c r="BF939" s="48" t="s">
        <v>272</v>
      </c>
      <c r="BG939" s="48" t="s">
        <v>272</v>
      </c>
      <c r="BH939" s="48" t="s">
        <v>2486</v>
      </c>
      <c r="BI939" s="98">
        <v>1.5250559999999999E-3</v>
      </c>
      <c r="BJ939" s="98">
        <v>15.25056</v>
      </c>
      <c r="BK939" s="48"/>
      <c r="BL939" s="487">
        <v>676.96437900470914</v>
      </c>
      <c r="BM939" s="47" t="s">
        <v>2487</v>
      </c>
      <c r="BN939" s="48"/>
      <c r="BO939" s="48"/>
      <c r="BP939" s="48"/>
      <c r="BQ939" s="48"/>
      <c r="BR939" s="47" t="e">
        <v>#VALUE!</v>
      </c>
      <c r="BS939" s="48"/>
      <c r="BT939" s="48"/>
      <c r="BU939" s="228"/>
      <c r="BV939" s="48"/>
      <c r="BW939" s="48"/>
      <c r="BX939" s="48"/>
      <c r="BY939" s="48"/>
      <c r="BZ939" s="48"/>
      <c r="CA939" s="48"/>
      <c r="CB939" s="48"/>
      <c r="CC939" s="48"/>
      <c r="CD939" s="48"/>
      <c r="CE939" s="48"/>
      <c r="CF939" s="48"/>
      <c r="CG939" s="48"/>
      <c r="CH939" s="48"/>
      <c r="CI939" s="98"/>
      <c r="CJ939" s="98"/>
      <c r="CK939" s="49">
        <f t="shared" si="191"/>
        <v>44.389476780177851</v>
      </c>
      <c r="CL939" s="229"/>
      <c r="CM939" s="229"/>
      <c r="CN939" s="229"/>
      <c r="CO939" s="47" t="s">
        <v>2488</v>
      </c>
      <c r="CP939" s="500" t="s">
        <v>2489</v>
      </c>
      <c r="CQ939" s="224">
        <v>1.8660822961392676</v>
      </c>
      <c r="CR939" s="224">
        <f>10^(CJ939-CQ939)</f>
        <v>1.3611867214949251E-2</v>
      </c>
      <c r="CS939" s="230" t="s">
        <v>539</v>
      </c>
      <c r="CT939" s="230"/>
      <c r="CU939" s="230"/>
      <c r="CV939" s="335">
        <f t="shared" si="192"/>
        <v>177.04267908850559</v>
      </c>
      <c r="CW939" s="230">
        <f t="shared" si="193"/>
        <v>1</v>
      </c>
      <c r="CX939" s="336"/>
      <c r="CY939" s="230" t="s">
        <v>5921</v>
      </c>
    </row>
    <row r="940" spans="1:103" ht="11.25" customHeight="1" x14ac:dyDescent="0.2">
      <c r="A940" s="72">
        <v>1324</v>
      </c>
      <c r="B940" s="224">
        <v>1225</v>
      </c>
      <c r="C940" s="46" t="s">
        <v>7418</v>
      </c>
      <c r="D940" s="46" t="s">
        <v>8654</v>
      </c>
      <c r="E940" s="114"/>
      <c r="F940" s="114" t="s">
        <v>3384</v>
      </c>
      <c r="G940" s="225">
        <v>23135220</v>
      </c>
      <c r="H940" s="47" t="s">
        <v>3385</v>
      </c>
      <c r="I940" s="47" t="s">
        <v>3385</v>
      </c>
      <c r="J940" s="47" t="s">
        <v>3386</v>
      </c>
      <c r="K940" s="47" t="s">
        <v>3387</v>
      </c>
      <c r="L940" s="47" t="s">
        <v>617</v>
      </c>
      <c r="M940" s="47" t="s">
        <v>618</v>
      </c>
      <c r="N940" s="47" t="s">
        <v>6376</v>
      </c>
      <c r="O940" s="47" t="s">
        <v>918</v>
      </c>
      <c r="P940" s="53"/>
      <c r="Q940" s="53" t="s">
        <v>6173</v>
      </c>
      <c r="R940" s="53" t="s">
        <v>6177</v>
      </c>
      <c r="S940" s="53" t="s">
        <v>6176</v>
      </c>
      <c r="T940" s="48">
        <v>219.26</v>
      </c>
      <c r="U940" s="98">
        <v>280000</v>
      </c>
      <c r="V940" s="98">
        <v>4287</v>
      </c>
      <c r="W940" s="98">
        <v>14156.614625813852</v>
      </c>
      <c r="X940" s="98">
        <v>280000</v>
      </c>
      <c r="Y940" s="233">
        <v>5.83</v>
      </c>
      <c r="Z940" s="48">
        <v>-1.2</v>
      </c>
      <c r="AA940" s="48">
        <v>-0.47</v>
      </c>
      <c r="AB940" s="48">
        <v>0.18</v>
      </c>
      <c r="AC940" s="48">
        <v>0.73540000000000005</v>
      </c>
      <c r="AD940" s="48">
        <v>-0.06</v>
      </c>
      <c r="AE940" s="48">
        <v>-0.47</v>
      </c>
      <c r="AF940" s="48">
        <f t="shared" si="194"/>
        <v>-0.47</v>
      </c>
      <c r="AG940" s="49">
        <v>0.31</v>
      </c>
      <c r="AH940" s="98">
        <v>3.5299999999999997E-11</v>
      </c>
      <c r="AI940" s="98">
        <v>2.3700000000000001E-10</v>
      </c>
      <c r="AJ940" s="483">
        <f t="shared" si="189"/>
        <v>-8.8407916209248292</v>
      </c>
      <c r="AK940" s="483">
        <f>LOG10(AI940*1000/(0.08206*298.15))</f>
        <v>-8.013817980302548</v>
      </c>
      <c r="AL940" s="483">
        <f t="shared" si="190"/>
        <v>-8.013817980302548</v>
      </c>
      <c r="AM940" s="483">
        <v>-14.050719999999998</v>
      </c>
      <c r="AN940" s="226">
        <v>-12.7</v>
      </c>
      <c r="AO940" s="484">
        <v>10.48</v>
      </c>
      <c r="AP940" s="484">
        <v>-1.93</v>
      </c>
      <c r="AQ940" s="48" t="s">
        <v>6311</v>
      </c>
      <c r="AR940" s="48" t="s">
        <v>6311</v>
      </c>
      <c r="AS940" s="227"/>
      <c r="AT940" s="50" t="s">
        <v>266</v>
      </c>
      <c r="AU940" s="48">
        <v>6</v>
      </c>
      <c r="AV940" s="48">
        <v>120</v>
      </c>
      <c r="AW940" s="48">
        <v>114</v>
      </c>
      <c r="AX940" s="48">
        <v>28</v>
      </c>
      <c r="AY940" s="48" t="s">
        <v>8728</v>
      </c>
      <c r="AZ940" s="48" t="s">
        <v>1563</v>
      </c>
      <c r="BA940" s="48">
        <v>32</v>
      </c>
      <c r="BB940" s="47" t="s">
        <v>2485</v>
      </c>
      <c r="BC940" s="47" t="s">
        <v>8726</v>
      </c>
      <c r="BD940" s="47" t="s">
        <v>8374</v>
      </c>
      <c r="BE940" s="48" t="s">
        <v>2449</v>
      </c>
      <c r="BF940" s="48" t="s">
        <v>272</v>
      </c>
      <c r="BG940" s="48" t="s">
        <v>272</v>
      </c>
      <c r="BH940" s="48" t="s">
        <v>2486</v>
      </c>
      <c r="BI940" s="98">
        <v>1.4032639999999998E-3</v>
      </c>
      <c r="BJ940" s="98">
        <v>14.032639999999999</v>
      </c>
      <c r="BK940" s="48"/>
      <c r="BL940" s="487">
        <v>134734.68451045887</v>
      </c>
      <c r="BM940" s="47" t="s">
        <v>2487</v>
      </c>
      <c r="BN940" s="48"/>
      <c r="BO940" s="48"/>
      <c r="BP940" s="48"/>
      <c r="BQ940" s="48"/>
      <c r="BR940" s="47" t="e">
        <v>#VALUE!</v>
      </c>
      <c r="BS940" s="48"/>
      <c r="BT940" s="48"/>
      <c r="BU940" s="228">
        <v>1.4032639999999998E-3</v>
      </c>
      <c r="BV940" s="48"/>
      <c r="BW940" s="48"/>
      <c r="BX940" s="48"/>
      <c r="BY940" s="48"/>
      <c r="BZ940" s="48"/>
      <c r="CA940" s="48"/>
      <c r="CB940" s="48"/>
      <c r="CC940" s="48"/>
      <c r="CD940" s="48"/>
      <c r="CE940" s="48"/>
      <c r="CF940" s="48"/>
      <c r="CG940" s="48"/>
      <c r="CH940" s="48"/>
      <c r="CI940" s="98"/>
      <c r="CJ940" s="98"/>
      <c r="CK940" s="49">
        <f t="shared" si="191"/>
        <v>9601.5207765936339</v>
      </c>
      <c r="CL940" s="229"/>
      <c r="CM940" s="229"/>
      <c r="CN940" s="229"/>
      <c r="CO940" s="47" t="s">
        <v>2488</v>
      </c>
      <c r="CP940" s="500" t="s">
        <v>2489</v>
      </c>
      <c r="CQ940" s="224">
        <v>0.8145187889324822</v>
      </c>
      <c r="CR940" s="224">
        <f>10^(CJ940-CQ940)</f>
        <v>0.15327848918781145</v>
      </c>
      <c r="CS940" s="230" t="s">
        <v>539</v>
      </c>
      <c r="CT940" s="230"/>
      <c r="CU940" s="230"/>
      <c r="CV940" s="335">
        <f t="shared" si="192"/>
        <v>19953.479886892277</v>
      </c>
      <c r="CW940" s="230">
        <f t="shared" si="193"/>
        <v>1</v>
      </c>
      <c r="CX940" s="336"/>
      <c r="CY940" s="230" t="s">
        <v>5921</v>
      </c>
    </row>
    <row r="941" spans="1:103" ht="11.25" customHeight="1" x14ac:dyDescent="0.2">
      <c r="A941" s="72">
        <v>1326</v>
      </c>
      <c r="B941" s="224">
        <v>1683</v>
      </c>
      <c r="C941" s="46" t="s">
        <v>7419</v>
      </c>
      <c r="D941" s="46"/>
      <c r="E941" s="114"/>
      <c r="F941" s="114" t="s">
        <v>3883</v>
      </c>
      <c r="G941" s="225">
        <v>23422539</v>
      </c>
      <c r="H941" s="47" t="s">
        <v>3884</v>
      </c>
      <c r="I941" s="47" t="s">
        <v>8109</v>
      </c>
      <c r="J941" s="47" t="s">
        <v>3885</v>
      </c>
      <c r="K941" s="47" t="s">
        <v>616</v>
      </c>
      <c r="L941" s="47"/>
      <c r="M941" s="47"/>
      <c r="N941" s="47"/>
      <c r="O941" s="47"/>
      <c r="P941" s="53"/>
      <c r="Q941" s="53"/>
      <c r="R941" s="53"/>
      <c r="S941" s="53"/>
      <c r="T941" s="48">
        <v>257.72000000000003</v>
      </c>
      <c r="U941" s="98"/>
      <c r="V941" s="98">
        <v>3683</v>
      </c>
      <c r="W941" s="98"/>
      <c r="X941" s="98">
        <v>3683</v>
      </c>
      <c r="Y941" s="233"/>
      <c r="Z941" s="48">
        <v>-0.64</v>
      </c>
      <c r="AA941" s="48"/>
      <c r="AB941" s="48">
        <v>0</v>
      </c>
      <c r="AC941" s="48">
        <v>0</v>
      </c>
      <c r="AD941" s="48">
        <v>0</v>
      </c>
      <c r="AE941" s="48">
        <v>0</v>
      </c>
      <c r="AF941" s="48"/>
      <c r="AG941" s="49">
        <v>1.8</v>
      </c>
      <c r="AH941" s="98">
        <v>2.2699999999999998E-19</v>
      </c>
      <c r="AI941" s="98"/>
      <c r="AJ941" s="483">
        <f t="shared" si="189"/>
        <v>-17.032540469119528</v>
      </c>
      <c r="AK941" s="483"/>
      <c r="AL941" s="483">
        <f t="shared" si="190"/>
        <v>-17.032540469119528</v>
      </c>
      <c r="AM941" s="483"/>
      <c r="AN941" s="226">
        <v>-8.93</v>
      </c>
      <c r="AO941" s="484"/>
      <c r="AP941" s="484"/>
      <c r="AQ941" s="226" t="s">
        <v>6311</v>
      </c>
      <c r="AR941" s="226" t="s">
        <v>6314</v>
      </c>
      <c r="AS941" s="224"/>
      <c r="AT941" s="50" t="s">
        <v>266</v>
      </c>
      <c r="AU941" s="48">
        <v>6</v>
      </c>
      <c r="AV941" s="48">
        <v>120</v>
      </c>
      <c r="AW941" s="48">
        <v>114</v>
      </c>
      <c r="AX941" s="48">
        <v>28</v>
      </c>
      <c r="AY941" s="48" t="s">
        <v>8728</v>
      </c>
      <c r="AZ941" s="48" t="s">
        <v>1563</v>
      </c>
      <c r="BA941" s="48">
        <v>32</v>
      </c>
      <c r="BB941" s="47" t="s">
        <v>2485</v>
      </c>
      <c r="BC941" s="47" t="s">
        <v>8726</v>
      </c>
      <c r="BD941" s="47" t="s">
        <v>8374</v>
      </c>
      <c r="BE941" s="48" t="s">
        <v>2449</v>
      </c>
      <c r="BF941" s="48" t="s">
        <v>272</v>
      </c>
      <c r="BG941" s="48" t="s">
        <v>272</v>
      </c>
      <c r="BH941" s="48" t="s">
        <v>2486</v>
      </c>
      <c r="BI941" s="98">
        <v>1.649408E-3</v>
      </c>
      <c r="BJ941" s="98">
        <v>16.494080000000004</v>
      </c>
      <c r="BK941" s="48"/>
      <c r="BL941" s="487">
        <v>49743.017026368405</v>
      </c>
      <c r="BM941" s="47" t="s">
        <v>2487</v>
      </c>
      <c r="BN941" s="48"/>
      <c r="BO941" s="48"/>
      <c r="BP941" s="48"/>
      <c r="BQ941" s="48"/>
      <c r="BR941" s="47" t="e">
        <v>#VALUE!</v>
      </c>
      <c r="BS941" s="48"/>
      <c r="BT941" s="48"/>
      <c r="BU941" s="228"/>
      <c r="BV941" s="48"/>
      <c r="BW941" s="48"/>
      <c r="BX941" s="48"/>
      <c r="BY941" s="48"/>
      <c r="BZ941" s="48"/>
      <c r="CA941" s="48"/>
      <c r="CB941" s="48"/>
      <c r="CC941" s="48"/>
      <c r="CD941" s="48"/>
      <c r="CE941" s="48"/>
      <c r="CF941" s="48"/>
      <c r="CG941" s="48"/>
      <c r="CH941" s="48"/>
      <c r="CI941" s="98"/>
      <c r="CJ941" s="98"/>
      <c r="CK941" s="49">
        <f t="shared" si="191"/>
        <v>3015.8103408233978</v>
      </c>
      <c r="CL941" s="229"/>
      <c r="CM941" s="229"/>
      <c r="CN941" s="229"/>
      <c r="CO941" s="47" t="s">
        <v>2488</v>
      </c>
      <c r="CP941" s="500" t="s">
        <v>2489</v>
      </c>
      <c r="CQ941" s="224" t="s">
        <v>272</v>
      </c>
      <c r="CR941" s="224"/>
      <c r="CS941" s="230" t="s">
        <v>539</v>
      </c>
      <c r="CT941" s="230"/>
      <c r="CU941" s="230"/>
      <c r="CV941" s="335">
        <f t="shared" si="192"/>
        <v>223.29223575973921</v>
      </c>
      <c r="CW941" s="230">
        <f t="shared" si="193"/>
        <v>1</v>
      </c>
      <c r="CX941" s="336"/>
      <c r="CY941" s="230" t="s">
        <v>5921</v>
      </c>
    </row>
    <row r="942" spans="1:103" ht="11.25" customHeight="1" x14ac:dyDescent="0.2">
      <c r="A942" s="72">
        <v>1327</v>
      </c>
      <c r="B942" s="224">
        <v>1299</v>
      </c>
      <c r="C942" s="46" t="s">
        <v>1505</v>
      </c>
      <c r="D942" s="46"/>
      <c r="E942" s="114"/>
      <c r="F942" s="114" t="s">
        <v>1506</v>
      </c>
      <c r="G942" s="225">
        <v>23564058</v>
      </c>
      <c r="H942" s="47" t="s">
        <v>1507</v>
      </c>
      <c r="I942" s="47" t="s">
        <v>1507</v>
      </c>
      <c r="J942" s="47" t="s">
        <v>1508</v>
      </c>
      <c r="K942" s="47" t="s">
        <v>1509</v>
      </c>
      <c r="L942" s="47" t="s">
        <v>6013</v>
      </c>
      <c r="M942" s="47" t="s">
        <v>2342</v>
      </c>
      <c r="N942" s="47" t="s">
        <v>2342</v>
      </c>
      <c r="O942" s="47"/>
      <c r="P942" s="53"/>
      <c r="Q942" s="53"/>
      <c r="R942" s="53"/>
      <c r="S942" s="53"/>
      <c r="T942" s="48">
        <v>342.4</v>
      </c>
      <c r="U942" s="98">
        <v>26.600000000000005</v>
      </c>
      <c r="V942" s="98">
        <v>438.9</v>
      </c>
      <c r="W942" s="98">
        <v>25.382462662143375</v>
      </c>
      <c r="X942" s="98">
        <v>26.600000000000005</v>
      </c>
      <c r="Y942" s="233">
        <v>4.8499999999999996</v>
      </c>
      <c r="Z942" s="48">
        <v>1.1000000000000001</v>
      </c>
      <c r="AA942" s="48">
        <v>1.4</v>
      </c>
      <c r="AB942" s="48">
        <v>1.29</v>
      </c>
      <c r="AC942" s="48">
        <v>0.84450000000000003</v>
      </c>
      <c r="AD942" s="48">
        <v>1.26</v>
      </c>
      <c r="AE942" s="48">
        <v>1.1599999999999999</v>
      </c>
      <c r="AF942" s="48">
        <f t="shared" ref="AF942:AF947" si="195">IF(AA942=0,AD942,AA942)</f>
        <v>1.4</v>
      </c>
      <c r="AG942" s="49">
        <v>2.13</v>
      </c>
      <c r="AH942" s="98">
        <v>2.9400000000000001E-13</v>
      </c>
      <c r="AI942" s="98">
        <v>1.21E-9</v>
      </c>
      <c r="AJ942" s="483">
        <f t="shared" si="189"/>
        <v>-10.920218995900495</v>
      </c>
      <c r="AK942" s="483">
        <f>LOG10(AI942*1000/(0.08206*298.15))</f>
        <v>-7.3057809559962017</v>
      </c>
      <c r="AL942" s="483">
        <f t="shared" si="190"/>
        <v>-7.3057809559962017</v>
      </c>
      <c r="AM942" s="483">
        <v>-23.00292</v>
      </c>
      <c r="AN942" s="226">
        <v>-20.2</v>
      </c>
      <c r="AO942" s="484">
        <v>6.12</v>
      </c>
      <c r="AP942" s="484">
        <v>-0.47</v>
      </c>
      <c r="AQ942" s="48" t="s">
        <v>6311</v>
      </c>
      <c r="AR942" s="48" t="s">
        <v>6311</v>
      </c>
      <c r="AS942" s="227"/>
      <c r="AT942" s="50" t="s">
        <v>266</v>
      </c>
      <c r="AU942" s="48">
        <v>6</v>
      </c>
      <c r="AV942" s="48">
        <v>120</v>
      </c>
      <c r="AW942" s="48">
        <v>114</v>
      </c>
      <c r="AX942" s="48">
        <v>28</v>
      </c>
      <c r="AY942" s="48" t="s">
        <v>8728</v>
      </c>
      <c r="AZ942" s="48" t="s">
        <v>1563</v>
      </c>
      <c r="BA942" s="48">
        <v>32</v>
      </c>
      <c r="BB942" s="47" t="s">
        <v>2485</v>
      </c>
      <c r="BC942" s="47" t="s">
        <v>8726</v>
      </c>
      <c r="BD942" s="47" t="s">
        <v>8374</v>
      </c>
      <c r="BE942" s="48" t="s">
        <v>2449</v>
      </c>
      <c r="BF942" s="48" t="s">
        <v>272</v>
      </c>
      <c r="BG942" s="48" t="s">
        <v>272</v>
      </c>
      <c r="BH942" s="48" t="s">
        <v>2486</v>
      </c>
      <c r="BI942" s="98">
        <v>2.1913599999999998E-3</v>
      </c>
      <c r="BJ942" s="98">
        <v>21.913599999999999</v>
      </c>
      <c r="BK942" s="48"/>
      <c r="BL942" s="487">
        <v>1808.9383082668351</v>
      </c>
      <c r="BM942" s="47" t="s">
        <v>2487</v>
      </c>
      <c r="BN942" s="48"/>
      <c r="BO942" s="48"/>
      <c r="BP942" s="48"/>
      <c r="BQ942" s="48"/>
      <c r="BR942" s="47" t="e">
        <v>#VALUE!</v>
      </c>
      <c r="BS942" s="48"/>
      <c r="BT942" s="48"/>
      <c r="BU942" s="228">
        <v>21.913599999999999</v>
      </c>
      <c r="BV942" s="48"/>
      <c r="BW942" s="48"/>
      <c r="BX942" s="48"/>
      <c r="BY942" s="48"/>
      <c r="BZ942" s="48"/>
      <c r="CA942" s="48"/>
      <c r="CB942" s="48"/>
      <c r="CC942" s="48"/>
      <c r="CD942" s="48"/>
      <c r="CE942" s="48"/>
      <c r="CF942" s="48"/>
      <c r="CG942" s="48"/>
      <c r="CH942" s="48"/>
      <c r="CI942" s="98"/>
      <c r="CJ942" s="98"/>
      <c r="CK942" s="49">
        <f t="shared" si="191"/>
        <v>82.548659657328557</v>
      </c>
      <c r="CL942" s="229"/>
      <c r="CM942" s="229">
        <v>1.1206237727719477</v>
      </c>
      <c r="CN942" s="229">
        <f>BJ942/(10^CM942)</f>
        <v>1.6599307001603787</v>
      </c>
      <c r="CO942" s="47" t="s">
        <v>2488</v>
      </c>
      <c r="CP942" s="500" t="s">
        <v>2489</v>
      </c>
      <c r="CQ942" s="224">
        <v>1.3001240204009425</v>
      </c>
      <c r="CR942" s="224">
        <f>10^(CJ942-CQ942)</f>
        <v>5.0104413126234988E-2</v>
      </c>
      <c r="CS942" s="230" t="s">
        <v>539</v>
      </c>
      <c r="CT942" s="230"/>
      <c r="CU942" s="230"/>
      <c r="CV942" s="335">
        <f t="shared" si="192"/>
        <v>1.2138580607476639</v>
      </c>
      <c r="CW942" s="230">
        <f t="shared" si="193"/>
        <v>1</v>
      </c>
      <c r="CX942" s="336"/>
      <c r="CY942" s="230" t="s">
        <v>5921</v>
      </c>
    </row>
    <row r="943" spans="1:103" ht="11.25" customHeight="1" x14ac:dyDescent="0.2">
      <c r="A943" s="72">
        <v>1328</v>
      </c>
      <c r="B943" s="224">
        <v>1345</v>
      </c>
      <c r="C943" s="46" t="s">
        <v>7420</v>
      </c>
      <c r="D943" s="46"/>
      <c r="E943" s="114"/>
      <c r="F943" s="114" t="s">
        <v>4163</v>
      </c>
      <c r="G943" s="225">
        <v>23779320</v>
      </c>
      <c r="H943" s="47" t="s">
        <v>4164</v>
      </c>
      <c r="I943" s="47" t="s">
        <v>4164</v>
      </c>
      <c r="J943" s="47" t="s">
        <v>4165</v>
      </c>
      <c r="K943" s="47" t="s">
        <v>4166</v>
      </c>
      <c r="L943" s="47"/>
      <c r="M943" s="47"/>
      <c r="N943" s="47"/>
      <c r="O943" s="47"/>
      <c r="P943" s="53"/>
      <c r="Q943" s="53"/>
      <c r="R943" s="53"/>
      <c r="S943" s="53"/>
      <c r="T943" s="48">
        <v>264.39</v>
      </c>
      <c r="U943" s="98"/>
      <c r="V943" s="98">
        <v>1263</v>
      </c>
      <c r="W943" s="98">
        <v>5652.5579684349514</v>
      </c>
      <c r="X943" s="98">
        <v>5652.5579684349514</v>
      </c>
      <c r="Y943" s="233">
        <v>6.97</v>
      </c>
      <c r="Z943" s="48">
        <v>-0.14000000000000001</v>
      </c>
      <c r="AA943" s="48"/>
      <c r="AB943" s="48">
        <v>0.27</v>
      </c>
      <c r="AC943" s="48">
        <v>0.58509999999999995</v>
      </c>
      <c r="AD943" s="48">
        <v>0.52</v>
      </c>
      <c r="AE943" s="48">
        <v>0.81</v>
      </c>
      <c r="AF943" s="48">
        <f t="shared" si="195"/>
        <v>0.52</v>
      </c>
      <c r="AG943" s="49">
        <v>0.52</v>
      </c>
      <c r="AH943" s="98">
        <v>3.8899999999999998E-12</v>
      </c>
      <c r="AI943" s="98"/>
      <c r="AJ943" s="483">
        <f t="shared" si="189"/>
        <v>-9.7986167249869442</v>
      </c>
      <c r="AK943" s="483"/>
      <c r="AL943" s="483">
        <f t="shared" si="190"/>
        <v>-9.7986167249869442</v>
      </c>
      <c r="AM943" s="483">
        <v>-14.186589999999999</v>
      </c>
      <c r="AN943" s="226"/>
      <c r="AO943" s="484">
        <v>14.2</v>
      </c>
      <c r="AP943" s="484">
        <v>-0.2</v>
      </c>
      <c r="AQ943" s="48" t="s">
        <v>6311</v>
      </c>
      <c r="AR943" s="48" t="s">
        <v>6311</v>
      </c>
      <c r="AS943" s="227"/>
      <c r="AT943" s="50" t="s">
        <v>266</v>
      </c>
      <c r="AU943" s="48">
        <v>6</v>
      </c>
      <c r="AV943" s="48">
        <v>120</v>
      </c>
      <c r="AW943" s="48">
        <v>114</v>
      </c>
      <c r="AX943" s="48">
        <v>28</v>
      </c>
      <c r="AY943" s="48" t="s">
        <v>8728</v>
      </c>
      <c r="AZ943" s="48" t="s">
        <v>1563</v>
      </c>
      <c r="BA943" s="48">
        <v>32</v>
      </c>
      <c r="BB943" s="47" t="s">
        <v>2485</v>
      </c>
      <c r="BC943" s="47" t="s">
        <v>8726</v>
      </c>
      <c r="BD943" s="47" t="s">
        <v>8374</v>
      </c>
      <c r="BE943" s="48" t="s">
        <v>2449</v>
      </c>
      <c r="BF943" s="48" t="s">
        <v>272</v>
      </c>
      <c r="BG943" s="48" t="s">
        <v>272</v>
      </c>
      <c r="BH943" s="48" t="s">
        <v>2486</v>
      </c>
      <c r="BI943" s="98">
        <v>1.6920959999999999E-3</v>
      </c>
      <c r="BJ943" s="98">
        <v>16.920960000000001</v>
      </c>
      <c r="BK943" s="48"/>
      <c r="BL943" s="487">
        <v>18145.921377668416</v>
      </c>
      <c r="BM943" s="47" t="s">
        <v>2487</v>
      </c>
      <c r="BN943" s="48"/>
      <c r="BO943" s="48"/>
      <c r="BP943" s="48"/>
      <c r="BQ943" s="48"/>
      <c r="BR943" s="47" t="e">
        <v>#VALUE!</v>
      </c>
      <c r="BS943" s="48"/>
      <c r="BT943" s="48"/>
      <c r="BU943" s="228"/>
      <c r="BV943" s="48"/>
      <c r="BW943" s="48"/>
      <c r="BX943" s="48"/>
      <c r="BY943" s="48"/>
      <c r="BZ943" s="48"/>
      <c r="CA943" s="48"/>
      <c r="CB943" s="48"/>
      <c r="CC943" s="48"/>
      <c r="CD943" s="48"/>
      <c r="CE943" s="48"/>
      <c r="CF943" s="48"/>
      <c r="CG943" s="48"/>
      <c r="CH943" s="48"/>
      <c r="CI943" s="98"/>
      <c r="CJ943" s="98"/>
      <c r="CK943" s="49">
        <f t="shared" si="191"/>
        <v>1072.3931371310148</v>
      </c>
      <c r="CL943" s="229"/>
      <c r="CM943" s="229"/>
      <c r="CN943" s="229"/>
      <c r="CO943" s="47" t="s">
        <v>2488</v>
      </c>
      <c r="CP943" s="500" t="s">
        <v>2489</v>
      </c>
      <c r="CQ943" s="224" t="s">
        <v>272</v>
      </c>
      <c r="CR943" s="224"/>
      <c r="CS943" s="230" t="s">
        <v>539</v>
      </c>
      <c r="CT943" s="230"/>
      <c r="CU943" s="230"/>
      <c r="CV943" s="335">
        <f t="shared" si="192"/>
        <v>334.05657648472373</v>
      </c>
      <c r="CW943" s="230">
        <f t="shared" si="193"/>
        <v>1</v>
      </c>
      <c r="CX943" s="336"/>
      <c r="CY943" s="230" t="s">
        <v>6351</v>
      </c>
    </row>
    <row r="944" spans="1:103" ht="11.25" customHeight="1" x14ac:dyDescent="0.2">
      <c r="A944" s="72">
        <v>1330</v>
      </c>
      <c r="B944" s="224">
        <v>1841</v>
      </c>
      <c r="C944" s="46" t="s">
        <v>7421</v>
      </c>
      <c r="D944" s="46" t="s">
        <v>8655</v>
      </c>
      <c r="E944" s="114"/>
      <c r="F944" s="114" t="s">
        <v>4004</v>
      </c>
      <c r="G944" s="225">
        <v>23950585</v>
      </c>
      <c r="H944" s="47" t="s">
        <v>4005</v>
      </c>
      <c r="I944" s="47" t="s">
        <v>8110</v>
      </c>
      <c r="J944" s="47" t="s">
        <v>4006</v>
      </c>
      <c r="K944" s="47" t="s">
        <v>471</v>
      </c>
      <c r="L944" s="47" t="s">
        <v>6052</v>
      </c>
      <c r="M944" s="47" t="s">
        <v>5960</v>
      </c>
      <c r="N944" s="47"/>
      <c r="O944" s="47"/>
      <c r="P944" s="53"/>
      <c r="Q944" s="53"/>
      <c r="R944" s="53"/>
      <c r="S944" s="53"/>
      <c r="T944" s="48">
        <v>256.13</v>
      </c>
      <c r="U944" s="98">
        <v>15</v>
      </c>
      <c r="V944" s="98">
        <v>25.74</v>
      </c>
      <c r="W944" s="98">
        <v>32.244856572284007</v>
      </c>
      <c r="X944" s="98">
        <v>15</v>
      </c>
      <c r="Y944" s="233">
        <v>7</v>
      </c>
      <c r="Z944" s="48">
        <v>3.57</v>
      </c>
      <c r="AA944" s="48">
        <v>3.43</v>
      </c>
      <c r="AB944" s="48">
        <v>3.36</v>
      </c>
      <c r="AC944" s="48">
        <v>0.87749999999999995</v>
      </c>
      <c r="AD944" s="48">
        <v>3.42</v>
      </c>
      <c r="AE944" s="48">
        <v>3.64</v>
      </c>
      <c r="AF944" s="48">
        <f t="shared" si="195"/>
        <v>3.43</v>
      </c>
      <c r="AG944" s="49">
        <v>3.67</v>
      </c>
      <c r="AH944" s="98">
        <v>1.03E-9</v>
      </c>
      <c r="AI944" s="98">
        <v>9.7700000000000008E-9</v>
      </c>
      <c r="AJ944" s="483">
        <f t="shared" si="189"/>
        <v>-7.3757291016074795</v>
      </c>
      <c r="AK944" s="483">
        <f>LOG10(AI944*1000/(0.08206*298.15))</f>
        <v>-6.3986717625938789</v>
      </c>
      <c r="AL944" s="483">
        <f t="shared" si="190"/>
        <v>-6.3986717625938789</v>
      </c>
      <c r="AM944" s="483">
        <v>-11.341019999999999</v>
      </c>
      <c r="AN944" s="226">
        <v>-8.0299999999999994</v>
      </c>
      <c r="AO944" s="484">
        <v>12.3</v>
      </c>
      <c r="AP944" s="484">
        <v>-2.79</v>
      </c>
      <c r="AQ944" s="226" t="s">
        <v>6311</v>
      </c>
      <c r="AR944" s="226" t="s">
        <v>6311</v>
      </c>
      <c r="AS944" s="224"/>
      <c r="AT944" s="50" t="s">
        <v>266</v>
      </c>
      <c r="AU944" s="48">
        <v>6</v>
      </c>
      <c r="AV944" s="48">
        <v>120</v>
      </c>
      <c r="AW944" s="48">
        <v>114</v>
      </c>
      <c r="AX944" s="48">
        <v>28</v>
      </c>
      <c r="AY944" s="48" t="s">
        <v>8728</v>
      </c>
      <c r="AZ944" s="48" t="s">
        <v>1563</v>
      </c>
      <c r="BA944" s="48">
        <v>32</v>
      </c>
      <c r="BB944" s="47" t="s">
        <v>2485</v>
      </c>
      <c r="BC944" s="47" t="s">
        <v>8726</v>
      </c>
      <c r="BD944" s="47" t="s">
        <v>8374</v>
      </c>
      <c r="BE944" s="48" t="s">
        <v>2449</v>
      </c>
      <c r="BF944" s="48" t="s">
        <v>272</v>
      </c>
      <c r="BG944" s="48" t="s">
        <v>272</v>
      </c>
      <c r="BH944" s="48" t="s">
        <v>2486</v>
      </c>
      <c r="BI944" s="98">
        <v>1.6392319999999998E-3</v>
      </c>
      <c r="BJ944" s="98">
        <v>16.392320000000002</v>
      </c>
      <c r="BK944" s="48"/>
      <c r="BL944" s="487">
        <v>8.1854667650080852</v>
      </c>
      <c r="BM944" s="47" t="s">
        <v>2487</v>
      </c>
      <c r="BN944" s="48"/>
      <c r="BO944" s="48"/>
      <c r="BP944" s="48"/>
      <c r="BQ944" s="48"/>
      <c r="BR944" s="47" t="e">
        <v>#VALUE!</v>
      </c>
      <c r="BS944" s="48"/>
      <c r="BT944" s="48"/>
      <c r="BU944" s="228"/>
      <c r="BV944" s="48"/>
      <c r="BW944" s="48"/>
      <c r="BX944" s="48"/>
      <c r="BY944" s="48"/>
      <c r="BZ944" s="48"/>
      <c r="CA944" s="48"/>
      <c r="CB944" s="48"/>
      <c r="CC944" s="48"/>
      <c r="CD944" s="48"/>
      <c r="CE944" s="48"/>
      <c r="CF944" s="48"/>
      <c r="CG944" s="48"/>
      <c r="CH944" s="48"/>
      <c r="CI944" s="98"/>
      <c r="CJ944" s="98"/>
      <c r="CK944" s="49">
        <f t="shared" si="191"/>
        <v>0.49934766799379737</v>
      </c>
      <c r="CL944" s="229"/>
      <c r="CM944" s="229"/>
      <c r="CN944" s="229"/>
      <c r="CO944" s="47" t="s">
        <v>2488</v>
      </c>
      <c r="CP944" s="500" t="s">
        <v>2489</v>
      </c>
      <c r="CQ944" s="224">
        <v>1.4413191808480192</v>
      </c>
      <c r="CR944" s="224">
        <f>10^(CJ944-CQ944)</f>
        <v>3.6197686896922439E-2</v>
      </c>
      <c r="CS944" s="230" t="s">
        <v>539</v>
      </c>
      <c r="CT944" s="230"/>
      <c r="CU944" s="230"/>
      <c r="CV944" s="335">
        <f t="shared" si="192"/>
        <v>0.9150626634911958</v>
      </c>
      <c r="CW944" s="230">
        <f t="shared" si="193"/>
        <v>0</v>
      </c>
      <c r="CX944" s="336"/>
      <c r="CY944" s="230" t="s">
        <v>5921</v>
      </c>
    </row>
    <row r="945" spans="1:103" ht="11.25" customHeight="1" x14ac:dyDescent="0.2">
      <c r="A945" s="72">
        <v>1332</v>
      </c>
      <c r="B945" s="224">
        <v>1725</v>
      </c>
      <c r="C945" s="46" t="s">
        <v>7422</v>
      </c>
      <c r="D945" s="46"/>
      <c r="E945" s="114"/>
      <c r="F945" s="114" t="s">
        <v>3921</v>
      </c>
      <c r="G945" s="225">
        <v>24307264</v>
      </c>
      <c r="H945" s="47" t="s">
        <v>3922</v>
      </c>
      <c r="I945" s="47" t="s">
        <v>8111</v>
      </c>
      <c r="J945" s="47" t="s">
        <v>5000</v>
      </c>
      <c r="K945" s="47" t="s">
        <v>426</v>
      </c>
      <c r="L945" s="47"/>
      <c r="M945" s="47"/>
      <c r="N945" s="47"/>
      <c r="O945" s="47"/>
      <c r="P945" s="53"/>
      <c r="Q945" s="53"/>
      <c r="R945" s="53"/>
      <c r="S945" s="53"/>
      <c r="T945" s="48">
        <v>114.21</v>
      </c>
      <c r="U945" s="98">
        <v>499999.99999999994</v>
      </c>
      <c r="V945" s="98">
        <v>999999.99999999988</v>
      </c>
      <c r="W945" s="98">
        <v>198474.23265146618</v>
      </c>
      <c r="X945" s="98">
        <v>499999.99999999994</v>
      </c>
      <c r="Y945" s="233">
        <v>7</v>
      </c>
      <c r="Z945" s="48">
        <v>-2.82</v>
      </c>
      <c r="AA945" s="48">
        <v>-2.82</v>
      </c>
      <c r="AB945" s="48">
        <v>-2.5099999999999998</v>
      </c>
      <c r="AC945" s="48">
        <v>0.88990000000000002</v>
      </c>
      <c r="AD945" s="48">
        <v>-2.34</v>
      </c>
      <c r="AE945" s="48">
        <v>-1.71</v>
      </c>
      <c r="AF945" s="48">
        <f t="shared" si="195"/>
        <v>-2.82</v>
      </c>
      <c r="AG945" s="49">
        <v>1.57</v>
      </c>
      <c r="AH945" s="98">
        <v>4.31E-12</v>
      </c>
      <c r="AI945" s="98"/>
      <c r="AJ945" s="483">
        <f t="shared" si="189"/>
        <v>-9.7540890561519209</v>
      </c>
      <c r="AK945" s="483"/>
      <c r="AL945" s="483">
        <f t="shared" si="190"/>
        <v>-9.7540890561519209</v>
      </c>
      <c r="AM945" s="483">
        <v>-0.20416000000000012</v>
      </c>
      <c r="AN945" s="226">
        <v>-4.01</v>
      </c>
      <c r="AO945" s="484"/>
      <c r="AP945" s="484"/>
      <c r="AQ945" s="226" t="s">
        <v>6311</v>
      </c>
      <c r="AR945" s="226" t="s">
        <v>6311</v>
      </c>
      <c r="AS945" s="224"/>
      <c r="AT945" s="50" t="s">
        <v>266</v>
      </c>
      <c r="AU945" s="48">
        <v>6</v>
      </c>
      <c r="AV945" s="48">
        <v>120</v>
      </c>
      <c r="AW945" s="48">
        <v>114</v>
      </c>
      <c r="AX945" s="48">
        <v>28</v>
      </c>
      <c r="AY945" s="48" t="s">
        <v>8728</v>
      </c>
      <c r="AZ945" s="48" t="s">
        <v>1563</v>
      </c>
      <c r="BA945" s="48">
        <v>32</v>
      </c>
      <c r="BB945" s="47" t="s">
        <v>2485</v>
      </c>
      <c r="BC945" s="47" t="s">
        <v>8726</v>
      </c>
      <c r="BD945" s="47" t="s">
        <v>8374</v>
      </c>
      <c r="BE945" s="48" t="s">
        <v>2449</v>
      </c>
      <c r="BF945" s="48" t="s">
        <v>272</v>
      </c>
      <c r="BG945" s="48" t="s">
        <v>272</v>
      </c>
      <c r="BH945" s="48" t="s">
        <v>2486</v>
      </c>
      <c r="BI945" s="98">
        <v>7.3094399999999997E-4</v>
      </c>
      <c r="BJ945" s="98">
        <v>7.3094399999999995</v>
      </c>
      <c r="BK945" s="48"/>
      <c r="BL945" s="487">
        <v>2000534.8969622131</v>
      </c>
      <c r="BM945" s="47" t="s">
        <v>2487</v>
      </c>
      <c r="BN945" s="48"/>
      <c r="BO945" s="48"/>
      <c r="BP945" s="48"/>
      <c r="BQ945" s="48"/>
      <c r="BR945" s="47" t="e">
        <v>#VALUE!</v>
      </c>
      <c r="BS945" s="48"/>
      <c r="BT945" s="48"/>
      <c r="BU945" s="228"/>
      <c r="BV945" s="48"/>
      <c r="BW945" s="48"/>
      <c r="BX945" s="48"/>
      <c r="BY945" s="48"/>
      <c r="BZ945" s="48"/>
      <c r="CA945" s="48"/>
      <c r="CB945" s="48"/>
      <c r="CC945" s="48"/>
      <c r="CD945" s="48"/>
      <c r="CE945" s="48"/>
      <c r="CF945" s="48"/>
      <c r="CG945" s="48"/>
      <c r="CH945" s="48"/>
      <c r="CI945" s="98"/>
      <c r="CJ945" s="98"/>
      <c r="CK945" s="49">
        <f t="shared" si="191"/>
        <v>273691.95136182982</v>
      </c>
      <c r="CL945" s="229"/>
      <c r="CM945" s="229"/>
      <c r="CN945" s="229"/>
      <c r="CO945" s="47" t="s">
        <v>2488</v>
      </c>
      <c r="CP945" s="500" t="s">
        <v>2489</v>
      </c>
      <c r="CQ945" s="224">
        <v>3.1986570869544226</v>
      </c>
      <c r="CR945" s="224">
        <f>10^(CJ945-CQ945)</f>
        <v>6.3291139240506309E-4</v>
      </c>
      <c r="CS945" s="230" t="s">
        <v>539</v>
      </c>
      <c r="CT945" s="230"/>
      <c r="CU945" s="230"/>
      <c r="CV945" s="335">
        <f t="shared" si="192"/>
        <v>68404.693109184838</v>
      </c>
      <c r="CW945" s="230">
        <f t="shared" si="193"/>
        <v>1</v>
      </c>
      <c r="CX945" s="336"/>
      <c r="CY945" s="230" t="s">
        <v>5921</v>
      </c>
    </row>
    <row r="946" spans="1:103" ht="11.25" customHeight="1" x14ac:dyDescent="0.2">
      <c r="A946" s="72">
        <v>1334</v>
      </c>
      <c r="B946" s="224">
        <v>1516</v>
      </c>
      <c r="C946" s="46" t="s">
        <v>7423</v>
      </c>
      <c r="D946" s="46"/>
      <c r="E946" s="114"/>
      <c r="F946" s="114" t="s">
        <v>3734</v>
      </c>
      <c r="G946" s="225">
        <v>25057890</v>
      </c>
      <c r="H946" s="47" t="s">
        <v>3735</v>
      </c>
      <c r="I946" s="47" t="s">
        <v>3735</v>
      </c>
      <c r="J946" s="47" t="s">
        <v>3736</v>
      </c>
      <c r="K946" s="47" t="s">
        <v>471</v>
      </c>
      <c r="L946" s="47"/>
      <c r="M946" s="47"/>
      <c r="N946" s="47"/>
      <c r="O946" s="47"/>
      <c r="P946" s="53"/>
      <c r="Q946" s="53"/>
      <c r="R946" s="53"/>
      <c r="S946" s="53"/>
      <c r="T946" s="48">
        <v>240.28</v>
      </c>
      <c r="U946" s="98">
        <v>500</v>
      </c>
      <c r="V946" s="98">
        <v>268.60000000000002</v>
      </c>
      <c r="W946" s="98">
        <v>190.86118823955022</v>
      </c>
      <c r="X946" s="98">
        <v>500</v>
      </c>
      <c r="Y946" s="233">
        <v>3.37</v>
      </c>
      <c r="Z946" s="48">
        <v>1.67</v>
      </c>
      <c r="AA946" s="48">
        <v>2.34</v>
      </c>
      <c r="AB946" s="48">
        <v>1.68</v>
      </c>
      <c r="AC946" s="48">
        <v>0.79949999999999999</v>
      </c>
      <c r="AD946" s="48">
        <v>2.04</v>
      </c>
      <c r="AE946" s="48">
        <v>2.8</v>
      </c>
      <c r="AF946" s="48">
        <f t="shared" si="195"/>
        <v>2.34</v>
      </c>
      <c r="AG946" s="49">
        <v>1.1399999999999999</v>
      </c>
      <c r="AH946" s="98">
        <v>1.9900000000000001E-10</v>
      </c>
      <c r="AI946" s="98">
        <v>2.1799999999999999E-9</v>
      </c>
      <c r="AJ946" s="483">
        <f t="shared" si="189"/>
        <v>-8.0897132499029443</v>
      </c>
      <c r="AK946" s="483">
        <f>LOG10(AI946*1000/(0.08206*298.15))</f>
        <v>-7.0501098327080474</v>
      </c>
      <c r="AL946" s="483">
        <f t="shared" si="190"/>
        <v>-7.0501098327080474</v>
      </c>
      <c r="AM946" s="483">
        <v>-15.664450000000002</v>
      </c>
      <c r="AN946" s="226">
        <v>-5.7</v>
      </c>
      <c r="AO946" s="484">
        <v>3.28</v>
      </c>
      <c r="AP946" s="484"/>
      <c r="AQ946" s="48" t="s">
        <v>6311</v>
      </c>
      <c r="AR946" s="48" t="s">
        <v>6311</v>
      </c>
      <c r="AS946" s="227"/>
      <c r="AT946" s="50" t="s">
        <v>266</v>
      </c>
      <c r="AU946" s="48">
        <v>6</v>
      </c>
      <c r="AV946" s="48">
        <v>120</v>
      </c>
      <c r="AW946" s="48">
        <v>114</v>
      </c>
      <c r="AX946" s="48">
        <v>28</v>
      </c>
      <c r="AY946" s="48" t="s">
        <v>8728</v>
      </c>
      <c r="AZ946" s="48" t="s">
        <v>1563</v>
      </c>
      <c r="BA946" s="48">
        <v>32</v>
      </c>
      <c r="BB946" s="47" t="s">
        <v>2485</v>
      </c>
      <c r="BC946" s="47" t="s">
        <v>8726</v>
      </c>
      <c r="BD946" s="47" t="s">
        <v>8374</v>
      </c>
      <c r="BE946" s="48" t="s">
        <v>2449</v>
      </c>
      <c r="BF946" s="48" t="s">
        <v>272</v>
      </c>
      <c r="BG946" s="48" t="s">
        <v>272</v>
      </c>
      <c r="BH946" s="48" t="s">
        <v>2486</v>
      </c>
      <c r="BI946" s="98">
        <v>1.5377919999999998E-3</v>
      </c>
      <c r="BJ946" s="98">
        <v>15.37792</v>
      </c>
      <c r="BK946" s="48"/>
      <c r="BL946" s="487">
        <v>390.56257308084844</v>
      </c>
      <c r="BM946" s="47" t="s">
        <v>2487</v>
      </c>
      <c r="BN946" s="48"/>
      <c r="BO946" s="48"/>
      <c r="BP946" s="48"/>
      <c r="BQ946" s="48"/>
      <c r="BR946" s="47"/>
      <c r="BS946" s="48"/>
      <c r="BT946" s="48"/>
      <c r="BU946" s="228"/>
      <c r="BV946" s="48"/>
      <c r="BW946" s="48"/>
      <c r="BX946" s="48"/>
      <c r="BY946" s="48"/>
      <c r="BZ946" s="48"/>
      <c r="CA946" s="48"/>
      <c r="CB946" s="48"/>
      <c r="CC946" s="48"/>
      <c r="CD946" s="48"/>
      <c r="CE946" s="48"/>
      <c r="CF946" s="48"/>
      <c r="CG946" s="48"/>
      <c r="CH946" s="48"/>
      <c r="CI946" s="52"/>
      <c r="CJ946" s="98"/>
      <c r="CK946" s="49">
        <f t="shared" si="191"/>
        <v>25.397620294607361</v>
      </c>
      <c r="CL946" s="229"/>
      <c r="CM946" s="229"/>
      <c r="CN946" s="229"/>
      <c r="CO946" s="47" t="s">
        <v>2488</v>
      </c>
      <c r="CP946" s="500" t="s">
        <v>2489</v>
      </c>
      <c r="CQ946" s="224" t="s">
        <v>272</v>
      </c>
      <c r="CR946" s="224"/>
      <c r="CS946" s="230" t="s">
        <v>539</v>
      </c>
      <c r="CT946" s="230"/>
      <c r="CU946" s="230"/>
      <c r="CV946" s="335">
        <f t="shared" si="192"/>
        <v>32.51415015814883</v>
      </c>
      <c r="CW946" s="230">
        <f t="shared" si="193"/>
        <v>1</v>
      </c>
      <c r="CX946" s="336"/>
      <c r="CY946" s="230" t="s">
        <v>5921</v>
      </c>
    </row>
    <row r="947" spans="1:103" ht="11.25" customHeight="1" x14ac:dyDescent="0.2">
      <c r="A947" s="72">
        <v>1335</v>
      </c>
      <c r="B947" s="224">
        <v>1925</v>
      </c>
      <c r="C947" s="46" t="s">
        <v>7424</v>
      </c>
      <c r="D947" s="46"/>
      <c r="E947" s="114"/>
      <c r="F947" s="114" t="s">
        <v>5408</v>
      </c>
      <c r="G947" s="225">
        <v>25498491</v>
      </c>
      <c r="H947" s="47" t="s">
        <v>5409</v>
      </c>
      <c r="I947" s="47" t="s">
        <v>5409</v>
      </c>
      <c r="J947" s="47" t="s">
        <v>5410</v>
      </c>
      <c r="K947" s="47" t="s">
        <v>426</v>
      </c>
      <c r="L947" s="47"/>
      <c r="M947" s="47"/>
      <c r="N947" s="47"/>
      <c r="O947" s="47"/>
      <c r="P947" s="53"/>
      <c r="Q947" s="53"/>
      <c r="R947" s="53"/>
      <c r="S947" s="53"/>
      <c r="T947" s="48">
        <v>206.28</v>
      </c>
      <c r="U947" s="98">
        <v>999999.99999999988</v>
      </c>
      <c r="V947" s="98">
        <v>195800</v>
      </c>
      <c r="W947" s="98">
        <v>271930.00002941571</v>
      </c>
      <c r="X947" s="98">
        <v>999999.99999999988</v>
      </c>
      <c r="Y947" s="233">
        <v>6.91</v>
      </c>
      <c r="Z947" s="48">
        <v>-0.2</v>
      </c>
      <c r="AA947" s="48"/>
      <c r="AB947" s="48">
        <v>0.88</v>
      </c>
      <c r="AC947" s="48">
        <v>0.80310000000000004</v>
      </c>
      <c r="AD947" s="48">
        <v>0.5</v>
      </c>
      <c r="AE947" s="48">
        <v>-0.47</v>
      </c>
      <c r="AF947" s="48">
        <f t="shared" si="195"/>
        <v>0.5</v>
      </c>
      <c r="AG947" s="49">
        <v>0.96</v>
      </c>
      <c r="AH947" s="98">
        <v>2.3600000000000001E-11</v>
      </c>
      <c r="AI947" s="98"/>
      <c r="AJ947" s="483">
        <f t="shared" si="189"/>
        <v>-9.0156543233425452</v>
      </c>
      <c r="AK947" s="483"/>
      <c r="AL947" s="483">
        <f t="shared" si="190"/>
        <v>-9.0156543233425452</v>
      </c>
      <c r="AM947" s="483">
        <v>-9.1469599999999982</v>
      </c>
      <c r="AN947" s="226">
        <v>-6.92</v>
      </c>
      <c r="AO947" s="484">
        <v>14.41</v>
      </c>
      <c r="AP947" s="484"/>
      <c r="AQ947" s="226" t="s">
        <v>6311</v>
      </c>
      <c r="AR947" s="226" t="s">
        <v>6311</v>
      </c>
      <c r="AS947" s="224"/>
      <c r="AT947" s="50" t="s">
        <v>266</v>
      </c>
      <c r="AU947" s="48">
        <v>6</v>
      </c>
      <c r="AV947" s="48">
        <v>120</v>
      </c>
      <c r="AW947" s="48">
        <v>114</v>
      </c>
      <c r="AX947" s="48">
        <v>28</v>
      </c>
      <c r="AY947" s="48" t="s">
        <v>8728</v>
      </c>
      <c r="AZ947" s="48" t="s">
        <v>1563</v>
      </c>
      <c r="BA947" s="48">
        <v>32</v>
      </c>
      <c r="BB947" s="47" t="s">
        <v>2485</v>
      </c>
      <c r="BC947" s="47" t="s">
        <v>8726</v>
      </c>
      <c r="BD947" s="47" t="s">
        <v>8374</v>
      </c>
      <c r="BE947" s="48" t="s">
        <v>2449</v>
      </c>
      <c r="BF947" s="48" t="s">
        <v>272</v>
      </c>
      <c r="BG947" s="48" t="s">
        <v>272</v>
      </c>
      <c r="BH947" s="48" t="s">
        <v>2486</v>
      </c>
      <c r="BI947" s="98">
        <v>1.320192E-3</v>
      </c>
      <c r="BJ947" s="98">
        <v>13.201920000000001</v>
      </c>
      <c r="BK947" s="48"/>
      <c r="BL947" s="487">
        <v>16027.918400450048</v>
      </c>
      <c r="BM947" s="47" t="s">
        <v>2487</v>
      </c>
      <c r="BN947" s="48"/>
      <c r="BO947" s="48"/>
      <c r="BP947" s="48"/>
      <c r="BQ947" s="48"/>
      <c r="BR947" s="47" t="e">
        <v>#VALUE!</v>
      </c>
      <c r="BS947" s="48"/>
      <c r="BT947" s="48"/>
      <c r="BU947" s="228"/>
      <c r="BV947" s="48"/>
      <c r="BW947" s="48"/>
      <c r="BX947" s="48"/>
      <c r="BY947" s="48"/>
      <c r="BZ947" s="48"/>
      <c r="CA947" s="48"/>
      <c r="CB947" s="48"/>
      <c r="CC947" s="48"/>
      <c r="CD947" s="48"/>
      <c r="CE947" s="48"/>
      <c r="CF947" s="48"/>
      <c r="CG947" s="48"/>
      <c r="CH947" s="48"/>
      <c r="CI947" s="98"/>
      <c r="CJ947" s="98"/>
      <c r="CK947" s="49">
        <f t="shared" si="191"/>
        <v>1214.0596519635058</v>
      </c>
      <c r="CL947" s="229"/>
      <c r="CM947" s="229"/>
      <c r="CN947" s="229"/>
      <c r="CO947" s="47" t="s">
        <v>2488</v>
      </c>
      <c r="CP947" s="500" t="s">
        <v>2489</v>
      </c>
      <c r="CQ947" s="224" t="s">
        <v>272</v>
      </c>
      <c r="CR947" s="224"/>
      <c r="CS947" s="230" t="s">
        <v>539</v>
      </c>
      <c r="CT947" s="230"/>
      <c r="CU947" s="230"/>
      <c r="CV947" s="335">
        <f t="shared" si="192"/>
        <v>75746.558076400994</v>
      </c>
      <c r="CW947" s="230">
        <f t="shared" si="193"/>
        <v>1</v>
      </c>
      <c r="CX947" s="336"/>
      <c r="CY947" s="230" t="s">
        <v>6351</v>
      </c>
    </row>
    <row r="948" spans="1:103" ht="11.25" customHeight="1" x14ac:dyDescent="0.2">
      <c r="A948" s="72">
        <v>1337</v>
      </c>
      <c r="B948" s="224">
        <v>1831</v>
      </c>
      <c r="C948" s="46" t="s">
        <v>7425</v>
      </c>
      <c r="D948" s="46"/>
      <c r="E948" s="114"/>
      <c r="F948" s="114" t="s">
        <v>3994</v>
      </c>
      <c r="G948" s="225">
        <v>25606411</v>
      </c>
      <c r="H948" s="47" t="s">
        <v>3995</v>
      </c>
      <c r="I948" s="47" t="s">
        <v>8112</v>
      </c>
      <c r="J948" s="47" t="s">
        <v>3996</v>
      </c>
      <c r="K948" s="47" t="s">
        <v>1180</v>
      </c>
      <c r="L948" s="51"/>
      <c r="M948" s="47"/>
      <c r="N948" s="47"/>
      <c r="O948" s="47"/>
      <c r="P948" s="53"/>
      <c r="Q948" s="53"/>
      <c r="R948" s="53"/>
      <c r="S948" s="53"/>
      <c r="T948" s="48">
        <v>224.73</v>
      </c>
      <c r="U948" s="98"/>
      <c r="V948" s="98"/>
      <c r="W948" s="98"/>
      <c r="X948" s="98"/>
      <c r="Y948" s="233"/>
      <c r="Z948" s="48">
        <v>-0.39</v>
      </c>
      <c r="AA948" s="48"/>
      <c r="AB948" s="48">
        <v>0</v>
      </c>
      <c r="AC948" s="48">
        <v>0</v>
      </c>
      <c r="AD948" s="48">
        <v>0</v>
      </c>
      <c r="AE948" s="48">
        <v>0</v>
      </c>
      <c r="AF948" s="48"/>
      <c r="AG948" s="49">
        <v>1.43</v>
      </c>
      <c r="AH948" s="98">
        <v>8.4399999999999998E-18</v>
      </c>
      <c r="AI948" s="98"/>
      <c r="AJ948" s="483">
        <f t="shared" si="189"/>
        <v>-15.462223879686997</v>
      </c>
      <c r="AK948" s="483"/>
      <c r="AL948" s="483">
        <f t="shared" si="190"/>
        <v>-15.462223879686997</v>
      </c>
      <c r="AM948" s="483"/>
      <c r="AN948" s="226">
        <v>-9.19</v>
      </c>
      <c r="AO948" s="484"/>
      <c r="AP948" s="484"/>
      <c r="AQ948" s="226" t="s">
        <v>6311</v>
      </c>
      <c r="AR948" s="226" t="s">
        <v>6312</v>
      </c>
      <c r="AS948" s="224"/>
      <c r="AT948" s="50" t="s">
        <v>266</v>
      </c>
      <c r="AU948" s="48">
        <v>6</v>
      </c>
      <c r="AV948" s="48">
        <v>120</v>
      </c>
      <c r="AW948" s="48">
        <v>114</v>
      </c>
      <c r="AX948" s="48">
        <v>28</v>
      </c>
      <c r="AY948" s="48" t="s">
        <v>8728</v>
      </c>
      <c r="AZ948" s="48" t="s">
        <v>1563</v>
      </c>
      <c r="BA948" s="48">
        <v>32</v>
      </c>
      <c r="BB948" s="47" t="s">
        <v>2485</v>
      </c>
      <c r="BC948" s="47" t="s">
        <v>8726</v>
      </c>
      <c r="BD948" s="47" t="s">
        <v>8374</v>
      </c>
      <c r="BE948" s="48" t="s">
        <v>2449</v>
      </c>
      <c r="BF948" s="48" t="s">
        <v>272</v>
      </c>
      <c r="BG948" s="48" t="s">
        <v>272</v>
      </c>
      <c r="BH948" s="48" t="s">
        <v>2486</v>
      </c>
      <c r="BI948" s="98"/>
      <c r="BJ948" s="98"/>
      <c r="BK948" s="48"/>
      <c r="BL948" s="487"/>
      <c r="BM948" s="47" t="s">
        <v>2487</v>
      </c>
      <c r="BN948" s="48"/>
      <c r="BO948" s="48"/>
      <c r="BP948" s="48"/>
      <c r="BQ948" s="48"/>
      <c r="BR948" s="47" t="e">
        <v>#VALUE!</v>
      </c>
      <c r="BS948" s="48"/>
      <c r="BT948" s="48"/>
      <c r="BU948" s="228"/>
      <c r="BV948" s="48"/>
      <c r="BW948" s="48"/>
      <c r="BX948" s="48"/>
      <c r="BY948" s="48"/>
      <c r="BZ948" s="48"/>
      <c r="CA948" s="48"/>
      <c r="CB948" s="48"/>
      <c r="CC948" s="48"/>
      <c r="CD948" s="48"/>
      <c r="CE948" s="48"/>
      <c r="CF948" s="48"/>
      <c r="CG948" s="48"/>
      <c r="CH948" s="48"/>
      <c r="CI948" s="98"/>
      <c r="CJ948" s="98"/>
      <c r="CK948" s="49"/>
      <c r="CL948" s="229"/>
      <c r="CM948" s="229"/>
      <c r="CN948" s="229"/>
      <c r="CO948" s="47" t="s">
        <v>2488</v>
      </c>
      <c r="CP948" s="500" t="s">
        <v>2489</v>
      </c>
      <c r="CQ948" s="224" t="s">
        <v>272</v>
      </c>
      <c r="CR948" s="224"/>
      <c r="CS948" s="230" t="s">
        <v>539</v>
      </c>
      <c r="CT948" s="230"/>
      <c r="CU948" s="230"/>
      <c r="CV948" s="335"/>
      <c r="CW948" s="230"/>
      <c r="CX948" s="336"/>
      <c r="CY948" s="230" t="s">
        <v>5921</v>
      </c>
    </row>
    <row r="949" spans="1:103" ht="11.25" customHeight="1" x14ac:dyDescent="0.2">
      <c r="A949" s="72">
        <v>1338</v>
      </c>
      <c r="B949" s="224">
        <v>1022</v>
      </c>
      <c r="C949" s="46" t="s">
        <v>7426</v>
      </c>
      <c r="D949" s="46"/>
      <c r="E949" s="114"/>
      <c r="F949" s="114" t="s">
        <v>2915</v>
      </c>
      <c r="G949" s="225">
        <v>25956176</v>
      </c>
      <c r="H949" s="47" t="s">
        <v>2916</v>
      </c>
      <c r="I949" s="47" t="s">
        <v>2916</v>
      </c>
      <c r="J949" s="47" t="s">
        <v>2917</v>
      </c>
      <c r="K949" s="47" t="s">
        <v>349</v>
      </c>
      <c r="L949" s="47"/>
      <c r="M949" s="47"/>
      <c r="N949" s="47"/>
      <c r="O949" s="47"/>
      <c r="P949" s="53"/>
      <c r="Q949" s="53"/>
      <c r="R949" s="53"/>
      <c r="S949" s="53"/>
      <c r="T949" s="48">
        <v>452.46</v>
      </c>
      <c r="U949" s="98"/>
      <c r="V949" s="98">
        <v>37.35</v>
      </c>
      <c r="W949" s="98">
        <v>84251.994585448076</v>
      </c>
      <c r="X949" s="98">
        <v>84251.994585448076</v>
      </c>
      <c r="Y949" s="233">
        <v>0.63</v>
      </c>
      <c r="Z949" s="48">
        <v>2.0299999999999998</v>
      </c>
      <c r="AA949" s="48"/>
      <c r="AB949" s="48">
        <v>-0.42</v>
      </c>
      <c r="AC949" s="48">
        <v>0.50490000000000002</v>
      </c>
      <c r="AD949" s="48">
        <v>0.98</v>
      </c>
      <c r="AE949" s="48">
        <v>2.86</v>
      </c>
      <c r="AF949" s="48">
        <f>IF(AA949=0,AD949,AA949)</f>
        <v>0.98</v>
      </c>
      <c r="AG949" s="49">
        <v>0.43</v>
      </c>
      <c r="AH949" s="98">
        <v>2.1299999999999998E-24</v>
      </c>
      <c r="AI949" s="98"/>
      <c r="AJ949" s="483">
        <f t="shared" si="189"/>
        <v>-22.060186722873915</v>
      </c>
      <c r="AK949" s="483"/>
      <c r="AL949" s="483">
        <f t="shared" si="190"/>
        <v>-22.060186722873915</v>
      </c>
      <c r="AM949" s="483">
        <v>-30.379679999999997</v>
      </c>
      <c r="AN949" s="226">
        <v>-14.4</v>
      </c>
      <c r="AO949" s="484">
        <v>-1.05</v>
      </c>
      <c r="AP949" s="484"/>
      <c r="AQ949" s="48" t="s">
        <v>6311</v>
      </c>
      <c r="AR949" s="48" t="s">
        <v>6311</v>
      </c>
      <c r="AS949" s="227"/>
      <c r="AT949" s="50" t="s">
        <v>266</v>
      </c>
      <c r="AU949" s="48">
        <v>6</v>
      </c>
      <c r="AV949" s="48">
        <v>120</v>
      </c>
      <c r="AW949" s="48">
        <v>114</v>
      </c>
      <c r="AX949" s="48">
        <v>28</v>
      </c>
      <c r="AY949" s="48" t="s">
        <v>8728</v>
      </c>
      <c r="AZ949" s="48" t="s">
        <v>1563</v>
      </c>
      <c r="BA949" s="48">
        <v>32</v>
      </c>
      <c r="BB949" s="47" t="s">
        <v>2485</v>
      </c>
      <c r="BC949" s="47" t="s">
        <v>8726</v>
      </c>
      <c r="BD949" s="47" t="s">
        <v>8374</v>
      </c>
      <c r="BE949" s="48" t="s">
        <v>2449</v>
      </c>
      <c r="BF949" s="48" t="s">
        <v>272</v>
      </c>
      <c r="BG949" s="48" t="s">
        <v>272</v>
      </c>
      <c r="BH949" s="48" t="s">
        <v>2486</v>
      </c>
      <c r="BI949" s="98">
        <v>2.8957439999999996E-3</v>
      </c>
      <c r="BJ949" s="98">
        <v>28.957439999999998</v>
      </c>
      <c r="BK949" s="48"/>
      <c r="BL949" s="487">
        <v>349.33105153999344</v>
      </c>
      <c r="BM949" s="47" t="s">
        <v>2487</v>
      </c>
      <c r="BN949" s="48"/>
      <c r="BO949" s="48"/>
      <c r="BP949" s="48"/>
      <c r="BQ949" s="48"/>
      <c r="BR949" s="47" t="e">
        <v>#VALUE!</v>
      </c>
      <c r="BS949" s="48"/>
      <c r="BT949" s="48"/>
      <c r="BU949" s="228">
        <v>2.8957439999999997E-2</v>
      </c>
      <c r="BV949" s="48"/>
      <c r="BW949" s="48"/>
      <c r="BX949" s="48"/>
      <c r="BY949" s="48"/>
      <c r="BZ949" s="48"/>
      <c r="CA949" s="48"/>
      <c r="CB949" s="48"/>
      <c r="CC949" s="48"/>
      <c r="CD949" s="48"/>
      <c r="CE949" s="48"/>
      <c r="CF949" s="48"/>
      <c r="CG949" s="48"/>
      <c r="CH949" s="48"/>
      <c r="CI949" s="98"/>
      <c r="CJ949" s="98"/>
      <c r="CK949" s="49">
        <f t="shared" ref="CK949:CK971" si="196">BL949/BJ949</f>
        <v>12.063602705901953</v>
      </c>
      <c r="CL949" s="229"/>
      <c r="CM949" s="229"/>
      <c r="CN949" s="229"/>
      <c r="CO949" s="47" t="s">
        <v>2488</v>
      </c>
      <c r="CP949" s="500" t="s">
        <v>2489</v>
      </c>
      <c r="CQ949" s="224" t="s">
        <v>272</v>
      </c>
      <c r="CR949" s="224"/>
      <c r="CS949" s="230" t="s">
        <v>539</v>
      </c>
      <c r="CT949" s="230"/>
      <c r="CU949" s="230"/>
      <c r="CV949" s="335">
        <f t="shared" ref="CV949:CV971" si="197">X949/BJ949</f>
        <v>2909.5111510357297</v>
      </c>
      <c r="CW949" s="230">
        <f t="shared" ref="CW949:CW987" si="198">IF(CV949&lt;1,0,1)</f>
        <v>1</v>
      </c>
      <c r="CX949" s="336"/>
      <c r="CY949" s="230" t="s">
        <v>6351</v>
      </c>
    </row>
    <row r="950" spans="1:103" ht="11.25" customHeight="1" x14ac:dyDescent="0.2">
      <c r="A950" s="72">
        <v>1340</v>
      </c>
      <c r="B950" s="224">
        <v>1123</v>
      </c>
      <c r="C950" s="46" t="s">
        <v>7427</v>
      </c>
      <c r="D950" s="46" t="s">
        <v>8657</v>
      </c>
      <c r="E950" s="114"/>
      <c r="F950" s="114" t="s">
        <v>3136</v>
      </c>
      <c r="G950" s="225">
        <v>26225796</v>
      </c>
      <c r="H950" s="47" t="s">
        <v>3137</v>
      </c>
      <c r="I950" s="47" t="s">
        <v>3137</v>
      </c>
      <c r="J950" s="47" t="s">
        <v>3138</v>
      </c>
      <c r="K950" s="47" t="s">
        <v>357</v>
      </c>
      <c r="L950" s="47" t="s">
        <v>6038</v>
      </c>
      <c r="M950" s="47" t="s">
        <v>2342</v>
      </c>
      <c r="N950" s="47" t="s">
        <v>2342</v>
      </c>
      <c r="O950" s="47"/>
      <c r="P950" s="53" t="s">
        <v>8538</v>
      </c>
      <c r="Q950" s="53" t="s">
        <v>6173</v>
      </c>
      <c r="R950" s="53" t="s">
        <v>6183</v>
      </c>
      <c r="S950" s="53" t="s">
        <v>6173</v>
      </c>
      <c r="T950" s="48">
        <v>286.35000000000002</v>
      </c>
      <c r="U950" s="98">
        <v>50</v>
      </c>
      <c r="V950" s="98">
        <v>72.86</v>
      </c>
      <c r="W950" s="98">
        <v>217.21868860960652</v>
      </c>
      <c r="X950" s="98">
        <v>50</v>
      </c>
      <c r="Y950" s="233">
        <v>7</v>
      </c>
      <c r="Z950" s="48">
        <v>2.89</v>
      </c>
      <c r="AA950" s="48">
        <v>2.7</v>
      </c>
      <c r="AB950" s="48">
        <v>2.19</v>
      </c>
      <c r="AC950" s="48">
        <v>0.86560000000000004</v>
      </c>
      <c r="AD950" s="48">
        <v>2.14</v>
      </c>
      <c r="AE950" s="48">
        <v>2</v>
      </c>
      <c r="AF950" s="48">
        <f>IF(AA950=0,AD950,AA950)</f>
        <v>2.7</v>
      </c>
      <c r="AG950" s="49">
        <v>2.5</v>
      </c>
      <c r="AH950" s="98">
        <v>1.1700000000000001E-9</v>
      </c>
      <c r="AI950" s="98">
        <v>3.69E-8</v>
      </c>
      <c r="AJ950" s="483">
        <f t="shared" ref="AJ950:AJ971" si="199">LOG10(AH950*1000/(0.08206*298.15))</f>
        <v>-7.3203804645664903</v>
      </c>
      <c r="AK950" s="483">
        <f>LOG10(AI950*1000/(0.08206*298.15))</f>
        <v>-5.8215399601535918</v>
      </c>
      <c r="AL950" s="483">
        <f t="shared" ref="AL950:AL971" si="200">IF(AK950=0,AJ950,AK950)</f>
        <v>-5.8215399601535918</v>
      </c>
      <c r="AM950" s="483">
        <v>-12.87795</v>
      </c>
      <c r="AN950" s="226">
        <v>-6.59</v>
      </c>
      <c r="AO950" s="484"/>
      <c r="AP950" s="484"/>
      <c r="AQ950" s="48" t="s">
        <v>6311</v>
      </c>
      <c r="AR950" s="48" t="s">
        <v>6311</v>
      </c>
      <c r="AS950" s="227"/>
      <c r="AT950" s="50" t="s">
        <v>266</v>
      </c>
      <c r="AU950" s="48">
        <v>6</v>
      </c>
      <c r="AV950" s="48">
        <v>120</v>
      </c>
      <c r="AW950" s="48">
        <v>114</v>
      </c>
      <c r="AX950" s="48">
        <v>28</v>
      </c>
      <c r="AY950" s="48" t="s">
        <v>8728</v>
      </c>
      <c r="AZ950" s="48" t="s">
        <v>1563</v>
      </c>
      <c r="BA950" s="48">
        <v>32</v>
      </c>
      <c r="BB950" s="47" t="s">
        <v>2485</v>
      </c>
      <c r="BC950" s="47" t="s">
        <v>8726</v>
      </c>
      <c r="BD950" s="47" t="s">
        <v>8374</v>
      </c>
      <c r="BE950" s="48" t="s">
        <v>2449</v>
      </c>
      <c r="BF950" s="48" t="s">
        <v>272</v>
      </c>
      <c r="BG950" s="48" t="s">
        <v>272</v>
      </c>
      <c r="BH950" s="48" t="s">
        <v>2486</v>
      </c>
      <c r="BI950" s="98">
        <v>1.83264E-3</v>
      </c>
      <c r="BJ950" s="98">
        <v>18.326400000000003</v>
      </c>
      <c r="BK950" s="48"/>
      <c r="BL950" s="487">
        <v>37.341192871066504</v>
      </c>
      <c r="BM950" s="47" t="s">
        <v>2487</v>
      </c>
      <c r="BN950" s="48"/>
      <c r="BO950" s="48"/>
      <c r="BP950" s="48"/>
      <c r="BQ950" s="48"/>
      <c r="BR950" s="47" t="e">
        <v>#VALUE!</v>
      </c>
      <c r="BS950" s="48"/>
      <c r="BT950" s="48"/>
      <c r="BU950" s="228">
        <v>1.83264E-3</v>
      </c>
      <c r="BV950" s="48"/>
      <c r="BW950" s="48"/>
      <c r="BX950" s="48"/>
      <c r="BY950" s="48"/>
      <c r="BZ950" s="48"/>
      <c r="CA950" s="48"/>
      <c r="CB950" s="48"/>
      <c r="CC950" s="48"/>
      <c r="CD950" s="48"/>
      <c r="CE950" s="48"/>
      <c r="CF950" s="48"/>
      <c r="CG950" s="48"/>
      <c r="CH950" s="48"/>
      <c r="CI950" s="98"/>
      <c r="CJ950" s="98"/>
      <c r="CK950" s="49">
        <f t="shared" si="196"/>
        <v>2.0375629076668904</v>
      </c>
      <c r="CL950" s="229"/>
      <c r="CM950" s="229"/>
      <c r="CN950" s="229"/>
      <c r="CO950" s="47" t="s">
        <v>2488</v>
      </c>
      <c r="CP950" s="500" t="s">
        <v>2489</v>
      </c>
      <c r="CQ950" s="224">
        <v>0.93576039588830162</v>
      </c>
      <c r="CR950" s="224">
        <f>10^(CJ950-CQ950)</f>
        <v>0.11594168402727414</v>
      </c>
      <c r="CS950" s="230" t="s">
        <v>539</v>
      </c>
      <c r="CT950" s="230"/>
      <c r="CU950" s="230"/>
      <c r="CV950" s="335">
        <f t="shared" si="197"/>
        <v>2.7283045224375759</v>
      </c>
      <c r="CW950" s="230">
        <f t="shared" si="198"/>
        <v>1</v>
      </c>
      <c r="CX950" s="336"/>
      <c r="CY950" s="230" t="s">
        <v>5921</v>
      </c>
    </row>
    <row r="951" spans="1:103" ht="11.25" customHeight="1" x14ac:dyDescent="0.2">
      <c r="A951" s="72">
        <v>1342</v>
      </c>
      <c r="B951" s="224">
        <v>1215</v>
      </c>
      <c r="C951" s="46" t="s">
        <v>7428</v>
      </c>
      <c r="D951" s="46" t="s">
        <v>8658</v>
      </c>
      <c r="E951" s="114"/>
      <c r="F951" s="114" t="s">
        <v>3350</v>
      </c>
      <c r="G951" s="225">
        <v>27314132</v>
      </c>
      <c r="H951" s="47" t="s">
        <v>3351</v>
      </c>
      <c r="I951" s="47" t="s">
        <v>8113</v>
      </c>
      <c r="J951" s="47" t="s">
        <v>3352</v>
      </c>
      <c r="K951" s="47" t="s">
        <v>3353</v>
      </c>
      <c r="L951" s="47" t="s">
        <v>6048</v>
      </c>
      <c r="M951" s="47" t="s">
        <v>6082</v>
      </c>
      <c r="N951" s="47" t="s">
        <v>6082</v>
      </c>
      <c r="O951" s="47" t="s">
        <v>6083</v>
      </c>
      <c r="P951" s="53"/>
      <c r="Q951" s="53"/>
      <c r="R951" s="53"/>
      <c r="S951" s="53"/>
      <c r="T951" s="48">
        <v>303.67</v>
      </c>
      <c r="U951" s="98">
        <v>33.700000000000003</v>
      </c>
      <c r="V951" s="98">
        <v>126.9</v>
      </c>
      <c r="W951" s="98">
        <v>27.695033158720896</v>
      </c>
      <c r="X951" s="98">
        <v>33.700000000000003</v>
      </c>
      <c r="Y951" s="233">
        <v>7</v>
      </c>
      <c r="Z951" s="48">
        <v>2.19</v>
      </c>
      <c r="AA951" s="48">
        <v>2.2999999999999998</v>
      </c>
      <c r="AB951" s="48">
        <v>2.2000000000000002</v>
      </c>
      <c r="AC951" s="48">
        <v>0.84279999999999999</v>
      </c>
      <c r="AD951" s="48">
        <v>2.25</v>
      </c>
      <c r="AE951" s="48">
        <v>2.4500000000000002</v>
      </c>
      <c r="AF951" s="48">
        <f>IF(AA951=0,AD951,AA951)</f>
        <v>2.2999999999999998</v>
      </c>
      <c r="AG951" s="49">
        <v>2.56</v>
      </c>
      <c r="AH951" s="98">
        <v>1.2500000000000001E-10</v>
      </c>
      <c r="AI951" s="98">
        <v>3.43E-10</v>
      </c>
      <c r="AJ951" s="483">
        <f t="shared" si="199"/>
        <v>-8.2916563133045962</v>
      </c>
      <c r="AK951" s="483">
        <f>LOG10(AI951*1000/(0.08206*298.15))</f>
        <v>-7.8532722062698817</v>
      </c>
      <c r="AL951" s="483">
        <f t="shared" si="200"/>
        <v>-7.8532722062698817</v>
      </c>
      <c r="AM951" s="483">
        <v>-12.369860000000001</v>
      </c>
      <c r="AN951" s="226">
        <v>-7.96</v>
      </c>
      <c r="AO951" s="484"/>
      <c r="AP951" s="484">
        <v>1.1100000000000001</v>
      </c>
      <c r="AQ951" s="48" t="s">
        <v>6311</v>
      </c>
      <c r="AR951" s="48" t="s">
        <v>6311</v>
      </c>
      <c r="AS951" s="227"/>
      <c r="AT951" s="50" t="s">
        <v>266</v>
      </c>
      <c r="AU951" s="48">
        <v>6</v>
      </c>
      <c r="AV951" s="48">
        <v>120</v>
      </c>
      <c r="AW951" s="48">
        <v>114</v>
      </c>
      <c r="AX951" s="48">
        <v>28</v>
      </c>
      <c r="AY951" s="48" t="s">
        <v>8728</v>
      </c>
      <c r="AZ951" s="48" t="s">
        <v>1563</v>
      </c>
      <c r="BA951" s="48">
        <v>32</v>
      </c>
      <c r="BB951" s="47" t="s">
        <v>2485</v>
      </c>
      <c r="BC951" s="47" t="s">
        <v>8726</v>
      </c>
      <c r="BD951" s="47" t="s">
        <v>8374</v>
      </c>
      <c r="BE951" s="48" t="s">
        <v>2449</v>
      </c>
      <c r="BF951" s="48" t="s">
        <v>272</v>
      </c>
      <c r="BG951" s="48" t="s">
        <v>272</v>
      </c>
      <c r="BH951" s="48" t="s">
        <v>2486</v>
      </c>
      <c r="BI951" s="98">
        <v>1.9434879999999999E-3</v>
      </c>
      <c r="BJ951" s="98">
        <v>19.43488</v>
      </c>
      <c r="BK951" s="48"/>
      <c r="BL951" s="487">
        <v>168.40806639264599</v>
      </c>
      <c r="BM951" s="47" t="s">
        <v>2487</v>
      </c>
      <c r="BN951" s="48"/>
      <c r="BO951" s="48"/>
      <c r="BP951" s="48"/>
      <c r="BQ951" s="48"/>
      <c r="BR951" s="47" t="e">
        <v>#VALUE!</v>
      </c>
      <c r="BS951" s="48"/>
      <c r="BT951" s="48"/>
      <c r="BU951" s="228">
        <v>19.43488</v>
      </c>
      <c r="BV951" s="48"/>
      <c r="BW951" s="48"/>
      <c r="BX951" s="48"/>
      <c r="BY951" s="48"/>
      <c r="BZ951" s="48"/>
      <c r="CA951" s="48"/>
      <c r="CB951" s="48"/>
      <c r="CC951" s="48"/>
      <c r="CD951" s="48"/>
      <c r="CE951" s="48"/>
      <c r="CF951" s="48"/>
      <c r="CG951" s="48"/>
      <c r="CH951" s="48"/>
      <c r="CI951" s="98"/>
      <c r="CJ951" s="98"/>
      <c r="CK951" s="49">
        <f t="shared" si="196"/>
        <v>8.665248583610806</v>
      </c>
      <c r="CL951" s="229"/>
      <c r="CM951" s="229"/>
      <c r="CN951" s="229"/>
      <c r="CO951" s="47" t="s">
        <v>2488</v>
      </c>
      <c r="CP951" s="500" t="s">
        <v>2489</v>
      </c>
      <c r="CQ951" s="224">
        <v>1.0603363116413038</v>
      </c>
      <c r="CR951" s="224">
        <f>10^(CJ951-CQ951)</f>
        <v>8.7028938887550783E-2</v>
      </c>
      <c r="CS951" s="230" t="s">
        <v>539</v>
      </c>
      <c r="CT951" s="230"/>
      <c r="CU951" s="230"/>
      <c r="CV951" s="335">
        <f t="shared" si="197"/>
        <v>1.7339957848980803</v>
      </c>
      <c r="CW951" s="230">
        <f t="shared" si="198"/>
        <v>1</v>
      </c>
      <c r="CX951" s="336"/>
      <c r="CY951" s="230" t="s">
        <v>5921</v>
      </c>
    </row>
    <row r="952" spans="1:103" ht="11.25" customHeight="1" x14ac:dyDescent="0.2">
      <c r="A952" s="72">
        <v>1343</v>
      </c>
      <c r="B952" s="224">
        <v>1115</v>
      </c>
      <c r="C952" s="46" t="s">
        <v>7429</v>
      </c>
      <c r="D952" s="46"/>
      <c r="E952" s="114"/>
      <c r="F952" s="114" t="s">
        <v>3116</v>
      </c>
      <c r="G952" s="225">
        <v>27323417</v>
      </c>
      <c r="H952" s="47" t="s">
        <v>3117</v>
      </c>
      <c r="I952" s="47" t="s">
        <v>3117</v>
      </c>
      <c r="J952" s="47" t="s">
        <v>904</v>
      </c>
      <c r="K952" s="47" t="s">
        <v>426</v>
      </c>
      <c r="L952" s="47"/>
      <c r="M952" s="47"/>
      <c r="N952" s="47"/>
      <c r="O952" s="47"/>
      <c r="P952" s="53"/>
      <c r="Q952" s="53"/>
      <c r="R952" s="53"/>
      <c r="S952" s="53"/>
      <c r="T952" s="48">
        <v>474.68</v>
      </c>
      <c r="U952" s="98"/>
      <c r="V952" s="98">
        <v>27.1</v>
      </c>
      <c r="W952" s="98"/>
      <c r="X952" s="98">
        <v>27.1</v>
      </c>
      <c r="Y952" s="233"/>
      <c r="Z952" s="48">
        <v>1.85</v>
      </c>
      <c r="AA952" s="48"/>
      <c r="AB952" s="48">
        <v>0</v>
      </c>
      <c r="AC952" s="48">
        <v>0</v>
      </c>
      <c r="AD952" s="48">
        <v>0</v>
      </c>
      <c r="AE952" s="48">
        <v>0</v>
      </c>
      <c r="AF952" s="48"/>
      <c r="AG952" s="49">
        <v>2.34</v>
      </c>
      <c r="AH952" s="98">
        <v>3.2499999999999999E-21</v>
      </c>
      <c r="AI952" s="98"/>
      <c r="AJ952" s="483">
        <f t="shared" si="199"/>
        <v>-18.876682965333778</v>
      </c>
      <c r="AK952" s="483"/>
      <c r="AL952" s="483">
        <f t="shared" si="200"/>
        <v>-18.876682965333778</v>
      </c>
      <c r="AM952" s="483"/>
      <c r="AN952" s="226">
        <v>-7.8</v>
      </c>
      <c r="AO952" s="484"/>
      <c r="AP952" s="484"/>
      <c r="AQ952" s="48" t="s">
        <v>6311</v>
      </c>
      <c r="AR952" s="48" t="s">
        <v>6311</v>
      </c>
      <c r="AS952" s="227"/>
      <c r="AT952" s="50" t="s">
        <v>266</v>
      </c>
      <c r="AU952" s="48">
        <v>6</v>
      </c>
      <c r="AV952" s="48">
        <v>120</v>
      </c>
      <c r="AW952" s="48">
        <v>114</v>
      </c>
      <c r="AX952" s="48">
        <v>28</v>
      </c>
      <c r="AY952" s="48" t="s">
        <v>8728</v>
      </c>
      <c r="AZ952" s="48" t="s">
        <v>1563</v>
      </c>
      <c r="BA952" s="48">
        <v>32</v>
      </c>
      <c r="BB952" s="47" t="s">
        <v>2485</v>
      </c>
      <c r="BC952" s="47" t="s">
        <v>8726</v>
      </c>
      <c r="BD952" s="47" t="s">
        <v>8374</v>
      </c>
      <c r="BE952" s="48" t="s">
        <v>2449</v>
      </c>
      <c r="BF952" s="48" t="s">
        <v>272</v>
      </c>
      <c r="BG952" s="48" t="s">
        <v>272</v>
      </c>
      <c r="BH952" s="48" t="s">
        <v>2486</v>
      </c>
      <c r="BI952" s="98">
        <v>3.037952E-3</v>
      </c>
      <c r="BJ952" s="98">
        <v>30.379519999999999</v>
      </c>
      <c r="BK952" s="48"/>
      <c r="BL952" s="487">
        <v>531.76032805593366</v>
      </c>
      <c r="BM952" s="47" t="s">
        <v>2487</v>
      </c>
      <c r="BN952" s="48"/>
      <c r="BO952" s="48"/>
      <c r="BP952" s="48"/>
      <c r="BQ952" s="48"/>
      <c r="BR952" s="47" t="e">
        <v>#VALUE!</v>
      </c>
      <c r="BS952" s="48"/>
      <c r="BT952" s="48"/>
      <c r="BU952" s="228">
        <v>27.341567999999999</v>
      </c>
      <c r="BV952" s="48"/>
      <c r="BW952" s="48"/>
      <c r="BX952" s="48"/>
      <c r="BY952" s="48"/>
      <c r="BZ952" s="48"/>
      <c r="CA952" s="48"/>
      <c r="CB952" s="48"/>
      <c r="CC952" s="48"/>
      <c r="CD952" s="48"/>
      <c r="CE952" s="48"/>
      <c r="CF952" s="48"/>
      <c r="CG952" s="48"/>
      <c r="CH952" s="48"/>
      <c r="CI952" s="98"/>
      <c r="CJ952" s="98"/>
      <c r="CK952" s="49">
        <f t="shared" si="196"/>
        <v>17.503908161022085</v>
      </c>
      <c r="CL952" s="229"/>
      <c r="CM952" s="229"/>
      <c r="CN952" s="229"/>
      <c r="CO952" s="47" t="s">
        <v>2488</v>
      </c>
      <c r="CP952" s="500" t="s">
        <v>2489</v>
      </c>
      <c r="CQ952" s="224" t="s">
        <v>272</v>
      </c>
      <c r="CR952" s="224"/>
      <c r="CS952" s="230" t="s">
        <v>539</v>
      </c>
      <c r="CT952" s="230"/>
      <c r="CU952" s="230"/>
      <c r="CV952" s="335">
        <f t="shared" si="197"/>
        <v>0.89204832729417716</v>
      </c>
      <c r="CW952" s="230">
        <f t="shared" si="198"/>
        <v>0</v>
      </c>
      <c r="CX952" s="336"/>
      <c r="CY952" s="230" t="s">
        <v>5921</v>
      </c>
    </row>
    <row r="953" spans="1:103" ht="11.25" customHeight="1" x14ac:dyDescent="0.2">
      <c r="A953" s="72">
        <v>1344</v>
      </c>
      <c r="B953" s="224">
        <v>1898</v>
      </c>
      <c r="C953" s="46" t="s">
        <v>1495</v>
      </c>
      <c r="D953" s="46"/>
      <c r="E953" s="114"/>
      <c r="F953" s="114" t="s">
        <v>1496</v>
      </c>
      <c r="G953" s="225">
        <v>28249776</v>
      </c>
      <c r="H953" s="47" t="s">
        <v>1497</v>
      </c>
      <c r="I953" s="47" t="s">
        <v>8114</v>
      </c>
      <c r="J953" s="47" t="s">
        <v>1498</v>
      </c>
      <c r="K953" s="47" t="s">
        <v>1499</v>
      </c>
      <c r="L953" s="47" t="s">
        <v>5248</v>
      </c>
      <c r="M953" s="47" t="s">
        <v>6082</v>
      </c>
      <c r="N953" s="47" t="s">
        <v>6082</v>
      </c>
      <c r="O953" s="47" t="s">
        <v>6083</v>
      </c>
      <c r="P953" s="53"/>
      <c r="Q953" s="53"/>
      <c r="R953" s="53"/>
      <c r="S953" s="53"/>
      <c r="T953" s="48">
        <v>257.77999999999997</v>
      </c>
      <c r="U953" s="98">
        <v>28</v>
      </c>
      <c r="V953" s="98">
        <v>26.73</v>
      </c>
      <c r="W953" s="98">
        <v>23.509815416916627</v>
      </c>
      <c r="X953" s="98">
        <v>28</v>
      </c>
      <c r="Y953" s="233">
        <v>7</v>
      </c>
      <c r="Z953" s="48">
        <v>3.9</v>
      </c>
      <c r="AA953" s="48">
        <v>3.4</v>
      </c>
      <c r="AB953" s="48">
        <v>3.23</v>
      </c>
      <c r="AC953" s="48">
        <v>0.86609999999999998</v>
      </c>
      <c r="AD953" s="48">
        <v>3.3</v>
      </c>
      <c r="AE953" s="48">
        <v>3.53</v>
      </c>
      <c r="AF953" s="48">
        <f t="shared" ref="AF953:AF971" si="201">IF(AA953=0,AD953,AA953)</f>
        <v>3.4</v>
      </c>
      <c r="AG953" s="49">
        <v>3.65</v>
      </c>
      <c r="AH953" s="98">
        <v>3.9299999999999999E-7</v>
      </c>
      <c r="AI953" s="98">
        <v>2.67E-7</v>
      </c>
      <c r="AJ953" s="483">
        <f t="shared" si="199"/>
        <v>-4.7941737759372254</v>
      </c>
      <c r="AK953" s="483">
        <f>LOG10(AI953*1000/(0.08206*298.15))</f>
        <v>-4.9620550649480766</v>
      </c>
      <c r="AL953" s="483">
        <f t="shared" si="200"/>
        <v>-4.9620550649480766</v>
      </c>
      <c r="AM953" s="483">
        <v>-10.805289999999999</v>
      </c>
      <c r="AN953" s="226">
        <v>-5.23</v>
      </c>
      <c r="AO953" s="484"/>
      <c r="AP953" s="484">
        <v>-1.26</v>
      </c>
      <c r="AQ953" s="226" t="s">
        <v>6311</v>
      </c>
      <c r="AR953" s="226" t="s">
        <v>6311</v>
      </c>
      <c r="AS953" s="224"/>
      <c r="AT953" s="50" t="s">
        <v>266</v>
      </c>
      <c r="AU953" s="48">
        <v>6</v>
      </c>
      <c r="AV953" s="48">
        <v>120</v>
      </c>
      <c r="AW953" s="48">
        <v>114</v>
      </c>
      <c r="AX953" s="48">
        <v>28</v>
      </c>
      <c r="AY953" s="48" t="s">
        <v>8728</v>
      </c>
      <c r="AZ953" s="48" t="s">
        <v>1563</v>
      </c>
      <c r="BA953" s="48">
        <v>32</v>
      </c>
      <c r="BB953" s="47" t="s">
        <v>2485</v>
      </c>
      <c r="BC953" s="47" t="s">
        <v>8726</v>
      </c>
      <c r="BD953" s="47" t="s">
        <v>8374</v>
      </c>
      <c r="BE953" s="48" t="s">
        <v>2449</v>
      </c>
      <c r="BF953" s="48" t="s">
        <v>272</v>
      </c>
      <c r="BG953" s="48" t="s">
        <v>272</v>
      </c>
      <c r="BH953" s="48" t="s">
        <v>2486</v>
      </c>
      <c r="BI953" s="98">
        <v>1.6497919999999998E-3</v>
      </c>
      <c r="BJ953" s="98">
        <v>16.497919999999997</v>
      </c>
      <c r="BK953" s="48"/>
      <c r="BL953" s="487">
        <v>4.1635062348754595</v>
      </c>
      <c r="BM953" s="47" t="s">
        <v>2487</v>
      </c>
      <c r="BN953" s="48"/>
      <c r="BO953" s="48"/>
      <c r="BP953" s="48"/>
      <c r="BQ953" s="48"/>
      <c r="BR953" s="47" t="e">
        <v>#VALUE!</v>
      </c>
      <c r="BS953" s="48"/>
      <c r="BT953" s="48"/>
      <c r="BU953" s="228"/>
      <c r="BV953" s="48"/>
      <c r="BW953" s="48"/>
      <c r="BX953" s="48"/>
      <c r="BY953" s="48"/>
      <c r="BZ953" s="48"/>
      <c r="CA953" s="48"/>
      <c r="CB953" s="48"/>
      <c r="CC953" s="48"/>
      <c r="CD953" s="48"/>
      <c r="CE953" s="48"/>
      <c r="CF953" s="48"/>
      <c r="CG953" s="48"/>
      <c r="CH953" s="48"/>
      <c r="CI953" s="98"/>
      <c r="CJ953" s="98"/>
      <c r="CK953" s="49">
        <f t="shared" si="196"/>
        <v>0.25236552455554762</v>
      </c>
      <c r="CL953" s="229"/>
      <c r="CM953" s="229">
        <v>4.6957347163459173E-2</v>
      </c>
      <c r="CN953" s="229">
        <f>BJ953/(10^CM953)</f>
        <v>14.807162623841325</v>
      </c>
      <c r="CO953" s="47" t="s">
        <v>2488</v>
      </c>
      <c r="CP953" s="500" t="s">
        <v>2489</v>
      </c>
      <c r="CQ953" s="224">
        <v>9.199816145200479E-2</v>
      </c>
      <c r="CR953" s="224">
        <f>10^(CJ953-CQ953)</f>
        <v>0.80909932442289745</v>
      </c>
      <c r="CS953" s="230" t="s">
        <v>539</v>
      </c>
      <c r="CT953" s="230"/>
      <c r="CU953" s="230"/>
      <c r="CV953" s="335">
        <f t="shared" si="197"/>
        <v>1.6971836449685782</v>
      </c>
      <c r="CW953" s="230">
        <f t="shared" si="198"/>
        <v>1</v>
      </c>
      <c r="CX953" s="336"/>
      <c r="CY953" s="230" t="s">
        <v>5921</v>
      </c>
    </row>
    <row r="954" spans="1:103" ht="11.25" customHeight="1" x14ac:dyDescent="0.2">
      <c r="A954" s="72">
        <v>1345</v>
      </c>
      <c r="B954" s="224">
        <v>1854</v>
      </c>
      <c r="C954" s="46" t="s">
        <v>1449</v>
      </c>
      <c r="D954" s="46"/>
      <c r="E954" s="114"/>
      <c r="F954" s="114" t="s">
        <v>1450</v>
      </c>
      <c r="G954" s="225">
        <v>28434006</v>
      </c>
      <c r="H954" s="47" t="s">
        <v>1451</v>
      </c>
      <c r="I954" s="47" t="s">
        <v>1451</v>
      </c>
      <c r="J954" s="47" t="s">
        <v>1452</v>
      </c>
      <c r="K954" s="47" t="s">
        <v>1085</v>
      </c>
      <c r="L954" s="47" t="s">
        <v>617</v>
      </c>
      <c r="M954" s="47" t="s">
        <v>1086</v>
      </c>
      <c r="N954" s="47" t="s">
        <v>6376</v>
      </c>
      <c r="O954" s="47" t="s">
        <v>918</v>
      </c>
      <c r="P954" s="53"/>
      <c r="Q954" s="53"/>
      <c r="R954" s="53"/>
      <c r="S954" s="53"/>
      <c r="T954" s="48">
        <v>302.41000000000003</v>
      </c>
      <c r="U954" s="98">
        <v>4.5999999999999996</v>
      </c>
      <c r="V954" s="98">
        <v>0.98380000000000012</v>
      </c>
      <c r="W954" s="98">
        <v>15.156403132122346</v>
      </c>
      <c r="X954" s="98">
        <v>4.5999999999999996</v>
      </c>
      <c r="Y954" s="233">
        <v>7</v>
      </c>
      <c r="Z954" s="48">
        <v>5.52</v>
      </c>
      <c r="AA954" s="48">
        <v>4.78</v>
      </c>
      <c r="AB954" s="48">
        <v>5.0999999999999996</v>
      </c>
      <c r="AC954" s="48">
        <v>0.78859999999999997</v>
      </c>
      <c r="AD954" s="48">
        <v>5.05</v>
      </c>
      <c r="AE954" s="48">
        <v>4.92</v>
      </c>
      <c r="AF954" s="48">
        <f t="shared" si="201"/>
        <v>4.78</v>
      </c>
      <c r="AG954" s="49">
        <v>3.54</v>
      </c>
      <c r="AH954" s="98">
        <v>6.1200000000000003E-7</v>
      </c>
      <c r="AI954" s="98">
        <v>1.04E-7</v>
      </c>
      <c r="AJ954" s="483">
        <f t="shared" si="199"/>
        <v>-4.6018149041670906</v>
      </c>
      <c r="AK954" s="483">
        <f>LOG10(AI954*1000/(0.08206*298.15))</f>
        <v>-5.3715329870138717</v>
      </c>
      <c r="AL954" s="483">
        <f t="shared" si="200"/>
        <v>-5.3715329870138717</v>
      </c>
      <c r="AM954" s="483">
        <v>-10.080069999999999</v>
      </c>
      <c r="AN954" s="226">
        <v>-6.91</v>
      </c>
      <c r="AO954" s="484"/>
      <c r="AP954" s="484"/>
      <c r="AQ954" s="226" t="s">
        <v>6311</v>
      </c>
      <c r="AR954" s="226" t="s">
        <v>6312</v>
      </c>
      <c r="AS954" s="224"/>
      <c r="AT954" s="50" t="s">
        <v>266</v>
      </c>
      <c r="AU954" s="48">
        <v>6</v>
      </c>
      <c r="AV954" s="48">
        <v>120</v>
      </c>
      <c r="AW954" s="48">
        <v>114</v>
      </c>
      <c r="AX954" s="48">
        <v>28</v>
      </c>
      <c r="AY954" s="48" t="s">
        <v>8728</v>
      </c>
      <c r="AZ954" s="48" t="s">
        <v>1563</v>
      </c>
      <c r="BA954" s="48">
        <v>32</v>
      </c>
      <c r="BB954" s="47" t="s">
        <v>2485</v>
      </c>
      <c r="BC954" s="47" t="s">
        <v>8726</v>
      </c>
      <c r="BD954" s="47" t="s">
        <v>8374</v>
      </c>
      <c r="BE954" s="48" t="s">
        <v>2449</v>
      </c>
      <c r="BF954" s="48" t="s">
        <v>272</v>
      </c>
      <c r="BG954" s="48" t="s">
        <v>272</v>
      </c>
      <c r="BH954" s="48" t="s">
        <v>2486</v>
      </c>
      <c r="BI954" s="98">
        <v>1.935424E-3</v>
      </c>
      <c r="BJ954" s="98">
        <v>19.354240000000001</v>
      </c>
      <c r="BK954" s="48"/>
      <c r="BL954" s="487">
        <v>0.17135001555143914</v>
      </c>
      <c r="BM954" s="47" t="s">
        <v>2487</v>
      </c>
      <c r="BN954" s="48"/>
      <c r="BO954" s="48"/>
      <c r="BP954" s="48"/>
      <c r="BQ954" s="48"/>
      <c r="BR954" s="47" t="e">
        <v>#VALUE!</v>
      </c>
      <c r="BS954" s="48"/>
      <c r="BT954" s="48"/>
      <c r="BU954" s="228"/>
      <c r="BV954" s="48"/>
      <c r="BW954" s="48"/>
      <c r="BX954" s="48"/>
      <c r="BY954" s="48"/>
      <c r="BZ954" s="48"/>
      <c r="CA954" s="48"/>
      <c r="CB954" s="48"/>
      <c r="CC954" s="48"/>
      <c r="CD954" s="48"/>
      <c r="CE954" s="48"/>
      <c r="CF954" s="48"/>
      <c r="CG954" s="48"/>
      <c r="CH954" s="48"/>
      <c r="CI954" s="98"/>
      <c r="CJ954" s="98"/>
      <c r="CK954" s="49">
        <f t="shared" si="196"/>
        <v>8.8533580006985094E-3</v>
      </c>
      <c r="CL954" s="229"/>
      <c r="CM954" s="229">
        <v>-1.4826928943434603</v>
      </c>
      <c r="CN954" s="229">
        <f>BJ954/(10^CM954)</f>
        <v>588.12415461974911</v>
      </c>
      <c r="CO954" s="47" t="s">
        <v>2488</v>
      </c>
      <c r="CP954" s="500" t="s">
        <v>2489</v>
      </c>
      <c r="CQ954" s="224">
        <v>-1.3980140878749376</v>
      </c>
      <c r="CR954" s="224">
        <f>10^(CJ954-CQ954)</f>
        <v>25.004264705420351</v>
      </c>
      <c r="CS954" s="230" t="s">
        <v>539</v>
      </c>
      <c r="CT954" s="230"/>
      <c r="CU954" s="230"/>
      <c r="CV954" s="335">
        <f t="shared" si="197"/>
        <v>0.23767401871631227</v>
      </c>
      <c r="CW954" s="230">
        <f t="shared" si="198"/>
        <v>0</v>
      </c>
      <c r="CX954" s="336"/>
      <c r="CY954" s="230" t="s">
        <v>5921</v>
      </c>
    </row>
    <row r="955" spans="1:103" ht="11.25" customHeight="1" x14ac:dyDescent="0.2">
      <c r="A955" s="72">
        <v>1347</v>
      </c>
      <c r="B955" s="224">
        <v>1829</v>
      </c>
      <c r="C955" s="46" t="s">
        <v>7430</v>
      </c>
      <c r="D955" s="46"/>
      <c r="E955" s="114"/>
      <c r="F955" s="114" t="s">
        <v>3984</v>
      </c>
      <c r="G955" s="225">
        <v>29091212</v>
      </c>
      <c r="H955" s="47" t="s">
        <v>3985</v>
      </c>
      <c r="I955" s="47" t="s">
        <v>8115</v>
      </c>
      <c r="J955" s="47" t="s">
        <v>3986</v>
      </c>
      <c r="K955" s="47" t="s">
        <v>3987</v>
      </c>
      <c r="L955" s="47" t="s">
        <v>6049</v>
      </c>
      <c r="M955" s="47" t="s">
        <v>5960</v>
      </c>
      <c r="N955" s="47"/>
      <c r="O955" s="47"/>
      <c r="P955" s="53"/>
      <c r="Q955" s="53"/>
      <c r="R955" s="53"/>
      <c r="S955" s="53"/>
      <c r="T955" s="48">
        <v>350.29</v>
      </c>
      <c r="U955" s="98">
        <v>1.2999999999999999E-2</v>
      </c>
      <c r="V955" s="98">
        <v>1.9450000000000001</v>
      </c>
      <c r="W955" s="98">
        <v>0.14602517633582363</v>
      </c>
      <c r="X955" s="98">
        <v>1.2999999999999999E-2</v>
      </c>
      <c r="Y955" s="233">
        <v>7</v>
      </c>
      <c r="Z955" s="48">
        <v>4.9400000000000004</v>
      </c>
      <c r="AA955" s="48">
        <v>4.0999999999999996</v>
      </c>
      <c r="AB955" s="48">
        <v>4.4800000000000004</v>
      </c>
      <c r="AC955" s="48">
        <v>0.72829999999999995</v>
      </c>
      <c r="AD955" s="48">
        <v>5.21</v>
      </c>
      <c r="AE955" s="48">
        <v>6.92</v>
      </c>
      <c r="AF955" s="48">
        <f t="shared" si="201"/>
        <v>4.0999999999999996</v>
      </c>
      <c r="AG955" s="49">
        <v>3</v>
      </c>
      <c r="AH955" s="98">
        <v>1.64E-6</v>
      </c>
      <c r="AI955" s="98">
        <v>8.7899999999999997E-7</v>
      </c>
      <c r="AJ955" s="483">
        <f t="shared" si="199"/>
        <v>-4.1737224782649536</v>
      </c>
      <c r="AK955" s="483">
        <f>LOG10(AI955*1000/(0.08206*298.15))</f>
        <v>-4.4445774512388798</v>
      </c>
      <c r="AL955" s="483">
        <f t="shared" si="200"/>
        <v>-4.4445774512388798</v>
      </c>
      <c r="AM955" s="483">
        <v>-12.14371</v>
      </c>
      <c r="AN955" s="226">
        <v>-3.1</v>
      </c>
      <c r="AO955" s="484"/>
      <c r="AP955" s="484">
        <v>-1.4</v>
      </c>
      <c r="AQ955" s="226" t="s">
        <v>6311</v>
      </c>
      <c r="AR955" s="226" t="s">
        <v>6311</v>
      </c>
      <c r="AS955" s="224"/>
      <c r="AT955" s="50" t="s">
        <v>266</v>
      </c>
      <c r="AU955" s="48">
        <v>6</v>
      </c>
      <c r="AV955" s="48">
        <v>120</v>
      </c>
      <c r="AW955" s="48">
        <v>114</v>
      </c>
      <c r="AX955" s="48">
        <v>28</v>
      </c>
      <c r="AY955" s="48" t="s">
        <v>8728</v>
      </c>
      <c r="AZ955" s="48" t="s">
        <v>1563</v>
      </c>
      <c r="BA955" s="48">
        <v>32</v>
      </c>
      <c r="BB955" s="47" t="s">
        <v>2485</v>
      </c>
      <c r="BC955" s="47" t="s">
        <v>8726</v>
      </c>
      <c r="BD955" s="47" t="s">
        <v>8374</v>
      </c>
      <c r="BE955" s="48" t="s">
        <v>2449</v>
      </c>
      <c r="BF955" s="48" t="s">
        <v>272</v>
      </c>
      <c r="BG955" s="48" t="s">
        <v>272</v>
      </c>
      <c r="BH955" s="48" t="s">
        <v>2486</v>
      </c>
      <c r="BI955" s="98">
        <v>2.241856E-3</v>
      </c>
      <c r="BJ955" s="98">
        <v>22.418560000000003</v>
      </c>
      <c r="BK955" s="48"/>
      <c r="BL955" s="487">
        <v>0.65858788793156209</v>
      </c>
      <c r="BM955" s="47" t="s">
        <v>2487</v>
      </c>
      <c r="BN955" s="48"/>
      <c r="BO955" s="48"/>
      <c r="BP955" s="48"/>
      <c r="BQ955" s="48"/>
      <c r="BR955" s="47" t="e">
        <v>#VALUE!</v>
      </c>
      <c r="BS955" s="48"/>
      <c r="BT955" s="48"/>
      <c r="BU955" s="228"/>
      <c r="BV955" s="48"/>
      <c r="BW955" s="48"/>
      <c r="BX955" s="48"/>
      <c r="BY955" s="48"/>
      <c r="BZ955" s="48"/>
      <c r="CA955" s="48"/>
      <c r="CB955" s="48"/>
      <c r="CC955" s="48"/>
      <c r="CD955" s="48"/>
      <c r="CE955" s="48"/>
      <c r="CF955" s="48"/>
      <c r="CG955" s="48"/>
      <c r="CH955" s="48"/>
      <c r="CI955" s="98"/>
      <c r="CJ955" s="98"/>
      <c r="CK955" s="49">
        <f t="shared" si="196"/>
        <v>2.9376904133519816E-2</v>
      </c>
      <c r="CL955" s="229"/>
      <c r="CM955" s="229"/>
      <c r="CN955" s="229"/>
      <c r="CO955" s="47" t="s">
        <v>2488</v>
      </c>
      <c r="CP955" s="500" t="s">
        <v>2489</v>
      </c>
      <c r="CQ955" s="224">
        <v>0.89734159567045446</v>
      </c>
      <c r="CR955" s="224">
        <f>10^(CJ955-CQ955)</f>
        <v>0.12666551823784078</v>
      </c>
      <c r="CS955" s="230" t="s">
        <v>539</v>
      </c>
      <c r="CT955" s="230"/>
      <c r="CU955" s="230"/>
      <c r="CV955" s="335">
        <f t="shared" si="197"/>
        <v>5.7987667361329178E-4</v>
      </c>
      <c r="CW955" s="230">
        <f t="shared" si="198"/>
        <v>0</v>
      </c>
      <c r="CX955" s="336"/>
      <c r="CY955" s="230" t="s">
        <v>5921</v>
      </c>
    </row>
    <row r="956" spans="1:103" ht="11.25" customHeight="1" x14ac:dyDescent="0.2">
      <c r="A956" s="72">
        <v>1348</v>
      </c>
      <c r="B956" s="224">
        <v>1243</v>
      </c>
      <c r="C956" s="46" t="s">
        <v>1379</v>
      </c>
      <c r="D956" s="46"/>
      <c r="E956" s="114"/>
      <c r="F956" s="114" t="s">
        <v>1380</v>
      </c>
      <c r="G956" s="225">
        <v>29232937</v>
      </c>
      <c r="H956" s="47" t="s">
        <v>1381</v>
      </c>
      <c r="I956" s="47" t="s">
        <v>1381</v>
      </c>
      <c r="J956" s="47" t="s">
        <v>1382</v>
      </c>
      <c r="K956" s="47" t="s">
        <v>628</v>
      </c>
      <c r="L956" s="47" t="s">
        <v>617</v>
      </c>
      <c r="M956" s="47" t="s">
        <v>946</v>
      </c>
      <c r="N956" s="47" t="s">
        <v>6376</v>
      </c>
      <c r="O956" s="47" t="s">
        <v>918</v>
      </c>
      <c r="P956" s="53" t="s">
        <v>6178</v>
      </c>
      <c r="Q956" s="53" t="s">
        <v>6176</v>
      </c>
      <c r="R956" s="53" t="s">
        <v>6177</v>
      </c>
      <c r="S956" s="53" t="s">
        <v>6173</v>
      </c>
      <c r="T956" s="48">
        <v>305.33</v>
      </c>
      <c r="U956" s="98">
        <v>8.6</v>
      </c>
      <c r="V956" s="98">
        <v>2.9590000000000001</v>
      </c>
      <c r="W956" s="98">
        <v>7.8481894435281667</v>
      </c>
      <c r="X956" s="98">
        <v>8.6</v>
      </c>
      <c r="Y956" s="233">
        <v>7.03</v>
      </c>
      <c r="Z956" s="48">
        <v>4</v>
      </c>
      <c r="AA956" s="48">
        <v>4.2</v>
      </c>
      <c r="AB956" s="48">
        <v>3.91</v>
      </c>
      <c r="AC956" s="48">
        <v>0.879</v>
      </c>
      <c r="AD956" s="48">
        <v>3.93</v>
      </c>
      <c r="AE956" s="48">
        <v>4</v>
      </c>
      <c r="AF956" s="48">
        <f t="shared" si="201"/>
        <v>4.2</v>
      </c>
      <c r="AG956" s="49">
        <v>3.79</v>
      </c>
      <c r="AH956" s="98">
        <v>2.5299999999999999E-6</v>
      </c>
      <c r="AI956" s="98">
        <v>7.0100000000000004E-7</v>
      </c>
      <c r="AJ956" s="483">
        <f t="shared" si="199"/>
        <v>-3.985445805136834</v>
      </c>
      <c r="AK956" s="483">
        <f>LOG10(AI956*1000/(0.08206*298.15))</f>
        <v>-4.5428483083459934</v>
      </c>
      <c r="AL956" s="483">
        <f t="shared" si="200"/>
        <v>-4.5428483083459934</v>
      </c>
      <c r="AM956" s="483">
        <v>-12.836220000000001</v>
      </c>
      <c r="AN956" s="226">
        <v>-4.0199999999999996</v>
      </c>
      <c r="AO956" s="484"/>
      <c r="AP956" s="484">
        <v>3.74</v>
      </c>
      <c r="AQ956" s="48" t="s">
        <v>6312</v>
      </c>
      <c r="AR956" s="48" t="s">
        <v>6312</v>
      </c>
      <c r="AS956" s="227"/>
      <c r="AT956" s="50" t="s">
        <v>266</v>
      </c>
      <c r="AU956" s="48">
        <v>6</v>
      </c>
      <c r="AV956" s="48">
        <v>120</v>
      </c>
      <c r="AW956" s="48">
        <v>114</v>
      </c>
      <c r="AX956" s="48">
        <v>28</v>
      </c>
      <c r="AY956" s="48" t="s">
        <v>8728</v>
      </c>
      <c r="AZ956" s="48" t="s">
        <v>1563</v>
      </c>
      <c r="BA956" s="48">
        <v>32</v>
      </c>
      <c r="BB956" s="47" t="s">
        <v>2485</v>
      </c>
      <c r="BC956" s="47" t="s">
        <v>8726</v>
      </c>
      <c r="BD956" s="47" t="s">
        <v>8374</v>
      </c>
      <c r="BE956" s="48" t="s">
        <v>2449</v>
      </c>
      <c r="BF956" s="48" t="s">
        <v>272</v>
      </c>
      <c r="BG956" s="48" t="s">
        <v>272</v>
      </c>
      <c r="BH956" s="48" t="s">
        <v>2486</v>
      </c>
      <c r="BI956" s="98">
        <v>1.9541119999999996E-3</v>
      </c>
      <c r="BJ956" s="98">
        <v>19.541119999999999</v>
      </c>
      <c r="BK956" s="48"/>
      <c r="BL956" s="487">
        <v>4.0102318112453954</v>
      </c>
      <c r="BM956" s="47" t="s">
        <v>2487</v>
      </c>
      <c r="BN956" s="48"/>
      <c r="BO956" s="48"/>
      <c r="BP956" s="48"/>
      <c r="BQ956" s="48"/>
      <c r="BR956" s="47" t="e">
        <v>#VALUE!</v>
      </c>
      <c r="BS956" s="48"/>
      <c r="BT956" s="48"/>
      <c r="BU956" s="228">
        <v>1.9541120000000001</v>
      </c>
      <c r="BV956" s="48"/>
      <c r="BW956" s="48"/>
      <c r="BX956" s="48"/>
      <c r="BY956" s="48"/>
      <c r="BZ956" s="48"/>
      <c r="CA956" s="48"/>
      <c r="CB956" s="48"/>
      <c r="CC956" s="48"/>
      <c r="CD956" s="48"/>
      <c r="CE956" s="48"/>
      <c r="CF956" s="48"/>
      <c r="CG956" s="48"/>
      <c r="CH956" s="48"/>
      <c r="CI956" s="98"/>
      <c r="CJ956" s="98"/>
      <c r="CK956" s="49">
        <f t="shared" si="196"/>
        <v>0.20522016195823964</v>
      </c>
      <c r="CL956" s="229"/>
      <c r="CM956" s="229">
        <v>-0.16458032283123869</v>
      </c>
      <c r="CN956" s="229">
        <f>BJ956/(10^CM956)</f>
        <v>28.54498206885107</v>
      </c>
      <c r="CO956" s="47" t="s">
        <v>2488</v>
      </c>
      <c r="CP956" s="500" t="s">
        <v>2489</v>
      </c>
      <c r="CQ956" s="224">
        <v>0.13128634903465097</v>
      </c>
      <c r="CR956" s="224">
        <f>10^(CJ956-CQ956)</f>
        <v>0.73911778221378532</v>
      </c>
      <c r="CS956" s="230" t="s">
        <v>539</v>
      </c>
      <c r="CT956" s="230"/>
      <c r="CU956" s="230"/>
      <c r="CV956" s="335">
        <f t="shared" si="197"/>
        <v>0.44009759931876985</v>
      </c>
      <c r="CW956" s="230">
        <f t="shared" si="198"/>
        <v>0</v>
      </c>
      <c r="CX956" s="336"/>
      <c r="CY956" s="230" t="s">
        <v>5921</v>
      </c>
    </row>
    <row r="957" spans="1:103" ht="11.25" customHeight="1" x14ac:dyDescent="0.2">
      <c r="A957" s="72">
        <v>1349</v>
      </c>
      <c r="B957" s="224">
        <v>1711</v>
      </c>
      <c r="C957" s="46" t="s">
        <v>7431</v>
      </c>
      <c r="D957" s="46"/>
      <c r="E957" s="114"/>
      <c r="F957" s="114" t="s">
        <v>4974</v>
      </c>
      <c r="G957" s="225">
        <v>29590429</v>
      </c>
      <c r="H957" s="47" t="s">
        <v>4975</v>
      </c>
      <c r="I957" s="47" t="s">
        <v>4975</v>
      </c>
      <c r="J957" s="47" t="s">
        <v>4976</v>
      </c>
      <c r="K957" s="47" t="s">
        <v>4977</v>
      </c>
      <c r="L957" s="47"/>
      <c r="M957" s="47"/>
      <c r="N957" s="47"/>
      <c r="O957" s="47"/>
      <c r="P957" s="53" t="s">
        <v>6172</v>
      </c>
      <c r="Q957" s="53" t="s">
        <v>6173</v>
      </c>
      <c r="R957" s="53" t="s">
        <v>6175</v>
      </c>
      <c r="S957" s="53" t="s">
        <v>6182</v>
      </c>
      <c r="T957" s="48">
        <v>184.28</v>
      </c>
      <c r="U957" s="98"/>
      <c r="V957" s="98">
        <v>16.8</v>
      </c>
      <c r="W957" s="98">
        <v>146.37880709499049</v>
      </c>
      <c r="X957" s="98">
        <v>146.37880709499049</v>
      </c>
      <c r="Y957" s="233">
        <v>7</v>
      </c>
      <c r="Z957" s="48">
        <v>4.09</v>
      </c>
      <c r="AA957" s="48"/>
      <c r="AB957" s="48">
        <v>4.07</v>
      </c>
      <c r="AC957" s="48">
        <v>0.89680000000000004</v>
      </c>
      <c r="AD957" s="48">
        <v>4.13</v>
      </c>
      <c r="AE957" s="48">
        <v>4.33</v>
      </c>
      <c r="AF957" s="48">
        <f t="shared" si="201"/>
        <v>4.13</v>
      </c>
      <c r="AG957" s="49">
        <v>3.56</v>
      </c>
      <c r="AH957" s="98">
        <v>6.7199999999999996E-4</v>
      </c>
      <c r="AI957" s="98"/>
      <c r="AJ957" s="483">
        <f t="shared" si="199"/>
        <v>-1.5611970532588266</v>
      </c>
      <c r="AK957" s="483"/>
      <c r="AL957" s="483">
        <f t="shared" si="200"/>
        <v>-1.5611970532588266</v>
      </c>
      <c r="AM957" s="483">
        <v>-4.0838900000000002</v>
      </c>
      <c r="AN957" s="226">
        <v>-1.32</v>
      </c>
      <c r="AO957" s="484"/>
      <c r="AP957" s="484"/>
      <c r="AQ957" s="226" t="s">
        <v>6311</v>
      </c>
      <c r="AR957" s="226" t="s">
        <v>6312</v>
      </c>
      <c r="AS957" s="224"/>
      <c r="AT957" s="50" t="s">
        <v>266</v>
      </c>
      <c r="AU957" s="48">
        <v>6</v>
      </c>
      <c r="AV957" s="48">
        <v>120</v>
      </c>
      <c r="AW957" s="48">
        <v>114</v>
      </c>
      <c r="AX957" s="48">
        <v>28</v>
      </c>
      <c r="AY957" s="48" t="s">
        <v>8728</v>
      </c>
      <c r="AZ957" s="48" t="s">
        <v>1563</v>
      </c>
      <c r="BA957" s="48">
        <v>32</v>
      </c>
      <c r="BB957" s="47" t="s">
        <v>2485</v>
      </c>
      <c r="BC957" s="47" t="s">
        <v>8726</v>
      </c>
      <c r="BD957" s="47" t="s">
        <v>8374</v>
      </c>
      <c r="BE957" s="48" t="s">
        <v>2449</v>
      </c>
      <c r="BF957" s="48" t="s">
        <v>272</v>
      </c>
      <c r="BG957" s="48" t="s">
        <v>272</v>
      </c>
      <c r="BH957" s="48" t="s">
        <v>2486</v>
      </c>
      <c r="BI957" s="98">
        <v>1.179392E-3</v>
      </c>
      <c r="BJ957" s="98">
        <v>11.79392</v>
      </c>
      <c r="BK957" s="48"/>
      <c r="BL957" s="487">
        <v>2.0093204465401686</v>
      </c>
      <c r="BM957" s="47" t="s">
        <v>2487</v>
      </c>
      <c r="BN957" s="48"/>
      <c r="BO957" s="48"/>
      <c r="BP957" s="48"/>
      <c r="BQ957" s="48"/>
      <c r="BR957" s="47" t="e">
        <v>#VALUE!</v>
      </c>
      <c r="BS957" s="48"/>
      <c r="BT957" s="48"/>
      <c r="BU957" s="228"/>
      <c r="BV957" s="48"/>
      <c r="BW957" s="48"/>
      <c r="BX957" s="48"/>
      <c r="BY957" s="48"/>
      <c r="BZ957" s="48"/>
      <c r="CA957" s="48"/>
      <c r="CB957" s="48"/>
      <c r="CC957" s="48"/>
      <c r="CD957" s="48"/>
      <c r="CE957" s="48"/>
      <c r="CF957" s="48"/>
      <c r="CG957" s="48"/>
      <c r="CH957" s="48"/>
      <c r="CI957" s="98"/>
      <c r="CJ957" s="98"/>
      <c r="CK957" s="49">
        <f t="shared" si="196"/>
        <v>0.1703691772150539</v>
      </c>
      <c r="CL957" s="229"/>
      <c r="CM957" s="229"/>
      <c r="CN957" s="229"/>
      <c r="CO957" s="47" t="s">
        <v>2488</v>
      </c>
      <c r="CP957" s="500" t="s">
        <v>2489</v>
      </c>
      <c r="CQ957" s="224" t="s">
        <v>272</v>
      </c>
      <c r="CR957" s="224"/>
      <c r="CS957" s="230" t="s">
        <v>539</v>
      </c>
      <c r="CT957" s="230"/>
      <c r="CU957" s="230"/>
      <c r="CV957" s="335">
        <f t="shared" si="197"/>
        <v>12.41137866756689</v>
      </c>
      <c r="CW957" s="230">
        <f t="shared" si="198"/>
        <v>1</v>
      </c>
      <c r="CX957" s="336"/>
      <c r="CY957" s="230" t="s">
        <v>6351</v>
      </c>
    </row>
    <row r="958" spans="1:103" ht="11.25" customHeight="1" x14ac:dyDescent="0.2">
      <c r="A958" s="72">
        <v>1350</v>
      </c>
      <c r="B958" s="224">
        <v>1438</v>
      </c>
      <c r="C958" s="46" t="s">
        <v>7432</v>
      </c>
      <c r="D958" s="46"/>
      <c r="E958" s="114"/>
      <c r="F958" s="114" t="s">
        <v>4422</v>
      </c>
      <c r="G958" s="225">
        <v>30516871</v>
      </c>
      <c r="H958" s="47" t="s">
        <v>4423</v>
      </c>
      <c r="I958" s="47" t="s">
        <v>8116</v>
      </c>
      <c r="J958" s="47" t="s">
        <v>4424</v>
      </c>
      <c r="K958" s="47" t="s">
        <v>2039</v>
      </c>
      <c r="L958" s="47" t="s">
        <v>279</v>
      </c>
      <c r="M958" s="47" t="s">
        <v>4425</v>
      </c>
      <c r="N958" s="47"/>
      <c r="O958" s="47" t="s">
        <v>281</v>
      </c>
      <c r="P958" s="53"/>
      <c r="Q958" s="53"/>
      <c r="R958" s="53"/>
      <c r="S958" s="53"/>
      <c r="T958" s="48">
        <v>267.24</v>
      </c>
      <c r="U958" s="98">
        <v>20100</v>
      </c>
      <c r="V958" s="98">
        <v>310.89999999999998</v>
      </c>
      <c r="W958" s="98">
        <v>3688.9389087247464</v>
      </c>
      <c r="X958" s="98">
        <v>20100</v>
      </c>
      <c r="Y958" s="233">
        <v>5.7</v>
      </c>
      <c r="Z958" s="48">
        <v>0.23</v>
      </c>
      <c r="AA958" s="48">
        <v>0.05</v>
      </c>
      <c r="AB958" s="48">
        <v>0</v>
      </c>
      <c r="AC958" s="48">
        <v>0.94089999999999996</v>
      </c>
      <c r="AD958" s="48">
        <v>-0.09</v>
      </c>
      <c r="AE958" s="48">
        <v>-0.53</v>
      </c>
      <c r="AF958" s="48">
        <f t="shared" si="201"/>
        <v>0.05</v>
      </c>
      <c r="AG958" s="49">
        <v>-1.03</v>
      </c>
      <c r="AH958" s="98">
        <v>7.9699999999999998E-19</v>
      </c>
      <c r="AI958" s="98"/>
      <c r="AJ958" s="483">
        <f t="shared" si="199"/>
        <v>-16.487108004916539</v>
      </c>
      <c r="AK958" s="483"/>
      <c r="AL958" s="483">
        <f t="shared" si="200"/>
        <v>-16.487108004916539</v>
      </c>
      <c r="AM958" s="483">
        <v>-16.881249999999998</v>
      </c>
      <c r="AN958" s="226">
        <v>-19.100000000000001</v>
      </c>
      <c r="AO958" s="484">
        <v>9.5500000000000007</v>
      </c>
      <c r="AP958" s="484"/>
      <c r="AQ958" s="48" t="s">
        <v>6311</v>
      </c>
      <c r="AR958" s="48" t="s">
        <v>6311</v>
      </c>
      <c r="AS958" s="227"/>
      <c r="AT958" s="50" t="s">
        <v>266</v>
      </c>
      <c r="AU958" s="48">
        <v>6</v>
      </c>
      <c r="AV958" s="48">
        <v>120</v>
      </c>
      <c r="AW958" s="48">
        <v>114</v>
      </c>
      <c r="AX958" s="48">
        <v>28</v>
      </c>
      <c r="AY958" s="48" t="s">
        <v>8728</v>
      </c>
      <c r="AZ958" s="48" t="s">
        <v>1563</v>
      </c>
      <c r="BA958" s="48">
        <v>32</v>
      </c>
      <c r="BB958" s="47" t="s">
        <v>2485</v>
      </c>
      <c r="BC958" s="47" t="s">
        <v>8726</v>
      </c>
      <c r="BD958" s="47" t="s">
        <v>8374</v>
      </c>
      <c r="BE958" s="48" t="s">
        <v>2449</v>
      </c>
      <c r="BF958" s="48" t="s">
        <v>272</v>
      </c>
      <c r="BG958" s="48" t="s">
        <v>272</v>
      </c>
      <c r="BH958" s="48" t="s">
        <v>2486</v>
      </c>
      <c r="BI958" s="98">
        <v>1.710336E-3</v>
      </c>
      <c r="BJ958" s="98">
        <v>17.103360000000002</v>
      </c>
      <c r="BK958" s="48"/>
      <c r="BL958" s="487">
        <v>8533.7214534155028</v>
      </c>
      <c r="BM958" s="47" t="s">
        <v>2487</v>
      </c>
      <c r="BN958" s="48"/>
      <c r="BO958" s="48"/>
      <c r="BP958" s="48"/>
      <c r="BQ958" s="48"/>
      <c r="BR958" s="47" t="e">
        <v>#VALUE!</v>
      </c>
      <c r="BS958" s="48"/>
      <c r="BT958" s="48"/>
      <c r="BU958" s="228"/>
      <c r="BV958" s="48"/>
      <c r="BW958" s="48"/>
      <c r="BX958" s="48"/>
      <c r="BY958" s="48"/>
      <c r="BZ958" s="48"/>
      <c r="CA958" s="48"/>
      <c r="CB958" s="48"/>
      <c r="CC958" s="48"/>
      <c r="CD958" s="48"/>
      <c r="CE958" s="48"/>
      <c r="CF958" s="48"/>
      <c r="CG958" s="48"/>
      <c r="CH958" s="48"/>
      <c r="CI958" s="98"/>
      <c r="CJ958" s="98"/>
      <c r="CK958" s="49">
        <f t="shared" si="196"/>
        <v>498.94999891340075</v>
      </c>
      <c r="CL958" s="229"/>
      <c r="CM958" s="229"/>
      <c r="CN958" s="229"/>
      <c r="CO958" s="47" t="s">
        <v>2488</v>
      </c>
      <c r="CP958" s="500" t="s">
        <v>2489</v>
      </c>
      <c r="CQ958" s="224" t="s">
        <v>272</v>
      </c>
      <c r="CR958" s="224"/>
      <c r="CS958" s="230" t="s">
        <v>539</v>
      </c>
      <c r="CT958" s="230"/>
      <c r="CU958" s="230"/>
      <c r="CV958" s="335">
        <f t="shared" si="197"/>
        <v>1175.2076784912438</v>
      </c>
      <c r="CW958" s="230">
        <f t="shared" si="198"/>
        <v>1</v>
      </c>
      <c r="CX958" s="336"/>
      <c r="CY958" s="230" t="s">
        <v>5921</v>
      </c>
    </row>
    <row r="959" spans="1:103" ht="11.25" customHeight="1" x14ac:dyDescent="0.2">
      <c r="A959" s="72">
        <v>1351</v>
      </c>
      <c r="B959" s="224">
        <v>1017</v>
      </c>
      <c r="C959" s="46" t="s">
        <v>7433</v>
      </c>
      <c r="D959" s="46" t="s">
        <v>8659</v>
      </c>
      <c r="E959" s="114"/>
      <c r="F959" s="114" t="s">
        <v>2908</v>
      </c>
      <c r="G959" s="225">
        <v>30560191</v>
      </c>
      <c r="H959" s="47" t="s">
        <v>2909</v>
      </c>
      <c r="I959" s="47" t="s">
        <v>8117</v>
      </c>
      <c r="J959" s="47" t="s">
        <v>2910</v>
      </c>
      <c r="K959" s="47" t="s">
        <v>2911</v>
      </c>
      <c r="L959" s="47" t="s">
        <v>617</v>
      </c>
      <c r="M959" s="47" t="s">
        <v>946</v>
      </c>
      <c r="N959" s="47" t="s">
        <v>6376</v>
      </c>
      <c r="O959" s="47" t="s">
        <v>918</v>
      </c>
      <c r="P959" s="53"/>
      <c r="Q959" s="53"/>
      <c r="R959" s="53"/>
      <c r="S959" s="53"/>
      <c r="T959" s="48">
        <v>183.17</v>
      </c>
      <c r="U959" s="98">
        <v>818000</v>
      </c>
      <c r="V959" s="98">
        <v>282700</v>
      </c>
      <c r="W959" s="98">
        <v>763579.64970261347</v>
      </c>
      <c r="X959" s="98">
        <v>818000</v>
      </c>
      <c r="Y959" s="233">
        <v>5.21</v>
      </c>
      <c r="Z959" s="48">
        <v>-0.9</v>
      </c>
      <c r="AA959" s="48">
        <v>-0.85</v>
      </c>
      <c r="AB959" s="48">
        <v>-0.36</v>
      </c>
      <c r="AC959" s="48">
        <v>0.76990000000000003</v>
      </c>
      <c r="AD959" s="48">
        <v>-0.53</v>
      </c>
      <c r="AE959" s="48">
        <v>-0.85</v>
      </c>
      <c r="AF959" s="48">
        <f t="shared" si="201"/>
        <v>-0.85</v>
      </c>
      <c r="AG959" s="49">
        <v>2.1</v>
      </c>
      <c r="AH959" s="98">
        <v>2.8099999999999999E-12</v>
      </c>
      <c r="AI959" s="98">
        <v>5.0099999999999999E-13</v>
      </c>
      <c r="AJ959" s="483">
        <f t="shared" si="199"/>
        <v>-9.9398600064075726</v>
      </c>
      <c r="AK959" s="483">
        <f>LOG10(AI959*1000/(0.08206*298.15))</f>
        <v>-10.688728600445407</v>
      </c>
      <c r="AL959" s="483">
        <f t="shared" si="200"/>
        <v>-10.688728600445407</v>
      </c>
      <c r="AM959" s="483">
        <v>-12.834210000000001</v>
      </c>
      <c r="AN959" s="226">
        <v>1.53</v>
      </c>
      <c r="AO959" s="484">
        <v>11</v>
      </c>
      <c r="AP959" s="484">
        <v>-1.6</v>
      </c>
      <c r="AQ959" s="48" t="s">
        <v>6311</v>
      </c>
      <c r="AR959" s="48" t="s">
        <v>6311</v>
      </c>
      <c r="AS959" s="227"/>
      <c r="AT959" s="50" t="s">
        <v>266</v>
      </c>
      <c r="AU959" s="48">
        <v>6</v>
      </c>
      <c r="AV959" s="48">
        <v>120</v>
      </c>
      <c r="AW959" s="48">
        <v>114</v>
      </c>
      <c r="AX959" s="48">
        <v>28</v>
      </c>
      <c r="AY959" s="48" t="s">
        <v>8728</v>
      </c>
      <c r="AZ959" s="48" t="s">
        <v>1563</v>
      </c>
      <c r="BA959" s="48">
        <v>32</v>
      </c>
      <c r="BB959" s="47" t="s">
        <v>2485</v>
      </c>
      <c r="BC959" s="47" t="s">
        <v>8726</v>
      </c>
      <c r="BD959" s="47" t="s">
        <v>8374</v>
      </c>
      <c r="BE959" s="48" t="s">
        <v>2449</v>
      </c>
      <c r="BF959" s="48" t="s">
        <v>272</v>
      </c>
      <c r="BG959" s="48" t="s">
        <v>272</v>
      </c>
      <c r="BH959" s="48" t="s">
        <v>2486</v>
      </c>
      <c r="BI959" s="98">
        <v>1.1722879999999998E-3</v>
      </c>
      <c r="BJ959" s="98">
        <v>11.72288</v>
      </c>
      <c r="BK959" s="48"/>
      <c r="BL959" s="487">
        <v>60526.330564524455</v>
      </c>
      <c r="BM959" s="47" t="s">
        <v>2487</v>
      </c>
      <c r="BN959" s="48"/>
      <c r="BO959" s="48"/>
      <c r="BP959" s="48"/>
      <c r="BQ959" s="48"/>
      <c r="BR959" s="47" t="e">
        <v>#VALUE!</v>
      </c>
      <c r="BS959" s="48"/>
      <c r="BT959" s="48"/>
      <c r="BU959" s="228">
        <v>1.1722879999999998E-3</v>
      </c>
      <c r="BV959" s="48"/>
      <c r="BW959" s="48"/>
      <c r="BX959" s="48"/>
      <c r="BY959" s="48"/>
      <c r="BZ959" s="48"/>
      <c r="CA959" s="48"/>
      <c r="CB959" s="48"/>
      <c r="CC959" s="48"/>
      <c r="CD959" s="48"/>
      <c r="CE959" s="48"/>
      <c r="CF959" s="48"/>
      <c r="CG959" s="48"/>
      <c r="CH959" s="48"/>
      <c r="CI959" s="98"/>
      <c r="CJ959" s="98"/>
      <c r="CK959" s="49">
        <f t="shared" si="196"/>
        <v>5163.0939295228181</v>
      </c>
      <c r="CL959" s="229"/>
      <c r="CM959" s="229"/>
      <c r="CN959" s="229"/>
      <c r="CO959" s="47" t="s">
        <v>2488</v>
      </c>
      <c r="CP959" s="500" t="s">
        <v>2489</v>
      </c>
      <c r="CQ959" s="224">
        <v>2.9733483526043556</v>
      </c>
      <c r="CR959" s="224">
        <f>10^(CJ959-CQ959)</f>
        <v>1.0632897990911576E-3</v>
      </c>
      <c r="CS959" s="230" t="s">
        <v>539</v>
      </c>
      <c r="CT959" s="230"/>
      <c r="CU959" s="230"/>
      <c r="CV959" s="335">
        <f t="shared" si="197"/>
        <v>69778.075012283676</v>
      </c>
      <c r="CW959" s="230">
        <f t="shared" si="198"/>
        <v>1</v>
      </c>
      <c r="CX959" s="336"/>
      <c r="CY959" s="230" t="s">
        <v>5921</v>
      </c>
    </row>
    <row r="960" spans="1:103" ht="11.25" customHeight="1" x14ac:dyDescent="0.2">
      <c r="A960" s="72">
        <v>1354</v>
      </c>
      <c r="B960" s="224">
        <v>1836</v>
      </c>
      <c r="C960" s="46" t="s">
        <v>7434</v>
      </c>
      <c r="D960" s="46" t="s">
        <v>8660</v>
      </c>
      <c r="E960" s="114"/>
      <c r="F960" s="114" t="s">
        <v>4000</v>
      </c>
      <c r="G960" s="225">
        <v>31218834</v>
      </c>
      <c r="H960" s="47" t="s">
        <v>4001</v>
      </c>
      <c r="I960" s="47" t="s">
        <v>4001</v>
      </c>
      <c r="J960" s="47" t="s">
        <v>4002</v>
      </c>
      <c r="K960" s="47" t="s">
        <v>4003</v>
      </c>
      <c r="L960" s="47" t="s">
        <v>617</v>
      </c>
      <c r="M960" s="47" t="s">
        <v>946</v>
      </c>
      <c r="N960" s="47" t="s">
        <v>6376</v>
      </c>
      <c r="O960" s="47" t="s">
        <v>918</v>
      </c>
      <c r="P960" s="53"/>
      <c r="Q960" s="53"/>
      <c r="R960" s="53"/>
      <c r="S960" s="53"/>
      <c r="T960" s="48">
        <v>281.31</v>
      </c>
      <c r="U960" s="98">
        <v>110.00000000000001</v>
      </c>
      <c r="V960" s="98">
        <v>8.609</v>
      </c>
      <c r="W960" s="98">
        <v>1045.1657529732552</v>
      </c>
      <c r="X960" s="98">
        <v>110.00000000000001</v>
      </c>
      <c r="Y960" s="233">
        <v>7.01</v>
      </c>
      <c r="Z960" s="48">
        <v>3.51</v>
      </c>
      <c r="AA960" s="48">
        <v>3.82</v>
      </c>
      <c r="AB960" s="48">
        <v>3.06</v>
      </c>
      <c r="AC960" s="48">
        <v>0.75239999999999996</v>
      </c>
      <c r="AD960" s="48">
        <v>2.63</v>
      </c>
      <c r="AE960" s="48">
        <v>1.61</v>
      </c>
      <c r="AF960" s="48">
        <f t="shared" si="201"/>
        <v>3.82</v>
      </c>
      <c r="AG960" s="49">
        <v>2.64</v>
      </c>
      <c r="AH960" s="98">
        <v>5.8700000000000003E-8</v>
      </c>
      <c r="AI960" s="98">
        <v>4.8100000000000001E-8</v>
      </c>
      <c r="AJ960" s="483">
        <f t="shared" si="199"/>
        <v>-5.6199282250650375</v>
      </c>
      <c r="AK960" s="483">
        <f>LOG10(AI960*1000/(0.08206*298.15))</f>
        <v>-5.7064212499388196</v>
      </c>
      <c r="AL960" s="483">
        <f t="shared" si="200"/>
        <v>-5.7064212499388196</v>
      </c>
      <c r="AM960" s="483">
        <v>-12.019570000000002</v>
      </c>
      <c r="AN960" s="226">
        <v>-3.51</v>
      </c>
      <c r="AO960" s="484"/>
      <c r="AP960" s="484">
        <v>0.94</v>
      </c>
      <c r="AQ960" s="226" t="s">
        <v>6311</v>
      </c>
      <c r="AR960" s="226" t="s">
        <v>6312</v>
      </c>
      <c r="AS960" s="224"/>
      <c r="AT960" s="50" t="s">
        <v>266</v>
      </c>
      <c r="AU960" s="48">
        <v>6</v>
      </c>
      <c r="AV960" s="48">
        <v>120</v>
      </c>
      <c r="AW960" s="48">
        <v>114</v>
      </c>
      <c r="AX960" s="48">
        <v>28</v>
      </c>
      <c r="AY960" s="48" t="s">
        <v>8728</v>
      </c>
      <c r="AZ960" s="48" t="s">
        <v>1563</v>
      </c>
      <c r="BA960" s="48">
        <v>32</v>
      </c>
      <c r="BB960" s="47" t="s">
        <v>2485</v>
      </c>
      <c r="BC960" s="47" t="s">
        <v>8726</v>
      </c>
      <c r="BD960" s="47" t="s">
        <v>8374</v>
      </c>
      <c r="BE960" s="48" t="s">
        <v>2449</v>
      </c>
      <c r="BF960" s="48" t="s">
        <v>272</v>
      </c>
      <c r="BG960" s="48" t="s">
        <v>272</v>
      </c>
      <c r="BH960" s="48" t="s">
        <v>2486</v>
      </c>
      <c r="BI960" s="98">
        <v>1.8003839999999999E-3</v>
      </c>
      <c r="BJ960" s="98">
        <v>18.00384</v>
      </c>
      <c r="BK960" s="48"/>
      <c r="BL960" s="487">
        <v>10.177806052365417</v>
      </c>
      <c r="BM960" s="47" t="s">
        <v>2487</v>
      </c>
      <c r="BN960" s="48"/>
      <c r="BO960" s="48"/>
      <c r="BP960" s="48"/>
      <c r="BQ960" s="48"/>
      <c r="BR960" s="47" t="e">
        <v>#VALUE!</v>
      </c>
      <c r="BS960" s="48"/>
      <c r="BT960" s="48"/>
      <c r="BU960" s="228"/>
      <c r="BV960" s="48"/>
      <c r="BW960" s="48"/>
      <c r="BX960" s="48"/>
      <c r="BY960" s="48"/>
      <c r="BZ960" s="48"/>
      <c r="CA960" s="48"/>
      <c r="CB960" s="48"/>
      <c r="CC960" s="48"/>
      <c r="CD960" s="48"/>
      <c r="CE960" s="48"/>
      <c r="CF960" s="48"/>
      <c r="CG960" s="48"/>
      <c r="CH960" s="48"/>
      <c r="CI960" s="98"/>
      <c r="CJ960" s="98"/>
      <c r="CK960" s="49">
        <f t="shared" si="196"/>
        <v>0.56531306945437287</v>
      </c>
      <c r="CL960" s="229"/>
      <c r="CM960" s="229"/>
      <c r="CN960" s="229"/>
      <c r="CO960" s="47" t="s">
        <v>2488</v>
      </c>
      <c r="CP960" s="500" t="s">
        <v>2489</v>
      </c>
      <c r="CQ960" s="224">
        <v>-0.16809411479658826</v>
      </c>
      <c r="CR960" s="224">
        <f>10^(CJ960-CQ960)</f>
        <v>1.4726315979145088</v>
      </c>
      <c r="CS960" s="230" t="s">
        <v>539</v>
      </c>
      <c r="CT960" s="230"/>
      <c r="CU960" s="230"/>
      <c r="CV960" s="335">
        <f t="shared" si="197"/>
        <v>6.1098076854715444</v>
      </c>
      <c r="CW960" s="230">
        <f t="shared" si="198"/>
        <v>1</v>
      </c>
      <c r="CX960" s="336"/>
      <c r="CY960" s="230" t="s">
        <v>5921</v>
      </c>
    </row>
    <row r="961" spans="1:103" ht="11.25" customHeight="1" x14ac:dyDescent="0.2">
      <c r="A961" s="72">
        <v>1355</v>
      </c>
      <c r="B961" s="224">
        <v>1828</v>
      </c>
      <c r="C961" s="46" t="s">
        <v>7435</v>
      </c>
      <c r="D961" s="46"/>
      <c r="E961" s="114"/>
      <c r="F961" s="114" t="s">
        <v>5242</v>
      </c>
      <c r="G961" s="225">
        <v>32809168</v>
      </c>
      <c r="H961" s="47" t="s">
        <v>5243</v>
      </c>
      <c r="I961" s="47" t="s">
        <v>8118</v>
      </c>
      <c r="J961" s="47" t="s">
        <v>5244</v>
      </c>
      <c r="K961" s="47" t="s">
        <v>1314</v>
      </c>
      <c r="L961" s="47"/>
      <c r="M961" s="47"/>
      <c r="N961" s="47"/>
      <c r="O961" s="47"/>
      <c r="P961" s="53"/>
      <c r="Q961" s="53"/>
      <c r="R961" s="53"/>
      <c r="S961" s="53"/>
      <c r="T961" s="48">
        <v>284.14</v>
      </c>
      <c r="U961" s="98">
        <v>4.5</v>
      </c>
      <c r="V961" s="98">
        <v>35.53</v>
      </c>
      <c r="W961" s="98">
        <v>3.7456946969341698</v>
      </c>
      <c r="X961" s="98">
        <v>4.5</v>
      </c>
      <c r="Y961" s="233">
        <v>7</v>
      </c>
      <c r="Z961" s="48">
        <v>2.59</v>
      </c>
      <c r="AA961" s="48">
        <v>3.08</v>
      </c>
      <c r="AB961" s="48">
        <v>3.01</v>
      </c>
      <c r="AC961" s="48">
        <v>0.71870000000000001</v>
      </c>
      <c r="AD961" s="48">
        <v>2.89</v>
      </c>
      <c r="AE961" s="48">
        <v>2.67</v>
      </c>
      <c r="AF961" s="48">
        <f t="shared" si="201"/>
        <v>3.08</v>
      </c>
      <c r="AG961" s="49">
        <v>2.86</v>
      </c>
      <c r="AH961" s="98">
        <v>7.3900000000000007E-8</v>
      </c>
      <c r="AI961" s="98">
        <v>1.1600000000000001E-5</v>
      </c>
      <c r="AJ961" s="483">
        <f t="shared" si="199"/>
        <v>-5.5199218879178265</v>
      </c>
      <c r="AK961" s="483">
        <f>LOG10(AI961*1000/(0.08206*298.15))</f>
        <v>-3.3241083370857334</v>
      </c>
      <c r="AL961" s="483">
        <f t="shared" si="200"/>
        <v>-3.3241083370857334</v>
      </c>
      <c r="AM961" s="483">
        <v>-11.37046</v>
      </c>
      <c r="AN961" s="226">
        <v>-6.18</v>
      </c>
      <c r="AO961" s="484"/>
      <c r="AP961" s="484">
        <v>-2.67</v>
      </c>
      <c r="AQ961" s="226" t="s">
        <v>6311</v>
      </c>
      <c r="AR961" s="226" t="s">
        <v>6311</v>
      </c>
      <c r="AS961" s="224"/>
      <c r="AT961" s="50" t="s">
        <v>266</v>
      </c>
      <c r="AU961" s="48">
        <v>6</v>
      </c>
      <c r="AV961" s="48">
        <v>120</v>
      </c>
      <c r="AW961" s="48">
        <v>114</v>
      </c>
      <c r="AX961" s="48">
        <v>28</v>
      </c>
      <c r="AY961" s="48" t="s">
        <v>8728</v>
      </c>
      <c r="AZ961" s="48" t="s">
        <v>1563</v>
      </c>
      <c r="BA961" s="48">
        <v>32</v>
      </c>
      <c r="BB961" s="47" t="s">
        <v>2485</v>
      </c>
      <c r="BC961" s="47" t="s">
        <v>8726</v>
      </c>
      <c r="BD961" s="47" t="s">
        <v>8374</v>
      </c>
      <c r="BE961" s="48" t="s">
        <v>2449</v>
      </c>
      <c r="BF961" s="48" t="s">
        <v>272</v>
      </c>
      <c r="BG961" s="48" t="s">
        <v>272</v>
      </c>
      <c r="BH961" s="48" t="s">
        <v>2486</v>
      </c>
      <c r="BI961" s="98">
        <v>1.8184959999999997E-3</v>
      </c>
      <c r="BJ961" s="98">
        <v>18.18496</v>
      </c>
      <c r="BK961" s="48"/>
      <c r="BL961" s="487">
        <v>68.905418715220392</v>
      </c>
      <c r="BM961" s="47" t="s">
        <v>2487</v>
      </c>
      <c r="BN961" s="48"/>
      <c r="BO961" s="48"/>
      <c r="BP961" s="48"/>
      <c r="BQ961" s="48"/>
      <c r="BR961" s="47" t="e">
        <v>#VALUE!</v>
      </c>
      <c r="BS961" s="48"/>
      <c r="BT961" s="48"/>
      <c r="BU961" s="228"/>
      <c r="BV961" s="48"/>
      <c r="BW961" s="48"/>
      <c r="BX961" s="48"/>
      <c r="BY961" s="48"/>
      <c r="BZ961" s="48"/>
      <c r="CA961" s="48"/>
      <c r="CB961" s="48"/>
      <c r="CC961" s="48"/>
      <c r="CD961" s="48"/>
      <c r="CE961" s="48"/>
      <c r="CF961" s="48"/>
      <c r="CG961" s="48"/>
      <c r="CH961" s="48"/>
      <c r="CI961" s="98"/>
      <c r="CJ961" s="98"/>
      <c r="CK961" s="49">
        <f t="shared" si="196"/>
        <v>3.7891432653808637</v>
      </c>
      <c r="CL961" s="229"/>
      <c r="CM961" s="229"/>
      <c r="CN961" s="229"/>
      <c r="CO961" s="47" t="s">
        <v>2488</v>
      </c>
      <c r="CP961" s="500" t="s">
        <v>2489</v>
      </c>
      <c r="CQ961" s="224" t="s">
        <v>272</v>
      </c>
      <c r="CR961" s="224"/>
      <c r="CS961" s="230" t="s">
        <v>539</v>
      </c>
      <c r="CT961" s="230"/>
      <c r="CU961" s="230"/>
      <c r="CV961" s="335">
        <f t="shared" si="197"/>
        <v>0.24745723938903358</v>
      </c>
      <c r="CW961" s="230">
        <f t="shared" si="198"/>
        <v>0</v>
      </c>
      <c r="CX961" s="336"/>
      <c r="CY961" s="230" t="s">
        <v>5921</v>
      </c>
    </row>
    <row r="962" spans="1:103" ht="11.25" customHeight="1" x14ac:dyDescent="0.2">
      <c r="A962" s="72">
        <v>1356</v>
      </c>
      <c r="B962" s="224">
        <v>1467</v>
      </c>
      <c r="C962" s="46" t="s">
        <v>7436</v>
      </c>
      <c r="D962" s="46"/>
      <c r="E962" s="114"/>
      <c r="F962" s="114" t="s">
        <v>4505</v>
      </c>
      <c r="G962" s="225">
        <v>33228443</v>
      </c>
      <c r="H962" s="47" t="s">
        <v>4506</v>
      </c>
      <c r="I962" s="47" t="s">
        <v>4506</v>
      </c>
      <c r="J962" s="47" t="s">
        <v>4507</v>
      </c>
      <c r="K962" s="47" t="s">
        <v>1573</v>
      </c>
      <c r="L962" s="47"/>
      <c r="M962" s="47"/>
      <c r="N962" s="47"/>
      <c r="O962" s="47"/>
      <c r="P962" s="53" t="s">
        <v>6184</v>
      </c>
      <c r="Q962" s="53" t="s">
        <v>6179</v>
      </c>
      <c r="R962" s="53" t="s">
        <v>6185</v>
      </c>
      <c r="S962" s="53" t="s">
        <v>6176</v>
      </c>
      <c r="T962" s="48">
        <v>163.26</v>
      </c>
      <c r="U962" s="98"/>
      <c r="V962" s="98">
        <v>84.19</v>
      </c>
      <c r="W962" s="98">
        <v>170.95420675478971</v>
      </c>
      <c r="X962" s="98">
        <v>170.95420675478971</v>
      </c>
      <c r="Y962" s="233">
        <v>8.06</v>
      </c>
      <c r="Z962" s="48">
        <v>3.59</v>
      </c>
      <c r="AA962" s="48">
        <v>3.39</v>
      </c>
      <c r="AB962" s="48">
        <v>3.5</v>
      </c>
      <c r="AC962" s="48">
        <v>0.89149999999999996</v>
      </c>
      <c r="AD962" s="48">
        <v>3.51</v>
      </c>
      <c r="AE962" s="48">
        <v>3.52</v>
      </c>
      <c r="AF962" s="48">
        <f t="shared" si="201"/>
        <v>3.39</v>
      </c>
      <c r="AG962" s="49">
        <v>3.26</v>
      </c>
      <c r="AH962" s="98">
        <v>6.5300000000000002E-6</v>
      </c>
      <c r="AI962" s="98"/>
      <c r="AJ962" s="483">
        <f t="shared" si="199"/>
        <v>-3.5736531450375777</v>
      </c>
      <c r="AK962" s="483"/>
      <c r="AL962" s="483">
        <f t="shared" si="200"/>
        <v>-3.5736531450375777</v>
      </c>
      <c r="AM962" s="483">
        <v>-6.7227000000000006</v>
      </c>
      <c r="AN962" s="226">
        <v>-3.42</v>
      </c>
      <c r="AO962" s="484"/>
      <c r="AP962" s="484">
        <v>5.0999999999999996</v>
      </c>
      <c r="AQ962" s="48" t="s">
        <v>6311</v>
      </c>
      <c r="AR962" s="48" t="s">
        <v>6311</v>
      </c>
      <c r="AS962" s="227"/>
      <c r="AT962" s="50" t="s">
        <v>266</v>
      </c>
      <c r="AU962" s="48">
        <v>6</v>
      </c>
      <c r="AV962" s="48">
        <v>120</v>
      </c>
      <c r="AW962" s="48">
        <v>114</v>
      </c>
      <c r="AX962" s="48">
        <v>28</v>
      </c>
      <c r="AY962" s="48" t="s">
        <v>8728</v>
      </c>
      <c r="AZ962" s="48" t="s">
        <v>1563</v>
      </c>
      <c r="BA962" s="48">
        <v>32</v>
      </c>
      <c r="BB962" s="47" t="s">
        <v>2485</v>
      </c>
      <c r="BC962" s="47" t="s">
        <v>8726</v>
      </c>
      <c r="BD962" s="47" t="s">
        <v>8374</v>
      </c>
      <c r="BE962" s="48" t="s">
        <v>2449</v>
      </c>
      <c r="BF962" s="48" t="s">
        <v>272</v>
      </c>
      <c r="BG962" s="48" t="s">
        <v>272</v>
      </c>
      <c r="BH962" s="48" t="s">
        <v>2486</v>
      </c>
      <c r="BI962" s="98">
        <v>1.0448639999999999E-3</v>
      </c>
      <c r="BJ962" s="98">
        <v>10.448639999999999</v>
      </c>
      <c r="BK962" s="48"/>
      <c r="BL962" s="487">
        <v>5.0061146565513566</v>
      </c>
      <c r="BM962" s="47" t="s">
        <v>2487</v>
      </c>
      <c r="BN962" s="48"/>
      <c r="BO962" s="48"/>
      <c r="BP962" s="48"/>
      <c r="BQ962" s="48"/>
      <c r="BR962" s="47" t="e">
        <v>#VALUE!</v>
      </c>
      <c r="BS962" s="48"/>
      <c r="BT962" s="48"/>
      <c r="BU962" s="228"/>
      <c r="BV962" s="48"/>
      <c r="BW962" s="48"/>
      <c r="BX962" s="48"/>
      <c r="BY962" s="48"/>
      <c r="BZ962" s="48"/>
      <c r="CA962" s="48"/>
      <c r="CB962" s="48"/>
      <c r="CC962" s="48"/>
      <c r="CD962" s="48"/>
      <c r="CE962" s="48"/>
      <c r="CF962" s="48"/>
      <c r="CG962" s="48"/>
      <c r="CH962" s="48"/>
      <c r="CI962" s="98"/>
      <c r="CJ962" s="98"/>
      <c r="CK962" s="49">
        <f t="shared" si="196"/>
        <v>0.47911638802287732</v>
      </c>
      <c r="CL962" s="229"/>
      <c r="CM962" s="229"/>
      <c r="CN962" s="229"/>
      <c r="CO962" s="47" t="s">
        <v>2488</v>
      </c>
      <c r="CP962" s="500" t="s">
        <v>2489</v>
      </c>
      <c r="CQ962" s="224" t="s">
        <v>272</v>
      </c>
      <c r="CR962" s="224"/>
      <c r="CS962" s="230" t="s">
        <v>539</v>
      </c>
      <c r="CT962" s="230"/>
      <c r="CU962" s="230"/>
      <c r="CV962" s="335">
        <f t="shared" si="197"/>
        <v>16.361383563295291</v>
      </c>
      <c r="CW962" s="230">
        <f t="shared" si="198"/>
        <v>1</v>
      </c>
      <c r="CX962" s="336"/>
      <c r="CY962" s="230" t="s">
        <v>5921</v>
      </c>
    </row>
    <row r="963" spans="1:103" ht="11.25" customHeight="1" x14ac:dyDescent="0.2">
      <c r="A963" s="72">
        <v>1357</v>
      </c>
      <c r="B963" s="224">
        <v>1042</v>
      </c>
      <c r="C963" s="46" t="s">
        <v>1007</v>
      </c>
      <c r="D963" s="46"/>
      <c r="E963" s="114"/>
      <c r="F963" s="114" t="s">
        <v>1008</v>
      </c>
      <c r="G963" s="225">
        <v>33629479</v>
      </c>
      <c r="H963" s="47" t="s">
        <v>1009</v>
      </c>
      <c r="I963" s="47" t="s">
        <v>8119</v>
      </c>
      <c r="J963" s="47" t="s">
        <v>1010</v>
      </c>
      <c r="K963" s="47" t="s">
        <v>1011</v>
      </c>
      <c r="L963" s="47" t="s">
        <v>5959</v>
      </c>
      <c r="M963" s="47" t="s">
        <v>6077</v>
      </c>
      <c r="N963" s="47" t="s">
        <v>6088</v>
      </c>
      <c r="O963" s="47" t="s">
        <v>6083</v>
      </c>
      <c r="P963" s="53"/>
      <c r="Q963" s="53"/>
      <c r="R963" s="53"/>
      <c r="S963" s="53"/>
      <c r="T963" s="48">
        <v>295.33</v>
      </c>
      <c r="U963" s="98">
        <v>1</v>
      </c>
      <c r="V963" s="98">
        <v>0.8054</v>
      </c>
      <c r="W963" s="98">
        <v>1.0478703824235172</v>
      </c>
      <c r="X963" s="98">
        <v>1</v>
      </c>
      <c r="Y963" s="233">
        <v>7</v>
      </c>
      <c r="Z963" s="48">
        <v>5.15</v>
      </c>
      <c r="AA963" s="48">
        <v>4.93</v>
      </c>
      <c r="AB963" s="48">
        <v>4.62</v>
      </c>
      <c r="AC963" s="48">
        <v>0.79</v>
      </c>
      <c r="AD963" s="48">
        <v>4.99</v>
      </c>
      <c r="AE963" s="48">
        <v>5.8</v>
      </c>
      <c r="AF963" s="48">
        <f t="shared" si="201"/>
        <v>4.93</v>
      </c>
      <c r="AG963" s="49">
        <v>3.79</v>
      </c>
      <c r="AH963" s="98">
        <v>2.3199999999999998E-6</v>
      </c>
      <c r="AI963" s="98">
        <v>4.9400000000000001E-6</v>
      </c>
      <c r="AJ963" s="483">
        <f t="shared" si="199"/>
        <v>-4.0230783414217521</v>
      </c>
      <c r="AK963" s="483">
        <f>LOG10(AI963*1000/(0.08206*298.15))</f>
        <v>-3.6948393773890049</v>
      </c>
      <c r="AL963" s="483">
        <f t="shared" si="200"/>
        <v>-3.6948393773890049</v>
      </c>
      <c r="AM963" s="483">
        <v>-9.5759299999999996</v>
      </c>
      <c r="AN963" s="226">
        <v>-2.4900000000000002</v>
      </c>
      <c r="AO963" s="484"/>
      <c r="AP963" s="484">
        <v>-3.5</v>
      </c>
      <c r="AQ963" s="48" t="s">
        <v>6311</v>
      </c>
      <c r="AR963" s="48" t="s">
        <v>6311</v>
      </c>
      <c r="AS963" s="227"/>
      <c r="AT963" s="50" t="s">
        <v>266</v>
      </c>
      <c r="AU963" s="48">
        <v>6</v>
      </c>
      <c r="AV963" s="48">
        <v>120</v>
      </c>
      <c r="AW963" s="48">
        <v>114</v>
      </c>
      <c r="AX963" s="48">
        <v>28</v>
      </c>
      <c r="AY963" s="48" t="s">
        <v>8728</v>
      </c>
      <c r="AZ963" s="48" t="s">
        <v>1563</v>
      </c>
      <c r="BA963" s="48">
        <v>32</v>
      </c>
      <c r="BB963" s="47" t="s">
        <v>2485</v>
      </c>
      <c r="BC963" s="47" t="s">
        <v>8726</v>
      </c>
      <c r="BD963" s="47" t="s">
        <v>8374</v>
      </c>
      <c r="BE963" s="48" t="s">
        <v>2449</v>
      </c>
      <c r="BF963" s="48" t="s">
        <v>272</v>
      </c>
      <c r="BG963" s="48" t="s">
        <v>272</v>
      </c>
      <c r="BH963" s="48" t="s">
        <v>2486</v>
      </c>
      <c r="BI963" s="98">
        <v>1.8901119999999998E-3</v>
      </c>
      <c r="BJ963" s="98">
        <v>18.901119999999999</v>
      </c>
      <c r="BK963" s="48"/>
      <c r="BL963" s="487">
        <v>0.35966035233692056</v>
      </c>
      <c r="BM963" s="47" t="s">
        <v>2487</v>
      </c>
      <c r="BN963" s="48"/>
      <c r="BO963" s="48"/>
      <c r="BP963" s="48"/>
      <c r="BQ963" s="48"/>
      <c r="BR963" s="47" t="e">
        <v>#VALUE!</v>
      </c>
      <c r="BS963" s="48"/>
      <c r="BT963" s="48"/>
      <c r="BU963" s="228">
        <v>1.8901119999999997E-2</v>
      </c>
      <c r="BV963" s="48"/>
      <c r="BW963" s="48"/>
      <c r="BX963" s="48"/>
      <c r="BY963" s="48"/>
      <c r="BZ963" s="48"/>
      <c r="CA963" s="48"/>
      <c r="CB963" s="48"/>
      <c r="CC963" s="48"/>
      <c r="CD963" s="48"/>
      <c r="CE963" s="48"/>
      <c r="CF963" s="48"/>
      <c r="CG963" s="48"/>
      <c r="CH963" s="48"/>
      <c r="CI963" s="98"/>
      <c r="CJ963" s="98"/>
      <c r="CK963" s="49">
        <f t="shared" si="196"/>
        <v>1.902852065575588E-2</v>
      </c>
      <c r="CL963" s="229"/>
      <c r="CM963" s="229">
        <v>-0.43179827593300546</v>
      </c>
      <c r="CN963" s="229">
        <f>BJ963/(10^CM963)</f>
        <v>51.084108108108161</v>
      </c>
      <c r="CO963" s="47" t="s">
        <v>2488</v>
      </c>
      <c r="CP963" s="500" t="s">
        <v>2489</v>
      </c>
      <c r="CQ963" s="224">
        <v>-0.21589913796650245</v>
      </c>
      <c r="CR963" s="224">
        <f>10^(CJ963-CQ963)</f>
        <v>1.6439898730535727</v>
      </c>
      <c r="CS963" s="230" t="s">
        <v>539</v>
      </c>
      <c r="CT963" s="230"/>
      <c r="CU963" s="230"/>
      <c r="CV963" s="335">
        <f t="shared" si="197"/>
        <v>5.2906917685301189E-2</v>
      </c>
      <c r="CW963" s="230">
        <f t="shared" si="198"/>
        <v>0</v>
      </c>
      <c r="CX963" s="336"/>
      <c r="CY963" s="230" t="s">
        <v>5921</v>
      </c>
    </row>
    <row r="964" spans="1:103" ht="11.25" customHeight="1" x14ac:dyDescent="0.2">
      <c r="A964" s="72">
        <v>1358</v>
      </c>
      <c r="B964" s="224">
        <v>1696</v>
      </c>
      <c r="C964" s="46" t="s">
        <v>7437</v>
      </c>
      <c r="D964" s="46"/>
      <c r="E964" s="114"/>
      <c r="F964" s="114" t="s">
        <v>4949</v>
      </c>
      <c r="G964" s="225">
        <v>33703081</v>
      </c>
      <c r="H964" s="47" t="s">
        <v>4950</v>
      </c>
      <c r="I964" s="47" t="s">
        <v>4950</v>
      </c>
      <c r="J964" s="47" t="s">
        <v>4951</v>
      </c>
      <c r="K964" s="47" t="s">
        <v>357</v>
      </c>
      <c r="L964" s="47"/>
      <c r="M964" s="47"/>
      <c r="N964" s="47"/>
      <c r="O964" s="47"/>
      <c r="P964" s="53"/>
      <c r="Q964" s="53"/>
      <c r="R964" s="53"/>
      <c r="S964" s="53"/>
      <c r="T964" s="48">
        <v>398.62</v>
      </c>
      <c r="U964" s="98"/>
      <c r="V964" s="98">
        <v>3.9780000000000002E-5</v>
      </c>
      <c r="W964" s="98">
        <v>0.12318535653085652</v>
      </c>
      <c r="X964" s="98">
        <v>0.12318535653085652</v>
      </c>
      <c r="Y964" s="233">
        <v>7</v>
      </c>
      <c r="Z964" s="48">
        <v>9.24</v>
      </c>
      <c r="AA964" s="48"/>
      <c r="AB964" s="48">
        <v>9.56</v>
      </c>
      <c r="AC964" s="48">
        <v>0.59419999999999995</v>
      </c>
      <c r="AD964" s="48">
        <v>9.5500000000000007</v>
      </c>
      <c r="AE964" s="48">
        <v>9.5299999999999994</v>
      </c>
      <c r="AF964" s="48">
        <f t="shared" si="201"/>
        <v>9.5500000000000007</v>
      </c>
      <c r="AG964" s="49">
        <v>-1.5</v>
      </c>
      <c r="AH964" s="98">
        <v>9.09E-5</v>
      </c>
      <c r="AI964" s="98"/>
      <c r="AJ964" s="483">
        <f t="shared" si="199"/>
        <v>-2.4300024430906846</v>
      </c>
      <c r="AK964" s="483"/>
      <c r="AL964" s="483">
        <f t="shared" si="200"/>
        <v>-2.4300024430906846</v>
      </c>
      <c r="AM964" s="483">
        <v>-8.06846</v>
      </c>
      <c r="AN964" s="226">
        <v>-8.86</v>
      </c>
      <c r="AO964" s="484"/>
      <c r="AP964" s="484"/>
      <c r="AQ964" s="226" t="s">
        <v>6311</v>
      </c>
      <c r="AR964" s="226" t="s">
        <v>6312</v>
      </c>
      <c r="AS964" s="224"/>
      <c r="AT964" s="50" t="s">
        <v>266</v>
      </c>
      <c r="AU964" s="48">
        <v>6</v>
      </c>
      <c r="AV964" s="48">
        <v>120</v>
      </c>
      <c r="AW964" s="48">
        <v>114</v>
      </c>
      <c r="AX964" s="48">
        <v>28</v>
      </c>
      <c r="AY964" s="48" t="s">
        <v>8728</v>
      </c>
      <c r="AZ964" s="48" t="s">
        <v>1563</v>
      </c>
      <c r="BA964" s="48">
        <v>32</v>
      </c>
      <c r="BB964" s="47" t="s">
        <v>2485</v>
      </c>
      <c r="BC964" s="47" t="s">
        <v>8726</v>
      </c>
      <c r="BD964" s="47" t="s">
        <v>8374</v>
      </c>
      <c r="BE964" s="48" t="s">
        <v>2449</v>
      </c>
      <c r="BF964" s="48" t="s">
        <v>272</v>
      </c>
      <c r="BG964" s="48" t="s">
        <v>272</v>
      </c>
      <c r="BH964" s="48" t="s">
        <v>2486</v>
      </c>
      <c r="BI964" s="98">
        <v>2.5511679999999999E-3</v>
      </c>
      <c r="BJ964" s="98">
        <v>25.511680000000002</v>
      </c>
      <c r="BK964" s="48"/>
      <c r="BL964" s="487">
        <v>1.0301846744567666E-4</v>
      </c>
      <c r="BM964" s="47" t="s">
        <v>2487</v>
      </c>
      <c r="BN964" s="48"/>
      <c r="BO964" s="48"/>
      <c r="BP964" s="48"/>
      <c r="BQ964" s="48"/>
      <c r="BR964" s="47"/>
      <c r="BS964" s="48"/>
      <c r="BT964" s="48"/>
      <c r="BU964" s="228"/>
      <c r="BV964" s="48"/>
      <c r="BW964" s="48"/>
      <c r="BX964" s="48"/>
      <c r="BY964" s="48"/>
      <c r="BZ964" s="48"/>
      <c r="CA964" s="48"/>
      <c r="CB964" s="48"/>
      <c r="CC964" s="48"/>
      <c r="CD964" s="48"/>
      <c r="CE964" s="48"/>
      <c r="CF964" s="48"/>
      <c r="CG964" s="48"/>
      <c r="CH964" s="48"/>
      <c r="CI964" s="52"/>
      <c r="CJ964" s="98"/>
      <c r="CK964" s="49">
        <f t="shared" si="196"/>
        <v>4.0380902961183524E-6</v>
      </c>
      <c r="CL964" s="229"/>
      <c r="CM964" s="229"/>
      <c r="CN964" s="229"/>
      <c r="CO964" s="47" t="s">
        <v>2488</v>
      </c>
      <c r="CP964" s="500" t="s">
        <v>2489</v>
      </c>
      <c r="CQ964" s="224" t="s">
        <v>272</v>
      </c>
      <c r="CR964" s="224"/>
      <c r="CS964" s="230" t="s">
        <v>539</v>
      </c>
      <c r="CT964" s="230"/>
      <c r="CU964" s="230"/>
      <c r="CV964" s="335">
        <f t="shared" si="197"/>
        <v>4.8285866133024758E-3</v>
      </c>
      <c r="CW964" s="230">
        <f t="shared" si="198"/>
        <v>0</v>
      </c>
      <c r="CX964" s="336"/>
      <c r="CY964" s="230" t="s">
        <v>6351</v>
      </c>
    </row>
    <row r="965" spans="1:103" ht="11.25" customHeight="1" x14ac:dyDescent="0.2">
      <c r="A965" s="72">
        <v>1359</v>
      </c>
      <c r="B965" s="224">
        <v>1170</v>
      </c>
      <c r="C965" s="46" t="s">
        <v>7438</v>
      </c>
      <c r="D965" s="46" t="s">
        <v>8661</v>
      </c>
      <c r="E965" s="114"/>
      <c r="F965" s="114" t="s">
        <v>3228</v>
      </c>
      <c r="G965" s="225">
        <v>33820530</v>
      </c>
      <c r="H965" s="47" t="s">
        <v>3229</v>
      </c>
      <c r="I965" s="47" t="s">
        <v>8120</v>
      </c>
      <c r="J965" s="47" t="s">
        <v>3230</v>
      </c>
      <c r="K965" s="47" t="s">
        <v>1011</v>
      </c>
      <c r="L965" s="47" t="s">
        <v>6025</v>
      </c>
      <c r="M965" s="47" t="s">
        <v>6088</v>
      </c>
      <c r="N965" s="47" t="s">
        <v>6088</v>
      </c>
      <c r="O965" s="47" t="s">
        <v>6083</v>
      </c>
      <c r="P965" s="53"/>
      <c r="Q965" s="53"/>
      <c r="R965" s="53"/>
      <c r="S965" s="53"/>
      <c r="T965" s="48">
        <v>309.36</v>
      </c>
      <c r="U965" s="98">
        <v>0.11</v>
      </c>
      <c r="V965" s="98">
        <v>0.1196</v>
      </c>
      <c r="W965" s="98">
        <v>0.79517763935737451</v>
      </c>
      <c r="X965" s="98">
        <v>0.11</v>
      </c>
      <c r="Y965" s="233">
        <v>7</v>
      </c>
      <c r="Z965" s="48">
        <v>5.8</v>
      </c>
      <c r="AA965" s="48"/>
      <c r="AB965" s="48">
        <v>4.97</v>
      </c>
      <c r="AC965" s="48">
        <v>0.78890000000000005</v>
      </c>
      <c r="AD965" s="48">
        <v>5.07</v>
      </c>
      <c r="AE965" s="48">
        <v>5.3</v>
      </c>
      <c r="AF965" s="48">
        <f t="shared" si="201"/>
        <v>5.07</v>
      </c>
      <c r="AG965" s="49">
        <v>4.22</v>
      </c>
      <c r="AH965" s="98">
        <v>4.74E-5</v>
      </c>
      <c r="AI965" s="98">
        <v>1.11E-4</v>
      </c>
      <c r="AJ965" s="483">
        <f t="shared" si="199"/>
        <v>-2.7127879846385667</v>
      </c>
      <c r="AK965" s="483">
        <f>LOG10(AI965*1000/(0.08206*298.15))</f>
        <v>-2.3432433475259944</v>
      </c>
      <c r="AL965" s="483">
        <f t="shared" si="200"/>
        <v>-2.3432433475259944</v>
      </c>
      <c r="AM965" s="483">
        <v>-11.056109999999999</v>
      </c>
      <c r="AN965" s="226">
        <v>-3.43</v>
      </c>
      <c r="AO965" s="484"/>
      <c r="AP965" s="484">
        <v>1.27</v>
      </c>
      <c r="AQ965" s="48" t="s">
        <v>6311</v>
      </c>
      <c r="AR965" s="48" t="s">
        <v>6311</v>
      </c>
      <c r="AS965" s="227"/>
      <c r="AT965" s="50" t="s">
        <v>266</v>
      </c>
      <c r="AU965" s="48">
        <v>6</v>
      </c>
      <c r="AV965" s="48">
        <v>120</v>
      </c>
      <c r="AW965" s="48">
        <v>114</v>
      </c>
      <c r="AX965" s="48">
        <v>28</v>
      </c>
      <c r="AY965" s="48" t="s">
        <v>8728</v>
      </c>
      <c r="AZ965" s="48" t="s">
        <v>1563</v>
      </c>
      <c r="BA965" s="48">
        <v>32</v>
      </c>
      <c r="BB965" s="47" t="s">
        <v>2485</v>
      </c>
      <c r="BC965" s="47" t="s">
        <v>8726</v>
      </c>
      <c r="BD965" s="47" t="s">
        <v>8374</v>
      </c>
      <c r="BE965" s="48" t="s">
        <v>2449</v>
      </c>
      <c r="BF965" s="48" t="s">
        <v>272</v>
      </c>
      <c r="BG965" s="48" t="s">
        <v>272</v>
      </c>
      <c r="BH965" s="48" t="s">
        <v>2486</v>
      </c>
      <c r="BI965" s="98">
        <v>1.9799040000000002E-3</v>
      </c>
      <c r="BJ965" s="98">
        <v>19.799040000000002</v>
      </c>
      <c r="BK965" s="48"/>
      <c r="BL965" s="487">
        <v>9.8239051131186611E-2</v>
      </c>
      <c r="BM965" s="47" t="s">
        <v>2487</v>
      </c>
      <c r="BN965" s="48"/>
      <c r="BO965" s="48"/>
      <c r="BP965" s="48"/>
      <c r="BQ965" s="48"/>
      <c r="BR965" s="47" t="e">
        <v>#VALUE!</v>
      </c>
      <c r="BS965" s="48"/>
      <c r="BT965" s="48"/>
      <c r="BU965" s="228">
        <v>19.799040000000002</v>
      </c>
      <c r="BV965" s="48"/>
      <c r="BW965" s="48"/>
      <c r="BX965" s="48"/>
      <c r="BY965" s="48"/>
      <c r="BZ965" s="48"/>
      <c r="CA965" s="48"/>
      <c r="CB965" s="48"/>
      <c r="CC965" s="48"/>
      <c r="CD965" s="48"/>
      <c r="CE965" s="48"/>
      <c r="CF965" s="48"/>
      <c r="CG965" s="48"/>
      <c r="CH965" s="48"/>
      <c r="CI965" s="98"/>
      <c r="CJ965" s="98"/>
      <c r="CK965" s="49">
        <f t="shared" si="196"/>
        <v>4.9618088114972547E-3</v>
      </c>
      <c r="CL965" s="229"/>
      <c r="CM965" s="229"/>
      <c r="CN965" s="229"/>
      <c r="CO965" s="47" t="s">
        <v>2488</v>
      </c>
      <c r="CP965" s="500" t="s">
        <v>2489</v>
      </c>
      <c r="CQ965" s="224">
        <v>-0.10654225791653506</v>
      </c>
      <c r="CR965" s="224">
        <f>10^(CJ965-CQ965)</f>
        <v>1.2780335593112317</v>
      </c>
      <c r="CS965" s="230" t="s">
        <v>539</v>
      </c>
      <c r="CT965" s="230"/>
      <c r="CU965" s="230"/>
      <c r="CV965" s="335">
        <f t="shared" si="197"/>
        <v>5.5558249288854408E-3</v>
      </c>
      <c r="CW965" s="230">
        <f t="shared" si="198"/>
        <v>0</v>
      </c>
      <c r="CX965" s="336"/>
      <c r="CY965" s="230" t="s">
        <v>5921</v>
      </c>
    </row>
    <row r="966" spans="1:103" ht="11.25" customHeight="1" x14ac:dyDescent="0.2">
      <c r="A966" s="72">
        <v>1361</v>
      </c>
      <c r="B966" s="224">
        <v>1885</v>
      </c>
      <c r="C966" s="46" t="s">
        <v>7439</v>
      </c>
      <c r="D966" s="46" t="s">
        <v>8662</v>
      </c>
      <c r="E966" s="114"/>
      <c r="F966" s="114" t="s">
        <v>4028</v>
      </c>
      <c r="G966" s="225">
        <v>34014181</v>
      </c>
      <c r="H966" s="47" t="s">
        <v>4029</v>
      </c>
      <c r="I966" s="47" t="s">
        <v>4029</v>
      </c>
      <c r="J966" s="47" t="s">
        <v>4030</v>
      </c>
      <c r="K966" s="47" t="s">
        <v>1292</v>
      </c>
      <c r="L966" s="47" t="s">
        <v>6056</v>
      </c>
      <c r="M966" s="47" t="s">
        <v>6082</v>
      </c>
      <c r="N966" s="47" t="s">
        <v>6082</v>
      </c>
      <c r="O966" s="47" t="s">
        <v>6083</v>
      </c>
      <c r="P966" s="53"/>
      <c r="Q966" s="53"/>
      <c r="R966" s="53"/>
      <c r="S966" s="53"/>
      <c r="T966" s="48">
        <v>228.32</v>
      </c>
      <c r="U966" s="98">
        <v>2500</v>
      </c>
      <c r="V966" s="98">
        <v>919.9</v>
      </c>
      <c r="W966" s="98">
        <v>2130.8062195796897</v>
      </c>
      <c r="X966" s="98">
        <v>2500</v>
      </c>
      <c r="Y966" s="233">
        <v>7.17</v>
      </c>
      <c r="Z966" s="48">
        <v>1.78</v>
      </c>
      <c r="AA966" s="48">
        <v>1.79</v>
      </c>
      <c r="AB966" s="48">
        <v>1.71</v>
      </c>
      <c r="AC966" s="48">
        <v>0.75580000000000003</v>
      </c>
      <c r="AD966" s="48">
        <v>1.73</v>
      </c>
      <c r="AE966" s="48">
        <v>1.79</v>
      </c>
      <c r="AF966" s="48">
        <f t="shared" si="201"/>
        <v>1.79</v>
      </c>
      <c r="AG966" s="49">
        <v>2.62</v>
      </c>
      <c r="AH966" s="98">
        <v>6.7699999999999996E-12</v>
      </c>
      <c r="AI966" s="98">
        <v>1.2E-10</v>
      </c>
      <c r="AJ966" s="483">
        <f t="shared" si="199"/>
        <v>-9.5579776576275073</v>
      </c>
      <c r="AK966" s="483">
        <f>LOG10(AI966*1000/(0.08206*298.15))</f>
        <v>-8.3093850802650273</v>
      </c>
      <c r="AL966" s="483">
        <f t="shared" si="200"/>
        <v>-8.3093850802650273</v>
      </c>
      <c r="AM966" s="483">
        <v>-11.597460000000002</v>
      </c>
      <c r="AN966" s="226">
        <v>-9.6199999999999992</v>
      </c>
      <c r="AO966" s="484">
        <v>13.36</v>
      </c>
      <c r="AP966" s="484">
        <v>2.13</v>
      </c>
      <c r="AQ966" s="226" t="s">
        <v>6311</v>
      </c>
      <c r="AR966" s="226" t="s">
        <v>6311</v>
      </c>
      <c r="AS966" s="224"/>
      <c r="AT966" s="50" t="s">
        <v>266</v>
      </c>
      <c r="AU966" s="48">
        <v>6</v>
      </c>
      <c r="AV966" s="48">
        <v>120</v>
      </c>
      <c r="AW966" s="48">
        <v>114</v>
      </c>
      <c r="AX966" s="48">
        <v>28</v>
      </c>
      <c r="AY966" s="48" t="s">
        <v>8728</v>
      </c>
      <c r="AZ966" s="48" t="s">
        <v>1563</v>
      </c>
      <c r="BA966" s="48">
        <v>32</v>
      </c>
      <c r="BB966" s="47" t="s">
        <v>2485</v>
      </c>
      <c r="BC966" s="47" t="s">
        <v>8726</v>
      </c>
      <c r="BD966" s="47" t="s">
        <v>8374</v>
      </c>
      <c r="BE966" s="48" t="s">
        <v>2449</v>
      </c>
      <c r="BF966" s="48" t="s">
        <v>272</v>
      </c>
      <c r="BG966" s="48" t="s">
        <v>272</v>
      </c>
      <c r="BH966" s="48" t="s">
        <v>2486</v>
      </c>
      <c r="BI966" s="98">
        <v>1.4612479999999998E-3</v>
      </c>
      <c r="BJ966" s="98">
        <v>14.61248</v>
      </c>
      <c r="BK966" s="48"/>
      <c r="BL966" s="487">
        <v>295.61465194168443</v>
      </c>
      <c r="BM966" s="47" t="s">
        <v>2487</v>
      </c>
      <c r="BN966" s="48"/>
      <c r="BO966" s="48"/>
      <c r="BP966" s="48"/>
      <c r="BQ966" s="48"/>
      <c r="BR966" s="47" t="e">
        <v>#VALUE!</v>
      </c>
      <c r="BS966" s="48"/>
      <c r="BT966" s="48"/>
      <c r="BU966" s="228"/>
      <c r="BV966" s="48"/>
      <c r="BW966" s="48"/>
      <c r="BX966" s="48"/>
      <c r="BY966" s="48"/>
      <c r="BZ966" s="48"/>
      <c r="CA966" s="48"/>
      <c r="CB966" s="48"/>
      <c r="CC966" s="48"/>
      <c r="CD966" s="48"/>
      <c r="CE966" s="48"/>
      <c r="CF966" s="48"/>
      <c r="CG966" s="48"/>
      <c r="CH966" s="48"/>
      <c r="CI966" s="98"/>
      <c r="CJ966" s="98"/>
      <c r="CK966" s="49">
        <f t="shared" si="196"/>
        <v>20.230286162354673</v>
      </c>
      <c r="CL966" s="229"/>
      <c r="CM966" s="229"/>
      <c r="CN966" s="229"/>
      <c r="CO966" s="47" t="s">
        <v>2488</v>
      </c>
      <c r="CP966" s="500" t="s">
        <v>2489</v>
      </c>
      <c r="CQ966" s="224">
        <v>2.0903209513649159</v>
      </c>
      <c r="CR966" s="224">
        <f>10^(CJ966-CQ966)</f>
        <v>8.12230041829109E-3</v>
      </c>
      <c r="CS966" s="230" t="s">
        <v>539</v>
      </c>
      <c r="CT966" s="230"/>
      <c r="CU966" s="230"/>
      <c r="CV966" s="335">
        <f t="shared" si="197"/>
        <v>171.08663279607569</v>
      </c>
      <c r="CW966" s="230">
        <f t="shared" si="198"/>
        <v>1</v>
      </c>
      <c r="CX966" s="336"/>
      <c r="CY966" s="230" t="s">
        <v>5921</v>
      </c>
    </row>
    <row r="967" spans="1:103" ht="11.25" customHeight="1" x14ac:dyDescent="0.2">
      <c r="A967" s="72">
        <v>1362</v>
      </c>
      <c r="B967" s="224">
        <v>1256</v>
      </c>
      <c r="C967" s="46" t="s">
        <v>7440</v>
      </c>
      <c r="D967" s="46"/>
      <c r="E967" s="114"/>
      <c r="F967" s="114" t="s">
        <v>3453</v>
      </c>
      <c r="G967" s="225">
        <v>34590948</v>
      </c>
      <c r="H967" s="47" t="s">
        <v>3454</v>
      </c>
      <c r="I967" s="47" t="s">
        <v>3454</v>
      </c>
      <c r="J967" s="47"/>
      <c r="K967" s="47" t="s">
        <v>426</v>
      </c>
      <c r="L967" s="47"/>
      <c r="M967" s="47"/>
      <c r="N967" s="47"/>
      <c r="O967" s="47"/>
      <c r="P967" s="53"/>
      <c r="Q967" s="53"/>
      <c r="R967" s="53"/>
      <c r="S967" s="53"/>
      <c r="T967" s="48">
        <v>148.19999999999999</v>
      </c>
      <c r="U967" s="98">
        <v>1000000</v>
      </c>
      <c r="V967" s="98">
        <v>493600</v>
      </c>
      <c r="W967" s="98">
        <v>347414.71043041244</v>
      </c>
      <c r="X967" s="98">
        <v>1000000</v>
      </c>
      <c r="Y967" s="233">
        <v>6.87</v>
      </c>
      <c r="Z967" s="48">
        <v>-0.35</v>
      </c>
      <c r="AA967" s="48"/>
      <c r="AB967" s="48">
        <v>0.21</v>
      </c>
      <c r="AC967" s="48">
        <v>0.85880000000000001</v>
      </c>
      <c r="AD967" s="48">
        <v>0.04</v>
      </c>
      <c r="AE967" s="48">
        <v>-0.46</v>
      </c>
      <c r="AF967" s="48">
        <f t="shared" si="201"/>
        <v>0.04</v>
      </c>
      <c r="AG967" s="49">
        <v>0.04</v>
      </c>
      <c r="AH967" s="98">
        <v>1.15E-9</v>
      </c>
      <c r="AI967" s="98"/>
      <c r="AJ967" s="483">
        <f t="shared" si="199"/>
        <v>-7.3278684859590397</v>
      </c>
      <c r="AK967" s="483"/>
      <c r="AL967" s="483">
        <f t="shared" si="200"/>
        <v>-7.3278684859590397</v>
      </c>
      <c r="AM967" s="483">
        <v>-7.1010800000000005</v>
      </c>
      <c r="AN967" s="226"/>
      <c r="AO967" s="484">
        <v>14.43</v>
      </c>
      <c r="AP967" s="484"/>
      <c r="AQ967" s="48" t="s">
        <v>6311</v>
      </c>
      <c r="AR967" s="48" t="s">
        <v>6311</v>
      </c>
      <c r="AS967" s="227"/>
      <c r="AT967" s="50" t="s">
        <v>266</v>
      </c>
      <c r="AU967" s="48">
        <v>6</v>
      </c>
      <c r="AV967" s="48">
        <v>120</v>
      </c>
      <c r="AW967" s="48">
        <v>114</v>
      </c>
      <c r="AX967" s="48">
        <v>28</v>
      </c>
      <c r="AY967" s="48" t="s">
        <v>8728</v>
      </c>
      <c r="AZ967" s="48" t="s">
        <v>1563</v>
      </c>
      <c r="BA967" s="48">
        <v>32</v>
      </c>
      <c r="BB967" s="47" t="s">
        <v>2485</v>
      </c>
      <c r="BC967" s="47" t="s">
        <v>8726</v>
      </c>
      <c r="BD967" s="47" t="s">
        <v>8374</v>
      </c>
      <c r="BE967" s="48" t="s">
        <v>2449</v>
      </c>
      <c r="BF967" s="48" t="s">
        <v>272</v>
      </c>
      <c r="BG967" s="48" t="s">
        <v>272</v>
      </c>
      <c r="BH967" s="48" t="s">
        <v>2486</v>
      </c>
      <c r="BI967" s="98">
        <v>9.4847999999999992E-4</v>
      </c>
      <c r="BJ967" s="98">
        <v>9.4847999999999999</v>
      </c>
      <c r="BK967" s="48"/>
      <c r="BL967" s="487">
        <v>15703.020716628722</v>
      </c>
      <c r="BM967" s="47" t="s">
        <v>2487</v>
      </c>
      <c r="BN967" s="48"/>
      <c r="BO967" s="48"/>
      <c r="BP967" s="48"/>
      <c r="BQ967" s="48"/>
      <c r="BR967" s="47" t="e">
        <v>#VALUE!</v>
      </c>
      <c r="BS967" s="48"/>
      <c r="BT967" s="48"/>
      <c r="BU967" s="228">
        <v>9.4847999999999992E-4</v>
      </c>
      <c r="BV967" s="48"/>
      <c r="BW967" s="48"/>
      <c r="BX967" s="48"/>
      <c r="BY967" s="48"/>
      <c r="BZ967" s="48"/>
      <c r="CA967" s="48"/>
      <c r="CB967" s="48"/>
      <c r="CC967" s="48"/>
      <c r="CD967" s="48"/>
      <c r="CE967" s="48"/>
      <c r="CF967" s="48"/>
      <c r="CG967" s="48"/>
      <c r="CH967" s="48"/>
      <c r="CI967" s="98"/>
      <c r="CJ967" s="98"/>
      <c r="CK967" s="49">
        <f t="shared" si="196"/>
        <v>1655.5985067295801</v>
      </c>
      <c r="CL967" s="229"/>
      <c r="CM967" s="229"/>
      <c r="CN967" s="229"/>
      <c r="CO967" s="47" t="s">
        <v>2488</v>
      </c>
      <c r="CP967" s="500" t="s">
        <v>2489</v>
      </c>
      <c r="CQ967" s="224" t="s">
        <v>272</v>
      </c>
      <c r="CR967" s="224"/>
      <c r="CS967" s="230" t="s">
        <v>539</v>
      </c>
      <c r="CT967" s="230"/>
      <c r="CU967" s="230"/>
      <c r="CV967" s="335">
        <f t="shared" si="197"/>
        <v>105431.84885290149</v>
      </c>
      <c r="CW967" s="230">
        <f t="shared" si="198"/>
        <v>1</v>
      </c>
      <c r="CX967" s="336"/>
      <c r="CY967" s="230" t="s">
        <v>6351</v>
      </c>
    </row>
    <row r="968" spans="1:103" ht="11.25" customHeight="1" x14ac:dyDescent="0.2">
      <c r="A968" s="72">
        <v>1363</v>
      </c>
      <c r="B968" s="224">
        <v>1536</v>
      </c>
      <c r="C968" s="46" t="s">
        <v>7441</v>
      </c>
      <c r="D968" s="46"/>
      <c r="E968" s="114"/>
      <c r="F968" s="114" t="s">
        <v>4646</v>
      </c>
      <c r="G968" s="225">
        <v>35256850</v>
      </c>
      <c r="H968" s="47" t="s">
        <v>4647</v>
      </c>
      <c r="I968" s="47" t="s">
        <v>4647</v>
      </c>
      <c r="J968" s="47" t="s">
        <v>4648</v>
      </c>
      <c r="K968" s="47" t="s">
        <v>471</v>
      </c>
      <c r="L968" s="51"/>
      <c r="M968" s="47"/>
      <c r="N968" s="47"/>
      <c r="O968" s="47"/>
      <c r="P968" s="53"/>
      <c r="Q968" s="53"/>
      <c r="R968" s="53"/>
      <c r="S968" s="53"/>
      <c r="T968" s="48">
        <v>233.35</v>
      </c>
      <c r="U968" s="98">
        <v>790</v>
      </c>
      <c r="V968" s="98">
        <v>80.02</v>
      </c>
      <c r="W968" s="98">
        <v>642.69926792396075</v>
      </c>
      <c r="X968" s="98">
        <v>790</v>
      </c>
      <c r="Y968" s="233">
        <v>7</v>
      </c>
      <c r="Z968" s="48">
        <v>3.49</v>
      </c>
      <c r="AA968" s="48">
        <v>3</v>
      </c>
      <c r="AB968" s="48">
        <v>3.77</v>
      </c>
      <c r="AC968" s="48">
        <v>0.78239999999999998</v>
      </c>
      <c r="AD968" s="48">
        <v>3.57</v>
      </c>
      <c r="AE968" s="48">
        <v>3.14</v>
      </c>
      <c r="AF968" s="48">
        <f t="shared" si="201"/>
        <v>3</v>
      </c>
      <c r="AG968" s="49">
        <v>3.22</v>
      </c>
      <c r="AH968" s="98">
        <v>1.7900000000000001E-8</v>
      </c>
      <c r="AI968" s="98">
        <v>2.6E-7</v>
      </c>
      <c r="AJ968" s="483">
        <f t="shared" si="199"/>
        <v>-6.1357132953327582</v>
      </c>
      <c r="AK968" s="483">
        <f>LOG10(AI968*1000/(0.08206*298.15))</f>
        <v>-4.9735929783418342</v>
      </c>
      <c r="AL968" s="483">
        <f t="shared" si="200"/>
        <v>-4.9735929783418342</v>
      </c>
      <c r="AM968" s="483">
        <v>-9.1560299999999994</v>
      </c>
      <c r="AN968" s="226">
        <v>-6.59</v>
      </c>
      <c r="AO968" s="484"/>
      <c r="AP968" s="484">
        <v>-0.5</v>
      </c>
      <c r="AQ968" s="48" t="s">
        <v>6311</v>
      </c>
      <c r="AR968" s="48" t="s">
        <v>6311</v>
      </c>
      <c r="AS968" s="227"/>
      <c r="AT968" s="50" t="s">
        <v>266</v>
      </c>
      <c r="AU968" s="48">
        <v>6</v>
      </c>
      <c r="AV968" s="48">
        <v>120</v>
      </c>
      <c r="AW968" s="48">
        <v>114</v>
      </c>
      <c r="AX968" s="48">
        <v>28</v>
      </c>
      <c r="AY968" s="48" t="s">
        <v>8728</v>
      </c>
      <c r="AZ968" s="48" t="s">
        <v>1563</v>
      </c>
      <c r="BA968" s="48">
        <v>32</v>
      </c>
      <c r="BB968" s="47" t="s">
        <v>2485</v>
      </c>
      <c r="BC968" s="47" t="s">
        <v>8726</v>
      </c>
      <c r="BD968" s="47" t="s">
        <v>8374</v>
      </c>
      <c r="BE968" s="48" t="s">
        <v>2449</v>
      </c>
      <c r="BF968" s="48" t="s">
        <v>272</v>
      </c>
      <c r="BG968" s="48" t="s">
        <v>272</v>
      </c>
      <c r="BH968" s="48" t="s">
        <v>2486</v>
      </c>
      <c r="BI968" s="98">
        <v>1.49344E-3</v>
      </c>
      <c r="BJ968" s="98">
        <v>14.9344</v>
      </c>
      <c r="BK968" s="48"/>
      <c r="BL968" s="487">
        <v>8.7991111803257649</v>
      </c>
      <c r="BM968" s="47" t="s">
        <v>2487</v>
      </c>
      <c r="BN968" s="48"/>
      <c r="BO968" s="48"/>
      <c r="BP968" s="48"/>
      <c r="BQ968" s="48"/>
      <c r="BR968" s="47" t="e">
        <v>#VALUE!</v>
      </c>
      <c r="BS968" s="48"/>
      <c r="BT968" s="48"/>
      <c r="BU968" s="228"/>
      <c r="BV968" s="48"/>
      <c r="BW968" s="48"/>
      <c r="BX968" s="48"/>
      <c r="BY968" s="48"/>
      <c r="BZ968" s="48"/>
      <c r="CA968" s="48"/>
      <c r="CB968" s="48"/>
      <c r="CC968" s="48"/>
      <c r="CD968" s="48"/>
      <c r="CE968" s="48"/>
      <c r="CF968" s="48"/>
      <c r="CG968" s="48"/>
      <c r="CH968" s="48"/>
      <c r="CI968" s="98"/>
      <c r="CJ968" s="98"/>
      <c r="CK968" s="49">
        <f t="shared" si="196"/>
        <v>0.58918411053177666</v>
      </c>
      <c r="CL968" s="229"/>
      <c r="CM968" s="229"/>
      <c r="CN968" s="229"/>
      <c r="CO968" s="47" t="s">
        <v>2488</v>
      </c>
      <c r="CP968" s="500" t="s">
        <v>2489</v>
      </c>
      <c r="CQ968" s="224" t="s">
        <v>272</v>
      </c>
      <c r="CR968" s="224"/>
      <c r="CS968" s="230" t="s">
        <v>539</v>
      </c>
      <c r="CT968" s="230"/>
      <c r="CU968" s="230"/>
      <c r="CV968" s="335">
        <f t="shared" si="197"/>
        <v>52.898007285193913</v>
      </c>
      <c r="CW968" s="230">
        <f t="shared" si="198"/>
        <v>1</v>
      </c>
      <c r="CX968" s="336"/>
      <c r="CY968" s="230" t="s">
        <v>5921</v>
      </c>
    </row>
    <row r="969" spans="1:103" ht="11.25" customHeight="1" x14ac:dyDescent="0.2">
      <c r="A969" s="72">
        <v>1364</v>
      </c>
      <c r="B969" s="224">
        <v>1509</v>
      </c>
      <c r="C969" s="46" t="s">
        <v>941</v>
      </c>
      <c r="D969" s="46"/>
      <c r="E969" s="114"/>
      <c r="F969" s="114" t="s">
        <v>942</v>
      </c>
      <c r="G969" s="225">
        <v>35575963</v>
      </c>
      <c r="H969" s="47" t="s">
        <v>943</v>
      </c>
      <c r="I969" s="47" t="s">
        <v>8121</v>
      </c>
      <c r="J969" s="47" t="s">
        <v>944</v>
      </c>
      <c r="K969" s="47" t="s">
        <v>945</v>
      </c>
      <c r="L969" s="47" t="s">
        <v>617</v>
      </c>
      <c r="M969" s="47" t="s">
        <v>946</v>
      </c>
      <c r="N969" s="47"/>
      <c r="O969" s="47" t="s">
        <v>918</v>
      </c>
      <c r="P969" s="53"/>
      <c r="Q969" s="53"/>
      <c r="R969" s="53"/>
      <c r="S969" s="53"/>
      <c r="T969" s="48">
        <v>324.68</v>
      </c>
      <c r="U969" s="98">
        <v>1100</v>
      </c>
      <c r="V969" s="98">
        <v>1115</v>
      </c>
      <c r="W969" s="98">
        <v>2520.3191382700356</v>
      </c>
      <c r="X969" s="98">
        <v>1100</v>
      </c>
      <c r="Y969" s="233">
        <v>7.01</v>
      </c>
      <c r="Z969" s="48">
        <v>1</v>
      </c>
      <c r="AA969" s="48">
        <v>1.05</v>
      </c>
      <c r="AB969" s="48">
        <v>1.73</v>
      </c>
      <c r="AC969" s="48">
        <v>0.75849999999999995</v>
      </c>
      <c r="AD969" s="48">
        <v>1.52</v>
      </c>
      <c r="AE969" s="48">
        <v>0.82</v>
      </c>
      <c r="AF969" s="48">
        <f t="shared" si="201"/>
        <v>1.05</v>
      </c>
      <c r="AG969" s="49">
        <v>1.8</v>
      </c>
      <c r="AH969" s="98">
        <v>6.3300000000000003E-13</v>
      </c>
      <c r="AI969" s="98">
        <v>1.43E-11</v>
      </c>
      <c r="AJ969" s="483">
        <f t="shared" si="199"/>
        <v>-10.587162616295297</v>
      </c>
      <c r="AK969" s="483">
        <f>LOG10(AI969*1000/(0.08206*298.15))</f>
        <v>-9.2332302888475901</v>
      </c>
      <c r="AL969" s="483">
        <f t="shared" si="200"/>
        <v>-9.2332302888475901</v>
      </c>
      <c r="AM969" s="483">
        <v>-17.02599</v>
      </c>
      <c r="AN969" s="226">
        <v>-11.6</v>
      </c>
      <c r="AO969" s="484"/>
      <c r="AP969" s="484">
        <v>0.94</v>
      </c>
      <c r="AQ969" s="48" t="s">
        <v>6314</v>
      </c>
      <c r="AR969" s="48" t="s">
        <v>6312</v>
      </c>
      <c r="AS969" s="227"/>
      <c r="AT969" s="50" t="s">
        <v>266</v>
      </c>
      <c r="AU969" s="48">
        <v>6</v>
      </c>
      <c r="AV969" s="48">
        <v>120</v>
      </c>
      <c r="AW969" s="48">
        <v>114</v>
      </c>
      <c r="AX969" s="48">
        <v>28</v>
      </c>
      <c r="AY969" s="48" t="s">
        <v>8728</v>
      </c>
      <c r="AZ969" s="48" t="s">
        <v>1563</v>
      </c>
      <c r="BA969" s="48">
        <v>32</v>
      </c>
      <c r="BB969" s="47" t="s">
        <v>2485</v>
      </c>
      <c r="BC969" s="47" t="s">
        <v>8726</v>
      </c>
      <c r="BD969" s="47" t="s">
        <v>8374</v>
      </c>
      <c r="BE969" s="48" t="s">
        <v>2449</v>
      </c>
      <c r="BF969" s="48" t="s">
        <v>272</v>
      </c>
      <c r="BG969" s="48" t="s">
        <v>272</v>
      </c>
      <c r="BH969" s="48" t="s">
        <v>2486</v>
      </c>
      <c r="BI969" s="98">
        <v>2.0779520000000001E-3</v>
      </c>
      <c r="BJ969" s="98">
        <v>20.779520000000002</v>
      </c>
      <c r="BK969" s="48"/>
      <c r="BL969" s="487">
        <v>2109.3834647455174</v>
      </c>
      <c r="BM969" s="47" t="s">
        <v>2487</v>
      </c>
      <c r="BN969" s="48"/>
      <c r="BO969" s="48"/>
      <c r="BP969" s="48"/>
      <c r="BQ969" s="48"/>
      <c r="BR969" s="47" t="e">
        <v>#VALUE!</v>
      </c>
      <c r="BS969" s="48"/>
      <c r="BT969" s="48"/>
      <c r="BU969" s="228"/>
      <c r="BV969" s="48"/>
      <c r="BW969" s="48"/>
      <c r="BX969" s="48"/>
      <c r="BY969" s="48"/>
      <c r="BZ969" s="48"/>
      <c r="CA969" s="48"/>
      <c r="CB969" s="48"/>
      <c r="CC969" s="48"/>
      <c r="CD969" s="48"/>
      <c r="CE969" s="48"/>
      <c r="CF969" s="48"/>
      <c r="CG969" s="48"/>
      <c r="CH969" s="48"/>
      <c r="CI969" s="98"/>
      <c r="CJ969" s="98"/>
      <c r="CK969" s="49">
        <f t="shared" si="196"/>
        <v>101.5126174591866</v>
      </c>
      <c r="CL969" s="229"/>
      <c r="CM969" s="229"/>
      <c r="CN969" s="229"/>
      <c r="CO969" s="47" t="s">
        <v>2488</v>
      </c>
      <c r="CP969" s="500" t="s">
        <v>2489</v>
      </c>
      <c r="CQ969" s="224" t="s">
        <v>272</v>
      </c>
      <c r="CR969" s="224"/>
      <c r="CS969" s="230" t="s">
        <v>539</v>
      </c>
      <c r="CT969" s="230"/>
      <c r="CU969" s="230"/>
      <c r="CV969" s="335">
        <f t="shared" si="197"/>
        <v>52.936737710976956</v>
      </c>
      <c r="CW969" s="230">
        <f t="shared" si="198"/>
        <v>1</v>
      </c>
      <c r="CX969" s="336"/>
      <c r="CY969" s="230" t="s">
        <v>5921</v>
      </c>
    </row>
    <row r="970" spans="1:103" ht="11.25" customHeight="1" x14ac:dyDescent="0.2">
      <c r="A970" s="72">
        <v>1366</v>
      </c>
      <c r="B970" s="224">
        <v>1167</v>
      </c>
      <c r="C970" s="46" t="s">
        <v>7442</v>
      </c>
      <c r="D970" s="46" t="s">
        <v>8663</v>
      </c>
      <c r="E970" s="114"/>
      <c r="F970" s="114" t="s">
        <v>3222</v>
      </c>
      <c r="G970" s="225">
        <v>36734197</v>
      </c>
      <c r="H970" s="47" t="s">
        <v>3223</v>
      </c>
      <c r="I970" s="47" t="s">
        <v>8122</v>
      </c>
      <c r="J970" s="47" t="s">
        <v>3224</v>
      </c>
      <c r="K970" s="47" t="s">
        <v>2039</v>
      </c>
      <c r="L970" s="47" t="s">
        <v>6043</v>
      </c>
      <c r="M970" s="47" t="s">
        <v>6082</v>
      </c>
      <c r="N970" s="47" t="s">
        <v>6082</v>
      </c>
      <c r="O970" s="47" t="s">
        <v>6083</v>
      </c>
      <c r="P970" s="53"/>
      <c r="Q970" s="53"/>
      <c r="R970" s="53"/>
      <c r="S970" s="53"/>
      <c r="T970" s="48">
        <v>330.17</v>
      </c>
      <c r="U970" s="98">
        <v>13.9</v>
      </c>
      <c r="V970" s="98">
        <v>22.34</v>
      </c>
      <c r="W970" s="98">
        <v>22.842183166830502</v>
      </c>
      <c r="X970" s="98">
        <v>13.9</v>
      </c>
      <c r="Y970" s="233">
        <v>6.63</v>
      </c>
      <c r="Z970" s="48">
        <v>2.85</v>
      </c>
      <c r="AA970" s="48">
        <v>3</v>
      </c>
      <c r="AB970" s="48">
        <v>3.51</v>
      </c>
      <c r="AC970" s="48">
        <v>0.7833</v>
      </c>
      <c r="AD970" s="48">
        <v>3.31</v>
      </c>
      <c r="AE970" s="48">
        <v>2.8</v>
      </c>
      <c r="AF970" s="48">
        <f t="shared" si="201"/>
        <v>3</v>
      </c>
      <c r="AG970" s="49">
        <v>2.2400000000000002</v>
      </c>
      <c r="AH970" s="98">
        <v>1.04E-13</v>
      </c>
      <c r="AI970" s="98">
        <v>3.12E-9</v>
      </c>
      <c r="AJ970" s="483">
        <f t="shared" si="199"/>
        <v>-11.371532987013872</v>
      </c>
      <c r="AK970" s="483">
        <f>LOG10(AI970*1000/(0.08206*298.15))</f>
        <v>-6.8944117322942091</v>
      </c>
      <c r="AL970" s="483">
        <f t="shared" si="200"/>
        <v>-6.8944117322942091</v>
      </c>
      <c r="AM970" s="483">
        <v>-15.96514</v>
      </c>
      <c r="AN970" s="226">
        <v>-7.12</v>
      </c>
      <c r="AO970" s="484">
        <v>9.19</v>
      </c>
      <c r="AP970" s="484">
        <v>-2.23</v>
      </c>
      <c r="AQ970" s="48" t="s">
        <v>6311</v>
      </c>
      <c r="AR970" s="48" t="s">
        <v>6311</v>
      </c>
      <c r="AS970" s="227"/>
      <c r="AT970" s="50" t="s">
        <v>266</v>
      </c>
      <c r="AU970" s="48">
        <v>6</v>
      </c>
      <c r="AV970" s="48">
        <v>120</v>
      </c>
      <c r="AW970" s="48">
        <v>114</v>
      </c>
      <c r="AX970" s="48">
        <v>28</v>
      </c>
      <c r="AY970" s="48" t="s">
        <v>8728</v>
      </c>
      <c r="AZ970" s="48" t="s">
        <v>1563</v>
      </c>
      <c r="BA970" s="48">
        <v>32</v>
      </c>
      <c r="BB970" s="47" t="s">
        <v>2485</v>
      </c>
      <c r="BC970" s="47" t="s">
        <v>8726</v>
      </c>
      <c r="BD970" s="47" t="s">
        <v>8374</v>
      </c>
      <c r="BE970" s="48" t="s">
        <v>2449</v>
      </c>
      <c r="BF970" s="48" t="s">
        <v>272</v>
      </c>
      <c r="BG970" s="48" t="s">
        <v>272</v>
      </c>
      <c r="BH970" s="48" t="s">
        <v>2486</v>
      </c>
      <c r="BI970" s="98">
        <v>2.1130879999999999E-3</v>
      </c>
      <c r="BJ970" s="98">
        <v>21.130880000000001</v>
      </c>
      <c r="BK970" s="48"/>
      <c r="BL970" s="487">
        <v>46.768410475410406</v>
      </c>
      <c r="BM970" s="47" t="s">
        <v>2487</v>
      </c>
      <c r="BN970" s="48"/>
      <c r="BO970" s="48"/>
      <c r="BP970" s="48"/>
      <c r="BQ970" s="48"/>
      <c r="BR970" s="47" t="e">
        <v>#VALUE!</v>
      </c>
      <c r="BS970" s="48"/>
      <c r="BT970" s="48"/>
      <c r="BU970" s="228">
        <v>21.130880000000001</v>
      </c>
      <c r="BV970" s="48"/>
      <c r="BW970" s="48"/>
      <c r="BX970" s="48"/>
      <c r="BY970" s="48"/>
      <c r="BZ970" s="48"/>
      <c r="CA970" s="48"/>
      <c r="CB970" s="48"/>
      <c r="CC970" s="48"/>
      <c r="CD970" s="48"/>
      <c r="CE970" s="48"/>
      <c r="CF970" s="48"/>
      <c r="CG970" s="48"/>
      <c r="CH970" s="48"/>
      <c r="CI970" s="98"/>
      <c r="CJ970" s="98"/>
      <c r="CK970" s="49">
        <f t="shared" si="196"/>
        <v>2.2132732037383396</v>
      </c>
      <c r="CL970" s="229"/>
      <c r="CM970" s="229"/>
      <c r="CN970" s="229"/>
      <c r="CO970" s="47" t="s">
        <v>2488</v>
      </c>
      <c r="CP970" s="500" t="s">
        <v>2489</v>
      </c>
      <c r="CQ970" s="224">
        <v>0.72072154165223934</v>
      </c>
      <c r="CR970" s="224">
        <f>10^(CJ970-CQ970)</f>
        <v>0.19022975928196009</v>
      </c>
      <c r="CS970" s="230" t="s">
        <v>539</v>
      </c>
      <c r="CT970" s="230"/>
      <c r="CU970" s="230"/>
      <c r="CV970" s="335">
        <f t="shared" si="197"/>
        <v>0.65780507011539513</v>
      </c>
      <c r="CW970" s="230">
        <f t="shared" si="198"/>
        <v>0</v>
      </c>
      <c r="CX970" s="336"/>
      <c r="CY970" s="230" t="s">
        <v>5921</v>
      </c>
    </row>
    <row r="971" spans="1:103" ht="11.25" customHeight="1" x14ac:dyDescent="0.2">
      <c r="A971" s="72">
        <v>1368</v>
      </c>
      <c r="B971" s="224">
        <v>1802</v>
      </c>
      <c r="C971" s="46" t="s">
        <v>7443</v>
      </c>
      <c r="D971" s="46" t="s">
        <v>8664</v>
      </c>
      <c r="E971" s="114"/>
      <c r="F971" s="114" t="s">
        <v>3970</v>
      </c>
      <c r="G971" s="225">
        <v>40487421</v>
      </c>
      <c r="H971" s="47" t="s">
        <v>3971</v>
      </c>
      <c r="I971" s="47" t="s">
        <v>8123</v>
      </c>
      <c r="J971" s="47" t="s">
        <v>3972</v>
      </c>
      <c r="K971" s="47" t="s">
        <v>1011</v>
      </c>
      <c r="L971" s="47" t="s">
        <v>6164</v>
      </c>
      <c r="M971" s="47" t="s">
        <v>6088</v>
      </c>
      <c r="N971" s="47" t="s">
        <v>6088</v>
      </c>
      <c r="O971" s="47" t="s">
        <v>6083</v>
      </c>
      <c r="P971" s="53"/>
      <c r="Q971" s="53"/>
      <c r="R971" s="53"/>
      <c r="S971" s="53"/>
      <c r="T971" s="48">
        <v>281.31</v>
      </c>
      <c r="U971" s="98">
        <v>0.3</v>
      </c>
      <c r="V971" s="98">
        <v>0.59360000000000002</v>
      </c>
      <c r="W971" s="98">
        <v>1.7749461057572287</v>
      </c>
      <c r="X971" s="98">
        <v>0.3</v>
      </c>
      <c r="Y971" s="233">
        <v>7</v>
      </c>
      <c r="Z971" s="48">
        <v>4.82</v>
      </c>
      <c r="AA971" s="48">
        <v>5.18</v>
      </c>
      <c r="AB971" s="48">
        <v>4.42</v>
      </c>
      <c r="AC971" s="48">
        <v>0.73450000000000004</v>
      </c>
      <c r="AD971" s="48">
        <v>4.83</v>
      </c>
      <c r="AE971" s="48">
        <v>5.56</v>
      </c>
      <c r="AF971" s="48">
        <f t="shared" si="201"/>
        <v>5.18</v>
      </c>
      <c r="AG971" s="49">
        <v>3.48</v>
      </c>
      <c r="AH971" s="98">
        <v>1.4500000000000001E-6</v>
      </c>
      <c r="AI971" s="98">
        <v>8.5600000000000004E-7</v>
      </c>
      <c r="AJ971" s="483">
        <f t="shared" si="199"/>
        <v>-4.2271983240776771</v>
      </c>
      <c r="AK971" s="483">
        <f>LOG10(AI971*1000/(0.08206*298.15))</f>
        <v>-4.4560925616354989</v>
      </c>
      <c r="AL971" s="483">
        <f t="shared" si="200"/>
        <v>-4.4560925616354989</v>
      </c>
      <c r="AM971" s="483">
        <v>-9.3757799999999989</v>
      </c>
      <c r="AN971" s="226">
        <v>-2.91</v>
      </c>
      <c r="AO971" s="484"/>
      <c r="AP971" s="484">
        <v>-2.2400000000000002</v>
      </c>
      <c r="AQ971" s="226" t="s">
        <v>6311</v>
      </c>
      <c r="AR971" s="226" t="s">
        <v>6311</v>
      </c>
      <c r="AS971" s="224"/>
      <c r="AT971" s="50" t="s">
        <v>266</v>
      </c>
      <c r="AU971" s="48">
        <v>6</v>
      </c>
      <c r="AV971" s="48">
        <v>120</v>
      </c>
      <c r="AW971" s="48">
        <v>114</v>
      </c>
      <c r="AX971" s="48">
        <v>28</v>
      </c>
      <c r="AY971" s="48" t="s">
        <v>8728</v>
      </c>
      <c r="AZ971" s="48" t="s">
        <v>1563</v>
      </c>
      <c r="BA971" s="48">
        <v>32</v>
      </c>
      <c r="BB971" s="47" t="s">
        <v>2485</v>
      </c>
      <c r="BC971" s="47" t="s">
        <v>8726</v>
      </c>
      <c r="BD971" s="47" t="s">
        <v>8374</v>
      </c>
      <c r="BE971" s="48" t="s">
        <v>2449</v>
      </c>
      <c r="BF971" s="48" t="s">
        <v>272</v>
      </c>
      <c r="BG971" s="48" t="s">
        <v>272</v>
      </c>
      <c r="BH971" s="48" t="s">
        <v>2486</v>
      </c>
      <c r="BI971" s="98">
        <v>1.8003839999999999E-3</v>
      </c>
      <c r="BJ971" s="98">
        <v>18.00384</v>
      </c>
      <c r="BK971" s="48"/>
      <c r="BL971" s="487">
        <v>0.67786493762242284</v>
      </c>
      <c r="BM971" s="47" t="s">
        <v>2487</v>
      </c>
      <c r="BN971" s="48"/>
      <c r="BO971" s="48"/>
      <c r="BP971" s="48"/>
      <c r="BQ971" s="48"/>
      <c r="BR971" s="47"/>
      <c r="BS971" s="48"/>
      <c r="BT971" s="48"/>
      <c r="BU971" s="228"/>
      <c r="BV971" s="48"/>
      <c r="BW971" s="48"/>
      <c r="BX971" s="48"/>
      <c r="BY971" s="48"/>
      <c r="BZ971" s="48"/>
      <c r="CA971" s="48"/>
      <c r="CB971" s="48"/>
      <c r="CC971" s="48"/>
      <c r="CD971" s="48"/>
      <c r="CE971" s="48"/>
      <c r="CF971" s="48"/>
      <c r="CG971" s="48"/>
      <c r="CH971" s="48"/>
      <c r="CI971" s="52"/>
      <c r="CJ971" s="98"/>
      <c r="CK971" s="49">
        <f t="shared" si="196"/>
        <v>3.7651130959974251E-2</v>
      </c>
      <c r="CL971" s="229"/>
      <c r="CM971" s="229"/>
      <c r="CN971" s="229"/>
      <c r="CO971" s="47" t="s">
        <v>2488</v>
      </c>
      <c r="CP971" s="500" t="s">
        <v>2489</v>
      </c>
      <c r="CQ971" s="224">
        <v>0.25365537444784847</v>
      </c>
      <c r="CR971" s="224">
        <f>10^(CJ971-CQ971)</f>
        <v>0.55762806782267571</v>
      </c>
      <c r="CS971" s="230" t="s">
        <v>539</v>
      </c>
      <c r="CT971" s="230"/>
      <c r="CU971" s="230"/>
      <c r="CV971" s="335">
        <f t="shared" si="197"/>
        <v>1.6663111869467846E-2</v>
      </c>
      <c r="CW971" s="230">
        <f t="shared" si="198"/>
        <v>0</v>
      </c>
      <c r="CX971" s="336"/>
      <c r="CY971" s="230" t="s">
        <v>5921</v>
      </c>
    </row>
    <row r="972" spans="1:103" ht="11.25" customHeight="1" x14ac:dyDescent="0.2">
      <c r="A972" s="72">
        <v>1369</v>
      </c>
      <c r="B972" s="224">
        <v>1740</v>
      </c>
      <c r="C972" s="46" t="s">
        <v>7444</v>
      </c>
      <c r="D972" s="46"/>
      <c r="E972" s="114"/>
      <c r="F972" s="114" t="s">
        <v>5026</v>
      </c>
      <c r="G972" s="225">
        <v>41372081</v>
      </c>
      <c r="H972" s="47"/>
      <c r="I972" s="47" t="s">
        <v>7877</v>
      </c>
      <c r="J972" s="47"/>
      <c r="K972" s="47"/>
      <c r="L972" s="47"/>
      <c r="M972" s="47"/>
      <c r="N972" s="47"/>
      <c r="O972" s="47"/>
      <c r="P972" s="53"/>
      <c r="Q972" s="53"/>
      <c r="R972" s="53"/>
      <c r="S972" s="53"/>
      <c r="T972" s="48">
        <v>476.476</v>
      </c>
      <c r="U972" s="98"/>
      <c r="V972" s="98"/>
      <c r="W972" s="98"/>
      <c r="X972" s="98"/>
      <c r="Y972" s="233"/>
      <c r="Z972" s="48"/>
      <c r="AA972" s="48"/>
      <c r="AB972" s="48"/>
      <c r="AC972" s="48"/>
      <c r="AD972" s="48"/>
      <c r="AE972" s="48"/>
      <c r="AF972" s="48"/>
      <c r="AG972" s="49">
        <v>0.13</v>
      </c>
      <c r="AH972" s="98"/>
      <c r="AI972" s="98"/>
      <c r="AJ972" s="483"/>
      <c r="AK972" s="483"/>
      <c r="AL972" s="483"/>
      <c r="AM972" s="483"/>
      <c r="AN972" s="226"/>
      <c r="AO972" s="484"/>
      <c r="AP972" s="484"/>
      <c r="AQ972" s="226" t="s">
        <v>6311</v>
      </c>
      <c r="AR972" s="226" t="s">
        <v>6311</v>
      </c>
      <c r="AS972" s="224"/>
      <c r="AT972" s="50" t="s">
        <v>266</v>
      </c>
      <c r="AU972" s="48">
        <v>6</v>
      </c>
      <c r="AV972" s="48">
        <v>120</v>
      </c>
      <c r="AW972" s="48">
        <v>114</v>
      </c>
      <c r="AX972" s="48">
        <v>28</v>
      </c>
      <c r="AY972" s="48" t="s">
        <v>8728</v>
      </c>
      <c r="AZ972" s="48" t="s">
        <v>1563</v>
      </c>
      <c r="BA972" s="48">
        <v>32</v>
      </c>
      <c r="BB972" s="47" t="s">
        <v>2485</v>
      </c>
      <c r="BC972" s="47" t="s">
        <v>8726</v>
      </c>
      <c r="BD972" s="47" t="s">
        <v>8374</v>
      </c>
      <c r="BE972" s="48" t="s">
        <v>2449</v>
      </c>
      <c r="BF972" s="48" t="s">
        <v>272</v>
      </c>
      <c r="BG972" s="48" t="s">
        <v>272</v>
      </c>
      <c r="BH972" s="48" t="s">
        <v>2486</v>
      </c>
      <c r="BI972" s="98"/>
      <c r="BJ972" s="98"/>
      <c r="BK972" s="48"/>
      <c r="BL972" s="487"/>
      <c r="BM972" s="47" t="s">
        <v>2487</v>
      </c>
      <c r="BN972" s="48"/>
      <c r="BO972" s="48"/>
      <c r="BP972" s="48"/>
      <c r="BQ972" s="48"/>
      <c r="BR972" s="47" t="e">
        <v>#VALUE!</v>
      </c>
      <c r="BS972" s="48"/>
      <c r="BT972" s="48"/>
      <c r="BU972" s="228"/>
      <c r="BV972" s="48"/>
      <c r="BW972" s="48"/>
      <c r="BX972" s="48"/>
      <c r="BY972" s="48"/>
      <c r="BZ972" s="48"/>
      <c r="CA972" s="48"/>
      <c r="CB972" s="48"/>
      <c r="CC972" s="48"/>
      <c r="CD972" s="48"/>
      <c r="CE972" s="48"/>
      <c r="CF972" s="48"/>
      <c r="CG972" s="48"/>
      <c r="CH972" s="48"/>
      <c r="CI972" s="98"/>
      <c r="CJ972" s="98"/>
      <c r="CK972" s="49"/>
      <c r="CL972" s="229"/>
      <c r="CM972" s="229"/>
      <c r="CN972" s="229"/>
      <c r="CO972" s="47" t="s">
        <v>2488</v>
      </c>
      <c r="CP972" s="500" t="s">
        <v>2489</v>
      </c>
      <c r="CQ972" s="224" t="s">
        <v>272</v>
      </c>
      <c r="CR972" s="224"/>
      <c r="CS972" s="230" t="s">
        <v>539</v>
      </c>
      <c r="CT972" s="230"/>
      <c r="CU972" s="230"/>
      <c r="CV972" s="335" t="s">
        <v>6310</v>
      </c>
      <c r="CW972" s="230">
        <f t="shared" si="198"/>
        <v>1</v>
      </c>
      <c r="CX972" s="336"/>
      <c r="CY972" s="230" t="s">
        <v>5921</v>
      </c>
    </row>
    <row r="973" spans="1:103" ht="11.25" customHeight="1" x14ac:dyDescent="0.2">
      <c r="A973" s="72">
        <v>1370</v>
      </c>
      <c r="B973" s="224">
        <v>1472</v>
      </c>
      <c r="C973" s="46" t="s">
        <v>7445</v>
      </c>
      <c r="D973" s="46"/>
      <c r="E973" s="114"/>
      <c r="F973" s="114" t="s">
        <v>4521</v>
      </c>
      <c r="G973" s="225">
        <v>41481667</v>
      </c>
      <c r="H973" s="47" t="s">
        <v>4522</v>
      </c>
      <c r="I973" s="47" t="s">
        <v>7818</v>
      </c>
      <c r="J973" s="47" t="s">
        <v>4523</v>
      </c>
      <c r="K973" s="47" t="s">
        <v>376</v>
      </c>
      <c r="L973" s="47"/>
      <c r="M973" s="47"/>
      <c r="N973" s="47"/>
      <c r="O973" s="47"/>
      <c r="P973" s="53"/>
      <c r="Q973" s="53"/>
      <c r="R973" s="53"/>
      <c r="S973" s="53"/>
      <c r="T973" s="48">
        <v>330.4</v>
      </c>
      <c r="U973" s="98"/>
      <c r="V973" s="98">
        <v>5.0599999999999996</v>
      </c>
      <c r="W973" s="98">
        <v>22.858095279161635</v>
      </c>
      <c r="X973" s="98">
        <v>22.858095279161635</v>
      </c>
      <c r="Y973" s="233">
        <v>5.69</v>
      </c>
      <c r="Z973" s="48">
        <v>4.43</v>
      </c>
      <c r="AA973" s="48"/>
      <c r="AB973" s="48">
        <v>3.44</v>
      </c>
      <c r="AC973" s="48">
        <v>0.57879999999999998</v>
      </c>
      <c r="AD973" s="48">
        <v>3.63</v>
      </c>
      <c r="AE973" s="48">
        <v>3.86</v>
      </c>
      <c r="AF973" s="48">
        <f t="shared" ref="AF973:AF1004" si="202">IF(AA973=0,AD973,AA973)</f>
        <v>3.63</v>
      </c>
      <c r="AG973" s="49">
        <v>4.04</v>
      </c>
      <c r="AH973" s="98">
        <v>5.6700000000000002E-15</v>
      </c>
      <c r="AI973" s="98"/>
      <c r="AJ973" s="483">
        <f t="shared" ref="AJ973:AJ1014" si="203">LOG10(AH973*1000/(0.08206*298.15))</f>
        <v>-12.634983267419745</v>
      </c>
      <c r="AK973" s="483"/>
      <c r="AL973" s="483">
        <f t="shared" ref="AL973:AL1014" si="204">IF(AK973=0,AJ973,AK973)</f>
        <v>-12.634983267419745</v>
      </c>
      <c r="AM973" s="483">
        <v>-20.29731</v>
      </c>
      <c r="AN973" s="226">
        <v>-29</v>
      </c>
      <c r="AO973" s="484">
        <v>7.22</v>
      </c>
      <c r="AP973" s="484"/>
      <c r="AQ973" s="48" t="s">
        <v>6311</v>
      </c>
      <c r="AR973" s="48" t="s">
        <v>6311</v>
      </c>
      <c r="AS973" s="227"/>
      <c r="AT973" s="50" t="s">
        <v>266</v>
      </c>
      <c r="AU973" s="48">
        <v>6</v>
      </c>
      <c r="AV973" s="48">
        <v>120</v>
      </c>
      <c r="AW973" s="48">
        <v>114</v>
      </c>
      <c r="AX973" s="48">
        <v>28</v>
      </c>
      <c r="AY973" s="48" t="s">
        <v>8728</v>
      </c>
      <c r="AZ973" s="48" t="s">
        <v>1563</v>
      </c>
      <c r="BA973" s="48">
        <v>32</v>
      </c>
      <c r="BB973" s="47" t="s">
        <v>2485</v>
      </c>
      <c r="BC973" s="47" t="s">
        <v>8726</v>
      </c>
      <c r="BD973" s="47" t="s">
        <v>8374</v>
      </c>
      <c r="BE973" s="48" t="s">
        <v>2449</v>
      </c>
      <c r="BF973" s="48" t="s">
        <v>272</v>
      </c>
      <c r="BG973" s="48" t="s">
        <v>272</v>
      </c>
      <c r="BH973" s="48" t="s">
        <v>2486</v>
      </c>
      <c r="BI973" s="98">
        <v>2.1145599999999997E-3</v>
      </c>
      <c r="BJ973" s="98">
        <v>21.145599999999998</v>
      </c>
      <c r="BK973" s="48"/>
      <c r="BL973" s="487">
        <v>1.7834339865470814</v>
      </c>
      <c r="BM973" s="47" t="s">
        <v>2487</v>
      </c>
      <c r="BN973" s="48"/>
      <c r="BO973" s="48"/>
      <c r="BP973" s="48"/>
      <c r="BQ973" s="48"/>
      <c r="BR973" s="47" t="e">
        <v>#VALUE!</v>
      </c>
      <c r="BS973" s="48"/>
      <c r="BT973" s="48"/>
      <c r="BU973" s="228"/>
      <c r="BV973" s="48"/>
      <c r="BW973" s="48"/>
      <c r="BX973" s="48"/>
      <c r="BY973" s="48"/>
      <c r="BZ973" s="48"/>
      <c r="CA973" s="48"/>
      <c r="CB973" s="48"/>
      <c r="CC973" s="48"/>
      <c r="CD973" s="48"/>
      <c r="CE973" s="48"/>
      <c r="CF973" s="48"/>
      <c r="CG973" s="48"/>
      <c r="CH973" s="48"/>
      <c r="CI973" s="98"/>
      <c r="CJ973" s="98"/>
      <c r="CK973" s="49">
        <f t="shared" ref="CK973:CK987" si="205">BL973/BJ973</f>
        <v>8.4340665980018617E-2</v>
      </c>
      <c r="CL973" s="229"/>
      <c r="CM973" s="229"/>
      <c r="CN973" s="229"/>
      <c r="CO973" s="47" t="s">
        <v>2488</v>
      </c>
      <c r="CP973" s="500" t="s">
        <v>2489</v>
      </c>
      <c r="CQ973" s="224" t="s">
        <v>272</v>
      </c>
      <c r="CR973" s="224"/>
      <c r="CS973" s="230" t="s">
        <v>539</v>
      </c>
      <c r="CT973" s="230"/>
      <c r="CU973" s="230"/>
      <c r="CV973" s="335">
        <f t="shared" ref="CV973:CV987" si="206">X973/BJ973</f>
        <v>1.0809858920608371</v>
      </c>
      <c r="CW973" s="230">
        <f t="shared" si="198"/>
        <v>1</v>
      </c>
      <c r="CX973" s="336"/>
      <c r="CY973" s="230" t="s">
        <v>5921</v>
      </c>
    </row>
    <row r="974" spans="1:103" ht="11.25" customHeight="1" x14ac:dyDescent="0.2">
      <c r="A974" s="72">
        <v>1372</v>
      </c>
      <c r="B974" s="224">
        <v>1709</v>
      </c>
      <c r="C974" s="46" t="s">
        <v>7446</v>
      </c>
      <c r="D974" s="46"/>
      <c r="E974" s="114"/>
      <c r="F974" s="114" t="s">
        <v>3906</v>
      </c>
      <c r="G974" s="225">
        <v>42509808</v>
      </c>
      <c r="H974" s="47" t="s">
        <v>3907</v>
      </c>
      <c r="I974" s="47" t="s">
        <v>8124</v>
      </c>
      <c r="J974" s="47" t="s">
        <v>3908</v>
      </c>
      <c r="K974" s="47" t="s">
        <v>3909</v>
      </c>
      <c r="L974" s="47"/>
      <c r="M974" s="47"/>
      <c r="N974" s="47"/>
      <c r="O974" s="47"/>
      <c r="P974" s="53"/>
      <c r="Q974" s="53"/>
      <c r="R974" s="53"/>
      <c r="S974" s="53"/>
      <c r="T974" s="48">
        <v>313.74</v>
      </c>
      <c r="U974" s="98">
        <v>69</v>
      </c>
      <c r="V974" s="98">
        <v>5.5750000000000002</v>
      </c>
      <c r="W974" s="98">
        <v>43.308175917650892</v>
      </c>
      <c r="X974" s="98">
        <v>69</v>
      </c>
      <c r="Y974" s="233">
        <v>7</v>
      </c>
      <c r="Z974" s="48">
        <v>3.71</v>
      </c>
      <c r="AA974" s="48">
        <v>3.82</v>
      </c>
      <c r="AB974" s="48">
        <v>3.05</v>
      </c>
      <c r="AC974" s="48">
        <v>0.85409999999999997</v>
      </c>
      <c r="AD974" s="48">
        <v>3.03</v>
      </c>
      <c r="AE974" s="48">
        <v>2.99</v>
      </c>
      <c r="AF974" s="48">
        <f t="shared" si="202"/>
        <v>3.82</v>
      </c>
      <c r="AG974" s="49">
        <v>3.78</v>
      </c>
      <c r="AH974" s="98">
        <v>5.9299999999999998E-7</v>
      </c>
      <c r="AI974" s="98">
        <v>5.2099999999999997E-7</v>
      </c>
      <c r="AJ974" s="483">
        <f t="shared" si="203"/>
        <v>-4.6155116329483894</v>
      </c>
      <c r="AK974" s="483">
        <f>LOG10(AI974*1000/(0.08206*298.15))</f>
        <v>-4.6717286030131273</v>
      </c>
      <c r="AL974" s="483">
        <f t="shared" si="204"/>
        <v>-4.6717286030131273</v>
      </c>
      <c r="AM974" s="483">
        <v>-12.15424</v>
      </c>
      <c r="AN974" s="226">
        <v>-2.06</v>
      </c>
      <c r="AO974" s="484"/>
      <c r="AP974" s="484">
        <v>-1.47</v>
      </c>
      <c r="AQ974" s="226" t="s">
        <v>6312</v>
      </c>
      <c r="AR974" s="226" t="s">
        <v>6312</v>
      </c>
      <c r="AS974" s="224"/>
      <c r="AT974" s="50" t="s">
        <v>266</v>
      </c>
      <c r="AU974" s="48">
        <v>6</v>
      </c>
      <c r="AV974" s="48">
        <v>120</v>
      </c>
      <c r="AW974" s="48">
        <v>114</v>
      </c>
      <c r="AX974" s="48">
        <v>28</v>
      </c>
      <c r="AY974" s="48" t="s">
        <v>8728</v>
      </c>
      <c r="AZ974" s="48" t="s">
        <v>1563</v>
      </c>
      <c r="BA974" s="48">
        <v>32</v>
      </c>
      <c r="BB974" s="47" t="s">
        <v>2485</v>
      </c>
      <c r="BC974" s="47" t="s">
        <v>8726</v>
      </c>
      <c r="BD974" s="47" t="s">
        <v>8374</v>
      </c>
      <c r="BE974" s="48" t="s">
        <v>2449</v>
      </c>
      <c r="BF974" s="48" t="s">
        <v>272</v>
      </c>
      <c r="BG974" s="48" t="s">
        <v>272</v>
      </c>
      <c r="BH974" s="48" t="s">
        <v>2486</v>
      </c>
      <c r="BI974" s="98">
        <v>2.0079360000000001E-3</v>
      </c>
      <c r="BJ974" s="98">
        <v>20.079360000000001</v>
      </c>
      <c r="BK974" s="48"/>
      <c r="BL974" s="487">
        <v>7.50617857453949</v>
      </c>
      <c r="BM974" s="47" t="s">
        <v>2487</v>
      </c>
      <c r="BN974" s="48"/>
      <c r="BO974" s="48"/>
      <c r="BP974" s="48"/>
      <c r="BQ974" s="48"/>
      <c r="BR974" s="47" t="e">
        <v>#VALUE!</v>
      </c>
      <c r="BS974" s="48"/>
      <c r="BT974" s="48"/>
      <c r="BU974" s="228"/>
      <c r="BV974" s="48"/>
      <c r="BW974" s="48"/>
      <c r="BX974" s="48"/>
      <c r="BY974" s="48"/>
      <c r="BZ974" s="48"/>
      <c r="CA974" s="48"/>
      <c r="CB974" s="48"/>
      <c r="CC974" s="48"/>
      <c r="CD974" s="48"/>
      <c r="CE974" s="48"/>
      <c r="CF974" s="48"/>
      <c r="CG974" s="48"/>
      <c r="CH974" s="48"/>
      <c r="CI974" s="98"/>
      <c r="CJ974" s="98"/>
      <c r="CK974" s="49">
        <f t="shared" si="205"/>
        <v>0.37382558879065314</v>
      </c>
      <c r="CL974" s="229"/>
      <c r="CM974" s="229"/>
      <c r="CN974" s="229"/>
      <c r="CO974" s="47" t="s">
        <v>2488</v>
      </c>
      <c r="CP974" s="500" t="s">
        <v>2489</v>
      </c>
      <c r="CQ974" s="224" t="s">
        <v>272</v>
      </c>
      <c r="CR974" s="224"/>
      <c r="CS974" s="230" t="s">
        <v>539</v>
      </c>
      <c r="CT974" s="230"/>
      <c r="CU974" s="230"/>
      <c r="CV974" s="335">
        <f t="shared" si="206"/>
        <v>3.4363645056416137</v>
      </c>
      <c r="CW974" s="230">
        <f t="shared" si="198"/>
        <v>1</v>
      </c>
      <c r="CX974" s="336"/>
      <c r="CY974" s="230" t="s">
        <v>5921</v>
      </c>
    </row>
    <row r="975" spans="1:103" ht="11.25" customHeight="1" x14ac:dyDescent="0.2">
      <c r="A975" s="72">
        <v>1374</v>
      </c>
      <c r="B975" s="224">
        <v>1907</v>
      </c>
      <c r="C975" s="46" t="s">
        <v>7447</v>
      </c>
      <c r="D975" s="46" t="s">
        <v>8665</v>
      </c>
      <c r="E975" s="114"/>
      <c r="F975" s="114" t="s">
        <v>4044</v>
      </c>
      <c r="G975" s="225">
        <v>43121433</v>
      </c>
      <c r="H975" s="47" t="s">
        <v>4045</v>
      </c>
      <c r="I975" s="47" t="s">
        <v>8125</v>
      </c>
      <c r="J975" s="47" t="s">
        <v>4046</v>
      </c>
      <c r="K975" s="47" t="s">
        <v>1112</v>
      </c>
      <c r="L975" s="47" t="s">
        <v>6057</v>
      </c>
      <c r="M975" s="47" t="s">
        <v>6082</v>
      </c>
      <c r="N975" s="47" t="s">
        <v>6082</v>
      </c>
      <c r="O975" s="47" t="s">
        <v>6083</v>
      </c>
      <c r="P975" s="53"/>
      <c r="Q975" s="53"/>
      <c r="R975" s="53"/>
      <c r="S975" s="53"/>
      <c r="T975" s="48">
        <v>293.75</v>
      </c>
      <c r="U975" s="98">
        <v>71.5</v>
      </c>
      <c r="V975" s="98">
        <v>57.53</v>
      </c>
      <c r="W975" s="98">
        <v>64.265497703518065</v>
      </c>
      <c r="X975" s="98">
        <v>71.5</v>
      </c>
      <c r="Y975" s="233">
        <v>7</v>
      </c>
      <c r="Z975" s="48">
        <v>2.94</v>
      </c>
      <c r="AA975" s="48">
        <v>2.77</v>
      </c>
      <c r="AB975" s="48">
        <v>2.93</v>
      </c>
      <c r="AC975" s="48">
        <v>0.77049999999999996</v>
      </c>
      <c r="AD975" s="48">
        <v>2.89</v>
      </c>
      <c r="AE975" s="48">
        <v>2.77</v>
      </c>
      <c r="AF975" s="48">
        <f t="shared" si="202"/>
        <v>2.77</v>
      </c>
      <c r="AG975" s="49">
        <v>3.28</v>
      </c>
      <c r="AH975" s="98">
        <v>1.1599999999999999E-9</v>
      </c>
      <c r="AI975" s="98">
        <v>8.1099999999999997E-11</v>
      </c>
      <c r="AJ975" s="483">
        <f t="shared" si="203"/>
        <v>-7.3241083370857334</v>
      </c>
      <c r="AK975" s="483">
        <f>LOG10(AI975*1000/(0.08206*298.15))</f>
        <v>-8.4795454721014956</v>
      </c>
      <c r="AL975" s="483">
        <f t="shared" si="204"/>
        <v>-8.4795454721014956</v>
      </c>
      <c r="AM975" s="483">
        <v>-13.86453</v>
      </c>
      <c r="AN975" s="226">
        <v>-8.77</v>
      </c>
      <c r="AO975" s="484"/>
      <c r="AP975" s="484">
        <v>1.41</v>
      </c>
      <c r="AQ975" s="226" t="s">
        <v>6311</v>
      </c>
      <c r="AR975" s="226" t="s">
        <v>6311</v>
      </c>
      <c r="AS975" s="224"/>
      <c r="AT975" s="50" t="s">
        <v>266</v>
      </c>
      <c r="AU975" s="48">
        <v>6</v>
      </c>
      <c r="AV975" s="48">
        <v>120</v>
      </c>
      <c r="AW975" s="48">
        <v>114</v>
      </c>
      <c r="AX975" s="48">
        <v>28</v>
      </c>
      <c r="AY975" s="48" t="s">
        <v>8728</v>
      </c>
      <c r="AZ975" s="48" t="s">
        <v>1563</v>
      </c>
      <c r="BA975" s="48">
        <v>32</v>
      </c>
      <c r="BB975" s="47" t="s">
        <v>2485</v>
      </c>
      <c r="BC975" s="47" t="s">
        <v>8726</v>
      </c>
      <c r="BD975" s="47" t="s">
        <v>8374</v>
      </c>
      <c r="BE975" s="48" t="s">
        <v>2449</v>
      </c>
      <c r="BF975" s="48" t="s">
        <v>272</v>
      </c>
      <c r="BG975" s="48" t="s">
        <v>272</v>
      </c>
      <c r="BH975" s="48" t="s">
        <v>2486</v>
      </c>
      <c r="BI975" s="98">
        <v>1.8799999999999999E-3</v>
      </c>
      <c r="BJ975" s="98">
        <v>18.8</v>
      </c>
      <c r="BK975" s="48"/>
      <c r="BL975" s="487">
        <v>34.543304050678344</v>
      </c>
      <c r="BM975" s="47" t="s">
        <v>2487</v>
      </c>
      <c r="BN975" s="48"/>
      <c r="BO975" s="48"/>
      <c r="BP975" s="48"/>
      <c r="BQ975" s="48"/>
      <c r="BR975" s="47" t="e">
        <v>#VALUE!</v>
      </c>
      <c r="BS975" s="48"/>
      <c r="BT975" s="48"/>
      <c r="BU975" s="228"/>
      <c r="BV975" s="48"/>
      <c r="BW975" s="48"/>
      <c r="BX975" s="48"/>
      <c r="BY975" s="48"/>
      <c r="BZ975" s="48"/>
      <c r="CA975" s="48"/>
      <c r="CB975" s="48"/>
      <c r="CC975" s="48"/>
      <c r="CD975" s="48"/>
      <c r="CE975" s="48"/>
      <c r="CF975" s="48"/>
      <c r="CG975" s="48"/>
      <c r="CH975" s="48"/>
      <c r="CI975" s="98"/>
      <c r="CJ975" s="98"/>
      <c r="CK975" s="49">
        <f t="shared" si="205"/>
        <v>1.8374097899296991</v>
      </c>
      <c r="CL975" s="229"/>
      <c r="CM975" s="229"/>
      <c r="CN975" s="229"/>
      <c r="CO975" s="47" t="s">
        <v>2488</v>
      </c>
      <c r="CP975" s="500" t="s">
        <v>2489</v>
      </c>
      <c r="CQ975" s="224">
        <v>1.1661031917136673</v>
      </c>
      <c r="CR975" s="224">
        <f>10^(CJ975-CQ975)</f>
        <v>6.8217658447285001E-2</v>
      </c>
      <c r="CS975" s="230" t="s">
        <v>539</v>
      </c>
      <c r="CT975" s="230"/>
      <c r="CU975" s="230"/>
      <c r="CV975" s="335">
        <f t="shared" si="206"/>
        <v>3.8031914893617018</v>
      </c>
      <c r="CW975" s="230">
        <f t="shared" si="198"/>
        <v>1</v>
      </c>
      <c r="CX975" s="336"/>
      <c r="CY975" s="230" t="s">
        <v>5921</v>
      </c>
    </row>
    <row r="976" spans="1:103" ht="11.25" customHeight="1" x14ac:dyDescent="0.2">
      <c r="A976" s="72">
        <v>1377</v>
      </c>
      <c r="B976" s="224">
        <v>82</v>
      </c>
      <c r="C976" s="46" t="s">
        <v>7448</v>
      </c>
      <c r="D976" s="46" t="s">
        <v>8666</v>
      </c>
      <c r="E976" s="114"/>
      <c r="F976" s="114" t="s">
        <v>3647</v>
      </c>
      <c r="G976" s="225">
        <v>50471448</v>
      </c>
      <c r="H976" s="47" t="s">
        <v>3648</v>
      </c>
      <c r="I976" s="47" t="s">
        <v>8127</v>
      </c>
      <c r="J976" s="236" t="s">
        <v>3649</v>
      </c>
      <c r="K976" s="236" t="s">
        <v>1149</v>
      </c>
      <c r="L976" s="47" t="s">
        <v>5929</v>
      </c>
      <c r="M976" s="47" t="s">
        <v>8524</v>
      </c>
      <c r="N976" s="47" t="s">
        <v>6386</v>
      </c>
      <c r="O976" s="47" t="s">
        <v>6058</v>
      </c>
      <c r="P976" s="53"/>
      <c r="Q976" s="53"/>
      <c r="R976" s="53"/>
      <c r="S976" s="53"/>
      <c r="T976" s="226">
        <v>286.12</v>
      </c>
      <c r="U976" s="98">
        <v>2.6000908741393172</v>
      </c>
      <c r="V976" s="98">
        <v>33.281163188983257</v>
      </c>
      <c r="W976" s="98">
        <v>6.8635407478985524</v>
      </c>
      <c r="X976" s="98">
        <v>2.6000908741393172</v>
      </c>
      <c r="Y976" s="233">
        <v>7</v>
      </c>
      <c r="Z976" s="48">
        <v>3.03</v>
      </c>
      <c r="AA976" s="48">
        <v>3.1</v>
      </c>
      <c r="AB976" s="48">
        <v>3.3</v>
      </c>
      <c r="AC976" s="48">
        <v>0.77590000000000003</v>
      </c>
      <c r="AD976" s="48">
        <v>3.27</v>
      </c>
      <c r="AE976" s="48">
        <v>3.19</v>
      </c>
      <c r="AF976" s="48">
        <f t="shared" si="202"/>
        <v>3.1</v>
      </c>
      <c r="AG976" s="48">
        <v>3.05</v>
      </c>
      <c r="AH976" s="98">
        <v>2.3599999999999999E-6</v>
      </c>
      <c r="AI976" s="98">
        <v>1.74E-8</v>
      </c>
      <c r="AJ976" s="483">
        <f t="shared" si="203"/>
        <v>-4.0156543233425452</v>
      </c>
      <c r="AK976" s="483">
        <f>LOG10(AI976*1000/(0.08206*298.15))</f>
        <v>-6.148017078030052</v>
      </c>
      <c r="AL976" s="483">
        <f t="shared" si="204"/>
        <v>-6.148017078030052</v>
      </c>
      <c r="AM976" s="483">
        <v>-10.17206</v>
      </c>
      <c r="AN976" s="48">
        <v>-6.05</v>
      </c>
      <c r="AO976" s="484"/>
      <c r="AP976" s="484">
        <v>-3.43</v>
      </c>
      <c r="AQ976" s="48" t="s">
        <v>6311</v>
      </c>
      <c r="AR976" s="48" t="s">
        <v>6311</v>
      </c>
      <c r="AS976" s="227"/>
      <c r="AT976" s="50" t="s">
        <v>266</v>
      </c>
      <c r="AU976" s="48">
        <v>6</v>
      </c>
      <c r="AV976" s="48">
        <v>120</v>
      </c>
      <c r="AW976" s="48">
        <v>114</v>
      </c>
      <c r="AX976" s="48">
        <v>28</v>
      </c>
      <c r="AY976" s="48" t="s">
        <v>8728</v>
      </c>
      <c r="AZ976" s="48" t="s">
        <v>1563</v>
      </c>
      <c r="BA976" s="48">
        <v>32</v>
      </c>
      <c r="BB976" s="47" t="s">
        <v>2485</v>
      </c>
      <c r="BC976" s="47" t="s">
        <v>8726</v>
      </c>
      <c r="BD976" s="47" t="s">
        <v>8374</v>
      </c>
      <c r="BE976" s="48" t="s">
        <v>2449</v>
      </c>
      <c r="BF976" s="48" t="s">
        <v>272</v>
      </c>
      <c r="BG976" s="48" t="s">
        <v>272</v>
      </c>
      <c r="BH976" s="48" t="s">
        <v>2486</v>
      </c>
      <c r="BI976" s="98">
        <v>1.831168E-3</v>
      </c>
      <c r="BJ976" s="98">
        <v>18.311679999999999</v>
      </c>
      <c r="BK976" s="48"/>
      <c r="BL976" s="487">
        <v>27.932204718182881</v>
      </c>
      <c r="BM976" s="47" t="s">
        <v>2487</v>
      </c>
      <c r="BN976" s="48"/>
      <c r="BO976" s="48"/>
      <c r="BP976" s="48"/>
      <c r="BQ976" s="48"/>
      <c r="BR976" s="47" t="e">
        <v>#VALUE!</v>
      </c>
      <c r="BS976" s="48"/>
      <c r="BT976" s="48"/>
      <c r="BU976" s="228">
        <v>1.831168E-3</v>
      </c>
      <c r="BV976" s="48"/>
      <c r="BW976" s="48"/>
      <c r="BX976" s="48"/>
      <c r="BY976" s="48"/>
      <c r="BZ976" s="48"/>
      <c r="CA976" s="48"/>
      <c r="CB976" s="48"/>
      <c r="CC976" s="48"/>
      <c r="CD976" s="48"/>
      <c r="CE976" s="48"/>
      <c r="CF976" s="48"/>
      <c r="CG976" s="48"/>
      <c r="CH976" s="48"/>
      <c r="CI976" s="98"/>
      <c r="CJ976" s="98"/>
      <c r="CK976" s="49">
        <f t="shared" si="205"/>
        <v>1.5253764110219752</v>
      </c>
      <c r="CL976" s="229"/>
      <c r="CM976" s="229"/>
      <c r="CN976" s="229"/>
      <c r="CO976" s="47" t="s">
        <v>2488</v>
      </c>
      <c r="CP976" s="500" t="s">
        <v>2489</v>
      </c>
      <c r="CQ976" s="224">
        <v>1.0878502860140404</v>
      </c>
      <c r="CR976" s="224">
        <f>10^(CJ976-CQ976)</f>
        <v>8.1686391966607541E-2</v>
      </c>
      <c r="CS976" s="230" t="s">
        <v>539</v>
      </c>
      <c r="CT976" s="230"/>
      <c r="CU976" s="230"/>
      <c r="CV976" s="335">
        <f t="shared" si="206"/>
        <v>0.14199084268288423</v>
      </c>
      <c r="CW976" s="230">
        <f t="shared" si="198"/>
        <v>0</v>
      </c>
      <c r="CX976" s="336"/>
      <c r="CY976" s="230" t="s">
        <v>5921</v>
      </c>
    </row>
    <row r="977" spans="1:103" ht="11.25" customHeight="1" x14ac:dyDescent="0.2">
      <c r="A977" s="72">
        <v>1379</v>
      </c>
      <c r="B977" s="224">
        <v>1493</v>
      </c>
      <c r="C977" s="46" t="s">
        <v>7449</v>
      </c>
      <c r="D977" s="46"/>
      <c r="E977" s="114"/>
      <c r="F977" s="114" t="s">
        <v>3720</v>
      </c>
      <c r="G977" s="225">
        <v>50594666</v>
      </c>
      <c r="H977" s="47" t="s">
        <v>3721</v>
      </c>
      <c r="I977" s="47" t="s">
        <v>8128</v>
      </c>
      <c r="J977" s="47" t="s">
        <v>3722</v>
      </c>
      <c r="K977" s="47" t="s">
        <v>426</v>
      </c>
      <c r="L977" s="47" t="s">
        <v>5955</v>
      </c>
      <c r="M977" s="47" t="s">
        <v>5958</v>
      </c>
      <c r="N977" s="47"/>
      <c r="O977" s="47" t="s">
        <v>5957</v>
      </c>
      <c r="P977" s="53"/>
      <c r="Q977" s="53"/>
      <c r="R977" s="53"/>
      <c r="S977" s="53"/>
      <c r="T977" s="48">
        <v>361.66</v>
      </c>
      <c r="U977" s="98">
        <v>120</v>
      </c>
      <c r="V977" s="98">
        <v>1.4850000000000001</v>
      </c>
      <c r="W977" s="98">
        <v>70.51807979484947</v>
      </c>
      <c r="X977" s="98">
        <v>120</v>
      </c>
      <c r="Y977" s="233">
        <v>3.72</v>
      </c>
      <c r="Z977" s="48">
        <v>4.17</v>
      </c>
      <c r="AA977" s="48">
        <v>3.7</v>
      </c>
      <c r="AB977" s="48">
        <v>4.04</v>
      </c>
      <c r="AC977" s="48">
        <v>0.89410000000000001</v>
      </c>
      <c r="AD977" s="48">
        <v>4.0999999999999996</v>
      </c>
      <c r="AE977" s="48">
        <v>4.3499999999999996</v>
      </c>
      <c r="AF977" s="48">
        <f t="shared" si="202"/>
        <v>3.7</v>
      </c>
      <c r="AG977" s="49">
        <v>3.82</v>
      </c>
      <c r="AH977" s="98">
        <v>6.0300000000000001E-11</v>
      </c>
      <c r="AI977" s="98"/>
      <c r="AJ977" s="483">
        <f t="shared" si="203"/>
        <v>-8.6082490141725003</v>
      </c>
      <c r="AK977" s="483"/>
      <c r="AL977" s="483">
        <f t="shared" si="204"/>
        <v>-8.6082490141725003</v>
      </c>
      <c r="AM977" s="483">
        <v>-13.366</v>
      </c>
      <c r="AN977" s="226">
        <v>-8.4</v>
      </c>
      <c r="AO977" s="484">
        <v>1.93</v>
      </c>
      <c r="AP977" s="484"/>
      <c r="AQ977" s="48" t="s">
        <v>6311</v>
      </c>
      <c r="AR977" s="48" t="s">
        <v>6311</v>
      </c>
      <c r="AS977" s="227"/>
      <c r="AT977" s="50" t="s">
        <v>266</v>
      </c>
      <c r="AU977" s="48">
        <v>6</v>
      </c>
      <c r="AV977" s="48">
        <v>120</v>
      </c>
      <c r="AW977" s="48">
        <v>114</v>
      </c>
      <c r="AX977" s="48">
        <v>28</v>
      </c>
      <c r="AY977" s="48" t="s">
        <v>8728</v>
      </c>
      <c r="AZ977" s="48" t="s">
        <v>1563</v>
      </c>
      <c r="BA977" s="48">
        <v>32</v>
      </c>
      <c r="BB977" s="47" t="s">
        <v>2485</v>
      </c>
      <c r="BC977" s="47" t="s">
        <v>8726</v>
      </c>
      <c r="BD977" s="47" t="s">
        <v>8374</v>
      </c>
      <c r="BE977" s="48" t="s">
        <v>2449</v>
      </c>
      <c r="BF977" s="48" t="s">
        <v>272</v>
      </c>
      <c r="BG977" s="48" t="s">
        <v>272</v>
      </c>
      <c r="BH977" s="48" t="s">
        <v>2486</v>
      </c>
      <c r="BI977" s="98">
        <v>2.3146239999999999E-3</v>
      </c>
      <c r="BJ977" s="98">
        <v>23.146240000000002</v>
      </c>
      <c r="BK977" s="48"/>
      <c r="BL977" s="487">
        <v>3.3421310710076866</v>
      </c>
      <c r="BM977" s="47" t="s">
        <v>2487</v>
      </c>
      <c r="BN977" s="48"/>
      <c r="BO977" s="48"/>
      <c r="BP977" s="48"/>
      <c r="BQ977" s="48"/>
      <c r="BR977" s="47" t="e">
        <v>#VALUE!</v>
      </c>
      <c r="BS977" s="48"/>
      <c r="BT977" s="48"/>
      <c r="BU977" s="228"/>
      <c r="BV977" s="48"/>
      <c r="BW977" s="48"/>
      <c r="BX977" s="48"/>
      <c r="BY977" s="48"/>
      <c r="BZ977" s="48"/>
      <c r="CA977" s="48"/>
      <c r="CB977" s="48"/>
      <c r="CC977" s="48"/>
      <c r="CD977" s="48"/>
      <c r="CE977" s="48"/>
      <c r="CF977" s="48"/>
      <c r="CG977" s="48"/>
      <c r="CH977" s="48"/>
      <c r="CI977" s="98"/>
      <c r="CJ977" s="98"/>
      <c r="CK977" s="49">
        <f t="shared" si="205"/>
        <v>0.14439196478597327</v>
      </c>
      <c r="CL977" s="229"/>
      <c r="CM977" s="229"/>
      <c r="CN977" s="229"/>
      <c r="CO977" s="47" t="s">
        <v>2488</v>
      </c>
      <c r="CP977" s="500" t="s">
        <v>2489</v>
      </c>
      <c r="CQ977" s="224" t="s">
        <v>272</v>
      </c>
      <c r="CR977" s="224"/>
      <c r="CS977" s="230" t="s">
        <v>539</v>
      </c>
      <c r="CT977" s="230"/>
      <c r="CU977" s="230"/>
      <c r="CV977" s="335">
        <f t="shared" si="206"/>
        <v>5.1844273627163631</v>
      </c>
      <c r="CW977" s="230">
        <f t="shared" si="198"/>
        <v>1</v>
      </c>
      <c r="CX977" s="336"/>
      <c r="CY977" s="230" t="s">
        <v>5921</v>
      </c>
    </row>
    <row r="978" spans="1:103" ht="11.25" customHeight="1" x14ac:dyDescent="0.2">
      <c r="A978" s="72">
        <v>1380</v>
      </c>
      <c r="B978" s="224">
        <v>1244</v>
      </c>
      <c r="C978" s="46" t="s">
        <v>7450</v>
      </c>
      <c r="D978" s="46"/>
      <c r="E978" s="114"/>
      <c r="F978" s="114" t="s">
        <v>3420</v>
      </c>
      <c r="G978" s="225">
        <v>50892234</v>
      </c>
      <c r="H978" s="47" t="s">
        <v>3421</v>
      </c>
      <c r="I978" s="47" t="s">
        <v>7746</v>
      </c>
      <c r="J978" s="47" t="s">
        <v>3422</v>
      </c>
      <c r="K978" s="47" t="s">
        <v>426</v>
      </c>
      <c r="L978" s="47"/>
      <c r="M978" s="47"/>
      <c r="N978" s="47"/>
      <c r="O978" s="47"/>
      <c r="P978" s="53"/>
      <c r="Q978" s="53"/>
      <c r="R978" s="53"/>
      <c r="S978" s="53"/>
      <c r="T978" s="48">
        <v>323.8</v>
      </c>
      <c r="U978" s="98"/>
      <c r="V978" s="98">
        <v>47.42</v>
      </c>
      <c r="W978" s="98">
        <v>36.330957550297526</v>
      </c>
      <c r="X978" s="98">
        <v>36.330957550297526</v>
      </c>
      <c r="Y978" s="233">
        <v>3.98</v>
      </c>
      <c r="Z978" s="48">
        <v>3.12</v>
      </c>
      <c r="AA978" s="48"/>
      <c r="AB978" s="48">
        <v>4.09</v>
      </c>
      <c r="AC978" s="48">
        <v>0.82750000000000001</v>
      </c>
      <c r="AD978" s="48">
        <v>4.29</v>
      </c>
      <c r="AE978" s="48">
        <v>4.92</v>
      </c>
      <c r="AF978" s="48">
        <f t="shared" si="202"/>
        <v>4.29</v>
      </c>
      <c r="AG978" s="49">
        <v>3.86</v>
      </c>
      <c r="AH978" s="98">
        <v>2.73E-13</v>
      </c>
      <c r="AI978" s="98"/>
      <c r="AJ978" s="483">
        <f t="shared" si="203"/>
        <v>-10.952403679271896</v>
      </c>
      <c r="AK978" s="483"/>
      <c r="AL978" s="483">
        <f t="shared" si="204"/>
        <v>-10.952403679271896</v>
      </c>
      <c r="AM978" s="483">
        <v>-16.533899999999999</v>
      </c>
      <c r="AN978" s="226">
        <v>-12</v>
      </c>
      <c r="AO978" s="484">
        <v>2.99</v>
      </c>
      <c r="AP978" s="484">
        <v>0.53</v>
      </c>
      <c r="AQ978" s="48" t="s">
        <v>6311</v>
      </c>
      <c r="AR978" s="48" t="s">
        <v>6311</v>
      </c>
      <c r="AS978" s="227"/>
      <c r="AT978" s="50" t="s">
        <v>266</v>
      </c>
      <c r="AU978" s="48">
        <v>6</v>
      </c>
      <c r="AV978" s="48">
        <v>120</v>
      </c>
      <c r="AW978" s="48">
        <v>114</v>
      </c>
      <c r="AX978" s="48">
        <v>28</v>
      </c>
      <c r="AY978" s="48" t="s">
        <v>8728</v>
      </c>
      <c r="AZ978" s="48" t="s">
        <v>1563</v>
      </c>
      <c r="BA978" s="48">
        <v>32</v>
      </c>
      <c r="BB978" s="47" t="s">
        <v>2485</v>
      </c>
      <c r="BC978" s="47" t="s">
        <v>8726</v>
      </c>
      <c r="BD978" s="47" t="s">
        <v>8374</v>
      </c>
      <c r="BE978" s="48" t="s">
        <v>2449</v>
      </c>
      <c r="BF978" s="48" t="s">
        <v>272</v>
      </c>
      <c r="BG978" s="48" t="s">
        <v>272</v>
      </c>
      <c r="BH978" s="48" t="s">
        <v>2486</v>
      </c>
      <c r="BI978" s="98">
        <v>2.0723199999999999E-3</v>
      </c>
      <c r="BJ978" s="98">
        <v>20.723200000000002</v>
      </c>
      <c r="BK978" s="48"/>
      <c r="BL978" s="487">
        <v>26.242478158741637</v>
      </c>
      <c r="BM978" s="47" t="s">
        <v>2487</v>
      </c>
      <c r="BN978" s="48"/>
      <c r="BO978" s="48"/>
      <c r="BP978" s="48"/>
      <c r="BQ978" s="48"/>
      <c r="BR978" s="47" t="e">
        <v>#VALUE!</v>
      </c>
      <c r="BS978" s="48"/>
      <c r="BT978" s="48"/>
      <c r="BU978" s="228">
        <v>2.0723200000000004</v>
      </c>
      <c r="BV978" s="48"/>
      <c r="BW978" s="48"/>
      <c r="BX978" s="48"/>
      <c r="BY978" s="48"/>
      <c r="BZ978" s="48"/>
      <c r="CA978" s="48"/>
      <c r="CB978" s="48"/>
      <c r="CC978" s="48"/>
      <c r="CD978" s="48"/>
      <c r="CE978" s="48"/>
      <c r="CF978" s="48"/>
      <c r="CG978" s="48"/>
      <c r="CH978" s="48"/>
      <c r="CI978" s="98"/>
      <c r="CJ978" s="98"/>
      <c r="CK978" s="49">
        <f t="shared" si="205"/>
        <v>1.2663332959553368</v>
      </c>
      <c r="CL978" s="229"/>
      <c r="CM978" s="229"/>
      <c r="CN978" s="229"/>
      <c r="CO978" s="47" t="s">
        <v>2488</v>
      </c>
      <c r="CP978" s="500" t="s">
        <v>2489</v>
      </c>
      <c r="CQ978" s="224" t="s">
        <v>272</v>
      </c>
      <c r="CR978" s="224"/>
      <c r="CS978" s="230" t="s">
        <v>539</v>
      </c>
      <c r="CT978" s="230"/>
      <c r="CU978" s="230"/>
      <c r="CV978" s="335">
        <f t="shared" si="206"/>
        <v>1.7531538348468152</v>
      </c>
      <c r="CW978" s="230">
        <f t="shared" si="198"/>
        <v>1</v>
      </c>
      <c r="CX978" s="336"/>
      <c r="CY978" s="230" t="s">
        <v>5921</v>
      </c>
    </row>
    <row r="979" spans="1:103" ht="11.25" customHeight="1" x14ac:dyDescent="0.2">
      <c r="A979" s="72">
        <v>1381</v>
      </c>
      <c r="B979" s="224">
        <v>1189</v>
      </c>
      <c r="C979" s="46" t="s">
        <v>1307</v>
      </c>
      <c r="D979" s="46"/>
      <c r="E979" s="114"/>
      <c r="F979" s="114" t="s">
        <v>1308</v>
      </c>
      <c r="G979" s="225">
        <v>51218452</v>
      </c>
      <c r="H979" s="47" t="s">
        <v>1309</v>
      </c>
      <c r="I979" s="47" t="s">
        <v>8129</v>
      </c>
      <c r="J979" s="47" t="s">
        <v>1310</v>
      </c>
      <c r="K979" s="47" t="s">
        <v>924</v>
      </c>
      <c r="L979" s="47" t="s">
        <v>5999</v>
      </c>
      <c r="M979" s="47" t="s">
        <v>6082</v>
      </c>
      <c r="N979" s="47" t="s">
        <v>6082</v>
      </c>
      <c r="O979" s="47" t="s">
        <v>6083</v>
      </c>
      <c r="P979" s="53"/>
      <c r="Q979" s="53"/>
      <c r="R979" s="53"/>
      <c r="S979" s="53"/>
      <c r="T979" s="48">
        <v>283.79000000000002</v>
      </c>
      <c r="U979" s="98">
        <v>530</v>
      </c>
      <c r="V979" s="98">
        <v>50.86</v>
      </c>
      <c r="W979" s="98">
        <v>516.4129066649266</v>
      </c>
      <c r="X979" s="98">
        <v>530</v>
      </c>
      <c r="Y979" s="233">
        <v>7.01</v>
      </c>
      <c r="Z979" s="48">
        <v>3.24</v>
      </c>
      <c r="AA979" s="48">
        <v>2.9</v>
      </c>
      <c r="AB979" s="48">
        <v>3.28</v>
      </c>
      <c r="AC979" s="48">
        <v>0.85260000000000002</v>
      </c>
      <c r="AD979" s="48">
        <v>3.22</v>
      </c>
      <c r="AE979" s="48">
        <v>3</v>
      </c>
      <c r="AF979" s="48">
        <f t="shared" si="202"/>
        <v>2.9</v>
      </c>
      <c r="AG979" s="49">
        <v>3.4</v>
      </c>
      <c r="AH979" s="98">
        <v>1.49E-9</v>
      </c>
      <c r="AI979" s="98">
        <v>8.9999999999999995E-9</v>
      </c>
      <c r="AJ979" s="483">
        <f t="shared" si="203"/>
        <v>-7.2153800579003775</v>
      </c>
      <c r="AK979" s="483">
        <f>LOG10(AI979*1000/(0.08206*298.15))</f>
        <v>-6.4343238168733272</v>
      </c>
      <c r="AL979" s="483">
        <f t="shared" si="204"/>
        <v>-6.4343238168733272</v>
      </c>
      <c r="AM979" s="483">
        <v>-10.885639999999999</v>
      </c>
      <c r="AN979" s="226">
        <v>-5.2</v>
      </c>
      <c r="AO979" s="484"/>
      <c r="AP979" s="484">
        <v>1.45</v>
      </c>
      <c r="AQ979" s="48" t="s">
        <v>6311</v>
      </c>
      <c r="AR979" s="48" t="s">
        <v>6311</v>
      </c>
      <c r="AS979" s="227"/>
      <c r="AT979" s="50" t="s">
        <v>266</v>
      </c>
      <c r="AU979" s="48">
        <v>6</v>
      </c>
      <c r="AV979" s="48">
        <v>120</v>
      </c>
      <c r="AW979" s="48">
        <v>114</v>
      </c>
      <c r="AX979" s="48">
        <v>28</v>
      </c>
      <c r="AY979" s="48" t="s">
        <v>8728</v>
      </c>
      <c r="AZ979" s="48" t="s">
        <v>1563</v>
      </c>
      <c r="BA979" s="48">
        <v>32</v>
      </c>
      <c r="BB979" s="47" t="s">
        <v>2485</v>
      </c>
      <c r="BC979" s="47" t="s">
        <v>8726</v>
      </c>
      <c r="BD979" s="47" t="s">
        <v>8374</v>
      </c>
      <c r="BE979" s="48" t="s">
        <v>2449</v>
      </c>
      <c r="BF979" s="48" t="s">
        <v>272</v>
      </c>
      <c r="BG979" s="48" t="s">
        <v>272</v>
      </c>
      <c r="BH979" s="48" t="s">
        <v>2486</v>
      </c>
      <c r="BI979" s="98">
        <v>1.816256E-3</v>
      </c>
      <c r="BJ979" s="98">
        <v>18.162560000000003</v>
      </c>
      <c r="BK979" s="48"/>
      <c r="BL979" s="487">
        <v>17.945397722670076</v>
      </c>
      <c r="BM979" s="47" t="s">
        <v>2487</v>
      </c>
      <c r="BN979" s="48"/>
      <c r="BO979" s="48"/>
      <c r="BP979" s="48"/>
      <c r="BQ979" s="48"/>
      <c r="BR979" s="47" t="e">
        <v>#VALUE!</v>
      </c>
      <c r="BS979" s="48"/>
      <c r="BT979" s="48"/>
      <c r="BU979" s="228">
        <v>1.8162560000000001E-2</v>
      </c>
      <c r="BV979" s="48"/>
      <c r="BW979" s="48"/>
      <c r="BX979" s="48"/>
      <c r="BY979" s="48"/>
      <c r="BZ979" s="48"/>
      <c r="CA979" s="48"/>
      <c r="CB979" s="48"/>
      <c r="CC979" s="48"/>
      <c r="CD979" s="48"/>
      <c r="CE979" s="48"/>
      <c r="CF979" s="48"/>
      <c r="CG979" s="48"/>
      <c r="CH979" s="48"/>
      <c r="CI979" s="98"/>
      <c r="CJ979" s="98"/>
      <c r="CK979" s="49">
        <f t="shared" si="205"/>
        <v>0.98804341032707255</v>
      </c>
      <c r="CL979" s="229"/>
      <c r="CM979" s="229">
        <v>0.85250397966666791</v>
      </c>
      <c r="CN979" s="229">
        <f>BJ979/(10^CM979)</f>
        <v>2.5507804651387258</v>
      </c>
      <c r="CO979" s="47" t="s">
        <v>2488</v>
      </c>
      <c r="CP979" s="500" t="s">
        <v>2489</v>
      </c>
      <c r="CQ979" s="224">
        <v>0.90647544647743228</v>
      </c>
      <c r="CR979" s="224">
        <f>10^(CJ979-CQ979)</f>
        <v>0.12402937450970943</v>
      </c>
      <c r="CS979" s="230" t="s">
        <v>539</v>
      </c>
      <c r="CT979" s="230"/>
      <c r="CU979" s="230"/>
      <c r="CV979" s="335">
        <f t="shared" si="206"/>
        <v>29.180908418196548</v>
      </c>
      <c r="CW979" s="230">
        <f t="shared" si="198"/>
        <v>1</v>
      </c>
      <c r="CX979" s="336"/>
      <c r="CY979" s="230" t="s">
        <v>5921</v>
      </c>
    </row>
    <row r="980" spans="1:103" ht="11.25" customHeight="1" x14ac:dyDescent="0.2">
      <c r="A980" s="72">
        <v>1383</v>
      </c>
      <c r="B980" s="224">
        <v>1158</v>
      </c>
      <c r="C980" s="46" t="s">
        <v>7451</v>
      </c>
      <c r="D980" s="46" t="s">
        <v>8667</v>
      </c>
      <c r="E980" s="114"/>
      <c r="F980" s="114" t="s">
        <v>3201</v>
      </c>
      <c r="G980" s="225">
        <v>51235042</v>
      </c>
      <c r="H980" s="47" t="s">
        <v>3202</v>
      </c>
      <c r="I980" s="47" t="s">
        <v>8130</v>
      </c>
      <c r="J980" s="47" t="s">
        <v>3203</v>
      </c>
      <c r="K980" s="47" t="s">
        <v>3204</v>
      </c>
      <c r="L980" s="51" t="s">
        <v>6056</v>
      </c>
      <c r="M980" s="47" t="s">
        <v>6082</v>
      </c>
      <c r="N980" s="47" t="s">
        <v>6082</v>
      </c>
      <c r="O980" s="47" t="s">
        <v>6083</v>
      </c>
      <c r="P980" s="53"/>
      <c r="Q980" s="53"/>
      <c r="R980" s="53"/>
      <c r="S980" s="53"/>
      <c r="T980" s="48">
        <v>252.31</v>
      </c>
      <c r="U980" s="98">
        <v>33000</v>
      </c>
      <c r="V980" s="98">
        <v>604.20000000000005</v>
      </c>
      <c r="W980" s="98">
        <v>503.42463468979759</v>
      </c>
      <c r="X980" s="98">
        <v>33000</v>
      </c>
      <c r="Y980" s="233">
        <v>7.04</v>
      </c>
      <c r="Z980" s="48">
        <v>2.15</v>
      </c>
      <c r="AA980" s="48">
        <v>1.85</v>
      </c>
      <c r="AB980" s="48">
        <v>1.95</v>
      </c>
      <c r="AC980" s="48">
        <v>0.6381</v>
      </c>
      <c r="AD980" s="48">
        <v>1.91</v>
      </c>
      <c r="AE980" s="48">
        <v>1.85</v>
      </c>
      <c r="AF980" s="48">
        <f t="shared" si="202"/>
        <v>1.85</v>
      </c>
      <c r="AG980" s="49">
        <v>1.69</v>
      </c>
      <c r="AH980" s="98">
        <v>4.1100000000000002E-13</v>
      </c>
      <c r="AI980" s="98">
        <v>2.2600000000000001E-12</v>
      </c>
      <c r="AJ980" s="483">
        <f t="shared" si="203"/>
        <v>-10.774724504436582</v>
      </c>
      <c r="AK980" s="483">
        <f>LOG10(AI980*1000/(0.08206*298.15))</f>
        <v>-10.034457887165251</v>
      </c>
      <c r="AL980" s="483">
        <f t="shared" si="204"/>
        <v>-10.034457887165251</v>
      </c>
      <c r="AM980" s="483">
        <v>-13.65523</v>
      </c>
      <c r="AN980" s="226">
        <v>-9.66</v>
      </c>
      <c r="AO980" s="484"/>
      <c r="AP980" s="484">
        <v>2.0499999999999998</v>
      </c>
      <c r="AQ980" s="48" t="s">
        <v>6311</v>
      </c>
      <c r="AR980" s="48" t="s">
        <v>6311</v>
      </c>
      <c r="AS980" s="227"/>
      <c r="AT980" s="50" t="s">
        <v>266</v>
      </c>
      <c r="AU980" s="48">
        <v>6</v>
      </c>
      <c r="AV980" s="48">
        <v>120</v>
      </c>
      <c r="AW980" s="48">
        <v>114</v>
      </c>
      <c r="AX980" s="48">
        <v>28</v>
      </c>
      <c r="AY980" s="48" t="s">
        <v>8728</v>
      </c>
      <c r="AZ980" s="48" t="s">
        <v>1563</v>
      </c>
      <c r="BA980" s="48">
        <v>32</v>
      </c>
      <c r="BB980" s="47" t="s">
        <v>2485</v>
      </c>
      <c r="BC980" s="47" t="s">
        <v>8726</v>
      </c>
      <c r="BD980" s="47" t="s">
        <v>8374</v>
      </c>
      <c r="BE980" s="48" t="s">
        <v>2449</v>
      </c>
      <c r="BF980" s="48" t="s">
        <v>272</v>
      </c>
      <c r="BG980" s="48" t="s">
        <v>272</v>
      </c>
      <c r="BH980" s="48" t="s">
        <v>2486</v>
      </c>
      <c r="BI980" s="98">
        <v>1.614784E-3</v>
      </c>
      <c r="BJ980" s="98">
        <v>16.147840000000002</v>
      </c>
      <c r="BK980" s="48"/>
      <c r="BL980" s="487">
        <v>151.9915568815984</v>
      </c>
      <c r="BM980" s="47" t="s">
        <v>2487</v>
      </c>
      <c r="BN980" s="48"/>
      <c r="BO980" s="48"/>
      <c r="BP980" s="48"/>
      <c r="BQ980" s="48"/>
      <c r="BR980" s="47" t="e">
        <v>#VALUE!</v>
      </c>
      <c r="BS980" s="48"/>
      <c r="BT980" s="48"/>
      <c r="BU980" s="228">
        <v>1.614784</v>
      </c>
      <c r="BV980" s="48"/>
      <c r="BW980" s="48"/>
      <c r="BX980" s="48"/>
      <c r="BY980" s="48"/>
      <c r="BZ980" s="48"/>
      <c r="CA980" s="48"/>
      <c r="CB980" s="48"/>
      <c r="CC980" s="48"/>
      <c r="CD980" s="48"/>
      <c r="CE980" s="48"/>
      <c r="CF980" s="48"/>
      <c r="CG980" s="48"/>
      <c r="CH980" s="48"/>
      <c r="CI980" s="98"/>
      <c r="CJ980" s="98"/>
      <c r="CK980" s="49">
        <f t="shared" si="205"/>
        <v>9.4125007977288835</v>
      </c>
      <c r="CL980" s="229"/>
      <c r="CM980" s="229"/>
      <c r="CN980" s="229"/>
      <c r="CO980" s="47" t="s">
        <v>2488</v>
      </c>
      <c r="CP980" s="500" t="s">
        <v>2489</v>
      </c>
      <c r="CQ980" s="224">
        <v>2.5416665800261642</v>
      </c>
      <c r="CR980" s="224">
        <f>10^(CJ980-CQ980)</f>
        <v>2.8729854065059476E-3</v>
      </c>
      <c r="CS980" s="230" t="s">
        <v>539</v>
      </c>
      <c r="CT980" s="230"/>
      <c r="CU980" s="230"/>
      <c r="CV980" s="335">
        <f t="shared" si="206"/>
        <v>2043.6169791129958</v>
      </c>
      <c r="CW980" s="230">
        <f t="shared" si="198"/>
        <v>1</v>
      </c>
      <c r="CX980" s="336"/>
      <c r="CY980" s="230" t="s">
        <v>5921</v>
      </c>
    </row>
    <row r="981" spans="1:103" ht="11.25" customHeight="1" x14ac:dyDescent="0.2">
      <c r="A981" s="72">
        <v>1385</v>
      </c>
      <c r="B981" s="224">
        <v>1897</v>
      </c>
      <c r="C981" s="46" t="s">
        <v>7452</v>
      </c>
      <c r="D981" s="46"/>
      <c r="E981" s="114"/>
      <c r="F981" s="114" t="s">
        <v>4041</v>
      </c>
      <c r="G981" s="225">
        <v>51707552</v>
      </c>
      <c r="H981" s="47" t="s">
        <v>4042</v>
      </c>
      <c r="I981" s="47" t="s">
        <v>4042</v>
      </c>
      <c r="J981" s="47" t="s">
        <v>4043</v>
      </c>
      <c r="K981" s="47" t="s">
        <v>1292</v>
      </c>
      <c r="L981" s="51"/>
      <c r="M981" s="47"/>
      <c r="N981" s="47"/>
      <c r="O981" s="47"/>
      <c r="P981" s="53"/>
      <c r="Q981" s="53"/>
      <c r="R981" s="53"/>
      <c r="S981" s="53"/>
      <c r="T981" s="48">
        <v>220.25</v>
      </c>
      <c r="U981" s="98">
        <v>20</v>
      </c>
      <c r="V981" s="98">
        <v>1057</v>
      </c>
      <c r="W981" s="98">
        <v>566.12967115484219</v>
      </c>
      <c r="X981" s="98">
        <v>20</v>
      </c>
      <c r="Y981" s="233">
        <v>6.6</v>
      </c>
      <c r="Z981" s="48">
        <v>2.1</v>
      </c>
      <c r="AA981" s="48">
        <v>1.77</v>
      </c>
      <c r="AB981" s="48">
        <v>1.79</v>
      </c>
      <c r="AC981" s="48">
        <v>0.78059999999999996</v>
      </c>
      <c r="AD981" s="48">
        <v>1.71</v>
      </c>
      <c r="AE981" s="48">
        <v>1.43</v>
      </c>
      <c r="AF981" s="48">
        <f t="shared" si="202"/>
        <v>1.77</v>
      </c>
      <c r="AG981" s="49">
        <v>1.8</v>
      </c>
      <c r="AH981" s="98">
        <v>3.5899999999999998E-13</v>
      </c>
      <c r="AI981" s="98">
        <v>3.3299999999999999E-13</v>
      </c>
      <c r="AJ981" s="483">
        <f t="shared" si="203"/>
        <v>-10.833471877734333</v>
      </c>
      <c r="AK981" s="483">
        <f>LOG10(AI981*1000/(0.08206*298.15))</f>
        <v>-10.866122092806332</v>
      </c>
      <c r="AL981" s="483">
        <f t="shared" si="204"/>
        <v>-10.866122092806332</v>
      </c>
      <c r="AM981" s="483">
        <v>-14.517139999999998</v>
      </c>
      <c r="AN981" s="226">
        <v>-10.7</v>
      </c>
      <c r="AO981" s="484">
        <v>12.05</v>
      </c>
      <c r="AP981" s="484">
        <v>0.22</v>
      </c>
      <c r="AQ981" s="226" t="s">
        <v>6311</v>
      </c>
      <c r="AR981" s="226" t="s">
        <v>6311</v>
      </c>
      <c r="AS981" s="224"/>
      <c r="AT981" s="50" t="s">
        <v>266</v>
      </c>
      <c r="AU981" s="48">
        <v>6</v>
      </c>
      <c r="AV981" s="48">
        <v>120</v>
      </c>
      <c r="AW981" s="48">
        <v>114</v>
      </c>
      <c r="AX981" s="48">
        <v>28</v>
      </c>
      <c r="AY981" s="48" t="s">
        <v>8728</v>
      </c>
      <c r="AZ981" s="48" t="s">
        <v>1563</v>
      </c>
      <c r="BA981" s="48">
        <v>32</v>
      </c>
      <c r="BB981" s="47" t="s">
        <v>2485</v>
      </c>
      <c r="BC981" s="47" t="s">
        <v>8726</v>
      </c>
      <c r="BD981" s="47" t="s">
        <v>8374</v>
      </c>
      <c r="BE981" s="48" t="s">
        <v>2449</v>
      </c>
      <c r="BF981" s="48" t="s">
        <v>272</v>
      </c>
      <c r="BG981" s="48" t="s">
        <v>272</v>
      </c>
      <c r="BH981" s="48" t="s">
        <v>2486</v>
      </c>
      <c r="BI981" s="98">
        <v>1.4096E-3</v>
      </c>
      <c r="BJ981" s="98">
        <v>14.096</v>
      </c>
      <c r="BK981" s="48"/>
      <c r="BL981" s="487">
        <v>147.13158621162873</v>
      </c>
      <c r="BM981" s="47" t="s">
        <v>2487</v>
      </c>
      <c r="BN981" s="48"/>
      <c r="BO981" s="48"/>
      <c r="BP981" s="48"/>
      <c r="BQ981" s="48"/>
      <c r="BR981" s="47" t="e">
        <v>#VALUE!</v>
      </c>
      <c r="BS981" s="48"/>
      <c r="BT981" s="48"/>
      <c r="BU981" s="228"/>
      <c r="BV981" s="48"/>
      <c r="BW981" s="48"/>
      <c r="BX981" s="48"/>
      <c r="BY981" s="48"/>
      <c r="BZ981" s="48"/>
      <c r="CA981" s="48"/>
      <c r="CB981" s="48"/>
      <c r="CC981" s="48"/>
      <c r="CD981" s="48"/>
      <c r="CE981" s="48"/>
      <c r="CF981" s="48"/>
      <c r="CG981" s="48"/>
      <c r="CH981" s="48"/>
      <c r="CI981" s="98"/>
      <c r="CJ981" s="98"/>
      <c r="CK981" s="49">
        <f t="shared" si="205"/>
        <v>10.437825355535523</v>
      </c>
      <c r="CL981" s="229"/>
      <c r="CM981" s="229"/>
      <c r="CN981" s="229"/>
      <c r="CO981" s="47" t="s">
        <v>2488</v>
      </c>
      <c r="CP981" s="500" t="s">
        <v>2489</v>
      </c>
      <c r="CQ981" s="224" t="s">
        <v>272</v>
      </c>
      <c r="CR981" s="224"/>
      <c r="CS981" s="230" t="s">
        <v>539</v>
      </c>
      <c r="CT981" s="230"/>
      <c r="CU981" s="230"/>
      <c r="CV981" s="335">
        <f t="shared" si="206"/>
        <v>1.4188422247446084</v>
      </c>
      <c r="CW981" s="230">
        <f t="shared" si="198"/>
        <v>1</v>
      </c>
      <c r="CX981" s="336"/>
      <c r="CY981" s="230" t="s">
        <v>5921</v>
      </c>
    </row>
    <row r="982" spans="1:103" ht="11.25" customHeight="1" x14ac:dyDescent="0.2">
      <c r="A982" s="72">
        <v>1387</v>
      </c>
      <c r="B982" s="224">
        <v>1261</v>
      </c>
      <c r="C982" s="46" t="s">
        <v>7453</v>
      </c>
      <c r="D982" s="46" t="s">
        <v>8668</v>
      </c>
      <c r="E982" s="114"/>
      <c r="F982" s="114" t="s">
        <v>3459</v>
      </c>
      <c r="G982" s="225">
        <v>53112280</v>
      </c>
      <c r="H982" s="47" t="s">
        <v>3460</v>
      </c>
      <c r="I982" s="47" t="s">
        <v>3460</v>
      </c>
      <c r="J982" s="47" t="s">
        <v>3461</v>
      </c>
      <c r="K982" s="47" t="s">
        <v>426</v>
      </c>
      <c r="L982" s="47" t="s">
        <v>6139</v>
      </c>
      <c r="M982" s="47" t="s">
        <v>6082</v>
      </c>
      <c r="N982" s="47" t="s">
        <v>6082</v>
      </c>
      <c r="O982" s="47" t="s">
        <v>6083</v>
      </c>
      <c r="P982" s="53"/>
      <c r="Q982" s="53"/>
      <c r="R982" s="53"/>
      <c r="S982" s="53"/>
      <c r="T982" s="48">
        <v>199.25</v>
      </c>
      <c r="U982" s="98">
        <v>121</v>
      </c>
      <c r="V982" s="98">
        <v>165.8</v>
      </c>
      <c r="W982" s="98">
        <v>141.05819753853945</v>
      </c>
      <c r="X982" s="98">
        <v>121</v>
      </c>
      <c r="Y982" s="233">
        <v>7.46</v>
      </c>
      <c r="Z982" s="48">
        <v>3.19</v>
      </c>
      <c r="AA982" s="48">
        <v>2.84</v>
      </c>
      <c r="AB982" s="48">
        <v>3.28</v>
      </c>
      <c r="AC982" s="48">
        <v>0.87819999999999998</v>
      </c>
      <c r="AD982" s="48">
        <v>3.18</v>
      </c>
      <c r="AE982" s="48">
        <v>2.84</v>
      </c>
      <c r="AF982" s="48">
        <f t="shared" si="202"/>
        <v>2.84</v>
      </c>
      <c r="AG982" s="49">
        <v>3.09</v>
      </c>
      <c r="AH982" s="98">
        <v>2.4600000000000002E-6</v>
      </c>
      <c r="AI982" s="98">
        <v>3.5800000000000003E-8</v>
      </c>
      <c r="AJ982" s="483">
        <f t="shared" si="203"/>
        <v>-3.9976312192092727</v>
      </c>
      <c r="AK982" s="483">
        <f>LOG10(AI982*1000/(0.08206*298.15))</f>
        <v>-5.834683299668777</v>
      </c>
      <c r="AL982" s="483">
        <f t="shared" si="204"/>
        <v>-5.834683299668777</v>
      </c>
      <c r="AM982" s="483">
        <v>-9.3730799999999981</v>
      </c>
      <c r="AN982" s="226">
        <v>-5.49</v>
      </c>
      <c r="AO982" s="484"/>
      <c r="AP982" s="484">
        <v>4.01</v>
      </c>
      <c r="AQ982" s="48" t="s">
        <v>6311</v>
      </c>
      <c r="AR982" s="48" t="s">
        <v>6311</v>
      </c>
      <c r="AS982" s="227"/>
      <c r="AT982" s="50" t="s">
        <v>266</v>
      </c>
      <c r="AU982" s="48">
        <v>6</v>
      </c>
      <c r="AV982" s="48">
        <v>120</v>
      </c>
      <c r="AW982" s="48">
        <v>114</v>
      </c>
      <c r="AX982" s="48">
        <v>28</v>
      </c>
      <c r="AY982" s="48" t="s">
        <v>8728</v>
      </c>
      <c r="AZ982" s="48" t="s">
        <v>1563</v>
      </c>
      <c r="BA982" s="48">
        <v>32</v>
      </c>
      <c r="BB982" s="47" t="s">
        <v>2485</v>
      </c>
      <c r="BC982" s="47" t="s">
        <v>8726</v>
      </c>
      <c r="BD982" s="47" t="s">
        <v>8374</v>
      </c>
      <c r="BE982" s="48" t="s">
        <v>2449</v>
      </c>
      <c r="BF982" s="48" t="s">
        <v>272</v>
      </c>
      <c r="BG982" s="48" t="s">
        <v>272</v>
      </c>
      <c r="BH982" s="48" t="s">
        <v>2486</v>
      </c>
      <c r="BI982" s="98">
        <v>1.2752E-3</v>
      </c>
      <c r="BJ982" s="98">
        <v>12.752000000000001</v>
      </c>
      <c r="BK982" s="48"/>
      <c r="BL982" s="487">
        <v>13.97202422862426</v>
      </c>
      <c r="BM982" s="47" t="s">
        <v>2487</v>
      </c>
      <c r="BN982" s="48"/>
      <c r="BO982" s="48"/>
      <c r="BP982" s="48"/>
      <c r="BQ982" s="48"/>
      <c r="BR982" s="47" t="e">
        <v>#VALUE!</v>
      </c>
      <c r="BS982" s="48"/>
      <c r="BT982" s="48"/>
      <c r="BU982" s="228">
        <v>1.2752E-3</v>
      </c>
      <c r="BV982" s="48"/>
      <c r="BW982" s="48"/>
      <c r="BX982" s="48"/>
      <c r="BY982" s="48"/>
      <c r="BZ982" s="48"/>
      <c r="CA982" s="48"/>
      <c r="CB982" s="48"/>
      <c r="CC982" s="48"/>
      <c r="CD982" s="48"/>
      <c r="CE982" s="48"/>
      <c r="CF982" s="48"/>
      <c r="CG982" s="48"/>
      <c r="CH982" s="48"/>
      <c r="CI982" s="98"/>
      <c r="CJ982" s="98"/>
      <c r="CK982" s="49">
        <f t="shared" si="205"/>
        <v>1.0956731672384143</v>
      </c>
      <c r="CL982" s="229"/>
      <c r="CM982" s="229"/>
      <c r="CN982" s="229"/>
      <c r="CO982" s="47" t="s">
        <v>2488</v>
      </c>
      <c r="CP982" s="500" t="s">
        <v>2489</v>
      </c>
      <c r="CQ982" s="224">
        <v>1.1428868733665685</v>
      </c>
      <c r="CR982" s="224">
        <f>10^(CJ982-CQ982)</f>
        <v>7.196364071453365E-2</v>
      </c>
      <c r="CS982" s="230" t="s">
        <v>539</v>
      </c>
      <c r="CT982" s="230"/>
      <c r="CU982" s="230"/>
      <c r="CV982" s="335">
        <f t="shared" si="206"/>
        <v>9.488707653701379</v>
      </c>
      <c r="CW982" s="230">
        <f t="shared" si="198"/>
        <v>1</v>
      </c>
      <c r="CX982" s="336"/>
      <c r="CY982" s="230" t="s">
        <v>5921</v>
      </c>
    </row>
    <row r="983" spans="1:103" ht="11.25" customHeight="1" x14ac:dyDescent="0.2">
      <c r="A983" s="72">
        <v>1389</v>
      </c>
      <c r="B983" s="224">
        <v>1550</v>
      </c>
      <c r="C983" s="46" t="s">
        <v>7454</v>
      </c>
      <c r="D983" s="46" t="s">
        <v>8669</v>
      </c>
      <c r="E983" s="114"/>
      <c r="F983" s="114" t="s">
        <v>3749</v>
      </c>
      <c r="G983" s="225">
        <v>54593838</v>
      </c>
      <c r="H983" s="47" t="s">
        <v>3750</v>
      </c>
      <c r="I983" s="47" t="s">
        <v>8131</v>
      </c>
      <c r="J983" s="47" t="s">
        <v>3751</v>
      </c>
      <c r="K983" s="47" t="s">
        <v>628</v>
      </c>
      <c r="L983" s="47" t="s">
        <v>617</v>
      </c>
      <c r="M983" s="47" t="s">
        <v>946</v>
      </c>
      <c r="N983" s="47" t="s">
        <v>6376</v>
      </c>
      <c r="O983" s="47" t="s">
        <v>918</v>
      </c>
      <c r="P983" s="53"/>
      <c r="Q983" s="53"/>
      <c r="R983" s="53"/>
      <c r="S983" s="53"/>
      <c r="T983" s="48">
        <v>336</v>
      </c>
      <c r="U983" s="98">
        <v>1</v>
      </c>
      <c r="V983" s="98">
        <v>0.90450000000000008</v>
      </c>
      <c r="W983" s="98">
        <v>3.064356420235852</v>
      </c>
      <c r="X983" s="98">
        <v>1</v>
      </c>
      <c r="Y983" s="233">
        <v>7</v>
      </c>
      <c r="Z983" s="48">
        <v>4.17</v>
      </c>
      <c r="AA983" s="48">
        <v>4.59</v>
      </c>
      <c r="AB983" s="48">
        <v>4.5999999999999996</v>
      </c>
      <c r="AC983" s="48">
        <v>0.75600000000000001</v>
      </c>
      <c r="AD983" s="48">
        <v>4.42</v>
      </c>
      <c r="AE983" s="48">
        <v>3.97</v>
      </c>
      <c r="AF983" s="48">
        <f t="shared" si="202"/>
        <v>4.59</v>
      </c>
      <c r="AG983" s="49">
        <v>4.1399999999999997</v>
      </c>
      <c r="AH983" s="98">
        <v>4.1500000000000001E-6</v>
      </c>
      <c r="AI983" s="98"/>
      <c r="AJ983" s="483">
        <f t="shared" si="203"/>
        <v>-3.770518229600559</v>
      </c>
      <c r="AK983" s="483"/>
      <c r="AL983" s="483">
        <f t="shared" si="204"/>
        <v>-3.770518229600559</v>
      </c>
      <c r="AM983" s="483">
        <v>-8.9857200000000006</v>
      </c>
      <c r="AN983" s="226">
        <v>-3.56</v>
      </c>
      <c r="AO983" s="484"/>
      <c r="AP983" s="484"/>
      <c r="AQ983" s="48" t="s">
        <v>6311</v>
      </c>
      <c r="AR983" s="48" t="s">
        <v>6311</v>
      </c>
      <c r="AS983" s="227"/>
      <c r="AT983" s="50" t="s">
        <v>266</v>
      </c>
      <c r="AU983" s="48">
        <v>6</v>
      </c>
      <c r="AV983" s="48">
        <v>120</v>
      </c>
      <c r="AW983" s="48">
        <v>114</v>
      </c>
      <c r="AX983" s="48">
        <v>28</v>
      </c>
      <c r="AY983" s="48" t="s">
        <v>8728</v>
      </c>
      <c r="AZ983" s="48" t="s">
        <v>1563</v>
      </c>
      <c r="BA983" s="48">
        <v>32</v>
      </c>
      <c r="BB983" s="47" t="s">
        <v>2485</v>
      </c>
      <c r="BC983" s="47" t="s">
        <v>8726</v>
      </c>
      <c r="BD983" s="47" t="s">
        <v>8374</v>
      </c>
      <c r="BE983" s="48" t="s">
        <v>2449</v>
      </c>
      <c r="BF983" s="48" t="s">
        <v>272</v>
      </c>
      <c r="BG983" s="48" t="s">
        <v>272</v>
      </c>
      <c r="BH983" s="48" t="s">
        <v>2486</v>
      </c>
      <c r="BI983" s="98">
        <v>2.1503999999999998E-3</v>
      </c>
      <c r="BJ983" s="98">
        <v>21.504000000000001</v>
      </c>
      <c r="BK983" s="48"/>
      <c r="BL983" s="487">
        <v>3.1050048107575696</v>
      </c>
      <c r="BM983" s="47" t="s">
        <v>2487</v>
      </c>
      <c r="BN983" s="48"/>
      <c r="BO983" s="48"/>
      <c r="BP983" s="48"/>
      <c r="BQ983" s="48"/>
      <c r="BR983" s="47" t="e">
        <v>#VALUE!</v>
      </c>
      <c r="BS983" s="48"/>
      <c r="BT983" s="48"/>
      <c r="BU983" s="228"/>
      <c r="BV983" s="48"/>
      <c r="BW983" s="48"/>
      <c r="BX983" s="48"/>
      <c r="BY983" s="48"/>
      <c r="BZ983" s="48"/>
      <c r="CA983" s="48"/>
      <c r="CB983" s="48"/>
      <c r="CC983" s="48"/>
      <c r="CD983" s="48"/>
      <c r="CE983" s="48"/>
      <c r="CF983" s="48"/>
      <c r="CG983" s="48"/>
      <c r="CH983" s="48"/>
      <c r="CI983" s="98"/>
      <c r="CJ983" s="98"/>
      <c r="CK983" s="49">
        <f t="shared" si="205"/>
        <v>0.14439196478597327</v>
      </c>
      <c r="CL983" s="229"/>
      <c r="CM983" s="229"/>
      <c r="CN983" s="229"/>
      <c r="CO983" s="47" t="s">
        <v>2488</v>
      </c>
      <c r="CP983" s="500" t="s">
        <v>2489</v>
      </c>
      <c r="CQ983" s="224">
        <v>-1.8444410786687473</v>
      </c>
      <c r="CR983" s="224">
        <f>10^(CJ983-CQ983)</f>
        <v>69.894190391712456</v>
      </c>
      <c r="CS983" s="230" t="s">
        <v>539</v>
      </c>
      <c r="CT983" s="230"/>
      <c r="CU983" s="230"/>
      <c r="CV983" s="335">
        <f t="shared" si="206"/>
        <v>4.6502976190476185E-2</v>
      </c>
      <c r="CW983" s="230">
        <f t="shared" si="198"/>
        <v>0</v>
      </c>
      <c r="CX983" s="336"/>
      <c r="CY983" s="230" t="s">
        <v>5921</v>
      </c>
    </row>
    <row r="984" spans="1:103" ht="11.25" customHeight="1" x14ac:dyDescent="0.2">
      <c r="A984" s="72">
        <v>1390</v>
      </c>
      <c r="B984" s="224">
        <v>1908</v>
      </c>
      <c r="C984" s="46" t="s">
        <v>1522</v>
      </c>
      <c r="D984" s="46"/>
      <c r="E984" s="114"/>
      <c r="F984" s="114" t="s">
        <v>1523</v>
      </c>
      <c r="G984" s="225">
        <v>55219653</v>
      </c>
      <c r="H984" s="47" t="s">
        <v>1524</v>
      </c>
      <c r="I984" s="47" t="s">
        <v>8132</v>
      </c>
      <c r="J984" s="47" t="s">
        <v>1525</v>
      </c>
      <c r="K984" s="47" t="s">
        <v>1112</v>
      </c>
      <c r="L984" s="47" t="s">
        <v>6015</v>
      </c>
      <c r="M984" s="47" t="s">
        <v>6082</v>
      </c>
      <c r="N984" s="47" t="s">
        <v>6082</v>
      </c>
      <c r="O984" s="47" t="s">
        <v>6083</v>
      </c>
      <c r="P984" s="53"/>
      <c r="Q984" s="53"/>
      <c r="R984" s="53"/>
      <c r="S984" s="53"/>
      <c r="T984" s="48">
        <v>295.76</v>
      </c>
      <c r="U984" s="98">
        <v>62</v>
      </c>
      <c r="V984" s="98">
        <v>98.499999999999986</v>
      </c>
      <c r="W984" s="98">
        <v>87.284964087885029</v>
      </c>
      <c r="X984" s="98">
        <v>62</v>
      </c>
      <c r="Y984" s="233">
        <v>7.01</v>
      </c>
      <c r="Z984" s="48">
        <v>2.95</v>
      </c>
      <c r="AA984" s="48">
        <v>3.08</v>
      </c>
      <c r="AB984" s="48">
        <v>3.05</v>
      </c>
      <c r="AC984" s="48">
        <v>0.81520000000000004</v>
      </c>
      <c r="AD984" s="48">
        <v>3.05</v>
      </c>
      <c r="AE984" s="48">
        <v>3.04</v>
      </c>
      <c r="AF984" s="48">
        <f t="shared" si="202"/>
        <v>3.08</v>
      </c>
      <c r="AG984" s="49">
        <v>3.13</v>
      </c>
      <c r="AH984" s="98">
        <v>1.58E-11</v>
      </c>
      <c r="AI984" s="98">
        <v>1.28E-12</v>
      </c>
      <c r="AJ984" s="483">
        <f t="shared" si="203"/>
        <v>-9.1899092393582293</v>
      </c>
      <c r="AK984" s="483">
        <f t="shared" ref="AK984:AK993" si="207">LOG10(AI984*1000/(0.08206*298.15))</f>
        <v>-10.281356356664784</v>
      </c>
      <c r="AL984" s="483">
        <f t="shared" si="204"/>
        <v>-10.281356356664784</v>
      </c>
      <c r="AM984" s="483">
        <v>-14.479389999999999</v>
      </c>
      <c r="AN984" s="226">
        <v>-8.8000000000000007</v>
      </c>
      <c r="AO984" s="484">
        <v>13.29</v>
      </c>
      <c r="AP984" s="484">
        <v>2.16</v>
      </c>
      <c r="AQ984" s="226" t="s">
        <v>6311</v>
      </c>
      <c r="AR984" s="226" t="s">
        <v>6311</v>
      </c>
      <c r="AS984" s="224"/>
      <c r="AT984" s="50" t="s">
        <v>266</v>
      </c>
      <c r="AU984" s="48">
        <v>6</v>
      </c>
      <c r="AV984" s="48">
        <v>120</v>
      </c>
      <c r="AW984" s="48">
        <v>114</v>
      </c>
      <c r="AX984" s="48">
        <v>28</v>
      </c>
      <c r="AY984" s="48" t="s">
        <v>8728</v>
      </c>
      <c r="AZ984" s="48" t="s">
        <v>1563</v>
      </c>
      <c r="BA984" s="48">
        <v>32</v>
      </c>
      <c r="BB984" s="47" t="s">
        <v>2485</v>
      </c>
      <c r="BC984" s="47" t="s">
        <v>8726</v>
      </c>
      <c r="BD984" s="47" t="s">
        <v>8374</v>
      </c>
      <c r="BE984" s="48" t="s">
        <v>2449</v>
      </c>
      <c r="BF984" s="48" t="s">
        <v>272</v>
      </c>
      <c r="BG984" s="48" t="s">
        <v>272</v>
      </c>
      <c r="BH984" s="48" t="s">
        <v>2486</v>
      </c>
      <c r="BI984" s="98">
        <v>1.892864E-3</v>
      </c>
      <c r="BJ984" s="98">
        <v>18.928640000000001</v>
      </c>
      <c r="BK984" s="48"/>
      <c r="BL984" s="487">
        <v>34.067827343499928</v>
      </c>
      <c r="BM984" s="47" t="s">
        <v>2487</v>
      </c>
      <c r="BN984" s="48"/>
      <c r="BO984" s="48"/>
      <c r="BP984" s="48"/>
      <c r="BQ984" s="48"/>
      <c r="BR984" s="47" t="e">
        <v>#VALUE!</v>
      </c>
      <c r="BS984" s="48"/>
      <c r="BT984" s="48"/>
      <c r="BU984" s="228"/>
      <c r="BV984" s="48"/>
      <c r="BW984" s="48"/>
      <c r="BX984" s="48"/>
      <c r="BY984" s="48"/>
      <c r="BZ984" s="48"/>
      <c r="CA984" s="48"/>
      <c r="CB984" s="48"/>
      <c r="CC984" s="48"/>
      <c r="CD984" s="48"/>
      <c r="CE984" s="48"/>
      <c r="CF984" s="48"/>
      <c r="CG984" s="48"/>
      <c r="CH984" s="48"/>
      <c r="CI984" s="98"/>
      <c r="CJ984" s="98"/>
      <c r="CK984" s="49">
        <f t="shared" si="205"/>
        <v>1.7998032264071759</v>
      </c>
      <c r="CL984" s="229"/>
      <c r="CM984" s="229">
        <v>1.1760912590556813</v>
      </c>
      <c r="CN984" s="229">
        <f>BJ984/(10^CM984)</f>
        <v>1.2619093333333329</v>
      </c>
      <c r="CO984" s="47" t="s">
        <v>2488</v>
      </c>
      <c r="CP984" s="500" t="s">
        <v>2489</v>
      </c>
      <c r="CQ984" s="224">
        <v>1.2310957190018852</v>
      </c>
      <c r="CR984" s="224">
        <f>10^(CJ984-CQ984)</f>
        <v>5.8735988347080138E-2</v>
      </c>
      <c r="CS984" s="230" t="s">
        <v>539</v>
      </c>
      <c r="CT984" s="230"/>
      <c r="CU984" s="230"/>
      <c r="CV984" s="335">
        <f t="shared" si="206"/>
        <v>3.2754598322964563</v>
      </c>
      <c r="CW984" s="230">
        <f t="shared" si="198"/>
        <v>1</v>
      </c>
      <c r="CX984" s="336"/>
      <c r="CY984" s="230" t="s">
        <v>5921</v>
      </c>
    </row>
    <row r="985" spans="1:103" ht="11.25" customHeight="1" x14ac:dyDescent="0.2">
      <c r="A985" s="72">
        <v>1392</v>
      </c>
      <c r="B985" s="224">
        <v>1641</v>
      </c>
      <c r="C985" s="46" t="s">
        <v>7455</v>
      </c>
      <c r="D985" s="46" t="s">
        <v>8670</v>
      </c>
      <c r="E985" s="114"/>
      <c r="F985" s="114" t="s">
        <v>3847</v>
      </c>
      <c r="G985" s="225">
        <v>55283686</v>
      </c>
      <c r="H985" s="47" t="s">
        <v>3848</v>
      </c>
      <c r="I985" s="47" t="s">
        <v>8133</v>
      </c>
      <c r="J985" s="47" t="s">
        <v>3849</v>
      </c>
      <c r="K985" s="47" t="s">
        <v>1011</v>
      </c>
      <c r="L985" s="47" t="s">
        <v>5248</v>
      </c>
      <c r="M985" s="47" t="s">
        <v>6037</v>
      </c>
      <c r="N985" s="47" t="s">
        <v>6385</v>
      </c>
      <c r="O985" s="47" t="s">
        <v>6036</v>
      </c>
      <c r="P985" s="53"/>
      <c r="Q985" s="53"/>
      <c r="R985" s="53"/>
      <c r="S985" s="53"/>
      <c r="T985" s="48">
        <v>333.26</v>
      </c>
      <c r="U985" s="98">
        <v>0.3</v>
      </c>
      <c r="V985" s="98">
        <v>0.33779999999999999</v>
      </c>
      <c r="W985" s="98">
        <v>2.0548645032035719</v>
      </c>
      <c r="X985" s="98">
        <v>0.3</v>
      </c>
      <c r="Y985" s="233">
        <v>7</v>
      </c>
      <c r="Z985" s="48">
        <v>5.23</v>
      </c>
      <c r="AA985" s="48">
        <v>5.1100000000000003</v>
      </c>
      <c r="AB985" s="48">
        <v>4.97</v>
      </c>
      <c r="AC985" s="48">
        <v>0.83189999999999997</v>
      </c>
      <c r="AD985" s="48">
        <v>5</v>
      </c>
      <c r="AE985" s="48">
        <v>5.0999999999999996</v>
      </c>
      <c r="AF985" s="48">
        <f t="shared" si="202"/>
        <v>5.1100000000000003</v>
      </c>
      <c r="AG985" s="49">
        <v>3.38</v>
      </c>
      <c r="AH985" s="98">
        <v>1.8599999999999999E-4</v>
      </c>
      <c r="AI985" s="98">
        <v>1.2799999999999999E-4</v>
      </c>
      <c r="AJ985" s="483">
        <f t="shared" si="203"/>
        <v>-2.1190533820947355</v>
      </c>
      <c r="AK985" s="483">
        <f t="shared" si="207"/>
        <v>-2.2813563566647836</v>
      </c>
      <c r="AL985" s="483">
        <f t="shared" si="204"/>
        <v>-2.2813563566647836</v>
      </c>
      <c r="AM985" s="483">
        <v>-9.6163799999999995</v>
      </c>
      <c r="AN985" s="226">
        <v>-1.97</v>
      </c>
      <c r="AO985" s="484"/>
      <c r="AP985" s="484">
        <v>-1.76</v>
      </c>
      <c r="AQ985" s="226" t="s">
        <v>6311</v>
      </c>
      <c r="AR985" s="226" t="s">
        <v>6311</v>
      </c>
      <c r="AS985" s="224"/>
      <c r="AT985" s="50" t="s">
        <v>266</v>
      </c>
      <c r="AU985" s="48">
        <v>6</v>
      </c>
      <c r="AV985" s="48">
        <v>120</v>
      </c>
      <c r="AW985" s="48">
        <v>114</v>
      </c>
      <c r="AX985" s="48">
        <v>28</v>
      </c>
      <c r="AY985" s="48" t="s">
        <v>8728</v>
      </c>
      <c r="AZ985" s="48" t="s">
        <v>1563</v>
      </c>
      <c r="BA985" s="48">
        <v>32</v>
      </c>
      <c r="BB985" s="47" t="s">
        <v>2485</v>
      </c>
      <c r="BC985" s="47" t="s">
        <v>8726</v>
      </c>
      <c r="BD985" s="47" t="s">
        <v>8374</v>
      </c>
      <c r="BE985" s="48" t="s">
        <v>2449</v>
      </c>
      <c r="BF985" s="48" t="s">
        <v>272</v>
      </c>
      <c r="BG985" s="48" t="s">
        <v>272</v>
      </c>
      <c r="BH985" s="48" t="s">
        <v>2486</v>
      </c>
      <c r="BI985" s="98">
        <v>2.1328639999999999E-3</v>
      </c>
      <c r="BJ985" s="98">
        <v>21.32864</v>
      </c>
      <c r="BK985" s="48"/>
      <c r="BL985" s="487">
        <v>0.34396970186922776</v>
      </c>
      <c r="BM985" s="47" t="s">
        <v>2487</v>
      </c>
      <c r="BN985" s="48"/>
      <c r="BO985" s="48"/>
      <c r="BP985" s="48"/>
      <c r="BQ985" s="48"/>
      <c r="BR985" s="47" t="e">
        <v>#VALUE!</v>
      </c>
      <c r="BS985" s="48"/>
      <c r="BT985" s="48"/>
      <c r="BU985" s="228"/>
      <c r="BV985" s="48"/>
      <c r="BW985" s="48"/>
      <c r="BX985" s="48"/>
      <c r="BY985" s="48"/>
      <c r="BZ985" s="48"/>
      <c r="CA985" s="48"/>
      <c r="CB985" s="48"/>
      <c r="CC985" s="48"/>
      <c r="CD985" s="48"/>
      <c r="CE985" s="48"/>
      <c r="CF985" s="48"/>
      <c r="CG985" s="48"/>
      <c r="CH985" s="48"/>
      <c r="CI985" s="98"/>
      <c r="CJ985" s="98"/>
      <c r="CK985" s="49">
        <f t="shared" si="205"/>
        <v>1.6127127743223561E-2</v>
      </c>
      <c r="CL985" s="229"/>
      <c r="CM985" s="229"/>
      <c r="CN985" s="229"/>
      <c r="CO985" s="47" t="s">
        <v>2488</v>
      </c>
      <c r="CP985" s="500" t="s">
        <v>2489</v>
      </c>
      <c r="CQ985" s="224">
        <v>-1.0924579845494089</v>
      </c>
      <c r="CR985" s="224">
        <f>10^(CJ985-CQ985)</f>
        <v>12.372514873014508</v>
      </c>
      <c r="CS985" s="230" t="s">
        <v>539</v>
      </c>
      <c r="CT985" s="230"/>
      <c r="CU985" s="230"/>
      <c r="CV985" s="335">
        <f t="shared" si="206"/>
        <v>1.4065594430774771E-2</v>
      </c>
      <c r="CW985" s="230">
        <f t="shared" si="198"/>
        <v>0</v>
      </c>
      <c r="CX985" s="336"/>
      <c r="CY985" s="230" t="s">
        <v>5921</v>
      </c>
    </row>
    <row r="986" spans="1:103" ht="11.25" customHeight="1" x14ac:dyDescent="0.2">
      <c r="A986" s="72">
        <v>1393</v>
      </c>
      <c r="B986" s="224">
        <v>1613</v>
      </c>
      <c r="C986" s="46" t="s">
        <v>7456</v>
      </c>
      <c r="D986" s="46"/>
      <c r="E986" s="114"/>
      <c r="F986" s="114" t="s">
        <v>4786</v>
      </c>
      <c r="G986" s="225">
        <v>55290647</v>
      </c>
      <c r="H986" s="47" t="s">
        <v>4787</v>
      </c>
      <c r="I986" s="47" t="s">
        <v>4787</v>
      </c>
      <c r="J986" s="47" t="s">
        <v>4788</v>
      </c>
      <c r="K986" s="47" t="s">
        <v>4789</v>
      </c>
      <c r="L986" s="51"/>
      <c r="M986" s="47"/>
      <c r="N986" s="47"/>
      <c r="O986" s="47"/>
      <c r="P986" s="53"/>
      <c r="Q986" s="53"/>
      <c r="R986" s="53"/>
      <c r="S986" s="53"/>
      <c r="T986" s="48">
        <v>210.27</v>
      </c>
      <c r="U986" s="98">
        <v>4600</v>
      </c>
      <c r="V986" s="98">
        <v>54100.000000000007</v>
      </c>
      <c r="W986" s="98">
        <v>4495.4928855963435</v>
      </c>
      <c r="X986" s="98">
        <v>4600</v>
      </c>
      <c r="Y986" s="233">
        <v>7</v>
      </c>
      <c r="Z986" s="48">
        <v>0.04</v>
      </c>
      <c r="AA986" s="48">
        <v>-0.17</v>
      </c>
      <c r="AB986" s="48">
        <v>-0.32</v>
      </c>
      <c r="AC986" s="48">
        <v>0.65110000000000001</v>
      </c>
      <c r="AD986" s="48">
        <v>-0.33</v>
      </c>
      <c r="AE986" s="48">
        <v>-0.35</v>
      </c>
      <c r="AF986" s="48">
        <f t="shared" si="202"/>
        <v>-0.17</v>
      </c>
      <c r="AG986" s="49">
        <v>-0.52</v>
      </c>
      <c r="AH986" s="98">
        <v>5.38E-9</v>
      </c>
      <c r="AI986" s="98">
        <v>2.3000000000000001E-11</v>
      </c>
      <c r="AJ986" s="483">
        <f t="shared" si="203"/>
        <v>-6.6577840506462627</v>
      </c>
      <c r="AK986" s="483">
        <f t="shared" si="207"/>
        <v>-9.0268384902950594</v>
      </c>
      <c r="AL986" s="483">
        <f t="shared" si="204"/>
        <v>-9.0268384902950594</v>
      </c>
      <c r="AM986" s="483">
        <v>-11.79799</v>
      </c>
      <c r="AN986" s="226">
        <v>-9.4</v>
      </c>
      <c r="AO986" s="484"/>
      <c r="AP986" s="484"/>
      <c r="AQ986" s="48" t="s">
        <v>6311</v>
      </c>
      <c r="AR986" s="48" t="s">
        <v>6311</v>
      </c>
      <c r="AS986" s="227"/>
      <c r="AT986" s="50" t="s">
        <v>266</v>
      </c>
      <c r="AU986" s="48">
        <v>6</v>
      </c>
      <c r="AV986" s="48">
        <v>120</v>
      </c>
      <c r="AW986" s="48">
        <v>114</v>
      </c>
      <c r="AX986" s="48">
        <v>28</v>
      </c>
      <c r="AY986" s="48" t="s">
        <v>8728</v>
      </c>
      <c r="AZ986" s="48" t="s">
        <v>1563</v>
      </c>
      <c r="BA986" s="48">
        <v>32</v>
      </c>
      <c r="BB986" s="47" t="s">
        <v>2485</v>
      </c>
      <c r="BC986" s="47" t="s">
        <v>8726</v>
      </c>
      <c r="BD986" s="47" t="s">
        <v>8374</v>
      </c>
      <c r="BE986" s="48" t="s">
        <v>2449</v>
      </c>
      <c r="BF986" s="48" t="s">
        <v>272</v>
      </c>
      <c r="BG986" s="48" t="s">
        <v>272</v>
      </c>
      <c r="BH986" s="48" t="s">
        <v>2486</v>
      </c>
      <c r="BI986" s="98">
        <v>1.345728E-3</v>
      </c>
      <c r="BJ986" s="98">
        <v>13.457280000000001</v>
      </c>
      <c r="BK986" s="48"/>
      <c r="BL986" s="487">
        <v>9946.1112975478336</v>
      </c>
      <c r="BM986" s="47" t="s">
        <v>2487</v>
      </c>
      <c r="BN986" s="48"/>
      <c r="BO986" s="48"/>
      <c r="BP986" s="48"/>
      <c r="BQ986" s="48"/>
      <c r="BR986" s="47" t="e">
        <v>#VALUE!</v>
      </c>
      <c r="BS986" s="48"/>
      <c r="BT986" s="48"/>
      <c r="BU986" s="228"/>
      <c r="BV986" s="48"/>
      <c r="BW986" s="48"/>
      <c r="BX986" s="48"/>
      <c r="BY986" s="48"/>
      <c r="BZ986" s="48"/>
      <c r="CA986" s="48"/>
      <c r="CB986" s="48"/>
      <c r="CC986" s="48"/>
      <c r="CD986" s="48"/>
      <c r="CE986" s="48"/>
      <c r="CF986" s="48"/>
      <c r="CG986" s="48"/>
      <c r="CH986" s="48"/>
      <c r="CI986" s="98"/>
      <c r="CJ986" s="98"/>
      <c r="CK986" s="49">
        <f t="shared" si="205"/>
        <v>739.08778724585011</v>
      </c>
      <c r="CL986" s="229"/>
      <c r="CM986" s="229"/>
      <c r="CN986" s="229"/>
      <c r="CO986" s="47" t="s">
        <v>2488</v>
      </c>
      <c r="CP986" s="500" t="s">
        <v>2489</v>
      </c>
      <c r="CQ986" s="224" t="s">
        <v>272</v>
      </c>
      <c r="CR986" s="224"/>
      <c r="CS986" s="230" t="s">
        <v>539</v>
      </c>
      <c r="CT986" s="230"/>
      <c r="CU986" s="230"/>
      <c r="CV986" s="335">
        <f t="shared" si="206"/>
        <v>341.82241879488276</v>
      </c>
      <c r="CW986" s="230">
        <f t="shared" si="198"/>
        <v>1</v>
      </c>
      <c r="CX986" s="336"/>
      <c r="CY986" s="230" t="s">
        <v>5921</v>
      </c>
    </row>
    <row r="987" spans="1:103" ht="11.25" customHeight="1" x14ac:dyDescent="0.2">
      <c r="A987" s="72">
        <v>1395</v>
      </c>
      <c r="B987" s="224">
        <v>1912</v>
      </c>
      <c r="C987" s="46" t="s">
        <v>7457</v>
      </c>
      <c r="D987" s="46" t="s">
        <v>8671</v>
      </c>
      <c r="E987" s="114"/>
      <c r="F987" s="114" t="s">
        <v>4055</v>
      </c>
      <c r="G987" s="225">
        <v>55335063</v>
      </c>
      <c r="H987" s="47" t="s">
        <v>4056</v>
      </c>
      <c r="I987" s="47" t="s">
        <v>8134</v>
      </c>
      <c r="J987" s="47" t="s">
        <v>4057</v>
      </c>
      <c r="K987" s="47" t="s">
        <v>1958</v>
      </c>
      <c r="L987" s="47" t="s">
        <v>6033</v>
      </c>
      <c r="M987" s="47" t="s">
        <v>6082</v>
      </c>
      <c r="N987" s="47" t="s">
        <v>6082</v>
      </c>
      <c r="O987" s="47" t="s">
        <v>6083</v>
      </c>
      <c r="P987" s="53"/>
      <c r="Q987" s="53"/>
      <c r="R987" s="53"/>
      <c r="S987" s="53"/>
      <c r="T987" s="48">
        <v>256.47000000000003</v>
      </c>
      <c r="U987" s="98">
        <v>440</v>
      </c>
      <c r="V987" s="98">
        <v>374.9</v>
      </c>
      <c r="W987" s="98">
        <v>975.07174474334352</v>
      </c>
      <c r="X987" s="98">
        <v>440</v>
      </c>
      <c r="Y987" s="233">
        <v>2.59</v>
      </c>
      <c r="Z987" s="48">
        <v>2.5299999999999998</v>
      </c>
      <c r="AA987" s="48"/>
      <c r="AB987" s="48">
        <v>2.59</v>
      </c>
      <c r="AC987" s="48">
        <v>0.86650000000000005</v>
      </c>
      <c r="AD987" s="48">
        <v>2.68</v>
      </c>
      <c r="AE987" s="48">
        <v>2.98</v>
      </c>
      <c r="AF987" s="48">
        <f t="shared" si="202"/>
        <v>2.68</v>
      </c>
      <c r="AG987" s="49">
        <v>2.74</v>
      </c>
      <c r="AH987" s="98">
        <v>5.14E-9</v>
      </c>
      <c r="AI987" s="98">
        <v>9.6599999999999997E-10</v>
      </c>
      <c r="AJ987" s="483">
        <f t="shared" si="203"/>
        <v>-6.6776032073173761</v>
      </c>
      <c r="AK987" s="483">
        <f t="shared" si="207"/>
        <v>-7.4035891998971586</v>
      </c>
      <c r="AL987" s="483">
        <f t="shared" si="204"/>
        <v>-7.4035891998971586</v>
      </c>
      <c r="AM987" s="483">
        <v>-11.744759999999998</v>
      </c>
      <c r="AN987" s="226">
        <v>-7.84</v>
      </c>
      <c r="AO987" s="484">
        <v>2.2599999999999998</v>
      </c>
      <c r="AP987" s="484">
        <v>-2.68</v>
      </c>
      <c r="AQ987" s="226" t="s">
        <v>6311</v>
      </c>
      <c r="AR987" s="226" t="s">
        <v>6311</v>
      </c>
      <c r="AS987" s="224"/>
      <c r="AT987" s="50" t="s">
        <v>266</v>
      </c>
      <c r="AU987" s="48">
        <v>6</v>
      </c>
      <c r="AV987" s="48">
        <v>120</v>
      </c>
      <c r="AW987" s="48">
        <v>114</v>
      </c>
      <c r="AX987" s="48">
        <v>28</v>
      </c>
      <c r="AY987" s="48" t="s">
        <v>8728</v>
      </c>
      <c r="AZ987" s="48" t="s">
        <v>1563</v>
      </c>
      <c r="BA987" s="48">
        <v>32</v>
      </c>
      <c r="BB987" s="47" t="s">
        <v>2485</v>
      </c>
      <c r="BC987" s="47" t="s">
        <v>8726</v>
      </c>
      <c r="BD987" s="47" t="s">
        <v>8374</v>
      </c>
      <c r="BE987" s="48" t="s">
        <v>2449</v>
      </c>
      <c r="BF987" s="48" t="s">
        <v>272</v>
      </c>
      <c r="BG987" s="48" t="s">
        <v>272</v>
      </c>
      <c r="BH987" s="48" t="s">
        <v>2486</v>
      </c>
      <c r="BI987" s="98">
        <v>1.641408E-3</v>
      </c>
      <c r="BJ987" s="98">
        <v>16.414080000000002</v>
      </c>
      <c r="BK987" s="48"/>
      <c r="BL987" s="487">
        <v>70.411496021669564</v>
      </c>
      <c r="BM987" s="47" t="s">
        <v>2487</v>
      </c>
      <c r="BN987" s="48"/>
      <c r="BO987" s="48"/>
      <c r="BP987" s="48"/>
      <c r="BQ987" s="48"/>
      <c r="BR987" s="47" t="e">
        <v>#VALUE!</v>
      </c>
      <c r="BS987" s="48"/>
      <c r="BT987" s="48"/>
      <c r="BU987" s="228"/>
      <c r="BV987" s="48"/>
      <c r="BW987" s="48"/>
      <c r="BX987" s="48"/>
      <c r="BY987" s="48"/>
      <c r="BZ987" s="48"/>
      <c r="CA987" s="48"/>
      <c r="CB987" s="48"/>
      <c r="CC987" s="48"/>
      <c r="CD987" s="48"/>
      <c r="CE987" s="48"/>
      <c r="CF987" s="48"/>
      <c r="CG987" s="48"/>
      <c r="CH987" s="48"/>
      <c r="CI987" s="98"/>
      <c r="CJ987" s="98"/>
      <c r="CK987" s="49">
        <f t="shared" si="205"/>
        <v>4.2897010384785226</v>
      </c>
      <c r="CL987" s="229"/>
      <c r="CM987" s="229"/>
      <c r="CN987" s="229"/>
      <c r="CO987" s="47" t="s">
        <v>2488</v>
      </c>
      <c r="CP987" s="500" t="s">
        <v>2489</v>
      </c>
      <c r="CQ987" s="224">
        <v>2.1192237885705594</v>
      </c>
      <c r="CR987" s="224">
        <f t="shared" ref="CR987:CR993" si="208">10^(CJ987-CQ987)</f>
        <v>7.5993458764592207E-3</v>
      </c>
      <c r="CS987" s="230" t="s">
        <v>539</v>
      </c>
      <c r="CT987" s="230"/>
      <c r="CU987" s="230"/>
      <c r="CV987" s="335">
        <f t="shared" si="206"/>
        <v>26.806254142784727</v>
      </c>
      <c r="CW987" s="230">
        <f t="shared" si="198"/>
        <v>1</v>
      </c>
      <c r="CX987" s="336"/>
      <c r="CY987" s="230" t="s">
        <v>5921</v>
      </c>
    </row>
    <row r="988" spans="1:103" ht="11.25" customHeight="1" x14ac:dyDescent="0.2">
      <c r="A988" s="72">
        <v>1397</v>
      </c>
      <c r="B988" s="224">
        <v>1561</v>
      </c>
      <c r="C988" s="46" t="s">
        <v>7458</v>
      </c>
      <c r="D988" s="46" t="s">
        <v>8395</v>
      </c>
      <c r="E988" s="114"/>
      <c r="F988" s="114" t="s">
        <v>3767</v>
      </c>
      <c r="G988" s="225">
        <v>57754855</v>
      </c>
      <c r="H988" s="47" t="s">
        <v>4701</v>
      </c>
      <c r="I988" s="47" t="s">
        <v>7810</v>
      </c>
      <c r="J988" s="47" t="s">
        <v>3768</v>
      </c>
      <c r="K988" s="47" t="s">
        <v>3015</v>
      </c>
      <c r="L988" s="47" t="s">
        <v>6032</v>
      </c>
      <c r="M988" s="47" t="s">
        <v>2342</v>
      </c>
      <c r="N988" s="47" t="s">
        <v>2342</v>
      </c>
      <c r="O988" s="47"/>
      <c r="P988" s="53"/>
      <c r="Q988" s="53" t="s">
        <v>6173</v>
      </c>
      <c r="R988" s="53" t="s">
        <v>6082</v>
      </c>
      <c r="S988" s="53" t="s">
        <v>6173</v>
      </c>
      <c r="T988" s="48">
        <v>253.084</v>
      </c>
      <c r="U988" s="98"/>
      <c r="V988" s="98"/>
      <c r="W988" s="98"/>
      <c r="X988" s="98"/>
      <c r="Y988" s="233">
        <v>1.93</v>
      </c>
      <c r="Z988" s="48">
        <v>1.63</v>
      </c>
      <c r="AA988" s="48">
        <v>1.06</v>
      </c>
      <c r="AB988" s="48">
        <v>1.97</v>
      </c>
      <c r="AC988" s="48">
        <v>0.83960000000000001</v>
      </c>
      <c r="AD988" s="48">
        <v>1.8</v>
      </c>
      <c r="AE988" s="48">
        <v>1.31</v>
      </c>
      <c r="AF988" s="48">
        <f t="shared" si="202"/>
        <v>1.06</v>
      </c>
      <c r="AG988" s="49">
        <v>0.87</v>
      </c>
      <c r="AH988" s="98">
        <v>4.9200000000000004E-9</v>
      </c>
      <c r="AI988" s="98">
        <v>3.0300000000000001E-9</v>
      </c>
      <c r="AJ988" s="483">
        <f t="shared" si="203"/>
        <v>-6.6966012235452919</v>
      </c>
      <c r="AK988" s="483">
        <f t="shared" si="207"/>
        <v>-6.9071236978103467</v>
      </c>
      <c r="AL988" s="483">
        <f t="shared" si="204"/>
        <v>-6.9071236978103467</v>
      </c>
      <c r="AM988" s="483">
        <v>-10.62134</v>
      </c>
      <c r="AN988" s="226">
        <v>-16.5</v>
      </c>
      <c r="AO988" s="484">
        <v>2.02</v>
      </c>
      <c r="AP988" s="484">
        <v>-3.21</v>
      </c>
      <c r="AQ988" s="48" t="s">
        <v>6311</v>
      </c>
      <c r="AR988" s="48" t="s">
        <v>6311</v>
      </c>
      <c r="AS988" s="227"/>
      <c r="AT988" s="50" t="s">
        <v>266</v>
      </c>
      <c r="AU988" s="48">
        <v>6</v>
      </c>
      <c r="AV988" s="48">
        <v>120</v>
      </c>
      <c r="AW988" s="48">
        <v>114</v>
      </c>
      <c r="AX988" s="48">
        <v>28</v>
      </c>
      <c r="AY988" s="48" t="s">
        <v>8728</v>
      </c>
      <c r="AZ988" s="48" t="s">
        <v>1563</v>
      </c>
      <c r="BA988" s="48">
        <v>32</v>
      </c>
      <c r="BB988" s="47" t="s">
        <v>2485</v>
      </c>
      <c r="BC988" s="47" t="s">
        <v>8726</v>
      </c>
      <c r="BD988" s="47" t="s">
        <v>8374</v>
      </c>
      <c r="BE988" s="48" t="s">
        <v>2449</v>
      </c>
      <c r="BF988" s="48" t="s">
        <v>272</v>
      </c>
      <c r="BG988" s="48" t="s">
        <v>272</v>
      </c>
      <c r="BH988" s="48" t="s">
        <v>2486</v>
      </c>
      <c r="BI988" s="98"/>
      <c r="BJ988" s="98"/>
      <c r="BK988" s="48"/>
      <c r="BL988" s="487"/>
      <c r="BM988" s="47" t="s">
        <v>2487</v>
      </c>
      <c r="BN988" s="48"/>
      <c r="BO988" s="48"/>
      <c r="BP988" s="48"/>
      <c r="BQ988" s="48"/>
      <c r="BR988" s="47" t="e">
        <v>#VALUE!</v>
      </c>
      <c r="BS988" s="48"/>
      <c r="BT988" s="48"/>
      <c r="BU988" s="228"/>
      <c r="BV988" s="48"/>
      <c r="BW988" s="48"/>
      <c r="BX988" s="48"/>
      <c r="BY988" s="48"/>
      <c r="BZ988" s="48"/>
      <c r="CA988" s="48"/>
      <c r="CB988" s="48"/>
      <c r="CC988" s="48"/>
      <c r="CD988" s="48"/>
      <c r="CE988" s="48"/>
      <c r="CF988" s="48"/>
      <c r="CG988" s="48"/>
      <c r="CH988" s="48"/>
      <c r="CI988" s="98"/>
      <c r="CJ988" s="98"/>
      <c r="CK988" s="49"/>
      <c r="CL988" s="229"/>
      <c r="CM988" s="229"/>
      <c r="CN988" s="229"/>
      <c r="CO988" s="47" t="s">
        <v>2488</v>
      </c>
      <c r="CP988" s="500" t="s">
        <v>2489</v>
      </c>
      <c r="CQ988" s="224">
        <v>2.7698956052958783</v>
      </c>
      <c r="CR988" s="224">
        <f t="shared" si="208"/>
        <v>1.6986519214145356E-3</v>
      </c>
      <c r="CS988" s="230" t="s">
        <v>539</v>
      </c>
      <c r="CT988" s="230"/>
      <c r="CU988" s="230"/>
      <c r="CV988" s="335"/>
      <c r="CW988" s="230"/>
      <c r="CX988" s="336"/>
      <c r="CY988" s="230" t="s">
        <v>5921</v>
      </c>
    </row>
    <row r="989" spans="1:103" ht="11.25" customHeight="1" x14ac:dyDescent="0.2">
      <c r="A989" s="72">
        <v>1399</v>
      </c>
      <c r="B989" s="224">
        <v>1181</v>
      </c>
      <c r="C989" s="46" t="s">
        <v>7459</v>
      </c>
      <c r="D989" s="46" t="s">
        <v>8672</v>
      </c>
      <c r="E989" s="114"/>
      <c r="F989" s="114" t="s">
        <v>3257</v>
      </c>
      <c r="G989" s="225">
        <v>57837191</v>
      </c>
      <c r="H989" s="47" t="s">
        <v>3258</v>
      </c>
      <c r="I989" s="47" t="s">
        <v>3258</v>
      </c>
      <c r="J989" s="47" t="s">
        <v>3259</v>
      </c>
      <c r="K989" s="47" t="s">
        <v>3260</v>
      </c>
      <c r="L989" s="47" t="s">
        <v>6045</v>
      </c>
      <c r="M989" s="47" t="s">
        <v>6082</v>
      </c>
      <c r="N989" s="47" t="s">
        <v>6082</v>
      </c>
      <c r="O989" s="47" t="s">
        <v>6083</v>
      </c>
      <c r="P989" s="53"/>
      <c r="Q989" s="53"/>
      <c r="R989" s="53"/>
      <c r="S989" s="53"/>
      <c r="T989" s="48">
        <v>279.33</v>
      </c>
      <c r="U989" s="98">
        <v>26000</v>
      </c>
      <c r="V989" s="98">
        <v>560</v>
      </c>
      <c r="W989" s="98">
        <v>2729.7167292958652</v>
      </c>
      <c r="X989" s="98">
        <v>26000</v>
      </c>
      <c r="Y989" s="233">
        <v>7.05</v>
      </c>
      <c r="Z989" s="48">
        <v>1.7</v>
      </c>
      <c r="AA989" s="48">
        <v>1.71</v>
      </c>
      <c r="AB989" s="48">
        <v>1.81</v>
      </c>
      <c r="AC989" s="48">
        <v>0.87380000000000002</v>
      </c>
      <c r="AD989" s="48">
        <v>1.88</v>
      </c>
      <c r="AE989" s="48">
        <v>2.15</v>
      </c>
      <c r="AF989" s="48">
        <f t="shared" si="202"/>
        <v>1.71</v>
      </c>
      <c r="AG989" s="49">
        <v>2.06</v>
      </c>
      <c r="AH989" s="98">
        <v>8.0500000000000001E-10</v>
      </c>
      <c r="AI989" s="98">
        <v>2.9499999999999999E-9</v>
      </c>
      <c r="AJ989" s="483">
        <f t="shared" si="203"/>
        <v>-7.4827704459447837</v>
      </c>
      <c r="AK989" s="483">
        <f t="shared" si="207"/>
        <v>-6.918744310334489</v>
      </c>
      <c r="AL989" s="483">
        <f t="shared" si="204"/>
        <v>-6.918744310334489</v>
      </c>
      <c r="AM989" s="483">
        <v>-13.054030000000001</v>
      </c>
      <c r="AN989" s="226">
        <v>-7.18</v>
      </c>
      <c r="AO989" s="484"/>
      <c r="AP989" s="484">
        <v>1.41</v>
      </c>
      <c r="AQ989" s="48" t="s">
        <v>6311</v>
      </c>
      <c r="AR989" s="48" t="s">
        <v>6312</v>
      </c>
      <c r="AS989" s="227"/>
      <c r="AT989" s="50" t="s">
        <v>266</v>
      </c>
      <c r="AU989" s="48">
        <v>6</v>
      </c>
      <c r="AV989" s="48">
        <v>120</v>
      </c>
      <c r="AW989" s="48">
        <v>114</v>
      </c>
      <c r="AX989" s="48">
        <v>28</v>
      </c>
      <c r="AY989" s="48" t="s">
        <v>8728</v>
      </c>
      <c r="AZ989" s="48" t="s">
        <v>1563</v>
      </c>
      <c r="BA989" s="48">
        <v>32</v>
      </c>
      <c r="BB989" s="47" t="s">
        <v>2485</v>
      </c>
      <c r="BC989" s="47" t="s">
        <v>8726</v>
      </c>
      <c r="BD989" s="47" t="s">
        <v>8374</v>
      </c>
      <c r="BE989" s="48" t="s">
        <v>2449</v>
      </c>
      <c r="BF989" s="48" t="s">
        <v>272</v>
      </c>
      <c r="BG989" s="48" t="s">
        <v>272</v>
      </c>
      <c r="BH989" s="48" t="s">
        <v>2486</v>
      </c>
      <c r="BI989" s="98">
        <v>1.7877119999999999E-3</v>
      </c>
      <c r="BJ989" s="98">
        <v>17.877119999999998</v>
      </c>
      <c r="BK989" s="48"/>
      <c r="BL989" s="487">
        <v>426.72450311395255</v>
      </c>
      <c r="BM989" s="47" t="s">
        <v>2487</v>
      </c>
      <c r="BN989" s="48"/>
      <c r="BO989" s="48"/>
      <c r="BP989" s="48"/>
      <c r="BQ989" s="48"/>
      <c r="BR989" s="47" t="e">
        <v>#VALUE!</v>
      </c>
      <c r="BS989" s="48"/>
      <c r="BT989" s="48"/>
      <c r="BU989" s="228">
        <v>1.787712E-2</v>
      </c>
      <c r="BV989" s="48"/>
      <c r="BW989" s="48"/>
      <c r="BX989" s="48"/>
      <c r="BY989" s="48"/>
      <c r="BZ989" s="48"/>
      <c r="CA989" s="48"/>
      <c r="CB989" s="48"/>
      <c r="CC989" s="48"/>
      <c r="CD989" s="48"/>
      <c r="CE989" s="48"/>
      <c r="CF989" s="48"/>
      <c r="CG989" s="48"/>
      <c r="CH989" s="48"/>
      <c r="CI989" s="98"/>
      <c r="CJ989" s="98"/>
      <c r="CK989" s="49">
        <f t="shared" ref="CK989:CK1020" si="209">BL989/BJ989</f>
        <v>23.869868475120857</v>
      </c>
      <c r="CL989" s="229"/>
      <c r="CM989" s="229"/>
      <c r="CN989" s="229"/>
      <c r="CO989" s="47" t="s">
        <v>2488</v>
      </c>
      <c r="CP989" s="500" t="s">
        <v>2489</v>
      </c>
      <c r="CQ989" s="224">
        <v>2.0021749710453349</v>
      </c>
      <c r="CR989" s="224">
        <f t="shared" si="208"/>
        <v>9.9500446349728884E-3</v>
      </c>
      <c r="CS989" s="230" t="s">
        <v>539</v>
      </c>
      <c r="CT989" s="230"/>
      <c r="CU989" s="230"/>
      <c r="CV989" s="335">
        <f t="shared" ref="CV989:CV1020" si="210">X989/BJ989</f>
        <v>1454.3729638778507</v>
      </c>
      <c r="CW989" s="230">
        <f t="shared" ref="CW989:CW1020" si="211">IF(CV989&lt;1,0,1)</f>
        <v>1</v>
      </c>
      <c r="CX989" s="336"/>
      <c r="CY989" s="230" t="s">
        <v>5921</v>
      </c>
    </row>
    <row r="990" spans="1:103" ht="11.25" customHeight="1" x14ac:dyDescent="0.2">
      <c r="A990" s="72">
        <v>1400</v>
      </c>
      <c r="B990" s="224">
        <v>1083</v>
      </c>
      <c r="C990" s="46" t="s">
        <v>1072</v>
      </c>
      <c r="D990" s="46"/>
      <c r="E990" s="114"/>
      <c r="F990" s="114" t="s">
        <v>1073</v>
      </c>
      <c r="G990" s="225">
        <v>57966957</v>
      </c>
      <c r="H990" s="47" t="s">
        <v>1074</v>
      </c>
      <c r="I990" s="47" t="s">
        <v>8136</v>
      </c>
      <c r="J990" s="47" t="s">
        <v>1075</v>
      </c>
      <c r="K990" s="47" t="s">
        <v>1076</v>
      </c>
      <c r="L990" s="47" t="s">
        <v>5248</v>
      </c>
      <c r="M990" s="47" t="s">
        <v>6082</v>
      </c>
      <c r="N990" s="47" t="s">
        <v>6082</v>
      </c>
      <c r="O990" s="47" t="s">
        <v>6083</v>
      </c>
      <c r="P990" s="53"/>
      <c r="Q990" s="53"/>
      <c r="R990" s="53"/>
      <c r="S990" s="53"/>
      <c r="T990" s="48">
        <v>198.18</v>
      </c>
      <c r="U990" s="98">
        <v>890.00000000000011</v>
      </c>
      <c r="V990" s="98">
        <v>14010</v>
      </c>
      <c r="W990" s="98">
        <v>1435.687185676614</v>
      </c>
      <c r="X990" s="98">
        <v>890.00000000000011</v>
      </c>
      <c r="Y990" s="233">
        <v>3.4</v>
      </c>
      <c r="Z990" s="48">
        <v>4.24</v>
      </c>
      <c r="AA990" s="48">
        <v>0.59</v>
      </c>
      <c r="AB990" s="48">
        <v>0.76</v>
      </c>
      <c r="AC990" s="48">
        <v>0.78900000000000003</v>
      </c>
      <c r="AD990" s="48">
        <v>0.73</v>
      </c>
      <c r="AE990" s="48">
        <v>0.67</v>
      </c>
      <c r="AF990" s="48">
        <f t="shared" si="202"/>
        <v>0.59</v>
      </c>
      <c r="AG990" s="49">
        <v>0.11</v>
      </c>
      <c r="AH990" s="98">
        <v>3.3099999999999999E-10</v>
      </c>
      <c r="AI990" s="98">
        <v>3.3099999999999999E-10</v>
      </c>
      <c r="AJ990" s="483">
        <f t="shared" si="203"/>
        <v>-7.8687383325369327</v>
      </c>
      <c r="AK990" s="483">
        <f t="shared" si="207"/>
        <v>-7.8687383325369327</v>
      </c>
      <c r="AL990" s="483">
        <f t="shared" si="204"/>
        <v>-7.8687383325369327</v>
      </c>
      <c r="AM990" s="483">
        <v>-14.604329999999999</v>
      </c>
      <c r="AN990" s="226">
        <v>-7.58</v>
      </c>
      <c r="AO990" s="484">
        <v>5.59</v>
      </c>
      <c r="AP990" s="484">
        <v>-1.54</v>
      </c>
      <c r="AQ990" s="48" t="s">
        <v>6311</v>
      </c>
      <c r="AR990" s="48" t="s">
        <v>6311</v>
      </c>
      <c r="AS990" s="227"/>
      <c r="AT990" s="50" t="s">
        <v>266</v>
      </c>
      <c r="AU990" s="48">
        <v>6</v>
      </c>
      <c r="AV990" s="48">
        <v>120</v>
      </c>
      <c r="AW990" s="48">
        <v>114</v>
      </c>
      <c r="AX990" s="48">
        <v>28</v>
      </c>
      <c r="AY990" s="48" t="s">
        <v>8728</v>
      </c>
      <c r="AZ990" s="48" t="s">
        <v>1563</v>
      </c>
      <c r="BA990" s="48">
        <v>32</v>
      </c>
      <c r="BB990" s="47" t="s">
        <v>2485</v>
      </c>
      <c r="BC990" s="47" t="s">
        <v>8726</v>
      </c>
      <c r="BD990" s="47" t="s">
        <v>8374</v>
      </c>
      <c r="BE990" s="48" t="s">
        <v>2449</v>
      </c>
      <c r="BF990" s="48" t="s">
        <v>272</v>
      </c>
      <c r="BG990" s="48" t="s">
        <v>272</v>
      </c>
      <c r="BH990" s="48" t="s">
        <v>2486</v>
      </c>
      <c r="BI990" s="98">
        <v>1.2683519999999999E-3</v>
      </c>
      <c r="BJ990" s="98">
        <v>12.683520000000001</v>
      </c>
      <c r="BK990" s="48"/>
      <c r="BL990" s="487">
        <v>1.5845860346962637</v>
      </c>
      <c r="BM990" s="47" t="s">
        <v>2487</v>
      </c>
      <c r="BN990" s="48"/>
      <c r="BO990" s="48"/>
      <c r="BP990" s="48"/>
      <c r="BQ990" s="48"/>
      <c r="BR990" s="47" t="e">
        <v>#VALUE!</v>
      </c>
      <c r="BS990" s="48"/>
      <c r="BT990" s="48"/>
      <c r="BU990" s="228">
        <v>1.2683519999999999E-3</v>
      </c>
      <c r="BV990" s="48"/>
      <c r="BW990" s="48"/>
      <c r="BX990" s="48"/>
      <c r="BY990" s="48"/>
      <c r="BZ990" s="48"/>
      <c r="CA990" s="48"/>
      <c r="CB990" s="48"/>
      <c r="CC990" s="48"/>
      <c r="CD990" s="48"/>
      <c r="CE990" s="48"/>
      <c r="CF990" s="48"/>
      <c r="CG990" s="48"/>
      <c r="CH990" s="48"/>
      <c r="CI990" s="98"/>
      <c r="CJ990" s="98"/>
      <c r="CK990" s="49">
        <f t="shared" si="209"/>
        <v>0.12493267126919526</v>
      </c>
      <c r="CL990" s="229"/>
      <c r="CM990" s="229">
        <v>1.4623979978989561</v>
      </c>
      <c r="CN990" s="229">
        <f>BJ990/(10^CM990)</f>
        <v>0.43736275862068963</v>
      </c>
      <c r="CO990" s="47" t="s">
        <v>2488</v>
      </c>
      <c r="CP990" s="500" t="s">
        <v>2489</v>
      </c>
      <c r="CQ990" s="224">
        <v>1.6238639164548616</v>
      </c>
      <c r="CR990" s="224">
        <f t="shared" si="208"/>
        <v>2.3775851718273695E-2</v>
      </c>
      <c r="CS990" s="230" t="s">
        <v>539</v>
      </c>
      <c r="CT990" s="230"/>
      <c r="CU990" s="230"/>
      <c r="CV990" s="335">
        <f t="shared" si="210"/>
        <v>70.169795135735185</v>
      </c>
      <c r="CW990" s="230">
        <f t="shared" si="211"/>
        <v>1</v>
      </c>
      <c r="CX990" s="336"/>
      <c r="CY990" s="230" t="s">
        <v>5921</v>
      </c>
    </row>
    <row r="991" spans="1:103" ht="11.25" customHeight="1" x14ac:dyDescent="0.2">
      <c r="A991" s="72">
        <v>1401</v>
      </c>
      <c r="B991" s="224">
        <v>1899</v>
      </c>
      <c r="C991" s="46" t="s">
        <v>1500</v>
      </c>
      <c r="D991" s="46"/>
      <c r="E991" s="114"/>
      <c r="F991" s="114" t="s">
        <v>1501</v>
      </c>
      <c r="G991" s="225">
        <v>59669260</v>
      </c>
      <c r="H991" s="47" t="s">
        <v>1502</v>
      </c>
      <c r="I991" s="47" t="s">
        <v>1502</v>
      </c>
      <c r="J991" s="47" t="s">
        <v>1503</v>
      </c>
      <c r="K991" s="47" t="s">
        <v>1504</v>
      </c>
      <c r="L991" s="47" t="s">
        <v>617</v>
      </c>
      <c r="M991" s="47" t="s">
        <v>946</v>
      </c>
      <c r="N991" s="47" t="s">
        <v>6376</v>
      </c>
      <c r="O991" s="47" t="s">
        <v>918</v>
      </c>
      <c r="P991" s="53"/>
      <c r="Q991" s="53"/>
      <c r="R991" s="53"/>
      <c r="S991" s="53"/>
      <c r="T991" s="48">
        <v>354.47</v>
      </c>
      <c r="U991" s="98">
        <v>35</v>
      </c>
      <c r="V991" s="98">
        <v>205.7</v>
      </c>
      <c r="W991" s="98">
        <v>194.79575355631221</v>
      </c>
      <c r="X991" s="98">
        <v>35</v>
      </c>
      <c r="Y991" s="233">
        <v>7</v>
      </c>
      <c r="Z991" s="48">
        <v>1.91</v>
      </c>
      <c r="AA991" s="48">
        <v>1.7</v>
      </c>
      <c r="AB991" s="48">
        <v>2.17</v>
      </c>
      <c r="AC991" s="48">
        <v>0.85609999999999997</v>
      </c>
      <c r="AD991" s="48">
        <v>1.99</v>
      </c>
      <c r="AE991" s="48">
        <v>1.52</v>
      </c>
      <c r="AF991" s="48">
        <f t="shared" si="202"/>
        <v>1.7</v>
      </c>
      <c r="AG991" s="49">
        <v>1.96</v>
      </c>
      <c r="AH991" s="98">
        <v>9.7800000000000001E-11</v>
      </c>
      <c r="AI991" s="98">
        <v>9.33E-7</v>
      </c>
      <c r="AJ991" s="483">
        <f t="shared" si="203"/>
        <v>-8.3982274715250504</v>
      </c>
      <c r="AK991" s="483">
        <f t="shared" si="207"/>
        <v>-4.4186846825661519</v>
      </c>
      <c r="AL991" s="483">
        <f t="shared" si="204"/>
        <v>-4.4186846825661519</v>
      </c>
      <c r="AM991" s="483">
        <v>-16.876429999999999</v>
      </c>
      <c r="AN991" s="226">
        <v>-10</v>
      </c>
      <c r="AO991" s="484"/>
      <c r="AP991" s="484">
        <v>-1.79</v>
      </c>
      <c r="AQ991" s="226" t="s">
        <v>6311</v>
      </c>
      <c r="AR991" s="226" t="s">
        <v>6311</v>
      </c>
      <c r="AS991" s="224"/>
      <c r="AT991" s="50" t="s">
        <v>266</v>
      </c>
      <c r="AU991" s="48">
        <v>6</v>
      </c>
      <c r="AV991" s="48">
        <v>120</v>
      </c>
      <c r="AW991" s="48">
        <v>114</v>
      </c>
      <c r="AX991" s="48">
        <v>28</v>
      </c>
      <c r="AY991" s="48" t="s">
        <v>8728</v>
      </c>
      <c r="AZ991" s="48" t="s">
        <v>1563</v>
      </c>
      <c r="BA991" s="48">
        <v>32</v>
      </c>
      <c r="BB991" s="47" t="s">
        <v>2485</v>
      </c>
      <c r="BC991" s="47" t="s">
        <v>8726</v>
      </c>
      <c r="BD991" s="47" t="s">
        <v>8374</v>
      </c>
      <c r="BE991" s="48" t="s">
        <v>2449</v>
      </c>
      <c r="BF991" s="48" t="s">
        <v>272</v>
      </c>
      <c r="BG991" s="48" t="s">
        <v>272</v>
      </c>
      <c r="BH991" s="48" t="s">
        <v>2486</v>
      </c>
      <c r="BI991" s="98">
        <v>2.2686080000000001E-3</v>
      </c>
      <c r="BJ991" s="98">
        <v>22.68608</v>
      </c>
      <c r="BK991" s="48"/>
      <c r="BL991" s="487">
        <v>350.75872701914329</v>
      </c>
      <c r="BM991" s="47" t="s">
        <v>2487</v>
      </c>
      <c r="BN991" s="48"/>
      <c r="BO991" s="48"/>
      <c r="BP991" s="48"/>
      <c r="BQ991" s="48"/>
      <c r="BR991" s="47"/>
      <c r="BS991" s="48"/>
      <c r="BT991" s="48"/>
      <c r="BU991" s="228"/>
      <c r="BV991" s="48"/>
      <c r="BW991" s="48"/>
      <c r="BX991" s="48"/>
      <c r="BY991" s="48"/>
      <c r="BZ991" s="48"/>
      <c r="CA991" s="48"/>
      <c r="CB991" s="48"/>
      <c r="CC991" s="48"/>
      <c r="CD991" s="48"/>
      <c r="CE991" s="48"/>
      <c r="CF991" s="48"/>
      <c r="CG991" s="48"/>
      <c r="CH991" s="48"/>
      <c r="CI991" s="52"/>
      <c r="CJ991" s="98"/>
      <c r="CK991" s="49">
        <f t="shared" si="209"/>
        <v>15.461407480672875</v>
      </c>
      <c r="CL991" s="229"/>
      <c r="CM991" s="229">
        <v>0.1232492903979001</v>
      </c>
      <c r="CN991" s="229">
        <f>BJ991/(10^CM991)</f>
        <v>17.080877138283984</v>
      </c>
      <c r="CO991" s="47" t="s">
        <v>2488</v>
      </c>
      <c r="CP991" s="500" t="s">
        <v>2489</v>
      </c>
      <c r="CQ991" s="224">
        <v>0.26143922528969166</v>
      </c>
      <c r="CR991" s="224">
        <f t="shared" si="208"/>
        <v>0.54772274334034754</v>
      </c>
      <c r="CS991" s="230" t="s">
        <v>539</v>
      </c>
      <c r="CT991" s="230"/>
      <c r="CU991" s="230"/>
      <c r="CV991" s="335">
        <f t="shared" si="210"/>
        <v>1.5427962874150138</v>
      </c>
      <c r="CW991" s="230">
        <f t="shared" si="211"/>
        <v>1</v>
      </c>
      <c r="CX991" s="336"/>
      <c r="CY991" s="230" t="s">
        <v>5921</v>
      </c>
    </row>
    <row r="992" spans="1:103" ht="11.25" customHeight="1" x14ac:dyDescent="0.2">
      <c r="A992" s="72">
        <v>1402</v>
      </c>
      <c r="B992" s="224">
        <v>1659</v>
      </c>
      <c r="C992" s="46" t="s">
        <v>1155</v>
      </c>
      <c r="D992" s="46"/>
      <c r="E992" s="114"/>
      <c r="F992" s="114" t="s">
        <v>1156</v>
      </c>
      <c r="G992" s="225">
        <v>60168889</v>
      </c>
      <c r="H992" s="47" t="s">
        <v>1157</v>
      </c>
      <c r="I992" s="47" t="s">
        <v>8137</v>
      </c>
      <c r="J992" s="47" t="s">
        <v>1158</v>
      </c>
      <c r="K992" s="47" t="s">
        <v>306</v>
      </c>
      <c r="L992" s="47" t="s">
        <v>5978</v>
      </c>
      <c r="M992" s="47" t="s">
        <v>6082</v>
      </c>
      <c r="N992" s="47" t="s">
        <v>6082</v>
      </c>
      <c r="O992" s="47" t="s">
        <v>6083</v>
      </c>
      <c r="P992" s="53"/>
      <c r="Q992" s="53"/>
      <c r="R992" s="53"/>
      <c r="S992" s="53"/>
      <c r="T992" s="48">
        <v>331.2</v>
      </c>
      <c r="U992" s="98">
        <v>14</v>
      </c>
      <c r="V992" s="98">
        <v>21.9</v>
      </c>
      <c r="W992" s="98">
        <v>21.384068065627734</v>
      </c>
      <c r="X992" s="98">
        <v>14</v>
      </c>
      <c r="Y992" s="233">
        <v>6.98</v>
      </c>
      <c r="Z992" s="48">
        <v>3.62</v>
      </c>
      <c r="AA992" s="48">
        <v>3.6</v>
      </c>
      <c r="AB992" s="48">
        <v>2.91</v>
      </c>
      <c r="AC992" s="48">
        <v>0.7964</v>
      </c>
      <c r="AD992" s="48">
        <v>3</v>
      </c>
      <c r="AE992" s="48">
        <v>3.23</v>
      </c>
      <c r="AF992" s="48">
        <f t="shared" si="202"/>
        <v>3.6</v>
      </c>
      <c r="AG992" s="49">
        <v>3.71</v>
      </c>
      <c r="AH992" s="98">
        <v>4.2100000000000002E-13</v>
      </c>
      <c r="AI992" s="98">
        <v>6.9999999999999998E-9</v>
      </c>
      <c r="AJ992" s="483">
        <f t="shared" si="203"/>
        <v>-10.764284230476983</v>
      </c>
      <c r="AK992" s="483">
        <f t="shared" si="207"/>
        <v>-6.5434682862983946</v>
      </c>
      <c r="AL992" s="483">
        <f t="shared" si="204"/>
        <v>-6.5434682862983946</v>
      </c>
      <c r="AM992" s="483">
        <v>-15.724299999999999</v>
      </c>
      <c r="AN992" s="226">
        <v>-7.91</v>
      </c>
      <c r="AO992" s="484">
        <v>11.23</v>
      </c>
      <c r="AP992" s="484">
        <v>1.67</v>
      </c>
      <c r="AQ992" s="226" t="s">
        <v>6311</v>
      </c>
      <c r="AR992" s="226" t="s">
        <v>6311</v>
      </c>
      <c r="AS992" s="224"/>
      <c r="AT992" s="50" t="s">
        <v>266</v>
      </c>
      <c r="AU992" s="48">
        <v>6</v>
      </c>
      <c r="AV992" s="48">
        <v>120</v>
      </c>
      <c r="AW992" s="48">
        <v>114</v>
      </c>
      <c r="AX992" s="48">
        <v>28</v>
      </c>
      <c r="AY992" s="48" t="s">
        <v>8728</v>
      </c>
      <c r="AZ992" s="48" t="s">
        <v>1563</v>
      </c>
      <c r="BA992" s="48">
        <v>32</v>
      </c>
      <c r="BB992" s="47" t="s">
        <v>2485</v>
      </c>
      <c r="BC992" s="47" t="s">
        <v>8726</v>
      </c>
      <c r="BD992" s="47" t="s">
        <v>8374</v>
      </c>
      <c r="BE992" s="48" t="s">
        <v>2449</v>
      </c>
      <c r="BF992" s="48" t="s">
        <v>272</v>
      </c>
      <c r="BG992" s="48" t="s">
        <v>272</v>
      </c>
      <c r="BH992" s="48" t="s">
        <v>2486</v>
      </c>
      <c r="BI992" s="98">
        <v>2.1196799999999997E-3</v>
      </c>
      <c r="BJ992" s="98">
        <v>21.1968</v>
      </c>
      <c r="BK992" s="48"/>
      <c r="BL992" s="487">
        <v>9.5448328658656862</v>
      </c>
      <c r="BM992" s="47" t="s">
        <v>2487</v>
      </c>
      <c r="BN992" s="48"/>
      <c r="BO992" s="48"/>
      <c r="BP992" s="48"/>
      <c r="BQ992" s="48"/>
      <c r="BR992" s="47" t="e">
        <v>#VALUE!</v>
      </c>
      <c r="BS992" s="48"/>
      <c r="BT992" s="48"/>
      <c r="BU992" s="228"/>
      <c r="BV992" s="48"/>
      <c r="BW992" s="48"/>
      <c r="BX992" s="48"/>
      <c r="BY992" s="48"/>
      <c r="BZ992" s="48"/>
      <c r="CA992" s="48"/>
      <c r="CB992" s="48"/>
      <c r="CC992" s="48"/>
      <c r="CD992" s="48"/>
      <c r="CE992" s="48"/>
      <c r="CF992" s="48"/>
      <c r="CG992" s="48"/>
      <c r="CH992" s="48"/>
      <c r="CI992" s="98"/>
      <c r="CJ992" s="98"/>
      <c r="CK992" s="49">
        <f t="shared" si="209"/>
        <v>0.45029593456869371</v>
      </c>
      <c r="CL992" s="229"/>
      <c r="CM992" s="229">
        <v>0.32179662340504073</v>
      </c>
      <c r="CN992" s="229">
        <f>BJ992/(10^CM992)</f>
        <v>10.103542640789838</v>
      </c>
      <c r="CO992" s="47" t="s">
        <v>2488</v>
      </c>
      <c r="CP992" s="500" t="s">
        <v>2489</v>
      </c>
      <c r="CQ992" s="224">
        <v>0.39862578591717501</v>
      </c>
      <c r="CR992" s="224">
        <f t="shared" si="208"/>
        <v>0.39936887423929945</v>
      </c>
      <c r="CS992" s="230" t="s">
        <v>539</v>
      </c>
      <c r="CT992" s="230"/>
      <c r="CU992" s="230"/>
      <c r="CV992" s="335">
        <f t="shared" si="210"/>
        <v>0.66047705314009664</v>
      </c>
      <c r="CW992" s="230">
        <f t="shared" si="211"/>
        <v>0</v>
      </c>
      <c r="CX992" s="336"/>
      <c r="CY992" s="230" t="s">
        <v>5921</v>
      </c>
    </row>
    <row r="993" spans="1:103" ht="11.25" customHeight="1" x14ac:dyDescent="0.2">
      <c r="A993" s="72">
        <v>1403</v>
      </c>
      <c r="B993" s="224">
        <v>1257</v>
      </c>
      <c r="C993" s="46" t="s">
        <v>1411</v>
      </c>
      <c r="D993" s="46"/>
      <c r="E993" s="114"/>
      <c r="F993" s="114" t="s">
        <v>1412</v>
      </c>
      <c r="G993" s="225">
        <v>60207901</v>
      </c>
      <c r="H993" s="47" t="s">
        <v>1413</v>
      </c>
      <c r="I993" s="47" t="s">
        <v>8138</v>
      </c>
      <c r="J993" s="47" t="s">
        <v>1414</v>
      </c>
      <c r="K993" s="47" t="s">
        <v>1112</v>
      </c>
      <c r="L993" s="47" t="s">
        <v>5990</v>
      </c>
      <c r="M993" s="47" t="s">
        <v>6082</v>
      </c>
      <c r="N993" s="47" t="s">
        <v>6082</v>
      </c>
      <c r="O993" s="47" t="s">
        <v>6083</v>
      </c>
      <c r="P993" s="53"/>
      <c r="Q993" s="53"/>
      <c r="R993" s="53"/>
      <c r="S993" s="53"/>
      <c r="T993" s="48">
        <v>342.22</v>
      </c>
      <c r="U993" s="98">
        <v>110.00000000000001</v>
      </c>
      <c r="V993" s="98">
        <v>4.5919999999999996</v>
      </c>
      <c r="W993" s="98">
        <v>10.575609029147994</v>
      </c>
      <c r="X993" s="98">
        <v>110.00000000000001</v>
      </c>
      <c r="Y993" s="233">
        <v>7.01</v>
      </c>
      <c r="Z993" s="48">
        <v>4.13</v>
      </c>
      <c r="AA993" s="48">
        <v>3.72</v>
      </c>
      <c r="AB993" s="48">
        <v>3.46</v>
      </c>
      <c r="AC993" s="48">
        <v>0.93130000000000002</v>
      </c>
      <c r="AD993" s="48">
        <v>3.52</v>
      </c>
      <c r="AE993" s="48">
        <v>3.88</v>
      </c>
      <c r="AF993" s="48">
        <f t="shared" si="202"/>
        <v>3.72</v>
      </c>
      <c r="AG993" s="49">
        <v>3.83</v>
      </c>
      <c r="AH993" s="98">
        <v>1.3600000000000001E-9</v>
      </c>
      <c r="AI993" s="98">
        <v>1.7200000000000001E-9</v>
      </c>
      <c r="AJ993" s="483">
        <f t="shared" si="203"/>
        <v>-7.2550274179424346</v>
      </c>
      <c r="AK993" s="483">
        <f t="shared" si="207"/>
        <v>-7.1530378794051028</v>
      </c>
      <c r="AL993" s="483">
        <f t="shared" si="204"/>
        <v>-7.1530378794051028</v>
      </c>
      <c r="AM993" s="483">
        <v>-12.879819999999999</v>
      </c>
      <c r="AN993" s="226">
        <v>-8.26</v>
      </c>
      <c r="AO993" s="484"/>
      <c r="AP993" s="484">
        <v>2.94</v>
      </c>
      <c r="AQ993" s="48" t="s">
        <v>6311</v>
      </c>
      <c r="AR993" s="48" t="s">
        <v>6311</v>
      </c>
      <c r="AS993" s="227"/>
      <c r="AT993" s="50" t="s">
        <v>266</v>
      </c>
      <c r="AU993" s="48">
        <v>6</v>
      </c>
      <c r="AV993" s="48">
        <v>120</v>
      </c>
      <c r="AW993" s="48">
        <v>114</v>
      </c>
      <c r="AX993" s="48">
        <v>28</v>
      </c>
      <c r="AY993" s="48" t="s">
        <v>8728</v>
      </c>
      <c r="AZ993" s="48" t="s">
        <v>1563</v>
      </c>
      <c r="BA993" s="48">
        <v>32</v>
      </c>
      <c r="BB993" s="47" t="s">
        <v>2485</v>
      </c>
      <c r="BC993" s="47" t="s">
        <v>8726</v>
      </c>
      <c r="BD993" s="47" t="s">
        <v>8374</v>
      </c>
      <c r="BE993" s="48" t="s">
        <v>2449</v>
      </c>
      <c r="BF993" s="48" t="s">
        <v>272</v>
      </c>
      <c r="BG993" s="48" t="s">
        <v>272</v>
      </c>
      <c r="BH993" s="48" t="s">
        <v>2486</v>
      </c>
      <c r="BI993" s="98">
        <v>2.1902079999999999E-3</v>
      </c>
      <c r="BJ993" s="98">
        <v>21.902080000000002</v>
      </c>
      <c r="BK993" s="48"/>
      <c r="BL993" s="487">
        <v>3.4352028464818032</v>
      </c>
      <c r="BM993" s="47" t="s">
        <v>2487</v>
      </c>
      <c r="BN993" s="48"/>
      <c r="BO993" s="48"/>
      <c r="BP993" s="48"/>
      <c r="BQ993" s="48"/>
      <c r="BR993" s="47" t="e">
        <v>#VALUE!</v>
      </c>
      <c r="BS993" s="48"/>
      <c r="BT993" s="48"/>
      <c r="BU993" s="228">
        <v>2.1902079999999999E-3</v>
      </c>
      <c r="BV993" s="48"/>
      <c r="BW993" s="48"/>
      <c r="BX993" s="48"/>
      <c r="BY993" s="48"/>
      <c r="BZ993" s="48"/>
      <c r="CA993" s="48"/>
      <c r="CB993" s="48"/>
      <c r="CC993" s="48"/>
      <c r="CD993" s="48"/>
      <c r="CE993" s="48"/>
      <c r="CF993" s="48"/>
      <c r="CG993" s="48"/>
      <c r="CH993" s="48"/>
      <c r="CI993" s="98"/>
      <c r="CJ993" s="98"/>
      <c r="CK993" s="49">
        <f t="shared" si="209"/>
        <v>0.15684368089614334</v>
      </c>
      <c r="CL993" s="229"/>
      <c r="CM993" s="229">
        <v>0.56545100384372449</v>
      </c>
      <c r="CN993" s="229">
        <f>BJ993/(10^CM993)</f>
        <v>5.9570926830970592</v>
      </c>
      <c r="CO993" s="47" t="s">
        <v>2488</v>
      </c>
      <c r="CP993" s="500" t="s">
        <v>2489</v>
      </c>
      <c r="CQ993" s="224">
        <v>0.57823061849061996</v>
      </c>
      <c r="CR993" s="224">
        <f t="shared" si="208"/>
        <v>0.2641005961350687</v>
      </c>
      <c r="CS993" s="230" t="s">
        <v>539</v>
      </c>
      <c r="CT993" s="230"/>
      <c r="CU993" s="230"/>
      <c r="CV993" s="335">
        <f t="shared" si="210"/>
        <v>5.0223540412600087</v>
      </c>
      <c r="CW993" s="230">
        <f t="shared" si="211"/>
        <v>1</v>
      </c>
      <c r="CX993" s="336"/>
      <c r="CY993" s="230" t="s">
        <v>5921</v>
      </c>
    </row>
    <row r="994" spans="1:103" ht="11.25" customHeight="1" x14ac:dyDescent="0.2">
      <c r="A994" s="72">
        <v>1404</v>
      </c>
      <c r="B994" s="224">
        <v>1207</v>
      </c>
      <c r="C994" s="46" t="s">
        <v>7460</v>
      </c>
      <c r="D994" s="46"/>
      <c r="E994" s="114"/>
      <c r="F994" s="114" t="s">
        <v>3327</v>
      </c>
      <c r="G994" s="225">
        <v>63612500</v>
      </c>
      <c r="H994" s="47" t="s">
        <v>3328</v>
      </c>
      <c r="I994" s="47" t="s">
        <v>7815</v>
      </c>
      <c r="J994" s="47" t="s">
        <v>3329</v>
      </c>
      <c r="K994" s="47" t="s">
        <v>2039</v>
      </c>
      <c r="L994" s="47" t="s">
        <v>279</v>
      </c>
      <c r="M994" s="47" t="s">
        <v>3330</v>
      </c>
      <c r="N994" s="47"/>
      <c r="O994" s="47" t="s">
        <v>281</v>
      </c>
      <c r="P994" s="53"/>
      <c r="Q994" s="53"/>
      <c r="R994" s="53"/>
      <c r="S994" s="53"/>
      <c r="T994" s="48">
        <v>317.22000000000003</v>
      </c>
      <c r="U994" s="98"/>
      <c r="V994" s="98">
        <v>91.31</v>
      </c>
      <c r="W994" s="98">
        <v>55.12651788958771</v>
      </c>
      <c r="X994" s="98">
        <v>55.12651788958771</v>
      </c>
      <c r="Y994" s="233">
        <v>5.68</v>
      </c>
      <c r="Z994" s="48">
        <v>1.92</v>
      </c>
      <c r="AA994" s="48"/>
      <c r="AB994" s="48">
        <v>2.25</v>
      </c>
      <c r="AC994" s="48">
        <v>0.64390000000000003</v>
      </c>
      <c r="AD994" s="48">
        <v>2.2400000000000002</v>
      </c>
      <c r="AE994" s="48">
        <v>2.23</v>
      </c>
      <c r="AF994" s="48">
        <f t="shared" si="202"/>
        <v>2.2400000000000002</v>
      </c>
      <c r="AG994" s="49">
        <v>1.44</v>
      </c>
      <c r="AH994" s="98">
        <v>4.8799999999999997E-10</v>
      </c>
      <c r="AI994" s="98"/>
      <c r="AJ994" s="483">
        <f t="shared" si="203"/>
        <v>-7.7001465043099415</v>
      </c>
      <c r="AK994" s="483"/>
      <c r="AL994" s="483">
        <f t="shared" si="204"/>
        <v>-7.7001465043099415</v>
      </c>
      <c r="AM994" s="483">
        <v>-12.98546</v>
      </c>
      <c r="AN994" s="226">
        <v>-6.13</v>
      </c>
      <c r="AO994" s="484">
        <v>7.59</v>
      </c>
      <c r="AP994" s="484">
        <v>-1.34</v>
      </c>
      <c r="AQ994" s="48" t="s">
        <v>6311</v>
      </c>
      <c r="AR994" s="48" t="s">
        <v>6311</v>
      </c>
      <c r="AS994" s="227"/>
      <c r="AT994" s="50" t="s">
        <v>266</v>
      </c>
      <c r="AU994" s="48">
        <v>6</v>
      </c>
      <c r="AV994" s="48">
        <v>120</v>
      </c>
      <c r="AW994" s="48">
        <v>114</v>
      </c>
      <c r="AX994" s="48">
        <v>28</v>
      </c>
      <c r="AY994" s="48" t="s">
        <v>8728</v>
      </c>
      <c r="AZ994" s="48" t="s">
        <v>1563</v>
      </c>
      <c r="BA994" s="48">
        <v>32</v>
      </c>
      <c r="BB994" s="47" t="s">
        <v>2485</v>
      </c>
      <c r="BC994" s="47" t="s">
        <v>8726</v>
      </c>
      <c r="BD994" s="47" t="s">
        <v>8374</v>
      </c>
      <c r="BE994" s="48" t="s">
        <v>2449</v>
      </c>
      <c r="BF994" s="48" t="s">
        <v>272</v>
      </c>
      <c r="BG994" s="48" t="s">
        <v>272</v>
      </c>
      <c r="BH994" s="48" t="s">
        <v>2486</v>
      </c>
      <c r="BI994" s="98">
        <v>2.0302079999999999E-3</v>
      </c>
      <c r="BJ994" s="98">
        <v>20.302080000000004</v>
      </c>
      <c r="BK994" s="48"/>
      <c r="BL994" s="487">
        <v>307.47411544694882</v>
      </c>
      <c r="BM994" s="47" t="s">
        <v>2487</v>
      </c>
      <c r="BN994" s="48"/>
      <c r="BO994" s="48"/>
      <c r="BP994" s="48"/>
      <c r="BQ994" s="48"/>
      <c r="BR994" s="47" t="e">
        <v>#VALUE!</v>
      </c>
      <c r="BS994" s="48"/>
      <c r="BT994" s="48"/>
      <c r="BU994" s="228">
        <v>0.20302080000000003</v>
      </c>
      <c r="BV994" s="48"/>
      <c r="BW994" s="48"/>
      <c r="BX994" s="48"/>
      <c r="BY994" s="48"/>
      <c r="BZ994" s="48"/>
      <c r="CA994" s="48"/>
      <c r="CB994" s="48"/>
      <c r="CC994" s="48"/>
      <c r="CD994" s="48"/>
      <c r="CE994" s="48"/>
      <c r="CF994" s="48"/>
      <c r="CG994" s="48"/>
      <c r="CH994" s="48"/>
      <c r="CI994" s="98"/>
      <c r="CJ994" s="98"/>
      <c r="CK994" s="49">
        <f t="shared" si="209"/>
        <v>15.144956351612681</v>
      </c>
      <c r="CL994" s="229"/>
      <c r="CM994" s="229"/>
      <c r="CN994" s="229"/>
      <c r="CO994" s="47" t="s">
        <v>2488</v>
      </c>
      <c r="CP994" s="500" t="s">
        <v>2489</v>
      </c>
      <c r="CQ994" s="224" t="s">
        <v>272</v>
      </c>
      <c r="CR994" s="224"/>
      <c r="CS994" s="230" t="s">
        <v>539</v>
      </c>
      <c r="CT994" s="230"/>
      <c r="CU994" s="230"/>
      <c r="CV994" s="335">
        <f t="shared" si="210"/>
        <v>2.7153137949208999</v>
      </c>
      <c r="CW994" s="230">
        <f t="shared" si="211"/>
        <v>1</v>
      </c>
      <c r="CX994" s="336"/>
      <c r="CY994" s="230" t="s">
        <v>5921</v>
      </c>
    </row>
    <row r="995" spans="1:103" ht="11.25" customHeight="1" x14ac:dyDescent="0.2">
      <c r="A995" s="72">
        <v>1406</v>
      </c>
      <c r="B995" s="224">
        <v>1173</v>
      </c>
      <c r="C995" s="46" t="s">
        <v>7462</v>
      </c>
      <c r="D995" s="46"/>
      <c r="E995" s="114"/>
      <c r="F995" s="114" t="s">
        <v>3235</v>
      </c>
      <c r="G995" s="225">
        <v>65277421</v>
      </c>
      <c r="H995" s="47" t="s">
        <v>3236</v>
      </c>
      <c r="I995" s="47" t="s">
        <v>8140</v>
      </c>
      <c r="J995" s="47" t="s">
        <v>3237</v>
      </c>
      <c r="K995" s="47" t="s">
        <v>2536</v>
      </c>
      <c r="L995" s="47" t="s">
        <v>279</v>
      </c>
      <c r="M995" s="47" t="s">
        <v>8525</v>
      </c>
      <c r="N995" s="47"/>
      <c r="O995" s="47" t="s">
        <v>281</v>
      </c>
      <c r="P995" s="53"/>
      <c r="Q995" s="53"/>
      <c r="R995" s="53"/>
      <c r="S995" s="53"/>
      <c r="T995" s="48">
        <v>531.42999999999995</v>
      </c>
      <c r="U995" s="98"/>
      <c r="V995" s="98">
        <v>8.6629999999999999E-2</v>
      </c>
      <c r="W995" s="98">
        <v>65.380173287282275</v>
      </c>
      <c r="X995" s="98">
        <v>65.380173287282275</v>
      </c>
      <c r="Y995" s="233">
        <v>8.48</v>
      </c>
      <c r="Z995" s="48">
        <v>4.45</v>
      </c>
      <c r="AA995" s="48">
        <v>4.3499999999999996</v>
      </c>
      <c r="AB995" s="48">
        <v>3.63</v>
      </c>
      <c r="AC995" s="48">
        <v>0.7722</v>
      </c>
      <c r="AD995" s="48">
        <v>3.61</v>
      </c>
      <c r="AE995" s="48">
        <v>3.55</v>
      </c>
      <c r="AF995" s="48">
        <f t="shared" si="202"/>
        <v>4.3499999999999996</v>
      </c>
      <c r="AG995" s="49">
        <v>3.78</v>
      </c>
      <c r="AH995" s="98">
        <v>5.5900000000000002E-20</v>
      </c>
      <c r="AI995" s="98"/>
      <c r="AJ995" s="483">
        <f t="shared" si="203"/>
        <v>-17.64115451842623</v>
      </c>
      <c r="AK995" s="483"/>
      <c r="AL995" s="483">
        <f t="shared" si="204"/>
        <v>-17.64115451842623</v>
      </c>
      <c r="AM995" s="483">
        <v>-26.355710000000002</v>
      </c>
      <c r="AN995" s="226">
        <v>-18.8</v>
      </c>
      <c r="AO995" s="484"/>
      <c r="AP995" s="484">
        <v>6.88</v>
      </c>
      <c r="AQ995" s="48" t="s">
        <v>6311</v>
      </c>
      <c r="AR995" s="48" t="s">
        <v>6311</v>
      </c>
      <c r="AS995" s="227"/>
      <c r="AT995" s="50" t="s">
        <v>266</v>
      </c>
      <c r="AU995" s="48">
        <v>6</v>
      </c>
      <c r="AV995" s="48">
        <v>120</v>
      </c>
      <c r="AW995" s="48">
        <v>114</v>
      </c>
      <c r="AX995" s="48">
        <v>28</v>
      </c>
      <c r="AY995" s="48" t="s">
        <v>8728</v>
      </c>
      <c r="AZ995" s="48" t="s">
        <v>1563</v>
      </c>
      <c r="BA995" s="48">
        <v>32</v>
      </c>
      <c r="BB995" s="47" t="s">
        <v>2485</v>
      </c>
      <c r="BC995" s="47" t="s">
        <v>8726</v>
      </c>
      <c r="BD995" s="47" t="s">
        <v>8374</v>
      </c>
      <c r="BE995" s="48" t="s">
        <v>2449</v>
      </c>
      <c r="BF995" s="48" t="s">
        <v>272</v>
      </c>
      <c r="BG995" s="48" t="s">
        <v>272</v>
      </c>
      <c r="BH995" s="48" t="s">
        <v>2486</v>
      </c>
      <c r="BI995" s="98">
        <v>3.4011519999999997E-3</v>
      </c>
      <c r="BJ995" s="98">
        <v>34.011519999999997</v>
      </c>
      <c r="BK995" s="48"/>
      <c r="BL995" s="487">
        <v>2.7523335706600305</v>
      </c>
      <c r="BM995" s="47" t="s">
        <v>2487</v>
      </c>
      <c r="BN995" s="48"/>
      <c r="BO995" s="48"/>
      <c r="BP995" s="48"/>
      <c r="BQ995" s="48"/>
      <c r="BR995" s="47" t="e">
        <v>#VALUE!</v>
      </c>
      <c r="BS995" s="48"/>
      <c r="BT995" s="48"/>
      <c r="BU995" s="228">
        <v>0.34011520000000001</v>
      </c>
      <c r="BV995" s="48"/>
      <c r="BW995" s="48"/>
      <c r="BX995" s="48"/>
      <c r="BY995" s="48"/>
      <c r="BZ995" s="48"/>
      <c r="CA995" s="48"/>
      <c r="CB995" s="48"/>
      <c r="CC995" s="48"/>
      <c r="CD995" s="48"/>
      <c r="CE995" s="48"/>
      <c r="CF995" s="48"/>
      <c r="CG995" s="48"/>
      <c r="CH995" s="48"/>
      <c r="CI995" s="98"/>
      <c r="CJ995" s="98"/>
      <c r="CK995" s="49">
        <f t="shared" si="209"/>
        <v>8.092356856324065E-2</v>
      </c>
      <c r="CL995" s="229"/>
      <c r="CM995" s="229"/>
      <c r="CN995" s="229"/>
      <c r="CO995" s="47" t="s">
        <v>2488</v>
      </c>
      <c r="CP995" s="500" t="s">
        <v>2489</v>
      </c>
      <c r="CQ995" s="224" t="s">
        <v>272</v>
      </c>
      <c r="CR995" s="224"/>
      <c r="CS995" s="230" t="s">
        <v>539</v>
      </c>
      <c r="CT995" s="230"/>
      <c r="CU995" s="230"/>
      <c r="CV995" s="335">
        <f t="shared" si="210"/>
        <v>1.9222949543943428</v>
      </c>
      <c r="CW995" s="230">
        <f t="shared" si="211"/>
        <v>1</v>
      </c>
      <c r="CX995" s="336"/>
      <c r="CY995" s="230" t="s">
        <v>5921</v>
      </c>
    </row>
    <row r="996" spans="1:103" ht="11.25" customHeight="1" x14ac:dyDescent="0.2">
      <c r="A996" s="72">
        <v>1408</v>
      </c>
      <c r="B996" s="224">
        <v>1576</v>
      </c>
      <c r="C996" s="46" t="s">
        <v>7463</v>
      </c>
      <c r="D996" s="46"/>
      <c r="E996" s="114"/>
      <c r="F996" s="114" t="s">
        <v>3790</v>
      </c>
      <c r="G996" s="225">
        <v>66215278</v>
      </c>
      <c r="H996" s="47" t="s">
        <v>3791</v>
      </c>
      <c r="I996" s="47" t="s">
        <v>3791</v>
      </c>
      <c r="J996" s="47" t="s">
        <v>3792</v>
      </c>
      <c r="K996" s="47" t="s">
        <v>3793</v>
      </c>
      <c r="L996" s="47" t="s">
        <v>617</v>
      </c>
      <c r="M996" s="47" t="s">
        <v>3794</v>
      </c>
      <c r="N996" s="47"/>
      <c r="O996" s="47" t="s">
        <v>918</v>
      </c>
      <c r="P996" s="53"/>
      <c r="Q996" s="53"/>
      <c r="R996" s="53"/>
      <c r="S996" s="53"/>
      <c r="T996" s="48">
        <v>166.18</v>
      </c>
      <c r="U996" s="98">
        <v>13000</v>
      </c>
      <c r="V996" s="98">
        <v>9669</v>
      </c>
      <c r="W996" s="98">
        <v>1203.8676784526174</v>
      </c>
      <c r="X996" s="98">
        <v>13000</v>
      </c>
      <c r="Y996" s="233">
        <v>8.82</v>
      </c>
      <c r="Z996" s="48">
        <v>0.96</v>
      </c>
      <c r="AA996" s="48"/>
      <c r="AB996" s="48">
        <v>0.37</v>
      </c>
      <c r="AC996" s="48">
        <v>0.76300000000000001</v>
      </c>
      <c r="AD996" s="48">
        <v>0.24</v>
      </c>
      <c r="AE996" s="48">
        <v>-0.04</v>
      </c>
      <c r="AF996" s="48">
        <f t="shared" si="202"/>
        <v>0.24</v>
      </c>
      <c r="AG996" s="49">
        <v>-0.1</v>
      </c>
      <c r="AH996" s="98">
        <v>3.2299999999999999E-13</v>
      </c>
      <c r="AI996" s="98">
        <v>5.6499999999999999E-14</v>
      </c>
      <c r="AJ996" s="483">
        <f t="shared" si="203"/>
        <v>-10.879363803981549</v>
      </c>
      <c r="AK996" s="483">
        <f>LOG10(AI996*1000/(0.08206*298.15))</f>
        <v>-11.636517878493214</v>
      </c>
      <c r="AL996" s="483">
        <f t="shared" si="204"/>
        <v>-11.636517878493214</v>
      </c>
      <c r="AM996" s="483">
        <v>-14.649339999999999</v>
      </c>
      <c r="AN996" s="226">
        <v>-12.7</v>
      </c>
      <c r="AO996" s="484"/>
      <c r="AP996" s="484">
        <v>5.44</v>
      </c>
      <c r="AQ996" s="48" t="s">
        <v>6311</v>
      </c>
      <c r="AR996" s="48" t="s">
        <v>6311</v>
      </c>
      <c r="AS996" s="227"/>
      <c r="AT996" s="50" t="s">
        <v>266</v>
      </c>
      <c r="AU996" s="48">
        <v>6</v>
      </c>
      <c r="AV996" s="48">
        <v>120</v>
      </c>
      <c r="AW996" s="48">
        <v>114</v>
      </c>
      <c r="AX996" s="48">
        <v>28</v>
      </c>
      <c r="AY996" s="48" t="s">
        <v>8728</v>
      </c>
      <c r="AZ996" s="48" t="s">
        <v>1563</v>
      </c>
      <c r="BA996" s="48">
        <v>32</v>
      </c>
      <c r="BB996" s="47" t="s">
        <v>2485</v>
      </c>
      <c r="BC996" s="47" t="s">
        <v>8726</v>
      </c>
      <c r="BD996" s="47" t="s">
        <v>8374</v>
      </c>
      <c r="BE996" s="48" t="s">
        <v>2449</v>
      </c>
      <c r="BF996" s="48" t="s">
        <v>272</v>
      </c>
      <c r="BG996" s="48" t="s">
        <v>272</v>
      </c>
      <c r="BH996" s="48" t="s">
        <v>2486</v>
      </c>
      <c r="BI996" s="98">
        <v>1.0635519999999999E-3</v>
      </c>
      <c r="BJ996" s="98">
        <v>10.635520000000001</v>
      </c>
      <c r="BK996" s="48"/>
      <c r="BL996" s="487">
        <v>1172.742744200895</v>
      </c>
      <c r="BM996" s="47" t="s">
        <v>2487</v>
      </c>
      <c r="BN996" s="48"/>
      <c r="BO996" s="48"/>
      <c r="BP996" s="48"/>
      <c r="BQ996" s="48"/>
      <c r="BR996" s="47" t="e">
        <v>#VALUE!</v>
      </c>
      <c r="BS996" s="48"/>
      <c r="BT996" s="48"/>
      <c r="BU996" s="228"/>
      <c r="BV996" s="48"/>
      <c r="BW996" s="48"/>
      <c r="BX996" s="48"/>
      <c r="BY996" s="48"/>
      <c r="BZ996" s="48"/>
      <c r="CA996" s="48"/>
      <c r="CB996" s="48"/>
      <c r="CC996" s="48"/>
      <c r="CD996" s="48"/>
      <c r="CE996" s="48"/>
      <c r="CF996" s="48"/>
      <c r="CG996" s="48"/>
      <c r="CH996" s="48"/>
      <c r="CI996" s="98"/>
      <c r="CJ996" s="98"/>
      <c r="CK996" s="49">
        <f t="shared" si="209"/>
        <v>110.26661077228897</v>
      </c>
      <c r="CL996" s="229"/>
      <c r="CM996" s="229"/>
      <c r="CN996" s="229"/>
      <c r="CO996" s="47" t="s">
        <v>2488</v>
      </c>
      <c r="CP996" s="500" t="s">
        <v>2489</v>
      </c>
      <c r="CQ996" s="224" t="s">
        <v>272</v>
      </c>
      <c r="CR996" s="224"/>
      <c r="CS996" s="230" t="s">
        <v>539</v>
      </c>
      <c r="CT996" s="230"/>
      <c r="CU996" s="230"/>
      <c r="CV996" s="335">
        <f t="shared" si="210"/>
        <v>1222.3191719821878</v>
      </c>
      <c r="CW996" s="230">
        <f t="shared" si="211"/>
        <v>1</v>
      </c>
      <c r="CX996" s="336"/>
      <c r="CY996" s="230" t="s">
        <v>5921</v>
      </c>
    </row>
    <row r="997" spans="1:103" ht="11.25" customHeight="1" x14ac:dyDescent="0.2">
      <c r="A997" s="72">
        <v>1410</v>
      </c>
      <c r="B997" s="224">
        <v>1146</v>
      </c>
      <c r="C997" s="46" t="s">
        <v>1244</v>
      </c>
      <c r="D997" s="46"/>
      <c r="E997" s="114"/>
      <c r="F997" s="114" t="s">
        <v>1245</v>
      </c>
      <c r="G997" s="225">
        <v>66332965</v>
      </c>
      <c r="H997" s="47" t="s">
        <v>1246</v>
      </c>
      <c r="I997" s="47" t="s">
        <v>1246</v>
      </c>
      <c r="J997" s="47" t="s">
        <v>1247</v>
      </c>
      <c r="K997" s="47" t="s">
        <v>471</v>
      </c>
      <c r="L997" s="47" t="s">
        <v>6123</v>
      </c>
      <c r="M997" s="47" t="s">
        <v>6082</v>
      </c>
      <c r="N997" s="47" t="s">
        <v>6082</v>
      </c>
      <c r="O997" s="47" t="s">
        <v>6083</v>
      </c>
      <c r="P997" s="53"/>
      <c r="Q997" s="53"/>
      <c r="R997" s="53"/>
      <c r="S997" s="53"/>
      <c r="T997" s="48">
        <v>323.31</v>
      </c>
      <c r="U997" s="98">
        <v>6.53</v>
      </c>
      <c r="V997" s="98">
        <v>6.1959999999999997</v>
      </c>
      <c r="W997" s="98">
        <v>3.5450236559505295</v>
      </c>
      <c r="X997" s="98">
        <v>6.53</v>
      </c>
      <c r="Y997" s="233">
        <v>7</v>
      </c>
      <c r="Z997" s="48">
        <v>4.6500000000000004</v>
      </c>
      <c r="AA997" s="48">
        <v>3.7</v>
      </c>
      <c r="AB997" s="48">
        <v>4.17</v>
      </c>
      <c r="AC997" s="48">
        <v>0.85319999999999996</v>
      </c>
      <c r="AD997" s="48">
        <v>4.0599999999999996</v>
      </c>
      <c r="AE997" s="48">
        <v>3.7</v>
      </c>
      <c r="AF997" s="48">
        <f t="shared" si="202"/>
        <v>3.7</v>
      </c>
      <c r="AG997" s="49">
        <v>4.07</v>
      </c>
      <c r="AH997" s="98">
        <v>1.1100000000000001E-9</v>
      </c>
      <c r="AI997" s="98">
        <v>3.1800000000000002E-9</v>
      </c>
      <c r="AJ997" s="483">
        <f t="shared" si="203"/>
        <v>-7.3432433475259939</v>
      </c>
      <c r="AK997" s="483">
        <f>LOG10(AI997*1000/(0.08206*298.15))</f>
        <v>-6.8861392063282194</v>
      </c>
      <c r="AL997" s="483">
        <f t="shared" si="204"/>
        <v>-6.8861392063282194</v>
      </c>
      <c r="AM997" s="483">
        <v>-12.147180000000001</v>
      </c>
      <c r="AN997" s="226">
        <v>-8.86</v>
      </c>
      <c r="AO997" s="484">
        <v>12.44</v>
      </c>
      <c r="AP997" s="484">
        <v>-2.52</v>
      </c>
      <c r="AQ997" s="48" t="s">
        <v>6311</v>
      </c>
      <c r="AR997" s="48" t="s">
        <v>6311</v>
      </c>
      <c r="AS997" s="227"/>
      <c r="AT997" s="50" t="s">
        <v>266</v>
      </c>
      <c r="AU997" s="48">
        <v>6</v>
      </c>
      <c r="AV997" s="48">
        <v>120</v>
      </c>
      <c r="AW997" s="48">
        <v>114</v>
      </c>
      <c r="AX997" s="48">
        <v>28</v>
      </c>
      <c r="AY997" s="48" t="s">
        <v>8728</v>
      </c>
      <c r="AZ997" s="48" t="s">
        <v>1563</v>
      </c>
      <c r="BA997" s="48">
        <v>32</v>
      </c>
      <c r="BB997" s="47" t="s">
        <v>2485</v>
      </c>
      <c r="BC997" s="47" t="s">
        <v>8726</v>
      </c>
      <c r="BD997" s="47" t="s">
        <v>8374</v>
      </c>
      <c r="BE997" s="48" t="s">
        <v>2449</v>
      </c>
      <c r="BF997" s="48" t="s">
        <v>272</v>
      </c>
      <c r="BG997" s="48" t="s">
        <v>272</v>
      </c>
      <c r="BH997" s="48" t="s">
        <v>2486</v>
      </c>
      <c r="BI997" s="98">
        <v>2.069184E-3</v>
      </c>
      <c r="BJ997" s="98">
        <v>20.691839999999999</v>
      </c>
      <c r="BK997" s="48"/>
      <c r="BL997" s="487">
        <v>1.1072715402816538</v>
      </c>
      <c r="BM997" s="47" t="s">
        <v>2487</v>
      </c>
      <c r="BN997" s="48"/>
      <c r="BO997" s="48"/>
      <c r="BP997" s="48"/>
      <c r="BQ997" s="48"/>
      <c r="BR997" s="47" t="e">
        <v>#VALUE!</v>
      </c>
      <c r="BS997" s="48"/>
      <c r="BT997" s="48"/>
      <c r="BU997" s="228">
        <v>2.0691839999999999</v>
      </c>
      <c r="BV997" s="48"/>
      <c r="BW997" s="48"/>
      <c r="BX997" s="48"/>
      <c r="BY997" s="48"/>
      <c r="BZ997" s="48"/>
      <c r="CA997" s="48"/>
      <c r="CB997" s="48"/>
      <c r="CC997" s="48"/>
      <c r="CD997" s="48"/>
      <c r="CE997" s="48"/>
      <c r="CF997" s="48"/>
      <c r="CG997" s="48"/>
      <c r="CH997" s="48"/>
      <c r="CI997" s="98"/>
      <c r="CJ997" s="98"/>
      <c r="CK997" s="49">
        <f t="shared" si="209"/>
        <v>5.3512473529741859E-2</v>
      </c>
      <c r="CL997" s="229"/>
      <c r="CM997" s="229">
        <v>0.68124123737558717</v>
      </c>
      <c r="CN997" s="229">
        <f>BJ997/(10^CM997)</f>
        <v>4.3108000000000004</v>
      </c>
      <c r="CO997" s="47" t="s">
        <v>2488</v>
      </c>
      <c r="CP997" s="500" t="s">
        <v>2489</v>
      </c>
      <c r="CQ997" s="224">
        <v>0.70681749859927789</v>
      </c>
      <c r="CR997" s="224">
        <f>10^(CJ997-CQ997)</f>
        <v>0.19641855032959651</v>
      </c>
      <c r="CS997" s="230" t="s">
        <v>539</v>
      </c>
      <c r="CT997" s="230"/>
      <c r="CU997" s="230"/>
      <c r="CV997" s="335">
        <f t="shared" si="210"/>
        <v>0.31558334106585012</v>
      </c>
      <c r="CW997" s="230">
        <f t="shared" si="211"/>
        <v>0</v>
      </c>
      <c r="CX997" s="336"/>
      <c r="CY997" s="230" t="s">
        <v>5921</v>
      </c>
    </row>
    <row r="998" spans="1:103" ht="11.25" customHeight="1" x14ac:dyDescent="0.2">
      <c r="A998" s="72">
        <v>1411</v>
      </c>
      <c r="B998" s="224">
        <v>1919</v>
      </c>
      <c r="C998" s="46" t="s">
        <v>1543</v>
      </c>
      <c r="D998" s="46"/>
      <c r="E998" s="114"/>
      <c r="F998" s="114" t="s">
        <v>1544</v>
      </c>
      <c r="G998" s="225">
        <v>68694111</v>
      </c>
      <c r="H998" s="47" t="s">
        <v>1545</v>
      </c>
      <c r="I998" s="47" t="s">
        <v>7883</v>
      </c>
      <c r="J998" s="47" t="s">
        <v>1546</v>
      </c>
      <c r="K998" s="47" t="s">
        <v>1064</v>
      </c>
      <c r="L998" s="47" t="s">
        <v>6168</v>
      </c>
      <c r="M998" s="47" t="s">
        <v>6082</v>
      </c>
      <c r="N998" s="47" t="s">
        <v>6082</v>
      </c>
      <c r="O998" s="47" t="s">
        <v>6083</v>
      </c>
      <c r="P998" s="53"/>
      <c r="Q998" s="53"/>
      <c r="R998" s="53"/>
      <c r="S998" s="53"/>
      <c r="T998" s="48">
        <v>345.75</v>
      </c>
      <c r="U998" s="98">
        <v>12500</v>
      </c>
      <c r="V998" s="98">
        <v>418.9</v>
      </c>
      <c r="W998" s="98">
        <v>1.0441483073289965</v>
      </c>
      <c r="X998" s="98">
        <v>12500</v>
      </c>
      <c r="Y998" s="233">
        <v>7</v>
      </c>
      <c r="Z998" s="48">
        <v>1.5</v>
      </c>
      <c r="AA998" s="48">
        <v>1.4</v>
      </c>
      <c r="AB998" s="48">
        <v>4.49</v>
      </c>
      <c r="AC998" s="48">
        <v>0.85199999999999998</v>
      </c>
      <c r="AD998" s="48">
        <v>4.53</v>
      </c>
      <c r="AE998" s="48">
        <v>4.66</v>
      </c>
      <c r="AF998" s="48">
        <f t="shared" si="202"/>
        <v>1.4</v>
      </c>
      <c r="AG998" s="49">
        <v>3.87</v>
      </c>
      <c r="AH998" s="98">
        <v>2.34E-7</v>
      </c>
      <c r="AI998" s="98">
        <v>5.13E-11</v>
      </c>
      <c r="AJ998" s="483">
        <f t="shared" si="203"/>
        <v>-5.019350468902509</v>
      </c>
      <c r="AK998" s="483">
        <f>LOG10(AI998*1000/(0.08206*298.15))</f>
        <v>-8.6784489612008358</v>
      </c>
      <c r="AL998" s="483">
        <f t="shared" si="204"/>
        <v>-8.6784489612008358</v>
      </c>
      <c r="AM998" s="483">
        <v>-9.3395799999999998</v>
      </c>
      <c r="AN998" s="226">
        <v>-8.7899999999999991</v>
      </c>
      <c r="AO998" s="484"/>
      <c r="AP998" s="484">
        <v>3.21</v>
      </c>
      <c r="AQ998" s="226" t="s">
        <v>6311</v>
      </c>
      <c r="AR998" s="226" t="s">
        <v>6311</v>
      </c>
      <c r="AS998" s="224"/>
      <c r="AT998" s="50" t="s">
        <v>266</v>
      </c>
      <c r="AU998" s="48">
        <v>6</v>
      </c>
      <c r="AV998" s="48">
        <v>120</v>
      </c>
      <c r="AW998" s="48">
        <v>114</v>
      </c>
      <c r="AX998" s="48">
        <v>28</v>
      </c>
      <c r="AY998" s="48" t="s">
        <v>8728</v>
      </c>
      <c r="AZ998" s="48" t="s">
        <v>1563</v>
      </c>
      <c r="BA998" s="48">
        <v>32</v>
      </c>
      <c r="BB998" s="47" t="s">
        <v>2485</v>
      </c>
      <c r="BC998" s="47" t="s">
        <v>8726</v>
      </c>
      <c r="BD998" s="47" t="s">
        <v>8374</v>
      </c>
      <c r="BE998" s="48" t="s">
        <v>2449</v>
      </c>
      <c r="BF998" s="48" t="s">
        <v>272</v>
      </c>
      <c r="BG998" s="48" t="s">
        <v>272</v>
      </c>
      <c r="BH998" s="48" t="s">
        <v>2486</v>
      </c>
      <c r="BI998" s="98">
        <v>2.2128E-3</v>
      </c>
      <c r="BJ998" s="98">
        <v>22.128</v>
      </c>
      <c r="BK998" s="48"/>
      <c r="BL998" s="487">
        <v>798.75242334760196</v>
      </c>
      <c r="BM998" s="47" t="s">
        <v>2487</v>
      </c>
      <c r="BN998" s="48"/>
      <c r="BO998" s="48"/>
      <c r="BP998" s="48"/>
      <c r="BQ998" s="48"/>
      <c r="BR998" s="47"/>
      <c r="BS998" s="48"/>
      <c r="BT998" s="48"/>
      <c r="BU998" s="228"/>
      <c r="BV998" s="48"/>
      <c r="BW998" s="48"/>
      <c r="BX998" s="48"/>
      <c r="BY998" s="48"/>
      <c r="BZ998" s="48"/>
      <c r="CA998" s="48"/>
      <c r="CB998" s="48"/>
      <c r="CC998" s="48"/>
      <c r="CD998" s="48"/>
      <c r="CE998" s="48"/>
      <c r="CF998" s="48"/>
      <c r="CG998" s="48"/>
      <c r="CH998" s="48"/>
      <c r="CI998" s="52"/>
      <c r="CJ998" s="98"/>
      <c r="CK998" s="49">
        <f t="shared" si="209"/>
        <v>36.096909948825108</v>
      </c>
      <c r="CL998" s="229"/>
      <c r="CM998" s="229">
        <v>-0.23657200643706275</v>
      </c>
      <c r="CN998" s="229">
        <f>BJ998/(10^CM998)</f>
        <v>38.151724137931041</v>
      </c>
      <c r="CO998" s="47" t="s">
        <v>2488</v>
      </c>
      <c r="CP998" s="500" t="s">
        <v>2489</v>
      </c>
      <c r="CQ998" s="224">
        <v>-0.15871650767128351</v>
      </c>
      <c r="CR998" s="224">
        <f>10^(CJ998-CQ998)</f>
        <v>1.4411742959720482</v>
      </c>
      <c r="CS998" s="230" t="s">
        <v>539</v>
      </c>
      <c r="CT998" s="230"/>
      <c r="CU998" s="230"/>
      <c r="CV998" s="335">
        <f t="shared" si="210"/>
        <v>564.89515545914674</v>
      </c>
      <c r="CW998" s="230">
        <f t="shared" si="211"/>
        <v>1</v>
      </c>
      <c r="CX998" s="336"/>
      <c r="CY998" s="230" t="s">
        <v>5921</v>
      </c>
    </row>
    <row r="999" spans="1:103" ht="11.25" customHeight="1" x14ac:dyDescent="0.2">
      <c r="A999" s="72">
        <v>1412</v>
      </c>
      <c r="B999" s="224">
        <v>1534</v>
      </c>
      <c r="C999" s="46" t="s">
        <v>993</v>
      </c>
      <c r="D999" s="46"/>
      <c r="E999" s="114"/>
      <c r="F999" s="114" t="s">
        <v>994</v>
      </c>
      <c r="G999" s="225">
        <v>69327760</v>
      </c>
      <c r="H999" s="47" t="s">
        <v>995</v>
      </c>
      <c r="I999" s="47" t="s">
        <v>995</v>
      </c>
      <c r="J999" s="47" t="s">
        <v>996</v>
      </c>
      <c r="K999" s="47" t="s">
        <v>426</v>
      </c>
      <c r="L999" s="47" t="s">
        <v>617</v>
      </c>
      <c r="M999" s="47" t="s">
        <v>997</v>
      </c>
      <c r="N999" s="47"/>
      <c r="O999" s="47" t="s">
        <v>918</v>
      </c>
      <c r="P999" s="53"/>
      <c r="Q999" s="53"/>
      <c r="R999" s="53"/>
      <c r="S999" s="53"/>
      <c r="T999" s="48">
        <v>305.44</v>
      </c>
      <c r="U999" s="98">
        <v>0.9</v>
      </c>
      <c r="V999" s="98">
        <v>2.427</v>
      </c>
      <c r="W999" s="98">
        <v>12.44302320524881</v>
      </c>
      <c r="X999" s="98">
        <v>0.9</v>
      </c>
      <c r="Y999" s="233">
        <v>7.01</v>
      </c>
      <c r="Z999" s="48">
        <v>4.3</v>
      </c>
      <c r="AA999" s="48">
        <v>4.3</v>
      </c>
      <c r="AB999" s="48">
        <v>3.67</v>
      </c>
      <c r="AC999" s="48">
        <v>0.77549999999999997</v>
      </c>
      <c r="AD999" s="48">
        <v>3.85</v>
      </c>
      <c r="AE999" s="48">
        <v>4.29</v>
      </c>
      <c r="AF999" s="48">
        <f t="shared" si="202"/>
        <v>4.3</v>
      </c>
      <c r="AG999" s="49">
        <v>4.0199999999999996</v>
      </c>
      <c r="AH999" s="98">
        <v>8.9500000000000007E-9</v>
      </c>
      <c r="AI999" s="98">
        <v>4.1999999999999996E-6</v>
      </c>
      <c r="AJ999" s="483">
        <f t="shared" si="203"/>
        <v>-6.4367432909967395</v>
      </c>
      <c r="AK999" s="483">
        <f>LOG10(AI999*1000/(0.08206*298.15))</f>
        <v>-3.7653170359147512</v>
      </c>
      <c r="AL999" s="483">
        <f t="shared" si="204"/>
        <v>-3.7653170359147512</v>
      </c>
      <c r="AM999" s="483">
        <v>-12.785059999999998</v>
      </c>
      <c r="AN999" s="226">
        <v>-5.68</v>
      </c>
      <c r="AO999" s="484"/>
      <c r="AP999" s="484">
        <v>3.02</v>
      </c>
      <c r="AQ999" s="48" t="s">
        <v>6311</v>
      </c>
      <c r="AR999" s="48" t="s">
        <v>6311</v>
      </c>
      <c r="AS999" s="227"/>
      <c r="AT999" s="50" t="s">
        <v>266</v>
      </c>
      <c r="AU999" s="48">
        <v>6</v>
      </c>
      <c r="AV999" s="48">
        <v>120</v>
      </c>
      <c r="AW999" s="48">
        <v>114</v>
      </c>
      <c r="AX999" s="48">
        <v>28</v>
      </c>
      <c r="AY999" s="48" t="s">
        <v>8728</v>
      </c>
      <c r="AZ999" s="48" t="s">
        <v>1563</v>
      </c>
      <c r="BA999" s="48">
        <v>32</v>
      </c>
      <c r="BB999" s="47" t="s">
        <v>2485</v>
      </c>
      <c r="BC999" s="47" t="s">
        <v>8726</v>
      </c>
      <c r="BD999" s="47" t="s">
        <v>8374</v>
      </c>
      <c r="BE999" s="48" t="s">
        <v>2449</v>
      </c>
      <c r="BF999" s="48" t="s">
        <v>272</v>
      </c>
      <c r="BG999" s="48" t="s">
        <v>272</v>
      </c>
      <c r="BH999" s="48" t="s">
        <v>2486</v>
      </c>
      <c r="BI999" s="98">
        <v>1.9548159999999998E-3</v>
      </c>
      <c r="BJ999" s="98">
        <v>19.548159999999999</v>
      </c>
      <c r="BK999" s="48"/>
      <c r="BL999" s="487">
        <v>2.1572273166100007</v>
      </c>
      <c r="BM999" s="47" t="s">
        <v>2487</v>
      </c>
      <c r="BN999" s="48"/>
      <c r="BO999" s="48"/>
      <c r="BP999" s="48"/>
      <c r="BQ999" s="48"/>
      <c r="BR999" s="47"/>
      <c r="BS999" s="48"/>
      <c r="BT999" s="48"/>
      <c r="BU999" s="228"/>
      <c r="BV999" s="48"/>
      <c r="BW999" s="48"/>
      <c r="BX999" s="48"/>
      <c r="BY999" s="48"/>
      <c r="BZ999" s="48"/>
      <c r="CA999" s="48"/>
      <c r="CB999" s="48"/>
      <c r="CC999" s="48"/>
      <c r="CD999" s="48"/>
      <c r="CE999" s="48"/>
      <c r="CF999" s="48"/>
      <c r="CG999" s="48"/>
      <c r="CH999" s="48"/>
      <c r="CI999" s="52"/>
      <c r="CJ999" s="98"/>
      <c r="CK999" s="49">
        <f t="shared" si="209"/>
        <v>0.11035449457186768</v>
      </c>
      <c r="CL999" s="229"/>
      <c r="CM999" s="229"/>
      <c r="CN999" s="229"/>
      <c r="CO999" s="47" t="s">
        <v>2488</v>
      </c>
      <c r="CP999" s="500" t="s">
        <v>2489</v>
      </c>
      <c r="CQ999" s="224" t="s">
        <v>272</v>
      </c>
      <c r="CR999" s="224"/>
      <c r="CS999" s="230" t="s">
        <v>539</v>
      </c>
      <c r="CT999" s="230"/>
      <c r="CU999" s="230"/>
      <c r="CV999" s="335">
        <f t="shared" si="210"/>
        <v>4.6040138816134106E-2</v>
      </c>
      <c r="CW999" s="230">
        <f t="shared" si="211"/>
        <v>0</v>
      </c>
      <c r="CX999" s="336"/>
      <c r="CY999" s="230" t="s">
        <v>5921</v>
      </c>
    </row>
    <row r="1000" spans="1:103" ht="11.25" customHeight="1" x14ac:dyDescent="0.2">
      <c r="A1000" s="72">
        <v>1414</v>
      </c>
      <c r="B1000" s="224">
        <v>1676</v>
      </c>
      <c r="C1000" s="46" t="s">
        <v>7464</v>
      </c>
      <c r="D1000" s="46" t="s">
        <v>7465</v>
      </c>
      <c r="E1000" s="114"/>
      <c r="F1000" s="114" t="s">
        <v>3875</v>
      </c>
      <c r="G1000" s="225">
        <v>69377817</v>
      </c>
      <c r="H1000" s="47" t="s">
        <v>3876</v>
      </c>
      <c r="I1000" s="47" t="s">
        <v>8141</v>
      </c>
      <c r="J1000" s="47" t="s">
        <v>3877</v>
      </c>
      <c r="K1000" s="47" t="s">
        <v>3878</v>
      </c>
      <c r="L1000" s="47"/>
      <c r="M1000" s="47"/>
      <c r="N1000" s="47"/>
      <c r="O1000" s="47"/>
      <c r="P1000" s="53"/>
      <c r="Q1000" s="53"/>
      <c r="R1000" s="53"/>
      <c r="S1000" s="53"/>
      <c r="T1000" s="48">
        <v>255.03</v>
      </c>
      <c r="U1000" s="98">
        <v>91</v>
      </c>
      <c r="V1000" s="98">
        <v>5551</v>
      </c>
      <c r="W1000" s="98">
        <v>718.77219896037332</v>
      </c>
      <c r="X1000" s="98">
        <v>91</v>
      </c>
      <c r="Y1000" s="233">
        <v>2.69</v>
      </c>
      <c r="Z1000" s="48">
        <v>1.17</v>
      </c>
      <c r="AA1000" s="48"/>
      <c r="AB1000" s="48">
        <v>1.48</v>
      </c>
      <c r="AC1000" s="48">
        <v>0.76929999999999998</v>
      </c>
      <c r="AD1000" s="48">
        <v>1.91</v>
      </c>
      <c r="AE1000" s="48">
        <v>3.16</v>
      </c>
      <c r="AF1000" s="48">
        <f t="shared" si="202"/>
        <v>1.91</v>
      </c>
      <c r="AG1000" s="49">
        <v>1.68</v>
      </c>
      <c r="AH1000" s="98">
        <v>4.5400000000000001E-14</v>
      </c>
      <c r="AI1000" s="98">
        <v>1.0499999999999999E-13</v>
      </c>
      <c r="AJ1000" s="483">
        <f t="shared" si="203"/>
        <v>-11.731510473455549</v>
      </c>
      <c r="AK1000" s="483">
        <f>LOG10(AI1000*1000/(0.08206*298.15))</f>
        <v>-11.367377027242714</v>
      </c>
      <c r="AL1000" s="483">
        <f t="shared" si="204"/>
        <v>-11.367377027242714</v>
      </c>
      <c r="AM1000" s="483">
        <v>-14.850779999999999</v>
      </c>
      <c r="AN1000" s="226">
        <v>-8.2100000000000009</v>
      </c>
      <c r="AO1000" s="484">
        <v>2.2200000000000002</v>
      </c>
      <c r="AP1000" s="484">
        <v>-1.55</v>
      </c>
      <c r="AQ1000" s="226" t="s">
        <v>6311</v>
      </c>
      <c r="AR1000" s="226" t="s">
        <v>6311</v>
      </c>
      <c r="AS1000" s="224"/>
      <c r="AT1000" s="50" t="s">
        <v>266</v>
      </c>
      <c r="AU1000" s="48">
        <v>6</v>
      </c>
      <c r="AV1000" s="48">
        <v>120</v>
      </c>
      <c r="AW1000" s="48">
        <v>114</v>
      </c>
      <c r="AX1000" s="48">
        <v>28</v>
      </c>
      <c r="AY1000" s="48" t="s">
        <v>8728</v>
      </c>
      <c r="AZ1000" s="48" t="s">
        <v>1563</v>
      </c>
      <c r="BA1000" s="48">
        <v>32</v>
      </c>
      <c r="BB1000" s="47" t="s">
        <v>2485</v>
      </c>
      <c r="BC1000" s="47" t="s">
        <v>8726</v>
      </c>
      <c r="BD1000" s="47" t="s">
        <v>8374</v>
      </c>
      <c r="BE1000" s="48" t="s">
        <v>2449</v>
      </c>
      <c r="BF1000" s="48" t="s">
        <v>272</v>
      </c>
      <c r="BG1000" s="48" t="s">
        <v>272</v>
      </c>
      <c r="BH1000" s="48" t="s">
        <v>2486</v>
      </c>
      <c r="BI1000" s="98">
        <v>1.632192E-3</v>
      </c>
      <c r="BJ1000" s="98">
        <v>16.321919999999999</v>
      </c>
      <c r="BK1000" s="48"/>
      <c r="BL1000" s="487">
        <v>1165.7737470848126</v>
      </c>
      <c r="BM1000" s="47" t="s">
        <v>2487</v>
      </c>
      <c r="BN1000" s="48"/>
      <c r="BO1000" s="48"/>
      <c r="BP1000" s="48"/>
      <c r="BQ1000" s="48"/>
      <c r="BR1000" s="47" t="e">
        <v>#VALUE!</v>
      </c>
      <c r="BS1000" s="48"/>
      <c r="BT1000" s="48"/>
      <c r="BU1000" s="228"/>
      <c r="BV1000" s="48"/>
      <c r="BW1000" s="48"/>
      <c r="BX1000" s="48"/>
      <c r="BY1000" s="48"/>
      <c r="BZ1000" s="48"/>
      <c r="CA1000" s="48"/>
      <c r="CB1000" s="48"/>
      <c r="CC1000" s="48"/>
      <c r="CD1000" s="48"/>
      <c r="CE1000" s="48"/>
      <c r="CF1000" s="48"/>
      <c r="CG1000" s="48"/>
      <c r="CH1000" s="48"/>
      <c r="CI1000" s="98"/>
      <c r="CJ1000" s="98"/>
      <c r="CK1000" s="49">
        <f t="shared" si="209"/>
        <v>71.423812093479981</v>
      </c>
      <c r="CL1000" s="229"/>
      <c r="CM1000" s="229"/>
      <c r="CN1000" s="229"/>
      <c r="CO1000" s="47" t="s">
        <v>2488</v>
      </c>
      <c r="CP1000" s="500" t="s">
        <v>2489</v>
      </c>
      <c r="CQ1000" s="224">
        <v>1.1553360374650619</v>
      </c>
      <c r="CR1000" s="224">
        <f>10^(CJ1000-CQ1000)</f>
        <v>6.9930069930069907E-2</v>
      </c>
      <c r="CS1000" s="230" t="s">
        <v>539</v>
      </c>
      <c r="CT1000" s="230"/>
      <c r="CU1000" s="230"/>
      <c r="CV1000" s="335">
        <f t="shared" si="210"/>
        <v>5.5753244716307888</v>
      </c>
      <c r="CW1000" s="230">
        <f t="shared" si="211"/>
        <v>1</v>
      </c>
      <c r="CX1000" s="336"/>
      <c r="CY1000" s="230" t="s">
        <v>5921</v>
      </c>
    </row>
    <row r="1001" spans="1:103" ht="11.25" customHeight="1" x14ac:dyDescent="0.2">
      <c r="A1001" s="72">
        <v>1415</v>
      </c>
      <c r="B1001" s="224">
        <v>1407</v>
      </c>
      <c r="C1001" s="46" t="s">
        <v>7466</v>
      </c>
      <c r="D1001" s="46"/>
      <c r="E1001" s="114"/>
      <c r="F1001" s="114" t="s">
        <v>4331</v>
      </c>
      <c r="G1001" s="225">
        <v>69655056</v>
      </c>
      <c r="H1001" s="47" t="s">
        <v>4332</v>
      </c>
      <c r="I1001" s="47" t="s">
        <v>8142</v>
      </c>
      <c r="J1001" s="47" t="s">
        <v>4333</v>
      </c>
      <c r="K1001" s="47" t="s">
        <v>4334</v>
      </c>
      <c r="L1001" s="47" t="s">
        <v>279</v>
      </c>
      <c r="M1001" s="47" t="s">
        <v>4335</v>
      </c>
      <c r="N1001" s="47"/>
      <c r="O1001" s="47" t="s">
        <v>281</v>
      </c>
      <c r="P1001" s="53"/>
      <c r="Q1001" s="53"/>
      <c r="R1001" s="53"/>
      <c r="S1001" s="53"/>
      <c r="T1001" s="48">
        <v>236.23</v>
      </c>
      <c r="U1001" s="98"/>
      <c r="V1001" s="98">
        <v>15799.999999999998</v>
      </c>
      <c r="W1001" s="98">
        <v>8981.2141092806141</v>
      </c>
      <c r="X1001" s="98">
        <v>8981.2141092806141</v>
      </c>
      <c r="Y1001" s="233">
        <v>5.08</v>
      </c>
      <c r="Z1001" s="48">
        <v>-0.47</v>
      </c>
      <c r="AA1001" s="48">
        <v>-1.24</v>
      </c>
      <c r="AB1001" s="48">
        <v>-1.1200000000000001</v>
      </c>
      <c r="AC1001" s="48">
        <v>0.87050000000000005</v>
      </c>
      <c r="AD1001" s="48">
        <v>-1.1599999999999999</v>
      </c>
      <c r="AE1001" s="48">
        <v>-1.31</v>
      </c>
      <c r="AF1001" s="48">
        <f t="shared" si="202"/>
        <v>-1.24</v>
      </c>
      <c r="AG1001" s="49">
        <v>-0.25</v>
      </c>
      <c r="AH1001" s="98">
        <v>2.4500000000000001E-20</v>
      </c>
      <c r="AI1001" s="98"/>
      <c r="AJ1001" s="483">
        <f t="shared" si="203"/>
        <v>-17.99940024194812</v>
      </c>
      <c r="AK1001" s="483"/>
      <c r="AL1001" s="483">
        <f t="shared" si="204"/>
        <v>-17.99940024194812</v>
      </c>
      <c r="AM1001" s="483">
        <v>-17.261469999999999</v>
      </c>
      <c r="AN1001" s="226">
        <v>-18.600000000000001</v>
      </c>
      <c r="AO1001" s="484"/>
      <c r="AP1001" s="484">
        <v>8.74</v>
      </c>
      <c r="AQ1001" s="48" t="s">
        <v>6311</v>
      </c>
      <c r="AR1001" s="48" t="s">
        <v>6311</v>
      </c>
      <c r="AS1001" s="227"/>
      <c r="AT1001" s="50" t="s">
        <v>266</v>
      </c>
      <c r="AU1001" s="48">
        <v>6</v>
      </c>
      <c r="AV1001" s="48">
        <v>120</v>
      </c>
      <c r="AW1001" s="48">
        <v>114</v>
      </c>
      <c r="AX1001" s="48">
        <v>28</v>
      </c>
      <c r="AY1001" s="48" t="s">
        <v>8728</v>
      </c>
      <c r="AZ1001" s="48" t="s">
        <v>1563</v>
      </c>
      <c r="BA1001" s="48">
        <v>32</v>
      </c>
      <c r="BB1001" s="47" t="s">
        <v>2485</v>
      </c>
      <c r="BC1001" s="47" t="s">
        <v>8726</v>
      </c>
      <c r="BD1001" s="47" t="s">
        <v>8374</v>
      </c>
      <c r="BE1001" s="48" t="s">
        <v>2449</v>
      </c>
      <c r="BF1001" s="48" t="s">
        <v>272</v>
      </c>
      <c r="BG1001" s="48" t="s">
        <v>272</v>
      </c>
      <c r="BH1001" s="48" t="s">
        <v>2486</v>
      </c>
      <c r="BI1001" s="98">
        <v>1.5118719999999998E-3</v>
      </c>
      <c r="BJ1001" s="98">
        <v>15.11872</v>
      </c>
      <c r="BK1001" s="48"/>
      <c r="BL1001" s="487">
        <v>32080.568067014763</v>
      </c>
      <c r="BM1001" s="47" t="s">
        <v>2487</v>
      </c>
      <c r="BN1001" s="48"/>
      <c r="BO1001" s="48"/>
      <c r="BP1001" s="48"/>
      <c r="BQ1001" s="48"/>
      <c r="BR1001" s="47" t="e">
        <v>#VALUE!</v>
      </c>
      <c r="BS1001" s="48"/>
      <c r="BT1001" s="48"/>
      <c r="BU1001" s="228"/>
      <c r="BV1001" s="48"/>
      <c r="BW1001" s="48"/>
      <c r="BX1001" s="48"/>
      <c r="BY1001" s="48"/>
      <c r="BZ1001" s="48"/>
      <c r="CA1001" s="48"/>
      <c r="CB1001" s="48"/>
      <c r="CC1001" s="48"/>
      <c r="CD1001" s="48"/>
      <c r="CE1001" s="48"/>
      <c r="CF1001" s="48"/>
      <c r="CG1001" s="48"/>
      <c r="CH1001" s="48"/>
      <c r="CI1001" s="98"/>
      <c r="CJ1001" s="98"/>
      <c r="CK1001" s="49">
        <f t="shared" si="209"/>
        <v>2121.910324882977</v>
      </c>
      <c r="CL1001" s="229"/>
      <c r="CM1001" s="229"/>
      <c r="CN1001" s="229"/>
      <c r="CO1001" s="47" t="s">
        <v>2488</v>
      </c>
      <c r="CP1001" s="500" t="s">
        <v>2489</v>
      </c>
      <c r="CQ1001" s="224" t="s">
        <v>272</v>
      </c>
      <c r="CR1001" s="224"/>
      <c r="CS1001" s="230" t="s">
        <v>539</v>
      </c>
      <c r="CT1001" s="230"/>
      <c r="CU1001" s="230"/>
      <c r="CV1001" s="335">
        <f t="shared" si="210"/>
        <v>594.04593175087666</v>
      </c>
      <c r="CW1001" s="230">
        <f t="shared" si="211"/>
        <v>1</v>
      </c>
      <c r="CX1001" s="336"/>
      <c r="CY1001" s="230" t="s">
        <v>5921</v>
      </c>
    </row>
    <row r="1002" spans="1:103" ht="11.25" customHeight="1" x14ac:dyDescent="0.2">
      <c r="A1002" s="72">
        <v>1416</v>
      </c>
      <c r="B1002" s="224">
        <v>1681</v>
      </c>
      <c r="C1002" s="46" t="s">
        <v>7467</v>
      </c>
      <c r="D1002" s="46"/>
      <c r="E1002" s="114"/>
      <c r="F1002" s="114" t="s">
        <v>4905</v>
      </c>
      <c r="G1002" s="225">
        <v>72178020</v>
      </c>
      <c r="H1002" s="47" t="s">
        <v>4906</v>
      </c>
      <c r="I1002" s="47" t="s">
        <v>8143</v>
      </c>
      <c r="J1002" s="47" t="s">
        <v>4907</v>
      </c>
      <c r="K1002" s="47" t="s">
        <v>471</v>
      </c>
      <c r="L1002" s="47"/>
      <c r="M1002" s="47"/>
      <c r="N1002" s="47"/>
      <c r="O1002" s="47"/>
      <c r="P1002" s="53"/>
      <c r="Q1002" s="53"/>
      <c r="R1002" s="53"/>
      <c r="S1002" s="53"/>
      <c r="T1002" s="48">
        <v>438.76</v>
      </c>
      <c r="U1002" s="98">
        <v>50</v>
      </c>
      <c r="V1002" s="98">
        <v>2.3849999999999998</v>
      </c>
      <c r="W1002" s="98">
        <v>59.187095436591378</v>
      </c>
      <c r="X1002" s="98">
        <v>50</v>
      </c>
      <c r="Y1002" s="233">
        <v>3.89</v>
      </c>
      <c r="Z1002" s="48">
        <v>3.41</v>
      </c>
      <c r="AA1002" s="48">
        <v>2.9</v>
      </c>
      <c r="AB1002" s="48">
        <v>2.86</v>
      </c>
      <c r="AC1002" s="48">
        <v>0.8216</v>
      </c>
      <c r="AD1002" s="48">
        <v>2.87</v>
      </c>
      <c r="AE1002" s="48">
        <v>2.94</v>
      </c>
      <c r="AF1002" s="48">
        <f t="shared" si="202"/>
        <v>2.9</v>
      </c>
      <c r="AG1002" s="49">
        <v>2.98</v>
      </c>
      <c r="AH1002" s="98">
        <v>7.5300000000000002E-13</v>
      </c>
      <c r="AI1002" s="98"/>
      <c r="AJ1002" s="483">
        <f t="shared" si="203"/>
        <v>-10.511771350111951</v>
      </c>
      <c r="AK1002" s="483"/>
      <c r="AL1002" s="483">
        <f t="shared" si="204"/>
        <v>-10.511771350111951</v>
      </c>
      <c r="AM1002" s="483">
        <v>-19.957269999999998</v>
      </c>
      <c r="AN1002" s="226">
        <v>-10.4</v>
      </c>
      <c r="AO1002" s="484">
        <v>2.42</v>
      </c>
      <c r="AP1002" s="484">
        <v>-4.58</v>
      </c>
      <c r="AQ1002" s="226" t="s">
        <v>6311</v>
      </c>
      <c r="AR1002" s="226" t="s">
        <v>6311</v>
      </c>
      <c r="AS1002" s="224"/>
      <c r="AT1002" s="50" t="s">
        <v>266</v>
      </c>
      <c r="AU1002" s="48">
        <v>6</v>
      </c>
      <c r="AV1002" s="48">
        <v>120</v>
      </c>
      <c r="AW1002" s="48">
        <v>114</v>
      </c>
      <c r="AX1002" s="48">
        <v>28</v>
      </c>
      <c r="AY1002" s="48" t="s">
        <v>8728</v>
      </c>
      <c r="AZ1002" s="48" t="s">
        <v>1563</v>
      </c>
      <c r="BA1002" s="48">
        <v>32</v>
      </c>
      <c r="BB1002" s="47" t="s">
        <v>2485</v>
      </c>
      <c r="BC1002" s="47" t="s">
        <v>8726</v>
      </c>
      <c r="BD1002" s="47" t="s">
        <v>8374</v>
      </c>
      <c r="BE1002" s="48" t="s">
        <v>2449</v>
      </c>
      <c r="BF1002" s="48" t="s">
        <v>272</v>
      </c>
      <c r="BG1002" s="48" t="s">
        <v>272</v>
      </c>
      <c r="BH1002" s="48" t="s">
        <v>2486</v>
      </c>
      <c r="BI1002" s="98">
        <v>2.8080639999999999E-3</v>
      </c>
      <c r="BJ1002" s="98">
        <v>28.080639999999999</v>
      </c>
      <c r="BK1002" s="48"/>
      <c r="BL1002" s="487">
        <v>19.521178283670348</v>
      </c>
      <c r="BM1002" s="47" t="s">
        <v>2487</v>
      </c>
      <c r="BN1002" s="48"/>
      <c r="BO1002" s="48"/>
      <c r="BP1002" s="48"/>
      <c r="BQ1002" s="48"/>
      <c r="BR1002" s="47" t="e">
        <v>#VALUE!</v>
      </c>
      <c r="BS1002" s="48"/>
      <c r="BT1002" s="48"/>
      <c r="BU1002" s="228"/>
      <c r="BV1002" s="48"/>
      <c r="BW1002" s="48"/>
      <c r="BX1002" s="48"/>
      <c r="BY1002" s="48"/>
      <c r="BZ1002" s="48"/>
      <c r="CA1002" s="48"/>
      <c r="CB1002" s="48"/>
      <c r="CC1002" s="48"/>
      <c r="CD1002" s="48"/>
      <c r="CE1002" s="48"/>
      <c r="CF1002" s="48"/>
      <c r="CG1002" s="48"/>
      <c r="CH1002" s="48"/>
      <c r="CI1002" s="98"/>
      <c r="CJ1002" s="98"/>
      <c r="CK1002" s="49">
        <f t="shared" si="209"/>
        <v>0.69518281220336675</v>
      </c>
      <c r="CL1002" s="229"/>
      <c r="CM1002" s="229"/>
      <c r="CN1002" s="229"/>
      <c r="CO1002" s="47" t="s">
        <v>2488</v>
      </c>
      <c r="CP1002" s="500" t="s">
        <v>2489</v>
      </c>
      <c r="CQ1002" s="224" t="s">
        <v>272</v>
      </c>
      <c r="CR1002" s="224"/>
      <c r="CS1002" s="230" t="s">
        <v>539</v>
      </c>
      <c r="CT1002" s="230"/>
      <c r="CU1002" s="230"/>
      <c r="CV1002" s="335">
        <f t="shared" si="210"/>
        <v>1.780586197465585</v>
      </c>
      <c r="CW1002" s="230">
        <f t="shared" si="211"/>
        <v>1</v>
      </c>
      <c r="CX1002" s="336"/>
      <c r="CY1002" s="230" t="s">
        <v>5921</v>
      </c>
    </row>
    <row r="1003" spans="1:103" ht="11.25" customHeight="1" x14ac:dyDescent="0.2">
      <c r="A1003" s="72">
        <v>1417</v>
      </c>
      <c r="B1003" s="224">
        <v>1135</v>
      </c>
      <c r="C1003" s="46" t="s">
        <v>1176</v>
      </c>
      <c r="D1003" s="46" t="s">
        <v>6533</v>
      </c>
      <c r="E1003" s="114"/>
      <c r="F1003" s="114" t="s">
        <v>1177</v>
      </c>
      <c r="G1003" s="225">
        <v>72490018</v>
      </c>
      <c r="H1003" s="47" t="s">
        <v>1178</v>
      </c>
      <c r="I1003" s="47" t="s">
        <v>1178</v>
      </c>
      <c r="J1003" s="47" t="s">
        <v>1179</v>
      </c>
      <c r="K1003" s="47" t="s">
        <v>1180</v>
      </c>
      <c r="L1003" s="47" t="s">
        <v>617</v>
      </c>
      <c r="M1003" s="47" t="s">
        <v>8507</v>
      </c>
      <c r="N1003" s="47" t="s">
        <v>6082</v>
      </c>
      <c r="O1003" s="47" t="s">
        <v>6122</v>
      </c>
      <c r="P1003" s="53"/>
      <c r="Q1003" s="53"/>
      <c r="R1003" s="53"/>
      <c r="S1003" s="53"/>
      <c r="T1003" s="48">
        <v>301.33999999999997</v>
      </c>
      <c r="U1003" s="98">
        <v>6</v>
      </c>
      <c r="V1003" s="98">
        <v>2.5649999999999999</v>
      </c>
      <c r="W1003" s="98">
        <v>21.333238266631586</v>
      </c>
      <c r="X1003" s="98">
        <v>6</v>
      </c>
      <c r="Y1003" s="233">
        <v>7</v>
      </c>
      <c r="Z1003" s="48">
        <v>4.24</v>
      </c>
      <c r="AA1003" s="48">
        <v>4.3</v>
      </c>
      <c r="AB1003" s="48">
        <v>3.95</v>
      </c>
      <c r="AC1003" s="48">
        <v>0.76349999999999996</v>
      </c>
      <c r="AD1003" s="48">
        <v>3.91</v>
      </c>
      <c r="AE1003" s="48">
        <v>3.83</v>
      </c>
      <c r="AF1003" s="48">
        <f t="shared" si="202"/>
        <v>4.3</v>
      </c>
      <c r="AG1003" s="49">
        <v>3.1</v>
      </c>
      <c r="AH1003" s="98">
        <v>1.45E-11</v>
      </c>
      <c r="AI1003" s="98">
        <v>4.3000000000000001E-10</v>
      </c>
      <c r="AJ1003" s="483">
        <f t="shared" si="203"/>
        <v>-9.2271983240776763</v>
      </c>
      <c r="AK1003" s="483">
        <f>LOG10(AI1003*1000/(0.08206*298.15))</f>
        <v>-7.7550978707330653</v>
      </c>
      <c r="AL1003" s="483">
        <f t="shared" si="204"/>
        <v>-7.7550978707330653</v>
      </c>
      <c r="AM1003" s="483">
        <v>-14.524919999999998</v>
      </c>
      <c r="AN1003" s="226">
        <v>-6.97</v>
      </c>
      <c r="AO1003" s="484">
        <v>12.13</v>
      </c>
      <c r="AP1003" s="484">
        <v>-1.49</v>
      </c>
      <c r="AQ1003" s="48" t="s">
        <v>6311</v>
      </c>
      <c r="AR1003" s="48" t="s">
        <v>6312</v>
      </c>
      <c r="AS1003" s="227"/>
      <c r="AT1003" s="50" t="s">
        <v>266</v>
      </c>
      <c r="AU1003" s="48">
        <v>6</v>
      </c>
      <c r="AV1003" s="48">
        <v>120</v>
      </c>
      <c r="AW1003" s="48">
        <v>114</v>
      </c>
      <c r="AX1003" s="48">
        <v>28</v>
      </c>
      <c r="AY1003" s="48" t="s">
        <v>8728</v>
      </c>
      <c r="AZ1003" s="48" t="s">
        <v>1563</v>
      </c>
      <c r="BA1003" s="48">
        <v>32</v>
      </c>
      <c r="BB1003" s="47" t="s">
        <v>2485</v>
      </c>
      <c r="BC1003" s="47" t="s">
        <v>8726</v>
      </c>
      <c r="BD1003" s="47" t="s">
        <v>8374</v>
      </c>
      <c r="BE1003" s="48" t="s">
        <v>2449</v>
      </c>
      <c r="BF1003" s="48" t="s">
        <v>272</v>
      </c>
      <c r="BG1003" s="48" t="s">
        <v>272</v>
      </c>
      <c r="BH1003" s="48" t="s">
        <v>2486</v>
      </c>
      <c r="BI1003" s="98">
        <v>1.9285759999999998E-3</v>
      </c>
      <c r="BJ1003" s="98">
        <v>19.28576</v>
      </c>
      <c r="BK1003" s="48"/>
      <c r="BL1003" s="487">
        <v>2.4094215142565951</v>
      </c>
      <c r="BM1003" s="47" t="s">
        <v>2487</v>
      </c>
      <c r="BN1003" s="48"/>
      <c r="BO1003" s="48"/>
      <c r="BP1003" s="48"/>
      <c r="BQ1003" s="48"/>
      <c r="BR1003" s="47" t="e">
        <v>#VALUE!</v>
      </c>
      <c r="BS1003" s="48"/>
      <c r="BT1003" s="48"/>
      <c r="BU1003" s="228">
        <v>1.9285759999999999E-2</v>
      </c>
      <c r="BV1003" s="48"/>
      <c r="BW1003" s="48"/>
      <c r="BX1003" s="48"/>
      <c r="BY1003" s="48"/>
      <c r="BZ1003" s="48"/>
      <c r="CA1003" s="48"/>
      <c r="CB1003" s="48"/>
      <c r="CC1003" s="48"/>
      <c r="CD1003" s="48"/>
      <c r="CE1003" s="48"/>
      <c r="CF1003" s="48"/>
      <c r="CG1003" s="48"/>
      <c r="CH1003" s="48"/>
      <c r="CI1003" s="98"/>
      <c r="CJ1003" s="98"/>
      <c r="CK1003" s="49">
        <f t="shared" si="209"/>
        <v>0.12493267126919526</v>
      </c>
      <c r="CL1003" s="229"/>
      <c r="CM1003" s="229">
        <v>1.1831959098896779E-2</v>
      </c>
      <c r="CN1003" s="229">
        <f>BJ1003/(10^CM1003)</f>
        <v>18.767429746690663</v>
      </c>
      <c r="CO1003" s="47" t="s">
        <v>2488</v>
      </c>
      <c r="CP1003" s="500" t="s">
        <v>2489</v>
      </c>
      <c r="CQ1003" s="224">
        <v>9.7725620805236613E-2</v>
      </c>
      <c r="CR1003" s="224">
        <f>10^(CJ1003-CQ1003)</f>
        <v>0.79849900479600888</v>
      </c>
      <c r="CS1003" s="230" t="s">
        <v>539</v>
      </c>
      <c r="CT1003" s="230"/>
      <c r="CU1003" s="230"/>
      <c r="CV1003" s="335">
        <f t="shared" si="210"/>
        <v>0.31111037366429944</v>
      </c>
      <c r="CW1003" s="230">
        <f t="shared" si="211"/>
        <v>0</v>
      </c>
      <c r="CX1003" s="336"/>
      <c r="CY1003" s="230" t="s">
        <v>5921</v>
      </c>
    </row>
    <row r="1004" spans="1:103" ht="11.25" customHeight="1" x14ac:dyDescent="0.2">
      <c r="A1004" s="72">
        <v>1419</v>
      </c>
      <c r="B1004" s="224">
        <v>1857</v>
      </c>
      <c r="C1004" s="46" t="s">
        <v>7468</v>
      </c>
      <c r="D1004" s="46" t="s">
        <v>7469</v>
      </c>
      <c r="E1004" s="114"/>
      <c r="F1004" s="114" t="s">
        <v>4022</v>
      </c>
      <c r="G1004" s="225">
        <v>74051802</v>
      </c>
      <c r="H1004" s="47" t="s">
        <v>4023</v>
      </c>
      <c r="I1004" s="47" t="s">
        <v>4023</v>
      </c>
      <c r="J1004" s="47" t="s">
        <v>4024</v>
      </c>
      <c r="K1004" s="47" t="s">
        <v>1521</v>
      </c>
      <c r="L1004" s="47" t="s">
        <v>6053</v>
      </c>
      <c r="M1004" s="47" t="s">
        <v>6054</v>
      </c>
      <c r="N1004" s="47" t="s">
        <v>6383</v>
      </c>
      <c r="O1004" s="47" t="s">
        <v>6055</v>
      </c>
      <c r="P1004" s="53"/>
      <c r="Q1004" s="53"/>
      <c r="R1004" s="53"/>
      <c r="S1004" s="53"/>
      <c r="T1004" s="48">
        <v>327.48</v>
      </c>
      <c r="U1004" s="98">
        <v>25</v>
      </c>
      <c r="V1004" s="98">
        <v>1.5369999999999999</v>
      </c>
      <c r="W1004" s="98">
        <v>84.175321094114651</v>
      </c>
      <c r="X1004" s="98">
        <v>25</v>
      </c>
      <c r="Y1004" s="233">
        <v>3.87</v>
      </c>
      <c r="Z1004" s="48">
        <v>3.99</v>
      </c>
      <c r="AA1004" s="48">
        <v>4.38</v>
      </c>
      <c r="AB1004" s="48">
        <v>4.1399999999999997</v>
      </c>
      <c r="AC1004" s="48">
        <v>0.79290000000000005</v>
      </c>
      <c r="AD1004" s="48">
        <v>4.12</v>
      </c>
      <c r="AE1004" s="48">
        <v>4.08</v>
      </c>
      <c r="AF1004" s="48">
        <f t="shared" si="202"/>
        <v>4.38</v>
      </c>
      <c r="AG1004" s="49">
        <v>3.8</v>
      </c>
      <c r="AH1004" s="98">
        <v>2.1599999999999998E-11</v>
      </c>
      <c r="AI1004" s="98"/>
      <c r="AJ1004" s="483">
        <f t="shared" si="203"/>
        <v>-9.0541125751617209</v>
      </c>
      <c r="AK1004" s="483"/>
      <c r="AL1004" s="483">
        <f t="shared" si="204"/>
        <v>-9.0541125751617209</v>
      </c>
      <c r="AM1004" s="483">
        <v>-12.815639999999998</v>
      </c>
      <c r="AN1004" s="226">
        <v>-9.07</v>
      </c>
      <c r="AO1004" s="484">
        <v>3.82</v>
      </c>
      <c r="AP1004" s="484"/>
      <c r="AQ1004" s="226" t="s">
        <v>6311</v>
      </c>
      <c r="AR1004" s="226" t="s">
        <v>6311</v>
      </c>
      <c r="AS1004" s="224"/>
      <c r="AT1004" s="50" t="s">
        <v>266</v>
      </c>
      <c r="AU1004" s="48">
        <v>6</v>
      </c>
      <c r="AV1004" s="48">
        <v>120</v>
      </c>
      <c r="AW1004" s="48">
        <v>114</v>
      </c>
      <c r="AX1004" s="48">
        <v>28</v>
      </c>
      <c r="AY1004" s="48" t="s">
        <v>8728</v>
      </c>
      <c r="AZ1004" s="48" t="s">
        <v>1563</v>
      </c>
      <c r="BA1004" s="48">
        <v>32</v>
      </c>
      <c r="BB1004" s="47" t="s">
        <v>2485</v>
      </c>
      <c r="BC1004" s="47" t="s">
        <v>8726</v>
      </c>
      <c r="BD1004" s="47" t="s">
        <v>8374</v>
      </c>
      <c r="BE1004" s="48" t="s">
        <v>2449</v>
      </c>
      <c r="BF1004" s="48" t="s">
        <v>272</v>
      </c>
      <c r="BG1004" s="48" t="s">
        <v>272</v>
      </c>
      <c r="BH1004" s="48" t="s">
        <v>2486</v>
      </c>
      <c r="BI1004" s="98">
        <v>2.0958719999999999E-3</v>
      </c>
      <c r="BJ1004" s="98">
        <v>20.958720000000003</v>
      </c>
      <c r="BK1004" s="48"/>
      <c r="BL1004" s="487">
        <v>4.3910237056294461</v>
      </c>
      <c r="BM1004" s="47" t="s">
        <v>2487</v>
      </c>
      <c r="BN1004" s="48"/>
      <c r="BO1004" s="48"/>
      <c r="BP1004" s="48"/>
      <c r="BQ1004" s="48"/>
      <c r="BR1004" s="47" t="e">
        <v>#VALUE!</v>
      </c>
      <c r="BS1004" s="48"/>
      <c r="BT1004" s="48"/>
      <c r="BU1004" s="228"/>
      <c r="BV1004" s="48"/>
      <c r="BW1004" s="48"/>
      <c r="BX1004" s="48"/>
      <c r="BY1004" s="48"/>
      <c r="BZ1004" s="48"/>
      <c r="CA1004" s="48"/>
      <c r="CB1004" s="48"/>
      <c r="CC1004" s="48"/>
      <c r="CD1004" s="48"/>
      <c r="CE1004" s="48"/>
      <c r="CF1004" s="48"/>
      <c r="CG1004" s="48"/>
      <c r="CH1004" s="48"/>
      <c r="CI1004" s="98"/>
      <c r="CJ1004" s="98"/>
      <c r="CK1004" s="49">
        <f t="shared" si="209"/>
        <v>0.20950820019683672</v>
      </c>
      <c r="CL1004" s="229"/>
      <c r="CM1004" s="229"/>
      <c r="CN1004" s="229"/>
      <c r="CO1004" s="47" t="s">
        <v>2488</v>
      </c>
      <c r="CP1004" s="500" t="s">
        <v>2489</v>
      </c>
      <c r="CQ1004" s="224">
        <v>1.2342490060046578</v>
      </c>
      <c r="CR1004" s="224">
        <f>10^(CJ1004-CQ1004)</f>
        <v>5.8311067752118181E-2</v>
      </c>
      <c r="CS1004" s="230" t="s">
        <v>539</v>
      </c>
      <c r="CT1004" s="230"/>
      <c r="CU1004" s="230"/>
      <c r="CV1004" s="335">
        <f t="shared" si="210"/>
        <v>1.1928209356296566</v>
      </c>
      <c r="CW1004" s="230">
        <f t="shared" si="211"/>
        <v>1</v>
      </c>
      <c r="CX1004" s="336"/>
      <c r="CY1004" s="230" t="s">
        <v>5921</v>
      </c>
    </row>
    <row r="1005" spans="1:103" ht="11.25" customHeight="1" x14ac:dyDescent="0.2">
      <c r="A1005" s="72">
        <v>1421</v>
      </c>
      <c r="B1005" s="224">
        <v>1558</v>
      </c>
      <c r="C1005" s="46" t="s">
        <v>7470</v>
      </c>
      <c r="D1005" s="46"/>
      <c r="E1005" s="114"/>
      <c r="F1005" s="114" t="s">
        <v>3758</v>
      </c>
      <c r="G1005" s="225">
        <v>74115245</v>
      </c>
      <c r="H1005" s="47" t="s">
        <v>3759</v>
      </c>
      <c r="I1005" s="47" t="s">
        <v>8144</v>
      </c>
      <c r="J1005" s="47" t="s">
        <v>3760</v>
      </c>
      <c r="K1005" s="47" t="s">
        <v>426</v>
      </c>
      <c r="L1005" s="47" t="s">
        <v>617</v>
      </c>
      <c r="M1005" s="47" t="s">
        <v>1144</v>
      </c>
      <c r="N1005" s="47"/>
      <c r="O1005" s="47" t="s">
        <v>918</v>
      </c>
      <c r="P1005" s="53"/>
      <c r="Q1005" s="53"/>
      <c r="R1005" s="53"/>
      <c r="S1005" s="53"/>
      <c r="T1005" s="48">
        <v>303.14999999999998</v>
      </c>
      <c r="U1005" s="98">
        <v>1</v>
      </c>
      <c r="V1005" s="98">
        <v>26.5</v>
      </c>
      <c r="W1005" s="98">
        <v>0.55164231528761531</v>
      </c>
      <c r="X1005" s="98">
        <v>1</v>
      </c>
      <c r="Y1005" s="233">
        <v>7</v>
      </c>
      <c r="Z1005" s="48">
        <v>2.7</v>
      </c>
      <c r="AA1005" s="48">
        <v>3.1</v>
      </c>
      <c r="AB1005" s="48">
        <v>3.68</v>
      </c>
      <c r="AC1005" s="48">
        <v>0.77329999999999999</v>
      </c>
      <c r="AD1005" s="48">
        <v>3.56</v>
      </c>
      <c r="AE1005" s="48">
        <v>3.27</v>
      </c>
      <c r="AF1005" s="48">
        <f t="shared" ref="AF1005:AF1036" si="212">IF(AA1005=0,AD1005,AA1005)</f>
        <v>3.1</v>
      </c>
      <c r="AG1005" s="49">
        <v>4.03</v>
      </c>
      <c r="AH1005" s="98">
        <v>1.56E-9</v>
      </c>
      <c r="AI1005" s="98">
        <v>3.9E-10</v>
      </c>
      <c r="AJ1005" s="483">
        <f t="shared" si="203"/>
        <v>-7.1954417279581904</v>
      </c>
      <c r="AK1005" s="483">
        <f>LOG10(AI1005*1000/(0.08206*298.15))</f>
        <v>-7.7975017192861529</v>
      </c>
      <c r="AL1005" s="483">
        <f t="shared" si="204"/>
        <v>-7.7975017192861529</v>
      </c>
      <c r="AM1005" s="483">
        <v>-12.062449999999998</v>
      </c>
      <c r="AN1005" s="226">
        <v>-8.39</v>
      </c>
      <c r="AO1005" s="484"/>
      <c r="AP1005" s="484">
        <v>-1.68</v>
      </c>
      <c r="AQ1005" s="48" t="s">
        <v>6311</v>
      </c>
      <c r="AR1005" s="48" t="s">
        <v>6311</v>
      </c>
      <c r="AS1005" s="227"/>
      <c r="AT1005" s="50" t="s">
        <v>266</v>
      </c>
      <c r="AU1005" s="48">
        <v>6</v>
      </c>
      <c r="AV1005" s="48">
        <v>120</v>
      </c>
      <c r="AW1005" s="48">
        <v>114</v>
      </c>
      <c r="AX1005" s="48">
        <v>28</v>
      </c>
      <c r="AY1005" s="48" t="s">
        <v>8728</v>
      </c>
      <c r="AZ1005" s="48" t="s">
        <v>1563</v>
      </c>
      <c r="BA1005" s="48">
        <v>32</v>
      </c>
      <c r="BB1005" s="47" t="s">
        <v>2485</v>
      </c>
      <c r="BC1005" s="47" t="s">
        <v>8726</v>
      </c>
      <c r="BD1005" s="47" t="s">
        <v>8374</v>
      </c>
      <c r="BE1005" s="48" t="s">
        <v>2449</v>
      </c>
      <c r="BF1005" s="48" t="s">
        <v>272</v>
      </c>
      <c r="BG1005" s="48" t="s">
        <v>272</v>
      </c>
      <c r="BH1005" s="48" t="s">
        <v>2486</v>
      </c>
      <c r="BI1005" s="98">
        <v>1.9401599999999998E-3</v>
      </c>
      <c r="BJ1005" s="98">
        <v>19.401599999999998</v>
      </c>
      <c r="BK1005" s="48"/>
      <c r="BL1005" s="487">
        <v>58.558180306163635</v>
      </c>
      <c r="BM1005" s="47" t="s">
        <v>2487</v>
      </c>
      <c r="BN1005" s="48"/>
      <c r="BO1005" s="48"/>
      <c r="BP1005" s="48"/>
      <c r="BQ1005" s="48"/>
      <c r="BR1005" s="47" t="e">
        <v>#VALUE!</v>
      </c>
      <c r="BS1005" s="48"/>
      <c r="BT1005" s="48"/>
      <c r="BU1005" s="228"/>
      <c r="BV1005" s="48"/>
      <c r="BW1005" s="48"/>
      <c r="BX1005" s="48"/>
      <c r="BY1005" s="48"/>
      <c r="BZ1005" s="48"/>
      <c r="CA1005" s="48"/>
      <c r="CB1005" s="48"/>
      <c r="CC1005" s="48"/>
      <c r="CD1005" s="48"/>
      <c r="CE1005" s="48"/>
      <c r="CF1005" s="48"/>
      <c r="CG1005" s="48"/>
      <c r="CH1005" s="48"/>
      <c r="CI1005" s="98"/>
      <c r="CJ1005" s="98"/>
      <c r="CK1005" s="49">
        <f t="shared" si="209"/>
        <v>3.018213977515444</v>
      </c>
      <c r="CL1005" s="229"/>
      <c r="CM1005" s="229"/>
      <c r="CN1005" s="229"/>
      <c r="CO1005" s="47" t="s">
        <v>2488</v>
      </c>
      <c r="CP1005" s="500" t="s">
        <v>2489</v>
      </c>
      <c r="CQ1005" s="224" t="s">
        <v>272</v>
      </c>
      <c r="CR1005" s="224"/>
      <c r="CS1005" s="230" t="s">
        <v>539</v>
      </c>
      <c r="CT1005" s="230"/>
      <c r="CU1005" s="230"/>
      <c r="CV1005" s="335">
        <f t="shared" si="210"/>
        <v>5.1542140854362532E-2</v>
      </c>
      <c r="CW1005" s="230">
        <f t="shared" si="211"/>
        <v>0</v>
      </c>
      <c r="CX1005" s="336"/>
      <c r="CY1005" s="230" t="s">
        <v>5921</v>
      </c>
    </row>
    <row r="1006" spans="1:103" ht="11.25" customHeight="1" x14ac:dyDescent="0.2">
      <c r="A1006" s="72">
        <v>1423</v>
      </c>
      <c r="B1006" s="224">
        <v>1850</v>
      </c>
      <c r="C1006" s="46" t="s">
        <v>1445</v>
      </c>
      <c r="D1006" s="46" t="s">
        <v>6735</v>
      </c>
      <c r="E1006" s="114"/>
      <c r="F1006" s="114" t="s">
        <v>1446</v>
      </c>
      <c r="G1006" s="225">
        <v>76578148</v>
      </c>
      <c r="H1006" s="47" t="s">
        <v>1447</v>
      </c>
      <c r="I1006" s="47" t="s">
        <v>7878</v>
      </c>
      <c r="J1006" s="47" t="s">
        <v>1448</v>
      </c>
      <c r="K1006" s="47" t="s">
        <v>357</v>
      </c>
      <c r="L1006" s="47" t="s">
        <v>6012</v>
      </c>
      <c r="M1006" s="47" t="s">
        <v>6082</v>
      </c>
      <c r="N1006" s="47" t="s">
        <v>6082</v>
      </c>
      <c r="O1006" s="47" t="s">
        <v>6083</v>
      </c>
      <c r="P1006" s="53"/>
      <c r="Q1006" s="53"/>
      <c r="R1006" s="53"/>
      <c r="S1006" s="53"/>
      <c r="T1006" s="48">
        <v>372.8</v>
      </c>
      <c r="U1006" s="98">
        <v>0.4</v>
      </c>
      <c r="V1006" s="98">
        <v>0.9961000000000001</v>
      </c>
      <c r="W1006" s="98">
        <v>1.5540890615774106</v>
      </c>
      <c r="X1006" s="98">
        <v>0.4</v>
      </c>
      <c r="Y1006" s="233">
        <v>7</v>
      </c>
      <c r="Z1006" s="48">
        <v>4.3499999999999996</v>
      </c>
      <c r="AA1006" s="48">
        <v>4.28</v>
      </c>
      <c r="AB1006" s="48">
        <v>4.3099999999999996</v>
      </c>
      <c r="AC1006" s="48">
        <v>0.89810000000000001</v>
      </c>
      <c r="AD1006" s="48">
        <v>4.37</v>
      </c>
      <c r="AE1006" s="48">
        <v>4.6500000000000004</v>
      </c>
      <c r="AF1006" s="48">
        <f t="shared" si="212"/>
        <v>4.28</v>
      </c>
      <c r="AG1006" s="49">
        <v>4.13</v>
      </c>
      <c r="AH1006" s="98">
        <v>7.4000000000000003E-11</v>
      </c>
      <c r="AI1006" s="98">
        <v>1.0600000000000001E-8</v>
      </c>
      <c r="AJ1006" s="483">
        <f t="shared" si="203"/>
        <v>-8.5193346065816762</v>
      </c>
      <c r="AK1006" s="483">
        <f>LOG10(AI1006*1000/(0.08206*298.15))</f>
        <v>-6.3632604610478811</v>
      </c>
      <c r="AL1006" s="483">
        <f t="shared" si="204"/>
        <v>-6.3632604610478811</v>
      </c>
      <c r="AM1006" s="483">
        <v>-16.472549999999998</v>
      </c>
      <c r="AN1006" s="226">
        <v>-7.56</v>
      </c>
      <c r="AO1006" s="484"/>
      <c r="AP1006" s="484">
        <v>-1.39</v>
      </c>
      <c r="AQ1006" s="226" t="s">
        <v>6311</v>
      </c>
      <c r="AR1006" s="226" t="s">
        <v>6312</v>
      </c>
      <c r="AS1006" s="224"/>
      <c r="AT1006" s="50" t="s">
        <v>266</v>
      </c>
      <c r="AU1006" s="48">
        <v>6</v>
      </c>
      <c r="AV1006" s="48">
        <v>120</v>
      </c>
      <c r="AW1006" s="48">
        <v>114</v>
      </c>
      <c r="AX1006" s="48">
        <v>28</v>
      </c>
      <c r="AY1006" s="48" t="s">
        <v>8728</v>
      </c>
      <c r="AZ1006" s="48" t="s">
        <v>1563</v>
      </c>
      <c r="BA1006" s="48">
        <v>32</v>
      </c>
      <c r="BB1006" s="47" t="s">
        <v>2485</v>
      </c>
      <c r="BC1006" s="47" t="s">
        <v>8726</v>
      </c>
      <c r="BD1006" s="47" t="s">
        <v>8374</v>
      </c>
      <c r="BE1006" s="48" t="s">
        <v>2449</v>
      </c>
      <c r="BF1006" s="48" t="s">
        <v>272</v>
      </c>
      <c r="BG1006" s="48" t="s">
        <v>272</v>
      </c>
      <c r="BH1006" s="48" t="s">
        <v>2486</v>
      </c>
      <c r="BI1006" s="98">
        <v>2.3859200000000001E-3</v>
      </c>
      <c r="BJ1006" s="98">
        <v>23.859200000000001</v>
      </c>
      <c r="BK1006" s="48"/>
      <c r="BL1006" s="487">
        <v>2.3743290365048813</v>
      </c>
      <c r="BM1006" s="47" t="s">
        <v>2487</v>
      </c>
      <c r="BN1006" s="48"/>
      <c r="BO1006" s="48"/>
      <c r="BP1006" s="48"/>
      <c r="BQ1006" s="48"/>
      <c r="BR1006" s="47" t="e">
        <v>#VALUE!</v>
      </c>
      <c r="BS1006" s="48"/>
      <c r="BT1006" s="48"/>
      <c r="BU1006" s="228"/>
      <c r="BV1006" s="48"/>
      <c r="BW1006" s="48"/>
      <c r="BX1006" s="48"/>
      <c r="BY1006" s="48"/>
      <c r="BZ1006" s="48"/>
      <c r="CA1006" s="48"/>
      <c r="CB1006" s="48"/>
      <c r="CC1006" s="48"/>
      <c r="CD1006" s="48"/>
      <c r="CE1006" s="48"/>
      <c r="CF1006" s="48"/>
      <c r="CG1006" s="48"/>
      <c r="CH1006" s="48"/>
      <c r="CI1006" s="98"/>
      <c r="CJ1006" s="98"/>
      <c r="CK1006" s="49">
        <f t="shared" si="209"/>
        <v>9.9514193120678024E-2</v>
      </c>
      <c r="CL1006" s="229"/>
      <c r="CM1006" s="229">
        <v>6.3325410333740145E-2</v>
      </c>
      <c r="CN1006" s="229">
        <f>BJ1006/(10^CM1006)</f>
        <v>20.621985033609924</v>
      </c>
      <c r="CO1006" s="47" t="s">
        <v>2488</v>
      </c>
      <c r="CP1006" s="500" t="s">
        <v>2489</v>
      </c>
      <c r="CQ1006" s="224">
        <v>0.18169593922657237</v>
      </c>
      <c r="CR1006" s="224">
        <f>10^(CJ1006-CQ1006)</f>
        <v>0.65811844179943957</v>
      </c>
      <c r="CS1006" s="230" t="s">
        <v>539</v>
      </c>
      <c r="CT1006" s="230"/>
      <c r="CU1006" s="230"/>
      <c r="CV1006" s="335">
        <f t="shared" si="210"/>
        <v>1.6765021459227467E-2</v>
      </c>
      <c r="CW1006" s="230">
        <f t="shared" si="211"/>
        <v>0</v>
      </c>
      <c r="CX1006" s="336"/>
      <c r="CY1006" s="230" t="s">
        <v>5921</v>
      </c>
    </row>
    <row r="1007" spans="1:103" ht="11.25" customHeight="1" x14ac:dyDescent="0.2">
      <c r="A1007" s="72">
        <v>1424</v>
      </c>
      <c r="B1007" s="224">
        <v>1801</v>
      </c>
      <c r="C1007" s="46" t="s">
        <v>1345</v>
      </c>
      <c r="D1007" s="46" t="s">
        <v>6534</v>
      </c>
      <c r="E1007" s="114"/>
      <c r="F1007" s="114" t="s">
        <v>1346</v>
      </c>
      <c r="G1007" s="225">
        <v>76738620</v>
      </c>
      <c r="H1007" s="47" t="s">
        <v>1347</v>
      </c>
      <c r="I1007" s="47" t="s">
        <v>7901</v>
      </c>
      <c r="J1007" s="47" t="s">
        <v>1348</v>
      </c>
      <c r="K1007" s="47" t="s">
        <v>1112</v>
      </c>
      <c r="L1007" s="47" t="s">
        <v>6005</v>
      </c>
      <c r="M1007" s="47" t="s">
        <v>2342</v>
      </c>
      <c r="N1007" s="47" t="s">
        <v>2342</v>
      </c>
      <c r="O1007" s="47"/>
      <c r="P1007" s="53"/>
      <c r="Q1007" s="53"/>
      <c r="R1007" s="53"/>
      <c r="S1007" s="53"/>
      <c r="T1007" s="48">
        <v>293.79000000000002</v>
      </c>
      <c r="U1007" s="98">
        <v>26</v>
      </c>
      <c r="V1007" s="98">
        <v>79.87</v>
      </c>
      <c r="W1007" s="98">
        <v>61.381431028360808</v>
      </c>
      <c r="X1007" s="98">
        <v>26</v>
      </c>
      <c r="Y1007" s="233">
        <v>7.03</v>
      </c>
      <c r="Z1007" s="48">
        <v>3.36</v>
      </c>
      <c r="AA1007" s="48">
        <v>3.2</v>
      </c>
      <c r="AB1007" s="48">
        <v>3.48</v>
      </c>
      <c r="AC1007" s="48">
        <v>0.83650000000000002</v>
      </c>
      <c r="AD1007" s="48">
        <v>3.37</v>
      </c>
      <c r="AE1007" s="48">
        <v>2.99</v>
      </c>
      <c r="AF1007" s="48">
        <f t="shared" si="212"/>
        <v>3.2</v>
      </c>
      <c r="AG1007" s="49">
        <v>3.49</v>
      </c>
      <c r="AH1007" s="98">
        <v>3.9E-10</v>
      </c>
      <c r="AI1007" s="98">
        <v>8.2800000000000001E-11</v>
      </c>
      <c r="AJ1007" s="483">
        <f t="shared" si="203"/>
        <v>-7.7975017192861529</v>
      </c>
      <c r="AK1007" s="483">
        <f>LOG10(AI1007*1000/(0.08206*298.15))</f>
        <v>-8.4705359895277716</v>
      </c>
      <c r="AL1007" s="483">
        <f t="shared" si="204"/>
        <v>-8.4705359895277716</v>
      </c>
      <c r="AM1007" s="483">
        <v>-13.015940000000001</v>
      </c>
      <c r="AN1007" s="226">
        <v>-7.92</v>
      </c>
      <c r="AO1007" s="484">
        <v>13.92</v>
      </c>
      <c r="AP1007" s="484">
        <v>2.57</v>
      </c>
      <c r="AQ1007" s="226" t="s">
        <v>6311</v>
      </c>
      <c r="AR1007" s="226" t="s">
        <v>6311</v>
      </c>
      <c r="AS1007" s="224"/>
      <c r="AT1007" s="50" t="s">
        <v>266</v>
      </c>
      <c r="AU1007" s="48">
        <v>6</v>
      </c>
      <c r="AV1007" s="48">
        <v>120</v>
      </c>
      <c r="AW1007" s="48">
        <v>114</v>
      </c>
      <c r="AX1007" s="48">
        <v>28</v>
      </c>
      <c r="AY1007" s="48" t="s">
        <v>8728</v>
      </c>
      <c r="AZ1007" s="48" t="s">
        <v>1563</v>
      </c>
      <c r="BA1007" s="48">
        <v>32</v>
      </c>
      <c r="BB1007" s="47" t="s">
        <v>2485</v>
      </c>
      <c r="BC1007" s="47" t="s">
        <v>8726</v>
      </c>
      <c r="BD1007" s="47" t="s">
        <v>8374</v>
      </c>
      <c r="BE1007" s="48" t="s">
        <v>2449</v>
      </c>
      <c r="BF1007" s="48" t="s">
        <v>272</v>
      </c>
      <c r="BG1007" s="48" t="s">
        <v>272</v>
      </c>
      <c r="BH1007" s="48" t="s">
        <v>2486</v>
      </c>
      <c r="BI1007" s="98">
        <v>1.8802560000000001E-3</v>
      </c>
      <c r="BJ1007" s="98">
        <v>18.802560000000003</v>
      </c>
      <c r="BK1007" s="48"/>
      <c r="BL1007" s="487">
        <v>14.495093103729074</v>
      </c>
      <c r="BM1007" s="47" t="s">
        <v>2487</v>
      </c>
      <c r="BN1007" s="48"/>
      <c r="BO1007" s="48"/>
      <c r="BP1007" s="48"/>
      <c r="BQ1007" s="48"/>
      <c r="BR1007" s="47" t="e">
        <v>#VALUE!</v>
      </c>
      <c r="BS1007" s="48"/>
      <c r="BT1007" s="48"/>
      <c r="BU1007" s="228"/>
      <c r="BV1007" s="48"/>
      <c r="BW1007" s="48"/>
      <c r="BX1007" s="48"/>
      <c r="BY1007" s="48"/>
      <c r="BZ1007" s="48"/>
      <c r="CA1007" s="48"/>
      <c r="CB1007" s="48"/>
      <c r="CC1007" s="48"/>
      <c r="CD1007" s="48"/>
      <c r="CE1007" s="48"/>
      <c r="CF1007" s="48"/>
      <c r="CG1007" s="48"/>
      <c r="CH1007" s="48"/>
      <c r="CI1007" s="98"/>
      <c r="CJ1007" s="98"/>
      <c r="CK1007" s="49">
        <f t="shared" si="209"/>
        <v>0.77091061556134222</v>
      </c>
      <c r="CL1007" s="229"/>
      <c r="CM1007" s="229">
        <v>1.3122828436339211</v>
      </c>
      <c r="CN1007" s="229">
        <f>BJ1007/(10^CM1007)</f>
        <v>0.91608155652393275</v>
      </c>
      <c r="CO1007" s="47" t="s">
        <v>2488</v>
      </c>
      <c r="CP1007" s="500" t="s">
        <v>2489</v>
      </c>
      <c r="CQ1007" s="224">
        <v>1.3603806215390062</v>
      </c>
      <c r="CR1007" s="224">
        <f>10^(CJ1007-CQ1007)</f>
        <v>4.3613343147484648E-2</v>
      </c>
      <c r="CS1007" s="230" t="s">
        <v>539</v>
      </c>
      <c r="CT1007" s="230"/>
      <c r="CU1007" s="230"/>
      <c r="CV1007" s="335">
        <f t="shared" si="210"/>
        <v>1.3827904285373904</v>
      </c>
      <c r="CW1007" s="230">
        <f t="shared" si="211"/>
        <v>1</v>
      </c>
      <c r="CX1007" s="336"/>
      <c r="CY1007" s="230" t="s">
        <v>5921</v>
      </c>
    </row>
    <row r="1008" spans="1:103" ht="11.25" customHeight="1" x14ac:dyDescent="0.2">
      <c r="A1008" s="72">
        <v>1426</v>
      </c>
      <c r="B1008" s="224">
        <v>1698</v>
      </c>
      <c r="C1008" s="46" t="s">
        <v>7472</v>
      </c>
      <c r="D1008" s="46" t="s">
        <v>7473</v>
      </c>
      <c r="E1008" s="114"/>
      <c r="F1008" s="114" t="s">
        <v>3886</v>
      </c>
      <c r="G1008" s="225">
        <v>78587050</v>
      </c>
      <c r="H1008" s="47" t="s">
        <v>3887</v>
      </c>
      <c r="I1008" s="47" t="s">
        <v>8145</v>
      </c>
      <c r="J1008" s="47" t="s">
        <v>3888</v>
      </c>
      <c r="K1008" s="47" t="s">
        <v>3889</v>
      </c>
      <c r="L1008" s="47" t="s">
        <v>617</v>
      </c>
      <c r="M1008" s="47" t="s">
        <v>1144</v>
      </c>
      <c r="N1008" s="47"/>
      <c r="O1008" s="47" t="s">
        <v>918</v>
      </c>
      <c r="P1008" s="53"/>
      <c r="Q1008" s="53"/>
      <c r="R1008" s="53"/>
      <c r="S1008" s="53"/>
      <c r="T1008" s="48">
        <v>352.88</v>
      </c>
      <c r="U1008" s="98">
        <v>0.5</v>
      </c>
      <c r="V1008" s="98">
        <v>0.1036</v>
      </c>
      <c r="W1008" s="98">
        <v>9.0704126382347603</v>
      </c>
      <c r="X1008" s="98">
        <v>0.5</v>
      </c>
      <c r="Y1008" s="233">
        <v>7</v>
      </c>
      <c r="Z1008" s="48">
        <v>5.57</v>
      </c>
      <c r="AA1008" s="48"/>
      <c r="AB1008" s="48">
        <v>3.84</v>
      </c>
      <c r="AC1008" s="48">
        <v>0.6885</v>
      </c>
      <c r="AD1008" s="48">
        <v>3.71</v>
      </c>
      <c r="AE1008" s="48">
        <v>3.42</v>
      </c>
      <c r="AF1008" s="48">
        <f t="shared" si="212"/>
        <v>3.71</v>
      </c>
      <c r="AG1008" s="49">
        <v>4.2</v>
      </c>
      <c r="AH1008" s="98">
        <v>2.2900000000000002E-9</v>
      </c>
      <c r="AI1008" s="98">
        <v>2.37E-8</v>
      </c>
      <c r="AJ1008" s="483">
        <f t="shared" si="203"/>
        <v>-7.028730843972764</v>
      </c>
      <c r="AK1008" s="483">
        <f>LOG10(AI1008*1000/(0.08206*298.15))</f>
        <v>-6.013817980302548</v>
      </c>
      <c r="AL1008" s="483">
        <f t="shared" si="204"/>
        <v>-6.013817980302548</v>
      </c>
      <c r="AM1008" s="483">
        <v>-15.313119999999998</v>
      </c>
      <c r="AN1008" s="226">
        <v>-6.27</v>
      </c>
      <c r="AO1008" s="484">
        <v>12.77</v>
      </c>
      <c r="AP1008" s="484">
        <v>-1.36</v>
      </c>
      <c r="AQ1008" s="226" t="s">
        <v>6311</v>
      </c>
      <c r="AR1008" s="226" t="s">
        <v>6311</v>
      </c>
      <c r="AS1008" s="224"/>
      <c r="AT1008" s="50" t="s">
        <v>266</v>
      </c>
      <c r="AU1008" s="48">
        <v>6</v>
      </c>
      <c r="AV1008" s="48">
        <v>120</v>
      </c>
      <c r="AW1008" s="48">
        <v>114</v>
      </c>
      <c r="AX1008" s="48">
        <v>28</v>
      </c>
      <c r="AY1008" s="48" t="s">
        <v>8728</v>
      </c>
      <c r="AZ1008" s="48" t="s">
        <v>1563</v>
      </c>
      <c r="BA1008" s="48">
        <v>32</v>
      </c>
      <c r="BB1008" s="47" t="s">
        <v>2485</v>
      </c>
      <c r="BC1008" s="47" t="s">
        <v>8726</v>
      </c>
      <c r="BD1008" s="47" t="s">
        <v>8374</v>
      </c>
      <c r="BE1008" s="48" t="s">
        <v>2449</v>
      </c>
      <c r="BF1008" s="48" t="s">
        <v>272</v>
      </c>
      <c r="BG1008" s="48" t="s">
        <v>272</v>
      </c>
      <c r="BH1008" s="48" t="s">
        <v>2486</v>
      </c>
      <c r="BI1008" s="98">
        <v>2.2584319999999999E-3</v>
      </c>
      <c r="BJ1008" s="98">
        <v>22.584320000000002</v>
      </c>
      <c r="BK1008" s="48"/>
      <c r="BL1008" s="487">
        <v>0.18030594432282229</v>
      </c>
      <c r="BM1008" s="47" t="s">
        <v>2487</v>
      </c>
      <c r="BN1008" s="48"/>
      <c r="BO1008" s="48"/>
      <c r="BP1008" s="48"/>
      <c r="BQ1008" s="48"/>
      <c r="BR1008" s="47" t="e">
        <v>#VALUE!</v>
      </c>
      <c r="BS1008" s="48"/>
      <c r="BT1008" s="48"/>
      <c r="BU1008" s="228"/>
      <c r="BV1008" s="48"/>
      <c r="BW1008" s="48"/>
      <c r="BX1008" s="48"/>
      <c r="BY1008" s="48"/>
      <c r="BZ1008" s="48"/>
      <c r="CA1008" s="48"/>
      <c r="CB1008" s="48"/>
      <c r="CC1008" s="48"/>
      <c r="CD1008" s="48"/>
      <c r="CE1008" s="48"/>
      <c r="CF1008" s="48"/>
      <c r="CG1008" s="48"/>
      <c r="CH1008" s="48"/>
      <c r="CI1008" s="98"/>
      <c r="CJ1008" s="98"/>
      <c r="CK1008" s="49">
        <f t="shared" si="209"/>
        <v>7.9836782476878764E-3</v>
      </c>
      <c r="CL1008" s="229"/>
      <c r="CM1008" s="229"/>
      <c r="CN1008" s="229"/>
      <c r="CO1008" s="47" t="s">
        <v>2488</v>
      </c>
      <c r="CP1008" s="500" t="s">
        <v>2489</v>
      </c>
      <c r="CQ1008" s="224">
        <v>0.39436692941385371</v>
      </c>
      <c r="CR1008" s="224">
        <f>10^(CJ1008-CQ1008)</f>
        <v>0.40330450257306316</v>
      </c>
      <c r="CS1008" s="230" t="s">
        <v>539</v>
      </c>
      <c r="CT1008" s="230"/>
      <c r="CU1008" s="230"/>
      <c r="CV1008" s="335">
        <f t="shared" si="210"/>
        <v>2.2139254137383813E-2</v>
      </c>
      <c r="CW1008" s="230">
        <f t="shared" si="211"/>
        <v>0</v>
      </c>
      <c r="CX1008" s="336"/>
      <c r="CY1008" s="230" t="s">
        <v>5921</v>
      </c>
    </row>
    <row r="1009" spans="1:103" ht="11.25" customHeight="1" x14ac:dyDescent="0.2">
      <c r="A1009" s="72">
        <v>1427</v>
      </c>
      <c r="B1009" s="224">
        <v>1157</v>
      </c>
      <c r="C1009" s="46" t="s">
        <v>1261</v>
      </c>
      <c r="D1009" s="46" t="s">
        <v>6564</v>
      </c>
      <c r="E1009" s="114"/>
      <c r="F1009" s="114" t="s">
        <v>1262</v>
      </c>
      <c r="G1009" s="225">
        <v>79983714</v>
      </c>
      <c r="H1009" s="47" t="s">
        <v>1263</v>
      </c>
      <c r="I1009" s="47" t="s">
        <v>8146</v>
      </c>
      <c r="J1009" s="47" t="s">
        <v>1264</v>
      </c>
      <c r="K1009" s="47" t="s">
        <v>1265</v>
      </c>
      <c r="L1009" s="47" t="s">
        <v>5990</v>
      </c>
      <c r="M1009" s="47" t="s">
        <v>2342</v>
      </c>
      <c r="N1009" s="47" t="s">
        <v>2342</v>
      </c>
      <c r="O1009" s="47"/>
      <c r="P1009" s="53"/>
      <c r="Q1009" s="53"/>
      <c r="R1009" s="53"/>
      <c r="S1009" s="53"/>
      <c r="T1009" s="48">
        <v>314.20999999999998</v>
      </c>
      <c r="U1009" s="98">
        <v>17</v>
      </c>
      <c r="V1009" s="98">
        <v>15.32</v>
      </c>
      <c r="W1009" s="98">
        <v>19.825310720912135</v>
      </c>
      <c r="X1009" s="98">
        <v>17</v>
      </c>
      <c r="Y1009" s="233">
        <v>7.01</v>
      </c>
      <c r="Z1009" s="48">
        <v>3.66</v>
      </c>
      <c r="AA1009" s="48">
        <v>3.9</v>
      </c>
      <c r="AB1009" s="48">
        <v>3.62</v>
      </c>
      <c r="AC1009" s="48">
        <v>0.82250000000000001</v>
      </c>
      <c r="AD1009" s="48">
        <v>3.63</v>
      </c>
      <c r="AE1009" s="48">
        <v>3.66</v>
      </c>
      <c r="AF1009" s="48">
        <f t="shared" si="212"/>
        <v>3.9</v>
      </c>
      <c r="AG1009" s="49">
        <v>3.88</v>
      </c>
      <c r="AH1009" s="98">
        <v>2.18E-10</v>
      </c>
      <c r="AI1009" s="98">
        <v>3.2799999999999998E-9</v>
      </c>
      <c r="AJ1009" s="483">
        <f t="shared" si="203"/>
        <v>-8.0501098327080474</v>
      </c>
      <c r="AK1009" s="483">
        <f>LOG10(AI1009*1000/(0.08206*298.15))</f>
        <v>-6.8726924826009723</v>
      </c>
      <c r="AL1009" s="483">
        <f t="shared" si="204"/>
        <v>-6.8726924826009723</v>
      </c>
      <c r="AM1009" s="483">
        <v>-13.361009999999998</v>
      </c>
      <c r="AN1009" s="226">
        <v>-7.49</v>
      </c>
      <c r="AO1009" s="484">
        <v>12.26</v>
      </c>
      <c r="AP1009" s="484">
        <v>2.71</v>
      </c>
      <c r="AQ1009" s="48" t="s">
        <v>6311</v>
      </c>
      <c r="AR1009" s="48" t="s">
        <v>6311</v>
      </c>
      <c r="AS1009" s="227"/>
      <c r="AT1009" s="50" t="s">
        <v>266</v>
      </c>
      <c r="AU1009" s="48">
        <v>6</v>
      </c>
      <c r="AV1009" s="48">
        <v>120</v>
      </c>
      <c r="AW1009" s="48">
        <v>114</v>
      </c>
      <c r="AX1009" s="48">
        <v>28</v>
      </c>
      <c r="AY1009" s="48" t="s">
        <v>8728</v>
      </c>
      <c r="AZ1009" s="48" t="s">
        <v>1563</v>
      </c>
      <c r="BA1009" s="48">
        <v>32</v>
      </c>
      <c r="BB1009" s="47" t="s">
        <v>2485</v>
      </c>
      <c r="BC1009" s="47" t="s">
        <v>8726</v>
      </c>
      <c r="BD1009" s="47" t="s">
        <v>8374</v>
      </c>
      <c r="BE1009" s="48" t="s">
        <v>2449</v>
      </c>
      <c r="BF1009" s="48" t="s">
        <v>272</v>
      </c>
      <c r="BG1009" s="48" t="s">
        <v>272</v>
      </c>
      <c r="BH1009" s="48" t="s">
        <v>2486</v>
      </c>
      <c r="BI1009" s="98">
        <v>2.0109439999999998E-3</v>
      </c>
      <c r="BJ1009" s="98">
        <v>20.109439999999999</v>
      </c>
      <c r="BK1009" s="48"/>
      <c r="BL1009" s="487">
        <v>8.3363128115550396</v>
      </c>
      <c r="BM1009" s="47" t="s">
        <v>2487</v>
      </c>
      <c r="BN1009" s="48"/>
      <c r="BO1009" s="48"/>
      <c r="BP1009" s="48"/>
      <c r="BQ1009" s="48"/>
      <c r="BR1009" s="47" t="e">
        <v>#VALUE!</v>
      </c>
      <c r="BS1009" s="48"/>
      <c r="BT1009" s="48"/>
      <c r="BU1009" s="228">
        <v>2.0109439999999998E-3</v>
      </c>
      <c r="BV1009" s="48"/>
      <c r="BW1009" s="48"/>
      <c r="BX1009" s="48"/>
      <c r="BY1009" s="48"/>
      <c r="BZ1009" s="48"/>
      <c r="CA1009" s="48"/>
      <c r="CB1009" s="48"/>
      <c r="CC1009" s="48"/>
      <c r="CD1009" s="48"/>
      <c r="CE1009" s="48"/>
      <c r="CF1009" s="48"/>
      <c r="CG1009" s="48"/>
      <c r="CH1009" s="48"/>
      <c r="CI1009" s="98"/>
      <c r="CJ1009" s="98"/>
      <c r="CK1009" s="49">
        <f t="shared" si="209"/>
        <v>0.41454723809091848</v>
      </c>
      <c r="CL1009" s="229"/>
      <c r="CM1009" s="229">
        <v>0.57978359661680978</v>
      </c>
      <c r="CN1009" s="229">
        <f>BJ1009/(10^CM1009)</f>
        <v>5.2919578947368455</v>
      </c>
      <c r="CO1009" s="47" t="s">
        <v>2488</v>
      </c>
      <c r="CP1009" s="500" t="s">
        <v>2489</v>
      </c>
      <c r="CQ1009" s="224">
        <v>0.6436768863573733</v>
      </c>
      <c r="CR1009" s="224">
        <f>10^(CJ1009-CQ1009)</f>
        <v>0.22715542521212728</v>
      </c>
      <c r="CS1009" s="230" t="s">
        <v>539</v>
      </c>
      <c r="CT1009" s="230"/>
      <c r="CU1009" s="230"/>
      <c r="CV1009" s="335">
        <f t="shared" si="210"/>
        <v>0.8453741128544604</v>
      </c>
      <c r="CW1009" s="230">
        <f t="shared" si="211"/>
        <v>0</v>
      </c>
      <c r="CX1009" s="336"/>
      <c r="CY1009" s="230" t="s">
        <v>5921</v>
      </c>
    </row>
    <row r="1010" spans="1:103" ht="11.25" customHeight="1" x14ac:dyDescent="0.2">
      <c r="A1010" s="72">
        <v>1428</v>
      </c>
      <c r="B1010" s="224">
        <v>1250</v>
      </c>
      <c r="C1010" s="46" t="s">
        <v>7474</v>
      </c>
      <c r="D1010" s="46"/>
      <c r="E1010" s="114"/>
      <c r="F1010" s="114" t="s">
        <v>3437</v>
      </c>
      <c r="G1010" s="225">
        <v>81131706</v>
      </c>
      <c r="H1010" s="47" t="s">
        <v>3438</v>
      </c>
      <c r="I1010" s="47" t="s">
        <v>3438</v>
      </c>
      <c r="J1010" s="47" t="s">
        <v>3439</v>
      </c>
      <c r="K1010" s="47" t="s">
        <v>3440</v>
      </c>
      <c r="L1010" s="47"/>
      <c r="M1010" s="47"/>
      <c r="N1010" s="47"/>
      <c r="O1010" s="47"/>
      <c r="P1010" s="53"/>
      <c r="Q1010" s="53"/>
      <c r="R1010" s="53"/>
      <c r="S1010" s="53"/>
      <c r="T1010" s="48">
        <v>424.53</v>
      </c>
      <c r="U1010" s="98"/>
      <c r="V1010" s="98">
        <v>73.540000000000006</v>
      </c>
      <c r="W1010" s="98">
        <v>255.80462107614676</v>
      </c>
      <c r="X1010" s="98">
        <v>255.80462107614676</v>
      </c>
      <c r="Y1010" s="233">
        <v>3.78</v>
      </c>
      <c r="Z1010" s="48">
        <v>3.1</v>
      </c>
      <c r="AA1010" s="48">
        <v>2.1800000000000002</v>
      </c>
      <c r="AB1010" s="48">
        <v>2.5499999999999998</v>
      </c>
      <c r="AC1010" s="48">
        <v>0.90500000000000003</v>
      </c>
      <c r="AD1010" s="48">
        <v>2.33</v>
      </c>
      <c r="AE1010" s="48">
        <v>1.35</v>
      </c>
      <c r="AF1010" s="48">
        <f t="shared" si="212"/>
        <v>2.1800000000000002</v>
      </c>
      <c r="AG1010" s="49">
        <v>2.33</v>
      </c>
      <c r="AH1010" s="98">
        <v>2.0099999999999999E-15</v>
      </c>
      <c r="AI1010" s="98"/>
      <c r="AJ1010" s="483">
        <f t="shared" si="203"/>
        <v>-13.085370268892163</v>
      </c>
      <c r="AK1010" s="483"/>
      <c r="AL1010" s="483">
        <f t="shared" si="204"/>
        <v>-13.085370268892163</v>
      </c>
      <c r="AM1010" s="483">
        <v>-23.996999999999996</v>
      </c>
      <c r="AN1010" s="226"/>
      <c r="AO1010" s="484">
        <v>4.3099999999999996</v>
      </c>
      <c r="AP1010" s="484"/>
      <c r="AQ1010" s="48" t="s">
        <v>6311</v>
      </c>
      <c r="AR1010" s="48" t="s">
        <v>6312</v>
      </c>
      <c r="AS1010" s="227"/>
      <c r="AT1010" s="50" t="s">
        <v>266</v>
      </c>
      <c r="AU1010" s="48">
        <v>6</v>
      </c>
      <c r="AV1010" s="48">
        <v>120</v>
      </c>
      <c r="AW1010" s="48">
        <v>114</v>
      </c>
      <c r="AX1010" s="48">
        <v>28</v>
      </c>
      <c r="AY1010" s="48" t="s">
        <v>8728</v>
      </c>
      <c r="AZ1010" s="48" t="s">
        <v>1563</v>
      </c>
      <c r="BA1010" s="48">
        <v>32</v>
      </c>
      <c r="BB1010" s="47" t="s">
        <v>2485</v>
      </c>
      <c r="BC1010" s="47" t="s">
        <v>8726</v>
      </c>
      <c r="BD1010" s="47" t="s">
        <v>8374</v>
      </c>
      <c r="BE1010" s="48" t="s">
        <v>2449</v>
      </c>
      <c r="BF1010" s="48" t="s">
        <v>272</v>
      </c>
      <c r="BG1010" s="48" t="s">
        <v>272</v>
      </c>
      <c r="BH1010" s="48" t="s">
        <v>2486</v>
      </c>
      <c r="BI1010" s="98">
        <v>2.7169919999999997E-3</v>
      </c>
      <c r="BJ1010" s="98">
        <v>27.169919999999998</v>
      </c>
      <c r="BK1010" s="48"/>
      <c r="BL1010" s="487">
        <v>35.859017460002249</v>
      </c>
      <c r="BM1010" s="47" t="s">
        <v>2487</v>
      </c>
      <c r="BN1010" s="48"/>
      <c r="BO1010" s="48"/>
      <c r="BP1010" s="48"/>
      <c r="BQ1010" s="48"/>
      <c r="BR1010" s="47" t="e">
        <v>#VALUE!</v>
      </c>
      <c r="BS1010" s="48"/>
      <c r="BT1010" s="48"/>
      <c r="BU1010" s="228">
        <v>2.7169919999999999</v>
      </c>
      <c r="BV1010" s="48"/>
      <c r="BW1010" s="48"/>
      <c r="BX1010" s="48"/>
      <c r="BY1010" s="48"/>
      <c r="BZ1010" s="48"/>
      <c r="CA1010" s="48"/>
      <c r="CB1010" s="48"/>
      <c r="CC1010" s="48"/>
      <c r="CD1010" s="48"/>
      <c r="CE1010" s="48"/>
      <c r="CF1010" s="48"/>
      <c r="CG1010" s="48"/>
      <c r="CH1010" s="48"/>
      <c r="CI1010" s="98"/>
      <c r="CJ1010" s="98"/>
      <c r="CK1010" s="49">
        <f t="shared" si="209"/>
        <v>1.3198057800686294</v>
      </c>
      <c r="CL1010" s="229"/>
      <c r="CM1010" s="229"/>
      <c r="CN1010" s="229"/>
      <c r="CO1010" s="47" t="s">
        <v>2488</v>
      </c>
      <c r="CP1010" s="500" t="s">
        <v>2489</v>
      </c>
      <c r="CQ1010" s="224" t="s">
        <v>272</v>
      </c>
      <c r="CR1010" s="224"/>
      <c r="CS1010" s="230" t="s">
        <v>539</v>
      </c>
      <c r="CT1010" s="230"/>
      <c r="CU1010" s="230"/>
      <c r="CV1010" s="335">
        <f t="shared" si="210"/>
        <v>9.4149935324118275</v>
      </c>
      <c r="CW1010" s="230">
        <f t="shared" si="211"/>
        <v>1</v>
      </c>
      <c r="CX1010" s="336"/>
      <c r="CY1010" s="230" t="s">
        <v>5921</v>
      </c>
    </row>
    <row r="1011" spans="1:103" ht="11.25" customHeight="1" x14ac:dyDescent="0.2">
      <c r="A1011" s="72">
        <v>1430</v>
      </c>
      <c r="B1011" s="224">
        <v>1163</v>
      </c>
      <c r="C1011" s="46" t="s">
        <v>7475</v>
      </c>
      <c r="D1011" s="46"/>
      <c r="E1011" s="114"/>
      <c r="F1011" s="114" t="s">
        <v>3209</v>
      </c>
      <c r="G1011" s="225">
        <v>81334341</v>
      </c>
      <c r="H1011" s="47" t="s">
        <v>3210</v>
      </c>
      <c r="I1011" s="47" t="s">
        <v>3210</v>
      </c>
      <c r="J1011" s="47" t="s">
        <v>3211</v>
      </c>
      <c r="K1011" s="47" t="s">
        <v>471</v>
      </c>
      <c r="L1011" s="47"/>
      <c r="M1011" s="47"/>
      <c r="N1011" s="47"/>
      <c r="O1011" s="47"/>
      <c r="P1011" s="53"/>
      <c r="Q1011" s="53"/>
      <c r="R1011" s="53"/>
      <c r="S1011" s="53"/>
      <c r="T1011" s="48">
        <v>261.27999999999997</v>
      </c>
      <c r="U1011" s="98">
        <v>11300</v>
      </c>
      <c r="V1011" s="98">
        <v>650.29999999999995</v>
      </c>
      <c r="W1011" s="98">
        <v>3141.2765147683754</v>
      </c>
      <c r="X1011" s="98">
        <v>11300</v>
      </c>
      <c r="Y1011" s="233">
        <v>2.82</v>
      </c>
      <c r="Z1011" s="48">
        <v>1.57</v>
      </c>
      <c r="AA1011" s="48">
        <v>0.22</v>
      </c>
      <c r="AB1011" s="48">
        <v>0.42</v>
      </c>
      <c r="AC1011" s="48">
        <v>0.88060000000000005</v>
      </c>
      <c r="AD1011" s="48">
        <v>0.43</v>
      </c>
      <c r="AE1011" s="48">
        <v>0.51</v>
      </c>
      <c r="AF1011" s="48">
        <f t="shared" si="212"/>
        <v>0.22</v>
      </c>
      <c r="AG1011" s="49">
        <v>0.96</v>
      </c>
      <c r="AH1011" s="98">
        <v>7.0799999999999999E-17</v>
      </c>
      <c r="AI1011" s="98"/>
      <c r="AJ1011" s="483">
        <f t="shared" si="203"/>
        <v>-14.538533068622883</v>
      </c>
      <c r="AK1011" s="483"/>
      <c r="AL1011" s="483">
        <f t="shared" si="204"/>
        <v>-14.538533068622883</v>
      </c>
      <c r="AM1011" s="483">
        <v>-17.984069999999999</v>
      </c>
      <c r="AN1011" s="226">
        <v>-16.100000000000001</v>
      </c>
      <c r="AO1011" s="484">
        <v>10.6</v>
      </c>
      <c r="AP1011" s="484">
        <v>3.3</v>
      </c>
      <c r="AQ1011" s="48" t="s">
        <v>6311</v>
      </c>
      <c r="AR1011" s="48" t="s">
        <v>6311</v>
      </c>
      <c r="AS1011" s="227"/>
      <c r="AT1011" s="50" t="s">
        <v>266</v>
      </c>
      <c r="AU1011" s="48">
        <v>6</v>
      </c>
      <c r="AV1011" s="48">
        <v>120</v>
      </c>
      <c r="AW1011" s="48">
        <v>114</v>
      </c>
      <c r="AX1011" s="48">
        <v>28</v>
      </c>
      <c r="AY1011" s="48" t="s">
        <v>8728</v>
      </c>
      <c r="AZ1011" s="48" t="s">
        <v>1563</v>
      </c>
      <c r="BA1011" s="48">
        <v>32</v>
      </c>
      <c r="BB1011" s="47" t="s">
        <v>2485</v>
      </c>
      <c r="BC1011" s="47" t="s">
        <v>8726</v>
      </c>
      <c r="BD1011" s="47" t="s">
        <v>8374</v>
      </c>
      <c r="BE1011" s="48" t="s">
        <v>2449</v>
      </c>
      <c r="BF1011" s="48" t="s">
        <v>272</v>
      </c>
      <c r="BG1011" s="48" t="s">
        <v>272</v>
      </c>
      <c r="BH1011" s="48" t="s">
        <v>2486</v>
      </c>
      <c r="BI1011" s="98">
        <v>1.6721919999999996E-3</v>
      </c>
      <c r="BJ1011" s="98">
        <v>16.721919999999997</v>
      </c>
      <c r="BK1011" s="48"/>
      <c r="BL1011" s="487">
        <v>522.26288971287363</v>
      </c>
      <c r="BM1011" s="47" t="s">
        <v>2487</v>
      </c>
      <c r="BN1011" s="48"/>
      <c r="BO1011" s="48"/>
      <c r="BP1011" s="48"/>
      <c r="BQ1011" s="48"/>
      <c r="BR1011" s="47" t="e">
        <v>#VALUE!</v>
      </c>
      <c r="BS1011" s="48"/>
      <c r="BT1011" s="48"/>
      <c r="BU1011" s="228">
        <v>1.6721919999999998E-2</v>
      </c>
      <c r="BV1011" s="48"/>
      <c r="BW1011" s="48"/>
      <c r="BX1011" s="48"/>
      <c r="BY1011" s="48"/>
      <c r="BZ1011" s="48"/>
      <c r="CA1011" s="48"/>
      <c r="CB1011" s="48"/>
      <c r="CC1011" s="48"/>
      <c r="CD1011" s="48"/>
      <c r="CE1011" s="48"/>
      <c r="CF1011" s="48"/>
      <c r="CG1011" s="48"/>
      <c r="CH1011" s="48"/>
      <c r="CI1011" s="98"/>
      <c r="CJ1011" s="98"/>
      <c r="CK1011" s="49">
        <f t="shared" si="209"/>
        <v>31.232232286296892</v>
      </c>
      <c r="CL1011" s="229"/>
      <c r="CM1011" s="229"/>
      <c r="CN1011" s="229"/>
      <c r="CO1011" s="47" t="s">
        <v>2488</v>
      </c>
      <c r="CP1011" s="500" t="s">
        <v>2489</v>
      </c>
      <c r="CQ1011" s="224" t="s">
        <v>272</v>
      </c>
      <c r="CR1011" s="224"/>
      <c r="CS1011" s="230" t="s">
        <v>539</v>
      </c>
      <c r="CT1011" s="230"/>
      <c r="CU1011" s="230"/>
      <c r="CV1011" s="335">
        <f t="shared" si="210"/>
        <v>675.75972137170868</v>
      </c>
      <c r="CW1011" s="230">
        <f t="shared" si="211"/>
        <v>1</v>
      </c>
      <c r="CX1011" s="336"/>
      <c r="CY1011" s="230" t="s">
        <v>5921</v>
      </c>
    </row>
    <row r="1012" spans="1:103" ht="11.25" customHeight="1" x14ac:dyDescent="0.2">
      <c r="A1012" s="72">
        <v>1432</v>
      </c>
      <c r="B1012" s="224">
        <v>1704</v>
      </c>
      <c r="C1012" s="46" t="s">
        <v>7476</v>
      </c>
      <c r="D1012" s="46" t="s">
        <v>7477</v>
      </c>
      <c r="E1012" s="114"/>
      <c r="F1012" s="114" t="s">
        <v>3896</v>
      </c>
      <c r="G1012" s="225">
        <v>81335377</v>
      </c>
      <c r="H1012" s="47" t="s">
        <v>3897</v>
      </c>
      <c r="I1012" s="47" t="s">
        <v>8147</v>
      </c>
      <c r="J1012" s="47" t="s">
        <v>3898</v>
      </c>
      <c r="K1012" s="47" t="s">
        <v>471</v>
      </c>
      <c r="L1012" s="47" t="s">
        <v>6042</v>
      </c>
      <c r="M1012" s="47" t="s">
        <v>2342</v>
      </c>
      <c r="N1012" s="47" t="s">
        <v>2342</v>
      </c>
      <c r="O1012" s="47"/>
      <c r="P1012" s="53" t="s">
        <v>8537</v>
      </c>
      <c r="Q1012" s="53" t="s">
        <v>6173</v>
      </c>
      <c r="R1012" s="53" t="s">
        <v>8539</v>
      </c>
      <c r="S1012" s="53" t="s">
        <v>6173</v>
      </c>
      <c r="T1012" s="48">
        <v>311.33999999999997</v>
      </c>
      <c r="U1012" s="98">
        <v>90.000000000000014</v>
      </c>
      <c r="V1012" s="98">
        <v>271.8</v>
      </c>
      <c r="W1012" s="98">
        <v>149.01669294373019</v>
      </c>
      <c r="X1012" s="98">
        <v>90.000000000000014</v>
      </c>
      <c r="Y1012" s="233">
        <v>3.58</v>
      </c>
      <c r="Z1012" s="48">
        <v>2.9</v>
      </c>
      <c r="AA1012" s="48">
        <v>1.86</v>
      </c>
      <c r="AB1012" s="48">
        <v>1.85</v>
      </c>
      <c r="AC1012" s="48">
        <v>0.92749999999999999</v>
      </c>
      <c r="AD1012" s="48">
        <v>1.9</v>
      </c>
      <c r="AE1012" s="48">
        <v>2.54</v>
      </c>
      <c r="AF1012" s="48">
        <f t="shared" si="212"/>
        <v>1.86</v>
      </c>
      <c r="AG1012" s="49">
        <v>2.23</v>
      </c>
      <c r="AH1012" s="98">
        <v>6.9100000000000002E-18</v>
      </c>
      <c r="AI1012" s="98"/>
      <c r="AJ1012" s="483">
        <f t="shared" si="203"/>
        <v>-15.549088278938454</v>
      </c>
      <c r="AK1012" s="483"/>
      <c r="AL1012" s="483">
        <f t="shared" si="204"/>
        <v>-15.549088278938454</v>
      </c>
      <c r="AM1012" s="483">
        <v>-20.276879999999998</v>
      </c>
      <c r="AN1012" s="226">
        <v>-16.899999999999999</v>
      </c>
      <c r="AO1012" s="484">
        <v>3.1</v>
      </c>
      <c r="AP1012" s="484">
        <v>1.57</v>
      </c>
      <c r="AQ1012" s="226" t="s">
        <v>6311</v>
      </c>
      <c r="AR1012" s="226" t="s">
        <v>6311</v>
      </c>
      <c r="AS1012" s="224"/>
      <c r="AT1012" s="50" t="s">
        <v>266</v>
      </c>
      <c r="AU1012" s="48">
        <v>6</v>
      </c>
      <c r="AV1012" s="48">
        <v>120</v>
      </c>
      <c r="AW1012" s="48">
        <v>114</v>
      </c>
      <c r="AX1012" s="48">
        <v>28</v>
      </c>
      <c r="AY1012" s="48" t="s">
        <v>8728</v>
      </c>
      <c r="AZ1012" s="48" t="s">
        <v>1563</v>
      </c>
      <c r="BA1012" s="48">
        <v>32</v>
      </c>
      <c r="BB1012" s="47" t="s">
        <v>2485</v>
      </c>
      <c r="BC1012" s="47" t="s">
        <v>8726</v>
      </c>
      <c r="BD1012" s="47" t="s">
        <v>8374</v>
      </c>
      <c r="BE1012" s="48" t="s">
        <v>2449</v>
      </c>
      <c r="BF1012" s="48" t="s">
        <v>272</v>
      </c>
      <c r="BG1012" s="48" t="s">
        <v>272</v>
      </c>
      <c r="BH1012" s="48" t="s">
        <v>2486</v>
      </c>
      <c r="BI1012" s="98">
        <v>1.9925759999999998E-3</v>
      </c>
      <c r="BJ1012" s="98">
        <v>19.92576</v>
      </c>
      <c r="BK1012" s="48"/>
      <c r="BL1012" s="487">
        <v>39.769022927937854</v>
      </c>
      <c r="BM1012" s="47" t="s">
        <v>2487</v>
      </c>
      <c r="BN1012" s="48"/>
      <c r="BO1012" s="48"/>
      <c r="BP1012" s="48"/>
      <c r="BQ1012" s="48"/>
      <c r="BR1012" s="47" t="e">
        <v>#VALUE!</v>
      </c>
      <c r="BS1012" s="48"/>
      <c r="BT1012" s="48"/>
      <c r="BU1012" s="228"/>
      <c r="BV1012" s="48"/>
      <c r="BW1012" s="48"/>
      <c r="BX1012" s="48"/>
      <c r="BY1012" s="48"/>
      <c r="BZ1012" s="48"/>
      <c r="CA1012" s="48"/>
      <c r="CB1012" s="48"/>
      <c r="CC1012" s="48"/>
      <c r="CD1012" s="48"/>
      <c r="CE1012" s="48"/>
      <c r="CF1012" s="48"/>
      <c r="CG1012" s="48"/>
      <c r="CH1012" s="48"/>
      <c r="CI1012" s="98"/>
      <c r="CJ1012" s="98"/>
      <c r="CK1012" s="49">
        <f t="shared" si="209"/>
        <v>1.9958597778924294</v>
      </c>
      <c r="CL1012" s="229"/>
      <c r="CM1012" s="229"/>
      <c r="CN1012" s="229"/>
      <c r="CO1012" s="47" t="s">
        <v>2488</v>
      </c>
      <c r="CP1012" s="500" t="s">
        <v>2489</v>
      </c>
      <c r="CQ1012" s="224">
        <v>2.5352036608700597</v>
      </c>
      <c r="CR1012" s="224">
        <f>10^(CJ1012-CQ1012)</f>
        <v>2.9160592175990212E-3</v>
      </c>
      <c r="CS1012" s="230" t="s">
        <v>539</v>
      </c>
      <c r="CT1012" s="230"/>
      <c r="CU1012" s="230"/>
      <c r="CV1012" s="335">
        <f t="shared" si="210"/>
        <v>4.5167662362690315</v>
      </c>
      <c r="CW1012" s="230">
        <f t="shared" si="211"/>
        <v>1</v>
      </c>
      <c r="CX1012" s="336"/>
      <c r="CY1012" s="230" t="s">
        <v>5921</v>
      </c>
    </row>
    <row r="1013" spans="1:103" ht="11.25" customHeight="1" x14ac:dyDescent="0.2">
      <c r="A1013" s="72">
        <v>1434</v>
      </c>
      <c r="B1013" s="224">
        <v>1705</v>
      </c>
      <c r="C1013" s="46" t="s">
        <v>7478</v>
      </c>
      <c r="D1013" s="46" t="s">
        <v>7479</v>
      </c>
      <c r="E1013" s="114"/>
      <c r="F1013" s="114" t="s">
        <v>3899</v>
      </c>
      <c r="G1013" s="225">
        <v>81335775</v>
      </c>
      <c r="H1013" s="47" t="s">
        <v>3900</v>
      </c>
      <c r="I1013" s="47" t="s">
        <v>3900</v>
      </c>
      <c r="J1013" s="47" t="s">
        <v>3901</v>
      </c>
      <c r="K1013" s="47" t="s">
        <v>471</v>
      </c>
      <c r="L1013" s="47"/>
      <c r="M1013" s="47" t="s">
        <v>2342</v>
      </c>
      <c r="N1013" s="47" t="s">
        <v>2342</v>
      </c>
      <c r="O1013" s="47"/>
      <c r="P1013" s="53" t="s">
        <v>8537</v>
      </c>
      <c r="Q1013" s="53" t="s">
        <v>6173</v>
      </c>
      <c r="R1013" s="53" t="s">
        <v>6183</v>
      </c>
      <c r="S1013" s="53" t="s">
        <v>6173</v>
      </c>
      <c r="T1013" s="48">
        <v>289.33</v>
      </c>
      <c r="U1013" s="98">
        <v>1400</v>
      </c>
      <c r="V1013" s="98">
        <v>84.54</v>
      </c>
      <c r="W1013" s="98">
        <v>853.87336555138552</v>
      </c>
      <c r="X1013" s="98">
        <v>1400</v>
      </c>
      <c r="Y1013" s="233">
        <v>3.09</v>
      </c>
      <c r="Z1013" s="48">
        <v>2.6</v>
      </c>
      <c r="AA1013" s="48"/>
      <c r="AB1013" s="48">
        <v>1.07</v>
      </c>
      <c r="AC1013" s="48">
        <v>0.83960000000000001</v>
      </c>
      <c r="AD1013" s="48">
        <v>1.1299999999999999</v>
      </c>
      <c r="AE1013" s="48">
        <v>1.51</v>
      </c>
      <c r="AF1013" s="48">
        <f t="shared" si="212"/>
        <v>1.1299999999999999</v>
      </c>
      <c r="AG1013" s="49">
        <v>1.98</v>
      </c>
      <c r="AH1013" s="98">
        <v>1.04E-16</v>
      </c>
      <c r="AI1013" s="98"/>
      <c r="AJ1013" s="483">
        <f t="shared" si="203"/>
        <v>-14.371532987013872</v>
      </c>
      <c r="AK1013" s="483"/>
      <c r="AL1013" s="483">
        <f t="shared" si="204"/>
        <v>-14.371532987013872</v>
      </c>
      <c r="AM1013" s="483">
        <v>-18.078189999999999</v>
      </c>
      <c r="AN1013" s="226">
        <v>-16</v>
      </c>
      <c r="AO1013" s="484">
        <v>10.73</v>
      </c>
      <c r="AP1013" s="484">
        <v>3.34</v>
      </c>
      <c r="AQ1013" s="226" t="s">
        <v>6311</v>
      </c>
      <c r="AR1013" s="226" t="s">
        <v>6311</v>
      </c>
      <c r="AS1013" s="224"/>
      <c r="AT1013" s="50" t="s">
        <v>266</v>
      </c>
      <c r="AU1013" s="48">
        <v>6</v>
      </c>
      <c r="AV1013" s="48">
        <v>120</v>
      </c>
      <c r="AW1013" s="48">
        <v>114</v>
      </c>
      <c r="AX1013" s="48">
        <v>28</v>
      </c>
      <c r="AY1013" s="48" t="s">
        <v>8728</v>
      </c>
      <c r="AZ1013" s="48" t="s">
        <v>1563</v>
      </c>
      <c r="BA1013" s="48">
        <v>32</v>
      </c>
      <c r="BB1013" s="47" t="s">
        <v>2485</v>
      </c>
      <c r="BC1013" s="47" t="s">
        <v>8726</v>
      </c>
      <c r="BD1013" s="47" t="s">
        <v>8374</v>
      </c>
      <c r="BE1013" s="48" t="s">
        <v>2449</v>
      </c>
      <c r="BF1013" s="48" t="s">
        <v>272</v>
      </c>
      <c r="BG1013" s="48" t="s">
        <v>272</v>
      </c>
      <c r="BH1013" s="48" t="s">
        <v>2486</v>
      </c>
      <c r="BI1013" s="98">
        <v>1.8517119999999997E-3</v>
      </c>
      <c r="BJ1013" s="98">
        <v>18.517119999999998</v>
      </c>
      <c r="BK1013" s="48"/>
      <c r="BL1013" s="487">
        <v>68.727962179014753</v>
      </c>
      <c r="BM1013" s="47" t="s">
        <v>2487</v>
      </c>
      <c r="BN1013" s="48"/>
      <c r="BO1013" s="48"/>
      <c r="BP1013" s="48"/>
      <c r="BQ1013" s="48"/>
      <c r="BR1013" s="47" t="e">
        <v>#VALUE!</v>
      </c>
      <c r="BS1013" s="48"/>
      <c r="BT1013" s="48"/>
      <c r="BU1013" s="228"/>
      <c r="BV1013" s="48"/>
      <c r="BW1013" s="48"/>
      <c r="BX1013" s="48"/>
      <c r="BY1013" s="48"/>
      <c r="BZ1013" s="48"/>
      <c r="CA1013" s="48"/>
      <c r="CB1013" s="48"/>
      <c r="CC1013" s="48"/>
      <c r="CD1013" s="48"/>
      <c r="CE1013" s="48"/>
      <c r="CF1013" s="48"/>
      <c r="CG1013" s="48"/>
      <c r="CH1013" s="48"/>
      <c r="CI1013" s="98"/>
      <c r="CJ1013" s="98"/>
      <c r="CK1013" s="49">
        <f t="shared" si="209"/>
        <v>3.7115902569630026</v>
      </c>
      <c r="CL1013" s="229"/>
      <c r="CM1013" s="229"/>
      <c r="CN1013" s="229"/>
      <c r="CO1013" s="47" t="s">
        <v>2488</v>
      </c>
      <c r="CP1013" s="500" t="s">
        <v>2489</v>
      </c>
      <c r="CQ1013" s="224">
        <v>2.5814494049732861</v>
      </c>
      <c r="CR1013" s="224">
        <f>10^(CJ1013-CQ1013)</f>
        <v>2.6215044244189876E-3</v>
      </c>
      <c r="CS1013" s="230" t="s">
        <v>539</v>
      </c>
      <c r="CT1013" s="230"/>
      <c r="CU1013" s="230"/>
      <c r="CV1013" s="335">
        <f t="shared" si="210"/>
        <v>75.60570974319981</v>
      </c>
      <c r="CW1013" s="230">
        <f t="shared" si="211"/>
        <v>1</v>
      </c>
      <c r="CX1013" s="336"/>
      <c r="CY1013" s="230" t="s">
        <v>5921</v>
      </c>
    </row>
    <row r="1014" spans="1:103" ht="11.25" customHeight="1" x14ac:dyDescent="0.2">
      <c r="A1014" s="72">
        <v>1436</v>
      </c>
      <c r="B1014" s="224">
        <v>1559</v>
      </c>
      <c r="C1014" s="46" t="s">
        <v>7480</v>
      </c>
      <c r="D1014" s="46"/>
      <c r="E1014" s="114"/>
      <c r="F1014" s="114" t="s">
        <v>3761</v>
      </c>
      <c r="G1014" s="225">
        <v>81777891</v>
      </c>
      <c r="H1014" s="47" t="s">
        <v>3762</v>
      </c>
      <c r="I1014" s="47" t="s">
        <v>8148</v>
      </c>
      <c r="J1014" s="47" t="s">
        <v>3763</v>
      </c>
      <c r="K1014" s="47" t="s">
        <v>471</v>
      </c>
      <c r="L1014" s="47" t="s">
        <v>6031</v>
      </c>
      <c r="M1014" s="47" t="s">
        <v>6082</v>
      </c>
      <c r="N1014" s="47"/>
      <c r="O1014" s="47" t="s">
        <v>6083</v>
      </c>
      <c r="P1014" s="53"/>
      <c r="Q1014" s="53"/>
      <c r="R1014" s="53"/>
      <c r="S1014" s="53"/>
      <c r="T1014" s="48">
        <v>239.7</v>
      </c>
      <c r="U1014" s="98">
        <v>1100</v>
      </c>
      <c r="V1014" s="98">
        <v>197.5</v>
      </c>
      <c r="W1014" s="98">
        <v>478.26437689804004</v>
      </c>
      <c r="X1014" s="98">
        <v>1100</v>
      </c>
      <c r="Y1014" s="233">
        <v>7</v>
      </c>
      <c r="Z1014" s="48">
        <v>2.86</v>
      </c>
      <c r="AA1014" s="48">
        <v>2.5</v>
      </c>
      <c r="AB1014" s="48">
        <v>2.44</v>
      </c>
      <c r="AC1014" s="48">
        <v>0.77280000000000004</v>
      </c>
      <c r="AD1014" s="48">
        <v>2.36</v>
      </c>
      <c r="AE1014" s="48">
        <v>2.17</v>
      </c>
      <c r="AF1014" s="48">
        <f t="shared" si="212"/>
        <v>2.5</v>
      </c>
      <c r="AG1014" s="49">
        <v>2.2400000000000002</v>
      </c>
      <c r="AH1014" s="98">
        <v>7.3199999999999995E-10</v>
      </c>
      <c r="AI1014" s="98">
        <v>4.1299999999999999E-8</v>
      </c>
      <c r="AJ1014" s="483">
        <f t="shared" si="203"/>
        <v>-7.5240552452542602</v>
      </c>
      <c r="AK1014" s="483">
        <f>LOG10(AI1014*1000/(0.08206*298.15))</f>
        <v>-5.7726162746562508</v>
      </c>
      <c r="AL1014" s="483">
        <f t="shared" si="204"/>
        <v>-5.7726162746562508</v>
      </c>
      <c r="AM1014" s="483">
        <v>-11.32104</v>
      </c>
      <c r="AN1014" s="226">
        <v>-5</v>
      </c>
      <c r="AO1014" s="484"/>
      <c r="AP1014" s="484">
        <v>-1.48</v>
      </c>
      <c r="AQ1014" s="48" t="s">
        <v>6311</v>
      </c>
      <c r="AR1014" s="48" t="s">
        <v>6311</v>
      </c>
      <c r="AS1014" s="227"/>
      <c r="AT1014" s="50" t="s">
        <v>266</v>
      </c>
      <c r="AU1014" s="48">
        <v>6</v>
      </c>
      <c r="AV1014" s="48">
        <v>120</v>
      </c>
      <c r="AW1014" s="48">
        <v>114</v>
      </c>
      <c r="AX1014" s="48">
        <v>28</v>
      </c>
      <c r="AY1014" s="48" t="s">
        <v>8728</v>
      </c>
      <c r="AZ1014" s="48" t="s">
        <v>1563</v>
      </c>
      <c r="BA1014" s="48">
        <v>32</v>
      </c>
      <c r="BB1014" s="47" t="s">
        <v>2485</v>
      </c>
      <c r="BC1014" s="47" t="s">
        <v>8726</v>
      </c>
      <c r="BD1014" s="47" t="s">
        <v>8374</v>
      </c>
      <c r="BE1014" s="48" t="s">
        <v>2449</v>
      </c>
      <c r="BF1014" s="48" t="s">
        <v>272</v>
      </c>
      <c r="BG1014" s="48" t="s">
        <v>272</v>
      </c>
      <c r="BH1014" s="48" t="s">
        <v>2486</v>
      </c>
      <c r="BI1014" s="98">
        <v>1.5340799999999999E-3</v>
      </c>
      <c r="BJ1014" s="98">
        <v>15.3408</v>
      </c>
      <c r="BK1014" s="48"/>
      <c r="BL1014" s="487">
        <v>33.258452208690869</v>
      </c>
      <c r="BM1014" s="47" t="s">
        <v>2487</v>
      </c>
      <c r="BN1014" s="48"/>
      <c r="BO1014" s="48"/>
      <c r="BP1014" s="48"/>
      <c r="BQ1014" s="48"/>
      <c r="BR1014" s="47" t="e">
        <v>#VALUE!</v>
      </c>
      <c r="BS1014" s="48"/>
      <c r="BT1014" s="48"/>
      <c r="BU1014" s="228"/>
      <c r="BV1014" s="48"/>
      <c r="BW1014" s="48"/>
      <c r="BX1014" s="48"/>
      <c r="BY1014" s="48"/>
      <c r="BZ1014" s="48"/>
      <c r="CA1014" s="48"/>
      <c r="CB1014" s="48"/>
      <c r="CC1014" s="48"/>
      <c r="CD1014" s="48"/>
      <c r="CE1014" s="48"/>
      <c r="CF1014" s="48"/>
      <c r="CG1014" s="48"/>
      <c r="CH1014" s="48"/>
      <c r="CI1014" s="98"/>
      <c r="CJ1014" s="98"/>
      <c r="CK1014" s="49">
        <f t="shared" si="209"/>
        <v>2.1679737828986019</v>
      </c>
      <c r="CL1014" s="229"/>
      <c r="CM1014" s="229"/>
      <c r="CN1014" s="229"/>
      <c r="CO1014" s="47" t="s">
        <v>2488</v>
      </c>
      <c r="CP1014" s="500" t="s">
        <v>2489</v>
      </c>
      <c r="CQ1014" s="224" t="s">
        <v>272</v>
      </c>
      <c r="CR1014" s="224"/>
      <c r="CS1014" s="230" t="s">
        <v>539</v>
      </c>
      <c r="CT1014" s="230"/>
      <c r="CU1014" s="230"/>
      <c r="CV1014" s="335">
        <f t="shared" si="210"/>
        <v>71.704213600333745</v>
      </c>
      <c r="CW1014" s="230">
        <f t="shared" si="211"/>
        <v>1</v>
      </c>
      <c r="CX1014" s="336"/>
      <c r="CY1014" s="230" t="s">
        <v>5921</v>
      </c>
    </row>
    <row r="1015" spans="1:103" ht="11.25" customHeight="1" x14ac:dyDescent="0.2">
      <c r="A1015" s="72">
        <v>1438</v>
      </c>
      <c r="B1015" s="224">
        <v>1870</v>
      </c>
      <c r="C1015" s="46" t="s">
        <v>7482</v>
      </c>
      <c r="D1015" s="46"/>
      <c r="E1015" s="114"/>
      <c r="F1015" s="114" t="s">
        <v>728</v>
      </c>
      <c r="G1015" s="225">
        <v>82385420</v>
      </c>
      <c r="H1015" s="47" t="s">
        <v>5312</v>
      </c>
      <c r="I1015" s="47" t="s">
        <v>8150</v>
      </c>
      <c r="J1015" s="47" t="s">
        <v>5313</v>
      </c>
      <c r="K1015" s="47"/>
      <c r="L1015" s="47"/>
      <c r="M1015" s="47"/>
      <c r="N1015" s="47"/>
      <c r="O1015" s="47"/>
      <c r="P1015" s="53"/>
      <c r="Q1015" s="53"/>
      <c r="R1015" s="53"/>
      <c r="S1015" s="53"/>
      <c r="T1015" s="48">
        <v>183.19</v>
      </c>
      <c r="U1015" s="98"/>
      <c r="V1015" s="98"/>
      <c r="W1015" s="98">
        <v>6065.9910144395853</v>
      </c>
      <c r="X1015" s="98">
        <v>6065.9910144395853</v>
      </c>
      <c r="Y1015" s="233">
        <v>1.63</v>
      </c>
      <c r="Z1015" s="48"/>
      <c r="AA1015" s="48"/>
      <c r="AB1015" s="48">
        <v>0.53</v>
      </c>
      <c r="AC1015" s="48">
        <v>0.3251</v>
      </c>
      <c r="AD1015" s="48">
        <v>0.49</v>
      </c>
      <c r="AE1015" s="48">
        <v>0.46</v>
      </c>
      <c r="AF1015" s="48">
        <f t="shared" si="212"/>
        <v>0.49</v>
      </c>
      <c r="AG1015" s="49">
        <v>3.93</v>
      </c>
      <c r="AH1015" s="98"/>
      <c r="AI1015" s="98"/>
      <c r="AJ1015" s="483"/>
      <c r="AK1015" s="483"/>
      <c r="AL1015" s="483"/>
      <c r="AM1015" s="483">
        <v>-12.028979999999999</v>
      </c>
      <c r="AN1015" s="226">
        <v>-14.5</v>
      </c>
      <c r="AO1015" s="484">
        <v>1.1599999999999999</v>
      </c>
      <c r="AP1015" s="484">
        <v>-6.9</v>
      </c>
      <c r="AQ1015" s="226" t="s">
        <v>6311</v>
      </c>
      <c r="AR1015" s="226" t="s">
        <v>6311</v>
      </c>
      <c r="AS1015" s="224"/>
      <c r="AT1015" s="50" t="s">
        <v>266</v>
      </c>
      <c r="AU1015" s="48">
        <v>6</v>
      </c>
      <c r="AV1015" s="48">
        <v>120</v>
      </c>
      <c r="AW1015" s="48">
        <v>114</v>
      </c>
      <c r="AX1015" s="48">
        <v>28</v>
      </c>
      <c r="AY1015" s="48" t="s">
        <v>8728</v>
      </c>
      <c r="AZ1015" s="48" t="s">
        <v>1563</v>
      </c>
      <c r="BA1015" s="48">
        <v>32</v>
      </c>
      <c r="BB1015" s="47" t="s">
        <v>2485</v>
      </c>
      <c r="BC1015" s="47" t="s">
        <v>8726</v>
      </c>
      <c r="BD1015" s="47" t="s">
        <v>8374</v>
      </c>
      <c r="BE1015" s="48" t="s">
        <v>2449</v>
      </c>
      <c r="BF1015" s="48" t="s">
        <v>272</v>
      </c>
      <c r="BG1015" s="48" t="s">
        <v>272</v>
      </c>
      <c r="BH1015" s="48" t="s">
        <v>2486</v>
      </c>
      <c r="BI1015" s="98">
        <v>1.1724159999999999E-3</v>
      </c>
      <c r="BJ1015" s="98">
        <v>11.724159999999999</v>
      </c>
      <c r="BK1015" s="48"/>
      <c r="BL1015" s="487"/>
      <c r="BM1015" s="47" t="s">
        <v>2487</v>
      </c>
      <c r="BN1015" s="48"/>
      <c r="BO1015" s="48"/>
      <c r="BP1015" s="48"/>
      <c r="BQ1015" s="48"/>
      <c r="BR1015" s="47" t="e">
        <v>#VALUE!</v>
      </c>
      <c r="BS1015" s="48"/>
      <c r="BT1015" s="48"/>
      <c r="BU1015" s="228"/>
      <c r="BV1015" s="48"/>
      <c r="BW1015" s="48"/>
      <c r="BX1015" s="48"/>
      <c r="BY1015" s="48"/>
      <c r="BZ1015" s="48"/>
      <c r="CA1015" s="48"/>
      <c r="CB1015" s="48"/>
      <c r="CC1015" s="48"/>
      <c r="CD1015" s="48"/>
      <c r="CE1015" s="48"/>
      <c r="CF1015" s="48"/>
      <c r="CG1015" s="48"/>
      <c r="CH1015" s="48"/>
      <c r="CI1015" s="98"/>
      <c r="CJ1015" s="98"/>
      <c r="CK1015" s="49">
        <f t="shared" si="209"/>
        <v>0</v>
      </c>
      <c r="CL1015" s="229"/>
      <c r="CM1015" s="229"/>
      <c r="CN1015" s="229"/>
      <c r="CO1015" s="47" t="s">
        <v>2488</v>
      </c>
      <c r="CP1015" s="500" t="s">
        <v>2489</v>
      </c>
      <c r="CQ1015" s="224" t="s">
        <v>272</v>
      </c>
      <c r="CR1015" s="224"/>
      <c r="CS1015" s="230" t="s">
        <v>539</v>
      </c>
      <c r="CT1015" s="230"/>
      <c r="CU1015" s="230"/>
      <c r="CV1015" s="335">
        <f t="shared" si="210"/>
        <v>517.3923773165485</v>
      </c>
      <c r="CW1015" s="230">
        <f t="shared" si="211"/>
        <v>1</v>
      </c>
      <c r="CX1015" s="336"/>
      <c r="CY1015" s="230" t="s">
        <v>5921</v>
      </c>
    </row>
    <row r="1016" spans="1:103" ht="11.25" customHeight="1" x14ac:dyDescent="0.2">
      <c r="A1016" s="72">
        <v>1439</v>
      </c>
      <c r="B1016" s="224">
        <v>1171</v>
      </c>
      <c r="C1016" s="46" t="s">
        <v>1274</v>
      </c>
      <c r="D1016" s="46"/>
      <c r="E1016" s="114"/>
      <c r="F1016" s="114" t="s">
        <v>1275</v>
      </c>
      <c r="G1016" s="225">
        <v>82558507</v>
      </c>
      <c r="H1016" s="47" t="s">
        <v>1276</v>
      </c>
      <c r="I1016" s="47" t="s">
        <v>1276</v>
      </c>
      <c r="J1016" s="47" t="s">
        <v>1277</v>
      </c>
      <c r="K1016" s="47" t="s">
        <v>471</v>
      </c>
      <c r="L1016" s="51"/>
      <c r="M1016" s="47"/>
      <c r="N1016" s="47"/>
      <c r="O1016" s="47"/>
      <c r="P1016" s="53"/>
      <c r="Q1016" s="53"/>
      <c r="R1016" s="53"/>
      <c r="S1016" s="53"/>
      <c r="T1016" s="48">
        <v>332.39</v>
      </c>
      <c r="U1016" s="98">
        <v>1.42</v>
      </c>
      <c r="V1016" s="98">
        <v>3.4119999999999995</v>
      </c>
      <c r="W1016" s="98">
        <v>8.1592069648454544</v>
      </c>
      <c r="X1016" s="98">
        <v>1.42</v>
      </c>
      <c r="Y1016" s="233">
        <v>7</v>
      </c>
      <c r="Z1016" s="48">
        <v>3.98</v>
      </c>
      <c r="AA1016" s="48">
        <v>3.94</v>
      </c>
      <c r="AB1016" s="48">
        <v>3.7</v>
      </c>
      <c r="AC1016" s="48">
        <v>0.86580000000000001</v>
      </c>
      <c r="AD1016" s="48">
        <v>3.6</v>
      </c>
      <c r="AE1016" s="48">
        <v>3.25</v>
      </c>
      <c r="AF1016" s="48">
        <f t="shared" si="212"/>
        <v>3.94</v>
      </c>
      <c r="AG1016" s="49">
        <v>4.08</v>
      </c>
      <c r="AH1016" s="98">
        <v>2.0500000000000001E-13</v>
      </c>
      <c r="AI1016" s="98">
        <v>1.27E-9</v>
      </c>
      <c r="AJ1016" s="483">
        <f>LOG10(AH1016*1000/(0.08206*298.15))</f>
        <v>-11.076812465256898</v>
      </c>
      <c r="AK1016" s="483">
        <f>LOG10(AI1016*1000/(0.08206*298.15))</f>
        <v>-7.2847626053566952</v>
      </c>
      <c r="AL1016" s="483">
        <f t="shared" ref="AL1016:AL1061" si="213">IF(AK1016=0,AJ1016,AK1016)</f>
        <v>-7.2847626053566952</v>
      </c>
      <c r="AM1016" s="483">
        <v>-16.252230000000001</v>
      </c>
      <c r="AN1016" s="226">
        <v>-7.83</v>
      </c>
      <c r="AO1016" s="484">
        <v>11.44</v>
      </c>
      <c r="AP1016" s="484">
        <v>-1.64</v>
      </c>
      <c r="AQ1016" s="48" t="s">
        <v>6311</v>
      </c>
      <c r="AR1016" s="48" t="s">
        <v>6311</v>
      </c>
      <c r="AS1016" s="227"/>
      <c r="AT1016" s="50" t="s">
        <v>266</v>
      </c>
      <c r="AU1016" s="48">
        <v>6</v>
      </c>
      <c r="AV1016" s="48">
        <v>120</v>
      </c>
      <c r="AW1016" s="48">
        <v>114</v>
      </c>
      <c r="AX1016" s="48">
        <v>28</v>
      </c>
      <c r="AY1016" s="48" t="s">
        <v>8728</v>
      </c>
      <c r="AZ1016" s="48" t="s">
        <v>1563</v>
      </c>
      <c r="BA1016" s="48">
        <v>32</v>
      </c>
      <c r="BB1016" s="47" t="s">
        <v>2485</v>
      </c>
      <c r="BC1016" s="47" t="s">
        <v>8726</v>
      </c>
      <c r="BD1016" s="47" t="s">
        <v>8374</v>
      </c>
      <c r="BE1016" s="48" t="s">
        <v>2449</v>
      </c>
      <c r="BF1016" s="48" t="s">
        <v>272</v>
      </c>
      <c r="BG1016" s="48" t="s">
        <v>272</v>
      </c>
      <c r="BH1016" s="48" t="s">
        <v>2486</v>
      </c>
      <c r="BI1016" s="98">
        <v>2.1272959999999999E-3</v>
      </c>
      <c r="BJ1016" s="98">
        <v>21.272960000000001</v>
      </c>
      <c r="BK1016" s="48"/>
      <c r="BL1016" s="487">
        <v>4.5499848384824793</v>
      </c>
      <c r="BM1016" s="47" t="s">
        <v>2487</v>
      </c>
      <c r="BN1016" s="48"/>
      <c r="BO1016" s="48"/>
      <c r="BP1016" s="48"/>
      <c r="BQ1016" s="48"/>
      <c r="BR1016" s="47" t="e">
        <v>#VALUE!</v>
      </c>
      <c r="BS1016" s="48"/>
      <c r="BT1016" s="48"/>
      <c r="BU1016" s="228">
        <v>2.1272959999999999E-3</v>
      </c>
      <c r="BV1016" s="48"/>
      <c r="BW1016" s="48"/>
      <c r="BX1016" s="48"/>
      <c r="BY1016" s="48"/>
      <c r="BZ1016" s="48"/>
      <c r="CA1016" s="48"/>
      <c r="CB1016" s="48"/>
      <c r="CC1016" s="48"/>
      <c r="CD1016" s="48"/>
      <c r="CE1016" s="48"/>
      <c r="CF1016" s="48"/>
      <c r="CG1016" s="48"/>
      <c r="CH1016" s="48"/>
      <c r="CI1016" s="98"/>
      <c r="CJ1016" s="98"/>
      <c r="CK1016" s="49">
        <f t="shared" si="209"/>
        <v>0.21388583622036986</v>
      </c>
      <c r="CL1016" s="229"/>
      <c r="CM1016" s="229"/>
      <c r="CN1016" s="229"/>
      <c r="CO1016" s="47" t="s">
        <v>2488</v>
      </c>
      <c r="CP1016" s="500" t="s">
        <v>2489</v>
      </c>
      <c r="CQ1016" s="224" t="s">
        <v>272</v>
      </c>
      <c r="CR1016" s="224"/>
      <c r="CS1016" s="230" t="s">
        <v>539</v>
      </c>
      <c r="CT1016" s="230"/>
      <c r="CU1016" s="230"/>
      <c r="CV1016" s="335">
        <f t="shared" si="210"/>
        <v>6.6751406480339351E-2</v>
      </c>
      <c r="CW1016" s="230">
        <f t="shared" si="211"/>
        <v>0</v>
      </c>
      <c r="CX1016" s="336"/>
      <c r="CY1016" s="230" t="s">
        <v>5921</v>
      </c>
    </row>
    <row r="1017" spans="1:103" ht="11.25" customHeight="1" x14ac:dyDescent="0.2">
      <c r="A1017" s="72">
        <v>1440</v>
      </c>
      <c r="B1017" s="224">
        <v>1265</v>
      </c>
      <c r="C1017" s="46" t="s">
        <v>7483</v>
      </c>
      <c r="D1017" s="46"/>
      <c r="E1017" s="114"/>
      <c r="F1017" s="114" t="s">
        <v>3473</v>
      </c>
      <c r="G1017" s="225">
        <v>82640048</v>
      </c>
      <c r="H1017" s="47" t="s">
        <v>3474</v>
      </c>
      <c r="I1017" s="47" t="s">
        <v>7813</v>
      </c>
      <c r="J1017" s="47" t="s">
        <v>3475</v>
      </c>
      <c r="K1017" s="47" t="s">
        <v>3476</v>
      </c>
      <c r="L1017" s="47"/>
      <c r="M1017" s="47"/>
      <c r="N1017" s="47"/>
      <c r="O1017" s="47"/>
      <c r="P1017" s="53"/>
      <c r="Q1017" s="53"/>
      <c r="R1017" s="53"/>
      <c r="S1017" s="53"/>
      <c r="T1017" s="48">
        <v>312.39999999999998</v>
      </c>
      <c r="U1017" s="98"/>
      <c r="V1017" s="98">
        <v>70.87</v>
      </c>
      <c r="W1017" s="98">
        <v>142.79435043568694</v>
      </c>
      <c r="X1017" s="98">
        <v>142.79435043568694</v>
      </c>
      <c r="Y1017" s="233">
        <v>9.24</v>
      </c>
      <c r="Z1017" s="48">
        <v>2.54</v>
      </c>
      <c r="AA1017" s="48"/>
      <c r="AB1017" s="48">
        <v>0.96</v>
      </c>
      <c r="AC1017" s="48">
        <v>0.51959999999999995</v>
      </c>
      <c r="AD1017" s="48">
        <v>1.73</v>
      </c>
      <c r="AE1017" s="48">
        <v>2.52</v>
      </c>
      <c r="AF1017" s="48">
        <f t="shared" si="212"/>
        <v>1.73</v>
      </c>
      <c r="AG1017" s="49">
        <v>1.68</v>
      </c>
      <c r="AH1017" s="98">
        <v>2.8000000000000001E-15</v>
      </c>
      <c r="AI1017" s="98"/>
      <c r="AJ1017" s="483">
        <f t="shared" ref="AJ1017:AJ1061" si="214">LOG10(AH1017*1000/(0.08206*298.15))</f>
        <v>-12.941408294970433</v>
      </c>
      <c r="AK1017" s="483"/>
      <c r="AL1017" s="483">
        <f t="shared" si="213"/>
        <v>-12.941408294970433</v>
      </c>
      <c r="AM1017" s="483">
        <v>-15.802000000000001</v>
      </c>
      <c r="AN1017" s="226">
        <v>-9.58</v>
      </c>
      <c r="AO1017" s="484">
        <v>10.54</v>
      </c>
      <c r="AP1017" s="484">
        <v>8.9499999999999993</v>
      </c>
      <c r="AQ1017" s="48" t="s">
        <v>6311</v>
      </c>
      <c r="AR1017" s="48" t="s">
        <v>6312</v>
      </c>
      <c r="AS1017" s="227"/>
      <c r="AT1017" s="50" t="s">
        <v>266</v>
      </c>
      <c r="AU1017" s="48">
        <v>6</v>
      </c>
      <c r="AV1017" s="48">
        <v>120</v>
      </c>
      <c r="AW1017" s="48">
        <v>114</v>
      </c>
      <c r="AX1017" s="48">
        <v>28</v>
      </c>
      <c r="AY1017" s="48" t="s">
        <v>8728</v>
      </c>
      <c r="AZ1017" s="48" t="s">
        <v>1563</v>
      </c>
      <c r="BA1017" s="48">
        <v>32</v>
      </c>
      <c r="BB1017" s="47" t="s">
        <v>2485</v>
      </c>
      <c r="BC1017" s="47" t="s">
        <v>8726</v>
      </c>
      <c r="BD1017" s="47" t="s">
        <v>8374</v>
      </c>
      <c r="BE1017" s="48" t="s">
        <v>2449</v>
      </c>
      <c r="BF1017" s="48" t="s">
        <v>272</v>
      </c>
      <c r="BG1017" s="48" t="s">
        <v>272</v>
      </c>
      <c r="BH1017" s="48" t="s">
        <v>2486</v>
      </c>
      <c r="BI1017" s="98">
        <v>1.9993599999999999E-3</v>
      </c>
      <c r="BJ1017" s="98">
        <v>19.993600000000001</v>
      </c>
      <c r="BK1017" s="48"/>
      <c r="BL1017" s="487">
        <v>84.011168482834336</v>
      </c>
      <c r="BM1017" s="47" t="s">
        <v>2487</v>
      </c>
      <c r="BN1017" s="48"/>
      <c r="BO1017" s="48"/>
      <c r="BP1017" s="48"/>
      <c r="BQ1017" s="48"/>
      <c r="BR1017" s="47" t="e">
        <v>#VALUE!</v>
      </c>
      <c r="BS1017" s="48"/>
      <c r="BT1017" s="48"/>
      <c r="BU1017" s="228">
        <v>1.9993599999999997E-2</v>
      </c>
      <c r="BV1017" s="48"/>
      <c r="BW1017" s="48"/>
      <c r="BX1017" s="48"/>
      <c r="BY1017" s="48"/>
      <c r="BZ1017" s="48"/>
      <c r="CA1017" s="48"/>
      <c r="CB1017" s="48"/>
      <c r="CC1017" s="48"/>
      <c r="CD1017" s="48"/>
      <c r="CE1017" s="48"/>
      <c r="CF1017" s="48"/>
      <c r="CG1017" s="48"/>
      <c r="CH1017" s="48"/>
      <c r="CI1017" s="98"/>
      <c r="CJ1017" s="98"/>
      <c r="CK1017" s="49">
        <f t="shared" si="209"/>
        <v>4.2019030331123126</v>
      </c>
      <c r="CL1017" s="229"/>
      <c r="CM1017" s="229"/>
      <c r="CN1017" s="229"/>
      <c r="CO1017" s="47" t="s">
        <v>2488</v>
      </c>
      <c r="CP1017" s="500" t="s">
        <v>2489</v>
      </c>
      <c r="CQ1017" s="224" t="s">
        <v>272</v>
      </c>
      <c r="CR1017" s="224"/>
      <c r="CS1017" s="230" t="s">
        <v>539</v>
      </c>
      <c r="CT1017" s="230"/>
      <c r="CU1017" s="230"/>
      <c r="CV1017" s="335">
        <f t="shared" si="210"/>
        <v>7.1420029627324206</v>
      </c>
      <c r="CW1017" s="230">
        <f t="shared" si="211"/>
        <v>1</v>
      </c>
      <c r="CX1017" s="336"/>
      <c r="CY1017" s="230" t="s">
        <v>5921</v>
      </c>
    </row>
    <row r="1018" spans="1:103" ht="11.25" customHeight="1" x14ac:dyDescent="0.2">
      <c r="A1018" s="72">
        <v>1442</v>
      </c>
      <c r="B1018" s="224">
        <v>1625</v>
      </c>
      <c r="C1018" s="46" t="s">
        <v>1118</v>
      </c>
      <c r="D1018" s="46"/>
      <c r="E1018" s="114"/>
      <c r="F1018" s="114" t="s">
        <v>1119</v>
      </c>
      <c r="G1018" s="225">
        <v>83657243</v>
      </c>
      <c r="H1018" s="47" t="s">
        <v>1120</v>
      </c>
      <c r="I1018" s="47" t="s">
        <v>8151</v>
      </c>
      <c r="J1018" s="47" t="s">
        <v>1121</v>
      </c>
      <c r="K1018" s="47" t="s">
        <v>1122</v>
      </c>
      <c r="L1018" s="47" t="s">
        <v>5973</v>
      </c>
      <c r="M1018" s="47" t="s">
        <v>5960</v>
      </c>
      <c r="N1018" s="47"/>
      <c r="O1018" s="47"/>
      <c r="P1018" s="53"/>
      <c r="Q1018" s="53"/>
      <c r="R1018" s="53"/>
      <c r="S1018" s="53"/>
      <c r="T1018" s="48">
        <v>326.22000000000003</v>
      </c>
      <c r="U1018" s="98">
        <v>4</v>
      </c>
      <c r="V1018" s="98">
        <v>5.9210000000000003</v>
      </c>
      <c r="W1018" s="98">
        <v>2.9074388103799009</v>
      </c>
      <c r="X1018" s="98">
        <v>4</v>
      </c>
      <c r="Y1018" s="233">
        <v>7</v>
      </c>
      <c r="Z1018" s="48">
        <v>3.92</v>
      </c>
      <c r="AA1018" s="48">
        <v>4.3</v>
      </c>
      <c r="AB1018" s="48">
        <v>3.94</v>
      </c>
      <c r="AC1018" s="48">
        <v>0.84009999999999996</v>
      </c>
      <c r="AD1018" s="48">
        <v>4</v>
      </c>
      <c r="AE1018" s="48">
        <v>4.2300000000000004</v>
      </c>
      <c r="AF1018" s="48">
        <f t="shared" si="212"/>
        <v>4.3</v>
      </c>
      <c r="AG1018" s="49">
        <v>4.16</v>
      </c>
      <c r="AH1018" s="98">
        <v>8.4500000000000005E-11</v>
      </c>
      <c r="AI1018" s="98">
        <v>3.9700000000000002E-7</v>
      </c>
      <c r="AJ1018" s="483">
        <f t="shared" si="214"/>
        <v>-8.4617096173629598</v>
      </c>
      <c r="AK1018" s="483">
        <f>LOG10(AI1018*1000/(0.08206*298.15))</f>
        <v>-4.7897758195495364</v>
      </c>
      <c r="AL1018" s="483">
        <f t="shared" si="213"/>
        <v>-4.7897758195495364</v>
      </c>
      <c r="AM1018" s="483">
        <v>-13.611089999999999</v>
      </c>
      <c r="AN1018" s="226">
        <v>-8.74</v>
      </c>
      <c r="AO1018" s="484">
        <v>12.89</v>
      </c>
      <c r="AP1018" s="484">
        <v>2.2000000000000002</v>
      </c>
      <c r="AQ1018" s="226" t="s">
        <v>6311</v>
      </c>
      <c r="AR1018" s="226" t="s">
        <v>6311</v>
      </c>
      <c r="AS1018" s="224"/>
      <c r="AT1018" s="50" t="s">
        <v>266</v>
      </c>
      <c r="AU1018" s="48">
        <v>6</v>
      </c>
      <c r="AV1018" s="48">
        <v>120</v>
      </c>
      <c r="AW1018" s="48">
        <v>114</v>
      </c>
      <c r="AX1018" s="48">
        <v>28</v>
      </c>
      <c r="AY1018" s="48" t="s">
        <v>8728</v>
      </c>
      <c r="AZ1018" s="48" t="s">
        <v>1563</v>
      </c>
      <c r="BA1018" s="48">
        <v>32</v>
      </c>
      <c r="BB1018" s="47" t="s">
        <v>2485</v>
      </c>
      <c r="BC1018" s="47" t="s">
        <v>8726</v>
      </c>
      <c r="BD1018" s="47" t="s">
        <v>8374</v>
      </c>
      <c r="BE1018" s="48" t="s">
        <v>2449</v>
      </c>
      <c r="BF1018" s="48" t="s">
        <v>272</v>
      </c>
      <c r="BG1018" s="48" t="s">
        <v>272</v>
      </c>
      <c r="BH1018" s="48" t="s">
        <v>2486</v>
      </c>
      <c r="BI1018" s="98">
        <v>2.087808E-3</v>
      </c>
      <c r="BJ1018" s="98">
        <v>20.878080000000001</v>
      </c>
      <c r="BK1018" s="48"/>
      <c r="BL1018" s="487">
        <v>5.0554356116430075</v>
      </c>
      <c r="BM1018" s="47" t="s">
        <v>2487</v>
      </c>
      <c r="BN1018" s="48"/>
      <c r="BO1018" s="48"/>
      <c r="BP1018" s="48"/>
      <c r="BQ1018" s="48"/>
      <c r="BR1018" s="47" t="e">
        <v>#VALUE!</v>
      </c>
      <c r="BS1018" s="48"/>
      <c r="BT1018" s="48"/>
      <c r="BU1018" s="228"/>
      <c r="BV1018" s="48"/>
      <c r="BW1018" s="48"/>
      <c r="BX1018" s="48"/>
      <c r="BY1018" s="48"/>
      <c r="BZ1018" s="48"/>
      <c r="CA1018" s="48"/>
      <c r="CB1018" s="48"/>
      <c r="CC1018" s="48"/>
      <c r="CD1018" s="48"/>
      <c r="CE1018" s="48"/>
      <c r="CF1018" s="48"/>
      <c r="CG1018" s="48"/>
      <c r="CH1018" s="48"/>
      <c r="CI1018" s="98"/>
      <c r="CJ1018" s="98"/>
      <c r="CK1018" s="49">
        <f t="shared" si="209"/>
        <v>0.24214082959941755</v>
      </c>
      <c r="CL1018" s="229"/>
      <c r="CM1018" s="229"/>
      <c r="CN1018" s="229"/>
      <c r="CO1018" s="47" t="s">
        <v>2488</v>
      </c>
      <c r="CP1018" s="500" t="s">
        <v>2489</v>
      </c>
      <c r="CQ1018" s="224" t="s">
        <v>272</v>
      </c>
      <c r="CR1018" s="224"/>
      <c r="CS1018" s="230" t="s">
        <v>539</v>
      </c>
      <c r="CT1018" s="230"/>
      <c r="CU1018" s="230"/>
      <c r="CV1018" s="335">
        <f t="shared" si="210"/>
        <v>0.19158849855925447</v>
      </c>
      <c r="CW1018" s="230">
        <f t="shared" si="211"/>
        <v>0</v>
      </c>
      <c r="CX1018" s="336"/>
      <c r="CY1018" s="230" t="s">
        <v>5921</v>
      </c>
    </row>
    <row r="1019" spans="1:103" ht="11.25" customHeight="1" x14ac:dyDescent="0.2">
      <c r="A1019" s="72">
        <v>1444</v>
      </c>
      <c r="B1019" s="224">
        <v>1263</v>
      </c>
      <c r="C1019" s="46" t="s">
        <v>7485</v>
      </c>
      <c r="D1019" s="46" t="s">
        <v>7486</v>
      </c>
      <c r="E1019" s="114"/>
      <c r="F1019" s="114" t="s">
        <v>3466</v>
      </c>
      <c r="G1019" s="225">
        <v>84087014</v>
      </c>
      <c r="H1019" s="47" t="s">
        <v>3467</v>
      </c>
      <c r="I1019" s="47" t="s">
        <v>8152</v>
      </c>
      <c r="J1019" s="47" t="s">
        <v>3468</v>
      </c>
      <c r="K1019" s="47" t="s">
        <v>1958</v>
      </c>
      <c r="L1019" s="47" t="s">
        <v>6033</v>
      </c>
      <c r="M1019" s="47" t="s">
        <v>6082</v>
      </c>
      <c r="N1019" s="47"/>
      <c r="O1019" s="47" t="s">
        <v>6083</v>
      </c>
      <c r="P1019" s="53"/>
      <c r="Q1019" s="53"/>
      <c r="R1019" s="53"/>
      <c r="S1019" s="53"/>
      <c r="T1019" s="48">
        <v>242.06</v>
      </c>
      <c r="U1019" s="98">
        <v>6.5000000000000002E-2</v>
      </c>
      <c r="V1019" s="98">
        <v>76.02</v>
      </c>
      <c r="W1019" s="98">
        <v>142.53549521537383</v>
      </c>
      <c r="X1019" s="98">
        <v>6.5000000000000002E-2</v>
      </c>
      <c r="Y1019" s="233">
        <v>3.39</v>
      </c>
      <c r="Z1019" s="48">
        <v>2.97</v>
      </c>
      <c r="AA1019" s="48"/>
      <c r="AB1019" s="48">
        <v>3.12</v>
      </c>
      <c r="AC1019" s="48">
        <v>0.62870000000000004</v>
      </c>
      <c r="AD1019" s="48">
        <v>2.7</v>
      </c>
      <c r="AE1019" s="48">
        <v>2.11</v>
      </c>
      <c r="AF1019" s="48">
        <f t="shared" si="212"/>
        <v>2.7</v>
      </c>
      <c r="AG1019" s="49">
        <v>3.09</v>
      </c>
      <c r="AH1019" s="98">
        <v>7.6100000000000001E-12</v>
      </c>
      <c r="AI1019" s="98"/>
      <c r="AJ1019" s="483">
        <f t="shared" si="214"/>
        <v>-9.5071816695420797</v>
      </c>
      <c r="AK1019" s="483"/>
      <c r="AL1019" s="483">
        <f t="shared" si="213"/>
        <v>-9.5071816695420797</v>
      </c>
      <c r="AM1019" s="483">
        <v>-12.59633</v>
      </c>
      <c r="AN1019" s="226">
        <v>-9.61</v>
      </c>
      <c r="AO1019" s="484">
        <v>-3.26</v>
      </c>
      <c r="AP1019" s="484">
        <v>3.05</v>
      </c>
      <c r="AQ1019" s="48" t="s">
        <v>6311</v>
      </c>
      <c r="AR1019" s="48" t="s">
        <v>6311</v>
      </c>
      <c r="AS1019" s="227"/>
      <c r="AT1019" s="50" t="s">
        <v>266</v>
      </c>
      <c r="AU1019" s="48">
        <v>6</v>
      </c>
      <c r="AV1019" s="48">
        <v>120</v>
      </c>
      <c r="AW1019" s="48">
        <v>114</v>
      </c>
      <c r="AX1019" s="48">
        <v>28</v>
      </c>
      <c r="AY1019" s="48" t="s">
        <v>8728</v>
      </c>
      <c r="AZ1019" s="48" t="s">
        <v>1563</v>
      </c>
      <c r="BA1019" s="48">
        <v>32</v>
      </c>
      <c r="BB1019" s="47" t="s">
        <v>2485</v>
      </c>
      <c r="BC1019" s="47" t="s">
        <v>8726</v>
      </c>
      <c r="BD1019" s="47" t="s">
        <v>8374</v>
      </c>
      <c r="BE1019" s="48" t="s">
        <v>2449</v>
      </c>
      <c r="BF1019" s="48" t="s">
        <v>272</v>
      </c>
      <c r="BG1019" s="48" t="s">
        <v>272</v>
      </c>
      <c r="BH1019" s="48" t="s">
        <v>2486</v>
      </c>
      <c r="BI1019" s="98">
        <v>1.5491839999999999E-3</v>
      </c>
      <c r="BJ1019" s="98">
        <v>15.49184</v>
      </c>
      <c r="BK1019" s="48"/>
      <c r="BL1019" s="487">
        <v>26.752602023323405</v>
      </c>
      <c r="BM1019" s="47" t="s">
        <v>2487</v>
      </c>
      <c r="BN1019" s="48"/>
      <c r="BO1019" s="48"/>
      <c r="BP1019" s="48"/>
      <c r="BQ1019" s="48"/>
      <c r="BR1019" s="47" t="e">
        <v>#VALUE!</v>
      </c>
      <c r="BS1019" s="48"/>
      <c r="BT1019" s="48"/>
      <c r="BU1019" s="228">
        <v>1.549184E-2</v>
      </c>
      <c r="BV1019" s="48"/>
      <c r="BW1019" s="48"/>
      <c r="BX1019" s="48"/>
      <c r="BY1019" s="48"/>
      <c r="BZ1019" s="48"/>
      <c r="CA1019" s="48"/>
      <c r="CB1019" s="48"/>
      <c r="CC1019" s="48"/>
      <c r="CD1019" s="48"/>
      <c r="CE1019" s="48"/>
      <c r="CF1019" s="48"/>
      <c r="CG1019" s="48"/>
      <c r="CH1019" s="48"/>
      <c r="CI1019" s="98"/>
      <c r="CJ1019" s="98"/>
      <c r="CK1019" s="49">
        <f t="shared" si="209"/>
        <v>1.7268834446601182</v>
      </c>
      <c r="CL1019" s="229"/>
      <c r="CM1019" s="229"/>
      <c r="CN1019" s="229"/>
      <c r="CO1019" s="47" t="s">
        <v>2488</v>
      </c>
      <c r="CP1019" s="500" t="s">
        <v>2489</v>
      </c>
      <c r="CQ1019" s="224">
        <v>1.4996870826184039</v>
      </c>
      <c r="CR1019" s="224">
        <f>10^(CJ1019-CQ1019)</f>
        <v>3.1645569620253153E-2</v>
      </c>
      <c r="CS1019" s="230" t="s">
        <v>539</v>
      </c>
      <c r="CT1019" s="230"/>
      <c r="CU1019" s="230"/>
      <c r="CV1019" s="335">
        <f t="shared" si="210"/>
        <v>4.1957572502685286E-3</v>
      </c>
      <c r="CW1019" s="230">
        <f t="shared" si="211"/>
        <v>0</v>
      </c>
      <c r="CX1019" s="336"/>
      <c r="CY1019" s="230" t="s">
        <v>5921</v>
      </c>
    </row>
    <row r="1020" spans="1:103" ht="11.25" customHeight="1" x14ac:dyDescent="0.2">
      <c r="A1020" s="72">
        <v>1445</v>
      </c>
      <c r="B1020" s="224">
        <v>1145</v>
      </c>
      <c r="C1020" s="46" t="s">
        <v>6645</v>
      </c>
      <c r="D1020" s="46"/>
      <c r="E1020" s="114"/>
      <c r="F1020" s="114" t="s">
        <v>1236</v>
      </c>
      <c r="G1020" s="225">
        <v>85509199</v>
      </c>
      <c r="H1020" s="47" t="s">
        <v>1237</v>
      </c>
      <c r="I1020" s="47" t="s">
        <v>1237</v>
      </c>
      <c r="J1020" s="47" t="s">
        <v>1238</v>
      </c>
      <c r="K1020" s="47" t="s">
        <v>1112</v>
      </c>
      <c r="L1020" s="47"/>
      <c r="M1020" s="47" t="s">
        <v>5992</v>
      </c>
      <c r="N1020" s="47"/>
      <c r="O1020" s="47"/>
      <c r="P1020" s="53"/>
      <c r="Q1020" s="53"/>
      <c r="R1020" s="53"/>
      <c r="S1020" s="53"/>
      <c r="T1020" s="48">
        <v>315.39</v>
      </c>
      <c r="U1020" s="98">
        <v>54</v>
      </c>
      <c r="V1020" s="98">
        <v>6.9019999999999992</v>
      </c>
      <c r="W1020" s="98">
        <v>14.416104412263529</v>
      </c>
      <c r="X1020" s="98">
        <v>54</v>
      </c>
      <c r="Y1020" s="233">
        <v>7.02</v>
      </c>
      <c r="Z1020" s="48">
        <v>4.8899999999999997</v>
      </c>
      <c r="AA1020" s="48">
        <v>3.7</v>
      </c>
      <c r="AB1020" s="48">
        <v>4.1399999999999997</v>
      </c>
      <c r="AC1020" s="48">
        <v>0.87539999999999996</v>
      </c>
      <c r="AD1020" s="48">
        <v>4.09</v>
      </c>
      <c r="AE1020" s="48">
        <v>3.84</v>
      </c>
      <c r="AF1020" s="48">
        <f t="shared" si="212"/>
        <v>3.7</v>
      </c>
      <c r="AG1020" s="49">
        <v>4.09</v>
      </c>
      <c r="AH1020" s="98">
        <v>5.06E-7</v>
      </c>
      <c r="AI1020" s="98"/>
      <c r="AJ1020" s="483">
        <f t="shared" si="214"/>
        <v>-4.6844158094728527</v>
      </c>
      <c r="AK1020" s="483"/>
      <c r="AL1020" s="483">
        <f t="shared" si="213"/>
        <v>-4.6844158094728527</v>
      </c>
      <c r="AM1020" s="483">
        <v>-10.404159999999997</v>
      </c>
      <c r="AN1020" s="226">
        <v>-6.16</v>
      </c>
      <c r="AO1020" s="484"/>
      <c r="AP1020" s="484">
        <v>2.91</v>
      </c>
      <c r="AQ1020" s="48" t="s">
        <v>6311</v>
      </c>
      <c r="AR1020" s="48" t="s">
        <v>6311</v>
      </c>
      <c r="AS1020" s="227"/>
      <c r="AT1020" s="50" t="s">
        <v>266</v>
      </c>
      <c r="AU1020" s="48">
        <v>6</v>
      </c>
      <c r="AV1020" s="48">
        <v>120</v>
      </c>
      <c r="AW1020" s="48">
        <v>114</v>
      </c>
      <c r="AX1020" s="48">
        <v>28</v>
      </c>
      <c r="AY1020" s="48" t="s">
        <v>8728</v>
      </c>
      <c r="AZ1020" s="48" t="s">
        <v>1563</v>
      </c>
      <c r="BA1020" s="48">
        <v>32</v>
      </c>
      <c r="BB1020" s="47" t="s">
        <v>2485</v>
      </c>
      <c r="BC1020" s="47" t="s">
        <v>8726</v>
      </c>
      <c r="BD1020" s="47" t="s">
        <v>8374</v>
      </c>
      <c r="BE1020" s="48" t="s">
        <v>2449</v>
      </c>
      <c r="BF1020" s="48" t="s">
        <v>272</v>
      </c>
      <c r="BG1020" s="48" t="s">
        <v>272</v>
      </c>
      <c r="BH1020" s="48" t="s">
        <v>2486</v>
      </c>
      <c r="BI1020" s="98">
        <v>2.0184959999999998E-3</v>
      </c>
      <c r="BJ1020" s="98">
        <v>20.18496</v>
      </c>
      <c r="BK1020" s="48"/>
      <c r="BL1020" s="487">
        <v>0.65756534830120184</v>
      </c>
      <c r="BM1020" s="47" t="s">
        <v>2487</v>
      </c>
      <c r="BN1020" s="48"/>
      <c r="BO1020" s="48"/>
      <c r="BP1020" s="48"/>
      <c r="BQ1020" s="48"/>
      <c r="BR1020" s="47" t="e">
        <v>#VALUE!</v>
      </c>
      <c r="BS1020" s="48"/>
      <c r="BT1020" s="48"/>
      <c r="BU1020" s="228">
        <v>2.0184959999999998E-2</v>
      </c>
      <c r="BV1020" s="48"/>
      <c r="BW1020" s="48"/>
      <c r="BX1020" s="48"/>
      <c r="BY1020" s="48"/>
      <c r="BZ1020" s="48"/>
      <c r="CA1020" s="48"/>
      <c r="CB1020" s="48"/>
      <c r="CC1020" s="48"/>
      <c r="CD1020" s="48"/>
      <c r="CE1020" s="48"/>
      <c r="CF1020" s="48"/>
      <c r="CG1020" s="48"/>
      <c r="CH1020" s="48"/>
      <c r="CI1020" s="98"/>
      <c r="CJ1020" s="98"/>
      <c r="CK1020" s="49">
        <f t="shared" si="209"/>
        <v>3.257699536195275E-2</v>
      </c>
      <c r="CL1020" s="229"/>
      <c r="CM1020" s="229"/>
      <c r="CN1020" s="229"/>
      <c r="CO1020" s="47" t="s">
        <v>2488</v>
      </c>
      <c r="CP1020" s="500" t="s">
        <v>2489</v>
      </c>
      <c r="CQ1020" s="224" t="s">
        <v>272</v>
      </c>
      <c r="CR1020" s="224"/>
      <c r="CS1020" s="230" t="s">
        <v>539</v>
      </c>
      <c r="CT1020" s="230"/>
      <c r="CU1020" s="230"/>
      <c r="CV1020" s="335">
        <f t="shared" si="210"/>
        <v>2.6752592028916578</v>
      </c>
      <c r="CW1020" s="230">
        <f t="shared" si="211"/>
        <v>1</v>
      </c>
      <c r="CX1020" s="336"/>
      <c r="CY1020" s="230" t="s">
        <v>5921</v>
      </c>
    </row>
    <row r="1021" spans="1:103" ht="11.25" customHeight="1" x14ac:dyDescent="0.2">
      <c r="A1021" s="72">
        <v>1446</v>
      </c>
      <c r="B1021" s="224">
        <v>1199</v>
      </c>
      <c r="C1021" s="46" t="s">
        <v>7487</v>
      </c>
      <c r="D1021" s="46"/>
      <c r="E1021" s="114"/>
      <c r="F1021" s="114" t="s">
        <v>3307</v>
      </c>
      <c r="G1021" s="225">
        <v>85532758</v>
      </c>
      <c r="H1021" s="47" t="s">
        <v>3308</v>
      </c>
      <c r="I1021" s="47" t="s">
        <v>7766</v>
      </c>
      <c r="J1021" s="47" t="s">
        <v>3309</v>
      </c>
      <c r="K1021" s="47" t="s">
        <v>1594</v>
      </c>
      <c r="L1021" s="47"/>
      <c r="M1021" s="47"/>
      <c r="N1021" s="47"/>
      <c r="O1021" s="47"/>
      <c r="P1021" s="53"/>
      <c r="Q1021" s="53"/>
      <c r="R1021" s="53"/>
      <c r="S1021" s="53"/>
      <c r="T1021" s="48">
        <v>308.37</v>
      </c>
      <c r="U1021" s="98"/>
      <c r="V1021" s="98">
        <v>4.2919999999999998</v>
      </c>
      <c r="W1021" s="98">
        <v>158.15106498141711</v>
      </c>
      <c r="X1021" s="98">
        <v>158.15106498141711</v>
      </c>
      <c r="Y1021" s="233">
        <v>5</v>
      </c>
      <c r="Z1021" s="48">
        <v>4.45</v>
      </c>
      <c r="AA1021" s="48"/>
      <c r="AB1021" s="48">
        <v>3.7</v>
      </c>
      <c r="AC1021" s="48">
        <v>0.69779999999999998</v>
      </c>
      <c r="AD1021" s="48">
        <v>3.71</v>
      </c>
      <c r="AE1021" s="48">
        <v>3.71</v>
      </c>
      <c r="AF1021" s="48">
        <f t="shared" si="212"/>
        <v>3.71</v>
      </c>
      <c r="AG1021" s="49">
        <v>3.85</v>
      </c>
      <c r="AH1021" s="98">
        <v>3.6500000000000002E-14</v>
      </c>
      <c r="AI1021" s="98"/>
      <c r="AJ1021" s="483">
        <f t="shared" si="214"/>
        <v>-11.826273461856177</v>
      </c>
      <c r="AK1021" s="483"/>
      <c r="AL1021" s="483">
        <f t="shared" si="213"/>
        <v>-11.826273461856177</v>
      </c>
      <c r="AM1021" s="483">
        <v>-15.981399999999999</v>
      </c>
      <c r="AN1021" s="226">
        <v>-14.1</v>
      </c>
      <c r="AO1021" s="484">
        <v>4.7300000000000004</v>
      </c>
      <c r="AP1021" s="484">
        <v>5.23</v>
      </c>
      <c r="AQ1021" s="48" t="s">
        <v>6311</v>
      </c>
      <c r="AR1021" s="48" t="s">
        <v>6311</v>
      </c>
      <c r="AS1021" s="227"/>
      <c r="AT1021" s="50" t="s">
        <v>266</v>
      </c>
      <c r="AU1021" s="48">
        <v>6</v>
      </c>
      <c r="AV1021" s="48">
        <v>120</v>
      </c>
      <c r="AW1021" s="48">
        <v>114</v>
      </c>
      <c r="AX1021" s="48">
        <v>28</v>
      </c>
      <c r="AY1021" s="48" t="s">
        <v>8728</v>
      </c>
      <c r="AZ1021" s="48" t="s">
        <v>1563</v>
      </c>
      <c r="BA1021" s="48">
        <v>32</v>
      </c>
      <c r="BB1021" s="47" t="s">
        <v>2485</v>
      </c>
      <c r="BC1021" s="47" t="s">
        <v>8726</v>
      </c>
      <c r="BD1021" s="47" t="s">
        <v>8374</v>
      </c>
      <c r="BE1021" s="48" t="s">
        <v>2449</v>
      </c>
      <c r="BF1021" s="48" t="s">
        <v>272</v>
      </c>
      <c r="BG1021" s="48" t="s">
        <v>272</v>
      </c>
      <c r="BH1021" s="48" t="s">
        <v>2486</v>
      </c>
      <c r="BI1021" s="98">
        <v>1.9735679999999998E-3</v>
      </c>
      <c r="BJ1021" s="98">
        <v>19.735680000000002</v>
      </c>
      <c r="BK1021" s="48"/>
      <c r="BL1021" s="487">
        <v>1.5970816536221772</v>
      </c>
      <c r="BM1021" s="47" t="s">
        <v>2487</v>
      </c>
      <c r="BN1021" s="48"/>
      <c r="BO1021" s="48"/>
      <c r="BP1021" s="48"/>
      <c r="BQ1021" s="48"/>
      <c r="BR1021" s="47" t="e">
        <v>#VALUE!</v>
      </c>
      <c r="BS1021" s="48"/>
      <c r="BT1021" s="48"/>
      <c r="BU1021" s="228">
        <v>1.2643169999999998E-3</v>
      </c>
      <c r="BV1021" s="48"/>
      <c r="BW1021" s="48"/>
      <c r="BX1021" s="48"/>
      <c r="BY1021" s="48"/>
      <c r="BZ1021" s="48"/>
      <c r="CA1021" s="48"/>
      <c r="CB1021" s="48"/>
      <c r="CC1021" s="48"/>
      <c r="CD1021" s="48"/>
      <c r="CE1021" s="48"/>
      <c r="CF1021" s="48"/>
      <c r="CG1021" s="48"/>
      <c r="CH1021" s="48"/>
      <c r="CI1021" s="98"/>
      <c r="CJ1021" s="98"/>
      <c r="CK1021" s="49">
        <f t="shared" ref="CK1021:CK1052" si="215">BL1021/BJ1021</f>
        <v>8.0923568563240636E-2</v>
      </c>
      <c r="CL1021" s="229"/>
      <c r="CM1021" s="229"/>
      <c r="CN1021" s="229"/>
      <c r="CO1021" s="47" t="s">
        <v>2488</v>
      </c>
      <c r="CP1021" s="500" t="s">
        <v>2489</v>
      </c>
      <c r="CQ1021" s="224" t="s">
        <v>272</v>
      </c>
      <c r="CR1021" s="224"/>
      <c r="CS1021" s="230" t="s">
        <v>539</v>
      </c>
      <c r="CT1021" s="230"/>
      <c r="CU1021" s="230"/>
      <c r="CV1021" s="335">
        <f t="shared" ref="CV1021:CV1052" si="216">X1021/BJ1021</f>
        <v>8.0134591248650722</v>
      </c>
      <c r="CW1021" s="230">
        <f t="shared" ref="CW1021:CW1052" si="217">IF(CV1021&lt;1,0,1)</f>
        <v>1</v>
      </c>
      <c r="CX1021" s="336"/>
      <c r="CY1021" s="230" t="s">
        <v>5921</v>
      </c>
    </row>
    <row r="1022" spans="1:103" ht="11.25" customHeight="1" x14ac:dyDescent="0.2">
      <c r="A1022" s="72">
        <v>1447</v>
      </c>
      <c r="B1022" s="224">
        <v>1139</v>
      </c>
      <c r="C1022" s="46" t="s">
        <v>7488</v>
      </c>
      <c r="D1022" s="46"/>
      <c r="E1022" s="114"/>
      <c r="F1022" s="114" t="s">
        <v>3170</v>
      </c>
      <c r="G1022" s="225">
        <v>86386734</v>
      </c>
      <c r="H1022" s="47" t="s">
        <v>3171</v>
      </c>
      <c r="I1022" s="47" t="s">
        <v>3171</v>
      </c>
      <c r="J1022" s="47" t="s">
        <v>3172</v>
      </c>
      <c r="K1022" s="47" t="s">
        <v>1265</v>
      </c>
      <c r="L1022" s="47" t="s">
        <v>279</v>
      </c>
      <c r="M1022" s="47" t="s">
        <v>8526</v>
      </c>
      <c r="N1022" s="47"/>
      <c r="O1022" s="47" t="s">
        <v>281</v>
      </c>
      <c r="P1022" s="53"/>
      <c r="Q1022" s="53"/>
      <c r="R1022" s="53"/>
      <c r="S1022" s="53"/>
      <c r="T1022" s="48">
        <v>306.27</v>
      </c>
      <c r="U1022" s="98"/>
      <c r="V1022" s="98">
        <v>13660</v>
      </c>
      <c r="W1022" s="98">
        <v>227.04108760323192</v>
      </c>
      <c r="X1022" s="98">
        <v>227.04108760323192</v>
      </c>
      <c r="Y1022" s="233">
        <v>7.1</v>
      </c>
      <c r="Z1022" s="48">
        <v>0.25</v>
      </c>
      <c r="AA1022" s="48">
        <v>0.5</v>
      </c>
      <c r="AB1022" s="48">
        <v>0.75</v>
      </c>
      <c r="AC1022" s="48">
        <v>0.81230000000000002</v>
      </c>
      <c r="AD1022" s="48">
        <v>0.7</v>
      </c>
      <c r="AE1022" s="48">
        <v>0.5</v>
      </c>
      <c r="AF1022" s="48">
        <f t="shared" si="212"/>
        <v>0.5</v>
      </c>
      <c r="AG1022" s="49">
        <v>1.05</v>
      </c>
      <c r="AH1022" s="98">
        <v>1.0199999999999999E-13</v>
      </c>
      <c r="AI1022" s="98"/>
      <c r="AJ1022" s="483">
        <f t="shared" si="214"/>
        <v>-11.379966154550734</v>
      </c>
      <c r="AK1022" s="483"/>
      <c r="AL1022" s="483">
        <f t="shared" si="213"/>
        <v>-11.379966154550734</v>
      </c>
      <c r="AM1022" s="483">
        <v>-17.579650000000001</v>
      </c>
      <c r="AN1022" s="226">
        <v>-11.9</v>
      </c>
      <c r="AO1022" s="484">
        <v>11.01</v>
      </c>
      <c r="AP1022" s="484">
        <v>2.94</v>
      </c>
      <c r="AQ1022" s="48" t="s">
        <v>6311</v>
      </c>
      <c r="AR1022" s="48" t="s">
        <v>6311</v>
      </c>
      <c r="AS1022" s="227"/>
      <c r="AT1022" s="50" t="s">
        <v>266</v>
      </c>
      <c r="AU1022" s="48">
        <v>6</v>
      </c>
      <c r="AV1022" s="48">
        <v>120</v>
      </c>
      <c r="AW1022" s="48">
        <v>114</v>
      </c>
      <c r="AX1022" s="48">
        <v>28</v>
      </c>
      <c r="AY1022" s="48" t="s">
        <v>8728</v>
      </c>
      <c r="AZ1022" s="48" t="s">
        <v>1563</v>
      </c>
      <c r="BA1022" s="48">
        <v>32</v>
      </c>
      <c r="BB1022" s="47" t="s">
        <v>2485</v>
      </c>
      <c r="BC1022" s="47" t="s">
        <v>8726</v>
      </c>
      <c r="BD1022" s="47" t="s">
        <v>8374</v>
      </c>
      <c r="BE1022" s="48" t="s">
        <v>2449</v>
      </c>
      <c r="BF1022" s="48" t="s">
        <v>272</v>
      </c>
      <c r="BG1022" s="48" t="s">
        <v>272</v>
      </c>
      <c r="BH1022" s="48" t="s">
        <v>2486</v>
      </c>
      <c r="BI1022" s="98">
        <v>1.9601279999999998E-3</v>
      </c>
      <c r="BJ1022" s="98">
        <v>19.601279999999999</v>
      </c>
      <c r="BK1022" s="48"/>
      <c r="BL1022" s="487">
        <v>9383.8154617520395</v>
      </c>
      <c r="BM1022" s="47" t="s">
        <v>2487</v>
      </c>
      <c r="BN1022" s="48"/>
      <c r="BO1022" s="48"/>
      <c r="BP1022" s="48"/>
      <c r="BQ1022" s="48"/>
      <c r="BR1022" s="47" t="e">
        <v>#VALUE!</v>
      </c>
      <c r="BS1022" s="48"/>
      <c r="BT1022" s="48"/>
      <c r="BU1022" s="228">
        <v>0.19601280000000001</v>
      </c>
      <c r="BV1022" s="48"/>
      <c r="BW1022" s="48"/>
      <c r="BX1022" s="48"/>
      <c r="BY1022" s="48"/>
      <c r="BZ1022" s="48"/>
      <c r="CA1022" s="48"/>
      <c r="CB1022" s="48"/>
      <c r="CC1022" s="48"/>
      <c r="CD1022" s="48"/>
      <c r="CE1022" s="48"/>
      <c r="CF1022" s="48"/>
      <c r="CG1022" s="48"/>
      <c r="CH1022" s="48"/>
      <c r="CI1022" s="98"/>
      <c r="CJ1022" s="98"/>
      <c r="CK1022" s="49">
        <f t="shared" si="215"/>
        <v>478.73483067187652</v>
      </c>
      <c r="CL1022" s="229"/>
      <c r="CM1022" s="229"/>
      <c r="CN1022" s="229"/>
      <c r="CO1022" s="47" t="s">
        <v>2488</v>
      </c>
      <c r="CP1022" s="500" t="s">
        <v>2489</v>
      </c>
      <c r="CQ1022" s="224" t="s">
        <v>272</v>
      </c>
      <c r="CR1022" s="224"/>
      <c r="CS1022" s="230" t="s">
        <v>539</v>
      </c>
      <c r="CT1022" s="230"/>
      <c r="CU1022" s="230"/>
      <c r="CV1022" s="335">
        <f t="shared" si="216"/>
        <v>11.582972520326832</v>
      </c>
      <c r="CW1022" s="230">
        <f t="shared" si="217"/>
        <v>1</v>
      </c>
      <c r="CX1022" s="336"/>
      <c r="CY1022" s="230" t="s">
        <v>5921</v>
      </c>
    </row>
    <row r="1023" spans="1:103" ht="11.25" customHeight="1" x14ac:dyDescent="0.2">
      <c r="A1023" s="72">
        <v>1448</v>
      </c>
      <c r="B1023" s="224">
        <v>1142</v>
      </c>
      <c r="C1023" s="46" t="s">
        <v>6647</v>
      </c>
      <c r="D1023" s="46"/>
      <c r="E1023" s="114"/>
      <c r="F1023" s="114" t="s">
        <v>1218</v>
      </c>
      <c r="G1023" s="225">
        <v>87546187</v>
      </c>
      <c r="H1023" s="47" t="s">
        <v>1219</v>
      </c>
      <c r="I1023" s="47" t="s">
        <v>8153</v>
      </c>
      <c r="J1023" s="47" t="s">
        <v>1220</v>
      </c>
      <c r="K1023" s="47" t="s">
        <v>1221</v>
      </c>
      <c r="L1023" s="47" t="s">
        <v>5988</v>
      </c>
      <c r="M1023" s="47" t="s">
        <v>6082</v>
      </c>
      <c r="N1023" s="47"/>
      <c r="O1023" s="47" t="s">
        <v>6083</v>
      </c>
      <c r="P1023" s="53"/>
      <c r="Q1023" s="53"/>
      <c r="R1023" s="53"/>
      <c r="S1023" s="53"/>
      <c r="T1023" s="48">
        <v>423.86</v>
      </c>
      <c r="U1023" s="98">
        <v>0.189</v>
      </c>
      <c r="V1023" s="98">
        <v>0.1191</v>
      </c>
      <c r="W1023" s="98">
        <v>9.2730464192725542E-2</v>
      </c>
      <c r="X1023" s="98">
        <v>0.189</v>
      </c>
      <c r="Y1023" s="233">
        <v>7</v>
      </c>
      <c r="Z1023" s="48">
        <v>4.95</v>
      </c>
      <c r="AA1023" s="48">
        <v>4.99</v>
      </c>
      <c r="AB1023" s="48">
        <v>5.05</v>
      </c>
      <c r="AC1023" s="48">
        <v>0.73470000000000002</v>
      </c>
      <c r="AD1023" s="48">
        <v>4.87</v>
      </c>
      <c r="AE1023" s="48">
        <v>4.2699999999999996</v>
      </c>
      <c r="AF1023" s="48">
        <f t="shared" si="212"/>
        <v>4.99</v>
      </c>
      <c r="AG1023" s="49">
        <v>3.98</v>
      </c>
      <c r="AH1023" s="98">
        <v>1.6699999999999999E-10</v>
      </c>
      <c r="AI1023" s="98"/>
      <c r="AJ1023" s="483">
        <f t="shared" si="214"/>
        <v>-8.1658498551650691</v>
      </c>
      <c r="AK1023" s="483"/>
      <c r="AL1023" s="483">
        <f t="shared" si="213"/>
        <v>-8.1658498551650691</v>
      </c>
      <c r="AM1023" s="483">
        <v>-15.96363</v>
      </c>
      <c r="AN1023" s="226">
        <v>-8.93</v>
      </c>
      <c r="AO1023" s="484"/>
      <c r="AP1023" s="484">
        <v>-2.3199999999999998</v>
      </c>
      <c r="AQ1023" s="48" t="s">
        <v>6311</v>
      </c>
      <c r="AR1023" s="48" t="s">
        <v>6314</v>
      </c>
      <c r="AS1023" s="227"/>
      <c r="AT1023" s="50" t="s">
        <v>266</v>
      </c>
      <c r="AU1023" s="48">
        <v>6</v>
      </c>
      <c r="AV1023" s="48">
        <v>120</v>
      </c>
      <c r="AW1023" s="48">
        <v>114</v>
      </c>
      <c r="AX1023" s="48">
        <v>28</v>
      </c>
      <c r="AY1023" s="48" t="s">
        <v>8728</v>
      </c>
      <c r="AZ1023" s="48" t="s">
        <v>1563</v>
      </c>
      <c r="BA1023" s="48">
        <v>32</v>
      </c>
      <c r="BB1023" s="47" t="s">
        <v>2485</v>
      </c>
      <c r="BC1023" s="47" t="s">
        <v>8726</v>
      </c>
      <c r="BD1023" s="47" t="s">
        <v>8374</v>
      </c>
      <c r="BE1023" s="48" t="s">
        <v>2449</v>
      </c>
      <c r="BF1023" s="48" t="s">
        <v>272</v>
      </c>
      <c r="BG1023" s="48" t="s">
        <v>272</v>
      </c>
      <c r="BH1023" s="48" t="s">
        <v>2486</v>
      </c>
      <c r="BI1023" s="98">
        <v>2.7127039999999998E-3</v>
      </c>
      <c r="BJ1023" s="98">
        <v>27.127040000000001</v>
      </c>
      <c r="BK1023" s="48"/>
      <c r="BL1023" s="487">
        <v>0.78059799922281659</v>
      </c>
      <c r="BM1023" s="47" t="s">
        <v>2487</v>
      </c>
      <c r="BN1023" s="48"/>
      <c r="BO1023" s="48"/>
      <c r="BP1023" s="48"/>
      <c r="BQ1023" s="48"/>
      <c r="BR1023" s="47" t="e">
        <v>#VALUE!</v>
      </c>
      <c r="BS1023" s="48"/>
      <c r="BT1023" s="48"/>
      <c r="BU1023" s="228">
        <v>2.7127039999999998E-2</v>
      </c>
      <c r="BV1023" s="48"/>
      <c r="BW1023" s="48"/>
      <c r="BX1023" s="48"/>
      <c r="BY1023" s="48"/>
      <c r="BZ1023" s="48"/>
      <c r="CA1023" s="48"/>
      <c r="CB1023" s="48"/>
      <c r="CC1023" s="48"/>
      <c r="CD1023" s="48"/>
      <c r="CE1023" s="48"/>
      <c r="CF1023" s="48"/>
      <c r="CG1023" s="48"/>
      <c r="CH1023" s="48"/>
      <c r="CI1023" s="98"/>
      <c r="CJ1023" s="98"/>
      <c r="CK1023" s="49">
        <f t="shared" si="215"/>
        <v>2.8775642282490702E-2</v>
      </c>
      <c r="CL1023" s="229"/>
      <c r="CM1023" s="229"/>
      <c r="CN1023" s="229"/>
      <c r="CO1023" s="47" t="s">
        <v>2488</v>
      </c>
      <c r="CP1023" s="500" t="s">
        <v>2489</v>
      </c>
      <c r="CQ1023" s="224" t="s">
        <v>272</v>
      </c>
      <c r="CR1023" s="224"/>
      <c r="CS1023" s="230" t="s">
        <v>539</v>
      </c>
      <c r="CT1023" s="230"/>
      <c r="CU1023" s="230"/>
      <c r="CV1023" s="335">
        <f t="shared" si="216"/>
        <v>6.9672179493228898E-3</v>
      </c>
      <c r="CW1023" s="230">
        <f t="shared" si="217"/>
        <v>0</v>
      </c>
      <c r="CX1023" s="336"/>
      <c r="CY1023" s="230" t="s">
        <v>5921</v>
      </c>
    </row>
    <row r="1024" spans="1:103" ht="11.25" customHeight="1" x14ac:dyDescent="0.2">
      <c r="A1024" s="72">
        <v>1450</v>
      </c>
      <c r="B1024" s="224">
        <v>1065</v>
      </c>
      <c r="C1024" s="46" t="s">
        <v>7489</v>
      </c>
      <c r="D1024" s="46"/>
      <c r="E1024" s="114"/>
      <c r="F1024" s="114" t="s">
        <v>2996</v>
      </c>
      <c r="G1024" s="225">
        <v>87818313</v>
      </c>
      <c r="H1024" s="47" t="s">
        <v>2997</v>
      </c>
      <c r="I1024" s="47" t="s">
        <v>2997</v>
      </c>
      <c r="J1024" s="47" t="s">
        <v>2998</v>
      </c>
      <c r="K1024" s="47" t="s">
        <v>426</v>
      </c>
      <c r="L1024" s="47"/>
      <c r="M1024" s="47"/>
      <c r="N1024" s="47"/>
      <c r="O1024" s="47"/>
      <c r="P1024" s="53"/>
      <c r="Q1024" s="53"/>
      <c r="R1024" s="53"/>
      <c r="S1024" s="53"/>
      <c r="T1024" s="48">
        <v>274.39999999999998</v>
      </c>
      <c r="U1024" s="98">
        <v>63.000000000000007</v>
      </c>
      <c r="V1024" s="98">
        <v>1.9550000000000001</v>
      </c>
      <c r="W1024" s="98">
        <v>23.355227768273167</v>
      </c>
      <c r="X1024" s="98">
        <v>63.000000000000007</v>
      </c>
      <c r="Y1024" s="233">
        <v>7</v>
      </c>
      <c r="Z1024" s="48">
        <v>4.55</v>
      </c>
      <c r="AA1024" s="48">
        <v>4.62</v>
      </c>
      <c r="AB1024" s="48">
        <v>4.07</v>
      </c>
      <c r="AC1024" s="48">
        <v>0.71719999999999995</v>
      </c>
      <c r="AD1024" s="48">
        <v>4.2699999999999996</v>
      </c>
      <c r="AE1024" s="48">
        <v>4.6100000000000003</v>
      </c>
      <c r="AF1024" s="48">
        <f t="shared" si="212"/>
        <v>4.62</v>
      </c>
      <c r="AG1024" s="49">
        <v>3.96</v>
      </c>
      <c r="AH1024" s="98">
        <v>2.1199999999999999E-7</v>
      </c>
      <c r="AI1024" s="98">
        <v>4.34E-7</v>
      </c>
      <c r="AJ1024" s="483">
        <f t="shared" si="214"/>
        <v>-5.0622304653839008</v>
      </c>
      <c r="AK1024" s="483">
        <f>LOG10(AI1024*1000/(0.08206*298.15))</f>
        <v>-4.7510765968001412</v>
      </c>
      <c r="AL1024" s="483">
        <f t="shared" si="213"/>
        <v>-4.7510765968001412</v>
      </c>
      <c r="AM1024" s="483">
        <v>-7.2987899999999994</v>
      </c>
      <c r="AN1024" s="226">
        <v>-4.68</v>
      </c>
      <c r="AO1024" s="484"/>
      <c r="AP1024" s="484"/>
      <c r="AQ1024" s="48" t="s">
        <v>6311</v>
      </c>
      <c r="AR1024" s="48" t="s">
        <v>6311</v>
      </c>
      <c r="AS1024" s="227"/>
      <c r="AT1024" s="50" t="s">
        <v>266</v>
      </c>
      <c r="AU1024" s="48">
        <v>6</v>
      </c>
      <c r="AV1024" s="48">
        <v>120</v>
      </c>
      <c r="AW1024" s="48">
        <v>114</v>
      </c>
      <c r="AX1024" s="48">
        <v>28</v>
      </c>
      <c r="AY1024" s="48" t="s">
        <v>8728</v>
      </c>
      <c r="AZ1024" s="48" t="s">
        <v>1563</v>
      </c>
      <c r="BA1024" s="48">
        <v>32</v>
      </c>
      <c r="BB1024" s="47" t="s">
        <v>2485</v>
      </c>
      <c r="BC1024" s="47" t="s">
        <v>8726</v>
      </c>
      <c r="BD1024" s="47" t="s">
        <v>8374</v>
      </c>
      <c r="BE1024" s="48" t="s">
        <v>2449</v>
      </c>
      <c r="BF1024" s="48" t="s">
        <v>272</v>
      </c>
      <c r="BG1024" s="48" t="s">
        <v>272</v>
      </c>
      <c r="BH1024" s="48" t="s">
        <v>2486</v>
      </c>
      <c r="BI1024" s="98">
        <v>1.7561599999999999E-3</v>
      </c>
      <c r="BJ1024" s="98">
        <v>17.561599999999999</v>
      </c>
      <c r="BK1024" s="48"/>
      <c r="BL1024" s="487">
        <v>1.1556574066119707</v>
      </c>
      <c r="BM1024" s="47" t="s">
        <v>2487</v>
      </c>
      <c r="BN1024" s="48"/>
      <c r="BO1024" s="48"/>
      <c r="BP1024" s="48"/>
      <c r="BQ1024" s="48"/>
      <c r="BR1024" s="47" t="e">
        <v>#VALUE!</v>
      </c>
      <c r="BS1024" s="48"/>
      <c r="BT1024" s="48"/>
      <c r="BU1024" s="228">
        <v>1.7561599999999999E-3</v>
      </c>
      <c r="BV1024" s="48"/>
      <c r="BW1024" s="48"/>
      <c r="BX1024" s="48"/>
      <c r="BY1024" s="48"/>
      <c r="BZ1024" s="48"/>
      <c r="CA1024" s="48"/>
      <c r="CB1024" s="48"/>
      <c r="CC1024" s="48"/>
      <c r="CD1024" s="48"/>
      <c r="CE1024" s="48"/>
      <c r="CF1024" s="48"/>
      <c r="CG1024" s="48"/>
      <c r="CH1024" s="48"/>
      <c r="CI1024" s="98"/>
      <c r="CJ1024" s="98"/>
      <c r="CK1024" s="49">
        <f t="shared" si="215"/>
        <v>6.5805929221253806E-2</v>
      </c>
      <c r="CL1024" s="229"/>
      <c r="CM1024" s="229"/>
      <c r="CN1024" s="229"/>
      <c r="CO1024" s="47" t="s">
        <v>2488</v>
      </c>
      <c r="CP1024" s="500" t="s">
        <v>2489</v>
      </c>
      <c r="CQ1024" s="224" t="s">
        <v>272</v>
      </c>
      <c r="CR1024" s="224"/>
      <c r="CS1024" s="230" t="s">
        <v>539</v>
      </c>
      <c r="CT1024" s="230"/>
      <c r="CU1024" s="230"/>
      <c r="CV1024" s="335">
        <f t="shared" si="216"/>
        <v>3.5873724489795924</v>
      </c>
      <c r="CW1024" s="230">
        <f t="shared" si="217"/>
        <v>1</v>
      </c>
      <c r="CX1024" s="336"/>
      <c r="CY1024" s="230" t="s">
        <v>5921</v>
      </c>
    </row>
    <row r="1025" spans="1:103" ht="11.25" customHeight="1" x14ac:dyDescent="0.2">
      <c r="A1025" s="72">
        <v>1451</v>
      </c>
      <c r="B1025" s="224">
        <v>1748</v>
      </c>
      <c r="C1025" s="46" t="s">
        <v>1319</v>
      </c>
      <c r="D1025" s="46" t="s">
        <v>6571</v>
      </c>
      <c r="E1025" s="114"/>
      <c r="F1025" s="114" t="s">
        <v>1320</v>
      </c>
      <c r="G1025" s="225">
        <v>88671890</v>
      </c>
      <c r="H1025" s="47" t="s">
        <v>1321</v>
      </c>
      <c r="I1025" s="47" t="s">
        <v>8154</v>
      </c>
      <c r="J1025" s="47" t="s">
        <v>1322</v>
      </c>
      <c r="K1025" s="47" t="s">
        <v>1163</v>
      </c>
      <c r="L1025" s="47" t="s">
        <v>6002</v>
      </c>
      <c r="M1025" s="47" t="s">
        <v>2342</v>
      </c>
      <c r="N1025" s="47" t="s">
        <v>2342</v>
      </c>
      <c r="O1025" s="47"/>
      <c r="P1025" s="53"/>
      <c r="Q1025" s="53"/>
      <c r="R1025" s="53"/>
      <c r="S1025" s="53"/>
      <c r="T1025" s="48">
        <v>288.77999999999997</v>
      </c>
      <c r="U1025" s="98">
        <v>142</v>
      </c>
      <c r="V1025" s="98">
        <v>23.9</v>
      </c>
      <c r="W1025" s="98">
        <v>18.220786193899006</v>
      </c>
      <c r="X1025" s="98">
        <v>142</v>
      </c>
      <c r="Y1025" s="233">
        <v>7</v>
      </c>
      <c r="Z1025" s="48">
        <v>3.5</v>
      </c>
      <c r="AA1025" s="48">
        <v>2.94</v>
      </c>
      <c r="AB1025" s="48">
        <v>3.35</v>
      </c>
      <c r="AC1025" s="48">
        <v>0.74470000000000003</v>
      </c>
      <c r="AD1025" s="48">
        <v>3.19</v>
      </c>
      <c r="AE1025" s="48">
        <v>2.82</v>
      </c>
      <c r="AF1025" s="48">
        <f t="shared" si="212"/>
        <v>2.94</v>
      </c>
      <c r="AG1025" s="49">
        <v>3.89</v>
      </c>
      <c r="AH1025" s="98">
        <v>3.34E-9</v>
      </c>
      <c r="AI1025" s="98">
        <v>4.2800000000000001E-9</v>
      </c>
      <c r="AJ1025" s="483">
        <f t="shared" si="214"/>
        <v>-6.864819859501087</v>
      </c>
      <c r="AK1025" s="483">
        <f>LOG10(AI1025*1000/(0.08206*298.15))</f>
        <v>-6.7571225572994793</v>
      </c>
      <c r="AL1025" s="483">
        <f t="shared" si="213"/>
        <v>-6.7571225572994793</v>
      </c>
      <c r="AM1025" s="483">
        <v>-11.876340000000001</v>
      </c>
      <c r="AN1025" s="226">
        <v>-7.93</v>
      </c>
      <c r="AO1025" s="484"/>
      <c r="AP1025" s="484">
        <v>2.2999999999999998</v>
      </c>
      <c r="AQ1025" s="226" t="s">
        <v>6311</v>
      </c>
      <c r="AR1025" s="226" t="s">
        <v>6311</v>
      </c>
      <c r="AS1025" s="224"/>
      <c r="AT1025" s="50" t="s">
        <v>266</v>
      </c>
      <c r="AU1025" s="48">
        <v>6</v>
      </c>
      <c r="AV1025" s="48">
        <v>120</v>
      </c>
      <c r="AW1025" s="48">
        <v>114</v>
      </c>
      <c r="AX1025" s="48">
        <v>28</v>
      </c>
      <c r="AY1025" s="48" t="s">
        <v>8728</v>
      </c>
      <c r="AZ1025" s="48" t="s">
        <v>1563</v>
      </c>
      <c r="BA1025" s="48">
        <v>32</v>
      </c>
      <c r="BB1025" s="47" t="s">
        <v>2485</v>
      </c>
      <c r="BC1025" s="47" t="s">
        <v>8726</v>
      </c>
      <c r="BD1025" s="47" t="s">
        <v>8374</v>
      </c>
      <c r="BE1025" s="48" t="s">
        <v>2449</v>
      </c>
      <c r="BF1025" s="48" t="s">
        <v>272</v>
      </c>
      <c r="BG1025" s="48" t="s">
        <v>272</v>
      </c>
      <c r="BH1025" s="48" t="s">
        <v>2486</v>
      </c>
      <c r="BI1025" s="98">
        <v>1.8481919999999998E-3</v>
      </c>
      <c r="BJ1025" s="98">
        <v>18.481919999999999</v>
      </c>
      <c r="BK1025" s="48"/>
      <c r="BL1025" s="487">
        <v>10.666381480536051</v>
      </c>
      <c r="BM1025" s="47" t="s">
        <v>2487</v>
      </c>
      <c r="BN1025" s="48"/>
      <c r="BO1025" s="48"/>
      <c r="BP1025" s="48"/>
      <c r="BQ1025" s="48"/>
      <c r="BR1025" s="47" t="e">
        <v>#VALUE!</v>
      </c>
      <c r="BS1025" s="48"/>
      <c r="BT1025" s="48"/>
      <c r="BU1025" s="228"/>
      <c r="BV1025" s="48"/>
      <c r="BW1025" s="48"/>
      <c r="BX1025" s="48"/>
      <c r="BY1025" s="48"/>
      <c r="BZ1025" s="48"/>
      <c r="CA1025" s="48"/>
      <c r="CB1025" s="48"/>
      <c r="CC1025" s="48"/>
      <c r="CD1025" s="48"/>
      <c r="CE1025" s="48"/>
      <c r="CF1025" s="48"/>
      <c r="CG1025" s="48"/>
      <c r="CH1025" s="48"/>
      <c r="CI1025" s="98"/>
      <c r="CJ1025" s="98"/>
      <c r="CK1025" s="49">
        <f t="shared" si="215"/>
        <v>0.57712518399257506</v>
      </c>
      <c r="CL1025" s="229"/>
      <c r="CM1025" s="229">
        <v>0.38021124171160575</v>
      </c>
      <c r="CN1025" s="229">
        <f>BJ1025/(10^CM1025)</f>
        <v>7.7008000000000036</v>
      </c>
      <c r="CO1025" s="47" t="s">
        <v>2488</v>
      </c>
      <c r="CP1025" s="500" t="s">
        <v>2489</v>
      </c>
      <c r="CQ1025" s="224">
        <v>0.50173026605475335</v>
      </c>
      <c r="CR1025" s="224">
        <f>10^(CJ1025-CQ1025)</f>
        <v>0.31497039417435591</v>
      </c>
      <c r="CS1025" s="230" t="s">
        <v>539</v>
      </c>
      <c r="CT1025" s="230"/>
      <c r="CU1025" s="230"/>
      <c r="CV1025" s="335">
        <f t="shared" si="216"/>
        <v>7.6831844310547828</v>
      </c>
      <c r="CW1025" s="230">
        <f t="shared" si="217"/>
        <v>1</v>
      </c>
      <c r="CX1025" s="336"/>
      <c r="CY1025" s="230" t="s">
        <v>5921</v>
      </c>
    </row>
    <row r="1026" spans="1:103" ht="11.25" customHeight="1" x14ac:dyDescent="0.2">
      <c r="A1026" s="72">
        <v>1454</v>
      </c>
      <c r="B1026" s="224">
        <v>1575</v>
      </c>
      <c r="C1026" s="46" t="s">
        <v>7491</v>
      </c>
      <c r="D1026" s="46" t="s">
        <v>7492</v>
      </c>
      <c r="E1026" s="114"/>
      <c r="F1026" s="114" t="s">
        <v>3787</v>
      </c>
      <c r="G1026" s="225">
        <v>94361065</v>
      </c>
      <c r="H1026" s="47" t="s">
        <v>3788</v>
      </c>
      <c r="I1026" s="47" t="s">
        <v>8156</v>
      </c>
      <c r="J1026" s="47" t="s">
        <v>4718</v>
      </c>
      <c r="K1026" s="47" t="s">
        <v>1265</v>
      </c>
      <c r="L1026" s="47" t="s">
        <v>6007</v>
      </c>
      <c r="M1026" s="47" t="s">
        <v>6082</v>
      </c>
      <c r="N1026" s="47" t="s">
        <v>6082</v>
      </c>
      <c r="O1026" s="47" t="s">
        <v>6083</v>
      </c>
      <c r="P1026" s="53"/>
      <c r="Q1026" s="53"/>
      <c r="R1026" s="53"/>
      <c r="S1026" s="53"/>
      <c r="T1026" s="48">
        <v>291.77999999999997</v>
      </c>
      <c r="U1026" s="98">
        <v>140</v>
      </c>
      <c r="V1026" s="98">
        <v>148</v>
      </c>
      <c r="W1026" s="98">
        <v>32.738254459622638</v>
      </c>
      <c r="X1026" s="98">
        <v>140</v>
      </c>
      <c r="Y1026" s="233">
        <v>7.04</v>
      </c>
      <c r="Z1026" s="48">
        <v>3.25</v>
      </c>
      <c r="AA1026" s="48">
        <v>2.9</v>
      </c>
      <c r="AB1026" s="48">
        <v>3.03</v>
      </c>
      <c r="AC1026" s="48">
        <v>0.82089999999999996</v>
      </c>
      <c r="AD1026" s="48">
        <v>2.95</v>
      </c>
      <c r="AE1026" s="48">
        <v>2.7</v>
      </c>
      <c r="AF1026" s="48">
        <f t="shared" si="212"/>
        <v>2.9</v>
      </c>
      <c r="AG1026" s="49">
        <v>3.01</v>
      </c>
      <c r="AH1026" s="98">
        <v>1.72E-10</v>
      </c>
      <c r="AI1026" s="98">
        <v>7.1000000000000003E-10</v>
      </c>
      <c r="AJ1026" s="483">
        <f t="shared" si="214"/>
        <v>-8.1530378794051028</v>
      </c>
      <c r="AK1026" s="483">
        <f>LOG10(AI1026*1000/(0.08206*298.15))</f>
        <v>-7.537307977593577</v>
      </c>
      <c r="AL1026" s="483">
        <f t="shared" si="213"/>
        <v>-7.537307977593577</v>
      </c>
      <c r="AM1026" s="483">
        <v>-13.853300000000001</v>
      </c>
      <c r="AN1026" s="226">
        <v>-7.8</v>
      </c>
      <c r="AO1026" s="484">
        <v>12.59</v>
      </c>
      <c r="AP1026" s="484">
        <v>2.89</v>
      </c>
      <c r="AQ1026" s="48" t="s">
        <v>6311</v>
      </c>
      <c r="AR1026" s="48" t="s">
        <v>6311</v>
      </c>
      <c r="AS1026" s="227"/>
      <c r="AT1026" s="50" t="s">
        <v>266</v>
      </c>
      <c r="AU1026" s="48">
        <v>6</v>
      </c>
      <c r="AV1026" s="48">
        <v>120</v>
      </c>
      <c r="AW1026" s="48">
        <v>114</v>
      </c>
      <c r="AX1026" s="48">
        <v>28</v>
      </c>
      <c r="AY1026" s="48" t="s">
        <v>8728</v>
      </c>
      <c r="AZ1026" s="48" t="s">
        <v>1563</v>
      </c>
      <c r="BA1026" s="48">
        <v>32</v>
      </c>
      <c r="BB1026" s="47" t="s">
        <v>2485</v>
      </c>
      <c r="BC1026" s="47" t="s">
        <v>8726</v>
      </c>
      <c r="BD1026" s="47" t="s">
        <v>8374</v>
      </c>
      <c r="BE1026" s="48" t="s">
        <v>2449</v>
      </c>
      <c r="BF1026" s="48" t="s">
        <v>272</v>
      </c>
      <c r="BG1026" s="48" t="s">
        <v>272</v>
      </c>
      <c r="BH1026" s="48" t="s">
        <v>2486</v>
      </c>
      <c r="BI1026" s="98">
        <v>1.8673919999999998E-3</v>
      </c>
      <c r="BJ1026" s="98">
        <v>18.673919999999999</v>
      </c>
      <c r="BK1026" s="48"/>
      <c r="BL1026" s="487">
        <v>18.073011292485916</v>
      </c>
      <c r="BM1026" s="47" t="s">
        <v>2487</v>
      </c>
      <c r="BN1026" s="48"/>
      <c r="BO1026" s="48"/>
      <c r="BP1026" s="48"/>
      <c r="BQ1026" s="48"/>
      <c r="BR1026" s="47" t="e">
        <v>#VALUE!</v>
      </c>
      <c r="BS1026" s="48"/>
      <c r="BT1026" s="48"/>
      <c r="BU1026" s="228"/>
      <c r="BV1026" s="48"/>
      <c r="BW1026" s="48"/>
      <c r="BX1026" s="48"/>
      <c r="BY1026" s="48"/>
      <c r="BZ1026" s="48"/>
      <c r="CA1026" s="48"/>
      <c r="CB1026" s="48"/>
      <c r="CC1026" s="48"/>
      <c r="CD1026" s="48"/>
      <c r="CE1026" s="48"/>
      <c r="CF1026" s="48"/>
      <c r="CG1026" s="48"/>
      <c r="CH1026" s="48"/>
      <c r="CI1026" s="98"/>
      <c r="CJ1026" s="98"/>
      <c r="CK1026" s="49">
        <f t="shared" si="215"/>
        <v>0.96782096595069045</v>
      </c>
      <c r="CL1026" s="229"/>
      <c r="CM1026" s="229"/>
      <c r="CN1026" s="229"/>
      <c r="CO1026" s="47" t="s">
        <v>2488</v>
      </c>
      <c r="CP1026" s="500" t="s">
        <v>2489</v>
      </c>
      <c r="CQ1026" s="224">
        <v>1.3004864478433742</v>
      </c>
      <c r="CR1026" s="224">
        <f>10^(CJ1026-CQ1026)</f>
        <v>5.0062617432175854E-2</v>
      </c>
      <c r="CS1026" s="230" t="s">
        <v>539</v>
      </c>
      <c r="CT1026" s="230"/>
      <c r="CU1026" s="230"/>
      <c r="CV1026" s="335">
        <f t="shared" si="216"/>
        <v>7.4970868462540272</v>
      </c>
      <c r="CW1026" s="230">
        <f t="shared" si="217"/>
        <v>1</v>
      </c>
      <c r="CX1026" s="336"/>
      <c r="CY1026" s="230" t="s">
        <v>5921</v>
      </c>
    </row>
    <row r="1027" spans="1:103" ht="11.25" customHeight="1" x14ac:dyDescent="0.2">
      <c r="A1027" s="72">
        <v>1455</v>
      </c>
      <c r="B1027" s="224">
        <v>1884</v>
      </c>
      <c r="C1027" s="46" t="s">
        <v>1474</v>
      </c>
      <c r="D1027" s="46" t="s">
        <v>6573</v>
      </c>
      <c r="E1027" s="114"/>
      <c r="F1027" s="114" t="s">
        <v>1475</v>
      </c>
      <c r="G1027" s="225">
        <v>96182535</v>
      </c>
      <c r="H1027" s="47" t="s">
        <v>1476</v>
      </c>
      <c r="I1027" s="47" t="s">
        <v>1476</v>
      </c>
      <c r="J1027" s="47" t="s">
        <v>1477</v>
      </c>
      <c r="K1027" s="47" t="s">
        <v>628</v>
      </c>
      <c r="L1027" s="47" t="s">
        <v>617</v>
      </c>
      <c r="M1027" s="47" t="s">
        <v>946</v>
      </c>
      <c r="N1027" s="47" t="s">
        <v>6376</v>
      </c>
      <c r="O1027" s="47" t="s">
        <v>918</v>
      </c>
      <c r="P1027" s="53"/>
      <c r="Q1027" s="53"/>
      <c r="R1027" s="53"/>
      <c r="S1027" s="53"/>
      <c r="T1027" s="48">
        <v>318.37</v>
      </c>
      <c r="U1027" s="98">
        <v>5.5</v>
      </c>
      <c r="V1027" s="98">
        <v>2.5409999999999995</v>
      </c>
      <c r="W1027" s="98">
        <v>18.320281285003027</v>
      </c>
      <c r="X1027" s="98">
        <v>5.5</v>
      </c>
      <c r="Y1027" s="233">
        <v>7</v>
      </c>
      <c r="Z1027" s="48">
        <v>4.1900000000000004</v>
      </c>
      <c r="AA1027" s="48"/>
      <c r="AB1027" s="48">
        <v>3.92</v>
      </c>
      <c r="AC1027" s="48">
        <v>0.78249999999999997</v>
      </c>
      <c r="AD1027" s="48">
        <v>3.73</v>
      </c>
      <c r="AE1027" s="48">
        <v>3.3</v>
      </c>
      <c r="AF1027" s="48">
        <f t="shared" si="212"/>
        <v>3.73</v>
      </c>
      <c r="AG1027" s="49">
        <v>3.79</v>
      </c>
      <c r="AH1027" s="98">
        <v>1.3899999999999999E-7</v>
      </c>
      <c r="AI1027" s="98">
        <v>2.8499999999999998E-6</v>
      </c>
      <c r="AJ1027" s="483">
        <f t="shared" si="214"/>
        <v>-5.2455515260585566</v>
      </c>
      <c r="AK1027" s="483">
        <f>LOG10(AI1027*1000/(0.08206*298.15))</f>
        <v>-3.9337214663041418</v>
      </c>
      <c r="AL1027" s="483">
        <f t="shared" si="213"/>
        <v>-3.9337214663041418</v>
      </c>
      <c r="AM1027" s="483">
        <v>-11.76464</v>
      </c>
      <c r="AN1027" s="226">
        <v>-4.3499999999999996</v>
      </c>
      <c r="AO1027" s="484"/>
      <c r="AP1027" s="484">
        <v>0.46</v>
      </c>
      <c r="AQ1027" s="226" t="s">
        <v>6312</v>
      </c>
      <c r="AR1027" s="226" t="s">
        <v>6312</v>
      </c>
      <c r="AS1027" s="224"/>
      <c r="AT1027" s="50" t="s">
        <v>266</v>
      </c>
      <c r="AU1027" s="48">
        <v>6</v>
      </c>
      <c r="AV1027" s="48">
        <v>120</v>
      </c>
      <c r="AW1027" s="48">
        <v>114</v>
      </c>
      <c r="AX1027" s="48">
        <v>28</v>
      </c>
      <c r="AY1027" s="48" t="s">
        <v>8728</v>
      </c>
      <c r="AZ1027" s="48" t="s">
        <v>1563</v>
      </c>
      <c r="BA1027" s="48">
        <v>32</v>
      </c>
      <c r="BB1027" s="47" t="s">
        <v>2485</v>
      </c>
      <c r="BC1027" s="47" t="s">
        <v>8726</v>
      </c>
      <c r="BD1027" s="47" t="s">
        <v>8374</v>
      </c>
      <c r="BE1027" s="48" t="s">
        <v>2449</v>
      </c>
      <c r="BF1027" s="48" t="s">
        <v>272</v>
      </c>
      <c r="BG1027" s="48" t="s">
        <v>272</v>
      </c>
      <c r="BH1027" s="48" t="s">
        <v>2486</v>
      </c>
      <c r="BI1027" s="98">
        <v>2.037568E-3</v>
      </c>
      <c r="BJ1027" s="98">
        <v>20.375679999999999</v>
      </c>
      <c r="BK1027" s="48"/>
      <c r="BL1027" s="487">
        <v>2.8228846841977666</v>
      </c>
      <c r="BM1027" s="47" t="s">
        <v>2487</v>
      </c>
      <c r="BN1027" s="48"/>
      <c r="BO1027" s="48"/>
      <c r="BP1027" s="48"/>
      <c r="BQ1027" s="48"/>
      <c r="BR1027" s="47" t="e">
        <v>#VALUE!</v>
      </c>
      <c r="BS1027" s="48"/>
      <c r="BT1027" s="48"/>
      <c r="BU1027" s="228"/>
      <c r="BV1027" s="48"/>
      <c r="BW1027" s="48"/>
      <c r="BX1027" s="48"/>
      <c r="BY1027" s="48"/>
      <c r="BZ1027" s="48"/>
      <c r="CA1027" s="48"/>
      <c r="CB1027" s="48"/>
      <c r="CC1027" s="48"/>
      <c r="CD1027" s="48"/>
      <c r="CE1027" s="48"/>
      <c r="CF1027" s="48"/>
      <c r="CG1027" s="48"/>
      <c r="CH1027" s="48"/>
      <c r="CI1027" s="98"/>
      <c r="CJ1027" s="98"/>
      <c r="CK1027" s="49">
        <f t="shared" si="215"/>
        <v>0.13854186383952666</v>
      </c>
      <c r="CL1027" s="229"/>
      <c r="CM1027" s="229">
        <v>-1.0506099933550876</v>
      </c>
      <c r="CN1027" s="229">
        <f>BJ1027/(10^CM1027)</f>
        <v>228.94022471910142</v>
      </c>
      <c r="CO1027" s="47" t="s">
        <v>2488</v>
      </c>
      <c r="CP1027" s="500" t="s">
        <v>2489</v>
      </c>
      <c r="CQ1027" s="224">
        <v>-0.35212850945222429</v>
      </c>
      <c r="CR1027" s="224">
        <f>10^(CJ1027-CQ1027)</f>
        <v>2.2497202084475298</v>
      </c>
      <c r="CS1027" s="230" t="s">
        <v>539</v>
      </c>
      <c r="CT1027" s="230"/>
      <c r="CU1027" s="230"/>
      <c r="CV1027" s="335">
        <f t="shared" si="216"/>
        <v>0.26992964161196092</v>
      </c>
      <c r="CW1027" s="230">
        <f t="shared" si="217"/>
        <v>0</v>
      </c>
      <c r="CX1027" s="336"/>
      <c r="CY1027" s="230" t="s">
        <v>5921</v>
      </c>
    </row>
    <row r="1028" spans="1:103" ht="11.25" customHeight="1" x14ac:dyDescent="0.2">
      <c r="A1028" s="72">
        <v>1458</v>
      </c>
      <c r="B1028" s="224">
        <v>1148</v>
      </c>
      <c r="C1028" s="46" t="s">
        <v>7494</v>
      </c>
      <c r="D1028" s="46" t="s">
        <v>7495</v>
      </c>
      <c r="E1028" s="114"/>
      <c r="F1028" s="114" t="s">
        <v>3178</v>
      </c>
      <c r="G1028" s="225">
        <v>98886443</v>
      </c>
      <c r="H1028" s="47" t="s">
        <v>3179</v>
      </c>
      <c r="I1028" s="47" t="s">
        <v>3179</v>
      </c>
      <c r="J1028" s="47" t="s">
        <v>3180</v>
      </c>
      <c r="K1028" s="47" t="s">
        <v>3181</v>
      </c>
      <c r="L1028" s="47" t="s">
        <v>617</v>
      </c>
      <c r="M1028" s="47" t="s">
        <v>946</v>
      </c>
      <c r="N1028" s="47" t="s">
        <v>6376</v>
      </c>
      <c r="O1028" s="47" t="s">
        <v>918</v>
      </c>
      <c r="P1028" s="53"/>
      <c r="Q1028" s="53"/>
      <c r="R1028" s="53"/>
      <c r="S1028" s="53"/>
      <c r="T1028" s="48">
        <v>283.35000000000002</v>
      </c>
      <c r="U1028" s="98">
        <v>9850</v>
      </c>
      <c r="V1028" s="98">
        <v>563.5</v>
      </c>
      <c r="W1028" s="98">
        <v>11280.366677633347</v>
      </c>
      <c r="X1028" s="98">
        <v>9850</v>
      </c>
      <c r="Y1028" s="233">
        <v>7</v>
      </c>
      <c r="Z1028" s="48">
        <v>2.4700000000000002</v>
      </c>
      <c r="AA1028" s="48">
        <v>1.68</v>
      </c>
      <c r="AB1028" s="48">
        <v>1.5</v>
      </c>
      <c r="AC1028" s="48">
        <v>0.82110000000000005</v>
      </c>
      <c r="AD1028" s="48">
        <v>1.38</v>
      </c>
      <c r="AE1028" s="48">
        <v>0.94</v>
      </c>
      <c r="AF1028" s="48">
        <f t="shared" si="212"/>
        <v>1.68</v>
      </c>
      <c r="AG1028" s="49">
        <v>2.58</v>
      </c>
      <c r="AH1028" s="98">
        <v>5.8500000000000005E-10</v>
      </c>
      <c r="AI1028" s="98">
        <v>1.7399999999999999E-10</v>
      </c>
      <c r="AJ1028" s="483">
        <f t="shared" si="214"/>
        <v>-7.6214104602304715</v>
      </c>
      <c r="AK1028" s="483">
        <f>LOG10(AI1028*1000/(0.08206*298.15))</f>
        <v>-8.1480170780300529</v>
      </c>
      <c r="AL1028" s="483">
        <f t="shared" si="213"/>
        <v>-8.1480170780300529</v>
      </c>
      <c r="AM1028" s="483">
        <v>-14.637880000000001</v>
      </c>
      <c r="AN1028" s="226">
        <v>-7.45</v>
      </c>
      <c r="AO1028" s="484"/>
      <c r="AP1028" s="484">
        <v>-2.64</v>
      </c>
      <c r="AQ1028" s="48" t="s">
        <v>6311</v>
      </c>
      <c r="AR1028" s="48" t="s">
        <v>6311</v>
      </c>
      <c r="AS1028" s="227"/>
      <c r="AT1028" s="50" t="s">
        <v>266</v>
      </c>
      <c r="AU1028" s="48">
        <v>6</v>
      </c>
      <c r="AV1028" s="48">
        <v>120</v>
      </c>
      <c r="AW1028" s="48">
        <v>114</v>
      </c>
      <c r="AX1028" s="48">
        <v>28</v>
      </c>
      <c r="AY1028" s="48" t="s">
        <v>8728</v>
      </c>
      <c r="AZ1028" s="48" t="s">
        <v>1563</v>
      </c>
      <c r="BA1028" s="48">
        <v>32</v>
      </c>
      <c r="BB1028" s="47" t="s">
        <v>2485</v>
      </c>
      <c r="BC1028" s="47" t="s">
        <v>8726</v>
      </c>
      <c r="BD1028" s="47" t="s">
        <v>8374</v>
      </c>
      <c r="BE1028" s="48" t="s">
        <v>2449</v>
      </c>
      <c r="BF1028" s="48" t="s">
        <v>272</v>
      </c>
      <c r="BG1028" s="48" t="s">
        <v>272</v>
      </c>
      <c r="BH1028" s="48" t="s">
        <v>2486</v>
      </c>
      <c r="BI1028" s="98">
        <v>1.8134400000000001E-3</v>
      </c>
      <c r="BJ1028" s="98">
        <v>18.134400000000003</v>
      </c>
      <c r="BK1028" s="48"/>
      <c r="BL1028" s="487">
        <v>88.067611310500411</v>
      </c>
      <c r="BM1028" s="47" t="s">
        <v>2487</v>
      </c>
      <c r="BN1028" s="48"/>
      <c r="BO1028" s="48"/>
      <c r="BP1028" s="48"/>
      <c r="BQ1028" s="48"/>
      <c r="BR1028" s="47" t="e">
        <v>#VALUE!</v>
      </c>
      <c r="BS1028" s="48"/>
      <c r="BT1028" s="48"/>
      <c r="BU1028" s="228">
        <v>1.8134400000000001E-3</v>
      </c>
      <c r="BV1028" s="48"/>
      <c r="BW1028" s="48"/>
      <c r="BX1028" s="48"/>
      <c r="BY1028" s="48"/>
      <c r="BZ1028" s="48"/>
      <c r="CA1028" s="48"/>
      <c r="CB1028" s="48"/>
      <c r="CC1028" s="48"/>
      <c r="CD1028" s="48"/>
      <c r="CE1028" s="48"/>
      <c r="CF1028" s="48"/>
      <c r="CG1028" s="48"/>
      <c r="CH1028" s="48"/>
      <c r="CI1028" s="98"/>
      <c r="CJ1028" s="98"/>
      <c r="CK1028" s="49">
        <f t="shared" si="215"/>
        <v>4.8563840717366107</v>
      </c>
      <c r="CL1028" s="229"/>
      <c r="CM1028" s="229"/>
      <c r="CN1028" s="229"/>
      <c r="CO1028" s="47" t="s">
        <v>2488</v>
      </c>
      <c r="CP1028" s="500" t="s">
        <v>2489</v>
      </c>
      <c r="CQ1028" s="224">
        <v>2.1206113155979454</v>
      </c>
      <c r="CR1028" s="224">
        <f>10^(CJ1028-CQ1028)</f>
        <v>7.5751054769764431E-3</v>
      </c>
      <c r="CS1028" s="230" t="s">
        <v>539</v>
      </c>
      <c r="CT1028" s="230"/>
      <c r="CU1028" s="230"/>
      <c r="CV1028" s="335">
        <f t="shared" si="216"/>
        <v>543.16657843656242</v>
      </c>
      <c r="CW1028" s="230">
        <f t="shared" si="217"/>
        <v>1</v>
      </c>
      <c r="CX1028" s="336"/>
      <c r="CY1028" s="230" t="s">
        <v>5921</v>
      </c>
    </row>
    <row r="1029" spans="1:103" ht="11.25" customHeight="1" x14ac:dyDescent="0.2">
      <c r="A1029" s="72">
        <v>1460</v>
      </c>
      <c r="B1029" s="224">
        <v>1670</v>
      </c>
      <c r="C1029" s="46" t="s">
        <v>7496</v>
      </c>
      <c r="D1029" s="46"/>
      <c r="E1029" s="114"/>
      <c r="F1029" s="114" t="s">
        <v>3869</v>
      </c>
      <c r="G1029" s="225">
        <v>98967409</v>
      </c>
      <c r="H1029" s="47" t="s">
        <v>3870</v>
      </c>
      <c r="I1029" s="47" t="s">
        <v>3870</v>
      </c>
      <c r="J1029" s="47" t="s">
        <v>3871</v>
      </c>
      <c r="K1029" s="47" t="s">
        <v>3811</v>
      </c>
      <c r="L1029" s="47"/>
      <c r="M1029" s="47"/>
      <c r="N1029" s="47"/>
      <c r="O1029" s="47"/>
      <c r="P1029" s="53"/>
      <c r="Q1029" s="53"/>
      <c r="R1029" s="53"/>
      <c r="S1029" s="53"/>
      <c r="T1029" s="48">
        <v>325.3</v>
      </c>
      <c r="U1029" s="98">
        <v>49</v>
      </c>
      <c r="V1029" s="98">
        <v>455</v>
      </c>
      <c r="W1029" s="98">
        <v>235.65901781239404</v>
      </c>
      <c r="X1029" s="98">
        <v>49</v>
      </c>
      <c r="Y1029" s="233">
        <v>4.16</v>
      </c>
      <c r="Z1029" s="48">
        <v>1.5</v>
      </c>
      <c r="AA1029" s="48"/>
      <c r="AB1029" s="48">
        <v>2.25</v>
      </c>
      <c r="AC1029" s="48">
        <v>0.6583</v>
      </c>
      <c r="AD1029" s="48">
        <v>1.84</v>
      </c>
      <c r="AE1029" s="48">
        <v>0.96</v>
      </c>
      <c r="AF1029" s="48">
        <f t="shared" si="212"/>
        <v>1.84</v>
      </c>
      <c r="AG1029" s="49">
        <v>1.73</v>
      </c>
      <c r="AH1029" s="98">
        <v>2.4700000000000001E-13</v>
      </c>
      <c r="AI1029" s="98"/>
      <c r="AJ1029" s="483">
        <f t="shared" si="214"/>
        <v>-10.995869373052987</v>
      </c>
      <c r="AK1029" s="483"/>
      <c r="AL1029" s="483">
        <f t="shared" si="213"/>
        <v>-10.995869373052987</v>
      </c>
      <c r="AM1029" s="483">
        <v>-16.797190000000001</v>
      </c>
      <c r="AN1029" s="226">
        <v>-18</v>
      </c>
      <c r="AO1029" s="484">
        <v>5.14</v>
      </c>
      <c r="AP1029" s="484">
        <v>-2.85</v>
      </c>
      <c r="AQ1029" s="226" t="s">
        <v>6311</v>
      </c>
      <c r="AR1029" s="226" t="s">
        <v>6311</v>
      </c>
      <c r="AS1029" s="224"/>
      <c r="AT1029" s="50" t="s">
        <v>266</v>
      </c>
      <c r="AU1029" s="48">
        <v>6</v>
      </c>
      <c r="AV1029" s="48">
        <v>120</v>
      </c>
      <c r="AW1029" s="48">
        <v>114</v>
      </c>
      <c r="AX1029" s="48">
        <v>28</v>
      </c>
      <c r="AY1029" s="48" t="s">
        <v>8728</v>
      </c>
      <c r="AZ1029" s="48" t="s">
        <v>1563</v>
      </c>
      <c r="BA1029" s="48">
        <v>32</v>
      </c>
      <c r="BB1029" s="47" t="s">
        <v>2485</v>
      </c>
      <c r="BC1029" s="47" t="s">
        <v>8726</v>
      </c>
      <c r="BD1029" s="47" t="s">
        <v>8374</v>
      </c>
      <c r="BE1029" s="48" t="s">
        <v>2449</v>
      </c>
      <c r="BF1029" s="48" t="s">
        <v>272</v>
      </c>
      <c r="BG1029" s="48" t="s">
        <v>272</v>
      </c>
      <c r="BH1029" s="48" t="s">
        <v>2486</v>
      </c>
      <c r="BI1029" s="98">
        <v>2.0819200000000001E-3</v>
      </c>
      <c r="BJ1029" s="98">
        <v>20.819200000000002</v>
      </c>
      <c r="BK1029" s="48"/>
      <c r="BL1029" s="487">
        <v>751.50878760657963</v>
      </c>
      <c r="BM1029" s="47" t="s">
        <v>2487</v>
      </c>
      <c r="BN1029" s="48"/>
      <c r="BO1029" s="48"/>
      <c r="BP1029" s="48"/>
      <c r="BQ1029" s="48"/>
      <c r="BR1029" s="47" t="e">
        <v>#VALUE!</v>
      </c>
      <c r="BS1029" s="48"/>
      <c r="BT1029" s="48"/>
      <c r="BU1029" s="228"/>
      <c r="BV1029" s="48"/>
      <c r="BW1029" s="48"/>
      <c r="BX1029" s="48"/>
      <c r="BY1029" s="48"/>
      <c r="BZ1029" s="48"/>
      <c r="CA1029" s="48"/>
      <c r="CB1029" s="48"/>
      <c r="CC1029" s="48"/>
      <c r="CD1029" s="48"/>
      <c r="CE1029" s="48"/>
      <c r="CF1029" s="48"/>
      <c r="CG1029" s="48"/>
      <c r="CH1029" s="48"/>
      <c r="CI1029" s="98"/>
      <c r="CJ1029" s="98"/>
      <c r="CK1029" s="49">
        <f t="shared" si="215"/>
        <v>36.0969099488251</v>
      </c>
      <c r="CL1029" s="229"/>
      <c r="CM1029" s="229"/>
      <c r="CN1029" s="229"/>
      <c r="CO1029" s="47" t="s">
        <v>2488</v>
      </c>
      <c r="CP1029" s="500" t="s">
        <v>2489</v>
      </c>
      <c r="CQ1029" s="224" t="s">
        <v>272</v>
      </c>
      <c r="CR1029" s="224"/>
      <c r="CS1029" s="230" t="s">
        <v>539</v>
      </c>
      <c r="CT1029" s="230"/>
      <c r="CU1029" s="230"/>
      <c r="CV1029" s="335">
        <f t="shared" si="216"/>
        <v>2.3535966799877035</v>
      </c>
      <c r="CW1029" s="230">
        <f t="shared" si="217"/>
        <v>1</v>
      </c>
      <c r="CX1029" s="336"/>
      <c r="CY1029" s="230" t="s">
        <v>6351</v>
      </c>
    </row>
    <row r="1030" spans="1:103" ht="11.25" customHeight="1" x14ac:dyDescent="0.2">
      <c r="A1030" s="72">
        <v>1462</v>
      </c>
      <c r="B1030" s="224">
        <v>1671</v>
      </c>
      <c r="C1030" s="46" t="s">
        <v>1222</v>
      </c>
      <c r="D1030" s="46" t="s">
        <v>6661</v>
      </c>
      <c r="E1030" s="114"/>
      <c r="F1030" s="114" t="s">
        <v>1223</v>
      </c>
      <c r="G1030" s="225">
        <v>103361097</v>
      </c>
      <c r="H1030" s="47" t="s">
        <v>1224</v>
      </c>
      <c r="I1030" s="47" t="s">
        <v>8157</v>
      </c>
      <c r="J1030" s="47" t="s">
        <v>1225</v>
      </c>
      <c r="K1030" s="47" t="s">
        <v>1226</v>
      </c>
      <c r="L1030" s="47" t="s">
        <v>6158</v>
      </c>
      <c r="M1030" s="47" t="s">
        <v>8512</v>
      </c>
      <c r="N1030" s="47" t="s">
        <v>6385</v>
      </c>
      <c r="O1030" s="47" t="s">
        <v>5957</v>
      </c>
      <c r="P1030" s="53"/>
      <c r="Q1030" s="53"/>
      <c r="R1030" s="53"/>
      <c r="S1030" s="53"/>
      <c r="T1030" s="48">
        <v>354.33</v>
      </c>
      <c r="U1030" s="98">
        <v>1.79</v>
      </c>
      <c r="V1030" s="98">
        <v>38.74</v>
      </c>
      <c r="W1030" s="98">
        <v>1.0700594930900458</v>
      </c>
      <c r="X1030" s="98">
        <v>1.79</v>
      </c>
      <c r="Y1030" s="233">
        <v>7</v>
      </c>
      <c r="Z1030" s="48">
        <v>1.34</v>
      </c>
      <c r="AA1030" s="48">
        <v>2.5499999999999998</v>
      </c>
      <c r="AB1030" s="48">
        <v>1.93</v>
      </c>
      <c r="AC1030" s="48">
        <v>0.7702</v>
      </c>
      <c r="AD1030" s="48">
        <v>2</v>
      </c>
      <c r="AE1030" s="48">
        <v>2.29</v>
      </c>
      <c r="AF1030" s="48">
        <f t="shared" si="212"/>
        <v>2.5499999999999998</v>
      </c>
      <c r="AG1030" s="49">
        <v>1.46</v>
      </c>
      <c r="AH1030" s="98">
        <v>5.1700000000000003E-14</v>
      </c>
      <c r="AI1030" s="98">
        <v>6.2799999999999996E-7</v>
      </c>
      <c r="AJ1030" s="483">
        <f t="shared" si="214"/>
        <v>-11.675075783218709</v>
      </c>
      <c r="AK1030" s="483">
        <f>LOG10(AI1030*1000/(0.08206*298.15))</f>
        <v>-4.5906066825754559</v>
      </c>
      <c r="AL1030" s="483">
        <f t="shared" si="213"/>
        <v>-4.5906066825754559</v>
      </c>
      <c r="AM1030" s="483">
        <v>-19.772009999999998</v>
      </c>
      <c r="AN1030" s="226">
        <v>-13.9</v>
      </c>
      <c r="AO1030" s="484"/>
      <c r="AP1030" s="484"/>
      <c r="AQ1030" s="226" t="s">
        <v>6311</v>
      </c>
      <c r="AR1030" s="226" t="s">
        <v>6311</v>
      </c>
      <c r="AS1030" s="224"/>
      <c r="AT1030" s="50" t="s">
        <v>266</v>
      </c>
      <c r="AU1030" s="48">
        <v>6</v>
      </c>
      <c r="AV1030" s="48">
        <v>120</v>
      </c>
      <c r="AW1030" s="48">
        <v>114</v>
      </c>
      <c r="AX1030" s="48">
        <v>28</v>
      </c>
      <c r="AY1030" s="48" t="s">
        <v>8728</v>
      </c>
      <c r="AZ1030" s="48" t="s">
        <v>1563</v>
      </c>
      <c r="BA1030" s="48">
        <v>32</v>
      </c>
      <c r="BB1030" s="47" t="s">
        <v>2485</v>
      </c>
      <c r="BC1030" s="47" t="s">
        <v>8726</v>
      </c>
      <c r="BD1030" s="47" t="s">
        <v>8374</v>
      </c>
      <c r="BE1030" s="48" t="s">
        <v>2449</v>
      </c>
      <c r="BF1030" s="48" t="s">
        <v>272</v>
      </c>
      <c r="BG1030" s="48" t="s">
        <v>272</v>
      </c>
      <c r="BH1030" s="48" t="s">
        <v>2486</v>
      </c>
      <c r="BI1030" s="98">
        <v>2.2677119999999999E-3</v>
      </c>
      <c r="BJ1030" s="98">
        <v>22.677119999999999</v>
      </c>
      <c r="BK1030" s="48"/>
      <c r="BL1030" s="487">
        <v>1139.6038931745741</v>
      </c>
      <c r="BM1030" s="47" t="s">
        <v>2487</v>
      </c>
      <c r="BN1030" s="48"/>
      <c r="BO1030" s="48"/>
      <c r="BP1030" s="48"/>
      <c r="BQ1030" s="48"/>
      <c r="BR1030" s="47" t="e">
        <v>#VALUE!</v>
      </c>
      <c r="BS1030" s="48"/>
      <c r="BT1030" s="48"/>
      <c r="BU1030" s="228"/>
      <c r="BV1030" s="48"/>
      <c r="BW1030" s="48"/>
      <c r="BX1030" s="48"/>
      <c r="BY1030" s="48"/>
      <c r="BZ1030" s="48"/>
      <c r="CA1030" s="48"/>
      <c r="CB1030" s="48"/>
      <c r="CC1030" s="48"/>
      <c r="CD1030" s="48"/>
      <c r="CE1030" s="48"/>
      <c r="CF1030" s="48"/>
      <c r="CG1030" s="48"/>
      <c r="CH1030" s="48"/>
      <c r="CI1030" s="98"/>
      <c r="CJ1030" s="98"/>
      <c r="CK1030" s="49">
        <f t="shared" si="215"/>
        <v>50.253466629562048</v>
      </c>
      <c r="CL1030" s="229"/>
      <c r="CM1030" s="229">
        <v>0.36172783601759267</v>
      </c>
      <c r="CN1030" s="229">
        <f>BJ1030/(10^CM1030)</f>
        <v>9.8596173913043508</v>
      </c>
      <c r="CO1030" s="47" t="s">
        <v>2488</v>
      </c>
      <c r="CP1030" s="500" t="s">
        <v>2489</v>
      </c>
      <c r="CQ1030" s="224">
        <v>0.36172783601759295</v>
      </c>
      <c r="CR1030" s="224">
        <f>10^(CJ1030-CQ1030)</f>
        <v>0.43478260869565211</v>
      </c>
      <c r="CS1030" s="230" t="s">
        <v>539</v>
      </c>
      <c r="CT1030" s="230"/>
      <c r="CU1030" s="230"/>
      <c r="CV1030" s="335">
        <f t="shared" si="216"/>
        <v>7.8934185646149083E-2</v>
      </c>
      <c r="CW1030" s="230">
        <f t="shared" si="217"/>
        <v>0</v>
      </c>
      <c r="CX1030" s="336"/>
      <c r="CY1030" s="230" t="s">
        <v>5921</v>
      </c>
    </row>
    <row r="1031" spans="1:103" ht="11.25" customHeight="1" x14ac:dyDescent="0.2">
      <c r="A1031" s="72">
        <v>1465</v>
      </c>
      <c r="B1031" s="224">
        <v>1726</v>
      </c>
      <c r="C1031" s="46" t="s">
        <v>7498</v>
      </c>
      <c r="D1031" s="46"/>
      <c r="E1031" s="114"/>
      <c r="F1031" s="114" t="s">
        <v>3928</v>
      </c>
      <c r="G1031" s="225">
        <v>104206828</v>
      </c>
      <c r="H1031" s="47" t="s">
        <v>3929</v>
      </c>
      <c r="I1031" s="47" t="s">
        <v>8158</v>
      </c>
      <c r="J1031" s="47" t="s">
        <v>3930</v>
      </c>
      <c r="K1031" s="47" t="s">
        <v>3931</v>
      </c>
      <c r="L1031" s="47"/>
      <c r="M1031" s="47"/>
      <c r="N1031" s="47"/>
      <c r="O1031" s="47"/>
      <c r="P1031" s="53"/>
      <c r="Q1031" s="53"/>
      <c r="R1031" s="53"/>
      <c r="S1031" s="53"/>
      <c r="T1031" s="48">
        <v>339.32</v>
      </c>
      <c r="U1031" s="98"/>
      <c r="V1031" s="98">
        <v>157.5</v>
      </c>
      <c r="W1031" s="98">
        <v>725.4532962098973</v>
      </c>
      <c r="X1031" s="98">
        <v>725.4532962098973</v>
      </c>
      <c r="Y1031" s="233">
        <v>2.98</v>
      </c>
      <c r="Z1031" s="48">
        <v>1.49</v>
      </c>
      <c r="AA1031" s="48"/>
      <c r="AB1031" s="48">
        <v>1.87</v>
      </c>
      <c r="AC1031" s="48">
        <v>0.67259999999999998</v>
      </c>
      <c r="AD1031" s="48">
        <v>0.94</v>
      </c>
      <c r="AE1031" s="48">
        <v>-0.7</v>
      </c>
      <c r="AF1031" s="48">
        <f t="shared" si="212"/>
        <v>0.94</v>
      </c>
      <c r="AG1031" s="49">
        <v>0.66</v>
      </c>
      <c r="AH1031" s="98">
        <v>2.3700000000000001E-18</v>
      </c>
      <c r="AI1031" s="98"/>
      <c r="AJ1031" s="483">
        <f t="shared" si="214"/>
        <v>-16.013817980302548</v>
      </c>
      <c r="AK1031" s="483"/>
      <c r="AL1031" s="483">
        <f t="shared" si="213"/>
        <v>-16.013817980302548</v>
      </c>
      <c r="AM1031" s="483">
        <v>-20.83417</v>
      </c>
      <c r="AN1031" s="226">
        <v>-19.899999999999999</v>
      </c>
      <c r="AO1031" s="484">
        <v>2.98</v>
      </c>
      <c r="AP1031" s="484"/>
      <c r="AQ1031" s="226" t="s">
        <v>6311</v>
      </c>
      <c r="AR1031" s="226" t="s">
        <v>6311</v>
      </c>
      <c r="AS1031" s="224"/>
      <c r="AT1031" s="50" t="s">
        <v>266</v>
      </c>
      <c r="AU1031" s="48">
        <v>6</v>
      </c>
      <c r="AV1031" s="48">
        <v>120</v>
      </c>
      <c r="AW1031" s="48">
        <v>114</v>
      </c>
      <c r="AX1031" s="48">
        <v>28</v>
      </c>
      <c r="AY1031" s="48" t="s">
        <v>8728</v>
      </c>
      <c r="AZ1031" s="48" t="s">
        <v>1563</v>
      </c>
      <c r="BA1031" s="48">
        <v>32</v>
      </c>
      <c r="BB1031" s="47" t="s">
        <v>2485</v>
      </c>
      <c r="BC1031" s="47" t="s">
        <v>8726</v>
      </c>
      <c r="BD1031" s="47" t="s">
        <v>8374</v>
      </c>
      <c r="BE1031" s="48" t="s">
        <v>2449</v>
      </c>
      <c r="BF1031" s="48" t="s">
        <v>272</v>
      </c>
      <c r="BG1031" s="48" t="s">
        <v>272</v>
      </c>
      <c r="BH1031" s="48" t="s">
        <v>2486</v>
      </c>
      <c r="BI1031" s="98">
        <v>2.171648E-3</v>
      </c>
      <c r="BJ1031" s="98">
        <v>21.716480000000001</v>
      </c>
      <c r="BK1031" s="48"/>
      <c r="BL1031" s="487">
        <v>800.27722647023541</v>
      </c>
      <c r="BM1031" s="47" t="s">
        <v>2487</v>
      </c>
      <c r="BN1031" s="48"/>
      <c r="BO1031" s="48"/>
      <c r="BP1031" s="48"/>
      <c r="BQ1031" s="48"/>
      <c r="BR1031" s="47" t="e">
        <v>#VALUE!</v>
      </c>
      <c r="BS1031" s="48"/>
      <c r="BT1031" s="48"/>
      <c r="BU1031" s="228"/>
      <c r="BV1031" s="48"/>
      <c r="BW1031" s="48"/>
      <c r="BX1031" s="48"/>
      <c r="BY1031" s="48"/>
      <c r="BZ1031" s="48"/>
      <c r="CA1031" s="48"/>
      <c r="CB1031" s="48"/>
      <c r="CC1031" s="48"/>
      <c r="CD1031" s="48"/>
      <c r="CE1031" s="48"/>
      <c r="CF1031" s="48"/>
      <c r="CG1031" s="48"/>
      <c r="CH1031" s="48"/>
      <c r="CI1031" s="98"/>
      <c r="CJ1031" s="98"/>
      <c r="CK1031" s="49">
        <f t="shared" si="215"/>
        <v>36.851148366136471</v>
      </c>
      <c r="CL1031" s="229"/>
      <c r="CM1031" s="229"/>
      <c r="CN1031" s="229"/>
      <c r="CO1031" s="47" t="s">
        <v>2488</v>
      </c>
      <c r="CP1031" s="500" t="s">
        <v>2489</v>
      </c>
      <c r="CQ1031" s="224" t="s">
        <v>272</v>
      </c>
      <c r="CR1031" s="224"/>
      <c r="CS1031" s="230" t="s">
        <v>539</v>
      </c>
      <c r="CT1031" s="230"/>
      <c r="CU1031" s="230"/>
      <c r="CV1031" s="335">
        <f t="shared" si="216"/>
        <v>33.405657648472371</v>
      </c>
      <c r="CW1031" s="230">
        <f t="shared" si="217"/>
        <v>1</v>
      </c>
      <c r="CX1031" s="336"/>
      <c r="CY1031" s="230" t="s">
        <v>5921</v>
      </c>
    </row>
    <row r="1032" spans="1:103" ht="11.25" customHeight="1" x14ac:dyDescent="0.2">
      <c r="A1032" s="72">
        <v>1466</v>
      </c>
      <c r="B1032" s="224">
        <v>1862</v>
      </c>
      <c r="C1032" s="46" t="s">
        <v>7499</v>
      </c>
      <c r="D1032" s="46"/>
      <c r="E1032" s="114"/>
      <c r="F1032" s="114" t="s">
        <v>5292</v>
      </c>
      <c r="G1032" s="225">
        <v>104795688</v>
      </c>
      <c r="H1032" s="47" t="s">
        <v>5293</v>
      </c>
      <c r="I1032" s="47" t="s">
        <v>7843</v>
      </c>
      <c r="J1032" s="47" t="s">
        <v>5294</v>
      </c>
      <c r="K1032" s="47" t="s">
        <v>455</v>
      </c>
      <c r="L1032" s="47"/>
      <c r="M1032" s="47"/>
      <c r="N1032" s="47"/>
      <c r="O1032" s="47"/>
      <c r="P1032" s="53"/>
      <c r="Q1032" s="53"/>
      <c r="R1032" s="53"/>
      <c r="S1032" s="53"/>
      <c r="T1032" s="48">
        <v>413.6</v>
      </c>
      <c r="U1032" s="98"/>
      <c r="V1032" s="98">
        <v>0.67530000000000001</v>
      </c>
      <c r="W1032" s="98">
        <v>255.02369276990891</v>
      </c>
      <c r="X1032" s="98">
        <v>255.02369276990891</v>
      </c>
      <c r="Y1032" s="233">
        <v>10.36</v>
      </c>
      <c r="Z1032" s="48">
        <v>4.18</v>
      </c>
      <c r="AA1032" s="48"/>
      <c r="AB1032" s="48">
        <v>3.33</v>
      </c>
      <c r="AC1032" s="48">
        <v>0.69640000000000002</v>
      </c>
      <c r="AD1032" s="48">
        <v>3.6</v>
      </c>
      <c r="AE1032" s="48">
        <v>4.07</v>
      </c>
      <c r="AF1032" s="48">
        <f t="shared" si="212"/>
        <v>3.6</v>
      </c>
      <c r="AG1032" s="49">
        <v>2.89</v>
      </c>
      <c r="AH1032" s="98">
        <v>4.64E-17</v>
      </c>
      <c r="AI1032" s="98"/>
      <c r="AJ1032" s="483">
        <f t="shared" si="214"/>
        <v>-14.722048345757772</v>
      </c>
      <c r="AK1032" s="483"/>
      <c r="AL1032" s="483">
        <f t="shared" si="213"/>
        <v>-14.722048345757772</v>
      </c>
      <c r="AM1032" s="483">
        <v>-19.477709999999998</v>
      </c>
      <c r="AN1032" s="226">
        <v>-18.399999999999999</v>
      </c>
      <c r="AO1032" s="484"/>
      <c r="AP1032" s="484">
        <v>10.050000000000001</v>
      </c>
      <c r="AQ1032" s="226" t="s">
        <v>6311</v>
      </c>
      <c r="AR1032" s="226" t="s">
        <v>6311</v>
      </c>
      <c r="AS1032" s="224"/>
      <c r="AT1032" s="50" t="s">
        <v>266</v>
      </c>
      <c r="AU1032" s="48">
        <v>6</v>
      </c>
      <c r="AV1032" s="48">
        <v>120</v>
      </c>
      <c r="AW1032" s="48">
        <v>114</v>
      </c>
      <c r="AX1032" s="48">
        <v>28</v>
      </c>
      <c r="AY1032" s="48" t="s">
        <v>8728</v>
      </c>
      <c r="AZ1032" s="48" t="s">
        <v>1563</v>
      </c>
      <c r="BA1032" s="48">
        <v>32</v>
      </c>
      <c r="BB1032" s="47" t="s">
        <v>2485</v>
      </c>
      <c r="BC1032" s="47" t="s">
        <v>8726</v>
      </c>
      <c r="BD1032" s="47" t="s">
        <v>8374</v>
      </c>
      <c r="BE1032" s="48" t="s">
        <v>2449</v>
      </c>
      <c r="BF1032" s="48" t="s">
        <v>272</v>
      </c>
      <c r="BG1032" s="48" t="s">
        <v>272</v>
      </c>
      <c r="BH1032" s="48" t="s">
        <v>2486</v>
      </c>
      <c r="BI1032" s="98">
        <v>2.6470399999999998E-3</v>
      </c>
      <c r="BJ1032" s="98">
        <v>26.470400000000001</v>
      </c>
      <c r="BK1032" s="48"/>
      <c r="BL1032" s="487">
        <v>3.7438852580351218</v>
      </c>
      <c r="BM1032" s="47" t="s">
        <v>2487</v>
      </c>
      <c r="BN1032" s="48"/>
      <c r="BO1032" s="48"/>
      <c r="BP1032" s="48"/>
      <c r="BQ1032" s="48"/>
      <c r="BR1032" s="47" t="e">
        <v>#VALUE!</v>
      </c>
      <c r="BS1032" s="48"/>
      <c r="BT1032" s="48"/>
      <c r="BU1032" s="228"/>
      <c r="BV1032" s="48"/>
      <c r="BW1032" s="48"/>
      <c r="BX1032" s="48"/>
      <c r="BY1032" s="48"/>
      <c r="BZ1032" s="48"/>
      <c r="CA1032" s="48"/>
      <c r="CB1032" s="48"/>
      <c r="CC1032" s="48"/>
      <c r="CD1032" s="48"/>
      <c r="CE1032" s="48"/>
      <c r="CF1032" s="48"/>
      <c r="CG1032" s="48"/>
      <c r="CH1032" s="48"/>
      <c r="CI1032" s="98"/>
      <c r="CJ1032" s="98"/>
      <c r="CK1032" s="49">
        <f t="shared" si="215"/>
        <v>0.14143667107543223</v>
      </c>
      <c r="CL1032" s="229"/>
      <c r="CM1032" s="229"/>
      <c r="CN1032" s="229"/>
      <c r="CO1032" s="47" t="s">
        <v>2488</v>
      </c>
      <c r="CP1032" s="500" t="s">
        <v>2489</v>
      </c>
      <c r="CQ1032" s="224" t="s">
        <v>272</v>
      </c>
      <c r="CR1032" s="224"/>
      <c r="CS1032" s="230" t="s">
        <v>539</v>
      </c>
      <c r="CT1032" s="230"/>
      <c r="CU1032" s="230"/>
      <c r="CV1032" s="335">
        <f t="shared" si="216"/>
        <v>9.6342969040856534</v>
      </c>
      <c r="CW1032" s="230">
        <f t="shared" si="217"/>
        <v>1</v>
      </c>
      <c r="CX1032" s="336"/>
      <c r="CY1032" s="230" t="s">
        <v>5921</v>
      </c>
    </row>
    <row r="1033" spans="1:103" ht="11.25" customHeight="1" x14ac:dyDescent="0.2">
      <c r="A1033" s="72">
        <v>1467</v>
      </c>
      <c r="B1033" s="224">
        <v>1067</v>
      </c>
      <c r="C1033" s="46" t="s">
        <v>1051</v>
      </c>
      <c r="D1033" s="46" t="s">
        <v>6765</v>
      </c>
      <c r="E1033" s="114"/>
      <c r="F1033" s="114" t="s">
        <v>1052</v>
      </c>
      <c r="G1033" s="225">
        <v>105512069</v>
      </c>
      <c r="H1033" s="47" t="s">
        <v>1053</v>
      </c>
      <c r="I1033" s="47" t="s">
        <v>7897</v>
      </c>
      <c r="J1033" s="47" t="s">
        <v>1054</v>
      </c>
      <c r="K1033" s="47" t="s">
        <v>1055</v>
      </c>
      <c r="L1033" s="47" t="s">
        <v>5967</v>
      </c>
      <c r="M1033" s="47" t="s">
        <v>6074</v>
      </c>
      <c r="N1033" s="47" t="s">
        <v>6082</v>
      </c>
      <c r="O1033" s="47" t="s">
        <v>6083</v>
      </c>
      <c r="P1033" s="53"/>
      <c r="Q1033" s="53"/>
      <c r="R1033" s="53"/>
      <c r="S1033" s="53"/>
      <c r="T1033" s="48">
        <v>349.74</v>
      </c>
      <c r="U1033" s="98">
        <v>4</v>
      </c>
      <c r="V1033" s="98">
        <v>2.9039999999999999</v>
      </c>
      <c r="W1033" s="98">
        <v>11.85073551681247</v>
      </c>
      <c r="X1033" s="98">
        <v>4</v>
      </c>
      <c r="Y1033" s="233">
        <v>7</v>
      </c>
      <c r="Z1033" s="48">
        <v>3.12</v>
      </c>
      <c r="AA1033" s="48">
        <v>3.9</v>
      </c>
      <c r="AB1033" s="48">
        <v>3.37</v>
      </c>
      <c r="AC1033" s="48">
        <v>0.78569999999999995</v>
      </c>
      <c r="AD1033" s="48">
        <v>3.09</v>
      </c>
      <c r="AE1033" s="48">
        <v>2.33</v>
      </c>
      <c r="AF1033" s="48">
        <f t="shared" si="212"/>
        <v>3.9</v>
      </c>
      <c r="AG1033" s="49">
        <v>3.83</v>
      </c>
      <c r="AH1033" s="98">
        <v>3.5099999999999998E-10</v>
      </c>
      <c r="AI1033" s="98">
        <v>2.76E-9</v>
      </c>
      <c r="AJ1033" s="483">
        <f t="shared" si="214"/>
        <v>-7.8432592098468277</v>
      </c>
      <c r="AK1033" s="483">
        <f>LOG10(AI1033*1000/(0.08206*298.15))</f>
        <v>-6.9476572442474342</v>
      </c>
      <c r="AL1033" s="483">
        <f t="shared" si="213"/>
        <v>-6.9476572442474342</v>
      </c>
      <c r="AM1033" s="483">
        <v>-14.626449999999998</v>
      </c>
      <c r="AN1033" s="226">
        <v>-7.69</v>
      </c>
      <c r="AO1033" s="484"/>
      <c r="AP1033" s="484">
        <v>-1.54</v>
      </c>
      <c r="AQ1033" s="48" t="s">
        <v>6311</v>
      </c>
      <c r="AR1033" s="48" t="s">
        <v>6314</v>
      </c>
      <c r="AS1033" s="227"/>
      <c r="AT1033" s="50" t="s">
        <v>266</v>
      </c>
      <c r="AU1033" s="48">
        <v>6</v>
      </c>
      <c r="AV1033" s="48">
        <v>120</v>
      </c>
      <c r="AW1033" s="48">
        <v>114</v>
      </c>
      <c r="AX1033" s="48">
        <v>28</v>
      </c>
      <c r="AY1033" s="48" t="s">
        <v>8728</v>
      </c>
      <c r="AZ1033" s="48" t="s">
        <v>1563</v>
      </c>
      <c r="BA1033" s="48">
        <v>32</v>
      </c>
      <c r="BB1033" s="47" t="s">
        <v>2485</v>
      </c>
      <c r="BC1033" s="47" t="s">
        <v>8726</v>
      </c>
      <c r="BD1033" s="47" t="s">
        <v>8374</v>
      </c>
      <c r="BE1033" s="48" t="s">
        <v>2449</v>
      </c>
      <c r="BF1033" s="48" t="s">
        <v>272</v>
      </c>
      <c r="BG1033" s="48" t="s">
        <v>272</v>
      </c>
      <c r="BH1033" s="48" t="s">
        <v>2486</v>
      </c>
      <c r="BI1033" s="98">
        <v>2.2383360000000001E-3</v>
      </c>
      <c r="BJ1033" s="98">
        <v>22.38336</v>
      </c>
      <c r="BK1033" s="48"/>
      <c r="BL1033" s="487">
        <v>28.344794043354849</v>
      </c>
      <c r="BM1033" s="47" t="s">
        <v>2487</v>
      </c>
      <c r="BN1033" s="48"/>
      <c r="BO1033" s="48"/>
      <c r="BP1033" s="48"/>
      <c r="BQ1033" s="48"/>
      <c r="BR1033" s="47" t="e">
        <v>#VALUE!</v>
      </c>
      <c r="BS1033" s="48"/>
      <c r="BT1033" s="48"/>
      <c r="BU1033" s="228">
        <v>22.38336</v>
      </c>
      <c r="BV1033" s="48"/>
      <c r="BW1033" s="48"/>
      <c r="BX1033" s="48"/>
      <c r="BY1033" s="48"/>
      <c r="BZ1033" s="48"/>
      <c r="CA1033" s="48"/>
      <c r="CB1033" s="48"/>
      <c r="CC1033" s="48"/>
      <c r="CD1033" s="48"/>
      <c r="CE1033" s="48"/>
      <c r="CF1033" s="48"/>
      <c r="CG1033" s="48"/>
      <c r="CH1033" s="48"/>
      <c r="CI1033" s="98"/>
      <c r="CJ1033" s="98"/>
      <c r="CK1033" s="49">
        <f t="shared" si="215"/>
        <v>1.2663332959553368</v>
      </c>
      <c r="CL1033" s="229"/>
      <c r="CM1033" s="229">
        <v>-0.61978875828839453</v>
      </c>
      <c r="CN1033" s="229">
        <f>BJ1033/(10^CM1033)</f>
        <v>93.264000000000124</v>
      </c>
      <c r="CO1033" s="47" t="s">
        <v>2488</v>
      </c>
      <c r="CP1033" s="500" t="s">
        <v>2489</v>
      </c>
      <c r="CQ1033" s="224">
        <v>-0.51720096551407746</v>
      </c>
      <c r="CR1033" s="224">
        <f>10^(CJ1033-CQ1033)</f>
        <v>3.2900383895809528</v>
      </c>
      <c r="CS1033" s="230" t="s">
        <v>539</v>
      </c>
      <c r="CT1033" s="230"/>
      <c r="CU1033" s="230"/>
      <c r="CV1033" s="335">
        <f t="shared" si="216"/>
        <v>0.17870418024818438</v>
      </c>
      <c r="CW1033" s="230">
        <f t="shared" si="217"/>
        <v>0</v>
      </c>
      <c r="CX1033" s="336"/>
      <c r="CY1033" s="230" t="s">
        <v>5921</v>
      </c>
    </row>
    <row r="1034" spans="1:103" ht="11.25" customHeight="1" x14ac:dyDescent="0.2">
      <c r="A1034" s="72">
        <v>1468</v>
      </c>
      <c r="B1034" s="224">
        <v>893</v>
      </c>
      <c r="C1034" s="46" t="s">
        <v>7500</v>
      </c>
      <c r="D1034" s="46"/>
      <c r="E1034" s="114"/>
      <c r="F1034" s="114" t="s">
        <v>2543</v>
      </c>
      <c r="G1034" s="225">
        <v>107071669</v>
      </c>
      <c r="H1034" s="47" t="s">
        <v>2544</v>
      </c>
      <c r="I1034" s="47" t="s">
        <v>7846</v>
      </c>
      <c r="J1034" s="47" t="s">
        <v>2545</v>
      </c>
      <c r="K1034" s="47" t="s">
        <v>455</v>
      </c>
      <c r="L1034" s="47"/>
      <c r="M1034" s="47"/>
      <c r="N1034" s="47"/>
      <c r="O1034" s="47"/>
      <c r="P1034" s="53"/>
      <c r="Q1034" s="53"/>
      <c r="R1034" s="53"/>
      <c r="S1034" s="53"/>
      <c r="T1034" s="48">
        <v>543.61</v>
      </c>
      <c r="U1034" s="98"/>
      <c r="V1034" s="98">
        <v>0.1221</v>
      </c>
      <c r="W1034" s="98">
        <v>495.77821238226551</v>
      </c>
      <c r="X1034" s="98">
        <v>495.77821238226551</v>
      </c>
      <c r="Y1034" s="233">
        <v>9.7100000000000009</v>
      </c>
      <c r="Z1034" s="48">
        <v>4.08</v>
      </c>
      <c r="AA1034" s="48"/>
      <c r="AB1034" s="48">
        <v>2.85</v>
      </c>
      <c r="AC1034" s="48">
        <v>0.34989999999999999</v>
      </c>
      <c r="AD1034" s="48">
        <v>2.0299999999999998</v>
      </c>
      <c r="AE1034" s="48">
        <v>1.19</v>
      </c>
      <c r="AF1034" s="48">
        <f t="shared" si="212"/>
        <v>2.0299999999999998</v>
      </c>
      <c r="AG1034" s="49">
        <v>2.59</v>
      </c>
      <c r="AH1034" s="98">
        <v>7.7899999999999998E-20</v>
      </c>
      <c r="AI1034" s="98"/>
      <c r="AJ1034" s="483">
        <f t="shared" si="214"/>
        <v>-17.497028868640086</v>
      </c>
      <c r="AK1034" s="483"/>
      <c r="AL1034" s="483">
        <f t="shared" si="213"/>
        <v>-17.497028868640086</v>
      </c>
      <c r="AM1034" s="483">
        <v>-30.082470000000001</v>
      </c>
      <c r="AN1034" s="226">
        <v>-23.2</v>
      </c>
      <c r="AO1034" s="484">
        <v>14.08</v>
      </c>
      <c r="AP1034" s="484">
        <v>8.66</v>
      </c>
      <c r="AQ1034" s="48" t="s">
        <v>6311</v>
      </c>
      <c r="AR1034" s="48" t="s">
        <v>6311</v>
      </c>
      <c r="AS1034" s="227"/>
      <c r="AT1034" s="50" t="s">
        <v>266</v>
      </c>
      <c r="AU1034" s="48">
        <v>6</v>
      </c>
      <c r="AV1034" s="48">
        <v>120</v>
      </c>
      <c r="AW1034" s="48">
        <v>114</v>
      </c>
      <c r="AX1034" s="48">
        <v>28</v>
      </c>
      <c r="AY1034" s="48" t="s">
        <v>8728</v>
      </c>
      <c r="AZ1034" s="48" t="s">
        <v>1563</v>
      </c>
      <c r="BA1034" s="48">
        <v>32</v>
      </c>
      <c r="BB1034" s="47" t="s">
        <v>2485</v>
      </c>
      <c r="BC1034" s="47" t="s">
        <v>8726</v>
      </c>
      <c r="BD1034" s="47" t="s">
        <v>8374</v>
      </c>
      <c r="BE1034" s="48" t="s">
        <v>2449</v>
      </c>
      <c r="BF1034" s="48" t="s">
        <v>272</v>
      </c>
      <c r="BG1034" s="48" t="s">
        <v>272</v>
      </c>
      <c r="BH1034" s="48" t="s">
        <v>2486</v>
      </c>
      <c r="BI1034" s="98">
        <v>3.4791039999999998E-3</v>
      </c>
      <c r="BJ1034" s="98">
        <v>34.791040000000002</v>
      </c>
      <c r="BK1034" s="48"/>
      <c r="BL1034" s="487">
        <v>6.0511711586340038</v>
      </c>
      <c r="BM1034" s="47" t="s">
        <v>2487</v>
      </c>
      <c r="BN1034" s="48"/>
      <c r="BO1034" s="48"/>
      <c r="BP1034" s="48"/>
      <c r="BQ1034" s="48"/>
      <c r="BR1034" s="47" t="e">
        <v>#VALUE!</v>
      </c>
      <c r="BS1034" s="48"/>
      <c r="BT1034" s="48"/>
      <c r="BU1034" s="228">
        <v>3.4791039999999998E-3</v>
      </c>
      <c r="BV1034" s="48"/>
      <c r="BW1034" s="48"/>
      <c r="BX1034" s="48"/>
      <c r="BY1034" s="48"/>
      <c r="BZ1034" s="48"/>
      <c r="CA1034" s="48"/>
      <c r="CB1034" s="48"/>
      <c r="CC1034" s="48"/>
      <c r="CD1034" s="48"/>
      <c r="CE1034" s="48"/>
      <c r="CF1034" s="48"/>
      <c r="CG1034" s="48"/>
      <c r="CH1034" s="48"/>
      <c r="CI1034" s="98"/>
      <c r="CJ1034" s="98"/>
      <c r="CK1034" s="49">
        <f t="shared" si="215"/>
        <v>0.17392901041860212</v>
      </c>
      <c r="CL1034" s="229"/>
      <c r="CM1034" s="229"/>
      <c r="CN1034" s="229"/>
      <c r="CO1034" s="47" t="s">
        <v>2488</v>
      </c>
      <c r="CP1034" s="500" t="s">
        <v>2489</v>
      </c>
      <c r="CQ1034" s="224" t="s">
        <v>272</v>
      </c>
      <c r="CR1034" s="224"/>
      <c r="CS1034" s="230" t="s">
        <v>539</v>
      </c>
      <c r="CT1034" s="230"/>
      <c r="CU1034" s="230"/>
      <c r="CV1034" s="335">
        <f t="shared" si="216"/>
        <v>14.250169364936072</v>
      </c>
      <c r="CW1034" s="230">
        <f t="shared" si="217"/>
        <v>1</v>
      </c>
      <c r="CX1034" s="336"/>
      <c r="CY1034" s="230" t="s">
        <v>5921</v>
      </c>
    </row>
    <row r="1035" spans="1:103" ht="11.25" customHeight="1" x14ac:dyDescent="0.2">
      <c r="A1035" s="72">
        <v>1469</v>
      </c>
      <c r="B1035" s="224">
        <v>1882</v>
      </c>
      <c r="C1035" s="46" t="s">
        <v>7501</v>
      </c>
      <c r="D1035" s="46" t="s">
        <v>8675</v>
      </c>
      <c r="E1035" s="114"/>
      <c r="F1035" s="114" t="s">
        <v>5342</v>
      </c>
      <c r="G1035" s="225">
        <v>107534963</v>
      </c>
      <c r="H1035" s="47" t="s">
        <v>5343</v>
      </c>
      <c r="I1035" s="47" t="s">
        <v>8159</v>
      </c>
      <c r="J1035" s="47" t="s">
        <v>5344</v>
      </c>
      <c r="K1035" s="47" t="s">
        <v>1112</v>
      </c>
      <c r="L1035" s="47" t="s">
        <v>6167</v>
      </c>
      <c r="M1035" s="47" t="s">
        <v>6082</v>
      </c>
      <c r="N1035" s="47" t="s">
        <v>6082</v>
      </c>
      <c r="O1035" s="47" t="s">
        <v>6083</v>
      </c>
      <c r="P1035" s="53"/>
      <c r="Q1035" s="53"/>
      <c r="R1035" s="53"/>
      <c r="S1035" s="53"/>
      <c r="T1035" s="48">
        <v>307.82</v>
      </c>
      <c r="U1035" s="98">
        <v>36</v>
      </c>
      <c r="V1035" s="98">
        <v>24.75</v>
      </c>
      <c r="W1035" s="98">
        <v>35.342464776916991</v>
      </c>
      <c r="X1035" s="98">
        <v>36</v>
      </c>
      <c r="Y1035" s="233">
        <v>7.08</v>
      </c>
      <c r="Z1035" s="48">
        <v>3.89</v>
      </c>
      <c r="AA1035" s="48">
        <v>3.7</v>
      </c>
      <c r="AB1035" s="48">
        <v>3.78</v>
      </c>
      <c r="AC1035" s="48">
        <v>0.85870000000000002</v>
      </c>
      <c r="AD1035" s="48">
        <v>3.74</v>
      </c>
      <c r="AE1035" s="48">
        <v>3.58</v>
      </c>
      <c r="AF1035" s="48">
        <f t="shared" si="212"/>
        <v>3.7</v>
      </c>
      <c r="AG1035" s="49">
        <v>3.77</v>
      </c>
      <c r="AH1035" s="98">
        <v>5.1799999999999997E-10</v>
      </c>
      <c r="AI1035" s="98">
        <v>1.4499999999999999E-10</v>
      </c>
      <c r="AJ1035" s="483">
        <f t="shared" si="214"/>
        <v>-7.6742365665674184</v>
      </c>
      <c r="AK1035" s="483">
        <f>LOG10(AI1035*1000/(0.08206*298.15))</f>
        <v>-8.2271983240776763</v>
      </c>
      <c r="AL1035" s="483">
        <f t="shared" si="213"/>
        <v>-8.2271983240776763</v>
      </c>
      <c r="AM1035" s="483">
        <v>-12.89578</v>
      </c>
      <c r="AN1035" s="226">
        <v>-7.78</v>
      </c>
      <c r="AO1035" s="484">
        <v>13.7</v>
      </c>
      <c r="AP1035" s="484">
        <v>3.27</v>
      </c>
      <c r="AQ1035" s="226" t="s">
        <v>6311</v>
      </c>
      <c r="AR1035" s="226" t="s">
        <v>6311</v>
      </c>
      <c r="AS1035" s="224"/>
      <c r="AT1035" s="50" t="s">
        <v>266</v>
      </c>
      <c r="AU1035" s="48">
        <v>6</v>
      </c>
      <c r="AV1035" s="48">
        <v>120</v>
      </c>
      <c r="AW1035" s="48">
        <v>114</v>
      </c>
      <c r="AX1035" s="48">
        <v>28</v>
      </c>
      <c r="AY1035" s="48" t="s">
        <v>8728</v>
      </c>
      <c r="AZ1035" s="48" t="s">
        <v>1563</v>
      </c>
      <c r="BA1035" s="48">
        <v>32</v>
      </c>
      <c r="BB1035" s="47" t="s">
        <v>2485</v>
      </c>
      <c r="BC1035" s="47" t="s">
        <v>8726</v>
      </c>
      <c r="BD1035" s="47" t="s">
        <v>8374</v>
      </c>
      <c r="BE1035" s="48" t="s">
        <v>2449</v>
      </c>
      <c r="BF1035" s="48" t="s">
        <v>272</v>
      </c>
      <c r="BG1035" s="48" t="s">
        <v>272</v>
      </c>
      <c r="BH1035" s="48" t="s">
        <v>2486</v>
      </c>
      <c r="BI1035" s="98">
        <v>1.9700479999999999E-3</v>
      </c>
      <c r="BJ1035" s="98">
        <v>19.700479999999999</v>
      </c>
      <c r="BK1035" s="48"/>
      <c r="BL1035" s="487">
        <v>5.0756052022671225</v>
      </c>
      <c r="BM1035" s="47" t="s">
        <v>2487</v>
      </c>
      <c r="BN1035" s="48"/>
      <c r="BO1035" s="48"/>
      <c r="BP1035" s="48"/>
      <c r="BQ1035" s="48"/>
      <c r="BR1035" s="47" t="e">
        <v>#VALUE!</v>
      </c>
      <c r="BS1035" s="48"/>
      <c r="BT1035" s="48"/>
      <c r="BU1035" s="228"/>
      <c r="BV1035" s="48"/>
      <c r="BW1035" s="48"/>
      <c r="BX1035" s="48"/>
      <c r="BY1035" s="48"/>
      <c r="BZ1035" s="48"/>
      <c r="CA1035" s="48"/>
      <c r="CB1035" s="48"/>
      <c r="CC1035" s="48"/>
      <c r="CD1035" s="48"/>
      <c r="CE1035" s="48"/>
      <c r="CF1035" s="48"/>
      <c r="CG1035" s="48"/>
      <c r="CH1035" s="48"/>
      <c r="CI1035" s="98"/>
      <c r="CJ1035" s="98"/>
      <c r="CK1035" s="49">
        <f t="shared" si="215"/>
        <v>0.25763865663512375</v>
      </c>
      <c r="CL1035" s="229"/>
      <c r="CM1035" s="229"/>
      <c r="CN1035" s="229"/>
      <c r="CO1035" s="47" t="s">
        <v>2488</v>
      </c>
      <c r="CP1035" s="500" t="s">
        <v>2489</v>
      </c>
      <c r="CQ1035" s="224">
        <v>1.0299295993859858</v>
      </c>
      <c r="CR1035" s="224">
        <f>10^(CJ1035-CQ1035)</f>
        <v>9.3340559675875373E-2</v>
      </c>
      <c r="CS1035" s="230" t="s">
        <v>539</v>
      </c>
      <c r="CT1035" s="230"/>
      <c r="CU1035" s="230"/>
      <c r="CV1035" s="335">
        <f t="shared" si="216"/>
        <v>1.8273666428432203</v>
      </c>
      <c r="CW1035" s="230">
        <f t="shared" si="217"/>
        <v>1</v>
      </c>
      <c r="CX1035" s="336"/>
      <c r="CY1035" s="230" t="s">
        <v>5921</v>
      </c>
    </row>
    <row r="1036" spans="1:103" ht="11.25" customHeight="1" x14ac:dyDescent="0.2">
      <c r="A1036" s="72">
        <v>1470</v>
      </c>
      <c r="B1036" s="224">
        <v>1724</v>
      </c>
      <c r="C1036" s="46" t="s">
        <v>7502</v>
      </c>
      <c r="D1036" s="46"/>
      <c r="E1036" s="114"/>
      <c r="F1036" s="114" t="s">
        <v>4997</v>
      </c>
      <c r="G1036" s="225">
        <v>110235477</v>
      </c>
      <c r="H1036" s="47" t="s">
        <v>4998</v>
      </c>
      <c r="I1036" s="47"/>
      <c r="J1036" s="47" t="s">
        <v>4999</v>
      </c>
      <c r="K1036" s="47" t="s">
        <v>426</v>
      </c>
      <c r="L1036" s="47"/>
      <c r="M1036" s="47"/>
      <c r="N1036" s="47"/>
      <c r="O1036" s="47"/>
      <c r="P1036" s="53"/>
      <c r="Q1036" s="53"/>
      <c r="R1036" s="53"/>
      <c r="S1036" s="53"/>
      <c r="T1036" s="48">
        <v>223.27</v>
      </c>
      <c r="U1036" s="98">
        <v>3.1</v>
      </c>
      <c r="V1036" s="98">
        <v>52.27</v>
      </c>
      <c r="W1036" s="98">
        <v>24.481068685288864</v>
      </c>
      <c r="X1036" s="98">
        <v>3.1</v>
      </c>
      <c r="Y1036" s="233">
        <v>7.02</v>
      </c>
      <c r="Z1036" s="48">
        <v>3.46</v>
      </c>
      <c r="AA1036" s="48">
        <v>3.28</v>
      </c>
      <c r="AB1036" s="48">
        <v>3.4</v>
      </c>
      <c r="AC1036" s="48">
        <v>0.81830000000000003</v>
      </c>
      <c r="AD1036" s="48">
        <v>3.37</v>
      </c>
      <c r="AE1036" s="48">
        <v>3.28</v>
      </c>
      <c r="AF1036" s="48">
        <f t="shared" si="212"/>
        <v>3.28</v>
      </c>
      <c r="AG1036" s="49">
        <v>4.01</v>
      </c>
      <c r="AH1036" s="98">
        <v>3.27E-7</v>
      </c>
      <c r="AI1036" s="98">
        <v>1.6499999999999999E-8</v>
      </c>
      <c r="AJ1036" s="483">
        <f t="shared" si="214"/>
        <v>-4.874018573652366</v>
      </c>
      <c r="AK1036" s="483">
        <f>LOG10(AI1036*1000/(0.08206*298.15))</f>
        <v>-6.1710823820987457</v>
      </c>
      <c r="AL1036" s="483">
        <f t="shared" si="213"/>
        <v>-6.1710823820987457</v>
      </c>
      <c r="AM1036" s="483">
        <v>-10.408529999999999</v>
      </c>
      <c r="AN1036" s="226">
        <v>-6.78</v>
      </c>
      <c r="AO1036" s="484"/>
      <c r="AP1036" s="484">
        <v>2.97</v>
      </c>
      <c r="AQ1036" s="226" t="s">
        <v>6311</v>
      </c>
      <c r="AR1036" s="226" t="s">
        <v>6311</v>
      </c>
      <c r="AS1036" s="224"/>
      <c r="AT1036" s="50" t="s">
        <v>266</v>
      </c>
      <c r="AU1036" s="48">
        <v>6</v>
      </c>
      <c r="AV1036" s="48">
        <v>120</v>
      </c>
      <c r="AW1036" s="48">
        <v>114</v>
      </c>
      <c r="AX1036" s="48">
        <v>28</v>
      </c>
      <c r="AY1036" s="48" t="s">
        <v>8728</v>
      </c>
      <c r="AZ1036" s="48" t="s">
        <v>1563</v>
      </c>
      <c r="BA1036" s="48">
        <v>32</v>
      </c>
      <c r="BB1036" s="47" t="s">
        <v>2485</v>
      </c>
      <c r="BC1036" s="47" t="s">
        <v>8726</v>
      </c>
      <c r="BD1036" s="47" t="s">
        <v>8374</v>
      </c>
      <c r="BE1036" s="48" t="s">
        <v>2449</v>
      </c>
      <c r="BF1036" s="48" t="s">
        <v>272</v>
      </c>
      <c r="BG1036" s="48" t="s">
        <v>272</v>
      </c>
      <c r="BH1036" s="48" t="s">
        <v>2486</v>
      </c>
      <c r="BI1036" s="98">
        <v>1.4289280000000001E-3</v>
      </c>
      <c r="BJ1036" s="98">
        <v>14.289280000000002</v>
      </c>
      <c r="BK1036" s="48"/>
      <c r="BL1036" s="487">
        <v>8.9578620974649237</v>
      </c>
      <c r="BM1036" s="47" t="s">
        <v>2487</v>
      </c>
      <c r="BN1036" s="48"/>
      <c r="BO1036" s="48"/>
      <c r="BP1036" s="48"/>
      <c r="BQ1036" s="48"/>
      <c r="BR1036" s="47" t="e">
        <v>#VALUE!</v>
      </c>
      <c r="BS1036" s="48"/>
      <c r="BT1036" s="48"/>
      <c r="BU1036" s="228"/>
      <c r="BV1036" s="48"/>
      <c r="BW1036" s="48"/>
      <c r="BX1036" s="48"/>
      <c r="BY1036" s="48"/>
      <c r="BZ1036" s="48"/>
      <c r="CA1036" s="48"/>
      <c r="CB1036" s="48"/>
      <c r="CC1036" s="48"/>
      <c r="CD1036" s="48"/>
      <c r="CE1036" s="48"/>
      <c r="CF1036" s="48"/>
      <c r="CG1036" s="48"/>
      <c r="CH1036" s="48"/>
      <c r="CI1036" s="98"/>
      <c r="CJ1036" s="98"/>
      <c r="CK1036" s="49">
        <f t="shared" si="215"/>
        <v>0.62689387411156638</v>
      </c>
      <c r="CL1036" s="229"/>
      <c r="CM1036" s="229"/>
      <c r="CN1036" s="229"/>
      <c r="CO1036" s="47" t="s">
        <v>2488</v>
      </c>
      <c r="CP1036" s="500" t="s">
        <v>2489</v>
      </c>
      <c r="CQ1036" s="224" t="s">
        <v>272</v>
      </c>
      <c r="CR1036" s="224"/>
      <c r="CS1036" s="230" t="s">
        <v>539</v>
      </c>
      <c r="CT1036" s="230"/>
      <c r="CU1036" s="230"/>
      <c r="CV1036" s="335">
        <f t="shared" si="216"/>
        <v>0.21694585031576116</v>
      </c>
      <c r="CW1036" s="230">
        <f t="shared" si="217"/>
        <v>0</v>
      </c>
      <c r="CX1036" s="336"/>
      <c r="CY1036" s="230" t="s">
        <v>5921</v>
      </c>
    </row>
    <row r="1037" spans="1:103" ht="11.25" customHeight="1" x14ac:dyDescent="0.2">
      <c r="A1037" s="72">
        <v>1472</v>
      </c>
      <c r="B1037" s="224">
        <v>1615</v>
      </c>
      <c r="C1037" s="46" t="s">
        <v>7503</v>
      </c>
      <c r="D1037" s="46" t="s">
        <v>8676</v>
      </c>
      <c r="E1037" s="114"/>
      <c r="F1037" s="114" t="s">
        <v>3829</v>
      </c>
      <c r="G1037" s="225">
        <v>110488705</v>
      </c>
      <c r="H1037" s="47" t="s">
        <v>3830</v>
      </c>
      <c r="I1037" s="47" t="s">
        <v>8160</v>
      </c>
      <c r="J1037" s="47" t="s">
        <v>3831</v>
      </c>
      <c r="K1037" s="47" t="s">
        <v>3832</v>
      </c>
      <c r="L1037" s="47" t="s">
        <v>6094</v>
      </c>
      <c r="M1037" s="47" t="s">
        <v>6082</v>
      </c>
      <c r="N1037" s="47" t="s">
        <v>6082</v>
      </c>
      <c r="O1037" s="47" t="s">
        <v>6083</v>
      </c>
      <c r="P1037" s="53"/>
      <c r="Q1037" s="53"/>
      <c r="R1037" s="53"/>
      <c r="S1037" s="53"/>
      <c r="T1037" s="48">
        <v>387.86</v>
      </c>
      <c r="U1037" s="98"/>
      <c r="V1037" s="98">
        <v>18.72</v>
      </c>
      <c r="W1037" s="98">
        <v>4.9966047111969925</v>
      </c>
      <c r="X1037" s="98">
        <v>4.9966047111969925</v>
      </c>
      <c r="Y1037" s="233">
        <v>7</v>
      </c>
      <c r="Z1037" s="48">
        <v>2.36</v>
      </c>
      <c r="AA1037" s="48">
        <v>2.68</v>
      </c>
      <c r="AB1037" s="48">
        <v>3.11</v>
      </c>
      <c r="AC1037" s="48">
        <v>0.67589999999999995</v>
      </c>
      <c r="AD1037" s="48">
        <v>3.31</v>
      </c>
      <c r="AE1037" s="48">
        <v>3.71</v>
      </c>
      <c r="AF1037" s="48">
        <f t="shared" ref="AF1037:AF1048" si="218">IF(AA1037=0,AD1037,AA1037)</f>
        <v>2.68</v>
      </c>
      <c r="AG1037" s="49">
        <v>3.31</v>
      </c>
      <c r="AH1037" s="98">
        <v>1.01E-15</v>
      </c>
      <c r="AI1037" s="98">
        <v>2.01E-10</v>
      </c>
      <c r="AJ1037" s="483">
        <f t="shared" si="214"/>
        <v>-13.384244952530009</v>
      </c>
      <c r="AK1037" s="483">
        <f>LOG10(AI1037*1000/(0.08206*298.15))</f>
        <v>-8.0853702688921629</v>
      </c>
      <c r="AL1037" s="483">
        <f t="shared" si="213"/>
        <v>-8.0853702688921629</v>
      </c>
      <c r="AM1037" s="483">
        <v>-19.18627</v>
      </c>
      <c r="AN1037" s="226">
        <v>-9.31</v>
      </c>
      <c r="AO1037" s="484"/>
      <c r="AP1037" s="484">
        <v>-1.37</v>
      </c>
      <c r="AQ1037" s="48" t="s">
        <v>6311</v>
      </c>
      <c r="AR1037" s="48" t="s">
        <v>6311</v>
      </c>
      <c r="AS1037" s="224"/>
      <c r="AT1037" s="50" t="s">
        <v>266</v>
      </c>
      <c r="AU1037" s="48">
        <v>6</v>
      </c>
      <c r="AV1037" s="48">
        <v>120</v>
      </c>
      <c r="AW1037" s="48">
        <v>114</v>
      </c>
      <c r="AX1037" s="48">
        <v>28</v>
      </c>
      <c r="AY1037" s="48" t="s">
        <v>8728</v>
      </c>
      <c r="AZ1037" s="48" t="s">
        <v>1563</v>
      </c>
      <c r="BA1037" s="48">
        <v>32</v>
      </c>
      <c r="BB1037" s="47" t="s">
        <v>2485</v>
      </c>
      <c r="BC1037" s="47" t="s">
        <v>8726</v>
      </c>
      <c r="BD1037" s="47" t="s">
        <v>8374</v>
      </c>
      <c r="BE1037" s="48" t="s">
        <v>2449</v>
      </c>
      <c r="BF1037" s="48" t="s">
        <v>272</v>
      </c>
      <c r="BG1037" s="48" t="s">
        <v>272</v>
      </c>
      <c r="BH1037" s="48" t="s">
        <v>2486</v>
      </c>
      <c r="BI1037" s="98">
        <v>2.4823039999999998E-3</v>
      </c>
      <c r="BJ1037" s="98">
        <v>24.823040000000002</v>
      </c>
      <c r="BK1037" s="48"/>
      <c r="BL1037" s="487">
        <v>151.34183419645859</v>
      </c>
      <c r="BM1037" s="47" t="s">
        <v>2487</v>
      </c>
      <c r="BN1037" s="48"/>
      <c r="BO1037" s="48"/>
      <c r="BP1037" s="48"/>
      <c r="BQ1037" s="48"/>
      <c r="BR1037" s="47" t="e">
        <v>#VALUE!</v>
      </c>
      <c r="BS1037" s="48"/>
      <c r="BT1037" s="48"/>
      <c r="BU1037" s="228"/>
      <c r="BV1037" s="48"/>
      <c r="BW1037" s="48"/>
      <c r="BX1037" s="48"/>
      <c r="BY1037" s="48"/>
      <c r="BZ1037" s="48"/>
      <c r="CA1037" s="48"/>
      <c r="CB1037" s="48"/>
      <c r="CC1037" s="48"/>
      <c r="CD1037" s="48"/>
      <c r="CE1037" s="48"/>
      <c r="CF1037" s="48"/>
      <c r="CG1037" s="48"/>
      <c r="CH1037" s="48"/>
      <c r="CI1037" s="98"/>
      <c r="CJ1037" s="98"/>
      <c r="CK1037" s="49">
        <f t="shared" si="215"/>
        <v>6.0968291634086142</v>
      </c>
      <c r="CL1037" s="229"/>
      <c r="CM1037" s="229"/>
      <c r="CN1037" s="229"/>
      <c r="CO1037" s="47" t="s">
        <v>2488</v>
      </c>
      <c r="CP1037" s="500" t="s">
        <v>2489</v>
      </c>
      <c r="CQ1037" s="224">
        <v>0.79239168949825378</v>
      </c>
      <c r="CR1037" s="224">
        <f>10^(CJ1037-CQ1037)</f>
        <v>0.16129032258064518</v>
      </c>
      <c r="CS1037" s="230" t="s">
        <v>539</v>
      </c>
      <c r="CT1037" s="230"/>
      <c r="CU1037" s="230"/>
      <c r="CV1037" s="335">
        <f t="shared" si="216"/>
        <v>0.20128899245205228</v>
      </c>
      <c r="CW1037" s="230">
        <f t="shared" si="217"/>
        <v>0</v>
      </c>
      <c r="CX1037" s="336"/>
      <c r="CY1037" s="230" t="s">
        <v>5921</v>
      </c>
    </row>
    <row r="1038" spans="1:103" ht="11.25" customHeight="1" x14ac:dyDescent="0.2">
      <c r="A1038" s="72">
        <v>1474</v>
      </c>
      <c r="B1038" s="224">
        <v>1298</v>
      </c>
      <c r="C1038" s="46" t="s">
        <v>7504</v>
      </c>
      <c r="D1038" s="46" t="s">
        <v>8677</v>
      </c>
      <c r="E1038" s="114"/>
      <c r="F1038" s="114" t="s">
        <v>3564</v>
      </c>
      <c r="G1038" s="225">
        <v>111988499</v>
      </c>
      <c r="H1038" s="47" t="s">
        <v>3565</v>
      </c>
      <c r="I1038" s="47" t="s">
        <v>8161</v>
      </c>
      <c r="J1038" s="47" t="s">
        <v>3566</v>
      </c>
      <c r="K1038" s="47" t="s">
        <v>2432</v>
      </c>
      <c r="L1038" s="47" t="s">
        <v>8535</v>
      </c>
      <c r="M1038" s="47" t="s">
        <v>2433</v>
      </c>
      <c r="N1038" s="47" t="s">
        <v>6082</v>
      </c>
      <c r="O1038" s="47" t="s">
        <v>6082</v>
      </c>
      <c r="P1038" s="53" t="s">
        <v>6183</v>
      </c>
      <c r="Q1038" s="53" t="s">
        <v>6176</v>
      </c>
      <c r="R1038" s="53" t="s">
        <v>6185</v>
      </c>
      <c r="S1038" s="53" t="s">
        <v>6176</v>
      </c>
      <c r="T1038" s="48">
        <v>252.72</v>
      </c>
      <c r="U1038" s="98"/>
      <c r="V1038" s="98">
        <v>231.9</v>
      </c>
      <c r="W1038" s="98">
        <v>449.40677250503643</v>
      </c>
      <c r="X1038" s="98">
        <v>449.40677250503643</v>
      </c>
      <c r="Y1038" s="233">
        <v>7</v>
      </c>
      <c r="Z1038" s="48">
        <v>2.33</v>
      </c>
      <c r="AA1038" s="48"/>
      <c r="AB1038" s="48">
        <v>1.55</v>
      </c>
      <c r="AC1038" s="48">
        <v>0.67530000000000001</v>
      </c>
      <c r="AD1038" s="48">
        <v>1.22</v>
      </c>
      <c r="AE1038" s="48">
        <v>0.55000000000000004</v>
      </c>
      <c r="AF1038" s="48">
        <f t="shared" si="218"/>
        <v>1.22</v>
      </c>
      <c r="AG1038" s="49">
        <v>2.0499999999999998</v>
      </c>
      <c r="AH1038" s="98">
        <v>2.4499999999999998E-10</v>
      </c>
      <c r="AI1038" s="98"/>
      <c r="AJ1038" s="483">
        <f t="shared" si="214"/>
        <v>-7.9994002419481189</v>
      </c>
      <c r="AK1038" s="483"/>
      <c r="AL1038" s="483">
        <f t="shared" si="213"/>
        <v>-7.9994002419481189</v>
      </c>
      <c r="AM1038" s="483">
        <v>-13.170950000000001</v>
      </c>
      <c r="AN1038" s="226">
        <v>-13</v>
      </c>
      <c r="AO1038" s="484"/>
      <c r="AP1038" s="484"/>
      <c r="AQ1038" s="48" t="s">
        <v>6311</v>
      </c>
      <c r="AR1038" s="48" t="s">
        <v>6311</v>
      </c>
      <c r="AS1038" s="227"/>
      <c r="AT1038" s="50" t="s">
        <v>266</v>
      </c>
      <c r="AU1038" s="48">
        <v>6</v>
      </c>
      <c r="AV1038" s="48">
        <v>120</v>
      </c>
      <c r="AW1038" s="48">
        <v>114</v>
      </c>
      <c r="AX1038" s="48">
        <v>28</v>
      </c>
      <c r="AY1038" s="48" t="s">
        <v>8728</v>
      </c>
      <c r="AZ1038" s="48" t="s">
        <v>1563</v>
      </c>
      <c r="BA1038" s="48">
        <v>32</v>
      </c>
      <c r="BB1038" s="47" t="s">
        <v>2485</v>
      </c>
      <c r="BC1038" s="47" t="s">
        <v>8726</v>
      </c>
      <c r="BD1038" s="47" t="s">
        <v>8374</v>
      </c>
      <c r="BE1038" s="48" t="s">
        <v>2449</v>
      </c>
      <c r="BF1038" s="48" t="s">
        <v>272</v>
      </c>
      <c r="BG1038" s="48" t="s">
        <v>272</v>
      </c>
      <c r="BH1038" s="48" t="s">
        <v>2486</v>
      </c>
      <c r="BI1038" s="98">
        <v>1.6174079999999999E-3</v>
      </c>
      <c r="BJ1038" s="98">
        <v>16.17408</v>
      </c>
      <c r="BK1038" s="48"/>
      <c r="BL1038" s="487">
        <v>104.92201267737308</v>
      </c>
      <c r="BM1038" s="47" t="s">
        <v>2487</v>
      </c>
      <c r="BN1038" s="48"/>
      <c r="BO1038" s="48"/>
      <c r="BP1038" s="48"/>
      <c r="BQ1038" s="48"/>
      <c r="BR1038" s="47" t="e">
        <v>#VALUE!</v>
      </c>
      <c r="BS1038" s="48"/>
      <c r="BT1038" s="48"/>
      <c r="BU1038" s="228">
        <v>1.617408E-2</v>
      </c>
      <c r="BV1038" s="48"/>
      <c r="BW1038" s="48"/>
      <c r="BX1038" s="48"/>
      <c r="BY1038" s="48"/>
      <c r="BZ1038" s="48"/>
      <c r="CA1038" s="48"/>
      <c r="CB1038" s="48"/>
      <c r="CC1038" s="48"/>
      <c r="CD1038" s="48"/>
      <c r="CE1038" s="48"/>
      <c r="CF1038" s="48"/>
      <c r="CG1038" s="48"/>
      <c r="CH1038" s="48"/>
      <c r="CI1038" s="98"/>
      <c r="CJ1038" s="98"/>
      <c r="CK1038" s="49">
        <f t="shared" si="215"/>
        <v>6.4870467239789269</v>
      </c>
      <c r="CL1038" s="229"/>
      <c r="CM1038" s="229"/>
      <c r="CN1038" s="229"/>
      <c r="CO1038" s="47" t="s">
        <v>2488</v>
      </c>
      <c r="CP1038" s="500" t="s">
        <v>2489</v>
      </c>
      <c r="CQ1038" s="224">
        <v>1.596093672820255</v>
      </c>
      <c r="CR1038" s="224">
        <f>10^(CJ1038-CQ1038)</f>
        <v>2.5345818884828258E-2</v>
      </c>
      <c r="CS1038" s="230" t="s">
        <v>539</v>
      </c>
      <c r="CT1038" s="230"/>
      <c r="CU1038" s="230"/>
      <c r="CV1038" s="335">
        <f t="shared" si="216"/>
        <v>27.785615781858159</v>
      </c>
      <c r="CW1038" s="230">
        <f t="shared" si="217"/>
        <v>1</v>
      </c>
      <c r="CX1038" s="336"/>
      <c r="CY1038" s="230" t="s">
        <v>5921</v>
      </c>
    </row>
    <row r="1039" spans="1:103" ht="11.25" customHeight="1" x14ac:dyDescent="0.2">
      <c r="A1039" s="72">
        <v>1476</v>
      </c>
      <c r="B1039" s="224">
        <v>1821</v>
      </c>
      <c r="C1039" s="46" t="s">
        <v>7506</v>
      </c>
      <c r="D1039" s="46"/>
      <c r="E1039" s="114"/>
      <c r="F1039" s="114" t="s">
        <v>5225</v>
      </c>
      <c r="G1039" s="225">
        <v>112529154</v>
      </c>
      <c r="H1039" s="47" t="s">
        <v>5226</v>
      </c>
      <c r="I1039" s="47" t="s">
        <v>7848</v>
      </c>
      <c r="J1039" s="47" t="s">
        <v>5227</v>
      </c>
      <c r="K1039" s="47" t="s">
        <v>376</v>
      </c>
      <c r="L1039" s="47"/>
      <c r="M1039" s="47"/>
      <c r="N1039" s="47"/>
      <c r="O1039" s="47"/>
      <c r="P1039" s="53"/>
      <c r="Q1039" s="53"/>
      <c r="R1039" s="53"/>
      <c r="S1039" s="53"/>
      <c r="T1039" s="48">
        <v>610.55999999999995</v>
      </c>
      <c r="U1039" s="98"/>
      <c r="V1039" s="98">
        <v>2041</v>
      </c>
      <c r="W1039" s="98">
        <v>26.045239099950017</v>
      </c>
      <c r="X1039" s="98">
        <v>26.045239099950017</v>
      </c>
      <c r="Y1039" s="233">
        <v>5.76</v>
      </c>
      <c r="Z1039" s="48">
        <v>-0.69</v>
      </c>
      <c r="AA1039" s="48"/>
      <c r="AB1039" s="48">
        <v>-0.39</v>
      </c>
      <c r="AC1039" s="48">
        <v>0.72440000000000004</v>
      </c>
      <c r="AD1039" s="48">
        <v>0.47</v>
      </c>
      <c r="AE1039" s="48">
        <v>2.44</v>
      </c>
      <c r="AF1039" s="48">
        <f t="shared" si="218"/>
        <v>0.47</v>
      </c>
      <c r="AG1039" s="49">
        <v>-0.46</v>
      </c>
      <c r="AH1039" s="98">
        <v>4.47E-33</v>
      </c>
      <c r="AI1039" s="98"/>
      <c r="AJ1039" s="483">
        <f t="shared" si="214"/>
        <v>-30.738258803180717</v>
      </c>
      <c r="AK1039" s="483"/>
      <c r="AL1039" s="483">
        <f t="shared" si="213"/>
        <v>-30.738258803180717</v>
      </c>
      <c r="AM1039" s="483">
        <v>-44.547989999999999</v>
      </c>
      <c r="AN1039" s="226">
        <v>-31.2</v>
      </c>
      <c r="AO1039" s="484">
        <v>7.14</v>
      </c>
      <c r="AP1039" s="484"/>
      <c r="AQ1039" s="226" t="s">
        <v>6311</v>
      </c>
      <c r="AR1039" s="226" t="s">
        <v>6311</v>
      </c>
      <c r="AS1039" s="224"/>
      <c r="AT1039" s="50" t="s">
        <v>266</v>
      </c>
      <c r="AU1039" s="48">
        <v>6</v>
      </c>
      <c r="AV1039" s="48">
        <v>120</v>
      </c>
      <c r="AW1039" s="48">
        <v>114</v>
      </c>
      <c r="AX1039" s="48">
        <v>28</v>
      </c>
      <c r="AY1039" s="48" t="s">
        <v>8728</v>
      </c>
      <c r="AZ1039" s="48" t="s">
        <v>1563</v>
      </c>
      <c r="BA1039" s="48">
        <v>32</v>
      </c>
      <c r="BB1039" s="47" t="s">
        <v>2485</v>
      </c>
      <c r="BC1039" s="47" t="s">
        <v>8726</v>
      </c>
      <c r="BD1039" s="47" t="s">
        <v>8374</v>
      </c>
      <c r="BE1039" s="48" t="s">
        <v>2449</v>
      </c>
      <c r="BF1039" s="48" t="s">
        <v>272</v>
      </c>
      <c r="BG1039" s="48" t="s">
        <v>272</v>
      </c>
      <c r="BH1039" s="48" t="s">
        <v>2486</v>
      </c>
      <c r="BI1039" s="98">
        <v>3.9075839999999995E-3</v>
      </c>
      <c r="BJ1039" s="98">
        <v>39.075839999999999</v>
      </c>
      <c r="BK1039" s="48"/>
      <c r="BL1039" s="487">
        <v>130682.47430436028</v>
      </c>
      <c r="BM1039" s="47" t="s">
        <v>2487</v>
      </c>
      <c r="BN1039" s="48"/>
      <c r="BO1039" s="48"/>
      <c r="BP1039" s="48"/>
      <c r="BQ1039" s="48"/>
      <c r="BR1039" s="47" t="e">
        <v>#VALUE!</v>
      </c>
      <c r="BS1039" s="48"/>
      <c r="BT1039" s="48"/>
      <c r="BU1039" s="228"/>
      <c r="BV1039" s="48"/>
      <c r="BW1039" s="48"/>
      <c r="BX1039" s="48"/>
      <c r="BY1039" s="48"/>
      <c r="BZ1039" s="48"/>
      <c r="CA1039" s="48"/>
      <c r="CB1039" s="48"/>
      <c r="CC1039" s="48"/>
      <c r="CD1039" s="48"/>
      <c r="CE1039" s="48"/>
      <c r="CF1039" s="48"/>
      <c r="CG1039" s="48"/>
      <c r="CH1039" s="48"/>
      <c r="CI1039" s="98"/>
      <c r="CJ1039" s="98"/>
      <c r="CK1039" s="49">
        <f t="shared" si="215"/>
        <v>3344.3292403787168</v>
      </c>
      <c r="CL1039" s="229"/>
      <c r="CM1039" s="229"/>
      <c r="CN1039" s="229"/>
      <c r="CO1039" s="47" t="s">
        <v>2488</v>
      </c>
      <c r="CP1039" s="500" t="s">
        <v>2489</v>
      </c>
      <c r="CQ1039" s="224" t="s">
        <v>272</v>
      </c>
      <c r="CR1039" s="224"/>
      <c r="CS1039" s="230" t="s">
        <v>539</v>
      </c>
      <c r="CT1039" s="230"/>
      <c r="CU1039" s="230"/>
      <c r="CV1039" s="335">
        <f t="shared" si="216"/>
        <v>0.66653049812748788</v>
      </c>
      <c r="CW1039" s="230">
        <f t="shared" si="217"/>
        <v>0</v>
      </c>
      <c r="CX1039" s="336"/>
      <c r="CY1039" s="230" t="s">
        <v>5921</v>
      </c>
    </row>
    <row r="1040" spans="1:103" ht="11.25" customHeight="1" x14ac:dyDescent="0.2">
      <c r="A1040" s="72">
        <v>1477</v>
      </c>
      <c r="B1040" s="224">
        <v>1935</v>
      </c>
      <c r="C1040" s="46" t="s">
        <v>7507</v>
      </c>
      <c r="D1040" s="46"/>
      <c r="E1040" s="114"/>
      <c r="F1040" s="114" t="s">
        <v>5430</v>
      </c>
      <c r="G1040" s="225">
        <v>112733069</v>
      </c>
      <c r="H1040" s="47" t="s">
        <v>5431</v>
      </c>
      <c r="I1040" s="47" t="s">
        <v>7778</v>
      </c>
      <c r="J1040" s="47" t="s">
        <v>5432</v>
      </c>
      <c r="K1040" s="47" t="s">
        <v>3315</v>
      </c>
      <c r="L1040" s="47"/>
      <c r="M1040" s="47"/>
      <c r="N1040" s="47"/>
      <c r="O1040" s="47"/>
      <c r="P1040" s="53"/>
      <c r="Q1040" s="53"/>
      <c r="R1040" s="53"/>
      <c r="S1040" s="53"/>
      <c r="T1040" s="48">
        <v>284.72000000000003</v>
      </c>
      <c r="U1040" s="98"/>
      <c r="V1040" s="98">
        <v>8235</v>
      </c>
      <c r="W1040" s="98">
        <v>305.08297658725098</v>
      </c>
      <c r="X1040" s="98">
        <v>305.08297658725098</v>
      </c>
      <c r="Y1040" s="233">
        <v>4.32</v>
      </c>
      <c r="Z1040" s="48">
        <v>0.31</v>
      </c>
      <c r="AA1040" s="48"/>
      <c r="AB1040" s="48">
        <v>1.02</v>
      </c>
      <c r="AC1040" s="48">
        <v>0.86670000000000003</v>
      </c>
      <c r="AD1040" s="48">
        <v>1.1599999999999999</v>
      </c>
      <c r="AE1040" s="48">
        <v>1.62</v>
      </c>
      <c r="AF1040" s="48">
        <f t="shared" si="218"/>
        <v>1.1599999999999999</v>
      </c>
      <c r="AG1040" s="49">
        <v>1.1599999999999999</v>
      </c>
      <c r="AH1040" s="98">
        <v>2.0900000000000002E-12</v>
      </c>
      <c r="AI1040" s="98"/>
      <c r="AJ1040" s="483">
        <f t="shared" si="214"/>
        <v>-10.068420040201598</v>
      </c>
      <c r="AK1040" s="483"/>
      <c r="AL1040" s="483">
        <f t="shared" si="213"/>
        <v>-10.068420040201598</v>
      </c>
      <c r="AM1040" s="483">
        <v>-19.350699999999996</v>
      </c>
      <c r="AN1040" s="226"/>
      <c r="AO1040" s="484">
        <v>5.65</v>
      </c>
      <c r="AP1040" s="484">
        <v>1.1200000000000001</v>
      </c>
      <c r="AQ1040" s="226" t="s">
        <v>6311</v>
      </c>
      <c r="AR1040" s="226" t="s">
        <v>6311</v>
      </c>
      <c r="AS1040" s="224"/>
      <c r="AT1040" s="50" t="s">
        <v>266</v>
      </c>
      <c r="AU1040" s="48">
        <v>6</v>
      </c>
      <c r="AV1040" s="48">
        <v>120</v>
      </c>
      <c r="AW1040" s="48">
        <v>114</v>
      </c>
      <c r="AX1040" s="48">
        <v>28</v>
      </c>
      <c r="AY1040" s="48" t="s">
        <v>8728</v>
      </c>
      <c r="AZ1040" s="48" t="s">
        <v>1563</v>
      </c>
      <c r="BA1040" s="48">
        <v>32</v>
      </c>
      <c r="BB1040" s="47" t="s">
        <v>2485</v>
      </c>
      <c r="BC1040" s="47" t="s">
        <v>8726</v>
      </c>
      <c r="BD1040" s="47" t="s">
        <v>8374</v>
      </c>
      <c r="BE1040" s="48" t="s">
        <v>2449</v>
      </c>
      <c r="BF1040" s="48" t="s">
        <v>272</v>
      </c>
      <c r="BG1040" s="48" t="s">
        <v>272</v>
      </c>
      <c r="BH1040" s="48" t="s">
        <v>2486</v>
      </c>
      <c r="BI1040" s="98">
        <v>1.8222080000000001E-3</v>
      </c>
      <c r="BJ1040" s="98">
        <v>18.222080000000002</v>
      </c>
      <c r="BK1040" s="48"/>
      <c r="BL1040" s="487">
        <v>7705.6091214030112</v>
      </c>
      <c r="BM1040" s="47" t="s">
        <v>2487</v>
      </c>
      <c r="BN1040" s="48"/>
      <c r="BO1040" s="48"/>
      <c r="BP1040" s="48"/>
      <c r="BQ1040" s="48"/>
      <c r="BR1040" s="47" t="e">
        <v>#VALUE!</v>
      </c>
      <c r="BS1040" s="48"/>
      <c r="BT1040" s="48"/>
      <c r="BU1040" s="228"/>
      <c r="BV1040" s="48"/>
      <c r="BW1040" s="48"/>
      <c r="BX1040" s="48"/>
      <c r="BY1040" s="48"/>
      <c r="BZ1040" s="48"/>
      <c r="CA1040" s="48"/>
      <c r="CB1040" s="48"/>
      <c r="CC1040" s="48"/>
      <c r="CD1040" s="48"/>
      <c r="CE1040" s="48"/>
      <c r="CF1040" s="48"/>
      <c r="CG1040" s="48"/>
      <c r="CH1040" s="48"/>
      <c r="CI1040" s="98"/>
      <c r="CJ1040" s="98"/>
      <c r="CK1040" s="49">
        <f t="shared" si="215"/>
        <v>422.87209371284786</v>
      </c>
      <c r="CL1040" s="229"/>
      <c r="CM1040" s="229"/>
      <c r="CN1040" s="229"/>
      <c r="CO1040" s="47" t="s">
        <v>2488</v>
      </c>
      <c r="CP1040" s="500" t="s">
        <v>2489</v>
      </c>
      <c r="CQ1040" s="224" t="s">
        <v>272</v>
      </c>
      <c r="CR1040" s="224"/>
      <c r="CS1040" s="230" t="s">
        <v>539</v>
      </c>
      <c r="CT1040" s="230"/>
      <c r="CU1040" s="230"/>
      <c r="CV1040" s="335">
        <f t="shared" si="216"/>
        <v>16.742489144337583</v>
      </c>
      <c r="CW1040" s="230">
        <f t="shared" si="217"/>
        <v>1</v>
      </c>
      <c r="CX1040" s="336"/>
      <c r="CY1040" s="230" t="s">
        <v>5921</v>
      </c>
    </row>
    <row r="1041" spans="1:103" ht="11.25" customHeight="1" x14ac:dyDescent="0.2">
      <c r="A1041" s="72">
        <v>1478</v>
      </c>
      <c r="B1041" s="224">
        <v>183</v>
      </c>
      <c r="C1041" s="46" t="s">
        <v>7508</v>
      </c>
      <c r="D1041" s="46"/>
      <c r="E1041" s="114"/>
      <c r="F1041" s="114" t="s">
        <v>3672</v>
      </c>
      <c r="G1041" s="225">
        <v>113734182</v>
      </c>
      <c r="H1041" s="236" t="s">
        <v>3673</v>
      </c>
      <c r="I1041" s="236" t="s">
        <v>8162</v>
      </c>
      <c r="J1041" s="236" t="s">
        <v>3674</v>
      </c>
      <c r="K1041" s="236" t="s">
        <v>3675</v>
      </c>
      <c r="L1041" s="47"/>
      <c r="M1041" s="47"/>
      <c r="N1041" s="47"/>
      <c r="O1041" s="52"/>
      <c r="P1041" s="53"/>
      <c r="Q1041" s="53"/>
      <c r="R1041" s="53"/>
      <c r="S1041" s="53"/>
      <c r="T1041" s="226">
        <v>404.41</v>
      </c>
      <c r="U1041" s="98"/>
      <c r="V1041" s="98">
        <v>32.58</v>
      </c>
      <c r="W1041" s="98">
        <v>395.20450452673924</v>
      </c>
      <c r="X1041" s="98">
        <v>395.20450452673924</v>
      </c>
      <c r="Y1041" s="233">
        <v>6.06</v>
      </c>
      <c r="Z1041" s="48">
        <v>-0.15</v>
      </c>
      <c r="AA1041" s="48"/>
      <c r="AB1041" s="48">
        <v>1.62</v>
      </c>
      <c r="AC1041" s="48">
        <v>0.57479999999999998</v>
      </c>
      <c r="AD1041" s="48">
        <v>1.67</v>
      </c>
      <c r="AE1041" s="48">
        <v>1.75</v>
      </c>
      <c r="AF1041" s="48">
        <f t="shared" si="218"/>
        <v>1.67</v>
      </c>
      <c r="AG1041" s="48">
        <v>2.94</v>
      </c>
      <c r="AH1041" s="98">
        <v>8.0200000000000005E-18</v>
      </c>
      <c r="AI1041" s="98"/>
      <c r="AJ1041" s="483">
        <f t="shared" si="214"/>
        <v>-15.484391958028489</v>
      </c>
      <c r="AK1041" s="483"/>
      <c r="AL1041" s="483">
        <f t="shared" si="213"/>
        <v>-15.484391958028489</v>
      </c>
      <c r="AM1041" s="483">
        <v>-20.301399999999997</v>
      </c>
      <c r="AN1041" s="48">
        <v>-19.149999999999999</v>
      </c>
      <c r="AO1041" s="484">
        <v>3.18</v>
      </c>
      <c r="AP1041" s="484">
        <v>8.8000000000000007</v>
      </c>
      <c r="AQ1041" s="48" t="s">
        <v>6311</v>
      </c>
      <c r="AR1041" s="48" t="s">
        <v>6311</v>
      </c>
      <c r="AS1041" s="227"/>
      <c r="AT1041" s="50" t="s">
        <v>266</v>
      </c>
      <c r="AU1041" s="48">
        <v>6</v>
      </c>
      <c r="AV1041" s="48">
        <v>120</v>
      </c>
      <c r="AW1041" s="48">
        <v>114</v>
      </c>
      <c r="AX1041" s="48">
        <v>28</v>
      </c>
      <c r="AY1041" s="48" t="s">
        <v>8728</v>
      </c>
      <c r="AZ1041" s="48" t="s">
        <v>1563</v>
      </c>
      <c r="BA1041" s="48">
        <v>32</v>
      </c>
      <c r="BB1041" s="47" t="s">
        <v>2485</v>
      </c>
      <c r="BC1041" s="47" t="s">
        <v>8726</v>
      </c>
      <c r="BD1041" s="47" t="s">
        <v>8374</v>
      </c>
      <c r="BE1041" s="48" t="s">
        <v>2449</v>
      </c>
      <c r="BF1041" s="48" t="s">
        <v>272</v>
      </c>
      <c r="BG1041" s="48" t="s">
        <v>272</v>
      </c>
      <c r="BH1041" s="48" t="s">
        <v>2486</v>
      </c>
      <c r="BI1041" s="98">
        <v>2.5882240000000001E-3</v>
      </c>
      <c r="BJ1041" s="98">
        <v>25.882240000000003</v>
      </c>
      <c r="BK1041" s="48"/>
      <c r="BL1041" s="487">
        <v>28335.891833390961</v>
      </c>
      <c r="BM1041" s="47" t="s">
        <v>2487</v>
      </c>
      <c r="BN1041" s="48"/>
      <c r="BO1041" s="48"/>
      <c r="BP1041" s="48"/>
      <c r="BQ1041" s="48"/>
      <c r="BR1041" s="47" t="e">
        <v>#VALUE!</v>
      </c>
      <c r="BS1041" s="48"/>
      <c r="BT1041" s="48"/>
      <c r="BU1041" s="228"/>
      <c r="BV1041" s="48"/>
      <c r="BW1041" s="48"/>
      <c r="BX1041" s="48"/>
      <c r="BY1041" s="48"/>
      <c r="BZ1041" s="48"/>
      <c r="CA1041" s="48"/>
      <c r="CB1041" s="48"/>
      <c r="CC1041" s="48"/>
      <c r="CD1041" s="48"/>
      <c r="CE1041" s="48"/>
      <c r="CF1041" s="48"/>
      <c r="CG1041" s="48"/>
      <c r="CH1041" s="48"/>
      <c r="CI1041" s="98"/>
      <c r="CJ1041" s="98"/>
      <c r="CK1041" s="49">
        <f t="shared" si="215"/>
        <v>1094.8005981472606</v>
      </c>
      <c r="CL1041" s="229"/>
      <c r="CM1041" s="229"/>
      <c r="CN1041" s="229"/>
      <c r="CO1041" s="47" t="s">
        <v>2488</v>
      </c>
      <c r="CP1041" s="500" t="s">
        <v>2489</v>
      </c>
      <c r="CQ1041" s="224" t="s">
        <v>272</v>
      </c>
      <c r="CR1041" s="224"/>
      <c r="CS1041" s="230" t="s">
        <v>539</v>
      </c>
      <c r="CT1041" s="230"/>
      <c r="CU1041" s="230"/>
      <c r="CV1041" s="335">
        <f t="shared" si="216"/>
        <v>15.269331577434533</v>
      </c>
      <c r="CW1041" s="230">
        <f t="shared" si="217"/>
        <v>1</v>
      </c>
      <c r="CX1041" s="336"/>
      <c r="CY1041" s="230" t="s">
        <v>5921</v>
      </c>
    </row>
    <row r="1042" spans="1:103" ht="11.25" customHeight="1" x14ac:dyDescent="0.2">
      <c r="A1042" s="72">
        <v>1479</v>
      </c>
      <c r="B1042" s="224">
        <v>1702</v>
      </c>
      <c r="C1042" s="46" t="s">
        <v>6666</v>
      </c>
      <c r="D1042" s="46"/>
      <c r="E1042" s="114"/>
      <c r="F1042" s="114" t="s">
        <v>1271</v>
      </c>
      <c r="G1042" s="225">
        <v>114311329</v>
      </c>
      <c r="H1042" s="47" t="s">
        <v>1272</v>
      </c>
      <c r="I1042" s="47" t="s">
        <v>1272</v>
      </c>
      <c r="J1042" s="47" t="s">
        <v>1273</v>
      </c>
      <c r="K1042" s="47" t="s">
        <v>471</v>
      </c>
      <c r="L1042" s="47"/>
      <c r="M1042" s="47"/>
      <c r="N1042" s="47"/>
      <c r="O1042" s="47"/>
      <c r="P1042" s="53"/>
      <c r="Q1042" s="53"/>
      <c r="R1042" s="53"/>
      <c r="S1042" s="53"/>
      <c r="T1042" s="48">
        <v>305.33</v>
      </c>
      <c r="U1042" s="98">
        <v>4410</v>
      </c>
      <c r="V1042" s="98">
        <v>2720</v>
      </c>
      <c r="W1042" s="98">
        <v>2370.1153212023837</v>
      </c>
      <c r="X1042" s="98">
        <v>4410</v>
      </c>
      <c r="Y1042" s="233">
        <v>2.82</v>
      </c>
      <c r="Z1042" s="48">
        <v>1.35</v>
      </c>
      <c r="AA1042" s="48">
        <v>0.73</v>
      </c>
      <c r="AB1042" s="48">
        <v>0.65</v>
      </c>
      <c r="AC1042" s="48">
        <v>0.88380000000000003</v>
      </c>
      <c r="AD1042" s="48">
        <v>0.61</v>
      </c>
      <c r="AE1042" s="48">
        <v>0.25</v>
      </c>
      <c r="AF1042" s="48">
        <f t="shared" si="218"/>
        <v>0.73</v>
      </c>
      <c r="AG1042" s="49">
        <v>1.08</v>
      </c>
      <c r="AH1042" s="98">
        <v>9.1499999999999995E-19</v>
      </c>
      <c r="AI1042" s="98"/>
      <c r="AJ1042" s="483">
        <f t="shared" si="214"/>
        <v>-16.427145232246204</v>
      </c>
      <c r="AK1042" s="483"/>
      <c r="AL1042" s="483">
        <f t="shared" si="213"/>
        <v>-16.427145232246204</v>
      </c>
      <c r="AM1042" s="483">
        <v>-19.604050000000001</v>
      </c>
      <c r="AN1042" s="226">
        <v>-18.100000000000001</v>
      </c>
      <c r="AO1042" s="484">
        <v>10.6</v>
      </c>
      <c r="AP1042" s="484">
        <v>3.17</v>
      </c>
      <c r="AQ1042" s="226" t="s">
        <v>6311</v>
      </c>
      <c r="AR1042" s="226" t="s">
        <v>6311</v>
      </c>
      <c r="AS1042" s="224"/>
      <c r="AT1042" s="50" t="s">
        <v>266</v>
      </c>
      <c r="AU1042" s="48">
        <v>6</v>
      </c>
      <c r="AV1042" s="48">
        <v>120</v>
      </c>
      <c r="AW1042" s="48">
        <v>114</v>
      </c>
      <c r="AX1042" s="48">
        <v>28</v>
      </c>
      <c r="AY1042" s="48" t="s">
        <v>8728</v>
      </c>
      <c r="AZ1042" s="48" t="s">
        <v>1563</v>
      </c>
      <c r="BA1042" s="48">
        <v>32</v>
      </c>
      <c r="BB1042" s="47" t="s">
        <v>2485</v>
      </c>
      <c r="BC1042" s="47" t="s">
        <v>8726</v>
      </c>
      <c r="BD1042" s="47" t="s">
        <v>8374</v>
      </c>
      <c r="BE1042" s="48" t="s">
        <v>2449</v>
      </c>
      <c r="BF1042" s="48" t="s">
        <v>272</v>
      </c>
      <c r="BG1042" s="48" t="s">
        <v>272</v>
      </c>
      <c r="BH1042" s="48" t="s">
        <v>2486</v>
      </c>
      <c r="BI1042" s="98">
        <v>1.9541119999999996E-3</v>
      </c>
      <c r="BJ1042" s="98">
        <v>19.541119999999999</v>
      </c>
      <c r="BK1042" s="48"/>
      <c r="BL1042" s="487">
        <v>961.91008425393011</v>
      </c>
      <c r="BM1042" s="47" t="s">
        <v>2487</v>
      </c>
      <c r="BN1042" s="48"/>
      <c r="BO1042" s="48"/>
      <c r="BP1042" s="48"/>
      <c r="BQ1042" s="48"/>
      <c r="BR1042" s="47" t="e">
        <v>#VALUE!</v>
      </c>
      <c r="BS1042" s="48"/>
      <c r="BT1042" s="48"/>
      <c r="BU1042" s="228"/>
      <c r="BV1042" s="48"/>
      <c r="BW1042" s="48"/>
      <c r="BX1042" s="48"/>
      <c r="BY1042" s="48"/>
      <c r="BZ1042" s="48"/>
      <c r="CA1042" s="48"/>
      <c r="CB1042" s="48"/>
      <c r="CC1042" s="48"/>
      <c r="CD1042" s="48"/>
      <c r="CE1042" s="48"/>
      <c r="CF1042" s="48"/>
      <c r="CG1042" s="48"/>
      <c r="CH1042" s="48"/>
      <c r="CI1042" s="98"/>
      <c r="CJ1042" s="98"/>
      <c r="CK1042" s="49">
        <f t="shared" si="215"/>
        <v>49.224920795426776</v>
      </c>
      <c r="CL1042" s="229"/>
      <c r="CM1042" s="229"/>
      <c r="CN1042" s="229"/>
      <c r="CO1042" s="47" t="s">
        <v>2488</v>
      </c>
      <c r="CP1042" s="500" t="s">
        <v>2489</v>
      </c>
      <c r="CQ1042" s="224" t="s">
        <v>272</v>
      </c>
      <c r="CR1042" s="224"/>
      <c r="CS1042" s="230" t="s">
        <v>539</v>
      </c>
      <c r="CT1042" s="230"/>
      <c r="CU1042" s="230"/>
      <c r="CV1042" s="335">
        <f t="shared" si="216"/>
        <v>225.67795499950873</v>
      </c>
      <c r="CW1042" s="230">
        <f t="shared" si="217"/>
        <v>1</v>
      </c>
      <c r="CX1042" s="336"/>
      <c r="CY1042" s="230" t="s">
        <v>5921</v>
      </c>
    </row>
    <row r="1043" spans="1:103" ht="11.25" customHeight="1" x14ac:dyDescent="0.2">
      <c r="A1043" s="72">
        <v>1480</v>
      </c>
      <c r="B1043" s="224">
        <v>1678</v>
      </c>
      <c r="C1043" s="46" t="s">
        <v>1239</v>
      </c>
      <c r="D1043" s="46" t="s">
        <v>6578</v>
      </c>
      <c r="E1043" s="114"/>
      <c r="F1043" s="114" t="s">
        <v>1240</v>
      </c>
      <c r="G1043" s="225">
        <v>117337196</v>
      </c>
      <c r="H1043" s="47" t="s">
        <v>1241</v>
      </c>
      <c r="I1043" s="47" t="s">
        <v>7911</v>
      </c>
      <c r="J1043" s="47" t="s">
        <v>1242</v>
      </c>
      <c r="K1043" s="47" t="s">
        <v>1243</v>
      </c>
      <c r="L1043" s="47" t="s">
        <v>5994</v>
      </c>
      <c r="M1043" s="47" t="s">
        <v>6082</v>
      </c>
      <c r="N1043" s="47" t="s">
        <v>6082</v>
      </c>
      <c r="O1043" s="47" t="s">
        <v>6083</v>
      </c>
      <c r="P1043" s="53"/>
      <c r="Q1043" s="53"/>
      <c r="R1043" s="53"/>
      <c r="S1043" s="53"/>
      <c r="T1043" s="48">
        <v>403.88</v>
      </c>
      <c r="U1043" s="98">
        <v>0.85</v>
      </c>
      <c r="V1043" s="98">
        <v>1.7479999999999998</v>
      </c>
      <c r="W1043" s="98">
        <v>43.276521699936396</v>
      </c>
      <c r="X1043" s="98">
        <v>0.85</v>
      </c>
      <c r="Y1043" s="233">
        <v>7</v>
      </c>
      <c r="Z1043" s="48">
        <v>2.59</v>
      </c>
      <c r="AA1043" s="48">
        <v>3.77</v>
      </c>
      <c r="AB1043" s="48">
        <v>3.8</v>
      </c>
      <c r="AC1043" s="48">
        <v>0.71419999999999995</v>
      </c>
      <c r="AD1043" s="48">
        <v>3.16</v>
      </c>
      <c r="AE1043" s="48">
        <v>1.4</v>
      </c>
      <c r="AF1043" s="48">
        <f t="shared" si="218"/>
        <v>3.77</v>
      </c>
      <c r="AG1043" s="49">
        <v>3.89</v>
      </c>
      <c r="AH1043" s="98">
        <v>8.7700000000000001E-15</v>
      </c>
      <c r="AI1043" s="98">
        <v>2.0700000000000001E-9</v>
      </c>
      <c r="AJ1043" s="483">
        <f t="shared" si="214"/>
        <v>-12.445566732946611</v>
      </c>
      <c r="AK1043" s="483">
        <f>LOG10(AI1043*1000/(0.08206*298.15))</f>
        <v>-7.0725959808557342</v>
      </c>
      <c r="AL1043" s="483">
        <f t="shared" si="213"/>
        <v>-7.0725959808557342</v>
      </c>
      <c r="AM1043" s="483">
        <v>-18.93338</v>
      </c>
      <c r="AN1043" s="226">
        <v>-11.4</v>
      </c>
      <c r="AO1043" s="484"/>
      <c r="AP1043" s="484">
        <v>-2.86</v>
      </c>
      <c r="AQ1043" s="226" t="s">
        <v>6311</v>
      </c>
      <c r="AR1043" s="226" t="s">
        <v>6314</v>
      </c>
      <c r="AS1043" s="224"/>
      <c r="AT1043" s="50" t="s">
        <v>266</v>
      </c>
      <c r="AU1043" s="48">
        <v>6</v>
      </c>
      <c r="AV1043" s="48">
        <v>120</v>
      </c>
      <c r="AW1043" s="48">
        <v>114</v>
      </c>
      <c r="AX1043" s="48">
        <v>28</v>
      </c>
      <c r="AY1043" s="48" t="s">
        <v>8728</v>
      </c>
      <c r="AZ1043" s="48" t="s">
        <v>1563</v>
      </c>
      <c r="BA1043" s="48">
        <v>32</v>
      </c>
      <c r="BB1043" s="47" t="s">
        <v>2485</v>
      </c>
      <c r="BC1043" s="47" t="s">
        <v>8726</v>
      </c>
      <c r="BD1043" s="47" t="s">
        <v>8374</v>
      </c>
      <c r="BE1043" s="48" t="s">
        <v>2449</v>
      </c>
      <c r="BF1043" s="48" t="s">
        <v>272</v>
      </c>
      <c r="BG1043" s="48" t="s">
        <v>272</v>
      </c>
      <c r="BH1043" s="48" t="s">
        <v>2486</v>
      </c>
      <c r="BI1043" s="98">
        <v>2.584832E-3</v>
      </c>
      <c r="BJ1043" s="98">
        <v>25.848320000000001</v>
      </c>
      <c r="BK1043" s="48"/>
      <c r="BL1043" s="487">
        <v>97.942987649409488</v>
      </c>
      <c r="BM1043" s="47" t="s">
        <v>2487</v>
      </c>
      <c r="BN1043" s="48"/>
      <c r="BO1043" s="48"/>
      <c r="BP1043" s="48"/>
      <c r="BQ1043" s="48"/>
      <c r="BR1043" s="47"/>
      <c r="BS1043" s="48"/>
      <c r="BT1043" s="48"/>
      <c r="BU1043" s="228"/>
      <c r="BV1043" s="48"/>
      <c r="BW1043" s="48"/>
      <c r="BX1043" s="48"/>
      <c r="BY1043" s="48"/>
      <c r="BZ1043" s="48"/>
      <c r="CA1043" s="48"/>
      <c r="CB1043" s="48"/>
      <c r="CC1043" s="48"/>
      <c r="CD1043" s="48"/>
      <c r="CE1043" s="48"/>
      <c r="CF1043" s="48"/>
      <c r="CG1043" s="48"/>
      <c r="CH1043" s="48"/>
      <c r="CI1043" s="52"/>
      <c r="CJ1043" s="98"/>
      <c r="CK1043" s="49">
        <f t="shared" si="215"/>
        <v>3.7891432653808637</v>
      </c>
      <c r="CL1043" s="229"/>
      <c r="CM1043" s="229">
        <v>-1.3665315444204142</v>
      </c>
      <c r="CN1043" s="229">
        <f>BJ1043/(10^CM1043)</f>
        <v>601.12372093023384</v>
      </c>
      <c r="CO1043" s="47" t="s">
        <v>2488</v>
      </c>
      <c r="CP1043" s="500" t="s">
        <v>2489</v>
      </c>
      <c r="CQ1043" s="224">
        <v>-1.1102017543710878</v>
      </c>
      <c r="CR1043" s="224">
        <f>10^(CJ1043-CQ1043)</f>
        <v>12.888481555661684</v>
      </c>
      <c r="CS1043" s="230" t="s">
        <v>539</v>
      </c>
      <c r="CT1043" s="230"/>
      <c r="CU1043" s="230"/>
      <c r="CV1043" s="335">
        <f t="shared" si="216"/>
        <v>3.2884148757056551E-2</v>
      </c>
      <c r="CW1043" s="230">
        <f t="shared" si="217"/>
        <v>0</v>
      </c>
      <c r="CX1043" s="336"/>
      <c r="CY1043" s="230" t="s">
        <v>5921</v>
      </c>
    </row>
    <row r="1044" spans="1:103" ht="11.25" customHeight="1" x14ac:dyDescent="0.2">
      <c r="A1044" s="72">
        <v>1481</v>
      </c>
      <c r="B1044" s="224">
        <v>1241</v>
      </c>
      <c r="C1044" s="46" t="s">
        <v>7509</v>
      </c>
      <c r="D1044" s="46"/>
      <c r="E1044" s="114"/>
      <c r="F1044" s="114" t="s">
        <v>3417</v>
      </c>
      <c r="G1044" s="225">
        <v>117428225</v>
      </c>
      <c r="H1044" s="47" t="s">
        <v>3418</v>
      </c>
      <c r="I1044" s="47" t="s">
        <v>7794</v>
      </c>
      <c r="J1044" s="47" t="s">
        <v>3419</v>
      </c>
      <c r="K1044" s="47" t="s">
        <v>957</v>
      </c>
      <c r="L1044" s="47"/>
      <c r="M1044" s="47"/>
      <c r="N1044" s="47"/>
      <c r="O1044" s="47"/>
      <c r="P1044" s="53"/>
      <c r="Q1044" s="53"/>
      <c r="R1044" s="53"/>
      <c r="S1044" s="53"/>
      <c r="T1044" s="48">
        <v>367.32</v>
      </c>
      <c r="U1044" s="98"/>
      <c r="V1044" s="98">
        <v>3.6</v>
      </c>
      <c r="W1044" s="98">
        <v>65.319759289549609</v>
      </c>
      <c r="X1044" s="98">
        <v>65.319759289549609</v>
      </c>
      <c r="Y1044" s="233">
        <v>7</v>
      </c>
      <c r="Z1044" s="48">
        <v>3.67</v>
      </c>
      <c r="AA1044" s="48"/>
      <c r="AB1044" s="48">
        <v>3.59</v>
      </c>
      <c r="AC1044" s="48">
        <v>0.73799999999999999</v>
      </c>
      <c r="AD1044" s="48">
        <v>3.84</v>
      </c>
      <c r="AE1044" s="48">
        <v>4.4800000000000004</v>
      </c>
      <c r="AF1044" s="48">
        <f t="shared" si="218"/>
        <v>3.84</v>
      </c>
      <c r="AG1044" s="49">
        <v>3.51</v>
      </c>
      <c r="AH1044" s="98">
        <v>1.9100000000000001E-10</v>
      </c>
      <c r="AI1044" s="98"/>
      <c r="AJ1044" s="483">
        <f t="shared" si="214"/>
        <v>-8.1075329590649243</v>
      </c>
      <c r="AK1044" s="483"/>
      <c r="AL1044" s="483">
        <f t="shared" si="213"/>
        <v>-8.1075329590649243</v>
      </c>
      <c r="AM1044" s="483">
        <v>-12.410509999999999</v>
      </c>
      <c r="AN1044" s="226">
        <v>-8.1300000000000008</v>
      </c>
      <c r="AO1044" s="484"/>
      <c r="AP1044" s="484">
        <v>-1.0900000000000001</v>
      </c>
      <c r="AQ1044" s="48" t="s">
        <v>6311</v>
      </c>
      <c r="AR1044" s="48" t="s">
        <v>6312</v>
      </c>
      <c r="AS1044" s="227"/>
      <c r="AT1044" s="50" t="s">
        <v>266</v>
      </c>
      <c r="AU1044" s="48">
        <v>6</v>
      </c>
      <c r="AV1044" s="48">
        <v>120</v>
      </c>
      <c r="AW1044" s="48">
        <v>114</v>
      </c>
      <c r="AX1044" s="48">
        <v>28</v>
      </c>
      <c r="AY1044" s="48" t="s">
        <v>8728</v>
      </c>
      <c r="AZ1044" s="48" t="s">
        <v>1563</v>
      </c>
      <c r="BA1044" s="48">
        <v>32</v>
      </c>
      <c r="BB1044" s="47" t="s">
        <v>2485</v>
      </c>
      <c r="BC1044" s="47" t="s">
        <v>8726</v>
      </c>
      <c r="BD1044" s="47" t="s">
        <v>8374</v>
      </c>
      <c r="BE1044" s="48" t="s">
        <v>2449</v>
      </c>
      <c r="BF1044" s="48" t="s">
        <v>272</v>
      </c>
      <c r="BG1044" s="48" t="s">
        <v>272</v>
      </c>
      <c r="BH1044" s="48" t="s">
        <v>2486</v>
      </c>
      <c r="BI1044" s="98">
        <v>2.350848E-3</v>
      </c>
      <c r="BJ1044" s="98">
        <v>23.508479999999999</v>
      </c>
      <c r="BK1044" s="48"/>
      <c r="BL1044" s="487">
        <v>9.5459152791481205</v>
      </c>
      <c r="BM1044" s="47" t="s">
        <v>2487</v>
      </c>
      <c r="BN1044" s="48"/>
      <c r="BO1044" s="48"/>
      <c r="BP1044" s="48"/>
      <c r="BQ1044" s="48"/>
      <c r="BR1044" s="47" t="e">
        <v>#VALUE!</v>
      </c>
      <c r="BS1044" s="48"/>
      <c r="BT1044" s="48"/>
      <c r="BU1044" s="228">
        <v>23.508479999999999</v>
      </c>
      <c r="BV1044" s="48"/>
      <c r="BW1044" s="48"/>
      <c r="BX1044" s="48"/>
      <c r="BY1044" s="48"/>
      <c r="BZ1044" s="48"/>
      <c r="CA1044" s="48"/>
      <c r="CB1044" s="48"/>
      <c r="CC1044" s="48"/>
      <c r="CD1044" s="48"/>
      <c r="CE1044" s="48"/>
      <c r="CF1044" s="48"/>
      <c r="CG1044" s="48"/>
      <c r="CH1044" s="48"/>
      <c r="CI1044" s="98"/>
      <c r="CJ1044" s="98"/>
      <c r="CK1044" s="49">
        <f t="shared" si="215"/>
        <v>0.40606263268182891</v>
      </c>
      <c r="CL1044" s="229"/>
      <c r="CM1044" s="229"/>
      <c r="CN1044" s="229"/>
      <c r="CO1044" s="47" t="s">
        <v>2488</v>
      </c>
      <c r="CP1044" s="500" t="s">
        <v>2489</v>
      </c>
      <c r="CQ1044" s="224" t="s">
        <v>272</v>
      </c>
      <c r="CR1044" s="224"/>
      <c r="CS1044" s="230" t="s">
        <v>539</v>
      </c>
      <c r="CT1044" s="230"/>
      <c r="CU1044" s="230"/>
      <c r="CV1044" s="335">
        <f t="shared" si="216"/>
        <v>2.7785615781858124</v>
      </c>
      <c r="CW1044" s="230">
        <f t="shared" si="217"/>
        <v>1</v>
      </c>
      <c r="CX1044" s="336"/>
      <c r="CY1044" s="230" t="s">
        <v>5921</v>
      </c>
    </row>
    <row r="1045" spans="1:103" ht="11.25" customHeight="1" x14ac:dyDescent="0.2">
      <c r="A1045" s="72">
        <v>1482</v>
      </c>
      <c r="B1045" s="224">
        <v>1875</v>
      </c>
      <c r="C1045" s="46" t="s">
        <v>6669</v>
      </c>
      <c r="D1045" s="46"/>
      <c r="E1045" s="114"/>
      <c r="F1045" s="114" t="s">
        <v>1457</v>
      </c>
      <c r="G1045" s="225">
        <v>118134308</v>
      </c>
      <c r="H1045" s="47" t="s">
        <v>1458</v>
      </c>
      <c r="I1045" s="47" t="s">
        <v>1458</v>
      </c>
      <c r="J1045" s="47" t="s">
        <v>1459</v>
      </c>
      <c r="K1045" s="47" t="s">
        <v>300</v>
      </c>
      <c r="L1045" s="47"/>
      <c r="M1045" s="47"/>
      <c r="N1045" s="47"/>
      <c r="O1045" s="47"/>
      <c r="P1045" s="53"/>
      <c r="Q1045" s="53"/>
      <c r="R1045" s="53"/>
      <c r="S1045" s="53"/>
      <c r="T1045" s="48">
        <v>297.48</v>
      </c>
      <c r="U1045" s="98">
        <v>470</v>
      </c>
      <c r="V1045" s="98">
        <v>2.5670000000000002</v>
      </c>
      <c r="W1045" s="98">
        <v>440.00516331227811</v>
      </c>
      <c r="X1045" s="98">
        <v>470</v>
      </c>
      <c r="Y1045" s="233">
        <v>9.9600000000000009</v>
      </c>
      <c r="Z1045" s="48">
        <v>5.51</v>
      </c>
      <c r="AA1045" s="48"/>
      <c r="AB1045" s="48">
        <v>4.67</v>
      </c>
      <c r="AC1045" s="48">
        <v>0.47460000000000002</v>
      </c>
      <c r="AD1045" s="48">
        <v>4.78</v>
      </c>
      <c r="AE1045" s="48">
        <v>4.88</v>
      </c>
      <c r="AF1045" s="48">
        <f t="shared" si="218"/>
        <v>4.78</v>
      </c>
      <c r="AG1045" s="49">
        <v>3.96</v>
      </c>
      <c r="AH1045" s="98">
        <v>1.9399999999999999E-7</v>
      </c>
      <c r="AI1045" s="98">
        <v>1.0700000000000001E-7</v>
      </c>
      <c r="AJ1045" s="483">
        <f t="shared" si="214"/>
        <v>-5.100764596382426</v>
      </c>
      <c r="AK1045" s="483">
        <f>LOG10(AI1045*1000/(0.08206*298.15))</f>
        <v>-5.3591825486274418</v>
      </c>
      <c r="AL1045" s="483">
        <f t="shared" si="213"/>
        <v>-5.3591825486274418</v>
      </c>
      <c r="AM1045" s="483">
        <v>-8.4572500000000019</v>
      </c>
      <c r="AN1045" s="226">
        <v>-5.31</v>
      </c>
      <c r="AO1045" s="484"/>
      <c r="AP1045" s="484">
        <v>8.7799999999999994</v>
      </c>
      <c r="AQ1045" s="226" t="s">
        <v>6311</v>
      </c>
      <c r="AR1045" s="226" t="s">
        <v>6311</v>
      </c>
      <c r="AS1045" s="224"/>
      <c r="AT1045" s="50" t="s">
        <v>266</v>
      </c>
      <c r="AU1045" s="48">
        <v>6</v>
      </c>
      <c r="AV1045" s="48">
        <v>120</v>
      </c>
      <c r="AW1045" s="48">
        <v>114</v>
      </c>
      <c r="AX1045" s="48">
        <v>28</v>
      </c>
      <c r="AY1045" s="48" t="s">
        <v>8728</v>
      </c>
      <c r="AZ1045" s="48" t="s">
        <v>1563</v>
      </c>
      <c r="BA1045" s="48">
        <v>32</v>
      </c>
      <c r="BB1045" s="47" t="s">
        <v>2485</v>
      </c>
      <c r="BC1045" s="47" t="s">
        <v>8726</v>
      </c>
      <c r="BD1045" s="47" t="s">
        <v>8374</v>
      </c>
      <c r="BE1045" s="48" t="s">
        <v>2449</v>
      </c>
      <c r="BF1045" s="48" t="s">
        <v>272</v>
      </c>
      <c r="BG1045" s="48" t="s">
        <v>272</v>
      </c>
      <c r="BH1045" s="48" t="s">
        <v>2486</v>
      </c>
      <c r="BI1045" s="98">
        <v>1.903872E-3</v>
      </c>
      <c r="BJ1045" s="98">
        <v>19.038720000000001</v>
      </c>
      <c r="BK1045" s="48"/>
      <c r="BL1045" s="487">
        <v>0.17207856384920939</v>
      </c>
      <c r="BM1045" s="47" t="s">
        <v>2487</v>
      </c>
      <c r="BN1045" s="48"/>
      <c r="BO1045" s="48"/>
      <c r="BP1045" s="48"/>
      <c r="BQ1045" s="48"/>
      <c r="BR1045" s="47" t="e">
        <v>#VALUE!</v>
      </c>
      <c r="BS1045" s="48"/>
      <c r="BT1045" s="48"/>
      <c r="BU1045" s="228"/>
      <c r="BV1045" s="48"/>
      <c r="BW1045" s="48"/>
      <c r="BX1045" s="48"/>
      <c r="BY1045" s="48"/>
      <c r="BZ1045" s="48"/>
      <c r="CA1045" s="48"/>
      <c r="CB1045" s="48"/>
      <c r="CC1045" s="48"/>
      <c r="CD1045" s="48"/>
      <c r="CE1045" s="48"/>
      <c r="CF1045" s="48"/>
      <c r="CG1045" s="48"/>
      <c r="CH1045" s="48"/>
      <c r="CI1045" s="98"/>
      <c r="CJ1045" s="98"/>
      <c r="CK1045" s="49">
        <f t="shared" si="215"/>
        <v>9.0383473179504389E-3</v>
      </c>
      <c r="CL1045" s="229"/>
      <c r="CM1045" s="229"/>
      <c r="CN1045" s="229"/>
      <c r="CO1045" s="47" t="s">
        <v>2488</v>
      </c>
      <c r="CP1045" s="500" t="s">
        <v>2489</v>
      </c>
      <c r="CQ1045" s="224" t="s">
        <v>272</v>
      </c>
      <c r="CR1045" s="224"/>
      <c r="CS1045" s="230" t="s">
        <v>539</v>
      </c>
      <c r="CT1045" s="230"/>
      <c r="CU1045" s="230"/>
      <c r="CV1045" s="335">
        <f t="shared" si="216"/>
        <v>24.686533548473847</v>
      </c>
      <c r="CW1045" s="230">
        <f t="shared" si="217"/>
        <v>1</v>
      </c>
      <c r="CX1045" s="336"/>
      <c r="CY1045" s="230" t="s">
        <v>5921</v>
      </c>
    </row>
    <row r="1046" spans="1:103" ht="11.25" customHeight="1" x14ac:dyDescent="0.2">
      <c r="A1046" s="72">
        <v>1484</v>
      </c>
      <c r="B1046" s="224">
        <v>1700</v>
      </c>
      <c r="C1046" s="46" t="s">
        <v>7510</v>
      </c>
      <c r="D1046" s="46"/>
      <c r="E1046" s="114"/>
      <c r="F1046" s="114" t="s">
        <v>3890</v>
      </c>
      <c r="G1046" s="225">
        <v>119515387</v>
      </c>
      <c r="H1046" s="47" t="s">
        <v>3891</v>
      </c>
      <c r="I1046" s="47" t="s">
        <v>3891</v>
      </c>
      <c r="J1046" s="47" t="s">
        <v>3892</v>
      </c>
      <c r="K1046" s="47" t="s">
        <v>1180</v>
      </c>
      <c r="L1046" s="47"/>
      <c r="M1046" s="47"/>
      <c r="N1046" s="47"/>
      <c r="O1046" s="47"/>
      <c r="P1046" s="53"/>
      <c r="Q1046" s="53"/>
      <c r="R1046" s="53"/>
      <c r="S1046" s="53"/>
      <c r="T1046" s="48">
        <v>229.32</v>
      </c>
      <c r="U1046" s="98"/>
      <c r="V1046" s="98">
        <v>196</v>
      </c>
      <c r="W1046" s="98">
        <v>3985.124860488068</v>
      </c>
      <c r="X1046" s="98">
        <v>3985.124860488068</v>
      </c>
      <c r="Y1046" s="233">
        <v>7</v>
      </c>
      <c r="Z1046" s="48">
        <v>2.57</v>
      </c>
      <c r="AA1046" s="48"/>
      <c r="AB1046" s="48">
        <v>2.11</v>
      </c>
      <c r="AC1046" s="48">
        <v>0.57999999999999996</v>
      </c>
      <c r="AD1046" s="48">
        <v>1.87</v>
      </c>
      <c r="AE1046" s="48">
        <v>1.56</v>
      </c>
      <c r="AF1046" s="48">
        <f t="shared" si="218"/>
        <v>1.87</v>
      </c>
      <c r="AG1046" s="49">
        <v>1.82</v>
      </c>
      <c r="AH1046" s="98">
        <v>2.9699999999999998E-11</v>
      </c>
      <c r="AI1046" s="98"/>
      <c r="AJ1046" s="483">
        <f t="shared" si="214"/>
        <v>-8.9158098769954393</v>
      </c>
      <c r="AK1046" s="483"/>
      <c r="AL1046" s="483">
        <f t="shared" si="213"/>
        <v>-8.9158098769954393</v>
      </c>
      <c r="AM1046" s="483">
        <v>-10.252640000000001</v>
      </c>
      <c r="AN1046" s="226">
        <v>-8.57</v>
      </c>
      <c r="AO1046" s="484">
        <v>15.15</v>
      </c>
      <c r="AP1046" s="484">
        <v>-1.71</v>
      </c>
      <c r="AQ1046" s="226" t="s">
        <v>6311</v>
      </c>
      <c r="AR1046" s="226" t="s">
        <v>6311</v>
      </c>
      <c r="AS1046" s="224"/>
      <c r="AT1046" s="50" t="s">
        <v>266</v>
      </c>
      <c r="AU1046" s="48">
        <v>6</v>
      </c>
      <c r="AV1046" s="48">
        <v>120</v>
      </c>
      <c r="AW1046" s="48">
        <v>114</v>
      </c>
      <c r="AX1046" s="48">
        <v>28</v>
      </c>
      <c r="AY1046" s="48" t="s">
        <v>8728</v>
      </c>
      <c r="AZ1046" s="48" t="s">
        <v>1563</v>
      </c>
      <c r="BA1046" s="48">
        <v>32</v>
      </c>
      <c r="BB1046" s="47" t="s">
        <v>2485</v>
      </c>
      <c r="BC1046" s="47" t="s">
        <v>8726</v>
      </c>
      <c r="BD1046" s="47" t="s">
        <v>8374</v>
      </c>
      <c r="BE1046" s="48" t="s">
        <v>2449</v>
      </c>
      <c r="BF1046" s="48" t="s">
        <v>272</v>
      </c>
      <c r="BG1046" s="48" t="s">
        <v>272</v>
      </c>
      <c r="BH1046" s="48" t="s">
        <v>2486</v>
      </c>
      <c r="BI1046" s="98">
        <v>1.4676479999999998E-3</v>
      </c>
      <c r="BJ1046" s="98">
        <v>14.67648</v>
      </c>
      <c r="BK1046" s="48"/>
      <c r="BL1046" s="487">
        <v>57.959540413553334</v>
      </c>
      <c r="BM1046" s="47" t="s">
        <v>2487</v>
      </c>
      <c r="BN1046" s="48"/>
      <c r="BO1046" s="48"/>
      <c r="BP1046" s="48"/>
      <c r="BQ1046" s="48"/>
      <c r="BR1046" s="47" t="e">
        <v>#VALUE!</v>
      </c>
      <c r="BS1046" s="48"/>
      <c r="BT1046" s="48"/>
      <c r="BU1046" s="228"/>
      <c r="BV1046" s="48"/>
      <c r="BW1046" s="48"/>
      <c r="BX1046" s="48"/>
      <c r="BY1046" s="48"/>
      <c r="BZ1046" s="48"/>
      <c r="CA1046" s="48"/>
      <c r="CB1046" s="48"/>
      <c r="CC1046" s="48"/>
      <c r="CD1046" s="48"/>
      <c r="CE1046" s="48"/>
      <c r="CF1046" s="48"/>
      <c r="CG1046" s="48"/>
      <c r="CH1046" s="48"/>
      <c r="CI1046" s="98"/>
      <c r="CJ1046" s="98"/>
      <c r="CK1046" s="49">
        <f t="shared" si="215"/>
        <v>3.9491445096885176</v>
      </c>
      <c r="CL1046" s="229"/>
      <c r="CM1046" s="229"/>
      <c r="CN1046" s="229"/>
      <c r="CO1046" s="47" t="s">
        <v>2488</v>
      </c>
      <c r="CP1046" s="500" t="s">
        <v>2489</v>
      </c>
      <c r="CQ1046" s="224" t="s">
        <v>272</v>
      </c>
      <c r="CR1046" s="224"/>
      <c r="CS1046" s="230" t="s">
        <v>539</v>
      </c>
      <c r="CT1046" s="230"/>
      <c r="CU1046" s="230"/>
      <c r="CV1046" s="335">
        <f t="shared" si="216"/>
        <v>271.53137949208991</v>
      </c>
      <c r="CW1046" s="230">
        <f t="shared" si="217"/>
        <v>1</v>
      </c>
      <c r="CX1046" s="336"/>
      <c r="CY1046" s="230" t="s">
        <v>5921</v>
      </c>
    </row>
    <row r="1047" spans="1:103" ht="11.25" customHeight="1" x14ac:dyDescent="0.2">
      <c r="A1047" s="72">
        <v>1485</v>
      </c>
      <c r="B1047" s="224">
        <v>1665</v>
      </c>
      <c r="C1047" s="46" t="s">
        <v>1188</v>
      </c>
      <c r="D1047" s="46" t="s">
        <v>6580</v>
      </c>
      <c r="E1047" s="114"/>
      <c r="F1047" s="114" t="s">
        <v>1189</v>
      </c>
      <c r="G1047" s="225">
        <v>120068373</v>
      </c>
      <c r="H1047" s="47" t="s">
        <v>1190</v>
      </c>
      <c r="I1047" s="47" t="s">
        <v>8163</v>
      </c>
      <c r="J1047" s="47" t="s">
        <v>1191</v>
      </c>
      <c r="K1047" s="47" t="s">
        <v>1192</v>
      </c>
      <c r="L1047" s="47" t="s">
        <v>617</v>
      </c>
      <c r="M1047" s="47" t="s">
        <v>1140</v>
      </c>
      <c r="N1047" s="47" t="s">
        <v>6376</v>
      </c>
      <c r="O1047" s="47" t="s">
        <v>918</v>
      </c>
      <c r="P1047" s="53"/>
      <c r="Q1047" s="53"/>
      <c r="R1047" s="53"/>
      <c r="S1047" s="53"/>
      <c r="T1047" s="48">
        <v>437.15</v>
      </c>
      <c r="U1047" s="98">
        <v>1.9000000000000001</v>
      </c>
      <c r="V1047" s="98">
        <v>0.37430000000000002</v>
      </c>
      <c r="W1047" s="98">
        <v>1.001452794407431</v>
      </c>
      <c r="X1047" s="98">
        <v>1.9000000000000001</v>
      </c>
      <c r="Y1047" s="233">
        <v>7</v>
      </c>
      <c r="Z1047" s="48">
        <v>6.64</v>
      </c>
      <c r="AA1047" s="48">
        <v>4</v>
      </c>
      <c r="AB1047" s="48">
        <v>3.53</v>
      </c>
      <c r="AC1047" s="48">
        <v>0.7742</v>
      </c>
      <c r="AD1047" s="48">
        <v>3.71</v>
      </c>
      <c r="AE1047" s="48">
        <v>4.76</v>
      </c>
      <c r="AF1047" s="48">
        <f t="shared" si="218"/>
        <v>4</v>
      </c>
      <c r="AG1047" s="49">
        <v>4.26</v>
      </c>
      <c r="AH1047" s="98">
        <v>3.1700000000000001E-18</v>
      </c>
      <c r="AI1047" s="98">
        <v>8.4199999999999999E-10</v>
      </c>
      <c r="AJ1047" s="483">
        <f t="shared" si="214"/>
        <v>-15.887507064094899</v>
      </c>
      <c r="AK1047" s="483">
        <f>LOG10(AI1047*1000/(0.08206*298.15))</f>
        <v>-7.463254234813002</v>
      </c>
      <c r="AL1047" s="483">
        <f t="shared" si="213"/>
        <v>-7.463254234813002</v>
      </c>
      <c r="AM1047" s="483">
        <v>-19.078990000000005</v>
      </c>
      <c r="AN1047" s="226">
        <v>-10.3</v>
      </c>
      <c r="AO1047" s="484"/>
      <c r="AP1047" s="484">
        <v>-5.86</v>
      </c>
      <c r="AQ1047" s="226" t="s">
        <v>6311</v>
      </c>
      <c r="AR1047" s="226" t="s">
        <v>6311</v>
      </c>
      <c r="AS1047" s="224"/>
      <c r="AT1047" s="50" t="s">
        <v>266</v>
      </c>
      <c r="AU1047" s="48">
        <v>6</v>
      </c>
      <c r="AV1047" s="48">
        <v>120</v>
      </c>
      <c r="AW1047" s="48">
        <v>114</v>
      </c>
      <c r="AX1047" s="48">
        <v>28</v>
      </c>
      <c r="AY1047" s="48" t="s">
        <v>8728</v>
      </c>
      <c r="AZ1047" s="48" t="s">
        <v>1563</v>
      </c>
      <c r="BA1047" s="48">
        <v>32</v>
      </c>
      <c r="BB1047" s="47" t="s">
        <v>2485</v>
      </c>
      <c r="BC1047" s="47" t="s">
        <v>8726</v>
      </c>
      <c r="BD1047" s="47" t="s">
        <v>8374</v>
      </c>
      <c r="BE1047" s="48" t="s">
        <v>2449</v>
      </c>
      <c r="BF1047" s="48" t="s">
        <v>272</v>
      </c>
      <c r="BG1047" s="48" t="s">
        <v>272</v>
      </c>
      <c r="BH1047" s="48" t="s">
        <v>2486</v>
      </c>
      <c r="BI1047" s="98">
        <v>2.7977599999999998E-3</v>
      </c>
      <c r="BJ1047" s="98">
        <v>27.977599999999999</v>
      </c>
      <c r="BK1047" s="48"/>
      <c r="BL1047" s="487">
        <v>2.4436920881084491E-2</v>
      </c>
      <c r="BM1047" s="47" t="s">
        <v>2487</v>
      </c>
      <c r="BN1047" s="48"/>
      <c r="BO1047" s="48"/>
      <c r="BP1047" s="48"/>
      <c r="BQ1047" s="48"/>
      <c r="BR1047" s="47" t="e">
        <v>#VALUE!</v>
      </c>
      <c r="BS1047" s="48"/>
      <c r="BT1047" s="48"/>
      <c r="BU1047" s="228"/>
      <c r="BV1047" s="48"/>
      <c r="BW1047" s="48"/>
      <c r="BX1047" s="48"/>
      <c r="BY1047" s="48"/>
      <c r="BZ1047" s="48"/>
      <c r="CA1047" s="48"/>
      <c r="CB1047" s="48"/>
      <c r="CC1047" s="48"/>
      <c r="CD1047" s="48"/>
      <c r="CE1047" s="48"/>
      <c r="CF1047" s="48"/>
      <c r="CG1047" s="48"/>
      <c r="CH1047" s="48"/>
      <c r="CI1047" s="98"/>
      <c r="CJ1047" s="98"/>
      <c r="CK1047" s="49">
        <f t="shared" si="215"/>
        <v>8.7344593106930156E-4</v>
      </c>
      <c r="CL1047" s="229"/>
      <c r="CM1047" s="229">
        <v>-1.080921907623926</v>
      </c>
      <c r="CN1047" s="229">
        <f>BJ1047/(10^CM1047)</f>
        <v>337.07951807228926</v>
      </c>
      <c r="CO1047" s="47" t="s">
        <v>2488</v>
      </c>
      <c r="CP1047" s="500" t="s">
        <v>2489</v>
      </c>
      <c r="CQ1047" s="224">
        <v>-0.8107694085504541</v>
      </c>
      <c r="CR1047" s="224">
        <f>10^(CJ1047-CQ1047)</f>
        <v>6.4679910241622141</v>
      </c>
      <c r="CS1047" s="230" t="s">
        <v>539</v>
      </c>
      <c r="CT1047" s="230"/>
      <c r="CU1047" s="230"/>
      <c r="CV1047" s="335">
        <f t="shared" si="216"/>
        <v>6.7911472034770687E-2</v>
      </c>
      <c r="CW1047" s="230">
        <f t="shared" si="217"/>
        <v>0</v>
      </c>
      <c r="CX1047" s="336"/>
      <c r="CY1047" s="230" t="s">
        <v>5921</v>
      </c>
    </row>
    <row r="1048" spans="1:103" ht="11.25" customHeight="1" x14ac:dyDescent="0.2">
      <c r="A1048" s="72">
        <v>1486</v>
      </c>
      <c r="B1048" s="224">
        <v>1881</v>
      </c>
      <c r="C1048" s="46" t="s">
        <v>1460</v>
      </c>
      <c r="D1048" s="46" t="s">
        <v>6582</v>
      </c>
      <c r="E1048" s="114"/>
      <c r="F1048" s="114" t="s">
        <v>1461</v>
      </c>
      <c r="G1048" s="225">
        <v>122836355</v>
      </c>
      <c r="H1048" s="47" t="s">
        <v>1462</v>
      </c>
      <c r="I1048" s="47" t="s">
        <v>8164</v>
      </c>
      <c r="J1048" s="47" t="s">
        <v>1463</v>
      </c>
      <c r="K1048" s="47" t="s">
        <v>483</v>
      </c>
      <c r="L1048" s="47" t="s">
        <v>5955</v>
      </c>
      <c r="M1048" s="47" t="s">
        <v>8505</v>
      </c>
      <c r="N1048" s="47" t="s">
        <v>6082</v>
      </c>
      <c r="O1048" s="47" t="s">
        <v>5957</v>
      </c>
      <c r="P1048" s="53"/>
      <c r="Q1048" s="53"/>
      <c r="R1048" s="53"/>
      <c r="S1048" s="53"/>
      <c r="T1048" s="48">
        <v>387.19</v>
      </c>
      <c r="U1048" s="98">
        <v>780.00000000000011</v>
      </c>
      <c r="V1048" s="98">
        <v>524.5</v>
      </c>
      <c r="W1048" s="98">
        <v>847.07942317702623</v>
      </c>
      <c r="X1048" s="98">
        <v>780.00000000000011</v>
      </c>
      <c r="Y1048" s="233">
        <v>4.67</v>
      </c>
      <c r="Z1048" s="48">
        <v>2.65</v>
      </c>
      <c r="AA1048" s="48">
        <v>0.99</v>
      </c>
      <c r="AB1048" s="48">
        <v>2.34</v>
      </c>
      <c r="AC1048" s="48">
        <v>0.54120000000000001</v>
      </c>
      <c r="AD1048" s="48">
        <v>2.29</v>
      </c>
      <c r="AE1048" s="48">
        <v>2.21</v>
      </c>
      <c r="AF1048" s="48">
        <f t="shared" si="218"/>
        <v>0.99</v>
      </c>
      <c r="AG1048" s="49">
        <v>3.27</v>
      </c>
      <c r="AH1048" s="98">
        <v>5.02E-12</v>
      </c>
      <c r="AI1048" s="98">
        <v>6.3700000000000001E-13</v>
      </c>
      <c r="AJ1048" s="483">
        <f t="shared" si="214"/>
        <v>-9.6878626091676328</v>
      </c>
      <c r="AK1048" s="483">
        <f>LOG10(AI1048*1000/(0.08206*298.15))</f>
        <v>-10.584426893977302</v>
      </c>
      <c r="AL1048" s="483">
        <f t="shared" si="213"/>
        <v>-10.584426893977302</v>
      </c>
      <c r="AM1048" s="483">
        <v>-18.46264</v>
      </c>
      <c r="AN1048" s="226">
        <v>-8.83</v>
      </c>
      <c r="AO1048" s="484">
        <v>6.68</v>
      </c>
      <c r="AP1048" s="484">
        <v>-3.21</v>
      </c>
      <c r="AQ1048" s="226" t="s">
        <v>6311</v>
      </c>
      <c r="AR1048" s="226" t="s">
        <v>6311</v>
      </c>
      <c r="AS1048" s="224"/>
      <c r="AT1048" s="50" t="s">
        <v>266</v>
      </c>
      <c r="AU1048" s="48">
        <v>6</v>
      </c>
      <c r="AV1048" s="48">
        <v>120</v>
      </c>
      <c r="AW1048" s="48">
        <v>114</v>
      </c>
      <c r="AX1048" s="48">
        <v>28</v>
      </c>
      <c r="AY1048" s="48" t="s">
        <v>8728</v>
      </c>
      <c r="AZ1048" s="48" t="s">
        <v>1563</v>
      </c>
      <c r="BA1048" s="48">
        <v>32</v>
      </c>
      <c r="BB1048" s="47" t="s">
        <v>2485</v>
      </c>
      <c r="BC1048" s="47" t="s">
        <v>8726</v>
      </c>
      <c r="BD1048" s="47" t="s">
        <v>8374</v>
      </c>
      <c r="BE1048" s="48" t="s">
        <v>2449</v>
      </c>
      <c r="BF1048" s="48" t="s">
        <v>272</v>
      </c>
      <c r="BG1048" s="48" t="s">
        <v>272</v>
      </c>
      <c r="BH1048" s="48" t="s">
        <v>2486</v>
      </c>
      <c r="BI1048" s="98">
        <v>2.478016E-3</v>
      </c>
      <c r="BJ1048" s="98">
        <v>24.780159999999999</v>
      </c>
      <c r="BK1048" s="48"/>
      <c r="BL1048" s="487">
        <v>82.939064446309516</v>
      </c>
      <c r="BM1048" s="47" t="s">
        <v>2487</v>
      </c>
      <c r="BN1048" s="48"/>
      <c r="BO1048" s="48"/>
      <c r="BP1048" s="48"/>
      <c r="BQ1048" s="48"/>
      <c r="BR1048" s="47" t="e">
        <v>#VALUE!</v>
      </c>
      <c r="BS1048" s="48"/>
      <c r="BT1048" s="48"/>
      <c r="BU1048" s="228"/>
      <c r="BV1048" s="48"/>
      <c r="BW1048" s="48"/>
      <c r="BX1048" s="48"/>
      <c r="BY1048" s="48"/>
      <c r="BZ1048" s="48"/>
      <c r="CA1048" s="48"/>
      <c r="CB1048" s="48"/>
      <c r="CC1048" s="48"/>
      <c r="CD1048" s="48"/>
      <c r="CE1048" s="48"/>
      <c r="CF1048" s="48"/>
      <c r="CG1048" s="48"/>
      <c r="CH1048" s="48"/>
      <c r="CI1048" s="98"/>
      <c r="CJ1048" s="98"/>
      <c r="CK1048" s="49">
        <f t="shared" si="215"/>
        <v>3.3469947105389766</v>
      </c>
      <c r="CL1048" s="229"/>
      <c r="CM1048" s="229">
        <v>1.9722028383790644</v>
      </c>
      <c r="CN1048" s="229">
        <f>BJ1048/(10^CM1048)</f>
        <v>0.26418081023454143</v>
      </c>
      <c r="CO1048" s="47" t="s">
        <v>2488</v>
      </c>
      <c r="CP1048" s="500" t="s">
        <v>2489</v>
      </c>
      <c r="CQ1048" s="224">
        <v>1.9722028383790644</v>
      </c>
      <c r="CR1048" s="224">
        <f>10^(CJ1048-CQ1048)</f>
        <v>1.0660980810234536E-2</v>
      </c>
      <c r="CS1048" s="230" t="s">
        <v>539</v>
      </c>
      <c r="CT1048" s="230"/>
      <c r="CU1048" s="230"/>
      <c r="CV1048" s="335">
        <f t="shared" si="216"/>
        <v>31.47679433869677</v>
      </c>
      <c r="CW1048" s="230">
        <f t="shared" si="217"/>
        <v>1</v>
      </c>
      <c r="CX1048" s="336"/>
      <c r="CY1048" s="230" t="s">
        <v>5921</v>
      </c>
    </row>
    <row r="1049" spans="1:103" ht="11.25" customHeight="1" x14ac:dyDescent="0.2">
      <c r="A1049" s="72">
        <v>1488</v>
      </c>
      <c r="B1049" s="224">
        <v>1543</v>
      </c>
      <c r="C1049" s="46" t="s">
        <v>7512</v>
      </c>
      <c r="D1049" s="46"/>
      <c r="E1049" s="114"/>
      <c r="F1049" s="114" t="s">
        <v>4663</v>
      </c>
      <c r="G1049" s="225">
        <v>123122554</v>
      </c>
      <c r="H1049" s="47" t="s">
        <v>4664</v>
      </c>
      <c r="I1049" s="47" t="s">
        <v>7827</v>
      </c>
      <c r="J1049" s="47" t="s">
        <v>4665</v>
      </c>
      <c r="K1049" s="47" t="s">
        <v>3260</v>
      </c>
      <c r="L1049" s="47"/>
      <c r="M1049" s="47"/>
      <c r="N1049" s="47"/>
      <c r="O1049" s="47"/>
      <c r="P1049" s="53"/>
      <c r="Q1049" s="53"/>
      <c r="R1049" s="53"/>
      <c r="S1049" s="53"/>
      <c r="T1049" s="48">
        <v>515.64</v>
      </c>
      <c r="U1049" s="98"/>
      <c r="V1049" s="98"/>
      <c r="W1049" s="98">
        <v>12.657461052838263</v>
      </c>
      <c r="X1049" s="98">
        <v>12.657461052838263</v>
      </c>
      <c r="Y1049" s="233">
        <v>4.8499999999999996</v>
      </c>
      <c r="Z1049" s="48"/>
      <c r="AA1049" s="48"/>
      <c r="AB1049" s="48"/>
      <c r="AC1049" s="48"/>
      <c r="AD1049" s="48"/>
      <c r="AE1049" s="48"/>
      <c r="AF1049" s="48"/>
      <c r="AG1049" s="49">
        <v>3.96</v>
      </c>
      <c r="AH1049" s="98">
        <v>1.21E-19</v>
      </c>
      <c r="AI1049" s="98"/>
      <c r="AJ1049" s="483">
        <f t="shared" si="214"/>
        <v>-17.305780955996202</v>
      </c>
      <c r="AK1049" s="483"/>
      <c r="AL1049" s="483">
        <f t="shared" si="213"/>
        <v>-17.305780955996202</v>
      </c>
      <c r="AM1049" s="483"/>
      <c r="AN1049" s="226">
        <v>-21.2</v>
      </c>
      <c r="AO1049" s="484">
        <v>4.7</v>
      </c>
      <c r="AP1049" s="484">
        <v>-0.97</v>
      </c>
      <c r="AQ1049" s="48" t="s">
        <v>6311</v>
      </c>
      <c r="AR1049" s="48" t="s">
        <v>6312</v>
      </c>
      <c r="AS1049" s="227"/>
      <c r="AT1049" s="50" t="s">
        <v>266</v>
      </c>
      <c r="AU1049" s="48">
        <v>6</v>
      </c>
      <c r="AV1049" s="48">
        <v>120</v>
      </c>
      <c r="AW1049" s="48">
        <v>114</v>
      </c>
      <c r="AX1049" s="48">
        <v>28</v>
      </c>
      <c r="AY1049" s="48" t="s">
        <v>8728</v>
      </c>
      <c r="AZ1049" s="48" t="s">
        <v>1563</v>
      </c>
      <c r="BA1049" s="48">
        <v>32</v>
      </c>
      <c r="BB1049" s="47" t="s">
        <v>2485</v>
      </c>
      <c r="BC1049" s="47" t="s">
        <v>8726</v>
      </c>
      <c r="BD1049" s="47" t="s">
        <v>8374</v>
      </c>
      <c r="BE1049" s="48" t="s">
        <v>2449</v>
      </c>
      <c r="BF1049" s="48" t="s">
        <v>272</v>
      </c>
      <c r="BG1049" s="48" t="s">
        <v>272</v>
      </c>
      <c r="BH1049" s="48" t="s">
        <v>2486</v>
      </c>
      <c r="BI1049" s="98">
        <v>3.3000959999999998E-3</v>
      </c>
      <c r="BJ1049" s="98">
        <v>33.000959999999999</v>
      </c>
      <c r="BK1049" s="48"/>
      <c r="BL1049" s="487"/>
      <c r="BM1049" s="47" t="s">
        <v>2487</v>
      </c>
      <c r="BN1049" s="48"/>
      <c r="BO1049" s="48"/>
      <c r="BP1049" s="48"/>
      <c r="BQ1049" s="48"/>
      <c r="BR1049" s="47" t="e">
        <v>#VALUE!</v>
      </c>
      <c r="BS1049" s="48"/>
      <c r="BT1049" s="48"/>
      <c r="BU1049" s="228"/>
      <c r="BV1049" s="48"/>
      <c r="BW1049" s="48"/>
      <c r="BX1049" s="48"/>
      <c r="BY1049" s="48"/>
      <c r="BZ1049" s="48"/>
      <c r="CA1049" s="48"/>
      <c r="CB1049" s="48"/>
      <c r="CC1049" s="48"/>
      <c r="CD1049" s="48"/>
      <c r="CE1049" s="48"/>
      <c r="CF1049" s="48"/>
      <c r="CG1049" s="48"/>
      <c r="CH1049" s="48"/>
      <c r="CI1049" s="98"/>
      <c r="CJ1049" s="98"/>
      <c r="CK1049" s="49">
        <f t="shared" si="215"/>
        <v>0</v>
      </c>
      <c r="CL1049" s="229"/>
      <c r="CM1049" s="229"/>
      <c r="CN1049" s="229"/>
      <c r="CO1049" s="47" t="s">
        <v>2488</v>
      </c>
      <c r="CP1049" s="500" t="s">
        <v>2489</v>
      </c>
      <c r="CQ1049" s="224" t="s">
        <v>272</v>
      </c>
      <c r="CR1049" s="224"/>
      <c r="CS1049" s="230" t="s">
        <v>539</v>
      </c>
      <c r="CT1049" s="230"/>
      <c r="CU1049" s="230"/>
      <c r="CV1049" s="335">
        <f t="shared" si="216"/>
        <v>0.38354826807578518</v>
      </c>
      <c r="CW1049" s="230">
        <f t="shared" si="217"/>
        <v>0</v>
      </c>
      <c r="CX1049" s="336"/>
      <c r="CY1049" s="230" t="s">
        <v>5921</v>
      </c>
    </row>
    <row r="1050" spans="1:103" ht="11.25" customHeight="1" x14ac:dyDescent="0.2">
      <c r="A1050" s="72">
        <v>1490</v>
      </c>
      <c r="B1050" s="224">
        <v>1842</v>
      </c>
      <c r="C1050" s="46" t="s">
        <v>7513</v>
      </c>
      <c r="D1050" s="46"/>
      <c r="E1050" s="114"/>
      <c r="F1050" s="114" t="s">
        <v>4007</v>
      </c>
      <c r="G1050" s="225">
        <v>123312890</v>
      </c>
      <c r="H1050" s="47" t="s">
        <v>4008</v>
      </c>
      <c r="I1050" s="47" t="s">
        <v>4008</v>
      </c>
      <c r="J1050" s="47" t="s">
        <v>4009</v>
      </c>
      <c r="K1050" s="47" t="s">
        <v>2281</v>
      </c>
      <c r="L1050" s="47" t="s">
        <v>617</v>
      </c>
      <c r="M1050" s="47" t="s">
        <v>4010</v>
      </c>
      <c r="N1050" s="47"/>
      <c r="O1050" s="47" t="s">
        <v>918</v>
      </c>
      <c r="P1050" s="53"/>
      <c r="Q1050" s="53"/>
      <c r="R1050" s="53"/>
      <c r="S1050" s="53"/>
      <c r="T1050" s="48">
        <v>217.23</v>
      </c>
      <c r="U1050" s="98">
        <v>290</v>
      </c>
      <c r="V1050" s="98">
        <v>49570</v>
      </c>
      <c r="W1050" s="98">
        <v>9266.5868869269907</v>
      </c>
      <c r="X1050" s="98">
        <v>290</v>
      </c>
      <c r="Y1050" s="233">
        <v>7.95</v>
      </c>
      <c r="Z1050" s="48">
        <v>0.89</v>
      </c>
      <c r="AA1050" s="48">
        <v>-0.18</v>
      </c>
      <c r="AB1050" s="48">
        <v>0.77</v>
      </c>
      <c r="AC1050" s="48">
        <v>0.65590000000000004</v>
      </c>
      <c r="AD1050" s="48">
        <v>0.3</v>
      </c>
      <c r="AE1050" s="48">
        <v>-0.51</v>
      </c>
      <c r="AF1050" s="48">
        <f t="shared" ref="AF1050:AF1081" si="219">IF(AA1050=0,AD1050,AA1050)</f>
        <v>-0.18</v>
      </c>
      <c r="AG1050" s="49">
        <v>0.74</v>
      </c>
      <c r="AH1050" s="98">
        <v>3.5400000000000001E-13</v>
      </c>
      <c r="AI1050" s="98"/>
      <c r="AJ1050" s="483">
        <f t="shared" si="214"/>
        <v>-10.839563064286864</v>
      </c>
      <c r="AK1050" s="483"/>
      <c r="AL1050" s="483">
        <f t="shared" si="213"/>
        <v>-10.839563064286864</v>
      </c>
      <c r="AM1050" s="483">
        <v>-13.69971</v>
      </c>
      <c r="AN1050" s="226">
        <v>-11</v>
      </c>
      <c r="AO1050" s="484">
        <v>12.9</v>
      </c>
      <c r="AP1050" s="484">
        <v>3.71</v>
      </c>
      <c r="AQ1050" s="226" t="s">
        <v>6311</v>
      </c>
      <c r="AR1050" s="226" t="s">
        <v>6311</v>
      </c>
      <c r="AS1050" s="224"/>
      <c r="AT1050" s="50" t="s">
        <v>266</v>
      </c>
      <c r="AU1050" s="48">
        <v>6</v>
      </c>
      <c r="AV1050" s="48">
        <v>120</v>
      </c>
      <c r="AW1050" s="48">
        <v>114</v>
      </c>
      <c r="AX1050" s="48">
        <v>28</v>
      </c>
      <c r="AY1050" s="48" t="s">
        <v>8728</v>
      </c>
      <c r="AZ1050" s="48" t="s">
        <v>1563</v>
      </c>
      <c r="BA1050" s="48">
        <v>32</v>
      </c>
      <c r="BB1050" s="47" t="s">
        <v>2485</v>
      </c>
      <c r="BC1050" s="47" t="s">
        <v>8726</v>
      </c>
      <c r="BD1050" s="47" t="s">
        <v>8374</v>
      </c>
      <c r="BE1050" s="48" t="s">
        <v>2449</v>
      </c>
      <c r="BF1050" s="48" t="s">
        <v>272</v>
      </c>
      <c r="BG1050" s="48" t="s">
        <v>272</v>
      </c>
      <c r="BH1050" s="48" t="s">
        <v>2486</v>
      </c>
      <c r="BI1050" s="98">
        <v>1.3902719999999999E-3</v>
      </c>
      <c r="BJ1050" s="98">
        <v>13.90272</v>
      </c>
      <c r="BK1050" s="48"/>
      <c r="BL1050" s="487">
        <v>1771.7841089550063</v>
      </c>
      <c r="BM1050" s="47" t="s">
        <v>2487</v>
      </c>
      <c r="BN1050" s="48"/>
      <c r="BO1050" s="48"/>
      <c r="BP1050" s="48"/>
      <c r="BQ1050" s="48"/>
      <c r="BR1050" s="47" t="e">
        <v>#VALUE!</v>
      </c>
      <c r="BS1050" s="48"/>
      <c r="BT1050" s="48"/>
      <c r="BU1050" s="228"/>
      <c r="BV1050" s="48"/>
      <c r="BW1050" s="48"/>
      <c r="BX1050" s="48"/>
      <c r="BY1050" s="48"/>
      <c r="BZ1050" s="48"/>
      <c r="CA1050" s="48"/>
      <c r="CB1050" s="48"/>
      <c r="CC1050" s="48"/>
      <c r="CD1050" s="48"/>
      <c r="CE1050" s="48"/>
      <c r="CF1050" s="48"/>
      <c r="CG1050" s="48"/>
      <c r="CH1050" s="48"/>
      <c r="CI1050" s="98"/>
      <c r="CJ1050" s="98"/>
      <c r="CK1050" s="49">
        <f t="shared" si="215"/>
        <v>127.44154445712826</v>
      </c>
      <c r="CL1050" s="229"/>
      <c r="CM1050" s="229"/>
      <c r="CN1050" s="229"/>
      <c r="CO1050" s="47" t="s">
        <v>2488</v>
      </c>
      <c r="CP1050" s="500" t="s">
        <v>2489</v>
      </c>
      <c r="CQ1050" s="224" t="s">
        <v>272</v>
      </c>
      <c r="CR1050" s="224"/>
      <c r="CS1050" s="230" t="s">
        <v>539</v>
      </c>
      <c r="CT1050" s="230"/>
      <c r="CU1050" s="230"/>
      <c r="CV1050" s="335">
        <f t="shared" si="216"/>
        <v>20.859227546839755</v>
      </c>
      <c r="CW1050" s="230">
        <f t="shared" si="217"/>
        <v>1</v>
      </c>
      <c r="CX1050" s="336"/>
      <c r="CY1050" s="230" t="s">
        <v>5921</v>
      </c>
    </row>
    <row r="1051" spans="1:103" ht="11.25" customHeight="1" x14ac:dyDescent="0.2">
      <c r="A1051" s="72">
        <v>1492</v>
      </c>
      <c r="B1051" s="224">
        <v>1848</v>
      </c>
      <c r="C1051" s="46" t="s">
        <v>7514</v>
      </c>
      <c r="D1051" s="46"/>
      <c r="E1051" s="114"/>
      <c r="F1051" s="114" t="s">
        <v>4011</v>
      </c>
      <c r="G1051" s="225">
        <v>123343168</v>
      </c>
      <c r="H1051" s="47" t="s">
        <v>4012</v>
      </c>
      <c r="I1051" s="47" t="s">
        <v>8165</v>
      </c>
      <c r="J1051" s="47" t="s">
        <v>4013</v>
      </c>
      <c r="K1051" s="47" t="s">
        <v>426</v>
      </c>
      <c r="L1051" s="47"/>
      <c r="M1051" s="47"/>
      <c r="N1051" s="47"/>
      <c r="O1051" s="47"/>
      <c r="P1051" s="53"/>
      <c r="Q1051" s="53"/>
      <c r="R1051" s="53"/>
      <c r="S1051" s="53"/>
      <c r="T1051" s="48">
        <v>326.76</v>
      </c>
      <c r="U1051" s="98"/>
      <c r="V1051" s="98">
        <v>39.409999999999997</v>
      </c>
      <c r="W1051" s="98">
        <v>304.95017532842462</v>
      </c>
      <c r="X1051" s="98">
        <v>304.95017532842462</v>
      </c>
      <c r="Y1051" s="233">
        <v>3.06</v>
      </c>
      <c r="Z1051" s="48">
        <v>2.74</v>
      </c>
      <c r="AA1051" s="48"/>
      <c r="AB1051" s="48">
        <v>3.35</v>
      </c>
      <c r="AC1051" s="48">
        <v>0.80159999999999998</v>
      </c>
      <c r="AD1051" s="48">
        <v>3.26</v>
      </c>
      <c r="AE1051" s="48">
        <v>3</v>
      </c>
      <c r="AF1051" s="48">
        <f t="shared" si="219"/>
        <v>3.26</v>
      </c>
      <c r="AG1051" s="49">
        <v>3.26</v>
      </c>
      <c r="AH1051" s="98">
        <v>2.8700000000000001E-12</v>
      </c>
      <c r="AI1051" s="98"/>
      <c r="AJ1051" s="483">
        <f t="shared" si="214"/>
        <v>-9.93068442957866</v>
      </c>
      <c r="AK1051" s="483"/>
      <c r="AL1051" s="483">
        <f t="shared" si="213"/>
        <v>-9.93068442957866</v>
      </c>
      <c r="AM1051" s="483">
        <v>-17.042919999999999</v>
      </c>
      <c r="AN1051" s="226"/>
      <c r="AO1051" s="484">
        <v>1.91</v>
      </c>
      <c r="AP1051" s="484">
        <v>-0.71</v>
      </c>
      <c r="AQ1051" s="226" t="s">
        <v>6311</v>
      </c>
      <c r="AR1051" s="226" t="s">
        <v>6311</v>
      </c>
      <c r="AS1051" s="224"/>
      <c r="AT1051" s="50" t="s">
        <v>266</v>
      </c>
      <c r="AU1051" s="48">
        <v>6</v>
      </c>
      <c r="AV1051" s="48">
        <v>120</v>
      </c>
      <c r="AW1051" s="48">
        <v>114</v>
      </c>
      <c r="AX1051" s="48">
        <v>28</v>
      </c>
      <c r="AY1051" s="48" t="s">
        <v>8728</v>
      </c>
      <c r="AZ1051" s="48" t="s">
        <v>1563</v>
      </c>
      <c r="BA1051" s="48">
        <v>32</v>
      </c>
      <c r="BB1051" s="47" t="s">
        <v>2485</v>
      </c>
      <c r="BC1051" s="47" t="s">
        <v>8726</v>
      </c>
      <c r="BD1051" s="47" t="s">
        <v>8374</v>
      </c>
      <c r="BE1051" s="48" t="s">
        <v>2449</v>
      </c>
      <c r="BF1051" s="48" t="s">
        <v>272</v>
      </c>
      <c r="BG1051" s="48" t="s">
        <v>272</v>
      </c>
      <c r="BH1051" s="48" t="s">
        <v>2486</v>
      </c>
      <c r="BI1051" s="98">
        <v>2.0912639999999998E-3</v>
      </c>
      <c r="BJ1051" s="98">
        <v>20.91264</v>
      </c>
      <c r="BK1051" s="48"/>
      <c r="BL1051" s="487">
        <v>58.107860786650541</v>
      </c>
      <c r="BM1051" s="47" t="s">
        <v>2487</v>
      </c>
      <c r="BN1051" s="48"/>
      <c r="BO1051" s="48"/>
      <c r="BP1051" s="48"/>
      <c r="BQ1051" s="48"/>
      <c r="BR1051" s="47" t="e">
        <v>#VALUE!</v>
      </c>
      <c r="BS1051" s="48"/>
      <c r="BT1051" s="48"/>
      <c r="BU1051" s="228"/>
      <c r="BV1051" s="48"/>
      <c r="BW1051" s="48"/>
      <c r="BX1051" s="48"/>
      <c r="BY1051" s="48"/>
      <c r="BZ1051" s="48"/>
      <c r="CA1051" s="48"/>
      <c r="CB1051" s="48"/>
      <c r="CC1051" s="48"/>
      <c r="CD1051" s="48"/>
      <c r="CE1051" s="48"/>
      <c r="CF1051" s="48"/>
      <c r="CG1051" s="48"/>
      <c r="CH1051" s="48"/>
      <c r="CI1051" s="98"/>
      <c r="CJ1051" s="98"/>
      <c r="CK1051" s="49">
        <f t="shared" si="215"/>
        <v>2.7785999656978047</v>
      </c>
      <c r="CL1051" s="229"/>
      <c r="CM1051" s="229"/>
      <c r="CN1051" s="229"/>
      <c r="CO1051" s="47" t="s">
        <v>2488</v>
      </c>
      <c r="CP1051" s="500" t="s">
        <v>2489</v>
      </c>
      <c r="CQ1051" s="224" t="s">
        <v>272</v>
      </c>
      <c r="CR1051" s="224"/>
      <c r="CS1051" s="230" t="s">
        <v>539</v>
      </c>
      <c r="CT1051" s="230"/>
      <c r="CU1051" s="230"/>
      <c r="CV1051" s="335">
        <f t="shared" si="216"/>
        <v>14.582098449952976</v>
      </c>
      <c r="CW1051" s="230">
        <f t="shared" si="217"/>
        <v>1</v>
      </c>
      <c r="CX1051" s="336"/>
      <c r="CY1051" s="230" t="s">
        <v>5921</v>
      </c>
    </row>
    <row r="1052" spans="1:103" ht="11.25" customHeight="1" x14ac:dyDescent="0.2">
      <c r="A1052" s="72">
        <v>1493</v>
      </c>
      <c r="B1052" s="224">
        <v>920</v>
      </c>
      <c r="C1052" s="46" t="s">
        <v>7515</v>
      </c>
      <c r="D1052" s="46"/>
      <c r="E1052" s="114"/>
      <c r="F1052" s="114" t="s">
        <v>2628</v>
      </c>
      <c r="G1052" s="225">
        <v>124378774</v>
      </c>
      <c r="H1052" s="47" t="s">
        <v>2629</v>
      </c>
      <c r="I1052" s="47" t="s">
        <v>7861</v>
      </c>
      <c r="J1052" s="47" t="s">
        <v>2630</v>
      </c>
      <c r="K1052" s="47" t="s">
        <v>2631</v>
      </c>
      <c r="L1052" s="47"/>
      <c r="M1052" s="47"/>
      <c r="N1052" s="47"/>
      <c r="O1052" s="47"/>
      <c r="P1052" s="53"/>
      <c r="Q1052" s="53"/>
      <c r="R1052" s="53"/>
      <c r="S1052" s="53"/>
      <c r="T1052" s="48">
        <v>454.4</v>
      </c>
      <c r="U1052" s="98"/>
      <c r="V1052" s="98">
        <v>4.1849999999999996</v>
      </c>
      <c r="W1052" s="98">
        <v>33.68513736471364</v>
      </c>
      <c r="X1052" s="98">
        <v>33.68513736471364</v>
      </c>
      <c r="Y1052" s="233">
        <v>4.18</v>
      </c>
      <c r="Z1052" s="48">
        <v>2.96</v>
      </c>
      <c r="AA1052" s="48"/>
      <c r="AB1052" s="48">
        <v>2.5099999999999998</v>
      </c>
      <c r="AC1052" s="48">
        <v>0.64400000000000002</v>
      </c>
      <c r="AD1052" s="48">
        <v>2.69</v>
      </c>
      <c r="AE1052" s="48">
        <v>3</v>
      </c>
      <c r="AF1052" s="48">
        <f t="shared" si="219"/>
        <v>2.69</v>
      </c>
      <c r="AG1052" s="49">
        <v>2.97</v>
      </c>
      <c r="AH1052" s="98">
        <v>5.75E-22</v>
      </c>
      <c r="AI1052" s="98"/>
      <c r="AJ1052" s="483">
        <f t="shared" si="214"/>
        <v>-19.628898481623022</v>
      </c>
      <c r="AK1052" s="483"/>
      <c r="AL1052" s="483">
        <f t="shared" si="213"/>
        <v>-19.628898481623022</v>
      </c>
      <c r="AM1052" s="483">
        <v>-27.615110000000001</v>
      </c>
      <c r="AN1052" s="226">
        <v>-17.8</v>
      </c>
      <c r="AO1052" s="484">
        <v>3.1</v>
      </c>
      <c r="AP1052" s="484">
        <v>1.44</v>
      </c>
      <c r="AQ1052" s="48" t="s">
        <v>6311</v>
      </c>
      <c r="AR1052" s="48" t="s">
        <v>6311</v>
      </c>
      <c r="AS1052" s="227"/>
      <c r="AT1052" s="50" t="s">
        <v>266</v>
      </c>
      <c r="AU1052" s="48">
        <v>6</v>
      </c>
      <c r="AV1052" s="48">
        <v>120</v>
      </c>
      <c r="AW1052" s="48">
        <v>114</v>
      </c>
      <c r="AX1052" s="48">
        <v>28</v>
      </c>
      <c r="AY1052" s="48" t="s">
        <v>8728</v>
      </c>
      <c r="AZ1052" s="48" t="s">
        <v>1563</v>
      </c>
      <c r="BA1052" s="48">
        <v>32</v>
      </c>
      <c r="BB1052" s="47" t="s">
        <v>2485</v>
      </c>
      <c r="BC1052" s="47" t="s">
        <v>8726</v>
      </c>
      <c r="BD1052" s="47" t="s">
        <v>8374</v>
      </c>
      <c r="BE1052" s="48" t="s">
        <v>2449</v>
      </c>
      <c r="BF1052" s="48" t="s">
        <v>272</v>
      </c>
      <c r="BG1052" s="48" t="s">
        <v>272</v>
      </c>
      <c r="BH1052" s="48" t="s">
        <v>2486</v>
      </c>
      <c r="BI1052" s="98">
        <v>2.9081599999999999E-3</v>
      </c>
      <c r="BJ1052" s="98">
        <v>29.081599999999998</v>
      </c>
      <c r="BK1052" s="48"/>
      <c r="BL1052" s="487">
        <v>51.269882567860961</v>
      </c>
      <c r="BM1052" s="47" t="s">
        <v>2487</v>
      </c>
      <c r="BN1052" s="48"/>
      <c r="BO1052" s="48"/>
      <c r="BP1052" s="48"/>
      <c r="BQ1052" s="48"/>
      <c r="BR1052" s="47"/>
      <c r="BS1052" s="48"/>
      <c r="BT1052" s="48"/>
      <c r="BU1052" s="228">
        <v>2.6318847999999999</v>
      </c>
      <c r="BV1052" s="48"/>
      <c r="BW1052" s="48"/>
      <c r="BX1052" s="48"/>
      <c r="BY1052" s="48"/>
      <c r="BZ1052" s="48"/>
      <c r="CA1052" s="48"/>
      <c r="CB1052" s="48"/>
      <c r="CC1052" s="48"/>
      <c r="CD1052" s="48"/>
      <c r="CE1052" s="48"/>
      <c r="CF1052" s="48"/>
      <c r="CG1052" s="48"/>
      <c r="CH1052" s="48"/>
      <c r="CI1052" s="98"/>
      <c r="CJ1052" s="98"/>
      <c r="CK1052" s="49">
        <f t="shared" si="215"/>
        <v>1.7629663625062226</v>
      </c>
      <c r="CL1052" s="229"/>
      <c r="CM1052" s="229"/>
      <c r="CN1052" s="229"/>
      <c r="CO1052" s="47" t="s">
        <v>2488</v>
      </c>
      <c r="CP1052" s="500" t="s">
        <v>2489</v>
      </c>
      <c r="CQ1052" s="224" t="s">
        <v>272</v>
      </c>
      <c r="CR1052" s="224"/>
      <c r="CS1052" s="230" t="s">
        <v>539</v>
      </c>
      <c r="CT1052" s="230"/>
      <c r="CU1052" s="230"/>
      <c r="CV1052" s="335">
        <f t="shared" si="216"/>
        <v>1.158297252032682</v>
      </c>
      <c r="CW1052" s="230">
        <f t="shared" si="217"/>
        <v>1</v>
      </c>
      <c r="CX1052" s="336"/>
      <c r="CY1052" s="230" t="s">
        <v>5921</v>
      </c>
    </row>
    <row r="1053" spans="1:103" ht="11.25" customHeight="1" x14ac:dyDescent="0.2">
      <c r="A1053" s="72">
        <v>1495</v>
      </c>
      <c r="B1053" s="224">
        <v>1661</v>
      </c>
      <c r="C1053" s="46" t="s">
        <v>1164</v>
      </c>
      <c r="D1053" s="46" t="s">
        <v>6657</v>
      </c>
      <c r="E1053" s="114"/>
      <c r="F1053" s="114" t="s">
        <v>1165</v>
      </c>
      <c r="G1053" s="225">
        <v>126833178</v>
      </c>
      <c r="H1053" s="47" t="s">
        <v>1166</v>
      </c>
      <c r="I1053" s="47" t="s">
        <v>8166</v>
      </c>
      <c r="J1053" s="47" t="s">
        <v>1167</v>
      </c>
      <c r="K1053" s="47" t="s">
        <v>464</v>
      </c>
      <c r="L1053" s="47" t="s">
        <v>5979</v>
      </c>
      <c r="M1053" s="47" t="s">
        <v>6082</v>
      </c>
      <c r="N1053" s="47" t="s">
        <v>6082</v>
      </c>
      <c r="O1053" s="47" t="s">
        <v>6083</v>
      </c>
      <c r="P1053" s="53"/>
      <c r="Q1053" s="53"/>
      <c r="R1053" s="53"/>
      <c r="S1053" s="53"/>
      <c r="T1053" s="48">
        <v>302.2</v>
      </c>
      <c r="U1053" s="98"/>
      <c r="V1053" s="98">
        <v>11.99</v>
      </c>
      <c r="W1053" s="98">
        <v>18.633500956253982</v>
      </c>
      <c r="X1053" s="98">
        <v>18.633500956253982</v>
      </c>
      <c r="Y1053" s="233">
        <v>5.94</v>
      </c>
      <c r="Z1053" s="48">
        <v>3.72</v>
      </c>
      <c r="AA1053" s="48">
        <v>3.51</v>
      </c>
      <c r="AB1053" s="48">
        <v>4.93</v>
      </c>
      <c r="AC1053" s="48">
        <v>0.39019999999999999</v>
      </c>
      <c r="AD1053" s="48">
        <v>4.3600000000000003</v>
      </c>
      <c r="AE1053" s="48">
        <v>4.0199999999999996</v>
      </c>
      <c r="AF1053" s="48">
        <f t="shared" si="219"/>
        <v>3.51</v>
      </c>
      <c r="AG1053" s="49">
        <v>4.0199999999999996</v>
      </c>
      <c r="AH1053" s="98">
        <v>8.5100000000000001E-13</v>
      </c>
      <c r="AI1053" s="98"/>
      <c r="AJ1053" s="483">
        <f t="shared" si="214"/>
        <v>-10.458636766228064</v>
      </c>
      <c r="AK1053" s="483"/>
      <c r="AL1053" s="483">
        <f t="shared" si="213"/>
        <v>-10.458636766228064</v>
      </c>
      <c r="AM1053" s="483">
        <v>-14.288309999999999</v>
      </c>
      <c r="AN1053" s="226">
        <v>-10.199999999999999</v>
      </c>
      <c r="AO1053" s="484">
        <v>7.73</v>
      </c>
      <c r="AP1053" s="484"/>
      <c r="AQ1053" s="226" t="s">
        <v>6311</v>
      </c>
      <c r="AR1053" s="226" t="s">
        <v>6311</v>
      </c>
      <c r="AS1053" s="224"/>
      <c r="AT1053" s="50" t="s">
        <v>266</v>
      </c>
      <c r="AU1053" s="48">
        <v>6</v>
      </c>
      <c r="AV1053" s="48">
        <v>120</v>
      </c>
      <c r="AW1053" s="48">
        <v>114</v>
      </c>
      <c r="AX1053" s="48">
        <v>28</v>
      </c>
      <c r="AY1053" s="48" t="s">
        <v>8728</v>
      </c>
      <c r="AZ1053" s="48" t="s">
        <v>1563</v>
      </c>
      <c r="BA1053" s="48">
        <v>32</v>
      </c>
      <c r="BB1053" s="47" t="s">
        <v>2485</v>
      </c>
      <c r="BC1053" s="47" t="s">
        <v>8726</v>
      </c>
      <c r="BD1053" s="47" t="s">
        <v>8374</v>
      </c>
      <c r="BE1053" s="48" t="s">
        <v>2449</v>
      </c>
      <c r="BF1053" s="48" t="s">
        <v>272</v>
      </c>
      <c r="BG1053" s="48" t="s">
        <v>272</v>
      </c>
      <c r="BH1053" s="48" t="s">
        <v>2486</v>
      </c>
      <c r="BI1053" s="98">
        <v>1.9340799999999999E-3</v>
      </c>
      <c r="BJ1053" s="98">
        <v>19.340799999999998</v>
      </c>
      <c r="BK1053" s="48"/>
      <c r="BL1053" s="487">
        <v>7.0821066085304878</v>
      </c>
      <c r="BM1053" s="47" t="s">
        <v>2487</v>
      </c>
      <c r="BN1053" s="48"/>
      <c r="BO1053" s="48"/>
      <c r="BP1053" s="48"/>
      <c r="BQ1053" s="48"/>
      <c r="BR1053" s="47" t="e">
        <v>#VALUE!</v>
      </c>
      <c r="BS1053" s="48"/>
      <c r="BT1053" s="48"/>
      <c r="BU1053" s="228"/>
      <c r="BV1053" s="48"/>
      <c r="BW1053" s="48"/>
      <c r="BX1053" s="48"/>
      <c r="BY1053" s="48"/>
      <c r="BZ1053" s="48"/>
      <c r="CA1053" s="48"/>
      <c r="CB1053" s="48"/>
      <c r="CC1053" s="48"/>
      <c r="CD1053" s="48"/>
      <c r="CE1053" s="48"/>
      <c r="CF1053" s="48"/>
      <c r="CG1053" s="48"/>
      <c r="CH1053" s="48"/>
      <c r="CI1053" s="98"/>
      <c r="CJ1053" s="98"/>
      <c r="CK1053" s="49">
        <f t="shared" ref="CK1053:CK1086" si="220">BL1053/BJ1053</f>
        <v>0.36617443996786525</v>
      </c>
      <c r="CL1053" s="229"/>
      <c r="CM1053" s="229">
        <v>0.18983786811623626</v>
      </c>
      <c r="CN1053" s="229">
        <f>BJ1053/(10^CM1053)</f>
        <v>12.492132035955182</v>
      </c>
      <c r="CO1053" s="47" t="s">
        <v>2488</v>
      </c>
      <c r="CP1053" s="500" t="s">
        <v>2489</v>
      </c>
      <c r="CQ1053" s="224">
        <v>0.25867551570421637</v>
      </c>
      <c r="CR1053" s="224">
        <f>10^(CJ1053-CQ1053)</f>
        <v>0.5512193876432242</v>
      </c>
      <c r="CS1053" s="230" t="s">
        <v>539</v>
      </c>
      <c r="CT1053" s="230"/>
      <c r="CU1053" s="230"/>
      <c r="CV1053" s="335">
        <f t="shared" ref="CV1053:CV1086" si="221">X1053/BJ1053</f>
        <v>0.96342969040856552</v>
      </c>
      <c r="CW1053" s="230">
        <f t="shared" ref="CW1053:CW1084" si="222">IF(CV1053&lt;1,0,1)</f>
        <v>0</v>
      </c>
      <c r="CX1053" s="336"/>
      <c r="CY1053" s="230" t="s">
        <v>5921</v>
      </c>
    </row>
    <row r="1054" spans="1:103" ht="11.25" customHeight="1" x14ac:dyDescent="0.2">
      <c r="A1054" s="72">
        <v>1497</v>
      </c>
      <c r="B1054" s="224">
        <v>1902</v>
      </c>
      <c r="C1054" s="46" t="s">
        <v>7518</v>
      </c>
      <c r="D1054" s="46"/>
      <c r="E1054" s="114"/>
      <c r="F1054" s="114" t="s">
        <v>5366</v>
      </c>
      <c r="G1054" s="225">
        <v>129298915</v>
      </c>
      <c r="H1054" s="47" t="s">
        <v>5367</v>
      </c>
      <c r="I1054" s="47" t="s">
        <v>7774</v>
      </c>
      <c r="J1054" s="47" t="s">
        <v>5368</v>
      </c>
      <c r="K1054" s="47" t="s">
        <v>5369</v>
      </c>
      <c r="L1054" s="47"/>
      <c r="M1054" s="47"/>
      <c r="N1054" s="47"/>
      <c r="O1054" s="47"/>
      <c r="P1054" s="53"/>
      <c r="Q1054" s="53"/>
      <c r="R1054" s="53"/>
      <c r="S1054" s="53"/>
      <c r="T1054" s="48">
        <v>401.88</v>
      </c>
      <c r="U1054" s="98"/>
      <c r="V1054" s="98">
        <v>18.05</v>
      </c>
      <c r="W1054" s="98">
        <v>253.56913759969976</v>
      </c>
      <c r="X1054" s="98">
        <v>253.56913759969976</v>
      </c>
      <c r="Y1054" s="233">
        <v>5.19</v>
      </c>
      <c r="Z1054" s="48">
        <v>2.6</v>
      </c>
      <c r="AA1054" s="48"/>
      <c r="AB1054" s="48">
        <v>2.84</v>
      </c>
      <c r="AC1054" s="48">
        <v>0.36820000000000003</v>
      </c>
      <c r="AD1054" s="48">
        <v>2.0099999999999998</v>
      </c>
      <c r="AE1054" s="48">
        <v>1.44</v>
      </c>
      <c r="AF1054" s="48">
        <f t="shared" si="219"/>
        <v>2.0099999999999998</v>
      </c>
      <c r="AG1054" s="49">
        <v>2.04</v>
      </c>
      <c r="AH1054" s="98">
        <v>9.6899999999999996E-14</v>
      </c>
      <c r="AI1054" s="98"/>
      <c r="AJ1054" s="483">
        <f t="shared" si="214"/>
        <v>-11.402242549261887</v>
      </c>
      <c r="AK1054" s="483"/>
      <c r="AL1054" s="483">
        <f t="shared" si="213"/>
        <v>-11.402242549261887</v>
      </c>
      <c r="AM1054" s="483">
        <v>-16.19641</v>
      </c>
      <c r="AN1054" s="226">
        <v>-10.199999999999999</v>
      </c>
      <c r="AO1054" s="484">
        <v>7.19</v>
      </c>
      <c r="AP1054" s="484">
        <v>-6.42</v>
      </c>
      <c r="AQ1054" s="226" t="s">
        <v>6312</v>
      </c>
      <c r="AR1054" s="226" t="s">
        <v>6311</v>
      </c>
      <c r="AS1054" s="224"/>
      <c r="AT1054" s="50" t="s">
        <v>266</v>
      </c>
      <c r="AU1054" s="48">
        <v>6</v>
      </c>
      <c r="AV1054" s="48">
        <v>120</v>
      </c>
      <c r="AW1054" s="48">
        <v>114</v>
      </c>
      <c r="AX1054" s="48">
        <v>28</v>
      </c>
      <c r="AY1054" s="48" t="s">
        <v>8728</v>
      </c>
      <c r="AZ1054" s="48" t="s">
        <v>1563</v>
      </c>
      <c r="BA1054" s="48">
        <v>32</v>
      </c>
      <c r="BB1054" s="47" t="s">
        <v>2485</v>
      </c>
      <c r="BC1054" s="47" t="s">
        <v>8726</v>
      </c>
      <c r="BD1054" s="47" t="s">
        <v>8374</v>
      </c>
      <c r="BE1054" s="48" t="s">
        <v>2449</v>
      </c>
      <c r="BF1054" s="48" t="s">
        <v>272</v>
      </c>
      <c r="BG1054" s="48" t="s">
        <v>272</v>
      </c>
      <c r="BH1054" s="48" t="s">
        <v>2486</v>
      </c>
      <c r="BI1054" s="98">
        <v>2.5720319999999997E-3</v>
      </c>
      <c r="BJ1054" s="98">
        <v>25.720320000000001</v>
      </c>
      <c r="BK1054" s="48"/>
      <c r="BL1054" s="487">
        <v>95.46328911797066</v>
      </c>
      <c r="BM1054" s="47" t="s">
        <v>2487</v>
      </c>
      <c r="BN1054" s="48"/>
      <c r="BO1054" s="48"/>
      <c r="BP1054" s="48"/>
      <c r="BQ1054" s="48"/>
      <c r="BR1054" s="47" t="e">
        <v>#VALUE!</v>
      </c>
      <c r="BS1054" s="48"/>
      <c r="BT1054" s="48"/>
      <c r="BU1054" s="228"/>
      <c r="BV1054" s="48"/>
      <c r="BW1054" s="48"/>
      <c r="BX1054" s="48"/>
      <c r="BY1054" s="48"/>
      <c r="BZ1054" s="48"/>
      <c r="CA1054" s="48"/>
      <c r="CB1054" s="48"/>
      <c r="CC1054" s="48"/>
      <c r="CD1054" s="48"/>
      <c r="CE1054" s="48"/>
      <c r="CF1054" s="48"/>
      <c r="CG1054" s="48"/>
      <c r="CH1054" s="48"/>
      <c r="CI1054" s="98"/>
      <c r="CJ1054" s="98"/>
      <c r="CK1054" s="49">
        <f t="shared" si="220"/>
        <v>3.7115902569630026</v>
      </c>
      <c r="CL1054" s="229"/>
      <c r="CM1054" s="229"/>
      <c r="CN1054" s="229"/>
      <c r="CO1054" s="47" t="s">
        <v>2488</v>
      </c>
      <c r="CP1054" s="500" t="s">
        <v>2489</v>
      </c>
      <c r="CQ1054" s="224" t="s">
        <v>272</v>
      </c>
      <c r="CR1054" s="224"/>
      <c r="CS1054" s="230" t="s">
        <v>539</v>
      </c>
      <c r="CT1054" s="230"/>
      <c r="CU1054" s="230"/>
      <c r="CV1054" s="335">
        <f t="shared" si="221"/>
        <v>9.8587085075030068</v>
      </c>
      <c r="CW1054" s="230">
        <f t="shared" si="222"/>
        <v>1</v>
      </c>
      <c r="CX1054" s="336"/>
      <c r="CY1054" s="230" t="s">
        <v>5921</v>
      </c>
    </row>
    <row r="1055" spans="1:103" ht="11.25" customHeight="1" x14ac:dyDescent="0.2">
      <c r="A1055" s="72">
        <v>1498</v>
      </c>
      <c r="B1055" s="224">
        <v>1129</v>
      </c>
      <c r="C1055" s="46" t="s">
        <v>7519</v>
      </c>
      <c r="D1055" s="46"/>
      <c r="E1055" s="114"/>
      <c r="F1055" s="114" t="s">
        <v>3155</v>
      </c>
      <c r="G1055" s="225">
        <v>129299907</v>
      </c>
      <c r="H1055" s="47" t="s">
        <v>3156</v>
      </c>
      <c r="I1055" s="47" t="s">
        <v>7807</v>
      </c>
      <c r="J1055" s="47" t="s">
        <v>3157</v>
      </c>
      <c r="K1055" s="47" t="s">
        <v>3158</v>
      </c>
      <c r="L1055" s="47"/>
      <c r="M1055" s="47"/>
      <c r="N1055" s="47"/>
      <c r="O1055" s="47"/>
      <c r="P1055" s="53"/>
      <c r="Q1055" s="53"/>
      <c r="R1055" s="53"/>
      <c r="S1055" s="53"/>
      <c r="T1055" s="48">
        <v>293.36</v>
      </c>
      <c r="U1055" s="98"/>
      <c r="V1055" s="98">
        <v>5.7140000000000004</v>
      </c>
      <c r="W1055" s="98">
        <v>10.651257814735674</v>
      </c>
      <c r="X1055" s="98">
        <v>10.651257814735674</v>
      </c>
      <c r="Y1055" s="233">
        <v>8.6999999999999993</v>
      </c>
      <c r="Z1055" s="48">
        <v>3.95</v>
      </c>
      <c r="AA1055" s="48"/>
      <c r="AB1055" s="48">
        <v>4.24</v>
      </c>
      <c r="AC1055" s="48">
        <v>0.61</v>
      </c>
      <c r="AD1055" s="48">
        <v>3.82</v>
      </c>
      <c r="AE1055" s="48">
        <v>3.23</v>
      </c>
      <c r="AF1055" s="48">
        <f t="shared" si="219"/>
        <v>3.82</v>
      </c>
      <c r="AG1055" s="49">
        <v>3.34</v>
      </c>
      <c r="AH1055" s="98">
        <v>2.3400000000000001E-11</v>
      </c>
      <c r="AI1055" s="98"/>
      <c r="AJ1055" s="483">
        <f t="shared" si="214"/>
        <v>-9.019350468902509</v>
      </c>
      <c r="AK1055" s="483"/>
      <c r="AL1055" s="483">
        <f t="shared" si="213"/>
        <v>-9.019350468902509</v>
      </c>
      <c r="AM1055" s="483">
        <v>-16.236499999999999</v>
      </c>
      <c r="AN1055" s="226">
        <v>-14.1</v>
      </c>
      <c r="AO1055" s="484">
        <v>14.71</v>
      </c>
      <c r="AP1055" s="484">
        <v>7.6</v>
      </c>
      <c r="AQ1055" s="48" t="s">
        <v>6311</v>
      </c>
      <c r="AR1055" s="48" t="s">
        <v>6311</v>
      </c>
      <c r="AS1055" s="227"/>
      <c r="AT1055" s="50" t="s">
        <v>266</v>
      </c>
      <c r="AU1055" s="48">
        <v>6</v>
      </c>
      <c r="AV1055" s="48">
        <v>120</v>
      </c>
      <c r="AW1055" s="48">
        <v>114</v>
      </c>
      <c r="AX1055" s="48">
        <v>28</v>
      </c>
      <c r="AY1055" s="48" t="s">
        <v>8728</v>
      </c>
      <c r="AZ1055" s="48" t="s">
        <v>1563</v>
      </c>
      <c r="BA1055" s="48">
        <v>32</v>
      </c>
      <c r="BB1055" s="47" t="s">
        <v>2485</v>
      </c>
      <c r="BC1055" s="47" t="s">
        <v>8726</v>
      </c>
      <c r="BD1055" s="47" t="s">
        <v>8374</v>
      </c>
      <c r="BE1055" s="48" t="s">
        <v>2449</v>
      </c>
      <c r="BF1055" s="48" t="s">
        <v>272</v>
      </c>
      <c r="BG1055" s="48" t="s">
        <v>272</v>
      </c>
      <c r="BH1055" s="48" t="s">
        <v>2486</v>
      </c>
      <c r="BI1055" s="98">
        <v>1.8775040000000001E-3</v>
      </c>
      <c r="BJ1055" s="98">
        <v>18.775040000000001</v>
      </c>
      <c r="BK1055" s="48"/>
      <c r="BL1055" s="487">
        <v>4.2727343973977705</v>
      </c>
      <c r="BM1055" s="47" t="s">
        <v>2487</v>
      </c>
      <c r="BN1055" s="48"/>
      <c r="BO1055" s="48"/>
      <c r="BP1055" s="48"/>
      <c r="BQ1055" s="48"/>
      <c r="BR1055" s="47" t="e">
        <v>#VALUE!</v>
      </c>
      <c r="BS1055" s="48"/>
      <c r="BT1055" s="48"/>
      <c r="BU1055" s="228">
        <v>1.672152E-2</v>
      </c>
      <c r="BV1055" s="48"/>
      <c r="BW1055" s="48"/>
      <c r="BX1055" s="48"/>
      <c r="BY1055" s="48"/>
      <c r="BZ1055" s="48"/>
      <c r="CA1055" s="48"/>
      <c r="CB1055" s="48"/>
      <c r="CC1055" s="48"/>
      <c r="CD1055" s="48"/>
      <c r="CE1055" s="48"/>
      <c r="CF1055" s="48"/>
      <c r="CG1055" s="48"/>
      <c r="CH1055" s="48"/>
      <c r="CI1055" s="98"/>
      <c r="CJ1055" s="98"/>
      <c r="CK1055" s="49">
        <f t="shared" si="220"/>
        <v>0.22757524870241397</v>
      </c>
      <c r="CL1055" s="229"/>
      <c r="CM1055" s="229"/>
      <c r="CN1055" s="229"/>
      <c r="CO1055" s="47" t="s">
        <v>2488</v>
      </c>
      <c r="CP1055" s="500" t="s">
        <v>2489</v>
      </c>
      <c r="CQ1055" s="224" t="s">
        <v>272</v>
      </c>
      <c r="CR1055" s="224"/>
      <c r="CS1055" s="230" t="s">
        <v>539</v>
      </c>
      <c r="CT1055" s="230"/>
      <c r="CU1055" s="230"/>
      <c r="CV1055" s="335">
        <f t="shared" si="221"/>
        <v>0.56730946057828235</v>
      </c>
      <c r="CW1055" s="230">
        <f t="shared" si="222"/>
        <v>0</v>
      </c>
      <c r="CX1055" s="336"/>
      <c r="CY1055" s="230" t="s">
        <v>5921</v>
      </c>
    </row>
    <row r="1056" spans="1:103" ht="11.25" customHeight="1" x14ac:dyDescent="0.2">
      <c r="A1056" s="72">
        <v>1499</v>
      </c>
      <c r="B1056" s="224">
        <v>1130</v>
      </c>
      <c r="C1056" s="46" t="s">
        <v>1145</v>
      </c>
      <c r="D1056" s="46" t="s">
        <v>6584</v>
      </c>
      <c r="E1056" s="114"/>
      <c r="F1056" s="114" t="s">
        <v>1146</v>
      </c>
      <c r="G1056" s="225">
        <v>131807573</v>
      </c>
      <c r="H1056" s="47" t="s">
        <v>1147</v>
      </c>
      <c r="I1056" s="47" t="s">
        <v>1147</v>
      </c>
      <c r="J1056" s="47" t="s">
        <v>1148</v>
      </c>
      <c r="K1056" s="47" t="s">
        <v>1149</v>
      </c>
      <c r="L1056" s="47" t="s">
        <v>5976</v>
      </c>
      <c r="M1056" s="47" t="s">
        <v>2342</v>
      </c>
      <c r="N1056" s="47" t="s">
        <v>2342</v>
      </c>
      <c r="O1056" s="47"/>
      <c r="P1056" s="53"/>
      <c r="Q1056" s="53"/>
      <c r="R1056" s="53"/>
      <c r="S1056" s="53"/>
      <c r="T1056" s="48">
        <v>374.39</v>
      </c>
      <c r="U1056" s="98">
        <v>5.1999999999999998E-2</v>
      </c>
      <c r="V1056" s="98">
        <v>0.47060000000000002</v>
      </c>
      <c r="W1056" s="98">
        <v>1.2981480944092318</v>
      </c>
      <c r="X1056" s="98">
        <v>5.1999999999999998E-2</v>
      </c>
      <c r="Y1056" s="233">
        <v>7</v>
      </c>
      <c r="Z1056" s="48">
        <v>4.8899999999999997</v>
      </c>
      <c r="AA1056" s="48">
        <v>4.6500000000000004</v>
      </c>
      <c r="AB1056" s="48">
        <v>4.12</v>
      </c>
      <c r="AC1056" s="48">
        <v>0.81379999999999997</v>
      </c>
      <c r="AD1056" s="48">
        <v>4.2699999999999996</v>
      </c>
      <c r="AE1056" s="48">
        <v>4.76</v>
      </c>
      <c r="AF1056" s="48">
        <f t="shared" si="219"/>
        <v>4.6500000000000004</v>
      </c>
      <c r="AG1056" s="49">
        <v>3.9</v>
      </c>
      <c r="AH1056" s="98">
        <v>2.5799999999999999E-12</v>
      </c>
      <c r="AI1056" s="98">
        <v>4.5499999999999997E-8</v>
      </c>
      <c r="AJ1056" s="483">
        <f t="shared" si="214"/>
        <v>-9.9769466203494215</v>
      </c>
      <c r="AK1056" s="483">
        <f>LOG10(AI1056*1000/(0.08206*298.15))</f>
        <v>-5.7305549296555398</v>
      </c>
      <c r="AL1056" s="483">
        <f t="shared" si="213"/>
        <v>-5.7305549296555398</v>
      </c>
      <c r="AM1056" s="483">
        <v>-19.723759999999999</v>
      </c>
      <c r="AN1056" s="226">
        <v>-12.2</v>
      </c>
      <c r="AO1056" s="484"/>
      <c r="AP1056" s="484">
        <v>0.63</v>
      </c>
      <c r="AQ1056" s="48" t="s">
        <v>6311</v>
      </c>
      <c r="AR1056" s="48" t="s">
        <v>6311</v>
      </c>
      <c r="AS1056" s="227"/>
      <c r="AT1056" s="50" t="s">
        <v>266</v>
      </c>
      <c r="AU1056" s="48">
        <v>6</v>
      </c>
      <c r="AV1056" s="48">
        <v>120</v>
      </c>
      <c r="AW1056" s="48">
        <v>114</v>
      </c>
      <c r="AX1056" s="48">
        <v>28</v>
      </c>
      <c r="AY1056" s="48" t="s">
        <v>8728</v>
      </c>
      <c r="AZ1056" s="48" t="s">
        <v>1563</v>
      </c>
      <c r="BA1056" s="48">
        <v>32</v>
      </c>
      <c r="BB1056" s="47" t="s">
        <v>2485</v>
      </c>
      <c r="BC1056" s="47" t="s">
        <v>8726</v>
      </c>
      <c r="BD1056" s="47" t="s">
        <v>8374</v>
      </c>
      <c r="BE1056" s="48" t="s">
        <v>2449</v>
      </c>
      <c r="BF1056" s="48" t="s">
        <v>272</v>
      </c>
      <c r="BG1056" s="48" t="s">
        <v>272</v>
      </c>
      <c r="BH1056" s="48" t="s">
        <v>2486</v>
      </c>
      <c r="BI1056" s="98">
        <v>2.3960959999999999E-3</v>
      </c>
      <c r="BJ1056" s="98">
        <v>23.96096</v>
      </c>
      <c r="BK1056" s="48"/>
      <c r="BL1056" s="487">
        <v>0.78057608278793544</v>
      </c>
      <c r="BM1056" s="47" t="s">
        <v>2487</v>
      </c>
      <c r="BN1056" s="48"/>
      <c r="BO1056" s="48"/>
      <c r="BP1056" s="48"/>
      <c r="BQ1056" s="48"/>
      <c r="BR1056" s="47" t="e">
        <v>#VALUE!</v>
      </c>
      <c r="BS1056" s="48"/>
      <c r="BT1056" s="48"/>
      <c r="BU1056" s="228">
        <v>24.080764800000001</v>
      </c>
      <c r="BV1056" s="48"/>
      <c r="BW1056" s="48"/>
      <c r="BX1056" s="48"/>
      <c r="BY1056" s="48"/>
      <c r="BZ1056" s="48"/>
      <c r="CA1056" s="48"/>
      <c r="CB1056" s="48"/>
      <c r="CC1056" s="48"/>
      <c r="CD1056" s="48"/>
      <c r="CE1056" s="48"/>
      <c r="CF1056" s="48"/>
      <c r="CG1056" s="48"/>
      <c r="CH1056" s="48"/>
      <c r="CI1056" s="98"/>
      <c r="CJ1056" s="98"/>
      <c r="CK1056" s="49">
        <f t="shared" si="220"/>
        <v>3.257699536195275E-2</v>
      </c>
      <c r="CL1056" s="229"/>
      <c r="CM1056" s="229">
        <v>-1.9208187539523758</v>
      </c>
      <c r="CN1056" s="229">
        <f>BJ1056/(10^CM1056)</f>
        <v>1996.7466666666708</v>
      </c>
      <c r="CO1056" s="47" t="s">
        <v>2488</v>
      </c>
      <c r="CP1056" s="500" t="s">
        <v>2489</v>
      </c>
      <c r="CQ1056" s="224">
        <v>-1.9034377008227692</v>
      </c>
      <c r="CR1056" s="224">
        <f>10^(CJ1056-CQ1056)</f>
        <v>80.064076902543576</v>
      </c>
      <c r="CS1056" s="230" t="s">
        <v>539</v>
      </c>
      <c r="CT1056" s="230"/>
      <c r="CU1056" s="230"/>
      <c r="CV1056" s="335">
        <f t="shared" si="221"/>
        <v>2.1701968535484386E-3</v>
      </c>
      <c r="CW1056" s="230">
        <f t="shared" si="222"/>
        <v>0</v>
      </c>
      <c r="CX1056" s="336"/>
      <c r="CY1056" s="230" t="s">
        <v>5921</v>
      </c>
    </row>
    <row r="1057" spans="1:103" ht="11.25" customHeight="1" x14ac:dyDescent="0.2">
      <c r="A1057" s="72">
        <v>1500</v>
      </c>
      <c r="B1057" s="224">
        <v>1027</v>
      </c>
      <c r="C1057" s="46" t="s">
        <v>953</v>
      </c>
      <c r="D1057" s="46" t="s">
        <v>6676</v>
      </c>
      <c r="E1057" s="114"/>
      <c r="F1057" s="114" t="s">
        <v>954</v>
      </c>
      <c r="G1057" s="225">
        <v>131860338</v>
      </c>
      <c r="H1057" s="47" t="s">
        <v>955</v>
      </c>
      <c r="I1057" s="47"/>
      <c r="J1057" s="47" t="s">
        <v>956</v>
      </c>
      <c r="K1057" s="47" t="s">
        <v>957</v>
      </c>
      <c r="L1057" s="47" t="s">
        <v>5929</v>
      </c>
      <c r="M1057" s="47" t="s">
        <v>5945</v>
      </c>
      <c r="N1057" s="47" t="s">
        <v>6381</v>
      </c>
      <c r="O1057" s="47" t="s">
        <v>5944</v>
      </c>
      <c r="P1057" s="53"/>
      <c r="Q1057" s="53"/>
      <c r="R1057" s="53"/>
      <c r="S1057" s="53"/>
      <c r="T1057" s="48">
        <v>403.39</v>
      </c>
      <c r="U1057" s="98">
        <v>6</v>
      </c>
      <c r="V1057" s="98">
        <v>11.61</v>
      </c>
      <c r="W1057" s="98">
        <v>0.3595217159337713</v>
      </c>
      <c r="X1057" s="98">
        <v>6</v>
      </c>
      <c r="Y1057" s="233">
        <v>7</v>
      </c>
      <c r="Z1057" s="48">
        <v>1.58</v>
      </c>
      <c r="AA1057" s="48">
        <v>2.5</v>
      </c>
      <c r="AB1057" s="48">
        <v>2.86</v>
      </c>
      <c r="AC1057" s="48">
        <v>0.7379</v>
      </c>
      <c r="AD1057" s="48">
        <v>3.54</v>
      </c>
      <c r="AE1057" s="48">
        <v>5.13</v>
      </c>
      <c r="AF1057" s="48">
        <f t="shared" si="219"/>
        <v>2.5</v>
      </c>
      <c r="AG1057" s="49">
        <v>3.32</v>
      </c>
      <c r="AH1057" s="98">
        <v>8.0099999999999994E-14</v>
      </c>
      <c r="AI1057" s="98">
        <v>7.3000000000000004E-14</v>
      </c>
      <c r="AJ1057" s="483">
        <f t="shared" si="214"/>
        <v>-11.484933810228414</v>
      </c>
      <c r="AK1057" s="483">
        <f>LOG10(AI1057*1000/(0.08206*298.15))</f>
        <v>-11.525243466192196</v>
      </c>
      <c r="AL1057" s="483">
        <f t="shared" si="213"/>
        <v>-11.525243466192196</v>
      </c>
      <c r="AM1057" s="483">
        <v>-20.836600000000001</v>
      </c>
      <c r="AN1057" s="226">
        <v>-10.4</v>
      </c>
      <c r="AO1057" s="484"/>
      <c r="AP1057" s="484">
        <v>-0.93</v>
      </c>
      <c r="AQ1057" s="48" t="s">
        <v>6311</v>
      </c>
      <c r="AR1057" s="48" t="s">
        <v>6312</v>
      </c>
      <c r="AS1057" s="227"/>
      <c r="AT1057" s="50" t="s">
        <v>266</v>
      </c>
      <c r="AU1057" s="48">
        <v>6</v>
      </c>
      <c r="AV1057" s="48">
        <v>120</v>
      </c>
      <c r="AW1057" s="48">
        <v>114</v>
      </c>
      <c r="AX1057" s="48">
        <v>28</v>
      </c>
      <c r="AY1057" s="48" t="s">
        <v>8728</v>
      </c>
      <c r="AZ1057" s="48" t="s">
        <v>1563</v>
      </c>
      <c r="BA1057" s="48">
        <v>32</v>
      </c>
      <c r="BB1057" s="47" t="s">
        <v>2485</v>
      </c>
      <c r="BC1057" s="47" t="s">
        <v>8726</v>
      </c>
      <c r="BD1057" s="47" t="s">
        <v>8374</v>
      </c>
      <c r="BE1057" s="48" t="s">
        <v>2449</v>
      </c>
      <c r="BF1057" s="48" t="s">
        <v>272</v>
      </c>
      <c r="BG1057" s="48" t="s">
        <v>272</v>
      </c>
      <c r="BH1057" s="48" t="s">
        <v>2486</v>
      </c>
      <c r="BI1057" s="98">
        <v>2.5816959999999996E-3</v>
      </c>
      <c r="BJ1057" s="98">
        <v>25.816959999999998</v>
      </c>
      <c r="BK1057" s="48"/>
      <c r="BL1057" s="487">
        <v>789.81818328118436</v>
      </c>
      <c r="BM1057" s="47" t="s">
        <v>2487</v>
      </c>
      <c r="BN1057" s="48"/>
      <c r="BO1057" s="48"/>
      <c r="BP1057" s="48"/>
      <c r="BQ1057" s="48"/>
      <c r="BR1057" s="47" t="e">
        <v>#VALUE!</v>
      </c>
      <c r="BS1057" s="48"/>
      <c r="BT1057" s="48"/>
      <c r="BU1057" s="228">
        <v>2.581696</v>
      </c>
      <c r="BV1057" s="48"/>
      <c r="BW1057" s="48"/>
      <c r="BX1057" s="48"/>
      <c r="BY1057" s="48"/>
      <c r="BZ1057" s="48"/>
      <c r="CA1057" s="48"/>
      <c r="CB1057" s="48"/>
      <c r="CC1057" s="48"/>
      <c r="CD1057" s="48"/>
      <c r="CE1057" s="48"/>
      <c r="CF1057" s="48"/>
      <c r="CG1057" s="48"/>
      <c r="CH1057" s="48"/>
      <c r="CI1057" s="98"/>
      <c r="CJ1057" s="98"/>
      <c r="CK1057" s="49">
        <f t="shared" si="220"/>
        <v>30.592997133713048</v>
      </c>
      <c r="CL1057" s="229"/>
      <c r="CM1057" s="229">
        <v>-0.32790214206428253</v>
      </c>
      <c r="CN1057" s="229">
        <f>BJ1057/(10^CM1057)</f>
        <v>54.929702127659567</v>
      </c>
      <c r="CO1057" s="47" t="s">
        <v>2488</v>
      </c>
      <c r="CP1057" s="500" t="s">
        <v>2489</v>
      </c>
      <c r="CQ1057" s="224">
        <v>-0.14325472845302872</v>
      </c>
      <c r="CR1057" s="224">
        <f>10^(CJ1057-CQ1057)</f>
        <v>1.3907681247386885</v>
      </c>
      <c r="CS1057" s="230" t="s">
        <v>539</v>
      </c>
      <c r="CT1057" s="230"/>
      <c r="CU1057" s="230"/>
      <c r="CV1057" s="335">
        <f t="shared" si="221"/>
        <v>0.23240536453556113</v>
      </c>
      <c r="CW1057" s="230">
        <f t="shared" si="222"/>
        <v>0</v>
      </c>
      <c r="CX1057" s="336"/>
      <c r="CY1057" s="230" t="s">
        <v>5921</v>
      </c>
    </row>
    <row r="1058" spans="1:103" ht="11.25" customHeight="1" x14ac:dyDescent="0.2">
      <c r="A1058" s="72">
        <v>1502</v>
      </c>
      <c r="B1058" s="224">
        <v>1928</v>
      </c>
      <c r="C1058" s="46" t="s">
        <v>7520</v>
      </c>
      <c r="D1058" s="46"/>
      <c r="E1058" s="114"/>
      <c r="F1058" s="114" t="s">
        <v>4065</v>
      </c>
      <c r="G1058" s="225">
        <v>131983727</v>
      </c>
      <c r="H1058" s="47" t="s">
        <v>4066</v>
      </c>
      <c r="I1058" s="47" t="s">
        <v>8168</v>
      </c>
      <c r="J1058" s="47" t="s">
        <v>4067</v>
      </c>
      <c r="K1058" s="47" t="s">
        <v>1122</v>
      </c>
      <c r="L1058" s="51"/>
      <c r="M1058" s="47"/>
      <c r="N1058" s="47"/>
      <c r="O1058" s="47"/>
      <c r="P1058" s="53"/>
      <c r="Q1058" s="53"/>
      <c r="R1058" s="53"/>
      <c r="S1058" s="53"/>
      <c r="T1058" s="48">
        <v>317.81</v>
      </c>
      <c r="U1058" s="98">
        <v>7</v>
      </c>
      <c r="V1058" s="98">
        <v>48.39</v>
      </c>
      <c r="W1058" s="98">
        <v>87.532142420790137</v>
      </c>
      <c r="X1058" s="98">
        <v>7</v>
      </c>
      <c r="Y1058" s="233">
        <v>7.08</v>
      </c>
      <c r="Z1058" s="48">
        <v>4.1100000000000003</v>
      </c>
      <c r="AA1058" s="48">
        <v>3.29</v>
      </c>
      <c r="AB1058" s="48">
        <v>3.42</v>
      </c>
      <c r="AC1058" s="48">
        <v>0.77929999999999999</v>
      </c>
      <c r="AD1058" s="48">
        <v>3.32</v>
      </c>
      <c r="AE1058" s="48">
        <v>3.07</v>
      </c>
      <c r="AF1058" s="48">
        <f t="shared" si="219"/>
        <v>3.29</v>
      </c>
      <c r="AG1058" s="49">
        <v>3.46</v>
      </c>
      <c r="AH1058" s="98">
        <v>1.4800000000000001E-10</v>
      </c>
      <c r="AI1058" s="98"/>
      <c r="AJ1058" s="483">
        <f t="shared" si="214"/>
        <v>-8.2183046109176949</v>
      </c>
      <c r="AK1058" s="483"/>
      <c r="AL1058" s="483">
        <f t="shared" si="213"/>
        <v>-8.2183046109176949</v>
      </c>
      <c r="AM1058" s="483">
        <v>-13.95701</v>
      </c>
      <c r="AN1058" s="226">
        <v>-8.42</v>
      </c>
      <c r="AO1058" s="484">
        <v>13.24</v>
      </c>
      <c r="AP1058" s="484">
        <v>2.98</v>
      </c>
      <c r="AQ1058" s="226" t="s">
        <v>6311</v>
      </c>
      <c r="AR1058" s="226" t="s">
        <v>6311</v>
      </c>
      <c r="AS1058" s="224"/>
      <c r="AT1058" s="50" t="s">
        <v>266</v>
      </c>
      <c r="AU1058" s="48">
        <v>6</v>
      </c>
      <c r="AV1058" s="48">
        <v>120</v>
      </c>
      <c r="AW1058" s="48">
        <v>114</v>
      </c>
      <c r="AX1058" s="48">
        <v>28</v>
      </c>
      <c r="AY1058" s="48" t="s">
        <v>8728</v>
      </c>
      <c r="AZ1058" s="48" t="s">
        <v>1563</v>
      </c>
      <c r="BA1058" s="48">
        <v>32</v>
      </c>
      <c r="BB1058" s="47" t="s">
        <v>2485</v>
      </c>
      <c r="BC1058" s="47" t="s">
        <v>8726</v>
      </c>
      <c r="BD1058" s="47" t="s">
        <v>8374</v>
      </c>
      <c r="BE1058" s="48" t="s">
        <v>2449</v>
      </c>
      <c r="BF1058" s="48" t="s">
        <v>272</v>
      </c>
      <c r="BG1058" s="48" t="s">
        <v>272</v>
      </c>
      <c r="BH1058" s="48" t="s">
        <v>2486</v>
      </c>
      <c r="BI1058" s="98">
        <v>2.033984E-3</v>
      </c>
      <c r="BJ1058" s="98">
        <v>20.339839999999999</v>
      </c>
      <c r="BK1058" s="48"/>
      <c r="BL1058" s="487">
        <v>3.3248844613536717</v>
      </c>
      <c r="BM1058" s="47" t="s">
        <v>2487</v>
      </c>
      <c r="BN1058" s="48"/>
      <c r="BO1058" s="48"/>
      <c r="BP1058" s="48"/>
      <c r="BQ1058" s="48"/>
      <c r="BR1058" s="47" t="e">
        <v>#VALUE!</v>
      </c>
      <c r="BS1058" s="48"/>
      <c r="BT1058" s="48"/>
      <c r="BU1058" s="228"/>
      <c r="BV1058" s="48"/>
      <c r="BW1058" s="48"/>
      <c r="BX1058" s="48"/>
      <c r="BY1058" s="48"/>
      <c r="BZ1058" s="48"/>
      <c r="CA1058" s="48"/>
      <c r="CB1058" s="48"/>
      <c r="CC1058" s="48"/>
      <c r="CD1058" s="48"/>
      <c r="CE1058" s="48"/>
      <c r="CF1058" s="48"/>
      <c r="CG1058" s="48"/>
      <c r="CH1058" s="48"/>
      <c r="CI1058" s="98"/>
      <c r="CJ1058" s="98"/>
      <c r="CK1058" s="49">
        <f t="shared" si="220"/>
        <v>0.16346659862386684</v>
      </c>
      <c r="CL1058" s="229"/>
      <c r="CM1058" s="229"/>
      <c r="CN1058" s="229"/>
      <c r="CO1058" s="47" t="s">
        <v>2488</v>
      </c>
      <c r="CP1058" s="500" t="s">
        <v>2489</v>
      </c>
      <c r="CQ1058" s="224" t="s">
        <v>272</v>
      </c>
      <c r="CR1058" s="224"/>
      <c r="CS1058" s="230" t="s">
        <v>539</v>
      </c>
      <c r="CT1058" s="230"/>
      <c r="CU1058" s="230"/>
      <c r="CV1058" s="335">
        <f t="shared" si="221"/>
        <v>0.34415216638872287</v>
      </c>
      <c r="CW1058" s="230">
        <f t="shared" si="222"/>
        <v>0</v>
      </c>
      <c r="CX1058" s="336"/>
      <c r="CY1058" s="230" t="s">
        <v>5921</v>
      </c>
    </row>
    <row r="1059" spans="1:103" ht="11.25" customHeight="1" x14ac:dyDescent="0.2">
      <c r="A1059" s="72">
        <v>1503</v>
      </c>
      <c r="B1059" s="224">
        <v>1041</v>
      </c>
      <c r="C1059" s="46" t="s">
        <v>1002</v>
      </c>
      <c r="D1059" s="46" t="s">
        <v>6585</v>
      </c>
      <c r="E1059" s="114"/>
      <c r="F1059" s="114" t="s">
        <v>1003</v>
      </c>
      <c r="G1059" s="225">
        <v>134605644</v>
      </c>
      <c r="H1059" s="47" t="s">
        <v>1004</v>
      </c>
      <c r="I1059" s="47" t="s">
        <v>7783</v>
      </c>
      <c r="J1059" s="47" t="s">
        <v>1005</v>
      </c>
      <c r="K1059" s="47" t="s">
        <v>1006</v>
      </c>
      <c r="L1059" s="47" t="s">
        <v>5955</v>
      </c>
      <c r="M1059" s="47" t="s">
        <v>5956</v>
      </c>
      <c r="N1059" s="47" t="s">
        <v>6385</v>
      </c>
      <c r="O1059" s="47" t="s">
        <v>5957</v>
      </c>
      <c r="P1059" s="53"/>
      <c r="Q1059" s="53"/>
      <c r="R1059" s="53"/>
      <c r="S1059" s="53"/>
      <c r="T1059" s="48">
        <v>474.81</v>
      </c>
      <c r="U1059" s="98"/>
      <c r="V1059" s="98">
        <v>2.5579999999999998</v>
      </c>
      <c r="W1059" s="98">
        <v>0.88413759335889419</v>
      </c>
      <c r="X1059" s="98">
        <v>0.88413759335889419</v>
      </c>
      <c r="Y1059" s="233">
        <v>7</v>
      </c>
      <c r="Z1059" s="48">
        <v>3.05</v>
      </c>
      <c r="AA1059" s="48"/>
      <c r="AB1059" s="48">
        <v>3.65</v>
      </c>
      <c r="AC1059" s="48">
        <v>0.56579999999999997</v>
      </c>
      <c r="AD1059" s="48">
        <v>3.64</v>
      </c>
      <c r="AE1059" s="48">
        <v>3.63</v>
      </c>
      <c r="AF1059" s="48">
        <f t="shared" si="219"/>
        <v>3.64</v>
      </c>
      <c r="AG1059" s="49">
        <v>4.2300000000000004</v>
      </c>
      <c r="AH1059" s="98">
        <v>2.2499999999999999E-12</v>
      </c>
      <c r="AI1059" s="98"/>
      <c r="AJ1059" s="483">
        <f t="shared" si="214"/>
        <v>-10.03638380820129</v>
      </c>
      <c r="AK1059" s="483"/>
      <c r="AL1059" s="483">
        <f t="shared" si="213"/>
        <v>-10.03638380820129</v>
      </c>
      <c r="AM1059" s="483">
        <v>-17.98612</v>
      </c>
      <c r="AN1059" s="226">
        <v>-11.3</v>
      </c>
      <c r="AO1059" s="484"/>
      <c r="AP1059" s="484">
        <v>-4.21</v>
      </c>
      <c r="AQ1059" s="48" t="s">
        <v>6311</v>
      </c>
      <c r="AR1059" s="48" t="s">
        <v>6312</v>
      </c>
      <c r="AS1059" s="227"/>
      <c r="AT1059" s="50" t="s">
        <v>266</v>
      </c>
      <c r="AU1059" s="48">
        <v>6</v>
      </c>
      <c r="AV1059" s="48">
        <v>120</v>
      </c>
      <c r="AW1059" s="48">
        <v>114</v>
      </c>
      <c r="AX1059" s="48">
        <v>28</v>
      </c>
      <c r="AY1059" s="48" t="s">
        <v>8728</v>
      </c>
      <c r="AZ1059" s="48" t="s">
        <v>1563</v>
      </c>
      <c r="BA1059" s="48">
        <v>32</v>
      </c>
      <c r="BB1059" s="47" t="s">
        <v>2485</v>
      </c>
      <c r="BC1059" s="47" t="s">
        <v>8726</v>
      </c>
      <c r="BD1059" s="47" t="s">
        <v>8374</v>
      </c>
      <c r="BE1059" s="48" t="s">
        <v>2449</v>
      </c>
      <c r="BF1059" s="48" t="s">
        <v>272</v>
      </c>
      <c r="BG1059" s="48" t="s">
        <v>272</v>
      </c>
      <c r="BH1059" s="48" t="s">
        <v>2486</v>
      </c>
      <c r="BI1059" s="98">
        <v>3.0387839999999997E-3</v>
      </c>
      <c r="BJ1059" s="98">
        <v>30.387840000000001</v>
      </c>
      <c r="BK1059" s="48"/>
      <c r="BL1059" s="487">
        <v>44.474887385033405</v>
      </c>
      <c r="BM1059" s="47" t="s">
        <v>2487</v>
      </c>
      <c r="BN1059" s="48"/>
      <c r="BO1059" s="48"/>
      <c r="BP1059" s="48"/>
      <c r="BQ1059" s="48"/>
      <c r="BR1059" s="47" t="e">
        <v>#VALUE!</v>
      </c>
      <c r="BS1059" s="48"/>
      <c r="BT1059" s="48"/>
      <c r="BU1059" s="228">
        <v>30.539779200000002</v>
      </c>
      <c r="BV1059" s="48"/>
      <c r="BW1059" s="48"/>
      <c r="BX1059" s="48"/>
      <c r="BY1059" s="48"/>
      <c r="BZ1059" s="48"/>
      <c r="CA1059" s="48"/>
      <c r="CB1059" s="48"/>
      <c r="CC1059" s="48"/>
      <c r="CD1059" s="48"/>
      <c r="CE1059" s="48"/>
      <c r="CF1059" s="48"/>
      <c r="CG1059" s="48"/>
      <c r="CH1059" s="48"/>
      <c r="CI1059" s="98"/>
      <c r="CJ1059" s="98"/>
      <c r="CK1059" s="49">
        <f t="shared" si="220"/>
        <v>1.4635751466716096</v>
      </c>
      <c r="CL1059" s="229"/>
      <c r="CM1059" s="229">
        <v>0.59106460702649899</v>
      </c>
      <c r="CN1059" s="229">
        <f>BJ1059/(10^CM1059)</f>
        <v>7.7917538461538491</v>
      </c>
      <c r="CO1059" s="47" t="s">
        <v>2488</v>
      </c>
      <c r="CP1059" s="500" t="s">
        <v>2489</v>
      </c>
      <c r="CQ1059" s="224">
        <v>0.59106460702649921</v>
      </c>
      <c r="CR1059" s="224">
        <f>10^(CJ1059-CQ1059)</f>
        <v>0.25641025641025639</v>
      </c>
      <c r="CS1059" s="230" t="s">
        <v>539</v>
      </c>
      <c r="CT1059" s="230"/>
      <c r="CU1059" s="230"/>
      <c r="CV1059" s="335">
        <f t="shared" si="221"/>
        <v>2.9095111510357239E-2</v>
      </c>
      <c r="CW1059" s="230">
        <f t="shared" si="222"/>
        <v>0</v>
      </c>
      <c r="CX1059" s="336"/>
      <c r="CY1059" s="230" t="s">
        <v>6351</v>
      </c>
    </row>
    <row r="1060" spans="1:103" ht="11.25" customHeight="1" x14ac:dyDescent="0.2">
      <c r="A1060" s="72">
        <v>1504</v>
      </c>
      <c r="B1060" s="224">
        <v>1019</v>
      </c>
      <c r="C1060" s="46" t="s">
        <v>7521</v>
      </c>
      <c r="D1060" s="46" t="s">
        <v>6586</v>
      </c>
      <c r="E1060" s="114"/>
      <c r="F1060" s="114" t="s">
        <v>2257</v>
      </c>
      <c r="G1060" s="225">
        <v>135158542</v>
      </c>
      <c r="H1060" s="47" t="s">
        <v>2258</v>
      </c>
      <c r="I1060" s="47" t="s">
        <v>8169</v>
      </c>
      <c r="J1060" s="47" t="s">
        <v>2259</v>
      </c>
      <c r="K1060" s="47" t="s">
        <v>357</v>
      </c>
      <c r="L1060" s="47" t="s">
        <v>6024</v>
      </c>
      <c r="M1060" s="47" t="s">
        <v>2342</v>
      </c>
      <c r="N1060" s="47" t="s">
        <v>2342</v>
      </c>
      <c r="O1060" s="47"/>
      <c r="P1060" s="53"/>
      <c r="Q1060" s="53"/>
      <c r="R1060" s="53"/>
      <c r="S1060" s="53"/>
      <c r="T1060" s="48">
        <v>210.28</v>
      </c>
      <c r="U1060" s="98">
        <v>7.7000000000000011</v>
      </c>
      <c r="V1060" s="98">
        <v>87.22</v>
      </c>
      <c r="W1060" s="98">
        <v>54.050282520063604</v>
      </c>
      <c r="X1060" s="98">
        <v>7.7000000000000011</v>
      </c>
      <c r="Y1060" s="233">
        <v>7</v>
      </c>
      <c r="Z1060" s="48">
        <v>1.55</v>
      </c>
      <c r="AA1060" s="48">
        <v>3.1</v>
      </c>
      <c r="AB1060" s="48">
        <v>2</v>
      </c>
      <c r="AC1060" s="48">
        <v>0.77859999999999996</v>
      </c>
      <c r="AD1060" s="48">
        <v>2.0499999999999998</v>
      </c>
      <c r="AE1060" s="48">
        <v>2.1800000000000002</v>
      </c>
      <c r="AF1060" s="48">
        <f t="shared" si="219"/>
        <v>3.1</v>
      </c>
      <c r="AG1060" s="49">
        <v>2.62</v>
      </c>
      <c r="AH1060" s="98">
        <v>3.9000000000000002E-9</v>
      </c>
      <c r="AI1060" s="98">
        <v>1.1899999999999999E-7</v>
      </c>
      <c r="AJ1060" s="483">
        <f t="shared" si="214"/>
        <v>-6.7975017192861529</v>
      </c>
      <c r="AK1060" s="483">
        <f>LOG10(AI1060*1000/(0.08206*298.15))</f>
        <v>-5.3130193649201214</v>
      </c>
      <c r="AL1060" s="483">
        <f t="shared" si="213"/>
        <v>-5.3130193649201214</v>
      </c>
      <c r="AM1060" s="483">
        <v>-10.888459999999998</v>
      </c>
      <c r="AN1060" s="226">
        <v>-5.2</v>
      </c>
      <c r="AO1060" s="484"/>
      <c r="AP1060" s="484">
        <v>-3.9</v>
      </c>
      <c r="AQ1060" s="48" t="s">
        <v>6311</v>
      </c>
      <c r="AR1060" s="48" t="s">
        <v>6311</v>
      </c>
      <c r="AS1060" s="227"/>
      <c r="AT1060" s="50" t="s">
        <v>266</v>
      </c>
      <c r="AU1060" s="48">
        <v>6</v>
      </c>
      <c r="AV1060" s="48">
        <v>120</v>
      </c>
      <c r="AW1060" s="48">
        <v>114</v>
      </c>
      <c r="AX1060" s="48">
        <v>28</v>
      </c>
      <c r="AY1060" s="48" t="s">
        <v>8728</v>
      </c>
      <c r="AZ1060" s="48" t="s">
        <v>1563</v>
      </c>
      <c r="BA1060" s="48">
        <v>32</v>
      </c>
      <c r="BB1060" s="47" t="s">
        <v>2485</v>
      </c>
      <c r="BC1060" s="47" t="s">
        <v>8726</v>
      </c>
      <c r="BD1060" s="47" t="s">
        <v>8374</v>
      </c>
      <c r="BE1060" s="48" t="s">
        <v>2449</v>
      </c>
      <c r="BF1060" s="48" t="s">
        <v>272</v>
      </c>
      <c r="BG1060" s="48" t="s">
        <v>272</v>
      </c>
      <c r="BH1060" s="48" t="s">
        <v>2486</v>
      </c>
      <c r="BI1060" s="98">
        <v>1.345792E-3</v>
      </c>
      <c r="BJ1060" s="98">
        <v>13.45792</v>
      </c>
      <c r="BK1060" s="48"/>
      <c r="BL1060" s="487">
        <v>438.06945086164825</v>
      </c>
      <c r="BM1060" s="47" t="s">
        <v>2487</v>
      </c>
      <c r="BN1060" s="48"/>
      <c r="BO1060" s="48"/>
      <c r="BP1060" s="48"/>
      <c r="BQ1060" s="48"/>
      <c r="BR1060" s="47" t="e">
        <v>#VALUE!</v>
      </c>
      <c r="BS1060" s="48"/>
      <c r="BT1060" s="48"/>
      <c r="BU1060" s="228">
        <v>13.45792</v>
      </c>
      <c r="BV1060" s="48"/>
      <c r="BW1060" s="48"/>
      <c r="BX1060" s="48"/>
      <c r="BY1060" s="48"/>
      <c r="BZ1060" s="48"/>
      <c r="CA1060" s="48"/>
      <c r="CB1060" s="48"/>
      <c r="CC1060" s="48"/>
      <c r="CD1060" s="48"/>
      <c r="CE1060" s="48"/>
      <c r="CF1060" s="48"/>
      <c r="CG1060" s="48"/>
      <c r="CH1060" s="48"/>
      <c r="CI1060" s="98"/>
      <c r="CJ1060" s="98"/>
      <c r="CK1060" s="49">
        <f t="shared" si="220"/>
        <v>32.551051786728429</v>
      </c>
      <c r="CL1060" s="229"/>
      <c r="CM1060" s="229">
        <v>-5.5517327849831592E-2</v>
      </c>
      <c r="CN1060" s="229">
        <f>BJ1060/(10^CM1060)</f>
        <v>15.293090909090916</v>
      </c>
      <c r="CO1060" s="47" t="s">
        <v>2488</v>
      </c>
      <c r="CP1060" s="500" t="s">
        <v>2489</v>
      </c>
      <c r="CQ1060" s="224">
        <v>7.4301327403046763E-2</v>
      </c>
      <c r="CR1060" s="224">
        <f>10^(CJ1060-CQ1060)</f>
        <v>0.84274982807905252</v>
      </c>
      <c r="CS1060" s="230" t="s">
        <v>539</v>
      </c>
      <c r="CT1060" s="230"/>
      <c r="CU1060" s="230"/>
      <c r="CV1060" s="335">
        <f t="shared" si="221"/>
        <v>0.57215379494008001</v>
      </c>
      <c r="CW1060" s="230">
        <f t="shared" si="222"/>
        <v>0</v>
      </c>
      <c r="CX1060" s="336"/>
      <c r="CY1060" s="230" t="s">
        <v>5921</v>
      </c>
    </row>
    <row r="1061" spans="1:103" ht="11.25" customHeight="1" x14ac:dyDescent="0.2">
      <c r="A1061" s="72">
        <v>1506</v>
      </c>
      <c r="B1061" s="224">
        <v>1488</v>
      </c>
      <c r="C1061" s="46" t="s">
        <v>7522</v>
      </c>
      <c r="D1061" s="46"/>
      <c r="E1061" s="114"/>
      <c r="F1061" s="114" t="s">
        <v>3717</v>
      </c>
      <c r="G1061" s="225">
        <v>135410207</v>
      </c>
      <c r="H1061" s="47" t="s">
        <v>3718</v>
      </c>
      <c r="I1061" s="47" t="s">
        <v>8170</v>
      </c>
      <c r="J1061" s="47" t="s">
        <v>3719</v>
      </c>
      <c r="K1061" s="47" t="s">
        <v>2432</v>
      </c>
      <c r="L1061" s="47" t="s">
        <v>617</v>
      </c>
      <c r="M1061" s="47" t="s">
        <v>2433</v>
      </c>
      <c r="N1061" s="47"/>
      <c r="O1061" s="47" t="s">
        <v>918</v>
      </c>
      <c r="P1061" s="53"/>
      <c r="Q1061" s="53"/>
      <c r="R1061" s="53"/>
      <c r="S1061" s="53"/>
      <c r="T1061" s="48">
        <v>222.67</v>
      </c>
      <c r="U1061" s="98">
        <v>4200</v>
      </c>
      <c r="V1061" s="98">
        <v>222.6</v>
      </c>
      <c r="W1061" s="98">
        <v>1728.4694545971074</v>
      </c>
      <c r="X1061" s="98">
        <v>4200</v>
      </c>
      <c r="Y1061" s="233">
        <v>7</v>
      </c>
      <c r="Z1061" s="48">
        <v>2.5499999999999998</v>
      </c>
      <c r="AA1061" s="48"/>
      <c r="AB1061" s="48">
        <v>1.19</v>
      </c>
      <c r="AC1061" s="48">
        <v>0.8357</v>
      </c>
      <c r="AD1061" s="48">
        <v>1.06</v>
      </c>
      <c r="AE1061" s="48">
        <v>0.62</v>
      </c>
      <c r="AF1061" s="48">
        <f t="shared" si="219"/>
        <v>1.06</v>
      </c>
      <c r="AG1061" s="49">
        <v>2.02</v>
      </c>
      <c r="AH1061" s="98">
        <v>6.9199999999999998E-8</v>
      </c>
      <c r="AI1061" s="98"/>
      <c r="AJ1061" s="483">
        <f t="shared" si="214"/>
        <v>-5.548460231855894</v>
      </c>
      <c r="AK1061" s="483"/>
      <c r="AL1061" s="483">
        <f t="shared" si="213"/>
        <v>-5.548460231855894</v>
      </c>
      <c r="AM1061" s="483">
        <v>-11.255369999999999</v>
      </c>
      <c r="AN1061" s="226">
        <v>-9.56</v>
      </c>
      <c r="AO1061" s="484"/>
      <c r="AP1061" s="484">
        <v>-0.44</v>
      </c>
      <c r="AQ1061" s="48" t="s">
        <v>6311</v>
      </c>
      <c r="AR1061" s="48" t="s">
        <v>6311</v>
      </c>
      <c r="AS1061" s="227"/>
      <c r="AT1061" s="50" t="s">
        <v>266</v>
      </c>
      <c r="AU1061" s="48">
        <v>6</v>
      </c>
      <c r="AV1061" s="48">
        <v>120</v>
      </c>
      <c r="AW1061" s="48">
        <v>114</v>
      </c>
      <c r="AX1061" s="48">
        <v>28</v>
      </c>
      <c r="AY1061" s="48" t="s">
        <v>8728</v>
      </c>
      <c r="AZ1061" s="48" t="s">
        <v>1563</v>
      </c>
      <c r="BA1061" s="48">
        <v>32</v>
      </c>
      <c r="BB1061" s="47" t="s">
        <v>2485</v>
      </c>
      <c r="BC1061" s="47" t="s">
        <v>8726</v>
      </c>
      <c r="BD1061" s="47" t="s">
        <v>8374</v>
      </c>
      <c r="BE1061" s="48" t="s">
        <v>2449</v>
      </c>
      <c r="BF1061" s="48" t="s">
        <v>272</v>
      </c>
      <c r="BG1061" s="48" t="s">
        <v>272</v>
      </c>
      <c r="BH1061" s="48" t="s">
        <v>2486</v>
      </c>
      <c r="BI1061" s="98">
        <v>1.4250879999999999E-3</v>
      </c>
      <c r="BJ1061" s="98">
        <v>14.250879999999999</v>
      </c>
      <c r="BK1061" s="48"/>
      <c r="BL1061" s="487">
        <v>58.655225546922601</v>
      </c>
      <c r="BM1061" s="47" t="s">
        <v>2487</v>
      </c>
      <c r="BN1061" s="48"/>
      <c r="BO1061" s="48"/>
      <c r="BP1061" s="48"/>
      <c r="BQ1061" s="48"/>
      <c r="BR1061" s="47" t="e">
        <v>#VALUE!</v>
      </c>
      <c r="BS1061" s="48"/>
      <c r="BT1061" s="48"/>
      <c r="BU1061" s="228"/>
      <c r="BV1061" s="48"/>
      <c r="BW1061" s="48"/>
      <c r="BX1061" s="48"/>
      <c r="BY1061" s="48"/>
      <c r="BZ1061" s="48"/>
      <c r="CA1061" s="48"/>
      <c r="CB1061" s="48"/>
      <c r="CC1061" s="48"/>
      <c r="CD1061" s="48"/>
      <c r="CE1061" s="48"/>
      <c r="CF1061" s="48"/>
      <c r="CG1061" s="48"/>
      <c r="CH1061" s="48"/>
      <c r="CI1061" s="98"/>
      <c r="CJ1061" s="98"/>
      <c r="CK1061" s="49">
        <f t="shared" si="220"/>
        <v>4.1159020037304792</v>
      </c>
      <c r="CL1061" s="229"/>
      <c r="CM1061" s="229"/>
      <c r="CN1061" s="229"/>
      <c r="CO1061" s="47" t="s">
        <v>2488</v>
      </c>
      <c r="CP1061" s="500" t="s">
        <v>2489</v>
      </c>
      <c r="CQ1061" s="224" t="s">
        <v>272</v>
      </c>
      <c r="CR1061" s="224"/>
      <c r="CS1061" s="230" t="s">
        <v>539</v>
      </c>
      <c r="CT1061" s="230"/>
      <c r="CU1061" s="230"/>
      <c r="CV1061" s="335">
        <f t="shared" si="221"/>
        <v>294.71864193649799</v>
      </c>
      <c r="CW1061" s="230">
        <f t="shared" si="222"/>
        <v>1</v>
      </c>
      <c r="CX1061" s="336"/>
      <c r="CY1061" s="230" t="s">
        <v>5921</v>
      </c>
    </row>
    <row r="1062" spans="1:103" ht="11.25" customHeight="1" x14ac:dyDescent="0.2">
      <c r="A1062" s="72">
        <v>1507</v>
      </c>
      <c r="B1062" s="224">
        <v>1863</v>
      </c>
      <c r="C1062" s="46" t="s">
        <v>7523</v>
      </c>
      <c r="D1062" s="46"/>
      <c r="E1062" s="114"/>
      <c r="F1062" s="114" t="s">
        <v>5295</v>
      </c>
      <c r="G1062" s="225">
        <v>136042198</v>
      </c>
      <c r="H1062" s="47" t="s">
        <v>5296</v>
      </c>
      <c r="I1062" s="47" t="s">
        <v>8171</v>
      </c>
      <c r="J1062" s="47" t="s">
        <v>5297</v>
      </c>
      <c r="K1062" s="47"/>
      <c r="L1062" s="47"/>
      <c r="M1062" s="47"/>
      <c r="N1062" s="47"/>
      <c r="O1062" s="47"/>
      <c r="P1062" s="53"/>
      <c r="Q1062" s="53"/>
      <c r="R1062" s="53"/>
      <c r="S1062" s="53"/>
      <c r="T1062" s="48">
        <v>390.91</v>
      </c>
      <c r="U1062" s="98"/>
      <c r="V1062" s="98">
        <v>1.889</v>
      </c>
      <c r="W1062" s="98">
        <v>2.6428759591047952</v>
      </c>
      <c r="X1062" s="98">
        <v>2.6428759591047952</v>
      </c>
      <c r="Y1062" s="233">
        <v>5.43</v>
      </c>
      <c r="Z1062" s="48">
        <v>4.5199999999999996</v>
      </c>
      <c r="AA1062" s="48"/>
      <c r="AB1062" s="48">
        <v>3.9</v>
      </c>
      <c r="AC1062" s="48">
        <v>0.56040000000000001</v>
      </c>
      <c r="AD1062" s="48">
        <v>4.28</v>
      </c>
      <c r="AE1062" s="48">
        <v>4.87</v>
      </c>
      <c r="AF1062" s="48">
        <f t="shared" si="219"/>
        <v>4.28</v>
      </c>
      <c r="AG1062" s="49">
        <v>3</v>
      </c>
      <c r="AH1062" s="98"/>
      <c r="AI1062" s="98"/>
      <c r="AJ1062" s="483"/>
      <c r="AK1062" s="483"/>
      <c r="AL1062" s="483"/>
      <c r="AM1062" s="483">
        <v>-24.440459999999998</v>
      </c>
      <c r="AN1062" s="226">
        <v>-14.7</v>
      </c>
      <c r="AO1062" s="484">
        <v>4.1500000000000004</v>
      </c>
      <c r="AP1062" s="484">
        <v>5.73</v>
      </c>
      <c r="AQ1062" s="226" t="s">
        <v>6311</v>
      </c>
      <c r="AR1062" s="226" t="s">
        <v>6311</v>
      </c>
      <c r="AS1062" s="224"/>
      <c r="AT1062" s="50" t="s">
        <v>266</v>
      </c>
      <c r="AU1062" s="48">
        <v>6</v>
      </c>
      <c r="AV1062" s="48">
        <v>120</v>
      </c>
      <c r="AW1062" s="48">
        <v>114</v>
      </c>
      <c r="AX1062" s="48">
        <v>28</v>
      </c>
      <c r="AY1062" s="48" t="s">
        <v>8728</v>
      </c>
      <c r="AZ1062" s="48" t="s">
        <v>1563</v>
      </c>
      <c r="BA1062" s="48">
        <v>32</v>
      </c>
      <c r="BB1062" s="47" t="s">
        <v>2485</v>
      </c>
      <c r="BC1062" s="47" t="s">
        <v>8726</v>
      </c>
      <c r="BD1062" s="47" t="s">
        <v>8374</v>
      </c>
      <c r="BE1062" s="48" t="s">
        <v>2449</v>
      </c>
      <c r="BF1062" s="48" t="s">
        <v>272</v>
      </c>
      <c r="BG1062" s="48" t="s">
        <v>272</v>
      </c>
      <c r="BH1062" s="48" t="s">
        <v>2486</v>
      </c>
      <c r="BI1062" s="98">
        <v>2.5018240000000001E-3</v>
      </c>
      <c r="BJ1062" s="98">
        <v>25.018240000000002</v>
      </c>
      <c r="BK1062" s="48"/>
      <c r="BL1062" s="487">
        <v>1.7517203707421072</v>
      </c>
      <c r="BM1062" s="47" t="s">
        <v>2487</v>
      </c>
      <c r="BN1062" s="48"/>
      <c r="BO1062" s="48"/>
      <c r="BP1062" s="48"/>
      <c r="BQ1062" s="48"/>
      <c r="BR1062" s="47" t="e">
        <v>#VALUE!</v>
      </c>
      <c r="BS1062" s="48"/>
      <c r="BT1062" s="48"/>
      <c r="BU1062" s="228"/>
      <c r="BV1062" s="48"/>
      <c r="BW1062" s="48"/>
      <c r="BX1062" s="48"/>
      <c r="BY1062" s="48"/>
      <c r="BZ1062" s="48"/>
      <c r="CA1062" s="48"/>
      <c r="CB1062" s="48"/>
      <c r="CC1062" s="48"/>
      <c r="CD1062" s="48"/>
      <c r="CE1062" s="48"/>
      <c r="CF1062" s="48"/>
      <c r="CG1062" s="48"/>
      <c r="CH1062" s="48"/>
      <c r="CI1062" s="98"/>
      <c r="CJ1062" s="98"/>
      <c r="CK1062" s="49">
        <f t="shared" si="220"/>
        <v>7.0017729893953648E-2</v>
      </c>
      <c r="CL1062" s="229"/>
      <c r="CM1062" s="229"/>
      <c r="CN1062" s="229"/>
      <c r="CO1062" s="47" t="s">
        <v>2488</v>
      </c>
      <c r="CP1062" s="500" t="s">
        <v>2489</v>
      </c>
      <c r="CQ1062" s="224" t="s">
        <v>272</v>
      </c>
      <c r="CR1062" s="224"/>
      <c r="CS1062" s="230" t="s">
        <v>539</v>
      </c>
      <c r="CT1062" s="230"/>
      <c r="CU1062" s="230"/>
      <c r="CV1062" s="335">
        <f t="shared" si="221"/>
        <v>0.10563796490499712</v>
      </c>
      <c r="CW1062" s="230">
        <f t="shared" si="222"/>
        <v>0</v>
      </c>
      <c r="CX1062" s="336"/>
      <c r="CY1062" s="230" t="s">
        <v>5921</v>
      </c>
    </row>
    <row r="1063" spans="1:103" ht="11.25" customHeight="1" x14ac:dyDescent="0.2">
      <c r="A1063" s="72">
        <v>1510</v>
      </c>
      <c r="B1063" s="224">
        <v>1164</v>
      </c>
      <c r="C1063" s="46" t="s">
        <v>7524</v>
      </c>
      <c r="D1063" s="46" t="s">
        <v>8678</v>
      </c>
      <c r="E1063" s="114"/>
      <c r="F1063" s="114" t="s">
        <v>2429</v>
      </c>
      <c r="G1063" s="225">
        <v>138261413</v>
      </c>
      <c r="H1063" s="47" t="s">
        <v>2430</v>
      </c>
      <c r="I1063" s="47" t="s">
        <v>8172</v>
      </c>
      <c r="J1063" s="47" t="s">
        <v>3212</v>
      </c>
      <c r="K1063" s="47" t="s">
        <v>2432</v>
      </c>
      <c r="L1063" s="47" t="s">
        <v>617</v>
      </c>
      <c r="M1063" s="47" t="s">
        <v>8691</v>
      </c>
      <c r="N1063" s="47" t="s">
        <v>2342</v>
      </c>
      <c r="O1063" s="47" t="s">
        <v>8692</v>
      </c>
      <c r="P1063" s="53" t="s">
        <v>8538</v>
      </c>
      <c r="Q1063" s="53" t="s">
        <v>6173</v>
      </c>
      <c r="R1063" s="53" t="s">
        <v>6183</v>
      </c>
      <c r="S1063" s="53" t="s">
        <v>6173</v>
      </c>
      <c r="T1063" s="48">
        <v>255.66</v>
      </c>
      <c r="U1063" s="98">
        <v>610</v>
      </c>
      <c r="V1063" s="98">
        <v>7172</v>
      </c>
      <c r="W1063" s="98">
        <v>1728.4737348871395</v>
      </c>
      <c r="X1063" s="98">
        <v>610</v>
      </c>
      <c r="Y1063" s="233">
        <v>7</v>
      </c>
      <c r="Z1063" s="48">
        <v>0.56000000000000005</v>
      </c>
      <c r="AA1063" s="48">
        <v>0.56999999999999995</v>
      </c>
      <c r="AB1063" s="48">
        <v>0.42</v>
      </c>
      <c r="AC1063" s="48">
        <v>0.87409999999999999</v>
      </c>
      <c r="AD1063" s="48">
        <v>0.38</v>
      </c>
      <c r="AE1063" s="48">
        <v>0.2</v>
      </c>
      <c r="AF1063" s="48">
        <f t="shared" si="219"/>
        <v>0.56999999999999995</v>
      </c>
      <c r="AG1063" s="49">
        <v>1.21</v>
      </c>
      <c r="AH1063" s="98">
        <v>1.04E-13</v>
      </c>
      <c r="AI1063" s="98">
        <v>1.65E-15</v>
      </c>
      <c r="AJ1063" s="483">
        <f>LOG10(AH1063*1000/(0.08206*298.15))</f>
        <v>-11.371532987013872</v>
      </c>
      <c r="AK1063" s="483">
        <f>LOG10(AI1063*1000/(0.08206*298.15))</f>
        <v>-13.171082382098746</v>
      </c>
      <c r="AL1063" s="483">
        <f t="shared" ref="AL1063:AL1093" si="223">IF(AK1063=0,AJ1063,AK1063)</f>
        <v>-13.171082382098746</v>
      </c>
      <c r="AM1063" s="483">
        <v>-15.755459999999998</v>
      </c>
      <c r="AN1063" s="226">
        <v>-12.2</v>
      </c>
      <c r="AO1063" s="484"/>
      <c r="AP1063" s="484">
        <v>0.26</v>
      </c>
      <c r="AQ1063" s="48" t="s">
        <v>6311</v>
      </c>
      <c r="AR1063" s="48" t="s">
        <v>6311</v>
      </c>
      <c r="AS1063" s="227"/>
      <c r="AT1063" s="50" t="s">
        <v>266</v>
      </c>
      <c r="AU1063" s="48">
        <v>6</v>
      </c>
      <c r="AV1063" s="48">
        <v>120</v>
      </c>
      <c r="AW1063" s="48">
        <v>114</v>
      </c>
      <c r="AX1063" s="48">
        <v>28</v>
      </c>
      <c r="AY1063" s="48" t="s">
        <v>8728</v>
      </c>
      <c r="AZ1063" s="48" t="s">
        <v>1563</v>
      </c>
      <c r="BA1063" s="48">
        <v>32</v>
      </c>
      <c r="BB1063" s="47" t="s">
        <v>2485</v>
      </c>
      <c r="BC1063" s="47" t="s">
        <v>8726</v>
      </c>
      <c r="BD1063" s="47" t="s">
        <v>8374</v>
      </c>
      <c r="BE1063" s="48" t="s">
        <v>2449</v>
      </c>
      <c r="BF1063" s="48" t="s">
        <v>272</v>
      </c>
      <c r="BG1063" s="48" t="s">
        <v>272</v>
      </c>
      <c r="BH1063" s="48" t="s">
        <v>2486</v>
      </c>
      <c r="BI1063" s="98">
        <v>1.6362239999999999E-3</v>
      </c>
      <c r="BJ1063" s="98">
        <v>16.36224</v>
      </c>
      <c r="BK1063" s="48"/>
      <c r="BL1063" s="487">
        <v>4125.9768279244026</v>
      </c>
      <c r="BM1063" s="47" t="s">
        <v>2487</v>
      </c>
      <c r="BN1063" s="48"/>
      <c r="BO1063" s="48"/>
      <c r="BP1063" s="48"/>
      <c r="BQ1063" s="48"/>
      <c r="BR1063" s="47" t="e">
        <v>#VALUE!</v>
      </c>
      <c r="BS1063" s="48"/>
      <c r="BT1063" s="48"/>
      <c r="BU1063" s="228">
        <v>1.6362239999999999E-3</v>
      </c>
      <c r="BV1063" s="48"/>
      <c r="BW1063" s="48"/>
      <c r="BX1063" s="48"/>
      <c r="BY1063" s="48"/>
      <c r="BZ1063" s="48"/>
      <c r="CA1063" s="48"/>
      <c r="CB1063" s="48"/>
      <c r="CC1063" s="48"/>
      <c r="CD1063" s="48"/>
      <c r="CE1063" s="48"/>
      <c r="CF1063" s="48"/>
      <c r="CG1063" s="48"/>
      <c r="CH1063" s="48"/>
      <c r="CI1063" s="98"/>
      <c r="CJ1063" s="98"/>
      <c r="CK1063" s="49">
        <f t="shared" si="220"/>
        <v>252.16454641445196</v>
      </c>
      <c r="CL1063" s="229"/>
      <c r="CM1063" s="229"/>
      <c r="CN1063" s="229"/>
      <c r="CO1063" s="47" t="s">
        <v>2488</v>
      </c>
      <c r="CP1063" s="500" t="s">
        <v>2489</v>
      </c>
      <c r="CQ1063" s="224">
        <v>2.3580728468633363</v>
      </c>
      <c r="CR1063" s="224">
        <f>10^(CJ1063-CQ1063)</f>
        <v>4.384571465140868E-3</v>
      </c>
      <c r="CS1063" s="230" t="s">
        <v>539</v>
      </c>
      <c r="CT1063" s="230"/>
      <c r="CU1063" s="230"/>
      <c r="CV1063" s="335">
        <f t="shared" si="221"/>
        <v>37.280959086286472</v>
      </c>
      <c r="CW1063" s="230">
        <f t="shared" si="222"/>
        <v>1</v>
      </c>
      <c r="CX1063" s="336"/>
      <c r="CY1063" s="230" t="s">
        <v>5921</v>
      </c>
    </row>
    <row r="1064" spans="1:103" ht="11.25" customHeight="1" x14ac:dyDescent="0.2">
      <c r="A1064" s="72">
        <v>1511</v>
      </c>
      <c r="B1064" s="224">
        <v>1336</v>
      </c>
      <c r="C1064" s="46" t="s">
        <v>7525</v>
      </c>
      <c r="D1064" s="46"/>
      <c r="E1064" s="114"/>
      <c r="F1064" s="114" t="s">
        <v>3625</v>
      </c>
      <c r="G1064" s="225">
        <v>138472012</v>
      </c>
      <c r="H1064" s="47" t="s">
        <v>3626</v>
      </c>
      <c r="I1064" s="47" t="s">
        <v>8173</v>
      </c>
      <c r="J1064" s="236" t="s">
        <v>3627</v>
      </c>
      <c r="K1064" s="236" t="s">
        <v>455</v>
      </c>
      <c r="L1064" s="47"/>
      <c r="M1064" s="47"/>
      <c r="N1064" s="47"/>
      <c r="O1064" s="52"/>
      <c r="P1064" s="53"/>
      <c r="Q1064" s="53"/>
      <c r="R1064" s="53"/>
      <c r="S1064" s="53"/>
      <c r="T1064" s="240">
        <v>154.25</v>
      </c>
      <c r="U1064" s="409"/>
      <c r="V1064" s="98">
        <v>208.3</v>
      </c>
      <c r="W1064" s="98">
        <v>908.29133838599591</v>
      </c>
      <c r="X1064" s="98">
        <v>908.29133838599591</v>
      </c>
      <c r="Y1064" s="233">
        <v>4.3499999999999996</v>
      </c>
      <c r="Z1064" s="48">
        <v>2.17</v>
      </c>
      <c r="AA1064" s="48"/>
      <c r="AB1064" s="48">
        <v>0.92</v>
      </c>
      <c r="AC1064" s="48">
        <v>0.44850000000000001</v>
      </c>
      <c r="AD1064" s="48">
        <v>1.06</v>
      </c>
      <c r="AE1064" s="48">
        <v>1.18</v>
      </c>
      <c r="AF1064" s="48">
        <f t="shared" si="219"/>
        <v>1.06</v>
      </c>
      <c r="AG1064" s="48">
        <v>2.79</v>
      </c>
      <c r="AH1064" s="98">
        <v>4.3599999999999998E-14</v>
      </c>
      <c r="AI1064" s="98"/>
      <c r="AJ1064" s="483">
        <f t="shared" ref="AJ1064:AJ1093" si="224">LOG10(AH1064*1000/(0.08206*298.15))</f>
        <v>-11.749079837044066</v>
      </c>
      <c r="AK1064" s="483"/>
      <c r="AL1064" s="483">
        <f t="shared" si="223"/>
        <v>-11.749079837044066</v>
      </c>
      <c r="AM1064" s="483">
        <v>-15.84015</v>
      </c>
      <c r="AN1064" s="48">
        <v>-3.06</v>
      </c>
      <c r="AO1064" s="484">
        <v>6.49</v>
      </c>
      <c r="AP1064" s="484">
        <v>-1.7</v>
      </c>
      <c r="AQ1064" s="48" t="s">
        <v>6311</v>
      </c>
      <c r="AR1064" s="48" t="s">
        <v>6311</v>
      </c>
      <c r="AS1064" s="227"/>
      <c r="AT1064" s="50" t="s">
        <v>266</v>
      </c>
      <c r="AU1064" s="48">
        <v>6</v>
      </c>
      <c r="AV1064" s="48">
        <v>120</v>
      </c>
      <c r="AW1064" s="48">
        <v>114</v>
      </c>
      <c r="AX1064" s="48">
        <v>28</v>
      </c>
      <c r="AY1064" s="48" t="s">
        <v>8728</v>
      </c>
      <c r="AZ1064" s="48" t="s">
        <v>1563</v>
      </c>
      <c r="BA1064" s="48">
        <v>32</v>
      </c>
      <c r="BB1064" s="47" t="s">
        <v>2485</v>
      </c>
      <c r="BC1064" s="47" t="s">
        <v>8726</v>
      </c>
      <c r="BD1064" s="47" t="s">
        <v>8374</v>
      </c>
      <c r="BE1064" s="48" t="s">
        <v>2449</v>
      </c>
      <c r="BF1064" s="48" t="s">
        <v>272</v>
      </c>
      <c r="BG1064" s="48" t="s">
        <v>272</v>
      </c>
      <c r="BH1064" s="48" t="s">
        <v>2486</v>
      </c>
      <c r="BI1064" s="98">
        <v>9.8719999999999993E-4</v>
      </c>
      <c r="BJ1064" s="98">
        <v>9.8719999999999999</v>
      </c>
      <c r="BK1064" s="48"/>
      <c r="BL1064" s="487">
        <v>89.155506724112513</v>
      </c>
      <c r="BM1064" s="47" t="s">
        <v>2487</v>
      </c>
      <c r="BN1064" s="48"/>
      <c r="BO1064" s="48"/>
      <c r="BP1064" s="48"/>
      <c r="BQ1064" s="48"/>
      <c r="BR1064" s="47" t="e">
        <v>#VALUE!</v>
      </c>
      <c r="BS1064" s="48"/>
      <c r="BT1064" s="48"/>
      <c r="BU1064" s="228"/>
      <c r="BV1064" s="48"/>
      <c r="BW1064" s="48"/>
      <c r="BX1064" s="48"/>
      <c r="BY1064" s="48"/>
      <c r="BZ1064" s="48"/>
      <c r="CA1064" s="48"/>
      <c r="CB1064" s="48"/>
      <c r="CC1064" s="48"/>
      <c r="CD1064" s="48"/>
      <c r="CE1064" s="48"/>
      <c r="CF1064" s="48"/>
      <c r="CG1064" s="48"/>
      <c r="CH1064" s="48"/>
      <c r="CI1064" s="98"/>
      <c r="CJ1064" s="98"/>
      <c r="CK1064" s="49">
        <f t="shared" si="220"/>
        <v>9.0311493845332773</v>
      </c>
      <c r="CL1064" s="229"/>
      <c r="CM1064" s="229"/>
      <c r="CN1064" s="229"/>
      <c r="CO1064" s="47" t="s">
        <v>2488</v>
      </c>
      <c r="CP1064" s="500" t="s">
        <v>2489</v>
      </c>
      <c r="CQ1064" s="224" t="s">
        <v>272</v>
      </c>
      <c r="CR1064" s="224"/>
      <c r="CS1064" s="230" t="s">
        <v>539</v>
      </c>
      <c r="CT1064" s="230"/>
      <c r="CU1064" s="230"/>
      <c r="CV1064" s="335">
        <f t="shared" si="221"/>
        <v>92.006821149310767</v>
      </c>
      <c r="CW1064" s="230">
        <f t="shared" si="222"/>
        <v>1</v>
      </c>
      <c r="CX1064" s="336"/>
      <c r="CY1064" s="230" t="s">
        <v>5921</v>
      </c>
    </row>
    <row r="1065" spans="1:103" ht="11.25" customHeight="1" x14ac:dyDescent="0.2">
      <c r="A1065" s="72">
        <v>1512</v>
      </c>
      <c r="B1065" s="224">
        <v>1933</v>
      </c>
      <c r="C1065" s="46" t="s">
        <v>7526</v>
      </c>
      <c r="D1065" s="46"/>
      <c r="E1065" s="114"/>
      <c r="F1065" s="114" t="s">
        <v>5426</v>
      </c>
      <c r="G1065" s="225">
        <v>139290656</v>
      </c>
      <c r="H1065" s="47" t="s">
        <v>5293</v>
      </c>
      <c r="I1065" s="47" t="s">
        <v>7843</v>
      </c>
      <c r="J1065" s="47" t="s">
        <v>5294</v>
      </c>
      <c r="K1065" s="47" t="s">
        <v>455</v>
      </c>
      <c r="L1065" s="47"/>
      <c r="M1065" s="47"/>
      <c r="N1065" s="47"/>
      <c r="O1065" s="47"/>
      <c r="P1065" s="53"/>
      <c r="Q1065" s="53"/>
      <c r="R1065" s="53"/>
      <c r="S1065" s="53"/>
      <c r="T1065" s="48">
        <v>413.6</v>
      </c>
      <c r="U1065" s="98"/>
      <c r="V1065" s="98">
        <v>0.67530000000000001</v>
      </c>
      <c r="W1065" s="98">
        <v>255.02369276990891</v>
      </c>
      <c r="X1065" s="98">
        <v>255.02369276990891</v>
      </c>
      <c r="Y1065" s="233">
        <v>10.36</v>
      </c>
      <c r="Z1065" s="48">
        <v>4.18</v>
      </c>
      <c r="AA1065" s="48"/>
      <c r="AB1065" s="48">
        <v>3.33</v>
      </c>
      <c r="AC1065" s="48">
        <v>0.69640000000000002</v>
      </c>
      <c r="AD1065" s="48">
        <v>3.6</v>
      </c>
      <c r="AE1065" s="48">
        <v>4.07</v>
      </c>
      <c r="AF1065" s="48">
        <f t="shared" si="219"/>
        <v>3.6</v>
      </c>
      <c r="AG1065" s="49">
        <v>2.89</v>
      </c>
      <c r="AH1065" s="98">
        <v>4.64E-17</v>
      </c>
      <c r="AI1065" s="98"/>
      <c r="AJ1065" s="483">
        <f t="shared" si="224"/>
        <v>-14.722048345757772</v>
      </c>
      <c r="AK1065" s="483"/>
      <c r="AL1065" s="483">
        <f t="shared" si="223"/>
        <v>-14.722048345757772</v>
      </c>
      <c r="AM1065" s="483">
        <v>-19.477709999999998</v>
      </c>
      <c r="AN1065" s="226">
        <v>-18.399999999999999</v>
      </c>
      <c r="AO1065" s="484"/>
      <c r="AP1065" s="484">
        <v>10.050000000000001</v>
      </c>
      <c r="AQ1065" s="226" t="s">
        <v>6311</v>
      </c>
      <c r="AR1065" s="226" t="s">
        <v>6311</v>
      </c>
      <c r="AS1065" s="224"/>
      <c r="AT1065" s="50" t="s">
        <v>266</v>
      </c>
      <c r="AU1065" s="48">
        <v>6</v>
      </c>
      <c r="AV1065" s="48">
        <v>120</v>
      </c>
      <c r="AW1065" s="48">
        <v>114</v>
      </c>
      <c r="AX1065" s="48">
        <v>28</v>
      </c>
      <c r="AY1065" s="48" t="s">
        <v>8728</v>
      </c>
      <c r="AZ1065" s="48" t="s">
        <v>1563</v>
      </c>
      <c r="BA1065" s="48">
        <v>32</v>
      </c>
      <c r="BB1065" s="47" t="s">
        <v>2485</v>
      </c>
      <c r="BC1065" s="47" t="s">
        <v>8726</v>
      </c>
      <c r="BD1065" s="47" t="s">
        <v>8374</v>
      </c>
      <c r="BE1065" s="48" t="s">
        <v>2449</v>
      </c>
      <c r="BF1065" s="48" t="s">
        <v>272</v>
      </c>
      <c r="BG1065" s="48" t="s">
        <v>272</v>
      </c>
      <c r="BH1065" s="48" t="s">
        <v>2486</v>
      </c>
      <c r="BI1065" s="98">
        <v>2.6470399999999998E-3</v>
      </c>
      <c r="BJ1065" s="98">
        <v>26.470400000000001</v>
      </c>
      <c r="BK1065" s="48"/>
      <c r="BL1065" s="487">
        <v>3.7438852580351218</v>
      </c>
      <c r="BM1065" s="47" t="s">
        <v>2487</v>
      </c>
      <c r="BN1065" s="48"/>
      <c r="BO1065" s="48"/>
      <c r="BP1065" s="48"/>
      <c r="BQ1065" s="48"/>
      <c r="BR1065" s="47" t="e">
        <v>#VALUE!</v>
      </c>
      <c r="BS1065" s="48"/>
      <c r="BT1065" s="48"/>
      <c r="BU1065" s="228"/>
      <c r="BV1065" s="48"/>
      <c r="BW1065" s="48"/>
      <c r="BX1065" s="48"/>
      <c r="BY1065" s="48"/>
      <c r="BZ1065" s="48"/>
      <c r="CA1065" s="48"/>
      <c r="CB1065" s="48"/>
      <c r="CC1065" s="48"/>
      <c r="CD1065" s="48"/>
      <c r="CE1065" s="48"/>
      <c r="CF1065" s="48"/>
      <c r="CG1065" s="48"/>
      <c r="CH1065" s="48"/>
      <c r="CI1065" s="98"/>
      <c r="CJ1065" s="98"/>
      <c r="CK1065" s="49">
        <f t="shared" si="220"/>
        <v>0.14143667107543223</v>
      </c>
      <c r="CL1065" s="229"/>
      <c r="CM1065" s="229"/>
      <c r="CN1065" s="229"/>
      <c r="CO1065" s="47" t="s">
        <v>2488</v>
      </c>
      <c r="CP1065" s="500" t="s">
        <v>2489</v>
      </c>
      <c r="CQ1065" s="224" t="s">
        <v>272</v>
      </c>
      <c r="CR1065" s="224"/>
      <c r="CS1065" s="230" t="s">
        <v>539</v>
      </c>
      <c r="CT1065" s="230"/>
      <c r="CU1065" s="230"/>
      <c r="CV1065" s="335">
        <f t="shared" si="221"/>
        <v>9.6342969040856534</v>
      </c>
      <c r="CW1065" s="230">
        <f t="shared" si="222"/>
        <v>1</v>
      </c>
      <c r="CX1065" s="336"/>
      <c r="CY1065" s="230" t="s">
        <v>5921</v>
      </c>
    </row>
    <row r="1066" spans="1:103" ht="11.25" customHeight="1" x14ac:dyDescent="0.2">
      <c r="A1066" s="72">
        <v>1514</v>
      </c>
      <c r="B1066" s="224">
        <v>1716</v>
      </c>
      <c r="C1066" s="46" t="s">
        <v>7527</v>
      </c>
      <c r="D1066" s="46" t="s">
        <v>8679</v>
      </c>
      <c r="E1066" s="114"/>
      <c r="F1066" s="114" t="s">
        <v>3910</v>
      </c>
      <c r="G1066" s="225">
        <v>141112290</v>
      </c>
      <c r="H1066" s="47" t="s">
        <v>3911</v>
      </c>
      <c r="I1066" s="47" t="s">
        <v>8174</v>
      </c>
      <c r="J1066" s="47" t="s">
        <v>3912</v>
      </c>
      <c r="K1066" s="47" t="s">
        <v>426</v>
      </c>
      <c r="L1066" s="47" t="s">
        <v>6044</v>
      </c>
      <c r="M1066" s="47" t="s">
        <v>5960</v>
      </c>
      <c r="N1066" s="47"/>
      <c r="O1066" s="47"/>
      <c r="P1066" s="53"/>
      <c r="Q1066" s="53"/>
      <c r="R1066" s="53"/>
      <c r="S1066" s="53"/>
      <c r="T1066" s="48">
        <v>359.32</v>
      </c>
      <c r="U1066" s="98">
        <v>6.2</v>
      </c>
      <c r="V1066" s="98">
        <v>56.79999999999999</v>
      </c>
      <c r="W1066" s="98">
        <v>22.155491606886766</v>
      </c>
      <c r="X1066" s="98">
        <v>6.2</v>
      </c>
      <c r="Y1066" s="233">
        <v>7</v>
      </c>
      <c r="Z1066" s="48">
        <v>2.25</v>
      </c>
      <c r="AA1066" s="48">
        <v>2.3199999999999998</v>
      </c>
      <c r="AB1066" s="48">
        <v>2.5499999999999998</v>
      </c>
      <c r="AC1066" s="48">
        <v>0.82920000000000005</v>
      </c>
      <c r="AD1066" s="48">
        <v>2.46</v>
      </c>
      <c r="AE1066" s="48">
        <v>1.67</v>
      </c>
      <c r="AF1066" s="48">
        <f t="shared" si="219"/>
        <v>2.3199999999999998</v>
      </c>
      <c r="AG1066" s="49">
        <v>3.04</v>
      </c>
      <c r="AH1066" s="98">
        <v>3.5299999999999997E-11</v>
      </c>
      <c r="AI1066" s="98">
        <v>1.8500000000000001E-10</v>
      </c>
      <c r="AJ1066" s="483">
        <f t="shared" si="224"/>
        <v>-8.8407916209248292</v>
      </c>
      <c r="AK1066" s="483">
        <f>LOG10(AI1066*1000/(0.08206*298.15))</f>
        <v>-8.1213945979096387</v>
      </c>
      <c r="AL1066" s="483">
        <f t="shared" si="223"/>
        <v>-8.1213945979096387</v>
      </c>
      <c r="AM1066" s="483">
        <v>-13.732060000000001</v>
      </c>
      <c r="AN1066" s="226">
        <v>-17.399999999999999</v>
      </c>
      <c r="AO1066" s="484"/>
      <c r="AP1066" s="484">
        <v>-4.29</v>
      </c>
      <c r="AQ1066" s="226" t="s">
        <v>6311</v>
      </c>
      <c r="AR1066" s="226" t="s">
        <v>6311</v>
      </c>
      <c r="AS1066" s="224"/>
      <c r="AT1066" s="50" t="s">
        <v>266</v>
      </c>
      <c r="AU1066" s="48">
        <v>6</v>
      </c>
      <c r="AV1066" s="48">
        <v>120</v>
      </c>
      <c r="AW1066" s="48">
        <v>114</v>
      </c>
      <c r="AX1066" s="48">
        <v>28</v>
      </c>
      <c r="AY1066" s="48" t="s">
        <v>8728</v>
      </c>
      <c r="AZ1066" s="48" t="s">
        <v>1563</v>
      </c>
      <c r="BA1066" s="48">
        <v>32</v>
      </c>
      <c r="BB1066" s="47" t="s">
        <v>2485</v>
      </c>
      <c r="BC1066" s="47" t="s">
        <v>8726</v>
      </c>
      <c r="BD1066" s="47" t="s">
        <v>8374</v>
      </c>
      <c r="BE1066" s="48" t="s">
        <v>2449</v>
      </c>
      <c r="BF1066" s="48" t="s">
        <v>272</v>
      </c>
      <c r="BG1066" s="48" t="s">
        <v>272</v>
      </c>
      <c r="BH1066" s="48" t="s">
        <v>2486</v>
      </c>
      <c r="BI1066" s="98">
        <v>2.2996480000000001E-3</v>
      </c>
      <c r="BJ1066" s="98">
        <v>22.996480000000002</v>
      </c>
      <c r="BK1066" s="48"/>
      <c r="BL1066" s="487">
        <v>176.01771993426911</v>
      </c>
      <c r="BM1066" s="47" t="s">
        <v>2487</v>
      </c>
      <c r="BN1066" s="48"/>
      <c r="BO1066" s="48"/>
      <c r="BP1066" s="48"/>
      <c r="BQ1066" s="48"/>
      <c r="BR1066" s="47" t="e">
        <v>#VALUE!</v>
      </c>
      <c r="BS1066" s="48"/>
      <c r="BT1066" s="48"/>
      <c r="BU1066" s="228"/>
      <c r="BV1066" s="48"/>
      <c r="BW1066" s="48"/>
      <c r="BX1066" s="48"/>
      <c r="BY1066" s="48"/>
      <c r="BZ1066" s="48"/>
      <c r="CA1066" s="48"/>
      <c r="CB1066" s="48"/>
      <c r="CC1066" s="48"/>
      <c r="CD1066" s="48"/>
      <c r="CE1066" s="48"/>
      <c r="CF1066" s="48"/>
      <c r="CG1066" s="48"/>
      <c r="CH1066" s="48"/>
      <c r="CI1066" s="98"/>
      <c r="CJ1066" s="98"/>
      <c r="CK1066" s="49">
        <f t="shared" si="220"/>
        <v>7.654115757466756</v>
      </c>
      <c r="CL1066" s="229"/>
      <c r="CM1066" s="229"/>
      <c r="CN1066" s="229"/>
      <c r="CO1066" s="47" t="s">
        <v>2488</v>
      </c>
      <c r="CP1066" s="500" t="s">
        <v>2489</v>
      </c>
      <c r="CQ1066" s="224">
        <v>2.2041199826559246</v>
      </c>
      <c r="CR1066" s="224">
        <f>10^(CJ1066-CQ1066)</f>
        <v>6.2500000000000021E-3</v>
      </c>
      <c r="CS1066" s="230" t="s">
        <v>539</v>
      </c>
      <c r="CT1066" s="230"/>
      <c r="CU1066" s="230"/>
      <c r="CV1066" s="335">
        <f t="shared" si="221"/>
        <v>0.26960647890459755</v>
      </c>
      <c r="CW1066" s="230">
        <f t="shared" si="222"/>
        <v>0</v>
      </c>
      <c r="CX1066" s="336"/>
      <c r="CY1066" s="230" t="s">
        <v>5921</v>
      </c>
    </row>
    <row r="1067" spans="1:103" ht="11.25" customHeight="1" x14ac:dyDescent="0.2">
      <c r="A1067" s="72">
        <v>1515</v>
      </c>
      <c r="B1067" s="224">
        <v>1668</v>
      </c>
      <c r="C1067" s="46" t="s">
        <v>1209</v>
      </c>
      <c r="D1067" s="46" t="s">
        <v>6588</v>
      </c>
      <c r="E1067" s="114"/>
      <c r="F1067" s="114" t="s">
        <v>1210</v>
      </c>
      <c r="G1067" s="225">
        <v>142459583</v>
      </c>
      <c r="H1067" s="47" t="s">
        <v>1211</v>
      </c>
      <c r="I1067" s="47" t="s">
        <v>8175</v>
      </c>
      <c r="J1067" s="47" t="s">
        <v>1212</v>
      </c>
      <c r="K1067" s="47" t="s">
        <v>471</v>
      </c>
      <c r="L1067" s="47" t="s">
        <v>5248</v>
      </c>
      <c r="M1067" s="47" t="s">
        <v>8504</v>
      </c>
      <c r="N1067" s="47" t="s">
        <v>6082</v>
      </c>
      <c r="O1067" s="47" t="s">
        <v>5986</v>
      </c>
      <c r="P1067" s="53"/>
      <c r="Q1067" s="53"/>
      <c r="R1067" s="53"/>
      <c r="S1067" s="53"/>
      <c r="T1067" s="48">
        <v>363.33</v>
      </c>
      <c r="U1067" s="98">
        <v>56</v>
      </c>
      <c r="V1067" s="98">
        <v>9.516</v>
      </c>
      <c r="W1067" s="98">
        <v>2.1394456530034578</v>
      </c>
      <c r="X1067" s="98">
        <v>56</v>
      </c>
      <c r="Y1067" s="233">
        <v>7</v>
      </c>
      <c r="Z1067" s="48">
        <v>2.39</v>
      </c>
      <c r="AA1067" s="48">
        <v>3.2</v>
      </c>
      <c r="AB1067" s="48">
        <v>2.75</v>
      </c>
      <c r="AC1067" s="48">
        <v>0.77400000000000002</v>
      </c>
      <c r="AD1067" s="48">
        <v>3.01</v>
      </c>
      <c r="AE1067" s="48">
        <v>3.98</v>
      </c>
      <c r="AF1067" s="48">
        <f t="shared" si="219"/>
        <v>3.2</v>
      </c>
      <c r="AG1067" s="49">
        <v>3.86</v>
      </c>
      <c r="AH1067" s="98">
        <v>1.9999999999999999E-11</v>
      </c>
      <c r="AI1067" s="98">
        <v>5.76E-9</v>
      </c>
      <c r="AJ1067" s="483">
        <f t="shared" si="224"/>
        <v>-9.0875363306486712</v>
      </c>
      <c r="AK1067" s="483">
        <f>LOG10(AI1067*1000/(0.08206*298.15))</f>
        <v>-6.6281438428894397</v>
      </c>
      <c r="AL1067" s="483">
        <f t="shared" si="223"/>
        <v>-6.6281438428894397</v>
      </c>
      <c r="AM1067" s="483">
        <v>-13.380149999999999</v>
      </c>
      <c r="AN1067" s="226">
        <v>-8.35</v>
      </c>
      <c r="AO1067" s="484"/>
      <c r="AP1067" s="484">
        <v>0.31</v>
      </c>
      <c r="AQ1067" s="226" t="s">
        <v>6311</v>
      </c>
      <c r="AR1067" s="226" t="s">
        <v>6311</v>
      </c>
      <c r="AS1067" s="224"/>
      <c r="AT1067" s="50" t="s">
        <v>266</v>
      </c>
      <c r="AU1067" s="48">
        <v>6</v>
      </c>
      <c r="AV1067" s="48">
        <v>120</v>
      </c>
      <c r="AW1067" s="48">
        <v>114</v>
      </c>
      <c r="AX1067" s="48">
        <v>28</v>
      </c>
      <c r="AY1067" s="48" t="s">
        <v>8728</v>
      </c>
      <c r="AZ1067" s="48" t="s">
        <v>1563</v>
      </c>
      <c r="BA1067" s="48">
        <v>32</v>
      </c>
      <c r="BB1067" s="47" t="s">
        <v>2485</v>
      </c>
      <c r="BC1067" s="47" t="s">
        <v>8726</v>
      </c>
      <c r="BD1067" s="47" t="s">
        <v>8374</v>
      </c>
      <c r="BE1067" s="48" t="s">
        <v>2449</v>
      </c>
      <c r="BF1067" s="48" t="s">
        <v>272</v>
      </c>
      <c r="BG1067" s="48" t="s">
        <v>272</v>
      </c>
      <c r="BH1067" s="48" t="s">
        <v>2486</v>
      </c>
      <c r="BI1067" s="98">
        <v>2.325312E-3</v>
      </c>
      <c r="BJ1067" s="98">
        <v>23.253119999999999</v>
      </c>
      <c r="BK1067" s="48"/>
      <c r="BL1067" s="487">
        <v>133.24234235938965</v>
      </c>
      <c r="BM1067" s="47" t="s">
        <v>2487</v>
      </c>
      <c r="BN1067" s="48"/>
      <c r="BO1067" s="48"/>
      <c r="BP1067" s="48"/>
      <c r="BQ1067" s="48"/>
      <c r="BR1067" s="47" t="e">
        <v>#VALUE!</v>
      </c>
      <c r="BS1067" s="48"/>
      <c r="BT1067" s="48"/>
      <c r="BU1067" s="228"/>
      <c r="BV1067" s="48"/>
      <c r="BW1067" s="48"/>
      <c r="BX1067" s="48"/>
      <c r="BY1067" s="48"/>
      <c r="BZ1067" s="48"/>
      <c r="CA1067" s="48"/>
      <c r="CB1067" s="48"/>
      <c r="CC1067" s="48"/>
      <c r="CD1067" s="48"/>
      <c r="CE1067" s="48"/>
      <c r="CF1067" s="48"/>
      <c r="CG1067" s="48"/>
      <c r="CH1067" s="48"/>
      <c r="CI1067" s="98"/>
      <c r="CJ1067" s="98"/>
      <c r="CK1067" s="49">
        <f t="shared" si="220"/>
        <v>5.7300844944415914</v>
      </c>
      <c r="CL1067" s="229"/>
      <c r="CM1067" s="229">
        <v>0.36715984042950317</v>
      </c>
      <c r="CN1067" s="229">
        <f>BJ1067/(10^CM1067)</f>
        <v>9.9843866841387516</v>
      </c>
      <c r="CO1067" s="47" t="s">
        <v>2488</v>
      </c>
      <c r="CP1067" s="500" t="s">
        <v>2489</v>
      </c>
      <c r="CQ1067" s="224">
        <v>0.5108894887326465</v>
      </c>
      <c r="CR1067" s="224">
        <f>10^(CJ1067-CQ1067)</f>
        <v>0.30839726030062214</v>
      </c>
      <c r="CS1067" s="230" t="s">
        <v>539</v>
      </c>
      <c r="CT1067" s="230"/>
      <c r="CU1067" s="230"/>
      <c r="CV1067" s="335">
        <f t="shared" si="221"/>
        <v>2.4082789750364682</v>
      </c>
      <c r="CW1067" s="230">
        <f t="shared" si="222"/>
        <v>1</v>
      </c>
      <c r="CX1067" s="336"/>
      <c r="CY1067" s="230" t="s">
        <v>5921</v>
      </c>
    </row>
    <row r="1068" spans="1:103" ht="11.25" customHeight="1" x14ac:dyDescent="0.2">
      <c r="A1068" s="72">
        <v>1517</v>
      </c>
      <c r="B1068" s="224">
        <v>1708</v>
      </c>
      <c r="C1068" s="46" t="s">
        <v>7528</v>
      </c>
      <c r="D1068" s="46"/>
      <c r="E1068" s="114"/>
      <c r="F1068" s="114" t="s">
        <v>3904</v>
      </c>
      <c r="G1068" s="225">
        <v>144550367</v>
      </c>
      <c r="H1068" s="47" t="s">
        <v>4970</v>
      </c>
      <c r="I1068" s="47" t="s">
        <v>7768</v>
      </c>
      <c r="J1068" s="47" t="s">
        <v>3905</v>
      </c>
      <c r="K1068" s="47" t="s">
        <v>1391</v>
      </c>
      <c r="L1068" s="47"/>
      <c r="M1068" s="47"/>
      <c r="N1068" s="47"/>
      <c r="O1068" s="47"/>
      <c r="P1068" s="53"/>
      <c r="Q1068" s="53"/>
      <c r="R1068" s="53"/>
      <c r="S1068" s="53"/>
      <c r="T1068" s="48">
        <v>506.27</v>
      </c>
      <c r="U1068" s="98"/>
      <c r="V1068" s="98">
        <v>2.2106983032272693</v>
      </c>
      <c r="W1068" s="98">
        <v>12.427454827438577</v>
      </c>
      <c r="X1068" s="98">
        <v>12.427454827438577</v>
      </c>
      <c r="Y1068" s="233">
        <v>4.6399999999999997</v>
      </c>
      <c r="Z1068" s="48">
        <v>2.87</v>
      </c>
      <c r="AA1068" s="48"/>
      <c r="AB1068" s="48">
        <v>2.54</v>
      </c>
      <c r="AC1068" s="48">
        <v>0.61509999999999998</v>
      </c>
      <c r="AD1068" s="48">
        <v>3.03</v>
      </c>
      <c r="AE1068" s="48">
        <v>4</v>
      </c>
      <c r="AF1068" s="48">
        <f t="shared" si="219"/>
        <v>3.03</v>
      </c>
      <c r="AG1068" s="49">
        <v>3.03</v>
      </c>
      <c r="AH1068" s="98">
        <v>4.2099999999999999E-14</v>
      </c>
      <c r="AI1068" s="98"/>
      <c r="AJ1068" s="483">
        <f t="shared" si="224"/>
        <v>-11.764284230476983</v>
      </c>
      <c r="AK1068" s="483"/>
      <c r="AL1068" s="483">
        <f t="shared" si="223"/>
        <v>-11.764284230476983</v>
      </c>
      <c r="AM1068" s="483">
        <v>-25.779900000000001</v>
      </c>
      <c r="AN1068" s="226"/>
      <c r="AO1068" s="484">
        <v>3.69</v>
      </c>
      <c r="AP1068" s="484">
        <v>1.51</v>
      </c>
      <c r="AQ1068" s="226" t="s">
        <v>6311</v>
      </c>
      <c r="AR1068" s="226" t="s">
        <v>6312</v>
      </c>
      <c r="AS1068" s="224"/>
      <c r="AT1068" s="50" t="s">
        <v>266</v>
      </c>
      <c r="AU1068" s="48">
        <v>6</v>
      </c>
      <c r="AV1068" s="48">
        <v>120</v>
      </c>
      <c r="AW1068" s="48">
        <v>114</v>
      </c>
      <c r="AX1068" s="48">
        <v>28</v>
      </c>
      <c r="AY1068" s="48" t="s">
        <v>8728</v>
      </c>
      <c r="AZ1068" s="48" t="s">
        <v>1563</v>
      </c>
      <c r="BA1068" s="48">
        <v>32</v>
      </c>
      <c r="BB1068" s="47" t="s">
        <v>2485</v>
      </c>
      <c r="BC1068" s="47" t="s">
        <v>8726</v>
      </c>
      <c r="BD1068" s="47" t="s">
        <v>8374</v>
      </c>
      <c r="BE1068" s="48" t="s">
        <v>2449</v>
      </c>
      <c r="BF1068" s="48" t="s">
        <v>272</v>
      </c>
      <c r="BG1068" s="48" t="s">
        <v>272</v>
      </c>
      <c r="BH1068" s="48" t="s">
        <v>2486</v>
      </c>
      <c r="BI1068" s="98">
        <v>3.2401279999999997E-3</v>
      </c>
      <c r="BJ1068" s="98">
        <v>32.40128</v>
      </c>
      <c r="BK1068" s="48"/>
      <c r="BL1068" s="487">
        <v>68.807407219345649</v>
      </c>
      <c r="BM1068" s="47" t="s">
        <v>2487</v>
      </c>
      <c r="BN1068" s="48"/>
      <c r="BO1068" s="48"/>
      <c r="BP1068" s="48"/>
      <c r="BQ1068" s="48"/>
      <c r="BR1068" s="47" t="e">
        <v>#VALUE!</v>
      </c>
      <c r="BS1068" s="48"/>
      <c r="BT1068" s="48"/>
      <c r="BU1068" s="228"/>
      <c r="BV1068" s="48"/>
      <c r="BW1068" s="48"/>
      <c r="BX1068" s="48"/>
      <c r="BY1068" s="48"/>
      <c r="BZ1068" s="48"/>
      <c r="CA1068" s="48"/>
      <c r="CB1068" s="48"/>
      <c r="CC1068" s="48"/>
      <c r="CD1068" s="48"/>
      <c r="CE1068" s="48"/>
      <c r="CF1068" s="48"/>
      <c r="CG1068" s="48"/>
      <c r="CH1068" s="48"/>
      <c r="CI1068" s="98"/>
      <c r="CJ1068" s="98"/>
      <c r="CK1068" s="49">
        <f t="shared" si="220"/>
        <v>2.1236015126360948</v>
      </c>
      <c r="CL1068" s="229"/>
      <c r="CM1068" s="229"/>
      <c r="CN1068" s="229"/>
      <c r="CO1068" s="47" t="s">
        <v>2488</v>
      </c>
      <c r="CP1068" s="500" t="s">
        <v>2489</v>
      </c>
      <c r="CQ1068" s="224" t="s">
        <v>272</v>
      </c>
      <c r="CR1068" s="224"/>
      <c r="CS1068" s="230" t="s">
        <v>539</v>
      </c>
      <c r="CT1068" s="230"/>
      <c r="CU1068" s="230"/>
      <c r="CV1068" s="335">
        <f t="shared" si="221"/>
        <v>0.38354826807578518</v>
      </c>
      <c r="CW1068" s="230">
        <f t="shared" si="222"/>
        <v>0</v>
      </c>
      <c r="CX1068" s="336"/>
      <c r="CY1068" s="230" t="s">
        <v>5921</v>
      </c>
    </row>
    <row r="1069" spans="1:103" ht="11.25" customHeight="1" x14ac:dyDescent="0.2">
      <c r="A1069" s="72">
        <v>1520</v>
      </c>
      <c r="B1069" s="224">
        <v>1599</v>
      </c>
      <c r="C1069" s="46" t="s">
        <v>7530</v>
      </c>
      <c r="D1069" s="46"/>
      <c r="E1069" s="114"/>
      <c r="F1069" s="114" t="s">
        <v>3808</v>
      </c>
      <c r="G1069" s="225">
        <v>145701219</v>
      </c>
      <c r="H1069" s="47" t="s">
        <v>3809</v>
      </c>
      <c r="I1069" s="47" t="s">
        <v>8176</v>
      </c>
      <c r="J1069" s="47" t="s">
        <v>3810</v>
      </c>
      <c r="K1069" s="47" t="s">
        <v>3811</v>
      </c>
      <c r="L1069" s="47"/>
      <c r="M1069" s="47"/>
      <c r="N1069" s="47"/>
      <c r="O1069" s="47"/>
      <c r="P1069" s="53"/>
      <c r="Q1069" s="53"/>
      <c r="R1069" s="53"/>
      <c r="S1069" s="53"/>
      <c r="T1069" s="48">
        <v>406.22</v>
      </c>
      <c r="U1069" s="98"/>
      <c r="V1069" s="98">
        <v>2.8170000000000002</v>
      </c>
      <c r="W1069" s="98">
        <v>12.55339810595669</v>
      </c>
      <c r="X1069" s="98">
        <v>12.55339810595669</v>
      </c>
      <c r="Y1069" s="233">
        <v>4.66</v>
      </c>
      <c r="Z1069" s="48">
        <v>3.51</v>
      </c>
      <c r="AA1069" s="48"/>
      <c r="AB1069" s="48">
        <v>3.07</v>
      </c>
      <c r="AC1069" s="48">
        <v>0.57899999999999996</v>
      </c>
      <c r="AD1069" s="48">
        <v>2.99</v>
      </c>
      <c r="AE1069" s="48">
        <v>2.88</v>
      </c>
      <c r="AF1069" s="48">
        <f t="shared" si="219"/>
        <v>2.99</v>
      </c>
      <c r="AG1069" s="49">
        <v>3.18</v>
      </c>
      <c r="AH1069" s="98">
        <v>7.5499999999999994E-14</v>
      </c>
      <c r="AI1069" s="98"/>
      <c r="AJ1069" s="483">
        <f t="shared" si="224"/>
        <v>-11.510619374683463</v>
      </c>
      <c r="AK1069" s="483"/>
      <c r="AL1069" s="483">
        <f t="shared" si="223"/>
        <v>-11.510619374683463</v>
      </c>
      <c r="AM1069" s="483">
        <v>-19.684110000000004</v>
      </c>
      <c r="AN1069" s="226">
        <v>-16.8</v>
      </c>
      <c r="AO1069" s="484">
        <v>4.25</v>
      </c>
      <c r="AP1069" s="484">
        <v>-2.66</v>
      </c>
      <c r="AQ1069" s="48" t="s">
        <v>6311</v>
      </c>
      <c r="AR1069" s="48" t="s">
        <v>6311</v>
      </c>
      <c r="AS1069" s="227"/>
      <c r="AT1069" s="50" t="s">
        <v>266</v>
      </c>
      <c r="AU1069" s="48">
        <v>6</v>
      </c>
      <c r="AV1069" s="48">
        <v>120</v>
      </c>
      <c r="AW1069" s="48">
        <v>114</v>
      </c>
      <c r="AX1069" s="48">
        <v>28</v>
      </c>
      <c r="AY1069" s="48" t="s">
        <v>8728</v>
      </c>
      <c r="AZ1069" s="48" t="s">
        <v>1563</v>
      </c>
      <c r="BA1069" s="48">
        <v>32</v>
      </c>
      <c r="BB1069" s="47" t="s">
        <v>2485</v>
      </c>
      <c r="BC1069" s="47" t="s">
        <v>8726</v>
      </c>
      <c r="BD1069" s="47" t="s">
        <v>8374</v>
      </c>
      <c r="BE1069" s="48" t="s">
        <v>2449</v>
      </c>
      <c r="BF1069" s="48" t="s">
        <v>272</v>
      </c>
      <c r="BG1069" s="48" t="s">
        <v>272</v>
      </c>
      <c r="BH1069" s="48" t="s">
        <v>2486</v>
      </c>
      <c r="BI1069" s="98">
        <v>2.5998079999999999E-3</v>
      </c>
      <c r="BJ1069" s="98">
        <v>25.998080000000002</v>
      </c>
      <c r="BK1069" s="48"/>
      <c r="BL1069" s="487">
        <v>14.697054404720344</v>
      </c>
      <c r="BM1069" s="47" t="s">
        <v>2487</v>
      </c>
      <c r="BN1069" s="48"/>
      <c r="BO1069" s="48"/>
      <c r="BP1069" s="48"/>
      <c r="BQ1069" s="48"/>
      <c r="BR1069" s="47" t="e">
        <v>#VALUE!</v>
      </c>
      <c r="BS1069" s="48"/>
      <c r="BT1069" s="48"/>
      <c r="BU1069" s="228"/>
      <c r="BV1069" s="48"/>
      <c r="BW1069" s="48"/>
      <c r="BX1069" s="48"/>
      <c r="BY1069" s="48"/>
      <c r="BZ1069" s="48"/>
      <c r="CA1069" s="48"/>
      <c r="CB1069" s="48"/>
      <c r="CC1069" s="48"/>
      <c r="CD1069" s="48"/>
      <c r="CE1069" s="48"/>
      <c r="CF1069" s="48"/>
      <c r="CG1069" s="48"/>
      <c r="CH1069" s="48"/>
      <c r="CI1069" s="98"/>
      <c r="CJ1069" s="98"/>
      <c r="CK1069" s="49">
        <f t="shared" si="220"/>
        <v>0.56531306945437287</v>
      </c>
      <c r="CL1069" s="229"/>
      <c r="CM1069" s="229"/>
      <c r="CN1069" s="229"/>
      <c r="CO1069" s="47" t="s">
        <v>2488</v>
      </c>
      <c r="CP1069" s="500" t="s">
        <v>2489</v>
      </c>
      <c r="CQ1069" s="224" t="s">
        <v>272</v>
      </c>
      <c r="CR1069" s="224"/>
      <c r="CS1069" s="230" t="s">
        <v>539</v>
      </c>
      <c r="CT1069" s="230"/>
      <c r="CU1069" s="230"/>
      <c r="CV1069" s="335">
        <f t="shared" si="221"/>
        <v>0.48285866133024785</v>
      </c>
      <c r="CW1069" s="230">
        <f t="shared" si="222"/>
        <v>0</v>
      </c>
      <c r="CX1069" s="336"/>
      <c r="CY1069" s="230" t="s">
        <v>5921</v>
      </c>
    </row>
    <row r="1070" spans="1:103" ht="11.25" customHeight="1" x14ac:dyDescent="0.2">
      <c r="A1070" s="72">
        <v>1521</v>
      </c>
      <c r="B1070" s="224">
        <v>1349</v>
      </c>
      <c r="C1070" s="46" t="s">
        <v>7531</v>
      </c>
      <c r="D1070" s="46"/>
      <c r="E1070" s="114"/>
      <c r="F1070" s="114" t="s">
        <v>4176</v>
      </c>
      <c r="G1070" s="225">
        <v>146011656</v>
      </c>
      <c r="H1070" s="47" t="s">
        <v>4177</v>
      </c>
      <c r="I1070" s="47"/>
      <c r="J1070" s="47" t="s">
        <v>4178</v>
      </c>
      <c r="K1070" s="47" t="s">
        <v>471</v>
      </c>
      <c r="L1070" s="47"/>
      <c r="M1070" s="47"/>
      <c r="N1070" s="47"/>
      <c r="O1070" s="47"/>
      <c r="P1070" s="53"/>
      <c r="Q1070" s="53"/>
      <c r="R1070" s="53"/>
      <c r="S1070" s="53"/>
      <c r="T1070" s="48">
        <v>325.20999999999998</v>
      </c>
      <c r="U1070" s="98"/>
      <c r="V1070" s="98">
        <v>31.89</v>
      </c>
      <c r="W1070" s="98">
        <v>5.1542311512027856</v>
      </c>
      <c r="X1070" s="98">
        <v>5.1542311512027856</v>
      </c>
      <c r="Y1070" s="233">
        <v>7</v>
      </c>
      <c r="Z1070" s="48">
        <v>2.54</v>
      </c>
      <c r="AA1070" s="48"/>
      <c r="AB1070" s="48">
        <v>2.4300000000000002</v>
      </c>
      <c r="AC1070" s="48">
        <v>0.68310000000000004</v>
      </c>
      <c r="AD1070" s="48">
        <v>2.78</v>
      </c>
      <c r="AE1070" s="48">
        <v>3.48</v>
      </c>
      <c r="AF1070" s="48">
        <f t="shared" si="219"/>
        <v>2.78</v>
      </c>
      <c r="AG1070" s="49">
        <v>2.4900000000000002</v>
      </c>
      <c r="AH1070" s="98">
        <v>2.2799999999999999E-10</v>
      </c>
      <c r="AI1070" s="98"/>
      <c r="AJ1070" s="483">
        <f t="shared" si="224"/>
        <v>-8.0306314793121985</v>
      </c>
      <c r="AK1070" s="483"/>
      <c r="AL1070" s="483">
        <f t="shared" si="223"/>
        <v>-8.0306314793121985</v>
      </c>
      <c r="AM1070" s="483">
        <v>-12.6485</v>
      </c>
      <c r="AN1070" s="226">
        <v>-13.3</v>
      </c>
      <c r="AO1070" s="484">
        <v>15.52</v>
      </c>
      <c r="AP1070" s="484">
        <v>-0.85</v>
      </c>
      <c r="AQ1070" s="48" t="s">
        <v>6311</v>
      </c>
      <c r="AR1070" s="48" t="s">
        <v>6311</v>
      </c>
      <c r="AS1070" s="227"/>
      <c r="AT1070" s="50" t="s">
        <v>266</v>
      </c>
      <c r="AU1070" s="48">
        <v>6</v>
      </c>
      <c r="AV1070" s="48">
        <v>120</v>
      </c>
      <c r="AW1070" s="48">
        <v>114</v>
      </c>
      <c r="AX1070" s="48">
        <v>28</v>
      </c>
      <c r="AY1070" s="48" t="s">
        <v>8728</v>
      </c>
      <c r="AZ1070" s="48" t="s">
        <v>1563</v>
      </c>
      <c r="BA1070" s="48">
        <v>32</v>
      </c>
      <c r="BB1070" s="47" t="s">
        <v>2485</v>
      </c>
      <c r="BC1070" s="47" t="s">
        <v>8726</v>
      </c>
      <c r="BD1070" s="47" t="s">
        <v>8374</v>
      </c>
      <c r="BE1070" s="48" t="s">
        <v>2449</v>
      </c>
      <c r="BF1070" s="48" t="s">
        <v>272</v>
      </c>
      <c r="BG1070" s="48" t="s">
        <v>272</v>
      </c>
      <c r="BH1070" s="48" t="s">
        <v>2486</v>
      </c>
      <c r="BI1070" s="98">
        <v>2.0813439999999997E-3</v>
      </c>
      <c r="BJ1070" s="98">
        <v>20.81344</v>
      </c>
      <c r="BK1070" s="48"/>
      <c r="BL1070" s="487">
        <v>87.456056665501137</v>
      </c>
      <c r="BM1070" s="47" t="s">
        <v>2487</v>
      </c>
      <c r="BN1070" s="48"/>
      <c r="BO1070" s="48"/>
      <c r="BP1070" s="48"/>
      <c r="BQ1070" s="48"/>
      <c r="BR1070" s="47" t="e">
        <v>#VALUE!</v>
      </c>
      <c r="BS1070" s="48"/>
      <c r="BT1070" s="48"/>
      <c r="BU1070" s="228"/>
      <c r="BV1070" s="48"/>
      <c r="BW1070" s="48"/>
      <c r="BX1070" s="48"/>
      <c r="BY1070" s="48"/>
      <c r="BZ1070" s="48"/>
      <c r="CA1070" s="48"/>
      <c r="CB1070" s="48"/>
      <c r="CC1070" s="48"/>
      <c r="CD1070" s="48"/>
      <c r="CE1070" s="48"/>
      <c r="CF1070" s="48"/>
      <c r="CG1070" s="48"/>
      <c r="CH1070" s="48"/>
      <c r="CI1070" s="98"/>
      <c r="CJ1070" s="98"/>
      <c r="CK1070" s="49">
        <f t="shared" si="220"/>
        <v>4.2019030331123126</v>
      </c>
      <c r="CL1070" s="229"/>
      <c r="CM1070" s="229"/>
      <c r="CN1070" s="229"/>
      <c r="CO1070" s="47" t="s">
        <v>2488</v>
      </c>
      <c r="CP1070" s="500" t="s">
        <v>2489</v>
      </c>
      <c r="CQ1070" s="224" t="s">
        <v>272</v>
      </c>
      <c r="CR1070" s="224"/>
      <c r="CS1070" s="230" t="s">
        <v>539</v>
      </c>
      <c r="CT1070" s="230"/>
      <c r="CU1070" s="230"/>
      <c r="CV1070" s="335">
        <f t="shared" si="221"/>
        <v>0.2476395613220489</v>
      </c>
      <c r="CW1070" s="230">
        <f t="shared" si="222"/>
        <v>0</v>
      </c>
      <c r="CX1070" s="336"/>
      <c r="CY1070" s="230" t="s">
        <v>5921</v>
      </c>
    </row>
    <row r="1071" spans="1:103" ht="11.25" customHeight="1" x14ac:dyDescent="0.2">
      <c r="A1071" s="72">
        <v>1522</v>
      </c>
      <c r="B1071" s="224">
        <v>1033</v>
      </c>
      <c r="C1071" s="46" t="s">
        <v>972</v>
      </c>
      <c r="D1071" s="46" t="s">
        <v>6646</v>
      </c>
      <c r="E1071" s="114"/>
      <c r="F1071" s="114" t="s">
        <v>973</v>
      </c>
      <c r="G1071" s="225">
        <v>149877418</v>
      </c>
      <c r="H1071" s="47" t="s">
        <v>974</v>
      </c>
      <c r="I1071" s="47" t="s">
        <v>974</v>
      </c>
      <c r="J1071" s="47" t="s">
        <v>975</v>
      </c>
      <c r="K1071" s="47" t="s">
        <v>976</v>
      </c>
      <c r="L1071" s="47" t="s">
        <v>5951</v>
      </c>
      <c r="M1071" s="47" t="s">
        <v>5950</v>
      </c>
      <c r="N1071" s="47" t="s">
        <v>6376</v>
      </c>
      <c r="O1071" s="47" t="s">
        <v>5949</v>
      </c>
      <c r="P1071" s="53"/>
      <c r="Q1071" s="53"/>
      <c r="R1071" s="53"/>
      <c r="S1071" s="53"/>
      <c r="T1071" s="48">
        <v>300.35000000000002</v>
      </c>
      <c r="U1071" s="98">
        <v>3.76</v>
      </c>
      <c r="V1071" s="98">
        <v>3.5459999999999998</v>
      </c>
      <c r="W1071" s="98">
        <v>51.00674810168843</v>
      </c>
      <c r="X1071" s="98">
        <v>3.76</v>
      </c>
      <c r="Y1071" s="233">
        <v>6.79</v>
      </c>
      <c r="Z1071" s="48">
        <v>4.1399999999999997</v>
      </c>
      <c r="AA1071" s="48"/>
      <c r="AB1071" s="48">
        <v>3.72</v>
      </c>
      <c r="AC1071" s="48">
        <v>0.85740000000000005</v>
      </c>
      <c r="AD1071" s="48">
        <v>3.57</v>
      </c>
      <c r="AE1071" s="48">
        <v>3.12</v>
      </c>
      <c r="AF1071" s="48">
        <f t="shared" si="219"/>
        <v>3.57</v>
      </c>
      <c r="AG1071" s="49">
        <v>3.87</v>
      </c>
      <c r="AH1071" s="98">
        <v>7.3000000000000002E-13</v>
      </c>
      <c r="AI1071" s="98"/>
      <c r="AJ1071" s="483">
        <f t="shared" si="224"/>
        <v>-10.525243466192196</v>
      </c>
      <c r="AK1071" s="483"/>
      <c r="AL1071" s="483">
        <f t="shared" si="223"/>
        <v>-10.525243466192196</v>
      </c>
      <c r="AM1071" s="483">
        <v>-16.03735</v>
      </c>
      <c r="AN1071" s="226">
        <v>-6.27</v>
      </c>
      <c r="AO1071" s="484">
        <v>9.84</v>
      </c>
      <c r="AP1071" s="484">
        <v>3.26</v>
      </c>
      <c r="AQ1071" s="48" t="s">
        <v>6311</v>
      </c>
      <c r="AR1071" s="48" t="s">
        <v>6311</v>
      </c>
      <c r="AS1071" s="227"/>
      <c r="AT1071" s="50" t="s">
        <v>266</v>
      </c>
      <c r="AU1071" s="48">
        <v>6</v>
      </c>
      <c r="AV1071" s="48">
        <v>120</v>
      </c>
      <c r="AW1071" s="48">
        <v>114</v>
      </c>
      <c r="AX1071" s="48">
        <v>28</v>
      </c>
      <c r="AY1071" s="48" t="s">
        <v>8728</v>
      </c>
      <c r="AZ1071" s="48" t="s">
        <v>1563</v>
      </c>
      <c r="BA1071" s="48">
        <v>32</v>
      </c>
      <c r="BB1071" s="47" t="s">
        <v>2485</v>
      </c>
      <c r="BC1071" s="47" t="s">
        <v>8726</v>
      </c>
      <c r="BD1071" s="47" t="s">
        <v>8374</v>
      </c>
      <c r="BE1071" s="48" t="s">
        <v>2449</v>
      </c>
      <c r="BF1071" s="48" t="s">
        <v>272</v>
      </c>
      <c r="BG1071" s="48" t="s">
        <v>272</v>
      </c>
      <c r="BH1071" s="48" t="s">
        <v>2486</v>
      </c>
      <c r="BI1071" s="98">
        <v>1.92224E-3</v>
      </c>
      <c r="BJ1071" s="98">
        <v>19.2224</v>
      </c>
      <c r="BK1071" s="48"/>
      <c r="BL1071" s="487">
        <v>2.9532052804243341</v>
      </c>
      <c r="BM1071" s="47" t="s">
        <v>2487</v>
      </c>
      <c r="BN1071" s="48"/>
      <c r="BO1071" s="48"/>
      <c r="BP1071" s="48"/>
      <c r="BQ1071" s="48"/>
      <c r="BR1071" s="47" t="e">
        <v>#VALUE!</v>
      </c>
      <c r="BS1071" s="48"/>
      <c r="BT1071" s="48"/>
      <c r="BU1071" s="228">
        <v>1.92224E-3</v>
      </c>
      <c r="BV1071" s="48"/>
      <c r="BW1071" s="48"/>
      <c r="BX1071" s="48"/>
      <c r="BY1071" s="48"/>
      <c r="BZ1071" s="48"/>
      <c r="CA1071" s="48"/>
      <c r="CB1071" s="48"/>
      <c r="CC1071" s="48"/>
      <c r="CD1071" s="48"/>
      <c r="CE1071" s="48"/>
      <c r="CF1071" s="48"/>
      <c r="CG1071" s="48"/>
      <c r="CH1071" s="48"/>
      <c r="CI1071" s="98"/>
      <c r="CJ1071" s="98"/>
      <c r="CK1071" s="49">
        <f t="shared" si="220"/>
        <v>0.15363353589688769</v>
      </c>
      <c r="CL1071" s="229"/>
      <c r="CM1071" s="229">
        <v>-0.23657200643706283</v>
      </c>
      <c r="CN1071" s="229">
        <f>BJ1071/(10^CM1071)</f>
        <v>33.142068965517254</v>
      </c>
      <c r="CO1071" s="47" t="s">
        <v>2488</v>
      </c>
      <c r="CP1071" s="500" t="s">
        <v>2489</v>
      </c>
      <c r="CQ1071" s="224">
        <v>-0.1778792070781357</v>
      </c>
      <c r="CR1071" s="224">
        <f>10^(CJ1071-CQ1071)</f>
        <v>1.5061880828219449</v>
      </c>
      <c r="CS1071" s="230" t="s">
        <v>539</v>
      </c>
      <c r="CT1071" s="230"/>
      <c r="CU1071" s="230"/>
      <c r="CV1071" s="335">
        <f t="shared" si="221"/>
        <v>0.19560512735142332</v>
      </c>
      <c r="CW1071" s="230">
        <f t="shared" si="222"/>
        <v>0</v>
      </c>
      <c r="CX1071" s="336"/>
      <c r="CY1071" s="230" t="s">
        <v>5921</v>
      </c>
    </row>
    <row r="1072" spans="1:103" ht="11.25" customHeight="1" x14ac:dyDescent="0.2">
      <c r="A1072" s="72">
        <v>1524</v>
      </c>
      <c r="B1072" s="224">
        <v>1291</v>
      </c>
      <c r="C1072" s="46" t="s">
        <v>7532</v>
      </c>
      <c r="D1072" s="46" t="s">
        <v>8680</v>
      </c>
      <c r="E1072" s="114"/>
      <c r="F1072" s="114" t="s">
        <v>3546</v>
      </c>
      <c r="G1072" s="225">
        <v>149979419</v>
      </c>
      <c r="H1072" s="47" t="s">
        <v>3547</v>
      </c>
      <c r="I1072" s="47" t="s">
        <v>8177</v>
      </c>
      <c r="J1072" s="47" t="s">
        <v>3548</v>
      </c>
      <c r="K1072" s="47" t="s">
        <v>3549</v>
      </c>
      <c r="L1072" s="47" t="s">
        <v>6053</v>
      </c>
      <c r="M1072" s="47" t="s">
        <v>6054</v>
      </c>
      <c r="N1072" s="47" t="s">
        <v>6383</v>
      </c>
      <c r="O1072" s="47" t="s">
        <v>6055</v>
      </c>
      <c r="P1072" s="53"/>
      <c r="Q1072" s="53"/>
      <c r="R1072" s="53"/>
      <c r="S1072" s="53"/>
      <c r="T1072" s="48">
        <v>341.83</v>
      </c>
      <c r="U1072" s="98"/>
      <c r="V1072" s="98">
        <v>11.659999999999998</v>
      </c>
      <c r="W1072" s="98">
        <v>136.08497411030191</v>
      </c>
      <c r="X1072" s="98">
        <v>136.08497411030191</v>
      </c>
      <c r="Y1072" s="233">
        <v>3.68</v>
      </c>
      <c r="Z1072" s="48">
        <v>3.25</v>
      </c>
      <c r="AA1072" s="48"/>
      <c r="AB1072" s="48">
        <v>3.34</v>
      </c>
      <c r="AC1072" s="48">
        <v>0.56799999999999995</v>
      </c>
      <c r="AD1072" s="48">
        <v>3.14</v>
      </c>
      <c r="AE1072" s="48">
        <v>2.88</v>
      </c>
      <c r="AF1072" s="48">
        <f t="shared" si="219"/>
        <v>3.14</v>
      </c>
      <c r="AG1072" s="49">
        <v>2.72</v>
      </c>
      <c r="AH1072" s="98">
        <v>7.0500000000000003E-13</v>
      </c>
      <c r="AI1072" s="98"/>
      <c r="AJ1072" s="483">
        <f t="shared" si="224"/>
        <v>-10.540377209321253</v>
      </c>
      <c r="AK1072" s="483"/>
      <c r="AL1072" s="483">
        <f t="shared" si="223"/>
        <v>-10.540377209321253</v>
      </c>
      <c r="AM1072" s="483">
        <v>-14.519870000000001</v>
      </c>
      <c r="AN1072" s="226">
        <v>-11.4</v>
      </c>
      <c r="AO1072" s="484">
        <v>3.63</v>
      </c>
      <c r="AP1072" s="484"/>
      <c r="AQ1072" s="48" t="s">
        <v>6311</v>
      </c>
      <c r="AR1072" s="48" t="s">
        <v>6311</v>
      </c>
      <c r="AS1072" s="227"/>
      <c r="AT1072" s="50" t="s">
        <v>266</v>
      </c>
      <c r="AU1072" s="48">
        <v>6</v>
      </c>
      <c r="AV1072" s="48">
        <v>120</v>
      </c>
      <c r="AW1072" s="48">
        <v>114</v>
      </c>
      <c r="AX1072" s="48">
        <v>28</v>
      </c>
      <c r="AY1072" s="48" t="s">
        <v>8728</v>
      </c>
      <c r="AZ1072" s="48" t="s">
        <v>1563</v>
      </c>
      <c r="BA1072" s="48">
        <v>32</v>
      </c>
      <c r="BB1072" s="47" t="s">
        <v>2485</v>
      </c>
      <c r="BC1072" s="47" t="s">
        <v>8726</v>
      </c>
      <c r="BD1072" s="47" t="s">
        <v>8374</v>
      </c>
      <c r="BE1072" s="48" t="s">
        <v>2449</v>
      </c>
      <c r="BF1072" s="48" t="s">
        <v>272</v>
      </c>
      <c r="BG1072" s="48" t="s">
        <v>272</v>
      </c>
      <c r="BH1072" s="48" t="s">
        <v>2486</v>
      </c>
      <c r="BI1072" s="98">
        <v>2.1877119999999996E-3</v>
      </c>
      <c r="BJ1072" s="98">
        <v>21.877119999999998</v>
      </c>
      <c r="BK1072" s="48"/>
      <c r="BL1072" s="487">
        <v>21.173135410619171</v>
      </c>
      <c r="BM1072" s="47" t="s">
        <v>2487</v>
      </c>
      <c r="BN1072" s="48"/>
      <c r="BO1072" s="48"/>
      <c r="BP1072" s="48"/>
      <c r="BQ1072" s="48"/>
      <c r="BR1072" s="47" t="e">
        <v>#VALUE!</v>
      </c>
      <c r="BS1072" s="48"/>
      <c r="BT1072" s="48"/>
      <c r="BU1072" s="228">
        <v>0.2187712</v>
      </c>
      <c r="BV1072" s="48"/>
      <c r="BW1072" s="48"/>
      <c r="BX1072" s="48"/>
      <c r="BY1072" s="48"/>
      <c r="BZ1072" s="48"/>
      <c r="CA1072" s="48"/>
      <c r="CB1072" s="48"/>
      <c r="CC1072" s="48"/>
      <c r="CD1072" s="48"/>
      <c r="CE1072" s="48"/>
      <c r="CF1072" s="48"/>
      <c r="CG1072" s="48"/>
      <c r="CH1072" s="48"/>
      <c r="CI1072" s="98"/>
      <c r="CJ1072" s="98"/>
      <c r="CK1072" s="49">
        <f t="shared" si="220"/>
        <v>0.96782096595069067</v>
      </c>
      <c r="CL1072" s="229"/>
      <c r="CM1072" s="229"/>
      <c r="CN1072" s="229"/>
      <c r="CO1072" s="47" t="s">
        <v>2488</v>
      </c>
      <c r="CP1072" s="500" t="s">
        <v>2489</v>
      </c>
      <c r="CQ1072" s="224">
        <v>1.2699487343267482</v>
      </c>
      <c r="CR1072" s="224">
        <f>10^(CJ1072-CQ1072)</f>
        <v>5.3709519326511572E-2</v>
      </c>
      <c r="CS1072" s="230" t="s">
        <v>539</v>
      </c>
      <c r="CT1072" s="230"/>
      <c r="CU1072" s="230"/>
      <c r="CV1072" s="335">
        <f t="shared" si="221"/>
        <v>6.2204245398983931</v>
      </c>
      <c r="CW1072" s="230">
        <f t="shared" si="222"/>
        <v>1</v>
      </c>
      <c r="CX1072" s="336"/>
      <c r="CY1072" s="230" t="s">
        <v>5921</v>
      </c>
    </row>
    <row r="1073" spans="1:103" ht="11.25" customHeight="1" x14ac:dyDescent="0.2">
      <c r="A1073" s="72">
        <v>1526</v>
      </c>
      <c r="B1073" s="224">
        <v>1895</v>
      </c>
      <c r="C1073" s="46" t="s">
        <v>7533</v>
      </c>
      <c r="D1073" s="46"/>
      <c r="E1073" s="114"/>
      <c r="F1073" s="114" t="s">
        <v>4038</v>
      </c>
      <c r="G1073" s="225">
        <v>153719234</v>
      </c>
      <c r="H1073" s="47" t="s">
        <v>4039</v>
      </c>
      <c r="I1073" s="47" t="s">
        <v>8178</v>
      </c>
      <c r="J1073" s="47" t="s">
        <v>4040</v>
      </c>
      <c r="K1073" s="47" t="s">
        <v>3773</v>
      </c>
      <c r="L1073" s="47" t="s">
        <v>617</v>
      </c>
      <c r="M1073" s="47" t="s">
        <v>2433</v>
      </c>
      <c r="N1073" s="47"/>
      <c r="O1073" s="47" t="s">
        <v>918</v>
      </c>
      <c r="P1073" s="53"/>
      <c r="Q1073" s="53"/>
      <c r="R1073" s="53"/>
      <c r="S1073" s="53"/>
      <c r="T1073" s="48">
        <v>291.72000000000003</v>
      </c>
      <c r="U1073" s="98"/>
      <c r="V1073" s="98">
        <v>2862</v>
      </c>
      <c r="W1073" s="98">
        <v>2599.9572367237629</v>
      </c>
      <c r="X1073" s="98">
        <v>2599.9572367237629</v>
      </c>
      <c r="Y1073" s="233">
        <v>7.02</v>
      </c>
      <c r="Z1073" s="48">
        <v>0.8</v>
      </c>
      <c r="AA1073" s="48"/>
      <c r="AB1073" s="48">
        <v>0.13</v>
      </c>
      <c r="AC1073" s="48">
        <v>0.64749999999999996</v>
      </c>
      <c r="AD1073" s="48">
        <v>-0.33</v>
      </c>
      <c r="AE1073" s="48">
        <v>-1.1599999999999999</v>
      </c>
      <c r="AF1073" s="48">
        <f t="shared" si="219"/>
        <v>-0.33</v>
      </c>
      <c r="AG1073" s="49">
        <v>2.73</v>
      </c>
      <c r="AH1073" s="98">
        <v>6.87E-15</v>
      </c>
      <c r="AI1073" s="98"/>
      <c r="AJ1073" s="483">
        <f t="shared" si="224"/>
        <v>-12.551609589253101</v>
      </c>
      <c r="AK1073" s="483"/>
      <c r="AL1073" s="483">
        <f t="shared" si="223"/>
        <v>-12.551609589253101</v>
      </c>
      <c r="AM1073" s="483">
        <v>-16.178440000000002</v>
      </c>
      <c r="AN1073" s="226">
        <v>-17.2</v>
      </c>
      <c r="AO1073" s="484"/>
      <c r="AP1073" s="484">
        <v>0.99</v>
      </c>
      <c r="AQ1073" s="226" t="s">
        <v>6311</v>
      </c>
      <c r="AR1073" s="226" t="s">
        <v>6311</v>
      </c>
      <c r="AS1073" s="224"/>
      <c r="AT1073" s="50" t="s">
        <v>266</v>
      </c>
      <c r="AU1073" s="48">
        <v>6</v>
      </c>
      <c r="AV1073" s="48">
        <v>120</v>
      </c>
      <c r="AW1073" s="48">
        <v>114</v>
      </c>
      <c r="AX1073" s="48">
        <v>28</v>
      </c>
      <c r="AY1073" s="48" t="s">
        <v>8728</v>
      </c>
      <c r="AZ1073" s="48" t="s">
        <v>1563</v>
      </c>
      <c r="BA1073" s="48">
        <v>32</v>
      </c>
      <c r="BB1073" s="47" t="s">
        <v>2485</v>
      </c>
      <c r="BC1073" s="47" t="s">
        <v>8726</v>
      </c>
      <c r="BD1073" s="47" t="s">
        <v>8374</v>
      </c>
      <c r="BE1073" s="48" t="s">
        <v>2449</v>
      </c>
      <c r="BF1073" s="48" t="s">
        <v>272</v>
      </c>
      <c r="BG1073" s="48" t="s">
        <v>272</v>
      </c>
      <c r="BH1073" s="48" t="s">
        <v>2486</v>
      </c>
      <c r="BI1073" s="98">
        <v>1.8670080000000001E-3</v>
      </c>
      <c r="BJ1073" s="98">
        <v>18.670080000000002</v>
      </c>
      <c r="BK1073" s="48"/>
      <c r="BL1073" s="487">
        <v>2866.0661171120928</v>
      </c>
      <c r="BM1073" s="47" t="s">
        <v>2487</v>
      </c>
      <c r="BN1073" s="48"/>
      <c r="BO1073" s="48"/>
      <c r="BP1073" s="48"/>
      <c r="BQ1073" s="48"/>
      <c r="BR1073" s="47" t="e">
        <v>#VALUE!</v>
      </c>
      <c r="BS1073" s="48"/>
      <c r="BT1073" s="48"/>
      <c r="BU1073" s="228"/>
      <c r="BV1073" s="48"/>
      <c r="BW1073" s="48"/>
      <c r="BX1073" s="48"/>
      <c r="BY1073" s="48"/>
      <c r="BZ1073" s="48"/>
      <c r="CA1073" s="48"/>
      <c r="CB1073" s="48"/>
      <c r="CC1073" s="48"/>
      <c r="CD1073" s="48"/>
      <c r="CE1073" s="48"/>
      <c r="CF1073" s="48"/>
      <c r="CG1073" s="48"/>
      <c r="CH1073" s="48"/>
      <c r="CI1073" s="98"/>
      <c r="CJ1073" s="98"/>
      <c r="CK1073" s="49">
        <f t="shared" si="220"/>
        <v>153.51118565705625</v>
      </c>
      <c r="CL1073" s="229"/>
      <c r="CM1073" s="229"/>
      <c r="CN1073" s="229"/>
      <c r="CO1073" s="47" t="s">
        <v>2488</v>
      </c>
      <c r="CP1073" s="500" t="s">
        <v>2489</v>
      </c>
      <c r="CQ1073" s="224" t="s">
        <v>272</v>
      </c>
      <c r="CR1073" s="224"/>
      <c r="CS1073" s="230" t="s">
        <v>539</v>
      </c>
      <c r="CT1073" s="230"/>
      <c r="CU1073" s="230"/>
      <c r="CV1073" s="335">
        <f t="shared" si="221"/>
        <v>139.25795908339774</v>
      </c>
      <c r="CW1073" s="230">
        <f t="shared" si="222"/>
        <v>1</v>
      </c>
      <c r="CX1073" s="336"/>
      <c r="CY1073" s="230" t="s">
        <v>5921</v>
      </c>
    </row>
    <row r="1074" spans="1:103" ht="11.25" customHeight="1" x14ac:dyDescent="0.2">
      <c r="A1074" s="72">
        <v>1527</v>
      </c>
      <c r="B1074" s="224">
        <v>1936</v>
      </c>
      <c r="C1074" s="46" t="s">
        <v>1547</v>
      </c>
      <c r="D1074" s="46" t="s">
        <v>6678</v>
      </c>
      <c r="E1074" s="114"/>
      <c r="F1074" s="114" t="s">
        <v>1548</v>
      </c>
      <c r="G1074" s="225">
        <v>156052685</v>
      </c>
      <c r="H1074" s="47" t="s">
        <v>1549</v>
      </c>
      <c r="I1074" s="47" t="s">
        <v>8179</v>
      </c>
      <c r="J1074" s="47" t="s">
        <v>1550</v>
      </c>
      <c r="K1074" s="47" t="s">
        <v>1551</v>
      </c>
      <c r="L1074" s="47" t="s">
        <v>6021</v>
      </c>
      <c r="M1074" s="47" t="s">
        <v>6082</v>
      </c>
      <c r="N1074" s="47" t="s">
        <v>6082</v>
      </c>
      <c r="O1074" s="47" t="s">
        <v>6083</v>
      </c>
      <c r="P1074" s="53"/>
      <c r="Q1074" s="53"/>
      <c r="R1074" s="53"/>
      <c r="S1074" s="53"/>
      <c r="T1074" s="48">
        <v>336.64</v>
      </c>
      <c r="U1074" s="98"/>
      <c r="V1074" s="98">
        <v>4.585</v>
      </c>
      <c r="W1074" s="98">
        <v>9.4878042998086478</v>
      </c>
      <c r="X1074" s="98">
        <v>9.4878042998086478</v>
      </c>
      <c r="Y1074" s="233">
        <v>7</v>
      </c>
      <c r="Z1074" s="48">
        <v>4.3499999999999996</v>
      </c>
      <c r="AA1074" s="48">
        <v>3.76</v>
      </c>
      <c r="AB1074" s="48">
        <v>3.82</v>
      </c>
      <c r="AC1074" s="48">
        <v>0.6704</v>
      </c>
      <c r="AD1074" s="48">
        <v>4.21</v>
      </c>
      <c r="AE1074" s="48">
        <v>4.84</v>
      </c>
      <c r="AF1074" s="48">
        <f t="shared" si="219"/>
        <v>3.76</v>
      </c>
      <c r="AG1074" s="49">
        <v>4.3099999999999996</v>
      </c>
      <c r="AH1074" s="98">
        <v>3.2600000000000002E-11</v>
      </c>
      <c r="AI1074" s="98"/>
      <c r="AJ1074" s="483">
        <f t="shared" si="224"/>
        <v>-8.875348726244713</v>
      </c>
      <c r="AK1074" s="483"/>
      <c r="AL1074" s="483">
        <f t="shared" si="223"/>
        <v>-8.875348726244713</v>
      </c>
      <c r="AM1074" s="483">
        <v>-13.971229999999998</v>
      </c>
      <c r="AN1074" s="226">
        <v>-8.7200000000000006</v>
      </c>
      <c r="AO1074" s="484">
        <v>11.2</v>
      </c>
      <c r="AP1074" s="484">
        <v>-2.7</v>
      </c>
      <c r="AQ1074" s="226" t="s">
        <v>6311</v>
      </c>
      <c r="AR1074" s="226" t="s">
        <v>6311</v>
      </c>
      <c r="AS1074" s="224"/>
      <c r="AT1074" s="50" t="s">
        <v>266</v>
      </c>
      <c r="AU1074" s="48">
        <v>6</v>
      </c>
      <c r="AV1074" s="48">
        <v>120</v>
      </c>
      <c r="AW1074" s="48">
        <v>114</v>
      </c>
      <c r="AX1074" s="48">
        <v>28</v>
      </c>
      <c r="AY1074" s="48" t="s">
        <v>8728</v>
      </c>
      <c r="AZ1074" s="48" t="s">
        <v>1563</v>
      </c>
      <c r="BA1074" s="48">
        <v>32</v>
      </c>
      <c r="BB1074" s="47" t="s">
        <v>2485</v>
      </c>
      <c r="BC1074" s="47" t="s">
        <v>8726</v>
      </c>
      <c r="BD1074" s="47" t="s">
        <v>8374</v>
      </c>
      <c r="BE1074" s="48" t="s">
        <v>2449</v>
      </c>
      <c r="BF1074" s="48" t="s">
        <v>272</v>
      </c>
      <c r="BG1074" s="48" t="s">
        <v>272</v>
      </c>
      <c r="BH1074" s="48" t="s">
        <v>2486</v>
      </c>
      <c r="BI1074" s="98">
        <v>2.1544959999999997E-3</v>
      </c>
      <c r="BJ1074" s="98">
        <v>21.54496</v>
      </c>
      <c r="BK1074" s="48"/>
      <c r="BL1074" s="487">
        <v>2.1440293102172832</v>
      </c>
      <c r="BM1074" s="47" t="s">
        <v>2487</v>
      </c>
      <c r="BN1074" s="48"/>
      <c r="BO1074" s="48"/>
      <c r="BP1074" s="48"/>
      <c r="BQ1074" s="48"/>
      <c r="BR1074" s="47" t="e">
        <v>#VALUE!</v>
      </c>
      <c r="BS1074" s="48"/>
      <c r="BT1074" s="48"/>
      <c r="BU1074" s="228"/>
      <c r="BV1074" s="48"/>
      <c r="BW1074" s="48"/>
      <c r="BX1074" s="48"/>
      <c r="BY1074" s="48"/>
      <c r="BZ1074" s="48"/>
      <c r="CA1074" s="48"/>
      <c r="CB1074" s="48"/>
      <c r="CC1074" s="48"/>
      <c r="CD1074" s="48"/>
      <c r="CE1074" s="48"/>
      <c r="CF1074" s="48"/>
      <c r="CG1074" s="48"/>
      <c r="CH1074" s="48"/>
      <c r="CI1074" s="98"/>
      <c r="CJ1074" s="98"/>
      <c r="CK1074" s="49">
        <f t="shared" si="220"/>
        <v>9.9514193120678024E-2</v>
      </c>
      <c r="CL1074" s="229"/>
      <c r="CM1074" s="229">
        <v>-0.80687540164553884</v>
      </c>
      <c r="CN1074" s="229">
        <f>BJ1074/(10^CM1074)</f>
        <v>138.10871794871812</v>
      </c>
      <c r="CO1074" s="47" t="s">
        <v>2488</v>
      </c>
      <c r="CP1074" s="500" t="s">
        <v>2489</v>
      </c>
      <c r="CQ1074" s="224">
        <v>-0.80687540164553839</v>
      </c>
      <c r="CR1074" s="224">
        <f>10^(CJ1074-CQ1074)</f>
        <v>6.4102564102564115</v>
      </c>
      <c r="CS1074" s="230" t="s">
        <v>539</v>
      </c>
      <c r="CT1074" s="230"/>
      <c r="CU1074" s="230"/>
      <c r="CV1074" s="335">
        <f t="shared" si="221"/>
        <v>0.44037233301007045</v>
      </c>
      <c r="CW1074" s="230">
        <f t="shared" si="222"/>
        <v>0</v>
      </c>
      <c r="CX1074" s="336"/>
      <c r="CY1074" s="230" t="s">
        <v>5921</v>
      </c>
    </row>
    <row r="1075" spans="1:103" ht="11.25" customHeight="1" x14ac:dyDescent="0.2">
      <c r="A1075" s="72">
        <v>1528</v>
      </c>
      <c r="B1075" s="224">
        <v>891</v>
      </c>
      <c r="C1075" s="46" t="s">
        <v>7534</v>
      </c>
      <c r="D1075" s="46"/>
      <c r="E1075" s="114"/>
      <c r="F1075" s="114" t="s">
        <v>2537</v>
      </c>
      <c r="G1075" s="225">
        <v>158081993</v>
      </c>
      <c r="H1075" s="47" t="s">
        <v>2538</v>
      </c>
      <c r="I1075" s="47" t="s">
        <v>7780</v>
      </c>
      <c r="J1075" s="47" t="s">
        <v>2539</v>
      </c>
      <c r="K1075" s="47" t="s">
        <v>471</v>
      </c>
      <c r="L1075" s="47"/>
      <c r="M1075" s="47"/>
      <c r="N1075" s="47"/>
      <c r="O1075" s="47"/>
      <c r="P1075" s="53"/>
      <c r="Q1075" s="53"/>
      <c r="R1075" s="53"/>
      <c r="S1075" s="53"/>
      <c r="T1075" s="48">
        <v>184.19</v>
      </c>
      <c r="U1075" s="98"/>
      <c r="V1075" s="98">
        <v>6441</v>
      </c>
      <c r="W1075" s="98">
        <v>6843.3073847408205</v>
      </c>
      <c r="X1075" s="98">
        <v>6843.3073847408205</v>
      </c>
      <c r="Y1075" s="233">
        <v>3.49</v>
      </c>
      <c r="Z1075" s="48">
        <v>-0.47</v>
      </c>
      <c r="AA1075" s="48"/>
      <c r="AB1075" s="48">
        <v>-0.19</v>
      </c>
      <c r="AC1075" s="48">
        <v>0.4884</v>
      </c>
      <c r="AD1075" s="48">
        <v>0.09</v>
      </c>
      <c r="AE1075" s="48">
        <v>0.37</v>
      </c>
      <c r="AF1075" s="48">
        <f t="shared" si="219"/>
        <v>0.09</v>
      </c>
      <c r="AG1075" s="49">
        <v>0.22</v>
      </c>
      <c r="AH1075" s="98">
        <v>1.43E-13</v>
      </c>
      <c r="AI1075" s="98"/>
      <c r="AJ1075" s="483">
        <f t="shared" si="224"/>
        <v>-11.23323028884759</v>
      </c>
      <c r="AK1075" s="483"/>
      <c r="AL1075" s="483">
        <f t="shared" si="223"/>
        <v>-11.23323028884759</v>
      </c>
      <c r="AM1075" s="483">
        <v>-14.821860000000001</v>
      </c>
      <c r="AN1075" s="226">
        <v>-11.8</v>
      </c>
      <c r="AO1075" s="484">
        <v>7.7</v>
      </c>
      <c r="AP1075" s="484">
        <v>-1.87</v>
      </c>
      <c r="AQ1075" s="48" t="s">
        <v>6311</v>
      </c>
      <c r="AR1075" s="48" t="s">
        <v>6311</v>
      </c>
      <c r="AS1075" s="227"/>
      <c r="AT1075" s="50" t="s">
        <v>266</v>
      </c>
      <c r="AU1075" s="48">
        <v>6</v>
      </c>
      <c r="AV1075" s="48">
        <v>120</v>
      </c>
      <c r="AW1075" s="48">
        <v>114</v>
      </c>
      <c r="AX1075" s="48">
        <v>28</v>
      </c>
      <c r="AY1075" s="48" t="s">
        <v>8728</v>
      </c>
      <c r="AZ1075" s="48" t="s">
        <v>1563</v>
      </c>
      <c r="BA1075" s="48">
        <v>32</v>
      </c>
      <c r="BB1075" s="47" t="s">
        <v>2485</v>
      </c>
      <c r="BC1075" s="47" t="s">
        <v>8726</v>
      </c>
      <c r="BD1075" s="47" t="s">
        <v>8374</v>
      </c>
      <c r="BE1075" s="48" t="s">
        <v>2449</v>
      </c>
      <c r="BF1075" s="48" t="s">
        <v>272</v>
      </c>
      <c r="BG1075" s="48" t="s">
        <v>272</v>
      </c>
      <c r="BH1075" s="48" t="s">
        <v>2486</v>
      </c>
      <c r="BI1075" s="98">
        <v>1.1788159999999998E-3</v>
      </c>
      <c r="BJ1075" s="98">
        <v>11.78816</v>
      </c>
      <c r="BK1075" s="48"/>
      <c r="BL1075" s="487">
        <v>25013.418415372515</v>
      </c>
      <c r="BM1075" s="47" t="s">
        <v>2487</v>
      </c>
      <c r="BN1075" s="48"/>
      <c r="BO1075" s="48"/>
      <c r="BP1075" s="48"/>
      <c r="BQ1075" s="48"/>
      <c r="BR1075" s="47" t="e">
        <v>#VALUE!</v>
      </c>
      <c r="BS1075" s="48"/>
      <c r="BT1075" s="48"/>
      <c r="BU1075" s="228">
        <v>11.78816</v>
      </c>
      <c r="BV1075" s="48"/>
      <c r="BW1075" s="48"/>
      <c r="BX1075" s="48"/>
      <c r="BY1075" s="48"/>
      <c r="BZ1075" s="48"/>
      <c r="CA1075" s="48"/>
      <c r="CB1075" s="48"/>
      <c r="CC1075" s="48"/>
      <c r="CD1075" s="48"/>
      <c r="CE1075" s="48"/>
      <c r="CF1075" s="48"/>
      <c r="CG1075" s="48"/>
      <c r="CH1075" s="48"/>
      <c r="CI1075" s="98"/>
      <c r="CJ1075" s="98"/>
      <c r="CK1075" s="49">
        <f t="shared" si="220"/>
        <v>2121.910324882977</v>
      </c>
      <c r="CL1075" s="229"/>
      <c r="CM1075" s="229"/>
      <c r="CN1075" s="229"/>
      <c r="CO1075" s="47" t="s">
        <v>2488</v>
      </c>
      <c r="CP1075" s="500" t="s">
        <v>2489</v>
      </c>
      <c r="CQ1075" s="224" t="s">
        <v>272</v>
      </c>
      <c r="CR1075" s="224"/>
      <c r="CS1075" s="230" t="s">
        <v>539</v>
      </c>
      <c r="CT1075" s="230"/>
      <c r="CU1075" s="230"/>
      <c r="CV1075" s="335">
        <f t="shared" si="221"/>
        <v>580.52379546433212</v>
      </c>
      <c r="CW1075" s="230">
        <f t="shared" si="222"/>
        <v>1</v>
      </c>
      <c r="CX1075" s="336"/>
      <c r="CY1075" s="230" t="s">
        <v>5921</v>
      </c>
    </row>
    <row r="1076" spans="1:103" ht="11.25" customHeight="1" x14ac:dyDescent="0.2">
      <c r="A1076" s="72">
        <v>1529</v>
      </c>
      <c r="B1076" s="224">
        <v>1546</v>
      </c>
      <c r="C1076" s="46" t="s">
        <v>7535</v>
      </c>
      <c r="D1076" s="46"/>
      <c r="E1076" s="114"/>
      <c r="F1076" s="114" t="s">
        <v>4669</v>
      </c>
      <c r="G1076" s="225">
        <v>159138815</v>
      </c>
      <c r="H1076" s="47" t="s">
        <v>4670</v>
      </c>
      <c r="I1076" s="47" t="s">
        <v>7845</v>
      </c>
      <c r="J1076" s="47" t="s">
        <v>4671</v>
      </c>
      <c r="K1076" s="47" t="s">
        <v>2281</v>
      </c>
      <c r="L1076" s="47"/>
      <c r="M1076" s="47"/>
      <c r="N1076" s="47"/>
      <c r="O1076" s="47"/>
      <c r="P1076" s="53"/>
      <c r="Q1076" s="53"/>
      <c r="R1076" s="53"/>
      <c r="S1076" s="53"/>
      <c r="T1076" s="48">
        <v>452.46</v>
      </c>
      <c r="U1076" s="98"/>
      <c r="V1076" s="98">
        <v>20.03</v>
      </c>
      <c r="W1076" s="98">
        <v>27898.457454224623</v>
      </c>
      <c r="X1076" s="98">
        <v>27898.457454224623</v>
      </c>
      <c r="Y1076" s="233">
        <v>0.94</v>
      </c>
      <c r="Z1076" s="48">
        <v>-0.17</v>
      </c>
      <c r="AA1076" s="48"/>
      <c r="AB1076" s="48">
        <v>-0.77</v>
      </c>
      <c r="AC1076" s="48">
        <v>0.49590000000000001</v>
      </c>
      <c r="AD1076" s="48">
        <v>0.36</v>
      </c>
      <c r="AE1076" s="48">
        <v>1.64</v>
      </c>
      <c r="AF1076" s="48">
        <f t="shared" si="219"/>
        <v>0.36</v>
      </c>
      <c r="AG1076" s="49">
        <v>0.36</v>
      </c>
      <c r="AH1076" s="98">
        <v>8.4299999999999993E-24</v>
      </c>
      <c r="AI1076" s="98"/>
      <c r="AJ1076" s="483">
        <f t="shared" si="224"/>
        <v>-21.462738751687908</v>
      </c>
      <c r="AK1076" s="483"/>
      <c r="AL1076" s="483">
        <f t="shared" si="223"/>
        <v>-21.462738751687908</v>
      </c>
      <c r="AM1076" s="483">
        <v>-31.242419999999999</v>
      </c>
      <c r="AN1076" s="226"/>
      <c r="AO1076" s="484">
        <v>-1.1599999999999999</v>
      </c>
      <c r="AP1076" s="484"/>
      <c r="AQ1076" s="48" t="s">
        <v>6311</v>
      </c>
      <c r="AR1076" s="48" t="s">
        <v>6311</v>
      </c>
      <c r="AS1076" s="227"/>
      <c r="AT1076" s="50" t="s">
        <v>266</v>
      </c>
      <c r="AU1076" s="48">
        <v>6</v>
      </c>
      <c r="AV1076" s="48">
        <v>120</v>
      </c>
      <c r="AW1076" s="48">
        <v>114</v>
      </c>
      <c r="AX1076" s="48">
        <v>28</v>
      </c>
      <c r="AY1076" s="48" t="s">
        <v>8728</v>
      </c>
      <c r="AZ1076" s="48" t="s">
        <v>1563</v>
      </c>
      <c r="BA1076" s="48">
        <v>32</v>
      </c>
      <c r="BB1076" s="47" t="s">
        <v>2485</v>
      </c>
      <c r="BC1076" s="47" t="s">
        <v>8726</v>
      </c>
      <c r="BD1076" s="47" t="s">
        <v>8374</v>
      </c>
      <c r="BE1076" s="48" t="s">
        <v>2449</v>
      </c>
      <c r="BF1076" s="48" t="s">
        <v>272</v>
      </c>
      <c r="BG1076" s="48" t="s">
        <v>272</v>
      </c>
      <c r="BH1076" s="48" t="s">
        <v>2486</v>
      </c>
      <c r="BI1076" s="98">
        <v>2.8957439999999996E-3</v>
      </c>
      <c r="BJ1076" s="98">
        <v>28.957439999999998</v>
      </c>
      <c r="BK1076" s="48"/>
      <c r="BL1076" s="487">
        <v>33041.304945358883</v>
      </c>
      <c r="BM1076" s="47" t="s">
        <v>2487</v>
      </c>
      <c r="BN1076" s="48"/>
      <c r="BO1076" s="48"/>
      <c r="BP1076" s="48"/>
      <c r="BQ1076" s="48"/>
      <c r="BR1076" s="47" t="e">
        <v>#VALUE!</v>
      </c>
      <c r="BS1076" s="48"/>
      <c r="BT1076" s="48"/>
      <c r="BU1076" s="228"/>
      <c r="BV1076" s="48"/>
      <c r="BW1076" s="48"/>
      <c r="BX1076" s="48"/>
      <c r="BY1076" s="48"/>
      <c r="BZ1076" s="48"/>
      <c r="CA1076" s="48"/>
      <c r="CB1076" s="48"/>
      <c r="CC1076" s="48"/>
      <c r="CD1076" s="48"/>
      <c r="CE1076" s="48"/>
      <c r="CF1076" s="48"/>
      <c r="CG1076" s="48"/>
      <c r="CH1076" s="48"/>
      <c r="CI1076" s="98"/>
      <c r="CJ1076" s="98"/>
      <c r="CK1076" s="49">
        <f t="shared" si="220"/>
        <v>1141.0299026902546</v>
      </c>
      <c r="CL1076" s="229"/>
      <c r="CM1076" s="229"/>
      <c r="CN1076" s="229"/>
      <c r="CO1076" s="47" t="s">
        <v>2488</v>
      </c>
      <c r="CP1076" s="500" t="s">
        <v>2489</v>
      </c>
      <c r="CQ1076" s="224" t="s">
        <v>272</v>
      </c>
      <c r="CR1076" s="224"/>
      <c r="CS1076" s="230" t="s">
        <v>539</v>
      </c>
      <c r="CT1076" s="230"/>
      <c r="CU1076" s="230"/>
      <c r="CV1076" s="335">
        <f t="shared" si="221"/>
        <v>963.42969040856599</v>
      </c>
      <c r="CW1076" s="230">
        <f t="shared" si="222"/>
        <v>1</v>
      </c>
      <c r="CX1076" s="336"/>
      <c r="CY1076" s="230" t="s">
        <v>5921</v>
      </c>
    </row>
    <row r="1077" spans="1:103" ht="11.25" customHeight="1" x14ac:dyDescent="0.2">
      <c r="A1077" s="72">
        <v>1530</v>
      </c>
      <c r="B1077" s="224">
        <v>1000</v>
      </c>
      <c r="C1077" s="46" t="s">
        <v>7536</v>
      </c>
      <c r="D1077" s="46"/>
      <c r="E1077" s="114"/>
      <c r="F1077" s="114" t="s">
        <v>2851</v>
      </c>
      <c r="G1077" s="225">
        <v>162706141</v>
      </c>
      <c r="H1077" s="47" t="s">
        <v>2852</v>
      </c>
      <c r="I1077" s="47" t="s">
        <v>7769</v>
      </c>
      <c r="J1077" s="47" t="s">
        <v>2853</v>
      </c>
      <c r="K1077" s="47" t="s">
        <v>2854</v>
      </c>
      <c r="L1077" s="47"/>
      <c r="M1077" s="47"/>
      <c r="N1077" s="47"/>
      <c r="O1077" s="47"/>
      <c r="P1077" s="53"/>
      <c r="Q1077" s="53"/>
      <c r="R1077" s="53"/>
      <c r="S1077" s="53"/>
      <c r="T1077" s="48">
        <v>343.43</v>
      </c>
      <c r="U1077" s="98"/>
      <c r="V1077" s="98">
        <v>153.30000000000001</v>
      </c>
      <c r="W1077" s="98">
        <v>254.58817616997402</v>
      </c>
      <c r="X1077" s="98">
        <v>254.58817616997402</v>
      </c>
      <c r="Y1077" s="233">
        <v>8.92</v>
      </c>
      <c r="Z1077" s="48">
        <v>1.93</v>
      </c>
      <c r="AA1077" s="48"/>
      <c r="AB1077" s="48">
        <v>2.12</v>
      </c>
      <c r="AC1077" s="48">
        <v>0.47439999999999999</v>
      </c>
      <c r="AD1077" s="48">
        <v>1.73</v>
      </c>
      <c r="AE1077" s="48">
        <v>1.31</v>
      </c>
      <c r="AF1077" s="48">
        <f t="shared" si="219"/>
        <v>1.73</v>
      </c>
      <c r="AG1077" s="49">
        <v>1.97</v>
      </c>
      <c r="AH1077" s="98">
        <v>2.89E-15</v>
      </c>
      <c r="AI1077" s="98"/>
      <c r="AJ1077" s="483">
        <f t="shared" si="224"/>
        <v>-12.927668483556104</v>
      </c>
      <c r="AK1077" s="483"/>
      <c r="AL1077" s="483">
        <f t="shared" si="223"/>
        <v>-12.927668483556104</v>
      </c>
      <c r="AM1077" s="483">
        <v>-20.187829999999998</v>
      </c>
      <c r="AN1077" s="226">
        <v>-16.100000000000001</v>
      </c>
      <c r="AO1077" s="484">
        <v>13.63</v>
      </c>
      <c r="AP1077" s="484">
        <v>7.52</v>
      </c>
      <c r="AQ1077" s="48" t="s">
        <v>6311</v>
      </c>
      <c r="AR1077" s="48" t="s">
        <v>6311</v>
      </c>
      <c r="AS1077" s="227"/>
      <c r="AT1077" s="50" t="s">
        <v>266</v>
      </c>
      <c r="AU1077" s="48">
        <v>6</v>
      </c>
      <c r="AV1077" s="48">
        <v>120</v>
      </c>
      <c r="AW1077" s="48">
        <v>114</v>
      </c>
      <c r="AX1077" s="48">
        <v>28</v>
      </c>
      <c r="AY1077" s="48" t="s">
        <v>8728</v>
      </c>
      <c r="AZ1077" s="48" t="s">
        <v>1563</v>
      </c>
      <c r="BA1077" s="48">
        <v>32</v>
      </c>
      <c r="BB1077" s="47" t="s">
        <v>2485</v>
      </c>
      <c r="BC1077" s="47" t="s">
        <v>8726</v>
      </c>
      <c r="BD1077" s="47" t="s">
        <v>8374</v>
      </c>
      <c r="BE1077" s="48" t="s">
        <v>2449</v>
      </c>
      <c r="BF1077" s="48" t="s">
        <v>272</v>
      </c>
      <c r="BG1077" s="48" t="s">
        <v>272</v>
      </c>
      <c r="BH1077" s="48" t="s">
        <v>2486</v>
      </c>
      <c r="BI1077" s="98">
        <v>2.197952E-3</v>
      </c>
      <c r="BJ1077" s="98">
        <v>21.979520000000001</v>
      </c>
      <c r="BK1077" s="48"/>
      <c r="BL1077" s="487">
        <v>326.06578530552605</v>
      </c>
      <c r="BM1077" s="47" t="s">
        <v>2487</v>
      </c>
      <c r="BN1077" s="48"/>
      <c r="BO1077" s="48"/>
      <c r="BP1077" s="48"/>
      <c r="BQ1077" s="48"/>
      <c r="BR1077" s="47" t="e">
        <v>#VALUE!</v>
      </c>
      <c r="BS1077" s="48"/>
      <c r="BT1077" s="48"/>
      <c r="BU1077" s="228">
        <v>2.197952E-3</v>
      </c>
      <c r="BV1077" s="48"/>
      <c r="BW1077" s="48"/>
      <c r="BX1077" s="48"/>
      <c r="BY1077" s="48"/>
      <c r="BZ1077" s="48"/>
      <c r="CA1077" s="48"/>
      <c r="CB1077" s="48"/>
      <c r="CC1077" s="48"/>
      <c r="CD1077" s="48"/>
      <c r="CE1077" s="48"/>
      <c r="CF1077" s="48"/>
      <c r="CG1077" s="48"/>
      <c r="CH1077" s="48"/>
      <c r="CI1077" s="98"/>
      <c r="CJ1077" s="98"/>
      <c r="CK1077" s="49">
        <f t="shared" si="220"/>
        <v>14.834982079022929</v>
      </c>
      <c r="CL1077" s="229"/>
      <c r="CM1077" s="229"/>
      <c r="CN1077" s="229"/>
      <c r="CO1077" s="47" t="s">
        <v>2488</v>
      </c>
      <c r="CP1077" s="500" t="s">
        <v>2489</v>
      </c>
      <c r="CQ1077" s="224" t="s">
        <v>272</v>
      </c>
      <c r="CR1077" s="224"/>
      <c r="CS1077" s="230" t="s">
        <v>539</v>
      </c>
      <c r="CT1077" s="230"/>
      <c r="CU1077" s="230"/>
      <c r="CV1077" s="335">
        <f t="shared" si="221"/>
        <v>11.582972520326832</v>
      </c>
      <c r="CW1077" s="230">
        <f t="shared" si="222"/>
        <v>1</v>
      </c>
      <c r="CX1077" s="336"/>
      <c r="CY1077" s="230" t="s">
        <v>5921</v>
      </c>
    </row>
    <row r="1078" spans="1:103" ht="11.25" customHeight="1" x14ac:dyDescent="0.2">
      <c r="A1078" s="72">
        <v>1531</v>
      </c>
      <c r="B1078" s="224">
        <v>1548</v>
      </c>
      <c r="C1078" s="46" t="s">
        <v>7537</v>
      </c>
      <c r="D1078" s="46"/>
      <c r="E1078" s="114"/>
      <c r="F1078" s="114" t="s">
        <v>4675</v>
      </c>
      <c r="G1078" s="225">
        <v>169590425</v>
      </c>
      <c r="H1078" s="47" t="s">
        <v>4676</v>
      </c>
      <c r="I1078" s="47" t="s">
        <v>8180</v>
      </c>
      <c r="J1078" s="47" t="s">
        <v>4677</v>
      </c>
      <c r="K1078" s="47" t="s">
        <v>1473</v>
      </c>
      <c r="L1078" s="47" t="s">
        <v>279</v>
      </c>
      <c r="M1078" s="47" t="s">
        <v>4678</v>
      </c>
      <c r="N1078" s="47"/>
      <c r="O1078" s="47" t="s">
        <v>281</v>
      </c>
      <c r="P1078" s="53"/>
      <c r="Q1078" s="53"/>
      <c r="R1078" s="53"/>
      <c r="S1078" s="53"/>
      <c r="T1078" s="48">
        <v>381.37</v>
      </c>
      <c r="U1078" s="98"/>
      <c r="V1078" s="98">
        <v>4.3049999999999997</v>
      </c>
      <c r="W1078" s="98">
        <v>9.148429103264613</v>
      </c>
      <c r="X1078" s="98">
        <v>9.148429103264613</v>
      </c>
      <c r="Y1078" s="233">
        <v>6.91</v>
      </c>
      <c r="Z1078" s="48">
        <v>3.47</v>
      </c>
      <c r="AA1078" s="48"/>
      <c r="AB1078" s="48">
        <v>3.02</v>
      </c>
      <c r="AC1078" s="48">
        <v>0.73070000000000002</v>
      </c>
      <c r="AD1078" s="48">
        <v>3.24</v>
      </c>
      <c r="AE1078" s="48">
        <v>4.21</v>
      </c>
      <c r="AF1078" s="48">
        <f t="shared" si="219"/>
        <v>3.24</v>
      </c>
      <c r="AG1078" s="49">
        <v>3.78</v>
      </c>
      <c r="AH1078" s="98">
        <v>7.7500000000000003E-13</v>
      </c>
      <c r="AI1078" s="98"/>
      <c r="AJ1078" s="483">
        <f t="shared" si="224"/>
        <v>-10.499264623806342</v>
      </c>
      <c r="AK1078" s="483"/>
      <c r="AL1078" s="483">
        <f t="shared" si="223"/>
        <v>-10.499264623806342</v>
      </c>
      <c r="AM1078" s="483">
        <v>-17.730219999999999</v>
      </c>
      <c r="AN1078" s="226">
        <v>-14.3</v>
      </c>
      <c r="AO1078" s="484">
        <v>9.68</v>
      </c>
      <c r="AP1078" s="484">
        <v>-3.81</v>
      </c>
      <c r="AQ1078" s="48" t="s">
        <v>6311</v>
      </c>
      <c r="AR1078" s="48" t="s">
        <v>6311</v>
      </c>
      <c r="AS1078" s="227"/>
      <c r="AT1078" s="50" t="s">
        <v>266</v>
      </c>
      <c r="AU1078" s="48">
        <v>6</v>
      </c>
      <c r="AV1078" s="48">
        <v>120</v>
      </c>
      <c r="AW1078" s="48">
        <v>114</v>
      </c>
      <c r="AX1078" s="48">
        <v>28</v>
      </c>
      <c r="AY1078" s="48" t="s">
        <v>8728</v>
      </c>
      <c r="AZ1078" s="48" t="s">
        <v>1563</v>
      </c>
      <c r="BA1078" s="48">
        <v>32</v>
      </c>
      <c r="BB1078" s="47" t="s">
        <v>2485</v>
      </c>
      <c r="BC1078" s="47" t="s">
        <v>8726</v>
      </c>
      <c r="BD1078" s="47" t="s">
        <v>8374</v>
      </c>
      <c r="BE1078" s="48" t="s">
        <v>2449</v>
      </c>
      <c r="BF1078" s="48" t="s">
        <v>272</v>
      </c>
      <c r="BG1078" s="48" t="s">
        <v>272</v>
      </c>
      <c r="BH1078" s="48" t="s">
        <v>2486</v>
      </c>
      <c r="BI1078" s="98">
        <v>2.4407679999999998E-3</v>
      </c>
      <c r="BJ1078" s="98">
        <v>24.407679999999999</v>
      </c>
      <c r="BK1078" s="48"/>
      <c r="BL1078" s="487">
        <v>14.987856516902426</v>
      </c>
      <c r="BM1078" s="47" t="s">
        <v>2487</v>
      </c>
      <c r="BN1078" s="48"/>
      <c r="BO1078" s="48"/>
      <c r="BP1078" s="48"/>
      <c r="BQ1078" s="48"/>
      <c r="BR1078" s="47"/>
      <c r="BS1078" s="48"/>
      <c r="BT1078" s="48"/>
      <c r="BU1078" s="228"/>
      <c r="BV1078" s="48"/>
      <c r="BW1078" s="48"/>
      <c r="BX1078" s="48"/>
      <c r="BY1078" s="48"/>
      <c r="BZ1078" s="48"/>
      <c r="CA1078" s="48"/>
      <c r="CB1078" s="48"/>
      <c r="CC1078" s="48"/>
      <c r="CD1078" s="48"/>
      <c r="CE1078" s="48"/>
      <c r="CF1078" s="48"/>
      <c r="CG1078" s="48"/>
      <c r="CH1078" s="48"/>
      <c r="CI1078" s="52"/>
      <c r="CJ1078" s="98"/>
      <c r="CK1078" s="49">
        <f t="shared" si="220"/>
        <v>0.61406313573852267</v>
      </c>
      <c r="CL1078" s="229"/>
      <c r="CM1078" s="229"/>
      <c r="CN1078" s="229"/>
      <c r="CO1078" s="47" t="s">
        <v>2488</v>
      </c>
      <c r="CP1078" s="500" t="s">
        <v>2489</v>
      </c>
      <c r="CQ1078" s="224" t="s">
        <v>272</v>
      </c>
      <c r="CR1078" s="224"/>
      <c r="CS1078" s="230" t="s">
        <v>539</v>
      </c>
      <c r="CT1078" s="230"/>
      <c r="CU1078" s="230"/>
      <c r="CV1078" s="335">
        <f t="shared" si="221"/>
        <v>0.37481764359679465</v>
      </c>
      <c r="CW1078" s="230">
        <f t="shared" si="222"/>
        <v>0</v>
      </c>
      <c r="CX1078" s="336"/>
      <c r="CY1078" s="230" t="s">
        <v>5921</v>
      </c>
    </row>
    <row r="1079" spans="1:103" ht="11.25" customHeight="1" x14ac:dyDescent="0.2">
      <c r="A1079" s="72">
        <v>1532</v>
      </c>
      <c r="B1079" s="224">
        <v>86</v>
      </c>
      <c r="C1079" s="46" t="s">
        <v>7538</v>
      </c>
      <c r="D1079" s="46"/>
      <c r="E1079" s="114"/>
      <c r="F1079" s="114" t="s">
        <v>3650</v>
      </c>
      <c r="G1079" s="225">
        <v>171866312</v>
      </c>
      <c r="H1079" s="236" t="s">
        <v>3651</v>
      </c>
      <c r="I1079" s="236" t="s">
        <v>8181</v>
      </c>
      <c r="J1079" s="236" t="s">
        <v>3652</v>
      </c>
      <c r="K1079" s="236" t="s">
        <v>597</v>
      </c>
      <c r="L1079" s="47"/>
      <c r="M1079" s="47"/>
      <c r="N1079" s="47"/>
      <c r="O1079" s="52"/>
      <c r="P1079" s="53"/>
      <c r="Q1079" s="53"/>
      <c r="R1079" s="53"/>
      <c r="S1079" s="53"/>
      <c r="T1079" s="226">
        <v>380.42</v>
      </c>
      <c r="U1079" s="98"/>
      <c r="V1079" s="98">
        <v>4196</v>
      </c>
      <c r="W1079" s="98">
        <v>1175.6101884368204</v>
      </c>
      <c r="X1079" s="98">
        <v>1175.6101884368204</v>
      </c>
      <c r="Y1079" s="233">
        <v>8.18</v>
      </c>
      <c r="Z1079" s="48">
        <v>1.99</v>
      </c>
      <c r="AA1079" s="48"/>
      <c r="AB1079" s="48">
        <v>1.59</v>
      </c>
      <c r="AC1079" s="48">
        <v>0.42830000000000001</v>
      </c>
      <c r="AD1079" s="48">
        <v>1.38</v>
      </c>
      <c r="AE1079" s="48">
        <v>1.22</v>
      </c>
      <c r="AF1079" s="48">
        <f t="shared" si="219"/>
        <v>1.38</v>
      </c>
      <c r="AG1079" s="48">
        <v>3.77</v>
      </c>
      <c r="AH1079" s="98">
        <v>1.38E-18</v>
      </c>
      <c r="AI1079" s="98"/>
      <c r="AJ1079" s="483">
        <f t="shared" si="224"/>
        <v>-16.248687239911416</v>
      </c>
      <c r="AK1079" s="483"/>
      <c r="AL1079" s="483">
        <f t="shared" si="223"/>
        <v>-16.248687239911416</v>
      </c>
      <c r="AM1079" s="483">
        <v>-23.214929999999999</v>
      </c>
      <c r="AN1079" s="48">
        <v>-13.16</v>
      </c>
      <c r="AO1079" s="484">
        <v>9.8000000000000007</v>
      </c>
      <c r="AP1079" s="484">
        <v>6.76</v>
      </c>
      <c r="AQ1079" s="48" t="s">
        <v>6311</v>
      </c>
      <c r="AR1079" s="48" t="s">
        <v>6311</v>
      </c>
      <c r="AS1079" s="227"/>
      <c r="AT1079" s="50" t="s">
        <v>266</v>
      </c>
      <c r="AU1079" s="48">
        <v>6</v>
      </c>
      <c r="AV1079" s="48">
        <v>120</v>
      </c>
      <c r="AW1079" s="48">
        <v>114</v>
      </c>
      <c r="AX1079" s="48">
        <v>28</v>
      </c>
      <c r="AY1079" s="48" t="s">
        <v>8728</v>
      </c>
      <c r="AZ1079" s="48" t="s">
        <v>1563</v>
      </c>
      <c r="BA1079" s="48">
        <v>32</v>
      </c>
      <c r="BB1079" s="47" t="s">
        <v>2485</v>
      </c>
      <c r="BC1079" s="47" t="s">
        <v>8726</v>
      </c>
      <c r="BD1079" s="47" t="s">
        <v>8374</v>
      </c>
      <c r="BE1079" s="48" t="s">
        <v>2449</v>
      </c>
      <c r="BF1079" s="48" t="s">
        <v>272</v>
      </c>
      <c r="BG1079" s="48" t="s">
        <v>272</v>
      </c>
      <c r="BH1079" s="48" t="s">
        <v>2486</v>
      </c>
      <c r="BI1079" s="98">
        <v>2.434688E-3</v>
      </c>
      <c r="BJ1079" s="98">
        <v>24.346880000000002</v>
      </c>
      <c r="BK1079" s="48"/>
      <c r="BL1079" s="487">
        <v>319.0394156882536</v>
      </c>
      <c r="BM1079" s="47" t="s">
        <v>2487</v>
      </c>
      <c r="BN1079" s="48"/>
      <c r="BO1079" s="48"/>
      <c r="BP1079" s="48"/>
      <c r="BQ1079" s="48"/>
      <c r="BR1079" s="47" t="e">
        <v>#VALUE!</v>
      </c>
      <c r="BS1079" s="48"/>
      <c r="BT1079" s="48"/>
      <c r="BU1079" s="228"/>
      <c r="BV1079" s="48"/>
      <c r="BW1079" s="48"/>
      <c r="BX1079" s="48"/>
      <c r="BY1079" s="48"/>
      <c r="BZ1079" s="48"/>
      <c r="CA1079" s="48"/>
      <c r="CB1079" s="48"/>
      <c r="CC1079" s="48"/>
      <c r="CD1079" s="48"/>
      <c r="CE1079" s="48"/>
      <c r="CF1079" s="48"/>
      <c r="CG1079" s="48"/>
      <c r="CH1079" s="48"/>
      <c r="CI1079" s="98"/>
      <c r="CJ1079" s="98"/>
      <c r="CK1079" s="49">
        <f t="shared" si="220"/>
        <v>13.103913753559125</v>
      </c>
      <c r="CL1079" s="229"/>
      <c r="CM1079" s="229"/>
      <c r="CN1079" s="229"/>
      <c r="CO1079" s="47" t="s">
        <v>2488</v>
      </c>
      <c r="CP1079" s="500" t="s">
        <v>2489</v>
      </c>
      <c r="CQ1079" s="224" t="s">
        <v>272</v>
      </c>
      <c r="CR1079" s="224"/>
      <c r="CS1079" s="230" t="s">
        <v>539</v>
      </c>
      <c r="CT1079" s="230"/>
      <c r="CU1079" s="230"/>
      <c r="CV1079" s="335">
        <f t="shared" si="221"/>
        <v>48.285866133024861</v>
      </c>
      <c r="CW1079" s="230">
        <f t="shared" si="222"/>
        <v>1</v>
      </c>
      <c r="CX1079" s="336"/>
      <c r="CY1079" s="230" t="s">
        <v>5921</v>
      </c>
    </row>
    <row r="1080" spans="1:103" ht="11.25" customHeight="1" x14ac:dyDescent="0.2">
      <c r="A1080" s="72">
        <v>1534</v>
      </c>
      <c r="B1080" s="224">
        <v>1166</v>
      </c>
      <c r="C1080" s="46" t="s">
        <v>3216</v>
      </c>
      <c r="D1080" s="46" t="s">
        <v>6871</v>
      </c>
      <c r="E1080" s="114"/>
      <c r="F1080" s="114" t="s">
        <v>3217</v>
      </c>
      <c r="G1080" s="225">
        <v>173584446</v>
      </c>
      <c r="H1080" s="47" t="s">
        <v>3218</v>
      </c>
      <c r="I1080" s="47" t="s">
        <v>7943</v>
      </c>
      <c r="J1080" s="47" t="s">
        <v>3219</v>
      </c>
      <c r="K1080" s="47" t="s">
        <v>3220</v>
      </c>
      <c r="L1080" s="47" t="s">
        <v>617</v>
      </c>
      <c r="M1080" s="47" t="s">
        <v>3221</v>
      </c>
      <c r="N1080" s="47" t="s">
        <v>6376</v>
      </c>
      <c r="O1080" s="47" t="s">
        <v>918</v>
      </c>
      <c r="P1080" s="53"/>
      <c r="Q1080" s="53"/>
      <c r="R1080" s="53"/>
      <c r="S1080" s="53"/>
      <c r="T1080" s="48">
        <v>527.83000000000004</v>
      </c>
      <c r="U1080" s="98"/>
      <c r="V1080" s="98">
        <v>5.0659999999999997E-2</v>
      </c>
      <c r="W1080" s="98">
        <v>0.96049270420010568</v>
      </c>
      <c r="X1080" s="98">
        <v>0.96049270420010568</v>
      </c>
      <c r="Y1080" s="233">
        <v>7</v>
      </c>
      <c r="Z1080" s="48">
        <v>5.21</v>
      </c>
      <c r="AA1080" s="48">
        <v>4.6500000000000004</v>
      </c>
      <c r="AB1080" s="48">
        <v>4.46</v>
      </c>
      <c r="AC1080" s="48">
        <v>0.50080000000000002</v>
      </c>
      <c r="AD1080" s="48">
        <v>3.7</v>
      </c>
      <c r="AE1080" s="48">
        <v>2.77</v>
      </c>
      <c r="AF1080" s="48">
        <f t="shared" si="219"/>
        <v>4.6500000000000004</v>
      </c>
      <c r="AG1080" s="49">
        <v>4.2300000000000004</v>
      </c>
      <c r="AH1080" s="98">
        <v>2.72E-13</v>
      </c>
      <c r="AI1080" s="98"/>
      <c r="AJ1080" s="483">
        <f t="shared" si="224"/>
        <v>-10.953997422278453</v>
      </c>
      <c r="AK1080" s="483"/>
      <c r="AL1080" s="483">
        <f t="shared" si="223"/>
        <v>-10.953997422278453</v>
      </c>
      <c r="AM1080" s="483">
        <v>-19.639890000000001</v>
      </c>
      <c r="AN1080" s="226">
        <v>-6.89</v>
      </c>
      <c r="AO1080" s="484"/>
      <c r="AP1080" s="484">
        <v>-1.75</v>
      </c>
      <c r="AQ1080" s="48" t="s">
        <v>6311</v>
      </c>
      <c r="AR1080" s="48" t="s">
        <v>6312</v>
      </c>
      <c r="AS1080" s="227"/>
      <c r="AT1080" s="50" t="s">
        <v>266</v>
      </c>
      <c r="AU1080" s="48">
        <v>6</v>
      </c>
      <c r="AV1080" s="48">
        <v>120</v>
      </c>
      <c r="AW1080" s="48">
        <v>114</v>
      </c>
      <c r="AX1080" s="48">
        <v>28</v>
      </c>
      <c r="AY1080" s="48" t="s">
        <v>8728</v>
      </c>
      <c r="AZ1080" s="48" t="s">
        <v>1563</v>
      </c>
      <c r="BA1080" s="48">
        <v>32</v>
      </c>
      <c r="BB1080" s="47" t="s">
        <v>2485</v>
      </c>
      <c r="BC1080" s="47" t="s">
        <v>8726</v>
      </c>
      <c r="BD1080" s="47" t="s">
        <v>8374</v>
      </c>
      <c r="BE1080" s="48" t="s">
        <v>2449</v>
      </c>
      <c r="BF1080" s="48" t="s">
        <v>272</v>
      </c>
      <c r="BG1080" s="48" t="s">
        <v>272</v>
      </c>
      <c r="BH1080" s="48" t="s">
        <v>2486</v>
      </c>
      <c r="BI1080" s="98">
        <v>3.378112E-3</v>
      </c>
      <c r="BJ1080" s="98">
        <v>33.781120000000001</v>
      </c>
      <c r="BK1080" s="48"/>
      <c r="BL1080" s="487">
        <v>0.56779696965373316</v>
      </c>
      <c r="BM1080" s="47" t="s">
        <v>2487</v>
      </c>
      <c r="BN1080" s="48"/>
      <c r="BO1080" s="48"/>
      <c r="BP1080" s="48"/>
      <c r="BQ1080" s="48"/>
      <c r="BR1080" s="47" t="e">
        <v>#VALUE!</v>
      </c>
      <c r="BS1080" s="48"/>
      <c r="BT1080" s="48"/>
      <c r="BU1080" s="228">
        <v>2.6919330000000005E-3</v>
      </c>
      <c r="BV1080" s="48"/>
      <c r="BW1080" s="48"/>
      <c r="BX1080" s="48"/>
      <c r="BY1080" s="48"/>
      <c r="BZ1080" s="48"/>
      <c r="CA1080" s="48"/>
      <c r="CB1080" s="48"/>
      <c r="CC1080" s="48"/>
      <c r="CD1080" s="48"/>
      <c r="CE1080" s="48"/>
      <c r="CF1080" s="48"/>
      <c r="CG1080" s="48"/>
      <c r="CH1080" s="48"/>
      <c r="CI1080" s="98"/>
      <c r="CJ1080" s="98"/>
      <c r="CK1080" s="49">
        <f t="shared" si="220"/>
        <v>1.6808115588048386E-2</v>
      </c>
      <c r="CL1080" s="229"/>
      <c r="CM1080" s="229"/>
      <c r="CN1080" s="229"/>
      <c r="CO1080" s="47" t="s">
        <v>2488</v>
      </c>
      <c r="CP1080" s="500" t="s">
        <v>2489</v>
      </c>
      <c r="CQ1080" s="224">
        <v>-0.19339427564123571</v>
      </c>
      <c r="CR1080" s="224">
        <f>10^(CJ1080-CQ1080)</f>
        <v>1.5609689904632471</v>
      </c>
      <c r="CS1080" s="230" t="s">
        <v>539</v>
      </c>
      <c r="CT1080" s="230"/>
      <c r="CU1080" s="230"/>
      <c r="CV1080" s="335">
        <f t="shared" si="221"/>
        <v>2.8432825915780936E-2</v>
      </c>
      <c r="CW1080" s="230">
        <f t="shared" si="222"/>
        <v>0</v>
      </c>
      <c r="CX1080" s="336"/>
      <c r="CY1080" s="230" t="s">
        <v>5921</v>
      </c>
    </row>
    <row r="1081" spans="1:103" ht="11.25" customHeight="1" x14ac:dyDescent="0.2">
      <c r="A1081" s="72">
        <v>1535</v>
      </c>
      <c r="B1081" s="224">
        <v>1347</v>
      </c>
      <c r="C1081" s="46" t="s">
        <v>7540</v>
      </c>
      <c r="D1081" s="46"/>
      <c r="E1081" s="114"/>
      <c r="F1081" s="114" t="s">
        <v>4170</v>
      </c>
      <c r="G1081" s="225">
        <v>179465715</v>
      </c>
      <c r="H1081" s="47" t="s">
        <v>4171</v>
      </c>
      <c r="I1081" s="47" t="s">
        <v>7853</v>
      </c>
      <c r="J1081" s="47" t="s">
        <v>4172</v>
      </c>
      <c r="K1081" s="47" t="s">
        <v>471</v>
      </c>
      <c r="L1081" s="47"/>
      <c r="M1081" s="47"/>
      <c r="N1081" s="47"/>
      <c r="O1081" s="47"/>
      <c r="P1081" s="53"/>
      <c r="Q1081" s="53"/>
      <c r="R1081" s="53"/>
      <c r="S1081" s="53"/>
      <c r="T1081" s="48">
        <v>466.48</v>
      </c>
      <c r="U1081" s="98"/>
      <c r="V1081" s="98">
        <v>6.1260000000000003</v>
      </c>
      <c r="W1081" s="98">
        <v>10.205470423399856</v>
      </c>
      <c r="X1081" s="98">
        <v>10.205470423399856</v>
      </c>
      <c r="Y1081" s="233">
        <v>4.7699999999999996</v>
      </c>
      <c r="Z1081" s="48">
        <v>2.67</v>
      </c>
      <c r="AA1081" s="48"/>
      <c r="AB1081" s="48">
        <v>1.39</v>
      </c>
      <c r="AC1081" s="48">
        <v>0.59060000000000001</v>
      </c>
      <c r="AD1081" s="48">
        <v>2.4900000000000002</v>
      </c>
      <c r="AE1081" s="48">
        <v>3.93</v>
      </c>
      <c r="AF1081" s="48">
        <f t="shared" si="219"/>
        <v>2.4900000000000002</v>
      </c>
      <c r="AG1081" s="49">
        <v>1.77</v>
      </c>
      <c r="AH1081" s="98">
        <v>4.2600000000000003E-21</v>
      </c>
      <c r="AI1081" s="98"/>
      <c r="AJ1081" s="483">
        <f t="shared" si="224"/>
        <v>-18.759156727209934</v>
      </c>
      <c r="AK1081" s="483"/>
      <c r="AL1081" s="483">
        <f t="shared" si="223"/>
        <v>-18.759156727209934</v>
      </c>
      <c r="AM1081" s="483">
        <v>-30.71557</v>
      </c>
      <c r="AN1081" s="226">
        <v>-32.1</v>
      </c>
      <c r="AO1081" s="484">
        <v>4.17</v>
      </c>
      <c r="AP1081" s="484">
        <v>-7.28</v>
      </c>
      <c r="AQ1081" s="48" t="s">
        <v>6311</v>
      </c>
      <c r="AR1081" s="48" t="s">
        <v>6311</v>
      </c>
      <c r="AS1081" s="227"/>
      <c r="AT1081" s="50" t="s">
        <v>266</v>
      </c>
      <c r="AU1081" s="48">
        <v>6</v>
      </c>
      <c r="AV1081" s="48">
        <v>120</v>
      </c>
      <c r="AW1081" s="48">
        <v>114</v>
      </c>
      <c r="AX1081" s="48">
        <v>28</v>
      </c>
      <c r="AY1081" s="48" t="s">
        <v>8728</v>
      </c>
      <c r="AZ1081" s="48" t="s">
        <v>1563</v>
      </c>
      <c r="BA1081" s="48">
        <v>32</v>
      </c>
      <c r="BB1081" s="47" t="s">
        <v>2485</v>
      </c>
      <c r="BC1081" s="47" t="s">
        <v>8726</v>
      </c>
      <c r="BD1081" s="47" t="s">
        <v>8374</v>
      </c>
      <c r="BE1081" s="48" t="s">
        <v>2449</v>
      </c>
      <c r="BF1081" s="48" t="s">
        <v>272</v>
      </c>
      <c r="BG1081" s="48" t="s">
        <v>272</v>
      </c>
      <c r="BH1081" s="48" t="s">
        <v>2486</v>
      </c>
      <c r="BI1081" s="98">
        <v>2.9854719999999999E-3</v>
      </c>
      <c r="BJ1081" s="98">
        <v>29.85472</v>
      </c>
      <c r="BK1081" s="48"/>
      <c r="BL1081" s="487">
        <v>95.875143815748785</v>
      </c>
      <c r="BM1081" s="47" t="s">
        <v>2487</v>
      </c>
      <c r="BN1081" s="48"/>
      <c r="BO1081" s="48"/>
      <c r="BP1081" s="48"/>
      <c r="BQ1081" s="48"/>
      <c r="BR1081" s="47" t="e">
        <v>#VALUE!</v>
      </c>
      <c r="BS1081" s="48"/>
      <c r="BT1081" s="48"/>
      <c r="BU1081" s="228"/>
      <c r="BV1081" s="48"/>
      <c r="BW1081" s="48"/>
      <c r="BX1081" s="48"/>
      <c r="BY1081" s="48"/>
      <c r="BZ1081" s="48"/>
      <c r="CA1081" s="48"/>
      <c r="CB1081" s="48"/>
      <c r="CC1081" s="48"/>
      <c r="CD1081" s="48"/>
      <c r="CE1081" s="48"/>
      <c r="CF1081" s="48"/>
      <c r="CG1081" s="48"/>
      <c r="CH1081" s="48"/>
      <c r="CI1081" s="98"/>
      <c r="CJ1081" s="98"/>
      <c r="CK1081" s="49">
        <f t="shared" si="220"/>
        <v>3.2113898176150633</v>
      </c>
      <c r="CL1081" s="229"/>
      <c r="CM1081" s="229"/>
      <c r="CN1081" s="229"/>
      <c r="CO1081" s="47" t="s">
        <v>2488</v>
      </c>
      <c r="CP1081" s="500" t="s">
        <v>2489</v>
      </c>
      <c r="CQ1081" s="224" t="s">
        <v>272</v>
      </c>
      <c r="CR1081" s="224"/>
      <c r="CS1081" s="230" t="s">
        <v>539</v>
      </c>
      <c r="CT1081" s="230"/>
      <c r="CU1081" s="230"/>
      <c r="CV1081" s="335">
        <f t="shared" si="221"/>
        <v>0.341837753742117</v>
      </c>
      <c r="CW1081" s="230">
        <f t="shared" si="222"/>
        <v>0</v>
      </c>
      <c r="CX1081" s="336"/>
      <c r="CY1081" s="230" t="s">
        <v>5921</v>
      </c>
    </row>
    <row r="1082" spans="1:103" ht="11.25" customHeight="1" x14ac:dyDescent="0.2">
      <c r="A1082" s="72">
        <v>1536</v>
      </c>
      <c r="B1082" s="224">
        <v>1316</v>
      </c>
      <c r="C1082" s="46" t="s">
        <v>7541</v>
      </c>
      <c r="D1082" s="46"/>
      <c r="E1082" s="114"/>
      <c r="F1082" s="114" t="s">
        <v>3599</v>
      </c>
      <c r="G1082" s="225">
        <v>180084019</v>
      </c>
      <c r="H1082" s="236" t="s">
        <v>3600</v>
      </c>
      <c r="I1082" s="236" t="s">
        <v>8182</v>
      </c>
      <c r="J1082" s="236" t="s">
        <v>3601</v>
      </c>
      <c r="K1082" s="236"/>
      <c r="L1082" s="47"/>
      <c r="M1082" s="47"/>
      <c r="N1082" s="47"/>
      <c r="O1082" s="52"/>
      <c r="P1082" s="53"/>
      <c r="Q1082" s="53"/>
      <c r="R1082" s="53"/>
      <c r="S1082" s="53"/>
      <c r="T1082" s="226">
        <v>313.66000000000003</v>
      </c>
      <c r="U1082" s="98"/>
      <c r="V1082" s="98">
        <v>1.2320000000000001E-5</v>
      </c>
      <c r="W1082" s="98">
        <v>9.0460532127069033</v>
      </c>
      <c r="X1082" s="98">
        <v>9.0460532127069033</v>
      </c>
      <c r="Y1082" s="233">
        <v>9.15</v>
      </c>
      <c r="Z1082" s="48">
        <v>8.32</v>
      </c>
      <c r="AA1082" s="48"/>
      <c r="AB1082" s="48">
        <v>4.43</v>
      </c>
      <c r="AC1082" s="48">
        <v>0.255</v>
      </c>
      <c r="AD1082" s="48">
        <v>3.68</v>
      </c>
      <c r="AE1082" s="48">
        <v>3.32</v>
      </c>
      <c r="AF1082" s="48">
        <f t="shared" ref="AF1082:AF1100" si="225">IF(AA1082=0,AD1082,AA1082)</f>
        <v>3.68</v>
      </c>
      <c r="AG1082" s="48">
        <v>2.97</v>
      </c>
      <c r="AH1082" s="98">
        <v>9.2200000000000002E-18</v>
      </c>
      <c r="AI1082" s="98"/>
      <c r="AJ1082" s="483">
        <f t="shared" si="224"/>
        <v>-15.423835405259023</v>
      </c>
      <c r="AK1082" s="483"/>
      <c r="AL1082" s="483">
        <f t="shared" si="223"/>
        <v>-15.423835405259023</v>
      </c>
      <c r="AM1082" s="483">
        <v>-25.59412</v>
      </c>
      <c r="AN1082" s="48">
        <v>-9.24</v>
      </c>
      <c r="AO1082" s="484"/>
      <c r="AP1082" s="484">
        <v>9.93</v>
      </c>
      <c r="AQ1082" s="48" t="s">
        <v>6311</v>
      </c>
      <c r="AR1082" s="48" t="s">
        <v>6311</v>
      </c>
      <c r="AS1082" s="227"/>
      <c r="AT1082" s="50" t="s">
        <v>266</v>
      </c>
      <c r="AU1082" s="48">
        <v>6</v>
      </c>
      <c r="AV1082" s="48">
        <v>120</v>
      </c>
      <c r="AW1082" s="48">
        <v>114</v>
      </c>
      <c r="AX1082" s="48">
        <v>28</v>
      </c>
      <c r="AY1082" s="48" t="s">
        <v>8728</v>
      </c>
      <c r="AZ1082" s="48" t="s">
        <v>1563</v>
      </c>
      <c r="BA1082" s="48">
        <v>32</v>
      </c>
      <c r="BB1082" s="47" t="s">
        <v>2485</v>
      </c>
      <c r="BC1082" s="47" t="s">
        <v>8726</v>
      </c>
      <c r="BD1082" s="47" t="s">
        <v>8374</v>
      </c>
      <c r="BE1082" s="48" t="s">
        <v>2449</v>
      </c>
      <c r="BF1082" s="48" t="s">
        <v>272</v>
      </c>
      <c r="BG1082" s="48" t="s">
        <v>272</v>
      </c>
      <c r="BH1082" s="48" t="s">
        <v>2486</v>
      </c>
      <c r="BI1082" s="98">
        <v>2.0074240000000003E-3</v>
      </c>
      <c r="BJ1082" s="98">
        <v>20.074240000000003</v>
      </c>
      <c r="BK1082" s="48"/>
      <c r="BL1082" s="487"/>
      <c r="BM1082" s="47" t="s">
        <v>2487</v>
      </c>
      <c r="BN1082" s="48"/>
      <c r="BO1082" s="48"/>
      <c r="BP1082" s="48"/>
      <c r="BQ1082" s="48"/>
      <c r="BR1082" s="47" t="e">
        <v>#VALUE!</v>
      </c>
      <c r="BS1082" s="48"/>
      <c r="BT1082" s="48"/>
      <c r="BU1082" s="228"/>
      <c r="BV1082" s="48"/>
      <c r="BW1082" s="48"/>
      <c r="BX1082" s="48"/>
      <c r="BY1082" s="48"/>
      <c r="BZ1082" s="48"/>
      <c r="CA1082" s="48"/>
      <c r="CB1082" s="48"/>
      <c r="CC1082" s="48"/>
      <c r="CD1082" s="48"/>
      <c r="CE1082" s="48"/>
      <c r="CF1082" s="48"/>
      <c r="CG1082" s="48"/>
      <c r="CH1082" s="48"/>
      <c r="CI1082" s="98"/>
      <c r="CJ1082" s="98"/>
      <c r="CK1082" s="49">
        <f t="shared" si="220"/>
        <v>0</v>
      </c>
      <c r="CL1082" s="229"/>
      <c r="CM1082" s="229"/>
      <c r="CN1082" s="229"/>
      <c r="CO1082" s="47" t="s">
        <v>2488</v>
      </c>
      <c r="CP1082" s="500" t="s">
        <v>2489</v>
      </c>
      <c r="CQ1082" s="224" t="s">
        <v>272</v>
      </c>
      <c r="CR1082" s="224"/>
      <c r="CS1082" s="230" t="s">
        <v>539</v>
      </c>
      <c r="CT1082" s="230"/>
      <c r="CU1082" s="230"/>
      <c r="CV1082" s="335">
        <f t="shared" si="221"/>
        <v>0.45062992236353167</v>
      </c>
      <c r="CW1082" s="230">
        <f t="shared" si="222"/>
        <v>0</v>
      </c>
      <c r="CX1082" s="336"/>
      <c r="CY1082" s="230" t="s">
        <v>5921</v>
      </c>
    </row>
    <row r="1083" spans="1:103" ht="11.25" customHeight="1" x14ac:dyDescent="0.2">
      <c r="A1083" s="72">
        <v>1537</v>
      </c>
      <c r="B1083" s="224">
        <v>1838</v>
      </c>
      <c r="C1083" s="46" t="s">
        <v>6703</v>
      </c>
      <c r="D1083" s="46"/>
      <c r="E1083" s="114"/>
      <c r="F1083" s="114" t="s">
        <v>1415</v>
      </c>
      <c r="G1083" s="225">
        <v>181274157</v>
      </c>
      <c r="H1083" s="47" t="s">
        <v>1416</v>
      </c>
      <c r="I1083" s="47" t="s">
        <v>7863</v>
      </c>
      <c r="J1083" s="47" t="s">
        <v>1417</v>
      </c>
      <c r="K1083" s="47" t="s">
        <v>1418</v>
      </c>
      <c r="L1083" s="47"/>
      <c r="M1083" s="47"/>
      <c r="N1083" s="47"/>
      <c r="O1083" s="47"/>
      <c r="P1083" s="53"/>
      <c r="Q1083" s="53"/>
      <c r="R1083" s="53"/>
      <c r="S1083" s="53"/>
      <c r="T1083" s="48">
        <v>398.39</v>
      </c>
      <c r="U1083" s="98"/>
      <c r="V1083" s="98">
        <v>16.899999999999999</v>
      </c>
      <c r="W1083" s="98">
        <v>323.82354933461528</v>
      </c>
      <c r="X1083" s="98">
        <v>323.82354933461528</v>
      </c>
      <c r="Y1083" s="233">
        <v>3.63</v>
      </c>
      <c r="Z1083" s="48">
        <v>2.66</v>
      </c>
      <c r="AA1083" s="48"/>
      <c r="AB1083" s="48">
        <v>1.1000000000000001</v>
      </c>
      <c r="AC1083" s="48">
        <v>0.48370000000000002</v>
      </c>
      <c r="AD1083" s="48">
        <v>0.63</v>
      </c>
      <c r="AE1083" s="48">
        <v>0.06</v>
      </c>
      <c r="AF1083" s="48">
        <f t="shared" si="225"/>
        <v>0.63</v>
      </c>
      <c r="AG1083" s="49">
        <v>0.63</v>
      </c>
      <c r="AH1083" s="98">
        <v>1.41E-17</v>
      </c>
      <c r="AI1083" s="98"/>
      <c r="AJ1083" s="483">
        <f t="shared" si="224"/>
        <v>-15.239347213657272</v>
      </c>
      <c r="AK1083" s="483"/>
      <c r="AL1083" s="483">
        <f t="shared" si="223"/>
        <v>-15.239347213657272</v>
      </c>
      <c r="AM1083" s="483">
        <v>-24.07235</v>
      </c>
      <c r="AN1083" s="226"/>
      <c r="AO1083" s="484">
        <v>4.0199999999999996</v>
      </c>
      <c r="AP1083" s="484">
        <v>-3.75</v>
      </c>
      <c r="AQ1083" s="226" t="s">
        <v>6311</v>
      </c>
      <c r="AR1083" s="226" t="s">
        <v>6312</v>
      </c>
      <c r="AS1083" s="224"/>
      <c r="AT1083" s="50" t="s">
        <v>266</v>
      </c>
      <c r="AU1083" s="48">
        <v>6</v>
      </c>
      <c r="AV1083" s="48">
        <v>120</v>
      </c>
      <c r="AW1083" s="48">
        <v>114</v>
      </c>
      <c r="AX1083" s="48">
        <v>28</v>
      </c>
      <c r="AY1083" s="48" t="s">
        <v>8728</v>
      </c>
      <c r="AZ1083" s="48" t="s">
        <v>1563</v>
      </c>
      <c r="BA1083" s="48">
        <v>32</v>
      </c>
      <c r="BB1083" s="47" t="s">
        <v>2485</v>
      </c>
      <c r="BC1083" s="47" t="s">
        <v>8726</v>
      </c>
      <c r="BD1083" s="47" t="s">
        <v>8374</v>
      </c>
      <c r="BE1083" s="48" t="s">
        <v>2449</v>
      </c>
      <c r="BF1083" s="48" t="s">
        <v>272</v>
      </c>
      <c r="BG1083" s="48" t="s">
        <v>272</v>
      </c>
      <c r="BH1083" s="48" t="s">
        <v>2486</v>
      </c>
      <c r="BI1083" s="98">
        <v>2.5496959999999997E-3</v>
      </c>
      <c r="BJ1083" s="98">
        <v>25.496960000000001</v>
      </c>
      <c r="BK1083" s="48"/>
      <c r="BL1083" s="487">
        <v>83.591559704413015</v>
      </c>
      <c r="BM1083" s="47" t="s">
        <v>2487</v>
      </c>
      <c r="BN1083" s="48"/>
      <c r="BO1083" s="48"/>
      <c r="BP1083" s="48"/>
      <c r="BQ1083" s="48"/>
      <c r="BR1083" s="47" t="e">
        <v>#VALUE!</v>
      </c>
      <c r="BS1083" s="48"/>
      <c r="BT1083" s="48"/>
      <c r="BU1083" s="228"/>
      <c r="BV1083" s="48"/>
      <c r="BW1083" s="48"/>
      <c r="BX1083" s="48"/>
      <c r="BY1083" s="48"/>
      <c r="BZ1083" s="48"/>
      <c r="CA1083" s="48"/>
      <c r="CB1083" s="48"/>
      <c r="CC1083" s="48"/>
      <c r="CD1083" s="48"/>
      <c r="CE1083" s="48"/>
      <c r="CF1083" s="48"/>
      <c r="CG1083" s="48"/>
      <c r="CH1083" s="48"/>
      <c r="CI1083" s="98"/>
      <c r="CJ1083" s="98"/>
      <c r="CK1083" s="49">
        <f t="shared" si="220"/>
        <v>3.2784912281469247</v>
      </c>
      <c r="CL1083" s="229"/>
      <c r="CM1083" s="229"/>
      <c r="CN1083" s="229"/>
      <c r="CO1083" s="47" t="s">
        <v>2488</v>
      </c>
      <c r="CP1083" s="500" t="s">
        <v>2489</v>
      </c>
      <c r="CQ1083" s="224" t="s">
        <v>272</v>
      </c>
      <c r="CR1083" s="224"/>
      <c r="CS1083" s="230" t="s">
        <v>539</v>
      </c>
      <c r="CT1083" s="230"/>
      <c r="CU1083" s="230"/>
      <c r="CV1083" s="335">
        <f t="shared" si="221"/>
        <v>12.700476815064041</v>
      </c>
      <c r="CW1083" s="230">
        <f t="shared" si="222"/>
        <v>1</v>
      </c>
      <c r="CX1083" s="336"/>
      <c r="CY1083" s="230" t="s">
        <v>5921</v>
      </c>
    </row>
    <row r="1084" spans="1:103" ht="11.25" customHeight="1" x14ac:dyDescent="0.2">
      <c r="A1084" s="72">
        <v>1538</v>
      </c>
      <c r="B1084" s="224">
        <v>1049</v>
      </c>
      <c r="C1084" s="46" t="s">
        <v>7542</v>
      </c>
      <c r="D1084" s="46"/>
      <c r="E1084" s="114"/>
      <c r="F1084" s="114" t="s">
        <v>2964</v>
      </c>
      <c r="G1084" s="225">
        <v>184653847</v>
      </c>
      <c r="H1084" s="47" t="s">
        <v>2965</v>
      </c>
      <c r="I1084" s="47" t="s">
        <v>7775</v>
      </c>
      <c r="J1084" s="47" t="s">
        <v>2966</v>
      </c>
      <c r="K1084" s="47" t="s">
        <v>471</v>
      </c>
      <c r="L1084" s="47" t="s">
        <v>279</v>
      </c>
      <c r="M1084" s="47" t="s">
        <v>5961</v>
      </c>
      <c r="N1084" s="47"/>
      <c r="O1084" s="47" t="s">
        <v>5962</v>
      </c>
      <c r="P1084" s="53"/>
      <c r="Q1084" s="53"/>
      <c r="R1084" s="53"/>
      <c r="S1084" s="53"/>
      <c r="T1084" s="48">
        <v>357.38</v>
      </c>
      <c r="U1084" s="98"/>
      <c r="V1084" s="98">
        <v>40.03</v>
      </c>
      <c r="W1084" s="98">
        <v>31.126496777850395</v>
      </c>
      <c r="X1084" s="98">
        <v>31.126496777850395</v>
      </c>
      <c r="Y1084" s="233">
        <v>7</v>
      </c>
      <c r="Z1084" s="48">
        <v>2.5099999999999998</v>
      </c>
      <c r="AA1084" s="48"/>
      <c r="AB1084" s="48">
        <v>2.56</v>
      </c>
      <c r="AC1084" s="48">
        <v>0.69530000000000003</v>
      </c>
      <c r="AD1084" s="48">
        <v>2.75</v>
      </c>
      <c r="AE1084" s="48">
        <v>3.12</v>
      </c>
      <c r="AF1084" s="48">
        <f t="shared" si="225"/>
        <v>2.75</v>
      </c>
      <c r="AG1084" s="49">
        <v>2.82</v>
      </c>
      <c r="AH1084" s="98">
        <v>1.8600000000000001E-18</v>
      </c>
      <c r="AI1084" s="98"/>
      <c r="AJ1084" s="483">
        <f t="shared" si="224"/>
        <v>-16.119053382094734</v>
      </c>
      <c r="AK1084" s="483"/>
      <c r="AL1084" s="483">
        <f t="shared" si="223"/>
        <v>-16.119053382094734</v>
      </c>
      <c r="AM1084" s="483">
        <v>-21.010520000000003</v>
      </c>
      <c r="AN1084" s="226">
        <v>-14.9</v>
      </c>
      <c r="AO1084" s="484">
        <v>13.05</v>
      </c>
      <c r="AP1084" s="484">
        <v>-2.58</v>
      </c>
      <c r="AQ1084" s="48" t="s">
        <v>6311</v>
      </c>
      <c r="AR1084" s="48" t="s">
        <v>6311</v>
      </c>
      <c r="AS1084" s="227"/>
      <c r="AT1084" s="50" t="s">
        <v>266</v>
      </c>
      <c r="AU1084" s="48">
        <v>6</v>
      </c>
      <c r="AV1084" s="48">
        <v>120</v>
      </c>
      <c r="AW1084" s="48">
        <v>114</v>
      </c>
      <c r="AX1084" s="48">
        <v>28</v>
      </c>
      <c r="AY1084" s="48" t="s">
        <v>8728</v>
      </c>
      <c r="AZ1084" s="48" t="s">
        <v>1563</v>
      </c>
      <c r="BA1084" s="48">
        <v>32</v>
      </c>
      <c r="BB1084" s="47" t="s">
        <v>2485</v>
      </c>
      <c r="BC1084" s="47" t="s">
        <v>8726</v>
      </c>
      <c r="BD1084" s="47" t="s">
        <v>8374</v>
      </c>
      <c r="BE1084" s="48" t="s">
        <v>2449</v>
      </c>
      <c r="BF1084" s="48" t="s">
        <v>272</v>
      </c>
      <c r="BG1084" s="48" t="s">
        <v>272</v>
      </c>
      <c r="BH1084" s="48" t="s">
        <v>2486</v>
      </c>
      <c r="BI1084" s="98">
        <v>2.2872319999999997E-3</v>
      </c>
      <c r="BJ1084" s="98">
        <v>22.872319999999998</v>
      </c>
      <c r="BK1084" s="48"/>
      <c r="BL1084" s="487">
        <v>102.25845917099892</v>
      </c>
      <c r="BM1084" s="47" t="s">
        <v>2487</v>
      </c>
      <c r="BN1084" s="48"/>
      <c r="BO1084" s="48"/>
      <c r="BP1084" s="48"/>
      <c r="BQ1084" s="48"/>
      <c r="BR1084" s="47" t="e">
        <v>#VALUE!</v>
      </c>
      <c r="BS1084" s="48"/>
      <c r="BT1084" s="48"/>
      <c r="BU1084" s="228">
        <v>22.300511999999998</v>
      </c>
      <c r="BV1084" s="48"/>
      <c r="BW1084" s="48"/>
      <c r="BX1084" s="48"/>
      <c r="BY1084" s="48"/>
      <c r="BZ1084" s="48"/>
      <c r="CA1084" s="48"/>
      <c r="CB1084" s="48"/>
      <c r="CC1084" s="48"/>
      <c r="CD1084" s="48"/>
      <c r="CE1084" s="48"/>
      <c r="CF1084" s="48"/>
      <c r="CG1084" s="48"/>
      <c r="CH1084" s="48"/>
      <c r="CI1084" s="98"/>
      <c r="CJ1084" s="98"/>
      <c r="CK1084" s="49">
        <f t="shared" si="220"/>
        <v>4.4708389516672957</v>
      </c>
      <c r="CL1084" s="229"/>
      <c r="CM1084" s="229"/>
      <c r="CN1084" s="229"/>
      <c r="CO1084" s="47" t="s">
        <v>2488</v>
      </c>
      <c r="CP1084" s="500" t="s">
        <v>2489</v>
      </c>
      <c r="CQ1084" s="224" t="s">
        <v>272</v>
      </c>
      <c r="CR1084" s="224"/>
      <c r="CS1084" s="230" t="s">
        <v>539</v>
      </c>
      <c r="CT1084" s="230"/>
      <c r="CU1084" s="230"/>
      <c r="CV1084" s="335">
        <f t="shared" si="221"/>
        <v>1.3608806093063754</v>
      </c>
      <c r="CW1084" s="230">
        <f t="shared" si="222"/>
        <v>1</v>
      </c>
      <c r="CX1084" s="336"/>
      <c r="CY1084" s="230" t="s">
        <v>5921</v>
      </c>
    </row>
    <row r="1085" spans="1:103" ht="11.25" customHeight="1" x14ac:dyDescent="0.2">
      <c r="A1085" s="72">
        <v>1539</v>
      </c>
      <c r="B1085" s="224">
        <v>1707</v>
      </c>
      <c r="C1085" s="46" t="s">
        <v>7543</v>
      </c>
      <c r="D1085" s="46"/>
      <c r="E1085" s="114"/>
      <c r="F1085" s="114" t="s">
        <v>4967</v>
      </c>
      <c r="G1085" s="225">
        <v>186392654</v>
      </c>
      <c r="H1085" s="47" t="s">
        <v>4968</v>
      </c>
      <c r="I1085" s="47" t="s">
        <v>7826</v>
      </c>
      <c r="J1085" s="47" t="s">
        <v>4969</v>
      </c>
      <c r="K1085" s="47" t="s">
        <v>1473</v>
      </c>
      <c r="L1085" s="47"/>
      <c r="M1085" s="47"/>
      <c r="N1085" s="47"/>
      <c r="O1085" s="47"/>
      <c r="P1085" s="53"/>
      <c r="Q1085" s="53"/>
      <c r="R1085" s="53"/>
      <c r="S1085" s="53"/>
      <c r="T1085" s="48">
        <v>457.91</v>
      </c>
      <c r="U1085" s="98"/>
      <c r="V1085" s="98">
        <v>483.89999999999992</v>
      </c>
      <c r="W1085" s="98">
        <v>32.417545412734022</v>
      </c>
      <c r="X1085" s="98">
        <v>32.417545412734022</v>
      </c>
      <c r="Y1085" s="233">
        <v>7</v>
      </c>
      <c r="Z1085" s="48">
        <v>0.51</v>
      </c>
      <c r="AA1085" s="48"/>
      <c r="AB1085" s="48">
        <v>1.23</v>
      </c>
      <c r="AC1085" s="48">
        <v>0.68059999999999998</v>
      </c>
      <c r="AD1085" s="48">
        <v>1.72</v>
      </c>
      <c r="AE1085" s="48">
        <v>2.71</v>
      </c>
      <c r="AF1085" s="48">
        <f t="shared" si="225"/>
        <v>1.72</v>
      </c>
      <c r="AG1085" s="49">
        <v>1.8</v>
      </c>
      <c r="AH1085" s="98">
        <v>1.5800000000000001E-20</v>
      </c>
      <c r="AI1085" s="98"/>
      <c r="AJ1085" s="483">
        <f t="shared" si="224"/>
        <v>-18.189909239358229</v>
      </c>
      <c r="AK1085" s="483"/>
      <c r="AL1085" s="483">
        <f t="shared" si="223"/>
        <v>-18.189909239358229</v>
      </c>
      <c r="AM1085" s="483">
        <v>-33.6068</v>
      </c>
      <c r="AN1085" s="226">
        <v>-24.8</v>
      </c>
      <c r="AO1085" s="484">
        <v>12.88</v>
      </c>
      <c r="AP1085" s="484">
        <v>-1.72</v>
      </c>
      <c r="AQ1085" s="226" t="s">
        <v>6311</v>
      </c>
      <c r="AR1085" s="226" t="s">
        <v>6311</v>
      </c>
      <c r="AS1085" s="224"/>
      <c r="AT1085" s="50" t="s">
        <v>266</v>
      </c>
      <c r="AU1085" s="48">
        <v>6</v>
      </c>
      <c r="AV1085" s="48">
        <v>120</v>
      </c>
      <c r="AW1085" s="48">
        <v>114</v>
      </c>
      <c r="AX1085" s="48">
        <v>28</v>
      </c>
      <c r="AY1085" s="48" t="s">
        <v>8728</v>
      </c>
      <c r="AZ1085" s="48" t="s">
        <v>1563</v>
      </c>
      <c r="BA1085" s="48">
        <v>32</v>
      </c>
      <c r="BB1085" s="47" t="s">
        <v>2485</v>
      </c>
      <c r="BC1085" s="47" t="s">
        <v>8726</v>
      </c>
      <c r="BD1085" s="47" t="s">
        <v>8374</v>
      </c>
      <c r="BE1085" s="48" t="s">
        <v>2449</v>
      </c>
      <c r="BF1085" s="48" t="s">
        <v>272</v>
      </c>
      <c r="BG1085" s="48" t="s">
        <v>272</v>
      </c>
      <c r="BH1085" s="48" t="s">
        <v>2486</v>
      </c>
      <c r="BI1085" s="98">
        <v>2.9306240000000002E-3</v>
      </c>
      <c r="BJ1085" s="98">
        <v>29.306240000000003</v>
      </c>
      <c r="BK1085" s="48"/>
      <c r="BL1085" s="487">
        <v>8195.0032078608747</v>
      </c>
      <c r="BM1085" s="47" t="s">
        <v>2487</v>
      </c>
      <c r="BN1085" s="48"/>
      <c r="BO1085" s="48"/>
      <c r="BP1085" s="48"/>
      <c r="BQ1085" s="48"/>
      <c r="BR1085" s="47" t="e">
        <v>#VALUE!</v>
      </c>
      <c r="BS1085" s="48"/>
      <c r="BT1085" s="48"/>
      <c r="BU1085" s="228"/>
      <c r="BV1085" s="48"/>
      <c r="BW1085" s="48"/>
      <c r="BX1085" s="48"/>
      <c r="BY1085" s="48"/>
      <c r="BZ1085" s="48"/>
      <c r="CA1085" s="48"/>
      <c r="CB1085" s="48"/>
      <c r="CC1085" s="48"/>
      <c r="CD1085" s="48"/>
      <c r="CE1085" s="48"/>
      <c r="CF1085" s="48"/>
      <c r="CG1085" s="48"/>
      <c r="CH1085" s="48"/>
      <c r="CI1085" s="98"/>
      <c r="CJ1085" s="98"/>
      <c r="CK1085" s="49">
        <f t="shared" si="220"/>
        <v>279.63338892539178</v>
      </c>
      <c r="CL1085" s="229"/>
      <c r="CM1085" s="229"/>
      <c r="CN1085" s="229"/>
      <c r="CO1085" s="47" t="s">
        <v>2488</v>
      </c>
      <c r="CP1085" s="500" t="s">
        <v>2489</v>
      </c>
      <c r="CQ1085" s="224" t="s">
        <v>272</v>
      </c>
      <c r="CR1085" s="224"/>
      <c r="CS1085" s="230" t="s">
        <v>539</v>
      </c>
      <c r="CT1085" s="230"/>
      <c r="CU1085" s="230"/>
      <c r="CV1085" s="335">
        <f t="shared" si="221"/>
        <v>1.1061652881002142</v>
      </c>
      <c r="CW1085" s="230">
        <f t="shared" ref="CW1085:CW1086" si="226">IF(CV1085&lt;1,0,1)</f>
        <v>1</v>
      </c>
      <c r="CX1085" s="336"/>
      <c r="CY1085" s="230" t="s">
        <v>5921</v>
      </c>
    </row>
    <row r="1086" spans="1:103" ht="11.25" customHeight="1" x14ac:dyDescent="0.2">
      <c r="A1086" s="72">
        <v>1540</v>
      </c>
      <c r="B1086" s="224">
        <v>1669</v>
      </c>
      <c r="C1086" s="46" t="s">
        <v>1213</v>
      </c>
      <c r="D1086" s="46" t="s">
        <v>6760</v>
      </c>
      <c r="E1086" s="114"/>
      <c r="F1086" s="114" t="s">
        <v>1214</v>
      </c>
      <c r="G1086" s="225">
        <v>188489078</v>
      </c>
      <c r="H1086" s="47" t="s">
        <v>1215</v>
      </c>
      <c r="I1086" s="47" t="s">
        <v>7893</v>
      </c>
      <c r="J1086" s="47" t="s">
        <v>4885</v>
      </c>
      <c r="K1086" s="47" t="s">
        <v>1217</v>
      </c>
      <c r="L1086" s="47" t="s">
        <v>5987</v>
      </c>
      <c r="M1086" s="47" t="s">
        <v>2342</v>
      </c>
      <c r="N1086" s="47" t="s">
        <v>2342</v>
      </c>
      <c r="O1086" s="47"/>
      <c r="P1086" s="53"/>
      <c r="Q1086" s="53"/>
      <c r="R1086" s="53"/>
      <c r="S1086" s="53"/>
      <c r="T1086" s="48">
        <v>408.73</v>
      </c>
      <c r="U1086" s="98"/>
      <c r="V1086" s="98">
        <v>0.77549999999999997</v>
      </c>
      <c r="W1086" s="98">
        <v>1.2062477472153492</v>
      </c>
      <c r="X1086" s="98">
        <v>1.2062477472153492</v>
      </c>
      <c r="Y1086" s="233">
        <v>7</v>
      </c>
      <c r="Z1086" s="48">
        <v>4.1500000000000004</v>
      </c>
      <c r="AA1086" s="48"/>
      <c r="AB1086" s="48">
        <v>3.46</v>
      </c>
      <c r="AC1086" s="48">
        <v>0.60660000000000003</v>
      </c>
      <c r="AD1086" s="48">
        <v>3.48</v>
      </c>
      <c r="AE1086" s="48">
        <v>3.53</v>
      </c>
      <c r="AF1086" s="48">
        <f t="shared" si="225"/>
        <v>3.48</v>
      </c>
      <c r="AG1086" s="49">
        <v>3.42</v>
      </c>
      <c r="AH1086" s="98">
        <v>9.3600000000000008E-10</v>
      </c>
      <c r="AI1086" s="98"/>
      <c r="AJ1086" s="483">
        <f t="shared" si="224"/>
        <v>-7.4172904775745465</v>
      </c>
      <c r="AK1086" s="483"/>
      <c r="AL1086" s="483">
        <f t="shared" si="223"/>
        <v>-7.4172904775745465</v>
      </c>
      <c r="AM1086" s="483">
        <v>-12.87222</v>
      </c>
      <c r="AN1086" s="226">
        <v>-20.5</v>
      </c>
      <c r="AO1086" s="484"/>
      <c r="AP1086" s="484">
        <v>-3.03</v>
      </c>
      <c r="AQ1086" s="226" t="s">
        <v>6311</v>
      </c>
      <c r="AR1086" s="226" t="s">
        <v>6314</v>
      </c>
      <c r="AS1086" s="224"/>
      <c r="AT1086" s="50" t="s">
        <v>266</v>
      </c>
      <c r="AU1086" s="48">
        <v>6</v>
      </c>
      <c r="AV1086" s="48">
        <v>120</v>
      </c>
      <c r="AW1086" s="48">
        <v>114</v>
      </c>
      <c r="AX1086" s="48">
        <v>28</v>
      </c>
      <c r="AY1086" s="48" t="s">
        <v>8728</v>
      </c>
      <c r="AZ1086" s="48" t="s">
        <v>1563</v>
      </c>
      <c r="BA1086" s="48">
        <v>32</v>
      </c>
      <c r="BB1086" s="47" t="s">
        <v>2485</v>
      </c>
      <c r="BC1086" s="47" t="s">
        <v>8726</v>
      </c>
      <c r="BD1086" s="47" t="s">
        <v>8374</v>
      </c>
      <c r="BE1086" s="48" t="s">
        <v>2449</v>
      </c>
      <c r="BF1086" s="48" t="s">
        <v>272</v>
      </c>
      <c r="BG1086" s="48" t="s">
        <v>272</v>
      </c>
      <c r="BH1086" s="48" t="s">
        <v>2486</v>
      </c>
      <c r="BI1086" s="98">
        <v>2.615872E-3</v>
      </c>
      <c r="BJ1086" s="98">
        <v>26.158720000000002</v>
      </c>
      <c r="BK1086" s="48"/>
      <c r="BL1086" s="487">
        <v>3.9366020587388801</v>
      </c>
      <c r="BM1086" s="47" t="s">
        <v>2487</v>
      </c>
      <c r="BN1086" s="48"/>
      <c r="BO1086" s="48"/>
      <c r="BP1086" s="48"/>
      <c r="BQ1086" s="48"/>
      <c r="BR1086" s="47" t="e">
        <v>#VALUE!</v>
      </c>
      <c r="BS1086" s="48"/>
      <c r="BT1086" s="48"/>
      <c r="BU1086" s="228"/>
      <c r="BV1086" s="48"/>
      <c r="BW1086" s="48"/>
      <c r="BX1086" s="48"/>
      <c r="BY1086" s="48"/>
      <c r="BZ1086" s="48"/>
      <c r="CA1086" s="48"/>
      <c r="CB1086" s="48"/>
      <c r="CC1086" s="48"/>
      <c r="CD1086" s="48"/>
      <c r="CE1086" s="48"/>
      <c r="CF1086" s="48"/>
      <c r="CG1086" s="48"/>
      <c r="CH1086" s="48"/>
      <c r="CI1086" s="98"/>
      <c r="CJ1086" s="98"/>
      <c r="CK1086" s="49">
        <f t="shared" si="220"/>
        <v>0.15048909345483572</v>
      </c>
      <c r="CL1086" s="229"/>
      <c r="CM1086" s="229">
        <v>0.39794000867203766</v>
      </c>
      <c r="CN1086" s="229">
        <f>BJ1086/(10^CM1086)</f>
        <v>10.463488</v>
      </c>
      <c r="CO1086" s="47" t="s">
        <v>2488</v>
      </c>
      <c r="CP1086" s="500" t="s">
        <v>2489</v>
      </c>
      <c r="CQ1086" s="224">
        <v>0.48307086636951629</v>
      </c>
      <c r="CR1086" s="224">
        <f>10^(CJ1086-CQ1086)</f>
        <v>0.32879797461071453</v>
      </c>
      <c r="CS1086" s="230" t="s">
        <v>539</v>
      </c>
      <c r="CT1086" s="230"/>
      <c r="CU1086" s="230"/>
      <c r="CV1086" s="335">
        <f t="shared" si="221"/>
        <v>4.6112644166662171E-2</v>
      </c>
      <c r="CW1086" s="230">
        <f t="shared" si="226"/>
        <v>0</v>
      </c>
      <c r="CX1086" s="336"/>
      <c r="CY1086" s="230" t="s">
        <v>5921</v>
      </c>
    </row>
    <row r="1087" spans="1:103" ht="11.25" customHeight="1" x14ac:dyDescent="0.2">
      <c r="A1087" s="72">
        <v>1541</v>
      </c>
      <c r="B1087" s="224">
        <v>1302</v>
      </c>
      <c r="C1087" s="46" t="s">
        <v>7544</v>
      </c>
      <c r="D1087" s="46"/>
      <c r="E1087" s="114"/>
      <c r="F1087" s="114" t="s">
        <v>3571</v>
      </c>
      <c r="G1087" s="225">
        <v>189003927</v>
      </c>
      <c r="H1087" s="231" t="s">
        <v>6334</v>
      </c>
      <c r="I1087" s="231" t="s">
        <v>7801</v>
      </c>
      <c r="J1087" s="231" t="s">
        <v>6333</v>
      </c>
      <c r="K1087" s="47"/>
      <c r="L1087" s="47"/>
      <c r="M1087" s="47"/>
      <c r="N1087" s="47"/>
      <c r="O1087" s="47"/>
      <c r="P1087" s="53"/>
      <c r="Q1087" s="53"/>
      <c r="R1087" s="53"/>
      <c r="S1087" s="53"/>
      <c r="T1087" s="48">
        <v>465.55059999999997</v>
      </c>
      <c r="U1087" s="98"/>
      <c r="V1087" s="98"/>
      <c r="W1087" s="98"/>
      <c r="X1087" s="98"/>
      <c r="Y1087" s="233">
        <v>8.57</v>
      </c>
      <c r="Z1087" s="48">
        <v>2.63</v>
      </c>
      <c r="AA1087" s="48"/>
      <c r="AB1087" s="48">
        <v>1.93</v>
      </c>
      <c r="AC1087" s="48">
        <v>0.71609999999999996</v>
      </c>
      <c r="AD1087" s="48">
        <v>2.31</v>
      </c>
      <c r="AE1087" s="48">
        <v>3.39</v>
      </c>
      <c r="AF1087" s="48">
        <f t="shared" si="225"/>
        <v>2.31</v>
      </c>
      <c r="AG1087" s="231"/>
      <c r="AH1087" s="98">
        <v>3.7000000000000002E-21</v>
      </c>
      <c r="AI1087" s="98"/>
      <c r="AJ1087" s="483">
        <f t="shared" si="224"/>
        <v>-18.820364602245657</v>
      </c>
      <c r="AK1087" s="483"/>
      <c r="AL1087" s="483">
        <f t="shared" si="223"/>
        <v>-18.820364602245657</v>
      </c>
      <c r="AM1087" s="483">
        <v>-29.106729999999999</v>
      </c>
      <c r="AN1087" s="226"/>
      <c r="AO1087" s="484">
        <v>15.57</v>
      </c>
      <c r="AP1087" s="484">
        <v>8.5500000000000007</v>
      </c>
      <c r="AQ1087" s="48" t="s">
        <v>6317</v>
      </c>
      <c r="AR1087" s="48" t="s">
        <v>6317</v>
      </c>
      <c r="AS1087" s="227"/>
      <c r="AT1087" s="50" t="s">
        <v>266</v>
      </c>
      <c r="AU1087" s="48">
        <v>6</v>
      </c>
      <c r="AV1087" s="48">
        <v>120</v>
      </c>
      <c r="AW1087" s="48">
        <v>114</v>
      </c>
      <c r="AX1087" s="48">
        <v>28</v>
      </c>
      <c r="AY1087" s="48" t="s">
        <v>8728</v>
      </c>
      <c r="AZ1087" s="48" t="s">
        <v>1563</v>
      </c>
      <c r="BA1087" s="48">
        <v>32</v>
      </c>
      <c r="BB1087" s="47" t="s">
        <v>2485</v>
      </c>
      <c r="BC1087" s="47" t="s">
        <v>8726</v>
      </c>
      <c r="BD1087" s="47" t="s">
        <v>8374</v>
      </c>
      <c r="BE1087" s="48" t="s">
        <v>2449</v>
      </c>
      <c r="BF1087" s="48" t="s">
        <v>272</v>
      </c>
      <c r="BG1087" s="48" t="s">
        <v>272</v>
      </c>
      <c r="BH1087" s="48" t="s">
        <v>2486</v>
      </c>
      <c r="BI1087" s="98"/>
      <c r="BJ1087" s="98"/>
      <c r="BK1087" s="48"/>
      <c r="BL1087" s="487"/>
      <c r="BM1087" s="47" t="s">
        <v>2487</v>
      </c>
      <c r="BN1087" s="48"/>
      <c r="BO1087" s="48"/>
      <c r="BP1087" s="48"/>
      <c r="BQ1087" s="48"/>
      <c r="BR1087" s="47" t="e">
        <v>#VALUE!</v>
      </c>
      <c r="BS1087" s="48"/>
      <c r="BT1087" s="48"/>
      <c r="BU1087" s="228"/>
      <c r="BV1087" s="48"/>
      <c r="BW1087" s="48"/>
      <c r="BX1087" s="48"/>
      <c r="BY1087" s="48"/>
      <c r="BZ1087" s="48"/>
      <c r="CA1087" s="48"/>
      <c r="CB1087" s="48"/>
      <c r="CC1087" s="48"/>
      <c r="CD1087" s="48"/>
      <c r="CE1087" s="48"/>
      <c r="CF1087" s="48"/>
      <c r="CG1087" s="48"/>
      <c r="CH1087" s="48"/>
      <c r="CI1087" s="98"/>
      <c r="CJ1087" s="98"/>
      <c r="CK1087" s="49"/>
      <c r="CL1087" s="229"/>
      <c r="CM1087" s="229"/>
      <c r="CN1087" s="229"/>
      <c r="CO1087" s="47" t="s">
        <v>2488</v>
      </c>
      <c r="CP1087" s="500" t="s">
        <v>2489</v>
      </c>
      <c r="CQ1087" s="224" t="s">
        <v>272</v>
      </c>
      <c r="CR1087" s="224"/>
      <c r="CS1087" s="230" t="s">
        <v>539</v>
      </c>
      <c r="CT1087" s="230"/>
      <c r="CU1087" s="230"/>
      <c r="CV1087" s="335"/>
      <c r="CW1087" s="230"/>
      <c r="CX1087" s="336"/>
      <c r="CY1087" s="230" t="s">
        <v>5921</v>
      </c>
    </row>
    <row r="1088" spans="1:103" ht="11.25" customHeight="1" x14ac:dyDescent="0.2">
      <c r="A1088" s="72">
        <v>1542</v>
      </c>
      <c r="B1088" s="224">
        <v>1760</v>
      </c>
      <c r="C1088" s="46" t="s">
        <v>7545</v>
      </c>
      <c r="D1088" s="46"/>
      <c r="E1088" s="114"/>
      <c r="F1088" s="114" t="s">
        <v>5071</v>
      </c>
      <c r="G1088" s="225">
        <v>194098254</v>
      </c>
      <c r="H1088" s="47" t="s">
        <v>5072</v>
      </c>
      <c r="I1088" s="47" t="s">
        <v>7773</v>
      </c>
      <c r="J1088" s="47" t="s">
        <v>5073</v>
      </c>
      <c r="K1088" s="47" t="s">
        <v>471</v>
      </c>
      <c r="L1088" s="47"/>
      <c r="M1088" s="47"/>
      <c r="N1088" s="47"/>
      <c r="O1088" s="47"/>
      <c r="P1088" s="53"/>
      <c r="Q1088" s="53"/>
      <c r="R1088" s="53"/>
      <c r="S1088" s="53"/>
      <c r="T1088" s="48">
        <v>333.37</v>
      </c>
      <c r="U1088" s="98"/>
      <c r="V1088" s="98">
        <v>235.4</v>
      </c>
      <c r="W1088" s="98">
        <v>66.51605979411741</v>
      </c>
      <c r="X1088" s="98">
        <v>66.51605979411741</v>
      </c>
      <c r="Y1088" s="233">
        <v>3.79</v>
      </c>
      <c r="Z1088" s="48">
        <v>1.75</v>
      </c>
      <c r="AA1088" s="48">
        <v>1.78</v>
      </c>
      <c r="AB1088" s="48">
        <v>1.83</v>
      </c>
      <c r="AC1088" s="48">
        <v>0.8508</v>
      </c>
      <c r="AD1088" s="48">
        <v>1.92</v>
      </c>
      <c r="AE1088" s="48">
        <v>2.88</v>
      </c>
      <c r="AF1088" s="48">
        <f t="shared" si="225"/>
        <v>1.78</v>
      </c>
      <c r="AG1088" s="49">
        <v>1.92</v>
      </c>
      <c r="AH1088" s="98">
        <v>4.5400000000000002E-17</v>
      </c>
      <c r="AI1088" s="98"/>
      <c r="AJ1088" s="483">
        <f t="shared" si="224"/>
        <v>-14.731510473455549</v>
      </c>
      <c r="AK1088" s="483"/>
      <c r="AL1088" s="483">
        <f t="shared" si="223"/>
        <v>-14.731510473455549</v>
      </c>
      <c r="AM1088" s="483">
        <v>-23.234189999999998</v>
      </c>
      <c r="AN1088" s="226"/>
      <c r="AO1088" s="484">
        <v>3.09</v>
      </c>
      <c r="AP1088" s="484">
        <v>0.43</v>
      </c>
      <c r="AQ1088" s="226" t="s">
        <v>6311</v>
      </c>
      <c r="AR1088" s="226" t="s">
        <v>6311</v>
      </c>
      <c r="AS1088" s="224"/>
      <c r="AT1088" s="50" t="s">
        <v>266</v>
      </c>
      <c r="AU1088" s="48">
        <v>6</v>
      </c>
      <c r="AV1088" s="48">
        <v>120</v>
      </c>
      <c r="AW1088" s="48">
        <v>114</v>
      </c>
      <c r="AX1088" s="48">
        <v>28</v>
      </c>
      <c r="AY1088" s="48" t="s">
        <v>8728</v>
      </c>
      <c r="AZ1088" s="48" t="s">
        <v>1563</v>
      </c>
      <c r="BA1088" s="48">
        <v>32</v>
      </c>
      <c r="BB1088" s="47" t="s">
        <v>2485</v>
      </c>
      <c r="BC1088" s="47" t="s">
        <v>8726</v>
      </c>
      <c r="BD1088" s="47" t="s">
        <v>8374</v>
      </c>
      <c r="BE1088" s="48" t="s">
        <v>2449</v>
      </c>
      <c r="BF1088" s="48" t="s">
        <v>272</v>
      </c>
      <c r="BG1088" s="48" t="s">
        <v>272</v>
      </c>
      <c r="BH1088" s="48" t="s">
        <v>2486</v>
      </c>
      <c r="BI1088" s="98">
        <v>2.1335679999999997E-3</v>
      </c>
      <c r="BJ1088" s="98">
        <v>21.33568</v>
      </c>
      <c r="BK1088" s="48"/>
      <c r="BL1088" s="487">
        <v>459.25248511503491</v>
      </c>
      <c r="BM1088" s="47" t="s">
        <v>2487</v>
      </c>
      <c r="BN1088" s="48"/>
      <c r="BO1088" s="48"/>
      <c r="BP1088" s="48"/>
      <c r="BQ1088" s="48"/>
      <c r="BR1088" s="47" t="e">
        <v>#VALUE!</v>
      </c>
      <c r="BS1088" s="48"/>
      <c r="BT1088" s="48"/>
      <c r="BU1088" s="228"/>
      <c r="BV1088" s="48"/>
      <c r="BW1088" s="48"/>
      <c r="BX1088" s="48"/>
      <c r="BY1088" s="48"/>
      <c r="BZ1088" s="48"/>
      <c r="CA1088" s="48"/>
      <c r="CB1088" s="48"/>
      <c r="CC1088" s="48"/>
      <c r="CD1088" s="48"/>
      <c r="CE1088" s="48"/>
      <c r="CF1088" s="48"/>
      <c r="CG1088" s="48"/>
      <c r="CH1088" s="48"/>
      <c r="CI1088" s="98"/>
      <c r="CJ1088" s="98"/>
      <c r="CK1088" s="49">
        <f>BL1088/BJ1088</f>
        <v>21.525092479594505</v>
      </c>
      <c r="CL1088" s="229"/>
      <c r="CM1088" s="229"/>
      <c r="CN1088" s="229"/>
      <c r="CO1088" s="47" t="s">
        <v>2488</v>
      </c>
      <c r="CP1088" s="500" t="s">
        <v>2489</v>
      </c>
      <c r="CQ1088" s="224" t="s">
        <v>272</v>
      </c>
      <c r="CR1088" s="224"/>
      <c r="CS1088" s="230" t="s">
        <v>539</v>
      </c>
      <c r="CT1088" s="230"/>
      <c r="CU1088" s="230"/>
      <c r="CV1088" s="335">
        <f t="shared" ref="CV1088:CV1107" si="227">X1088/BJ1088</f>
        <v>3.1175973671388681</v>
      </c>
      <c r="CW1088" s="230">
        <f t="shared" ref="CW1088:CW1107" si="228">IF(CV1088&lt;1,0,1)</f>
        <v>1</v>
      </c>
      <c r="CX1088" s="336"/>
      <c r="CY1088" s="230" t="s">
        <v>5921</v>
      </c>
    </row>
    <row r="1089" spans="1:103" ht="11.25" customHeight="1" x14ac:dyDescent="0.2">
      <c r="A1089" s="72">
        <v>1543</v>
      </c>
      <c r="B1089" s="224">
        <v>1482</v>
      </c>
      <c r="C1089" s="46" t="s">
        <v>7546</v>
      </c>
      <c r="D1089" s="46"/>
      <c r="E1089" s="114"/>
      <c r="F1089" s="114" t="s">
        <v>4555</v>
      </c>
      <c r="G1089" s="225">
        <v>197077557</v>
      </c>
      <c r="H1089" s="47" t="s">
        <v>4556</v>
      </c>
      <c r="I1089" s="47" t="s">
        <v>7739</v>
      </c>
      <c r="J1089" s="47" t="s">
        <v>4557</v>
      </c>
      <c r="K1089" s="47" t="s">
        <v>300</v>
      </c>
      <c r="L1089" s="47"/>
      <c r="M1089" s="47"/>
      <c r="N1089" s="47"/>
      <c r="O1089" s="47"/>
      <c r="P1089" s="53"/>
      <c r="Q1089" s="53"/>
      <c r="R1089" s="53"/>
      <c r="S1089" s="53"/>
      <c r="T1089" s="48">
        <v>300.16000000000003</v>
      </c>
      <c r="U1089" s="98"/>
      <c r="V1089" s="98">
        <v>29.79</v>
      </c>
      <c r="W1089" s="98">
        <v>5.8526535506337423</v>
      </c>
      <c r="X1089" s="98">
        <v>5.8526535506337423</v>
      </c>
      <c r="Y1089" s="233">
        <v>9</v>
      </c>
      <c r="Z1089" s="48">
        <v>4.24</v>
      </c>
      <c r="AA1089" s="48"/>
      <c r="AB1089" s="48">
        <v>5</v>
      </c>
      <c r="AC1089" s="48">
        <v>0.8296</v>
      </c>
      <c r="AD1089" s="48">
        <v>5</v>
      </c>
      <c r="AE1089" s="48">
        <v>4.99</v>
      </c>
      <c r="AF1089" s="48">
        <f t="shared" si="225"/>
        <v>5</v>
      </c>
      <c r="AG1089" s="49">
        <v>4.25</v>
      </c>
      <c r="AH1089" s="98">
        <v>1.88E-8</v>
      </c>
      <c r="AI1089" s="98"/>
      <c r="AJ1089" s="483">
        <f t="shared" si="224"/>
        <v>-6.1144084770489719</v>
      </c>
      <c r="AK1089" s="483"/>
      <c r="AL1089" s="483">
        <f t="shared" si="223"/>
        <v>-6.1144084770489719</v>
      </c>
      <c r="AM1089" s="483">
        <v>-10.414</v>
      </c>
      <c r="AN1089" s="226">
        <v>-4.12</v>
      </c>
      <c r="AO1089" s="484"/>
      <c r="AP1089" s="484">
        <v>9.0399999999999991</v>
      </c>
      <c r="AQ1089" s="48" t="s">
        <v>6311</v>
      </c>
      <c r="AR1089" s="48" t="s">
        <v>6311</v>
      </c>
      <c r="AS1089" s="227"/>
      <c r="AT1089" s="50" t="s">
        <v>266</v>
      </c>
      <c r="AU1089" s="48">
        <v>6</v>
      </c>
      <c r="AV1089" s="48">
        <v>120</v>
      </c>
      <c r="AW1089" s="48">
        <v>114</v>
      </c>
      <c r="AX1089" s="48">
        <v>28</v>
      </c>
      <c r="AY1089" s="48" t="s">
        <v>8728</v>
      </c>
      <c r="AZ1089" s="48" t="s">
        <v>1563</v>
      </c>
      <c r="BA1089" s="48">
        <v>32</v>
      </c>
      <c r="BB1089" s="47" t="s">
        <v>2485</v>
      </c>
      <c r="BC1089" s="47" t="s">
        <v>8726</v>
      </c>
      <c r="BD1089" s="47" t="s">
        <v>8374</v>
      </c>
      <c r="BE1089" s="48" t="s">
        <v>2449</v>
      </c>
      <c r="BF1089" s="48" t="s">
        <v>272</v>
      </c>
      <c r="BG1089" s="48" t="s">
        <v>272</v>
      </c>
      <c r="BH1089" s="48" t="s">
        <v>2486</v>
      </c>
      <c r="BI1089" s="98">
        <v>1.9210240000000001E-3</v>
      </c>
      <c r="BJ1089" s="98">
        <v>19.210240000000002</v>
      </c>
      <c r="BK1089" s="48"/>
      <c r="BL1089" s="487">
        <v>2.3999865989223461</v>
      </c>
      <c r="BM1089" s="47" t="s">
        <v>2487</v>
      </c>
      <c r="BN1089" s="48"/>
      <c r="BO1089" s="48"/>
      <c r="BP1089" s="48"/>
      <c r="BQ1089" s="48"/>
      <c r="BR1089" s="47" t="e">
        <v>#VALUE!</v>
      </c>
      <c r="BS1089" s="48"/>
      <c r="BT1089" s="48"/>
      <c r="BU1089" s="228"/>
      <c r="BV1089" s="48"/>
      <c r="BW1089" s="48"/>
      <c r="BX1089" s="48"/>
      <c r="BY1089" s="48"/>
      <c r="BZ1089" s="48"/>
      <c r="CA1089" s="48"/>
      <c r="CB1089" s="48"/>
      <c r="CC1089" s="48"/>
      <c r="CD1089" s="48"/>
      <c r="CE1089" s="48"/>
      <c r="CF1089" s="48"/>
      <c r="CG1089" s="48"/>
      <c r="CH1089" s="48"/>
      <c r="CI1089" s="98"/>
      <c r="CJ1089" s="98"/>
      <c r="CK1089" s="49">
        <f>BL1089/BJ1089</f>
        <v>0.12493267126919527</v>
      </c>
      <c r="CL1089" s="229"/>
      <c r="CM1089" s="229"/>
      <c r="CN1089" s="229"/>
      <c r="CO1089" s="47" t="s">
        <v>2488</v>
      </c>
      <c r="CP1089" s="500" t="s">
        <v>2489</v>
      </c>
      <c r="CQ1089" s="224" t="s">
        <v>272</v>
      </c>
      <c r="CR1089" s="224"/>
      <c r="CS1089" s="230" t="s">
        <v>539</v>
      </c>
      <c r="CT1089" s="230"/>
      <c r="CU1089" s="230"/>
      <c r="CV1089" s="335">
        <f t="shared" si="227"/>
        <v>0.30466321871219421</v>
      </c>
      <c r="CW1089" s="230">
        <f t="shared" si="228"/>
        <v>0</v>
      </c>
      <c r="CX1089" s="336"/>
      <c r="CY1089" s="230" t="s">
        <v>5921</v>
      </c>
    </row>
    <row r="1090" spans="1:103" ht="11.25" customHeight="1" x14ac:dyDescent="0.2">
      <c r="A1090" s="72">
        <v>1545</v>
      </c>
      <c r="B1090" s="224">
        <v>1326</v>
      </c>
      <c r="C1090" s="46" t="s">
        <v>7547</v>
      </c>
      <c r="D1090" s="46"/>
      <c r="E1090" s="114"/>
      <c r="F1090" s="114" t="s">
        <v>3612</v>
      </c>
      <c r="G1090" s="225">
        <v>199119589</v>
      </c>
      <c r="H1090" s="236" t="s">
        <v>3613</v>
      </c>
      <c r="I1090" s="236" t="s">
        <v>8183</v>
      </c>
      <c r="J1090" s="236" t="s">
        <v>3614</v>
      </c>
      <c r="K1090" s="236" t="s">
        <v>3615</v>
      </c>
      <c r="L1090" s="47"/>
      <c r="M1090" s="47"/>
      <c r="N1090" s="47"/>
      <c r="O1090" s="52"/>
      <c r="P1090" s="53"/>
      <c r="Q1090" s="53"/>
      <c r="R1090" s="53"/>
      <c r="S1090" s="53"/>
      <c r="T1090" s="240">
        <v>459.34</v>
      </c>
      <c r="U1090" s="409"/>
      <c r="V1090" s="98">
        <v>54.341492168743564</v>
      </c>
      <c r="W1090" s="98">
        <v>50.365629461640999</v>
      </c>
      <c r="X1090" s="98">
        <v>50.365629461640999</v>
      </c>
      <c r="Y1090" s="233">
        <v>4.03</v>
      </c>
      <c r="Z1090" s="48">
        <v>0.11</v>
      </c>
      <c r="AA1090" s="48"/>
      <c r="AB1090" s="48">
        <v>2.0299999999999998</v>
      </c>
      <c r="AC1090" s="48">
        <v>0.61890000000000001</v>
      </c>
      <c r="AD1090" s="48">
        <v>2.31</v>
      </c>
      <c r="AE1090" s="48">
        <v>2.82</v>
      </c>
      <c r="AF1090" s="48">
        <f t="shared" si="225"/>
        <v>2.31</v>
      </c>
      <c r="AG1090" s="48">
        <v>2.31</v>
      </c>
      <c r="AH1090" s="98">
        <v>3.8999999999999999E-12</v>
      </c>
      <c r="AI1090" s="98"/>
      <c r="AJ1090" s="483">
        <f t="shared" si="224"/>
        <v>-9.7975017192861529</v>
      </c>
      <c r="AK1090" s="483"/>
      <c r="AL1090" s="483">
        <f t="shared" si="223"/>
        <v>-9.7975017192861529</v>
      </c>
      <c r="AM1090" s="483">
        <v>-24.908469999999998</v>
      </c>
      <c r="AN1090" s="48"/>
      <c r="AO1090" s="484">
        <v>3.72</v>
      </c>
      <c r="AP1090" s="484">
        <v>-1.0900000000000001</v>
      </c>
      <c r="AQ1090" s="48" t="s">
        <v>6311</v>
      </c>
      <c r="AR1090" s="48" t="s">
        <v>6311</v>
      </c>
      <c r="AS1090" s="227"/>
      <c r="AT1090" s="50" t="s">
        <v>266</v>
      </c>
      <c r="AU1090" s="48">
        <v>6</v>
      </c>
      <c r="AV1090" s="48">
        <v>120</v>
      </c>
      <c r="AW1090" s="48">
        <v>114</v>
      </c>
      <c r="AX1090" s="48">
        <v>28</v>
      </c>
      <c r="AY1090" s="48" t="s">
        <v>8728</v>
      </c>
      <c r="AZ1090" s="48" t="s">
        <v>1563</v>
      </c>
      <c r="BA1090" s="48">
        <v>32</v>
      </c>
      <c r="BB1090" s="47" t="s">
        <v>2485</v>
      </c>
      <c r="BC1090" s="47" t="s">
        <v>8726</v>
      </c>
      <c r="BD1090" s="47" t="s">
        <v>8374</v>
      </c>
      <c r="BE1090" s="48" t="s">
        <v>2449</v>
      </c>
      <c r="BF1090" s="48" t="s">
        <v>272</v>
      </c>
      <c r="BG1090" s="48" t="s">
        <v>272</v>
      </c>
      <c r="BH1090" s="48" t="s">
        <v>2486</v>
      </c>
      <c r="BI1090" s="98">
        <v>2.9397759999999998E-3</v>
      </c>
      <c r="BJ1090" s="98">
        <v>29.397759999999998</v>
      </c>
      <c r="BK1090" s="48"/>
      <c r="BL1090" s="487">
        <v>18799.368724317264</v>
      </c>
      <c r="BM1090" s="47" t="s">
        <v>2487</v>
      </c>
      <c r="BN1090" s="48"/>
      <c r="BO1090" s="48"/>
      <c r="BP1090" s="48"/>
      <c r="BQ1090" s="48"/>
      <c r="BR1090" s="47" t="e">
        <v>#VALUE!</v>
      </c>
      <c r="BS1090" s="48"/>
      <c r="BT1090" s="48"/>
      <c r="BU1090" s="228">
        <v>2.9397759999999998E-2</v>
      </c>
      <c r="BV1090" s="48"/>
      <c r="BW1090" s="48"/>
      <c r="BX1090" s="48"/>
      <c r="BY1090" s="48"/>
      <c r="BZ1090" s="48"/>
      <c r="CA1090" s="48"/>
      <c r="CB1090" s="48"/>
      <c r="CC1090" s="48"/>
      <c r="CD1090" s="48"/>
      <c r="CE1090" s="48"/>
      <c r="CF1090" s="48"/>
      <c r="CG1090" s="48"/>
      <c r="CH1090" s="48"/>
      <c r="CI1090" s="98"/>
      <c r="CJ1090" s="98"/>
      <c r="CK1090" s="49">
        <f>BL1090/BJ1090</f>
        <v>639.48303286771727</v>
      </c>
      <c r="CL1090" s="229"/>
      <c r="CM1090" s="229"/>
      <c r="CN1090" s="229"/>
      <c r="CO1090" s="47" t="s">
        <v>2488</v>
      </c>
      <c r="CP1090" s="500" t="s">
        <v>2489</v>
      </c>
      <c r="CQ1090" s="224" t="s">
        <v>272</v>
      </c>
      <c r="CR1090" s="224"/>
      <c r="CS1090" s="230" t="s">
        <v>539</v>
      </c>
      <c r="CT1090" s="230"/>
      <c r="CU1090" s="230"/>
      <c r="CV1090" s="335">
        <f t="shared" si="227"/>
        <v>1.7132471814737247</v>
      </c>
      <c r="CW1090" s="230">
        <f t="shared" si="228"/>
        <v>1</v>
      </c>
      <c r="CX1090" s="336"/>
      <c r="CY1090" s="230" t="s">
        <v>6351</v>
      </c>
    </row>
    <row r="1091" spans="1:103" ht="11.25" customHeight="1" x14ac:dyDescent="0.2">
      <c r="A1091" s="72">
        <v>1546</v>
      </c>
      <c r="B1091" s="224">
        <v>1476</v>
      </c>
      <c r="C1091" s="46" t="s">
        <v>7548</v>
      </c>
      <c r="D1091" s="46"/>
      <c r="E1091" s="114"/>
      <c r="F1091" s="114" t="s">
        <v>4533</v>
      </c>
      <c r="G1091" s="225">
        <v>200940234</v>
      </c>
      <c r="H1091" s="47" t="s">
        <v>4534</v>
      </c>
      <c r="I1091" s="47" t="s">
        <v>7738</v>
      </c>
      <c r="J1091" s="47" t="s">
        <v>4535</v>
      </c>
      <c r="K1091" s="47" t="s">
        <v>4536</v>
      </c>
      <c r="L1091" s="47"/>
      <c r="M1091" s="47"/>
      <c r="N1091" s="47"/>
      <c r="O1091" s="47"/>
      <c r="P1091" s="53"/>
      <c r="Q1091" s="53"/>
      <c r="R1091" s="53"/>
      <c r="S1091" s="53"/>
      <c r="T1091" s="48">
        <v>403.9</v>
      </c>
      <c r="U1091" s="98"/>
      <c r="V1091" s="98">
        <v>15.16</v>
      </c>
      <c r="W1091" s="98">
        <v>59.741187798113849</v>
      </c>
      <c r="X1091" s="98">
        <v>59.741187798113849</v>
      </c>
      <c r="Y1091" s="233">
        <v>9.44</v>
      </c>
      <c r="Z1091" s="48">
        <v>3.85</v>
      </c>
      <c r="AA1091" s="48"/>
      <c r="AB1091" s="48">
        <v>4.07</v>
      </c>
      <c r="AC1091" s="48">
        <v>0.73719999999999997</v>
      </c>
      <c r="AD1091" s="48">
        <v>3.93</v>
      </c>
      <c r="AE1091" s="48">
        <v>3.65</v>
      </c>
      <c r="AF1091" s="48">
        <f t="shared" si="225"/>
        <v>3.93</v>
      </c>
      <c r="AG1091" s="49">
        <v>4.08</v>
      </c>
      <c r="AH1091" s="98">
        <v>4.4299999999999998E-15</v>
      </c>
      <c r="AI1091" s="98"/>
      <c r="AJ1091" s="483">
        <f t="shared" si="224"/>
        <v>-12.742162600089582</v>
      </c>
      <c r="AK1091" s="483"/>
      <c r="AL1091" s="483">
        <f t="shared" si="223"/>
        <v>-12.742162600089582</v>
      </c>
      <c r="AM1091" s="483">
        <v>-18.89639</v>
      </c>
      <c r="AN1091" s="226">
        <v>-14.2</v>
      </c>
      <c r="AO1091" s="484">
        <v>13.67</v>
      </c>
      <c r="AP1091" s="484">
        <v>8.77</v>
      </c>
      <c r="AQ1091" s="48" t="s">
        <v>6311</v>
      </c>
      <c r="AR1091" s="48" t="s">
        <v>6314</v>
      </c>
      <c r="AS1091" s="227"/>
      <c r="AT1091" s="50" t="s">
        <v>266</v>
      </c>
      <c r="AU1091" s="48">
        <v>6</v>
      </c>
      <c r="AV1091" s="48">
        <v>120</v>
      </c>
      <c r="AW1091" s="48">
        <v>114</v>
      </c>
      <c r="AX1091" s="48">
        <v>28</v>
      </c>
      <c r="AY1091" s="48" t="s">
        <v>8728</v>
      </c>
      <c r="AZ1091" s="48" t="s">
        <v>1563</v>
      </c>
      <c r="BA1091" s="48">
        <v>32</v>
      </c>
      <c r="BB1091" s="47" t="s">
        <v>2485</v>
      </c>
      <c r="BC1091" s="47" t="s">
        <v>8726</v>
      </c>
      <c r="BD1091" s="47" t="s">
        <v>8374</v>
      </c>
      <c r="BE1091" s="48" t="s">
        <v>2449</v>
      </c>
      <c r="BF1091" s="48" t="s">
        <v>272</v>
      </c>
      <c r="BG1091" s="48" t="s">
        <v>272</v>
      </c>
      <c r="BH1091" s="48" t="s">
        <v>2486</v>
      </c>
      <c r="BI1091" s="98">
        <v>2.5849599999999999E-3</v>
      </c>
      <c r="BJ1091" s="98">
        <v>25.849599999999999</v>
      </c>
      <c r="BK1091" s="48"/>
      <c r="BL1091" s="487">
        <v>7.2341723800600093</v>
      </c>
      <c r="BM1091" s="47" t="s">
        <v>2487</v>
      </c>
      <c r="BN1091" s="48"/>
      <c r="BO1091" s="48"/>
      <c r="BP1091" s="48"/>
      <c r="BQ1091" s="48"/>
      <c r="BR1091" s="47" t="e">
        <v>#VALUE!</v>
      </c>
      <c r="BS1091" s="48"/>
      <c r="BT1091" s="48"/>
      <c r="BU1091" s="228"/>
      <c r="BV1091" s="48"/>
      <c r="BW1091" s="48"/>
      <c r="BX1091" s="48"/>
      <c r="BY1091" s="48"/>
      <c r="BZ1091" s="48"/>
      <c r="CA1091" s="48"/>
      <c r="CB1091" s="48"/>
      <c r="CC1091" s="48"/>
      <c r="CD1091" s="48"/>
      <c r="CE1091" s="48"/>
      <c r="CF1091" s="48"/>
      <c r="CG1091" s="48"/>
      <c r="CH1091" s="48"/>
      <c r="CI1091" s="98"/>
      <c r="CJ1091" s="98"/>
      <c r="CK1091" s="49">
        <f>BL1091/BJ1091</f>
        <v>0.27985626006050424</v>
      </c>
      <c r="CL1091" s="229"/>
      <c r="CM1091" s="229"/>
      <c r="CN1091" s="229"/>
      <c r="CO1091" s="47" t="s">
        <v>2488</v>
      </c>
      <c r="CP1091" s="500" t="s">
        <v>2489</v>
      </c>
      <c r="CQ1091" s="224" t="s">
        <v>272</v>
      </c>
      <c r="CR1091" s="224"/>
      <c r="CS1091" s="230" t="s">
        <v>539</v>
      </c>
      <c r="CT1091" s="230"/>
      <c r="CU1091" s="230"/>
      <c r="CV1091" s="335">
        <f t="shared" si="227"/>
        <v>2.3111068565128221</v>
      </c>
      <c r="CW1091" s="230">
        <f t="shared" si="228"/>
        <v>1</v>
      </c>
      <c r="CX1091" s="336"/>
      <c r="CY1091" s="230" t="s">
        <v>5921</v>
      </c>
    </row>
    <row r="1092" spans="1:103" ht="11.25" customHeight="1" x14ac:dyDescent="0.2">
      <c r="A1092" s="72">
        <v>1547</v>
      </c>
      <c r="B1092" s="224">
        <v>179</v>
      </c>
      <c r="C1092" s="46" t="s">
        <v>7549</v>
      </c>
      <c r="D1092" s="46"/>
      <c r="E1092" s="114"/>
      <c r="F1092" s="114" t="s">
        <v>3669</v>
      </c>
      <c r="G1092" s="225">
        <v>207736058</v>
      </c>
      <c r="H1092" s="236" t="s">
        <v>3670</v>
      </c>
      <c r="I1092" s="236" t="s">
        <v>8184</v>
      </c>
      <c r="J1092" s="236" t="s">
        <v>3671</v>
      </c>
      <c r="K1092" s="236" t="s">
        <v>2821</v>
      </c>
      <c r="L1092" s="47"/>
      <c r="M1092" s="47"/>
      <c r="N1092" s="47"/>
      <c r="O1092" s="52"/>
      <c r="P1092" s="53"/>
      <c r="Q1092" s="53"/>
      <c r="R1092" s="53"/>
      <c r="S1092" s="53"/>
      <c r="T1092" s="226">
        <v>257.25</v>
      </c>
      <c r="U1092" s="98"/>
      <c r="V1092" s="98">
        <v>8.1779999999999995E-3</v>
      </c>
      <c r="W1092" s="98">
        <v>19.514408117625724</v>
      </c>
      <c r="X1092" s="98">
        <v>19.514408117625724</v>
      </c>
      <c r="Y1092" s="233">
        <v>4.83</v>
      </c>
      <c r="Z1092" s="48">
        <v>5.91</v>
      </c>
      <c r="AA1092" s="48"/>
      <c r="AB1092" s="48">
        <v>5.03</v>
      </c>
      <c r="AC1092" s="48">
        <v>0.60880000000000001</v>
      </c>
      <c r="AD1092" s="48">
        <v>4.7699999999999996</v>
      </c>
      <c r="AE1092" s="48">
        <v>4.4000000000000004</v>
      </c>
      <c r="AF1092" s="48">
        <f t="shared" si="225"/>
        <v>4.7699999999999996</v>
      </c>
      <c r="AG1092" s="48">
        <v>-2</v>
      </c>
      <c r="AH1092" s="98">
        <v>1.7899999999999999E-15</v>
      </c>
      <c r="AI1092" s="98"/>
      <c r="AJ1092" s="483">
        <f t="shared" si="224"/>
        <v>-13.135713295332758</v>
      </c>
      <c r="AK1092" s="483"/>
      <c r="AL1092" s="483">
        <f t="shared" si="223"/>
        <v>-13.135713295332758</v>
      </c>
      <c r="AM1092" s="483">
        <v>-23.36656</v>
      </c>
      <c r="AN1092" s="48">
        <v>-21.64</v>
      </c>
      <c r="AO1092" s="484">
        <v>4.5</v>
      </c>
      <c r="AP1092" s="484">
        <v>4.82</v>
      </c>
      <c r="AQ1092" s="48" t="s">
        <v>6311</v>
      </c>
      <c r="AR1092" s="48" t="s">
        <v>6311</v>
      </c>
      <c r="AS1092" s="227"/>
      <c r="AT1092" s="50" t="s">
        <v>266</v>
      </c>
      <c r="AU1092" s="48">
        <v>6</v>
      </c>
      <c r="AV1092" s="48">
        <v>120</v>
      </c>
      <c r="AW1092" s="48">
        <v>114</v>
      </c>
      <c r="AX1092" s="48">
        <v>28</v>
      </c>
      <c r="AY1092" s="48" t="s">
        <v>8728</v>
      </c>
      <c r="AZ1092" s="48" t="s">
        <v>1563</v>
      </c>
      <c r="BA1092" s="48">
        <v>32</v>
      </c>
      <c r="BB1092" s="47" t="s">
        <v>2485</v>
      </c>
      <c r="BC1092" s="47" t="s">
        <v>8726</v>
      </c>
      <c r="BD1092" s="47" t="s">
        <v>8374</v>
      </c>
      <c r="BE1092" s="48" t="s">
        <v>2449</v>
      </c>
      <c r="BF1092" s="48" t="s">
        <v>272</v>
      </c>
      <c r="BG1092" s="48" t="s">
        <v>272</v>
      </c>
      <c r="BH1092" s="48" t="s">
        <v>2486</v>
      </c>
      <c r="BI1092" s="98">
        <v>1.6463999999999999E-3</v>
      </c>
      <c r="BJ1092" s="98">
        <v>16.463999999999999</v>
      </c>
      <c r="BK1092" s="48"/>
      <c r="BL1092" s="487">
        <v>6.5070535896441392E-2</v>
      </c>
      <c r="BM1092" s="47" t="s">
        <v>2487</v>
      </c>
      <c r="BN1092" s="48"/>
      <c r="BO1092" s="48"/>
      <c r="BP1092" s="48"/>
      <c r="BQ1092" s="48"/>
      <c r="BR1092" s="47" t="e">
        <v>#VALUE!</v>
      </c>
      <c r="BS1092" s="48"/>
      <c r="BT1092" s="48"/>
      <c r="BU1092" s="228"/>
      <c r="BV1092" s="48"/>
      <c r="BW1092" s="48"/>
      <c r="BX1092" s="48"/>
      <c r="BY1092" s="48"/>
      <c r="BZ1092" s="48"/>
      <c r="CA1092" s="48"/>
      <c r="CB1092" s="48"/>
      <c r="CC1092" s="48"/>
      <c r="CD1092" s="48"/>
      <c r="CE1092" s="48"/>
      <c r="CF1092" s="48"/>
      <c r="CG1092" s="48"/>
      <c r="CH1092" s="48"/>
      <c r="CI1092" s="98"/>
      <c r="CJ1092" s="98"/>
      <c r="CK1092" s="49">
        <f>BJ1092/BL1092</f>
        <v>253.01774102801556</v>
      </c>
      <c r="CL1092" s="229"/>
      <c r="CM1092" s="229"/>
      <c r="CN1092" s="229"/>
      <c r="CO1092" s="47" t="s">
        <v>2488</v>
      </c>
      <c r="CP1092" s="500" t="s">
        <v>2489</v>
      </c>
      <c r="CQ1092" s="224" t="s">
        <v>272</v>
      </c>
      <c r="CR1092" s="224"/>
      <c r="CS1092" s="230" t="s">
        <v>539</v>
      </c>
      <c r="CT1092" s="230"/>
      <c r="CU1092" s="230"/>
      <c r="CV1092" s="335">
        <f t="shared" si="227"/>
        <v>1.1852774609830981</v>
      </c>
      <c r="CW1092" s="230">
        <f t="shared" si="228"/>
        <v>1</v>
      </c>
      <c r="CX1092" s="336"/>
      <c r="CY1092" s="230" t="s">
        <v>5921</v>
      </c>
    </row>
    <row r="1093" spans="1:103" ht="11.25" customHeight="1" x14ac:dyDescent="0.2">
      <c r="A1093" s="72">
        <v>1550</v>
      </c>
      <c r="B1093" s="224">
        <v>1562</v>
      </c>
      <c r="C1093" s="46" t="s">
        <v>7551</v>
      </c>
      <c r="D1093" s="46"/>
      <c r="E1093" s="114"/>
      <c r="F1093" s="114" t="s">
        <v>3770</v>
      </c>
      <c r="G1093" s="225">
        <v>210880925</v>
      </c>
      <c r="H1093" s="47" t="s">
        <v>3771</v>
      </c>
      <c r="I1093" s="47" t="s">
        <v>8185</v>
      </c>
      <c r="J1093" s="47" t="s">
        <v>3772</v>
      </c>
      <c r="K1093" s="47" t="s">
        <v>3773</v>
      </c>
      <c r="L1093" s="47" t="s">
        <v>617</v>
      </c>
      <c r="M1093" s="47" t="s">
        <v>2433</v>
      </c>
      <c r="N1093" s="47"/>
      <c r="O1093" s="47" t="s">
        <v>918</v>
      </c>
      <c r="P1093" s="53"/>
      <c r="Q1093" s="53"/>
      <c r="R1093" s="53"/>
      <c r="S1093" s="53"/>
      <c r="T1093" s="48">
        <v>249.68</v>
      </c>
      <c r="U1093" s="98"/>
      <c r="V1093" s="98">
        <v>5997</v>
      </c>
      <c r="W1093" s="98">
        <v>1539.5144006477483</v>
      </c>
      <c r="X1093" s="98">
        <v>1539.5144006477483</v>
      </c>
      <c r="Y1093" s="233">
        <v>7</v>
      </c>
      <c r="Z1093" s="48">
        <v>0.64</v>
      </c>
      <c r="AA1093" s="48">
        <v>0.7</v>
      </c>
      <c r="AB1093" s="48">
        <v>0.06</v>
      </c>
      <c r="AC1093" s="48">
        <v>0.62460000000000004</v>
      </c>
      <c r="AD1093" s="48">
        <v>-0.03</v>
      </c>
      <c r="AE1093" s="48">
        <v>-0.15</v>
      </c>
      <c r="AF1093" s="48">
        <f t="shared" si="225"/>
        <v>0.7</v>
      </c>
      <c r="AG1093" s="49">
        <v>1.26</v>
      </c>
      <c r="AH1093" s="98">
        <v>9.2099999999999998E-16</v>
      </c>
      <c r="AI1093" s="98"/>
      <c r="AJ1093" s="483">
        <f t="shared" si="224"/>
        <v>-13.424306696115803</v>
      </c>
      <c r="AK1093" s="483"/>
      <c r="AL1093" s="483">
        <f t="shared" si="223"/>
        <v>-13.424306696115803</v>
      </c>
      <c r="AM1093" s="483">
        <v>-15.200420000000001</v>
      </c>
      <c r="AN1093" s="226">
        <v>-14.7</v>
      </c>
      <c r="AO1093" s="484"/>
      <c r="AP1093" s="484">
        <v>0.49</v>
      </c>
      <c r="AQ1093" s="48" t="s">
        <v>6311</v>
      </c>
      <c r="AR1093" s="48" t="s">
        <v>6311</v>
      </c>
      <c r="AS1093" s="227"/>
      <c r="AT1093" s="50" t="s">
        <v>266</v>
      </c>
      <c r="AU1093" s="48">
        <v>6</v>
      </c>
      <c r="AV1093" s="48">
        <v>120</v>
      </c>
      <c r="AW1093" s="48">
        <v>114</v>
      </c>
      <c r="AX1093" s="48">
        <v>28</v>
      </c>
      <c r="AY1093" s="48" t="s">
        <v>8728</v>
      </c>
      <c r="AZ1093" s="48" t="s">
        <v>1563</v>
      </c>
      <c r="BA1093" s="48">
        <v>32</v>
      </c>
      <c r="BB1093" s="47" t="s">
        <v>2485</v>
      </c>
      <c r="BC1093" s="47" t="s">
        <v>8726</v>
      </c>
      <c r="BD1093" s="47" t="s">
        <v>8374</v>
      </c>
      <c r="BE1093" s="48" t="s">
        <v>2449</v>
      </c>
      <c r="BF1093" s="48" t="s">
        <v>272</v>
      </c>
      <c r="BG1093" s="48" t="s">
        <v>272</v>
      </c>
      <c r="BH1093" s="48" t="s">
        <v>2486</v>
      </c>
      <c r="BI1093" s="98">
        <v>1.5979519999999999E-3</v>
      </c>
      <c r="BJ1093" s="98">
        <v>15.979520000000001</v>
      </c>
      <c r="BK1093" s="48"/>
      <c r="BL1093" s="487">
        <v>3415.0711453007025</v>
      </c>
      <c r="BM1093" s="47" t="s">
        <v>2487</v>
      </c>
      <c r="BN1093" s="48"/>
      <c r="BO1093" s="48"/>
      <c r="BP1093" s="48"/>
      <c r="BQ1093" s="48"/>
      <c r="BR1093" s="47" t="e">
        <v>#VALUE!</v>
      </c>
      <c r="BS1093" s="48"/>
      <c r="BT1093" s="48"/>
      <c r="BU1093" s="228"/>
      <c r="BV1093" s="48"/>
      <c r="BW1093" s="48"/>
      <c r="BX1093" s="48"/>
      <c r="BY1093" s="48"/>
      <c r="BZ1093" s="48"/>
      <c r="CA1093" s="48"/>
      <c r="CB1093" s="48"/>
      <c r="CC1093" s="48"/>
      <c r="CD1093" s="48"/>
      <c r="CE1093" s="48"/>
      <c r="CF1093" s="48"/>
      <c r="CG1093" s="48"/>
      <c r="CH1093" s="48"/>
      <c r="CI1093" s="98"/>
      <c r="CJ1093" s="98"/>
      <c r="CK1093" s="49">
        <f t="shared" ref="CK1093:CK1107" si="229">BL1093/BJ1093</f>
        <v>213.71550242439713</v>
      </c>
      <c r="CL1093" s="229"/>
      <c r="CM1093" s="229"/>
      <c r="CN1093" s="229"/>
      <c r="CO1093" s="47" t="s">
        <v>2488</v>
      </c>
      <c r="CP1093" s="500" t="s">
        <v>2489</v>
      </c>
      <c r="CQ1093" s="224" t="s">
        <v>272</v>
      </c>
      <c r="CR1093" s="224"/>
      <c r="CS1093" s="230" t="s">
        <v>539</v>
      </c>
      <c r="CT1093" s="230"/>
      <c r="CU1093" s="230"/>
      <c r="CV1093" s="335">
        <f t="shared" si="227"/>
        <v>96.342969040856559</v>
      </c>
      <c r="CW1093" s="230">
        <f t="shared" si="228"/>
        <v>1</v>
      </c>
      <c r="CX1093" s="336"/>
      <c r="CY1093" s="230" t="s">
        <v>5921</v>
      </c>
    </row>
    <row r="1094" spans="1:103" ht="11.25" customHeight="1" x14ac:dyDescent="0.2">
      <c r="A1094" s="72">
        <v>1551</v>
      </c>
      <c r="B1094" s="224">
        <v>924</v>
      </c>
      <c r="C1094" s="46" t="s">
        <v>7552</v>
      </c>
      <c r="D1094" s="46"/>
      <c r="E1094" s="114"/>
      <c r="F1094" s="114" t="s">
        <v>2638</v>
      </c>
      <c r="G1094" s="225">
        <v>214535770</v>
      </c>
      <c r="H1094" s="47" t="s">
        <v>2639</v>
      </c>
      <c r="I1094" s="47" t="s">
        <v>7803</v>
      </c>
      <c r="J1094" s="47" t="s">
        <v>2640</v>
      </c>
      <c r="K1094" s="47" t="s">
        <v>426</v>
      </c>
      <c r="L1094" s="47"/>
      <c r="M1094" s="47"/>
      <c r="N1094" s="47"/>
      <c r="O1094" s="47"/>
      <c r="P1094" s="53"/>
      <c r="Q1094" s="53"/>
      <c r="R1094" s="53"/>
      <c r="S1094" s="53"/>
      <c r="T1094" s="48">
        <v>162.19999999999999</v>
      </c>
      <c r="U1094" s="98"/>
      <c r="V1094" s="98">
        <v>288.60000000000002</v>
      </c>
      <c r="W1094" s="98">
        <v>223.89832771858781</v>
      </c>
      <c r="X1094" s="98">
        <v>223.89832771858781</v>
      </c>
      <c r="Y1094" s="233">
        <v>7</v>
      </c>
      <c r="Z1094" s="48">
        <v>2.77</v>
      </c>
      <c r="AA1094" s="48"/>
      <c r="AB1094" s="48">
        <v>3.4</v>
      </c>
      <c r="AC1094" s="48">
        <v>0.89270000000000005</v>
      </c>
      <c r="AD1094" s="48">
        <v>3.49</v>
      </c>
      <c r="AE1094" s="48">
        <v>3.83</v>
      </c>
      <c r="AF1094" s="48">
        <f t="shared" si="225"/>
        <v>3.49</v>
      </c>
      <c r="AG1094" s="49">
        <v>2.21</v>
      </c>
      <c r="AH1094" s="98"/>
      <c r="AI1094" s="98"/>
      <c r="AJ1094" s="483"/>
      <c r="AK1094" s="483"/>
      <c r="AL1094" s="483"/>
      <c r="AM1094" s="483">
        <v>-2.8501099999999999</v>
      </c>
      <c r="AN1094" s="226"/>
      <c r="AO1094" s="484"/>
      <c r="AP1094" s="484"/>
      <c r="AQ1094" s="48" t="s">
        <v>6311</v>
      </c>
      <c r="AR1094" s="48" t="s">
        <v>6313</v>
      </c>
      <c r="AS1094" s="227"/>
      <c r="AT1094" s="50" t="s">
        <v>266</v>
      </c>
      <c r="AU1094" s="48">
        <v>6</v>
      </c>
      <c r="AV1094" s="48">
        <v>120</v>
      </c>
      <c r="AW1094" s="48">
        <v>114</v>
      </c>
      <c r="AX1094" s="48">
        <v>28</v>
      </c>
      <c r="AY1094" s="48" t="s">
        <v>8728</v>
      </c>
      <c r="AZ1094" s="48" t="s">
        <v>1563</v>
      </c>
      <c r="BA1094" s="48">
        <v>32</v>
      </c>
      <c r="BB1094" s="47" t="s">
        <v>2485</v>
      </c>
      <c r="BC1094" s="47" t="s">
        <v>8726</v>
      </c>
      <c r="BD1094" s="47" t="s">
        <v>8374</v>
      </c>
      <c r="BE1094" s="48" t="s">
        <v>2449</v>
      </c>
      <c r="BF1094" s="48" t="s">
        <v>272</v>
      </c>
      <c r="BG1094" s="48" t="s">
        <v>272</v>
      </c>
      <c r="BH1094" s="48" t="s">
        <v>2486</v>
      </c>
      <c r="BI1094" s="98">
        <v>1.0380799999999998E-3</v>
      </c>
      <c r="BJ1094" s="98">
        <v>10.380799999999999</v>
      </c>
      <c r="BK1094" s="48"/>
      <c r="BL1094" s="487">
        <v>27.109021991187845</v>
      </c>
      <c r="BM1094" s="47" t="s">
        <v>2487</v>
      </c>
      <c r="BN1094" s="48"/>
      <c r="BO1094" s="48"/>
      <c r="BP1094" s="48"/>
      <c r="BQ1094" s="48"/>
      <c r="BR1094" s="47" t="e">
        <v>#VALUE!</v>
      </c>
      <c r="BS1094" s="48"/>
      <c r="BT1094" s="48"/>
      <c r="BU1094" s="228">
        <v>1.0380799999999998E-3</v>
      </c>
      <c r="BV1094" s="48"/>
      <c r="BW1094" s="48"/>
      <c r="BX1094" s="48"/>
      <c r="BY1094" s="48"/>
      <c r="BZ1094" s="48"/>
      <c r="CA1094" s="48"/>
      <c r="CB1094" s="48"/>
      <c r="CC1094" s="48"/>
      <c r="CD1094" s="48"/>
      <c r="CE1094" s="48"/>
      <c r="CF1094" s="48"/>
      <c r="CG1094" s="48"/>
      <c r="CH1094" s="48"/>
      <c r="CI1094" s="98"/>
      <c r="CJ1094" s="98"/>
      <c r="CK1094" s="49">
        <f t="shared" si="229"/>
        <v>2.6114578829365604</v>
      </c>
      <c r="CL1094" s="229"/>
      <c r="CM1094" s="229"/>
      <c r="CN1094" s="229"/>
      <c r="CO1094" s="47" t="s">
        <v>2488</v>
      </c>
      <c r="CP1094" s="500" t="s">
        <v>2489</v>
      </c>
      <c r="CQ1094" s="224" t="s">
        <v>272</v>
      </c>
      <c r="CR1094" s="224"/>
      <c r="CS1094" s="230" t="s">
        <v>539</v>
      </c>
      <c r="CT1094" s="230"/>
      <c r="CU1094" s="230"/>
      <c r="CV1094" s="335">
        <f t="shared" si="227"/>
        <v>21.568504134420067</v>
      </c>
      <c r="CW1094" s="230">
        <f t="shared" si="228"/>
        <v>1</v>
      </c>
      <c r="CX1094" s="336"/>
      <c r="CY1094" s="230" t="s">
        <v>5921</v>
      </c>
    </row>
    <row r="1095" spans="1:103" ht="11.25" customHeight="1" x14ac:dyDescent="0.2">
      <c r="A1095" s="72">
        <v>1552</v>
      </c>
      <c r="B1095" s="224">
        <v>1433</v>
      </c>
      <c r="C1095" s="46" t="s">
        <v>7553</v>
      </c>
      <c r="D1095" s="46"/>
      <c r="E1095" s="114"/>
      <c r="F1095" s="114" t="s">
        <v>4407</v>
      </c>
      <c r="G1095" s="225">
        <v>215297271</v>
      </c>
      <c r="H1095" s="47" t="s">
        <v>4408</v>
      </c>
      <c r="I1095" s="47" t="s">
        <v>7758</v>
      </c>
      <c r="J1095" s="47" t="s">
        <v>4409</v>
      </c>
      <c r="K1095" s="47" t="s">
        <v>4166</v>
      </c>
      <c r="L1095" s="47"/>
      <c r="M1095" s="47"/>
      <c r="N1095" s="47"/>
      <c r="O1095" s="47"/>
      <c r="P1095" s="53"/>
      <c r="Q1095" s="53"/>
      <c r="R1095" s="53"/>
      <c r="S1095" s="53"/>
      <c r="T1095" s="48">
        <v>264.39</v>
      </c>
      <c r="U1095" s="98"/>
      <c r="V1095" s="98">
        <v>1263</v>
      </c>
      <c r="W1095" s="98">
        <v>5652.5579684349514</v>
      </c>
      <c r="X1095" s="98">
        <v>5652.5579684349514</v>
      </c>
      <c r="Y1095" s="233">
        <v>6.97</v>
      </c>
      <c r="Z1095" s="48">
        <v>-0.14000000000000001</v>
      </c>
      <c r="AA1095" s="48"/>
      <c r="AB1095" s="48">
        <v>0.27</v>
      </c>
      <c r="AC1095" s="48">
        <v>0.58509999999999995</v>
      </c>
      <c r="AD1095" s="48">
        <v>0.52</v>
      </c>
      <c r="AE1095" s="48">
        <v>0.81</v>
      </c>
      <c r="AF1095" s="48">
        <f t="shared" si="225"/>
        <v>0.52</v>
      </c>
      <c r="AG1095" s="49">
        <v>0.85</v>
      </c>
      <c r="AH1095" s="98">
        <v>3.8899999999999998E-12</v>
      </c>
      <c r="AI1095" s="98"/>
      <c r="AJ1095" s="483">
        <f t="shared" ref="AJ1095:AJ1122" si="230">LOG10(AH1095*1000/(0.08206*298.15))</f>
        <v>-9.7986167249869442</v>
      </c>
      <c r="AK1095" s="483"/>
      <c r="AL1095" s="483">
        <f t="shared" ref="AL1095:AL1122" si="231">IF(AK1095=0,AJ1095,AK1095)</f>
        <v>-9.7986167249869442</v>
      </c>
      <c r="AM1095" s="483">
        <v>-14.186589999999999</v>
      </c>
      <c r="AN1095" s="226">
        <v>-11.9</v>
      </c>
      <c r="AO1095" s="484">
        <v>14.2</v>
      </c>
      <c r="AP1095" s="484">
        <v>-0.2</v>
      </c>
      <c r="AQ1095" s="48" t="s">
        <v>6311</v>
      </c>
      <c r="AR1095" s="48" t="s">
        <v>6311</v>
      </c>
      <c r="AS1095" s="227"/>
      <c r="AT1095" s="50" t="s">
        <v>266</v>
      </c>
      <c r="AU1095" s="48">
        <v>6</v>
      </c>
      <c r="AV1095" s="48">
        <v>120</v>
      </c>
      <c r="AW1095" s="48">
        <v>114</v>
      </c>
      <c r="AX1095" s="48">
        <v>28</v>
      </c>
      <c r="AY1095" s="48" t="s">
        <v>8728</v>
      </c>
      <c r="AZ1095" s="48" t="s">
        <v>1563</v>
      </c>
      <c r="BA1095" s="48">
        <v>32</v>
      </c>
      <c r="BB1095" s="47" t="s">
        <v>2485</v>
      </c>
      <c r="BC1095" s="47" t="s">
        <v>8726</v>
      </c>
      <c r="BD1095" s="47" t="s">
        <v>8374</v>
      </c>
      <c r="BE1095" s="48" t="s">
        <v>2449</v>
      </c>
      <c r="BF1095" s="48" t="s">
        <v>272</v>
      </c>
      <c r="BG1095" s="48" t="s">
        <v>272</v>
      </c>
      <c r="BH1095" s="48" t="s">
        <v>2486</v>
      </c>
      <c r="BI1095" s="98">
        <v>1.6920959999999999E-3</v>
      </c>
      <c r="BJ1095" s="98">
        <v>16.920960000000001</v>
      </c>
      <c r="BK1095" s="48"/>
      <c r="BL1095" s="487">
        <v>18145.921377668416</v>
      </c>
      <c r="BM1095" s="47" t="s">
        <v>2487</v>
      </c>
      <c r="BN1095" s="48"/>
      <c r="BO1095" s="48"/>
      <c r="BP1095" s="48"/>
      <c r="BQ1095" s="48"/>
      <c r="BR1095" s="47" t="e">
        <v>#VALUE!</v>
      </c>
      <c r="BS1095" s="48"/>
      <c r="BT1095" s="48"/>
      <c r="BU1095" s="228"/>
      <c r="BV1095" s="48"/>
      <c r="BW1095" s="48"/>
      <c r="BX1095" s="48"/>
      <c r="BY1095" s="48"/>
      <c r="BZ1095" s="48"/>
      <c r="CA1095" s="48"/>
      <c r="CB1095" s="48"/>
      <c r="CC1095" s="48"/>
      <c r="CD1095" s="48"/>
      <c r="CE1095" s="48"/>
      <c r="CF1095" s="48"/>
      <c r="CG1095" s="48"/>
      <c r="CH1095" s="48"/>
      <c r="CI1095" s="98"/>
      <c r="CJ1095" s="98"/>
      <c r="CK1095" s="49">
        <f t="shared" si="229"/>
        <v>1072.3931371310148</v>
      </c>
      <c r="CL1095" s="229"/>
      <c r="CM1095" s="229"/>
      <c r="CN1095" s="229"/>
      <c r="CO1095" s="47" t="s">
        <v>2488</v>
      </c>
      <c r="CP1095" s="500" t="s">
        <v>2489</v>
      </c>
      <c r="CQ1095" s="224" t="s">
        <v>272</v>
      </c>
      <c r="CR1095" s="224"/>
      <c r="CS1095" s="230" t="s">
        <v>539</v>
      </c>
      <c r="CT1095" s="230"/>
      <c r="CU1095" s="230"/>
      <c r="CV1095" s="335">
        <f t="shared" si="227"/>
        <v>334.05657648472373</v>
      </c>
      <c r="CW1095" s="230">
        <f t="shared" si="228"/>
        <v>1</v>
      </c>
      <c r="CX1095" s="336"/>
      <c r="CY1095" s="230" t="s">
        <v>5921</v>
      </c>
    </row>
    <row r="1096" spans="1:103" ht="11.25" customHeight="1" x14ac:dyDescent="0.2">
      <c r="A1096" s="72">
        <v>1554</v>
      </c>
      <c r="B1096" s="224">
        <v>1803</v>
      </c>
      <c r="C1096" s="46" t="s">
        <v>7554</v>
      </c>
      <c r="D1096" s="46"/>
      <c r="E1096" s="114"/>
      <c r="F1096" s="114" t="s">
        <v>3973</v>
      </c>
      <c r="G1096" s="225">
        <v>219714962</v>
      </c>
      <c r="H1096" s="47" t="s">
        <v>3974</v>
      </c>
      <c r="I1096" s="47" t="s">
        <v>3974</v>
      </c>
      <c r="J1096" s="47" t="s">
        <v>3975</v>
      </c>
      <c r="K1096" s="47" t="s">
        <v>471</v>
      </c>
      <c r="L1096" s="47"/>
      <c r="M1096" s="47"/>
      <c r="N1096" s="47"/>
      <c r="O1096" s="47"/>
      <c r="P1096" s="53"/>
      <c r="Q1096" s="53"/>
      <c r="R1096" s="53"/>
      <c r="S1096" s="53"/>
      <c r="T1096" s="48">
        <v>483.37</v>
      </c>
      <c r="U1096" s="98"/>
      <c r="V1096" s="98">
        <v>2.7490000000000001</v>
      </c>
      <c r="W1096" s="98">
        <v>127.13926392424689</v>
      </c>
      <c r="X1096" s="98">
        <v>127.13926392424689</v>
      </c>
      <c r="Y1096" s="233">
        <v>3.58</v>
      </c>
      <c r="Z1096" s="48">
        <v>2.95</v>
      </c>
      <c r="AA1096" s="48"/>
      <c r="AB1096" s="48">
        <v>2.29</v>
      </c>
      <c r="AC1096" s="48">
        <v>0.57079999999999997</v>
      </c>
      <c r="AD1096" s="48">
        <v>2.4900000000000002</v>
      </c>
      <c r="AE1096" s="48">
        <v>2.87</v>
      </c>
      <c r="AF1096" s="48">
        <f t="shared" si="225"/>
        <v>2.4900000000000002</v>
      </c>
      <c r="AG1096" s="49">
        <v>2.23</v>
      </c>
      <c r="AH1096" s="98">
        <v>1.42E-14</v>
      </c>
      <c r="AI1096" s="98"/>
      <c r="AJ1096" s="483">
        <f t="shared" si="230"/>
        <v>-12.236277981929595</v>
      </c>
      <c r="AK1096" s="483"/>
      <c r="AL1096" s="483">
        <f t="shared" si="231"/>
        <v>-12.236277981929595</v>
      </c>
      <c r="AM1096" s="483">
        <v>-19.675779999999996</v>
      </c>
      <c r="AN1096" s="226">
        <v>-19.5</v>
      </c>
      <c r="AO1096" s="484"/>
      <c r="AP1096" s="484"/>
      <c r="AQ1096" s="226" t="s">
        <v>6311</v>
      </c>
      <c r="AR1096" s="226" t="s">
        <v>6311</v>
      </c>
      <c r="AS1096" s="224"/>
      <c r="AT1096" s="50" t="s">
        <v>266</v>
      </c>
      <c r="AU1096" s="48">
        <v>6</v>
      </c>
      <c r="AV1096" s="48">
        <v>120</v>
      </c>
      <c r="AW1096" s="48">
        <v>114</v>
      </c>
      <c r="AX1096" s="48">
        <v>28</v>
      </c>
      <c r="AY1096" s="48" t="s">
        <v>8728</v>
      </c>
      <c r="AZ1096" s="48" t="s">
        <v>1563</v>
      </c>
      <c r="BA1096" s="48">
        <v>32</v>
      </c>
      <c r="BB1096" s="47" t="s">
        <v>2485</v>
      </c>
      <c r="BC1096" s="47" t="s">
        <v>8726</v>
      </c>
      <c r="BD1096" s="47" t="s">
        <v>8374</v>
      </c>
      <c r="BE1096" s="48" t="s">
        <v>2449</v>
      </c>
      <c r="BF1096" s="48" t="s">
        <v>272</v>
      </c>
      <c r="BG1096" s="48" t="s">
        <v>272</v>
      </c>
      <c r="BH1096" s="48" t="s">
        <v>2486</v>
      </c>
      <c r="BI1096" s="98">
        <v>3.0935680000000001E-3</v>
      </c>
      <c r="BJ1096" s="98">
        <v>30.935680000000001</v>
      </c>
      <c r="BK1096" s="48"/>
      <c r="BL1096" s="487">
        <v>55.67813667509995</v>
      </c>
      <c r="BM1096" s="47" t="s">
        <v>2487</v>
      </c>
      <c r="BN1096" s="48"/>
      <c r="BO1096" s="48"/>
      <c r="BP1096" s="48"/>
      <c r="BQ1096" s="48"/>
      <c r="BR1096" s="47" t="e">
        <v>#VALUE!</v>
      </c>
      <c r="BS1096" s="48"/>
      <c r="BT1096" s="48"/>
      <c r="BU1096" s="228"/>
      <c r="BV1096" s="48"/>
      <c r="BW1096" s="48"/>
      <c r="BX1096" s="48"/>
      <c r="BY1096" s="48"/>
      <c r="BZ1096" s="48"/>
      <c r="CA1096" s="48"/>
      <c r="CB1096" s="48"/>
      <c r="CC1096" s="48"/>
      <c r="CD1096" s="48"/>
      <c r="CE1096" s="48"/>
      <c r="CF1096" s="48"/>
      <c r="CG1096" s="48"/>
      <c r="CH1096" s="48"/>
      <c r="CI1096" s="98"/>
      <c r="CJ1096" s="98"/>
      <c r="CK1096" s="49">
        <f t="shared" si="229"/>
        <v>1.7998032264071759</v>
      </c>
      <c r="CL1096" s="229"/>
      <c r="CM1096" s="229"/>
      <c r="CN1096" s="229"/>
      <c r="CO1096" s="47" t="s">
        <v>2488</v>
      </c>
      <c r="CP1096" s="500" t="s">
        <v>2489</v>
      </c>
      <c r="CQ1096" s="224" t="s">
        <v>272</v>
      </c>
      <c r="CR1096" s="224"/>
      <c r="CS1096" s="230" t="s">
        <v>539</v>
      </c>
      <c r="CT1096" s="230"/>
      <c r="CU1096" s="230"/>
      <c r="CV1096" s="335">
        <f t="shared" si="227"/>
        <v>4.1097937373365276</v>
      </c>
      <c r="CW1096" s="230">
        <f t="shared" si="228"/>
        <v>1</v>
      </c>
      <c r="CX1096" s="336"/>
      <c r="CY1096" s="230" t="s">
        <v>5921</v>
      </c>
    </row>
    <row r="1097" spans="1:103" ht="11.25" customHeight="1" x14ac:dyDescent="0.2">
      <c r="A1097" s="72">
        <v>1555</v>
      </c>
      <c r="B1097" s="224">
        <v>1387</v>
      </c>
      <c r="C1097" s="46" t="s">
        <v>7555</v>
      </c>
      <c r="D1097" s="46"/>
      <c r="E1097" s="114"/>
      <c r="F1097" s="114" t="s">
        <v>4276</v>
      </c>
      <c r="G1097" s="225">
        <v>219790724</v>
      </c>
      <c r="H1097" s="47" t="s">
        <v>4277</v>
      </c>
      <c r="I1097" s="47" t="s">
        <v>7854</v>
      </c>
      <c r="J1097" s="47" t="s">
        <v>4278</v>
      </c>
      <c r="K1097" s="47" t="s">
        <v>471</v>
      </c>
      <c r="L1097" s="47"/>
      <c r="M1097" s="47"/>
      <c r="N1097" s="47"/>
      <c r="O1097" s="47"/>
      <c r="P1097" s="53"/>
      <c r="Q1097" s="53"/>
      <c r="R1097" s="53"/>
      <c r="S1097" s="53"/>
      <c r="T1097" s="48">
        <v>410.42</v>
      </c>
      <c r="U1097" s="98"/>
      <c r="V1097" s="98">
        <v>149.9</v>
      </c>
      <c r="W1097" s="98">
        <v>15.96719084085526</v>
      </c>
      <c r="X1097" s="98">
        <v>15.96719084085526</v>
      </c>
      <c r="Y1097" s="233">
        <v>6.51</v>
      </c>
      <c r="Z1097" s="48">
        <v>1.46</v>
      </c>
      <c r="AA1097" s="48"/>
      <c r="AB1097" s="48">
        <v>1.21</v>
      </c>
      <c r="AC1097" s="48">
        <v>0.59009999999999996</v>
      </c>
      <c r="AD1097" s="48">
        <v>1.73</v>
      </c>
      <c r="AE1097" s="48">
        <v>2.42</v>
      </c>
      <c r="AF1097" s="48">
        <f t="shared" si="225"/>
        <v>1.73</v>
      </c>
      <c r="AG1097" s="49">
        <v>1.17</v>
      </c>
      <c r="AH1097" s="98">
        <v>2.1800000000000001E-19</v>
      </c>
      <c r="AI1097" s="98"/>
      <c r="AJ1097" s="483">
        <f t="shared" si="230"/>
        <v>-17.050109832708046</v>
      </c>
      <c r="AK1097" s="483"/>
      <c r="AL1097" s="483">
        <f t="shared" si="231"/>
        <v>-17.050109832708046</v>
      </c>
      <c r="AM1097" s="483">
        <v>-27.667620000000003</v>
      </c>
      <c r="AN1097" s="226">
        <v>-28.2</v>
      </c>
      <c r="AO1097" s="484">
        <v>8.6999999999999993</v>
      </c>
      <c r="AP1097" s="484">
        <v>-6.68</v>
      </c>
      <c r="AQ1097" s="48" t="s">
        <v>6311</v>
      </c>
      <c r="AR1097" s="48" t="s">
        <v>6311</v>
      </c>
      <c r="AS1097" s="227"/>
      <c r="AT1097" s="50" t="s">
        <v>266</v>
      </c>
      <c r="AU1097" s="48">
        <v>6</v>
      </c>
      <c r="AV1097" s="48">
        <v>120</v>
      </c>
      <c r="AW1097" s="48">
        <v>114</v>
      </c>
      <c r="AX1097" s="48">
        <v>28</v>
      </c>
      <c r="AY1097" s="48" t="s">
        <v>8728</v>
      </c>
      <c r="AZ1097" s="48" t="s">
        <v>1563</v>
      </c>
      <c r="BA1097" s="48">
        <v>32</v>
      </c>
      <c r="BB1097" s="47" t="s">
        <v>2485</v>
      </c>
      <c r="BC1097" s="47" t="s">
        <v>8726</v>
      </c>
      <c r="BD1097" s="47" t="s">
        <v>8374</v>
      </c>
      <c r="BE1097" s="48" t="s">
        <v>2449</v>
      </c>
      <c r="BF1097" s="48" t="s">
        <v>272</v>
      </c>
      <c r="BG1097" s="48" t="s">
        <v>272</v>
      </c>
      <c r="BH1097" s="48" t="s">
        <v>2486</v>
      </c>
      <c r="BI1097" s="98">
        <v>2.6266879999999999E-3</v>
      </c>
      <c r="BJ1097" s="98">
        <v>26.26688</v>
      </c>
      <c r="BK1097" s="48"/>
      <c r="BL1097" s="487">
        <v>1029.9176860363441</v>
      </c>
      <c r="BM1097" s="47" t="s">
        <v>2487</v>
      </c>
      <c r="BN1097" s="48"/>
      <c r="BO1097" s="48"/>
      <c r="BP1097" s="48"/>
      <c r="BQ1097" s="48"/>
      <c r="BR1097" s="47" t="e">
        <v>#VALUE!</v>
      </c>
      <c r="BS1097" s="48"/>
      <c r="BT1097" s="48"/>
      <c r="BU1097" s="228"/>
      <c r="BV1097" s="48"/>
      <c r="BW1097" s="48"/>
      <c r="BX1097" s="48"/>
      <c r="BY1097" s="48"/>
      <c r="BZ1097" s="48"/>
      <c r="CA1097" s="48"/>
      <c r="CB1097" s="48"/>
      <c r="CC1097" s="48"/>
      <c r="CD1097" s="48"/>
      <c r="CE1097" s="48"/>
      <c r="CF1097" s="48"/>
      <c r="CG1097" s="48"/>
      <c r="CH1097" s="48"/>
      <c r="CI1097" s="98"/>
      <c r="CJ1097" s="98"/>
      <c r="CK1097" s="49">
        <f t="shared" si="229"/>
        <v>39.209745734413225</v>
      </c>
      <c r="CL1097" s="229"/>
      <c r="CM1097" s="229"/>
      <c r="CN1097" s="229"/>
      <c r="CO1097" s="47" t="s">
        <v>2488</v>
      </c>
      <c r="CP1097" s="500" t="s">
        <v>2489</v>
      </c>
      <c r="CQ1097" s="224" t="s">
        <v>272</v>
      </c>
      <c r="CR1097" s="224"/>
      <c r="CS1097" s="230" t="s">
        <v>539</v>
      </c>
      <c r="CT1097" s="230"/>
      <c r="CU1097" s="230"/>
      <c r="CV1097" s="335">
        <f t="shared" si="227"/>
        <v>0.60788303905356322</v>
      </c>
      <c r="CW1097" s="230">
        <f t="shared" si="228"/>
        <v>0</v>
      </c>
      <c r="CX1097" s="336"/>
      <c r="CY1097" s="230" t="s">
        <v>5921</v>
      </c>
    </row>
    <row r="1098" spans="1:103" ht="11.25" customHeight="1" x14ac:dyDescent="0.2">
      <c r="A1098" s="72">
        <v>1556</v>
      </c>
      <c r="B1098" s="224">
        <v>1761</v>
      </c>
      <c r="C1098" s="46" t="s">
        <v>7556</v>
      </c>
      <c r="D1098" s="46"/>
      <c r="E1098" s="114"/>
      <c r="F1098" s="114" t="s">
        <v>5074</v>
      </c>
      <c r="G1098" s="225">
        <v>220860504</v>
      </c>
      <c r="H1098" s="47" t="s">
        <v>5075</v>
      </c>
      <c r="I1098" s="47" t="s">
        <v>7756</v>
      </c>
      <c r="J1098" s="47" t="s">
        <v>5076</v>
      </c>
      <c r="K1098" s="47" t="s">
        <v>357</v>
      </c>
      <c r="L1098" s="47"/>
      <c r="M1098" s="47"/>
      <c r="N1098" s="47"/>
      <c r="O1098" s="47"/>
      <c r="P1098" s="53"/>
      <c r="Q1098" s="53"/>
      <c r="R1098" s="53"/>
      <c r="S1098" s="53"/>
      <c r="T1098" s="48">
        <v>180.16</v>
      </c>
      <c r="U1098" s="98"/>
      <c r="V1098" s="98">
        <v>5958</v>
      </c>
      <c r="W1098" s="98">
        <v>5697.1594325593505</v>
      </c>
      <c r="X1098" s="98">
        <v>5697.1594325593505</v>
      </c>
      <c r="Y1098" s="233">
        <v>2.44</v>
      </c>
      <c r="Z1098" s="48">
        <v>1.37</v>
      </c>
      <c r="AA1098" s="48">
        <v>1.1299999999999999</v>
      </c>
      <c r="AB1098" s="48">
        <v>1.62</v>
      </c>
      <c r="AC1098" s="48">
        <v>0.84399999999999997</v>
      </c>
      <c r="AD1098" s="48">
        <v>1.49</v>
      </c>
      <c r="AE1098" s="48">
        <v>1.1299999999999999</v>
      </c>
      <c r="AF1098" s="48">
        <f t="shared" si="225"/>
        <v>1.1299999999999999</v>
      </c>
      <c r="AG1098" s="49">
        <v>1.17</v>
      </c>
      <c r="AH1098" s="98">
        <v>6.9899999999999996E-10</v>
      </c>
      <c r="AI1098" s="98"/>
      <c r="AJ1098" s="483">
        <f t="shared" si="230"/>
        <v>-7.54408915056697</v>
      </c>
      <c r="AK1098" s="483"/>
      <c r="AL1098" s="483">
        <f t="shared" si="231"/>
        <v>-7.54408915056697</v>
      </c>
      <c r="AM1098" s="483">
        <v>-10.548029999999999</v>
      </c>
      <c r="AN1098" s="226">
        <v>-5.82</v>
      </c>
      <c r="AO1098" s="484">
        <v>3.32</v>
      </c>
      <c r="AP1098" s="484"/>
      <c r="AQ1098" s="226" t="s">
        <v>6311</v>
      </c>
      <c r="AR1098" s="226" t="s">
        <v>6312</v>
      </c>
      <c r="AS1098" s="224"/>
      <c r="AT1098" s="50" t="s">
        <v>266</v>
      </c>
      <c r="AU1098" s="48">
        <v>6</v>
      </c>
      <c r="AV1098" s="48">
        <v>120</v>
      </c>
      <c r="AW1098" s="48">
        <v>114</v>
      </c>
      <c r="AX1098" s="48">
        <v>28</v>
      </c>
      <c r="AY1098" s="48" t="s">
        <v>8728</v>
      </c>
      <c r="AZ1098" s="48" t="s">
        <v>1563</v>
      </c>
      <c r="BA1098" s="48">
        <v>32</v>
      </c>
      <c r="BB1098" s="47" t="s">
        <v>2485</v>
      </c>
      <c r="BC1098" s="47" t="s">
        <v>8726</v>
      </c>
      <c r="BD1098" s="47" t="s">
        <v>8374</v>
      </c>
      <c r="BE1098" s="48" t="s">
        <v>2449</v>
      </c>
      <c r="BF1098" s="48" t="s">
        <v>272</v>
      </c>
      <c r="BG1098" s="48" t="s">
        <v>272</v>
      </c>
      <c r="BH1098" s="48" t="s">
        <v>2486</v>
      </c>
      <c r="BI1098" s="98">
        <v>1.1530239999999999E-3</v>
      </c>
      <c r="BJ1098" s="98">
        <v>11.530239999999999</v>
      </c>
      <c r="BK1098" s="48"/>
      <c r="BL1098" s="487">
        <v>544.579605733417</v>
      </c>
      <c r="BM1098" s="47" t="s">
        <v>2487</v>
      </c>
      <c r="BN1098" s="48"/>
      <c r="BO1098" s="48"/>
      <c r="BP1098" s="48"/>
      <c r="BQ1098" s="48"/>
      <c r="BR1098" s="47" t="e">
        <v>#VALUE!</v>
      </c>
      <c r="BS1098" s="48"/>
      <c r="BT1098" s="48"/>
      <c r="BU1098" s="228"/>
      <c r="BV1098" s="48"/>
      <c r="BW1098" s="48"/>
      <c r="BX1098" s="48"/>
      <c r="BY1098" s="48"/>
      <c r="BZ1098" s="48"/>
      <c r="CA1098" s="48"/>
      <c r="CB1098" s="48"/>
      <c r="CC1098" s="48"/>
      <c r="CD1098" s="48"/>
      <c r="CE1098" s="48"/>
      <c r="CF1098" s="48"/>
      <c r="CG1098" s="48"/>
      <c r="CH1098" s="48"/>
      <c r="CI1098" s="98"/>
      <c r="CJ1098" s="98"/>
      <c r="CK1098" s="49">
        <f t="shared" si="229"/>
        <v>47.230552506575492</v>
      </c>
      <c r="CL1098" s="229"/>
      <c r="CM1098" s="229"/>
      <c r="CN1098" s="229"/>
      <c r="CO1098" s="47" t="s">
        <v>2488</v>
      </c>
      <c r="CP1098" s="500" t="s">
        <v>2489</v>
      </c>
      <c r="CQ1098" s="224" t="s">
        <v>272</v>
      </c>
      <c r="CR1098" s="224"/>
      <c r="CS1098" s="230" t="s">
        <v>539</v>
      </c>
      <c r="CT1098" s="230"/>
      <c r="CU1098" s="230"/>
      <c r="CV1098" s="335">
        <f t="shared" si="227"/>
        <v>494.10588440130914</v>
      </c>
      <c r="CW1098" s="230">
        <f t="shared" si="228"/>
        <v>1</v>
      </c>
      <c r="CX1098" s="336"/>
      <c r="CY1098" s="230" t="s">
        <v>5921</v>
      </c>
    </row>
    <row r="1099" spans="1:103" ht="11.25" customHeight="1" x14ac:dyDescent="0.2">
      <c r="A1099" s="72">
        <v>1557</v>
      </c>
      <c r="B1099" s="224">
        <v>1444</v>
      </c>
      <c r="C1099" s="46" t="s">
        <v>7557</v>
      </c>
      <c r="D1099" s="46"/>
      <c r="E1099" s="114"/>
      <c r="F1099" s="114" t="s">
        <v>4441</v>
      </c>
      <c r="G1099" s="225">
        <v>230954093</v>
      </c>
      <c r="H1099" s="47" t="s">
        <v>4442</v>
      </c>
      <c r="I1099" s="47" t="s">
        <v>7800</v>
      </c>
      <c r="J1099" s="47" t="s">
        <v>4443</v>
      </c>
      <c r="K1099" s="47" t="s">
        <v>1473</v>
      </c>
      <c r="L1099" s="47"/>
      <c r="M1099" s="47"/>
      <c r="N1099" s="47"/>
      <c r="O1099" s="47"/>
      <c r="P1099" s="53"/>
      <c r="Q1099" s="53"/>
      <c r="R1099" s="53"/>
      <c r="S1099" s="53"/>
      <c r="T1099" s="48">
        <v>361.37</v>
      </c>
      <c r="U1099" s="98"/>
      <c r="V1099" s="98">
        <v>18.37</v>
      </c>
      <c r="W1099" s="98">
        <v>7.9059141804664845</v>
      </c>
      <c r="X1099" s="98">
        <v>7.9059141804664845</v>
      </c>
      <c r="Y1099" s="233">
        <v>6.96</v>
      </c>
      <c r="Z1099" s="48">
        <v>2.88</v>
      </c>
      <c r="AA1099" s="48"/>
      <c r="AB1099" s="48">
        <v>2.36</v>
      </c>
      <c r="AC1099" s="48">
        <v>0.66659999999999997</v>
      </c>
      <c r="AD1099" s="48">
        <v>2.79</v>
      </c>
      <c r="AE1099" s="48">
        <v>3.74</v>
      </c>
      <c r="AF1099" s="48">
        <f t="shared" si="225"/>
        <v>2.79</v>
      </c>
      <c r="AG1099" s="49">
        <v>3.43</v>
      </c>
      <c r="AH1099" s="98">
        <v>5.9699999999999996E-20</v>
      </c>
      <c r="AI1099" s="98"/>
      <c r="AJ1099" s="483">
        <f t="shared" si="230"/>
        <v>-17.612591995183283</v>
      </c>
      <c r="AK1099" s="483"/>
      <c r="AL1099" s="483">
        <f t="shared" si="231"/>
        <v>-17.612591995183283</v>
      </c>
      <c r="AM1099" s="483">
        <v>-20.8718</v>
      </c>
      <c r="AN1099" s="226">
        <v>-19.899999999999999</v>
      </c>
      <c r="AO1099" s="484">
        <v>10.42</v>
      </c>
      <c r="AP1099" s="484">
        <v>0.76</v>
      </c>
      <c r="AQ1099" s="48" t="s">
        <v>6311</v>
      </c>
      <c r="AR1099" s="48" t="s">
        <v>6311</v>
      </c>
      <c r="AS1099" s="227"/>
      <c r="AT1099" s="50" t="s">
        <v>266</v>
      </c>
      <c r="AU1099" s="48">
        <v>6</v>
      </c>
      <c r="AV1099" s="48">
        <v>120</v>
      </c>
      <c r="AW1099" s="48">
        <v>114</v>
      </c>
      <c r="AX1099" s="48">
        <v>28</v>
      </c>
      <c r="AY1099" s="48" t="s">
        <v>8728</v>
      </c>
      <c r="AZ1099" s="48" t="s">
        <v>1563</v>
      </c>
      <c r="BA1099" s="48">
        <v>32</v>
      </c>
      <c r="BB1099" s="47" t="s">
        <v>2485</v>
      </c>
      <c r="BC1099" s="47" t="s">
        <v>8726</v>
      </c>
      <c r="BD1099" s="47" t="s">
        <v>8374</v>
      </c>
      <c r="BE1099" s="48" t="s">
        <v>2449</v>
      </c>
      <c r="BF1099" s="48" t="s">
        <v>272</v>
      </c>
      <c r="BG1099" s="48" t="s">
        <v>272</v>
      </c>
      <c r="BH1099" s="48" t="s">
        <v>2486</v>
      </c>
      <c r="BI1099" s="98">
        <v>2.3127679999999998E-3</v>
      </c>
      <c r="BJ1099" s="98">
        <v>23.127680000000002</v>
      </c>
      <c r="BK1099" s="48"/>
      <c r="BL1099" s="487">
        <v>48.108752532006285</v>
      </c>
      <c r="BM1099" s="47" t="s">
        <v>2487</v>
      </c>
      <c r="BN1099" s="48"/>
      <c r="BO1099" s="48"/>
      <c r="BP1099" s="48"/>
      <c r="BQ1099" s="48"/>
      <c r="BR1099" s="47" t="e">
        <v>#VALUE!</v>
      </c>
      <c r="BS1099" s="48"/>
      <c r="BT1099" s="48"/>
      <c r="BU1099" s="228"/>
      <c r="BV1099" s="48"/>
      <c r="BW1099" s="48"/>
      <c r="BX1099" s="48"/>
      <c r="BY1099" s="48"/>
      <c r="BZ1099" s="48"/>
      <c r="CA1099" s="48"/>
      <c r="CB1099" s="48"/>
      <c r="CC1099" s="48"/>
      <c r="CD1099" s="48"/>
      <c r="CE1099" s="48"/>
      <c r="CF1099" s="48"/>
      <c r="CG1099" s="48"/>
      <c r="CH1099" s="48"/>
      <c r="CI1099" s="98"/>
      <c r="CJ1099" s="98"/>
      <c r="CK1099" s="49">
        <f t="shared" si="229"/>
        <v>2.0801374168099125</v>
      </c>
      <c r="CL1099" s="229"/>
      <c r="CM1099" s="229"/>
      <c r="CN1099" s="229"/>
      <c r="CO1099" s="47" t="s">
        <v>2488</v>
      </c>
      <c r="CP1099" s="500" t="s">
        <v>2489</v>
      </c>
      <c r="CQ1099" s="224" t="s">
        <v>272</v>
      </c>
      <c r="CR1099" s="224"/>
      <c r="CS1099" s="230" t="s">
        <v>539</v>
      </c>
      <c r="CT1099" s="230"/>
      <c r="CU1099" s="230"/>
      <c r="CV1099" s="335">
        <f t="shared" si="227"/>
        <v>0.341837753742117</v>
      </c>
      <c r="CW1099" s="230">
        <f t="shared" si="228"/>
        <v>0</v>
      </c>
      <c r="CX1099" s="336"/>
      <c r="CY1099" s="230" t="s">
        <v>5921</v>
      </c>
    </row>
    <row r="1100" spans="1:103" ht="11.25" customHeight="1" x14ac:dyDescent="0.2">
      <c r="A1100" s="72">
        <v>1558</v>
      </c>
      <c r="B1100" s="224">
        <v>1523</v>
      </c>
      <c r="C1100" s="46" t="s">
        <v>7558</v>
      </c>
      <c r="D1100" s="46"/>
      <c r="E1100" s="114"/>
      <c r="F1100" s="114" t="s">
        <v>4620</v>
      </c>
      <c r="G1100" s="225">
        <v>253450098</v>
      </c>
      <c r="H1100" s="47" t="s">
        <v>4621</v>
      </c>
      <c r="I1100" s="47" t="s">
        <v>7847</v>
      </c>
      <c r="J1100" s="47" t="s">
        <v>4622</v>
      </c>
      <c r="K1100" s="47" t="s">
        <v>4623</v>
      </c>
      <c r="L1100" s="47"/>
      <c r="M1100" s="47"/>
      <c r="N1100" s="47"/>
      <c r="O1100" s="47"/>
      <c r="P1100" s="53"/>
      <c r="Q1100" s="53"/>
      <c r="R1100" s="53"/>
      <c r="S1100" s="53"/>
      <c r="T1100" s="48">
        <v>404.48</v>
      </c>
      <c r="U1100" s="98"/>
      <c r="V1100" s="98">
        <v>0.45399999999999996</v>
      </c>
      <c r="W1100" s="98">
        <v>20.272021225755914</v>
      </c>
      <c r="X1100" s="98">
        <v>20.272021225755914</v>
      </c>
      <c r="Y1100" s="233">
        <v>4.4400000000000004</v>
      </c>
      <c r="Z1100" s="48">
        <v>4.45</v>
      </c>
      <c r="AA1100" s="48"/>
      <c r="AB1100" s="48">
        <v>3.01</v>
      </c>
      <c r="AC1100" s="48">
        <v>0.39360000000000001</v>
      </c>
      <c r="AD1100" s="48">
        <v>3.13</v>
      </c>
      <c r="AE1100" s="48">
        <v>3.2</v>
      </c>
      <c r="AF1100" s="48">
        <f t="shared" si="225"/>
        <v>3.13</v>
      </c>
      <c r="AG1100" s="49">
        <v>3.58</v>
      </c>
      <c r="AH1100" s="98">
        <v>8.8800000000000003E-16</v>
      </c>
      <c r="AI1100" s="98"/>
      <c r="AJ1100" s="483">
        <f t="shared" si="230"/>
        <v>-13.440153360534051</v>
      </c>
      <c r="AK1100" s="483"/>
      <c r="AL1100" s="483">
        <f t="shared" si="231"/>
        <v>-13.440153360534051</v>
      </c>
      <c r="AM1100" s="483">
        <v>-22.751549999999998</v>
      </c>
      <c r="AN1100" s="226">
        <v>-22.3</v>
      </c>
      <c r="AO1100" s="484">
        <v>4.74</v>
      </c>
      <c r="AP1100" s="484">
        <v>1.63</v>
      </c>
      <c r="AQ1100" s="48" t="s">
        <v>6311</v>
      </c>
      <c r="AR1100" s="48" t="s">
        <v>6311</v>
      </c>
      <c r="AS1100" s="227"/>
      <c r="AT1100" s="50" t="s">
        <v>266</v>
      </c>
      <c r="AU1100" s="48">
        <v>6</v>
      </c>
      <c r="AV1100" s="48">
        <v>120</v>
      </c>
      <c r="AW1100" s="48">
        <v>114</v>
      </c>
      <c r="AX1100" s="48">
        <v>28</v>
      </c>
      <c r="AY1100" s="48" t="s">
        <v>8728</v>
      </c>
      <c r="AZ1100" s="48" t="s">
        <v>1563</v>
      </c>
      <c r="BA1100" s="48">
        <v>32</v>
      </c>
      <c r="BB1100" s="47" t="s">
        <v>2485</v>
      </c>
      <c r="BC1100" s="47" t="s">
        <v>8726</v>
      </c>
      <c r="BD1100" s="47" t="s">
        <v>8374</v>
      </c>
      <c r="BE1100" s="48" t="s">
        <v>2449</v>
      </c>
      <c r="BF1100" s="48" t="s">
        <v>272</v>
      </c>
      <c r="BG1100" s="48" t="s">
        <v>272</v>
      </c>
      <c r="BH1100" s="48" t="s">
        <v>2486</v>
      </c>
      <c r="BI1100" s="98">
        <v>2.5886720000000002E-3</v>
      </c>
      <c r="BJ1100" s="98">
        <v>25.88672</v>
      </c>
      <c r="BK1100" s="48"/>
      <c r="BL1100" s="487">
        <v>2.0948457607974129</v>
      </c>
      <c r="BM1100" s="47" t="s">
        <v>2487</v>
      </c>
      <c r="BN1100" s="48"/>
      <c r="BO1100" s="48"/>
      <c r="BP1100" s="48"/>
      <c r="BQ1100" s="48"/>
      <c r="BR1100" s="47" t="e">
        <v>#VALUE!</v>
      </c>
      <c r="BS1100" s="48"/>
      <c r="BT1100" s="48"/>
      <c r="BU1100" s="228"/>
      <c r="BV1100" s="48"/>
      <c r="BW1100" s="48"/>
      <c r="BX1100" s="48"/>
      <c r="BY1100" s="48"/>
      <c r="BZ1100" s="48"/>
      <c r="CA1100" s="48"/>
      <c r="CB1100" s="48"/>
      <c r="CC1100" s="48"/>
      <c r="CD1100" s="48"/>
      <c r="CE1100" s="48"/>
      <c r="CF1100" s="48"/>
      <c r="CG1100" s="48"/>
      <c r="CH1100" s="48"/>
      <c r="CI1100" s="98"/>
      <c r="CJ1100" s="98"/>
      <c r="CK1100" s="49">
        <f t="shared" si="229"/>
        <v>8.092356856324065E-2</v>
      </c>
      <c r="CL1100" s="229"/>
      <c r="CM1100" s="229"/>
      <c r="CN1100" s="229"/>
      <c r="CO1100" s="47" t="s">
        <v>2488</v>
      </c>
      <c r="CP1100" s="500" t="s">
        <v>2489</v>
      </c>
      <c r="CQ1100" s="224" t="s">
        <v>272</v>
      </c>
      <c r="CR1100" s="224"/>
      <c r="CS1100" s="230" t="s">
        <v>539</v>
      </c>
      <c r="CT1100" s="230"/>
      <c r="CU1100" s="230"/>
      <c r="CV1100" s="335">
        <f t="shared" si="227"/>
        <v>0.78310505254261309</v>
      </c>
      <c r="CW1100" s="230">
        <f t="shared" si="228"/>
        <v>0</v>
      </c>
      <c r="CX1100" s="336"/>
      <c r="CY1100" s="230" t="s">
        <v>5921</v>
      </c>
    </row>
    <row r="1101" spans="1:103" ht="11.25" customHeight="1" x14ac:dyDescent="0.2">
      <c r="A1101" s="72">
        <v>1559</v>
      </c>
      <c r="B1101" s="224">
        <v>1832</v>
      </c>
      <c r="C1101" s="46" t="s">
        <v>7559</v>
      </c>
      <c r="D1101" s="46"/>
      <c r="E1101" s="114"/>
      <c r="F1101" s="114" t="s">
        <v>5245</v>
      </c>
      <c r="G1101" s="225">
        <v>261947380</v>
      </c>
      <c r="H1101" s="47" t="s">
        <v>5246</v>
      </c>
      <c r="I1101" s="47" t="s">
        <v>7828</v>
      </c>
      <c r="J1101" s="47" t="s">
        <v>5247</v>
      </c>
      <c r="K1101" s="47" t="s">
        <v>357</v>
      </c>
      <c r="L1101" s="51"/>
      <c r="M1101" s="47"/>
      <c r="N1101" s="47"/>
      <c r="O1101" s="47"/>
      <c r="P1101" s="53"/>
      <c r="Q1101" s="53"/>
      <c r="R1101" s="53"/>
      <c r="S1101" s="53"/>
      <c r="T1101" s="48">
        <v>678.59</v>
      </c>
      <c r="U1101" s="98"/>
      <c r="V1101" s="98"/>
      <c r="W1101" s="98">
        <v>1450.7996943153196</v>
      </c>
      <c r="X1101" s="98">
        <v>1450.7996943153196</v>
      </c>
      <c r="Y1101" s="233">
        <v>7</v>
      </c>
      <c r="Z1101" s="48"/>
      <c r="AA1101" s="48"/>
      <c r="AB1101" s="48"/>
      <c r="AC1101" s="48"/>
      <c r="AD1101" s="48"/>
      <c r="AE1101" s="48"/>
      <c r="AF1101" s="48"/>
      <c r="AG1101" s="49">
        <v>-1.1599999999999999</v>
      </c>
      <c r="AH1101" s="98">
        <v>1.4399999999999999E-28</v>
      </c>
      <c r="AI1101" s="98"/>
      <c r="AJ1101" s="483">
        <f t="shared" si="230"/>
        <v>-26.230203834217402</v>
      </c>
      <c r="AK1101" s="483"/>
      <c r="AL1101" s="483">
        <f t="shared" si="231"/>
        <v>-26.230203834217402</v>
      </c>
      <c r="AM1101" s="483"/>
      <c r="AN1101" s="226">
        <v>-19.600000000000001</v>
      </c>
      <c r="AO1101" s="484"/>
      <c r="AP1101" s="484"/>
      <c r="AQ1101" s="226" t="s">
        <v>6311</v>
      </c>
      <c r="AR1101" s="226" t="s">
        <v>6314</v>
      </c>
      <c r="AS1101" s="224"/>
      <c r="AT1101" s="50" t="s">
        <v>266</v>
      </c>
      <c r="AU1101" s="48">
        <v>6</v>
      </c>
      <c r="AV1101" s="48">
        <v>120</v>
      </c>
      <c r="AW1101" s="48">
        <v>114</v>
      </c>
      <c r="AX1101" s="48">
        <v>28</v>
      </c>
      <c r="AY1101" s="48" t="s">
        <v>8728</v>
      </c>
      <c r="AZ1101" s="48" t="s">
        <v>1563</v>
      </c>
      <c r="BA1101" s="48">
        <v>32</v>
      </c>
      <c r="BB1101" s="47" t="s">
        <v>2485</v>
      </c>
      <c r="BC1101" s="47" t="s">
        <v>8726</v>
      </c>
      <c r="BD1101" s="47" t="s">
        <v>8374</v>
      </c>
      <c r="BE1101" s="48" t="s">
        <v>2449</v>
      </c>
      <c r="BF1101" s="48" t="s">
        <v>272</v>
      </c>
      <c r="BG1101" s="48" t="s">
        <v>272</v>
      </c>
      <c r="BH1101" s="48" t="s">
        <v>2486</v>
      </c>
      <c r="BI1101" s="98">
        <v>4.3429760000000001E-3</v>
      </c>
      <c r="BJ1101" s="98">
        <v>43.429760000000002</v>
      </c>
      <c r="BK1101" s="48"/>
      <c r="BL1101" s="487"/>
      <c r="BM1101" s="47" t="s">
        <v>2487</v>
      </c>
      <c r="BN1101" s="48"/>
      <c r="BO1101" s="48"/>
      <c r="BP1101" s="48"/>
      <c r="BQ1101" s="48"/>
      <c r="BR1101" s="47" t="e">
        <v>#VALUE!</v>
      </c>
      <c r="BS1101" s="48"/>
      <c r="BT1101" s="48"/>
      <c r="BU1101" s="228"/>
      <c r="BV1101" s="48"/>
      <c r="BW1101" s="48"/>
      <c r="BX1101" s="48"/>
      <c r="BY1101" s="48"/>
      <c r="BZ1101" s="48"/>
      <c r="CA1101" s="48"/>
      <c r="CB1101" s="48"/>
      <c r="CC1101" s="48"/>
      <c r="CD1101" s="48"/>
      <c r="CE1101" s="48"/>
      <c r="CF1101" s="48"/>
      <c r="CG1101" s="48"/>
      <c r="CH1101" s="48"/>
      <c r="CI1101" s="98"/>
      <c r="CJ1101" s="98"/>
      <c r="CK1101" s="49">
        <f t="shared" si="229"/>
        <v>0</v>
      </c>
      <c r="CL1101" s="229"/>
      <c r="CM1101" s="229"/>
      <c r="CN1101" s="229"/>
      <c r="CO1101" s="47" t="s">
        <v>2488</v>
      </c>
      <c r="CP1101" s="500" t="s">
        <v>2489</v>
      </c>
      <c r="CQ1101" s="224" t="s">
        <v>272</v>
      </c>
      <c r="CR1101" s="224"/>
      <c r="CS1101" s="230" t="s">
        <v>539</v>
      </c>
      <c r="CT1101" s="230"/>
      <c r="CU1101" s="230"/>
      <c r="CV1101" s="335">
        <f t="shared" si="227"/>
        <v>33.405657648472371</v>
      </c>
      <c r="CW1101" s="230">
        <f t="shared" si="228"/>
        <v>1</v>
      </c>
      <c r="CX1101" s="336"/>
      <c r="CY1101" s="230" t="s">
        <v>5921</v>
      </c>
    </row>
    <row r="1102" spans="1:103" ht="11.25" customHeight="1" x14ac:dyDescent="0.2">
      <c r="A1102" s="72">
        <v>1560</v>
      </c>
      <c r="B1102" s="224">
        <v>962</v>
      </c>
      <c r="C1102" s="46" t="s">
        <v>7560</v>
      </c>
      <c r="D1102" s="46"/>
      <c r="E1102" s="114"/>
      <c r="F1102" s="114" t="s">
        <v>2743</v>
      </c>
      <c r="G1102" s="225">
        <v>264618442</v>
      </c>
      <c r="H1102" s="47" t="s">
        <v>2744</v>
      </c>
      <c r="I1102" s="47" t="s">
        <v>7754</v>
      </c>
      <c r="J1102" s="47" t="s">
        <v>2745</v>
      </c>
      <c r="K1102" s="47" t="s">
        <v>357</v>
      </c>
      <c r="L1102" s="47"/>
      <c r="M1102" s="47"/>
      <c r="N1102" s="47"/>
      <c r="O1102" s="47"/>
      <c r="P1102" s="53"/>
      <c r="Q1102" s="53" t="s">
        <v>6173</v>
      </c>
      <c r="R1102" s="53" t="s">
        <v>6174</v>
      </c>
      <c r="S1102" s="53" t="s">
        <v>6176</v>
      </c>
      <c r="T1102" s="48">
        <v>312.36</v>
      </c>
      <c r="U1102" s="98"/>
      <c r="V1102" s="98">
        <v>0.84609999999999996</v>
      </c>
      <c r="W1102" s="98">
        <v>6.0905345918042233</v>
      </c>
      <c r="X1102" s="98">
        <v>6.0905345918042233</v>
      </c>
      <c r="Y1102" s="233">
        <v>7</v>
      </c>
      <c r="Z1102" s="48">
        <v>4.79</v>
      </c>
      <c r="AA1102" s="48"/>
      <c r="AB1102" s="48">
        <v>4.5599999999999996</v>
      </c>
      <c r="AC1102" s="48">
        <v>0.75609999999999999</v>
      </c>
      <c r="AD1102" s="48">
        <v>4.79</v>
      </c>
      <c r="AE1102" s="48">
        <v>5.23</v>
      </c>
      <c r="AF1102" s="48">
        <f t="shared" ref="AF1102:AF1133" si="232">IF(AA1102=0,AD1102,AA1102)</f>
        <v>4.79</v>
      </c>
      <c r="AG1102" s="49">
        <v>4.2699999999999996</v>
      </c>
      <c r="AH1102" s="98">
        <v>5.0799999999999998E-8</v>
      </c>
      <c r="AI1102" s="98"/>
      <c r="AJ1102" s="483">
        <f t="shared" si="230"/>
        <v>-5.6827026140287327</v>
      </c>
      <c r="AK1102" s="483"/>
      <c r="AL1102" s="483">
        <f t="shared" si="231"/>
        <v>-5.6827026140287327</v>
      </c>
      <c r="AM1102" s="483">
        <v>-11.576219999999999</v>
      </c>
      <c r="AN1102" s="226">
        <v>-6.63</v>
      </c>
      <c r="AO1102" s="484"/>
      <c r="AP1102" s="484"/>
      <c r="AQ1102" s="48" t="s">
        <v>6311</v>
      </c>
      <c r="AR1102" s="48" t="s">
        <v>6312</v>
      </c>
      <c r="AS1102" s="227"/>
      <c r="AT1102" s="50" t="s">
        <v>266</v>
      </c>
      <c r="AU1102" s="48">
        <v>6</v>
      </c>
      <c r="AV1102" s="48">
        <v>120</v>
      </c>
      <c r="AW1102" s="48">
        <v>114</v>
      </c>
      <c r="AX1102" s="48">
        <v>28</v>
      </c>
      <c r="AY1102" s="48" t="s">
        <v>8728</v>
      </c>
      <c r="AZ1102" s="48" t="s">
        <v>1563</v>
      </c>
      <c r="BA1102" s="48">
        <v>32</v>
      </c>
      <c r="BB1102" s="47" t="s">
        <v>2485</v>
      </c>
      <c r="BC1102" s="47" t="s">
        <v>8726</v>
      </c>
      <c r="BD1102" s="47" t="s">
        <v>8374</v>
      </c>
      <c r="BE1102" s="48" t="s">
        <v>2449</v>
      </c>
      <c r="BF1102" s="48" t="s">
        <v>272</v>
      </c>
      <c r="BG1102" s="48" t="s">
        <v>272</v>
      </c>
      <c r="BH1102" s="48" t="s">
        <v>2486</v>
      </c>
      <c r="BI1102" s="98">
        <v>1.9991039999999998E-3</v>
      </c>
      <c r="BJ1102" s="98">
        <v>19.991040000000002</v>
      </c>
      <c r="BK1102" s="48"/>
      <c r="BL1102" s="487">
        <v>0.80085965213503429</v>
      </c>
      <c r="BM1102" s="47" t="s">
        <v>2487</v>
      </c>
      <c r="BN1102" s="48"/>
      <c r="BO1102" s="48"/>
      <c r="BP1102" s="48"/>
      <c r="BQ1102" s="48"/>
      <c r="BR1102" s="47" t="e">
        <v>#VALUE!</v>
      </c>
      <c r="BS1102" s="48"/>
      <c r="BT1102" s="48"/>
      <c r="BU1102" s="228">
        <v>4.9977600000000004E-3</v>
      </c>
      <c r="BV1102" s="48"/>
      <c r="BW1102" s="48"/>
      <c r="BX1102" s="48"/>
      <c r="BY1102" s="48"/>
      <c r="BZ1102" s="48"/>
      <c r="CA1102" s="48"/>
      <c r="CB1102" s="48"/>
      <c r="CC1102" s="48"/>
      <c r="CD1102" s="48"/>
      <c r="CE1102" s="48"/>
      <c r="CF1102" s="48"/>
      <c r="CG1102" s="48"/>
      <c r="CH1102" s="48"/>
      <c r="CI1102" s="98"/>
      <c r="CJ1102" s="98"/>
      <c r="CK1102" s="49">
        <f t="shared" si="229"/>
        <v>4.0060929903348412E-2</v>
      </c>
      <c r="CL1102" s="229"/>
      <c r="CM1102" s="229"/>
      <c r="CN1102" s="229"/>
      <c r="CO1102" s="47" t="s">
        <v>2488</v>
      </c>
      <c r="CP1102" s="500" t="s">
        <v>2489</v>
      </c>
      <c r="CQ1102" s="224" t="s">
        <v>272</v>
      </c>
      <c r="CR1102" s="224"/>
      <c r="CS1102" s="230" t="s">
        <v>539</v>
      </c>
      <c r="CT1102" s="230"/>
      <c r="CU1102" s="230"/>
      <c r="CV1102" s="335">
        <f t="shared" si="227"/>
        <v>0.30466321871219421</v>
      </c>
      <c r="CW1102" s="230">
        <f t="shared" si="228"/>
        <v>0</v>
      </c>
      <c r="CX1102" s="336"/>
      <c r="CY1102" s="230" t="s">
        <v>5921</v>
      </c>
    </row>
    <row r="1103" spans="1:103" ht="11.25" customHeight="1" x14ac:dyDescent="0.2">
      <c r="A1103" s="72">
        <v>1561</v>
      </c>
      <c r="B1103" s="224">
        <v>892</v>
      </c>
      <c r="C1103" s="46" t="s">
        <v>7561</v>
      </c>
      <c r="D1103" s="46"/>
      <c r="E1103" s="114"/>
      <c r="F1103" s="114" t="s">
        <v>2540</v>
      </c>
      <c r="G1103" s="225">
        <v>289716945</v>
      </c>
      <c r="H1103" s="47" t="s">
        <v>2541</v>
      </c>
      <c r="I1103" s="47" t="s">
        <v>7741</v>
      </c>
      <c r="J1103" s="47" t="s">
        <v>2542</v>
      </c>
      <c r="K1103" s="47" t="s">
        <v>471</v>
      </c>
      <c r="L1103" s="47"/>
      <c r="M1103" s="47"/>
      <c r="N1103" s="47"/>
      <c r="O1103" s="47"/>
      <c r="P1103" s="53"/>
      <c r="Q1103" s="53"/>
      <c r="R1103" s="53"/>
      <c r="S1103" s="53"/>
      <c r="T1103" s="48">
        <v>339.77</v>
      </c>
      <c r="U1103" s="98"/>
      <c r="V1103" s="98">
        <v>6.0429999999999993</v>
      </c>
      <c r="W1103" s="98">
        <v>195.5172275090456</v>
      </c>
      <c r="X1103" s="98">
        <v>195.5172275090456</v>
      </c>
      <c r="Y1103" s="233">
        <v>3.28</v>
      </c>
      <c r="Z1103" s="48">
        <v>3.6</v>
      </c>
      <c r="AA1103" s="48"/>
      <c r="AB1103" s="48">
        <v>3.14</v>
      </c>
      <c r="AC1103" s="48">
        <v>0.66610000000000003</v>
      </c>
      <c r="AD1103" s="48">
        <v>3.13</v>
      </c>
      <c r="AE1103" s="48">
        <v>3.1</v>
      </c>
      <c r="AF1103" s="48">
        <f t="shared" si="232"/>
        <v>3.13</v>
      </c>
      <c r="AG1103" s="49">
        <v>3.13</v>
      </c>
      <c r="AH1103" s="98">
        <v>1.4700000000000001E-10</v>
      </c>
      <c r="AI1103" s="98"/>
      <c r="AJ1103" s="483">
        <f t="shared" si="230"/>
        <v>-8.221248991564476</v>
      </c>
      <c r="AK1103" s="483"/>
      <c r="AL1103" s="483">
        <f t="shared" si="231"/>
        <v>-8.221248991564476</v>
      </c>
      <c r="AM1103" s="483">
        <v>-17.853460000000002</v>
      </c>
      <c r="AN1103" s="226"/>
      <c r="AO1103" s="484">
        <v>2.2400000000000002</v>
      </c>
      <c r="AP1103" s="484">
        <v>-3.34</v>
      </c>
      <c r="AQ1103" s="48" t="s">
        <v>6311</v>
      </c>
      <c r="AR1103" s="48" t="s">
        <v>6311</v>
      </c>
      <c r="AS1103" s="227"/>
      <c r="AT1103" s="50" t="s">
        <v>266</v>
      </c>
      <c r="AU1103" s="48">
        <v>6</v>
      </c>
      <c r="AV1103" s="48">
        <v>120</v>
      </c>
      <c r="AW1103" s="48">
        <v>114</v>
      </c>
      <c r="AX1103" s="48">
        <v>28</v>
      </c>
      <c r="AY1103" s="48" t="s">
        <v>8728</v>
      </c>
      <c r="AZ1103" s="48" t="s">
        <v>1563</v>
      </c>
      <c r="BA1103" s="48">
        <v>32</v>
      </c>
      <c r="BB1103" s="47" t="s">
        <v>2485</v>
      </c>
      <c r="BC1103" s="47" t="s">
        <v>8726</v>
      </c>
      <c r="BD1103" s="47" t="s">
        <v>8374</v>
      </c>
      <c r="BE1103" s="48" t="s">
        <v>2449</v>
      </c>
      <c r="BF1103" s="48" t="s">
        <v>272</v>
      </c>
      <c r="BG1103" s="48" t="s">
        <v>272</v>
      </c>
      <c r="BH1103" s="48" t="s">
        <v>2486</v>
      </c>
      <c r="BI1103" s="98">
        <v>2.1745279999999998E-3</v>
      </c>
      <c r="BJ1103" s="98">
        <v>21.745280000000001</v>
      </c>
      <c r="BK1103" s="48"/>
      <c r="BL1103" s="487">
        <v>10.205282475046642</v>
      </c>
      <c r="BM1103" s="47" t="s">
        <v>2487</v>
      </c>
      <c r="BN1103" s="48"/>
      <c r="BO1103" s="48"/>
      <c r="BP1103" s="48"/>
      <c r="BQ1103" s="48"/>
      <c r="BR1103" s="47" t="e">
        <v>#VALUE!</v>
      </c>
      <c r="BS1103" s="48"/>
      <c r="BT1103" s="48"/>
      <c r="BU1103" s="228">
        <v>21.745280000000001</v>
      </c>
      <c r="BV1103" s="48"/>
      <c r="BW1103" s="48"/>
      <c r="BX1103" s="48"/>
      <c r="BY1103" s="48"/>
      <c r="BZ1103" s="48"/>
      <c r="CA1103" s="48"/>
      <c r="CB1103" s="48"/>
      <c r="CC1103" s="48"/>
      <c r="CD1103" s="48"/>
      <c r="CE1103" s="48"/>
      <c r="CF1103" s="48"/>
      <c r="CG1103" s="48"/>
      <c r="CH1103" s="48"/>
      <c r="CI1103" s="98"/>
      <c r="CJ1103" s="98"/>
      <c r="CK1103" s="49">
        <f t="shared" si="229"/>
        <v>0.46931023537276328</v>
      </c>
      <c r="CL1103" s="229"/>
      <c r="CM1103" s="229"/>
      <c r="CN1103" s="229"/>
      <c r="CO1103" s="47" t="s">
        <v>2488</v>
      </c>
      <c r="CP1103" s="500" t="s">
        <v>2489</v>
      </c>
      <c r="CQ1103" s="224" t="s">
        <v>272</v>
      </c>
      <c r="CR1103" s="224"/>
      <c r="CS1103" s="230" t="s">
        <v>539</v>
      </c>
      <c r="CT1103" s="230"/>
      <c r="CU1103" s="230"/>
      <c r="CV1103" s="335">
        <f t="shared" si="227"/>
        <v>8.9912490208930667</v>
      </c>
      <c r="CW1103" s="230">
        <f t="shared" si="228"/>
        <v>1</v>
      </c>
      <c r="CX1103" s="336"/>
      <c r="CY1103" s="230" t="s">
        <v>5921</v>
      </c>
    </row>
    <row r="1104" spans="1:103" ht="11.25" customHeight="1" x14ac:dyDescent="0.2">
      <c r="A1104" s="72">
        <v>1562</v>
      </c>
      <c r="B1104" s="224">
        <v>1312</v>
      </c>
      <c r="C1104" s="46" t="s">
        <v>7562</v>
      </c>
      <c r="D1104" s="46"/>
      <c r="E1104" s="114"/>
      <c r="F1104" s="114" t="s">
        <v>3592</v>
      </c>
      <c r="G1104" s="225">
        <v>290352282</v>
      </c>
      <c r="H1104" s="47" t="s">
        <v>3593</v>
      </c>
      <c r="I1104" s="47" t="s">
        <v>8186</v>
      </c>
      <c r="J1104" s="236" t="s">
        <v>3594</v>
      </c>
      <c r="K1104" s="236" t="s">
        <v>3595</v>
      </c>
      <c r="L1104" s="47"/>
      <c r="M1104" s="47"/>
      <c r="N1104" s="47"/>
      <c r="O1104" s="52"/>
      <c r="P1104" s="53"/>
      <c r="Q1104" s="53"/>
      <c r="R1104" s="53"/>
      <c r="S1104" s="53"/>
      <c r="T1104" s="226">
        <v>341.36</v>
      </c>
      <c r="U1104" s="98"/>
      <c r="V1104" s="98">
        <v>34.79</v>
      </c>
      <c r="W1104" s="98"/>
      <c r="X1104" s="98">
        <v>34.79</v>
      </c>
      <c r="Y1104" s="233"/>
      <c r="Z1104" s="48">
        <v>2.7</v>
      </c>
      <c r="AA1104" s="48"/>
      <c r="AB1104" s="48">
        <v>2.83</v>
      </c>
      <c r="AC1104" s="48">
        <v>0.53459999999999996</v>
      </c>
      <c r="AD1104" s="48">
        <v>3.24</v>
      </c>
      <c r="AE1104" s="48">
        <v>3.72</v>
      </c>
      <c r="AF1104" s="48">
        <f t="shared" si="232"/>
        <v>3.24</v>
      </c>
      <c r="AG1104" s="48">
        <v>2.31</v>
      </c>
      <c r="AH1104" s="98">
        <v>4.3300000000000002E-17</v>
      </c>
      <c r="AI1104" s="98"/>
      <c r="AJ1104" s="483">
        <f t="shared" si="230"/>
        <v>-14.752078429959287</v>
      </c>
      <c r="AK1104" s="483"/>
      <c r="AL1104" s="483">
        <f t="shared" si="231"/>
        <v>-14.752078429959287</v>
      </c>
      <c r="AM1104" s="483">
        <v>-23.632759999999998</v>
      </c>
      <c r="AN1104" s="48">
        <v>-15.85</v>
      </c>
      <c r="AO1104" s="484"/>
      <c r="AP1104" s="484"/>
      <c r="AQ1104" s="48" t="s">
        <v>6311</v>
      </c>
      <c r="AR1104" s="48" t="s">
        <v>6311</v>
      </c>
      <c r="AS1104" s="227"/>
      <c r="AT1104" s="50" t="s">
        <v>266</v>
      </c>
      <c r="AU1104" s="48">
        <v>6</v>
      </c>
      <c r="AV1104" s="48">
        <v>120</v>
      </c>
      <c r="AW1104" s="48">
        <v>114</v>
      </c>
      <c r="AX1104" s="48">
        <v>28</v>
      </c>
      <c r="AY1104" s="48" t="s">
        <v>8728</v>
      </c>
      <c r="AZ1104" s="48" t="s">
        <v>1563</v>
      </c>
      <c r="BA1104" s="48">
        <v>32</v>
      </c>
      <c r="BB1104" s="47" t="s">
        <v>2485</v>
      </c>
      <c r="BC1104" s="47" t="s">
        <v>8726</v>
      </c>
      <c r="BD1104" s="47" t="s">
        <v>8374</v>
      </c>
      <c r="BE1104" s="48" t="s">
        <v>2449</v>
      </c>
      <c r="BF1104" s="48" t="s">
        <v>272</v>
      </c>
      <c r="BG1104" s="48" t="s">
        <v>272</v>
      </c>
      <c r="BH1104" s="48" t="s">
        <v>2486</v>
      </c>
      <c r="BI1104" s="98">
        <v>2.184704E-3</v>
      </c>
      <c r="BJ1104" s="98">
        <v>21.84704</v>
      </c>
      <c r="BK1104" s="48"/>
      <c r="BL1104" s="487">
        <v>65.939041495339012</v>
      </c>
      <c r="BM1104" s="47" t="s">
        <v>2487</v>
      </c>
      <c r="BN1104" s="48"/>
      <c r="BO1104" s="48"/>
      <c r="BP1104" s="48"/>
      <c r="BQ1104" s="48"/>
      <c r="BR1104" s="47" t="e">
        <v>#VALUE!</v>
      </c>
      <c r="BS1104" s="48"/>
      <c r="BT1104" s="48"/>
      <c r="BU1104" s="228"/>
      <c r="BV1104" s="48"/>
      <c r="BW1104" s="48"/>
      <c r="BX1104" s="48"/>
      <c r="BY1104" s="48"/>
      <c r="BZ1104" s="48"/>
      <c r="CA1104" s="48"/>
      <c r="CB1104" s="48"/>
      <c r="CC1104" s="48"/>
      <c r="CD1104" s="48"/>
      <c r="CE1104" s="48"/>
      <c r="CF1104" s="48"/>
      <c r="CG1104" s="48"/>
      <c r="CH1104" s="48"/>
      <c r="CI1104" s="98"/>
      <c r="CJ1104" s="98"/>
      <c r="CK1104" s="49">
        <f t="shared" si="229"/>
        <v>3.0182139775154444</v>
      </c>
      <c r="CL1104" s="229"/>
      <c r="CM1104" s="229"/>
      <c r="CN1104" s="229"/>
      <c r="CO1104" s="47" t="s">
        <v>2488</v>
      </c>
      <c r="CP1104" s="500" t="s">
        <v>2489</v>
      </c>
      <c r="CQ1104" s="224" t="s">
        <v>272</v>
      </c>
      <c r="CR1104" s="224"/>
      <c r="CS1104" s="230" t="s">
        <v>539</v>
      </c>
      <c r="CT1104" s="230"/>
      <c r="CU1104" s="230"/>
      <c r="CV1104" s="335">
        <f t="shared" si="227"/>
        <v>1.5924354054370753</v>
      </c>
      <c r="CW1104" s="230">
        <f t="shared" si="228"/>
        <v>1</v>
      </c>
      <c r="CX1104" s="336"/>
      <c r="CY1104" s="230" t="s">
        <v>5921</v>
      </c>
    </row>
    <row r="1105" spans="1:103" ht="11.25" customHeight="1" x14ac:dyDescent="0.2">
      <c r="A1105" s="72">
        <v>1563</v>
      </c>
      <c r="B1105" s="224">
        <v>172</v>
      </c>
      <c r="C1105" s="46" t="s">
        <v>7563</v>
      </c>
      <c r="D1105" s="46"/>
      <c r="E1105" s="114"/>
      <c r="F1105" s="114" t="s">
        <v>3664</v>
      </c>
      <c r="G1105" s="225">
        <v>291305061</v>
      </c>
      <c r="H1105" s="236" t="s">
        <v>3658</v>
      </c>
      <c r="I1105" s="236" t="s">
        <v>8187</v>
      </c>
      <c r="J1105" s="236" t="s">
        <v>3665</v>
      </c>
      <c r="K1105" s="236" t="s">
        <v>455</v>
      </c>
      <c r="L1105" s="47"/>
      <c r="M1105" s="47"/>
      <c r="N1105" s="47"/>
      <c r="O1105" s="52"/>
      <c r="P1105" s="53"/>
      <c r="Q1105" s="53"/>
      <c r="R1105" s="53"/>
      <c r="S1105" s="53"/>
      <c r="T1105" s="240">
        <v>256.35000000000002</v>
      </c>
      <c r="U1105" s="409"/>
      <c r="V1105" s="98">
        <v>0.67530000000000001</v>
      </c>
      <c r="W1105" s="98">
        <v>158.06412872719088</v>
      </c>
      <c r="X1105" s="98">
        <v>158.06412872719088</v>
      </c>
      <c r="Y1105" s="233">
        <v>10.36</v>
      </c>
      <c r="Z1105" s="48">
        <v>4.18</v>
      </c>
      <c r="AA1105" s="48"/>
      <c r="AB1105" s="48">
        <v>3.33</v>
      </c>
      <c r="AC1105" s="48">
        <v>0.69640000000000002</v>
      </c>
      <c r="AD1105" s="48">
        <v>3.6</v>
      </c>
      <c r="AE1105" s="48">
        <v>4.07</v>
      </c>
      <c r="AF1105" s="48">
        <f t="shared" si="232"/>
        <v>3.6</v>
      </c>
      <c r="AG1105" s="48">
        <v>4.33</v>
      </c>
      <c r="AH1105" s="98">
        <v>4.64E-17</v>
      </c>
      <c r="AI1105" s="98"/>
      <c r="AJ1105" s="483">
        <f t="shared" si="230"/>
        <v>-14.722048345757772</v>
      </c>
      <c r="AK1105" s="483"/>
      <c r="AL1105" s="483">
        <f t="shared" si="231"/>
        <v>-14.722048345757772</v>
      </c>
      <c r="AM1105" s="483">
        <v>-19.477709999999998</v>
      </c>
      <c r="AN1105" s="48">
        <v>-4.5999999999999996</v>
      </c>
      <c r="AO1105" s="484"/>
      <c r="AP1105" s="484">
        <v>10.050000000000001</v>
      </c>
      <c r="AQ1105" s="48" t="s">
        <v>6311</v>
      </c>
      <c r="AR1105" s="48" t="s">
        <v>6311</v>
      </c>
      <c r="AS1105" s="227"/>
      <c r="AT1105" s="50" t="s">
        <v>266</v>
      </c>
      <c r="AU1105" s="48">
        <v>6</v>
      </c>
      <c r="AV1105" s="48">
        <v>120</v>
      </c>
      <c r="AW1105" s="48">
        <v>114</v>
      </c>
      <c r="AX1105" s="48">
        <v>28</v>
      </c>
      <c r="AY1105" s="48" t="s">
        <v>8728</v>
      </c>
      <c r="AZ1105" s="48" t="s">
        <v>1563</v>
      </c>
      <c r="BA1105" s="48">
        <v>32</v>
      </c>
      <c r="BB1105" s="47" t="s">
        <v>2485</v>
      </c>
      <c r="BC1105" s="47" t="s">
        <v>8726</v>
      </c>
      <c r="BD1105" s="47" t="s">
        <v>8374</v>
      </c>
      <c r="BE1105" s="48" t="s">
        <v>2449</v>
      </c>
      <c r="BF1105" s="48" t="s">
        <v>272</v>
      </c>
      <c r="BG1105" s="48" t="s">
        <v>272</v>
      </c>
      <c r="BH1105" s="48" t="s">
        <v>2486</v>
      </c>
      <c r="BI1105" s="98">
        <v>1.6406400000000001E-3</v>
      </c>
      <c r="BJ1105" s="98">
        <v>16.406400000000001</v>
      </c>
      <c r="BK1105" s="48"/>
      <c r="BL1105" s="487">
        <v>2.3204666003319718</v>
      </c>
      <c r="BM1105" s="47" t="s">
        <v>2487</v>
      </c>
      <c r="BN1105" s="48"/>
      <c r="BO1105" s="48"/>
      <c r="BP1105" s="48"/>
      <c r="BQ1105" s="48"/>
      <c r="BR1105" s="47" t="e">
        <v>#VALUE!</v>
      </c>
      <c r="BS1105" s="48"/>
      <c r="BT1105" s="48"/>
      <c r="BU1105" s="228"/>
      <c r="BV1105" s="48"/>
      <c r="BW1105" s="48"/>
      <c r="BX1105" s="48"/>
      <c r="BY1105" s="48"/>
      <c r="BZ1105" s="48"/>
      <c r="CA1105" s="48"/>
      <c r="CB1105" s="48"/>
      <c r="CC1105" s="48"/>
      <c r="CD1105" s="48"/>
      <c r="CE1105" s="48"/>
      <c r="CF1105" s="48"/>
      <c r="CG1105" s="48"/>
      <c r="CH1105" s="48"/>
      <c r="CI1105" s="98"/>
      <c r="CJ1105" s="98"/>
      <c r="CK1105" s="49">
        <f t="shared" si="229"/>
        <v>0.14143667107543226</v>
      </c>
      <c r="CL1105" s="229"/>
      <c r="CM1105" s="229"/>
      <c r="CN1105" s="229"/>
      <c r="CO1105" s="47" t="s">
        <v>2488</v>
      </c>
      <c r="CP1105" s="500" t="s">
        <v>2489</v>
      </c>
      <c r="CQ1105" s="224" t="s">
        <v>272</v>
      </c>
      <c r="CR1105" s="224"/>
      <c r="CS1105" s="230" t="s">
        <v>539</v>
      </c>
      <c r="CT1105" s="230"/>
      <c r="CU1105" s="230"/>
      <c r="CV1105" s="335">
        <f t="shared" si="227"/>
        <v>9.6342969040856534</v>
      </c>
      <c r="CW1105" s="230">
        <f t="shared" si="228"/>
        <v>1</v>
      </c>
      <c r="CX1105" s="336"/>
      <c r="CY1105" s="230" t="s">
        <v>5921</v>
      </c>
    </row>
    <row r="1106" spans="1:103" ht="11.25" customHeight="1" x14ac:dyDescent="0.2">
      <c r="A1106" s="72">
        <v>1564</v>
      </c>
      <c r="B1106" s="224">
        <v>1200</v>
      </c>
      <c r="C1106" s="46" t="s">
        <v>7564</v>
      </c>
      <c r="D1106" s="46"/>
      <c r="E1106" s="114"/>
      <c r="F1106" s="114" t="s">
        <v>3310</v>
      </c>
      <c r="G1106" s="225">
        <v>313994795</v>
      </c>
      <c r="H1106" s="47" t="s">
        <v>3311</v>
      </c>
      <c r="I1106" s="47" t="s">
        <v>7765</v>
      </c>
      <c r="J1106" s="47" t="s">
        <v>3312</v>
      </c>
      <c r="K1106" s="47" t="s">
        <v>1292</v>
      </c>
      <c r="L1106" s="47"/>
      <c r="M1106" s="47"/>
      <c r="N1106" s="47"/>
      <c r="O1106" s="47"/>
      <c r="P1106" s="53"/>
      <c r="Q1106" s="53"/>
      <c r="R1106" s="53"/>
      <c r="S1106" s="53"/>
      <c r="T1106" s="48">
        <v>300.31</v>
      </c>
      <c r="U1106" s="98"/>
      <c r="V1106" s="98">
        <v>43.85</v>
      </c>
      <c r="W1106" s="98">
        <v>54.647436484916327</v>
      </c>
      <c r="X1106" s="98">
        <v>54.647436484916327</v>
      </c>
      <c r="Y1106" s="233">
        <v>6.43</v>
      </c>
      <c r="Z1106" s="48">
        <v>2.86</v>
      </c>
      <c r="AA1106" s="48"/>
      <c r="AB1106" s="48">
        <v>1.94</v>
      </c>
      <c r="AC1106" s="48">
        <v>0.64090000000000003</v>
      </c>
      <c r="AD1106" s="48">
        <v>2.06</v>
      </c>
      <c r="AE1106" s="48">
        <v>2.2400000000000002</v>
      </c>
      <c r="AF1106" s="48">
        <f t="shared" si="232"/>
        <v>2.06</v>
      </c>
      <c r="AG1106" s="49">
        <v>1.62</v>
      </c>
      <c r="AH1106" s="98">
        <v>1.2E-15</v>
      </c>
      <c r="AI1106" s="98"/>
      <c r="AJ1106" s="483">
        <f t="shared" si="230"/>
        <v>-13.309385080265027</v>
      </c>
      <c r="AK1106" s="483"/>
      <c r="AL1106" s="483">
        <f t="shared" si="231"/>
        <v>-13.309385080265027</v>
      </c>
      <c r="AM1106" s="483">
        <v>-20.701970000000003</v>
      </c>
      <c r="AN1106" s="226">
        <v>-15.7</v>
      </c>
      <c r="AO1106" s="484">
        <v>9.68</v>
      </c>
      <c r="AP1106" s="484">
        <v>-0.57999999999999996</v>
      </c>
      <c r="AQ1106" s="48" t="s">
        <v>6311</v>
      </c>
      <c r="AR1106" s="48" t="s">
        <v>6311</v>
      </c>
      <c r="AS1106" s="227"/>
      <c r="AT1106" s="50" t="s">
        <v>266</v>
      </c>
      <c r="AU1106" s="48">
        <v>6</v>
      </c>
      <c r="AV1106" s="48">
        <v>120</v>
      </c>
      <c r="AW1106" s="48">
        <v>114</v>
      </c>
      <c r="AX1106" s="48">
        <v>28</v>
      </c>
      <c r="AY1106" s="48" t="s">
        <v>8728</v>
      </c>
      <c r="AZ1106" s="48" t="s">
        <v>1563</v>
      </c>
      <c r="BA1106" s="48">
        <v>32</v>
      </c>
      <c r="BB1106" s="47" t="s">
        <v>2485</v>
      </c>
      <c r="BC1106" s="47" t="s">
        <v>8726</v>
      </c>
      <c r="BD1106" s="47" t="s">
        <v>8374</v>
      </c>
      <c r="BE1106" s="48" t="s">
        <v>2449</v>
      </c>
      <c r="BF1106" s="48" t="s">
        <v>272</v>
      </c>
      <c r="BG1106" s="48" t="s">
        <v>272</v>
      </c>
      <c r="BH1106" s="48" t="s">
        <v>2486</v>
      </c>
      <c r="BI1106" s="98">
        <v>1.9219839999999998E-3</v>
      </c>
      <c r="BJ1106" s="98">
        <v>19.219840000000001</v>
      </c>
      <c r="BK1106" s="48"/>
      <c r="BL1106" s="487">
        <v>41.668109231505866</v>
      </c>
      <c r="BM1106" s="47" t="s">
        <v>2487</v>
      </c>
      <c r="BN1106" s="48"/>
      <c r="BO1106" s="48"/>
      <c r="BP1106" s="48"/>
      <c r="BQ1106" s="48"/>
      <c r="BR1106" s="47" t="e">
        <v>#VALUE!</v>
      </c>
      <c r="BS1106" s="48"/>
      <c r="BT1106" s="48"/>
      <c r="BU1106" s="228">
        <v>1.9219839999999998E-2</v>
      </c>
      <c r="BV1106" s="48"/>
      <c r="BW1106" s="48"/>
      <c r="BX1106" s="48"/>
      <c r="BY1106" s="48"/>
      <c r="BZ1106" s="48"/>
      <c r="CA1106" s="48"/>
      <c r="CB1106" s="48"/>
      <c r="CC1106" s="48"/>
      <c r="CD1106" s="48"/>
      <c r="CE1106" s="48"/>
      <c r="CF1106" s="48"/>
      <c r="CG1106" s="48"/>
      <c r="CH1106" s="48"/>
      <c r="CI1106" s="98"/>
      <c r="CJ1106" s="98"/>
      <c r="CK1106" s="49">
        <f t="shared" si="229"/>
        <v>2.1679737828986019</v>
      </c>
      <c r="CL1106" s="229"/>
      <c r="CM1106" s="229"/>
      <c r="CN1106" s="229"/>
      <c r="CO1106" s="47" t="s">
        <v>2488</v>
      </c>
      <c r="CP1106" s="500" t="s">
        <v>2489</v>
      </c>
      <c r="CQ1106" s="224" t="s">
        <v>272</v>
      </c>
      <c r="CR1106" s="224"/>
      <c r="CS1106" s="230" t="s">
        <v>539</v>
      </c>
      <c r="CT1106" s="230"/>
      <c r="CU1106" s="230"/>
      <c r="CV1106" s="335">
        <f t="shared" si="227"/>
        <v>2.8432825915780944</v>
      </c>
      <c r="CW1106" s="230">
        <f t="shared" si="228"/>
        <v>1</v>
      </c>
      <c r="CX1106" s="336"/>
      <c r="CY1106" s="230" t="s">
        <v>5921</v>
      </c>
    </row>
    <row r="1107" spans="1:103" ht="11.25" customHeight="1" x14ac:dyDescent="0.2">
      <c r="A1107" s="72">
        <v>1565</v>
      </c>
      <c r="B1107" s="224">
        <v>1632</v>
      </c>
      <c r="C1107" s="46" t="s">
        <v>7565</v>
      </c>
      <c r="D1107" s="46"/>
      <c r="E1107" s="114"/>
      <c r="F1107" s="114" t="s">
        <v>4834</v>
      </c>
      <c r="G1107" s="225">
        <v>331623064</v>
      </c>
      <c r="H1107" s="47" t="s">
        <v>4835</v>
      </c>
      <c r="I1107" s="47" t="s">
        <v>7860</v>
      </c>
      <c r="J1107" s="47" t="s">
        <v>4836</v>
      </c>
      <c r="K1107" s="47" t="s">
        <v>376</v>
      </c>
      <c r="L1107" s="47"/>
      <c r="M1107" s="47"/>
      <c r="N1107" s="47"/>
      <c r="O1107" s="47"/>
      <c r="P1107" s="53"/>
      <c r="Q1107" s="53"/>
      <c r="R1107" s="53"/>
      <c r="S1107" s="53"/>
      <c r="T1107" s="48">
        <v>580.53</v>
      </c>
      <c r="U1107" s="98">
        <v>1000</v>
      </c>
      <c r="V1107" s="98">
        <v>1946</v>
      </c>
      <c r="W1107" s="98">
        <v>23.111315572142125</v>
      </c>
      <c r="X1107" s="98">
        <v>1000</v>
      </c>
      <c r="Y1107" s="233">
        <v>5.79</v>
      </c>
      <c r="Z1107" s="48">
        <v>-0.52</v>
      </c>
      <c r="AA1107" s="48">
        <v>-0.44</v>
      </c>
      <c r="AB1107" s="48">
        <v>-0.28000000000000003</v>
      </c>
      <c r="AC1107" s="48">
        <v>0.82450000000000001</v>
      </c>
      <c r="AD1107" s="48">
        <v>0.39</v>
      </c>
      <c r="AE1107" s="48">
        <v>2.73</v>
      </c>
      <c r="AF1107" s="48">
        <f t="shared" si="232"/>
        <v>-0.44</v>
      </c>
      <c r="AG1107" s="49">
        <v>-0.41</v>
      </c>
      <c r="AH1107" s="98">
        <v>7.5599999999999997E-32</v>
      </c>
      <c r="AI1107" s="98"/>
      <c r="AJ1107" s="483">
        <f t="shared" si="230"/>
        <v>-29.510044530811445</v>
      </c>
      <c r="AK1107" s="483"/>
      <c r="AL1107" s="483">
        <f t="shared" si="231"/>
        <v>-29.510044530811445</v>
      </c>
      <c r="AM1107" s="483">
        <v>-44.709600000000002</v>
      </c>
      <c r="AN1107" s="226">
        <v>-32</v>
      </c>
      <c r="AO1107" s="484">
        <v>7.17</v>
      </c>
      <c r="AP1107" s="484"/>
      <c r="AQ1107" s="226" t="s">
        <v>6311</v>
      </c>
      <c r="AR1107" s="226" t="s">
        <v>6311</v>
      </c>
      <c r="AS1107" s="224"/>
      <c r="AT1107" s="50" t="s">
        <v>266</v>
      </c>
      <c r="AU1107" s="48">
        <v>6</v>
      </c>
      <c r="AV1107" s="48">
        <v>120</v>
      </c>
      <c r="AW1107" s="48">
        <v>114</v>
      </c>
      <c r="AX1107" s="48">
        <v>28</v>
      </c>
      <c r="AY1107" s="48" t="s">
        <v>8728</v>
      </c>
      <c r="AZ1107" s="48" t="s">
        <v>1563</v>
      </c>
      <c r="BA1107" s="48">
        <v>32</v>
      </c>
      <c r="BB1107" s="47" t="s">
        <v>2485</v>
      </c>
      <c r="BC1107" s="47" t="s">
        <v>8726</v>
      </c>
      <c r="BD1107" s="47" t="s">
        <v>8374</v>
      </c>
      <c r="BE1107" s="48" t="s">
        <v>2449</v>
      </c>
      <c r="BF1107" s="48" t="s">
        <v>272</v>
      </c>
      <c r="BG1107" s="48" t="s">
        <v>272</v>
      </c>
      <c r="BH1107" s="48" t="s">
        <v>2486</v>
      </c>
      <c r="BI1107" s="98">
        <v>3.7153919999999997E-3</v>
      </c>
      <c r="BJ1107" s="98">
        <v>37.153919999999999</v>
      </c>
      <c r="BK1107" s="48"/>
      <c r="BL1107" s="487">
        <v>87425.206673043867</v>
      </c>
      <c r="BM1107" s="47" t="s">
        <v>2487</v>
      </c>
      <c r="BN1107" s="48"/>
      <c r="BO1107" s="48"/>
      <c r="BP1107" s="48"/>
      <c r="BQ1107" s="48"/>
      <c r="BR1107" s="47" t="e">
        <v>#VALUE!</v>
      </c>
      <c r="BS1107" s="48"/>
      <c r="BT1107" s="48"/>
      <c r="BU1107" s="228"/>
      <c r="BV1107" s="48"/>
      <c r="BW1107" s="48"/>
      <c r="BX1107" s="48"/>
      <c r="BY1107" s="48"/>
      <c r="BZ1107" s="48"/>
      <c r="CA1107" s="48"/>
      <c r="CB1107" s="48"/>
      <c r="CC1107" s="48"/>
      <c r="CD1107" s="48"/>
      <c r="CE1107" s="48"/>
      <c r="CF1107" s="48"/>
      <c r="CG1107" s="48"/>
      <c r="CH1107" s="48"/>
      <c r="CI1107" s="98"/>
      <c r="CJ1107" s="98"/>
      <c r="CK1107" s="49">
        <f t="shared" si="229"/>
        <v>2353.0547159773146</v>
      </c>
      <c r="CL1107" s="229"/>
      <c r="CM1107" s="229"/>
      <c r="CN1107" s="229"/>
      <c r="CO1107" s="47" t="s">
        <v>2488</v>
      </c>
      <c r="CP1107" s="500" t="s">
        <v>2489</v>
      </c>
      <c r="CQ1107" s="224" t="s">
        <v>272</v>
      </c>
      <c r="CR1107" s="224"/>
      <c r="CS1107" s="230" t="s">
        <v>539</v>
      </c>
      <c r="CT1107" s="230"/>
      <c r="CU1107" s="230"/>
      <c r="CV1107" s="335">
        <f t="shared" si="227"/>
        <v>26.915060375863437</v>
      </c>
      <c r="CW1107" s="230">
        <f t="shared" si="228"/>
        <v>1</v>
      </c>
      <c r="CX1107" s="336"/>
      <c r="CY1107" s="230" t="s">
        <v>5921</v>
      </c>
    </row>
    <row r="1108" spans="1:103" ht="11.25" customHeight="1" x14ac:dyDescent="0.2">
      <c r="A1108" s="72">
        <v>1566</v>
      </c>
      <c r="B1108" s="224">
        <v>914</v>
      </c>
      <c r="C1108" s="46" t="s">
        <v>7566</v>
      </c>
      <c r="D1108" s="46"/>
      <c r="E1108" s="114"/>
      <c r="F1108" s="114" t="s">
        <v>2611</v>
      </c>
      <c r="G1108" s="225">
        <v>349495427</v>
      </c>
      <c r="H1108" s="231" t="s">
        <v>6326</v>
      </c>
      <c r="I1108" s="231" t="s">
        <v>7790</v>
      </c>
      <c r="J1108" s="47" t="s">
        <v>6327</v>
      </c>
      <c r="K1108" s="47"/>
      <c r="L1108" s="47"/>
      <c r="M1108" s="47"/>
      <c r="N1108" s="47"/>
      <c r="O1108" s="47"/>
      <c r="P1108" s="53"/>
      <c r="Q1108" s="53"/>
      <c r="R1108" s="53"/>
      <c r="S1108" s="53"/>
      <c r="T1108" s="48">
        <v>284.31740000000002</v>
      </c>
      <c r="U1108" s="98"/>
      <c r="V1108" s="98"/>
      <c r="W1108" s="98"/>
      <c r="X1108" s="98"/>
      <c r="Y1108" s="233">
        <v>5.78</v>
      </c>
      <c r="Z1108" s="48">
        <v>2.78</v>
      </c>
      <c r="AA1108" s="48"/>
      <c r="AB1108" s="48">
        <v>1.66</v>
      </c>
      <c r="AC1108" s="48">
        <v>0.66139999999999999</v>
      </c>
      <c r="AD1108" s="48">
        <v>1.01</v>
      </c>
      <c r="AE1108" s="48">
        <v>-0.98</v>
      </c>
      <c r="AF1108" s="48">
        <f t="shared" si="232"/>
        <v>1.01</v>
      </c>
      <c r="AG1108" s="49" t="s">
        <v>5921</v>
      </c>
      <c r="AH1108" s="98">
        <v>8.7299999999999996E-17</v>
      </c>
      <c r="AI1108" s="98"/>
      <c r="AJ1108" s="483">
        <f t="shared" si="230"/>
        <v>-14.447552082607082</v>
      </c>
      <c r="AK1108" s="483"/>
      <c r="AL1108" s="483">
        <f t="shared" si="231"/>
        <v>-14.447552082607082</v>
      </c>
      <c r="AM1108" s="483">
        <v>-19.106430000000003</v>
      </c>
      <c r="AN1108" s="226"/>
      <c r="AO1108" s="484">
        <v>8.6</v>
      </c>
      <c r="AP1108" s="484">
        <v>3.19</v>
      </c>
      <c r="AQ1108" s="48" t="s">
        <v>6317</v>
      </c>
      <c r="AR1108" s="48" t="s">
        <v>6317</v>
      </c>
      <c r="AS1108" s="227"/>
      <c r="AT1108" s="50" t="s">
        <v>266</v>
      </c>
      <c r="AU1108" s="48">
        <v>6</v>
      </c>
      <c r="AV1108" s="48">
        <v>120</v>
      </c>
      <c r="AW1108" s="48">
        <v>114</v>
      </c>
      <c r="AX1108" s="48">
        <v>28</v>
      </c>
      <c r="AY1108" s="48" t="s">
        <v>8728</v>
      </c>
      <c r="AZ1108" s="48" t="s">
        <v>1563</v>
      </c>
      <c r="BA1108" s="48">
        <v>32</v>
      </c>
      <c r="BB1108" s="47" t="s">
        <v>2485</v>
      </c>
      <c r="BC1108" s="47" t="s">
        <v>8726</v>
      </c>
      <c r="BD1108" s="47" t="s">
        <v>8374</v>
      </c>
      <c r="BE1108" s="48" t="s">
        <v>2449</v>
      </c>
      <c r="BF1108" s="48" t="s">
        <v>272</v>
      </c>
      <c r="BG1108" s="48" t="s">
        <v>272</v>
      </c>
      <c r="BH1108" s="48" t="s">
        <v>2486</v>
      </c>
      <c r="BI1108" s="98"/>
      <c r="BJ1108" s="98"/>
      <c r="BK1108" s="48"/>
      <c r="BL1108" s="487"/>
      <c r="BM1108" s="47" t="s">
        <v>2487</v>
      </c>
      <c r="BN1108" s="48"/>
      <c r="BO1108" s="48"/>
      <c r="BP1108" s="48"/>
      <c r="BQ1108" s="48"/>
      <c r="BR1108" s="47" t="e">
        <v>#VALUE!</v>
      </c>
      <c r="BS1108" s="48"/>
      <c r="BT1108" s="48"/>
      <c r="BU1108" s="228"/>
      <c r="BV1108" s="48"/>
      <c r="BW1108" s="48"/>
      <c r="BX1108" s="48"/>
      <c r="BY1108" s="48"/>
      <c r="BZ1108" s="48"/>
      <c r="CA1108" s="48"/>
      <c r="CB1108" s="48"/>
      <c r="CC1108" s="48"/>
      <c r="CD1108" s="48"/>
      <c r="CE1108" s="48"/>
      <c r="CF1108" s="48"/>
      <c r="CG1108" s="48"/>
      <c r="CH1108" s="48"/>
      <c r="CI1108" s="98"/>
      <c r="CJ1108" s="98"/>
      <c r="CK1108" s="49"/>
      <c r="CL1108" s="229"/>
      <c r="CM1108" s="229"/>
      <c r="CN1108" s="229"/>
      <c r="CO1108" s="47" t="s">
        <v>2488</v>
      </c>
      <c r="CP1108" s="500" t="s">
        <v>2489</v>
      </c>
      <c r="CQ1108" s="224" t="s">
        <v>272</v>
      </c>
      <c r="CR1108" s="224"/>
      <c r="CS1108" s="230" t="s">
        <v>539</v>
      </c>
      <c r="CT1108" s="230"/>
      <c r="CU1108" s="230"/>
      <c r="CV1108" s="335"/>
      <c r="CW1108" s="230"/>
      <c r="CX1108" s="336"/>
      <c r="CY1108" s="230" t="s">
        <v>5921</v>
      </c>
    </row>
    <row r="1109" spans="1:103" ht="11.25" customHeight="1" x14ac:dyDescent="0.2">
      <c r="A1109" s="72">
        <v>1567</v>
      </c>
      <c r="B1109" s="224">
        <v>978</v>
      </c>
      <c r="C1109" s="46" t="s">
        <v>7567</v>
      </c>
      <c r="D1109" s="46"/>
      <c r="E1109" s="114"/>
      <c r="F1109" s="114" t="s">
        <v>2794</v>
      </c>
      <c r="G1109" s="225">
        <v>353280076</v>
      </c>
      <c r="H1109" s="231" t="s">
        <v>6328</v>
      </c>
      <c r="I1109" s="231" t="s">
        <v>6328</v>
      </c>
      <c r="J1109" s="231" t="s">
        <v>6329</v>
      </c>
      <c r="K1109" s="47"/>
      <c r="L1109" s="47"/>
      <c r="M1109" s="47"/>
      <c r="N1109" s="47"/>
      <c r="O1109" s="47"/>
      <c r="P1109" s="53"/>
      <c r="Q1109" s="53"/>
      <c r="R1109" s="53"/>
      <c r="S1109" s="53"/>
      <c r="T1109" s="48">
        <v>404.43</v>
      </c>
      <c r="U1109" s="98"/>
      <c r="V1109" s="98">
        <v>11.7</v>
      </c>
      <c r="W1109" s="98">
        <v>24.93695166028391</v>
      </c>
      <c r="X1109" s="98">
        <v>24.93695166028391</v>
      </c>
      <c r="Y1109" s="233">
        <v>7</v>
      </c>
      <c r="Z1109" s="48">
        <v>2.8</v>
      </c>
      <c r="AA1109" s="48"/>
      <c r="AB1109" s="48">
        <v>2.82</v>
      </c>
      <c r="AC1109" s="48">
        <v>0.71430000000000005</v>
      </c>
      <c r="AD1109" s="48">
        <v>2.74</v>
      </c>
      <c r="AE1109" s="48">
        <v>2.5499999999999998</v>
      </c>
      <c r="AF1109" s="48">
        <f t="shared" si="232"/>
        <v>2.74</v>
      </c>
      <c r="AG1109" s="49" t="s">
        <v>5921</v>
      </c>
      <c r="AH1109" s="98">
        <v>2.4999999999999999E-20</v>
      </c>
      <c r="AI1109" s="98"/>
      <c r="AJ1109" s="483">
        <f t="shared" si="230"/>
        <v>-17.990626317640615</v>
      </c>
      <c r="AK1109" s="483"/>
      <c r="AL1109" s="483">
        <f t="shared" si="231"/>
        <v>-17.990626317640615</v>
      </c>
      <c r="AM1109" s="483">
        <v>-26.095360000000003</v>
      </c>
      <c r="AN1109" s="226"/>
      <c r="AO1109" s="484">
        <v>13.37</v>
      </c>
      <c r="AP1109" s="484"/>
      <c r="AQ1109" s="48" t="s">
        <v>6317</v>
      </c>
      <c r="AR1109" s="48" t="s">
        <v>6317</v>
      </c>
      <c r="AS1109" s="227"/>
      <c r="AT1109" s="50" t="s">
        <v>266</v>
      </c>
      <c r="AU1109" s="48">
        <v>6</v>
      </c>
      <c r="AV1109" s="48">
        <v>120</v>
      </c>
      <c r="AW1109" s="48">
        <v>114</v>
      </c>
      <c r="AX1109" s="48">
        <v>28</v>
      </c>
      <c r="AY1109" s="48" t="s">
        <v>8728</v>
      </c>
      <c r="AZ1109" s="48" t="s">
        <v>1563</v>
      </c>
      <c r="BA1109" s="48">
        <v>32</v>
      </c>
      <c r="BB1109" s="47" t="s">
        <v>2485</v>
      </c>
      <c r="BC1109" s="47" t="s">
        <v>8726</v>
      </c>
      <c r="BD1109" s="47" t="s">
        <v>8374</v>
      </c>
      <c r="BE1109" s="48" t="s">
        <v>2449</v>
      </c>
      <c r="BF1109" s="48" t="s">
        <v>272</v>
      </c>
      <c r="BG1109" s="48" t="s">
        <v>272</v>
      </c>
      <c r="BH1109" s="48" t="s">
        <v>2486</v>
      </c>
      <c r="BI1109" s="98">
        <v>2.5883519999999999E-3</v>
      </c>
      <c r="BJ1109" s="98">
        <v>25.883520000000001</v>
      </c>
      <c r="BK1109" s="48"/>
      <c r="BL1109" s="487">
        <v>63.52773383234841</v>
      </c>
      <c r="BM1109" s="47" t="s">
        <v>2487</v>
      </c>
      <c r="BN1109" s="48"/>
      <c r="BO1109" s="48"/>
      <c r="BP1109" s="48"/>
      <c r="BQ1109" s="48"/>
      <c r="BR1109" s="47" t="e">
        <v>#VALUE!</v>
      </c>
      <c r="BS1109" s="48"/>
      <c r="BT1109" s="48"/>
      <c r="BU1109" s="228">
        <v>2.588352E-2</v>
      </c>
      <c r="BV1109" s="48"/>
      <c r="BW1109" s="48"/>
      <c r="BX1109" s="48"/>
      <c r="BY1109" s="48"/>
      <c r="BZ1109" s="48"/>
      <c r="CA1109" s="48"/>
      <c r="CB1109" s="48"/>
      <c r="CC1109" s="48"/>
      <c r="CD1109" s="48"/>
      <c r="CE1109" s="48"/>
      <c r="CF1109" s="48"/>
      <c r="CG1109" s="48"/>
      <c r="CH1109" s="48"/>
      <c r="CI1109" s="98"/>
      <c r="CJ1109" s="98"/>
      <c r="CK1109" s="49">
        <f t="shared" ref="CK1109:CK1124" si="233">BL1109/BJ1109</f>
        <v>2.4543699555681919</v>
      </c>
      <c r="CL1109" s="229"/>
      <c r="CM1109" s="229"/>
      <c r="CN1109" s="229"/>
      <c r="CO1109" s="47" t="s">
        <v>2488</v>
      </c>
      <c r="CP1109" s="500" t="s">
        <v>2489</v>
      </c>
      <c r="CQ1109" s="224" t="s">
        <v>272</v>
      </c>
      <c r="CR1109" s="224"/>
      <c r="CS1109" s="230" t="s">
        <v>539</v>
      </c>
      <c r="CT1109" s="230"/>
      <c r="CU1109" s="230"/>
      <c r="CV1109" s="335">
        <f t="shared" ref="CV1109:CV1124" si="234">X1109/BJ1109</f>
        <v>0.9634296904085653</v>
      </c>
      <c r="CW1109" s="230">
        <f t="shared" ref="CW1109:CW1124" si="235">IF(CV1109&lt;1,0,1)</f>
        <v>0</v>
      </c>
      <c r="CX1109" s="336"/>
      <c r="CY1109" s="230" t="s">
        <v>5921</v>
      </c>
    </row>
    <row r="1110" spans="1:103" ht="11.25" customHeight="1" x14ac:dyDescent="0.2">
      <c r="A1110" s="72">
        <v>1568</v>
      </c>
      <c r="B1110" s="224">
        <v>1118</v>
      </c>
      <c r="C1110" s="46" t="s">
        <v>7568</v>
      </c>
      <c r="D1110" s="46"/>
      <c r="E1110" s="114"/>
      <c r="F1110" s="114" t="s">
        <v>3123</v>
      </c>
      <c r="G1110" s="225">
        <v>361343193</v>
      </c>
      <c r="H1110" s="47" t="s">
        <v>3124</v>
      </c>
      <c r="I1110" s="47" t="s">
        <v>7824</v>
      </c>
      <c r="J1110" s="47" t="s">
        <v>3125</v>
      </c>
      <c r="K1110" s="47" t="s">
        <v>455</v>
      </c>
      <c r="L1110" s="47"/>
      <c r="M1110" s="47"/>
      <c r="N1110" s="47"/>
      <c r="O1110" s="47"/>
      <c r="P1110" s="53"/>
      <c r="Q1110" s="53"/>
      <c r="R1110" s="53"/>
      <c r="S1110" s="53"/>
      <c r="T1110" s="48">
        <v>630.11</v>
      </c>
      <c r="U1110" s="98"/>
      <c r="V1110" s="98">
        <v>1.085</v>
      </c>
      <c r="W1110" s="98">
        <v>2.5669438684714945</v>
      </c>
      <c r="X1110" s="98">
        <v>2.5669438684714945</v>
      </c>
      <c r="Y1110" s="233">
        <v>7</v>
      </c>
      <c r="Z1110" s="48">
        <v>2.31</v>
      </c>
      <c r="AA1110" s="48"/>
      <c r="AB1110" s="48">
        <v>2.93</v>
      </c>
      <c r="AC1110" s="48">
        <v>0.45950000000000002</v>
      </c>
      <c r="AD1110" s="48">
        <v>2.8</v>
      </c>
      <c r="AE1110" s="48">
        <v>2.66</v>
      </c>
      <c r="AF1110" s="48">
        <f t="shared" si="232"/>
        <v>2.8</v>
      </c>
      <c r="AG1110" s="49">
        <v>3.06</v>
      </c>
      <c r="AH1110" s="98">
        <v>2.08E-22</v>
      </c>
      <c r="AI1110" s="98"/>
      <c r="AJ1110" s="483">
        <f t="shared" si="230"/>
        <v>-20.07050299134989</v>
      </c>
      <c r="AK1110" s="483"/>
      <c r="AL1110" s="483">
        <f t="shared" si="231"/>
        <v>-20.07050299134989</v>
      </c>
      <c r="AM1110" s="483">
        <v>-37.056899999999999</v>
      </c>
      <c r="AN1110" s="226">
        <v>-35.4</v>
      </c>
      <c r="AO1110" s="484">
        <v>14.14</v>
      </c>
      <c r="AP1110" s="484">
        <v>2.2999999999999998</v>
      </c>
      <c r="AQ1110" s="48" t="s">
        <v>6311</v>
      </c>
      <c r="AR1110" s="48" t="s">
        <v>6311</v>
      </c>
      <c r="AS1110" s="227"/>
      <c r="AT1110" s="50" t="s">
        <v>266</v>
      </c>
      <c r="AU1110" s="48">
        <v>6</v>
      </c>
      <c r="AV1110" s="48">
        <v>120</v>
      </c>
      <c r="AW1110" s="48">
        <v>114</v>
      </c>
      <c r="AX1110" s="48">
        <v>28</v>
      </c>
      <c r="AY1110" s="48" t="s">
        <v>8728</v>
      </c>
      <c r="AZ1110" s="48" t="s">
        <v>1563</v>
      </c>
      <c r="BA1110" s="48">
        <v>32</v>
      </c>
      <c r="BB1110" s="47" t="s">
        <v>2485</v>
      </c>
      <c r="BC1110" s="47" t="s">
        <v>8726</v>
      </c>
      <c r="BD1110" s="47" t="s">
        <v>8374</v>
      </c>
      <c r="BE1110" s="48" t="s">
        <v>2449</v>
      </c>
      <c r="BF1110" s="48" t="s">
        <v>272</v>
      </c>
      <c r="BG1110" s="48" t="s">
        <v>272</v>
      </c>
      <c r="BH1110" s="48" t="s">
        <v>2486</v>
      </c>
      <c r="BI1110" s="98">
        <v>4.0327039999999998E-3</v>
      </c>
      <c r="BJ1110" s="98">
        <v>40.327040000000004</v>
      </c>
      <c r="BK1110" s="48"/>
      <c r="BL1110" s="487">
        <v>272.6499183902763</v>
      </c>
      <c r="BM1110" s="47" t="s">
        <v>2487</v>
      </c>
      <c r="BN1110" s="48"/>
      <c r="BO1110" s="48"/>
      <c r="BP1110" s="48"/>
      <c r="BQ1110" s="48"/>
      <c r="BR1110" s="47" t="e">
        <v>#VALUE!</v>
      </c>
      <c r="BS1110" s="48"/>
      <c r="BT1110" s="48"/>
      <c r="BU1110" s="228">
        <v>40.327040000000004</v>
      </c>
      <c r="BV1110" s="48"/>
      <c r="BW1110" s="48"/>
      <c r="BX1110" s="48"/>
      <c r="BY1110" s="48"/>
      <c r="BZ1110" s="48"/>
      <c r="CA1110" s="48"/>
      <c r="CB1110" s="48"/>
      <c r="CC1110" s="48"/>
      <c r="CD1110" s="48"/>
      <c r="CE1110" s="48"/>
      <c r="CF1110" s="48"/>
      <c r="CG1110" s="48"/>
      <c r="CH1110" s="48"/>
      <c r="CI1110" s="98"/>
      <c r="CJ1110" s="98"/>
      <c r="CK1110" s="49">
        <f t="shared" si="233"/>
        <v>6.7609702668550993</v>
      </c>
      <c r="CL1110" s="229"/>
      <c r="CM1110" s="229"/>
      <c r="CN1110" s="229"/>
      <c r="CO1110" s="47" t="s">
        <v>2488</v>
      </c>
      <c r="CP1110" s="500" t="s">
        <v>2489</v>
      </c>
      <c r="CQ1110" s="224" t="s">
        <v>272</v>
      </c>
      <c r="CR1110" s="224"/>
      <c r="CS1110" s="230" t="s">
        <v>539</v>
      </c>
      <c r="CT1110" s="230"/>
      <c r="CU1110" s="230"/>
      <c r="CV1110" s="335">
        <f t="shared" si="234"/>
        <v>6.3653168406892599E-2</v>
      </c>
      <c r="CW1110" s="230">
        <f t="shared" si="235"/>
        <v>0</v>
      </c>
      <c r="CX1110" s="336"/>
      <c r="CY1110" s="230" t="s">
        <v>5921</v>
      </c>
    </row>
    <row r="1111" spans="1:103" ht="11.25" customHeight="1" x14ac:dyDescent="0.2">
      <c r="A1111" s="72">
        <v>1569</v>
      </c>
      <c r="B1111" s="224">
        <v>1340</v>
      </c>
      <c r="C1111" s="46" t="s">
        <v>7569</v>
      </c>
      <c r="D1111" s="46"/>
      <c r="E1111" s="114"/>
      <c r="F1111" s="114" t="s">
        <v>3631</v>
      </c>
      <c r="G1111" s="225">
        <v>445295045</v>
      </c>
      <c r="H1111" s="47" t="s">
        <v>3632</v>
      </c>
      <c r="I1111" s="47" t="s">
        <v>8188</v>
      </c>
      <c r="J1111" s="236" t="s">
        <v>3633</v>
      </c>
      <c r="K1111" s="236" t="s">
        <v>2631</v>
      </c>
      <c r="L1111" s="47"/>
      <c r="M1111" s="47"/>
      <c r="N1111" s="47"/>
      <c r="O1111" s="52"/>
      <c r="P1111" s="53"/>
      <c r="Q1111" s="53"/>
      <c r="R1111" s="53"/>
      <c r="S1111" s="53"/>
      <c r="T1111" s="226">
        <v>839.97</v>
      </c>
      <c r="U1111" s="98"/>
      <c r="V1111" s="98">
        <v>4.1849999999999996</v>
      </c>
      <c r="W1111" s="98">
        <v>62.267836338553074</v>
      </c>
      <c r="X1111" s="98">
        <v>62.267836338553074</v>
      </c>
      <c r="Y1111" s="233">
        <v>4.18</v>
      </c>
      <c r="Z1111" s="48">
        <v>2.96</v>
      </c>
      <c r="AA1111" s="48"/>
      <c r="AB1111" s="48">
        <v>2.5099999999999998</v>
      </c>
      <c r="AC1111" s="48">
        <v>0.64400000000000002</v>
      </c>
      <c r="AD1111" s="48">
        <v>2.69</v>
      </c>
      <c r="AE1111" s="48">
        <v>3</v>
      </c>
      <c r="AF1111" s="48">
        <f t="shared" si="232"/>
        <v>2.69</v>
      </c>
      <c r="AG1111" s="48">
        <v>1.64</v>
      </c>
      <c r="AH1111" s="98">
        <v>5.75E-22</v>
      </c>
      <c r="AI1111" s="98"/>
      <c r="AJ1111" s="483">
        <f t="shared" si="230"/>
        <v>-19.628898481623022</v>
      </c>
      <c r="AK1111" s="483"/>
      <c r="AL1111" s="483">
        <f t="shared" si="231"/>
        <v>-19.628898481623022</v>
      </c>
      <c r="AM1111" s="483">
        <v>-27.615110000000001</v>
      </c>
      <c r="AN1111" s="48"/>
      <c r="AO1111" s="484">
        <v>3.1</v>
      </c>
      <c r="AP1111" s="484">
        <v>1.44</v>
      </c>
      <c r="AQ1111" s="48" t="s">
        <v>6311</v>
      </c>
      <c r="AR1111" s="48" t="s">
        <v>6311</v>
      </c>
      <c r="AS1111" s="227"/>
      <c r="AT1111" s="50" t="s">
        <v>266</v>
      </c>
      <c r="AU1111" s="48">
        <v>6</v>
      </c>
      <c r="AV1111" s="48">
        <v>120</v>
      </c>
      <c r="AW1111" s="48">
        <v>114</v>
      </c>
      <c r="AX1111" s="48">
        <v>28</v>
      </c>
      <c r="AY1111" s="48" t="s">
        <v>8728</v>
      </c>
      <c r="AZ1111" s="48" t="s">
        <v>1563</v>
      </c>
      <c r="BA1111" s="48">
        <v>32</v>
      </c>
      <c r="BB1111" s="47" t="s">
        <v>2485</v>
      </c>
      <c r="BC1111" s="47" t="s">
        <v>8726</v>
      </c>
      <c r="BD1111" s="47" t="s">
        <v>8374</v>
      </c>
      <c r="BE1111" s="48" t="s">
        <v>2449</v>
      </c>
      <c r="BF1111" s="48" t="s">
        <v>272</v>
      </c>
      <c r="BG1111" s="48" t="s">
        <v>272</v>
      </c>
      <c r="BH1111" s="48" t="s">
        <v>2486</v>
      </c>
      <c r="BI1111" s="98">
        <v>5.3758080000000001E-3</v>
      </c>
      <c r="BJ1111" s="98">
        <v>53.75808</v>
      </c>
      <c r="BK1111" s="48"/>
      <c r="BL1111" s="487">
        <v>94.773686752918522</v>
      </c>
      <c r="BM1111" s="47" t="s">
        <v>2487</v>
      </c>
      <c r="BN1111" s="48"/>
      <c r="BO1111" s="48"/>
      <c r="BP1111" s="48"/>
      <c r="BQ1111" s="48"/>
      <c r="BR1111" s="47" t="e">
        <v>#VALUE!</v>
      </c>
      <c r="BS1111" s="48"/>
      <c r="BT1111" s="48"/>
      <c r="BU1111" s="228"/>
      <c r="BV1111" s="48"/>
      <c r="BW1111" s="48"/>
      <c r="BX1111" s="48"/>
      <c r="BY1111" s="48"/>
      <c r="BZ1111" s="48"/>
      <c r="CA1111" s="48"/>
      <c r="CB1111" s="48"/>
      <c r="CC1111" s="48"/>
      <c r="CD1111" s="48"/>
      <c r="CE1111" s="48"/>
      <c r="CF1111" s="48"/>
      <c r="CG1111" s="48"/>
      <c r="CH1111" s="48"/>
      <c r="CI1111" s="98"/>
      <c r="CJ1111" s="98"/>
      <c r="CK1111" s="49">
        <f t="shared" si="233"/>
        <v>1.7629663625062226</v>
      </c>
      <c r="CL1111" s="229"/>
      <c r="CM1111" s="229"/>
      <c r="CN1111" s="229"/>
      <c r="CO1111" s="47" t="s">
        <v>2488</v>
      </c>
      <c r="CP1111" s="500" t="s">
        <v>2489</v>
      </c>
      <c r="CQ1111" s="224" t="s">
        <v>272</v>
      </c>
      <c r="CR1111" s="224"/>
      <c r="CS1111" s="230" t="s">
        <v>539</v>
      </c>
      <c r="CT1111" s="230"/>
      <c r="CU1111" s="230"/>
      <c r="CV1111" s="335">
        <f t="shared" si="234"/>
        <v>1.158297252032682</v>
      </c>
      <c r="CW1111" s="230">
        <f t="shared" si="235"/>
        <v>1</v>
      </c>
      <c r="CX1111" s="336"/>
      <c r="CY1111" s="230" t="s">
        <v>5921</v>
      </c>
    </row>
    <row r="1112" spans="1:103" ht="11.25" customHeight="1" x14ac:dyDescent="0.2">
      <c r="A1112" s="72">
        <v>1570</v>
      </c>
      <c r="B1112" s="224">
        <v>1430</v>
      </c>
      <c r="C1112" s="46" t="s">
        <v>7570</v>
      </c>
      <c r="D1112" s="46"/>
      <c r="E1112" s="114"/>
      <c r="F1112" s="114" t="s">
        <v>4399</v>
      </c>
      <c r="G1112" s="225">
        <v>460081996</v>
      </c>
      <c r="H1112" s="47" t="s">
        <v>4400</v>
      </c>
      <c r="I1112" s="47" t="s">
        <v>7795</v>
      </c>
      <c r="J1112" s="47" t="s">
        <v>4401</v>
      </c>
      <c r="K1112" s="47" t="s">
        <v>455</v>
      </c>
      <c r="L1112" s="47"/>
      <c r="M1112" s="47"/>
      <c r="N1112" s="47"/>
      <c r="O1112" s="47"/>
      <c r="P1112" s="53"/>
      <c r="Q1112" s="53"/>
      <c r="R1112" s="53"/>
      <c r="S1112" s="53"/>
      <c r="T1112" s="48">
        <v>376.4</v>
      </c>
      <c r="U1112" s="98"/>
      <c r="V1112" s="98">
        <v>468.2</v>
      </c>
      <c r="W1112" s="98">
        <v>27.90291748256649</v>
      </c>
      <c r="X1112" s="98">
        <v>27.90291748256649</v>
      </c>
      <c r="Y1112" s="233">
        <v>8.4499999999999993</v>
      </c>
      <c r="Z1112" s="48">
        <v>0.81</v>
      </c>
      <c r="AA1112" s="48"/>
      <c r="AB1112" s="48">
        <v>0.95</v>
      </c>
      <c r="AC1112" s="48">
        <v>0.4158</v>
      </c>
      <c r="AD1112" s="48">
        <v>0.75</v>
      </c>
      <c r="AE1112" s="48">
        <v>0.59</v>
      </c>
      <c r="AF1112" s="48">
        <f t="shared" si="232"/>
        <v>0.75</v>
      </c>
      <c r="AG1112" s="49">
        <v>0.56000000000000005</v>
      </c>
      <c r="AH1112" s="98">
        <v>5.5599999999999996E-16</v>
      </c>
      <c r="AI1112" s="98"/>
      <c r="AJ1112" s="483">
        <f t="shared" si="230"/>
        <v>-13.643491534730595</v>
      </c>
      <c r="AK1112" s="483"/>
      <c r="AL1112" s="483">
        <f t="shared" si="231"/>
        <v>-13.643491534730595</v>
      </c>
      <c r="AM1112" s="483">
        <v>-20.549509999999998</v>
      </c>
      <c r="AN1112" s="226">
        <v>-16.8</v>
      </c>
      <c r="AO1112" s="484"/>
      <c r="AP1112" s="484">
        <v>7.24</v>
      </c>
      <c r="AQ1112" s="48" t="s">
        <v>6311</v>
      </c>
      <c r="AR1112" s="48" t="s">
        <v>6311</v>
      </c>
      <c r="AS1112" s="227"/>
      <c r="AT1112" s="50" t="s">
        <v>266</v>
      </c>
      <c r="AU1112" s="48">
        <v>6</v>
      </c>
      <c r="AV1112" s="48">
        <v>120</v>
      </c>
      <c r="AW1112" s="48">
        <v>114</v>
      </c>
      <c r="AX1112" s="48">
        <v>28</v>
      </c>
      <c r="AY1112" s="48" t="s">
        <v>8728</v>
      </c>
      <c r="AZ1112" s="48" t="s">
        <v>1563</v>
      </c>
      <c r="BA1112" s="48">
        <v>32</v>
      </c>
      <c r="BB1112" s="47" t="s">
        <v>2485</v>
      </c>
      <c r="BC1112" s="47" t="s">
        <v>8726</v>
      </c>
      <c r="BD1112" s="47" t="s">
        <v>8374</v>
      </c>
      <c r="BE1112" s="48" t="s">
        <v>2449</v>
      </c>
      <c r="BF1112" s="48" t="s">
        <v>272</v>
      </c>
      <c r="BG1112" s="48" t="s">
        <v>272</v>
      </c>
      <c r="BH1112" s="48" t="s">
        <v>2486</v>
      </c>
      <c r="BI1112" s="98">
        <v>2.4089599999999999E-3</v>
      </c>
      <c r="BJ1112" s="98">
        <v>24.089600000000001</v>
      </c>
      <c r="BK1112" s="48"/>
      <c r="BL1112" s="487">
        <v>3622.3350216169179</v>
      </c>
      <c r="BM1112" s="47" t="s">
        <v>2487</v>
      </c>
      <c r="BN1112" s="48"/>
      <c r="BO1112" s="48"/>
      <c r="BP1112" s="48"/>
      <c r="BQ1112" s="48"/>
      <c r="BR1112" s="47" t="e">
        <v>#VALUE!</v>
      </c>
      <c r="BS1112" s="48"/>
      <c r="BT1112" s="48"/>
      <c r="BU1112" s="228"/>
      <c r="BV1112" s="48"/>
      <c r="BW1112" s="48"/>
      <c r="BX1112" s="48"/>
      <c r="BY1112" s="48"/>
      <c r="BZ1112" s="48"/>
      <c r="CA1112" s="48"/>
      <c r="CB1112" s="48"/>
      <c r="CC1112" s="48"/>
      <c r="CD1112" s="48"/>
      <c r="CE1112" s="48"/>
      <c r="CF1112" s="48"/>
      <c r="CG1112" s="48"/>
      <c r="CH1112" s="48"/>
      <c r="CI1112" s="98"/>
      <c r="CJ1112" s="98"/>
      <c r="CK1112" s="49">
        <f t="shared" si="233"/>
        <v>150.3692473771635</v>
      </c>
      <c r="CL1112" s="229"/>
      <c r="CM1112" s="229"/>
      <c r="CN1112" s="229"/>
      <c r="CO1112" s="47" t="s">
        <v>2488</v>
      </c>
      <c r="CP1112" s="500" t="s">
        <v>2489</v>
      </c>
      <c r="CQ1112" s="224" t="s">
        <v>272</v>
      </c>
      <c r="CR1112" s="224"/>
      <c r="CS1112" s="230" t="s">
        <v>539</v>
      </c>
      <c r="CT1112" s="230"/>
      <c r="CU1112" s="230"/>
      <c r="CV1112" s="335">
        <f t="shared" si="234"/>
        <v>1.1582972520326817</v>
      </c>
      <c r="CW1112" s="230">
        <f t="shared" si="235"/>
        <v>1</v>
      </c>
      <c r="CX1112" s="336"/>
      <c r="CY1112" s="230" t="s">
        <v>5921</v>
      </c>
    </row>
    <row r="1113" spans="1:103" ht="11.25" customHeight="1" x14ac:dyDescent="0.2">
      <c r="A1113" s="72">
        <v>1571</v>
      </c>
      <c r="B1113" s="224">
        <v>1505</v>
      </c>
      <c r="C1113" s="46" t="s">
        <v>7571</v>
      </c>
      <c r="D1113" s="46"/>
      <c r="E1113" s="114"/>
      <c r="F1113" s="114" t="s">
        <v>4599</v>
      </c>
      <c r="G1113" s="225">
        <v>461023632</v>
      </c>
      <c r="H1113" s="47" t="s">
        <v>4600</v>
      </c>
      <c r="I1113" s="47" t="s">
        <v>7772</v>
      </c>
      <c r="J1113" s="47" t="s">
        <v>4601</v>
      </c>
      <c r="K1113" s="47" t="s">
        <v>1573</v>
      </c>
      <c r="L1113" s="47"/>
      <c r="M1113" s="47"/>
      <c r="N1113" s="47"/>
      <c r="O1113" s="47"/>
      <c r="P1113" s="53"/>
      <c r="Q1113" s="53"/>
      <c r="R1113" s="53"/>
      <c r="S1113" s="53"/>
      <c r="T1113" s="48">
        <v>244.29</v>
      </c>
      <c r="U1113" s="98">
        <v>60</v>
      </c>
      <c r="V1113" s="98">
        <v>723.9</v>
      </c>
      <c r="W1113" s="98">
        <v>300.54235802175646</v>
      </c>
      <c r="X1113" s="98">
        <v>60</v>
      </c>
      <c r="Y1113" s="233">
        <v>7.9</v>
      </c>
      <c r="Z1113" s="48">
        <v>2.08</v>
      </c>
      <c r="AA1113" s="48">
        <v>1.81</v>
      </c>
      <c r="AB1113" s="48">
        <v>2.0099999999999998</v>
      </c>
      <c r="AC1113" s="48">
        <v>0.86719999999999997</v>
      </c>
      <c r="AD1113" s="48">
        <v>1.91</v>
      </c>
      <c r="AE1113" s="48">
        <v>1.58</v>
      </c>
      <c r="AF1113" s="48">
        <f t="shared" si="232"/>
        <v>1.81</v>
      </c>
      <c r="AG1113" s="49">
        <v>3.21</v>
      </c>
      <c r="AH1113" s="98">
        <v>1.8100000000000001E-13</v>
      </c>
      <c r="AI1113" s="98"/>
      <c r="AJ1113" s="483">
        <f t="shared" si="230"/>
        <v>-11.130887751443467</v>
      </c>
      <c r="AK1113" s="483"/>
      <c r="AL1113" s="483">
        <f t="shared" si="231"/>
        <v>-11.130887751443467</v>
      </c>
      <c r="AM1113" s="483">
        <v>-15.898250000000001</v>
      </c>
      <c r="AN1113" s="226">
        <v>-10.5</v>
      </c>
      <c r="AO1113" s="484"/>
      <c r="AP1113" s="484">
        <v>4.71</v>
      </c>
      <c r="AQ1113" s="48" t="s">
        <v>6311</v>
      </c>
      <c r="AR1113" s="48" t="s">
        <v>6311</v>
      </c>
      <c r="AS1113" s="227"/>
      <c r="AT1113" s="50" t="s">
        <v>266</v>
      </c>
      <c r="AU1113" s="48">
        <v>6</v>
      </c>
      <c r="AV1113" s="48">
        <v>120</v>
      </c>
      <c r="AW1113" s="48">
        <v>114</v>
      </c>
      <c r="AX1113" s="48">
        <v>28</v>
      </c>
      <c r="AY1113" s="48" t="s">
        <v>8728</v>
      </c>
      <c r="AZ1113" s="48" t="s">
        <v>1563</v>
      </c>
      <c r="BA1113" s="48">
        <v>32</v>
      </c>
      <c r="BB1113" s="47" t="s">
        <v>2485</v>
      </c>
      <c r="BC1113" s="47" t="s">
        <v>8726</v>
      </c>
      <c r="BD1113" s="47" t="s">
        <v>8374</v>
      </c>
      <c r="BE1113" s="48" t="s">
        <v>2449</v>
      </c>
      <c r="BF1113" s="48" t="s">
        <v>272</v>
      </c>
      <c r="BG1113" s="48" t="s">
        <v>272</v>
      </c>
      <c r="BH1113" s="48" t="s">
        <v>2486</v>
      </c>
      <c r="BI1113" s="98">
        <v>1.563456E-3</v>
      </c>
      <c r="BJ1113" s="98">
        <v>15.63456</v>
      </c>
      <c r="BK1113" s="48"/>
      <c r="BL1113" s="487">
        <v>170.08173973177102</v>
      </c>
      <c r="BM1113" s="47" t="s">
        <v>2487</v>
      </c>
      <c r="BN1113" s="48"/>
      <c r="BO1113" s="48"/>
      <c r="BP1113" s="48"/>
      <c r="BQ1113" s="48"/>
      <c r="BR1113" s="47" t="e">
        <v>#VALUE!</v>
      </c>
      <c r="BS1113" s="48"/>
      <c r="BT1113" s="48"/>
      <c r="BU1113" s="228"/>
      <c r="BV1113" s="48"/>
      <c r="BW1113" s="48"/>
      <c r="BX1113" s="48"/>
      <c r="BY1113" s="48"/>
      <c r="BZ1113" s="48"/>
      <c r="CA1113" s="48"/>
      <c r="CB1113" s="48"/>
      <c r="CC1113" s="48"/>
      <c r="CD1113" s="48"/>
      <c r="CE1113" s="48"/>
      <c r="CF1113" s="48"/>
      <c r="CG1113" s="48"/>
      <c r="CH1113" s="48"/>
      <c r="CI1113" s="98"/>
      <c r="CJ1113" s="98"/>
      <c r="CK1113" s="49">
        <f t="shared" si="233"/>
        <v>10.878575395263507</v>
      </c>
      <c r="CL1113" s="229"/>
      <c r="CM1113" s="229"/>
      <c r="CN1113" s="229"/>
      <c r="CO1113" s="47" t="s">
        <v>2488</v>
      </c>
      <c r="CP1113" s="500" t="s">
        <v>2489</v>
      </c>
      <c r="CQ1113" s="224" t="s">
        <v>272</v>
      </c>
      <c r="CR1113" s="224"/>
      <c r="CS1113" s="230" t="s">
        <v>539</v>
      </c>
      <c r="CT1113" s="230"/>
      <c r="CU1113" s="230"/>
      <c r="CV1113" s="335">
        <f t="shared" si="234"/>
        <v>3.8376519710180523</v>
      </c>
      <c r="CW1113" s="230">
        <f t="shared" si="235"/>
        <v>1</v>
      </c>
      <c r="CX1113" s="336"/>
      <c r="CY1113" s="230" t="s">
        <v>5921</v>
      </c>
    </row>
    <row r="1114" spans="1:103" ht="11.25" customHeight="1" x14ac:dyDescent="0.2">
      <c r="A1114" s="72">
        <v>1572</v>
      </c>
      <c r="B1114" s="224">
        <v>1701</v>
      </c>
      <c r="C1114" s="46" t="s">
        <v>7572</v>
      </c>
      <c r="D1114" s="46"/>
      <c r="E1114" s="114"/>
      <c r="F1114" s="114" t="s">
        <v>4959</v>
      </c>
      <c r="G1114" s="225">
        <v>473289622</v>
      </c>
      <c r="H1114" s="47" t="s">
        <v>4960</v>
      </c>
      <c r="I1114" s="47" t="s">
        <v>7761</v>
      </c>
      <c r="J1114" s="47" t="s">
        <v>4961</v>
      </c>
      <c r="K1114" s="47" t="s">
        <v>300</v>
      </c>
      <c r="L1114" s="47"/>
      <c r="M1114" s="47"/>
      <c r="N1114" s="47"/>
      <c r="O1114" s="47"/>
      <c r="P1114" s="53"/>
      <c r="Q1114" s="53"/>
      <c r="R1114" s="53"/>
      <c r="S1114" s="53"/>
      <c r="T1114" s="48">
        <v>325.44</v>
      </c>
      <c r="U1114" s="98"/>
      <c r="V1114" s="98">
        <v>2240</v>
      </c>
      <c r="W1114" s="98">
        <v>7119.8514289814229</v>
      </c>
      <c r="X1114" s="98">
        <v>7119.8514289814229</v>
      </c>
      <c r="Y1114" s="233">
        <v>10.92</v>
      </c>
      <c r="Z1114" s="48">
        <v>1.84</v>
      </c>
      <c r="AA1114" s="48">
        <v>1.87</v>
      </c>
      <c r="AB1114" s="48">
        <v>2.25</v>
      </c>
      <c r="AC1114" s="48">
        <v>0.70579999999999998</v>
      </c>
      <c r="AD1114" s="48">
        <v>2.21</v>
      </c>
      <c r="AE1114" s="48">
        <v>2.14</v>
      </c>
      <c r="AF1114" s="48">
        <f t="shared" si="232"/>
        <v>1.87</v>
      </c>
      <c r="AG1114" s="49">
        <v>4.07</v>
      </c>
      <c r="AH1114" s="98">
        <v>2.89E-15</v>
      </c>
      <c r="AI1114" s="98"/>
      <c r="AJ1114" s="483">
        <f t="shared" si="230"/>
        <v>-12.927668483556104</v>
      </c>
      <c r="AK1114" s="483"/>
      <c r="AL1114" s="483">
        <f t="shared" si="231"/>
        <v>-12.927668483556104</v>
      </c>
      <c r="AM1114" s="483">
        <v>-15.488090000000001</v>
      </c>
      <c r="AN1114" s="226">
        <v>-30.7</v>
      </c>
      <c r="AO1114" s="484">
        <v>13.86</v>
      </c>
      <c r="AP1114" s="484">
        <v>9.42</v>
      </c>
      <c r="AQ1114" s="226" t="s">
        <v>6311</v>
      </c>
      <c r="AR1114" s="226" t="s">
        <v>6311</v>
      </c>
      <c r="AS1114" s="224"/>
      <c r="AT1114" s="50" t="s">
        <v>266</v>
      </c>
      <c r="AU1114" s="48">
        <v>6</v>
      </c>
      <c r="AV1114" s="48">
        <v>120</v>
      </c>
      <c r="AW1114" s="48">
        <v>114</v>
      </c>
      <c r="AX1114" s="48">
        <v>28</v>
      </c>
      <c r="AY1114" s="48" t="s">
        <v>8728</v>
      </c>
      <c r="AZ1114" s="48" t="s">
        <v>1563</v>
      </c>
      <c r="BA1114" s="48">
        <v>32</v>
      </c>
      <c r="BB1114" s="47" t="s">
        <v>2485</v>
      </c>
      <c r="BC1114" s="47" t="s">
        <v>8726</v>
      </c>
      <c r="BD1114" s="47" t="s">
        <v>8374</v>
      </c>
      <c r="BE1114" s="48" t="s">
        <v>2449</v>
      </c>
      <c r="BF1114" s="48" t="s">
        <v>272</v>
      </c>
      <c r="BG1114" s="48" t="s">
        <v>272</v>
      </c>
      <c r="BH1114" s="48" t="s">
        <v>2486</v>
      </c>
      <c r="BI1114" s="98">
        <v>2.0828159999999999E-3</v>
      </c>
      <c r="BJ1114" s="98">
        <v>20.82816</v>
      </c>
      <c r="BK1114" s="48"/>
      <c r="BL1114" s="487">
        <v>372.19191189648717</v>
      </c>
      <c r="BM1114" s="47" t="s">
        <v>2487</v>
      </c>
      <c r="BN1114" s="48"/>
      <c r="BO1114" s="48"/>
      <c r="BP1114" s="48"/>
      <c r="BQ1114" s="48"/>
      <c r="BR1114" s="47"/>
      <c r="BS1114" s="48"/>
      <c r="BT1114" s="48"/>
      <c r="BU1114" s="228"/>
      <c r="BV1114" s="48"/>
      <c r="BW1114" s="48"/>
      <c r="BX1114" s="48"/>
      <c r="BY1114" s="48"/>
      <c r="BZ1114" s="48"/>
      <c r="CA1114" s="48"/>
      <c r="CB1114" s="48"/>
      <c r="CC1114" s="48"/>
      <c r="CD1114" s="48"/>
      <c r="CE1114" s="48"/>
      <c r="CF1114" s="48"/>
      <c r="CG1114" s="48"/>
      <c r="CH1114" s="48"/>
      <c r="CI1114" s="52"/>
      <c r="CJ1114" s="98"/>
      <c r="CK1114" s="49">
        <f t="shared" si="233"/>
        <v>17.869649162311369</v>
      </c>
      <c r="CL1114" s="229"/>
      <c r="CM1114" s="229"/>
      <c r="CN1114" s="229"/>
      <c r="CO1114" s="47" t="s">
        <v>2488</v>
      </c>
      <c r="CP1114" s="500" t="s">
        <v>2489</v>
      </c>
      <c r="CQ1114" s="224" t="s">
        <v>272</v>
      </c>
      <c r="CR1114" s="224"/>
      <c r="CS1114" s="230" t="s">
        <v>539</v>
      </c>
      <c r="CT1114" s="230"/>
      <c r="CU1114" s="230"/>
      <c r="CV1114" s="335">
        <f t="shared" si="234"/>
        <v>341.83775374211751</v>
      </c>
      <c r="CW1114" s="230">
        <f t="shared" si="235"/>
        <v>1</v>
      </c>
      <c r="CX1114" s="336"/>
      <c r="CY1114" s="230" t="s">
        <v>5921</v>
      </c>
    </row>
    <row r="1115" spans="1:103" ht="11.25" customHeight="1" x14ac:dyDescent="0.2">
      <c r="A1115" s="72">
        <v>1573</v>
      </c>
      <c r="B1115" s="224">
        <v>1753</v>
      </c>
      <c r="C1115" s="46" t="s">
        <v>7573</v>
      </c>
      <c r="D1115" s="46"/>
      <c r="E1115" s="114"/>
      <c r="F1115" s="114" t="s">
        <v>5051</v>
      </c>
      <c r="G1115" s="225">
        <v>478149530</v>
      </c>
      <c r="H1115" s="47" t="s">
        <v>5052</v>
      </c>
      <c r="I1115" s="47" t="s">
        <v>7806</v>
      </c>
      <c r="J1115" s="47" t="s">
        <v>5053</v>
      </c>
      <c r="K1115" s="47" t="s">
        <v>2977</v>
      </c>
      <c r="L1115" s="47"/>
      <c r="M1115" s="47"/>
      <c r="N1115" s="47"/>
      <c r="O1115" s="47"/>
      <c r="P1115" s="53"/>
      <c r="Q1115" s="53"/>
      <c r="R1115" s="53"/>
      <c r="S1115" s="53"/>
      <c r="T1115" s="48">
        <v>325.2</v>
      </c>
      <c r="U1115" s="98"/>
      <c r="V1115" s="98">
        <v>325.2</v>
      </c>
      <c r="W1115" s="98">
        <v>34.845807806326917</v>
      </c>
      <c r="X1115" s="98">
        <v>34.845807806326917</v>
      </c>
      <c r="Y1115" s="233">
        <v>9.4499999999999993</v>
      </c>
      <c r="Z1115" s="48">
        <v>2.85</v>
      </c>
      <c r="AA1115" s="48"/>
      <c r="AB1115" s="48">
        <v>2.56</v>
      </c>
      <c r="AC1115" s="48">
        <v>0.67279999999999995</v>
      </c>
      <c r="AD1115" s="48">
        <v>3.02</v>
      </c>
      <c r="AE1115" s="48">
        <v>3.8</v>
      </c>
      <c r="AF1115" s="48">
        <f t="shared" si="232"/>
        <v>3.02</v>
      </c>
      <c r="AG1115" s="49">
        <v>2.3199999999999998</v>
      </c>
      <c r="AH1115" s="98">
        <v>6.34E-12</v>
      </c>
      <c r="AI1115" s="98"/>
      <c r="AJ1115" s="483">
        <f t="shared" si="230"/>
        <v>-9.58647706843092</v>
      </c>
      <c r="AK1115" s="483"/>
      <c r="AL1115" s="483">
        <f t="shared" si="231"/>
        <v>-9.58647706843092</v>
      </c>
      <c r="AM1115" s="483">
        <v>-13.299579999999999</v>
      </c>
      <c r="AN1115" s="226">
        <v>-9.6199999999999992</v>
      </c>
      <c r="AO1115" s="484"/>
      <c r="AP1115" s="484">
        <v>8.99</v>
      </c>
      <c r="AQ1115" s="226" t="s">
        <v>6311</v>
      </c>
      <c r="AR1115" s="226" t="s">
        <v>6312</v>
      </c>
      <c r="AS1115" s="224"/>
      <c r="AT1115" s="50" t="s">
        <v>266</v>
      </c>
      <c r="AU1115" s="48">
        <v>6</v>
      </c>
      <c r="AV1115" s="48">
        <v>120</v>
      </c>
      <c r="AW1115" s="48">
        <v>114</v>
      </c>
      <c r="AX1115" s="48">
        <v>28</v>
      </c>
      <c r="AY1115" s="48" t="s">
        <v>8728</v>
      </c>
      <c r="AZ1115" s="48" t="s">
        <v>1563</v>
      </c>
      <c r="BA1115" s="48">
        <v>32</v>
      </c>
      <c r="BB1115" s="47" t="s">
        <v>2485</v>
      </c>
      <c r="BC1115" s="47" t="s">
        <v>8726</v>
      </c>
      <c r="BD1115" s="47" t="s">
        <v>8374</v>
      </c>
      <c r="BE1115" s="48" t="s">
        <v>2449</v>
      </c>
      <c r="BF1115" s="48" t="s">
        <v>272</v>
      </c>
      <c r="BG1115" s="48" t="s">
        <v>272</v>
      </c>
      <c r="BH1115" s="48" t="s">
        <v>2486</v>
      </c>
      <c r="BI1115" s="98">
        <v>2.08128E-3</v>
      </c>
      <c r="BJ1115" s="98">
        <v>20.812799999999999</v>
      </c>
      <c r="BK1115" s="48"/>
      <c r="BL1115" s="487">
        <v>46.06441253476531</v>
      </c>
      <c r="BM1115" s="47" t="s">
        <v>2487</v>
      </c>
      <c r="BN1115" s="48"/>
      <c r="BO1115" s="48"/>
      <c r="BP1115" s="48"/>
      <c r="BQ1115" s="48"/>
      <c r="BR1115" s="47" t="e">
        <v>#VALUE!</v>
      </c>
      <c r="BS1115" s="48"/>
      <c r="BT1115" s="48"/>
      <c r="BU1115" s="228"/>
      <c r="BV1115" s="48"/>
      <c r="BW1115" s="48"/>
      <c r="BX1115" s="48"/>
      <c r="BY1115" s="48"/>
      <c r="BZ1115" s="48"/>
      <c r="CA1115" s="48"/>
      <c r="CB1115" s="48"/>
      <c r="CC1115" s="48"/>
      <c r="CD1115" s="48"/>
      <c r="CE1115" s="48"/>
      <c r="CF1115" s="48"/>
      <c r="CG1115" s="48"/>
      <c r="CH1115" s="48"/>
      <c r="CI1115" s="98"/>
      <c r="CJ1115" s="98"/>
      <c r="CK1115" s="49">
        <f t="shared" si="233"/>
        <v>2.2132732037383396</v>
      </c>
      <c r="CL1115" s="229"/>
      <c r="CM1115" s="229"/>
      <c r="CN1115" s="229"/>
      <c r="CO1115" s="47" t="s">
        <v>2488</v>
      </c>
      <c r="CP1115" s="500" t="s">
        <v>2489</v>
      </c>
      <c r="CQ1115" s="224" t="s">
        <v>272</v>
      </c>
      <c r="CR1115" s="224"/>
      <c r="CS1115" s="230" t="s">
        <v>539</v>
      </c>
      <c r="CT1115" s="230"/>
      <c r="CU1115" s="230"/>
      <c r="CV1115" s="335">
        <f t="shared" si="234"/>
        <v>1.674248914433758</v>
      </c>
      <c r="CW1115" s="230">
        <f t="shared" si="235"/>
        <v>1</v>
      </c>
      <c r="CX1115" s="336"/>
      <c r="CY1115" s="230" t="s">
        <v>5921</v>
      </c>
    </row>
    <row r="1116" spans="1:103" ht="11.25" customHeight="1" x14ac:dyDescent="0.2">
      <c r="A1116" s="72">
        <v>1574</v>
      </c>
      <c r="B1116" s="224">
        <v>1273</v>
      </c>
      <c r="C1116" s="46" t="s">
        <v>7574</v>
      </c>
      <c r="D1116" s="46"/>
      <c r="E1116" s="114"/>
      <c r="F1116" s="114" t="s">
        <v>3498</v>
      </c>
      <c r="G1116" s="225">
        <v>478263988</v>
      </c>
      <c r="H1116" s="47" t="s">
        <v>3499</v>
      </c>
      <c r="I1116" s="47" t="s">
        <v>7797</v>
      </c>
      <c r="J1116" s="47" t="s">
        <v>3500</v>
      </c>
      <c r="K1116" s="47" t="s">
        <v>3501</v>
      </c>
      <c r="L1116" s="47"/>
      <c r="M1116" s="47"/>
      <c r="N1116" s="47"/>
      <c r="O1116" s="47"/>
      <c r="P1116" s="53"/>
      <c r="Q1116" s="53"/>
      <c r="R1116" s="53"/>
      <c r="S1116" s="53"/>
      <c r="T1116" s="48">
        <v>344.34</v>
      </c>
      <c r="U1116" s="98"/>
      <c r="V1116" s="98">
        <v>1.0409999999999999</v>
      </c>
      <c r="W1116" s="98">
        <v>10.162193851103021</v>
      </c>
      <c r="X1116" s="98">
        <v>10.162193851103021</v>
      </c>
      <c r="Y1116" s="233">
        <v>6.84</v>
      </c>
      <c r="Z1116" s="48">
        <v>4.46</v>
      </c>
      <c r="AA1116" s="48"/>
      <c r="AB1116" s="48">
        <v>1.92</v>
      </c>
      <c r="AC1116" s="48">
        <v>0.67720000000000002</v>
      </c>
      <c r="AD1116" s="48">
        <v>2.4300000000000002</v>
      </c>
      <c r="AE1116" s="48">
        <v>3.29</v>
      </c>
      <c r="AF1116" s="48">
        <f t="shared" si="232"/>
        <v>2.4300000000000002</v>
      </c>
      <c r="AG1116" s="49">
        <v>2.39</v>
      </c>
      <c r="AH1116" s="98">
        <v>1.58E-14</v>
      </c>
      <c r="AI1116" s="98"/>
      <c r="AJ1116" s="483">
        <f t="shared" si="230"/>
        <v>-12.189909239358229</v>
      </c>
      <c r="AK1116" s="483"/>
      <c r="AL1116" s="483">
        <f t="shared" si="231"/>
        <v>-12.189909239358229</v>
      </c>
      <c r="AM1116" s="483">
        <v>-21.801759999999998</v>
      </c>
      <c r="AN1116" s="226">
        <v>-17.8</v>
      </c>
      <c r="AO1116" s="484">
        <v>9.94</v>
      </c>
      <c r="AP1116" s="484">
        <v>-0.52</v>
      </c>
      <c r="AQ1116" s="48" t="s">
        <v>6311</v>
      </c>
      <c r="AR1116" s="48" t="s">
        <v>6311</v>
      </c>
      <c r="AS1116" s="227"/>
      <c r="AT1116" s="50" t="s">
        <v>266</v>
      </c>
      <c r="AU1116" s="48">
        <v>6</v>
      </c>
      <c r="AV1116" s="48">
        <v>120</v>
      </c>
      <c r="AW1116" s="48">
        <v>114</v>
      </c>
      <c r="AX1116" s="48">
        <v>28</v>
      </c>
      <c r="AY1116" s="48" t="s">
        <v>8728</v>
      </c>
      <c r="AZ1116" s="48" t="s">
        <v>1563</v>
      </c>
      <c r="BA1116" s="48">
        <v>32</v>
      </c>
      <c r="BB1116" s="47" t="s">
        <v>2485</v>
      </c>
      <c r="BC1116" s="47" t="s">
        <v>8726</v>
      </c>
      <c r="BD1116" s="47" t="s">
        <v>8374</v>
      </c>
      <c r="BE1116" s="48" t="s">
        <v>2449</v>
      </c>
      <c r="BF1116" s="48" t="s">
        <v>272</v>
      </c>
      <c r="BG1116" s="48" t="s">
        <v>272</v>
      </c>
      <c r="BH1116" s="48" t="s">
        <v>2486</v>
      </c>
      <c r="BI1116" s="98">
        <v>2.2037759999999997E-3</v>
      </c>
      <c r="BJ1116" s="98">
        <v>22.037759999999999</v>
      </c>
      <c r="BK1116" s="48"/>
      <c r="BL1116" s="487">
        <v>1.7468735743429566</v>
      </c>
      <c r="BM1116" s="47" t="s">
        <v>2487</v>
      </c>
      <c r="BN1116" s="48"/>
      <c r="BO1116" s="48"/>
      <c r="BP1116" s="48"/>
      <c r="BQ1116" s="48"/>
      <c r="BR1116" s="47" t="e">
        <v>#VALUE!</v>
      </c>
      <c r="BS1116" s="48"/>
      <c r="BT1116" s="48"/>
      <c r="BU1116" s="228">
        <v>2.1004739999999997E-3</v>
      </c>
      <c r="BV1116" s="48"/>
      <c r="BW1116" s="48"/>
      <c r="BX1116" s="48"/>
      <c r="BY1116" s="48"/>
      <c r="BZ1116" s="48"/>
      <c r="CA1116" s="48"/>
      <c r="CB1116" s="48"/>
      <c r="CC1116" s="48"/>
      <c r="CD1116" s="48"/>
      <c r="CE1116" s="48"/>
      <c r="CF1116" s="48"/>
      <c r="CG1116" s="48"/>
      <c r="CH1116" s="48"/>
      <c r="CI1116" s="98"/>
      <c r="CJ1116" s="98"/>
      <c r="CK1116" s="49">
        <f t="shared" si="233"/>
        <v>7.9267292789419463E-2</v>
      </c>
      <c r="CL1116" s="229"/>
      <c r="CM1116" s="229"/>
      <c r="CN1116" s="229"/>
      <c r="CO1116" s="47" t="s">
        <v>2488</v>
      </c>
      <c r="CP1116" s="500" t="s">
        <v>2489</v>
      </c>
      <c r="CQ1116" s="224" t="s">
        <v>272</v>
      </c>
      <c r="CR1116" s="224"/>
      <c r="CS1116" s="230" t="s">
        <v>539</v>
      </c>
      <c r="CT1116" s="230"/>
      <c r="CU1116" s="230"/>
      <c r="CV1116" s="335">
        <f t="shared" si="234"/>
        <v>0.46112644166662226</v>
      </c>
      <c r="CW1116" s="230">
        <f t="shared" si="235"/>
        <v>0</v>
      </c>
      <c r="CX1116" s="336"/>
      <c r="CY1116" s="230" t="s">
        <v>5921</v>
      </c>
    </row>
    <row r="1117" spans="1:103" ht="11.25" customHeight="1" x14ac:dyDescent="0.2">
      <c r="A1117" s="72">
        <v>1575</v>
      </c>
      <c r="B1117" s="224">
        <v>965</v>
      </c>
      <c r="C1117" s="46" t="s">
        <v>7575</v>
      </c>
      <c r="D1117" s="46"/>
      <c r="E1117" s="114"/>
      <c r="F1117" s="114" t="s">
        <v>2753</v>
      </c>
      <c r="G1117" s="225">
        <v>501027492</v>
      </c>
      <c r="H1117" s="47" t="s">
        <v>2754</v>
      </c>
      <c r="I1117" s="47" t="s">
        <v>7839</v>
      </c>
      <c r="J1117" s="47" t="s">
        <v>2755</v>
      </c>
      <c r="K1117" s="47" t="s">
        <v>426</v>
      </c>
      <c r="L1117" s="47"/>
      <c r="M1117" s="47"/>
      <c r="N1117" s="47"/>
      <c r="O1117" s="47"/>
      <c r="P1117" s="53"/>
      <c r="Q1117" s="53"/>
      <c r="R1117" s="53"/>
      <c r="S1117" s="53"/>
      <c r="T1117" s="48">
        <v>382.5</v>
      </c>
      <c r="U1117" s="98"/>
      <c r="V1117" s="98">
        <v>0.25240000000000001</v>
      </c>
      <c r="W1117" s="98">
        <v>27.078926252693243</v>
      </c>
      <c r="X1117" s="98">
        <v>27.078926252693243</v>
      </c>
      <c r="Y1117" s="233">
        <v>5.89</v>
      </c>
      <c r="Z1117" s="48">
        <v>5.37</v>
      </c>
      <c r="AA1117" s="48"/>
      <c r="AB1117" s="48">
        <v>4.2300000000000004</v>
      </c>
      <c r="AC1117" s="48">
        <v>0.68230000000000002</v>
      </c>
      <c r="AD1117" s="48">
        <v>3.97</v>
      </c>
      <c r="AE1117" s="48">
        <v>3.51</v>
      </c>
      <c r="AF1117" s="48">
        <f t="shared" si="232"/>
        <v>3.97</v>
      </c>
      <c r="AG1117" s="49">
        <v>4.09</v>
      </c>
      <c r="AH1117" s="98">
        <v>1.02E-17</v>
      </c>
      <c r="AI1117" s="98"/>
      <c r="AJ1117" s="483">
        <f t="shared" si="230"/>
        <v>-15.379966154550734</v>
      </c>
      <c r="AK1117" s="483"/>
      <c r="AL1117" s="483">
        <f t="shared" si="231"/>
        <v>-15.379966154550734</v>
      </c>
      <c r="AM1117" s="483">
        <v>-18.66479</v>
      </c>
      <c r="AN1117" s="226">
        <v>-16.8</v>
      </c>
      <c r="AO1117" s="484">
        <v>4.3499999999999996</v>
      </c>
      <c r="AP1117" s="484">
        <v>7.22</v>
      </c>
      <c r="AQ1117" s="48" t="s">
        <v>6311</v>
      </c>
      <c r="AR1117" s="48" t="s">
        <v>6311</v>
      </c>
      <c r="AS1117" s="227"/>
      <c r="AT1117" s="50" t="s">
        <v>266</v>
      </c>
      <c r="AU1117" s="48">
        <v>6</v>
      </c>
      <c r="AV1117" s="48">
        <v>120</v>
      </c>
      <c r="AW1117" s="48">
        <v>114</v>
      </c>
      <c r="AX1117" s="48">
        <v>28</v>
      </c>
      <c r="AY1117" s="48" t="s">
        <v>8728</v>
      </c>
      <c r="AZ1117" s="48" t="s">
        <v>1563</v>
      </c>
      <c r="BA1117" s="48">
        <v>32</v>
      </c>
      <c r="BB1117" s="47" t="s">
        <v>2485</v>
      </c>
      <c r="BC1117" s="47" t="s">
        <v>8726</v>
      </c>
      <c r="BD1117" s="47" t="s">
        <v>8374</v>
      </c>
      <c r="BE1117" s="48" t="s">
        <v>2449</v>
      </c>
      <c r="BF1117" s="48" t="s">
        <v>272</v>
      </c>
      <c r="BG1117" s="48" t="s">
        <v>272</v>
      </c>
      <c r="BH1117" s="48" t="s">
        <v>2486</v>
      </c>
      <c r="BI1117" s="98">
        <v>2.4480000000000001E-3</v>
      </c>
      <c r="BJ1117" s="98">
        <v>24.48</v>
      </c>
      <c r="BK1117" s="48"/>
      <c r="BL1117" s="487">
        <v>0.29555236539546642</v>
      </c>
      <c r="BM1117" s="47" t="s">
        <v>2487</v>
      </c>
      <c r="BN1117" s="48"/>
      <c r="BO1117" s="48"/>
      <c r="BP1117" s="48"/>
      <c r="BQ1117" s="48"/>
      <c r="BR1117" s="47" t="e">
        <v>#VALUE!</v>
      </c>
      <c r="BS1117" s="48"/>
      <c r="BT1117" s="48"/>
      <c r="BU1117" s="228">
        <v>0.24480000000000002</v>
      </c>
      <c r="BV1117" s="48"/>
      <c r="BW1117" s="48"/>
      <c r="BX1117" s="48"/>
      <c r="BY1117" s="48"/>
      <c r="BZ1117" s="48"/>
      <c r="CA1117" s="48"/>
      <c r="CB1117" s="48"/>
      <c r="CC1117" s="48"/>
      <c r="CD1117" s="48"/>
      <c r="CE1117" s="48"/>
      <c r="CF1117" s="48"/>
      <c r="CG1117" s="48"/>
      <c r="CH1117" s="48"/>
      <c r="CI1117" s="98"/>
      <c r="CJ1117" s="98"/>
      <c r="CK1117" s="49">
        <f t="shared" si="233"/>
        <v>1.2073217540664477E-2</v>
      </c>
      <c r="CL1117" s="229"/>
      <c r="CM1117" s="229"/>
      <c r="CN1117" s="229"/>
      <c r="CO1117" s="47" t="s">
        <v>2488</v>
      </c>
      <c r="CP1117" s="500" t="s">
        <v>2489</v>
      </c>
      <c r="CQ1117" s="224" t="s">
        <v>272</v>
      </c>
      <c r="CR1117" s="224"/>
      <c r="CS1117" s="230" t="s">
        <v>539</v>
      </c>
      <c r="CT1117" s="230"/>
      <c r="CU1117" s="230"/>
      <c r="CV1117" s="335">
        <f t="shared" si="234"/>
        <v>1.1061652881002142</v>
      </c>
      <c r="CW1117" s="230">
        <f t="shared" si="235"/>
        <v>1</v>
      </c>
      <c r="CX1117" s="336"/>
      <c r="CY1117" s="230" t="s">
        <v>5921</v>
      </c>
    </row>
    <row r="1118" spans="1:103" ht="11.25" customHeight="1" x14ac:dyDescent="0.2">
      <c r="A1118" s="72">
        <v>1576</v>
      </c>
      <c r="B1118" s="224">
        <v>1752</v>
      </c>
      <c r="C1118" s="46" t="s">
        <v>7576</v>
      </c>
      <c r="D1118" s="46"/>
      <c r="E1118" s="114"/>
      <c r="F1118" s="114" t="s">
        <v>5048</v>
      </c>
      <c r="G1118" s="225">
        <v>527680564</v>
      </c>
      <c r="H1118" s="47" t="s">
        <v>5049</v>
      </c>
      <c r="I1118" s="47" t="s">
        <v>7805</v>
      </c>
      <c r="J1118" s="47" t="s">
        <v>5050</v>
      </c>
      <c r="K1118" s="47" t="s">
        <v>1064</v>
      </c>
      <c r="L1118" s="47"/>
      <c r="M1118" s="47"/>
      <c r="N1118" s="47"/>
      <c r="O1118" s="47"/>
      <c r="P1118" s="53"/>
      <c r="Q1118" s="53"/>
      <c r="R1118" s="53"/>
      <c r="S1118" s="53"/>
      <c r="T1118" s="48">
        <v>167.19</v>
      </c>
      <c r="U1118" s="98"/>
      <c r="V1118" s="98">
        <v>36300</v>
      </c>
      <c r="W1118" s="98">
        <v>283.92935625507874</v>
      </c>
      <c r="X1118" s="98">
        <v>283.92935625507874</v>
      </c>
      <c r="Y1118" s="233">
        <v>4.9800000000000004</v>
      </c>
      <c r="Z1118" s="48">
        <v>-0.31</v>
      </c>
      <c r="AA1118" s="48">
        <v>-7.0000000000000007E-2</v>
      </c>
      <c r="AB1118" s="48">
        <v>-0.2</v>
      </c>
      <c r="AC1118" s="48">
        <v>0.67159999999999997</v>
      </c>
      <c r="AD1118" s="48">
        <v>-0.19</v>
      </c>
      <c r="AE1118" s="48">
        <v>-0.16</v>
      </c>
      <c r="AF1118" s="48">
        <f t="shared" si="232"/>
        <v>-7.0000000000000007E-2</v>
      </c>
      <c r="AG1118" s="49">
        <v>0.13</v>
      </c>
      <c r="AH1118" s="98">
        <v>4.6399999999999997E-15</v>
      </c>
      <c r="AI1118" s="98"/>
      <c r="AJ1118" s="483">
        <f t="shared" si="230"/>
        <v>-12.722048345757772</v>
      </c>
      <c r="AK1118" s="483"/>
      <c r="AL1118" s="483">
        <f t="shared" si="231"/>
        <v>-12.722048345757772</v>
      </c>
      <c r="AM1118" s="483">
        <v>-16.542259999999999</v>
      </c>
      <c r="AN1118" s="226">
        <v>-18.899999999999999</v>
      </c>
      <c r="AO1118" s="484">
        <v>6.57</v>
      </c>
      <c r="AP1118" s="484">
        <v>2.4500000000000002</v>
      </c>
      <c r="AQ1118" s="226" t="s">
        <v>6311</v>
      </c>
      <c r="AR1118" s="226" t="s">
        <v>6311</v>
      </c>
      <c r="AS1118" s="224"/>
      <c r="AT1118" s="50" t="s">
        <v>266</v>
      </c>
      <c r="AU1118" s="48">
        <v>6</v>
      </c>
      <c r="AV1118" s="48">
        <v>120</v>
      </c>
      <c r="AW1118" s="48">
        <v>114</v>
      </c>
      <c r="AX1118" s="48">
        <v>28</v>
      </c>
      <c r="AY1118" s="48" t="s">
        <v>8728</v>
      </c>
      <c r="AZ1118" s="48" t="s">
        <v>1563</v>
      </c>
      <c r="BA1118" s="48">
        <v>32</v>
      </c>
      <c r="BB1118" s="47" t="s">
        <v>2485</v>
      </c>
      <c r="BC1118" s="47" t="s">
        <v>8726</v>
      </c>
      <c r="BD1118" s="47" t="s">
        <v>8374</v>
      </c>
      <c r="BE1118" s="48" t="s">
        <v>2449</v>
      </c>
      <c r="BF1118" s="48" t="s">
        <v>272</v>
      </c>
      <c r="BG1118" s="48" t="s">
        <v>272</v>
      </c>
      <c r="BH1118" s="48" t="s">
        <v>2486</v>
      </c>
      <c r="BI1118" s="98">
        <v>1.070016E-3</v>
      </c>
      <c r="BJ1118" s="98">
        <v>10.70016</v>
      </c>
      <c r="BK1118" s="48"/>
      <c r="BL1118" s="487">
        <v>16308.773371913103</v>
      </c>
      <c r="BM1118" s="47" t="s">
        <v>2487</v>
      </c>
      <c r="BN1118" s="48"/>
      <c r="BO1118" s="48"/>
      <c r="BP1118" s="48"/>
      <c r="BQ1118" s="48"/>
      <c r="BR1118" s="47" t="e">
        <v>#VALUE!</v>
      </c>
      <c r="BS1118" s="48"/>
      <c r="BT1118" s="48"/>
      <c r="BU1118" s="228"/>
      <c r="BV1118" s="48"/>
      <c r="BW1118" s="48"/>
      <c r="BX1118" s="48"/>
      <c r="BY1118" s="48"/>
      <c r="BZ1118" s="48"/>
      <c r="CA1118" s="48"/>
      <c r="CB1118" s="48"/>
      <c r="CC1118" s="48"/>
      <c r="CD1118" s="48"/>
      <c r="CE1118" s="48"/>
      <c r="CF1118" s="48"/>
      <c r="CG1118" s="48"/>
      <c r="CH1118" s="48"/>
      <c r="CI1118" s="98"/>
      <c r="CJ1118" s="98"/>
      <c r="CK1118" s="49">
        <f t="shared" si="233"/>
        <v>1524.1616360795636</v>
      </c>
      <c r="CL1118" s="229"/>
      <c r="CM1118" s="229"/>
      <c r="CN1118" s="229"/>
      <c r="CO1118" s="47" t="s">
        <v>2488</v>
      </c>
      <c r="CP1118" s="500" t="s">
        <v>2489</v>
      </c>
      <c r="CQ1118" s="224" t="s">
        <v>272</v>
      </c>
      <c r="CR1118" s="224"/>
      <c r="CS1118" s="230" t="s">
        <v>539</v>
      </c>
      <c r="CT1118" s="230"/>
      <c r="CU1118" s="230"/>
      <c r="CV1118" s="335">
        <f t="shared" si="234"/>
        <v>26.535057069714728</v>
      </c>
      <c r="CW1118" s="230">
        <f t="shared" si="235"/>
        <v>1</v>
      </c>
      <c r="CX1118" s="336"/>
      <c r="CY1118" s="230" t="s">
        <v>5921</v>
      </c>
    </row>
    <row r="1119" spans="1:103" ht="11.25" customHeight="1" x14ac:dyDescent="0.2">
      <c r="A1119" s="72">
        <v>1577</v>
      </c>
      <c r="B1119" s="224">
        <v>879</v>
      </c>
      <c r="C1119" s="46" t="s">
        <v>7577</v>
      </c>
      <c r="D1119" s="46"/>
      <c r="E1119" s="114"/>
      <c r="F1119" s="114" t="s">
        <v>2497</v>
      </c>
      <c r="G1119" s="225">
        <v>588941451</v>
      </c>
      <c r="H1119" s="47" t="s">
        <v>2498</v>
      </c>
      <c r="I1119" s="47" t="s">
        <v>7742</v>
      </c>
      <c r="J1119" s="47" t="s">
        <v>2499</v>
      </c>
      <c r="K1119" s="47" t="s">
        <v>471</v>
      </c>
      <c r="L1119" s="47"/>
      <c r="M1119" s="47"/>
      <c r="N1119" s="47"/>
      <c r="O1119" s="47"/>
      <c r="P1119" s="53"/>
      <c r="Q1119" s="53"/>
      <c r="R1119" s="53"/>
      <c r="S1119" s="53"/>
      <c r="T1119" s="48">
        <v>365.83</v>
      </c>
      <c r="U1119" s="98"/>
      <c r="V1119" s="98">
        <v>1.8120000000000001</v>
      </c>
      <c r="W1119" s="98">
        <v>129.80138218331879</v>
      </c>
      <c r="X1119" s="98">
        <v>129.80138218331879</v>
      </c>
      <c r="Y1119" s="233">
        <v>3.48</v>
      </c>
      <c r="Z1119" s="48">
        <v>4.03</v>
      </c>
      <c r="AA1119" s="48"/>
      <c r="AB1119" s="48">
        <v>3.76</v>
      </c>
      <c r="AC1119" s="48">
        <v>0.6038</v>
      </c>
      <c r="AD1119" s="48">
        <v>3.75</v>
      </c>
      <c r="AE1119" s="48">
        <v>3.73</v>
      </c>
      <c r="AF1119" s="48">
        <f t="shared" si="232"/>
        <v>3.75</v>
      </c>
      <c r="AG1119" s="49">
        <v>3.75</v>
      </c>
      <c r="AH1119" s="98">
        <v>8.2400000000000004E-12</v>
      </c>
      <c r="AI1119" s="98"/>
      <c r="AJ1119" s="483">
        <f t="shared" si="230"/>
        <v>-9.4726391146155358</v>
      </c>
      <c r="AK1119" s="483"/>
      <c r="AL1119" s="483">
        <f t="shared" si="231"/>
        <v>-9.4726391146155358</v>
      </c>
      <c r="AM1119" s="483">
        <v>-19.844100000000001</v>
      </c>
      <c r="AN1119" s="226"/>
      <c r="AO1119" s="484">
        <v>2.0499999999999998</v>
      </c>
      <c r="AP1119" s="484">
        <v>-3.42</v>
      </c>
      <c r="AQ1119" s="48" t="s">
        <v>6311</v>
      </c>
      <c r="AR1119" s="48" t="s">
        <v>6311</v>
      </c>
      <c r="AS1119" s="227"/>
      <c r="AT1119" s="50" t="s">
        <v>266</v>
      </c>
      <c r="AU1119" s="48">
        <v>6</v>
      </c>
      <c r="AV1119" s="48">
        <v>120</v>
      </c>
      <c r="AW1119" s="48">
        <v>114</v>
      </c>
      <c r="AX1119" s="48">
        <v>28</v>
      </c>
      <c r="AY1119" s="48" t="s">
        <v>8728</v>
      </c>
      <c r="AZ1119" s="48" t="s">
        <v>1563</v>
      </c>
      <c r="BA1119" s="48">
        <v>32</v>
      </c>
      <c r="BB1119" s="47" t="s">
        <v>2485</v>
      </c>
      <c r="BC1119" s="47" t="s">
        <v>8726</v>
      </c>
      <c r="BD1119" s="47" t="s">
        <v>8374</v>
      </c>
      <c r="BE1119" s="48" t="s">
        <v>2449</v>
      </c>
      <c r="BF1119" s="48" t="s">
        <v>272</v>
      </c>
      <c r="BG1119" s="48" t="s">
        <v>272</v>
      </c>
      <c r="BH1119" s="48" t="s">
        <v>2486</v>
      </c>
      <c r="BI1119" s="98">
        <v>2.3413119999999999E-3</v>
      </c>
      <c r="BJ1119" s="98">
        <v>23.413119999999999</v>
      </c>
      <c r="BK1119" s="48"/>
      <c r="BL1119" s="487">
        <v>4.5158168220960677</v>
      </c>
      <c r="BM1119" s="47" t="s">
        <v>2487</v>
      </c>
      <c r="BN1119" s="48"/>
      <c r="BO1119" s="48"/>
      <c r="BP1119" s="48"/>
      <c r="BQ1119" s="48"/>
      <c r="BR1119" s="47" t="e">
        <v>#VALUE!</v>
      </c>
      <c r="BS1119" s="48"/>
      <c r="BT1119" s="48"/>
      <c r="BU1119" s="228">
        <v>2.3413119999999999E-2</v>
      </c>
      <c r="BV1119" s="48"/>
      <c r="BW1119" s="48"/>
      <c r="BX1119" s="48"/>
      <c r="BY1119" s="48"/>
      <c r="BZ1119" s="48"/>
      <c r="CA1119" s="48"/>
      <c r="CB1119" s="48"/>
      <c r="CC1119" s="48"/>
      <c r="CD1119" s="48"/>
      <c r="CE1119" s="48"/>
      <c r="CF1119" s="48"/>
      <c r="CG1119" s="48"/>
      <c r="CH1119" s="48"/>
      <c r="CI1119" s="98"/>
      <c r="CJ1119" s="98"/>
      <c r="CK1119" s="49">
        <f t="shared" si="233"/>
        <v>0.19287548272490243</v>
      </c>
      <c r="CL1119" s="229"/>
      <c r="CM1119" s="229"/>
      <c r="CN1119" s="229"/>
      <c r="CO1119" s="47" t="s">
        <v>2488</v>
      </c>
      <c r="CP1119" s="500" t="s">
        <v>2489</v>
      </c>
      <c r="CQ1119" s="224" t="s">
        <v>272</v>
      </c>
      <c r="CR1119" s="224"/>
      <c r="CS1119" s="230" t="s">
        <v>539</v>
      </c>
      <c r="CT1119" s="230"/>
      <c r="CU1119" s="230"/>
      <c r="CV1119" s="335">
        <f t="shared" si="234"/>
        <v>5.5439592067746117</v>
      </c>
      <c r="CW1119" s="230">
        <f t="shared" si="235"/>
        <v>1</v>
      </c>
      <c r="CX1119" s="336"/>
      <c r="CY1119" s="230" t="s">
        <v>5921</v>
      </c>
    </row>
    <row r="1120" spans="1:103" ht="11.25" customHeight="1" x14ac:dyDescent="0.2">
      <c r="A1120" s="72">
        <v>1578</v>
      </c>
      <c r="B1120" s="224">
        <v>1823</v>
      </c>
      <c r="C1120" s="46" t="s">
        <v>7578</v>
      </c>
      <c r="D1120" s="46"/>
      <c r="E1120" s="114"/>
      <c r="F1120" s="114" t="s">
        <v>5232</v>
      </c>
      <c r="G1120" s="225">
        <v>625114412</v>
      </c>
      <c r="H1120" s="47" t="s">
        <v>5233</v>
      </c>
      <c r="I1120" s="47" t="s">
        <v>7862</v>
      </c>
      <c r="J1120" s="47" t="s">
        <v>5234</v>
      </c>
      <c r="K1120" s="47" t="s">
        <v>455</v>
      </c>
      <c r="L1120" s="47"/>
      <c r="M1120" s="47"/>
      <c r="N1120" s="47"/>
      <c r="O1120" s="47"/>
      <c r="P1120" s="53"/>
      <c r="Q1120" s="53"/>
      <c r="R1120" s="53"/>
      <c r="S1120" s="53"/>
      <c r="T1120" s="48">
        <v>434.6</v>
      </c>
      <c r="U1120" s="98"/>
      <c r="V1120" s="98">
        <v>0.1298</v>
      </c>
      <c r="W1120" s="98">
        <v>2.4439353992772541</v>
      </c>
      <c r="X1120" s="98">
        <v>2.4439353992772541</v>
      </c>
      <c r="Y1120" s="233">
        <v>8.34</v>
      </c>
      <c r="Z1120" s="48">
        <v>4.87</v>
      </c>
      <c r="AA1120" s="48"/>
      <c r="AB1120" s="48">
        <v>4.21</v>
      </c>
      <c r="AC1120" s="48">
        <v>0.62239999999999995</v>
      </c>
      <c r="AD1120" s="48">
        <v>4.37</v>
      </c>
      <c r="AE1120" s="48">
        <v>4.67</v>
      </c>
      <c r="AF1120" s="48">
        <f t="shared" si="232"/>
        <v>4.37</v>
      </c>
      <c r="AG1120" s="49">
        <v>4.07</v>
      </c>
      <c r="AH1120" s="98">
        <v>2.24E-18</v>
      </c>
      <c r="AI1120" s="98"/>
      <c r="AJ1120" s="483">
        <f t="shared" si="230"/>
        <v>-16.038318307978489</v>
      </c>
      <c r="AK1120" s="483"/>
      <c r="AL1120" s="483">
        <f t="shared" si="231"/>
        <v>-16.038318307978489</v>
      </c>
      <c r="AM1120" s="483">
        <v>-21.599399999999999</v>
      </c>
      <c r="AN1120" s="226">
        <v>-23.6</v>
      </c>
      <c r="AO1120" s="484">
        <v>14.92</v>
      </c>
      <c r="AP1120" s="484">
        <v>8.41</v>
      </c>
      <c r="AQ1120" s="226" t="s">
        <v>6311</v>
      </c>
      <c r="AR1120" s="226" t="s">
        <v>6311</v>
      </c>
      <c r="AS1120" s="224"/>
      <c r="AT1120" s="50" t="s">
        <v>266</v>
      </c>
      <c r="AU1120" s="48">
        <v>6</v>
      </c>
      <c r="AV1120" s="48">
        <v>120</v>
      </c>
      <c r="AW1120" s="48">
        <v>114</v>
      </c>
      <c r="AX1120" s="48">
        <v>28</v>
      </c>
      <c r="AY1120" s="48" t="s">
        <v>8728</v>
      </c>
      <c r="AZ1120" s="48" t="s">
        <v>1563</v>
      </c>
      <c r="BA1120" s="48">
        <v>32</v>
      </c>
      <c r="BB1120" s="47" t="s">
        <v>2485</v>
      </c>
      <c r="BC1120" s="47" t="s">
        <v>8726</v>
      </c>
      <c r="BD1120" s="47" t="s">
        <v>8374</v>
      </c>
      <c r="BE1120" s="48" t="s">
        <v>2449</v>
      </c>
      <c r="BF1120" s="48" t="s">
        <v>272</v>
      </c>
      <c r="BG1120" s="48" t="s">
        <v>272</v>
      </c>
      <c r="BH1120" s="48" t="s">
        <v>2486</v>
      </c>
      <c r="BI1120" s="98">
        <v>2.78144E-3</v>
      </c>
      <c r="BJ1120" s="98">
        <v>27.814400000000003</v>
      </c>
      <c r="BK1120" s="48"/>
      <c r="BL1120" s="487">
        <v>0.94437117353647515</v>
      </c>
      <c r="BM1120" s="47" t="s">
        <v>2487</v>
      </c>
      <c r="BN1120" s="48"/>
      <c r="BO1120" s="48"/>
      <c r="BP1120" s="48"/>
      <c r="BQ1120" s="48"/>
      <c r="BR1120" s="47" t="e">
        <v>#VALUE!</v>
      </c>
      <c r="BS1120" s="48"/>
      <c r="BT1120" s="48"/>
      <c r="BU1120" s="228"/>
      <c r="BV1120" s="48"/>
      <c r="BW1120" s="48"/>
      <c r="BX1120" s="48"/>
      <c r="BY1120" s="48"/>
      <c r="BZ1120" s="48"/>
      <c r="CA1120" s="48"/>
      <c r="CB1120" s="48"/>
      <c r="CC1120" s="48"/>
      <c r="CD1120" s="48"/>
      <c r="CE1120" s="48"/>
      <c r="CF1120" s="48"/>
      <c r="CG1120" s="48"/>
      <c r="CH1120" s="48"/>
      <c r="CI1120" s="98"/>
      <c r="CJ1120" s="98"/>
      <c r="CK1120" s="49">
        <f t="shared" si="233"/>
        <v>3.3952599140606124E-2</v>
      </c>
      <c r="CL1120" s="229"/>
      <c r="CM1120" s="229"/>
      <c r="CN1120" s="229"/>
      <c r="CO1120" s="47" t="s">
        <v>2488</v>
      </c>
      <c r="CP1120" s="500" t="s">
        <v>2489</v>
      </c>
      <c r="CQ1120" s="224" t="s">
        <v>272</v>
      </c>
      <c r="CR1120" s="224"/>
      <c r="CS1120" s="230" t="s">
        <v>539</v>
      </c>
      <c r="CT1120" s="230"/>
      <c r="CU1120" s="230"/>
      <c r="CV1120" s="335">
        <f t="shared" si="234"/>
        <v>8.7865832060991925E-2</v>
      </c>
      <c r="CW1120" s="230">
        <f t="shared" si="235"/>
        <v>0</v>
      </c>
      <c r="CX1120" s="336"/>
      <c r="CY1120" s="230" t="s">
        <v>5921</v>
      </c>
    </row>
    <row r="1121" spans="1:103" ht="11.25" customHeight="1" x14ac:dyDescent="0.2">
      <c r="A1121" s="72">
        <v>1579</v>
      </c>
      <c r="B1121" s="224">
        <v>1010</v>
      </c>
      <c r="C1121" s="46" t="s">
        <v>7579</v>
      </c>
      <c r="D1121" s="46"/>
      <c r="E1121" s="114"/>
      <c r="F1121" s="114" t="s">
        <v>2888</v>
      </c>
      <c r="G1121" s="225">
        <v>668981020</v>
      </c>
      <c r="H1121" s="47" t="s">
        <v>2889</v>
      </c>
      <c r="I1121" s="47" t="s">
        <v>7796</v>
      </c>
      <c r="J1121" s="47" t="s">
        <v>2890</v>
      </c>
      <c r="K1121" s="47" t="s">
        <v>597</v>
      </c>
      <c r="L1121" s="47"/>
      <c r="M1121" s="47"/>
      <c r="N1121" s="47"/>
      <c r="O1121" s="47"/>
      <c r="P1121" s="53"/>
      <c r="Q1121" s="53"/>
      <c r="R1121" s="53"/>
      <c r="S1121" s="53"/>
      <c r="T1121" s="48">
        <v>359.39</v>
      </c>
      <c r="U1121" s="98"/>
      <c r="V1121" s="98">
        <v>4196</v>
      </c>
      <c r="W1121" s="98">
        <v>1110.6212754910594</v>
      </c>
      <c r="X1121" s="98">
        <v>1110.6212754910594</v>
      </c>
      <c r="Y1121" s="233">
        <v>8.18</v>
      </c>
      <c r="Z1121" s="48">
        <v>1.99</v>
      </c>
      <c r="AA1121" s="48"/>
      <c r="AB1121" s="48">
        <v>1.59</v>
      </c>
      <c r="AC1121" s="48">
        <v>0.42830000000000001</v>
      </c>
      <c r="AD1121" s="48">
        <v>1.38</v>
      </c>
      <c r="AE1121" s="48">
        <v>1.22</v>
      </c>
      <c r="AF1121" s="48">
        <f t="shared" si="232"/>
        <v>1.38</v>
      </c>
      <c r="AG1121" s="49">
        <v>2.0499999999999998</v>
      </c>
      <c r="AH1121" s="98">
        <v>1.38E-18</v>
      </c>
      <c r="AI1121" s="98"/>
      <c r="AJ1121" s="483">
        <f t="shared" si="230"/>
        <v>-16.248687239911416</v>
      </c>
      <c r="AK1121" s="483"/>
      <c r="AL1121" s="483">
        <f t="shared" si="231"/>
        <v>-16.248687239911416</v>
      </c>
      <c r="AM1121" s="483">
        <v>-23.214929999999999</v>
      </c>
      <c r="AN1121" s="226">
        <v>-18.8</v>
      </c>
      <c r="AO1121" s="484">
        <v>9.8000000000000007</v>
      </c>
      <c r="AP1121" s="484">
        <v>6.76</v>
      </c>
      <c r="AQ1121" s="48" t="s">
        <v>6311</v>
      </c>
      <c r="AR1121" s="48" t="s">
        <v>6311</v>
      </c>
      <c r="AS1121" s="227"/>
      <c r="AT1121" s="50" t="s">
        <v>266</v>
      </c>
      <c r="AU1121" s="48">
        <v>6</v>
      </c>
      <c r="AV1121" s="48">
        <v>120</v>
      </c>
      <c r="AW1121" s="48">
        <v>114</v>
      </c>
      <c r="AX1121" s="48">
        <v>28</v>
      </c>
      <c r="AY1121" s="48" t="s">
        <v>8728</v>
      </c>
      <c r="AZ1121" s="48" t="s">
        <v>1563</v>
      </c>
      <c r="BA1121" s="48">
        <v>32</v>
      </c>
      <c r="BB1121" s="47" t="s">
        <v>2485</v>
      </c>
      <c r="BC1121" s="47" t="s">
        <v>8726</v>
      </c>
      <c r="BD1121" s="47" t="s">
        <v>8374</v>
      </c>
      <c r="BE1121" s="48" t="s">
        <v>2449</v>
      </c>
      <c r="BF1121" s="48" t="s">
        <v>272</v>
      </c>
      <c r="BG1121" s="48" t="s">
        <v>272</v>
      </c>
      <c r="BH1121" s="48" t="s">
        <v>2486</v>
      </c>
      <c r="BI1121" s="98">
        <v>2.3000959999999997E-3</v>
      </c>
      <c r="BJ1121" s="98">
        <v>23.000959999999999</v>
      </c>
      <c r="BK1121" s="48"/>
      <c r="BL1121" s="487">
        <v>301.40259608906325</v>
      </c>
      <c r="BM1121" s="47" t="s">
        <v>2487</v>
      </c>
      <c r="BN1121" s="48"/>
      <c r="BO1121" s="48"/>
      <c r="BP1121" s="48"/>
      <c r="BQ1121" s="48"/>
      <c r="BR1121" s="47" t="e">
        <v>#VALUE!</v>
      </c>
      <c r="BS1121" s="48"/>
      <c r="BT1121" s="48"/>
      <c r="BU1121" s="228">
        <v>2.3000959999999997E-3</v>
      </c>
      <c r="BV1121" s="48"/>
      <c r="BW1121" s="48"/>
      <c r="BX1121" s="48"/>
      <c r="BY1121" s="48"/>
      <c r="BZ1121" s="48"/>
      <c r="CA1121" s="48"/>
      <c r="CB1121" s="48"/>
      <c r="CC1121" s="48"/>
      <c r="CD1121" s="48"/>
      <c r="CE1121" s="48"/>
      <c r="CF1121" s="48"/>
      <c r="CG1121" s="48"/>
      <c r="CH1121" s="48"/>
      <c r="CI1121" s="98"/>
      <c r="CJ1121" s="98"/>
      <c r="CK1121" s="49">
        <f t="shared" si="233"/>
        <v>13.103913753559123</v>
      </c>
      <c r="CL1121" s="229"/>
      <c r="CM1121" s="229"/>
      <c r="CN1121" s="229"/>
      <c r="CO1121" s="47" t="s">
        <v>2488</v>
      </c>
      <c r="CP1121" s="500" t="s">
        <v>2489</v>
      </c>
      <c r="CQ1121" s="224" t="s">
        <v>272</v>
      </c>
      <c r="CR1121" s="224"/>
      <c r="CS1121" s="230" t="s">
        <v>539</v>
      </c>
      <c r="CT1121" s="230"/>
      <c r="CU1121" s="230"/>
      <c r="CV1121" s="335">
        <f t="shared" si="234"/>
        <v>48.285866133024854</v>
      </c>
      <c r="CW1121" s="230">
        <f t="shared" si="235"/>
        <v>1</v>
      </c>
      <c r="CX1121" s="336"/>
      <c r="CY1121" s="230" t="s">
        <v>5921</v>
      </c>
    </row>
    <row r="1122" spans="1:103" ht="11.25" customHeight="1" x14ac:dyDescent="0.2">
      <c r="A1122" s="72">
        <v>1580</v>
      </c>
      <c r="B1122" s="224">
        <v>1378</v>
      </c>
      <c r="C1122" s="46" t="s">
        <v>7580</v>
      </c>
      <c r="D1122" s="46"/>
      <c r="E1122" s="114"/>
      <c r="F1122" s="114" t="s">
        <v>4251</v>
      </c>
      <c r="G1122" s="225">
        <v>851916422</v>
      </c>
      <c r="H1122" s="231" t="s">
        <v>6335</v>
      </c>
      <c r="I1122" s="231" t="s">
        <v>8189</v>
      </c>
      <c r="J1122" s="47" t="s">
        <v>6336</v>
      </c>
      <c r="K1122" s="47"/>
      <c r="L1122" s="47"/>
      <c r="M1122" s="47"/>
      <c r="N1122" s="47"/>
      <c r="O1122" s="47"/>
      <c r="P1122" s="53"/>
      <c r="Q1122" s="53"/>
      <c r="R1122" s="53"/>
      <c r="S1122" s="53"/>
      <c r="T1122" s="48">
        <v>469.55</v>
      </c>
      <c r="U1122" s="98"/>
      <c r="V1122" s="98">
        <v>2.1680000000000001</v>
      </c>
      <c r="W1122" s="98">
        <v>894.70908011964218</v>
      </c>
      <c r="X1122" s="98">
        <v>894.70908011964218</v>
      </c>
      <c r="Y1122" s="233">
        <v>9.84</v>
      </c>
      <c r="Z1122" s="49">
        <v>3.18</v>
      </c>
      <c r="AA1122" s="49"/>
      <c r="AB1122" s="49">
        <v>4.8899999999999997</v>
      </c>
      <c r="AC1122" s="49">
        <v>0.42899999999999999</v>
      </c>
      <c r="AD1122" s="49">
        <v>3.47</v>
      </c>
      <c r="AE1122" s="49">
        <v>2.37</v>
      </c>
      <c r="AF1122" s="49">
        <f t="shared" si="232"/>
        <v>3.47</v>
      </c>
      <c r="AG1122" s="49" t="s">
        <v>5921</v>
      </c>
      <c r="AH1122" s="98">
        <v>3.0999999999999998E-17</v>
      </c>
      <c r="AI1122" s="98"/>
      <c r="AJ1122" s="483">
        <f t="shared" si="230"/>
        <v>-14.897204632478379</v>
      </c>
      <c r="AK1122" s="483"/>
      <c r="AL1122" s="483">
        <f t="shared" si="231"/>
        <v>-14.897204632478379</v>
      </c>
      <c r="AM1122" s="483">
        <v>-18.335729999999998</v>
      </c>
      <c r="AN1122" s="226"/>
      <c r="AO1122" s="484"/>
      <c r="AP1122" s="484">
        <v>8.51</v>
      </c>
      <c r="AQ1122" s="48" t="s">
        <v>6317</v>
      </c>
      <c r="AR1122" s="48" t="s">
        <v>6317</v>
      </c>
      <c r="AS1122" s="227"/>
      <c r="AT1122" s="50" t="s">
        <v>266</v>
      </c>
      <c r="AU1122" s="48">
        <v>6</v>
      </c>
      <c r="AV1122" s="48">
        <v>120</v>
      </c>
      <c r="AW1122" s="48">
        <v>114</v>
      </c>
      <c r="AX1122" s="48">
        <v>28</v>
      </c>
      <c r="AY1122" s="48" t="s">
        <v>8728</v>
      </c>
      <c r="AZ1122" s="48" t="s">
        <v>1563</v>
      </c>
      <c r="BA1122" s="48">
        <v>32</v>
      </c>
      <c r="BB1122" s="47" t="s">
        <v>2485</v>
      </c>
      <c r="BC1122" s="47" t="s">
        <v>8726</v>
      </c>
      <c r="BD1122" s="47" t="s">
        <v>8374</v>
      </c>
      <c r="BE1122" s="48" t="s">
        <v>2449</v>
      </c>
      <c r="BF1122" s="48" t="s">
        <v>272</v>
      </c>
      <c r="BG1122" s="48" t="s">
        <v>272</v>
      </c>
      <c r="BH1122" s="48" t="s">
        <v>2486</v>
      </c>
      <c r="BI1122" s="98">
        <v>3.00512E-3</v>
      </c>
      <c r="BJ1122" s="98">
        <v>30.051200000000001</v>
      </c>
      <c r="BK1122" s="48"/>
      <c r="BL1122" s="487"/>
      <c r="BM1122" s="47" t="s">
        <v>2487</v>
      </c>
      <c r="BN1122" s="48"/>
      <c r="BO1122" s="48"/>
      <c r="BP1122" s="48"/>
      <c r="BQ1122" s="48"/>
      <c r="BR1122" s="47" t="e">
        <v>#VALUE!</v>
      </c>
      <c r="BS1122" s="48"/>
      <c r="BT1122" s="48"/>
      <c r="BU1122" s="228"/>
      <c r="BV1122" s="48"/>
      <c r="BW1122" s="48"/>
      <c r="BX1122" s="48"/>
      <c r="BY1122" s="48"/>
      <c r="BZ1122" s="48"/>
      <c r="CA1122" s="48"/>
      <c r="CB1122" s="48"/>
      <c r="CC1122" s="48"/>
      <c r="CD1122" s="48"/>
      <c r="CE1122" s="48"/>
      <c r="CF1122" s="48"/>
      <c r="CG1122" s="48"/>
      <c r="CH1122" s="48"/>
      <c r="CI1122" s="98"/>
      <c r="CJ1122" s="98"/>
      <c r="CK1122" s="49">
        <f t="shared" si="233"/>
        <v>0</v>
      </c>
      <c r="CL1122" s="229"/>
      <c r="CM1122" s="229"/>
      <c r="CN1122" s="229"/>
      <c r="CO1122" s="47" t="s">
        <v>2488</v>
      </c>
      <c r="CP1122" s="500" t="s">
        <v>2489</v>
      </c>
      <c r="CQ1122" s="224" t="s">
        <v>272</v>
      </c>
      <c r="CR1122" s="224"/>
      <c r="CS1122" s="230" t="s">
        <v>539</v>
      </c>
      <c r="CT1122" s="230"/>
      <c r="CU1122" s="230"/>
      <c r="CV1122" s="335">
        <f t="shared" si="234"/>
        <v>29.772823718175719</v>
      </c>
      <c r="CW1122" s="230">
        <f t="shared" si="235"/>
        <v>1</v>
      </c>
      <c r="CX1122" s="336"/>
      <c r="CY1122" s="230" t="s">
        <v>5921</v>
      </c>
    </row>
    <row r="1123" spans="1:103" ht="11.25" customHeight="1" x14ac:dyDescent="0.2">
      <c r="A1123" s="72">
        <v>1581</v>
      </c>
      <c r="B1123" s="224">
        <v>1750</v>
      </c>
      <c r="C1123" s="46" t="s">
        <v>7581</v>
      </c>
      <c r="D1123" s="46"/>
      <c r="E1123" s="114"/>
      <c r="F1123" s="114" t="s">
        <v>5042</v>
      </c>
      <c r="G1123" s="225">
        <v>1068967963</v>
      </c>
      <c r="H1123" s="47" t="s">
        <v>5043</v>
      </c>
      <c r="I1123" s="47" t="s">
        <v>7804</v>
      </c>
      <c r="J1123" s="47" t="s">
        <v>5044</v>
      </c>
      <c r="K1123" s="47" t="s">
        <v>426</v>
      </c>
      <c r="L1123" s="47"/>
      <c r="M1123" s="47"/>
      <c r="N1123" s="47"/>
      <c r="O1123" s="47"/>
      <c r="P1123" s="53"/>
      <c r="Q1123" s="53"/>
      <c r="R1123" s="53"/>
      <c r="S1123" s="53"/>
      <c r="T1123" s="48">
        <v>212.28</v>
      </c>
      <c r="U1123" s="98"/>
      <c r="V1123" s="98">
        <v>39.86</v>
      </c>
      <c r="W1123" s="98">
        <v>62.64826946367404</v>
      </c>
      <c r="X1123" s="98">
        <v>62.64826946367404</v>
      </c>
      <c r="Y1123" s="233">
        <v>7</v>
      </c>
      <c r="Z1123" s="48">
        <v>3.49</v>
      </c>
      <c r="AA1123" s="48"/>
      <c r="AB1123" s="48">
        <v>3.45</v>
      </c>
      <c r="AC1123" s="48">
        <v>0.55330000000000001</v>
      </c>
      <c r="AD1123" s="48">
        <v>3.77</v>
      </c>
      <c r="AE1123" s="48">
        <v>4.1399999999999997</v>
      </c>
      <c r="AF1123" s="48">
        <f t="shared" si="232"/>
        <v>3.77</v>
      </c>
      <c r="AG1123" s="49">
        <v>3.77</v>
      </c>
      <c r="AH1123" s="98"/>
      <c r="AI1123" s="98"/>
      <c r="AJ1123" s="483"/>
      <c r="AK1123" s="483"/>
      <c r="AL1123" s="483"/>
      <c r="AM1123" s="483">
        <v>-6.7462599999999995</v>
      </c>
      <c r="AN1123" s="226"/>
      <c r="AO1123" s="484"/>
      <c r="AP1123" s="484"/>
      <c r="AQ1123" s="226" t="s">
        <v>6311</v>
      </c>
      <c r="AR1123" s="226" t="s">
        <v>6311</v>
      </c>
      <c r="AS1123" s="224"/>
      <c r="AT1123" s="50" t="s">
        <v>266</v>
      </c>
      <c r="AU1123" s="48">
        <v>6</v>
      </c>
      <c r="AV1123" s="48">
        <v>120</v>
      </c>
      <c r="AW1123" s="48">
        <v>114</v>
      </c>
      <c r="AX1123" s="48">
        <v>28</v>
      </c>
      <c r="AY1123" s="48" t="s">
        <v>8728</v>
      </c>
      <c r="AZ1123" s="48" t="s">
        <v>1563</v>
      </c>
      <c r="BA1123" s="48">
        <v>32</v>
      </c>
      <c r="BB1123" s="47" t="s">
        <v>2485</v>
      </c>
      <c r="BC1123" s="47" t="s">
        <v>8726</v>
      </c>
      <c r="BD1123" s="47" t="s">
        <v>8374</v>
      </c>
      <c r="BE1123" s="48" t="s">
        <v>2449</v>
      </c>
      <c r="BF1123" s="48" t="s">
        <v>272</v>
      </c>
      <c r="BG1123" s="48" t="s">
        <v>272</v>
      </c>
      <c r="BH1123" s="48" t="s">
        <v>2486</v>
      </c>
      <c r="BI1123" s="98">
        <v>1.358592E-3</v>
      </c>
      <c r="BJ1123" s="98">
        <v>13.58592</v>
      </c>
      <c r="BK1123" s="48"/>
      <c r="BL1123" s="487">
        <v>8.0046081909558744</v>
      </c>
      <c r="BM1123" s="47" t="s">
        <v>2487</v>
      </c>
      <c r="BN1123" s="48"/>
      <c r="BO1123" s="48"/>
      <c r="BP1123" s="48"/>
      <c r="BQ1123" s="48"/>
      <c r="BR1123" s="47" t="e">
        <v>#VALUE!</v>
      </c>
      <c r="BS1123" s="48"/>
      <c r="BT1123" s="48"/>
      <c r="BU1123" s="228"/>
      <c r="BV1123" s="48"/>
      <c r="BW1123" s="48"/>
      <c r="BX1123" s="48"/>
      <c r="BY1123" s="48"/>
      <c r="BZ1123" s="48"/>
      <c r="CA1123" s="48"/>
      <c r="CB1123" s="48"/>
      <c r="CC1123" s="48"/>
      <c r="CD1123" s="48"/>
      <c r="CE1123" s="48"/>
      <c r="CF1123" s="48"/>
      <c r="CG1123" s="48"/>
      <c r="CH1123" s="48"/>
      <c r="CI1123" s="98"/>
      <c r="CJ1123" s="98"/>
      <c r="CK1123" s="49">
        <f t="shared" si="233"/>
        <v>0.58918411053177666</v>
      </c>
      <c r="CL1123" s="229"/>
      <c r="CM1123" s="229"/>
      <c r="CN1123" s="229"/>
      <c r="CO1123" s="47" t="s">
        <v>2488</v>
      </c>
      <c r="CP1123" s="500" t="s">
        <v>2489</v>
      </c>
      <c r="CQ1123" s="224" t="s">
        <v>272</v>
      </c>
      <c r="CR1123" s="224"/>
      <c r="CS1123" s="230" t="s">
        <v>539</v>
      </c>
      <c r="CT1123" s="230"/>
      <c r="CU1123" s="230"/>
      <c r="CV1123" s="335">
        <f t="shared" si="234"/>
        <v>4.611264416666228</v>
      </c>
      <c r="CW1123" s="230">
        <f t="shared" si="235"/>
        <v>1</v>
      </c>
      <c r="CX1123" s="336"/>
      <c r="CY1123" s="230" t="s">
        <v>5921</v>
      </c>
    </row>
    <row r="1124" spans="1:103" ht="11.25" customHeight="1" x14ac:dyDescent="0.2">
      <c r="A1124" s="72">
        <v>1582</v>
      </c>
      <c r="B1124" s="224">
        <v>883</v>
      </c>
      <c r="C1124" s="46" t="s">
        <v>7582</v>
      </c>
      <c r="D1124" s="46"/>
      <c r="E1124" s="114"/>
      <c r="F1124" s="114" t="s">
        <v>2511</v>
      </c>
      <c r="G1124" s="225">
        <v>1191914212</v>
      </c>
      <c r="H1124" s="47" t="s">
        <v>2512</v>
      </c>
      <c r="I1124" s="47" t="s">
        <v>7762</v>
      </c>
      <c r="J1124" s="47" t="s">
        <v>2513</v>
      </c>
      <c r="K1124" s="47" t="s">
        <v>2514</v>
      </c>
      <c r="L1124" s="47"/>
      <c r="M1124" s="47"/>
      <c r="N1124" s="47"/>
      <c r="O1124" s="47"/>
      <c r="P1124" s="53"/>
      <c r="Q1124" s="53"/>
      <c r="R1124" s="53"/>
      <c r="S1124" s="53"/>
      <c r="T1124" s="48">
        <v>281.08999999999997</v>
      </c>
      <c r="U1124" s="98"/>
      <c r="V1124" s="98">
        <v>126.6</v>
      </c>
      <c r="W1124" s="98">
        <v>250.52172620001446</v>
      </c>
      <c r="X1124" s="98">
        <v>250.52172620001446</v>
      </c>
      <c r="Y1124" s="233">
        <v>6.91</v>
      </c>
      <c r="Z1124" s="48">
        <v>2.4500000000000002</v>
      </c>
      <c r="AA1124" s="48"/>
      <c r="AB1124" s="48">
        <v>1.95</v>
      </c>
      <c r="AC1124" s="48">
        <v>0.65110000000000001</v>
      </c>
      <c r="AD1124" s="48">
        <v>2.69</v>
      </c>
      <c r="AE1124" s="48">
        <v>3.9</v>
      </c>
      <c r="AF1124" s="48">
        <f t="shared" si="232"/>
        <v>2.69</v>
      </c>
      <c r="AG1124" s="49">
        <v>3.13</v>
      </c>
      <c r="AH1124" s="98">
        <v>3.3799999999999998E-8</v>
      </c>
      <c r="AI1124" s="98"/>
      <c r="AJ1124" s="483">
        <f t="shared" ref="AJ1124:AJ1129" si="236">LOG10(AH1124*1000/(0.08206*298.15))</f>
        <v>-5.8596496260349973</v>
      </c>
      <c r="AK1124" s="483"/>
      <c r="AL1124" s="483">
        <f t="shared" ref="AL1124:AL1129" si="237">IF(AK1124=0,AJ1124,AK1124)</f>
        <v>-5.8596496260349973</v>
      </c>
      <c r="AM1124" s="483">
        <v>-8.67258</v>
      </c>
      <c r="AN1124" s="226">
        <v>-7.59</v>
      </c>
      <c r="AO1124" s="484">
        <v>11.24</v>
      </c>
      <c r="AP1124" s="484">
        <v>-1.74</v>
      </c>
      <c r="AQ1124" s="48" t="s">
        <v>6311</v>
      </c>
      <c r="AR1124" s="48" t="s">
        <v>6313</v>
      </c>
      <c r="AS1124" s="227"/>
      <c r="AT1124" s="50" t="s">
        <v>266</v>
      </c>
      <c r="AU1124" s="48">
        <v>6</v>
      </c>
      <c r="AV1124" s="48">
        <v>120</v>
      </c>
      <c r="AW1124" s="48">
        <v>114</v>
      </c>
      <c r="AX1124" s="48">
        <v>28</v>
      </c>
      <c r="AY1124" s="48" t="s">
        <v>8728</v>
      </c>
      <c r="AZ1124" s="48" t="s">
        <v>1563</v>
      </c>
      <c r="BA1124" s="48">
        <v>32</v>
      </c>
      <c r="BB1124" s="47" t="s">
        <v>2485</v>
      </c>
      <c r="BC1124" s="47" t="s">
        <v>8726</v>
      </c>
      <c r="BD1124" s="47" t="s">
        <v>8374</v>
      </c>
      <c r="BE1124" s="48" t="s">
        <v>2449</v>
      </c>
      <c r="BF1124" s="48" t="s">
        <v>272</v>
      </c>
      <c r="BG1124" s="48" t="s">
        <v>272</v>
      </c>
      <c r="BH1124" s="48" t="s">
        <v>2486</v>
      </c>
      <c r="BI1124" s="98">
        <v>1.7989759999999997E-3</v>
      </c>
      <c r="BJ1124" s="98">
        <v>17.98976</v>
      </c>
      <c r="BK1124" s="48"/>
      <c r="BL1124" s="487">
        <v>91.054286482476698</v>
      </c>
      <c r="BM1124" s="47" t="s">
        <v>2487</v>
      </c>
      <c r="BN1124" s="48"/>
      <c r="BO1124" s="48"/>
      <c r="BP1124" s="48"/>
      <c r="BQ1124" s="48"/>
      <c r="BR1124" s="47" t="e">
        <v>#VALUE!</v>
      </c>
      <c r="BS1124" s="48"/>
      <c r="BT1124" s="48"/>
      <c r="BU1124" s="228">
        <v>1.6190784</v>
      </c>
      <c r="BV1124" s="48"/>
      <c r="BW1124" s="48"/>
      <c r="BX1124" s="48"/>
      <c r="BY1124" s="48"/>
      <c r="BZ1124" s="48"/>
      <c r="CA1124" s="48"/>
      <c r="CB1124" s="48"/>
      <c r="CC1124" s="48"/>
      <c r="CD1124" s="48"/>
      <c r="CE1124" s="48"/>
      <c r="CF1124" s="48"/>
      <c r="CG1124" s="48"/>
      <c r="CH1124" s="48"/>
      <c r="CI1124" s="98"/>
      <c r="CJ1124" s="98"/>
      <c r="CK1124" s="49">
        <f t="shared" si="233"/>
        <v>5.0614508744128157</v>
      </c>
      <c r="CL1124" s="229"/>
      <c r="CM1124" s="229"/>
      <c r="CN1124" s="229"/>
      <c r="CO1124" s="47" t="s">
        <v>2488</v>
      </c>
      <c r="CP1124" s="500" t="s">
        <v>2489</v>
      </c>
      <c r="CQ1124" s="224" t="s">
        <v>272</v>
      </c>
      <c r="CR1124" s="224"/>
      <c r="CS1124" s="230" t="s">
        <v>539</v>
      </c>
      <c r="CT1124" s="230"/>
      <c r="CU1124" s="230"/>
      <c r="CV1124" s="335">
        <f t="shared" si="234"/>
        <v>13.925795908339769</v>
      </c>
      <c r="CW1124" s="230">
        <f t="shared" si="235"/>
        <v>1</v>
      </c>
      <c r="CX1124" s="336"/>
      <c r="CY1124" s="230" t="s">
        <v>5921</v>
      </c>
    </row>
    <row r="1125" spans="1:103" ht="11.25" customHeight="1" x14ac:dyDescent="0.2">
      <c r="A1125" s="72">
        <v>1583</v>
      </c>
      <c r="B1125" s="224">
        <v>1754</v>
      </c>
      <c r="C1125" s="46" t="s">
        <v>7583</v>
      </c>
      <c r="D1125" s="46"/>
      <c r="E1125" s="114"/>
      <c r="F1125" s="114" t="s">
        <v>5054</v>
      </c>
      <c r="G1125" s="225" t="s">
        <v>5054</v>
      </c>
      <c r="H1125" s="47" t="s">
        <v>5055</v>
      </c>
      <c r="I1125" s="47" t="s">
        <v>7787</v>
      </c>
      <c r="J1125" s="47"/>
      <c r="K1125" s="47" t="s">
        <v>471</v>
      </c>
      <c r="L1125" s="47"/>
      <c r="M1125" s="47"/>
      <c r="N1125" s="47"/>
      <c r="O1125" s="47"/>
      <c r="P1125" s="53"/>
      <c r="Q1125" s="53"/>
      <c r="R1125" s="53"/>
      <c r="S1125" s="53"/>
      <c r="T1125" s="48" t="s">
        <v>5056</v>
      </c>
      <c r="U1125" s="98"/>
      <c r="V1125" s="98"/>
      <c r="W1125" s="98"/>
      <c r="X1125" s="98"/>
      <c r="Y1125" s="233">
        <v>7.03</v>
      </c>
      <c r="Z1125" s="48">
        <v>2.15</v>
      </c>
      <c r="AA1125" s="48"/>
      <c r="AB1125" s="48">
        <v>2.4500000000000002</v>
      </c>
      <c r="AC1125" s="48">
        <v>0.6341</v>
      </c>
      <c r="AD1125" s="48">
        <v>2.2799999999999998</v>
      </c>
      <c r="AE1125" s="48">
        <v>1.94</v>
      </c>
      <c r="AF1125" s="48">
        <f t="shared" si="232"/>
        <v>2.2799999999999998</v>
      </c>
      <c r="AG1125" s="49">
        <v>2.2799999999999998</v>
      </c>
      <c r="AH1125" s="98">
        <v>1.1399999999999999E-13</v>
      </c>
      <c r="AI1125" s="98"/>
      <c r="AJ1125" s="483">
        <f t="shared" si="236"/>
        <v>-11.33166147497618</v>
      </c>
      <c r="AK1125" s="483"/>
      <c r="AL1125" s="483">
        <f t="shared" si="237"/>
        <v>-11.33166147497618</v>
      </c>
      <c r="AM1125" s="483">
        <v>-23.941079999999999</v>
      </c>
      <c r="AN1125" s="226"/>
      <c r="AO1125" s="484">
        <v>10.99</v>
      </c>
      <c r="AP1125" s="484">
        <v>4.0999999999999996</v>
      </c>
      <c r="AQ1125" s="226" t="s">
        <v>5921</v>
      </c>
      <c r="AR1125" s="226" t="s">
        <v>5921</v>
      </c>
      <c r="AS1125" s="224"/>
      <c r="AT1125" s="50" t="s">
        <v>266</v>
      </c>
      <c r="AU1125" s="48">
        <v>6</v>
      </c>
      <c r="AV1125" s="48">
        <v>120</v>
      </c>
      <c r="AW1125" s="48">
        <v>114</v>
      </c>
      <c r="AX1125" s="48">
        <v>28</v>
      </c>
      <c r="AY1125" s="48" t="s">
        <v>8728</v>
      </c>
      <c r="AZ1125" s="48" t="s">
        <v>1563</v>
      </c>
      <c r="BA1125" s="48">
        <v>32</v>
      </c>
      <c r="BB1125" s="47" t="s">
        <v>2485</v>
      </c>
      <c r="BC1125" s="47" t="s">
        <v>8726</v>
      </c>
      <c r="BD1125" s="47" t="s">
        <v>8374</v>
      </c>
      <c r="BE1125" s="48" t="s">
        <v>2449</v>
      </c>
      <c r="BF1125" s="48" t="s">
        <v>272</v>
      </c>
      <c r="BG1125" s="48" t="s">
        <v>272</v>
      </c>
      <c r="BH1125" s="48" t="s">
        <v>2486</v>
      </c>
      <c r="BI1125" s="98" t="e">
        <v>#VALUE!</v>
      </c>
      <c r="BJ1125" s="98" t="e">
        <v>#VALUE!</v>
      </c>
      <c r="BK1125" s="48"/>
      <c r="BL1125" s="487" t="e">
        <v>#VALUE!</v>
      </c>
      <c r="BM1125" s="47" t="s">
        <v>2487</v>
      </c>
      <c r="BN1125" s="48"/>
      <c r="BO1125" s="48"/>
      <c r="BP1125" s="48"/>
      <c r="BQ1125" s="48"/>
      <c r="BR1125" s="47"/>
      <c r="BS1125" s="48"/>
      <c r="BT1125" s="48"/>
      <c r="BU1125" s="228"/>
      <c r="BV1125" s="48"/>
      <c r="BW1125" s="48"/>
      <c r="BX1125" s="48"/>
      <c r="BY1125" s="48"/>
      <c r="BZ1125" s="48"/>
      <c r="CA1125" s="48"/>
      <c r="CB1125" s="48"/>
      <c r="CC1125" s="48"/>
      <c r="CD1125" s="48"/>
      <c r="CE1125" s="48"/>
      <c r="CF1125" s="48"/>
      <c r="CG1125" s="48"/>
      <c r="CH1125" s="48"/>
      <c r="CI1125" s="98"/>
      <c r="CJ1125" s="98"/>
      <c r="CK1125" s="49"/>
      <c r="CL1125" s="229"/>
      <c r="CM1125" s="229"/>
      <c r="CN1125" s="229"/>
      <c r="CO1125" s="47" t="s">
        <v>2488</v>
      </c>
      <c r="CP1125" s="500" t="s">
        <v>2489</v>
      </c>
      <c r="CQ1125" s="224" t="s">
        <v>272</v>
      </c>
      <c r="CR1125" s="224"/>
      <c r="CS1125" s="230" t="s">
        <v>539</v>
      </c>
      <c r="CT1125" s="230"/>
      <c r="CU1125" s="230"/>
      <c r="CV1125" s="335"/>
      <c r="CW1125" s="230"/>
      <c r="CX1125" s="336"/>
      <c r="CY1125" s="230" t="s">
        <v>5921</v>
      </c>
    </row>
    <row r="1126" spans="1:103" ht="11.25" customHeight="1" x14ac:dyDescent="0.2">
      <c r="A1126" s="72">
        <v>1584</v>
      </c>
      <c r="B1126" s="224">
        <v>1860</v>
      </c>
      <c r="C1126" s="46" t="s">
        <v>7584</v>
      </c>
      <c r="D1126" s="46"/>
      <c r="E1126" s="114"/>
      <c r="F1126" s="114" t="s">
        <v>5286</v>
      </c>
      <c r="G1126" s="225" t="s">
        <v>5286</v>
      </c>
      <c r="H1126" s="47" t="s">
        <v>5287</v>
      </c>
      <c r="I1126" s="47" t="s">
        <v>8190</v>
      </c>
      <c r="J1126" s="47" t="s">
        <v>5288</v>
      </c>
      <c r="K1126" s="47" t="s">
        <v>4623</v>
      </c>
      <c r="L1126" s="47"/>
      <c r="M1126" s="47"/>
      <c r="N1126" s="47"/>
      <c r="O1126" s="47"/>
      <c r="P1126" s="53"/>
      <c r="Q1126" s="53"/>
      <c r="R1126" s="53"/>
      <c r="S1126" s="53"/>
      <c r="T1126" s="48">
        <v>408.51</v>
      </c>
      <c r="U1126" s="98"/>
      <c r="V1126" s="98">
        <v>4.6269999999999998</v>
      </c>
      <c r="W1126" s="98">
        <v>26.989988044558281</v>
      </c>
      <c r="X1126" s="98">
        <v>26.989988044558281</v>
      </c>
      <c r="Y1126" s="233">
        <v>4.3499999999999996</v>
      </c>
      <c r="Z1126" s="48">
        <v>3.08</v>
      </c>
      <c r="AA1126" s="48"/>
      <c r="AB1126" s="48">
        <v>2.84</v>
      </c>
      <c r="AC1126" s="48">
        <v>0.55289999999999995</v>
      </c>
      <c r="AD1126" s="48">
        <v>3.24</v>
      </c>
      <c r="AE1126" s="48">
        <v>3.63</v>
      </c>
      <c r="AF1126" s="48">
        <f t="shared" si="232"/>
        <v>3.24</v>
      </c>
      <c r="AG1126" s="49">
        <v>-0.03</v>
      </c>
      <c r="AH1126" s="98">
        <v>6.3699999999999998E-15</v>
      </c>
      <c r="AI1126" s="98"/>
      <c r="AJ1126" s="483">
        <f t="shared" si="236"/>
        <v>-12.584426893977302</v>
      </c>
      <c r="AK1126" s="483"/>
      <c r="AL1126" s="483">
        <f t="shared" si="237"/>
        <v>-12.584426893977302</v>
      </c>
      <c r="AM1126" s="483">
        <v>-22.481729999999999</v>
      </c>
      <c r="AN1126" s="226">
        <v>-6.58</v>
      </c>
      <c r="AO1126" s="484">
        <v>4.72</v>
      </c>
      <c r="AP1126" s="484">
        <v>1.33</v>
      </c>
      <c r="AQ1126" s="226" t="s">
        <v>5921</v>
      </c>
      <c r="AR1126" s="226" t="s">
        <v>5921</v>
      </c>
      <c r="AS1126" s="224"/>
      <c r="AT1126" s="50" t="s">
        <v>266</v>
      </c>
      <c r="AU1126" s="48">
        <v>6</v>
      </c>
      <c r="AV1126" s="48">
        <v>120</v>
      </c>
      <c r="AW1126" s="48">
        <v>114</v>
      </c>
      <c r="AX1126" s="48">
        <v>28</v>
      </c>
      <c r="AY1126" s="48" t="s">
        <v>8728</v>
      </c>
      <c r="AZ1126" s="48" t="s">
        <v>1563</v>
      </c>
      <c r="BA1126" s="48">
        <v>32</v>
      </c>
      <c r="BB1126" s="47" t="s">
        <v>2485</v>
      </c>
      <c r="BC1126" s="47" t="s">
        <v>8726</v>
      </c>
      <c r="BD1126" s="47" t="s">
        <v>8374</v>
      </c>
      <c r="BE1126" s="48" t="s">
        <v>2449</v>
      </c>
      <c r="BF1126" s="48" t="s">
        <v>272</v>
      </c>
      <c r="BG1126" s="48" t="s">
        <v>272</v>
      </c>
      <c r="BH1126" s="48" t="s">
        <v>2486</v>
      </c>
      <c r="BI1126" s="98">
        <v>2.6144639999999999E-3</v>
      </c>
      <c r="BJ1126" s="98">
        <v>26.144639999999999</v>
      </c>
      <c r="BK1126" s="48"/>
      <c r="BL1126" s="487">
        <v>35.962898905665121</v>
      </c>
      <c r="BM1126" s="47" t="s">
        <v>2487</v>
      </c>
      <c r="BN1126" s="48"/>
      <c r="BO1126" s="48"/>
      <c r="BP1126" s="48"/>
      <c r="BQ1126" s="48"/>
      <c r="BR1126" s="47" t="e">
        <v>#VALUE!</v>
      </c>
      <c r="BS1126" s="48"/>
      <c r="BT1126" s="48"/>
      <c r="BU1126" s="228"/>
      <c r="BV1126" s="48"/>
      <c r="BW1126" s="48"/>
      <c r="BX1126" s="48"/>
      <c r="BY1126" s="48"/>
      <c r="BZ1126" s="48"/>
      <c r="CA1126" s="48"/>
      <c r="CB1126" s="48"/>
      <c r="CC1126" s="48"/>
      <c r="CD1126" s="48"/>
      <c r="CE1126" s="48"/>
      <c r="CF1126" s="48"/>
      <c r="CG1126" s="48"/>
      <c r="CH1126" s="48"/>
      <c r="CI1126" s="98"/>
      <c r="CJ1126" s="98"/>
      <c r="CK1126" s="49">
        <f t="shared" ref="CK1126:CK1147" si="238">BL1126/BJ1126</f>
        <v>1.375536205725729</v>
      </c>
      <c r="CL1126" s="229"/>
      <c r="CM1126" s="229"/>
      <c r="CN1126" s="229"/>
      <c r="CO1126" s="47" t="s">
        <v>2488</v>
      </c>
      <c r="CP1126" s="500" t="s">
        <v>2489</v>
      </c>
      <c r="CQ1126" s="224" t="s">
        <v>272</v>
      </c>
      <c r="CR1126" s="224"/>
      <c r="CS1126" s="230" t="s">
        <v>539</v>
      </c>
      <c r="CT1126" s="230"/>
      <c r="CU1126" s="230"/>
      <c r="CV1126" s="335">
        <f t="shared" ref="CV1126:CV1147" si="239">X1126/BJ1126</f>
        <v>1.032333512511868</v>
      </c>
      <c r="CW1126" s="230">
        <f t="shared" ref="CW1126:CW1147" si="240">IF(CV1126&lt;1,0,1)</f>
        <v>1</v>
      </c>
      <c r="CX1126" s="336"/>
      <c r="CY1126" s="230" t="s">
        <v>5921</v>
      </c>
    </row>
    <row r="1127" spans="1:103" ht="11.25" customHeight="1" x14ac:dyDescent="0.2">
      <c r="A1127" s="72">
        <v>1585</v>
      </c>
      <c r="B1127" s="224">
        <v>1759</v>
      </c>
      <c r="C1127" s="46" t="s">
        <v>7585</v>
      </c>
      <c r="D1127" s="46"/>
      <c r="E1127" s="114"/>
      <c r="F1127" s="114" t="s">
        <v>5068</v>
      </c>
      <c r="G1127" s="225" t="s">
        <v>5068</v>
      </c>
      <c r="H1127" s="47" t="s">
        <v>5069</v>
      </c>
      <c r="I1127" s="47" t="s">
        <v>5069</v>
      </c>
      <c r="J1127" s="47" t="s">
        <v>5070</v>
      </c>
      <c r="K1127" s="47" t="s">
        <v>471</v>
      </c>
      <c r="L1127" s="47"/>
      <c r="M1127" s="47"/>
      <c r="N1127" s="47"/>
      <c r="O1127" s="47"/>
      <c r="P1127" s="53"/>
      <c r="Q1127" s="53"/>
      <c r="R1127" s="53"/>
      <c r="S1127" s="53"/>
      <c r="T1127" s="48">
        <v>466.48</v>
      </c>
      <c r="U1127" s="98"/>
      <c r="V1127" s="98">
        <v>6.1260000000000003</v>
      </c>
      <c r="W1127" s="98">
        <v>10.205470423399856</v>
      </c>
      <c r="X1127" s="98">
        <v>10.205470423399856</v>
      </c>
      <c r="Y1127" s="233">
        <v>4.7699999999999996</v>
      </c>
      <c r="Z1127" s="48">
        <v>2.67</v>
      </c>
      <c r="AA1127" s="48"/>
      <c r="AB1127" s="48">
        <v>1.39</v>
      </c>
      <c r="AC1127" s="48">
        <v>0.59060000000000001</v>
      </c>
      <c r="AD1127" s="48">
        <v>2.4900000000000002</v>
      </c>
      <c r="AE1127" s="48">
        <v>3.93</v>
      </c>
      <c r="AF1127" s="48">
        <f t="shared" si="232"/>
        <v>2.4900000000000002</v>
      </c>
      <c r="AG1127" s="49">
        <v>2.4900000000000002</v>
      </c>
      <c r="AH1127" s="98">
        <v>4.2600000000000003E-21</v>
      </c>
      <c r="AI1127" s="98"/>
      <c r="AJ1127" s="483">
        <f t="shared" si="236"/>
        <v>-18.759156727209934</v>
      </c>
      <c r="AK1127" s="483"/>
      <c r="AL1127" s="483">
        <f t="shared" si="237"/>
        <v>-18.759156727209934</v>
      </c>
      <c r="AM1127" s="483">
        <v>-30.71557</v>
      </c>
      <c r="AN1127" s="226"/>
      <c r="AO1127" s="484">
        <v>4.17</v>
      </c>
      <c r="AP1127" s="484">
        <v>-7.28</v>
      </c>
      <c r="AQ1127" s="226" t="s">
        <v>5921</v>
      </c>
      <c r="AR1127" s="226" t="s">
        <v>5921</v>
      </c>
      <c r="AS1127" s="224"/>
      <c r="AT1127" s="50" t="s">
        <v>266</v>
      </c>
      <c r="AU1127" s="48">
        <v>6</v>
      </c>
      <c r="AV1127" s="48">
        <v>120</v>
      </c>
      <c r="AW1127" s="48">
        <v>114</v>
      </c>
      <c r="AX1127" s="48">
        <v>28</v>
      </c>
      <c r="AY1127" s="48" t="s">
        <v>8728</v>
      </c>
      <c r="AZ1127" s="48" t="s">
        <v>1563</v>
      </c>
      <c r="BA1127" s="48">
        <v>32</v>
      </c>
      <c r="BB1127" s="47" t="s">
        <v>2485</v>
      </c>
      <c r="BC1127" s="47" t="s">
        <v>8726</v>
      </c>
      <c r="BD1127" s="47" t="s">
        <v>8374</v>
      </c>
      <c r="BE1127" s="48" t="s">
        <v>2449</v>
      </c>
      <c r="BF1127" s="48" t="s">
        <v>272</v>
      </c>
      <c r="BG1127" s="48" t="s">
        <v>272</v>
      </c>
      <c r="BH1127" s="48" t="s">
        <v>2486</v>
      </c>
      <c r="BI1127" s="98">
        <v>2.9854719999999999E-3</v>
      </c>
      <c r="BJ1127" s="98">
        <v>29.85472</v>
      </c>
      <c r="BK1127" s="48"/>
      <c r="BL1127" s="487">
        <v>95.875143815748785</v>
      </c>
      <c r="BM1127" s="47" t="s">
        <v>2487</v>
      </c>
      <c r="BN1127" s="48"/>
      <c r="BO1127" s="48"/>
      <c r="BP1127" s="48"/>
      <c r="BQ1127" s="48"/>
      <c r="BR1127" s="47"/>
      <c r="BS1127" s="48"/>
      <c r="BT1127" s="48"/>
      <c r="BU1127" s="228"/>
      <c r="BV1127" s="48"/>
      <c r="BW1127" s="48"/>
      <c r="BX1127" s="48"/>
      <c r="BY1127" s="48"/>
      <c r="BZ1127" s="48"/>
      <c r="CA1127" s="48"/>
      <c r="CB1127" s="48"/>
      <c r="CC1127" s="48"/>
      <c r="CD1127" s="48"/>
      <c r="CE1127" s="48"/>
      <c r="CF1127" s="48"/>
      <c r="CG1127" s="48"/>
      <c r="CH1127" s="48"/>
      <c r="CI1127" s="52"/>
      <c r="CJ1127" s="98"/>
      <c r="CK1127" s="49">
        <f t="shared" si="238"/>
        <v>3.2113898176150633</v>
      </c>
      <c r="CL1127" s="229"/>
      <c r="CM1127" s="229"/>
      <c r="CN1127" s="229"/>
      <c r="CO1127" s="47" t="s">
        <v>2488</v>
      </c>
      <c r="CP1127" s="500" t="s">
        <v>2489</v>
      </c>
      <c r="CQ1127" s="224" t="s">
        <v>272</v>
      </c>
      <c r="CR1127" s="224"/>
      <c r="CS1127" s="230" t="s">
        <v>539</v>
      </c>
      <c r="CT1127" s="230"/>
      <c r="CU1127" s="230"/>
      <c r="CV1127" s="335">
        <f t="shared" si="239"/>
        <v>0.341837753742117</v>
      </c>
      <c r="CW1127" s="230">
        <f t="shared" si="240"/>
        <v>0</v>
      </c>
      <c r="CX1127" s="336"/>
      <c r="CY1127" s="230" t="s">
        <v>5921</v>
      </c>
    </row>
    <row r="1128" spans="1:103" ht="11.25" customHeight="1" x14ac:dyDescent="0.2">
      <c r="A1128" s="72">
        <v>1586</v>
      </c>
      <c r="B1128" s="224">
        <v>1324</v>
      </c>
      <c r="C1128" s="46" t="s">
        <v>7586</v>
      </c>
      <c r="D1128" s="46"/>
      <c r="E1128" s="114"/>
      <c r="F1128" s="114" t="s">
        <v>3609</v>
      </c>
      <c r="G1128" s="225" t="s">
        <v>3609</v>
      </c>
      <c r="H1128" s="47" t="s">
        <v>3610</v>
      </c>
      <c r="I1128" s="47" t="s">
        <v>8191</v>
      </c>
      <c r="J1128" s="236" t="s">
        <v>3611</v>
      </c>
      <c r="K1128" s="236" t="s">
        <v>2854</v>
      </c>
      <c r="L1128" s="47"/>
      <c r="M1128" s="47"/>
      <c r="N1128" s="47"/>
      <c r="O1128" s="52"/>
      <c r="P1128" s="53"/>
      <c r="Q1128" s="53"/>
      <c r="R1128" s="53"/>
      <c r="S1128" s="53"/>
      <c r="T1128" s="226">
        <v>254.26</v>
      </c>
      <c r="U1128" s="98"/>
      <c r="V1128" s="98">
        <v>153.30000000000001</v>
      </c>
      <c r="W1128" s="98">
        <v>188.48554195317121</v>
      </c>
      <c r="X1128" s="98">
        <v>188.48554195317121</v>
      </c>
      <c r="Y1128" s="233">
        <v>8.92</v>
      </c>
      <c r="Z1128" s="48">
        <v>1.93</v>
      </c>
      <c r="AA1128" s="48"/>
      <c r="AB1128" s="48">
        <v>2.12</v>
      </c>
      <c r="AC1128" s="48">
        <v>0.47439999999999999</v>
      </c>
      <c r="AD1128" s="48">
        <v>1.73</v>
      </c>
      <c r="AE1128" s="48">
        <v>1.31</v>
      </c>
      <c r="AF1128" s="48">
        <f t="shared" si="232"/>
        <v>1.73</v>
      </c>
      <c r="AG1128" s="48">
        <v>0.56999999999999995</v>
      </c>
      <c r="AH1128" s="98">
        <v>2.89E-15</v>
      </c>
      <c r="AI1128" s="98"/>
      <c r="AJ1128" s="483">
        <f t="shared" si="236"/>
        <v>-12.927668483556104</v>
      </c>
      <c r="AK1128" s="483"/>
      <c r="AL1128" s="483">
        <f t="shared" si="237"/>
        <v>-12.927668483556104</v>
      </c>
      <c r="AM1128" s="483">
        <v>-20.187829999999998</v>
      </c>
      <c r="AN1128" s="48">
        <v>-12.18</v>
      </c>
      <c r="AO1128" s="484">
        <v>13.63</v>
      </c>
      <c r="AP1128" s="484">
        <v>7.52</v>
      </c>
      <c r="AQ1128" s="48" t="s">
        <v>5921</v>
      </c>
      <c r="AR1128" s="48" t="s">
        <v>5921</v>
      </c>
      <c r="AS1128" s="227"/>
      <c r="AT1128" s="50" t="s">
        <v>266</v>
      </c>
      <c r="AU1128" s="48">
        <v>6</v>
      </c>
      <c r="AV1128" s="48">
        <v>120</v>
      </c>
      <c r="AW1128" s="48">
        <v>114</v>
      </c>
      <c r="AX1128" s="48">
        <v>28</v>
      </c>
      <c r="AY1128" s="48" t="s">
        <v>8728</v>
      </c>
      <c r="AZ1128" s="48" t="s">
        <v>1563</v>
      </c>
      <c r="BA1128" s="48">
        <v>32</v>
      </c>
      <c r="BB1128" s="47" t="s">
        <v>2485</v>
      </c>
      <c r="BC1128" s="47" t="s">
        <v>8726</v>
      </c>
      <c r="BD1128" s="47" t="s">
        <v>8374</v>
      </c>
      <c r="BE1128" s="48" t="s">
        <v>2449</v>
      </c>
      <c r="BF1128" s="48" t="s">
        <v>272</v>
      </c>
      <c r="BG1128" s="48" t="s">
        <v>272</v>
      </c>
      <c r="BH1128" s="48" t="s">
        <v>2486</v>
      </c>
      <c r="BI1128" s="98">
        <v>1.6272639999999998E-3</v>
      </c>
      <c r="BJ1128" s="98">
        <v>16.272639999999999</v>
      </c>
      <c r="BK1128" s="48"/>
      <c r="BL1128" s="487">
        <v>241.40432277839167</v>
      </c>
      <c r="BM1128" s="47" t="s">
        <v>2487</v>
      </c>
      <c r="BN1128" s="48"/>
      <c r="BO1128" s="48"/>
      <c r="BP1128" s="48"/>
      <c r="BQ1128" s="48"/>
      <c r="BR1128" s="47" t="e">
        <v>#VALUE!</v>
      </c>
      <c r="BS1128" s="48"/>
      <c r="BT1128" s="48"/>
      <c r="BU1128" s="228"/>
      <c r="BV1128" s="48"/>
      <c r="BW1128" s="48"/>
      <c r="BX1128" s="48"/>
      <c r="BY1128" s="48"/>
      <c r="BZ1128" s="48"/>
      <c r="CA1128" s="48"/>
      <c r="CB1128" s="48"/>
      <c r="CC1128" s="48"/>
      <c r="CD1128" s="48"/>
      <c r="CE1128" s="48"/>
      <c r="CF1128" s="48"/>
      <c r="CG1128" s="48"/>
      <c r="CH1128" s="48"/>
      <c r="CI1128" s="98"/>
      <c r="CJ1128" s="98"/>
      <c r="CK1128" s="49">
        <f t="shared" si="238"/>
        <v>14.834982079022931</v>
      </c>
      <c r="CL1128" s="229"/>
      <c r="CM1128" s="229"/>
      <c r="CN1128" s="229"/>
      <c r="CO1128" s="47" t="s">
        <v>2488</v>
      </c>
      <c r="CP1128" s="500" t="s">
        <v>2489</v>
      </c>
      <c r="CQ1128" s="224" t="s">
        <v>272</v>
      </c>
      <c r="CR1128" s="224"/>
      <c r="CS1128" s="230" t="s">
        <v>539</v>
      </c>
      <c r="CT1128" s="230"/>
      <c r="CU1128" s="230"/>
      <c r="CV1128" s="335">
        <f t="shared" si="239"/>
        <v>11.582972520326832</v>
      </c>
      <c r="CW1128" s="230">
        <f t="shared" si="240"/>
        <v>1</v>
      </c>
      <c r="CX1128" s="336"/>
      <c r="CY1128" s="230" t="s">
        <v>5921</v>
      </c>
    </row>
    <row r="1129" spans="1:103" ht="11.25" customHeight="1" x14ac:dyDescent="0.2">
      <c r="A1129" s="72">
        <v>1587</v>
      </c>
      <c r="B1129" s="224">
        <v>1201</v>
      </c>
      <c r="C1129" s="46" t="s">
        <v>7587</v>
      </c>
      <c r="D1129" s="46"/>
      <c r="E1129" s="114"/>
      <c r="F1129" s="114" t="s">
        <v>3313</v>
      </c>
      <c r="G1129" s="225" t="s">
        <v>3313</v>
      </c>
      <c r="H1129" s="47" t="s">
        <v>3314</v>
      </c>
      <c r="I1129" s="47" t="s">
        <v>7809</v>
      </c>
      <c r="J1129" s="47"/>
      <c r="K1129" s="47" t="s">
        <v>3315</v>
      </c>
      <c r="L1129" s="51"/>
      <c r="M1129" s="47"/>
      <c r="N1129" s="47"/>
      <c r="O1129" s="47"/>
      <c r="P1129" s="53"/>
      <c r="Q1129" s="53"/>
      <c r="R1129" s="53"/>
      <c r="S1129" s="53"/>
      <c r="T1129" s="48">
        <v>397.44</v>
      </c>
      <c r="U1129" s="98"/>
      <c r="V1129" s="98">
        <v>829.8</v>
      </c>
      <c r="W1129" s="98">
        <v>268.70241773978904</v>
      </c>
      <c r="X1129" s="98">
        <v>268.70241773978904</v>
      </c>
      <c r="Y1129" s="233">
        <v>7.54</v>
      </c>
      <c r="Z1129" s="48">
        <v>0.68</v>
      </c>
      <c r="AA1129" s="48"/>
      <c r="AB1129" s="48">
        <v>1.43</v>
      </c>
      <c r="AC1129" s="48">
        <v>0.65100000000000002</v>
      </c>
      <c r="AD1129" s="48">
        <v>1.1000000000000001</v>
      </c>
      <c r="AE1129" s="48">
        <v>0.3</v>
      </c>
      <c r="AF1129" s="48">
        <f t="shared" si="232"/>
        <v>1.1000000000000001</v>
      </c>
      <c r="AG1129" s="49">
        <v>1.1000000000000001</v>
      </c>
      <c r="AH1129" s="98">
        <v>3.6599999999999999E-17</v>
      </c>
      <c r="AI1129" s="98"/>
      <c r="AJ1129" s="483">
        <f t="shared" si="236"/>
        <v>-14.825085240918241</v>
      </c>
      <c r="AK1129" s="483"/>
      <c r="AL1129" s="483">
        <f t="shared" si="237"/>
        <v>-14.825085240918241</v>
      </c>
      <c r="AM1129" s="483">
        <v>-27.96903</v>
      </c>
      <c r="AN1129" s="226"/>
      <c r="AO1129" s="484">
        <v>11.27</v>
      </c>
      <c r="AP1129" s="484">
        <v>4.3499999999999996</v>
      </c>
      <c r="AQ1129" s="48" t="s">
        <v>5921</v>
      </c>
      <c r="AR1129" s="48" t="s">
        <v>5921</v>
      </c>
      <c r="AS1129" s="227"/>
      <c r="AT1129" s="50" t="s">
        <v>266</v>
      </c>
      <c r="AU1129" s="48">
        <v>6</v>
      </c>
      <c r="AV1129" s="48">
        <v>120</v>
      </c>
      <c r="AW1129" s="48">
        <v>114</v>
      </c>
      <c r="AX1129" s="48">
        <v>28</v>
      </c>
      <c r="AY1129" s="48" t="s">
        <v>8728</v>
      </c>
      <c r="AZ1129" s="48" t="s">
        <v>1563</v>
      </c>
      <c r="BA1129" s="48">
        <v>32</v>
      </c>
      <c r="BB1129" s="47" t="s">
        <v>2485</v>
      </c>
      <c r="BC1129" s="47" t="s">
        <v>8726</v>
      </c>
      <c r="BD1129" s="47" t="s">
        <v>8374</v>
      </c>
      <c r="BE1129" s="48" t="s">
        <v>2449</v>
      </c>
      <c r="BF1129" s="48" t="s">
        <v>272</v>
      </c>
      <c r="BG1129" s="48" t="s">
        <v>272</v>
      </c>
      <c r="BH1129" s="48" t="s">
        <v>2486</v>
      </c>
      <c r="BI1129" s="98">
        <v>2.5436159999999998E-3</v>
      </c>
      <c r="BJ1129" s="98">
        <v>25.436160000000001</v>
      </c>
      <c r="BK1129" s="48"/>
      <c r="BL1129" s="487">
        <v>5004.5331937974979</v>
      </c>
      <c r="BM1129" s="47" t="s">
        <v>2487</v>
      </c>
      <c r="BN1129" s="48"/>
      <c r="BO1129" s="48"/>
      <c r="BP1129" s="48"/>
      <c r="BQ1129" s="48"/>
      <c r="BR1129" s="47" t="e">
        <v>#VALUE!</v>
      </c>
      <c r="BS1129" s="48"/>
      <c r="BT1129" s="48"/>
      <c r="BU1129" s="228">
        <v>2.5436160000000001</v>
      </c>
      <c r="BV1129" s="48"/>
      <c r="BW1129" s="48"/>
      <c r="BX1129" s="48"/>
      <c r="BY1129" s="48"/>
      <c r="BZ1129" s="48"/>
      <c r="CA1129" s="48"/>
      <c r="CB1129" s="48"/>
      <c r="CC1129" s="48"/>
      <c r="CD1129" s="48"/>
      <c r="CE1129" s="48"/>
      <c r="CF1129" s="48"/>
      <c r="CG1129" s="48"/>
      <c r="CH1129" s="48"/>
      <c r="CI1129" s="98"/>
      <c r="CJ1129" s="98"/>
      <c r="CK1129" s="49">
        <f t="shared" si="238"/>
        <v>196.74877001078377</v>
      </c>
      <c r="CL1129" s="229"/>
      <c r="CM1129" s="229"/>
      <c r="CN1129" s="229"/>
      <c r="CO1129" s="47" t="s">
        <v>2488</v>
      </c>
      <c r="CP1129" s="500" t="s">
        <v>2489</v>
      </c>
      <c r="CQ1129" s="224" t="s">
        <v>272</v>
      </c>
      <c r="CR1129" s="224"/>
      <c r="CS1129" s="230" t="s">
        <v>539</v>
      </c>
      <c r="CT1129" s="230"/>
      <c r="CU1129" s="230"/>
      <c r="CV1129" s="335">
        <f t="shared" si="239"/>
        <v>10.563796490499707</v>
      </c>
      <c r="CW1129" s="230">
        <f t="shared" si="240"/>
        <v>1</v>
      </c>
      <c r="CX1129" s="336"/>
      <c r="CY1129" s="230" t="s">
        <v>5921</v>
      </c>
    </row>
    <row r="1130" spans="1:103" ht="11.25" customHeight="1" x14ac:dyDescent="0.2">
      <c r="A1130" s="72">
        <v>1588</v>
      </c>
      <c r="B1130" s="224">
        <v>1429</v>
      </c>
      <c r="C1130" s="46" t="s">
        <v>7588</v>
      </c>
      <c r="D1130" s="46"/>
      <c r="E1130" s="114"/>
      <c r="F1130" s="114" t="s">
        <v>4396</v>
      </c>
      <c r="G1130" s="225" t="s">
        <v>4396</v>
      </c>
      <c r="H1130" s="47" t="s">
        <v>4397</v>
      </c>
      <c r="I1130" s="47" t="s">
        <v>8192</v>
      </c>
      <c r="J1130" s="47" t="s">
        <v>4398</v>
      </c>
      <c r="K1130" s="47"/>
      <c r="L1130" s="47"/>
      <c r="M1130" s="47"/>
      <c r="N1130" s="47"/>
      <c r="O1130" s="47"/>
      <c r="P1130" s="53"/>
      <c r="Q1130" s="53"/>
      <c r="R1130" s="53"/>
      <c r="S1130" s="53"/>
      <c r="T1130" s="48">
        <v>211.26</v>
      </c>
      <c r="U1130" s="98"/>
      <c r="V1130" s="98">
        <v>370.7</v>
      </c>
      <c r="W1130" s="98">
        <v>5818.5835586722069</v>
      </c>
      <c r="X1130" s="98">
        <v>5818.5835586722069</v>
      </c>
      <c r="Y1130" s="233">
        <v>9.0500000000000007</v>
      </c>
      <c r="Z1130" s="48">
        <v>2.36</v>
      </c>
      <c r="AA1130" s="48"/>
      <c r="AB1130" s="48">
        <v>0.37</v>
      </c>
      <c r="AC1130" s="48">
        <v>0.44109999999999999</v>
      </c>
      <c r="AD1130" s="48">
        <v>0.31</v>
      </c>
      <c r="AE1130" s="48">
        <v>0.27</v>
      </c>
      <c r="AF1130" s="48">
        <f t="shared" si="232"/>
        <v>0.31</v>
      </c>
      <c r="AG1130" s="49">
        <v>0.31</v>
      </c>
      <c r="AH1130" s="98"/>
      <c r="AI1130" s="98"/>
      <c r="AJ1130" s="483"/>
      <c r="AK1130" s="483"/>
      <c r="AL1130" s="483"/>
      <c r="AM1130" s="483">
        <v>-12.246499999999999</v>
      </c>
      <c r="AN1130" s="226"/>
      <c r="AO1130" s="484">
        <v>7.64</v>
      </c>
      <c r="AP1130" s="484">
        <v>10.27</v>
      </c>
      <c r="AQ1130" s="48" t="s">
        <v>5921</v>
      </c>
      <c r="AR1130" s="48" t="s">
        <v>5921</v>
      </c>
      <c r="AS1130" s="227"/>
      <c r="AT1130" s="50" t="s">
        <v>266</v>
      </c>
      <c r="AU1130" s="48">
        <v>6</v>
      </c>
      <c r="AV1130" s="48">
        <v>120</v>
      </c>
      <c r="AW1130" s="48">
        <v>114</v>
      </c>
      <c r="AX1130" s="48">
        <v>28</v>
      </c>
      <c r="AY1130" s="48" t="s">
        <v>8728</v>
      </c>
      <c r="AZ1130" s="48" t="s">
        <v>1563</v>
      </c>
      <c r="BA1130" s="48">
        <v>32</v>
      </c>
      <c r="BB1130" s="47" t="s">
        <v>2485</v>
      </c>
      <c r="BC1130" s="47" t="s">
        <v>8726</v>
      </c>
      <c r="BD1130" s="47" t="s">
        <v>8374</v>
      </c>
      <c r="BE1130" s="48" t="s">
        <v>2449</v>
      </c>
      <c r="BF1130" s="48" t="s">
        <v>272</v>
      </c>
      <c r="BG1130" s="48" t="s">
        <v>272</v>
      </c>
      <c r="BH1130" s="48" t="s">
        <v>2486</v>
      </c>
      <c r="BI1130" s="98">
        <v>1.3520639999999998E-3</v>
      </c>
      <c r="BJ1130" s="98">
        <v>13.52064</v>
      </c>
      <c r="BK1130" s="48"/>
      <c r="BL1130" s="487"/>
      <c r="BM1130" s="47" t="s">
        <v>2487</v>
      </c>
      <c r="BN1130" s="48"/>
      <c r="BO1130" s="48"/>
      <c r="BP1130" s="48"/>
      <c r="BQ1130" s="48"/>
      <c r="BR1130" s="47" t="e">
        <v>#VALUE!</v>
      </c>
      <c r="BS1130" s="48"/>
      <c r="BT1130" s="48"/>
      <c r="BU1130" s="228"/>
      <c r="BV1130" s="48"/>
      <c r="BW1130" s="48"/>
      <c r="BX1130" s="48"/>
      <c r="BY1130" s="48"/>
      <c r="BZ1130" s="48"/>
      <c r="CA1130" s="48"/>
      <c r="CB1130" s="48"/>
      <c r="CC1130" s="48"/>
      <c r="CD1130" s="48"/>
      <c r="CE1130" s="48"/>
      <c r="CF1130" s="48"/>
      <c r="CG1130" s="48"/>
      <c r="CH1130" s="48"/>
      <c r="CI1130" s="98"/>
      <c r="CJ1130" s="98"/>
      <c r="CK1130" s="49">
        <f t="shared" si="238"/>
        <v>0</v>
      </c>
      <c r="CL1130" s="229"/>
      <c r="CM1130" s="229"/>
      <c r="CN1130" s="229"/>
      <c r="CO1130" s="47" t="s">
        <v>2488</v>
      </c>
      <c r="CP1130" s="500" t="s">
        <v>2489</v>
      </c>
      <c r="CQ1130" s="224" t="s">
        <v>272</v>
      </c>
      <c r="CR1130" s="224"/>
      <c r="CS1130" s="230" t="s">
        <v>539</v>
      </c>
      <c r="CT1130" s="230"/>
      <c r="CU1130" s="230"/>
      <c r="CV1130" s="335">
        <f t="shared" si="239"/>
        <v>430.34823489658822</v>
      </c>
      <c r="CW1130" s="230">
        <f t="shared" si="240"/>
        <v>1</v>
      </c>
      <c r="CX1130" s="336"/>
      <c r="CY1130" s="230" t="s">
        <v>5921</v>
      </c>
    </row>
    <row r="1131" spans="1:103" ht="11.25" customHeight="1" x14ac:dyDescent="0.2">
      <c r="A1131" s="72">
        <v>1589</v>
      </c>
      <c r="B1131" s="224">
        <v>1346</v>
      </c>
      <c r="C1131" s="46" t="s">
        <v>7589</v>
      </c>
      <c r="D1131" s="46"/>
      <c r="E1131" s="114"/>
      <c r="F1131" s="114" t="s">
        <v>4167</v>
      </c>
      <c r="G1131" s="225" t="s">
        <v>4167</v>
      </c>
      <c r="H1131" s="47" t="s">
        <v>4168</v>
      </c>
      <c r="I1131" s="47" t="s">
        <v>8193</v>
      </c>
      <c r="J1131" s="47" t="s">
        <v>4169</v>
      </c>
      <c r="K1131" s="47"/>
      <c r="L1131" s="47"/>
      <c r="M1131" s="47"/>
      <c r="N1131" s="47"/>
      <c r="O1131" s="47"/>
      <c r="P1131" s="53"/>
      <c r="Q1131" s="53"/>
      <c r="R1131" s="53"/>
      <c r="S1131" s="53"/>
      <c r="T1131" s="48">
        <v>378.55</v>
      </c>
      <c r="U1131" s="98"/>
      <c r="V1131" s="98">
        <v>0.20029470889687237</v>
      </c>
      <c r="W1131" s="98">
        <v>13.431460849436975</v>
      </c>
      <c r="X1131" s="98">
        <v>13.431460849436975</v>
      </c>
      <c r="Y1131" s="233">
        <v>8.25</v>
      </c>
      <c r="Z1131" s="48">
        <v>6.23</v>
      </c>
      <c r="AA1131" s="48"/>
      <c r="AB1131" s="48">
        <v>5.52</v>
      </c>
      <c r="AC1131" s="48">
        <v>0.68359999999999999</v>
      </c>
      <c r="AD1131" s="48">
        <v>5.84</v>
      </c>
      <c r="AE1131" s="48">
        <v>6.37</v>
      </c>
      <c r="AF1131" s="48">
        <f t="shared" si="232"/>
        <v>5.84</v>
      </c>
      <c r="AG1131" s="49">
        <v>3.41</v>
      </c>
      <c r="AH1131" s="98">
        <v>3.7999999999999998E-10</v>
      </c>
      <c r="AI1131" s="98"/>
      <c r="AJ1131" s="483">
        <f>LOG10(AH1131*1000/(0.08206*298.15))</f>
        <v>-7.8087827296958414</v>
      </c>
      <c r="AK1131" s="483"/>
      <c r="AL1131" s="483">
        <f>IF(AK1131=0,AJ1131,AK1131)</f>
        <v>-7.8087827296958414</v>
      </c>
      <c r="AM1131" s="483">
        <v>-14.548730000000001</v>
      </c>
      <c r="AN1131" s="226">
        <v>-19.5</v>
      </c>
      <c r="AO1131" s="484"/>
      <c r="AP1131" s="484">
        <v>7.48</v>
      </c>
      <c r="AQ1131" s="48" t="s">
        <v>5921</v>
      </c>
      <c r="AR1131" s="48" t="s">
        <v>5921</v>
      </c>
      <c r="AS1131" s="227"/>
      <c r="AT1131" s="50" t="s">
        <v>266</v>
      </c>
      <c r="AU1131" s="48">
        <v>6</v>
      </c>
      <c r="AV1131" s="48">
        <v>120</v>
      </c>
      <c r="AW1131" s="48">
        <v>114</v>
      </c>
      <c r="AX1131" s="48">
        <v>28</v>
      </c>
      <c r="AY1131" s="48" t="s">
        <v>8728</v>
      </c>
      <c r="AZ1131" s="48" t="s">
        <v>1563</v>
      </c>
      <c r="BA1131" s="48">
        <v>32</v>
      </c>
      <c r="BB1131" s="47" t="s">
        <v>2485</v>
      </c>
      <c r="BC1131" s="47" t="s">
        <v>8726</v>
      </c>
      <c r="BD1131" s="47" t="s">
        <v>8374</v>
      </c>
      <c r="BE1131" s="48" t="s">
        <v>2449</v>
      </c>
      <c r="BF1131" s="48" t="s">
        <v>272</v>
      </c>
      <c r="BG1131" s="48" t="s">
        <v>272</v>
      </c>
      <c r="BH1131" s="48" t="s">
        <v>2486</v>
      </c>
      <c r="BI1131" s="98">
        <v>2.4227200000000002E-3</v>
      </c>
      <c r="BJ1131" s="98">
        <v>24.2272</v>
      </c>
      <c r="BK1131" s="48"/>
      <c r="BL1131" s="487"/>
      <c r="BM1131" s="47" t="s">
        <v>2487</v>
      </c>
      <c r="BN1131" s="48"/>
      <c r="BO1131" s="48"/>
      <c r="BP1131" s="48"/>
      <c r="BQ1131" s="48"/>
      <c r="BR1131" s="47" t="e">
        <v>#VALUE!</v>
      </c>
      <c r="BS1131" s="48"/>
      <c r="BT1131" s="48"/>
      <c r="BU1131" s="228"/>
      <c r="BV1131" s="48"/>
      <c r="BW1131" s="48"/>
      <c r="BX1131" s="48"/>
      <c r="BY1131" s="48"/>
      <c r="BZ1131" s="48"/>
      <c r="CA1131" s="48"/>
      <c r="CB1131" s="48"/>
      <c r="CC1131" s="48"/>
      <c r="CD1131" s="48"/>
      <c r="CE1131" s="48"/>
      <c r="CF1131" s="48"/>
      <c r="CG1131" s="48"/>
      <c r="CH1131" s="48"/>
      <c r="CI1131" s="98"/>
      <c r="CJ1131" s="98"/>
      <c r="CK1131" s="49">
        <f t="shared" si="238"/>
        <v>0</v>
      </c>
      <c r="CL1131" s="229"/>
      <c r="CM1131" s="229"/>
      <c r="CN1131" s="229"/>
      <c r="CO1131" s="47" t="s">
        <v>2488</v>
      </c>
      <c r="CP1131" s="500" t="s">
        <v>2489</v>
      </c>
      <c r="CQ1131" s="224" t="s">
        <v>272</v>
      </c>
      <c r="CR1131" s="224"/>
      <c r="CS1131" s="230" t="s">
        <v>539</v>
      </c>
      <c r="CT1131" s="230"/>
      <c r="CU1131" s="230"/>
      <c r="CV1131" s="335">
        <f t="shared" si="239"/>
        <v>0.55439592067746069</v>
      </c>
      <c r="CW1131" s="230">
        <f t="shared" si="240"/>
        <v>0</v>
      </c>
      <c r="CX1131" s="336"/>
      <c r="CY1131" s="230" t="s">
        <v>5921</v>
      </c>
    </row>
    <row r="1132" spans="1:103" ht="11.25" customHeight="1" x14ac:dyDescent="0.2">
      <c r="A1132" s="72">
        <v>1590</v>
      </c>
      <c r="B1132" s="224">
        <v>881</v>
      </c>
      <c r="C1132" s="46" t="s">
        <v>7590</v>
      </c>
      <c r="D1132" s="46"/>
      <c r="E1132" s="114"/>
      <c r="F1132" s="114" t="s">
        <v>2504</v>
      </c>
      <c r="G1132" s="225" t="s">
        <v>2504</v>
      </c>
      <c r="H1132" s="47" t="s">
        <v>2505</v>
      </c>
      <c r="I1132" s="47" t="s">
        <v>7788</v>
      </c>
      <c r="J1132" s="47" t="s">
        <v>2506</v>
      </c>
      <c r="K1132" s="47" t="s">
        <v>2507</v>
      </c>
      <c r="L1132" s="47"/>
      <c r="M1132" s="47"/>
      <c r="N1132" s="47"/>
      <c r="O1132" s="47"/>
      <c r="P1132" s="53"/>
      <c r="Q1132" s="53"/>
      <c r="R1132" s="53"/>
      <c r="S1132" s="53"/>
      <c r="T1132" s="48">
        <v>528.95000000000005</v>
      </c>
      <c r="U1132" s="98"/>
      <c r="V1132" s="98">
        <v>14.45</v>
      </c>
      <c r="W1132" s="98">
        <v>22.050306038663376</v>
      </c>
      <c r="X1132" s="98">
        <v>22.050306038663376</v>
      </c>
      <c r="Y1132" s="233">
        <v>8.31</v>
      </c>
      <c r="Z1132" s="48">
        <v>0.23</v>
      </c>
      <c r="AA1132" s="48"/>
      <c r="AB1132" s="48">
        <v>1.22</v>
      </c>
      <c r="AC1132" s="48">
        <v>0.52690000000000003</v>
      </c>
      <c r="AD1132" s="48">
        <v>1.19</v>
      </c>
      <c r="AE1132" s="48">
        <v>1.1399999999999999</v>
      </c>
      <c r="AF1132" s="48">
        <f t="shared" si="232"/>
        <v>1.19</v>
      </c>
      <c r="AG1132" s="49">
        <v>1.27</v>
      </c>
      <c r="AH1132" s="98">
        <v>1.11E-34</v>
      </c>
      <c r="AI1132" s="98"/>
      <c r="AJ1132" s="483">
        <f>LOG10(AH1132*1000/(0.08206*298.15))</f>
        <v>-32.343243347525991</v>
      </c>
      <c r="AK1132" s="483"/>
      <c r="AL1132" s="483">
        <f>IF(AK1132=0,AJ1132,AK1132)</f>
        <v>-32.343243347525991</v>
      </c>
      <c r="AM1132" s="483">
        <v>-37.331029999999998</v>
      </c>
      <c r="AN1132" s="226">
        <v>-16.3</v>
      </c>
      <c r="AO1132" s="484">
        <v>12.91</v>
      </c>
      <c r="AP1132" s="484">
        <v>7.02</v>
      </c>
      <c r="AQ1132" s="48" t="s">
        <v>5921</v>
      </c>
      <c r="AR1132" s="48" t="s">
        <v>5921</v>
      </c>
      <c r="AS1132" s="227"/>
      <c r="AT1132" s="50" t="s">
        <v>266</v>
      </c>
      <c r="AU1132" s="48">
        <v>6</v>
      </c>
      <c r="AV1132" s="48">
        <v>120</v>
      </c>
      <c r="AW1132" s="48">
        <v>114</v>
      </c>
      <c r="AX1132" s="48">
        <v>28</v>
      </c>
      <c r="AY1132" s="48" t="s">
        <v>8728</v>
      </c>
      <c r="AZ1132" s="48" t="s">
        <v>1563</v>
      </c>
      <c r="BA1132" s="48">
        <v>32</v>
      </c>
      <c r="BB1132" s="47" t="s">
        <v>2485</v>
      </c>
      <c r="BC1132" s="47" t="s">
        <v>8726</v>
      </c>
      <c r="BD1132" s="47" t="s">
        <v>8374</v>
      </c>
      <c r="BE1132" s="48" t="s">
        <v>2449</v>
      </c>
      <c r="BF1132" s="48" t="s">
        <v>272</v>
      </c>
      <c r="BG1132" s="48" t="s">
        <v>272</v>
      </c>
      <c r="BH1132" s="48" t="s">
        <v>2486</v>
      </c>
      <c r="BI1132" s="98">
        <v>3.3852800000000001E-3</v>
      </c>
      <c r="BJ1132" s="98">
        <v>33.852800000000002</v>
      </c>
      <c r="BK1132" s="48"/>
      <c r="BL1132" s="487">
        <v>16890.854523215578</v>
      </c>
      <c r="BM1132" s="47" t="s">
        <v>2487</v>
      </c>
      <c r="BN1132" s="48"/>
      <c r="BO1132" s="48"/>
      <c r="BP1132" s="48"/>
      <c r="BQ1132" s="48"/>
      <c r="BR1132" s="47" t="e">
        <v>#VALUE!</v>
      </c>
      <c r="BS1132" s="48"/>
      <c r="BT1132" s="48"/>
      <c r="BU1132" s="228">
        <v>3.3852800000000003</v>
      </c>
      <c r="BV1132" s="48"/>
      <c r="BW1132" s="48"/>
      <c r="BX1132" s="48"/>
      <c r="BY1132" s="48"/>
      <c r="BZ1132" s="48"/>
      <c r="CA1132" s="48"/>
      <c r="CB1132" s="48"/>
      <c r="CC1132" s="48"/>
      <c r="CD1132" s="48"/>
      <c r="CE1132" s="48"/>
      <c r="CF1132" s="48"/>
      <c r="CG1132" s="48"/>
      <c r="CH1132" s="48"/>
      <c r="CI1132" s="98"/>
      <c r="CJ1132" s="98"/>
      <c r="CK1132" s="49">
        <f t="shared" si="238"/>
        <v>498.94999891340086</v>
      </c>
      <c r="CL1132" s="229"/>
      <c r="CM1132" s="229"/>
      <c r="CN1132" s="229"/>
      <c r="CO1132" s="47" t="s">
        <v>2488</v>
      </c>
      <c r="CP1132" s="500" t="s">
        <v>2489</v>
      </c>
      <c r="CQ1132" s="224" t="s">
        <v>272</v>
      </c>
      <c r="CR1132" s="224"/>
      <c r="CS1132" s="230" t="s">
        <v>539</v>
      </c>
      <c r="CT1132" s="230"/>
      <c r="CU1132" s="230"/>
      <c r="CV1132" s="335">
        <f t="shared" si="239"/>
        <v>0.65135841167239861</v>
      </c>
      <c r="CW1132" s="230">
        <f t="shared" si="240"/>
        <v>0</v>
      </c>
      <c r="CX1132" s="336"/>
      <c r="CY1132" s="230" t="s">
        <v>5921</v>
      </c>
    </row>
    <row r="1133" spans="1:103" ht="11.25" customHeight="1" x14ac:dyDescent="0.2">
      <c r="A1133" s="72">
        <v>1591</v>
      </c>
      <c r="B1133" s="224">
        <v>1332</v>
      </c>
      <c r="C1133" s="46" t="s">
        <v>7591</v>
      </c>
      <c r="D1133" s="46"/>
      <c r="E1133" s="114"/>
      <c r="F1133" s="114" t="s">
        <v>3622</v>
      </c>
      <c r="G1133" s="225" t="s">
        <v>3622</v>
      </c>
      <c r="H1133" s="236" t="s">
        <v>3623</v>
      </c>
      <c r="I1133" s="236" t="s">
        <v>8194</v>
      </c>
      <c r="J1133" s="236" t="s">
        <v>3624</v>
      </c>
      <c r="K1133" s="236"/>
      <c r="L1133" s="47"/>
      <c r="M1133" s="47"/>
      <c r="N1133" s="47"/>
      <c r="O1133" s="52"/>
      <c r="P1133" s="53"/>
      <c r="Q1133" s="53"/>
      <c r="R1133" s="53"/>
      <c r="S1133" s="53"/>
      <c r="T1133" s="226">
        <v>502.64</v>
      </c>
      <c r="U1133" s="98"/>
      <c r="V1133" s="98">
        <v>4.2379999999999996E-3</v>
      </c>
      <c r="W1133" s="98">
        <v>1.205749378415955</v>
      </c>
      <c r="X1133" s="98">
        <v>1.205749378415955</v>
      </c>
      <c r="Y1133" s="233">
        <v>8.14</v>
      </c>
      <c r="Z1133" s="48">
        <v>6.1</v>
      </c>
      <c r="AA1133" s="48"/>
      <c r="AB1133" s="48">
        <v>5.0999999999999996</v>
      </c>
      <c r="AC1133" s="48">
        <v>0.72609999999999997</v>
      </c>
      <c r="AD1133" s="48">
        <v>5.37</v>
      </c>
      <c r="AE1133" s="48">
        <v>5.98</v>
      </c>
      <c r="AF1133" s="48">
        <f t="shared" si="232"/>
        <v>5.37</v>
      </c>
      <c r="AG1133" s="48">
        <v>0.88</v>
      </c>
      <c r="AH1133" s="98">
        <v>2.0699999999999999E-17</v>
      </c>
      <c r="AI1133" s="98"/>
      <c r="AJ1133" s="483">
        <f>LOG10(AH1133*1000/(0.08206*298.15))</f>
        <v>-15.072595980855734</v>
      </c>
      <c r="AK1133" s="483"/>
      <c r="AL1133" s="483">
        <f>IF(AK1133=0,AJ1133,AK1133)</f>
        <v>-15.072595980855734</v>
      </c>
      <c r="AM1133" s="483">
        <v>-22.861709999999999</v>
      </c>
      <c r="AN1133" s="48">
        <v>-11.16</v>
      </c>
      <c r="AO1133" s="484">
        <v>14.17</v>
      </c>
      <c r="AP1133" s="484">
        <v>8.7200000000000006</v>
      </c>
      <c r="AQ1133" s="48" t="s">
        <v>5921</v>
      </c>
      <c r="AR1133" s="48" t="s">
        <v>5921</v>
      </c>
      <c r="AS1133" s="227"/>
      <c r="AT1133" s="50" t="s">
        <v>266</v>
      </c>
      <c r="AU1133" s="48">
        <v>6</v>
      </c>
      <c r="AV1133" s="48">
        <v>120</v>
      </c>
      <c r="AW1133" s="48">
        <v>114</v>
      </c>
      <c r="AX1133" s="48">
        <v>28</v>
      </c>
      <c r="AY1133" s="48" t="s">
        <v>8728</v>
      </c>
      <c r="AZ1133" s="48" t="s">
        <v>1563</v>
      </c>
      <c r="BA1133" s="48">
        <v>32</v>
      </c>
      <c r="BB1133" s="47" t="s">
        <v>2485</v>
      </c>
      <c r="BC1133" s="47" t="s">
        <v>8726</v>
      </c>
      <c r="BD1133" s="47" t="s">
        <v>8374</v>
      </c>
      <c r="BE1133" s="48" t="s">
        <v>2449</v>
      </c>
      <c r="BF1133" s="48" t="s">
        <v>272</v>
      </c>
      <c r="BG1133" s="48" t="s">
        <v>272</v>
      </c>
      <c r="BH1133" s="48" t="s">
        <v>2486</v>
      </c>
      <c r="BI1133" s="98">
        <v>3.2168959999999999E-3</v>
      </c>
      <c r="BJ1133" s="98">
        <v>32.168959999999998</v>
      </c>
      <c r="BK1133" s="48"/>
      <c r="BL1133" s="487"/>
      <c r="BM1133" s="47" t="s">
        <v>2487</v>
      </c>
      <c r="BN1133" s="48"/>
      <c r="BO1133" s="48"/>
      <c r="BP1133" s="48"/>
      <c r="BQ1133" s="48"/>
      <c r="BR1133" s="47" t="e">
        <v>#VALUE!</v>
      </c>
      <c r="BS1133" s="48"/>
      <c r="BT1133" s="48"/>
      <c r="BU1133" s="228"/>
      <c r="BV1133" s="48"/>
      <c r="BW1133" s="48"/>
      <c r="BX1133" s="48"/>
      <c r="BY1133" s="48"/>
      <c r="BZ1133" s="48"/>
      <c r="CA1133" s="48"/>
      <c r="CB1133" s="48"/>
      <c r="CC1133" s="48"/>
      <c r="CD1133" s="48"/>
      <c r="CE1133" s="48"/>
      <c r="CF1133" s="48"/>
      <c r="CG1133" s="48"/>
      <c r="CH1133" s="48"/>
      <c r="CI1133" s="98"/>
      <c r="CJ1133" s="98"/>
      <c r="CK1133" s="49">
        <f t="shared" si="238"/>
        <v>0</v>
      </c>
      <c r="CL1133" s="229"/>
      <c r="CM1133" s="229"/>
      <c r="CN1133" s="229"/>
      <c r="CO1133" s="47" t="s">
        <v>2488</v>
      </c>
      <c r="CP1133" s="500" t="s">
        <v>2489</v>
      </c>
      <c r="CQ1133" s="224" t="s">
        <v>272</v>
      </c>
      <c r="CR1133" s="224"/>
      <c r="CS1133" s="230" t="s">
        <v>539</v>
      </c>
      <c r="CT1133" s="230"/>
      <c r="CU1133" s="230"/>
      <c r="CV1133" s="335">
        <f t="shared" si="239"/>
        <v>3.7481764359679488E-2</v>
      </c>
      <c r="CW1133" s="230">
        <f t="shared" si="240"/>
        <v>0</v>
      </c>
      <c r="CX1133" s="336"/>
      <c r="CY1133" s="230" t="s">
        <v>5921</v>
      </c>
    </row>
    <row r="1134" spans="1:103" ht="11.25" customHeight="1" x14ac:dyDescent="0.2">
      <c r="A1134" s="72">
        <v>1592</v>
      </c>
      <c r="B1134" s="224">
        <v>1245</v>
      </c>
      <c r="C1134" s="46" t="s">
        <v>7592</v>
      </c>
      <c r="D1134" s="46"/>
      <c r="E1134" s="114"/>
      <c r="F1134" s="114" t="s">
        <v>3423</v>
      </c>
      <c r="G1134" s="225" t="s">
        <v>3423</v>
      </c>
      <c r="H1134" s="47" t="s">
        <v>3424</v>
      </c>
      <c r="I1134" s="47" t="s">
        <v>8195</v>
      </c>
      <c r="J1134" s="47" t="s">
        <v>3425</v>
      </c>
      <c r="K1134" s="47"/>
      <c r="L1134" s="47"/>
      <c r="M1134" s="47"/>
      <c r="N1134" s="47"/>
      <c r="O1134" s="47"/>
      <c r="P1134" s="53"/>
      <c r="Q1134" s="53" t="s">
        <v>6173</v>
      </c>
      <c r="R1134" s="53" t="s">
        <v>6185</v>
      </c>
      <c r="S1134" s="53" t="s">
        <v>6182</v>
      </c>
      <c r="T1134" s="48">
        <v>430.3</v>
      </c>
      <c r="U1134" s="98"/>
      <c r="V1134" s="98"/>
      <c r="W1134" s="98">
        <v>0.20126643129588104</v>
      </c>
      <c r="X1134" s="98">
        <v>0.20126643129588104</v>
      </c>
      <c r="Y1134" s="233">
        <v>6.84</v>
      </c>
      <c r="Z1134" s="48"/>
      <c r="AA1134" s="48"/>
      <c r="AB1134" s="48">
        <v>3</v>
      </c>
      <c r="AC1134" s="48">
        <v>0.68610000000000004</v>
      </c>
      <c r="AD1134" s="48">
        <v>3.33</v>
      </c>
      <c r="AE1134" s="48">
        <v>4.1399999999999997</v>
      </c>
      <c r="AF1134" s="48">
        <f t="shared" ref="AF1134:AF1152" si="241">IF(AA1134=0,AD1134,AA1134)</f>
        <v>3.33</v>
      </c>
      <c r="AG1134" s="49">
        <v>3.33</v>
      </c>
      <c r="AH1134" s="98"/>
      <c r="AI1134" s="98"/>
      <c r="AJ1134" s="483"/>
      <c r="AK1134" s="483"/>
      <c r="AL1134" s="483"/>
      <c r="AM1134" s="483">
        <v>-21.506830000000001</v>
      </c>
      <c r="AN1134" s="226"/>
      <c r="AO1134" s="484">
        <v>7.9</v>
      </c>
      <c r="AP1134" s="484">
        <v>0.16</v>
      </c>
      <c r="AQ1134" s="48" t="s">
        <v>5921</v>
      </c>
      <c r="AR1134" s="48" t="s">
        <v>5921</v>
      </c>
      <c r="AS1134" s="227"/>
      <c r="AT1134" s="50" t="s">
        <v>266</v>
      </c>
      <c r="AU1134" s="48">
        <v>6</v>
      </c>
      <c r="AV1134" s="48">
        <v>120</v>
      </c>
      <c r="AW1134" s="48">
        <v>114</v>
      </c>
      <c r="AX1134" s="48">
        <v>28</v>
      </c>
      <c r="AY1134" s="48" t="s">
        <v>8728</v>
      </c>
      <c r="AZ1134" s="48" t="s">
        <v>1563</v>
      </c>
      <c r="BA1134" s="48">
        <v>32</v>
      </c>
      <c r="BB1134" s="47" t="s">
        <v>2485</v>
      </c>
      <c r="BC1134" s="47" t="s">
        <v>8726</v>
      </c>
      <c r="BD1134" s="47" t="s">
        <v>8374</v>
      </c>
      <c r="BE1134" s="48" t="s">
        <v>2449</v>
      </c>
      <c r="BF1134" s="48" t="s">
        <v>272</v>
      </c>
      <c r="BG1134" s="48" t="s">
        <v>272</v>
      </c>
      <c r="BH1134" s="48" t="s">
        <v>2486</v>
      </c>
      <c r="BI1134" s="98">
        <v>2.75392E-3</v>
      </c>
      <c r="BJ1134" s="98">
        <v>27.539200000000001</v>
      </c>
      <c r="BK1134" s="48"/>
      <c r="BL1134" s="487"/>
      <c r="BM1134" s="47" t="s">
        <v>2487</v>
      </c>
      <c r="BN1134" s="48"/>
      <c r="BO1134" s="48"/>
      <c r="BP1134" s="48"/>
      <c r="BQ1134" s="48"/>
      <c r="BR1134" s="47" t="e">
        <v>#VALUE!</v>
      </c>
      <c r="BS1134" s="48"/>
      <c r="BT1134" s="48"/>
      <c r="BU1134" s="228">
        <v>27.539200000000001</v>
      </c>
      <c r="BV1134" s="48"/>
      <c r="BW1134" s="48"/>
      <c r="BX1134" s="48"/>
      <c r="BY1134" s="48"/>
      <c r="BZ1134" s="48"/>
      <c r="CA1134" s="48"/>
      <c r="CB1134" s="48"/>
      <c r="CC1134" s="48"/>
      <c r="CD1134" s="48"/>
      <c r="CE1134" s="48"/>
      <c r="CF1134" s="48"/>
      <c r="CG1134" s="48"/>
      <c r="CH1134" s="48"/>
      <c r="CI1134" s="98"/>
      <c r="CJ1134" s="98"/>
      <c r="CK1134" s="49">
        <f t="shared" si="238"/>
        <v>0</v>
      </c>
      <c r="CL1134" s="229"/>
      <c r="CM1134" s="229"/>
      <c r="CN1134" s="229"/>
      <c r="CO1134" s="47" t="s">
        <v>2488</v>
      </c>
      <c r="CP1134" s="500" t="s">
        <v>2489</v>
      </c>
      <c r="CQ1134" s="224" t="s">
        <v>272</v>
      </c>
      <c r="CR1134" s="224"/>
      <c r="CS1134" s="230" t="s">
        <v>539</v>
      </c>
      <c r="CT1134" s="230"/>
      <c r="CU1134" s="230"/>
      <c r="CV1134" s="335">
        <f t="shared" si="239"/>
        <v>7.3083615826124593E-3</v>
      </c>
      <c r="CW1134" s="230">
        <f t="shared" si="240"/>
        <v>0</v>
      </c>
      <c r="CX1134" s="336"/>
      <c r="CY1134" s="230" t="s">
        <v>5921</v>
      </c>
    </row>
    <row r="1135" spans="1:103" ht="11.25" customHeight="1" x14ac:dyDescent="0.2">
      <c r="A1135" s="72">
        <v>1593</v>
      </c>
      <c r="B1135" s="224">
        <v>1408</v>
      </c>
      <c r="C1135" s="46" t="s">
        <v>7593</v>
      </c>
      <c r="D1135" s="46"/>
      <c r="E1135" s="114"/>
      <c r="F1135" s="114" t="s">
        <v>4336</v>
      </c>
      <c r="G1135" s="225" t="s">
        <v>4336</v>
      </c>
      <c r="H1135" s="47" t="s">
        <v>4337</v>
      </c>
      <c r="I1135" s="47" t="s">
        <v>7750</v>
      </c>
      <c r="J1135" s="47" t="s">
        <v>4338</v>
      </c>
      <c r="K1135" s="47" t="s">
        <v>2876</v>
      </c>
      <c r="L1135" s="47"/>
      <c r="M1135" s="47"/>
      <c r="N1135" s="47"/>
      <c r="O1135" s="47"/>
      <c r="P1135" s="53"/>
      <c r="Q1135" s="53"/>
      <c r="R1135" s="53"/>
      <c r="S1135" s="53"/>
      <c r="T1135" s="48">
        <v>391.37</v>
      </c>
      <c r="U1135" s="98"/>
      <c r="V1135" s="98">
        <v>3.9359999999999999</v>
      </c>
      <c r="W1135" s="98">
        <v>32.552738709645183</v>
      </c>
      <c r="X1135" s="98">
        <v>32.552738709645183</v>
      </c>
      <c r="Y1135" s="233">
        <v>7</v>
      </c>
      <c r="Z1135" s="48">
        <v>3.14</v>
      </c>
      <c r="AA1135" s="48"/>
      <c r="AB1135" s="48">
        <v>2.94</v>
      </c>
      <c r="AC1135" s="48">
        <v>0.52790000000000004</v>
      </c>
      <c r="AD1135" s="48">
        <v>2.2200000000000002</v>
      </c>
      <c r="AE1135" s="48">
        <v>1.36</v>
      </c>
      <c r="AF1135" s="48">
        <f t="shared" si="241"/>
        <v>2.2200000000000002</v>
      </c>
      <c r="AG1135" s="49">
        <v>2.99</v>
      </c>
      <c r="AH1135" s="98">
        <v>2.0999999999999999E-17</v>
      </c>
      <c r="AI1135" s="98"/>
      <c r="AJ1135" s="483">
        <f>LOG10(AH1135*1000/(0.08206*298.15))</f>
        <v>-15.066347031578733</v>
      </c>
      <c r="AK1135" s="483"/>
      <c r="AL1135" s="483">
        <f>IF(AK1135=0,AJ1135,AK1135)</f>
        <v>-15.066347031578733</v>
      </c>
      <c r="AM1135" s="483">
        <v>-18.72861</v>
      </c>
      <c r="AN1135" s="226">
        <v>-14.4</v>
      </c>
      <c r="AO1135" s="484">
        <v>12.33</v>
      </c>
      <c r="AP1135" s="484">
        <v>-3.77</v>
      </c>
      <c r="AQ1135" s="48" t="s">
        <v>5921</v>
      </c>
      <c r="AR1135" s="48" t="s">
        <v>5921</v>
      </c>
      <c r="AS1135" s="227"/>
      <c r="AT1135" s="50" t="s">
        <v>266</v>
      </c>
      <c r="AU1135" s="48">
        <v>6</v>
      </c>
      <c r="AV1135" s="48">
        <v>120</v>
      </c>
      <c r="AW1135" s="48">
        <v>114</v>
      </c>
      <c r="AX1135" s="48">
        <v>28</v>
      </c>
      <c r="AY1135" s="48" t="s">
        <v>8728</v>
      </c>
      <c r="AZ1135" s="48" t="s">
        <v>1563</v>
      </c>
      <c r="BA1135" s="48">
        <v>32</v>
      </c>
      <c r="BB1135" s="47" t="s">
        <v>2485</v>
      </c>
      <c r="BC1135" s="47" t="s">
        <v>8726</v>
      </c>
      <c r="BD1135" s="47" t="s">
        <v>8374</v>
      </c>
      <c r="BE1135" s="48" t="s">
        <v>2449</v>
      </c>
      <c r="BF1135" s="48" t="s">
        <v>272</v>
      </c>
      <c r="BG1135" s="48" t="s">
        <v>272</v>
      </c>
      <c r="BH1135" s="48" t="s">
        <v>2486</v>
      </c>
      <c r="BI1135" s="98">
        <v>2.5047680000000001E-3</v>
      </c>
      <c r="BJ1135" s="98">
        <v>25.04768</v>
      </c>
      <c r="BK1135" s="48"/>
      <c r="BL1135" s="487">
        <v>30.433614298782025</v>
      </c>
      <c r="BM1135" s="47" t="s">
        <v>2487</v>
      </c>
      <c r="BN1135" s="48"/>
      <c r="BO1135" s="48"/>
      <c r="BP1135" s="48"/>
      <c r="BQ1135" s="48"/>
      <c r="BR1135" s="47" t="e">
        <v>#VALUE!</v>
      </c>
      <c r="BS1135" s="48"/>
      <c r="BT1135" s="48"/>
      <c r="BU1135" s="228"/>
      <c r="BV1135" s="48"/>
      <c r="BW1135" s="48"/>
      <c r="BX1135" s="48"/>
      <c r="BY1135" s="48"/>
      <c r="BZ1135" s="48"/>
      <c r="CA1135" s="48"/>
      <c r="CB1135" s="48"/>
      <c r="CC1135" s="48"/>
      <c r="CD1135" s="48"/>
      <c r="CE1135" s="48"/>
      <c r="CF1135" s="48"/>
      <c r="CG1135" s="48"/>
      <c r="CH1135" s="48"/>
      <c r="CI1135" s="98"/>
      <c r="CJ1135" s="98"/>
      <c r="CK1135" s="49">
        <f t="shared" si="238"/>
        <v>1.2150272719382404</v>
      </c>
      <c r="CL1135" s="229"/>
      <c r="CM1135" s="229"/>
      <c r="CN1135" s="229"/>
      <c r="CO1135" s="47" t="s">
        <v>2488</v>
      </c>
      <c r="CP1135" s="500" t="s">
        <v>2489</v>
      </c>
      <c r="CQ1135" s="224" t="s">
        <v>272</v>
      </c>
      <c r="CR1135" s="224"/>
      <c r="CS1135" s="230" t="s">
        <v>539</v>
      </c>
      <c r="CT1135" s="230"/>
      <c r="CU1135" s="230"/>
      <c r="CV1135" s="335">
        <f t="shared" si="239"/>
        <v>1.2996308923479214</v>
      </c>
      <c r="CW1135" s="230">
        <f t="shared" si="240"/>
        <v>1</v>
      </c>
      <c r="CX1135" s="336"/>
      <c r="CY1135" s="230" t="s">
        <v>5921</v>
      </c>
    </row>
    <row r="1136" spans="1:103" ht="11.25" customHeight="1" x14ac:dyDescent="0.2">
      <c r="A1136" s="72">
        <v>1594</v>
      </c>
      <c r="B1136" s="224">
        <v>882</v>
      </c>
      <c r="C1136" s="46" t="s">
        <v>7594</v>
      </c>
      <c r="D1136" s="46"/>
      <c r="E1136" s="114"/>
      <c r="F1136" s="114" t="s">
        <v>2508</v>
      </c>
      <c r="G1136" s="225" t="s">
        <v>2508</v>
      </c>
      <c r="H1136" s="47" t="s">
        <v>2509</v>
      </c>
      <c r="I1136" s="47" t="s">
        <v>7786</v>
      </c>
      <c r="J1136" s="47" t="s">
        <v>2510</v>
      </c>
      <c r="K1136" s="47" t="s">
        <v>426</v>
      </c>
      <c r="L1136" s="47"/>
      <c r="M1136" s="47"/>
      <c r="N1136" s="47"/>
      <c r="O1136" s="47"/>
      <c r="P1136" s="53"/>
      <c r="Q1136" s="53"/>
      <c r="R1136" s="53"/>
      <c r="S1136" s="53"/>
      <c r="T1136" s="48">
        <v>382.5</v>
      </c>
      <c r="U1136" s="98"/>
      <c r="V1136" s="98">
        <v>0.25240000000000001</v>
      </c>
      <c r="W1136" s="98">
        <v>27.078926252693243</v>
      </c>
      <c r="X1136" s="98">
        <v>27.078926252693243</v>
      </c>
      <c r="Y1136" s="233">
        <v>5.89</v>
      </c>
      <c r="Z1136" s="48">
        <v>5.37</v>
      </c>
      <c r="AA1136" s="48"/>
      <c r="AB1136" s="48">
        <v>4.2300000000000004</v>
      </c>
      <c r="AC1136" s="48">
        <v>0.68230000000000002</v>
      </c>
      <c r="AD1136" s="48">
        <v>3.97</v>
      </c>
      <c r="AE1136" s="48">
        <v>3.51</v>
      </c>
      <c r="AF1136" s="48">
        <f t="shared" si="241"/>
        <v>3.97</v>
      </c>
      <c r="AG1136" s="49">
        <v>0.77</v>
      </c>
      <c r="AH1136" s="98">
        <v>1.02E-17</v>
      </c>
      <c r="AI1136" s="98"/>
      <c r="AJ1136" s="483">
        <f>LOG10(AH1136*1000/(0.08206*298.15))</f>
        <v>-15.379966154550734</v>
      </c>
      <c r="AK1136" s="483"/>
      <c r="AL1136" s="483">
        <f>IF(AK1136=0,AJ1136,AK1136)</f>
        <v>-15.379966154550734</v>
      </c>
      <c r="AM1136" s="483">
        <v>-18.66479</v>
      </c>
      <c r="AN1136" s="226">
        <v>-22.1</v>
      </c>
      <c r="AO1136" s="484">
        <v>4.3499999999999996</v>
      </c>
      <c r="AP1136" s="484">
        <v>7.22</v>
      </c>
      <c r="AQ1136" s="48" t="s">
        <v>5921</v>
      </c>
      <c r="AR1136" s="48" t="s">
        <v>5921</v>
      </c>
      <c r="AS1136" s="227"/>
      <c r="AT1136" s="50" t="s">
        <v>266</v>
      </c>
      <c r="AU1136" s="48">
        <v>6</v>
      </c>
      <c r="AV1136" s="48">
        <v>120</v>
      </c>
      <c r="AW1136" s="48">
        <v>114</v>
      </c>
      <c r="AX1136" s="48">
        <v>28</v>
      </c>
      <c r="AY1136" s="48" t="s">
        <v>8728</v>
      </c>
      <c r="AZ1136" s="48" t="s">
        <v>1563</v>
      </c>
      <c r="BA1136" s="48">
        <v>32</v>
      </c>
      <c r="BB1136" s="47" t="s">
        <v>2485</v>
      </c>
      <c r="BC1136" s="47" t="s">
        <v>8726</v>
      </c>
      <c r="BD1136" s="47" t="s">
        <v>8374</v>
      </c>
      <c r="BE1136" s="48" t="s">
        <v>2449</v>
      </c>
      <c r="BF1136" s="48" t="s">
        <v>272</v>
      </c>
      <c r="BG1136" s="48" t="s">
        <v>272</v>
      </c>
      <c r="BH1136" s="48" t="s">
        <v>2486</v>
      </c>
      <c r="BI1136" s="98">
        <v>2.4480000000000001E-3</v>
      </c>
      <c r="BJ1136" s="98">
        <v>24.48</v>
      </c>
      <c r="BK1136" s="48"/>
      <c r="BL1136" s="487">
        <v>0.29555236539546642</v>
      </c>
      <c r="BM1136" s="47" t="s">
        <v>2487</v>
      </c>
      <c r="BN1136" s="48"/>
      <c r="BO1136" s="48"/>
      <c r="BP1136" s="48"/>
      <c r="BQ1136" s="48"/>
      <c r="BR1136" s="47" t="e">
        <v>#VALUE!</v>
      </c>
      <c r="BS1136" s="48"/>
      <c r="BT1136" s="48"/>
      <c r="BU1136" s="228">
        <v>24.48</v>
      </c>
      <c r="BV1136" s="48"/>
      <c r="BW1136" s="48"/>
      <c r="BX1136" s="48"/>
      <c r="BY1136" s="48"/>
      <c r="BZ1136" s="48"/>
      <c r="CA1136" s="48"/>
      <c r="CB1136" s="48"/>
      <c r="CC1136" s="48"/>
      <c r="CD1136" s="48"/>
      <c r="CE1136" s="48"/>
      <c r="CF1136" s="48"/>
      <c r="CG1136" s="48"/>
      <c r="CH1136" s="48"/>
      <c r="CI1136" s="98"/>
      <c r="CJ1136" s="98"/>
      <c r="CK1136" s="49">
        <f t="shared" si="238"/>
        <v>1.2073217540664477E-2</v>
      </c>
      <c r="CL1136" s="229"/>
      <c r="CM1136" s="229"/>
      <c r="CN1136" s="229"/>
      <c r="CO1136" s="47" t="s">
        <v>2488</v>
      </c>
      <c r="CP1136" s="500" t="s">
        <v>2489</v>
      </c>
      <c r="CQ1136" s="224" t="s">
        <v>272</v>
      </c>
      <c r="CR1136" s="224"/>
      <c r="CS1136" s="230" t="s">
        <v>539</v>
      </c>
      <c r="CT1136" s="230"/>
      <c r="CU1136" s="230"/>
      <c r="CV1136" s="335">
        <f t="shared" si="239"/>
        <v>1.1061652881002142</v>
      </c>
      <c r="CW1136" s="230">
        <f t="shared" si="240"/>
        <v>1</v>
      </c>
      <c r="CX1136" s="336"/>
      <c r="CY1136" s="230" t="s">
        <v>5921</v>
      </c>
    </row>
    <row r="1137" spans="1:103" ht="11.25" customHeight="1" x14ac:dyDescent="0.2">
      <c r="A1137" s="72">
        <v>1595</v>
      </c>
      <c r="B1137" s="224">
        <v>1203</v>
      </c>
      <c r="C1137" s="46" t="s">
        <v>7595</v>
      </c>
      <c r="D1137" s="46"/>
      <c r="E1137" s="114"/>
      <c r="F1137" s="114" t="s">
        <v>3319</v>
      </c>
      <c r="G1137" s="225" t="s">
        <v>3319</v>
      </c>
      <c r="H1137" s="47" t="s">
        <v>3320</v>
      </c>
      <c r="I1137" s="47" t="s">
        <v>7802</v>
      </c>
      <c r="J1137" s="47" t="s">
        <v>3321</v>
      </c>
      <c r="K1137" s="47" t="s">
        <v>3322</v>
      </c>
      <c r="L1137" s="47"/>
      <c r="M1137" s="47"/>
      <c r="N1137" s="47"/>
      <c r="O1137" s="47"/>
      <c r="P1137" s="53"/>
      <c r="Q1137" s="53"/>
      <c r="R1137" s="53"/>
      <c r="S1137" s="53"/>
      <c r="T1137" s="48">
        <v>373.4</v>
      </c>
      <c r="U1137" s="98"/>
      <c r="V1137" s="98">
        <v>1.2130000000000001</v>
      </c>
      <c r="W1137" s="98">
        <v>695.30333682991431</v>
      </c>
      <c r="X1137" s="98">
        <v>695.30333682991431</v>
      </c>
      <c r="Y1137" s="233">
        <v>10.95</v>
      </c>
      <c r="Z1137" s="48">
        <v>4.18</v>
      </c>
      <c r="AA1137" s="48"/>
      <c r="AB1137" s="48">
        <v>3.3</v>
      </c>
      <c r="AC1137" s="48">
        <v>0.54069999999999996</v>
      </c>
      <c r="AD1137" s="48">
        <v>2.59</v>
      </c>
      <c r="AE1137" s="48">
        <v>1.55</v>
      </c>
      <c r="AF1137" s="48">
        <f t="shared" si="241"/>
        <v>2.59</v>
      </c>
      <c r="AG1137" s="49">
        <v>3.69</v>
      </c>
      <c r="AH1137" s="98"/>
      <c r="AI1137" s="98"/>
      <c r="AJ1137" s="483"/>
      <c r="AK1137" s="483"/>
      <c r="AL1137" s="483"/>
      <c r="AM1137" s="483">
        <v>-15.296099999999999</v>
      </c>
      <c r="AN1137" s="226">
        <v>-4.82</v>
      </c>
      <c r="AO1137" s="484"/>
      <c r="AP1137" s="484">
        <v>12.01</v>
      </c>
      <c r="AQ1137" s="48" t="s">
        <v>5921</v>
      </c>
      <c r="AR1137" s="48" t="s">
        <v>5921</v>
      </c>
      <c r="AS1137" s="227"/>
      <c r="AT1137" s="50" t="s">
        <v>266</v>
      </c>
      <c r="AU1137" s="48">
        <v>6</v>
      </c>
      <c r="AV1137" s="48">
        <v>120</v>
      </c>
      <c r="AW1137" s="48">
        <v>114</v>
      </c>
      <c r="AX1137" s="48">
        <v>28</v>
      </c>
      <c r="AY1137" s="48" t="s">
        <v>8728</v>
      </c>
      <c r="AZ1137" s="48" t="s">
        <v>1563</v>
      </c>
      <c r="BA1137" s="48">
        <v>32</v>
      </c>
      <c r="BB1137" s="47" t="s">
        <v>2485</v>
      </c>
      <c r="BC1137" s="47" t="s">
        <v>8726</v>
      </c>
      <c r="BD1137" s="47" t="s">
        <v>8374</v>
      </c>
      <c r="BE1137" s="48" t="s">
        <v>2449</v>
      </c>
      <c r="BF1137" s="48" t="s">
        <v>272</v>
      </c>
      <c r="BG1137" s="48" t="s">
        <v>272</v>
      </c>
      <c r="BH1137" s="48" t="s">
        <v>2486</v>
      </c>
      <c r="BI1137" s="98">
        <v>2.3897599999999999E-3</v>
      </c>
      <c r="BJ1137" s="98">
        <v>23.897600000000001</v>
      </c>
      <c r="BK1137" s="48"/>
      <c r="BL1137" s="487">
        <v>3.3799969906922493</v>
      </c>
      <c r="BM1137" s="47" t="s">
        <v>2487</v>
      </c>
      <c r="BN1137" s="48"/>
      <c r="BO1137" s="48"/>
      <c r="BP1137" s="48"/>
      <c r="BQ1137" s="48"/>
      <c r="BR1137" s="47" t="e">
        <v>#VALUE!</v>
      </c>
      <c r="BS1137" s="48"/>
      <c r="BT1137" s="48"/>
      <c r="BU1137" s="228">
        <v>23.897600000000001</v>
      </c>
      <c r="BV1137" s="48"/>
      <c r="BW1137" s="48"/>
      <c r="BX1137" s="48"/>
      <c r="BY1137" s="48"/>
      <c r="BZ1137" s="48"/>
      <c r="CA1137" s="48"/>
      <c r="CB1137" s="48"/>
      <c r="CC1137" s="48"/>
      <c r="CD1137" s="48"/>
      <c r="CE1137" s="48"/>
      <c r="CF1137" s="48"/>
      <c r="CG1137" s="48"/>
      <c r="CH1137" s="48"/>
      <c r="CI1137" s="98"/>
      <c r="CJ1137" s="98"/>
      <c r="CK1137" s="49">
        <f t="shared" si="238"/>
        <v>0.14143667107543223</v>
      </c>
      <c r="CL1137" s="229"/>
      <c r="CM1137" s="229"/>
      <c r="CN1137" s="229"/>
      <c r="CO1137" s="47" t="s">
        <v>2488</v>
      </c>
      <c r="CP1137" s="500" t="s">
        <v>2489</v>
      </c>
      <c r="CQ1137" s="224" t="s">
        <v>272</v>
      </c>
      <c r="CR1137" s="224"/>
      <c r="CS1137" s="230" t="s">
        <v>539</v>
      </c>
      <c r="CT1137" s="230"/>
      <c r="CU1137" s="230"/>
      <c r="CV1137" s="335">
        <f t="shared" si="239"/>
        <v>29.095111510357288</v>
      </c>
      <c r="CW1137" s="230">
        <f t="shared" si="240"/>
        <v>1</v>
      </c>
      <c r="CX1137" s="336"/>
      <c r="CY1137" s="230" t="s">
        <v>5921</v>
      </c>
    </row>
    <row r="1138" spans="1:103" ht="11.25" customHeight="1" x14ac:dyDescent="0.2">
      <c r="A1138" s="72">
        <v>1596</v>
      </c>
      <c r="B1138" s="224">
        <v>1478</v>
      </c>
      <c r="C1138" s="46" t="s">
        <v>7596</v>
      </c>
      <c r="D1138" s="46"/>
      <c r="E1138" s="114"/>
      <c r="F1138" s="114" t="s">
        <v>4540</v>
      </c>
      <c r="G1138" s="225" t="s">
        <v>4540</v>
      </c>
      <c r="H1138" s="47" t="s">
        <v>4541</v>
      </c>
      <c r="I1138" s="47" t="s">
        <v>7792</v>
      </c>
      <c r="J1138" s="47" t="s">
        <v>4542</v>
      </c>
      <c r="K1138" s="47" t="s">
        <v>306</v>
      </c>
      <c r="L1138" s="47"/>
      <c r="M1138" s="47"/>
      <c r="N1138" s="47"/>
      <c r="O1138" s="47"/>
      <c r="P1138" s="53"/>
      <c r="Q1138" s="53"/>
      <c r="R1138" s="53"/>
      <c r="S1138" s="53"/>
      <c r="T1138" s="48">
        <v>301.79000000000002</v>
      </c>
      <c r="U1138" s="98"/>
      <c r="V1138" s="98">
        <v>0.32540000000000002</v>
      </c>
      <c r="W1138" s="98">
        <v>10.957332614906869</v>
      </c>
      <c r="X1138" s="98">
        <v>10.957332614906869</v>
      </c>
      <c r="Y1138" s="233">
        <v>7</v>
      </c>
      <c r="Z1138" s="48">
        <v>5.35</v>
      </c>
      <c r="AA1138" s="48"/>
      <c r="AB1138" s="48">
        <v>3.79</v>
      </c>
      <c r="AC1138" s="48">
        <v>0.4133</v>
      </c>
      <c r="AD1138" s="48">
        <v>3.43</v>
      </c>
      <c r="AE1138" s="48">
        <v>3.14</v>
      </c>
      <c r="AF1138" s="48">
        <f t="shared" si="241"/>
        <v>3.43</v>
      </c>
      <c r="AG1138" s="49">
        <v>2.74</v>
      </c>
      <c r="AH1138" s="98">
        <v>3.9099999999999999E-11</v>
      </c>
      <c r="AI1138" s="98"/>
      <c r="AJ1138" s="483">
        <f t="shared" ref="AJ1138:AJ1147" si="242">LOG10(AH1138*1000/(0.08206*298.15))</f>
        <v>-8.7963895689167853</v>
      </c>
      <c r="AK1138" s="483"/>
      <c r="AL1138" s="483">
        <f t="shared" ref="AL1138:AL1147" si="243">IF(AK1138=0,AJ1138,AK1138)</f>
        <v>-8.7963895689167853</v>
      </c>
      <c r="AM1138" s="483">
        <v>-12.697209999999998</v>
      </c>
      <c r="AN1138" s="226">
        <v>-7.96</v>
      </c>
      <c r="AO1138" s="484">
        <v>11.36</v>
      </c>
      <c r="AP1138" s="484">
        <v>2.2200000000000002</v>
      </c>
      <c r="AQ1138" s="48" t="s">
        <v>5921</v>
      </c>
      <c r="AR1138" s="48" t="s">
        <v>5921</v>
      </c>
      <c r="AS1138" s="227"/>
      <c r="AT1138" s="50" t="s">
        <v>266</v>
      </c>
      <c r="AU1138" s="48">
        <v>6</v>
      </c>
      <c r="AV1138" s="48">
        <v>120</v>
      </c>
      <c r="AW1138" s="48">
        <v>114</v>
      </c>
      <c r="AX1138" s="48">
        <v>28</v>
      </c>
      <c r="AY1138" s="48" t="s">
        <v>8728</v>
      </c>
      <c r="AZ1138" s="48" t="s">
        <v>1563</v>
      </c>
      <c r="BA1138" s="48">
        <v>32</v>
      </c>
      <c r="BB1138" s="47" t="s">
        <v>2485</v>
      </c>
      <c r="BC1138" s="47" t="s">
        <v>8726</v>
      </c>
      <c r="BD1138" s="47" t="s">
        <v>8374</v>
      </c>
      <c r="BE1138" s="48" t="s">
        <v>2449</v>
      </c>
      <c r="BF1138" s="48" t="s">
        <v>272</v>
      </c>
      <c r="BG1138" s="48" t="s">
        <v>272</v>
      </c>
      <c r="BH1138" s="48" t="s">
        <v>2486</v>
      </c>
      <c r="BI1138" s="98">
        <v>1.931456E-3</v>
      </c>
      <c r="BJ1138" s="98">
        <v>19.31456</v>
      </c>
      <c r="BK1138" s="48"/>
      <c r="BL1138" s="487">
        <v>0.24303557262717729</v>
      </c>
      <c r="BM1138" s="47" t="s">
        <v>2487</v>
      </c>
      <c r="BN1138" s="48"/>
      <c r="BO1138" s="48"/>
      <c r="BP1138" s="48"/>
      <c r="BQ1138" s="48"/>
      <c r="BR1138" s="47"/>
      <c r="BS1138" s="48"/>
      <c r="BT1138" s="48"/>
      <c r="BU1138" s="228"/>
      <c r="BV1138" s="48"/>
      <c r="BW1138" s="48"/>
      <c r="BX1138" s="48"/>
      <c r="BY1138" s="48"/>
      <c r="BZ1138" s="48"/>
      <c r="CA1138" s="48"/>
      <c r="CB1138" s="48"/>
      <c r="CC1138" s="48"/>
      <c r="CD1138" s="48"/>
      <c r="CE1138" s="48"/>
      <c r="CF1138" s="48"/>
      <c r="CG1138" s="48"/>
      <c r="CH1138" s="48"/>
      <c r="CI1138" s="52"/>
      <c r="CJ1138" s="98"/>
      <c r="CK1138" s="49">
        <f t="shared" si="238"/>
        <v>1.2583024030947496E-2</v>
      </c>
      <c r="CL1138" s="229"/>
      <c r="CM1138" s="229"/>
      <c r="CN1138" s="229"/>
      <c r="CO1138" s="47" t="s">
        <v>2488</v>
      </c>
      <c r="CP1138" s="500" t="s">
        <v>2489</v>
      </c>
      <c r="CQ1138" s="224" t="s">
        <v>272</v>
      </c>
      <c r="CR1138" s="224"/>
      <c r="CS1138" s="230" t="s">
        <v>539</v>
      </c>
      <c r="CT1138" s="230"/>
      <c r="CU1138" s="230"/>
      <c r="CV1138" s="335">
        <f t="shared" si="239"/>
        <v>0.56730946057828235</v>
      </c>
      <c r="CW1138" s="230">
        <f t="shared" si="240"/>
        <v>0</v>
      </c>
      <c r="CX1138" s="336"/>
      <c r="CY1138" s="230" t="s">
        <v>5921</v>
      </c>
    </row>
    <row r="1139" spans="1:103" ht="11.25" customHeight="1" x14ac:dyDescent="0.2">
      <c r="A1139" s="72">
        <v>1597</v>
      </c>
      <c r="B1139" s="224">
        <v>68</v>
      </c>
      <c r="C1139" s="46" t="s">
        <v>7597</v>
      </c>
      <c r="D1139" s="46"/>
      <c r="E1139" s="114"/>
      <c r="F1139" s="114" t="s">
        <v>3637</v>
      </c>
      <c r="G1139" s="225" t="s">
        <v>3637</v>
      </c>
      <c r="H1139" s="236" t="s">
        <v>3638</v>
      </c>
      <c r="I1139" s="236" t="s">
        <v>8196</v>
      </c>
      <c r="J1139" s="236" t="s">
        <v>3639</v>
      </c>
      <c r="K1139" s="236" t="s">
        <v>455</v>
      </c>
      <c r="L1139" s="47"/>
      <c r="M1139" s="47"/>
      <c r="N1139" s="47"/>
      <c r="O1139" s="52"/>
      <c r="P1139" s="53"/>
      <c r="Q1139" s="53"/>
      <c r="R1139" s="53"/>
      <c r="S1139" s="53"/>
      <c r="T1139" s="226">
        <v>485.52</v>
      </c>
      <c r="U1139" s="98"/>
      <c r="V1139" s="98">
        <v>468.2</v>
      </c>
      <c r="W1139" s="98">
        <v>35.992094835642092</v>
      </c>
      <c r="X1139" s="98">
        <v>35.992094835642092</v>
      </c>
      <c r="Y1139" s="233">
        <v>8.4499999999999993</v>
      </c>
      <c r="Z1139" s="48">
        <v>0.81</v>
      </c>
      <c r="AA1139" s="48"/>
      <c r="AB1139" s="48">
        <v>0.95</v>
      </c>
      <c r="AC1139" s="48">
        <v>0.4158</v>
      </c>
      <c r="AD1139" s="48">
        <v>0.75</v>
      </c>
      <c r="AE1139" s="48">
        <v>0.59</v>
      </c>
      <c r="AF1139" s="48">
        <f t="shared" si="241"/>
        <v>0.75</v>
      </c>
      <c r="AG1139" s="48">
        <v>0.75</v>
      </c>
      <c r="AH1139" s="98">
        <v>5.5599999999999996E-16</v>
      </c>
      <c r="AI1139" s="98"/>
      <c r="AJ1139" s="483">
        <f t="shared" si="242"/>
        <v>-13.643491534730595</v>
      </c>
      <c r="AK1139" s="483"/>
      <c r="AL1139" s="483">
        <f t="shared" si="243"/>
        <v>-13.643491534730595</v>
      </c>
      <c r="AM1139" s="483">
        <v>-20.549509999999998</v>
      </c>
      <c r="AN1139" s="48"/>
      <c r="AO1139" s="484"/>
      <c r="AP1139" s="484">
        <v>7.24</v>
      </c>
      <c r="AQ1139" s="48" t="s">
        <v>5921</v>
      </c>
      <c r="AR1139" s="48" t="s">
        <v>5921</v>
      </c>
      <c r="AS1139" s="227"/>
      <c r="AT1139" s="50" t="s">
        <v>266</v>
      </c>
      <c r="AU1139" s="48">
        <v>6</v>
      </c>
      <c r="AV1139" s="48">
        <v>120</v>
      </c>
      <c r="AW1139" s="48">
        <v>114</v>
      </c>
      <c r="AX1139" s="48">
        <v>28</v>
      </c>
      <c r="AY1139" s="48" t="s">
        <v>8728</v>
      </c>
      <c r="AZ1139" s="48" t="s">
        <v>1563</v>
      </c>
      <c r="BA1139" s="48">
        <v>32</v>
      </c>
      <c r="BB1139" s="47" t="s">
        <v>2485</v>
      </c>
      <c r="BC1139" s="47" t="s">
        <v>8726</v>
      </c>
      <c r="BD1139" s="47" t="s">
        <v>8374</v>
      </c>
      <c r="BE1139" s="48" t="s">
        <v>2449</v>
      </c>
      <c r="BF1139" s="48" t="s">
        <v>272</v>
      </c>
      <c r="BG1139" s="48" t="s">
        <v>272</v>
      </c>
      <c r="BH1139" s="48" t="s">
        <v>2486</v>
      </c>
      <c r="BI1139" s="98">
        <v>3.1073279999999999E-3</v>
      </c>
      <c r="BJ1139" s="98">
        <v>31.07328</v>
      </c>
      <c r="BK1139" s="48"/>
      <c r="BL1139" s="487">
        <v>4672.4657271398673</v>
      </c>
      <c r="BM1139" s="47" t="s">
        <v>2487</v>
      </c>
      <c r="BN1139" s="48"/>
      <c r="BO1139" s="48"/>
      <c r="BP1139" s="48"/>
      <c r="BQ1139" s="48"/>
      <c r="BR1139" s="47" t="e">
        <v>#VALUE!</v>
      </c>
      <c r="BS1139" s="48"/>
      <c r="BT1139" s="48"/>
      <c r="BU1139" s="228"/>
      <c r="BV1139" s="48"/>
      <c r="BW1139" s="48"/>
      <c r="BX1139" s="48"/>
      <c r="BY1139" s="48"/>
      <c r="BZ1139" s="48"/>
      <c r="CA1139" s="48"/>
      <c r="CB1139" s="48"/>
      <c r="CC1139" s="48"/>
      <c r="CD1139" s="48"/>
      <c r="CE1139" s="48"/>
      <c r="CF1139" s="48"/>
      <c r="CG1139" s="48"/>
      <c r="CH1139" s="48"/>
      <c r="CI1139" s="98"/>
      <c r="CJ1139" s="98"/>
      <c r="CK1139" s="49">
        <f t="shared" si="238"/>
        <v>150.3692473771635</v>
      </c>
      <c r="CL1139" s="229"/>
      <c r="CM1139" s="229"/>
      <c r="CN1139" s="229"/>
      <c r="CO1139" s="47" t="s">
        <v>2488</v>
      </c>
      <c r="CP1139" s="500" t="s">
        <v>2489</v>
      </c>
      <c r="CQ1139" s="224" t="s">
        <v>272</v>
      </c>
      <c r="CR1139" s="224"/>
      <c r="CS1139" s="230" t="s">
        <v>539</v>
      </c>
      <c r="CT1139" s="230"/>
      <c r="CU1139" s="230"/>
      <c r="CV1139" s="335">
        <f t="shared" si="239"/>
        <v>1.1582972520326817</v>
      </c>
      <c r="CW1139" s="230">
        <f t="shared" si="240"/>
        <v>1</v>
      </c>
      <c r="CX1139" s="336"/>
      <c r="CY1139" s="230" t="s">
        <v>5921</v>
      </c>
    </row>
    <row r="1140" spans="1:103" ht="11.25" customHeight="1" x14ac:dyDescent="0.2">
      <c r="A1140" s="72">
        <v>1598</v>
      </c>
      <c r="B1140" s="224">
        <v>1009</v>
      </c>
      <c r="C1140" s="46" t="s">
        <v>7598</v>
      </c>
      <c r="D1140" s="46"/>
      <c r="E1140" s="114"/>
      <c r="F1140" s="114" t="s">
        <v>2885</v>
      </c>
      <c r="G1140" s="225" t="s">
        <v>2885</v>
      </c>
      <c r="H1140" s="47" t="s">
        <v>2886</v>
      </c>
      <c r="I1140" s="47" t="s">
        <v>8197</v>
      </c>
      <c r="J1140" s="47" t="s">
        <v>2887</v>
      </c>
      <c r="K1140" s="47"/>
      <c r="L1140" s="47"/>
      <c r="M1140" s="47"/>
      <c r="N1140" s="47"/>
      <c r="O1140" s="47"/>
      <c r="P1140" s="53"/>
      <c r="Q1140" s="53"/>
      <c r="R1140" s="53"/>
      <c r="S1140" s="53"/>
      <c r="T1140" s="48">
        <v>407.44</v>
      </c>
      <c r="U1140" s="98"/>
      <c r="V1140" s="98">
        <v>6.0259999999999998</v>
      </c>
      <c r="W1140" s="98">
        <v>69.193239375901229</v>
      </c>
      <c r="X1140" s="98">
        <v>69.193239375901229</v>
      </c>
      <c r="Y1140" s="233">
        <v>5.65</v>
      </c>
      <c r="Z1140" s="48">
        <v>4.29</v>
      </c>
      <c r="AA1140" s="48"/>
      <c r="AB1140" s="48">
        <v>2.84</v>
      </c>
      <c r="AC1140" s="48">
        <v>0.53849999999999998</v>
      </c>
      <c r="AD1140" s="48">
        <v>2.88</v>
      </c>
      <c r="AE1140" s="48">
        <v>2.93</v>
      </c>
      <c r="AF1140" s="48">
        <f t="shared" si="241"/>
        <v>2.88</v>
      </c>
      <c r="AG1140" s="49">
        <v>0.62</v>
      </c>
      <c r="AH1140" s="98">
        <v>8.2000000000000002E-20</v>
      </c>
      <c r="AI1140" s="98"/>
      <c r="AJ1140" s="483">
        <f t="shared" si="242"/>
        <v>-17.474752473928934</v>
      </c>
      <c r="AK1140" s="483"/>
      <c r="AL1140" s="483">
        <f t="shared" si="243"/>
        <v>-17.474752473928934</v>
      </c>
      <c r="AM1140" s="483">
        <v>-22.730329999999999</v>
      </c>
      <c r="AN1140" s="226">
        <v>-1.0900000000000001</v>
      </c>
      <c r="AO1140" s="484">
        <v>-2.17</v>
      </c>
      <c r="AP1140" s="484">
        <v>7.15</v>
      </c>
      <c r="AQ1140" s="48" t="s">
        <v>5921</v>
      </c>
      <c r="AR1140" s="48" t="s">
        <v>5921</v>
      </c>
      <c r="AS1140" s="227"/>
      <c r="AT1140" s="50" t="s">
        <v>266</v>
      </c>
      <c r="AU1140" s="48">
        <v>6</v>
      </c>
      <c r="AV1140" s="48">
        <v>120</v>
      </c>
      <c r="AW1140" s="48">
        <v>114</v>
      </c>
      <c r="AX1140" s="48">
        <v>28</v>
      </c>
      <c r="AY1140" s="48" t="s">
        <v>8728</v>
      </c>
      <c r="AZ1140" s="48" t="s">
        <v>1563</v>
      </c>
      <c r="BA1140" s="48">
        <v>32</v>
      </c>
      <c r="BB1140" s="47" t="s">
        <v>2485</v>
      </c>
      <c r="BC1140" s="47" t="s">
        <v>8726</v>
      </c>
      <c r="BD1140" s="47" t="s">
        <v>8374</v>
      </c>
      <c r="BE1140" s="48" t="s">
        <v>2449</v>
      </c>
      <c r="BF1140" s="48" t="s">
        <v>272</v>
      </c>
      <c r="BG1140" s="48" t="s">
        <v>272</v>
      </c>
      <c r="BH1140" s="48" t="s">
        <v>2486</v>
      </c>
      <c r="BI1140" s="98">
        <v>2.6076159999999997E-3</v>
      </c>
      <c r="BJ1140" s="98">
        <v>26.076160000000002</v>
      </c>
      <c r="BK1140" s="48"/>
      <c r="BL1140" s="487"/>
      <c r="BM1140" s="47" t="s">
        <v>2487</v>
      </c>
      <c r="BN1140" s="48"/>
      <c r="BO1140" s="48"/>
      <c r="BP1140" s="48"/>
      <c r="BQ1140" s="48"/>
      <c r="BR1140" s="47" t="e">
        <v>#VALUE!</v>
      </c>
      <c r="BS1140" s="48"/>
      <c r="BT1140" s="48"/>
      <c r="BU1140" s="228">
        <v>26.076160000000002</v>
      </c>
      <c r="BV1140" s="48"/>
      <c r="BW1140" s="48"/>
      <c r="BX1140" s="48"/>
      <c r="BY1140" s="48"/>
      <c r="BZ1140" s="48"/>
      <c r="CA1140" s="48"/>
      <c r="CB1140" s="48"/>
      <c r="CC1140" s="48"/>
      <c r="CD1140" s="48"/>
      <c r="CE1140" s="48"/>
      <c r="CF1140" s="48"/>
      <c r="CG1140" s="48"/>
      <c r="CH1140" s="48"/>
      <c r="CI1140" s="98"/>
      <c r="CJ1140" s="98"/>
      <c r="CK1140" s="49">
        <f t="shared" si="238"/>
        <v>0</v>
      </c>
      <c r="CL1140" s="229"/>
      <c r="CM1140" s="229"/>
      <c r="CN1140" s="229"/>
      <c r="CO1140" s="47" t="s">
        <v>2488</v>
      </c>
      <c r="CP1140" s="500" t="s">
        <v>2489</v>
      </c>
      <c r="CQ1140" s="224" t="s">
        <v>272</v>
      </c>
      <c r="CR1140" s="224"/>
      <c r="CS1140" s="230" t="s">
        <v>539</v>
      </c>
      <c r="CT1140" s="230"/>
      <c r="CU1140" s="230"/>
      <c r="CV1140" s="335">
        <f t="shared" si="239"/>
        <v>2.653505706971472</v>
      </c>
      <c r="CW1140" s="230">
        <f t="shared" si="240"/>
        <v>1</v>
      </c>
      <c r="CX1140" s="336"/>
      <c r="CY1140" s="230" t="s">
        <v>5921</v>
      </c>
    </row>
    <row r="1141" spans="1:103" ht="11.25" customHeight="1" x14ac:dyDescent="0.2">
      <c r="A1141" s="72">
        <v>1599</v>
      </c>
      <c r="B1141" s="224">
        <v>1646</v>
      </c>
      <c r="C1141" s="46" t="s">
        <v>7599</v>
      </c>
      <c r="D1141" s="46"/>
      <c r="E1141" s="114"/>
      <c r="F1141" s="114" t="s">
        <v>4848</v>
      </c>
      <c r="G1141" s="225" t="s">
        <v>4848</v>
      </c>
      <c r="H1141" s="47" t="s">
        <v>4849</v>
      </c>
      <c r="I1141" s="47" t="s">
        <v>7814</v>
      </c>
      <c r="J1141" s="47" t="s">
        <v>4850</v>
      </c>
      <c r="K1141" s="47" t="s">
        <v>264</v>
      </c>
      <c r="L1141" s="47"/>
      <c r="M1141" s="47"/>
      <c r="N1141" s="47"/>
      <c r="O1141" s="47"/>
      <c r="P1141" s="53"/>
      <c r="Q1141" s="53"/>
      <c r="R1141" s="53"/>
      <c r="S1141" s="53"/>
      <c r="T1141" s="48">
        <v>283.32</v>
      </c>
      <c r="U1141" s="98"/>
      <c r="V1141" s="98">
        <v>1560</v>
      </c>
      <c r="W1141" s="98">
        <v>159.32254425292953</v>
      </c>
      <c r="X1141" s="98">
        <v>159.32254425292953</v>
      </c>
      <c r="Y1141" s="233">
        <v>9.1</v>
      </c>
      <c r="Z1141" s="48">
        <v>2.34</v>
      </c>
      <c r="AA1141" s="48"/>
      <c r="AB1141" s="48">
        <v>2.44</v>
      </c>
      <c r="AC1141" s="48">
        <v>0.71950000000000003</v>
      </c>
      <c r="AD1141" s="48">
        <v>2.68</v>
      </c>
      <c r="AE1141" s="48">
        <v>3.16</v>
      </c>
      <c r="AF1141" s="48">
        <f t="shared" si="241"/>
        <v>2.68</v>
      </c>
      <c r="AG1141" s="49">
        <v>2.68</v>
      </c>
      <c r="AH1141" s="98">
        <v>2.88E-11</v>
      </c>
      <c r="AI1141" s="98"/>
      <c r="AJ1141" s="483">
        <f t="shared" si="242"/>
        <v>-8.9291738385534209</v>
      </c>
      <c r="AK1141" s="483"/>
      <c r="AL1141" s="483">
        <f t="shared" si="243"/>
        <v>-8.9291738385534209</v>
      </c>
      <c r="AM1141" s="483">
        <v>-14.89021</v>
      </c>
      <c r="AN1141" s="226"/>
      <c r="AO1141" s="484"/>
      <c r="AP1141" s="484">
        <v>7.47</v>
      </c>
      <c r="AQ1141" s="226" t="s">
        <v>5921</v>
      </c>
      <c r="AR1141" s="226" t="s">
        <v>5921</v>
      </c>
      <c r="AS1141" s="224"/>
      <c r="AT1141" s="50" t="s">
        <v>266</v>
      </c>
      <c r="AU1141" s="48">
        <v>6</v>
      </c>
      <c r="AV1141" s="48">
        <v>120</v>
      </c>
      <c r="AW1141" s="48">
        <v>114</v>
      </c>
      <c r="AX1141" s="48">
        <v>28</v>
      </c>
      <c r="AY1141" s="48" t="s">
        <v>8728</v>
      </c>
      <c r="AZ1141" s="48" t="s">
        <v>1563</v>
      </c>
      <c r="BA1141" s="48">
        <v>32</v>
      </c>
      <c r="BB1141" s="47" t="s">
        <v>2485</v>
      </c>
      <c r="BC1141" s="47" t="s">
        <v>8726</v>
      </c>
      <c r="BD1141" s="47" t="s">
        <v>8374</v>
      </c>
      <c r="BE1141" s="48" t="s">
        <v>2449</v>
      </c>
      <c r="BF1141" s="48" t="s">
        <v>272</v>
      </c>
      <c r="BG1141" s="48" t="s">
        <v>272</v>
      </c>
      <c r="BH1141" s="48" t="s">
        <v>2486</v>
      </c>
      <c r="BI1141" s="98">
        <v>1.8132479999999999E-3</v>
      </c>
      <c r="BJ1141" s="98">
        <v>18.132480000000001</v>
      </c>
      <c r="BK1141" s="48"/>
      <c r="BL1141" s="487">
        <v>115.2187695898633</v>
      </c>
      <c r="BM1141" s="47" t="s">
        <v>2487</v>
      </c>
      <c r="BN1141" s="48"/>
      <c r="BO1141" s="48"/>
      <c r="BP1141" s="48"/>
      <c r="BQ1141" s="48"/>
      <c r="BR1141" s="47" t="e">
        <v>#VALUE!</v>
      </c>
      <c r="BS1141" s="48"/>
      <c r="BT1141" s="48"/>
      <c r="BU1141" s="228"/>
      <c r="BV1141" s="48"/>
      <c r="BW1141" s="48"/>
      <c r="BX1141" s="48"/>
      <c r="BY1141" s="48"/>
      <c r="BZ1141" s="48"/>
      <c r="CA1141" s="48"/>
      <c r="CB1141" s="48"/>
      <c r="CC1141" s="48"/>
      <c r="CD1141" s="48"/>
      <c r="CE1141" s="48"/>
      <c r="CF1141" s="48"/>
      <c r="CG1141" s="48"/>
      <c r="CH1141" s="48"/>
      <c r="CI1141" s="98"/>
      <c r="CJ1141" s="98"/>
      <c r="CK1141" s="49">
        <f t="shared" si="238"/>
        <v>6.354275288866349</v>
      </c>
      <c r="CL1141" s="229"/>
      <c r="CM1141" s="229"/>
      <c r="CN1141" s="229"/>
      <c r="CO1141" s="47" t="s">
        <v>2488</v>
      </c>
      <c r="CP1141" s="500" t="s">
        <v>2489</v>
      </c>
      <c r="CQ1141" s="224" t="s">
        <v>272</v>
      </c>
      <c r="CR1141" s="224"/>
      <c r="CS1141" s="230" t="s">
        <v>539</v>
      </c>
      <c r="CT1141" s="230"/>
      <c r="CU1141" s="230"/>
      <c r="CV1141" s="335">
        <f t="shared" si="239"/>
        <v>8.7865832060991949</v>
      </c>
      <c r="CW1141" s="230">
        <f t="shared" si="240"/>
        <v>1</v>
      </c>
      <c r="CX1141" s="336"/>
      <c r="CY1141" s="230" t="s">
        <v>5921</v>
      </c>
    </row>
    <row r="1142" spans="1:103" ht="11.25" customHeight="1" x14ac:dyDescent="0.2">
      <c r="A1142" s="72">
        <v>1600</v>
      </c>
      <c r="B1142" s="224">
        <v>1006</v>
      </c>
      <c r="C1142" s="46" t="s">
        <v>7600</v>
      </c>
      <c r="D1142" s="46"/>
      <c r="E1142" s="114"/>
      <c r="F1142" s="114" t="s">
        <v>2873</v>
      </c>
      <c r="G1142" s="225" t="s">
        <v>2873</v>
      </c>
      <c r="H1142" s="47" t="s">
        <v>2874</v>
      </c>
      <c r="I1142" s="47" t="s">
        <v>7798</v>
      </c>
      <c r="J1142" s="47" t="s">
        <v>2875</v>
      </c>
      <c r="K1142" s="47" t="s">
        <v>2876</v>
      </c>
      <c r="L1142" s="47"/>
      <c r="M1142" s="47"/>
      <c r="N1142" s="47"/>
      <c r="O1142" s="47"/>
      <c r="P1142" s="53"/>
      <c r="Q1142" s="53"/>
      <c r="R1142" s="53"/>
      <c r="S1142" s="53"/>
      <c r="T1142" s="48">
        <v>391.37</v>
      </c>
      <c r="U1142" s="98"/>
      <c r="V1142" s="98">
        <v>3.9359999999999999</v>
      </c>
      <c r="W1142" s="98">
        <v>32.552738709645183</v>
      </c>
      <c r="X1142" s="98">
        <v>32.552738709645183</v>
      </c>
      <c r="Y1142" s="233">
        <v>7</v>
      </c>
      <c r="Z1142" s="48">
        <v>3.14</v>
      </c>
      <c r="AA1142" s="48"/>
      <c r="AB1142" s="48">
        <v>2.94</v>
      </c>
      <c r="AC1142" s="48">
        <v>0.52790000000000004</v>
      </c>
      <c r="AD1142" s="48">
        <v>2.2200000000000002</v>
      </c>
      <c r="AE1142" s="48">
        <v>1.36</v>
      </c>
      <c r="AF1142" s="48">
        <f t="shared" si="241"/>
        <v>2.2200000000000002</v>
      </c>
      <c r="AG1142" s="49">
        <v>4.24</v>
      </c>
      <c r="AH1142" s="98">
        <v>2.0999999999999999E-17</v>
      </c>
      <c r="AI1142" s="98"/>
      <c r="AJ1142" s="483">
        <f t="shared" si="242"/>
        <v>-15.066347031578733</v>
      </c>
      <c r="AK1142" s="483"/>
      <c r="AL1142" s="483">
        <f t="shared" si="243"/>
        <v>-15.066347031578733</v>
      </c>
      <c r="AM1142" s="483">
        <v>-18.72861</v>
      </c>
      <c r="AN1142" s="226">
        <v>-15.1</v>
      </c>
      <c r="AO1142" s="484">
        <v>12.33</v>
      </c>
      <c r="AP1142" s="484">
        <v>-3.77</v>
      </c>
      <c r="AQ1142" s="48" t="s">
        <v>5921</v>
      </c>
      <c r="AR1142" s="48" t="s">
        <v>5921</v>
      </c>
      <c r="AS1142" s="227"/>
      <c r="AT1142" s="50" t="s">
        <v>266</v>
      </c>
      <c r="AU1142" s="48">
        <v>6</v>
      </c>
      <c r="AV1142" s="48">
        <v>120</v>
      </c>
      <c r="AW1142" s="48">
        <v>114</v>
      </c>
      <c r="AX1142" s="48">
        <v>28</v>
      </c>
      <c r="AY1142" s="48" t="s">
        <v>8728</v>
      </c>
      <c r="AZ1142" s="48" t="s">
        <v>1563</v>
      </c>
      <c r="BA1142" s="48">
        <v>32</v>
      </c>
      <c r="BB1142" s="47" t="s">
        <v>2485</v>
      </c>
      <c r="BC1142" s="47" t="s">
        <v>8726</v>
      </c>
      <c r="BD1142" s="47" t="s">
        <v>8374</v>
      </c>
      <c r="BE1142" s="48" t="s">
        <v>2449</v>
      </c>
      <c r="BF1142" s="48" t="s">
        <v>272</v>
      </c>
      <c r="BG1142" s="48" t="s">
        <v>272</v>
      </c>
      <c r="BH1142" s="48" t="s">
        <v>2486</v>
      </c>
      <c r="BI1142" s="98">
        <v>2.5047680000000001E-3</v>
      </c>
      <c r="BJ1142" s="98">
        <v>25.04768</v>
      </c>
      <c r="BK1142" s="48"/>
      <c r="BL1142" s="487">
        <v>30.433614298782025</v>
      </c>
      <c r="BM1142" s="47" t="s">
        <v>2487</v>
      </c>
      <c r="BN1142" s="48"/>
      <c r="BO1142" s="48"/>
      <c r="BP1142" s="48"/>
      <c r="BQ1142" s="48"/>
      <c r="BR1142" s="47" t="e">
        <v>#VALUE!</v>
      </c>
      <c r="BS1142" s="48"/>
      <c r="BT1142" s="48"/>
      <c r="BU1142" s="228">
        <v>2.5047679999999999E-2</v>
      </c>
      <c r="BV1142" s="48"/>
      <c r="BW1142" s="48"/>
      <c r="BX1142" s="48"/>
      <c r="BY1142" s="48"/>
      <c r="BZ1142" s="48"/>
      <c r="CA1142" s="48"/>
      <c r="CB1142" s="48"/>
      <c r="CC1142" s="48"/>
      <c r="CD1142" s="48"/>
      <c r="CE1142" s="48"/>
      <c r="CF1142" s="48"/>
      <c r="CG1142" s="48"/>
      <c r="CH1142" s="48"/>
      <c r="CI1142" s="98"/>
      <c r="CJ1142" s="98"/>
      <c r="CK1142" s="49">
        <f t="shared" si="238"/>
        <v>1.2150272719382404</v>
      </c>
      <c r="CL1142" s="229"/>
      <c r="CM1142" s="229"/>
      <c r="CN1142" s="229"/>
      <c r="CO1142" s="47" t="s">
        <v>2488</v>
      </c>
      <c r="CP1142" s="500" t="s">
        <v>2489</v>
      </c>
      <c r="CQ1142" s="224" t="s">
        <v>272</v>
      </c>
      <c r="CR1142" s="224"/>
      <c r="CS1142" s="230" t="s">
        <v>539</v>
      </c>
      <c r="CT1142" s="230"/>
      <c r="CU1142" s="230"/>
      <c r="CV1142" s="335">
        <f t="shared" si="239"/>
        <v>1.2996308923479214</v>
      </c>
      <c r="CW1142" s="230">
        <f t="shared" si="240"/>
        <v>1</v>
      </c>
      <c r="CX1142" s="336"/>
      <c r="CY1142" s="230" t="s">
        <v>5921</v>
      </c>
    </row>
    <row r="1143" spans="1:103" ht="11.25" customHeight="1" x14ac:dyDescent="0.2">
      <c r="A1143" s="72">
        <v>1601</v>
      </c>
      <c r="B1143" s="224">
        <v>1758</v>
      </c>
      <c r="C1143" s="46" t="s">
        <v>7601</v>
      </c>
      <c r="D1143" s="46"/>
      <c r="E1143" s="114"/>
      <c r="F1143" s="114" t="s">
        <v>5065</v>
      </c>
      <c r="G1143" s="225" t="s">
        <v>5065</v>
      </c>
      <c r="H1143" s="47" t="s">
        <v>5066</v>
      </c>
      <c r="I1143" s="47" t="s">
        <v>7793</v>
      </c>
      <c r="J1143" s="47" t="s">
        <v>5067</v>
      </c>
      <c r="K1143" s="47" t="s">
        <v>471</v>
      </c>
      <c r="L1143" s="51"/>
      <c r="M1143" s="47"/>
      <c r="N1143" s="47"/>
      <c r="O1143" s="47"/>
      <c r="P1143" s="53"/>
      <c r="Q1143" s="53"/>
      <c r="R1143" s="53"/>
      <c r="S1143" s="53"/>
      <c r="T1143" s="48">
        <v>408.45</v>
      </c>
      <c r="U1143" s="98"/>
      <c r="V1143" s="98">
        <v>0.49940000000000001</v>
      </c>
      <c r="W1143" s="98">
        <v>1.7829489167849565E-2</v>
      </c>
      <c r="X1143" s="98">
        <v>1.7829489167849565E-2</v>
      </c>
      <c r="Y1143" s="233">
        <v>7</v>
      </c>
      <c r="Z1143" s="48">
        <v>4.0599999999999996</v>
      </c>
      <c r="AA1143" s="48"/>
      <c r="AB1143" s="48">
        <v>4.63</v>
      </c>
      <c r="AC1143" s="48">
        <v>0.71450000000000002</v>
      </c>
      <c r="AD1143" s="48">
        <v>4.8499999999999996</v>
      </c>
      <c r="AE1143" s="48">
        <v>5.35</v>
      </c>
      <c r="AF1143" s="48">
        <f t="shared" si="241"/>
        <v>4.8499999999999996</v>
      </c>
      <c r="AG1143" s="49">
        <v>2.6</v>
      </c>
      <c r="AH1143" s="98">
        <v>5.5900000000000002E-21</v>
      </c>
      <c r="AI1143" s="98"/>
      <c r="AJ1143" s="483">
        <f t="shared" si="242"/>
        <v>-18.64115451842623</v>
      </c>
      <c r="AK1143" s="483"/>
      <c r="AL1143" s="483">
        <f t="shared" si="243"/>
        <v>-18.64115451842623</v>
      </c>
      <c r="AM1143" s="483">
        <v>-24.970479999999998</v>
      </c>
      <c r="AN1143" s="226">
        <v>-6.77</v>
      </c>
      <c r="AO1143" s="484">
        <v>10.029999999999999</v>
      </c>
      <c r="AP1143" s="484">
        <v>2.78</v>
      </c>
      <c r="AQ1143" s="226" t="s">
        <v>5921</v>
      </c>
      <c r="AR1143" s="226" t="s">
        <v>5921</v>
      </c>
      <c r="AS1143" s="224"/>
      <c r="AT1143" s="50" t="s">
        <v>266</v>
      </c>
      <c r="AU1143" s="48">
        <v>6</v>
      </c>
      <c r="AV1143" s="48">
        <v>120</v>
      </c>
      <c r="AW1143" s="48">
        <v>114</v>
      </c>
      <c r="AX1143" s="48">
        <v>28</v>
      </c>
      <c r="AY1143" s="48" t="s">
        <v>8728</v>
      </c>
      <c r="AZ1143" s="48" t="s">
        <v>1563</v>
      </c>
      <c r="BA1143" s="48">
        <v>32</v>
      </c>
      <c r="BB1143" s="47" t="s">
        <v>2485</v>
      </c>
      <c r="BC1143" s="47" t="s">
        <v>8726</v>
      </c>
      <c r="BD1143" s="47" t="s">
        <v>8374</v>
      </c>
      <c r="BE1143" s="48" t="s">
        <v>2449</v>
      </c>
      <c r="BF1143" s="48" t="s">
        <v>272</v>
      </c>
      <c r="BG1143" s="48" t="s">
        <v>272</v>
      </c>
      <c r="BH1143" s="48" t="s">
        <v>2486</v>
      </c>
      <c r="BI1143" s="98">
        <v>2.61408E-3</v>
      </c>
      <c r="BJ1143" s="98">
        <v>26.140799999999999</v>
      </c>
      <c r="BK1143" s="48"/>
      <c r="BL1143" s="487">
        <v>4.7386310998132748</v>
      </c>
      <c r="BM1143" s="47" t="s">
        <v>2487</v>
      </c>
      <c r="BN1143" s="48"/>
      <c r="BO1143" s="48"/>
      <c r="BP1143" s="48"/>
      <c r="BQ1143" s="48"/>
      <c r="BR1143" s="47" t="e">
        <v>#VALUE!</v>
      </c>
      <c r="BS1143" s="48"/>
      <c r="BT1143" s="48"/>
      <c r="BU1143" s="228"/>
      <c r="BV1143" s="48"/>
      <c r="BW1143" s="48"/>
      <c r="BX1143" s="48"/>
      <c r="BY1143" s="48"/>
      <c r="BZ1143" s="48"/>
      <c r="CA1143" s="48"/>
      <c r="CB1143" s="48"/>
      <c r="CC1143" s="48"/>
      <c r="CD1143" s="48"/>
      <c r="CE1143" s="48"/>
      <c r="CF1143" s="48"/>
      <c r="CG1143" s="48"/>
      <c r="CH1143" s="48"/>
      <c r="CI1143" s="98"/>
      <c r="CJ1143" s="98"/>
      <c r="CK1143" s="49">
        <f t="shared" si="238"/>
        <v>0.18127337724221429</v>
      </c>
      <c r="CL1143" s="229"/>
      <c r="CM1143" s="229"/>
      <c r="CN1143" s="229"/>
      <c r="CO1143" s="47" t="s">
        <v>2488</v>
      </c>
      <c r="CP1143" s="500" t="s">
        <v>2489</v>
      </c>
      <c r="CQ1143" s="224" t="s">
        <v>272</v>
      </c>
      <c r="CR1143" s="224"/>
      <c r="CS1143" s="230" t="s">
        <v>539</v>
      </c>
      <c r="CT1143" s="230"/>
      <c r="CU1143" s="230"/>
      <c r="CV1143" s="335">
        <f t="shared" si="239"/>
        <v>6.820559878752588E-4</v>
      </c>
      <c r="CW1143" s="230">
        <f t="shared" si="240"/>
        <v>0</v>
      </c>
      <c r="CX1143" s="336"/>
      <c r="CY1143" s="230" t="s">
        <v>5921</v>
      </c>
    </row>
    <row r="1144" spans="1:103" ht="11.25" customHeight="1" x14ac:dyDescent="0.2">
      <c r="A1144" s="72">
        <v>1602</v>
      </c>
      <c r="B1144" s="224">
        <v>1274</v>
      </c>
      <c r="C1144" s="46" t="s">
        <v>7602</v>
      </c>
      <c r="D1144" s="46"/>
      <c r="E1144" s="114"/>
      <c r="F1144" s="114" t="s">
        <v>3502</v>
      </c>
      <c r="G1144" s="225" t="s">
        <v>3502</v>
      </c>
      <c r="H1144" s="47" t="s">
        <v>3503</v>
      </c>
      <c r="I1144" s="47" t="s">
        <v>8198</v>
      </c>
      <c r="J1144" s="47" t="s">
        <v>3504</v>
      </c>
      <c r="K1144" s="47" t="s">
        <v>3505</v>
      </c>
      <c r="L1144" s="47"/>
      <c r="M1144" s="47"/>
      <c r="N1144" s="47"/>
      <c r="O1144" s="47"/>
      <c r="P1144" s="53"/>
      <c r="Q1144" s="53"/>
      <c r="R1144" s="53"/>
      <c r="S1144" s="53"/>
      <c r="T1144" s="48">
        <v>526.01</v>
      </c>
      <c r="U1144" s="98"/>
      <c r="V1144" s="98">
        <v>69.810000000000016</v>
      </c>
      <c r="W1144" s="98">
        <v>0.61800786287374165</v>
      </c>
      <c r="X1144" s="98">
        <v>0.61800786287374165</v>
      </c>
      <c r="Y1144" s="233">
        <v>6.98</v>
      </c>
      <c r="Z1144" s="48">
        <v>0.82</v>
      </c>
      <c r="AA1144" s="48"/>
      <c r="AB1144" s="48">
        <v>3.8</v>
      </c>
      <c r="AC1144" s="48">
        <v>0.58160000000000001</v>
      </c>
      <c r="AD1144" s="48">
        <v>3.94</v>
      </c>
      <c r="AE1144" s="48">
        <v>4.18</v>
      </c>
      <c r="AF1144" s="48">
        <f t="shared" si="241"/>
        <v>3.94</v>
      </c>
      <c r="AG1144" s="49">
        <v>7.0000000000000007E-2</v>
      </c>
      <c r="AH1144" s="98">
        <v>1.49E-24</v>
      </c>
      <c r="AI1144" s="98"/>
      <c r="AJ1144" s="483">
        <f t="shared" si="242"/>
        <v>-22.215380057900379</v>
      </c>
      <c r="AK1144" s="483"/>
      <c r="AL1144" s="483">
        <f t="shared" si="243"/>
        <v>-22.215380057900379</v>
      </c>
      <c r="AM1144" s="483">
        <v>-30.951639999999998</v>
      </c>
      <c r="AN1144" s="226">
        <v>-7</v>
      </c>
      <c r="AO1144" s="484">
        <v>3.64</v>
      </c>
      <c r="AP1144" s="484">
        <v>8.9499999999999993</v>
      </c>
      <c r="AQ1144" s="48" t="s">
        <v>5921</v>
      </c>
      <c r="AR1144" s="48" t="s">
        <v>5921</v>
      </c>
      <c r="AS1144" s="227"/>
      <c r="AT1144" s="50" t="s">
        <v>266</v>
      </c>
      <c r="AU1144" s="48">
        <v>6</v>
      </c>
      <c r="AV1144" s="48">
        <v>120</v>
      </c>
      <c r="AW1144" s="48">
        <v>114</v>
      </c>
      <c r="AX1144" s="48">
        <v>28</v>
      </c>
      <c r="AY1144" s="48" t="s">
        <v>8728</v>
      </c>
      <c r="AZ1144" s="48" t="s">
        <v>1563</v>
      </c>
      <c r="BA1144" s="48">
        <v>32</v>
      </c>
      <c r="BB1144" s="47" t="s">
        <v>2485</v>
      </c>
      <c r="BC1144" s="47" t="s">
        <v>8726</v>
      </c>
      <c r="BD1144" s="47" t="s">
        <v>8374</v>
      </c>
      <c r="BE1144" s="48" t="s">
        <v>2449</v>
      </c>
      <c r="BF1144" s="48" t="s">
        <v>272</v>
      </c>
      <c r="BG1144" s="48" t="s">
        <v>272</v>
      </c>
      <c r="BH1144" s="48" t="s">
        <v>2486</v>
      </c>
      <c r="BI1144" s="98">
        <v>3.366464E-3</v>
      </c>
      <c r="BJ1144" s="98">
        <v>33.664639999999999</v>
      </c>
      <c r="BK1144" s="48"/>
      <c r="BL1144" s="487">
        <v>4958.5192160948473</v>
      </c>
      <c r="BM1144" s="47" t="s">
        <v>2487</v>
      </c>
      <c r="BN1144" s="48"/>
      <c r="BO1144" s="48"/>
      <c r="BP1144" s="48"/>
      <c r="BQ1144" s="48"/>
      <c r="BR1144" s="47" t="e">
        <v>#VALUE!</v>
      </c>
      <c r="BS1144" s="48"/>
      <c r="BT1144" s="48"/>
      <c r="BU1144" s="228">
        <v>8.1005540000000011E-3</v>
      </c>
      <c r="BV1144" s="48"/>
      <c r="BW1144" s="48"/>
      <c r="BX1144" s="48"/>
      <c r="BY1144" s="48"/>
      <c r="BZ1144" s="48"/>
      <c r="CA1144" s="48"/>
      <c r="CB1144" s="48"/>
      <c r="CC1144" s="48"/>
      <c r="CD1144" s="48"/>
      <c r="CE1144" s="48"/>
      <c r="CF1144" s="48"/>
      <c r="CG1144" s="48"/>
      <c r="CH1144" s="48"/>
      <c r="CI1144" s="98"/>
      <c r="CJ1144" s="98"/>
      <c r="CK1144" s="49">
        <f t="shared" si="238"/>
        <v>147.29161565651222</v>
      </c>
      <c r="CL1144" s="229"/>
      <c r="CM1144" s="229"/>
      <c r="CN1144" s="229"/>
      <c r="CO1144" s="47" t="s">
        <v>2488</v>
      </c>
      <c r="CP1144" s="500" t="s">
        <v>2489</v>
      </c>
      <c r="CQ1144" s="224" t="s">
        <v>272</v>
      </c>
      <c r="CR1144" s="224"/>
      <c r="CS1144" s="230" t="s">
        <v>539</v>
      </c>
      <c r="CT1144" s="230"/>
      <c r="CU1144" s="230"/>
      <c r="CV1144" s="335">
        <f t="shared" si="239"/>
        <v>1.8357774295930142E-2</v>
      </c>
      <c r="CW1144" s="230">
        <f t="shared" si="240"/>
        <v>0</v>
      </c>
      <c r="CX1144" s="336"/>
      <c r="CY1144" s="230" t="s">
        <v>5921</v>
      </c>
    </row>
    <row r="1145" spans="1:103" ht="11.25" customHeight="1" x14ac:dyDescent="0.2">
      <c r="A1145" s="72">
        <v>1603</v>
      </c>
      <c r="B1145" s="224">
        <v>1348</v>
      </c>
      <c r="C1145" s="46" t="s">
        <v>7603</v>
      </c>
      <c r="D1145" s="46"/>
      <c r="E1145" s="114"/>
      <c r="F1145" s="114" t="s">
        <v>4173</v>
      </c>
      <c r="G1145" s="225" t="s">
        <v>4173</v>
      </c>
      <c r="H1145" s="47" t="s">
        <v>4174</v>
      </c>
      <c r="I1145" s="47" t="s">
        <v>8199</v>
      </c>
      <c r="J1145" s="47" t="s">
        <v>4175</v>
      </c>
      <c r="K1145" s="47"/>
      <c r="L1145" s="47"/>
      <c r="M1145" s="47"/>
      <c r="N1145" s="47"/>
      <c r="O1145" s="47"/>
      <c r="P1145" s="53"/>
      <c r="Q1145" s="53" t="s">
        <v>6173</v>
      </c>
      <c r="R1145" s="53" t="s">
        <v>6175</v>
      </c>
      <c r="S1145" s="53" t="s">
        <v>6182</v>
      </c>
      <c r="T1145" s="48">
        <v>529.03</v>
      </c>
      <c r="U1145" s="98"/>
      <c r="V1145" s="98">
        <v>0.1797</v>
      </c>
      <c r="W1145" s="98">
        <v>34.157045678620293</v>
      </c>
      <c r="X1145" s="98">
        <v>34.157045678620293</v>
      </c>
      <c r="Y1145" s="233">
        <v>9.07</v>
      </c>
      <c r="Z1145" s="48">
        <v>4</v>
      </c>
      <c r="AA1145" s="48"/>
      <c r="AB1145" s="48">
        <v>2.64</v>
      </c>
      <c r="AC1145" s="48">
        <v>0.60170000000000001</v>
      </c>
      <c r="AD1145" s="48">
        <v>2.4300000000000002</v>
      </c>
      <c r="AE1145" s="48">
        <v>1.96</v>
      </c>
      <c r="AF1145" s="48">
        <f t="shared" si="241"/>
        <v>2.4300000000000002</v>
      </c>
      <c r="AG1145" s="49">
        <v>0.23</v>
      </c>
      <c r="AH1145" s="98">
        <v>2.1699999999999999E-26</v>
      </c>
      <c r="AI1145" s="98"/>
      <c r="AJ1145" s="483">
        <f t="shared" si="242"/>
        <v>-24.052106592464121</v>
      </c>
      <c r="AK1145" s="483"/>
      <c r="AL1145" s="483">
        <f t="shared" si="243"/>
        <v>-24.052106592464121</v>
      </c>
      <c r="AM1145" s="483">
        <v>-33.448889999999999</v>
      </c>
      <c r="AN1145" s="226">
        <v>-7.88</v>
      </c>
      <c r="AO1145" s="484">
        <v>8.84</v>
      </c>
      <c r="AP1145" s="484">
        <v>9.57</v>
      </c>
      <c r="AQ1145" s="48" t="s">
        <v>5921</v>
      </c>
      <c r="AR1145" s="48" t="s">
        <v>5921</v>
      </c>
      <c r="AS1145" s="227"/>
      <c r="AT1145" s="50" t="s">
        <v>266</v>
      </c>
      <c r="AU1145" s="48">
        <v>6</v>
      </c>
      <c r="AV1145" s="48">
        <v>120</v>
      </c>
      <c r="AW1145" s="48">
        <v>114</v>
      </c>
      <c r="AX1145" s="48">
        <v>28</v>
      </c>
      <c r="AY1145" s="48" t="s">
        <v>8728</v>
      </c>
      <c r="AZ1145" s="48" t="s">
        <v>1563</v>
      </c>
      <c r="BA1145" s="48">
        <v>32</v>
      </c>
      <c r="BB1145" s="47" t="s">
        <v>2485</v>
      </c>
      <c r="BC1145" s="47" t="s">
        <v>8726</v>
      </c>
      <c r="BD1145" s="47" t="s">
        <v>8374</v>
      </c>
      <c r="BE1145" s="48" t="s">
        <v>2449</v>
      </c>
      <c r="BF1145" s="48" t="s">
        <v>272</v>
      </c>
      <c r="BG1145" s="48" t="s">
        <v>272</v>
      </c>
      <c r="BH1145" s="48" t="s">
        <v>2486</v>
      </c>
      <c r="BI1145" s="98">
        <v>3.3857919999999999E-3</v>
      </c>
      <c r="BJ1145" s="98">
        <v>33.85792</v>
      </c>
      <c r="BK1145" s="48"/>
      <c r="BL1145" s="487"/>
      <c r="BM1145" s="47" t="s">
        <v>2487</v>
      </c>
      <c r="BN1145" s="48"/>
      <c r="BO1145" s="48"/>
      <c r="BP1145" s="48"/>
      <c r="BQ1145" s="48"/>
      <c r="BR1145" s="47" t="e">
        <v>#VALUE!</v>
      </c>
      <c r="BS1145" s="48"/>
      <c r="BT1145" s="48"/>
      <c r="BU1145" s="228"/>
      <c r="BV1145" s="48"/>
      <c r="BW1145" s="48"/>
      <c r="BX1145" s="48"/>
      <c r="BY1145" s="48"/>
      <c r="BZ1145" s="48"/>
      <c r="CA1145" s="48"/>
      <c r="CB1145" s="48"/>
      <c r="CC1145" s="48"/>
      <c r="CD1145" s="48"/>
      <c r="CE1145" s="48"/>
      <c r="CF1145" s="48"/>
      <c r="CG1145" s="48"/>
      <c r="CH1145" s="48"/>
      <c r="CI1145" s="98"/>
      <c r="CJ1145" s="98"/>
      <c r="CK1145" s="49">
        <f t="shared" si="238"/>
        <v>0</v>
      </c>
      <c r="CL1145" s="229"/>
      <c r="CM1145" s="229"/>
      <c r="CN1145" s="229"/>
      <c r="CO1145" s="47" t="s">
        <v>2488</v>
      </c>
      <c r="CP1145" s="500" t="s">
        <v>2489</v>
      </c>
      <c r="CQ1145" s="224" t="s">
        <v>272</v>
      </c>
      <c r="CR1145" s="224"/>
      <c r="CS1145" s="230" t="s">
        <v>539</v>
      </c>
      <c r="CT1145" s="230"/>
      <c r="CU1145" s="230"/>
      <c r="CV1145" s="335">
        <f t="shared" si="239"/>
        <v>1.0088347328666467</v>
      </c>
      <c r="CW1145" s="230">
        <f t="shared" si="240"/>
        <v>1</v>
      </c>
      <c r="CX1145" s="336"/>
      <c r="CY1145" s="230" t="s">
        <v>5921</v>
      </c>
    </row>
    <row r="1146" spans="1:103" ht="11.25" customHeight="1" x14ac:dyDescent="0.2">
      <c r="A1146" s="72">
        <v>1604</v>
      </c>
      <c r="B1146" s="224">
        <v>1755</v>
      </c>
      <c r="C1146" s="46" t="s">
        <v>7604</v>
      </c>
      <c r="D1146" s="46"/>
      <c r="E1146" s="114"/>
      <c r="F1146" s="114" t="s">
        <v>5057</v>
      </c>
      <c r="G1146" s="225" t="s">
        <v>5057</v>
      </c>
      <c r="H1146" s="47" t="s">
        <v>5058</v>
      </c>
      <c r="I1146" s="47" t="s">
        <v>8200</v>
      </c>
      <c r="J1146" s="47" t="s">
        <v>5059</v>
      </c>
      <c r="K1146" s="47"/>
      <c r="L1146" s="47"/>
      <c r="M1146" s="47"/>
      <c r="N1146" s="47"/>
      <c r="O1146" s="47"/>
      <c r="P1146" s="53"/>
      <c r="Q1146" s="53"/>
      <c r="R1146" s="53"/>
      <c r="S1146" s="53"/>
      <c r="T1146" s="48">
        <v>584.51</v>
      </c>
      <c r="U1146" s="98"/>
      <c r="V1146" s="98">
        <v>6.8069999999999988E-3</v>
      </c>
      <c r="W1146" s="98">
        <v>0.53307945571192239</v>
      </c>
      <c r="X1146" s="98">
        <v>0.53307945571192239</v>
      </c>
      <c r="Y1146" s="233">
        <v>7.59</v>
      </c>
      <c r="Z1146" s="48">
        <v>5.24</v>
      </c>
      <c r="AA1146" s="48"/>
      <c r="AB1146" s="48">
        <v>5.29</v>
      </c>
      <c r="AC1146" s="48">
        <v>0.68200000000000005</v>
      </c>
      <c r="AD1146" s="48">
        <v>5.48</v>
      </c>
      <c r="AE1146" s="48">
        <v>5.89</v>
      </c>
      <c r="AF1146" s="48">
        <f t="shared" si="241"/>
        <v>5.48</v>
      </c>
      <c r="AG1146" s="49">
        <v>3.78</v>
      </c>
      <c r="AH1146" s="98">
        <v>9.1899999999999996E-18</v>
      </c>
      <c r="AI1146" s="98"/>
      <c r="AJ1146" s="483">
        <f t="shared" si="242"/>
        <v>-15.425250814926541</v>
      </c>
      <c r="AK1146" s="483"/>
      <c r="AL1146" s="483">
        <f t="shared" si="243"/>
        <v>-15.425250814926541</v>
      </c>
      <c r="AM1146" s="483">
        <v>-27.993769999999998</v>
      </c>
      <c r="AN1146" s="226">
        <v>-24</v>
      </c>
      <c r="AO1146" s="484">
        <v>15.53</v>
      </c>
      <c r="AP1146" s="484">
        <v>7.55</v>
      </c>
      <c r="AQ1146" s="226" t="s">
        <v>5921</v>
      </c>
      <c r="AR1146" s="226" t="s">
        <v>5921</v>
      </c>
      <c r="AS1146" s="224"/>
      <c r="AT1146" s="50" t="s">
        <v>266</v>
      </c>
      <c r="AU1146" s="48">
        <v>6</v>
      </c>
      <c r="AV1146" s="48">
        <v>120</v>
      </c>
      <c r="AW1146" s="48">
        <v>114</v>
      </c>
      <c r="AX1146" s="48">
        <v>28</v>
      </c>
      <c r="AY1146" s="48" t="s">
        <v>8728</v>
      </c>
      <c r="AZ1146" s="48" t="s">
        <v>1563</v>
      </c>
      <c r="BA1146" s="48">
        <v>32</v>
      </c>
      <c r="BB1146" s="47" t="s">
        <v>2485</v>
      </c>
      <c r="BC1146" s="47" t="s">
        <v>8726</v>
      </c>
      <c r="BD1146" s="47" t="s">
        <v>8374</v>
      </c>
      <c r="BE1146" s="48" t="s">
        <v>2449</v>
      </c>
      <c r="BF1146" s="48" t="s">
        <v>272</v>
      </c>
      <c r="BG1146" s="48" t="s">
        <v>272</v>
      </c>
      <c r="BH1146" s="48" t="s">
        <v>2486</v>
      </c>
      <c r="BI1146" s="98">
        <v>3.7408639999999996E-3</v>
      </c>
      <c r="BJ1146" s="98">
        <v>37.408639999999998</v>
      </c>
      <c r="BK1146" s="48"/>
      <c r="BL1146" s="487"/>
      <c r="BM1146" s="47" t="s">
        <v>2487</v>
      </c>
      <c r="BN1146" s="48"/>
      <c r="BO1146" s="48"/>
      <c r="BP1146" s="48"/>
      <c r="BQ1146" s="48"/>
      <c r="BR1146" s="47" t="e">
        <v>#VALUE!</v>
      </c>
      <c r="BS1146" s="48"/>
      <c r="BT1146" s="48"/>
      <c r="BU1146" s="228"/>
      <c r="BV1146" s="48"/>
      <c r="BW1146" s="48"/>
      <c r="BX1146" s="48"/>
      <c r="BY1146" s="48"/>
      <c r="BZ1146" s="48"/>
      <c r="CA1146" s="48"/>
      <c r="CB1146" s="48"/>
      <c r="CC1146" s="48"/>
      <c r="CD1146" s="48"/>
      <c r="CE1146" s="48"/>
      <c r="CF1146" s="48"/>
      <c r="CG1146" s="48"/>
      <c r="CH1146" s="48"/>
      <c r="CI1146" s="98"/>
      <c r="CJ1146" s="98"/>
      <c r="CK1146" s="49">
        <f t="shared" si="238"/>
        <v>0</v>
      </c>
      <c r="CL1146" s="229"/>
      <c r="CM1146" s="229"/>
      <c r="CN1146" s="229"/>
      <c r="CO1146" s="47" t="s">
        <v>2488</v>
      </c>
      <c r="CP1146" s="500" t="s">
        <v>2489</v>
      </c>
      <c r="CQ1146" s="224" t="s">
        <v>272</v>
      </c>
      <c r="CR1146" s="224"/>
      <c r="CS1146" s="230" t="s">
        <v>539</v>
      </c>
      <c r="CT1146" s="230"/>
      <c r="CU1146" s="230"/>
      <c r="CV1146" s="335">
        <f t="shared" si="239"/>
        <v>1.425016936493608E-2</v>
      </c>
      <c r="CW1146" s="230">
        <f t="shared" si="240"/>
        <v>0</v>
      </c>
      <c r="CX1146" s="336"/>
      <c r="CY1146" s="230" t="s">
        <v>5921</v>
      </c>
    </row>
    <row r="1147" spans="1:103" ht="11.25" customHeight="1" x14ac:dyDescent="0.2">
      <c r="A1147" s="72">
        <v>1605</v>
      </c>
      <c r="B1147" s="224">
        <v>921</v>
      </c>
      <c r="C1147" s="46" t="s">
        <v>7605</v>
      </c>
      <c r="D1147" s="46"/>
      <c r="E1147" s="114"/>
      <c r="F1147" s="114" t="s">
        <v>2632</v>
      </c>
      <c r="G1147" s="225" t="s">
        <v>2632</v>
      </c>
      <c r="H1147" s="47" t="s">
        <v>2633</v>
      </c>
      <c r="I1147" s="47" t="s">
        <v>8201</v>
      </c>
      <c r="J1147" s="47" t="s">
        <v>2634</v>
      </c>
      <c r="K1147" s="47"/>
      <c r="L1147" s="47"/>
      <c r="M1147" s="47"/>
      <c r="N1147" s="47"/>
      <c r="O1147" s="47"/>
      <c r="P1147" s="53"/>
      <c r="Q1147" s="53"/>
      <c r="R1147" s="53"/>
      <c r="S1147" s="53"/>
      <c r="T1147" s="48">
        <v>436.53</v>
      </c>
      <c r="U1147" s="98"/>
      <c r="V1147" s="98">
        <v>0.20269999999999999</v>
      </c>
      <c r="W1147" s="98">
        <v>1.7378572316171785</v>
      </c>
      <c r="X1147" s="98">
        <v>1.7378572316171785</v>
      </c>
      <c r="Y1147" s="233">
        <v>8.2200000000000006</v>
      </c>
      <c r="Z1147" s="48">
        <v>4.63</v>
      </c>
      <c r="AA1147" s="48"/>
      <c r="AB1147" s="48">
        <v>2.74</v>
      </c>
      <c r="AC1147" s="48">
        <v>0.5645</v>
      </c>
      <c r="AD1147" s="48">
        <v>3.43</v>
      </c>
      <c r="AE1147" s="48">
        <v>4.3099999999999996</v>
      </c>
      <c r="AF1147" s="48">
        <f t="shared" si="241"/>
        <v>3.43</v>
      </c>
      <c r="AG1147" s="49">
        <v>3.45</v>
      </c>
      <c r="AH1147" s="98">
        <v>3.28E-16</v>
      </c>
      <c r="AI1147" s="98"/>
      <c r="AJ1147" s="483">
        <f t="shared" si="242"/>
        <v>-13.872692482600973</v>
      </c>
      <c r="AK1147" s="483"/>
      <c r="AL1147" s="483">
        <f t="shared" si="243"/>
        <v>-13.872692482600973</v>
      </c>
      <c r="AM1147" s="483">
        <v>-21.338039999999999</v>
      </c>
      <c r="AN1147" s="226">
        <v>-26.9</v>
      </c>
      <c r="AO1147" s="484"/>
      <c r="AP1147" s="484">
        <v>8</v>
      </c>
      <c r="AQ1147" s="48" t="s">
        <v>5921</v>
      </c>
      <c r="AR1147" s="48" t="s">
        <v>5921</v>
      </c>
      <c r="AS1147" s="227"/>
      <c r="AT1147" s="50" t="s">
        <v>266</v>
      </c>
      <c r="AU1147" s="48">
        <v>6</v>
      </c>
      <c r="AV1147" s="48">
        <v>120</v>
      </c>
      <c r="AW1147" s="48">
        <v>114</v>
      </c>
      <c r="AX1147" s="48">
        <v>28</v>
      </c>
      <c r="AY1147" s="48" t="s">
        <v>8728</v>
      </c>
      <c r="AZ1147" s="48" t="s">
        <v>1563</v>
      </c>
      <c r="BA1147" s="48">
        <v>32</v>
      </c>
      <c r="BB1147" s="47" t="s">
        <v>2485</v>
      </c>
      <c r="BC1147" s="47" t="s">
        <v>8726</v>
      </c>
      <c r="BD1147" s="47" t="s">
        <v>8374</v>
      </c>
      <c r="BE1147" s="48" t="s">
        <v>2449</v>
      </c>
      <c r="BF1147" s="48" t="s">
        <v>272</v>
      </c>
      <c r="BG1147" s="48" t="s">
        <v>272</v>
      </c>
      <c r="BH1147" s="48" t="s">
        <v>2486</v>
      </c>
      <c r="BI1147" s="98">
        <v>2.7937919999999998E-3</v>
      </c>
      <c r="BJ1147" s="98">
        <v>27.937919999999998</v>
      </c>
      <c r="BK1147" s="48"/>
      <c r="BL1147" s="487"/>
      <c r="BM1147" s="47" t="s">
        <v>2487</v>
      </c>
      <c r="BN1147" s="48"/>
      <c r="BO1147" s="48"/>
      <c r="BP1147" s="48"/>
      <c r="BQ1147" s="48"/>
      <c r="BR1147" s="47" t="e">
        <v>#VALUE!</v>
      </c>
      <c r="BS1147" s="48"/>
      <c r="BT1147" s="48"/>
      <c r="BU1147" s="228">
        <v>0.23607542400000001</v>
      </c>
      <c r="BV1147" s="48"/>
      <c r="BW1147" s="48"/>
      <c r="BX1147" s="48"/>
      <c r="BY1147" s="48"/>
      <c r="BZ1147" s="48"/>
      <c r="CA1147" s="48"/>
      <c r="CB1147" s="48"/>
      <c r="CC1147" s="48"/>
      <c r="CD1147" s="48"/>
      <c r="CE1147" s="48"/>
      <c r="CF1147" s="48"/>
      <c r="CG1147" s="48"/>
      <c r="CH1147" s="48"/>
      <c r="CI1147" s="98"/>
      <c r="CJ1147" s="98"/>
      <c r="CK1147" s="49">
        <f t="shared" si="238"/>
        <v>0</v>
      </c>
      <c r="CL1147" s="229"/>
      <c r="CM1147" s="229"/>
      <c r="CN1147" s="229"/>
      <c r="CO1147" s="47" t="s">
        <v>2488</v>
      </c>
      <c r="CP1147" s="500" t="s">
        <v>2489</v>
      </c>
      <c r="CQ1147" s="224" t="s">
        <v>272</v>
      </c>
      <c r="CR1147" s="224"/>
      <c r="CS1147" s="230" t="s">
        <v>539</v>
      </c>
      <c r="CT1147" s="230"/>
      <c r="CU1147" s="230"/>
      <c r="CV1147" s="335">
        <f t="shared" si="239"/>
        <v>6.2204245398983844E-2</v>
      </c>
      <c r="CW1147" s="230">
        <f t="shared" si="240"/>
        <v>0</v>
      </c>
      <c r="CX1147" s="336"/>
      <c r="CY1147" s="230" t="s">
        <v>5921</v>
      </c>
    </row>
    <row r="1148" spans="1:103" ht="11.25" customHeight="1" x14ac:dyDescent="0.2">
      <c r="A1148" s="72">
        <v>1606</v>
      </c>
      <c r="B1148" s="224">
        <v>1757</v>
      </c>
      <c r="C1148" s="46" t="s">
        <v>7606</v>
      </c>
      <c r="D1148" s="46"/>
      <c r="E1148" s="114"/>
      <c r="F1148" s="114" t="s">
        <v>5063</v>
      </c>
      <c r="G1148" s="225" t="s">
        <v>5063</v>
      </c>
      <c r="H1148" s="47" t="s">
        <v>5064</v>
      </c>
      <c r="I1148" s="47" t="s">
        <v>8202</v>
      </c>
      <c r="J1148" s="47"/>
      <c r="K1148" s="47"/>
      <c r="L1148" s="47"/>
      <c r="M1148" s="47"/>
      <c r="N1148" s="47"/>
      <c r="O1148" s="47"/>
      <c r="P1148" s="53"/>
      <c r="Q1148" s="53"/>
      <c r="R1148" s="53"/>
      <c r="S1148" s="53"/>
      <c r="T1148" s="48">
        <v>1348.58313</v>
      </c>
      <c r="U1148" s="98"/>
      <c r="V1148" s="98"/>
      <c r="W1148" s="98"/>
      <c r="X1148" s="98"/>
      <c r="Y1148" s="233">
        <v>8.09</v>
      </c>
      <c r="Z1148" s="48"/>
      <c r="AA1148" s="48"/>
      <c r="AB1148" s="48">
        <v>3.69</v>
      </c>
      <c r="AC1148" s="48">
        <v>0.63290000000000002</v>
      </c>
      <c r="AD1148" s="48">
        <v>4.0199999999999996</v>
      </c>
      <c r="AE1148" s="48">
        <v>4.7</v>
      </c>
      <c r="AF1148" s="48">
        <f t="shared" si="241"/>
        <v>4.0199999999999996</v>
      </c>
      <c r="AG1148" s="49">
        <v>4.0199999999999996</v>
      </c>
      <c r="AH1148" s="98"/>
      <c r="AI1148" s="98"/>
      <c r="AJ1148" s="483"/>
      <c r="AK1148" s="483"/>
      <c r="AL1148" s="483"/>
      <c r="AM1148" s="483">
        <v>-31.60895</v>
      </c>
      <c r="AN1148" s="226"/>
      <c r="AO1148" s="484">
        <v>12.68</v>
      </c>
      <c r="AP1148" s="484">
        <v>9.16</v>
      </c>
      <c r="AQ1148" s="226" t="s">
        <v>5921</v>
      </c>
      <c r="AR1148" s="226" t="s">
        <v>5921</v>
      </c>
      <c r="AS1148" s="224"/>
      <c r="AT1148" s="50" t="s">
        <v>266</v>
      </c>
      <c r="AU1148" s="48">
        <v>6</v>
      </c>
      <c r="AV1148" s="48">
        <v>120</v>
      </c>
      <c r="AW1148" s="48">
        <v>114</v>
      </c>
      <c r="AX1148" s="48">
        <v>28</v>
      </c>
      <c r="AY1148" s="48" t="s">
        <v>8728</v>
      </c>
      <c r="AZ1148" s="48" t="s">
        <v>1563</v>
      </c>
      <c r="BA1148" s="48">
        <v>32</v>
      </c>
      <c r="BB1148" s="47" t="s">
        <v>2485</v>
      </c>
      <c r="BC1148" s="47" t="s">
        <v>8726</v>
      </c>
      <c r="BD1148" s="47" t="s">
        <v>8374</v>
      </c>
      <c r="BE1148" s="48" t="s">
        <v>2449</v>
      </c>
      <c r="BF1148" s="48" t="s">
        <v>272</v>
      </c>
      <c r="BG1148" s="48" t="s">
        <v>272</v>
      </c>
      <c r="BH1148" s="48" t="s">
        <v>2486</v>
      </c>
      <c r="BI1148" s="98"/>
      <c r="BJ1148" s="98"/>
      <c r="BK1148" s="48"/>
      <c r="BL1148" s="487"/>
      <c r="BM1148" s="47" t="s">
        <v>2487</v>
      </c>
      <c r="BN1148" s="48"/>
      <c r="BO1148" s="48"/>
      <c r="BP1148" s="48"/>
      <c r="BQ1148" s="48"/>
      <c r="BR1148" s="47" t="e">
        <v>#VALUE!</v>
      </c>
      <c r="BS1148" s="48"/>
      <c r="BT1148" s="48"/>
      <c r="BU1148" s="228"/>
      <c r="BV1148" s="48"/>
      <c r="BW1148" s="48"/>
      <c r="BX1148" s="48"/>
      <c r="BY1148" s="48"/>
      <c r="BZ1148" s="48"/>
      <c r="CA1148" s="48"/>
      <c r="CB1148" s="48"/>
      <c r="CC1148" s="48"/>
      <c r="CD1148" s="48"/>
      <c r="CE1148" s="48"/>
      <c r="CF1148" s="48"/>
      <c r="CG1148" s="48"/>
      <c r="CH1148" s="48"/>
      <c r="CI1148" s="98"/>
      <c r="CJ1148" s="98"/>
      <c r="CK1148" s="49"/>
      <c r="CL1148" s="229"/>
      <c r="CM1148" s="229"/>
      <c r="CN1148" s="229"/>
      <c r="CO1148" s="47" t="s">
        <v>2488</v>
      </c>
      <c r="CP1148" s="500" t="s">
        <v>2489</v>
      </c>
      <c r="CQ1148" s="224" t="s">
        <v>272</v>
      </c>
      <c r="CR1148" s="224"/>
      <c r="CS1148" s="230" t="s">
        <v>539</v>
      </c>
      <c r="CT1148" s="230"/>
      <c r="CU1148" s="230"/>
      <c r="CV1148" s="335"/>
      <c r="CW1148" s="230"/>
      <c r="CX1148" s="336"/>
      <c r="CY1148" s="230" t="s">
        <v>5921</v>
      </c>
    </row>
    <row r="1149" spans="1:103" ht="11.25" customHeight="1" x14ac:dyDescent="0.2">
      <c r="A1149" s="72">
        <v>1607</v>
      </c>
      <c r="B1149" s="224">
        <v>998</v>
      </c>
      <c r="C1149" s="46" t="s">
        <v>7607</v>
      </c>
      <c r="D1149" s="46"/>
      <c r="E1149" s="114"/>
      <c r="F1149" s="114" t="s">
        <v>2845</v>
      </c>
      <c r="G1149" s="225" t="s">
        <v>2845</v>
      </c>
      <c r="H1149" s="47" t="s">
        <v>2846</v>
      </c>
      <c r="I1149" s="47" t="s">
        <v>7749</v>
      </c>
      <c r="J1149" s="47" t="s">
        <v>2847</v>
      </c>
      <c r="K1149" s="47" t="s">
        <v>1594</v>
      </c>
      <c r="L1149" s="47"/>
      <c r="M1149" s="47"/>
      <c r="N1149" s="47"/>
      <c r="O1149" s="47"/>
      <c r="P1149" s="53"/>
      <c r="Q1149" s="53"/>
      <c r="R1149" s="53"/>
      <c r="S1149" s="53"/>
      <c r="T1149" s="48">
        <v>353.76</v>
      </c>
      <c r="U1149" s="98"/>
      <c r="V1149" s="98">
        <v>3.1360000000000001</v>
      </c>
      <c r="W1149" s="98">
        <v>0.5870954643751104</v>
      </c>
      <c r="X1149" s="98">
        <v>0.5870954643751104</v>
      </c>
      <c r="Y1149" s="233">
        <v>7.01</v>
      </c>
      <c r="Z1149" s="48">
        <v>2.08</v>
      </c>
      <c r="AA1149" s="48"/>
      <c r="AB1149" s="48">
        <v>2.92</v>
      </c>
      <c r="AC1149" s="48">
        <v>0.67600000000000005</v>
      </c>
      <c r="AD1149" s="48">
        <v>3.26</v>
      </c>
      <c r="AE1149" s="48">
        <v>4.28</v>
      </c>
      <c r="AF1149" s="48">
        <f t="shared" si="241"/>
        <v>3.26</v>
      </c>
      <c r="AG1149" s="49">
        <v>3.26</v>
      </c>
      <c r="AH1149" s="98">
        <v>1.5600000000000001E-14</v>
      </c>
      <c r="AI1149" s="98"/>
      <c r="AJ1149" s="483">
        <f>LOG10(AH1149*1000/(0.08206*298.15))</f>
        <v>-12.19544172795819</v>
      </c>
      <c r="AK1149" s="483"/>
      <c r="AL1149" s="483">
        <f>IF(AK1149=0,AJ1149,AK1149)</f>
        <v>-12.19544172795819</v>
      </c>
      <c r="AM1149" s="483">
        <v>-18.96162</v>
      </c>
      <c r="AN1149" s="226"/>
      <c r="AO1149" s="484">
        <v>17.53</v>
      </c>
      <c r="AP1149" s="484">
        <v>4.88</v>
      </c>
      <c r="AQ1149" s="48" t="s">
        <v>5921</v>
      </c>
      <c r="AR1149" s="48" t="s">
        <v>5921</v>
      </c>
      <c r="AS1149" s="227"/>
      <c r="AT1149" s="50" t="s">
        <v>266</v>
      </c>
      <c r="AU1149" s="48">
        <v>6</v>
      </c>
      <c r="AV1149" s="48">
        <v>120</v>
      </c>
      <c r="AW1149" s="48">
        <v>114</v>
      </c>
      <c r="AX1149" s="48">
        <v>28</v>
      </c>
      <c r="AY1149" s="48" t="s">
        <v>8728</v>
      </c>
      <c r="AZ1149" s="48" t="s">
        <v>1563</v>
      </c>
      <c r="BA1149" s="48">
        <v>32</v>
      </c>
      <c r="BB1149" s="47" t="s">
        <v>2485</v>
      </c>
      <c r="BC1149" s="47" t="s">
        <v>8726</v>
      </c>
      <c r="BD1149" s="47" t="s">
        <v>8374</v>
      </c>
      <c r="BE1149" s="48" t="s">
        <v>2449</v>
      </c>
      <c r="BF1149" s="48" t="s">
        <v>272</v>
      </c>
      <c r="BG1149" s="48" t="s">
        <v>272</v>
      </c>
      <c r="BH1149" s="48" t="s">
        <v>2486</v>
      </c>
      <c r="BI1149" s="98">
        <v>2.2640639999999997E-3</v>
      </c>
      <c r="BJ1149" s="98">
        <v>22.640640000000001</v>
      </c>
      <c r="BK1149" s="48"/>
      <c r="BL1149" s="487">
        <v>246.29790923701876</v>
      </c>
      <c r="BM1149" s="47" t="s">
        <v>2487</v>
      </c>
      <c r="BN1149" s="48"/>
      <c r="BO1149" s="48"/>
      <c r="BP1149" s="48"/>
      <c r="BQ1149" s="48"/>
      <c r="BR1149" s="47" t="e">
        <v>#VALUE!</v>
      </c>
      <c r="BS1149" s="48"/>
      <c r="BT1149" s="48"/>
      <c r="BU1149" s="228">
        <v>2.2640639999999999</v>
      </c>
      <c r="BV1149" s="48"/>
      <c r="BW1149" s="48"/>
      <c r="BX1149" s="48"/>
      <c r="BY1149" s="48"/>
      <c r="BZ1149" s="48"/>
      <c r="CA1149" s="48"/>
      <c r="CB1149" s="48"/>
      <c r="CC1149" s="48"/>
      <c r="CD1149" s="48"/>
      <c r="CE1149" s="48"/>
      <c r="CF1149" s="48"/>
      <c r="CG1149" s="48"/>
      <c r="CH1149" s="48"/>
      <c r="CI1149" s="98"/>
      <c r="CJ1149" s="98"/>
      <c r="CK1149" s="49">
        <f>BL1149/BJ1149</f>
        <v>10.878575395263505</v>
      </c>
      <c r="CL1149" s="229"/>
      <c r="CM1149" s="229"/>
      <c r="CN1149" s="229"/>
      <c r="CO1149" s="47" t="s">
        <v>2488</v>
      </c>
      <c r="CP1149" s="500" t="s">
        <v>2489</v>
      </c>
      <c r="CQ1149" s="224" t="s">
        <v>272</v>
      </c>
      <c r="CR1149" s="224"/>
      <c r="CS1149" s="230" t="s">
        <v>539</v>
      </c>
      <c r="CT1149" s="230"/>
      <c r="CU1149" s="230"/>
      <c r="CV1149" s="335">
        <f>X1149/BJ1149</f>
        <v>2.5931045428711837E-2</v>
      </c>
      <c r="CW1149" s="230">
        <f t="shared" ref="CW1149:CW1156" si="244">IF(CV1149&lt;1,0,1)</f>
        <v>0</v>
      </c>
      <c r="CX1149" s="336"/>
      <c r="CY1149" s="230" t="s">
        <v>5921</v>
      </c>
    </row>
    <row r="1150" spans="1:103" ht="11.25" customHeight="1" x14ac:dyDescent="0.2">
      <c r="A1150" s="72">
        <v>1608</v>
      </c>
      <c r="B1150" s="224">
        <v>88</v>
      </c>
      <c r="C1150" s="46" t="s">
        <v>7608</v>
      </c>
      <c r="D1150" s="46"/>
      <c r="E1150" s="114"/>
      <c r="F1150" s="114" t="s">
        <v>3657</v>
      </c>
      <c r="G1150" s="225" t="s">
        <v>3657</v>
      </c>
      <c r="H1150" s="236" t="s">
        <v>3658</v>
      </c>
      <c r="I1150" s="236" t="s">
        <v>8187</v>
      </c>
      <c r="J1150" s="236" t="s">
        <v>3659</v>
      </c>
      <c r="K1150" s="236" t="s">
        <v>455</v>
      </c>
      <c r="L1150" s="47"/>
      <c r="M1150" s="47"/>
      <c r="N1150" s="47"/>
      <c r="O1150" s="52"/>
      <c r="P1150" s="53"/>
      <c r="Q1150" s="53"/>
      <c r="R1150" s="53"/>
      <c r="S1150" s="53"/>
      <c r="T1150" s="226">
        <v>771.73</v>
      </c>
      <c r="U1150" s="98"/>
      <c r="V1150" s="98">
        <v>2.0329598946752485</v>
      </c>
      <c r="W1150" s="98">
        <v>475.84486078656141</v>
      </c>
      <c r="X1150" s="98">
        <v>475.84486078656141</v>
      </c>
      <c r="Y1150" s="233">
        <v>10.36</v>
      </c>
      <c r="Z1150" s="48">
        <v>4.18</v>
      </c>
      <c r="AA1150" s="48"/>
      <c r="AB1150" s="48">
        <v>3.33</v>
      </c>
      <c r="AC1150" s="48">
        <v>0.69640000000000002</v>
      </c>
      <c r="AD1150" s="48">
        <v>3.6</v>
      </c>
      <c r="AE1150" s="48">
        <v>4.07</v>
      </c>
      <c r="AF1150" s="48">
        <f t="shared" si="241"/>
        <v>3.6</v>
      </c>
      <c r="AG1150" s="48">
        <v>3.6</v>
      </c>
      <c r="AH1150" s="98">
        <v>4.64E-17</v>
      </c>
      <c r="AI1150" s="98"/>
      <c r="AJ1150" s="483">
        <f>LOG10(AH1150*1000/(0.08206*298.15))</f>
        <v>-14.722048345757772</v>
      </c>
      <c r="AK1150" s="483"/>
      <c r="AL1150" s="483">
        <f>IF(AK1150=0,AJ1150,AK1150)</f>
        <v>-14.722048345757772</v>
      </c>
      <c r="AM1150" s="483">
        <v>-19.477709999999998</v>
      </c>
      <c r="AN1150" s="48"/>
      <c r="AO1150" s="484"/>
      <c r="AP1150" s="484">
        <v>10.050000000000001</v>
      </c>
      <c r="AQ1150" s="48" t="s">
        <v>5921</v>
      </c>
      <c r="AR1150" s="48" t="s">
        <v>5921</v>
      </c>
      <c r="AS1150" s="227"/>
      <c r="AT1150" s="50" t="s">
        <v>266</v>
      </c>
      <c r="AU1150" s="48">
        <v>6</v>
      </c>
      <c r="AV1150" s="48">
        <v>120</v>
      </c>
      <c r="AW1150" s="48">
        <v>114</v>
      </c>
      <c r="AX1150" s="48">
        <v>28</v>
      </c>
      <c r="AY1150" s="48" t="s">
        <v>8728</v>
      </c>
      <c r="AZ1150" s="48" t="s">
        <v>1563</v>
      </c>
      <c r="BA1150" s="48">
        <v>32</v>
      </c>
      <c r="BB1150" s="47" t="s">
        <v>2485</v>
      </c>
      <c r="BC1150" s="47" t="s">
        <v>8726</v>
      </c>
      <c r="BD1150" s="47" t="s">
        <v>8374</v>
      </c>
      <c r="BE1150" s="48" t="s">
        <v>2449</v>
      </c>
      <c r="BF1150" s="48" t="s">
        <v>272</v>
      </c>
      <c r="BG1150" s="48" t="s">
        <v>272</v>
      </c>
      <c r="BH1150" s="48" t="s">
        <v>2486</v>
      </c>
      <c r="BI1150" s="98">
        <v>4.9390720000000001E-3</v>
      </c>
      <c r="BJ1150" s="98">
        <v>49.390720000000002</v>
      </c>
      <c r="BK1150" s="48"/>
      <c r="BL1150" s="487">
        <v>6.9856590188187733</v>
      </c>
      <c r="BM1150" s="47" t="s">
        <v>2487</v>
      </c>
      <c r="BN1150" s="48"/>
      <c r="BO1150" s="48"/>
      <c r="BP1150" s="48"/>
      <c r="BQ1150" s="48"/>
      <c r="BR1150" s="47" t="e">
        <v>#VALUE!</v>
      </c>
      <c r="BS1150" s="48"/>
      <c r="BT1150" s="48"/>
      <c r="BU1150" s="228"/>
      <c r="BV1150" s="48"/>
      <c r="BW1150" s="48"/>
      <c r="BX1150" s="48"/>
      <c r="BY1150" s="48"/>
      <c r="BZ1150" s="48"/>
      <c r="CA1150" s="48"/>
      <c r="CB1150" s="48"/>
      <c r="CC1150" s="48"/>
      <c r="CD1150" s="48"/>
      <c r="CE1150" s="48"/>
      <c r="CF1150" s="48"/>
      <c r="CG1150" s="48"/>
      <c r="CH1150" s="48"/>
      <c r="CI1150" s="98"/>
      <c r="CJ1150" s="98"/>
      <c r="CK1150" s="49">
        <f>BL1150/BJ1150</f>
        <v>0.14143667107543226</v>
      </c>
      <c r="CL1150" s="229"/>
      <c r="CM1150" s="229"/>
      <c r="CN1150" s="229"/>
      <c r="CO1150" s="47" t="s">
        <v>2488</v>
      </c>
      <c r="CP1150" s="500" t="s">
        <v>2489</v>
      </c>
      <c r="CQ1150" s="224" t="s">
        <v>272</v>
      </c>
      <c r="CR1150" s="224"/>
      <c r="CS1150" s="230" t="s">
        <v>539</v>
      </c>
      <c r="CT1150" s="230"/>
      <c r="CU1150" s="230"/>
      <c r="CV1150" s="335">
        <f>X1150/BJ1150</f>
        <v>9.6342969040856534</v>
      </c>
      <c r="CW1150" s="230">
        <f t="shared" si="244"/>
        <v>1</v>
      </c>
      <c r="CX1150" s="336"/>
      <c r="CY1150" s="230" t="s">
        <v>5921</v>
      </c>
    </row>
    <row r="1151" spans="1:103" ht="11.25" customHeight="1" x14ac:dyDescent="0.2">
      <c r="A1151" s="72">
        <v>1609</v>
      </c>
      <c r="B1151" s="224">
        <v>1859</v>
      </c>
      <c r="C1151" s="46" t="s">
        <v>7609</v>
      </c>
      <c r="D1151" s="46"/>
      <c r="E1151" s="114"/>
      <c r="F1151" s="114" t="s">
        <v>5283</v>
      </c>
      <c r="G1151" s="225" t="s">
        <v>5283</v>
      </c>
      <c r="H1151" s="47" t="s">
        <v>5284</v>
      </c>
      <c r="I1151" s="47" t="s">
        <v>8203</v>
      </c>
      <c r="J1151" s="47" t="s">
        <v>5285</v>
      </c>
      <c r="K1151" s="47" t="s">
        <v>471</v>
      </c>
      <c r="L1151" s="47"/>
      <c r="M1151" s="47"/>
      <c r="N1151" s="47"/>
      <c r="O1151" s="47"/>
      <c r="P1151" s="53"/>
      <c r="Q1151" s="53"/>
      <c r="R1151" s="53"/>
      <c r="S1151" s="53"/>
      <c r="T1151" s="48">
        <v>339.77</v>
      </c>
      <c r="U1151" s="98"/>
      <c r="V1151" s="98">
        <v>61.58</v>
      </c>
      <c r="W1151" s="98">
        <v>195.5172275090456</v>
      </c>
      <c r="X1151" s="98">
        <v>195.5172275090456</v>
      </c>
      <c r="Y1151" s="233">
        <v>3.28</v>
      </c>
      <c r="Z1151" s="48">
        <v>2.2599999999999998</v>
      </c>
      <c r="AA1151" s="48"/>
      <c r="AB1151" s="48">
        <v>3.14</v>
      </c>
      <c r="AC1151" s="48">
        <v>0.66610000000000003</v>
      </c>
      <c r="AD1151" s="48">
        <v>3.13</v>
      </c>
      <c r="AE1151" s="48">
        <v>3.1</v>
      </c>
      <c r="AF1151" s="48">
        <f t="shared" si="241"/>
        <v>3.13</v>
      </c>
      <c r="AG1151" s="49">
        <v>3.65</v>
      </c>
      <c r="AH1151" s="98">
        <v>1.42E-10</v>
      </c>
      <c r="AI1151" s="98"/>
      <c r="AJ1151" s="483">
        <f>LOG10(AH1151*1000/(0.08206*298.15))</f>
        <v>-8.2362779819295948</v>
      </c>
      <c r="AK1151" s="483"/>
      <c r="AL1151" s="483">
        <f>IF(AK1151=0,AJ1151,AK1151)</f>
        <v>-8.2362779819295948</v>
      </c>
      <c r="AM1151" s="483">
        <v>-17.853460000000002</v>
      </c>
      <c r="AN1151" s="226">
        <v>-15.6</v>
      </c>
      <c r="AO1151" s="484">
        <v>2.2400000000000002</v>
      </c>
      <c r="AP1151" s="484">
        <v>-3.34</v>
      </c>
      <c r="AQ1151" s="226" t="s">
        <v>5921</v>
      </c>
      <c r="AR1151" s="226" t="s">
        <v>5921</v>
      </c>
      <c r="AS1151" s="224"/>
      <c r="AT1151" s="50" t="s">
        <v>266</v>
      </c>
      <c r="AU1151" s="48">
        <v>6</v>
      </c>
      <c r="AV1151" s="48">
        <v>120</v>
      </c>
      <c r="AW1151" s="48">
        <v>114</v>
      </c>
      <c r="AX1151" s="48">
        <v>28</v>
      </c>
      <c r="AY1151" s="48" t="s">
        <v>8728</v>
      </c>
      <c r="AZ1151" s="48" t="s">
        <v>1563</v>
      </c>
      <c r="BA1151" s="48">
        <v>32</v>
      </c>
      <c r="BB1151" s="47" t="s">
        <v>2485</v>
      </c>
      <c r="BC1151" s="47" t="s">
        <v>8726</v>
      </c>
      <c r="BD1151" s="47" t="s">
        <v>8374</v>
      </c>
      <c r="BE1151" s="48" t="s">
        <v>2449</v>
      </c>
      <c r="BF1151" s="48" t="s">
        <v>272</v>
      </c>
      <c r="BG1151" s="48" t="s">
        <v>272</v>
      </c>
      <c r="BH1151" s="48" t="s">
        <v>2486</v>
      </c>
      <c r="BI1151" s="98">
        <v>2.1745279999999998E-3</v>
      </c>
      <c r="BJ1151" s="98">
        <v>21.745280000000001</v>
      </c>
      <c r="BK1151" s="48"/>
      <c r="BL1151" s="487">
        <v>163.03431766129484</v>
      </c>
      <c r="BM1151" s="47" t="s">
        <v>2487</v>
      </c>
      <c r="BN1151" s="48"/>
      <c r="BO1151" s="48"/>
      <c r="BP1151" s="48"/>
      <c r="BQ1151" s="48"/>
      <c r="BR1151" s="47" t="e">
        <v>#VALUE!</v>
      </c>
      <c r="BS1151" s="48"/>
      <c r="BT1151" s="48"/>
      <c r="BU1151" s="228"/>
      <c r="BV1151" s="48"/>
      <c r="BW1151" s="48"/>
      <c r="BX1151" s="48"/>
      <c r="BY1151" s="48"/>
      <c r="BZ1151" s="48"/>
      <c r="CA1151" s="48"/>
      <c r="CB1151" s="48"/>
      <c r="CC1151" s="48"/>
      <c r="CD1151" s="48"/>
      <c r="CE1151" s="48"/>
      <c r="CF1151" s="48"/>
      <c r="CG1151" s="48"/>
      <c r="CH1151" s="48"/>
      <c r="CI1151" s="98"/>
      <c r="CJ1151" s="98"/>
      <c r="CK1151" s="49">
        <f>BL1151/BJ1151</f>
        <v>7.4974577315764535</v>
      </c>
      <c r="CL1151" s="229"/>
      <c r="CM1151" s="229"/>
      <c r="CN1151" s="229"/>
      <c r="CO1151" s="47" t="s">
        <v>2488</v>
      </c>
      <c r="CP1151" s="500" t="s">
        <v>2489</v>
      </c>
      <c r="CQ1151" s="224" t="s">
        <v>272</v>
      </c>
      <c r="CR1151" s="224"/>
      <c r="CS1151" s="230" t="s">
        <v>539</v>
      </c>
      <c r="CT1151" s="230"/>
      <c r="CU1151" s="230"/>
      <c r="CV1151" s="335">
        <f>X1151/BJ1151</f>
        <v>8.9912490208930667</v>
      </c>
      <c r="CW1151" s="230">
        <f t="shared" si="244"/>
        <v>1</v>
      </c>
      <c r="CX1151" s="336"/>
      <c r="CY1151" s="230" t="s">
        <v>5921</v>
      </c>
    </row>
    <row r="1152" spans="1:103" ht="11.25" customHeight="1" x14ac:dyDescent="0.2">
      <c r="A1152" s="72">
        <v>1610</v>
      </c>
      <c r="B1152" s="224">
        <v>945</v>
      </c>
      <c r="C1152" s="46" t="s">
        <v>7610</v>
      </c>
      <c r="D1152" s="46"/>
      <c r="E1152" s="114"/>
      <c r="F1152" s="114" t="s">
        <v>2696</v>
      </c>
      <c r="G1152" s="225" t="s">
        <v>2696</v>
      </c>
      <c r="H1152" s="47" t="s">
        <v>2697</v>
      </c>
      <c r="I1152" s="47" t="s">
        <v>7816</v>
      </c>
      <c r="J1152" s="47" t="s">
        <v>2698</v>
      </c>
      <c r="K1152" s="47" t="s">
        <v>2699</v>
      </c>
      <c r="L1152" s="47"/>
      <c r="M1152" s="47"/>
      <c r="N1152" s="47"/>
      <c r="O1152" s="47"/>
      <c r="P1152" s="53"/>
      <c r="Q1152" s="53"/>
      <c r="R1152" s="53"/>
      <c r="S1152" s="53"/>
      <c r="T1152" s="48">
        <v>390.25</v>
      </c>
      <c r="U1152" s="98"/>
      <c r="V1152" s="98">
        <v>2.617</v>
      </c>
      <c r="W1152" s="98">
        <v>364.20249088602554</v>
      </c>
      <c r="X1152" s="98">
        <v>364.20249088602554</v>
      </c>
      <c r="Y1152" s="233">
        <v>3.04</v>
      </c>
      <c r="Z1152" s="48">
        <v>3.66</v>
      </c>
      <c r="AA1152" s="48"/>
      <c r="AB1152" s="48">
        <v>3.25</v>
      </c>
      <c r="AC1152" s="48">
        <v>0.67610000000000003</v>
      </c>
      <c r="AD1152" s="48">
        <v>3.34</v>
      </c>
      <c r="AE1152" s="48">
        <v>3.52</v>
      </c>
      <c r="AF1152" s="48">
        <f t="shared" si="241"/>
        <v>3.34</v>
      </c>
      <c r="AG1152" s="49">
        <v>3.42</v>
      </c>
      <c r="AH1152" s="98">
        <v>4.3E-11</v>
      </c>
      <c r="AI1152" s="98"/>
      <c r="AJ1152" s="483">
        <f>LOG10(AH1152*1000/(0.08206*298.15))</f>
        <v>-8.7550978707330653</v>
      </c>
      <c r="AK1152" s="483"/>
      <c r="AL1152" s="483">
        <f>IF(AK1152=0,AJ1152,AK1152)</f>
        <v>-8.7550978707330653</v>
      </c>
      <c r="AM1152" s="483">
        <v>-17.765239999999999</v>
      </c>
      <c r="AN1152" s="226">
        <v>-9.34</v>
      </c>
      <c r="AO1152" s="484">
        <v>1.33</v>
      </c>
      <c r="AP1152" s="484">
        <v>-3.76</v>
      </c>
      <c r="AQ1152" s="48" t="s">
        <v>5921</v>
      </c>
      <c r="AR1152" s="48" t="s">
        <v>5921</v>
      </c>
      <c r="AS1152" s="227"/>
      <c r="AT1152" s="50" t="s">
        <v>266</v>
      </c>
      <c r="AU1152" s="48">
        <v>6</v>
      </c>
      <c r="AV1152" s="48">
        <v>120</v>
      </c>
      <c r="AW1152" s="48">
        <v>114</v>
      </c>
      <c r="AX1152" s="48">
        <v>28</v>
      </c>
      <c r="AY1152" s="48" t="s">
        <v>8728</v>
      </c>
      <c r="AZ1152" s="48" t="s">
        <v>1563</v>
      </c>
      <c r="BA1152" s="48">
        <v>32</v>
      </c>
      <c r="BB1152" s="47" t="s">
        <v>2485</v>
      </c>
      <c r="BC1152" s="47" t="s">
        <v>8726</v>
      </c>
      <c r="BD1152" s="47" t="s">
        <v>8374</v>
      </c>
      <c r="BE1152" s="48" t="s">
        <v>2449</v>
      </c>
      <c r="BF1152" s="48" t="s">
        <v>272</v>
      </c>
      <c r="BG1152" s="48" t="s">
        <v>272</v>
      </c>
      <c r="BH1152" s="48" t="s">
        <v>2486</v>
      </c>
      <c r="BI1152" s="98">
        <v>2.4976E-3</v>
      </c>
      <c r="BJ1152" s="98">
        <v>24.975999999999999</v>
      </c>
      <c r="BK1152" s="48"/>
      <c r="BL1152" s="487">
        <v>10.353731818558781</v>
      </c>
      <c r="BM1152" s="47" t="s">
        <v>2487</v>
      </c>
      <c r="BN1152" s="48"/>
      <c r="BO1152" s="48"/>
      <c r="BP1152" s="48"/>
      <c r="BQ1152" s="48"/>
      <c r="BR1152" s="47" t="e">
        <v>#VALUE!</v>
      </c>
      <c r="BS1152" s="48"/>
      <c r="BT1152" s="48"/>
      <c r="BU1152" s="228">
        <v>2.4975999999999998E-2</v>
      </c>
      <c r="BV1152" s="48"/>
      <c r="BW1152" s="48"/>
      <c r="BX1152" s="48"/>
      <c r="BY1152" s="48"/>
      <c r="BZ1152" s="48"/>
      <c r="CA1152" s="48"/>
      <c r="CB1152" s="48"/>
      <c r="CC1152" s="48"/>
      <c r="CD1152" s="48"/>
      <c r="CE1152" s="48"/>
      <c r="CF1152" s="48"/>
      <c r="CG1152" s="48"/>
      <c r="CH1152" s="48"/>
      <c r="CI1152" s="98"/>
      <c r="CJ1152" s="98"/>
      <c r="CK1152" s="49">
        <f>BL1152/BJ1152</f>
        <v>0.41454723809091854</v>
      </c>
      <c r="CL1152" s="229"/>
      <c r="CM1152" s="229"/>
      <c r="CN1152" s="229"/>
      <c r="CO1152" s="47" t="s">
        <v>2488</v>
      </c>
      <c r="CP1152" s="500" t="s">
        <v>2489</v>
      </c>
      <c r="CQ1152" s="224" t="s">
        <v>272</v>
      </c>
      <c r="CR1152" s="224"/>
      <c r="CS1152" s="230" t="s">
        <v>539</v>
      </c>
      <c r="CT1152" s="230"/>
      <c r="CU1152" s="230"/>
      <c r="CV1152" s="335">
        <f>X1152/BJ1152</f>
        <v>14.582098449952976</v>
      </c>
      <c r="CW1152" s="230">
        <f t="shared" si="244"/>
        <v>1</v>
      </c>
      <c r="CX1152" s="336"/>
      <c r="CY1152" s="230" t="s">
        <v>5921</v>
      </c>
    </row>
    <row r="1153" spans="1:103" ht="11.25" customHeight="1" x14ac:dyDescent="0.2">
      <c r="A1153" s="72">
        <v>2002</v>
      </c>
      <c r="B1153" s="298">
        <v>1165</v>
      </c>
      <c r="C1153" s="121" t="s">
        <v>3213</v>
      </c>
      <c r="D1153" s="121"/>
      <c r="E1153" s="122">
        <v>1</v>
      </c>
      <c r="F1153" s="122" t="s">
        <v>3214</v>
      </c>
      <c r="G1153" s="299">
        <v>1303113</v>
      </c>
      <c r="H1153" s="286" t="s">
        <v>3215</v>
      </c>
      <c r="I1153" s="286"/>
      <c r="J1153" s="286"/>
      <c r="K1153" s="284" t="s">
        <v>416</v>
      </c>
      <c r="L1153" s="286"/>
      <c r="M1153" s="286"/>
      <c r="N1153" s="286"/>
      <c r="O1153" s="286"/>
      <c r="P1153" s="286"/>
      <c r="Q1153" s="286"/>
      <c r="R1153" s="286"/>
      <c r="S1153" s="286"/>
      <c r="T1153" s="123">
        <v>189.74</v>
      </c>
      <c r="U1153" s="300"/>
      <c r="V1153" s="300"/>
      <c r="W1153" s="300"/>
      <c r="X1153" s="300"/>
      <c r="Y1153" s="419"/>
      <c r="Z1153" s="116"/>
      <c r="AA1153" s="116"/>
      <c r="AB1153" s="116"/>
      <c r="AC1153" s="116"/>
      <c r="AD1153" s="116"/>
      <c r="AE1153" s="116"/>
      <c r="AF1153" s="116"/>
      <c r="AG1153" s="117" t="s">
        <v>404</v>
      </c>
      <c r="AH1153" s="300"/>
      <c r="AI1153" s="292"/>
      <c r="AJ1153" s="125"/>
      <c r="AK1153" s="125"/>
      <c r="AL1153" s="125"/>
      <c r="AM1153" s="125"/>
      <c r="AN1153" s="301"/>
      <c r="AO1153" s="420"/>
      <c r="AP1153" s="420"/>
      <c r="AQ1153" s="123" t="s">
        <v>6311</v>
      </c>
      <c r="AR1153" s="123" t="s">
        <v>6311</v>
      </c>
      <c r="AS1153" s="302"/>
      <c r="AT1153" s="124" t="s">
        <v>266</v>
      </c>
      <c r="AU1153" s="123">
        <v>6</v>
      </c>
      <c r="AV1153" s="123">
        <v>120</v>
      </c>
      <c r="AW1153" s="123">
        <v>114</v>
      </c>
      <c r="AX1153" s="123">
        <v>28</v>
      </c>
      <c r="AY1153" s="123" t="s">
        <v>8728</v>
      </c>
      <c r="AZ1153" s="123" t="s">
        <v>1563</v>
      </c>
      <c r="BA1153" s="123">
        <v>32</v>
      </c>
      <c r="BB1153" s="286" t="s">
        <v>2485</v>
      </c>
      <c r="BC1153" s="284" t="s">
        <v>8726</v>
      </c>
      <c r="BD1153" s="286" t="s">
        <v>8374</v>
      </c>
      <c r="BE1153" s="123" t="s">
        <v>2449</v>
      </c>
      <c r="BF1153" s="123" t="s">
        <v>272</v>
      </c>
      <c r="BG1153" s="123" t="s">
        <v>272</v>
      </c>
      <c r="BH1153" s="123" t="s">
        <v>2486</v>
      </c>
      <c r="BI1153" s="300">
        <v>1.2143360000000001E-3</v>
      </c>
      <c r="BJ1153" s="300">
        <v>12.143360000000001</v>
      </c>
      <c r="BK1153" s="123"/>
      <c r="BL1153" s="287"/>
      <c r="BM1153" s="286" t="s">
        <v>2487</v>
      </c>
      <c r="BN1153" s="123"/>
      <c r="BO1153" s="123"/>
      <c r="BP1153" s="123"/>
      <c r="BQ1153" s="123"/>
      <c r="BR1153" s="286" t="e">
        <v>#VALUE!</v>
      </c>
      <c r="BS1153" s="123"/>
      <c r="BT1153" s="123"/>
      <c r="BU1153" s="123">
        <v>1.2143360000000001</v>
      </c>
      <c r="BV1153" s="123"/>
      <c r="BW1153" s="123"/>
      <c r="BX1153" s="123"/>
      <c r="BY1153" s="123"/>
      <c r="BZ1153" s="123"/>
      <c r="CA1153" s="123"/>
      <c r="CB1153" s="123"/>
      <c r="CC1153" s="123"/>
      <c r="CD1153" s="123"/>
      <c r="CE1153" s="123"/>
      <c r="CF1153" s="123"/>
      <c r="CG1153" s="123"/>
      <c r="CH1153" s="123"/>
      <c r="CI1153" s="300"/>
      <c r="CJ1153" s="292"/>
      <c r="CK1153" s="120" t="s">
        <v>404</v>
      </c>
      <c r="CL1153" s="294"/>
      <c r="CM1153" s="294"/>
      <c r="CN1153" s="294">
        <f t="shared" ref="CN1153:CN1161" si="245">BJ1153/(10^CM1153)</f>
        <v>12.143360000000001</v>
      </c>
      <c r="CO1153" s="286" t="s">
        <v>2488</v>
      </c>
      <c r="CP1153" s="295" t="s">
        <v>2489</v>
      </c>
      <c r="CQ1153" s="282"/>
      <c r="CR1153" s="282">
        <f t="shared" ref="CR1153:CR1162" si="246">10^(CJ1153-CQ1153)</f>
        <v>1</v>
      </c>
      <c r="CS1153" s="123" t="s">
        <v>539</v>
      </c>
      <c r="CT1153" s="123"/>
      <c r="CU1153" s="300" t="s">
        <v>6310</v>
      </c>
      <c r="CV1153" s="338" t="s">
        <v>6310</v>
      </c>
      <c r="CW1153" s="123">
        <f t="shared" si="244"/>
        <v>1</v>
      </c>
      <c r="CX1153" s="339"/>
      <c r="CY1153" s="295" t="s">
        <v>5921</v>
      </c>
    </row>
    <row r="1154" spans="1:103" ht="11.25" customHeight="1" x14ac:dyDescent="0.2">
      <c r="A1154" s="72">
        <v>2003</v>
      </c>
      <c r="B1154" s="282">
        <v>70</v>
      </c>
      <c r="C1154" s="115" t="s">
        <v>751</v>
      </c>
      <c r="D1154" s="115"/>
      <c r="E1154" s="116">
        <v>1</v>
      </c>
      <c r="F1154" s="116" t="s">
        <v>752</v>
      </c>
      <c r="G1154" s="283">
        <v>57136</v>
      </c>
      <c r="H1154" s="303" t="s">
        <v>753</v>
      </c>
      <c r="I1154" s="303"/>
      <c r="J1154" s="303" t="s">
        <v>754</v>
      </c>
      <c r="K1154" s="284" t="s">
        <v>416</v>
      </c>
      <c r="L1154" s="284"/>
      <c r="M1154" s="284"/>
      <c r="N1154" s="284"/>
      <c r="O1154" s="304"/>
      <c r="P1154" s="286"/>
      <c r="Q1154" s="286"/>
      <c r="R1154" s="286"/>
      <c r="S1154" s="286"/>
      <c r="T1154" s="297">
        <v>60.06</v>
      </c>
      <c r="U1154" s="292"/>
      <c r="V1154" s="292"/>
      <c r="W1154" s="292">
        <v>996747.89660699933</v>
      </c>
      <c r="X1154" s="292">
        <v>996747.89660699933</v>
      </c>
      <c r="Y1154" s="370">
        <v>6.41</v>
      </c>
      <c r="Z1154" s="119"/>
      <c r="AA1154" s="119"/>
      <c r="AB1154" s="116">
        <v>-1.59</v>
      </c>
      <c r="AC1154" s="116">
        <v>0.81310000000000004</v>
      </c>
      <c r="AD1154" s="116">
        <v>-1.75</v>
      </c>
      <c r="AE1154" s="116">
        <v>-2.11</v>
      </c>
      <c r="AF1154" s="116">
        <f>IF(AA1154=0,AD1154,AA1154)</f>
        <v>-1.75</v>
      </c>
      <c r="AG1154" s="119">
        <v>-1.32</v>
      </c>
      <c r="AH1154" s="292">
        <v>3.6499999999999998E-10</v>
      </c>
      <c r="AI1154" s="292">
        <v>1.7400000000000001E-12</v>
      </c>
      <c r="AJ1154" s="125">
        <f>LOG10(AH1154*1000/(0.08206*298.15))</f>
        <v>-7.8262734618561769</v>
      </c>
      <c r="AK1154" s="125">
        <f>LOG10(AI1154*1000/(0.08206*298.15))</f>
        <v>-10.148017078030053</v>
      </c>
      <c r="AL1154" s="125">
        <f>IF(AK1154=0,AJ1154,AK1154)</f>
        <v>-10.148017078030053</v>
      </c>
      <c r="AM1154" s="125"/>
      <c r="AN1154" s="119">
        <v>-9</v>
      </c>
      <c r="AO1154" s="420">
        <v>14.43</v>
      </c>
      <c r="AP1154" s="420">
        <v>0.1</v>
      </c>
      <c r="AQ1154" s="119" t="s">
        <v>6311</v>
      </c>
      <c r="AR1154" s="119" t="s">
        <v>6311</v>
      </c>
      <c r="AS1154" s="289"/>
      <c r="AT1154" s="118" t="s">
        <v>266</v>
      </c>
      <c r="AU1154" s="119">
        <v>6</v>
      </c>
      <c r="AV1154" s="119">
        <v>120</v>
      </c>
      <c r="AW1154" s="119">
        <v>114</v>
      </c>
      <c r="AX1154" s="119">
        <v>28</v>
      </c>
      <c r="AY1154" s="119" t="s">
        <v>8728</v>
      </c>
      <c r="AZ1154" s="119" t="s">
        <v>1563</v>
      </c>
      <c r="BA1154" s="119">
        <v>32</v>
      </c>
      <c r="BB1154" s="284" t="s">
        <v>2485</v>
      </c>
      <c r="BC1154" s="284" t="s">
        <v>8726</v>
      </c>
      <c r="BD1154" s="284" t="s">
        <v>8374</v>
      </c>
      <c r="BE1154" s="119" t="s">
        <v>2449</v>
      </c>
      <c r="BF1154" s="119" t="s">
        <v>272</v>
      </c>
      <c r="BG1154" s="119" t="s">
        <v>272</v>
      </c>
      <c r="BH1154" s="119" t="s">
        <v>2486</v>
      </c>
      <c r="BI1154" s="292">
        <v>3.8438399999999998E-4</v>
      </c>
      <c r="BJ1154" s="292">
        <v>3.8438400000000001</v>
      </c>
      <c r="BK1154" s="119"/>
      <c r="BL1154" s="287"/>
      <c r="BM1154" s="284" t="s">
        <v>2487</v>
      </c>
      <c r="BN1154" s="119"/>
      <c r="BO1154" s="119"/>
      <c r="BP1154" s="119"/>
      <c r="BQ1154" s="119"/>
      <c r="BR1154" s="284" t="e">
        <v>#VALUE!</v>
      </c>
      <c r="BS1154" s="119"/>
      <c r="BT1154" s="119"/>
      <c r="BU1154" s="293">
        <v>3.8438399999999998E-3</v>
      </c>
      <c r="BV1154" s="119"/>
      <c r="BW1154" s="119"/>
      <c r="BX1154" s="119"/>
      <c r="BY1154" s="119"/>
      <c r="BZ1154" s="119"/>
      <c r="CA1154" s="119"/>
      <c r="CB1154" s="119"/>
      <c r="CC1154" s="119"/>
      <c r="CD1154" s="119"/>
      <c r="CE1154" s="119"/>
      <c r="CF1154" s="119"/>
      <c r="CG1154" s="119"/>
      <c r="CH1154" s="119"/>
      <c r="CI1154" s="292"/>
      <c r="CJ1154" s="292"/>
      <c r="CK1154" s="120" t="s">
        <v>404</v>
      </c>
      <c r="CL1154" s="294"/>
      <c r="CM1154" s="294"/>
      <c r="CN1154" s="294">
        <f t="shared" si="245"/>
        <v>3.8438400000000001</v>
      </c>
      <c r="CO1154" s="284" t="s">
        <v>2488</v>
      </c>
      <c r="CP1154" s="498" t="s">
        <v>2489</v>
      </c>
      <c r="CQ1154" s="282"/>
      <c r="CR1154" s="282">
        <f t="shared" si="246"/>
        <v>1</v>
      </c>
      <c r="CS1154" s="123" t="s">
        <v>539</v>
      </c>
      <c r="CT1154" s="123"/>
      <c r="CU1154" s="300"/>
      <c r="CV1154" s="338">
        <f>X1154/BJ1154</f>
        <v>259310.45428711895</v>
      </c>
      <c r="CW1154" s="123">
        <f t="shared" si="244"/>
        <v>1</v>
      </c>
      <c r="CX1154" s="339"/>
      <c r="CY1154" s="295" t="s">
        <v>6351</v>
      </c>
    </row>
    <row r="1155" spans="1:103" ht="11.25" customHeight="1" x14ac:dyDescent="0.2">
      <c r="A1155" s="72">
        <v>2004</v>
      </c>
      <c r="B1155" s="298">
        <v>1858</v>
      </c>
      <c r="C1155" s="121" t="s">
        <v>5280</v>
      </c>
      <c r="D1155" s="121"/>
      <c r="E1155" s="122">
        <v>1</v>
      </c>
      <c r="F1155" s="122" t="s">
        <v>5281</v>
      </c>
      <c r="G1155" s="299">
        <v>7631869</v>
      </c>
      <c r="H1155" s="286" t="s">
        <v>5282</v>
      </c>
      <c r="I1155" s="286"/>
      <c r="J1155" s="286"/>
      <c r="K1155" s="284" t="s">
        <v>416</v>
      </c>
      <c r="L1155" s="286"/>
      <c r="M1155" s="286"/>
      <c r="N1155" s="286"/>
      <c r="O1155" s="286"/>
      <c r="P1155" s="286"/>
      <c r="Q1155" s="286"/>
      <c r="R1155" s="286"/>
      <c r="S1155" s="286"/>
      <c r="T1155" s="123">
        <v>60.08</v>
      </c>
      <c r="U1155" s="300"/>
      <c r="V1155" s="300"/>
      <c r="W1155" s="300"/>
      <c r="X1155" s="300"/>
      <c r="Y1155" s="419"/>
      <c r="Z1155" s="116"/>
      <c r="AA1155" s="116"/>
      <c r="AB1155" s="116"/>
      <c r="AC1155" s="116"/>
      <c r="AD1155" s="116"/>
      <c r="AE1155" s="116"/>
      <c r="AF1155" s="116"/>
      <c r="AG1155" s="117" t="s">
        <v>404</v>
      </c>
      <c r="AH1155" s="300"/>
      <c r="AI1155" s="292"/>
      <c r="AJ1155" s="125"/>
      <c r="AK1155" s="125"/>
      <c r="AL1155" s="125"/>
      <c r="AM1155" s="125"/>
      <c r="AN1155" s="301"/>
      <c r="AO1155" s="420"/>
      <c r="AP1155" s="420"/>
      <c r="AQ1155" s="301" t="s">
        <v>6311</v>
      </c>
      <c r="AR1155" s="301" t="s">
        <v>6311</v>
      </c>
      <c r="AS1155" s="298"/>
      <c r="AT1155" s="124" t="s">
        <v>266</v>
      </c>
      <c r="AU1155" s="123">
        <v>6</v>
      </c>
      <c r="AV1155" s="123">
        <v>120</v>
      </c>
      <c r="AW1155" s="123">
        <v>114</v>
      </c>
      <c r="AX1155" s="123">
        <v>28</v>
      </c>
      <c r="AY1155" s="123" t="s">
        <v>8728</v>
      </c>
      <c r="AZ1155" s="123" t="s">
        <v>1563</v>
      </c>
      <c r="BA1155" s="123">
        <v>32</v>
      </c>
      <c r="BB1155" s="286" t="s">
        <v>2485</v>
      </c>
      <c r="BC1155" s="284" t="s">
        <v>8726</v>
      </c>
      <c r="BD1155" s="286" t="s">
        <v>8374</v>
      </c>
      <c r="BE1155" s="123" t="s">
        <v>2449</v>
      </c>
      <c r="BF1155" s="123" t="s">
        <v>272</v>
      </c>
      <c r="BG1155" s="123" t="s">
        <v>272</v>
      </c>
      <c r="BH1155" s="123" t="s">
        <v>2486</v>
      </c>
      <c r="BI1155" s="300">
        <v>3.8451199999999999E-4</v>
      </c>
      <c r="BJ1155" s="300">
        <v>3.8451200000000001</v>
      </c>
      <c r="BK1155" s="123"/>
      <c r="BL1155" s="287"/>
      <c r="BM1155" s="286" t="s">
        <v>2487</v>
      </c>
      <c r="BN1155" s="123"/>
      <c r="BO1155" s="123"/>
      <c r="BP1155" s="123"/>
      <c r="BQ1155" s="123"/>
      <c r="BR1155" s="286" t="e">
        <v>#VALUE!</v>
      </c>
      <c r="BS1155" s="123"/>
      <c r="BT1155" s="123"/>
      <c r="BU1155" s="123"/>
      <c r="BV1155" s="123"/>
      <c r="BW1155" s="123"/>
      <c r="BX1155" s="123"/>
      <c r="BY1155" s="123"/>
      <c r="BZ1155" s="123"/>
      <c r="CA1155" s="123"/>
      <c r="CB1155" s="123"/>
      <c r="CC1155" s="123"/>
      <c r="CD1155" s="123"/>
      <c r="CE1155" s="123"/>
      <c r="CF1155" s="123"/>
      <c r="CG1155" s="123"/>
      <c r="CH1155" s="123"/>
      <c r="CI1155" s="300"/>
      <c r="CJ1155" s="300"/>
      <c r="CK1155" s="120" t="s">
        <v>404</v>
      </c>
      <c r="CL1155" s="294"/>
      <c r="CM1155" s="294"/>
      <c r="CN1155" s="294">
        <f t="shared" si="245"/>
        <v>3.8451200000000001</v>
      </c>
      <c r="CO1155" s="286" t="s">
        <v>2488</v>
      </c>
      <c r="CP1155" s="295" t="s">
        <v>2489</v>
      </c>
      <c r="CQ1155" s="282"/>
      <c r="CR1155" s="282">
        <f t="shared" si="246"/>
        <v>1</v>
      </c>
      <c r="CS1155" s="123" t="s">
        <v>539</v>
      </c>
      <c r="CT1155" s="123"/>
      <c r="CU1155" s="300" t="s">
        <v>6310</v>
      </c>
      <c r="CV1155" s="338" t="s">
        <v>6310</v>
      </c>
      <c r="CW1155" s="123">
        <f t="shared" si="244"/>
        <v>1</v>
      </c>
      <c r="CX1155" s="339"/>
      <c r="CY1155" s="295" t="s">
        <v>6351</v>
      </c>
    </row>
    <row r="1156" spans="1:103" ht="11.25" customHeight="1" x14ac:dyDescent="0.2">
      <c r="A1156" s="72">
        <v>2005</v>
      </c>
      <c r="B1156" s="298">
        <v>1869</v>
      </c>
      <c r="C1156" s="121" t="s">
        <v>2333</v>
      </c>
      <c r="D1156" s="121"/>
      <c r="E1156" s="122">
        <v>1</v>
      </c>
      <c r="F1156" s="122" t="s">
        <v>2334</v>
      </c>
      <c r="G1156" s="299">
        <v>7632000</v>
      </c>
      <c r="H1156" s="286" t="s">
        <v>2335</v>
      </c>
      <c r="I1156" s="286"/>
      <c r="J1156" s="286"/>
      <c r="K1156" s="284" t="s">
        <v>416</v>
      </c>
      <c r="L1156" s="286"/>
      <c r="M1156" s="286"/>
      <c r="N1156" s="286"/>
      <c r="O1156" s="286"/>
      <c r="P1156" s="286"/>
      <c r="Q1156" s="286"/>
      <c r="R1156" s="286"/>
      <c r="S1156" s="286"/>
      <c r="T1156" s="123">
        <v>47.01</v>
      </c>
      <c r="U1156" s="300"/>
      <c r="V1156" s="300"/>
      <c r="W1156" s="300"/>
      <c r="X1156" s="300"/>
      <c r="Y1156" s="419"/>
      <c r="Z1156" s="116"/>
      <c r="AA1156" s="116"/>
      <c r="AB1156" s="116"/>
      <c r="AC1156" s="116"/>
      <c r="AD1156" s="116"/>
      <c r="AE1156" s="116"/>
      <c r="AF1156" s="116"/>
      <c r="AG1156" s="117" t="s">
        <v>404</v>
      </c>
      <c r="AH1156" s="300">
        <v>2.05E-7</v>
      </c>
      <c r="AI1156" s="292"/>
      <c r="AJ1156" s="125">
        <f>LOG10(AH1156*1000/(0.08206*298.15))</f>
        <v>-5.0768124652568973</v>
      </c>
      <c r="AK1156" s="125"/>
      <c r="AL1156" s="125">
        <f>IF(AK1156=0,AJ1156,AK1156)</f>
        <v>-5.0768124652568973</v>
      </c>
      <c r="AM1156" s="125"/>
      <c r="AN1156" s="301"/>
      <c r="AO1156" s="420"/>
      <c r="AP1156" s="420"/>
      <c r="AQ1156" s="301" t="s">
        <v>6311</v>
      </c>
      <c r="AR1156" s="301" t="s">
        <v>6311</v>
      </c>
      <c r="AS1156" s="298"/>
      <c r="AT1156" s="124" t="s">
        <v>266</v>
      </c>
      <c r="AU1156" s="123">
        <v>6</v>
      </c>
      <c r="AV1156" s="123">
        <v>120</v>
      </c>
      <c r="AW1156" s="123">
        <v>114</v>
      </c>
      <c r="AX1156" s="123">
        <v>28</v>
      </c>
      <c r="AY1156" s="123" t="s">
        <v>8728</v>
      </c>
      <c r="AZ1156" s="123" t="s">
        <v>1563</v>
      </c>
      <c r="BA1156" s="123">
        <v>32</v>
      </c>
      <c r="BB1156" s="286" t="s">
        <v>2485</v>
      </c>
      <c r="BC1156" s="284" t="s">
        <v>8726</v>
      </c>
      <c r="BD1156" s="286" t="s">
        <v>8374</v>
      </c>
      <c r="BE1156" s="123" t="s">
        <v>2449</v>
      </c>
      <c r="BF1156" s="123" t="s">
        <v>272</v>
      </c>
      <c r="BG1156" s="123" t="s">
        <v>272</v>
      </c>
      <c r="BH1156" s="123" t="s">
        <v>2486</v>
      </c>
      <c r="BI1156" s="300">
        <v>3.0086399999999997E-4</v>
      </c>
      <c r="BJ1156" s="300">
        <v>3.0086399999999998</v>
      </c>
      <c r="BK1156" s="123"/>
      <c r="BL1156" s="287"/>
      <c r="BM1156" s="286" t="s">
        <v>2487</v>
      </c>
      <c r="BN1156" s="123"/>
      <c r="BO1156" s="123"/>
      <c r="BP1156" s="123"/>
      <c r="BQ1156" s="123"/>
      <c r="BR1156" s="286" t="e">
        <v>#VALUE!</v>
      </c>
      <c r="BS1156" s="123"/>
      <c r="BT1156" s="123"/>
      <c r="BU1156" s="123"/>
      <c r="BV1156" s="123"/>
      <c r="BW1156" s="123"/>
      <c r="BX1156" s="123"/>
      <c r="BY1156" s="123"/>
      <c r="BZ1156" s="123"/>
      <c r="CA1156" s="123"/>
      <c r="CB1156" s="123"/>
      <c r="CC1156" s="123"/>
      <c r="CD1156" s="123"/>
      <c r="CE1156" s="123"/>
      <c r="CF1156" s="123"/>
      <c r="CG1156" s="123"/>
      <c r="CH1156" s="123"/>
      <c r="CI1156" s="300"/>
      <c r="CJ1156" s="300"/>
      <c r="CK1156" s="120" t="s">
        <v>404</v>
      </c>
      <c r="CL1156" s="294"/>
      <c r="CM1156" s="294"/>
      <c r="CN1156" s="294">
        <f t="shared" si="245"/>
        <v>3.0086399999999998</v>
      </c>
      <c r="CO1156" s="286" t="s">
        <v>2488</v>
      </c>
      <c r="CP1156" s="295" t="s">
        <v>2489</v>
      </c>
      <c r="CQ1156" s="282">
        <v>-0.12895155384969162</v>
      </c>
      <c r="CR1156" s="282">
        <f t="shared" si="246"/>
        <v>1.3457102298448755</v>
      </c>
      <c r="CS1156" s="123" t="s">
        <v>539</v>
      </c>
      <c r="CT1156" s="123"/>
      <c r="CU1156" s="300" t="s">
        <v>6310</v>
      </c>
      <c r="CV1156" s="338" t="s">
        <v>6310</v>
      </c>
      <c r="CW1156" s="123">
        <f t="shared" si="244"/>
        <v>1</v>
      </c>
      <c r="CX1156" s="339"/>
      <c r="CY1156" s="295" t="s">
        <v>6351</v>
      </c>
    </row>
    <row r="1157" spans="1:103" ht="11.25" customHeight="1" x14ac:dyDescent="0.2">
      <c r="A1157" s="72">
        <v>2031</v>
      </c>
      <c r="B1157" s="282">
        <v>1179</v>
      </c>
      <c r="C1157" s="115" t="s">
        <v>3253</v>
      </c>
      <c r="D1157" s="115"/>
      <c r="E1157" s="116">
        <v>1</v>
      </c>
      <c r="F1157" s="116" t="s">
        <v>2331</v>
      </c>
      <c r="G1157" s="283">
        <v>7487947</v>
      </c>
      <c r="H1157" s="284" t="s">
        <v>2332</v>
      </c>
      <c r="I1157" s="284"/>
      <c r="J1157" s="284"/>
      <c r="K1157" s="284" t="s">
        <v>403</v>
      </c>
      <c r="L1157" s="284"/>
      <c r="M1157" s="284"/>
      <c r="N1157" s="350"/>
      <c r="O1157" s="284"/>
      <c r="P1157" s="286"/>
      <c r="Q1157" s="286"/>
      <c r="R1157" s="286"/>
      <c r="S1157" s="286"/>
      <c r="T1157" s="119">
        <v>271.5</v>
      </c>
      <c r="U1157" s="292"/>
      <c r="V1157" s="292"/>
      <c r="W1157" s="292"/>
      <c r="X1157" s="292"/>
      <c r="Y1157" s="370"/>
      <c r="Z1157" s="119"/>
      <c r="AA1157" s="119"/>
      <c r="AB1157" s="116"/>
      <c r="AC1157" s="116"/>
      <c r="AD1157" s="116"/>
      <c r="AE1157" s="116"/>
      <c r="AF1157" s="116"/>
      <c r="AG1157" s="120" t="s">
        <v>5921</v>
      </c>
      <c r="AH1157" s="292"/>
      <c r="AI1157" s="292"/>
      <c r="AJ1157" s="125"/>
      <c r="AK1157" s="125"/>
      <c r="AL1157" s="125"/>
      <c r="AM1157" s="125"/>
      <c r="AN1157" s="297"/>
      <c r="AO1157" s="420"/>
      <c r="AP1157" s="420"/>
      <c r="AQ1157" s="119" t="s">
        <v>6311</v>
      </c>
      <c r="AR1157" s="119" t="s">
        <v>6311</v>
      </c>
      <c r="AS1157" s="289"/>
      <c r="AT1157" s="118" t="s">
        <v>266</v>
      </c>
      <c r="AU1157" s="119">
        <v>6</v>
      </c>
      <c r="AV1157" s="119">
        <v>120</v>
      </c>
      <c r="AW1157" s="119">
        <v>114</v>
      </c>
      <c r="AX1157" s="119">
        <v>28</v>
      </c>
      <c r="AY1157" s="119" t="s">
        <v>8728</v>
      </c>
      <c r="AZ1157" s="119" t="s">
        <v>1563</v>
      </c>
      <c r="BA1157" s="119">
        <v>32</v>
      </c>
      <c r="BB1157" s="284" t="s">
        <v>2485</v>
      </c>
      <c r="BC1157" s="284" t="s">
        <v>8726</v>
      </c>
      <c r="BD1157" s="284" t="s">
        <v>8374</v>
      </c>
      <c r="BE1157" s="119" t="s">
        <v>2449</v>
      </c>
      <c r="BF1157" s="119" t="s">
        <v>272</v>
      </c>
      <c r="BG1157" s="119" t="s">
        <v>272</v>
      </c>
      <c r="BH1157" s="119" t="s">
        <v>2486</v>
      </c>
      <c r="BI1157" s="292">
        <v>1.7376E-3</v>
      </c>
      <c r="BJ1157" s="292">
        <v>17.376000000000001</v>
      </c>
      <c r="BK1157" s="119"/>
      <c r="BL1157" s="287"/>
      <c r="BM1157" s="119" t="s">
        <v>2487</v>
      </c>
      <c r="BN1157" s="119"/>
      <c r="BO1157" s="119"/>
      <c r="BP1157" s="119"/>
      <c r="BQ1157" s="119"/>
      <c r="BR1157" s="284">
        <v>0.54947744700000001</v>
      </c>
      <c r="BS1157" s="119"/>
      <c r="BT1157" s="119"/>
      <c r="BU1157" s="293"/>
      <c r="BV1157" s="119"/>
      <c r="BW1157" s="119"/>
      <c r="BX1157" s="119"/>
      <c r="BY1157" s="119"/>
      <c r="BZ1157" s="119"/>
      <c r="CA1157" s="119"/>
      <c r="CB1157" s="119"/>
      <c r="CC1157" s="119"/>
      <c r="CD1157" s="119"/>
      <c r="CE1157" s="119"/>
      <c r="CF1157" s="119"/>
      <c r="CG1157" s="119"/>
      <c r="CH1157" s="119"/>
      <c r="CI1157" s="292">
        <v>0.54947744700000001</v>
      </c>
      <c r="CJ1157" s="292">
        <f>LOG10(CI1157)</f>
        <v>-0.26005012825314849</v>
      </c>
      <c r="CK1157" s="120" t="s">
        <v>404</v>
      </c>
      <c r="CL1157" s="294"/>
      <c r="CM1157" s="294"/>
      <c r="CN1157" s="294">
        <f t="shared" si="245"/>
        <v>17.376000000000001</v>
      </c>
      <c r="CO1157" s="284" t="s">
        <v>2488</v>
      </c>
      <c r="CP1157" s="498" t="s">
        <v>2489</v>
      </c>
      <c r="CQ1157" s="282">
        <v>-1.131493158854177</v>
      </c>
      <c r="CR1157" s="352">
        <f t="shared" si="246"/>
        <v>7.43777490090927</v>
      </c>
      <c r="CS1157" s="123" t="s">
        <v>539</v>
      </c>
      <c r="CT1157" s="123"/>
      <c r="CU1157" s="300" t="s">
        <v>6310</v>
      </c>
      <c r="CV1157" s="338" t="s">
        <v>6310</v>
      </c>
      <c r="CW1157" s="339">
        <f>IF(CU1157&lt;2,0,1)</f>
        <v>1</v>
      </c>
      <c r="CX1157" s="339"/>
      <c r="CY1157" s="295" t="s">
        <v>5921</v>
      </c>
    </row>
    <row r="1158" spans="1:103" ht="11.25" customHeight="1" x14ac:dyDescent="0.2">
      <c r="A1158" s="72">
        <v>2035</v>
      </c>
      <c r="B1158" s="282">
        <v>1531</v>
      </c>
      <c r="C1158" s="115" t="s">
        <v>3737</v>
      </c>
      <c r="D1158" s="115"/>
      <c r="E1158" s="116">
        <v>1</v>
      </c>
      <c r="F1158" s="116" t="s">
        <v>3738</v>
      </c>
      <c r="G1158" s="283">
        <v>10043353</v>
      </c>
      <c r="H1158" s="284" t="s">
        <v>3739</v>
      </c>
      <c r="I1158" s="284"/>
      <c r="J1158" s="284"/>
      <c r="K1158" s="284" t="s">
        <v>3741</v>
      </c>
      <c r="L1158" s="284"/>
      <c r="M1158" s="284"/>
      <c r="N1158" s="284"/>
      <c r="O1158" s="284"/>
      <c r="P1158" s="286"/>
      <c r="Q1158" s="286"/>
      <c r="R1158" s="286"/>
      <c r="S1158" s="286"/>
      <c r="T1158" s="119">
        <v>61.831699999999998</v>
      </c>
      <c r="U1158" s="292"/>
      <c r="V1158" s="292"/>
      <c r="W1158" s="292"/>
      <c r="X1158" s="292"/>
      <c r="Y1158" s="370"/>
      <c r="Z1158" s="119"/>
      <c r="AA1158" s="119"/>
      <c r="AB1158" s="116"/>
      <c r="AC1158" s="116"/>
      <c r="AD1158" s="116"/>
      <c r="AE1158" s="116"/>
      <c r="AF1158" s="116"/>
      <c r="AG1158" s="120" t="s">
        <v>404</v>
      </c>
      <c r="AH1158" s="292"/>
      <c r="AI1158" s="292"/>
      <c r="AJ1158" s="125"/>
      <c r="AK1158" s="125"/>
      <c r="AL1158" s="125"/>
      <c r="AM1158" s="125"/>
      <c r="AN1158" s="297"/>
      <c r="AO1158" s="420"/>
      <c r="AP1158" s="420"/>
      <c r="AQ1158" s="119" t="s">
        <v>6311</v>
      </c>
      <c r="AR1158" s="119" t="s">
        <v>6311</v>
      </c>
      <c r="AS1158" s="289"/>
      <c r="AT1158" s="118" t="s">
        <v>266</v>
      </c>
      <c r="AU1158" s="119">
        <v>6</v>
      </c>
      <c r="AV1158" s="119">
        <v>120</v>
      </c>
      <c r="AW1158" s="119">
        <v>114</v>
      </c>
      <c r="AX1158" s="119">
        <v>28</v>
      </c>
      <c r="AY1158" s="119" t="s">
        <v>8728</v>
      </c>
      <c r="AZ1158" s="119" t="s">
        <v>1563</v>
      </c>
      <c r="BA1158" s="119">
        <v>32</v>
      </c>
      <c r="BB1158" s="284" t="s">
        <v>2485</v>
      </c>
      <c r="BC1158" s="284" t="s">
        <v>8726</v>
      </c>
      <c r="BD1158" s="284" t="s">
        <v>8374</v>
      </c>
      <c r="BE1158" s="119" t="s">
        <v>2449</v>
      </c>
      <c r="BF1158" s="119" t="s">
        <v>272</v>
      </c>
      <c r="BG1158" s="119" t="s">
        <v>272</v>
      </c>
      <c r="BH1158" s="119" t="s">
        <v>2486</v>
      </c>
      <c r="BI1158" s="292"/>
      <c r="BJ1158" s="292"/>
      <c r="BK1158" s="119"/>
      <c r="BL1158" s="287"/>
      <c r="BM1158" s="284" t="s">
        <v>2487</v>
      </c>
      <c r="BN1158" s="119"/>
      <c r="BO1158" s="119"/>
      <c r="BP1158" s="119"/>
      <c r="BQ1158" s="119"/>
      <c r="BR1158" s="284" t="e">
        <v>#VALUE!</v>
      </c>
      <c r="BS1158" s="119"/>
      <c r="BT1158" s="119"/>
      <c r="BU1158" s="293"/>
      <c r="BV1158" s="119"/>
      <c r="BW1158" s="119"/>
      <c r="BX1158" s="119"/>
      <c r="BY1158" s="119"/>
      <c r="BZ1158" s="119"/>
      <c r="CA1158" s="119"/>
      <c r="CB1158" s="119"/>
      <c r="CC1158" s="119"/>
      <c r="CD1158" s="119"/>
      <c r="CE1158" s="119"/>
      <c r="CF1158" s="119"/>
      <c r="CG1158" s="119"/>
      <c r="CH1158" s="119"/>
      <c r="CI1158" s="292"/>
      <c r="CJ1158" s="292"/>
      <c r="CK1158" s="120" t="s">
        <v>404</v>
      </c>
      <c r="CL1158" s="294"/>
      <c r="CM1158" s="294"/>
      <c r="CN1158" s="294">
        <f t="shared" si="245"/>
        <v>0</v>
      </c>
      <c r="CO1158" s="284" t="s">
        <v>2488</v>
      </c>
      <c r="CP1158" s="498" t="s">
        <v>2489</v>
      </c>
      <c r="CQ1158" s="282"/>
      <c r="CR1158" s="282">
        <f t="shared" si="246"/>
        <v>1</v>
      </c>
      <c r="CS1158" s="123" t="s">
        <v>539</v>
      </c>
      <c r="CT1158" s="123"/>
      <c r="CU1158" s="123" t="s">
        <v>6310</v>
      </c>
      <c r="CV1158" s="338" t="s">
        <v>6310</v>
      </c>
      <c r="CW1158" s="123">
        <f>IF(CV1158&lt;1,0,1)</f>
        <v>1</v>
      </c>
      <c r="CX1158" s="339"/>
      <c r="CY1158" s="123" t="s">
        <v>6351</v>
      </c>
    </row>
    <row r="1159" spans="1:103" ht="11.25" customHeight="1" x14ac:dyDescent="0.2">
      <c r="A1159" s="72">
        <v>2036</v>
      </c>
      <c r="B1159" s="282">
        <v>1276</v>
      </c>
      <c r="C1159" s="115" t="s">
        <v>499</v>
      </c>
      <c r="D1159" s="115"/>
      <c r="E1159" s="116">
        <v>1</v>
      </c>
      <c r="F1159" s="116" t="s">
        <v>500</v>
      </c>
      <c r="G1159" s="283">
        <v>26628228</v>
      </c>
      <c r="H1159" s="284" t="s">
        <v>501</v>
      </c>
      <c r="I1159" s="284"/>
      <c r="J1159" s="284" t="s">
        <v>3509</v>
      </c>
      <c r="K1159" s="284" t="s">
        <v>416</v>
      </c>
      <c r="L1159" s="284"/>
      <c r="M1159" s="284"/>
      <c r="N1159" s="284"/>
      <c r="O1159" s="284"/>
      <c r="P1159" s="286"/>
      <c r="Q1159" s="286"/>
      <c r="R1159" s="286"/>
      <c r="S1159" s="286"/>
      <c r="T1159" s="119">
        <v>65.010000000000005</v>
      </c>
      <c r="U1159" s="292"/>
      <c r="V1159" s="292"/>
      <c r="W1159" s="292"/>
      <c r="X1159" s="292"/>
      <c r="Y1159" s="370"/>
      <c r="Z1159" s="119"/>
      <c r="AA1159" s="119"/>
      <c r="AB1159" s="116"/>
      <c r="AC1159" s="116"/>
      <c r="AD1159" s="116"/>
      <c r="AE1159" s="116"/>
      <c r="AF1159" s="116"/>
      <c r="AG1159" s="120" t="s">
        <v>404</v>
      </c>
      <c r="AH1159" s="292">
        <v>8.0799999999999999E-5</v>
      </c>
      <c r="AI1159" s="292"/>
      <c r="AJ1159" s="120">
        <f t="shared" ref="AJ1159:AJ1167" si="247">LOG10(AH1159*1000/(0.08206*298.15))</f>
        <v>-2.4811549655380656</v>
      </c>
      <c r="AK1159" s="120"/>
      <c r="AL1159" s="120">
        <f t="shared" ref="AL1159:AL1167" si="248">IF(AK1159=0,AJ1159,AK1159)</f>
        <v>-2.4811549655380656</v>
      </c>
      <c r="AM1159" s="125"/>
      <c r="AN1159" s="297"/>
      <c r="AO1159" s="420"/>
      <c r="AP1159" s="420"/>
      <c r="AQ1159" s="119" t="s">
        <v>6311</v>
      </c>
      <c r="AR1159" s="119" t="s">
        <v>6311</v>
      </c>
      <c r="AS1159" s="289"/>
      <c r="AT1159" s="118" t="s">
        <v>266</v>
      </c>
      <c r="AU1159" s="119">
        <v>6</v>
      </c>
      <c r="AV1159" s="119">
        <v>120</v>
      </c>
      <c r="AW1159" s="119">
        <v>114</v>
      </c>
      <c r="AX1159" s="119">
        <v>28</v>
      </c>
      <c r="AY1159" s="119" t="s">
        <v>8728</v>
      </c>
      <c r="AZ1159" s="119" t="s">
        <v>1563</v>
      </c>
      <c r="BA1159" s="119">
        <v>32</v>
      </c>
      <c r="BB1159" s="284" t="s">
        <v>2485</v>
      </c>
      <c r="BC1159" s="284" t="s">
        <v>8726</v>
      </c>
      <c r="BD1159" s="284" t="s">
        <v>8374</v>
      </c>
      <c r="BE1159" s="119" t="s">
        <v>2449</v>
      </c>
      <c r="BF1159" s="119" t="s">
        <v>272</v>
      </c>
      <c r="BG1159" s="119" t="s">
        <v>272</v>
      </c>
      <c r="BH1159" s="119" t="s">
        <v>2486</v>
      </c>
      <c r="BI1159" s="292">
        <v>4.1606400000000001E-4</v>
      </c>
      <c r="BJ1159" s="292">
        <v>4.1606400000000008</v>
      </c>
      <c r="BK1159" s="119"/>
      <c r="BL1159" s="287"/>
      <c r="BM1159" s="284" t="s">
        <v>2487</v>
      </c>
      <c r="BN1159" s="119"/>
      <c r="BO1159" s="119"/>
      <c r="BP1159" s="119"/>
      <c r="BQ1159" s="119"/>
      <c r="BR1159" s="284" t="e">
        <v>#VALUE!</v>
      </c>
      <c r="BS1159" s="119"/>
      <c r="BT1159" s="119"/>
      <c r="BU1159" s="293">
        <v>4.1606400000000001E-4</v>
      </c>
      <c r="BV1159" s="119"/>
      <c r="BW1159" s="119"/>
      <c r="BX1159" s="119"/>
      <c r="BY1159" s="119"/>
      <c r="BZ1159" s="119"/>
      <c r="CA1159" s="119"/>
      <c r="CB1159" s="119"/>
      <c r="CC1159" s="119"/>
      <c r="CD1159" s="119"/>
      <c r="CE1159" s="119"/>
      <c r="CF1159" s="119"/>
      <c r="CG1159" s="119"/>
      <c r="CH1159" s="119"/>
      <c r="CI1159" s="292"/>
      <c r="CJ1159" s="292"/>
      <c r="CK1159" s="120" t="s">
        <v>404</v>
      </c>
      <c r="CL1159" s="294"/>
      <c r="CM1159" s="294"/>
      <c r="CN1159" s="294">
        <f t="shared" si="245"/>
        <v>4.1606400000000008</v>
      </c>
      <c r="CO1159" s="284" t="s">
        <v>2488</v>
      </c>
      <c r="CP1159" s="498" t="s">
        <v>2489</v>
      </c>
      <c r="CQ1159" s="282"/>
      <c r="CR1159" s="282">
        <f t="shared" si="246"/>
        <v>1</v>
      </c>
      <c r="CS1159" s="123" t="s">
        <v>539</v>
      </c>
      <c r="CT1159" s="123"/>
      <c r="CU1159" s="123" t="s">
        <v>6310</v>
      </c>
      <c r="CV1159" s="338" t="s">
        <v>6310</v>
      </c>
      <c r="CW1159" s="123">
        <f>IF(CV1159&lt;1,0,1)</f>
        <v>1</v>
      </c>
      <c r="CX1159" s="339"/>
      <c r="CY1159" s="123" t="s">
        <v>6351</v>
      </c>
    </row>
    <row r="1160" spans="1:103" ht="11.25" customHeight="1" x14ac:dyDescent="0.2">
      <c r="A1160" s="72">
        <v>60</v>
      </c>
      <c r="B1160" s="149">
        <v>786</v>
      </c>
      <c r="C1160" s="54" t="s">
        <v>1574</v>
      </c>
      <c r="D1160" s="54" t="s">
        <v>6495</v>
      </c>
      <c r="E1160" s="59"/>
      <c r="F1160" s="59" t="s">
        <v>1575</v>
      </c>
      <c r="G1160" s="151">
        <v>1912249</v>
      </c>
      <c r="H1160" s="55" t="s">
        <v>1576</v>
      </c>
      <c r="I1160" s="55" t="s">
        <v>8076</v>
      </c>
      <c r="J1160" s="55" t="s">
        <v>1577</v>
      </c>
      <c r="K1160" s="55" t="s">
        <v>940</v>
      </c>
      <c r="L1160" s="55" t="s">
        <v>6152</v>
      </c>
      <c r="M1160" s="55" t="s">
        <v>6082</v>
      </c>
      <c r="N1160" s="60" t="s">
        <v>6082</v>
      </c>
      <c r="O1160" s="55" t="s">
        <v>6083</v>
      </c>
      <c r="P1160" s="67"/>
      <c r="Q1160" s="67"/>
      <c r="R1160" s="67"/>
      <c r="S1160" s="67"/>
      <c r="T1160" s="56">
        <v>215.68</v>
      </c>
      <c r="U1160" s="103">
        <v>34.700000000000003</v>
      </c>
      <c r="V1160" s="103">
        <v>214.1</v>
      </c>
      <c r="W1160" s="103">
        <v>69.792679926582196</v>
      </c>
      <c r="X1160" s="103">
        <v>34.700000000000003</v>
      </c>
      <c r="Y1160" s="162">
        <v>7.03</v>
      </c>
      <c r="Z1160" s="56">
        <v>2.82</v>
      </c>
      <c r="AA1160" s="56">
        <v>2.61</v>
      </c>
      <c r="AB1160" s="56">
        <v>2.67</v>
      </c>
      <c r="AC1160" s="56">
        <v>0.91020000000000001</v>
      </c>
      <c r="AD1160" s="56">
        <v>2.66</v>
      </c>
      <c r="AE1160" s="56">
        <v>2.63</v>
      </c>
      <c r="AF1160" s="56">
        <f t="shared" ref="AF1160:AF1167" si="249">IF(AA1160=0,AD1160,AA1160)</f>
        <v>2.61</v>
      </c>
      <c r="AG1160" s="57">
        <v>2.41</v>
      </c>
      <c r="AH1160" s="103">
        <v>4.4699999999999997E-9</v>
      </c>
      <c r="AI1160" s="103">
        <v>2.3600000000000001E-9</v>
      </c>
      <c r="AJ1160" s="62">
        <f t="shared" si="247"/>
        <v>-6.7382588031807158</v>
      </c>
      <c r="AK1160" s="62">
        <f t="shared" ref="AK1160:AK1167" si="250">LOG10(AI1160*1000/(0.08206*298.15))</f>
        <v>-7.0156543233425452</v>
      </c>
      <c r="AL1160" s="62">
        <f t="shared" si="248"/>
        <v>-7.0156543233425452</v>
      </c>
      <c r="AM1160" s="62">
        <v>-10.46622</v>
      </c>
      <c r="AN1160" s="154">
        <v>-8.32</v>
      </c>
      <c r="AO1160" s="410"/>
      <c r="AP1160" s="410">
        <v>2.27</v>
      </c>
      <c r="AQ1160" s="56" t="s">
        <v>6311</v>
      </c>
      <c r="AR1160" s="56" t="s">
        <v>6311</v>
      </c>
      <c r="AS1160" s="149" t="s">
        <v>6</v>
      </c>
      <c r="AT1160" s="58" t="s">
        <v>266</v>
      </c>
      <c r="AU1160" s="56">
        <v>6</v>
      </c>
      <c r="AV1160" s="56">
        <v>96</v>
      </c>
      <c r="AW1160" s="56">
        <v>90</v>
      </c>
      <c r="AX1160" s="56">
        <v>28</v>
      </c>
      <c r="AY1160" s="56" t="s">
        <v>8722</v>
      </c>
      <c r="AZ1160" s="56" t="s">
        <v>2213</v>
      </c>
      <c r="BA1160" s="56" t="s">
        <v>8722</v>
      </c>
      <c r="BB1160" s="55" t="s">
        <v>1764</v>
      </c>
      <c r="BC1160" s="55" t="s">
        <v>2214</v>
      </c>
      <c r="BD1160" s="55"/>
      <c r="BE1160" s="56" t="s">
        <v>1712</v>
      </c>
      <c r="BF1160" s="56" t="s">
        <v>272</v>
      </c>
      <c r="BG1160" s="56" t="s">
        <v>272</v>
      </c>
      <c r="BH1160" s="56" t="s">
        <v>2119</v>
      </c>
      <c r="BI1160" s="153">
        <v>2.1568000000000004E-3</v>
      </c>
      <c r="BJ1160" s="153">
        <v>21.568000000000001</v>
      </c>
      <c r="BK1160" s="56"/>
      <c r="BL1160" s="153">
        <v>32.506325128150984</v>
      </c>
      <c r="BM1160" s="56" t="s">
        <v>1584</v>
      </c>
      <c r="BN1160" s="56"/>
      <c r="BO1160" s="56">
        <v>111.50656000000001</v>
      </c>
      <c r="BP1160" s="56">
        <v>270.67840000000001</v>
      </c>
      <c r="BQ1160" s="56"/>
      <c r="BR1160" s="56"/>
      <c r="BS1160" s="56"/>
      <c r="BT1160" s="56"/>
      <c r="BU1160" s="158"/>
      <c r="BV1160" s="56"/>
      <c r="BW1160" s="56"/>
      <c r="BX1160" s="56"/>
      <c r="BY1160" s="56"/>
      <c r="BZ1160" s="56"/>
      <c r="CA1160" s="56"/>
      <c r="CB1160" s="56"/>
      <c r="CC1160" s="56"/>
      <c r="CD1160" s="56"/>
      <c r="CE1160" s="56"/>
      <c r="CF1160" s="56"/>
      <c r="CG1160" s="56"/>
      <c r="CH1160" s="56"/>
      <c r="CI1160" s="103">
        <v>111.50656000000001</v>
      </c>
      <c r="CJ1160" s="103">
        <f t="shared" ref="CJ1160:CJ1173" si="251">LOG10(CI1160)</f>
        <v>2.0473004179491685</v>
      </c>
      <c r="CK1160" s="57">
        <f t="shared" ref="CK1160:CK1173" si="252">BL1160/BJ1160</f>
        <v>1.50715528227703</v>
      </c>
      <c r="CL1160" s="160">
        <f t="shared" ref="CL1160:CL1173" si="253">BL1160/CI1160</f>
        <v>0.29151939695880658</v>
      </c>
      <c r="CM1160" s="160">
        <v>1.0328741488313409</v>
      </c>
      <c r="CN1160" s="160">
        <f t="shared" si="245"/>
        <v>1.9995659193772979</v>
      </c>
      <c r="CO1160" s="55"/>
      <c r="CP1160" s="497" t="s">
        <v>2215</v>
      </c>
      <c r="CQ1160" s="149">
        <v>1.2234526426154375</v>
      </c>
      <c r="CR1160" s="349">
        <f t="shared" si="246"/>
        <v>6.6657308756431801</v>
      </c>
      <c r="CS1160" s="61" t="s">
        <v>539</v>
      </c>
      <c r="CT1160" s="61"/>
      <c r="CU1160" s="111">
        <f t="shared" ref="CU1160:CU1173" si="254">X1160/CI1160</f>
        <v>0.31119245360990422</v>
      </c>
      <c r="CV1160" s="331">
        <f t="shared" ref="CV1160:CV1173" si="255">X1160/BJ1160</f>
        <v>1.6088649851632049</v>
      </c>
      <c r="CW1160" s="326">
        <f t="shared" ref="CW1160:CW1179" si="256">IF(CU1160&lt;2,0,1)</f>
        <v>0</v>
      </c>
      <c r="CX1160" s="326" t="s">
        <v>539</v>
      </c>
      <c r="CY1160" s="161" t="s">
        <v>6351</v>
      </c>
    </row>
    <row r="1161" spans="1:103" ht="11.25" customHeight="1" x14ac:dyDescent="0.2">
      <c r="A1161" s="72">
        <v>87</v>
      </c>
      <c r="B1161" s="149">
        <v>785</v>
      </c>
      <c r="C1161" s="54" t="s">
        <v>2209</v>
      </c>
      <c r="D1161" s="54" t="s">
        <v>6455</v>
      </c>
      <c r="E1161" s="59"/>
      <c r="F1161" s="59" t="s">
        <v>2210</v>
      </c>
      <c r="G1161" s="151">
        <v>94757</v>
      </c>
      <c r="H1161" s="55" t="s">
        <v>2211</v>
      </c>
      <c r="I1161" s="55" t="s">
        <v>8006</v>
      </c>
      <c r="J1161" s="55" t="s">
        <v>2212</v>
      </c>
      <c r="K1161" s="55" t="s">
        <v>426</v>
      </c>
      <c r="L1161" s="55" t="s">
        <v>6033</v>
      </c>
      <c r="M1161" s="55" t="s">
        <v>6082</v>
      </c>
      <c r="N1161" s="60" t="s">
        <v>6082</v>
      </c>
      <c r="O1161" s="55" t="s">
        <v>6083</v>
      </c>
      <c r="P1161" s="67"/>
      <c r="Q1161" s="67"/>
      <c r="R1161" s="67"/>
      <c r="S1161" s="67"/>
      <c r="T1161" s="56">
        <v>221.04</v>
      </c>
      <c r="U1161" s="103">
        <v>677</v>
      </c>
      <c r="V1161" s="103">
        <v>336.2</v>
      </c>
      <c r="W1161" s="103">
        <v>715.27141927724961</v>
      </c>
      <c r="X1161" s="103">
        <v>677</v>
      </c>
      <c r="Y1161" s="162">
        <v>2.86</v>
      </c>
      <c r="Z1161" s="56">
        <v>2.62</v>
      </c>
      <c r="AA1161" s="56">
        <v>2.81</v>
      </c>
      <c r="AB1161" s="56">
        <v>2.91</v>
      </c>
      <c r="AC1161" s="56">
        <v>0.88449999999999995</v>
      </c>
      <c r="AD1161" s="56">
        <v>2.84</v>
      </c>
      <c r="AE1161" s="56">
        <v>2.58</v>
      </c>
      <c r="AF1161" s="56">
        <f t="shared" si="249"/>
        <v>2.81</v>
      </c>
      <c r="AG1161" s="57">
        <v>2.5099999999999998</v>
      </c>
      <c r="AH1161" s="103">
        <v>9.2099999999999994E-9</v>
      </c>
      <c r="AI1161" s="103">
        <v>3.5399999999999999E-8</v>
      </c>
      <c r="AJ1161" s="62">
        <f t="shared" si="247"/>
        <v>-6.4243066961158029</v>
      </c>
      <c r="AK1161" s="62">
        <f t="shared" si="250"/>
        <v>-5.8395630642868639</v>
      </c>
      <c r="AL1161" s="62">
        <f t="shared" si="248"/>
        <v>-5.8395630642868639</v>
      </c>
      <c r="AM1161" s="62">
        <v>-9.8747099999999985</v>
      </c>
      <c r="AN1161" s="154">
        <v>-7.63</v>
      </c>
      <c r="AO1161" s="410">
        <v>2.98</v>
      </c>
      <c r="AP1161" s="410"/>
      <c r="AQ1161" s="56" t="s">
        <v>6311</v>
      </c>
      <c r="AR1161" s="56" t="s">
        <v>6311</v>
      </c>
      <c r="AS1161" s="149" t="s">
        <v>6</v>
      </c>
      <c r="AT1161" s="58" t="s">
        <v>266</v>
      </c>
      <c r="AU1161" s="56">
        <v>6</v>
      </c>
      <c r="AV1161" s="56">
        <v>96</v>
      </c>
      <c r="AW1161" s="56">
        <v>90</v>
      </c>
      <c r="AX1161" s="56">
        <v>28</v>
      </c>
      <c r="AY1161" s="56" t="s">
        <v>8722</v>
      </c>
      <c r="AZ1161" s="56" t="s">
        <v>2213</v>
      </c>
      <c r="BA1161" s="56" t="s">
        <v>8722</v>
      </c>
      <c r="BB1161" s="55" t="s">
        <v>1764</v>
      </c>
      <c r="BC1161" s="55" t="s">
        <v>2214</v>
      </c>
      <c r="BD1161" s="55"/>
      <c r="BE1161" s="56" t="s">
        <v>1712</v>
      </c>
      <c r="BF1161" s="56" t="s">
        <v>272</v>
      </c>
      <c r="BG1161" s="56" t="s">
        <v>272</v>
      </c>
      <c r="BH1161" s="56" t="s">
        <v>2119</v>
      </c>
      <c r="BI1161" s="153">
        <v>2.2104E-3</v>
      </c>
      <c r="BJ1161" s="153">
        <v>22.103999999999999</v>
      </c>
      <c r="BK1161" s="56"/>
      <c r="BL1161" s="153">
        <v>50.37892218674029</v>
      </c>
      <c r="BM1161" s="56" t="s">
        <v>1584</v>
      </c>
      <c r="BN1161" s="56"/>
      <c r="BO1161" s="56">
        <v>33.598079999999996</v>
      </c>
      <c r="BP1161" s="56">
        <v>29.17728</v>
      </c>
      <c r="BQ1161" s="56"/>
      <c r="BR1161" s="56"/>
      <c r="BS1161" s="56"/>
      <c r="BT1161" s="56"/>
      <c r="BU1161" s="158"/>
      <c r="BV1161" s="56"/>
      <c r="BW1161" s="56"/>
      <c r="BX1161" s="56"/>
      <c r="BY1161" s="56"/>
      <c r="BZ1161" s="56"/>
      <c r="CA1161" s="56"/>
      <c r="CB1161" s="56"/>
      <c r="CC1161" s="56"/>
      <c r="CD1161" s="56"/>
      <c r="CE1161" s="56"/>
      <c r="CF1161" s="56"/>
      <c r="CG1161" s="56"/>
      <c r="CH1161" s="56"/>
      <c r="CI1161" s="103">
        <v>29.17728</v>
      </c>
      <c r="CJ1161" s="103">
        <f t="shared" si="251"/>
        <v>1.4650448031143048</v>
      </c>
      <c r="CK1161" s="57">
        <f t="shared" si="252"/>
        <v>2.2791767185459779</v>
      </c>
      <c r="CL1161" s="160">
        <f t="shared" si="253"/>
        <v>1.7266490292014982</v>
      </c>
      <c r="CM1161" s="160">
        <v>2.2041199826559246</v>
      </c>
      <c r="CN1161" s="160">
        <f t="shared" si="245"/>
        <v>0.13815000000000005</v>
      </c>
      <c r="CO1161" s="55"/>
      <c r="CP1161" s="497" t="s">
        <v>2215</v>
      </c>
      <c r="CQ1161" s="149">
        <v>2.4844649999726776</v>
      </c>
      <c r="CR1161" s="349">
        <f t="shared" si="246"/>
        <v>9.5626839656446111E-2</v>
      </c>
      <c r="CS1161" s="61" t="s">
        <v>539</v>
      </c>
      <c r="CT1161" s="61"/>
      <c r="CU1161" s="111">
        <f t="shared" si="254"/>
        <v>23.202985336535825</v>
      </c>
      <c r="CV1161" s="331">
        <f t="shared" si="255"/>
        <v>30.627940644227291</v>
      </c>
      <c r="CW1161" s="326">
        <f t="shared" si="256"/>
        <v>1</v>
      </c>
      <c r="CX1161" s="326" t="s">
        <v>539</v>
      </c>
      <c r="CY1161" s="161" t="s">
        <v>5921</v>
      </c>
    </row>
    <row r="1162" spans="1:103" ht="11.25" customHeight="1" x14ac:dyDescent="0.2">
      <c r="A1162" s="72">
        <v>95</v>
      </c>
      <c r="B1162" s="149">
        <v>787</v>
      </c>
      <c r="C1162" s="54" t="s">
        <v>2216</v>
      </c>
      <c r="D1162" s="54" t="s">
        <v>6425</v>
      </c>
      <c r="E1162" s="59"/>
      <c r="F1162" s="59" t="s">
        <v>2217</v>
      </c>
      <c r="G1162" s="151">
        <v>50293</v>
      </c>
      <c r="H1162" s="55" t="s">
        <v>2218</v>
      </c>
      <c r="I1162" s="55" t="s">
        <v>7921</v>
      </c>
      <c r="J1162" s="55" t="s">
        <v>2219</v>
      </c>
      <c r="K1162" s="55" t="s">
        <v>426</v>
      </c>
      <c r="L1162" s="55" t="s">
        <v>617</v>
      </c>
      <c r="M1162" s="55" t="s">
        <v>1086</v>
      </c>
      <c r="N1162" s="60" t="s">
        <v>6376</v>
      </c>
      <c r="O1162" s="55" t="s">
        <v>918</v>
      </c>
      <c r="P1162" s="67"/>
      <c r="Q1162" s="67"/>
      <c r="R1162" s="67"/>
      <c r="S1162" s="67"/>
      <c r="T1162" s="56">
        <v>354.48</v>
      </c>
      <c r="U1162" s="103">
        <v>5.4999999999999997E-3</v>
      </c>
      <c r="V1162" s="103">
        <v>7.3070000000000001E-3</v>
      </c>
      <c r="W1162" s="103">
        <v>4.1647768527496389E-2</v>
      </c>
      <c r="X1162" s="103">
        <v>5.4999999999999997E-3</v>
      </c>
      <c r="Y1162" s="162">
        <v>7</v>
      </c>
      <c r="Z1162" s="56">
        <v>6.79</v>
      </c>
      <c r="AA1162" s="56">
        <v>6.91</v>
      </c>
      <c r="AB1162" s="56">
        <v>6.33</v>
      </c>
      <c r="AC1162" s="56">
        <v>0.82679999999999998</v>
      </c>
      <c r="AD1162" s="56">
        <v>6.22</v>
      </c>
      <c r="AE1162" s="56">
        <v>5.92</v>
      </c>
      <c r="AF1162" s="56">
        <f t="shared" si="249"/>
        <v>6.91</v>
      </c>
      <c r="AG1162" s="57">
        <v>6.54</v>
      </c>
      <c r="AH1162" s="103">
        <v>1.5299999999999999E-5</v>
      </c>
      <c r="AI1162" s="103">
        <v>8.32E-6</v>
      </c>
      <c r="AJ1162" s="62">
        <f t="shared" si="247"/>
        <v>-3.2038748954950531</v>
      </c>
      <c r="AK1162" s="62">
        <f t="shared" si="250"/>
        <v>-3.468443000021928</v>
      </c>
      <c r="AL1162" s="62">
        <f t="shared" si="248"/>
        <v>-3.468443000021928</v>
      </c>
      <c r="AM1162" s="62">
        <v>-7.4330299999999996</v>
      </c>
      <c r="AN1162" s="154">
        <v>-4.3499999999999996</v>
      </c>
      <c r="AO1162" s="410"/>
      <c r="AP1162" s="410"/>
      <c r="AQ1162" s="56" t="s">
        <v>6311</v>
      </c>
      <c r="AR1162" s="56" t="s">
        <v>6311</v>
      </c>
      <c r="AS1162" s="149" t="s">
        <v>6</v>
      </c>
      <c r="AT1162" s="58" t="s">
        <v>266</v>
      </c>
      <c r="AU1162" s="56">
        <v>6</v>
      </c>
      <c r="AV1162" s="56">
        <v>96</v>
      </c>
      <c r="AW1162" s="56">
        <v>90</v>
      </c>
      <c r="AX1162" s="56">
        <v>28</v>
      </c>
      <c r="AY1162" s="56" t="s">
        <v>8722</v>
      </c>
      <c r="AZ1162" s="56" t="s">
        <v>2213</v>
      </c>
      <c r="BA1162" s="56" t="s">
        <v>8722</v>
      </c>
      <c r="BB1162" s="55" t="s">
        <v>1764</v>
      </c>
      <c r="BC1162" s="55" t="s">
        <v>2214</v>
      </c>
      <c r="BD1162" s="55"/>
      <c r="BE1162" s="56" t="s">
        <v>1712</v>
      </c>
      <c r="BF1162" s="56" t="s">
        <v>272</v>
      </c>
      <c r="BG1162" s="56" t="s">
        <v>272</v>
      </c>
      <c r="BH1162" s="56" t="s">
        <v>2119</v>
      </c>
      <c r="BI1162" s="153">
        <v>3.5448000000000003E-3</v>
      </c>
      <c r="BJ1162" s="153">
        <v>354.48</v>
      </c>
      <c r="BK1162" s="56"/>
      <c r="BL1162" s="153">
        <v>1.4530907461468437E-2</v>
      </c>
      <c r="BM1162" s="56" t="s">
        <v>1584</v>
      </c>
      <c r="BN1162" s="56"/>
      <c r="BO1162" s="56" t="e">
        <v>#VALUE!</v>
      </c>
      <c r="BP1162" s="56">
        <v>33.675600000000003</v>
      </c>
      <c r="BQ1162" s="56"/>
      <c r="BR1162" s="56"/>
      <c r="BS1162" s="56"/>
      <c r="BT1162" s="56"/>
      <c r="BU1162" s="158"/>
      <c r="BV1162" s="56"/>
      <c r="BW1162" s="56"/>
      <c r="BX1162" s="56"/>
      <c r="BY1162" s="56"/>
      <c r="BZ1162" s="56"/>
      <c r="CA1162" s="56"/>
      <c r="CB1162" s="56"/>
      <c r="CC1162" s="56"/>
      <c r="CD1162" s="56"/>
      <c r="CE1162" s="56"/>
      <c r="CF1162" s="56"/>
      <c r="CG1162" s="56"/>
      <c r="CH1162" s="56"/>
      <c r="CI1162" s="103">
        <v>33.675600000000003</v>
      </c>
      <c r="CJ1162" s="103">
        <f t="shared" si="251"/>
        <v>1.5273153423124033</v>
      </c>
      <c r="CK1162" s="57">
        <f t="shared" si="252"/>
        <v>4.0992178575571082E-5</v>
      </c>
      <c r="CL1162" s="160">
        <f t="shared" si="253"/>
        <v>4.3149661658495873E-4</v>
      </c>
      <c r="CM1162" s="160"/>
      <c r="CN1162" s="160"/>
      <c r="CO1162" s="55"/>
      <c r="CP1162" s="497" t="s">
        <v>2215</v>
      </c>
      <c r="CQ1162" s="149">
        <v>-2.1476492931923206</v>
      </c>
      <c r="CR1162" s="349">
        <f t="shared" si="246"/>
        <v>4731.1273193683237</v>
      </c>
      <c r="CS1162" s="61" t="s">
        <v>539</v>
      </c>
      <c r="CT1162" s="61"/>
      <c r="CU1162" s="111">
        <f t="shared" si="254"/>
        <v>1.6332299944173226E-4</v>
      </c>
      <c r="CV1162" s="331">
        <f t="shared" si="255"/>
        <v>1.5515684946964567E-5</v>
      </c>
      <c r="CW1162" s="326">
        <f t="shared" si="256"/>
        <v>0</v>
      </c>
      <c r="CX1162" s="326" t="s">
        <v>539</v>
      </c>
      <c r="CY1162" s="161" t="s">
        <v>5921</v>
      </c>
    </row>
    <row r="1163" spans="1:103" ht="11.25" customHeight="1" x14ac:dyDescent="0.2">
      <c r="A1163" s="72">
        <v>178</v>
      </c>
      <c r="B1163" s="149">
        <v>791</v>
      </c>
      <c r="C1163" s="54" t="s">
        <v>2226</v>
      </c>
      <c r="D1163" s="54"/>
      <c r="E1163" s="59"/>
      <c r="F1163" s="59" t="s">
        <v>2227</v>
      </c>
      <c r="G1163" s="151">
        <v>1746016</v>
      </c>
      <c r="H1163" s="55" t="s">
        <v>2228</v>
      </c>
      <c r="I1163" s="55" t="s">
        <v>5519</v>
      </c>
      <c r="J1163" s="55" t="s">
        <v>2229</v>
      </c>
      <c r="K1163" s="55" t="s">
        <v>426</v>
      </c>
      <c r="L1163" s="55"/>
      <c r="M1163" s="55"/>
      <c r="N1163" s="60"/>
      <c r="O1163" s="55"/>
      <c r="P1163" s="67"/>
      <c r="Q1163" s="67"/>
      <c r="R1163" s="67"/>
      <c r="S1163" s="67"/>
      <c r="T1163" s="56">
        <v>321.97000000000003</v>
      </c>
      <c r="U1163" s="103">
        <v>2.0000000000000001E-4</v>
      </c>
      <c r="V1163" s="103">
        <v>1.103E-3</v>
      </c>
      <c r="W1163" s="103">
        <v>4.4444232167419062E-4</v>
      </c>
      <c r="X1163" s="103">
        <v>2.0000000000000001E-4</v>
      </c>
      <c r="Y1163" s="162">
        <v>7</v>
      </c>
      <c r="Z1163" s="56">
        <v>6.92</v>
      </c>
      <c r="AA1163" s="56">
        <v>6.8</v>
      </c>
      <c r="AB1163" s="56">
        <v>6.19</v>
      </c>
      <c r="AC1163" s="56">
        <v>0.91259999999999997</v>
      </c>
      <c r="AD1163" s="56">
        <v>6.32</v>
      </c>
      <c r="AE1163" s="56">
        <v>7.01</v>
      </c>
      <c r="AF1163" s="56">
        <f t="shared" si="249"/>
        <v>6.8</v>
      </c>
      <c r="AG1163" s="57">
        <v>5.56</v>
      </c>
      <c r="AH1163" s="103">
        <v>3.5300000000000001E-6</v>
      </c>
      <c r="AI1163" s="103">
        <v>5.0000000000000002E-5</v>
      </c>
      <c r="AJ1163" s="62">
        <f t="shared" si="247"/>
        <v>-3.8407916209248292</v>
      </c>
      <c r="AK1163" s="62">
        <f t="shared" si="250"/>
        <v>-2.6895963219766328</v>
      </c>
      <c r="AL1163" s="62">
        <f t="shared" si="248"/>
        <v>-2.6895963219766328</v>
      </c>
      <c r="AM1163" s="62">
        <v>-8.7126099999999997</v>
      </c>
      <c r="AN1163" s="154">
        <v>-3.25</v>
      </c>
      <c r="AO1163" s="410"/>
      <c r="AP1163" s="410"/>
      <c r="AQ1163" s="56" t="s">
        <v>6311</v>
      </c>
      <c r="AR1163" s="56" t="s">
        <v>6311</v>
      </c>
      <c r="AS1163" s="149" t="s">
        <v>6</v>
      </c>
      <c r="AT1163" s="58" t="s">
        <v>266</v>
      </c>
      <c r="AU1163" s="56">
        <v>6</v>
      </c>
      <c r="AV1163" s="56">
        <v>96</v>
      </c>
      <c r="AW1163" s="56">
        <v>90</v>
      </c>
      <c r="AX1163" s="56">
        <v>28</v>
      </c>
      <c r="AY1163" s="56" t="s">
        <v>8722</v>
      </c>
      <c r="AZ1163" s="56" t="s">
        <v>2213</v>
      </c>
      <c r="BA1163" s="56" t="s">
        <v>8722</v>
      </c>
      <c r="BB1163" s="55" t="s">
        <v>1764</v>
      </c>
      <c r="BC1163" s="55" t="s">
        <v>2214</v>
      </c>
      <c r="BD1163" s="55"/>
      <c r="BE1163" s="56" t="s">
        <v>1712</v>
      </c>
      <c r="BF1163" s="56" t="s">
        <v>272</v>
      </c>
      <c r="BG1163" s="56" t="s">
        <v>272</v>
      </c>
      <c r="BH1163" s="56" t="s">
        <v>2119</v>
      </c>
      <c r="BI1163" s="153">
        <v>3.2197000000000007E-3</v>
      </c>
      <c r="BJ1163" s="153">
        <v>16.098500000000001</v>
      </c>
      <c r="BK1163" s="56"/>
      <c r="BL1163" s="153">
        <v>1.0087032209270602E-2</v>
      </c>
      <c r="BM1163" s="56" t="s">
        <v>1584</v>
      </c>
      <c r="BN1163" s="56"/>
      <c r="BO1163" s="56" t="e">
        <v>#VALUE!</v>
      </c>
      <c r="BP1163" s="56">
        <v>8.3712200000000004E-3</v>
      </c>
      <c r="BQ1163" s="56"/>
      <c r="BR1163" s="56"/>
      <c r="BS1163" s="56"/>
      <c r="BT1163" s="56"/>
      <c r="BU1163" s="158"/>
      <c r="BV1163" s="56"/>
      <c r="BW1163" s="56"/>
      <c r="BX1163" s="56"/>
      <c r="BY1163" s="56"/>
      <c r="BZ1163" s="56"/>
      <c r="CA1163" s="56"/>
      <c r="CB1163" s="56"/>
      <c r="CC1163" s="56"/>
      <c r="CD1163" s="56"/>
      <c r="CE1163" s="56"/>
      <c r="CF1163" s="56"/>
      <c r="CG1163" s="56"/>
      <c r="CH1163" s="56"/>
      <c r="CI1163" s="103">
        <v>8.3712200000000004E-3</v>
      </c>
      <c r="CJ1163" s="103">
        <f t="shared" si="251"/>
        <v>-2.0772112444371649</v>
      </c>
      <c r="CK1163" s="57">
        <f t="shared" si="252"/>
        <v>6.2658211692211087E-4</v>
      </c>
      <c r="CL1163" s="160">
        <f t="shared" si="253"/>
        <v>1.2049656094655978</v>
      </c>
      <c r="CM1163" s="160"/>
      <c r="CN1163" s="160"/>
      <c r="CO1163" s="55"/>
      <c r="CP1163" s="497" t="s">
        <v>2215</v>
      </c>
      <c r="CQ1163" s="149" t="s">
        <v>272</v>
      </c>
      <c r="CR1163" s="349"/>
      <c r="CS1163" s="61" t="s">
        <v>539</v>
      </c>
      <c r="CT1163" s="61"/>
      <c r="CU1163" s="111">
        <f t="shared" si="254"/>
        <v>2.3891380228927204E-2</v>
      </c>
      <c r="CV1163" s="331">
        <f t="shared" si="255"/>
        <v>1.2423517719042146E-5</v>
      </c>
      <c r="CW1163" s="326">
        <f t="shared" si="256"/>
        <v>0</v>
      </c>
      <c r="CX1163" s="326" t="s">
        <v>539</v>
      </c>
      <c r="CY1163" s="161" t="s">
        <v>5921</v>
      </c>
    </row>
    <row r="1164" spans="1:103" ht="11.25" customHeight="1" x14ac:dyDescent="0.2">
      <c r="A1164" s="72">
        <v>234</v>
      </c>
      <c r="B1164" s="149">
        <v>788</v>
      </c>
      <c r="C1164" s="54" t="s">
        <v>2221</v>
      </c>
      <c r="D1164" s="54" t="s">
        <v>6434</v>
      </c>
      <c r="E1164" s="59"/>
      <c r="F1164" s="59" t="s">
        <v>2222</v>
      </c>
      <c r="G1164" s="151">
        <v>60571</v>
      </c>
      <c r="H1164" s="55" t="s">
        <v>1703</v>
      </c>
      <c r="I1164" s="55" t="s">
        <v>7988</v>
      </c>
      <c r="J1164" s="55" t="s">
        <v>2223</v>
      </c>
      <c r="K1164" s="55" t="s">
        <v>1705</v>
      </c>
      <c r="L1164" s="55" t="s">
        <v>617</v>
      </c>
      <c r="M1164" s="55" t="s">
        <v>1286</v>
      </c>
      <c r="N1164" s="60" t="s">
        <v>6376</v>
      </c>
      <c r="O1164" s="55" t="s">
        <v>2224</v>
      </c>
      <c r="P1164" s="67" t="s">
        <v>6172</v>
      </c>
      <c r="Q1164" s="67" t="s">
        <v>6176</v>
      </c>
      <c r="R1164" s="67" t="s">
        <v>6181</v>
      </c>
      <c r="S1164" s="67" t="s">
        <v>6173</v>
      </c>
      <c r="T1164" s="56">
        <v>380.91</v>
      </c>
      <c r="U1164" s="103">
        <v>0.25</v>
      </c>
      <c r="V1164" s="103">
        <v>0.14549999999999999</v>
      </c>
      <c r="W1164" s="103">
        <v>0.16248840450671448</v>
      </c>
      <c r="X1164" s="103">
        <v>0.25</v>
      </c>
      <c r="Y1164" s="162">
        <v>7</v>
      </c>
      <c r="Z1164" s="56">
        <v>5.45</v>
      </c>
      <c r="AA1164" s="56">
        <v>5.2</v>
      </c>
      <c r="AB1164" s="56">
        <v>4.97</v>
      </c>
      <c r="AC1164" s="56">
        <v>0.6804</v>
      </c>
      <c r="AD1164" s="56">
        <v>4.9400000000000004</v>
      </c>
      <c r="AE1164" s="56">
        <v>4.88</v>
      </c>
      <c r="AF1164" s="56">
        <f t="shared" si="249"/>
        <v>5.2</v>
      </c>
      <c r="AG1164" s="57">
        <v>4.05</v>
      </c>
      <c r="AH1164" s="103">
        <v>5.4099999999999999E-7</v>
      </c>
      <c r="AI1164" s="103">
        <v>1.0000000000000001E-5</v>
      </c>
      <c r="AJ1164" s="62">
        <f t="shared" si="247"/>
        <v>-4.6553690612060823</v>
      </c>
      <c r="AK1164" s="62">
        <f t="shared" si="250"/>
        <v>-3.388566326312652</v>
      </c>
      <c r="AL1164" s="62">
        <f t="shared" si="248"/>
        <v>-3.388566326312652</v>
      </c>
      <c r="AM1164" s="62">
        <v>-9.114469999999999</v>
      </c>
      <c r="AN1164" s="154">
        <v>-4.32</v>
      </c>
      <c r="AO1164" s="410"/>
      <c r="AP1164" s="410"/>
      <c r="AQ1164" s="56" t="s">
        <v>6312</v>
      </c>
      <c r="AR1164" s="56" t="s">
        <v>6311</v>
      </c>
      <c r="AS1164" s="149" t="s">
        <v>6</v>
      </c>
      <c r="AT1164" s="58" t="s">
        <v>266</v>
      </c>
      <c r="AU1164" s="56">
        <v>6</v>
      </c>
      <c r="AV1164" s="56">
        <v>96</v>
      </c>
      <c r="AW1164" s="56">
        <v>90</v>
      </c>
      <c r="AX1164" s="56">
        <v>28</v>
      </c>
      <c r="AY1164" s="56" t="s">
        <v>8722</v>
      </c>
      <c r="AZ1164" s="56" t="s">
        <v>2213</v>
      </c>
      <c r="BA1164" s="56" t="s">
        <v>8722</v>
      </c>
      <c r="BB1164" s="55" t="s">
        <v>1764</v>
      </c>
      <c r="BC1164" s="55" t="s">
        <v>2214</v>
      </c>
      <c r="BD1164" s="55"/>
      <c r="BE1164" s="56" t="s">
        <v>1712</v>
      </c>
      <c r="BF1164" s="56" t="s">
        <v>272</v>
      </c>
      <c r="BG1164" s="56" t="s">
        <v>272</v>
      </c>
      <c r="BH1164" s="56" t="s">
        <v>2119</v>
      </c>
      <c r="BI1164" s="153">
        <v>3.8091000000000006E-3</v>
      </c>
      <c r="BJ1164" s="153">
        <v>38.091000000000001</v>
      </c>
      <c r="BK1164" s="56"/>
      <c r="BL1164" s="153">
        <v>0.24944647679838694</v>
      </c>
      <c r="BM1164" s="56" t="s">
        <v>1584</v>
      </c>
      <c r="BN1164" s="56"/>
      <c r="BO1164" s="56">
        <v>191.97864000000001</v>
      </c>
      <c r="BP1164" s="56">
        <v>7.9991100000000008</v>
      </c>
      <c r="BQ1164" s="56"/>
      <c r="BR1164" s="56"/>
      <c r="BS1164" s="56"/>
      <c r="BT1164" s="56"/>
      <c r="BU1164" s="158"/>
      <c r="BV1164" s="56"/>
      <c r="BW1164" s="56"/>
      <c r="BX1164" s="56"/>
      <c r="BY1164" s="56"/>
      <c r="BZ1164" s="56"/>
      <c r="CA1164" s="56"/>
      <c r="CB1164" s="56"/>
      <c r="CC1164" s="56"/>
      <c r="CD1164" s="56"/>
      <c r="CE1164" s="56"/>
      <c r="CF1164" s="56"/>
      <c r="CG1164" s="56"/>
      <c r="CH1164" s="56"/>
      <c r="CI1164" s="103">
        <v>7.9991100000000008</v>
      </c>
      <c r="CJ1164" s="103">
        <f t="shared" si="251"/>
        <v>0.90304166904309613</v>
      </c>
      <c r="CK1164" s="57">
        <f t="shared" si="252"/>
        <v>6.5486985586723093E-3</v>
      </c>
      <c r="CL1164" s="160">
        <f t="shared" si="253"/>
        <v>3.1184278850820518E-2</v>
      </c>
      <c r="CM1164" s="160">
        <v>-2.1633801408079694</v>
      </c>
      <c r="CN1164" s="160">
        <f>BJ1164/(10^CM1164)</f>
        <v>5548.8439983485569</v>
      </c>
      <c r="CO1164" s="55"/>
      <c r="CP1164" s="497" t="s">
        <v>2215</v>
      </c>
      <c r="CQ1164" s="149">
        <v>-2.0793624855436361</v>
      </c>
      <c r="CR1164" s="349">
        <f>10^(CJ1164-CQ1164)</f>
        <v>960.29386561454339</v>
      </c>
      <c r="CS1164" s="61" t="s">
        <v>539</v>
      </c>
      <c r="CT1164" s="61"/>
      <c r="CU1164" s="111">
        <f t="shared" si="254"/>
        <v>3.1253476949310605E-2</v>
      </c>
      <c r="CV1164" s="331">
        <f t="shared" si="255"/>
        <v>6.5632301593552284E-3</v>
      </c>
      <c r="CW1164" s="326">
        <f t="shared" si="256"/>
        <v>0</v>
      </c>
      <c r="CX1164" s="326" t="s">
        <v>539</v>
      </c>
      <c r="CY1164" s="161" t="s">
        <v>5921</v>
      </c>
    </row>
    <row r="1165" spans="1:103" ht="11.25" customHeight="1" x14ac:dyDescent="0.2">
      <c r="A1165" s="72">
        <v>392</v>
      </c>
      <c r="B1165" s="149">
        <v>790</v>
      </c>
      <c r="C1165" s="54" t="s">
        <v>2078</v>
      </c>
      <c r="D1165" s="54" t="s">
        <v>6568</v>
      </c>
      <c r="E1165" s="59"/>
      <c r="F1165" s="59" t="s">
        <v>2079</v>
      </c>
      <c r="G1165" s="151">
        <v>84852153</v>
      </c>
      <c r="H1165" s="55" t="s">
        <v>2080</v>
      </c>
      <c r="I1165" s="55" t="s">
        <v>2080</v>
      </c>
      <c r="J1165" s="55"/>
      <c r="K1165" s="55" t="s">
        <v>349</v>
      </c>
      <c r="L1165" s="55"/>
      <c r="M1165" s="55" t="s">
        <v>602</v>
      </c>
      <c r="N1165" s="60" t="s">
        <v>6386</v>
      </c>
      <c r="O1165" s="55" t="s">
        <v>2081</v>
      </c>
      <c r="P1165" s="67"/>
      <c r="Q1165" s="67"/>
      <c r="R1165" s="67"/>
      <c r="S1165" s="67"/>
      <c r="T1165" s="56">
        <v>220.36</v>
      </c>
      <c r="U1165" s="103">
        <v>5000</v>
      </c>
      <c r="V1165" s="103">
        <v>1.544</v>
      </c>
      <c r="W1165" s="103">
        <v>36.570657092294041</v>
      </c>
      <c r="X1165" s="103">
        <v>5000</v>
      </c>
      <c r="Y1165" s="162">
        <v>6.83</v>
      </c>
      <c r="Z1165" s="56">
        <v>5.77</v>
      </c>
      <c r="AA1165" s="56"/>
      <c r="AB1165" s="56">
        <v>5.2</v>
      </c>
      <c r="AC1165" s="56">
        <v>0.65349999999999997</v>
      </c>
      <c r="AD1165" s="56">
        <v>5.39</v>
      </c>
      <c r="AE1165" s="56">
        <v>5.64</v>
      </c>
      <c r="AF1165" s="56">
        <f t="shared" si="249"/>
        <v>5.39</v>
      </c>
      <c r="AG1165" s="57">
        <v>5.39</v>
      </c>
      <c r="AH1165" s="103">
        <v>5.9699999999999996E-6</v>
      </c>
      <c r="AI1165" s="103">
        <v>4.3000000000000003E-6</v>
      </c>
      <c r="AJ1165" s="62">
        <f t="shared" si="247"/>
        <v>-3.6125919951832826</v>
      </c>
      <c r="AK1165" s="62">
        <f t="shared" si="250"/>
        <v>-3.7550978707330653</v>
      </c>
      <c r="AL1165" s="62">
        <f t="shared" si="248"/>
        <v>-3.7550978707330653</v>
      </c>
      <c r="AM1165" s="62">
        <v>-7.7129099999999999</v>
      </c>
      <c r="AN1165" s="154"/>
      <c r="AO1165" s="410">
        <v>10.15</v>
      </c>
      <c r="AP1165" s="410"/>
      <c r="AQ1165" s="56" t="s">
        <v>6311</v>
      </c>
      <c r="AR1165" s="56" t="s">
        <v>6311</v>
      </c>
      <c r="AS1165" s="149" t="s">
        <v>6</v>
      </c>
      <c r="AT1165" s="58" t="s">
        <v>266</v>
      </c>
      <c r="AU1165" s="56">
        <v>6</v>
      </c>
      <c r="AV1165" s="56">
        <v>96</v>
      </c>
      <c r="AW1165" s="56">
        <v>90</v>
      </c>
      <c r="AX1165" s="56">
        <v>28</v>
      </c>
      <c r="AY1165" s="56" t="s">
        <v>8722</v>
      </c>
      <c r="AZ1165" s="56" t="s">
        <v>2213</v>
      </c>
      <c r="BA1165" s="56" t="s">
        <v>8722</v>
      </c>
      <c r="BB1165" s="55" t="s">
        <v>1764</v>
      </c>
      <c r="BC1165" s="55" t="s">
        <v>2214</v>
      </c>
      <c r="BD1165" s="55"/>
      <c r="BE1165" s="56" t="s">
        <v>1712</v>
      </c>
      <c r="BF1165" s="56" t="s">
        <v>272</v>
      </c>
      <c r="BG1165" s="56" t="s">
        <v>272</v>
      </c>
      <c r="BH1165" s="56" t="s">
        <v>2119</v>
      </c>
      <c r="BI1165" s="153">
        <v>2.2036000000000004E-3</v>
      </c>
      <c r="BJ1165" s="153">
        <v>22.036000000000001</v>
      </c>
      <c r="BK1165" s="56"/>
      <c r="BL1165" s="153">
        <v>7.4455325003865938E-2</v>
      </c>
      <c r="BM1165" s="56" t="s">
        <v>1584</v>
      </c>
      <c r="BN1165" s="56"/>
      <c r="BO1165" s="56">
        <v>1.057728</v>
      </c>
      <c r="BP1165" s="56">
        <v>0.59497200000000006</v>
      </c>
      <c r="BQ1165" s="56"/>
      <c r="BR1165" s="56"/>
      <c r="BS1165" s="56"/>
      <c r="BT1165" s="56"/>
      <c r="BU1165" s="158"/>
      <c r="BV1165" s="56"/>
      <c r="BW1165" s="56"/>
      <c r="BX1165" s="56"/>
      <c r="BY1165" s="56"/>
      <c r="BZ1165" s="56"/>
      <c r="CA1165" s="56"/>
      <c r="CB1165" s="56"/>
      <c r="CC1165" s="56"/>
      <c r="CD1165" s="56"/>
      <c r="CE1165" s="56"/>
      <c r="CF1165" s="56"/>
      <c r="CG1165" s="56"/>
      <c r="CH1165" s="56"/>
      <c r="CI1165" s="103">
        <v>0.59497200000000006</v>
      </c>
      <c r="CJ1165" s="103">
        <f t="shared" si="251"/>
        <v>-0.22550347213972888</v>
      </c>
      <c r="CK1165" s="57">
        <f t="shared" si="252"/>
        <v>3.3788040027167331E-3</v>
      </c>
      <c r="CL1165" s="160">
        <f t="shared" si="253"/>
        <v>0.12514088898950865</v>
      </c>
      <c r="CM1165" s="160"/>
      <c r="CN1165" s="160"/>
      <c r="CO1165" s="55"/>
      <c r="CP1165" s="497" t="s">
        <v>2215</v>
      </c>
      <c r="CQ1165" s="149">
        <v>-0.679853713888946</v>
      </c>
      <c r="CR1165" s="349">
        <f>10^(CJ1165-CQ1165)</f>
        <v>2.8467559808612446</v>
      </c>
      <c r="CS1165" s="61" t="s">
        <v>539</v>
      </c>
      <c r="CT1165" s="61"/>
      <c r="CU1165" s="111">
        <f t="shared" si="254"/>
        <v>8403.7568154467772</v>
      </c>
      <c r="CV1165" s="331">
        <f t="shared" si="255"/>
        <v>226.90143401706297</v>
      </c>
      <c r="CW1165" s="326">
        <f t="shared" si="256"/>
        <v>1</v>
      </c>
      <c r="CX1165" s="326" t="s">
        <v>539</v>
      </c>
      <c r="CY1165" s="161" t="s">
        <v>6351</v>
      </c>
    </row>
    <row r="1166" spans="1:103" ht="11.25" customHeight="1" x14ac:dyDescent="0.2">
      <c r="A1166" s="72">
        <v>395</v>
      </c>
      <c r="B1166" s="149">
        <v>789</v>
      </c>
      <c r="C1166" s="54" t="s">
        <v>620</v>
      </c>
      <c r="D1166" s="54" t="s">
        <v>6472</v>
      </c>
      <c r="E1166" s="59"/>
      <c r="F1166" s="59" t="s">
        <v>621</v>
      </c>
      <c r="G1166" s="151">
        <v>121755</v>
      </c>
      <c r="H1166" s="55" t="s">
        <v>622</v>
      </c>
      <c r="I1166" s="55" t="s">
        <v>622</v>
      </c>
      <c r="J1166" s="55" t="s">
        <v>623</v>
      </c>
      <c r="K1166" s="55" t="s">
        <v>624</v>
      </c>
      <c r="L1166" s="55" t="s">
        <v>617</v>
      </c>
      <c r="M1166" s="55" t="s">
        <v>946</v>
      </c>
      <c r="N1166" s="60" t="s">
        <v>6376</v>
      </c>
      <c r="O1166" s="55" t="s">
        <v>2225</v>
      </c>
      <c r="P1166" s="67" t="s">
        <v>6178</v>
      </c>
      <c r="Q1166" s="67" t="s">
        <v>6176</v>
      </c>
      <c r="R1166" s="67" t="s">
        <v>6177</v>
      </c>
      <c r="S1166" s="67" t="s">
        <v>6176</v>
      </c>
      <c r="T1166" s="56">
        <v>330.36</v>
      </c>
      <c r="U1166" s="103">
        <v>143</v>
      </c>
      <c r="V1166" s="103">
        <v>78.45</v>
      </c>
      <c r="W1166" s="103">
        <v>185.77508018988354</v>
      </c>
      <c r="X1166" s="103">
        <v>143</v>
      </c>
      <c r="Y1166" s="162">
        <v>7</v>
      </c>
      <c r="Z1166" s="56">
        <v>2.29</v>
      </c>
      <c r="AA1166" s="56">
        <v>2.36</v>
      </c>
      <c r="AB1166" s="56">
        <v>2.69</v>
      </c>
      <c r="AC1166" s="56">
        <v>0.8125</v>
      </c>
      <c r="AD1166" s="56">
        <v>2.76</v>
      </c>
      <c r="AE1166" s="56">
        <v>2.93</v>
      </c>
      <c r="AF1166" s="56">
        <f t="shared" si="249"/>
        <v>2.36</v>
      </c>
      <c r="AG1166" s="57">
        <v>2.3199999999999998</v>
      </c>
      <c r="AH1166" s="103">
        <v>8.39E-10</v>
      </c>
      <c r="AI1166" s="103">
        <v>4.8900000000000003E-9</v>
      </c>
      <c r="AJ1166" s="62">
        <f t="shared" si="247"/>
        <v>-7.4648043654839515</v>
      </c>
      <c r="AK1166" s="62">
        <f t="shared" si="250"/>
        <v>-6.6992574671890317</v>
      </c>
      <c r="AL1166" s="62">
        <f t="shared" si="248"/>
        <v>-6.6992574671890317</v>
      </c>
      <c r="AM1166" s="62">
        <v>-12.449109999999999</v>
      </c>
      <c r="AN1166" s="154">
        <v>-5.94</v>
      </c>
      <c r="AO1166" s="410"/>
      <c r="AP1166" s="410"/>
      <c r="AQ1166" s="56" t="s">
        <v>6312</v>
      </c>
      <c r="AR1166" s="56" t="s">
        <v>6312</v>
      </c>
      <c r="AS1166" s="149" t="s">
        <v>6</v>
      </c>
      <c r="AT1166" s="58" t="s">
        <v>266</v>
      </c>
      <c r="AU1166" s="56">
        <v>6</v>
      </c>
      <c r="AV1166" s="56">
        <v>96</v>
      </c>
      <c r="AW1166" s="56">
        <v>90</v>
      </c>
      <c r="AX1166" s="56">
        <v>28</v>
      </c>
      <c r="AY1166" s="56" t="s">
        <v>8722</v>
      </c>
      <c r="AZ1166" s="56" t="s">
        <v>2213</v>
      </c>
      <c r="BA1166" s="56" t="s">
        <v>8722</v>
      </c>
      <c r="BB1166" s="55" t="s">
        <v>1764</v>
      </c>
      <c r="BC1166" s="55" t="s">
        <v>2214</v>
      </c>
      <c r="BD1166" s="55"/>
      <c r="BE1166" s="56" t="s">
        <v>1712</v>
      </c>
      <c r="BF1166" s="56" t="s">
        <v>272</v>
      </c>
      <c r="BG1166" s="56" t="s">
        <v>272</v>
      </c>
      <c r="BH1166" s="56" t="s">
        <v>2119</v>
      </c>
      <c r="BI1166" s="153">
        <v>3.3036000000000003E-3</v>
      </c>
      <c r="BJ1166" s="153">
        <v>33.036000000000001</v>
      </c>
      <c r="BK1166" s="56"/>
      <c r="BL1166" s="153">
        <v>148.98359766722712</v>
      </c>
      <c r="BM1166" s="56" t="s">
        <v>1584</v>
      </c>
      <c r="BN1166" s="56"/>
      <c r="BO1166" s="56">
        <v>25.768080000000001</v>
      </c>
      <c r="BP1166" s="56">
        <v>0.75982800000000006</v>
      </c>
      <c r="BQ1166" s="56"/>
      <c r="BR1166" s="56"/>
      <c r="BS1166" s="56"/>
      <c r="BT1166" s="56"/>
      <c r="BU1166" s="158"/>
      <c r="BV1166" s="56"/>
      <c r="BW1166" s="56"/>
      <c r="BX1166" s="56"/>
      <c r="BY1166" s="56"/>
      <c r="BZ1166" s="56"/>
      <c r="CA1166" s="56"/>
      <c r="CB1166" s="56"/>
      <c r="CC1166" s="56"/>
      <c r="CD1166" s="56"/>
      <c r="CE1166" s="56"/>
      <c r="CF1166" s="56"/>
      <c r="CG1166" s="56"/>
      <c r="CH1166" s="56"/>
      <c r="CI1166" s="103">
        <v>0.75982800000000006</v>
      </c>
      <c r="CJ1166" s="103">
        <f t="shared" si="251"/>
        <v>-0.119284706541452</v>
      </c>
      <c r="CK1166" s="57">
        <f t="shared" si="252"/>
        <v>4.5097347641126984</v>
      </c>
      <c r="CL1166" s="160">
        <f t="shared" si="253"/>
        <v>196.07542452663907</v>
      </c>
      <c r="CM1166" s="160">
        <v>-1.0170155211093046</v>
      </c>
      <c r="CN1166" s="160">
        <f>BJ1166/(10^CM1166)</f>
        <v>343.5603041539066</v>
      </c>
      <c r="CO1166" s="55"/>
      <c r="CP1166" s="497" t="s">
        <v>2215</v>
      </c>
      <c r="CQ1166" s="149">
        <v>-0.606977785182086</v>
      </c>
      <c r="CR1166" s="349">
        <f>10^(CJ1166-CQ1166)</f>
        <v>3.0739236665125733</v>
      </c>
      <c r="CS1166" s="61" t="s">
        <v>539</v>
      </c>
      <c r="CT1166" s="61"/>
      <c r="CU1166" s="111">
        <f t="shared" si="254"/>
        <v>188.20048747874517</v>
      </c>
      <c r="CV1166" s="331">
        <f t="shared" si="255"/>
        <v>4.3286112120111389</v>
      </c>
      <c r="CW1166" s="326">
        <f t="shared" si="256"/>
        <v>1</v>
      </c>
      <c r="CX1166" s="326" t="s">
        <v>539</v>
      </c>
      <c r="CY1166" s="161" t="s">
        <v>5921</v>
      </c>
    </row>
    <row r="1167" spans="1:103" ht="11.25" customHeight="1" x14ac:dyDescent="0.2">
      <c r="A1167" s="72">
        <v>1670</v>
      </c>
      <c r="B1167" s="241">
        <v>1970</v>
      </c>
      <c r="C1167" s="32" t="s">
        <v>7630</v>
      </c>
      <c r="D1167" s="32"/>
      <c r="E1167" s="40"/>
      <c r="F1167" s="40" t="s">
        <v>5532</v>
      </c>
      <c r="G1167" s="242">
        <v>75150</v>
      </c>
      <c r="H1167" s="41" t="s">
        <v>5533</v>
      </c>
      <c r="I1167" s="41" t="s">
        <v>5533</v>
      </c>
      <c r="J1167" s="41" t="s">
        <v>5534</v>
      </c>
      <c r="K1167" s="41" t="s">
        <v>426</v>
      </c>
      <c r="L1167" s="41"/>
      <c r="M1167" s="41"/>
      <c r="N1167" s="36"/>
      <c r="O1167" s="41"/>
      <c r="P1167" s="41"/>
      <c r="Q1167" s="41"/>
      <c r="R1167" s="41"/>
      <c r="S1167" s="41"/>
      <c r="T1167" s="33">
        <v>76.13</v>
      </c>
      <c r="U1167" s="250">
        <v>2160</v>
      </c>
      <c r="V1167" s="250">
        <v>2928</v>
      </c>
      <c r="W1167" s="250">
        <v>381.55384096044224</v>
      </c>
      <c r="X1167" s="250">
        <v>2160</v>
      </c>
      <c r="Y1167" s="415">
        <v>7</v>
      </c>
      <c r="Z1167" s="33">
        <v>1.94</v>
      </c>
      <c r="AA1167" s="33">
        <v>1.94</v>
      </c>
      <c r="AB1167" s="33">
        <v>1.89</v>
      </c>
      <c r="AC1167" s="33">
        <v>0.48170000000000002</v>
      </c>
      <c r="AD1167" s="33">
        <v>1.92</v>
      </c>
      <c r="AE1167" s="33">
        <v>1.94</v>
      </c>
      <c r="AF1167" s="33">
        <f t="shared" si="249"/>
        <v>1.94</v>
      </c>
      <c r="AG1167" s="34">
        <v>1.92</v>
      </c>
      <c r="AH1167" s="250">
        <v>3.0200000000000001E-2</v>
      </c>
      <c r="AI1167" s="250">
        <v>1.44E-2</v>
      </c>
      <c r="AJ1167" s="34">
        <f t="shared" si="247"/>
        <v>9.1440616644498846E-2</v>
      </c>
      <c r="AK1167" s="34">
        <f t="shared" si="250"/>
        <v>-0.23020383421740215</v>
      </c>
      <c r="AL1167" s="34">
        <f t="shared" si="248"/>
        <v>-0.23020383421740215</v>
      </c>
      <c r="AM1167" s="34">
        <v>-2.8222700000000001</v>
      </c>
      <c r="AN1167" s="251"/>
      <c r="AO1167" s="417"/>
      <c r="AP1167" s="417"/>
      <c r="AQ1167" s="251" t="s">
        <v>6311</v>
      </c>
      <c r="AR1167" s="251" t="s">
        <v>6311</v>
      </c>
      <c r="AS1167" s="252" t="s">
        <v>5466</v>
      </c>
      <c r="AT1167" s="35" t="s">
        <v>266</v>
      </c>
      <c r="AU1167" s="33">
        <v>4</v>
      </c>
      <c r="AV1167" s="33">
        <v>24</v>
      </c>
      <c r="AW1167" s="33">
        <v>20</v>
      </c>
      <c r="AX1167" s="33">
        <v>28</v>
      </c>
      <c r="AY1167" s="262" t="s">
        <v>267</v>
      </c>
      <c r="AZ1167" s="33" t="s">
        <v>6212</v>
      </c>
      <c r="BA1167" s="33">
        <v>20</v>
      </c>
      <c r="BB1167" s="41" t="s">
        <v>6300</v>
      </c>
      <c r="BC1167" s="41" t="s">
        <v>5697</v>
      </c>
      <c r="BD1167" s="41"/>
      <c r="BE1167" s="33" t="s">
        <v>2449</v>
      </c>
      <c r="BF1167" s="33" t="s">
        <v>6203</v>
      </c>
      <c r="BG1167" s="33" t="s">
        <v>6203</v>
      </c>
      <c r="BH1167" s="33"/>
      <c r="BI1167" s="250">
        <v>4.0000000000000001E-3</v>
      </c>
      <c r="BJ1167" s="250">
        <v>4</v>
      </c>
      <c r="BK1167" s="254"/>
      <c r="BL1167" s="263">
        <v>70.801397464038118</v>
      </c>
      <c r="BM1167" s="33" t="s">
        <v>1584</v>
      </c>
      <c r="BN1167" s="33">
        <v>60904</v>
      </c>
      <c r="BO1167" s="33"/>
      <c r="BP1167" s="33"/>
      <c r="BQ1167" s="33"/>
      <c r="BR1167" s="33"/>
      <c r="BS1167" s="33"/>
      <c r="BT1167" s="33"/>
      <c r="BU1167" s="246"/>
      <c r="BV1167" s="33"/>
      <c r="BW1167" s="33"/>
      <c r="BX1167" s="33"/>
      <c r="BY1167" s="33"/>
      <c r="BZ1167" s="33"/>
      <c r="CA1167" s="33"/>
      <c r="CB1167" s="33"/>
      <c r="CC1167" s="33"/>
      <c r="CD1167" s="33"/>
      <c r="CE1167" s="33"/>
      <c r="CF1167" s="33"/>
      <c r="CG1167" s="33"/>
      <c r="CH1167" s="33"/>
      <c r="CI1167" s="250">
        <v>60904</v>
      </c>
      <c r="CJ1167" s="243">
        <f t="shared" si="251"/>
        <v>4.7846458167852548</v>
      </c>
      <c r="CK1167" s="38">
        <f t="shared" si="252"/>
        <v>17.700349366009529</v>
      </c>
      <c r="CL1167" s="247">
        <f t="shared" si="253"/>
        <v>1.1625081680027274E-3</v>
      </c>
      <c r="CM1167" s="247"/>
      <c r="CN1167" s="247"/>
      <c r="CO1167" s="41"/>
      <c r="CP1167" s="143" t="s">
        <v>8382</v>
      </c>
      <c r="CQ1167" s="241" t="s">
        <v>272</v>
      </c>
      <c r="CR1167" s="241"/>
      <c r="CS1167" s="33"/>
      <c r="CT1167" s="33"/>
      <c r="CU1167" s="250">
        <f t="shared" si="254"/>
        <v>3.5465650860370422E-2</v>
      </c>
      <c r="CV1167" s="337">
        <f t="shared" si="255"/>
        <v>540</v>
      </c>
      <c r="CW1167" s="330">
        <f t="shared" si="256"/>
        <v>0</v>
      </c>
      <c r="CX1167" s="330"/>
      <c r="CY1167" s="143" t="s">
        <v>6351</v>
      </c>
    </row>
    <row r="1168" spans="1:103" ht="11.25" customHeight="1" x14ac:dyDescent="0.2">
      <c r="A1168" s="72">
        <v>1771</v>
      </c>
      <c r="B1168" s="241">
        <v>1985</v>
      </c>
      <c r="C1168" s="32" t="s">
        <v>7682</v>
      </c>
      <c r="D1168" s="32" t="s">
        <v>8596</v>
      </c>
      <c r="E1168" s="40"/>
      <c r="F1168" s="40" t="s">
        <v>3510</v>
      </c>
      <c r="G1168" s="242">
        <v>128041</v>
      </c>
      <c r="H1168" s="41" t="s">
        <v>5550</v>
      </c>
      <c r="I1168" s="41" t="s">
        <v>8217</v>
      </c>
      <c r="J1168" s="41"/>
      <c r="K1168" s="41" t="s">
        <v>1297</v>
      </c>
      <c r="L1168" s="41" t="s">
        <v>617</v>
      </c>
      <c r="M1168" s="41" t="s">
        <v>1515</v>
      </c>
      <c r="N1168" s="36" t="s">
        <v>6382</v>
      </c>
      <c r="O1168" s="41" t="s">
        <v>1516</v>
      </c>
      <c r="P1168" s="41"/>
      <c r="Q1168" s="41"/>
      <c r="R1168" s="41"/>
      <c r="S1168" s="41"/>
      <c r="T1168" s="33">
        <v>143.19999999999999</v>
      </c>
      <c r="U1168" s="250"/>
      <c r="V1168" s="250">
        <v>1000000</v>
      </c>
      <c r="W1168" s="250">
        <v>9681.5082076131803</v>
      </c>
      <c r="X1168" s="250">
        <v>9681.5082076131803</v>
      </c>
      <c r="Y1168" s="415">
        <v>2.48</v>
      </c>
      <c r="Z1168" s="33">
        <v>-2.41</v>
      </c>
      <c r="AA1168" s="33"/>
      <c r="AB1168" s="33">
        <v>0</v>
      </c>
      <c r="AC1168" s="33">
        <v>0</v>
      </c>
      <c r="AD1168" s="33">
        <v>0</v>
      </c>
      <c r="AE1168" s="33">
        <v>0</v>
      </c>
      <c r="AF1168" s="33"/>
      <c r="AG1168" s="34">
        <v>0.93</v>
      </c>
      <c r="AH1168" s="250"/>
      <c r="AI1168" s="250"/>
      <c r="AJ1168" s="34"/>
      <c r="AK1168" s="34"/>
      <c r="AL1168" s="34"/>
      <c r="AM1168" s="34"/>
      <c r="AN1168" s="251"/>
      <c r="AO1168" s="417">
        <v>4.21</v>
      </c>
      <c r="AP1168" s="417">
        <v>0.9</v>
      </c>
      <c r="AQ1168" s="251" t="s">
        <v>6311</v>
      </c>
      <c r="AR1168" s="251" t="s">
        <v>6311</v>
      </c>
      <c r="AS1168" s="252" t="s">
        <v>5466</v>
      </c>
      <c r="AT1168" s="35" t="s">
        <v>266</v>
      </c>
      <c r="AU1168" s="33">
        <v>4</v>
      </c>
      <c r="AV1168" s="33">
        <v>24</v>
      </c>
      <c r="AW1168" s="33">
        <v>20</v>
      </c>
      <c r="AX1168" s="33">
        <v>28</v>
      </c>
      <c r="AY1168" s="262" t="s">
        <v>267</v>
      </c>
      <c r="AZ1168" s="33" t="s">
        <v>6212</v>
      </c>
      <c r="BA1168" s="33">
        <v>20</v>
      </c>
      <c r="BB1168" s="41" t="s">
        <v>6300</v>
      </c>
      <c r="BC1168" s="41" t="s">
        <v>5697</v>
      </c>
      <c r="BD1168" s="41"/>
      <c r="BE1168" s="33" t="s">
        <v>2449</v>
      </c>
      <c r="BF1168" s="33" t="s">
        <v>6203</v>
      </c>
      <c r="BG1168" s="33" t="s">
        <v>6203</v>
      </c>
      <c r="BH1168" s="33"/>
      <c r="BI1168" s="250">
        <v>4.0000000000000001E-3</v>
      </c>
      <c r="BJ1168" s="250">
        <v>4</v>
      </c>
      <c r="BK1168" s="254"/>
      <c r="BL1168" s="263">
        <v>1074395.0975163137</v>
      </c>
      <c r="BM1168" s="33" t="s">
        <v>1584</v>
      </c>
      <c r="BN1168" s="33">
        <v>3995.2799999999993</v>
      </c>
      <c r="BO1168" s="33"/>
      <c r="BP1168" s="33"/>
      <c r="BQ1168" s="33"/>
      <c r="BR1168" s="33"/>
      <c r="BS1168" s="33"/>
      <c r="BT1168" s="33"/>
      <c r="BU1168" s="246"/>
      <c r="BV1168" s="33"/>
      <c r="BW1168" s="33"/>
      <c r="BX1168" s="33"/>
      <c r="BY1168" s="33"/>
      <c r="BZ1168" s="33"/>
      <c r="CA1168" s="33"/>
      <c r="CB1168" s="33"/>
      <c r="CC1168" s="33"/>
      <c r="CD1168" s="33"/>
      <c r="CE1168" s="33"/>
      <c r="CF1168" s="33"/>
      <c r="CG1168" s="33"/>
      <c r="CH1168" s="33"/>
      <c r="CI1168" s="250">
        <v>3995.2799999999993</v>
      </c>
      <c r="CJ1168" s="243">
        <f t="shared" si="251"/>
        <v>3.601547221245434</v>
      </c>
      <c r="CK1168" s="38">
        <f t="shared" si="252"/>
        <v>268598.77437907842</v>
      </c>
      <c r="CL1168" s="247">
        <f t="shared" si="253"/>
        <v>268.91609537161696</v>
      </c>
      <c r="CM1168" s="247"/>
      <c r="CN1168" s="247"/>
      <c r="CO1168" s="41"/>
      <c r="CP1168" s="143" t="s">
        <v>8382</v>
      </c>
      <c r="CQ1168" s="241">
        <v>1.2057677661046635</v>
      </c>
      <c r="CR1168" s="241">
        <f>10^(CJ1168-CQ1168)</f>
        <v>248.75937393974121</v>
      </c>
      <c r="CS1168" s="33"/>
      <c r="CT1168" s="33"/>
      <c r="CU1168" s="250">
        <f t="shared" si="254"/>
        <v>2.4232364709390035</v>
      </c>
      <c r="CV1168" s="337">
        <f t="shared" si="255"/>
        <v>2420.3770519032951</v>
      </c>
      <c r="CW1168" s="330">
        <f t="shared" si="256"/>
        <v>1</v>
      </c>
      <c r="CX1168" s="330"/>
      <c r="CY1168" s="143" t="s">
        <v>6351</v>
      </c>
    </row>
    <row r="1169" spans="1:103" ht="11.25" customHeight="1" x14ac:dyDescent="0.2">
      <c r="A1169" s="72">
        <v>1801</v>
      </c>
      <c r="B1169" s="241">
        <v>1993</v>
      </c>
      <c r="C1169" s="32" t="s">
        <v>7696</v>
      </c>
      <c r="D1169" s="32"/>
      <c r="E1169" s="40"/>
      <c r="F1169" s="40" t="s">
        <v>5555</v>
      </c>
      <c r="G1169" s="242">
        <v>484117</v>
      </c>
      <c r="H1169" s="41" t="s">
        <v>5556</v>
      </c>
      <c r="I1169" s="41" t="s">
        <v>5556</v>
      </c>
      <c r="J1169" s="41" t="s">
        <v>5557</v>
      </c>
      <c r="K1169" s="41" t="s">
        <v>426</v>
      </c>
      <c r="L1169" s="41"/>
      <c r="M1169" s="41"/>
      <c r="N1169" s="36"/>
      <c r="O1169" s="41"/>
      <c r="P1169" s="41"/>
      <c r="Q1169" s="41"/>
      <c r="R1169" s="41"/>
      <c r="S1169" s="41"/>
      <c r="T1169" s="33">
        <v>208.26</v>
      </c>
      <c r="U1169" s="250"/>
      <c r="V1169" s="250">
        <v>3.9460000000000006</v>
      </c>
      <c r="W1169" s="250">
        <v>223.15461050878366</v>
      </c>
      <c r="X1169" s="250">
        <v>223.15461050878366</v>
      </c>
      <c r="Y1169" s="415">
        <v>8.52</v>
      </c>
      <c r="Z1169" s="33">
        <v>3.39</v>
      </c>
      <c r="AA1169" s="33"/>
      <c r="AB1169" s="33">
        <v>3.37</v>
      </c>
      <c r="AC1169" s="33">
        <v>0.68359999999999999</v>
      </c>
      <c r="AD1169" s="33">
        <v>3.1</v>
      </c>
      <c r="AE1169" s="33">
        <v>2.7</v>
      </c>
      <c r="AF1169" s="33">
        <f t="shared" ref="AF1169:AF1195" si="257">IF(AA1169=0,AD1169,AA1169)</f>
        <v>3.1</v>
      </c>
      <c r="AG1169" s="34">
        <v>3.1</v>
      </c>
      <c r="AH1169" s="250">
        <v>1.0700000000000001E-10</v>
      </c>
      <c r="AI1169" s="250"/>
      <c r="AJ1169" s="34">
        <f>LOG10(AH1169*1000/(0.08206*298.15))</f>
        <v>-8.3591825486274427</v>
      </c>
      <c r="AK1169" s="34"/>
      <c r="AL1169" s="34">
        <f>IF(AK1169=0,AJ1169,AK1169)</f>
        <v>-8.3591825486274427</v>
      </c>
      <c r="AM1169" s="34">
        <v>-9.4469799999999999</v>
      </c>
      <c r="AN1169" s="251"/>
      <c r="AO1169" s="417"/>
      <c r="AP1169" s="417">
        <v>6.01</v>
      </c>
      <c r="AQ1169" s="251" t="s">
        <v>6311</v>
      </c>
      <c r="AR1169" s="251" t="s">
        <v>6311</v>
      </c>
      <c r="AS1169" s="252" t="s">
        <v>5466</v>
      </c>
      <c r="AT1169" s="35" t="s">
        <v>266</v>
      </c>
      <c r="AU1169" s="33">
        <v>4</v>
      </c>
      <c r="AV1169" s="33">
        <v>24</v>
      </c>
      <c r="AW1169" s="33">
        <v>20</v>
      </c>
      <c r="AX1169" s="33">
        <v>28</v>
      </c>
      <c r="AY1169" s="262" t="s">
        <v>267</v>
      </c>
      <c r="AZ1169" s="33" t="s">
        <v>6212</v>
      </c>
      <c r="BA1169" s="33">
        <v>20</v>
      </c>
      <c r="BB1169" s="41" t="s">
        <v>6300</v>
      </c>
      <c r="BC1169" s="41" t="s">
        <v>5697</v>
      </c>
      <c r="BD1169" s="41"/>
      <c r="BE1169" s="33" t="s">
        <v>2449</v>
      </c>
      <c r="BF1169" s="33" t="s">
        <v>6203</v>
      </c>
      <c r="BG1169" s="33" t="s">
        <v>6203</v>
      </c>
      <c r="BH1169" s="33"/>
      <c r="BI1169" s="250">
        <v>4.0000000000000001E-3</v>
      </c>
      <c r="BJ1169" s="250">
        <v>4</v>
      </c>
      <c r="BK1169" s="254"/>
      <c r="BL1169" s="263">
        <v>9.6571030124475357</v>
      </c>
      <c r="BM1169" s="33" t="s">
        <v>1584</v>
      </c>
      <c r="BN1169" s="33">
        <v>7.9138799999999998</v>
      </c>
      <c r="BO1169" s="33"/>
      <c r="BP1169" s="33"/>
      <c r="BQ1169" s="33"/>
      <c r="BR1169" s="33"/>
      <c r="BS1169" s="33"/>
      <c r="BT1169" s="33"/>
      <c r="BU1169" s="246"/>
      <c r="BV1169" s="33"/>
      <c r="BW1169" s="33"/>
      <c r="BX1169" s="33"/>
      <c r="BY1169" s="33"/>
      <c r="BZ1169" s="33"/>
      <c r="CA1169" s="33"/>
      <c r="CB1169" s="33"/>
      <c r="CC1169" s="33"/>
      <c r="CD1169" s="33"/>
      <c r="CE1169" s="33"/>
      <c r="CF1169" s="33"/>
      <c r="CG1169" s="33"/>
      <c r="CH1169" s="33"/>
      <c r="CI1169" s="250">
        <v>7.9138799999999998</v>
      </c>
      <c r="CJ1169" s="243">
        <f t="shared" si="251"/>
        <v>0.89838946067186576</v>
      </c>
      <c r="CK1169" s="38">
        <f t="shared" si="252"/>
        <v>2.4142757531118839</v>
      </c>
      <c r="CL1169" s="247">
        <f t="shared" si="253"/>
        <v>1.2202741275388982</v>
      </c>
      <c r="CM1169" s="247"/>
      <c r="CN1169" s="247"/>
      <c r="CO1169" s="41"/>
      <c r="CP1169" s="143" t="s">
        <v>8382</v>
      </c>
      <c r="CQ1169" s="241" t="s">
        <v>272</v>
      </c>
      <c r="CR1169" s="241"/>
      <c r="CS1169" s="33"/>
      <c r="CT1169" s="33"/>
      <c r="CU1169" s="250">
        <f t="shared" si="254"/>
        <v>28.197876453621191</v>
      </c>
      <c r="CV1169" s="337">
        <f t="shared" si="255"/>
        <v>55.788652627195916</v>
      </c>
      <c r="CW1169" s="330">
        <f t="shared" si="256"/>
        <v>1</v>
      </c>
      <c r="CX1169" s="330"/>
      <c r="CY1169" s="143" t="s">
        <v>5921</v>
      </c>
    </row>
    <row r="1170" spans="1:103" ht="11.25" customHeight="1" x14ac:dyDescent="0.2">
      <c r="A1170" s="72">
        <v>1809</v>
      </c>
      <c r="B1170" s="241">
        <v>2031</v>
      </c>
      <c r="C1170" s="32" t="s">
        <v>2249</v>
      </c>
      <c r="D1170" s="32"/>
      <c r="E1170" s="40"/>
      <c r="F1170" s="40" t="s">
        <v>2250</v>
      </c>
      <c r="G1170" s="242">
        <v>556616</v>
      </c>
      <c r="H1170" s="41" t="s">
        <v>2251</v>
      </c>
      <c r="I1170" s="41" t="s">
        <v>2251</v>
      </c>
      <c r="J1170" s="41" t="s">
        <v>2252</v>
      </c>
      <c r="K1170" s="41" t="s">
        <v>1468</v>
      </c>
      <c r="L1170" s="36" t="s">
        <v>6022</v>
      </c>
      <c r="M1170" s="36" t="s">
        <v>6023</v>
      </c>
      <c r="N1170" s="36" t="s">
        <v>6382</v>
      </c>
      <c r="O1170" s="42" t="s">
        <v>5943</v>
      </c>
      <c r="P1170" s="41"/>
      <c r="Q1170" s="41"/>
      <c r="R1170" s="41"/>
      <c r="S1170" s="41"/>
      <c r="T1170" s="33">
        <v>73.118700000000004</v>
      </c>
      <c r="U1170" s="250">
        <v>7599.8648796498901</v>
      </c>
      <c r="V1170" s="250">
        <v>21129.624329868708</v>
      </c>
      <c r="W1170" s="250">
        <v>3926.706680925759</v>
      </c>
      <c r="X1170" s="250">
        <v>7599.8648796498901</v>
      </c>
      <c r="Y1170" s="415">
        <v>7</v>
      </c>
      <c r="Z1170" s="33">
        <v>1.3</v>
      </c>
      <c r="AA1170" s="33">
        <v>0.94</v>
      </c>
      <c r="AB1170" s="33">
        <v>1.6</v>
      </c>
      <c r="AC1170" s="33">
        <v>0.87309999999999999</v>
      </c>
      <c r="AD1170" s="33">
        <v>1.44</v>
      </c>
      <c r="AE1170" s="33">
        <v>0.94</v>
      </c>
      <c r="AF1170" s="33">
        <f t="shared" si="257"/>
        <v>0.94</v>
      </c>
      <c r="AG1170" s="34">
        <v>1.53</v>
      </c>
      <c r="AH1170" s="250">
        <v>3.1099999999999999E-3</v>
      </c>
      <c r="AI1170" s="250">
        <v>4.4799999999999998E-5</v>
      </c>
      <c r="AJ1170" s="34">
        <f>LOG10(AH1170*1000/(0.08206*298.15))</f>
        <v>-0.89580593728581437</v>
      </c>
      <c r="AK1170" s="34">
        <f>LOG10(AI1170*1000/(0.08206*298.15))</f>
        <v>-2.737288312314508</v>
      </c>
      <c r="AL1170" s="34">
        <f>IF(AK1170=0,AJ1170,AK1170)</f>
        <v>-2.737288312314508</v>
      </c>
      <c r="AM1170" s="34">
        <v>-1.2832599999999998</v>
      </c>
      <c r="AN1170" s="251">
        <v>-2.3068</v>
      </c>
      <c r="AO1170" s="417"/>
      <c r="AP1170" s="417"/>
      <c r="AQ1170" s="251" t="s">
        <v>6311</v>
      </c>
      <c r="AR1170" s="251" t="s">
        <v>6311</v>
      </c>
      <c r="AS1170" s="252" t="s">
        <v>5466</v>
      </c>
      <c r="AT1170" s="35" t="s">
        <v>266</v>
      </c>
      <c r="AU1170" s="33">
        <v>4</v>
      </c>
      <c r="AV1170" s="33">
        <v>24</v>
      </c>
      <c r="AW1170" s="33">
        <v>20</v>
      </c>
      <c r="AX1170" s="33">
        <v>28</v>
      </c>
      <c r="AY1170" s="262" t="s">
        <v>267</v>
      </c>
      <c r="AZ1170" s="33" t="s">
        <v>6212</v>
      </c>
      <c r="BA1170" s="33">
        <v>20</v>
      </c>
      <c r="BB1170" s="41" t="s">
        <v>6300</v>
      </c>
      <c r="BC1170" s="41" t="s">
        <v>5697</v>
      </c>
      <c r="BD1170" s="41"/>
      <c r="BE1170" s="33" t="s">
        <v>2449</v>
      </c>
      <c r="BF1170" s="33" t="s">
        <v>6203</v>
      </c>
      <c r="BG1170" s="33" t="s">
        <v>6203</v>
      </c>
      <c r="BH1170" s="33"/>
      <c r="BI1170" s="250">
        <v>4.0000000000000001E-3</v>
      </c>
      <c r="BJ1170" s="250">
        <v>4</v>
      </c>
      <c r="BK1170" s="254"/>
      <c r="BL1170" s="263">
        <v>255.44562052316383</v>
      </c>
      <c r="BM1170" s="33" t="s">
        <v>1584</v>
      </c>
      <c r="BN1170" s="33">
        <v>0.13673196900000001</v>
      </c>
      <c r="BO1170" s="33"/>
      <c r="BP1170" s="33"/>
      <c r="BQ1170" s="33"/>
      <c r="BR1170" s="33"/>
      <c r="BS1170" s="33"/>
      <c r="BT1170" s="33"/>
      <c r="BU1170" s="246"/>
      <c r="BV1170" s="33"/>
      <c r="BW1170" s="33"/>
      <c r="BX1170" s="33"/>
      <c r="BY1170" s="33"/>
      <c r="BZ1170" s="33"/>
      <c r="CA1170" s="33"/>
      <c r="CB1170" s="33"/>
      <c r="CC1170" s="33"/>
      <c r="CD1170" s="33"/>
      <c r="CE1170" s="33"/>
      <c r="CF1170" s="33"/>
      <c r="CG1170" s="33"/>
      <c r="CH1170" s="33"/>
      <c r="CI1170" s="250">
        <v>0.13673196900000001</v>
      </c>
      <c r="CJ1170" s="243">
        <f t="shared" si="251"/>
        <v>-0.86412993212510825</v>
      </c>
      <c r="CK1170" s="38">
        <f t="shared" si="252"/>
        <v>63.861405130790956</v>
      </c>
      <c r="CL1170" s="247">
        <f t="shared" si="253"/>
        <v>1868.2216192115525</v>
      </c>
      <c r="CM1170" s="247">
        <v>-1.1588088140996178</v>
      </c>
      <c r="CN1170" s="247">
        <f>BJ1170/(10^CM1170)</f>
        <v>57.659225624799234</v>
      </c>
      <c r="CO1170" s="41"/>
      <c r="CP1170" s="143" t="s">
        <v>8382</v>
      </c>
      <c r="CQ1170" s="241">
        <v>-1.0551046136804711</v>
      </c>
      <c r="CR1170" s="241">
        <f>10^(CJ1170-CQ1170)</f>
        <v>1.5522965117349723</v>
      </c>
      <c r="CS1170" s="33"/>
      <c r="CT1170" s="33"/>
      <c r="CU1170" s="250">
        <f t="shared" si="254"/>
        <v>55582.209012508916</v>
      </c>
      <c r="CV1170" s="337">
        <f t="shared" si="255"/>
        <v>1899.9662199124725</v>
      </c>
      <c r="CW1170" s="330">
        <f t="shared" si="256"/>
        <v>1</v>
      </c>
      <c r="CX1170" s="330"/>
      <c r="CY1170" s="143" t="s">
        <v>6351</v>
      </c>
    </row>
    <row r="1171" spans="1:103" ht="11.25" customHeight="1" x14ac:dyDescent="0.2">
      <c r="A1171" s="72">
        <v>1865</v>
      </c>
      <c r="B1171" s="241">
        <v>2006</v>
      </c>
      <c r="C1171" s="32" t="s">
        <v>5569</v>
      </c>
      <c r="D1171" s="32"/>
      <c r="E1171" s="40"/>
      <c r="F1171" s="40" t="s">
        <v>1294</v>
      </c>
      <c r="G1171" s="242">
        <v>6734801</v>
      </c>
      <c r="H1171" s="41" t="s">
        <v>5001</v>
      </c>
      <c r="I1171" s="41" t="s">
        <v>8095</v>
      </c>
      <c r="J1171" s="41" t="s">
        <v>5570</v>
      </c>
      <c r="K1171" s="41" t="s">
        <v>1297</v>
      </c>
      <c r="L1171" s="41"/>
      <c r="M1171" s="41"/>
      <c r="N1171" s="36"/>
      <c r="O1171" s="41"/>
      <c r="P1171" s="41"/>
      <c r="Q1171" s="41"/>
      <c r="R1171" s="41"/>
      <c r="S1171" s="41"/>
      <c r="T1171" s="33">
        <v>129.16999999999999</v>
      </c>
      <c r="U1171" s="250">
        <v>721944.10899520037</v>
      </c>
      <c r="V1171" s="250">
        <v>999922.58863601158</v>
      </c>
      <c r="W1171" s="250">
        <v>22970.035139472759</v>
      </c>
      <c r="X1171" s="250">
        <v>721944.10899520037</v>
      </c>
      <c r="Y1171" s="415">
        <v>1.98</v>
      </c>
      <c r="Z1171" s="33">
        <v>-2.62</v>
      </c>
      <c r="AA1171" s="33"/>
      <c r="AB1171" s="33">
        <v>0.78</v>
      </c>
      <c r="AC1171" s="33">
        <v>0.66080000000000005</v>
      </c>
      <c r="AD1171" s="33">
        <v>0.78</v>
      </c>
      <c r="AE1171" s="33">
        <v>0.78</v>
      </c>
      <c r="AF1171" s="33">
        <f t="shared" si="257"/>
        <v>0.78</v>
      </c>
      <c r="AG1171" s="34">
        <v>0.78</v>
      </c>
      <c r="AH1171" s="250">
        <v>1.36E-11</v>
      </c>
      <c r="AI1171" s="250"/>
      <c r="AJ1171" s="34">
        <f>LOG10(AH1171*1000/(0.08206*298.15))</f>
        <v>-9.2550274179424346</v>
      </c>
      <c r="AK1171" s="34"/>
      <c r="AL1171" s="34">
        <f>IF(AK1171=0,AJ1171,AK1171)</f>
        <v>-9.2550274179424346</v>
      </c>
      <c r="AM1171" s="34">
        <v>-6.0241499999999997</v>
      </c>
      <c r="AN1171" s="251"/>
      <c r="AO1171" s="417">
        <v>4.63</v>
      </c>
      <c r="AP1171" s="417">
        <v>0.87</v>
      </c>
      <c r="AQ1171" s="251" t="s">
        <v>6311</v>
      </c>
      <c r="AR1171" s="251" t="s">
        <v>6311</v>
      </c>
      <c r="AS1171" s="252" t="s">
        <v>5466</v>
      </c>
      <c r="AT1171" s="35" t="s">
        <v>266</v>
      </c>
      <c r="AU1171" s="33">
        <v>4</v>
      </c>
      <c r="AV1171" s="33">
        <v>24</v>
      </c>
      <c r="AW1171" s="33">
        <v>20</v>
      </c>
      <c r="AX1171" s="33">
        <v>28</v>
      </c>
      <c r="AY1171" s="262" t="s">
        <v>267</v>
      </c>
      <c r="AZ1171" s="33" t="s">
        <v>6212</v>
      </c>
      <c r="BA1171" s="33">
        <v>20</v>
      </c>
      <c r="BB1171" s="41" t="s">
        <v>6300</v>
      </c>
      <c r="BC1171" s="41" t="s">
        <v>5697</v>
      </c>
      <c r="BD1171" s="41"/>
      <c r="BE1171" s="33" t="s">
        <v>2449</v>
      </c>
      <c r="BF1171" s="33" t="s">
        <v>6203</v>
      </c>
      <c r="BG1171" s="33" t="s">
        <v>6203</v>
      </c>
      <c r="BH1171" s="33"/>
      <c r="BI1171" s="250">
        <v>4.0000000000000001E-3</v>
      </c>
      <c r="BJ1171" s="250">
        <v>4</v>
      </c>
      <c r="BK1171" s="254"/>
      <c r="BL1171" s="263">
        <v>1496179.3609681532</v>
      </c>
      <c r="BM1171" s="33" t="s">
        <v>1584</v>
      </c>
      <c r="BN1171" s="33">
        <v>0.25833999999999996</v>
      </c>
      <c r="BO1171" s="33"/>
      <c r="BP1171" s="33"/>
      <c r="BQ1171" s="33"/>
      <c r="BR1171" s="33"/>
      <c r="BS1171" s="33"/>
      <c r="BT1171" s="33"/>
      <c r="BU1171" s="246"/>
      <c r="BV1171" s="33"/>
      <c r="BW1171" s="33"/>
      <c r="BX1171" s="33"/>
      <c r="BY1171" s="33"/>
      <c r="BZ1171" s="33"/>
      <c r="CA1171" s="33"/>
      <c r="CB1171" s="33"/>
      <c r="CC1171" s="33"/>
      <c r="CD1171" s="33"/>
      <c r="CE1171" s="33"/>
      <c r="CF1171" s="33"/>
      <c r="CG1171" s="33"/>
      <c r="CH1171" s="33"/>
      <c r="CI1171" s="250">
        <v>0.25833999999999996</v>
      </c>
      <c r="CJ1171" s="243">
        <f t="shared" si="251"/>
        <v>-0.58780834475843091</v>
      </c>
      <c r="CK1171" s="38">
        <f t="shared" si="252"/>
        <v>374044.84024203831</v>
      </c>
      <c r="CL1171" s="247">
        <f t="shared" si="253"/>
        <v>5791512.5840681018</v>
      </c>
      <c r="CM1171" s="247"/>
      <c r="CN1171" s="247"/>
      <c r="CO1171" s="41"/>
      <c r="CP1171" s="143" t="s">
        <v>8382</v>
      </c>
      <c r="CQ1171" s="241" t="s">
        <v>272</v>
      </c>
      <c r="CR1171" s="241"/>
      <c r="CS1171" s="33"/>
      <c r="CT1171" s="33"/>
      <c r="CU1171" s="250">
        <f t="shared" si="254"/>
        <v>2794550.2399752284</v>
      </c>
      <c r="CV1171" s="337">
        <f t="shared" si="255"/>
        <v>180486.02724880009</v>
      </c>
      <c r="CW1171" s="330">
        <f t="shared" si="256"/>
        <v>1</v>
      </c>
      <c r="CX1171" s="330"/>
      <c r="CY1171" s="143" t="s">
        <v>5921</v>
      </c>
    </row>
    <row r="1172" spans="1:103" ht="11.25" customHeight="1" x14ac:dyDescent="0.2">
      <c r="A1172" s="72">
        <v>1877</v>
      </c>
      <c r="B1172" s="241">
        <v>1999</v>
      </c>
      <c r="C1172" s="32" t="s">
        <v>5563</v>
      </c>
      <c r="D1172" s="32"/>
      <c r="E1172" s="40"/>
      <c r="F1172" s="249" t="s">
        <v>5564</v>
      </c>
      <c r="G1172" s="242">
        <v>14484641</v>
      </c>
      <c r="H1172" s="41" t="s">
        <v>5565</v>
      </c>
      <c r="I1172" s="41" t="s">
        <v>5565</v>
      </c>
      <c r="J1172" s="41"/>
      <c r="K1172" s="41" t="s">
        <v>403</v>
      </c>
      <c r="L1172" s="41" t="s">
        <v>617</v>
      </c>
      <c r="M1172" s="41" t="s">
        <v>1515</v>
      </c>
      <c r="N1172" s="36"/>
      <c r="O1172" s="41" t="s">
        <v>1516</v>
      </c>
      <c r="P1172" s="41"/>
      <c r="Q1172" s="41"/>
      <c r="R1172" s="41"/>
      <c r="S1172" s="41"/>
      <c r="T1172" s="33">
        <v>416.47</v>
      </c>
      <c r="U1172" s="250">
        <v>130</v>
      </c>
      <c r="V1172" s="250">
        <v>28060</v>
      </c>
      <c r="W1172" s="250"/>
      <c r="X1172" s="250">
        <v>130</v>
      </c>
      <c r="Y1172" s="415"/>
      <c r="Z1172" s="34">
        <v>-0.6</v>
      </c>
      <c r="AA1172" s="34">
        <v>-1.6</v>
      </c>
      <c r="AB1172" s="34">
        <v>0</v>
      </c>
      <c r="AC1172" s="34">
        <v>0</v>
      </c>
      <c r="AD1172" s="34">
        <v>0</v>
      </c>
      <c r="AE1172" s="34">
        <v>0</v>
      </c>
      <c r="AF1172" s="34">
        <f t="shared" si="257"/>
        <v>-1.6</v>
      </c>
      <c r="AG1172" s="37" t="s">
        <v>404</v>
      </c>
      <c r="AH1172" s="250"/>
      <c r="AI1172" s="250"/>
      <c r="AJ1172" s="34"/>
      <c r="AK1172" s="34"/>
      <c r="AL1172" s="34"/>
      <c r="AM1172" s="34"/>
      <c r="AN1172" s="251"/>
      <c r="AO1172" s="417"/>
      <c r="AP1172" s="417"/>
      <c r="AQ1172" s="251" t="s">
        <v>6311</v>
      </c>
      <c r="AR1172" s="251" t="s">
        <v>6311</v>
      </c>
      <c r="AS1172" s="252" t="s">
        <v>5466</v>
      </c>
      <c r="AT1172" s="35" t="s">
        <v>266</v>
      </c>
      <c r="AU1172" s="33">
        <v>4</v>
      </c>
      <c r="AV1172" s="33">
        <v>24</v>
      </c>
      <c r="AW1172" s="33">
        <v>20</v>
      </c>
      <c r="AX1172" s="33">
        <v>28</v>
      </c>
      <c r="AY1172" s="262" t="s">
        <v>267</v>
      </c>
      <c r="AZ1172" s="33" t="s">
        <v>6212</v>
      </c>
      <c r="BA1172" s="33">
        <v>20</v>
      </c>
      <c r="BB1172" s="41" t="s">
        <v>6300</v>
      </c>
      <c r="BC1172" s="41" t="s">
        <v>5697</v>
      </c>
      <c r="BD1172" s="41"/>
      <c r="BE1172" s="33" t="s">
        <v>2449</v>
      </c>
      <c r="BF1172" s="33" t="s">
        <v>6203</v>
      </c>
      <c r="BG1172" s="33" t="s">
        <v>6203</v>
      </c>
      <c r="BH1172" s="33"/>
      <c r="BI1172" s="250">
        <v>4.0000000000000001E-3</v>
      </c>
      <c r="BJ1172" s="250">
        <v>4</v>
      </c>
      <c r="BK1172" s="254"/>
      <c r="BL1172" s="263">
        <v>74002.045263932741</v>
      </c>
      <c r="BM1172" s="33" t="s">
        <v>1584</v>
      </c>
      <c r="BN1172" s="33">
        <v>0.39981120000000003</v>
      </c>
      <c r="BO1172" s="33"/>
      <c r="BP1172" s="33"/>
      <c r="BQ1172" s="33"/>
      <c r="BR1172" s="33"/>
      <c r="BS1172" s="33"/>
      <c r="BT1172" s="33"/>
      <c r="BU1172" s="246"/>
      <c r="BV1172" s="33"/>
      <c r="BW1172" s="33"/>
      <c r="BX1172" s="33"/>
      <c r="BY1172" s="33"/>
      <c r="BZ1172" s="33"/>
      <c r="CA1172" s="33"/>
      <c r="CB1172" s="33"/>
      <c r="CC1172" s="33"/>
      <c r="CD1172" s="33"/>
      <c r="CE1172" s="33"/>
      <c r="CF1172" s="33"/>
      <c r="CG1172" s="33"/>
      <c r="CH1172" s="33"/>
      <c r="CI1172" s="250">
        <v>0.39981120000000003</v>
      </c>
      <c r="CJ1172" s="243">
        <f t="shared" si="251"/>
        <v>-0.39814504405965484</v>
      </c>
      <c r="CK1172" s="38">
        <f t="shared" si="252"/>
        <v>18500.511315983185</v>
      </c>
      <c r="CL1172" s="247">
        <f t="shared" si="253"/>
        <v>185092.47680888564</v>
      </c>
      <c r="CM1172" s="247"/>
      <c r="CN1172" s="247"/>
      <c r="CO1172" s="41"/>
      <c r="CP1172" s="143" t="s">
        <v>8382</v>
      </c>
      <c r="CQ1172" s="241" t="s">
        <v>272</v>
      </c>
      <c r="CR1172" s="241"/>
      <c r="CS1172" s="33"/>
      <c r="CT1172" s="33"/>
      <c r="CU1172" s="250">
        <f t="shared" si="254"/>
        <v>325.15347243899117</v>
      </c>
      <c r="CV1172" s="337">
        <f t="shared" si="255"/>
        <v>32.5</v>
      </c>
      <c r="CW1172" s="330">
        <f t="shared" si="256"/>
        <v>1</v>
      </c>
      <c r="CX1172" s="330"/>
      <c r="CY1172" s="143" t="s">
        <v>5921</v>
      </c>
    </row>
    <row r="1173" spans="1:103" ht="11.25" customHeight="1" x14ac:dyDescent="0.2">
      <c r="A1173" s="72">
        <v>1966</v>
      </c>
      <c r="B1173" s="241">
        <v>1982</v>
      </c>
      <c r="C1173" s="32" t="s">
        <v>5546</v>
      </c>
      <c r="D1173" s="32"/>
      <c r="E1173" s="40"/>
      <c r="F1173" s="241" t="s">
        <v>6393</v>
      </c>
      <c r="G1173" s="241" t="s">
        <v>6393</v>
      </c>
      <c r="H1173" s="41" t="s">
        <v>5547</v>
      </c>
      <c r="I1173" s="41" t="s">
        <v>5547</v>
      </c>
      <c r="J1173" s="41" t="s">
        <v>5548</v>
      </c>
      <c r="K1173" s="41" t="s">
        <v>1297</v>
      </c>
      <c r="L1173" s="41"/>
      <c r="M1173" s="41"/>
      <c r="N1173" s="36"/>
      <c r="O1173" s="41"/>
      <c r="P1173" s="41"/>
      <c r="Q1173" s="41"/>
      <c r="R1173" s="41"/>
      <c r="S1173" s="41"/>
      <c r="T1173" s="33">
        <v>184.92</v>
      </c>
      <c r="U1173" s="250"/>
      <c r="V1173" s="250">
        <v>13170</v>
      </c>
      <c r="W1173" s="250">
        <v>286.40716916929586</v>
      </c>
      <c r="X1173" s="250">
        <v>286.40716916929586</v>
      </c>
      <c r="Y1173" s="415">
        <v>6.87</v>
      </c>
      <c r="Z1173" s="33">
        <v>0.35</v>
      </c>
      <c r="AA1173" s="33"/>
      <c r="AB1173" s="33">
        <v>0.57999999999999996</v>
      </c>
      <c r="AC1173" s="33">
        <v>0.66479999999999995</v>
      </c>
      <c r="AD1173" s="33">
        <v>0.84</v>
      </c>
      <c r="AE1173" s="33">
        <v>1.31</v>
      </c>
      <c r="AF1173" s="33">
        <f t="shared" si="257"/>
        <v>0.84</v>
      </c>
      <c r="AG1173" s="34">
        <v>0.84</v>
      </c>
      <c r="AH1173" s="250">
        <v>1.15E-6</v>
      </c>
      <c r="AI1173" s="250"/>
      <c r="AJ1173" s="34">
        <f>LOG10(AH1173*1000/(0.08206*298.15))</f>
        <v>-4.3278684859590397</v>
      </c>
      <c r="AK1173" s="34"/>
      <c r="AL1173" s="34">
        <f>IF(AK1173=0,AJ1173,AK1173)</f>
        <v>-4.3278684859590397</v>
      </c>
      <c r="AM1173" s="34">
        <v>-13.087539999999999</v>
      </c>
      <c r="AN1173" s="251"/>
      <c r="AO1173" s="417">
        <v>11.36</v>
      </c>
      <c r="AP1173" s="417">
        <v>0.83</v>
      </c>
      <c r="AQ1173" s="251" t="s">
        <v>6311</v>
      </c>
      <c r="AR1173" s="251" t="s">
        <v>6311</v>
      </c>
      <c r="AS1173" s="252" t="s">
        <v>5466</v>
      </c>
      <c r="AT1173" s="35" t="s">
        <v>266</v>
      </c>
      <c r="AU1173" s="33">
        <v>4</v>
      </c>
      <c r="AV1173" s="33">
        <v>24</v>
      </c>
      <c r="AW1173" s="33">
        <v>20</v>
      </c>
      <c r="AX1173" s="33">
        <v>28</v>
      </c>
      <c r="AY1173" s="262" t="s">
        <v>267</v>
      </c>
      <c r="AZ1173" s="33" t="s">
        <v>6212</v>
      </c>
      <c r="BA1173" s="33">
        <v>20</v>
      </c>
      <c r="BB1173" s="41" t="s">
        <v>6300</v>
      </c>
      <c r="BC1173" s="41" t="s">
        <v>5697</v>
      </c>
      <c r="BD1173" s="41"/>
      <c r="BE1173" s="33" t="s">
        <v>2449</v>
      </c>
      <c r="BF1173" s="33" t="s">
        <v>6203</v>
      </c>
      <c r="BG1173" s="33" t="s">
        <v>6203</v>
      </c>
      <c r="BH1173" s="33"/>
      <c r="BI1173" s="250">
        <v>4.0000000000000001E-3</v>
      </c>
      <c r="BJ1173" s="250">
        <v>4</v>
      </c>
      <c r="BK1173" s="254"/>
      <c r="BL1173" s="263">
        <v>4607.3253858041053</v>
      </c>
      <c r="BM1173" s="33" t="s">
        <v>1584</v>
      </c>
      <c r="BN1173" s="33">
        <v>2496.4199999999996</v>
      </c>
      <c r="BO1173" s="33"/>
      <c r="BP1173" s="33"/>
      <c r="BQ1173" s="33"/>
      <c r="BR1173" s="33"/>
      <c r="BS1173" s="33"/>
      <c r="BT1173" s="33"/>
      <c r="BU1173" s="246"/>
      <c r="BV1173" s="33"/>
      <c r="BW1173" s="33"/>
      <c r="BX1173" s="33"/>
      <c r="BY1173" s="33"/>
      <c r="BZ1173" s="33"/>
      <c r="CA1173" s="33"/>
      <c r="CB1173" s="33"/>
      <c r="CC1173" s="33"/>
      <c r="CD1173" s="33"/>
      <c r="CE1173" s="33"/>
      <c r="CF1173" s="33"/>
      <c r="CG1173" s="33"/>
      <c r="CH1173" s="33"/>
      <c r="CI1173" s="250">
        <v>2496.4199999999996</v>
      </c>
      <c r="CJ1173" s="243">
        <f t="shared" si="251"/>
        <v>3.3973176532610503</v>
      </c>
      <c r="CK1173" s="38">
        <f t="shared" si="252"/>
        <v>1151.8313464510263</v>
      </c>
      <c r="CL1173" s="247">
        <f t="shared" si="253"/>
        <v>1.8455730148789491</v>
      </c>
      <c r="CM1173" s="247"/>
      <c r="CN1173" s="247"/>
      <c r="CO1173" s="41"/>
      <c r="CP1173" s="143" t="s">
        <v>8382</v>
      </c>
      <c r="CQ1173" s="241" t="s">
        <v>272</v>
      </c>
      <c r="CR1173" s="241"/>
      <c r="CS1173" s="33"/>
      <c r="CT1173" s="33"/>
      <c r="CU1173" s="250">
        <f t="shared" si="254"/>
        <v>0.11472715695648004</v>
      </c>
      <c r="CV1173" s="337">
        <f t="shared" si="255"/>
        <v>71.601792292323964</v>
      </c>
      <c r="CW1173" s="330">
        <f t="shared" si="256"/>
        <v>0</v>
      </c>
      <c r="CX1173" s="330"/>
      <c r="CY1173" s="143" t="s">
        <v>5921</v>
      </c>
    </row>
    <row r="1174" spans="1:103" ht="11.25" customHeight="1" x14ac:dyDescent="0.2">
      <c r="A1174" s="72">
        <v>1967</v>
      </c>
      <c r="B1174" s="241">
        <v>1992</v>
      </c>
      <c r="C1174" s="32" t="s">
        <v>5554</v>
      </c>
      <c r="D1174" s="32"/>
      <c r="E1174" s="40"/>
      <c r="F1174" s="241" t="s">
        <v>6394</v>
      </c>
      <c r="G1174" s="241" t="s">
        <v>6394</v>
      </c>
      <c r="H1174" s="41"/>
      <c r="I1174" s="41"/>
      <c r="J1174" s="41"/>
      <c r="K1174" s="41"/>
      <c r="L1174" s="41"/>
      <c r="M1174" s="41"/>
      <c r="N1174" s="36"/>
      <c r="O1174" s="41"/>
      <c r="P1174" s="41"/>
      <c r="Q1174" s="41"/>
      <c r="R1174" s="41"/>
      <c r="S1174" s="41"/>
      <c r="T1174" s="37" t="s">
        <v>404</v>
      </c>
      <c r="U1174" s="250"/>
      <c r="V1174" s="243"/>
      <c r="W1174" s="243"/>
      <c r="X1174" s="243"/>
      <c r="Y1174" s="415"/>
      <c r="Z1174" s="34"/>
      <c r="AA1174" s="34"/>
      <c r="AB1174" s="34"/>
      <c r="AC1174" s="34"/>
      <c r="AD1174" s="34"/>
      <c r="AE1174" s="34"/>
      <c r="AF1174" s="34">
        <f t="shared" si="257"/>
        <v>0</v>
      </c>
      <c r="AG1174" s="34" t="s">
        <v>404</v>
      </c>
      <c r="AH1174" s="250"/>
      <c r="AI1174" s="250"/>
      <c r="AJ1174" s="34"/>
      <c r="AK1174" s="34"/>
      <c r="AL1174" s="34"/>
      <c r="AM1174" s="34"/>
      <c r="AN1174" s="251"/>
      <c r="AO1174" s="417"/>
      <c r="AP1174" s="417"/>
      <c r="AQ1174" s="251" t="s">
        <v>6311</v>
      </c>
      <c r="AR1174" s="251" t="s">
        <v>6311</v>
      </c>
      <c r="AS1174" s="252" t="s">
        <v>5466</v>
      </c>
      <c r="AT1174" s="35" t="s">
        <v>266</v>
      </c>
      <c r="AU1174" s="33">
        <v>4</v>
      </c>
      <c r="AV1174" s="33">
        <v>24</v>
      </c>
      <c r="AW1174" s="33">
        <v>20</v>
      </c>
      <c r="AX1174" s="33">
        <v>28</v>
      </c>
      <c r="AY1174" s="262" t="s">
        <v>267</v>
      </c>
      <c r="AZ1174" s="33" t="s">
        <v>6212</v>
      </c>
      <c r="BA1174" s="33">
        <v>20</v>
      </c>
      <c r="BB1174" s="41" t="s">
        <v>6300</v>
      </c>
      <c r="BC1174" s="41" t="s">
        <v>5697</v>
      </c>
      <c r="BD1174" s="41"/>
      <c r="BE1174" s="33" t="s">
        <v>2449</v>
      </c>
      <c r="BF1174" s="33" t="s">
        <v>6203</v>
      </c>
      <c r="BG1174" s="33" t="s">
        <v>6203</v>
      </c>
      <c r="BH1174" s="33"/>
      <c r="BI1174" s="250"/>
      <c r="BJ1174" s="250"/>
      <c r="BK1174" s="254"/>
      <c r="BL1174" s="263"/>
      <c r="BM1174" s="33" t="s">
        <v>1584</v>
      </c>
      <c r="BN1174" s="33"/>
      <c r="BO1174" s="33"/>
      <c r="BP1174" s="33"/>
      <c r="BQ1174" s="33"/>
      <c r="BR1174" s="33"/>
      <c r="BS1174" s="33"/>
      <c r="BT1174" s="33"/>
      <c r="BU1174" s="246"/>
      <c r="BV1174" s="33"/>
      <c r="BW1174" s="33"/>
      <c r="BX1174" s="33"/>
      <c r="BY1174" s="33"/>
      <c r="BZ1174" s="33"/>
      <c r="CA1174" s="33"/>
      <c r="CB1174" s="33"/>
      <c r="CC1174" s="33"/>
      <c r="CD1174" s="33"/>
      <c r="CE1174" s="33"/>
      <c r="CF1174" s="33"/>
      <c r="CG1174" s="33"/>
      <c r="CH1174" s="33"/>
      <c r="CI1174" s="250"/>
      <c r="CJ1174" s="243"/>
      <c r="CK1174" s="38"/>
      <c r="CL1174" s="247"/>
      <c r="CM1174" s="247"/>
      <c r="CN1174" s="247"/>
      <c r="CO1174" s="41"/>
      <c r="CP1174" s="143" t="s">
        <v>8382</v>
      </c>
      <c r="CQ1174" s="241" t="s">
        <v>272</v>
      </c>
      <c r="CR1174" s="241"/>
      <c r="CS1174" s="33"/>
      <c r="CT1174" s="33"/>
      <c r="CU1174" s="250" t="s">
        <v>6310</v>
      </c>
      <c r="CV1174" s="337" t="s">
        <v>6310</v>
      </c>
      <c r="CW1174" s="330">
        <f t="shared" si="256"/>
        <v>1</v>
      </c>
      <c r="CX1174" s="330"/>
      <c r="CY1174" s="143" t="s">
        <v>5921</v>
      </c>
    </row>
    <row r="1175" spans="1:103" ht="11.25" customHeight="1" x14ac:dyDescent="0.2">
      <c r="A1175" s="72">
        <v>1968</v>
      </c>
      <c r="B1175" s="241">
        <v>2007</v>
      </c>
      <c r="C1175" s="32" t="s">
        <v>5571</v>
      </c>
      <c r="D1175" s="32"/>
      <c r="E1175" s="40"/>
      <c r="F1175" s="241" t="s">
        <v>6396</v>
      </c>
      <c r="G1175" s="241" t="s">
        <v>6396</v>
      </c>
      <c r="H1175" s="255"/>
      <c r="I1175" s="255"/>
      <c r="J1175" s="255"/>
      <c r="K1175" s="255"/>
      <c r="L1175" s="41"/>
      <c r="M1175" s="41"/>
      <c r="N1175" s="36"/>
      <c r="O1175" s="41"/>
      <c r="P1175" s="41"/>
      <c r="Q1175" s="41"/>
      <c r="R1175" s="41"/>
      <c r="S1175" s="41"/>
      <c r="T1175" s="37" t="s">
        <v>404</v>
      </c>
      <c r="U1175" s="250"/>
      <c r="V1175" s="243"/>
      <c r="W1175" s="243"/>
      <c r="X1175" s="243"/>
      <c r="Y1175" s="415"/>
      <c r="Z1175" s="34"/>
      <c r="AA1175" s="34"/>
      <c r="AB1175" s="34"/>
      <c r="AC1175" s="34"/>
      <c r="AD1175" s="34"/>
      <c r="AE1175" s="34"/>
      <c r="AF1175" s="34">
        <f t="shared" si="257"/>
        <v>0</v>
      </c>
      <c r="AG1175" s="34" t="s">
        <v>404</v>
      </c>
      <c r="AH1175" s="250"/>
      <c r="AI1175" s="250"/>
      <c r="AJ1175" s="34"/>
      <c r="AK1175" s="34"/>
      <c r="AL1175" s="34"/>
      <c r="AM1175" s="34"/>
      <c r="AN1175" s="251"/>
      <c r="AO1175" s="417"/>
      <c r="AP1175" s="417"/>
      <c r="AQ1175" s="251" t="s">
        <v>6311</v>
      </c>
      <c r="AR1175" s="251" t="s">
        <v>6311</v>
      </c>
      <c r="AS1175" s="252" t="s">
        <v>5466</v>
      </c>
      <c r="AT1175" s="35" t="s">
        <v>266</v>
      </c>
      <c r="AU1175" s="33">
        <v>4</v>
      </c>
      <c r="AV1175" s="33">
        <v>24</v>
      </c>
      <c r="AW1175" s="33">
        <v>20</v>
      </c>
      <c r="AX1175" s="33">
        <v>28</v>
      </c>
      <c r="AY1175" s="262" t="s">
        <v>267</v>
      </c>
      <c r="AZ1175" s="33" t="s">
        <v>6212</v>
      </c>
      <c r="BA1175" s="33">
        <v>20</v>
      </c>
      <c r="BB1175" s="41" t="s">
        <v>6300</v>
      </c>
      <c r="BC1175" s="41" t="s">
        <v>5697</v>
      </c>
      <c r="BD1175" s="41"/>
      <c r="BE1175" s="33" t="s">
        <v>2449</v>
      </c>
      <c r="BF1175" s="33" t="s">
        <v>6203</v>
      </c>
      <c r="BG1175" s="33" t="s">
        <v>6203</v>
      </c>
      <c r="BH1175" s="33"/>
      <c r="BI1175" s="250"/>
      <c r="BJ1175" s="250"/>
      <c r="BK1175" s="254"/>
      <c r="BL1175" s="263"/>
      <c r="BM1175" s="33" t="s">
        <v>1584</v>
      </c>
      <c r="BN1175" s="33"/>
      <c r="BO1175" s="33"/>
      <c r="BP1175" s="33"/>
      <c r="BQ1175" s="33"/>
      <c r="BR1175" s="33"/>
      <c r="BS1175" s="33"/>
      <c r="BT1175" s="33"/>
      <c r="BU1175" s="246"/>
      <c r="BV1175" s="33"/>
      <c r="BW1175" s="33"/>
      <c r="BX1175" s="33"/>
      <c r="BY1175" s="33"/>
      <c r="BZ1175" s="33"/>
      <c r="CA1175" s="33"/>
      <c r="CB1175" s="33"/>
      <c r="CC1175" s="33"/>
      <c r="CD1175" s="33"/>
      <c r="CE1175" s="33"/>
      <c r="CF1175" s="33"/>
      <c r="CG1175" s="33"/>
      <c r="CH1175" s="33"/>
      <c r="CI1175" s="250"/>
      <c r="CJ1175" s="243"/>
      <c r="CK1175" s="38"/>
      <c r="CL1175" s="247"/>
      <c r="CM1175" s="247"/>
      <c r="CN1175" s="247"/>
      <c r="CO1175" s="41"/>
      <c r="CP1175" s="143" t="s">
        <v>8382</v>
      </c>
      <c r="CQ1175" s="241" t="s">
        <v>272</v>
      </c>
      <c r="CR1175" s="241"/>
      <c r="CS1175" s="33"/>
      <c r="CT1175" s="33"/>
      <c r="CU1175" s="250" t="s">
        <v>6310</v>
      </c>
      <c r="CV1175" s="337" t="s">
        <v>6310</v>
      </c>
      <c r="CW1175" s="330">
        <f t="shared" si="256"/>
        <v>1</v>
      </c>
      <c r="CX1175" s="330"/>
      <c r="CY1175" s="143" t="s">
        <v>5921</v>
      </c>
    </row>
    <row r="1176" spans="1:103" ht="11.25" customHeight="1" x14ac:dyDescent="0.2">
      <c r="A1176" s="72">
        <v>1969</v>
      </c>
      <c r="B1176" s="241">
        <v>2001</v>
      </c>
      <c r="C1176" s="32" t="s">
        <v>5566</v>
      </c>
      <c r="D1176" s="32"/>
      <c r="E1176" s="40"/>
      <c r="F1176" s="241" t="s">
        <v>6395</v>
      </c>
      <c r="G1176" s="241" t="s">
        <v>6395</v>
      </c>
      <c r="H1176" s="41"/>
      <c r="I1176" s="41"/>
      <c r="J1176" s="41"/>
      <c r="K1176" s="41"/>
      <c r="L1176" s="41"/>
      <c r="M1176" s="41"/>
      <c r="N1176" s="36"/>
      <c r="O1176" s="41"/>
      <c r="P1176" s="41"/>
      <c r="Q1176" s="41"/>
      <c r="R1176" s="41"/>
      <c r="S1176" s="41"/>
      <c r="T1176" s="37" t="s">
        <v>404</v>
      </c>
      <c r="U1176" s="250"/>
      <c r="V1176" s="243"/>
      <c r="W1176" s="243"/>
      <c r="X1176" s="243"/>
      <c r="Y1176" s="415"/>
      <c r="Z1176" s="34"/>
      <c r="AA1176" s="34"/>
      <c r="AB1176" s="34"/>
      <c r="AC1176" s="34"/>
      <c r="AD1176" s="34"/>
      <c r="AE1176" s="34"/>
      <c r="AF1176" s="34">
        <f t="shared" si="257"/>
        <v>0</v>
      </c>
      <c r="AG1176" s="34" t="s">
        <v>404</v>
      </c>
      <c r="AH1176" s="250"/>
      <c r="AI1176" s="250"/>
      <c r="AJ1176" s="34"/>
      <c r="AK1176" s="34"/>
      <c r="AL1176" s="34"/>
      <c r="AM1176" s="34"/>
      <c r="AN1176" s="251"/>
      <c r="AO1176" s="417"/>
      <c r="AP1176" s="417"/>
      <c r="AQ1176" s="251" t="s">
        <v>6311</v>
      </c>
      <c r="AR1176" s="251" t="s">
        <v>6311</v>
      </c>
      <c r="AS1176" s="252" t="s">
        <v>5466</v>
      </c>
      <c r="AT1176" s="35" t="s">
        <v>266</v>
      </c>
      <c r="AU1176" s="33">
        <v>4</v>
      </c>
      <c r="AV1176" s="33">
        <v>24</v>
      </c>
      <c r="AW1176" s="33">
        <v>20</v>
      </c>
      <c r="AX1176" s="33">
        <v>28</v>
      </c>
      <c r="AY1176" s="262" t="s">
        <v>267</v>
      </c>
      <c r="AZ1176" s="33" t="s">
        <v>6212</v>
      </c>
      <c r="BA1176" s="33">
        <v>20</v>
      </c>
      <c r="BB1176" s="41" t="s">
        <v>6300</v>
      </c>
      <c r="BC1176" s="41" t="s">
        <v>5697</v>
      </c>
      <c r="BD1176" s="41"/>
      <c r="BE1176" s="33" t="s">
        <v>2449</v>
      </c>
      <c r="BF1176" s="33" t="s">
        <v>6203</v>
      </c>
      <c r="BG1176" s="33" t="s">
        <v>6203</v>
      </c>
      <c r="BH1176" s="33"/>
      <c r="BI1176" s="250"/>
      <c r="BJ1176" s="250"/>
      <c r="BK1176" s="254"/>
      <c r="BL1176" s="263"/>
      <c r="BM1176" s="33" t="s">
        <v>1584</v>
      </c>
      <c r="BN1176" s="33"/>
      <c r="BO1176" s="33"/>
      <c r="BP1176" s="33"/>
      <c r="BQ1176" s="33"/>
      <c r="BR1176" s="33"/>
      <c r="BS1176" s="33"/>
      <c r="BT1176" s="33"/>
      <c r="BU1176" s="246"/>
      <c r="BV1176" s="33"/>
      <c r="BW1176" s="33"/>
      <c r="BX1176" s="33"/>
      <c r="BY1176" s="33"/>
      <c r="BZ1176" s="33"/>
      <c r="CA1176" s="33"/>
      <c r="CB1176" s="33"/>
      <c r="CC1176" s="33"/>
      <c r="CD1176" s="33"/>
      <c r="CE1176" s="33"/>
      <c r="CF1176" s="33"/>
      <c r="CG1176" s="33"/>
      <c r="CH1176" s="33"/>
      <c r="CI1176" s="250"/>
      <c r="CJ1176" s="243"/>
      <c r="CK1176" s="38"/>
      <c r="CL1176" s="247"/>
      <c r="CM1176" s="247"/>
      <c r="CN1176" s="247"/>
      <c r="CO1176" s="41"/>
      <c r="CP1176" s="143" t="s">
        <v>8382</v>
      </c>
      <c r="CQ1176" s="241" t="s">
        <v>272</v>
      </c>
      <c r="CR1176" s="241"/>
      <c r="CS1176" s="33"/>
      <c r="CT1176" s="33"/>
      <c r="CU1176" s="250" t="s">
        <v>6310</v>
      </c>
      <c r="CV1176" s="337" t="s">
        <v>6310</v>
      </c>
      <c r="CW1176" s="330">
        <f t="shared" si="256"/>
        <v>1</v>
      </c>
      <c r="CX1176" s="330"/>
      <c r="CY1176" s="143" t="s">
        <v>5921</v>
      </c>
    </row>
    <row r="1177" spans="1:103" ht="11.25" customHeight="1" x14ac:dyDescent="0.2">
      <c r="A1177" s="72">
        <v>1970</v>
      </c>
      <c r="B1177" s="241">
        <v>1983</v>
      </c>
      <c r="C1177" s="32" t="s">
        <v>5549</v>
      </c>
      <c r="D1177" s="32"/>
      <c r="E1177" s="40"/>
      <c r="F1177" s="241" t="s">
        <v>6397</v>
      </c>
      <c r="G1177" s="241" t="s">
        <v>6397</v>
      </c>
      <c r="H1177" s="41"/>
      <c r="I1177" s="41"/>
      <c r="J1177" s="41"/>
      <c r="K1177" s="41"/>
      <c r="L1177" s="41"/>
      <c r="M1177" s="41"/>
      <c r="N1177" s="36"/>
      <c r="O1177" s="41"/>
      <c r="P1177" s="41"/>
      <c r="Q1177" s="41"/>
      <c r="R1177" s="41"/>
      <c r="S1177" s="41"/>
      <c r="T1177" s="37" t="s">
        <v>404</v>
      </c>
      <c r="U1177" s="250"/>
      <c r="V1177" s="243"/>
      <c r="W1177" s="243"/>
      <c r="X1177" s="243"/>
      <c r="Y1177" s="415"/>
      <c r="Z1177" s="34"/>
      <c r="AA1177" s="34"/>
      <c r="AB1177" s="34"/>
      <c r="AC1177" s="34"/>
      <c r="AD1177" s="34"/>
      <c r="AE1177" s="34"/>
      <c r="AF1177" s="34">
        <f t="shared" si="257"/>
        <v>0</v>
      </c>
      <c r="AG1177" s="34" t="s">
        <v>404</v>
      </c>
      <c r="AH1177" s="250"/>
      <c r="AI1177" s="250"/>
      <c r="AJ1177" s="34"/>
      <c r="AK1177" s="34"/>
      <c r="AL1177" s="34"/>
      <c r="AM1177" s="34"/>
      <c r="AN1177" s="251"/>
      <c r="AO1177" s="417"/>
      <c r="AP1177" s="417"/>
      <c r="AQ1177" s="251" t="s">
        <v>6311</v>
      </c>
      <c r="AR1177" s="251" t="s">
        <v>6311</v>
      </c>
      <c r="AS1177" s="252" t="s">
        <v>5466</v>
      </c>
      <c r="AT1177" s="35" t="s">
        <v>266</v>
      </c>
      <c r="AU1177" s="33">
        <v>4</v>
      </c>
      <c r="AV1177" s="33">
        <v>24</v>
      </c>
      <c r="AW1177" s="33">
        <v>20</v>
      </c>
      <c r="AX1177" s="33">
        <v>28</v>
      </c>
      <c r="AY1177" s="262" t="s">
        <v>267</v>
      </c>
      <c r="AZ1177" s="33" t="s">
        <v>6212</v>
      </c>
      <c r="BA1177" s="33">
        <v>20</v>
      </c>
      <c r="BB1177" s="41" t="s">
        <v>6300</v>
      </c>
      <c r="BC1177" s="41" t="s">
        <v>5697</v>
      </c>
      <c r="BD1177" s="41"/>
      <c r="BE1177" s="33" t="s">
        <v>2449</v>
      </c>
      <c r="BF1177" s="33" t="s">
        <v>6203</v>
      </c>
      <c r="BG1177" s="33" t="s">
        <v>6203</v>
      </c>
      <c r="BH1177" s="33"/>
      <c r="BI1177" s="250"/>
      <c r="BJ1177" s="250"/>
      <c r="BK1177" s="254"/>
      <c r="BL1177" s="263"/>
      <c r="BM1177" s="33" t="s">
        <v>1584</v>
      </c>
      <c r="BN1177" s="33"/>
      <c r="BO1177" s="33"/>
      <c r="BP1177" s="33"/>
      <c r="BQ1177" s="33"/>
      <c r="BR1177" s="33"/>
      <c r="BS1177" s="33"/>
      <c r="BT1177" s="33"/>
      <c r="BU1177" s="246"/>
      <c r="BV1177" s="33"/>
      <c r="BW1177" s="33"/>
      <c r="BX1177" s="33"/>
      <c r="BY1177" s="33"/>
      <c r="BZ1177" s="33"/>
      <c r="CA1177" s="33"/>
      <c r="CB1177" s="33"/>
      <c r="CC1177" s="33"/>
      <c r="CD1177" s="33"/>
      <c r="CE1177" s="33"/>
      <c r="CF1177" s="33"/>
      <c r="CG1177" s="33"/>
      <c r="CH1177" s="33"/>
      <c r="CI1177" s="250"/>
      <c r="CJ1177" s="243"/>
      <c r="CK1177" s="38"/>
      <c r="CL1177" s="247"/>
      <c r="CM1177" s="247"/>
      <c r="CN1177" s="247"/>
      <c r="CO1177" s="41"/>
      <c r="CP1177" s="143" t="s">
        <v>8382</v>
      </c>
      <c r="CQ1177" s="241" t="s">
        <v>272</v>
      </c>
      <c r="CR1177" s="241"/>
      <c r="CS1177" s="33"/>
      <c r="CT1177" s="33"/>
      <c r="CU1177" s="250" t="s">
        <v>6310</v>
      </c>
      <c r="CV1177" s="337" t="s">
        <v>6310</v>
      </c>
      <c r="CW1177" s="330">
        <f t="shared" si="256"/>
        <v>1</v>
      </c>
      <c r="CX1177" s="330"/>
      <c r="CY1177" s="143" t="s">
        <v>5921</v>
      </c>
    </row>
    <row r="1178" spans="1:103" ht="11.25" customHeight="1" x14ac:dyDescent="0.2">
      <c r="A1178" s="72">
        <v>1649</v>
      </c>
      <c r="B1178" s="241">
        <v>2024</v>
      </c>
      <c r="C1178" s="32" t="s">
        <v>422</v>
      </c>
      <c r="D1178" s="32"/>
      <c r="E1178" s="40"/>
      <c r="F1178" s="40" t="s">
        <v>423</v>
      </c>
      <c r="G1178" s="242">
        <v>64175</v>
      </c>
      <c r="H1178" s="41" t="s">
        <v>424</v>
      </c>
      <c r="I1178" s="41" t="s">
        <v>424</v>
      </c>
      <c r="J1178" s="41" t="s">
        <v>425</v>
      </c>
      <c r="K1178" s="41" t="s">
        <v>426</v>
      </c>
      <c r="L1178" s="41" t="s">
        <v>279</v>
      </c>
      <c r="M1178" s="480" t="s">
        <v>8502</v>
      </c>
      <c r="N1178" s="36" t="s">
        <v>6082</v>
      </c>
      <c r="O1178" s="41" t="s">
        <v>281</v>
      </c>
      <c r="P1178" s="41" t="s">
        <v>6183</v>
      </c>
      <c r="Q1178" s="41" t="s">
        <v>6176</v>
      </c>
      <c r="R1178" s="41" t="s">
        <v>6185</v>
      </c>
      <c r="S1178" s="41" t="s">
        <v>6176</v>
      </c>
      <c r="T1178" s="33">
        <v>46.07</v>
      </c>
      <c r="U1178" s="250">
        <v>1000000.0000000001</v>
      </c>
      <c r="V1178" s="250">
        <v>792099.99999999988</v>
      </c>
      <c r="W1178" s="250">
        <v>183407.97347399619</v>
      </c>
      <c r="X1178" s="250">
        <v>1000000.0000000001</v>
      </c>
      <c r="Y1178" s="415">
        <v>6.96</v>
      </c>
      <c r="Z1178" s="33">
        <v>-0.14000000000000001</v>
      </c>
      <c r="AA1178" s="33">
        <v>-0.31</v>
      </c>
      <c r="AB1178" s="33">
        <v>-0.24</v>
      </c>
      <c r="AC1178" s="33">
        <v>0.90610000000000002</v>
      </c>
      <c r="AD1178" s="33">
        <v>-0.23</v>
      </c>
      <c r="AE1178" s="33">
        <v>-0.19</v>
      </c>
      <c r="AF1178" s="33">
        <f t="shared" si="257"/>
        <v>-0.31</v>
      </c>
      <c r="AG1178" s="34">
        <v>0.09</v>
      </c>
      <c r="AH1178" s="250">
        <v>5.6699999999999999E-6</v>
      </c>
      <c r="AI1178" s="250">
        <v>5.0000000000000004E-6</v>
      </c>
      <c r="AJ1178" s="34">
        <f>LOG10(AH1178*1000/(0.08206*298.15))</f>
        <v>-3.6349832674197451</v>
      </c>
      <c r="AK1178" s="34">
        <f>LOG10(AI1178*1000/(0.08206*298.15))</f>
        <v>-3.6895963219766328</v>
      </c>
      <c r="AL1178" s="34">
        <f t="shared" ref="AL1178:AL1194" si="258">IF(AK1178=0,AJ1178,AK1178)</f>
        <v>-3.6895963219766328</v>
      </c>
      <c r="AM1178" s="34">
        <v>-3.1772200000000002</v>
      </c>
      <c r="AN1178" s="251">
        <v>-3.5697999999999999</v>
      </c>
      <c r="AO1178" s="417">
        <v>15.24</v>
      </c>
      <c r="AP1178" s="417"/>
      <c r="AQ1178" s="251" t="s">
        <v>6311</v>
      </c>
      <c r="AR1178" s="251" t="s">
        <v>6311</v>
      </c>
      <c r="AS1178" s="252" t="s">
        <v>5466</v>
      </c>
      <c r="AT1178" s="35" t="s">
        <v>266</v>
      </c>
      <c r="AU1178" s="33">
        <v>8</v>
      </c>
      <c r="AV1178" s="33">
        <v>168</v>
      </c>
      <c r="AW1178" s="33">
        <v>16</v>
      </c>
      <c r="AX1178" s="33">
        <v>28.5</v>
      </c>
      <c r="AY1178" s="262" t="s">
        <v>267</v>
      </c>
      <c r="AZ1178" s="33"/>
      <c r="BA1178" s="33" t="s">
        <v>6307</v>
      </c>
      <c r="BB1178" s="41"/>
      <c r="BC1178" s="41" t="s">
        <v>5697</v>
      </c>
      <c r="BD1178" s="41"/>
      <c r="BE1178" s="33" t="s">
        <v>2449</v>
      </c>
      <c r="BF1178" s="33" t="s">
        <v>6203</v>
      </c>
      <c r="BG1178" s="33" t="s">
        <v>6203</v>
      </c>
      <c r="BH1178" s="33"/>
      <c r="BI1178" s="250">
        <v>7877.97</v>
      </c>
      <c r="BJ1178" s="250">
        <v>23679.98</v>
      </c>
      <c r="BK1178" s="254"/>
      <c r="BL1178" s="263">
        <v>3161.9297169680549</v>
      </c>
      <c r="BM1178" s="33" t="s">
        <v>6308</v>
      </c>
      <c r="BN1178" s="33"/>
      <c r="BO1178" s="33"/>
      <c r="BP1178" s="33"/>
      <c r="BQ1178" s="33"/>
      <c r="BR1178" s="33"/>
      <c r="BS1178" s="33"/>
      <c r="BT1178" s="33">
        <v>29991.57</v>
      </c>
      <c r="BU1178" s="246"/>
      <c r="BV1178" s="33"/>
      <c r="BW1178" s="33"/>
      <c r="BX1178" s="33"/>
      <c r="BY1178" s="33"/>
      <c r="BZ1178" s="33"/>
      <c r="CA1178" s="33"/>
      <c r="CB1178" s="33"/>
      <c r="CC1178" s="33"/>
      <c r="CD1178" s="33"/>
      <c r="CE1178" s="33"/>
      <c r="CF1178" s="33"/>
      <c r="CG1178" s="33"/>
      <c r="CH1178" s="33"/>
      <c r="CI1178" s="250">
        <v>29991.57</v>
      </c>
      <c r="CJ1178" s="243">
        <f>LOG10(CI1178)</f>
        <v>4.4769992008208712</v>
      </c>
      <c r="CK1178" s="38">
        <f>BL1178/BJ1178</f>
        <v>0.13352755014860887</v>
      </c>
      <c r="CL1178" s="247">
        <f>BL1178/CI1178</f>
        <v>0.1054272822985944</v>
      </c>
      <c r="CM1178" s="247">
        <v>2.8171348229570792</v>
      </c>
      <c r="CN1178" s="247">
        <f>BJ1178/(10^CM1178)</f>
        <v>36.078336783284087</v>
      </c>
      <c r="CO1178" s="41"/>
      <c r="CP1178" s="143" t="s">
        <v>8381</v>
      </c>
      <c r="CQ1178" s="241">
        <v>3.7646752173993483</v>
      </c>
      <c r="CR1178" s="241">
        <f>10^(CJ1178-CQ1178)</f>
        <v>5.1561314824173348</v>
      </c>
      <c r="CS1178" s="33"/>
      <c r="CT1178" s="33"/>
      <c r="CU1178" s="250">
        <f>X1178/CI1178</f>
        <v>33.342702632773147</v>
      </c>
      <c r="CV1178" s="337">
        <f>X1178/BJ1178</f>
        <v>42.229765396761323</v>
      </c>
      <c r="CW1178" s="330">
        <f t="shared" si="256"/>
        <v>1</v>
      </c>
      <c r="CX1178" s="330"/>
      <c r="CY1178" s="143" t="s">
        <v>6351</v>
      </c>
    </row>
    <row r="1179" spans="1:103" ht="11.25" customHeight="1" x14ac:dyDescent="0.2">
      <c r="A1179" s="72">
        <v>139</v>
      </c>
      <c r="B1179" s="149">
        <v>2139</v>
      </c>
      <c r="C1179" s="54" t="s">
        <v>5844</v>
      </c>
      <c r="D1179" s="54"/>
      <c r="E1179" s="59"/>
      <c r="F1179" s="422" t="s">
        <v>8396</v>
      </c>
      <c r="G1179" s="423" t="s">
        <v>8397</v>
      </c>
      <c r="H1179" s="67" t="s">
        <v>5845</v>
      </c>
      <c r="I1179" s="67" t="s">
        <v>8292</v>
      </c>
      <c r="J1179" s="67" t="s">
        <v>5846</v>
      </c>
      <c r="K1179" s="67"/>
      <c r="L1179" s="67"/>
      <c r="M1179" s="67"/>
      <c r="N1179" s="60"/>
      <c r="O1179" s="67"/>
      <c r="P1179" s="67"/>
      <c r="Q1179" s="67"/>
      <c r="R1179" s="67"/>
      <c r="S1179" s="67"/>
      <c r="T1179" s="61">
        <v>295.8</v>
      </c>
      <c r="U1179" s="103">
        <v>18250.86</v>
      </c>
      <c r="V1179" s="103">
        <v>259.86359958386316</v>
      </c>
      <c r="W1179" s="111">
        <v>514.04148514406506</v>
      </c>
      <c r="X1179" s="103">
        <v>18250.86</v>
      </c>
      <c r="Y1179" s="411">
        <v>10.37</v>
      </c>
      <c r="Z1179" s="61">
        <v>2.6</v>
      </c>
      <c r="AA1179" s="61">
        <v>3.48</v>
      </c>
      <c r="AB1179" s="61">
        <v>3.32</v>
      </c>
      <c r="AC1179" s="61">
        <v>0.86699999999999999</v>
      </c>
      <c r="AD1179" s="61">
        <v>3.26</v>
      </c>
      <c r="AE1179" s="61">
        <v>3.1</v>
      </c>
      <c r="AF1179" s="61">
        <f t="shared" si="257"/>
        <v>3.48</v>
      </c>
      <c r="AG1179" s="62">
        <v>3.26</v>
      </c>
      <c r="AH1179" s="111">
        <v>7.9800000000000003E-13</v>
      </c>
      <c r="AI1179" s="489"/>
      <c r="AJ1179" s="62">
        <f t="shared" ref="AJ1179:AJ1194" si="259">LOG10(AH1179*1000/(0.08206*298.15))</f>
        <v>-10.486563434961923</v>
      </c>
      <c r="AK1179" s="62"/>
      <c r="AL1179" s="62">
        <f t="shared" si="258"/>
        <v>-10.486563434961923</v>
      </c>
      <c r="AM1179" s="62">
        <v>-13.9604</v>
      </c>
      <c r="AN1179" s="342">
        <v>-10.486000000000001</v>
      </c>
      <c r="AO1179" s="410">
        <v>13.84</v>
      </c>
      <c r="AP1179" s="410">
        <v>9.5</v>
      </c>
      <c r="AQ1179" s="163" t="s">
        <v>6311</v>
      </c>
      <c r="AR1179" s="163" t="s">
        <v>6316</v>
      </c>
      <c r="AS1179" s="164" t="s">
        <v>5466</v>
      </c>
      <c r="AT1179" s="63" t="s">
        <v>266</v>
      </c>
      <c r="AU1179" s="61">
        <v>0</v>
      </c>
      <c r="AV1179" s="61">
        <v>96</v>
      </c>
      <c r="AW1179" s="61">
        <v>96</v>
      </c>
      <c r="AX1179" s="61">
        <v>26</v>
      </c>
      <c r="AY1179" s="61" t="s">
        <v>1780</v>
      </c>
      <c r="AZ1179" s="61" t="s">
        <v>5847</v>
      </c>
      <c r="BA1179" s="61">
        <v>20</v>
      </c>
      <c r="BB1179" s="67" t="s">
        <v>5487</v>
      </c>
      <c r="BC1179" s="67" t="s">
        <v>5848</v>
      </c>
      <c r="BD1179" s="67"/>
      <c r="BE1179" s="61" t="s">
        <v>5733</v>
      </c>
      <c r="BF1179" s="61"/>
      <c r="BG1179" s="61"/>
      <c r="BH1179" s="61"/>
      <c r="BI1179" s="111"/>
      <c r="BJ1179" s="111"/>
      <c r="BK1179" s="165"/>
      <c r="BL1179" s="153"/>
      <c r="BM1179" s="61"/>
      <c r="BN1179" s="61"/>
      <c r="BO1179" s="61"/>
      <c r="BP1179" s="61"/>
      <c r="BQ1179" s="61">
        <v>2.4799999194000004</v>
      </c>
      <c r="BR1179" s="61"/>
      <c r="BS1179" s="61"/>
      <c r="BT1179" s="61"/>
      <c r="BU1179" s="158"/>
      <c r="BV1179" s="61"/>
      <c r="BW1179" s="61"/>
      <c r="BX1179" s="61"/>
      <c r="BY1179" s="61"/>
      <c r="BZ1179" s="61"/>
      <c r="CA1179" s="61"/>
      <c r="CB1179" s="61"/>
      <c r="CC1179" s="61"/>
      <c r="CD1179" s="61"/>
      <c r="CE1179" s="61"/>
      <c r="CF1179" s="61"/>
      <c r="CG1179" s="61"/>
      <c r="CH1179" s="61"/>
      <c r="CI1179" s="111">
        <v>2.4799999194000004</v>
      </c>
      <c r="CJ1179" s="103">
        <f>LOG10(CI1179)</f>
        <v>0.39445166671164544</v>
      </c>
      <c r="CK1179" s="57"/>
      <c r="CL1179" s="160">
        <f>BL1179/CI1179</f>
        <v>0</v>
      </c>
      <c r="CM1179" s="160"/>
      <c r="CN1179" s="160"/>
      <c r="CO1179" s="67" t="s">
        <v>5842</v>
      </c>
      <c r="CP1179" s="161" t="s">
        <v>5849</v>
      </c>
      <c r="CQ1179" s="149" t="s">
        <v>272</v>
      </c>
      <c r="CR1179" s="349"/>
      <c r="CS1179" s="61" t="s">
        <v>539</v>
      </c>
      <c r="CT1179" s="61"/>
      <c r="CU1179" s="111">
        <f>X1179/CI1179</f>
        <v>7359.2179811100668</v>
      </c>
      <c r="CV1179" s="331"/>
      <c r="CW1179" s="326">
        <f t="shared" si="256"/>
        <v>1</v>
      </c>
      <c r="CX1179" s="326" t="s">
        <v>539</v>
      </c>
      <c r="CY1179" s="161" t="s">
        <v>5921</v>
      </c>
    </row>
    <row r="1180" spans="1:103" ht="11.25" customHeight="1" x14ac:dyDescent="0.2">
      <c r="A1180" s="72">
        <v>509</v>
      </c>
      <c r="B1180" s="191">
        <v>2140</v>
      </c>
      <c r="C1180" s="128" t="s">
        <v>578</v>
      </c>
      <c r="D1180" s="128" t="s">
        <v>6629</v>
      </c>
      <c r="E1180" s="129"/>
      <c r="F1180" s="129" t="s">
        <v>579</v>
      </c>
      <c r="G1180" s="129">
        <v>51384511</v>
      </c>
      <c r="H1180" s="138" t="s">
        <v>5850</v>
      </c>
      <c r="I1180" s="138" t="s">
        <v>5850</v>
      </c>
      <c r="J1180" s="138" t="s">
        <v>5851</v>
      </c>
      <c r="K1180" s="138" t="s">
        <v>300</v>
      </c>
      <c r="L1180" s="138" t="s">
        <v>279</v>
      </c>
      <c r="M1180" s="138" t="s">
        <v>5852</v>
      </c>
      <c r="N1180" s="138" t="s">
        <v>6376</v>
      </c>
      <c r="O1180" s="138" t="s">
        <v>281</v>
      </c>
      <c r="P1180" s="138"/>
      <c r="Q1180" s="138"/>
      <c r="R1180" s="138"/>
      <c r="S1180" s="138"/>
      <c r="T1180" s="135">
        <v>267.36</v>
      </c>
      <c r="U1180" s="185">
        <v>16900</v>
      </c>
      <c r="V1180" s="185">
        <v>4777</v>
      </c>
      <c r="W1180" s="185">
        <v>10643.793311918304</v>
      </c>
      <c r="X1180" s="185">
        <v>16900</v>
      </c>
      <c r="Y1180" s="204">
        <v>11.06</v>
      </c>
      <c r="Z1180" s="135">
        <v>1.69</v>
      </c>
      <c r="AA1180" s="135">
        <v>1.88</v>
      </c>
      <c r="AB1180" s="135">
        <v>1.88</v>
      </c>
      <c r="AC1180" s="135">
        <v>0.79749999999999999</v>
      </c>
      <c r="AD1180" s="135">
        <v>1.85</v>
      </c>
      <c r="AE1180" s="135">
        <v>1.79</v>
      </c>
      <c r="AF1180" s="135">
        <f t="shared" si="257"/>
        <v>1.88</v>
      </c>
      <c r="AG1180" s="136">
        <v>1.85</v>
      </c>
      <c r="AH1180" s="185">
        <v>1.4000000000000001E-13</v>
      </c>
      <c r="AI1180" s="185"/>
      <c r="AJ1180" s="136">
        <f t="shared" si="259"/>
        <v>-11.242438290634414</v>
      </c>
      <c r="AK1180" s="136"/>
      <c r="AL1180" s="136">
        <f t="shared" si="258"/>
        <v>-11.242438290634414</v>
      </c>
      <c r="AM1180" s="136">
        <v>-13.46964</v>
      </c>
      <c r="AN1180" s="186"/>
      <c r="AO1180" s="481">
        <v>13.89</v>
      </c>
      <c r="AP1180" s="481">
        <v>9.43</v>
      </c>
      <c r="AQ1180" s="186" t="s">
        <v>6311</v>
      </c>
      <c r="AR1180" s="186" t="s">
        <v>6311</v>
      </c>
      <c r="AS1180" s="183" t="s">
        <v>5466</v>
      </c>
      <c r="AT1180" s="137" t="s">
        <v>266</v>
      </c>
      <c r="AU1180" s="135">
        <v>0</v>
      </c>
      <c r="AV1180" s="130">
        <v>96</v>
      </c>
      <c r="AW1180" s="130">
        <v>96</v>
      </c>
      <c r="AX1180" s="135">
        <v>26</v>
      </c>
      <c r="AY1180" s="135" t="s">
        <v>1780</v>
      </c>
      <c r="AZ1180" s="135" t="s">
        <v>5671</v>
      </c>
      <c r="BA1180" s="135">
        <v>20</v>
      </c>
      <c r="BB1180" s="138" t="s">
        <v>5487</v>
      </c>
      <c r="BC1180" s="138" t="s">
        <v>5848</v>
      </c>
      <c r="BD1180" s="138"/>
      <c r="BE1180" s="135" t="s">
        <v>5733</v>
      </c>
      <c r="BF1180" s="135"/>
      <c r="BG1180" s="135"/>
      <c r="BH1180" s="135"/>
      <c r="BI1180" s="185"/>
      <c r="BJ1180" s="185">
        <v>5.0000063040000001E-2</v>
      </c>
      <c r="BK1180" s="201"/>
      <c r="BL1180" s="485">
        <v>416.97251828381803</v>
      </c>
      <c r="BM1180" s="135"/>
      <c r="BN1180" s="135"/>
      <c r="BO1180" s="135"/>
      <c r="BP1180" s="135"/>
      <c r="BQ1180" s="135"/>
      <c r="BR1180" s="135"/>
      <c r="BS1180" s="135"/>
      <c r="BT1180" s="135"/>
      <c r="BU1180" s="195"/>
      <c r="BV1180" s="135"/>
      <c r="BW1180" s="135"/>
      <c r="BX1180" s="135"/>
      <c r="BY1180" s="135"/>
      <c r="BZ1180" s="135"/>
      <c r="CA1180" s="135"/>
      <c r="CB1180" s="135"/>
      <c r="CC1180" s="135"/>
      <c r="CD1180" s="135"/>
      <c r="CE1180" s="135"/>
      <c r="CF1180" s="135"/>
      <c r="CG1180" s="135"/>
      <c r="CH1180" s="135"/>
      <c r="CI1180" s="187"/>
      <c r="CJ1180" s="187"/>
      <c r="CK1180" s="131">
        <f>BL1180/BJ1180</f>
        <v>8339.4398513105953</v>
      </c>
      <c r="CL1180" s="188"/>
      <c r="CM1180" s="188"/>
      <c r="CN1180" s="188"/>
      <c r="CO1180" s="138" t="s">
        <v>5842</v>
      </c>
      <c r="CP1180" s="189" t="s">
        <v>5849</v>
      </c>
      <c r="CQ1180" s="191" t="s">
        <v>272</v>
      </c>
      <c r="CR1180" s="191"/>
      <c r="CS1180" s="135" t="s">
        <v>539</v>
      </c>
      <c r="CT1180" s="135"/>
      <c r="CU1180" s="185"/>
      <c r="CV1180" s="332">
        <f>X1180/BJ1180</f>
        <v>337999.5738501373</v>
      </c>
      <c r="CW1180" s="329">
        <f>IF(CV1180&lt;1,0,1)</f>
        <v>1</v>
      </c>
      <c r="CX1180" s="329" t="s">
        <v>539</v>
      </c>
      <c r="CY1180" s="189" t="s">
        <v>5921</v>
      </c>
    </row>
    <row r="1181" spans="1:103" ht="11.25" customHeight="1" x14ac:dyDescent="0.2">
      <c r="A1181" s="72">
        <v>1697</v>
      </c>
      <c r="B1181" s="241">
        <v>1995</v>
      </c>
      <c r="C1181" s="32" t="s">
        <v>7640</v>
      </c>
      <c r="D1181" s="32"/>
      <c r="E1181" s="40"/>
      <c r="F1181" s="40" t="s">
        <v>5558</v>
      </c>
      <c r="G1181" s="242">
        <v>95556</v>
      </c>
      <c r="H1181" s="255" t="s">
        <v>5559</v>
      </c>
      <c r="I1181" s="255" t="s">
        <v>5559</v>
      </c>
      <c r="J1181" s="255" t="s">
        <v>5560</v>
      </c>
      <c r="K1181" s="255" t="s">
        <v>1568</v>
      </c>
      <c r="L1181" s="41"/>
      <c r="M1181" s="41"/>
      <c r="N1181" s="36"/>
      <c r="O1181" s="41"/>
      <c r="P1181" s="41"/>
      <c r="Q1181" s="41"/>
      <c r="R1181" s="41"/>
      <c r="S1181" s="41"/>
      <c r="T1181" s="33">
        <v>109.13</v>
      </c>
      <c r="U1181" s="250">
        <v>20000</v>
      </c>
      <c r="V1181" s="250">
        <v>32360.000000000004</v>
      </c>
      <c r="W1181" s="250">
        <v>19858.395470010746</v>
      </c>
      <c r="X1181" s="250">
        <v>20000</v>
      </c>
      <c r="Y1181" s="415">
        <v>7.21</v>
      </c>
      <c r="Z1181" s="33">
        <v>0.6</v>
      </c>
      <c r="AA1181" s="33">
        <v>0.62</v>
      </c>
      <c r="AB1181" s="33">
        <v>0.73</v>
      </c>
      <c r="AC1181" s="33">
        <v>0.83409999999999995</v>
      </c>
      <c r="AD1181" s="33">
        <v>0.65</v>
      </c>
      <c r="AE1181" s="33">
        <v>0.44</v>
      </c>
      <c r="AF1181" s="33">
        <f t="shared" si="257"/>
        <v>0.62</v>
      </c>
      <c r="AG1181" s="34">
        <v>0.65</v>
      </c>
      <c r="AH1181" s="250">
        <v>1.9799999999999999E-10</v>
      </c>
      <c r="AI1181" s="250"/>
      <c r="AJ1181" s="34">
        <f t="shared" si="259"/>
        <v>-8.0919011360511206</v>
      </c>
      <c r="AK1181" s="34"/>
      <c r="AL1181" s="34">
        <f t="shared" si="258"/>
        <v>-8.0919011360511206</v>
      </c>
      <c r="AM1181" s="34">
        <v>-8.5509699999999995</v>
      </c>
      <c r="AN1181" s="251"/>
      <c r="AO1181" s="417">
        <v>9.76</v>
      </c>
      <c r="AP1181" s="417">
        <v>4.74</v>
      </c>
      <c r="AQ1181" s="251" t="s">
        <v>6311</v>
      </c>
      <c r="AR1181" s="251" t="s">
        <v>6311</v>
      </c>
      <c r="AS1181" s="252" t="s">
        <v>5466</v>
      </c>
      <c r="AT1181" s="35" t="s">
        <v>266</v>
      </c>
      <c r="AU1181" s="33">
        <v>0</v>
      </c>
      <c r="AV1181" s="33">
        <v>72</v>
      </c>
      <c r="AW1181" s="33">
        <v>72</v>
      </c>
      <c r="AX1181" s="33">
        <v>26</v>
      </c>
      <c r="AY1181" s="253">
        <v>0.59027777777777779</v>
      </c>
      <c r="AZ1181" s="33" t="s">
        <v>536</v>
      </c>
      <c r="BA1181" s="33">
        <v>20</v>
      </c>
      <c r="BB1181" s="41" t="s">
        <v>1764</v>
      </c>
      <c r="BC1181" s="41" t="s">
        <v>6288</v>
      </c>
      <c r="BD1181" s="41"/>
      <c r="BE1181" s="41"/>
      <c r="BF1181" s="33" t="s">
        <v>272</v>
      </c>
      <c r="BG1181" s="33" t="s">
        <v>272</v>
      </c>
      <c r="BH1181" s="33" t="s">
        <v>4089</v>
      </c>
      <c r="BI1181" s="250" t="s">
        <v>1584</v>
      </c>
      <c r="BJ1181" s="250" t="s">
        <v>1584</v>
      </c>
      <c r="BK1181" s="254"/>
      <c r="BL1181" s="263">
        <v>1621.3775493671008</v>
      </c>
      <c r="BM1181" s="33" t="s">
        <v>6250</v>
      </c>
      <c r="BN1181" s="33"/>
      <c r="BO1181" s="33"/>
      <c r="BP1181" s="33">
        <v>3.2957260000000002E-2</v>
      </c>
      <c r="BQ1181" s="33"/>
      <c r="BR1181" s="33"/>
      <c r="BS1181" s="33"/>
      <c r="BT1181" s="33"/>
      <c r="BU1181" s="246"/>
      <c r="BV1181" s="33"/>
      <c r="BW1181" s="33"/>
      <c r="BX1181" s="33"/>
      <c r="BY1181" s="33"/>
      <c r="BZ1181" s="33"/>
      <c r="CA1181" s="33"/>
      <c r="CB1181" s="33"/>
      <c r="CC1181" s="33"/>
      <c r="CD1181" s="33"/>
      <c r="CE1181" s="33"/>
      <c r="CF1181" s="33"/>
      <c r="CG1181" s="33"/>
      <c r="CH1181" s="33"/>
      <c r="CI1181" s="250">
        <v>3.2957260000000002E-2</v>
      </c>
      <c r="CJ1181" s="243">
        <f t="shared" ref="CJ1181:CJ1212" si="260">LOG10(CI1181)</f>
        <v>-1.4820489018397509</v>
      </c>
      <c r="CK1181" s="38"/>
      <c r="CL1181" s="247">
        <f t="shared" ref="CL1181:CL1195" si="261">BL1181/CI1181</f>
        <v>49196.369763964016</v>
      </c>
      <c r="CM1181" s="247"/>
      <c r="CN1181" s="247"/>
      <c r="CO1181" s="41"/>
      <c r="CP1181" s="143" t="s">
        <v>6289</v>
      </c>
      <c r="CQ1181" s="241" t="s">
        <v>272</v>
      </c>
      <c r="CR1181" s="241"/>
      <c r="CS1181" s="33"/>
      <c r="CT1181" s="33"/>
      <c r="CU1181" s="250">
        <f t="shared" ref="CU1181:CU1195" si="262">X1181/CI1181</f>
        <v>606846.56430783379</v>
      </c>
      <c r="CV1181" s="337"/>
      <c r="CW1181" s="330">
        <f t="shared" ref="CW1181:CW1212" si="263">IF(CU1181&lt;2,0,1)</f>
        <v>1</v>
      </c>
      <c r="CX1181" s="330"/>
      <c r="CY1181" s="143" t="s">
        <v>6351</v>
      </c>
    </row>
    <row r="1182" spans="1:103" ht="11.25" customHeight="1" x14ac:dyDescent="0.2">
      <c r="A1182" s="72">
        <v>1813</v>
      </c>
      <c r="B1182" s="241">
        <v>1996</v>
      </c>
      <c r="C1182" s="32" t="s">
        <v>7703</v>
      </c>
      <c r="D1182" s="32"/>
      <c r="E1182" s="40"/>
      <c r="F1182" s="40" t="s">
        <v>5551</v>
      </c>
      <c r="G1182" s="242">
        <v>591275</v>
      </c>
      <c r="H1182" s="41" t="s">
        <v>5561</v>
      </c>
      <c r="I1182" s="41" t="s">
        <v>5561</v>
      </c>
      <c r="J1182" s="41" t="s">
        <v>5562</v>
      </c>
      <c r="K1182" s="41" t="s">
        <v>1568</v>
      </c>
      <c r="L1182" s="41"/>
      <c r="M1182" s="41"/>
      <c r="N1182" s="36"/>
      <c r="O1182" s="41"/>
      <c r="P1182" s="41"/>
      <c r="Q1182" s="41" t="s">
        <v>6182</v>
      </c>
      <c r="R1182" s="41" t="s">
        <v>6185</v>
      </c>
      <c r="S1182" s="41" t="s">
        <v>6182</v>
      </c>
      <c r="T1182" s="33">
        <v>109.13</v>
      </c>
      <c r="U1182" s="250">
        <v>27000</v>
      </c>
      <c r="V1182" s="250">
        <v>72470</v>
      </c>
      <c r="W1182" s="250">
        <v>21278.654117159545</v>
      </c>
      <c r="X1182" s="250">
        <v>27000</v>
      </c>
      <c r="Y1182" s="415">
        <v>7.08</v>
      </c>
      <c r="Z1182" s="33">
        <v>0.24</v>
      </c>
      <c r="AA1182" s="33">
        <v>0.21</v>
      </c>
      <c r="AB1182" s="33">
        <v>0.54</v>
      </c>
      <c r="AC1182" s="33">
        <v>0.81179999999999997</v>
      </c>
      <c r="AD1182" s="33">
        <v>0.48</v>
      </c>
      <c r="AE1182" s="33">
        <v>0.34</v>
      </c>
      <c r="AF1182" s="33">
        <f t="shared" si="257"/>
        <v>0.21</v>
      </c>
      <c r="AG1182" s="34">
        <v>0.48</v>
      </c>
      <c r="AH1182" s="250">
        <v>1.9799999999999999E-10</v>
      </c>
      <c r="AI1182" s="250"/>
      <c r="AJ1182" s="34">
        <f t="shared" si="259"/>
        <v>-8.0919011360511206</v>
      </c>
      <c r="AK1182" s="34"/>
      <c r="AL1182" s="34">
        <f t="shared" si="258"/>
        <v>-8.0919011360511206</v>
      </c>
      <c r="AM1182" s="34">
        <v>-10.133780000000002</v>
      </c>
      <c r="AN1182" s="251"/>
      <c r="AO1182" s="417">
        <v>10.01</v>
      </c>
      <c r="AP1182" s="417">
        <v>4.3</v>
      </c>
      <c r="AQ1182" s="251" t="s">
        <v>6311</v>
      </c>
      <c r="AR1182" s="251" t="s">
        <v>6311</v>
      </c>
      <c r="AS1182" s="252" t="s">
        <v>5466</v>
      </c>
      <c r="AT1182" s="35" t="s">
        <v>266</v>
      </c>
      <c r="AU1182" s="33">
        <v>0</v>
      </c>
      <c r="AV1182" s="33">
        <v>72</v>
      </c>
      <c r="AW1182" s="33">
        <v>72</v>
      </c>
      <c r="AX1182" s="33">
        <v>26</v>
      </c>
      <c r="AY1182" s="253">
        <v>0.59027777777777779</v>
      </c>
      <c r="AZ1182" s="33" t="s">
        <v>536</v>
      </c>
      <c r="BA1182" s="33">
        <v>20</v>
      </c>
      <c r="BB1182" s="41" t="s">
        <v>1764</v>
      </c>
      <c r="BC1182" s="41" t="s">
        <v>6288</v>
      </c>
      <c r="BD1182" s="41"/>
      <c r="BE1182" s="41"/>
      <c r="BF1182" s="33" t="s">
        <v>272</v>
      </c>
      <c r="BG1182" s="33" t="s">
        <v>272</v>
      </c>
      <c r="BH1182" s="33" t="s">
        <v>4089</v>
      </c>
      <c r="BI1182" s="250" t="e">
        <v>#VALUE!</v>
      </c>
      <c r="BJ1182" s="250" t="e">
        <v>#VALUE!</v>
      </c>
      <c r="BK1182" s="254"/>
      <c r="BL1182" s="263">
        <v>3413.5019493704249</v>
      </c>
      <c r="BM1182" s="33" t="s">
        <v>6250</v>
      </c>
      <c r="BN1182" s="33"/>
      <c r="BO1182" s="33"/>
      <c r="BP1182" s="33">
        <v>1.4186899999999998</v>
      </c>
      <c r="BQ1182" s="33"/>
      <c r="BR1182" s="33"/>
      <c r="BS1182" s="33"/>
      <c r="BT1182" s="33"/>
      <c r="BU1182" s="246"/>
      <c r="BV1182" s="33"/>
      <c r="BW1182" s="33"/>
      <c r="BX1182" s="33"/>
      <c r="BY1182" s="33"/>
      <c r="BZ1182" s="33"/>
      <c r="CA1182" s="33"/>
      <c r="CB1182" s="33"/>
      <c r="CC1182" s="33"/>
      <c r="CD1182" s="33"/>
      <c r="CE1182" s="33"/>
      <c r="CF1182" s="33"/>
      <c r="CG1182" s="33"/>
      <c r="CH1182" s="33"/>
      <c r="CI1182" s="250">
        <v>1.4186899999999998</v>
      </c>
      <c r="CJ1182" s="243">
        <f t="shared" si="260"/>
        <v>0.15188750750993521</v>
      </c>
      <c r="CK1182" s="38"/>
      <c r="CL1182" s="247">
        <f t="shared" si="261"/>
        <v>2406.0943189635686</v>
      </c>
      <c r="CM1182" s="247"/>
      <c r="CN1182" s="247"/>
      <c r="CO1182" s="41"/>
      <c r="CP1182" s="143" t="s">
        <v>6289</v>
      </c>
      <c r="CQ1182" s="241" t="s">
        <v>272</v>
      </c>
      <c r="CR1182" s="241"/>
      <c r="CS1182" s="33"/>
      <c r="CT1182" s="33"/>
      <c r="CU1182" s="250">
        <f t="shared" si="262"/>
        <v>19031.641866792608</v>
      </c>
      <c r="CV1182" s="337"/>
      <c r="CW1182" s="330">
        <f t="shared" si="263"/>
        <v>1</v>
      </c>
      <c r="CX1182" s="330"/>
      <c r="CY1182" s="143" t="s">
        <v>6351</v>
      </c>
    </row>
    <row r="1183" spans="1:103" ht="11.25" customHeight="1" x14ac:dyDescent="0.2">
      <c r="A1183" s="72">
        <v>1814</v>
      </c>
      <c r="B1183" s="241">
        <v>1991</v>
      </c>
      <c r="C1183" s="32" t="s">
        <v>7704</v>
      </c>
      <c r="D1183" s="32"/>
      <c r="E1183" s="40"/>
      <c r="F1183" s="40" t="s">
        <v>5551</v>
      </c>
      <c r="G1183" s="242">
        <v>591275</v>
      </c>
      <c r="H1183" s="41" t="s">
        <v>5552</v>
      </c>
      <c r="I1183" s="41" t="s">
        <v>5552</v>
      </c>
      <c r="J1183" s="41" t="s">
        <v>5553</v>
      </c>
      <c r="K1183" s="41" t="s">
        <v>1568</v>
      </c>
      <c r="L1183" s="41"/>
      <c r="M1183" s="41"/>
      <c r="N1183" s="36"/>
      <c r="O1183" s="41"/>
      <c r="P1183" s="41"/>
      <c r="Q1183" s="41" t="s">
        <v>6182</v>
      </c>
      <c r="R1183" s="41" t="s">
        <v>6185</v>
      </c>
      <c r="S1183" s="41" t="s">
        <v>6182</v>
      </c>
      <c r="T1183" s="33">
        <v>109.13</v>
      </c>
      <c r="U1183" s="250">
        <v>27000</v>
      </c>
      <c r="V1183" s="250">
        <v>72470</v>
      </c>
      <c r="W1183" s="250">
        <v>21278.654117159545</v>
      </c>
      <c r="X1183" s="250">
        <v>27000</v>
      </c>
      <c r="Y1183" s="415">
        <v>7.08</v>
      </c>
      <c r="Z1183" s="33">
        <v>0.24</v>
      </c>
      <c r="AA1183" s="33">
        <v>0.21</v>
      </c>
      <c r="AB1183" s="33">
        <v>0.54</v>
      </c>
      <c r="AC1183" s="33">
        <v>0.81179999999999997</v>
      </c>
      <c r="AD1183" s="33">
        <v>0.48</v>
      </c>
      <c r="AE1183" s="33">
        <v>0.34</v>
      </c>
      <c r="AF1183" s="33">
        <f t="shared" si="257"/>
        <v>0.21</v>
      </c>
      <c r="AG1183" s="34">
        <v>0.48</v>
      </c>
      <c r="AH1183" s="250">
        <v>1.9799999999999999E-10</v>
      </c>
      <c r="AI1183" s="250"/>
      <c r="AJ1183" s="34">
        <f t="shared" si="259"/>
        <v>-8.0919011360511206</v>
      </c>
      <c r="AK1183" s="34"/>
      <c r="AL1183" s="34">
        <f t="shared" si="258"/>
        <v>-8.0919011360511206</v>
      </c>
      <c r="AM1183" s="34">
        <v>-10.133780000000002</v>
      </c>
      <c r="AN1183" s="251"/>
      <c r="AO1183" s="417">
        <v>10.01</v>
      </c>
      <c r="AP1183" s="417">
        <v>4.3</v>
      </c>
      <c r="AQ1183" s="251" t="s">
        <v>6311</v>
      </c>
      <c r="AR1183" s="251" t="s">
        <v>6311</v>
      </c>
      <c r="AS1183" s="252" t="s">
        <v>5466</v>
      </c>
      <c r="AT1183" s="35" t="s">
        <v>266</v>
      </c>
      <c r="AU1183" s="33">
        <v>0</v>
      </c>
      <c r="AV1183" s="33">
        <v>72</v>
      </c>
      <c r="AW1183" s="33">
        <v>72</v>
      </c>
      <c r="AX1183" s="33">
        <v>26</v>
      </c>
      <c r="AY1183" s="253">
        <v>0.59027777777777779</v>
      </c>
      <c r="AZ1183" s="33" t="s">
        <v>536</v>
      </c>
      <c r="BA1183" s="33">
        <v>20</v>
      </c>
      <c r="BB1183" s="41" t="s">
        <v>1764</v>
      </c>
      <c r="BC1183" s="41" t="s">
        <v>6288</v>
      </c>
      <c r="BD1183" s="41"/>
      <c r="BE1183" s="41"/>
      <c r="BF1183" s="33" t="s">
        <v>272</v>
      </c>
      <c r="BG1183" s="33" t="s">
        <v>272</v>
      </c>
      <c r="BH1183" s="33" t="s">
        <v>4089</v>
      </c>
      <c r="BI1183" s="250" t="e">
        <v>#VALUE!</v>
      </c>
      <c r="BJ1183" s="250" t="e">
        <v>#VALUE!</v>
      </c>
      <c r="BK1183" s="254"/>
      <c r="BL1183" s="263">
        <v>3413.5019493704249</v>
      </c>
      <c r="BM1183" s="33" t="s">
        <v>6250</v>
      </c>
      <c r="BN1183" s="33"/>
      <c r="BO1183" s="33"/>
      <c r="BP1183" s="33">
        <v>22.371649999999999</v>
      </c>
      <c r="BQ1183" s="33"/>
      <c r="BR1183" s="33"/>
      <c r="BS1183" s="33"/>
      <c r="BT1183" s="33"/>
      <c r="BU1183" s="246"/>
      <c r="BV1183" s="33"/>
      <c r="BW1183" s="33"/>
      <c r="BX1183" s="33"/>
      <c r="BY1183" s="33"/>
      <c r="BZ1183" s="33"/>
      <c r="CA1183" s="33"/>
      <c r="CB1183" s="33"/>
      <c r="CC1183" s="33"/>
      <c r="CD1183" s="33"/>
      <c r="CE1183" s="33"/>
      <c r="CF1183" s="33"/>
      <c r="CG1183" s="33"/>
      <c r="CH1183" s="33"/>
      <c r="CI1183" s="250">
        <v>22.371649999999999</v>
      </c>
      <c r="CJ1183" s="243">
        <f t="shared" si="260"/>
        <v>1.3496980162588528</v>
      </c>
      <c r="CK1183" s="38"/>
      <c r="CL1183" s="247">
        <f t="shared" si="261"/>
        <v>152.58159095866532</v>
      </c>
      <c r="CM1183" s="247"/>
      <c r="CN1183" s="247"/>
      <c r="CO1183" s="41"/>
      <c r="CP1183" s="143" t="s">
        <v>6289</v>
      </c>
      <c r="CQ1183" s="241" t="s">
        <v>272</v>
      </c>
      <c r="CR1183" s="241"/>
      <c r="CS1183" s="33"/>
      <c r="CT1183" s="33"/>
      <c r="CU1183" s="250">
        <f t="shared" si="262"/>
        <v>1206.884606186848</v>
      </c>
      <c r="CV1183" s="337"/>
      <c r="CW1183" s="330">
        <f t="shared" si="263"/>
        <v>1</v>
      </c>
      <c r="CX1183" s="330"/>
      <c r="CY1183" s="143" t="s">
        <v>6351</v>
      </c>
    </row>
    <row r="1184" spans="1:103" ht="11.25" customHeight="1" x14ac:dyDescent="0.2">
      <c r="A1184" s="72">
        <v>492</v>
      </c>
      <c r="B1184" s="149">
        <v>2012</v>
      </c>
      <c r="C1184" s="54" t="s">
        <v>5577</v>
      </c>
      <c r="D1184" s="54" t="s">
        <v>6780</v>
      </c>
      <c r="E1184" s="59"/>
      <c r="F1184" s="167" t="s">
        <v>5578</v>
      </c>
      <c r="G1184" s="151">
        <v>900958</v>
      </c>
      <c r="H1184" s="67" t="s">
        <v>5579</v>
      </c>
      <c r="I1184" s="67" t="s">
        <v>5579</v>
      </c>
      <c r="J1184" s="67"/>
      <c r="K1184" s="67" t="s">
        <v>403</v>
      </c>
      <c r="L1184" s="67" t="s">
        <v>6169</v>
      </c>
      <c r="M1184" s="60" t="s">
        <v>2342</v>
      </c>
      <c r="N1184" s="60" t="s">
        <v>2342</v>
      </c>
      <c r="O1184" s="67"/>
      <c r="P1184" s="67"/>
      <c r="Q1184" s="67"/>
      <c r="R1184" s="67"/>
      <c r="S1184" s="67"/>
      <c r="T1184" s="61">
        <v>409.07</v>
      </c>
      <c r="U1184" s="111">
        <v>9</v>
      </c>
      <c r="V1184" s="111">
        <v>298.60000000000002</v>
      </c>
      <c r="W1184" s="111">
        <v>17.856553149448452</v>
      </c>
      <c r="X1184" s="111">
        <v>9</v>
      </c>
      <c r="Y1184" s="411">
        <v>7</v>
      </c>
      <c r="Z1184" s="61">
        <v>1.1200000000000001</v>
      </c>
      <c r="AA1184" s="61"/>
      <c r="AB1184" s="61">
        <v>2.42</v>
      </c>
      <c r="AC1184" s="61">
        <v>0.51280000000000003</v>
      </c>
      <c r="AD1184" s="61">
        <v>1.63</v>
      </c>
      <c r="AE1184" s="61">
        <v>0.82</v>
      </c>
      <c r="AF1184" s="61">
        <f t="shared" si="257"/>
        <v>1.63</v>
      </c>
      <c r="AG1184" s="62">
        <v>1.63</v>
      </c>
      <c r="AH1184" s="111">
        <v>2.9900000000000002E-6</v>
      </c>
      <c r="AI1184" s="111"/>
      <c r="AJ1184" s="62">
        <f t="shared" si="259"/>
        <v>-3.912895137988222</v>
      </c>
      <c r="AK1184" s="62"/>
      <c r="AL1184" s="62">
        <f t="shared" si="258"/>
        <v>-3.912895137988222</v>
      </c>
      <c r="AM1184" s="62">
        <v>-10.5715</v>
      </c>
      <c r="AN1184" s="163"/>
      <c r="AO1184" s="410"/>
      <c r="AP1184" s="410"/>
      <c r="AQ1184" s="163" t="s">
        <v>6311</v>
      </c>
      <c r="AR1184" s="163" t="s">
        <v>6311</v>
      </c>
      <c r="AS1184" s="164" t="s">
        <v>5466</v>
      </c>
      <c r="AT1184" s="63" t="s">
        <v>266</v>
      </c>
      <c r="AU1184" s="61">
        <v>0</v>
      </c>
      <c r="AV1184" s="61">
        <v>96</v>
      </c>
      <c r="AW1184" s="61">
        <v>96</v>
      </c>
      <c r="AX1184" s="61">
        <v>28</v>
      </c>
      <c r="AY1184" s="174">
        <v>0.59027777777777779</v>
      </c>
      <c r="AZ1184" s="61" t="s">
        <v>1584</v>
      </c>
      <c r="BA1184" s="61">
        <v>100</v>
      </c>
      <c r="BB1184" s="67" t="s">
        <v>1584</v>
      </c>
      <c r="BC1184" s="67" t="s">
        <v>1584</v>
      </c>
      <c r="BD1184" s="67"/>
      <c r="BE1184" s="67" t="s">
        <v>6242</v>
      </c>
      <c r="BF1184" s="61" t="s">
        <v>6243</v>
      </c>
      <c r="BG1184" s="61" t="s">
        <v>272</v>
      </c>
      <c r="BH1184" s="61" t="s">
        <v>4089</v>
      </c>
      <c r="BI1184" s="153">
        <v>5.0000000000000001E-4</v>
      </c>
      <c r="BJ1184" s="153">
        <v>9.9999999999999992E-2</v>
      </c>
      <c r="BK1184" s="165"/>
      <c r="BL1184" s="153">
        <v>2073.6030872170932</v>
      </c>
      <c r="BM1184" s="61">
        <v>0</v>
      </c>
      <c r="BN1184" s="61"/>
      <c r="BO1184" s="61"/>
      <c r="BP1184" s="61"/>
      <c r="BQ1184" s="61">
        <v>4.0007046000000004E-2</v>
      </c>
      <c r="BR1184" s="61"/>
      <c r="BS1184" s="61"/>
      <c r="BT1184" s="61"/>
      <c r="BU1184" s="158"/>
      <c r="BV1184" s="61"/>
      <c r="BW1184" s="61"/>
      <c r="BX1184" s="61"/>
      <c r="BY1184" s="61"/>
      <c r="BZ1184" s="61"/>
      <c r="CA1184" s="61"/>
      <c r="CB1184" s="61"/>
      <c r="CC1184" s="61"/>
      <c r="CD1184" s="61"/>
      <c r="CE1184" s="61"/>
      <c r="CF1184" s="61"/>
      <c r="CG1184" s="61"/>
      <c r="CH1184" s="61"/>
      <c r="CI1184" s="111">
        <v>4.0007046000000004E-2</v>
      </c>
      <c r="CJ1184" s="103">
        <f t="shared" si="260"/>
        <v>-1.3978635144360823</v>
      </c>
      <c r="CK1184" s="57">
        <f>BL1184/BJ1184</f>
        <v>20736.030872170933</v>
      </c>
      <c r="CL1184" s="160">
        <f t="shared" si="261"/>
        <v>51830.947159085248</v>
      </c>
      <c r="CM1184" s="160">
        <v>-1.4317982759330048</v>
      </c>
      <c r="CN1184" s="160">
        <f>BJ1184/(10^CM1184)</f>
        <v>2.7027027027027022</v>
      </c>
      <c r="CO1184" s="67"/>
      <c r="CP1184" s="161" t="s">
        <v>6244</v>
      </c>
      <c r="CQ1184" s="149">
        <v>-1.431798275933005</v>
      </c>
      <c r="CR1184" s="349">
        <f>10^(CJ1184-CQ1184)</f>
        <v>1.081271513513514</v>
      </c>
      <c r="CS1184" s="61" t="s">
        <v>539</v>
      </c>
      <c r="CT1184" s="61"/>
      <c r="CU1184" s="111">
        <f t="shared" si="262"/>
        <v>224.96037323025547</v>
      </c>
      <c r="CV1184" s="331">
        <f>X1184/BJ1184</f>
        <v>90.000000000000014</v>
      </c>
      <c r="CW1184" s="326">
        <f t="shared" si="263"/>
        <v>1</v>
      </c>
      <c r="CX1184" s="326"/>
      <c r="CY1184" s="161" t="s">
        <v>5921</v>
      </c>
    </row>
    <row r="1185" spans="1:103" ht="11.25" customHeight="1" x14ac:dyDescent="0.2">
      <c r="A1185" s="72">
        <v>85</v>
      </c>
      <c r="B1185" s="149">
        <v>811</v>
      </c>
      <c r="C1185" s="54" t="s">
        <v>2303</v>
      </c>
      <c r="D1185" s="54" t="s">
        <v>6558</v>
      </c>
      <c r="E1185" s="59"/>
      <c r="F1185" s="59" t="s">
        <v>2304</v>
      </c>
      <c r="G1185" s="151">
        <v>271896</v>
      </c>
      <c r="H1185" s="55" t="s">
        <v>2305</v>
      </c>
      <c r="I1185" s="55" t="s">
        <v>2305</v>
      </c>
      <c r="J1185" s="55" t="s">
        <v>2306</v>
      </c>
      <c r="K1185" s="55" t="s">
        <v>426</v>
      </c>
      <c r="L1185" s="55" t="s">
        <v>6025</v>
      </c>
      <c r="M1185" s="55" t="s">
        <v>6088</v>
      </c>
      <c r="N1185" s="60" t="s">
        <v>6088</v>
      </c>
      <c r="O1185" s="55" t="s">
        <v>6083</v>
      </c>
      <c r="P1185" s="67"/>
      <c r="Q1185" s="67" t="s">
        <v>6173</v>
      </c>
      <c r="R1185" s="67" t="s">
        <v>6185</v>
      </c>
      <c r="S1185" s="67" t="s">
        <v>6176</v>
      </c>
      <c r="T1185" s="56">
        <v>118.13</v>
      </c>
      <c r="U1185" s="103"/>
      <c r="V1185" s="103">
        <v>534.79999999999995</v>
      </c>
      <c r="W1185" s="103">
        <v>373.55985999569032</v>
      </c>
      <c r="X1185" s="103">
        <v>373.55985999569032</v>
      </c>
      <c r="Y1185" s="162">
        <v>7</v>
      </c>
      <c r="Z1185" s="56">
        <v>2.54</v>
      </c>
      <c r="AA1185" s="56">
        <v>2.67</v>
      </c>
      <c r="AB1185" s="56">
        <v>2.66</v>
      </c>
      <c r="AC1185" s="56">
        <v>0.84040000000000004</v>
      </c>
      <c r="AD1185" s="56">
        <v>2.66</v>
      </c>
      <c r="AE1185" s="56">
        <v>2.67</v>
      </c>
      <c r="AF1185" s="56">
        <f t="shared" si="257"/>
        <v>2.67</v>
      </c>
      <c r="AG1185" s="57">
        <v>2.34</v>
      </c>
      <c r="AH1185" s="103">
        <v>5.2499999999999997E-4</v>
      </c>
      <c r="AI1185" s="103"/>
      <c r="AJ1185" s="62">
        <f t="shared" si="259"/>
        <v>-1.668407022906695</v>
      </c>
      <c r="AK1185" s="62"/>
      <c r="AL1185" s="62">
        <f t="shared" si="258"/>
        <v>-1.668407022906695</v>
      </c>
      <c r="AM1185" s="62">
        <v>-3.99186</v>
      </c>
      <c r="AN1185" s="154">
        <v>-1.85</v>
      </c>
      <c r="AO1185" s="410"/>
      <c r="AP1185" s="410"/>
      <c r="AQ1185" s="154" t="s">
        <v>6311</v>
      </c>
      <c r="AR1185" s="154" t="s">
        <v>6311</v>
      </c>
      <c r="AS1185" s="149" t="s">
        <v>6</v>
      </c>
      <c r="AT1185" s="58" t="s">
        <v>266</v>
      </c>
      <c r="AU1185" s="155"/>
      <c r="AV1185" s="56">
        <v>96</v>
      </c>
      <c r="AW1185" s="56">
        <v>96</v>
      </c>
      <c r="AX1185" s="56">
        <v>26</v>
      </c>
      <c r="AY1185" s="56" t="s">
        <v>8722</v>
      </c>
      <c r="AZ1185" s="56" t="s">
        <v>536</v>
      </c>
      <c r="BA1185" s="56">
        <v>20</v>
      </c>
      <c r="BB1185" s="55" t="s">
        <v>1764</v>
      </c>
      <c r="BC1185" s="55" t="s">
        <v>538</v>
      </c>
      <c r="BD1185" s="55"/>
      <c r="BE1185" s="56" t="s">
        <v>8722</v>
      </c>
      <c r="BF1185" s="56" t="s">
        <v>8722</v>
      </c>
      <c r="BG1185" s="56" t="s">
        <v>8722</v>
      </c>
      <c r="BH1185" s="56" t="s">
        <v>8722</v>
      </c>
      <c r="BI1185" s="103" t="s">
        <v>8722</v>
      </c>
      <c r="BJ1185" s="103" t="s">
        <v>8722</v>
      </c>
      <c r="BK1185" s="56"/>
      <c r="BL1185" s="153">
        <v>31.767731539299682</v>
      </c>
      <c r="BM1185" s="55" t="s">
        <v>1640</v>
      </c>
      <c r="BN1185" s="56"/>
      <c r="BO1185" s="56"/>
      <c r="BP1185" s="56"/>
      <c r="BQ1185" s="56">
        <v>17.898484848484845</v>
      </c>
      <c r="BR1185" s="56"/>
      <c r="BS1185" s="56"/>
      <c r="BT1185" s="56"/>
      <c r="BU1185" s="158"/>
      <c r="BV1185" s="56"/>
      <c r="BW1185" s="56"/>
      <c r="BX1185" s="56"/>
      <c r="BY1185" s="56"/>
      <c r="BZ1185" s="56"/>
      <c r="CA1185" s="56"/>
      <c r="CB1185" s="56"/>
      <c r="CC1185" s="56"/>
      <c r="CD1185" s="56"/>
      <c r="CE1185" s="56"/>
      <c r="CF1185" s="56"/>
      <c r="CG1185" s="56"/>
      <c r="CH1185" s="56"/>
      <c r="CI1185" s="103">
        <v>17.898484848484845</v>
      </c>
      <c r="CJ1185" s="103">
        <f t="shared" si="260"/>
        <v>1.2528162684216197</v>
      </c>
      <c r="CK1185" s="57"/>
      <c r="CL1185" s="160">
        <f t="shared" si="261"/>
        <v>1.7748838411866414</v>
      </c>
      <c r="CM1185" s="160"/>
      <c r="CN1185" s="160"/>
      <c r="CO1185" s="55"/>
      <c r="CP1185" s="497" t="s">
        <v>2277</v>
      </c>
      <c r="CQ1185" s="149">
        <v>1.1445714179661666</v>
      </c>
      <c r="CR1185" s="349">
        <f>10^(CJ1185-CQ1185)</f>
        <v>1.2830537503819455</v>
      </c>
      <c r="CS1185" s="61" t="s">
        <v>539</v>
      </c>
      <c r="CT1185" s="61"/>
      <c r="CU1185" s="111">
        <f t="shared" si="262"/>
        <v>20.871032557111288</v>
      </c>
      <c r="CV1185" s="331"/>
      <c r="CW1185" s="326">
        <f t="shared" si="263"/>
        <v>1</v>
      </c>
      <c r="CX1185" s="326"/>
      <c r="CY1185" s="161" t="s">
        <v>5921</v>
      </c>
    </row>
    <row r="1186" spans="1:103" ht="11.25" customHeight="1" x14ac:dyDescent="0.2">
      <c r="A1186" s="72">
        <v>86</v>
      </c>
      <c r="B1186" s="149">
        <v>804</v>
      </c>
      <c r="C1186" s="54" t="s">
        <v>2273</v>
      </c>
      <c r="D1186" s="54" t="s">
        <v>6541</v>
      </c>
      <c r="E1186" s="59"/>
      <c r="F1186" s="59" t="s">
        <v>2274</v>
      </c>
      <c r="G1186" s="151">
        <v>91225</v>
      </c>
      <c r="H1186" s="55" t="s">
        <v>2275</v>
      </c>
      <c r="I1186" s="55" t="s">
        <v>2275</v>
      </c>
      <c r="J1186" s="55" t="s">
        <v>2276</v>
      </c>
      <c r="K1186" s="55" t="s">
        <v>426</v>
      </c>
      <c r="L1186" s="55" t="s">
        <v>5527</v>
      </c>
      <c r="M1186" s="55" t="s">
        <v>6025</v>
      </c>
      <c r="N1186" s="60" t="s">
        <v>2342</v>
      </c>
      <c r="O1186" s="55" t="s">
        <v>2342</v>
      </c>
      <c r="P1186" s="67" t="s">
        <v>1639</v>
      </c>
      <c r="Q1186" s="67" t="s">
        <v>6173</v>
      </c>
      <c r="R1186" s="67" t="s">
        <v>6175</v>
      </c>
      <c r="S1186" s="67" t="s">
        <v>6173</v>
      </c>
      <c r="T1186" s="56">
        <v>129.16</v>
      </c>
      <c r="U1186" s="103">
        <v>6110</v>
      </c>
      <c r="V1186" s="103">
        <v>1711</v>
      </c>
      <c r="W1186" s="103">
        <v>9574.7630766426519</v>
      </c>
      <c r="X1186" s="103">
        <v>6110</v>
      </c>
      <c r="Y1186" s="162">
        <v>8.92</v>
      </c>
      <c r="Z1186" s="56">
        <v>2.14</v>
      </c>
      <c r="AA1186" s="56">
        <v>2.0299999999999998</v>
      </c>
      <c r="AB1186" s="56">
        <v>1.95</v>
      </c>
      <c r="AC1186" s="56">
        <v>0.92710000000000004</v>
      </c>
      <c r="AD1186" s="56">
        <v>1.98</v>
      </c>
      <c r="AE1186" s="56">
        <v>2.08</v>
      </c>
      <c r="AF1186" s="56">
        <f t="shared" si="257"/>
        <v>2.0299999999999998</v>
      </c>
      <c r="AG1186" s="57">
        <v>2.11</v>
      </c>
      <c r="AH1186" s="103">
        <v>6.8800000000000002E-7</v>
      </c>
      <c r="AI1186" s="103">
        <v>1.6700000000000001E-6</v>
      </c>
      <c r="AJ1186" s="62">
        <f t="shared" si="259"/>
        <v>-4.5509778880771403</v>
      </c>
      <c r="AK1186" s="62">
        <f>LOG10(AI1186*1000/(0.08206*298.15))</f>
        <v>-4.1658498551650682</v>
      </c>
      <c r="AL1186" s="62">
        <f t="shared" si="258"/>
        <v>-4.1658498551650682</v>
      </c>
      <c r="AM1186" s="62">
        <v>-6.3437800000000006</v>
      </c>
      <c r="AN1186" s="154">
        <v>-4.24</v>
      </c>
      <c r="AO1186" s="410"/>
      <c r="AP1186" s="410">
        <v>4.97</v>
      </c>
      <c r="AQ1186" s="154" t="s">
        <v>6311</v>
      </c>
      <c r="AR1186" s="154" t="s">
        <v>6311</v>
      </c>
      <c r="AS1186" s="149" t="s">
        <v>6</v>
      </c>
      <c r="AT1186" s="58" t="s">
        <v>266</v>
      </c>
      <c r="AU1186" s="155"/>
      <c r="AV1186" s="56">
        <v>96</v>
      </c>
      <c r="AW1186" s="56">
        <v>96</v>
      </c>
      <c r="AX1186" s="56">
        <v>26</v>
      </c>
      <c r="AY1186" s="56" t="s">
        <v>8722</v>
      </c>
      <c r="AZ1186" s="56" t="s">
        <v>536</v>
      </c>
      <c r="BA1186" s="56">
        <v>20</v>
      </c>
      <c r="BB1186" s="55" t="s">
        <v>1764</v>
      </c>
      <c r="BC1186" s="55" t="s">
        <v>538</v>
      </c>
      <c r="BD1186" s="55"/>
      <c r="BE1186" s="56" t="s">
        <v>8722</v>
      </c>
      <c r="BF1186" s="56" t="s">
        <v>8722</v>
      </c>
      <c r="BG1186" s="56" t="s">
        <v>8722</v>
      </c>
      <c r="BH1186" s="56" t="s">
        <v>8722</v>
      </c>
      <c r="BI1186" s="103" t="s">
        <v>8722</v>
      </c>
      <c r="BJ1186" s="103" t="s">
        <v>8722</v>
      </c>
      <c r="BK1186" s="56"/>
      <c r="BL1186" s="153">
        <v>79.431732722459373</v>
      </c>
      <c r="BM1186" s="55" t="s">
        <v>1640</v>
      </c>
      <c r="BN1186" s="56"/>
      <c r="BO1186" s="56"/>
      <c r="BP1186" s="56"/>
      <c r="BQ1186" s="56">
        <v>18.199999999999985</v>
      </c>
      <c r="BR1186" s="56"/>
      <c r="BS1186" s="56"/>
      <c r="BT1186" s="56"/>
      <c r="BU1186" s="158"/>
      <c r="BV1186" s="56"/>
      <c r="BW1186" s="56"/>
      <c r="BX1186" s="56"/>
      <c r="BY1186" s="56"/>
      <c r="BZ1186" s="56"/>
      <c r="CA1186" s="56"/>
      <c r="CB1186" s="56"/>
      <c r="CC1186" s="56"/>
      <c r="CD1186" s="56"/>
      <c r="CE1186" s="56"/>
      <c r="CF1186" s="56"/>
      <c r="CG1186" s="56"/>
      <c r="CH1186" s="56"/>
      <c r="CI1186" s="103">
        <v>18.199999999999985</v>
      </c>
      <c r="CJ1186" s="103">
        <f t="shared" si="260"/>
        <v>1.2600713879850745</v>
      </c>
      <c r="CK1186" s="57"/>
      <c r="CL1186" s="160">
        <f t="shared" si="261"/>
        <v>4.3643809188164528</v>
      </c>
      <c r="CM1186" s="160"/>
      <c r="CN1186" s="160"/>
      <c r="CO1186" s="55"/>
      <c r="CP1186" s="497" t="s">
        <v>2277</v>
      </c>
      <c r="CQ1186" s="149">
        <v>1.0657300350524834</v>
      </c>
      <c r="CR1186" s="349">
        <f>10^(CJ1186-CQ1186)</f>
        <v>1.5643767505537769</v>
      </c>
      <c r="CS1186" s="61" t="s">
        <v>539</v>
      </c>
      <c r="CT1186" s="61"/>
      <c r="CU1186" s="111">
        <f t="shared" si="262"/>
        <v>335.71428571428601</v>
      </c>
      <c r="CV1186" s="331"/>
      <c r="CW1186" s="326">
        <f t="shared" si="263"/>
        <v>1</v>
      </c>
      <c r="CX1186" s="326"/>
      <c r="CY1186" s="161" t="s">
        <v>6351</v>
      </c>
    </row>
    <row r="1187" spans="1:103" ht="11.25" customHeight="1" x14ac:dyDescent="0.2">
      <c r="A1187" s="72">
        <v>165</v>
      </c>
      <c r="B1187" s="149">
        <v>808</v>
      </c>
      <c r="C1187" s="54" t="s">
        <v>2296</v>
      </c>
      <c r="D1187" s="54" t="s">
        <v>6554</v>
      </c>
      <c r="E1187" s="59"/>
      <c r="F1187" s="59" t="s">
        <v>2297</v>
      </c>
      <c r="G1187" s="151">
        <v>120832</v>
      </c>
      <c r="H1187" s="55" t="s">
        <v>2298</v>
      </c>
      <c r="I1187" s="55" t="s">
        <v>8039</v>
      </c>
      <c r="J1187" s="55" t="s">
        <v>2299</v>
      </c>
      <c r="K1187" s="55" t="s">
        <v>349</v>
      </c>
      <c r="L1187" s="55" t="s">
        <v>5527</v>
      </c>
      <c r="M1187" s="55" t="s">
        <v>6109</v>
      </c>
      <c r="N1187" s="60" t="s">
        <v>6381</v>
      </c>
      <c r="O1187" s="55" t="s">
        <v>6086</v>
      </c>
      <c r="P1187" s="67" t="s">
        <v>6184</v>
      </c>
      <c r="Q1187" s="67" t="s">
        <v>6176</v>
      </c>
      <c r="R1187" s="67" t="s">
        <v>6185</v>
      </c>
      <c r="S1187" s="67" t="s">
        <v>6176</v>
      </c>
      <c r="T1187" s="56">
        <v>163</v>
      </c>
      <c r="U1187" s="103">
        <v>4500</v>
      </c>
      <c r="V1187" s="103">
        <v>614.20000000000005</v>
      </c>
      <c r="W1187" s="103">
        <v>492.25213042552821</v>
      </c>
      <c r="X1187" s="103">
        <v>4500</v>
      </c>
      <c r="Y1187" s="162">
        <v>5.28</v>
      </c>
      <c r="Z1187" s="56">
        <v>2.8</v>
      </c>
      <c r="AA1187" s="56">
        <v>3.06</v>
      </c>
      <c r="AB1187" s="56">
        <v>3.2</v>
      </c>
      <c r="AC1187" s="56">
        <v>0.86060000000000003</v>
      </c>
      <c r="AD1187" s="56">
        <v>3.14</v>
      </c>
      <c r="AE1187" s="56">
        <v>2.99</v>
      </c>
      <c r="AF1187" s="56">
        <f t="shared" si="257"/>
        <v>3.06</v>
      </c>
      <c r="AG1187" s="57">
        <v>2.82</v>
      </c>
      <c r="AH1187" s="103">
        <v>3.0800000000000001E-7</v>
      </c>
      <c r="AI1187" s="103">
        <v>4.2899999999999996E-6</v>
      </c>
      <c r="AJ1187" s="62">
        <f t="shared" si="259"/>
        <v>-4.9000156098122076</v>
      </c>
      <c r="AK1187" s="62">
        <f>LOG10(AI1187*1000/(0.08206*298.15))</f>
        <v>-3.7561090341279275</v>
      </c>
      <c r="AL1187" s="62">
        <f t="shared" si="258"/>
        <v>-3.7561090341279275</v>
      </c>
      <c r="AM1187" s="62">
        <v>-6.1948599999999994</v>
      </c>
      <c r="AN1187" s="154">
        <v>-3.21</v>
      </c>
      <c r="AO1187" s="410">
        <v>8.0500000000000007</v>
      </c>
      <c r="AP1187" s="410"/>
      <c r="AQ1187" s="154" t="s">
        <v>6311</v>
      </c>
      <c r="AR1187" s="154" t="s">
        <v>6311</v>
      </c>
      <c r="AS1187" s="149" t="s">
        <v>6</v>
      </c>
      <c r="AT1187" s="58" t="s">
        <v>266</v>
      </c>
      <c r="AU1187" s="155"/>
      <c r="AV1187" s="56">
        <v>96</v>
      </c>
      <c r="AW1187" s="56">
        <v>96</v>
      </c>
      <c r="AX1187" s="56">
        <v>26</v>
      </c>
      <c r="AY1187" s="56" t="s">
        <v>8722</v>
      </c>
      <c r="AZ1187" s="56" t="s">
        <v>536</v>
      </c>
      <c r="BA1187" s="56">
        <v>20</v>
      </c>
      <c r="BB1187" s="55" t="s">
        <v>1764</v>
      </c>
      <c r="BC1187" s="55" t="s">
        <v>538</v>
      </c>
      <c r="BD1187" s="55"/>
      <c r="BE1187" s="56" t="s">
        <v>8722</v>
      </c>
      <c r="BF1187" s="56" t="s">
        <v>8722</v>
      </c>
      <c r="BG1187" s="56" t="s">
        <v>8722</v>
      </c>
      <c r="BH1187" s="56" t="s">
        <v>8722</v>
      </c>
      <c r="BI1187" s="103" t="s">
        <v>8722</v>
      </c>
      <c r="BJ1187" s="103" t="s">
        <v>8722</v>
      </c>
      <c r="BK1187" s="56"/>
      <c r="BL1187" s="153">
        <v>25.603987376487378</v>
      </c>
      <c r="BM1187" s="55" t="s">
        <v>1640</v>
      </c>
      <c r="BN1187" s="56"/>
      <c r="BO1187" s="56">
        <v>10.452500021000001</v>
      </c>
      <c r="BP1187" s="56"/>
      <c r="BQ1187" s="56">
        <v>7.1150000410000001</v>
      </c>
      <c r="BR1187" s="56"/>
      <c r="BS1187" s="56"/>
      <c r="BT1187" s="56"/>
      <c r="BU1187" s="158"/>
      <c r="BV1187" s="56"/>
      <c r="BW1187" s="56"/>
      <c r="BX1187" s="56"/>
      <c r="BY1187" s="56"/>
      <c r="BZ1187" s="56"/>
      <c r="CA1187" s="56"/>
      <c r="CB1187" s="56"/>
      <c r="CC1187" s="56"/>
      <c r="CD1187" s="56"/>
      <c r="CE1187" s="56"/>
      <c r="CF1187" s="56"/>
      <c r="CG1187" s="56"/>
      <c r="CH1187" s="56"/>
      <c r="CI1187" s="103">
        <v>7.1150000410000001</v>
      </c>
      <c r="CJ1187" s="103">
        <f t="shared" si="260"/>
        <v>0.85217490692291364</v>
      </c>
      <c r="CK1187" s="57"/>
      <c r="CL1187" s="160">
        <f t="shared" si="261"/>
        <v>3.598592723674642</v>
      </c>
      <c r="CM1187" s="160"/>
      <c r="CN1187" s="160"/>
      <c r="CO1187" s="55"/>
      <c r="CP1187" s="497" t="s">
        <v>2277</v>
      </c>
      <c r="CQ1187" s="149">
        <v>0.62849284084610069</v>
      </c>
      <c r="CR1187" s="349">
        <f>10^(CJ1187-CQ1187)</f>
        <v>1.673717149455946</v>
      </c>
      <c r="CS1187" s="61" t="s">
        <v>539</v>
      </c>
      <c r="CT1187" s="61"/>
      <c r="CU1187" s="111">
        <f t="shared" si="262"/>
        <v>632.46661617271525</v>
      </c>
      <c r="CV1187" s="331"/>
      <c r="CW1187" s="326">
        <f t="shared" si="263"/>
        <v>1</v>
      </c>
      <c r="CX1187" s="326"/>
      <c r="CY1187" s="161" t="s">
        <v>6351</v>
      </c>
    </row>
    <row r="1188" spans="1:103" ht="11.25" customHeight="1" x14ac:dyDescent="0.2">
      <c r="A1188" s="72">
        <v>476</v>
      </c>
      <c r="B1188" s="149">
        <v>812</v>
      </c>
      <c r="C1188" s="54" t="s">
        <v>6767</v>
      </c>
      <c r="D1188" s="54" t="s">
        <v>6768</v>
      </c>
      <c r="E1188" s="59"/>
      <c r="F1188" s="59" t="s">
        <v>2307</v>
      </c>
      <c r="G1188" s="151">
        <v>481390</v>
      </c>
      <c r="H1188" s="55" t="s">
        <v>2308</v>
      </c>
      <c r="I1188" s="55" t="s">
        <v>2308</v>
      </c>
      <c r="J1188" s="55" t="s">
        <v>2309</v>
      </c>
      <c r="K1188" s="55" t="s">
        <v>2310</v>
      </c>
      <c r="L1188" s="55" t="s">
        <v>6619</v>
      </c>
      <c r="M1188" s="55" t="s">
        <v>6025</v>
      </c>
      <c r="N1188" s="60" t="s">
        <v>2342</v>
      </c>
      <c r="O1188" s="55"/>
      <c r="P1188" s="67" t="s">
        <v>6631</v>
      </c>
      <c r="Q1188" s="67" t="s">
        <v>6173</v>
      </c>
      <c r="R1188" s="67" t="s">
        <v>6175</v>
      </c>
      <c r="S1188" s="67" t="s">
        <v>6173</v>
      </c>
      <c r="T1188" s="56">
        <v>174.15</v>
      </c>
      <c r="U1188" s="103"/>
      <c r="V1188" s="103">
        <v>5121</v>
      </c>
      <c r="W1188" s="103">
        <v>195.39951381668672</v>
      </c>
      <c r="X1188" s="103">
        <v>195.39951381668672</v>
      </c>
      <c r="Y1188" s="162">
        <v>4.7699999999999996</v>
      </c>
      <c r="Z1188" s="56">
        <v>1.96</v>
      </c>
      <c r="AA1188" s="56">
        <v>1.92</v>
      </c>
      <c r="AB1188" s="56">
        <v>1.83</v>
      </c>
      <c r="AC1188" s="56">
        <v>0.87329999999999997</v>
      </c>
      <c r="AD1188" s="56">
        <v>1.84</v>
      </c>
      <c r="AE1188" s="56">
        <v>1.86</v>
      </c>
      <c r="AF1188" s="56">
        <f t="shared" si="257"/>
        <v>1.92</v>
      </c>
      <c r="AG1188" s="57">
        <v>1.27</v>
      </c>
      <c r="AH1188" s="103">
        <v>2.5799999999999999E-10</v>
      </c>
      <c r="AI1188" s="103"/>
      <c r="AJ1188" s="62">
        <f t="shared" si="259"/>
        <v>-7.9769466203494215</v>
      </c>
      <c r="AK1188" s="62"/>
      <c r="AL1188" s="62">
        <f t="shared" si="258"/>
        <v>-7.9769466203494215</v>
      </c>
      <c r="AM1188" s="62">
        <v>-10.650509999999999</v>
      </c>
      <c r="AN1188" s="154">
        <v>-6.38</v>
      </c>
      <c r="AO1188" s="410">
        <v>6.59</v>
      </c>
      <c r="AP1188" s="410"/>
      <c r="AQ1188" s="154" t="s">
        <v>6311</v>
      </c>
      <c r="AR1188" s="154" t="s">
        <v>6311</v>
      </c>
      <c r="AS1188" s="149" t="s">
        <v>6</v>
      </c>
      <c r="AT1188" s="58" t="s">
        <v>266</v>
      </c>
      <c r="AU1188" s="155"/>
      <c r="AV1188" s="56">
        <v>96</v>
      </c>
      <c r="AW1188" s="56">
        <v>96</v>
      </c>
      <c r="AX1188" s="56">
        <v>26</v>
      </c>
      <c r="AY1188" s="56" t="s">
        <v>8722</v>
      </c>
      <c r="AZ1188" s="56" t="s">
        <v>536</v>
      </c>
      <c r="BA1188" s="56">
        <v>20</v>
      </c>
      <c r="BB1188" s="55" t="s">
        <v>1764</v>
      </c>
      <c r="BC1188" s="55" t="s">
        <v>538</v>
      </c>
      <c r="BD1188" s="55"/>
      <c r="BE1188" s="56" t="s">
        <v>8722</v>
      </c>
      <c r="BF1188" s="56" t="s">
        <v>8722</v>
      </c>
      <c r="BG1188" s="56" t="s">
        <v>8722</v>
      </c>
      <c r="BH1188" s="56" t="s">
        <v>8722</v>
      </c>
      <c r="BI1188" s="103" t="s">
        <v>8722</v>
      </c>
      <c r="BJ1188" s="103" t="s">
        <v>8722</v>
      </c>
      <c r="BK1188" s="56"/>
      <c r="BL1188" s="153">
        <v>155.39873486538784</v>
      </c>
      <c r="BM1188" s="55" t="s">
        <v>1640</v>
      </c>
      <c r="BN1188" s="56"/>
      <c r="BO1188" s="155">
        <v>5.1663687300000004E-2</v>
      </c>
      <c r="BP1188" s="56"/>
      <c r="BQ1188" s="56">
        <v>5.2140393899999998E-2</v>
      </c>
      <c r="BR1188" s="56"/>
      <c r="BS1188" s="56"/>
      <c r="BT1188" s="56"/>
      <c r="BU1188" s="158"/>
      <c r="BV1188" s="56"/>
      <c r="BW1188" s="56"/>
      <c r="BX1188" s="56"/>
      <c r="BY1188" s="56"/>
      <c r="BZ1188" s="56"/>
      <c r="CA1188" s="56"/>
      <c r="CB1188" s="56"/>
      <c r="CC1188" s="56"/>
      <c r="CD1188" s="56"/>
      <c r="CE1188" s="56"/>
      <c r="CF1188" s="56"/>
      <c r="CG1188" s="56"/>
      <c r="CH1188" s="56"/>
      <c r="CI1188" s="103">
        <v>5.1663687300000004E-2</v>
      </c>
      <c r="CJ1188" s="103">
        <f t="shared" si="260"/>
        <v>-1.2868146009328185</v>
      </c>
      <c r="CK1188" s="57"/>
      <c r="CL1188" s="160">
        <f t="shared" si="261"/>
        <v>3007.890899521371</v>
      </c>
      <c r="CM1188" s="160"/>
      <c r="CN1188" s="160"/>
      <c r="CO1188" s="55"/>
      <c r="CP1188" s="497" t="s">
        <v>2277</v>
      </c>
      <c r="CQ1188" s="149">
        <v>-1.3667119898777875</v>
      </c>
      <c r="CR1188" s="349">
        <f>10^(CJ1188-CQ1188)</f>
        <v>1.2019804083299284</v>
      </c>
      <c r="CS1188" s="61" t="s">
        <v>539</v>
      </c>
      <c r="CT1188" s="61"/>
      <c r="CU1188" s="111">
        <f t="shared" si="262"/>
        <v>3782.1441718250471</v>
      </c>
      <c r="CV1188" s="331"/>
      <c r="CW1188" s="326">
        <f t="shared" si="263"/>
        <v>1</v>
      </c>
      <c r="CX1188" s="326"/>
      <c r="CY1188" s="161" t="s">
        <v>5921</v>
      </c>
    </row>
    <row r="1189" spans="1:103" ht="11.25" customHeight="1" x14ac:dyDescent="0.2">
      <c r="A1189" s="72">
        <v>500</v>
      </c>
      <c r="B1189" s="149">
        <v>810</v>
      </c>
      <c r="C1189" s="54" t="s">
        <v>6787</v>
      </c>
      <c r="D1189" s="54"/>
      <c r="E1189" s="59"/>
      <c r="F1189" s="59" t="s">
        <v>2300</v>
      </c>
      <c r="G1189" s="151">
        <v>130370</v>
      </c>
      <c r="H1189" s="55" t="s">
        <v>2301</v>
      </c>
      <c r="I1189" s="55" t="s">
        <v>7912</v>
      </c>
      <c r="J1189" s="55" t="s">
        <v>2302</v>
      </c>
      <c r="K1189" s="55" t="s">
        <v>426</v>
      </c>
      <c r="L1189" s="55"/>
      <c r="M1189" s="55"/>
      <c r="N1189" s="60"/>
      <c r="O1189" s="55"/>
      <c r="P1189" s="67"/>
      <c r="Q1189" s="67"/>
      <c r="R1189" s="67"/>
      <c r="S1189" s="67"/>
      <c r="T1189" s="56">
        <v>254.26</v>
      </c>
      <c r="U1189" s="103"/>
      <c r="V1189" s="103">
        <v>129500</v>
      </c>
      <c r="W1189" s="103">
        <v>22145.120238223291</v>
      </c>
      <c r="X1189" s="103">
        <v>22145.120238223291</v>
      </c>
      <c r="Y1189" s="162">
        <v>1.0900000000000001</v>
      </c>
      <c r="Z1189" s="56">
        <v>-0.89</v>
      </c>
      <c r="AA1189" s="56"/>
      <c r="AB1189" s="56">
        <v>-0.73</v>
      </c>
      <c r="AC1189" s="56">
        <v>0.44119999999999998</v>
      </c>
      <c r="AD1189" s="56">
        <v>-0.4</v>
      </c>
      <c r="AE1189" s="56">
        <v>-0.09</v>
      </c>
      <c r="AF1189" s="56">
        <f t="shared" si="257"/>
        <v>-0.4</v>
      </c>
      <c r="AG1189" s="57">
        <v>3.37</v>
      </c>
      <c r="AH1189" s="103">
        <v>1.7899999999999999E-15</v>
      </c>
      <c r="AI1189" s="103"/>
      <c r="AJ1189" s="62">
        <f t="shared" si="259"/>
        <v>-13.135713295332758</v>
      </c>
      <c r="AK1189" s="62"/>
      <c r="AL1189" s="62">
        <f t="shared" si="258"/>
        <v>-13.135713295332758</v>
      </c>
      <c r="AM1189" s="62">
        <v>-17.937249999999999</v>
      </c>
      <c r="AN1189" s="154">
        <v>-10.3</v>
      </c>
      <c r="AO1189" s="410">
        <v>-0.14000000000000001</v>
      </c>
      <c r="AP1189" s="410"/>
      <c r="AQ1189" s="154" t="s">
        <v>6311</v>
      </c>
      <c r="AR1189" s="154" t="s">
        <v>6311</v>
      </c>
      <c r="AS1189" s="149" t="s">
        <v>6</v>
      </c>
      <c r="AT1189" s="58" t="s">
        <v>266</v>
      </c>
      <c r="AU1189" s="155"/>
      <c r="AV1189" s="56">
        <v>96</v>
      </c>
      <c r="AW1189" s="56">
        <v>96</v>
      </c>
      <c r="AX1189" s="56">
        <v>26</v>
      </c>
      <c r="AY1189" s="56" t="s">
        <v>8722</v>
      </c>
      <c r="AZ1189" s="56" t="s">
        <v>536</v>
      </c>
      <c r="BA1189" s="56">
        <v>20</v>
      </c>
      <c r="BB1189" s="55" t="s">
        <v>1764</v>
      </c>
      <c r="BC1189" s="55" t="s">
        <v>538</v>
      </c>
      <c r="BD1189" s="55"/>
      <c r="BE1189" s="56" t="s">
        <v>8722</v>
      </c>
      <c r="BF1189" s="56" t="s">
        <v>8722</v>
      </c>
      <c r="BG1189" s="56" t="s">
        <v>8722</v>
      </c>
      <c r="BH1189" s="56" t="s">
        <v>8722</v>
      </c>
      <c r="BI1189" s="103" t="s">
        <v>8722</v>
      </c>
      <c r="BJ1189" s="103" t="s">
        <v>8722</v>
      </c>
      <c r="BK1189" s="56"/>
      <c r="BL1189" s="153">
        <v>82297.57581077225</v>
      </c>
      <c r="BM1189" s="55" t="s">
        <v>1640</v>
      </c>
      <c r="BN1189" s="56"/>
      <c r="BO1189" s="155">
        <v>0.18296032604666662</v>
      </c>
      <c r="BP1189" s="56"/>
      <c r="BQ1189" s="56">
        <v>0.12570029601999999</v>
      </c>
      <c r="BR1189" s="56"/>
      <c r="BS1189" s="56"/>
      <c r="BT1189" s="56"/>
      <c r="BU1189" s="158"/>
      <c r="BV1189" s="56"/>
      <c r="BW1189" s="56"/>
      <c r="BX1189" s="56"/>
      <c r="BY1189" s="56"/>
      <c r="BZ1189" s="56"/>
      <c r="CA1189" s="56"/>
      <c r="CB1189" s="56"/>
      <c r="CC1189" s="56"/>
      <c r="CD1189" s="56"/>
      <c r="CE1189" s="56"/>
      <c r="CF1189" s="56"/>
      <c r="CG1189" s="56"/>
      <c r="CH1189" s="56"/>
      <c r="CI1189" s="103">
        <v>0.12570029601999999</v>
      </c>
      <c r="CJ1189" s="103">
        <f t="shared" si="260"/>
        <v>-0.90066369956383419</v>
      </c>
      <c r="CK1189" s="57"/>
      <c r="CL1189" s="160">
        <f t="shared" si="261"/>
        <v>654712.66509728821</v>
      </c>
      <c r="CM1189" s="160"/>
      <c r="CN1189" s="160"/>
      <c r="CO1189" s="55"/>
      <c r="CP1189" s="497" t="s">
        <v>2277</v>
      </c>
      <c r="CQ1189" s="149" t="s">
        <v>272</v>
      </c>
      <c r="CR1189" s="349"/>
      <c r="CS1189" s="61" t="s">
        <v>539</v>
      </c>
      <c r="CT1189" s="61"/>
      <c r="CU1189" s="111">
        <f t="shared" si="262"/>
        <v>176173.9704630434</v>
      </c>
      <c r="CV1189" s="331"/>
      <c r="CW1189" s="326">
        <f t="shared" si="263"/>
        <v>1</v>
      </c>
      <c r="CX1189" s="326"/>
      <c r="CY1189" s="161" t="s">
        <v>5921</v>
      </c>
    </row>
    <row r="1190" spans="1:103" ht="11.25" customHeight="1" x14ac:dyDescent="0.2">
      <c r="A1190" s="72">
        <v>501</v>
      </c>
      <c r="B1190" s="149">
        <v>805</v>
      </c>
      <c r="C1190" s="54" t="s">
        <v>6788</v>
      </c>
      <c r="D1190" s="54"/>
      <c r="E1190" s="59"/>
      <c r="F1190" s="59" t="s">
        <v>2278</v>
      </c>
      <c r="G1190" s="151">
        <v>100630</v>
      </c>
      <c r="H1190" s="55" t="s">
        <v>2279</v>
      </c>
      <c r="I1190" s="55" t="s">
        <v>2279</v>
      </c>
      <c r="J1190" s="55" t="s">
        <v>2280</v>
      </c>
      <c r="K1190" s="55" t="s">
        <v>2281</v>
      </c>
      <c r="L1190" s="55"/>
      <c r="M1190" s="55"/>
      <c r="N1190" s="60"/>
      <c r="O1190" s="55"/>
      <c r="P1190" s="67"/>
      <c r="Q1190" s="67"/>
      <c r="R1190" s="67"/>
      <c r="S1190" s="67"/>
      <c r="T1190" s="56">
        <v>108.14</v>
      </c>
      <c r="U1190" s="103">
        <v>127000</v>
      </c>
      <c r="V1190" s="103">
        <v>9445</v>
      </c>
      <c r="W1190" s="103">
        <v>22079.354133656285</v>
      </c>
      <c r="X1190" s="103">
        <v>127000</v>
      </c>
      <c r="Y1190" s="162">
        <v>9.3000000000000007</v>
      </c>
      <c r="Z1190" s="56">
        <v>0.79</v>
      </c>
      <c r="AA1190" s="56">
        <v>1.25</v>
      </c>
      <c r="AB1190" s="56">
        <v>1.3</v>
      </c>
      <c r="AC1190" s="56">
        <v>0.85929999999999995</v>
      </c>
      <c r="AD1190" s="56">
        <v>1.29</v>
      </c>
      <c r="AE1190" s="56">
        <v>1.25</v>
      </c>
      <c r="AF1190" s="56">
        <f t="shared" si="257"/>
        <v>1.25</v>
      </c>
      <c r="AG1190" s="57">
        <v>0.88</v>
      </c>
      <c r="AH1190" s="103">
        <v>7.9500000000000001E-9</v>
      </c>
      <c r="AI1190" s="103">
        <v>4.42E-9</v>
      </c>
      <c r="AJ1190" s="62">
        <f t="shared" si="259"/>
        <v>-6.4881991976561819</v>
      </c>
      <c r="AK1190" s="62">
        <f>LOG10(AI1190*1000/(0.08206*298.15))</f>
        <v>-6.7431440569635601</v>
      </c>
      <c r="AL1190" s="62">
        <f t="shared" si="258"/>
        <v>-6.7431440569635601</v>
      </c>
      <c r="AM1190" s="62">
        <v>-8.9870699999999992</v>
      </c>
      <c r="AN1190" s="154">
        <v>-6.63</v>
      </c>
      <c r="AO1190" s="410"/>
      <c r="AP1190" s="410">
        <v>5.21</v>
      </c>
      <c r="AQ1190" s="154" t="s">
        <v>6311</v>
      </c>
      <c r="AR1190" s="154" t="s">
        <v>6311</v>
      </c>
      <c r="AS1190" s="149" t="s">
        <v>6</v>
      </c>
      <c r="AT1190" s="58" t="s">
        <v>266</v>
      </c>
      <c r="AU1190" s="155"/>
      <c r="AV1190" s="56">
        <v>96</v>
      </c>
      <c r="AW1190" s="56">
        <v>96</v>
      </c>
      <c r="AX1190" s="56">
        <v>26</v>
      </c>
      <c r="AY1190" s="56" t="s">
        <v>8722</v>
      </c>
      <c r="AZ1190" s="56" t="s">
        <v>536</v>
      </c>
      <c r="BA1190" s="56">
        <v>20</v>
      </c>
      <c r="BB1190" s="55" t="s">
        <v>1764</v>
      </c>
      <c r="BC1190" s="55" t="s">
        <v>538</v>
      </c>
      <c r="BD1190" s="55"/>
      <c r="BE1190" s="56" t="s">
        <v>8722</v>
      </c>
      <c r="BF1190" s="56" t="s">
        <v>8722</v>
      </c>
      <c r="BG1190" s="56" t="s">
        <v>8722</v>
      </c>
      <c r="BH1190" s="56" t="s">
        <v>8722</v>
      </c>
      <c r="BI1190" s="103" t="s">
        <v>8722</v>
      </c>
      <c r="BJ1190" s="103" t="s">
        <v>8722</v>
      </c>
      <c r="BK1190" s="56"/>
      <c r="BL1190" s="153">
        <v>1084.6443672805524</v>
      </c>
      <c r="BM1190" s="55" t="s">
        <v>1640</v>
      </c>
      <c r="BN1190" s="56"/>
      <c r="BO1190" s="56"/>
      <c r="BP1190" s="56"/>
      <c r="BQ1190" s="56">
        <v>1.4999999999999971</v>
      </c>
      <c r="BR1190" s="56"/>
      <c r="BS1190" s="56"/>
      <c r="BT1190" s="56"/>
      <c r="BU1190" s="158"/>
      <c r="BV1190" s="56"/>
      <c r="BW1190" s="56"/>
      <c r="BX1190" s="56"/>
      <c r="BY1190" s="56"/>
      <c r="BZ1190" s="56"/>
      <c r="CA1190" s="56"/>
      <c r="CB1190" s="56"/>
      <c r="CC1190" s="56"/>
      <c r="CD1190" s="56"/>
      <c r="CE1190" s="56"/>
      <c r="CF1190" s="56"/>
      <c r="CG1190" s="56"/>
      <c r="CH1190" s="56"/>
      <c r="CI1190" s="103">
        <v>1.4999999999999971</v>
      </c>
      <c r="CJ1190" s="103">
        <f t="shared" si="260"/>
        <v>0.1760912590556804</v>
      </c>
      <c r="CK1190" s="57"/>
      <c r="CL1190" s="160">
        <f t="shared" si="261"/>
        <v>723.09624485370296</v>
      </c>
      <c r="CM1190" s="160"/>
      <c r="CN1190" s="160"/>
      <c r="CO1190" s="55"/>
      <c r="CP1190" s="497" t="s">
        <v>2277</v>
      </c>
      <c r="CQ1190" s="149" t="s">
        <v>272</v>
      </c>
      <c r="CR1190" s="349"/>
      <c r="CS1190" s="61" t="s">
        <v>539</v>
      </c>
      <c r="CT1190" s="61"/>
      <c r="CU1190" s="111">
        <f t="shared" si="262"/>
        <v>84666.666666666832</v>
      </c>
      <c r="CV1190" s="331"/>
      <c r="CW1190" s="326">
        <f t="shared" si="263"/>
        <v>1</v>
      </c>
      <c r="CX1190" s="326"/>
      <c r="CY1190" s="161" t="s">
        <v>6351</v>
      </c>
    </row>
    <row r="1191" spans="1:103" ht="11.25" customHeight="1" x14ac:dyDescent="0.2">
      <c r="A1191" s="72">
        <v>503</v>
      </c>
      <c r="B1191" s="149">
        <v>829</v>
      </c>
      <c r="C1191" s="54" t="s">
        <v>6790</v>
      </c>
      <c r="D1191" s="54"/>
      <c r="E1191" s="59"/>
      <c r="F1191" s="59" t="s">
        <v>2368</v>
      </c>
      <c r="G1191" s="151" t="s">
        <v>2369</v>
      </c>
      <c r="H1191" s="55" t="s">
        <v>2370</v>
      </c>
      <c r="I1191" s="55" t="s">
        <v>7914</v>
      </c>
      <c r="J1191" s="55" t="s">
        <v>2371</v>
      </c>
      <c r="K1191" s="55"/>
      <c r="L1191" s="55"/>
      <c r="M1191" s="55"/>
      <c r="N1191" s="60"/>
      <c r="O1191" s="55"/>
      <c r="P1191" s="67"/>
      <c r="Q1191" s="67"/>
      <c r="R1191" s="67"/>
      <c r="S1191" s="67"/>
      <c r="T1191" s="56">
        <v>122.17</v>
      </c>
      <c r="U1191" s="103">
        <v>1000000</v>
      </c>
      <c r="V1191" s="103">
        <v>24580</v>
      </c>
      <c r="W1191" s="103">
        <v>18921.892633253778</v>
      </c>
      <c r="X1191" s="103">
        <v>1000000</v>
      </c>
      <c r="Y1191" s="162">
        <v>10.87</v>
      </c>
      <c r="Z1191" s="56">
        <v>0.71</v>
      </c>
      <c r="AA1191" s="56"/>
      <c r="AB1191" s="56">
        <v>1.1499999999999999</v>
      </c>
      <c r="AC1191" s="56">
        <v>0.76180000000000003</v>
      </c>
      <c r="AD1191" s="56">
        <v>1</v>
      </c>
      <c r="AE1191" s="56">
        <v>0.73</v>
      </c>
      <c r="AF1191" s="56">
        <f t="shared" si="257"/>
        <v>1</v>
      </c>
      <c r="AG1191" s="57">
        <v>1.61</v>
      </c>
      <c r="AH1191" s="103">
        <v>2.5500000000000001E-9</v>
      </c>
      <c r="AI1191" s="103"/>
      <c r="AJ1191" s="62">
        <f t="shared" si="259"/>
        <v>-6.982026145878697</v>
      </c>
      <c r="AK1191" s="62"/>
      <c r="AL1191" s="62">
        <f t="shared" si="258"/>
        <v>-6.982026145878697</v>
      </c>
      <c r="AM1191" s="62">
        <v>-9.5158999999999985</v>
      </c>
      <c r="AN1191" s="154">
        <v>-9.9600000000000009</v>
      </c>
      <c r="AO1191" s="410"/>
      <c r="AP1191" s="410">
        <v>8.4499999999999993</v>
      </c>
      <c r="AQ1191" s="56" t="s">
        <v>5921</v>
      </c>
      <c r="AR1191" s="56" t="s">
        <v>5921</v>
      </c>
      <c r="AS1191" s="149" t="s">
        <v>63</v>
      </c>
      <c r="AT1191" s="58" t="s">
        <v>266</v>
      </c>
      <c r="AU1191" s="155"/>
      <c r="AV1191" s="56">
        <v>96</v>
      </c>
      <c r="AW1191" s="56">
        <v>96</v>
      </c>
      <c r="AX1191" s="56">
        <v>26</v>
      </c>
      <c r="AY1191" s="56" t="s">
        <v>8722</v>
      </c>
      <c r="AZ1191" s="56" t="s">
        <v>536</v>
      </c>
      <c r="BA1191" s="56">
        <v>20</v>
      </c>
      <c r="BB1191" s="55" t="s">
        <v>1764</v>
      </c>
      <c r="BC1191" s="55" t="s">
        <v>538</v>
      </c>
      <c r="BD1191" s="55"/>
      <c r="BE1191" s="56" t="s">
        <v>8722</v>
      </c>
      <c r="BF1191" s="56" t="s">
        <v>8722</v>
      </c>
      <c r="BG1191" s="56" t="s">
        <v>8722</v>
      </c>
      <c r="BH1191" s="56" t="s">
        <v>8722</v>
      </c>
      <c r="BI1191" s="103" t="s">
        <v>8722</v>
      </c>
      <c r="BJ1191" s="103" t="s">
        <v>8722</v>
      </c>
      <c r="BK1191" s="56"/>
      <c r="BL1191" s="153"/>
      <c r="BM1191" s="55" t="s">
        <v>1640</v>
      </c>
      <c r="BN1191" s="56"/>
      <c r="BO1191" s="56"/>
      <c r="BP1191" s="56"/>
      <c r="BQ1191" s="56">
        <v>7.1076400603666672</v>
      </c>
      <c r="BR1191" s="56"/>
      <c r="BS1191" s="56"/>
      <c r="BT1191" s="56"/>
      <c r="BU1191" s="158"/>
      <c r="BV1191" s="56"/>
      <c r="BW1191" s="56"/>
      <c r="BX1191" s="56"/>
      <c r="BY1191" s="56"/>
      <c r="BZ1191" s="56"/>
      <c r="CA1191" s="56"/>
      <c r="CB1191" s="56"/>
      <c r="CC1191" s="56"/>
      <c r="CD1191" s="56"/>
      <c r="CE1191" s="56"/>
      <c r="CF1191" s="56"/>
      <c r="CG1191" s="56"/>
      <c r="CH1191" s="56"/>
      <c r="CI1191" s="103">
        <v>7.1076400603666672</v>
      </c>
      <c r="CJ1191" s="103">
        <f t="shared" si="260"/>
        <v>0.85172542648348604</v>
      </c>
      <c r="CK1191" s="57"/>
      <c r="CL1191" s="160">
        <f t="shared" si="261"/>
        <v>0</v>
      </c>
      <c r="CM1191" s="160"/>
      <c r="CN1191" s="160"/>
      <c r="CO1191" s="55"/>
      <c r="CP1191" s="497" t="s">
        <v>2277</v>
      </c>
      <c r="CQ1191" s="149" t="s">
        <v>272</v>
      </c>
      <c r="CR1191" s="349"/>
      <c r="CS1191" s="61" t="s">
        <v>539</v>
      </c>
      <c r="CT1191" s="61"/>
      <c r="CU1191" s="111">
        <f t="shared" si="262"/>
        <v>140693.67490570594</v>
      </c>
      <c r="CV1191" s="331"/>
      <c r="CW1191" s="326">
        <f t="shared" si="263"/>
        <v>1</v>
      </c>
      <c r="CX1191" s="326"/>
      <c r="CY1191" s="161" t="s">
        <v>5921</v>
      </c>
    </row>
    <row r="1192" spans="1:103" ht="11.25" customHeight="1" x14ac:dyDescent="0.2">
      <c r="A1192" s="72">
        <v>506</v>
      </c>
      <c r="B1192" s="149">
        <v>814</v>
      </c>
      <c r="C1192" s="54" t="s">
        <v>6791</v>
      </c>
      <c r="D1192" s="54"/>
      <c r="E1192" s="59"/>
      <c r="F1192" s="59" t="s">
        <v>2314</v>
      </c>
      <c r="G1192" s="151">
        <v>613945</v>
      </c>
      <c r="H1192" s="55" t="s">
        <v>2315</v>
      </c>
      <c r="I1192" s="55" t="s">
        <v>2315</v>
      </c>
      <c r="J1192" s="55" t="s">
        <v>2316</v>
      </c>
      <c r="K1192" s="55" t="s">
        <v>483</v>
      </c>
      <c r="L1192" s="55"/>
      <c r="M1192" s="55"/>
      <c r="N1192" s="60"/>
      <c r="O1192" s="55"/>
      <c r="P1192" s="67"/>
      <c r="Q1192" s="67"/>
      <c r="R1192" s="67"/>
      <c r="S1192" s="67"/>
      <c r="T1192" s="56">
        <v>136.15</v>
      </c>
      <c r="U1192" s="103"/>
      <c r="V1192" s="103">
        <v>2928</v>
      </c>
      <c r="W1192" s="103">
        <v>16750.109314610574</v>
      </c>
      <c r="X1192" s="103">
        <v>16750.109314610574</v>
      </c>
      <c r="Y1192" s="162">
        <v>7.79</v>
      </c>
      <c r="Z1192" s="56">
        <v>0.37</v>
      </c>
      <c r="AA1192" s="56">
        <v>0.19</v>
      </c>
      <c r="AB1192" s="56">
        <v>0.19</v>
      </c>
      <c r="AC1192" s="56">
        <v>0.85329999999999995</v>
      </c>
      <c r="AD1192" s="56">
        <v>0.2</v>
      </c>
      <c r="AE1192" s="56">
        <v>0.25</v>
      </c>
      <c r="AF1192" s="56">
        <f t="shared" si="257"/>
        <v>0.19</v>
      </c>
      <c r="AG1192" s="57">
        <v>0.33</v>
      </c>
      <c r="AH1192" s="103">
        <v>9.2500000000000004E-12</v>
      </c>
      <c r="AI1192" s="103"/>
      <c r="AJ1192" s="62">
        <f t="shared" si="259"/>
        <v>-9.4224245935736199</v>
      </c>
      <c r="AK1192" s="62"/>
      <c r="AL1192" s="62">
        <f t="shared" si="258"/>
        <v>-9.4224245935736199</v>
      </c>
      <c r="AM1192" s="62">
        <v>-12.834619999999999</v>
      </c>
      <c r="AN1192" s="154">
        <v>-8.85</v>
      </c>
      <c r="AO1192" s="410">
        <v>12.65</v>
      </c>
      <c r="AP1192" s="410">
        <v>3.06</v>
      </c>
      <c r="AQ1192" s="154" t="s">
        <v>6311</v>
      </c>
      <c r="AR1192" s="154" t="s">
        <v>6311</v>
      </c>
      <c r="AS1192" s="149" t="s">
        <v>6</v>
      </c>
      <c r="AT1192" s="58" t="s">
        <v>266</v>
      </c>
      <c r="AU1192" s="155"/>
      <c r="AV1192" s="56">
        <v>96</v>
      </c>
      <c r="AW1192" s="56">
        <v>96</v>
      </c>
      <c r="AX1192" s="56">
        <v>26</v>
      </c>
      <c r="AY1192" s="56" t="s">
        <v>8722</v>
      </c>
      <c r="AZ1192" s="56" t="s">
        <v>536</v>
      </c>
      <c r="BA1192" s="56">
        <v>20</v>
      </c>
      <c r="BB1192" s="55" t="s">
        <v>1764</v>
      </c>
      <c r="BC1192" s="55" t="s">
        <v>538</v>
      </c>
      <c r="BD1192" s="55"/>
      <c r="BE1192" s="56" t="s">
        <v>8722</v>
      </c>
      <c r="BF1192" s="56" t="s">
        <v>8722</v>
      </c>
      <c r="BG1192" s="56" t="s">
        <v>8722</v>
      </c>
      <c r="BH1192" s="56" t="s">
        <v>8722</v>
      </c>
      <c r="BI1192" s="103" t="s">
        <v>8722</v>
      </c>
      <c r="BJ1192" s="103" t="s">
        <v>8722</v>
      </c>
      <c r="BK1192" s="56"/>
      <c r="BL1192" s="153">
        <v>3254.7725580663828</v>
      </c>
      <c r="BM1192" s="55" t="s">
        <v>1640</v>
      </c>
      <c r="BN1192" s="56"/>
      <c r="BO1192" s="56"/>
      <c r="BP1192" s="56"/>
      <c r="BQ1192" s="56">
        <v>70.336666662383351</v>
      </c>
      <c r="BR1192" s="56"/>
      <c r="BS1192" s="56"/>
      <c r="BT1192" s="56"/>
      <c r="BU1192" s="158"/>
      <c r="BV1192" s="56"/>
      <c r="BW1192" s="56"/>
      <c r="BX1192" s="56"/>
      <c r="BY1192" s="56"/>
      <c r="BZ1192" s="56"/>
      <c r="CA1192" s="56"/>
      <c r="CB1192" s="56"/>
      <c r="CC1192" s="56"/>
      <c r="CD1192" s="56"/>
      <c r="CE1192" s="56"/>
      <c r="CF1192" s="56"/>
      <c r="CG1192" s="56"/>
      <c r="CH1192" s="56"/>
      <c r="CI1192" s="103">
        <v>70.336666662383351</v>
      </c>
      <c r="CJ1192" s="103">
        <f t="shared" si="260"/>
        <v>1.8471817827407246</v>
      </c>
      <c r="CK1192" s="57"/>
      <c r="CL1192" s="160">
        <f t="shared" si="261"/>
        <v>46.274193994567881</v>
      </c>
      <c r="CM1192" s="160"/>
      <c r="CN1192" s="160"/>
      <c r="CO1192" s="55"/>
      <c r="CP1192" s="497" t="s">
        <v>2277</v>
      </c>
      <c r="CQ1192" s="149" t="s">
        <v>272</v>
      </c>
      <c r="CR1192" s="349"/>
      <c r="CS1192" s="61" t="s">
        <v>539</v>
      </c>
      <c r="CT1192" s="61"/>
      <c r="CU1192" s="111">
        <f t="shared" si="262"/>
        <v>238.14192667120909</v>
      </c>
      <c r="CV1192" s="331"/>
      <c r="CW1192" s="326">
        <f t="shared" si="263"/>
        <v>1</v>
      </c>
      <c r="CX1192" s="326"/>
      <c r="CY1192" s="161" t="s">
        <v>5921</v>
      </c>
    </row>
    <row r="1193" spans="1:103" ht="11.25" customHeight="1" x14ac:dyDescent="0.2">
      <c r="A1193" s="72">
        <v>75</v>
      </c>
      <c r="B1193" s="149">
        <v>508</v>
      </c>
      <c r="C1193" s="54" t="s">
        <v>1635</v>
      </c>
      <c r="D1193" s="54" t="s">
        <v>6463</v>
      </c>
      <c r="E1193" s="59"/>
      <c r="F1193" s="59" t="s">
        <v>1636</v>
      </c>
      <c r="G1193" s="151">
        <v>106489</v>
      </c>
      <c r="H1193" s="55" t="s">
        <v>1637</v>
      </c>
      <c r="I1193" s="55" t="s">
        <v>8214</v>
      </c>
      <c r="J1193" s="55" t="s">
        <v>1638</v>
      </c>
      <c r="K1193" s="55" t="s">
        <v>349</v>
      </c>
      <c r="L1193" s="55" t="s">
        <v>5527</v>
      </c>
      <c r="M1193" s="55" t="s">
        <v>497</v>
      </c>
      <c r="N1193" s="60" t="s">
        <v>6381</v>
      </c>
      <c r="O1193" s="55" t="s">
        <v>498</v>
      </c>
      <c r="P1193" s="67" t="s">
        <v>6184</v>
      </c>
      <c r="Q1193" s="67" t="s">
        <v>6182</v>
      </c>
      <c r="R1193" s="67" t="s">
        <v>6185</v>
      </c>
      <c r="S1193" s="67" t="s">
        <v>6176</v>
      </c>
      <c r="T1193" s="56">
        <v>128.56</v>
      </c>
      <c r="U1193" s="103">
        <v>24000</v>
      </c>
      <c r="V1193" s="103">
        <v>3222</v>
      </c>
      <c r="W1193" s="103">
        <v>2084.999061164639</v>
      </c>
      <c r="X1193" s="103">
        <v>24000</v>
      </c>
      <c r="Y1193" s="162">
        <v>5.63</v>
      </c>
      <c r="Z1193" s="56">
        <v>2.16</v>
      </c>
      <c r="AA1193" s="56">
        <v>2.39</v>
      </c>
      <c r="AB1193" s="56">
        <v>2.5099999999999998</v>
      </c>
      <c r="AC1193" s="56">
        <v>0.89249999999999996</v>
      </c>
      <c r="AD1193" s="56">
        <v>2.4900000000000002</v>
      </c>
      <c r="AE1193" s="56">
        <v>2.4300000000000002</v>
      </c>
      <c r="AF1193" s="56">
        <f t="shared" si="257"/>
        <v>2.39</v>
      </c>
      <c r="AG1193" s="57">
        <v>2.15</v>
      </c>
      <c r="AH1193" s="103">
        <v>4.15E-7</v>
      </c>
      <c r="AI1193" s="103">
        <v>6.2699999999999999E-7</v>
      </c>
      <c r="AJ1193" s="62">
        <f t="shared" si="259"/>
        <v>-4.770518229600559</v>
      </c>
      <c r="AK1193" s="62">
        <f>LOG10(AI1193*1000/(0.08206*298.15))</f>
        <v>-4.5912987854819356</v>
      </c>
      <c r="AL1193" s="62">
        <f t="shared" si="258"/>
        <v>-4.5912987854819356</v>
      </c>
      <c r="AM1193" s="62">
        <v>-7.63727</v>
      </c>
      <c r="AN1193" s="154">
        <v>-4.8600000000000003</v>
      </c>
      <c r="AO1193" s="410">
        <v>9.4700000000000006</v>
      </c>
      <c r="AP1193" s="410"/>
      <c r="AQ1193" s="154" t="s">
        <v>6311</v>
      </c>
      <c r="AR1193" s="154" t="s">
        <v>6311</v>
      </c>
      <c r="AS1193" s="149" t="s">
        <v>6</v>
      </c>
      <c r="AT1193" s="58" t="s">
        <v>266</v>
      </c>
      <c r="AU1193" s="56">
        <v>2</v>
      </c>
      <c r="AV1193" s="56">
        <v>96</v>
      </c>
      <c r="AW1193" s="56">
        <v>96</v>
      </c>
      <c r="AX1193" s="56" t="s">
        <v>8722</v>
      </c>
      <c r="AY1193" s="56" t="s">
        <v>8722</v>
      </c>
      <c r="AZ1193" s="56" t="s">
        <v>8722</v>
      </c>
      <c r="BA1193" s="56" t="s">
        <v>8722</v>
      </c>
      <c r="BB1193" s="55" t="s">
        <v>8722</v>
      </c>
      <c r="BC1193" s="55" t="s">
        <v>8722</v>
      </c>
      <c r="BD1193" s="55"/>
      <c r="BE1193" s="56" t="s">
        <v>8722</v>
      </c>
      <c r="BF1193" s="56" t="s">
        <v>8722</v>
      </c>
      <c r="BG1193" s="56" t="s">
        <v>8722</v>
      </c>
      <c r="BH1193" s="56" t="s">
        <v>8722</v>
      </c>
      <c r="BI1193" s="103" t="s">
        <v>8722</v>
      </c>
      <c r="BJ1193" s="103" t="s">
        <v>8722</v>
      </c>
      <c r="BK1193" s="56"/>
      <c r="BL1193" s="153">
        <v>75.859480414180325</v>
      </c>
      <c r="BM1193" s="55" t="s">
        <v>1640</v>
      </c>
      <c r="BN1193" s="56"/>
      <c r="BO1193" s="56">
        <v>42.8</v>
      </c>
      <c r="BP1193" s="56">
        <v>40.1</v>
      </c>
      <c r="BQ1193" s="56">
        <v>34.6</v>
      </c>
      <c r="BR1193" s="56"/>
      <c r="BS1193" s="56"/>
      <c r="BT1193" s="56"/>
      <c r="BU1193" s="158"/>
      <c r="BV1193" s="56"/>
      <c r="BW1193" s="56"/>
      <c r="BX1193" s="56"/>
      <c r="BY1193" s="56"/>
      <c r="BZ1193" s="56"/>
      <c r="CA1193" s="56"/>
      <c r="CB1193" s="56"/>
      <c r="CC1193" s="56"/>
      <c r="CD1193" s="56"/>
      <c r="CE1193" s="56"/>
      <c r="CF1193" s="56"/>
      <c r="CG1193" s="56"/>
      <c r="CH1193" s="56"/>
      <c r="CI1193" s="103">
        <v>34.6</v>
      </c>
      <c r="CJ1193" s="103">
        <f t="shared" si="260"/>
        <v>1.5390760987927767</v>
      </c>
      <c r="CK1193" s="57"/>
      <c r="CL1193" s="160">
        <f t="shared" si="261"/>
        <v>2.1924705322017433</v>
      </c>
      <c r="CM1193" s="160">
        <v>0.27971818245026747</v>
      </c>
      <c r="CN1193" s="160"/>
      <c r="CO1193" s="55" t="s">
        <v>1641</v>
      </c>
      <c r="CP1193" s="497" t="s">
        <v>1642</v>
      </c>
      <c r="CQ1193" s="149">
        <v>0.54533072722344478</v>
      </c>
      <c r="CR1193" s="349">
        <f>10^(CJ1193-CQ1193)</f>
        <v>9.8570139587448509</v>
      </c>
      <c r="CS1193" s="61" t="s">
        <v>539</v>
      </c>
      <c r="CT1193" s="61"/>
      <c r="CU1193" s="111">
        <f t="shared" si="262"/>
        <v>693.64161849710979</v>
      </c>
      <c r="CV1193" s="331"/>
      <c r="CW1193" s="326">
        <f t="shared" si="263"/>
        <v>1</v>
      </c>
      <c r="CX1193" s="326"/>
      <c r="CY1193" s="161" t="s">
        <v>6351</v>
      </c>
    </row>
    <row r="1194" spans="1:103" ht="11.25" customHeight="1" x14ac:dyDescent="0.2">
      <c r="A1194" s="72">
        <v>403</v>
      </c>
      <c r="B1194" s="149">
        <v>575</v>
      </c>
      <c r="C1194" s="54" t="s">
        <v>1756</v>
      </c>
      <c r="D1194" s="54" t="s">
        <v>6712</v>
      </c>
      <c r="E1194" s="59"/>
      <c r="F1194" s="59" t="s">
        <v>1757</v>
      </c>
      <c r="G1194" s="151">
        <v>87865</v>
      </c>
      <c r="H1194" s="55" t="s">
        <v>1758</v>
      </c>
      <c r="I1194" s="55" t="s">
        <v>7866</v>
      </c>
      <c r="J1194" s="55" t="s">
        <v>1759</v>
      </c>
      <c r="K1194" s="55" t="s">
        <v>349</v>
      </c>
      <c r="L1194" s="55" t="s">
        <v>6134</v>
      </c>
      <c r="M1194" s="55" t="s">
        <v>497</v>
      </c>
      <c r="N1194" s="60" t="s">
        <v>6381</v>
      </c>
      <c r="O1194" s="55" t="s">
        <v>6086</v>
      </c>
      <c r="P1194" s="67"/>
      <c r="Q1194" s="67" t="s">
        <v>6173</v>
      </c>
      <c r="R1194" s="67" t="s">
        <v>6180</v>
      </c>
      <c r="S1194" s="67" t="s">
        <v>6176</v>
      </c>
      <c r="T1194" s="56">
        <v>266.33999999999997</v>
      </c>
      <c r="U1194" s="103">
        <v>14</v>
      </c>
      <c r="V1194" s="103">
        <v>3.09</v>
      </c>
      <c r="W1194" s="103">
        <v>10.125964381601822</v>
      </c>
      <c r="X1194" s="103">
        <v>14</v>
      </c>
      <c r="Y1194" s="162">
        <v>4.71</v>
      </c>
      <c r="Z1194" s="56">
        <v>4.74</v>
      </c>
      <c r="AA1194" s="56">
        <v>5.12</v>
      </c>
      <c r="AB1194" s="56">
        <v>5.1100000000000003</v>
      </c>
      <c r="AC1194" s="56">
        <v>0.88800000000000001</v>
      </c>
      <c r="AD1194" s="56">
        <v>5.04</v>
      </c>
      <c r="AE1194" s="56">
        <v>4.78</v>
      </c>
      <c r="AF1194" s="56">
        <f t="shared" si="257"/>
        <v>5.12</v>
      </c>
      <c r="AG1194" s="57">
        <v>4.8499999999999996</v>
      </c>
      <c r="AH1194" s="103">
        <v>1.2499999999999999E-7</v>
      </c>
      <c r="AI1194" s="103">
        <v>2.4500000000000001E-8</v>
      </c>
      <c r="AJ1194" s="62">
        <f t="shared" si="259"/>
        <v>-5.2916563133045953</v>
      </c>
      <c r="AK1194" s="62">
        <f>LOG10(AI1194*1000/(0.08206*298.15))</f>
        <v>-5.9994002419481189</v>
      </c>
      <c r="AL1194" s="62">
        <f t="shared" si="258"/>
        <v>-5.9994002419481189</v>
      </c>
      <c r="AM1194" s="62">
        <v>-7.034559999999999</v>
      </c>
      <c r="AN1194" s="154">
        <v>-3.97</v>
      </c>
      <c r="AO1194" s="410">
        <v>4.68</v>
      </c>
      <c r="AP1194" s="410"/>
      <c r="AQ1194" s="154" t="s">
        <v>6311</v>
      </c>
      <c r="AR1194" s="154" t="s">
        <v>6311</v>
      </c>
      <c r="AS1194" s="149" t="s">
        <v>6</v>
      </c>
      <c r="AT1194" s="58" t="s">
        <v>266</v>
      </c>
      <c r="AU1194" s="56">
        <v>2</v>
      </c>
      <c r="AV1194" s="56">
        <v>96</v>
      </c>
      <c r="AW1194" s="56">
        <v>96</v>
      </c>
      <c r="AX1194" s="56" t="s">
        <v>8722</v>
      </c>
      <c r="AY1194" s="56" t="s">
        <v>8722</v>
      </c>
      <c r="AZ1194" s="56" t="s">
        <v>8722</v>
      </c>
      <c r="BA1194" s="56" t="s">
        <v>8722</v>
      </c>
      <c r="BB1194" s="55" t="s">
        <v>8722</v>
      </c>
      <c r="BC1194" s="55" t="s">
        <v>8722</v>
      </c>
      <c r="BD1194" s="55"/>
      <c r="BE1194" s="56" t="s">
        <v>8722</v>
      </c>
      <c r="BF1194" s="56" t="s">
        <v>8722</v>
      </c>
      <c r="BG1194" s="56" t="s">
        <v>8722</v>
      </c>
      <c r="BH1194" s="56" t="s">
        <v>8722</v>
      </c>
      <c r="BI1194" s="103" t="s">
        <v>8722</v>
      </c>
      <c r="BJ1194" s="103" t="s">
        <v>8722</v>
      </c>
      <c r="BK1194" s="56"/>
      <c r="BL1194" s="153">
        <v>0.75725542865225259</v>
      </c>
      <c r="BM1194" s="55" t="s">
        <v>1640</v>
      </c>
      <c r="BN1194" s="56"/>
      <c r="BO1194" s="56">
        <v>1</v>
      </c>
      <c r="BP1194" s="56">
        <v>0.65</v>
      </c>
      <c r="BQ1194" s="56">
        <v>0.56999999999999995</v>
      </c>
      <c r="BR1194" s="56"/>
      <c r="BS1194" s="56"/>
      <c r="BT1194" s="56"/>
      <c r="BU1194" s="158"/>
      <c r="BV1194" s="56"/>
      <c r="BW1194" s="56"/>
      <c r="BX1194" s="56"/>
      <c r="BY1194" s="56"/>
      <c r="BZ1194" s="56"/>
      <c r="CA1194" s="56"/>
      <c r="CB1194" s="56"/>
      <c r="CC1194" s="56"/>
      <c r="CD1194" s="56"/>
      <c r="CE1194" s="56"/>
      <c r="CF1194" s="56"/>
      <c r="CG1194" s="56"/>
      <c r="CH1194" s="56"/>
      <c r="CI1194" s="103">
        <v>0.56999999999999995</v>
      </c>
      <c r="CJ1194" s="103">
        <f t="shared" si="260"/>
        <v>-0.24412514432750865</v>
      </c>
      <c r="CK1194" s="57"/>
      <c r="CL1194" s="160">
        <f t="shared" si="261"/>
        <v>1.328518295881145</v>
      </c>
      <c r="CM1194" s="160">
        <v>-0.85054537395088958</v>
      </c>
      <c r="CN1194" s="160"/>
      <c r="CO1194" s="55" t="s">
        <v>1641</v>
      </c>
      <c r="CP1194" s="497" t="s">
        <v>1642</v>
      </c>
      <c r="CQ1194" s="149">
        <v>-0.72193980992494822</v>
      </c>
      <c r="CR1194" s="349">
        <f>10^(CJ1194-CQ1194)</f>
        <v>3.0047937385645977</v>
      </c>
      <c r="CS1194" s="61" t="s">
        <v>539</v>
      </c>
      <c r="CT1194" s="61"/>
      <c r="CU1194" s="111">
        <f t="shared" si="262"/>
        <v>24.561403508771932</v>
      </c>
      <c r="CV1194" s="331"/>
      <c r="CW1194" s="326">
        <f t="shared" si="263"/>
        <v>1</v>
      </c>
      <c r="CX1194" s="326"/>
      <c r="CY1194" s="161" t="s">
        <v>5921</v>
      </c>
    </row>
    <row r="1195" spans="1:103" ht="11.25" customHeight="1" x14ac:dyDescent="0.2">
      <c r="A1195" s="72">
        <v>1948</v>
      </c>
      <c r="B1195" s="241">
        <v>701</v>
      </c>
      <c r="C1195" s="32" t="s">
        <v>2002</v>
      </c>
      <c r="D1195" s="32"/>
      <c r="E1195" s="40"/>
      <c r="F1195" s="40" t="s">
        <v>2003</v>
      </c>
      <c r="G1195" s="242">
        <v>101043372</v>
      </c>
      <c r="H1195" s="36" t="s">
        <v>2004</v>
      </c>
      <c r="I1195" s="36" t="s">
        <v>8273</v>
      </c>
      <c r="J1195" s="36" t="s">
        <v>2005</v>
      </c>
      <c r="K1195" s="36" t="s">
        <v>2006</v>
      </c>
      <c r="L1195" s="36"/>
      <c r="M1195" s="36"/>
      <c r="N1195" s="36"/>
      <c r="O1195" s="36"/>
      <c r="P1195" s="41"/>
      <c r="Q1195" s="41"/>
      <c r="R1195" s="41"/>
      <c r="S1195" s="41"/>
      <c r="T1195" s="37">
        <v>995.17</v>
      </c>
      <c r="U1195" s="243"/>
      <c r="V1195" s="243">
        <v>0.1045</v>
      </c>
      <c r="W1195" s="243">
        <v>16900.411356203527</v>
      </c>
      <c r="X1195" s="243">
        <v>16900.411356203527</v>
      </c>
      <c r="Y1195" s="414">
        <v>3.24</v>
      </c>
      <c r="Z1195" s="37">
        <v>0.62</v>
      </c>
      <c r="AA1195" s="37"/>
      <c r="AB1195" s="37">
        <v>-0.62</v>
      </c>
      <c r="AC1195" s="37">
        <v>0.28079999999999999</v>
      </c>
      <c r="AD1195" s="37">
        <v>-1.21</v>
      </c>
      <c r="AE1195" s="37">
        <v>-1.54</v>
      </c>
      <c r="AF1195" s="37">
        <f t="shared" si="257"/>
        <v>-1.21</v>
      </c>
      <c r="AG1195" s="38">
        <v>3.85</v>
      </c>
      <c r="AH1195" s="243"/>
      <c r="AI1195" s="243"/>
      <c r="AJ1195" s="34"/>
      <c r="AK1195" s="34"/>
      <c r="AL1195" s="34"/>
      <c r="AM1195" s="34">
        <v>-77.495259999999988</v>
      </c>
      <c r="AN1195" s="244">
        <v>-9.07</v>
      </c>
      <c r="AO1195" s="417">
        <v>3.03</v>
      </c>
      <c r="AP1195" s="417">
        <v>13.35</v>
      </c>
      <c r="AQ1195" s="244" t="s">
        <v>6311</v>
      </c>
      <c r="AR1195" s="244" t="s">
        <v>6311</v>
      </c>
      <c r="AS1195" s="241" t="s">
        <v>2007</v>
      </c>
      <c r="AT1195" s="39" t="s">
        <v>266</v>
      </c>
      <c r="AU1195" s="37">
        <v>2</v>
      </c>
      <c r="AV1195" s="37">
        <v>48</v>
      </c>
      <c r="AW1195" s="37">
        <v>48</v>
      </c>
      <c r="AX1195" s="37">
        <v>26</v>
      </c>
      <c r="AY1195" s="37" t="s">
        <v>8722</v>
      </c>
      <c r="AZ1195" s="37" t="s">
        <v>2008</v>
      </c>
      <c r="BA1195" s="37">
        <v>10</v>
      </c>
      <c r="BB1195" s="36" t="s">
        <v>8722</v>
      </c>
      <c r="BC1195" s="36" t="s">
        <v>538</v>
      </c>
      <c r="BD1195" s="36"/>
      <c r="BE1195" s="37" t="s">
        <v>271</v>
      </c>
      <c r="BF1195" s="37" t="s">
        <v>272</v>
      </c>
      <c r="BG1195" s="37" t="s">
        <v>272</v>
      </c>
      <c r="BH1195" s="37" t="s">
        <v>272</v>
      </c>
      <c r="BI1195" s="250">
        <v>15.92272</v>
      </c>
      <c r="BJ1195" s="250">
        <v>1019.05408</v>
      </c>
      <c r="BK1195" s="37"/>
      <c r="BL1195" s="263">
        <v>14186.500427311543</v>
      </c>
      <c r="BM1195" s="37" t="s">
        <v>1584</v>
      </c>
      <c r="BN1195" s="37"/>
      <c r="BO1195" s="37">
        <v>271.68141000000003</v>
      </c>
      <c r="BP1195" s="37"/>
      <c r="BQ1195" s="37"/>
      <c r="BR1195" s="37"/>
      <c r="BS1195" s="37"/>
      <c r="BT1195" s="37"/>
      <c r="BU1195" s="246"/>
      <c r="BV1195" s="37"/>
      <c r="BW1195" s="37"/>
      <c r="BX1195" s="37"/>
      <c r="BY1195" s="37"/>
      <c r="BZ1195" s="37"/>
      <c r="CA1195" s="37"/>
      <c r="CB1195" s="37"/>
      <c r="CC1195" s="37"/>
      <c r="CD1195" s="37"/>
      <c r="CE1195" s="37"/>
      <c r="CF1195" s="37"/>
      <c r="CG1195" s="37"/>
      <c r="CH1195" s="37"/>
      <c r="CI1195" s="243">
        <v>271.68141000000003</v>
      </c>
      <c r="CJ1195" s="243">
        <f t="shared" si="260"/>
        <v>2.4340599225156785</v>
      </c>
      <c r="CK1195" s="38">
        <f>BL1195/BJ1195</f>
        <v>13.921243931736717</v>
      </c>
      <c r="CL1195" s="247">
        <f t="shared" si="261"/>
        <v>52.217413135891562</v>
      </c>
      <c r="CM1195" s="247"/>
      <c r="CN1195" s="247"/>
      <c r="CO1195" s="36"/>
      <c r="CP1195" s="496" t="s">
        <v>2009</v>
      </c>
      <c r="CQ1195" s="241" t="s">
        <v>272</v>
      </c>
      <c r="CR1195" s="241"/>
      <c r="CS1195" s="33"/>
      <c r="CT1195" s="33"/>
      <c r="CU1195" s="250">
        <f t="shared" si="262"/>
        <v>62.206727196400834</v>
      </c>
      <c r="CV1195" s="337">
        <f>X1195/BJ1195</f>
        <v>16.58441066857171</v>
      </c>
      <c r="CW1195" s="330">
        <f t="shared" si="263"/>
        <v>1</v>
      </c>
      <c r="CX1195" s="330"/>
      <c r="CY1195" s="143" t="s">
        <v>5921</v>
      </c>
    </row>
    <row r="1196" spans="1:103" ht="11.25" customHeight="1" x14ac:dyDescent="0.2">
      <c r="A1196" s="72">
        <v>2030</v>
      </c>
      <c r="B1196" s="282">
        <v>2009</v>
      </c>
      <c r="C1196" s="115" t="s">
        <v>5572</v>
      </c>
      <c r="D1196" s="115"/>
      <c r="E1196" s="116">
        <v>1</v>
      </c>
      <c r="F1196" s="122" t="s">
        <v>5573</v>
      </c>
      <c r="G1196" s="283">
        <v>10025691</v>
      </c>
      <c r="H1196" s="286" t="s">
        <v>5574</v>
      </c>
      <c r="I1196" s="286"/>
      <c r="J1196" s="286" t="s">
        <v>5575</v>
      </c>
      <c r="K1196" s="286" t="s">
        <v>403</v>
      </c>
      <c r="L1196" s="286"/>
      <c r="M1196" s="286"/>
      <c r="N1196" s="350"/>
      <c r="O1196" s="286"/>
      <c r="P1196" s="286"/>
      <c r="Q1196" s="286"/>
      <c r="R1196" s="286"/>
      <c r="S1196" s="286"/>
      <c r="T1196" s="123">
        <v>225.63</v>
      </c>
      <c r="U1196" s="300"/>
      <c r="V1196" s="300"/>
      <c r="W1196" s="300"/>
      <c r="X1196" s="300"/>
      <c r="Y1196" s="419"/>
      <c r="Z1196" s="125"/>
      <c r="AA1196" s="125"/>
      <c r="AB1196" s="116"/>
      <c r="AC1196" s="116"/>
      <c r="AD1196" s="116"/>
      <c r="AE1196" s="116"/>
      <c r="AF1196" s="116"/>
      <c r="AG1196" s="125" t="s">
        <v>5921</v>
      </c>
      <c r="AH1196" s="300"/>
      <c r="AI1196" s="300"/>
      <c r="AJ1196" s="125"/>
      <c r="AK1196" s="125"/>
      <c r="AL1196" s="125"/>
      <c r="AM1196" s="125"/>
      <c r="AN1196" s="301"/>
      <c r="AO1196" s="420"/>
      <c r="AP1196" s="420"/>
      <c r="AQ1196" s="301" t="s">
        <v>6311</v>
      </c>
      <c r="AR1196" s="301" t="s">
        <v>6311</v>
      </c>
      <c r="AS1196" s="298" t="s">
        <v>5466</v>
      </c>
      <c r="AT1196" s="124" t="s">
        <v>266</v>
      </c>
      <c r="AU1196" s="123">
        <v>6</v>
      </c>
      <c r="AV1196" s="119" t="s">
        <v>646</v>
      </c>
      <c r="AW1196" s="119" t="s">
        <v>646</v>
      </c>
      <c r="AX1196" s="123">
        <v>26</v>
      </c>
      <c r="AY1196" s="123" t="s">
        <v>267</v>
      </c>
      <c r="AZ1196" s="123" t="s">
        <v>6201</v>
      </c>
      <c r="BA1196" s="123">
        <v>16</v>
      </c>
      <c r="BB1196" s="286" t="s">
        <v>6202</v>
      </c>
      <c r="BC1196" s="286" t="s">
        <v>8393</v>
      </c>
      <c r="BD1196" s="286"/>
      <c r="BE1196" s="123" t="s">
        <v>6210</v>
      </c>
      <c r="BF1196" s="123" t="s">
        <v>6203</v>
      </c>
      <c r="BG1196" s="123" t="s">
        <v>6203</v>
      </c>
      <c r="BH1196" s="123" t="s">
        <v>6204</v>
      </c>
      <c r="BI1196" s="300">
        <v>2.2563</v>
      </c>
      <c r="BJ1196" s="300">
        <v>56.407499999999999</v>
      </c>
      <c r="BK1196" s="306"/>
      <c r="BL1196" s="287"/>
      <c r="BM1196" s="123">
        <v>0</v>
      </c>
      <c r="BN1196" s="123">
        <v>11.281500000000001</v>
      </c>
      <c r="BO1196" s="123"/>
      <c r="BP1196" s="123">
        <v>6.9042779999999997</v>
      </c>
      <c r="BQ1196" s="123"/>
      <c r="BR1196" s="123">
        <v>5.1443640000000004</v>
      </c>
      <c r="BS1196" s="123"/>
      <c r="BT1196" s="123"/>
      <c r="BU1196" s="293"/>
      <c r="BV1196" s="123"/>
      <c r="BW1196" s="123"/>
      <c r="BX1196" s="123"/>
      <c r="BY1196" s="123"/>
      <c r="BZ1196" s="123"/>
      <c r="CA1196" s="123"/>
      <c r="CB1196" s="123"/>
      <c r="CC1196" s="123"/>
      <c r="CD1196" s="123"/>
      <c r="CE1196" s="123"/>
      <c r="CF1196" s="123"/>
      <c r="CG1196" s="123"/>
      <c r="CH1196" s="123"/>
      <c r="CI1196" s="300">
        <v>5.1443640000000004</v>
      </c>
      <c r="CJ1196" s="292">
        <f t="shared" si="260"/>
        <v>0.71133169039799526</v>
      </c>
      <c r="CK1196" s="120" t="s">
        <v>404</v>
      </c>
      <c r="CL1196" s="294"/>
      <c r="CM1196" s="294"/>
      <c r="CN1196" s="294">
        <f>BJ1196/(10^CM1196)</f>
        <v>56.407499999999999</v>
      </c>
      <c r="CO1196" s="286" t="s">
        <v>6205</v>
      </c>
      <c r="CP1196" s="295" t="s">
        <v>8391</v>
      </c>
      <c r="CQ1196" s="282"/>
      <c r="CR1196" s="352">
        <f>10^(CJ1196-CQ1196)</f>
        <v>5.1443640000000022</v>
      </c>
      <c r="CS1196" s="123" t="s">
        <v>539</v>
      </c>
      <c r="CT1196" s="123"/>
      <c r="CU1196" s="300" t="s">
        <v>6310</v>
      </c>
      <c r="CV1196" s="338" t="s">
        <v>6310</v>
      </c>
      <c r="CW1196" s="339">
        <f t="shared" si="263"/>
        <v>1</v>
      </c>
      <c r="CX1196" s="339" t="s">
        <v>539</v>
      </c>
      <c r="CY1196" s="295" t="s">
        <v>5921</v>
      </c>
    </row>
    <row r="1197" spans="1:103" ht="11.25" customHeight="1" x14ac:dyDescent="0.2">
      <c r="A1197" s="72">
        <v>1644</v>
      </c>
      <c r="B1197" s="241">
        <v>742</v>
      </c>
      <c r="C1197" s="32" t="s">
        <v>6989</v>
      </c>
      <c r="D1197" s="32" t="s">
        <v>8556</v>
      </c>
      <c r="E1197" s="40"/>
      <c r="F1197" s="40" t="s">
        <v>2105</v>
      </c>
      <c r="G1197" s="242">
        <v>62737</v>
      </c>
      <c r="H1197" s="36" t="s">
        <v>2106</v>
      </c>
      <c r="I1197" s="36" t="s">
        <v>7989</v>
      </c>
      <c r="J1197" s="36" t="s">
        <v>2107</v>
      </c>
      <c r="K1197" s="36" t="s">
        <v>2108</v>
      </c>
      <c r="L1197" s="36" t="s">
        <v>617</v>
      </c>
      <c r="M1197" s="36" t="s">
        <v>946</v>
      </c>
      <c r="N1197" s="36" t="s">
        <v>6376</v>
      </c>
      <c r="O1197" s="36" t="s">
        <v>918</v>
      </c>
      <c r="P1197" s="41"/>
      <c r="Q1197" s="41"/>
      <c r="R1197" s="41"/>
      <c r="S1197" s="41"/>
      <c r="T1197" s="37">
        <v>220.98</v>
      </c>
      <c r="U1197" s="243">
        <v>8000</v>
      </c>
      <c r="V1197" s="243">
        <v>2043.9999999999998</v>
      </c>
      <c r="W1197" s="243">
        <v>55507.666363498698</v>
      </c>
      <c r="X1197" s="243">
        <v>8000</v>
      </c>
      <c r="Y1197" s="414">
        <v>7</v>
      </c>
      <c r="Z1197" s="37">
        <v>0.6</v>
      </c>
      <c r="AA1197" s="37">
        <v>1.43</v>
      </c>
      <c r="AB1197" s="37">
        <v>1.56</v>
      </c>
      <c r="AC1197" s="37">
        <v>0.76459999999999995</v>
      </c>
      <c r="AD1197" s="37">
        <v>1.28</v>
      </c>
      <c r="AE1197" s="37">
        <v>0.71</v>
      </c>
      <c r="AF1197" s="37">
        <f>IF(AA1197=0,AD1197,AA1197)</f>
        <v>1.43</v>
      </c>
      <c r="AG1197" s="38">
        <v>1.06</v>
      </c>
      <c r="AH1197" s="243">
        <v>8.5799999999999998E-7</v>
      </c>
      <c r="AI1197" s="243">
        <v>5.7400000000000003E-7</v>
      </c>
      <c r="AJ1197" s="34">
        <f>LOG10(AH1197*1000/(0.08206*298.15))</f>
        <v>-4.4550790384639463</v>
      </c>
      <c r="AK1197" s="34">
        <f>LOG10(AI1197*1000/(0.08206*298.15))</f>
        <v>-4.6296544339146779</v>
      </c>
      <c r="AL1197" s="34">
        <f>IF(AK1197=0,AJ1197,AK1197)</f>
        <v>-4.6296544339146779</v>
      </c>
      <c r="AM1197" s="34">
        <v>-9.5230700000000006</v>
      </c>
      <c r="AN1197" s="244">
        <v>-4.45</v>
      </c>
      <c r="AO1197" s="417"/>
      <c r="AP1197" s="417"/>
      <c r="AQ1197" s="244" t="s">
        <v>6315</v>
      </c>
      <c r="AR1197" s="244" t="s">
        <v>6315</v>
      </c>
      <c r="AS1197" s="241" t="s">
        <v>6</v>
      </c>
      <c r="AT1197" s="39" t="s">
        <v>266</v>
      </c>
      <c r="AU1197" s="37">
        <v>2</v>
      </c>
      <c r="AV1197" s="37">
        <v>24</v>
      </c>
      <c r="AW1197" s="37">
        <v>24</v>
      </c>
      <c r="AX1197" s="37">
        <v>26</v>
      </c>
      <c r="AY1197" s="37" t="s">
        <v>8722</v>
      </c>
      <c r="AZ1197" s="37" t="s">
        <v>2109</v>
      </c>
      <c r="BA1197" s="37">
        <v>10</v>
      </c>
      <c r="BB1197" s="36" t="s">
        <v>1613</v>
      </c>
      <c r="BC1197" s="36" t="s">
        <v>2110</v>
      </c>
      <c r="BD1197" s="36"/>
      <c r="BE1197" s="37" t="s">
        <v>1712</v>
      </c>
      <c r="BF1197" s="37" t="s">
        <v>272</v>
      </c>
      <c r="BG1197" s="37" t="s">
        <v>272</v>
      </c>
      <c r="BH1197" s="37" t="s">
        <v>2111</v>
      </c>
      <c r="BI1197" s="243" t="s">
        <v>8722</v>
      </c>
      <c r="BJ1197" s="243" t="s">
        <v>8722</v>
      </c>
      <c r="BK1197" s="37"/>
      <c r="BL1197" s="263">
        <v>3283.1669647131121</v>
      </c>
      <c r="BM1197" s="37">
        <v>0</v>
      </c>
      <c r="BN1197" s="37">
        <v>39.75</v>
      </c>
      <c r="BO1197" s="37"/>
      <c r="BP1197" s="37"/>
      <c r="BQ1197" s="37"/>
      <c r="BR1197" s="37"/>
      <c r="BS1197" s="37"/>
      <c r="BT1197" s="37"/>
      <c r="BU1197" s="246"/>
      <c r="BV1197" s="37"/>
      <c r="BW1197" s="37"/>
      <c r="BX1197" s="37"/>
      <c r="BY1197" s="37"/>
      <c r="BZ1197" s="37"/>
      <c r="CA1197" s="37"/>
      <c r="CB1197" s="37"/>
      <c r="CC1197" s="37"/>
      <c r="CD1197" s="37"/>
      <c r="CE1197" s="37"/>
      <c r="CF1197" s="37"/>
      <c r="CG1197" s="37"/>
      <c r="CH1197" s="37"/>
      <c r="CI1197" s="243">
        <v>39.75</v>
      </c>
      <c r="CJ1197" s="243">
        <f t="shared" si="260"/>
        <v>1.599337132992489</v>
      </c>
      <c r="CK1197" s="38"/>
      <c r="CL1197" s="247">
        <f>BL1197/CI1197</f>
        <v>82.595395338694644</v>
      </c>
      <c r="CM1197" s="247"/>
      <c r="CN1197" s="247"/>
      <c r="CO1197" s="36"/>
      <c r="CP1197" s="496" t="s">
        <v>2112</v>
      </c>
      <c r="CQ1197" s="241">
        <v>0.13752884922968245</v>
      </c>
      <c r="CR1197" s="241">
        <f>10^(CJ1197-CQ1197)</f>
        <v>28.960648580651075</v>
      </c>
      <c r="CS1197" s="33"/>
      <c r="CT1197" s="33"/>
      <c r="CU1197" s="250">
        <f>X1197/CI1197</f>
        <v>201.25786163522014</v>
      </c>
      <c r="CV1197" s="337"/>
      <c r="CW1197" s="330">
        <f t="shared" si="263"/>
        <v>1</v>
      </c>
      <c r="CX1197" s="330" t="s">
        <v>539</v>
      </c>
      <c r="CY1197" s="143" t="s">
        <v>5921</v>
      </c>
    </row>
    <row r="1198" spans="1:103" ht="11.25" customHeight="1" x14ac:dyDescent="0.2">
      <c r="A1198" s="72">
        <v>2022</v>
      </c>
      <c r="B1198" s="282">
        <v>2014</v>
      </c>
      <c r="C1198" s="115" t="s">
        <v>5580</v>
      </c>
      <c r="D1198" s="115"/>
      <c r="E1198" s="116">
        <v>1</v>
      </c>
      <c r="F1198" s="116" t="s">
        <v>5581</v>
      </c>
      <c r="G1198" s="283">
        <v>7784465</v>
      </c>
      <c r="H1198" s="286" t="s">
        <v>5582</v>
      </c>
      <c r="I1198" s="286"/>
      <c r="J1198" s="286" t="s">
        <v>5583</v>
      </c>
      <c r="K1198" s="284" t="s">
        <v>416</v>
      </c>
      <c r="L1198" s="286"/>
      <c r="M1198" s="286"/>
      <c r="N1198" s="286"/>
      <c r="O1198" s="286"/>
      <c r="P1198" s="286"/>
      <c r="Q1198" s="286"/>
      <c r="R1198" s="286"/>
      <c r="S1198" s="286"/>
      <c r="T1198" s="123">
        <v>129.91</v>
      </c>
      <c r="U1198" s="300"/>
      <c r="V1198" s="300"/>
      <c r="W1198" s="300"/>
      <c r="X1198" s="300"/>
      <c r="Y1198" s="419"/>
      <c r="Z1198" s="116"/>
      <c r="AA1198" s="116"/>
      <c r="AB1198" s="116"/>
      <c r="AC1198" s="116"/>
      <c r="AD1198" s="116"/>
      <c r="AE1198" s="116"/>
      <c r="AF1198" s="116"/>
      <c r="AG1198" s="117" t="s">
        <v>404</v>
      </c>
      <c r="AH1198" s="300"/>
      <c r="AI1198" s="300"/>
      <c r="AJ1198" s="125"/>
      <c r="AK1198" s="125"/>
      <c r="AL1198" s="125"/>
      <c r="AM1198" s="125"/>
      <c r="AN1198" s="301"/>
      <c r="AO1198" s="420"/>
      <c r="AP1198" s="420"/>
      <c r="AQ1198" s="301" t="s">
        <v>6311</v>
      </c>
      <c r="AR1198" s="301" t="s">
        <v>6311</v>
      </c>
      <c r="AS1198" s="298" t="s">
        <v>5466</v>
      </c>
      <c r="AT1198" s="124" t="s">
        <v>266</v>
      </c>
      <c r="AU1198" s="123">
        <v>72</v>
      </c>
      <c r="AV1198" s="123">
        <v>168</v>
      </c>
      <c r="AW1198" s="123">
        <v>96</v>
      </c>
      <c r="AX1198" s="123">
        <v>28.5</v>
      </c>
      <c r="AY1198" s="123" t="s">
        <v>267</v>
      </c>
      <c r="AZ1198" s="123" t="s">
        <v>1584</v>
      </c>
      <c r="BA1198" s="123">
        <v>30</v>
      </c>
      <c r="BB1198" s="286"/>
      <c r="BC1198" s="286" t="s">
        <v>6206</v>
      </c>
      <c r="BD1198" s="286"/>
      <c r="BE1198" s="123" t="s">
        <v>6207</v>
      </c>
      <c r="BF1198" s="123"/>
      <c r="BG1198" s="123"/>
      <c r="BH1198" s="123"/>
      <c r="BI1198" s="300">
        <v>6.4954999999999998</v>
      </c>
      <c r="BJ1198" s="300">
        <v>25.981999999999999</v>
      </c>
      <c r="BK1198" s="306"/>
      <c r="BL1198" s="287"/>
      <c r="BM1198" s="123">
        <v>0</v>
      </c>
      <c r="BN1198" s="123"/>
      <c r="BO1198" s="123"/>
      <c r="BP1198" s="123"/>
      <c r="BQ1198" s="123"/>
      <c r="BR1198" s="123"/>
      <c r="BS1198" s="123"/>
      <c r="BT1198" s="123"/>
      <c r="BU1198" s="293"/>
      <c r="BV1198" s="123"/>
      <c r="BW1198" s="123"/>
      <c r="BX1198" s="123"/>
      <c r="BY1198" s="123"/>
      <c r="BZ1198" s="123"/>
      <c r="CA1198" s="123"/>
      <c r="CB1198" s="123"/>
      <c r="CC1198" s="123"/>
      <c r="CD1198" s="123"/>
      <c r="CE1198" s="123"/>
      <c r="CF1198" s="123">
        <v>12.224531000000001</v>
      </c>
      <c r="CG1198" s="123"/>
      <c r="CH1198" s="123"/>
      <c r="CI1198" s="300">
        <v>12.224531000000001</v>
      </c>
      <c r="CJ1198" s="292">
        <f t="shared" si="260"/>
        <v>1.0872322061989967</v>
      </c>
      <c r="CK1198" s="120" t="s">
        <v>404</v>
      </c>
      <c r="CL1198" s="294"/>
      <c r="CM1198" s="294"/>
      <c r="CN1198" s="294">
        <f>BJ1198/(10^CM1198)</f>
        <v>25.981999999999999</v>
      </c>
      <c r="CO1198" s="286" t="s">
        <v>6208</v>
      </c>
      <c r="CP1198" s="295" t="s">
        <v>8387</v>
      </c>
      <c r="CQ1198" s="282">
        <v>1.4008920858919578</v>
      </c>
      <c r="CR1198" s="282">
        <f>10^(CJ1198-CQ1198)</f>
        <v>0.48566870559855513</v>
      </c>
      <c r="CS1198" s="123"/>
      <c r="CT1198" s="123"/>
      <c r="CU1198" s="300" t="s">
        <v>6310</v>
      </c>
      <c r="CV1198" s="338" t="s">
        <v>6310</v>
      </c>
      <c r="CW1198" s="339">
        <f t="shared" si="263"/>
        <v>1</v>
      </c>
      <c r="CX1198" s="339" t="s">
        <v>539</v>
      </c>
      <c r="CY1198" s="295" t="s">
        <v>5921</v>
      </c>
    </row>
    <row r="1199" spans="1:103" ht="11.25" customHeight="1" x14ac:dyDescent="0.2">
      <c r="A1199" s="72">
        <v>50</v>
      </c>
      <c r="B1199" s="149">
        <v>748</v>
      </c>
      <c r="C1199" s="54" t="s">
        <v>629</v>
      </c>
      <c r="D1199" s="54" t="s">
        <v>6537</v>
      </c>
      <c r="E1199" s="59"/>
      <c r="F1199" s="59" t="s">
        <v>630</v>
      </c>
      <c r="G1199" s="151">
        <v>58082</v>
      </c>
      <c r="H1199" s="55" t="s">
        <v>631</v>
      </c>
      <c r="I1199" s="55" t="s">
        <v>631</v>
      </c>
      <c r="J1199" s="55" t="s">
        <v>632</v>
      </c>
      <c r="K1199" s="55" t="s">
        <v>333</v>
      </c>
      <c r="L1199" s="64" t="s">
        <v>279</v>
      </c>
      <c r="M1199" s="55" t="s">
        <v>633</v>
      </c>
      <c r="N1199" s="60" t="s">
        <v>6376</v>
      </c>
      <c r="O1199" s="55" t="s">
        <v>281</v>
      </c>
      <c r="P1199" s="67"/>
      <c r="Q1199" s="67" t="s">
        <v>6173</v>
      </c>
      <c r="R1199" s="67" t="s">
        <v>6185</v>
      </c>
      <c r="S1199" s="67" t="s">
        <v>6176</v>
      </c>
      <c r="T1199" s="56">
        <v>194.19</v>
      </c>
      <c r="U1199" s="103">
        <v>21600</v>
      </c>
      <c r="V1199" s="103">
        <v>2632</v>
      </c>
      <c r="W1199" s="103">
        <v>53484.367190123849</v>
      </c>
      <c r="X1199" s="103">
        <v>21600</v>
      </c>
      <c r="Y1199" s="162">
        <v>7.14</v>
      </c>
      <c r="Z1199" s="56">
        <v>0.16</v>
      </c>
      <c r="AA1199" s="56">
        <v>-7.0000000000000007E-2</v>
      </c>
      <c r="AB1199" s="56">
        <v>0.42</v>
      </c>
      <c r="AC1199" s="56">
        <v>0.85360000000000003</v>
      </c>
      <c r="AD1199" s="56">
        <v>0.28000000000000003</v>
      </c>
      <c r="AE1199" s="56">
        <v>-0.13</v>
      </c>
      <c r="AF1199" s="56">
        <f>IF(AA1199=0,AD1199,AA1199)</f>
        <v>-7.0000000000000007E-2</v>
      </c>
      <c r="AG1199" s="57">
        <v>-0.09</v>
      </c>
      <c r="AH1199" s="103">
        <v>3.5800000000000002E-11</v>
      </c>
      <c r="AI1199" s="103"/>
      <c r="AJ1199" s="62">
        <f t="shared" ref="AJ1199:AJ1231" si="264">LOG10(AH1199*1000/(0.08206*298.15))</f>
        <v>-8.834683299668777</v>
      </c>
      <c r="AK1199" s="62"/>
      <c r="AL1199" s="62">
        <f>IF(AK1199=0,AJ1199,AK1199)</f>
        <v>-8.834683299668777</v>
      </c>
      <c r="AM1199" s="62">
        <v>-12.930309999999999</v>
      </c>
      <c r="AN1199" s="154">
        <v>-6.54</v>
      </c>
      <c r="AO1199" s="410"/>
      <c r="AP1199" s="410">
        <v>0.52</v>
      </c>
      <c r="AQ1199" s="154" t="s">
        <v>6311</v>
      </c>
      <c r="AR1199" s="154" t="s">
        <v>6311</v>
      </c>
      <c r="AS1199" s="149" t="s">
        <v>6</v>
      </c>
      <c r="AT1199" s="58" t="s">
        <v>266</v>
      </c>
      <c r="AU1199" s="56">
        <v>2</v>
      </c>
      <c r="AV1199" s="56" t="s">
        <v>646</v>
      </c>
      <c r="AW1199" s="56" t="s">
        <v>646</v>
      </c>
      <c r="AX1199" s="56">
        <v>26</v>
      </c>
      <c r="AY1199" s="56" t="s">
        <v>8722</v>
      </c>
      <c r="AZ1199" s="56" t="s">
        <v>536</v>
      </c>
      <c r="BA1199" s="56">
        <v>12</v>
      </c>
      <c r="BB1199" s="55" t="s">
        <v>1764</v>
      </c>
      <c r="BC1199" s="55" t="s">
        <v>2121</v>
      </c>
      <c r="BD1199" s="55"/>
      <c r="BE1199" s="56" t="s">
        <v>271</v>
      </c>
      <c r="BF1199" s="56" t="s">
        <v>2122</v>
      </c>
      <c r="BG1199" s="473" t="s">
        <v>2123</v>
      </c>
      <c r="BH1199" s="56" t="s">
        <v>272</v>
      </c>
      <c r="BI1199" s="153">
        <v>9.7095000000000002</v>
      </c>
      <c r="BJ1199" s="153">
        <v>2505.0509999999999</v>
      </c>
      <c r="BK1199" s="56"/>
      <c r="BL1199" s="153">
        <v>7166.8920285460554</v>
      </c>
      <c r="BM1199" s="56">
        <v>5.6</v>
      </c>
      <c r="BN1199" s="56"/>
      <c r="BO1199" s="56">
        <v>712.67729999999995</v>
      </c>
      <c r="BP1199" s="56"/>
      <c r="BQ1199" s="56"/>
      <c r="BR1199" s="56">
        <v>287.40120000000002</v>
      </c>
      <c r="BS1199" s="56"/>
      <c r="BT1199" s="56"/>
      <c r="BU1199" s="158"/>
      <c r="BV1199" s="56"/>
      <c r="BW1199" s="56"/>
      <c r="BX1199" s="56"/>
      <c r="BY1199" s="56"/>
      <c r="BZ1199" s="56"/>
      <c r="CA1199" s="56"/>
      <c r="CB1199" s="56"/>
      <c r="CC1199" s="56"/>
      <c r="CD1199" s="56"/>
      <c r="CE1199" s="56"/>
      <c r="CF1199" s="56"/>
      <c r="CG1199" s="56"/>
      <c r="CH1199" s="56"/>
      <c r="CI1199" s="103">
        <v>287.40120000000002</v>
      </c>
      <c r="CJ1199" s="103">
        <f t="shared" si="260"/>
        <v>2.4584885771325502</v>
      </c>
      <c r="CK1199" s="57">
        <f>BL1199/BJ1199</f>
        <v>2.8609764945089164</v>
      </c>
      <c r="CL1199" s="160">
        <f>BL1199/CI1199</f>
        <v>24.93688971565204</v>
      </c>
      <c r="CM1199" s="160"/>
      <c r="CN1199" s="160"/>
      <c r="CO1199" s="55" t="s">
        <v>2125</v>
      </c>
      <c r="CP1199" s="497" t="s">
        <v>2126</v>
      </c>
      <c r="CQ1199" s="149">
        <v>2.1789769472931693</v>
      </c>
      <c r="CR1199" s="349">
        <f>10^(CJ1199-CQ1199)</f>
        <v>1.9033192052980139</v>
      </c>
      <c r="CS1199" s="61" t="s">
        <v>539</v>
      </c>
      <c r="CT1199" s="61"/>
      <c r="CU1199" s="111">
        <f>X1199/CI1199</f>
        <v>75.156262395564113</v>
      </c>
      <c r="CV1199" s="331">
        <f>X1199/BJ1199</f>
        <v>8.6225789415065801</v>
      </c>
      <c r="CW1199" s="326">
        <f t="shared" si="263"/>
        <v>1</v>
      </c>
      <c r="CX1199" s="326"/>
      <c r="CY1199" s="161" t="s">
        <v>6351</v>
      </c>
    </row>
    <row r="1200" spans="1:103" ht="11.25" customHeight="1" x14ac:dyDescent="0.2">
      <c r="A1200" s="72">
        <v>494</v>
      </c>
      <c r="B1200" s="149">
        <v>744</v>
      </c>
      <c r="C1200" s="54" t="s">
        <v>6782</v>
      </c>
      <c r="D1200" s="54"/>
      <c r="E1200" s="59"/>
      <c r="F1200" s="59" t="s">
        <v>661</v>
      </c>
      <c r="G1200" s="151">
        <v>302794</v>
      </c>
      <c r="H1200" s="55" t="s">
        <v>662</v>
      </c>
      <c r="I1200" s="55" t="s">
        <v>662</v>
      </c>
      <c r="J1200" s="55" t="s">
        <v>663</v>
      </c>
      <c r="K1200" s="55" t="s">
        <v>426</v>
      </c>
      <c r="L1200" s="64" t="s">
        <v>279</v>
      </c>
      <c r="M1200" s="55" t="s">
        <v>664</v>
      </c>
      <c r="N1200" s="60"/>
      <c r="O1200" s="55" t="s">
        <v>281</v>
      </c>
      <c r="P1200" s="67"/>
      <c r="Q1200" s="67"/>
      <c r="R1200" s="67"/>
      <c r="S1200" s="67"/>
      <c r="T1200" s="56">
        <v>300.44</v>
      </c>
      <c r="U1200" s="103"/>
      <c r="V1200" s="103">
        <v>0.1263</v>
      </c>
      <c r="W1200" s="103">
        <v>14.714914849105602</v>
      </c>
      <c r="X1200" s="103">
        <v>14.714914849105602</v>
      </c>
      <c r="Y1200" s="162">
        <v>4.6500000000000004</v>
      </c>
      <c r="Z1200" s="56">
        <v>7.85</v>
      </c>
      <c r="AA1200" s="56">
        <v>6.3</v>
      </c>
      <c r="AB1200" s="56">
        <v>5.52</v>
      </c>
      <c r="AC1200" s="56">
        <v>0.80679999999999996</v>
      </c>
      <c r="AD1200" s="56">
        <v>5.9</v>
      </c>
      <c r="AE1200" s="56">
        <v>6.83</v>
      </c>
      <c r="AF1200" s="56">
        <f>IF(AA1200=0,AD1200,AA1200)</f>
        <v>6.3</v>
      </c>
      <c r="AG1200" s="57">
        <v>5.9</v>
      </c>
      <c r="AH1200" s="103">
        <v>9.5000000000000005E-6</v>
      </c>
      <c r="AI1200" s="103"/>
      <c r="AJ1200" s="62">
        <f t="shared" si="264"/>
        <v>-3.4108427210238039</v>
      </c>
      <c r="AK1200" s="62"/>
      <c r="AL1200" s="62">
        <f>IF(AK1200=0,AJ1200,AK1200)</f>
        <v>-3.4108427210238039</v>
      </c>
      <c r="AM1200" s="62">
        <v>-10.49797</v>
      </c>
      <c r="AN1200" s="154">
        <v>-7.02</v>
      </c>
      <c r="AO1200" s="410">
        <v>4.7300000000000004</v>
      </c>
      <c r="AP1200" s="410"/>
      <c r="AQ1200" s="154" t="s">
        <v>6311</v>
      </c>
      <c r="AR1200" s="154" t="s">
        <v>6311</v>
      </c>
      <c r="AS1200" s="149" t="s">
        <v>6</v>
      </c>
      <c r="AT1200" s="58" t="s">
        <v>266</v>
      </c>
      <c r="AU1200" s="56">
        <v>2</v>
      </c>
      <c r="AV1200" s="56" t="s">
        <v>646</v>
      </c>
      <c r="AW1200" s="56" t="s">
        <v>646</v>
      </c>
      <c r="AX1200" s="56">
        <v>26</v>
      </c>
      <c r="AY1200" s="56" t="s">
        <v>8722</v>
      </c>
      <c r="AZ1200" s="56" t="s">
        <v>536</v>
      </c>
      <c r="BA1200" s="56">
        <v>12</v>
      </c>
      <c r="BB1200" s="55" t="s">
        <v>1764</v>
      </c>
      <c r="BC1200" s="55" t="s">
        <v>2121</v>
      </c>
      <c r="BD1200" s="55"/>
      <c r="BE1200" s="56" t="s">
        <v>271</v>
      </c>
      <c r="BF1200" s="56" t="s">
        <v>2122</v>
      </c>
      <c r="BG1200" s="473" t="s">
        <v>2123</v>
      </c>
      <c r="BH1200" s="56" t="s">
        <v>2124</v>
      </c>
      <c r="BI1200" s="153">
        <v>2.5597487999999998E-6</v>
      </c>
      <c r="BJ1200" s="153">
        <v>4.987304</v>
      </c>
      <c r="BK1200" s="56"/>
      <c r="BL1200" s="153">
        <v>1.3755385092719082E-3</v>
      </c>
      <c r="BM1200" s="56">
        <v>13.9</v>
      </c>
      <c r="BN1200" s="56"/>
      <c r="BO1200" s="56">
        <v>0.37855440000000001</v>
      </c>
      <c r="BP1200" s="56"/>
      <c r="BQ1200" s="56"/>
      <c r="BR1200" s="56">
        <v>7.7513520000000004E-3</v>
      </c>
      <c r="BS1200" s="56"/>
      <c r="BT1200" s="56"/>
      <c r="BU1200" s="158"/>
      <c r="BV1200" s="56"/>
      <c r="BW1200" s="56"/>
      <c r="BX1200" s="56"/>
      <c r="BY1200" s="56"/>
      <c r="BZ1200" s="56"/>
      <c r="CA1200" s="56"/>
      <c r="CB1200" s="56"/>
      <c r="CC1200" s="56"/>
      <c r="CD1200" s="56"/>
      <c r="CE1200" s="56"/>
      <c r="CF1200" s="56"/>
      <c r="CG1200" s="56"/>
      <c r="CH1200" s="56"/>
      <c r="CI1200" s="103">
        <v>7.7513520000000004E-3</v>
      </c>
      <c r="CJ1200" s="103">
        <f t="shared" si="260"/>
        <v>-2.1106225407285994</v>
      </c>
      <c r="CK1200" s="57">
        <f>BL1200/BJ1200</f>
        <v>2.758080336133326E-4</v>
      </c>
      <c r="CL1200" s="160">
        <f>BL1200/CI1200</f>
        <v>0.17745788209229926</v>
      </c>
      <c r="CM1200" s="160"/>
      <c r="CN1200" s="160"/>
      <c r="CO1200" s="55" t="s">
        <v>2125</v>
      </c>
      <c r="CP1200" s="497" t="s">
        <v>2126</v>
      </c>
      <c r="CQ1200" s="149" t="s">
        <v>272</v>
      </c>
      <c r="CR1200" s="349"/>
      <c r="CS1200" s="61" t="s">
        <v>539</v>
      </c>
      <c r="CT1200" s="61"/>
      <c r="CU1200" s="111">
        <f>X1200/CI1200</f>
        <v>1898.3675169319624</v>
      </c>
      <c r="CV1200" s="331">
        <f>X1200/BJ1200</f>
        <v>2.9504748154725684</v>
      </c>
      <c r="CW1200" s="326">
        <f t="shared" si="263"/>
        <v>1</v>
      </c>
      <c r="CX1200" s="326"/>
      <c r="CY1200" s="161" t="s">
        <v>5921</v>
      </c>
    </row>
    <row r="1201" spans="1:103" ht="11.25" customHeight="1" x14ac:dyDescent="0.2">
      <c r="A1201" s="72">
        <v>495</v>
      </c>
      <c r="B1201" s="149">
        <v>746</v>
      </c>
      <c r="C1201" s="54" t="s">
        <v>6783</v>
      </c>
      <c r="D1201" s="54"/>
      <c r="E1201" s="59"/>
      <c r="F1201" s="59" t="s">
        <v>2127</v>
      </c>
      <c r="G1201" s="151">
        <v>1069665</v>
      </c>
      <c r="H1201" s="55" t="s">
        <v>2128</v>
      </c>
      <c r="I1201" s="55" t="s">
        <v>2128</v>
      </c>
      <c r="J1201" s="55" t="s">
        <v>2129</v>
      </c>
      <c r="K1201" s="55" t="s">
        <v>426</v>
      </c>
      <c r="L1201" s="55"/>
      <c r="M1201" s="55"/>
      <c r="N1201" s="60"/>
      <c r="O1201" s="55"/>
      <c r="P1201" s="67"/>
      <c r="Q1201" s="67"/>
      <c r="R1201" s="67"/>
      <c r="S1201" s="67"/>
      <c r="T1201" s="56">
        <v>166.2</v>
      </c>
      <c r="U1201" s="103">
        <v>2000.0000000000002</v>
      </c>
      <c r="V1201" s="103">
        <v>894.59999999999991</v>
      </c>
      <c r="W1201" s="103">
        <v>2402.3208989797308</v>
      </c>
      <c r="X1201" s="103">
        <v>2000.0000000000002</v>
      </c>
      <c r="Y1201" s="162">
        <v>3.33</v>
      </c>
      <c r="Z1201" s="56">
        <v>2.96</v>
      </c>
      <c r="AA1201" s="56">
        <v>2.75</v>
      </c>
      <c r="AB1201" s="56">
        <v>2.64</v>
      </c>
      <c r="AC1201" s="56">
        <v>0.93820000000000003</v>
      </c>
      <c r="AD1201" s="56">
        <v>2.65</v>
      </c>
      <c r="AE1201" s="56">
        <v>2.72</v>
      </c>
      <c r="AF1201" s="56">
        <f>IF(AA1201=0,AD1201,AA1201)</f>
        <v>2.75</v>
      </c>
      <c r="AG1201" s="57">
        <v>7.25</v>
      </c>
      <c r="AH1201" s="103">
        <v>3.0000000000000001E-6</v>
      </c>
      <c r="AI1201" s="103"/>
      <c r="AJ1201" s="62">
        <f t="shared" si="264"/>
        <v>-3.9114450715929894</v>
      </c>
      <c r="AK1201" s="62"/>
      <c r="AL1201" s="62">
        <f>IF(AK1201=0,AJ1201,AK1201)</f>
        <v>-3.9114450715929894</v>
      </c>
      <c r="AM1201" s="62">
        <v>-5.7235100000000001</v>
      </c>
      <c r="AN1201" s="154">
        <v>-10.6</v>
      </c>
      <c r="AO1201" s="410">
        <v>4.82</v>
      </c>
      <c r="AP1201" s="410"/>
      <c r="AQ1201" s="154" t="s">
        <v>6311</v>
      </c>
      <c r="AR1201" s="154" t="s">
        <v>6311</v>
      </c>
      <c r="AS1201" s="149" t="s">
        <v>6</v>
      </c>
      <c r="AT1201" s="58" t="s">
        <v>266</v>
      </c>
      <c r="AU1201" s="56">
        <v>2</v>
      </c>
      <c r="AV1201" s="56" t="s">
        <v>646</v>
      </c>
      <c r="AW1201" s="56" t="s">
        <v>646</v>
      </c>
      <c r="AX1201" s="56">
        <v>26</v>
      </c>
      <c r="AY1201" s="56" t="s">
        <v>8722</v>
      </c>
      <c r="AZ1201" s="56" t="s">
        <v>536</v>
      </c>
      <c r="BA1201" s="56">
        <v>12</v>
      </c>
      <c r="BB1201" s="55" t="s">
        <v>1764</v>
      </c>
      <c r="BC1201" s="55" t="s">
        <v>2121</v>
      </c>
      <c r="BD1201" s="55"/>
      <c r="BE1201" s="56" t="s">
        <v>271</v>
      </c>
      <c r="BF1201" s="56" t="s">
        <v>2122</v>
      </c>
      <c r="BG1201" s="473" t="s">
        <v>2123</v>
      </c>
      <c r="BH1201" s="56" t="s">
        <v>272</v>
      </c>
      <c r="BI1201" s="153">
        <v>7.8113999999999999</v>
      </c>
      <c r="BJ1201" s="153">
        <v>1994.3999999999999</v>
      </c>
      <c r="BK1201" s="56"/>
      <c r="BL1201" s="153">
        <v>18.752320604706188</v>
      </c>
      <c r="BM1201" s="56">
        <v>2.1</v>
      </c>
      <c r="BN1201" s="56"/>
      <c r="BO1201" s="56">
        <v>347.35799999999995</v>
      </c>
      <c r="BP1201" s="56"/>
      <c r="BQ1201" s="56"/>
      <c r="BR1201" s="56">
        <v>139.60799999999998</v>
      </c>
      <c r="BS1201" s="56"/>
      <c r="BT1201" s="56"/>
      <c r="BU1201" s="158"/>
      <c r="BV1201" s="56"/>
      <c r="BW1201" s="56"/>
      <c r="BX1201" s="56"/>
      <c r="BY1201" s="56"/>
      <c r="BZ1201" s="56"/>
      <c r="CA1201" s="56"/>
      <c r="CB1201" s="56"/>
      <c r="CC1201" s="56"/>
      <c r="CD1201" s="56"/>
      <c r="CE1201" s="56"/>
      <c r="CF1201" s="56"/>
      <c r="CG1201" s="56"/>
      <c r="CH1201" s="56"/>
      <c r="CI1201" s="103">
        <v>139.60799999999998</v>
      </c>
      <c r="CJ1201" s="103">
        <f t="shared" si="260"/>
        <v>2.1449103055099736</v>
      </c>
      <c r="CK1201" s="57">
        <f>BL1201/BJ1201</f>
        <v>9.4024872666998542E-3</v>
      </c>
      <c r="CL1201" s="160">
        <f>BL1201/CI1201</f>
        <v>0.13432124666714079</v>
      </c>
      <c r="CM1201" s="160"/>
      <c r="CN1201" s="160"/>
      <c r="CO1201" s="55" t="s">
        <v>2125</v>
      </c>
      <c r="CP1201" s="497" t="s">
        <v>2126</v>
      </c>
      <c r="CQ1201" s="149" t="s">
        <v>272</v>
      </c>
      <c r="CR1201" s="349"/>
      <c r="CS1201" s="61" t="s">
        <v>539</v>
      </c>
      <c r="CT1201" s="61"/>
      <c r="CU1201" s="111">
        <f>X1201/CI1201</f>
        <v>14.325826600194835</v>
      </c>
      <c r="CV1201" s="331">
        <f>X1201/BJ1201</f>
        <v>1.0028078620136385</v>
      </c>
      <c r="CW1201" s="326">
        <f t="shared" si="263"/>
        <v>1</v>
      </c>
      <c r="CX1201" s="326"/>
      <c r="CY1201" s="161" t="s">
        <v>5921</v>
      </c>
    </row>
    <row r="1202" spans="1:103" ht="11.25" customHeight="1" x14ac:dyDescent="0.2">
      <c r="A1202" s="72">
        <v>2010</v>
      </c>
      <c r="B1202" s="282">
        <v>750</v>
      </c>
      <c r="C1202" s="115" t="s">
        <v>413</v>
      </c>
      <c r="D1202" s="115"/>
      <c r="E1202" s="116">
        <v>1</v>
      </c>
      <c r="F1202" s="116" t="s">
        <v>414</v>
      </c>
      <c r="G1202" s="283">
        <v>7447418</v>
      </c>
      <c r="H1202" s="284" t="s">
        <v>415</v>
      </c>
      <c r="I1202" s="284"/>
      <c r="J1202" s="284"/>
      <c r="K1202" s="284" t="s">
        <v>416</v>
      </c>
      <c r="L1202" s="284"/>
      <c r="M1202" s="284"/>
      <c r="N1202" s="284"/>
      <c r="O1202" s="284"/>
      <c r="P1202" s="286"/>
      <c r="Q1202" s="286"/>
      <c r="R1202" s="286"/>
      <c r="S1202" s="286"/>
      <c r="T1202" s="119">
        <v>42.39</v>
      </c>
      <c r="U1202" s="292"/>
      <c r="V1202" s="287"/>
      <c r="W1202" s="287"/>
      <c r="X1202" s="287"/>
      <c r="Y1202" s="370"/>
      <c r="Z1202" s="116"/>
      <c r="AA1202" s="116"/>
      <c r="AB1202" s="116"/>
      <c r="AC1202" s="116"/>
      <c r="AD1202" s="116"/>
      <c r="AE1202" s="116"/>
      <c r="AF1202" s="116"/>
      <c r="AG1202" s="117" t="s">
        <v>404</v>
      </c>
      <c r="AH1202" s="292">
        <v>2.4500000000000001E-2</v>
      </c>
      <c r="AI1202" s="292"/>
      <c r="AJ1202" s="125">
        <f t="shared" si="264"/>
        <v>5.9975805188064034E-4</v>
      </c>
      <c r="AK1202" s="125"/>
      <c r="AL1202" s="125"/>
      <c r="AM1202" s="125"/>
      <c r="AN1202" s="297"/>
      <c r="AO1202" s="420"/>
      <c r="AP1202" s="420"/>
      <c r="AQ1202" s="297" t="s">
        <v>6311</v>
      </c>
      <c r="AR1202" s="297" t="s">
        <v>6311</v>
      </c>
      <c r="AS1202" s="282" t="s">
        <v>6</v>
      </c>
      <c r="AT1202" s="118" t="s">
        <v>266</v>
      </c>
      <c r="AU1202" s="119">
        <v>2</v>
      </c>
      <c r="AV1202" s="119">
        <v>48</v>
      </c>
      <c r="AW1202" s="119">
        <v>48</v>
      </c>
      <c r="AX1202" s="119">
        <v>26</v>
      </c>
      <c r="AY1202" s="119" t="s">
        <v>8722</v>
      </c>
      <c r="AZ1202" s="119" t="s">
        <v>536</v>
      </c>
      <c r="BA1202" s="119">
        <v>12</v>
      </c>
      <c r="BB1202" s="284" t="s">
        <v>1764</v>
      </c>
      <c r="BC1202" s="284" t="s">
        <v>2121</v>
      </c>
      <c r="BD1202" s="284"/>
      <c r="BE1202" s="119" t="s">
        <v>271</v>
      </c>
      <c r="BF1202" s="119" t="s">
        <v>2122</v>
      </c>
      <c r="BG1202" s="305" t="s">
        <v>2123</v>
      </c>
      <c r="BH1202" s="119" t="s">
        <v>272</v>
      </c>
      <c r="BI1202" s="292">
        <v>2.4416639999999998</v>
      </c>
      <c r="BJ1202" s="292">
        <v>9999.8009999999995</v>
      </c>
      <c r="BK1202" s="119"/>
      <c r="BL1202" s="287"/>
      <c r="BM1202" s="119">
        <v>5.6</v>
      </c>
      <c r="BN1202" s="119"/>
      <c r="BO1202" s="119">
        <v>4879.0889999999999</v>
      </c>
      <c r="BP1202" s="119"/>
      <c r="BQ1202" s="119"/>
      <c r="BR1202" s="119">
        <v>2264.8977</v>
      </c>
      <c r="BS1202" s="119"/>
      <c r="BT1202" s="119"/>
      <c r="BU1202" s="293"/>
      <c r="BV1202" s="119"/>
      <c r="BW1202" s="119"/>
      <c r="BX1202" s="119"/>
      <c r="BY1202" s="119"/>
      <c r="BZ1202" s="119"/>
      <c r="CA1202" s="119"/>
      <c r="CB1202" s="119"/>
      <c r="CC1202" s="119"/>
      <c r="CD1202" s="119"/>
      <c r="CE1202" s="119"/>
      <c r="CF1202" s="119"/>
      <c r="CG1202" s="119"/>
      <c r="CH1202" s="119"/>
      <c r="CI1202" s="292">
        <v>2264.8977</v>
      </c>
      <c r="CJ1202" s="292">
        <f t="shared" si="260"/>
        <v>3.3550485907511272</v>
      </c>
      <c r="CK1202" s="120" t="s">
        <v>404</v>
      </c>
      <c r="CL1202" s="294"/>
      <c r="CM1202" s="294"/>
      <c r="CN1202" s="294">
        <f>BJ1202/(10^CM1202)</f>
        <v>9999.8009999999995</v>
      </c>
      <c r="CO1202" s="284" t="s">
        <v>2125</v>
      </c>
      <c r="CP1202" s="498" t="s">
        <v>2126</v>
      </c>
      <c r="CQ1202" s="282"/>
      <c r="CR1202" s="282">
        <f>10^(CJ1202-CQ1202)</f>
        <v>2264.8977000000014</v>
      </c>
      <c r="CS1202" s="123"/>
      <c r="CT1202" s="123"/>
      <c r="CU1202" s="300" t="s">
        <v>6310</v>
      </c>
      <c r="CV1202" s="338" t="s">
        <v>6310</v>
      </c>
      <c r="CW1202" s="339">
        <f t="shared" si="263"/>
        <v>1</v>
      </c>
      <c r="CX1202" s="339"/>
      <c r="CY1202" s="295" t="s">
        <v>6351</v>
      </c>
    </row>
    <row r="1203" spans="1:103" ht="11.25" customHeight="1" x14ac:dyDescent="0.2">
      <c r="A1203" s="72">
        <v>253</v>
      </c>
      <c r="B1203" s="149">
        <v>1973</v>
      </c>
      <c r="C1203" s="54" t="s">
        <v>4686</v>
      </c>
      <c r="D1203" s="54" t="s">
        <v>6499</v>
      </c>
      <c r="E1203" s="59"/>
      <c r="F1203" s="167" t="s">
        <v>1037</v>
      </c>
      <c r="G1203" s="151">
        <v>2921882</v>
      </c>
      <c r="H1203" s="67" t="s">
        <v>1038</v>
      </c>
      <c r="I1203" s="67" t="s">
        <v>7929</v>
      </c>
      <c r="J1203" s="67" t="s">
        <v>1039</v>
      </c>
      <c r="K1203" s="67" t="s">
        <v>1040</v>
      </c>
      <c r="L1203" s="67" t="s">
        <v>617</v>
      </c>
      <c r="M1203" s="67" t="s">
        <v>946</v>
      </c>
      <c r="N1203" s="60" t="s">
        <v>6376</v>
      </c>
      <c r="O1203" s="67" t="s">
        <v>918</v>
      </c>
      <c r="P1203" s="67">
        <v>3</v>
      </c>
      <c r="Q1203" s="67" t="s">
        <v>6173</v>
      </c>
      <c r="R1203" s="67">
        <v>1</v>
      </c>
      <c r="S1203" s="67" t="s">
        <v>6173</v>
      </c>
      <c r="T1203" s="61">
        <v>350.59</v>
      </c>
      <c r="U1203" s="111">
        <v>1.1200000000000001</v>
      </c>
      <c r="V1203" s="111">
        <v>0.35699999999999998</v>
      </c>
      <c r="W1203" s="111">
        <v>1.4282345159534386</v>
      </c>
      <c r="X1203" s="111">
        <v>1.1200000000000001</v>
      </c>
      <c r="Y1203" s="411">
        <v>7</v>
      </c>
      <c r="Z1203" s="61">
        <v>5.1100000000000003</v>
      </c>
      <c r="AA1203" s="61">
        <v>4.96</v>
      </c>
      <c r="AB1203" s="61">
        <v>4.79</v>
      </c>
      <c r="AC1203" s="61">
        <v>0.86860000000000004</v>
      </c>
      <c r="AD1203" s="61">
        <v>4.78</v>
      </c>
      <c r="AE1203" s="61">
        <v>4.7699999999999996</v>
      </c>
      <c r="AF1203" s="61">
        <f t="shared" ref="AF1203:AF1231" si="265">IF(AA1203=0,AD1203,AA1203)</f>
        <v>4.96</v>
      </c>
      <c r="AG1203" s="62">
        <v>5.16</v>
      </c>
      <c r="AH1203" s="111">
        <v>2.52E-6</v>
      </c>
      <c r="AI1203" s="111">
        <v>2.9299999999999999E-6</v>
      </c>
      <c r="AJ1203" s="62">
        <f t="shared" si="264"/>
        <v>-3.9871657855311078</v>
      </c>
      <c r="AK1203" s="62">
        <f>LOG10(AI1203*1000/(0.08206*298.15))</f>
        <v>-3.9216987059585424</v>
      </c>
      <c r="AL1203" s="62">
        <f t="shared" ref="AL1203:AL1231" si="266">IF(AK1203=0,AJ1203,AK1203)</f>
        <v>-3.9216987059585424</v>
      </c>
      <c r="AM1203" s="62">
        <v>-11.220610000000001</v>
      </c>
      <c r="AN1203" s="163">
        <v>-2.6389999999999998</v>
      </c>
      <c r="AO1203" s="410"/>
      <c r="AP1203" s="410">
        <v>-5.28</v>
      </c>
      <c r="AQ1203" s="163" t="s">
        <v>6312</v>
      </c>
      <c r="AR1203" s="163" t="s">
        <v>6312</v>
      </c>
      <c r="AS1203" s="164" t="s">
        <v>5466</v>
      </c>
      <c r="AT1203" s="63" t="s">
        <v>266</v>
      </c>
      <c r="AU1203" s="61">
        <v>2</v>
      </c>
      <c r="AV1203" s="61">
        <v>144</v>
      </c>
      <c r="AW1203" s="61">
        <v>142</v>
      </c>
      <c r="AX1203" s="61">
        <v>25</v>
      </c>
      <c r="AY1203" s="61" t="s">
        <v>267</v>
      </c>
      <c r="AZ1203" s="61" t="s">
        <v>6201</v>
      </c>
      <c r="BA1203" s="61">
        <v>12</v>
      </c>
      <c r="BB1203" s="67" t="s">
        <v>6215</v>
      </c>
      <c r="BC1203" s="67" t="s">
        <v>6214</v>
      </c>
      <c r="BD1203" s="67"/>
      <c r="BE1203" s="61" t="s">
        <v>2449</v>
      </c>
      <c r="BF1203" s="61" t="s">
        <v>6203</v>
      </c>
      <c r="BG1203" s="61" t="s">
        <v>6203</v>
      </c>
      <c r="BH1203" s="61" t="s">
        <v>5626</v>
      </c>
      <c r="BI1203" s="153">
        <v>0.05</v>
      </c>
      <c r="BJ1203" s="153">
        <v>25</v>
      </c>
      <c r="BK1203" s="165"/>
      <c r="BL1203" s="153">
        <v>0.46377627111057301</v>
      </c>
      <c r="BM1203" s="61" t="s">
        <v>6250</v>
      </c>
      <c r="BN1203" s="61"/>
      <c r="BO1203" s="61"/>
      <c r="BP1203" s="61"/>
      <c r="BQ1203" s="61"/>
      <c r="BR1203" s="61"/>
      <c r="BS1203" s="61"/>
      <c r="BT1203" s="61">
        <v>6.2405019999999993</v>
      </c>
      <c r="BU1203" s="158"/>
      <c r="BV1203" s="61"/>
      <c r="BW1203" s="61"/>
      <c r="BX1203" s="61"/>
      <c r="BY1203" s="61"/>
      <c r="BZ1203" s="61"/>
      <c r="CA1203" s="61"/>
      <c r="CB1203" s="61"/>
      <c r="CC1203" s="61"/>
      <c r="CD1203" s="61"/>
      <c r="CE1203" s="61"/>
      <c r="CF1203" s="61"/>
      <c r="CG1203" s="61"/>
      <c r="CH1203" s="61"/>
      <c r="CI1203" s="111">
        <v>6.2405019999999993</v>
      </c>
      <c r="CJ1203" s="103">
        <f t="shared" si="260"/>
        <v>0.7952195267114045</v>
      </c>
      <c r="CK1203" s="57">
        <f t="shared" ref="CK1203:CK1223" si="267">BL1203/BJ1203</f>
        <v>1.855105084442292E-2</v>
      </c>
      <c r="CL1203" s="160">
        <f t="shared" ref="CL1203:CL1223" si="268">BL1203/CI1203</f>
        <v>7.4317141651516663E-2</v>
      </c>
      <c r="CM1203" s="160">
        <v>-2.2423817793682899</v>
      </c>
      <c r="CN1203" s="160">
        <f>BJ1203/(10^CM1203)</f>
        <v>4368.3938603033657</v>
      </c>
      <c r="CO1203" s="161" t="s">
        <v>6216</v>
      </c>
      <c r="CP1203" s="161" t="s">
        <v>6323</v>
      </c>
      <c r="CQ1203" s="149">
        <v>-1.5767489445189753</v>
      </c>
      <c r="CR1203" s="349">
        <f>10^(CJ1203-CQ1203)</f>
        <v>235.48783189995609</v>
      </c>
      <c r="CS1203" s="61" t="s">
        <v>539</v>
      </c>
      <c r="CT1203" s="61"/>
      <c r="CU1203" s="111">
        <f t="shared" ref="CU1203:CU1231" si="269">X1203/CI1203</f>
        <v>0.17947274113524844</v>
      </c>
      <c r="CV1203" s="331">
        <f t="shared" ref="CV1203:CV1231" si="270">X1203/BJ1203</f>
        <v>4.4800000000000006E-2</v>
      </c>
      <c r="CW1203" s="326">
        <f t="shared" si="263"/>
        <v>0</v>
      </c>
      <c r="CX1203" s="326"/>
      <c r="CY1203" s="161" t="s">
        <v>5921</v>
      </c>
    </row>
    <row r="1204" spans="1:103" ht="11.25" customHeight="1" x14ac:dyDescent="0.2">
      <c r="A1204" s="72">
        <v>1617</v>
      </c>
      <c r="B1204" s="241">
        <v>539</v>
      </c>
      <c r="C1204" s="32" t="s">
        <v>7613</v>
      </c>
      <c r="D1204" s="32"/>
      <c r="E1204" s="40"/>
      <c r="F1204" s="40" t="s">
        <v>1696</v>
      </c>
      <c r="G1204" s="242">
        <v>51285</v>
      </c>
      <c r="H1204" s="36" t="s">
        <v>1697</v>
      </c>
      <c r="I1204" s="36" t="s">
        <v>1697</v>
      </c>
      <c r="J1204" s="36" t="s">
        <v>1698</v>
      </c>
      <c r="K1204" s="36" t="s">
        <v>1693</v>
      </c>
      <c r="L1204" s="36" t="s">
        <v>6110</v>
      </c>
      <c r="M1204" s="36" t="s">
        <v>497</v>
      </c>
      <c r="N1204" s="36" t="s">
        <v>6381</v>
      </c>
      <c r="O1204" s="36" t="s">
        <v>6086</v>
      </c>
      <c r="P1204" s="41"/>
      <c r="Q1204" s="41" t="s">
        <v>6179</v>
      </c>
      <c r="R1204" s="41" t="s">
        <v>6180</v>
      </c>
      <c r="S1204" s="41" t="s">
        <v>6176</v>
      </c>
      <c r="T1204" s="37">
        <v>184.11</v>
      </c>
      <c r="U1204" s="243">
        <v>2790</v>
      </c>
      <c r="V1204" s="243">
        <v>1971</v>
      </c>
      <c r="W1204" s="243">
        <v>1135.2130579271745</v>
      </c>
      <c r="X1204" s="243">
        <v>2790</v>
      </c>
      <c r="Y1204" s="414">
        <v>3.15</v>
      </c>
      <c r="Z1204" s="37">
        <v>1.73</v>
      </c>
      <c r="AA1204" s="37">
        <v>1.67</v>
      </c>
      <c r="AB1204" s="37">
        <v>1.62</v>
      </c>
      <c r="AC1204" s="37">
        <v>0.79949999999999999</v>
      </c>
      <c r="AD1204" s="37">
        <v>1.66</v>
      </c>
      <c r="AE1204" s="37">
        <v>1.74</v>
      </c>
      <c r="AF1204" s="37">
        <f t="shared" si="265"/>
        <v>1.67</v>
      </c>
      <c r="AG1204" s="38">
        <v>0.7</v>
      </c>
      <c r="AH1204" s="243">
        <v>2.7599999999999999E-8</v>
      </c>
      <c r="AI1204" s="243">
        <v>8.6000000000000002E-8</v>
      </c>
      <c r="AJ1204" s="34">
        <f t="shared" si="264"/>
        <v>-5.9476572442474342</v>
      </c>
      <c r="AK1204" s="34">
        <f>LOG10(AI1204*1000/(0.08206*298.15))</f>
        <v>-5.4540678750690841</v>
      </c>
      <c r="AL1204" s="34">
        <f t="shared" si="266"/>
        <v>-5.4540678750690841</v>
      </c>
      <c r="AM1204" s="34">
        <v>-9.2873400000000004</v>
      </c>
      <c r="AN1204" s="244">
        <v>-5.58</v>
      </c>
      <c r="AO1204" s="417">
        <v>4.04</v>
      </c>
      <c r="AP1204" s="417"/>
      <c r="AQ1204" s="244" t="s">
        <v>6311</v>
      </c>
      <c r="AR1204" s="244" t="s">
        <v>6311</v>
      </c>
      <c r="AS1204" s="241" t="s">
        <v>6</v>
      </c>
      <c r="AT1204" s="39" t="s">
        <v>266</v>
      </c>
      <c r="AU1204" s="37">
        <v>2</v>
      </c>
      <c r="AV1204" s="37">
        <v>48</v>
      </c>
      <c r="AW1204" s="37">
        <v>48</v>
      </c>
      <c r="AX1204" s="37">
        <v>26</v>
      </c>
      <c r="AY1204" s="37" t="s">
        <v>647</v>
      </c>
      <c r="AZ1204" s="37" t="s">
        <v>536</v>
      </c>
      <c r="BA1204" s="37">
        <v>20</v>
      </c>
      <c r="BB1204" s="36" t="s">
        <v>537</v>
      </c>
      <c r="BC1204" s="36" t="s">
        <v>538</v>
      </c>
      <c r="BD1204" s="36"/>
      <c r="BE1204" s="37" t="s">
        <v>271</v>
      </c>
      <c r="BF1204" s="37" t="s">
        <v>539</v>
      </c>
      <c r="BG1204" s="37" t="s">
        <v>272</v>
      </c>
      <c r="BH1204" s="37" t="s">
        <v>272</v>
      </c>
      <c r="BI1204" s="248">
        <v>2.5</v>
      </c>
      <c r="BJ1204" s="248">
        <v>12.8</v>
      </c>
      <c r="BK1204" s="37"/>
      <c r="BL1204" s="263">
        <v>264.34090833793243</v>
      </c>
      <c r="BM1204" s="37" t="s">
        <v>541</v>
      </c>
      <c r="BN1204" s="37"/>
      <c r="BO1204" s="37">
        <v>0.9</v>
      </c>
      <c r="BP1204" s="37"/>
      <c r="BQ1204" s="37"/>
      <c r="BR1204" s="37"/>
      <c r="BS1204" s="37"/>
      <c r="BT1204" s="37"/>
      <c r="BU1204" s="246"/>
      <c r="BV1204" s="37"/>
      <c r="BW1204" s="37"/>
      <c r="BX1204" s="37"/>
      <c r="BY1204" s="37"/>
      <c r="BZ1204" s="37"/>
      <c r="CA1204" s="37"/>
      <c r="CB1204" s="37"/>
      <c r="CC1204" s="37"/>
      <c r="CD1204" s="37"/>
      <c r="CE1204" s="37"/>
      <c r="CF1204" s="37"/>
      <c r="CG1204" s="37"/>
      <c r="CH1204" s="37"/>
      <c r="CI1204" s="243">
        <v>0.9</v>
      </c>
      <c r="CJ1204" s="243">
        <f t="shared" si="260"/>
        <v>-4.5757490560675115E-2</v>
      </c>
      <c r="CK1204" s="38">
        <f t="shared" si="267"/>
        <v>20.651633463900971</v>
      </c>
      <c r="CL1204" s="247">
        <f t="shared" si="268"/>
        <v>293.71212037548048</v>
      </c>
      <c r="CM1204" s="247">
        <v>5.5476152000535031E-2</v>
      </c>
      <c r="CN1204" s="247">
        <f>BJ1204/(10^CM1204)</f>
        <v>11.26506800056959</v>
      </c>
      <c r="CO1204" s="36"/>
      <c r="CP1204" s="496" t="s">
        <v>1558</v>
      </c>
      <c r="CQ1204" s="241">
        <v>0.73554580874365427</v>
      </c>
      <c r="CR1204" s="241">
        <f>10^(CJ1204-CQ1204)</f>
        <v>0.1654614023017606</v>
      </c>
      <c r="CS1204" s="33"/>
      <c r="CT1204" s="33"/>
      <c r="CU1204" s="250">
        <f t="shared" si="269"/>
        <v>3100</v>
      </c>
      <c r="CV1204" s="337">
        <f t="shared" si="270"/>
        <v>217.96875</v>
      </c>
      <c r="CW1204" s="330">
        <f t="shared" si="263"/>
        <v>1</v>
      </c>
      <c r="CX1204" s="330"/>
      <c r="CY1204" s="143" t="s">
        <v>6351</v>
      </c>
    </row>
    <row r="1205" spans="1:103" ht="11.25" customHeight="1" x14ac:dyDescent="0.2">
      <c r="A1205" s="72">
        <v>1638</v>
      </c>
      <c r="B1205" s="241">
        <v>550</v>
      </c>
      <c r="C1205" s="32" t="s">
        <v>1282</v>
      </c>
      <c r="D1205" s="32"/>
      <c r="E1205" s="40"/>
      <c r="F1205" s="40" t="s">
        <v>1283</v>
      </c>
      <c r="G1205" s="242">
        <v>58899</v>
      </c>
      <c r="H1205" s="36" t="s">
        <v>1284</v>
      </c>
      <c r="I1205" s="36" t="s">
        <v>7983</v>
      </c>
      <c r="J1205" s="36" t="s">
        <v>1285</v>
      </c>
      <c r="K1205" s="36" t="s">
        <v>426</v>
      </c>
      <c r="L1205" s="36"/>
      <c r="M1205" s="36" t="s">
        <v>1286</v>
      </c>
      <c r="N1205" s="36" t="s">
        <v>6376</v>
      </c>
      <c r="O1205" s="36" t="s">
        <v>1287</v>
      </c>
      <c r="P1205" s="41" t="s">
        <v>6183</v>
      </c>
      <c r="Q1205" s="41" t="s">
        <v>6176</v>
      </c>
      <c r="R1205" s="41" t="s">
        <v>6181</v>
      </c>
      <c r="S1205" s="41" t="s">
        <v>6173</v>
      </c>
      <c r="T1205" s="37">
        <v>290.83</v>
      </c>
      <c r="U1205" s="243">
        <v>8</v>
      </c>
      <c r="V1205" s="243">
        <v>4.0439999999999996</v>
      </c>
      <c r="W1205" s="243">
        <v>6.2178351448993316</v>
      </c>
      <c r="X1205" s="243">
        <v>8</v>
      </c>
      <c r="Y1205" s="414">
        <v>7</v>
      </c>
      <c r="Z1205" s="37">
        <v>4.26</v>
      </c>
      <c r="AA1205" s="37">
        <v>4.1399999999999997</v>
      </c>
      <c r="AB1205" s="37">
        <v>3.79</v>
      </c>
      <c r="AC1205" s="37">
        <v>0.93030000000000002</v>
      </c>
      <c r="AD1205" s="37">
        <v>3.82</v>
      </c>
      <c r="AE1205" s="37">
        <v>3.99</v>
      </c>
      <c r="AF1205" s="37">
        <f t="shared" si="265"/>
        <v>4.1399999999999997</v>
      </c>
      <c r="AG1205" s="38">
        <v>3.92</v>
      </c>
      <c r="AH1205" s="243">
        <v>2.5599999999999999E-4</v>
      </c>
      <c r="AI1205" s="243">
        <v>5.1399999999999999E-6</v>
      </c>
      <c r="AJ1205" s="34">
        <f t="shared" si="264"/>
        <v>-1.9803263610008022</v>
      </c>
      <c r="AK1205" s="34">
        <f>LOG10(AI1205*1000/(0.08206*298.15))</f>
        <v>-3.6776032073173761</v>
      </c>
      <c r="AL1205" s="34">
        <f t="shared" si="266"/>
        <v>-3.6776032073173761</v>
      </c>
      <c r="AM1205" s="34">
        <v>-6.2972599999999996</v>
      </c>
      <c r="AN1205" s="244">
        <v>-3.77</v>
      </c>
      <c r="AO1205" s="417"/>
      <c r="AP1205" s="417"/>
      <c r="AQ1205" s="244" t="s">
        <v>6311</v>
      </c>
      <c r="AR1205" s="244" t="s">
        <v>6312</v>
      </c>
      <c r="AS1205" s="241" t="s">
        <v>6</v>
      </c>
      <c r="AT1205" s="39" t="s">
        <v>266</v>
      </c>
      <c r="AU1205" s="37">
        <v>2</v>
      </c>
      <c r="AV1205" s="37">
        <v>48</v>
      </c>
      <c r="AW1205" s="37">
        <v>48</v>
      </c>
      <c r="AX1205" s="37">
        <v>26</v>
      </c>
      <c r="AY1205" s="37" t="s">
        <v>647</v>
      </c>
      <c r="AZ1205" s="37" t="s">
        <v>536</v>
      </c>
      <c r="BA1205" s="37">
        <v>20</v>
      </c>
      <c r="BB1205" s="36" t="s">
        <v>537</v>
      </c>
      <c r="BC1205" s="36" t="s">
        <v>538</v>
      </c>
      <c r="BD1205" s="36"/>
      <c r="BE1205" s="37" t="s">
        <v>271</v>
      </c>
      <c r="BF1205" s="37" t="s">
        <v>539</v>
      </c>
      <c r="BG1205" s="37" t="s">
        <v>272</v>
      </c>
      <c r="BH1205" s="37" t="s">
        <v>272</v>
      </c>
      <c r="BI1205" s="248">
        <v>0.6</v>
      </c>
      <c r="BJ1205" s="248">
        <v>6.6</v>
      </c>
      <c r="BK1205" s="37"/>
      <c r="BL1205" s="263">
        <v>2.231172781737881</v>
      </c>
      <c r="BM1205" s="37" t="s">
        <v>541</v>
      </c>
      <c r="BN1205" s="37"/>
      <c r="BO1205" s="37">
        <v>0.79999999999999993</v>
      </c>
      <c r="BP1205" s="37"/>
      <c r="BQ1205" s="37"/>
      <c r="BR1205" s="37"/>
      <c r="BS1205" s="37"/>
      <c r="BT1205" s="37"/>
      <c r="BU1205" s="246"/>
      <c r="BV1205" s="37"/>
      <c r="BW1205" s="37"/>
      <c r="BX1205" s="37"/>
      <c r="BY1205" s="37"/>
      <c r="BZ1205" s="37"/>
      <c r="CA1205" s="37"/>
      <c r="CB1205" s="37"/>
      <c r="CC1205" s="37"/>
      <c r="CD1205" s="37"/>
      <c r="CE1205" s="37"/>
      <c r="CF1205" s="37"/>
      <c r="CG1205" s="37"/>
      <c r="CH1205" s="37"/>
      <c r="CI1205" s="243">
        <v>0.79999999999999993</v>
      </c>
      <c r="CJ1205" s="243">
        <f t="shared" si="260"/>
        <v>-9.6910013008056448E-2</v>
      </c>
      <c r="CK1205" s="38">
        <f t="shared" si="267"/>
        <v>0.33805648208149713</v>
      </c>
      <c r="CL1205" s="247">
        <f t="shared" si="268"/>
        <v>2.7889659771723516</v>
      </c>
      <c r="CM1205" s="247">
        <v>-1.4143096872808381</v>
      </c>
      <c r="CN1205" s="247">
        <f>BJ1205/(10^CM1205)</f>
        <v>171.33797225559928</v>
      </c>
      <c r="CO1205" s="36"/>
      <c r="CP1205" s="496" t="s">
        <v>1558</v>
      </c>
      <c r="CQ1205" s="241">
        <v>-1.1048390316279795</v>
      </c>
      <c r="CR1205" s="241">
        <f>10^(CJ1205-CQ1205)</f>
        <v>10.18424922401595</v>
      </c>
      <c r="CS1205" s="33"/>
      <c r="CT1205" s="33"/>
      <c r="CU1205" s="250">
        <f t="shared" si="269"/>
        <v>10</v>
      </c>
      <c r="CV1205" s="337">
        <f t="shared" si="270"/>
        <v>1.2121212121212122</v>
      </c>
      <c r="CW1205" s="330">
        <f t="shared" si="263"/>
        <v>1</v>
      </c>
      <c r="CX1205" s="330"/>
      <c r="CY1205" s="143" t="s">
        <v>5921</v>
      </c>
    </row>
    <row r="1206" spans="1:103" ht="11.25" customHeight="1" x14ac:dyDescent="0.2">
      <c r="A1206" s="72">
        <v>1642</v>
      </c>
      <c r="B1206" s="241">
        <v>569</v>
      </c>
      <c r="C1206" s="32" t="s">
        <v>6988</v>
      </c>
      <c r="D1206" s="32"/>
      <c r="E1206" s="40"/>
      <c r="F1206" s="40" t="s">
        <v>1748</v>
      </c>
      <c r="G1206" s="242">
        <v>62237</v>
      </c>
      <c r="H1206" s="36" t="s">
        <v>1749</v>
      </c>
      <c r="I1206" s="36" t="s">
        <v>1749</v>
      </c>
      <c r="J1206" s="36" t="s">
        <v>1750</v>
      </c>
      <c r="K1206" s="36" t="s">
        <v>426</v>
      </c>
      <c r="L1206" s="36"/>
      <c r="M1206" s="36"/>
      <c r="N1206" s="36"/>
      <c r="O1206" s="36"/>
      <c r="P1206" s="41"/>
      <c r="Q1206" s="41"/>
      <c r="R1206" s="41"/>
      <c r="S1206" s="41"/>
      <c r="T1206" s="37">
        <v>167.12</v>
      </c>
      <c r="U1206" s="243">
        <v>200</v>
      </c>
      <c r="V1206" s="243">
        <v>628.5</v>
      </c>
      <c r="W1206" s="243">
        <v>1633.1588436613506</v>
      </c>
      <c r="X1206" s="243">
        <v>200</v>
      </c>
      <c r="Y1206" s="414">
        <v>2.76</v>
      </c>
      <c r="Z1206" s="37">
        <v>1.69</v>
      </c>
      <c r="AA1206" s="37">
        <v>1.89</v>
      </c>
      <c r="AB1206" s="37">
        <v>1.96</v>
      </c>
      <c r="AC1206" s="37">
        <v>0.90569999999999995</v>
      </c>
      <c r="AD1206" s="37">
        <v>1.94</v>
      </c>
      <c r="AE1206" s="37">
        <v>1.89</v>
      </c>
      <c r="AF1206" s="37">
        <f t="shared" si="265"/>
        <v>1.89</v>
      </c>
      <c r="AG1206" s="38">
        <v>1.06</v>
      </c>
      <c r="AH1206" s="243">
        <v>4.2800000000000002E-10</v>
      </c>
      <c r="AI1206" s="243"/>
      <c r="AJ1206" s="34">
        <f t="shared" si="264"/>
        <v>-7.7571225572994793</v>
      </c>
      <c r="AK1206" s="34"/>
      <c r="AL1206" s="34">
        <f t="shared" si="266"/>
        <v>-7.7571225572994793</v>
      </c>
      <c r="AM1206" s="34">
        <v>-10.549720000000001</v>
      </c>
      <c r="AN1206" s="244">
        <v>-7.79</v>
      </c>
      <c r="AO1206" s="417">
        <v>3.42</v>
      </c>
      <c r="AP1206" s="417"/>
      <c r="AQ1206" s="244" t="s">
        <v>6311</v>
      </c>
      <c r="AR1206" s="244" t="s">
        <v>6311</v>
      </c>
      <c r="AS1206" s="241" t="s">
        <v>6</v>
      </c>
      <c r="AT1206" s="39" t="s">
        <v>266</v>
      </c>
      <c r="AU1206" s="37">
        <v>2</v>
      </c>
      <c r="AV1206" s="37">
        <v>48</v>
      </c>
      <c r="AW1206" s="37">
        <v>48</v>
      </c>
      <c r="AX1206" s="37">
        <v>26</v>
      </c>
      <c r="AY1206" s="37" t="s">
        <v>647</v>
      </c>
      <c r="AZ1206" s="37" t="s">
        <v>536</v>
      </c>
      <c r="BA1206" s="37">
        <v>20</v>
      </c>
      <c r="BB1206" s="36" t="s">
        <v>537</v>
      </c>
      <c r="BC1206" s="36" t="s">
        <v>538</v>
      </c>
      <c r="BD1206" s="36"/>
      <c r="BE1206" s="37" t="s">
        <v>271</v>
      </c>
      <c r="BF1206" s="37" t="s">
        <v>539</v>
      </c>
      <c r="BG1206" s="37" t="s">
        <v>272</v>
      </c>
      <c r="BH1206" s="37" t="s">
        <v>272</v>
      </c>
      <c r="BI1206" s="248">
        <v>10</v>
      </c>
      <c r="BJ1206" s="248">
        <v>50.7</v>
      </c>
      <c r="BK1206" s="37"/>
      <c r="BL1206" s="263">
        <v>260.63901576747332</v>
      </c>
      <c r="BM1206" s="37" t="s">
        <v>541</v>
      </c>
      <c r="BN1206" s="37"/>
      <c r="BO1206" s="37">
        <v>29.900000000000002</v>
      </c>
      <c r="BP1206" s="37"/>
      <c r="BQ1206" s="37"/>
      <c r="BR1206" s="37"/>
      <c r="BS1206" s="37"/>
      <c r="BT1206" s="37"/>
      <c r="BU1206" s="246"/>
      <c r="BV1206" s="37"/>
      <c r="BW1206" s="37"/>
      <c r="BX1206" s="37"/>
      <c r="BY1206" s="37"/>
      <c r="BZ1206" s="37"/>
      <c r="CA1206" s="37"/>
      <c r="CB1206" s="37"/>
      <c r="CC1206" s="37"/>
      <c r="CD1206" s="37"/>
      <c r="CE1206" s="37"/>
      <c r="CF1206" s="37"/>
      <c r="CG1206" s="37"/>
      <c r="CH1206" s="37"/>
      <c r="CI1206" s="243">
        <v>29.900000000000002</v>
      </c>
      <c r="CJ1206" s="243">
        <f t="shared" si="260"/>
        <v>1.4756711883244298</v>
      </c>
      <c r="CK1206" s="38">
        <f t="shared" si="267"/>
        <v>5.1408089894965148</v>
      </c>
      <c r="CL1206" s="247">
        <f t="shared" si="268"/>
        <v>8.7170239387114812</v>
      </c>
      <c r="CM1206" s="247"/>
      <c r="CN1206" s="247"/>
      <c r="CO1206" s="36"/>
      <c r="CP1206" s="496" t="s">
        <v>1558</v>
      </c>
      <c r="CQ1206" s="241" t="s">
        <v>272</v>
      </c>
      <c r="CR1206" s="241"/>
      <c r="CS1206" s="33"/>
      <c r="CT1206" s="33"/>
      <c r="CU1206" s="250">
        <f t="shared" si="269"/>
        <v>6.6889632107023402</v>
      </c>
      <c r="CV1206" s="337">
        <f t="shared" si="270"/>
        <v>3.944773175542406</v>
      </c>
      <c r="CW1206" s="330">
        <f t="shared" si="263"/>
        <v>1</v>
      </c>
      <c r="CX1206" s="330"/>
      <c r="CY1206" s="143" t="s">
        <v>6351</v>
      </c>
    </row>
    <row r="1207" spans="1:103" ht="11.25" customHeight="1" x14ac:dyDescent="0.2">
      <c r="A1207" s="72">
        <v>1643</v>
      </c>
      <c r="B1207" s="241">
        <v>486</v>
      </c>
      <c r="C1207" s="32" t="s">
        <v>1569</v>
      </c>
      <c r="D1207" s="32"/>
      <c r="E1207" s="40"/>
      <c r="F1207" s="40" t="s">
        <v>1570</v>
      </c>
      <c r="G1207" s="242">
        <v>62533</v>
      </c>
      <c r="H1207" s="36" t="s">
        <v>1571</v>
      </c>
      <c r="I1207" s="36" t="s">
        <v>1571</v>
      </c>
      <c r="J1207" s="36" t="s">
        <v>1572</v>
      </c>
      <c r="K1207" s="36" t="s">
        <v>1573</v>
      </c>
      <c r="L1207" s="36"/>
      <c r="M1207" s="36" t="s">
        <v>866</v>
      </c>
      <c r="N1207" s="36" t="s">
        <v>6082</v>
      </c>
      <c r="O1207" s="36" t="s">
        <v>498</v>
      </c>
      <c r="P1207" s="41" t="s">
        <v>6184</v>
      </c>
      <c r="Q1207" s="41" t="s">
        <v>6176</v>
      </c>
      <c r="R1207" s="41" t="s">
        <v>6185</v>
      </c>
      <c r="S1207" s="41" t="s">
        <v>6176</v>
      </c>
      <c r="T1207" s="37">
        <v>93.13</v>
      </c>
      <c r="U1207" s="243">
        <v>36000</v>
      </c>
      <c r="V1207" s="243">
        <v>20820</v>
      </c>
      <c r="W1207" s="243">
        <v>32291.602882644271</v>
      </c>
      <c r="X1207" s="243">
        <v>36000</v>
      </c>
      <c r="Y1207" s="414">
        <v>9.08</v>
      </c>
      <c r="Z1207" s="37">
        <v>1.08</v>
      </c>
      <c r="AA1207" s="37">
        <v>0.9</v>
      </c>
      <c r="AB1207" s="37">
        <v>1.25</v>
      </c>
      <c r="AC1207" s="37">
        <v>0.78800000000000003</v>
      </c>
      <c r="AD1207" s="37">
        <v>1.3</v>
      </c>
      <c r="AE1207" s="37">
        <v>1.4</v>
      </c>
      <c r="AF1207" s="37">
        <f t="shared" si="265"/>
        <v>0.9</v>
      </c>
      <c r="AG1207" s="38">
        <v>1.1100000000000001</v>
      </c>
      <c r="AH1207" s="243">
        <v>1.9E-6</v>
      </c>
      <c r="AI1207" s="243">
        <v>2.0200000000000001E-6</v>
      </c>
      <c r="AJ1207" s="34">
        <f t="shared" si="264"/>
        <v>-4.1098127253598227</v>
      </c>
      <c r="AK1207" s="34">
        <f t="shared" ref="AK1207:AK1222" si="271">LOG10(AI1207*1000/(0.08206*298.15))</f>
        <v>-4.0832149568660281</v>
      </c>
      <c r="AL1207" s="34">
        <f t="shared" si="266"/>
        <v>-4.0832149568660281</v>
      </c>
      <c r="AM1207" s="34">
        <v>-5.1368099999999997</v>
      </c>
      <c r="AN1207" s="244">
        <v>-3.95</v>
      </c>
      <c r="AO1207" s="417"/>
      <c r="AP1207" s="417">
        <v>4.6100000000000003</v>
      </c>
      <c r="AQ1207" s="244" t="s">
        <v>6311</v>
      </c>
      <c r="AR1207" s="244" t="s">
        <v>6311</v>
      </c>
      <c r="AS1207" s="241" t="s">
        <v>6</v>
      </c>
      <c r="AT1207" s="39" t="s">
        <v>266</v>
      </c>
      <c r="AU1207" s="37">
        <v>2</v>
      </c>
      <c r="AV1207" s="37">
        <v>48</v>
      </c>
      <c r="AW1207" s="37">
        <v>48</v>
      </c>
      <c r="AX1207" s="37">
        <v>26</v>
      </c>
      <c r="AY1207" s="37" t="s">
        <v>647</v>
      </c>
      <c r="AZ1207" s="37" t="s">
        <v>536</v>
      </c>
      <c r="BA1207" s="37">
        <v>20</v>
      </c>
      <c r="BB1207" s="36" t="s">
        <v>537</v>
      </c>
      <c r="BC1207" s="36" t="s">
        <v>538</v>
      </c>
      <c r="BD1207" s="36"/>
      <c r="BE1207" s="37" t="s">
        <v>271</v>
      </c>
      <c r="BF1207" s="37" t="s">
        <v>539</v>
      </c>
      <c r="BG1207" s="37" t="s">
        <v>272</v>
      </c>
      <c r="BH1207" s="37" t="s">
        <v>272</v>
      </c>
      <c r="BI1207" s="248">
        <v>47.0050472508591</v>
      </c>
      <c r="BJ1207" s="248">
        <v>238.02555841924396</v>
      </c>
      <c r="BK1207" s="37"/>
      <c r="BL1207" s="263">
        <v>512.79242714957945</v>
      </c>
      <c r="BM1207" s="37" t="s">
        <v>541</v>
      </c>
      <c r="BN1207" s="37"/>
      <c r="BO1207" s="37">
        <v>161.21731099656355</v>
      </c>
      <c r="BP1207" s="37"/>
      <c r="BQ1207" s="37"/>
      <c r="BR1207" s="37"/>
      <c r="BS1207" s="37"/>
      <c r="BT1207" s="37"/>
      <c r="BU1207" s="246"/>
      <c r="BV1207" s="37"/>
      <c r="BW1207" s="37"/>
      <c r="BX1207" s="37"/>
      <c r="BY1207" s="37"/>
      <c r="BZ1207" s="37"/>
      <c r="CA1207" s="37"/>
      <c r="CB1207" s="37"/>
      <c r="CC1207" s="37"/>
      <c r="CD1207" s="37"/>
      <c r="CE1207" s="37"/>
      <c r="CF1207" s="37"/>
      <c r="CG1207" s="37"/>
      <c r="CH1207" s="37"/>
      <c r="CI1207" s="243">
        <v>161.21731099656355</v>
      </c>
      <c r="CJ1207" s="243">
        <f t="shared" si="260"/>
        <v>2.2074116731181799</v>
      </c>
      <c r="CK1207" s="38">
        <f t="shared" si="267"/>
        <v>2.1543586770895318</v>
      </c>
      <c r="CL1207" s="247">
        <f t="shared" si="268"/>
        <v>3.1807528855292091</v>
      </c>
      <c r="CM1207" s="247">
        <v>1.4583110721791823</v>
      </c>
      <c r="CN1207" s="247">
        <f>BJ1207/(10^CM1207)</f>
        <v>8.2853816953904094</v>
      </c>
      <c r="CO1207" s="36"/>
      <c r="CP1207" s="496" t="s">
        <v>1558</v>
      </c>
      <c r="CQ1207" s="241">
        <v>1.7587483936881136</v>
      </c>
      <c r="CR1207" s="241">
        <f t="shared" ref="CR1207:CR1230" si="272">10^(CJ1207-CQ1207)</f>
        <v>2.8097215305581811</v>
      </c>
      <c r="CS1207" s="33"/>
      <c r="CT1207" s="33"/>
      <c r="CU1207" s="250">
        <f t="shared" si="269"/>
        <v>223.30108210753721</v>
      </c>
      <c r="CV1207" s="337">
        <f t="shared" si="270"/>
        <v>151.24426233502101</v>
      </c>
      <c r="CW1207" s="330">
        <f t="shared" si="263"/>
        <v>1</v>
      </c>
      <c r="CX1207" s="330"/>
      <c r="CY1207" s="143" t="s">
        <v>6351</v>
      </c>
    </row>
    <row r="1208" spans="1:103" ht="11.25" customHeight="1" x14ac:dyDescent="0.2">
      <c r="A1208" s="72">
        <v>1646</v>
      </c>
      <c r="B1208" s="241">
        <v>502</v>
      </c>
      <c r="C1208" s="32" t="s">
        <v>612</v>
      </c>
      <c r="D1208" s="32"/>
      <c r="E1208" s="40"/>
      <c r="F1208" s="40" t="s">
        <v>613</v>
      </c>
      <c r="G1208" s="242">
        <v>63252</v>
      </c>
      <c r="H1208" s="36" t="s">
        <v>614</v>
      </c>
      <c r="I1208" s="36" t="s">
        <v>614</v>
      </c>
      <c r="J1208" s="36" t="s">
        <v>615</v>
      </c>
      <c r="K1208" s="36" t="s">
        <v>616</v>
      </c>
      <c r="L1208" s="36" t="s">
        <v>617</v>
      </c>
      <c r="M1208" s="36" t="s">
        <v>618</v>
      </c>
      <c r="N1208" s="36" t="s">
        <v>6376</v>
      </c>
      <c r="O1208" s="36" t="s">
        <v>918</v>
      </c>
      <c r="P1208" s="41"/>
      <c r="Q1208" s="41" t="s">
        <v>6173</v>
      </c>
      <c r="R1208" s="41" t="s">
        <v>6185</v>
      </c>
      <c r="S1208" s="41" t="s">
        <v>6176</v>
      </c>
      <c r="T1208" s="37">
        <v>201.22</v>
      </c>
      <c r="U1208" s="243">
        <v>110</v>
      </c>
      <c r="V1208" s="243">
        <v>416.2</v>
      </c>
      <c r="W1208" s="243">
        <v>96.309947177161263</v>
      </c>
      <c r="X1208" s="243">
        <v>110</v>
      </c>
      <c r="Y1208" s="414">
        <v>6.99</v>
      </c>
      <c r="Z1208" s="37">
        <v>2.35</v>
      </c>
      <c r="AA1208" s="37">
        <v>2.36</v>
      </c>
      <c r="AB1208" s="37">
        <v>2.4500000000000002</v>
      </c>
      <c r="AC1208" s="37">
        <v>0.83340000000000003</v>
      </c>
      <c r="AD1208" s="37">
        <v>2.44</v>
      </c>
      <c r="AE1208" s="37">
        <v>2.4</v>
      </c>
      <c r="AF1208" s="37">
        <f t="shared" si="265"/>
        <v>2.36</v>
      </c>
      <c r="AG1208" s="38">
        <v>2.38</v>
      </c>
      <c r="AH1208" s="243">
        <v>3.1399999999999999E-9</v>
      </c>
      <c r="AI1208" s="243">
        <v>3.2700000000000001E-9</v>
      </c>
      <c r="AJ1208" s="34">
        <f t="shared" si="264"/>
        <v>-6.8916366782394372</v>
      </c>
      <c r="AK1208" s="34">
        <f t="shared" si="271"/>
        <v>-6.874018573652366</v>
      </c>
      <c r="AL1208" s="34">
        <f t="shared" si="266"/>
        <v>-6.874018573652366</v>
      </c>
      <c r="AM1208" s="34">
        <v>-10.500939999999998</v>
      </c>
      <c r="AN1208" s="244">
        <v>-6.44</v>
      </c>
      <c r="AO1208" s="417">
        <v>12.02</v>
      </c>
      <c r="AP1208" s="417">
        <v>-1.55</v>
      </c>
      <c r="AQ1208" s="244" t="s">
        <v>6311</v>
      </c>
      <c r="AR1208" s="244" t="s">
        <v>6314</v>
      </c>
      <c r="AS1208" s="241" t="s">
        <v>6</v>
      </c>
      <c r="AT1208" s="39" t="s">
        <v>266</v>
      </c>
      <c r="AU1208" s="37">
        <v>2</v>
      </c>
      <c r="AV1208" s="37">
        <v>48</v>
      </c>
      <c r="AW1208" s="37">
        <v>48</v>
      </c>
      <c r="AX1208" s="37">
        <v>26</v>
      </c>
      <c r="AY1208" s="37" t="s">
        <v>647</v>
      </c>
      <c r="AZ1208" s="37" t="s">
        <v>536</v>
      </c>
      <c r="BA1208" s="37">
        <v>20</v>
      </c>
      <c r="BB1208" s="36" t="s">
        <v>537</v>
      </c>
      <c r="BC1208" s="36" t="s">
        <v>1618</v>
      </c>
      <c r="BD1208" s="36" t="s">
        <v>8374</v>
      </c>
      <c r="BE1208" s="37" t="s">
        <v>271</v>
      </c>
      <c r="BF1208" s="37" t="s">
        <v>539</v>
      </c>
      <c r="BG1208" s="37" t="s">
        <v>272</v>
      </c>
      <c r="BH1208" s="37" t="s">
        <v>272</v>
      </c>
      <c r="BI1208" s="248">
        <v>2.1998906723649556</v>
      </c>
      <c r="BJ1208" s="248">
        <v>10.899458331262736</v>
      </c>
      <c r="BK1208" s="37"/>
      <c r="BL1208" s="263">
        <v>80.156019944741601</v>
      </c>
      <c r="BM1208" s="37" t="s">
        <v>541</v>
      </c>
      <c r="BN1208" s="37"/>
      <c r="BO1208" s="37">
        <v>4.7</v>
      </c>
      <c r="BP1208" s="37"/>
      <c r="BQ1208" s="37"/>
      <c r="BR1208" s="37"/>
      <c r="BS1208" s="37"/>
      <c r="BT1208" s="37"/>
      <c r="BU1208" s="246"/>
      <c r="BV1208" s="37"/>
      <c r="BW1208" s="37"/>
      <c r="BX1208" s="37"/>
      <c r="BY1208" s="37"/>
      <c r="BZ1208" s="37"/>
      <c r="CA1208" s="37"/>
      <c r="CB1208" s="37"/>
      <c r="CC1208" s="37"/>
      <c r="CD1208" s="37"/>
      <c r="CE1208" s="37"/>
      <c r="CF1208" s="37"/>
      <c r="CG1208" s="37"/>
      <c r="CH1208" s="37"/>
      <c r="CI1208" s="243">
        <v>4.7</v>
      </c>
      <c r="CJ1208" s="243">
        <f t="shared" si="260"/>
        <v>0.67209785793571752</v>
      </c>
      <c r="CK1208" s="38">
        <f t="shared" si="267"/>
        <v>7.3541287565485174</v>
      </c>
      <c r="CL1208" s="247">
        <f t="shared" si="268"/>
        <v>17.054472328668425</v>
      </c>
      <c r="CM1208" s="247">
        <v>0.27580627284202597</v>
      </c>
      <c r="CN1208" s="247">
        <f>BJ1208/(10^CM1208)</f>
        <v>5.7756204116158028</v>
      </c>
      <c r="CO1208" s="36"/>
      <c r="CP1208" s="496" t="s">
        <v>1558</v>
      </c>
      <c r="CQ1208" s="241">
        <v>0.61609346580285851</v>
      </c>
      <c r="CR1208" s="241">
        <f t="shared" si="272"/>
        <v>1.137638791001732</v>
      </c>
      <c r="CS1208" s="33"/>
      <c r="CT1208" s="33"/>
      <c r="CU1208" s="250">
        <f t="shared" si="269"/>
        <v>23.404255319148934</v>
      </c>
      <c r="CV1208" s="337">
        <f t="shared" si="270"/>
        <v>10.092244647102216</v>
      </c>
      <c r="CW1208" s="330">
        <f t="shared" si="263"/>
        <v>1</v>
      </c>
      <c r="CX1208" s="330"/>
      <c r="CY1208" s="143" t="s">
        <v>5921</v>
      </c>
    </row>
    <row r="1209" spans="1:103" ht="11.25" customHeight="1" x14ac:dyDescent="0.2">
      <c r="A1209" s="72">
        <v>1654</v>
      </c>
      <c r="B1209" s="241">
        <v>489</v>
      </c>
      <c r="C1209" s="32" t="s">
        <v>6994</v>
      </c>
      <c r="D1209" s="32"/>
      <c r="E1209" s="40"/>
      <c r="F1209" s="40" t="s">
        <v>680</v>
      </c>
      <c r="G1209" s="242">
        <v>65850</v>
      </c>
      <c r="H1209" s="36" t="s">
        <v>681</v>
      </c>
      <c r="I1209" s="36" t="s">
        <v>681</v>
      </c>
      <c r="J1209" s="36" t="s">
        <v>682</v>
      </c>
      <c r="K1209" s="36" t="s">
        <v>426</v>
      </c>
      <c r="L1209" s="36" t="s">
        <v>6115</v>
      </c>
      <c r="M1209" s="36" t="s">
        <v>5960</v>
      </c>
      <c r="N1209" s="36"/>
      <c r="O1209" s="36"/>
      <c r="P1209" s="41"/>
      <c r="Q1209" s="41"/>
      <c r="R1209" s="41"/>
      <c r="S1209" s="41"/>
      <c r="T1209" s="37">
        <v>122.12</v>
      </c>
      <c r="U1209" s="243">
        <v>3400</v>
      </c>
      <c r="V1209" s="243">
        <v>2493</v>
      </c>
      <c r="W1209" s="243">
        <v>4234.3504177263158</v>
      </c>
      <c r="X1209" s="243">
        <v>3400</v>
      </c>
      <c r="Y1209" s="414">
        <v>2.84</v>
      </c>
      <c r="Z1209" s="37">
        <v>1.87</v>
      </c>
      <c r="AA1209" s="37">
        <v>1.87</v>
      </c>
      <c r="AB1209" s="37">
        <v>1.87</v>
      </c>
      <c r="AC1209" s="37">
        <v>0.87239999999999995</v>
      </c>
      <c r="AD1209" s="37">
        <v>1.87</v>
      </c>
      <c r="AE1209" s="37">
        <v>1.89</v>
      </c>
      <c r="AF1209" s="37">
        <f t="shared" si="265"/>
        <v>1.87</v>
      </c>
      <c r="AG1209" s="38">
        <v>1.44</v>
      </c>
      <c r="AH1209" s="243">
        <v>1.08E-7</v>
      </c>
      <c r="AI1209" s="243">
        <v>3.8099999999999997E-8</v>
      </c>
      <c r="AJ1209" s="34">
        <f t="shared" si="264"/>
        <v>-5.3551425708257021</v>
      </c>
      <c r="AK1209" s="34">
        <f t="shared" si="271"/>
        <v>-5.8076413506370326</v>
      </c>
      <c r="AL1209" s="34">
        <f t="shared" si="266"/>
        <v>-5.8076413506370326</v>
      </c>
      <c r="AM1209" s="34">
        <v>-7.6162700000000001</v>
      </c>
      <c r="AN1209" s="244">
        <v>-5.58</v>
      </c>
      <c r="AO1209" s="417">
        <v>4.2</v>
      </c>
      <c r="AP1209" s="417"/>
      <c r="AQ1209" s="244" t="s">
        <v>6311</v>
      </c>
      <c r="AR1209" s="244" t="s">
        <v>6311</v>
      </c>
      <c r="AS1209" s="241" t="s">
        <v>6</v>
      </c>
      <c r="AT1209" s="39" t="s">
        <v>266</v>
      </c>
      <c r="AU1209" s="37">
        <v>2</v>
      </c>
      <c r="AV1209" s="37">
        <v>48</v>
      </c>
      <c r="AW1209" s="37">
        <v>48</v>
      </c>
      <c r="AX1209" s="37">
        <v>26</v>
      </c>
      <c r="AY1209" s="37" t="s">
        <v>647</v>
      </c>
      <c r="AZ1209" s="37" t="s">
        <v>536</v>
      </c>
      <c r="BA1209" s="37">
        <v>20</v>
      </c>
      <c r="BB1209" s="36" t="s">
        <v>537</v>
      </c>
      <c r="BC1209" s="36" t="s">
        <v>538</v>
      </c>
      <c r="BD1209" s="36"/>
      <c r="BE1209" s="37" t="s">
        <v>271</v>
      </c>
      <c r="BF1209" s="37" t="s">
        <v>539</v>
      </c>
      <c r="BG1209" s="37" t="s">
        <v>272</v>
      </c>
      <c r="BH1209" s="37" t="s">
        <v>272</v>
      </c>
      <c r="BI1209" s="248">
        <v>15.4</v>
      </c>
      <c r="BJ1209" s="248">
        <v>350</v>
      </c>
      <c r="BK1209" s="37"/>
      <c r="BL1209" s="263">
        <v>131.26223527730363</v>
      </c>
      <c r="BM1209" s="37" t="s">
        <v>541</v>
      </c>
      <c r="BN1209" s="37"/>
      <c r="BO1209" s="37">
        <v>20.100000000000001</v>
      </c>
      <c r="BP1209" s="37"/>
      <c r="BQ1209" s="37"/>
      <c r="BR1209" s="37"/>
      <c r="BS1209" s="37"/>
      <c r="BT1209" s="37"/>
      <c r="BU1209" s="246"/>
      <c r="BV1209" s="37"/>
      <c r="BW1209" s="37"/>
      <c r="BX1209" s="37"/>
      <c r="BY1209" s="37"/>
      <c r="BZ1209" s="37"/>
      <c r="CA1209" s="37"/>
      <c r="CB1209" s="37"/>
      <c r="CC1209" s="37"/>
      <c r="CD1209" s="37"/>
      <c r="CE1209" s="37"/>
      <c r="CF1209" s="37"/>
      <c r="CG1209" s="37"/>
      <c r="CH1209" s="37"/>
      <c r="CI1209" s="243">
        <v>20.100000000000001</v>
      </c>
      <c r="CJ1209" s="243">
        <f t="shared" si="260"/>
        <v>1.3031960574204888</v>
      </c>
      <c r="CK1209" s="38">
        <f t="shared" si="267"/>
        <v>0.37503495793515323</v>
      </c>
      <c r="CL1209" s="247">
        <f t="shared" si="268"/>
        <v>6.5304594665325189</v>
      </c>
      <c r="CM1209" s="247"/>
      <c r="CN1209" s="247"/>
      <c r="CO1209" s="36"/>
      <c r="CP1209" s="496" t="s">
        <v>1558</v>
      </c>
      <c r="CQ1209" s="241">
        <v>2.255272505103306</v>
      </c>
      <c r="CR1209" s="241">
        <f t="shared" si="272"/>
        <v>0.11166666666666664</v>
      </c>
      <c r="CS1209" s="33"/>
      <c r="CT1209" s="33"/>
      <c r="CU1209" s="250">
        <f t="shared" si="269"/>
        <v>169.15422885572139</v>
      </c>
      <c r="CV1209" s="337">
        <f t="shared" si="270"/>
        <v>9.7142857142857135</v>
      </c>
      <c r="CW1209" s="330">
        <f t="shared" si="263"/>
        <v>1</v>
      </c>
      <c r="CX1209" s="330"/>
      <c r="CY1209" s="143" t="s">
        <v>6351</v>
      </c>
    </row>
    <row r="1210" spans="1:103" ht="11.25" customHeight="1" x14ac:dyDescent="0.2">
      <c r="A1210" s="72">
        <v>1692</v>
      </c>
      <c r="B1210" s="241">
        <v>567</v>
      </c>
      <c r="C1210" s="32" t="s">
        <v>7636</v>
      </c>
      <c r="D1210" s="32"/>
      <c r="E1210" s="40"/>
      <c r="F1210" s="40" t="s">
        <v>1742</v>
      </c>
      <c r="G1210" s="242">
        <v>88744</v>
      </c>
      <c r="H1210" s="36" t="s">
        <v>1743</v>
      </c>
      <c r="I1210" s="36" t="s">
        <v>1743</v>
      </c>
      <c r="J1210" s="36" t="s">
        <v>1744</v>
      </c>
      <c r="K1210" s="36" t="s">
        <v>1573</v>
      </c>
      <c r="L1210" s="36"/>
      <c r="M1210" s="36"/>
      <c r="N1210" s="36"/>
      <c r="O1210" s="36"/>
      <c r="P1210" s="41" t="s">
        <v>6184</v>
      </c>
      <c r="Q1210" s="41" t="s">
        <v>6176</v>
      </c>
      <c r="R1210" s="41" t="s">
        <v>6185</v>
      </c>
      <c r="S1210" s="41" t="s">
        <v>6182</v>
      </c>
      <c r="T1210" s="37">
        <v>138.12</v>
      </c>
      <c r="U1210" s="243">
        <v>1470</v>
      </c>
      <c r="V1210" s="243">
        <v>2242.9999999999995</v>
      </c>
      <c r="W1210" s="243">
        <v>1202.9749104473378</v>
      </c>
      <c r="X1210" s="243">
        <v>1470</v>
      </c>
      <c r="Y1210" s="414">
        <v>7</v>
      </c>
      <c r="Z1210" s="37">
        <v>2.02</v>
      </c>
      <c r="AA1210" s="37">
        <v>1.85</v>
      </c>
      <c r="AB1210" s="37">
        <v>1.81</v>
      </c>
      <c r="AC1210" s="37">
        <v>0.9173</v>
      </c>
      <c r="AD1210" s="37">
        <v>1.81</v>
      </c>
      <c r="AE1210" s="37">
        <v>1.83</v>
      </c>
      <c r="AF1210" s="37">
        <f t="shared" si="265"/>
        <v>1.85</v>
      </c>
      <c r="AG1210" s="38">
        <v>0.73</v>
      </c>
      <c r="AH1210" s="243">
        <v>1.6400000000000001E-7</v>
      </c>
      <c r="AI1210" s="243">
        <v>5.8999999999999999E-8</v>
      </c>
      <c r="AJ1210" s="34">
        <f t="shared" si="264"/>
        <v>-5.1737224782649536</v>
      </c>
      <c r="AK1210" s="34">
        <f t="shared" si="271"/>
        <v>-5.6177143146705077</v>
      </c>
      <c r="AL1210" s="34">
        <f t="shared" si="266"/>
        <v>-5.6177143146705077</v>
      </c>
      <c r="AM1210" s="34">
        <v>-7.8386800000000001</v>
      </c>
      <c r="AN1210" s="244">
        <v>-4.43</v>
      </c>
      <c r="AO1210" s="417"/>
      <c r="AP1210" s="417">
        <v>-0.23</v>
      </c>
      <c r="AQ1210" s="244" t="s">
        <v>6311</v>
      </c>
      <c r="AR1210" s="244" t="s">
        <v>6311</v>
      </c>
      <c r="AS1210" s="241" t="s">
        <v>6</v>
      </c>
      <c r="AT1210" s="39" t="s">
        <v>266</v>
      </c>
      <c r="AU1210" s="37">
        <v>2</v>
      </c>
      <c r="AV1210" s="37">
        <v>48</v>
      </c>
      <c r="AW1210" s="37">
        <v>48</v>
      </c>
      <c r="AX1210" s="37">
        <v>26</v>
      </c>
      <c r="AY1210" s="37" t="s">
        <v>647</v>
      </c>
      <c r="AZ1210" s="37" t="s">
        <v>536</v>
      </c>
      <c r="BA1210" s="37">
        <v>20</v>
      </c>
      <c r="BB1210" s="36" t="s">
        <v>537</v>
      </c>
      <c r="BC1210" s="36" t="s">
        <v>538</v>
      </c>
      <c r="BD1210" s="36"/>
      <c r="BE1210" s="37" t="s">
        <v>271</v>
      </c>
      <c r="BF1210" s="37" t="s">
        <v>539</v>
      </c>
      <c r="BG1210" s="37" t="s">
        <v>272</v>
      </c>
      <c r="BH1210" s="37" t="s">
        <v>272</v>
      </c>
      <c r="BI1210" s="250">
        <v>6.300912382331644</v>
      </c>
      <c r="BJ1210" s="250">
        <v>32.004634322954381</v>
      </c>
      <c r="BK1210" s="37"/>
      <c r="BL1210" s="263">
        <v>108.86657742559237</v>
      </c>
      <c r="BM1210" s="37" t="s">
        <v>541</v>
      </c>
      <c r="BN1210" s="37"/>
      <c r="BO1210" s="37">
        <v>21.503113685734977</v>
      </c>
      <c r="BP1210" s="37"/>
      <c r="BQ1210" s="37"/>
      <c r="BR1210" s="37"/>
      <c r="BS1210" s="37"/>
      <c r="BT1210" s="37"/>
      <c r="BU1210" s="246"/>
      <c r="BV1210" s="37"/>
      <c r="BW1210" s="37"/>
      <c r="BX1210" s="37"/>
      <c r="BY1210" s="37"/>
      <c r="BZ1210" s="37"/>
      <c r="CA1210" s="37"/>
      <c r="CB1210" s="37"/>
      <c r="CC1210" s="37"/>
      <c r="CD1210" s="37"/>
      <c r="CE1210" s="37"/>
      <c r="CF1210" s="37"/>
      <c r="CG1210" s="37"/>
      <c r="CH1210" s="37"/>
      <c r="CI1210" s="243">
        <v>21.503113685734977</v>
      </c>
      <c r="CJ1210" s="243">
        <f t="shared" si="260"/>
        <v>1.3325013510143908</v>
      </c>
      <c r="CK1210" s="38">
        <f t="shared" si="267"/>
        <v>3.4015879177694908</v>
      </c>
      <c r="CL1210" s="247">
        <f t="shared" si="268"/>
        <v>5.0628285287731947</v>
      </c>
      <c r="CM1210" s="247"/>
      <c r="CN1210" s="247"/>
      <c r="CO1210" s="36"/>
      <c r="CP1210" s="496" t="s">
        <v>1558</v>
      </c>
      <c r="CQ1210" s="241">
        <v>1.289662586679972</v>
      </c>
      <c r="CR1210" s="241">
        <f t="shared" si="272"/>
        <v>1.1036687970342391</v>
      </c>
      <c r="CS1210" s="33"/>
      <c r="CT1210" s="33"/>
      <c r="CU1210" s="250">
        <f t="shared" si="269"/>
        <v>68.362192633301675</v>
      </c>
      <c r="CV1210" s="337">
        <f t="shared" si="270"/>
        <v>45.930848175499563</v>
      </c>
      <c r="CW1210" s="330">
        <f t="shared" si="263"/>
        <v>1</v>
      </c>
      <c r="CX1210" s="330"/>
      <c r="CY1210" s="143" t="s">
        <v>6351</v>
      </c>
    </row>
    <row r="1211" spans="1:103" ht="11.25" customHeight="1" x14ac:dyDescent="0.2">
      <c r="A1211" s="72">
        <v>1696</v>
      </c>
      <c r="B1211" s="241">
        <v>504</v>
      </c>
      <c r="C1211" s="32" t="s">
        <v>7639</v>
      </c>
      <c r="D1211" s="32" t="s">
        <v>8693</v>
      </c>
      <c r="E1211" s="40"/>
      <c r="F1211" s="40" t="s">
        <v>1623</v>
      </c>
      <c r="G1211" s="242">
        <v>95512</v>
      </c>
      <c r="H1211" s="36" t="s">
        <v>1624</v>
      </c>
      <c r="I1211" s="36" t="s">
        <v>8212</v>
      </c>
      <c r="J1211" s="36" t="s">
        <v>1625</v>
      </c>
      <c r="K1211" s="36" t="s">
        <v>1573</v>
      </c>
      <c r="L1211" s="36"/>
      <c r="M1211" s="36" t="s">
        <v>6616</v>
      </c>
      <c r="N1211" s="36" t="s">
        <v>6082</v>
      </c>
      <c r="O1211" s="36" t="s">
        <v>498</v>
      </c>
      <c r="P1211" s="41" t="s">
        <v>6184</v>
      </c>
      <c r="Q1211" s="41" t="s">
        <v>6176</v>
      </c>
      <c r="R1211" s="41" t="s">
        <v>6185</v>
      </c>
      <c r="S1211" s="41" t="s">
        <v>6176</v>
      </c>
      <c r="T1211" s="37">
        <v>127.57</v>
      </c>
      <c r="U1211" s="243">
        <v>8160</v>
      </c>
      <c r="V1211" s="243">
        <v>2241</v>
      </c>
      <c r="W1211" s="243">
        <v>1305.4148702525572</v>
      </c>
      <c r="X1211" s="243">
        <v>8160</v>
      </c>
      <c r="Y1211" s="414">
        <v>7.37</v>
      </c>
      <c r="Z1211" s="37">
        <v>1.72</v>
      </c>
      <c r="AA1211" s="37">
        <v>1.9</v>
      </c>
      <c r="AB1211" s="37">
        <v>2.11</v>
      </c>
      <c r="AC1211" s="37">
        <v>0.91159999999999997</v>
      </c>
      <c r="AD1211" s="37">
        <v>2.06</v>
      </c>
      <c r="AE1211" s="37">
        <v>1.91</v>
      </c>
      <c r="AF1211" s="37">
        <f t="shared" si="265"/>
        <v>1.9</v>
      </c>
      <c r="AG1211" s="38">
        <v>1.79</v>
      </c>
      <c r="AH1211" s="243">
        <v>1.4100000000000001E-6</v>
      </c>
      <c r="AI1211" s="243">
        <v>5.3900000000000001E-6</v>
      </c>
      <c r="AJ1211" s="34">
        <f t="shared" si="264"/>
        <v>-4.2393472136572719</v>
      </c>
      <c r="AK1211" s="34">
        <f t="shared" si="271"/>
        <v>-3.6569775611259132</v>
      </c>
      <c r="AL1211" s="34">
        <f t="shared" si="266"/>
        <v>-3.6569775611259132</v>
      </c>
      <c r="AM1211" s="34">
        <v>-6.6838999999999995</v>
      </c>
      <c r="AN1211" s="244">
        <v>-2.79</v>
      </c>
      <c r="AO1211" s="417"/>
      <c r="AP1211" s="417">
        <v>2.65</v>
      </c>
      <c r="AQ1211" s="244" t="s">
        <v>6311</v>
      </c>
      <c r="AR1211" s="244" t="s">
        <v>6311</v>
      </c>
      <c r="AS1211" s="241" t="s">
        <v>6</v>
      </c>
      <c r="AT1211" s="39" t="s">
        <v>266</v>
      </c>
      <c r="AU1211" s="37">
        <v>2</v>
      </c>
      <c r="AV1211" s="37">
        <v>48</v>
      </c>
      <c r="AW1211" s="37">
        <v>48</v>
      </c>
      <c r="AX1211" s="37">
        <v>26</v>
      </c>
      <c r="AY1211" s="37" t="s">
        <v>647</v>
      </c>
      <c r="AZ1211" s="37" t="s">
        <v>536</v>
      </c>
      <c r="BA1211" s="37">
        <v>20</v>
      </c>
      <c r="BB1211" s="36" t="s">
        <v>537</v>
      </c>
      <c r="BC1211" s="36" t="s">
        <v>538</v>
      </c>
      <c r="BD1211" s="36"/>
      <c r="BE1211" s="37" t="s">
        <v>271</v>
      </c>
      <c r="BF1211" s="37" t="s">
        <v>539</v>
      </c>
      <c r="BG1211" s="37" t="s">
        <v>272</v>
      </c>
      <c r="BH1211" s="37" t="s">
        <v>272</v>
      </c>
      <c r="BI1211" s="250">
        <v>7.298283699059561</v>
      </c>
      <c r="BJ1211" s="250">
        <v>37.191253918495299</v>
      </c>
      <c r="BK1211" s="37"/>
      <c r="BL1211" s="263">
        <v>186.98921376193246</v>
      </c>
      <c r="BM1211" s="37" t="s">
        <v>541</v>
      </c>
      <c r="BN1211" s="37"/>
      <c r="BO1211" s="37">
        <v>28.293346394984326</v>
      </c>
      <c r="BP1211" s="37"/>
      <c r="BQ1211" s="37"/>
      <c r="BR1211" s="37"/>
      <c r="BS1211" s="37"/>
      <c r="BT1211" s="37"/>
      <c r="BU1211" s="246"/>
      <c r="BV1211" s="37"/>
      <c r="BW1211" s="37"/>
      <c r="BX1211" s="37"/>
      <c r="BY1211" s="37"/>
      <c r="BZ1211" s="37"/>
      <c r="CA1211" s="37"/>
      <c r="CB1211" s="37"/>
      <c r="CC1211" s="37"/>
      <c r="CD1211" s="37"/>
      <c r="CE1211" s="37"/>
      <c r="CF1211" s="37"/>
      <c r="CG1211" s="37"/>
      <c r="CH1211" s="37"/>
      <c r="CI1211" s="243">
        <v>28.293346394984326</v>
      </c>
      <c r="CJ1211" s="243">
        <f t="shared" si="260"/>
        <v>1.4516843166661397</v>
      </c>
      <c r="CK1211" s="38">
        <f t="shared" si="267"/>
        <v>5.0277738462843891</v>
      </c>
      <c r="CL1211" s="247">
        <f t="shared" si="268"/>
        <v>6.6089465399922007</v>
      </c>
      <c r="CM1211" s="247"/>
      <c r="CN1211" s="247"/>
      <c r="CO1211" s="36"/>
      <c r="CP1211" s="496" t="s">
        <v>1558</v>
      </c>
      <c r="CQ1211" s="241">
        <v>0.73908560540272827</v>
      </c>
      <c r="CR1211" s="241">
        <f t="shared" si="272"/>
        <v>5.1593942017618648</v>
      </c>
      <c r="CS1211" s="33"/>
      <c r="CT1211" s="33"/>
      <c r="CU1211" s="250">
        <f t="shared" si="269"/>
        <v>288.40702991027445</v>
      </c>
      <c r="CV1211" s="337">
        <f t="shared" si="270"/>
        <v>219.40642329195609</v>
      </c>
      <c r="CW1211" s="330">
        <f t="shared" si="263"/>
        <v>1</v>
      </c>
      <c r="CX1211" s="330"/>
      <c r="CY1211" s="143" t="s">
        <v>6351</v>
      </c>
    </row>
    <row r="1212" spans="1:103" ht="11.25" customHeight="1" x14ac:dyDescent="0.2">
      <c r="A1212" s="72">
        <v>1702</v>
      </c>
      <c r="B1212" s="241">
        <v>525</v>
      </c>
      <c r="C1212" s="32" t="s">
        <v>1669</v>
      </c>
      <c r="D1212" s="32"/>
      <c r="E1212" s="40"/>
      <c r="F1212" s="40" t="s">
        <v>1670</v>
      </c>
      <c r="G1212" s="242">
        <v>95761</v>
      </c>
      <c r="H1212" s="36" t="s">
        <v>1671</v>
      </c>
      <c r="I1212" s="36" t="s">
        <v>8213</v>
      </c>
      <c r="J1212" s="36" t="s">
        <v>1672</v>
      </c>
      <c r="K1212" s="36" t="s">
        <v>1573</v>
      </c>
      <c r="L1212" s="36"/>
      <c r="M1212" s="36" t="s">
        <v>1629</v>
      </c>
      <c r="N1212" s="36" t="s">
        <v>6385</v>
      </c>
      <c r="O1212" s="36" t="s">
        <v>498</v>
      </c>
      <c r="P1212" s="41" t="s">
        <v>6184</v>
      </c>
      <c r="Q1212" s="41" t="s">
        <v>6176</v>
      </c>
      <c r="R1212" s="41" t="s">
        <v>6185</v>
      </c>
      <c r="S1212" s="41" t="s">
        <v>6176</v>
      </c>
      <c r="T1212" s="37">
        <v>162.02000000000001</v>
      </c>
      <c r="U1212" s="243">
        <v>92</v>
      </c>
      <c r="V1212" s="243">
        <v>337.9</v>
      </c>
      <c r="W1212" s="243">
        <v>294.82793311198913</v>
      </c>
      <c r="X1212" s="243">
        <v>92</v>
      </c>
      <c r="Y1212" s="414">
        <v>7.2</v>
      </c>
      <c r="Z1212" s="37">
        <v>2.37</v>
      </c>
      <c r="AA1212" s="37">
        <v>2.69</v>
      </c>
      <c r="AB1212" s="37">
        <v>2.62</v>
      </c>
      <c r="AC1212" s="37">
        <v>0.89139999999999997</v>
      </c>
      <c r="AD1212" s="37">
        <v>2.6</v>
      </c>
      <c r="AE1212" s="37">
        <v>2.5099999999999998</v>
      </c>
      <c r="AF1212" s="37">
        <f t="shared" si="265"/>
        <v>2.69</v>
      </c>
      <c r="AG1212" s="38">
        <v>2.4700000000000002</v>
      </c>
      <c r="AH1212" s="243">
        <v>1.0499999999999999E-6</v>
      </c>
      <c r="AI1212" s="243">
        <v>1.4600000000000001E-5</v>
      </c>
      <c r="AJ1212" s="34">
        <f t="shared" si="264"/>
        <v>-4.3673770272427141</v>
      </c>
      <c r="AK1212" s="34">
        <f t="shared" si="271"/>
        <v>-3.2242134705282148</v>
      </c>
      <c r="AL1212" s="34">
        <f t="shared" si="266"/>
        <v>-3.2242134705282148</v>
      </c>
      <c r="AM1212" s="34">
        <v>-7.2924100000000003</v>
      </c>
      <c r="AN1212" s="244">
        <v>-4.37</v>
      </c>
      <c r="AO1212" s="417"/>
      <c r="AP1212" s="417">
        <v>2.9</v>
      </c>
      <c r="AQ1212" s="244" t="s">
        <v>6311</v>
      </c>
      <c r="AR1212" s="244" t="s">
        <v>6311</v>
      </c>
      <c r="AS1212" s="241" t="s">
        <v>6</v>
      </c>
      <c r="AT1212" s="39" t="s">
        <v>266</v>
      </c>
      <c r="AU1212" s="37">
        <v>2</v>
      </c>
      <c r="AV1212" s="37">
        <v>48</v>
      </c>
      <c r="AW1212" s="37">
        <v>48</v>
      </c>
      <c r="AX1212" s="37">
        <v>26</v>
      </c>
      <c r="AY1212" s="37" t="s">
        <v>647</v>
      </c>
      <c r="AZ1212" s="37" t="s">
        <v>536</v>
      </c>
      <c r="BA1212" s="37">
        <v>20</v>
      </c>
      <c r="BB1212" s="36" t="s">
        <v>537</v>
      </c>
      <c r="BC1212" s="36" t="s">
        <v>538</v>
      </c>
      <c r="BD1212" s="36"/>
      <c r="BE1212" s="37" t="s">
        <v>271</v>
      </c>
      <c r="BF1212" s="37" t="s">
        <v>539</v>
      </c>
      <c r="BG1212" s="37" t="s">
        <v>272</v>
      </c>
      <c r="BH1212" s="37" t="s">
        <v>272</v>
      </c>
      <c r="BI1212" s="250">
        <v>0.7</v>
      </c>
      <c r="BJ1212" s="250">
        <v>3.7</v>
      </c>
      <c r="BK1212" s="37"/>
      <c r="BL1212" s="263">
        <v>61.925800289105773</v>
      </c>
      <c r="BM1212" s="37" t="s">
        <v>541</v>
      </c>
      <c r="BN1212" s="37"/>
      <c r="BO1212" s="37">
        <v>2.4</v>
      </c>
      <c r="BP1212" s="37"/>
      <c r="BQ1212" s="37"/>
      <c r="BR1212" s="37"/>
      <c r="BS1212" s="37"/>
      <c r="BT1212" s="37"/>
      <c r="BU1212" s="246"/>
      <c r="BV1212" s="37"/>
      <c r="BW1212" s="37"/>
      <c r="BX1212" s="37"/>
      <c r="BY1212" s="37"/>
      <c r="BZ1212" s="37"/>
      <c r="CA1212" s="37"/>
      <c r="CB1212" s="37"/>
      <c r="CC1212" s="37"/>
      <c r="CD1212" s="37"/>
      <c r="CE1212" s="37"/>
      <c r="CF1212" s="37"/>
      <c r="CG1212" s="37"/>
      <c r="CH1212" s="37"/>
      <c r="CI1212" s="243">
        <v>2.4</v>
      </c>
      <c r="CJ1212" s="243">
        <f t="shared" si="260"/>
        <v>0.38021124171160603</v>
      </c>
      <c r="CK1212" s="38">
        <f t="shared" si="267"/>
        <v>16.736702780839398</v>
      </c>
      <c r="CL1212" s="247">
        <f t="shared" si="268"/>
        <v>25.802416787127406</v>
      </c>
      <c r="CM1212" s="247">
        <v>0.35012181688711158</v>
      </c>
      <c r="CN1212" s="247">
        <f>BJ1212/(10^CM1212)</f>
        <v>1.6522657757343546</v>
      </c>
      <c r="CO1212" s="36"/>
      <c r="CP1212" s="496" t="s">
        <v>1558</v>
      </c>
      <c r="CQ1212" s="241">
        <v>0.74774431752431614</v>
      </c>
      <c r="CR1212" s="241">
        <f t="shared" si="272"/>
        <v>0.42900951468437981</v>
      </c>
      <c r="CS1212" s="33"/>
      <c r="CT1212" s="33"/>
      <c r="CU1212" s="250">
        <f t="shared" si="269"/>
        <v>38.333333333333336</v>
      </c>
      <c r="CV1212" s="337">
        <f t="shared" si="270"/>
        <v>24.864864864864863</v>
      </c>
      <c r="CW1212" s="330">
        <f t="shared" si="263"/>
        <v>1</v>
      </c>
      <c r="CX1212" s="330"/>
      <c r="CY1212" s="143" t="s">
        <v>6351</v>
      </c>
    </row>
    <row r="1213" spans="1:103" ht="11.25" customHeight="1" x14ac:dyDescent="0.2">
      <c r="A1213" s="72">
        <v>1709</v>
      </c>
      <c r="B1213" s="241">
        <v>570</v>
      </c>
      <c r="C1213" s="32" t="s">
        <v>1751</v>
      </c>
      <c r="D1213" s="32"/>
      <c r="E1213" s="40"/>
      <c r="F1213" s="40" t="s">
        <v>1752</v>
      </c>
      <c r="G1213" s="242">
        <v>100027</v>
      </c>
      <c r="H1213" s="36" t="s">
        <v>1753</v>
      </c>
      <c r="I1213" s="36" t="s">
        <v>1753</v>
      </c>
      <c r="J1213" s="36" t="s">
        <v>1754</v>
      </c>
      <c r="K1213" s="36" t="s">
        <v>349</v>
      </c>
      <c r="L1213" s="36"/>
      <c r="M1213" s="36" t="s">
        <v>1694</v>
      </c>
      <c r="N1213" s="36" t="s">
        <v>6381</v>
      </c>
      <c r="O1213" s="36" t="s">
        <v>1755</v>
      </c>
      <c r="P1213" s="41" t="s">
        <v>6184</v>
      </c>
      <c r="Q1213" s="41" t="s">
        <v>6182</v>
      </c>
      <c r="R1213" s="41" t="s">
        <v>6185</v>
      </c>
      <c r="S1213" s="41" t="s">
        <v>6176</v>
      </c>
      <c r="T1213" s="37">
        <v>139.11000000000001</v>
      </c>
      <c r="U1213" s="243">
        <v>11600</v>
      </c>
      <c r="V1213" s="243">
        <v>7507</v>
      </c>
      <c r="W1213" s="243">
        <v>3744.1940657427303</v>
      </c>
      <c r="X1213" s="243">
        <v>11600</v>
      </c>
      <c r="Y1213" s="414">
        <v>4.4000000000000004</v>
      </c>
      <c r="Z1213" s="37">
        <v>1.91</v>
      </c>
      <c r="AA1213" s="37">
        <v>1.91</v>
      </c>
      <c r="AB1213" s="37">
        <v>1.74</v>
      </c>
      <c r="AC1213" s="37">
        <v>0.92979999999999996</v>
      </c>
      <c r="AD1213" s="37">
        <v>1.71</v>
      </c>
      <c r="AE1213" s="37">
        <v>1.57</v>
      </c>
      <c r="AF1213" s="37">
        <f t="shared" si="265"/>
        <v>1.91</v>
      </c>
      <c r="AG1213" s="38">
        <v>1.08</v>
      </c>
      <c r="AH1213" s="243">
        <v>2.21E-9</v>
      </c>
      <c r="AI1213" s="243">
        <v>4.1500000000000001E-10</v>
      </c>
      <c r="AJ1213" s="34">
        <f t="shared" si="264"/>
        <v>-7.0441740526275414</v>
      </c>
      <c r="AK1213" s="34">
        <f t="shared" si="271"/>
        <v>-7.770518229600559</v>
      </c>
      <c r="AL1213" s="34">
        <f t="shared" si="266"/>
        <v>-7.770518229600559</v>
      </c>
      <c r="AM1213" s="34">
        <v>-9.7192299999999996</v>
      </c>
      <c r="AN1213" s="244">
        <v>-6.89</v>
      </c>
      <c r="AO1213" s="417">
        <v>7.23</v>
      </c>
      <c r="AP1213" s="417"/>
      <c r="AQ1213" s="244" t="s">
        <v>6311</v>
      </c>
      <c r="AR1213" s="244" t="s">
        <v>6311</v>
      </c>
      <c r="AS1213" s="241" t="s">
        <v>6</v>
      </c>
      <c r="AT1213" s="39" t="s">
        <v>266</v>
      </c>
      <c r="AU1213" s="37">
        <v>2</v>
      </c>
      <c r="AV1213" s="37">
        <v>48</v>
      </c>
      <c r="AW1213" s="37">
        <v>48</v>
      </c>
      <c r="AX1213" s="37">
        <v>26</v>
      </c>
      <c r="AY1213" s="37" t="s">
        <v>647</v>
      </c>
      <c r="AZ1213" s="37" t="s">
        <v>536</v>
      </c>
      <c r="BA1213" s="37">
        <v>20</v>
      </c>
      <c r="BB1213" s="36" t="s">
        <v>537</v>
      </c>
      <c r="BC1213" s="36" t="s">
        <v>538</v>
      </c>
      <c r="BD1213" s="36"/>
      <c r="BE1213" s="37" t="s">
        <v>271</v>
      </c>
      <c r="BF1213" s="37" t="s">
        <v>539</v>
      </c>
      <c r="BG1213" s="37" t="s">
        <v>272</v>
      </c>
      <c r="BH1213" s="37" t="s">
        <v>272</v>
      </c>
      <c r="BI1213" s="250">
        <v>3.2</v>
      </c>
      <c r="BJ1213" s="250">
        <v>23.5</v>
      </c>
      <c r="BK1213" s="37"/>
      <c r="BL1213" s="263">
        <v>137.65352925672985</v>
      </c>
      <c r="BM1213" s="37" t="s">
        <v>541</v>
      </c>
      <c r="BN1213" s="37"/>
      <c r="BO1213" s="37">
        <v>4.9000000000000004</v>
      </c>
      <c r="BP1213" s="37"/>
      <c r="BQ1213" s="37"/>
      <c r="BR1213" s="37"/>
      <c r="BS1213" s="37"/>
      <c r="BT1213" s="37"/>
      <c r="BU1213" s="246"/>
      <c r="BV1213" s="37"/>
      <c r="BW1213" s="37"/>
      <c r="BX1213" s="37"/>
      <c r="BY1213" s="37"/>
      <c r="BZ1213" s="37"/>
      <c r="CA1213" s="37"/>
      <c r="CB1213" s="37"/>
      <c r="CC1213" s="37"/>
      <c r="CD1213" s="37"/>
      <c r="CE1213" s="37"/>
      <c r="CF1213" s="37"/>
      <c r="CG1213" s="37"/>
      <c r="CH1213" s="37"/>
      <c r="CI1213" s="243">
        <v>4.9000000000000004</v>
      </c>
      <c r="CJ1213" s="243">
        <f t="shared" ref="CJ1213:CJ1231" si="273">LOG10(CI1213)</f>
        <v>0.69019608002851374</v>
      </c>
      <c r="CK1213" s="38">
        <f t="shared" si="267"/>
        <v>5.8575969896480791</v>
      </c>
      <c r="CL1213" s="247">
        <f t="shared" si="268"/>
        <v>28.092556991169356</v>
      </c>
      <c r="CM1213" s="247"/>
      <c r="CN1213" s="247"/>
      <c r="CO1213" s="36"/>
      <c r="CP1213" s="496" t="s">
        <v>1558</v>
      </c>
      <c r="CQ1213" s="241">
        <v>1.2322608872357181</v>
      </c>
      <c r="CR1213" s="241">
        <f t="shared" si="272"/>
        <v>0.28703522243109941</v>
      </c>
      <c r="CS1213" s="33"/>
      <c r="CT1213" s="33"/>
      <c r="CU1213" s="250">
        <f t="shared" si="269"/>
        <v>2367.3469387755099</v>
      </c>
      <c r="CV1213" s="337">
        <f t="shared" si="270"/>
        <v>493.61702127659572</v>
      </c>
      <c r="CW1213" s="330">
        <f t="shared" ref="CW1213:CW1231" si="274">IF(CU1213&lt;2,0,1)</f>
        <v>1</v>
      </c>
      <c r="CX1213" s="330"/>
      <c r="CY1213" s="143" t="s">
        <v>6351</v>
      </c>
    </row>
    <row r="1214" spans="1:103" ht="11.25" customHeight="1" x14ac:dyDescent="0.2">
      <c r="A1214" s="72">
        <v>1718</v>
      </c>
      <c r="B1214" s="241">
        <v>506</v>
      </c>
      <c r="C1214" s="32" t="s">
        <v>1631</v>
      </c>
      <c r="D1214" s="32"/>
      <c r="E1214" s="40"/>
      <c r="F1214" s="40" t="s">
        <v>1632</v>
      </c>
      <c r="G1214" s="242">
        <v>106478</v>
      </c>
      <c r="H1214" s="36" t="s">
        <v>1633</v>
      </c>
      <c r="I1214" s="36" t="s">
        <v>8029</v>
      </c>
      <c r="J1214" s="36" t="s">
        <v>1634</v>
      </c>
      <c r="K1214" s="36" t="s">
        <v>1573</v>
      </c>
      <c r="L1214" s="36" t="s">
        <v>5527</v>
      </c>
      <c r="M1214" s="36" t="s">
        <v>866</v>
      </c>
      <c r="N1214" s="36" t="s">
        <v>6082</v>
      </c>
      <c r="O1214" s="36" t="s">
        <v>6086</v>
      </c>
      <c r="P1214" s="41" t="s">
        <v>6184</v>
      </c>
      <c r="Q1214" s="41" t="s">
        <v>6176</v>
      </c>
      <c r="R1214" s="41" t="s">
        <v>6185</v>
      </c>
      <c r="S1214" s="41" t="s">
        <v>6176</v>
      </c>
      <c r="T1214" s="37">
        <v>127.57</v>
      </c>
      <c r="U1214" s="243">
        <v>3899.0830721003135</v>
      </c>
      <c r="V1214" s="243">
        <v>2571.3952978056427</v>
      </c>
      <c r="W1214" s="243">
        <v>1464.6995749435732</v>
      </c>
      <c r="X1214" s="243">
        <v>3899.0830721003135</v>
      </c>
      <c r="Y1214" s="414">
        <v>8.02</v>
      </c>
      <c r="Z1214" s="37">
        <v>1.72</v>
      </c>
      <c r="AA1214" s="37">
        <v>1.83</v>
      </c>
      <c r="AB1214" s="37">
        <v>1.8</v>
      </c>
      <c r="AC1214" s="37">
        <v>0.91020000000000001</v>
      </c>
      <c r="AD1214" s="37">
        <v>1.79</v>
      </c>
      <c r="AE1214" s="37">
        <v>1.76</v>
      </c>
      <c r="AF1214" s="37">
        <f t="shared" si="265"/>
        <v>1.83</v>
      </c>
      <c r="AG1214" s="38">
        <v>1.8</v>
      </c>
      <c r="AH1214" s="243">
        <v>1.4100000000000001E-6</v>
      </c>
      <c r="AI1214" s="243">
        <v>1.1599999999999999E-6</v>
      </c>
      <c r="AJ1214" s="34">
        <f t="shared" si="264"/>
        <v>-4.2393472136572719</v>
      </c>
      <c r="AK1214" s="34">
        <f t="shared" si="271"/>
        <v>-4.3241083370857334</v>
      </c>
      <c r="AL1214" s="34">
        <f t="shared" si="266"/>
        <v>-4.3241083370857334</v>
      </c>
      <c r="AM1214" s="34">
        <v>-6.9352299999999998</v>
      </c>
      <c r="AN1214" s="244">
        <v>-4.13</v>
      </c>
      <c r="AO1214" s="417"/>
      <c r="AP1214" s="417">
        <v>3.97</v>
      </c>
      <c r="AQ1214" s="244" t="s">
        <v>6311</v>
      </c>
      <c r="AR1214" s="244" t="s">
        <v>6311</v>
      </c>
      <c r="AS1214" s="241" t="s">
        <v>6</v>
      </c>
      <c r="AT1214" s="39" t="s">
        <v>266</v>
      </c>
      <c r="AU1214" s="37">
        <v>2</v>
      </c>
      <c r="AV1214" s="37">
        <v>48</v>
      </c>
      <c r="AW1214" s="37">
        <v>48</v>
      </c>
      <c r="AX1214" s="37">
        <v>26</v>
      </c>
      <c r="AY1214" s="37" t="s">
        <v>647</v>
      </c>
      <c r="AZ1214" s="37" t="s">
        <v>536</v>
      </c>
      <c r="BA1214" s="37">
        <v>20</v>
      </c>
      <c r="BB1214" s="36" t="s">
        <v>537</v>
      </c>
      <c r="BC1214" s="36" t="s">
        <v>538</v>
      </c>
      <c r="BD1214" s="36"/>
      <c r="BE1214" s="37" t="s">
        <v>271</v>
      </c>
      <c r="BF1214" s="37" t="s">
        <v>539</v>
      </c>
      <c r="BG1214" s="37" t="s">
        <v>272</v>
      </c>
      <c r="BH1214" s="37" t="s">
        <v>272</v>
      </c>
      <c r="BI1214" s="250">
        <v>7.6981896551724134</v>
      </c>
      <c r="BJ1214" s="250">
        <v>38.89085423197492</v>
      </c>
      <c r="BK1214" s="37"/>
      <c r="BL1214" s="263">
        <v>186.98921376193246</v>
      </c>
      <c r="BM1214" s="37" t="s">
        <v>541</v>
      </c>
      <c r="BN1214" s="37"/>
      <c r="BO1214" s="37">
        <v>21.294992163009404</v>
      </c>
      <c r="BP1214" s="37"/>
      <c r="BQ1214" s="37"/>
      <c r="BR1214" s="37"/>
      <c r="BS1214" s="37"/>
      <c r="BT1214" s="37"/>
      <c r="BU1214" s="246"/>
      <c r="BV1214" s="37"/>
      <c r="BW1214" s="37"/>
      <c r="BX1214" s="37"/>
      <c r="BY1214" s="37"/>
      <c r="BZ1214" s="37"/>
      <c r="CA1214" s="37"/>
      <c r="CB1214" s="37"/>
      <c r="CC1214" s="37"/>
      <c r="CD1214" s="37"/>
      <c r="CE1214" s="37"/>
      <c r="CF1214" s="37"/>
      <c r="CG1214" s="37"/>
      <c r="CH1214" s="37"/>
      <c r="CI1214" s="243">
        <v>21.294992163009404</v>
      </c>
      <c r="CJ1214" s="243">
        <f t="shared" si="273"/>
        <v>1.3282774845805871</v>
      </c>
      <c r="CK1214" s="38">
        <f t="shared" si="267"/>
        <v>4.8080510817938116</v>
      </c>
      <c r="CL1214" s="247">
        <f t="shared" si="268"/>
        <v>8.7809008019614687</v>
      </c>
      <c r="CM1214" s="247">
        <v>0.38021124171160575</v>
      </c>
      <c r="CN1214" s="247">
        <f>BJ1214/(10^CM1214)</f>
        <v>16.204522596656226</v>
      </c>
      <c r="CO1214" s="36"/>
      <c r="CP1214" s="496" t="s">
        <v>1558</v>
      </c>
      <c r="CQ1214" s="241">
        <v>1.2387924988193562</v>
      </c>
      <c r="CR1214" s="241">
        <f t="shared" si="272"/>
        <v>1.2288107039382699</v>
      </c>
      <c r="CS1214" s="33"/>
      <c r="CT1214" s="33"/>
      <c r="CU1214" s="250">
        <f t="shared" si="269"/>
        <v>183.09859154929578</v>
      </c>
      <c r="CV1214" s="337">
        <f t="shared" si="270"/>
        <v>100.25706940874036</v>
      </c>
      <c r="CW1214" s="330">
        <f t="shared" si="274"/>
        <v>1</v>
      </c>
      <c r="CX1214" s="330"/>
      <c r="CY1214" s="143" t="s">
        <v>6351</v>
      </c>
    </row>
    <row r="1215" spans="1:103" ht="11.25" customHeight="1" x14ac:dyDescent="0.2">
      <c r="A1215" s="72">
        <v>1721</v>
      </c>
      <c r="B1215" s="241">
        <v>507</v>
      </c>
      <c r="C1215" s="32" t="s">
        <v>1635</v>
      </c>
      <c r="D1215" s="32"/>
      <c r="E1215" s="40"/>
      <c r="F1215" s="40" t="s">
        <v>1636</v>
      </c>
      <c r="G1215" s="242">
        <v>106489</v>
      </c>
      <c r="H1215" s="36" t="s">
        <v>1637</v>
      </c>
      <c r="I1215" s="36" t="s">
        <v>8214</v>
      </c>
      <c r="J1215" s="36" t="s">
        <v>1638</v>
      </c>
      <c r="K1215" s="36" t="s">
        <v>349</v>
      </c>
      <c r="L1215" s="36" t="s">
        <v>5527</v>
      </c>
      <c r="M1215" s="36" t="s">
        <v>497</v>
      </c>
      <c r="N1215" s="36" t="s">
        <v>6381</v>
      </c>
      <c r="O1215" s="36" t="s">
        <v>498</v>
      </c>
      <c r="P1215" s="41" t="s">
        <v>6184</v>
      </c>
      <c r="Q1215" s="41" t="s">
        <v>6182</v>
      </c>
      <c r="R1215" s="41" t="s">
        <v>6185</v>
      </c>
      <c r="S1215" s="41" t="s">
        <v>6176</v>
      </c>
      <c r="T1215" s="37">
        <v>128.56</v>
      </c>
      <c r="U1215" s="243">
        <v>24000</v>
      </c>
      <c r="V1215" s="243">
        <v>3222</v>
      </c>
      <c r="W1215" s="243">
        <v>2084.999061164639</v>
      </c>
      <c r="X1215" s="243">
        <v>24000</v>
      </c>
      <c r="Y1215" s="414">
        <v>5.63</v>
      </c>
      <c r="Z1215" s="37">
        <v>2.16</v>
      </c>
      <c r="AA1215" s="37">
        <v>2.39</v>
      </c>
      <c r="AB1215" s="37">
        <v>2.5099999999999998</v>
      </c>
      <c r="AC1215" s="37">
        <v>0.89249999999999996</v>
      </c>
      <c r="AD1215" s="37">
        <v>2.4900000000000002</v>
      </c>
      <c r="AE1215" s="37">
        <v>2.4300000000000002</v>
      </c>
      <c r="AF1215" s="37">
        <f t="shared" si="265"/>
        <v>2.39</v>
      </c>
      <c r="AG1215" s="38">
        <v>2.15</v>
      </c>
      <c r="AH1215" s="243">
        <v>4.15E-7</v>
      </c>
      <c r="AI1215" s="243">
        <v>6.2699999999999999E-7</v>
      </c>
      <c r="AJ1215" s="34">
        <f t="shared" si="264"/>
        <v>-4.770518229600559</v>
      </c>
      <c r="AK1215" s="34">
        <f t="shared" si="271"/>
        <v>-4.5912987854819356</v>
      </c>
      <c r="AL1215" s="34">
        <f t="shared" si="266"/>
        <v>-4.5912987854819356</v>
      </c>
      <c r="AM1215" s="34">
        <v>-7.63727</v>
      </c>
      <c r="AN1215" s="244">
        <v>-4.8600000000000003</v>
      </c>
      <c r="AO1215" s="417">
        <v>9.4700000000000006</v>
      </c>
      <c r="AP1215" s="417"/>
      <c r="AQ1215" s="244" t="s">
        <v>6311</v>
      </c>
      <c r="AR1215" s="244" t="s">
        <v>6311</v>
      </c>
      <c r="AS1215" s="241" t="s">
        <v>6</v>
      </c>
      <c r="AT1215" s="39" t="s">
        <v>266</v>
      </c>
      <c r="AU1215" s="37">
        <v>2</v>
      </c>
      <c r="AV1215" s="37">
        <v>48</v>
      </c>
      <c r="AW1215" s="37">
        <v>48</v>
      </c>
      <c r="AX1215" s="37">
        <v>26</v>
      </c>
      <c r="AY1215" s="37" t="s">
        <v>647</v>
      </c>
      <c r="AZ1215" s="37" t="s">
        <v>536</v>
      </c>
      <c r="BA1215" s="37">
        <v>20</v>
      </c>
      <c r="BB1215" s="36" t="s">
        <v>537</v>
      </c>
      <c r="BC1215" s="36" t="s">
        <v>538</v>
      </c>
      <c r="BD1215" s="36"/>
      <c r="BE1215" s="37" t="s">
        <v>271</v>
      </c>
      <c r="BF1215" s="37" t="s">
        <v>539</v>
      </c>
      <c r="BG1215" s="37" t="s">
        <v>272</v>
      </c>
      <c r="BH1215" s="37" t="s">
        <v>272</v>
      </c>
      <c r="BI1215" s="250">
        <v>2.4</v>
      </c>
      <c r="BJ1215" s="250">
        <v>60</v>
      </c>
      <c r="BK1215" s="37"/>
      <c r="BL1215" s="263">
        <v>75.859480414180325</v>
      </c>
      <c r="BM1215" s="37" t="s">
        <v>541</v>
      </c>
      <c r="BN1215" s="37"/>
      <c r="BO1215" s="37">
        <v>45.6</v>
      </c>
      <c r="BP1215" s="37"/>
      <c r="BQ1215" s="37"/>
      <c r="BR1215" s="37"/>
      <c r="BS1215" s="37"/>
      <c r="BT1215" s="37"/>
      <c r="BU1215" s="246"/>
      <c r="BV1215" s="37"/>
      <c r="BW1215" s="37"/>
      <c r="BX1215" s="37"/>
      <c r="BY1215" s="37"/>
      <c r="BZ1215" s="37"/>
      <c r="CA1215" s="37"/>
      <c r="CB1215" s="37"/>
      <c r="CC1215" s="37"/>
      <c r="CD1215" s="37"/>
      <c r="CE1215" s="37"/>
      <c r="CF1215" s="37"/>
      <c r="CG1215" s="37"/>
      <c r="CH1215" s="37"/>
      <c r="CI1215" s="243">
        <v>45.6</v>
      </c>
      <c r="CJ1215" s="243">
        <f t="shared" si="273"/>
        <v>1.658964842664435</v>
      </c>
      <c r="CK1215" s="38">
        <f t="shared" si="267"/>
        <v>1.264324673569672</v>
      </c>
      <c r="CL1215" s="247">
        <f t="shared" si="268"/>
        <v>1.6635850968022001</v>
      </c>
      <c r="CM1215" s="247">
        <v>0.27971818245026747</v>
      </c>
      <c r="CN1215" s="247">
        <f>BJ1215/(10^CM1215)</f>
        <v>31.508887379598448</v>
      </c>
      <c r="CO1215" s="36"/>
      <c r="CP1215" s="496" t="s">
        <v>1558</v>
      </c>
      <c r="CQ1215" s="241">
        <v>0.54533072722344478</v>
      </c>
      <c r="CR1215" s="241">
        <f t="shared" si="272"/>
        <v>12.990746720195524</v>
      </c>
      <c r="CS1215" s="33"/>
      <c r="CT1215" s="33"/>
      <c r="CU1215" s="250">
        <f t="shared" si="269"/>
        <v>526.31578947368416</v>
      </c>
      <c r="CV1215" s="337">
        <f t="shared" si="270"/>
        <v>400</v>
      </c>
      <c r="CW1215" s="330">
        <f t="shared" si="274"/>
        <v>1</v>
      </c>
      <c r="CX1215" s="330"/>
      <c r="CY1215" s="143" t="s">
        <v>6351</v>
      </c>
    </row>
    <row r="1216" spans="1:103" ht="11.25" customHeight="1" x14ac:dyDescent="0.2">
      <c r="A1216" s="72">
        <v>1725</v>
      </c>
      <c r="B1216" s="241">
        <v>482</v>
      </c>
      <c r="C1216" s="32" t="s">
        <v>7654</v>
      </c>
      <c r="D1216" s="32" t="s">
        <v>8582</v>
      </c>
      <c r="E1216" s="40"/>
      <c r="F1216" s="40" t="s">
        <v>1554</v>
      </c>
      <c r="G1216" s="242">
        <v>107028</v>
      </c>
      <c r="H1216" s="36" t="s">
        <v>1555</v>
      </c>
      <c r="I1216" s="36" t="s">
        <v>1555</v>
      </c>
      <c r="J1216" s="36" t="s">
        <v>1556</v>
      </c>
      <c r="K1216" s="36" t="s">
        <v>1557</v>
      </c>
      <c r="L1216" s="36"/>
      <c r="M1216" s="36" t="s">
        <v>6088</v>
      </c>
      <c r="N1216" s="36" t="s">
        <v>6088</v>
      </c>
      <c r="O1216" s="36"/>
      <c r="P1216" s="41" t="s">
        <v>6172</v>
      </c>
      <c r="Q1216" s="41" t="s">
        <v>6173</v>
      </c>
      <c r="R1216" s="41" t="s">
        <v>6175</v>
      </c>
      <c r="S1216" s="41" t="s">
        <v>6176</v>
      </c>
      <c r="T1216" s="37">
        <v>56.06</v>
      </c>
      <c r="U1216" s="243">
        <v>212000</v>
      </c>
      <c r="V1216" s="243">
        <v>139700</v>
      </c>
      <c r="W1216" s="243">
        <v>70575.35858518102</v>
      </c>
      <c r="X1216" s="243">
        <v>212000</v>
      </c>
      <c r="Y1216" s="414">
        <v>7</v>
      </c>
      <c r="Z1216" s="37">
        <v>0.19</v>
      </c>
      <c r="AA1216" s="37">
        <v>-0.01</v>
      </c>
      <c r="AB1216" s="37">
        <v>0.44</v>
      </c>
      <c r="AC1216" s="37">
        <v>0.82410000000000005</v>
      </c>
      <c r="AD1216" s="37">
        <v>0.31</v>
      </c>
      <c r="AE1216" s="37">
        <v>-0.01</v>
      </c>
      <c r="AF1216" s="37">
        <f t="shared" si="265"/>
        <v>-0.01</v>
      </c>
      <c r="AG1216" s="38">
        <v>0.4</v>
      </c>
      <c r="AH1216" s="243">
        <v>3.5800000000000003E-5</v>
      </c>
      <c r="AI1216" s="243">
        <v>1.22E-4</v>
      </c>
      <c r="AJ1216" s="34">
        <f t="shared" si="264"/>
        <v>-2.8346832996687774</v>
      </c>
      <c r="AK1216" s="34">
        <f t="shared" si="271"/>
        <v>-2.3022064956379036</v>
      </c>
      <c r="AL1216" s="34">
        <f t="shared" si="266"/>
        <v>-2.3022064956379036</v>
      </c>
      <c r="AM1216" s="34">
        <v>-3.3780299999999999</v>
      </c>
      <c r="AN1216" s="244">
        <v>-2.68</v>
      </c>
      <c r="AO1216" s="417"/>
      <c r="AP1216" s="417"/>
      <c r="AQ1216" s="244" t="s">
        <v>6311</v>
      </c>
      <c r="AR1216" s="244" t="s">
        <v>6311</v>
      </c>
      <c r="AS1216" s="241" t="s">
        <v>6</v>
      </c>
      <c r="AT1216" s="39" t="s">
        <v>266</v>
      </c>
      <c r="AU1216" s="37">
        <v>2</v>
      </c>
      <c r="AV1216" s="37">
        <v>48</v>
      </c>
      <c r="AW1216" s="37">
        <v>48</v>
      </c>
      <c r="AX1216" s="37">
        <v>26</v>
      </c>
      <c r="AY1216" s="37" t="s">
        <v>647</v>
      </c>
      <c r="AZ1216" s="37" t="s">
        <v>536</v>
      </c>
      <c r="BA1216" s="37">
        <v>20</v>
      </c>
      <c r="BB1216" s="36" t="s">
        <v>537</v>
      </c>
      <c r="BC1216" s="36" t="s">
        <v>538</v>
      </c>
      <c r="BD1216" s="36"/>
      <c r="BE1216" s="37" t="s">
        <v>271</v>
      </c>
      <c r="BF1216" s="37" t="s">
        <v>539</v>
      </c>
      <c r="BG1216" s="37" t="s">
        <v>272</v>
      </c>
      <c r="BH1216" s="37" t="s">
        <v>272</v>
      </c>
      <c r="BI1216" s="250">
        <v>0.3</v>
      </c>
      <c r="BJ1216" s="250">
        <v>1.4</v>
      </c>
      <c r="BK1216" s="37"/>
      <c r="BL1216" s="263">
        <v>1944.5275178868808</v>
      </c>
      <c r="BM1216" s="37" t="s">
        <v>541</v>
      </c>
      <c r="BN1216" s="37"/>
      <c r="BO1216" s="37">
        <v>0.37</v>
      </c>
      <c r="BP1216" s="37"/>
      <c r="BQ1216" s="37"/>
      <c r="BR1216" s="37"/>
      <c r="BS1216" s="37"/>
      <c r="BT1216" s="37"/>
      <c r="BU1216" s="246"/>
      <c r="BV1216" s="37"/>
      <c r="BW1216" s="37"/>
      <c r="BX1216" s="37"/>
      <c r="BY1216" s="37"/>
      <c r="BZ1216" s="37"/>
      <c r="CA1216" s="37"/>
      <c r="CB1216" s="37"/>
      <c r="CC1216" s="37"/>
      <c r="CD1216" s="37"/>
      <c r="CE1216" s="37"/>
      <c r="CF1216" s="37"/>
      <c r="CG1216" s="37"/>
      <c r="CH1216" s="37"/>
      <c r="CI1216" s="243">
        <v>0.37</v>
      </c>
      <c r="CJ1216" s="243">
        <f t="shared" si="273"/>
        <v>-0.43179827593300502</v>
      </c>
      <c r="CK1216" s="38">
        <f t="shared" si="267"/>
        <v>1388.9482270620579</v>
      </c>
      <c r="CL1216" s="247">
        <f t="shared" si="268"/>
        <v>5255.4797780726512</v>
      </c>
      <c r="CM1216" s="247"/>
      <c r="CN1216" s="247"/>
      <c r="CO1216" s="36"/>
      <c r="CP1216" s="496" t="s">
        <v>1558</v>
      </c>
      <c r="CQ1216" s="241">
        <v>-1.4124877040692267</v>
      </c>
      <c r="CR1216" s="241">
        <f t="shared" si="272"/>
        <v>9.5650980914058792</v>
      </c>
      <c r="CS1216" s="33"/>
      <c r="CT1216" s="33"/>
      <c r="CU1216" s="250">
        <f t="shared" si="269"/>
        <v>572972.97297297302</v>
      </c>
      <c r="CV1216" s="337">
        <f t="shared" si="270"/>
        <v>151428.57142857145</v>
      </c>
      <c r="CW1216" s="330">
        <f t="shared" si="274"/>
        <v>1</v>
      </c>
      <c r="CX1216" s="330"/>
      <c r="CY1216" s="143" t="s">
        <v>6351</v>
      </c>
    </row>
    <row r="1217" spans="1:103" ht="11.25" customHeight="1" x14ac:dyDescent="0.2">
      <c r="A1217" s="72">
        <v>1734</v>
      </c>
      <c r="B1217" s="241">
        <v>505</v>
      </c>
      <c r="C1217" s="32" t="s">
        <v>7659</v>
      </c>
      <c r="D1217" s="32" t="s">
        <v>8695</v>
      </c>
      <c r="E1217" s="40"/>
      <c r="F1217" s="40" t="s">
        <v>1626</v>
      </c>
      <c r="G1217" s="242">
        <v>108429</v>
      </c>
      <c r="H1217" s="36" t="s">
        <v>1627</v>
      </c>
      <c r="I1217" s="36" t="s">
        <v>8216</v>
      </c>
      <c r="J1217" s="36" t="s">
        <v>1628</v>
      </c>
      <c r="K1217" s="36" t="s">
        <v>1573</v>
      </c>
      <c r="L1217" s="36"/>
      <c r="M1217" s="36" t="s">
        <v>1629</v>
      </c>
      <c r="N1217" s="36" t="s">
        <v>6385</v>
      </c>
      <c r="O1217" s="36" t="s">
        <v>1630</v>
      </c>
      <c r="P1217" s="41" t="s">
        <v>6184</v>
      </c>
      <c r="Q1217" s="41" t="s">
        <v>6176</v>
      </c>
      <c r="R1217" s="41" t="s">
        <v>6185</v>
      </c>
      <c r="S1217" s="41" t="s">
        <v>6182</v>
      </c>
      <c r="T1217" s="37">
        <v>127.57</v>
      </c>
      <c r="U1217" s="243">
        <v>5400</v>
      </c>
      <c r="V1217" s="243">
        <v>2331</v>
      </c>
      <c r="W1217" s="243">
        <v>1398.777234819861</v>
      </c>
      <c r="X1217" s="243">
        <v>5400</v>
      </c>
      <c r="Y1217" s="414">
        <v>7.79</v>
      </c>
      <c r="Z1217" s="37">
        <v>1.72</v>
      </c>
      <c r="AA1217" s="37">
        <v>1.88</v>
      </c>
      <c r="AB1217" s="37">
        <v>2.02</v>
      </c>
      <c r="AC1217" s="37">
        <v>0.90820000000000001</v>
      </c>
      <c r="AD1217" s="37">
        <v>1.97</v>
      </c>
      <c r="AE1217" s="37">
        <v>1.81</v>
      </c>
      <c r="AF1217" s="37">
        <f t="shared" si="265"/>
        <v>1.88</v>
      </c>
      <c r="AG1217" s="38">
        <v>1.8</v>
      </c>
      <c r="AH1217" s="243">
        <v>1.4100000000000001E-6</v>
      </c>
      <c r="AI1217" s="243">
        <v>9.9999999999999995E-7</v>
      </c>
      <c r="AJ1217" s="34">
        <f t="shared" si="264"/>
        <v>-4.2393472136572719</v>
      </c>
      <c r="AK1217" s="34">
        <f t="shared" si="271"/>
        <v>-4.3885663263126515</v>
      </c>
      <c r="AL1217" s="34">
        <f t="shared" si="266"/>
        <v>-4.3885663263126515</v>
      </c>
      <c r="AM1217" s="34">
        <v>-6.6443200000000004</v>
      </c>
      <c r="AN1217" s="244">
        <v>-4.13</v>
      </c>
      <c r="AO1217" s="417"/>
      <c r="AP1217" s="417">
        <v>3.54</v>
      </c>
      <c r="AQ1217" s="244" t="s">
        <v>6311</v>
      </c>
      <c r="AR1217" s="244" t="s">
        <v>6311</v>
      </c>
      <c r="AS1217" s="241" t="s">
        <v>6</v>
      </c>
      <c r="AT1217" s="39" t="s">
        <v>266</v>
      </c>
      <c r="AU1217" s="37">
        <v>2</v>
      </c>
      <c r="AV1217" s="37">
        <v>48</v>
      </c>
      <c r="AW1217" s="37">
        <v>48</v>
      </c>
      <c r="AX1217" s="37">
        <v>26</v>
      </c>
      <c r="AY1217" s="37" t="s">
        <v>647</v>
      </c>
      <c r="AZ1217" s="37" t="s">
        <v>536</v>
      </c>
      <c r="BA1217" s="37">
        <v>20</v>
      </c>
      <c r="BB1217" s="36" t="s">
        <v>537</v>
      </c>
      <c r="BC1217" s="36" t="s">
        <v>538</v>
      </c>
      <c r="BD1217" s="36"/>
      <c r="BE1217" s="37" t="s">
        <v>271</v>
      </c>
      <c r="BF1217" s="37" t="s">
        <v>539</v>
      </c>
      <c r="BG1217" s="37" t="s">
        <v>272</v>
      </c>
      <c r="BH1217" s="37" t="s">
        <v>272</v>
      </c>
      <c r="BI1217" s="250">
        <v>5.1987774294670848</v>
      </c>
      <c r="BJ1217" s="250">
        <v>26.093863636363636</v>
      </c>
      <c r="BK1217" s="37"/>
      <c r="BL1217" s="263">
        <v>186.98921376193246</v>
      </c>
      <c r="BM1217" s="37" t="s">
        <v>541</v>
      </c>
      <c r="BN1217" s="37"/>
      <c r="BO1217" s="37">
        <v>20.995062695924762</v>
      </c>
      <c r="BP1217" s="37"/>
      <c r="BQ1217" s="37"/>
      <c r="BR1217" s="37"/>
      <c r="BS1217" s="37"/>
      <c r="BT1217" s="37"/>
      <c r="BU1217" s="246"/>
      <c r="BV1217" s="37"/>
      <c r="BW1217" s="37"/>
      <c r="BX1217" s="37"/>
      <c r="BY1217" s="37"/>
      <c r="BZ1217" s="37"/>
      <c r="CA1217" s="37"/>
      <c r="CB1217" s="37"/>
      <c r="CC1217" s="37"/>
      <c r="CD1217" s="37"/>
      <c r="CE1217" s="37"/>
      <c r="CF1217" s="37"/>
      <c r="CG1217" s="37"/>
      <c r="CH1217" s="37"/>
      <c r="CI1217" s="243">
        <v>20.995062695924762</v>
      </c>
      <c r="CJ1217" s="243">
        <f t="shared" si="273"/>
        <v>1.3221171758757688</v>
      </c>
      <c r="CK1217" s="38">
        <f t="shared" si="267"/>
        <v>7.1660224935547614</v>
      </c>
      <c r="CL1217" s="247">
        <f t="shared" si="268"/>
        <v>8.9063422419894902</v>
      </c>
      <c r="CM1217" s="247"/>
      <c r="CN1217" s="247"/>
      <c r="CO1217" s="36"/>
      <c r="CP1217" s="496" t="s">
        <v>1558</v>
      </c>
      <c r="CQ1217" s="241">
        <v>1.2368498228815306</v>
      </c>
      <c r="CR1217" s="241">
        <f t="shared" si="272"/>
        <v>1.2169349189146756</v>
      </c>
      <c r="CS1217" s="33"/>
      <c r="CT1217" s="33"/>
      <c r="CU1217" s="250">
        <f t="shared" si="269"/>
        <v>257.20332814477212</v>
      </c>
      <c r="CV1217" s="337">
        <f t="shared" si="270"/>
        <v>206.94520655326488</v>
      </c>
      <c r="CW1217" s="330">
        <f t="shared" si="274"/>
        <v>1</v>
      </c>
      <c r="CX1217" s="330"/>
      <c r="CY1217" s="143" t="s">
        <v>6351</v>
      </c>
    </row>
    <row r="1218" spans="1:103" ht="11.25" customHeight="1" x14ac:dyDescent="0.2">
      <c r="A1218" s="72">
        <v>1738</v>
      </c>
      <c r="B1218" s="241">
        <v>582</v>
      </c>
      <c r="C1218" s="32" t="s">
        <v>494</v>
      </c>
      <c r="D1218" s="32"/>
      <c r="E1218" s="40"/>
      <c r="F1218" s="40" t="s">
        <v>1767</v>
      </c>
      <c r="G1218" s="242">
        <v>108952</v>
      </c>
      <c r="H1218" s="36" t="s">
        <v>495</v>
      </c>
      <c r="I1218" s="36" t="s">
        <v>495</v>
      </c>
      <c r="J1218" s="36" t="s">
        <v>496</v>
      </c>
      <c r="K1218" s="36" t="s">
        <v>349</v>
      </c>
      <c r="L1218" s="42" t="s">
        <v>5527</v>
      </c>
      <c r="M1218" s="36" t="s">
        <v>497</v>
      </c>
      <c r="N1218" s="36" t="s">
        <v>6381</v>
      </c>
      <c r="O1218" s="36" t="s">
        <v>6086</v>
      </c>
      <c r="P1218" s="41" t="s">
        <v>6184</v>
      </c>
      <c r="Q1218" s="41" t="s">
        <v>6176</v>
      </c>
      <c r="R1218" s="41" t="s">
        <v>6185</v>
      </c>
      <c r="S1218" s="41" t="s">
        <v>6176</v>
      </c>
      <c r="T1218" s="37">
        <v>94.11</v>
      </c>
      <c r="U1218" s="243">
        <v>39463.059105431312</v>
      </c>
      <c r="V1218" s="263">
        <v>31626.823083067095</v>
      </c>
      <c r="W1218" s="263">
        <v>103189.56303903516</v>
      </c>
      <c r="X1218" s="243">
        <v>39463.059105431312</v>
      </c>
      <c r="Y1218" s="417">
        <v>4.91</v>
      </c>
      <c r="Z1218" s="40">
        <v>1.64</v>
      </c>
      <c r="AA1218" s="40">
        <v>1.23</v>
      </c>
      <c r="AB1218" s="40">
        <v>1.67</v>
      </c>
      <c r="AC1218" s="40">
        <v>0.93669999999999998</v>
      </c>
      <c r="AD1218" s="40">
        <v>1.63</v>
      </c>
      <c r="AE1218" s="40">
        <v>1.48</v>
      </c>
      <c r="AF1218" s="40">
        <f t="shared" si="265"/>
        <v>1.23</v>
      </c>
      <c r="AG1218" s="38">
        <v>1.46</v>
      </c>
      <c r="AH1218" s="243">
        <v>5.6100000000000001E-7</v>
      </c>
      <c r="AI1218" s="243">
        <v>3.3299999999999998E-7</v>
      </c>
      <c r="AJ1218" s="34">
        <f t="shared" si="264"/>
        <v>-4.6396034650564904</v>
      </c>
      <c r="AK1218" s="34">
        <f t="shared" si="271"/>
        <v>-4.8661220928063322</v>
      </c>
      <c r="AL1218" s="34">
        <f t="shared" si="266"/>
        <v>-4.8661220928063322</v>
      </c>
      <c r="AM1218" s="34">
        <v>-6.4734600000000002</v>
      </c>
      <c r="AN1218" s="244">
        <v>-4.68</v>
      </c>
      <c r="AO1218" s="417">
        <v>9.86</v>
      </c>
      <c r="AP1218" s="417"/>
      <c r="AQ1218" s="244" t="s">
        <v>6311</v>
      </c>
      <c r="AR1218" s="244" t="s">
        <v>6311</v>
      </c>
      <c r="AS1218" s="241" t="s">
        <v>282</v>
      </c>
      <c r="AT1218" s="39" t="s">
        <v>266</v>
      </c>
      <c r="AU1218" s="37">
        <v>2</v>
      </c>
      <c r="AV1218" s="37">
        <v>48</v>
      </c>
      <c r="AW1218" s="37">
        <v>48</v>
      </c>
      <c r="AX1218" s="37">
        <v>26</v>
      </c>
      <c r="AY1218" s="37" t="s">
        <v>647</v>
      </c>
      <c r="AZ1218" s="37" t="s">
        <v>536</v>
      </c>
      <c r="BA1218" s="37">
        <v>20</v>
      </c>
      <c r="BB1218" s="36" t="s">
        <v>537</v>
      </c>
      <c r="BC1218" s="36" t="s">
        <v>538</v>
      </c>
      <c r="BD1218" s="36"/>
      <c r="BE1218" s="37" t="s">
        <v>271</v>
      </c>
      <c r="BF1218" s="37" t="s">
        <v>539</v>
      </c>
      <c r="BG1218" s="37" t="s">
        <v>272</v>
      </c>
      <c r="BH1218" s="37" t="s">
        <v>272</v>
      </c>
      <c r="BI1218" s="250">
        <v>11.5</v>
      </c>
      <c r="BJ1218" s="250">
        <v>58.400000000000006</v>
      </c>
      <c r="BK1218" s="37"/>
      <c r="BL1218" s="263">
        <v>162.76153364945489</v>
      </c>
      <c r="BM1218" s="37" t="s">
        <v>541</v>
      </c>
      <c r="BN1218" s="37"/>
      <c r="BO1218" s="37">
        <v>49.1</v>
      </c>
      <c r="BP1218" s="37"/>
      <c r="BQ1218" s="37"/>
      <c r="BR1218" s="37"/>
      <c r="BS1218" s="37"/>
      <c r="BT1218" s="37"/>
      <c r="BU1218" s="246"/>
      <c r="BV1218" s="37"/>
      <c r="BW1218" s="37"/>
      <c r="BX1218" s="37"/>
      <c r="BY1218" s="37"/>
      <c r="BZ1218" s="37"/>
      <c r="CA1218" s="37"/>
      <c r="CB1218" s="37"/>
      <c r="CC1218" s="37"/>
      <c r="CD1218" s="37"/>
      <c r="CE1218" s="37"/>
      <c r="CF1218" s="37"/>
      <c r="CG1218" s="37"/>
      <c r="CH1218" s="37"/>
      <c r="CI1218" s="243">
        <v>49.1</v>
      </c>
      <c r="CJ1218" s="243">
        <f t="shared" si="273"/>
        <v>1.6910814921229684</v>
      </c>
      <c r="CK1218" s="38">
        <f t="shared" si="267"/>
        <v>2.7870125624906659</v>
      </c>
      <c r="CL1218" s="247">
        <f t="shared" si="268"/>
        <v>3.3148988523310567</v>
      </c>
      <c r="CM1218" s="247">
        <v>0.96044207232975776</v>
      </c>
      <c r="CN1218" s="247">
        <f>BJ1218/(10^CM1218)</f>
        <v>6.3969178690308164</v>
      </c>
      <c r="CO1218" s="36"/>
      <c r="CP1218" s="496" t="s">
        <v>1558</v>
      </c>
      <c r="CQ1218" s="241">
        <v>1.2958965951606112</v>
      </c>
      <c r="CR1218" s="241">
        <f t="shared" si="272"/>
        <v>2.4841905019128618</v>
      </c>
      <c r="CS1218" s="33"/>
      <c r="CT1218" s="33"/>
      <c r="CU1218" s="250">
        <f t="shared" si="269"/>
        <v>803.7282913529798</v>
      </c>
      <c r="CV1218" s="337">
        <f t="shared" si="270"/>
        <v>675.73731344916621</v>
      </c>
      <c r="CW1218" s="330">
        <f t="shared" si="274"/>
        <v>1</v>
      </c>
      <c r="CX1218" s="330"/>
      <c r="CY1218" s="143" t="s">
        <v>6351</v>
      </c>
    </row>
    <row r="1219" spans="1:103" ht="11.25" customHeight="1" x14ac:dyDescent="0.2">
      <c r="A1219" s="72">
        <v>1754</v>
      </c>
      <c r="B1219" s="241">
        <v>573</v>
      </c>
      <c r="C1219" s="32" t="s">
        <v>676</v>
      </c>
      <c r="D1219" s="32"/>
      <c r="E1219" s="40"/>
      <c r="F1219" s="40" t="s">
        <v>677</v>
      </c>
      <c r="G1219" s="242">
        <v>111875</v>
      </c>
      <c r="H1219" s="36" t="s">
        <v>678</v>
      </c>
      <c r="I1219" s="36" t="s">
        <v>678</v>
      </c>
      <c r="J1219" s="36" t="s">
        <v>679</v>
      </c>
      <c r="K1219" s="36" t="s">
        <v>426</v>
      </c>
      <c r="L1219" s="36" t="s">
        <v>5527</v>
      </c>
      <c r="M1219" s="36" t="s">
        <v>6082</v>
      </c>
      <c r="N1219" s="36" t="s">
        <v>6082</v>
      </c>
      <c r="O1219" s="36" t="s">
        <v>6083</v>
      </c>
      <c r="P1219" s="41" t="s">
        <v>6183</v>
      </c>
      <c r="Q1219" s="41" t="s">
        <v>6179</v>
      </c>
      <c r="R1219" s="41" t="s">
        <v>6185</v>
      </c>
      <c r="S1219" s="41" t="s">
        <v>6176</v>
      </c>
      <c r="T1219" s="37">
        <v>130.22999999999999</v>
      </c>
      <c r="U1219" s="243">
        <v>540</v>
      </c>
      <c r="V1219" s="243">
        <v>814</v>
      </c>
      <c r="W1219" s="243">
        <v>1058.5491812005059</v>
      </c>
      <c r="X1219" s="243">
        <v>540</v>
      </c>
      <c r="Y1219" s="414">
        <v>7</v>
      </c>
      <c r="Z1219" s="37">
        <v>2.81</v>
      </c>
      <c r="AA1219" s="37">
        <v>3</v>
      </c>
      <c r="AB1219" s="37">
        <v>2.99</v>
      </c>
      <c r="AC1219" s="37">
        <v>0.92889999999999995</v>
      </c>
      <c r="AD1219" s="37">
        <v>2.99</v>
      </c>
      <c r="AE1219" s="37">
        <v>3</v>
      </c>
      <c r="AF1219" s="37">
        <f t="shared" si="265"/>
        <v>3</v>
      </c>
      <c r="AG1219" s="38">
        <v>2.65</v>
      </c>
      <c r="AH1219" s="243">
        <v>3.1000000000000001E-5</v>
      </c>
      <c r="AI1219" s="243">
        <v>2.4499999999999999E-5</v>
      </c>
      <c r="AJ1219" s="34">
        <f t="shared" si="264"/>
        <v>-2.8972046324783789</v>
      </c>
      <c r="AK1219" s="34">
        <f t="shared" si="271"/>
        <v>-2.9994002419481194</v>
      </c>
      <c r="AL1219" s="34">
        <f t="shared" si="266"/>
        <v>-2.9994002419481194</v>
      </c>
      <c r="AM1219" s="34">
        <v>-3.9046099999999999</v>
      </c>
      <c r="AN1219" s="244">
        <v>-2.78</v>
      </c>
      <c r="AO1219" s="417">
        <v>15.27</v>
      </c>
      <c r="AP1219" s="417"/>
      <c r="AQ1219" s="244" t="s">
        <v>6311</v>
      </c>
      <c r="AR1219" s="244" t="s">
        <v>6311</v>
      </c>
      <c r="AS1219" s="241" t="s">
        <v>6</v>
      </c>
      <c r="AT1219" s="39" t="s">
        <v>266</v>
      </c>
      <c r="AU1219" s="37">
        <v>2</v>
      </c>
      <c r="AV1219" s="37">
        <v>48</v>
      </c>
      <c r="AW1219" s="37">
        <v>48</v>
      </c>
      <c r="AX1219" s="37">
        <v>26</v>
      </c>
      <c r="AY1219" s="37" t="s">
        <v>647</v>
      </c>
      <c r="AZ1219" s="37" t="s">
        <v>536</v>
      </c>
      <c r="BA1219" s="37">
        <v>20</v>
      </c>
      <c r="BB1219" s="36" t="s">
        <v>537</v>
      </c>
      <c r="BC1219" s="36" t="s">
        <v>538</v>
      </c>
      <c r="BD1219" s="36"/>
      <c r="BE1219" s="37" t="s">
        <v>271</v>
      </c>
      <c r="BF1219" s="37" t="s">
        <v>539</v>
      </c>
      <c r="BG1219" s="37" t="s">
        <v>272</v>
      </c>
      <c r="BH1219" s="37" t="s">
        <v>272</v>
      </c>
      <c r="BI1219" s="250">
        <v>6.8</v>
      </c>
      <c r="BJ1219" s="250">
        <v>34.4</v>
      </c>
      <c r="BK1219" s="37"/>
      <c r="BL1219" s="263">
        <v>20.037800139305784</v>
      </c>
      <c r="BM1219" s="37" t="s">
        <v>541</v>
      </c>
      <c r="BN1219" s="37"/>
      <c r="BO1219" s="37">
        <v>15.4</v>
      </c>
      <c r="BP1219" s="37"/>
      <c r="BQ1219" s="37"/>
      <c r="BR1219" s="37"/>
      <c r="BS1219" s="37"/>
      <c r="BT1219" s="37"/>
      <c r="BU1219" s="246"/>
      <c r="BV1219" s="37"/>
      <c r="BW1219" s="37"/>
      <c r="BX1219" s="37"/>
      <c r="BY1219" s="37"/>
      <c r="BZ1219" s="37"/>
      <c r="CA1219" s="37"/>
      <c r="CB1219" s="37"/>
      <c r="CC1219" s="37"/>
      <c r="CD1219" s="37"/>
      <c r="CE1219" s="37"/>
      <c r="CF1219" s="37"/>
      <c r="CG1219" s="37"/>
      <c r="CH1219" s="37"/>
      <c r="CI1219" s="243">
        <v>15.4</v>
      </c>
      <c r="CJ1219" s="243">
        <f t="shared" si="273"/>
        <v>1.1875207208364631</v>
      </c>
      <c r="CK1219" s="38">
        <f t="shared" si="267"/>
        <v>0.58249419009609837</v>
      </c>
      <c r="CL1219" s="247">
        <f t="shared" si="268"/>
        <v>1.3011558532016743</v>
      </c>
      <c r="CM1219" s="247"/>
      <c r="CN1219" s="247"/>
      <c r="CO1219" s="36"/>
      <c r="CP1219" s="496" t="s">
        <v>1558</v>
      </c>
      <c r="CQ1219" s="241">
        <v>1.1455836013269163</v>
      </c>
      <c r="CR1219" s="241">
        <f t="shared" si="272"/>
        <v>1.1013798317658914</v>
      </c>
      <c r="CS1219" s="33"/>
      <c r="CT1219" s="33"/>
      <c r="CU1219" s="250">
        <f t="shared" si="269"/>
        <v>35.064935064935064</v>
      </c>
      <c r="CV1219" s="337">
        <f t="shared" si="270"/>
        <v>15.697674418604652</v>
      </c>
      <c r="CW1219" s="330">
        <f t="shared" si="274"/>
        <v>1</v>
      </c>
      <c r="CX1219" s="330"/>
      <c r="CY1219" s="143" t="s">
        <v>6351</v>
      </c>
    </row>
    <row r="1220" spans="1:103" ht="11.25" customHeight="1" x14ac:dyDescent="0.2">
      <c r="A1220" s="72">
        <v>1767</v>
      </c>
      <c r="B1220" s="241">
        <v>551</v>
      </c>
      <c r="C1220" s="32" t="s">
        <v>620</v>
      </c>
      <c r="D1220" s="32"/>
      <c r="E1220" s="40"/>
      <c r="F1220" s="40" t="s">
        <v>621</v>
      </c>
      <c r="G1220" s="242">
        <v>121755</v>
      </c>
      <c r="H1220" s="36" t="s">
        <v>622</v>
      </c>
      <c r="I1220" s="36" t="s">
        <v>622</v>
      </c>
      <c r="J1220" s="36" t="s">
        <v>623</v>
      </c>
      <c r="K1220" s="36" t="s">
        <v>624</v>
      </c>
      <c r="L1220" s="36" t="s">
        <v>617</v>
      </c>
      <c r="M1220" s="36" t="s">
        <v>946</v>
      </c>
      <c r="N1220" s="36" t="s">
        <v>6376</v>
      </c>
      <c r="O1220" s="36" t="s">
        <v>918</v>
      </c>
      <c r="P1220" s="41" t="s">
        <v>6178</v>
      </c>
      <c r="Q1220" s="41" t="s">
        <v>6176</v>
      </c>
      <c r="R1220" s="41" t="s">
        <v>6177</v>
      </c>
      <c r="S1220" s="41" t="s">
        <v>6176</v>
      </c>
      <c r="T1220" s="37">
        <v>330.36</v>
      </c>
      <c r="U1220" s="243">
        <v>143</v>
      </c>
      <c r="V1220" s="243">
        <v>78.45</v>
      </c>
      <c r="W1220" s="243">
        <v>185.77508018988354</v>
      </c>
      <c r="X1220" s="243">
        <v>143</v>
      </c>
      <c r="Y1220" s="414">
        <v>7</v>
      </c>
      <c r="Z1220" s="37">
        <v>2.29</v>
      </c>
      <c r="AA1220" s="37">
        <v>2.36</v>
      </c>
      <c r="AB1220" s="37">
        <v>2.69</v>
      </c>
      <c r="AC1220" s="37">
        <v>0.8125</v>
      </c>
      <c r="AD1220" s="37">
        <v>2.76</v>
      </c>
      <c r="AE1220" s="37">
        <v>2.93</v>
      </c>
      <c r="AF1220" s="37">
        <f t="shared" si="265"/>
        <v>2.36</v>
      </c>
      <c r="AG1220" s="38">
        <v>2.3199999999999998</v>
      </c>
      <c r="AH1220" s="243">
        <v>8.39E-10</v>
      </c>
      <c r="AI1220" s="243">
        <v>4.8900000000000003E-9</v>
      </c>
      <c r="AJ1220" s="34">
        <f t="shared" si="264"/>
        <v>-7.4648043654839515</v>
      </c>
      <c r="AK1220" s="34">
        <f t="shared" si="271"/>
        <v>-6.6992574671890317</v>
      </c>
      <c r="AL1220" s="34">
        <f t="shared" si="266"/>
        <v>-6.6992574671890317</v>
      </c>
      <c r="AM1220" s="34">
        <v>-12.449109999999999</v>
      </c>
      <c r="AN1220" s="244">
        <v>-5.94</v>
      </c>
      <c r="AO1220" s="417"/>
      <c r="AP1220" s="417"/>
      <c r="AQ1220" s="244" t="s">
        <v>6312</v>
      </c>
      <c r="AR1220" s="244" t="s">
        <v>6312</v>
      </c>
      <c r="AS1220" s="241" t="s">
        <v>6</v>
      </c>
      <c r="AT1220" s="39" t="s">
        <v>266</v>
      </c>
      <c r="AU1220" s="37">
        <v>2</v>
      </c>
      <c r="AV1220" s="37">
        <v>48</v>
      </c>
      <c r="AW1220" s="37">
        <v>48</v>
      </c>
      <c r="AX1220" s="37">
        <v>26</v>
      </c>
      <c r="AY1220" s="37" t="s">
        <v>647</v>
      </c>
      <c r="AZ1220" s="37" t="s">
        <v>536</v>
      </c>
      <c r="BA1220" s="37">
        <v>20</v>
      </c>
      <c r="BB1220" s="36" t="s">
        <v>537</v>
      </c>
      <c r="BC1220" s="36" t="s">
        <v>538</v>
      </c>
      <c r="BD1220" s="36"/>
      <c r="BE1220" s="37" t="s">
        <v>271</v>
      </c>
      <c r="BF1220" s="37" t="s">
        <v>539</v>
      </c>
      <c r="BG1220" s="37" t="s">
        <v>272</v>
      </c>
      <c r="BH1220" s="37" t="s">
        <v>272</v>
      </c>
      <c r="BI1220" s="250">
        <v>0.99987893462469746</v>
      </c>
      <c r="BJ1220" s="250">
        <v>4.7994188861985476</v>
      </c>
      <c r="BK1220" s="37"/>
      <c r="BL1220" s="263">
        <v>148.98359766722712</v>
      </c>
      <c r="BM1220" s="37" t="s">
        <v>541</v>
      </c>
      <c r="BN1220" s="37"/>
      <c r="BO1220" s="37">
        <v>6.1992493946731244</v>
      </c>
      <c r="BP1220" s="37"/>
      <c r="BQ1220" s="37"/>
      <c r="BR1220" s="37"/>
      <c r="BS1220" s="37"/>
      <c r="BT1220" s="37"/>
      <c r="BU1220" s="246"/>
      <c r="BV1220" s="37"/>
      <c r="BW1220" s="37"/>
      <c r="BX1220" s="37"/>
      <c r="BY1220" s="37"/>
      <c r="BZ1220" s="37"/>
      <c r="CA1220" s="37"/>
      <c r="CB1220" s="37"/>
      <c r="CC1220" s="37"/>
      <c r="CD1220" s="37"/>
      <c r="CE1220" s="37"/>
      <c r="CF1220" s="37"/>
      <c r="CG1220" s="37"/>
      <c r="CH1220" s="37"/>
      <c r="CI1220" s="243">
        <v>6.1992493946731244</v>
      </c>
      <c r="CJ1220" s="243">
        <f t="shared" si="273"/>
        <v>0.7923391082908644</v>
      </c>
      <c r="CK1220" s="38">
        <f t="shared" si="267"/>
        <v>31.042007626309072</v>
      </c>
      <c r="CL1220" s="247">
        <f t="shared" si="268"/>
        <v>24.03252203327154</v>
      </c>
      <c r="CM1220" s="247">
        <v>-1.0170155211093046</v>
      </c>
      <c r="CN1220" s="247">
        <f>BJ1220/(10^CM1220)</f>
        <v>49.911908593787885</v>
      </c>
      <c r="CO1220" s="36"/>
      <c r="CP1220" s="496" t="s">
        <v>1558</v>
      </c>
      <c r="CQ1220" s="241">
        <v>-0.606977785182086</v>
      </c>
      <c r="CR1220" s="241">
        <f t="shared" si="272"/>
        <v>25.079385635827403</v>
      </c>
      <c r="CS1220" s="33"/>
      <c r="CT1220" s="33"/>
      <c r="CU1220" s="250">
        <f t="shared" si="269"/>
        <v>23.067308781427101</v>
      </c>
      <c r="CV1220" s="337">
        <f t="shared" si="270"/>
        <v>29.795273842676675</v>
      </c>
      <c r="CW1220" s="330">
        <f t="shared" si="274"/>
        <v>1</v>
      </c>
      <c r="CX1220" s="330"/>
      <c r="CY1220" s="143" t="s">
        <v>5921</v>
      </c>
    </row>
    <row r="1221" spans="1:103" ht="11.25" customHeight="1" x14ac:dyDescent="0.2">
      <c r="A1221" s="72">
        <v>1768</v>
      </c>
      <c r="B1221" s="241">
        <v>484</v>
      </c>
      <c r="C1221" s="32" t="s">
        <v>7680</v>
      </c>
      <c r="D1221" s="32"/>
      <c r="E1221" s="40"/>
      <c r="F1221" s="40" t="s">
        <v>1565</v>
      </c>
      <c r="G1221" s="242">
        <v>123308</v>
      </c>
      <c r="H1221" s="36" t="s">
        <v>1566</v>
      </c>
      <c r="I1221" s="36" t="s">
        <v>1566</v>
      </c>
      <c r="J1221" s="36" t="s">
        <v>1567</v>
      </c>
      <c r="K1221" s="36" t="s">
        <v>1568</v>
      </c>
      <c r="L1221" s="36"/>
      <c r="M1221" s="36"/>
      <c r="N1221" s="36"/>
      <c r="O1221" s="36"/>
      <c r="P1221" s="41"/>
      <c r="Q1221" s="41" t="s">
        <v>6182</v>
      </c>
      <c r="R1221" s="41" t="s">
        <v>6185</v>
      </c>
      <c r="S1221" s="41" t="s">
        <v>6176</v>
      </c>
      <c r="T1221" s="37">
        <v>109.13</v>
      </c>
      <c r="U1221" s="243">
        <v>16000</v>
      </c>
      <c r="V1221" s="243">
        <v>101200</v>
      </c>
      <c r="W1221" s="243">
        <v>36136.33928739516</v>
      </c>
      <c r="X1221" s="243">
        <v>16000</v>
      </c>
      <c r="Y1221" s="414">
        <v>7.74</v>
      </c>
      <c r="Z1221" s="37">
        <v>0.24</v>
      </c>
      <c r="AA1221" s="37">
        <v>0.04</v>
      </c>
      <c r="AB1221" s="37">
        <v>0.34</v>
      </c>
      <c r="AC1221" s="37">
        <v>0.84719999999999995</v>
      </c>
      <c r="AD1221" s="37">
        <v>0.16</v>
      </c>
      <c r="AE1221" s="37">
        <v>-0.28999999999999998</v>
      </c>
      <c r="AF1221" s="37">
        <f t="shared" si="265"/>
        <v>0.04</v>
      </c>
      <c r="AG1221" s="38">
        <v>0.78</v>
      </c>
      <c r="AH1221" s="243">
        <v>1.9799999999999999E-10</v>
      </c>
      <c r="AI1221" s="243">
        <v>3.59E-10</v>
      </c>
      <c r="AJ1221" s="34">
        <f t="shared" si="264"/>
        <v>-8.0919011360511206</v>
      </c>
      <c r="AK1221" s="34">
        <f t="shared" si="271"/>
        <v>-7.8334718777343326</v>
      </c>
      <c r="AL1221" s="34">
        <f t="shared" si="266"/>
        <v>-7.8334718777343326</v>
      </c>
      <c r="AM1221" s="34">
        <v>-10.45463</v>
      </c>
      <c r="AN1221" s="244">
        <v>-8.06</v>
      </c>
      <c r="AO1221" s="417">
        <v>10.17</v>
      </c>
      <c r="AP1221" s="417">
        <v>5.28</v>
      </c>
      <c r="AQ1221" s="244" t="s">
        <v>6311</v>
      </c>
      <c r="AR1221" s="244" t="s">
        <v>6311</v>
      </c>
      <c r="AS1221" s="241" t="s">
        <v>6</v>
      </c>
      <c r="AT1221" s="39" t="s">
        <v>266</v>
      </c>
      <c r="AU1221" s="37">
        <v>2</v>
      </c>
      <c r="AV1221" s="37">
        <v>48</v>
      </c>
      <c r="AW1221" s="37">
        <v>48</v>
      </c>
      <c r="AX1221" s="37">
        <v>26</v>
      </c>
      <c r="AY1221" s="37" t="s">
        <v>647</v>
      </c>
      <c r="AZ1221" s="37" t="s">
        <v>536</v>
      </c>
      <c r="BA1221" s="37">
        <v>20</v>
      </c>
      <c r="BB1221" s="36" t="s">
        <v>537</v>
      </c>
      <c r="BC1221" s="36" t="s">
        <v>538</v>
      </c>
      <c r="BD1221" s="36"/>
      <c r="BE1221" s="37" t="s">
        <v>271</v>
      </c>
      <c r="BF1221" s="37" t="s">
        <v>539</v>
      </c>
      <c r="BG1221" s="37" t="s">
        <v>272</v>
      </c>
      <c r="BH1221" s="37" t="s">
        <v>272</v>
      </c>
      <c r="BI1221" s="250">
        <v>0.2</v>
      </c>
      <c r="BJ1221" s="250">
        <v>1.8</v>
      </c>
      <c r="BK1221" s="37"/>
      <c r="BL1221" s="263">
        <v>3413.5019493704249</v>
      </c>
      <c r="BM1221" s="37" t="s">
        <v>541</v>
      </c>
      <c r="BN1221" s="37"/>
      <c r="BO1221" s="37">
        <v>0.47</v>
      </c>
      <c r="BP1221" s="37"/>
      <c r="BQ1221" s="37"/>
      <c r="BR1221" s="37"/>
      <c r="BS1221" s="37"/>
      <c r="BT1221" s="37"/>
      <c r="BU1221" s="246"/>
      <c r="BV1221" s="37"/>
      <c r="BW1221" s="37"/>
      <c r="BX1221" s="37"/>
      <c r="BY1221" s="37"/>
      <c r="BZ1221" s="37"/>
      <c r="CA1221" s="37"/>
      <c r="CB1221" s="37"/>
      <c r="CC1221" s="37"/>
      <c r="CD1221" s="37"/>
      <c r="CE1221" s="37"/>
      <c r="CF1221" s="37"/>
      <c r="CG1221" s="37"/>
      <c r="CH1221" s="37"/>
      <c r="CI1221" s="243">
        <v>0.47</v>
      </c>
      <c r="CJ1221" s="243">
        <f t="shared" si="273"/>
        <v>-0.32790214206428259</v>
      </c>
      <c r="CK1221" s="38">
        <f t="shared" si="267"/>
        <v>1896.3899718724583</v>
      </c>
      <c r="CL1221" s="247">
        <f t="shared" si="268"/>
        <v>7262.770105043458</v>
      </c>
      <c r="CM1221" s="247"/>
      <c r="CN1221" s="247"/>
      <c r="CO1221" s="36"/>
      <c r="CP1221" s="496" t="s">
        <v>1558</v>
      </c>
      <c r="CQ1221" s="241">
        <v>7.9259043204474175E-2</v>
      </c>
      <c r="CR1221" s="241">
        <f t="shared" si="272"/>
        <v>0.39159651190908362</v>
      </c>
      <c r="CS1221" s="33"/>
      <c r="CT1221" s="33"/>
      <c r="CU1221" s="250">
        <f t="shared" si="269"/>
        <v>34042.553191489365</v>
      </c>
      <c r="CV1221" s="337">
        <f t="shared" si="270"/>
        <v>8888.8888888888887</v>
      </c>
      <c r="CW1221" s="330">
        <f t="shared" si="274"/>
        <v>1</v>
      </c>
      <c r="CX1221" s="330"/>
      <c r="CY1221" s="143" t="s">
        <v>6351</v>
      </c>
    </row>
    <row r="1222" spans="1:103" ht="11.25" customHeight="1" x14ac:dyDescent="0.2">
      <c r="A1222" s="72">
        <v>1769</v>
      </c>
      <c r="B1222" s="241">
        <v>547</v>
      </c>
      <c r="C1222" s="32" t="s">
        <v>1719</v>
      </c>
      <c r="D1222" s="32"/>
      <c r="E1222" s="40"/>
      <c r="F1222" s="40" t="s">
        <v>1720</v>
      </c>
      <c r="G1222" s="242">
        <v>123319</v>
      </c>
      <c r="H1222" s="36" t="s">
        <v>1721</v>
      </c>
      <c r="I1222" s="36" t="s">
        <v>1721</v>
      </c>
      <c r="J1222" s="36" t="s">
        <v>1722</v>
      </c>
      <c r="K1222" s="36" t="s">
        <v>1723</v>
      </c>
      <c r="L1222" s="36" t="s">
        <v>5527</v>
      </c>
      <c r="M1222" s="36" t="s">
        <v>6129</v>
      </c>
      <c r="N1222" s="36" t="s">
        <v>6383</v>
      </c>
      <c r="O1222" s="36"/>
      <c r="P1222" s="41"/>
      <c r="Q1222" s="41" t="s">
        <v>6182</v>
      </c>
      <c r="R1222" s="41" t="s">
        <v>6185</v>
      </c>
      <c r="S1222" s="41" t="s">
        <v>6176</v>
      </c>
      <c r="T1222" s="37">
        <v>110.11</v>
      </c>
      <c r="U1222" s="243">
        <v>72000</v>
      </c>
      <c r="V1222" s="243">
        <v>129500.00000000001</v>
      </c>
      <c r="W1222" s="243">
        <v>195806.34583938582</v>
      </c>
      <c r="X1222" s="243">
        <v>72000</v>
      </c>
      <c r="Y1222" s="414">
        <v>5.04</v>
      </c>
      <c r="Z1222" s="37">
        <v>1.03</v>
      </c>
      <c r="AA1222" s="37">
        <v>0.59</v>
      </c>
      <c r="AB1222" s="37">
        <v>0.48</v>
      </c>
      <c r="AC1222" s="37">
        <v>0.82310000000000005</v>
      </c>
      <c r="AD1222" s="37">
        <v>0.53</v>
      </c>
      <c r="AE1222" s="37">
        <v>0.64</v>
      </c>
      <c r="AF1222" s="37">
        <f t="shared" si="265"/>
        <v>0.59</v>
      </c>
      <c r="AG1222" s="38">
        <v>1.1200000000000001</v>
      </c>
      <c r="AH1222" s="243">
        <v>5.8299999999999995E-11</v>
      </c>
      <c r="AI1222" s="243">
        <v>4.7300000000000001E-11</v>
      </c>
      <c r="AJ1222" s="34">
        <f t="shared" si="264"/>
        <v>-8.622897771553637</v>
      </c>
      <c r="AK1222" s="34">
        <f t="shared" si="271"/>
        <v>-8.71370518557484</v>
      </c>
      <c r="AL1222" s="34">
        <f t="shared" si="266"/>
        <v>-8.71370518557484</v>
      </c>
      <c r="AM1222" s="34">
        <v>-10.688190000000001</v>
      </c>
      <c r="AN1222" s="244">
        <v>-8.7899999999999991</v>
      </c>
      <c r="AO1222" s="417">
        <v>10.33</v>
      </c>
      <c r="AP1222" s="417"/>
      <c r="AQ1222" s="244" t="s">
        <v>6311</v>
      </c>
      <c r="AR1222" s="244" t="s">
        <v>6311</v>
      </c>
      <c r="AS1222" s="241" t="s">
        <v>6</v>
      </c>
      <c r="AT1222" s="39" t="s">
        <v>266</v>
      </c>
      <c r="AU1222" s="37">
        <v>2</v>
      </c>
      <c r="AV1222" s="37">
        <v>48</v>
      </c>
      <c r="AW1222" s="37">
        <v>48</v>
      </c>
      <c r="AX1222" s="37">
        <v>26</v>
      </c>
      <c r="AY1222" s="37" t="s">
        <v>647</v>
      </c>
      <c r="AZ1222" s="37" t="s">
        <v>536</v>
      </c>
      <c r="BA1222" s="37">
        <v>20</v>
      </c>
      <c r="BB1222" s="36" t="s">
        <v>537</v>
      </c>
      <c r="BC1222" s="36" t="s">
        <v>538</v>
      </c>
      <c r="BD1222" s="36"/>
      <c r="BE1222" s="37" t="s">
        <v>271</v>
      </c>
      <c r="BF1222" s="37" t="s">
        <v>539</v>
      </c>
      <c r="BG1222" s="37" t="s">
        <v>272</v>
      </c>
      <c r="BH1222" s="37" t="s">
        <v>272</v>
      </c>
      <c r="BI1222" s="250">
        <v>2.5</v>
      </c>
      <c r="BJ1222" s="250">
        <v>12.9</v>
      </c>
      <c r="BK1222" s="37"/>
      <c r="BL1222" s="263">
        <v>672.33196967807544</v>
      </c>
      <c r="BM1222" s="37" t="s">
        <v>541</v>
      </c>
      <c r="BN1222" s="37"/>
      <c r="BO1222" s="37">
        <v>7.9</v>
      </c>
      <c r="BP1222" s="37"/>
      <c r="BQ1222" s="37"/>
      <c r="BR1222" s="37"/>
      <c r="BS1222" s="37"/>
      <c r="BT1222" s="37"/>
      <c r="BU1222" s="246"/>
      <c r="BV1222" s="37"/>
      <c r="BW1222" s="37"/>
      <c r="BX1222" s="37"/>
      <c r="BY1222" s="37"/>
      <c r="BZ1222" s="37"/>
      <c r="CA1222" s="37"/>
      <c r="CB1222" s="37"/>
      <c r="CC1222" s="37"/>
      <c r="CD1222" s="37"/>
      <c r="CE1222" s="37"/>
      <c r="CF1222" s="37"/>
      <c r="CG1222" s="37"/>
      <c r="CH1222" s="37"/>
      <c r="CI1222" s="243">
        <v>7.9</v>
      </c>
      <c r="CJ1222" s="243">
        <f t="shared" si="273"/>
        <v>0.89762709129044149</v>
      </c>
      <c r="CK1222" s="38">
        <f t="shared" si="267"/>
        <v>52.118757339385688</v>
      </c>
      <c r="CL1222" s="247">
        <f t="shared" si="268"/>
        <v>85.105312617477907</v>
      </c>
      <c r="CM1222" s="247">
        <v>-1.3585258894959005</v>
      </c>
      <c r="CN1222" s="247">
        <f>BJ1222/(10^CM1222)</f>
        <v>294.52054794520552</v>
      </c>
      <c r="CO1222" s="36"/>
      <c r="CP1222" s="496" t="s">
        <v>1558</v>
      </c>
      <c r="CQ1222" s="241">
        <v>-0.72603946632645011</v>
      </c>
      <c r="CR1222" s="241">
        <f t="shared" si="272"/>
        <v>42.040372709494477</v>
      </c>
      <c r="CS1222" s="33"/>
      <c r="CT1222" s="33"/>
      <c r="CU1222" s="250">
        <f t="shared" si="269"/>
        <v>9113.9240506329115</v>
      </c>
      <c r="CV1222" s="337">
        <f t="shared" si="270"/>
        <v>5581.395348837209</v>
      </c>
      <c r="CW1222" s="330">
        <f t="shared" si="274"/>
        <v>1</v>
      </c>
      <c r="CX1222" s="330"/>
      <c r="CY1222" s="143" t="s">
        <v>6351</v>
      </c>
    </row>
    <row r="1223" spans="1:103" ht="11.25" customHeight="1" x14ac:dyDescent="0.2">
      <c r="A1223" s="72">
        <v>1808</v>
      </c>
      <c r="B1223" s="241">
        <v>524</v>
      </c>
      <c r="C1223" s="32" t="s">
        <v>7700</v>
      </c>
      <c r="D1223" s="32" t="s">
        <v>8699</v>
      </c>
      <c r="E1223" s="40"/>
      <c r="F1223" s="40" t="s">
        <v>1666</v>
      </c>
      <c r="G1223" s="242">
        <v>554007</v>
      </c>
      <c r="H1223" s="36" t="s">
        <v>1667</v>
      </c>
      <c r="I1223" s="36" t="s">
        <v>8227</v>
      </c>
      <c r="J1223" s="36" t="s">
        <v>1668</v>
      </c>
      <c r="K1223" s="36" t="s">
        <v>1573</v>
      </c>
      <c r="L1223" s="36"/>
      <c r="M1223" s="36" t="s">
        <v>1629</v>
      </c>
      <c r="N1223" s="36" t="s">
        <v>6385</v>
      </c>
      <c r="O1223" s="36" t="s">
        <v>1630</v>
      </c>
      <c r="P1223" s="41" t="s">
        <v>6184</v>
      </c>
      <c r="Q1223" s="41" t="s">
        <v>6176</v>
      </c>
      <c r="R1223" s="41" t="s">
        <v>6185</v>
      </c>
      <c r="S1223" s="41" t="s">
        <v>6176</v>
      </c>
      <c r="T1223" s="37">
        <v>162.02000000000001</v>
      </c>
      <c r="U1223" s="243">
        <v>620</v>
      </c>
      <c r="V1223" s="243">
        <v>283.10000000000002</v>
      </c>
      <c r="W1223" s="243">
        <v>245.22719347163434</v>
      </c>
      <c r="X1223" s="243">
        <v>620</v>
      </c>
      <c r="Y1223" s="414">
        <v>7.03</v>
      </c>
      <c r="Z1223" s="37">
        <v>2.37</v>
      </c>
      <c r="AA1223" s="37">
        <v>2.78</v>
      </c>
      <c r="AB1223" s="37">
        <v>2.77</v>
      </c>
      <c r="AC1223" s="37">
        <v>0.91710000000000003</v>
      </c>
      <c r="AD1223" s="37">
        <v>2.76</v>
      </c>
      <c r="AE1223" s="37">
        <v>2.74</v>
      </c>
      <c r="AF1223" s="37">
        <f t="shared" si="265"/>
        <v>2.78</v>
      </c>
      <c r="AG1223" s="38">
        <v>2.4700000000000002</v>
      </c>
      <c r="AH1223" s="243">
        <v>1.0499999999999999E-6</v>
      </c>
      <c r="AI1223" s="243"/>
      <c r="AJ1223" s="34">
        <f t="shared" si="264"/>
        <v>-4.3673770272427141</v>
      </c>
      <c r="AK1223" s="34"/>
      <c r="AL1223" s="34">
        <f t="shared" si="266"/>
        <v>-4.3673770272427141</v>
      </c>
      <c r="AM1223" s="34">
        <v>-7.0191300000000005</v>
      </c>
      <c r="AN1223" s="244">
        <v>-2.97</v>
      </c>
      <c r="AO1223" s="417"/>
      <c r="AP1223" s="417">
        <v>2.02</v>
      </c>
      <c r="AQ1223" s="244" t="s">
        <v>6311</v>
      </c>
      <c r="AR1223" s="244" t="s">
        <v>6311</v>
      </c>
      <c r="AS1223" s="241" t="s">
        <v>6</v>
      </c>
      <c r="AT1223" s="39" t="s">
        <v>266</v>
      </c>
      <c r="AU1223" s="37">
        <v>2</v>
      </c>
      <c r="AV1223" s="37">
        <v>48</v>
      </c>
      <c r="AW1223" s="37">
        <v>48</v>
      </c>
      <c r="AX1223" s="37">
        <v>26</v>
      </c>
      <c r="AY1223" s="37" t="s">
        <v>647</v>
      </c>
      <c r="AZ1223" s="37" t="s">
        <v>536</v>
      </c>
      <c r="BA1223" s="37">
        <v>20</v>
      </c>
      <c r="BB1223" s="36" t="s">
        <v>537</v>
      </c>
      <c r="BC1223" s="36" t="s">
        <v>538</v>
      </c>
      <c r="BD1223" s="36"/>
      <c r="BE1223" s="37" t="s">
        <v>271</v>
      </c>
      <c r="BF1223" s="37" t="s">
        <v>539</v>
      </c>
      <c r="BG1223" s="37" t="s">
        <v>272</v>
      </c>
      <c r="BH1223" s="37" t="s">
        <v>272</v>
      </c>
      <c r="BI1223" s="250">
        <v>3.6</v>
      </c>
      <c r="BJ1223" s="250">
        <v>18</v>
      </c>
      <c r="BK1223" s="37"/>
      <c r="BL1223" s="263">
        <v>61.925800289105773</v>
      </c>
      <c r="BM1223" s="37" t="s">
        <v>541</v>
      </c>
      <c r="BN1223" s="37"/>
      <c r="BO1223" s="37">
        <v>21.499999999999996</v>
      </c>
      <c r="BP1223" s="37"/>
      <c r="BQ1223" s="37"/>
      <c r="BR1223" s="37"/>
      <c r="BS1223" s="37"/>
      <c r="BT1223" s="37"/>
      <c r="BU1223" s="246"/>
      <c r="BV1223" s="37"/>
      <c r="BW1223" s="37"/>
      <c r="BX1223" s="37"/>
      <c r="BY1223" s="37"/>
      <c r="BZ1223" s="37"/>
      <c r="CA1223" s="37"/>
      <c r="CB1223" s="37"/>
      <c r="CC1223" s="37"/>
      <c r="CD1223" s="37"/>
      <c r="CE1223" s="37"/>
      <c r="CF1223" s="37"/>
      <c r="CG1223" s="37"/>
      <c r="CH1223" s="37"/>
      <c r="CI1223" s="243">
        <v>21.499999999999996</v>
      </c>
      <c r="CJ1223" s="243">
        <f t="shared" si="273"/>
        <v>1.3324384599156052</v>
      </c>
      <c r="CK1223" s="38">
        <f t="shared" si="267"/>
        <v>3.4403222382836542</v>
      </c>
      <c r="CL1223" s="247">
        <f t="shared" si="268"/>
        <v>2.8802697808886411</v>
      </c>
      <c r="CM1223" s="247"/>
      <c r="CN1223" s="247"/>
      <c r="CO1223" s="36"/>
      <c r="CP1223" s="496" t="s">
        <v>1558</v>
      </c>
      <c r="CQ1223" s="241">
        <v>0.98469340782229853</v>
      </c>
      <c r="CR1223" s="241">
        <f t="shared" si="272"/>
        <v>2.2271273542738994</v>
      </c>
      <c r="CS1223" s="33"/>
      <c r="CT1223" s="33"/>
      <c r="CU1223" s="250">
        <f t="shared" si="269"/>
        <v>28.837209302325586</v>
      </c>
      <c r="CV1223" s="337">
        <f t="shared" si="270"/>
        <v>34.444444444444443</v>
      </c>
      <c r="CW1223" s="330">
        <f t="shared" si="274"/>
        <v>1</v>
      </c>
      <c r="CX1223" s="330"/>
      <c r="CY1223" s="143" t="s">
        <v>6351</v>
      </c>
    </row>
    <row r="1224" spans="1:103" ht="11.25" customHeight="1" x14ac:dyDescent="0.2">
      <c r="A1224" s="72">
        <v>2008</v>
      </c>
      <c r="B1224" s="282">
        <v>603</v>
      </c>
      <c r="C1224" s="115" t="s">
        <v>751</v>
      </c>
      <c r="D1224" s="115"/>
      <c r="E1224" s="116">
        <v>1</v>
      </c>
      <c r="F1224" s="116" t="s">
        <v>752</v>
      </c>
      <c r="G1224" s="283">
        <v>57136</v>
      </c>
      <c r="H1224" s="284" t="s">
        <v>753</v>
      </c>
      <c r="I1224" s="284"/>
      <c r="J1224" s="284" t="s">
        <v>754</v>
      </c>
      <c r="K1224" s="284" t="s">
        <v>416</v>
      </c>
      <c r="L1224" s="284"/>
      <c r="M1224" s="284"/>
      <c r="N1224" s="284"/>
      <c r="O1224" s="284"/>
      <c r="P1224" s="286"/>
      <c r="Q1224" s="286"/>
      <c r="R1224" s="286"/>
      <c r="S1224" s="286"/>
      <c r="T1224" s="119">
        <v>60.06</v>
      </c>
      <c r="U1224" s="292"/>
      <c r="V1224" s="292"/>
      <c r="W1224" s="292">
        <v>996747.89660699933</v>
      </c>
      <c r="X1224" s="292">
        <v>996747.89660699933</v>
      </c>
      <c r="Y1224" s="370">
        <v>6.41</v>
      </c>
      <c r="Z1224" s="119"/>
      <c r="AA1224" s="119"/>
      <c r="AB1224" s="116">
        <v>-1.59</v>
      </c>
      <c r="AC1224" s="116">
        <v>0.81310000000000004</v>
      </c>
      <c r="AD1224" s="116">
        <v>-1.75</v>
      </c>
      <c r="AE1224" s="116">
        <v>-2.11</v>
      </c>
      <c r="AF1224" s="116">
        <f t="shared" si="265"/>
        <v>-1.75</v>
      </c>
      <c r="AG1224" s="120">
        <v>-1.32</v>
      </c>
      <c r="AH1224" s="292">
        <v>3.6499999999999998E-10</v>
      </c>
      <c r="AI1224" s="292">
        <v>1.7400000000000001E-12</v>
      </c>
      <c r="AJ1224" s="125">
        <f t="shared" si="264"/>
        <v>-7.8262734618561769</v>
      </c>
      <c r="AK1224" s="125">
        <f>LOG10(AI1224*1000/(0.08206*298.15))</f>
        <v>-10.148017078030053</v>
      </c>
      <c r="AL1224" s="125">
        <f t="shared" si="266"/>
        <v>-10.148017078030053</v>
      </c>
      <c r="AM1224" s="125"/>
      <c r="AN1224" s="297">
        <v>-9</v>
      </c>
      <c r="AO1224" s="420">
        <v>14.43</v>
      </c>
      <c r="AP1224" s="420">
        <v>0.1</v>
      </c>
      <c r="AQ1224" s="297" t="s">
        <v>6311</v>
      </c>
      <c r="AR1224" s="297" t="s">
        <v>6311</v>
      </c>
      <c r="AS1224" s="282" t="s">
        <v>6</v>
      </c>
      <c r="AT1224" s="118" t="s">
        <v>266</v>
      </c>
      <c r="AU1224" s="119">
        <v>2</v>
      </c>
      <c r="AV1224" s="119">
        <v>48</v>
      </c>
      <c r="AW1224" s="119">
        <v>48</v>
      </c>
      <c r="AX1224" s="119">
        <v>26</v>
      </c>
      <c r="AY1224" s="119" t="s">
        <v>647</v>
      </c>
      <c r="AZ1224" s="119" t="s">
        <v>536</v>
      </c>
      <c r="BA1224" s="119">
        <v>20</v>
      </c>
      <c r="BB1224" s="284" t="s">
        <v>537</v>
      </c>
      <c r="BC1224" s="284" t="s">
        <v>538</v>
      </c>
      <c r="BD1224" s="284"/>
      <c r="BE1224" s="119" t="s">
        <v>271</v>
      </c>
      <c r="BF1224" s="119" t="s">
        <v>539</v>
      </c>
      <c r="BG1224" s="119" t="s">
        <v>272</v>
      </c>
      <c r="BH1224" s="119" t="s">
        <v>272</v>
      </c>
      <c r="BI1224" s="291">
        <v>5.5</v>
      </c>
      <c r="BJ1224" s="291">
        <v>28</v>
      </c>
      <c r="BK1224" s="119"/>
      <c r="BL1224" s="287"/>
      <c r="BM1224" s="119" t="s">
        <v>541</v>
      </c>
      <c r="BN1224" s="119"/>
      <c r="BO1224" s="119">
        <v>22900</v>
      </c>
      <c r="BP1224" s="119"/>
      <c r="BQ1224" s="119"/>
      <c r="BR1224" s="119"/>
      <c r="BS1224" s="119"/>
      <c r="BT1224" s="119"/>
      <c r="BU1224" s="293"/>
      <c r="BV1224" s="119"/>
      <c r="BW1224" s="119"/>
      <c r="BX1224" s="119"/>
      <c r="BY1224" s="119"/>
      <c r="BZ1224" s="119"/>
      <c r="CA1224" s="119"/>
      <c r="CB1224" s="119"/>
      <c r="CC1224" s="119"/>
      <c r="CD1224" s="119"/>
      <c r="CE1224" s="119"/>
      <c r="CF1224" s="119"/>
      <c r="CG1224" s="119"/>
      <c r="CH1224" s="119"/>
      <c r="CI1224" s="292">
        <v>22900</v>
      </c>
      <c r="CJ1224" s="292">
        <f t="shared" si="273"/>
        <v>4.3598354823398884</v>
      </c>
      <c r="CK1224" s="120" t="s">
        <v>404</v>
      </c>
      <c r="CL1224" s="294"/>
      <c r="CM1224" s="294"/>
      <c r="CN1224" s="294">
        <f>BJ1224/(10^CM1224)</f>
        <v>28</v>
      </c>
      <c r="CO1224" s="284"/>
      <c r="CP1224" s="498" t="s">
        <v>1558</v>
      </c>
      <c r="CQ1224" s="282"/>
      <c r="CR1224" s="282">
        <f t="shared" si="272"/>
        <v>22900.000000000036</v>
      </c>
      <c r="CS1224" s="123"/>
      <c r="CT1224" s="123"/>
      <c r="CU1224" s="300">
        <f t="shared" si="269"/>
        <v>43.526109022139707</v>
      </c>
      <c r="CV1224" s="338">
        <f t="shared" si="270"/>
        <v>35598.139164535693</v>
      </c>
      <c r="CW1224" s="339">
        <f t="shared" si="274"/>
        <v>1</v>
      </c>
      <c r="CX1224" s="339"/>
      <c r="CY1224" s="295" t="s">
        <v>6351</v>
      </c>
    </row>
    <row r="1225" spans="1:103" ht="11.25" customHeight="1" x14ac:dyDescent="0.2">
      <c r="A1225" s="72">
        <v>1695</v>
      </c>
      <c r="B1225" s="241">
        <v>648</v>
      </c>
      <c r="C1225" s="32" t="s">
        <v>7639</v>
      </c>
      <c r="D1225" s="32" t="s">
        <v>8693</v>
      </c>
      <c r="E1225" s="40"/>
      <c r="F1225" s="40" t="s">
        <v>1623</v>
      </c>
      <c r="G1225" s="242">
        <v>95512</v>
      </c>
      <c r="H1225" s="36" t="s">
        <v>1624</v>
      </c>
      <c r="I1225" s="36" t="s">
        <v>8212</v>
      </c>
      <c r="J1225" s="36" t="s">
        <v>1625</v>
      </c>
      <c r="K1225" s="36" t="s">
        <v>1573</v>
      </c>
      <c r="L1225" s="36"/>
      <c r="M1225" s="36" t="s">
        <v>6616</v>
      </c>
      <c r="N1225" s="36" t="s">
        <v>6082</v>
      </c>
      <c r="O1225" s="36" t="s">
        <v>498</v>
      </c>
      <c r="P1225" s="41" t="s">
        <v>6184</v>
      </c>
      <c r="Q1225" s="41" t="s">
        <v>6176</v>
      </c>
      <c r="R1225" s="41" t="s">
        <v>6185</v>
      </c>
      <c r="S1225" s="41" t="s">
        <v>6176</v>
      </c>
      <c r="T1225" s="37">
        <v>127.57</v>
      </c>
      <c r="U1225" s="243">
        <v>8160</v>
      </c>
      <c r="V1225" s="243">
        <v>2241</v>
      </c>
      <c r="W1225" s="243">
        <v>1305.4148702525572</v>
      </c>
      <c r="X1225" s="243">
        <v>8160</v>
      </c>
      <c r="Y1225" s="414">
        <v>7.37</v>
      </c>
      <c r="Z1225" s="37">
        <v>1.72</v>
      </c>
      <c r="AA1225" s="37">
        <v>1.9</v>
      </c>
      <c r="AB1225" s="37">
        <v>2.11</v>
      </c>
      <c r="AC1225" s="37">
        <v>0.91159999999999997</v>
      </c>
      <c r="AD1225" s="37">
        <v>2.06</v>
      </c>
      <c r="AE1225" s="37">
        <v>1.91</v>
      </c>
      <c r="AF1225" s="37">
        <f t="shared" si="265"/>
        <v>1.9</v>
      </c>
      <c r="AG1225" s="38">
        <v>1.79</v>
      </c>
      <c r="AH1225" s="243">
        <v>1.4100000000000001E-6</v>
      </c>
      <c r="AI1225" s="243">
        <v>5.3900000000000001E-6</v>
      </c>
      <c r="AJ1225" s="34">
        <f t="shared" si="264"/>
        <v>-4.2393472136572719</v>
      </c>
      <c r="AK1225" s="34">
        <f>LOG10(AI1225*1000/(0.08206*298.15))</f>
        <v>-3.6569775611259132</v>
      </c>
      <c r="AL1225" s="34">
        <f t="shared" si="266"/>
        <v>-3.6569775611259132</v>
      </c>
      <c r="AM1225" s="34">
        <v>-6.6838999999999995</v>
      </c>
      <c r="AN1225" s="244">
        <v>-2.79</v>
      </c>
      <c r="AO1225" s="417"/>
      <c r="AP1225" s="417">
        <v>2.65</v>
      </c>
      <c r="AQ1225" s="244" t="s">
        <v>6311</v>
      </c>
      <c r="AR1225" s="244" t="s">
        <v>6311</v>
      </c>
      <c r="AS1225" s="241" t="s">
        <v>6</v>
      </c>
      <c r="AT1225" s="39" t="s">
        <v>266</v>
      </c>
      <c r="AU1225" s="37">
        <v>2</v>
      </c>
      <c r="AV1225" s="37">
        <v>48</v>
      </c>
      <c r="AW1225" s="37">
        <v>48</v>
      </c>
      <c r="AX1225" s="37">
        <v>26</v>
      </c>
      <c r="AY1225" s="37" t="s">
        <v>647</v>
      </c>
      <c r="AZ1225" s="37" t="s">
        <v>1912</v>
      </c>
      <c r="BA1225" s="37">
        <v>25</v>
      </c>
      <c r="BB1225" s="36" t="s">
        <v>1613</v>
      </c>
      <c r="BC1225" s="36" t="s">
        <v>538</v>
      </c>
      <c r="BD1225" s="36"/>
      <c r="BE1225" s="37" t="s">
        <v>271</v>
      </c>
      <c r="BF1225" s="37" t="s">
        <v>272</v>
      </c>
      <c r="BG1225" s="37" t="s">
        <v>272</v>
      </c>
      <c r="BH1225" s="37" t="s">
        <v>272</v>
      </c>
      <c r="BI1225" s="250">
        <v>0.18497649999999999</v>
      </c>
      <c r="BJ1225" s="250">
        <v>100.7803</v>
      </c>
      <c r="BK1225" s="37"/>
      <c r="BL1225" s="263">
        <v>186.98921376193246</v>
      </c>
      <c r="BM1225" s="37" t="s">
        <v>541</v>
      </c>
      <c r="BN1225" s="37"/>
      <c r="BO1225" s="37">
        <v>14.925689999999999</v>
      </c>
      <c r="BP1225" s="37"/>
      <c r="BQ1225" s="37"/>
      <c r="BR1225" s="37"/>
      <c r="BS1225" s="37"/>
      <c r="BT1225" s="37"/>
      <c r="BU1225" s="246"/>
      <c r="BV1225" s="37"/>
      <c r="BW1225" s="37"/>
      <c r="BX1225" s="37"/>
      <c r="BY1225" s="37"/>
      <c r="BZ1225" s="37"/>
      <c r="CA1225" s="37"/>
      <c r="CB1225" s="37"/>
      <c r="CC1225" s="37"/>
      <c r="CD1225" s="37"/>
      <c r="CE1225" s="37"/>
      <c r="CF1225" s="37"/>
      <c r="CG1225" s="37"/>
      <c r="CH1225" s="37"/>
      <c r="CI1225" s="243">
        <v>14.925689999999999</v>
      </c>
      <c r="CJ1225" s="243">
        <f t="shared" si="273"/>
        <v>1.1739344172731547</v>
      </c>
      <c r="CK1225" s="38">
        <f t="shared" ref="CK1225:CK1231" si="275">BL1225/BJ1225</f>
        <v>1.8554143395279878</v>
      </c>
      <c r="CL1225" s="247">
        <f t="shared" ref="CL1225:CL1231" si="276">BL1225/CI1225</f>
        <v>12.528011352368464</v>
      </c>
      <c r="CM1225" s="247"/>
      <c r="CN1225" s="247"/>
      <c r="CO1225" s="36"/>
      <c r="CP1225" s="496" t="s">
        <v>1913</v>
      </c>
      <c r="CQ1225" s="241">
        <v>0.73908560540272827</v>
      </c>
      <c r="CR1225" s="241">
        <f t="shared" si="272"/>
        <v>2.7217536366411039</v>
      </c>
      <c r="CS1225" s="33"/>
      <c r="CT1225" s="33"/>
      <c r="CU1225" s="250">
        <f t="shared" si="269"/>
        <v>546.7083933808085</v>
      </c>
      <c r="CV1225" s="337">
        <f t="shared" si="270"/>
        <v>80.968205095638737</v>
      </c>
      <c r="CW1225" s="330">
        <f t="shared" si="274"/>
        <v>1</v>
      </c>
      <c r="CX1225" s="330"/>
      <c r="CY1225" s="143" t="s">
        <v>6351</v>
      </c>
    </row>
    <row r="1226" spans="1:103" ht="11.25" customHeight="1" x14ac:dyDescent="0.2">
      <c r="A1226" s="72">
        <v>1701</v>
      </c>
      <c r="B1226" s="241">
        <v>657</v>
      </c>
      <c r="C1226" s="32" t="s">
        <v>7644</v>
      </c>
      <c r="D1226" s="32"/>
      <c r="E1226" s="40"/>
      <c r="F1226" s="40" t="s">
        <v>1670</v>
      </c>
      <c r="G1226" s="242">
        <v>95761</v>
      </c>
      <c r="H1226" s="36" t="s">
        <v>1671</v>
      </c>
      <c r="I1226" s="36" t="s">
        <v>8213</v>
      </c>
      <c r="J1226" s="36" t="s">
        <v>1672</v>
      </c>
      <c r="K1226" s="36" t="s">
        <v>1573</v>
      </c>
      <c r="L1226" s="36"/>
      <c r="M1226" s="36" t="s">
        <v>1629</v>
      </c>
      <c r="N1226" s="36" t="s">
        <v>6385</v>
      </c>
      <c r="O1226" s="36" t="s">
        <v>498</v>
      </c>
      <c r="P1226" s="41" t="s">
        <v>6184</v>
      </c>
      <c r="Q1226" s="41" t="s">
        <v>6176</v>
      </c>
      <c r="R1226" s="41" t="s">
        <v>6185</v>
      </c>
      <c r="S1226" s="41" t="s">
        <v>6176</v>
      </c>
      <c r="T1226" s="37">
        <v>162.02000000000001</v>
      </c>
      <c r="U1226" s="243">
        <v>92</v>
      </c>
      <c r="V1226" s="243">
        <v>337.9</v>
      </c>
      <c r="W1226" s="243">
        <v>294.82793311198913</v>
      </c>
      <c r="X1226" s="243">
        <v>92</v>
      </c>
      <c r="Y1226" s="414">
        <v>7.2</v>
      </c>
      <c r="Z1226" s="37">
        <v>2.37</v>
      </c>
      <c r="AA1226" s="37">
        <v>2.69</v>
      </c>
      <c r="AB1226" s="37">
        <v>2.62</v>
      </c>
      <c r="AC1226" s="37">
        <v>0.89139999999999997</v>
      </c>
      <c r="AD1226" s="37">
        <v>2.6</v>
      </c>
      <c r="AE1226" s="37">
        <v>2.5099999999999998</v>
      </c>
      <c r="AF1226" s="37">
        <f t="shared" si="265"/>
        <v>2.69</v>
      </c>
      <c r="AG1226" s="38">
        <v>2.4700000000000002</v>
      </c>
      <c r="AH1226" s="243">
        <v>1.0499999999999999E-6</v>
      </c>
      <c r="AI1226" s="243">
        <v>1.4600000000000001E-5</v>
      </c>
      <c r="AJ1226" s="34">
        <f t="shared" si="264"/>
        <v>-4.3673770272427141</v>
      </c>
      <c r="AK1226" s="34">
        <f>LOG10(AI1226*1000/(0.08206*298.15))</f>
        <v>-3.2242134705282148</v>
      </c>
      <c r="AL1226" s="34">
        <f t="shared" si="266"/>
        <v>-3.2242134705282148</v>
      </c>
      <c r="AM1226" s="34">
        <v>-7.2924100000000003</v>
      </c>
      <c r="AN1226" s="244">
        <v>-4.37</v>
      </c>
      <c r="AO1226" s="417"/>
      <c r="AP1226" s="417">
        <v>2.9</v>
      </c>
      <c r="AQ1226" s="244" t="s">
        <v>6311</v>
      </c>
      <c r="AR1226" s="244" t="s">
        <v>6311</v>
      </c>
      <c r="AS1226" s="241" t="s">
        <v>6</v>
      </c>
      <c r="AT1226" s="39" t="s">
        <v>266</v>
      </c>
      <c r="AU1226" s="37">
        <v>2</v>
      </c>
      <c r="AV1226" s="37">
        <v>48</v>
      </c>
      <c r="AW1226" s="37">
        <v>48</v>
      </c>
      <c r="AX1226" s="37">
        <v>26</v>
      </c>
      <c r="AY1226" s="37" t="s">
        <v>647</v>
      </c>
      <c r="AZ1226" s="37" t="s">
        <v>1912</v>
      </c>
      <c r="BA1226" s="37">
        <v>25</v>
      </c>
      <c r="BB1226" s="36" t="s">
        <v>1613</v>
      </c>
      <c r="BC1226" s="36" t="s">
        <v>538</v>
      </c>
      <c r="BD1226" s="36"/>
      <c r="BE1226" s="37" t="s">
        <v>271</v>
      </c>
      <c r="BF1226" s="37" t="s">
        <v>272</v>
      </c>
      <c r="BG1226" s="37" t="s">
        <v>272</v>
      </c>
      <c r="BH1226" s="37" t="s">
        <v>272</v>
      </c>
      <c r="BI1226" s="250">
        <v>0.234929</v>
      </c>
      <c r="BJ1226" s="250">
        <v>8.0037880000000001</v>
      </c>
      <c r="BK1226" s="37"/>
      <c r="BL1226" s="263">
        <v>61.925800289105773</v>
      </c>
      <c r="BM1226" s="37" t="s">
        <v>541</v>
      </c>
      <c r="BN1226" s="37"/>
      <c r="BO1226" s="37">
        <v>1.7660180000000001</v>
      </c>
      <c r="BP1226" s="37"/>
      <c r="BQ1226" s="37"/>
      <c r="BR1226" s="37"/>
      <c r="BS1226" s="37"/>
      <c r="BT1226" s="37"/>
      <c r="BU1226" s="246"/>
      <c r="BV1226" s="37"/>
      <c r="BW1226" s="37"/>
      <c r="BX1226" s="37"/>
      <c r="BY1226" s="37"/>
      <c r="BZ1226" s="37"/>
      <c r="CA1226" s="37"/>
      <c r="CB1226" s="37"/>
      <c r="CC1226" s="37"/>
      <c r="CD1226" s="37"/>
      <c r="CE1226" s="37"/>
      <c r="CF1226" s="37"/>
      <c r="CG1226" s="37"/>
      <c r="CH1226" s="37"/>
      <c r="CI1226" s="243">
        <v>1.7660180000000001</v>
      </c>
      <c r="CJ1226" s="243">
        <f t="shared" si="273"/>
        <v>0.24699512577656424</v>
      </c>
      <c r="CK1226" s="38">
        <f t="shared" si="275"/>
        <v>7.7370615375002147</v>
      </c>
      <c r="CL1226" s="247">
        <f t="shared" si="276"/>
        <v>35.065214674542261</v>
      </c>
      <c r="CM1226" s="247">
        <v>0.35012181688711158</v>
      </c>
      <c r="CN1226" s="247">
        <f>BJ1226/(10^CM1226)</f>
        <v>3.574158105036032</v>
      </c>
      <c r="CO1226" s="36"/>
      <c r="CP1226" s="496" t="s">
        <v>1913</v>
      </c>
      <c r="CQ1226" s="241">
        <v>0.74774431752431614</v>
      </c>
      <c r="CR1226" s="241">
        <f t="shared" si="272"/>
        <v>0.31568271879328297</v>
      </c>
      <c r="CS1226" s="33"/>
      <c r="CT1226" s="33"/>
      <c r="CU1226" s="250">
        <f t="shared" si="269"/>
        <v>52.094599262295169</v>
      </c>
      <c r="CV1226" s="337">
        <f t="shared" si="270"/>
        <v>11.494557327105616</v>
      </c>
      <c r="CW1226" s="330">
        <f t="shared" si="274"/>
        <v>1</v>
      </c>
      <c r="CX1226" s="330"/>
      <c r="CY1226" s="143" t="s">
        <v>6351</v>
      </c>
    </row>
    <row r="1227" spans="1:103" ht="11.25" customHeight="1" x14ac:dyDescent="0.2">
      <c r="A1227" s="72">
        <v>1717</v>
      </c>
      <c r="B1227" s="241">
        <v>650</v>
      </c>
      <c r="C1227" s="32" t="s">
        <v>1631</v>
      </c>
      <c r="D1227" s="32"/>
      <c r="E1227" s="40"/>
      <c r="F1227" s="40" t="s">
        <v>1632</v>
      </c>
      <c r="G1227" s="242">
        <v>106478</v>
      </c>
      <c r="H1227" s="36" t="s">
        <v>1633</v>
      </c>
      <c r="I1227" s="36" t="s">
        <v>8029</v>
      </c>
      <c r="J1227" s="36" t="s">
        <v>1634</v>
      </c>
      <c r="K1227" s="36" t="s">
        <v>1573</v>
      </c>
      <c r="L1227" s="36" t="s">
        <v>5527</v>
      </c>
      <c r="M1227" s="36" t="s">
        <v>866</v>
      </c>
      <c r="N1227" s="36" t="s">
        <v>6082</v>
      </c>
      <c r="O1227" s="36" t="s">
        <v>6086</v>
      </c>
      <c r="P1227" s="41" t="s">
        <v>6184</v>
      </c>
      <c r="Q1227" s="41" t="s">
        <v>6176</v>
      </c>
      <c r="R1227" s="41" t="s">
        <v>6185</v>
      </c>
      <c r="S1227" s="41" t="s">
        <v>6176</v>
      </c>
      <c r="T1227" s="37">
        <v>127.57</v>
      </c>
      <c r="U1227" s="243">
        <v>3899.0830721003135</v>
      </c>
      <c r="V1227" s="243">
        <v>2571.3952978056427</v>
      </c>
      <c r="W1227" s="243">
        <v>1464.6995749435732</v>
      </c>
      <c r="X1227" s="243">
        <v>3899.0830721003135</v>
      </c>
      <c r="Y1227" s="414">
        <v>8.02</v>
      </c>
      <c r="Z1227" s="37">
        <v>1.72</v>
      </c>
      <c r="AA1227" s="37">
        <v>1.83</v>
      </c>
      <c r="AB1227" s="37">
        <v>1.8</v>
      </c>
      <c r="AC1227" s="37">
        <v>0.91020000000000001</v>
      </c>
      <c r="AD1227" s="37">
        <v>1.79</v>
      </c>
      <c r="AE1227" s="37">
        <v>1.76</v>
      </c>
      <c r="AF1227" s="37">
        <f t="shared" si="265"/>
        <v>1.83</v>
      </c>
      <c r="AG1227" s="38">
        <v>1.8</v>
      </c>
      <c r="AH1227" s="243">
        <v>1.4100000000000001E-6</v>
      </c>
      <c r="AI1227" s="243">
        <v>1.1599999999999999E-6</v>
      </c>
      <c r="AJ1227" s="34">
        <f t="shared" si="264"/>
        <v>-4.2393472136572719</v>
      </c>
      <c r="AK1227" s="34">
        <f>LOG10(AI1227*1000/(0.08206*298.15))</f>
        <v>-4.3241083370857334</v>
      </c>
      <c r="AL1227" s="34">
        <f t="shared" si="266"/>
        <v>-4.3241083370857334</v>
      </c>
      <c r="AM1227" s="34">
        <v>-6.9352299999999998</v>
      </c>
      <c r="AN1227" s="244">
        <v>-4.13</v>
      </c>
      <c r="AO1227" s="417"/>
      <c r="AP1227" s="417">
        <v>3.97</v>
      </c>
      <c r="AQ1227" s="244" t="s">
        <v>6311</v>
      </c>
      <c r="AR1227" s="244" t="s">
        <v>6311</v>
      </c>
      <c r="AS1227" s="241" t="s">
        <v>6</v>
      </c>
      <c r="AT1227" s="39" t="s">
        <v>266</v>
      </c>
      <c r="AU1227" s="37">
        <v>2</v>
      </c>
      <c r="AV1227" s="37">
        <v>48</v>
      </c>
      <c r="AW1227" s="37">
        <v>48</v>
      </c>
      <c r="AX1227" s="37">
        <v>26</v>
      </c>
      <c r="AY1227" s="37" t="s">
        <v>647</v>
      </c>
      <c r="AZ1227" s="37" t="s">
        <v>1912</v>
      </c>
      <c r="BA1227" s="37">
        <v>25</v>
      </c>
      <c r="BB1227" s="36" t="s">
        <v>1613</v>
      </c>
      <c r="BC1227" s="36" t="s">
        <v>538</v>
      </c>
      <c r="BD1227" s="36"/>
      <c r="BE1227" s="37" t="s">
        <v>271</v>
      </c>
      <c r="BF1227" s="37" t="s">
        <v>272</v>
      </c>
      <c r="BG1227" s="37" t="s">
        <v>272</v>
      </c>
      <c r="BH1227" s="37" t="s">
        <v>272</v>
      </c>
      <c r="BI1227" s="250">
        <v>0.18497649999999999</v>
      </c>
      <c r="BJ1227" s="250">
        <v>100.7803</v>
      </c>
      <c r="BK1227" s="37"/>
      <c r="BL1227" s="263">
        <v>186.98921376193246</v>
      </c>
      <c r="BM1227" s="37" t="s">
        <v>541</v>
      </c>
      <c r="BN1227" s="37"/>
      <c r="BO1227" s="37">
        <v>12.540130999999999</v>
      </c>
      <c r="BP1227" s="37"/>
      <c r="BQ1227" s="37"/>
      <c r="BR1227" s="37"/>
      <c r="BS1227" s="37"/>
      <c r="BT1227" s="37"/>
      <c r="BU1227" s="246"/>
      <c r="BV1227" s="37"/>
      <c r="BW1227" s="37"/>
      <c r="BX1227" s="37"/>
      <c r="BY1227" s="37"/>
      <c r="BZ1227" s="37"/>
      <c r="CA1227" s="37"/>
      <c r="CB1227" s="37"/>
      <c r="CC1227" s="37"/>
      <c r="CD1227" s="37"/>
      <c r="CE1227" s="37"/>
      <c r="CF1227" s="37"/>
      <c r="CG1227" s="37"/>
      <c r="CH1227" s="37"/>
      <c r="CI1227" s="243">
        <v>12.540130999999999</v>
      </c>
      <c r="CJ1227" s="243">
        <f t="shared" si="273"/>
        <v>1.0983020733591287</v>
      </c>
      <c r="CK1227" s="38">
        <f t="shared" si="275"/>
        <v>1.8554143395279878</v>
      </c>
      <c r="CL1227" s="247">
        <f t="shared" si="276"/>
        <v>14.911264783592172</v>
      </c>
      <c r="CM1227" s="247">
        <v>0.38021124171160575</v>
      </c>
      <c r="CN1227" s="247">
        <f>BJ1227/(10^CM1227)</f>
        <v>41.991791666666693</v>
      </c>
      <c r="CO1227" s="36"/>
      <c r="CP1227" s="496" t="s">
        <v>1913</v>
      </c>
      <c r="CQ1227" s="241">
        <v>1.2387924988193562</v>
      </c>
      <c r="CR1227" s="241">
        <f t="shared" si="272"/>
        <v>0.72361835513399231</v>
      </c>
      <c r="CS1227" s="33"/>
      <c r="CT1227" s="33"/>
      <c r="CU1227" s="250">
        <f t="shared" si="269"/>
        <v>310.92841630604289</v>
      </c>
      <c r="CV1227" s="337">
        <f t="shared" si="270"/>
        <v>38.688940915043055</v>
      </c>
      <c r="CW1227" s="330">
        <f t="shared" si="274"/>
        <v>1</v>
      </c>
      <c r="CX1227" s="330"/>
      <c r="CY1227" s="143" t="s">
        <v>6351</v>
      </c>
    </row>
    <row r="1228" spans="1:103" ht="11.25" customHeight="1" x14ac:dyDescent="0.2">
      <c r="A1228" s="72">
        <v>1733</v>
      </c>
      <c r="B1228" s="241">
        <v>649</v>
      </c>
      <c r="C1228" s="32" t="s">
        <v>7659</v>
      </c>
      <c r="D1228" s="32" t="s">
        <v>8695</v>
      </c>
      <c r="E1228" s="40"/>
      <c r="F1228" s="40" t="s">
        <v>1626</v>
      </c>
      <c r="G1228" s="242">
        <v>108429</v>
      </c>
      <c r="H1228" s="36" t="s">
        <v>1627</v>
      </c>
      <c r="I1228" s="36" t="s">
        <v>8216</v>
      </c>
      <c r="J1228" s="36" t="s">
        <v>1628</v>
      </c>
      <c r="K1228" s="36" t="s">
        <v>1573</v>
      </c>
      <c r="L1228" s="36"/>
      <c r="M1228" s="36" t="s">
        <v>1629</v>
      </c>
      <c r="N1228" s="36" t="s">
        <v>6385</v>
      </c>
      <c r="O1228" s="36" t="s">
        <v>1630</v>
      </c>
      <c r="P1228" s="41" t="s">
        <v>6184</v>
      </c>
      <c r="Q1228" s="41" t="s">
        <v>6176</v>
      </c>
      <c r="R1228" s="41" t="s">
        <v>6185</v>
      </c>
      <c r="S1228" s="41" t="s">
        <v>6182</v>
      </c>
      <c r="T1228" s="37">
        <v>127.57</v>
      </c>
      <c r="U1228" s="243">
        <v>5400</v>
      </c>
      <c r="V1228" s="243">
        <v>2331</v>
      </c>
      <c r="W1228" s="243">
        <v>1398.777234819861</v>
      </c>
      <c r="X1228" s="243">
        <v>5400</v>
      </c>
      <c r="Y1228" s="414">
        <v>7.79</v>
      </c>
      <c r="Z1228" s="37">
        <v>1.72</v>
      </c>
      <c r="AA1228" s="37">
        <v>1.88</v>
      </c>
      <c r="AB1228" s="37">
        <v>2.02</v>
      </c>
      <c r="AC1228" s="37">
        <v>0.90820000000000001</v>
      </c>
      <c r="AD1228" s="37">
        <v>1.97</v>
      </c>
      <c r="AE1228" s="37">
        <v>1.81</v>
      </c>
      <c r="AF1228" s="37">
        <f t="shared" si="265"/>
        <v>1.88</v>
      </c>
      <c r="AG1228" s="38">
        <v>1.8</v>
      </c>
      <c r="AH1228" s="243">
        <v>1.4100000000000001E-6</v>
      </c>
      <c r="AI1228" s="243">
        <v>9.9999999999999995E-7</v>
      </c>
      <c r="AJ1228" s="34">
        <f t="shared" si="264"/>
        <v>-4.2393472136572719</v>
      </c>
      <c r="AK1228" s="34">
        <f>LOG10(AI1228*1000/(0.08206*298.15))</f>
        <v>-4.3885663263126515</v>
      </c>
      <c r="AL1228" s="34">
        <f t="shared" si="266"/>
        <v>-4.3885663263126515</v>
      </c>
      <c r="AM1228" s="34">
        <v>-6.6443200000000004</v>
      </c>
      <c r="AN1228" s="244">
        <v>-4.13</v>
      </c>
      <c r="AO1228" s="417"/>
      <c r="AP1228" s="417">
        <v>3.54</v>
      </c>
      <c r="AQ1228" s="244" t="s">
        <v>6311</v>
      </c>
      <c r="AR1228" s="244" t="s">
        <v>6311</v>
      </c>
      <c r="AS1228" s="241" t="s">
        <v>6</v>
      </c>
      <c r="AT1228" s="39" t="s">
        <v>266</v>
      </c>
      <c r="AU1228" s="37">
        <v>2</v>
      </c>
      <c r="AV1228" s="37">
        <v>48</v>
      </c>
      <c r="AW1228" s="37">
        <v>48</v>
      </c>
      <c r="AX1228" s="37">
        <v>26</v>
      </c>
      <c r="AY1228" s="37" t="s">
        <v>647</v>
      </c>
      <c r="AZ1228" s="37" t="s">
        <v>1912</v>
      </c>
      <c r="BA1228" s="37">
        <v>25</v>
      </c>
      <c r="BB1228" s="36" t="s">
        <v>1613</v>
      </c>
      <c r="BC1228" s="36" t="s">
        <v>538</v>
      </c>
      <c r="BD1228" s="36"/>
      <c r="BE1228" s="37" t="s">
        <v>271</v>
      </c>
      <c r="BF1228" s="37" t="s">
        <v>272</v>
      </c>
      <c r="BG1228" s="37" t="s">
        <v>272</v>
      </c>
      <c r="BH1228" s="37" t="s">
        <v>272</v>
      </c>
      <c r="BI1228" s="250">
        <v>0.18497649999999999</v>
      </c>
      <c r="BJ1228" s="250">
        <v>100.7803</v>
      </c>
      <c r="BK1228" s="37"/>
      <c r="BL1228" s="263">
        <v>186.98921376193246</v>
      </c>
      <c r="BM1228" s="37" t="s">
        <v>541</v>
      </c>
      <c r="BN1228" s="37"/>
      <c r="BO1228" s="37">
        <v>16.328959999999999</v>
      </c>
      <c r="BP1228" s="37"/>
      <c r="BQ1228" s="37"/>
      <c r="BR1228" s="37"/>
      <c r="BS1228" s="37"/>
      <c r="BT1228" s="37"/>
      <c r="BU1228" s="246"/>
      <c r="BV1228" s="37"/>
      <c r="BW1228" s="37"/>
      <c r="BX1228" s="37"/>
      <c r="BY1228" s="37"/>
      <c r="BZ1228" s="37"/>
      <c r="CA1228" s="37"/>
      <c r="CB1228" s="37"/>
      <c r="CC1228" s="37"/>
      <c r="CD1228" s="37"/>
      <c r="CE1228" s="37"/>
      <c r="CF1228" s="37"/>
      <c r="CG1228" s="37"/>
      <c r="CH1228" s="37"/>
      <c r="CI1228" s="243">
        <v>16.328959999999999</v>
      </c>
      <c r="CJ1228" s="243">
        <f t="shared" si="273"/>
        <v>1.2129585251748614</v>
      </c>
      <c r="CK1228" s="38">
        <f t="shared" si="275"/>
        <v>1.8554143395279878</v>
      </c>
      <c r="CL1228" s="247">
        <f t="shared" si="276"/>
        <v>11.451385376774301</v>
      </c>
      <c r="CM1228" s="247"/>
      <c r="CN1228" s="247"/>
      <c r="CO1228" s="36"/>
      <c r="CP1228" s="496" t="s">
        <v>1913</v>
      </c>
      <c r="CQ1228" s="241">
        <v>1.2368498228815306</v>
      </c>
      <c r="CR1228" s="241">
        <f t="shared" si="272"/>
        <v>0.94647403064998148</v>
      </c>
      <c r="CS1228" s="33"/>
      <c r="CT1228" s="33"/>
      <c r="CU1228" s="250">
        <f t="shared" si="269"/>
        <v>330.70079172219175</v>
      </c>
      <c r="CV1228" s="337">
        <f t="shared" si="270"/>
        <v>53.581900430937395</v>
      </c>
      <c r="CW1228" s="330">
        <f t="shared" si="274"/>
        <v>1</v>
      </c>
      <c r="CX1228" s="330"/>
      <c r="CY1228" s="143" t="s">
        <v>6351</v>
      </c>
    </row>
    <row r="1229" spans="1:103" ht="11.25" customHeight="1" x14ac:dyDescent="0.2">
      <c r="A1229" s="72">
        <v>1807</v>
      </c>
      <c r="B1229" s="241">
        <v>651</v>
      </c>
      <c r="C1229" s="32" t="s">
        <v>7700</v>
      </c>
      <c r="D1229" s="32" t="s">
        <v>8699</v>
      </c>
      <c r="E1229" s="40"/>
      <c r="F1229" s="40" t="s">
        <v>1666</v>
      </c>
      <c r="G1229" s="242">
        <v>554007</v>
      </c>
      <c r="H1229" s="36" t="s">
        <v>1667</v>
      </c>
      <c r="I1229" s="36" t="s">
        <v>8227</v>
      </c>
      <c r="J1229" s="36" t="s">
        <v>1668</v>
      </c>
      <c r="K1229" s="36" t="s">
        <v>1573</v>
      </c>
      <c r="L1229" s="36"/>
      <c r="M1229" s="36" t="s">
        <v>1629</v>
      </c>
      <c r="N1229" s="36" t="s">
        <v>6385</v>
      </c>
      <c r="O1229" s="36" t="s">
        <v>1630</v>
      </c>
      <c r="P1229" s="41" t="s">
        <v>6184</v>
      </c>
      <c r="Q1229" s="41" t="s">
        <v>6176</v>
      </c>
      <c r="R1229" s="41" t="s">
        <v>6185</v>
      </c>
      <c r="S1229" s="41" t="s">
        <v>6176</v>
      </c>
      <c r="T1229" s="37">
        <v>162.02000000000001</v>
      </c>
      <c r="U1229" s="243">
        <v>620</v>
      </c>
      <c r="V1229" s="243">
        <v>283.10000000000002</v>
      </c>
      <c r="W1229" s="243">
        <v>245.22719347163434</v>
      </c>
      <c r="X1229" s="243">
        <v>620</v>
      </c>
      <c r="Y1229" s="414">
        <v>7.03</v>
      </c>
      <c r="Z1229" s="37">
        <v>2.37</v>
      </c>
      <c r="AA1229" s="37">
        <v>2.78</v>
      </c>
      <c r="AB1229" s="37">
        <v>2.77</v>
      </c>
      <c r="AC1229" s="37">
        <v>0.91710000000000003</v>
      </c>
      <c r="AD1229" s="37">
        <v>2.76</v>
      </c>
      <c r="AE1229" s="37">
        <v>2.74</v>
      </c>
      <c r="AF1229" s="37">
        <f t="shared" si="265"/>
        <v>2.78</v>
      </c>
      <c r="AG1229" s="38">
        <v>2.4700000000000002</v>
      </c>
      <c r="AH1229" s="243">
        <v>1.0499999999999999E-6</v>
      </c>
      <c r="AI1229" s="243"/>
      <c r="AJ1229" s="34">
        <f t="shared" si="264"/>
        <v>-4.3673770272427141</v>
      </c>
      <c r="AK1229" s="34"/>
      <c r="AL1229" s="34">
        <f t="shared" si="266"/>
        <v>-4.3673770272427141</v>
      </c>
      <c r="AM1229" s="34">
        <v>-7.0191300000000005</v>
      </c>
      <c r="AN1229" s="244">
        <v>-2.97</v>
      </c>
      <c r="AO1229" s="417"/>
      <c r="AP1229" s="417">
        <v>2.02</v>
      </c>
      <c r="AQ1229" s="244" t="s">
        <v>6311</v>
      </c>
      <c r="AR1229" s="244" t="s">
        <v>6311</v>
      </c>
      <c r="AS1229" s="241" t="s">
        <v>6</v>
      </c>
      <c r="AT1229" s="39" t="s">
        <v>266</v>
      </c>
      <c r="AU1229" s="37">
        <v>2</v>
      </c>
      <c r="AV1229" s="37">
        <v>48</v>
      </c>
      <c r="AW1229" s="37">
        <v>48</v>
      </c>
      <c r="AX1229" s="37">
        <v>26</v>
      </c>
      <c r="AY1229" s="37" t="s">
        <v>647</v>
      </c>
      <c r="AZ1229" s="37" t="s">
        <v>1912</v>
      </c>
      <c r="BA1229" s="37">
        <v>25</v>
      </c>
      <c r="BB1229" s="36" t="s">
        <v>1613</v>
      </c>
      <c r="BC1229" s="36" t="s">
        <v>538</v>
      </c>
      <c r="BD1229" s="36"/>
      <c r="BE1229" s="37" t="s">
        <v>271</v>
      </c>
      <c r="BF1229" s="37" t="s">
        <v>272</v>
      </c>
      <c r="BG1229" s="37" t="s">
        <v>272</v>
      </c>
      <c r="BH1229" s="37" t="s">
        <v>272</v>
      </c>
      <c r="BI1229" s="250">
        <v>0.234929</v>
      </c>
      <c r="BJ1229" s="250">
        <v>127.99580000000002</v>
      </c>
      <c r="BK1229" s="37"/>
      <c r="BL1229" s="263">
        <v>61.925800289105773</v>
      </c>
      <c r="BM1229" s="37" t="s">
        <v>541</v>
      </c>
      <c r="BN1229" s="37"/>
      <c r="BO1229" s="37">
        <v>10.968754000000001</v>
      </c>
      <c r="BP1229" s="37"/>
      <c r="BQ1229" s="37"/>
      <c r="BR1229" s="37"/>
      <c r="BS1229" s="37"/>
      <c r="BT1229" s="37"/>
      <c r="BU1229" s="246"/>
      <c r="BV1229" s="37"/>
      <c r="BW1229" s="37"/>
      <c r="BX1229" s="37"/>
      <c r="BY1229" s="37"/>
      <c r="BZ1229" s="37"/>
      <c r="CA1229" s="37"/>
      <c r="CB1229" s="37"/>
      <c r="CC1229" s="37"/>
      <c r="CD1229" s="37"/>
      <c r="CE1229" s="37"/>
      <c r="CF1229" s="37"/>
      <c r="CG1229" s="37"/>
      <c r="CH1229" s="37"/>
      <c r="CI1229" s="243">
        <v>10.968754000000001</v>
      </c>
      <c r="CJ1229" s="243">
        <f t="shared" si="273"/>
        <v>1.040157296521085</v>
      </c>
      <c r="CK1229" s="38">
        <f t="shared" si="275"/>
        <v>0.48381118981330451</v>
      </c>
      <c r="CL1229" s="247">
        <f t="shared" si="276"/>
        <v>5.6456549475998612</v>
      </c>
      <c r="CM1229" s="247"/>
      <c r="CN1229" s="247"/>
      <c r="CO1229" s="36"/>
      <c r="CP1229" s="496" t="s">
        <v>1913</v>
      </c>
      <c r="CQ1229" s="241">
        <v>0.98469340782229853</v>
      </c>
      <c r="CR1229" s="241">
        <f t="shared" si="272"/>
        <v>1.1362238174744774</v>
      </c>
      <c r="CS1229" s="33"/>
      <c r="CT1229" s="33"/>
      <c r="CU1229" s="250">
        <f t="shared" si="269"/>
        <v>56.524195911404334</v>
      </c>
      <c r="CV1229" s="337">
        <f t="shared" si="270"/>
        <v>4.8439089407621179</v>
      </c>
      <c r="CW1229" s="330">
        <f t="shared" si="274"/>
        <v>1</v>
      </c>
      <c r="CX1229" s="330"/>
      <c r="CY1229" s="143" t="s">
        <v>6351</v>
      </c>
    </row>
    <row r="1230" spans="1:103" ht="11.25" customHeight="1" x14ac:dyDescent="0.2">
      <c r="A1230" s="72">
        <v>1823</v>
      </c>
      <c r="B1230" s="241">
        <v>658</v>
      </c>
      <c r="C1230" s="32" t="s">
        <v>7713</v>
      </c>
      <c r="D1230" s="32" t="s">
        <v>8700</v>
      </c>
      <c r="E1230" s="40"/>
      <c r="F1230" s="40" t="s">
        <v>1890</v>
      </c>
      <c r="G1230" s="242">
        <v>626437</v>
      </c>
      <c r="H1230" s="36" t="s">
        <v>1891</v>
      </c>
      <c r="I1230" s="36" t="s">
        <v>8230</v>
      </c>
      <c r="J1230" s="36" t="s">
        <v>1892</v>
      </c>
      <c r="K1230" s="36" t="s">
        <v>1573</v>
      </c>
      <c r="L1230" s="36"/>
      <c r="M1230" s="36" t="s">
        <v>1629</v>
      </c>
      <c r="N1230" s="36" t="s">
        <v>6385</v>
      </c>
      <c r="O1230" s="36" t="s">
        <v>1630</v>
      </c>
      <c r="P1230" s="41" t="s">
        <v>6184</v>
      </c>
      <c r="Q1230" s="41" t="s">
        <v>6176</v>
      </c>
      <c r="R1230" s="41" t="s">
        <v>6185</v>
      </c>
      <c r="S1230" s="41" t="s">
        <v>6179</v>
      </c>
      <c r="T1230" s="37">
        <v>162.02000000000001</v>
      </c>
      <c r="U1230" s="243">
        <v>784</v>
      </c>
      <c r="V1230" s="243">
        <v>223.6</v>
      </c>
      <c r="W1230" s="243">
        <v>250.93926859620009</v>
      </c>
      <c r="X1230" s="243">
        <v>784</v>
      </c>
      <c r="Y1230" s="414">
        <v>7.08</v>
      </c>
      <c r="Z1230" s="37">
        <v>2.37</v>
      </c>
      <c r="AA1230" s="37">
        <v>2.9</v>
      </c>
      <c r="AB1230" s="37">
        <v>2.81</v>
      </c>
      <c r="AC1230" s="37">
        <v>0.89510000000000001</v>
      </c>
      <c r="AD1230" s="37">
        <v>2.79</v>
      </c>
      <c r="AE1230" s="37">
        <v>2.7</v>
      </c>
      <c r="AF1230" s="37">
        <f t="shared" si="265"/>
        <v>2.9</v>
      </c>
      <c r="AG1230" s="38">
        <v>2.5099999999999998</v>
      </c>
      <c r="AH1230" s="243">
        <v>1.0499999999999999E-6</v>
      </c>
      <c r="AI1230" s="243"/>
      <c r="AJ1230" s="34">
        <f t="shared" si="264"/>
        <v>-4.3673770272427141</v>
      </c>
      <c r="AK1230" s="34"/>
      <c r="AL1230" s="34">
        <f t="shared" si="266"/>
        <v>-4.3673770272427141</v>
      </c>
      <c r="AM1230" s="34">
        <v>-6.6875499999999999</v>
      </c>
      <c r="AN1230" s="244">
        <v>-4.3099999999999996</v>
      </c>
      <c r="AO1230" s="417"/>
      <c r="AP1230" s="417">
        <v>2.48</v>
      </c>
      <c r="AQ1230" s="244" t="s">
        <v>6311</v>
      </c>
      <c r="AR1230" s="244" t="s">
        <v>6311</v>
      </c>
      <c r="AS1230" s="241" t="s">
        <v>6</v>
      </c>
      <c r="AT1230" s="39" t="s">
        <v>266</v>
      </c>
      <c r="AU1230" s="37">
        <v>2</v>
      </c>
      <c r="AV1230" s="37">
        <v>48</v>
      </c>
      <c r="AW1230" s="37">
        <v>48</v>
      </c>
      <c r="AX1230" s="37">
        <v>26</v>
      </c>
      <c r="AY1230" s="37" t="s">
        <v>647</v>
      </c>
      <c r="AZ1230" s="37" t="s">
        <v>1912</v>
      </c>
      <c r="BA1230" s="37">
        <v>25</v>
      </c>
      <c r="BB1230" s="36" t="s">
        <v>1613</v>
      </c>
      <c r="BC1230" s="36" t="s">
        <v>538</v>
      </c>
      <c r="BD1230" s="36"/>
      <c r="BE1230" s="37" t="s">
        <v>271</v>
      </c>
      <c r="BF1230" s="37" t="s">
        <v>272</v>
      </c>
      <c r="BG1230" s="37" t="s">
        <v>272</v>
      </c>
      <c r="BH1230" s="37" t="s">
        <v>272</v>
      </c>
      <c r="BI1230" s="250">
        <v>0.234929</v>
      </c>
      <c r="BJ1230" s="250">
        <v>31.998950000000004</v>
      </c>
      <c r="BK1230" s="37"/>
      <c r="BL1230" s="263">
        <v>61.925800289105773</v>
      </c>
      <c r="BM1230" s="37" t="s">
        <v>541</v>
      </c>
      <c r="BN1230" s="37"/>
      <c r="BO1230" s="37">
        <v>3.6616520000000001</v>
      </c>
      <c r="BP1230" s="37"/>
      <c r="BQ1230" s="37"/>
      <c r="BR1230" s="37"/>
      <c r="BS1230" s="37"/>
      <c r="BT1230" s="37"/>
      <c r="BU1230" s="246"/>
      <c r="BV1230" s="37"/>
      <c r="BW1230" s="37"/>
      <c r="BX1230" s="37"/>
      <c r="BY1230" s="37"/>
      <c r="BZ1230" s="37"/>
      <c r="CA1230" s="37"/>
      <c r="CB1230" s="37"/>
      <c r="CC1230" s="37"/>
      <c r="CD1230" s="37"/>
      <c r="CE1230" s="37"/>
      <c r="CF1230" s="37"/>
      <c r="CG1230" s="37"/>
      <c r="CH1230" s="37"/>
      <c r="CI1230" s="243">
        <v>3.6616520000000001</v>
      </c>
      <c r="CJ1230" s="243">
        <f t="shared" si="273"/>
        <v>0.56367706698334152</v>
      </c>
      <c r="CK1230" s="38">
        <f t="shared" si="275"/>
        <v>1.935244759253218</v>
      </c>
      <c r="CL1230" s="247">
        <f t="shared" si="276"/>
        <v>16.911984068695162</v>
      </c>
      <c r="CM1230" s="247"/>
      <c r="CN1230" s="247"/>
      <c r="CO1230" s="36"/>
      <c r="CP1230" s="496" t="s">
        <v>1913</v>
      </c>
      <c r="CQ1230" s="241">
        <v>1.0328194373519353</v>
      </c>
      <c r="CR1230" s="241">
        <f t="shared" si="272"/>
        <v>0.33951395491851755</v>
      </c>
      <c r="CS1230" s="33"/>
      <c r="CT1230" s="33"/>
      <c r="CU1230" s="250">
        <f t="shared" si="269"/>
        <v>214.111007818329</v>
      </c>
      <c r="CV1230" s="337">
        <f t="shared" si="270"/>
        <v>24.500803932629037</v>
      </c>
      <c r="CW1230" s="330">
        <f t="shared" si="274"/>
        <v>1</v>
      </c>
      <c r="CX1230" s="330"/>
      <c r="CY1230" s="143" t="s">
        <v>6351</v>
      </c>
    </row>
    <row r="1231" spans="1:103" ht="11.25" customHeight="1" x14ac:dyDescent="0.2">
      <c r="A1231" s="72">
        <v>1828</v>
      </c>
      <c r="B1231" s="241">
        <v>653</v>
      </c>
      <c r="C1231" s="32" t="s">
        <v>7717</v>
      </c>
      <c r="D1231" s="32"/>
      <c r="E1231" s="40"/>
      <c r="F1231" s="40" t="s">
        <v>1914</v>
      </c>
      <c r="G1231" s="242">
        <v>634935</v>
      </c>
      <c r="H1231" s="36" t="s">
        <v>1915</v>
      </c>
      <c r="I1231" s="36" t="s">
        <v>8231</v>
      </c>
      <c r="J1231" s="36" t="s">
        <v>1916</v>
      </c>
      <c r="K1231" s="36" t="s">
        <v>1573</v>
      </c>
      <c r="L1231" s="36"/>
      <c r="M1231" s="36"/>
      <c r="N1231" s="36"/>
      <c r="O1231" s="36"/>
      <c r="P1231" s="41"/>
      <c r="Q1231" s="41"/>
      <c r="R1231" s="41"/>
      <c r="S1231" s="41"/>
      <c r="T1231" s="37">
        <v>196.46</v>
      </c>
      <c r="U1231" s="243">
        <v>40</v>
      </c>
      <c r="V1231" s="243">
        <v>44.97</v>
      </c>
      <c r="W1231" s="243">
        <v>38.306647006846561</v>
      </c>
      <c r="X1231" s="243">
        <v>40</v>
      </c>
      <c r="Y1231" s="414">
        <v>7</v>
      </c>
      <c r="Z1231" s="37">
        <v>3.01</v>
      </c>
      <c r="AA1231" s="37">
        <v>3.52</v>
      </c>
      <c r="AB1231" s="37">
        <v>3.34</v>
      </c>
      <c r="AC1231" s="37">
        <v>0.91200000000000003</v>
      </c>
      <c r="AD1231" s="37">
        <v>3.42</v>
      </c>
      <c r="AE1231" s="37">
        <v>3.74</v>
      </c>
      <c r="AF1231" s="37">
        <f t="shared" si="265"/>
        <v>3.52</v>
      </c>
      <c r="AG1231" s="38">
        <v>3.14</v>
      </c>
      <c r="AH1231" s="243">
        <v>7.7499999999999999E-7</v>
      </c>
      <c r="AI1231" s="243"/>
      <c r="AJ1231" s="34">
        <f t="shared" si="264"/>
        <v>-4.4992646238063418</v>
      </c>
      <c r="AK1231" s="34"/>
      <c r="AL1231" s="34">
        <f t="shared" si="266"/>
        <v>-4.4992646238063418</v>
      </c>
      <c r="AM1231" s="34">
        <v>-7.2830999999999992</v>
      </c>
      <c r="AN1231" s="244">
        <v>-1.8</v>
      </c>
      <c r="AO1231" s="417"/>
      <c r="AP1231" s="417">
        <v>7.0000000000000007E-2</v>
      </c>
      <c r="AQ1231" s="244" t="s">
        <v>6311</v>
      </c>
      <c r="AR1231" s="244" t="s">
        <v>6311</v>
      </c>
      <c r="AS1231" s="241" t="s">
        <v>6</v>
      </c>
      <c r="AT1231" s="39" t="s">
        <v>266</v>
      </c>
      <c r="AU1231" s="37">
        <v>2</v>
      </c>
      <c r="AV1231" s="37">
        <v>48</v>
      </c>
      <c r="AW1231" s="37">
        <v>48</v>
      </c>
      <c r="AX1231" s="37">
        <v>26</v>
      </c>
      <c r="AY1231" s="37" t="s">
        <v>647</v>
      </c>
      <c r="AZ1231" s="37" t="s">
        <v>1912</v>
      </c>
      <c r="BA1231" s="37">
        <v>25</v>
      </c>
      <c r="BB1231" s="36" t="s">
        <v>1613</v>
      </c>
      <c r="BC1231" s="36" t="s">
        <v>538</v>
      </c>
      <c r="BD1231" s="36"/>
      <c r="BE1231" s="37" t="s">
        <v>271</v>
      </c>
      <c r="BF1231" s="37" t="s">
        <v>272</v>
      </c>
      <c r="BG1231" s="37" t="s">
        <v>272</v>
      </c>
      <c r="BH1231" s="37" t="s">
        <v>272</v>
      </c>
      <c r="BI1231" s="250">
        <v>0.28486699999999998</v>
      </c>
      <c r="BJ1231" s="250">
        <v>38.800850000000004</v>
      </c>
      <c r="BK1231" s="37"/>
      <c r="BL1231" s="263">
        <v>19.989095354121741</v>
      </c>
      <c r="BM1231" s="37" t="s">
        <v>541</v>
      </c>
      <c r="BN1231" s="37"/>
      <c r="BO1231" s="37">
        <v>13.732554000000002</v>
      </c>
      <c r="BP1231" s="37"/>
      <c r="BQ1231" s="37"/>
      <c r="BR1231" s="37"/>
      <c r="BS1231" s="37"/>
      <c r="BT1231" s="37"/>
      <c r="BU1231" s="246"/>
      <c r="BV1231" s="37"/>
      <c r="BW1231" s="37"/>
      <c r="BX1231" s="37"/>
      <c r="BY1231" s="37"/>
      <c r="BZ1231" s="37"/>
      <c r="CA1231" s="37"/>
      <c r="CB1231" s="37"/>
      <c r="CC1231" s="37"/>
      <c r="CD1231" s="37"/>
      <c r="CE1231" s="37"/>
      <c r="CF1231" s="37"/>
      <c r="CG1231" s="37"/>
      <c r="CH1231" s="37"/>
      <c r="CI1231" s="243">
        <v>13.732554000000002</v>
      </c>
      <c r="CJ1231" s="243">
        <f t="shared" si="273"/>
        <v>1.137751315456434</v>
      </c>
      <c r="CK1231" s="38">
        <f t="shared" si="275"/>
        <v>0.51517158397616902</v>
      </c>
      <c r="CL1231" s="247">
        <f t="shared" si="276"/>
        <v>1.4555992537237965</v>
      </c>
      <c r="CM1231" s="247"/>
      <c r="CN1231" s="247"/>
      <c r="CO1231" s="36"/>
      <c r="CP1231" s="496" t="s">
        <v>1913</v>
      </c>
      <c r="CQ1231" s="241" t="s">
        <v>272</v>
      </c>
      <c r="CR1231" s="241"/>
      <c r="CS1231" s="33"/>
      <c r="CT1231" s="33"/>
      <c r="CU1231" s="250">
        <f t="shared" si="269"/>
        <v>2.912786652795976</v>
      </c>
      <c r="CV1231" s="337">
        <f t="shared" si="270"/>
        <v>1.0309052507870315</v>
      </c>
      <c r="CW1231" s="330">
        <f t="shared" si="274"/>
        <v>1</v>
      </c>
      <c r="CX1231" s="330"/>
      <c r="CY1231" s="143" t="s">
        <v>5921</v>
      </c>
    </row>
    <row r="1232" spans="1:103" ht="11.25" customHeight="1" x14ac:dyDescent="0.2">
      <c r="A1232" s="72">
        <v>2026</v>
      </c>
      <c r="B1232" s="282">
        <v>654</v>
      </c>
      <c r="C1232" s="115" t="s">
        <v>1917</v>
      </c>
      <c r="D1232" s="115"/>
      <c r="E1232" s="116">
        <v>1</v>
      </c>
      <c r="F1232" s="116" t="s">
        <v>401</v>
      </c>
      <c r="G1232" s="283">
        <v>10108642</v>
      </c>
      <c r="H1232" s="284" t="s">
        <v>402</v>
      </c>
      <c r="I1232" s="284"/>
      <c r="J1232" s="284"/>
      <c r="K1232" s="284" t="s">
        <v>416</v>
      </c>
      <c r="L1232" s="284"/>
      <c r="M1232" s="284"/>
      <c r="N1232" s="284"/>
      <c r="O1232" s="284"/>
      <c r="P1232" s="286"/>
      <c r="Q1232" s="286"/>
      <c r="R1232" s="286"/>
      <c r="S1232" s="286"/>
      <c r="T1232" s="119">
        <v>201.32</v>
      </c>
      <c r="U1232" s="292"/>
      <c r="V1232" s="287"/>
      <c r="W1232" s="287"/>
      <c r="X1232" s="287"/>
      <c r="Y1232" s="370"/>
      <c r="Z1232" s="116"/>
      <c r="AA1232" s="116"/>
      <c r="AB1232" s="116"/>
      <c r="AC1232" s="116"/>
      <c r="AD1232" s="116"/>
      <c r="AE1232" s="116"/>
      <c r="AF1232" s="116"/>
      <c r="AG1232" s="117" t="s">
        <v>404</v>
      </c>
      <c r="AH1232" s="292"/>
      <c r="AI1232" s="292"/>
      <c r="AJ1232" s="125"/>
      <c r="AK1232" s="125"/>
      <c r="AL1232" s="125"/>
      <c r="AM1232" s="125"/>
      <c r="AN1232" s="297"/>
      <c r="AO1232" s="420"/>
      <c r="AP1232" s="420"/>
      <c r="AQ1232" s="297" t="s">
        <v>6311</v>
      </c>
      <c r="AR1232" s="297" t="s">
        <v>6311</v>
      </c>
      <c r="AS1232" s="282" t="s">
        <v>6</v>
      </c>
      <c r="AT1232" s="118" t="s">
        <v>266</v>
      </c>
      <c r="AU1232" s="119">
        <v>2</v>
      </c>
      <c r="AV1232" s="119">
        <v>48</v>
      </c>
      <c r="AW1232" s="119">
        <v>48</v>
      </c>
      <c r="AX1232" s="119">
        <v>26</v>
      </c>
      <c r="AY1232" s="119" t="s">
        <v>647</v>
      </c>
      <c r="AZ1232" s="119" t="s">
        <v>1912</v>
      </c>
      <c r="BA1232" s="119">
        <v>25</v>
      </c>
      <c r="BB1232" s="284" t="s">
        <v>1613</v>
      </c>
      <c r="BC1232" s="284" t="s">
        <v>538</v>
      </c>
      <c r="BD1232" s="284"/>
      <c r="BE1232" s="119" t="s">
        <v>271</v>
      </c>
      <c r="BF1232" s="119" t="s">
        <v>272</v>
      </c>
      <c r="BG1232" s="119" t="s">
        <v>272</v>
      </c>
      <c r="BH1232" s="119" t="s">
        <v>272</v>
      </c>
      <c r="BI1232" s="292">
        <v>3.22112</v>
      </c>
      <c r="BJ1232" s="292">
        <v>45.417791999999999</v>
      </c>
      <c r="BK1232" s="119"/>
      <c r="BL1232" s="287"/>
      <c r="BM1232" s="119" t="s">
        <v>541</v>
      </c>
      <c r="BN1232" s="119"/>
      <c r="BO1232" s="119">
        <v>16.6552036</v>
      </c>
      <c r="BP1232" s="119"/>
      <c r="BQ1232" s="119"/>
      <c r="BR1232" s="119"/>
      <c r="BS1232" s="119"/>
      <c r="BT1232" s="119"/>
      <c r="BU1232" s="293"/>
      <c r="BV1232" s="119"/>
      <c r="BW1232" s="119"/>
      <c r="BX1232" s="119"/>
      <c r="BY1232" s="119"/>
      <c r="BZ1232" s="119"/>
      <c r="CA1232" s="119"/>
      <c r="CB1232" s="119"/>
      <c r="CC1232" s="119"/>
      <c r="CD1232" s="119"/>
      <c r="CE1232" s="119"/>
      <c r="CF1232" s="119"/>
      <c r="CG1232" s="119"/>
      <c r="CH1232" s="119"/>
      <c r="CI1232" s="292"/>
      <c r="CJ1232" s="292"/>
      <c r="CK1232" s="120" t="s">
        <v>404</v>
      </c>
      <c r="CL1232" s="294"/>
      <c r="CM1232" s="294"/>
      <c r="CN1232" s="294">
        <f>BJ1232/(10^CM1232)</f>
        <v>45.417791999999999</v>
      </c>
      <c r="CO1232" s="284"/>
      <c r="CP1232" s="498" t="s">
        <v>1913</v>
      </c>
      <c r="CQ1232" s="282">
        <v>-1.2180114951458934</v>
      </c>
      <c r="CR1232" s="282">
        <f t="shared" ref="CR1232:CR1237" si="277">10^(CJ1232-CQ1232)</f>
        <v>16.520055238437475</v>
      </c>
      <c r="CS1232" s="123"/>
      <c r="CT1232" s="123"/>
      <c r="CU1232" s="300" t="s">
        <v>6310</v>
      </c>
      <c r="CV1232" s="338" t="s">
        <v>6310</v>
      </c>
      <c r="CW1232" s="123">
        <f>IF(CV1232&lt;1,0,1)</f>
        <v>1</v>
      </c>
      <c r="CX1232" s="339"/>
      <c r="CY1232" s="295" t="s">
        <v>6351</v>
      </c>
    </row>
    <row r="1233" spans="1:103" ht="11.25" customHeight="1" x14ac:dyDescent="0.2">
      <c r="A1233" s="72">
        <v>1240</v>
      </c>
      <c r="B1233" s="224">
        <v>1325</v>
      </c>
      <c r="C1233" s="46" t="s">
        <v>1036</v>
      </c>
      <c r="D1233" s="46" t="s">
        <v>6644</v>
      </c>
      <c r="E1233" s="114"/>
      <c r="F1233" s="114" t="s">
        <v>4099</v>
      </c>
      <c r="G1233" s="225">
        <v>2921882</v>
      </c>
      <c r="H1233" s="47" t="s">
        <v>1038</v>
      </c>
      <c r="I1233" s="47" t="s">
        <v>7929</v>
      </c>
      <c r="J1233" s="47" t="s">
        <v>1039</v>
      </c>
      <c r="K1233" s="47" t="s">
        <v>1040</v>
      </c>
      <c r="L1233" s="47" t="s">
        <v>617</v>
      </c>
      <c r="M1233" s="47" t="s">
        <v>946</v>
      </c>
      <c r="N1233" s="47" t="s">
        <v>6376</v>
      </c>
      <c r="O1233" s="47" t="s">
        <v>918</v>
      </c>
      <c r="P1233" s="53"/>
      <c r="Q1233" s="53"/>
      <c r="R1233" s="53"/>
      <c r="S1233" s="53"/>
      <c r="T1233" s="48">
        <v>350.59</v>
      </c>
      <c r="U1233" s="98">
        <v>1.1200000000000001</v>
      </c>
      <c r="V1233" s="98">
        <v>0.35699999999999998</v>
      </c>
      <c r="W1233" s="98"/>
      <c r="X1233" s="98">
        <v>1.1200000000000001</v>
      </c>
      <c r="Y1233" s="233"/>
      <c r="Z1233" s="48">
        <v>5.1100000000000003</v>
      </c>
      <c r="AA1233" s="48">
        <v>4.96</v>
      </c>
      <c r="AB1233" s="48">
        <v>4.79</v>
      </c>
      <c r="AC1233" s="48">
        <v>0.86860000000000004</v>
      </c>
      <c r="AD1233" s="48">
        <v>4.78</v>
      </c>
      <c r="AE1233" s="48">
        <v>4.7699999999999996</v>
      </c>
      <c r="AF1233" s="48">
        <f>IF(AA1233=0,AD1233,AA1233)</f>
        <v>4.96</v>
      </c>
      <c r="AG1233" s="49">
        <v>5.16</v>
      </c>
      <c r="AH1233" s="98">
        <v>2.52E-6</v>
      </c>
      <c r="AI1233" s="98">
        <v>2.9299999999999999E-6</v>
      </c>
      <c r="AJ1233" s="483">
        <f>LOG10(AH1233*1000/(0.08206*298.15))</f>
        <v>-3.9871657855311078</v>
      </c>
      <c r="AK1233" s="483">
        <f>LOG10(AI1233*1000/(0.08206*298.15))</f>
        <v>-3.9216987059585424</v>
      </c>
      <c r="AL1233" s="483">
        <f>IF(AK1233=0,AJ1233,AK1233)</f>
        <v>-3.9216987059585424</v>
      </c>
      <c r="AM1233" s="483">
        <v>-11.220610000000001</v>
      </c>
      <c r="AN1233" s="226">
        <v>-2.64</v>
      </c>
      <c r="AO1233" s="484"/>
      <c r="AP1233" s="484"/>
      <c r="AQ1233" s="48" t="s">
        <v>6312</v>
      </c>
      <c r="AR1233" s="48" t="s">
        <v>6312</v>
      </c>
      <c r="AS1233" s="227"/>
      <c r="AT1233" s="50" t="s">
        <v>266</v>
      </c>
      <c r="AU1233" s="48">
        <v>0</v>
      </c>
      <c r="AV1233" s="48">
        <v>96</v>
      </c>
      <c r="AW1233" s="48">
        <v>96</v>
      </c>
      <c r="AX1233" s="48" t="s">
        <v>2434</v>
      </c>
      <c r="AY1233" s="48" t="s">
        <v>647</v>
      </c>
      <c r="AZ1233" s="48" t="s">
        <v>2435</v>
      </c>
      <c r="BA1233" s="48">
        <v>10</v>
      </c>
      <c r="BB1233" s="47" t="s">
        <v>1613</v>
      </c>
      <c r="BC1233" s="47" t="s">
        <v>538</v>
      </c>
      <c r="BD1233" s="47"/>
      <c r="BE1233" s="48" t="s">
        <v>271</v>
      </c>
      <c r="BF1233" s="48" t="s">
        <v>272</v>
      </c>
      <c r="BG1233" s="48" t="s">
        <v>272</v>
      </c>
      <c r="BH1233" s="48" t="s">
        <v>272</v>
      </c>
      <c r="BI1233" s="98">
        <v>0.1</v>
      </c>
      <c r="BJ1233" s="98">
        <v>1</v>
      </c>
      <c r="BK1233" s="48"/>
      <c r="BL1233" s="487">
        <v>0.46377627111057301</v>
      </c>
      <c r="BM1233" s="48" t="s">
        <v>2436</v>
      </c>
      <c r="BN1233" s="48"/>
      <c r="BO1233" s="48"/>
      <c r="BP1233" s="48"/>
      <c r="BQ1233" s="48"/>
      <c r="BR1233" s="48"/>
      <c r="BS1233" s="48"/>
      <c r="BT1233" s="48"/>
      <c r="BU1233" s="228"/>
      <c r="BV1233" s="48"/>
      <c r="BW1233" s="48"/>
      <c r="BX1233" s="48"/>
      <c r="BY1233" s="48"/>
      <c r="BZ1233" s="48"/>
      <c r="CA1233" s="48"/>
      <c r="CB1233" s="48"/>
      <c r="CC1233" s="48"/>
      <c r="CD1233" s="48"/>
      <c r="CE1233" s="48"/>
      <c r="CF1233" s="48"/>
      <c r="CG1233" s="48"/>
      <c r="CH1233" s="48"/>
      <c r="CI1233" s="98"/>
      <c r="CJ1233" s="98"/>
      <c r="CK1233" s="49">
        <f>BL1233/BJ1233</f>
        <v>0.46377627111057301</v>
      </c>
      <c r="CL1233" s="229"/>
      <c r="CM1233" s="229">
        <v>-2.2423817793682899</v>
      </c>
      <c r="CN1233" s="229">
        <f>BJ1233/(10^CM1233)</f>
        <v>174.73575441213461</v>
      </c>
      <c r="CO1233" s="47"/>
      <c r="CP1233" s="500" t="s">
        <v>2437</v>
      </c>
      <c r="CQ1233" s="224">
        <v>-1.5767489445189753</v>
      </c>
      <c r="CR1233" s="224">
        <f t="shared" si="277"/>
        <v>37.735398834894397</v>
      </c>
      <c r="CS1233" s="230" t="s">
        <v>539</v>
      </c>
      <c r="CT1233" s="230"/>
      <c r="CU1233" s="230"/>
      <c r="CV1233" s="335">
        <f>X1233/BJ1233</f>
        <v>1.1200000000000001</v>
      </c>
      <c r="CW1233" s="230">
        <f>IF(CV1233&lt;1,0,1)</f>
        <v>1</v>
      </c>
      <c r="CX1233" s="336"/>
      <c r="CY1233" s="230" t="s">
        <v>5921</v>
      </c>
    </row>
    <row r="1234" spans="1:103" ht="11.25" customHeight="1" x14ac:dyDescent="0.2">
      <c r="A1234" s="72">
        <v>1508</v>
      </c>
      <c r="B1234" s="224">
        <v>849</v>
      </c>
      <c r="C1234" s="46" t="s">
        <v>7524</v>
      </c>
      <c r="D1234" s="46" t="s">
        <v>8678</v>
      </c>
      <c r="E1234" s="114"/>
      <c r="F1234" s="114" t="s">
        <v>2429</v>
      </c>
      <c r="G1234" s="225">
        <v>138261413</v>
      </c>
      <c r="H1234" s="47" t="s">
        <v>2430</v>
      </c>
      <c r="I1234" s="47" t="s">
        <v>8172</v>
      </c>
      <c r="J1234" s="47" t="s">
        <v>2431</v>
      </c>
      <c r="K1234" s="47" t="s">
        <v>2432</v>
      </c>
      <c r="L1234" s="47" t="s">
        <v>617</v>
      </c>
      <c r="M1234" s="47" t="s">
        <v>8691</v>
      </c>
      <c r="N1234" s="47" t="s">
        <v>2342</v>
      </c>
      <c r="O1234" s="47" t="s">
        <v>8692</v>
      </c>
      <c r="P1234" s="53" t="s">
        <v>8538</v>
      </c>
      <c r="Q1234" s="53" t="s">
        <v>6173</v>
      </c>
      <c r="R1234" s="53" t="s">
        <v>6183</v>
      </c>
      <c r="S1234" s="53" t="s">
        <v>6173</v>
      </c>
      <c r="T1234" s="48">
        <v>255.66</v>
      </c>
      <c r="U1234" s="98">
        <v>610</v>
      </c>
      <c r="V1234" s="98">
        <v>7172</v>
      </c>
      <c r="W1234" s="98">
        <v>1728.4737348871395</v>
      </c>
      <c r="X1234" s="98">
        <v>610</v>
      </c>
      <c r="Y1234" s="233">
        <v>7</v>
      </c>
      <c r="Z1234" s="48">
        <v>0.56000000000000005</v>
      </c>
      <c r="AA1234" s="48">
        <v>0.56999999999999995</v>
      </c>
      <c r="AB1234" s="48">
        <v>0.42</v>
      </c>
      <c r="AC1234" s="48">
        <v>0.87409999999999999</v>
      </c>
      <c r="AD1234" s="48">
        <v>0.38</v>
      </c>
      <c r="AE1234" s="48">
        <v>0.2</v>
      </c>
      <c r="AF1234" s="48">
        <f>IF(AA1234=0,AD1234,AA1234)</f>
        <v>0.56999999999999995</v>
      </c>
      <c r="AG1234" s="49">
        <v>1.49</v>
      </c>
      <c r="AH1234" s="98">
        <v>1.04E-13</v>
      </c>
      <c r="AI1234" s="98">
        <v>1.65E-15</v>
      </c>
      <c r="AJ1234" s="483">
        <f>LOG10(AH1234*1000/(0.08206*298.15))</f>
        <v>-11.371532987013872</v>
      </c>
      <c r="AK1234" s="483">
        <f>LOG10(AI1234*1000/(0.08206*298.15))</f>
        <v>-13.171082382098746</v>
      </c>
      <c r="AL1234" s="483">
        <f>IF(AK1234=0,AJ1234,AK1234)</f>
        <v>-13.171082382098746</v>
      </c>
      <c r="AM1234" s="483">
        <v>-15.755459999999998</v>
      </c>
      <c r="AN1234" s="226">
        <v>-17.2</v>
      </c>
      <c r="AO1234" s="484"/>
      <c r="AP1234" s="484">
        <v>0.26</v>
      </c>
      <c r="AQ1234" s="226" t="s">
        <v>6311</v>
      </c>
      <c r="AR1234" s="226" t="s">
        <v>6311</v>
      </c>
      <c r="AS1234" s="224" t="s">
        <v>6</v>
      </c>
      <c r="AT1234" s="50" t="s">
        <v>266</v>
      </c>
      <c r="AU1234" s="48">
        <v>8</v>
      </c>
      <c r="AV1234" s="48">
        <v>96</v>
      </c>
      <c r="AW1234" s="48">
        <v>96</v>
      </c>
      <c r="AX1234" s="48" t="s">
        <v>2434</v>
      </c>
      <c r="AY1234" s="48" t="s">
        <v>647</v>
      </c>
      <c r="AZ1234" s="48" t="s">
        <v>2435</v>
      </c>
      <c r="BA1234" s="48">
        <v>10</v>
      </c>
      <c r="BB1234" s="47" t="s">
        <v>1613</v>
      </c>
      <c r="BC1234" s="47" t="s">
        <v>538</v>
      </c>
      <c r="BD1234" s="47"/>
      <c r="BE1234" s="48" t="s">
        <v>271</v>
      </c>
      <c r="BF1234" s="48" t="s">
        <v>272</v>
      </c>
      <c r="BG1234" s="48" t="s">
        <v>272</v>
      </c>
      <c r="BH1234" s="48" t="s">
        <v>272</v>
      </c>
      <c r="BI1234" s="98">
        <v>4.9998044354050144</v>
      </c>
      <c r="BJ1234" s="98">
        <v>24.999022177025072</v>
      </c>
      <c r="BK1234" s="48"/>
      <c r="BL1234" s="487">
        <v>4125.9768279244026</v>
      </c>
      <c r="BM1234" s="48" t="s">
        <v>2436</v>
      </c>
      <c r="BN1234" s="233"/>
      <c r="BO1234" s="233"/>
      <c r="BP1234" s="233"/>
      <c r="BQ1234" s="233"/>
      <c r="BR1234" s="233"/>
      <c r="BS1234" s="48"/>
      <c r="BT1234" s="233"/>
      <c r="BU1234" s="228"/>
      <c r="BV1234" s="233"/>
      <c r="BW1234" s="233"/>
      <c r="BX1234" s="233"/>
      <c r="BY1234" s="233"/>
      <c r="BZ1234" s="233"/>
      <c r="CA1234" s="233"/>
      <c r="CB1234" s="233"/>
      <c r="CC1234" s="48"/>
      <c r="CD1234" s="48"/>
      <c r="CE1234" s="48"/>
      <c r="CF1234" s="48"/>
      <c r="CG1234" s="233"/>
      <c r="CH1234" s="48"/>
      <c r="CI1234" s="98"/>
      <c r="CJ1234" s="98"/>
      <c r="CK1234" s="49">
        <f>BL1234/BJ1234</f>
        <v>165.0455285293643</v>
      </c>
      <c r="CL1234" s="229"/>
      <c r="CM1234" s="229"/>
      <c r="CN1234" s="229"/>
      <c r="CO1234" s="47"/>
      <c r="CP1234" s="500" t="s">
        <v>2437</v>
      </c>
      <c r="CQ1234" s="224">
        <v>2.3580728468633363</v>
      </c>
      <c r="CR1234" s="224">
        <f t="shared" si="277"/>
        <v>4.384571465140868E-3</v>
      </c>
      <c r="CS1234" s="230" t="s">
        <v>539</v>
      </c>
      <c r="CT1234" s="230"/>
      <c r="CU1234" s="230"/>
      <c r="CV1234" s="335">
        <f>X1234/BJ1234</f>
        <v>24.40095439255261</v>
      </c>
      <c r="CW1234" s="230">
        <f>IF(CV1234&lt;1,0,1)</f>
        <v>1</v>
      </c>
      <c r="CX1234" s="336"/>
      <c r="CY1234" s="230" t="s">
        <v>5921</v>
      </c>
    </row>
    <row r="1235" spans="1:103" ht="11.25" customHeight="1" x14ac:dyDescent="0.2">
      <c r="A1235" s="72">
        <v>1915</v>
      </c>
      <c r="B1235" s="241">
        <v>832</v>
      </c>
      <c r="C1235" s="32" t="s">
        <v>2378</v>
      </c>
      <c r="D1235" s="32"/>
      <c r="E1235" s="40"/>
      <c r="F1235" s="40" t="s">
        <v>2379</v>
      </c>
      <c r="G1235" s="242">
        <v>52722380</v>
      </c>
      <c r="H1235" s="36"/>
      <c r="I1235" s="36" t="s">
        <v>7877</v>
      </c>
      <c r="J1235" s="36" t="s">
        <v>2380</v>
      </c>
      <c r="K1235" s="36"/>
      <c r="L1235" s="36"/>
      <c r="M1235" s="36"/>
      <c r="N1235" s="36"/>
      <c r="O1235" s="36"/>
      <c r="P1235" s="41"/>
      <c r="Q1235" s="41"/>
      <c r="R1235" s="41"/>
      <c r="S1235" s="41"/>
      <c r="T1235" s="37">
        <v>154.63800000000001</v>
      </c>
      <c r="U1235" s="243"/>
      <c r="V1235" s="243"/>
      <c r="W1235" s="243">
        <v>37095.072493133594</v>
      </c>
      <c r="X1235" s="243">
        <v>37095.072493133594</v>
      </c>
      <c r="Y1235" s="414">
        <v>7</v>
      </c>
      <c r="Z1235" s="37"/>
      <c r="AA1235" s="37"/>
      <c r="AB1235" s="37"/>
      <c r="AC1235" s="37"/>
      <c r="AD1235" s="37"/>
      <c r="AE1235" s="37"/>
      <c r="AF1235" s="37"/>
      <c r="AG1235" s="38">
        <v>1.31</v>
      </c>
      <c r="AH1235" s="243"/>
      <c r="AI1235" s="243"/>
      <c r="AJ1235" s="34"/>
      <c r="AK1235" s="34"/>
      <c r="AL1235" s="34"/>
      <c r="AM1235" s="34"/>
      <c r="AN1235" s="244">
        <v>-3.67</v>
      </c>
      <c r="AO1235" s="417"/>
      <c r="AP1235" s="417"/>
      <c r="AQ1235" s="37" t="s">
        <v>6317</v>
      </c>
      <c r="AR1235" s="37" t="s">
        <v>6317</v>
      </c>
      <c r="AS1235" s="241" t="s">
        <v>6</v>
      </c>
      <c r="AT1235" s="39" t="s">
        <v>266</v>
      </c>
      <c r="AU1235" s="245" t="s">
        <v>2381</v>
      </c>
      <c r="AV1235" s="37">
        <v>48</v>
      </c>
      <c r="AW1235" s="37">
        <v>48</v>
      </c>
      <c r="AX1235" s="37">
        <v>26</v>
      </c>
      <c r="AY1235" s="37" t="s">
        <v>647</v>
      </c>
      <c r="AZ1235" s="37" t="s">
        <v>8722</v>
      </c>
      <c r="BA1235" s="37" t="s">
        <v>8722</v>
      </c>
      <c r="BB1235" s="36" t="s">
        <v>2382</v>
      </c>
      <c r="BC1235" s="36" t="s">
        <v>8722</v>
      </c>
      <c r="BD1235" s="36"/>
      <c r="BE1235" s="37" t="s">
        <v>1712</v>
      </c>
      <c r="BF1235" s="37" t="s">
        <v>2383</v>
      </c>
      <c r="BG1235" s="261" t="s">
        <v>2384</v>
      </c>
      <c r="BH1235" s="37" t="s">
        <v>272</v>
      </c>
      <c r="BI1235" s="243" t="s">
        <v>8722</v>
      </c>
      <c r="BJ1235" s="243" t="s">
        <v>8722</v>
      </c>
      <c r="BK1235" s="37"/>
      <c r="BL1235" s="263"/>
      <c r="BM1235" s="37" t="s">
        <v>1584</v>
      </c>
      <c r="BN1235" s="37"/>
      <c r="BO1235" s="276"/>
      <c r="BP1235" s="37"/>
      <c r="BQ1235" s="37"/>
      <c r="BR1235" s="37"/>
      <c r="BS1235" s="37"/>
      <c r="BT1235" s="37"/>
      <c r="BU1235" s="246"/>
      <c r="BV1235" s="37"/>
      <c r="BW1235" s="37"/>
      <c r="BX1235" s="37"/>
      <c r="BY1235" s="37"/>
      <c r="BZ1235" s="37"/>
      <c r="CA1235" s="37"/>
      <c r="CB1235" s="37"/>
      <c r="CC1235" s="37">
        <v>2</v>
      </c>
      <c r="CD1235" s="37"/>
      <c r="CE1235" s="37"/>
      <c r="CF1235" s="37"/>
      <c r="CG1235" s="37"/>
      <c r="CH1235" s="37"/>
      <c r="CI1235" s="243">
        <v>2</v>
      </c>
      <c r="CJ1235" s="243">
        <f>LOG10(CI1235)</f>
        <v>0.3010299956639812</v>
      </c>
      <c r="CK1235" s="38"/>
      <c r="CL1235" s="247">
        <f>BL1235/CI1235</f>
        <v>0</v>
      </c>
      <c r="CM1235" s="247"/>
      <c r="CN1235" s="247"/>
      <c r="CO1235" s="36"/>
      <c r="CP1235" s="496" t="s">
        <v>2385</v>
      </c>
      <c r="CQ1235" s="241">
        <v>-2.2276394711152253E-2</v>
      </c>
      <c r="CR1235" s="241">
        <f t="shared" si="277"/>
        <v>2.1052631578947367</v>
      </c>
      <c r="CS1235" s="33"/>
      <c r="CT1235" s="33"/>
      <c r="CU1235" s="250">
        <f>X1235/CI1235</f>
        <v>18547.536246566797</v>
      </c>
      <c r="CV1235" s="337"/>
      <c r="CW1235" s="330">
        <f>IF(CU1235&lt;2,0,1)</f>
        <v>1</v>
      </c>
      <c r="CX1235" s="330" t="s">
        <v>539</v>
      </c>
      <c r="CY1235" s="143" t="s">
        <v>5921</v>
      </c>
    </row>
    <row r="1236" spans="1:103" ht="11.25" customHeight="1" x14ac:dyDescent="0.2">
      <c r="A1236" s="72">
        <v>1926</v>
      </c>
      <c r="B1236" s="241">
        <v>835</v>
      </c>
      <c r="C1236" s="32" t="s">
        <v>2392</v>
      </c>
      <c r="D1236" s="32"/>
      <c r="E1236" s="40"/>
      <c r="F1236" s="40" t="s">
        <v>2393</v>
      </c>
      <c r="G1236" s="242">
        <v>63798367</v>
      </c>
      <c r="H1236" s="36"/>
      <c r="I1236" s="36" t="s">
        <v>7877</v>
      </c>
      <c r="J1236" s="36"/>
      <c r="K1236" s="36"/>
      <c r="L1236" s="36"/>
      <c r="M1236" s="36"/>
      <c r="N1236" s="36"/>
      <c r="O1236" s="36"/>
      <c r="P1236" s="41"/>
      <c r="Q1236" s="41"/>
      <c r="R1236" s="41"/>
      <c r="S1236" s="41"/>
      <c r="T1236" s="37" t="s">
        <v>404</v>
      </c>
      <c r="U1236" s="243"/>
      <c r="V1236" s="243"/>
      <c r="W1236" s="243"/>
      <c r="X1236" s="243"/>
      <c r="Y1236" s="414"/>
      <c r="Z1236" s="37"/>
      <c r="AA1236" s="37"/>
      <c r="AB1236" s="37"/>
      <c r="AC1236" s="37"/>
      <c r="AD1236" s="37"/>
      <c r="AE1236" s="37"/>
      <c r="AF1236" s="37"/>
      <c r="AG1236" s="38" t="s">
        <v>5921</v>
      </c>
      <c r="AH1236" s="243"/>
      <c r="AI1236" s="243"/>
      <c r="AJ1236" s="34"/>
      <c r="AK1236" s="34"/>
      <c r="AL1236" s="34"/>
      <c r="AM1236" s="34"/>
      <c r="AN1236" s="244"/>
      <c r="AO1236" s="417"/>
      <c r="AP1236" s="417"/>
      <c r="AQ1236" s="37" t="s">
        <v>6317</v>
      </c>
      <c r="AR1236" s="37" t="s">
        <v>6317</v>
      </c>
      <c r="AS1236" s="241"/>
      <c r="AT1236" s="39" t="s">
        <v>266</v>
      </c>
      <c r="AU1236" s="245" t="s">
        <v>2381</v>
      </c>
      <c r="AV1236" s="37">
        <v>48</v>
      </c>
      <c r="AW1236" s="37">
        <v>48</v>
      </c>
      <c r="AX1236" s="37">
        <v>26</v>
      </c>
      <c r="AY1236" s="37" t="s">
        <v>647</v>
      </c>
      <c r="AZ1236" s="37" t="s">
        <v>8722</v>
      </c>
      <c r="BA1236" s="37" t="s">
        <v>8722</v>
      </c>
      <c r="BB1236" s="36" t="s">
        <v>2382</v>
      </c>
      <c r="BC1236" s="36" t="s">
        <v>8722</v>
      </c>
      <c r="BD1236" s="36"/>
      <c r="BE1236" s="37" t="s">
        <v>1712</v>
      </c>
      <c r="BF1236" s="37" t="s">
        <v>2383</v>
      </c>
      <c r="BG1236" s="261" t="s">
        <v>2384</v>
      </c>
      <c r="BH1236" s="37" t="s">
        <v>272</v>
      </c>
      <c r="BI1236" s="243" t="s">
        <v>8722</v>
      </c>
      <c r="BJ1236" s="243" t="s">
        <v>8722</v>
      </c>
      <c r="BK1236" s="37"/>
      <c r="BL1236" s="263"/>
      <c r="BM1236" s="37" t="s">
        <v>1584</v>
      </c>
      <c r="BN1236" s="37"/>
      <c r="BO1236" s="276"/>
      <c r="BP1236" s="37"/>
      <c r="BQ1236" s="37"/>
      <c r="BR1236" s="37"/>
      <c r="BS1236" s="37"/>
      <c r="BT1236" s="37"/>
      <c r="BU1236" s="246"/>
      <c r="BV1236" s="37"/>
      <c r="BW1236" s="37"/>
      <c r="BX1236" s="37"/>
      <c r="BY1236" s="37"/>
      <c r="BZ1236" s="37"/>
      <c r="CA1236" s="37"/>
      <c r="CB1236" s="37"/>
      <c r="CC1236" s="37" t="e">
        <v>#VALUE!</v>
      </c>
      <c r="CD1236" s="37"/>
      <c r="CE1236" s="37"/>
      <c r="CF1236" s="37"/>
      <c r="CG1236" s="37"/>
      <c r="CH1236" s="37"/>
      <c r="CI1236" s="243"/>
      <c r="CJ1236" s="243"/>
      <c r="CK1236" s="38"/>
      <c r="CL1236" s="247"/>
      <c r="CM1236" s="247"/>
      <c r="CN1236" s="247"/>
      <c r="CO1236" s="36"/>
      <c r="CP1236" s="496" t="s">
        <v>2385</v>
      </c>
      <c r="CQ1236" s="241">
        <v>0.85125834871907524</v>
      </c>
      <c r="CR1236" s="241">
        <f t="shared" si="277"/>
        <v>0.14084507042253519</v>
      </c>
      <c r="CS1236" s="33"/>
      <c r="CT1236" s="33"/>
      <c r="CU1236" s="250" t="s">
        <v>6310</v>
      </c>
      <c r="CV1236" s="337" t="s">
        <v>6310</v>
      </c>
      <c r="CW1236" s="330">
        <f>IF(CV1236&lt;1,0,1)</f>
        <v>1</v>
      </c>
      <c r="CX1236" s="330" t="s">
        <v>539</v>
      </c>
      <c r="CY1236" s="143" t="s">
        <v>5921</v>
      </c>
    </row>
    <row r="1237" spans="1:103" ht="11.25" customHeight="1" x14ac:dyDescent="0.2">
      <c r="A1237" s="72">
        <v>1957</v>
      </c>
      <c r="B1237" s="241">
        <v>843</v>
      </c>
      <c r="C1237" s="32" t="s">
        <v>2416</v>
      </c>
      <c r="D1237" s="32"/>
      <c r="E1237" s="40"/>
      <c r="F1237" s="40" t="s">
        <v>2417</v>
      </c>
      <c r="G1237" s="242">
        <v>181314885</v>
      </c>
      <c r="H1237" s="254"/>
      <c r="I1237" s="254"/>
      <c r="J1237" s="36"/>
      <c r="K1237" s="36"/>
      <c r="L1237" s="36"/>
      <c r="M1237" s="36"/>
      <c r="N1237" s="36"/>
      <c r="O1237" s="36"/>
      <c r="P1237" s="41"/>
      <c r="Q1237" s="41"/>
      <c r="R1237" s="41"/>
      <c r="S1237" s="41"/>
      <c r="T1237" s="37" t="s">
        <v>404</v>
      </c>
      <c r="U1237" s="243"/>
      <c r="V1237" s="243"/>
      <c r="W1237" s="243"/>
      <c r="X1237" s="243"/>
      <c r="Y1237" s="414"/>
      <c r="Z1237" s="37"/>
      <c r="AA1237" s="37"/>
      <c r="AB1237" s="37"/>
      <c r="AC1237" s="37"/>
      <c r="AD1237" s="37"/>
      <c r="AE1237" s="37"/>
      <c r="AF1237" s="37"/>
      <c r="AG1237" s="38" t="s">
        <v>5921</v>
      </c>
      <c r="AH1237" s="243"/>
      <c r="AI1237" s="243"/>
      <c r="AJ1237" s="34"/>
      <c r="AK1237" s="34"/>
      <c r="AL1237" s="34"/>
      <c r="AM1237" s="34"/>
      <c r="AN1237" s="244"/>
      <c r="AO1237" s="417"/>
      <c r="AP1237" s="417"/>
      <c r="AQ1237" s="37" t="s">
        <v>6317</v>
      </c>
      <c r="AR1237" s="37" t="s">
        <v>6317</v>
      </c>
      <c r="AS1237" s="241"/>
      <c r="AT1237" s="39" t="s">
        <v>266</v>
      </c>
      <c r="AU1237" s="245" t="s">
        <v>2381</v>
      </c>
      <c r="AV1237" s="37">
        <v>48</v>
      </c>
      <c r="AW1237" s="37">
        <v>48</v>
      </c>
      <c r="AX1237" s="37">
        <v>26</v>
      </c>
      <c r="AY1237" s="37" t="s">
        <v>647</v>
      </c>
      <c r="AZ1237" s="37" t="s">
        <v>8722</v>
      </c>
      <c r="BA1237" s="37" t="s">
        <v>8722</v>
      </c>
      <c r="BB1237" s="36" t="s">
        <v>2382</v>
      </c>
      <c r="BC1237" s="36" t="s">
        <v>8722</v>
      </c>
      <c r="BD1237" s="36"/>
      <c r="BE1237" s="37" t="s">
        <v>1712</v>
      </c>
      <c r="BF1237" s="37" t="s">
        <v>2383</v>
      </c>
      <c r="BG1237" s="261" t="s">
        <v>2384</v>
      </c>
      <c r="BH1237" s="37" t="s">
        <v>272</v>
      </c>
      <c r="BI1237" s="243" t="s">
        <v>8722</v>
      </c>
      <c r="BJ1237" s="243" t="s">
        <v>8722</v>
      </c>
      <c r="BK1237" s="37"/>
      <c r="BL1237" s="263"/>
      <c r="BM1237" s="37" t="s">
        <v>1584</v>
      </c>
      <c r="BN1237" s="37"/>
      <c r="BO1237" s="276"/>
      <c r="BP1237" s="37"/>
      <c r="BQ1237" s="37"/>
      <c r="BR1237" s="37"/>
      <c r="BS1237" s="37"/>
      <c r="BT1237" s="37"/>
      <c r="BU1237" s="246"/>
      <c r="BV1237" s="37"/>
      <c r="BW1237" s="37"/>
      <c r="BX1237" s="37"/>
      <c r="BY1237" s="37"/>
      <c r="BZ1237" s="37"/>
      <c r="CA1237" s="37"/>
      <c r="CB1237" s="37"/>
      <c r="CC1237" s="37" t="e">
        <v>#VALUE!</v>
      </c>
      <c r="CD1237" s="37"/>
      <c r="CE1237" s="37"/>
      <c r="CF1237" s="37"/>
      <c r="CG1237" s="37"/>
      <c r="CH1237" s="37"/>
      <c r="CI1237" s="243"/>
      <c r="CJ1237" s="243"/>
      <c r="CK1237" s="38"/>
      <c r="CL1237" s="247"/>
      <c r="CM1237" s="247"/>
      <c r="CN1237" s="247"/>
      <c r="CO1237" s="36"/>
      <c r="CP1237" s="496" t="s">
        <v>2385</v>
      </c>
      <c r="CQ1237" s="241">
        <v>0.86332286012045589</v>
      </c>
      <c r="CR1237" s="241">
        <f t="shared" si="277"/>
        <v>0.13698630136986298</v>
      </c>
      <c r="CS1237" s="33"/>
      <c r="CT1237" s="33"/>
      <c r="CU1237" s="250" t="s">
        <v>6310</v>
      </c>
      <c r="CV1237" s="337" t="s">
        <v>6310</v>
      </c>
      <c r="CW1237" s="330">
        <f>IF(CV1237&lt;1,0,1)</f>
        <v>1</v>
      </c>
      <c r="CX1237" s="330" t="s">
        <v>539</v>
      </c>
      <c r="CY1237" s="143" t="s">
        <v>5921</v>
      </c>
    </row>
    <row r="1238" spans="1:103" ht="11.25" customHeight="1" x14ac:dyDescent="0.2">
      <c r="A1238" s="72">
        <v>1958</v>
      </c>
      <c r="B1238" s="241">
        <v>844</v>
      </c>
      <c r="C1238" s="32" t="s">
        <v>2419</v>
      </c>
      <c r="D1238" s="32"/>
      <c r="E1238" s="40"/>
      <c r="F1238" s="40" t="s">
        <v>2420</v>
      </c>
      <c r="G1238" s="242">
        <v>181314954</v>
      </c>
      <c r="H1238" s="36"/>
      <c r="I1238" s="36"/>
      <c r="J1238" s="36"/>
      <c r="K1238" s="36"/>
      <c r="L1238" s="36" t="s">
        <v>6025</v>
      </c>
      <c r="M1238" s="36" t="s">
        <v>5960</v>
      </c>
      <c r="N1238" s="36"/>
      <c r="O1238" s="36"/>
      <c r="P1238" s="41"/>
      <c r="Q1238" s="41"/>
      <c r="R1238" s="41"/>
      <c r="S1238" s="41"/>
      <c r="T1238" s="37" t="s">
        <v>404</v>
      </c>
      <c r="U1238" s="243"/>
      <c r="V1238" s="243"/>
      <c r="W1238" s="243"/>
      <c r="X1238" s="243"/>
      <c r="Y1238" s="414"/>
      <c r="Z1238" s="37"/>
      <c r="AA1238" s="37"/>
      <c r="AB1238" s="37"/>
      <c r="AC1238" s="37"/>
      <c r="AD1238" s="37"/>
      <c r="AE1238" s="37"/>
      <c r="AF1238" s="37"/>
      <c r="AG1238" s="38" t="s">
        <v>5921</v>
      </c>
      <c r="AH1238" s="243"/>
      <c r="AI1238" s="243"/>
      <c r="AJ1238" s="34"/>
      <c r="AK1238" s="34"/>
      <c r="AL1238" s="34"/>
      <c r="AM1238" s="34"/>
      <c r="AN1238" s="244"/>
      <c r="AO1238" s="417"/>
      <c r="AP1238" s="417"/>
      <c r="AQ1238" s="37" t="s">
        <v>6317</v>
      </c>
      <c r="AR1238" s="37" t="s">
        <v>6317</v>
      </c>
      <c r="AS1238" s="241"/>
      <c r="AT1238" s="39" t="s">
        <v>266</v>
      </c>
      <c r="AU1238" s="245" t="s">
        <v>2381</v>
      </c>
      <c r="AV1238" s="37">
        <v>96</v>
      </c>
      <c r="AW1238" s="37">
        <v>96</v>
      </c>
      <c r="AX1238" s="37">
        <v>26</v>
      </c>
      <c r="AY1238" s="37" t="s">
        <v>647</v>
      </c>
      <c r="AZ1238" s="37" t="s">
        <v>8722</v>
      </c>
      <c r="BA1238" s="37" t="s">
        <v>8722</v>
      </c>
      <c r="BB1238" s="36" t="s">
        <v>2382</v>
      </c>
      <c r="BC1238" s="36" t="s">
        <v>8722</v>
      </c>
      <c r="BD1238" s="36"/>
      <c r="BE1238" s="37" t="s">
        <v>1712</v>
      </c>
      <c r="BF1238" s="37" t="s">
        <v>2383</v>
      </c>
      <c r="BG1238" s="261" t="s">
        <v>2384</v>
      </c>
      <c r="BH1238" s="37" t="s">
        <v>272</v>
      </c>
      <c r="BI1238" s="243" t="s">
        <v>8722</v>
      </c>
      <c r="BJ1238" s="243" t="s">
        <v>8722</v>
      </c>
      <c r="BK1238" s="37"/>
      <c r="BL1238" s="263"/>
      <c r="BM1238" s="37" t="s">
        <v>1584</v>
      </c>
      <c r="BN1238" s="37"/>
      <c r="BO1238" s="276"/>
      <c r="BP1238" s="37"/>
      <c r="BQ1238" s="37"/>
      <c r="BR1238" s="37"/>
      <c r="BS1238" s="37"/>
      <c r="BT1238" s="37"/>
      <c r="BU1238" s="246"/>
      <c r="BV1238" s="37"/>
      <c r="BW1238" s="37"/>
      <c r="BX1238" s="37"/>
      <c r="BY1238" s="37"/>
      <c r="BZ1238" s="37"/>
      <c r="CA1238" s="37"/>
      <c r="CB1238" s="37"/>
      <c r="CC1238" s="37" t="e">
        <v>#VALUE!</v>
      </c>
      <c r="CD1238" s="37"/>
      <c r="CE1238" s="37"/>
      <c r="CF1238" s="37"/>
      <c r="CG1238" s="37"/>
      <c r="CH1238" s="37"/>
      <c r="CI1238" s="243"/>
      <c r="CJ1238" s="243"/>
      <c r="CK1238" s="38"/>
      <c r="CL1238" s="247"/>
      <c r="CM1238" s="247"/>
      <c r="CN1238" s="247"/>
      <c r="CO1238" s="36"/>
      <c r="CP1238" s="496" t="s">
        <v>2385</v>
      </c>
      <c r="CQ1238" s="241" t="s">
        <v>272</v>
      </c>
      <c r="CR1238" s="241"/>
      <c r="CS1238" s="33"/>
      <c r="CT1238" s="33"/>
      <c r="CU1238" s="250" t="s">
        <v>6310</v>
      </c>
      <c r="CV1238" s="337" t="s">
        <v>6310</v>
      </c>
      <c r="CW1238" s="330">
        <f>IF(CV1238&lt;1,0,1)</f>
        <v>1</v>
      </c>
      <c r="CX1238" s="330" t="s">
        <v>539</v>
      </c>
      <c r="CY1238" s="143" t="s">
        <v>5921</v>
      </c>
    </row>
    <row r="1239" spans="1:103" ht="11.25" customHeight="1" x14ac:dyDescent="0.2">
      <c r="A1239" s="72">
        <v>1761</v>
      </c>
      <c r="B1239" s="241">
        <v>859</v>
      </c>
      <c r="C1239" s="32" t="s">
        <v>1997</v>
      </c>
      <c r="D1239" s="32"/>
      <c r="E1239" s="40"/>
      <c r="F1239" s="40" t="s">
        <v>1998</v>
      </c>
      <c r="G1239" s="242">
        <v>114261</v>
      </c>
      <c r="H1239" s="36" t="s">
        <v>1999</v>
      </c>
      <c r="I1239" s="36" t="s">
        <v>1999</v>
      </c>
      <c r="J1239" s="36" t="s">
        <v>2000</v>
      </c>
      <c r="K1239" s="36" t="s">
        <v>616</v>
      </c>
      <c r="L1239" s="270" t="s">
        <v>617</v>
      </c>
      <c r="M1239" s="270" t="s">
        <v>946</v>
      </c>
      <c r="N1239" s="36" t="s">
        <v>6376</v>
      </c>
      <c r="O1239" s="270" t="s">
        <v>2001</v>
      </c>
      <c r="P1239" s="41"/>
      <c r="Q1239" s="41" t="s">
        <v>6173</v>
      </c>
      <c r="R1239" s="41" t="s">
        <v>6177</v>
      </c>
      <c r="S1239" s="41" t="s">
        <v>6176</v>
      </c>
      <c r="T1239" s="244">
        <v>209.24</v>
      </c>
      <c r="U1239" s="243">
        <v>1859.9111111111113</v>
      </c>
      <c r="V1239" s="243">
        <v>1973.9056630824373</v>
      </c>
      <c r="W1239" s="243">
        <v>708.99751230566653</v>
      </c>
      <c r="X1239" s="243">
        <v>1859.9111111111113</v>
      </c>
      <c r="Y1239" s="414">
        <v>6.96</v>
      </c>
      <c r="Z1239" s="37">
        <v>1.9</v>
      </c>
      <c r="AA1239" s="37">
        <v>1.52</v>
      </c>
      <c r="AB1239" s="37">
        <v>1.54</v>
      </c>
      <c r="AC1239" s="37">
        <v>0.89239999999999997</v>
      </c>
      <c r="AD1239" s="37">
        <v>1.56</v>
      </c>
      <c r="AE1239" s="37">
        <v>1.6</v>
      </c>
      <c r="AF1239" s="37">
        <f>IF(AA1239=0,AD1239,AA1239)</f>
        <v>1.52</v>
      </c>
      <c r="AG1239" s="38">
        <v>1.99</v>
      </c>
      <c r="AH1239" s="243">
        <v>3.3499999999999998E-9</v>
      </c>
      <c r="AI1239" s="243">
        <v>1.43E-9</v>
      </c>
      <c r="AJ1239" s="34">
        <f t="shared" ref="AJ1239:AK1242" si="278">LOG10(AH1239*1000/(0.08206*298.15))</f>
        <v>-6.8635215192758068</v>
      </c>
      <c r="AK1239" s="34">
        <f t="shared" si="278"/>
        <v>-7.2332302888475901</v>
      </c>
      <c r="AL1239" s="34">
        <f>IF(AK1239=0,AJ1239,AK1239)</f>
        <v>-7.2332302888475901</v>
      </c>
      <c r="AM1239" s="34">
        <v>-10.072940000000001</v>
      </c>
      <c r="AN1239" s="244">
        <v>-6.19</v>
      </c>
      <c r="AO1239" s="417">
        <v>12.28</v>
      </c>
      <c r="AP1239" s="417">
        <v>-1.49</v>
      </c>
      <c r="AQ1239" s="244" t="s">
        <v>6311</v>
      </c>
      <c r="AR1239" s="244" t="s">
        <v>6314</v>
      </c>
      <c r="AS1239" s="241" t="s">
        <v>6</v>
      </c>
      <c r="AT1239" s="39" t="s">
        <v>266</v>
      </c>
      <c r="AU1239" s="37">
        <v>0</v>
      </c>
      <c r="AV1239" s="37">
        <v>48</v>
      </c>
      <c r="AW1239" s="37">
        <v>48</v>
      </c>
      <c r="AX1239" s="37">
        <v>26</v>
      </c>
      <c r="AY1239" s="37" t="s">
        <v>267</v>
      </c>
      <c r="AZ1239" s="37" t="s">
        <v>536</v>
      </c>
      <c r="BA1239" s="37">
        <v>10</v>
      </c>
      <c r="BB1239" s="36"/>
      <c r="BC1239" s="36" t="s">
        <v>538</v>
      </c>
      <c r="BD1239" s="36"/>
      <c r="BE1239" s="37"/>
      <c r="BF1239" s="37"/>
      <c r="BG1239" s="37"/>
      <c r="BH1239" s="37"/>
      <c r="BI1239" s="243"/>
      <c r="BJ1239" s="243"/>
      <c r="BK1239" s="37"/>
      <c r="BL1239" s="263">
        <v>211.3755308782311</v>
      </c>
      <c r="BM1239" s="37" t="s">
        <v>541</v>
      </c>
      <c r="BN1239" s="37"/>
      <c r="BO1239" s="37">
        <v>142.07396000000003</v>
      </c>
      <c r="BP1239" s="37"/>
      <c r="BQ1239" s="37"/>
      <c r="BR1239" s="37"/>
      <c r="BS1239" s="37"/>
      <c r="BT1239" s="37"/>
      <c r="BU1239" s="246"/>
      <c r="BV1239" s="37"/>
      <c r="BW1239" s="37"/>
      <c r="BX1239" s="37"/>
      <c r="BY1239" s="37"/>
      <c r="BZ1239" s="37"/>
      <c r="CA1239" s="37"/>
      <c r="CB1239" s="37"/>
      <c r="CC1239" s="37"/>
      <c r="CD1239" s="37"/>
      <c r="CE1239" s="37"/>
      <c r="CF1239" s="37"/>
      <c r="CG1239" s="37"/>
      <c r="CH1239" s="37"/>
      <c r="CI1239" s="243">
        <v>142.07396000000003</v>
      </c>
      <c r="CJ1239" s="243">
        <f t="shared" ref="CJ1239:CJ1248" si="279">LOG10(CI1239)</f>
        <v>2.1525144856359</v>
      </c>
      <c r="CK1239" s="38"/>
      <c r="CL1239" s="247">
        <f t="shared" ref="CL1239:CL1248" si="280">BL1239/CI1239</f>
        <v>1.4877851710350796</v>
      </c>
      <c r="CM1239" s="247">
        <v>1.0480036186615178</v>
      </c>
      <c r="CN1239" s="247"/>
      <c r="CO1239" s="36"/>
      <c r="CP1239" s="496" t="s">
        <v>2443</v>
      </c>
      <c r="CQ1239" s="241">
        <v>1.0726577657579373</v>
      </c>
      <c r="CR1239" s="241">
        <f t="shared" ref="CR1239:CR1262" si="281">10^(CJ1239-CQ1239)</f>
        <v>12.018678553617109</v>
      </c>
      <c r="CS1239" s="33"/>
      <c r="CT1239" s="33"/>
      <c r="CU1239" s="250">
        <f>X1239/CI1239</f>
        <v>13.091147111765666</v>
      </c>
      <c r="CV1239" s="337"/>
      <c r="CW1239" s="330">
        <f t="shared" ref="CW1239:CW1248" si="282">IF(CU1239&lt;2,0,1)</f>
        <v>1</v>
      </c>
      <c r="CX1239" s="330"/>
      <c r="CY1239" s="143" t="s">
        <v>5921</v>
      </c>
    </row>
    <row r="1240" spans="1:103" ht="11.25" customHeight="1" x14ac:dyDescent="0.2">
      <c r="A1240" s="72">
        <v>1647</v>
      </c>
      <c r="B1240" s="241">
        <v>2028</v>
      </c>
      <c r="C1240" s="32" t="s">
        <v>422</v>
      </c>
      <c r="D1240" s="32"/>
      <c r="E1240" s="40"/>
      <c r="F1240" s="40" t="s">
        <v>423</v>
      </c>
      <c r="G1240" s="242">
        <v>64175</v>
      </c>
      <c r="H1240" s="41" t="s">
        <v>424</v>
      </c>
      <c r="I1240" s="41" t="s">
        <v>424</v>
      </c>
      <c r="J1240" s="41" t="s">
        <v>425</v>
      </c>
      <c r="K1240" s="41" t="s">
        <v>426</v>
      </c>
      <c r="L1240" s="41" t="s">
        <v>279</v>
      </c>
      <c r="M1240" s="480" t="s">
        <v>8502</v>
      </c>
      <c r="N1240" s="36" t="s">
        <v>6082</v>
      </c>
      <c r="O1240" s="41" t="s">
        <v>281</v>
      </c>
      <c r="P1240" s="41" t="s">
        <v>6183</v>
      </c>
      <c r="Q1240" s="41" t="s">
        <v>6176</v>
      </c>
      <c r="R1240" s="41" t="s">
        <v>6185</v>
      </c>
      <c r="S1240" s="41" t="s">
        <v>6176</v>
      </c>
      <c r="T1240" s="33">
        <v>46.07</v>
      </c>
      <c r="U1240" s="250">
        <v>1000000.0000000001</v>
      </c>
      <c r="V1240" s="250">
        <v>792099.99999999988</v>
      </c>
      <c r="W1240" s="250">
        <v>183407.97347399619</v>
      </c>
      <c r="X1240" s="250">
        <v>1000000.0000000001</v>
      </c>
      <c r="Y1240" s="415">
        <v>6.96</v>
      </c>
      <c r="Z1240" s="33">
        <v>-0.14000000000000001</v>
      </c>
      <c r="AA1240" s="33">
        <v>-0.31</v>
      </c>
      <c r="AB1240" s="33">
        <v>-0.24</v>
      </c>
      <c r="AC1240" s="33">
        <v>0.90610000000000002</v>
      </c>
      <c r="AD1240" s="33">
        <v>-0.23</v>
      </c>
      <c r="AE1240" s="33">
        <v>-0.19</v>
      </c>
      <c r="AF1240" s="33">
        <f>IF(AA1240=0,AD1240,AA1240)</f>
        <v>-0.31</v>
      </c>
      <c r="AG1240" s="34">
        <v>0.09</v>
      </c>
      <c r="AH1240" s="250">
        <v>5.6699999999999999E-6</v>
      </c>
      <c r="AI1240" s="250">
        <v>5.0000000000000004E-6</v>
      </c>
      <c r="AJ1240" s="34">
        <f t="shared" si="278"/>
        <v>-3.6349832674197451</v>
      </c>
      <c r="AK1240" s="34">
        <f t="shared" si="278"/>
        <v>-3.6895963219766328</v>
      </c>
      <c r="AL1240" s="34">
        <f>IF(AK1240=0,AJ1240,AK1240)</f>
        <v>-3.6895963219766328</v>
      </c>
      <c r="AM1240" s="34">
        <v>-3.1772200000000002</v>
      </c>
      <c r="AN1240" s="251">
        <v>-3.5697999999999999</v>
      </c>
      <c r="AO1240" s="417">
        <v>15.24</v>
      </c>
      <c r="AP1240" s="417"/>
      <c r="AQ1240" s="251" t="s">
        <v>6311</v>
      </c>
      <c r="AR1240" s="251" t="s">
        <v>6311</v>
      </c>
      <c r="AS1240" s="252" t="s">
        <v>5466</v>
      </c>
      <c r="AT1240" s="35" t="s">
        <v>266</v>
      </c>
      <c r="AU1240" s="33">
        <v>2</v>
      </c>
      <c r="AV1240" s="33">
        <v>48</v>
      </c>
      <c r="AW1240" s="33">
        <v>46</v>
      </c>
      <c r="AX1240" s="33">
        <v>28</v>
      </c>
      <c r="AY1240" s="33" t="s">
        <v>1584</v>
      </c>
      <c r="AZ1240" s="33" t="s">
        <v>1584</v>
      </c>
      <c r="BA1240" s="33">
        <v>25</v>
      </c>
      <c r="BB1240" s="41" t="s">
        <v>6295</v>
      </c>
      <c r="BC1240" s="41" t="s">
        <v>1584</v>
      </c>
      <c r="BD1240" s="41"/>
      <c r="BE1240" s="33" t="s">
        <v>2449</v>
      </c>
      <c r="BF1240" s="33" t="s">
        <v>6203</v>
      </c>
      <c r="BG1240" s="33" t="s">
        <v>6203</v>
      </c>
      <c r="BH1240" s="33"/>
      <c r="BI1240" s="250">
        <v>2303.5</v>
      </c>
      <c r="BJ1240" s="250">
        <v>46070</v>
      </c>
      <c r="BK1240" s="254"/>
      <c r="BL1240" s="263">
        <v>3161.9297169680549</v>
      </c>
      <c r="BM1240" s="33" t="s">
        <v>6296</v>
      </c>
      <c r="BN1240" s="33"/>
      <c r="BO1240" s="33">
        <v>15617.73</v>
      </c>
      <c r="BP1240" s="33"/>
      <c r="BQ1240" s="33"/>
      <c r="BR1240" s="33"/>
      <c r="BS1240" s="33"/>
      <c r="BT1240" s="33"/>
      <c r="BU1240" s="246"/>
      <c r="BV1240" s="33"/>
      <c r="BW1240" s="33"/>
      <c r="BX1240" s="33"/>
      <c r="BY1240" s="33"/>
      <c r="BZ1240" s="33"/>
      <c r="CA1240" s="33"/>
      <c r="CB1240" s="33"/>
      <c r="CC1240" s="33"/>
      <c r="CD1240" s="33"/>
      <c r="CE1240" s="33"/>
      <c r="CF1240" s="33"/>
      <c r="CG1240" s="33"/>
      <c r="CH1240" s="33"/>
      <c r="CI1240" s="250">
        <v>15617.73</v>
      </c>
      <c r="CJ1240" s="243">
        <f t="shared" si="279"/>
        <v>4.193617910455762</v>
      </c>
      <c r="CK1240" s="38">
        <f>BL1240/BJ1240</f>
        <v>6.8633160776384955E-2</v>
      </c>
      <c r="CL1240" s="247">
        <f t="shared" si="280"/>
        <v>0.20245770140526537</v>
      </c>
      <c r="CM1240" s="247">
        <v>2.8171348229570792</v>
      </c>
      <c r="CN1240" s="247">
        <f>BJ1240/(10^CM1240)</f>
        <v>70.191316698996275</v>
      </c>
      <c r="CO1240" s="41"/>
      <c r="CP1240" s="143" t="s">
        <v>8388</v>
      </c>
      <c r="CQ1240" s="241">
        <v>3.7646752173993483</v>
      </c>
      <c r="CR1240" s="241">
        <f t="shared" si="281"/>
        <v>2.6849901267887542</v>
      </c>
      <c r="CS1240" s="33"/>
      <c r="CT1240" s="33"/>
      <c r="CU1240" s="250">
        <f>X1240/CI1240</f>
        <v>64.029791781520117</v>
      </c>
      <c r="CV1240" s="337">
        <f>X1240/BJ1240</f>
        <v>21.70609941393532</v>
      </c>
      <c r="CW1240" s="330">
        <f t="shared" si="282"/>
        <v>1</v>
      </c>
      <c r="CX1240" s="330"/>
      <c r="CY1240" s="143" t="s">
        <v>6351</v>
      </c>
    </row>
    <row r="1241" spans="1:103" ht="11.25" customHeight="1" x14ac:dyDescent="0.2">
      <c r="A1241" s="72">
        <v>1648</v>
      </c>
      <c r="B1241" s="241">
        <v>2026</v>
      </c>
      <c r="C1241" s="32" t="s">
        <v>422</v>
      </c>
      <c r="D1241" s="32"/>
      <c r="E1241" s="40"/>
      <c r="F1241" s="40" t="s">
        <v>423</v>
      </c>
      <c r="G1241" s="242">
        <v>64175</v>
      </c>
      <c r="H1241" s="41" t="s">
        <v>424</v>
      </c>
      <c r="I1241" s="41" t="s">
        <v>424</v>
      </c>
      <c r="J1241" s="41" t="s">
        <v>425</v>
      </c>
      <c r="K1241" s="41" t="s">
        <v>426</v>
      </c>
      <c r="L1241" s="41" t="s">
        <v>279</v>
      </c>
      <c r="M1241" s="480" t="s">
        <v>8502</v>
      </c>
      <c r="N1241" s="36" t="s">
        <v>6082</v>
      </c>
      <c r="O1241" s="41" t="s">
        <v>281</v>
      </c>
      <c r="P1241" s="41" t="s">
        <v>6183</v>
      </c>
      <c r="Q1241" s="41" t="s">
        <v>6176</v>
      </c>
      <c r="R1241" s="41" t="s">
        <v>6185</v>
      </c>
      <c r="S1241" s="41" t="s">
        <v>6176</v>
      </c>
      <c r="T1241" s="33">
        <v>46.07</v>
      </c>
      <c r="U1241" s="250">
        <v>1000000.0000000001</v>
      </c>
      <c r="V1241" s="250">
        <v>792099.99999999988</v>
      </c>
      <c r="W1241" s="250">
        <v>183407.97347399619</v>
      </c>
      <c r="X1241" s="250">
        <v>1000000.0000000001</v>
      </c>
      <c r="Y1241" s="415">
        <v>6.96</v>
      </c>
      <c r="Z1241" s="33">
        <v>-0.14000000000000001</v>
      </c>
      <c r="AA1241" s="33">
        <v>-0.31</v>
      </c>
      <c r="AB1241" s="33">
        <v>-0.24</v>
      </c>
      <c r="AC1241" s="33">
        <v>0.90610000000000002</v>
      </c>
      <c r="AD1241" s="33">
        <v>-0.23</v>
      </c>
      <c r="AE1241" s="33">
        <v>-0.19</v>
      </c>
      <c r="AF1241" s="33">
        <f>IF(AA1241=0,AD1241,AA1241)</f>
        <v>-0.31</v>
      </c>
      <c r="AG1241" s="34">
        <v>0.09</v>
      </c>
      <c r="AH1241" s="250">
        <v>5.6699999999999999E-6</v>
      </c>
      <c r="AI1241" s="250">
        <v>5.0000000000000004E-6</v>
      </c>
      <c r="AJ1241" s="34">
        <f t="shared" si="278"/>
        <v>-3.6349832674197451</v>
      </c>
      <c r="AK1241" s="34">
        <f t="shared" si="278"/>
        <v>-3.6895963219766328</v>
      </c>
      <c r="AL1241" s="34">
        <f>IF(AK1241=0,AJ1241,AK1241)</f>
        <v>-3.6895963219766328</v>
      </c>
      <c r="AM1241" s="34">
        <v>-3.1772200000000002</v>
      </c>
      <c r="AN1241" s="251">
        <v>-3.5697999999999999</v>
      </c>
      <c r="AO1241" s="417">
        <v>15.24</v>
      </c>
      <c r="AP1241" s="417"/>
      <c r="AQ1241" s="251" t="s">
        <v>6311</v>
      </c>
      <c r="AR1241" s="251" t="s">
        <v>6311</v>
      </c>
      <c r="AS1241" s="252" t="s">
        <v>5466</v>
      </c>
      <c r="AT1241" s="35" t="s">
        <v>266</v>
      </c>
      <c r="AU1241" s="33">
        <v>2</v>
      </c>
      <c r="AV1241" s="33">
        <v>24</v>
      </c>
      <c r="AW1241" s="33">
        <v>22</v>
      </c>
      <c r="AX1241" s="33">
        <v>28</v>
      </c>
      <c r="AY1241" s="33" t="s">
        <v>1584</v>
      </c>
      <c r="AZ1241" s="33" t="s">
        <v>1584</v>
      </c>
      <c r="BA1241" s="33">
        <v>25</v>
      </c>
      <c r="BB1241" s="41" t="s">
        <v>6295</v>
      </c>
      <c r="BC1241" s="41" t="s">
        <v>1584</v>
      </c>
      <c r="BD1241" s="41"/>
      <c r="BE1241" s="33" t="s">
        <v>2449</v>
      </c>
      <c r="BF1241" s="33" t="s">
        <v>6203</v>
      </c>
      <c r="BG1241" s="33" t="s">
        <v>6203</v>
      </c>
      <c r="BH1241" s="33"/>
      <c r="BI1241" s="250">
        <v>2303.5</v>
      </c>
      <c r="BJ1241" s="250">
        <v>46070</v>
      </c>
      <c r="BK1241" s="254"/>
      <c r="BL1241" s="263">
        <v>3161.9297169680549</v>
      </c>
      <c r="BM1241" s="33">
        <v>0</v>
      </c>
      <c r="BN1241" s="33">
        <v>17552.670000000002</v>
      </c>
      <c r="BO1241" s="33"/>
      <c r="BP1241" s="33"/>
      <c r="BQ1241" s="33"/>
      <c r="BR1241" s="33"/>
      <c r="BS1241" s="33"/>
      <c r="BT1241" s="33"/>
      <c r="BU1241" s="246"/>
      <c r="BV1241" s="33"/>
      <c r="BW1241" s="33"/>
      <c r="BX1241" s="33"/>
      <c r="BY1241" s="33"/>
      <c r="BZ1241" s="33"/>
      <c r="CA1241" s="33"/>
      <c r="CB1241" s="33"/>
      <c r="CC1241" s="33"/>
      <c r="CD1241" s="33"/>
      <c r="CE1241" s="33"/>
      <c r="CF1241" s="33"/>
      <c r="CG1241" s="33"/>
      <c r="CH1241" s="33"/>
      <c r="CI1241" s="250">
        <v>17552.670000000002</v>
      </c>
      <c r="CJ1241" s="243">
        <f t="shared" si="279"/>
        <v>4.2443431879282993</v>
      </c>
      <c r="CK1241" s="38">
        <f>BL1241/BJ1241</f>
        <v>6.8633160776384955E-2</v>
      </c>
      <c r="CL1241" s="247">
        <f t="shared" si="280"/>
        <v>0.1801395295968109</v>
      </c>
      <c r="CM1241" s="247">
        <v>2.8171348229570792</v>
      </c>
      <c r="CN1241" s="247">
        <f>BJ1241/(10^CM1241)</f>
        <v>70.191316698996275</v>
      </c>
      <c r="CO1241" s="41"/>
      <c r="CP1241" s="143" t="s">
        <v>8388</v>
      </c>
      <c r="CQ1241" s="241">
        <v>3.7646752173993483</v>
      </c>
      <c r="CR1241" s="241">
        <f t="shared" si="281"/>
        <v>3.0176437708156807</v>
      </c>
      <c r="CS1241" s="33"/>
      <c r="CT1241" s="33"/>
      <c r="CU1241" s="250">
        <f>X1241/CI1241</f>
        <v>56.971389537887966</v>
      </c>
      <c r="CV1241" s="337">
        <f>X1241/BJ1241</f>
        <v>21.70609941393532</v>
      </c>
      <c r="CW1241" s="330">
        <f t="shared" si="282"/>
        <v>1</v>
      </c>
      <c r="CX1241" s="330"/>
      <c r="CY1241" s="143" t="s">
        <v>6351</v>
      </c>
    </row>
    <row r="1242" spans="1:103" ht="11.25" customHeight="1" x14ac:dyDescent="0.2">
      <c r="A1242" s="72">
        <v>1669</v>
      </c>
      <c r="B1242" s="241">
        <v>1958</v>
      </c>
      <c r="C1242" s="32" t="s">
        <v>7629</v>
      </c>
      <c r="D1242" s="32"/>
      <c r="E1242" s="40"/>
      <c r="F1242" s="40" t="s">
        <v>1845</v>
      </c>
      <c r="G1242" s="242">
        <v>75070</v>
      </c>
      <c r="H1242" s="41" t="s">
        <v>1846</v>
      </c>
      <c r="I1242" s="41" t="s">
        <v>1846</v>
      </c>
      <c r="J1242" s="41" t="s">
        <v>1847</v>
      </c>
      <c r="K1242" s="41" t="s">
        <v>511</v>
      </c>
      <c r="L1242" s="41"/>
      <c r="M1242" s="41" t="s">
        <v>6624</v>
      </c>
      <c r="N1242" s="36" t="s">
        <v>6088</v>
      </c>
      <c r="O1242" s="41"/>
      <c r="P1242" s="41" t="s">
        <v>6172</v>
      </c>
      <c r="Q1242" s="41" t="s">
        <v>6176</v>
      </c>
      <c r="R1242" s="41" t="s">
        <v>6175</v>
      </c>
      <c r="S1242" s="41" t="s">
        <v>6176</v>
      </c>
      <c r="T1242" s="33">
        <v>44.05</v>
      </c>
      <c r="U1242" s="250">
        <v>1000000</v>
      </c>
      <c r="V1242" s="250">
        <v>256800.00000000003</v>
      </c>
      <c r="W1242" s="250">
        <v>71440.734788660862</v>
      </c>
      <c r="X1242" s="250">
        <v>1000000</v>
      </c>
      <c r="Y1242" s="415">
        <v>7</v>
      </c>
      <c r="Z1242" s="33">
        <v>-0.17</v>
      </c>
      <c r="AA1242" s="33">
        <v>-0.34</v>
      </c>
      <c r="AB1242" s="33">
        <v>0.41</v>
      </c>
      <c r="AC1242" s="33">
        <v>0.93489999999999995</v>
      </c>
      <c r="AD1242" s="33">
        <v>0.28999999999999998</v>
      </c>
      <c r="AE1242" s="33">
        <v>-0.16</v>
      </c>
      <c r="AF1242" s="33">
        <f>IF(AA1242=0,AD1242,AA1242)</f>
        <v>-0.34</v>
      </c>
      <c r="AG1242" s="34">
        <v>0.05</v>
      </c>
      <c r="AH1242" s="250">
        <v>6.7799999999999995E-5</v>
      </c>
      <c r="AI1242" s="250">
        <v>6.6699999999999995E-5</v>
      </c>
      <c r="AJ1242" s="34">
        <f t="shared" si="278"/>
        <v>-2.5573366324455886</v>
      </c>
      <c r="AK1242" s="34">
        <f t="shared" si="278"/>
        <v>-2.5644404923961028</v>
      </c>
      <c r="AL1242" s="34">
        <f>IF(AK1242=0,AJ1242,AK1242)</f>
        <v>-2.5644404923961028</v>
      </c>
      <c r="AM1242" s="34">
        <v>-2.7803900000000001</v>
      </c>
      <c r="AN1242" s="251">
        <v>-2.4279999999999999</v>
      </c>
      <c r="AO1242" s="417"/>
      <c r="AP1242" s="417"/>
      <c r="AQ1242" s="251" t="s">
        <v>6311</v>
      </c>
      <c r="AR1242" s="251" t="s">
        <v>6311</v>
      </c>
      <c r="AS1242" s="252" t="s">
        <v>5466</v>
      </c>
      <c r="AT1242" s="35" t="s">
        <v>266</v>
      </c>
      <c r="AU1242" s="33">
        <v>3</v>
      </c>
      <c r="AV1242" s="33">
        <v>24</v>
      </c>
      <c r="AW1242" s="33">
        <v>24</v>
      </c>
      <c r="AX1242" s="33">
        <v>28</v>
      </c>
      <c r="AY1242" s="33" t="s">
        <v>1584</v>
      </c>
      <c r="AZ1242" s="33" t="s">
        <v>1584</v>
      </c>
      <c r="BA1242" s="33">
        <v>25</v>
      </c>
      <c r="BB1242" s="41" t="s">
        <v>6295</v>
      </c>
      <c r="BC1242" s="41" t="s">
        <v>1584</v>
      </c>
      <c r="BD1242" s="41"/>
      <c r="BE1242" s="33" t="s">
        <v>2449</v>
      </c>
      <c r="BF1242" s="33" t="s">
        <v>6203</v>
      </c>
      <c r="BG1242" s="33" t="s">
        <v>6203</v>
      </c>
      <c r="BH1242" s="33"/>
      <c r="BI1242" s="250">
        <v>2.2025000000000001</v>
      </c>
      <c r="BJ1242" s="250">
        <v>44.05</v>
      </c>
      <c r="BK1242" s="254"/>
      <c r="BL1242" s="263">
        <v>3216.7915016643656</v>
      </c>
      <c r="BM1242" s="33" t="s">
        <v>6296</v>
      </c>
      <c r="BN1242" s="33">
        <v>23.831050000000001</v>
      </c>
      <c r="BO1242" s="33"/>
      <c r="BP1242" s="33"/>
      <c r="BQ1242" s="33"/>
      <c r="BR1242" s="33"/>
      <c r="BS1242" s="33"/>
      <c r="BT1242" s="33"/>
      <c r="BU1242" s="246"/>
      <c r="BV1242" s="33"/>
      <c r="BW1242" s="33"/>
      <c r="BX1242" s="33"/>
      <c r="BY1242" s="33"/>
      <c r="BZ1242" s="33"/>
      <c r="CA1242" s="33"/>
      <c r="CB1242" s="33"/>
      <c r="CC1242" s="33"/>
      <c r="CD1242" s="33"/>
      <c r="CE1242" s="33"/>
      <c r="CF1242" s="33"/>
      <c r="CG1242" s="33"/>
      <c r="CH1242" s="33"/>
      <c r="CI1242" s="250">
        <v>23.831050000000001</v>
      </c>
      <c r="CJ1242" s="243">
        <f t="shared" si="279"/>
        <v>1.3771431778546361</v>
      </c>
      <c r="CK1242" s="38">
        <f>BL1242/BJ1242</f>
        <v>73.025913772176295</v>
      </c>
      <c r="CL1242" s="247">
        <f t="shared" si="280"/>
        <v>134.98320475448483</v>
      </c>
      <c r="CM1242" s="247"/>
      <c r="CN1242" s="247"/>
      <c r="CO1242" s="41"/>
      <c r="CP1242" s="143" t="s">
        <v>8388</v>
      </c>
      <c r="CQ1242" s="241">
        <v>1.2727953370537051</v>
      </c>
      <c r="CR1242" s="241">
        <f t="shared" si="281"/>
        <v>1.271592157634422</v>
      </c>
      <c r="CS1242" s="33"/>
      <c r="CT1242" s="33"/>
      <c r="CU1242" s="250">
        <f>X1242/CI1242</f>
        <v>41962.062099655697</v>
      </c>
      <c r="CV1242" s="337">
        <f>X1242/BJ1242</f>
        <v>22701.475595913736</v>
      </c>
      <c r="CW1242" s="330">
        <f t="shared" si="282"/>
        <v>1</v>
      </c>
      <c r="CX1242" s="330"/>
      <c r="CY1242" s="143" t="s">
        <v>6351</v>
      </c>
    </row>
    <row r="1243" spans="1:103" ht="11.25" customHeight="1" x14ac:dyDescent="0.2">
      <c r="A1243" s="72">
        <v>52</v>
      </c>
      <c r="B1243" s="149">
        <v>533</v>
      </c>
      <c r="C1243" s="54" t="s">
        <v>1685</v>
      </c>
      <c r="D1243" s="54" t="s">
        <v>6565</v>
      </c>
      <c r="E1243" s="59"/>
      <c r="F1243" s="59" t="s">
        <v>1686</v>
      </c>
      <c r="G1243" s="151">
        <v>80439320</v>
      </c>
      <c r="H1243" s="55"/>
      <c r="I1243" s="55" t="s">
        <v>7877</v>
      </c>
      <c r="J1243" s="55"/>
      <c r="K1243" s="55"/>
      <c r="L1243" s="55" t="s">
        <v>5527</v>
      </c>
      <c r="M1243" s="55" t="s">
        <v>6613</v>
      </c>
      <c r="N1243" s="60" t="s">
        <v>2342</v>
      </c>
      <c r="O1243" s="55"/>
      <c r="P1243" s="67"/>
      <c r="Q1243" s="67"/>
      <c r="R1243" s="67"/>
      <c r="S1243" s="67"/>
      <c r="T1243" s="56">
        <v>259.52999999999997</v>
      </c>
      <c r="U1243" s="103"/>
      <c r="V1243" s="103"/>
      <c r="W1243" s="103"/>
      <c r="X1243" s="103"/>
      <c r="Y1243" s="162"/>
      <c r="Z1243" s="56"/>
      <c r="AA1243" s="56"/>
      <c r="AB1243" s="56"/>
      <c r="AC1243" s="56"/>
      <c r="AD1243" s="56"/>
      <c r="AE1243" s="56"/>
      <c r="AF1243" s="56"/>
      <c r="AG1243" s="57" t="s">
        <v>5921</v>
      </c>
      <c r="AH1243" s="103"/>
      <c r="AI1243" s="103"/>
      <c r="AJ1243" s="62"/>
      <c r="AK1243" s="62"/>
      <c r="AL1243" s="62"/>
      <c r="AM1243" s="62"/>
      <c r="AN1243" s="154"/>
      <c r="AO1243" s="410"/>
      <c r="AP1243" s="410"/>
      <c r="AQ1243" s="154" t="s">
        <v>5921</v>
      </c>
      <c r="AR1243" s="154" t="s">
        <v>5921</v>
      </c>
      <c r="AS1243" s="149" t="s">
        <v>1687</v>
      </c>
      <c r="AT1243" s="58" t="s">
        <v>266</v>
      </c>
      <c r="AU1243" s="56">
        <v>2</v>
      </c>
      <c r="AV1243" s="56">
        <v>96</v>
      </c>
      <c r="AW1243" s="56">
        <v>96</v>
      </c>
      <c r="AX1243" s="56" t="s">
        <v>8722</v>
      </c>
      <c r="AY1243" s="56" t="s">
        <v>8722</v>
      </c>
      <c r="AZ1243" s="56" t="s">
        <v>8722</v>
      </c>
      <c r="BA1243" s="56" t="s">
        <v>8722</v>
      </c>
      <c r="BB1243" s="55" t="s">
        <v>8722</v>
      </c>
      <c r="BC1243" s="55" t="s">
        <v>8722</v>
      </c>
      <c r="BD1243" s="55"/>
      <c r="BE1243" s="56" t="s">
        <v>8722</v>
      </c>
      <c r="BF1243" s="56" t="s">
        <v>8722</v>
      </c>
      <c r="BG1243" s="56" t="s">
        <v>8722</v>
      </c>
      <c r="BH1243" s="56" t="s">
        <v>8722</v>
      </c>
      <c r="BI1243" s="103" t="s">
        <v>8722</v>
      </c>
      <c r="BJ1243" s="103" t="s">
        <v>8722</v>
      </c>
      <c r="BK1243" s="56"/>
      <c r="BL1243" s="153"/>
      <c r="BM1243" s="55" t="s">
        <v>1640</v>
      </c>
      <c r="BN1243" s="56"/>
      <c r="BO1243" s="56">
        <v>403.43589233888594</v>
      </c>
      <c r="BP1243" s="56"/>
      <c r="BQ1243" s="56">
        <v>335.33673915636302</v>
      </c>
      <c r="BR1243" s="56"/>
      <c r="BS1243" s="56"/>
      <c r="BT1243" s="56"/>
      <c r="BU1243" s="158"/>
      <c r="BV1243" s="56"/>
      <c r="BW1243" s="56"/>
      <c r="BX1243" s="56"/>
      <c r="BY1243" s="56"/>
      <c r="BZ1243" s="56"/>
      <c r="CA1243" s="56"/>
      <c r="CB1243" s="56"/>
      <c r="CC1243" s="56"/>
      <c r="CD1243" s="56"/>
      <c r="CE1243" s="56"/>
      <c r="CF1243" s="56"/>
      <c r="CG1243" s="56"/>
      <c r="CH1243" s="56"/>
      <c r="CI1243" s="103">
        <v>335.33673915636302</v>
      </c>
      <c r="CJ1243" s="103">
        <f t="shared" si="279"/>
        <v>2.5254811369027417</v>
      </c>
      <c r="CK1243" s="57"/>
      <c r="CL1243" s="160">
        <f t="shared" si="280"/>
        <v>0</v>
      </c>
      <c r="CM1243" s="160"/>
      <c r="CN1243" s="160"/>
      <c r="CO1243" s="55" t="s">
        <v>1641</v>
      </c>
      <c r="CP1243" s="497" t="s">
        <v>1688</v>
      </c>
      <c r="CQ1243" s="149">
        <v>2.4517864355242902</v>
      </c>
      <c r="CR1243" s="349">
        <f t="shared" si="281"/>
        <v>1.1849354740507534</v>
      </c>
      <c r="CS1243" s="61" t="s">
        <v>539</v>
      </c>
      <c r="CT1243" s="61"/>
      <c r="CU1243" s="111" t="s">
        <v>6310</v>
      </c>
      <c r="CV1243" s="331"/>
      <c r="CW1243" s="326">
        <f t="shared" si="282"/>
        <v>1</v>
      </c>
      <c r="CX1243" s="326"/>
      <c r="CY1243" s="161" t="s">
        <v>5921</v>
      </c>
    </row>
    <row r="1244" spans="1:103" ht="11.25" customHeight="1" x14ac:dyDescent="0.2">
      <c r="A1244" s="72">
        <v>53</v>
      </c>
      <c r="B1244" s="149">
        <v>584</v>
      </c>
      <c r="C1244" s="54" t="s">
        <v>494</v>
      </c>
      <c r="D1244" s="54" t="s">
        <v>6547</v>
      </c>
      <c r="E1244" s="59"/>
      <c r="F1244" s="59" t="s">
        <v>1767</v>
      </c>
      <c r="G1244" s="151">
        <v>108952</v>
      </c>
      <c r="H1244" s="55" t="s">
        <v>495</v>
      </c>
      <c r="I1244" s="55" t="s">
        <v>495</v>
      </c>
      <c r="J1244" s="55" t="s">
        <v>496</v>
      </c>
      <c r="K1244" s="55" t="s">
        <v>349</v>
      </c>
      <c r="L1244" s="64" t="s">
        <v>5527</v>
      </c>
      <c r="M1244" s="55" t="s">
        <v>497</v>
      </c>
      <c r="N1244" s="60" t="s">
        <v>6381</v>
      </c>
      <c r="O1244" s="55" t="s">
        <v>6086</v>
      </c>
      <c r="P1244" s="67" t="s">
        <v>6184</v>
      </c>
      <c r="Q1244" s="67" t="s">
        <v>6176</v>
      </c>
      <c r="R1244" s="67" t="s">
        <v>6185</v>
      </c>
      <c r="S1244" s="67" t="s">
        <v>6176</v>
      </c>
      <c r="T1244" s="56">
        <v>94.11</v>
      </c>
      <c r="U1244" s="103">
        <v>39463.059105431312</v>
      </c>
      <c r="V1244" s="153">
        <v>31626.823083067095</v>
      </c>
      <c r="W1244" s="153">
        <v>103189.56303903516</v>
      </c>
      <c r="X1244" s="103">
        <v>39463.059105431312</v>
      </c>
      <c r="Y1244" s="410">
        <v>4.91</v>
      </c>
      <c r="Z1244" s="59">
        <v>1.64</v>
      </c>
      <c r="AA1244" s="59">
        <v>1.23</v>
      </c>
      <c r="AB1244" s="59">
        <v>1.67</v>
      </c>
      <c r="AC1244" s="59">
        <v>0.93669999999999998</v>
      </c>
      <c r="AD1244" s="59">
        <v>1.63</v>
      </c>
      <c r="AE1244" s="59">
        <v>1.48</v>
      </c>
      <c r="AF1244" s="59">
        <f t="shared" ref="AF1244:AF1257" si="283">IF(AA1244=0,AD1244,AA1244)</f>
        <v>1.23</v>
      </c>
      <c r="AG1244" s="57">
        <v>1.46</v>
      </c>
      <c r="AH1244" s="103">
        <v>5.6100000000000001E-7</v>
      </c>
      <c r="AI1244" s="103">
        <v>3.3299999999999998E-7</v>
      </c>
      <c r="AJ1244" s="62">
        <f>LOG10(AH1244*1000/(0.08206*298.15))</f>
        <v>-4.6396034650564904</v>
      </c>
      <c r="AK1244" s="62">
        <f>LOG10(AI1244*1000/(0.08206*298.15))</f>
        <v>-4.8661220928063322</v>
      </c>
      <c r="AL1244" s="62">
        <f t="shared" ref="AL1244:AL1257" si="284">IF(AK1244=0,AJ1244,AK1244)</f>
        <v>-4.8661220928063322</v>
      </c>
      <c r="AM1244" s="62">
        <v>-6.4734600000000002</v>
      </c>
      <c r="AN1244" s="154">
        <v>-4.68</v>
      </c>
      <c r="AO1244" s="410">
        <v>9.86</v>
      </c>
      <c r="AP1244" s="410"/>
      <c r="AQ1244" s="154" t="s">
        <v>6311</v>
      </c>
      <c r="AR1244" s="154" t="s">
        <v>6311</v>
      </c>
      <c r="AS1244" s="149" t="s">
        <v>282</v>
      </c>
      <c r="AT1244" s="58" t="s">
        <v>266</v>
      </c>
      <c r="AU1244" s="56">
        <v>2</v>
      </c>
      <c r="AV1244" s="56">
        <v>96</v>
      </c>
      <c r="AW1244" s="56">
        <v>96</v>
      </c>
      <c r="AX1244" s="56" t="s">
        <v>8722</v>
      </c>
      <c r="AY1244" s="56" t="s">
        <v>8722</v>
      </c>
      <c r="AZ1244" s="56" t="s">
        <v>8722</v>
      </c>
      <c r="BA1244" s="56" t="s">
        <v>8722</v>
      </c>
      <c r="BB1244" s="55" t="s">
        <v>8722</v>
      </c>
      <c r="BC1244" s="55" t="s">
        <v>8722</v>
      </c>
      <c r="BD1244" s="55"/>
      <c r="BE1244" s="56" t="s">
        <v>8722</v>
      </c>
      <c r="BF1244" s="56" t="s">
        <v>8722</v>
      </c>
      <c r="BG1244" s="56" t="s">
        <v>8722</v>
      </c>
      <c r="BH1244" s="56" t="s">
        <v>8722</v>
      </c>
      <c r="BI1244" s="103" t="s">
        <v>8722</v>
      </c>
      <c r="BJ1244" s="103" t="s">
        <v>8722</v>
      </c>
      <c r="BK1244" s="56"/>
      <c r="BL1244" s="153">
        <v>162.76153364945489</v>
      </c>
      <c r="BM1244" s="55" t="s">
        <v>1640</v>
      </c>
      <c r="BN1244" s="56"/>
      <c r="BO1244" s="56">
        <v>115</v>
      </c>
      <c r="BP1244" s="56"/>
      <c r="BQ1244" s="56">
        <v>210</v>
      </c>
      <c r="BR1244" s="56"/>
      <c r="BS1244" s="56"/>
      <c r="BT1244" s="56"/>
      <c r="BU1244" s="158"/>
      <c r="BV1244" s="56"/>
      <c r="BW1244" s="56"/>
      <c r="BX1244" s="56"/>
      <c r="BY1244" s="56"/>
      <c r="BZ1244" s="56"/>
      <c r="CA1244" s="56"/>
      <c r="CB1244" s="56"/>
      <c r="CC1244" s="56"/>
      <c r="CD1244" s="56"/>
      <c r="CE1244" s="56"/>
      <c r="CF1244" s="56"/>
      <c r="CG1244" s="56"/>
      <c r="CH1244" s="56"/>
      <c r="CI1244" s="103">
        <v>115</v>
      </c>
      <c r="CJ1244" s="103">
        <f t="shared" si="279"/>
        <v>2.0606978403536118</v>
      </c>
      <c r="CK1244" s="57"/>
      <c r="CL1244" s="160">
        <f t="shared" si="280"/>
        <v>1.4153176839083035</v>
      </c>
      <c r="CM1244" s="160">
        <v>0.96044207232975776</v>
      </c>
      <c r="CN1244" s="160"/>
      <c r="CO1244" s="55" t="s">
        <v>1641</v>
      </c>
      <c r="CP1244" s="497" t="s">
        <v>1688</v>
      </c>
      <c r="CQ1244" s="149">
        <v>1.2958965951606112</v>
      </c>
      <c r="CR1244" s="349">
        <f t="shared" si="281"/>
        <v>5.8183687926676013</v>
      </c>
      <c r="CS1244" s="61" t="s">
        <v>539</v>
      </c>
      <c r="CT1244" s="61"/>
      <c r="CU1244" s="111">
        <f>X1244/CI1244</f>
        <v>343.15703569940268</v>
      </c>
      <c r="CV1244" s="331"/>
      <c r="CW1244" s="326">
        <f t="shared" si="282"/>
        <v>1</v>
      </c>
      <c r="CX1244" s="326"/>
      <c r="CY1244" s="161" t="s">
        <v>6351</v>
      </c>
    </row>
    <row r="1245" spans="1:103" ht="11.25" customHeight="1" x14ac:dyDescent="0.2">
      <c r="A1245" s="72">
        <v>350</v>
      </c>
      <c r="B1245" s="149">
        <v>540</v>
      </c>
      <c r="C1245" s="54" t="s">
        <v>6667</v>
      </c>
      <c r="D1245" s="54" t="s">
        <v>6513</v>
      </c>
      <c r="E1245" s="59"/>
      <c r="F1245" s="59" t="s">
        <v>1699</v>
      </c>
      <c r="G1245" s="151">
        <v>27176870</v>
      </c>
      <c r="H1245" s="55" t="s">
        <v>1700</v>
      </c>
      <c r="I1245" s="55" t="s">
        <v>1700</v>
      </c>
      <c r="J1245" s="55"/>
      <c r="K1245" s="55" t="s">
        <v>426</v>
      </c>
      <c r="L1245" s="55"/>
      <c r="M1245" s="55" t="s">
        <v>6025</v>
      </c>
      <c r="N1245" s="60" t="s">
        <v>2342</v>
      </c>
      <c r="O1245" s="55" t="s">
        <v>2342</v>
      </c>
      <c r="P1245" s="67" t="s">
        <v>6631</v>
      </c>
      <c r="Q1245" s="67" t="s">
        <v>6173</v>
      </c>
      <c r="R1245" s="67" t="s">
        <v>6082</v>
      </c>
      <c r="S1245" s="67" t="s">
        <v>6173</v>
      </c>
      <c r="T1245" s="56">
        <v>326.5</v>
      </c>
      <c r="U1245" s="103"/>
      <c r="V1245" s="103">
        <v>0.70320000000000016</v>
      </c>
      <c r="W1245" s="103">
        <v>5806.0822737770823</v>
      </c>
      <c r="X1245" s="103">
        <v>5806.0822737770823</v>
      </c>
      <c r="Y1245" s="162">
        <v>1.76</v>
      </c>
      <c r="Z1245" s="56">
        <v>4.78</v>
      </c>
      <c r="AA1245" s="56"/>
      <c r="AB1245" s="56">
        <v>4.1500000000000004</v>
      </c>
      <c r="AC1245" s="56">
        <v>0.40200000000000002</v>
      </c>
      <c r="AD1245" s="56">
        <v>5.84</v>
      </c>
      <c r="AE1245" s="56">
        <v>6.77</v>
      </c>
      <c r="AF1245" s="56">
        <f t="shared" si="283"/>
        <v>5.84</v>
      </c>
      <c r="AG1245" s="57">
        <v>5.12</v>
      </c>
      <c r="AH1245" s="103">
        <v>6.2699999999999999E-8</v>
      </c>
      <c r="AI1245" s="103"/>
      <c r="AJ1245" s="62">
        <f t="shared" ref="AJ1245:AJ1257" si="285">LOG10(AH1245*1000/(0.08206*298.15))</f>
        <v>-5.5912987854819356</v>
      </c>
      <c r="AK1245" s="62"/>
      <c r="AL1245" s="62">
        <f t="shared" si="284"/>
        <v>-5.5912987854819356</v>
      </c>
      <c r="AM1245" s="62">
        <v>-12.315449999999998</v>
      </c>
      <c r="AN1245" s="154"/>
      <c r="AO1245" s="410">
        <v>-0.45</v>
      </c>
      <c r="AP1245" s="410"/>
      <c r="AQ1245" s="154" t="s">
        <v>6311</v>
      </c>
      <c r="AR1245" s="154" t="s">
        <v>6311</v>
      </c>
      <c r="AS1245" s="149" t="s">
        <v>6</v>
      </c>
      <c r="AT1245" s="58" t="s">
        <v>266</v>
      </c>
      <c r="AU1245" s="56">
        <v>2</v>
      </c>
      <c r="AV1245" s="56">
        <v>96</v>
      </c>
      <c r="AW1245" s="56">
        <v>96</v>
      </c>
      <c r="AX1245" s="56" t="s">
        <v>8722</v>
      </c>
      <c r="AY1245" s="56" t="s">
        <v>8722</v>
      </c>
      <c r="AZ1245" s="56" t="s">
        <v>8722</v>
      </c>
      <c r="BA1245" s="56" t="s">
        <v>8722</v>
      </c>
      <c r="BB1245" s="55" t="s">
        <v>8722</v>
      </c>
      <c r="BC1245" s="55" t="s">
        <v>8722</v>
      </c>
      <c r="BD1245" s="55"/>
      <c r="BE1245" s="56" t="s">
        <v>8722</v>
      </c>
      <c r="BF1245" s="56" t="s">
        <v>8722</v>
      </c>
      <c r="BG1245" s="56" t="s">
        <v>8722</v>
      </c>
      <c r="BH1245" s="56" t="s">
        <v>8722</v>
      </c>
      <c r="BI1245" s="103" t="s">
        <v>8722</v>
      </c>
      <c r="BJ1245" s="103" t="s">
        <v>8722</v>
      </c>
      <c r="BK1245" s="56"/>
      <c r="BL1245" s="153">
        <v>0.85460452027943845</v>
      </c>
      <c r="BM1245" s="55" t="s">
        <v>1640</v>
      </c>
      <c r="BN1245" s="56"/>
      <c r="BO1245" s="56">
        <v>2.7208333333333332</v>
      </c>
      <c r="BP1245" s="56"/>
      <c r="BQ1245" s="56">
        <v>3.3254629629629626</v>
      </c>
      <c r="BR1245" s="56"/>
      <c r="BS1245" s="56"/>
      <c r="BT1245" s="56"/>
      <c r="BU1245" s="158"/>
      <c r="BV1245" s="56"/>
      <c r="BW1245" s="56"/>
      <c r="BX1245" s="56"/>
      <c r="BY1245" s="56"/>
      <c r="BZ1245" s="56"/>
      <c r="CA1245" s="56"/>
      <c r="CB1245" s="56"/>
      <c r="CC1245" s="56"/>
      <c r="CD1245" s="56"/>
      <c r="CE1245" s="56"/>
      <c r="CF1245" s="56"/>
      <c r="CG1245" s="56"/>
      <c r="CH1245" s="56"/>
      <c r="CI1245" s="103">
        <v>2.7208333333333332</v>
      </c>
      <c r="CJ1245" s="103">
        <f t="shared" si="279"/>
        <v>0.43470193956346787</v>
      </c>
      <c r="CK1245" s="57"/>
      <c r="CL1245" s="160">
        <f t="shared" si="280"/>
        <v>0.31409660775967113</v>
      </c>
      <c r="CM1245" s="160"/>
      <c r="CN1245" s="160"/>
      <c r="CO1245" s="55" t="s">
        <v>1641</v>
      </c>
      <c r="CP1245" s="497" t="s">
        <v>1688</v>
      </c>
      <c r="CQ1245" s="149">
        <v>0.26168640220147926</v>
      </c>
      <c r="CR1245" s="349">
        <f t="shared" si="281"/>
        <v>1.4894143621920866</v>
      </c>
      <c r="CS1245" s="61" t="s">
        <v>539</v>
      </c>
      <c r="CT1245" s="61"/>
      <c r="CU1245" s="111">
        <f>X1245/CI1245</f>
        <v>2133.9352920467072</v>
      </c>
      <c r="CV1245" s="331"/>
      <c r="CW1245" s="326">
        <f t="shared" si="282"/>
        <v>1</v>
      </c>
      <c r="CX1245" s="326"/>
      <c r="CY1245" s="161" t="s">
        <v>5921</v>
      </c>
    </row>
    <row r="1246" spans="1:103" ht="11.25" customHeight="1" x14ac:dyDescent="0.2">
      <c r="A1246" s="72">
        <v>435</v>
      </c>
      <c r="B1246" s="149">
        <v>598</v>
      </c>
      <c r="C1246" s="54" t="s">
        <v>6742</v>
      </c>
      <c r="D1246" s="54" t="s">
        <v>6743</v>
      </c>
      <c r="E1246" s="59"/>
      <c r="F1246" s="59" t="s">
        <v>1793</v>
      </c>
      <c r="G1246" s="151">
        <v>24938918</v>
      </c>
      <c r="H1246" s="55" t="s">
        <v>1794</v>
      </c>
      <c r="I1246" s="55" t="s">
        <v>1794</v>
      </c>
      <c r="J1246" s="55"/>
      <c r="K1246" s="55" t="s">
        <v>426</v>
      </c>
      <c r="L1246" s="55" t="s">
        <v>5527</v>
      </c>
      <c r="M1246" s="55" t="s">
        <v>6616</v>
      </c>
      <c r="N1246" s="60" t="s">
        <v>6082</v>
      </c>
      <c r="O1246" s="55"/>
      <c r="P1246" s="67" t="s">
        <v>6183</v>
      </c>
      <c r="Q1246" s="67" t="s">
        <v>6182</v>
      </c>
      <c r="R1246" s="67" t="s">
        <v>6185</v>
      </c>
      <c r="S1246" s="67" t="s">
        <v>6182</v>
      </c>
      <c r="T1246" s="56">
        <v>552</v>
      </c>
      <c r="U1246" s="103"/>
      <c r="V1246" s="103">
        <v>3.52</v>
      </c>
      <c r="W1246" s="103">
        <v>1485.7272117676569</v>
      </c>
      <c r="X1246" s="103">
        <v>1485.7272117676569</v>
      </c>
      <c r="Y1246" s="162">
        <v>7</v>
      </c>
      <c r="Z1246" s="56">
        <v>3.89</v>
      </c>
      <c r="AA1246" s="56"/>
      <c r="AB1246" s="56">
        <v>5.33</v>
      </c>
      <c r="AC1246" s="56">
        <v>0.47760000000000002</v>
      </c>
      <c r="AD1246" s="56">
        <v>4.7</v>
      </c>
      <c r="AE1246" s="56">
        <v>4.1500000000000004</v>
      </c>
      <c r="AF1246" s="56">
        <f t="shared" si="283"/>
        <v>4.7</v>
      </c>
      <c r="AG1246" s="57">
        <v>4.7</v>
      </c>
      <c r="AH1246" s="103">
        <v>7.3099999999999999E-14</v>
      </c>
      <c r="AI1246" s="103"/>
      <c r="AJ1246" s="62">
        <f t="shared" si="285"/>
        <v>-11.524648949354791</v>
      </c>
      <c r="AK1246" s="62"/>
      <c r="AL1246" s="62">
        <f t="shared" si="284"/>
        <v>-11.524648949354791</v>
      </c>
      <c r="AM1246" s="62">
        <v>-13.72733</v>
      </c>
      <c r="AN1246" s="154"/>
      <c r="AO1246" s="410">
        <v>14.36</v>
      </c>
      <c r="AP1246" s="410"/>
      <c r="AQ1246" s="154" t="s">
        <v>6311</v>
      </c>
      <c r="AR1246" s="154" t="s">
        <v>6311</v>
      </c>
      <c r="AS1246" s="149" t="s">
        <v>63</v>
      </c>
      <c r="AT1246" s="58" t="s">
        <v>266</v>
      </c>
      <c r="AU1246" s="56">
        <v>2</v>
      </c>
      <c r="AV1246" s="56">
        <v>96</v>
      </c>
      <c r="AW1246" s="56">
        <v>96</v>
      </c>
      <c r="AX1246" s="56" t="s">
        <v>8722</v>
      </c>
      <c r="AY1246" s="56" t="s">
        <v>8722</v>
      </c>
      <c r="AZ1246" s="56" t="s">
        <v>8722</v>
      </c>
      <c r="BA1246" s="56" t="s">
        <v>8722</v>
      </c>
      <c r="BB1246" s="55" t="s">
        <v>8722</v>
      </c>
      <c r="BC1246" s="55" t="s">
        <v>8722</v>
      </c>
      <c r="BD1246" s="55"/>
      <c r="BE1246" s="56" t="s">
        <v>8722</v>
      </c>
      <c r="BF1246" s="56" t="s">
        <v>8722</v>
      </c>
      <c r="BG1246" s="56" t="s">
        <v>8722</v>
      </c>
      <c r="BH1246" s="56" t="s">
        <v>8722</v>
      </c>
      <c r="BI1246" s="103" t="s">
        <v>8722</v>
      </c>
      <c r="BJ1246" s="103" t="s">
        <v>8722</v>
      </c>
      <c r="BK1246" s="56"/>
      <c r="BL1246" s="153">
        <v>9.1018584616056515</v>
      </c>
      <c r="BM1246" s="55" t="s">
        <v>1640</v>
      </c>
      <c r="BN1246" s="56"/>
      <c r="BO1246" s="56">
        <v>2</v>
      </c>
      <c r="BP1246" s="56"/>
      <c r="BQ1246" s="56">
        <v>0.87</v>
      </c>
      <c r="BR1246" s="56"/>
      <c r="BS1246" s="56"/>
      <c r="BT1246" s="56"/>
      <c r="BU1246" s="158"/>
      <c r="BV1246" s="56"/>
      <c r="BW1246" s="56"/>
      <c r="BX1246" s="56"/>
      <c r="BY1246" s="56"/>
      <c r="BZ1246" s="56"/>
      <c r="CA1246" s="56"/>
      <c r="CB1246" s="56"/>
      <c r="CC1246" s="56"/>
      <c r="CD1246" s="56"/>
      <c r="CE1246" s="56"/>
      <c r="CF1246" s="56"/>
      <c r="CG1246" s="56"/>
      <c r="CH1246" s="56"/>
      <c r="CI1246" s="103">
        <v>0.87</v>
      </c>
      <c r="CJ1246" s="103">
        <f t="shared" si="279"/>
        <v>-6.0480747381381476E-2</v>
      </c>
      <c r="CK1246" s="57"/>
      <c r="CL1246" s="160">
        <f t="shared" si="280"/>
        <v>10.461906277707646</v>
      </c>
      <c r="CM1246" s="160"/>
      <c r="CN1246" s="160"/>
      <c r="CO1246" s="55" t="s">
        <v>1641</v>
      </c>
      <c r="CP1246" s="497" t="s">
        <v>1688</v>
      </c>
      <c r="CQ1246" s="149">
        <v>0.20956465387098785</v>
      </c>
      <c r="CR1246" s="349">
        <f t="shared" si="281"/>
        <v>0.53697565786807988</v>
      </c>
      <c r="CS1246" s="61" t="s">
        <v>539</v>
      </c>
      <c r="CT1246" s="61"/>
      <c r="CU1246" s="111">
        <f>X1246/CI1246</f>
        <v>1707.7324273191459</v>
      </c>
      <c r="CV1246" s="331"/>
      <c r="CW1246" s="326">
        <f t="shared" si="282"/>
        <v>1</v>
      </c>
      <c r="CX1246" s="326"/>
      <c r="CY1246" s="161" t="s">
        <v>5921</v>
      </c>
    </row>
    <row r="1247" spans="1:103" ht="11.25" customHeight="1" x14ac:dyDescent="0.2">
      <c r="A1247" s="72">
        <v>453</v>
      </c>
      <c r="B1247" s="149">
        <v>596</v>
      </c>
      <c r="C1247" s="54" t="s">
        <v>1535</v>
      </c>
      <c r="D1247" s="54" t="s">
        <v>6500</v>
      </c>
      <c r="E1247" s="59"/>
      <c r="F1247" s="59" t="s">
        <v>1536</v>
      </c>
      <c r="G1247" s="151">
        <v>3380345</v>
      </c>
      <c r="H1247" s="55" t="s">
        <v>1537</v>
      </c>
      <c r="I1247" s="55" t="s">
        <v>7884</v>
      </c>
      <c r="J1247" s="55" t="s">
        <v>1538</v>
      </c>
      <c r="K1247" s="55" t="s">
        <v>349</v>
      </c>
      <c r="L1247" s="55" t="s">
        <v>6067</v>
      </c>
      <c r="M1247" s="55" t="s">
        <v>6082</v>
      </c>
      <c r="N1247" s="60" t="s">
        <v>6082</v>
      </c>
      <c r="O1247" s="65" t="s">
        <v>6083</v>
      </c>
      <c r="P1247" s="67"/>
      <c r="Q1247" s="67"/>
      <c r="R1247" s="67"/>
      <c r="S1247" s="67"/>
      <c r="T1247" s="56">
        <v>289.54000000000002</v>
      </c>
      <c r="U1247" s="103">
        <v>10.000000000000002</v>
      </c>
      <c r="V1247" s="103">
        <v>4.6210000000000004</v>
      </c>
      <c r="W1247" s="103">
        <v>1.4181055935993983</v>
      </c>
      <c r="X1247" s="103">
        <v>10.000000000000002</v>
      </c>
      <c r="Y1247" s="162">
        <v>6.54</v>
      </c>
      <c r="Z1247" s="56">
        <v>4.66</v>
      </c>
      <c r="AA1247" s="56">
        <v>4.76</v>
      </c>
      <c r="AB1247" s="56">
        <v>5.3</v>
      </c>
      <c r="AC1247" s="56">
        <v>0.87380000000000002</v>
      </c>
      <c r="AD1247" s="56">
        <v>5.27</v>
      </c>
      <c r="AE1247" s="56">
        <v>5.17</v>
      </c>
      <c r="AF1247" s="56">
        <f t="shared" si="283"/>
        <v>4.76</v>
      </c>
      <c r="AG1247" s="57">
        <v>4.8499999999999996</v>
      </c>
      <c r="AH1247" s="103">
        <v>4.9900000000000003E-9</v>
      </c>
      <c r="AI1247" s="103"/>
      <c r="AJ1247" s="62">
        <f t="shared" si="285"/>
        <v>-6.6904657806892622</v>
      </c>
      <c r="AK1247" s="62"/>
      <c r="AL1247" s="62">
        <f t="shared" si="284"/>
        <v>-6.6904657806892622</v>
      </c>
      <c r="AM1247" s="62">
        <v>-10.51848</v>
      </c>
      <c r="AN1247" s="154">
        <v>-3.91</v>
      </c>
      <c r="AO1247" s="410">
        <v>7.8</v>
      </c>
      <c r="AP1247" s="410"/>
      <c r="AQ1247" s="154" t="s">
        <v>6311</v>
      </c>
      <c r="AR1247" s="154" t="s">
        <v>6311</v>
      </c>
      <c r="AS1247" s="149" t="s">
        <v>6</v>
      </c>
      <c r="AT1247" s="58" t="s">
        <v>266</v>
      </c>
      <c r="AU1247" s="56">
        <v>2</v>
      </c>
      <c r="AV1247" s="56">
        <v>96</v>
      </c>
      <c r="AW1247" s="56">
        <v>96</v>
      </c>
      <c r="AX1247" s="56" t="s">
        <v>8722</v>
      </c>
      <c r="AY1247" s="56" t="s">
        <v>8722</v>
      </c>
      <c r="AZ1247" s="56" t="s">
        <v>8722</v>
      </c>
      <c r="BA1247" s="56" t="s">
        <v>8722</v>
      </c>
      <c r="BB1247" s="55" t="s">
        <v>8722</v>
      </c>
      <c r="BC1247" s="55" t="s">
        <v>8722</v>
      </c>
      <c r="BD1247" s="55"/>
      <c r="BE1247" s="56" t="s">
        <v>8722</v>
      </c>
      <c r="BF1247" s="56" t="s">
        <v>8722</v>
      </c>
      <c r="BG1247" s="56" t="s">
        <v>8722</v>
      </c>
      <c r="BH1247" s="56" t="s">
        <v>8722</v>
      </c>
      <c r="BI1247" s="103" t="s">
        <v>8722</v>
      </c>
      <c r="BJ1247" s="103" t="s">
        <v>8722</v>
      </c>
      <c r="BK1247" s="56"/>
      <c r="BL1247" s="153">
        <v>0.97132053426667619</v>
      </c>
      <c r="BM1247" s="55" t="s">
        <v>1640</v>
      </c>
      <c r="BN1247" s="56"/>
      <c r="BO1247" s="56">
        <v>0.36</v>
      </c>
      <c r="BP1247" s="56"/>
      <c r="BQ1247" s="56">
        <v>0.28000000000000003</v>
      </c>
      <c r="BR1247" s="56"/>
      <c r="BS1247" s="56"/>
      <c r="BT1247" s="56"/>
      <c r="BU1247" s="158"/>
      <c r="BV1247" s="56"/>
      <c r="BW1247" s="56"/>
      <c r="BX1247" s="56"/>
      <c r="BY1247" s="56"/>
      <c r="BZ1247" s="56"/>
      <c r="CA1247" s="56"/>
      <c r="CB1247" s="56"/>
      <c r="CC1247" s="56"/>
      <c r="CD1247" s="56"/>
      <c r="CE1247" s="56"/>
      <c r="CF1247" s="56"/>
      <c r="CG1247" s="56"/>
      <c r="CH1247" s="56"/>
      <c r="CI1247" s="103">
        <v>0.28000000000000003</v>
      </c>
      <c r="CJ1247" s="103">
        <f t="shared" si="279"/>
        <v>-0.55284196865778079</v>
      </c>
      <c r="CK1247" s="57"/>
      <c r="CL1247" s="160">
        <f t="shared" si="280"/>
        <v>3.4690019080952719</v>
      </c>
      <c r="CM1247" s="160">
        <v>-0.56863623584101308</v>
      </c>
      <c r="CN1247" s="160"/>
      <c r="CO1247" s="55" t="s">
        <v>1641</v>
      </c>
      <c r="CP1247" s="497" t="s">
        <v>1688</v>
      </c>
      <c r="CQ1247" s="149">
        <v>-3.048771733266693E-2</v>
      </c>
      <c r="CR1247" s="349">
        <f t="shared" si="281"/>
        <v>0.30036252645487932</v>
      </c>
      <c r="CS1247" s="61" t="s">
        <v>539</v>
      </c>
      <c r="CT1247" s="61"/>
      <c r="CU1247" s="111">
        <f>X1247/CI1247</f>
        <v>35.714285714285715</v>
      </c>
      <c r="CV1247" s="331"/>
      <c r="CW1247" s="326">
        <f t="shared" si="282"/>
        <v>1</v>
      </c>
      <c r="CX1247" s="326"/>
      <c r="CY1247" s="161" t="s">
        <v>6351</v>
      </c>
    </row>
    <row r="1248" spans="1:103" ht="11.25" customHeight="1" x14ac:dyDescent="0.2">
      <c r="A1248" s="72">
        <v>493</v>
      </c>
      <c r="B1248" s="149">
        <v>595</v>
      </c>
      <c r="C1248" s="54" t="s">
        <v>1788</v>
      </c>
      <c r="D1248" s="54" t="s">
        <v>6781</v>
      </c>
      <c r="E1248" s="59"/>
      <c r="F1248" s="59" t="s">
        <v>1789</v>
      </c>
      <c r="G1248" s="151">
        <v>101202</v>
      </c>
      <c r="H1248" s="55" t="s">
        <v>1790</v>
      </c>
      <c r="I1248" s="55" t="s">
        <v>7908</v>
      </c>
      <c r="J1248" s="55" t="s">
        <v>1791</v>
      </c>
      <c r="K1248" s="55" t="s">
        <v>1292</v>
      </c>
      <c r="L1248" s="55" t="s">
        <v>6064</v>
      </c>
      <c r="M1248" s="55" t="s">
        <v>6065</v>
      </c>
      <c r="N1248" s="60" t="s">
        <v>6082</v>
      </c>
      <c r="O1248" s="55" t="s">
        <v>6086</v>
      </c>
      <c r="P1248" s="67"/>
      <c r="Q1248" s="67"/>
      <c r="R1248" s="67"/>
      <c r="S1248" s="67"/>
      <c r="T1248" s="56">
        <v>315.58</v>
      </c>
      <c r="U1248" s="103"/>
      <c r="V1248" s="103">
        <v>0.64790000000000003</v>
      </c>
      <c r="W1248" s="103">
        <v>0.14096440801100099</v>
      </c>
      <c r="X1248" s="103">
        <v>0.14096440801100099</v>
      </c>
      <c r="Y1248" s="162">
        <v>7</v>
      </c>
      <c r="Z1248" s="56">
        <v>4.9000000000000004</v>
      </c>
      <c r="AA1248" s="56"/>
      <c r="AB1248" s="56">
        <v>5.05</v>
      </c>
      <c r="AC1248" s="56">
        <v>0.84040000000000004</v>
      </c>
      <c r="AD1248" s="56">
        <v>5.23</v>
      </c>
      <c r="AE1248" s="56">
        <v>5.75</v>
      </c>
      <c r="AF1248" s="56">
        <f t="shared" si="283"/>
        <v>5.23</v>
      </c>
      <c r="AG1248" s="57">
        <v>4.74</v>
      </c>
      <c r="AH1248" s="103">
        <v>4.5200000000000003E-11</v>
      </c>
      <c r="AI1248" s="103"/>
      <c r="AJ1248" s="62">
        <f t="shared" si="285"/>
        <v>-8.73342789150127</v>
      </c>
      <c r="AK1248" s="62"/>
      <c r="AL1248" s="62">
        <f t="shared" si="284"/>
        <v>-8.73342789150127</v>
      </c>
      <c r="AM1248" s="62">
        <v>-15.384709999999998</v>
      </c>
      <c r="AN1248" s="154">
        <v>-9.3699999999999992</v>
      </c>
      <c r="AO1248" s="410">
        <v>12.77</v>
      </c>
      <c r="AP1248" s="410">
        <v>-0.34</v>
      </c>
      <c r="AQ1248" s="154" t="s">
        <v>6311</v>
      </c>
      <c r="AR1248" s="154" t="s">
        <v>6311</v>
      </c>
      <c r="AS1248" s="149" t="s">
        <v>1792</v>
      </c>
      <c r="AT1248" s="58" t="s">
        <v>266</v>
      </c>
      <c r="AU1248" s="56">
        <v>2</v>
      </c>
      <c r="AV1248" s="56">
        <v>96</v>
      </c>
      <c r="AW1248" s="56">
        <v>96</v>
      </c>
      <c r="AX1248" s="56" t="s">
        <v>8722</v>
      </c>
      <c r="AY1248" s="56" t="s">
        <v>8722</v>
      </c>
      <c r="AZ1248" s="56" t="s">
        <v>8722</v>
      </c>
      <c r="BA1248" s="56" t="s">
        <v>8722</v>
      </c>
      <c r="BB1248" s="55" t="s">
        <v>8722</v>
      </c>
      <c r="BC1248" s="55" t="s">
        <v>8722</v>
      </c>
      <c r="BD1248" s="55"/>
      <c r="BE1248" s="56" t="s">
        <v>8722</v>
      </c>
      <c r="BF1248" s="56" t="s">
        <v>8722</v>
      </c>
      <c r="BG1248" s="56" t="s">
        <v>8722</v>
      </c>
      <c r="BH1248" s="56" t="s">
        <v>8722</v>
      </c>
      <c r="BI1248" s="103" t="s">
        <v>8722</v>
      </c>
      <c r="BJ1248" s="103" t="s">
        <v>8722</v>
      </c>
      <c r="BK1248" s="56"/>
      <c r="BL1248" s="153">
        <v>0.64449488038087366</v>
      </c>
      <c r="BM1248" s="55" t="s">
        <v>1640</v>
      </c>
      <c r="BN1248" s="56"/>
      <c r="BO1248" s="56"/>
      <c r="BP1248" s="56"/>
      <c r="BQ1248" s="56">
        <v>2.5999176146265728E-2</v>
      </c>
      <c r="BR1248" s="56"/>
      <c r="BS1248" s="56"/>
      <c r="BT1248" s="56"/>
      <c r="BU1248" s="158"/>
      <c r="BV1248" s="56"/>
      <c r="BW1248" s="56"/>
      <c r="BX1248" s="56"/>
      <c r="BY1248" s="56"/>
      <c r="BZ1248" s="56"/>
      <c r="CA1248" s="56"/>
      <c r="CB1248" s="56"/>
      <c r="CC1248" s="56"/>
      <c r="CD1248" s="56"/>
      <c r="CE1248" s="56"/>
      <c r="CF1248" s="56"/>
      <c r="CG1248" s="56"/>
      <c r="CH1248" s="56"/>
      <c r="CI1248" s="103">
        <v>2.5999176146265728E-2</v>
      </c>
      <c r="CJ1248" s="103">
        <f t="shared" si="279"/>
        <v>-1.5850404135983929</v>
      </c>
      <c r="CK1248" s="57"/>
      <c r="CL1248" s="160">
        <f t="shared" si="280"/>
        <v>24.789050112783773</v>
      </c>
      <c r="CM1248" s="160">
        <v>-1.3665315444204138</v>
      </c>
      <c r="CN1248" s="160"/>
      <c r="CO1248" s="55" t="s">
        <v>1641</v>
      </c>
      <c r="CP1248" s="497" t="s">
        <v>1688</v>
      </c>
      <c r="CQ1248" s="149">
        <v>-1.0512625687480355</v>
      </c>
      <c r="CR1248" s="349">
        <f t="shared" si="281"/>
        <v>0.29256485554688105</v>
      </c>
      <c r="CS1248" s="61" t="s">
        <v>539</v>
      </c>
      <c r="CT1248" s="61"/>
      <c r="CU1248" s="111">
        <f>X1248/CI1248</f>
        <v>5.4218798018047112</v>
      </c>
      <c r="CV1248" s="331"/>
      <c r="CW1248" s="326">
        <f t="shared" si="282"/>
        <v>1</v>
      </c>
      <c r="CX1248" s="326"/>
      <c r="CY1248" s="161" t="s">
        <v>6351</v>
      </c>
    </row>
    <row r="1249" spans="1:103" ht="11.25" customHeight="1" x14ac:dyDescent="0.2">
      <c r="A1249" s="72">
        <v>1624</v>
      </c>
      <c r="B1249" s="241">
        <v>2127</v>
      </c>
      <c r="C1249" s="32" t="s">
        <v>312</v>
      </c>
      <c r="D1249" s="32"/>
      <c r="E1249" s="40"/>
      <c r="F1249" s="40" t="s">
        <v>5110</v>
      </c>
      <c r="G1249" s="242">
        <v>54115</v>
      </c>
      <c r="H1249" s="255" t="s">
        <v>313</v>
      </c>
      <c r="I1249" s="255" t="s">
        <v>313</v>
      </c>
      <c r="J1249" s="255" t="s">
        <v>314</v>
      </c>
      <c r="K1249" s="255" t="s">
        <v>315</v>
      </c>
      <c r="L1249" s="255" t="s">
        <v>316</v>
      </c>
      <c r="M1249" s="255" t="s">
        <v>317</v>
      </c>
      <c r="N1249" s="36" t="s">
        <v>6376</v>
      </c>
      <c r="O1249" s="255" t="s">
        <v>2225</v>
      </c>
      <c r="P1249" s="255"/>
      <c r="Q1249" s="255" t="s">
        <v>6173</v>
      </c>
      <c r="R1249" s="255" t="s">
        <v>6185</v>
      </c>
      <c r="S1249" s="255" t="s">
        <v>6176</v>
      </c>
      <c r="T1249" s="43">
        <v>162.26</v>
      </c>
      <c r="U1249" s="256">
        <v>1000184.9226406954</v>
      </c>
      <c r="V1249" s="256">
        <v>1000184.9226406954</v>
      </c>
      <c r="W1249" s="256">
        <v>44690.114940365078</v>
      </c>
      <c r="X1249" s="256">
        <v>1000184.9226406954</v>
      </c>
      <c r="Y1249" s="416">
        <v>11</v>
      </c>
      <c r="Z1249" s="43">
        <v>1</v>
      </c>
      <c r="AA1249" s="43">
        <v>1.17</v>
      </c>
      <c r="AB1249" s="43">
        <v>0.86</v>
      </c>
      <c r="AC1249" s="43">
        <v>0.84609999999999996</v>
      </c>
      <c r="AD1249" s="43">
        <v>0.82</v>
      </c>
      <c r="AE1249" s="43">
        <v>0.72</v>
      </c>
      <c r="AF1249" s="43">
        <f t="shared" si="283"/>
        <v>1.17</v>
      </c>
      <c r="AG1249" s="44">
        <v>1.37</v>
      </c>
      <c r="AH1249" s="256">
        <v>3E-9</v>
      </c>
      <c r="AI1249" s="256"/>
      <c r="AJ1249" s="34">
        <f t="shared" si="285"/>
        <v>-6.9114450715929898</v>
      </c>
      <c r="AK1249" s="34"/>
      <c r="AL1249" s="34">
        <f t="shared" si="284"/>
        <v>-6.9114450715929898</v>
      </c>
      <c r="AM1249" s="34">
        <v>-8.0645500000000006</v>
      </c>
      <c r="AN1249" s="257">
        <v>-6.7946999999999997</v>
      </c>
      <c r="AO1249" s="417"/>
      <c r="AP1249" s="417">
        <v>8</v>
      </c>
      <c r="AQ1249" s="257" t="s">
        <v>6311</v>
      </c>
      <c r="AR1249" s="257" t="s">
        <v>6311</v>
      </c>
      <c r="AS1249" s="252" t="s">
        <v>5466</v>
      </c>
      <c r="AT1249" s="35" t="s">
        <v>266</v>
      </c>
      <c r="AU1249" s="43">
        <v>5</v>
      </c>
      <c r="AV1249" s="43">
        <v>25</v>
      </c>
      <c r="AW1249" s="43">
        <v>20</v>
      </c>
      <c r="AX1249" s="43">
        <v>28</v>
      </c>
      <c r="AY1249" s="43" t="s">
        <v>267</v>
      </c>
      <c r="AZ1249" s="43" t="s">
        <v>5820</v>
      </c>
      <c r="BA1249" s="43"/>
      <c r="BB1249" s="255" t="s">
        <v>5821</v>
      </c>
      <c r="BC1249" s="421" t="s">
        <v>8377</v>
      </c>
      <c r="BD1249" s="255"/>
      <c r="BE1249" s="43" t="s">
        <v>2449</v>
      </c>
      <c r="BF1249" s="43"/>
      <c r="BG1249" s="43"/>
      <c r="BH1249" s="43" t="s">
        <v>5626</v>
      </c>
      <c r="BI1249" s="256"/>
      <c r="BJ1249" s="256">
        <v>8.1129999999999995</v>
      </c>
      <c r="BK1249" s="258"/>
      <c r="BL1249" s="263">
        <v>1054.1719877713674</v>
      </c>
      <c r="BM1249" s="43"/>
      <c r="BN1249" s="43" t="e">
        <v>#VALUE!</v>
      </c>
      <c r="BO1249" s="43"/>
      <c r="BP1249" s="43"/>
      <c r="BQ1249" s="43"/>
      <c r="BR1249" s="43"/>
      <c r="BS1249" s="43"/>
      <c r="BT1249" s="43"/>
      <c r="BU1249" s="259"/>
      <c r="BV1249" s="43"/>
      <c r="BW1249" s="43"/>
      <c r="BX1249" s="43"/>
      <c r="BY1249" s="43"/>
      <c r="BZ1249" s="43"/>
      <c r="CA1249" s="43"/>
      <c r="CB1249" s="43"/>
      <c r="CC1249" s="43"/>
      <c r="CD1249" s="43"/>
      <c r="CE1249" s="43"/>
      <c r="CF1249" s="43"/>
      <c r="CG1249" s="43"/>
      <c r="CH1249" s="43"/>
      <c r="CI1249" s="256"/>
      <c r="CJ1249" s="243"/>
      <c r="CK1249" s="260">
        <f t="shared" ref="CK1249:CK1257" si="286">BL1249/BJ1249</f>
        <v>129.93615034775885</v>
      </c>
      <c r="CL1249" s="247"/>
      <c r="CM1249" s="247">
        <v>0.60214029478566033</v>
      </c>
      <c r="CN1249" s="247">
        <f>BJ1249/(10^CM1249)</f>
        <v>2.0278750000000003</v>
      </c>
      <c r="CO1249" s="255"/>
      <c r="CP1249" s="258" t="s">
        <v>8376</v>
      </c>
      <c r="CQ1249" s="241">
        <v>0.66922824680230242</v>
      </c>
      <c r="CR1249" s="241">
        <f t="shared" si="281"/>
        <v>0.21417646843905963</v>
      </c>
      <c r="CS1249" s="43"/>
      <c r="CT1249" s="43"/>
      <c r="CU1249" s="250"/>
      <c r="CV1249" s="337">
        <f t="shared" ref="CV1249:CV1257" si="287">X1249/BJ1249</f>
        <v>123281.76046353944</v>
      </c>
      <c r="CW1249" s="330">
        <f>IF(CV1249&lt;1,0,1)</f>
        <v>1</v>
      </c>
      <c r="CX1249" s="330"/>
      <c r="CY1249" s="143" t="s">
        <v>6351</v>
      </c>
    </row>
    <row r="1250" spans="1:103" ht="11.25" customHeight="1" x14ac:dyDescent="0.2">
      <c r="A1250" s="72">
        <v>1673</v>
      </c>
      <c r="B1250" s="241">
        <v>2133</v>
      </c>
      <c r="C1250" s="32" t="s">
        <v>6144</v>
      </c>
      <c r="D1250" s="32"/>
      <c r="E1250" s="40"/>
      <c r="F1250" s="40" t="s">
        <v>1185</v>
      </c>
      <c r="G1250" s="242">
        <v>76879</v>
      </c>
      <c r="H1250" s="41" t="s">
        <v>1186</v>
      </c>
      <c r="I1250" s="41" t="s">
        <v>1186</v>
      </c>
      <c r="J1250" s="41" t="s">
        <v>1187</v>
      </c>
      <c r="K1250" s="41" t="s">
        <v>403</v>
      </c>
      <c r="L1250" s="36" t="s">
        <v>5929</v>
      </c>
      <c r="M1250" s="265" t="s">
        <v>6079</v>
      </c>
      <c r="N1250" s="36" t="s">
        <v>6381</v>
      </c>
      <c r="O1250" s="45" t="s">
        <v>6083</v>
      </c>
      <c r="P1250" s="41"/>
      <c r="Q1250" s="41"/>
      <c r="R1250" s="41"/>
      <c r="S1250" s="41"/>
      <c r="T1250" s="33">
        <v>367.02</v>
      </c>
      <c r="U1250" s="250">
        <v>0.39998910170830726</v>
      </c>
      <c r="V1250" s="250">
        <v>4.7208713729122964</v>
      </c>
      <c r="W1250" s="250">
        <v>8.6037885979871778</v>
      </c>
      <c r="X1250" s="250">
        <v>0.39998910170830726</v>
      </c>
      <c r="Y1250" s="415">
        <v>4.71</v>
      </c>
      <c r="Z1250" s="33">
        <v>3.47</v>
      </c>
      <c r="AA1250" s="33">
        <v>3.53</v>
      </c>
      <c r="AB1250" s="33">
        <v>2.85</v>
      </c>
      <c r="AC1250" s="33">
        <v>0.71630000000000005</v>
      </c>
      <c r="AD1250" s="33">
        <v>3.09</v>
      </c>
      <c r="AE1250" s="33">
        <v>3.53</v>
      </c>
      <c r="AF1250" s="33">
        <f t="shared" si="283"/>
        <v>3.53</v>
      </c>
      <c r="AG1250" s="34">
        <v>3.09</v>
      </c>
      <c r="AH1250" s="250">
        <v>4.5900000000000001E-8</v>
      </c>
      <c r="AI1250" s="250">
        <v>4.2599999999999998E-7</v>
      </c>
      <c r="AJ1250" s="34">
        <f t="shared" si="285"/>
        <v>-5.7267536407753905</v>
      </c>
      <c r="AK1250" s="34">
        <f>LOG10(AI1250*1000/(0.08206*298.15))</f>
        <v>-4.7591567272099331</v>
      </c>
      <c r="AL1250" s="34">
        <f t="shared" si="284"/>
        <v>-4.7591567272099331</v>
      </c>
      <c r="AM1250" s="34">
        <v>-11.08738</v>
      </c>
      <c r="AN1250" s="251">
        <v>-9.7452000000000005</v>
      </c>
      <c r="AO1250" s="417">
        <v>3.98</v>
      </c>
      <c r="AP1250" s="417"/>
      <c r="AQ1250" s="251" t="s">
        <v>6311</v>
      </c>
      <c r="AR1250" s="251" t="s">
        <v>6311</v>
      </c>
      <c r="AS1250" s="252" t="s">
        <v>5466</v>
      </c>
      <c r="AT1250" s="35" t="s">
        <v>266</v>
      </c>
      <c r="AU1250" s="33">
        <v>5</v>
      </c>
      <c r="AV1250" s="33">
        <v>25</v>
      </c>
      <c r="AW1250" s="33">
        <v>20</v>
      </c>
      <c r="AX1250" s="33">
        <v>28</v>
      </c>
      <c r="AY1250" s="33" t="s">
        <v>267</v>
      </c>
      <c r="AZ1250" s="33" t="s">
        <v>5820</v>
      </c>
      <c r="BA1250" s="33"/>
      <c r="BB1250" s="41" t="s">
        <v>5821</v>
      </c>
      <c r="BC1250" s="41" t="s">
        <v>8377</v>
      </c>
      <c r="BD1250" s="41"/>
      <c r="BE1250" s="33" t="s">
        <v>2449</v>
      </c>
      <c r="BF1250" s="33"/>
      <c r="BG1250" s="33"/>
      <c r="BH1250" s="33" t="s">
        <v>5626</v>
      </c>
      <c r="BI1250" s="250"/>
      <c r="BJ1250" s="250">
        <v>18.350999999999999</v>
      </c>
      <c r="BK1250" s="254"/>
      <c r="BL1250" s="263">
        <v>14.423900933040166</v>
      </c>
      <c r="BM1250" s="33"/>
      <c r="BN1250" s="33" t="e">
        <v>#VALUE!</v>
      </c>
      <c r="BO1250" s="33"/>
      <c r="BP1250" s="33"/>
      <c r="BQ1250" s="33"/>
      <c r="BR1250" s="33"/>
      <c r="BS1250" s="33"/>
      <c r="BT1250" s="33"/>
      <c r="BU1250" s="246"/>
      <c r="BV1250" s="33"/>
      <c r="BW1250" s="33"/>
      <c r="BX1250" s="33"/>
      <c r="BY1250" s="33"/>
      <c r="BZ1250" s="33"/>
      <c r="CA1250" s="33"/>
      <c r="CB1250" s="33"/>
      <c r="CC1250" s="33"/>
      <c r="CD1250" s="33"/>
      <c r="CE1250" s="33"/>
      <c r="CF1250" s="33"/>
      <c r="CG1250" s="33"/>
      <c r="CH1250" s="33"/>
      <c r="CI1250" s="250"/>
      <c r="CJ1250" s="243"/>
      <c r="CK1250" s="38">
        <f t="shared" si="286"/>
        <v>0.78600081374530906</v>
      </c>
      <c r="CL1250" s="247"/>
      <c r="CM1250" s="247">
        <v>-1.7733845187934385</v>
      </c>
      <c r="CN1250" s="247">
        <f>BJ1250/(10^CM1250)</f>
        <v>1089.0410594671011</v>
      </c>
      <c r="CO1250" s="41"/>
      <c r="CP1250" s="258" t="s">
        <v>8376</v>
      </c>
      <c r="CQ1250" s="241">
        <v>-1.6417859970347155</v>
      </c>
      <c r="CR1250" s="241">
        <f t="shared" si="281"/>
        <v>43.831466060342237</v>
      </c>
      <c r="CS1250" s="33"/>
      <c r="CT1250" s="33"/>
      <c r="CU1250" s="250"/>
      <c r="CV1250" s="337">
        <f t="shared" si="287"/>
        <v>2.1796583385554319E-2</v>
      </c>
      <c r="CW1250" s="330">
        <f>IF(CV1250&lt;1,0,1)</f>
        <v>0</v>
      </c>
      <c r="CX1250" s="330"/>
      <c r="CY1250" s="143" t="s">
        <v>5921</v>
      </c>
    </row>
    <row r="1251" spans="1:103" ht="11.25" customHeight="1" x14ac:dyDescent="0.2">
      <c r="A1251" s="72">
        <v>1674</v>
      </c>
      <c r="B1251" s="241">
        <v>2132</v>
      </c>
      <c r="C1251" s="32" t="s">
        <v>1531</v>
      </c>
      <c r="D1251" s="32"/>
      <c r="E1251" s="40"/>
      <c r="F1251" s="40" t="s">
        <v>1532</v>
      </c>
      <c r="G1251" s="242">
        <v>78488</v>
      </c>
      <c r="H1251" s="41" t="s">
        <v>1533</v>
      </c>
      <c r="I1251" s="41" t="s">
        <v>1533</v>
      </c>
      <c r="J1251" s="41" t="s">
        <v>1534</v>
      </c>
      <c r="K1251" s="41" t="s">
        <v>637</v>
      </c>
      <c r="L1251" s="36" t="s">
        <v>6018</v>
      </c>
      <c r="M1251" s="36" t="s">
        <v>6019</v>
      </c>
      <c r="N1251" s="36" t="s">
        <v>6376</v>
      </c>
      <c r="O1251" s="42" t="s">
        <v>6020</v>
      </c>
      <c r="P1251" s="41"/>
      <c r="Q1251" s="41"/>
      <c r="R1251" s="41"/>
      <c r="S1251" s="41"/>
      <c r="T1251" s="33">
        <v>314.51</v>
      </c>
      <c r="U1251" s="250">
        <v>2.2999999999999998</v>
      </c>
      <c r="V1251" s="250">
        <v>0.13689999999999999</v>
      </c>
      <c r="W1251" s="250">
        <v>128.12517117217132</v>
      </c>
      <c r="X1251" s="250">
        <v>2.2999999999999998</v>
      </c>
      <c r="Y1251" s="415">
        <v>7</v>
      </c>
      <c r="Z1251" s="33">
        <v>5.75</v>
      </c>
      <c r="AA1251" s="33">
        <v>5.7</v>
      </c>
      <c r="AB1251" s="33">
        <v>4.28</v>
      </c>
      <c r="AC1251" s="33">
        <v>0.81089999999999995</v>
      </c>
      <c r="AD1251" s="33">
        <v>3.95</v>
      </c>
      <c r="AE1251" s="33">
        <v>3.23</v>
      </c>
      <c r="AF1251" s="33">
        <f t="shared" si="283"/>
        <v>5.7</v>
      </c>
      <c r="AG1251" s="34">
        <v>5.3</v>
      </c>
      <c r="AH1251" s="250">
        <v>5.2799999999999996E-7</v>
      </c>
      <c r="AI1251" s="250">
        <v>2.9400000000000001E-7</v>
      </c>
      <c r="AJ1251" s="34">
        <f t="shared" si="285"/>
        <v>-4.6659324037788394</v>
      </c>
      <c r="AK1251" s="34">
        <f>LOG10(AI1251*1000/(0.08206*298.15))</f>
        <v>-4.9202189959004947</v>
      </c>
      <c r="AL1251" s="34">
        <f t="shared" si="284"/>
        <v>-4.9202189959004947</v>
      </c>
      <c r="AM1251" s="34">
        <v>-8.7748200000000001</v>
      </c>
      <c r="AN1251" s="251">
        <v>-4.3357000000000001</v>
      </c>
      <c r="AO1251" s="417"/>
      <c r="AP1251" s="417"/>
      <c r="AQ1251" s="251" t="s">
        <v>6312</v>
      </c>
      <c r="AR1251" s="251" t="s">
        <v>6312</v>
      </c>
      <c r="AS1251" s="252" t="s">
        <v>5466</v>
      </c>
      <c r="AT1251" s="35" t="s">
        <v>266</v>
      </c>
      <c r="AU1251" s="33">
        <v>5</v>
      </c>
      <c r="AV1251" s="33">
        <v>25</v>
      </c>
      <c r="AW1251" s="33">
        <v>20</v>
      </c>
      <c r="AX1251" s="33">
        <v>28</v>
      </c>
      <c r="AY1251" s="33" t="s">
        <v>267</v>
      </c>
      <c r="AZ1251" s="33" t="s">
        <v>5820</v>
      </c>
      <c r="BA1251" s="33"/>
      <c r="BB1251" s="41" t="s">
        <v>5821</v>
      </c>
      <c r="BC1251" s="41" t="s">
        <v>8377</v>
      </c>
      <c r="BD1251" s="41"/>
      <c r="BE1251" s="33" t="s">
        <v>2449</v>
      </c>
      <c r="BF1251" s="33"/>
      <c r="BG1251" s="33"/>
      <c r="BH1251" s="33" t="s">
        <v>5626</v>
      </c>
      <c r="BI1251" s="250"/>
      <c r="BJ1251" s="250">
        <v>15.7255</v>
      </c>
      <c r="BK1251" s="254"/>
      <c r="BL1251" s="263">
        <v>0.11075400979685472</v>
      </c>
      <c r="BM1251" s="33"/>
      <c r="BN1251" s="33" t="e">
        <v>#VALUE!</v>
      </c>
      <c r="BO1251" s="33"/>
      <c r="BP1251" s="33"/>
      <c r="BQ1251" s="33"/>
      <c r="BR1251" s="33"/>
      <c r="BS1251" s="33"/>
      <c r="BT1251" s="33"/>
      <c r="BU1251" s="246"/>
      <c r="BV1251" s="33"/>
      <c r="BW1251" s="33"/>
      <c r="BX1251" s="33"/>
      <c r="BY1251" s="33"/>
      <c r="BZ1251" s="33"/>
      <c r="CA1251" s="33"/>
      <c r="CB1251" s="33"/>
      <c r="CC1251" s="33"/>
      <c r="CD1251" s="33"/>
      <c r="CE1251" s="33"/>
      <c r="CF1251" s="33"/>
      <c r="CG1251" s="33"/>
      <c r="CH1251" s="33"/>
      <c r="CI1251" s="250"/>
      <c r="CJ1251" s="243"/>
      <c r="CK1251" s="38">
        <f t="shared" si="286"/>
        <v>7.0429563318721005E-3</v>
      </c>
      <c r="CL1251" s="247"/>
      <c r="CM1251" s="247">
        <v>-0.2157603277923166</v>
      </c>
      <c r="CN1251" s="247">
        <f>BJ1251/(10^CM1251)</f>
        <v>25.844301015131634</v>
      </c>
      <c r="CO1251" s="41"/>
      <c r="CP1251" s="258" t="s">
        <v>8376</v>
      </c>
      <c r="CQ1251" s="241">
        <v>-0.13899423553928716</v>
      </c>
      <c r="CR1251" s="241">
        <f t="shared" si="281"/>
        <v>1.3771911890918287</v>
      </c>
      <c r="CS1251" s="33"/>
      <c r="CT1251" s="33"/>
      <c r="CU1251" s="250"/>
      <c r="CV1251" s="337">
        <f t="shared" si="287"/>
        <v>0.14625926043687004</v>
      </c>
      <c r="CW1251" s="330">
        <f>IF(CV1251&lt;1,0,1)</f>
        <v>0</v>
      </c>
      <c r="CX1251" s="330"/>
      <c r="CY1251" s="143" t="s">
        <v>5921</v>
      </c>
    </row>
    <row r="1252" spans="1:103" ht="11.25" customHeight="1" x14ac:dyDescent="0.2">
      <c r="A1252" s="72">
        <v>1682</v>
      </c>
      <c r="B1252" s="241">
        <v>2122</v>
      </c>
      <c r="C1252" s="32" t="s">
        <v>1874</v>
      </c>
      <c r="D1252" s="32"/>
      <c r="E1252" s="40"/>
      <c r="F1252" s="40" t="s">
        <v>1875</v>
      </c>
      <c r="G1252" s="242">
        <v>83794</v>
      </c>
      <c r="H1252" s="41" t="s">
        <v>1876</v>
      </c>
      <c r="I1252" s="41" t="s">
        <v>1876</v>
      </c>
      <c r="J1252" s="41" t="s">
        <v>1877</v>
      </c>
      <c r="K1252" s="41" t="s">
        <v>1878</v>
      </c>
      <c r="L1252" s="36" t="s">
        <v>617</v>
      </c>
      <c r="M1252" s="36" t="s">
        <v>6099</v>
      </c>
      <c r="N1252" s="36" t="s">
        <v>6381</v>
      </c>
      <c r="O1252" s="36" t="s">
        <v>6100</v>
      </c>
      <c r="P1252" s="41"/>
      <c r="Q1252" s="41" t="s">
        <v>6176</v>
      </c>
      <c r="R1252" s="41" t="s">
        <v>6185</v>
      </c>
      <c r="S1252" s="41" t="s">
        <v>6176</v>
      </c>
      <c r="T1252" s="33">
        <v>394.43</v>
      </c>
      <c r="U1252" s="250">
        <v>0.20000507073677803</v>
      </c>
      <c r="V1252" s="250">
        <v>1.0450264945996652</v>
      </c>
      <c r="W1252" s="250">
        <v>0.27287888985955566</v>
      </c>
      <c r="X1252" s="250">
        <v>0.20000507073677803</v>
      </c>
      <c r="Y1252" s="415">
        <v>7</v>
      </c>
      <c r="Z1252" s="33">
        <v>4.3099999999999996</v>
      </c>
      <c r="AA1252" s="33">
        <v>4.0999999999999996</v>
      </c>
      <c r="AB1252" s="33">
        <v>3.96</v>
      </c>
      <c r="AC1252" s="33">
        <v>0.64770000000000005</v>
      </c>
      <c r="AD1252" s="33">
        <v>4.24</v>
      </c>
      <c r="AE1252" s="33">
        <v>4.6500000000000004</v>
      </c>
      <c r="AF1252" s="33">
        <f t="shared" si="283"/>
        <v>4.0999999999999996</v>
      </c>
      <c r="AG1252" s="34">
        <v>3.51</v>
      </c>
      <c r="AH1252" s="250">
        <v>1.12E-13</v>
      </c>
      <c r="AI1252" s="250"/>
      <c r="AJ1252" s="34">
        <f t="shared" si="285"/>
        <v>-11.33934830364247</v>
      </c>
      <c r="AK1252" s="34"/>
      <c r="AL1252" s="34">
        <f t="shared" si="284"/>
        <v>-11.33934830364247</v>
      </c>
      <c r="AM1252" s="34">
        <v>-18.712900000000001</v>
      </c>
      <c r="AN1252" s="251">
        <v>-12.997</v>
      </c>
      <c r="AO1252" s="417"/>
      <c r="AP1252" s="417"/>
      <c r="AQ1252" s="251" t="s">
        <v>6311</v>
      </c>
      <c r="AR1252" s="251" t="s">
        <v>6311</v>
      </c>
      <c r="AS1252" s="252" t="s">
        <v>5466</v>
      </c>
      <c r="AT1252" s="35" t="s">
        <v>266</v>
      </c>
      <c r="AU1252" s="33">
        <v>5</v>
      </c>
      <c r="AV1252" s="33">
        <v>25</v>
      </c>
      <c r="AW1252" s="33">
        <v>20</v>
      </c>
      <c r="AX1252" s="33">
        <v>28</v>
      </c>
      <c r="AY1252" s="33" t="s">
        <v>267</v>
      </c>
      <c r="AZ1252" s="33" t="s">
        <v>5820</v>
      </c>
      <c r="BA1252" s="33"/>
      <c r="BB1252" s="41" t="s">
        <v>5821</v>
      </c>
      <c r="BC1252" s="41" t="s">
        <v>8377</v>
      </c>
      <c r="BD1252" s="41"/>
      <c r="BE1252" s="33" t="s">
        <v>2449</v>
      </c>
      <c r="BF1252" s="33"/>
      <c r="BG1252" s="33"/>
      <c r="BH1252" s="33" t="s">
        <v>5626</v>
      </c>
      <c r="BI1252" s="250"/>
      <c r="BJ1252" s="250">
        <v>19.721500000000002</v>
      </c>
      <c r="BK1252" s="254"/>
      <c r="BL1252" s="263">
        <v>2.7287197835158148</v>
      </c>
      <c r="BM1252" s="33"/>
      <c r="BN1252" s="33">
        <v>0.14593909999999999</v>
      </c>
      <c r="BO1252" s="33"/>
      <c r="BP1252" s="33"/>
      <c r="BQ1252" s="33"/>
      <c r="BR1252" s="33"/>
      <c r="BS1252" s="33"/>
      <c r="BT1252" s="33"/>
      <c r="BU1252" s="246"/>
      <c r="BV1252" s="33"/>
      <c r="BW1252" s="33"/>
      <c r="BX1252" s="33"/>
      <c r="BY1252" s="33"/>
      <c r="BZ1252" s="33"/>
      <c r="CA1252" s="33"/>
      <c r="CB1252" s="33"/>
      <c r="CC1252" s="33"/>
      <c r="CD1252" s="33"/>
      <c r="CE1252" s="33"/>
      <c r="CF1252" s="33"/>
      <c r="CG1252" s="33"/>
      <c r="CH1252" s="33"/>
      <c r="CI1252" s="250">
        <v>0.14593909999999999</v>
      </c>
      <c r="CJ1252" s="243">
        <f>LOG10(CI1252)</f>
        <v>-0.83582833635002907</v>
      </c>
      <c r="CK1252" s="38">
        <f t="shared" si="286"/>
        <v>0.13836268962887277</v>
      </c>
      <c r="CL1252" s="247">
        <f>BL1252/CI1252</f>
        <v>18.697660760658486</v>
      </c>
      <c r="CM1252" s="247">
        <v>-2.0083986601614678</v>
      </c>
      <c r="CN1252" s="247">
        <f>BJ1252/(10^CM1252)</f>
        <v>2010.6598421694612</v>
      </c>
      <c r="CO1252" s="41"/>
      <c r="CP1252" s="258" t="s">
        <v>8376</v>
      </c>
      <c r="CQ1252" s="241">
        <v>-1.6099760319324279</v>
      </c>
      <c r="CR1252" s="241">
        <f t="shared" si="281"/>
        <v>5.9449430084175958</v>
      </c>
      <c r="CS1252" s="33"/>
      <c r="CT1252" s="33"/>
      <c r="CU1252" s="250">
        <f>X1252/CI1252</f>
        <v>1.3704693994740138</v>
      </c>
      <c r="CV1252" s="337">
        <f t="shared" si="287"/>
        <v>1.01414735561077E-2</v>
      </c>
      <c r="CW1252" s="330">
        <f>IF(CU1252&lt;2,0,1)</f>
        <v>0</v>
      </c>
      <c r="CX1252" s="330"/>
      <c r="CY1252" s="143" t="s">
        <v>5921</v>
      </c>
    </row>
    <row r="1253" spans="1:103" ht="11.25" customHeight="1" x14ac:dyDescent="0.2">
      <c r="A1253" s="72">
        <v>1772</v>
      </c>
      <c r="B1253" s="241">
        <v>2131</v>
      </c>
      <c r="C1253" s="32" t="s">
        <v>1510</v>
      </c>
      <c r="D1253" s="32"/>
      <c r="E1253" s="40"/>
      <c r="F1253" s="40" t="s">
        <v>1511</v>
      </c>
      <c r="G1253" s="242">
        <v>137268</v>
      </c>
      <c r="H1253" s="41" t="s">
        <v>1512</v>
      </c>
      <c r="I1253" s="41" t="s">
        <v>1512</v>
      </c>
      <c r="J1253" s="41" t="s">
        <v>1513</v>
      </c>
      <c r="K1253" s="41" t="s">
        <v>1514</v>
      </c>
      <c r="L1253" s="36" t="s">
        <v>6092</v>
      </c>
      <c r="M1253" s="36" t="s">
        <v>1515</v>
      </c>
      <c r="N1253" s="36" t="s">
        <v>6382</v>
      </c>
      <c r="O1253" s="36" t="s">
        <v>1516</v>
      </c>
      <c r="P1253" s="41"/>
      <c r="Q1253" s="41"/>
      <c r="R1253" s="41"/>
      <c r="S1253" s="41"/>
      <c r="T1253" s="33">
        <v>240.43</v>
      </c>
      <c r="U1253" s="250">
        <v>29.998752287472968</v>
      </c>
      <c r="V1253" s="250">
        <v>9063.6230244551662</v>
      </c>
      <c r="W1253" s="250">
        <v>53.825572334598554</v>
      </c>
      <c r="X1253" s="250">
        <v>29.998752287472968</v>
      </c>
      <c r="Y1253" s="415">
        <v>7</v>
      </c>
      <c r="Z1253" s="33">
        <v>1.7</v>
      </c>
      <c r="AA1253" s="33">
        <v>1.73</v>
      </c>
      <c r="AB1253" s="33">
        <v>2.02</v>
      </c>
      <c r="AC1253" s="33">
        <v>0.82899999999999996</v>
      </c>
      <c r="AD1253" s="33">
        <v>1.94</v>
      </c>
      <c r="AE1253" s="33">
        <v>1.75</v>
      </c>
      <c r="AF1253" s="33">
        <f t="shared" si="283"/>
        <v>1.73</v>
      </c>
      <c r="AG1253" s="34">
        <v>3.34</v>
      </c>
      <c r="AH1253" s="250">
        <v>2.6800000000000001E-5</v>
      </c>
      <c r="AI1253" s="250">
        <v>1.8199999999999999E-7</v>
      </c>
      <c r="AJ1253" s="34">
        <f t="shared" si="285"/>
        <v>-2.960431532283863</v>
      </c>
      <c r="AK1253" s="34">
        <f>LOG10(AI1253*1000/(0.08206*298.15))</f>
        <v>-5.1284949383275773</v>
      </c>
      <c r="AL1253" s="34">
        <f t="shared" si="284"/>
        <v>-5.1284949383275773</v>
      </c>
      <c r="AM1253" s="34">
        <v>-12.009799999999998</v>
      </c>
      <c r="AN1253" s="251">
        <v>-6.0525000000000002</v>
      </c>
      <c r="AO1253" s="417"/>
      <c r="AP1253" s="417">
        <v>0.87</v>
      </c>
      <c r="AQ1253" s="251" t="s">
        <v>6311</v>
      </c>
      <c r="AR1253" s="251" t="s">
        <v>6311</v>
      </c>
      <c r="AS1253" s="252" t="s">
        <v>5466</v>
      </c>
      <c r="AT1253" s="35" t="s">
        <v>266</v>
      </c>
      <c r="AU1253" s="33">
        <v>5</v>
      </c>
      <c r="AV1253" s="33">
        <v>25</v>
      </c>
      <c r="AW1253" s="33">
        <v>20</v>
      </c>
      <c r="AX1253" s="33">
        <v>28</v>
      </c>
      <c r="AY1253" s="33" t="s">
        <v>267</v>
      </c>
      <c r="AZ1253" s="33" t="s">
        <v>5820</v>
      </c>
      <c r="BA1253" s="33"/>
      <c r="BB1253" s="41" t="s">
        <v>5821</v>
      </c>
      <c r="BC1253" s="41" t="s">
        <v>8377</v>
      </c>
      <c r="BD1253" s="41"/>
      <c r="BE1253" s="33" t="s">
        <v>2449</v>
      </c>
      <c r="BF1253" s="33"/>
      <c r="BG1253" s="33"/>
      <c r="BH1253" s="33" t="s">
        <v>5626</v>
      </c>
      <c r="BI1253" s="250"/>
      <c r="BJ1253" s="250">
        <v>0.05</v>
      </c>
      <c r="BK1253" s="254"/>
      <c r="BL1253" s="263">
        <v>367.29807855829171</v>
      </c>
      <c r="BM1253" s="33"/>
      <c r="BN1253" s="33">
        <v>3.3660200000000002</v>
      </c>
      <c r="BO1253" s="33"/>
      <c r="BP1253" s="33"/>
      <c r="BQ1253" s="33"/>
      <c r="BR1253" s="33"/>
      <c r="BS1253" s="33"/>
      <c r="BT1253" s="33"/>
      <c r="BU1253" s="246"/>
      <c r="BV1253" s="33"/>
      <c r="BW1253" s="33"/>
      <c r="BX1253" s="33"/>
      <c r="BY1253" s="33"/>
      <c r="BZ1253" s="33"/>
      <c r="CA1253" s="33"/>
      <c r="CB1253" s="33"/>
      <c r="CC1253" s="33"/>
      <c r="CD1253" s="33"/>
      <c r="CE1253" s="33"/>
      <c r="CF1253" s="33"/>
      <c r="CG1253" s="33"/>
      <c r="CH1253" s="33"/>
      <c r="CI1253" s="250">
        <v>3.3660200000000002</v>
      </c>
      <c r="CJ1253" s="243">
        <f>LOG10(CI1253)</f>
        <v>0.52711669211034384</v>
      </c>
      <c r="CK1253" s="38">
        <f t="shared" si="286"/>
        <v>7345.9615711658334</v>
      </c>
      <c r="CL1253" s="247">
        <f>BL1253/CI1253</f>
        <v>109.11939874340963</v>
      </c>
      <c r="CM1253" s="247">
        <v>-1.6644947249863906</v>
      </c>
      <c r="CN1253" s="247">
        <f>BJ1253/(10^CM1253)</f>
        <v>2.3092169111700418</v>
      </c>
      <c r="CO1253" s="41"/>
      <c r="CP1253" s="258" t="s">
        <v>8376</v>
      </c>
      <c r="CQ1253" s="241">
        <v>-1.2976425233538103</v>
      </c>
      <c r="CR1253" s="241">
        <f t="shared" si="281"/>
        <v>66.797347243557653</v>
      </c>
      <c r="CS1253" s="33"/>
      <c r="CT1253" s="33"/>
      <c r="CU1253" s="250">
        <f>X1253/CI1253</f>
        <v>8.91223233595551</v>
      </c>
      <c r="CV1253" s="337">
        <f t="shared" si="287"/>
        <v>599.97504574945935</v>
      </c>
      <c r="CW1253" s="330">
        <f>IF(CU1253&lt;2,0,1)</f>
        <v>1</v>
      </c>
      <c r="CX1253" s="330"/>
      <c r="CY1253" s="143" t="s">
        <v>6351</v>
      </c>
    </row>
    <row r="1254" spans="1:103" ht="11.25" customHeight="1" x14ac:dyDescent="0.2">
      <c r="A1254" s="72">
        <v>1787</v>
      </c>
      <c r="B1254" s="241">
        <v>2124</v>
      </c>
      <c r="C1254" s="32" t="s">
        <v>7687</v>
      </c>
      <c r="D1254" s="32"/>
      <c r="E1254" s="40"/>
      <c r="F1254" s="40" t="s">
        <v>5827</v>
      </c>
      <c r="G1254" s="242">
        <v>311455</v>
      </c>
      <c r="H1254" s="41" t="s">
        <v>5828</v>
      </c>
      <c r="I1254" s="41" t="s">
        <v>5828</v>
      </c>
      <c r="J1254" s="41" t="s">
        <v>5829</v>
      </c>
      <c r="K1254" s="41" t="s">
        <v>637</v>
      </c>
      <c r="L1254" s="41"/>
      <c r="M1254" s="41"/>
      <c r="N1254" s="36"/>
      <c r="O1254" s="41"/>
      <c r="P1254" s="41"/>
      <c r="Q1254" s="41"/>
      <c r="R1254" s="41"/>
      <c r="S1254" s="41"/>
      <c r="T1254" s="33">
        <v>275.2</v>
      </c>
      <c r="U1254" s="250">
        <v>3640</v>
      </c>
      <c r="V1254" s="250">
        <v>141.69999999999999</v>
      </c>
      <c r="W1254" s="250">
        <v>850.44930302774014</v>
      </c>
      <c r="X1254" s="250">
        <v>3640</v>
      </c>
      <c r="Y1254" s="415">
        <v>7</v>
      </c>
      <c r="Z1254" s="33">
        <v>1.97</v>
      </c>
      <c r="AA1254" s="33">
        <v>1.98</v>
      </c>
      <c r="AB1254" s="33">
        <v>1.82</v>
      </c>
      <c r="AC1254" s="33">
        <v>0.87560000000000004</v>
      </c>
      <c r="AD1254" s="33">
        <v>1.94</v>
      </c>
      <c r="AE1254" s="33">
        <v>2.31</v>
      </c>
      <c r="AF1254" s="33">
        <f t="shared" si="283"/>
        <v>1.98</v>
      </c>
      <c r="AG1254" s="34">
        <v>1.94</v>
      </c>
      <c r="AH1254" s="250">
        <v>6.4099999999999996E-10</v>
      </c>
      <c r="AI1254" s="250">
        <v>1.09E-10</v>
      </c>
      <c r="AJ1254" s="34">
        <f t="shared" si="285"/>
        <v>-7.5817082967938347</v>
      </c>
      <c r="AK1254" s="34">
        <f>LOG10(AI1254*1000/(0.08206*298.15))</f>
        <v>-8.3511398283720286</v>
      </c>
      <c r="AL1254" s="34">
        <f t="shared" si="284"/>
        <v>-8.3511398283720286</v>
      </c>
      <c r="AM1254" s="34">
        <v>-13.123759999999999</v>
      </c>
      <c r="AN1254" s="251"/>
      <c r="AO1254" s="417"/>
      <c r="AP1254" s="417"/>
      <c r="AQ1254" s="251" t="s">
        <v>6314</v>
      </c>
      <c r="AR1254" s="251" t="s">
        <v>6314</v>
      </c>
      <c r="AS1254" s="252" t="s">
        <v>5466</v>
      </c>
      <c r="AT1254" s="35" t="s">
        <v>266</v>
      </c>
      <c r="AU1254" s="33">
        <v>5</v>
      </c>
      <c r="AV1254" s="33">
        <v>25</v>
      </c>
      <c r="AW1254" s="33">
        <v>20</v>
      </c>
      <c r="AX1254" s="33">
        <v>28</v>
      </c>
      <c r="AY1254" s="33" t="s">
        <v>267</v>
      </c>
      <c r="AZ1254" s="33" t="s">
        <v>5820</v>
      </c>
      <c r="BA1254" s="33"/>
      <c r="BB1254" s="41" t="s">
        <v>5821</v>
      </c>
      <c r="BC1254" s="41" t="s">
        <v>8377</v>
      </c>
      <c r="BD1254" s="41"/>
      <c r="BE1254" s="33" t="s">
        <v>2449</v>
      </c>
      <c r="BF1254" s="33"/>
      <c r="BG1254" s="33"/>
      <c r="BH1254" s="33" t="s">
        <v>5626</v>
      </c>
      <c r="BI1254" s="250"/>
      <c r="BJ1254" s="250">
        <v>13.76</v>
      </c>
      <c r="BK1254" s="254"/>
      <c r="BL1254" s="263">
        <v>240.54228355220854</v>
      </c>
      <c r="BM1254" s="33"/>
      <c r="BN1254" s="33" t="e">
        <v>#VALUE!</v>
      </c>
      <c r="BO1254" s="33"/>
      <c r="BP1254" s="33"/>
      <c r="BQ1254" s="33"/>
      <c r="BR1254" s="33"/>
      <c r="BS1254" s="33"/>
      <c r="BT1254" s="33"/>
      <c r="BU1254" s="246"/>
      <c r="BV1254" s="33"/>
      <c r="BW1254" s="33"/>
      <c r="BX1254" s="33"/>
      <c r="BY1254" s="33"/>
      <c r="BZ1254" s="33"/>
      <c r="CA1254" s="33"/>
      <c r="CB1254" s="33"/>
      <c r="CC1254" s="33"/>
      <c r="CD1254" s="33"/>
      <c r="CE1254" s="33"/>
      <c r="CF1254" s="33"/>
      <c r="CG1254" s="33"/>
      <c r="CH1254" s="33"/>
      <c r="CI1254" s="250"/>
      <c r="CJ1254" s="243"/>
      <c r="CK1254" s="38">
        <f t="shared" si="286"/>
        <v>17.481270606991899</v>
      </c>
      <c r="CL1254" s="247"/>
      <c r="CM1254" s="247"/>
      <c r="CN1254" s="247"/>
      <c r="CO1254" s="41"/>
      <c r="CP1254" s="258" t="s">
        <v>8376</v>
      </c>
      <c r="CQ1254" s="241">
        <v>-0.54177302572503749</v>
      </c>
      <c r="CR1254" s="241">
        <f t="shared" si="281"/>
        <v>3.4815531191139577</v>
      </c>
      <c r="CS1254" s="33"/>
      <c r="CT1254" s="33"/>
      <c r="CU1254" s="250"/>
      <c r="CV1254" s="337">
        <f t="shared" si="287"/>
        <v>264.53488372093022</v>
      </c>
      <c r="CW1254" s="330">
        <f>IF(CV1254&lt;1,0,1)</f>
        <v>1</v>
      </c>
      <c r="CX1254" s="330"/>
      <c r="CY1254" s="143" t="s">
        <v>5921</v>
      </c>
    </row>
    <row r="1255" spans="1:103" ht="11.25" customHeight="1" x14ac:dyDescent="0.2">
      <c r="A1255" s="72">
        <v>1849</v>
      </c>
      <c r="B1255" s="241">
        <v>2128</v>
      </c>
      <c r="C1255" s="32" t="s">
        <v>1406</v>
      </c>
      <c r="D1255" s="32"/>
      <c r="E1255" s="40"/>
      <c r="F1255" s="40" t="s">
        <v>1407</v>
      </c>
      <c r="G1255" s="242">
        <v>2312358</v>
      </c>
      <c r="H1255" s="41" t="s">
        <v>1408</v>
      </c>
      <c r="I1255" s="41" t="s">
        <v>7902</v>
      </c>
      <c r="J1255" s="41" t="s">
        <v>1409</v>
      </c>
      <c r="K1255" s="41" t="s">
        <v>426</v>
      </c>
      <c r="L1255" s="41" t="s">
        <v>617</v>
      </c>
      <c r="M1255" s="41" t="s">
        <v>1410</v>
      </c>
      <c r="N1255" s="36" t="s">
        <v>6381</v>
      </c>
      <c r="O1255" s="41" t="s">
        <v>918</v>
      </c>
      <c r="P1255" s="41"/>
      <c r="Q1255" s="41"/>
      <c r="R1255" s="41"/>
      <c r="S1255" s="41"/>
      <c r="T1255" s="33">
        <v>350.48</v>
      </c>
      <c r="U1255" s="250">
        <v>0.2150061346192256</v>
      </c>
      <c r="V1255" s="250">
        <v>0.33050943019373985</v>
      </c>
      <c r="W1255" s="250">
        <v>1.8821890399184629</v>
      </c>
      <c r="X1255" s="250">
        <v>0.2150061346192256</v>
      </c>
      <c r="Y1255" s="415">
        <v>7</v>
      </c>
      <c r="Z1255" s="33">
        <v>5.57</v>
      </c>
      <c r="AA1255" s="33">
        <v>5</v>
      </c>
      <c r="AB1255" s="33">
        <v>4.05</v>
      </c>
      <c r="AC1255" s="33">
        <v>0.67020000000000002</v>
      </c>
      <c r="AD1255" s="33">
        <v>4.33</v>
      </c>
      <c r="AE1255" s="33">
        <v>4.8099999999999996</v>
      </c>
      <c r="AF1255" s="33">
        <f t="shared" si="283"/>
        <v>5</v>
      </c>
      <c r="AG1255" s="34">
        <v>4.45</v>
      </c>
      <c r="AH1255" s="250">
        <v>9.1699999999999994E-8</v>
      </c>
      <c r="AI1255" s="250">
        <v>6.4000000000000001E-7</v>
      </c>
      <c r="AJ1255" s="34">
        <f t="shared" si="285"/>
        <v>-5.4261969906426311</v>
      </c>
      <c r="AK1255" s="34">
        <f>LOG10(AI1255*1000/(0.08206*298.15))</f>
        <v>-4.5823863523287649</v>
      </c>
      <c r="AL1255" s="34">
        <f t="shared" si="284"/>
        <v>-4.5823863523287649</v>
      </c>
      <c r="AM1255" s="34">
        <v>-17.54712</v>
      </c>
      <c r="AN1255" s="251">
        <v>-6.2981999999999996E-2</v>
      </c>
      <c r="AO1255" s="417"/>
      <c r="AP1255" s="417"/>
      <c r="AQ1255" s="251" t="s">
        <v>6311</v>
      </c>
      <c r="AR1255" s="251" t="s">
        <v>6311</v>
      </c>
      <c r="AS1255" s="252" t="s">
        <v>5466</v>
      </c>
      <c r="AT1255" s="35" t="s">
        <v>266</v>
      </c>
      <c r="AU1255" s="33">
        <v>5</v>
      </c>
      <c r="AV1255" s="33">
        <v>25</v>
      </c>
      <c r="AW1255" s="33">
        <v>20</v>
      </c>
      <c r="AX1255" s="33">
        <v>28</v>
      </c>
      <c r="AY1255" s="33" t="s">
        <v>267</v>
      </c>
      <c r="AZ1255" s="33" t="s">
        <v>5820</v>
      </c>
      <c r="BA1255" s="33"/>
      <c r="BB1255" s="41" t="s">
        <v>5821</v>
      </c>
      <c r="BC1255" s="41" t="s">
        <v>8377</v>
      </c>
      <c r="BD1255" s="41"/>
      <c r="BE1255" s="33" t="s">
        <v>2449</v>
      </c>
      <c r="BF1255" s="33"/>
      <c r="BG1255" s="33"/>
      <c r="BH1255" s="33" t="s">
        <v>5626</v>
      </c>
      <c r="BI1255" s="250"/>
      <c r="BJ1255" s="250">
        <v>17.524000000000001</v>
      </c>
      <c r="BK1255" s="254"/>
      <c r="BL1255" s="263">
        <v>0.17907965134397744</v>
      </c>
      <c r="BM1255" s="33"/>
      <c r="BN1255" s="33" t="e">
        <v>#VALUE!</v>
      </c>
      <c r="BO1255" s="33"/>
      <c r="BP1255" s="33"/>
      <c r="BQ1255" s="33"/>
      <c r="BR1255" s="33"/>
      <c r="BS1255" s="33"/>
      <c r="BT1255" s="33"/>
      <c r="BU1255" s="246"/>
      <c r="BV1255" s="33"/>
      <c r="BW1255" s="33"/>
      <c r="BX1255" s="33"/>
      <c r="BY1255" s="33"/>
      <c r="BZ1255" s="33"/>
      <c r="CA1255" s="33"/>
      <c r="CB1255" s="33"/>
      <c r="CC1255" s="33"/>
      <c r="CD1255" s="33"/>
      <c r="CE1255" s="33"/>
      <c r="CF1255" s="33"/>
      <c r="CG1255" s="33"/>
      <c r="CH1255" s="33"/>
      <c r="CI1255" s="250"/>
      <c r="CJ1255" s="243"/>
      <c r="CK1255" s="38">
        <f t="shared" si="286"/>
        <v>1.0219108157040482E-2</v>
      </c>
      <c r="CL1255" s="247"/>
      <c r="CM1255" s="247">
        <v>-1.1429485259124699</v>
      </c>
      <c r="CN1255" s="247">
        <f>BJ1255/(10^CM1255)</f>
        <v>243.54643141577836</v>
      </c>
      <c r="CO1255" s="41"/>
      <c r="CP1255" s="258" t="s">
        <v>8376</v>
      </c>
      <c r="CQ1255" s="241">
        <v>-0.88013847871796902</v>
      </c>
      <c r="CR1255" s="241">
        <f t="shared" si="281"/>
        <v>7.5881949290702169</v>
      </c>
      <c r="CS1255" s="33"/>
      <c r="CT1255" s="33"/>
      <c r="CU1255" s="250"/>
      <c r="CV1255" s="337">
        <f t="shared" si="287"/>
        <v>1.2269238451222643E-2</v>
      </c>
      <c r="CW1255" s="330">
        <f>IF(CV1255&lt;1,0,1)</f>
        <v>0</v>
      </c>
      <c r="CX1255" s="330"/>
      <c r="CY1255" s="143" t="s">
        <v>6351</v>
      </c>
    </row>
    <row r="1256" spans="1:103" ht="11.25" customHeight="1" x14ac:dyDescent="0.2">
      <c r="A1256" s="72">
        <v>1907</v>
      </c>
      <c r="B1256" s="241">
        <v>2121</v>
      </c>
      <c r="C1256" s="32" t="s">
        <v>5825</v>
      </c>
      <c r="D1256" s="32" t="s">
        <v>6522</v>
      </c>
      <c r="E1256" s="40"/>
      <c r="F1256" s="242" t="s">
        <v>1316</v>
      </c>
      <c r="G1256" s="242">
        <v>51596102</v>
      </c>
      <c r="H1256" s="41" t="s">
        <v>1317</v>
      </c>
      <c r="I1256" s="41" t="s">
        <v>7882</v>
      </c>
      <c r="J1256" s="41" t="s">
        <v>5826</v>
      </c>
      <c r="K1256" s="41" t="s">
        <v>1318</v>
      </c>
      <c r="L1256" s="41"/>
      <c r="M1256" s="41"/>
      <c r="N1256" s="36" t="s">
        <v>6376</v>
      </c>
      <c r="O1256" s="41"/>
      <c r="P1256" s="41"/>
      <c r="Q1256" s="41"/>
      <c r="R1256" s="41"/>
      <c r="S1256" s="41"/>
      <c r="T1256" s="33">
        <v>528.69000000000005</v>
      </c>
      <c r="U1256" s="250">
        <v>0.88</v>
      </c>
      <c r="V1256" s="250">
        <v>1.3939999999999999E-2</v>
      </c>
      <c r="W1256" s="250">
        <v>29.053676459978753</v>
      </c>
      <c r="X1256" s="250">
        <v>0.88</v>
      </c>
      <c r="Y1256" s="415">
        <v>7</v>
      </c>
      <c r="Z1256" s="33">
        <v>5.21</v>
      </c>
      <c r="AA1256" s="33">
        <v>5.3</v>
      </c>
      <c r="AB1256" s="33">
        <v>5.1100000000000003</v>
      </c>
      <c r="AC1256" s="33">
        <v>0.64639999999999997</v>
      </c>
      <c r="AD1256" s="33">
        <v>5.39</v>
      </c>
      <c r="AE1256" s="33">
        <v>5.85</v>
      </c>
      <c r="AF1256" s="33">
        <f t="shared" si="283"/>
        <v>5.3</v>
      </c>
      <c r="AG1256" s="34">
        <v>5.39</v>
      </c>
      <c r="AH1256" s="250">
        <v>3.7799999999999999E-15</v>
      </c>
      <c r="AI1256" s="250"/>
      <c r="AJ1256" s="34">
        <f t="shared" si="285"/>
        <v>-12.811074526475426</v>
      </c>
      <c r="AK1256" s="34"/>
      <c r="AL1256" s="34">
        <f t="shared" si="284"/>
        <v>-12.811074526475426</v>
      </c>
      <c r="AM1256" s="34">
        <v>-22.732559999999999</v>
      </c>
      <c r="AN1256" s="251"/>
      <c r="AO1256" s="417">
        <v>12.46</v>
      </c>
      <c r="AP1256" s="417"/>
      <c r="AQ1256" s="251" t="s">
        <v>6311</v>
      </c>
      <c r="AR1256" s="251" t="s">
        <v>6311</v>
      </c>
      <c r="AS1256" s="252" t="s">
        <v>5466</v>
      </c>
      <c r="AT1256" s="35" t="s">
        <v>266</v>
      </c>
      <c r="AU1256" s="33">
        <v>5</v>
      </c>
      <c r="AV1256" s="33">
        <v>25</v>
      </c>
      <c r="AW1256" s="33">
        <v>20</v>
      </c>
      <c r="AX1256" s="33">
        <v>28</v>
      </c>
      <c r="AY1256" s="33" t="s">
        <v>267</v>
      </c>
      <c r="AZ1256" s="33" t="s">
        <v>5820</v>
      </c>
      <c r="BA1256" s="33"/>
      <c r="BB1256" s="41" t="s">
        <v>5821</v>
      </c>
      <c r="BC1256" s="41" t="s">
        <v>8377</v>
      </c>
      <c r="BD1256" s="41"/>
      <c r="BE1256" s="33" t="s">
        <v>2449</v>
      </c>
      <c r="BF1256" s="33"/>
      <c r="BG1256" s="33"/>
      <c r="BH1256" s="33" t="s">
        <v>5626</v>
      </c>
      <c r="BI1256" s="250"/>
      <c r="BJ1256" s="250">
        <v>26.434500000000003</v>
      </c>
      <c r="BK1256" s="254"/>
      <c r="BL1256" s="263">
        <v>0.56872208833569926</v>
      </c>
      <c r="BM1256" s="33"/>
      <c r="BN1256" s="33" t="e">
        <v>#VALUE!</v>
      </c>
      <c r="BO1256" s="33"/>
      <c r="BP1256" s="33"/>
      <c r="BQ1256" s="33"/>
      <c r="BR1256" s="33"/>
      <c r="BS1256" s="33"/>
      <c r="BT1256" s="33"/>
      <c r="BU1256" s="246"/>
      <c r="BV1256" s="33"/>
      <c r="BW1256" s="33"/>
      <c r="BX1256" s="33"/>
      <c r="BY1256" s="33"/>
      <c r="BZ1256" s="33"/>
      <c r="CA1256" s="33"/>
      <c r="CB1256" s="33"/>
      <c r="CC1256" s="33"/>
      <c r="CD1256" s="33"/>
      <c r="CE1256" s="33"/>
      <c r="CF1256" s="33"/>
      <c r="CG1256" s="33"/>
      <c r="CH1256" s="33"/>
      <c r="CI1256" s="250"/>
      <c r="CJ1256" s="243"/>
      <c r="CK1256" s="38">
        <f t="shared" si="286"/>
        <v>2.1514387952701931E-2</v>
      </c>
      <c r="CL1256" s="247"/>
      <c r="CM1256" s="247">
        <v>-1.5528419686577812</v>
      </c>
      <c r="CN1256" s="247">
        <f>BJ1256/(10^CM1256)</f>
        <v>944.08928571428703</v>
      </c>
      <c r="CO1256" s="41"/>
      <c r="CP1256" s="258" t="s">
        <v>8376</v>
      </c>
      <c r="CQ1256" s="241">
        <v>-1.4255872241892045</v>
      </c>
      <c r="CR1256" s="241">
        <f t="shared" si="281"/>
        <v>26.643251490760914</v>
      </c>
      <c r="CS1256" s="33"/>
      <c r="CT1256" s="33"/>
      <c r="CU1256" s="250"/>
      <c r="CV1256" s="337">
        <f t="shared" si="287"/>
        <v>3.3289829578770164E-2</v>
      </c>
      <c r="CW1256" s="330">
        <f>IF(CV1256&lt;1,0,1)</f>
        <v>0</v>
      </c>
      <c r="CX1256" s="330"/>
      <c r="CY1256" s="143" t="s">
        <v>5921</v>
      </c>
    </row>
    <row r="1257" spans="1:103" ht="11.25" customHeight="1" x14ac:dyDescent="0.2">
      <c r="A1257" s="72">
        <v>1925</v>
      </c>
      <c r="B1257" s="241">
        <v>2134</v>
      </c>
      <c r="C1257" s="32" t="s">
        <v>3174</v>
      </c>
      <c r="D1257" s="32"/>
      <c r="E1257" s="40"/>
      <c r="F1257" s="40" t="s">
        <v>3175</v>
      </c>
      <c r="G1257" s="242">
        <v>62924703</v>
      </c>
      <c r="H1257" s="41" t="s">
        <v>3176</v>
      </c>
      <c r="I1257" s="41" t="s">
        <v>7962</v>
      </c>
      <c r="J1257" s="41" t="s">
        <v>5830</v>
      </c>
      <c r="K1257" s="41" t="s">
        <v>1011</v>
      </c>
      <c r="L1257" s="36" t="s">
        <v>6040</v>
      </c>
      <c r="M1257" s="36" t="s">
        <v>6082</v>
      </c>
      <c r="N1257" s="36" t="s">
        <v>6082</v>
      </c>
      <c r="O1257" s="41"/>
      <c r="P1257" s="41"/>
      <c r="Q1257" s="41"/>
      <c r="R1257" s="41"/>
      <c r="S1257" s="41"/>
      <c r="T1257" s="33">
        <v>421.74</v>
      </c>
      <c r="U1257" s="250">
        <v>7.0001659829748902E-2</v>
      </c>
      <c r="V1257" s="250">
        <v>4.9721178953358786E-2</v>
      </c>
      <c r="W1257" s="250">
        <v>2.3716183048577741E-2</v>
      </c>
      <c r="X1257" s="250">
        <v>7.0001659829748902E-2</v>
      </c>
      <c r="Y1257" s="415">
        <v>7</v>
      </c>
      <c r="Z1257" s="33">
        <v>6.09</v>
      </c>
      <c r="AA1257" s="33">
        <v>5.45</v>
      </c>
      <c r="AB1257" s="33">
        <v>5.26</v>
      </c>
      <c r="AC1257" s="33">
        <v>0.81359999999999999</v>
      </c>
      <c r="AD1257" s="33">
        <v>5.42</v>
      </c>
      <c r="AE1257" s="33">
        <v>5.91</v>
      </c>
      <c r="AF1257" s="33">
        <f t="shared" si="283"/>
        <v>5.45</v>
      </c>
      <c r="AG1257" s="34">
        <v>4.76</v>
      </c>
      <c r="AH1257" s="250">
        <v>6.3199999999999996E-6</v>
      </c>
      <c r="AI1257" s="250">
        <v>1.9E-6</v>
      </c>
      <c r="AJ1257" s="34">
        <f t="shared" si="285"/>
        <v>-3.5878492480302668</v>
      </c>
      <c r="AK1257" s="34">
        <f>LOG10(AI1257*1000/(0.08206*298.15))</f>
        <v>-4.1098127253598227</v>
      </c>
      <c r="AL1257" s="34">
        <f t="shared" si="284"/>
        <v>-4.1098127253598227</v>
      </c>
      <c r="AM1257" s="34">
        <v>-11.695880000000001</v>
      </c>
      <c r="AN1257" s="251">
        <v>-2.8483000000000001</v>
      </c>
      <c r="AO1257" s="417"/>
      <c r="AP1257" s="417">
        <v>-2.63</v>
      </c>
      <c r="AQ1257" s="251" t="s">
        <v>6311</v>
      </c>
      <c r="AR1257" s="251" t="s">
        <v>6311</v>
      </c>
      <c r="AS1257" s="252" t="s">
        <v>5466</v>
      </c>
      <c r="AT1257" s="35" t="s">
        <v>266</v>
      </c>
      <c r="AU1257" s="33">
        <v>5</v>
      </c>
      <c r="AV1257" s="33">
        <v>25</v>
      </c>
      <c r="AW1257" s="33">
        <v>20</v>
      </c>
      <c r="AX1257" s="33">
        <v>28</v>
      </c>
      <c r="AY1257" s="33" t="s">
        <v>267</v>
      </c>
      <c r="AZ1257" s="33" t="s">
        <v>5820</v>
      </c>
      <c r="BA1257" s="33"/>
      <c r="BB1257" s="41" t="s">
        <v>5821</v>
      </c>
      <c r="BC1257" s="41" t="s">
        <v>8377</v>
      </c>
      <c r="BD1257" s="41"/>
      <c r="BE1257" s="33" t="s">
        <v>2449</v>
      </c>
      <c r="BF1257" s="33"/>
      <c r="BG1257" s="33"/>
      <c r="BH1257" s="33" t="s">
        <v>5626</v>
      </c>
      <c r="BI1257" s="250"/>
      <c r="BJ1257" s="250">
        <v>21.087000000000003</v>
      </c>
      <c r="BK1257" s="254"/>
      <c r="BL1257" s="263">
        <v>7.3521742875151258E-2</v>
      </c>
      <c r="BM1257" s="33"/>
      <c r="BN1257" s="33" t="e">
        <v>#VALUE!</v>
      </c>
      <c r="BO1257" s="33"/>
      <c r="BP1257" s="33"/>
      <c r="BQ1257" s="33"/>
      <c r="BR1257" s="33"/>
      <c r="BS1257" s="33"/>
      <c r="BT1257" s="33"/>
      <c r="BU1257" s="246"/>
      <c r="BV1257" s="33"/>
      <c r="BW1257" s="33"/>
      <c r="BX1257" s="33"/>
      <c r="BY1257" s="33"/>
      <c r="BZ1257" s="33"/>
      <c r="CA1257" s="33"/>
      <c r="CB1257" s="33"/>
      <c r="CC1257" s="33"/>
      <c r="CD1257" s="33"/>
      <c r="CE1257" s="33"/>
      <c r="CF1257" s="33"/>
      <c r="CG1257" s="33"/>
      <c r="CH1257" s="33"/>
      <c r="CI1257" s="250"/>
      <c r="CJ1257" s="243"/>
      <c r="CK1257" s="38">
        <f t="shared" si="286"/>
        <v>3.4865909268815502E-3</v>
      </c>
      <c r="CL1257" s="247"/>
      <c r="CM1257" s="247"/>
      <c r="CN1257" s="247"/>
      <c r="CO1257" s="41"/>
      <c r="CP1257" s="258" t="s">
        <v>8376</v>
      </c>
      <c r="CQ1257" s="241">
        <v>-1.6684026304303026</v>
      </c>
      <c r="CR1257" s="241">
        <f t="shared" si="281"/>
        <v>46.601793426621555</v>
      </c>
      <c r="CS1257" s="33"/>
      <c r="CT1257" s="33"/>
      <c r="CU1257" s="250"/>
      <c r="CV1257" s="337">
        <f t="shared" si="287"/>
        <v>3.3196594977829416E-3</v>
      </c>
      <c r="CW1257" s="330">
        <f>IF(CV1257&lt;1,0,1)</f>
        <v>0</v>
      </c>
      <c r="CX1257" s="330"/>
      <c r="CY1257" s="143" t="s">
        <v>5921</v>
      </c>
    </row>
    <row r="1258" spans="1:103" ht="11.25" customHeight="1" x14ac:dyDescent="0.2">
      <c r="A1258" s="72">
        <v>1936</v>
      </c>
      <c r="B1258" s="241">
        <v>2119</v>
      </c>
      <c r="C1258" s="32" t="s">
        <v>5823</v>
      </c>
      <c r="D1258" s="32" t="s">
        <v>6532</v>
      </c>
      <c r="E1258" s="40"/>
      <c r="F1258" s="40" t="s">
        <v>914</v>
      </c>
      <c r="G1258" s="242">
        <v>71751412</v>
      </c>
      <c r="H1258" s="41" t="s">
        <v>915</v>
      </c>
      <c r="I1258" s="41"/>
      <c r="J1258" s="41" t="s">
        <v>916</v>
      </c>
      <c r="K1258" s="41"/>
      <c r="L1258" s="41" t="s">
        <v>617</v>
      </c>
      <c r="M1258" s="41" t="s">
        <v>917</v>
      </c>
      <c r="N1258" s="36" t="s">
        <v>6376</v>
      </c>
      <c r="O1258" s="41" t="s">
        <v>918</v>
      </c>
      <c r="P1258" s="41"/>
      <c r="Q1258" s="41"/>
      <c r="R1258" s="41"/>
      <c r="S1258" s="41"/>
      <c r="T1258" s="33" t="s">
        <v>5824</v>
      </c>
      <c r="U1258" s="250"/>
      <c r="V1258" s="243"/>
      <c r="W1258" s="243"/>
      <c r="X1258" s="243"/>
      <c r="Y1258" s="415">
        <v>7</v>
      </c>
      <c r="Z1258" s="33"/>
      <c r="AA1258" s="33"/>
      <c r="AB1258" s="33"/>
      <c r="AC1258" s="33"/>
      <c r="AD1258" s="33"/>
      <c r="AE1258" s="33"/>
      <c r="AF1258" s="33"/>
      <c r="AG1258" s="34">
        <v>4.5199999999999996</v>
      </c>
      <c r="AH1258" s="250"/>
      <c r="AI1258" s="250"/>
      <c r="AJ1258" s="34"/>
      <c r="AK1258" s="34"/>
      <c r="AL1258" s="34"/>
      <c r="AM1258" s="34"/>
      <c r="AN1258" s="251">
        <v>-29.896000000000001</v>
      </c>
      <c r="AO1258" s="417">
        <v>12.42</v>
      </c>
      <c r="AP1258" s="417"/>
      <c r="AQ1258" s="251" t="s">
        <v>6311</v>
      </c>
      <c r="AR1258" s="251" t="s">
        <v>6311</v>
      </c>
      <c r="AS1258" s="252" t="s">
        <v>5466</v>
      </c>
      <c r="AT1258" s="35" t="s">
        <v>266</v>
      </c>
      <c r="AU1258" s="33">
        <v>5</v>
      </c>
      <c r="AV1258" s="33">
        <v>25</v>
      </c>
      <c r="AW1258" s="33">
        <v>20</v>
      </c>
      <c r="AX1258" s="33">
        <v>28</v>
      </c>
      <c r="AY1258" s="33" t="s">
        <v>267</v>
      </c>
      <c r="AZ1258" s="33" t="s">
        <v>5820</v>
      </c>
      <c r="BA1258" s="33"/>
      <c r="BB1258" s="41" t="s">
        <v>5821</v>
      </c>
      <c r="BC1258" s="41" t="s">
        <v>8377</v>
      </c>
      <c r="BD1258" s="41"/>
      <c r="BE1258" s="33" t="s">
        <v>2449</v>
      </c>
      <c r="BF1258" s="33"/>
      <c r="BG1258" s="33"/>
      <c r="BH1258" s="33" t="s">
        <v>5626</v>
      </c>
      <c r="BI1258" s="250" t="e">
        <v>#VALUE!</v>
      </c>
      <c r="BJ1258" s="250" t="e">
        <v>#VALUE!</v>
      </c>
      <c r="BK1258" s="254"/>
      <c r="BL1258" s="263" t="e">
        <v>#VALUE!</v>
      </c>
      <c r="BM1258" s="33"/>
      <c r="BN1258" s="33"/>
      <c r="BO1258" s="33"/>
      <c r="BP1258" s="33"/>
      <c r="BQ1258" s="33"/>
      <c r="BR1258" s="33"/>
      <c r="BS1258" s="33"/>
      <c r="BT1258" s="33"/>
      <c r="BU1258" s="246"/>
      <c r="BV1258" s="33"/>
      <c r="BW1258" s="33"/>
      <c r="BX1258" s="33"/>
      <c r="BY1258" s="33"/>
      <c r="BZ1258" s="33"/>
      <c r="CA1258" s="33"/>
      <c r="CB1258" s="33"/>
      <c r="CC1258" s="33"/>
      <c r="CD1258" s="33"/>
      <c r="CE1258" s="33"/>
      <c r="CF1258" s="33"/>
      <c r="CG1258" s="33"/>
      <c r="CH1258" s="33"/>
      <c r="CI1258" s="250"/>
      <c r="CJ1258" s="243"/>
      <c r="CK1258" s="38"/>
      <c r="CL1258" s="247"/>
      <c r="CM1258" s="247"/>
      <c r="CN1258" s="247"/>
      <c r="CO1258" s="41"/>
      <c r="CP1258" s="258" t="s">
        <v>8376</v>
      </c>
      <c r="CQ1258" s="241">
        <v>-0.17118127055118335</v>
      </c>
      <c r="CR1258" s="241">
        <f t="shared" si="281"/>
        <v>1.4831370038142671</v>
      </c>
      <c r="CS1258" s="33"/>
      <c r="CT1258" s="33"/>
      <c r="CU1258" s="250"/>
      <c r="CV1258" s="337"/>
      <c r="CW1258" s="330"/>
      <c r="CX1258" s="330"/>
      <c r="CY1258" s="143" t="s">
        <v>5921</v>
      </c>
    </row>
    <row r="1259" spans="1:103" ht="11.25" customHeight="1" x14ac:dyDescent="0.2">
      <c r="A1259" s="72">
        <v>1947</v>
      </c>
      <c r="B1259" s="241">
        <v>2135</v>
      </c>
      <c r="C1259" s="32" t="s">
        <v>1432</v>
      </c>
      <c r="D1259" s="32" t="s">
        <v>6574</v>
      </c>
      <c r="E1259" s="40"/>
      <c r="F1259" s="40" t="s">
        <v>1433</v>
      </c>
      <c r="G1259" s="242">
        <v>96489713</v>
      </c>
      <c r="H1259" s="41" t="s">
        <v>1434</v>
      </c>
      <c r="I1259" s="41" t="s">
        <v>7915</v>
      </c>
      <c r="J1259" s="41" t="s">
        <v>1435</v>
      </c>
      <c r="K1259" s="41" t="s">
        <v>1436</v>
      </c>
      <c r="L1259" s="36" t="s">
        <v>5951</v>
      </c>
      <c r="M1259" s="36" t="s">
        <v>6011</v>
      </c>
      <c r="N1259" s="36" t="s">
        <v>6381</v>
      </c>
      <c r="O1259" s="36" t="s">
        <v>918</v>
      </c>
      <c r="P1259" s="41"/>
      <c r="Q1259" s="41"/>
      <c r="R1259" s="41"/>
      <c r="S1259" s="41"/>
      <c r="T1259" s="33">
        <v>364.94</v>
      </c>
      <c r="U1259" s="250">
        <v>1.2000328830186612E-2</v>
      </c>
      <c r="V1259" s="250">
        <v>1.8260500369933957E-2</v>
      </c>
      <c r="W1259" s="250">
        <v>5.7839092165675865</v>
      </c>
      <c r="X1259" s="250">
        <v>1.2000328830186612E-2</v>
      </c>
      <c r="Y1259" s="415">
        <v>7</v>
      </c>
      <c r="Z1259" s="33">
        <v>5.47</v>
      </c>
      <c r="AA1259" s="33">
        <v>6.37</v>
      </c>
      <c r="AB1259" s="33">
        <v>5.73</v>
      </c>
      <c r="AC1259" s="33">
        <v>0.73460000000000003</v>
      </c>
      <c r="AD1259" s="33">
        <v>5.44</v>
      </c>
      <c r="AE1259" s="33">
        <v>4.7300000000000004</v>
      </c>
      <c r="AF1259" s="33">
        <f t="shared" ref="AF1259:AF1265" si="288">IF(AA1259=0,AD1259,AA1259)</f>
        <v>6.37</v>
      </c>
      <c r="AG1259" s="34">
        <v>5.59</v>
      </c>
      <c r="AH1259" s="250">
        <v>2.26E-10</v>
      </c>
      <c r="AI1259" s="250">
        <v>4.7200000000000002E-5</v>
      </c>
      <c r="AJ1259" s="34">
        <f>LOG10(AH1259*1000/(0.08206*298.15))</f>
        <v>-8.0344578871652512</v>
      </c>
      <c r="AK1259" s="34">
        <f>LOG10(AI1259*1000/(0.08206*298.15))</f>
        <v>-2.714624327678564</v>
      </c>
      <c r="AL1259" s="34">
        <f t="shared" ref="AL1259:AL1265" si="289">IF(AK1259=0,AJ1259,AK1259)</f>
        <v>-2.714624327678564</v>
      </c>
      <c r="AM1259" s="34">
        <v>-12.987449999999999</v>
      </c>
      <c r="AN1259" s="251">
        <v>-7.0762</v>
      </c>
      <c r="AO1259" s="417"/>
      <c r="AP1259" s="417">
        <v>-2.69</v>
      </c>
      <c r="AQ1259" s="251" t="s">
        <v>6311</v>
      </c>
      <c r="AR1259" s="251" t="s">
        <v>6311</v>
      </c>
      <c r="AS1259" s="252" t="s">
        <v>5466</v>
      </c>
      <c r="AT1259" s="35" t="s">
        <v>266</v>
      </c>
      <c r="AU1259" s="33">
        <v>5</v>
      </c>
      <c r="AV1259" s="33">
        <v>25</v>
      </c>
      <c r="AW1259" s="33">
        <v>20</v>
      </c>
      <c r="AX1259" s="33">
        <v>28</v>
      </c>
      <c r="AY1259" s="33" t="s">
        <v>267</v>
      </c>
      <c r="AZ1259" s="33" t="s">
        <v>5820</v>
      </c>
      <c r="BA1259" s="33"/>
      <c r="BB1259" s="41" t="s">
        <v>5821</v>
      </c>
      <c r="BC1259" s="41" t="s">
        <v>8377</v>
      </c>
      <c r="BD1259" s="41"/>
      <c r="BE1259" s="33" t="s">
        <v>2449</v>
      </c>
      <c r="BF1259" s="33"/>
      <c r="BG1259" s="33"/>
      <c r="BH1259" s="33" t="s">
        <v>5626</v>
      </c>
      <c r="BI1259" s="250"/>
      <c r="BJ1259" s="250">
        <v>18.247</v>
      </c>
      <c r="BK1259" s="254"/>
      <c r="BL1259" s="263">
        <v>0.22930549794217994</v>
      </c>
      <c r="BM1259" s="33"/>
      <c r="BN1259" s="33">
        <v>0.40143400000000001</v>
      </c>
      <c r="BO1259" s="33"/>
      <c r="BP1259" s="33"/>
      <c r="BQ1259" s="33"/>
      <c r="BR1259" s="33"/>
      <c r="BS1259" s="33"/>
      <c r="BT1259" s="33"/>
      <c r="BU1259" s="246"/>
      <c r="BV1259" s="33"/>
      <c r="BW1259" s="33"/>
      <c r="BX1259" s="33"/>
      <c r="BY1259" s="33"/>
      <c r="BZ1259" s="33"/>
      <c r="CA1259" s="33"/>
      <c r="CB1259" s="33"/>
      <c r="CC1259" s="33"/>
      <c r="CD1259" s="33"/>
      <c r="CE1259" s="33"/>
      <c r="CF1259" s="33"/>
      <c r="CG1259" s="33"/>
      <c r="CH1259" s="33"/>
      <c r="CI1259" s="250">
        <v>0.40143400000000001</v>
      </c>
      <c r="CJ1259" s="243">
        <f>LOG10(CI1259)</f>
        <v>-0.39638584712742392</v>
      </c>
      <c r="CK1259" s="38">
        <f t="shared" ref="CK1259:CK1288" si="290">BL1259/BJ1259</f>
        <v>1.2566750585969197E-2</v>
      </c>
      <c r="CL1259" s="247">
        <f>BL1259/CI1259</f>
        <v>0.57121593572587259</v>
      </c>
      <c r="CM1259" s="247">
        <v>-3.0150591771516124</v>
      </c>
      <c r="CN1259" s="247">
        <f>BJ1259/(10^CM1259)</f>
        <v>18890.813010283971</v>
      </c>
      <c r="CO1259" s="41"/>
      <c r="CP1259" s="258" t="s">
        <v>8376</v>
      </c>
      <c r="CQ1259" s="241">
        <v>-2.4142031595460556</v>
      </c>
      <c r="CR1259" s="241">
        <f t="shared" si="281"/>
        <v>104.18790669143209</v>
      </c>
      <c r="CS1259" s="33"/>
      <c r="CT1259" s="33"/>
      <c r="CU1259" s="250">
        <f>X1259/CI1259</f>
        <v>2.9893653328284628E-2</v>
      </c>
      <c r="CV1259" s="337">
        <f t="shared" ref="CV1259:CV1268" si="291">X1259/BJ1259</f>
        <v>6.5766037322226181E-4</v>
      </c>
      <c r="CW1259" s="330">
        <f>IF(CU1259&lt;2,0,1)</f>
        <v>0</v>
      </c>
      <c r="CX1259" s="330"/>
      <c r="CY1259" s="143" t="s">
        <v>5921</v>
      </c>
    </row>
    <row r="1260" spans="1:103" ht="11.25" customHeight="1" x14ac:dyDescent="0.2">
      <c r="A1260" s="72">
        <v>1949</v>
      </c>
      <c r="B1260" s="241">
        <v>2126</v>
      </c>
      <c r="C1260" s="32" t="s">
        <v>1239</v>
      </c>
      <c r="D1260" s="32" t="s">
        <v>6578</v>
      </c>
      <c r="E1260" s="40"/>
      <c r="F1260" s="40" t="s">
        <v>1240</v>
      </c>
      <c r="G1260" s="242">
        <v>117337196</v>
      </c>
      <c r="H1260" s="41" t="s">
        <v>1241</v>
      </c>
      <c r="I1260" s="41" t="s">
        <v>7911</v>
      </c>
      <c r="J1260" s="41" t="s">
        <v>1242</v>
      </c>
      <c r="K1260" s="41" t="s">
        <v>1243</v>
      </c>
      <c r="L1260" s="36" t="s">
        <v>5994</v>
      </c>
      <c r="M1260" s="36" t="s">
        <v>6082</v>
      </c>
      <c r="N1260" s="36" t="s">
        <v>6082</v>
      </c>
      <c r="O1260" s="41"/>
      <c r="P1260" s="41"/>
      <c r="Q1260" s="41"/>
      <c r="R1260" s="41"/>
      <c r="S1260" s="41"/>
      <c r="T1260" s="33">
        <v>403.88</v>
      </c>
      <c r="U1260" s="250">
        <v>0.85</v>
      </c>
      <c r="V1260" s="250">
        <v>1.7479999999999998</v>
      </c>
      <c r="W1260" s="250">
        <v>43.276521699936396</v>
      </c>
      <c r="X1260" s="250">
        <v>0.85</v>
      </c>
      <c r="Y1260" s="415">
        <v>7</v>
      </c>
      <c r="Z1260" s="33">
        <v>2.59</v>
      </c>
      <c r="AA1260" s="33">
        <v>3.77</v>
      </c>
      <c r="AB1260" s="33">
        <v>3.8</v>
      </c>
      <c r="AC1260" s="33">
        <v>0.71419999999999995</v>
      </c>
      <c r="AD1260" s="33">
        <v>3.16</v>
      </c>
      <c r="AE1260" s="33">
        <v>1.4</v>
      </c>
      <c r="AF1260" s="33">
        <f t="shared" si="288"/>
        <v>3.77</v>
      </c>
      <c r="AG1260" s="34">
        <v>3.89</v>
      </c>
      <c r="AH1260" s="250">
        <v>8.7700000000000001E-15</v>
      </c>
      <c r="AI1260" s="250">
        <v>2.0700000000000001E-9</v>
      </c>
      <c r="AJ1260" s="34">
        <f>LOG10(AH1260*1000/(0.08206*298.15))</f>
        <v>-12.445566732946611</v>
      </c>
      <c r="AK1260" s="34">
        <f>LOG10(AI1260*1000/(0.08206*298.15))</f>
        <v>-7.0725959808557342</v>
      </c>
      <c r="AL1260" s="34">
        <f t="shared" si="289"/>
        <v>-7.0725959808557342</v>
      </c>
      <c r="AM1260" s="34">
        <v>-18.93338</v>
      </c>
      <c r="AN1260" s="251">
        <v>-11.395</v>
      </c>
      <c r="AO1260" s="417"/>
      <c r="AP1260" s="417">
        <v>-2.86</v>
      </c>
      <c r="AQ1260" s="251" t="s">
        <v>6311</v>
      </c>
      <c r="AR1260" s="251" t="s">
        <v>6314</v>
      </c>
      <c r="AS1260" s="252" t="s">
        <v>5466</v>
      </c>
      <c r="AT1260" s="35" t="s">
        <v>266</v>
      </c>
      <c r="AU1260" s="33">
        <v>5</v>
      </c>
      <c r="AV1260" s="33">
        <v>25</v>
      </c>
      <c r="AW1260" s="33">
        <v>20</v>
      </c>
      <c r="AX1260" s="33">
        <v>28</v>
      </c>
      <c r="AY1260" s="33" t="s">
        <v>267</v>
      </c>
      <c r="AZ1260" s="33" t="s">
        <v>5820</v>
      </c>
      <c r="BA1260" s="33"/>
      <c r="BB1260" s="41" t="s">
        <v>5821</v>
      </c>
      <c r="BC1260" s="41" t="s">
        <v>8377</v>
      </c>
      <c r="BD1260" s="41"/>
      <c r="BE1260" s="33" t="s">
        <v>2449</v>
      </c>
      <c r="BF1260" s="33"/>
      <c r="BG1260" s="33"/>
      <c r="BH1260" s="33" t="s">
        <v>5626</v>
      </c>
      <c r="BI1260" s="250"/>
      <c r="BJ1260" s="250">
        <v>20.194000000000003</v>
      </c>
      <c r="BK1260" s="254"/>
      <c r="BL1260" s="263">
        <v>97.942987649409488</v>
      </c>
      <c r="BM1260" s="33"/>
      <c r="BN1260" s="33">
        <v>12.156787999999999</v>
      </c>
      <c r="BO1260" s="33"/>
      <c r="BP1260" s="33"/>
      <c r="BQ1260" s="33"/>
      <c r="BR1260" s="33"/>
      <c r="BS1260" s="33"/>
      <c r="BT1260" s="33"/>
      <c r="BU1260" s="246"/>
      <c r="BV1260" s="33"/>
      <c r="BW1260" s="33"/>
      <c r="BX1260" s="33"/>
      <c r="BY1260" s="33"/>
      <c r="BZ1260" s="33"/>
      <c r="CA1260" s="33"/>
      <c r="CB1260" s="33"/>
      <c r="CC1260" s="33"/>
      <c r="CD1260" s="33"/>
      <c r="CE1260" s="33"/>
      <c r="CF1260" s="33"/>
      <c r="CG1260" s="33"/>
      <c r="CH1260" s="33"/>
      <c r="CI1260" s="250">
        <v>12.156787999999999</v>
      </c>
      <c r="CJ1260" s="243">
        <f>LOG10(CI1260)</f>
        <v>1.08481884318152</v>
      </c>
      <c r="CK1260" s="38">
        <f t="shared" si="290"/>
        <v>4.8501033796875053</v>
      </c>
      <c r="CL1260" s="247">
        <f>BL1260/CI1260</f>
        <v>8.0566501323712725</v>
      </c>
      <c r="CM1260" s="247">
        <v>-1.3665315444204142</v>
      </c>
      <c r="CN1260" s="247">
        <f>BJ1260/(10^CM1260)</f>
        <v>469.62790697674518</v>
      </c>
      <c r="CO1260" s="41"/>
      <c r="CP1260" s="258" t="s">
        <v>8376</v>
      </c>
      <c r="CQ1260" s="241">
        <v>-1.1102017543710878</v>
      </c>
      <c r="CR1260" s="241">
        <f t="shared" si="281"/>
        <v>156.68253791408929</v>
      </c>
      <c r="CS1260" s="33"/>
      <c r="CT1260" s="33"/>
      <c r="CU1260" s="250">
        <f>X1260/CI1260</f>
        <v>6.9919784732611942E-2</v>
      </c>
      <c r="CV1260" s="337">
        <f t="shared" si="291"/>
        <v>4.2091710409032382E-2</v>
      </c>
      <c r="CW1260" s="330">
        <f>IF(CU1260&lt;2,0,1)</f>
        <v>0</v>
      </c>
      <c r="CX1260" s="330"/>
      <c r="CY1260" s="143" t="s">
        <v>5921</v>
      </c>
    </row>
    <row r="1261" spans="1:103" ht="11.25" customHeight="1" x14ac:dyDescent="0.2">
      <c r="A1261" s="72">
        <v>1950</v>
      </c>
      <c r="B1261" s="241">
        <v>2125</v>
      </c>
      <c r="C1261" s="32" t="s">
        <v>1428</v>
      </c>
      <c r="D1261" s="32" t="s">
        <v>6584</v>
      </c>
      <c r="E1261" s="40"/>
      <c r="F1261" s="40" t="s">
        <v>1429</v>
      </c>
      <c r="G1261" s="242">
        <v>129630199</v>
      </c>
      <c r="H1261" s="41" t="s">
        <v>1430</v>
      </c>
      <c r="I1261" s="41" t="s">
        <v>7903</v>
      </c>
      <c r="J1261" s="41" t="s">
        <v>1431</v>
      </c>
      <c r="K1261" s="41" t="s">
        <v>341</v>
      </c>
      <c r="L1261" s="36" t="s">
        <v>6010</v>
      </c>
      <c r="M1261" s="36" t="s">
        <v>2342</v>
      </c>
      <c r="N1261" s="36" t="s">
        <v>2342</v>
      </c>
      <c r="O1261" s="41"/>
      <c r="P1261" s="41"/>
      <c r="Q1261" s="41"/>
      <c r="R1261" s="41"/>
      <c r="S1261" s="41"/>
      <c r="T1261" s="33">
        <v>413.17</v>
      </c>
      <c r="U1261" s="250">
        <v>0.99997579747325627</v>
      </c>
      <c r="V1261" s="250">
        <v>2.6529357906965489</v>
      </c>
      <c r="W1261" s="250">
        <v>2.3234256532889623</v>
      </c>
      <c r="X1261" s="250">
        <v>0.99997579747325627</v>
      </c>
      <c r="Y1261" s="415">
        <v>7</v>
      </c>
      <c r="Z1261" s="33">
        <v>4.87</v>
      </c>
      <c r="AA1261" s="33">
        <v>3.49</v>
      </c>
      <c r="AB1261" s="33">
        <v>3.89</v>
      </c>
      <c r="AC1261" s="33">
        <v>0.6179</v>
      </c>
      <c r="AD1261" s="33">
        <v>3.68</v>
      </c>
      <c r="AE1261" s="33">
        <v>3.33</v>
      </c>
      <c r="AF1261" s="33">
        <f t="shared" si="288"/>
        <v>3.49</v>
      </c>
      <c r="AG1261" s="34">
        <v>4.82</v>
      </c>
      <c r="AH1261" s="250">
        <v>1.2E-9</v>
      </c>
      <c r="AI1261" s="250"/>
      <c r="AJ1261" s="34">
        <f>LOG10(AH1261*1000/(0.08206*298.15))</f>
        <v>-7.3093850802650273</v>
      </c>
      <c r="AK1261" s="34"/>
      <c r="AL1261" s="34">
        <f t="shared" si="289"/>
        <v>-7.3093850802650273</v>
      </c>
      <c r="AM1261" s="34">
        <v>-13.619489999999999</v>
      </c>
      <c r="AN1261" s="251">
        <v>-2.1351</v>
      </c>
      <c r="AO1261" s="417"/>
      <c r="AP1261" s="417">
        <v>-2.79</v>
      </c>
      <c r="AQ1261" s="251" t="s">
        <v>6311</v>
      </c>
      <c r="AR1261" s="251" t="s">
        <v>6314</v>
      </c>
      <c r="AS1261" s="252" t="s">
        <v>5466</v>
      </c>
      <c r="AT1261" s="35" t="s">
        <v>266</v>
      </c>
      <c r="AU1261" s="33">
        <v>5</v>
      </c>
      <c r="AV1261" s="33">
        <v>25</v>
      </c>
      <c r="AW1261" s="33">
        <v>20</v>
      </c>
      <c r="AX1261" s="33">
        <v>28</v>
      </c>
      <c r="AY1261" s="33" t="s">
        <v>267</v>
      </c>
      <c r="AZ1261" s="33" t="s">
        <v>5820</v>
      </c>
      <c r="BA1261" s="33"/>
      <c r="BB1261" s="41" t="s">
        <v>5821</v>
      </c>
      <c r="BC1261" s="41" t="s">
        <v>8377</v>
      </c>
      <c r="BD1261" s="41"/>
      <c r="BE1261" s="33" t="s">
        <v>2449</v>
      </c>
      <c r="BF1261" s="33"/>
      <c r="BG1261" s="33"/>
      <c r="BH1261" s="33" t="s">
        <v>5626</v>
      </c>
      <c r="BI1261" s="250"/>
      <c r="BJ1261" s="250">
        <v>20.658500000000004</v>
      </c>
      <c r="BK1261" s="254"/>
      <c r="BL1261" s="263">
        <v>0.89780450476315099</v>
      </c>
      <c r="BM1261" s="33"/>
      <c r="BN1261" s="33" t="e">
        <v>#VALUE!</v>
      </c>
      <c r="BO1261" s="33"/>
      <c r="BP1261" s="33"/>
      <c r="BQ1261" s="33"/>
      <c r="BR1261" s="33"/>
      <c r="BS1261" s="33"/>
      <c r="BT1261" s="33"/>
      <c r="BU1261" s="246"/>
      <c r="BV1261" s="33"/>
      <c r="BW1261" s="33"/>
      <c r="BX1261" s="33"/>
      <c r="BY1261" s="33"/>
      <c r="BZ1261" s="33"/>
      <c r="CA1261" s="33"/>
      <c r="CB1261" s="33"/>
      <c r="CC1261" s="33"/>
      <c r="CD1261" s="33"/>
      <c r="CE1261" s="33"/>
      <c r="CF1261" s="33"/>
      <c r="CG1261" s="33"/>
      <c r="CH1261" s="33"/>
      <c r="CI1261" s="250"/>
      <c r="CJ1261" s="243"/>
      <c r="CK1261" s="38">
        <f t="shared" si="290"/>
        <v>4.3459326899975836E-2</v>
      </c>
      <c r="CL1261" s="247"/>
      <c r="CM1261" s="247">
        <v>0.20410947150491299</v>
      </c>
      <c r="CN1261" s="247">
        <f>BJ1261/(10^CM1261)</f>
        <v>12.911875000000006</v>
      </c>
      <c r="CO1261" s="41"/>
      <c r="CP1261" s="258" t="s">
        <v>8376</v>
      </c>
      <c r="CQ1261" s="241">
        <v>0.36131696126690621</v>
      </c>
      <c r="CR1261" s="241">
        <f t="shared" si="281"/>
        <v>0.43519413988924444</v>
      </c>
      <c r="CS1261" s="33"/>
      <c r="CT1261" s="33"/>
      <c r="CU1261" s="250"/>
      <c r="CV1261" s="337">
        <f t="shared" si="291"/>
        <v>4.8405053487584102E-2</v>
      </c>
      <c r="CW1261" s="330">
        <f>IF(CV1261&lt;1,0,1)</f>
        <v>0</v>
      </c>
      <c r="CX1261" s="330"/>
      <c r="CY1261" s="143" t="s">
        <v>5921</v>
      </c>
    </row>
    <row r="1262" spans="1:103" ht="11.25" customHeight="1" x14ac:dyDescent="0.2">
      <c r="A1262" s="72">
        <v>1951</v>
      </c>
      <c r="B1262" s="241">
        <v>2129</v>
      </c>
      <c r="C1262" s="32" t="s">
        <v>1145</v>
      </c>
      <c r="D1262" s="32"/>
      <c r="E1262" s="40"/>
      <c r="F1262" s="40" t="s">
        <v>1146</v>
      </c>
      <c r="G1262" s="242">
        <v>131807573</v>
      </c>
      <c r="H1262" s="41" t="s">
        <v>1147</v>
      </c>
      <c r="I1262" s="41" t="s">
        <v>1147</v>
      </c>
      <c r="J1262" s="41" t="s">
        <v>1148</v>
      </c>
      <c r="K1262" s="41" t="s">
        <v>1149</v>
      </c>
      <c r="L1262" s="36" t="s">
        <v>5976</v>
      </c>
      <c r="M1262" s="36" t="s">
        <v>2342</v>
      </c>
      <c r="N1262" s="36" t="s">
        <v>2342</v>
      </c>
      <c r="O1262" s="41"/>
      <c r="P1262" s="41"/>
      <c r="Q1262" s="41"/>
      <c r="R1262" s="41"/>
      <c r="S1262" s="41"/>
      <c r="T1262" s="33">
        <v>374.4</v>
      </c>
      <c r="U1262" s="250">
        <v>5.2001388925986269E-2</v>
      </c>
      <c r="V1262" s="250">
        <v>0.47061256978017579</v>
      </c>
      <c r="W1262" s="250">
        <v>1.298182768094277</v>
      </c>
      <c r="X1262" s="250">
        <v>5.2001388925986269E-2</v>
      </c>
      <c r="Y1262" s="415">
        <v>7</v>
      </c>
      <c r="Z1262" s="33">
        <v>4.8899999999999997</v>
      </c>
      <c r="AA1262" s="33">
        <v>4.6500000000000004</v>
      </c>
      <c r="AB1262" s="33">
        <v>4.12</v>
      </c>
      <c r="AC1262" s="33">
        <v>0.81379999999999997</v>
      </c>
      <c r="AD1262" s="33">
        <v>4.2699999999999996</v>
      </c>
      <c r="AE1262" s="33">
        <v>4.76</v>
      </c>
      <c r="AF1262" s="33">
        <f t="shared" si="288"/>
        <v>4.6500000000000004</v>
      </c>
      <c r="AG1262" s="34">
        <v>3.9</v>
      </c>
      <c r="AH1262" s="250">
        <v>2.5799999999999999E-12</v>
      </c>
      <c r="AI1262" s="250">
        <v>4.5499999999999997E-8</v>
      </c>
      <c r="AJ1262" s="34">
        <f>LOG10(AH1262*1000/(0.08206*298.15))</f>
        <v>-9.9769466203494215</v>
      </c>
      <c r="AK1262" s="34">
        <f>LOG10(AI1262*1000/(0.08206*298.15))</f>
        <v>-5.7305549296555398</v>
      </c>
      <c r="AL1262" s="34">
        <f t="shared" si="289"/>
        <v>-5.7305549296555398</v>
      </c>
      <c r="AM1262" s="34">
        <v>-19.723759999999999</v>
      </c>
      <c r="AN1262" s="251">
        <v>-12.24</v>
      </c>
      <c r="AO1262" s="417"/>
      <c r="AP1262" s="417">
        <v>0.63</v>
      </c>
      <c r="AQ1262" s="251" t="s">
        <v>6311</v>
      </c>
      <c r="AR1262" s="251" t="s">
        <v>6311</v>
      </c>
      <c r="AS1262" s="252" t="s">
        <v>5466</v>
      </c>
      <c r="AT1262" s="35" t="s">
        <v>266</v>
      </c>
      <c r="AU1262" s="33">
        <v>5</v>
      </c>
      <c r="AV1262" s="33">
        <v>25</v>
      </c>
      <c r="AW1262" s="33">
        <v>20</v>
      </c>
      <c r="AX1262" s="33">
        <v>28</v>
      </c>
      <c r="AY1262" s="33" t="s">
        <v>267</v>
      </c>
      <c r="AZ1262" s="33" t="s">
        <v>5820</v>
      </c>
      <c r="BA1262" s="33"/>
      <c r="BB1262" s="41" t="s">
        <v>5821</v>
      </c>
      <c r="BC1262" s="41" t="s">
        <v>8377</v>
      </c>
      <c r="BD1262" s="41"/>
      <c r="BE1262" s="33" t="s">
        <v>2449</v>
      </c>
      <c r="BF1262" s="33"/>
      <c r="BG1262" s="33"/>
      <c r="BH1262" s="33" t="s">
        <v>5626</v>
      </c>
      <c r="BI1262" s="250"/>
      <c r="BJ1262" s="250">
        <v>18.72</v>
      </c>
      <c r="BK1262" s="254"/>
      <c r="BL1262" s="263">
        <v>0.78059693206496705</v>
      </c>
      <c r="BM1262" s="33"/>
      <c r="BN1262" s="33">
        <v>1.23552</v>
      </c>
      <c r="BO1262" s="33"/>
      <c r="BP1262" s="33"/>
      <c r="BQ1262" s="33"/>
      <c r="BR1262" s="33"/>
      <c r="BS1262" s="33"/>
      <c r="BT1262" s="33"/>
      <c r="BU1262" s="246"/>
      <c r="BV1262" s="33"/>
      <c r="BW1262" s="33"/>
      <c r="BX1262" s="33"/>
      <c r="BY1262" s="33"/>
      <c r="BZ1262" s="33"/>
      <c r="CA1262" s="33"/>
      <c r="CB1262" s="33"/>
      <c r="CC1262" s="33"/>
      <c r="CD1262" s="33"/>
      <c r="CE1262" s="33"/>
      <c r="CF1262" s="33"/>
      <c r="CG1262" s="33"/>
      <c r="CH1262" s="33"/>
      <c r="CI1262" s="250">
        <v>1.23552</v>
      </c>
      <c r="CJ1262" s="243">
        <f>LOG10(CI1262)</f>
        <v>9.1849779943955087E-2</v>
      </c>
      <c r="CK1262" s="38">
        <f t="shared" si="290"/>
        <v>4.1698554063299524E-2</v>
      </c>
      <c r="CL1262" s="247">
        <f>BL1262/CI1262</f>
        <v>0.63179627368635638</v>
      </c>
      <c r="CM1262" s="247">
        <v>-1.9208071540516845</v>
      </c>
      <c r="CN1262" s="247">
        <f>BJ1262/(10^CM1262)</f>
        <v>1559.958333333336</v>
      </c>
      <c r="CO1262" s="41"/>
      <c r="CP1262" s="258" t="s">
        <v>8376</v>
      </c>
      <c r="CQ1262" s="241">
        <v>-1.9034377008227692</v>
      </c>
      <c r="CR1262" s="241">
        <f t="shared" si="281"/>
        <v>98.920768294630648</v>
      </c>
      <c r="CS1262" s="33"/>
      <c r="CT1262" s="33"/>
      <c r="CU1262" s="250">
        <f>X1262/CI1262</f>
        <v>4.208866625063639E-2</v>
      </c>
      <c r="CV1262" s="337">
        <f t="shared" si="291"/>
        <v>2.7778519725420018E-3</v>
      </c>
      <c r="CW1262" s="330">
        <f>IF(CU1262&lt;2,0,1)</f>
        <v>0</v>
      </c>
      <c r="CX1262" s="330"/>
      <c r="CY1262" s="143" t="s">
        <v>5921</v>
      </c>
    </row>
    <row r="1263" spans="1:103" ht="11.25" customHeight="1" x14ac:dyDescent="0.2">
      <c r="A1263" s="72">
        <v>1952</v>
      </c>
      <c r="B1263" s="241">
        <v>2136</v>
      </c>
      <c r="C1263" s="32" t="s">
        <v>883</v>
      </c>
      <c r="D1263" s="32" t="s">
        <v>6630</v>
      </c>
      <c r="E1263" s="40"/>
      <c r="F1263" s="40" t="s">
        <v>884</v>
      </c>
      <c r="G1263" s="40">
        <v>111812589</v>
      </c>
      <c r="H1263" s="41" t="s">
        <v>5831</v>
      </c>
      <c r="I1263" s="41" t="s">
        <v>5831</v>
      </c>
      <c r="J1263" s="41" t="s">
        <v>5832</v>
      </c>
      <c r="K1263" s="41" t="s">
        <v>887</v>
      </c>
      <c r="L1263" s="41" t="s">
        <v>617</v>
      </c>
      <c r="M1263" s="41" t="s">
        <v>5923</v>
      </c>
      <c r="N1263" s="36"/>
      <c r="O1263" s="41"/>
      <c r="P1263" s="41"/>
      <c r="Q1263" s="41"/>
      <c r="R1263" s="41"/>
      <c r="S1263" s="41"/>
      <c r="T1263" s="33">
        <v>421.49</v>
      </c>
      <c r="U1263" s="250">
        <v>1.46E-2</v>
      </c>
      <c r="V1263" s="250">
        <v>0.11849999999999998</v>
      </c>
      <c r="W1263" s="250">
        <v>0.20173779761306845</v>
      </c>
      <c r="X1263" s="250">
        <v>1.46E-2</v>
      </c>
      <c r="Y1263" s="415">
        <v>7</v>
      </c>
      <c r="Z1263" s="33">
        <v>5.57</v>
      </c>
      <c r="AA1263" s="33">
        <v>5.01</v>
      </c>
      <c r="AB1263" s="33">
        <v>4.72</v>
      </c>
      <c r="AC1263" s="33">
        <v>0.85519999999999996</v>
      </c>
      <c r="AD1263" s="33">
        <v>5.09</v>
      </c>
      <c r="AE1263" s="33">
        <v>6.44</v>
      </c>
      <c r="AF1263" s="33">
        <f t="shared" si="288"/>
        <v>5.01</v>
      </c>
      <c r="AG1263" s="34">
        <v>5.09</v>
      </c>
      <c r="AH1263" s="250">
        <v>4.9099999999999997E-11</v>
      </c>
      <c r="AI1263" s="250">
        <v>2.1399999999999998E-6</v>
      </c>
      <c r="AJ1263" s="34">
        <f>LOG10(AH1263*1000/(0.08206*298.15))</f>
        <v>-8.6974848341896838</v>
      </c>
      <c r="AK1263" s="34">
        <f>LOG10(AI1263*1000/(0.08206*298.15))</f>
        <v>-4.0581525529634606</v>
      </c>
      <c r="AL1263" s="34">
        <f t="shared" si="289"/>
        <v>-4.0581525529634606</v>
      </c>
      <c r="AM1263" s="34">
        <v>-16.903649999999999</v>
      </c>
      <c r="AN1263" s="251"/>
      <c r="AO1263" s="417"/>
      <c r="AP1263" s="417">
        <v>1.58</v>
      </c>
      <c r="AQ1263" s="251" t="s">
        <v>6311</v>
      </c>
      <c r="AR1263" s="251" t="s">
        <v>6312</v>
      </c>
      <c r="AS1263" s="252" t="s">
        <v>5466</v>
      </c>
      <c r="AT1263" s="35" t="s">
        <v>266</v>
      </c>
      <c r="AU1263" s="33">
        <v>5</v>
      </c>
      <c r="AV1263" s="33">
        <v>25</v>
      </c>
      <c r="AW1263" s="33">
        <v>20</v>
      </c>
      <c r="AX1263" s="33">
        <v>28</v>
      </c>
      <c r="AY1263" s="33" t="s">
        <v>267</v>
      </c>
      <c r="AZ1263" s="33" t="s">
        <v>5820</v>
      </c>
      <c r="BA1263" s="33"/>
      <c r="BB1263" s="41" t="s">
        <v>5821</v>
      </c>
      <c r="BC1263" s="41" t="s">
        <v>8377</v>
      </c>
      <c r="BD1263" s="41"/>
      <c r="BE1263" s="33" t="s">
        <v>2449</v>
      </c>
      <c r="BF1263" s="33"/>
      <c r="BG1263" s="33"/>
      <c r="BH1263" s="33" t="s">
        <v>5626</v>
      </c>
      <c r="BI1263" s="250"/>
      <c r="BJ1263" s="250">
        <v>21.0745</v>
      </c>
      <c r="BK1263" s="254"/>
      <c r="BL1263" s="263">
        <v>0.21536259485554968</v>
      </c>
      <c r="BM1263" s="33"/>
      <c r="BN1263" s="33">
        <v>0.33719200000000005</v>
      </c>
      <c r="BO1263" s="33"/>
      <c r="BP1263" s="33"/>
      <c r="BQ1263" s="33"/>
      <c r="BR1263" s="33"/>
      <c r="BS1263" s="33"/>
      <c r="BT1263" s="33"/>
      <c r="BU1263" s="246"/>
      <c r="BV1263" s="33"/>
      <c r="BW1263" s="33"/>
      <c r="BX1263" s="33"/>
      <c r="BY1263" s="33"/>
      <c r="BZ1263" s="33"/>
      <c r="CA1263" s="33"/>
      <c r="CB1263" s="33"/>
      <c r="CC1263" s="33"/>
      <c r="CD1263" s="33"/>
      <c r="CE1263" s="33"/>
      <c r="CF1263" s="33"/>
      <c r="CG1263" s="33"/>
      <c r="CH1263" s="33"/>
      <c r="CI1263" s="250">
        <v>0.33719200000000005</v>
      </c>
      <c r="CJ1263" s="243">
        <f>LOG10(CI1263)</f>
        <v>-0.47212273771594904</v>
      </c>
      <c r="CK1263" s="38">
        <f t="shared" si="290"/>
        <v>1.0219108157040484E-2</v>
      </c>
      <c r="CL1263" s="247">
        <f>BL1263/CI1263</f>
        <v>0.63869425981503014</v>
      </c>
      <c r="CM1263" s="247"/>
      <c r="CN1263" s="247"/>
      <c r="CO1263" s="41"/>
      <c r="CP1263" s="258" t="s">
        <v>8376</v>
      </c>
      <c r="CQ1263" s="241" t="s">
        <v>272</v>
      </c>
      <c r="CR1263" s="241"/>
      <c r="CS1263" s="33"/>
      <c r="CT1263" s="33"/>
      <c r="CU1263" s="250">
        <f>X1263/CI1263</f>
        <v>4.3298773399131643E-2</v>
      </c>
      <c r="CV1263" s="337">
        <f t="shared" si="291"/>
        <v>6.9278037438610647E-4</v>
      </c>
      <c r="CW1263" s="330">
        <f>IF(CU1263&lt;2,0,1)</f>
        <v>0</v>
      </c>
      <c r="CX1263" s="330"/>
      <c r="CY1263" s="143" t="s">
        <v>5921</v>
      </c>
    </row>
    <row r="1264" spans="1:103" ht="11.25" customHeight="1" x14ac:dyDescent="0.2">
      <c r="A1264" s="72">
        <v>1953</v>
      </c>
      <c r="B1264" s="241">
        <v>2118</v>
      </c>
      <c r="C1264" s="32" t="s">
        <v>1002</v>
      </c>
      <c r="D1264" s="32" t="s">
        <v>6585</v>
      </c>
      <c r="E1264" s="40"/>
      <c r="F1264" s="40" t="s">
        <v>1003</v>
      </c>
      <c r="G1264" s="242">
        <v>134605644</v>
      </c>
      <c r="H1264" s="41" t="s">
        <v>1004</v>
      </c>
      <c r="I1264" s="41" t="s">
        <v>7783</v>
      </c>
      <c r="J1264" s="41" t="s">
        <v>1005</v>
      </c>
      <c r="K1264" s="41" t="s">
        <v>1006</v>
      </c>
      <c r="L1264" s="36" t="s">
        <v>5955</v>
      </c>
      <c r="M1264" s="36" t="s">
        <v>5956</v>
      </c>
      <c r="N1264" s="36" t="s">
        <v>6385</v>
      </c>
      <c r="O1264" s="36" t="s">
        <v>5957</v>
      </c>
      <c r="P1264" s="41"/>
      <c r="Q1264" s="41"/>
      <c r="R1264" s="41"/>
      <c r="S1264" s="41"/>
      <c r="T1264" s="33">
        <v>474.81</v>
      </c>
      <c r="U1264" s="250"/>
      <c r="V1264" s="250">
        <v>2.5579999999999998</v>
      </c>
      <c r="W1264" s="250">
        <v>0.88413759335889419</v>
      </c>
      <c r="X1264" s="250">
        <v>0.88413759335889419</v>
      </c>
      <c r="Y1264" s="415">
        <v>7</v>
      </c>
      <c r="Z1264" s="33">
        <v>3.05</v>
      </c>
      <c r="AA1264" s="33"/>
      <c r="AB1264" s="33">
        <v>3.65</v>
      </c>
      <c r="AC1264" s="33">
        <v>0.56579999999999997</v>
      </c>
      <c r="AD1264" s="33">
        <v>3.64</v>
      </c>
      <c r="AE1264" s="33">
        <v>3.63</v>
      </c>
      <c r="AF1264" s="33">
        <f t="shared" si="288"/>
        <v>3.64</v>
      </c>
      <c r="AG1264" s="34">
        <v>4.2300000000000004</v>
      </c>
      <c r="AH1264" s="250">
        <v>2.2499999999999999E-12</v>
      </c>
      <c r="AI1264" s="250"/>
      <c r="AJ1264" s="34">
        <f>LOG10(AH1264*1000/(0.08206*298.15))</f>
        <v>-10.03638380820129</v>
      </c>
      <c r="AK1264" s="34"/>
      <c r="AL1264" s="34">
        <f t="shared" si="289"/>
        <v>-10.03638380820129</v>
      </c>
      <c r="AM1264" s="34">
        <v>-17.98612</v>
      </c>
      <c r="AN1264" s="251">
        <v>-11.28</v>
      </c>
      <c r="AO1264" s="417"/>
      <c r="AP1264" s="417">
        <v>-4.21</v>
      </c>
      <c r="AQ1264" s="251" t="s">
        <v>6311</v>
      </c>
      <c r="AR1264" s="251" t="s">
        <v>6312</v>
      </c>
      <c r="AS1264" s="252" t="s">
        <v>5466</v>
      </c>
      <c r="AT1264" s="35" t="s">
        <v>266</v>
      </c>
      <c r="AU1264" s="33">
        <v>5</v>
      </c>
      <c r="AV1264" s="33">
        <v>25</v>
      </c>
      <c r="AW1264" s="33">
        <v>20</v>
      </c>
      <c r="AX1264" s="33">
        <v>28</v>
      </c>
      <c r="AY1264" s="33" t="s">
        <v>267</v>
      </c>
      <c r="AZ1264" s="33" t="s">
        <v>5820</v>
      </c>
      <c r="BA1264" s="33"/>
      <c r="BB1264" s="41" t="s">
        <v>5821</v>
      </c>
      <c r="BC1264" s="41" t="s">
        <v>8377</v>
      </c>
      <c r="BD1264" s="41"/>
      <c r="BE1264" s="33" t="s">
        <v>2449</v>
      </c>
      <c r="BF1264" s="33"/>
      <c r="BG1264" s="33"/>
      <c r="BH1264" s="33" t="s">
        <v>5626</v>
      </c>
      <c r="BI1264" s="250"/>
      <c r="BJ1264" s="250">
        <v>23.740500000000001</v>
      </c>
      <c r="BK1264" s="254"/>
      <c r="BL1264" s="263">
        <v>44.474887385033405</v>
      </c>
      <c r="BM1264" s="33"/>
      <c r="BN1264" s="33" t="e">
        <v>#VALUE!</v>
      </c>
      <c r="BO1264" s="33"/>
      <c r="BP1264" s="33"/>
      <c r="BQ1264" s="33"/>
      <c r="BR1264" s="33"/>
      <c r="BS1264" s="33"/>
      <c r="BT1264" s="33"/>
      <c r="BU1264" s="246"/>
      <c r="BV1264" s="33"/>
      <c r="BW1264" s="33"/>
      <c r="BX1264" s="33"/>
      <c r="BY1264" s="33"/>
      <c r="BZ1264" s="33"/>
      <c r="CA1264" s="33"/>
      <c r="CB1264" s="33"/>
      <c r="CC1264" s="33"/>
      <c r="CD1264" s="33"/>
      <c r="CE1264" s="33"/>
      <c r="CF1264" s="33"/>
      <c r="CG1264" s="33"/>
      <c r="CH1264" s="33"/>
      <c r="CI1264" s="250"/>
      <c r="CJ1264" s="243"/>
      <c r="CK1264" s="38">
        <f t="shared" si="290"/>
        <v>1.8733761877396602</v>
      </c>
      <c r="CL1264" s="247"/>
      <c r="CM1264" s="247">
        <v>0.59106460702649899</v>
      </c>
      <c r="CN1264" s="247">
        <f>BJ1264/(10^CM1264)</f>
        <v>6.0873076923076948</v>
      </c>
      <c r="CO1264" s="41"/>
      <c r="CP1264" s="258" t="s">
        <v>8376</v>
      </c>
      <c r="CQ1264" s="241">
        <v>0.59106460702649921</v>
      </c>
      <c r="CR1264" s="241">
        <f>10^(CJ1264-CQ1264)</f>
        <v>0.25641025641025639</v>
      </c>
      <c r="CS1264" s="33"/>
      <c r="CT1264" s="33"/>
      <c r="CU1264" s="250"/>
      <c r="CV1264" s="337">
        <f t="shared" si="291"/>
        <v>3.7241742733257269E-2</v>
      </c>
      <c r="CW1264" s="330">
        <f>IF(CV1264&lt;1,0,1)</f>
        <v>0</v>
      </c>
      <c r="CX1264" s="330"/>
      <c r="CY1264" s="143" t="s">
        <v>6351</v>
      </c>
    </row>
    <row r="1265" spans="1:103" ht="11.25" customHeight="1" x14ac:dyDescent="0.2">
      <c r="A1265" s="72">
        <v>1954</v>
      </c>
      <c r="B1265" s="241">
        <v>2130</v>
      </c>
      <c r="C1265" s="32" t="s">
        <v>1539</v>
      </c>
      <c r="D1265" s="32" t="s">
        <v>6587</v>
      </c>
      <c r="E1265" s="40"/>
      <c r="F1265" s="40" t="s">
        <v>1540</v>
      </c>
      <c r="G1265" s="242">
        <v>141517217</v>
      </c>
      <c r="H1265" s="41" t="s">
        <v>1541</v>
      </c>
      <c r="I1265" s="41" t="s">
        <v>1541</v>
      </c>
      <c r="J1265" s="41" t="s">
        <v>1542</v>
      </c>
      <c r="K1265" s="41" t="s">
        <v>300</v>
      </c>
      <c r="L1265" s="41"/>
      <c r="M1265" s="41" t="s">
        <v>6082</v>
      </c>
      <c r="N1265" s="36" t="s">
        <v>6082</v>
      </c>
      <c r="O1265" s="41"/>
      <c r="P1265" s="41"/>
      <c r="Q1265" s="41"/>
      <c r="R1265" s="41"/>
      <c r="S1265" s="41"/>
      <c r="T1265" s="33">
        <v>408.37</v>
      </c>
      <c r="U1265" s="250"/>
      <c r="V1265" s="250">
        <v>0.39</v>
      </c>
      <c r="W1265" s="250">
        <v>0.41788215925769095</v>
      </c>
      <c r="X1265" s="250">
        <v>0.41788215925769095</v>
      </c>
      <c r="Y1265" s="415">
        <v>7</v>
      </c>
      <c r="Z1265" s="33">
        <v>6.62</v>
      </c>
      <c r="AA1265" s="33">
        <v>4.5</v>
      </c>
      <c r="AB1265" s="33">
        <v>4.7300000000000004</v>
      </c>
      <c r="AC1265" s="33">
        <v>0.70989999999999998</v>
      </c>
      <c r="AD1265" s="33">
        <v>4.8499999999999996</v>
      </c>
      <c r="AE1265" s="33">
        <v>5.1100000000000003</v>
      </c>
      <c r="AF1265" s="33">
        <f t="shared" si="288"/>
        <v>4.5</v>
      </c>
      <c r="AG1265" s="34">
        <v>5.04</v>
      </c>
      <c r="AH1265" s="250">
        <v>1.0700000000000001E-7</v>
      </c>
      <c r="AI1265" s="250"/>
      <c r="AJ1265" s="34">
        <f>LOG10(AH1265*1000/(0.08206*298.15))</f>
        <v>-5.3591825486274418</v>
      </c>
      <c r="AK1265" s="34"/>
      <c r="AL1265" s="34">
        <f t="shared" si="289"/>
        <v>-5.3591825486274418</v>
      </c>
      <c r="AM1265" s="34">
        <v>-11.2052</v>
      </c>
      <c r="AN1265" s="251">
        <v>-5.9367000000000001</v>
      </c>
      <c r="AO1265" s="417"/>
      <c r="AP1265" s="417"/>
      <c r="AQ1265" s="251" t="s">
        <v>6311</v>
      </c>
      <c r="AR1265" s="251" t="s">
        <v>6312</v>
      </c>
      <c r="AS1265" s="252" t="s">
        <v>5466</v>
      </c>
      <c r="AT1265" s="35" t="s">
        <v>266</v>
      </c>
      <c r="AU1265" s="33">
        <v>5</v>
      </c>
      <c r="AV1265" s="33">
        <v>25</v>
      </c>
      <c r="AW1265" s="33">
        <v>20</v>
      </c>
      <c r="AX1265" s="33">
        <v>28</v>
      </c>
      <c r="AY1265" s="33" t="s">
        <v>267</v>
      </c>
      <c r="AZ1265" s="33" t="s">
        <v>5820</v>
      </c>
      <c r="BA1265" s="33"/>
      <c r="BB1265" s="41" t="s">
        <v>5821</v>
      </c>
      <c r="BC1265" s="41" t="s">
        <v>8377</v>
      </c>
      <c r="BD1265" s="41"/>
      <c r="BE1265" s="33" t="s">
        <v>2449</v>
      </c>
      <c r="BF1265" s="33"/>
      <c r="BG1265" s="33"/>
      <c r="BH1265" s="33" t="s">
        <v>5626</v>
      </c>
      <c r="BI1265" s="250"/>
      <c r="BJ1265" s="250">
        <v>20.418500000000002</v>
      </c>
      <c r="BK1265" s="254"/>
      <c r="BL1265" s="263">
        <v>2.3792048150235948E-2</v>
      </c>
      <c r="BM1265" s="33"/>
      <c r="BN1265" s="33">
        <v>1.0617619999999999</v>
      </c>
      <c r="BO1265" s="33"/>
      <c r="BP1265" s="33"/>
      <c r="BQ1265" s="33"/>
      <c r="BR1265" s="33"/>
      <c r="BS1265" s="33"/>
      <c r="BT1265" s="33"/>
      <c r="BU1265" s="246"/>
      <c r="BV1265" s="33"/>
      <c r="BW1265" s="33"/>
      <c r="BX1265" s="33"/>
      <c r="BY1265" s="33"/>
      <c r="BZ1265" s="33"/>
      <c r="CA1265" s="33"/>
      <c r="CB1265" s="33"/>
      <c r="CC1265" s="33"/>
      <c r="CD1265" s="33"/>
      <c r="CE1265" s="33"/>
      <c r="CF1265" s="33"/>
      <c r="CG1265" s="33"/>
      <c r="CH1265" s="33"/>
      <c r="CI1265" s="250">
        <v>1.0617619999999999</v>
      </c>
      <c r="CJ1265" s="243">
        <f>LOG10(CI1265)</f>
        <v>2.6027178072731073E-2</v>
      </c>
      <c r="CK1265" s="38">
        <f t="shared" si="290"/>
        <v>1.1652201753427503E-3</v>
      </c>
      <c r="CL1265" s="247">
        <f>BL1265/CI1265</f>
        <v>2.2408080295052896E-2</v>
      </c>
      <c r="CM1265" s="247">
        <v>-1.8538719643217623</v>
      </c>
      <c r="CN1265" s="247">
        <f>BJ1265/(10^CM1265)</f>
        <v>1458.4642857142876</v>
      </c>
      <c r="CO1265" s="41"/>
      <c r="CP1265" s="258" t="s">
        <v>8376</v>
      </c>
      <c r="CQ1265" s="241">
        <v>-1.5607391022493968</v>
      </c>
      <c r="CR1265" s="241">
        <f>10^(CJ1265-CQ1265)</f>
        <v>38.615910595457969</v>
      </c>
      <c r="CS1265" s="33"/>
      <c r="CT1265" s="33"/>
      <c r="CU1265" s="250">
        <f>X1265/CI1265</f>
        <v>0.3935742278002895</v>
      </c>
      <c r="CV1265" s="337">
        <f t="shared" si="291"/>
        <v>2.046585984561505E-2</v>
      </c>
      <c r="CW1265" s="330">
        <f>IF(CU1265&lt;2,0,1)</f>
        <v>0</v>
      </c>
      <c r="CX1265" s="330"/>
      <c r="CY1265" s="143" t="s">
        <v>5921</v>
      </c>
    </row>
    <row r="1266" spans="1:103" ht="11.25" customHeight="1" x14ac:dyDescent="0.2">
      <c r="A1266" s="72">
        <v>1955</v>
      </c>
      <c r="B1266" s="241">
        <v>2137</v>
      </c>
      <c r="C1266" s="32" t="s">
        <v>3126</v>
      </c>
      <c r="D1266" s="32" t="s">
        <v>6589</v>
      </c>
      <c r="E1266" s="40"/>
      <c r="F1266" s="40" t="s">
        <v>3127</v>
      </c>
      <c r="G1266" s="242">
        <v>155569918</v>
      </c>
      <c r="H1266" s="41" t="s">
        <v>1133</v>
      </c>
      <c r="I1266" s="41"/>
      <c r="J1266" s="41" t="s">
        <v>5833</v>
      </c>
      <c r="K1266" s="41"/>
      <c r="L1266" s="41" t="s">
        <v>617</v>
      </c>
      <c r="M1266" s="41" t="s">
        <v>917</v>
      </c>
      <c r="N1266" s="36" t="s">
        <v>6376</v>
      </c>
      <c r="O1266" s="41" t="s">
        <v>918</v>
      </c>
      <c r="P1266" s="41"/>
      <c r="Q1266" s="41"/>
      <c r="R1266" s="41"/>
      <c r="S1266" s="41"/>
      <c r="T1266" s="33">
        <v>1008.3</v>
      </c>
      <c r="U1266" s="250"/>
      <c r="V1266" s="250"/>
      <c r="W1266" s="250">
        <v>91.958052932256322</v>
      </c>
      <c r="X1266" s="250">
        <v>91.958052932256322</v>
      </c>
      <c r="Y1266" s="415">
        <v>9.2799999999999994</v>
      </c>
      <c r="Z1266" s="33"/>
      <c r="AA1266" s="33"/>
      <c r="AB1266" s="33"/>
      <c r="AC1266" s="33"/>
      <c r="AD1266" s="33"/>
      <c r="AE1266" s="33"/>
      <c r="AF1266" s="33"/>
      <c r="AG1266" s="34">
        <v>4.72</v>
      </c>
      <c r="AH1266" s="250"/>
      <c r="AI1266" s="250"/>
      <c r="AJ1266" s="34"/>
      <c r="AK1266" s="34"/>
      <c r="AL1266" s="34"/>
      <c r="AM1266" s="34"/>
      <c r="AN1266" s="251">
        <v>-34.192</v>
      </c>
      <c r="AO1266" s="417">
        <v>12.42</v>
      </c>
      <c r="AP1266" s="417">
        <v>8.7100000000000009</v>
      </c>
      <c r="AQ1266" s="251" t="s">
        <v>6311</v>
      </c>
      <c r="AR1266" s="251" t="s">
        <v>6311</v>
      </c>
      <c r="AS1266" s="252" t="s">
        <v>5466</v>
      </c>
      <c r="AT1266" s="35" t="s">
        <v>266</v>
      </c>
      <c r="AU1266" s="33">
        <v>5</v>
      </c>
      <c r="AV1266" s="33">
        <v>25</v>
      </c>
      <c r="AW1266" s="33">
        <v>20</v>
      </c>
      <c r="AX1266" s="33">
        <v>28</v>
      </c>
      <c r="AY1266" s="33" t="s">
        <v>267</v>
      </c>
      <c r="AZ1266" s="33" t="s">
        <v>5820</v>
      </c>
      <c r="BA1266" s="33"/>
      <c r="BB1266" s="41" t="s">
        <v>5821</v>
      </c>
      <c r="BC1266" s="41" t="s">
        <v>8377</v>
      </c>
      <c r="BD1266" s="41"/>
      <c r="BE1266" s="33" t="s">
        <v>2449</v>
      </c>
      <c r="BF1266" s="33"/>
      <c r="BG1266" s="33"/>
      <c r="BH1266" s="33" t="s">
        <v>5626</v>
      </c>
      <c r="BI1266" s="250"/>
      <c r="BJ1266" s="250">
        <v>50.414999999999999</v>
      </c>
      <c r="BK1266" s="254"/>
      <c r="BL1266" s="263"/>
      <c r="BM1266" s="33"/>
      <c r="BN1266" s="33" t="e">
        <v>#VALUE!</v>
      </c>
      <c r="BO1266" s="33"/>
      <c r="BP1266" s="33"/>
      <c r="BQ1266" s="33"/>
      <c r="BR1266" s="33"/>
      <c r="BS1266" s="33"/>
      <c r="BT1266" s="33"/>
      <c r="BU1266" s="246"/>
      <c r="BV1266" s="33"/>
      <c r="BW1266" s="33"/>
      <c r="BX1266" s="33"/>
      <c r="BY1266" s="33"/>
      <c r="BZ1266" s="33"/>
      <c r="CA1266" s="33"/>
      <c r="CB1266" s="33"/>
      <c r="CC1266" s="33"/>
      <c r="CD1266" s="33"/>
      <c r="CE1266" s="33"/>
      <c r="CF1266" s="33"/>
      <c r="CG1266" s="33"/>
      <c r="CH1266" s="33"/>
      <c r="CI1266" s="250"/>
      <c r="CJ1266" s="243"/>
      <c r="CK1266" s="38">
        <f t="shared" si="290"/>
        <v>0</v>
      </c>
      <c r="CL1266" s="247"/>
      <c r="CM1266" s="247"/>
      <c r="CN1266" s="247"/>
      <c r="CO1266" s="41"/>
      <c r="CP1266" s="258" t="s">
        <v>8376</v>
      </c>
      <c r="CQ1266" s="241">
        <v>-0.73879217222795601</v>
      </c>
      <c r="CR1266" s="241">
        <f>10^(CJ1266-CQ1266)</f>
        <v>5.4801465461074894</v>
      </c>
      <c r="CS1266" s="33"/>
      <c r="CT1266" s="33"/>
      <c r="CU1266" s="250"/>
      <c r="CV1266" s="337">
        <f t="shared" si="291"/>
        <v>1.8240216787118184</v>
      </c>
      <c r="CW1266" s="330">
        <f>IF(CV1266&lt;1,0,1)</f>
        <v>1</v>
      </c>
      <c r="CX1266" s="330"/>
      <c r="CY1266" s="143" t="s">
        <v>5921</v>
      </c>
    </row>
    <row r="1267" spans="1:103" ht="11.25" customHeight="1" x14ac:dyDescent="0.2">
      <c r="A1267" s="72">
        <v>1956</v>
      </c>
      <c r="B1267" s="241">
        <v>2120</v>
      </c>
      <c r="C1267" s="32" t="s">
        <v>1423</v>
      </c>
      <c r="D1267" s="32" t="s">
        <v>6590</v>
      </c>
      <c r="E1267" s="40"/>
      <c r="F1267" s="40" t="s">
        <v>1424</v>
      </c>
      <c r="G1267" s="242">
        <v>175013180</v>
      </c>
      <c r="H1267" s="41" t="s">
        <v>1425</v>
      </c>
      <c r="I1267" s="41" t="s">
        <v>7895</v>
      </c>
      <c r="J1267" s="41" t="s">
        <v>1426</v>
      </c>
      <c r="K1267" s="41" t="s">
        <v>1427</v>
      </c>
      <c r="L1267" s="36" t="s">
        <v>6090</v>
      </c>
      <c r="M1267" s="36" t="s">
        <v>6082</v>
      </c>
      <c r="N1267" s="36" t="s">
        <v>6082</v>
      </c>
      <c r="O1267" s="36" t="s">
        <v>6083</v>
      </c>
      <c r="P1267" s="41"/>
      <c r="Q1267" s="41"/>
      <c r="R1267" s="41"/>
      <c r="S1267" s="41"/>
      <c r="T1267" s="33">
        <v>387.82</v>
      </c>
      <c r="U1267" s="250"/>
      <c r="V1267" s="250">
        <v>1.425</v>
      </c>
      <c r="W1267" s="250">
        <v>2.621984995165183</v>
      </c>
      <c r="X1267" s="250">
        <v>2.621984995165183</v>
      </c>
      <c r="Y1267" s="415">
        <v>7</v>
      </c>
      <c r="Z1267" s="33">
        <v>5.45</v>
      </c>
      <c r="AA1267" s="33">
        <v>3.99</v>
      </c>
      <c r="AB1267" s="33">
        <v>3.95</v>
      </c>
      <c r="AC1267" s="33">
        <v>0.61850000000000005</v>
      </c>
      <c r="AD1267" s="33">
        <v>4.07</v>
      </c>
      <c r="AE1267" s="33">
        <v>4.25</v>
      </c>
      <c r="AF1267" s="33">
        <f>IF(AA1267=0,AD1267,AA1267)</f>
        <v>3.99</v>
      </c>
      <c r="AG1267" s="34">
        <v>4.0199999999999996</v>
      </c>
      <c r="AH1267" s="250">
        <v>1.15E-15</v>
      </c>
      <c r="AI1267" s="250"/>
      <c r="AJ1267" s="34">
        <f>LOG10(AH1267*1000/(0.08206*298.15))</f>
        <v>-13.327868485959041</v>
      </c>
      <c r="AK1267" s="34"/>
      <c r="AL1267" s="34">
        <f>IF(AK1267=0,AJ1267,AK1267)</f>
        <v>-13.327868485959041</v>
      </c>
      <c r="AM1267" s="34">
        <v>-18.93666</v>
      </c>
      <c r="AN1267" s="251">
        <v>-9.9609000000000005</v>
      </c>
      <c r="AO1267" s="417"/>
      <c r="AP1267" s="417">
        <v>-0.23</v>
      </c>
      <c r="AQ1267" s="251" t="s">
        <v>6311</v>
      </c>
      <c r="AR1267" s="251" t="s">
        <v>6311</v>
      </c>
      <c r="AS1267" s="252" t="s">
        <v>5466</v>
      </c>
      <c r="AT1267" s="35" t="s">
        <v>266</v>
      </c>
      <c r="AU1267" s="33">
        <v>5</v>
      </c>
      <c r="AV1267" s="33">
        <v>25</v>
      </c>
      <c r="AW1267" s="33">
        <v>20</v>
      </c>
      <c r="AX1267" s="33">
        <v>28</v>
      </c>
      <c r="AY1267" s="33" t="s">
        <v>267</v>
      </c>
      <c r="AZ1267" s="33" t="s">
        <v>5820</v>
      </c>
      <c r="BA1267" s="33"/>
      <c r="BB1267" s="41" t="s">
        <v>5821</v>
      </c>
      <c r="BC1267" s="41" t="s">
        <v>8377</v>
      </c>
      <c r="BD1267" s="41"/>
      <c r="BE1267" s="33" t="s">
        <v>2449</v>
      </c>
      <c r="BF1267" s="33"/>
      <c r="BG1267" s="33"/>
      <c r="BH1267" s="33" t="s">
        <v>5626</v>
      </c>
      <c r="BI1267" s="250"/>
      <c r="BJ1267" s="250">
        <v>19.391000000000002</v>
      </c>
      <c r="BK1267" s="254"/>
      <c r="BL1267" s="263">
        <v>0.25397162750242946</v>
      </c>
      <c r="BM1267" s="33"/>
      <c r="BN1267" s="33">
        <v>0.69807599999999992</v>
      </c>
      <c r="BO1267" s="33"/>
      <c r="BP1267" s="33"/>
      <c r="BQ1267" s="33"/>
      <c r="BR1267" s="33"/>
      <c r="BS1267" s="33"/>
      <c r="BT1267" s="33"/>
      <c r="BU1267" s="246"/>
      <c r="BV1267" s="33"/>
      <c r="BW1267" s="33"/>
      <c r="BX1267" s="33"/>
      <c r="BY1267" s="33"/>
      <c r="BZ1267" s="33"/>
      <c r="CA1267" s="33"/>
      <c r="CB1267" s="33"/>
      <c r="CC1267" s="33"/>
      <c r="CD1267" s="33"/>
      <c r="CE1267" s="33"/>
      <c r="CF1267" s="33"/>
      <c r="CG1267" s="33"/>
      <c r="CH1267" s="33"/>
      <c r="CI1267" s="250">
        <v>0.69807599999999992</v>
      </c>
      <c r="CJ1267" s="243">
        <f>LOG10(CI1267)</f>
        <v>-0.15609729287276145</v>
      </c>
      <c r="CK1267" s="38">
        <f t="shared" si="290"/>
        <v>1.3097397117344615E-2</v>
      </c>
      <c r="CL1267" s="247">
        <f>BL1267/CI1267</f>
        <v>0.36381658659290605</v>
      </c>
      <c r="CM1267" s="247">
        <v>-2.2076083105017461</v>
      </c>
      <c r="CN1267" s="247">
        <f>BJ1267/(10^CM1267)</f>
        <v>3127.5806451612934</v>
      </c>
      <c r="CO1267" s="41"/>
      <c r="CP1267" s="258" t="s">
        <v>8376</v>
      </c>
      <c r="CQ1267" s="241">
        <v>-2.0753517295826369</v>
      </c>
      <c r="CR1267" s="241">
        <f>10^(CJ1267-CQ1267)</f>
        <v>83.033708813474561</v>
      </c>
      <c r="CS1267" s="33"/>
      <c r="CT1267" s="33"/>
      <c r="CU1267" s="250">
        <f>X1267/CI1267</f>
        <v>3.7560165299554535</v>
      </c>
      <c r="CV1267" s="337">
        <f t="shared" si="291"/>
        <v>0.13521659507839631</v>
      </c>
      <c r="CW1267" s="330">
        <f>IF(CU1267&lt;2,0,1)</f>
        <v>1</v>
      </c>
      <c r="CX1267" s="330"/>
      <c r="CY1267" s="143" t="s">
        <v>5921</v>
      </c>
    </row>
    <row r="1268" spans="1:103" ht="11.25" customHeight="1" x14ac:dyDescent="0.2">
      <c r="A1268" s="72">
        <v>1961</v>
      </c>
      <c r="B1268" s="241">
        <v>2123</v>
      </c>
      <c r="C1268" s="32" t="s">
        <v>1227</v>
      </c>
      <c r="D1268" s="32" t="s">
        <v>6592</v>
      </c>
      <c r="E1268" s="40"/>
      <c r="F1268" s="40" t="s">
        <v>1228</v>
      </c>
      <c r="G1268" s="242">
        <v>361377299</v>
      </c>
      <c r="H1268" s="41" t="s">
        <v>1229</v>
      </c>
      <c r="I1268" s="41" t="s">
        <v>7904</v>
      </c>
      <c r="J1268" s="41" t="s">
        <v>1230</v>
      </c>
      <c r="K1268" s="41" t="s">
        <v>300</v>
      </c>
      <c r="L1268" s="36" t="s">
        <v>5989</v>
      </c>
      <c r="M1268" s="36" t="s">
        <v>6082</v>
      </c>
      <c r="N1268" s="36" t="s">
        <v>6082</v>
      </c>
      <c r="O1268" s="41"/>
      <c r="P1268" s="41"/>
      <c r="Q1268" s="41"/>
      <c r="R1268" s="41"/>
      <c r="S1268" s="41"/>
      <c r="T1268" s="33">
        <v>458.84</v>
      </c>
      <c r="U1268" s="250"/>
      <c r="V1268" s="250">
        <v>25.440554453719244</v>
      </c>
      <c r="W1268" s="250">
        <v>0.26403486084778038</v>
      </c>
      <c r="X1268" s="250">
        <v>0.26403486084778038</v>
      </c>
      <c r="Y1268" s="415">
        <v>7</v>
      </c>
      <c r="Z1268" s="33">
        <v>2</v>
      </c>
      <c r="AA1268" s="33"/>
      <c r="AB1268" s="33">
        <v>3.78</v>
      </c>
      <c r="AC1268" s="33">
        <v>0.67889999999999995</v>
      </c>
      <c r="AD1268" s="33">
        <v>4.28</v>
      </c>
      <c r="AE1268" s="33">
        <v>5.34</v>
      </c>
      <c r="AF1268" s="33">
        <f>IF(AA1268=0,AD1268,AA1268)</f>
        <v>4.28</v>
      </c>
      <c r="AG1268" s="34">
        <v>5.04</v>
      </c>
      <c r="AH1268" s="250">
        <v>2.8100000000000001E-13</v>
      </c>
      <c r="AI1268" s="250"/>
      <c r="AJ1268" s="34">
        <f>LOG10(AH1268*1000/(0.08206*298.15))</f>
        <v>-10.939860006407573</v>
      </c>
      <c r="AK1268" s="34"/>
      <c r="AL1268" s="34">
        <f>IF(AK1268=0,AJ1268,AK1268)</f>
        <v>-10.939860006407573</v>
      </c>
      <c r="AM1268" s="34">
        <v>-19.734660000000002</v>
      </c>
      <c r="AN1268" s="251">
        <v>-0.62205999999999995</v>
      </c>
      <c r="AO1268" s="417"/>
      <c r="AP1268" s="417">
        <v>-2.1</v>
      </c>
      <c r="AQ1268" s="251" t="s">
        <v>6311</v>
      </c>
      <c r="AR1268" s="251" t="s">
        <v>6311</v>
      </c>
      <c r="AS1268" s="252" t="s">
        <v>5466</v>
      </c>
      <c r="AT1268" s="35" t="s">
        <v>266</v>
      </c>
      <c r="AU1268" s="33">
        <v>5</v>
      </c>
      <c r="AV1268" s="33">
        <v>25</v>
      </c>
      <c r="AW1268" s="33">
        <v>20</v>
      </c>
      <c r="AX1268" s="33">
        <v>28</v>
      </c>
      <c r="AY1268" s="33" t="s">
        <v>267</v>
      </c>
      <c r="AZ1268" s="33" t="s">
        <v>5820</v>
      </c>
      <c r="BA1268" s="33"/>
      <c r="BB1268" s="41" t="s">
        <v>5821</v>
      </c>
      <c r="BC1268" s="41" t="s">
        <v>8377</v>
      </c>
      <c r="BD1268" s="41"/>
      <c r="BE1268" s="33" t="s">
        <v>2449</v>
      </c>
      <c r="BF1268" s="33"/>
      <c r="BG1268" s="33"/>
      <c r="BH1268" s="33" t="s">
        <v>5626</v>
      </c>
      <c r="BI1268" s="250"/>
      <c r="BJ1268" s="250">
        <v>22.942</v>
      </c>
      <c r="BK1268" s="254"/>
      <c r="BL1268" s="263">
        <v>376.93049176428167</v>
      </c>
      <c r="BM1268" s="33"/>
      <c r="BN1268" s="33" t="e">
        <v>#VALUE!</v>
      </c>
      <c r="BO1268" s="33"/>
      <c r="BP1268" s="33"/>
      <c r="BQ1268" s="33"/>
      <c r="BR1268" s="33"/>
      <c r="BS1268" s="33"/>
      <c r="BT1268" s="33"/>
      <c r="BU1268" s="246"/>
      <c r="BV1268" s="33"/>
      <c r="BW1268" s="33"/>
      <c r="BX1268" s="33"/>
      <c r="BY1268" s="33"/>
      <c r="BZ1268" s="33"/>
      <c r="CA1268" s="33"/>
      <c r="CB1268" s="33"/>
      <c r="CC1268" s="33"/>
      <c r="CD1268" s="33"/>
      <c r="CE1268" s="33"/>
      <c r="CF1268" s="33"/>
      <c r="CG1268" s="33"/>
      <c r="CH1268" s="33"/>
      <c r="CI1268" s="250"/>
      <c r="CJ1268" s="243"/>
      <c r="CK1268" s="38">
        <f t="shared" si="290"/>
        <v>16.429713702566545</v>
      </c>
      <c r="CL1268" s="247"/>
      <c r="CM1268" s="247">
        <v>-0.36150127788943748</v>
      </c>
      <c r="CN1268" s="247">
        <f>BJ1268/(10^CM1268)</f>
        <v>52.739080459770186</v>
      </c>
      <c r="CO1268" s="41"/>
      <c r="CP1268" s="258" t="s">
        <v>8376</v>
      </c>
      <c r="CQ1268" s="241">
        <v>-0.18736950438955891</v>
      </c>
      <c r="CR1268" s="241">
        <f>10^(CJ1268-CQ1268)</f>
        <v>1.5394638826862777</v>
      </c>
      <c r="CS1268" s="33"/>
      <c r="CT1268" s="33"/>
      <c r="CU1268" s="250"/>
      <c r="CV1268" s="337">
        <f t="shared" si="291"/>
        <v>1.1508798746743107E-2</v>
      </c>
      <c r="CW1268" s="330">
        <f>IF(CV1268&lt;1,0,1)</f>
        <v>0</v>
      </c>
      <c r="CX1268" s="330"/>
      <c r="CY1268" s="143" t="s">
        <v>5921</v>
      </c>
    </row>
    <row r="1269" spans="1:103" ht="11.25" customHeight="1" x14ac:dyDescent="0.2">
      <c r="A1269" s="72">
        <v>1972</v>
      </c>
      <c r="B1269" s="241">
        <v>2116</v>
      </c>
      <c r="C1269" s="32" t="s">
        <v>5818</v>
      </c>
      <c r="D1269" s="32"/>
      <c r="E1269" s="40"/>
      <c r="F1269" s="241" t="s">
        <v>6399</v>
      </c>
      <c r="G1269" s="241" t="s">
        <v>6399</v>
      </c>
      <c r="H1269" s="36"/>
      <c r="I1269" s="36"/>
      <c r="J1269" s="36"/>
      <c r="K1269" s="36"/>
      <c r="L1269" s="36"/>
      <c r="M1269" s="36"/>
      <c r="N1269" s="36"/>
      <c r="O1269" s="36"/>
      <c r="P1269" s="41"/>
      <c r="Q1269" s="41"/>
      <c r="R1269" s="41"/>
      <c r="S1269" s="41"/>
      <c r="T1269" s="37">
        <v>514</v>
      </c>
      <c r="U1269" s="243"/>
      <c r="V1269" s="243"/>
      <c r="W1269" s="243"/>
      <c r="X1269" s="243"/>
      <c r="Y1269" s="414"/>
      <c r="Z1269" s="37"/>
      <c r="AA1269" s="37"/>
      <c r="AB1269" s="37"/>
      <c r="AC1269" s="37"/>
      <c r="AD1269" s="37"/>
      <c r="AE1269" s="37"/>
      <c r="AF1269" s="37"/>
      <c r="AG1269" s="37">
        <v>1.972</v>
      </c>
      <c r="AH1269" s="243"/>
      <c r="AI1269" s="243"/>
      <c r="AJ1269" s="34"/>
      <c r="AK1269" s="34"/>
      <c r="AL1269" s="34"/>
      <c r="AM1269" s="34"/>
      <c r="AN1269" s="244"/>
      <c r="AO1269" s="417"/>
      <c r="AP1269" s="417"/>
      <c r="AQ1269" s="244" t="s">
        <v>6311</v>
      </c>
      <c r="AR1269" s="244" t="s">
        <v>6311</v>
      </c>
      <c r="AS1269" s="241" t="s">
        <v>5466</v>
      </c>
      <c r="AT1269" s="39" t="s">
        <v>266</v>
      </c>
      <c r="AU1269" s="37">
        <v>24</v>
      </c>
      <c r="AV1269" s="37">
        <v>96</v>
      </c>
      <c r="AW1269" s="37">
        <v>72</v>
      </c>
      <c r="AX1269" s="37">
        <v>26</v>
      </c>
      <c r="AY1269" s="37" t="s">
        <v>5799</v>
      </c>
      <c r="AZ1269" s="37" t="s">
        <v>5717</v>
      </c>
      <c r="BA1269" s="37">
        <v>72</v>
      </c>
      <c r="BB1269" s="36" t="s">
        <v>5666</v>
      </c>
      <c r="BC1269" s="36" t="s">
        <v>5721</v>
      </c>
      <c r="BD1269" s="36"/>
      <c r="BE1269" s="37" t="s">
        <v>1584</v>
      </c>
      <c r="BF1269" s="37"/>
      <c r="BG1269" s="37"/>
      <c r="BH1269" s="37"/>
      <c r="BI1269" s="250">
        <v>6.4250000000000007</v>
      </c>
      <c r="BJ1269" s="250">
        <v>642.5</v>
      </c>
      <c r="BK1269" s="37"/>
      <c r="BL1269" s="263"/>
      <c r="BM1269" s="37"/>
      <c r="BN1269" s="37"/>
      <c r="BO1269" s="37"/>
      <c r="BP1269" s="37"/>
      <c r="BQ1269" s="37"/>
      <c r="BR1269" s="37"/>
      <c r="BS1269" s="37"/>
      <c r="BT1269" s="37"/>
      <c r="BU1269" s="246"/>
      <c r="BV1269" s="37"/>
      <c r="BW1269" s="37"/>
      <c r="BX1269" s="37"/>
      <c r="BY1269" s="37"/>
      <c r="BZ1269" s="37"/>
      <c r="CA1269" s="37">
        <v>113.03888000000001</v>
      </c>
      <c r="CB1269" s="37"/>
      <c r="CC1269" s="37"/>
      <c r="CD1269" s="37"/>
      <c r="CE1269" s="37"/>
      <c r="CF1269" s="37"/>
      <c r="CG1269" s="37"/>
      <c r="CH1269" s="37"/>
      <c r="CI1269" s="243">
        <v>113.03888000000001</v>
      </c>
      <c r="CJ1269" s="243">
        <f t="shared" ref="CJ1269:CJ1300" si="292">LOG10(CI1269)</f>
        <v>2.0532278458306878</v>
      </c>
      <c r="CK1269" s="38">
        <f t="shared" si="290"/>
        <v>0</v>
      </c>
      <c r="CL1269" s="38">
        <f t="shared" ref="CL1269:CL1307" si="293">BL1269/CI1269</f>
        <v>0</v>
      </c>
      <c r="CM1269" s="38"/>
      <c r="CN1269" s="247"/>
      <c r="CO1269" s="36"/>
      <c r="CP1269" s="496" t="s">
        <v>5800</v>
      </c>
      <c r="CQ1269" s="241" t="s">
        <v>272</v>
      </c>
      <c r="CR1269" s="241"/>
      <c r="CS1269" s="33"/>
      <c r="CT1269" s="33"/>
      <c r="CU1269" s="250" t="s">
        <v>6310</v>
      </c>
      <c r="CV1269" s="337" t="s">
        <v>6310</v>
      </c>
      <c r="CW1269" s="330">
        <f t="shared" ref="CW1269:CW1300" si="294">IF(CU1269&lt;2,0,1)</f>
        <v>1</v>
      </c>
      <c r="CX1269" s="330"/>
      <c r="CY1269" s="143" t="s">
        <v>5921</v>
      </c>
    </row>
    <row r="1270" spans="1:103" ht="11.25" customHeight="1" x14ac:dyDescent="0.2">
      <c r="A1270" s="72">
        <v>1973</v>
      </c>
      <c r="B1270" s="241">
        <v>2104</v>
      </c>
      <c r="C1270" s="32" t="s">
        <v>5806</v>
      </c>
      <c r="D1270" s="32"/>
      <c r="E1270" s="40"/>
      <c r="F1270" s="241" t="s">
        <v>6400</v>
      </c>
      <c r="G1270" s="241" t="s">
        <v>6400</v>
      </c>
      <c r="H1270" s="36"/>
      <c r="I1270" s="36"/>
      <c r="J1270" s="36"/>
      <c r="K1270" s="36"/>
      <c r="L1270" s="36"/>
      <c r="M1270" s="36"/>
      <c r="N1270" s="36"/>
      <c r="O1270" s="36"/>
      <c r="P1270" s="41"/>
      <c r="Q1270" s="41"/>
      <c r="R1270" s="41"/>
      <c r="S1270" s="41"/>
      <c r="T1270" s="37">
        <v>469</v>
      </c>
      <c r="U1270" s="243"/>
      <c r="V1270" s="243"/>
      <c r="W1270" s="243"/>
      <c r="X1270" s="243"/>
      <c r="Y1270" s="414"/>
      <c r="Z1270" s="37"/>
      <c r="AA1270" s="37"/>
      <c r="AB1270" s="37"/>
      <c r="AC1270" s="37"/>
      <c r="AD1270" s="37"/>
      <c r="AE1270" s="37"/>
      <c r="AF1270" s="37"/>
      <c r="AG1270" s="37">
        <v>2.0369999999999999</v>
      </c>
      <c r="AH1270" s="243"/>
      <c r="AI1270" s="243"/>
      <c r="AJ1270" s="34"/>
      <c r="AK1270" s="34"/>
      <c r="AL1270" s="34"/>
      <c r="AM1270" s="34"/>
      <c r="AN1270" s="244"/>
      <c r="AO1270" s="417"/>
      <c r="AP1270" s="417"/>
      <c r="AQ1270" s="244" t="s">
        <v>6311</v>
      </c>
      <c r="AR1270" s="244" t="s">
        <v>6311</v>
      </c>
      <c r="AS1270" s="241" t="s">
        <v>5466</v>
      </c>
      <c r="AT1270" s="39" t="s">
        <v>266</v>
      </c>
      <c r="AU1270" s="37">
        <v>24</v>
      </c>
      <c r="AV1270" s="37">
        <v>96</v>
      </c>
      <c r="AW1270" s="37">
        <v>72</v>
      </c>
      <c r="AX1270" s="37">
        <v>26</v>
      </c>
      <c r="AY1270" s="37" t="s">
        <v>5799</v>
      </c>
      <c r="AZ1270" s="37" t="s">
        <v>5717</v>
      </c>
      <c r="BA1270" s="37">
        <v>72</v>
      </c>
      <c r="BB1270" s="36" t="s">
        <v>5666</v>
      </c>
      <c r="BC1270" s="36" t="s">
        <v>5721</v>
      </c>
      <c r="BD1270" s="36"/>
      <c r="BE1270" s="37" t="s">
        <v>1584</v>
      </c>
      <c r="BF1270" s="37"/>
      <c r="BG1270" s="37"/>
      <c r="BH1270" s="37"/>
      <c r="BI1270" s="250">
        <v>5.8625000000000007</v>
      </c>
      <c r="BJ1270" s="250">
        <v>586.25</v>
      </c>
      <c r="BK1270" s="37"/>
      <c r="BL1270" s="263"/>
      <c r="BM1270" s="37"/>
      <c r="BN1270" s="37"/>
      <c r="BO1270" s="37"/>
      <c r="BP1270" s="37"/>
      <c r="BQ1270" s="37"/>
      <c r="BR1270" s="37"/>
      <c r="BS1270" s="37"/>
      <c r="BT1270" s="37"/>
      <c r="BU1270" s="246"/>
      <c r="BV1270" s="37"/>
      <c r="BW1270" s="37"/>
      <c r="BX1270" s="37"/>
      <c r="BY1270" s="37"/>
      <c r="BZ1270" s="37"/>
      <c r="CA1270" s="37">
        <v>102.95488</v>
      </c>
      <c r="CB1270" s="37"/>
      <c r="CC1270" s="37"/>
      <c r="CD1270" s="37"/>
      <c r="CE1270" s="37"/>
      <c r="CF1270" s="37"/>
      <c r="CG1270" s="37"/>
      <c r="CH1270" s="37"/>
      <c r="CI1270" s="243">
        <v>102.95488</v>
      </c>
      <c r="CJ1270" s="243">
        <f t="shared" si="292"/>
        <v>2.0126469367417408</v>
      </c>
      <c r="CK1270" s="38">
        <f t="shared" si="290"/>
        <v>0</v>
      </c>
      <c r="CL1270" s="38">
        <f t="shared" si="293"/>
        <v>0</v>
      </c>
      <c r="CM1270" s="38"/>
      <c r="CN1270" s="247"/>
      <c r="CO1270" s="36"/>
      <c r="CP1270" s="496" t="s">
        <v>5800</v>
      </c>
      <c r="CQ1270" s="241" t="s">
        <v>272</v>
      </c>
      <c r="CR1270" s="241"/>
      <c r="CS1270" s="33"/>
      <c r="CT1270" s="33"/>
      <c r="CU1270" s="250" t="s">
        <v>6310</v>
      </c>
      <c r="CV1270" s="337" t="s">
        <v>6310</v>
      </c>
      <c r="CW1270" s="330">
        <f t="shared" si="294"/>
        <v>1</v>
      </c>
      <c r="CX1270" s="330"/>
      <c r="CY1270" s="143" t="s">
        <v>5921</v>
      </c>
    </row>
    <row r="1271" spans="1:103" ht="11.25" customHeight="1" x14ac:dyDescent="0.2">
      <c r="A1271" s="72">
        <v>1974</v>
      </c>
      <c r="B1271" s="241">
        <v>2105</v>
      </c>
      <c r="C1271" s="32" t="s">
        <v>5807</v>
      </c>
      <c r="D1271" s="32"/>
      <c r="E1271" s="40"/>
      <c r="F1271" s="241" t="s">
        <v>6401</v>
      </c>
      <c r="G1271" s="241" t="s">
        <v>6401</v>
      </c>
      <c r="H1271" s="36"/>
      <c r="I1271" s="36"/>
      <c r="J1271" s="36"/>
      <c r="K1271" s="36"/>
      <c r="L1271" s="36"/>
      <c r="M1271" s="36"/>
      <c r="N1271" s="36"/>
      <c r="O1271" s="36"/>
      <c r="P1271" s="41"/>
      <c r="Q1271" s="41"/>
      <c r="R1271" s="41"/>
      <c r="S1271" s="41"/>
      <c r="T1271" s="37">
        <v>439</v>
      </c>
      <c r="U1271" s="243"/>
      <c r="V1271" s="243"/>
      <c r="W1271" s="243"/>
      <c r="X1271" s="243"/>
      <c r="Y1271" s="414"/>
      <c r="Z1271" s="37"/>
      <c r="AA1271" s="37"/>
      <c r="AB1271" s="37"/>
      <c r="AC1271" s="37"/>
      <c r="AD1271" s="37"/>
      <c r="AE1271" s="37"/>
      <c r="AF1271" s="37"/>
      <c r="AG1271" s="37">
        <v>2.052</v>
      </c>
      <c r="AH1271" s="243"/>
      <c r="AI1271" s="243"/>
      <c r="AJ1271" s="34"/>
      <c r="AK1271" s="34"/>
      <c r="AL1271" s="34"/>
      <c r="AM1271" s="34"/>
      <c r="AN1271" s="244"/>
      <c r="AO1271" s="417"/>
      <c r="AP1271" s="417"/>
      <c r="AQ1271" s="244" t="s">
        <v>6311</v>
      </c>
      <c r="AR1271" s="244" t="s">
        <v>6311</v>
      </c>
      <c r="AS1271" s="241" t="s">
        <v>5466</v>
      </c>
      <c r="AT1271" s="39" t="s">
        <v>266</v>
      </c>
      <c r="AU1271" s="37">
        <v>24</v>
      </c>
      <c r="AV1271" s="37">
        <v>96</v>
      </c>
      <c r="AW1271" s="37">
        <v>72</v>
      </c>
      <c r="AX1271" s="37">
        <v>26</v>
      </c>
      <c r="AY1271" s="37" t="s">
        <v>5799</v>
      </c>
      <c r="AZ1271" s="37" t="s">
        <v>5717</v>
      </c>
      <c r="BA1271" s="37">
        <v>72</v>
      </c>
      <c r="BB1271" s="36" t="s">
        <v>5666</v>
      </c>
      <c r="BC1271" s="36" t="s">
        <v>5721</v>
      </c>
      <c r="BD1271" s="36"/>
      <c r="BE1271" s="37" t="s">
        <v>1584</v>
      </c>
      <c r="BF1271" s="37"/>
      <c r="BG1271" s="37"/>
      <c r="BH1271" s="37"/>
      <c r="BI1271" s="250">
        <v>5.4875000000000007</v>
      </c>
      <c r="BJ1271" s="250">
        <v>548.75</v>
      </c>
      <c r="BK1271" s="37"/>
      <c r="BL1271" s="263"/>
      <c r="BM1271" s="37"/>
      <c r="BN1271" s="37"/>
      <c r="BO1271" s="37"/>
      <c r="BP1271" s="37"/>
      <c r="BQ1271" s="37"/>
      <c r="BR1271" s="37"/>
      <c r="BS1271" s="37"/>
      <c r="BT1271" s="37"/>
      <c r="BU1271" s="246"/>
      <c r="BV1271" s="37"/>
      <c r="BW1271" s="37"/>
      <c r="BX1271" s="37"/>
      <c r="BY1271" s="37"/>
      <c r="BZ1271" s="37"/>
      <c r="CA1271" s="37">
        <v>123.12194</v>
      </c>
      <c r="CB1271" s="37"/>
      <c r="CC1271" s="37"/>
      <c r="CD1271" s="37"/>
      <c r="CE1271" s="37"/>
      <c r="CF1271" s="37"/>
      <c r="CG1271" s="37"/>
      <c r="CH1271" s="37"/>
      <c r="CI1271" s="243">
        <v>123.12194</v>
      </c>
      <c r="CJ1271" s="243">
        <f t="shared" si="292"/>
        <v>2.0903354499411697</v>
      </c>
      <c r="CK1271" s="38">
        <f t="shared" si="290"/>
        <v>0</v>
      </c>
      <c r="CL1271" s="38">
        <f t="shared" si="293"/>
        <v>0</v>
      </c>
      <c r="CM1271" s="38"/>
      <c r="CN1271" s="247"/>
      <c r="CO1271" s="36"/>
      <c r="CP1271" s="496" t="s">
        <v>5800</v>
      </c>
      <c r="CQ1271" s="241" t="s">
        <v>272</v>
      </c>
      <c r="CR1271" s="241"/>
      <c r="CS1271" s="33"/>
      <c r="CT1271" s="33"/>
      <c r="CU1271" s="250" t="s">
        <v>6310</v>
      </c>
      <c r="CV1271" s="337" t="s">
        <v>6310</v>
      </c>
      <c r="CW1271" s="330">
        <f t="shared" si="294"/>
        <v>1</v>
      </c>
      <c r="CX1271" s="330"/>
      <c r="CY1271" s="143" t="s">
        <v>5921</v>
      </c>
    </row>
    <row r="1272" spans="1:103" ht="11.25" customHeight="1" x14ac:dyDescent="0.2">
      <c r="A1272" s="72">
        <v>1975</v>
      </c>
      <c r="B1272" s="241">
        <v>2098</v>
      </c>
      <c r="C1272" s="32" t="s">
        <v>5798</v>
      </c>
      <c r="D1272" s="32"/>
      <c r="E1272" s="40"/>
      <c r="F1272" s="241" t="s">
        <v>6402</v>
      </c>
      <c r="G1272" s="241" t="s">
        <v>6402</v>
      </c>
      <c r="H1272" s="36"/>
      <c r="I1272" s="36"/>
      <c r="J1272" s="36"/>
      <c r="K1272" s="36"/>
      <c r="L1272" s="36"/>
      <c r="M1272" s="36"/>
      <c r="N1272" s="36"/>
      <c r="O1272" s="36"/>
      <c r="P1272" s="41"/>
      <c r="Q1272" s="41"/>
      <c r="R1272" s="41"/>
      <c r="S1272" s="41"/>
      <c r="T1272" s="37">
        <v>439</v>
      </c>
      <c r="U1272" s="243"/>
      <c r="V1272" s="243"/>
      <c r="W1272" s="243"/>
      <c r="X1272" s="243"/>
      <c r="Y1272" s="414"/>
      <c r="Z1272" s="37"/>
      <c r="AA1272" s="37"/>
      <c r="AB1272" s="37"/>
      <c r="AC1272" s="37"/>
      <c r="AD1272" s="37"/>
      <c r="AE1272" s="37"/>
      <c r="AF1272" s="37"/>
      <c r="AG1272" s="37">
        <v>2.0779999999999998</v>
      </c>
      <c r="AH1272" s="243"/>
      <c r="AI1272" s="243"/>
      <c r="AJ1272" s="34"/>
      <c r="AK1272" s="34"/>
      <c r="AL1272" s="34"/>
      <c r="AM1272" s="34"/>
      <c r="AN1272" s="244"/>
      <c r="AO1272" s="417"/>
      <c r="AP1272" s="417"/>
      <c r="AQ1272" s="244" t="s">
        <v>6311</v>
      </c>
      <c r="AR1272" s="244" t="s">
        <v>6311</v>
      </c>
      <c r="AS1272" s="241" t="s">
        <v>5466</v>
      </c>
      <c r="AT1272" s="39" t="s">
        <v>266</v>
      </c>
      <c r="AU1272" s="37">
        <v>24</v>
      </c>
      <c r="AV1272" s="37">
        <v>96</v>
      </c>
      <c r="AW1272" s="37">
        <v>72</v>
      </c>
      <c r="AX1272" s="37">
        <v>26</v>
      </c>
      <c r="AY1272" s="37" t="s">
        <v>5799</v>
      </c>
      <c r="AZ1272" s="37" t="s">
        <v>5717</v>
      </c>
      <c r="BA1272" s="37">
        <v>72</v>
      </c>
      <c r="BB1272" s="36" t="s">
        <v>5666</v>
      </c>
      <c r="BC1272" s="36" t="s">
        <v>5721</v>
      </c>
      <c r="BD1272" s="36"/>
      <c r="BE1272" s="37" t="s">
        <v>1584</v>
      </c>
      <c r="BF1272" s="37"/>
      <c r="BG1272" s="37"/>
      <c r="BH1272" s="37"/>
      <c r="BI1272" s="250">
        <v>5.4875000000000007</v>
      </c>
      <c r="BJ1272" s="250">
        <v>548.75</v>
      </c>
      <c r="BK1272" s="37"/>
      <c r="BL1272" s="263"/>
      <c r="BM1272" s="37"/>
      <c r="BN1272" s="37"/>
      <c r="BO1272" s="37"/>
      <c r="BP1272" s="37"/>
      <c r="BQ1272" s="37"/>
      <c r="BR1272" s="37"/>
      <c r="BS1272" s="37"/>
      <c r="BT1272" s="37"/>
      <c r="BU1272" s="246"/>
      <c r="BV1272" s="37"/>
      <c r="BW1272" s="37"/>
      <c r="BX1272" s="37"/>
      <c r="BY1272" s="37"/>
      <c r="BZ1272" s="37"/>
      <c r="CA1272" s="37">
        <v>48.65437</v>
      </c>
      <c r="CB1272" s="37"/>
      <c r="CC1272" s="37"/>
      <c r="CD1272" s="37"/>
      <c r="CE1272" s="37"/>
      <c r="CF1272" s="37"/>
      <c r="CG1272" s="37"/>
      <c r="CH1272" s="37"/>
      <c r="CI1272" s="243">
        <v>48.65437</v>
      </c>
      <c r="CJ1272" s="243">
        <f t="shared" si="292"/>
        <v>1.6871218534769874</v>
      </c>
      <c r="CK1272" s="38">
        <f t="shared" si="290"/>
        <v>0</v>
      </c>
      <c r="CL1272" s="38">
        <f t="shared" si="293"/>
        <v>0</v>
      </c>
      <c r="CM1272" s="38"/>
      <c r="CN1272" s="247"/>
      <c r="CO1272" s="36"/>
      <c r="CP1272" s="496" t="s">
        <v>5800</v>
      </c>
      <c r="CQ1272" s="241" t="s">
        <v>272</v>
      </c>
      <c r="CR1272" s="241"/>
      <c r="CS1272" s="33"/>
      <c r="CT1272" s="33"/>
      <c r="CU1272" s="250" t="s">
        <v>6310</v>
      </c>
      <c r="CV1272" s="337" t="s">
        <v>6310</v>
      </c>
      <c r="CW1272" s="330">
        <f t="shared" si="294"/>
        <v>1</v>
      </c>
      <c r="CX1272" s="330"/>
      <c r="CY1272" s="143" t="s">
        <v>5921</v>
      </c>
    </row>
    <row r="1273" spans="1:103" ht="11.25" customHeight="1" x14ac:dyDescent="0.2">
      <c r="A1273" s="72">
        <v>1976</v>
      </c>
      <c r="B1273" s="241">
        <v>2117</v>
      </c>
      <c r="C1273" s="32" t="s">
        <v>5819</v>
      </c>
      <c r="D1273" s="32"/>
      <c r="E1273" s="40"/>
      <c r="F1273" s="241" t="s">
        <v>6403</v>
      </c>
      <c r="G1273" s="241" t="s">
        <v>6403</v>
      </c>
      <c r="H1273" s="36"/>
      <c r="I1273" s="36"/>
      <c r="J1273" s="36"/>
      <c r="K1273" s="36"/>
      <c r="L1273" s="36"/>
      <c r="M1273" s="36"/>
      <c r="N1273" s="36"/>
      <c r="O1273" s="36"/>
      <c r="P1273" s="41"/>
      <c r="Q1273" s="41"/>
      <c r="R1273" s="41"/>
      <c r="S1273" s="41"/>
      <c r="T1273" s="37">
        <v>468</v>
      </c>
      <c r="U1273" s="243"/>
      <c r="V1273" s="243"/>
      <c r="W1273" s="243"/>
      <c r="X1273" s="243"/>
      <c r="Y1273" s="414"/>
      <c r="Z1273" s="37"/>
      <c r="AA1273" s="37"/>
      <c r="AB1273" s="37"/>
      <c r="AC1273" s="37"/>
      <c r="AD1273" s="37"/>
      <c r="AE1273" s="37"/>
      <c r="AF1273" s="37"/>
      <c r="AG1273" s="37">
        <v>2.2309999999999999</v>
      </c>
      <c r="AH1273" s="243"/>
      <c r="AI1273" s="243"/>
      <c r="AJ1273" s="34"/>
      <c r="AK1273" s="34"/>
      <c r="AL1273" s="34"/>
      <c r="AM1273" s="34"/>
      <c r="AN1273" s="244"/>
      <c r="AO1273" s="417"/>
      <c r="AP1273" s="417"/>
      <c r="AQ1273" s="244" t="s">
        <v>6311</v>
      </c>
      <c r="AR1273" s="244" t="s">
        <v>6311</v>
      </c>
      <c r="AS1273" s="241" t="s">
        <v>5466</v>
      </c>
      <c r="AT1273" s="39" t="s">
        <v>266</v>
      </c>
      <c r="AU1273" s="37">
        <v>24</v>
      </c>
      <c r="AV1273" s="37">
        <v>96</v>
      </c>
      <c r="AW1273" s="37">
        <v>72</v>
      </c>
      <c r="AX1273" s="37">
        <v>26</v>
      </c>
      <c r="AY1273" s="37" t="s">
        <v>5799</v>
      </c>
      <c r="AZ1273" s="37" t="s">
        <v>5717</v>
      </c>
      <c r="BA1273" s="37">
        <v>72</v>
      </c>
      <c r="BB1273" s="36" t="s">
        <v>5666</v>
      </c>
      <c r="BC1273" s="36" t="s">
        <v>5721</v>
      </c>
      <c r="BD1273" s="36"/>
      <c r="BE1273" s="37" t="s">
        <v>1584</v>
      </c>
      <c r="BF1273" s="37"/>
      <c r="BG1273" s="37"/>
      <c r="BH1273" s="37"/>
      <c r="BI1273" s="250">
        <v>5.8500000000000005</v>
      </c>
      <c r="BJ1273" s="250">
        <v>585</v>
      </c>
      <c r="BK1273" s="37"/>
      <c r="BL1273" s="263"/>
      <c r="BM1273" s="37"/>
      <c r="BN1273" s="37"/>
      <c r="BO1273" s="37"/>
      <c r="BP1273" s="37"/>
      <c r="BQ1273" s="37"/>
      <c r="BR1273" s="37"/>
      <c r="BS1273" s="37"/>
      <c r="BT1273" s="37"/>
      <c r="BU1273" s="246"/>
      <c r="BV1273" s="37"/>
      <c r="BW1273" s="37"/>
      <c r="BX1273" s="37"/>
      <c r="BY1273" s="37"/>
      <c r="BZ1273" s="37"/>
      <c r="CA1273" s="37">
        <v>136.91808</v>
      </c>
      <c r="CB1273" s="37"/>
      <c r="CC1273" s="37"/>
      <c r="CD1273" s="37"/>
      <c r="CE1273" s="37"/>
      <c r="CF1273" s="37"/>
      <c r="CG1273" s="37"/>
      <c r="CH1273" s="37"/>
      <c r="CI1273" s="243">
        <v>136.91808</v>
      </c>
      <c r="CJ1273" s="243">
        <f t="shared" si="292"/>
        <v>2.1364608004041119</v>
      </c>
      <c r="CK1273" s="38">
        <f t="shared" si="290"/>
        <v>0</v>
      </c>
      <c r="CL1273" s="38">
        <f t="shared" si="293"/>
        <v>0</v>
      </c>
      <c r="CM1273" s="38"/>
      <c r="CN1273" s="247"/>
      <c r="CO1273" s="36"/>
      <c r="CP1273" s="496" t="s">
        <v>5800</v>
      </c>
      <c r="CQ1273" s="241" t="s">
        <v>272</v>
      </c>
      <c r="CR1273" s="241"/>
      <c r="CS1273" s="33"/>
      <c r="CT1273" s="33"/>
      <c r="CU1273" s="250" t="s">
        <v>6310</v>
      </c>
      <c r="CV1273" s="337" t="s">
        <v>6310</v>
      </c>
      <c r="CW1273" s="330">
        <f t="shared" si="294"/>
        <v>1</v>
      </c>
      <c r="CX1273" s="330"/>
      <c r="CY1273" s="143" t="s">
        <v>5921</v>
      </c>
    </row>
    <row r="1274" spans="1:103" ht="11.25" customHeight="1" x14ac:dyDescent="0.2">
      <c r="A1274" s="72">
        <v>1977</v>
      </c>
      <c r="B1274" s="241">
        <v>2106</v>
      </c>
      <c r="C1274" s="32" t="s">
        <v>5808</v>
      </c>
      <c r="D1274" s="32"/>
      <c r="E1274" s="40"/>
      <c r="F1274" s="241" t="s">
        <v>6406</v>
      </c>
      <c r="G1274" s="241" t="s">
        <v>6406</v>
      </c>
      <c r="H1274" s="36"/>
      <c r="I1274" s="36"/>
      <c r="J1274" s="36"/>
      <c r="K1274" s="36"/>
      <c r="L1274" s="36"/>
      <c r="M1274" s="36"/>
      <c r="N1274" s="36"/>
      <c r="O1274" s="36"/>
      <c r="P1274" s="41"/>
      <c r="Q1274" s="41"/>
      <c r="R1274" s="41"/>
      <c r="S1274" s="41"/>
      <c r="T1274" s="37">
        <v>423</v>
      </c>
      <c r="U1274" s="243"/>
      <c r="V1274" s="243"/>
      <c r="W1274" s="243"/>
      <c r="X1274" s="243"/>
      <c r="Y1274" s="414"/>
      <c r="Z1274" s="37"/>
      <c r="AA1274" s="37"/>
      <c r="AB1274" s="37"/>
      <c r="AC1274" s="37"/>
      <c r="AD1274" s="37"/>
      <c r="AE1274" s="37"/>
      <c r="AF1274" s="37"/>
      <c r="AG1274" s="37">
        <v>2.2959999999999998</v>
      </c>
      <c r="AH1274" s="243"/>
      <c r="AI1274" s="243"/>
      <c r="AJ1274" s="34"/>
      <c r="AK1274" s="34"/>
      <c r="AL1274" s="34"/>
      <c r="AM1274" s="34"/>
      <c r="AN1274" s="244"/>
      <c r="AO1274" s="417"/>
      <c r="AP1274" s="417"/>
      <c r="AQ1274" s="244" t="s">
        <v>6311</v>
      </c>
      <c r="AR1274" s="244" t="s">
        <v>6311</v>
      </c>
      <c r="AS1274" s="241" t="s">
        <v>5466</v>
      </c>
      <c r="AT1274" s="39" t="s">
        <v>266</v>
      </c>
      <c r="AU1274" s="37">
        <v>24</v>
      </c>
      <c r="AV1274" s="37">
        <v>96</v>
      </c>
      <c r="AW1274" s="37">
        <v>72</v>
      </c>
      <c r="AX1274" s="37">
        <v>26</v>
      </c>
      <c r="AY1274" s="37" t="s">
        <v>5799</v>
      </c>
      <c r="AZ1274" s="37" t="s">
        <v>5717</v>
      </c>
      <c r="BA1274" s="37">
        <v>72</v>
      </c>
      <c r="BB1274" s="36" t="s">
        <v>5666</v>
      </c>
      <c r="BC1274" s="36" t="s">
        <v>5721</v>
      </c>
      <c r="BD1274" s="36"/>
      <c r="BE1274" s="37" t="s">
        <v>1584</v>
      </c>
      <c r="BF1274" s="37"/>
      <c r="BG1274" s="37"/>
      <c r="BH1274" s="37"/>
      <c r="BI1274" s="250">
        <v>5.2875000000000005</v>
      </c>
      <c r="BJ1274" s="250">
        <v>528.75</v>
      </c>
      <c r="BK1274" s="37"/>
      <c r="BL1274" s="263"/>
      <c r="BM1274" s="37"/>
      <c r="BN1274" s="37"/>
      <c r="BO1274" s="37"/>
      <c r="BP1274" s="37"/>
      <c r="BQ1274" s="37"/>
      <c r="BR1274" s="37"/>
      <c r="BS1274" s="37"/>
      <c r="BT1274" s="37"/>
      <c r="BU1274" s="246"/>
      <c r="BV1274" s="37"/>
      <c r="BW1274" s="37"/>
      <c r="BX1274" s="37"/>
      <c r="BY1274" s="37"/>
      <c r="BZ1274" s="37"/>
      <c r="CA1274" s="37">
        <v>94.231709999999993</v>
      </c>
      <c r="CB1274" s="37"/>
      <c r="CC1274" s="37"/>
      <c r="CD1274" s="37"/>
      <c r="CE1274" s="37"/>
      <c r="CF1274" s="37"/>
      <c r="CG1274" s="37"/>
      <c r="CH1274" s="37"/>
      <c r="CI1274" s="243">
        <v>94.231709999999993</v>
      </c>
      <c r="CJ1274" s="243">
        <f t="shared" si="292"/>
        <v>1.9741970722263675</v>
      </c>
      <c r="CK1274" s="38">
        <f t="shared" si="290"/>
        <v>0</v>
      </c>
      <c r="CL1274" s="38">
        <f t="shared" si="293"/>
        <v>0</v>
      </c>
      <c r="CM1274" s="38"/>
      <c r="CN1274" s="247"/>
      <c r="CO1274" s="36"/>
      <c r="CP1274" s="496" t="s">
        <v>5800</v>
      </c>
      <c r="CQ1274" s="241" t="s">
        <v>272</v>
      </c>
      <c r="CR1274" s="241"/>
      <c r="CS1274" s="33"/>
      <c r="CT1274" s="33"/>
      <c r="CU1274" s="250" t="s">
        <v>6310</v>
      </c>
      <c r="CV1274" s="337" t="s">
        <v>6310</v>
      </c>
      <c r="CW1274" s="330">
        <f t="shared" si="294"/>
        <v>1</v>
      </c>
      <c r="CX1274" s="330"/>
      <c r="CY1274" s="143" t="s">
        <v>5921</v>
      </c>
    </row>
    <row r="1275" spans="1:103" ht="11.25" customHeight="1" x14ac:dyDescent="0.2">
      <c r="A1275" s="72">
        <v>1978</v>
      </c>
      <c r="B1275" s="241">
        <v>2110</v>
      </c>
      <c r="C1275" s="32" t="s">
        <v>5812</v>
      </c>
      <c r="D1275" s="32"/>
      <c r="E1275" s="40"/>
      <c r="F1275" s="241" t="s">
        <v>6404</v>
      </c>
      <c r="G1275" s="241" t="s">
        <v>6404</v>
      </c>
      <c r="H1275" s="36"/>
      <c r="I1275" s="36"/>
      <c r="J1275" s="36"/>
      <c r="K1275" s="36"/>
      <c r="L1275" s="36"/>
      <c r="M1275" s="36"/>
      <c r="N1275" s="36"/>
      <c r="O1275" s="36"/>
      <c r="P1275" s="41"/>
      <c r="Q1275" s="41"/>
      <c r="R1275" s="41"/>
      <c r="S1275" s="41"/>
      <c r="T1275" s="37">
        <v>503</v>
      </c>
      <c r="U1275" s="243"/>
      <c r="V1275" s="243"/>
      <c r="W1275" s="243"/>
      <c r="X1275" s="243"/>
      <c r="Y1275" s="414"/>
      <c r="Z1275" s="37"/>
      <c r="AA1275" s="37"/>
      <c r="AB1275" s="37"/>
      <c r="AC1275" s="37"/>
      <c r="AD1275" s="37"/>
      <c r="AE1275" s="37"/>
      <c r="AF1275" s="37"/>
      <c r="AG1275" s="37">
        <v>2.6909999999999998</v>
      </c>
      <c r="AH1275" s="243"/>
      <c r="AI1275" s="243"/>
      <c r="AJ1275" s="34"/>
      <c r="AK1275" s="34"/>
      <c r="AL1275" s="34"/>
      <c r="AM1275" s="34"/>
      <c r="AN1275" s="244"/>
      <c r="AO1275" s="417"/>
      <c r="AP1275" s="417"/>
      <c r="AQ1275" s="244" t="s">
        <v>6311</v>
      </c>
      <c r="AR1275" s="244" t="s">
        <v>6311</v>
      </c>
      <c r="AS1275" s="241" t="s">
        <v>5466</v>
      </c>
      <c r="AT1275" s="39" t="s">
        <v>266</v>
      </c>
      <c r="AU1275" s="37">
        <v>24</v>
      </c>
      <c r="AV1275" s="37">
        <v>96</v>
      </c>
      <c r="AW1275" s="37">
        <v>72</v>
      </c>
      <c r="AX1275" s="37">
        <v>26</v>
      </c>
      <c r="AY1275" s="37" t="s">
        <v>5799</v>
      </c>
      <c r="AZ1275" s="37" t="s">
        <v>5717</v>
      </c>
      <c r="BA1275" s="37">
        <v>72</v>
      </c>
      <c r="BB1275" s="36" t="s">
        <v>5666</v>
      </c>
      <c r="BC1275" s="36" t="s">
        <v>5721</v>
      </c>
      <c r="BD1275" s="36"/>
      <c r="BE1275" s="37" t="s">
        <v>1584</v>
      </c>
      <c r="BF1275" s="37"/>
      <c r="BG1275" s="37"/>
      <c r="BH1275" s="37"/>
      <c r="BI1275" s="250">
        <v>6.2875000000000005</v>
      </c>
      <c r="BJ1275" s="250">
        <v>628.75</v>
      </c>
      <c r="BK1275" s="37"/>
      <c r="BL1275" s="263"/>
      <c r="BM1275" s="37"/>
      <c r="BN1275" s="37"/>
      <c r="BO1275" s="37"/>
      <c r="BP1275" s="37"/>
      <c r="BQ1275" s="37"/>
      <c r="BR1275" s="37"/>
      <c r="BS1275" s="37"/>
      <c r="BT1275" s="37"/>
      <c r="BU1275" s="246"/>
      <c r="BV1275" s="37"/>
      <c r="BW1275" s="37"/>
      <c r="BX1275" s="37"/>
      <c r="BY1275" s="37"/>
      <c r="BZ1275" s="37"/>
      <c r="CA1275" s="37">
        <v>106.17827</v>
      </c>
      <c r="CB1275" s="37"/>
      <c r="CC1275" s="37"/>
      <c r="CD1275" s="37"/>
      <c r="CE1275" s="37"/>
      <c r="CF1275" s="37"/>
      <c r="CG1275" s="37"/>
      <c r="CH1275" s="37"/>
      <c r="CI1275" s="243">
        <v>106.17827</v>
      </c>
      <c r="CJ1275" s="243">
        <f t="shared" si="292"/>
        <v>2.0260356449496242</v>
      </c>
      <c r="CK1275" s="38">
        <f t="shared" si="290"/>
        <v>0</v>
      </c>
      <c r="CL1275" s="38">
        <f t="shared" si="293"/>
        <v>0</v>
      </c>
      <c r="CM1275" s="38"/>
      <c r="CN1275" s="247"/>
      <c r="CO1275" s="36"/>
      <c r="CP1275" s="496" t="s">
        <v>5800</v>
      </c>
      <c r="CQ1275" s="241" t="s">
        <v>272</v>
      </c>
      <c r="CR1275" s="241"/>
      <c r="CS1275" s="33"/>
      <c r="CT1275" s="33"/>
      <c r="CU1275" s="250" t="s">
        <v>6310</v>
      </c>
      <c r="CV1275" s="337" t="s">
        <v>6310</v>
      </c>
      <c r="CW1275" s="330">
        <f t="shared" si="294"/>
        <v>1</v>
      </c>
      <c r="CX1275" s="330"/>
      <c r="CY1275" s="143" t="s">
        <v>5921</v>
      </c>
    </row>
    <row r="1276" spans="1:103" ht="11.25" customHeight="1" x14ac:dyDescent="0.2">
      <c r="A1276" s="72">
        <v>1979</v>
      </c>
      <c r="B1276" s="241">
        <v>2111</v>
      </c>
      <c r="C1276" s="32" t="s">
        <v>5813</v>
      </c>
      <c r="D1276" s="32"/>
      <c r="E1276" s="40"/>
      <c r="F1276" s="241" t="s">
        <v>6407</v>
      </c>
      <c r="G1276" s="241" t="s">
        <v>6407</v>
      </c>
      <c r="H1276" s="36"/>
      <c r="I1276" s="36"/>
      <c r="J1276" s="36"/>
      <c r="K1276" s="36"/>
      <c r="L1276" s="36"/>
      <c r="M1276" s="36"/>
      <c r="N1276" s="36"/>
      <c r="O1276" s="36"/>
      <c r="P1276" s="41"/>
      <c r="Q1276" s="41"/>
      <c r="R1276" s="41"/>
      <c r="S1276" s="41"/>
      <c r="T1276" s="37">
        <v>473</v>
      </c>
      <c r="U1276" s="243"/>
      <c r="V1276" s="243"/>
      <c r="W1276" s="243"/>
      <c r="X1276" s="243"/>
      <c r="Y1276" s="414"/>
      <c r="Z1276" s="37"/>
      <c r="AA1276" s="37"/>
      <c r="AB1276" s="37"/>
      <c r="AC1276" s="37"/>
      <c r="AD1276" s="37"/>
      <c r="AE1276" s="37"/>
      <c r="AF1276" s="37"/>
      <c r="AG1276" s="37">
        <v>2.706</v>
      </c>
      <c r="AH1276" s="243"/>
      <c r="AI1276" s="243"/>
      <c r="AJ1276" s="34"/>
      <c r="AK1276" s="34"/>
      <c r="AL1276" s="34"/>
      <c r="AM1276" s="34"/>
      <c r="AN1276" s="244"/>
      <c r="AO1276" s="417"/>
      <c r="AP1276" s="417"/>
      <c r="AQ1276" s="244" t="s">
        <v>6311</v>
      </c>
      <c r="AR1276" s="244" t="s">
        <v>6311</v>
      </c>
      <c r="AS1276" s="241" t="s">
        <v>5466</v>
      </c>
      <c r="AT1276" s="39" t="s">
        <v>266</v>
      </c>
      <c r="AU1276" s="37">
        <v>24</v>
      </c>
      <c r="AV1276" s="37">
        <v>96</v>
      </c>
      <c r="AW1276" s="37">
        <v>72</v>
      </c>
      <c r="AX1276" s="37">
        <v>26</v>
      </c>
      <c r="AY1276" s="37" t="s">
        <v>5799</v>
      </c>
      <c r="AZ1276" s="37" t="s">
        <v>5717</v>
      </c>
      <c r="BA1276" s="37">
        <v>72</v>
      </c>
      <c r="BB1276" s="36" t="s">
        <v>5666</v>
      </c>
      <c r="BC1276" s="36" t="s">
        <v>5721</v>
      </c>
      <c r="BD1276" s="36"/>
      <c r="BE1276" s="37" t="s">
        <v>1584</v>
      </c>
      <c r="BF1276" s="37"/>
      <c r="BG1276" s="37"/>
      <c r="BH1276" s="37"/>
      <c r="BI1276" s="250">
        <v>5.9125000000000005</v>
      </c>
      <c r="BJ1276" s="250">
        <v>591.25</v>
      </c>
      <c r="BK1276" s="37"/>
      <c r="BL1276" s="263"/>
      <c r="BM1276" s="37"/>
      <c r="BN1276" s="37"/>
      <c r="BO1276" s="37"/>
      <c r="BP1276" s="37"/>
      <c r="BQ1276" s="37"/>
      <c r="BR1276" s="37"/>
      <c r="BS1276" s="37"/>
      <c r="BT1276" s="37"/>
      <c r="BU1276" s="246"/>
      <c r="BV1276" s="37"/>
      <c r="BW1276" s="37"/>
      <c r="BX1276" s="37"/>
      <c r="BY1276" s="37"/>
      <c r="BZ1276" s="37"/>
      <c r="CA1276" s="37">
        <v>103.83768999999999</v>
      </c>
      <c r="CB1276" s="37"/>
      <c r="CC1276" s="37"/>
      <c r="CD1276" s="37"/>
      <c r="CE1276" s="37"/>
      <c r="CF1276" s="37"/>
      <c r="CG1276" s="37"/>
      <c r="CH1276" s="37"/>
      <c r="CI1276" s="243">
        <v>103.83768999999999</v>
      </c>
      <c r="CJ1276" s="243">
        <f t="shared" si="292"/>
        <v>2.0163550181368404</v>
      </c>
      <c r="CK1276" s="38">
        <f t="shared" si="290"/>
        <v>0</v>
      </c>
      <c r="CL1276" s="38">
        <f t="shared" si="293"/>
        <v>0</v>
      </c>
      <c r="CM1276" s="38"/>
      <c r="CN1276" s="247"/>
      <c r="CO1276" s="36"/>
      <c r="CP1276" s="496" t="s">
        <v>5800</v>
      </c>
      <c r="CQ1276" s="241" t="s">
        <v>272</v>
      </c>
      <c r="CR1276" s="241"/>
      <c r="CS1276" s="33"/>
      <c r="CT1276" s="33"/>
      <c r="CU1276" s="250" t="s">
        <v>6310</v>
      </c>
      <c r="CV1276" s="337" t="s">
        <v>6310</v>
      </c>
      <c r="CW1276" s="330">
        <f t="shared" si="294"/>
        <v>1</v>
      </c>
      <c r="CX1276" s="330"/>
      <c r="CY1276" s="143" t="s">
        <v>5921</v>
      </c>
    </row>
    <row r="1277" spans="1:103" ht="11.25" customHeight="1" x14ac:dyDescent="0.2">
      <c r="A1277" s="72">
        <v>1980</v>
      </c>
      <c r="B1277" s="241">
        <v>2099</v>
      </c>
      <c r="C1277" s="32" t="s">
        <v>5801</v>
      </c>
      <c r="D1277" s="32"/>
      <c r="E1277" s="40"/>
      <c r="F1277" s="241" t="s">
        <v>6405</v>
      </c>
      <c r="G1277" s="241" t="s">
        <v>6405</v>
      </c>
      <c r="H1277" s="36"/>
      <c r="I1277" s="36"/>
      <c r="J1277" s="36"/>
      <c r="K1277" s="36"/>
      <c r="L1277" s="36"/>
      <c r="M1277" s="36"/>
      <c r="N1277" s="36"/>
      <c r="O1277" s="36"/>
      <c r="P1277" s="41"/>
      <c r="Q1277" s="41"/>
      <c r="R1277" s="41"/>
      <c r="S1277" s="41"/>
      <c r="T1277" s="37">
        <v>409</v>
      </c>
      <c r="U1277" s="243"/>
      <c r="V1277" s="243"/>
      <c r="W1277" s="243"/>
      <c r="X1277" s="243"/>
      <c r="Y1277" s="414"/>
      <c r="Z1277" s="37"/>
      <c r="AA1277" s="37"/>
      <c r="AB1277" s="37"/>
      <c r="AC1277" s="37"/>
      <c r="AD1277" s="37"/>
      <c r="AE1277" s="37"/>
      <c r="AF1277" s="37"/>
      <c r="AG1277" s="37">
        <v>2.7229999999999999</v>
      </c>
      <c r="AH1277" s="243"/>
      <c r="AI1277" s="243"/>
      <c r="AJ1277" s="34"/>
      <c r="AK1277" s="34"/>
      <c r="AL1277" s="34"/>
      <c r="AM1277" s="34"/>
      <c r="AN1277" s="244"/>
      <c r="AO1277" s="417"/>
      <c r="AP1277" s="417"/>
      <c r="AQ1277" s="244" t="s">
        <v>6311</v>
      </c>
      <c r="AR1277" s="244" t="s">
        <v>6311</v>
      </c>
      <c r="AS1277" s="241" t="s">
        <v>5466</v>
      </c>
      <c r="AT1277" s="39" t="s">
        <v>266</v>
      </c>
      <c r="AU1277" s="37">
        <v>24</v>
      </c>
      <c r="AV1277" s="37">
        <v>96</v>
      </c>
      <c r="AW1277" s="37">
        <v>72</v>
      </c>
      <c r="AX1277" s="37">
        <v>26</v>
      </c>
      <c r="AY1277" s="37" t="s">
        <v>5799</v>
      </c>
      <c r="AZ1277" s="37" t="s">
        <v>5717</v>
      </c>
      <c r="BA1277" s="37">
        <v>72</v>
      </c>
      <c r="BB1277" s="36" t="s">
        <v>5666</v>
      </c>
      <c r="BC1277" s="36" t="s">
        <v>5721</v>
      </c>
      <c r="BD1277" s="36"/>
      <c r="BE1277" s="37" t="s">
        <v>1584</v>
      </c>
      <c r="BF1277" s="37"/>
      <c r="BG1277" s="37"/>
      <c r="BH1277" s="37"/>
      <c r="BI1277" s="250">
        <v>5.1125000000000007</v>
      </c>
      <c r="BJ1277" s="250">
        <v>511.25</v>
      </c>
      <c r="BK1277" s="37"/>
      <c r="BL1277" s="263"/>
      <c r="BM1277" s="37"/>
      <c r="BN1277" s="37"/>
      <c r="BO1277" s="37"/>
      <c r="BP1277" s="37"/>
      <c r="BQ1277" s="37"/>
      <c r="BR1277" s="37"/>
      <c r="BS1277" s="37"/>
      <c r="BT1277" s="37"/>
      <c r="BU1277" s="246"/>
      <c r="BV1277" s="37"/>
      <c r="BW1277" s="37"/>
      <c r="BX1277" s="37"/>
      <c r="BY1277" s="37"/>
      <c r="BZ1277" s="37"/>
      <c r="CA1277" s="37">
        <v>34.531870000000005</v>
      </c>
      <c r="CB1277" s="37"/>
      <c r="CC1277" s="37"/>
      <c r="CD1277" s="37"/>
      <c r="CE1277" s="37"/>
      <c r="CF1277" s="37"/>
      <c r="CG1277" s="37"/>
      <c r="CH1277" s="37"/>
      <c r="CI1277" s="243">
        <v>34.531870000000005</v>
      </c>
      <c r="CJ1277" s="243">
        <f t="shared" si="292"/>
        <v>1.5382200972805622</v>
      </c>
      <c r="CK1277" s="38">
        <f t="shared" si="290"/>
        <v>0</v>
      </c>
      <c r="CL1277" s="38">
        <f t="shared" si="293"/>
        <v>0</v>
      </c>
      <c r="CM1277" s="38"/>
      <c r="CN1277" s="247"/>
      <c r="CO1277" s="36"/>
      <c r="CP1277" s="496" t="s">
        <v>5800</v>
      </c>
      <c r="CQ1277" s="241" t="s">
        <v>272</v>
      </c>
      <c r="CR1277" s="241"/>
      <c r="CS1277" s="33"/>
      <c r="CT1277" s="33"/>
      <c r="CU1277" s="250" t="s">
        <v>6310</v>
      </c>
      <c r="CV1277" s="337" t="s">
        <v>6310</v>
      </c>
      <c r="CW1277" s="330">
        <f t="shared" si="294"/>
        <v>1</v>
      </c>
      <c r="CX1277" s="330"/>
      <c r="CY1277" s="143" t="s">
        <v>5921</v>
      </c>
    </row>
    <row r="1278" spans="1:103" ht="11.25" customHeight="1" x14ac:dyDescent="0.2">
      <c r="A1278" s="72">
        <v>1981</v>
      </c>
      <c r="B1278" s="241">
        <v>2113</v>
      </c>
      <c r="C1278" s="32" t="s">
        <v>5815</v>
      </c>
      <c r="D1278" s="32"/>
      <c r="E1278" s="40"/>
      <c r="F1278" s="241" t="s">
        <v>6408</v>
      </c>
      <c r="G1278" s="241" t="s">
        <v>6408</v>
      </c>
      <c r="H1278" s="36"/>
      <c r="I1278" s="36"/>
      <c r="J1278" s="36"/>
      <c r="K1278" s="36"/>
      <c r="L1278" s="36"/>
      <c r="M1278" s="36"/>
      <c r="N1278" s="36"/>
      <c r="O1278" s="36"/>
      <c r="P1278" s="41"/>
      <c r="Q1278" s="41"/>
      <c r="R1278" s="41"/>
      <c r="S1278" s="41"/>
      <c r="T1278" s="37">
        <v>498</v>
      </c>
      <c r="U1278" s="243"/>
      <c r="V1278" s="243"/>
      <c r="W1278" s="243"/>
      <c r="X1278" s="243"/>
      <c r="Y1278" s="414"/>
      <c r="Z1278" s="37"/>
      <c r="AA1278" s="37"/>
      <c r="AB1278" s="37"/>
      <c r="AC1278" s="37"/>
      <c r="AD1278" s="37"/>
      <c r="AE1278" s="37"/>
      <c r="AF1278" s="37"/>
      <c r="AG1278" s="37">
        <v>2.8879999999999999</v>
      </c>
      <c r="AH1278" s="243"/>
      <c r="AI1278" s="243"/>
      <c r="AJ1278" s="34"/>
      <c r="AK1278" s="34"/>
      <c r="AL1278" s="34"/>
      <c r="AM1278" s="34"/>
      <c r="AN1278" s="244"/>
      <c r="AO1278" s="417"/>
      <c r="AP1278" s="417"/>
      <c r="AQ1278" s="244" t="s">
        <v>6311</v>
      </c>
      <c r="AR1278" s="244" t="s">
        <v>6311</v>
      </c>
      <c r="AS1278" s="241" t="s">
        <v>5466</v>
      </c>
      <c r="AT1278" s="39" t="s">
        <v>266</v>
      </c>
      <c r="AU1278" s="37">
        <v>24</v>
      </c>
      <c r="AV1278" s="37">
        <v>96</v>
      </c>
      <c r="AW1278" s="37">
        <v>72</v>
      </c>
      <c r="AX1278" s="37">
        <v>26</v>
      </c>
      <c r="AY1278" s="37" t="s">
        <v>5799</v>
      </c>
      <c r="AZ1278" s="37" t="s">
        <v>5717</v>
      </c>
      <c r="BA1278" s="37">
        <v>72</v>
      </c>
      <c r="BB1278" s="36" t="s">
        <v>5666</v>
      </c>
      <c r="BC1278" s="36" t="s">
        <v>5721</v>
      </c>
      <c r="BD1278" s="36"/>
      <c r="BE1278" s="37" t="s">
        <v>1584</v>
      </c>
      <c r="BF1278" s="37"/>
      <c r="BG1278" s="37"/>
      <c r="BH1278" s="37"/>
      <c r="BI1278" s="250">
        <v>6.2250000000000005</v>
      </c>
      <c r="BJ1278" s="250">
        <v>622.5</v>
      </c>
      <c r="BK1278" s="37"/>
      <c r="BL1278" s="263"/>
      <c r="BM1278" s="37"/>
      <c r="BN1278" s="37"/>
      <c r="BO1278" s="37"/>
      <c r="BP1278" s="37"/>
      <c r="BQ1278" s="37"/>
      <c r="BR1278" s="37"/>
      <c r="BS1278" s="37"/>
      <c r="BT1278" s="37"/>
      <c r="BU1278" s="246"/>
      <c r="BV1278" s="37"/>
      <c r="BW1278" s="37"/>
      <c r="BX1278" s="37"/>
      <c r="BY1278" s="37"/>
      <c r="BZ1278" s="37"/>
      <c r="CA1278" s="37">
        <v>28.00752</v>
      </c>
      <c r="CB1278" s="37"/>
      <c r="CC1278" s="37"/>
      <c r="CD1278" s="37"/>
      <c r="CE1278" s="37"/>
      <c r="CF1278" s="37"/>
      <c r="CG1278" s="37"/>
      <c r="CH1278" s="37"/>
      <c r="CI1278" s="243">
        <v>28.00752</v>
      </c>
      <c r="CJ1278" s="243">
        <f t="shared" si="292"/>
        <v>1.447274654771485</v>
      </c>
      <c r="CK1278" s="38">
        <f t="shared" si="290"/>
        <v>0</v>
      </c>
      <c r="CL1278" s="38">
        <f t="shared" si="293"/>
        <v>0</v>
      </c>
      <c r="CM1278" s="38"/>
      <c r="CN1278" s="247"/>
      <c r="CO1278" s="36"/>
      <c r="CP1278" s="496" t="s">
        <v>5800</v>
      </c>
      <c r="CQ1278" s="241" t="s">
        <v>272</v>
      </c>
      <c r="CR1278" s="241"/>
      <c r="CS1278" s="33"/>
      <c r="CT1278" s="33"/>
      <c r="CU1278" s="250" t="s">
        <v>6310</v>
      </c>
      <c r="CV1278" s="337" t="s">
        <v>6310</v>
      </c>
      <c r="CW1278" s="330">
        <f t="shared" si="294"/>
        <v>1</v>
      </c>
      <c r="CX1278" s="330"/>
      <c r="CY1278" s="143" t="s">
        <v>5921</v>
      </c>
    </row>
    <row r="1279" spans="1:103" ht="11.25" customHeight="1" x14ac:dyDescent="0.2">
      <c r="A1279" s="72">
        <v>1982</v>
      </c>
      <c r="B1279" s="241">
        <v>2114</v>
      </c>
      <c r="C1279" s="32" t="s">
        <v>5816</v>
      </c>
      <c r="D1279" s="32"/>
      <c r="E1279" s="40"/>
      <c r="F1279" s="241" t="s">
        <v>6410</v>
      </c>
      <c r="G1279" s="241" t="s">
        <v>6410</v>
      </c>
      <c r="H1279" s="36"/>
      <c r="I1279" s="36"/>
      <c r="J1279" s="36"/>
      <c r="K1279" s="36"/>
      <c r="L1279" s="36"/>
      <c r="M1279" s="36"/>
      <c r="N1279" s="36"/>
      <c r="O1279" s="36"/>
      <c r="P1279" s="41"/>
      <c r="Q1279" s="41"/>
      <c r="R1279" s="41"/>
      <c r="S1279" s="41"/>
      <c r="T1279" s="37">
        <v>468</v>
      </c>
      <c r="U1279" s="243"/>
      <c r="V1279" s="243"/>
      <c r="W1279" s="243"/>
      <c r="X1279" s="243"/>
      <c r="Y1279" s="414"/>
      <c r="Z1279" s="37"/>
      <c r="AA1279" s="37"/>
      <c r="AB1279" s="37"/>
      <c r="AC1279" s="37"/>
      <c r="AD1279" s="37"/>
      <c r="AE1279" s="37"/>
      <c r="AF1279" s="37"/>
      <c r="AG1279" s="37">
        <v>2.903</v>
      </c>
      <c r="AH1279" s="243"/>
      <c r="AI1279" s="243"/>
      <c r="AJ1279" s="34"/>
      <c r="AK1279" s="34"/>
      <c r="AL1279" s="34"/>
      <c r="AM1279" s="34"/>
      <c r="AN1279" s="244"/>
      <c r="AO1279" s="417"/>
      <c r="AP1279" s="417"/>
      <c r="AQ1279" s="244" t="s">
        <v>6311</v>
      </c>
      <c r="AR1279" s="244" t="s">
        <v>6311</v>
      </c>
      <c r="AS1279" s="241" t="s">
        <v>5466</v>
      </c>
      <c r="AT1279" s="39" t="s">
        <v>266</v>
      </c>
      <c r="AU1279" s="37">
        <v>24</v>
      </c>
      <c r="AV1279" s="37">
        <v>96</v>
      </c>
      <c r="AW1279" s="37">
        <v>72</v>
      </c>
      <c r="AX1279" s="37">
        <v>26</v>
      </c>
      <c r="AY1279" s="37" t="s">
        <v>5799</v>
      </c>
      <c r="AZ1279" s="37" t="s">
        <v>5717</v>
      </c>
      <c r="BA1279" s="37">
        <v>72</v>
      </c>
      <c r="BB1279" s="36" t="s">
        <v>5666</v>
      </c>
      <c r="BC1279" s="36" t="s">
        <v>5721</v>
      </c>
      <c r="BD1279" s="36"/>
      <c r="BE1279" s="37" t="s">
        <v>1584</v>
      </c>
      <c r="BF1279" s="37"/>
      <c r="BG1279" s="37"/>
      <c r="BH1279" s="37"/>
      <c r="BI1279" s="250">
        <v>5.8500000000000005</v>
      </c>
      <c r="BJ1279" s="250">
        <v>585</v>
      </c>
      <c r="BK1279" s="37"/>
      <c r="BL1279" s="263"/>
      <c r="BM1279" s="37"/>
      <c r="BN1279" s="37"/>
      <c r="BO1279" s="37"/>
      <c r="BP1279" s="37"/>
      <c r="BQ1279" s="37"/>
      <c r="BR1279" s="37"/>
      <c r="BS1279" s="37"/>
      <c r="BT1279" s="37"/>
      <c r="BU1279" s="246"/>
      <c r="BV1279" s="37"/>
      <c r="BW1279" s="37"/>
      <c r="BX1279" s="37"/>
      <c r="BY1279" s="37"/>
      <c r="BZ1279" s="37"/>
      <c r="CA1279" s="37">
        <v>44.352359999999997</v>
      </c>
      <c r="CB1279" s="37"/>
      <c r="CC1279" s="37"/>
      <c r="CD1279" s="37"/>
      <c r="CE1279" s="37"/>
      <c r="CF1279" s="37"/>
      <c r="CG1279" s="37"/>
      <c r="CH1279" s="37"/>
      <c r="CI1279" s="243">
        <v>44.352359999999997</v>
      </c>
      <c r="CJ1279" s="243">
        <f t="shared" si="292"/>
        <v>1.6469167336989354</v>
      </c>
      <c r="CK1279" s="38">
        <f t="shared" si="290"/>
        <v>0</v>
      </c>
      <c r="CL1279" s="38">
        <f t="shared" si="293"/>
        <v>0</v>
      </c>
      <c r="CM1279" s="38"/>
      <c r="CN1279" s="247"/>
      <c r="CO1279" s="36"/>
      <c r="CP1279" s="496" t="s">
        <v>5800</v>
      </c>
      <c r="CQ1279" s="241" t="s">
        <v>272</v>
      </c>
      <c r="CR1279" s="241"/>
      <c r="CS1279" s="33"/>
      <c r="CT1279" s="33"/>
      <c r="CU1279" s="250" t="s">
        <v>6310</v>
      </c>
      <c r="CV1279" s="337" t="s">
        <v>6310</v>
      </c>
      <c r="CW1279" s="330">
        <f t="shared" si="294"/>
        <v>1</v>
      </c>
      <c r="CX1279" s="330"/>
      <c r="CY1279" s="143" t="s">
        <v>5921</v>
      </c>
    </row>
    <row r="1280" spans="1:103" ht="11.25" customHeight="1" x14ac:dyDescent="0.2">
      <c r="A1280" s="72">
        <v>1983</v>
      </c>
      <c r="B1280" s="241">
        <v>2112</v>
      </c>
      <c r="C1280" s="32" t="s">
        <v>5814</v>
      </c>
      <c r="D1280" s="32"/>
      <c r="E1280" s="40"/>
      <c r="F1280" s="241" t="s">
        <v>6409</v>
      </c>
      <c r="G1280" s="241" t="s">
        <v>6409</v>
      </c>
      <c r="H1280" s="36"/>
      <c r="I1280" s="36"/>
      <c r="J1280" s="36"/>
      <c r="K1280" s="36"/>
      <c r="L1280" s="36"/>
      <c r="M1280" s="36"/>
      <c r="N1280" s="36"/>
      <c r="O1280" s="36"/>
      <c r="P1280" s="41"/>
      <c r="Q1280" s="41"/>
      <c r="R1280" s="41"/>
      <c r="S1280" s="41"/>
      <c r="T1280" s="37">
        <v>457</v>
      </c>
      <c r="U1280" s="243"/>
      <c r="V1280" s="243"/>
      <c r="W1280" s="243"/>
      <c r="X1280" s="243"/>
      <c r="Y1280" s="414"/>
      <c r="Z1280" s="37"/>
      <c r="AA1280" s="37"/>
      <c r="AB1280" s="37"/>
      <c r="AC1280" s="37"/>
      <c r="AD1280" s="37"/>
      <c r="AE1280" s="37"/>
      <c r="AF1280" s="37"/>
      <c r="AG1280" s="37">
        <v>2.95</v>
      </c>
      <c r="AH1280" s="243"/>
      <c r="AI1280" s="243"/>
      <c r="AJ1280" s="34"/>
      <c r="AK1280" s="34"/>
      <c r="AL1280" s="34"/>
      <c r="AM1280" s="34"/>
      <c r="AN1280" s="244"/>
      <c r="AO1280" s="417"/>
      <c r="AP1280" s="417"/>
      <c r="AQ1280" s="244" t="s">
        <v>6311</v>
      </c>
      <c r="AR1280" s="244" t="s">
        <v>6311</v>
      </c>
      <c r="AS1280" s="241" t="s">
        <v>5466</v>
      </c>
      <c r="AT1280" s="39" t="s">
        <v>266</v>
      </c>
      <c r="AU1280" s="37">
        <v>24</v>
      </c>
      <c r="AV1280" s="37">
        <v>96</v>
      </c>
      <c r="AW1280" s="37">
        <v>72</v>
      </c>
      <c r="AX1280" s="37">
        <v>26</v>
      </c>
      <c r="AY1280" s="37" t="s">
        <v>5799</v>
      </c>
      <c r="AZ1280" s="37" t="s">
        <v>5717</v>
      </c>
      <c r="BA1280" s="37">
        <v>72</v>
      </c>
      <c r="BB1280" s="36" t="s">
        <v>5666</v>
      </c>
      <c r="BC1280" s="36" t="s">
        <v>5721</v>
      </c>
      <c r="BD1280" s="36"/>
      <c r="BE1280" s="37" t="s">
        <v>1584</v>
      </c>
      <c r="BF1280" s="37"/>
      <c r="BG1280" s="37"/>
      <c r="BH1280" s="37"/>
      <c r="BI1280" s="250">
        <v>5.7125000000000004</v>
      </c>
      <c r="BJ1280" s="250">
        <v>571.25</v>
      </c>
      <c r="BK1280" s="37"/>
      <c r="BL1280" s="263"/>
      <c r="BM1280" s="37"/>
      <c r="BN1280" s="37"/>
      <c r="BO1280" s="37"/>
      <c r="BP1280" s="37"/>
      <c r="BQ1280" s="37"/>
      <c r="BR1280" s="37"/>
      <c r="BS1280" s="37"/>
      <c r="BT1280" s="37"/>
      <c r="BU1280" s="246"/>
      <c r="BV1280" s="37"/>
      <c r="BW1280" s="37"/>
      <c r="BX1280" s="37"/>
      <c r="BY1280" s="37"/>
      <c r="BZ1280" s="37"/>
      <c r="CA1280" s="37">
        <v>189.43107000000001</v>
      </c>
      <c r="CB1280" s="37"/>
      <c r="CC1280" s="37"/>
      <c r="CD1280" s="37"/>
      <c r="CE1280" s="37"/>
      <c r="CF1280" s="37"/>
      <c r="CG1280" s="37"/>
      <c r="CH1280" s="37"/>
      <c r="CI1280" s="243">
        <v>189.43107000000001</v>
      </c>
      <c r="CJ1280" s="243">
        <f t="shared" si="292"/>
        <v>2.277451212380587</v>
      </c>
      <c r="CK1280" s="38">
        <f t="shared" si="290"/>
        <v>0</v>
      </c>
      <c r="CL1280" s="38">
        <f t="shared" si="293"/>
        <v>0</v>
      </c>
      <c r="CM1280" s="38"/>
      <c r="CN1280" s="247"/>
      <c r="CO1280" s="36"/>
      <c r="CP1280" s="496" t="s">
        <v>5800</v>
      </c>
      <c r="CQ1280" s="241" t="s">
        <v>272</v>
      </c>
      <c r="CR1280" s="241"/>
      <c r="CS1280" s="33"/>
      <c r="CT1280" s="33"/>
      <c r="CU1280" s="250" t="s">
        <v>6310</v>
      </c>
      <c r="CV1280" s="337" t="s">
        <v>6310</v>
      </c>
      <c r="CW1280" s="330">
        <f t="shared" si="294"/>
        <v>1</v>
      </c>
      <c r="CX1280" s="330"/>
      <c r="CY1280" s="143" t="s">
        <v>5921</v>
      </c>
    </row>
    <row r="1281" spans="1:103" ht="11.25" customHeight="1" x14ac:dyDescent="0.2">
      <c r="A1281" s="72">
        <v>1984</v>
      </c>
      <c r="B1281" s="241">
        <v>2101</v>
      </c>
      <c r="C1281" s="32" t="s">
        <v>5803</v>
      </c>
      <c r="D1281" s="32"/>
      <c r="E1281" s="40"/>
      <c r="F1281" s="241" t="s">
        <v>6411</v>
      </c>
      <c r="G1281" s="241" t="s">
        <v>6411</v>
      </c>
      <c r="H1281" s="36"/>
      <c r="I1281" s="36"/>
      <c r="J1281" s="36"/>
      <c r="K1281" s="36"/>
      <c r="L1281" s="36"/>
      <c r="M1281" s="36"/>
      <c r="N1281" s="36"/>
      <c r="O1281" s="36"/>
      <c r="P1281" s="41"/>
      <c r="Q1281" s="41"/>
      <c r="R1281" s="41"/>
      <c r="S1281" s="41"/>
      <c r="T1281" s="37">
        <v>453</v>
      </c>
      <c r="U1281" s="243"/>
      <c r="V1281" s="243"/>
      <c r="W1281" s="243"/>
      <c r="X1281" s="243"/>
      <c r="Y1281" s="414"/>
      <c r="Z1281" s="37"/>
      <c r="AA1281" s="37"/>
      <c r="AB1281" s="37"/>
      <c r="AC1281" s="37"/>
      <c r="AD1281" s="37"/>
      <c r="AE1281" s="37"/>
      <c r="AF1281" s="37"/>
      <c r="AG1281" s="37">
        <v>2.9529999999999998</v>
      </c>
      <c r="AH1281" s="243"/>
      <c r="AI1281" s="243"/>
      <c r="AJ1281" s="34"/>
      <c r="AK1281" s="34"/>
      <c r="AL1281" s="34"/>
      <c r="AM1281" s="34"/>
      <c r="AN1281" s="244"/>
      <c r="AO1281" s="417"/>
      <c r="AP1281" s="417"/>
      <c r="AQ1281" s="244" t="s">
        <v>6311</v>
      </c>
      <c r="AR1281" s="244" t="s">
        <v>6311</v>
      </c>
      <c r="AS1281" s="241" t="s">
        <v>5466</v>
      </c>
      <c r="AT1281" s="39" t="s">
        <v>266</v>
      </c>
      <c r="AU1281" s="37">
        <v>24</v>
      </c>
      <c r="AV1281" s="37">
        <v>96</v>
      </c>
      <c r="AW1281" s="37">
        <v>72</v>
      </c>
      <c r="AX1281" s="37">
        <v>26</v>
      </c>
      <c r="AY1281" s="37" t="s">
        <v>5799</v>
      </c>
      <c r="AZ1281" s="37" t="s">
        <v>5717</v>
      </c>
      <c r="BA1281" s="37">
        <v>72</v>
      </c>
      <c r="BB1281" s="36" t="s">
        <v>5666</v>
      </c>
      <c r="BC1281" s="36" t="s">
        <v>5721</v>
      </c>
      <c r="BD1281" s="36"/>
      <c r="BE1281" s="37" t="s">
        <v>1584</v>
      </c>
      <c r="BF1281" s="37"/>
      <c r="BG1281" s="37"/>
      <c r="BH1281" s="37"/>
      <c r="BI1281" s="250">
        <v>5.6625000000000005</v>
      </c>
      <c r="BJ1281" s="250">
        <v>566.25</v>
      </c>
      <c r="BK1281" s="37"/>
      <c r="BL1281" s="263"/>
      <c r="BM1281" s="37"/>
      <c r="BN1281" s="37"/>
      <c r="BO1281" s="37"/>
      <c r="BP1281" s="37"/>
      <c r="BQ1281" s="37"/>
      <c r="BR1281" s="37"/>
      <c r="BS1281" s="37"/>
      <c r="BT1281" s="37"/>
      <c r="BU1281" s="246"/>
      <c r="BV1281" s="37"/>
      <c r="BW1281" s="37"/>
      <c r="BX1281" s="37"/>
      <c r="BY1281" s="37"/>
      <c r="BZ1281" s="37"/>
      <c r="CA1281" s="37">
        <v>32.471039999999995</v>
      </c>
      <c r="CB1281" s="37"/>
      <c r="CC1281" s="37"/>
      <c r="CD1281" s="37"/>
      <c r="CE1281" s="37"/>
      <c r="CF1281" s="37"/>
      <c r="CG1281" s="37"/>
      <c r="CH1281" s="37"/>
      <c r="CI1281" s="243">
        <v>32.471039999999995</v>
      </c>
      <c r="CJ1281" s="243">
        <f t="shared" si="292"/>
        <v>1.5114961986669007</v>
      </c>
      <c r="CK1281" s="38">
        <f t="shared" si="290"/>
        <v>0</v>
      </c>
      <c r="CL1281" s="38">
        <f t="shared" si="293"/>
        <v>0</v>
      </c>
      <c r="CM1281" s="38"/>
      <c r="CN1281" s="247"/>
      <c r="CO1281" s="36"/>
      <c r="CP1281" s="496" t="s">
        <v>5800</v>
      </c>
      <c r="CQ1281" s="241" t="s">
        <v>272</v>
      </c>
      <c r="CR1281" s="241"/>
      <c r="CS1281" s="33"/>
      <c r="CT1281" s="33"/>
      <c r="CU1281" s="250" t="s">
        <v>6310</v>
      </c>
      <c r="CV1281" s="337" t="s">
        <v>6310</v>
      </c>
      <c r="CW1281" s="330">
        <f t="shared" si="294"/>
        <v>1</v>
      </c>
      <c r="CX1281" s="330"/>
      <c r="CY1281" s="143" t="s">
        <v>5921</v>
      </c>
    </row>
    <row r="1282" spans="1:103" ht="11.25" customHeight="1" x14ac:dyDescent="0.2">
      <c r="A1282" s="72">
        <v>1985</v>
      </c>
      <c r="B1282" s="241">
        <v>2100</v>
      </c>
      <c r="C1282" s="32" t="s">
        <v>5802</v>
      </c>
      <c r="D1282" s="32"/>
      <c r="E1282" s="40"/>
      <c r="F1282" s="241" t="s">
        <v>6412</v>
      </c>
      <c r="G1282" s="241" t="s">
        <v>6412</v>
      </c>
      <c r="H1282" s="36"/>
      <c r="I1282" s="36"/>
      <c r="J1282" s="36"/>
      <c r="K1282" s="36"/>
      <c r="L1282" s="36"/>
      <c r="M1282" s="36"/>
      <c r="N1282" s="36"/>
      <c r="O1282" s="36"/>
      <c r="P1282" s="41"/>
      <c r="Q1282" s="41"/>
      <c r="R1282" s="41"/>
      <c r="S1282" s="41"/>
      <c r="T1282" s="37">
        <v>393</v>
      </c>
      <c r="U1282" s="243"/>
      <c r="V1282" s="243"/>
      <c r="W1282" s="243"/>
      <c r="X1282" s="243"/>
      <c r="Y1282" s="414"/>
      <c r="Z1282" s="37"/>
      <c r="AA1282" s="37"/>
      <c r="AB1282" s="37"/>
      <c r="AC1282" s="37"/>
      <c r="AD1282" s="37"/>
      <c r="AE1282" s="37"/>
      <c r="AF1282" s="37"/>
      <c r="AG1282" s="37">
        <v>2.9670000000000001</v>
      </c>
      <c r="AH1282" s="243"/>
      <c r="AI1282" s="243"/>
      <c r="AJ1282" s="34"/>
      <c r="AK1282" s="34"/>
      <c r="AL1282" s="34"/>
      <c r="AM1282" s="34"/>
      <c r="AN1282" s="244"/>
      <c r="AO1282" s="417"/>
      <c r="AP1282" s="417"/>
      <c r="AQ1282" s="244" t="s">
        <v>6311</v>
      </c>
      <c r="AR1282" s="244" t="s">
        <v>6311</v>
      </c>
      <c r="AS1282" s="241" t="s">
        <v>5466</v>
      </c>
      <c r="AT1282" s="39" t="s">
        <v>266</v>
      </c>
      <c r="AU1282" s="37">
        <v>24</v>
      </c>
      <c r="AV1282" s="37">
        <v>96</v>
      </c>
      <c r="AW1282" s="37">
        <v>72</v>
      </c>
      <c r="AX1282" s="37">
        <v>26</v>
      </c>
      <c r="AY1282" s="37" t="s">
        <v>5799</v>
      </c>
      <c r="AZ1282" s="37" t="s">
        <v>5717</v>
      </c>
      <c r="BA1282" s="37">
        <v>72</v>
      </c>
      <c r="BB1282" s="36" t="s">
        <v>5666</v>
      </c>
      <c r="BC1282" s="36" t="s">
        <v>5721</v>
      </c>
      <c r="BD1282" s="36"/>
      <c r="BE1282" s="37" t="s">
        <v>1584</v>
      </c>
      <c r="BF1282" s="37"/>
      <c r="BG1282" s="37"/>
      <c r="BH1282" s="37"/>
      <c r="BI1282" s="250">
        <v>4.9125000000000005</v>
      </c>
      <c r="BJ1282" s="250">
        <v>491.25</v>
      </c>
      <c r="BK1282" s="37"/>
      <c r="BL1282" s="263"/>
      <c r="BM1282" s="37"/>
      <c r="BN1282" s="37"/>
      <c r="BO1282" s="37"/>
      <c r="BP1282" s="37"/>
      <c r="BQ1282" s="37"/>
      <c r="BR1282" s="37"/>
      <c r="BS1282" s="37"/>
      <c r="BT1282" s="37"/>
      <c r="BU1282" s="246"/>
      <c r="BV1282" s="37"/>
      <c r="BW1282" s="37"/>
      <c r="BX1282" s="37"/>
      <c r="BY1282" s="37"/>
      <c r="BZ1282" s="37"/>
      <c r="CA1282" s="37">
        <v>27.887279999999997</v>
      </c>
      <c r="CB1282" s="37"/>
      <c r="CC1282" s="37"/>
      <c r="CD1282" s="37"/>
      <c r="CE1282" s="37"/>
      <c r="CF1282" s="37"/>
      <c r="CG1282" s="37"/>
      <c r="CH1282" s="37"/>
      <c r="CI1282" s="243">
        <v>27.887279999999997</v>
      </c>
      <c r="CJ1282" s="243">
        <f t="shared" si="292"/>
        <v>1.4454061571990966</v>
      </c>
      <c r="CK1282" s="38">
        <f t="shared" si="290"/>
        <v>0</v>
      </c>
      <c r="CL1282" s="38">
        <f t="shared" si="293"/>
        <v>0</v>
      </c>
      <c r="CM1282" s="38"/>
      <c r="CN1282" s="247"/>
      <c r="CO1282" s="36"/>
      <c r="CP1282" s="496" t="s">
        <v>5800</v>
      </c>
      <c r="CQ1282" s="241" t="s">
        <v>272</v>
      </c>
      <c r="CR1282" s="241"/>
      <c r="CS1282" s="33"/>
      <c r="CT1282" s="33"/>
      <c r="CU1282" s="250" t="s">
        <v>6310</v>
      </c>
      <c r="CV1282" s="337" t="s">
        <v>6310</v>
      </c>
      <c r="CW1282" s="330">
        <f t="shared" si="294"/>
        <v>1</v>
      </c>
      <c r="CX1282" s="330"/>
      <c r="CY1282" s="143" t="s">
        <v>5921</v>
      </c>
    </row>
    <row r="1283" spans="1:103" ht="11.25" customHeight="1" x14ac:dyDescent="0.2">
      <c r="A1283" s="72">
        <v>1986</v>
      </c>
      <c r="B1283" s="241">
        <v>2102</v>
      </c>
      <c r="C1283" s="32" t="s">
        <v>5804</v>
      </c>
      <c r="D1283" s="32"/>
      <c r="E1283" s="40"/>
      <c r="F1283" s="241" t="s">
        <v>6413</v>
      </c>
      <c r="G1283" s="241" t="s">
        <v>6413</v>
      </c>
      <c r="H1283" s="36"/>
      <c r="I1283" s="36"/>
      <c r="J1283" s="36"/>
      <c r="K1283" s="36"/>
      <c r="L1283" s="36"/>
      <c r="M1283" s="36"/>
      <c r="N1283" s="36"/>
      <c r="O1283" s="36"/>
      <c r="P1283" s="41"/>
      <c r="Q1283" s="41"/>
      <c r="R1283" s="41"/>
      <c r="S1283" s="41"/>
      <c r="T1283" s="37">
        <v>423</v>
      </c>
      <c r="U1283" s="243"/>
      <c r="V1283" s="243"/>
      <c r="W1283" s="243"/>
      <c r="X1283" s="243"/>
      <c r="Y1283" s="414"/>
      <c r="Z1283" s="37"/>
      <c r="AA1283" s="37"/>
      <c r="AB1283" s="37"/>
      <c r="AC1283" s="37"/>
      <c r="AD1283" s="37"/>
      <c r="AE1283" s="37"/>
      <c r="AF1283" s="37"/>
      <c r="AG1283" s="37">
        <v>2.968</v>
      </c>
      <c r="AH1283" s="243"/>
      <c r="AI1283" s="243"/>
      <c r="AJ1283" s="34"/>
      <c r="AK1283" s="34"/>
      <c r="AL1283" s="34"/>
      <c r="AM1283" s="34"/>
      <c r="AN1283" s="244"/>
      <c r="AO1283" s="417"/>
      <c r="AP1283" s="417"/>
      <c r="AQ1283" s="244" t="s">
        <v>6311</v>
      </c>
      <c r="AR1283" s="244" t="s">
        <v>6311</v>
      </c>
      <c r="AS1283" s="241" t="s">
        <v>5466</v>
      </c>
      <c r="AT1283" s="39" t="s">
        <v>266</v>
      </c>
      <c r="AU1283" s="37">
        <v>24</v>
      </c>
      <c r="AV1283" s="37">
        <v>96</v>
      </c>
      <c r="AW1283" s="37">
        <v>72</v>
      </c>
      <c r="AX1283" s="37">
        <v>26</v>
      </c>
      <c r="AY1283" s="37" t="s">
        <v>5799</v>
      </c>
      <c r="AZ1283" s="37" t="s">
        <v>5717</v>
      </c>
      <c r="BA1283" s="37">
        <v>72</v>
      </c>
      <c r="BB1283" s="36" t="s">
        <v>5666</v>
      </c>
      <c r="BC1283" s="36" t="s">
        <v>5721</v>
      </c>
      <c r="BD1283" s="36"/>
      <c r="BE1283" s="37" t="s">
        <v>1584</v>
      </c>
      <c r="BF1283" s="37"/>
      <c r="BG1283" s="37"/>
      <c r="BH1283" s="37"/>
      <c r="BI1283" s="250">
        <v>5.2875000000000005</v>
      </c>
      <c r="BJ1283" s="250">
        <v>528.75</v>
      </c>
      <c r="BK1283" s="37"/>
      <c r="BL1283" s="263"/>
      <c r="BM1283" s="37"/>
      <c r="BN1283" s="37"/>
      <c r="BO1283" s="37"/>
      <c r="BP1283" s="37"/>
      <c r="BQ1283" s="37"/>
      <c r="BR1283" s="37"/>
      <c r="BS1283" s="37"/>
      <c r="BT1283" s="37"/>
      <c r="BU1283" s="246"/>
      <c r="BV1283" s="37"/>
      <c r="BW1283" s="37"/>
      <c r="BX1283" s="37"/>
      <c r="BY1283" s="37"/>
      <c r="BZ1283" s="37"/>
      <c r="CA1283" s="37">
        <v>40.10886</v>
      </c>
      <c r="CB1283" s="37"/>
      <c r="CC1283" s="37"/>
      <c r="CD1283" s="37"/>
      <c r="CE1283" s="37"/>
      <c r="CF1283" s="37"/>
      <c r="CG1283" s="37"/>
      <c r="CH1283" s="37"/>
      <c r="CI1283" s="243">
        <v>40.10886</v>
      </c>
      <c r="CJ1283" s="243">
        <f t="shared" si="292"/>
        <v>1.6032403183579802</v>
      </c>
      <c r="CK1283" s="38">
        <f t="shared" si="290"/>
        <v>0</v>
      </c>
      <c r="CL1283" s="38">
        <f t="shared" si="293"/>
        <v>0</v>
      </c>
      <c r="CM1283" s="38"/>
      <c r="CN1283" s="247"/>
      <c r="CO1283" s="36"/>
      <c r="CP1283" s="496" t="s">
        <v>5800</v>
      </c>
      <c r="CQ1283" s="241" t="s">
        <v>272</v>
      </c>
      <c r="CR1283" s="241"/>
      <c r="CS1283" s="33"/>
      <c r="CT1283" s="33"/>
      <c r="CU1283" s="250" t="s">
        <v>6310</v>
      </c>
      <c r="CV1283" s="337" t="s">
        <v>6310</v>
      </c>
      <c r="CW1283" s="330">
        <f t="shared" si="294"/>
        <v>1</v>
      </c>
      <c r="CX1283" s="330"/>
      <c r="CY1283" s="143" t="s">
        <v>5921</v>
      </c>
    </row>
    <row r="1284" spans="1:103" ht="11.25" customHeight="1" x14ac:dyDescent="0.2">
      <c r="A1284" s="72">
        <v>1987</v>
      </c>
      <c r="B1284" s="241">
        <v>2115</v>
      </c>
      <c r="C1284" s="32" t="s">
        <v>5817</v>
      </c>
      <c r="D1284" s="32"/>
      <c r="E1284" s="40"/>
      <c r="F1284" s="241" t="s">
        <v>6415</v>
      </c>
      <c r="G1284" s="241" t="s">
        <v>6415</v>
      </c>
      <c r="H1284" s="36"/>
      <c r="I1284" s="36"/>
      <c r="J1284" s="36"/>
      <c r="K1284" s="36"/>
      <c r="L1284" s="36"/>
      <c r="M1284" s="36"/>
      <c r="N1284" s="36"/>
      <c r="O1284" s="36"/>
      <c r="P1284" s="41"/>
      <c r="Q1284" s="41"/>
      <c r="R1284" s="41"/>
      <c r="S1284" s="41"/>
      <c r="T1284" s="37">
        <v>452</v>
      </c>
      <c r="U1284" s="243"/>
      <c r="V1284" s="243"/>
      <c r="W1284" s="243"/>
      <c r="X1284" s="243"/>
      <c r="Y1284" s="414"/>
      <c r="Z1284" s="37"/>
      <c r="AA1284" s="37"/>
      <c r="AB1284" s="37"/>
      <c r="AC1284" s="37"/>
      <c r="AD1284" s="37"/>
      <c r="AE1284" s="37"/>
      <c r="AF1284" s="37"/>
      <c r="AG1284" s="37">
        <v>3.1459999999999999</v>
      </c>
      <c r="AH1284" s="243"/>
      <c r="AI1284" s="243"/>
      <c r="AJ1284" s="34"/>
      <c r="AK1284" s="34"/>
      <c r="AL1284" s="34"/>
      <c r="AM1284" s="34"/>
      <c r="AN1284" s="244"/>
      <c r="AO1284" s="417"/>
      <c r="AP1284" s="417"/>
      <c r="AQ1284" s="244" t="s">
        <v>6311</v>
      </c>
      <c r="AR1284" s="244" t="s">
        <v>6311</v>
      </c>
      <c r="AS1284" s="241" t="s">
        <v>5466</v>
      </c>
      <c r="AT1284" s="39" t="s">
        <v>266</v>
      </c>
      <c r="AU1284" s="37">
        <v>24</v>
      </c>
      <c r="AV1284" s="37">
        <v>96</v>
      </c>
      <c r="AW1284" s="37">
        <v>72</v>
      </c>
      <c r="AX1284" s="37">
        <v>26</v>
      </c>
      <c r="AY1284" s="37" t="s">
        <v>5799</v>
      </c>
      <c r="AZ1284" s="37" t="s">
        <v>5717</v>
      </c>
      <c r="BA1284" s="37">
        <v>72</v>
      </c>
      <c r="BB1284" s="36" t="s">
        <v>5666</v>
      </c>
      <c r="BC1284" s="36" t="s">
        <v>5721</v>
      </c>
      <c r="BD1284" s="36"/>
      <c r="BE1284" s="37" t="s">
        <v>1584</v>
      </c>
      <c r="BF1284" s="37"/>
      <c r="BG1284" s="37"/>
      <c r="BH1284" s="37"/>
      <c r="BI1284" s="250">
        <v>5.65</v>
      </c>
      <c r="BJ1284" s="250">
        <v>565</v>
      </c>
      <c r="BK1284" s="37"/>
      <c r="BL1284" s="263"/>
      <c r="BM1284" s="37"/>
      <c r="BN1284" s="37"/>
      <c r="BO1284" s="37"/>
      <c r="BP1284" s="37"/>
      <c r="BQ1284" s="37"/>
      <c r="BR1284" s="37"/>
      <c r="BS1284" s="37"/>
      <c r="BT1284" s="37"/>
      <c r="BU1284" s="246"/>
      <c r="BV1284" s="37"/>
      <c r="BW1284" s="37"/>
      <c r="BX1284" s="37"/>
      <c r="BY1284" s="37"/>
      <c r="BZ1284" s="37"/>
      <c r="CA1284" s="37">
        <v>134.29372000000001</v>
      </c>
      <c r="CB1284" s="37"/>
      <c r="CC1284" s="37"/>
      <c r="CD1284" s="37"/>
      <c r="CE1284" s="37"/>
      <c r="CF1284" s="37"/>
      <c r="CG1284" s="37"/>
      <c r="CH1284" s="37"/>
      <c r="CI1284" s="243">
        <v>134.29372000000001</v>
      </c>
      <c r="CJ1284" s="243">
        <f t="shared" si="292"/>
        <v>2.1280557041570582</v>
      </c>
      <c r="CK1284" s="38">
        <f t="shared" si="290"/>
        <v>0</v>
      </c>
      <c r="CL1284" s="38">
        <f t="shared" si="293"/>
        <v>0</v>
      </c>
      <c r="CM1284" s="38"/>
      <c r="CN1284" s="247"/>
      <c r="CO1284" s="36"/>
      <c r="CP1284" s="496" t="s">
        <v>5800</v>
      </c>
      <c r="CQ1284" s="241" t="s">
        <v>272</v>
      </c>
      <c r="CR1284" s="241"/>
      <c r="CS1284" s="33"/>
      <c r="CT1284" s="33"/>
      <c r="CU1284" s="250" t="s">
        <v>6310</v>
      </c>
      <c r="CV1284" s="337" t="s">
        <v>6310</v>
      </c>
      <c r="CW1284" s="330">
        <f t="shared" si="294"/>
        <v>1</v>
      </c>
      <c r="CX1284" s="330"/>
      <c r="CY1284" s="143" t="s">
        <v>5921</v>
      </c>
    </row>
    <row r="1285" spans="1:103" ht="11.25" customHeight="1" x14ac:dyDescent="0.2">
      <c r="A1285" s="72">
        <v>1988</v>
      </c>
      <c r="B1285" s="241">
        <v>2103</v>
      </c>
      <c r="C1285" s="32" t="s">
        <v>5805</v>
      </c>
      <c r="D1285" s="32"/>
      <c r="E1285" s="40"/>
      <c r="F1285" s="241" t="s">
        <v>6414</v>
      </c>
      <c r="G1285" s="241" t="s">
        <v>6414</v>
      </c>
      <c r="H1285" s="36"/>
      <c r="I1285" s="36"/>
      <c r="J1285" s="36"/>
      <c r="K1285" s="36"/>
      <c r="L1285" s="36"/>
      <c r="M1285" s="36"/>
      <c r="N1285" s="36"/>
      <c r="O1285" s="36"/>
      <c r="P1285" s="41"/>
      <c r="Q1285" s="41"/>
      <c r="R1285" s="41"/>
      <c r="S1285" s="41"/>
      <c r="T1285" s="37">
        <v>407</v>
      </c>
      <c r="U1285" s="243"/>
      <c r="V1285" s="243"/>
      <c r="W1285" s="243"/>
      <c r="X1285" s="243"/>
      <c r="Y1285" s="414"/>
      <c r="Z1285" s="37"/>
      <c r="AA1285" s="37"/>
      <c r="AB1285" s="37"/>
      <c r="AC1285" s="37"/>
      <c r="AD1285" s="37"/>
      <c r="AE1285" s="37"/>
      <c r="AF1285" s="37"/>
      <c r="AG1285" s="37">
        <v>3.2120000000000002</v>
      </c>
      <c r="AH1285" s="243"/>
      <c r="AI1285" s="243"/>
      <c r="AJ1285" s="34"/>
      <c r="AK1285" s="34"/>
      <c r="AL1285" s="34"/>
      <c r="AM1285" s="34"/>
      <c r="AN1285" s="244"/>
      <c r="AO1285" s="417"/>
      <c r="AP1285" s="417"/>
      <c r="AQ1285" s="244" t="s">
        <v>6311</v>
      </c>
      <c r="AR1285" s="244" t="s">
        <v>6311</v>
      </c>
      <c r="AS1285" s="241" t="s">
        <v>5466</v>
      </c>
      <c r="AT1285" s="39" t="s">
        <v>266</v>
      </c>
      <c r="AU1285" s="37">
        <v>24</v>
      </c>
      <c r="AV1285" s="37">
        <v>96</v>
      </c>
      <c r="AW1285" s="37">
        <v>72</v>
      </c>
      <c r="AX1285" s="37">
        <v>26</v>
      </c>
      <c r="AY1285" s="37" t="s">
        <v>5799</v>
      </c>
      <c r="AZ1285" s="37" t="s">
        <v>5717</v>
      </c>
      <c r="BA1285" s="37">
        <v>72</v>
      </c>
      <c r="BB1285" s="36" t="s">
        <v>5666</v>
      </c>
      <c r="BC1285" s="36" t="s">
        <v>5721</v>
      </c>
      <c r="BD1285" s="36"/>
      <c r="BE1285" s="37" t="s">
        <v>1584</v>
      </c>
      <c r="BF1285" s="37"/>
      <c r="BG1285" s="37"/>
      <c r="BH1285" s="37"/>
      <c r="BI1285" s="250">
        <v>5.0875000000000004</v>
      </c>
      <c r="BJ1285" s="250">
        <v>508.75</v>
      </c>
      <c r="BK1285" s="37"/>
      <c r="BL1285" s="263"/>
      <c r="BM1285" s="37"/>
      <c r="BN1285" s="37"/>
      <c r="BO1285" s="37"/>
      <c r="BP1285" s="37"/>
      <c r="BQ1285" s="37"/>
      <c r="BR1285" s="37"/>
      <c r="BS1285" s="37"/>
      <c r="BT1285" s="37"/>
      <c r="BU1285" s="246"/>
      <c r="BV1285" s="37"/>
      <c r="BW1285" s="37"/>
      <c r="BX1285" s="37"/>
      <c r="BY1285" s="37"/>
      <c r="BZ1285" s="37"/>
      <c r="CA1285" s="37">
        <v>175.9461</v>
      </c>
      <c r="CB1285" s="37"/>
      <c r="CC1285" s="37"/>
      <c r="CD1285" s="37"/>
      <c r="CE1285" s="37"/>
      <c r="CF1285" s="37"/>
      <c r="CG1285" s="37"/>
      <c r="CH1285" s="37"/>
      <c r="CI1285" s="243">
        <v>175.9461</v>
      </c>
      <c r="CJ1285" s="243">
        <f t="shared" si="292"/>
        <v>2.2453796447588719</v>
      </c>
      <c r="CK1285" s="38">
        <f t="shared" si="290"/>
        <v>0</v>
      </c>
      <c r="CL1285" s="38">
        <f t="shared" si="293"/>
        <v>0</v>
      </c>
      <c r="CM1285" s="38"/>
      <c r="CN1285" s="247"/>
      <c r="CO1285" s="36"/>
      <c r="CP1285" s="496" t="s">
        <v>5800</v>
      </c>
      <c r="CQ1285" s="241" t="s">
        <v>272</v>
      </c>
      <c r="CR1285" s="241"/>
      <c r="CS1285" s="33"/>
      <c r="CT1285" s="33"/>
      <c r="CU1285" s="250" t="s">
        <v>6310</v>
      </c>
      <c r="CV1285" s="337" t="s">
        <v>6310</v>
      </c>
      <c r="CW1285" s="330">
        <f t="shared" si="294"/>
        <v>1</v>
      </c>
      <c r="CX1285" s="330"/>
      <c r="CY1285" s="143" t="s">
        <v>5921</v>
      </c>
    </row>
    <row r="1286" spans="1:103" ht="11.25" customHeight="1" x14ac:dyDescent="0.2">
      <c r="A1286" s="72">
        <v>1989</v>
      </c>
      <c r="B1286" s="241">
        <v>2107</v>
      </c>
      <c r="C1286" s="32" t="s">
        <v>5809</v>
      </c>
      <c r="D1286" s="32"/>
      <c r="E1286" s="40"/>
      <c r="F1286" s="241" t="s">
        <v>6416</v>
      </c>
      <c r="G1286" s="241" t="s">
        <v>6416</v>
      </c>
      <c r="H1286" s="36"/>
      <c r="I1286" s="36"/>
      <c r="J1286" s="36"/>
      <c r="K1286" s="36"/>
      <c r="L1286" s="36"/>
      <c r="M1286" s="36"/>
      <c r="N1286" s="36"/>
      <c r="O1286" s="36"/>
      <c r="P1286" s="41"/>
      <c r="Q1286" s="41"/>
      <c r="R1286" s="41"/>
      <c r="S1286" s="41"/>
      <c r="T1286" s="37">
        <v>487</v>
      </c>
      <c r="U1286" s="243"/>
      <c r="V1286" s="243"/>
      <c r="W1286" s="243"/>
      <c r="X1286" s="243"/>
      <c r="Y1286" s="414"/>
      <c r="Z1286" s="37"/>
      <c r="AA1286" s="37"/>
      <c r="AB1286" s="37"/>
      <c r="AC1286" s="37"/>
      <c r="AD1286" s="37"/>
      <c r="AE1286" s="37"/>
      <c r="AF1286" s="37"/>
      <c r="AG1286" s="37">
        <v>3.6070000000000002</v>
      </c>
      <c r="AH1286" s="243"/>
      <c r="AI1286" s="243"/>
      <c r="AJ1286" s="34"/>
      <c r="AK1286" s="34"/>
      <c r="AL1286" s="34"/>
      <c r="AM1286" s="34"/>
      <c r="AN1286" s="244"/>
      <c r="AO1286" s="417"/>
      <c r="AP1286" s="417"/>
      <c r="AQ1286" s="244" t="s">
        <v>6311</v>
      </c>
      <c r="AR1286" s="244" t="s">
        <v>6311</v>
      </c>
      <c r="AS1286" s="241" t="s">
        <v>5466</v>
      </c>
      <c r="AT1286" s="39" t="s">
        <v>266</v>
      </c>
      <c r="AU1286" s="37">
        <v>24</v>
      </c>
      <c r="AV1286" s="37">
        <v>96</v>
      </c>
      <c r="AW1286" s="37">
        <v>72</v>
      </c>
      <c r="AX1286" s="37">
        <v>26</v>
      </c>
      <c r="AY1286" s="37" t="s">
        <v>5799</v>
      </c>
      <c r="AZ1286" s="37" t="s">
        <v>5717</v>
      </c>
      <c r="BA1286" s="37">
        <v>72</v>
      </c>
      <c r="BB1286" s="36" t="s">
        <v>5666</v>
      </c>
      <c r="BC1286" s="36" t="s">
        <v>5721</v>
      </c>
      <c r="BD1286" s="36"/>
      <c r="BE1286" s="37" t="s">
        <v>1584</v>
      </c>
      <c r="BF1286" s="37"/>
      <c r="BG1286" s="37"/>
      <c r="BH1286" s="37"/>
      <c r="BI1286" s="250">
        <v>6.0875000000000004</v>
      </c>
      <c r="BJ1286" s="250">
        <v>608.75</v>
      </c>
      <c r="BK1286" s="37"/>
      <c r="BL1286" s="263"/>
      <c r="BM1286" s="37"/>
      <c r="BN1286" s="37"/>
      <c r="BO1286" s="37"/>
      <c r="BP1286" s="37"/>
      <c r="BQ1286" s="37"/>
      <c r="BR1286" s="37"/>
      <c r="BS1286" s="37"/>
      <c r="BT1286" s="37"/>
      <c r="BU1286" s="246"/>
      <c r="BV1286" s="37"/>
      <c r="BW1286" s="37"/>
      <c r="BX1286" s="37"/>
      <c r="BY1286" s="37"/>
      <c r="BZ1286" s="37"/>
      <c r="CA1286" s="37">
        <v>25.8597</v>
      </c>
      <c r="CB1286" s="37"/>
      <c r="CC1286" s="37"/>
      <c r="CD1286" s="37"/>
      <c r="CE1286" s="37"/>
      <c r="CF1286" s="37"/>
      <c r="CG1286" s="37"/>
      <c r="CH1286" s="37"/>
      <c r="CI1286" s="243">
        <v>25.8597</v>
      </c>
      <c r="CJ1286" s="243">
        <f t="shared" si="292"/>
        <v>1.4126234822961035</v>
      </c>
      <c r="CK1286" s="38">
        <f t="shared" si="290"/>
        <v>0</v>
      </c>
      <c r="CL1286" s="38">
        <f t="shared" si="293"/>
        <v>0</v>
      </c>
      <c r="CM1286" s="38"/>
      <c r="CN1286" s="247"/>
      <c r="CO1286" s="36"/>
      <c r="CP1286" s="496" t="s">
        <v>5800</v>
      </c>
      <c r="CQ1286" s="241" t="s">
        <v>272</v>
      </c>
      <c r="CR1286" s="241"/>
      <c r="CS1286" s="33"/>
      <c r="CT1286" s="33"/>
      <c r="CU1286" s="250" t="s">
        <v>6310</v>
      </c>
      <c r="CV1286" s="337" t="s">
        <v>6310</v>
      </c>
      <c r="CW1286" s="330">
        <f t="shared" si="294"/>
        <v>1</v>
      </c>
      <c r="CX1286" s="330"/>
      <c r="CY1286" s="143" t="s">
        <v>5921</v>
      </c>
    </row>
    <row r="1287" spans="1:103" ht="11.25" customHeight="1" x14ac:dyDescent="0.2">
      <c r="A1287" s="72">
        <v>1990</v>
      </c>
      <c r="B1287" s="241">
        <v>2108</v>
      </c>
      <c r="C1287" s="32" t="s">
        <v>5810</v>
      </c>
      <c r="D1287" s="32"/>
      <c r="E1287" s="40"/>
      <c r="F1287" s="241" t="s">
        <v>6418</v>
      </c>
      <c r="G1287" s="241" t="s">
        <v>6418</v>
      </c>
      <c r="H1287" s="36"/>
      <c r="I1287" s="36"/>
      <c r="J1287" s="36"/>
      <c r="K1287" s="36"/>
      <c r="L1287" s="36"/>
      <c r="M1287" s="36"/>
      <c r="N1287" s="36"/>
      <c r="O1287" s="36"/>
      <c r="P1287" s="41"/>
      <c r="Q1287" s="41"/>
      <c r="R1287" s="41"/>
      <c r="S1287" s="41"/>
      <c r="T1287" s="37">
        <v>457</v>
      </c>
      <c r="U1287" s="243"/>
      <c r="V1287" s="243"/>
      <c r="W1287" s="243"/>
      <c r="X1287" s="243"/>
      <c r="Y1287" s="414"/>
      <c r="Z1287" s="37"/>
      <c r="AA1287" s="37"/>
      <c r="AB1287" s="37"/>
      <c r="AC1287" s="37"/>
      <c r="AD1287" s="37"/>
      <c r="AE1287" s="37"/>
      <c r="AF1287" s="37"/>
      <c r="AG1287" s="37">
        <v>3.6219999999999999</v>
      </c>
      <c r="AH1287" s="243"/>
      <c r="AI1287" s="243"/>
      <c r="AJ1287" s="34"/>
      <c r="AK1287" s="34"/>
      <c r="AL1287" s="34"/>
      <c r="AM1287" s="34"/>
      <c r="AN1287" s="244"/>
      <c r="AO1287" s="417"/>
      <c r="AP1287" s="417"/>
      <c r="AQ1287" s="244" t="s">
        <v>6311</v>
      </c>
      <c r="AR1287" s="244" t="s">
        <v>6311</v>
      </c>
      <c r="AS1287" s="241" t="s">
        <v>5466</v>
      </c>
      <c r="AT1287" s="39" t="s">
        <v>266</v>
      </c>
      <c r="AU1287" s="37">
        <v>24</v>
      </c>
      <c r="AV1287" s="37">
        <v>96</v>
      </c>
      <c r="AW1287" s="37">
        <v>72</v>
      </c>
      <c r="AX1287" s="37">
        <v>26</v>
      </c>
      <c r="AY1287" s="37" t="s">
        <v>5799</v>
      </c>
      <c r="AZ1287" s="37" t="s">
        <v>5717</v>
      </c>
      <c r="BA1287" s="37">
        <v>72</v>
      </c>
      <c r="BB1287" s="36" t="s">
        <v>5666</v>
      </c>
      <c r="BC1287" s="36" t="s">
        <v>5721</v>
      </c>
      <c r="BD1287" s="36"/>
      <c r="BE1287" s="37" t="s">
        <v>1584</v>
      </c>
      <c r="BF1287" s="37"/>
      <c r="BG1287" s="37"/>
      <c r="BH1287" s="37"/>
      <c r="BI1287" s="250">
        <v>5.7125000000000004</v>
      </c>
      <c r="BJ1287" s="250">
        <v>571.25</v>
      </c>
      <c r="BK1287" s="37"/>
      <c r="BL1287" s="263"/>
      <c r="BM1287" s="37"/>
      <c r="BN1287" s="37"/>
      <c r="BO1287" s="37"/>
      <c r="BP1287" s="37"/>
      <c r="BQ1287" s="37"/>
      <c r="BR1287" s="37"/>
      <c r="BS1287" s="37"/>
      <c r="BT1287" s="37"/>
      <c r="BU1287" s="246"/>
      <c r="BV1287" s="37"/>
      <c r="BW1287" s="37"/>
      <c r="BX1287" s="37"/>
      <c r="BY1287" s="37"/>
      <c r="BZ1287" s="37"/>
      <c r="CA1287" s="37">
        <v>25.646840000000001</v>
      </c>
      <c r="CB1287" s="37"/>
      <c r="CC1287" s="37"/>
      <c r="CD1287" s="37"/>
      <c r="CE1287" s="37"/>
      <c r="CF1287" s="37"/>
      <c r="CG1287" s="37"/>
      <c r="CH1287" s="37"/>
      <c r="CI1287" s="243">
        <v>25.646840000000001</v>
      </c>
      <c r="CJ1287" s="243">
        <f t="shared" si="292"/>
        <v>1.4090338624261725</v>
      </c>
      <c r="CK1287" s="38">
        <f t="shared" si="290"/>
        <v>0</v>
      </c>
      <c r="CL1287" s="38">
        <f t="shared" si="293"/>
        <v>0</v>
      </c>
      <c r="CM1287" s="38"/>
      <c r="CN1287" s="247"/>
      <c r="CO1287" s="36"/>
      <c r="CP1287" s="496" t="s">
        <v>5800</v>
      </c>
      <c r="CQ1287" s="241" t="s">
        <v>272</v>
      </c>
      <c r="CR1287" s="241"/>
      <c r="CS1287" s="33"/>
      <c r="CT1287" s="33"/>
      <c r="CU1287" s="250" t="s">
        <v>6310</v>
      </c>
      <c r="CV1287" s="337" t="s">
        <v>6310</v>
      </c>
      <c r="CW1287" s="330">
        <f t="shared" si="294"/>
        <v>1</v>
      </c>
      <c r="CX1287" s="330"/>
      <c r="CY1287" s="143" t="s">
        <v>5921</v>
      </c>
    </row>
    <row r="1288" spans="1:103" ht="11.25" customHeight="1" x14ac:dyDescent="0.2">
      <c r="A1288" s="72">
        <v>1991</v>
      </c>
      <c r="B1288" s="241">
        <v>2109</v>
      </c>
      <c r="C1288" s="32" t="s">
        <v>5811</v>
      </c>
      <c r="D1288" s="32"/>
      <c r="E1288" s="40"/>
      <c r="F1288" s="241" t="s">
        <v>6417</v>
      </c>
      <c r="G1288" s="241" t="s">
        <v>6417</v>
      </c>
      <c r="H1288" s="36"/>
      <c r="I1288" s="36"/>
      <c r="J1288" s="36"/>
      <c r="K1288" s="36"/>
      <c r="L1288" s="36"/>
      <c r="M1288" s="36"/>
      <c r="N1288" s="36"/>
      <c r="O1288" s="36"/>
      <c r="P1288" s="41"/>
      <c r="Q1288" s="41"/>
      <c r="R1288" s="41"/>
      <c r="S1288" s="41"/>
      <c r="T1288" s="37">
        <v>441</v>
      </c>
      <c r="U1288" s="243"/>
      <c r="V1288" s="243"/>
      <c r="W1288" s="243"/>
      <c r="X1288" s="243"/>
      <c r="Y1288" s="414"/>
      <c r="Z1288" s="37"/>
      <c r="AA1288" s="37"/>
      <c r="AB1288" s="37"/>
      <c r="AC1288" s="37"/>
      <c r="AD1288" s="37"/>
      <c r="AE1288" s="37"/>
      <c r="AF1288" s="37"/>
      <c r="AG1288" s="37">
        <v>3.8660000000000001</v>
      </c>
      <c r="AH1288" s="243"/>
      <c r="AI1288" s="243"/>
      <c r="AJ1288" s="34"/>
      <c r="AK1288" s="34"/>
      <c r="AL1288" s="34"/>
      <c r="AM1288" s="34"/>
      <c r="AN1288" s="244"/>
      <c r="AO1288" s="417"/>
      <c r="AP1288" s="417"/>
      <c r="AQ1288" s="244" t="s">
        <v>6311</v>
      </c>
      <c r="AR1288" s="244" t="s">
        <v>6311</v>
      </c>
      <c r="AS1288" s="241" t="s">
        <v>5466</v>
      </c>
      <c r="AT1288" s="39" t="s">
        <v>266</v>
      </c>
      <c r="AU1288" s="37">
        <v>24</v>
      </c>
      <c r="AV1288" s="37">
        <v>96</v>
      </c>
      <c r="AW1288" s="37">
        <v>72</v>
      </c>
      <c r="AX1288" s="37">
        <v>26</v>
      </c>
      <c r="AY1288" s="37" t="s">
        <v>5799</v>
      </c>
      <c r="AZ1288" s="37" t="s">
        <v>5717</v>
      </c>
      <c r="BA1288" s="37">
        <v>72</v>
      </c>
      <c r="BB1288" s="36" t="s">
        <v>5666</v>
      </c>
      <c r="BC1288" s="36" t="s">
        <v>5721</v>
      </c>
      <c r="BD1288" s="36"/>
      <c r="BE1288" s="37" t="s">
        <v>1584</v>
      </c>
      <c r="BF1288" s="37"/>
      <c r="BG1288" s="37"/>
      <c r="BH1288" s="37"/>
      <c r="BI1288" s="250">
        <v>5.5125000000000002</v>
      </c>
      <c r="BJ1288" s="250">
        <v>551.25</v>
      </c>
      <c r="BK1288" s="37"/>
      <c r="BL1288" s="263"/>
      <c r="BM1288" s="37"/>
      <c r="BN1288" s="37"/>
      <c r="BO1288" s="37"/>
      <c r="BP1288" s="37"/>
      <c r="BQ1288" s="37"/>
      <c r="BR1288" s="37"/>
      <c r="BS1288" s="37"/>
      <c r="BT1288" s="37"/>
      <c r="BU1288" s="246"/>
      <c r="BV1288" s="37"/>
      <c r="BW1288" s="37"/>
      <c r="BX1288" s="37"/>
      <c r="BY1288" s="37"/>
      <c r="BZ1288" s="37"/>
      <c r="CA1288" s="37">
        <v>185.03919000000002</v>
      </c>
      <c r="CB1288" s="37"/>
      <c r="CC1288" s="37"/>
      <c r="CD1288" s="37"/>
      <c r="CE1288" s="37"/>
      <c r="CF1288" s="37"/>
      <c r="CG1288" s="37"/>
      <c r="CH1288" s="37"/>
      <c r="CI1288" s="243">
        <v>185.03919000000002</v>
      </c>
      <c r="CJ1288" s="243">
        <f t="shared" si="292"/>
        <v>2.2672637186638802</v>
      </c>
      <c r="CK1288" s="38">
        <f t="shared" si="290"/>
        <v>0</v>
      </c>
      <c r="CL1288" s="38">
        <f t="shared" si="293"/>
        <v>0</v>
      </c>
      <c r="CM1288" s="38"/>
      <c r="CN1288" s="247"/>
      <c r="CO1288" s="36"/>
      <c r="CP1288" s="496" t="s">
        <v>5800</v>
      </c>
      <c r="CQ1288" s="241" t="s">
        <v>272</v>
      </c>
      <c r="CR1288" s="241"/>
      <c r="CS1288" s="33"/>
      <c r="CT1288" s="33"/>
      <c r="CU1288" s="250" t="s">
        <v>6310</v>
      </c>
      <c r="CV1288" s="337" t="s">
        <v>6310</v>
      </c>
      <c r="CW1288" s="330">
        <f t="shared" si="294"/>
        <v>1</v>
      </c>
      <c r="CX1288" s="330"/>
      <c r="CY1288" s="143" t="s">
        <v>5921</v>
      </c>
    </row>
    <row r="1289" spans="1:103" ht="11.25" customHeight="1" x14ac:dyDescent="0.2">
      <c r="A1289" s="72">
        <v>1634</v>
      </c>
      <c r="B1289" s="241">
        <v>2092</v>
      </c>
      <c r="C1289" s="32" t="s">
        <v>7621</v>
      </c>
      <c r="D1289" s="32"/>
      <c r="E1289" s="40"/>
      <c r="F1289" s="40" t="s">
        <v>1848</v>
      </c>
      <c r="G1289" s="242">
        <v>58275</v>
      </c>
      <c r="H1289" s="41" t="s">
        <v>1849</v>
      </c>
      <c r="I1289" s="41" t="s">
        <v>1849</v>
      </c>
      <c r="J1289" s="41" t="s">
        <v>5783</v>
      </c>
      <c r="K1289" s="41" t="s">
        <v>1771</v>
      </c>
      <c r="L1289" s="41" t="s">
        <v>279</v>
      </c>
      <c r="M1289" s="41" t="s">
        <v>1851</v>
      </c>
      <c r="N1289" s="36" t="s">
        <v>6383</v>
      </c>
      <c r="O1289" s="41" t="s">
        <v>281</v>
      </c>
      <c r="P1289" s="41" t="s">
        <v>6172</v>
      </c>
      <c r="Q1289" s="41" t="s">
        <v>6173</v>
      </c>
      <c r="R1289" s="41" t="s">
        <v>6175</v>
      </c>
      <c r="S1289" s="41" t="s">
        <v>6176</v>
      </c>
      <c r="T1289" s="33">
        <v>172.18</v>
      </c>
      <c r="U1289" s="250">
        <v>160</v>
      </c>
      <c r="V1289" s="250">
        <v>793.8</v>
      </c>
      <c r="W1289" s="250">
        <v>61.091769358236967</v>
      </c>
      <c r="X1289" s="250">
        <v>160</v>
      </c>
      <c r="Y1289" s="415">
        <v>7</v>
      </c>
      <c r="Z1289" s="33">
        <v>2.21</v>
      </c>
      <c r="AA1289" s="33">
        <v>2.2000000000000002</v>
      </c>
      <c r="AB1289" s="33">
        <v>1.9</v>
      </c>
      <c r="AC1289" s="33">
        <v>0.81189999999999996</v>
      </c>
      <c r="AD1289" s="33">
        <v>2.02</v>
      </c>
      <c r="AE1289" s="33">
        <v>2.38</v>
      </c>
      <c r="AF1289" s="33">
        <f t="shared" ref="AF1289:AF1298" si="295">IF(AA1289=0,AD1289,AA1289)</f>
        <v>2.2000000000000002</v>
      </c>
      <c r="AG1289" s="34">
        <v>1.68</v>
      </c>
      <c r="AH1289" s="250">
        <v>3.0899999999999999E-9</v>
      </c>
      <c r="AI1289" s="250"/>
      <c r="AJ1289" s="34">
        <f t="shared" ref="AJ1289:AJ1307" si="296">LOG10(AH1289*1000/(0.08206*298.15))</f>
        <v>-6.8986078468878169</v>
      </c>
      <c r="AK1289" s="34"/>
      <c r="AL1289" s="34">
        <f t="shared" ref="AL1289:AL1307" si="297">IF(AK1289=0,AJ1289,AK1289)</f>
        <v>-6.8986078468878169</v>
      </c>
      <c r="AM1289" s="34">
        <v>-9.7995200000000011</v>
      </c>
      <c r="AN1289" s="251"/>
      <c r="AO1289" s="417"/>
      <c r="AP1289" s="417"/>
      <c r="AQ1289" s="251" t="s">
        <v>6311</v>
      </c>
      <c r="AR1289" s="251" t="s">
        <v>6311</v>
      </c>
      <c r="AS1289" s="252" t="s">
        <v>5466</v>
      </c>
      <c r="AT1289" s="35" t="s">
        <v>266</v>
      </c>
      <c r="AU1289" s="33">
        <v>4</v>
      </c>
      <c r="AV1289" s="33">
        <v>80</v>
      </c>
      <c r="AW1289" s="33">
        <v>76</v>
      </c>
      <c r="AX1289" s="33">
        <v>28</v>
      </c>
      <c r="AY1289" s="33" t="s">
        <v>267</v>
      </c>
      <c r="AZ1289" s="33" t="s">
        <v>5731</v>
      </c>
      <c r="BA1289" s="33">
        <v>20</v>
      </c>
      <c r="BB1289" s="41" t="s">
        <v>5732</v>
      </c>
      <c r="BC1289" s="41" t="s">
        <v>1584</v>
      </c>
      <c r="BD1289" s="41"/>
      <c r="BE1289" s="33" t="s">
        <v>5733</v>
      </c>
      <c r="BF1289" s="33"/>
      <c r="BG1289" s="33"/>
      <c r="BH1289" s="33" t="s">
        <v>5734</v>
      </c>
      <c r="BI1289" s="250"/>
      <c r="BJ1289" s="250"/>
      <c r="BK1289" s="254"/>
      <c r="BL1289" s="263">
        <v>91.618189121637243</v>
      </c>
      <c r="BM1289" s="33"/>
      <c r="BN1289" s="33"/>
      <c r="BO1289" s="33"/>
      <c r="BP1289" s="33"/>
      <c r="BQ1289" s="33"/>
      <c r="BR1289" s="33"/>
      <c r="BS1289" s="33"/>
      <c r="BT1289" s="33"/>
      <c r="BU1289" s="246"/>
      <c r="BV1289" s="33">
        <v>0.63706600000000002</v>
      </c>
      <c r="BW1289" s="33">
        <v>0.26860080000000003</v>
      </c>
      <c r="BX1289" s="33"/>
      <c r="BY1289" s="33"/>
      <c r="BZ1289" s="33"/>
      <c r="CA1289" s="33"/>
      <c r="CB1289" s="33"/>
      <c r="CC1289" s="33"/>
      <c r="CD1289" s="33"/>
      <c r="CE1289" s="33"/>
      <c r="CF1289" s="33"/>
      <c r="CG1289" s="33"/>
      <c r="CH1289" s="33"/>
      <c r="CI1289" s="250">
        <v>0.26860080000000003</v>
      </c>
      <c r="CJ1289" s="243">
        <f t="shared" si="292"/>
        <v>-0.57089269816369903</v>
      </c>
      <c r="CK1289" s="38"/>
      <c r="CL1289" s="247">
        <f t="shared" si="293"/>
        <v>341.09425259208922</v>
      </c>
      <c r="CM1289" s="247"/>
      <c r="CN1289" s="247"/>
      <c r="CO1289" s="41"/>
      <c r="CP1289" s="143" t="s">
        <v>5735</v>
      </c>
      <c r="CQ1289" s="241">
        <v>-0.95664216802755875</v>
      </c>
      <c r="CR1289" s="241">
        <f>10^(CJ1289-CQ1289)</f>
        <v>2.4308013555598591</v>
      </c>
      <c r="CS1289" s="33"/>
      <c r="CT1289" s="33"/>
      <c r="CU1289" s="250">
        <f t="shared" ref="CU1289:CU1307" si="298">X1289/CI1289</f>
        <v>595.67953632304886</v>
      </c>
      <c r="CV1289" s="337"/>
      <c r="CW1289" s="330">
        <f t="shared" si="294"/>
        <v>1</v>
      </c>
      <c r="CX1289" s="330" t="s">
        <v>539</v>
      </c>
      <c r="CY1289" s="143" t="s">
        <v>5921</v>
      </c>
    </row>
    <row r="1290" spans="1:103" ht="11.25" customHeight="1" x14ac:dyDescent="0.2">
      <c r="A1290" s="72">
        <v>1641</v>
      </c>
      <c r="B1290" s="241">
        <v>2095</v>
      </c>
      <c r="C1290" s="32" t="s">
        <v>7622</v>
      </c>
      <c r="D1290" s="32"/>
      <c r="E1290" s="40"/>
      <c r="F1290" s="40" t="s">
        <v>1748</v>
      </c>
      <c r="G1290" s="242">
        <v>62237</v>
      </c>
      <c r="H1290" s="41" t="s">
        <v>5790</v>
      </c>
      <c r="I1290" s="41" t="s">
        <v>8209</v>
      </c>
      <c r="J1290" s="41" t="s">
        <v>5791</v>
      </c>
      <c r="K1290" s="41" t="s">
        <v>426</v>
      </c>
      <c r="L1290" s="41"/>
      <c r="M1290" s="41"/>
      <c r="N1290" s="36"/>
      <c r="O1290" s="41"/>
      <c r="P1290" s="41"/>
      <c r="Q1290" s="41"/>
      <c r="R1290" s="41"/>
      <c r="S1290" s="41"/>
      <c r="T1290" s="33">
        <v>167.12</v>
      </c>
      <c r="U1290" s="250">
        <v>200</v>
      </c>
      <c r="V1290" s="250">
        <v>628.5</v>
      </c>
      <c r="W1290" s="250">
        <v>1633.1588436613506</v>
      </c>
      <c r="X1290" s="250">
        <v>200</v>
      </c>
      <c r="Y1290" s="415">
        <v>2.76</v>
      </c>
      <c r="Z1290" s="33">
        <v>1.69</v>
      </c>
      <c r="AA1290" s="33">
        <v>1.89</v>
      </c>
      <c r="AB1290" s="33">
        <v>1.96</v>
      </c>
      <c r="AC1290" s="33">
        <v>0.90569999999999995</v>
      </c>
      <c r="AD1290" s="33">
        <v>1.94</v>
      </c>
      <c r="AE1290" s="33">
        <v>1.89</v>
      </c>
      <c r="AF1290" s="33">
        <f t="shared" si="295"/>
        <v>1.89</v>
      </c>
      <c r="AG1290" s="34">
        <v>1.06</v>
      </c>
      <c r="AH1290" s="250">
        <v>4.2800000000000002E-10</v>
      </c>
      <c r="AI1290" s="250"/>
      <c r="AJ1290" s="34">
        <f t="shared" si="296"/>
        <v>-7.7571225572994793</v>
      </c>
      <c r="AK1290" s="34"/>
      <c r="AL1290" s="34">
        <f t="shared" si="297"/>
        <v>-7.7571225572994793</v>
      </c>
      <c r="AM1290" s="34">
        <v>-10.549720000000001</v>
      </c>
      <c r="AN1290" s="251"/>
      <c r="AO1290" s="417">
        <v>3.42</v>
      </c>
      <c r="AP1290" s="417"/>
      <c r="AQ1290" s="251" t="s">
        <v>6311</v>
      </c>
      <c r="AR1290" s="251" t="s">
        <v>6311</v>
      </c>
      <c r="AS1290" s="252" t="s">
        <v>5466</v>
      </c>
      <c r="AT1290" s="35" t="s">
        <v>266</v>
      </c>
      <c r="AU1290" s="33">
        <v>4</v>
      </c>
      <c r="AV1290" s="33">
        <v>80</v>
      </c>
      <c r="AW1290" s="33">
        <v>76</v>
      </c>
      <c r="AX1290" s="33">
        <v>28</v>
      </c>
      <c r="AY1290" s="33" t="s">
        <v>267</v>
      </c>
      <c r="AZ1290" s="33" t="s">
        <v>5731</v>
      </c>
      <c r="BA1290" s="33">
        <v>20</v>
      </c>
      <c r="BB1290" s="41" t="s">
        <v>5732</v>
      </c>
      <c r="BC1290" s="41" t="s">
        <v>1584</v>
      </c>
      <c r="BD1290" s="41"/>
      <c r="BE1290" s="33" t="s">
        <v>5733</v>
      </c>
      <c r="BF1290" s="33"/>
      <c r="BG1290" s="33"/>
      <c r="BH1290" s="33" t="s">
        <v>5734</v>
      </c>
      <c r="BI1290" s="250"/>
      <c r="BJ1290" s="250"/>
      <c r="BK1290" s="254"/>
      <c r="BL1290" s="263">
        <v>260.63901576747332</v>
      </c>
      <c r="BM1290" s="33"/>
      <c r="BN1290" s="33"/>
      <c r="BO1290" s="33"/>
      <c r="BP1290" s="33"/>
      <c r="BQ1290" s="33"/>
      <c r="BR1290" s="33"/>
      <c r="BS1290" s="33"/>
      <c r="BT1290" s="33"/>
      <c r="BU1290" s="246"/>
      <c r="BV1290" s="33">
        <v>6517.68</v>
      </c>
      <c r="BW1290" s="33">
        <v>6517.68</v>
      </c>
      <c r="BX1290" s="33"/>
      <c r="BY1290" s="33"/>
      <c r="BZ1290" s="33"/>
      <c r="CA1290" s="33"/>
      <c r="CB1290" s="33"/>
      <c r="CC1290" s="33"/>
      <c r="CD1290" s="33"/>
      <c r="CE1290" s="33"/>
      <c r="CF1290" s="33"/>
      <c r="CG1290" s="33"/>
      <c r="CH1290" s="33"/>
      <c r="CI1290" s="250">
        <v>6517.68</v>
      </c>
      <c r="CJ1290" s="243">
        <f t="shared" si="292"/>
        <v>3.8140930339987515</v>
      </c>
      <c r="CK1290" s="38"/>
      <c r="CL1290" s="247">
        <f t="shared" si="293"/>
        <v>3.9989538573153842E-2</v>
      </c>
      <c r="CM1290" s="247"/>
      <c r="CN1290" s="247"/>
      <c r="CO1290" s="41"/>
      <c r="CP1290" s="143" t="s">
        <v>5735</v>
      </c>
      <c r="CQ1290" s="241" t="s">
        <v>272</v>
      </c>
      <c r="CR1290" s="241"/>
      <c r="CS1290" s="33"/>
      <c r="CT1290" s="33"/>
      <c r="CU1290" s="250">
        <f t="shared" si="298"/>
        <v>3.0685765487105839E-2</v>
      </c>
      <c r="CV1290" s="337"/>
      <c r="CW1290" s="330">
        <f t="shared" si="294"/>
        <v>0</v>
      </c>
      <c r="CX1290" s="330" t="s">
        <v>539</v>
      </c>
      <c r="CY1290" s="143" t="s">
        <v>6351</v>
      </c>
    </row>
    <row r="1291" spans="1:103" ht="11.25" customHeight="1" x14ac:dyDescent="0.2">
      <c r="A1291" s="72">
        <v>1655</v>
      </c>
      <c r="B1291" s="241">
        <v>2096</v>
      </c>
      <c r="C1291" s="32" t="s">
        <v>7623</v>
      </c>
      <c r="D1291" s="32"/>
      <c r="E1291" s="40"/>
      <c r="F1291" s="40" t="s">
        <v>5792</v>
      </c>
      <c r="G1291" s="242">
        <v>66762</v>
      </c>
      <c r="H1291" s="41" t="s">
        <v>5793</v>
      </c>
      <c r="I1291" s="41" t="s">
        <v>8210</v>
      </c>
      <c r="J1291" s="41" t="s">
        <v>5794</v>
      </c>
      <c r="K1291" s="41" t="s">
        <v>3440</v>
      </c>
      <c r="L1291" s="41" t="s">
        <v>279</v>
      </c>
      <c r="M1291" s="41" t="s">
        <v>5795</v>
      </c>
      <c r="N1291" s="36"/>
      <c r="O1291" s="41" t="s">
        <v>281</v>
      </c>
      <c r="P1291" s="41"/>
      <c r="Q1291" s="41"/>
      <c r="R1291" s="41"/>
      <c r="S1291" s="41"/>
      <c r="T1291" s="33">
        <v>336.3</v>
      </c>
      <c r="U1291" s="250"/>
      <c r="V1291" s="250">
        <v>127.8</v>
      </c>
      <c r="W1291" s="250">
        <v>33.630000000000003</v>
      </c>
      <c r="X1291" s="250">
        <v>33.630000000000003</v>
      </c>
      <c r="Y1291" s="415">
        <v>4.2699999999999996</v>
      </c>
      <c r="Z1291" s="33">
        <v>1.92</v>
      </c>
      <c r="AA1291" s="33">
        <v>2.0699999999999998</v>
      </c>
      <c r="AB1291" s="33">
        <v>1.94</v>
      </c>
      <c r="AC1291" s="33">
        <v>0.76149999999999995</v>
      </c>
      <c r="AD1291" s="33">
        <v>2.4300000000000002</v>
      </c>
      <c r="AE1291" s="33">
        <v>3.55</v>
      </c>
      <c r="AF1291" s="33">
        <f t="shared" si="295"/>
        <v>2.0699999999999998</v>
      </c>
      <c r="AG1291" s="34">
        <v>2.4300000000000002</v>
      </c>
      <c r="AH1291" s="250">
        <v>1.36E-13</v>
      </c>
      <c r="AI1291" s="250"/>
      <c r="AJ1291" s="34">
        <f t="shared" si="296"/>
        <v>-11.255027417942435</v>
      </c>
      <c r="AK1291" s="34"/>
      <c r="AL1291" s="34">
        <f t="shared" si="297"/>
        <v>-11.255027417942435</v>
      </c>
      <c r="AM1291" s="34">
        <v>-20.157349999999997</v>
      </c>
      <c r="AN1291" s="251"/>
      <c r="AO1291" s="417">
        <v>4.2</v>
      </c>
      <c r="AP1291" s="417"/>
      <c r="AQ1291" s="251" t="s">
        <v>6311</v>
      </c>
      <c r="AR1291" s="251" t="s">
        <v>6311</v>
      </c>
      <c r="AS1291" s="252" t="s">
        <v>5466</v>
      </c>
      <c r="AT1291" s="35" t="s">
        <v>266</v>
      </c>
      <c r="AU1291" s="33">
        <v>4</v>
      </c>
      <c r="AV1291" s="33">
        <v>80</v>
      </c>
      <c r="AW1291" s="33">
        <v>76</v>
      </c>
      <c r="AX1291" s="33">
        <v>28</v>
      </c>
      <c r="AY1291" s="33" t="s">
        <v>267</v>
      </c>
      <c r="AZ1291" s="33" t="s">
        <v>5731</v>
      </c>
      <c r="BA1291" s="33">
        <v>20</v>
      </c>
      <c r="BB1291" s="41" t="s">
        <v>5732</v>
      </c>
      <c r="BC1291" s="41" t="s">
        <v>1584</v>
      </c>
      <c r="BD1291" s="41"/>
      <c r="BE1291" s="33" t="s">
        <v>5733</v>
      </c>
      <c r="BF1291" s="33"/>
      <c r="BG1291" s="33"/>
      <c r="BH1291" s="33" t="s">
        <v>5734</v>
      </c>
      <c r="BI1291" s="250"/>
      <c r="BJ1291" s="250"/>
      <c r="BK1291" s="254"/>
      <c r="BL1291" s="263">
        <v>325.96792454703007</v>
      </c>
      <c r="BM1291" s="33"/>
      <c r="BN1291" s="33"/>
      <c r="BO1291" s="33"/>
      <c r="BP1291" s="33"/>
      <c r="BQ1291" s="33"/>
      <c r="BR1291" s="33"/>
      <c r="BS1291" s="33"/>
      <c r="BT1291" s="33"/>
      <c r="BU1291" s="246"/>
      <c r="BV1291" s="33">
        <v>7.8761460000000003</v>
      </c>
      <c r="BW1291" s="33">
        <v>7.1430119999999997</v>
      </c>
      <c r="BX1291" s="33"/>
      <c r="BY1291" s="33"/>
      <c r="BZ1291" s="33"/>
      <c r="CA1291" s="33"/>
      <c r="CB1291" s="33"/>
      <c r="CC1291" s="33"/>
      <c r="CD1291" s="33"/>
      <c r="CE1291" s="33"/>
      <c r="CF1291" s="33"/>
      <c r="CG1291" s="33"/>
      <c r="CH1291" s="33"/>
      <c r="CI1291" s="250">
        <v>7.1430119999999997</v>
      </c>
      <c r="CJ1291" s="243">
        <f t="shared" si="292"/>
        <v>0.85388137972406708</v>
      </c>
      <c r="CK1291" s="38"/>
      <c r="CL1291" s="247">
        <f t="shared" si="293"/>
        <v>45.634520080188871</v>
      </c>
      <c r="CM1291" s="247"/>
      <c r="CN1291" s="247"/>
      <c r="CO1291" s="41"/>
      <c r="CP1291" s="143" t="s">
        <v>5735</v>
      </c>
      <c r="CQ1291" s="241">
        <v>0.70842090013471271</v>
      </c>
      <c r="CR1291" s="241">
        <f>10^(CJ1291-CQ1291)</f>
        <v>1.3978497064579258</v>
      </c>
      <c r="CS1291" s="33"/>
      <c r="CT1291" s="33"/>
      <c r="CU1291" s="250">
        <f t="shared" si="298"/>
        <v>4.7080979284369118</v>
      </c>
      <c r="CV1291" s="337"/>
      <c r="CW1291" s="330">
        <f t="shared" si="294"/>
        <v>1</v>
      </c>
      <c r="CX1291" s="330" t="s">
        <v>539</v>
      </c>
      <c r="CY1291" s="143" t="s">
        <v>5921</v>
      </c>
    </row>
    <row r="1292" spans="1:103" ht="11.25" customHeight="1" x14ac:dyDescent="0.2">
      <c r="A1292" s="72">
        <v>1681</v>
      </c>
      <c r="B1292" s="241">
        <v>2079</v>
      </c>
      <c r="C1292" s="32" t="s">
        <v>1874</v>
      </c>
      <c r="D1292" s="32"/>
      <c r="E1292" s="40"/>
      <c r="F1292" s="40" t="s">
        <v>1875</v>
      </c>
      <c r="G1292" s="242">
        <v>83794</v>
      </c>
      <c r="H1292" s="41" t="s">
        <v>1876</v>
      </c>
      <c r="I1292" s="41" t="s">
        <v>1876</v>
      </c>
      <c r="J1292" s="41" t="s">
        <v>1877</v>
      </c>
      <c r="K1292" s="41" t="s">
        <v>1878</v>
      </c>
      <c r="L1292" s="36" t="s">
        <v>617</v>
      </c>
      <c r="M1292" s="36" t="s">
        <v>6099</v>
      </c>
      <c r="N1292" s="36" t="s">
        <v>6381</v>
      </c>
      <c r="O1292" s="36" t="s">
        <v>6100</v>
      </c>
      <c r="P1292" s="41"/>
      <c r="Q1292" s="41" t="s">
        <v>6176</v>
      </c>
      <c r="R1292" s="41" t="s">
        <v>6185</v>
      </c>
      <c r="S1292" s="41" t="s">
        <v>6176</v>
      </c>
      <c r="T1292" s="33">
        <v>394.43</v>
      </c>
      <c r="U1292" s="250">
        <v>0.20000507073677803</v>
      </c>
      <c r="V1292" s="250">
        <v>1.0450264945996652</v>
      </c>
      <c r="W1292" s="250">
        <v>0.27287888985955566</v>
      </c>
      <c r="X1292" s="250">
        <v>0.20000507073677803</v>
      </c>
      <c r="Y1292" s="415">
        <v>7</v>
      </c>
      <c r="Z1292" s="33">
        <v>4.3099999999999996</v>
      </c>
      <c r="AA1292" s="33">
        <v>4.0999999999999996</v>
      </c>
      <c r="AB1292" s="33">
        <v>3.96</v>
      </c>
      <c r="AC1292" s="33">
        <v>0.64770000000000005</v>
      </c>
      <c r="AD1292" s="33">
        <v>4.24</v>
      </c>
      <c r="AE1292" s="33">
        <v>4.6500000000000004</v>
      </c>
      <c r="AF1292" s="33">
        <f t="shared" si="295"/>
        <v>4.0999999999999996</v>
      </c>
      <c r="AG1292" s="34">
        <v>3.51</v>
      </c>
      <c r="AH1292" s="250">
        <v>1.12E-13</v>
      </c>
      <c r="AI1292" s="250"/>
      <c r="AJ1292" s="34">
        <f t="shared" si="296"/>
        <v>-11.33934830364247</v>
      </c>
      <c r="AK1292" s="34"/>
      <c r="AL1292" s="34">
        <f t="shared" si="297"/>
        <v>-11.33934830364247</v>
      </c>
      <c r="AM1292" s="34">
        <v>-18.712900000000001</v>
      </c>
      <c r="AN1292" s="251"/>
      <c r="AO1292" s="417"/>
      <c r="AP1292" s="417"/>
      <c r="AQ1292" s="251" t="s">
        <v>6311</v>
      </c>
      <c r="AR1292" s="251" t="s">
        <v>6311</v>
      </c>
      <c r="AS1292" s="252" t="s">
        <v>5466</v>
      </c>
      <c r="AT1292" s="35" t="s">
        <v>266</v>
      </c>
      <c r="AU1292" s="33">
        <v>4</v>
      </c>
      <c r="AV1292" s="33">
        <v>80</v>
      </c>
      <c r="AW1292" s="33">
        <v>76</v>
      </c>
      <c r="AX1292" s="33">
        <v>28</v>
      </c>
      <c r="AY1292" s="33" t="s">
        <v>267</v>
      </c>
      <c r="AZ1292" s="33" t="s">
        <v>5731</v>
      </c>
      <c r="BA1292" s="33">
        <v>20</v>
      </c>
      <c r="BB1292" s="41" t="s">
        <v>5732</v>
      </c>
      <c r="BC1292" s="41" t="s">
        <v>1584</v>
      </c>
      <c r="BD1292" s="41"/>
      <c r="BE1292" s="33" t="s">
        <v>5733</v>
      </c>
      <c r="BF1292" s="33"/>
      <c r="BG1292" s="33"/>
      <c r="BH1292" s="33" t="s">
        <v>5734</v>
      </c>
      <c r="BI1292" s="250"/>
      <c r="BJ1292" s="250"/>
      <c r="BK1292" s="254"/>
      <c r="BL1292" s="263">
        <v>2.7287197835158148</v>
      </c>
      <c r="BM1292" s="33"/>
      <c r="BN1292" s="33"/>
      <c r="BO1292" s="33"/>
      <c r="BP1292" s="33"/>
      <c r="BQ1292" s="33"/>
      <c r="BR1292" s="33"/>
      <c r="BS1292" s="33"/>
      <c r="BT1292" s="33"/>
      <c r="BU1292" s="246"/>
      <c r="BV1292" s="33">
        <v>0.1419948</v>
      </c>
      <c r="BW1292" s="33">
        <v>0.11832899999999999</v>
      </c>
      <c r="BX1292" s="33"/>
      <c r="BY1292" s="33"/>
      <c r="BZ1292" s="33"/>
      <c r="CA1292" s="33"/>
      <c r="CB1292" s="33"/>
      <c r="CC1292" s="33"/>
      <c r="CD1292" s="33"/>
      <c r="CE1292" s="33"/>
      <c r="CF1292" s="33"/>
      <c r="CG1292" s="33"/>
      <c r="CH1292" s="33"/>
      <c r="CI1292" s="250">
        <v>0.11832899999999999</v>
      </c>
      <c r="CJ1292" s="243">
        <f t="shared" si="292"/>
        <v>-0.92690880569736156</v>
      </c>
      <c r="CK1292" s="38"/>
      <c r="CL1292" s="247">
        <f t="shared" si="293"/>
        <v>23.060448271478801</v>
      </c>
      <c r="CM1292" s="247">
        <v>-2.0083986601614678</v>
      </c>
      <c r="CN1292" s="247"/>
      <c r="CO1292" s="41"/>
      <c r="CP1292" s="143" t="s">
        <v>5735</v>
      </c>
      <c r="CQ1292" s="241">
        <v>-1.6099760319324279</v>
      </c>
      <c r="CR1292" s="241">
        <f>10^(CJ1292-CQ1292)</f>
        <v>4.8202240608791325</v>
      </c>
      <c r="CS1292" s="33"/>
      <c r="CT1292" s="33"/>
      <c r="CU1292" s="250">
        <f t="shared" si="298"/>
        <v>1.6902455926846172</v>
      </c>
      <c r="CV1292" s="337"/>
      <c r="CW1292" s="330">
        <f t="shared" si="294"/>
        <v>0</v>
      </c>
      <c r="CX1292" s="330" t="s">
        <v>539</v>
      </c>
      <c r="CY1292" s="143" t="s">
        <v>5921</v>
      </c>
    </row>
    <row r="1293" spans="1:103" ht="11.25" customHeight="1" x14ac:dyDescent="0.2">
      <c r="A1293" s="72">
        <v>1684</v>
      </c>
      <c r="B1293" s="241">
        <v>2091</v>
      </c>
      <c r="C1293" s="32" t="s">
        <v>7635</v>
      </c>
      <c r="D1293" s="32"/>
      <c r="E1293" s="40"/>
      <c r="F1293" s="40" t="s">
        <v>5780</v>
      </c>
      <c r="G1293" s="242">
        <v>84797</v>
      </c>
      <c r="H1293" s="41" t="s">
        <v>5781</v>
      </c>
      <c r="I1293" s="41" t="s">
        <v>5781</v>
      </c>
      <c r="J1293" s="41" t="s">
        <v>5782</v>
      </c>
      <c r="K1293" s="41" t="s">
        <v>5755</v>
      </c>
      <c r="L1293" s="41"/>
      <c r="M1293" s="41"/>
      <c r="N1293" s="36"/>
      <c r="O1293" s="41"/>
      <c r="P1293" s="41"/>
      <c r="Q1293" s="41"/>
      <c r="R1293" s="41"/>
      <c r="S1293" s="41"/>
      <c r="T1293" s="33">
        <v>242.28</v>
      </c>
      <c r="U1293" s="250"/>
      <c r="V1293" s="250">
        <v>55.6</v>
      </c>
      <c r="W1293" s="250">
        <v>8.4007404127639358</v>
      </c>
      <c r="X1293" s="250">
        <v>8.4007404127639358</v>
      </c>
      <c r="Y1293" s="415">
        <v>4.78</v>
      </c>
      <c r="Z1293" s="33">
        <v>3.13</v>
      </c>
      <c r="AA1293" s="33"/>
      <c r="AB1293" s="33">
        <v>2.09</v>
      </c>
      <c r="AC1293" s="33">
        <v>0.8216</v>
      </c>
      <c r="AD1293" s="33">
        <v>2.56</v>
      </c>
      <c r="AE1293" s="33">
        <v>4.08</v>
      </c>
      <c r="AF1293" s="33">
        <f t="shared" si="295"/>
        <v>2.56</v>
      </c>
      <c r="AG1293" s="34">
        <v>2.56</v>
      </c>
      <c r="AH1293" s="250">
        <v>1.2299999999999999E-8</v>
      </c>
      <c r="AI1293" s="250"/>
      <c r="AJ1293" s="34">
        <f t="shared" si="296"/>
        <v>-6.2986612148732544</v>
      </c>
      <c r="AK1293" s="34"/>
      <c r="AL1293" s="34">
        <f t="shared" si="297"/>
        <v>-6.2986612148732544</v>
      </c>
      <c r="AM1293" s="34">
        <v>-14.40296</v>
      </c>
      <c r="AN1293" s="251"/>
      <c r="AO1293" s="417">
        <v>4.8099999999999996</v>
      </c>
      <c r="AP1293" s="417"/>
      <c r="AQ1293" s="251" t="s">
        <v>6311</v>
      </c>
      <c r="AR1293" s="251" t="s">
        <v>6311</v>
      </c>
      <c r="AS1293" s="252" t="s">
        <v>5466</v>
      </c>
      <c r="AT1293" s="35" t="s">
        <v>266</v>
      </c>
      <c r="AU1293" s="33">
        <v>4</v>
      </c>
      <c r="AV1293" s="33">
        <v>80</v>
      </c>
      <c r="AW1293" s="33">
        <v>76</v>
      </c>
      <c r="AX1293" s="33">
        <v>28</v>
      </c>
      <c r="AY1293" s="33" t="s">
        <v>267</v>
      </c>
      <c r="AZ1293" s="33" t="s">
        <v>5731</v>
      </c>
      <c r="BA1293" s="33">
        <v>20</v>
      </c>
      <c r="BB1293" s="41" t="s">
        <v>5732</v>
      </c>
      <c r="BC1293" s="41" t="s">
        <v>1584</v>
      </c>
      <c r="BD1293" s="41"/>
      <c r="BE1293" s="33" t="s">
        <v>5733</v>
      </c>
      <c r="BF1293" s="33"/>
      <c r="BG1293" s="33"/>
      <c r="BH1293" s="33" t="s">
        <v>5734</v>
      </c>
      <c r="BI1293" s="250"/>
      <c r="BJ1293" s="250"/>
      <c r="BK1293" s="254"/>
      <c r="BL1293" s="263">
        <v>19.233776492610854</v>
      </c>
      <c r="BM1293" s="33"/>
      <c r="BN1293" s="33"/>
      <c r="BO1293" s="33"/>
      <c r="BP1293" s="33"/>
      <c r="BQ1293" s="33"/>
      <c r="BR1293" s="33"/>
      <c r="BS1293" s="33"/>
      <c r="BT1293" s="33"/>
      <c r="BU1293" s="246"/>
      <c r="BV1293" s="33"/>
      <c r="BW1293" s="33">
        <v>2.1684060000000001</v>
      </c>
      <c r="BX1293" s="33"/>
      <c r="BY1293" s="33"/>
      <c r="BZ1293" s="33"/>
      <c r="CA1293" s="33"/>
      <c r="CB1293" s="33"/>
      <c r="CC1293" s="33"/>
      <c r="CD1293" s="33"/>
      <c r="CE1293" s="33"/>
      <c r="CF1293" s="33"/>
      <c r="CG1293" s="33"/>
      <c r="CH1293" s="33"/>
      <c r="CI1293" s="250">
        <v>2.1684060000000001</v>
      </c>
      <c r="CJ1293" s="243">
        <f t="shared" si="292"/>
        <v>0.33614060030717607</v>
      </c>
      <c r="CK1293" s="38"/>
      <c r="CL1293" s="247">
        <f t="shared" si="293"/>
        <v>8.8700070432432181</v>
      </c>
      <c r="CM1293" s="247"/>
      <c r="CN1293" s="247"/>
      <c r="CO1293" s="41"/>
      <c r="CP1293" s="143" t="s">
        <v>5735</v>
      </c>
      <c r="CQ1293" s="241" t="s">
        <v>272</v>
      </c>
      <c r="CR1293" s="241"/>
      <c r="CS1293" s="33"/>
      <c r="CT1293" s="33"/>
      <c r="CU1293" s="250">
        <f t="shared" si="298"/>
        <v>3.8741547536595711</v>
      </c>
      <c r="CV1293" s="337"/>
      <c r="CW1293" s="330">
        <f t="shared" si="294"/>
        <v>1</v>
      </c>
      <c r="CX1293" s="330" t="s">
        <v>539</v>
      </c>
      <c r="CY1293" s="143" t="s">
        <v>5921</v>
      </c>
    </row>
    <row r="1294" spans="1:103" ht="11.25" customHeight="1" x14ac:dyDescent="0.2">
      <c r="A1294" s="72">
        <v>1798</v>
      </c>
      <c r="B1294" s="241">
        <v>2093</v>
      </c>
      <c r="C1294" s="32" t="s">
        <v>7694</v>
      </c>
      <c r="D1294" s="32"/>
      <c r="E1294" s="40"/>
      <c r="F1294" s="40" t="s">
        <v>5784</v>
      </c>
      <c r="G1294" s="242">
        <v>475387</v>
      </c>
      <c r="H1294" s="41" t="s">
        <v>5785</v>
      </c>
      <c r="I1294" s="41" t="s">
        <v>8223</v>
      </c>
      <c r="J1294" s="41" t="s">
        <v>5786</v>
      </c>
      <c r="K1294" s="41" t="s">
        <v>5787</v>
      </c>
      <c r="L1294" s="41"/>
      <c r="M1294" s="41"/>
      <c r="N1294" s="36"/>
      <c r="O1294" s="41"/>
      <c r="P1294" s="41"/>
      <c r="Q1294" s="41"/>
      <c r="R1294" s="41"/>
      <c r="S1294" s="41"/>
      <c r="T1294" s="33">
        <v>190.16</v>
      </c>
      <c r="U1294" s="250"/>
      <c r="V1294" s="250">
        <v>5522</v>
      </c>
      <c r="W1294" s="250">
        <v>330.46020559498112</v>
      </c>
      <c r="X1294" s="250">
        <v>330.46020559498112</v>
      </c>
      <c r="Y1294" s="415">
        <v>4.87</v>
      </c>
      <c r="Z1294" s="33">
        <v>2.25</v>
      </c>
      <c r="AA1294" s="33">
        <v>1.79</v>
      </c>
      <c r="AB1294" s="33">
        <v>2</v>
      </c>
      <c r="AC1294" s="33">
        <v>0.79279999999999995</v>
      </c>
      <c r="AD1294" s="33">
        <v>1.96</v>
      </c>
      <c r="AE1294" s="33">
        <v>1.82</v>
      </c>
      <c r="AF1294" s="33">
        <f t="shared" si="295"/>
        <v>1.79</v>
      </c>
      <c r="AG1294" s="34">
        <v>1.96</v>
      </c>
      <c r="AH1294" s="250">
        <v>3.3800000000000002E-11</v>
      </c>
      <c r="AI1294" s="250"/>
      <c r="AJ1294" s="34">
        <f t="shared" si="296"/>
        <v>-8.8596496260349973</v>
      </c>
      <c r="AK1294" s="34"/>
      <c r="AL1294" s="34">
        <f t="shared" si="297"/>
        <v>-8.8596496260349973</v>
      </c>
      <c r="AM1294" s="34">
        <v>-11.58311</v>
      </c>
      <c r="AN1294" s="251"/>
      <c r="AO1294" s="417">
        <v>6.98</v>
      </c>
      <c r="AP1294" s="417"/>
      <c r="AQ1294" s="251" t="s">
        <v>6311</v>
      </c>
      <c r="AR1294" s="251" t="s">
        <v>6311</v>
      </c>
      <c r="AS1294" s="252" t="s">
        <v>5466</v>
      </c>
      <c r="AT1294" s="35" t="s">
        <v>266</v>
      </c>
      <c r="AU1294" s="33">
        <v>4</v>
      </c>
      <c r="AV1294" s="33">
        <v>80</v>
      </c>
      <c r="AW1294" s="33">
        <v>76</v>
      </c>
      <c r="AX1294" s="33">
        <v>28</v>
      </c>
      <c r="AY1294" s="33" t="s">
        <v>267</v>
      </c>
      <c r="AZ1294" s="33" t="s">
        <v>5731</v>
      </c>
      <c r="BA1294" s="33">
        <v>20</v>
      </c>
      <c r="BB1294" s="41" t="s">
        <v>5732</v>
      </c>
      <c r="BC1294" s="41" t="s">
        <v>1584</v>
      </c>
      <c r="BD1294" s="41"/>
      <c r="BE1294" s="33" t="s">
        <v>5733</v>
      </c>
      <c r="BF1294" s="33"/>
      <c r="BG1294" s="33"/>
      <c r="BH1294" s="33" t="s">
        <v>5734</v>
      </c>
      <c r="BI1294" s="250"/>
      <c r="BJ1294" s="250"/>
      <c r="BK1294" s="254"/>
      <c r="BL1294" s="263">
        <v>93.152425756152212</v>
      </c>
      <c r="BM1294" s="33"/>
      <c r="BN1294" s="33"/>
      <c r="BO1294" s="33"/>
      <c r="BP1294" s="33"/>
      <c r="BQ1294" s="33"/>
      <c r="BR1294" s="33"/>
      <c r="BS1294" s="33"/>
      <c r="BT1294" s="33"/>
      <c r="BU1294" s="246"/>
      <c r="BV1294" s="33">
        <v>0.95460319999999999</v>
      </c>
      <c r="BW1294" s="33">
        <v>0.92227599999999998</v>
      </c>
      <c r="BX1294" s="33"/>
      <c r="BY1294" s="33"/>
      <c r="BZ1294" s="33"/>
      <c r="CA1294" s="33"/>
      <c r="CB1294" s="33"/>
      <c r="CC1294" s="33"/>
      <c r="CD1294" s="33"/>
      <c r="CE1294" s="33"/>
      <c r="CF1294" s="33"/>
      <c r="CG1294" s="33"/>
      <c r="CH1294" s="33"/>
      <c r="CI1294" s="250">
        <v>0.92227599999999998</v>
      </c>
      <c r="CJ1294" s="243">
        <f t="shared" si="292"/>
        <v>-3.5139092677612498E-2</v>
      </c>
      <c r="CK1294" s="38"/>
      <c r="CL1294" s="247">
        <f t="shared" si="293"/>
        <v>101.00276463461286</v>
      </c>
      <c r="CM1294" s="247"/>
      <c r="CN1294" s="247"/>
      <c r="CO1294" s="41"/>
      <c r="CP1294" s="143" t="s">
        <v>5735</v>
      </c>
      <c r="CQ1294" s="241" t="s">
        <v>272</v>
      </c>
      <c r="CR1294" s="241"/>
      <c r="CS1294" s="33"/>
      <c r="CT1294" s="33"/>
      <c r="CU1294" s="250">
        <f t="shared" si="298"/>
        <v>358.30944922667521</v>
      </c>
      <c r="CV1294" s="337"/>
      <c r="CW1294" s="330">
        <f t="shared" si="294"/>
        <v>1</v>
      </c>
      <c r="CX1294" s="330" t="s">
        <v>539</v>
      </c>
      <c r="CY1294" s="143" t="s">
        <v>5921</v>
      </c>
    </row>
    <row r="1295" spans="1:103" ht="11.25" customHeight="1" x14ac:dyDescent="0.2">
      <c r="A1295" s="72">
        <v>1799</v>
      </c>
      <c r="B1295" s="241">
        <v>2090</v>
      </c>
      <c r="C1295" s="32" t="s">
        <v>6767</v>
      </c>
      <c r="D1295" s="32" t="s">
        <v>6768</v>
      </c>
      <c r="E1295" s="40"/>
      <c r="F1295" s="40" t="s">
        <v>2307</v>
      </c>
      <c r="G1295" s="242">
        <v>481390</v>
      </c>
      <c r="H1295" s="41" t="s">
        <v>2308</v>
      </c>
      <c r="I1295" s="41" t="s">
        <v>2308</v>
      </c>
      <c r="J1295" s="41" t="s">
        <v>2309</v>
      </c>
      <c r="K1295" s="41" t="s">
        <v>2310</v>
      </c>
      <c r="L1295" s="41" t="s">
        <v>6619</v>
      </c>
      <c r="M1295" s="41" t="s">
        <v>6025</v>
      </c>
      <c r="N1295" s="36" t="s">
        <v>2342</v>
      </c>
      <c r="O1295" s="41"/>
      <c r="P1295" s="41" t="s">
        <v>6631</v>
      </c>
      <c r="Q1295" s="41" t="s">
        <v>6173</v>
      </c>
      <c r="R1295" s="41" t="s">
        <v>6175</v>
      </c>
      <c r="S1295" s="41" t="s">
        <v>6173</v>
      </c>
      <c r="T1295" s="33">
        <v>174.16</v>
      </c>
      <c r="U1295" s="250"/>
      <c r="V1295" s="250">
        <v>5121.2940568475451</v>
      </c>
      <c r="W1295" s="250">
        <v>195.41073400122974</v>
      </c>
      <c r="X1295" s="250">
        <v>195.41073400122974</v>
      </c>
      <c r="Y1295" s="415">
        <v>4.7699999999999996</v>
      </c>
      <c r="Z1295" s="33">
        <v>1.96</v>
      </c>
      <c r="AA1295" s="33">
        <v>1.92</v>
      </c>
      <c r="AB1295" s="33">
        <v>1.83</v>
      </c>
      <c r="AC1295" s="33">
        <v>0.87329999999999997</v>
      </c>
      <c r="AD1295" s="33">
        <v>1.84</v>
      </c>
      <c r="AE1295" s="33">
        <v>1.86</v>
      </c>
      <c r="AF1295" s="33">
        <f t="shared" si="295"/>
        <v>1.92</v>
      </c>
      <c r="AG1295" s="34">
        <v>1.27</v>
      </c>
      <c r="AH1295" s="250">
        <v>2.5799999999999999E-10</v>
      </c>
      <c r="AI1295" s="250"/>
      <c r="AJ1295" s="34">
        <f t="shared" si="296"/>
        <v>-7.9769466203494215</v>
      </c>
      <c r="AK1295" s="34"/>
      <c r="AL1295" s="34">
        <f t="shared" si="297"/>
        <v>-7.9769466203494215</v>
      </c>
      <c r="AM1295" s="34">
        <v>-10.650509999999999</v>
      </c>
      <c r="AN1295" s="251">
        <v>-6.3758999999999997</v>
      </c>
      <c r="AO1295" s="417">
        <v>6.59</v>
      </c>
      <c r="AP1295" s="417"/>
      <c r="AQ1295" s="251" t="s">
        <v>6311</v>
      </c>
      <c r="AR1295" s="251" t="s">
        <v>6311</v>
      </c>
      <c r="AS1295" s="252" t="s">
        <v>5466</v>
      </c>
      <c r="AT1295" s="35" t="s">
        <v>266</v>
      </c>
      <c r="AU1295" s="33">
        <v>4</v>
      </c>
      <c r="AV1295" s="33">
        <v>80</v>
      </c>
      <c r="AW1295" s="33">
        <v>76</v>
      </c>
      <c r="AX1295" s="33">
        <v>28</v>
      </c>
      <c r="AY1295" s="33" t="s">
        <v>267</v>
      </c>
      <c r="AZ1295" s="33" t="s">
        <v>5731</v>
      </c>
      <c r="BA1295" s="33">
        <v>20</v>
      </c>
      <c r="BB1295" s="41" t="s">
        <v>5732</v>
      </c>
      <c r="BC1295" s="41" t="s">
        <v>1584</v>
      </c>
      <c r="BD1295" s="41"/>
      <c r="BE1295" s="33" t="s">
        <v>5733</v>
      </c>
      <c r="BF1295" s="33"/>
      <c r="BG1295" s="33"/>
      <c r="BH1295" s="33" t="s">
        <v>5734</v>
      </c>
      <c r="BI1295" s="250"/>
      <c r="BJ1295" s="250"/>
      <c r="BK1295" s="254"/>
      <c r="BL1295" s="263">
        <v>155.40765813468815</v>
      </c>
      <c r="BM1295" s="33"/>
      <c r="BN1295" s="33"/>
      <c r="BO1295" s="33"/>
      <c r="BP1295" s="33"/>
      <c r="BQ1295" s="33"/>
      <c r="BR1295" s="33"/>
      <c r="BS1295" s="33"/>
      <c r="BT1295" s="33"/>
      <c r="BU1295" s="246"/>
      <c r="BV1295" s="33">
        <v>0.1079792</v>
      </c>
      <c r="BW1295" s="33">
        <v>0.1079792</v>
      </c>
      <c r="BX1295" s="33"/>
      <c r="BY1295" s="33"/>
      <c r="BZ1295" s="33"/>
      <c r="CA1295" s="33"/>
      <c r="CB1295" s="33"/>
      <c r="CC1295" s="33"/>
      <c r="CD1295" s="33"/>
      <c r="CE1295" s="33"/>
      <c r="CF1295" s="33"/>
      <c r="CG1295" s="33"/>
      <c r="CH1295" s="33"/>
      <c r="CI1295" s="250">
        <v>0.1079792</v>
      </c>
      <c r="CJ1295" s="243">
        <f t="shared" si="292"/>
        <v>-0.96665989446870826</v>
      </c>
      <c r="CK1295" s="38"/>
      <c r="CL1295" s="247">
        <f t="shared" si="293"/>
        <v>1439.2369839254982</v>
      </c>
      <c r="CM1295" s="247"/>
      <c r="CN1295" s="247"/>
      <c r="CO1295" s="41"/>
      <c r="CP1295" s="143" t="s">
        <v>5735</v>
      </c>
      <c r="CQ1295" s="241">
        <v>-1.3667119898777875</v>
      </c>
      <c r="CR1295" s="241">
        <f>10^(CJ1295-CQ1295)</f>
        <v>2.5121877606892951</v>
      </c>
      <c r="CS1295" s="33"/>
      <c r="CT1295" s="33"/>
      <c r="CU1295" s="250">
        <f t="shared" si="298"/>
        <v>1809.7071843580036</v>
      </c>
      <c r="CV1295" s="337"/>
      <c r="CW1295" s="330">
        <f t="shared" si="294"/>
        <v>1</v>
      </c>
      <c r="CX1295" s="330" t="s">
        <v>539</v>
      </c>
      <c r="CY1295" s="143" t="s">
        <v>5921</v>
      </c>
    </row>
    <row r="1296" spans="1:103" ht="11.25" customHeight="1" x14ac:dyDescent="0.2">
      <c r="A1296" s="72">
        <v>1800</v>
      </c>
      <c r="B1296" s="241">
        <v>2094</v>
      </c>
      <c r="C1296" s="32" t="s">
        <v>7695</v>
      </c>
      <c r="D1296" s="32"/>
      <c r="E1296" s="40"/>
      <c r="F1296" s="40" t="s">
        <v>5788</v>
      </c>
      <c r="G1296" s="242">
        <v>481425</v>
      </c>
      <c r="H1296" s="41" t="s">
        <v>5789</v>
      </c>
      <c r="I1296" s="41" t="s">
        <v>5789</v>
      </c>
      <c r="J1296" s="41"/>
      <c r="K1296" s="41" t="s">
        <v>2310</v>
      </c>
      <c r="L1296" s="41"/>
      <c r="M1296" s="41"/>
      <c r="N1296" s="36"/>
      <c r="O1296" s="41"/>
      <c r="P1296" s="41"/>
      <c r="Q1296" s="41"/>
      <c r="R1296" s="41"/>
      <c r="S1296" s="41"/>
      <c r="T1296" s="33">
        <v>188.18</v>
      </c>
      <c r="U1296" s="250">
        <v>300</v>
      </c>
      <c r="V1296" s="250">
        <v>1385</v>
      </c>
      <c r="W1296" s="250"/>
      <c r="X1296" s="250">
        <v>300</v>
      </c>
      <c r="Y1296" s="415"/>
      <c r="Z1296" s="33">
        <v>2.5</v>
      </c>
      <c r="AA1296" s="33"/>
      <c r="AB1296" s="33">
        <v>2.23</v>
      </c>
      <c r="AC1296" s="33">
        <v>0.82410000000000005</v>
      </c>
      <c r="AD1296" s="33">
        <v>2.27</v>
      </c>
      <c r="AE1296" s="33">
        <v>2.4500000000000002</v>
      </c>
      <c r="AF1296" s="33">
        <f t="shared" si="295"/>
        <v>2.27</v>
      </c>
      <c r="AG1296" s="34">
        <v>2.27</v>
      </c>
      <c r="AH1296" s="250">
        <v>4.04E-10</v>
      </c>
      <c r="AI1296" s="250"/>
      <c r="AJ1296" s="34">
        <f t="shared" si="296"/>
        <v>-7.7821849612020468</v>
      </c>
      <c r="AK1296" s="34"/>
      <c r="AL1296" s="34">
        <f t="shared" si="297"/>
        <v>-7.7821849612020468</v>
      </c>
      <c r="AM1296" s="34">
        <v>-10.669879999999999</v>
      </c>
      <c r="AN1296" s="251"/>
      <c r="AO1296" s="417"/>
      <c r="AP1296" s="417"/>
      <c r="AQ1296" s="251" t="s">
        <v>6311</v>
      </c>
      <c r="AR1296" s="251" t="s">
        <v>6311</v>
      </c>
      <c r="AS1296" s="252" t="s">
        <v>5466</v>
      </c>
      <c r="AT1296" s="35" t="s">
        <v>266</v>
      </c>
      <c r="AU1296" s="33">
        <v>4</v>
      </c>
      <c r="AV1296" s="33">
        <v>80</v>
      </c>
      <c r="AW1296" s="33">
        <v>76</v>
      </c>
      <c r="AX1296" s="33">
        <v>28</v>
      </c>
      <c r="AY1296" s="33" t="s">
        <v>267</v>
      </c>
      <c r="AZ1296" s="33" t="s">
        <v>5731</v>
      </c>
      <c r="BA1296" s="33">
        <v>20</v>
      </c>
      <c r="BB1296" s="41" t="s">
        <v>5732</v>
      </c>
      <c r="BC1296" s="41" t="s">
        <v>1584</v>
      </c>
      <c r="BD1296" s="41"/>
      <c r="BE1296" s="33" t="s">
        <v>5733</v>
      </c>
      <c r="BF1296" s="33"/>
      <c r="BG1296" s="33"/>
      <c r="BH1296" s="33" t="s">
        <v>5734</v>
      </c>
      <c r="BI1296" s="250"/>
      <c r="BJ1296" s="250"/>
      <c r="BK1296" s="254"/>
      <c r="BL1296" s="263">
        <v>54.969712329296129</v>
      </c>
      <c r="BM1296" s="33"/>
      <c r="BN1296" s="33"/>
      <c r="BO1296" s="33"/>
      <c r="BP1296" s="33"/>
      <c r="BQ1296" s="33"/>
      <c r="BR1296" s="33"/>
      <c r="BS1296" s="33"/>
      <c r="BT1296" s="33"/>
      <c r="BU1296" s="246"/>
      <c r="BV1296" s="33">
        <v>8.8444599999999998E-2</v>
      </c>
      <c r="BW1296" s="33">
        <v>9.597180000000001E-2</v>
      </c>
      <c r="BX1296" s="33"/>
      <c r="BY1296" s="33"/>
      <c r="BZ1296" s="33"/>
      <c r="CA1296" s="33"/>
      <c r="CB1296" s="33"/>
      <c r="CC1296" s="33"/>
      <c r="CD1296" s="33"/>
      <c r="CE1296" s="33"/>
      <c r="CF1296" s="33"/>
      <c r="CG1296" s="33"/>
      <c r="CH1296" s="33"/>
      <c r="CI1296" s="250">
        <v>8.8444599999999998E-2</v>
      </c>
      <c r="CJ1296" s="243">
        <f t="shared" si="292"/>
        <v>-1.0533286778678117</v>
      </c>
      <c r="CK1296" s="38"/>
      <c r="CL1296" s="247">
        <f t="shared" si="293"/>
        <v>621.51575482614123</v>
      </c>
      <c r="CM1296" s="247"/>
      <c r="CN1296" s="247"/>
      <c r="CO1296" s="41"/>
      <c r="CP1296" s="143" t="s">
        <v>5735</v>
      </c>
      <c r="CQ1296" s="241" t="s">
        <v>272</v>
      </c>
      <c r="CR1296" s="241"/>
      <c r="CS1296" s="33"/>
      <c r="CT1296" s="33"/>
      <c r="CU1296" s="250">
        <f t="shared" si="298"/>
        <v>3391.953833247027</v>
      </c>
      <c r="CV1296" s="337"/>
      <c r="CW1296" s="330">
        <f t="shared" si="294"/>
        <v>1</v>
      </c>
      <c r="CX1296" s="330" t="s">
        <v>539</v>
      </c>
      <c r="CY1296" s="143" t="s">
        <v>5921</v>
      </c>
    </row>
    <row r="1297" spans="1:103" ht="11.25" customHeight="1" x14ac:dyDescent="0.2">
      <c r="A1297" s="72">
        <v>1803</v>
      </c>
      <c r="B1297" s="241">
        <v>2080</v>
      </c>
      <c r="C1297" s="32" t="s">
        <v>7698</v>
      </c>
      <c r="D1297" s="32"/>
      <c r="E1297" s="40"/>
      <c r="F1297" s="40" t="s">
        <v>5736</v>
      </c>
      <c r="G1297" s="242">
        <v>504881</v>
      </c>
      <c r="H1297" s="41" t="s">
        <v>5737</v>
      </c>
      <c r="I1297" s="41" t="s">
        <v>8224</v>
      </c>
      <c r="J1297" s="41" t="s">
        <v>5738</v>
      </c>
      <c r="K1297" s="41" t="s">
        <v>426</v>
      </c>
      <c r="L1297" s="41"/>
      <c r="M1297" s="41"/>
      <c r="N1297" s="36"/>
      <c r="O1297" s="41"/>
      <c r="P1297" s="41"/>
      <c r="Q1297" s="41"/>
      <c r="R1297" s="41"/>
      <c r="S1297" s="41"/>
      <c r="T1297" s="33">
        <v>119.08</v>
      </c>
      <c r="U1297" s="250"/>
      <c r="V1297" s="250">
        <v>181500</v>
      </c>
      <c r="W1297" s="250">
        <v>394310.93946146953</v>
      </c>
      <c r="X1297" s="250">
        <v>394310.93946146953</v>
      </c>
      <c r="Y1297" s="415">
        <v>1.64</v>
      </c>
      <c r="Z1297" s="33">
        <v>-0.28999999999999998</v>
      </c>
      <c r="AA1297" s="33"/>
      <c r="AB1297" s="33">
        <v>-0.09</v>
      </c>
      <c r="AC1297" s="33">
        <v>0.78290000000000004</v>
      </c>
      <c r="AD1297" s="33">
        <v>-0.09</v>
      </c>
      <c r="AE1297" s="33">
        <v>-0.08</v>
      </c>
      <c r="AF1297" s="33">
        <f t="shared" si="295"/>
        <v>-0.09</v>
      </c>
      <c r="AG1297" s="34">
        <v>-0.09</v>
      </c>
      <c r="AH1297" s="250">
        <v>4.1600000000000001E-10</v>
      </c>
      <c r="AI1297" s="250"/>
      <c r="AJ1297" s="34">
        <f t="shared" si="296"/>
        <v>-7.7694729956859092</v>
      </c>
      <c r="AK1297" s="34"/>
      <c r="AL1297" s="34">
        <f t="shared" si="297"/>
        <v>-7.7694729956859092</v>
      </c>
      <c r="AM1297" s="34">
        <v>-8.019919999999999</v>
      </c>
      <c r="AN1297" s="251"/>
      <c r="AO1297" s="417">
        <v>3.66</v>
      </c>
      <c r="AP1297" s="417"/>
      <c r="AQ1297" s="251" t="s">
        <v>6311</v>
      </c>
      <c r="AR1297" s="251" t="s">
        <v>6311</v>
      </c>
      <c r="AS1297" s="252" t="s">
        <v>5466</v>
      </c>
      <c r="AT1297" s="35" t="s">
        <v>266</v>
      </c>
      <c r="AU1297" s="33">
        <v>4</v>
      </c>
      <c r="AV1297" s="33">
        <v>80</v>
      </c>
      <c r="AW1297" s="33">
        <v>76</v>
      </c>
      <c r="AX1297" s="33">
        <v>28</v>
      </c>
      <c r="AY1297" s="33" t="s">
        <v>267</v>
      </c>
      <c r="AZ1297" s="33" t="s">
        <v>5731</v>
      </c>
      <c r="BA1297" s="33">
        <v>20</v>
      </c>
      <c r="BB1297" s="41" t="s">
        <v>5732</v>
      </c>
      <c r="BC1297" s="41" t="s">
        <v>1584</v>
      </c>
      <c r="BD1297" s="41"/>
      <c r="BE1297" s="33" t="s">
        <v>5733</v>
      </c>
      <c r="BF1297" s="33"/>
      <c r="BG1297" s="33"/>
      <c r="BH1297" s="33" t="s">
        <v>5734</v>
      </c>
      <c r="BI1297" s="250"/>
      <c r="BJ1297" s="250"/>
      <c r="BK1297" s="254"/>
      <c r="BL1297" s="263">
        <v>11145.198965737804</v>
      </c>
      <c r="BM1297" s="33"/>
      <c r="BN1297" s="33"/>
      <c r="BO1297" s="33"/>
      <c r="BP1297" s="33"/>
      <c r="BQ1297" s="33"/>
      <c r="BR1297" s="33"/>
      <c r="BS1297" s="33"/>
      <c r="BT1297" s="33"/>
      <c r="BU1297" s="246"/>
      <c r="BV1297" s="33">
        <v>5834.92</v>
      </c>
      <c r="BW1297" s="33">
        <v>4405.96</v>
      </c>
      <c r="BX1297" s="33"/>
      <c r="BY1297" s="33"/>
      <c r="BZ1297" s="33"/>
      <c r="CA1297" s="33"/>
      <c r="CB1297" s="33"/>
      <c r="CC1297" s="33"/>
      <c r="CD1297" s="33"/>
      <c r="CE1297" s="33"/>
      <c r="CF1297" s="33"/>
      <c r="CG1297" s="33"/>
      <c r="CH1297" s="33"/>
      <c r="CI1297" s="250">
        <v>4405.96</v>
      </c>
      <c r="CJ1297" s="243">
        <f t="shared" si="292"/>
        <v>3.6440405500416824</v>
      </c>
      <c r="CK1297" s="38"/>
      <c r="CL1297" s="247">
        <f t="shared" si="293"/>
        <v>2.5295733428668901</v>
      </c>
      <c r="CM1297" s="247"/>
      <c r="CN1297" s="247"/>
      <c r="CO1297" s="41"/>
      <c r="CP1297" s="143" t="s">
        <v>5735</v>
      </c>
      <c r="CQ1297" s="241" t="s">
        <v>272</v>
      </c>
      <c r="CR1297" s="241"/>
      <c r="CS1297" s="33"/>
      <c r="CT1297" s="33"/>
      <c r="CU1297" s="250">
        <f t="shared" si="298"/>
        <v>89.494897697997601</v>
      </c>
      <c r="CV1297" s="337"/>
      <c r="CW1297" s="330">
        <f t="shared" si="294"/>
        <v>1</v>
      </c>
      <c r="CX1297" s="330" t="s">
        <v>539</v>
      </c>
      <c r="CY1297" s="143" t="s">
        <v>5921</v>
      </c>
    </row>
    <row r="1298" spans="1:103" ht="11.25" customHeight="1" x14ac:dyDescent="0.2">
      <c r="A1298" s="72">
        <v>1829</v>
      </c>
      <c r="B1298" s="241">
        <v>2082</v>
      </c>
      <c r="C1298" s="32" t="s">
        <v>7718</v>
      </c>
      <c r="D1298" s="32"/>
      <c r="E1298" s="40"/>
      <c r="F1298" s="40" t="s">
        <v>5743</v>
      </c>
      <c r="G1298" s="242">
        <v>642159</v>
      </c>
      <c r="H1298" s="41" t="s">
        <v>5744</v>
      </c>
      <c r="I1298" s="41" t="s">
        <v>8232</v>
      </c>
      <c r="J1298" s="41" t="s">
        <v>5745</v>
      </c>
      <c r="K1298" s="41" t="s">
        <v>5746</v>
      </c>
      <c r="L1298" s="41"/>
      <c r="M1298" s="41"/>
      <c r="N1298" s="36"/>
      <c r="O1298" s="41"/>
      <c r="P1298" s="41"/>
      <c r="Q1298" s="41"/>
      <c r="R1298" s="41"/>
      <c r="S1298" s="41"/>
      <c r="T1298" s="33">
        <v>548.64</v>
      </c>
      <c r="U1298" s="250"/>
      <c r="V1298" s="250">
        <v>1.5559999999999997E-2</v>
      </c>
      <c r="W1298" s="250">
        <v>4.1618600076401107</v>
      </c>
      <c r="X1298" s="250">
        <v>4.1618600076401107</v>
      </c>
      <c r="Y1298" s="415">
        <v>6.3</v>
      </c>
      <c r="Z1298" s="33">
        <v>5.09</v>
      </c>
      <c r="AA1298" s="33"/>
      <c r="AB1298" s="33">
        <v>4.18</v>
      </c>
      <c r="AC1298" s="33">
        <v>0.38869999999999999</v>
      </c>
      <c r="AD1298" s="33">
        <v>4.47</v>
      </c>
      <c r="AE1298" s="33">
        <v>4.68</v>
      </c>
      <c r="AF1298" s="33">
        <f t="shared" si="295"/>
        <v>4.47</v>
      </c>
      <c r="AG1298" s="34">
        <v>4.47</v>
      </c>
      <c r="AH1298" s="250">
        <v>7.4699999999999995E-18</v>
      </c>
      <c r="AI1298" s="250"/>
      <c r="AJ1298" s="34">
        <f t="shared" si="296"/>
        <v>-15.515245724497253</v>
      </c>
      <c r="AK1298" s="34"/>
      <c r="AL1298" s="34">
        <f t="shared" si="297"/>
        <v>-15.515245724497253</v>
      </c>
      <c r="AM1298" s="34">
        <v>-26.7956</v>
      </c>
      <c r="AN1298" s="251"/>
      <c r="AO1298" s="417">
        <v>7.28</v>
      </c>
      <c r="AP1298" s="417">
        <v>1.29</v>
      </c>
      <c r="AQ1298" s="251" t="s">
        <v>6311</v>
      </c>
      <c r="AR1298" s="251" t="s">
        <v>6312</v>
      </c>
      <c r="AS1298" s="252" t="s">
        <v>5466</v>
      </c>
      <c r="AT1298" s="35" t="s">
        <v>266</v>
      </c>
      <c r="AU1298" s="33">
        <v>4</v>
      </c>
      <c r="AV1298" s="33">
        <v>80</v>
      </c>
      <c r="AW1298" s="33">
        <v>76</v>
      </c>
      <c r="AX1298" s="33">
        <v>28</v>
      </c>
      <c r="AY1298" s="33" t="s">
        <v>267</v>
      </c>
      <c r="AZ1298" s="33" t="s">
        <v>5731</v>
      </c>
      <c r="BA1298" s="33">
        <v>20</v>
      </c>
      <c r="BB1298" s="41" t="s">
        <v>5732</v>
      </c>
      <c r="BC1298" s="41" t="s">
        <v>1584</v>
      </c>
      <c r="BD1298" s="41"/>
      <c r="BE1298" s="33" t="s">
        <v>5733</v>
      </c>
      <c r="BF1298" s="33"/>
      <c r="BG1298" s="33"/>
      <c r="BH1298" s="33" t="s">
        <v>5734</v>
      </c>
      <c r="BI1298" s="250"/>
      <c r="BJ1298" s="250"/>
      <c r="BK1298" s="254"/>
      <c r="BL1298" s="263">
        <v>0.75641210055683517</v>
      </c>
      <c r="BM1298" s="33"/>
      <c r="BN1298" s="33"/>
      <c r="BO1298" s="33"/>
      <c r="BP1298" s="33"/>
      <c r="BQ1298" s="33"/>
      <c r="BR1298" s="33"/>
      <c r="BS1298" s="33"/>
      <c r="BT1298" s="33"/>
      <c r="BU1298" s="246"/>
      <c r="BV1298" s="33">
        <v>2.9626559999999997E-3</v>
      </c>
      <c r="BW1298" s="33">
        <v>1.591056E-3</v>
      </c>
      <c r="BX1298" s="33"/>
      <c r="BY1298" s="33"/>
      <c r="BZ1298" s="33"/>
      <c r="CA1298" s="33"/>
      <c r="CB1298" s="33"/>
      <c r="CC1298" s="33"/>
      <c r="CD1298" s="33"/>
      <c r="CE1298" s="33"/>
      <c r="CF1298" s="33"/>
      <c r="CG1298" s="33"/>
      <c r="CH1298" s="33"/>
      <c r="CI1298" s="250">
        <v>1.591056E-3</v>
      </c>
      <c r="CJ1298" s="243">
        <f t="shared" si="292"/>
        <v>-2.7983145343301747</v>
      </c>
      <c r="CK1298" s="38"/>
      <c r="CL1298" s="247">
        <f t="shared" si="293"/>
        <v>475.41513344397379</v>
      </c>
      <c r="CM1298" s="247"/>
      <c r="CN1298" s="247"/>
      <c r="CO1298" s="41"/>
      <c r="CP1298" s="143" t="s">
        <v>5735</v>
      </c>
      <c r="CQ1298" s="241" t="s">
        <v>272</v>
      </c>
      <c r="CR1298" s="241"/>
      <c r="CS1298" s="33"/>
      <c r="CT1298" s="33"/>
      <c r="CU1298" s="250">
        <f t="shared" si="298"/>
        <v>2615.7847414799421</v>
      </c>
      <c r="CV1298" s="337"/>
      <c r="CW1298" s="330">
        <f t="shared" si="294"/>
        <v>1</v>
      </c>
      <c r="CX1298" s="330" t="s">
        <v>539</v>
      </c>
      <c r="CY1298" s="143" t="s">
        <v>5921</v>
      </c>
    </row>
    <row r="1299" spans="1:103" ht="11.25" customHeight="1" x14ac:dyDescent="0.2">
      <c r="A1299" s="72">
        <v>1836</v>
      </c>
      <c r="B1299" s="241">
        <v>2097</v>
      </c>
      <c r="C1299" s="32" t="s">
        <v>7724</v>
      </c>
      <c r="D1299" s="32"/>
      <c r="E1299" s="40"/>
      <c r="F1299" s="40" t="s">
        <v>2127</v>
      </c>
      <c r="G1299" s="242">
        <v>1069665</v>
      </c>
      <c r="H1299" s="41" t="s">
        <v>5796</v>
      </c>
      <c r="I1299" s="41" t="s">
        <v>8235</v>
      </c>
      <c r="J1299" s="41" t="s">
        <v>5797</v>
      </c>
      <c r="K1299" s="41" t="s">
        <v>426</v>
      </c>
      <c r="L1299" s="41"/>
      <c r="M1299" s="41"/>
      <c r="N1299" s="36"/>
      <c r="O1299" s="41"/>
      <c r="P1299" s="41"/>
      <c r="Q1299" s="41"/>
      <c r="R1299" s="41"/>
      <c r="S1299" s="41"/>
      <c r="T1299" s="33">
        <v>166.19</v>
      </c>
      <c r="U1299" s="250"/>
      <c r="V1299" s="250">
        <v>341600</v>
      </c>
      <c r="W1299" s="250">
        <v>2402.1763550026562</v>
      </c>
      <c r="X1299" s="250">
        <v>2402.1763550026562</v>
      </c>
      <c r="Y1299" s="415">
        <v>3.33</v>
      </c>
      <c r="Z1299" s="33">
        <v>-0.85</v>
      </c>
      <c r="AA1299" s="33"/>
      <c r="AB1299" s="33">
        <v>0</v>
      </c>
      <c r="AC1299" s="33">
        <v>0</v>
      </c>
      <c r="AD1299" s="33">
        <v>0</v>
      </c>
      <c r="AE1299" s="33">
        <v>0</v>
      </c>
      <c r="AF1299" s="33"/>
      <c r="AG1299" s="34">
        <v>7.25</v>
      </c>
      <c r="AH1299" s="250">
        <v>3.01E-6</v>
      </c>
      <c r="AI1299" s="250"/>
      <c r="AJ1299" s="34">
        <f t="shared" si="296"/>
        <v>-3.9099998307188084</v>
      </c>
      <c r="AK1299" s="34"/>
      <c r="AL1299" s="34">
        <f t="shared" si="297"/>
        <v>-3.9099998307188084</v>
      </c>
      <c r="AM1299" s="34"/>
      <c r="AN1299" s="251"/>
      <c r="AO1299" s="417">
        <v>4.82</v>
      </c>
      <c r="AP1299" s="417"/>
      <c r="AQ1299" s="251" t="s">
        <v>6311</v>
      </c>
      <c r="AR1299" s="251" t="s">
        <v>6311</v>
      </c>
      <c r="AS1299" s="252" t="s">
        <v>5466</v>
      </c>
      <c r="AT1299" s="35" t="s">
        <v>266</v>
      </c>
      <c r="AU1299" s="33">
        <v>4</v>
      </c>
      <c r="AV1299" s="33">
        <v>80</v>
      </c>
      <c r="AW1299" s="33">
        <v>76</v>
      </c>
      <c r="AX1299" s="33">
        <v>28</v>
      </c>
      <c r="AY1299" s="33" t="s">
        <v>267</v>
      </c>
      <c r="AZ1299" s="33" t="s">
        <v>5731</v>
      </c>
      <c r="BA1299" s="33">
        <v>20</v>
      </c>
      <c r="BB1299" s="41" t="s">
        <v>5732</v>
      </c>
      <c r="BC1299" s="41" t="s">
        <v>1584</v>
      </c>
      <c r="BD1299" s="41"/>
      <c r="BE1299" s="33" t="s">
        <v>5733</v>
      </c>
      <c r="BF1299" s="33"/>
      <c r="BG1299" s="33"/>
      <c r="BH1299" s="33" t="s">
        <v>5734</v>
      </c>
      <c r="BI1299" s="250"/>
      <c r="BJ1299" s="250"/>
      <c r="BK1299" s="254"/>
      <c r="BL1299" s="263">
        <v>49521.054940274706</v>
      </c>
      <c r="BM1299" s="33"/>
      <c r="BN1299" s="33"/>
      <c r="BO1299" s="33"/>
      <c r="BP1299" s="33"/>
      <c r="BQ1299" s="33"/>
      <c r="BR1299" s="33"/>
      <c r="BS1299" s="33"/>
      <c r="BT1299" s="33"/>
      <c r="BU1299" s="246"/>
      <c r="BV1299" s="33">
        <v>764.47399999999993</v>
      </c>
      <c r="BW1299" s="33">
        <v>515.18899999999996</v>
      </c>
      <c r="BX1299" s="33"/>
      <c r="BY1299" s="33"/>
      <c r="BZ1299" s="33"/>
      <c r="CA1299" s="33"/>
      <c r="CB1299" s="33"/>
      <c r="CC1299" s="33"/>
      <c r="CD1299" s="33"/>
      <c r="CE1299" s="33"/>
      <c r="CF1299" s="33"/>
      <c r="CG1299" s="33"/>
      <c r="CH1299" s="33"/>
      <c r="CI1299" s="250">
        <v>515.18899999999996</v>
      </c>
      <c r="CJ1299" s="243">
        <f t="shared" si="292"/>
        <v>2.7119665816609544</v>
      </c>
      <c r="CK1299" s="38"/>
      <c r="CL1299" s="247">
        <f t="shared" si="293"/>
        <v>96.122112351534497</v>
      </c>
      <c r="CM1299" s="247"/>
      <c r="CN1299" s="247"/>
      <c r="CO1299" s="41"/>
      <c r="CP1299" s="143" t="s">
        <v>5735</v>
      </c>
      <c r="CQ1299" s="241" t="s">
        <v>272</v>
      </c>
      <c r="CR1299" s="241"/>
      <c r="CS1299" s="33"/>
      <c r="CT1299" s="33"/>
      <c r="CU1299" s="250">
        <f t="shared" si="298"/>
        <v>4.6627089378900877</v>
      </c>
      <c r="CV1299" s="337"/>
      <c r="CW1299" s="330">
        <f t="shared" si="294"/>
        <v>1</v>
      </c>
      <c r="CX1299" s="330" t="s">
        <v>539</v>
      </c>
      <c r="CY1299" s="143" t="s">
        <v>5921</v>
      </c>
    </row>
    <row r="1300" spans="1:103" ht="11.25" customHeight="1" x14ac:dyDescent="0.2">
      <c r="A1300" s="72">
        <v>1839</v>
      </c>
      <c r="B1300" s="241">
        <v>2083</v>
      </c>
      <c r="C1300" s="32" t="s">
        <v>7727</v>
      </c>
      <c r="D1300" s="32"/>
      <c r="E1300" s="40"/>
      <c r="F1300" s="40" t="s">
        <v>5747</v>
      </c>
      <c r="G1300" s="242">
        <v>1404199</v>
      </c>
      <c r="H1300" s="41" t="s">
        <v>5748</v>
      </c>
      <c r="I1300" s="41" t="s">
        <v>8237</v>
      </c>
      <c r="J1300" s="41" t="s">
        <v>5749</v>
      </c>
      <c r="K1300" s="41" t="s">
        <v>5750</v>
      </c>
      <c r="L1300" s="41"/>
      <c r="M1300" s="41"/>
      <c r="N1300" s="36"/>
      <c r="O1300" s="41"/>
      <c r="P1300" s="41"/>
      <c r="Q1300" s="41"/>
      <c r="R1300" s="41"/>
      <c r="S1300" s="41"/>
      <c r="T1300" s="33">
        <v>791.08</v>
      </c>
      <c r="U1300" s="250"/>
      <c r="V1300" s="250">
        <v>9.4769999999999992E-6</v>
      </c>
      <c r="W1300" s="250">
        <v>867.4019714049507</v>
      </c>
      <c r="X1300" s="250">
        <v>867.4019714049507</v>
      </c>
      <c r="Y1300" s="415">
        <v>6.99</v>
      </c>
      <c r="Z1300" s="33">
        <v>6.98</v>
      </c>
      <c r="AA1300" s="33"/>
      <c r="AB1300" s="33">
        <v>5.1100000000000003</v>
      </c>
      <c r="AC1300" s="33">
        <v>0.47289999999999999</v>
      </c>
      <c r="AD1300" s="33">
        <v>5.64</v>
      </c>
      <c r="AE1300" s="33">
        <v>6.17</v>
      </c>
      <c r="AF1300" s="33">
        <f t="shared" ref="AF1300:AF1307" si="299">IF(AA1300=0,AD1300,AA1300)</f>
        <v>5.64</v>
      </c>
      <c r="AG1300" s="34">
        <v>5.64</v>
      </c>
      <c r="AH1300" s="250">
        <v>1.3E-18</v>
      </c>
      <c r="AI1300" s="250"/>
      <c r="AJ1300" s="34">
        <f t="shared" si="296"/>
        <v>-16.274622974005815</v>
      </c>
      <c r="AK1300" s="34"/>
      <c r="AL1300" s="34">
        <f t="shared" si="297"/>
        <v>-16.274622974005815</v>
      </c>
      <c r="AM1300" s="34">
        <v>-38.02075</v>
      </c>
      <c r="AN1300" s="251"/>
      <c r="AO1300" s="417">
        <v>12.52</v>
      </c>
      <c r="AP1300" s="417"/>
      <c r="AQ1300" s="251" t="s">
        <v>6311</v>
      </c>
      <c r="AR1300" s="251" t="s">
        <v>6311</v>
      </c>
      <c r="AS1300" s="252" t="s">
        <v>5466</v>
      </c>
      <c r="AT1300" s="35" t="s">
        <v>266</v>
      </c>
      <c r="AU1300" s="33">
        <v>4</v>
      </c>
      <c r="AV1300" s="33">
        <v>80</v>
      </c>
      <c r="AW1300" s="33">
        <v>76</v>
      </c>
      <c r="AX1300" s="33">
        <v>28</v>
      </c>
      <c r="AY1300" s="33" t="s">
        <v>267</v>
      </c>
      <c r="AZ1300" s="33" t="s">
        <v>5731</v>
      </c>
      <c r="BA1300" s="33">
        <v>20</v>
      </c>
      <c r="BB1300" s="41" t="s">
        <v>5732</v>
      </c>
      <c r="BC1300" s="41" t="s">
        <v>1584</v>
      </c>
      <c r="BD1300" s="41"/>
      <c r="BE1300" s="33" t="s">
        <v>5733</v>
      </c>
      <c r="BF1300" s="33"/>
      <c r="BG1300" s="33"/>
      <c r="BH1300" s="33" t="s">
        <v>5734</v>
      </c>
      <c r="BI1300" s="250"/>
      <c r="BJ1300" s="250"/>
      <c r="BK1300" s="254"/>
      <c r="BL1300" s="263">
        <v>2.1891847031567841E-2</v>
      </c>
      <c r="BM1300" s="33"/>
      <c r="BN1300" s="33"/>
      <c r="BO1300" s="33"/>
      <c r="BP1300" s="33"/>
      <c r="BQ1300" s="33"/>
      <c r="BR1300" s="33"/>
      <c r="BS1300" s="33"/>
      <c r="BT1300" s="33"/>
      <c r="BU1300" s="246"/>
      <c r="BV1300" s="33"/>
      <c r="BW1300" s="33">
        <v>0.97302840000000002</v>
      </c>
      <c r="BX1300" s="33"/>
      <c r="BY1300" s="33"/>
      <c r="BZ1300" s="33"/>
      <c r="CA1300" s="33"/>
      <c r="CB1300" s="33"/>
      <c r="CC1300" s="33"/>
      <c r="CD1300" s="33"/>
      <c r="CE1300" s="33"/>
      <c r="CF1300" s="33"/>
      <c r="CG1300" s="33"/>
      <c r="CH1300" s="33"/>
      <c r="CI1300" s="250">
        <v>0.97302840000000002</v>
      </c>
      <c r="CJ1300" s="243">
        <f t="shared" si="292"/>
        <v>-1.1874483695381676E-2</v>
      </c>
      <c r="CK1300" s="38"/>
      <c r="CL1300" s="247">
        <f t="shared" si="293"/>
        <v>2.2498672219195083E-2</v>
      </c>
      <c r="CM1300" s="247"/>
      <c r="CN1300" s="247"/>
      <c r="CO1300" s="41"/>
      <c r="CP1300" s="143" t="s">
        <v>5735</v>
      </c>
      <c r="CQ1300" s="241" t="s">
        <v>272</v>
      </c>
      <c r="CR1300" s="241"/>
      <c r="CS1300" s="33"/>
      <c r="CT1300" s="33"/>
      <c r="CU1300" s="250">
        <f t="shared" si="298"/>
        <v>891.44568792128848</v>
      </c>
      <c r="CV1300" s="337"/>
      <c r="CW1300" s="330">
        <f t="shared" si="294"/>
        <v>1</v>
      </c>
      <c r="CX1300" s="330" t="s">
        <v>539</v>
      </c>
      <c r="CY1300" s="143" t="s">
        <v>5921</v>
      </c>
    </row>
    <row r="1301" spans="1:103" ht="11.25" customHeight="1" x14ac:dyDescent="0.2">
      <c r="A1301" s="72">
        <v>1860</v>
      </c>
      <c r="B1301" s="241">
        <v>2085</v>
      </c>
      <c r="C1301" s="32" t="s">
        <v>5757</v>
      </c>
      <c r="D1301" s="32"/>
      <c r="E1301" s="40"/>
      <c r="F1301" s="40" t="s">
        <v>5758</v>
      </c>
      <c r="G1301" s="242">
        <v>4707328</v>
      </c>
      <c r="H1301" s="41" t="s">
        <v>5759</v>
      </c>
      <c r="I1301" s="41" t="s">
        <v>8244</v>
      </c>
      <c r="J1301" s="41" t="s">
        <v>5760</v>
      </c>
      <c r="K1301" s="41" t="s">
        <v>1878</v>
      </c>
      <c r="L1301" s="41"/>
      <c r="M1301" s="41"/>
      <c r="N1301" s="36"/>
      <c r="O1301" s="41"/>
      <c r="P1301" s="41"/>
      <c r="Q1301" s="41"/>
      <c r="R1301" s="41"/>
      <c r="S1301" s="41"/>
      <c r="T1301" s="33">
        <v>242.27</v>
      </c>
      <c r="U1301" s="250"/>
      <c r="V1301" s="250">
        <v>48.47</v>
      </c>
      <c r="W1301" s="250">
        <v>90.011839953371904</v>
      </c>
      <c r="X1301" s="250">
        <v>90.011839953371904</v>
      </c>
      <c r="Y1301" s="415">
        <v>7</v>
      </c>
      <c r="Z1301" s="33">
        <v>3.2</v>
      </c>
      <c r="AA1301" s="33"/>
      <c r="AB1301" s="33">
        <v>2.74</v>
      </c>
      <c r="AC1301" s="33">
        <v>0.62370000000000003</v>
      </c>
      <c r="AD1301" s="33">
        <v>2.77</v>
      </c>
      <c r="AE1301" s="33">
        <v>2.81</v>
      </c>
      <c r="AF1301" s="33">
        <f t="shared" si="299"/>
        <v>2.77</v>
      </c>
      <c r="AG1301" s="34">
        <v>2.77</v>
      </c>
      <c r="AH1301" s="250">
        <v>6.29E-10</v>
      </c>
      <c r="AI1301" s="250"/>
      <c r="AJ1301" s="34">
        <f t="shared" si="296"/>
        <v>-7.5899156808673824</v>
      </c>
      <c r="AK1301" s="34"/>
      <c r="AL1301" s="34">
        <f t="shared" si="297"/>
        <v>-7.5899156808673824</v>
      </c>
      <c r="AM1301" s="34">
        <v>-12.02187</v>
      </c>
      <c r="AN1301" s="251"/>
      <c r="AO1301" s="417"/>
      <c r="AP1301" s="417"/>
      <c r="AQ1301" s="251" t="s">
        <v>6311</v>
      </c>
      <c r="AR1301" s="251" t="s">
        <v>6311</v>
      </c>
      <c r="AS1301" s="252" t="s">
        <v>5466</v>
      </c>
      <c r="AT1301" s="35" t="s">
        <v>266</v>
      </c>
      <c r="AU1301" s="33">
        <v>4</v>
      </c>
      <c r="AV1301" s="33">
        <v>80</v>
      </c>
      <c r="AW1301" s="33">
        <v>76</v>
      </c>
      <c r="AX1301" s="33">
        <v>28</v>
      </c>
      <c r="AY1301" s="33" t="s">
        <v>267</v>
      </c>
      <c r="AZ1301" s="33" t="s">
        <v>5731</v>
      </c>
      <c r="BA1301" s="33">
        <v>20</v>
      </c>
      <c r="BB1301" s="41" t="s">
        <v>5732</v>
      </c>
      <c r="BC1301" s="41" t="s">
        <v>1584</v>
      </c>
      <c r="BD1301" s="41"/>
      <c r="BE1301" s="33" t="s">
        <v>5733</v>
      </c>
      <c r="BF1301" s="33"/>
      <c r="BG1301" s="33"/>
      <c r="BH1301" s="33" t="s">
        <v>5734</v>
      </c>
      <c r="BI1301" s="250"/>
      <c r="BJ1301" s="250"/>
      <c r="BK1301" s="254"/>
      <c r="BL1301" s="263">
        <v>16.641008380378501</v>
      </c>
      <c r="BM1301" s="33"/>
      <c r="BN1301" s="33"/>
      <c r="BO1301" s="33"/>
      <c r="BP1301" s="33"/>
      <c r="BQ1301" s="33"/>
      <c r="BR1301" s="33"/>
      <c r="BS1301" s="33"/>
      <c r="BT1301" s="33"/>
      <c r="BU1301" s="246"/>
      <c r="BV1301" s="33">
        <v>0.46515840000000003</v>
      </c>
      <c r="BW1301" s="33">
        <v>0.45304489999999997</v>
      </c>
      <c r="BX1301" s="33"/>
      <c r="BY1301" s="33"/>
      <c r="BZ1301" s="33"/>
      <c r="CA1301" s="33"/>
      <c r="CB1301" s="33"/>
      <c r="CC1301" s="33"/>
      <c r="CD1301" s="33"/>
      <c r="CE1301" s="33"/>
      <c r="CF1301" s="33"/>
      <c r="CG1301" s="33"/>
      <c r="CH1301" s="33"/>
      <c r="CI1301" s="250">
        <v>0.45304489999999997</v>
      </c>
      <c r="CJ1301" s="243">
        <f t="shared" ref="CJ1301:CJ1332" si="300">LOG10(CI1301)</f>
        <v>-0.34385875415511652</v>
      </c>
      <c r="CK1301" s="38"/>
      <c r="CL1301" s="247">
        <f t="shared" si="293"/>
        <v>36.731477123743147</v>
      </c>
      <c r="CM1301" s="247"/>
      <c r="CN1301" s="247"/>
      <c r="CO1301" s="41"/>
      <c r="CP1301" s="143" t="s">
        <v>5735</v>
      </c>
      <c r="CQ1301" s="241" t="s">
        <v>272</v>
      </c>
      <c r="CR1301" s="241"/>
      <c r="CS1301" s="33"/>
      <c r="CT1301" s="33"/>
      <c r="CU1301" s="250">
        <f t="shared" si="298"/>
        <v>198.68194069367499</v>
      </c>
      <c r="CV1301" s="337"/>
      <c r="CW1301" s="330">
        <f t="shared" ref="CW1301:CW1332" si="301">IF(CU1301&lt;2,0,1)</f>
        <v>1</v>
      </c>
      <c r="CX1301" s="330" t="s">
        <v>539</v>
      </c>
      <c r="CY1301" s="143" t="s">
        <v>5921</v>
      </c>
    </row>
    <row r="1302" spans="1:103" ht="11.25" customHeight="1" x14ac:dyDescent="0.2">
      <c r="A1302" s="72">
        <v>1894</v>
      </c>
      <c r="B1302" s="241">
        <v>2087</v>
      </c>
      <c r="C1302" s="32" t="s">
        <v>5766</v>
      </c>
      <c r="D1302" s="32"/>
      <c r="E1302" s="40"/>
      <c r="F1302" s="40" t="s">
        <v>5767</v>
      </c>
      <c r="G1302" s="242">
        <v>28164570</v>
      </c>
      <c r="H1302" s="41" t="s">
        <v>5768</v>
      </c>
      <c r="I1302" s="41" t="s">
        <v>8255</v>
      </c>
      <c r="J1302" s="41" t="s">
        <v>5769</v>
      </c>
      <c r="K1302" s="41" t="s">
        <v>5770</v>
      </c>
      <c r="L1302" s="41"/>
      <c r="M1302" s="41"/>
      <c r="N1302" s="36"/>
      <c r="O1302" s="41"/>
      <c r="P1302" s="41"/>
      <c r="Q1302" s="41"/>
      <c r="R1302" s="41"/>
      <c r="S1302" s="41"/>
      <c r="T1302" s="33">
        <v>374.35</v>
      </c>
      <c r="U1302" s="250"/>
      <c r="V1302" s="250">
        <v>1.3839999999999999</v>
      </c>
      <c r="W1302" s="250">
        <v>0.43982289969161276</v>
      </c>
      <c r="X1302" s="250">
        <v>0.43982289969161276</v>
      </c>
      <c r="Y1302" s="415">
        <v>5.88</v>
      </c>
      <c r="Z1302" s="33">
        <v>4.78</v>
      </c>
      <c r="AA1302" s="33"/>
      <c r="AB1302" s="33">
        <v>3.3</v>
      </c>
      <c r="AC1302" s="33">
        <v>0.65769999999999995</v>
      </c>
      <c r="AD1302" s="33">
        <v>3.98</v>
      </c>
      <c r="AE1302" s="33">
        <v>5.37</v>
      </c>
      <c r="AF1302" s="33">
        <f t="shared" si="299"/>
        <v>3.98</v>
      </c>
      <c r="AG1302" s="34">
        <v>3.98</v>
      </c>
      <c r="AH1302" s="250">
        <v>6.73E-19</v>
      </c>
      <c r="AI1302" s="250"/>
      <c r="AJ1302" s="34">
        <f t="shared" si="296"/>
        <v>-16.560551262088676</v>
      </c>
      <c r="AK1302" s="34"/>
      <c r="AL1302" s="34">
        <f t="shared" si="297"/>
        <v>-16.560551262088676</v>
      </c>
      <c r="AM1302" s="34">
        <v>-21.772219999999997</v>
      </c>
      <c r="AN1302" s="251"/>
      <c r="AO1302" s="417">
        <v>4.78</v>
      </c>
      <c r="AP1302" s="417"/>
      <c r="AQ1302" s="251" t="s">
        <v>6311</v>
      </c>
      <c r="AR1302" s="251" t="s">
        <v>6311</v>
      </c>
      <c r="AS1302" s="252" t="s">
        <v>5466</v>
      </c>
      <c r="AT1302" s="35" t="s">
        <v>266</v>
      </c>
      <c r="AU1302" s="33">
        <v>4</v>
      </c>
      <c r="AV1302" s="33">
        <v>80</v>
      </c>
      <c r="AW1302" s="33">
        <v>76</v>
      </c>
      <c r="AX1302" s="33">
        <v>28</v>
      </c>
      <c r="AY1302" s="33" t="s">
        <v>267</v>
      </c>
      <c r="AZ1302" s="33" t="s">
        <v>5731</v>
      </c>
      <c r="BA1302" s="33">
        <v>20</v>
      </c>
      <c r="BB1302" s="41" t="s">
        <v>5732</v>
      </c>
      <c r="BC1302" s="41" t="s">
        <v>1584</v>
      </c>
      <c r="BD1302" s="41"/>
      <c r="BE1302" s="33" t="s">
        <v>5733</v>
      </c>
      <c r="BF1302" s="33"/>
      <c r="BG1302" s="33"/>
      <c r="BH1302" s="33" t="s">
        <v>5734</v>
      </c>
      <c r="BI1302" s="250"/>
      <c r="BJ1302" s="250"/>
      <c r="BK1302" s="254"/>
      <c r="BL1302" s="263">
        <v>0.97985054262360738</v>
      </c>
      <c r="BM1302" s="33"/>
      <c r="BN1302" s="33"/>
      <c r="BO1302" s="33"/>
      <c r="BP1302" s="33"/>
      <c r="BQ1302" s="33"/>
      <c r="BR1302" s="33"/>
      <c r="BS1302" s="33"/>
      <c r="BT1302" s="33"/>
      <c r="BU1302" s="246"/>
      <c r="BV1302" s="33">
        <v>0.76367400000000007</v>
      </c>
      <c r="BW1302" s="33">
        <v>0.74870000000000003</v>
      </c>
      <c r="BX1302" s="33"/>
      <c r="BY1302" s="33"/>
      <c r="BZ1302" s="33"/>
      <c r="CA1302" s="33"/>
      <c r="CB1302" s="33"/>
      <c r="CC1302" s="33"/>
      <c r="CD1302" s="33"/>
      <c r="CE1302" s="33"/>
      <c r="CF1302" s="33"/>
      <c r="CG1302" s="33"/>
      <c r="CH1302" s="33"/>
      <c r="CI1302" s="250">
        <v>0.74870000000000003</v>
      </c>
      <c r="CJ1302" s="243">
        <f t="shared" si="300"/>
        <v>-0.12569216687196103</v>
      </c>
      <c r="CK1302" s="38"/>
      <c r="CL1302" s="247">
        <f t="shared" si="293"/>
        <v>1.3087358656652963</v>
      </c>
      <c r="CM1302" s="247"/>
      <c r="CN1302" s="247"/>
      <c r="CO1302" s="41"/>
      <c r="CP1302" s="143" t="s">
        <v>5735</v>
      </c>
      <c r="CQ1302" s="241" t="s">
        <v>272</v>
      </c>
      <c r="CR1302" s="241"/>
      <c r="CS1302" s="33"/>
      <c r="CT1302" s="33"/>
      <c r="CU1302" s="250">
        <f t="shared" si="298"/>
        <v>0.58744877746976454</v>
      </c>
      <c r="CV1302" s="337"/>
      <c r="CW1302" s="330">
        <f t="shared" si="301"/>
        <v>0</v>
      </c>
      <c r="CX1302" s="330" t="s">
        <v>539</v>
      </c>
      <c r="CY1302" s="143" t="s">
        <v>5921</v>
      </c>
    </row>
    <row r="1303" spans="1:103" ht="11.25" customHeight="1" x14ac:dyDescent="0.2">
      <c r="A1303" s="72">
        <v>1903</v>
      </c>
      <c r="B1303" s="241">
        <v>2088</v>
      </c>
      <c r="C1303" s="32" t="s">
        <v>5771</v>
      </c>
      <c r="D1303" s="32"/>
      <c r="E1303" s="40"/>
      <c r="F1303" s="40" t="s">
        <v>5772</v>
      </c>
      <c r="G1303" s="242">
        <v>50886696</v>
      </c>
      <c r="H1303" s="41" t="s">
        <v>5773</v>
      </c>
      <c r="I1303" s="41" t="s">
        <v>8261</v>
      </c>
      <c r="J1303" s="41" t="s">
        <v>5774</v>
      </c>
      <c r="K1303" s="41" t="s">
        <v>5775</v>
      </c>
      <c r="L1303" s="41"/>
      <c r="M1303" s="41"/>
      <c r="N1303" s="36"/>
      <c r="O1303" s="41"/>
      <c r="P1303" s="41"/>
      <c r="Q1303" s="41"/>
      <c r="R1303" s="41"/>
      <c r="S1303" s="41"/>
      <c r="T1303" s="33">
        <v>390.35</v>
      </c>
      <c r="U1303" s="250"/>
      <c r="V1303" s="250">
        <v>6.94</v>
      </c>
      <c r="W1303" s="250">
        <v>0.42801026386449159</v>
      </c>
      <c r="X1303" s="250">
        <v>0.42801026386449159</v>
      </c>
      <c r="Y1303" s="415">
        <v>5.91</v>
      </c>
      <c r="Z1303" s="33">
        <v>3.85</v>
      </c>
      <c r="AA1303" s="33"/>
      <c r="AB1303" s="33">
        <v>2.66</v>
      </c>
      <c r="AC1303" s="33">
        <v>0.48770000000000002</v>
      </c>
      <c r="AD1303" s="33">
        <v>3.73</v>
      </c>
      <c r="AE1303" s="33">
        <v>5.27</v>
      </c>
      <c r="AF1303" s="33">
        <f t="shared" si="299"/>
        <v>3.73</v>
      </c>
      <c r="AG1303" s="34">
        <v>3.73</v>
      </c>
      <c r="AH1303" s="250">
        <v>1.66E-19</v>
      </c>
      <c r="AI1303" s="250"/>
      <c r="AJ1303" s="34">
        <f t="shared" si="296"/>
        <v>-17.168458238272596</v>
      </c>
      <c r="AK1303" s="34"/>
      <c r="AL1303" s="34">
        <f t="shared" si="297"/>
        <v>-17.168458238272596</v>
      </c>
      <c r="AM1303" s="34">
        <v>-23.132830000000002</v>
      </c>
      <c r="AN1303" s="251"/>
      <c r="AO1303" s="417">
        <v>4.96</v>
      </c>
      <c r="AP1303" s="417"/>
      <c r="AQ1303" s="251" t="s">
        <v>6312</v>
      </c>
      <c r="AR1303" s="251" t="s">
        <v>6311</v>
      </c>
      <c r="AS1303" s="252" t="s">
        <v>5466</v>
      </c>
      <c r="AT1303" s="35" t="s">
        <v>266</v>
      </c>
      <c r="AU1303" s="33">
        <v>4</v>
      </c>
      <c r="AV1303" s="33">
        <v>80</v>
      </c>
      <c r="AW1303" s="33">
        <v>76</v>
      </c>
      <c r="AX1303" s="33">
        <v>28</v>
      </c>
      <c r="AY1303" s="33" t="s">
        <v>267</v>
      </c>
      <c r="AZ1303" s="33" t="s">
        <v>5731</v>
      </c>
      <c r="BA1303" s="33">
        <v>20</v>
      </c>
      <c r="BB1303" s="41" t="s">
        <v>5732</v>
      </c>
      <c r="BC1303" s="41" t="s">
        <v>1584</v>
      </c>
      <c r="BD1303" s="41"/>
      <c r="BE1303" s="33" t="s">
        <v>5733</v>
      </c>
      <c r="BF1303" s="33"/>
      <c r="BG1303" s="33"/>
      <c r="BH1303" s="33" t="s">
        <v>5734</v>
      </c>
      <c r="BI1303" s="250"/>
      <c r="BJ1303" s="250"/>
      <c r="BK1303" s="254"/>
      <c r="BL1303" s="263">
        <v>6.9914810313355407</v>
      </c>
      <c r="BM1303" s="33"/>
      <c r="BN1303" s="33"/>
      <c r="BO1303" s="33"/>
      <c r="BP1303" s="33"/>
      <c r="BQ1303" s="33"/>
      <c r="BR1303" s="33"/>
      <c r="BS1303" s="33"/>
      <c r="BT1303" s="33"/>
      <c r="BU1303" s="246"/>
      <c r="BV1303" s="33">
        <v>0.22249950000000002</v>
      </c>
      <c r="BW1303" s="33">
        <v>0.210789</v>
      </c>
      <c r="BX1303" s="33"/>
      <c r="BY1303" s="33"/>
      <c r="BZ1303" s="33"/>
      <c r="CA1303" s="33"/>
      <c r="CB1303" s="33"/>
      <c r="CC1303" s="33"/>
      <c r="CD1303" s="33"/>
      <c r="CE1303" s="33"/>
      <c r="CF1303" s="33"/>
      <c r="CG1303" s="33"/>
      <c r="CH1303" s="33"/>
      <c r="CI1303" s="250">
        <v>0.210789</v>
      </c>
      <c r="CJ1303" s="243">
        <f t="shared" si="300"/>
        <v>-0.67615205647632504</v>
      </c>
      <c r="CK1303" s="38"/>
      <c r="CL1303" s="247">
        <f t="shared" si="293"/>
        <v>33.1681493405042</v>
      </c>
      <c r="CM1303" s="247"/>
      <c r="CN1303" s="247"/>
      <c r="CO1303" s="41"/>
      <c r="CP1303" s="143" t="s">
        <v>5735</v>
      </c>
      <c r="CQ1303" s="241" t="s">
        <v>272</v>
      </c>
      <c r="CR1303" s="241"/>
      <c r="CS1303" s="33"/>
      <c r="CT1303" s="33"/>
      <c r="CU1303" s="250">
        <f t="shared" si="298"/>
        <v>2.0305151780429318</v>
      </c>
      <c r="CV1303" s="337"/>
      <c r="CW1303" s="330">
        <f t="shared" si="301"/>
        <v>1</v>
      </c>
      <c r="CX1303" s="330" t="s">
        <v>539</v>
      </c>
      <c r="CY1303" s="143" t="s">
        <v>5921</v>
      </c>
    </row>
    <row r="1304" spans="1:103" ht="11.25" customHeight="1" x14ac:dyDescent="0.2">
      <c r="A1304" s="72">
        <v>1917</v>
      </c>
      <c r="B1304" s="241">
        <v>2086</v>
      </c>
      <c r="C1304" s="32" t="s">
        <v>5761</v>
      </c>
      <c r="D1304" s="32"/>
      <c r="E1304" s="40"/>
      <c r="F1304" s="40" t="s">
        <v>5762</v>
      </c>
      <c r="G1304" s="242">
        <v>55486005</v>
      </c>
      <c r="H1304" s="41" t="s">
        <v>5763</v>
      </c>
      <c r="I1304" s="41" t="s">
        <v>8264</v>
      </c>
      <c r="J1304" s="41" t="s">
        <v>5764</v>
      </c>
      <c r="K1304" s="41" t="s">
        <v>5765</v>
      </c>
      <c r="L1304" s="41"/>
      <c r="M1304" s="41"/>
      <c r="N1304" s="36"/>
      <c r="O1304" s="41"/>
      <c r="P1304" s="41" t="s">
        <v>6184</v>
      </c>
      <c r="Q1304" s="41" t="s">
        <v>6179</v>
      </c>
      <c r="R1304" s="41" t="s">
        <v>6185</v>
      </c>
      <c r="S1304" s="41" t="s">
        <v>6176</v>
      </c>
      <c r="T1304" s="33">
        <v>322.45</v>
      </c>
      <c r="U1304" s="250"/>
      <c r="V1304" s="250">
        <v>0.24790000000000001</v>
      </c>
      <c r="W1304" s="250">
        <v>10.926029814708587</v>
      </c>
      <c r="X1304" s="250">
        <v>10.926029814708587</v>
      </c>
      <c r="Y1304" s="415">
        <v>7</v>
      </c>
      <c r="Z1304" s="33">
        <v>5.34</v>
      </c>
      <c r="AA1304" s="33"/>
      <c r="AB1304" s="33">
        <v>5.55</v>
      </c>
      <c r="AC1304" s="33">
        <v>0.51859999999999995</v>
      </c>
      <c r="AD1304" s="33">
        <v>5.53</v>
      </c>
      <c r="AE1304" s="33">
        <v>5.5</v>
      </c>
      <c r="AF1304" s="33">
        <f t="shared" si="299"/>
        <v>5.53</v>
      </c>
      <c r="AG1304" s="34">
        <v>5.53</v>
      </c>
      <c r="AH1304" s="250">
        <v>1.66E-8</v>
      </c>
      <c r="AI1304" s="250"/>
      <c r="AJ1304" s="34">
        <f t="shared" si="296"/>
        <v>-6.1684582382725965</v>
      </c>
      <c r="AK1304" s="34"/>
      <c r="AL1304" s="34">
        <f t="shared" si="297"/>
        <v>-6.1684582382725965</v>
      </c>
      <c r="AM1304" s="34">
        <v>-9.3272600000000008</v>
      </c>
      <c r="AN1304" s="251"/>
      <c r="AO1304" s="417"/>
      <c r="AP1304" s="417"/>
      <c r="AQ1304" s="251" t="s">
        <v>6311</v>
      </c>
      <c r="AR1304" s="251" t="s">
        <v>6311</v>
      </c>
      <c r="AS1304" s="252" t="s">
        <v>5466</v>
      </c>
      <c r="AT1304" s="35" t="s">
        <v>266</v>
      </c>
      <c r="AU1304" s="33">
        <v>4</v>
      </c>
      <c r="AV1304" s="33">
        <v>80</v>
      </c>
      <c r="AW1304" s="33">
        <v>76</v>
      </c>
      <c r="AX1304" s="33">
        <v>28</v>
      </c>
      <c r="AY1304" s="33" t="s">
        <v>267</v>
      </c>
      <c r="AZ1304" s="33" t="s">
        <v>5731</v>
      </c>
      <c r="BA1304" s="33">
        <v>20</v>
      </c>
      <c r="BB1304" s="41" t="s">
        <v>5732</v>
      </c>
      <c r="BC1304" s="41" t="s">
        <v>1584</v>
      </c>
      <c r="BD1304" s="41"/>
      <c r="BE1304" s="33" t="s">
        <v>5733</v>
      </c>
      <c r="BF1304" s="33"/>
      <c r="BG1304" s="33"/>
      <c r="BH1304" s="33" t="s">
        <v>5734</v>
      </c>
      <c r="BI1304" s="250"/>
      <c r="BJ1304" s="250"/>
      <c r="BK1304" s="254"/>
      <c r="BL1304" s="263">
        <v>0.26509917810164085</v>
      </c>
      <c r="BM1304" s="33"/>
      <c r="BN1304" s="33"/>
      <c r="BO1304" s="33"/>
      <c r="BP1304" s="33"/>
      <c r="BQ1304" s="33"/>
      <c r="BR1304" s="33"/>
      <c r="BS1304" s="33"/>
      <c r="BT1304" s="33"/>
      <c r="BU1304" s="246"/>
      <c r="BV1304" s="33"/>
      <c r="BW1304" s="33">
        <v>6.4812449999999995</v>
      </c>
      <c r="BX1304" s="33"/>
      <c r="BY1304" s="33"/>
      <c r="BZ1304" s="33"/>
      <c r="CA1304" s="33"/>
      <c r="CB1304" s="33"/>
      <c r="CC1304" s="33"/>
      <c r="CD1304" s="33"/>
      <c r="CE1304" s="33"/>
      <c r="CF1304" s="33"/>
      <c r="CG1304" s="33"/>
      <c r="CH1304" s="33"/>
      <c r="CI1304" s="250">
        <v>6.4812449999999995</v>
      </c>
      <c r="CJ1304" s="243">
        <f t="shared" si="300"/>
        <v>0.81165843869384946</v>
      </c>
      <c r="CK1304" s="38"/>
      <c r="CL1304" s="247">
        <f t="shared" si="293"/>
        <v>4.0902508407202762E-2</v>
      </c>
      <c r="CM1304" s="247"/>
      <c r="CN1304" s="247"/>
      <c r="CO1304" s="41"/>
      <c r="CP1304" s="143" t="s">
        <v>5735</v>
      </c>
      <c r="CQ1304" s="241" t="s">
        <v>272</v>
      </c>
      <c r="CR1304" s="241"/>
      <c r="CS1304" s="33"/>
      <c r="CT1304" s="33"/>
      <c r="CU1304" s="250">
        <f t="shared" si="298"/>
        <v>1.6857918215880725</v>
      </c>
      <c r="CV1304" s="337"/>
      <c r="CW1304" s="330">
        <f t="shared" si="301"/>
        <v>0</v>
      </c>
      <c r="CX1304" s="330" t="s">
        <v>539</v>
      </c>
      <c r="CY1304" s="143" t="s">
        <v>5921</v>
      </c>
    </row>
    <row r="1305" spans="1:103" ht="11.25" customHeight="1" x14ac:dyDescent="0.2">
      <c r="A1305" s="72">
        <v>1920</v>
      </c>
      <c r="B1305" s="241">
        <v>2089</v>
      </c>
      <c r="C1305" s="32" t="s">
        <v>5776</v>
      </c>
      <c r="D1305" s="32"/>
      <c r="E1305" s="40"/>
      <c r="F1305" s="40" t="s">
        <v>5777</v>
      </c>
      <c r="G1305" s="242">
        <v>58186279</v>
      </c>
      <c r="H1305" s="41" t="s">
        <v>5778</v>
      </c>
      <c r="I1305" s="41" t="s">
        <v>8265</v>
      </c>
      <c r="J1305" s="41" t="s">
        <v>5779</v>
      </c>
      <c r="K1305" s="41" t="s">
        <v>5765</v>
      </c>
      <c r="L1305" s="41"/>
      <c r="M1305" s="41"/>
      <c r="N1305" s="36"/>
      <c r="O1305" s="41"/>
      <c r="P1305" s="41"/>
      <c r="Q1305" s="41"/>
      <c r="R1305" s="41"/>
      <c r="S1305" s="41"/>
      <c r="T1305" s="33">
        <v>338.21</v>
      </c>
      <c r="U1305" s="250"/>
      <c r="V1305" s="250">
        <v>11.48</v>
      </c>
      <c r="W1305" s="250">
        <v>169.50653428507971</v>
      </c>
      <c r="X1305" s="250">
        <v>169.50653428507971</v>
      </c>
      <c r="Y1305" s="415">
        <v>7</v>
      </c>
      <c r="Z1305" s="33">
        <v>3.88</v>
      </c>
      <c r="AA1305" s="33"/>
      <c r="AB1305" s="33">
        <v>3.34</v>
      </c>
      <c r="AC1305" s="33">
        <v>0.47620000000000001</v>
      </c>
      <c r="AD1305" s="33">
        <v>3.41</v>
      </c>
      <c r="AE1305" s="33">
        <v>3.49</v>
      </c>
      <c r="AF1305" s="33">
        <f t="shared" si="299"/>
        <v>3.41</v>
      </c>
      <c r="AG1305" s="34">
        <v>3.41</v>
      </c>
      <c r="AH1305" s="250">
        <v>6.0700000000000004E-13</v>
      </c>
      <c r="AI1305" s="250"/>
      <c r="AJ1305" s="34">
        <f t="shared" si="296"/>
        <v>-10.605377635237394</v>
      </c>
      <c r="AK1305" s="34"/>
      <c r="AL1305" s="34">
        <f t="shared" si="297"/>
        <v>-10.605377635237394</v>
      </c>
      <c r="AM1305" s="34">
        <v>-12.96935</v>
      </c>
      <c r="AN1305" s="251"/>
      <c r="AO1305" s="417">
        <v>15.2</v>
      </c>
      <c r="AP1305" s="417"/>
      <c r="AQ1305" s="251" t="s">
        <v>6311</v>
      </c>
      <c r="AR1305" s="251" t="s">
        <v>6311</v>
      </c>
      <c r="AS1305" s="252" t="s">
        <v>5466</v>
      </c>
      <c r="AT1305" s="35" t="s">
        <v>266</v>
      </c>
      <c r="AU1305" s="33">
        <v>4</v>
      </c>
      <c r="AV1305" s="33">
        <v>80</v>
      </c>
      <c r="AW1305" s="33">
        <v>76</v>
      </c>
      <c r="AX1305" s="33">
        <v>28</v>
      </c>
      <c r="AY1305" s="33" t="s">
        <v>267</v>
      </c>
      <c r="AZ1305" s="33" t="s">
        <v>5731</v>
      </c>
      <c r="BA1305" s="33">
        <v>20</v>
      </c>
      <c r="BB1305" s="41" t="s">
        <v>5732</v>
      </c>
      <c r="BC1305" s="41" t="s">
        <v>1584</v>
      </c>
      <c r="BD1305" s="41"/>
      <c r="BE1305" s="33" t="s">
        <v>5733</v>
      </c>
      <c r="BF1305" s="33"/>
      <c r="BG1305" s="33"/>
      <c r="BH1305" s="33" t="s">
        <v>5734</v>
      </c>
      <c r="BI1305" s="250"/>
      <c r="BJ1305" s="250"/>
      <c r="BK1305" s="254"/>
      <c r="BL1305" s="263">
        <v>5.6932262672348886</v>
      </c>
      <c r="BM1305" s="33"/>
      <c r="BN1305" s="33"/>
      <c r="BO1305" s="33"/>
      <c r="BP1305" s="33"/>
      <c r="BQ1305" s="33"/>
      <c r="BR1305" s="33"/>
      <c r="BS1305" s="33"/>
      <c r="BT1305" s="33"/>
      <c r="BU1305" s="246"/>
      <c r="BV1305" s="33">
        <v>2.4892255999999997</v>
      </c>
      <c r="BW1305" s="33">
        <v>1.9108864999999997</v>
      </c>
      <c r="BX1305" s="33"/>
      <c r="BY1305" s="33"/>
      <c r="BZ1305" s="33"/>
      <c r="CA1305" s="33"/>
      <c r="CB1305" s="33"/>
      <c r="CC1305" s="33"/>
      <c r="CD1305" s="33"/>
      <c r="CE1305" s="33"/>
      <c r="CF1305" s="33"/>
      <c r="CG1305" s="33"/>
      <c r="CH1305" s="33"/>
      <c r="CI1305" s="250">
        <v>1.9108864999999997</v>
      </c>
      <c r="CJ1305" s="243">
        <f t="shared" si="300"/>
        <v>0.281234892242053</v>
      </c>
      <c r="CK1305" s="38"/>
      <c r="CL1305" s="247">
        <f t="shared" si="293"/>
        <v>2.9793639063517845</v>
      </c>
      <c r="CM1305" s="247"/>
      <c r="CN1305" s="247"/>
      <c r="CO1305" s="41"/>
      <c r="CP1305" s="143" t="s">
        <v>5735</v>
      </c>
      <c r="CQ1305" s="241" t="s">
        <v>272</v>
      </c>
      <c r="CR1305" s="241"/>
      <c r="CS1305" s="33"/>
      <c r="CT1305" s="33"/>
      <c r="CU1305" s="250">
        <f t="shared" si="298"/>
        <v>88.705705066773845</v>
      </c>
      <c r="CV1305" s="337"/>
      <c r="CW1305" s="330">
        <f t="shared" si="301"/>
        <v>1</v>
      </c>
      <c r="CX1305" s="330" t="s">
        <v>539</v>
      </c>
      <c r="CY1305" s="143" t="s">
        <v>5921</v>
      </c>
    </row>
    <row r="1306" spans="1:103" ht="11.25" customHeight="1" x14ac:dyDescent="0.2">
      <c r="A1306" s="72">
        <v>1938</v>
      </c>
      <c r="B1306" s="241">
        <v>2081</v>
      </c>
      <c r="C1306" s="32" t="s">
        <v>5739</v>
      </c>
      <c r="D1306" s="32"/>
      <c r="E1306" s="40"/>
      <c r="F1306" s="40" t="s">
        <v>5740</v>
      </c>
      <c r="G1306" s="242">
        <v>76706553</v>
      </c>
      <c r="H1306" s="41" t="s">
        <v>5741</v>
      </c>
      <c r="I1306" s="41" t="s">
        <v>8267</v>
      </c>
      <c r="J1306" s="41" t="s">
        <v>5742</v>
      </c>
      <c r="K1306" s="41" t="s">
        <v>1025</v>
      </c>
      <c r="L1306" s="41"/>
      <c r="M1306" s="41"/>
      <c r="N1306" s="36"/>
      <c r="O1306" s="41"/>
      <c r="P1306" s="41"/>
      <c r="Q1306" s="41"/>
      <c r="R1306" s="41"/>
      <c r="S1306" s="41"/>
      <c r="T1306" s="33">
        <v>487.68</v>
      </c>
      <c r="U1306" s="250"/>
      <c r="V1306" s="250">
        <v>3.7609999999999998E-2</v>
      </c>
      <c r="W1306" s="250">
        <v>0.28716727384381285</v>
      </c>
      <c r="X1306" s="250">
        <v>0.28716727384381285</v>
      </c>
      <c r="Y1306" s="415">
        <v>7</v>
      </c>
      <c r="Z1306" s="33">
        <v>5.0999999999999996</v>
      </c>
      <c r="AA1306" s="33"/>
      <c r="AB1306" s="33">
        <v>3.97</v>
      </c>
      <c r="AC1306" s="33">
        <v>0.59340000000000004</v>
      </c>
      <c r="AD1306" s="33">
        <v>4.58</v>
      </c>
      <c r="AE1306" s="33">
        <v>5.6</v>
      </c>
      <c r="AF1306" s="33">
        <f t="shared" si="299"/>
        <v>4.58</v>
      </c>
      <c r="AG1306" s="34">
        <v>4.58</v>
      </c>
      <c r="AH1306" s="250">
        <v>2.7099999999999999E-19</v>
      </c>
      <c r="AI1306" s="250"/>
      <c r="AJ1306" s="34">
        <f t="shared" si="296"/>
        <v>-16.955597035438245</v>
      </c>
      <c r="AK1306" s="34"/>
      <c r="AL1306" s="34">
        <f t="shared" si="297"/>
        <v>-16.955597035438245</v>
      </c>
      <c r="AM1306" s="34">
        <v>-23.440049999999999</v>
      </c>
      <c r="AN1306" s="251"/>
      <c r="AO1306" s="417">
        <v>14.07</v>
      </c>
      <c r="AP1306" s="417">
        <v>0.36</v>
      </c>
      <c r="AQ1306" s="251" t="s">
        <v>6311</v>
      </c>
      <c r="AR1306" s="251" t="s">
        <v>6311</v>
      </c>
      <c r="AS1306" s="252" t="s">
        <v>5466</v>
      </c>
      <c r="AT1306" s="35" t="s">
        <v>266</v>
      </c>
      <c r="AU1306" s="33">
        <v>4</v>
      </c>
      <c r="AV1306" s="33">
        <v>80</v>
      </c>
      <c r="AW1306" s="33">
        <v>76</v>
      </c>
      <c r="AX1306" s="33">
        <v>28</v>
      </c>
      <c r="AY1306" s="33" t="s">
        <v>267</v>
      </c>
      <c r="AZ1306" s="33" t="s">
        <v>5731</v>
      </c>
      <c r="BA1306" s="33">
        <v>20</v>
      </c>
      <c r="BB1306" s="41" t="s">
        <v>5732</v>
      </c>
      <c r="BC1306" s="41" t="s">
        <v>1584</v>
      </c>
      <c r="BD1306" s="41"/>
      <c r="BE1306" s="33" t="s">
        <v>5733</v>
      </c>
      <c r="BF1306" s="33"/>
      <c r="BG1306" s="33"/>
      <c r="BH1306" s="33" t="s">
        <v>5734</v>
      </c>
      <c r="BI1306" s="250"/>
      <c r="BJ1306" s="250"/>
      <c r="BK1306" s="254"/>
      <c r="BL1306" s="263">
        <v>0.658604881495928</v>
      </c>
      <c r="BM1306" s="33"/>
      <c r="BN1306" s="33"/>
      <c r="BO1306" s="33"/>
      <c r="BP1306" s="33"/>
      <c r="BQ1306" s="33"/>
      <c r="BR1306" s="33"/>
      <c r="BS1306" s="33"/>
      <c r="BT1306" s="33"/>
      <c r="BU1306" s="246"/>
      <c r="BV1306" s="33">
        <v>2.92608E-2</v>
      </c>
      <c r="BW1306" s="33">
        <v>1.9507200000000002E-2</v>
      </c>
      <c r="BX1306" s="33"/>
      <c r="BY1306" s="33"/>
      <c r="BZ1306" s="33"/>
      <c r="CA1306" s="33"/>
      <c r="CB1306" s="33"/>
      <c r="CC1306" s="33"/>
      <c r="CD1306" s="33"/>
      <c r="CE1306" s="33"/>
      <c r="CF1306" s="33"/>
      <c r="CG1306" s="33"/>
      <c r="CH1306" s="33"/>
      <c r="CI1306" s="250">
        <v>1.9507200000000002E-2</v>
      </c>
      <c r="CJ1306" s="243">
        <f t="shared" si="300"/>
        <v>-1.70980506334855</v>
      </c>
      <c r="CK1306" s="38"/>
      <c r="CL1306" s="247">
        <f t="shared" si="293"/>
        <v>33.762143285347356</v>
      </c>
      <c r="CM1306" s="247"/>
      <c r="CN1306" s="247"/>
      <c r="CO1306" s="41"/>
      <c r="CP1306" s="143" t="s">
        <v>5735</v>
      </c>
      <c r="CQ1306" s="241" t="s">
        <v>272</v>
      </c>
      <c r="CR1306" s="241"/>
      <c r="CS1306" s="33"/>
      <c r="CT1306" s="33"/>
      <c r="CU1306" s="250">
        <f t="shared" si="298"/>
        <v>14.721091383889682</v>
      </c>
      <c r="CV1306" s="337"/>
      <c r="CW1306" s="330">
        <f t="shared" si="301"/>
        <v>1</v>
      </c>
      <c r="CX1306" s="330" t="s">
        <v>539</v>
      </c>
      <c r="CY1306" s="143" t="s">
        <v>5921</v>
      </c>
    </row>
    <row r="1307" spans="1:103" ht="11.25" customHeight="1" x14ac:dyDescent="0.2">
      <c r="A1307" s="72">
        <v>1946</v>
      </c>
      <c r="B1307" s="241">
        <v>2084</v>
      </c>
      <c r="C1307" s="32" t="s">
        <v>5751</v>
      </c>
      <c r="D1307" s="32"/>
      <c r="E1307" s="40"/>
      <c r="F1307" s="40" t="s">
        <v>5752</v>
      </c>
      <c r="G1307" s="242">
        <v>95233184</v>
      </c>
      <c r="H1307" s="41" t="s">
        <v>5753</v>
      </c>
      <c r="I1307" s="41" t="s">
        <v>8272</v>
      </c>
      <c r="J1307" s="41" t="s">
        <v>5754</v>
      </c>
      <c r="K1307" s="41" t="s">
        <v>5755</v>
      </c>
      <c r="L1307" s="41" t="s">
        <v>279</v>
      </c>
      <c r="M1307" s="41" t="s">
        <v>5756</v>
      </c>
      <c r="N1307" s="36"/>
      <c r="O1307" s="41" t="s">
        <v>281</v>
      </c>
      <c r="P1307" s="41"/>
      <c r="Q1307" s="41"/>
      <c r="R1307" s="41"/>
      <c r="S1307" s="41"/>
      <c r="T1307" s="33">
        <v>366.85</v>
      </c>
      <c r="U1307" s="250"/>
      <c r="V1307" s="250">
        <v>4.7419999999999997E-2</v>
      </c>
      <c r="W1307" s="250">
        <v>0.22104898415137797</v>
      </c>
      <c r="X1307" s="250">
        <v>0.22104898415137797</v>
      </c>
      <c r="Y1307" s="415">
        <v>6.24</v>
      </c>
      <c r="Z1307" s="33">
        <v>5.87</v>
      </c>
      <c r="AA1307" s="33"/>
      <c r="AB1307" s="33">
        <v>4.38</v>
      </c>
      <c r="AC1307" s="33">
        <v>0.79039999999999999</v>
      </c>
      <c r="AD1307" s="33">
        <v>4.8499999999999996</v>
      </c>
      <c r="AE1307" s="33">
        <v>6.17</v>
      </c>
      <c r="AF1307" s="33">
        <f t="shared" si="299"/>
        <v>4.8499999999999996</v>
      </c>
      <c r="AG1307" s="34">
        <v>4.8499999999999996</v>
      </c>
      <c r="AH1307" s="250">
        <v>4.1500000000000001E-10</v>
      </c>
      <c r="AI1307" s="250"/>
      <c r="AJ1307" s="34">
        <f t="shared" si="296"/>
        <v>-7.770518229600559</v>
      </c>
      <c r="AK1307" s="34"/>
      <c r="AL1307" s="34">
        <f t="shared" si="297"/>
        <v>-7.770518229600559</v>
      </c>
      <c r="AM1307" s="34">
        <v>-17.75592</v>
      </c>
      <c r="AN1307" s="251"/>
      <c r="AO1307" s="417">
        <v>5.01</v>
      </c>
      <c r="AP1307" s="417"/>
      <c r="AQ1307" s="251" t="s">
        <v>6311</v>
      </c>
      <c r="AR1307" s="251" t="s">
        <v>6311</v>
      </c>
      <c r="AS1307" s="252" t="s">
        <v>5466</v>
      </c>
      <c r="AT1307" s="35" t="s">
        <v>266</v>
      </c>
      <c r="AU1307" s="33">
        <v>4</v>
      </c>
      <c r="AV1307" s="33">
        <v>80</v>
      </c>
      <c r="AW1307" s="33">
        <v>76</v>
      </c>
      <c r="AX1307" s="33">
        <v>28</v>
      </c>
      <c r="AY1307" s="33" t="s">
        <v>267</v>
      </c>
      <c r="AZ1307" s="33" t="s">
        <v>5731</v>
      </c>
      <c r="BA1307" s="33">
        <v>20</v>
      </c>
      <c r="BB1307" s="41" t="s">
        <v>5732</v>
      </c>
      <c r="BC1307" s="41" t="s">
        <v>1584</v>
      </c>
      <c r="BD1307" s="41"/>
      <c r="BE1307" s="33" t="s">
        <v>5733</v>
      </c>
      <c r="BF1307" s="33"/>
      <c r="BG1307" s="33"/>
      <c r="BH1307" s="33" t="s">
        <v>5734</v>
      </c>
      <c r="BI1307" s="250"/>
      <c r="BJ1307" s="250"/>
      <c r="BK1307" s="254"/>
      <c r="BL1307" s="263">
        <v>0.100795588166605</v>
      </c>
      <c r="BM1307" s="33"/>
      <c r="BN1307" s="33"/>
      <c r="BO1307" s="33"/>
      <c r="BP1307" s="33"/>
      <c r="BQ1307" s="33"/>
      <c r="BR1307" s="33"/>
      <c r="BS1307" s="33"/>
      <c r="BT1307" s="33"/>
      <c r="BU1307" s="246"/>
      <c r="BV1307" s="33">
        <v>0.64565600000000001</v>
      </c>
      <c r="BW1307" s="33">
        <v>0.322828</v>
      </c>
      <c r="BX1307" s="33"/>
      <c r="BY1307" s="33"/>
      <c r="BZ1307" s="33"/>
      <c r="CA1307" s="33"/>
      <c r="CB1307" s="33"/>
      <c r="CC1307" s="33"/>
      <c r="CD1307" s="33"/>
      <c r="CE1307" s="33"/>
      <c r="CF1307" s="33"/>
      <c r="CG1307" s="33"/>
      <c r="CH1307" s="33"/>
      <c r="CI1307" s="250">
        <v>0.322828</v>
      </c>
      <c r="CJ1307" s="243">
        <f t="shared" si="300"/>
        <v>-0.49102880443903857</v>
      </c>
      <c r="CK1307" s="38"/>
      <c r="CL1307" s="247">
        <f t="shared" si="293"/>
        <v>0.31222690772363298</v>
      </c>
      <c r="CM1307" s="247"/>
      <c r="CN1307" s="247"/>
      <c r="CO1307" s="41"/>
      <c r="CP1307" s="143" t="s">
        <v>5735</v>
      </c>
      <c r="CQ1307" s="241" t="s">
        <v>272</v>
      </c>
      <c r="CR1307" s="241"/>
      <c r="CS1307" s="33"/>
      <c r="CT1307" s="33"/>
      <c r="CU1307" s="250">
        <f t="shared" si="298"/>
        <v>0.68472680235722416</v>
      </c>
      <c r="CV1307" s="337"/>
      <c r="CW1307" s="330">
        <f t="shared" si="301"/>
        <v>0</v>
      </c>
      <c r="CX1307" s="330" t="s">
        <v>539</v>
      </c>
      <c r="CY1307" s="143" t="s">
        <v>5921</v>
      </c>
    </row>
    <row r="1308" spans="1:103" ht="11.25" customHeight="1" x14ac:dyDescent="0.2">
      <c r="A1308" s="72">
        <v>2027</v>
      </c>
      <c r="B1308" s="282">
        <v>2078</v>
      </c>
      <c r="C1308" s="115" t="s">
        <v>5726</v>
      </c>
      <c r="D1308" s="115"/>
      <c r="E1308" s="116">
        <v>1</v>
      </c>
      <c r="F1308" s="116" t="s">
        <v>5727</v>
      </c>
      <c r="G1308" s="283">
        <v>10476854</v>
      </c>
      <c r="H1308" s="286" t="s">
        <v>5728</v>
      </c>
      <c r="I1308" s="286"/>
      <c r="J1308" s="286" t="s">
        <v>5729</v>
      </c>
      <c r="K1308" s="284" t="s">
        <v>416</v>
      </c>
      <c r="L1308" s="286"/>
      <c r="M1308" s="286"/>
      <c r="N1308" s="286"/>
      <c r="O1308" s="286"/>
      <c r="P1308" s="286"/>
      <c r="Q1308" s="286"/>
      <c r="R1308" s="286"/>
      <c r="S1308" s="286"/>
      <c r="T1308" s="123">
        <v>158.53</v>
      </c>
      <c r="U1308" s="300"/>
      <c r="V1308" s="300"/>
      <c r="W1308" s="300"/>
      <c r="X1308" s="300"/>
      <c r="Y1308" s="419"/>
      <c r="Z1308" s="116"/>
      <c r="AA1308" s="116"/>
      <c r="AB1308" s="116"/>
      <c r="AC1308" s="116"/>
      <c r="AD1308" s="116"/>
      <c r="AE1308" s="116"/>
      <c r="AF1308" s="116"/>
      <c r="AG1308" s="117" t="s">
        <v>404</v>
      </c>
      <c r="AH1308" s="300"/>
      <c r="AI1308" s="292"/>
      <c r="AJ1308" s="125"/>
      <c r="AK1308" s="125"/>
      <c r="AL1308" s="125"/>
      <c r="AM1308" s="125"/>
      <c r="AN1308" s="301"/>
      <c r="AO1308" s="420"/>
      <c r="AP1308" s="420"/>
      <c r="AQ1308" s="301" t="s">
        <v>6311</v>
      </c>
      <c r="AR1308" s="301" t="s">
        <v>6311</v>
      </c>
      <c r="AS1308" s="298" t="s">
        <v>5466</v>
      </c>
      <c r="AT1308" s="124" t="s">
        <v>266</v>
      </c>
      <c r="AU1308" s="123">
        <v>0</v>
      </c>
      <c r="AV1308" s="123">
        <v>144</v>
      </c>
      <c r="AW1308" s="123">
        <v>144</v>
      </c>
      <c r="AX1308" s="123">
        <v>28</v>
      </c>
      <c r="AY1308" s="123"/>
      <c r="AZ1308" s="123"/>
      <c r="BA1308" s="123">
        <v>80</v>
      </c>
      <c r="BB1308" s="286" t="s">
        <v>5487</v>
      </c>
      <c r="BC1308" s="286" t="s">
        <v>5721</v>
      </c>
      <c r="BD1308" s="286"/>
      <c r="BE1308" s="123" t="s">
        <v>5680</v>
      </c>
      <c r="BF1308" s="123"/>
      <c r="BG1308" s="123"/>
      <c r="BH1308" s="123"/>
      <c r="BI1308" s="300">
        <v>5.2314899999999998E-2</v>
      </c>
      <c r="BJ1308" s="300">
        <v>1585.3</v>
      </c>
      <c r="BK1308" s="306"/>
      <c r="BL1308" s="287"/>
      <c r="BM1308" s="123"/>
      <c r="BN1308" s="123"/>
      <c r="BO1308" s="123"/>
      <c r="BP1308" s="123"/>
      <c r="BQ1308" s="123"/>
      <c r="BR1308" s="123"/>
      <c r="BS1308" s="123"/>
      <c r="BT1308" s="123">
        <v>951.18000000000006</v>
      </c>
      <c r="BU1308" s="293"/>
      <c r="BV1308" s="123"/>
      <c r="BW1308" s="123"/>
      <c r="BX1308" s="123"/>
      <c r="BY1308" s="123"/>
      <c r="BZ1308" s="123"/>
      <c r="CA1308" s="123"/>
      <c r="CB1308" s="123"/>
      <c r="CC1308" s="123"/>
      <c r="CD1308" s="123"/>
      <c r="CE1308" s="123"/>
      <c r="CF1308" s="123"/>
      <c r="CG1308" s="123"/>
      <c r="CH1308" s="123"/>
      <c r="CI1308" s="300">
        <v>951.18000000000006</v>
      </c>
      <c r="CJ1308" s="292">
        <f t="shared" si="300"/>
        <v>2.9782627100074452</v>
      </c>
      <c r="CK1308" s="120" t="s">
        <v>404</v>
      </c>
      <c r="CL1308" s="294"/>
      <c r="CM1308" s="294"/>
      <c r="CN1308" s="294">
        <f t="shared" ref="CN1308:CN1318" si="302">BJ1308/(10^CM1308)</f>
        <v>1585.3</v>
      </c>
      <c r="CO1308" s="286"/>
      <c r="CP1308" s="295" t="s">
        <v>5730</v>
      </c>
      <c r="CQ1308" s="282"/>
      <c r="CR1308" s="282">
        <f t="shared" ref="CR1308:CR1339" si="303">10^(CJ1308-CQ1308)</f>
        <v>951.1800000000012</v>
      </c>
      <c r="CS1308" s="123"/>
      <c r="CT1308" s="123"/>
      <c r="CU1308" s="300" t="s">
        <v>6310</v>
      </c>
      <c r="CV1308" s="338" t="s">
        <v>6310</v>
      </c>
      <c r="CW1308" s="339">
        <f t="shared" si="301"/>
        <v>1</v>
      </c>
      <c r="CX1308" s="339"/>
      <c r="CY1308" s="295" t="s">
        <v>6351</v>
      </c>
    </row>
    <row r="1309" spans="1:103" ht="11.25" customHeight="1" x14ac:dyDescent="0.2">
      <c r="A1309" s="72">
        <v>1623</v>
      </c>
      <c r="B1309" s="241">
        <v>2036</v>
      </c>
      <c r="C1309" s="32" t="s">
        <v>312</v>
      </c>
      <c r="D1309" s="32"/>
      <c r="E1309" s="40"/>
      <c r="F1309" s="249" t="s">
        <v>5110</v>
      </c>
      <c r="G1309" s="242">
        <v>54115</v>
      </c>
      <c r="H1309" s="41" t="s">
        <v>313</v>
      </c>
      <c r="I1309" s="41" t="s">
        <v>313</v>
      </c>
      <c r="J1309" s="41" t="s">
        <v>314</v>
      </c>
      <c r="K1309" s="41" t="s">
        <v>315</v>
      </c>
      <c r="L1309" s="41" t="s">
        <v>316</v>
      </c>
      <c r="M1309" s="41" t="s">
        <v>317</v>
      </c>
      <c r="N1309" s="36" t="s">
        <v>6376</v>
      </c>
      <c r="O1309" s="41" t="s">
        <v>2225</v>
      </c>
      <c r="P1309" s="41"/>
      <c r="Q1309" s="41" t="s">
        <v>6173</v>
      </c>
      <c r="R1309" s="41" t="s">
        <v>6185</v>
      </c>
      <c r="S1309" s="41" t="s">
        <v>6176</v>
      </c>
      <c r="T1309" s="33">
        <v>162.26</v>
      </c>
      <c r="U1309" s="250">
        <v>1000184.9226406954</v>
      </c>
      <c r="V1309" s="250">
        <v>1000184.9226406954</v>
      </c>
      <c r="W1309" s="250">
        <v>44690.114940365078</v>
      </c>
      <c r="X1309" s="250">
        <v>1000184.9226406954</v>
      </c>
      <c r="Y1309" s="415">
        <v>11</v>
      </c>
      <c r="Z1309" s="33">
        <v>1</v>
      </c>
      <c r="AA1309" s="33">
        <v>1.17</v>
      </c>
      <c r="AB1309" s="33">
        <v>0.86</v>
      </c>
      <c r="AC1309" s="33">
        <v>0.84609999999999996</v>
      </c>
      <c r="AD1309" s="33">
        <v>0.82</v>
      </c>
      <c r="AE1309" s="33">
        <v>0.72</v>
      </c>
      <c r="AF1309" s="33">
        <f t="shared" ref="AF1309:AF1340" si="304">IF(AA1309=0,AD1309,AA1309)</f>
        <v>1.17</v>
      </c>
      <c r="AG1309" s="34">
        <v>1.37</v>
      </c>
      <c r="AH1309" s="250">
        <v>3E-9</v>
      </c>
      <c r="AI1309" s="250"/>
      <c r="AJ1309" s="34">
        <f t="shared" ref="AJ1309:AJ1340" si="305">LOG10(AH1309*1000/(0.08206*298.15))</f>
        <v>-6.9114450715929898</v>
      </c>
      <c r="AK1309" s="34"/>
      <c r="AL1309" s="34">
        <f t="shared" ref="AL1309:AL1340" si="306">IF(AK1309=0,AJ1309,AK1309)</f>
        <v>-6.9114450715929898</v>
      </c>
      <c r="AM1309" s="34">
        <v>-8.0645500000000006</v>
      </c>
      <c r="AN1309" s="251">
        <v>-6.7946999999999997</v>
      </c>
      <c r="AO1309" s="417"/>
      <c r="AP1309" s="417">
        <v>8</v>
      </c>
      <c r="AQ1309" s="251" t="s">
        <v>6311</v>
      </c>
      <c r="AR1309" s="251" t="s">
        <v>6311</v>
      </c>
      <c r="AS1309" s="252" t="s">
        <v>5466</v>
      </c>
      <c r="AT1309" s="35" t="s">
        <v>266</v>
      </c>
      <c r="AU1309" s="33">
        <v>24</v>
      </c>
      <c r="AV1309" s="33">
        <v>96</v>
      </c>
      <c r="AW1309" s="33">
        <v>72</v>
      </c>
      <c r="AX1309" s="33">
        <v>28</v>
      </c>
      <c r="AY1309" s="253">
        <v>0.59027777777777779</v>
      </c>
      <c r="AZ1309" s="33" t="s">
        <v>6277</v>
      </c>
      <c r="BA1309" s="33" t="s">
        <v>6278</v>
      </c>
      <c r="BB1309" s="41" t="s">
        <v>6275</v>
      </c>
      <c r="BC1309" s="41" t="s">
        <v>6274</v>
      </c>
      <c r="BD1309" s="41"/>
      <c r="BE1309" s="41" t="s">
        <v>6273</v>
      </c>
      <c r="BF1309" s="33" t="s">
        <v>272</v>
      </c>
      <c r="BG1309" s="33" t="s">
        <v>6272</v>
      </c>
      <c r="BH1309" s="33" t="s">
        <v>5936</v>
      </c>
      <c r="BI1309" s="250">
        <v>1.6226</v>
      </c>
      <c r="BJ1309" s="250">
        <v>6.4904000000000002</v>
      </c>
      <c r="BK1309" s="254" t="s">
        <v>6276</v>
      </c>
      <c r="BL1309" s="263">
        <v>1054.1719877713674</v>
      </c>
      <c r="BM1309" s="33">
        <v>6</v>
      </c>
      <c r="BN1309" s="33"/>
      <c r="BO1309" s="33"/>
      <c r="BP1309" s="33"/>
      <c r="BQ1309" s="33"/>
      <c r="BR1309" s="33"/>
      <c r="BS1309" s="33"/>
      <c r="BT1309" s="33"/>
      <c r="BU1309" s="246"/>
      <c r="BV1309" s="33"/>
      <c r="BW1309" s="33"/>
      <c r="BX1309" s="33"/>
      <c r="BY1309" s="33"/>
      <c r="BZ1309" s="33"/>
      <c r="CA1309" s="33">
        <v>3472.3639999999996</v>
      </c>
      <c r="CB1309" s="33"/>
      <c r="CC1309" s="33"/>
      <c r="CD1309" s="33"/>
      <c r="CE1309" s="33"/>
      <c r="CF1309" s="33"/>
      <c r="CG1309" s="33"/>
      <c r="CH1309" s="33"/>
      <c r="CI1309" s="250">
        <v>3472.3639999999996</v>
      </c>
      <c r="CJ1309" s="243">
        <f t="shared" si="300"/>
        <v>3.5406252449910247</v>
      </c>
      <c r="CK1309" s="38">
        <f t="shared" ref="CK1309:CK1372" si="307">BL1309/BJ1309</f>
        <v>162.42018793469853</v>
      </c>
      <c r="CL1309" s="247">
        <f t="shared" ref="CL1309:CL1340" si="308">BL1309/CI1309</f>
        <v>0.30358913632653939</v>
      </c>
      <c r="CM1309" s="247">
        <v>0.60214029478566033</v>
      </c>
      <c r="CN1309" s="247">
        <f t="shared" si="302"/>
        <v>1.6223000000000003</v>
      </c>
      <c r="CO1309" s="41" t="s">
        <v>6279</v>
      </c>
      <c r="CP1309" s="143" t="s">
        <v>6280</v>
      </c>
      <c r="CQ1309" s="241">
        <v>0.66922824680230242</v>
      </c>
      <c r="CR1309" s="241">
        <f t="shared" si="303"/>
        <v>743.69865865492682</v>
      </c>
      <c r="CS1309" s="33"/>
      <c r="CT1309" s="33" t="s">
        <v>6310</v>
      </c>
      <c r="CU1309" s="250">
        <f t="shared" ref="CU1309:CU1340" si="309">X1309/CI1309</f>
        <v>288.0414964101389</v>
      </c>
      <c r="CV1309" s="337">
        <f t="shared" ref="CV1309:CV1372" si="310">X1309/BJ1309</f>
        <v>154102.20057942427</v>
      </c>
      <c r="CW1309" s="330">
        <f t="shared" si="301"/>
        <v>1</v>
      </c>
      <c r="CX1309" s="330" t="s">
        <v>539</v>
      </c>
      <c r="CY1309" s="143" t="s">
        <v>6351</v>
      </c>
    </row>
    <row r="1310" spans="1:103" ht="11.25" customHeight="1" x14ac:dyDescent="0.2">
      <c r="A1310" s="72">
        <v>57</v>
      </c>
      <c r="B1310" s="149">
        <v>177</v>
      </c>
      <c r="C1310" s="54" t="s">
        <v>1997</v>
      </c>
      <c r="D1310" s="54" t="s">
        <v>6467</v>
      </c>
      <c r="E1310" s="59"/>
      <c r="F1310" s="59" t="s">
        <v>1998</v>
      </c>
      <c r="G1310" s="151">
        <v>114261</v>
      </c>
      <c r="H1310" s="55" t="s">
        <v>1999</v>
      </c>
      <c r="I1310" s="55" t="s">
        <v>1999</v>
      </c>
      <c r="J1310" s="56" t="s">
        <v>2000</v>
      </c>
      <c r="K1310" s="56" t="s">
        <v>616</v>
      </c>
      <c r="L1310" s="55" t="s">
        <v>617</v>
      </c>
      <c r="M1310" s="55" t="s">
        <v>946</v>
      </c>
      <c r="N1310" s="60" t="s">
        <v>6376</v>
      </c>
      <c r="O1310" s="65" t="s">
        <v>918</v>
      </c>
      <c r="P1310" s="67"/>
      <c r="Q1310" s="67" t="s">
        <v>6173</v>
      </c>
      <c r="R1310" s="67" t="s">
        <v>6177</v>
      </c>
      <c r="S1310" s="67" t="s">
        <v>6176</v>
      </c>
      <c r="T1310" s="154">
        <v>209.25</v>
      </c>
      <c r="U1310" s="103">
        <v>1860</v>
      </c>
      <c r="V1310" s="103">
        <v>1973.9999999999998</v>
      </c>
      <c r="W1310" s="103">
        <v>709.03139672128043</v>
      </c>
      <c r="X1310" s="103">
        <v>1860</v>
      </c>
      <c r="Y1310" s="162">
        <v>6.96</v>
      </c>
      <c r="Z1310" s="56">
        <v>1.9</v>
      </c>
      <c r="AA1310" s="56">
        <v>1.52</v>
      </c>
      <c r="AB1310" s="56">
        <v>1.54</v>
      </c>
      <c r="AC1310" s="56">
        <v>0.89239999999999997</v>
      </c>
      <c r="AD1310" s="56">
        <v>1.56</v>
      </c>
      <c r="AE1310" s="56">
        <v>1.6</v>
      </c>
      <c r="AF1310" s="56">
        <f t="shared" si="304"/>
        <v>1.52</v>
      </c>
      <c r="AG1310" s="56">
        <v>1.99</v>
      </c>
      <c r="AH1310" s="103">
        <v>3.3499999999999998E-9</v>
      </c>
      <c r="AI1310" s="103">
        <v>1.43E-9</v>
      </c>
      <c r="AJ1310" s="62">
        <f t="shared" si="305"/>
        <v>-6.8635215192758068</v>
      </c>
      <c r="AK1310" s="62">
        <f t="shared" ref="AK1310:AK1315" si="311">LOG10(AI1310*1000/(0.08206*298.15))</f>
        <v>-7.2332302888475901</v>
      </c>
      <c r="AL1310" s="62">
        <f t="shared" si="306"/>
        <v>-7.2332302888475901</v>
      </c>
      <c r="AM1310" s="62">
        <v>-10.072940000000001</v>
      </c>
      <c r="AN1310" s="56">
        <v>-6.19</v>
      </c>
      <c r="AO1310" s="410">
        <v>12.28</v>
      </c>
      <c r="AP1310" s="410">
        <v>-1.49</v>
      </c>
      <c r="AQ1310" s="56" t="s">
        <v>6311</v>
      </c>
      <c r="AR1310" s="56" t="s">
        <v>6314</v>
      </c>
      <c r="AS1310" s="155" t="s">
        <v>6</v>
      </c>
      <c r="AT1310" s="58" t="s">
        <v>266</v>
      </c>
      <c r="AU1310" s="56">
        <v>0</v>
      </c>
      <c r="AV1310" s="56">
        <v>96</v>
      </c>
      <c r="AW1310" s="56">
        <v>96</v>
      </c>
      <c r="AX1310" s="56">
        <v>28.5</v>
      </c>
      <c r="AY1310" s="56"/>
      <c r="AZ1310" s="56" t="s">
        <v>3666</v>
      </c>
      <c r="BA1310" s="56">
        <v>12</v>
      </c>
      <c r="BB1310" s="55" t="s">
        <v>1764</v>
      </c>
      <c r="BC1310" s="55" t="s">
        <v>3667</v>
      </c>
      <c r="BD1310" s="55"/>
      <c r="BE1310" s="56"/>
      <c r="BF1310" s="56"/>
      <c r="BG1310" s="56"/>
      <c r="BH1310" s="56"/>
      <c r="BI1310" s="153">
        <v>24.99999999525</v>
      </c>
      <c r="BJ1310" s="153">
        <v>800.00000005724996</v>
      </c>
      <c r="BK1310" s="56"/>
      <c r="BL1310" s="153">
        <v>211.38563293954243</v>
      </c>
      <c r="BM1310" s="56" t="s">
        <v>541</v>
      </c>
      <c r="BN1310" s="56">
        <v>165.99999990149999</v>
      </c>
      <c r="BO1310" s="56">
        <v>145.999999989</v>
      </c>
      <c r="BP1310" s="56"/>
      <c r="BQ1310" s="56">
        <v>134.9999999325</v>
      </c>
      <c r="BR1310" s="55"/>
      <c r="BS1310" s="56"/>
      <c r="BT1310" s="56"/>
      <c r="BU1310" s="158"/>
      <c r="BV1310" s="56"/>
      <c r="BW1310" s="56"/>
      <c r="BX1310" s="56"/>
      <c r="BY1310" s="56"/>
      <c r="BZ1310" s="56"/>
      <c r="CA1310" s="56"/>
      <c r="CB1310" s="56"/>
      <c r="CC1310" s="56"/>
      <c r="CD1310" s="56"/>
      <c r="CE1310" s="56"/>
      <c r="CF1310" s="56"/>
      <c r="CG1310" s="56"/>
      <c r="CH1310" s="56"/>
      <c r="CI1310" s="103">
        <v>134.9999999325</v>
      </c>
      <c r="CJ1310" s="103">
        <f t="shared" si="300"/>
        <v>2.1303337682778589</v>
      </c>
      <c r="CK1310" s="57">
        <f t="shared" si="307"/>
        <v>0.26423204115551896</v>
      </c>
      <c r="CL1310" s="160">
        <f t="shared" si="308"/>
        <v>1.5658195040387797</v>
      </c>
      <c r="CM1310" s="160">
        <v>1.048024373971417</v>
      </c>
      <c r="CN1310" s="160">
        <f t="shared" si="302"/>
        <v>71.625161307100853</v>
      </c>
      <c r="CO1310" s="55"/>
      <c r="CP1310" s="497" t="s">
        <v>3668</v>
      </c>
      <c r="CQ1310" s="149">
        <v>1.0726577657579373</v>
      </c>
      <c r="CR1310" s="349">
        <f t="shared" si="303"/>
        <v>11.420260292083428</v>
      </c>
      <c r="CS1310" s="61" t="s">
        <v>539</v>
      </c>
      <c r="CT1310" s="61"/>
      <c r="CU1310" s="111">
        <f t="shared" si="309"/>
        <v>13.777777784666666</v>
      </c>
      <c r="CV1310" s="331">
        <f t="shared" si="310"/>
        <v>2.3249999998336173</v>
      </c>
      <c r="CW1310" s="326">
        <f t="shared" si="301"/>
        <v>1</v>
      </c>
      <c r="CX1310" s="326"/>
      <c r="CY1310" s="161" t="s">
        <v>5921</v>
      </c>
    </row>
    <row r="1311" spans="1:103" ht="11.25" customHeight="1" x14ac:dyDescent="0.2">
      <c r="A1311" s="72">
        <v>97</v>
      </c>
      <c r="B1311" s="149">
        <v>345</v>
      </c>
      <c r="C1311" s="54" t="s">
        <v>1288</v>
      </c>
      <c r="D1311" s="54" t="s">
        <v>6485</v>
      </c>
      <c r="E1311" s="59"/>
      <c r="F1311" s="59" t="s">
        <v>1289</v>
      </c>
      <c r="G1311" s="151">
        <v>330552</v>
      </c>
      <c r="H1311" s="55" t="s">
        <v>1290</v>
      </c>
      <c r="I1311" s="55" t="s">
        <v>8050</v>
      </c>
      <c r="J1311" s="55" t="s">
        <v>1291</v>
      </c>
      <c r="K1311" s="55" t="s">
        <v>1292</v>
      </c>
      <c r="L1311" s="55" t="s">
        <v>5997</v>
      </c>
      <c r="M1311" s="55" t="s">
        <v>6082</v>
      </c>
      <c r="N1311" s="60" t="s">
        <v>6082</v>
      </c>
      <c r="O1311" s="55" t="s">
        <v>6083</v>
      </c>
      <c r="P1311" s="67"/>
      <c r="Q1311" s="67"/>
      <c r="R1311" s="67"/>
      <c r="S1311" s="67"/>
      <c r="T1311" s="56">
        <v>249.09</v>
      </c>
      <c r="U1311" s="103">
        <v>75</v>
      </c>
      <c r="V1311" s="103">
        <v>44.27</v>
      </c>
      <c r="W1311" s="103">
        <v>36.004459249510283</v>
      </c>
      <c r="X1311" s="103">
        <v>75</v>
      </c>
      <c r="Y1311" s="162">
        <v>7</v>
      </c>
      <c r="Z1311" s="56">
        <v>2.91</v>
      </c>
      <c r="AA1311" s="56">
        <v>3.2</v>
      </c>
      <c r="AB1311" s="56">
        <v>3.06</v>
      </c>
      <c r="AC1311" s="56">
        <v>0.93340000000000001</v>
      </c>
      <c r="AD1311" s="56">
        <v>3.08</v>
      </c>
      <c r="AE1311" s="56">
        <v>3.2</v>
      </c>
      <c r="AF1311" s="56">
        <f t="shared" si="304"/>
        <v>3.2</v>
      </c>
      <c r="AG1311" s="57">
        <v>2.21</v>
      </c>
      <c r="AH1311" s="103">
        <v>1.15E-8</v>
      </c>
      <c r="AI1311" s="103">
        <v>6.2499999999999997E-9</v>
      </c>
      <c r="AJ1311" s="62">
        <f t="shared" si="305"/>
        <v>-6.3278684859590397</v>
      </c>
      <c r="AK1311" s="62">
        <f t="shared" si="311"/>
        <v>-6.5926863089685765</v>
      </c>
      <c r="AL1311" s="62">
        <f t="shared" si="306"/>
        <v>-6.5926863089685765</v>
      </c>
      <c r="AM1311" s="62">
        <v>-13.093050000000002</v>
      </c>
      <c r="AN1311" s="154">
        <v>-6.84</v>
      </c>
      <c r="AO1311" s="410">
        <v>12.13</v>
      </c>
      <c r="AP1311" s="410">
        <v>-1.05</v>
      </c>
      <c r="AQ1311" s="154" t="s">
        <v>6311</v>
      </c>
      <c r="AR1311" s="154" t="s">
        <v>6311</v>
      </c>
      <c r="AS1311" s="149" t="s">
        <v>6</v>
      </c>
      <c r="AT1311" s="58" t="s">
        <v>266</v>
      </c>
      <c r="AU1311" s="56">
        <v>8</v>
      </c>
      <c r="AV1311" s="56">
        <v>144</v>
      </c>
      <c r="AW1311" s="56">
        <v>120</v>
      </c>
      <c r="AX1311" s="56">
        <v>26</v>
      </c>
      <c r="AY1311" s="56" t="s">
        <v>267</v>
      </c>
      <c r="AZ1311" s="56" t="s">
        <v>268</v>
      </c>
      <c r="BA1311" s="56">
        <v>3</v>
      </c>
      <c r="BB1311" s="55" t="s">
        <v>888</v>
      </c>
      <c r="BC1311" s="55" t="s">
        <v>270</v>
      </c>
      <c r="BD1311" s="55" t="s">
        <v>8374</v>
      </c>
      <c r="BE1311" s="56" t="s">
        <v>889</v>
      </c>
      <c r="BF1311" s="56" t="s">
        <v>272</v>
      </c>
      <c r="BG1311" s="56" t="s">
        <v>272</v>
      </c>
      <c r="BH1311" s="56" t="s">
        <v>890</v>
      </c>
      <c r="BI1311" s="153">
        <v>2.4908999999999999E-4</v>
      </c>
      <c r="BJ1311" s="153">
        <v>19.927199999999999</v>
      </c>
      <c r="BK1311" s="56"/>
      <c r="BL1311" s="153">
        <v>31.166303291553405</v>
      </c>
      <c r="BM1311" s="56" t="s">
        <v>891</v>
      </c>
      <c r="BN1311" s="162"/>
      <c r="BO1311" s="162"/>
      <c r="BP1311" s="162"/>
      <c r="BQ1311" s="162"/>
      <c r="BR1311" s="162"/>
      <c r="BS1311" s="56">
        <v>19.316929500000001</v>
      </c>
      <c r="BT1311" s="162"/>
      <c r="BU1311" s="158"/>
      <c r="BV1311" s="162"/>
      <c r="BW1311" s="162"/>
      <c r="BX1311" s="162"/>
      <c r="BY1311" s="162"/>
      <c r="BZ1311" s="162"/>
      <c r="CA1311" s="162"/>
      <c r="CB1311" s="162"/>
      <c r="CC1311" s="56"/>
      <c r="CD1311" s="56"/>
      <c r="CE1311" s="56"/>
      <c r="CF1311" s="56"/>
      <c r="CG1311" s="56"/>
      <c r="CH1311" s="56"/>
      <c r="CI1311" s="103">
        <v>19.316929500000001</v>
      </c>
      <c r="CJ1311" s="103">
        <f t="shared" si="300"/>
        <v>1.285938094792537</v>
      </c>
      <c r="CK1311" s="57">
        <f t="shared" si="307"/>
        <v>1.5640081542591737</v>
      </c>
      <c r="CL1311" s="160">
        <f t="shared" si="308"/>
        <v>1.6134191146451824</v>
      </c>
      <c r="CM1311" s="160">
        <v>0.73135249861393092</v>
      </c>
      <c r="CN1311" s="160">
        <f t="shared" si="302"/>
        <v>3.699080486495923</v>
      </c>
      <c r="CO1311" s="55" t="s">
        <v>892</v>
      </c>
      <c r="CP1311" s="497" t="s">
        <v>893</v>
      </c>
      <c r="CQ1311" s="149">
        <v>0.89160526179492461</v>
      </c>
      <c r="CR1311" s="349">
        <f t="shared" si="303"/>
        <v>2.479321422901577</v>
      </c>
      <c r="CS1311" s="61" t="s">
        <v>539</v>
      </c>
      <c r="CT1311" s="61"/>
      <c r="CU1311" s="111">
        <f t="shared" si="309"/>
        <v>3.8826046344477261</v>
      </c>
      <c r="CV1311" s="331">
        <f t="shared" si="310"/>
        <v>3.7636998675177646</v>
      </c>
      <c r="CW1311" s="326">
        <f t="shared" si="301"/>
        <v>1</v>
      </c>
      <c r="CX1311" s="326" t="s">
        <v>539</v>
      </c>
      <c r="CY1311" s="161" t="s">
        <v>5921</v>
      </c>
    </row>
    <row r="1312" spans="1:103" ht="11.25" customHeight="1" x14ac:dyDescent="0.2">
      <c r="A1312" s="72">
        <v>98</v>
      </c>
      <c r="B1312" s="149">
        <v>244</v>
      </c>
      <c r="C1312" s="54" t="s">
        <v>1072</v>
      </c>
      <c r="D1312" s="54" t="s">
        <v>6526</v>
      </c>
      <c r="E1312" s="59"/>
      <c r="F1312" s="59" t="s">
        <v>1073</v>
      </c>
      <c r="G1312" s="151">
        <v>57966957</v>
      </c>
      <c r="H1312" s="55" t="s">
        <v>1074</v>
      </c>
      <c r="I1312" s="55" t="s">
        <v>8136</v>
      </c>
      <c r="J1312" s="55" t="s">
        <v>1075</v>
      </c>
      <c r="K1312" s="55" t="s">
        <v>1076</v>
      </c>
      <c r="L1312" s="55" t="s">
        <v>5248</v>
      </c>
      <c r="M1312" s="55" t="s">
        <v>6082</v>
      </c>
      <c r="N1312" s="60" t="s">
        <v>6082</v>
      </c>
      <c r="O1312" s="55" t="s">
        <v>6083</v>
      </c>
      <c r="P1312" s="67"/>
      <c r="Q1312" s="67"/>
      <c r="R1312" s="67"/>
      <c r="S1312" s="67"/>
      <c r="T1312" s="56">
        <v>198.18</v>
      </c>
      <c r="U1312" s="103">
        <v>890.00000000000011</v>
      </c>
      <c r="V1312" s="103">
        <v>14010</v>
      </c>
      <c r="W1312" s="103">
        <v>1435.687185676614</v>
      </c>
      <c r="X1312" s="103">
        <v>890.00000000000011</v>
      </c>
      <c r="Y1312" s="162">
        <v>3.4</v>
      </c>
      <c r="Z1312" s="56">
        <v>4.24</v>
      </c>
      <c r="AA1312" s="56">
        <v>0.59</v>
      </c>
      <c r="AB1312" s="56">
        <v>0.76</v>
      </c>
      <c r="AC1312" s="56">
        <v>0.78900000000000003</v>
      </c>
      <c r="AD1312" s="56">
        <v>0.73</v>
      </c>
      <c r="AE1312" s="56">
        <v>0.67</v>
      </c>
      <c r="AF1312" s="56">
        <f t="shared" si="304"/>
        <v>0.59</v>
      </c>
      <c r="AG1312" s="57">
        <v>0.11</v>
      </c>
      <c r="AH1312" s="103">
        <v>3.3099999999999999E-10</v>
      </c>
      <c r="AI1312" s="103">
        <v>3.3099999999999999E-10</v>
      </c>
      <c r="AJ1312" s="62">
        <f t="shared" si="305"/>
        <v>-7.8687383325369327</v>
      </c>
      <c r="AK1312" s="62">
        <f t="shared" si="311"/>
        <v>-7.8687383325369327</v>
      </c>
      <c r="AL1312" s="62">
        <f t="shared" si="306"/>
        <v>-7.8687383325369327</v>
      </c>
      <c r="AM1312" s="62">
        <v>-14.604329999999999</v>
      </c>
      <c r="AN1312" s="154">
        <v>-7.58</v>
      </c>
      <c r="AO1312" s="410">
        <v>5.59</v>
      </c>
      <c r="AP1312" s="410">
        <v>-1.54</v>
      </c>
      <c r="AQ1312" s="154" t="s">
        <v>6311</v>
      </c>
      <c r="AR1312" s="154" t="s">
        <v>6311</v>
      </c>
      <c r="AS1312" s="149" t="s">
        <v>6</v>
      </c>
      <c r="AT1312" s="58" t="s">
        <v>266</v>
      </c>
      <c r="AU1312" s="56">
        <v>8</v>
      </c>
      <c r="AV1312" s="56">
        <v>144</v>
      </c>
      <c r="AW1312" s="56">
        <v>120</v>
      </c>
      <c r="AX1312" s="56">
        <v>26</v>
      </c>
      <c r="AY1312" s="56" t="s">
        <v>267</v>
      </c>
      <c r="AZ1312" s="56" t="s">
        <v>268</v>
      </c>
      <c r="BA1312" s="56">
        <v>3</v>
      </c>
      <c r="BB1312" s="55" t="s">
        <v>888</v>
      </c>
      <c r="BC1312" s="55" t="s">
        <v>270</v>
      </c>
      <c r="BD1312" s="55" t="s">
        <v>8374</v>
      </c>
      <c r="BE1312" s="56" t="s">
        <v>889</v>
      </c>
      <c r="BF1312" s="56" t="s">
        <v>272</v>
      </c>
      <c r="BG1312" s="56" t="s">
        <v>272</v>
      </c>
      <c r="BH1312" s="56" t="s">
        <v>890</v>
      </c>
      <c r="BI1312" s="153">
        <v>1.9818E-4</v>
      </c>
      <c r="BJ1312" s="153">
        <v>15.8544</v>
      </c>
      <c r="BK1312" s="56"/>
      <c r="BL1312" s="153">
        <v>1.5845860346962637</v>
      </c>
      <c r="BM1312" s="56" t="s">
        <v>891</v>
      </c>
      <c r="BN1312" s="162"/>
      <c r="BO1312" s="162"/>
      <c r="BP1312" s="162"/>
      <c r="BQ1312" s="162"/>
      <c r="BR1312" s="162"/>
      <c r="BS1312" s="172">
        <v>15.366877200000003</v>
      </c>
      <c r="BT1312" s="162"/>
      <c r="BU1312" s="173"/>
      <c r="BV1312" s="162"/>
      <c r="BW1312" s="162"/>
      <c r="BX1312" s="162"/>
      <c r="BY1312" s="162"/>
      <c r="BZ1312" s="162"/>
      <c r="CA1312" s="162"/>
      <c r="CB1312" s="162"/>
      <c r="CC1312" s="172"/>
      <c r="CD1312" s="56"/>
      <c r="CE1312" s="56"/>
      <c r="CF1312" s="56"/>
      <c r="CG1312" s="56"/>
      <c r="CH1312" s="172"/>
      <c r="CI1312" s="103">
        <v>15.366877200000003</v>
      </c>
      <c r="CJ1312" s="103">
        <f t="shared" si="300"/>
        <v>1.1865856207462491</v>
      </c>
      <c r="CK1312" s="57">
        <f t="shared" si="307"/>
        <v>9.9946137015356221E-2</v>
      </c>
      <c r="CL1312" s="160">
        <f t="shared" si="308"/>
        <v>0.10311698428202858</v>
      </c>
      <c r="CM1312" s="160">
        <v>1.4623979978989561</v>
      </c>
      <c r="CN1312" s="160">
        <f t="shared" si="302"/>
        <v>0.54670344827586204</v>
      </c>
      <c r="CO1312" s="55" t="s">
        <v>892</v>
      </c>
      <c r="CP1312" s="497" t="s">
        <v>893</v>
      </c>
      <c r="CQ1312" s="149">
        <v>1.6238639164548616</v>
      </c>
      <c r="CR1312" s="349">
        <f t="shared" si="303"/>
        <v>0.36536059368012092</v>
      </c>
      <c r="CS1312" s="61" t="s">
        <v>539</v>
      </c>
      <c r="CT1312" s="61"/>
      <c r="CU1312" s="111">
        <f t="shared" si="309"/>
        <v>57.916777001380602</v>
      </c>
      <c r="CV1312" s="331">
        <f t="shared" si="310"/>
        <v>56.135836108588158</v>
      </c>
      <c r="CW1312" s="326">
        <f t="shared" si="301"/>
        <v>1</v>
      </c>
      <c r="CX1312" s="326" t="s">
        <v>539</v>
      </c>
      <c r="CY1312" s="161" t="s">
        <v>5921</v>
      </c>
    </row>
    <row r="1313" spans="1:103" ht="11.25" customHeight="1" x14ac:dyDescent="0.2">
      <c r="A1313" s="72">
        <v>107</v>
      </c>
      <c r="B1313" s="149">
        <v>390</v>
      </c>
      <c r="C1313" s="54" t="s">
        <v>1349</v>
      </c>
      <c r="D1313" s="54" t="s">
        <v>6431</v>
      </c>
      <c r="E1313" s="59"/>
      <c r="F1313" s="59" t="s">
        <v>1350</v>
      </c>
      <c r="G1313" s="151">
        <v>56382</v>
      </c>
      <c r="H1313" s="55" t="s">
        <v>1351</v>
      </c>
      <c r="I1313" s="55" t="s">
        <v>7980</v>
      </c>
      <c r="J1313" s="55" t="s">
        <v>1352</v>
      </c>
      <c r="K1313" s="55" t="s">
        <v>628</v>
      </c>
      <c r="L1313" s="55" t="s">
        <v>617</v>
      </c>
      <c r="M1313" s="55" t="s">
        <v>618</v>
      </c>
      <c r="N1313" s="60" t="s">
        <v>6376</v>
      </c>
      <c r="O1313" s="55" t="s">
        <v>1353</v>
      </c>
      <c r="P1313" s="67" t="s">
        <v>6178</v>
      </c>
      <c r="Q1313" s="67" t="s">
        <v>6173</v>
      </c>
      <c r="R1313" s="67" t="s">
        <v>6177</v>
      </c>
      <c r="S1313" s="67" t="s">
        <v>6176</v>
      </c>
      <c r="T1313" s="56">
        <v>291.26</v>
      </c>
      <c r="U1313" s="103">
        <v>11</v>
      </c>
      <c r="V1313" s="103">
        <v>3.0139999999999998</v>
      </c>
      <c r="W1313" s="103">
        <v>6.8278008475008045</v>
      </c>
      <c r="X1313" s="103">
        <v>11</v>
      </c>
      <c r="Y1313" s="162">
        <v>7</v>
      </c>
      <c r="Z1313" s="56">
        <v>3.73</v>
      </c>
      <c r="AA1313" s="56">
        <v>3.83</v>
      </c>
      <c r="AB1313" s="56">
        <v>3.48</v>
      </c>
      <c r="AC1313" s="56">
        <v>0.87450000000000006</v>
      </c>
      <c r="AD1313" s="56">
        <v>3.57</v>
      </c>
      <c r="AE1313" s="56">
        <v>3.84</v>
      </c>
      <c r="AF1313" s="56">
        <f t="shared" si="304"/>
        <v>3.83</v>
      </c>
      <c r="AG1313" s="57">
        <v>3</v>
      </c>
      <c r="AH1313" s="103">
        <v>2.96E-7</v>
      </c>
      <c r="AI1313" s="103">
        <v>2.9799999999999999E-7</v>
      </c>
      <c r="AJ1313" s="62">
        <f t="shared" si="305"/>
        <v>-4.9172746152537128</v>
      </c>
      <c r="AK1313" s="62">
        <f t="shared" si="311"/>
        <v>-4.9143500622363963</v>
      </c>
      <c r="AL1313" s="62">
        <f t="shared" si="306"/>
        <v>-4.9143500622363963</v>
      </c>
      <c r="AM1313" s="62">
        <v>-11.31479</v>
      </c>
      <c r="AN1313" s="154">
        <v>-4.29</v>
      </c>
      <c r="AO1313" s="410"/>
      <c r="AP1313" s="410"/>
      <c r="AQ1313" s="154" t="s">
        <v>6314</v>
      </c>
      <c r="AR1313" s="154" t="s">
        <v>6314</v>
      </c>
      <c r="AS1313" s="149" t="s">
        <v>6</v>
      </c>
      <c r="AT1313" s="58" t="s">
        <v>266</v>
      </c>
      <c r="AU1313" s="56">
        <v>8</v>
      </c>
      <c r="AV1313" s="56">
        <v>144</v>
      </c>
      <c r="AW1313" s="56">
        <v>120</v>
      </c>
      <c r="AX1313" s="56">
        <v>26</v>
      </c>
      <c r="AY1313" s="56" t="s">
        <v>267</v>
      </c>
      <c r="AZ1313" s="56" t="s">
        <v>268</v>
      </c>
      <c r="BA1313" s="56">
        <v>2</v>
      </c>
      <c r="BB1313" s="55" t="s">
        <v>888</v>
      </c>
      <c r="BC1313" s="55" t="s">
        <v>270</v>
      </c>
      <c r="BD1313" s="55" t="s">
        <v>8374</v>
      </c>
      <c r="BE1313" s="56" t="s">
        <v>889</v>
      </c>
      <c r="BF1313" s="56" t="s">
        <v>272</v>
      </c>
      <c r="BG1313" s="56" t="s">
        <v>272</v>
      </c>
      <c r="BH1313" s="56" t="s">
        <v>890</v>
      </c>
      <c r="BI1313" s="153">
        <v>2.9126E-4</v>
      </c>
      <c r="BJ1313" s="153">
        <v>23.300799999999999</v>
      </c>
      <c r="BK1313" s="56"/>
      <c r="BL1313" s="153">
        <v>6.6860226757664334</v>
      </c>
      <c r="BM1313" s="56" t="s">
        <v>891</v>
      </c>
      <c r="BN1313" s="162"/>
      <c r="BO1313" s="162"/>
      <c r="BP1313" s="162"/>
      <c r="BQ1313" s="162"/>
      <c r="BR1313" s="162"/>
      <c r="BS1313" s="56">
        <v>16.441627</v>
      </c>
      <c r="BT1313" s="162"/>
      <c r="BU1313" s="158"/>
      <c r="BV1313" s="162"/>
      <c r="BW1313" s="162"/>
      <c r="BX1313" s="162"/>
      <c r="BY1313" s="162"/>
      <c r="BZ1313" s="162"/>
      <c r="CA1313" s="162"/>
      <c r="CB1313" s="162"/>
      <c r="CC1313" s="56"/>
      <c r="CD1313" s="56"/>
      <c r="CE1313" s="56"/>
      <c r="CF1313" s="56"/>
      <c r="CG1313" s="56"/>
      <c r="CH1313" s="56"/>
      <c r="CI1313" s="103">
        <v>16.441627</v>
      </c>
      <c r="CJ1313" s="103">
        <f t="shared" si="300"/>
        <v>1.2159447914375985</v>
      </c>
      <c r="CK1313" s="57">
        <f t="shared" si="307"/>
        <v>0.28694391075698833</v>
      </c>
      <c r="CL1313" s="160">
        <f t="shared" si="308"/>
        <v>0.40665213216225093</v>
      </c>
      <c r="CM1313" s="160">
        <v>-0.81902829642671837</v>
      </c>
      <c r="CN1313" s="160">
        <f t="shared" si="302"/>
        <v>153.60279863670755</v>
      </c>
      <c r="CO1313" s="55" t="s">
        <v>892</v>
      </c>
      <c r="CP1313" s="497" t="s">
        <v>893</v>
      </c>
      <c r="CQ1313" s="149">
        <v>-0.23289357127406324</v>
      </c>
      <c r="CR1313" s="349">
        <f t="shared" si="303"/>
        <v>28.108544817242269</v>
      </c>
      <c r="CS1313" s="61" t="s">
        <v>539</v>
      </c>
      <c r="CT1313" s="61"/>
      <c r="CU1313" s="111">
        <f t="shared" si="309"/>
        <v>0.66903354515949054</v>
      </c>
      <c r="CV1313" s="331">
        <f t="shared" si="310"/>
        <v>0.47208679530316561</v>
      </c>
      <c r="CW1313" s="326">
        <f t="shared" si="301"/>
        <v>0</v>
      </c>
      <c r="CX1313" s="326" t="s">
        <v>539</v>
      </c>
      <c r="CY1313" s="161" t="s">
        <v>5921</v>
      </c>
    </row>
    <row r="1314" spans="1:103" ht="11.25" customHeight="1" x14ac:dyDescent="0.2">
      <c r="A1314" s="72">
        <v>111</v>
      </c>
      <c r="B1314" s="149">
        <v>389</v>
      </c>
      <c r="C1314" s="54" t="s">
        <v>1345</v>
      </c>
      <c r="D1314" s="54" t="s">
        <v>6534</v>
      </c>
      <c r="E1314" s="59"/>
      <c r="F1314" s="59" t="s">
        <v>1346</v>
      </c>
      <c r="G1314" s="151">
        <v>76738620</v>
      </c>
      <c r="H1314" s="55" t="s">
        <v>1347</v>
      </c>
      <c r="I1314" s="55" t="s">
        <v>7901</v>
      </c>
      <c r="J1314" s="55" t="s">
        <v>1348</v>
      </c>
      <c r="K1314" s="55" t="s">
        <v>1112</v>
      </c>
      <c r="L1314" s="55" t="s">
        <v>6005</v>
      </c>
      <c r="M1314" s="60" t="s">
        <v>2342</v>
      </c>
      <c r="N1314" s="60" t="s">
        <v>2342</v>
      </c>
      <c r="O1314" s="55"/>
      <c r="P1314" s="67"/>
      <c r="Q1314" s="67"/>
      <c r="R1314" s="67"/>
      <c r="S1314" s="67"/>
      <c r="T1314" s="56">
        <v>293.79000000000002</v>
      </c>
      <c r="U1314" s="103">
        <v>26</v>
      </c>
      <c r="V1314" s="103">
        <v>79.87</v>
      </c>
      <c r="W1314" s="103">
        <v>61.381431028360808</v>
      </c>
      <c r="X1314" s="103">
        <v>26</v>
      </c>
      <c r="Y1314" s="162">
        <v>7.03</v>
      </c>
      <c r="Z1314" s="56">
        <v>3.36</v>
      </c>
      <c r="AA1314" s="56">
        <v>3.2</v>
      </c>
      <c r="AB1314" s="56">
        <v>3.48</v>
      </c>
      <c r="AC1314" s="56">
        <v>0.83650000000000002</v>
      </c>
      <c r="AD1314" s="56">
        <v>3.37</v>
      </c>
      <c r="AE1314" s="56">
        <v>2.99</v>
      </c>
      <c r="AF1314" s="56">
        <f t="shared" si="304"/>
        <v>3.2</v>
      </c>
      <c r="AG1314" s="57">
        <v>3.49</v>
      </c>
      <c r="AH1314" s="103">
        <v>3.9E-10</v>
      </c>
      <c r="AI1314" s="103">
        <v>8.2800000000000001E-11</v>
      </c>
      <c r="AJ1314" s="62">
        <f t="shared" si="305"/>
        <v>-7.7975017192861529</v>
      </c>
      <c r="AK1314" s="62">
        <f t="shared" si="311"/>
        <v>-8.4705359895277716</v>
      </c>
      <c r="AL1314" s="62">
        <f t="shared" si="306"/>
        <v>-8.4705359895277716</v>
      </c>
      <c r="AM1314" s="62">
        <v>-13.015940000000001</v>
      </c>
      <c r="AN1314" s="154">
        <v>-7.92</v>
      </c>
      <c r="AO1314" s="410">
        <v>13.92</v>
      </c>
      <c r="AP1314" s="410">
        <v>2.57</v>
      </c>
      <c r="AQ1314" s="154" t="s">
        <v>6311</v>
      </c>
      <c r="AR1314" s="154" t="s">
        <v>6311</v>
      </c>
      <c r="AS1314" s="149" t="s">
        <v>6</v>
      </c>
      <c r="AT1314" s="58" t="s">
        <v>266</v>
      </c>
      <c r="AU1314" s="56">
        <v>8</v>
      </c>
      <c r="AV1314" s="56">
        <v>144</v>
      </c>
      <c r="AW1314" s="56">
        <v>120</v>
      </c>
      <c r="AX1314" s="56">
        <v>26</v>
      </c>
      <c r="AY1314" s="56" t="s">
        <v>267</v>
      </c>
      <c r="AZ1314" s="56" t="s">
        <v>268</v>
      </c>
      <c r="BA1314" s="56">
        <v>3</v>
      </c>
      <c r="BB1314" s="55" t="s">
        <v>888</v>
      </c>
      <c r="BC1314" s="55" t="s">
        <v>270</v>
      </c>
      <c r="BD1314" s="55" t="s">
        <v>8374</v>
      </c>
      <c r="BE1314" s="56" t="s">
        <v>889</v>
      </c>
      <c r="BF1314" s="56" t="s">
        <v>272</v>
      </c>
      <c r="BG1314" s="56" t="s">
        <v>272</v>
      </c>
      <c r="BH1314" s="56" t="s">
        <v>890</v>
      </c>
      <c r="BI1314" s="153">
        <v>2.9378999999999999E-4</v>
      </c>
      <c r="BJ1314" s="153">
        <v>23.503200000000003</v>
      </c>
      <c r="BK1314" s="56"/>
      <c r="BL1314" s="153">
        <v>14.495093103729074</v>
      </c>
      <c r="BM1314" s="56" t="s">
        <v>891</v>
      </c>
      <c r="BN1314" s="162"/>
      <c r="BO1314" s="162"/>
      <c r="BP1314" s="162"/>
      <c r="BQ1314" s="162"/>
      <c r="BR1314" s="162"/>
      <c r="BS1314" s="56">
        <v>14.037286200000002</v>
      </c>
      <c r="BT1314" s="162"/>
      <c r="BU1314" s="158"/>
      <c r="BV1314" s="162"/>
      <c r="BW1314" s="162"/>
      <c r="BX1314" s="162"/>
      <c r="BY1314" s="162"/>
      <c r="BZ1314" s="162"/>
      <c r="CA1314" s="162"/>
      <c r="CB1314" s="162"/>
      <c r="CC1314" s="56"/>
      <c r="CD1314" s="56"/>
      <c r="CE1314" s="56"/>
      <c r="CF1314" s="56"/>
      <c r="CG1314" s="56"/>
      <c r="CH1314" s="56"/>
      <c r="CI1314" s="103">
        <v>14.037286200000002</v>
      </c>
      <c r="CJ1314" s="103">
        <f t="shared" si="300"/>
        <v>1.1472831546396061</v>
      </c>
      <c r="CK1314" s="57">
        <f t="shared" si="307"/>
        <v>0.6167284924490738</v>
      </c>
      <c r="CL1314" s="160">
        <f t="shared" si="308"/>
        <v>1.0326136332341127</v>
      </c>
      <c r="CM1314" s="160">
        <v>1.3122828436339211</v>
      </c>
      <c r="CN1314" s="160">
        <f t="shared" si="302"/>
        <v>1.1451019456549159</v>
      </c>
      <c r="CO1314" s="55" t="s">
        <v>892</v>
      </c>
      <c r="CP1314" s="497" t="s">
        <v>893</v>
      </c>
      <c r="CQ1314" s="149">
        <v>1.3603806215390062</v>
      </c>
      <c r="CR1314" s="349">
        <f t="shared" si="303"/>
        <v>0.61221297990005119</v>
      </c>
      <c r="CS1314" s="61" t="s">
        <v>539</v>
      </c>
      <c r="CT1314" s="61"/>
      <c r="CU1314" s="111">
        <f t="shared" si="309"/>
        <v>1.8522098666051274</v>
      </c>
      <c r="CV1314" s="331">
        <f t="shared" si="310"/>
        <v>1.1062323428299123</v>
      </c>
      <c r="CW1314" s="326">
        <f t="shared" si="301"/>
        <v>0</v>
      </c>
      <c r="CX1314" s="326" t="s">
        <v>539</v>
      </c>
      <c r="CY1314" s="161" t="s">
        <v>5921</v>
      </c>
    </row>
    <row r="1315" spans="1:103" ht="11.25" customHeight="1" x14ac:dyDescent="0.2">
      <c r="A1315" s="72">
        <v>113</v>
      </c>
      <c r="B1315" s="149">
        <v>344</v>
      </c>
      <c r="C1315" s="54" t="s">
        <v>1282</v>
      </c>
      <c r="D1315" s="54" t="s">
        <v>6433</v>
      </c>
      <c r="E1315" s="59"/>
      <c r="F1315" s="59" t="s">
        <v>1283</v>
      </c>
      <c r="G1315" s="151">
        <v>58899</v>
      </c>
      <c r="H1315" s="55" t="s">
        <v>1284</v>
      </c>
      <c r="I1315" s="55" t="s">
        <v>7983</v>
      </c>
      <c r="J1315" s="55" t="s">
        <v>1285</v>
      </c>
      <c r="K1315" s="55" t="s">
        <v>426</v>
      </c>
      <c r="L1315" s="55" t="s">
        <v>617</v>
      </c>
      <c r="M1315" s="55" t="s">
        <v>1286</v>
      </c>
      <c r="N1315" s="60" t="s">
        <v>6376</v>
      </c>
      <c r="O1315" s="55" t="s">
        <v>1287</v>
      </c>
      <c r="P1315" s="67" t="s">
        <v>6183</v>
      </c>
      <c r="Q1315" s="67" t="s">
        <v>6176</v>
      </c>
      <c r="R1315" s="67" t="s">
        <v>6181</v>
      </c>
      <c r="S1315" s="67" t="s">
        <v>6173</v>
      </c>
      <c r="T1315" s="56">
        <v>290.83</v>
      </c>
      <c r="U1315" s="103">
        <v>8</v>
      </c>
      <c r="V1315" s="103">
        <v>4.0439999999999996</v>
      </c>
      <c r="W1315" s="103">
        <v>6.2178351448993316</v>
      </c>
      <c r="X1315" s="103">
        <v>8</v>
      </c>
      <c r="Y1315" s="162">
        <v>7</v>
      </c>
      <c r="Z1315" s="56">
        <v>4.26</v>
      </c>
      <c r="AA1315" s="56">
        <v>4.1399999999999997</v>
      </c>
      <c r="AB1315" s="56">
        <v>3.79</v>
      </c>
      <c r="AC1315" s="56">
        <v>0.93030000000000002</v>
      </c>
      <c r="AD1315" s="56">
        <v>3.82</v>
      </c>
      <c r="AE1315" s="56">
        <v>3.99</v>
      </c>
      <c r="AF1315" s="56">
        <f t="shared" si="304"/>
        <v>4.1399999999999997</v>
      </c>
      <c r="AG1315" s="57">
        <v>3.92</v>
      </c>
      <c r="AH1315" s="103">
        <v>2.5599999999999999E-4</v>
      </c>
      <c r="AI1315" s="103">
        <v>5.1399999999999999E-6</v>
      </c>
      <c r="AJ1315" s="62">
        <f t="shared" si="305"/>
        <v>-1.9803263610008022</v>
      </c>
      <c r="AK1315" s="62">
        <f t="shared" si="311"/>
        <v>-3.6776032073173761</v>
      </c>
      <c r="AL1315" s="62">
        <f t="shared" si="306"/>
        <v>-3.6776032073173761</v>
      </c>
      <c r="AM1315" s="62">
        <v>-6.2972599999999996</v>
      </c>
      <c r="AN1315" s="154">
        <v>-3.77</v>
      </c>
      <c r="AO1315" s="410"/>
      <c r="AP1315" s="410"/>
      <c r="AQ1315" s="154" t="s">
        <v>6311</v>
      </c>
      <c r="AR1315" s="154" t="s">
        <v>6312</v>
      </c>
      <c r="AS1315" s="149" t="s">
        <v>6</v>
      </c>
      <c r="AT1315" s="58" t="s">
        <v>266</v>
      </c>
      <c r="AU1315" s="56">
        <v>8</v>
      </c>
      <c r="AV1315" s="56">
        <v>144</v>
      </c>
      <c r="AW1315" s="56">
        <v>120</v>
      </c>
      <c r="AX1315" s="56">
        <v>26</v>
      </c>
      <c r="AY1315" s="56" t="s">
        <v>267</v>
      </c>
      <c r="AZ1315" s="56" t="s">
        <v>268</v>
      </c>
      <c r="BA1315" s="56">
        <v>2</v>
      </c>
      <c r="BB1315" s="55" t="s">
        <v>888</v>
      </c>
      <c r="BC1315" s="55" t="s">
        <v>270</v>
      </c>
      <c r="BD1315" s="55" t="s">
        <v>8374</v>
      </c>
      <c r="BE1315" s="56" t="s">
        <v>889</v>
      </c>
      <c r="BF1315" s="56" t="s">
        <v>272</v>
      </c>
      <c r="BG1315" s="56" t="s">
        <v>272</v>
      </c>
      <c r="BH1315" s="56" t="s">
        <v>890</v>
      </c>
      <c r="BI1315" s="153">
        <v>2.9082999999999995E-4</v>
      </c>
      <c r="BJ1315" s="153">
        <v>23.266400000000001</v>
      </c>
      <c r="BK1315" s="56"/>
      <c r="BL1315" s="153">
        <v>2.231172781737881</v>
      </c>
      <c r="BM1315" s="56" t="s">
        <v>891</v>
      </c>
      <c r="BN1315" s="162"/>
      <c r="BO1315" s="162"/>
      <c r="BP1315" s="162"/>
      <c r="BQ1315" s="162"/>
      <c r="BR1315" s="162"/>
      <c r="BS1315" s="56">
        <v>13.426144191974105</v>
      </c>
      <c r="BT1315" s="162"/>
      <c r="BU1315" s="158"/>
      <c r="BV1315" s="162"/>
      <c r="BW1315" s="162"/>
      <c r="BX1315" s="162"/>
      <c r="BY1315" s="162"/>
      <c r="BZ1315" s="162"/>
      <c r="CA1315" s="162"/>
      <c r="CB1315" s="162"/>
      <c r="CC1315" s="56"/>
      <c r="CD1315" s="56"/>
      <c r="CE1315" s="56"/>
      <c r="CF1315" s="56"/>
      <c r="CG1315" s="56"/>
      <c r="CH1315" s="56"/>
      <c r="CI1315" s="103">
        <v>13.426144191974105</v>
      </c>
      <c r="CJ1315" s="103">
        <f t="shared" si="300"/>
        <v>1.1279513070409484</v>
      </c>
      <c r="CK1315" s="57">
        <f t="shared" si="307"/>
        <v>9.5896777401655642E-2</v>
      </c>
      <c r="CL1315" s="160">
        <f t="shared" si="308"/>
        <v>0.16618120212589657</v>
      </c>
      <c r="CM1315" s="160">
        <v>-1.4143096872808381</v>
      </c>
      <c r="CN1315" s="160">
        <f t="shared" si="302"/>
        <v>604.00269661934487</v>
      </c>
      <c r="CO1315" s="55" t="s">
        <v>892</v>
      </c>
      <c r="CP1315" s="497" t="s">
        <v>893</v>
      </c>
      <c r="CQ1315" s="149">
        <v>-1.1048390316279795</v>
      </c>
      <c r="CR1315" s="349">
        <f t="shared" si="303"/>
        <v>170.91899821079835</v>
      </c>
      <c r="CS1315" s="61" t="s">
        <v>539</v>
      </c>
      <c r="CT1315" s="61"/>
      <c r="CU1315" s="111">
        <f t="shared" si="309"/>
        <v>0.59585238215914949</v>
      </c>
      <c r="CV1315" s="331">
        <f t="shared" si="310"/>
        <v>0.34384348244679019</v>
      </c>
      <c r="CW1315" s="326">
        <f t="shared" si="301"/>
        <v>0</v>
      </c>
      <c r="CX1315" s="326" t="s">
        <v>539</v>
      </c>
      <c r="CY1315" s="161" t="s">
        <v>5921</v>
      </c>
    </row>
    <row r="1316" spans="1:103" ht="11.25" customHeight="1" x14ac:dyDescent="0.2">
      <c r="A1316" s="72">
        <v>114</v>
      </c>
      <c r="B1316" s="149">
        <v>202</v>
      </c>
      <c r="C1316" s="54" t="s">
        <v>977</v>
      </c>
      <c r="D1316" s="54" t="s">
        <v>6447</v>
      </c>
      <c r="E1316" s="59"/>
      <c r="F1316" s="59" t="s">
        <v>978</v>
      </c>
      <c r="G1316" s="151">
        <v>80057</v>
      </c>
      <c r="H1316" s="55" t="s">
        <v>979</v>
      </c>
      <c r="I1316" s="55" t="s">
        <v>979</v>
      </c>
      <c r="J1316" s="55" t="s">
        <v>980</v>
      </c>
      <c r="K1316" s="55" t="s">
        <v>376</v>
      </c>
      <c r="L1316" s="55" t="s">
        <v>5492</v>
      </c>
      <c r="M1316" s="55" t="s">
        <v>602</v>
      </c>
      <c r="N1316" s="60" t="s">
        <v>6386</v>
      </c>
      <c r="O1316" s="55" t="s">
        <v>981</v>
      </c>
      <c r="P1316" s="67"/>
      <c r="Q1316" s="67"/>
      <c r="R1316" s="67"/>
      <c r="S1316" s="67"/>
      <c r="T1316" s="56">
        <v>228.29</v>
      </c>
      <c r="U1316" s="103">
        <v>119.99999999999999</v>
      </c>
      <c r="V1316" s="103">
        <v>172.7</v>
      </c>
      <c r="W1316" s="103">
        <v>88.815116150744203</v>
      </c>
      <c r="X1316" s="103">
        <v>119.99999999999999</v>
      </c>
      <c r="Y1316" s="162">
        <v>6.76</v>
      </c>
      <c r="Z1316" s="56">
        <v>3.64</v>
      </c>
      <c r="AA1316" s="56">
        <v>3.32</v>
      </c>
      <c r="AB1316" s="56">
        <v>3.73</v>
      </c>
      <c r="AC1316" s="56">
        <v>0.77510000000000001</v>
      </c>
      <c r="AD1316" s="56">
        <v>3.63</v>
      </c>
      <c r="AE1316" s="56">
        <v>3.43</v>
      </c>
      <c r="AF1316" s="56">
        <f t="shared" si="304"/>
        <v>3.32</v>
      </c>
      <c r="AG1316" s="57">
        <v>3.7</v>
      </c>
      <c r="AH1316" s="103">
        <v>9.1600000000000006E-12</v>
      </c>
      <c r="AI1316" s="103"/>
      <c r="AJ1316" s="62">
        <f t="shared" si="305"/>
        <v>-9.4266708526448006</v>
      </c>
      <c r="AK1316" s="62"/>
      <c r="AL1316" s="62">
        <f t="shared" si="306"/>
        <v>-9.4266708526448006</v>
      </c>
      <c r="AM1316" s="62">
        <v>-13.641390000000001</v>
      </c>
      <c r="AN1316" s="154">
        <v>-10.199999999999999</v>
      </c>
      <c r="AO1316" s="410">
        <v>10.29</v>
      </c>
      <c r="AP1316" s="410"/>
      <c r="AQ1316" s="154" t="s">
        <v>6311</v>
      </c>
      <c r="AR1316" s="154" t="s">
        <v>6311</v>
      </c>
      <c r="AS1316" s="149" t="s">
        <v>6</v>
      </c>
      <c r="AT1316" s="58" t="s">
        <v>266</v>
      </c>
      <c r="AU1316" s="56">
        <v>8</v>
      </c>
      <c r="AV1316" s="56">
        <v>144</v>
      </c>
      <c r="AW1316" s="56">
        <v>120</v>
      </c>
      <c r="AX1316" s="56">
        <v>26</v>
      </c>
      <c r="AY1316" s="56" t="s">
        <v>267</v>
      </c>
      <c r="AZ1316" s="56" t="s">
        <v>268</v>
      </c>
      <c r="BA1316" s="56">
        <v>2</v>
      </c>
      <c r="BB1316" s="55" t="s">
        <v>888</v>
      </c>
      <c r="BC1316" s="55" t="s">
        <v>270</v>
      </c>
      <c r="BD1316" s="55" t="s">
        <v>8374</v>
      </c>
      <c r="BE1316" s="56" t="s">
        <v>889</v>
      </c>
      <c r="BF1316" s="56" t="s">
        <v>272</v>
      </c>
      <c r="BG1316" s="56" t="s">
        <v>272</v>
      </c>
      <c r="BH1316" s="56" t="s">
        <v>890</v>
      </c>
      <c r="BI1316" s="153">
        <v>2.2828999999999997E-4</v>
      </c>
      <c r="BJ1316" s="153">
        <v>18.263200000000001</v>
      </c>
      <c r="BK1316" s="56"/>
      <c r="BL1316" s="153">
        <v>6.3125217586499822</v>
      </c>
      <c r="BM1316" s="56" t="s">
        <v>891</v>
      </c>
      <c r="BN1316" s="162"/>
      <c r="BO1316" s="162"/>
      <c r="BP1316" s="162"/>
      <c r="BQ1316" s="162"/>
      <c r="BR1316" s="162"/>
      <c r="BS1316" s="56">
        <v>10.538989985853483</v>
      </c>
      <c r="BT1316" s="162"/>
      <c r="BU1316" s="158"/>
      <c r="BV1316" s="162"/>
      <c r="BW1316" s="162"/>
      <c r="BX1316" s="162"/>
      <c r="BY1316" s="162"/>
      <c r="BZ1316" s="162"/>
      <c r="CA1316" s="162"/>
      <c r="CB1316" s="162"/>
      <c r="CC1316" s="56"/>
      <c r="CD1316" s="56"/>
      <c r="CE1316" s="56"/>
      <c r="CF1316" s="56"/>
      <c r="CG1316" s="56"/>
      <c r="CH1316" s="56"/>
      <c r="CI1316" s="103">
        <v>10.538989985853483</v>
      </c>
      <c r="CJ1316" s="103">
        <f t="shared" si="300"/>
        <v>1.0227989918453402</v>
      </c>
      <c r="CK1316" s="57">
        <f t="shared" si="307"/>
        <v>0.34564160490220674</v>
      </c>
      <c r="CL1316" s="160">
        <f t="shared" si="308"/>
        <v>0.59896837999877584</v>
      </c>
      <c r="CM1316" s="160">
        <v>0.66742784480864559</v>
      </c>
      <c r="CN1316" s="160">
        <f t="shared" si="302"/>
        <v>3.9277969655743687</v>
      </c>
      <c r="CO1316" s="55" t="s">
        <v>892</v>
      </c>
      <c r="CP1316" s="497" t="s">
        <v>893</v>
      </c>
      <c r="CQ1316" s="149">
        <v>0.76399462909803484</v>
      </c>
      <c r="CR1316" s="349">
        <f t="shared" si="303"/>
        <v>1.8146980090300764</v>
      </c>
      <c r="CS1316" s="61" t="s">
        <v>539</v>
      </c>
      <c r="CT1316" s="61"/>
      <c r="CU1316" s="111">
        <f t="shared" si="309"/>
        <v>11.38629035240344</v>
      </c>
      <c r="CV1316" s="331">
        <f t="shared" si="310"/>
        <v>6.5705900389854994</v>
      </c>
      <c r="CW1316" s="326">
        <f t="shared" si="301"/>
        <v>1</v>
      </c>
      <c r="CX1316" s="326" t="s">
        <v>539</v>
      </c>
      <c r="CY1316" s="161" t="s">
        <v>6351</v>
      </c>
    </row>
    <row r="1317" spans="1:103" ht="11.25" customHeight="1" x14ac:dyDescent="0.2">
      <c r="A1317" s="72">
        <v>115</v>
      </c>
      <c r="B1317" s="149">
        <v>273</v>
      </c>
      <c r="C1317" s="54" t="s">
        <v>1123</v>
      </c>
      <c r="D1317" s="54" t="s">
        <v>6473</v>
      </c>
      <c r="E1317" s="59"/>
      <c r="F1317" s="59" t="s">
        <v>1124</v>
      </c>
      <c r="G1317" s="151">
        <v>122394</v>
      </c>
      <c r="H1317" s="55" t="s">
        <v>1125</v>
      </c>
      <c r="I1317" s="55" t="s">
        <v>1125</v>
      </c>
      <c r="J1317" s="55" t="s">
        <v>1126</v>
      </c>
      <c r="K1317" s="55" t="s">
        <v>426</v>
      </c>
      <c r="L1317" s="55" t="s">
        <v>5974</v>
      </c>
      <c r="M1317" s="55" t="s">
        <v>6082</v>
      </c>
      <c r="N1317" s="60" t="s">
        <v>6082</v>
      </c>
      <c r="O1317" s="55" t="s">
        <v>6083</v>
      </c>
      <c r="P1317" s="67"/>
      <c r="Q1317" s="67" t="s">
        <v>6173</v>
      </c>
      <c r="R1317" s="67" t="s">
        <v>6185</v>
      </c>
      <c r="S1317" s="67" t="s">
        <v>6176</v>
      </c>
      <c r="T1317" s="56">
        <v>169.22</v>
      </c>
      <c r="U1317" s="103">
        <v>52.999999999999993</v>
      </c>
      <c r="V1317" s="103">
        <v>63.61</v>
      </c>
      <c r="W1317" s="103">
        <v>189.86796283697805</v>
      </c>
      <c r="X1317" s="103">
        <v>52.999999999999993</v>
      </c>
      <c r="Y1317" s="162">
        <v>7</v>
      </c>
      <c r="Z1317" s="56">
        <v>3.29</v>
      </c>
      <c r="AA1317" s="56">
        <v>3.5</v>
      </c>
      <c r="AB1317" s="56">
        <v>3.19</v>
      </c>
      <c r="AC1317" s="56">
        <v>0.79549999999999998</v>
      </c>
      <c r="AD1317" s="56">
        <v>3.12</v>
      </c>
      <c r="AE1317" s="56">
        <v>2.97</v>
      </c>
      <c r="AF1317" s="56">
        <f t="shared" si="304"/>
        <v>3.5</v>
      </c>
      <c r="AG1317" s="57">
        <v>3.2</v>
      </c>
      <c r="AH1317" s="103">
        <v>1.0499999999999999E-6</v>
      </c>
      <c r="AI1317" s="103">
        <v>2.6900000000000001E-6</v>
      </c>
      <c r="AJ1317" s="62">
        <f t="shared" si="305"/>
        <v>-4.3673770272427141</v>
      </c>
      <c r="AK1317" s="62">
        <f t="shared" ref="AK1317:AK1339" si="312">LOG10(AI1317*1000/(0.08206*298.15))</f>
        <v>-3.9588140463102439</v>
      </c>
      <c r="AL1317" s="62">
        <f t="shared" si="306"/>
        <v>-3.9588140463102439</v>
      </c>
      <c r="AM1317" s="62">
        <v>-7.8134599999999992</v>
      </c>
      <c r="AN1317" s="154">
        <v>-3.84</v>
      </c>
      <c r="AO1317" s="410"/>
      <c r="AP1317" s="410">
        <v>0.78</v>
      </c>
      <c r="AQ1317" s="154" t="s">
        <v>6311</v>
      </c>
      <c r="AR1317" s="154" t="s">
        <v>6311</v>
      </c>
      <c r="AS1317" s="149" t="s">
        <v>6</v>
      </c>
      <c r="AT1317" s="58" t="s">
        <v>266</v>
      </c>
      <c r="AU1317" s="56">
        <v>8</v>
      </c>
      <c r="AV1317" s="56">
        <v>144</v>
      </c>
      <c r="AW1317" s="56">
        <v>120</v>
      </c>
      <c r="AX1317" s="56">
        <v>26</v>
      </c>
      <c r="AY1317" s="56" t="s">
        <v>267</v>
      </c>
      <c r="AZ1317" s="56" t="s">
        <v>268</v>
      </c>
      <c r="BA1317" s="56">
        <v>2</v>
      </c>
      <c r="BB1317" s="55" t="s">
        <v>888</v>
      </c>
      <c r="BC1317" s="55" t="s">
        <v>270</v>
      </c>
      <c r="BD1317" s="55" t="s">
        <v>8374</v>
      </c>
      <c r="BE1317" s="56" t="s">
        <v>889</v>
      </c>
      <c r="BF1317" s="56" t="s">
        <v>272</v>
      </c>
      <c r="BG1317" s="56" t="s">
        <v>272</v>
      </c>
      <c r="BH1317" s="56" t="s">
        <v>890</v>
      </c>
      <c r="BI1317" s="153">
        <v>1.6921999999999998E-4</v>
      </c>
      <c r="BJ1317" s="153">
        <v>13.537599999999999</v>
      </c>
      <c r="BK1317" s="56"/>
      <c r="BL1317" s="153">
        <v>9.6494529020100828</v>
      </c>
      <c r="BM1317" s="56" t="s">
        <v>891</v>
      </c>
      <c r="BN1317" s="162"/>
      <c r="BO1317" s="162"/>
      <c r="BP1317" s="162"/>
      <c r="BQ1317" s="162"/>
      <c r="BR1317" s="162"/>
      <c r="BS1317" s="56">
        <v>7.81202805819846</v>
      </c>
      <c r="BT1317" s="162"/>
      <c r="BU1317" s="158"/>
      <c r="BV1317" s="162"/>
      <c r="BW1317" s="162"/>
      <c r="BX1317" s="162"/>
      <c r="BY1317" s="162"/>
      <c r="BZ1317" s="162"/>
      <c r="CA1317" s="162"/>
      <c r="CB1317" s="162"/>
      <c r="CC1317" s="56"/>
      <c r="CD1317" s="56"/>
      <c r="CE1317" s="56"/>
      <c r="CF1317" s="56"/>
      <c r="CG1317" s="56"/>
      <c r="CH1317" s="56"/>
      <c r="CI1317" s="103">
        <v>7.81202805819846</v>
      </c>
      <c r="CJ1317" s="103">
        <f t="shared" si="300"/>
        <v>0.89276379445950338</v>
      </c>
      <c r="CK1317" s="57">
        <f t="shared" si="307"/>
        <v>0.71278903956462614</v>
      </c>
      <c r="CL1317" s="160">
        <f t="shared" si="308"/>
        <v>1.2352045883761653</v>
      </c>
      <c r="CM1317" s="160">
        <v>0.45822697427496256</v>
      </c>
      <c r="CN1317" s="160">
        <f t="shared" si="302"/>
        <v>4.713187350531709</v>
      </c>
      <c r="CO1317" s="55" t="s">
        <v>892</v>
      </c>
      <c r="CP1317" s="497" t="s">
        <v>893</v>
      </c>
      <c r="CQ1317" s="149">
        <v>0.49836438617266582</v>
      </c>
      <c r="CR1317" s="349">
        <f t="shared" si="303"/>
        <v>2.4797015202776973</v>
      </c>
      <c r="CS1317" s="61" t="s">
        <v>539</v>
      </c>
      <c r="CT1317" s="61"/>
      <c r="CU1317" s="111">
        <f t="shared" si="309"/>
        <v>6.7844098363648708</v>
      </c>
      <c r="CV1317" s="331">
        <f t="shared" si="310"/>
        <v>3.9150218650277742</v>
      </c>
      <c r="CW1317" s="326">
        <f t="shared" si="301"/>
        <v>1</v>
      </c>
      <c r="CX1317" s="326" t="s">
        <v>539</v>
      </c>
      <c r="CY1317" s="161" t="s">
        <v>6351</v>
      </c>
    </row>
    <row r="1318" spans="1:103" ht="11.25" customHeight="1" x14ac:dyDescent="0.2">
      <c r="A1318" s="72">
        <v>116</v>
      </c>
      <c r="B1318" s="149">
        <v>413</v>
      </c>
      <c r="C1318" s="54" t="s">
        <v>1400</v>
      </c>
      <c r="D1318" s="54" t="s">
        <v>6488</v>
      </c>
      <c r="E1318" s="59"/>
      <c r="F1318" s="59" t="s">
        <v>1401</v>
      </c>
      <c r="G1318" s="151">
        <v>709988</v>
      </c>
      <c r="H1318" s="55" t="s">
        <v>1402</v>
      </c>
      <c r="I1318" s="55" t="s">
        <v>8059</v>
      </c>
      <c r="J1318" s="55" t="s">
        <v>1403</v>
      </c>
      <c r="K1318" s="55" t="s">
        <v>471</v>
      </c>
      <c r="L1318" s="55" t="s">
        <v>1404</v>
      </c>
      <c r="M1318" s="55" t="s">
        <v>6082</v>
      </c>
      <c r="N1318" s="60" t="s">
        <v>6082</v>
      </c>
      <c r="O1318" s="55" t="s">
        <v>6083</v>
      </c>
      <c r="P1318" s="67"/>
      <c r="Q1318" s="67" t="s">
        <v>6173</v>
      </c>
      <c r="R1318" s="67" t="s">
        <v>6185</v>
      </c>
      <c r="S1318" s="67" t="s">
        <v>6176</v>
      </c>
      <c r="T1318" s="56">
        <v>218.08</v>
      </c>
      <c r="U1318" s="103">
        <v>152</v>
      </c>
      <c r="V1318" s="103">
        <v>84.18</v>
      </c>
      <c r="W1318" s="103">
        <v>90.910875147210703</v>
      </c>
      <c r="X1318" s="103">
        <v>152</v>
      </c>
      <c r="Y1318" s="162">
        <v>7</v>
      </c>
      <c r="Z1318" s="56">
        <v>2.88</v>
      </c>
      <c r="AA1318" s="56">
        <v>3.07</v>
      </c>
      <c r="AB1318" s="56">
        <v>3.39</v>
      </c>
      <c r="AC1318" s="56">
        <v>0.89070000000000005</v>
      </c>
      <c r="AD1318" s="56">
        <v>3.34</v>
      </c>
      <c r="AE1318" s="56">
        <v>3.18</v>
      </c>
      <c r="AF1318" s="56">
        <f t="shared" si="304"/>
        <v>3.07</v>
      </c>
      <c r="AG1318" s="57">
        <v>3.05</v>
      </c>
      <c r="AH1318" s="103">
        <v>4.4999999999999998E-9</v>
      </c>
      <c r="AI1318" s="103">
        <v>1.7100000000000001E-9</v>
      </c>
      <c r="AJ1318" s="62">
        <f t="shared" si="305"/>
        <v>-6.7353538125373085</v>
      </c>
      <c r="AK1318" s="62">
        <f t="shared" si="312"/>
        <v>-7.1555702159204984</v>
      </c>
      <c r="AL1318" s="62">
        <f t="shared" si="306"/>
        <v>-7.1555702159204984</v>
      </c>
      <c r="AM1318" s="62">
        <v>-10.588889999999999</v>
      </c>
      <c r="AN1318" s="154">
        <v>-7.75</v>
      </c>
      <c r="AO1318" s="410">
        <v>13.58</v>
      </c>
      <c r="AP1318" s="410">
        <v>-0.91</v>
      </c>
      <c r="AQ1318" s="154" t="s">
        <v>6311</v>
      </c>
      <c r="AR1318" s="154" t="s">
        <v>6311</v>
      </c>
      <c r="AS1318" s="149" t="s">
        <v>6</v>
      </c>
      <c r="AT1318" s="58" t="s">
        <v>266</v>
      </c>
      <c r="AU1318" s="56">
        <v>8</v>
      </c>
      <c r="AV1318" s="56">
        <v>144</v>
      </c>
      <c r="AW1318" s="56">
        <v>120</v>
      </c>
      <c r="AX1318" s="56">
        <v>26</v>
      </c>
      <c r="AY1318" s="56" t="s">
        <v>267</v>
      </c>
      <c r="AZ1318" s="56" t="s">
        <v>268</v>
      </c>
      <c r="BA1318" s="56">
        <v>2</v>
      </c>
      <c r="BB1318" s="55" t="s">
        <v>888</v>
      </c>
      <c r="BC1318" s="55" t="s">
        <v>270</v>
      </c>
      <c r="BD1318" s="55" t="s">
        <v>8374</v>
      </c>
      <c r="BE1318" s="56" t="s">
        <v>889</v>
      </c>
      <c r="BF1318" s="56" t="s">
        <v>272</v>
      </c>
      <c r="BG1318" s="56" t="s">
        <v>272</v>
      </c>
      <c r="BH1318" s="56" t="s">
        <v>890</v>
      </c>
      <c r="BI1318" s="153">
        <v>2.1808E-4</v>
      </c>
      <c r="BJ1318" s="153">
        <v>17.446400000000001</v>
      </c>
      <c r="BK1318" s="56"/>
      <c r="BL1318" s="153">
        <v>29.03272754290597</v>
      </c>
      <c r="BM1318" s="56" t="s">
        <v>891</v>
      </c>
      <c r="BN1318" s="162"/>
      <c r="BO1318" s="162"/>
      <c r="BP1318" s="162"/>
      <c r="BQ1318" s="162"/>
      <c r="BR1318" s="162"/>
      <c r="BS1318" s="56">
        <v>10.067646134806289</v>
      </c>
      <c r="BT1318" s="162"/>
      <c r="BU1318" s="158"/>
      <c r="BV1318" s="162"/>
      <c r="BW1318" s="162"/>
      <c r="BX1318" s="162"/>
      <c r="BY1318" s="162"/>
      <c r="BZ1318" s="162"/>
      <c r="CA1318" s="162"/>
      <c r="CB1318" s="162"/>
      <c r="CC1318" s="56"/>
      <c r="CD1318" s="56"/>
      <c r="CE1318" s="56"/>
      <c r="CF1318" s="56"/>
      <c r="CG1318" s="56"/>
      <c r="CH1318" s="56"/>
      <c r="CI1318" s="103">
        <v>10.067646134806289</v>
      </c>
      <c r="CJ1318" s="103">
        <f t="shared" si="300"/>
        <v>1.0029279422357018</v>
      </c>
      <c r="CK1318" s="57">
        <f t="shared" si="307"/>
        <v>1.6641099334479301</v>
      </c>
      <c r="CL1318" s="160">
        <f t="shared" si="308"/>
        <v>2.8837651973615568</v>
      </c>
      <c r="CM1318" s="160">
        <v>0.73446890283273059</v>
      </c>
      <c r="CN1318" s="160">
        <f t="shared" si="302"/>
        <v>3.2154141798259963</v>
      </c>
      <c r="CO1318" s="55" t="s">
        <v>892</v>
      </c>
      <c r="CP1318" s="497" t="s">
        <v>893</v>
      </c>
      <c r="CQ1318" s="149">
        <v>0.87007962959778784</v>
      </c>
      <c r="CR1318" s="349">
        <f t="shared" si="303"/>
        <v>1.3578391071367615</v>
      </c>
      <c r="CS1318" s="61" t="s">
        <v>539</v>
      </c>
      <c r="CT1318" s="61"/>
      <c r="CU1318" s="111">
        <f t="shared" si="309"/>
        <v>15.097868753501301</v>
      </c>
      <c r="CV1318" s="331">
        <f t="shared" si="310"/>
        <v>8.7123991195891417</v>
      </c>
      <c r="CW1318" s="326">
        <f t="shared" si="301"/>
        <v>1</v>
      </c>
      <c r="CX1318" s="326" t="s">
        <v>539</v>
      </c>
      <c r="CY1318" s="161" t="s">
        <v>5921</v>
      </c>
    </row>
    <row r="1319" spans="1:103" ht="11.25" customHeight="1" x14ac:dyDescent="0.2">
      <c r="A1319" s="72">
        <v>117</v>
      </c>
      <c r="B1319" s="149">
        <v>431</v>
      </c>
      <c r="C1319" s="54" t="s">
        <v>1441</v>
      </c>
      <c r="D1319" s="54" t="s">
        <v>6449</v>
      </c>
      <c r="E1319" s="59"/>
      <c r="F1319" s="59" t="s">
        <v>1442</v>
      </c>
      <c r="G1319" s="151">
        <v>82688</v>
      </c>
      <c r="H1319" s="55" t="s">
        <v>1443</v>
      </c>
      <c r="I1319" s="55" t="s">
        <v>7926</v>
      </c>
      <c r="J1319" s="55" t="s">
        <v>1444</v>
      </c>
      <c r="K1319" s="55" t="s">
        <v>426</v>
      </c>
      <c r="L1319" s="55" t="s">
        <v>5929</v>
      </c>
      <c r="M1319" s="55" t="s">
        <v>6082</v>
      </c>
      <c r="N1319" s="60" t="s">
        <v>6082</v>
      </c>
      <c r="O1319" s="55" t="s">
        <v>6083</v>
      </c>
      <c r="P1319" s="67"/>
      <c r="Q1319" s="67"/>
      <c r="R1319" s="67"/>
      <c r="S1319" s="67"/>
      <c r="T1319" s="56">
        <v>295.33</v>
      </c>
      <c r="U1319" s="103">
        <v>0.44000000000000006</v>
      </c>
      <c r="V1319" s="103">
        <v>0.58040000000000003</v>
      </c>
      <c r="W1319" s="103">
        <v>1.446463787240831</v>
      </c>
      <c r="X1319" s="103">
        <v>0.44000000000000006</v>
      </c>
      <c r="Y1319" s="162">
        <v>7</v>
      </c>
      <c r="Z1319" s="56">
        <v>5.03</v>
      </c>
      <c r="AA1319" s="56">
        <v>4.6399999999999997</v>
      </c>
      <c r="AB1319" s="56">
        <v>4.8</v>
      </c>
      <c r="AC1319" s="56">
        <v>0.82630000000000003</v>
      </c>
      <c r="AD1319" s="56">
        <v>4.62</v>
      </c>
      <c r="AE1319" s="56">
        <v>4.16</v>
      </c>
      <c r="AF1319" s="56">
        <f t="shared" si="304"/>
        <v>4.6399999999999997</v>
      </c>
      <c r="AG1319" s="57">
        <v>4.8099999999999996</v>
      </c>
      <c r="AH1319" s="103">
        <v>4.7500000000000003E-6</v>
      </c>
      <c r="AI1319" s="103">
        <v>4.4199999999999997E-5</v>
      </c>
      <c r="AJ1319" s="62">
        <f t="shared" si="305"/>
        <v>-3.7118727166877852</v>
      </c>
      <c r="AK1319" s="62">
        <f t="shared" si="312"/>
        <v>-2.7431440569635601</v>
      </c>
      <c r="AL1319" s="62">
        <f t="shared" si="306"/>
        <v>-2.7431440569635601</v>
      </c>
      <c r="AM1319" s="62">
        <v>-6.2418199999999997</v>
      </c>
      <c r="AN1319" s="154">
        <v>-3.9</v>
      </c>
      <c r="AO1319" s="410"/>
      <c r="AP1319" s="410"/>
      <c r="AQ1319" s="154" t="s">
        <v>6311</v>
      </c>
      <c r="AR1319" s="154" t="s">
        <v>6311</v>
      </c>
      <c r="AS1319" s="149" t="s">
        <v>6</v>
      </c>
      <c r="AT1319" s="58" t="s">
        <v>266</v>
      </c>
      <c r="AU1319" s="56">
        <v>8</v>
      </c>
      <c r="AV1319" s="56">
        <v>144</v>
      </c>
      <c r="AW1319" s="56">
        <v>120</v>
      </c>
      <c r="AX1319" s="56">
        <v>26</v>
      </c>
      <c r="AY1319" s="56" t="s">
        <v>267</v>
      </c>
      <c r="AZ1319" s="56" t="s">
        <v>268</v>
      </c>
      <c r="BA1319" s="56">
        <v>2</v>
      </c>
      <c r="BB1319" s="55" t="s">
        <v>888</v>
      </c>
      <c r="BC1319" s="55" t="s">
        <v>270</v>
      </c>
      <c r="BD1319" s="55" t="s">
        <v>8374</v>
      </c>
      <c r="BE1319" s="56" t="s">
        <v>889</v>
      </c>
      <c r="BF1319" s="56" t="s">
        <v>272</v>
      </c>
      <c r="BG1319" s="56" t="s">
        <v>272</v>
      </c>
      <c r="BH1319" s="56" t="s">
        <v>890</v>
      </c>
      <c r="BI1319" s="153">
        <v>2.9532999999999995E-4</v>
      </c>
      <c r="BJ1319" s="153">
        <v>23.6264</v>
      </c>
      <c r="BK1319" s="56"/>
      <c r="BL1319" s="153">
        <v>0.4609614057832776</v>
      </c>
      <c r="BM1319" s="56" t="s">
        <v>891</v>
      </c>
      <c r="BN1319" s="162"/>
      <c r="BO1319" s="162"/>
      <c r="BP1319" s="162"/>
      <c r="BQ1319" s="162"/>
      <c r="BR1319" s="162"/>
      <c r="BS1319" s="56">
        <v>13.633886339840155</v>
      </c>
      <c r="BT1319" s="162"/>
      <c r="BU1319" s="158"/>
      <c r="BV1319" s="162"/>
      <c r="BW1319" s="162"/>
      <c r="BX1319" s="162"/>
      <c r="BY1319" s="162"/>
      <c r="BZ1319" s="162"/>
      <c r="CA1319" s="162"/>
      <c r="CB1319" s="162"/>
      <c r="CC1319" s="56"/>
      <c r="CD1319" s="56"/>
      <c r="CE1319" s="56"/>
      <c r="CF1319" s="56"/>
      <c r="CG1319" s="56"/>
      <c r="CH1319" s="56"/>
      <c r="CI1319" s="103">
        <v>13.633886339840155</v>
      </c>
      <c r="CJ1319" s="103">
        <f t="shared" si="300"/>
        <v>1.1346196691412413</v>
      </c>
      <c r="CK1319" s="57">
        <f t="shared" si="307"/>
        <v>1.951043772150127E-2</v>
      </c>
      <c r="CL1319" s="160">
        <f t="shared" si="308"/>
        <v>3.3809978629224947E-2</v>
      </c>
      <c r="CM1319" s="160"/>
      <c r="CN1319" s="160"/>
      <c r="CO1319" s="55" t="s">
        <v>892</v>
      </c>
      <c r="CP1319" s="497" t="s">
        <v>893</v>
      </c>
      <c r="CQ1319" s="149">
        <v>-0.39300346485647314</v>
      </c>
      <c r="CR1319" s="349">
        <f t="shared" si="303"/>
        <v>33.699474914202156</v>
      </c>
      <c r="CS1319" s="61" t="s">
        <v>539</v>
      </c>
      <c r="CT1319" s="61"/>
      <c r="CU1319" s="111">
        <f t="shared" si="309"/>
        <v>3.2272529565855149E-2</v>
      </c>
      <c r="CV1319" s="331">
        <f t="shared" si="310"/>
        <v>1.8623235025226021E-2</v>
      </c>
      <c r="CW1319" s="326">
        <f t="shared" si="301"/>
        <v>0</v>
      </c>
      <c r="CX1319" s="326" t="s">
        <v>539</v>
      </c>
      <c r="CY1319" s="161" t="s">
        <v>5921</v>
      </c>
    </row>
    <row r="1320" spans="1:103" ht="11.25" customHeight="1" x14ac:dyDescent="0.2">
      <c r="A1320" s="72">
        <v>118</v>
      </c>
      <c r="B1320" s="149">
        <v>225</v>
      </c>
      <c r="C1320" s="54" t="s">
        <v>1047</v>
      </c>
      <c r="D1320" s="54" t="s">
        <v>6503</v>
      </c>
      <c r="E1320" s="59"/>
      <c r="F1320" s="59" t="s">
        <v>1048</v>
      </c>
      <c r="G1320" s="151">
        <v>5598130</v>
      </c>
      <c r="H1320" s="55" t="s">
        <v>1049</v>
      </c>
      <c r="I1320" s="55" t="s">
        <v>7928</v>
      </c>
      <c r="J1320" s="55" t="s">
        <v>1050</v>
      </c>
      <c r="K1320" s="55" t="s">
        <v>1040</v>
      </c>
      <c r="L1320" s="55" t="s">
        <v>617</v>
      </c>
      <c r="M1320" s="55" t="s">
        <v>946</v>
      </c>
      <c r="N1320" s="60" t="s">
        <v>6376</v>
      </c>
      <c r="O1320" s="55" t="s">
        <v>918</v>
      </c>
      <c r="P1320" s="67"/>
      <c r="Q1320" s="67"/>
      <c r="R1320" s="67"/>
      <c r="S1320" s="67"/>
      <c r="T1320" s="56">
        <v>322.52999999999997</v>
      </c>
      <c r="U1320" s="103">
        <v>4.76</v>
      </c>
      <c r="V1320" s="103">
        <v>1.8869999999999998</v>
      </c>
      <c r="W1320" s="103">
        <v>7.0561875657244792</v>
      </c>
      <c r="X1320" s="103">
        <v>4.76</v>
      </c>
      <c r="Y1320" s="162">
        <v>7</v>
      </c>
      <c r="Z1320" s="56">
        <v>4.13</v>
      </c>
      <c r="AA1320" s="56">
        <v>4.3099999999999996</v>
      </c>
      <c r="AB1320" s="56">
        <v>4.3</v>
      </c>
      <c r="AC1320" s="56">
        <v>0.86850000000000005</v>
      </c>
      <c r="AD1320" s="56">
        <v>4.17</v>
      </c>
      <c r="AE1320" s="56">
        <v>3.71</v>
      </c>
      <c r="AF1320" s="56">
        <f t="shared" si="304"/>
        <v>4.3099999999999996</v>
      </c>
      <c r="AG1320" s="57">
        <v>4.43</v>
      </c>
      <c r="AH1320" s="103">
        <v>1.4300000000000001E-6</v>
      </c>
      <c r="AI1320" s="103">
        <v>3.7500000000000001E-6</v>
      </c>
      <c r="AJ1320" s="62">
        <f t="shared" si="305"/>
        <v>-4.2332302888475901</v>
      </c>
      <c r="AK1320" s="62">
        <f t="shared" si="312"/>
        <v>-3.8145350585849327</v>
      </c>
      <c r="AL1320" s="62">
        <f t="shared" si="306"/>
        <v>-3.8145350585849327</v>
      </c>
      <c r="AM1320" s="62">
        <v>-10.934170000000002</v>
      </c>
      <c r="AN1320" s="154">
        <v>-2.9</v>
      </c>
      <c r="AO1320" s="410"/>
      <c r="AP1320" s="410">
        <v>-5.59</v>
      </c>
      <c r="AQ1320" s="154" t="s">
        <v>6312</v>
      </c>
      <c r="AR1320" s="154" t="s">
        <v>6312</v>
      </c>
      <c r="AS1320" s="149" t="s">
        <v>6</v>
      </c>
      <c r="AT1320" s="58" t="s">
        <v>266</v>
      </c>
      <c r="AU1320" s="56">
        <v>8</v>
      </c>
      <c r="AV1320" s="56">
        <v>144</v>
      </c>
      <c r="AW1320" s="56">
        <v>120</v>
      </c>
      <c r="AX1320" s="56">
        <v>26</v>
      </c>
      <c r="AY1320" s="56" t="s">
        <v>267</v>
      </c>
      <c r="AZ1320" s="56" t="s">
        <v>268</v>
      </c>
      <c r="BA1320" s="56">
        <v>2</v>
      </c>
      <c r="BB1320" s="55" t="s">
        <v>888</v>
      </c>
      <c r="BC1320" s="55" t="s">
        <v>270</v>
      </c>
      <c r="BD1320" s="55" t="s">
        <v>8374</v>
      </c>
      <c r="BE1320" s="56" t="s">
        <v>889</v>
      </c>
      <c r="BF1320" s="56" t="s">
        <v>272</v>
      </c>
      <c r="BG1320" s="56" t="s">
        <v>272</v>
      </c>
      <c r="BH1320" s="56" t="s">
        <v>890</v>
      </c>
      <c r="BI1320" s="153">
        <v>3.2252999999999996E-4</v>
      </c>
      <c r="BJ1320" s="153">
        <v>25.802399999999999</v>
      </c>
      <c r="BK1320" s="56"/>
      <c r="BL1320" s="153">
        <v>3.2375547135637186</v>
      </c>
      <c r="BM1320" s="56" t="s">
        <v>891</v>
      </c>
      <c r="BN1320" s="162"/>
      <c r="BO1320" s="162"/>
      <c r="BP1320" s="162"/>
      <c r="BQ1320" s="162"/>
      <c r="BR1320" s="162"/>
      <c r="BS1320" s="56">
        <v>14.88957221138606</v>
      </c>
      <c r="BT1320" s="162"/>
      <c r="BU1320" s="158"/>
      <c r="BV1320" s="162"/>
      <c r="BW1320" s="162"/>
      <c r="BX1320" s="162"/>
      <c r="BY1320" s="162"/>
      <c r="BZ1320" s="162"/>
      <c r="CA1320" s="162"/>
      <c r="CB1320" s="162"/>
      <c r="CC1320" s="56"/>
      <c r="CD1320" s="56"/>
      <c r="CE1320" s="56"/>
      <c r="CF1320" s="56"/>
      <c r="CG1320" s="56"/>
      <c r="CH1320" s="56"/>
      <c r="CI1320" s="103">
        <v>14.88957221138606</v>
      </c>
      <c r="CJ1320" s="103">
        <f t="shared" si="300"/>
        <v>1.1728822203241493</v>
      </c>
      <c r="CK1320" s="57">
        <f t="shared" si="307"/>
        <v>0.12547494471691467</v>
      </c>
      <c r="CL1320" s="160">
        <f t="shared" si="308"/>
        <v>0.21743772538259759</v>
      </c>
      <c r="CM1320" s="160">
        <v>-1.1139605710803233</v>
      </c>
      <c r="CN1320" s="160">
        <f t="shared" ref="CN1320:CN1333" si="313">BJ1320/(10^CM1320)</f>
        <v>335.44449933626191</v>
      </c>
      <c r="CO1320" s="55" t="s">
        <v>892</v>
      </c>
      <c r="CP1320" s="497" t="s">
        <v>893</v>
      </c>
      <c r="CQ1320" s="149">
        <v>-0.71323386944474743</v>
      </c>
      <c r="CR1320" s="349">
        <f t="shared" si="303"/>
        <v>76.933606138820508</v>
      </c>
      <c r="CS1320" s="61" t="s">
        <v>539</v>
      </c>
      <c r="CT1320" s="61"/>
      <c r="CU1320" s="111">
        <f t="shared" si="309"/>
        <v>0.31968682057635117</v>
      </c>
      <c r="CV1320" s="331">
        <f t="shared" si="310"/>
        <v>0.18447896319722196</v>
      </c>
      <c r="CW1320" s="326">
        <f t="shared" si="301"/>
        <v>0</v>
      </c>
      <c r="CX1320" s="326" t="s">
        <v>539</v>
      </c>
      <c r="CY1320" s="161" t="s">
        <v>5921</v>
      </c>
    </row>
    <row r="1321" spans="1:103" ht="11.25" customHeight="1" x14ac:dyDescent="0.2">
      <c r="A1321" s="72">
        <v>120</v>
      </c>
      <c r="B1321" s="149">
        <v>252</v>
      </c>
      <c r="C1321" s="54" t="s">
        <v>1087</v>
      </c>
      <c r="D1321" s="54" t="s">
        <v>6486</v>
      </c>
      <c r="E1321" s="59"/>
      <c r="F1321" s="59" t="s">
        <v>1088</v>
      </c>
      <c r="G1321" s="151">
        <v>333415</v>
      </c>
      <c r="H1321" s="55" t="s">
        <v>1089</v>
      </c>
      <c r="I1321" s="55" t="s">
        <v>1089</v>
      </c>
      <c r="J1321" s="55" t="s">
        <v>1090</v>
      </c>
      <c r="K1321" s="55" t="s">
        <v>628</v>
      </c>
      <c r="L1321" s="55" t="s">
        <v>617</v>
      </c>
      <c r="M1321" s="55" t="s">
        <v>946</v>
      </c>
      <c r="N1321" s="60" t="s">
        <v>6376</v>
      </c>
      <c r="O1321" s="55" t="s">
        <v>918</v>
      </c>
      <c r="P1321" s="67" t="s">
        <v>6178</v>
      </c>
      <c r="Q1321" s="67" t="s">
        <v>6173</v>
      </c>
      <c r="R1321" s="67" t="s">
        <v>6177</v>
      </c>
      <c r="S1321" s="67" t="s">
        <v>6176</v>
      </c>
      <c r="T1321" s="56">
        <v>304.35000000000002</v>
      </c>
      <c r="U1321" s="103">
        <v>40</v>
      </c>
      <c r="V1321" s="103">
        <v>6.4560000000000004</v>
      </c>
      <c r="W1321" s="103">
        <v>16.344562722528643</v>
      </c>
      <c r="X1321" s="103">
        <v>40</v>
      </c>
      <c r="Y1321" s="162">
        <v>7</v>
      </c>
      <c r="Z1321" s="56">
        <v>3.86</v>
      </c>
      <c r="AA1321" s="56">
        <v>3.81</v>
      </c>
      <c r="AB1321" s="56">
        <v>3.79</v>
      </c>
      <c r="AC1321" s="56">
        <v>0.7823</v>
      </c>
      <c r="AD1321" s="56">
        <v>3.8</v>
      </c>
      <c r="AE1321" s="56">
        <v>3.81</v>
      </c>
      <c r="AF1321" s="56">
        <f t="shared" si="304"/>
        <v>3.81</v>
      </c>
      <c r="AG1321" s="57">
        <v>4.32</v>
      </c>
      <c r="AH1321" s="103">
        <v>8.7299999999999994E-8</v>
      </c>
      <c r="AI1321" s="103">
        <v>1.1300000000000001E-7</v>
      </c>
      <c r="AJ1321" s="62">
        <f t="shared" si="305"/>
        <v>-5.447552082607082</v>
      </c>
      <c r="AK1321" s="62">
        <f t="shared" si="312"/>
        <v>-5.3354878828292325</v>
      </c>
      <c r="AL1321" s="62">
        <f t="shared" si="306"/>
        <v>-5.3354878828292325</v>
      </c>
      <c r="AM1321" s="62">
        <v>-11.566619999999999</v>
      </c>
      <c r="AN1321" s="154">
        <v>-2.79</v>
      </c>
      <c r="AO1321" s="410"/>
      <c r="AP1321" s="410">
        <v>1.21</v>
      </c>
      <c r="AQ1321" s="154" t="s">
        <v>6312</v>
      </c>
      <c r="AR1321" s="154" t="s">
        <v>6312</v>
      </c>
      <c r="AS1321" s="149" t="s">
        <v>6</v>
      </c>
      <c r="AT1321" s="58" t="s">
        <v>266</v>
      </c>
      <c r="AU1321" s="56">
        <v>8</v>
      </c>
      <c r="AV1321" s="56">
        <v>144</v>
      </c>
      <c r="AW1321" s="56">
        <v>120</v>
      </c>
      <c r="AX1321" s="56">
        <v>26</v>
      </c>
      <c r="AY1321" s="56" t="s">
        <v>267</v>
      </c>
      <c r="AZ1321" s="56" t="s">
        <v>268</v>
      </c>
      <c r="BA1321" s="56">
        <v>2</v>
      </c>
      <c r="BB1321" s="55" t="s">
        <v>888</v>
      </c>
      <c r="BC1321" s="55" t="s">
        <v>270</v>
      </c>
      <c r="BD1321" s="55" t="s">
        <v>8374</v>
      </c>
      <c r="BE1321" s="56" t="s">
        <v>889</v>
      </c>
      <c r="BF1321" s="56" t="s">
        <v>272</v>
      </c>
      <c r="BG1321" s="56" t="s">
        <v>272</v>
      </c>
      <c r="BH1321" s="56" t="s">
        <v>890</v>
      </c>
      <c r="BI1321" s="153">
        <v>3.0435E-4</v>
      </c>
      <c r="BJ1321" s="153">
        <v>24.348000000000003</v>
      </c>
      <c r="BK1321" s="56"/>
      <c r="BL1321" s="153">
        <v>5.3395825622052628</v>
      </c>
      <c r="BM1321" s="56" t="s">
        <v>891</v>
      </c>
      <c r="BN1321" s="162"/>
      <c r="BO1321" s="162"/>
      <c r="BP1321" s="162"/>
      <c r="BQ1321" s="162"/>
      <c r="BR1321" s="162"/>
      <c r="BS1321" s="56">
        <v>14.050293934007218</v>
      </c>
      <c r="BT1321" s="162"/>
      <c r="BU1321" s="158"/>
      <c r="BV1321" s="162"/>
      <c r="BW1321" s="162"/>
      <c r="BX1321" s="162"/>
      <c r="BY1321" s="162"/>
      <c r="BZ1321" s="162"/>
      <c r="CA1321" s="162"/>
      <c r="CB1321" s="162"/>
      <c r="CC1321" s="56"/>
      <c r="CD1321" s="56"/>
      <c r="CE1321" s="56"/>
      <c r="CF1321" s="56"/>
      <c r="CG1321" s="56"/>
      <c r="CH1321" s="56"/>
      <c r="CI1321" s="103">
        <v>14.050293934007218</v>
      </c>
      <c r="CJ1321" s="103">
        <f t="shared" si="300"/>
        <v>1.1476854098341307</v>
      </c>
      <c r="CK1321" s="57">
        <f t="shared" si="307"/>
        <v>0.21930271735687787</v>
      </c>
      <c r="CL1321" s="160">
        <f t="shared" si="308"/>
        <v>0.38003351298447785</v>
      </c>
      <c r="CM1321" s="160">
        <v>-0.7518228197217347</v>
      </c>
      <c r="CN1321" s="160">
        <f t="shared" si="313"/>
        <v>137.49474908376172</v>
      </c>
      <c r="CO1321" s="55" t="s">
        <v>892</v>
      </c>
      <c r="CP1321" s="497" t="s">
        <v>893</v>
      </c>
      <c r="CQ1321" s="149">
        <v>2.3058777017553444E-2</v>
      </c>
      <c r="CR1321" s="349">
        <f t="shared" si="303"/>
        <v>13.323754835007616</v>
      </c>
      <c r="CS1321" s="61" t="s">
        <v>539</v>
      </c>
      <c r="CT1321" s="61"/>
      <c r="CU1321" s="111">
        <f t="shared" si="309"/>
        <v>2.8469155298726045</v>
      </c>
      <c r="CV1321" s="331">
        <f t="shared" si="310"/>
        <v>1.6428454082470838</v>
      </c>
      <c r="CW1321" s="326">
        <f t="shared" si="301"/>
        <v>1</v>
      </c>
      <c r="CX1321" s="326" t="s">
        <v>539</v>
      </c>
      <c r="CY1321" s="161" t="s">
        <v>5921</v>
      </c>
    </row>
    <row r="1322" spans="1:103" ht="11.25" customHeight="1" x14ac:dyDescent="0.2">
      <c r="A1322" s="72">
        <v>121</v>
      </c>
      <c r="B1322" s="149">
        <v>296</v>
      </c>
      <c r="C1322" s="54" t="s">
        <v>1168</v>
      </c>
      <c r="D1322" s="54" t="s">
        <v>6596</v>
      </c>
      <c r="E1322" s="59"/>
      <c r="F1322" s="59" t="s">
        <v>1169</v>
      </c>
      <c r="G1322" s="151">
        <v>122145</v>
      </c>
      <c r="H1322" s="55" t="s">
        <v>1170</v>
      </c>
      <c r="I1322" s="55" t="s">
        <v>8040</v>
      </c>
      <c r="J1322" s="55" t="s">
        <v>1171</v>
      </c>
      <c r="K1322" s="55" t="s">
        <v>628</v>
      </c>
      <c r="L1322" s="55" t="s">
        <v>617</v>
      </c>
      <c r="M1322" s="55" t="s">
        <v>946</v>
      </c>
      <c r="N1322" s="60" t="s">
        <v>6376</v>
      </c>
      <c r="O1322" s="55" t="s">
        <v>918</v>
      </c>
      <c r="P1322" s="67" t="s">
        <v>6178</v>
      </c>
      <c r="Q1322" s="67" t="s">
        <v>6176</v>
      </c>
      <c r="R1322" s="67" t="s">
        <v>6177</v>
      </c>
      <c r="S1322" s="67" t="s">
        <v>6179</v>
      </c>
      <c r="T1322" s="56">
        <v>277.24</v>
      </c>
      <c r="U1322" s="103">
        <v>38</v>
      </c>
      <c r="V1322" s="103">
        <v>10.29</v>
      </c>
      <c r="W1322" s="103">
        <v>17.492661418368865</v>
      </c>
      <c r="X1322" s="103">
        <v>38</v>
      </c>
      <c r="Y1322" s="162">
        <v>7</v>
      </c>
      <c r="Z1322" s="56">
        <v>3.3</v>
      </c>
      <c r="AA1322" s="56">
        <v>3.3</v>
      </c>
      <c r="AB1322" s="56">
        <v>3.43</v>
      </c>
      <c r="AC1322" s="56">
        <v>0.88670000000000004</v>
      </c>
      <c r="AD1322" s="56">
        <v>3.39</v>
      </c>
      <c r="AE1322" s="56">
        <v>3.24</v>
      </c>
      <c r="AF1322" s="56">
        <f t="shared" si="304"/>
        <v>3.3</v>
      </c>
      <c r="AG1322" s="57">
        <v>2.74</v>
      </c>
      <c r="AH1322" s="103">
        <v>1.86E-7</v>
      </c>
      <c r="AI1322" s="103">
        <v>9.2999999999999999E-7</v>
      </c>
      <c r="AJ1322" s="62">
        <f t="shared" si="305"/>
        <v>-5.1190533820947355</v>
      </c>
      <c r="AK1322" s="62">
        <f t="shared" si="312"/>
        <v>-4.4200833777587167</v>
      </c>
      <c r="AL1322" s="62">
        <f t="shared" si="306"/>
        <v>-4.4200833777587167</v>
      </c>
      <c r="AM1322" s="62">
        <v>-11.03668</v>
      </c>
      <c r="AN1322" s="154">
        <v>-4.55</v>
      </c>
      <c r="AO1322" s="410"/>
      <c r="AP1322" s="410"/>
      <c r="AQ1322" s="154" t="s">
        <v>6314</v>
      </c>
      <c r="AR1322" s="154" t="s">
        <v>6314</v>
      </c>
      <c r="AS1322" s="149" t="s">
        <v>6</v>
      </c>
      <c r="AT1322" s="58" t="s">
        <v>266</v>
      </c>
      <c r="AU1322" s="56">
        <v>8</v>
      </c>
      <c r="AV1322" s="56">
        <v>144</v>
      </c>
      <c r="AW1322" s="56">
        <v>120</v>
      </c>
      <c r="AX1322" s="56">
        <v>26</v>
      </c>
      <c r="AY1322" s="56" t="s">
        <v>267</v>
      </c>
      <c r="AZ1322" s="56" t="s">
        <v>268</v>
      </c>
      <c r="BA1322" s="56">
        <v>2</v>
      </c>
      <c r="BB1322" s="55" t="s">
        <v>888</v>
      </c>
      <c r="BC1322" s="55" t="s">
        <v>270</v>
      </c>
      <c r="BD1322" s="55" t="s">
        <v>8374</v>
      </c>
      <c r="BE1322" s="56" t="s">
        <v>889</v>
      </c>
      <c r="BF1322" s="56" t="s">
        <v>272</v>
      </c>
      <c r="BG1322" s="56" t="s">
        <v>272</v>
      </c>
      <c r="BH1322" s="56" t="s">
        <v>890</v>
      </c>
      <c r="BI1322" s="153">
        <v>2.7724E-4</v>
      </c>
      <c r="BJ1322" s="153">
        <v>22.179200000000002</v>
      </c>
      <c r="BK1322" s="56"/>
      <c r="BL1322" s="153">
        <v>15.485523449224768</v>
      </c>
      <c r="BM1322" s="56" t="s">
        <v>891</v>
      </c>
      <c r="BN1322" s="162"/>
      <c r="BO1322" s="162"/>
      <c r="BP1322" s="162"/>
      <c r="BQ1322" s="162"/>
      <c r="BR1322" s="162"/>
      <c r="BS1322" s="56">
        <v>12.798762905418632</v>
      </c>
      <c r="BT1322" s="162"/>
      <c r="BU1322" s="158"/>
      <c r="BV1322" s="162"/>
      <c r="BW1322" s="162"/>
      <c r="BX1322" s="162"/>
      <c r="BY1322" s="162"/>
      <c r="BZ1322" s="162"/>
      <c r="CA1322" s="162"/>
      <c r="CB1322" s="162"/>
      <c r="CC1322" s="56"/>
      <c r="CD1322" s="56"/>
      <c r="CE1322" s="56"/>
      <c r="CF1322" s="56"/>
      <c r="CG1322" s="56"/>
      <c r="CH1322" s="56"/>
      <c r="CI1322" s="103">
        <v>12.798762905418632</v>
      </c>
      <c r="CJ1322" s="103">
        <f t="shared" si="300"/>
        <v>1.1071679939201597</v>
      </c>
      <c r="CK1322" s="57">
        <f t="shared" si="307"/>
        <v>0.69820027093965364</v>
      </c>
      <c r="CL1322" s="160">
        <f t="shared" si="308"/>
        <v>1.2099234561700207</v>
      </c>
      <c r="CM1322" s="160">
        <v>0.3415349447235127</v>
      </c>
      <c r="CN1322" s="160">
        <f t="shared" si="313"/>
        <v>10.102083000784949</v>
      </c>
      <c r="CO1322" s="55" t="s">
        <v>892</v>
      </c>
      <c r="CP1322" s="497" t="s">
        <v>893</v>
      </c>
      <c r="CQ1322" s="149">
        <v>0.41272540560129078</v>
      </c>
      <c r="CR1322" s="349">
        <f t="shared" si="303"/>
        <v>4.948146944288653</v>
      </c>
      <c r="CS1322" s="61" t="s">
        <v>539</v>
      </c>
      <c r="CT1322" s="61"/>
      <c r="CU1322" s="111">
        <f t="shared" si="309"/>
        <v>2.9690369515253603</v>
      </c>
      <c r="CV1322" s="331">
        <f t="shared" si="310"/>
        <v>1.7133169816765257</v>
      </c>
      <c r="CW1322" s="326">
        <f t="shared" si="301"/>
        <v>1</v>
      </c>
      <c r="CX1322" s="326" t="s">
        <v>539</v>
      </c>
      <c r="CY1322" s="161" t="s">
        <v>5921</v>
      </c>
    </row>
    <row r="1323" spans="1:103" ht="11.25" customHeight="1" x14ac:dyDescent="0.2">
      <c r="A1323" s="72">
        <v>122</v>
      </c>
      <c r="B1323" s="149">
        <v>175</v>
      </c>
      <c r="C1323" s="54" t="s">
        <v>905</v>
      </c>
      <c r="D1323" s="54" t="s">
        <v>6453</v>
      </c>
      <c r="E1323" s="59"/>
      <c r="F1323" s="59" t="s">
        <v>906</v>
      </c>
      <c r="G1323" s="151">
        <v>90437</v>
      </c>
      <c r="H1323" s="55" t="s">
        <v>907</v>
      </c>
      <c r="I1323" s="55" t="s">
        <v>907</v>
      </c>
      <c r="J1323" s="55" t="s">
        <v>908</v>
      </c>
      <c r="K1323" s="55" t="s">
        <v>349</v>
      </c>
      <c r="L1323" s="55" t="s">
        <v>5930</v>
      </c>
      <c r="M1323" s="55" t="s">
        <v>6082</v>
      </c>
      <c r="N1323" s="60" t="s">
        <v>6082</v>
      </c>
      <c r="O1323" s="55" t="s">
        <v>6083</v>
      </c>
      <c r="P1323" s="67"/>
      <c r="Q1323" s="67" t="s">
        <v>6173</v>
      </c>
      <c r="R1323" s="67" t="s">
        <v>6185</v>
      </c>
      <c r="S1323" s="67" t="s">
        <v>6176</v>
      </c>
      <c r="T1323" s="56">
        <v>170.21</v>
      </c>
      <c r="U1323" s="103">
        <v>700</v>
      </c>
      <c r="V1323" s="103">
        <v>535.79999999999995</v>
      </c>
      <c r="W1323" s="103">
        <v>251.75903875011045</v>
      </c>
      <c r="X1323" s="103">
        <v>700</v>
      </c>
      <c r="Y1323" s="162">
        <v>6.4</v>
      </c>
      <c r="Z1323" s="56">
        <v>3.28</v>
      </c>
      <c r="AA1323" s="56">
        <v>3.09</v>
      </c>
      <c r="AB1323" s="56">
        <v>3.12</v>
      </c>
      <c r="AC1323" s="56">
        <v>0.95399999999999996</v>
      </c>
      <c r="AD1323" s="56">
        <v>3.08</v>
      </c>
      <c r="AE1323" s="56">
        <v>2.94</v>
      </c>
      <c r="AF1323" s="56">
        <f t="shared" si="304"/>
        <v>3.09</v>
      </c>
      <c r="AG1323" s="57">
        <v>3.16</v>
      </c>
      <c r="AH1323" s="103">
        <v>4.3000000000000001E-8</v>
      </c>
      <c r="AI1323" s="103">
        <v>1.0499999999999999E-6</v>
      </c>
      <c r="AJ1323" s="62">
        <f t="shared" si="305"/>
        <v>-5.7550978707330653</v>
      </c>
      <c r="AK1323" s="62">
        <f t="shared" si="312"/>
        <v>-4.3673770272427141</v>
      </c>
      <c r="AL1323" s="62">
        <f t="shared" si="306"/>
        <v>-4.3673770272427141</v>
      </c>
      <c r="AM1323" s="62">
        <v>-9.6377500000000005</v>
      </c>
      <c r="AN1323" s="154">
        <v>-5.99</v>
      </c>
      <c r="AO1323" s="410">
        <v>10</v>
      </c>
      <c r="AP1323" s="410"/>
      <c r="AQ1323" s="154" t="s">
        <v>6311</v>
      </c>
      <c r="AR1323" s="154" t="s">
        <v>6311</v>
      </c>
      <c r="AS1323" s="149" t="s">
        <v>6</v>
      </c>
      <c r="AT1323" s="58" t="s">
        <v>266</v>
      </c>
      <c r="AU1323" s="56">
        <v>8</v>
      </c>
      <c r="AV1323" s="56">
        <v>144</v>
      </c>
      <c r="AW1323" s="56">
        <v>120</v>
      </c>
      <c r="AX1323" s="56">
        <v>26</v>
      </c>
      <c r="AY1323" s="56" t="s">
        <v>267</v>
      </c>
      <c r="AZ1323" s="56" t="s">
        <v>268</v>
      </c>
      <c r="BA1323" s="56">
        <v>2</v>
      </c>
      <c r="BB1323" s="55" t="s">
        <v>888</v>
      </c>
      <c r="BC1323" s="55" t="s">
        <v>270</v>
      </c>
      <c r="BD1323" s="55" t="s">
        <v>8374</v>
      </c>
      <c r="BE1323" s="56" t="s">
        <v>889</v>
      </c>
      <c r="BF1323" s="56" t="s">
        <v>272</v>
      </c>
      <c r="BG1323" s="56" t="s">
        <v>272</v>
      </c>
      <c r="BH1323" s="56" t="s">
        <v>890</v>
      </c>
      <c r="BI1323" s="153">
        <v>1.7021000000000001E-4</v>
      </c>
      <c r="BJ1323" s="153">
        <v>13.616800000000001</v>
      </c>
      <c r="BK1323" s="56"/>
      <c r="BL1323" s="153">
        <v>9.9087089434368956</v>
      </c>
      <c r="BM1323" s="56" t="s">
        <v>891</v>
      </c>
      <c r="BN1323" s="162"/>
      <c r="BO1323" s="162"/>
      <c r="BP1323" s="162"/>
      <c r="BQ1323" s="162"/>
      <c r="BR1323" s="162"/>
      <c r="BS1323" s="56">
        <v>7.8577313307289911</v>
      </c>
      <c r="BT1323" s="162"/>
      <c r="BU1323" s="158"/>
      <c r="BV1323" s="162"/>
      <c r="BW1323" s="162"/>
      <c r="BX1323" s="162"/>
      <c r="BY1323" s="162"/>
      <c r="BZ1323" s="162"/>
      <c r="CA1323" s="162"/>
      <c r="CB1323" s="162"/>
      <c r="CC1323" s="56"/>
      <c r="CD1323" s="56"/>
      <c r="CE1323" s="56"/>
      <c r="CF1323" s="56"/>
      <c r="CG1323" s="56"/>
      <c r="CH1323" s="56"/>
      <c r="CI1323" s="103">
        <v>7.8577313307289911</v>
      </c>
      <c r="CJ1323" s="103">
        <f t="shared" si="300"/>
        <v>0.89529717545865761</v>
      </c>
      <c r="CK1323" s="57">
        <f t="shared" si="307"/>
        <v>0.72768263787651244</v>
      </c>
      <c r="CL1323" s="160">
        <f t="shared" si="308"/>
        <v>1.2610139652761108</v>
      </c>
      <c r="CM1323" s="160">
        <v>0.52177937345736614</v>
      </c>
      <c r="CN1323" s="160">
        <f t="shared" si="313"/>
        <v>4.0953939581615808</v>
      </c>
      <c r="CO1323" s="55" t="s">
        <v>892</v>
      </c>
      <c r="CP1323" s="497" t="s">
        <v>893</v>
      </c>
      <c r="CQ1323" s="149">
        <v>0.64792666164159751</v>
      </c>
      <c r="CR1323" s="349">
        <f t="shared" si="303"/>
        <v>1.7675451403574236</v>
      </c>
      <c r="CS1323" s="61" t="s">
        <v>539</v>
      </c>
      <c r="CT1323" s="61"/>
      <c r="CU1323" s="111">
        <f t="shared" si="309"/>
        <v>89.084236981039467</v>
      </c>
      <c r="CV1323" s="331">
        <f t="shared" si="310"/>
        <v>51.407085365137178</v>
      </c>
      <c r="CW1323" s="326">
        <f t="shared" si="301"/>
        <v>1</v>
      </c>
      <c r="CX1323" s="326" t="s">
        <v>539</v>
      </c>
      <c r="CY1323" s="161" t="s">
        <v>6351</v>
      </c>
    </row>
    <row r="1324" spans="1:103" ht="11.25" customHeight="1" x14ac:dyDescent="0.2">
      <c r="A1324" s="72">
        <v>124</v>
      </c>
      <c r="B1324" s="149">
        <v>194</v>
      </c>
      <c r="C1324" s="54" t="s">
        <v>958</v>
      </c>
      <c r="D1324" s="54" t="s">
        <v>6511</v>
      </c>
      <c r="E1324" s="59"/>
      <c r="F1324" s="59" t="s">
        <v>959</v>
      </c>
      <c r="G1324" s="151">
        <v>22781233</v>
      </c>
      <c r="H1324" s="55" t="s">
        <v>960</v>
      </c>
      <c r="I1324" s="55" t="s">
        <v>960</v>
      </c>
      <c r="J1324" s="55" t="s">
        <v>961</v>
      </c>
      <c r="K1324" s="55" t="s">
        <v>962</v>
      </c>
      <c r="L1324" s="55" t="s">
        <v>617</v>
      </c>
      <c r="M1324" s="55" t="s">
        <v>946</v>
      </c>
      <c r="N1324" s="60" t="s">
        <v>6376</v>
      </c>
      <c r="O1324" s="55" t="s">
        <v>918</v>
      </c>
      <c r="P1324" s="67"/>
      <c r="Q1324" s="67"/>
      <c r="R1324" s="67"/>
      <c r="S1324" s="67"/>
      <c r="T1324" s="56">
        <v>223.23</v>
      </c>
      <c r="U1324" s="103">
        <v>260</v>
      </c>
      <c r="V1324" s="103">
        <v>1169</v>
      </c>
      <c r="W1324" s="103">
        <v>268.38148973964491</v>
      </c>
      <c r="X1324" s="103">
        <v>260</v>
      </c>
      <c r="Y1324" s="162">
        <v>6.97</v>
      </c>
      <c r="Z1324" s="56">
        <v>2.5499999999999998</v>
      </c>
      <c r="AA1324" s="56">
        <v>1.7</v>
      </c>
      <c r="AB1324" s="56">
        <v>1.85</v>
      </c>
      <c r="AC1324" s="56">
        <v>0.84089999999999998</v>
      </c>
      <c r="AD1324" s="56">
        <v>1.85</v>
      </c>
      <c r="AE1324" s="56">
        <v>1.86</v>
      </c>
      <c r="AF1324" s="56">
        <f t="shared" si="304"/>
        <v>1.7</v>
      </c>
      <c r="AG1324" s="57">
        <v>1.38</v>
      </c>
      <c r="AH1324" s="103">
        <v>6.5799999999999995E-11</v>
      </c>
      <c r="AI1324" s="103">
        <v>3.8999999999999998E-8</v>
      </c>
      <c r="AJ1324" s="62">
        <f t="shared" si="305"/>
        <v>-8.5703404326986963</v>
      </c>
      <c r="AK1324" s="62">
        <f t="shared" si="312"/>
        <v>-5.7975017192861529</v>
      </c>
      <c r="AL1324" s="62">
        <f t="shared" si="306"/>
        <v>-5.7975017192861529</v>
      </c>
      <c r="AM1324" s="62">
        <v>-11.31254</v>
      </c>
      <c r="AN1324" s="154">
        <v>-5.95</v>
      </c>
      <c r="AO1324" s="410">
        <v>11.98</v>
      </c>
      <c r="AP1324" s="410">
        <v>-1.56</v>
      </c>
      <c r="AQ1324" s="154" t="s">
        <v>6311</v>
      </c>
      <c r="AR1324" s="154" t="s">
        <v>6314</v>
      </c>
      <c r="AS1324" s="149" t="s">
        <v>6</v>
      </c>
      <c r="AT1324" s="58" t="s">
        <v>266</v>
      </c>
      <c r="AU1324" s="56">
        <v>8</v>
      </c>
      <c r="AV1324" s="56">
        <v>144</v>
      </c>
      <c r="AW1324" s="56">
        <v>120</v>
      </c>
      <c r="AX1324" s="56">
        <v>26</v>
      </c>
      <c r="AY1324" s="56" t="s">
        <v>267</v>
      </c>
      <c r="AZ1324" s="56" t="s">
        <v>268</v>
      </c>
      <c r="BA1324" s="56">
        <v>2</v>
      </c>
      <c r="BB1324" s="55" t="s">
        <v>888</v>
      </c>
      <c r="BC1324" s="55" t="s">
        <v>270</v>
      </c>
      <c r="BD1324" s="55" t="s">
        <v>8374</v>
      </c>
      <c r="BE1324" s="56" t="s">
        <v>889</v>
      </c>
      <c r="BF1324" s="56" t="s">
        <v>272</v>
      </c>
      <c r="BG1324" s="56" t="s">
        <v>272</v>
      </c>
      <c r="BH1324" s="56" t="s">
        <v>890</v>
      </c>
      <c r="BI1324" s="153">
        <v>2.2322999999999999E-4</v>
      </c>
      <c r="BJ1324" s="153">
        <v>17.8584</v>
      </c>
      <c r="BK1324" s="56"/>
      <c r="BL1324" s="153">
        <v>58.802739474736306</v>
      </c>
      <c r="BM1324" s="56" t="s">
        <v>891</v>
      </c>
      <c r="BN1324" s="162"/>
      <c r="BO1324" s="162"/>
      <c r="BP1324" s="162"/>
      <c r="BQ1324" s="162"/>
      <c r="BR1324" s="162"/>
      <c r="BS1324" s="56">
        <v>10.305395481808546</v>
      </c>
      <c r="BT1324" s="162"/>
      <c r="BU1324" s="158"/>
      <c r="BV1324" s="162"/>
      <c r="BW1324" s="162"/>
      <c r="BX1324" s="162"/>
      <c r="BY1324" s="162"/>
      <c r="BZ1324" s="162"/>
      <c r="CA1324" s="162"/>
      <c r="CB1324" s="162"/>
      <c r="CC1324" s="56"/>
      <c r="CD1324" s="56"/>
      <c r="CE1324" s="56"/>
      <c r="CF1324" s="56"/>
      <c r="CG1324" s="56"/>
      <c r="CH1324" s="56"/>
      <c r="CI1324" s="103">
        <v>10.305395481808546</v>
      </c>
      <c r="CJ1324" s="103">
        <f t="shared" si="300"/>
        <v>1.0130646630023195</v>
      </c>
      <c r="CK1324" s="57">
        <f t="shared" si="307"/>
        <v>3.2927216029843831</v>
      </c>
      <c r="CL1324" s="160">
        <f t="shared" si="308"/>
        <v>5.7060148325735787</v>
      </c>
      <c r="CM1324" s="160">
        <v>1.7323127703198531E-2</v>
      </c>
      <c r="CN1324" s="160">
        <f t="shared" si="313"/>
        <v>17.16008436041113</v>
      </c>
      <c r="CO1324" s="55" t="s">
        <v>892</v>
      </c>
      <c r="CP1324" s="497" t="s">
        <v>893</v>
      </c>
      <c r="CQ1324" s="149">
        <v>3.6955979419066129E-2</v>
      </c>
      <c r="CR1324" s="349">
        <f t="shared" si="303"/>
        <v>9.4647398987441846</v>
      </c>
      <c r="CS1324" s="61" t="s">
        <v>539</v>
      </c>
      <c r="CT1324" s="61"/>
      <c r="CU1324" s="111">
        <f t="shared" si="309"/>
        <v>25.22950239599842</v>
      </c>
      <c r="CV1324" s="331">
        <f t="shared" si="310"/>
        <v>14.55897504815661</v>
      </c>
      <c r="CW1324" s="326">
        <f t="shared" si="301"/>
        <v>1</v>
      </c>
      <c r="CX1324" s="326" t="s">
        <v>539</v>
      </c>
      <c r="CY1324" s="161" t="s">
        <v>5921</v>
      </c>
    </row>
    <row r="1325" spans="1:103" ht="11.25" customHeight="1" x14ac:dyDescent="0.2">
      <c r="A1325" s="72">
        <v>125</v>
      </c>
      <c r="B1325" s="149">
        <v>367</v>
      </c>
      <c r="C1325" s="54" t="s">
        <v>1307</v>
      </c>
      <c r="D1325" s="54" t="s">
        <v>6521</v>
      </c>
      <c r="E1325" s="59"/>
      <c r="F1325" s="59" t="s">
        <v>1308</v>
      </c>
      <c r="G1325" s="151">
        <v>51218452</v>
      </c>
      <c r="H1325" s="55" t="s">
        <v>1309</v>
      </c>
      <c r="I1325" s="55" t="s">
        <v>8129</v>
      </c>
      <c r="J1325" s="55" t="s">
        <v>1310</v>
      </c>
      <c r="K1325" s="55" t="s">
        <v>924</v>
      </c>
      <c r="L1325" s="55" t="s">
        <v>5999</v>
      </c>
      <c r="M1325" s="55" t="s">
        <v>6082</v>
      </c>
      <c r="N1325" s="60" t="s">
        <v>6082</v>
      </c>
      <c r="O1325" s="55" t="s">
        <v>6083</v>
      </c>
      <c r="P1325" s="67"/>
      <c r="Q1325" s="67"/>
      <c r="R1325" s="67"/>
      <c r="S1325" s="67"/>
      <c r="T1325" s="56">
        <v>283.79000000000002</v>
      </c>
      <c r="U1325" s="103">
        <v>530</v>
      </c>
      <c r="V1325" s="103">
        <v>50.86</v>
      </c>
      <c r="W1325" s="103">
        <v>516.4129066649266</v>
      </c>
      <c r="X1325" s="103">
        <v>530</v>
      </c>
      <c r="Y1325" s="162">
        <v>7.01</v>
      </c>
      <c r="Z1325" s="56">
        <v>3.24</v>
      </c>
      <c r="AA1325" s="56">
        <v>2.9</v>
      </c>
      <c r="AB1325" s="56">
        <v>3.28</v>
      </c>
      <c r="AC1325" s="56">
        <v>0.85260000000000002</v>
      </c>
      <c r="AD1325" s="56">
        <v>3.22</v>
      </c>
      <c r="AE1325" s="56">
        <v>3</v>
      </c>
      <c r="AF1325" s="56">
        <f t="shared" si="304"/>
        <v>2.9</v>
      </c>
      <c r="AG1325" s="57">
        <v>3.4</v>
      </c>
      <c r="AH1325" s="103">
        <v>1.49E-9</v>
      </c>
      <c r="AI1325" s="103">
        <v>8.9999999999999995E-9</v>
      </c>
      <c r="AJ1325" s="62">
        <f t="shared" si="305"/>
        <v>-7.2153800579003775</v>
      </c>
      <c r="AK1325" s="62">
        <f t="shared" si="312"/>
        <v>-6.4343238168733272</v>
      </c>
      <c r="AL1325" s="62">
        <f t="shared" si="306"/>
        <v>-6.4343238168733272</v>
      </c>
      <c r="AM1325" s="62">
        <v>-10.885639999999999</v>
      </c>
      <c r="AN1325" s="154">
        <v>-5.2</v>
      </c>
      <c r="AO1325" s="410"/>
      <c r="AP1325" s="410">
        <v>1.45</v>
      </c>
      <c r="AQ1325" s="154" t="s">
        <v>6311</v>
      </c>
      <c r="AR1325" s="154" t="s">
        <v>6311</v>
      </c>
      <c r="AS1325" s="149" t="s">
        <v>6</v>
      </c>
      <c r="AT1325" s="58" t="s">
        <v>266</v>
      </c>
      <c r="AU1325" s="56">
        <v>8</v>
      </c>
      <c r="AV1325" s="56">
        <v>144</v>
      </c>
      <c r="AW1325" s="56">
        <v>120</v>
      </c>
      <c r="AX1325" s="56">
        <v>26</v>
      </c>
      <c r="AY1325" s="56" t="s">
        <v>267</v>
      </c>
      <c r="AZ1325" s="56" t="s">
        <v>268</v>
      </c>
      <c r="BA1325" s="56">
        <v>2</v>
      </c>
      <c r="BB1325" s="55" t="s">
        <v>888</v>
      </c>
      <c r="BC1325" s="55" t="s">
        <v>270</v>
      </c>
      <c r="BD1325" s="55" t="s">
        <v>8374</v>
      </c>
      <c r="BE1325" s="56" t="s">
        <v>889</v>
      </c>
      <c r="BF1325" s="56" t="s">
        <v>272</v>
      </c>
      <c r="BG1325" s="56" t="s">
        <v>272</v>
      </c>
      <c r="BH1325" s="56" t="s">
        <v>890</v>
      </c>
      <c r="BI1325" s="153">
        <v>2.8379000000000002E-4</v>
      </c>
      <c r="BJ1325" s="153">
        <v>22.703200000000002</v>
      </c>
      <c r="BK1325" s="56"/>
      <c r="BL1325" s="153">
        <v>17.945397722670076</v>
      </c>
      <c r="BM1325" s="56" t="s">
        <v>891</v>
      </c>
      <c r="BN1325" s="162"/>
      <c r="BO1325" s="162"/>
      <c r="BP1325" s="162"/>
      <c r="BQ1325" s="162"/>
      <c r="BR1325" s="162"/>
      <c r="BS1325" s="56">
        <v>13.101143142868107</v>
      </c>
      <c r="BT1325" s="162"/>
      <c r="BU1325" s="158"/>
      <c r="BV1325" s="162"/>
      <c r="BW1325" s="162"/>
      <c r="BX1325" s="162"/>
      <c r="BY1325" s="162"/>
      <c r="BZ1325" s="162"/>
      <c r="CA1325" s="162"/>
      <c r="CB1325" s="162"/>
      <c r="CC1325" s="56"/>
      <c r="CD1325" s="56"/>
      <c r="CE1325" s="56"/>
      <c r="CF1325" s="56"/>
      <c r="CG1325" s="56"/>
      <c r="CH1325" s="56"/>
      <c r="CI1325" s="103">
        <v>13.101143142868107</v>
      </c>
      <c r="CJ1325" s="103">
        <f t="shared" si="300"/>
        <v>1.1173091917610796</v>
      </c>
      <c r="CK1325" s="57">
        <f t="shared" si="307"/>
        <v>0.79043472826165806</v>
      </c>
      <c r="CL1325" s="160">
        <f t="shared" si="308"/>
        <v>1.369758159801425</v>
      </c>
      <c r="CM1325" s="160">
        <v>0.85250397966666791</v>
      </c>
      <c r="CN1325" s="160">
        <f t="shared" si="313"/>
        <v>3.1884755814234071</v>
      </c>
      <c r="CO1325" s="55" t="s">
        <v>892</v>
      </c>
      <c r="CP1325" s="497" t="s">
        <v>893</v>
      </c>
      <c r="CQ1325" s="149">
        <v>0.90647544647743228</v>
      </c>
      <c r="CR1325" s="349">
        <f t="shared" si="303"/>
        <v>1.6249265893721008</v>
      </c>
      <c r="CS1325" s="61" t="s">
        <v>539</v>
      </c>
      <c r="CT1325" s="61"/>
      <c r="CU1325" s="111">
        <f t="shared" si="309"/>
        <v>40.45448509495273</v>
      </c>
      <c r="CV1325" s="331">
        <f t="shared" si="310"/>
        <v>23.344726734557241</v>
      </c>
      <c r="CW1325" s="326">
        <f t="shared" si="301"/>
        <v>1</v>
      </c>
      <c r="CX1325" s="326" t="s">
        <v>539</v>
      </c>
      <c r="CY1325" s="161" t="s">
        <v>5921</v>
      </c>
    </row>
    <row r="1326" spans="1:103" ht="11.25" customHeight="1" x14ac:dyDescent="0.2">
      <c r="A1326" s="72">
        <v>126</v>
      </c>
      <c r="B1326" s="149">
        <v>293</v>
      </c>
      <c r="C1326" s="54" t="s">
        <v>1155</v>
      </c>
      <c r="D1326" s="54" t="s">
        <v>6528</v>
      </c>
      <c r="E1326" s="59"/>
      <c r="F1326" s="59" t="s">
        <v>1156</v>
      </c>
      <c r="G1326" s="151">
        <v>60168889</v>
      </c>
      <c r="H1326" s="55" t="s">
        <v>1157</v>
      </c>
      <c r="I1326" s="55" t="s">
        <v>8137</v>
      </c>
      <c r="J1326" s="55" t="s">
        <v>1158</v>
      </c>
      <c r="K1326" s="55" t="s">
        <v>306</v>
      </c>
      <c r="L1326" s="55" t="s">
        <v>5978</v>
      </c>
      <c r="M1326" s="55" t="s">
        <v>6082</v>
      </c>
      <c r="N1326" s="60" t="s">
        <v>6082</v>
      </c>
      <c r="O1326" s="55" t="s">
        <v>6083</v>
      </c>
      <c r="P1326" s="67"/>
      <c r="Q1326" s="67"/>
      <c r="R1326" s="67"/>
      <c r="S1326" s="67"/>
      <c r="T1326" s="56">
        <v>331.2</v>
      </c>
      <c r="U1326" s="103">
        <v>14</v>
      </c>
      <c r="V1326" s="103">
        <v>21.9</v>
      </c>
      <c r="W1326" s="103">
        <v>21.384068065627734</v>
      </c>
      <c r="X1326" s="103">
        <v>14</v>
      </c>
      <c r="Y1326" s="162">
        <v>6.98</v>
      </c>
      <c r="Z1326" s="56">
        <v>3.62</v>
      </c>
      <c r="AA1326" s="56">
        <v>3.6</v>
      </c>
      <c r="AB1326" s="56">
        <v>2.91</v>
      </c>
      <c r="AC1326" s="56">
        <v>0.7964</v>
      </c>
      <c r="AD1326" s="56">
        <v>3</v>
      </c>
      <c r="AE1326" s="56">
        <v>3.23</v>
      </c>
      <c r="AF1326" s="56">
        <f t="shared" si="304"/>
        <v>3.6</v>
      </c>
      <c r="AG1326" s="57">
        <v>3.71</v>
      </c>
      <c r="AH1326" s="103">
        <v>4.2100000000000002E-13</v>
      </c>
      <c r="AI1326" s="103">
        <v>6.9999999999999998E-9</v>
      </c>
      <c r="AJ1326" s="62">
        <f t="shared" si="305"/>
        <v>-10.764284230476983</v>
      </c>
      <c r="AK1326" s="62">
        <f t="shared" si="312"/>
        <v>-6.5434682862983946</v>
      </c>
      <c r="AL1326" s="62">
        <f t="shared" si="306"/>
        <v>-6.5434682862983946</v>
      </c>
      <c r="AM1326" s="62">
        <v>-15.724299999999999</v>
      </c>
      <c r="AN1326" s="154">
        <v>-7.91</v>
      </c>
      <c r="AO1326" s="410">
        <v>11.23</v>
      </c>
      <c r="AP1326" s="410">
        <v>1.67</v>
      </c>
      <c r="AQ1326" s="154" t="s">
        <v>6311</v>
      </c>
      <c r="AR1326" s="154" t="s">
        <v>6311</v>
      </c>
      <c r="AS1326" s="149" t="s">
        <v>6</v>
      </c>
      <c r="AT1326" s="58" t="s">
        <v>266</v>
      </c>
      <c r="AU1326" s="56">
        <v>8</v>
      </c>
      <c r="AV1326" s="56">
        <v>144</v>
      </c>
      <c r="AW1326" s="56">
        <v>120</v>
      </c>
      <c r="AX1326" s="56">
        <v>26</v>
      </c>
      <c r="AY1326" s="56" t="s">
        <v>267</v>
      </c>
      <c r="AZ1326" s="56" t="s">
        <v>268</v>
      </c>
      <c r="BA1326" s="56">
        <v>3</v>
      </c>
      <c r="BB1326" s="55" t="s">
        <v>888</v>
      </c>
      <c r="BC1326" s="55" t="s">
        <v>270</v>
      </c>
      <c r="BD1326" s="55" t="s">
        <v>8374</v>
      </c>
      <c r="BE1326" s="56" t="s">
        <v>889</v>
      </c>
      <c r="BF1326" s="56" t="s">
        <v>272</v>
      </c>
      <c r="BG1326" s="56" t="s">
        <v>272</v>
      </c>
      <c r="BH1326" s="56" t="s">
        <v>890</v>
      </c>
      <c r="BI1326" s="153">
        <v>3.3119999999999997E-4</v>
      </c>
      <c r="BJ1326" s="153">
        <v>26.495999999999999</v>
      </c>
      <c r="BK1326" s="56"/>
      <c r="BL1326" s="153">
        <v>9.5448328658656862</v>
      </c>
      <c r="BM1326" s="56" t="s">
        <v>891</v>
      </c>
      <c r="BN1326" s="162"/>
      <c r="BO1326" s="162"/>
      <c r="BP1326" s="162"/>
      <c r="BQ1326" s="162"/>
      <c r="BR1326" s="162"/>
      <c r="BS1326" s="56">
        <v>15.289822082941319</v>
      </c>
      <c r="BT1326" s="162"/>
      <c r="BU1326" s="158"/>
      <c r="BV1326" s="162"/>
      <c r="BW1326" s="162"/>
      <c r="BX1326" s="162"/>
      <c r="BY1326" s="162"/>
      <c r="BZ1326" s="162"/>
      <c r="CA1326" s="162"/>
      <c r="CB1326" s="162"/>
      <c r="CC1326" s="56"/>
      <c r="CD1326" s="56"/>
      <c r="CE1326" s="56"/>
      <c r="CF1326" s="56"/>
      <c r="CG1326" s="56"/>
      <c r="CH1326" s="56"/>
      <c r="CI1326" s="103">
        <v>15.289822082941319</v>
      </c>
      <c r="CJ1326" s="103">
        <f t="shared" si="300"/>
        <v>1.184402431857946</v>
      </c>
      <c r="CK1326" s="57">
        <f t="shared" si="307"/>
        <v>0.36023674765495495</v>
      </c>
      <c r="CL1326" s="160">
        <f t="shared" si="308"/>
        <v>0.62426055804238223</v>
      </c>
      <c r="CM1326" s="160">
        <v>0.32179662340504073</v>
      </c>
      <c r="CN1326" s="160">
        <f t="shared" si="313"/>
        <v>12.629428300987296</v>
      </c>
      <c r="CO1326" s="55" t="s">
        <v>892</v>
      </c>
      <c r="CP1326" s="497" t="s">
        <v>893</v>
      </c>
      <c r="CQ1326" s="149">
        <v>0.39862578591717501</v>
      </c>
      <c r="CR1326" s="349">
        <f t="shared" si="303"/>
        <v>6.1062790325834566</v>
      </c>
      <c r="CS1326" s="61" t="s">
        <v>539</v>
      </c>
      <c r="CT1326" s="61"/>
      <c r="CU1326" s="111">
        <f t="shared" si="309"/>
        <v>0.91564178602311153</v>
      </c>
      <c r="CV1326" s="331">
        <f t="shared" si="310"/>
        <v>0.52838164251207731</v>
      </c>
      <c r="CW1326" s="326">
        <f t="shared" si="301"/>
        <v>0</v>
      </c>
      <c r="CX1326" s="326" t="s">
        <v>539</v>
      </c>
      <c r="CY1326" s="161" t="s">
        <v>5921</v>
      </c>
    </row>
    <row r="1327" spans="1:103" ht="11.25" customHeight="1" x14ac:dyDescent="0.2">
      <c r="A1327" s="72">
        <v>127</v>
      </c>
      <c r="B1327" s="149">
        <v>453</v>
      </c>
      <c r="C1327" s="54" t="s">
        <v>1487</v>
      </c>
      <c r="D1327" s="54" t="s">
        <v>6482</v>
      </c>
      <c r="E1327" s="59"/>
      <c r="F1327" s="59" t="s">
        <v>1488</v>
      </c>
      <c r="G1327" s="151">
        <v>148798</v>
      </c>
      <c r="H1327" s="55" t="s">
        <v>1489</v>
      </c>
      <c r="I1327" s="55" t="s">
        <v>1489</v>
      </c>
      <c r="J1327" s="55" t="s">
        <v>1490</v>
      </c>
      <c r="K1327" s="55" t="s">
        <v>1064</v>
      </c>
      <c r="L1327" s="55" t="s">
        <v>279</v>
      </c>
      <c r="M1327" s="55" t="s">
        <v>6142</v>
      </c>
      <c r="N1327" s="60" t="s">
        <v>6082</v>
      </c>
      <c r="O1327" s="55" t="s">
        <v>6091</v>
      </c>
      <c r="P1327" s="67"/>
      <c r="Q1327" s="67"/>
      <c r="R1327" s="67"/>
      <c r="S1327" s="67"/>
      <c r="T1327" s="56">
        <v>201.25</v>
      </c>
      <c r="U1327" s="103">
        <v>50</v>
      </c>
      <c r="V1327" s="103">
        <v>335.2</v>
      </c>
      <c r="W1327" s="103">
        <v>59.393085686661017</v>
      </c>
      <c r="X1327" s="103">
        <v>50</v>
      </c>
      <c r="Y1327" s="162">
        <v>7.21</v>
      </c>
      <c r="Z1327" s="56">
        <v>2</v>
      </c>
      <c r="AA1327" s="56">
        <v>2.4700000000000002</v>
      </c>
      <c r="AB1327" s="56">
        <v>2.37</v>
      </c>
      <c r="AC1327" s="56">
        <v>0.88529999999999998</v>
      </c>
      <c r="AD1327" s="56">
        <v>2.39</v>
      </c>
      <c r="AE1327" s="56">
        <v>2.4700000000000002</v>
      </c>
      <c r="AF1327" s="56">
        <f t="shared" si="304"/>
        <v>2.4700000000000002</v>
      </c>
      <c r="AG1327" s="57">
        <v>2.59</v>
      </c>
      <c r="AH1327" s="103">
        <v>1.9999999999999999E-11</v>
      </c>
      <c r="AI1327" s="103">
        <v>2.1199999999999999E-11</v>
      </c>
      <c r="AJ1327" s="62">
        <f t="shared" si="305"/>
        <v>-9.0875363306486712</v>
      </c>
      <c r="AK1327" s="62">
        <f t="shared" si="312"/>
        <v>-9.0622304653838999</v>
      </c>
      <c r="AL1327" s="62">
        <f t="shared" si="306"/>
        <v>-9.0622304653838999</v>
      </c>
      <c r="AM1327" s="62">
        <v>-12.588529999999999</v>
      </c>
      <c r="AN1327" s="154">
        <v>-12.7</v>
      </c>
      <c r="AO1327" s="410">
        <v>10.53</v>
      </c>
      <c r="AP1327" s="410">
        <v>3.4</v>
      </c>
      <c r="AQ1327" s="154" t="s">
        <v>6311</v>
      </c>
      <c r="AR1327" s="154" t="s">
        <v>6311</v>
      </c>
      <c r="AS1327" s="149" t="s">
        <v>6</v>
      </c>
      <c r="AT1327" s="58" t="s">
        <v>266</v>
      </c>
      <c r="AU1327" s="56">
        <v>8</v>
      </c>
      <c r="AV1327" s="56">
        <v>144</v>
      </c>
      <c r="AW1327" s="56">
        <v>120</v>
      </c>
      <c r="AX1327" s="56">
        <v>26</v>
      </c>
      <c r="AY1327" s="56" t="s">
        <v>267</v>
      </c>
      <c r="AZ1327" s="56" t="s">
        <v>268</v>
      </c>
      <c r="BA1327" s="56">
        <v>3</v>
      </c>
      <c r="BB1327" s="55" t="s">
        <v>888</v>
      </c>
      <c r="BC1327" s="55" t="s">
        <v>270</v>
      </c>
      <c r="BD1327" s="55" t="s">
        <v>8374</v>
      </c>
      <c r="BE1327" s="56" t="s">
        <v>889</v>
      </c>
      <c r="BF1327" s="56" t="s">
        <v>272</v>
      </c>
      <c r="BG1327" s="56" t="s">
        <v>272</v>
      </c>
      <c r="BH1327" s="56" t="s">
        <v>890</v>
      </c>
      <c r="BI1327" s="153">
        <v>2.0124999999999999E-4</v>
      </c>
      <c r="BJ1327" s="153">
        <v>16.100000000000001</v>
      </c>
      <c r="BK1327" s="56"/>
      <c r="BL1327" s="153">
        <v>165.32399413207588</v>
      </c>
      <c r="BM1327" s="56" t="s">
        <v>891</v>
      </c>
      <c r="BN1327" s="162"/>
      <c r="BO1327" s="162"/>
      <c r="BP1327" s="162"/>
      <c r="BQ1327" s="162"/>
      <c r="BR1327" s="162"/>
      <c r="BS1327" s="56">
        <v>9.2906905017872603</v>
      </c>
      <c r="BT1327" s="162"/>
      <c r="BU1327" s="158"/>
      <c r="BV1327" s="162"/>
      <c r="BW1327" s="162"/>
      <c r="BX1327" s="162"/>
      <c r="BY1327" s="162"/>
      <c r="BZ1327" s="162"/>
      <c r="CA1327" s="162"/>
      <c r="CB1327" s="162"/>
      <c r="CC1327" s="56"/>
      <c r="CD1327" s="56"/>
      <c r="CE1327" s="56"/>
      <c r="CF1327" s="56"/>
      <c r="CG1327" s="56"/>
      <c r="CH1327" s="56"/>
      <c r="CI1327" s="103">
        <v>9.2906905017872603</v>
      </c>
      <c r="CJ1327" s="103">
        <f t="shared" si="300"/>
        <v>0.96804799278500964</v>
      </c>
      <c r="CK1327" s="57">
        <f t="shared" si="307"/>
        <v>10.268571064104091</v>
      </c>
      <c r="CL1327" s="160">
        <f t="shared" si="308"/>
        <v>17.794586322757421</v>
      </c>
      <c r="CM1327" s="160">
        <v>0.30364945603599391</v>
      </c>
      <c r="CN1327" s="160">
        <f t="shared" si="313"/>
        <v>8.0015923132161202</v>
      </c>
      <c r="CO1327" s="55" t="s">
        <v>892</v>
      </c>
      <c r="CP1327" s="497" t="s">
        <v>893</v>
      </c>
      <c r="CQ1327" s="149">
        <v>0.78178444360939892</v>
      </c>
      <c r="CR1327" s="349">
        <f t="shared" si="303"/>
        <v>1.5355485391523958</v>
      </c>
      <c r="CS1327" s="61" t="s">
        <v>539</v>
      </c>
      <c r="CT1327" s="61"/>
      <c r="CU1327" s="111">
        <f t="shared" si="309"/>
        <v>5.3817313137684915</v>
      </c>
      <c r="CV1327" s="331">
        <f t="shared" si="310"/>
        <v>3.1055900621118009</v>
      </c>
      <c r="CW1327" s="326">
        <f t="shared" si="301"/>
        <v>1</v>
      </c>
      <c r="CX1327" s="326" t="s">
        <v>539</v>
      </c>
      <c r="CY1327" s="161" t="s">
        <v>5921</v>
      </c>
    </row>
    <row r="1328" spans="1:103" ht="11.25" customHeight="1" x14ac:dyDescent="0.2">
      <c r="A1328" s="72">
        <v>130</v>
      </c>
      <c r="B1328" s="149">
        <v>459</v>
      </c>
      <c r="C1328" s="54" t="s">
        <v>1500</v>
      </c>
      <c r="D1328" s="54" t="s">
        <v>6527</v>
      </c>
      <c r="E1328" s="59"/>
      <c r="F1328" s="59" t="s">
        <v>1501</v>
      </c>
      <c r="G1328" s="151">
        <v>59669260</v>
      </c>
      <c r="H1328" s="55" t="s">
        <v>1502</v>
      </c>
      <c r="I1328" s="55" t="s">
        <v>1502</v>
      </c>
      <c r="J1328" s="55" t="s">
        <v>1503</v>
      </c>
      <c r="K1328" s="55" t="s">
        <v>1504</v>
      </c>
      <c r="L1328" s="55" t="s">
        <v>617</v>
      </c>
      <c r="M1328" s="55" t="s">
        <v>946</v>
      </c>
      <c r="N1328" s="60" t="s">
        <v>6376</v>
      </c>
      <c r="O1328" s="55" t="s">
        <v>918</v>
      </c>
      <c r="P1328" s="67"/>
      <c r="Q1328" s="67"/>
      <c r="R1328" s="67"/>
      <c r="S1328" s="67"/>
      <c r="T1328" s="56">
        <v>354.47</v>
      </c>
      <c r="U1328" s="103">
        <v>35</v>
      </c>
      <c r="V1328" s="103">
        <v>205.7</v>
      </c>
      <c r="W1328" s="103">
        <v>194.79575355631221</v>
      </c>
      <c r="X1328" s="103">
        <v>35</v>
      </c>
      <c r="Y1328" s="162">
        <v>7</v>
      </c>
      <c r="Z1328" s="56">
        <v>1.91</v>
      </c>
      <c r="AA1328" s="56">
        <v>1.7</v>
      </c>
      <c r="AB1328" s="56">
        <v>2.17</v>
      </c>
      <c r="AC1328" s="56">
        <v>0.85609999999999997</v>
      </c>
      <c r="AD1328" s="56">
        <v>1.99</v>
      </c>
      <c r="AE1328" s="56">
        <v>1.52</v>
      </c>
      <c r="AF1328" s="56">
        <f t="shared" si="304"/>
        <v>1.7</v>
      </c>
      <c r="AG1328" s="57">
        <v>1.96</v>
      </c>
      <c r="AH1328" s="103">
        <v>9.7800000000000001E-11</v>
      </c>
      <c r="AI1328" s="103">
        <v>9.33E-7</v>
      </c>
      <c r="AJ1328" s="62">
        <f t="shared" si="305"/>
        <v>-8.3982274715250504</v>
      </c>
      <c r="AK1328" s="62">
        <f t="shared" si="312"/>
        <v>-4.4186846825661519</v>
      </c>
      <c r="AL1328" s="62">
        <f t="shared" si="306"/>
        <v>-4.4186846825661519</v>
      </c>
      <c r="AM1328" s="62">
        <v>-16.876429999999999</v>
      </c>
      <c r="AN1328" s="154">
        <v>-10</v>
      </c>
      <c r="AO1328" s="410"/>
      <c r="AP1328" s="410">
        <v>-1.79</v>
      </c>
      <c r="AQ1328" s="154" t="s">
        <v>6311</v>
      </c>
      <c r="AR1328" s="154" t="s">
        <v>6311</v>
      </c>
      <c r="AS1328" s="149" t="s">
        <v>6</v>
      </c>
      <c r="AT1328" s="58" t="s">
        <v>266</v>
      </c>
      <c r="AU1328" s="56">
        <v>8</v>
      </c>
      <c r="AV1328" s="56">
        <v>144</v>
      </c>
      <c r="AW1328" s="56">
        <v>120</v>
      </c>
      <c r="AX1328" s="56">
        <v>26</v>
      </c>
      <c r="AY1328" s="56" t="s">
        <v>267</v>
      </c>
      <c r="AZ1328" s="56" t="s">
        <v>268</v>
      </c>
      <c r="BA1328" s="56">
        <v>2</v>
      </c>
      <c r="BB1328" s="55" t="s">
        <v>888</v>
      </c>
      <c r="BC1328" s="55" t="s">
        <v>270</v>
      </c>
      <c r="BD1328" s="55" t="s">
        <v>8374</v>
      </c>
      <c r="BE1328" s="56" t="s">
        <v>889</v>
      </c>
      <c r="BF1328" s="56" t="s">
        <v>272</v>
      </c>
      <c r="BG1328" s="56" t="s">
        <v>272</v>
      </c>
      <c r="BH1328" s="56" t="s">
        <v>890</v>
      </c>
      <c r="BI1328" s="153">
        <v>3.5447000000000001E-4</v>
      </c>
      <c r="BJ1328" s="153">
        <v>28.357600000000001</v>
      </c>
      <c r="BK1328" s="56"/>
      <c r="BL1328" s="153">
        <v>350.75872701914329</v>
      </c>
      <c r="BM1328" s="56" t="s">
        <v>891</v>
      </c>
      <c r="BN1328" s="162"/>
      <c r="BO1328" s="162"/>
      <c r="BP1328" s="162"/>
      <c r="BQ1328" s="162"/>
      <c r="BR1328" s="162"/>
      <c r="BS1328" s="56">
        <v>16.36407981201754</v>
      </c>
      <c r="BT1328" s="162"/>
      <c r="BU1328" s="158"/>
      <c r="BV1328" s="162"/>
      <c r="BW1328" s="162"/>
      <c r="BX1328" s="162"/>
      <c r="BY1328" s="162"/>
      <c r="BZ1328" s="162"/>
      <c r="CA1328" s="162"/>
      <c r="CB1328" s="162"/>
      <c r="CC1328" s="56"/>
      <c r="CD1328" s="56"/>
      <c r="CE1328" s="56"/>
      <c r="CF1328" s="56"/>
      <c r="CG1328" s="56"/>
      <c r="CH1328" s="56"/>
      <c r="CI1328" s="103">
        <v>16.36407981201754</v>
      </c>
      <c r="CJ1328" s="103">
        <f t="shared" si="300"/>
        <v>1.2138915890024715</v>
      </c>
      <c r="CK1328" s="57">
        <f t="shared" si="307"/>
        <v>12.3691259845383</v>
      </c>
      <c r="CL1328" s="160">
        <f t="shared" si="308"/>
        <v>21.434674668449812</v>
      </c>
      <c r="CM1328" s="160">
        <v>0.1232492903979001</v>
      </c>
      <c r="CN1328" s="160">
        <f t="shared" si="313"/>
        <v>21.35109642285498</v>
      </c>
      <c r="CO1328" s="55" t="s">
        <v>892</v>
      </c>
      <c r="CP1328" s="497" t="s">
        <v>893</v>
      </c>
      <c r="CQ1328" s="149">
        <v>0.26143922528969166</v>
      </c>
      <c r="CR1328" s="349">
        <f t="shared" si="303"/>
        <v>8.9629786868786461</v>
      </c>
      <c r="CS1328" s="61" t="s">
        <v>539</v>
      </c>
      <c r="CT1328" s="61"/>
      <c r="CU1328" s="111">
        <f t="shared" si="309"/>
        <v>2.1388309273764672</v>
      </c>
      <c r="CV1328" s="331">
        <f t="shared" si="310"/>
        <v>1.2342370299320111</v>
      </c>
      <c r="CW1328" s="326">
        <f t="shared" si="301"/>
        <v>1</v>
      </c>
      <c r="CX1328" s="326" t="s">
        <v>539</v>
      </c>
      <c r="CY1328" s="161" t="s">
        <v>5921</v>
      </c>
    </row>
    <row r="1329" spans="1:103" ht="11.25" customHeight="1" x14ac:dyDescent="0.2">
      <c r="A1329" s="72">
        <v>131</v>
      </c>
      <c r="B1329" s="149">
        <v>465</v>
      </c>
      <c r="C1329" s="54" t="s">
        <v>1526</v>
      </c>
      <c r="D1329" s="54" t="s">
        <v>6487</v>
      </c>
      <c r="E1329" s="59"/>
      <c r="F1329" s="59" t="s">
        <v>1527</v>
      </c>
      <c r="G1329" s="151">
        <v>2303175</v>
      </c>
      <c r="H1329" s="55" t="s">
        <v>1528</v>
      </c>
      <c r="I1329" s="55" t="s">
        <v>8083</v>
      </c>
      <c r="J1329" s="55" t="s">
        <v>1529</v>
      </c>
      <c r="K1329" s="55" t="s">
        <v>1530</v>
      </c>
      <c r="L1329" s="55" t="s">
        <v>6016</v>
      </c>
      <c r="M1329" s="55" t="s">
        <v>6082</v>
      </c>
      <c r="N1329" s="60" t="s">
        <v>6082</v>
      </c>
      <c r="O1329" s="55" t="s">
        <v>6083</v>
      </c>
      <c r="P1329" s="67"/>
      <c r="Q1329" s="67"/>
      <c r="R1329" s="67"/>
      <c r="S1329" s="67"/>
      <c r="T1329" s="56">
        <v>304.66000000000003</v>
      </c>
      <c r="U1329" s="103">
        <v>4</v>
      </c>
      <c r="V1329" s="103">
        <v>1.3599999999999999</v>
      </c>
      <c r="W1329" s="103">
        <v>1.4581944392701465</v>
      </c>
      <c r="X1329" s="103">
        <v>4</v>
      </c>
      <c r="Y1329" s="162">
        <v>7</v>
      </c>
      <c r="Z1329" s="56">
        <v>4.57</v>
      </c>
      <c r="AA1329" s="56">
        <v>4.5999999999999996</v>
      </c>
      <c r="AB1329" s="56">
        <v>4.29</v>
      </c>
      <c r="AC1329" s="56">
        <v>0.74060000000000004</v>
      </c>
      <c r="AD1329" s="56">
        <v>4.93</v>
      </c>
      <c r="AE1329" s="56">
        <v>6.18</v>
      </c>
      <c r="AF1329" s="56">
        <f t="shared" si="304"/>
        <v>4.5999999999999996</v>
      </c>
      <c r="AG1329" s="57">
        <v>3.99</v>
      </c>
      <c r="AH1329" s="103">
        <v>5.66E-6</v>
      </c>
      <c r="AI1329" s="103">
        <v>1.2E-5</v>
      </c>
      <c r="AJ1329" s="62">
        <f t="shared" si="305"/>
        <v>-3.6357498951243805</v>
      </c>
      <c r="AK1329" s="62">
        <f t="shared" si="312"/>
        <v>-3.3093850802650269</v>
      </c>
      <c r="AL1329" s="62">
        <f t="shared" si="306"/>
        <v>-3.3093850802650269</v>
      </c>
      <c r="AM1329" s="62">
        <v>-10.536390000000001</v>
      </c>
      <c r="AN1329" s="154">
        <v>-4.0999999999999996</v>
      </c>
      <c r="AO1329" s="410"/>
      <c r="AP1329" s="410">
        <v>-1.48</v>
      </c>
      <c r="AQ1329" s="154" t="s">
        <v>6311</v>
      </c>
      <c r="AR1329" s="154" t="s">
        <v>6311</v>
      </c>
      <c r="AS1329" s="149" t="s">
        <v>6</v>
      </c>
      <c r="AT1329" s="58" t="s">
        <v>266</v>
      </c>
      <c r="AU1329" s="56">
        <v>8</v>
      </c>
      <c r="AV1329" s="56">
        <v>144</v>
      </c>
      <c r="AW1329" s="56">
        <v>120</v>
      </c>
      <c r="AX1329" s="56">
        <v>26</v>
      </c>
      <c r="AY1329" s="56" t="s">
        <v>267</v>
      </c>
      <c r="AZ1329" s="56" t="s">
        <v>268</v>
      </c>
      <c r="BA1329" s="56">
        <v>2</v>
      </c>
      <c r="BB1329" s="55" t="s">
        <v>888</v>
      </c>
      <c r="BC1329" s="55" t="s">
        <v>270</v>
      </c>
      <c r="BD1329" s="55" t="s">
        <v>8374</v>
      </c>
      <c r="BE1329" s="56" t="s">
        <v>889</v>
      </c>
      <c r="BF1329" s="56" t="s">
        <v>272</v>
      </c>
      <c r="BG1329" s="56" t="s">
        <v>272</v>
      </c>
      <c r="BH1329" s="56" t="s">
        <v>890</v>
      </c>
      <c r="BI1329" s="153">
        <v>3.0466E-4</v>
      </c>
      <c r="BJ1329" s="153">
        <v>24.372800000000002</v>
      </c>
      <c r="BK1329" s="56"/>
      <c r="BL1329" s="153">
        <v>1.2311144753703407</v>
      </c>
      <c r="BM1329" s="56" t="s">
        <v>891</v>
      </c>
      <c r="BN1329" s="162"/>
      <c r="BO1329" s="162"/>
      <c r="BP1329" s="162"/>
      <c r="BQ1329" s="162"/>
      <c r="BR1329" s="162"/>
      <c r="BS1329" s="56">
        <v>14.064605059749102</v>
      </c>
      <c r="BT1329" s="162"/>
      <c r="BU1329" s="158"/>
      <c r="BV1329" s="162"/>
      <c r="BW1329" s="162"/>
      <c r="BX1329" s="162"/>
      <c r="BY1329" s="162"/>
      <c r="BZ1329" s="162"/>
      <c r="CA1329" s="162"/>
      <c r="CB1329" s="162"/>
      <c r="CC1329" s="56"/>
      <c r="CD1329" s="56"/>
      <c r="CE1329" s="56"/>
      <c r="CF1329" s="56"/>
      <c r="CG1329" s="56"/>
      <c r="CH1329" s="56"/>
      <c r="CI1329" s="103">
        <v>14.064605059749102</v>
      </c>
      <c r="CJ1329" s="103">
        <f t="shared" si="300"/>
        <v>1.1481275414937682</v>
      </c>
      <c r="CK1329" s="57">
        <f t="shared" si="307"/>
        <v>5.0511819543521491E-2</v>
      </c>
      <c r="CL1329" s="160">
        <f t="shared" si="308"/>
        <v>8.7532815186799312E-2</v>
      </c>
      <c r="CM1329" s="160">
        <v>1.1916048650389709E-2</v>
      </c>
      <c r="CN1329" s="160">
        <f t="shared" si="313"/>
        <v>23.713156967455507</v>
      </c>
      <c r="CO1329" s="55" t="s">
        <v>892</v>
      </c>
      <c r="CP1329" s="497" t="s">
        <v>893</v>
      </c>
      <c r="CQ1329" s="149">
        <v>9.5095775655298337E-2</v>
      </c>
      <c r="CR1329" s="349">
        <f t="shared" si="303"/>
        <v>11.298785549746624</v>
      </c>
      <c r="CS1329" s="61" t="s">
        <v>539</v>
      </c>
      <c r="CT1329" s="61"/>
      <c r="CU1329" s="111">
        <f t="shared" si="309"/>
        <v>0.28440187143593748</v>
      </c>
      <c r="CV1329" s="331">
        <f t="shared" si="310"/>
        <v>0.16411737674785004</v>
      </c>
      <c r="CW1329" s="326">
        <f t="shared" si="301"/>
        <v>0</v>
      </c>
      <c r="CX1329" s="326" t="s">
        <v>539</v>
      </c>
      <c r="CY1329" s="161" t="s">
        <v>5921</v>
      </c>
    </row>
    <row r="1330" spans="1:103" ht="11.25" customHeight="1" x14ac:dyDescent="0.2">
      <c r="A1330" s="72">
        <v>134</v>
      </c>
      <c r="B1330" s="149">
        <v>417</v>
      </c>
      <c r="C1330" s="54" t="s">
        <v>1411</v>
      </c>
      <c r="D1330" s="54" t="s">
        <v>6598</v>
      </c>
      <c r="E1330" s="59"/>
      <c r="F1330" s="59" t="s">
        <v>1412</v>
      </c>
      <c r="G1330" s="151">
        <v>60207901</v>
      </c>
      <c r="H1330" s="55" t="s">
        <v>1413</v>
      </c>
      <c r="I1330" s="55" t="s">
        <v>8138</v>
      </c>
      <c r="J1330" s="55" t="s">
        <v>1414</v>
      </c>
      <c r="K1330" s="55" t="s">
        <v>1112</v>
      </c>
      <c r="L1330" s="55" t="s">
        <v>5990</v>
      </c>
      <c r="M1330" s="55" t="s">
        <v>6082</v>
      </c>
      <c r="N1330" s="60" t="s">
        <v>6082</v>
      </c>
      <c r="O1330" s="55" t="s">
        <v>6083</v>
      </c>
      <c r="P1330" s="67"/>
      <c r="Q1330" s="67"/>
      <c r="R1330" s="67"/>
      <c r="S1330" s="67"/>
      <c r="T1330" s="56">
        <v>342.22</v>
      </c>
      <c r="U1330" s="103">
        <v>110.00000000000001</v>
      </c>
      <c r="V1330" s="103">
        <v>4.5919999999999996</v>
      </c>
      <c r="W1330" s="103">
        <v>10.575609029147994</v>
      </c>
      <c r="X1330" s="103">
        <v>110.00000000000001</v>
      </c>
      <c r="Y1330" s="162">
        <v>7.01</v>
      </c>
      <c r="Z1330" s="56">
        <v>4.13</v>
      </c>
      <c r="AA1330" s="56">
        <v>3.72</v>
      </c>
      <c r="AB1330" s="56">
        <v>3.46</v>
      </c>
      <c r="AC1330" s="56">
        <v>0.93130000000000002</v>
      </c>
      <c r="AD1330" s="56">
        <v>3.52</v>
      </c>
      <c r="AE1330" s="56">
        <v>3.88</v>
      </c>
      <c r="AF1330" s="56">
        <f t="shared" si="304"/>
        <v>3.72</v>
      </c>
      <c r="AG1330" s="57">
        <v>3.83</v>
      </c>
      <c r="AH1330" s="103">
        <v>1.3600000000000001E-9</v>
      </c>
      <c r="AI1330" s="103">
        <v>1.7200000000000001E-9</v>
      </c>
      <c r="AJ1330" s="62">
        <f t="shared" si="305"/>
        <v>-7.2550274179424346</v>
      </c>
      <c r="AK1330" s="62">
        <f t="shared" si="312"/>
        <v>-7.1530378794051028</v>
      </c>
      <c r="AL1330" s="62">
        <f t="shared" si="306"/>
        <v>-7.1530378794051028</v>
      </c>
      <c r="AM1330" s="62">
        <v>-12.879819999999999</v>
      </c>
      <c r="AN1330" s="154">
        <v>-8.26</v>
      </c>
      <c r="AO1330" s="410"/>
      <c r="AP1330" s="410">
        <v>2.94</v>
      </c>
      <c r="AQ1330" s="154" t="s">
        <v>6311</v>
      </c>
      <c r="AR1330" s="154" t="s">
        <v>6311</v>
      </c>
      <c r="AS1330" s="149" t="s">
        <v>6</v>
      </c>
      <c r="AT1330" s="58" t="s">
        <v>266</v>
      </c>
      <c r="AU1330" s="56">
        <v>8</v>
      </c>
      <c r="AV1330" s="56">
        <v>144</v>
      </c>
      <c r="AW1330" s="56">
        <v>120</v>
      </c>
      <c r="AX1330" s="56">
        <v>26</v>
      </c>
      <c r="AY1330" s="56" t="s">
        <v>267</v>
      </c>
      <c r="AZ1330" s="56" t="s">
        <v>268</v>
      </c>
      <c r="BA1330" s="56">
        <v>2</v>
      </c>
      <c r="BB1330" s="55" t="s">
        <v>888</v>
      </c>
      <c r="BC1330" s="55" t="s">
        <v>270</v>
      </c>
      <c r="BD1330" s="55" t="s">
        <v>8374</v>
      </c>
      <c r="BE1330" s="56" t="s">
        <v>889</v>
      </c>
      <c r="BF1330" s="56" t="s">
        <v>272</v>
      </c>
      <c r="BG1330" s="56" t="s">
        <v>272</v>
      </c>
      <c r="BH1330" s="56" t="s">
        <v>890</v>
      </c>
      <c r="BI1330" s="153">
        <v>3.4222000000000001E-4</v>
      </c>
      <c r="BJ1330" s="153">
        <v>27.377600000000001</v>
      </c>
      <c r="BK1330" s="56"/>
      <c r="BL1330" s="153">
        <v>3.4352028464818032</v>
      </c>
      <c r="BM1330" s="56" t="s">
        <v>891</v>
      </c>
      <c r="BN1330" s="162"/>
      <c r="BO1330" s="162"/>
      <c r="BP1330" s="162"/>
      <c r="BQ1330" s="162"/>
      <c r="BR1330" s="162"/>
      <c r="BS1330" s="56">
        <v>15.798559520604403</v>
      </c>
      <c r="BT1330" s="162"/>
      <c r="BU1330" s="158"/>
      <c r="BV1330" s="162"/>
      <c r="BW1330" s="162"/>
      <c r="BX1330" s="162"/>
      <c r="BY1330" s="162"/>
      <c r="BZ1330" s="162"/>
      <c r="CA1330" s="162"/>
      <c r="CB1330" s="162"/>
      <c r="CC1330" s="56"/>
      <c r="CD1330" s="56"/>
      <c r="CE1330" s="56"/>
      <c r="CF1330" s="56"/>
      <c r="CG1330" s="56"/>
      <c r="CH1330" s="56"/>
      <c r="CI1330" s="103">
        <v>15.798559520604403</v>
      </c>
      <c r="CJ1330" s="103">
        <f t="shared" si="300"/>
        <v>1.1986174907030285</v>
      </c>
      <c r="CK1330" s="57">
        <f t="shared" si="307"/>
        <v>0.12547494471691467</v>
      </c>
      <c r="CL1330" s="160">
        <f t="shared" si="308"/>
        <v>0.21743772538259762</v>
      </c>
      <c r="CM1330" s="160">
        <v>0.56545100384372449</v>
      </c>
      <c r="CN1330" s="160">
        <f t="shared" si="313"/>
        <v>7.446365853871324</v>
      </c>
      <c r="CO1330" s="55" t="s">
        <v>892</v>
      </c>
      <c r="CP1330" s="497" t="s">
        <v>893</v>
      </c>
      <c r="CQ1330" s="149">
        <v>0.57823061849061996</v>
      </c>
      <c r="CR1330" s="349">
        <f t="shared" si="303"/>
        <v>4.1724089874669898</v>
      </c>
      <c r="CS1330" s="61" t="s">
        <v>539</v>
      </c>
      <c r="CT1330" s="61"/>
      <c r="CU1330" s="111">
        <f t="shared" si="309"/>
        <v>6.9626600992665537</v>
      </c>
      <c r="CV1330" s="331">
        <f t="shared" si="310"/>
        <v>4.017883233008007</v>
      </c>
      <c r="CW1330" s="326">
        <f t="shared" si="301"/>
        <v>1</v>
      </c>
      <c r="CX1330" s="326" t="s">
        <v>539</v>
      </c>
      <c r="CY1330" s="161" t="s">
        <v>5921</v>
      </c>
    </row>
    <row r="1331" spans="1:103" ht="11.25" customHeight="1" x14ac:dyDescent="0.2">
      <c r="A1331" s="72">
        <v>140</v>
      </c>
      <c r="B1331" s="149">
        <v>462</v>
      </c>
      <c r="C1331" s="54" t="s">
        <v>1517</v>
      </c>
      <c r="D1331" s="54" t="s">
        <v>6570</v>
      </c>
      <c r="E1331" s="59"/>
      <c r="F1331" s="59" t="s">
        <v>1518</v>
      </c>
      <c r="G1331" s="151">
        <v>87820880</v>
      </c>
      <c r="H1331" s="55" t="s">
        <v>1519</v>
      </c>
      <c r="I1331" s="55" t="s">
        <v>1519</v>
      </c>
      <c r="J1331" s="55" t="s">
        <v>1520</v>
      </c>
      <c r="K1331" s="55" t="s">
        <v>1521</v>
      </c>
      <c r="L1331" s="55" t="s">
        <v>6014</v>
      </c>
      <c r="M1331" s="60" t="s">
        <v>2342</v>
      </c>
      <c r="N1331" s="60" t="s">
        <v>2342</v>
      </c>
      <c r="O1331" s="55"/>
      <c r="P1331" s="67"/>
      <c r="Q1331" s="67"/>
      <c r="R1331" s="67"/>
      <c r="S1331" s="67"/>
      <c r="T1331" s="56">
        <v>329.43</v>
      </c>
      <c r="U1331" s="103">
        <v>5</v>
      </c>
      <c r="V1331" s="103">
        <v>1.278</v>
      </c>
      <c r="W1331" s="103">
        <v>35.299060472442427</v>
      </c>
      <c r="X1331" s="103">
        <v>5</v>
      </c>
      <c r="Y1331" s="162">
        <v>4.1100000000000003</v>
      </c>
      <c r="Z1331" s="56">
        <v>4.87</v>
      </c>
      <c r="AA1331" s="56">
        <v>4.46</v>
      </c>
      <c r="AB1331" s="56">
        <v>4.7</v>
      </c>
      <c r="AC1331" s="56">
        <v>0.82740000000000002</v>
      </c>
      <c r="AD1331" s="56">
        <v>4.7699999999999996</v>
      </c>
      <c r="AE1331" s="56">
        <v>5.0199999999999996</v>
      </c>
      <c r="AF1331" s="56">
        <f t="shared" si="304"/>
        <v>4.46</v>
      </c>
      <c r="AG1331" s="57">
        <v>4.4400000000000004</v>
      </c>
      <c r="AH1331" s="103">
        <v>5.3200000000000001E-11</v>
      </c>
      <c r="AI1331" s="103">
        <v>2.4099999999999999E-10</v>
      </c>
      <c r="AJ1331" s="62">
        <f t="shared" si="305"/>
        <v>-8.6626546940176041</v>
      </c>
      <c r="AK1331" s="62">
        <f t="shared" si="312"/>
        <v>-8.0065492837377832</v>
      </c>
      <c r="AL1331" s="62">
        <f t="shared" si="306"/>
        <v>-8.0065492837377832</v>
      </c>
      <c r="AM1331" s="62">
        <v>-13.150559999999999</v>
      </c>
      <c r="AN1331" s="154">
        <v>-8.9499999999999993</v>
      </c>
      <c r="AO1331" s="410">
        <v>3.66</v>
      </c>
      <c r="AP1331" s="410"/>
      <c r="AQ1331" s="154" t="s">
        <v>6311</v>
      </c>
      <c r="AR1331" s="154" t="s">
        <v>6311</v>
      </c>
      <c r="AS1331" s="149" t="s">
        <v>6</v>
      </c>
      <c r="AT1331" s="58" t="s">
        <v>266</v>
      </c>
      <c r="AU1331" s="56">
        <v>8</v>
      </c>
      <c r="AV1331" s="56">
        <v>144</v>
      </c>
      <c r="AW1331" s="56">
        <v>120</v>
      </c>
      <c r="AX1331" s="56">
        <v>26</v>
      </c>
      <c r="AY1331" s="56" t="s">
        <v>267</v>
      </c>
      <c r="AZ1331" s="56" t="s">
        <v>268</v>
      </c>
      <c r="BA1331" s="56">
        <v>2</v>
      </c>
      <c r="BB1331" s="55" t="s">
        <v>888</v>
      </c>
      <c r="BC1331" s="55" t="s">
        <v>270</v>
      </c>
      <c r="BD1331" s="55" t="s">
        <v>8374</v>
      </c>
      <c r="BE1331" s="56" t="s">
        <v>889</v>
      </c>
      <c r="BF1331" s="56" t="s">
        <v>272</v>
      </c>
      <c r="BG1331" s="56" t="s">
        <v>272</v>
      </c>
      <c r="BH1331" s="56" t="s">
        <v>890</v>
      </c>
      <c r="BI1331" s="153">
        <v>3.2942999999999997E-4</v>
      </c>
      <c r="BJ1331" s="153">
        <v>26.354400000000002</v>
      </c>
      <c r="BK1331" s="56"/>
      <c r="BL1331" s="153">
        <v>0.7158403030329521</v>
      </c>
      <c r="BM1331" s="56" t="s">
        <v>891</v>
      </c>
      <c r="BN1331" s="162"/>
      <c r="BO1331" s="162"/>
      <c r="BP1331" s="162"/>
      <c r="BQ1331" s="162"/>
      <c r="BR1331" s="162"/>
      <c r="BS1331" s="56">
        <v>15.208110171447339</v>
      </c>
      <c r="BT1331" s="162"/>
      <c r="BU1331" s="158"/>
      <c r="BV1331" s="162"/>
      <c r="BW1331" s="162"/>
      <c r="BX1331" s="162"/>
      <c r="BY1331" s="162"/>
      <c r="BZ1331" s="162"/>
      <c r="CA1331" s="162"/>
      <c r="CB1331" s="162"/>
      <c r="CC1331" s="56"/>
      <c r="CD1331" s="56"/>
      <c r="CE1331" s="56"/>
      <c r="CF1331" s="56"/>
      <c r="CG1331" s="56"/>
      <c r="CH1331" s="56"/>
      <c r="CI1331" s="103">
        <v>15.208110171447339</v>
      </c>
      <c r="CJ1331" s="103">
        <f t="shared" si="300"/>
        <v>1.1820752500093026</v>
      </c>
      <c r="CK1331" s="57">
        <f t="shared" si="307"/>
        <v>2.7162079312484901E-2</v>
      </c>
      <c r="CL1331" s="160">
        <f t="shared" si="308"/>
        <v>4.70696421161464E-2</v>
      </c>
      <c r="CM1331" s="160">
        <v>1.6434526764861874</v>
      </c>
      <c r="CN1331" s="160">
        <f t="shared" si="313"/>
        <v>0.59896363636363625</v>
      </c>
      <c r="CO1331" s="55" t="s">
        <v>892</v>
      </c>
      <c r="CP1331" s="497" t="s">
        <v>893</v>
      </c>
      <c r="CQ1331" s="149">
        <v>1.6434526764861874</v>
      </c>
      <c r="CR1331" s="349">
        <f t="shared" si="303"/>
        <v>0.34563886753289413</v>
      </c>
      <c r="CS1331" s="61" t="s">
        <v>539</v>
      </c>
      <c r="CT1331" s="61"/>
      <c r="CU1331" s="111">
        <f t="shared" si="309"/>
        <v>0.32877194757487449</v>
      </c>
      <c r="CV1331" s="331">
        <f t="shared" si="310"/>
        <v>0.18972164040919162</v>
      </c>
      <c r="CW1331" s="326">
        <f t="shared" si="301"/>
        <v>0</v>
      </c>
      <c r="CX1331" s="326" t="s">
        <v>539</v>
      </c>
      <c r="CY1331" s="161" t="s">
        <v>5921</v>
      </c>
    </row>
    <row r="1332" spans="1:103" ht="11.25" customHeight="1" x14ac:dyDescent="0.2">
      <c r="A1332" s="72">
        <v>141</v>
      </c>
      <c r="B1332" s="149">
        <v>376</v>
      </c>
      <c r="C1332" s="54" t="s">
        <v>1319</v>
      </c>
      <c r="D1332" s="54" t="s">
        <v>6571</v>
      </c>
      <c r="E1332" s="59"/>
      <c r="F1332" s="59" t="s">
        <v>1320</v>
      </c>
      <c r="G1332" s="151">
        <v>88671890</v>
      </c>
      <c r="H1332" s="55" t="s">
        <v>1321</v>
      </c>
      <c r="I1332" s="55" t="s">
        <v>8154</v>
      </c>
      <c r="J1332" s="55" t="s">
        <v>1322</v>
      </c>
      <c r="K1332" s="55" t="s">
        <v>1163</v>
      </c>
      <c r="L1332" s="55" t="s">
        <v>6002</v>
      </c>
      <c r="M1332" s="60" t="s">
        <v>2342</v>
      </c>
      <c r="N1332" s="60" t="s">
        <v>2342</v>
      </c>
      <c r="O1332" s="55"/>
      <c r="P1332" s="67"/>
      <c r="Q1332" s="67"/>
      <c r="R1332" s="67"/>
      <c r="S1332" s="67"/>
      <c r="T1332" s="56">
        <v>288.77999999999997</v>
      </c>
      <c r="U1332" s="103">
        <v>142</v>
      </c>
      <c r="V1332" s="103">
        <v>23.9</v>
      </c>
      <c r="W1332" s="103">
        <v>18.220786193899006</v>
      </c>
      <c r="X1332" s="103">
        <v>142</v>
      </c>
      <c r="Y1332" s="162">
        <v>7</v>
      </c>
      <c r="Z1332" s="56">
        <v>3.5</v>
      </c>
      <c r="AA1332" s="56">
        <v>2.94</v>
      </c>
      <c r="AB1332" s="56">
        <v>3.35</v>
      </c>
      <c r="AC1332" s="56">
        <v>0.74470000000000003</v>
      </c>
      <c r="AD1332" s="56">
        <v>3.19</v>
      </c>
      <c r="AE1332" s="56">
        <v>2.82</v>
      </c>
      <c r="AF1332" s="56">
        <f t="shared" si="304"/>
        <v>2.94</v>
      </c>
      <c r="AG1332" s="57">
        <v>3.89</v>
      </c>
      <c r="AH1332" s="103">
        <v>3.34E-9</v>
      </c>
      <c r="AI1332" s="103">
        <v>4.2800000000000001E-9</v>
      </c>
      <c r="AJ1332" s="62">
        <f t="shared" si="305"/>
        <v>-6.864819859501087</v>
      </c>
      <c r="AK1332" s="62">
        <f t="shared" si="312"/>
        <v>-6.7571225572994793</v>
      </c>
      <c r="AL1332" s="62">
        <f t="shared" si="306"/>
        <v>-6.7571225572994793</v>
      </c>
      <c r="AM1332" s="62">
        <v>-11.876340000000001</v>
      </c>
      <c r="AN1332" s="154">
        <v>-7.93</v>
      </c>
      <c r="AO1332" s="410"/>
      <c r="AP1332" s="410">
        <v>2.2999999999999998</v>
      </c>
      <c r="AQ1332" s="154" t="s">
        <v>6311</v>
      </c>
      <c r="AR1332" s="154" t="s">
        <v>6311</v>
      </c>
      <c r="AS1332" s="149" t="s">
        <v>6</v>
      </c>
      <c r="AT1332" s="58" t="s">
        <v>266</v>
      </c>
      <c r="AU1332" s="56">
        <v>8</v>
      </c>
      <c r="AV1332" s="56">
        <v>144</v>
      </c>
      <c r="AW1332" s="56">
        <v>120</v>
      </c>
      <c r="AX1332" s="56">
        <v>26</v>
      </c>
      <c r="AY1332" s="56" t="s">
        <v>267</v>
      </c>
      <c r="AZ1332" s="56" t="s">
        <v>268</v>
      </c>
      <c r="BA1332" s="56">
        <v>2</v>
      </c>
      <c r="BB1332" s="55" t="s">
        <v>888</v>
      </c>
      <c r="BC1332" s="55" t="s">
        <v>270</v>
      </c>
      <c r="BD1332" s="55" t="s">
        <v>8374</v>
      </c>
      <c r="BE1332" s="56" t="s">
        <v>889</v>
      </c>
      <c r="BF1332" s="56" t="s">
        <v>272</v>
      </c>
      <c r="BG1332" s="56" t="s">
        <v>272</v>
      </c>
      <c r="BH1332" s="56" t="s">
        <v>890</v>
      </c>
      <c r="BI1332" s="153">
        <v>2.8877999999999998E-4</v>
      </c>
      <c r="BJ1332" s="153">
        <v>23.102399999999999</v>
      </c>
      <c r="BK1332" s="56"/>
      <c r="BL1332" s="153">
        <v>10.666381480536051</v>
      </c>
      <c r="BM1332" s="56" t="s">
        <v>891</v>
      </c>
      <c r="BN1332" s="162"/>
      <c r="BO1332" s="162"/>
      <c r="BP1332" s="162"/>
      <c r="BQ1332" s="162"/>
      <c r="BR1332" s="162"/>
      <c r="BS1332" s="56">
        <v>13.33150610239068</v>
      </c>
      <c r="BT1332" s="162"/>
      <c r="BU1332" s="158"/>
      <c r="BV1332" s="162"/>
      <c r="BW1332" s="162"/>
      <c r="BX1332" s="162"/>
      <c r="BY1332" s="162"/>
      <c r="BZ1332" s="162"/>
      <c r="CA1332" s="162"/>
      <c r="CB1332" s="162"/>
      <c r="CC1332" s="56"/>
      <c r="CD1332" s="56"/>
      <c r="CE1332" s="56"/>
      <c r="CF1332" s="56"/>
      <c r="CG1332" s="56"/>
      <c r="CH1332" s="56"/>
      <c r="CI1332" s="103">
        <v>13.33150610239068</v>
      </c>
      <c r="CJ1332" s="103">
        <f t="shared" si="300"/>
        <v>1.1248792158061056</v>
      </c>
      <c r="CK1332" s="57">
        <f t="shared" si="307"/>
        <v>0.46170014719406</v>
      </c>
      <c r="CL1332" s="160">
        <f t="shared" si="308"/>
        <v>0.80008825699170605</v>
      </c>
      <c r="CM1332" s="160">
        <v>0.38021124171160575</v>
      </c>
      <c r="CN1332" s="160">
        <f t="shared" si="313"/>
        <v>9.6260000000000048</v>
      </c>
      <c r="CO1332" s="55" t="s">
        <v>892</v>
      </c>
      <c r="CP1332" s="497" t="s">
        <v>893</v>
      </c>
      <c r="CQ1332" s="149">
        <v>0.50173026605475335</v>
      </c>
      <c r="CR1332" s="349">
        <f t="shared" si="303"/>
        <v>4.1990297320078254</v>
      </c>
      <c r="CS1332" s="61" t="s">
        <v>539</v>
      </c>
      <c r="CT1332" s="61"/>
      <c r="CU1332" s="111">
        <f t="shared" si="309"/>
        <v>10.651459700756224</v>
      </c>
      <c r="CV1332" s="331">
        <f t="shared" si="310"/>
        <v>6.146547544843826</v>
      </c>
      <c r="CW1332" s="326">
        <f t="shared" si="301"/>
        <v>1</v>
      </c>
      <c r="CX1332" s="326" t="s">
        <v>539</v>
      </c>
      <c r="CY1332" s="161" t="s">
        <v>5921</v>
      </c>
    </row>
    <row r="1333" spans="1:103" ht="11.25" customHeight="1" x14ac:dyDescent="0.2">
      <c r="A1333" s="72">
        <v>142</v>
      </c>
      <c r="B1333" s="149">
        <v>451</v>
      </c>
      <c r="C1333" s="54" t="s">
        <v>1478</v>
      </c>
      <c r="D1333" s="54" t="s">
        <v>6576</v>
      </c>
      <c r="E1333" s="59"/>
      <c r="F1333" s="59" t="s">
        <v>1479</v>
      </c>
      <c r="G1333" s="151">
        <v>112281773</v>
      </c>
      <c r="H1333" s="55" t="s">
        <v>1480</v>
      </c>
      <c r="I1333" s="55" t="s">
        <v>7953</v>
      </c>
      <c r="J1333" s="55" t="s">
        <v>1481</v>
      </c>
      <c r="K1333" s="55" t="s">
        <v>1112</v>
      </c>
      <c r="L1333" s="55" t="s">
        <v>6007</v>
      </c>
      <c r="M1333" s="60" t="s">
        <v>2342</v>
      </c>
      <c r="N1333" s="60" t="s">
        <v>2342</v>
      </c>
      <c r="O1333" s="55"/>
      <c r="P1333" s="67"/>
      <c r="Q1333" s="67"/>
      <c r="R1333" s="67"/>
      <c r="S1333" s="67"/>
      <c r="T1333" s="56">
        <v>372.15</v>
      </c>
      <c r="U1333" s="103">
        <v>156</v>
      </c>
      <c r="V1333" s="103">
        <v>4.1420000000000003</v>
      </c>
      <c r="W1333" s="103">
        <v>9.7885423318386575</v>
      </c>
      <c r="X1333" s="103">
        <v>156</v>
      </c>
      <c r="Y1333" s="162">
        <v>7</v>
      </c>
      <c r="Z1333" s="56">
        <v>4.25</v>
      </c>
      <c r="AA1333" s="56">
        <v>3.56</v>
      </c>
      <c r="AB1333" s="56">
        <v>3.88</v>
      </c>
      <c r="AC1333" s="56">
        <v>0.7671</v>
      </c>
      <c r="AD1333" s="56">
        <v>3.71</v>
      </c>
      <c r="AE1333" s="56">
        <v>3.19</v>
      </c>
      <c r="AF1333" s="56">
        <f t="shared" si="304"/>
        <v>3.56</v>
      </c>
      <c r="AG1333" s="57">
        <v>4.63</v>
      </c>
      <c r="AH1333" s="103">
        <v>6.1999999999999999E-7</v>
      </c>
      <c r="AI1333" s="103">
        <v>4.2400000000000002E-9</v>
      </c>
      <c r="AJ1333" s="62">
        <f t="shared" si="305"/>
        <v>-4.5961746368143981</v>
      </c>
      <c r="AK1333" s="62">
        <f t="shared" si="312"/>
        <v>-6.7612004697199195</v>
      </c>
      <c r="AL1333" s="62">
        <f t="shared" si="306"/>
        <v>-6.7612004697199195</v>
      </c>
      <c r="AM1333" s="62">
        <v>-10.096799999999998</v>
      </c>
      <c r="AN1333" s="154">
        <v>-7.44</v>
      </c>
      <c r="AO1333" s="410"/>
      <c r="AP1333" s="410">
        <v>2.68</v>
      </c>
      <c r="AQ1333" s="154" t="s">
        <v>6311</v>
      </c>
      <c r="AR1333" s="154" t="s">
        <v>6311</v>
      </c>
      <c r="AS1333" s="149" t="s">
        <v>6</v>
      </c>
      <c r="AT1333" s="58" t="s">
        <v>266</v>
      </c>
      <c r="AU1333" s="56">
        <v>8</v>
      </c>
      <c r="AV1333" s="56">
        <v>144</v>
      </c>
      <c r="AW1333" s="56">
        <v>120</v>
      </c>
      <c r="AX1333" s="56">
        <v>26</v>
      </c>
      <c r="AY1333" s="56" t="s">
        <v>267</v>
      </c>
      <c r="AZ1333" s="56" t="s">
        <v>268</v>
      </c>
      <c r="BA1333" s="56">
        <v>2</v>
      </c>
      <c r="BB1333" s="55" t="s">
        <v>888</v>
      </c>
      <c r="BC1333" s="55" t="s">
        <v>270</v>
      </c>
      <c r="BD1333" s="55" t="s">
        <v>8374</v>
      </c>
      <c r="BE1333" s="56" t="s">
        <v>889</v>
      </c>
      <c r="BF1333" s="56" t="s">
        <v>272</v>
      </c>
      <c r="BG1333" s="56" t="s">
        <v>272</v>
      </c>
      <c r="BH1333" s="56" t="s">
        <v>890</v>
      </c>
      <c r="BI1333" s="153">
        <v>3.7214999999999997E-4</v>
      </c>
      <c r="BJ1333" s="153">
        <v>29.771999999999998</v>
      </c>
      <c r="BK1333" s="56"/>
      <c r="BL1333" s="153">
        <v>2.9146943783348145</v>
      </c>
      <c r="BM1333" s="56" t="s">
        <v>891</v>
      </c>
      <c r="BN1333" s="162"/>
      <c r="BO1333" s="162"/>
      <c r="BP1333" s="162"/>
      <c r="BQ1333" s="162"/>
      <c r="BR1333" s="162"/>
      <c r="BS1333" s="56">
        <v>17.180275628522377</v>
      </c>
      <c r="BT1333" s="162"/>
      <c r="BU1333" s="158"/>
      <c r="BV1333" s="162"/>
      <c r="BW1333" s="162"/>
      <c r="BX1333" s="162"/>
      <c r="BY1333" s="162"/>
      <c r="BZ1333" s="162"/>
      <c r="CA1333" s="162"/>
      <c r="CB1333" s="162"/>
      <c r="CC1333" s="56"/>
      <c r="CD1333" s="56"/>
      <c r="CE1333" s="56"/>
      <c r="CF1333" s="56"/>
      <c r="CG1333" s="56"/>
      <c r="CH1333" s="56"/>
      <c r="CI1333" s="103">
        <v>17.180275628522377</v>
      </c>
      <c r="CJ1333" s="103">
        <f t="shared" ref="CJ1333:CJ1364" si="314">LOG10(CI1333)</f>
        <v>1.2350301270729938</v>
      </c>
      <c r="CK1333" s="57">
        <f t="shared" si="307"/>
        <v>9.7900523254561819E-2</v>
      </c>
      <c r="CL1333" s="160">
        <f t="shared" si="308"/>
        <v>0.16965352834595346</v>
      </c>
      <c r="CM1333" s="160">
        <v>0.58546072950850059</v>
      </c>
      <c r="CN1333" s="160">
        <f t="shared" si="313"/>
        <v>7.7329870129870129</v>
      </c>
      <c r="CO1333" s="55" t="s">
        <v>892</v>
      </c>
      <c r="CP1333" s="497" t="s">
        <v>893</v>
      </c>
      <c r="CQ1333" s="149">
        <v>0.58881874345218377</v>
      </c>
      <c r="CR1333" s="349">
        <f t="shared" si="303"/>
        <v>4.4280384529275683</v>
      </c>
      <c r="CS1333" s="61" t="s">
        <v>539</v>
      </c>
      <c r="CT1333" s="61"/>
      <c r="CU1333" s="111">
        <f t="shared" si="309"/>
        <v>9.0801802819165296</v>
      </c>
      <c r="CV1333" s="331">
        <f t="shared" si="310"/>
        <v>5.2398226521563886</v>
      </c>
      <c r="CW1333" s="326">
        <f t="shared" ref="CW1333:CW1364" si="315">IF(CU1333&lt;2,0,1)</f>
        <v>1</v>
      </c>
      <c r="CX1333" s="326" t="s">
        <v>539</v>
      </c>
      <c r="CY1333" s="161" t="s">
        <v>5921</v>
      </c>
    </row>
    <row r="1334" spans="1:103" ht="11.25" customHeight="1" x14ac:dyDescent="0.2">
      <c r="A1334" s="72">
        <v>150</v>
      </c>
      <c r="B1334" s="149">
        <v>316</v>
      </c>
      <c r="C1334" s="54" t="s">
        <v>1231</v>
      </c>
      <c r="D1334" s="54" t="s">
        <v>6566</v>
      </c>
      <c r="E1334" s="59"/>
      <c r="F1334" s="59" t="s">
        <v>1232</v>
      </c>
      <c r="G1334" s="151">
        <v>81406373</v>
      </c>
      <c r="H1334" s="55" t="s">
        <v>1233</v>
      </c>
      <c r="I1334" s="55" t="s">
        <v>7956</v>
      </c>
      <c r="J1334" s="55" t="s">
        <v>1234</v>
      </c>
      <c r="K1334" s="55" t="s">
        <v>1235</v>
      </c>
      <c r="L1334" s="55" t="s">
        <v>6033</v>
      </c>
      <c r="M1334" s="55" t="s">
        <v>6082</v>
      </c>
      <c r="N1334" s="60" t="s">
        <v>6082</v>
      </c>
      <c r="O1334" s="55" t="s">
        <v>6083</v>
      </c>
      <c r="P1334" s="67"/>
      <c r="Q1334" s="67"/>
      <c r="R1334" s="67"/>
      <c r="S1334" s="67"/>
      <c r="T1334" s="56">
        <v>367.24</v>
      </c>
      <c r="U1334" s="103">
        <v>8.9999999999999983E-2</v>
      </c>
      <c r="V1334" s="103">
        <v>0.65880000000000005</v>
      </c>
      <c r="W1334" s="103">
        <v>0.48411660466745471</v>
      </c>
      <c r="X1334" s="103">
        <v>8.9999999999999983E-2</v>
      </c>
      <c r="Y1334" s="162">
        <v>7</v>
      </c>
      <c r="Z1334" s="56">
        <v>4.82</v>
      </c>
      <c r="AA1334" s="56">
        <v>4.53</v>
      </c>
      <c r="AB1334" s="56">
        <v>4.76</v>
      </c>
      <c r="AC1334" s="56">
        <v>0.80210000000000004</v>
      </c>
      <c r="AD1334" s="56">
        <v>5.23</v>
      </c>
      <c r="AE1334" s="56">
        <v>6.77</v>
      </c>
      <c r="AF1334" s="56">
        <f t="shared" si="304"/>
        <v>4.53</v>
      </c>
      <c r="AG1334" s="57">
        <v>4.8899999999999997</v>
      </c>
      <c r="AH1334" s="103">
        <v>1.06E-10</v>
      </c>
      <c r="AI1334" s="103">
        <v>5.4200000000000002E-8</v>
      </c>
      <c r="AJ1334" s="62">
        <f t="shared" si="305"/>
        <v>-8.3632604610478811</v>
      </c>
      <c r="AK1334" s="62">
        <f t="shared" si="312"/>
        <v>-5.6545670397742649</v>
      </c>
      <c r="AL1334" s="62">
        <f t="shared" si="306"/>
        <v>-5.6545670397742649</v>
      </c>
      <c r="AM1334" s="62">
        <v>-13.434470000000001</v>
      </c>
      <c r="AN1334" s="154">
        <v>-2.96</v>
      </c>
      <c r="AO1334" s="410"/>
      <c r="AP1334" s="410">
        <v>-1.55</v>
      </c>
      <c r="AQ1334" s="154" t="s">
        <v>6311</v>
      </c>
      <c r="AR1334" s="154" t="s">
        <v>6314</v>
      </c>
      <c r="AS1334" s="149" t="s">
        <v>6</v>
      </c>
      <c r="AT1334" s="58" t="s">
        <v>266</v>
      </c>
      <c r="AU1334" s="56">
        <v>8</v>
      </c>
      <c r="AV1334" s="56">
        <v>144</v>
      </c>
      <c r="AW1334" s="56">
        <v>120</v>
      </c>
      <c r="AX1334" s="56">
        <v>26</v>
      </c>
      <c r="AY1334" s="56" t="s">
        <v>267</v>
      </c>
      <c r="AZ1334" s="56" t="s">
        <v>268</v>
      </c>
      <c r="BA1334" s="56">
        <v>2</v>
      </c>
      <c r="BB1334" s="55" t="s">
        <v>888</v>
      </c>
      <c r="BC1334" s="55" t="s">
        <v>270</v>
      </c>
      <c r="BD1334" s="55" t="s">
        <v>8374</v>
      </c>
      <c r="BE1334" s="56" t="s">
        <v>889</v>
      </c>
      <c r="BF1334" s="56" t="s">
        <v>272</v>
      </c>
      <c r="BG1334" s="56" t="s">
        <v>272</v>
      </c>
      <c r="BH1334" s="56" t="s">
        <v>890</v>
      </c>
      <c r="BI1334" s="153">
        <v>3.6724000000000001E-4</v>
      </c>
      <c r="BJ1334" s="153">
        <v>29.379200000000001</v>
      </c>
      <c r="BK1334" s="56"/>
      <c r="BL1334" s="153">
        <v>0.88492808535942047</v>
      </c>
      <c r="BM1334" s="56" t="s">
        <v>891</v>
      </c>
      <c r="BN1334" s="162"/>
      <c r="BO1334" s="162"/>
      <c r="BP1334" s="162"/>
      <c r="BQ1334" s="162"/>
      <c r="BR1334" s="162"/>
      <c r="BS1334" s="56">
        <v>16.953605862739643</v>
      </c>
      <c r="BT1334" s="162"/>
      <c r="BU1334" s="158"/>
      <c r="BV1334" s="162"/>
      <c r="BW1334" s="162"/>
      <c r="BX1334" s="162"/>
      <c r="BY1334" s="162"/>
      <c r="BZ1334" s="162"/>
      <c r="CA1334" s="162"/>
      <c r="CB1334" s="162"/>
      <c r="CC1334" s="56"/>
      <c r="CD1334" s="56"/>
      <c r="CE1334" s="56"/>
      <c r="CF1334" s="56"/>
      <c r="CG1334" s="56"/>
      <c r="CH1334" s="56"/>
      <c r="CI1334" s="103">
        <v>16.953605862739643</v>
      </c>
      <c r="CJ1334" s="103">
        <f t="shared" si="314"/>
        <v>1.229262082464857</v>
      </c>
      <c r="CK1334" s="57">
        <f t="shared" si="307"/>
        <v>3.0120904767979403E-2</v>
      </c>
      <c r="CL1334" s="160">
        <f t="shared" si="308"/>
        <v>5.2197042477217244E-2</v>
      </c>
      <c r="CM1334" s="160"/>
      <c r="CN1334" s="160"/>
      <c r="CO1334" s="55" t="s">
        <v>892</v>
      </c>
      <c r="CP1334" s="497" t="s">
        <v>893</v>
      </c>
      <c r="CQ1334" s="149">
        <v>1.1548150837129494</v>
      </c>
      <c r="CR1334" s="349">
        <f t="shared" si="303"/>
        <v>1.1869898321027412</v>
      </c>
      <c r="CS1334" s="61" t="s">
        <v>539</v>
      </c>
      <c r="CT1334" s="61"/>
      <c r="CU1334" s="111">
        <f t="shared" si="309"/>
        <v>5.3086051857440253E-3</v>
      </c>
      <c r="CV1334" s="331">
        <f t="shared" si="310"/>
        <v>3.0633917873869941E-3</v>
      </c>
      <c r="CW1334" s="326">
        <f t="shared" si="315"/>
        <v>0</v>
      </c>
      <c r="CX1334" s="326" t="s">
        <v>539</v>
      </c>
      <c r="CY1334" s="161" t="s">
        <v>5921</v>
      </c>
    </row>
    <row r="1335" spans="1:103" ht="11.25" customHeight="1" x14ac:dyDescent="0.2">
      <c r="A1335" s="72">
        <v>154</v>
      </c>
      <c r="B1335" s="149">
        <v>322</v>
      </c>
      <c r="C1335" s="54" t="s">
        <v>1252</v>
      </c>
      <c r="D1335" s="54" t="s">
        <v>6531</v>
      </c>
      <c r="E1335" s="59"/>
      <c r="F1335" s="59" t="s">
        <v>1253</v>
      </c>
      <c r="G1335" s="151">
        <v>68157608</v>
      </c>
      <c r="H1335" s="55" t="s">
        <v>1254</v>
      </c>
      <c r="I1335" s="55" t="s">
        <v>8287</v>
      </c>
      <c r="J1335" s="55" t="s">
        <v>1255</v>
      </c>
      <c r="K1335" s="55" t="s">
        <v>1256</v>
      </c>
      <c r="L1335" s="55" t="s">
        <v>5995</v>
      </c>
      <c r="M1335" s="60" t="s">
        <v>2342</v>
      </c>
      <c r="N1335" s="60" t="s">
        <v>2342</v>
      </c>
      <c r="O1335" s="55"/>
      <c r="P1335" s="67"/>
      <c r="Q1335" s="67"/>
      <c r="R1335" s="67"/>
      <c r="S1335" s="67"/>
      <c r="T1335" s="56">
        <v>247.68</v>
      </c>
      <c r="U1335" s="103">
        <v>39</v>
      </c>
      <c r="V1335" s="103">
        <v>45.08</v>
      </c>
      <c r="W1335" s="103">
        <v>23.653256370578909</v>
      </c>
      <c r="X1335" s="103">
        <v>39</v>
      </c>
      <c r="Y1335" s="162">
        <v>6.98</v>
      </c>
      <c r="Z1335" s="56">
        <v>2.42</v>
      </c>
      <c r="AA1335" s="56">
        <v>3.2</v>
      </c>
      <c r="AB1335" s="56">
        <v>2.82</v>
      </c>
      <c r="AC1335" s="56">
        <v>0.84489999999999998</v>
      </c>
      <c r="AD1335" s="56">
        <v>2.98</v>
      </c>
      <c r="AE1335" s="56">
        <v>3.46</v>
      </c>
      <c r="AF1335" s="56">
        <f t="shared" si="304"/>
        <v>3.2</v>
      </c>
      <c r="AG1335" s="57">
        <v>2.56</v>
      </c>
      <c r="AH1335" s="103">
        <v>6.8000000000000001E-12</v>
      </c>
      <c r="AI1335" s="103">
        <v>2.8799999999999998E-12</v>
      </c>
      <c r="AJ1335" s="62">
        <f t="shared" si="305"/>
        <v>-9.5560574136064158</v>
      </c>
      <c r="AK1335" s="62">
        <f t="shared" si="312"/>
        <v>-9.9291738385534209</v>
      </c>
      <c r="AL1335" s="62">
        <f t="shared" si="306"/>
        <v>-9.9291738385534209</v>
      </c>
      <c r="AM1335" s="62">
        <v>-15.800219999999999</v>
      </c>
      <c r="AN1335" s="154">
        <v>-10.7</v>
      </c>
      <c r="AO1335" s="410">
        <v>12.55</v>
      </c>
      <c r="AP1335" s="410">
        <v>1.54</v>
      </c>
      <c r="AQ1335" s="154" t="s">
        <v>6311</v>
      </c>
      <c r="AR1335" s="154" t="s">
        <v>6311</v>
      </c>
      <c r="AS1335" s="149" t="s">
        <v>6</v>
      </c>
      <c r="AT1335" s="58" t="s">
        <v>266</v>
      </c>
      <c r="AU1335" s="56">
        <v>8</v>
      </c>
      <c r="AV1335" s="56">
        <v>144</v>
      </c>
      <c r="AW1335" s="56">
        <v>120</v>
      </c>
      <c r="AX1335" s="56">
        <v>26</v>
      </c>
      <c r="AY1335" s="56" t="s">
        <v>267</v>
      </c>
      <c r="AZ1335" s="56" t="s">
        <v>268</v>
      </c>
      <c r="BA1335" s="56">
        <v>2</v>
      </c>
      <c r="BB1335" s="55" t="s">
        <v>888</v>
      </c>
      <c r="BC1335" s="55" t="s">
        <v>270</v>
      </c>
      <c r="BD1335" s="55" t="s">
        <v>8374</v>
      </c>
      <c r="BE1335" s="56" t="s">
        <v>889</v>
      </c>
      <c r="BF1335" s="56" t="s">
        <v>272</v>
      </c>
      <c r="BG1335" s="56" t="s">
        <v>272</v>
      </c>
      <c r="BH1335" s="56" t="s">
        <v>890</v>
      </c>
      <c r="BI1335" s="153">
        <v>2.4768000000000001E-4</v>
      </c>
      <c r="BJ1335" s="153">
        <v>19.814400000000003</v>
      </c>
      <c r="BK1335" s="56"/>
      <c r="BL1335" s="153">
        <v>85.366787603554457</v>
      </c>
      <c r="BM1335" s="56" t="s">
        <v>891</v>
      </c>
      <c r="BN1335" s="162"/>
      <c r="BO1335" s="162"/>
      <c r="BP1335" s="162"/>
      <c r="BQ1335" s="162"/>
      <c r="BR1335" s="162"/>
      <c r="BS1335" s="56">
        <v>11.43412781854742</v>
      </c>
      <c r="BT1335" s="162"/>
      <c r="BU1335" s="158"/>
      <c r="BV1335" s="162"/>
      <c r="BW1335" s="162"/>
      <c r="BX1335" s="162"/>
      <c r="BY1335" s="162"/>
      <c r="BZ1335" s="162"/>
      <c r="CA1335" s="162"/>
      <c r="CB1335" s="162"/>
      <c r="CC1335" s="56"/>
      <c r="CD1335" s="56"/>
      <c r="CE1335" s="56"/>
      <c r="CF1335" s="56"/>
      <c r="CG1335" s="56"/>
      <c r="CH1335" s="56"/>
      <c r="CI1335" s="103">
        <v>11.43412781854742</v>
      </c>
      <c r="CJ1335" s="103">
        <f t="shared" si="314"/>
        <v>1.0582030427479021</v>
      </c>
      <c r="CK1335" s="57">
        <f t="shared" si="307"/>
        <v>4.308320595302126</v>
      </c>
      <c r="CL1335" s="160">
        <f t="shared" si="308"/>
        <v>7.4659640821121558</v>
      </c>
      <c r="CM1335" s="160">
        <v>0.94448267215016868</v>
      </c>
      <c r="CN1335" s="160">
        <f>BJ1335/(10^CM1335)</f>
        <v>2.2516363636363637</v>
      </c>
      <c r="CO1335" s="55" t="s">
        <v>892</v>
      </c>
      <c r="CP1335" s="497" t="s">
        <v>893</v>
      </c>
      <c r="CQ1335" s="149">
        <v>0.9541352497478619</v>
      </c>
      <c r="CR1335" s="349">
        <f t="shared" si="303"/>
        <v>1.2707724562288412</v>
      </c>
      <c r="CS1335" s="61" t="s">
        <v>539</v>
      </c>
      <c r="CT1335" s="61"/>
      <c r="CU1335" s="111">
        <f t="shared" si="309"/>
        <v>3.4108417029183182</v>
      </c>
      <c r="CV1335" s="331">
        <f t="shared" si="310"/>
        <v>1.9682655038759687</v>
      </c>
      <c r="CW1335" s="326">
        <f t="shared" si="315"/>
        <v>1</v>
      </c>
      <c r="CX1335" s="326" t="s">
        <v>539</v>
      </c>
      <c r="CY1335" s="161" t="s">
        <v>5921</v>
      </c>
    </row>
    <row r="1336" spans="1:103" ht="11.25" customHeight="1" x14ac:dyDescent="0.2">
      <c r="A1336" s="72">
        <v>155</v>
      </c>
      <c r="B1336" s="149">
        <v>268</v>
      </c>
      <c r="C1336" s="54" t="s">
        <v>1113</v>
      </c>
      <c r="D1336" s="54" t="s">
        <v>6569</v>
      </c>
      <c r="E1336" s="59"/>
      <c r="F1336" s="59" t="s">
        <v>1114</v>
      </c>
      <c r="G1336" s="151">
        <v>87674688</v>
      </c>
      <c r="H1336" s="55" t="s">
        <v>1115</v>
      </c>
      <c r="I1336" s="55" t="s">
        <v>8297</v>
      </c>
      <c r="J1336" s="55" t="s">
        <v>1116</v>
      </c>
      <c r="K1336" s="55" t="s">
        <v>1117</v>
      </c>
      <c r="L1336" s="55" t="s">
        <v>5972</v>
      </c>
      <c r="M1336" s="55" t="s">
        <v>6082</v>
      </c>
      <c r="N1336" s="60" t="s">
        <v>6082</v>
      </c>
      <c r="O1336" s="55" t="s">
        <v>6083</v>
      </c>
      <c r="P1336" s="67"/>
      <c r="Q1336" s="67"/>
      <c r="R1336" s="67"/>
      <c r="S1336" s="67"/>
      <c r="T1336" s="56">
        <v>275.8</v>
      </c>
      <c r="U1336" s="103">
        <v>1200</v>
      </c>
      <c r="V1336" s="103">
        <v>247</v>
      </c>
      <c r="W1336" s="103">
        <v>759.61627638066591</v>
      </c>
      <c r="X1336" s="103">
        <v>1200</v>
      </c>
      <c r="Y1336" s="162">
        <v>7.01</v>
      </c>
      <c r="Z1336" s="56">
        <v>2.57</v>
      </c>
      <c r="AA1336" s="56">
        <v>2.15</v>
      </c>
      <c r="AB1336" s="56">
        <v>2.52</v>
      </c>
      <c r="AC1336" s="56">
        <v>0.83440000000000003</v>
      </c>
      <c r="AD1336" s="56">
        <v>2.4500000000000002</v>
      </c>
      <c r="AE1336" s="56">
        <v>2.15</v>
      </c>
      <c r="AF1336" s="56">
        <f t="shared" si="304"/>
        <v>2.15</v>
      </c>
      <c r="AG1336" s="57">
        <v>3.03</v>
      </c>
      <c r="AH1336" s="103">
        <v>6.0799999999999997E-10</v>
      </c>
      <c r="AI1336" s="103">
        <v>8.2000000000000006E-8</v>
      </c>
      <c r="AJ1336" s="62">
        <f t="shared" si="305"/>
        <v>-7.6046627470399173</v>
      </c>
      <c r="AK1336" s="62">
        <f t="shared" si="312"/>
        <v>-5.4747524739289348</v>
      </c>
      <c r="AL1336" s="62">
        <f t="shared" si="306"/>
        <v>-5.4747524739289348</v>
      </c>
      <c r="AM1336" s="62">
        <v>-10.136889999999999</v>
      </c>
      <c r="AN1336" s="154">
        <v>-5.57</v>
      </c>
      <c r="AO1336" s="410"/>
      <c r="AP1336" s="410">
        <v>1.1599999999999999</v>
      </c>
      <c r="AQ1336" s="154" t="s">
        <v>6311</v>
      </c>
      <c r="AR1336" s="154" t="s">
        <v>6311</v>
      </c>
      <c r="AS1336" s="149" t="s">
        <v>6</v>
      </c>
      <c r="AT1336" s="58" t="s">
        <v>266</v>
      </c>
      <c r="AU1336" s="56">
        <v>8</v>
      </c>
      <c r="AV1336" s="56">
        <v>144</v>
      </c>
      <c r="AW1336" s="56">
        <v>120</v>
      </c>
      <c r="AX1336" s="56">
        <v>26</v>
      </c>
      <c r="AY1336" s="56" t="s">
        <v>267</v>
      </c>
      <c r="AZ1336" s="56" t="s">
        <v>268</v>
      </c>
      <c r="BA1336" s="56">
        <v>2</v>
      </c>
      <c r="BB1336" s="55" t="s">
        <v>888</v>
      </c>
      <c r="BC1336" s="55" t="s">
        <v>270</v>
      </c>
      <c r="BD1336" s="55" t="s">
        <v>8374</v>
      </c>
      <c r="BE1336" s="56" t="s">
        <v>889</v>
      </c>
      <c r="BF1336" s="56" t="s">
        <v>272</v>
      </c>
      <c r="BG1336" s="56" t="s">
        <v>272</v>
      </c>
      <c r="BH1336" s="56" t="s">
        <v>890</v>
      </c>
      <c r="BI1336" s="153">
        <v>2.7579999999999998E-4</v>
      </c>
      <c r="BJ1336" s="153">
        <v>22.064</v>
      </c>
      <c r="BK1336" s="56"/>
      <c r="BL1336" s="153">
        <v>69.707139569413968</v>
      </c>
      <c r="BM1336" s="56" t="s">
        <v>891</v>
      </c>
      <c r="BN1336" s="162"/>
      <c r="BO1336" s="162"/>
      <c r="BP1336" s="162"/>
      <c r="BQ1336" s="162"/>
      <c r="BR1336" s="162"/>
      <c r="BS1336" s="56">
        <v>12.732285418101497</v>
      </c>
      <c r="BT1336" s="162"/>
      <c r="BU1336" s="158"/>
      <c r="BV1336" s="162"/>
      <c r="BW1336" s="162"/>
      <c r="BX1336" s="162"/>
      <c r="BY1336" s="162"/>
      <c r="BZ1336" s="162"/>
      <c r="CA1336" s="162"/>
      <c r="CB1336" s="162"/>
      <c r="CC1336" s="56"/>
      <c r="CD1336" s="56"/>
      <c r="CE1336" s="56"/>
      <c r="CF1336" s="56"/>
      <c r="CG1336" s="56"/>
      <c r="CH1336" s="56"/>
      <c r="CI1336" s="103">
        <v>12.732285418101497</v>
      </c>
      <c r="CJ1336" s="103">
        <f t="shared" si="314"/>
        <v>1.1049063655849345</v>
      </c>
      <c r="CK1336" s="57">
        <f t="shared" si="307"/>
        <v>3.1593156077508144</v>
      </c>
      <c r="CL1336" s="160">
        <f t="shared" si="308"/>
        <v>5.4748332510918489</v>
      </c>
      <c r="CM1336" s="160">
        <v>0.41497334797081775</v>
      </c>
      <c r="CN1336" s="160">
        <f>BJ1336/(10^CM1336)</f>
        <v>8.486153846153849</v>
      </c>
      <c r="CO1336" s="55" t="s">
        <v>892</v>
      </c>
      <c r="CP1336" s="497" t="s">
        <v>893</v>
      </c>
      <c r="CQ1336" s="149">
        <v>0.61057666097735264</v>
      </c>
      <c r="CR1336" s="349">
        <f t="shared" si="303"/>
        <v>3.1212582595929037</v>
      </c>
      <c r="CS1336" s="61" t="s">
        <v>539</v>
      </c>
      <c r="CT1336" s="61"/>
      <c r="CU1336" s="111">
        <f t="shared" si="309"/>
        <v>94.248594073610647</v>
      </c>
      <c r="CV1336" s="331">
        <f t="shared" si="310"/>
        <v>54.387237128353881</v>
      </c>
      <c r="CW1336" s="326">
        <f t="shared" si="315"/>
        <v>1</v>
      </c>
      <c r="CX1336" s="326" t="s">
        <v>539</v>
      </c>
      <c r="CY1336" s="161" t="s">
        <v>5921</v>
      </c>
    </row>
    <row r="1337" spans="1:103" ht="11.25" customHeight="1" x14ac:dyDescent="0.2">
      <c r="A1337" s="72">
        <v>159</v>
      </c>
      <c r="B1337" s="149">
        <v>307</v>
      </c>
      <c r="C1337" s="54" t="s">
        <v>1209</v>
      </c>
      <c r="D1337" s="54" t="s">
        <v>6588</v>
      </c>
      <c r="E1337" s="59"/>
      <c r="F1337" s="59" t="s">
        <v>1210</v>
      </c>
      <c r="G1337" s="151">
        <v>142459583</v>
      </c>
      <c r="H1337" s="55" t="s">
        <v>1211</v>
      </c>
      <c r="I1337" s="55" t="s">
        <v>8175</v>
      </c>
      <c r="J1337" s="55" t="s">
        <v>1212</v>
      </c>
      <c r="K1337" s="55" t="s">
        <v>471</v>
      </c>
      <c r="L1337" s="55" t="s">
        <v>5248</v>
      </c>
      <c r="M1337" s="55" t="s">
        <v>8504</v>
      </c>
      <c r="N1337" s="60" t="s">
        <v>6082</v>
      </c>
      <c r="O1337" s="55" t="s">
        <v>5986</v>
      </c>
      <c r="P1337" s="67"/>
      <c r="Q1337" s="67"/>
      <c r="R1337" s="67"/>
      <c r="S1337" s="67"/>
      <c r="T1337" s="56">
        <v>363.33</v>
      </c>
      <c r="U1337" s="103">
        <v>56</v>
      </c>
      <c r="V1337" s="103">
        <v>9.516</v>
      </c>
      <c r="W1337" s="103">
        <v>2.1394456530034578</v>
      </c>
      <c r="X1337" s="103">
        <v>56</v>
      </c>
      <c r="Y1337" s="162">
        <v>7</v>
      </c>
      <c r="Z1337" s="56">
        <v>2.39</v>
      </c>
      <c r="AA1337" s="56">
        <v>3.2</v>
      </c>
      <c r="AB1337" s="56">
        <v>2.75</v>
      </c>
      <c r="AC1337" s="56">
        <v>0.77400000000000002</v>
      </c>
      <c r="AD1337" s="56">
        <v>3.01</v>
      </c>
      <c r="AE1337" s="56">
        <v>3.98</v>
      </c>
      <c r="AF1337" s="56">
        <f t="shared" si="304"/>
        <v>3.2</v>
      </c>
      <c r="AG1337" s="57">
        <v>3.86</v>
      </c>
      <c r="AH1337" s="103">
        <v>1.9999999999999999E-11</v>
      </c>
      <c r="AI1337" s="103">
        <v>5.76E-9</v>
      </c>
      <c r="AJ1337" s="62">
        <f t="shared" si="305"/>
        <v>-9.0875363306486712</v>
      </c>
      <c r="AK1337" s="62">
        <f t="shared" si="312"/>
        <v>-6.6281438428894397</v>
      </c>
      <c r="AL1337" s="62">
        <f t="shared" si="306"/>
        <v>-6.6281438428894397</v>
      </c>
      <c r="AM1337" s="62">
        <v>-13.380149999999999</v>
      </c>
      <c r="AN1337" s="154">
        <v>-8.35</v>
      </c>
      <c r="AO1337" s="410"/>
      <c r="AP1337" s="410">
        <v>0.31</v>
      </c>
      <c r="AQ1337" s="154" t="s">
        <v>6311</v>
      </c>
      <c r="AR1337" s="154" t="s">
        <v>6311</v>
      </c>
      <c r="AS1337" s="149" t="s">
        <v>6</v>
      </c>
      <c r="AT1337" s="58" t="s">
        <v>266</v>
      </c>
      <c r="AU1337" s="56">
        <v>8</v>
      </c>
      <c r="AV1337" s="56">
        <v>144</v>
      </c>
      <c r="AW1337" s="56">
        <v>120</v>
      </c>
      <c r="AX1337" s="56">
        <v>26</v>
      </c>
      <c r="AY1337" s="56" t="s">
        <v>267</v>
      </c>
      <c r="AZ1337" s="56" t="s">
        <v>268</v>
      </c>
      <c r="BA1337" s="56">
        <v>2</v>
      </c>
      <c r="BB1337" s="55" t="s">
        <v>888</v>
      </c>
      <c r="BC1337" s="55" t="s">
        <v>270</v>
      </c>
      <c r="BD1337" s="55" t="s">
        <v>8374</v>
      </c>
      <c r="BE1337" s="56" t="s">
        <v>889</v>
      </c>
      <c r="BF1337" s="56" t="s">
        <v>272</v>
      </c>
      <c r="BG1337" s="56" t="s">
        <v>272</v>
      </c>
      <c r="BH1337" s="56" t="s">
        <v>890</v>
      </c>
      <c r="BI1337" s="153">
        <v>3.6332999999999998E-4</v>
      </c>
      <c r="BJ1337" s="153">
        <v>29.066399999999998</v>
      </c>
      <c r="BK1337" s="56"/>
      <c r="BL1337" s="153">
        <v>133.24234235938965</v>
      </c>
      <c r="BM1337" s="56" t="s">
        <v>891</v>
      </c>
      <c r="BN1337" s="162"/>
      <c r="BO1337" s="162"/>
      <c r="BP1337" s="162"/>
      <c r="BQ1337" s="162"/>
      <c r="BR1337" s="162"/>
      <c r="BS1337" s="56">
        <v>16.773101018704917</v>
      </c>
      <c r="BT1337" s="162"/>
      <c r="BU1337" s="158"/>
      <c r="BV1337" s="162"/>
      <c r="BW1337" s="162"/>
      <c r="BX1337" s="162"/>
      <c r="BY1337" s="162"/>
      <c r="BZ1337" s="162"/>
      <c r="CA1337" s="162"/>
      <c r="CB1337" s="162"/>
      <c r="CC1337" s="56"/>
      <c r="CD1337" s="56"/>
      <c r="CE1337" s="56"/>
      <c r="CF1337" s="56"/>
      <c r="CG1337" s="56"/>
      <c r="CH1337" s="56"/>
      <c r="CI1337" s="103">
        <v>16.773101018704917</v>
      </c>
      <c r="CJ1337" s="103">
        <f t="shared" si="314"/>
        <v>1.2246133625947426</v>
      </c>
      <c r="CK1337" s="57">
        <f t="shared" si="307"/>
        <v>4.5840675955532735</v>
      </c>
      <c r="CL1337" s="160">
        <f t="shared" si="308"/>
        <v>7.943810879741398</v>
      </c>
      <c r="CM1337" s="160">
        <v>0.36715984042950317</v>
      </c>
      <c r="CN1337" s="160">
        <f>BJ1337/(10^CM1337)</f>
        <v>12.480483355173439</v>
      </c>
      <c r="CO1337" s="55" t="s">
        <v>892</v>
      </c>
      <c r="CP1337" s="497" t="s">
        <v>893</v>
      </c>
      <c r="CQ1337" s="149">
        <v>0.5108894887326465</v>
      </c>
      <c r="CR1337" s="349">
        <f t="shared" si="303"/>
        <v>5.1727784009141704</v>
      </c>
      <c r="CS1337" s="61" t="s">
        <v>539</v>
      </c>
      <c r="CT1337" s="61"/>
      <c r="CU1337" s="111">
        <f t="shared" si="309"/>
        <v>3.3386789918900677</v>
      </c>
      <c r="CV1337" s="331">
        <f t="shared" si="310"/>
        <v>1.9266231800291747</v>
      </c>
      <c r="CW1337" s="326">
        <f t="shared" si="315"/>
        <v>1</v>
      </c>
      <c r="CX1337" s="326" t="s">
        <v>539</v>
      </c>
      <c r="CY1337" s="161" t="s">
        <v>5921</v>
      </c>
    </row>
    <row r="1338" spans="1:103" ht="11.25" customHeight="1" x14ac:dyDescent="0.2">
      <c r="A1338" s="72">
        <v>160</v>
      </c>
      <c r="B1338" s="149">
        <v>441</v>
      </c>
      <c r="C1338" s="54" t="s">
        <v>1460</v>
      </c>
      <c r="D1338" s="54" t="s">
        <v>6582</v>
      </c>
      <c r="E1338" s="59"/>
      <c r="F1338" s="59" t="s">
        <v>1461</v>
      </c>
      <c r="G1338" s="151">
        <v>122836355</v>
      </c>
      <c r="H1338" s="55" t="s">
        <v>1462</v>
      </c>
      <c r="I1338" s="55" t="s">
        <v>8164</v>
      </c>
      <c r="J1338" s="55" t="s">
        <v>1463</v>
      </c>
      <c r="K1338" s="55" t="s">
        <v>483</v>
      </c>
      <c r="L1338" s="55" t="s">
        <v>5955</v>
      </c>
      <c r="M1338" s="55" t="s">
        <v>8505</v>
      </c>
      <c r="N1338" s="60" t="s">
        <v>6082</v>
      </c>
      <c r="O1338" s="55" t="s">
        <v>5957</v>
      </c>
      <c r="P1338" s="67"/>
      <c r="Q1338" s="67"/>
      <c r="R1338" s="67"/>
      <c r="S1338" s="67"/>
      <c r="T1338" s="56">
        <v>387.19</v>
      </c>
      <c r="U1338" s="103">
        <v>780.00000000000011</v>
      </c>
      <c r="V1338" s="103">
        <v>524.5</v>
      </c>
      <c r="W1338" s="103">
        <v>847.07942317702623</v>
      </c>
      <c r="X1338" s="103">
        <v>780.00000000000011</v>
      </c>
      <c r="Y1338" s="162">
        <v>4.67</v>
      </c>
      <c r="Z1338" s="56">
        <v>2.65</v>
      </c>
      <c r="AA1338" s="56">
        <v>0.99</v>
      </c>
      <c r="AB1338" s="56">
        <v>2.34</v>
      </c>
      <c r="AC1338" s="56">
        <v>0.54120000000000001</v>
      </c>
      <c r="AD1338" s="56">
        <v>2.29</v>
      </c>
      <c r="AE1338" s="56">
        <v>2.21</v>
      </c>
      <c r="AF1338" s="56">
        <f t="shared" si="304"/>
        <v>0.99</v>
      </c>
      <c r="AG1338" s="57">
        <v>3.27</v>
      </c>
      <c r="AH1338" s="103">
        <v>5.02E-12</v>
      </c>
      <c r="AI1338" s="103">
        <v>6.3700000000000001E-13</v>
      </c>
      <c r="AJ1338" s="62">
        <f t="shared" si="305"/>
        <v>-9.6878626091676328</v>
      </c>
      <c r="AK1338" s="62">
        <f t="shared" si="312"/>
        <v>-10.584426893977302</v>
      </c>
      <c r="AL1338" s="62">
        <f t="shared" si="306"/>
        <v>-10.584426893977302</v>
      </c>
      <c r="AM1338" s="62">
        <v>-18.46264</v>
      </c>
      <c r="AN1338" s="154">
        <v>-8.83</v>
      </c>
      <c r="AO1338" s="410">
        <v>6.68</v>
      </c>
      <c r="AP1338" s="410">
        <v>-3.21</v>
      </c>
      <c r="AQ1338" s="154" t="s">
        <v>6311</v>
      </c>
      <c r="AR1338" s="154" t="s">
        <v>6311</v>
      </c>
      <c r="AS1338" s="149" t="s">
        <v>6</v>
      </c>
      <c r="AT1338" s="58" t="s">
        <v>266</v>
      </c>
      <c r="AU1338" s="56">
        <v>8</v>
      </c>
      <c r="AV1338" s="56">
        <v>144</v>
      </c>
      <c r="AW1338" s="56">
        <v>120</v>
      </c>
      <c r="AX1338" s="56">
        <v>26</v>
      </c>
      <c r="AY1338" s="56" t="s">
        <v>267</v>
      </c>
      <c r="AZ1338" s="56" t="s">
        <v>268</v>
      </c>
      <c r="BA1338" s="56">
        <v>2</v>
      </c>
      <c r="BB1338" s="55" t="s">
        <v>888</v>
      </c>
      <c r="BC1338" s="55" t="s">
        <v>270</v>
      </c>
      <c r="BD1338" s="55" t="s">
        <v>8374</v>
      </c>
      <c r="BE1338" s="56" t="s">
        <v>889</v>
      </c>
      <c r="BF1338" s="56" t="s">
        <v>272</v>
      </c>
      <c r="BG1338" s="56" t="s">
        <v>272</v>
      </c>
      <c r="BH1338" s="56" t="s">
        <v>890</v>
      </c>
      <c r="BI1338" s="153">
        <v>3.8718999999999998E-4</v>
      </c>
      <c r="BJ1338" s="153">
        <v>30.975200000000001</v>
      </c>
      <c r="BK1338" s="56"/>
      <c r="BL1338" s="153">
        <v>82.939064446309516</v>
      </c>
      <c r="BM1338" s="56" t="s">
        <v>891</v>
      </c>
      <c r="BN1338" s="162"/>
      <c r="BO1338" s="162"/>
      <c r="BP1338" s="162"/>
      <c r="BQ1338" s="162"/>
      <c r="BR1338" s="162"/>
      <c r="BS1338" s="56">
        <v>17.874596051612468</v>
      </c>
      <c r="BT1338" s="162"/>
      <c r="BU1338" s="158"/>
      <c r="BV1338" s="162"/>
      <c r="BW1338" s="162"/>
      <c r="BX1338" s="162"/>
      <c r="BY1338" s="162"/>
      <c r="BZ1338" s="162"/>
      <c r="CA1338" s="162"/>
      <c r="CB1338" s="162"/>
      <c r="CC1338" s="56"/>
      <c r="CD1338" s="56"/>
      <c r="CE1338" s="56"/>
      <c r="CF1338" s="56"/>
      <c r="CG1338" s="56"/>
      <c r="CH1338" s="56"/>
      <c r="CI1338" s="103">
        <v>17.874596051612468</v>
      </c>
      <c r="CJ1338" s="103">
        <f t="shared" si="314"/>
        <v>1.2522362359535117</v>
      </c>
      <c r="CK1338" s="57">
        <f t="shared" si="307"/>
        <v>2.6775957684311806</v>
      </c>
      <c r="CL1338" s="160">
        <f t="shared" si="308"/>
        <v>4.6400525196107907</v>
      </c>
      <c r="CM1338" s="160">
        <v>1.9722028383790644</v>
      </c>
      <c r="CN1338" s="160">
        <f>BJ1338/(10^CM1338)</f>
        <v>0.33022601279317682</v>
      </c>
      <c r="CO1338" s="55" t="s">
        <v>892</v>
      </c>
      <c r="CP1338" s="497" t="s">
        <v>893</v>
      </c>
      <c r="CQ1338" s="149">
        <v>1.9722028383790644</v>
      </c>
      <c r="CR1338" s="349">
        <f t="shared" si="303"/>
        <v>0.19056072549693462</v>
      </c>
      <c r="CS1338" s="61" t="s">
        <v>539</v>
      </c>
      <c r="CT1338" s="61"/>
      <c r="CU1338" s="111">
        <f t="shared" si="309"/>
        <v>43.637349775500873</v>
      </c>
      <c r="CV1338" s="331">
        <f t="shared" si="310"/>
        <v>25.181435470957414</v>
      </c>
      <c r="CW1338" s="326">
        <f t="shared" si="315"/>
        <v>1</v>
      </c>
      <c r="CX1338" s="326" t="s">
        <v>539</v>
      </c>
      <c r="CY1338" s="161" t="s">
        <v>5921</v>
      </c>
    </row>
    <row r="1339" spans="1:103" ht="11.25" customHeight="1" x14ac:dyDescent="0.2">
      <c r="A1339" s="72">
        <v>161</v>
      </c>
      <c r="B1339" s="149">
        <v>456</v>
      </c>
      <c r="C1339" s="54" t="s">
        <v>1491</v>
      </c>
      <c r="D1339" s="54" t="s">
        <v>6579</v>
      </c>
      <c r="E1339" s="59"/>
      <c r="F1339" s="59" t="s">
        <v>1492</v>
      </c>
      <c r="G1339" s="151">
        <v>117718602</v>
      </c>
      <c r="H1339" s="55" t="s">
        <v>1493</v>
      </c>
      <c r="I1339" s="55" t="s">
        <v>1493</v>
      </c>
      <c r="J1339" s="55" t="s">
        <v>1494</v>
      </c>
      <c r="K1339" s="55" t="s">
        <v>357</v>
      </c>
      <c r="L1339" s="55" t="s">
        <v>5248</v>
      </c>
      <c r="M1339" s="55" t="s">
        <v>6082</v>
      </c>
      <c r="N1339" s="60" t="s">
        <v>6082</v>
      </c>
      <c r="O1339" s="55" t="s">
        <v>6083</v>
      </c>
      <c r="P1339" s="67"/>
      <c r="Q1339" s="67"/>
      <c r="R1339" s="67"/>
      <c r="S1339" s="67"/>
      <c r="T1339" s="56">
        <v>396.38</v>
      </c>
      <c r="U1339" s="103">
        <v>2.5</v>
      </c>
      <c r="V1339" s="103">
        <v>1.536</v>
      </c>
      <c r="W1339" s="103">
        <v>2.1782701157968494</v>
      </c>
      <c r="X1339" s="103">
        <v>2.5</v>
      </c>
      <c r="Y1339" s="162">
        <v>7</v>
      </c>
      <c r="Z1339" s="56">
        <v>5.76</v>
      </c>
      <c r="AA1339" s="56">
        <v>3.89</v>
      </c>
      <c r="AB1339" s="56">
        <v>4.1900000000000004</v>
      </c>
      <c r="AC1339" s="56">
        <v>0.74739999999999995</v>
      </c>
      <c r="AD1339" s="56">
        <v>4.07</v>
      </c>
      <c r="AE1339" s="56">
        <v>3.52</v>
      </c>
      <c r="AF1339" s="56">
        <f t="shared" si="304"/>
        <v>3.89</v>
      </c>
      <c r="AG1339" s="57">
        <v>4.3899999999999997</v>
      </c>
      <c r="AH1339" s="103">
        <v>1.5199999999999999E-9</v>
      </c>
      <c r="AI1339" s="103">
        <v>4.6899999999999998E-7</v>
      </c>
      <c r="AJ1339" s="62">
        <f t="shared" si="305"/>
        <v>-7.2067227383678789</v>
      </c>
      <c r="AK1339" s="62">
        <f t="shared" si="312"/>
        <v>-4.7173934835975686</v>
      </c>
      <c r="AL1339" s="62">
        <f t="shared" si="306"/>
        <v>-4.7173934835975686</v>
      </c>
      <c r="AM1339" s="62">
        <v>-8.0473999999999997</v>
      </c>
      <c r="AN1339" s="154">
        <v>-5.55</v>
      </c>
      <c r="AO1339" s="410"/>
      <c r="AP1339" s="410">
        <v>0.78</v>
      </c>
      <c r="AQ1339" s="154" t="s">
        <v>6311</v>
      </c>
      <c r="AR1339" s="154" t="s">
        <v>6312</v>
      </c>
      <c r="AS1339" s="149" t="s">
        <v>6</v>
      </c>
      <c r="AT1339" s="58" t="s">
        <v>266</v>
      </c>
      <c r="AU1339" s="56">
        <v>8</v>
      </c>
      <c r="AV1339" s="56">
        <v>144</v>
      </c>
      <c r="AW1339" s="56">
        <v>120</v>
      </c>
      <c r="AX1339" s="56">
        <v>26</v>
      </c>
      <c r="AY1339" s="56" t="s">
        <v>267</v>
      </c>
      <c r="AZ1339" s="56" t="s">
        <v>268</v>
      </c>
      <c r="BA1339" s="56">
        <v>2</v>
      </c>
      <c r="BB1339" s="55" t="s">
        <v>888</v>
      </c>
      <c r="BC1339" s="55" t="s">
        <v>270</v>
      </c>
      <c r="BD1339" s="55" t="s">
        <v>8374</v>
      </c>
      <c r="BE1339" s="56" t="s">
        <v>889</v>
      </c>
      <c r="BF1339" s="56" t="s">
        <v>272</v>
      </c>
      <c r="BG1339" s="56" t="s">
        <v>272</v>
      </c>
      <c r="BH1339" s="56" t="s">
        <v>890</v>
      </c>
      <c r="BI1339" s="153">
        <v>3.9638E-4</v>
      </c>
      <c r="BJ1339" s="153">
        <v>31.7104</v>
      </c>
      <c r="BK1339" s="56"/>
      <c r="BL1339" s="153">
        <v>0.1367274560291363</v>
      </c>
      <c r="BM1339" s="56" t="s">
        <v>891</v>
      </c>
      <c r="BN1339" s="162"/>
      <c r="BO1339" s="162"/>
      <c r="BP1339" s="162"/>
      <c r="BQ1339" s="162"/>
      <c r="BR1339" s="162"/>
      <c r="BS1339" s="56">
        <v>18.298851682476691</v>
      </c>
      <c r="BT1339" s="162"/>
      <c r="BU1339" s="158"/>
      <c r="BV1339" s="162"/>
      <c r="BW1339" s="162"/>
      <c r="BX1339" s="162"/>
      <c r="BY1339" s="162"/>
      <c r="BZ1339" s="162"/>
      <c r="CA1339" s="162"/>
      <c r="CB1339" s="162"/>
      <c r="CC1339" s="56"/>
      <c r="CD1339" s="56"/>
      <c r="CE1339" s="56"/>
      <c r="CF1339" s="56"/>
      <c r="CG1339" s="56"/>
      <c r="CH1339" s="56"/>
      <c r="CI1339" s="103">
        <v>18.298851682476691</v>
      </c>
      <c r="CJ1339" s="103">
        <f t="shared" si="314"/>
        <v>1.262423837074071</v>
      </c>
      <c r="CK1339" s="57">
        <f t="shared" si="307"/>
        <v>4.3117543780316963E-3</v>
      </c>
      <c r="CL1339" s="160">
        <f t="shared" si="308"/>
        <v>7.4719145442371645E-3</v>
      </c>
      <c r="CM1339" s="160"/>
      <c r="CN1339" s="160"/>
      <c r="CO1339" s="55" t="s">
        <v>892</v>
      </c>
      <c r="CP1339" s="497" t="s">
        <v>893</v>
      </c>
      <c r="CQ1339" s="149">
        <v>0.5377734806962654</v>
      </c>
      <c r="CR1339" s="349">
        <f t="shared" si="303"/>
        <v>5.3045720956000313</v>
      </c>
      <c r="CS1339" s="61" t="s">
        <v>539</v>
      </c>
      <c r="CT1339" s="61"/>
      <c r="CU1339" s="111">
        <f t="shared" si="309"/>
        <v>0.13662059474442567</v>
      </c>
      <c r="CV1339" s="331">
        <f t="shared" si="310"/>
        <v>7.8838488319289565E-2</v>
      </c>
      <c r="CW1339" s="326">
        <f t="shared" si="315"/>
        <v>0</v>
      </c>
      <c r="CX1339" s="326" t="s">
        <v>539</v>
      </c>
      <c r="CY1339" s="161" t="s">
        <v>5921</v>
      </c>
    </row>
    <row r="1340" spans="1:103" ht="11.25" customHeight="1" x14ac:dyDescent="0.2">
      <c r="A1340" s="72">
        <v>167</v>
      </c>
      <c r="B1340" s="149">
        <v>253</v>
      </c>
      <c r="C1340" s="54" t="s">
        <v>1091</v>
      </c>
      <c r="D1340" s="54" t="s">
        <v>8547</v>
      </c>
      <c r="E1340" s="59"/>
      <c r="F1340" s="59" t="s">
        <v>1092</v>
      </c>
      <c r="G1340" s="151">
        <v>962583</v>
      </c>
      <c r="H1340" s="55" t="s">
        <v>1093</v>
      </c>
      <c r="I1340" s="55" t="s">
        <v>1093</v>
      </c>
      <c r="J1340" s="55" t="s">
        <v>1094</v>
      </c>
      <c r="K1340" s="55" t="s">
        <v>637</v>
      </c>
      <c r="L1340" s="55" t="s">
        <v>617</v>
      </c>
      <c r="M1340" s="55" t="s">
        <v>5970</v>
      </c>
      <c r="N1340" s="60"/>
      <c r="O1340" s="55" t="s">
        <v>918</v>
      </c>
      <c r="P1340" s="67"/>
      <c r="Q1340" s="67"/>
      <c r="R1340" s="67"/>
      <c r="S1340" s="67"/>
      <c r="T1340" s="56">
        <v>288.27999999999997</v>
      </c>
      <c r="U1340" s="103"/>
      <c r="V1340" s="103">
        <v>245.1</v>
      </c>
      <c r="W1340" s="103">
        <v>2453.6607365298119</v>
      </c>
      <c r="X1340" s="103">
        <v>2453.6607365298119</v>
      </c>
      <c r="Y1340" s="162">
        <v>7.03</v>
      </c>
      <c r="Z1340" s="56">
        <v>2.1</v>
      </c>
      <c r="AA1340" s="56">
        <v>2.0699999999999998</v>
      </c>
      <c r="AB1340" s="56">
        <v>1.74</v>
      </c>
      <c r="AC1340" s="56">
        <v>0.85509999999999997</v>
      </c>
      <c r="AD1340" s="56">
        <v>1.82</v>
      </c>
      <c r="AE1340" s="56">
        <v>2.0699999999999998</v>
      </c>
      <c r="AF1340" s="56">
        <f t="shared" si="304"/>
        <v>2.0699999999999998</v>
      </c>
      <c r="AG1340" s="57">
        <v>2.9</v>
      </c>
      <c r="AH1340" s="103">
        <v>1.8899999999999999E-10</v>
      </c>
      <c r="AI1340" s="103"/>
      <c r="AJ1340" s="62">
        <f t="shared" si="305"/>
        <v>-8.1121045221394077</v>
      </c>
      <c r="AK1340" s="62"/>
      <c r="AL1340" s="62">
        <f t="shared" si="306"/>
        <v>-8.1121045221394077</v>
      </c>
      <c r="AM1340" s="62">
        <v>-13.35488</v>
      </c>
      <c r="AN1340" s="154">
        <v>-4.6100000000000003</v>
      </c>
      <c r="AO1340" s="410"/>
      <c r="AP1340" s="410">
        <v>1.21</v>
      </c>
      <c r="AQ1340" s="154" t="s">
        <v>6312</v>
      </c>
      <c r="AR1340" s="154" t="s">
        <v>6312</v>
      </c>
      <c r="AS1340" s="149" t="s">
        <v>6</v>
      </c>
      <c r="AT1340" s="58" t="s">
        <v>266</v>
      </c>
      <c r="AU1340" s="56">
        <v>8</v>
      </c>
      <c r="AV1340" s="56">
        <v>144</v>
      </c>
      <c r="AW1340" s="56">
        <v>120</v>
      </c>
      <c r="AX1340" s="56">
        <v>26</v>
      </c>
      <c r="AY1340" s="56" t="s">
        <v>267</v>
      </c>
      <c r="AZ1340" s="56" t="s">
        <v>268</v>
      </c>
      <c r="BA1340" s="56">
        <v>2</v>
      </c>
      <c r="BB1340" s="55" t="s">
        <v>888</v>
      </c>
      <c r="BC1340" s="55" t="s">
        <v>270</v>
      </c>
      <c r="BD1340" s="55" t="s">
        <v>8374</v>
      </c>
      <c r="BE1340" s="56" t="s">
        <v>889</v>
      </c>
      <c r="BF1340" s="56" t="s">
        <v>272</v>
      </c>
      <c r="BG1340" s="56" t="s">
        <v>272</v>
      </c>
      <c r="BH1340" s="56" t="s">
        <v>890</v>
      </c>
      <c r="BI1340" s="153">
        <v>2.8827999999999997E-4</v>
      </c>
      <c r="BJ1340" s="153">
        <v>23.062399999999997</v>
      </c>
      <c r="BK1340" s="56"/>
      <c r="BL1340" s="153">
        <v>192.57704278360194</v>
      </c>
      <c r="BM1340" s="56" t="s">
        <v>891</v>
      </c>
      <c r="BN1340" s="162"/>
      <c r="BO1340" s="162"/>
      <c r="BP1340" s="162"/>
      <c r="BQ1340" s="162"/>
      <c r="BR1340" s="162"/>
      <c r="BS1340" s="56">
        <v>13.308423641516676</v>
      </c>
      <c r="BT1340" s="162"/>
      <c r="BU1340" s="158"/>
      <c r="BV1340" s="162"/>
      <c r="BW1340" s="162"/>
      <c r="BX1340" s="162"/>
      <c r="BY1340" s="162"/>
      <c r="BZ1340" s="162"/>
      <c r="CA1340" s="162"/>
      <c r="CB1340" s="162"/>
      <c r="CC1340" s="56"/>
      <c r="CD1340" s="56"/>
      <c r="CE1340" s="56"/>
      <c r="CF1340" s="56"/>
      <c r="CG1340" s="56"/>
      <c r="CH1340" s="56"/>
      <c r="CI1340" s="103">
        <v>13.308423641516676</v>
      </c>
      <c r="CJ1340" s="103">
        <f t="shared" si="314"/>
        <v>1.1241266171325082</v>
      </c>
      <c r="CK1340" s="57">
        <f t="shared" si="307"/>
        <v>8.3502602844284191</v>
      </c>
      <c r="CL1340" s="160">
        <f t="shared" si="308"/>
        <v>14.470312034765913</v>
      </c>
      <c r="CM1340" s="160"/>
      <c r="CN1340" s="160"/>
      <c r="CO1340" s="55" t="s">
        <v>892</v>
      </c>
      <c r="CP1340" s="497" t="s">
        <v>893</v>
      </c>
      <c r="CQ1340" s="149" t="s">
        <v>272</v>
      </c>
      <c r="CR1340" s="349"/>
      <c r="CS1340" s="61" t="s">
        <v>539</v>
      </c>
      <c r="CT1340" s="61"/>
      <c r="CU1340" s="111">
        <f t="shared" si="309"/>
        <v>184.3689983594619</v>
      </c>
      <c r="CV1340" s="331">
        <f t="shared" si="310"/>
        <v>106.39225477529712</v>
      </c>
      <c r="CW1340" s="326">
        <f t="shared" si="315"/>
        <v>1</v>
      </c>
      <c r="CX1340" s="326" t="s">
        <v>539</v>
      </c>
      <c r="CY1340" s="161" t="s">
        <v>5921</v>
      </c>
    </row>
    <row r="1341" spans="1:103" ht="11.25" customHeight="1" x14ac:dyDescent="0.2">
      <c r="A1341" s="72">
        <v>168</v>
      </c>
      <c r="B1341" s="149">
        <v>396</v>
      </c>
      <c r="C1341" s="54" t="s">
        <v>1359</v>
      </c>
      <c r="D1341" s="54" t="s">
        <v>6523</v>
      </c>
      <c r="E1341" s="59"/>
      <c r="F1341" s="59" t="s">
        <v>1360</v>
      </c>
      <c r="G1341" s="151">
        <v>52645531</v>
      </c>
      <c r="H1341" s="55" t="s">
        <v>1361</v>
      </c>
      <c r="I1341" s="55" t="s">
        <v>7889</v>
      </c>
      <c r="J1341" s="55" t="s">
        <v>1362</v>
      </c>
      <c r="K1341" s="55" t="s">
        <v>1363</v>
      </c>
      <c r="L1341" s="55" t="s">
        <v>617</v>
      </c>
      <c r="M1341" s="55" t="s">
        <v>1364</v>
      </c>
      <c r="N1341" s="60" t="s">
        <v>6376</v>
      </c>
      <c r="O1341" s="55" t="s">
        <v>1365</v>
      </c>
      <c r="P1341" s="67" t="s">
        <v>6178</v>
      </c>
      <c r="Q1341" s="67" t="s">
        <v>6173</v>
      </c>
      <c r="R1341" s="67" t="s">
        <v>6181</v>
      </c>
      <c r="S1341" s="67" t="s">
        <v>6176</v>
      </c>
      <c r="T1341" s="56">
        <v>391.29</v>
      </c>
      <c r="U1341" s="103">
        <v>6.0000000000000001E-3</v>
      </c>
      <c r="V1341" s="103">
        <v>9.7470000000000005E-3</v>
      </c>
      <c r="W1341" s="103">
        <v>5.1582067922973561E-2</v>
      </c>
      <c r="X1341" s="103">
        <v>6.0000000000000001E-3</v>
      </c>
      <c r="Y1341" s="162">
        <v>7</v>
      </c>
      <c r="Z1341" s="56">
        <v>7.43</v>
      </c>
      <c r="AA1341" s="56">
        <v>6.5</v>
      </c>
      <c r="AB1341" s="56">
        <v>6.33</v>
      </c>
      <c r="AC1341" s="56">
        <v>0.93520000000000003</v>
      </c>
      <c r="AD1341" s="56">
        <v>6.47</v>
      </c>
      <c r="AE1341" s="56">
        <v>7.15</v>
      </c>
      <c r="AF1341" s="56">
        <f t="shared" ref="AF1341:AF1372" si="316">IF(AA1341=0,AD1341,AA1341)</f>
        <v>6.5</v>
      </c>
      <c r="AG1341" s="57">
        <v>5.3</v>
      </c>
      <c r="AH1341" s="103">
        <v>2.8799999999999998E-7</v>
      </c>
      <c r="AI1341" s="103">
        <v>1.8700000000000001E-6</v>
      </c>
      <c r="AJ1341" s="62">
        <f t="shared" ref="AJ1341:AJ1372" si="317">LOG10(AH1341*1000/(0.08206*298.15))</f>
        <v>-4.9291738385534209</v>
      </c>
      <c r="AK1341" s="62">
        <f>LOG10(AI1341*1000/(0.08206*298.15))</f>
        <v>-4.116724719776153</v>
      </c>
      <c r="AL1341" s="62">
        <f t="shared" ref="AL1341:AL1372" si="318">IF(AK1341=0,AJ1341,AK1341)</f>
        <v>-4.116724719776153</v>
      </c>
      <c r="AM1341" s="62">
        <v>-12.603410000000002</v>
      </c>
      <c r="AN1341" s="154">
        <v>-4.92</v>
      </c>
      <c r="AO1341" s="410"/>
      <c r="AP1341" s="410"/>
      <c r="AQ1341" s="154" t="s">
        <v>6311</v>
      </c>
      <c r="AR1341" s="154" t="s">
        <v>6312</v>
      </c>
      <c r="AS1341" s="149" t="s">
        <v>6</v>
      </c>
      <c r="AT1341" s="58" t="s">
        <v>266</v>
      </c>
      <c r="AU1341" s="56">
        <v>8</v>
      </c>
      <c r="AV1341" s="56">
        <v>144</v>
      </c>
      <c r="AW1341" s="56">
        <v>120</v>
      </c>
      <c r="AX1341" s="56">
        <v>26</v>
      </c>
      <c r="AY1341" s="56" t="s">
        <v>267</v>
      </c>
      <c r="AZ1341" s="56" t="s">
        <v>268</v>
      </c>
      <c r="BA1341" s="56">
        <v>2</v>
      </c>
      <c r="BB1341" s="55" t="s">
        <v>888</v>
      </c>
      <c r="BC1341" s="55" t="s">
        <v>270</v>
      </c>
      <c r="BD1341" s="55" t="s">
        <v>8374</v>
      </c>
      <c r="BE1341" s="56" t="s">
        <v>889</v>
      </c>
      <c r="BF1341" s="56" t="s">
        <v>272</v>
      </c>
      <c r="BG1341" s="56" t="s">
        <v>272</v>
      </c>
      <c r="BH1341" s="56" t="s">
        <v>890</v>
      </c>
      <c r="BI1341" s="153">
        <v>3.9129000000000003E-4</v>
      </c>
      <c r="BJ1341" s="153">
        <v>31.303200000000004</v>
      </c>
      <c r="BK1341" s="56"/>
      <c r="BL1341" s="153">
        <v>4.2698807781093792E-3</v>
      </c>
      <c r="BM1341" s="56" t="s">
        <v>891</v>
      </c>
      <c r="BN1341" s="162"/>
      <c r="BO1341" s="162"/>
      <c r="BP1341" s="162"/>
      <c r="BQ1341" s="162"/>
      <c r="BR1341" s="162"/>
      <c r="BS1341" s="56">
        <v>14.818152300000001</v>
      </c>
      <c r="BT1341" s="162"/>
      <c r="BU1341" s="158"/>
      <c r="BV1341" s="162"/>
      <c r="BW1341" s="162"/>
      <c r="BX1341" s="162"/>
      <c r="BY1341" s="162"/>
      <c r="BZ1341" s="162"/>
      <c r="CA1341" s="162"/>
      <c r="CB1341" s="162"/>
      <c r="CC1341" s="56"/>
      <c r="CD1341" s="56"/>
      <c r="CE1341" s="56"/>
      <c r="CF1341" s="56"/>
      <c r="CG1341" s="56"/>
      <c r="CH1341" s="56"/>
      <c r="CI1341" s="103">
        <v>14.818152300000001</v>
      </c>
      <c r="CJ1341" s="103">
        <f t="shared" si="314"/>
        <v>1.1707940541196056</v>
      </c>
      <c r="CK1341" s="57">
        <f t="shared" si="307"/>
        <v>1.3640397077964485E-4</v>
      </c>
      <c r="CL1341" s="160">
        <f t="shared" ref="CL1341:CL1372" si="319">BL1341/CI1341</f>
        <v>2.8815203755932372E-4</v>
      </c>
      <c r="CM1341" s="160">
        <v>-2.6020599913279625</v>
      </c>
      <c r="CN1341" s="160">
        <f>BJ1341/(10^CM1341)</f>
        <v>12521.280000000008</v>
      </c>
      <c r="CO1341" s="55" t="s">
        <v>892</v>
      </c>
      <c r="CP1341" s="497" t="s">
        <v>893</v>
      </c>
      <c r="CQ1341" s="149">
        <v>-2.0868585448471388</v>
      </c>
      <c r="CR1341" s="349">
        <f>10^(CJ1341-CQ1341)</f>
        <v>1809.8917440139403</v>
      </c>
      <c r="CS1341" s="61" t="s">
        <v>539</v>
      </c>
      <c r="CT1341" s="61"/>
      <c r="CU1341" s="111">
        <f t="shared" ref="CU1341:CU1372" si="320">X1341/CI1341</f>
        <v>4.0490878204835294E-4</v>
      </c>
      <c r="CV1341" s="331">
        <f t="shared" si="310"/>
        <v>1.9167369470213906E-4</v>
      </c>
      <c r="CW1341" s="326">
        <f t="shared" si="315"/>
        <v>0</v>
      </c>
      <c r="CX1341" s="326" t="s">
        <v>539</v>
      </c>
      <c r="CY1341" s="161" t="s">
        <v>5921</v>
      </c>
    </row>
    <row r="1342" spans="1:103" ht="11.25" customHeight="1" x14ac:dyDescent="0.2">
      <c r="A1342" s="72">
        <v>182</v>
      </c>
      <c r="B1342" s="149">
        <v>394</v>
      </c>
      <c r="C1342" s="54" t="s">
        <v>1354</v>
      </c>
      <c r="D1342" s="54"/>
      <c r="E1342" s="59"/>
      <c r="F1342" s="59" t="s">
        <v>1355</v>
      </c>
      <c r="G1342" s="151">
        <v>1763231</v>
      </c>
      <c r="H1342" s="55" t="s">
        <v>1356</v>
      </c>
      <c r="I1342" s="55" t="s">
        <v>1356</v>
      </c>
      <c r="J1342" s="55" t="s">
        <v>1357</v>
      </c>
      <c r="K1342" s="55" t="s">
        <v>426</v>
      </c>
      <c r="L1342" s="55"/>
      <c r="M1342" s="55"/>
      <c r="N1342" s="60"/>
      <c r="O1342" s="55"/>
      <c r="P1342" s="67"/>
      <c r="Q1342" s="67"/>
      <c r="R1342" s="67"/>
      <c r="S1342" s="67"/>
      <c r="T1342" s="56">
        <v>500.13</v>
      </c>
      <c r="U1342" s="103"/>
      <c r="V1342" s="103">
        <v>0.10390000000000001</v>
      </c>
      <c r="W1342" s="103">
        <v>2685.8571231865435</v>
      </c>
      <c r="X1342" s="103">
        <v>2685.8571231865435</v>
      </c>
      <c r="Y1342" s="162">
        <v>2.27</v>
      </c>
      <c r="Z1342" s="56">
        <v>4.49</v>
      </c>
      <c r="AA1342" s="56"/>
      <c r="AB1342" s="56">
        <v>2.3199999999999998</v>
      </c>
      <c r="AC1342" s="56">
        <v>0.56120000000000003</v>
      </c>
      <c r="AD1342" s="56">
        <v>4.16</v>
      </c>
      <c r="AE1342" s="56">
        <v>7.03</v>
      </c>
      <c r="AF1342" s="56">
        <f t="shared" si="316"/>
        <v>4.16</v>
      </c>
      <c r="AG1342" s="57">
        <v>4.3899999999999997</v>
      </c>
      <c r="AH1342" s="103">
        <v>1.0999999999999999E-2</v>
      </c>
      <c r="AI1342" s="103"/>
      <c r="AJ1342" s="62">
        <f t="shared" si="317"/>
        <v>-0.34717364115442678</v>
      </c>
      <c r="AK1342" s="62"/>
      <c r="AL1342" s="62">
        <f t="shared" si="318"/>
        <v>-0.34717364115442678</v>
      </c>
      <c r="AM1342" s="62">
        <v>-3.9819300000000002</v>
      </c>
      <c r="AN1342" s="154">
        <v>-7.26</v>
      </c>
      <c r="AO1342" s="410">
        <v>-3.27</v>
      </c>
      <c r="AP1342" s="410"/>
      <c r="AQ1342" s="154" t="s">
        <v>6311</v>
      </c>
      <c r="AR1342" s="154" t="s">
        <v>6311</v>
      </c>
      <c r="AS1342" s="149" t="s">
        <v>1358</v>
      </c>
      <c r="AT1342" s="58" t="s">
        <v>266</v>
      </c>
      <c r="AU1342" s="56">
        <v>8</v>
      </c>
      <c r="AV1342" s="56">
        <v>144</v>
      </c>
      <c r="AW1342" s="56">
        <v>120</v>
      </c>
      <c r="AX1342" s="56">
        <v>26</v>
      </c>
      <c r="AY1342" s="56" t="s">
        <v>267</v>
      </c>
      <c r="AZ1342" s="56" t="s">
        <v>268</v>
      </c>
      <c r="BA1342" s="56">
        <v>2</v>
      </c>
      <c r="BB1342" s="55" t="s">
        <v>888</v>
      </c>
      <c r="BC1342" s="55" t="s">
        <v>270</v>
      </c>
      <c r="BD1342" s="55" t="s">
        <v>8374</v>
      </c>
      <c r="BE1342" s="56" t="s">
        <v>889</v>
      </c>
      <c r="BF1342" s="56" t="s">
        <v>272</v>
      </c>
      <c r="BG1342" s="56" t="s">
        <v>272</v>
      </c>
      <c r="BH1342" s="56" t="s">
        <v>890</v>
      </c>
      <c r="BI1342" s="153">
        <v>5.0013E-4</v>
      </c>
      <c r="BJ1342" s="153">
        <v>40.010399999999997</v>
      </c>
      <c r="BK1342" s="56"/>
      <c r="BL1342" s="153">
        <v>2.3845910314689278</v>
      </c>
      <c r="BM1342" s="56" t="s">
        <v>891</v>
      </c>
      <c r="BN1342" s="162"/>
      <c r="BO1342" s="162"/>
      <c r="BP1342" s="162"/>
      <c r="BQ1342" s="162"/>
      <c r="BR1342" s="162"/>
      <c r="BS1342" s="56">
        <v>23.088462313832856</v>
      </c>
      <c r="BT1342" s="162"/>
      <c r="BU1342" s="158"/>
      <c r="BV1342" s="162"/>
      <c r="BW1342" s="162"/>
      <c r="BX1342" s="162"/>
      <c r="BY1342" s="162"/>
      <c r="BZ1342" s="162"/>
      <c r="CA1342" s="162"/>
      <c r="CB1342" s="162"/>
      <c r="CC1342" s="56"/>
      <c r="CD1342" s="56"/>
      <c r="CE1342" s="56"/>
      <c r="CF1342" s="56"/>
      <c r="CG1342" s="56"/>
      <c r="CH1342" s="56"/>
      <c r="CI1342" s="103">
        <v>23.088462313832856</v>
      </c>
      <c r="CJ1342" s="103">
        <f t="shared" si="314"/>
        <v>1.3633950099698076</v>
      </c>
      <c r="CK1342" s="57">
        <f t="shared" si="307"/>
        <v>5.9599279973929976E-2</v>
      </c>
      <c r="CL1342" s="160">
        <f t="shared" si="319"/>
        <v>0.1032806342430289</v>
      </c>
      <c r="CM1342" s="160"/>
      <c r="CN1342" s="160"/>
      <c r="CO1342" s="55" t="s">
        <v>892</v>
      </c>
      <c r="CP1342" s="497" t="s">
        <v>893</v>
      </c>
      <c r="CQ1342" s="149" t="s">
        <v>272</v>
      </c>
      <c r="CR1342" s="349"/>
      <c r="CS1342" s="61" t="s">
        <v>539</v>
      </c>
      <c r="CT1342" s="61"/>
      <c r="CU1342" s="111">
        <f t="shared" si="320"/>
        <v>116.32897360935905</v>
      </c>
      <c r="CV1342" s="331">
        <f t="shared" si="310"/>
        <v>67.128974546281555</v>
      </c>
      <c r="CW1342" s="326">
        <f t="shared" si="315"/>
        <v>1</v>
      </c>
      <c r="CX1342" s="326" t="s">
        <v>539</v>
      </c>
      <c r="CY1342" s="161" t="s">
        <v>5921</v>
      </c>
    </row>
    <row r="1343" spans="1:103" ht="11.25" customHeight="1" x14ac:dyDescent="0.2">
      <c r="A1343" s="72">
        <v>187</v>
      </c>
      <c r="B1343" s="149">
        <v>294</v>
      </c>
      <c r="C1343" s="54" t="s">
        <v>1159</v>
      </c>
      <c r="D1343" s="54" t="s">
        <v>6577</v>
      </c>
      <c r="E1343" s="59"/>
      <c r="F1343" s="59" t="s">
        <v>1160</v>
      </c>
      <c r="G1343" s="151">
        <v>114369436</v>
      </c>
      <c r="H1343" s="55" t="s">
        <v>1161</v>
      </c>
      <c r="I1343" s="55" t="s">
        <v>7960</v>
      </c>
      <c r="J1343" s="55" t="s">
        <v>1162</v>
      </c>
      <c r="K1343" s="55" t="s">
        <v>1163</v>
      </c>
      <c r="L1343" s="55" t="s">
        <v>5929</v>
      </c>
      <c r="M1343" s="55" t="s">
        <v>6082</v>
      </c>
      <c r="N1343" s="60" t="s">
        <v>6082</v>
      </c>
      <c r="O1343" s="55" t="s">
        <v>6083</v>
      </c>
      <c r="P1343" s="67"/>
      <c r="Q1343" s="67"/>
      <c r="R1343" s="67"/>
      <c r="S1343" s="67"/>
      <c r="T1343" s="56">
        <v>336.82</v>
      </c>
      <c r="U1343" s="103">
        <v>0.2</v>
      </c>
      <c r="V1343" s="103">
        <v>7.0449999999999999</v>
      </c>
      <c r="W1343" s="103">
        <v>3.5269383755450319</v>
      </c>
      <c r="X1343" s="103">
        <v>0.2</v>
      </c>
      <c r="Y1343" s="162">
        <v>7</v>
      </c>
      <c r="Z1343" s="56">
        <v>4.2300000000000004</v>
      </c>
      <c r="AA1343" s="56">
        <v>3.23</v>
      </c>
      <c r="AB1343" s="56">
        <v>3.86</v>
      </c>
      <c r="AC1343" s="56">
        <v>0.62219999999999998</v>
      </c>
      <c r="AD1343" s="56">
        <v>3.67</v>
      </c>
      <c r="AE1343" s="56">
        <v>3.35</v>
      </c>
      <c r="AF1343" s="56">
        <f t="shared" si="316"/>
        <v>3.23</v>
      </c>
      <c r="AG1343" s="57">
        <v>4.45</v>
      </c>
      <c r="AH1343" s="103">
        <v>1.5299999999999999E-10</v>
      </c>
      <c r="AI1343" s="103">
        <v>8.3099999999999996E-8</v>
      </c>
      <c r="AJ1343" s="62">
        <f t="shared" si="317"/>
        <v>-8.2038748954950531</v>
      </c>
      <c r="AK1343" s="62">
        <f t="shared" ref="AK1343:AK1349" si="321">LOG10(AI1343*1000/(0.08206*298.15))</f>
        <v>-5.4689653025285407</v>
      </c>
      <c r="AL1343" s="62">
        <f t="shared" si="318"/>
        <v>-5.4689653025285407</v>
      </c>
      <c r="AM1343" s="62">
        <v>-14.436909999999999</v>
      </c>
      <c r="AN1343" s="154">
        <v>-9.89</v>
      </c>
      <c r="AO1343" s="410"/>
      <c r="AP1343" s="410">
        <v>2.34</v>
      </c>
      <c r="AQ1343" s="154" t="s">
        <v>6311</v>
      </c>
      <c r="AR1343" s="154" t="s">
        <v>6311</v>
      </c>
      <c r="AS1343" s="149" t="s">
        <v>6</v>
      </c>
      <c r="AT1343" s="58" t="s">
        <v>266</v>
      </c>
      <c r="AU1343" s="56">
        <v>8</v>
      </c>
      <c r="AV1343" s="56">
        <v>144</v>
      </c>
      <c r="AW1343" s="56">
        <v>120</v>
      </c>
      <c r="AX1343" s="56">
        <v>26</v>
      </c>
      <c r="AY1343" s="56" t="s">
        <v>267</v>
      </c>
      <c r="AZ1343" s="56" t="s">
        <v>268</v>
      </c>
      <c r="BA1343" s="56">
        <v>3</v>
      </c>
      <c r="BB1343" s="55" t="s">
        <v>888</v>
      </c>
      <c r="BC1343" s="55" t="s">
        <v>270</v>
      </c>
      <c r="BD1343" s="55" t="s">
        <v>8374</v>
      </c>
      <c r="BE1343" s="56" t="s">
        <v>889</v>
      </c>
      <c r="BF1343" s="56" t="s">
        <v>272</v>
      </c>
      <c r="BG1343" s="56" t="s">
        <v>272</v>
      </c>
      <c r="BH1343" s="56" t="s">
        <v>890</v>
      </c>
      <c r="BI1343" s="153">
        <v>3.3681999999999999E-4</v>
      </c>
      <c r="BJ1343" s="153">
        <v>26.945599999999999</v>
      </c>
      <c r="BK1343" s="56"/>
      <c r="BL1343" s="153">
        <v>2.749380648226492</v>
      </c>
      <c r="BM1343" s="56" t="s">
        <v>891</v>
      </c>
      <c r="BN1343" s="162"/>
      <c r="BO1343" s="162"/>
      <c r="BP1343" s="162"/>
      <c r="BQ1343" s="162"/>
      <c r="BR1343" s="162"/>
      <c r="BS1343" s="181">
        <v>9.2692864000000004</v>
      </c>
      <c r="BT1343" s="162"/>
      <c r="BU1343" s="182"/>
      <c r="BV1343" s="162"/>
      <c r="BW1343" s="162"/>
      <c r="BX1343" s="162"/>
      <c r="BY1343" s="162"/>
      <c r="BZ1343" s="162"/>
      <c r="CA1343" s="162"/>
      <c r="CB1343" s="162"/>
      <c r="CC1343" s="181"/>
      <c r="CD1343" s="181"/>
      <c r="CE1343" s="181"/>
      <c r="CF1343" s="181"/>
      <c r="CG1343" s="162"/>
      <c r="CH1343" s="181"/>
      <c r="CI1343" s="103">
        <v>9.2692864000000004</v>
      </c>
      <c r="CJ1343" s="103">
        <f t="shared" si="314"/>
        <v>0.96704630108394096</v>
      </c>
      <c r="CK1343" s="57">
        <f t="shared" si="307"/>
        <v>0.10203449350641634</v>
      </c>
      <c r="CL1343" s="160">
        <f t="shared" si="319"/>
        <v>0.29661189972795443</v>
      </c>
      <c r="CM1343" s="160"/>
      <c r="CN1343" s="160"/>
      <c r="CO1343" s="55" t="s">
        <v>892</v>
      </c>
      <c r="CP1343" s="497" t="s">
        <v>893</v>
      </c>
      <c r="CQ1343" s="149">
        <v>4.300085880958795E-3</v>
      </c>
      <c r="CR1343" s="349">
        <f t="shared" ref="CR1343:CR1350" si="322">10^(CJ1343-CQ1343)</f>
        <v>9.1779611541071056</v>
      </c>
      <c r="CS1343" s="61" t="s">
        <v>539</v>
      </c>
      <c r="CT1343" s="61"/>
      <c r="CU1343" s="111">
        <f t="shared" si="320"/>
        <v>2.1576633989861399E-2</v>
      </c>
      <c r="CV1343" s="331">
        <f t="shared" si="310"/>
        <v>7.4223620925123216E-3</v>
      </c>
      <c r="CW1343" s="326">
        <f t="shared" si="315"/>
        <v>0</v>
      </c>
      <c r="CX1343" s="326" t="s">
        <v>539</v>
      </c>
      <c r="CY1343" s="161" t="s">
        <v>5921</v>
      </c>
    </row>
    <row r="1344" spans="1:103" ht="11.25" customHeight="1" x14ac:dyDescent="0.2">
      <c r="A1344" s="72">
        <v>190</v>
      </c>
      <c r="B1344" s="149">
        <v>192</v>
      </c>
      <c r="C1344" s="54" t="s">
        <v>947</v>
      </c>
      <c r="D1344" s="54" t="s">
        <v>6451</v>
      </c>
      <c r="E1344" s="59"/>
      <c r="F1344" s="59" t="s">
        <v>948</v>
      </c>
      <c r="G1344" s="151">
        <v>86500</v>
      </c>
      <c r="H1344" s="55" t="s">
        <v>949</v>
      </c>
      <c r="I1344" s="55" t="s">
        <v>949</v>
      </c>
      <c r="J1344" s="55" t="s">
        <v>950</v>
      </c>
      <c r="K1344" s="55" t="s">
        <v>951</v>
      </c>
      <c r="L1344" s="55" t="s">
        <v>617</v>
      </c>
      <c r="M1344" s="55" t="s">
        <v>618</v>
      </c>
      <c r="N1344" s="60" t="s">
        <v>6376</v>
      </c>
      <c r="O1344" s="55" t="s">
        <v>952</v>
      </c>
      <c r="P1344" s="67" t="s">
        <v>6178</v>
      </c>
      <c r="Q1344" s="67" t="s">
        <v>6176</v>
      </c>
      <c r="R1344" s="67" t="s">
        <v>6177</v>
      </c>
      <c r="S1344" s="67" t="s">
        <v>6176</v>
      </c>
      <c r="T1344" s="56">
        <v>317.33</v>
      </c>
      <c r="U1344" s="103">
        <v>20.9</v>
      </c>
      <c r="V1344" s="103">
        <v>43.54</v>
      </c>
      <c r="W1344" s="103">
        <v>52.663671333716046</v>
      </c>
      <c r="X1344" s="103">
        <v>20.9</v>
      </c>
      <c r="Y1344" s="162">
        <v>7</v>
      </c>
      <c r="Z1344" s="56">
        <v>2.5299999999999998</v>
      </c>
      <c r="AA1344" s="56">
        <v>2.75</v>
      </c>
      <c r="AB1344" s="56">
        <v>3.17</v>
      </c>
      <c r="AC1344" s="56">
        <v>0.83950000000000002</v>
      </c>
      <c r="AD1344" s="56">
        <v>3.01</v>
      </c>
      <c r="AE1344" s="56">
        <v>2.54</v>
      </c>
      <c r="AF1344" s="56">
        <f t="shared" si="316"/>
        <v>2.75</v>
      </c>
      <c r="AG1344" s="57">
        <v>3.27</v>
      </c>
      <c r="AH1344" s="103">
        <v>2.8599999999999999E-10</v>
      </c>
      <c r="AI1344" s="103">
        <v>2.3899999999999999E-8</v>
      </c>
      <c r="AJ1344" s="62">
        <f t="shared" si="317"/>
        <v>-7.9322002931836089</v>
      </c>
      <c r="AK1344" s="62">
        <f t="shared" si="321"/>
        <v>-6.0101684253645145</v>
      </c>
      <c r="AL1344" s="62">
        <f t="shared" si="318"/>
        <v>-6.0101684253645145</v>
      </c>
      <c r="AM1344" s="62">
        <v>-15.46162</v>
      </c>
      <c r="AN1344" s="154">
        <v>-6.71</v>
      </c>
      <c r="AO1344" s="410"/>
      <c r="AP1344" s="410">
        <v>-2.6</v>
      </c>
      <c r="AQ1344" s="154" t="s">
        <v>6314</v>
      </c>
      <c r="AR1344" s="154" t="s">
        <v>6314</v>
      </c>
      <c r="AS1344" s="149" t="s">
        <v>6</v>
      </c>
      <c r="AT1344" s="58" t="s">
        <v>266</v>
      </c>
      <c r="AU1344" s="56">
        <v>8</v>
      </c>
      <c r="AV1344" s="56">
        <v>144</v>
      </c>
      <c r="AW1344" s="56">
        <v>120</v>
      </c>
      <c r="AX1344" s="56">
        <v>26</v>
      </c>
      <c r="AY1344" s="56" t="s">
        <v>267</v>
      </c>
      <c r="AZ1344" s="56" t="s">
        <v>268</v>
      </c>
      <c r="BA1344" s="56">
        <v>3</v>
      </c>
      <c r="BB1344" s="55" t="s">
        <v>888</v>
      </c>
      <c r="BC1344" s="55" t="s">
        <v>270</v>
      </c>
      <c r="BD1344" s="55" t="s">
        <v>8374</v>
      </c>
      <c r="BE1344" s="56" t="s">
        <v>889</v>
      </c>
      <c r="BF1344" s="56" t="s">
        <v>272</v>
      </c>
      <c r="BG1344" s="56" t="s">
        <v>272</v>
      </c>
      <c r="BH1344" s="56" t="s">
        <v>890</v>
      </c>
      <c r="BI1344" s="153">
        <v>3.1732999999999995E-4</v>
      </c>
      <c r="BJ1344" s="153">
        <v>25.386399999999998</v>
      </c>
      <c r="BK1344" s="56"/>
      <c r="BL1344" s="153">
        <v>87.120053154584937</v>
      </c>
      <c r="BM1344" s="56" t="s">
        <v>891</v>
      </c>
      <c r="BN1344" s="162"/>
      <c r="BO1344" s="162"/>
      <c r="BP1344" s="162"/>
      <c r="BQ1344" s="162"/>
      <c r="BR1344" s="162"/>
      <c r="BS1344" s="172">
        <v>8.7234016999999984</v>
      </c>
      <c r="BT1344" s="162"/>
      <c r="BU1344" s="173"/>
      <c r="BV1344" s="162"/>
      <c r="BW1344" s="162"/>
      <c r="BX1344" s="162"/>
      <c r="BY1344" s="162"/>
      <c r="BZ1344" s="162"/>
      <c r="CA1344" s="162"/>
      <c r="CB1344" s="162"/>
      <c r="CC1344" s="172"/>
      <c r="CD1344" s="56"/>
      <c r="CE1344" s="56"/>
      <c r="CF1344" s="56"/>
      <c r="CG1344" s="56"/>
      <c r="CH1344" s="172"/>
      <c r="CI1344" s="103">
        <v>8.7234016999999984</v>
      </c>
      <c r="CJ1344" s="103">
        <f t="shared" si="314"/>
        <v>0.94068587156749373</v>
      </c>
      <c r="CK1344" s="57">
        <f t="shared" si="307"/>
        <v>3.4317608307828187</v>
      </c>
      <c r="CL1344" s="160">
        <f t="shared" si="319"/>
        <v>9.9869358480402148</v>
      </c>
      <c r="CM1344" s="160">
        <v>-2.1493680459054527</v>
      </c>
      <c r="CN1344" s="160">
        <f>BJ1344/(10^CM1344)</f>
        <v>3580.7101277035313</v>
      </c>
      <c r="CO1344" s="55" t="s">
        <v>892</v>
      </c>
      <c r="CP1344" s="497" t="s">
        <v>893</v>
      </c>
      <c r="CQ1344" s="149">
        <v>-1.0681269040684367</v>
      </c>
      <c r="CR1344" s="349">
        <f t="shared" si="322"/>
        <v>102.04994515216379</v>
      </c>
      <c r="CS1344" s="61" t="s">
        <v>539</v>
      </c>
      <c r="CT1344" s="61"/>
      <c r="CU1344" s="111">
        <f t="shared" si="320"/>
        <v>2.3958543603466067</v>
      </c>
      <c r="CV1344" s="331">
        <f t="shared" si="310"/>
        <v>0.82327545457410267</v>
      </c>
      <c r="CW1344" s="326">
        <f t="shared" si="315"/>
        <v>1</v>
      </c>
      <c r="CX1344" s="326" t="s">
        <v>539</v>
      </c>
      <c r="CY1344" s="161" t="s">
        <v>5921</v>
      </c>
    </row>
    <row r="1345" spans="1:103" ht="11.25" customHeight="1" x14ac:dyDescent="0.2">
      <c r="A1345" s="72">
        <v>191</v>
      </c>
      <c r="B1345" s="149">
        <v>464</v>
      </c>
      <c r="C1345" s="54" t="s">
        <v>1522</v>
      </c>
      <c r="D1345" s="54" t="s">
        <v>6524</v>
      </c>
      <c r="E1345" s="59"/>
      <c r="F1345" s="59" t="s">
        <v>1523</v>
      </c>
      <c r="G1345" s="151">
        <v>55219653</v>
      </c>
      <c r="H1345" s="55" t="s">
        <v>1524</v>
      </c>
      <c r="I1345" s="55" t="s">
        <v>8132</v>
      </c>
      <c r="J1345" s="55" t="s">
        <v>1525</v>
      </c>
      <c r="K1345" s="55" t="s">
        <v>1112</v>
      </c>
      <c r="L1345" s="55" t="s">
        <v>6015</v>
      </c>
      <c r="M1345" s="55" t="s">
        <v>6082</v>
      </c>
      <c r="N1345" s="60" t="s">
        <v>6082</v>
      </c>
      <c r="O1345" s="55" t="s">
        <v>6083</v>
      </c>
      <c r="P1345" s="67"/>
      <c r="Q1345" s="67"/>
      <c r="R1345" s="67"/>
      <c r="S1345" s="67"/>
      <c r="T1345" s="56">
        <v>295.76</v>
      </c>
      <c r="U1345" s="103">
        <v>62</v>
      </c>
      <c r="V1345" s="103">
        <v>98.499999999999986</v>
      </c>
      <c r="W1345" s="103">
        <v>87.284964087885029</v>
      </c>
      <c r="X1345" s="103">
        <v>62</v>
      </c>
      <c r="Y1345" s="162">
        <v>7.01</v>
      </c>
      <c r="Z1345" s="56">
        <v>2.95</v>
      </c>
      <c r="AA1345" s="56">
        <v>3.08</v>
      </c>
      <c r="AB1345" s="56">
        <v>3.05</v>
      </c>
      <c r="AC1345" s="56">
        <v>0.81520000000000004</v>
      </c>
      <c r="AD1345" s="56">
        <v>3.05</v>
      </c>
      <c r="AE1345" s="56">
        <v>3.04</v>
      </c>
      <c r="AF1345" s="56">
        <f t="shared" si="316"/>
        <v>3.08</v>
      </c>
      <c r="AG1345" s="57">
        <v>3.13</v>
      </c>
      <c r="AH1345" s="103">
        <v>1.58E-11</v>
      </c>
      <c r="AI1345" s="103">
        <v>1.28E-12</v>
      </c>
      <c r="AJ1345" s="62">
        <f t="shared" si="317"/>
        <v>-9.1899092393582293</v>
      </c>
      <c r="AK1345" s="62">
        <f t="shared" si="321"/>
        <v>-10.281356356664784</v>
      </c>
      <c r="AL1345" s="62">
        <f t="shared" si="318"/>
        <v>-10.281356356664784</v>
      </c>
      <c r="AM1345" s="62">
        <v>-14.479389999999999</v>
      </c>
      <c r="AN1345" s="154">
        <v>-8.8000000000000007</v>
      </c>
      <c r="AO1345" s="410">
        <v>13.29</v>
      </c>
      <c r="AP1345" s="410">
        <v>2.16</v>
      </c>
      <c r="AQ1345" s="154" t="s">
        <v>6311</v>
      </c>
      <c r="AR1345" s="154" t="s">
        <v>6311</v>
      </c>
      <c r="AS1345" s="149" t="s">
        <v>6</v>
      </c>
      <c r="AT1345" s="58" t="s">
        <v>266</v>
      </c>
      <c r="AU1345" s="56">
        <v>8</v>
      </c>
      <c r="AV1345" s="56">
        <v>144</v>
      </c>
      <c r="AW1345" s="56">
        <v>120</v>
      </c>
      <c r="AX1345" s="56">
        <v>26</v>
      </c>
      <c r="AY1345" s="56" t="s">
        <v>267</v>
      </c>
      <c r="AZ1345" s="56" t="s">
        <v>268</v>
      </c>
      <c r="BA1345" s="56">
        <v>3</v>
      </c>
      <c r="BB1345" s="55" t="s">
        <v>888</v>
      </c>
      <c r="BC1345" s="55" t="s">
        <v>270</v>
      </c>
      <c r="BD1345" s="55" t="s">
        <v>8374</v>
      </c>
      <c r="BE1345" s="56" t="s">
        <v>889</v>
      </c>
      <c r="BF1345" s="56" t="s">
        <v>272</v>
      </c>
      <c r="BG1345" s="56" t="s">
        <v>272</v>
      </c>
      <c r="BH1345" s="56" t="s">
        <v>890</v>
      </c>
      <c r="BI1345" s="153">
        <v>2.9576E-4</v>
      </c>
      <c r="BJ1345" s="153">
        <v>23.660799999999998</v>
      </c>
      <c r="BK1345" s="56"/>
      <c r="BL1345" s="153">
        <v>34.067827343499928</v>
      </c>
      <c r="BM1345" s="56" t="s">
        <v>891</v>
      </c>
      <c r="BN1345" s="162"/>
      <c r="BO1345" s="162"/>
      <c r="BP1345" s="162"/>
      <c r="BQ1345" s="162"/>
      <c r="BR1345" s="162"/>
      <c r="BS1345" s="56">
        <v>8.1274847999999995</v>
      </c>
      <c r="BT1345" s="162"/>
      <c r="BU1345" s="158"/>
      <c r="BV1345" s="162"/>
      <c r="BW1345" s="162"/>
      <c r="BX1345" s="162"/>
      <c r="BY1345" s="162"/>
      <c r="BZ1345" s="162"/>
      <c r="CA1345" s="162"/>
      <c r="CB1345" s="162"/>
      <c r="CC1345" s="56"/>
      <c r="CD1345" s="56"/>
      <c r="CE1345" s="56"/>
      <c r="CF1345" s="56"/>
      <c r="CG1345" s="56"/>
      <c r="CH1345" s="56"/>
      <c r="CI1345" s="103">
        <v>8.1274847999999995</v>
      </c>
      <c r="CJ1345" s="103">
        <f t="shared" si="314"/>
        <v>0.90995616595256312</v>
      </c>
      <c r="CK1345" s="57">
        <f t="shared" si="307"/>
        <v>1.4398425811257409</v>
      </c>
      <c r="CL1345" s="160">
        <f t="shared" si="319"/>
        <v>4.1916814588813418</v>
      </c>
      <c r="CM1345" s="160">
        <v>1.1760912590556813</v>
      </c>
      <c r="CN1345" s="160">
        <f>BJ1345/(10^CM1345)</f>
        <v>1.5773866666666658</v>
      </c>
      <c r="CO1345" s="55" t="s">
        <v>892</v>
      </c>
      <c r="CP1345" s="497" t="s">
        <v>893</v>
      </c>
      <c r="CQ1345" s="149">
        <v>1.2310957190018852</v>
      </c>
      <c r="CR1345" s="349">
        <f t="shared" si="322"/>
        <v>0.47737585250387088</v>
      </c>
      <c r="CS1345" s="61" t="s">
        <v>539</v>
      </c>
      <c r="CT1345" s="61"/>
      <c r="CU1345" s="111">
        <f t="shared" si="320"/>
        <v>7.6284362906467695</v>
      </c>
      <c r="CV1345" s="331">
        <f t="shared" si="310"/>
        <v>2.6203678658371654</v>
      </c>
      <c r="CW1345" s="326">
        <f t="shared" si="315"/>
        <v>1</v>
      </c>
      <c r="CX1345" s="326" t="s">
        <v>539</v>
      </c>
      <c r="CY1345" s="161" t="s">
        <v>5921</v>
      </c>
    </row>
    <row r="1346" spans="1:103" ht="11.25" customHeight="1" x14ac:dyDescent="0.2">
      <c r="A1346" s="72">
        <v>193</v>
      </c>
      <c r="B1346" s="149">
        <v>184</v>
      </c>
      <c r="C1346" s="54" t="s">
        <v>925</v>
      </c>
      <c r="D1346" s="54" t="s">
        <v>6507</v>
      </c>
      <c r="E1346" s="59"/>
      <c r="F1346" s="59" t="s">
        <v>926</v>
      </c>
      <c r="G1346" s="151">
        <v>15972608</v>
      </c>
      <c r="H1346" s="55" t="s">
        <v>927</v>
      </c>
      <c r="I1346" s="55" t="s">
        <v>8288</v>
      </c>
      <c r="J1346" s="55" t="s">
        <v>928</v>
      </c>
      <c r="K1346" s="55" t="s">
        <v>924</v>
      </c>
      <c r="L1346" s="55" t="s">
        <v>5941</v>
      </c>
      <c r="M1346" s="55" t="s">
        <v>6082</v>
      </c>
      <c r="N1346" s="60" t="s">
        <v>6088</v>
      </c>
      <c r="O1346" s="55" t="s">
        <v>930</v>
      </c>
      <c r="P1346" s="67" t="s">
        <v>6172</v>
      </c>
      <c r="Q1346" s="67" t="s">
        <v>6173</v>
      </c>
      <c r="R1346" s="67" t="s">
        <v>6175</v>
      </c>
      <c r="S1346" s="67" t="s">
        <v>6176</v>
      </c>
      <c r="T1346" s="56">
        <v>269.77</v>
      </c>
      <c r="U1346" s="103">
        <v>240</v>
      </c>
      <c r="V1346" s="103">
        <v>18.07</v>
      </c>
      <c r="W1346" s="103">
        <v>814.69237561285115</v>
      </c>
      <c r="X1346" s="103">
        <v>240</v>
      </c>
      <c r="Y1346" s="162">
        <v>7.01</v>
      </c>
      <c r="Z1346" s="56">
        <v>3.37</v>
      </c>
      <c r="AA1346" s="56">
        <v>3.52</v>
      </c>
      <c r="AB1346" s="56">
        <v>3.01</v>
      </c>
      <c r="AC1346" s="56">
        <v>0.8427</v>
      </c>
      <c r="AD1346" s="56">
        <v>2.99</v>
      </c>
      <c r="AE1346" s="56">
        <v>2.92</v>
      </c>
      <c r="AF1346" s="56">
        <f t="shared" si="316"/>
        <v>3.52</v>
      </c>
      <c r="AG1346" s="57">
        <v>3.3</v>
      </c>
      <c r="AH1346" s="103">
        <v>2.2300000000000001E-8</v>
      </c>
      <c r="AI1346" s="103">
        <v>8.3199999999999994E-9</v>
      </c>
      <c r="AJ1346" s="62">
        <f t="shared" si="317"/>
        <v>-6.0402614632644909</v>
      </c>
      <c r="AK1346" s="62">
        <f t="shared" si="321"/>
        <v>-6.468443000021928</v>
      </c>
      <c r="AL1346" s="62">
        <f t="shared" si="318"/>
        <v>-6.468443000021928</v>
      </c>
      <c r="AM1346" s="62">
        <v>-10.631349999999999</v>
      </c>
      <c r="AN1346" s="154">
        <v>-5.33</v>
      </c>
      <c r="AO1346" s="410"/>
      <c r="AP1346" s="410">
        <v>1.2</v>
      </c>
      <c r="AQ1346" s="154" t="s">
        <v>6311</v>
      </c>
      <c r="AR1346" s="154" t="s">
        <v>6311</v>
      </c>
      <c r="AS1346" s="149" t="s">
        <v>6</v>
      </c>
      <c r="AT1346" s="58" t="s">
        <v>266</v>
      </c>
      <c r="AU1346" s="56">
        <v>8</v>
      </c>
      <c r="AV1346" s="56">
        <v>144</v>
      </c>
      <c r="AW1346" s="56">
        <v>120</v>
      </c>
      <c r="AX1346" s="56">
        <v>26</v>
      </c>
      <c r="AY1346" s="56" t="s">
        <v>267</v>
      </c>
      <c r="AZ1346" s="56" t="s">
        <v>268</v>
      </c>
      <c r="BA1346" s="56">
        <v>2</v>
      </c>
      <c r="BB1346" s="55" t="s">
        <v>888</v>
      </c>
      <c r="BC1346" s="55" t="s">
        <v>270</v>
      </c>
      <c r="BD1346" s="55" t="s">
        <v>8374</v>
      </c>
      <c r="BE1346" s="56" t="s">
        <v>889</v>
      </c>
      <c r="BF1346" s="56" t="s">
        <v>272</v>
      </c>
      <c r="BG1346" s="56" t="s">
        <v>272</v>
      </c>
      <c r="BH1346" s="56" t="s">
        <v>890</v>
      </c>
      <c r="BI1346" s="153">
        <v>2.6976999999999996E-4</v>
      </c>
      <c r="BJ1346" s="153">
        <v>21.581599999999998</v>
      </c>
      <c r="BK1346" s="56"/>
      <c r="BL1346" s="153">
        <v>13.037569961777397</v>
      </c>
      <c r="BM1346" s="56" t="s">
        <v>891</v>
      </c>
      <c r="BN1346" s="162"/>
      <c r="BO1346" s="162"/>
      <c r="BP1346" s="162"/>
      <c r="BQ1346" s="162"/>
      <c r="BR1346" s="162"/>
      <c r="BS1346" s="56">
        <v>7.1866727999999993</v>
      </c>
      <c r="BT1346" s="162"/>
      <c r="BU1346" s="158"/>
      <c r="BV1346" s="162"/>
      <c r="BW1346" s="162"/>
      <c r="BX1346" s="162"/>
      <c r="BY1346" s="162"/>
      <c r="BZ1346" s="162"/>
      <c r="CA1346" s="162"/>
      <c r="CB1346" s="162"/>
      <c r="CC1346" s="56"/>
      <c r="CD1346" s="56"/>
      <c r="CE1346" s="56"/>
      <c r="CF1346" s="56"/>
      <c r="CG1346" s="56"/>
      <c r="CH1346" s="56"/>
      <c r="CI1346" s="103">
        <v>7.1866727999999993</v>
      </c>
      <c r="CJ1346" s="103">
        <f t="shared" si="314"/>
        <v>0.85652787243581119</v>
      </c>
      <c r="CK1346" s="57">
        <f t="shared" si="307"/>
        <v>0.60410581058760227</v>
      </c>
      <c r="CL1346" s="160">
        <f t="shared" si="319"/>
        <v>1.814131563326133</v>
      </c>
      <c r="CM1346" s="160">
        <v>0.35857724146975389</v>
      </c>
      <c r="CN1346" s="160">
        <f>BJ1346/(10^CM1346)</f>
        <v>9.4516231523637533</v>
      </c>
      <c r="CO1346" s="55" t="s">
        <v>892</v>
      </c>
      <c r="CP1346" s="497" t="s">
        <v>893</v>
      </c>
      <c r="CQ1346" s="149">
        <v>0.55452206231799706</v>
      </c>
      <c r="CR1346" s="349">
        <f t="shared" si="322"/>
        <v>2.0044988439539577</v>
      </c>
      <c r="CS1346" s="61" t="s">
        <v>539</v>
      </c>
      <c r="CT1346" s="61"/>
      <c r="CU1346" s="111">
        <f t="shared" si="320"/>
        <v>33.395147751821959</v>
      </c>
      <c r="CV1346" s="331">
        <f t="shared" si="310"/>
        <v>11.120584201356712</v>
      </c>
      <c r="CW1346" s="326">
        <f t="shared" si="315"/>
        <v>1</v>
      </c>
      <c r="CX1346" s="326" t="s">
        <v>539</v>
      </c>
      <c r="CY1346" s="161" t="s">
        <v>5921</v>
      </c>
    </row>
    <row r="1347" spans="1:103" ht="11.25" customHeight="1" x14ac:dyDescent="0.2">
      <c r="A1347" s="72">
        <v>195</v>
      </c>
      <c r="B1347" s="149">
        <v>187</v>
      </c>
      <c r="C1347" s="54" t="s">
        <v>931</v>
      </c>
      <c r="D1347" s="54" t="s">
        <v>6516</v>
      </c>
      <c r="E1347" s="59"/>
      <c r="F1347" s="59" t="s">
        <v>932</v>
      </c>
      <c r="G1347" s="151">
        <v>33089611</v>
      </c>
      <c r="H1347" s="55" t="s">
        <v>933</v>
      </c>
      <c r="I1347" s="55" t="s">
        <v>933</v>
      </c>
      <c r="J1347" s="55" t="s">
        <v>934</v>
      </c>
      <c r="K1347" s="55" t="s">
        <v>300</v>
      </c>
      <c r="L1347" s="55" t="s">
        <v>617</v>
      </c>
      <c r="M1347" s="55" t="s">
        <v>935</v>
      </c>
      <c r="N1347" s="60" t="s">
        <v>6383</v>
      </c>
      <c r="O1347" s="55" t="s">
        <v>918</v>
      </c>
      <c r="P1347" s="67"/>
      <c r="Q1347" s="67"/>
      <c r="R1347" s="67"/>
      <c r="S1347" s="67"/>
      <c r="T1347" s="56">
        <v>293.41000000000003</v>
      </c>
      <c r="U1347" s="103">
        <v>1</v>
      </c>
      <c r="V1347" s="103">
        <v>2.7440000000000002</v>
      </c>
      <c r="W1347" s="103">
        <v>2.0299012517732473</v>
      </c>
      <c r="X1347" s="103">
        <v>1</v>
      </c>
      <c r="Y1347" s="162">
        <v>7.1</v>
      </c>
      <c r="Z1347" s="56">
        <v>5.55</v>
      </c>
      <c r="AA1347" s="56">
        <v>5.5</v>
      </c>
      <c r="AB1347" s="56">
        <v>5.14</v>
      </c>
      <c r="AC1347" s="56">
        <v>0.8306</v>
      </c>
      <c r="AD1347" s="56">
        <v>5.26</v>
      </c>
      <c r="AE1347" s="56">
        <v>5.64</v>
      </c>
      <c r="AF1347" s="56">
        <f t="shared" si="316"/>
        <v>5.5</v>
      </c>
      <c r="AG1347" s="57">
        <v>5.18</v>
      </c>
      <c r="AH1347" s="103">
        <v>1.48E-8</v>
      </c>
      <c r="AI1347" s="103">
        <v>9.8700000000000004E-6</v>
      </c>
      <c r="AJ1347" s="62">
        <f t="shared" si="317"/>
        <v>-6.218304610917694</v>
      </c>
      <c r="AK1347" s="62">
        <f t="shared" si="321"/>
        <v>-3.3942491736430149</v>
      </c>
      <c r="AL1347" s="62">
        <f t="shared" si="318"/>
        <v>-3.3942491736430149</v>
      </c>
      <c r="AM1347" s="62">
        <v>-9.5969200000000008</v>
      </c>
      <c r="AN1347" s="154">
        <v>-3.62</v>
      </c>
      <c r="AO1347" s="410"/>
      <c r="AP1347" s="410">
        <v>4.9400000000000004</v>
      </c>
      <c r="AQ1347" s="154" t="s">
        <v>6311</v>
      </c>
      <c r="AR1347" s="154" t="s">
        <v>6311</v>
      </c>
      <c r="AS1347" s="149" t="s">
        <v>6</v>
      </c>
      <c r="AT1347" s="58" t="s">
        <v>266</v>
      </c>
      <c r="AU1347" s="56">
        <v>8</v>
      </c>
      <c r="AV1347" s="56">
        <v>144</v>
      </c>
      <c r="AW1347" s="56">
        <v>120</v>
      </c>
      <c r="AX1347" s="56">
        <v>26</v>
      </c>
      <c r="AY1347" s="56" t="s">
        <v>267</v>
      </c>
      <c r="AZ1347" s="56" t="s">
        <v>268</v>
      </c>
      <c r="BA1347" s="56">
        <v>2</v>
      </c>
      <c r="BB1347" s="55" t="s">
        <v>888</v>
      </c>
      <c r="BC1347" s="55" t="s">
        <v>270</v>
      </c>
      <c r="BD1347" s="55" t="s">
        <v>8374</v>
      </c>
      <c r="BE1347" s="56" t="s">
        <v>889</v>
      </c>
      <c r="BF1347" s="56" t="s">
        <v>272</v>
      </c>
      <c r="BG1347" s="56" t="s">
        <v>272</v>
      </c>
      <c r="BH1347" s="56" t="s">
        <v>890</v>
      </c>
      <c r="BI1347" s="153">
        <v>2.9341000000000002E-4</v>
      </c>
      <c r="BJ1347" s="153">
        <v>23.472800000000003</v>
      </c>
      <c r="BK1347" s="56"/>
      <c r="BL1347" s="153">
        <v>0.15624995875800302</v>
      </c>
      <c r="BM1347" s="56" t="s">
        <v>891</v>
      </c>
      <c r="BN1347" s="162"/>
      <c r="BO1347" s="162"/>
      <c r="BP1347" s="162"/>
      <c r="BQ1347" s="162"/>
      <c r="BR1347" s="162"/>
      <c r="BS1347" s="56">
        <v>7.8164424000000006</v>
      </c>
      <c r="BT1347" s="162"/>
      <c r="BU1347" s="158"/>
      <c r="BV1347" s="162"/>
      <c r="BW1347" s="162"/>
      <c r="BX1347" s="162"/>
      <c r="BY1347" s="162"/>
      <c r="BZ1347" s="162"/>
      <c r="CA1347" s="162"/>
      <c r="CB1347" s="162"/>
      <c r="CC1347" s="56"/>
      <c r="CD1347" s="56"/>
      <c r="CE1347" s="56"/>
      <c r="CF1347" s="56"/>
      <c r="CG1347" s="56"/>
      <c r="CH1347" s="56"/>
      <c r="CI1347" s="103">
        <v>7.8164424000000006</v>
      </c>
      <c r="CJ1347" s="103">
        <f t="shared" si="314"/>
        <v>0.89300913188286224</v>
      </c>
      <c r="CK1347" s="57">
        <f t="shared" si="307"/>
        <v>6.6566391209401093E-3</v>
      </c>
      <c r="CL1347" s="160">
        <f t="shared" si="319"/>
        <v>1.998990727009042E-2</v>
      </c>
      <c r="CM1347" s="160">
        <v>5.1837787826759525E-2</v>
      </c>
      <c r="CN1347" s="160">
        <f>BJ1347/(10^CM1347)</f>
        <v>20.831815022095707</v>
      </c>
      <c r="CO1347" s="55" t="s">
        <v>892</v>
      </c>
      <c r="CP1347" s="497" t="s">
        <v>893</v>
      </c>
      <c r="CQ1347" s="149">
        <v>7.3433552806692018E-2</v>
      </c>
      <c r="CR1347" s="349">
        <f t="shared" si="322"/>
        <v>6.6004809062601257</v>
      </c>
      <c r="CS1347" s="61" t="s">
        <v>539</v>
      </c>
      <c r="CT1347" s="61"/>
      <c r="CU1347" s="111">
        <f t="shared" si="320"/>
        <v>0.12793544029698214</v>
      </c>
      <c r="CV1347" s="331">
        <f t="shared" si="310"/>
        <v>4.2602501618895054E-2</v>
      </c>
      <c r="CW1347" s="326">
        <f t="shared" si="315"/>
        <v>0</v>
      </c>
      <c r="CX1347" s="326" t="s">
        <v>539</v>
      </c>
      <c r="CY1347" s="161" t="s">
        <v>5921</v>
      </c>
    </row>
    <row r="1348" spans="1:103" ht="11.25" customHeight="1" x14ac:dyDescent="0.2">
      <c r="A1348" s="72">
        <v>197</v>
      </c>
      <c r="B1348" s="149">
        <v>188</v>
      </c>
      <c r="C1348" s="54" t="s">
        <v>936</v>
      </c>
      <c r="D1348" s="54" t="s">
        <v>6459</v>
      </c>
      <c r="E1348" s="59"/>
      <c r="F1348" s="59" t="s">
        <v>937</v>
      </c>
      <c r="G1348" s="151">
        <v>101053</v>
      </c>
      <c r="H1348" s="55" t="s">
        <v>938</v>
      </c>
      <c r="I1348" s="55" t="s">
        <v>8023</v>
      </c>
      <c r="J1348" s="55" t="s">
        <v>939</v>
      </c>
      <c r="K1348" s="55" t="s">
        <v>940</v>
      </c>
      <c r="L1348" s="55" t="s">
        <v>5929</v>
      </c>
      <c r="M1348" s="55" t="s">
        <v>5942</v>
      </c>
      <c r="N1348" s="60" t="s">
        <v>6382</v>
      </c>
      <c r="O1348" s="64" t="s">
        <v>5943</v>
      </c>
      <c r="P1348" s="67"/>
      <c r="Q1348" s="67"/>
      <c r="R1348" s="67"/>
      <c r="S1348" s="67"/>
      <c r="T1348" s="56">
        <v>275.52</v>
      </c>
      <c r="U1348" s="103">
        <v>8</v>
      </c>
      <c r="V1348" s="103">
        <v>8.2569999999999997</v>
      </c>
      <c r="W1348" s="103">
        <v>14.13035685173006</v>
      </c>
      <c r="X1348" s="103">
        <v>8</v>
      </c>
      <c r="Y1348" s="162">
        <v>7</v>
      </c>
      <c r="Z1348" s="56">
        <v>3.64</v>
      </c>
      <c r="AA1348" s="56">
        <v>3.88</v>
      </c>
      <c r="AB1348" s="56">
        <v>3.71</v>
      </c>
      <c r="AC1348" s="56">
        <v>0.80279999999999996</v>
      </c>
      <c r="AD1348" s="56">
        <v>3.55</v>
      </c>
      <c r="AE1348" s="56">
        <v>3.07</v>
      </c>
      <c r="AF1348" s="56">
        <f t="shared" si="316"/>
        <v>3.88</v>
      </c>
      <c r="AG1348" s="57">
        <v>3.91</v>
      </c>
      <c r="AH1348" s="103">
        <v>3.3999999999999997E-7</v>
      </c>
      <c r="AI1348" s="103">
        <v>2.8100000000000001E-10</v>
      </c>
      <c r="AJ1348" s="62">
        <f t="shared" si="317"/>
        <v>-4.8570874092703971</v>
      </c>
      <c r="AK1348" s="62">
        <f t="shared" si="321"/>
        <v>-7.9398600064075717</v>
      </c>
      <c r="AL1348" s="62">
        <f t="shared" si="318"/>
        <v>-7.9398600064075717</v>
      </c>
      <c r="AM1348" s="62">
        <v>-11.064970000000001</v>
      </c>
      <c r="AN1348" s="154">
        <v>-5.27</v>
      </c>
      <c r="AO1348" s="410"/>
      <c r="AP1348" s="410">
        <v>0.43</v>
      </c>
      <c r="AQ1348" s="154" t="s">
        <v>6311</v>
      </c>
      <c r="AR1348" s="154" t="s">
        <v>6311</v>
      </c>
      <c r="AS1348" s="149" t="s">
        <v>6</v>
      </c>
      <c r="AT1348" s="58" t="s">
        <v>266</v>
      </c>
      <c r="AU1348" s="56">
        <v>8</v>
      </c>
      <c r="AV1348" s="56">
        <v>144</v>
      </c>
      <c r="AW1348" s="56">
        <v>120</v>
      </c>
      <c r="AX1348" s="56">
        <v>26</v>
      </c>
      <c r="AY1348" s="56" t="s">
        <v>267</v>
      </c>
      <c r="AZ1348" s="56" t="s">
        <v>268</v>
      </c>
      <c r="BA1348" s="56">
        <v>2</v>
      </c>
      <c r="BB1348" s="55" t="s">
        <v>888</v>
      </c>
      <c r="BC1348" s="55" t="s">
        <v>270</v>
      </c>
      <c r="BD1348" s="55" t="s">
        <v>8374</v>
      </c>
      <c r="BE1348" s="56" t="s">
        <v>889</v>
      </c>
      <c r="BF1348" s="56" t="s">
        <v>272</v>
      </c>
      <c r="BG1348" s="56" t="s">
        <v>272</v>
      </c>
      <c r="BH1348" s="56" t="s">
        <v>890</v>
      </c>
      <c r="BI1348" s="153">
        <v>2.7551999999999996E-4</v>
      </c>
      <c r="BJ1348" s="153">
        <v>22.041599999999999</v>
      </c>
      <c r="BK1348" s="56"/>
      <c r="BL1348" s="153">
        <v>7.6184939986124798</v>
      </c>
      <c r="BM1348" s="56" t="s">
        <v>891</v>
      </c>
      <c r="BN1348" s="162"/>
      <c r="BO1348" s="162"/>
      <c r="BP1348" s="162"/>
      <c r="BQ1348" s="162"/>
      <c r="BR1348" s="162"/>
      <c r="BS1348" s="56">
        <v>7.3398528000000001</v>
      </c>
      <c r="BT1348" s="162"/>
      <c r="BU1348" s="158"/>
      <c r="BV1348" s="162"/>
      <c r="BW1348" s="162"/>
      <c r="BX1348" s="162"/>
      <c r="BY1348" s="162"/>
      <c r="BZ1348" s="162"/>
      <c r="CA1348" s="162"/>
      <c r="CB1348" s="162"/>
      <c r="CC1348" s="56"/>
      <c r="CD1348" s="56"/>
      <c r="CE1348" s="56"/>
      <c r="CF1348" s="56"/>
      <c r="CG1348" s="56"/>
      <c r="CH1348" s="56"/>
      <c r="CI1348" s="103">
        <v>7.3398528000000001</v>
      </c>
      <c r="CJ1348" s="103">
        <f t="shared" si="314"/>
        <v>0.8656873502718242</v>
      </c>
      <c r="CK1348" s="57">
        <f t="shared" si="307"/>
        <v>0.34564160490220674</v>
      </c>
      <c r="CL1348" s="160">
        <f t="shared" si="319"/>
        <v>1.0379627774841043</v>
      </c>
      <c r="CM1348" s="160">
        <v>-0.77426029743756952</v>
      </c>
      <c r="CN1348" s="160">
        <f>BJ1348/(10^CM1348)</f>
        <v>131.07003463873068</v>
      </c>
      <c r="CO1348" s="55" t="s">
        <v>892</v>
      </c>
      <c r="CP1348" s="497" t="s">
        <v>893</v>
      </c>
      <c r="CQ1348" s="149">
        <v>-0.68112353885174404</v>
      </c>
      <c r="CR1348" s="349">
        <f t="shared" si="322"/>
        <v>35.221746670335627</v>
      </c>
      <c r="CS1348" s="61" t="s">
        <v>539</v>
      </c>
      <c r="CT1348" s="61"/>
      <c r="CU1348" s="111">
        <f t="shared" si="320"/>
        <v>1.0899401143303582</v>
      </c>
      <c r="CV1348" s="331">
        <f t="shared" si="310"/>
        <v>0.36295005807200931</v>
      </c>
      <c r="CW1348" s="326">
        <f t="shared" si="315"/>
        <v>0</v>
      </c>
      <c r="CX1348" s="326" t="s">
        <v>539</v>
      </c>
      <c r="CY1348" s="161" t="s">
        <v>5921</v>
      </c>
    </row>
    <row r="1349" spans="1:103" ht="11.25" customHeight="1" x14ac:dyDescent="0.2">
      <c r="A1349" s="72">
        <v>198</v>
      </c>
      <c r="B1349" s="149">
        <v>387</v>
      </c>
      <c r="C1349" s="54" t="s">
        <v>1341</v>
      </c>
      <c r="D1349" s="54" t="s">
        <v>6520</v>
      </c>
      <c r="E1349" s="59"/>
      <c r="F1349" s="59" t="s">
        <v>1342</v>
      </c>
      <c r="G1349" s="151">
        <v>42874033</v>
      </c>
      <c r="H1349" s="55" t="s">
        <v>1343</v>
      </c>
      <c r="I1349" s="55" t="s">
        <v>7951</v>
      </c>
      <c r="J1349" s="55" t="s">
        <v>1344</v>
      </c>
      <c r="K1349" s="55" t="s">
        <v>426</v>
      </c>
      <c r="L1349" s="55" t="s">
        <v>5248</v>
      </c>
      <c r="M1349" s="55" t="s">
        <v>6082</v>
      </c>
      <c r="N1349" s="60" t="s">
        <v>6082</v>
      </c>
      <c r="O1349" s="55" t="s">
        <v>6083</v>
      </c>
      <c r="P1349" s="67"/>
      <c r="Q1349" s="67"/>
      <c r="R1349" s="67"/>
      <c r="S1349" s="67"/>
      <c r="T1349" s="56">
        <v>361.7</v>
      </c>
      <c r="U1349" s="103">
        <v>0.11600000000000002</v>
      </c>
      <c r="V1349" s="103">
        <v>0.1958</v>
      </c>
      <c r="W1349" s="103">
        <v>0.95136793266855779</v>
      </c>
      <c r="X1349" s="103">
        <v>0.11600000000000002</v>
      </c>
      <c r="Y1349" s="162">
        <v>7</v>
      </c>
      <c r="Z1349" s="56">
        <v>5.21</v>
      </c>
      <c r="AA1349" s="56">
        <v>4.7300000000000004</v>
      </c>
      <c r="AB1349" s="56">
        <v>4.5199999999999996</v>
      </c>
      <c r="AC1349" s="56">
        <v>0.88080000000000003</v>
      </c>
      <c r="AD1349" s="56">
        <v>4.4800000000000004</v>
      </c>
      <c r="AE1349" s="56">
        <v>4.33</v>
      </c>
      <c r="AF1349" s="56">
        <f t="shared" si="316"/>
        <v>4.7300000000000004</v>
      </c>
      <c r="AG1349" s="57">
        <v>4.54</v>
      </c>
      <c r="AH1349" s="103">
        <v>2.35E-7</v>
      </c>
      <c r="AI1349" s="103">
        <v>8.1999999999999998E-7</v>
      </c>
      <c r="AJ1349" s="62">
        <f t="shared" si="317"/>
        <v>-5.0174984640409157</v>
      </c>
      <c r="AK1349" s="62">
        <f t="shared" si="321"/>
        <v>-4.4747524739289348</v>
      </c>
      <c r="AL1349" s="62">
        <f t="shared" si="318"/>
        <v>-4.4747524739289348</v>
      </c>
      <c r="AM1349" s="62">
        <v>-9.2997600000000009</v>
      </c>
      <c r="AN1349" s="154">
        <v>-4.5599999999999996</v>
      </c>
      <c r="AO1349" s="410"/>
      <c r="AP1349" s="410"/>
      <c r="AQ1349" s="154" t="s">
        <v>6311</v>
      </c>
      <c r="AR1349" s="154" t="s">
        <v>6311</v>
      </c>
      <c r="AS1349" s="149" t="s">
        <v>6</v>
      </c>
      <c r="AT1349" s="58" t="s">
        <v>266</v>
      </c>
      <c r="AU1349" s="56">
        <v>8</v>
      </c>
      <c r="AV1349" s="56">
        <v>144</v>
      </c>
      <c r="AW1349" s="56">
        <v>120</v>
      </c>
      <c r="AX1349" s="56">
        <v>26</v>
      </c>
      <c r="AY1349" s="56" t="s">
        <v>267</v>
      </c>
      <c r="AZ1349" s="56" t="s">
        <v>268</v>
      </c>
      <c r="BA1349" s="56">
        <v>2</v>
      </c>
      <c r="BB1349" s="55" t="s">
        <v>888</v>
      </c>
      <c r="BC1349" s="55" t="s">
        <v>270</v>
      </c>
      <c r="BD1349" s="55" t="s">
        <v>8374</v>
      </c>
      <c r="BE1349" s="56" t="s">
        <v>889</v>
      </c>
      <c r="BF1349" s="56" t="s">
        <v>272</v>
      </c>
      <c r="BG1349" s="56" t="s">
        <v>272</v>
      </c>
      <c r="BH1349" s="56" t="s">
        <v>890</v>
      </c>
      <c r="BI1349" s="153">
        <v>3.6169999999999996E-4</v>
      </c>
      <c r="BJ1349" s="153">
        <v>28.936</v>
      </c>
      <c r="BK1349" s="56"/>
      <c r="BL1349" s="153">
        <v>0.38908770612461446</v>
      </c>
      <c r="BM1349" s="56" t="s">
        <v>891</v>
      </c>
      <c r="BN1349" s="162"/>
      <c r="BO1349" s="162"/>
      <c r="BP1349" s="162"/>
      <c r="BQ1349" s="162"/>
      <c r="BR1349" s="162"/>
      <c r="BS1349" s="56">
        <v>9.635688</v>
      </c>
      <c r="BT1349" s="162"/>
      <c r="BU1349" s="158"/>
      <c r="BV1349" s="162"/>
      <c r="BW1349" s="162"/>
      <c r="BX1349" s="162"/>
      <c r="BY1349" s="162"/>
      <c r="BZ1349" s="162"/>
      <c r="CA1349" s="162"/>
      <c r="CB1349" s="162"/>
      <c r="CC1349" s="56"/>
      <c r="CD1349" s="56"/>
      <c r="CE1349" s="56"/>
      <c r="CF1349" s="56"/>
      <c r="CG1349" s="56"/>
      <c r="CH1349" s="56"/>
      <c r="CI1349" s="103">
        <v>9.635688</v>
      </c>
      <c r="CJ1349" s="103">
        <f t="shared" si="314"/>
        <v>0.98388272925988318</v>
      </c>
      <c r="CK1349" s="57">
        <f t="shared" si="307"/>
        <v>1.3446492470438708E-2</v>
      </c>
      <c r="CL1349" s="160">
        <f t="shared" si="319"/>
        <v>4.0379857268584708E-2</v>
      </c>
      <c r="CM1349" s="160"/>
      <c r="CN1349" s="160"/>
      <c r="CO1349" s="55" t="s">
        <v>892</v>
      </c>
      <c r="CP1349" s="497" t="s">
        <v>893</v>
      </c>
      <c r="CQ1349" s="149">
        <v>-0.59150671105258157</v>
      </c>
      <c r="CR1349" s="349">
        <f t="shared" si="322"/>
        <v>37.617457615364117</v>
      </c>
      <c r="CS1349" s="61" t="s">
        <v>539</v>
      </c>
      <c r="CT1349" s="61"/>
      <c r="CU1349" s="111">
        <f t="shared" si="320"/>
        <v>1.2038579912508585E-2</v>
      </c>
      <c r="CV1349" s="331">
        <f t="shared" si="310"/>
        <v>4.0088471108653588E-3</v>
      </c>
      <c r="CW1349" s="326">
        <f t="shared" si="315"/>
        <v>0</v>
      </c>
      <c r="CX1349" s="326" t="s">
        <v>539</v>
      </c>
      <c r="CY1349" s="161" t="s">
        <v>5921</v>
      </c>
    </row>
    <row r="1350" spans="1:103" ht="11.25" customHeight="1" x14ac:dyDescent="0.2">
      <c r="A1350" s="72">
        <v>199</v>
      </c>
      <c r="B1350" s="149">
        <v>181</v>
      </c>
      <c r="C1350" s="54" t="s">
        <v>920</v>
      </c>
      <c r="D1350" s="54" t="s">
        <v>6517</v>
      </c>
      <c r="E1350" s="59"/>
      <c r="F1350" s="59" t="s">
        <v>921</v>
      </c>
      <c r="G1350" s="151">
        <v>34256821</v>
      </c>
      <c r="H1350" s="55" t="s">
        <v>922</v>
      </c>
      <c r="I1350" s="55" t="s">
        <v>8286</v>
      </c>
      <c r="J1350" s="55" t="s">
        <v>923</v>
      </c>
      <c r="K1350" s="55" t="s">
        <v>924</v>
      </c>
      <c r="L1350" s="55" t="s">
        <v>6114</v>
      </c>
      <c r="M1350" s="55" t="s">
        <v>6082</v>
      </c>
      <c r="N1350" s="60" t="s">
        <v>6082</v>
      </c>
      <c r="O1350" s="55" t="s">
        <v>6083</v>
      </c>
      <c r="P1350" s="67"/>
      <c r="Q1350" s="67"/>
      <c r="R1350" s="67"/>
      <c r="S1350" s="67"/>
      <c r="T1350" s="56">
        <v>269.77</v>
      </c>
      <c r="U1350" s="103">
        <v>223</v>
      </c>
      <c r="V1350" s="103">
        <v>47.36</v>
      </c>
      <c r="W1350" s="103">
        <v>814.69237561285115</v>
      </c>
      <c r="X1350" s="103">
        <v>223</v>
      </c>
      <c r="Y1350" s="162">
        <v>7.01</v>
      </c>
      <c r="Z1350" s="56">
        <v>3.37</v>
      </c>
      <c r="AA1350" s="56">
        <v>3.03</v>
      </c>
      <c r="AB1350" s="56">
        <v>3.01</v>
      </c>
      <c r="AC1350" s="56">
        <v>0.8427</v>
      </c>
      <c r="AD1350" s="56">
        <v>2.99</v>
      </c>
      <c r="AE1350" s="56">
        <v>2.92</v>
      </c>
      <c r="AF1350" s="56">
        <f t="shared" si="316"/>
        <v>3.03</v>
      </c>
      <c r="AG1350" s="57">
        <v>3.33</v>
      </c>
      <c r="AH1350" s="103">
        <v>2.2300000000000001E-8</v>
      </c>
      <c r="AI1350" s="103"/>
      <c r="AJ1350" s="62">
        <f t="shared" si="317"/>
        <v>-6.0402614632644909</v>
      </c>
      <c r="AK1350" s="62"/>
      <c r="AL1350" s="62">
        <f t="shared" si="318"/>
        <v>-6.0402614632644909</v>
      </c>
      <c r="AM1350" s="62">
        <v>-10.631349999999999</v>
      </c>
      <c r="AN1350" s="154">
        <v>-5.33</v>
      </c>
      <c r="AO1350" s="410"/>
      <c r="AP1350" s="410">
        <v>1.29</v>
      </c>
      <c r="AQ1350" s="154" t="s">
        <v>6311</v>
      </c>
      <c r="AR1350" s="154" t="s">
        <v>6311</v>
      </c>
      <c r="AS1350" s="149" t="s">
        <v>6</v>
      </c>
      <c r="AT1350" s="58" t="s">
        <v>266</v>
      </c>
      <c r="AU1350" s="56">
        <v>8</v>
      </c>
      <c r="AV1350" s="56">
        <v>144</v>
      </c>
      <c r="AW1350" s="56">
        <v>120</v>
      </c>
      <c r="AX1350" s="56">
        <v>26</v>
      </c>
      <c r="AY1350" s="56" t="s">
        <v>267</v>
      </c>
      <c r="AZ1350" s="56" t="s">
        <v>268</v>
      </c>
      <c r="BA1350" s="56">
        <v>2</v>
      </c>
      <c r="BB1350" s="55" t="s">
        <v>888</v>
      </c>
      <c r="BC1350" s="55" t="s">
        <v>270</v>
      </c>
      <c r="BD1350" s="55" t="s">
        <v>8374</v>
      </c>
      <c r="BE1350" s="56" t="s">
        <v>889</v>
      </c>
      <c r="BF1350" s="56" t="s">
        <v>272</v>
      </c>
      <c r="BG1350" s="56" t="s">
        <v>272</v>
      </c>
      <c r="BH1350" s="56" t="s">
        <v>890</v>
      </c>
      <c r="BI1350" s="153">
        <v>2.6976999999999996E-4</v>
      </c>
      <c r="BJ1350" s="153">
        <v>21.581599999999998</v>
      </c>
      <c r="BK1350" s="56"/>
      <c r="BL1350" s="153">
        <v>13.037569961777397</v>
      </c>
      <c r="BM1350" s="56" t="s">
        <v>891</v>
      </c>
      <c r="BN1350" s="162"/>
      <c r="BO1350" s="162"/>
      <c r="BP1350" s="162"/>
      <c r="BQ1350" s="162"/>
      <c r="BR1350" s="162"/>
      <c r="BS1350" s="56">
        <v>7.1866727999999993</v>
      </c>
      <c r="BT1350" s="162"/>
      <c r="BU1350" s="158"/>
      <c r="BV1350" s="162"/>
      <c r="BW1350" s="162"/>
      <c r="BX1350" s="162"/>
      <c r="BY1350" s="162"/>
      <c r="BZ1350" s="162"/>
      <c r="CA1350" s="162"/>
      <c r="CB1350" s="162"/>
      <c r="CC1350" s="56"/>
      <c r="CD1350" s="56"/>
      <c r="CE1350" s="56"/>
      <c r="CF1350" s="56"/>
      <c r="CG1350" s="56"/>
      <c r="CH1350" s="56"/>
      <c r="CI1350" s="103">
        <v>7.1866727999999993</v>
      </c>
      <c r="CJ1350" s="103">
        <f t="shared" si="314"/>
        <v>0.85652787243581119</v>
      </c>
      <c r="CK1350" s="57">
        <f t="shared" si="307"/>
        <v>0.60410581058760227</v>
      </c>
      <c r="CL1350" s="160">
        <f t="shared" si="319"/>
        <v>1.814131563326133</v>
      </c>
      <c r="CM1350" s="160">
        <v>-0.23926195564588798</v>
      </c>
      <c r="CN1350" s="160">
        <f>BJ1350/(10^CM1350)</f>
        <v>37.440840933848534</v>
      </c>
      <c r="CO1350" s="55" t="s">
        <v>892</v>
      </c>
      <c r="CP1350" s="497" t="s">
        <v>893</v>
      </c>
      <c r="CQ1350" s="149">
        <v>-7.9944506394980616E-2</v>
      </c>
      <c r="CR1350" s="349">
        <f t="shared" si="322"/>
        <v>8.6391771369061594</v>
      </c>
      <c r="CS1350" s="61" t="s">
        <v>539</v>
      </c>
      <c r="CT1350" s="61"/>
      <c r="CU1350" s="111">
        <f t="shared" si="320"/>
        <v>31.029658119401237</v>
      </c>
      <c r="CV1350" s="331">
        <f t="shared" si="310"/>
        <v>10.332876153760612</v>
      </c>
      <c r="CW1350" s="326">
        <f t="shared" si="315"/>
        <v>1</v>
      </c>
      <c r="CX1350" s="326" t="s">
        <v>539</v>
      </c>
      <c r="CY1350" s="161" t="s">
        <v>5921</v>
      </c>
    </row>
    <row r="1351" spans="1:103" ht="11.25" customHeight="1" x14ac:dyDescent="0.2">
      <c r="A1351" s="72">
        <v>200</v>
      </c>
      <c r="B1351" s="149">
        <v>171</v>
      </c>
      <c r="C1351" s="54" t="s">
        <v>894</v>
      </c>
      <c r="D1351" s="54" t="s">
        <v>8550</v>
      </c>
      <c r="E1351" s="59"/>
      <c r="F1351" s="59" t="s">
        <v>895</v>
      </c>
      <c r="G1351" s="151">
        <v>2971360</v>
      </c>
      <c r="H1351" s="55" t="s">
        <v>896</v>
      </c>
      <c r="I1351" s="55" t="s">
        <v>7938</v>
      </c>
      <c r="J1351" s="55" t="s">
        <v>897</v>
      </c>
      <c r="K1351" s="55" t="s">
        <v>376</v>
      </c>
      <c r="L1351" s="55" t="s">
        <v>617</v>
      </c>
      <c r="M1351" s="55" t="s">
        <v>5926</v>
      </c>
      <c r="N1351" s="60"/>
      <c r="O1351" s="55" t="s">
        <v>918</v>
      </c>
      <c r="P1351" s="67"/>
      <c r="Q1351" s="67"/>
      <c r="R1351" s="67"/>
      <c r="S1351" s="67"/>
      <c r="T1351" s="56">
        <v>317.58999999999997</v>
      </c>
      <c r="U1351" s="103"/>
      <c r="V1351" s="103">
        <v>4.8330000000000002</v>
      </c>
      <c r="W1351" s="103">
        <v>64.843555384759568</v>
      </c>
      <c r="X1351" s="103">
        <v>64.843555384759568</v>
      </c>
      <c r="Y1351" s="162">
        <v>6.52</v>
      </c>
      <c r="Z1351" s="56">
        <v>4.55</v>
      </c>
      <c r="AA1351" s="56"/>
      <c r="AB1351" s="56">
        <v>4.3899999999999997</v>
      </c>
      <c r="AC1351" s="56">
        <v>0.59640000000000004</v>
      </c>
      <c r="AD1351" s="56">
        <v>3.87</v>
      </c>
      <c r="AE1351" s="56">
        <v>3.26</v>
      </c>
      <c r="AF1351" s="56">
        <f t="shared" si="316"/>
        <v>3.87</v>
      </c>
      <c r="AG1351" s="57">
        <v>4.67</v>
      </c>
      <c r="AH1351" s="103">
        <v>3.0199999999999998E-13</v>
      </c>
      <c r="AI1351" s="103"/>
      <c r="AJ1351" s="62">
        <f t="shared" si="317"/>
        <v>-10.908559383355501</v>
      </c>
      <c r="AK1351" s="62"/>
      <c r="AL1351" s="62">
        <f t="shared" si="318"/>
        <v>-10.908559383355501</v>
      </c>
      <c r="AM1351" s="62">
        <v>-14.95851</v>
      </c>
      <c r="AN1351" s="154">
        <v>-17.100000000000001</v>
      </c>
      <c r="AO1351" s="410">
        <v>9.4</v>
      </c>
      <c r="AP1351" s="410"/>
      <c r="AQ1351" s="154" t="s">
        <v>6311</v>
      </c>
      <c r="AR1351" s="154" t="s">
        <v>6311</v>
      </c>
      <c r="AS1351" s="149" t="s">
        <v>6</v>
      </c>
      <c r="AT1351" s="58" t="s">
        <v>266</v>
      </c>
      <c r="AU1351" s="56">
        <v>8</v>
      </c>
      <c r="AV1351" s="56">
        <v>144</v>
      </c>
      <c r="AW1351" s="56">
        <v>120</v>
      </c>
      <c r="AX1351" s="56">
        <v>26</v>
      </c>
      <c r="AY1351" s="56" t="s">
        <v>267</v>
      </c>
      <c r="AZ1351" s="56" t="s">
        <v>268</v>
      </c>
      <c r="BA1351" s="56">
        <v>2</v>
      </c>
      <c r="BB1351" s="55" t="s">
        <v>888</v>
      </c>
      <c r="BC1351" s="55" t="s">
        <v>270</v>
      </c>
      <c r="BD1351" s="55" t="s">
        <v>8374</v>
      </c>
      <c r="BE1351" s="56" t="s">
        <v>889</v>
      </c>
      <c r="BF1351" s="56" t="s">
        <v>272</v>
      </c>
      <c r="BG1351" s="56" t="s">
        <v>272</v>
      </c>
      <c r="BH1351" s="56" t="s">
        <v>890</v>
      </c>
      <c r="BI1351" s="153">
        <v>3.1758999999999997E-4</v>
      </c>
      <c r="BJ1351" s="153">
        <v>25.4072</v>
      </c>
      <c r="BK1351" s="56"/>
      <c r="BL1351" s="153">
        <v>1.3375555239281915</v>
      </c>
      <c r="BM1351" s="56" t="s">
        <v>891</v>
      </c>
      <c r="BN1351" s="162"/>
      <c r="BO1351" s="162"/>
      <c r="BP1351" s="162"/>
      <c r="BQ1351" s="162"/>
      <c r="BR1351" s="162"/>
      <c r="BS1351" s="56">
        <v>8.4605975999999998</v>
      </c>
      <c r="BT1351" s="162"/>
      <c r="BU1351" s="158"/>
      <c r="BV1351" s="162"/>
      <c r="BW1351" s="162"/>
      <c r="BX1351" s="162"/>
      <c r="BY1351" s="162"/>
      <c r="BZ1351" s="162"/>
      <c r="CA1351" s="162"/>
      <c r="CB1351" s="162"/>
      <c r="CC1351" s="56"/>
      <c r="CD1351" s="56"/>
      <c r="CE1351" s="56"/>
      <c r="CF1351" s="56"/>
      <c r="CG1351" s="56"/>
      <c r="CH1351" s="56"/>
      <c r="CI1351" s="103">
        <v>8.4605975999999998</v>
      </c>
      <c r="CJ1351" s="103">
        <f t="shared" si="314"/>
        <v>0.92740103977853694</v>
      </c>
      <c r="CK1351" s="57">
        <f t="shared" si="307"/>
        <v>5.2644743377003041E-2</v>
      </c>
      <c r="CL1351" s="160">
        <f t="shared" si="319"/>
        <v>0.15809232245346258</v>
      </c>
      <c r="CM1351" s="160"/>
      <c r="CN1351" s="160"/>
      <c r="CO1351" s="55" t="s">
        <v>892</v>
      </c>
      <c r="CP1351" s="497" t="s">
        <v>893</v>
      </c>
      <c r="CQ1351" s="149" t="s">
        <v>272</v>
      </c>
      <c r="CR1351" s="349"/>
      <c r="CS1351" s="61" t="s">
        <v>539</v>
      </c>
      <c r="CT1351" s="61"/>
      <c r="CU1351" s="111">
        <f t="shared" si="320"/>
        <v>7.6641814739847183</v>
      </c>
      <c r="CV1351" s="331">
        <f t="shared" si="310"/>
        <v>2.5521724308369111</v>
      </c>
      <c r="CW1351" s="326">
        <f t="shared" si="315"/>
        <v>1</v>
      </c>
      <c r="CX1351" s="326" t="s">
        <v>539</v>
      </c>
      <c r="CY1351" s="161" t="s">
        <v>5921</v>
      </c>
    </row>
    <row r="1352" spans="1:103" ht="11.25" customHeight="1" x14ac:dyDescent="0.2">
      <c r="A1352" s="72">
        <v>202</v>
      </c>
      <c r="B1352" s="149">
        <v>326</v>
      </c>
      <c r="C1352" s="54" t="s">
        <v>1261</v>
      </c>
      <c r="D1352" s="54" t="s">
        <v>6564</v>
      </c>
      <c r="E1352" s="59"/>
      <c r="F1352" s="59" t="s">
        <v>1262</v>
      </c>
      <c r="G1352" s="151">
        <v>79983714</v>
      </c>
      <c r="H1352" s="55" t="s">
        <v>1263</v>
      </c>
      <c r="I1352" s="55" t="s">
        <v>8146</v>
      </c>
      <c r="J1352" s="55" t="s">
        <v>1264</v>
      </c>
      <c r="K1352" s="55" t="s">
        <v>1265</v>
      </c>
      <c r="L1352" s="55" t="s">
        <v>5990</v>
      </c>
      <c r="M1352" s="60" t="s">
        <v>2342</v>
      </c>
      <c r="N1352" s="60" t="s">
        <v>2342</v>
      </c>
      <c r="O1352" s="55"/>
      <c r="P1352" s="67"/>
      <c r="Q1352" s="67"/>
      <c r="R1352" s="67"/>
      <c r="S1352" s="67"/>
      <c r="T1352" s="56">
        <v>314.20999999999998</v>
      </c>
      <c r="U1352" s="103">
        <v>17</v>
      </c>
      <c r="V1352" s="103">
        <v>15.32</v>
      </c>
      <c r="W1352" s="103">
        <v>19.825310720912135</v>
      </c>
      <c r="X1352" s="103">
        <v>17</v>
      </c>
      <c r="Y1352" s="162">
        <v>7.01</v>
      </c>
      <c r="Z1352" s="56">
        <v>3.66</v>
      </c>
      <c r="AA1352" s="56">
        <v>3.9</v>
      </c>
      <c r="AB1352" s="56">
        <v>3.62</v>
      </c>
      <c r="AC1352" s="56">
        <v>0.82250000000000001</v>
      </c>
      <c r="AD1352" s="56">
        <v>3.63</v>
      </c>
      <c r="AE1352" s="56">
        <v>3.66</v>
      </c>
      <c r="AF1352" s="56">
        <f t="shared" si="316"/>
        <v>3.9</v>
      </c>
      <c r="AG1352" s="57">
        <v>3.88</v>
      </c>
      <c r="AH1352" s="103">
        <v>2.18E-10</v>
      </c>
      <c r="AI1352" s="103">
        <v>3.2799999999999998E-9</v>
      </c>
      <c r="AJ1352" s="62">
        <f t="shared" si="317"/>
        <v>-8.0501098327080474</v>
      </c>
      <c r="AK1352" s="62">
        <f>LOG10(AI1352*1000/(0.08206*298.15))</f>
        <v>-6.8726924826009723</v>
      </c>
      <c r="AL1352" s="62">
        <f t="shared" si="318"/>
        <v>-6.8726924826009723</v>
      </c>
      <c r="AM1352" s="62">
        <v>-13.361009999999998</v>
      </c>
      <c r="AN1352" s="154">
        <v>-7.49</v>
      </c>
      <c r="AO1352" s="410">
        <v>12.26</v>
      </c>
      <c r="AP1352" s="410">
        <v>2.71</v>
      </c>
      <c r="AQ1352" s="154" t="s">
        <v>6311</v>
      </c>
      <c r="AR1352" s="154" t="s">
        <v>6311</v>
      </c>
      <c r="AS1352" s="149" t="s">
        <v>6</v>
      </c>
      <c r="AT1352" s="58" t="s">
        <v>266</v>
      </c>
      <c r="AU1352" s="56">
        <v>8</v>
      </c>
      <c r="AV1352" s="56">
        <v>144</v>
      </c>
      <c r="AW1352" s="56">
        <v>120</v>
      </c>
      <c r="AX1352" s="56">
        <v>26</v>
      </c>
      <c r="AY1352" s="56" t="s">
        <v>267</v>
      </c>
      <c r="AZ1352" s="56" t="s">
        <v>268</v>
      </c>
      <c r="BA1352" s="56">
        <v>2</v>
      </c>
      <c r="BB1352" s="55" t="s">
        <v>888</v>
      </c>
      <c r="BC1352" s="55" t="s">
        <v>270</v>
      </c>
      <c r="BD1352" s="55" t="s">
        <v>8374</v>
      </c>
      <c r="BE1352" s="56" t="s">
        <v>889</v>
      </c>
      <c r="BF1352" s="56" t="s">
        <v>272</v>
      </c>
      <c r="BG1352" s="56" t="s">
        <v>272</v>
      </c>
      <c r="BH1352" s="56" t="s">
        <v>890</v>
      </c>
      <c r="BI1352" s="153">
        <v>3.1420999999999999E-4</v>
      </c>
      <c r="BJ1352" s="153">
        <v>25.136799999999997</v>
      </c>
      <c r="BK1352" s="56"/>
      <c r="BL1352" s="153">
        <v>8.3363128115550396</v>
      </c>
      <c r="BM1352" s="56" t="s">
        <v>891</v>
      </c>
      <c r="BN1352" s="162"/>
      <c r="BO1352" s="162"/>
      <c r="BP1352" s="162"/>
      <c r="BQ1352" s="162"/>
      <c r="BR1352" s="162"/>
      <c r="BS1352" s="56">
        <v>8.3705543999999996</v>
      </c>
      <c r="BT1352" s="162"/>
      <c r="BU1352" s="158"/>
      <c r="BV1352" s="162"/>
      <c r="BW1352" s="162"/>
      <c r="BX1352" s="162"/>
      <c r="BY1352" s="162"/>
      <c r="BZ1352" s="162"/>
      <c r="CA1352" s="162"/>
      <c r="CB1352" s="162"/>
      <c r="CC1352" s="56"/>
      <c r="CD1352" s="56"/>
      <c r="CE1352" s="56"/>
      <c r="CF1352" s="56"/>
      <c r="CG1352" s="56"/>
      <c r="CH1352" s="56"/>
      <c r="CI1352" s="103">
        <v>8.3705543999999996</v>
      </c>
      <c r="CJ1352" s="103">
        <f t="shared" si="314"/>
        <v>0.92275422321275058</v>
      </c>
      <c r="CK1352" s="57">
        <f t="shared" si="307"/>
        <v>0.33163779047273484</v>
      </c>
      <c r="CL1352" s="160">
        <f t="shared" si="319"/>
        <v>0.99590928069890328</v>
      </c>
      <c r="CM1352" s="160">
        <v>0.57978359661680978</v>
      </c>
      <c r="CN1352" s="160">
        <f>BJ1352/(10^CM1352)</f>
        <v>6.6149473684210571</v>
      </c>
      <c r="CO1352" s="55" t="s">
        <v>892</v>
      </c>
      <c r="CP1352" s="497" t="s">
        <v>893</v>
      </c>
      <c r="CQ1352" s="149">
        <v>0.6436768863573733</v>
      </c>
      <c r="CR1352" s="349">
        <f>10^(CJ1352-CQ1352)</f>
        <v>1.9014168439932431</v>
      </c>
      <c r="CS1352" s="61" t="s">
        <v>539</v>
      </c>
      <c r="CT1352" s="61"/>
      <c r="CU1352" s="111">
        <f t="shared" si="320"/>
        <v>2.0309287996503556</v>
      </c>
      <c r="CV1352" s="331">
        <f t="shared" si="310"/>
        <v>0.67629929028356839</v>
      </c>
      <c r="CW1352" s="326">
        <f t="shared" si="315"/>
        <v>1</v>
      </c>
      <c r="CX1352" s="326" t="s">
        <v>539</v>
      </c>
      <c r="CY1352" s="161" t="s">
        <v>5921</v>
      </c>
    </row>
    <row r="1353" spans="1:103" ht="11.25" customHeight="1" x14ac:dyDescent="0.2">
      <c r="A1353" s="72">
        <v>203</v>
      </c>
      <c r="B1353" s="149">
        <v>427</v>
      </c>
      <c r="C1353" s="54" t="s">
        <v>1437</v>
      </c>
      <c r="D1353" s="54" t="s">
        <v>6572</v>
      </c>
      <c r="E1353" s="59"/>
      <c r="F1353" s="59" t="s">
        <v>1438</v>
      </c>
      <c r="G1353" s="151">
        <v>95737681</v>
      </c>
      <c r="H1353" s="55" t="s">
        <v>1439</v>
      </c>
      <c r="I1353" s="55" t="s">
        <v>1439</v>
      </c>
      <c r="J1353" s="55" t="s">
        <v>1440</v>
      </c>
      <c r="K1353" s="55" t="s">
        <v>426</v>
      </c>
      <c r="L1353" s="55" t="s">
        <v>617</v>
      </c>
      <c r="M1353" s="55" t="s">
        <v>8507</v>
      </c>
      <c r="N1353" s="60" t="s">
        <v>6082</v>
      </c>
      <c r="O1353" s="55" t="s">
        <v>918</v>
      </c>
      <c r="P1353" s="67"/>
      <c r="Q1353" s="67"/>
      <c r="R1353" s="67"/>
      <c r="S1353" s="67"/>
      <c r="T1353" s="56">
        <v>321.37</v>
      </c>
      <c r="U1353" s="103"/>
      <c r="V1353" s="103">
        <v>0.16850000000000001</v>
      </c>
      <c r="W1353" s="103">
        <v>4.3351620157847908</v>
      </c>
      <c r="X1353" s="103">
        <v>4.3351620157847908</v>
      </c>
      <c r="Y1353" s="162">
        <v>7.01</v>
      </c>
      <c r="Z1353" s="56">
        <v>5.55</v>
      </c>
      <c r="AA1353" s="56"/>
      <c r="AB1353" s="56">
        <v>4.2699999999999996</v>
      </c>
      <c r="AC1353" s="56">
        <v>0.65580000000000005</v>
      </c>
      <c r="AD1353" s="56">
        <v>4.4800000000000004</v>
      </c>
      <c r="AE1353" s="56">
        <v>4.84</v>
      </c>
      <c r="AF1353" s="56">
        <f t="shared" si="316"/>
        <v>4.4800000000000004</v>
      </c>
      <c r="AG1353" s="57">
        <v>4.43</v>
      </c>
      <c r="AH1353" s="103">
        <v>6.3399999999999998E-10</v>
      </c>
      <c r="AI1353" s="103"/>
      <c r="AJ1353" s="62">
        <f t="shared" si="317"/>
        <v>-7.5864770684309191</v>
      </c>
      <c r="AK1353" s="62"/>
      <c r="AL1353" s="62">
        <f t="shared" si="318"/>
        <v>-7.5864770684309191</v>
      </c>
      <c r="AM1353" s="62">
        <v>-14.59877</v>
      </c>
      <c r="AN1353" s="154">
        <v>-6.13</v>
      </c>
      <c r="AO1353" s="410"/>
      <c r="AP1353" s="410">
        <v>3.62</v>
      </c>
      <c r="AQ1353" s="154" t="s">
        <v>6311</v>
      </c>
      <c r="AR1353" s="154" t="s">
        <v>6311</v>
      </c>
      <c r="AS1353" s="149" t="s">
        <v>6</v>
      </c>
      <c r="AT1353" s="58" t="s">
        <v>266</v>
      </c>
      <c r="AU1353" s="56">
        <v>8</v>
      </c>
      <c r="AV1353" s="56">
        <v>144</v>
      </c>
      <c r="AW1353" s="56">
        <v>120</v>
      </c>
      <c r="AX1353" s="56">
        <v>26</v>
      </c>
      <c r="AY1353" s="56" t="s">
        <v>267</v>
      </c>
      <c r="AZ1353" s="56" t="s">
        <v>268</v>
      </c>
      <c r="BA1353" s="56">
        <v>2</v>
      </c>
      <c r="BB1353" s="55" t="s">
        <v>888</v>
      </c>
      <c r="BC1353" s="55" t="s">
        <v>270</v>
      </c>
      <c r="BD1353" s="55" t="s">
        <v>8374</v>
      </c>
      <c r="BE1353" s="56" t="s">
        <v>889</v>
      </c>
      <c r="BF1353" s="56" t="s">
        <v>272</v>
      </c>
      <c r="BG1353" s="56" t="s">
        <v>272</v>
      </c>
      <c r="BH1353" s="56" t="s">
        <v>890</v>
      </c>
      <c r="BI1353" s="153">
        <v>3.2136999999999997E-4</v>
      </c>
      <c r="BJ1353" s="153">
        <v>25.709600000000002</v>
      </c>
      <c r="BK1353" s="56"/>
      <c r="BL1353" s="153">
        <v>0.17113952914372185</v>
      </c>
      <c r="BM1353" s="56" t="s">
        <v>891</v>
      </c>
      <c r="BN1353" s="162"/>
      <c r="BO1353" s="162"/>
      <c r="BP1353" s="162"/>
      <c r="BQ1353" s="162"/>
      <c r="BR1353" s="162"/>
      <c r="BS1353" s="56">
        <v>8.5612968000000009</v>
      </c>
      <c r="BT1353" s="162"/>
      <c r="BU1353" s="158"/>
      <c r="BV1353" s="162"/>
      <c r="BW1353" s="162"/>
      <c r="BX1353" s="162"/>
      <c r="BY1353" s="162"/>
      <c r="BZ1353" s="162"/>
      <c r="CA1353" s="162"/>
      <c r="CB1353" s="162"/>
      <c r="CC1353" s="56"/>
      <c r="CD1353" s="56"/>
      <c r="CE1353" s="56"/>
      <c r="CF1353" s="56"/>
      <c r="CG1353" s="56"/>
      <c r="CH1353" s="56"/>
      <c r="CI1353" s="103">
        <v>8.5612968000000009</v>
      </c>
      <c r="CJ1353" s="103">
        <f t="shared" si="314"/>
        <v>0.9325395532785411</v>
      </c>
      <c r="CK1353" s="57">
        <f t="shared" si="307"/>
        <v>6.6566391209401093E-3</v>
      </c>
      <c r="CL1353" s="160">
        <f t="shared" si="319"/>
        <v>1.998990727009042E-2</v>
      </c>
      <c r="CM1353" s="160">
        <v>-0.34678748622465666</v>
      </c>
      <c r="CN1353" s="160">
        <f>BJ1353/(10^CM1353)</f>
        <v>57.132444444444495</v>
      </c>
      <c r="CO1353" s="55" t="s">
        <v>892</v>
      </c>
      <c r="CP1353" s="497" t="s">
        <v>893</v>
      </c>
      <c r="CQ1353" s="149">
        <v>0.21203226270874401</v>
      </c>
      <c r="CR1353" s="349">
        <f>10^(CJ1353-CQ1353)</f>
        <v>5.2542083535827588</v>
      </c>
      <c r="CS1353" s="61" t="s">
        <v>539</v>
      </c>
      <c r="CT1353" s="61"/>
      <c r="CU1353" s="111">
        <f t="shared" si="320"/>
        <v>0.50636744842028958</v>
      </c>
      <c r="CV1353" s="331">
        <f t="shared" si="310"/>
        <v>0.16862036032395644</v>
      </c>
      <c r="CW1353" s="326">
        <f t="shared" si="315"/>
        <v>0</v>
      </c>
      <c r="CX1353" s="326" t="s">
        <v>539</v>
      </c>
      <c r="CY1353" s="161" t="s">
        <v>5921</v>
      </c>
    </row>
    <row r="1354" spans="1:103" ht="11.25" customHeight="1" x14ac:dyDescent="0.2">
      <c r="A1354" s="72">
        <v>204</v>
      </c>
      <c r="B1354" s="149">
        <v>302</v>
      </c>
      <c r="C1354" s="54" t="s">
        <v>1188</v>
      </c>
      <c r="D1354" s="54" t="s">
        <v>6580</v>
      </c>
      <c r="E1354" s="59"/>
      <c r="F1354" s="59" t="s">
        <v>1189</v>
      </c>
      <c r="G1354" s="151">
        <v>120068373</v>
      </c>
      <c r="H1354" s="55" t="s">
        <v>1190</v>
      </c>
      <c r="I1354" s="55" t="s">
        <v>8163</v>
      </c>
      <c r="J1354" s="55" t="s">
        <v>1191</v>
      </c>
      <c r="K1354" s="55" t="s">
        <v>1192</v>
      </c>
      <c r="L1354" s="55" t="s">
        <v>617</v>
      </c>
      <c r="M1354" s="55" t="s">
        <v>1140</v>
      </c>
      <c r="N1354" s="60" t="s">
        <v>6376</v>
      </c>
      <c r="O1354" s="55" t="s">
        <v>918</v>
      </c>
      <c r="P1354" s="67"/>
      <c r="Q1354" s="67"/>
      <c r="R1354" s="67"/>
      <c r="S1354" s="67"/>
      <c r="T1354" s="56">
        <v>437.15</v>
      </c>
      <c r="U1354" s="103">
        <v>1.9000000000000001</v>
      </c>
      <c r="V1354" s="103">
        <v>0.37430000000000002</v>
      </c>
      <c r="W1354" s="103">
        <v>1.001452794407431</v>
      </c>
      <c r="X1354" s="103">
        <v>1.9000000000000001</v>
      </c>
      <c r="Y1354" s="162">
        <v>7</v>
      </c>
      <c r="Z1354" s="56">
        <v>6.64</v>
      </c>
      <c r="AA1354" s="56">
        <v>4</v>
      </c>
      <c r="AB1354" s="56">
        <v>3.53</v>
      </c>
      <c r="AC1354" s="56">
        <v>0.7742</v>
      </c>
      <c r="AD1354" s="56">
        <v>3.71</v>
      </c>
      <c r="AE1354" s="56">
        <v>4.76</v>
      </c>
      <c r="AF1354" s="56">
        <f t="shared" si="316"/>
        <v>4</v>
      </c>
      <c r="AG1354" s="57">
        <v>4.26</v>
      </c>
      <c r="AH1354" s="103">
        <v>3.1700000000000001E-18</v>
      </c>
      <c r="AI1354" s="103">
        <v>8.4199999999999999E-10</v>
      </c>
      <c r="AJ1354" s="62">
        <f t="shared" si="317"/>
        <v>-15.887507064094899</v>
      </c>
      <c r="AK1354" s="62">
        <f>LOG10(AI1354*1000/(0.08206*298.15))</f>
        <v>-7.463254234813002</v>
      </c>
      <c r="AL1354" s="62">
        <f t="shared" si="318"/>
        <v>-7.463254234813002</v>
      </c>
      <c r="AM1354" s="62">
        <v>-19.078990000000005</v>
      </c>
      <c r="AN1354" s="154">
        <v>-10.3</v>
      </c>
      <c r="AO1354" s="410"/>
      <c r="AP1354" s="410">
        <v>-5.86</v>
      </c>
      <c r="AQ1354" s="154" t="s">
        <v>6311</v>
      </c>
      <c r="AR1354" s="154" t="s">
        <v>6311</v>
      </c>
      <c r="AS1354" s="149" t="s">
        <v>6</v>
      </c>
      <c r="AT1354" s="58" t="s">
        <v>266</v>
      </c>
      <c r="AU1354" s="56">
        <v>8</v>
      </c>
      <c r="AV1354" s="56">
        <v>144</v>
      </c>
      <c r="AW1354" s="56">
        <v>120</v>
      </c>
      <c r="AX1354" s="56">
        <v>26</v>
      </c>
      <c r="AY1354" s="56" t="s">
        <v>267</v>
      </c>
      <c r="AZ1354" s="56" t="s">
        <v>268</v>
      </c>
      <c r="BA1354" s="56">
        <v>2</v>
      </c>
      <c r="BB1354" s="55" t="s">
        <v>888</v>
      </c>
      <c r="BC1354" s="55" t="s">
        <v>270</v>
      </c>
      <c r="BD1354" s="55" t="s">
        <v>8374</v>
      </c>
      <c r="BE1354" s="56" t="s">
        <v>889</v>
      </c>
      <c r="BF1354" s="56" t="s">
        <v>272</v>
      </c>
      <c r="BG1354" s="56" t="s">
        <v>272</v>
      </c>
      <c r="BH1354" s="56" t="s">
        <v>890</v>
      </c>
      <c r="BI1354" s="153">
        <v>4.3714999999999997E-4</v>
      </c>
      <c r="BJ1354" s="153">
        <v>34.972000000000001</v>
      </c>
      <c r="BK1354" s="56"/>
      <c r="BL1354" s="153">
        <v>2.4436920881084491E-2</v>
      </c>
      <c r="BM1354" s="56" t="s">
        <v>891</v>
      </c>
      <c r="BN1354" s="162"/>
      <c r="BO1354" s="162"/>
      <c r="BP1354" s="162"/>
      <c r="BQ1354" s="162"/>
      <c r="BR1354" s="162"/>
      <c r="BS1354" s="56">
        <v>11.645676</v>
      </c>
      <c r="BT1354" s="162"/>
      <c r="BU1354" s="158"/>
      <c r="BV1354" s="162"/>
      <c r="BW1354" s="162"/>
      <c r="BX1354" s="162"/>
      <c r="BY1354" s="162"/>
      <c r="BZ1354" s="162"/>
      <c r="CA1354" s="162"/>
      <c r="CB1354" s="162"/>
      <c r="CC1354" s="56"/>
      <c r="CD1354" s="56"/>
      <c r="CE1354" s="56"/>
      <c r="CF1354" s="56"/>
      <c r="CG1354" s="56"/>
      <c r="CH1354" s="56"/>
      <c r="CI1354" s="103">
        <v>11.645676</v>
      </c>
      <c r="CJ1354" s="103">
        <f t="shared" si="314"/>
        <v>1.0661647032226746</v>
      </c>
      <c r="CK1354" s="57">
        <f t="shared" si="307"/>
        <v>6.9875674485544124E-4</v>
      </c>
      <c r="CL1354" s="160">
        <f t="shared" si="319"/>
        <v>2.0983686031694933E-3</v>
      </c>
      <c r="CM1354" s="160">
        <v>-1.080921907623926</v>
      </c>
      <c r="CN1354" s="160">
        <f>BJ1354/(10^CM1354)</f>
        <v>421.3493975903616</v>
      </c>
      <c r="CO1354" s="55" t="s">
        <v>892</v>
      </c>
      <c r="CP1354" s="497" t="s">
        <v>893</v>
      </c>
      <c r="CQ1354" s="149">
        <v>-0.8107694085504541</v>
      </c>
      <c r="CR1354" s="349">
        <f>10^(CJ1354-CQ1354)</f>
        <v>75.324127838301351</v>
      </c>
      <c r="CS1354" s="61" t="s">
        <v>539</v>
      </c>
      <c r="CT1354" s="61"/>
      <c r="CU1354" s="111">
        <f t="shared" si="320"/>
        <v>0.16315068356701665</v>
      </c>
      <c r="CV1354" s="331">
        <f t="shared" si="310"/>
        <v>5.4329177627816541E-2</v>
      </c>
      <c r="CW1354" s="326">
        <f t="shared" si="315"/>
        <v>0</v>
      </c>
      <c r="CX1354" s="326" t="s">
        <v>539</v>
      </c>
      <c r="CY1354" s="161" t="s">
        <v>5921</v>
      </c>
    </row>
    <row r="1355" spans="1:103" ht="11.25" customHeight="1" x14ac:dyDescent="0.2">
      <c r="A1355" s="72">
        <v>206</v>
      </c>
      <c r="B1355" s="149">
        <v>173</v>
      </c>
      <c r="C1355" s="54" t="s">
        <v>5927</v>
      </c>
      <c r="D1355" s="54" t="s">
        <v>6456</v>
      </c>
      <c r="E1355" s="59"/>
      <c r="F1355" s="59" t="s">
        <v>898</v>
      </c>
      <c r="G1355" s="151">
        <v>94826</v>
      </c>
      <c r="H1355" s="55" t="s">
        <v>899</v>
      </c>
      <c r="I1355" s="55" t="s">
        <v>8007</v>
      </c>
      <c r="J1355" s="55" t="s">
        <v>900</v>
      </c>
      <c r="K1355" s="55" t="s">
        <v>426</v>
      </c>
      <c r="L1355" s="55" t="s">
        <v>6032</v>
      </c>
      <c r="M1355" s="55" t="s">
        <v>6082</v>
      </c>
      <c r="N1355" s="60" t="s">
        <v>6082</v>
      </c>
      <c r="O1355" s="55" t="s">
        <v>6083</v>
      </c>
      <c r="P1355" s="67"/>
      <c r="Q1355" s="67"/>
      <c r="R1355" s="67"/>
      <c r="S1355" s="67"/>
      <c r="T1355" s="56">
        <v>249.09</v>
      </c>
      <c r="U1355" s="103">
        <v>46</v>
      </c>
      <c r="V1355" s="103">
        <v>57.46</v>
      </c>
      <c r="W1355" s="103">
        <v>111.26441596888328</v>
      </c>
      <c r="X1355" s="103">
        <v>46</v>
      </c>
      <c r="Y1355" s="162">
        <v>4.01</v>
      </c>
      <c r="Z1355" s="56">
        <v>3.6</v>
      </c>
      <c r="AA1355" s="56">
        <v>3.53</v>
      </c>
      <c r="AB1355" s="56">
        <v>3.33</v>
      </c>
      <c r="AC1355" s="56">
        <v>0.87439999999999996</v>
      </c>
      <c r="AD1355" s="56">
        <v>3.37</v>
      </c>
      <c r="AE1355" s="56">
        <v>3.51</v>
      </c>
      <c r="AF1355" s="56">
        <f t="shared" si="316"/>
        <v>3.53</v>
      </c>
      <c r="AG1355" s="57">
        <v>3.1</v>
      </c>
      <c r="AH1355" s="103">
        <v>2.2900000000000002E-9</v>
      </c>
      <c r="AI1355" s="103"/>
      <c r="AJ1355" s="62">
        <f t="shared" si="317"/>
        <v>-7.028730843972764</v>
      </c>
      <c r="AK1355" s="62"/>
      <c r="AL1355" s="62">
        <f t="shared" si="318"/>
        <v>-7.028730843972764</v>
      </c>
      <c r="AM1355" s="62">
        <v>-10.113009999999999</v>
      </c>
      <c r="AN1355" s="154">
        <v>-7.36</v>
      </c>
      <c r="AO1355" s="410">
        <v>4.5599999999999996</v>
      </c>
      <c r="AP1355" s="410"/>
      <c r="AQ1355" s="154" t="s">
        <v>6311</v>
      </c>
      <c r="AR1355" s="154" t="s">
        <v>6311</v>
      </c>
      <c r="AS1355" s="149" t="s">
        <v>6</v>
      </c>
      <c r="AT1355" s="58" t="s">
        <v>266</v>
      </c>
      <c r="AU1355" s="56">
        <v>8</v>
      </c>
      <c r="AV1355" s="56">
        <v>144</v>
      </c>
      <c r="AW1355" s="56">
        <v>120</v>
      </c>
      <c r="AX1355" s="56">
        <v>26</v>
      </c>
      <c r="AY1355" s="56" t="s">
        <v>267</v>
      </c>
      <c r="AZ1355" s="56" t="s">
        <v>268</v>
      </c>
      <c r="BA1355" s="56">
        <v>3</v>
      </c>
      <c r="BB1355" s="55" t="s">
        <v>888</v>
      </c>
      <c r="BC1355" s="55" t="s">
        <v>270</v>
      </c>
      <c r="BD1355" s="55" t="s">
        <v>8374</v>
      </c>
      <c r="BE1355" s="56" t="s">
        <v>889</v>
      </c>
      <c r="BF1355" s="56" t="s">
        <v>272</v>
      </c>
      <c r="BG1355" s="56" t="s">
        <v>272</v>
      </c>
      <c r="BH1355" s="56" t="s">
        <v>890</v>
      </c>
      <c r="BI1355" s="153">
        <v>2.4908999999999999E-4</v>
      </c>
      <c r="BJ1355" s="153">
        <v>19.927199999999999</v>
      </c>
      <c r="BK1355" s="56"/>
      <c r="BL1355" s="153">
        <v>7.4816311378561036</v>
      </c>
      <c r="BM1355" s="56" t="s">
        <v>891</v>
      </c>
      <c r="BN1355" s="162"/>
      <c r="BO1355" s="162"/>
      <c r="BP1355" s="162"/>
      <c r="BQ1355" s="162"/>
      <c r="BR1355" s="162"/>
      <c r="BS1355" s="56">
        <v>6.43128303327663</v>
      </c>
      <c r="BT1355" s="162"/>
      <c r="BU1355" s="158"/>
      <c r="BV1355" s="162"/>
      <c r="BW1355" s="162"/>
      <c r="BX1355" s="162"/>
      <c r="BY1355" s="162"/>
      <c r="BZ1355" s="162"/>
      <c r="CA1355" s="162"/>
      <c r="CB1355" s="162"/>
      <c r="CC1355" s="56"/>
      <c r="CD1355" s="56"/>
      <c r="CE1355" s="56"/>
      <c r="CF1355" s="56"/>
      <c r="CG1355" s="56"/>
      <c r="CH1355" s="56"/>
      <c r="CI1355" s="103">
        <v>6.43128303327663</v>
      </c>
      <c r="CJ1355" s="103">
        <f t="shared" si="314"/>
        <v>0.80829762279772932</v>
      </c>
      <c r="CK1355" s="57">
        <f t="shared" si="307"/>
        <v>0.37544818829821069</v>
      </c>
      <c r="CL1355" s="160">
        <f t="shared" si="319"/>
        <v>1.16331859430611</v>
      </c>
      <c r="CM1355" s="160">
        <v>0.74364692823696932</v>
      </c>
      <c r="CN1355" s="160">
        <f>BJ1355/(10^CM1355)</f>
        <v>3.5958316558166987</v>
      </c>
      <c r="CO1355" s="55" t="s">
        <v>892</v>
      </c>
      <c r="CP1355" s="497" t="s">
        <v>893</v>
      </c>
      <c r="CQ1355" s="149">
        <v>0.90794619361063444</v>
      </c>
      <c r="CR1355" s="349">
        <f>10^(CJ1355-CQ1355)</f>
        <v>0.79497126177493671</v>
      </c>
      <c r="CS1355" s="61" t="s">
        <v>539</v>
      </c>
      <c r="CT1355" s="61"/>
      <c r="CU1355" s="111">
        <f t="shared" si="320"/>
        <v>7.1525385777593087</v>
      </c>
      <c r="CV1355" s="331">
        <f t="shared" si="310"/>
        <v>2.3084025854108958</v>
      </c>
      <c r="CW1355" s="326">
        <f t="shared" si="315"/>
        <v>1</v>
      </c>
      <c r="CX1355" s="326" t="s">
        <v>539</v>
      </c>
      <c r="CY1355" s="161" t="s">
        <v>5921</v>
      </c>
    </row>
    <row r="1356" spans="1:103" ht="11.25" customHeight="1" x14ac:dyDescent="0.2">
      <c r="A1356" s="72">
        <v>207</v>
      </c>
      <c r="B1356" s="149">
        <v>399</v>
      </c>
      <c r="C1356" s="54" t="s">
        <v>1371</v>
      </c>
      <c r="D1356" s="54"/>
      <c r="E1356" s="59"/>
      <c r="F1356" s="59" t="s">
        <v>1372</v>
      </c>
      <c r="G1356" s="151">
        <v>4376209</v>
      </c>
      <c r="H1356" s="55" t="s">
        <v>1373</v>
      </c>
      <c r="I1356" s="55" t="s">
        <v>7939</v>
      </c>
      <c r="J1356" s="55" t="s">
        <v>1374</v>
      </c>
      <c r="K1356" s="55" t="s">
        <v>357</v>
      </c>
      <c r="L1356" s="55"/>
      <c r="M1356" s="55"/>
      <c r="N1356" s="60"/>
      <c r="O1356" s="55"/>
      <c r="P1356" s="67"/>
      <c r="Q1356" s="67"/>
      <c r="R1356" s="67"/>
      <c r="S1356" s="67"/>
      <c r="T1356" s="56">
        <v>278.33999999999997</v>
      </c>
      <c r="U1356" s="103"/>
      <c r="V1356" s="103">
        <v>1.492</v>
      </c>
      <c r="W1356" s="103">
        <v>73.210879286415945</v>
      </c>
      <c r="X1356" s="103">
        <v>73.210879286415945</v>
      </c>
      <c r="Y1356" s="162">
        <v>3.74</v>
      </c>
      <c r="Z1356" s="56">
        <v>4.7300000000000004</v>
      </c>
      <c r="AA1356" s="56"/>
      <c r="AB1356" s="56">
        <v>5.09</v>
      </c>
      <c r="AC1356" s="56">
        <v>0.60360000000000003</v>
      </c>
      <c r="AD1356" s="56">
        <v>4.8899999999999997</v>
      </c>
      <c r="AE1356" s="56">
        <v>4.67</v>
      </c>
      <c r="AF1356" s="56">
        <f t="shared" si="316"/>
        <v>4.8899999999999997</v>
      </c>
      <c r="AG1356" s="57">
        <v>4.0999999999999996</v>
      </c>
      <c r="AH1356" s="103">
        <v>5.0799999999999998E-9</v>
      </c>
      <c r="AI1356" s="103"/>
      <c r="AJ1356" s="62">
        <f t="shared" si="317"/>
        <v>-6.6827026140287327</v>
      </c>
      <c r="AK1356" s="62"/>
      <c r="AL1356" s="62">
        <f t="shared" si="318"/>
        <v>-6.6827026140287327</v>
      </c>
      <c r="AM1356" s="62">
        <v>-11.521489999999998</v>
      </c>
      <c r="AN1356" s="154">
        <v>-7.1</v>
      </c>
      <c r="AO1356" s="410">
        <v>3.37</v>
      </c>
      <c r="AP1356" s="410"/>
      <c r="AQ1356" s="154" t="s">
        <v>6311</v>
      </c>
      <c r="AR1356" s="154" t="s">
        <v>6312</v>
      </c>
      <c r="AS1356" s="149" t="s">
        <v>6</v>
      </c>
      <c r="AT1356" s="58" t="s">
        <v>266</v>
      </c>
      <c r="AU1356" s="56">
        <v>8</v>
      </c>
      <c r="AV1356" s="56">
        <v>144</v>
      </c>
      <c r="AW1356" s="56">
        <v>120</v>
      </c>
      <c r="AX1356" s="56">
        <v>26</v>
      </c>
      <c r="AY1356" s="56" t="s">
        <v>267</v>
      </c>
      <c r="AZ1356" s="56" t="s">
        <v>268</v>
      </c>
      <c r="BA1356" s="56">
        <v>2</v>
      </c>
      <c r="BB1356" s="55" t="s">
        <v>888</v>
      </c>
      <c r="BC1356" s="55" t="s">
        <v>270</v>
      </c>
      <c r="BD1356" s="55" t="s">
        <v>8374</v>
      </c>
      <c r="BE1356" s="56" t="s">
        <v>889</v>
      </c>
      <c r="BF1356" s="56" t="s">
        <v>272</v>
      </c>
      <c r="BG1356" s="56" t="s">
        <v>272</v>
      </c>
      <c r="BH1356" s="56" t="s">
        <v>890</v>
      </c>
      <c r="BI1356" s="153">
        <v>2.7833999999999997E-4</v>
      </c>
      <c r="BJ1356" s="153">
        <v>22.267199999999999</v>
      </c>
      <c r="BK1356" s="56"/>
      <c r="BL1356" s="153">
        <v>0.80790932882464839</v>
      </c>
      <c r="BM1356" s="56" t="s">
        <v>891</v>
      </c>
      <c r="BN1356" s="162"/>
      <c r="BO1356" s="162"/>
      <c r="BP1356" s="162"/>
      <c r="BQ1356" s="162"/>
      <c r="BR1356" s="162"/>
      <c r="BS1356" s="56">
        <v>0.1574528811803709</v>
      </c>
      <c r="BT1356" s="162"/>
      <c r="BU1356" s="158"/>
      <c r="BV1356" s="162"/>
      <c r="BW1356" s="162"/>
      <c r="BX1356" s="162"/>
      <c r="BY1356" s="162"/>
      <c r="BZ1356" s="162"/>
      <c r="CA1356" s="162"/>
      <c r="CB1356" s="162"/>
      <c r="CC1356" s="56"/>
      <c r="CD1356" s="56"/>
      <c r="CE1356" s="56"/>
      <c r="CF1356" s="56"/>
      <c r="CG1356" s="56"/>
      <c r="CH1356" s="56"/>
      <c r="CI1356" s="103">
        <v>0.1574528811803709</v>
      </c>
      <c r="CJ1356" s="103">
        <f t="shared" si="314"/>
        <v>-0.80284938793764382</v>
      </c>
      <c r="CK1356" s="57">
        <f t="shared" si="307"/>
        <v>3.6282484049393209E-2</v>
      </c>
      <c r="CL1356" s="160">
        <f t="shared" si="319"/>
        <v>5.1311181019237369</v>
      </c>
      <c r="CM1356" s="160"/>
      <c r="CN1356" s="160"/>
      <c r="CO1356" s="55" t="s">
        <v>892</v>
      </c>
      <c r="CP1356" s="497" t="s">
        <v>893</v>
      </c>
      <c r="CQ1356" s="149" t="s">
        <v>272</v>
      </c>
      <c r="CR1356" s="349"/>
      <c r="CS1356" s="61" t="s">
        <v>539</v>
      </c>
      <c r="CT1356" s="61"/>
      <c r="CU1356" s="111">
        <f t="shared" si="320"/>
        <v>464.97008335178617</v>
      </c>
      <c r="CV1356" s="331">
        <f t="shared" si="310"/>
        <v>3.2878349898692223</v>
      </c>
      <c r="CW1356" s="326">
        <f t="shared" si="315"/>
        <v>1</v>
      </c>
      <c r="CX1356" s="326" t="s">
        <v>539</v>
      </c>
      <c r="CY1356" s="161" t="s">
        <v>5921</v>
      </c>
    </row>
    <row r="1357" spans="1:103" ht="11.25" customHeight="1" x14ac:dyDescent="0.2">
      <c r="A1357" s="72">
        <v>211</v>
      </c>
      <c r="B1357" s="149">
        <v>347</v>
      </c>
      <c r="C1357" s="54" t="s">
        <v>620</v>
      </c>
      <c r="D1357" s="54" t="s">
        <v>6472</v>
      </c>
      <c r="E1357" s="59"/>
      <c r="F1357" s="59" t="s">
        <v>621</v>
      </c>
      <c r="G1357" s="151">
        <v>121755</v>
      </c>
      <c r="H1357" s="55" t="s">
        <v>622</v>
      </c>
      <c r="I1357" s="55" t="s">
        <v>622</v>
      </c>
      <c r="J1357" s="55" t="s">
        <v>623</v>
      </c>
      <c r="K1357" s="55" t="s">
        <v>624</v>
      </c>
      <c r="L1357" s="55" t="s">
        <v>617</v>
      </c>
      <c r="M1357" s="55" t="s">
        <v>946</v>
      </c>
      <c r="N1357" s="60" t="s">
        <v>6376</v>
      </c>
      <c r="O1357" s="55" t="s">
        <v>918</v>
      </c>
      <c r="P1357" s="67" t="s">
        <v>6178</v>
      </c>
      <c r="Q1357" s="67" t="s">
        <v>6176</v>
      </c>
      <c r="R1357" s="67" t="s">
        <v>6177</v>
      </c>
      <c r="S1357" s="67" t="s">
        <v>6176</v>
      </c>
      <c r="T1357" s="56">
        <v>330.36</v>
      </c>
      <c r="U1357" s="103">
        <v>143</v>
      </c>
      <c r="V1357" s="103">
        <v>78.45</v>
      </c>
      <c r="W1357" s="103">
        <v>185.77508018988354</v>
      </c>
      <c r="X1357" s="103">
        <v>143</v>
      </c>
      <c r="Y1357" s="162">
        <v>7</v>
      </c>
      <c r="Z1357" s="56">
        <v>2.29</v>
      </c>
      <c r="AA1357" s="56">
        <v>2.36</v>
      </c>
      <c r="AB1357" s="56">
        <v>2.69</v>
      </c>
      <c r="AC1357" s="56">
        <v>0.8125</v>
      </c>
      <c r="AD1357" s="56">
        <v>2.76</v>
      </c>
      <c r="AE1357" s="56">
        <v>2.93</v>
      </c>
      <c r="AF1357" s="56">
        <f t="shared" si="316"/>
        <v>2.36</v>
      </c>
      <c r="AG1357" s="57">
        <v>2.3199999999999998</v>
      </c>
      <c r="AH1357" s="103">
        <v>8.39E-10</v>
      </c>
      <c r="AI1357" s="103">
        <v>4.8900000000000003E-9</v>
      </c>
      <c r="AJ1357" s="62">
        <f t="shared" si="317"/>
        <v>-7.4648043654839515</v>
      </c>
      <c r="AK1357" s="62">
        <f>LOG10(AI1357*1000/(0.08206*298.15))</f>
        <v>-6.6992574671890317</v>
      </c>
      <c r="AL1357" s="62">
        <f t="shared" si="318"/>
        <v>-6.6992574671890317</v>
      </c>
      <c r="AM1357" s="62">
        <v>-12.449109999999999</v>
      </c>
      <c r="AN1357" s="154">
        <v>-5.94</v>
      </c>
      <c r="AO1357" s="410"/>
      <c r="AP1357" s="410"/>
      <c r="AQ1357" s="154" t="s">
        <v>6312</v>
      </c>
      <c r="AR1357" s="154" t="s">
        <v>6312</v>
      </c>
      <c r="AS1357" s="149" t="s">
        <v>6</v>
      </c>
      <c r="AT1357" s="58" t="s">
        <v>266</v>
      </c>
      <c r="AU1357" s="56">
        <v>8</v>
      </c>
      <c r="AV1357" s="56">
        <v>144</v>
      </c>
      <c r="AW1357" s="56">
        <v>120</v>
      </c>
      <c r="AX1357" s="56">
        <v>26</v>
      </c>
      <c r="AY1357" s="56" t="s">
        <v>267</v>
      </c>
      <c r="AZ1357" s="56" t="s">
        <v>268</v>
      </c>
      <c r="BA1357" s="56">
        <v>4</v>
      </c>
      <c r="BB1357" s="55" t="s">
        <v>888</v>
      </c>
      <c r="BC1357" s="55" t="s">
        <v>270</v>
      </c>
      <c r="BD1357" s="55" t="s">
        <v>8374</v>
      </c>
      <c r="BE1357" s="56" t="s">
        <v>889</v>
      </c>
      <c r="BF1357" s="56" t="s">
        <v>272</v>
      </c>
      <c r="BG1357" s="56" t="s">
        <v>272</v>
      </c>
      <c r="BH1357" s="56" t="s">
        <v>890</v>
      </c>
      <c r="BI1357" s="153">
        <v>3.3035999999999997E-4</v>
      </c>
      <c r="BJ1357" s="153">
        <v>26.428800000000003</v>
      </c>
      <c r="BK1357" s="56"/>
      <c r="BL1357" s="153">
        <v>148.98359766722712</v>
      </c>
      <c r="BM1357" s="56" t="s">
        <v>891</v>
      </c>
      <c r="BN1357" s="162"/>
      <c r="BO1357" s="162"/>
      <c r="BP1357" s="162"/>
      <c r="BQ1357" s="162"/>
      <c r="BR1357" s="162"/>
      <c r="BS1357" s="172">
        <v>8.3911440000000006</v>
      </c>
      <c r="BT1357" s="162"/>
      <c r="BU1357" s="173"/>
      <c r="BV1357" s="162"/>
      <c r="BW1357" s="162"/>
      <c r="BX1357" s="162"/>
      <c r="BY1357" s="162"/>
      <c r="BZ1357" s="162"/>
      <c r="CA1357" s="162"/>
      <c r="CB1357" s="162"/>
      <c r="CC1357" s="172"/>
      <c r="CD1357" s="56"/>
      <c r="CE1357" s="56"/>
      <c r="CF1357" s="56"/>
      <c r="CG1357" s="56"/>
      <c r="CH1357" s="172"/>
      <c r="CI1357" s="103">
        <v>8.3911440000000006</v>
      </c>
      <c r="CJ1357" s="103">
        <f t="shared" si="314"/>
        <v>0.92382117406089315</v>
      </c>
      <c r="CK1357" s="57">
        <f t="shared" si="307"/>
        <v>5.6371684551408725</v>
      </c>
      <c r="CL1357" s="160">
        <f t="shared" si="319"/>
        <v>17.754861276034244</v>
      </c>
      <c r="CM1357" s="160">
        <v>-1.0170155211093046</v>
      </c>
      <c r="CN1357" s="160">
        <f>BJ1357/(10^CM1357)</f>
        <v>274.8482433231253</v>
      </c>
      <c r="CO1357" s="55" t="s">
        <v>892</v>
      </c>
      <c r="CP1357" s="497" t="s">
        <v>893</v>
      </c>
      <c r="CQ1357" s="149">
        <v>-0.606977785182086</v>
      </c>
      <c r="CR1357" s="349">
        <f>10^(CJ1357-CQ1357)</f>
        <v>33.946809186704073</v>
      </c>
      <c r="CS1357" s="61" t="s">
        <v>539</v>
      </c>
      <c r="CT1357" s="61"/>
      <c r="CU1357" s="111">
        <f t="shared" si="320"/>
        <v>17.041776425240705</v>
      </c>
      <c r="CV1357" s="331">
        <f t="shared" si="310"/>
        <v>5.4107640150139238</v>
      </c>
      <c r="CW1357" s="326">
        <f t="shared" si="315"/>
        <v>1</v>
      </c>
      <c r="CX1357" s="326" t="s">
        <v>539</v>
      </c>
      <c r="CY1357" s="161" t="s">
        <v>5921</v>
      </c>
    </row>
    <row r="1358" spans="1:103" ht="11.25" customHeight="1" x14ac:dyDescent="0.2">
      <c r="A1358" s="72">
        <v>212</v>
      </c>
      <c r="B1358" s="149">
        <v>224</v>
      </c>
      <c r="C1358" s="54" t="s">
        <v>1042</v>
      </c>
      <c r="D1358" s="54" t="s">
        <v>6628</v>
      </c>
      <c r="E1358" s="59"/>
      <c r="F1358" s="59" t="s">
        <v>1043</v>
      </c>
      <c r="G1358" s="151">
        <v>5598152</v>
      </c>
      <c r="H1358" s="55" t="s">
        <v>1044</v>
      </c>
      <c r="I1358" s="55" t="s">
        <v>8305</v>
      </c>
      <c r="J1358" s="55" t="s">
        <v>1045</v>
      </c>
      <c r="K1358" s="55" t="s">
        <v>1046</v>
      </c>
      <c r="L1358" s="55" t="s">
        <v>617</v>
      </c>
      <c r="M1358" s="55" t="s">
        <v>618</v>
      </c>
      <c r="N1358" s="60"/>
      <c r="O1358" s="55" t="s">
        <v>918</v>
      </c>
      <c r="P1358" s="67"/>
      <c r="Q1358" s="67"/>
      <c r="R1358" s="67"/>
      <c r="S1358" s="67"/>
      <c r="T1358" s="56">
        <v>334.52</v>
      </c>
      <c r="U1358" s="103"/>
      <c r="V1358" s="103">
        <v>25.97</v>
      </c>
      <c r="W1358" s="103">
        <v>118.69217496641555</v>
      </c>
      <c r="X1358" s="103">
        <v>118.69217496641555</v>
      </c>
      <c r="Y1358" s="162">
        <v>7</v>
      </c>
      <c r="Z1358" s="56">
        <v>2.89</v>
      </c>
      <c r="AA1358" s="56"/>
      <c r="AB1358" s="56">
        <v>3.25</v>
      </c>
      <c r="AC1358" s="56">
        <v>0.68079999999999996</v>
      </c>
      <c r="AD1358" s="56">
        <v>3.43</v>
      </c>
      <c r="AE1358" s="56">
        <v>3.73</v>
      </c>
      <c r="AF1358" s="56">
        <f t="shared" si="316"/>
        <v>3.43</v>
      </c>
      <c r="AG1358" s="57">
        <v>3.81</v>
      </c>
      <c r="AH1358" s="103">
        <v>5.4599999999999998E-9</v>
      </c>
      <c r="AI1358" s="103"/>
      <c r="AJ1358" s="62">
        <f t="shared" si="317"/>
        <v>-6.6513736836079147</v>
      </c>
      <c r="AK1358" s="62"/>
      <c r="AL1358" s="62">
        <f t="shared" si="318"/>
        <v>-6.6513736836079147</v>
      </c>
      <c r="AM1358" s="62">
        <v>-12.981439999999999</v>
      </c>
      <c r="AN1358" s="154">
        <v>-4.46</v>
      </c>
      <c r="AO1358" s="410"/>
      <c r="AP1358" s="410">
        <v>-5.28</v>
      </c>
      <c r="AQ1358" s="154" t="s">
        <v>6312</v>
      </c>
      <c r="AR1358" s="154" t="s">
        <v>6312</v>
      </c>
      <c r="AS1358" s="149" t="s">
        <v>63</v>
      </c>
      <c r="AT1358" s="58" t="s">
        <v>266</v>
      </c>
      <c r="AU1358" s="56">
        <v>8</v>
      </c>
      <c r="AV1358" s="56">
        <v>144</v>
      </c>
      <c r="AW1358" s="56">
        <v>120</v>
      </c>
      <c r="AX1358" s="56">
        <v>26</v>
      </c>
      <c r="AY1358" s="56" t="s">
        <v>267</v>
      </c>
      <c r="AZ1358" s="56" t="s">
        <v>268</v>
      </c>
      <c r="BA1358" s="56">
        <v>2</v>
      </c>
      <c r="BB1358" s="55" t="s">
        <v>888</v>
      </c>
      <c r="BC1358" s="55" t="s">
        <v>270</v>
      </c>
      <c r="BD1358" s="55" t="s">
        <v>8374</v>
      </c>
      <c r="BE1358" s="56" t="s">
        <v>889</v>
      </c>
      <c r="BF1358" s="56" t="s">
        <v>272</v>
      </c>
      <c r="BG1358" s="56" t="s">
        <v>272</v>
      </c>
      <c r="BH1358" s="56" t="s">
        <v>890</v>
      </c>
      <c r="BI1358" s="153">
        <v>3.3451999999999999E-4</v>
      </c>
      <c r="BJ1358" s="153">
        <v>26.761599999999998</v>
      </c>
      <c r="BK1358" s="56"/>
      <c r="BL1358" s="153">
        <v>43.622754807854605</v>
      </c>
      <c r="BM1358" s="56" t="s">
        <v>891</v>
      </c>
      <c r="BN1358" s="162"/>
      <c r="BO1358" s="162"/>
      <c r="BP1358" s="162"/>
      <c r="BQ1358" s="162"/>
      <c r="BR1358" s="162"/>
      <c r="BS1358" s="56">
        <v>0.18923308835401909</v>
      </c>
      <c r="BT1358" s="162"/>
      <c r="BU1358" s="158"/>
      <c r="BV1358" s="162"/>
      <c r="BW1358" s="162"/>
      <c r="BX1358" s="162"/>
      <c r="BY1358" s="162"/>
      <c r="BZ1358" s="162"/>
      <c r="CA1358" s="162"/>
      <c r="CB1358" s="162"/>
      <c r="CC1358" s="56"/>
      <c r="CD1358" s="56"/>
      <c r="CE1358" s="56"/>
      <c r="CF1358" s="56"/>
      <c r="CG1358" s="56"/>
      <c r="CH1358" s="56"/>
      <c r="CI1358" s="103">
        <v>0.18923308835401909</v>
      </c>
      <c r="CJ1358" s="103">
        <f t="shared" si="314"/>
        <v>-0.72300292272729461</v>
      </c>
      <c r="CK1358" s="57">
        <f t="shared" si="307"/>
        <v>1.6300503261335124</v>
      </c>
      <c r="CL1358" s="160">
        <f t="shared" si="319"/>
        <v>230.52392785687002</v>
      </c>
      <c r="CM1358" s="160"/>
      <c r="CN1358" s="160"/>
      <c r="CO1358" s="55" t="s">
        <v>892</v>
      </c>
      <c r="CP1358" s="497" t="s">
        <v>893</v>
      </c>
      <c r="CQ1358" s="149" t="s">
        <v>272</v>
      </c>
      <c r="CR1358" s="349"/>
      <c r="CS1358" s="61" t="s">
        <v>539</v>
      </c>
      <c r="CT1358" s="61"/>
      <c r="CU1358" s="111">
        <f t="shared" si="320"/>
        <v>627.22738395710735</v>
      </c>
      <c r="CV1358" s="331">
        <f t="shared" si="310"/>
        <v>4.435167365419689</v>
      </c>
      <c r="CW1358" s="326">
        <f t="shared" si="315"/>
        <v>1</v>
      </c>
      <c r="CX1358" s="326" t="s">
        <v>539</v>
      </c>
      <c r="CY1358" s="161" t="s">
        <v>5921</v>
      </c>
    </row>
    <row r="1359" spans="1:103" ht="11.25" customHeight="1" x14ac:dyDescent="0.2">
      <c r="A1359" s="72">
        <v>219</v>
      </c>
      <c r="B1359" s="149">
        <v>356</v>
      </c>
      <c r="C1359" s="54" t="s">
        <v>1293</v>
      </c>
      <c r="D1359" s="54"/>
      <c r="E1359" s="59"/>
      <c r="F1359" s="59" t="s">
        <v>1294</v>
      </c>
      <c r="G1359" s="151">
        <v>6734801</v>
      </c>
      <c r="H1359" s="55" t="s">
        <v>1295</v>
      </c>
      <c r="I1359" s="55" t="s">
        <v>1295</v>
      </c>
      <c r="J1359" s="55" t="s">
        <v>1296</v>
      </c>
      <c r="K1359" s="55" t="s">
        <v>1297</v>
      </c>
      <c r="L1359" s="55"/>
      <c r="M1359" s="55"/>
      <c r="N1359" s="60"/>
      <c r="O1359" s="55"/>
      <c r="P1359" s="67"/>
      <c r="Q1359" s="67"/>
      <c r="R1359" s="67"/>
      <c r="S1359" s="67"/>
      <c r="T1359" s="56">
        <v>107.2</v>
      </c>
      <c r="U1359" s="103"/>
      <c r="V1359" s="103">
        <v>440400</v>
      </c>
      <c r="W1359" s="103">
        <v>19063.15527561725</v>
      </c>
      <c r="X1359" s="103">
        <v>19063.15527561725</v>
      </c>
      <c r="Y1359" s="162">
        <v>1.98</v>
      </c>
      <c r="Z1359" s="56">
        <v>0.48</v>
      </c>
      <c r="AA1359" s="56"/>
      <c r="AB1359" s="56">
        <v>0.78</v>
      </c>
      <c r="AC1359" s="56">
        <v>0.66080000000000005</v>
      </c>
      <c r="AD1359" s="56">
        <v>0.78</v>
      </c>
      <c r="AE1359" s="56">
        <v>0.78</v>
      </c>
      <c r="AF1359" s="56">
        <f t="shared" si="316"/>
        <v>0.78</v>
      </c>
      <c r="AG1359" s="57">
        <v>0.78</v>
      </c>
      <c r="AH1359" s="103">
        <v>1.7699999999999999E-4</v>
      </c>
      <c r="AI1359" s="103"/>
      <c r="AJ1359" s="62">
        <f t="shared" si="317"/>
        <v>-2.1405930599508451</v>
      </c>
      <c r="AK1359" s="62"/>
      <c r="AL1359" s="62">
        <f t="shared" si="318"/>
        <v>-2.1405930599508451</v>
      </c>
      <c r="AM1359" s="62">
        <v>-6.0241499999999997</v>
      </c>
      <c r="AN1359" s="154"/>
      <c r="AO1359" s="410">
        <v>4.63</v>
      </c>
      <c r="AP1359" s="410">
        <v>0.87</v>
      </c>
      <c r="AQ1359" s="154" t="s">
        <v>6311</v>
      </c>
      <c r="AR1359" s="154" t="s">
        <v>6311</v>
      </c>
      <c r="AS1359" s="149" t="s">
        <v>155</v>
      </c>
      <c r="AT1359" s="58" t="s">
        <v>266</v>
      </c>
      <c r="AU1359" s="56">
        <v>8</v>
      </c>
      <c r="AV1359" s="56">
        <v>144</v>
      </c>
      <c r="AW1359" s="56">
        <v>120</v>
      </c>
      <c r="AX1359" s="56">
        <v>26</v>
      </c>
      <c r="AY1359" s="56" t="s">
        <v>267</v>
      </c>
      <c r="AZ1359" s="56" t="s">
        <v>268</v>
      </c>
      <c r="BA1359" s="56">
        <v>3</v>
      </c>
      <c r="BB1359" s="55" t="s">
        <v>888</v>
      </c>
      <c r="BC1359" s="55" t="s">
        <v>270</v>
      </c>
      <c r="BD1359" s="55" t="s">
        <v>8374</v>
      </c>
      <c r="BE1359" s="56" t="s">
        <v>889</v>
      </c>
      <c r="BF1359" s="56" t="s">
        <v>272</v>
      </c>
      <c r="BG1359" s="56" t="s">
        <v>272</v>
      </c>
      <c r="BH1359" s="56" t="s">
        <v>890</v>
      </c>
      <c r="BI1359" s="153">
        <v>1.072E-4</v>
      </c>
      <c r="BJ1359" s="153">
        <v>8.5760000000000005</v>
      </c>
      <c r="BK1359" s="56"/>
      <c r="BL1359" s="153">
        <v>2041.2997639905418</v>
      </c>
      <c r="BM1359" s="56" t="s">
        <v>891</v>
      </c>
      <c r="BN1359" s="162"/>
      <c r="BO1359" s="162"/>
      <c r="BP1359" s="162"/>
      <c r="BQ1359" s="162"/>
      <c r="BR1359" s="162"/>
      <c r="BS1359" s="56">
        <v>5.1295200000000003</v>
      </c>
      <c r="BT1359" s="162"/>
      <c r="BU1359" s="158"/>
      <c r="BV1359" s="162"/>
      <c r="BW1359" s="162"/>
      <c r="BX1359" s="162"/>
      <c r="BY1359" s="162"/>
      <c r="BZ1359" s="162"/>
      <c r="CA1359" s="162"/>
      <c r="CB1359" s="162"/>
      <c r="CC1359" s="56"/>
      <c r="CD1359" s="56"/>
      <c r="CE1359" s="56"/>
      <c r="CF1359" s="56"/>
      <c r="CG1359" s="56"/>
      <c r="CH1359" s="56"/>
      <c r="CI1359" s="103">
        <v>5.1295200000000003</v>
      </c>
      <c r="CJ1359" s="103">
        <f t="shared" si="314"/>
        <v>0.71007672746961359</v>
      </c>
      <c r="CK1359" s="57">
        <f t="shared" si="307"/>
        <v>238.02469262949413</v>
      </c>
      <c r="CL1359" s="160">
        <f t="shared" si="319"/>
        <v>397.95141923426394</v>
      </c>
      <c r="CM1359" s="160"/>
      <c r="CN1359" s="160"/>
      <c r="CO1359" s="55" t="s">
        <v>892</v>
      </c>
      <c r="CP1359" s="497" t="s">
        <v>893</v>
      </c>
      <c r="CQ1359" s="149" t="s">
        <v>272</v>
      </c>
      <c r="CR1359" s="349"/>
      <c r="CS1359" s="61" t="s">
        <v>539</v>
      </c>
      <c r="CT1359" s="61"/>
      <c r="CU1359" s="111">
        <f t="shared" si="320"/>
        <v>3716.3624034251252</v>
      </c>
      <c r="CV1359" s="331">
        <f t="shared" si="310"/>
        <v>2222.8492625486529</v>
      </c>
      <c r="CW1359" s="326">
        <f t="shared" si="315"/>
        <v>1</v>
      </c>
      <c r="CX1359" s="326" t="s">
        <v>539</v>
      </c>
      <c r="CY1359" s="161" t="s">
        <v>5921</v>
      </c>
    </row>
    <row r="1360" spans="1:103" ht="11.25" customHeight="1" x14ac:dyDescent="0.2">
      <c r="A1360" s="72">
        <v>224</v>
      </c>
      <c r="B1360" s="149">
        <v>458</v>
      </c>
      <c r="C1360" s="54" t="s">
        <v>1495</v>
      </c>
      <c r="D1360" s="54" t="s">
        <v>6514</v>
      </c>
      <c r="E1360" s="59"/>
      <c r="F1360" s="59" t="s">
        <v>1496</v>
      </c>
      <c r="G1360" s="151">
        <v>28249776</v>
      </c>
      <c r="H1360" s="55" t="s">
        <v>1497</v>
      </c>
      <c r="I1360" s="55" t="s">
        <v>8114</v>
      </c>
      <c r="J1360" s="55" t="s">
        <v>1498</v>
      </c>
      <c r="K1360" s="55" t="s">
        <v>1499</v>
      </c>
      <c r="L1360" s="55" t="s">
        <v>5248</v>
      </c>
      <c r="M1360" s="55" t="s">
        <v>6082</v>
      </c>
      <c r="N1360" s="60" t="s">
        <v>6082</v>
      </c>
      <c r="O1360" s="55" t="s">
        <v>6083</v>
      </c>
      <c r="P1360" s="67"/>
      <c r="Q1360" s="67"/>
      <c r="R1360" s="67"/>
      <c r="S1360" s="67"/>
      <c r="T1360" s="56">
        <v>257.77999999999997</v>
      </c>
      <c r="U1360" s="103">
        <v>28</v>
      </c>
      <c r="V1360" s="103">
        <v>26.73</v>
      </c>
      <c r="W1360" s="103">
        <v>23.509815416916627</v>
      </c>
      <c r="X1360" s="103">
        <v>28</v>
      </c>
      <c r="Y1360" s="162">
        <v>7</v>
      </c>
      <c r="Z1360" s="56">
        <v>3.9</v>
      </c>
      <c r="AA1360" s="56">
        <v>3.4</v>
      </c>
      <c r="AB1360" s="56">
        <v>3.23</v>
      </c>
      <c r="AC1360" s="56">
        <v>0.86609999999999998</v>
      </c>
      <c r="AD1360" s="56">
        <v>3.3</v>
      </c>
      <c r="AE1360" s="56">
        <v>3.53</v>
      </c>
      <c r="AF1360" s="56">
        <f t="shared" si="316"/>
        <v>3.4</v>
      </c>
      <c r="AG1360" s="57">
        <v>3.65</v>
      </c>
      <c r="AH1360" s="103">
        <v>3.9299999999999999E-7</v>
      </c>
      <c r="AI1360" s="103">
        <v>2.67E-7</v>
      </c>
      <c r="AJ1360" s="62">
        <f t="shared" si="317"/>
        <v>-4.7941737759372254</v>
      </c>
      <c r="AK1360" s="62">
        <f>LOG10(AI1360*1000/(0.08206*298.15))</f>
        <v>-4.9620550649480766</v>
      </c>
      <c r="AL1360" s="62">
        <f t="shared" si="318"/>
        <v>-4.9620550649480766</v>
      </c>
      <c r="AM1360" s="62">
        <v>-10.805289999999999</v>
      </c>
      <c r="AN1360" s="154">
        <v>-5.23</v>
      </c>
      <c r="AO1360" s="410"/>
      <c r="AP1360" s="410">
        <v>-1.26</v>
      </c>
      <c r="AQ1360" s="154" t="s">
        <v>6311</v>
      </c>
      <c r="AR1360" s="154" t="s">
        <v>6311</v>
      </c>
      <c r="AS1360" s="149" t="s">
        <v>6</v>
      </c>
      <c r="AT1360" s="58" t="s">
        <v>266</v>
      </c>
      <c r="AU1360" s="56">
        <v>8</v>
      </c>
      <c r="AV1360" s="56">
        <v>144</v>
      </c>
      <c r="AW1360" s="56">
        <v>120</v>
      </c>
      <c r="AX1360" s="56">
        <v>26</v>
      </c>
      <c r="AY1360" s="56" t="s">
        <v>267</v>
      </c>
      <c r="AZ1360" s="56" t="s">
        <v>268</v>
      </c>
      <c r="BA1360" s="56">
        <v>4</v>
      </c>
      <c r="BB1360" s="55" t="s">
        <v>888</v>
      </c>
      <c r="BC1360" s="55" t="s">
        <v>270</v>
      </c>
      <c r="BD1360" s="55" t="s">
        <v>8374</v>
      </c>
      <c r="BE1360" s="56" t="s">
        <v>889</v>
      </c>
      <c r="BF1360" s="56" t="s">
        <v>272</v>
      </c>
      <c r="BG1360" s="56" t="s">
        <v>272</v>
      </c>
      <c r="BH1360" s="56" t="s">
        <v>890</v>
      </c>
      <c r="BI1360" s="153">
        <v>2.5777999999999993E-4</v>
      </c>
      <c r="BJ1360" s="153">
        <v>20.622399999999999</v>
      </c>
      <c r="BK1360" s="56"/>
      <c r="BL1360" s="153">
        <v>4.1635062348754595</v>
      </c>
      <c r="BM1360" s="56" t="s">
        <v>891</v>
      </c>
      <c r="BN1360" s="162"/>
      <c r="BO1360" s="162"/>
      <c r="BP1360" s="162"/>
      <c r="BQ1360" s="162"/>
      <c r="BR1360" s="162"/>
      <c r="BS1360" s="172">
        <v>5.7098269999999989</v>
      </c>
      <c r="BT1360" s="162"/>
      <c r="BU1360" s="173"/>
      <c r="BV1360" s="162"/>
      <c r="BW1360" s="162"/>
      <c r="BX1360" s="162"/>
      <c r="BY1360" s="162"/>
      <c r="BZ1360" s="162"/>
      <c r="CA1360" s="162"/>
      <c r="CB1360" s="162"/>
      <c r="CC1360" s="172"/>
      <c r="CD1360" s="56"/>
      <c r="CE1360" s="56"/>
      <c r="CF1360" s="56"/>
      <c r="CG1360" s="56"/>
      <c r="CH1360" s="172"/>
      <c r="CI1360" s="103">
        <v>5.7098269999999989</v>
      </c>
      <c r="CJ1360" s="103">
        <f t="shared" si="314"/>
        <v>0.75662294991247303</v>
      </c>
      <c r="CK1360" s="57">
        <f t="shared" si="307"/>
        <v>0.20189241964443808</v>
      </c>
      <c r="CL1360" s="160">
        <f t="shared" si="319"/>
        <v>0.72918255402054388</v>
      </c>
      <c r="CM1360" s="160">
        <v>4.6957347163459173E-2</v>
      </c>
      <c r="CN1360" s="160">
        <f>BJ1360/(10^CM1360)</f>
        <v>18.508953279801659</v>
      </c>
      <c r="CO1360" s="55" t="s">
        <v>892</v>
      </c>
      <c r="CP1360" s="497" t="s">
        <v>893</v>
      </c>
      <c r="CQ1360" s="149">
        <v>9.199816145200479E-2</v>
      </c>
      <c r="CR1360" s="349">
        <f>10^(CJ1360-CQ1360)</f>
        <v>4.6198171682716191</v>
      </c>
      <c r="CS1360" s="61" t="s">
        <v>539</v>
      </c>
      <c r="CT1360" s="61"/>
      <c r="CU1360" s="111">
        <f t="shared" si="320"/>
        <v>4.903826333092054</v>
      </c>
      <c r="CV1360" s="331">
        <f t="shared" si="310"/>
        <v>1.3577469159748623</v>
      </c>
      <c r="CW1360" s="326">
        <f t="shared" si="315"/>
        <v>1</v>
      </c>
      <c r="CX1360" s="326" t="s">
        <v>539</v>
      </c>
      <c r="CY1360" s="161" t="s">
        <v>5921</v>
      </c>
    </row>
    <row r="1361" spans="1:103" ht="11.25" customHeight="1" x14ac:dyDescent="0.2">
      <c r="A1361" s="72">
        <v>262</v>
      </c>
      <c r="B1361" s="149">
        <v>276</v>
      </c>
      <c r="C1361" s="54" t="s">
        <v>1127</v>
      </c>
      <c r="D1361" s="54" t="s">
        <v>6575</v>
      </c>
      <c r="E1361" s="59"/>
      <c r="F1361" s="59" t="s">
        <v>1128</v>
      </c>
      <c r="G1361" s="151">
        <v>97886458</v>
      </c>
      <c r="H1361" s="55" t="s">
        <v>1129</v>
      </c>
      <c r="I1361" s="55" t="s">
        <v>1129</v>
      </c>
      <c r="J1361" s="55" t="s">
        <v>1130</v>
      </c>
      <c r="K1361" s="55" t="s">
        <v>357</v>
      </c>
      <c r="L1361" s="55" t="s">
        <v>5975</v>
      </c>
      <c r="M1361" s="55" t="s">
        <v>6082</v>
      </c>
      <c r="N1361" s="60" t="s">
        <v>6082</v>
      </c>
      <c r="O1361" s="55" t="s">
        <v>6083</v>
      </c>
      <c r="P1361" s="67">
        <v>3</v>
      </c>
      <c r="Q1361" s="67" t="s">
        <v>6173</v>
      </c>
      <c r="R1361" s="67">
        <v>1</v>
      </c>
      <c r="S1361" s="67" t="s">
        <v>6173</v>
      </c>
      <c r="T1361" s="56">
        <v>401.42</v>
      </c>
      <c r="U1361" s="103">
        <v>1.4</v>
      </c>
      <c r="V1361" s="103">
        <v>0.26350000000000001</v>
      </c>
      <c r="W1361" s="103">
        <v>0.33388661299603339</v>
      </c>
      <c r="X1361" s="103">
        <v>1.4</v>
      </c>
      <c r="Y1361" s="162">
        <v>7</v>
      </c>
      <c r="Z1361" s="56">
        <v>4.46</v>
      </c>
      <c r="AA1361" s="56">
        <v>4.75</v>
      </c>
      <c r="AB1361" s="56">
        <v>3.79</v>
      </c>
      <c r="AC1361" s="56">
        <v>0.67700000000000005</v>
      </c>
      <c r="AD1361" s="56">
        <v>4.51</v>
      </c>
      <c r="AE1361" s="56">
        <v>5.88</v>
      </c>
      <c r="AF1361" s="56">
        <f t="shared" si="316"/>
        <v>4.75</v>
      </c>
      <c r="AG1361" s="57">
        <v>4.6900000000000004</v>
      </c>
      <c r="AH1361" s="103">
        <v>3.6300000000000001E-9</v>
      </c>
      <c r="AI1361" s="103"/>
      <c r="AJ1361" s="62">
        <f t="shared" si="317"/>
        <v>-6.8286597012765391</v>
      </c>
      <c r="AK1361" s="62"/>
      <c r="AL1361" s="62">
        <f t="shared" si="318"/>
        <v>-6.8286597012765391</v>
      </c>
      <c r="AM1361" s="62">
        <v>-12.00319</v>
      </c>
      <c r="AN1361" s="154">
        <v>-5.0999999999999996</v>
      </c>
      <c r="AO1361" s="410"/>
      <c r="AP1361" s="410">
        <v>-7.1</v>
      </c>
      <c r="AQ1361" s="154" t="s">
        <v>6311</v>
      </c>
      <c r="AR1361" s="154" t="s">
        <v>6311</v>
      </c>
      <c r="AS1361" s="149" t="s">
        <v>6</v>
      </c>
      <c r="AT1361" s="58" t="s">
        <v>266</v>
      </c>
      <c r="AU1361" s="56">
        <v>8</v>
      </c>
      <c r="AV1361" s="56">
        <v>144</v>
      </c>
      <c r="AW1361" s="56">
        <v>120</v>
      </c>
      <c r="AX1361" s="56">
        <v>26</v>
      </c>
      <c r="AY1361" s="56" t="s">
        <v>267</v>
      </c>
      <c r="AZ1361" s="56" t="s">
        <v>268</v>
      </c>
      <c r="BA1361" s="56">
        <v>3</v>
      </c>
      <c r="BB1361" s="55" t="s">
        <v>888</v>
      </c>
      <c r="BC1361" s="55" t="s">
        <v>270</v>
      </c>
      <c r="BD1361" s="55" t="s">
        <v>8374</v>
      </c>
      <c r="BE1361" s="56" t="s">
        <v>889</v>
      </c>
      <c r="BF1361" s="56" t="s">
        <v>272</v>
      </c>
      <c r="BG1361" s="56" t="s">
        <v>272</v>
      </c>
      <c r="BH1361" s="56" t="s">
        <v>890</v>
      </c>
      <c r="BI1361" s="153">
        <v>4.0141999999999999E-4</v>
      </c>
      <c r="BJ1361" s="153">
        <v>32.113600000000005</v>
      </c>
      <c r="BK1361" s="56"/>
      <c r="BL1361" s="153">
        <v>2.0364465069778408</v>
      </c>
      <c r="BM1361" s="56" t="s">
        <v>891</v>
      </c>
      <c r="BN1361" s="162"/>
      <c r="BO1361" s="162"/>
      <c r="BP1361" s="162"/>
      <c r="BQ1361" s="162"/>
      <c r="BR1361" s="162"/>
      <c r="BS1361" s="56">
        <v>6.1858822</v>
      </c>
      <c r="BT1361" s="162"/>
      <c r="BU1361" s="158"/>
      <c r="BV1361" s="162"/>
      <c r="BW1361" s="162"/>
      <c r="BX1361" s="162"/>
      <c r="BY1361" s="162"/>
      <c r="BZ1361" s="162"/>
      <c r="CA1361" s="162"/>
      <c r="CB1361" s="162"/>
      <c r="CC1361" s="56"/>
      <c r="CD1361" s="56"/>
      <c r="CE1361" s="56"/>
      <c r="CF1361" s="56"/>
      <c r="CG1361" s="56"/>
      <c r="CH1361" s="56"/>
      <c r="CI1361" s="103">
        <v>6.1858822</v>
      </c>
      <c r="CJ1361" s="103">
        <f t="shared" si="314"/>
        <v>0.79140164531845447</v>
      </c>
      <c r="CK1361" s="57">
        <f t="shared" si="307"/>
        <v>6.3413834231535557E-2</v>
      </c>
      <c r="CL1361" s="160">
        <f t="shared" si="319"/>
        <v>0.3292087435770828</v>
      </c>
      <c r="CM1361" s="160">
        <v>-0.33724216831842646</v>
      </c>
      <c r="CN1361" s="160">
        <f>BJ1361/(10^CM1361)</f>
        <v>69.812173913043566</v>
      </c>
      <c r="CO1361" s="55" t="s">
        <v>892</v>
      </c>
      <c r="CP1361" s="497" t="s">
        <v>893</v>
      </c>
      <c r="CQ1361" s="149">
        <v>-0.33257215519135425</v>
      </c>
      <c r="CR1361" s="349">
        <f>10^(CJ1361-CQ1361)</f>
        <v>13.303741586666359</v>
      </c>
      <c r="CS1361" s="61" t="s">
        <v>539</v>
      </c>
      <c r="CT1361" s="61"/>
      <c r="CU1361" s="111">
        <f t="shared" si="320"/>
        <v>0.22632180095508445</v>
      </c>
      <c r="CV1361" s="331">
        <f t="shared" si="310"/>
        <v>4.3595236908973135E-2</v>
      </c>
      <c r="CW1361" s="326">
        <f t="shared" si="315"/>
        <v>0</v>
      </c>
      <c r="CX1361" s="326" t="s">
        <v>539</v>
      </c>
      <c r="CY1361" s="161" t="s">
        <v>5921</v>
      </c>
    </row>
    <row r="1362" spans="1:103" ht="11.25" customHeight="1" x14ac:dyDescent="0.2">
      <c r="A1362" s="72">
        <v>263</v>
      </c>
      <c r="B1362" s="149">
        <v>300</v>
      </c>
      <c r="C1362" s="54" t="s">
        <v>1181</v>
      </c>
      <c r="D1362" s="54" t="s">
        <v>6430</v>
      </c>
      <c r="E1362" s="59"/>
      <c r="F1362" s="59" t="s">
        <v>1182</v>
      </c>
      <c r="G1362" s="151">
        <v>55389</v>
      </c>
      <c r="H1362" s="55" t="s">
        <v>1183</v>
      </c>
      <c r="I1362" s="55" t="s">
        <v>1183</v>
      </c>
      <c r="J1362" s="55" t="s">
        <v>1184</v>
      </c>
      <c r="K1362" s="55" t="s">
        <v>628</v>
      </c>
      <c r="L1362" s="55" t="s">
        <v>617</v>
      </c>
      <c r="M1362" s="55" t="s">
        <v>946</v>
      </c>
      <c r="N1362" s="60" t="s">
        <v>6376</v>
      </c>
      <c r="O1362" s="55" t="s">
        <v>918</v>
      </c>
      <c r="P1362" s="67">
        <v>3</v>
      </c>
      <c r="Q1362" s="67" t="s">
        <v>6173</v>
      </c>
      <c r="R1362" s="67">
        <v>1</v>
      </c>
      <c r="S1362" s="67" t="s">
        <v>6173</v>
      </c>
      <c r="T1362" s="56">
        <v>278.33</v>
      </c>
      <c r="U1362" s="103">
        <v>7.5</v>
      </c>
      <c r="V1362" s="103">
        <v>5.266</v>
      </c>
      <c r="W1362" s="103">
        <v>20.632887946128402</v>
      </c>
      <c r="X1362" s="103">
        <v>7.5</v>
      </c>
      <c r="Y1362" s="162">
        <v>7</v>
      </c>
      <c r="Z1362" s="56">
        <v>4.08</v>
      </c>
      <c r="AA1362" s="56">
        <v>4.09</v>
      </c>
      <c r="AB1362" s="56">
        <v>3.95</v>
      </c>
      <c r="AC1362" s="56">
        <v>0.90920000000000001</v>
      </c>
      <c r="AD1362" s="56">
        <v>3.8</v>
      </c>
      <c r="AE1362" s="56">
        <v>3.21</v>
      </c>
      <c r="AF1362" s="56">
        <f t="shared" si="316"/>
        <v>4.09</v>
      </c>
      <c r="AG1362" s="57">
        <v>3.76</v>
      </c>
      <c r="AH1362" s="103">
        <v>1.37E-6</v>
      </c>
      <c r="AI1362" s="103">
        <v>1.46E-6</v>
      </c>
      <c r="AJ1362" s="62">
        <f t="shared" si="317"/>
        <v>-4.2518457591562449</v>
      </c>
      <c r="AK1362" s="62">
        <f t="shared" ref="AK1362:AK1369" si="323">LOG10(AI1362*1000/(0.08206*298.15))</f>
        <v>-4.2242134705282144</v>
      </c>
      <c r="AL1362" s="62">
        <f t="shared" si="318"/>
        <v>-4.2242134705282144</v>
      </c>
      <c r="AM1362" s="62">
        <v>-10.03593</v>
      </c>
      <c r="AN1362" s="154">
        <v>-4.05</v>
      </c>
      <c r="AO1362" s="410"/>
      <c r="AP1362" s="410"/>
      <c r="AQ1362" s="154" t="s">
        <v>6312</v>
      </c>
      <c r="AR1362" s="154" t="s">
        <v>6312</v>
      </c>
      <c r="AS1362" s="149" t="s">
        <v>6</v>
      </c>
      <c r="AT1362" s="58" t="s">
        <v>266</v>
      </c>
      <c r="AU1362" s="56">
        <v>8</v>
      </c>
      <c r="AV1362" s="56">
        <v>144</v>
      </c>
      <c r="AW1362" s="56">
        <v>120</v>
      </c>
      <c r="AX1362" s="56">
        <v>26</v>
      </c>
      <c r="AY1362" s="56" t="s">
        <v>267</v>
      </c>
      <c r="AZ1362" s="56" t="s">
        <v>268</v>
      </c>
      <c r="BA1362" s="56">
        <v>2</v>
      </c>
      <c r="BB1362" s="55" t="s">
        <v>888</v>
      </c>
      <c r="BC1362" s="55" t="s">
        <v>270</v>
      </c>
      <c r="BD1362" s="55" t="s">
        <v>8374</v>
      </c>
      <c r="BE1362" s="56" t="s">
        <v>889</v>
      </c>
      <c r="BF1362" s="56" t="s">
        <v>272</v>
      </c>
      <c r="BG1362" s="56" t="s">
        <v>272</v>
      </c>
      <c r="BH1362" s="56" t="s">
        <v>890</v>
      </c>
      <c r="BI1362" s="153">
        <v>2.7832999999999997E-4</v>
      </c>
      <c r="BJ1362" s="153">
        <v>22.266400000000001</v>
      </c>
      <c r="BK1362" s="56"/>
      <c r="BL1362" s="153">
        <v>3.09821833406781</v>
      </c>
      <c r="BM1362" s="56" t="s">
        <v>891</v>
      </c>
      <c r="BN1362" s="162"/>
      <c r="BO1362" s="162"/>
      <c r="BP1362" s="162"/>
      <c r="BQ1362" s="162"/>
      <c r="BR1362" s="162"/>
      <c r="BS1362" s="56">
        <v>4.2808855072833332</v>
      </c>
      <c r="BT1362" s="162"/>
      <c r="BU1362" s="158"/>
      <c r="BV1362" s="162"/>
      <c r="BW1362" s="162"/>
      <c r="BX1362" s="162"/>
      <c r="BY1362" s="162"/>
      <c r="BZ1362" s="162"/>
      <c r="CA1362" s="162"/>
      <c r="CB1362" s="162"/>
      <c r="CC1362" s="56"/>
      <c r="CD1362" s="56"/>
      <c r="CE1362" s="56"/>
      <c r="CF1362" s="56"/>
      <c r="CG1362" s="56"/>
      <c r="CH1362" s="56"/>
      <c r="CI1362" s="103">
        <v>4.2808855072833332</v>
      </c>
      <c r="CJ1362" s="103">
        <f t="shared" si="314"/>
        <v>0.63153361273970732</v>
      </c>
      <c r="CK1362" s="57">
        <f t="shared" si="307"/>
        <v>0.1391432083348817</v>
      </c>
      <c r="CL1362" s="160">
        <f t="shared" si="319"/>
        <v>0.72373305214461381</v>
      </c>
      <c r="CM1362" s="160">
        <v>-0.11339667824661508</v>
      </c>
      <c r="CN1362" s="160">
        <f>BJ1362/(10^CM1362)</f>
        <v>28.909906350610139</v>
      </c>
      <c r="CO1362" s="55" t="s">
        <v>892</v>
      </c>
      <c r="CP1362" s="497" t="s">
        <v>893</v>
      </c>
      <c r="CQ1362" s="149">
        <v>0.23096654631797453</v>
      </c>
      <c r="CR1362" s="349">
        <f>10^(CJ1362-CQ1362)</f>
        <v>2.5151683907603823</v>
      </c>
      <c r="CS1362" s="61" t="s">
        <v>539</v>
      </c>
      <c r="CT1362" s="61"/>
      <c r="CU1362" s="111">
        <f t="shared" si="320"/>
        <v>1.7519739753001546</v>
      </c>
      <c r="CV1362" s="331">
        <f t="shared" si="310"/>
        <v>0.33683038120217007</v>
      </c>
      <c r="CW1362" s="326">
        <f t="shared" si="315"/>
        <v>0</v>
      </c>
      <c r="CX1362" s="326" t="s">
        <v>539</v>
      </c>
      <c r="CY1362" s="161" t="s">
        <v>5921</v>
      </c>
    </row>
    <row r="1363" spans="1:103" ht="11.25" customHeight="1" x14ac:dyDescent="0.2">
      <c r="A1363" s="72">
        <v>264</v>
      </c>
      <c r="B1363" s="149">
        <v>191</v>
      </c>
      <c r="C1363" s="54" t="s">
        <v>941</v>
      </c>
      <c r="D1363" s="54"/>
      <c r="E1363" s="59"/>
      <c r="F1363" s="59" t="s">
        <v>942</v>
      </c>
      <c r="G1363" s="151">
        <v>35575963</v>
      </c>
      <c r="H1363" s="55" t="s">
        <v>943</v>
      </c>
      <c r="I1363" s="55" t="s">
        <v>8121</v>
      </c>
      <c r="J1363" s="55" t="s">
        <v>944</v>
      </c>
      <c r="K1363" s="55" t="s">
        <v>945</v>
      </c>
      <c r="L1363" s="55" t="s">
        <v>617</v>
      </c>
      <c r="M1363" s="55" t="s">
        <v>946</v>
      </c>
      <c r="N1363" s="60"/>
      <c r="O1363" s="55" t="s">
        <v>918</v>
      </c>
      <c r="P1363" s="67">
        <v>3</v>
      </c>
      <c r="Q1363" s="67" t="s">
        <v>6173</v>
      </c>
      <c r="R1363" s="67">
        <v>1</v>
      </c>
      <c r="S1363" s="67" t="s">
        <v>6173</v>
      </c>
      <c r="T1363" s="56">
        <v>324.68</v>
      </c>
      <c r="U1363" s="103">
        <v>1100</v>
      </c>
      <c r="V1363" s="103">
        <v>1115</v>
      </c>
      <c r="W1363" s="103">
        <v>2520.3191382700356</v>
      </c>
      <c r="X1363" s="103">
        <v>1100</v>
      </c>
      <c r="Y1363" s="162">
        <v>7.01</v>
      </c>
      <c r="Z1363" s="56">
        <v>1</v>
      </c>
      <c r="AA1363" s="56">
        <v>1.05</v>
      </c>
      <c r="AB1363" s="56">
        <v>1.73</v>
      </c>
      <c r="AC1363" s="56">
        <v>0.75849999999999995</v>
      </c>
      <c r="AD1363" s="56">
        <v>1.52</v>
      </c>
      <c r="AE1363" s="56">
        <v>0.82</v>
      </c>
      <c r="AF1363" s="56">
        <f t="shared" si="316"/>
        <v>1.05</v>
      </c>
      <c r="AG1363" s="57">
        <v>1.8</v>
      </c>
      <c r="AH1363" s="103">
        <v>6.3300000000000003E-13</v>
      </c>
      <c r="AI1363" s="103">
        <v>1.43E-11</v>
      </c>
      <c r="AJ1363" s="62">
        <f t="shared" si="317"/>
        <v>-10.587162616295297</v>
      </c>
      <c r="AK1363" s="62">
        <f t="shared" si="323"/>
        <v>-9.2332302888475901</v>
      </c>
      <c r="AL1363" s="62">
        <f t="shared" si="318"/>
        <v>-9.2332302888475901</v>
      </c>
      <c r="AM1363" s="62">
        <v>-17.02599</v>
      </c>
      <c r="AN1363" s="154">
        <v>-11.6</v>
      </c>
      <c r="AO1363" s="410"/>
      <c r="AP1363" s="410">
        <v>0.94</v>
      </c>
      <c r="AQ1363" s="154" t="s">
        <v>6314</v>
      </c>
      <c r="AR1363" s="154" t="s">
        <v>6312</v>
      </c>
      <c r="AS1363" s="149" t="s">
        <v>6</v>
      </c>
      <c r="AT1363" s="58" t="s">
        <v>266</v>
      </c>
      <c r="AU1363" s="56">
        <v>8</v>
      </c>
      <c r="AV1363" s="56">
        <v>144</v>
      </c>
      <c r="AW1363" s="56">
        <v>120</v>
      </c>
      <c r="AX1363" s="56">
        <v>26</v>
      </c>
      <c r="AY1363" s="56" t="s">
        <v>267</v>
      </c>
      <c r="AZ1363" s="56" t="s">
        <v>268</v>
      </c>
      <c r="BA1363" s="56">
        <v>2</v>
      </c>
      <c r="BB1363" s="55" t="s">
        <v>888</v>
      </c>
      <c r="BC1363" s="55" t="s">
        <v>270</v>
      </c>
      <c r="BD1363" s="55" t="s">
        <v>8374</v>
      </c>
      <c r="BE1363" s="56" t="s">
        <v>889</v>
      </c>
      <c r="BF1363" s="56" t="s">
        <v>272</v>
      </c>
      <c r="BG1363" s="56" t="s">
        <v>272</v>
      </c>
      <c r="BH1363" s="56" t="s">
        <v>890</v>
      </c>
      <c r="BI1363" s="153">
        <v>3.2467999999999999E-4</v>
      </c>
      <c r="BJ1363" s="153">
        <v>25.974400000000003</v>
      </c>
      <c r="BK1363" s="56"/>
      <c r="BL1363" s="153">
        <v>2109.3834647455174</v>
      </c>
      <c r="BM1363" s="56" t="s">
        <v>891</v>
      </c>
      <c r="BN1363" s="162"/>
      <c r="BO1363" s="162"/>
      <c r="BP1363" s="162"/>
      <c r="BQ1363" s="162"/>
      <c r="BR1363" s="162"/>
      <c r="BS1363" s="56">
        <v>8.6494751999999995</v>
      </c>
      <c r="BT1363" s="162"/>
      <c r="BU1363" s="158"/>
      <c r="BV1363" s="162"/>
      <c r="BW1363" s="162"/>
      <c r="BX1363" s="162"/>
      <c r="BY1363" s="162"/>
      <c r="BZ1363" s="162"/>
      <c r="CA1363" s="162"/>
      <c r="CB1363" s="162"/>
      <c r="CC1363" s="56"/>
      <c r="CD1363" s="56"/>
      <c r="CE1363" s="56"/>
      <c r="CF1363" s="56"/>
      <c r="CG1363" s="56"/>
      <c r="CH1363" s="56"/>
      <c r="CI1363" s="103">
        <v>8.6494751999999995</v>
      </c>
      <c r="CJ1363" s="103">
        <f t="shared" si="314"/>
        <v>0.93698975779333138</v>
      </c>
      <c r="CK1363" s="57">
        <f t="shared" si="307"/>
        <v>81.21009396734928</v>
      </c>
      <c r="CL1363" s="160">
        <f t="shared" si="319"/>
        <v>243.874156058106</v>
      </c>
      <c r="CM1363" s="160"/>
      <c r="CN1363" s="160"/>
      <c r="CO1363" s="55" t="s">
        <v>892</v>
      </c>
      <c r="CP1363" s="497" t="s">
        <v>893</v>
      </c>
      <c r="CQ1363" s="149" t="s">
        <v>272</v>
      </c>
      <c r="CR1363" s="349"/>
      <c r="CS1363" s="61" t="s">
        <v>539</v>
      </c>
      <c r="CT1363" s="61"/>
      <c r="CU1363" s="111">
        <f t="shared" si="320"/>
        <v>127.17534585219691</v>
      </c>
      <c r="CV1363" s="331">
        <f t="shared" si="310"/>
        <v>42.349390168781568</v>
      </c>
      <c r="CW1363" s="326">
        <f t="shared" si="315"/>
        <v>1</v>
      </c>
      <c r="CX1363" s="326" t="s">
        <v>539</v>
      </c>
      <c r="CY1363" s="161" t="s">
        <v>5921</v>
      </c>
    </row>
    <row r="1364" spans="1:103" ht="11.25" customHeight="1" x14ac:dyDescent="0.2">
      <c r="A1364" s="72">
        <v>265</v>
      </c>
      <c r="B1364" s="149">
        <v>262</v>
      </c>
      <c r="C1364" s="54" t="s">
        <v>1103</v>
      </c>
      <c r="D1364" s="54" t="s">
        <v>6468</v>
      </c>
      <c r="E1364" s="59"/>
      <c r="F1364" s="59" t="s">
        <v>1104</v>
      </c>
      <c r="G1364" s="151">
        <v>115322</v>
      </c>
      <c r="H1364" s="55" t="s">
        <v>1105</v>
      </c>
      <c r="I1364" s="55" t="s">
        <v>7933</v>
      </c>
      <c r="J1364" s="55" t="s">
        <v>1106</v>
      </c>
      <c r="K1364" s="55" t="s">
        <v>1107</v>
      </c>
      <c r="L1364" s="55" t="s">
        <v>617</v>
      </c>
      <c r="M1364" s="168" t="s">
        <v>6078</v>
      </c>
      <c r="N1364" s="60" t="s">
        <v>6376</v>
      </c>
      <c r="O1364" s="55" t="s">
        <v>6083</v>
      </c>
      <c r="P1364" s="67">
        <v>3</v>
      </c>
      <c r="Q1364" s="67" t="s">
        <v>6173</v>
      </c>
      <c r="R1364" s="67">
        <v>1</v>
      </c>
      <c r="S1364" s="67" t="s">
        <v>6173</v>
      </c>
      <c r="T1364" s="56">
        <v>370.48</v>
      </c>
      <c r="U1364" s="103">
        <v>0.8</v>
      </c>
      <c r="V1364" s="103">
        <v>0.7772</v>
      </c>
      <c r="W1364" s="103">
        <v>1.3451315773122696</v>
      </c>
      <c r="X1364" s="103">
        <v>0.8</v>
      </c>
      <c r="Y1364" s="162">
        <v>7</v>
      </c>
      <c r="Z1364" s="56">
        <v>5.81</v>
      </c>
      <c r="AA1364" s="56">
        <v>5.0199999999999996</v>
      </c>
      <c r="AB1364" s="56">
        <v>5.0999999999999996</v>
      </c>
      <c r="AC1364" s="56">
        <v>0.69640000000000002</v>
      </c>
      <c r="AD1364" s="56">
        <v>5.33</v>
      </c>
      <c r="AE1364" s="56">
        <v>5.74</v>
      </c>
      <c r="AF1364" s="56">
        <f t="shared" si="316"/>
        <v>5.0199999999999996</v>
      </c>
      <c r="AG1364" s="57">
        <v>5.73</v>
      </c>
      <c r="AH1364" s="103">
        <v>5.5900000000000003E-10</v>
      </c>
      <c r="AI1364" s="103">
        <v>2.4200000000000002E-7</v>
      </c>
      <c r="AJ1364" s="62">
        <f t="shared" si="317"/>
        <v>-7.6411545184262284</v>
      </c>
      <c r="AK1364" s="62">
        <f t="shared" si="323"/>
        <v>-5.0047509603322204</v>
      </c>
      <c r="AL1364" s="62">
        <f t="shared" si="318"/>
        <v>-5.0047509603322204</v>
      </c>
      <c r="AM1364" s="62">
        <v>-11.992599999999998</v>
      </c>
      <c r="AN1364" s="154">
        <v>-5.87</v>
      </c>
      <c r="AO1364" s="410">
        <v>10.7</v>
      </c>
      <c r="AP1364" s="410"/>
      <c r="AQ1364" s="154" t="s">
        <v>6311</v>
      </c>
      <c r="AR1364" s="154" t="s">
        <v>6311</v>
      </c>
      <c r="AS1364" s="149" t="s">
        <v>6</v>
      </c>
      <c r="AT1364" s="58" t="s">
        <v>266</v>
      </c>
      <c r="AU1364" s="56">
        <v>8</v>
      </c>
      <c r="AV1364" s="56">
        <v>144</v>
      </c>
      <c r="AW1364" s="56">
        <v>120</v>
      </c>
      <c r="AX1364" s="56">
        <v>26</v>
      </c>
      <c r="AY1364" s="56" t="s">
        <v>267</v>
      </c>
      <c r="AZ1364" s="56" t="s">
        <v>268</v>
      </c>
      <c r="BA1364" s="56">
        <v>2</v>
      </c>
      <c r="BB1364" s="55" t="s">
        <v>888</v>
      </c>
      <c r="BC1364" s="55" t="s">
        <v>270</v>
      </c>
      <c r="BD1364" s="55" t="s">
        <v>8374</v>
      </c>
      <c r="BE1364" s="56" t="s">
        <v>889</v>
      </c>
      <c r="BF1364" s="56" t="s">
        <v>272</v>
      </c>
      <c r="BG1364" s="56" t="s">
        <v>272</v>
      </c>
      <c r="BH1364" s="56" t="s">
        <v>890</v>
      </c>
      <c r="BI1364" s="153">
        <v>3.7048000000000002E-4</v>
      </c>
      <c r="BJ1364" s="153">
        <v>29.638400000000001</v>
      </c>
      <c r="BK1364" s="56"/>
      <c r="BL1364" s="153">
        <v>0.11524013755149283</v>
      </c>
      <c r="BM1364" s="56" t="s">
        <v>891</v>
      </c>
      <c r="BN1364" s="162"/>
      <c r="BO1364" s="162"/>
      <c r="BP1364" s="162"/>
      <c r="BQ1364" s="162"/>
      <c r="BR1364" s="162"/>
      <c r="BS1364" s="56">
        <v>5.698208826710486</v>
      </c>
      <c r="BT1364" s="162"/>
      <c r="BU1364" s="158"/>
      <c r="BV1364" s="162"/>
      <c r="BW1364" s="162"/>
      <c r="BX1364" s="162"/>
      <c r="BY1364" s="162"/>
      <c r="BZ1364" s="162"/>
      <c r="CA1364" s="162"/>
      <c r="CB1364" s="162"/>
      <c r="CC1364" s="56"/>
      <c r="CD1364" s="56"/>
      <c r="CE1364" s="56"/>
      <c r="CF1364" s="56"/>
      <c r="CG1364" s="56"/>
      <c r="CH1364" s="56"/>
      <c r="CI1364" s="103">
        <v>5.698208826710486</v>
      </c>
      <c r="CJ1364" s="103">
        <f t="shared" si="314"/>
        <v>0.75573836112426929</v>
      </c>
      <c r="CK1364" s="57">
        <f t="shared" si="307"/>
        <v>3.8882037340576018E-3</v>
      </c>
      <c r="CL1364" s="160">
        <f t="shared" si="319"/>
        <v>2.0223923175876252E-2</v>
      </c>
      <c r="CM1364" s="160">
        <v>-0.53554513827166594</v>
      </c>
      <c r="CN1364" s="160">
        <f t="shared" ref="CN1364:CN1380" si="324">BJ1364/(10^CM1364)</f>
        <v>101.71848736568708</v>
      </c>
      <c r="CO1364" s="55" t="s">
        <v>892</v>
      </c>
      <c r="CP1364" s="497" t="s">
        <v>893</v>
      </c>
      <c r="CQ1364" s="149">
        <v>-0.2050747691610407</v>
      </c>
      <c r="CR1364" s="349">
        <f t="shared" ref="CR1364:CR1380" si="325">10^(CJ1364-CQ1364)</f>
        <v>9.1371999830808601</v>
      </c>
      <c r="CS1364" s="61" t="s">
        <v>539</v>
      </c>
      <c r="CT1364" s="61"/>
      <c r="CU1364" s="111">
        <f t="shared" si="320"/>
        <v>0.14039499504651032</v>
      </c>
      <c r="CV1364" s="331">
        <f t="shared" si="310"/>
        <v>2.6992010364931981E-2</v>
      </c>
      <c r="CW1364" s="326">
        <f t="shared" si="315"/>
        <v>0</v>
      </c>
      <c r="CX1364" s="326" t="s">
        <v>539</v>
      </c>
      <c r="CY1364" s="161" t="s">
        <v>5921</v>
      </c>
    </row>
    <row r="1365" spans="1:103" ht="11.25" customHeight="1" x14ac:dyDescent="0.2">
      <c r="A1365" s="72">
        <v>266</v>
      </c>
      <c r="B1365" s="149">
        <v>452</v>
      </c>
      <c r="C1365" s="54" t="s">
        <v>1482</v>
      </c>
      <c r="D1365" s="54" t="s">
        <v>6506</v>
      </c>
      <c r="E1365" s="59"/>
      <c r="F1365" s="59" t="s">
        <v>1483</v>
      </c>
      <c r="G1365" s="151">
        <v>7696120</v>
      </c>
      <c r="H1365" s="55" t="s">
        <v>1484</v>
      </c>
      <c r="I1365" s="55" t="s">
        <v>1484</v>
      </c>
      <c r="J1365" s="55" t="s">
        <v>1485</v>
      </c>
      <c r="K1365" s="55" t="s">
        <v>1486</v>
      </c>
      <c r="L1365" s="55" t="s">
        <v>617</v>
      </c>
      <c r="M1365" s="55" t="s">
        <v>1086</v>
      </c>
      <c r="N1365" s="60" t="s">
        <v>6376</v>
      </c>
      <c r="O1365" s="55" t="s">
        <v>918</v>
      </c>
      <c r="P1365" s="67">
        <v>3</v>
      </c>
      <c r="Q1365" s="67" t="s">
        <v>6173</v>
      </c>
      <c r="R1365" s="67">
        <v>1</v>
      </c>
      <c r="S1365" s="67" t="s">
        <v>6173</v>
      </c>
      <c r="T1365" s="56">
        <v>331.41</v>
      </c>
      <c r="U1365" s="103">
        <v>1.83</v>
      </c>
      <c r="V1365" s="103">
        <v>0.73160000000000003</v>
      </c>
      <c r="W1365" s="103">
        <v>4.0772337333493098</v>
      </c>
      <c r="X1365" s="103">
        <v>1.83</v>
      </c>
      <c r="Y1365" s="162">
        <v>7</v>
      </c>
      <c r="Z1365" s="56">
        <v>5.54</v>
      </c>
      <c r="AA1365" s="56">
        <v>4.7300000000000004</v>
      </c>
      <c r="AB1365" s="56">
        <v>4.41</v>
      </c>
      <c r="AC1365" s="56">
        <v>0.84209999999999996</v>
      </c>
      <c r="AD1365" s="56">
        <v>4.5</v>
      </c>
      <c r="AE1365" s="56">
        <v>4.78</v>
      </c>
      <c r="AF1365" s="56">
        <f t="shared" si="316"/>
        <v>4.7300000000000004</v>
      </c>
      <c r="AG1365" s="57">
        <v>2.65</v>
      </c>
      <c r="AH1365" s="103">
        <v>5.5700000000000004E-9</v>
      </c>
      <c r="AI1365" s="103">
        <v>1.6899999999999999E-6</v>
      </c>
      <c r="AJ1365" s="62">
        <f t="shared" si="317"/>
        <v>-6.6427111311389231</v>
      </c>
      <c r="AK1365" s="62">
        <f t="shared" si="323"/>
        <v>-4.1606796216989785</v>
      </c>
      <c r="AL1365" s="62">
        <f t="shared" si="318"/>
        <v>-4.1606796216989785</v>
      </c>
      <c r="AM1365" s="62">
        <v>-13.825500000000002</v>
      </c>
      <c r="AN1365" s="154">
        <v>-7.39</v>
      </c>
      <c r="AO1365" s="410"/>
      <c r="AP1365" s="410">
        <v>-2.5499999999999998</v>
      </c>
      <c r="AQ1365" s="154" t="s">
        <v>6311</v>
      </c>
      <c r="AR1365" s="154" t="s">
        <v>6312</v>
      </c>
      <c r="AS1365" s="149" t="s">
        <v>6</v>
      </c>
      <c r="AT1365" s="58" t="s">
        <v>266</v>
      </c>
      <c r="AU1365" s="56">
        <v>8</v>
      </c>
      <c r="AV1365" s="56">
        <v>144</v>
      </c>
      <c r="AW1365" s="56">
        <v>120</v>
      </c>
      <c r="AX1365" s="56">
        <v>26</v>
      </c>
      <c r="AY1365" s="56" t="s">
        <v>267</v>
      </c>
      <c r="AZ1365" s="56" t="s">
        <v>268</v>
      </c>
      <c r="BA1365" s="56">
        <v>2</v>
      </c>
      <c r="BB1365" s="55" t="s">
        <v>888</v>
      </c>
      <c r="BC1365" s="55" t="s">
        <v>270</v>
      </c>
      <c r="BD1365" s="55" t="s">
        <v>8374</v>
      </c>
      <c r="BE1365" s="56" t="s">
        <v>889</v>
      </c>
      <c r="BF1365" s="56" t="s">
        <v>272</v>
      </c>
      <c r="BG1365" s="56" t="s">
        <v>272</v>
      </c>
      <c r="BH1365" s="56" t="s">
        <v>890</v>
      </c>
      <c r="BI1365" s="153">
        <v>3.3141000000000003E-4</v>
      </c>
      <c r="BJ1365" s="153">
        <v>26.512800000000002</v>
      </c>
      <c r="BK1365" s="56"/>
      <c r="BL1365" s="153">
        <v>0.18017378775761245</v>
      </c>
      <c r="BM1365" s="56" t="s">
        <v>891</v>
      </c>
      <c r="BN1365" s="162"/>
      <c r="BO1365" s="162"/>
      <c r="BP1365" s="162"/>
      <c r="BQ1365" s="162"/>
      <c r="BR1365" s="162"/>
      <c r="BS1365" s="56">
        <v>5.0972883482512472</v>
      </c>
      <c r="BT1365" s="162"/>
      <c r="BU1365" s="158"/>
      <c r="BV1365" s="162"/>
      <c r="BW1365" s="162"/>
      <c r="BX1365" s="162"/>
      <c r="BY1365" s="162"/>
      <c r="BZ1365" s="162"/>
      <c r="CA1365" s="162"/>
      <c r="CB1365" s="162"/>
      <c r="CC1365" s="56"/>
      <c r="CD1365" s="56"/>
      <c r="CE1365" s="56"/>
      <c r="CF1365" s="56"/>
      <c r="CG1365" s="56"/>
      <c r="CH1365" s="56"/>
      <c r="CI1365" s="103">
        <v>5.0972883482512472</v>
      </c>
      <c r="CJ1365" s="103">
        <f t="shared" ref="CJ1365:CJ1396" si="326">LOG10(CI1365)</f>
        <v>0.70733920186657862</v>
      </c>
      <c r="CK1365" s="57">
        <f t="shared" si="307"/>
        <v>6.7957283937423599E-3</v>
      </c>
      <c r="CL1365" s="160">
        <f t="shared" si="319"/>
        <v>3.5346987544745349E-2</v>
      </c>
      <c r="CM1365" s="160">
        <v>-2.0547894905995427</v>
      </c>
      <c r="CN1365" s="160">
        <f t="shared" si="324"/>
        <v>3007.7732067628472</v>
      </c>
      <c r="CO1365" s="55" t="s">
        <v>892</v>
      </c>
      <c r="CP1365" s="497" t="s">
        <v>893</v>
      </c>
      <c r="CQ1365" s="149">
        <v>-1.7933340848488464</v>
      </c>
      <c r="CR1365" s="349">
        <f t="shared" si="325"/>
        <v>316.71839412012332</v>
      </c>
      <c r="CS1365" s="61" t="s">
        <v>539</v>
      </c>
      <c r="CT1365" s="61"/>
      <c r="CU1365" s="111">
        <f t="shared" si="320"/>
        <v>0.35901441609200457</v>
      </c>
      <c r="CV1365" s="331">
        <f t="shared" si="310"/>
        <v>6.9023264234633841E-2</v>
      </c>
      <c r="CW1365" s="326">
        <f t="shared" ref="CW1365:CW1396" si="327">IF(CU1365&lt;2,0,1)</f>
        <v>0</v>
      </c>
      <c r="CX1365" s="326" t="s">
        <v>539</v>
      </c>
      <c r="CY1365" s="161" t="s">
        <v>5921</v>
      </c>
    </row>
    <row r="1366" spans="1:103" ht="11.25" customHeight="1" x14ac:dyDescent="0.2">
      <c r="A1366" s="72">
        <v>269</v>
      </c>
      <c r="B1366" s="149">
        <v>298</v>
      </c>
      <c r="C1366" s="54" t="s">
        <v>1176</v>
      </c>
      <c r="D1366" s="54" t="s">
        <v>6533</v>
      </c>
      <c r="E1366" s="59"/>
      <c r="F1366" s="59" t="s">
        <v>1177</v>
      </c>
      <c r="G1366" s="151">
        <v>72490018</v>
      </c>
      <c r="H1366" s="55" t="s">
        <v>1178</v>
      </c>
      <c r="I1366" s="55" t="s">
        <v>1178</v>
      </c>
      <c r="J1366" s="55" t="s">
        <v>1179</v>
      </c>
      <c r="K1366" s="55" t="s">
        <v>1180</v>
      </c>
      <c r="L1366" s="55" t="s">
        <v>617</v>
      </c>
      <c r="M1366" s="55" t="s">
        <v>8507</v>
      </c>
      <c r="N1366" s="60" t="s">
        <v>6082</v>
      </c>
      <c r="O1366" s="55" t="s">
        <v>918</v>
      </c>
      <c r="P1366" s="67">
        <v>3</v>
      </c>
      <c r="Q1366" s="67" t="s">
        <v>6173</v>
      </c>
      <c r="R1366" s="67">
        <v>1</v>
      </c>
      <c r="S1366" s="67" t="s">
        <v>6173</v>
      </c>
      <c r="T1366" s="56">
        <v>301.33999999999997</v>
      </c>
      <c r="U1366" s="103">
        <v>6</v>
      </c>
      <c r="V1366" s="103">
        <v>2.5649999999999999</v>
      </c>
      <c r="W1366" s="103">
        <v>21.333238266631586</v>
      </c>
      <c r="X1366" s="103">
        <v>6</v>
      </c>
      <c r="Y1366" s="162">
        <v>7</v>
      </c>
      <c r="Z1366" s="56">
        <v>4.24</v>
      </c>
      <c r="AA1366" s="56">
        <v>4.3</v>
      </c>
      <c r="AB1366" s="56">
        <v>3.95</v>
      </c>
      <c r="AC1366" s="56">
        <v>0.76349999999999996</v>
      </c>
      <c r="AD1366" s="56">
        <v>3.91</v>
      </c>
      <c r="AE1366" s="56">
        <v>3.83</v>
      </c>
      <c r="AF1366" s="56">
        <f t="shared" si="316"/>
        <v>4.3</v>
      </c>
      <c r="AG1366" s="57">
        <v>3.1</v>
      </c>
      <c r="AH1366" s="103">
        <v>1.45E-11</v>
      </c>
      <c r="AI1366" s="103">
        <v>4.3000000000000001E-10</v>
      </c>
      <c r="AJ1366" s="62">
        <f t="shared" si="317"/>
        <v>-9.2271983240776763</v>
      </c>
      <c r="AK1366" s="62">
        <f t="shared" si="323"/>
        <v>-7.7550978707330653</v>
      </c>
      <c r="AL1366" s="62">
        <f t="shared" si="318"/>
        <v>-7.7550978707330653</v>
      </c>
      <c r="AM1366" s="62">
        <v>-14.524919999999998</v>
      </c>
      <c r="AN1366" s="154">
        <v>-6.97</v>
      </c>
      <c r="AO1366" s="410">
        <v>12.13</v>
      </c>
      <c r="AP1366" s="410">
        <v>-1.49</v>
      </c>
      <c r="AQ1366" s="154" t="s">
        <v>6311</v>
      </c>
      <c r="AR1366" s="154" t="s">
        <v>6312</v>
      </c>
      <c r="AS1366" s="149" t="s">
        <v>6</v>
      </c>
      <c r="AT1366" s="58" t="s">
        <v>266</v>
      </c>
      <c r="AU1366" s="56">
        <v>8</v>
      </c>
      <c r="AV1366" s="56">
        <v>144</v>
      </c>
      <c r="AW1366" s="56">
        <v>120</v>
      </c>
      <c r="AX1366" s="56">
        <v>26</v>
      </c>
      <c r="AY1366" s="56" t="s">
        <v>267</v>
      </c>
      <c r="AZ1366" s="56" t="s">
        <v>268</v>
      </c>
      <c r="BA1366" s="56">
        <v>2</v>
      </c>
      <c r="BB1366" s="55" t="s">
        <v>888</v>
      </c>
      <c r="BC1366" s="55" t="s">
        <v>270</v>
      </c>
      <c r="BD1366" s="55" t="s">
        <v>8374</v>
      </c>
      <c r="BE1366" s="56" t="s">
        <v>889</v>
      </c>
      <c r="BF1366" s="56" t="s">
        <v>272</v>
      </c>
      <c r="BG1366" s="56" t="s">
        <v>272</v>
      </c>
      <c r="BH1366" s="56" t="s">
        <v>890</v>
      </c>
      <c r="BI1366" s="153">
        <v>3.0133999999999998E-4</v>
      </c>
      <c r="BJ1366" s="153">
        <v>24.107199999999999</v>
      </c>
      <c r="BK1366" s="56"/>
      <c r="BL1366" s="153">
        <v>2.4094215142565951</v>
      </c>
      <c r="BM1366" s="56" t="s">
        <v>891</v>
      </c>
      <c r="BN1366" s="162"/>
      <c r="BO1366" s="162"/>
      <c r="BP1366" s="162"/>
      <c r="BQ1366" s="162"/>
      <c r="BR1366" s="162"/>
      <c r="BS1366" s="56">
        <v>4.6347933703329129</v>
      </c>
      <c r="BT1366" s="162"/>
      <c r="BU1366" s="158"/>
      <c r="BV1366" s="162"/>
      <c r="BW1366" s="162"/>
      <c r="BX1366" s="162"/>
      <c r="BY1366" s="162"/>
      <c r="BZ1366" s="162"/>
      <c r="CA1366" s="162"/>
      <c r="CB1366" s="162"/>
      <c r="CC1366" s="56"/>
      <c r="CD1366" s="56"/>
      <c r="CE1366" s="56"/>
      <c r="CF1366" s="56"/>
      <c r="CG1366" s="56"/>
      <c r="CH1366" s="56"/>
      <c r="CI1366" s="103">
        <v>4.6347933703329129</v>
      </c>
      <c r="CJ1366" s="103">
        <f t="shared" si="326"/>
        <v>0.66603037707284618</v>
      </c>
      <c r="CK1366" s="57">
        <f t="shared" si="307"/>
        <v>9.9946137015356207E-2</v>
      </c>
      <c r="CL1366" s="160">
        <f t="shared" si="319"/>
        <v>0.51985521720972183</v>
      </c>
      <c r="CM1366" s="160">
        <v>1.1831959098896779E-2</v>
      </c>
      <c r="CN1366" s="160">
        <f t="shared" si="324"/>
        <v>23.45928718336333</v>
      </c>
      <c r="CO1366" s="55" t="s">
        <v>892</v>
      </c>
      <c r="CP1366" s="497" t="s">
        <v>893</v>
      </c>
      <c r="CQ1366" s="149">
        <v>9.7725620805236613E-2</v>
      </c>
      <c r="CR1366" s="349">
        <f t="shared" si="325"/>
        <v>3.7008778936459708</v>
      </c>
      <c r="CS1366" s="61" t="s">
        <v>539</v>
      </c>
      <c r="CT1366" s="61"/>
      <c r="CU1366" s="111">
        <f t="shared" si="320"/>
        <v>1.2945560935695015</v>
      </c>
      <c r="CV1366" s="331">
        <f t="shared" si="310"/>
        <v>0.24888829893143957</v>
      </c>
      <c r="CW1366" s="326">
        <f t="shared" si="327"/>
        <v>0</v>
      </c>
      <c r="CX1366" s="326" t="s">
        <v>539</v>
      </c>
      <c r="CY1366" s="161" t="s">
        <v>5921</v>
      </c>
    </row>
    <row r="1367" spans="1:103" ht="11.25" customHeight="1" x14ac:dyDescent="0.2">
      <c r="A1367" s="72">
        <v>270</v>
      </c>
      <c r="B1367" s="149">
        <v>210</v>
      </c>
      <c r="C1367" s="54" t="s">
        <v>1007</v>
      </c>
      <c r="D1367" s="54" t="s">
        <v>6593</v>
      </c>
      <c r="E1367" s="59"/>
      <c r="F1367" s="59" t="s">
        <v>1008</v>
      </c>
      <c r="G1367" s="151">
        <v>33629479</v>
      </c>
      <c r="H1367" s="55" t="s">
        <v>1009</v>
      </c>
      <c r="I1367" s="55" t="s">
        <v>8119</v>
      </c>
      <c r="J1367" s="55" t="s">
        <v>1010</v>
      </c>
      <c r="K1367" s="55" t="s">
        <v>1011</v>
      </c>
      <c r="L1367" s="55" t="s">
        <v>5959</v>
      </c>
      <c r="M1367" s="168" t="s">
        <v>6077</v>
      </c>
      <c r="N1367" s="60" t="s">
        <v>6088</v>
      </c>
      <c r="O1367" s="55" t="s">
        <v>6083</v>
      </c>
      <c r="P1367" s="67">
        <v>3</v>
      </c>
      <c r="Q1367" s="67" t="s">
        <v>6173</v>
      </c>
      <c r="R1367" s="67">
        <v>1</v>
      </c>
      <c r="S1367" s="67" t="s">
        <v>6173</v>
      </c>
      <c r="T1367" s="56">
        <v>295.33</v>
      </c>
      <c r="U1367" s="103">
        <v>1</v>
      </c>
      <c r="V1367" s="103">
        <v>0.8054</v>
      </c>
      <c r="W1367" s="103">
        <v>1.0478703824235172</v>
      </c>
      <c r="X1367" s="103">
        <v>1</v>
      </c>
      <c r="Y1367" s="162">
        <v>7</v>
      </c>
      <c r="Z1367" s="56">
        <v>5.15</v>
      </c>
      <c r="AA1367" s="56">
        <v>4.93</v>
      </c>
      <c r="AB1367" s="56">
        <v>4.62</v>
      </c>
      <c r="AC1367" s="56">
        <v>0.79</v>
      </c>
      <c r="AD1367" s="56">
        <v>4.99</v>
      </c>
      <c r="AE1367" s="56">
        <v>5.8</v>
      </c>
      <c r="AF1367" s="56">
        <f t="shared" si="316"/>
        <v>4.93</v>
      </c>
      <c r="AG1367" s="57">
        <v>3.79</v>
      </c>
      <c r="AH1367" s="103">
        <v>2.3199999999999998E-6</v>
      </c>
      <c r="AI1367" s="103">
        <v>4.9400000000000001E-6</v>
      </c>
      <c r="AJ1367" s="62">
        <f t="shared" si="317"/>
        <v>-4.0230783414217521</v>
      </c>
      <c r="AK1367" s="62">
        <f t="shared" si="323"/>
        <v>-3.6948393773890049</v>
      </c>
      <c r="AL1367" s="62">
        <f t="shared" si="318"/>
        <v>-3.6948393773890049</v>
      </c>
      <c r="AM1367" s="62">
        <v>-9.5759299999999996</v>
      </c>
      <c r="AN1367" s="154">
        <v>-2.4900000000000002</v>
      </c>
      <c r="AO1367" s="410"/>
      <c r="AP1367" s="410">
        <v>-3.5</v>
      </c>
      <c r="AQ1367" s="154" t="s">
        <v>6311</v>
      </c>
      <c r="AR1367" s="154" t="s">
        <v>6311</v>
      </c>
      <c r="AS1367" s="149" t="s">
        <v>6</v>
      </c>
      <c r="AT1367" s="58" t="s">
        <v>266</v>
      </c>
      <c r="AU1367" s="56">
        <v>8</v>
      </c>
      <c r="AV1367" s="56">
        <v>144</v>
      </c>
      <c r="AW1367" s="56">
        <v>120</v>
      </c>
      <c r="AX1367" s="56">
        <v>26</v>
      </c>
      <c r="AY1367" s="56" t="s">
        <v>267</v>
      </c>
      <c r="AZ1367" s="56" t="s">
        <v>268</v>
      </c>
      <c r="BA1367" s="56">
        <v>2</v>
      </c>
      <c r="BB1367" s="55" t="s">
        <v>888</v>
      </c>
      <c r="BC1367" s="55" t="s">
        <v>270</v>
      </c>
      <c r="BD1367" s="55" t="s">
        <v>8374</v>
      </c>
      <c r="BE1367" s="56" t="s">
        <v>889</v>
      </c>
      <c r="BF1367" s="56" t="s">
        <v>272</v>
      </c>
      <c r="BG1367" s="56" t="s">
        <v>272</v>
      </c>
      <c r="BH1367" s="56" t="s">
        <v>890</v>
      </c>
      <c r="BI1367" s="153">
        <v>2.9532999999999995E-4</v>
      </c>
      <c r="BJ1367" s="153">
        <v>23.6264</v>
      </c>
      <c r="BK1367" s="56"/>
      <c r="BL1367" s="153">
        <v>0.35966035233692056</v>
      </c>
      <c r="BM1367" s="56" t="s">
        <v>891</v>
      </c>
      <c r="BN1367" s="162"/>
      <c r="BO1367" s="162"/>
      <c r="BP1367" s="162"/>
      <c r="BQ1367" s="162"/>
      <c r="BR1367" s="162"/>
      <c r="BS1367" s="56">
        <v>4.5423558971939313</v>
      </c>
      <c r="BT1367" s="162"/>
      <c r="BU1367" s="158"/>
      <c r="BV1367" s="162"/>
      <c r="BW1367" s="162"/>
      <c r="BX1367" s="162"/>
      <c r="BY1367" s="162"/>
      <c r="BZ1367" s="162"/>
      <c r="CA1367" s="162"/>
      <c r="CB1367" s="162"/>
      <c r="CC1367" s="56"/>
      <c r="CD1367" s="56"/>
      <c r="CE1367" s="56"/>
      <c r="CF1367" s="56"/>
      <c r="CG1367" s="56"/>
      <c r="CH1367" s="56"/>
      <c r="CI1367" s="103">
        <v>4.5423558971939313</v>
      </c>
      <c r="CJ1367" s="103">
        <f t="shared" si="326"/>
        <v>0.65728115853457014</v>
      </c>
      <c r="CK1367" s="57">
        <f t="shared" si="307"/>
        <v>1.5222816524604704E-2</v>
      </c>
      <c r="CL1367" s="160">
        <f t="shared" si="319"/>
        <v>7.9179254218962228E-2</v>
      </c>
      <c r="CM1367" s="160">
        <v>-0.43179827593300546</v>
      </c>
      <c r="CN1367" s="160">
        <f t="shared" si="324"/>
        <v>63.855135135135207</v>
      </c>
      <c r="CO1367" s="55" t="s">
        <v>892</v>
      </c>
      <c r="CP1367" s="497" t="s">
        <v>893</v>
      </c>
      <c r="CQ1367" s="149">
        <v>-0.21589913796650245</v>
      </c>
      <c r="CR1367" s="349">
        <f t="shared" si="325"/>
        <v>7.467587094792</v>
      </c>
      <c r="CS1367" s="61" t="s">
        <v>539</v>
      </c>
      <c r="CT1367" s="61"/>
      <c r="CU1367" s="111">
        <f t="shared" si="320"/>
        <v>0.2201500768836181</v>
      </c>
      <c r="CV1367" s="331">
        <f t="shared" si="310"/>
        <v>4.2325534148240952E-2</v>
      </c>
      <c r="CW1367" s="326">
        <f t="shared" si="327"/>
        <v>0</v>
      </c>
      <c r="CX1367" s="326" t="s">
        <v>539</v>
      </c>
      <c r="CY1367" s="161" t="s">
        <v>5921</v>
      </c>
    </row>
    <row r="1368" spans="1:103" ht="11.25" customHeight="1" x14ac:dyDescent="0.2">
      <c r="A1368" s="72">
        <v>271</v>
      </c>
      <c r="B1368" s="149">
        <v>206</v>
      </c>
      <c r="C1368" s="54" t="s">
        <v>987</v>
      </c>
      <c r="D1368" s="54" t="s">
        <v>6493</v>
      </c>
      <c r="E1368" s="59"/>
      <c r="F1368" s="59" t="s">
        <v>988</v>
      </c>
      <c r="G1368" s="151">
        <v>1689845</v>
      </c>
      <c r="H1368" s="55" t="s">
        <v>989</v>
      </c>
      <c r="I1368" s="55" t="s">
        <v>8319</v>
      </c>
      <c r="J1368" s="55" t="s">
        <v>990</v>
      </c>
      <c r="K1368" s="55" t="s">
        <v>349</v>
      </c>
      <c r="L1368" s="55" t="s">
        <v>5248</v>
      </c>
      <c r="M1368" s="55" t="s">
        <v>991</v>
      </c>
      <c r="N1368" s="60" t="s">
        <v>6381</v>
      </c>
      <c r="O1368" s="55" t="s">
        <v>992</v>
      </c>
      <c r="P1368" s="67">
        <v>3</v>
      </c>
      <c r="Q1368" s="67" t="s">
        <v>6173</v>
      </c>
      <c r="R1368" s="67">
        <v>1</v>
      </c>
      <c r="S1368" s="67" t="s">
        <v>6173</v>
      </c>
      <c r="T1368" s="56">
        <v>276.91000000000003</v>
      </c>
      <c r="U1368" s="103">
        <v>130</v>
      </c>
      <c r="V1368" s="103">
        <v>43.87</v>
      </c>
      <c r="W1368" s="103">
        <v>210.05771630133103</v>
      </c>
      <c r="X1368" s="103">
        <v>130</v>
      </c>
      <c r="Y1368" s="162">
        <v>3.98</v>
      </c>
      <c r="Z1368" s="56">
        <v>3.39</v>
      </c>
      <c r="AA1368" s="56"/>
      <c r="AB1368" s="56">
        <v>3.19</v>
      </c>
      <c r="AC1368" s="56">
        <v>0.87050000000000005</v>
      </c>
      <c r="AD1368" s="56">
        <v>3.14</v>
      </c>
      <c r="AE1368" s="56">
        <v>2.95</v>
      </c>
      <c r="AF1368" s="56">
        <f t="shared" si="316"/>
        <v>3.14</v>
      </c>
      <c r="AG1368" s="57">
        <v>2.88</v>
      </c>
      <c r="AH1368" s="103">
        <v>8.6000000000000003E-10</v>
      </c>
      <c r="AI1368" s="103">
        <v>1.3200000000000001E-10</v>
      </c>
      <c r="AJ1368" s="62">
        <f t="shared" si="317"/>
        <v>-7.4540678750690841</v>
      </c>
      <c r="AK1368" s="62">
        <f t="shared" si="323"/>
        <v>-8.267992395106802</v>
      </c>
      <c r="AL1368" s="62">
        <f t="shared" si="318"/>
        <v>-8.267992395106802</v>
      </c>
      <c r="AM1368" s="62">
        <v>-8.8538800000000002</v>
      </c>
      <c r="AN1368" s="154">
        <v>-5.6</v>
      </c>
      <c r="AO1368" s="410">
        <v>4.78</v>
      </c>
      <c r="AP1368" s="410"/>
      <c r="AQ1368" s="154" t="s">
        <v>6311</v>
      </c>
      <c r="AR1368" s="154" t="s">
        <v>6311</v>
      </c>
      <c r="AS1368" s="149" t="s">
        <v>6</v>
      </c>
      <c r="AT1368" s="58" t="s">
        <v>266</v>
      </c>
      <c r="AU1368" s="56">
        <v>8</v>
      </c>
      <c r="AV1368" s="56">
        <v>144</v>
      </c>
      <c r="AW1368" s="56">
        <v>120</v>
      </c>
      <c r="AX1368" s="56">
        <v>26</v>
      </c>
      <c r="AY1368" s="56" t="s">
        <v>267</v>
      </c>
      <c r="AZ1368" s="56" t="s">
        <v>268</v>
      </c>
      <c r="BA1368" s="56">
        <v>2</v>
      </c>
      <c r="BB1368" s="55" t="s">
        <v>888</v>
      </c>
      <c r="BC1368" s="55" t="s">
        <v>270</v>
      </c>
      <c r="BD1368" s="55" t="s">
        <v>8374</v>
      </c>
      <c r="BE1368" s="56" t="s">
        <v>889</v>
      </c>
      <c r="BF1368" s="56" t="s">
        <v>272</v>
      </c>
      <c r="BG1368" s="56" t="s">
        <v>272</v>
      </c>
      <c r="BH1368" s="56" t="s">
        <v>890</v>
      </c>
      <c r="BI1368" s="153">
        <v>2.7691E-4</v>
      </c>
      <c r="BJ1368" s="153">
        <v>22.152800000000003</v>
      </c>
      <c r="BK1368" s="56"/>
      <c r="BL1368" s="153">
        <v>12.840432128958261</v>
      </c>
      <c r="BM1368" s="56" t="s">
        <v>891</v>
      </c>
      <c r="BN1368" s="162"/>
      <c r="BO1368" s="162"/>
      <c r="BP1368" s="162"/>
      <c r="BQ1368" s="162"/>
      <c r="BR1368" s="162"/>
      <c r="BS1368" s="56">
        <v>4.2590450394202133</v>
      </c>
      <c r="BT1368" s="162"/>
      <c r="BU1368" s="158"/>
      <c r="BV1368" s="162"/>
      <c r="BW1368" s="162"/>
      <c r="BX1368" s="162"/>
      <c r="BY1368" s="162"/>
      <c r="BZ1368" s="162"/>
      <c r="CA1368" s="162"/>
      <c r="CB1368" s="162"/>
      <c r="CC1368" s="56"/>
      <c r="CD1368" s="56"/>
      <c r="CE1368" s="56"/>
      <c r="CF1368" s="56"/>
      <c r="CG1368" s="56"/>
      <c r="CH1368" s="56"/>
      <c r="CI1368" s="103">
        <v>4.2590450394202133</v>
      </c>
      <c r="CJ1368" s="103">
        <f t="shared" si="326"/>
        <v>0.6293122327641083</v>
      </c>
      <c r="CK1368" s="57">
        <f t="shared" si="307"/>
        <v>0.57963021058097663</v>
      </c>
      <c r="CL1368" s="160">
        <f t="shared" si="319"/>
        <v>3.014861784769066</v>
      </c>
      <c r="CM1368" s="160">
        <v>0.7877093956071799</v>
      </c>
      <c r="CN1368" s="160">
        <f t="shared" si="324"/>
        <v>3.6117628866508702</v>
      </c>
      <c r="CO1368" s="55" t="s">
        <v>892</v>
      </c>
      <c r="CP1368" s="497" t="s">
        <v>893</v>
      </c>
      <c r="CQ1368" s="149">
        <v>0.97765532375296005</v>
      </c>
      <c r="CR1368" s="349">
        <f t="shared" si="325"/>
        <v>0.44839102277468473</v>
      </c>
      <c r="CS1368" s="61" t="s">
        <v>539</v>
      </c>
      <c r="CT1368" s="61"/>
      <c r="CU1368" s="111">
        <f t="shared" si="320"/>
        <v>30.523274301343616</v>
      </c>
      <c r="CV1368" s="331">
        <f t="shared" si="310"/>
        <v>5.8683326712650317</v>
      </c>
      <c r="CW1368" s="326">
        <f t="shared" si="327"/>
        <v>1</v>
      </c>
      <c r="CX1368" s="326" t="s">
        <v>539</v>
      </c>
      <c r="CY1368" s="161" t="s">
        <v>5921</v>
      </c>
    </row>
    <row r="1369" spans="1:103" ht="11.25" customHeight="1" x14ac:dyDescent="0.2">
      <c r="A1369" s="72">
        <v>272</v>
      </c>
      <c r="B1369" s="149">
        <v>377</v>
      </c>
      <c r="C1369" s="54" t="s">
        <v>1323</v>
      </c>
      <c r="D1369" s="54" t="s">
        <v>6484</v>
      </c>
      <c r="E1369" s="59"/>
      <c r="F1369" s="59" t="s">
        <v>1324</v>
      </c>
      <c r="G1369" s="151">
        <v>300765</v>
      </c>
      <c r="H1369" s="55" t="s">
        <v>1325</v>
      </c>
      <c r="I1369" s="55" t="s">
        <v>8048</v>
      </c>
      <c r="J1369" s="55" t="s">
        <v>1326</v>
      </c>
      <c r="K1369" s="55" t="s">
        <v>637</v>
      </c>
      <c r="L1369" s="55" t="s">
        <v>617</v>
      </c>
      <c r="M1369" s="55" t="s">
        <v>946</v>
      </c>
      <c r="N1369" s="60" t="s">
        <v>6376</v>
      </c>
      <c r="O1369" s="55" t="s">
        <v>918</v>
      </c>
      <c r="P1369" s="67">
        <v>3</v>
      </c>
      <c r="Q1369" s="67" t="s">
        <v>6173</v>
      </c>
      <c r="R1369" s="67">
        <v>1</v>
      </c>
      <c r="S1369" s="67" t="s">
        <v>6173</v>
      </c>
      <c r="T1369" s="56">
        <v>380.78</v>
      </c>
      <c r="U1369" s="103">
        <v>1.5</v>
      </c>
      <c r="V1369" s="103">
        <v>266.7</v>
      </c>
      <c r="W1369" s="103">
        <v>6034.9562982534235</v>
      </c>
      <c r="X1369" s="103">
        <v>1.5</v>
      </c>
      <c r="Y1369" s="162">
        <v>7</v>
      </c>
      <c r="Z1369" s="56">
        <v>1.6</v>
      </c>
      <c r="AA1369" s="56">
        <v>1.38</v>
      </c>
      <c r="AB1369" s="56">
        <v>2.33</v>
      </c>
      <c r="AC1369" s="56">
        <v>0.77559999999999996</v>
      </c>
      <c r="AD1369" s="56">
        <v>2.19</v>
      </c>
      <c r="AE1369" s="56">
        <v>1.86</v>
      </c>
      <c r="AF1369" s="56">
        <f t="shared" si="316"/>
        <v>1.38</v>
      </c>
      <c r="AG1369" s="57">
        <v>2.33</v>
      </c>
      <c r="AH1369" s="103">
        <v>5.4499999999999998E-10</v>
      </c>
      <c r="AI1369" s="103">
        <v>6.5099999999999997E-5</v>
      </c>
      <c r="AJ1369" s="62">
        <f t="shared" si="317"/>
        <v>-7.652169824036009</v>
      </c>
      <c r="AK1369" s="62">
        <f t="shared" si="323"/>
        <v>-2.5749853377444598</v>
      </c>
      <c r="AL1369" s="62">
        <f t="shared" si="318"/>
        <v>-2.5749853377444598</v>
      </c>
      <c r="AM1369" s="62">
        <v>-11.466990000000003</v>
      </c>
      <c r="AN1369" s="154">
        <v>-5.81</v>
      </c>
      <c r="AO1369" s="410"/>
      <c r="AP1369" s="410"/>
      <c r="AQ1369" s="154" t="s">
        <v>6315</v>
      </c>
      <c r="AR1369" s="154" t="s">
        <v>6315</v>
      </c>
      <c r="AS1369" s="149" t="s">
        <v>6</v>
      </c>
      <c r="AT1369" s="58" t="s">
        <v>266</v>
      </c>
      <c r="AU1369" s="56">
        <v>8</v>
      </c>
      <c r="AV1369" s="56">
        <v>144</v>
      </c>
      <c r="AW1369" s="56">
        <v>120</v>
      </c>
      <c r="AX1369" s="56">
        <v>26</v>
      </c>
      <c r="AY1369" s="56" t="s">
        <v>267</v>
      </c>
      <c r="AZ1369" s="56" t="s">
        <v>268</v>
      </c>
      <c r="BA1369" s="56">
        <v>2</v>
      </c>
      <c r="BB1369" s="55" t="s">
        <v>888</v>
      </c>
      <c r="BC1369" s="55" t="s">
        <v>270</v>
      </c>
      <c r="BD1369" s="55" t="s">
        <v>8374</v>
      </c>
      <c r="BE1369" s="56" t="s">
        <v>889</v>
      </c>
      <c r="BF1369" s="56" t="s">
        <v>272</v>
      </c>
      <c r="BG1369" s="56" t="s">
        <v>272</v>
      </c>
      <c r="BH1369" s="56" t="s">
        <v>890</v>
      </c>
      <c r="BI1369" s="153">
        <v>3.8077999999999994E-4</v>
      </c>
      <c r="BJ1369" s="153">
        <v>30.462399999999999</v>
      </c>
      <c r="BK1369" s="56"/>
      <c r="BL1369" s="153">
        <v>715.34266697234352</v>
      </c>
      <c r="BM1369" s="56" t="s">
        <v>891</v>
      </c>
      <c r="BN1369" s="162"/>
      <c r="BO1369" s="162"/>
      <c r="BP1369" s="162"/>
      <c r="BQ1369" s="162"/>
      <c r="BR1369" s="162"/>
      <c r="BS1369" s="56">
        <v>5.856629121773965</v>
      </c>
      <c r="BT1369" s="162"/>
      <c r="BU1369" s="158"/>
      <c r="BV1369" s="162"/>
      <c r="BW1369" s="162"/>
      <c r="BX1369" s="162"/>
      <c r="BY1369" s="162"/>
      <c r="BZ1369" s="162"/>
      <c r="CA1369" s="162"/>
      <c r="CB1369" s="162"/>
      <c r="CC1369" s="56"/>
      <c r="CD1369" s="56"/>
      <c r="CE1369" s="56"/>
      <c r="CF1369" s="56"/>
      <c r="CG1369" s="56"/>
      <c r="CH1369" s="56"/>
      <c r="CI1369" s="103">
        <v>5.856629121773965</v>
      </c>
      <c r="CJ1369" s="103">
        <f t="shared" si="326"/>
        <v>0.7676477226677233</v>
      </c>
      <c r="CK1369" s="57">
        <f t="shared" si="307"/>
        <v>23.482807230301734</v>
      </c>
      <c r="CL1369" s="160">
        <f t="shared" si="319"/>
        <v>122.14238806975492</v>
      </c>
      <c r="CM1369" s="160">
        <v>-0.68008149402034412</v>
      </c>
      <c r="CN1369" s="160">
        <f t="shared" si="324"/>
        <v>145.82957514652077</v>
      </c>
      <c r="CO1369" s="55" t="s">
        <v>892</v>
      </c>
      <c r="CP1369" s="497" t="s">
        <v>893</v>
      </c>
      <c r="CQ1369" s="149">
        <v>-0.39620478941950016</v>
      </c>
      <c r="CR1369" s="349">
        <f t="shared" si="325"/>
        <v>14.58318926004792</v>
      </c>
      <c r="CS1369" s="61" t="s">
        <v>539</v>
      </c>
      <c r="CT1369" s="61"/>
      <c r="CU1369" s="111">
        <f t="shared" si="320"/>
        <v>0.25612002549781604</v>
      </c>
      <c r="CV1369" s="331">
        <f t="shared" si="310"/>
        <v>4.9241031566783972E-2</v>
      </c>
      <c r="CW1369" s="326">
        <f t="shared" si="327"/>
        <v>0</v>
      </c>
      <c r="CX1369" s="326" t="s">
        <v>539</v>
      </c>
      <c r="CY1369" s="161" t="s">
        <v>5921</v>
      </c>
    </row>
    <row r="1370" spans="1:103" ht="11.25" customHeight="1" x14ac:dyDescent="0.2">
      <c r="A1370" s="72">
        <v>273</v>
      </c>
      <c r="B1370" s="149">
        <v>398</v>
      </c>
      <c r="C1370" s="54" t="s">
        <v>1366</v>
      </c>
      <c r="D1370" s="54" t="s">
        <v>6497</v>
      </c>
      <c r="E1370" s="59"/>
      <c r="F1370" s="59" t="s">
        <v>1367</v>
      </c>
      <c r="G1370" s="151">
        <v>2310170</v>
      </c>
      <c r="H1370" s="55" t="s">
        <v>1368</v>
      </c>
      <c r="I1370" s="55" t="s">
        <v>7944</v>
      </c>
      <c r="J1370" s="55" t="s">
        <v>1369</v>
      </c>
      <c r="K1370" s="55" t="s">
        <v>1370</v>
      </c>
      <c r="L1370" s="55" t="s">
        <v>617</v>
      </c>
      <c r="M1370" s="55" t="s">
        <v>946</v>
      </c>
      <c r="N1370" s="60" t="s">
        <v>6376</v>
      </c>
      <c r="O1370" s="55" t="s">
        <v>918</v>
      </c>
      <c r="P1370" s="67">
        <v>3</v>
      </c>
      <c r="Q1370" s="67" t="s">
        <v>6173</v>
      </c>
      <c r="R1370" s="67">
        <v>1</v>
      </c>
      <c r="S1370" s="67" t="s">
        <v>6173</v>
      </c>
      <c r="T1370" s="56">
        <v>367.81</v>
      </c>
      <c r="U1370" s="103">
        <v>3.05</v>
      </c>
      <c r="V1370" s="103">
        <v>0.87799999999999989</v>
      </c>
      <c r="W1370" s="103">
        <v>0.55670296278732101</v>
      </c>
      <c r="X1370" s="103">
        <v>3.05</v>
      </c>
      <c r="Y1370" s="162">
        <v>7</v>
      </c>
      <c r="Z1370" s="56">
        <v>4.29</v>
      </c>
      <c r="AA1370" s="56">
        <v>4.38</v>
      </c>
      <c r="AB1370" s="56">
        <v>4.49</v>
      </c>
      <c r="AC1370" s="56">
        <v>0.79679999999999995</v>
      </c>
      <c r="AD1370" s="56">
        <v>4.43</v>
      </c>
      <c r="AE1370" s="56">
        <v>4.28</v>
      </c>
      <c r="AF1370" s="56">
        <f t="shared" si="316"/>
        <v>4.38</v>
      </c>
      <c r="AG1370" s="57">
        <v>4.92</v>
      </c>
      <c r="AH1370" s="103">
        <v>3.9400000000000001E-7</v>
      </c>
      <c r="AI1370" s="103"/>
      <c r="AJ1370" s="62">
        <f t="shared" si="317"/>
        <v>-4.7930701044870778</v>
      </c>
      <c r="AK1370" s="62"/>
      <c r="AL1370" s="62">
        <f t="shared" si="318"/>
        <v>-4.7930701044870778</v>
      </c>
      <c r="AM1370" s="62">
        <v>-14.334989999999999</v>
      </c>
      <c r="AN1370" s="154">
        <v>-5.78</v>
      </c>
      <c r="AO1370" s="410"/>
      <c r="AP1370" s="410">
        <v>-1.75</v>
      </c>
      <c r="AQ1370" s="154" t="s">
        <v>6314</v>
      </c>
      <c r="AR1370" s="154" t="s">
        <v>6312</v>
      </c>
      <c r="AS1370" s="149" t="s">
        <v>6</v>
      </c>
      <c r="AT1370" s="58" t="s">
        <v>266</v>
      </c>
      <c r="AU1370" s="56">
        <v>8</v>
      </c>
      <c r="AV1370" s="56">
        <v>144</v>
      </c>
      <c r="AW1370" s="56">
        <v>120</v>
      </c>
      <c r="AX1370" s="56">
        <v>26</v>
      </c>
      <c r="AY1370" s="56" t="s">
        <v>267</v>
      </c>
      <c r="AZ1370" s="56" t="s">
        <v>268</v>
      </c>
      <c r="BA1370" s="56">
        <v>2</v>
      </c>
      <c r="BB1370" s="55" t="s">
        <v>888</v>
      </c>
      <c r="BC1370" s="55" t="s">
        <v>270</v>
      </c>
      <c r="BD1370" s="55" t="s">
        <v>8374</v>
      </c>
      <c r="BE1370" s="56" t="s">
        <v>889</v>
      </c>
      <c r="BF1370" s="56" t="s">
        <v>272</v>
      </c>
      <c r="BG1370" s="56" t="s">
        <v>272</v>
      </c>
      <c r="BH1370" s="56" t="s">
        <v>890</v>
      </c>
      <c r="BI1370" s="153">
        <v>3.6780999999999999E-4</v>
      </c>
      <c r="BJ1370" s="153">
        <v>29.424800000000001</v>
      </c>
      <c r="BK1370" s="56"/>
      <c r="BL1370" s="153">
        <v>2.6520061852766288</v>
      </c>
      <c r="BM1370" s="56" t="s">
        <v>891</v>
      </c>
      <c r="BN1370" s="162"/>
      <c r="BO1370" s="162"/>
      <c r="BP1370" s="162"/>
      <c r="BQ1370" s="162"/>
      <c r="BR1370" s="162"/>
      <c r="BS1370" s="56">
        <v>5.6571425948833509</v>
      </c>
      <c r="BT1370" s="162"/>
      <c r="BU1370" s="158"/>
      <c r="BV1370" s="162"/>
      <c r="BW1370" s="162"/>
      <c r="BX1370" s="162"/>
      <c r="BY1370" s="162"/>
      <c r="BZ1370" s="162"/>
      <c r="CA1370" s="162"/>
      <c r="CB1370" s="162"/>
      <c r="CC1370" s="56"/>
      <c r="CD1370" s="56"/>
      <c r="CE1370" s="56"/>
      <c r="CF1370" s="56"/>
      <c r="CG1370" s="56"/>
      <c r="CH1370" s="56"/>
      <c r="CI1370" s="103">
        <v>5.6571425948833509</v>
      </c>
      <c r="CJ1370" s="103">
        <f t="shared" si="326"/>
        <v>0.75259712577779558</v>
      </c>
      <c r="CK1370" s="57">
        <f t="shared" si="307"/>
        <v>9.0128265452156978E-2</v>
      </c>
      <c r="CL1370" s="160">
        <f t="shared" si="319"/>
        <v>0.46878899387744927</v>
      </c>
      <c r="CM1370" s="160">
        <v>-1.1003433318879943</v>
      </c>
      <c r="CN1370" s="160">
        <f t="shared" si="324"/>
        <v>370.72924908946715</v>
      </c>
      <c r="CO1370" s="55" t="s">
        <v>892</v>
      </c>
      <c r="CP1370" s="497" t="s">
        <v>893</v>
      </c>
      <c r="CQ1370" s="149">
        <v>-0.77853818269657205</v>
      </c>
      <c r="CR1370" s="349">
        <f t="shared" si="325"/>
        <v>33.973110247974567</v>
      </c>
      <c r="CS1370" s="61" t="s">
        <v>539</v>
      </c>
      <c r="CT1370" s="61"/>
      <c r="CU1370" s="111">
        <f t="shared" si="320"/>
        <v>0.53914143913547408</v>
      </c>
      <c r="CV1370" s="331">
        <f t="shared" si="310"/>
        <v>0.10365406052037736</v>
      </c>
      <c r="CW1370" s="326">
        <f t="shared" si="327"/>
        <v>0</v>
      </c>
      <c r="CX1370" s="326" t="s">
        <v>539</v>
      </c>
      <c r="CY1370" s="161" t="s">
        <v>5921</v>
      </c>
    </row>
    <row r="1371" spans="1:103" ht="11.25" customHeight="1" x14ac:dyDescent="0.2">
      <c r="A1371" s="72">
        <v>274</v>
      </c>
      <c r="B1371" s="149">
        <v>198</v>
      </c>
      <c r="C1371" s="54" t="s">
        <v>968</v>
      </c>
      <c r="D1371" s="54" t="s">
        <v>6489</v>
      </c>
      <c r="E1371" s="59"/>
      <c r="F1371" s="59" t="s">
        <v>969</v>
      </c>
      <c r="G1371" s="151">
        <v>741582</v>
      </c>
      <c r="H1371" s="55" t="s">
        <v>970</v>
      </c>
      <c r="I1371" s="55" t="s">
        <v>970</v>
      </c>
      <c r="J1371" s="55" t="s">
        <v>971</v>
      </c>
      <c r="K1371" s="55" t="s">
        <v>951</v>
      </c>
      <c r="L1371" s="55" t="s">
        <v>5948</v>
      </c>
      <c r="M1371" s="55" t="s">
        <v>946</v>
      </c>
      <c r="N1371" s="60" t="s">
        <v>6376</v>
      </c>
      <c r="O1371" s="55" t="s">
        <v>5947</v>
      </c>
      <c r="P1371" s="67">
        <v>3</v>
      </c>
      <c r="Q1371" s="67" t="s">
        <v>6173</v>
      </c>
      <c r="R1371" s="67">
        <v>1</v>
      </c>
      <c r="S1371" s="67" t="s">
        <v>6173</v>
      </c>
      <c r="T1371" s="56">
        <v>397.52</v>
      </c>
      <c r="U1371" s="103">
        <v>25</v>
      </c>
      <c r="V1371" s="103">
        <v>0.82169999999999999</v>
      </c>
      <c r="W1371" s="103">
        <v>7.2336748531463995</v>
      </c>
      <c r="X1371" s="103">
        <v>25</v>
      </c>
      <c r="Y1371" s="162">
        <v>6.98</v>
      </c>
      <c r="Z1371" s="56">
        <v>4.12</v>
      </c>
      <c r="AA1371" s="56">
        <v>4.2</v>
      </c>
      <c r="AB1371" s="56">
        <v>4.09</v>
      </c>
      <c r="AC1371" s="56">
        <v>0.82809999999999995</v>
      </c>
      <c r="AD1371" s="56">
        <v>4.12</v>
      </c>
      <c r="AE1371" s="56">
        <v>4.22</v>
      </c>
      <c r="AF1371" s="56">
        <f t="shared" si="316"/>
        <v>4.2</v>
      </c>
      <c r="AG1371" s="57">
        <v>4</v>
      </c>
      <c r="AH1371" s="103">
        <v>3.2799999999999998E-9</v>
      </c>
      <c r="AI1371" s="103">
        <v>9.1499999999999992E-9</v>
      </c>
      <c r="AJ1371" s="62">
        <f t="shared" si="317"/>
        <v>-6.8726924826009723</v>
      </c>
      <c r="AK1371" s="62">
        <f>LOG10(AI1371*1000/(0.08206*298.15))</f>
        <v>-6.4271452322462039</v>
      </c>
      <c r="AL1371" s="62">
        <f t="shared" si="318"/>
        <v>-6.4271452322462039</v>
      </c>
      <c r="AM1371" s="62">
        <v>-17.95234</v>
      </c>
      <c r="AN1371" s="154">
        <v>-14.8</v>
      </c>
      <c r="AO1371" s="410">
        <v>10.210000000000001</v>
      </c>
      <c r="AP1371" s="410">
        <v>-7.16</v>
      </c>
      <c r="AQ1371" s="154" t="s">
        <v>6313</v>
      </c>
      <c r="AR1371" s="154" t="s">
        <v>6313</v>
      </c>
      <c r="AS1371" s="149" t="s">
        <v>6</v>
      </c>
      <c r="AT1371" s="58" t="s">
        <v>266</v>
      </c>
      <c r="AU1371" s="56">
        <v>8</v>
      </c>
      <c r="AV1371" s="56">
        <v>144</v>
      </c>
      <c r="AW1371" s="56">
        <v>120</v>
      </c>
      <c r="AX1371" s="56">
        <v>26</v>
      </c>
      <c r="AY1371" s="56" t="s">
        <v>267</v>
      </c>
      <c r="AZ1371" s="56" t="s">
        <v>268</v>
      </c>
      <c r="BA1371" s="56">
        <v>6</v>
      </c>
      <c r="BB1371" s="55" t="s">
        <v>888</v>
      </c>
      <c r="BC1371" s="55" t="s">
        <v>270</v>
      </c>
      <c r="BD1371" s="55" t="s">
        <v>8374</v>
      </c>
      <c r="BE1371" s="56" t="s">
        <v>889</v>
      </c>
      <c r="BF1371" s="56" t="s">
        <v>272</v>
      </c>
      <c r="BG1371" s="56" t="s">
        <v>272</v>
      </c>
      <c r="BH1371" s="56" t="s">
        <v>890</v>
      </c>
      <c r="BI1371" s="153">
        <v>3.9751999999999995E-4</v>
      </c>
      <c r="BJ1371" s="153">
        <v>31.801600000000001</v>
      </c>
      <c r="BK1371" s="56"/>
      <c r="BL1371" s="153">
        <v>4.0736806837156658</v>
      </c>
      <c r="BM1371" s="56" t="s">
        <v>891</v>
      </c>
      <c r="BN1371" s="162"/>
      <c r="BO1371" s="162"/>
      <c r="BP1371" s="162"/>
      <c r="BQ1371" s="162"/>
      <c r="BR1371" s="162"/>
      <c r="BS1371" s="56">
        <v>6.114100552780048</v>
      </c>
      <c r="BT1371" s="162"/>
      <c r="BU1371" s="158"/>
      <c r="BV1371" s="162"/>
      <c r="BW1371" s="162"/>
      <c r="BX1371" s="162"/>
      <c r="BY1371" s="162"/>
      <c r="BZ1371" s="162"/>
      <c r="CA1371" s="162"/>
      <c r="CB1371" s="162"/>
      <c r="CC1371" s="56"/>
      <c r="CD1371" s="56"/>
      <c r="CE1371" s="56"/>
      <c r="CF1371" s="56"/>
      <c r="CG1371" s="56"/>
      <c r="CH1371" s="56"/>
      <c r="CI1371" s="103">
        <v>6.114100552780048</v>
      </c>
      <c r="CJ1371" s="103">
        <f t="shared" si="326"/>
        <v>0.78633257687590863</v>
      </c>
      <c r="CK1371" s="57">
        <f t="shared" si="307"/>
        <v>0.1280967210365411</v>
      </c>
      <c r="CL1371" s="160">
        <f t="shared" si="319"/>
        <v>0.66627636371851706</v>
      </c>
      <c r="CM1371" s="160">
        <v>0.1016776856219269</v>
      </c>
      <c r="CN1371" s="160">
        <f t="shared" si="324"/>
        <v>25.163513787772633</v>
      </c>
      <c r="CO1371" s="55" t="s">
        <v>892</v>
      </c>
      <c r="CP1371" s="497" t="s">
        <v>893</v>
      </c>
      <c r="CQ1371" s="149">
        <v>0.11815136946253021</v>
      </c>
      <c r="CR1371" s="349">
        <f t="shared" si="325"/>
        <v>4.6578039775358544</v>
      </c>
      <c r="CS1371" s="61" t="s">
        <v>539</v>
      </c>
      <c r="CT1371" s="61"/>
      <c r="CU1371" s="111">
        <f t="shared" si="320"/>
        <v>4.0889088728893475</v>
      </c>
      <c r="CV1371" s="331">
        <f t="shared" si="310"/>
        <v>0.78612396860535316</v>
      </c>
      <c r="CW1371" s="326">
        <f t="shared" si="327"/>
        <v>1</v>
      </c>
      <c r="CX1371" s="326" t="s">
        <v>539</v>
      </c>
      <c r="CY1371" s="161" t="s">
        <v>5921</v>
      </c>
    </row>
    <row r="1372" spans="1:103" ht="11.25" customHeight="1" x14ac:dyDescent="0.2">
      <c r="A1372" s="72">
        <v>276</v>
      </c>
      <c r="B1372" s="149">
        <v>403</v>
      </c>
      <c r="C1372" s="54" t="s">
        <v>1379</v>
      </c>
      <c r="D1372" s="54" t="s">
        <v>6515</v>
      </c>
      <c r="E1372" s="59"/>
      <c r="F1372" s="59" t="s">
        <v>1380</v>
      </c>
      <c r="G1372" s="151">
        <v>29232937</v>
      </c>
      <c r="H1372" s="55" t="s">
        <v>1381</v>
      </c>
      <c r="I1372" s="55" t="s">
        <v>1381</v>
      </c>
      <c r="J1372" s="55" t="s">
        <v>1382</v>
      </c>
      <c r="K1372" s="55" t="s">
        <v>628</v>
      </c>
      <c r="L1372" s="55" t="s">
        <v>617</v>
      </c>
      <c r="M1372" s="55" t="s">
        <v>946</v>
      </c>
      <c r="N1372" s="60" t="s">
        <v>6376</v>
      </c>
      <c r="O1372" s="55" t="s">
        <v>918</v>
      </c>
      <c r="P1372" s="67">
        <v>3</v>
      </c>
      <c r="Q1372" s="67" t="s">
        <v>6173</v>
      </c>
      <c r="R1372" s="67">
        <v>1</v>
      </c>
      <c r="S1372" s="67" t="s">
        <v>6173</v>
      </c>
      <c r="T1372" s="56">
        <v>305.33</v>
      </c>
      <c r="U1372" s="103">
        <v>8.6</v>
      </c>
      <c r="V1372" s="103">
        <v>2.9590000000000001</v>
      </c>
      <c r="W1372" s="103">
        <v>7.8481894435281667</v>
      </c>
      <c r="X1372" s="103">
        <v>8.6</v>
      </c>
      <c r="Y1372" s="162">
        <v>7.03</v>
      </c>
      <c r="Z1372" s="56">
        <v>4</v>
      </c>
      <c r="AA1372" s="56">
        <v>4.2</v>
      </c>
      <c r="AB1372" s="56">
        <v>3.91</v>
      </c>
      <c r="AC1372" s="56">
        <v>0.879</v>
      </c>
      <c r="AD1372" s="56">
        <v>3.93</v>
      </c>
      <c r="AE1372" s="56">
        <v>4</v>
      </c>
      <c r="AF1372" s="56">
        <f t="shared" si="316"/>
        <v>4.2</v>
      </c>
      <c r="AG1372" s="57">
        <v>3.79</v>
      </c>
      <c r="AH1372" s="103">
        <v>2.5299999999999999E-6</v>
      </c>
      <c r="AI1372" s="103">
        <v>7.0100000000000004E-7</v>
      </c>
      <c r="AJ1372" s="62">
        <f t="shared" si="317"/>
        <v>-3.985445805136834</v>
      </c>
      <c r="AK1372" s="62">
        <f>LOG10(AI1372*1000/(0.08206*298.15))</f>
        <v>-4.5428483083459934</v>
      </c>
      <c r="AL1372" s="62">
        <f t="shared" si="318"/>
        <v>-4.5428483083459934</v>
      </c>
      <c r="AM1372" s="62">
        <v>-12.844440000000001</v>
      </c>
      <c r="AN1372" s="154">
        <v>-4.0199999999999996</v>
      </c>
      <c r="AO1372" s="410"/>
      <c r="AP1372" s="410">
        <v>3.74</v>
      </c>
      <c r="AQ1372" s="154" t="s">
        <v>6312</v>
      </c>
      <c r="AR1372" s="154" t="s">
        <v>6312</v>
      </c>
      <c r="AS1372" s="149" t="s">
        <v>6</v>
      </c>
      <c r="AT1372" s="58" t="s">
        <v>266</v>
      </c>
      <c r="AU1372" s="56">
        <v>8</v>
      </c>
      <c r="AV1372" s="56">
        <v>144</v>
      </c>
      <c r="AW1372" s="56">
        <v>120</v>
      </c>
      <c r="AX1372" s="56">
        <v>26</v>
      </c>
      <c r="AY1372" s="56" t="s">
        <v>267</v>
      </c>
      <c r="AZ1372" s="56" t="s">
        <v>268</v>
      </c>
      <c r="BA1372" s="56">
        <v>2</v>
      </c>
      <c r="BB1372" s="55" t="s">
        <v>888</v>
      </c>
      <c r="BC1372" s="55" t="s">
        <v>270</v>
      </c>
      <c r="BD1372" s="55" t="s">
        <v>8374</v>
      </c>
      <c r="BE1372" s="56" t="s">
        <v>889</v>
      </c>
      <c r="BF1372" s="56" t="s">
        <v>272</v>
      </c>
      <c r="BG1372" s="56" t="s">
        <v>272</v>
      </c>
      <c r="BH1372" s="56" t="s">
        <v>890</v>
      </c>
      <c r="BI1372" s="153">
        <v>3.0532999999999998E-4</v>
      </c>
      <c r="BJ1372" s="153">
        <v>24.426400000000001</v>
      </c>
      <c r="BK1372" s="56"/>
      <c r="BL1372" s="153">
        <v>4.0102318112453954</v>
      </c>
      <c r="BM1372" s="56" t="s">
        <v>891</v>
      </c>
      <c r="BN1372" s="162"/>
      <c r="BO1372" s="162"/>
      <c r="BP1372" s="162"/>
      <c r="BQ1372" s="162"/>
      <c r="BR1372" s="162"/>
      <c r="BS1372" s="56">
        <v>4.6961620089060476</v>
      </c>
      <c r="BT1372" s="162"/>
      <c r="BU1372" s="158"/>
      <c r="BV1372" s="162"/>
      <c r="BW1372" s="162"/>
      <c r="BX1372" s="162"/>
      <c r="BY1372" s="162"/>
      <c r="BZ1372" s="162"/>
      <c r="CA1372" s="162"/>
      <c r="CB1372" s="162"/>
      <c r="CC1372" s="56"/>
      <c r="CD1372" s="56"/>
      <c r="CE1372" s="56"/>
      <c r="CF1372" s="56"/>
      <c r="CG1372" s="56"/>
      <c r="CH1372" s="56"/>
      <c r="CI1372" s="103">
        <v>4.6961620089060476</v>
      </c>
      <c r="CJ1372" s="103">
        <f t="shared" si="326"/>
        <v>0.67174307085460583</v>
      </c>
      <c r="CK1372" s="57">
        <f t="shared" si="307"/>
        <v>0.16417612956659169</v>
      </c>
      <c r="CL1372" s="160">
        <f t="shared" si="319"/>
        <v>0.85393813152957276</v>
      </c>
      <c r="CM1372" s="160">
        <v>-0.16458032283123869</v>
      </c>
      <c r="CN1372" s="160">
        <f t="shared" si="324"/>
        <v>35.681227586063841</v>
      </c>
      <c r="CO1372" s="55" t="s">
        <v>892</v>
      </c>
      <c r="CP1372" s="497" t="s">
        <v>893</v>
      </c>
      <c r="CQ1372" s="149">
        <v>0.13128634903465097</v>
      </c>
      <c r="CR1372" s="349">
        <f t="shared" si="325"/>
        <v>3.4710168489392736</v>
      </c>
      <c r="CS1372" s="61" t="s">
        <v>539</v>
      </c>
      <c r="CT1372" s="61"/>
      <c r="CU1372" s="111">
        <f t="shared" si="320"/>
        <v>1.8312826481902689</v>
      </c>
      <c r="CV1372" s="331">
        <f t="shared" si="310"/>
        <v>0.35207807945501585</v>
      </c>
      <c r="CW1372" s="326">
        <f t="shared" si="327"/>
        <v>0</v>
      </c>
      <c r="CX1372" s="326" t="s">
        <v>539</v>
      </c>
      <c r="CY1372" s="161" t="s">
        <v>5921</v>
      </c>
    </row>
    <row r="1373" spans="1:103" ht="11.25" customHeight="1" x14ac:dyDescent="0.2">
      <c r="A1373" s="72">
        <v>280</v>
      </c>
      <c r="B1373" s="149">
        <v>408</v>
      </c>
      <c r="C1373" s="54" t="s">
        <v>1396</v>
      </c>
      <c r="D1373" s="54" t="s">
        <v>6519</v>
      </c>
      <c r="E1373" s="59"/>
      <c r="F1373" s="59" t="s">
        <v>1397</v>
      </c>
      <c r="G1373" s="151">
        <v>41198087</v>
      </c>
      <c r="H1373" s="55" t="s">
        <v>1398</v>
      </c>
      <c r="I1373" s="55" t="s">
        <v>7947</v>
      </c>
      <c r="J1373" s="55" t="s">
        <v>1399</v>
      </c>
      <c r="K1373" s="55" t="s">
        <v>637</v>
      </c>
      <c r="L1373" s="55" t="s">
        <v>617</v>
      </c>
      <c r="M1373" s="55" t="s">
        <v>946</v>
      </c>
      <c r="N1373" s="60" t="s">
        <v>6376</v>
      </c>
      <c r="O1373" s="55" t="s">
        <v>918</v>
      </c>
      <c r="P1373" s="67">
        <v>3</v>
      </c>
      <c r="Q1373" s="67" t="s">
        <v>6173</v>
      </c>
      <c r="R1373" s="67">
        <v>1</v>
      </c>
      <c r="S1373" s="67" t="s">
        <v>6173</v>
      </c>
      <c r="T1373" s="56">
        <v>373.63</v>
      </c>
      <c r="U1373" s="103">
        <v>28.000000000000004</v>
      </c>
      <c r="V1373" s="103">
        <v>0.44840000000000002</v>
      </c>
      <c r="W1373" s="103">
        <v>15.938290560983893</v>
      </c>
      <c r="X1373" s="103">
        <v>28.000000000000004</v>
      </c>
      <c r="Y1373" s="162">
        <v>7</v>
      </c>
      <c r="Z1373" s="56">
        <v>4.82</v>
      </c>
      <c r="AA1373" s="56">
        <v>4.68</v>
      </c>
      <c r="AB1373" s="56">
        <v>4.34</v>
      </c>
      <c r="AC1373" s="56">
        <v>0.82909999999999995</v>
      </c>
      <c r="AD1373" s="56">
        <v>4.4000000000000004</v>
      </c>
      <c r="AE1373" s="56">
        <v>4.5999999999999996</v>
      </c>
      <c r="AF1373" s="56">
        <f t="shared" ref="AF1373:AF1404" si="328">IF(AA1373=0,AD1373,AA1373)</f>
        <v>4.68</v>
      </c>
      <c r="AG1373" s="57">
        <v>4.7300000000000004</v>
      </c>
      <c r="AH1373" s="103">
        <v>3.4900000000000001E-8</v>
      </c>
      <c r="AI1373" s="103">
        <v>2.2099999999999999E-8</v>
      </c>
      <c r="AJ1373" s="62">
        <f t="shared" ref="AJ1373:AJ1404" si="329">LOG10(AH1373*1000/(0.08206*298.15))</f>
        <v>-5.8457408993534719</v>
      </c>
      <c r="AK1373" s="62">
        <f>LOG10(AI1373*1000/(0.08206*298.15))</f>
        <v>-6.0441740526275414</v>
      </c>
      <c r="AL1373" s="62">
        <f t="shared" ref="AL1373:AL1404" si="330">IF(AK1373=0,AJ1373,AK1373)</f>
        <v>-6.0441740526275414</v>
      </c>
      <c r="AM1373" s="62">
        <v>-11.780619999999999</v>
      </c>
      <c r="AN1373" s="154">
        <v>-4.54</v>
      </c>
      <c r="AO1373" s="410"/>
      <c r="AP1373" s="410"/>
      <c r="AQ1373" s="154" t="s">
        <v>6315</v>
      </c>
      <c r="AR1373" s="154" t="s">
        <v>6315</v>
      </c>
      <c r="AS1373" s="149" t="s">
        <v>6</v>
      </c>
      <c r="AT1373" s="58" t="s">
        <v>266</v>
      </c>
      <c r="AU1373" s="56">
        <v>8</v>
      </c>
      <c r="AV1373" s="56">
        <v>144</v>
      </c>
      <c r="AW1373" s="56">
        <v>120</v>
      </c>
      <c r="AX1373" s="56">
        <v>26</v>
      </c>
      <c r="AY1373" s="56" t="s">
        <v>267</v>
      </c>
      <c r="AZ1373" s="56" t="s">
        <v>268</v>
      </c>
      <c r="BA1373" s="56">
        <v>2</v>
      </c>
      <c r="BB1373" s="55" t="s">
        <v>888</v>
      </c>
      <c r="BC1373" s="55" t="s">
        <v>270</v>
      </c>
      <c r="BD1373" s="55" t="s">
        <v>8374</v>
      </c>
      <c r="BE1373" s="56" t="s">
        <v>889</v>
      </c>
      <c r="BF1373" s="56" t="s">
        <v>272</v>
      </c>
      <c r="BG1373" s="56" t="s">
        <v>272</v>
      </c>
      <c r="BH1373" s="56" t="s">
        <v>890</v>
      </c>
      <c r="BI1373" s="153">
        <v>3.7362999999999996E-4</v>
      </c>
      <c r="BJ1373" s="153">
        <v>29.8904</v>
      </c>
      <c r="BK1373" s="56"/>
      <c r="BL1373" s="153">
        <v>0.90032589187681145</v>
      </c>
      <c r="BM1373" s="56" t="s">
        <v>891</v>
      </c>
      <c r="BN1373" s="162"/>
      <c r="BO1373" s="162"/>
      <c r="BP1373" s="162"/>
      <c r="BQ1373" s="162"/>
      <c r="BR1373" s="162"/>
      <c r="BS1373" s="56">
        <v>5.7466577518998019</v>
      </c>
      <c r="BT1373" s="162"/>
      <c r="BU1373" s="158"/>
      <c r="BV1373" s="162"/>
      <c r="BW1373" s="162"/>
      <c r="BX1373" s="162"/>
      <c r="BY1373" s="162"/>
      <c r="BZ1373" s="162"/>
      <c r="CA1373" s="162"/>
      <c r="CB1373" s="162"/>
      <c r="CC1373" s="56"/>
      <c r="CD1373" s="56"/>
      <c r="CE1373" s="56"/>
      <c r="CF1373" s="56"/>
      <c r="CG1373" s="56"/>
      <c r="CH1373" s="56"/>
      <c r="CI1373" s="103">
        <v>5.7466577518998019</v>
      </c>
      <c r="CJ1373" s="103">
        <f t="shared" si="326"/>
        <v>0.75941533305028563</v>
      </c>
      <c r="CK1373" s="57">
        <f t="shared" ref="CK1373:CK1436" si="331">BL1373/BJ1373</f>
        <v>3.0120904767979399E-2</v>
      </c>
      <c r="CL1373" s="160">
        <f t="shared" ref="CL1373:CL1404" si="332">BL1373/CI1373</f>
        <v>0.15666948176601792</v>
      </c>
      <c r="CM1373" s="160">
        <v>-1.56882609468568</v>
      </c>
      <c r="CN1373" s="160">
        <f t="shared" si="324"/>
        <v>1107.5359232449025</v>
      </c>
      <c r="CO1373" s="55" t="s">
        <v>892</v>
      </c>
      <c r="CP1373" s="497" t="s">
        <v>893</v>
      </c>
      <c r="CQ1373" s="149">
        <v>-1.3921429204433562</v>
      </c>
      <c r="CR1373" s="349">
        <f t="shared" si="325"/>
        <v>141.76148485106441</v>
      </c>
      <c r="CS1373" s="61" t="s">
        <v>539</v>
      </c>
      <c r="CT1373" s="61"/>
      <c r="CU1373" s="111">
        <f t="shared" ref="CU1373:CU1404" si="333">X1373/CI1373</f>
        <v>4.872397349701818</v>
      </c>
      <c r="CV1373" s="331">
        <f t="shared" ref="CV1373:CV1436" si="334">X1373/BJ1373</f>
        <v>0.93675561384257167</v>
      </c>
      <c r="CW1373" s="326">
        <f t="shared" si="327"/>
        <v>1</v>
      </c>
      <c r="CX1373" s="326" t="s">
        <v>539</v>
      </c>
      <c r="CY1373" s="161" t="s">
        <v>6351</v>
      </c>
    </row>
    <row r="1374" spans="1:103" ht="11.25" customHeight="1" x14ac:dyDescent="0.2">
      <c r="A1374" s="72">
        <v>281</v>
      </c>
      <c r="B1374" s="149">
        <v>319</v>
      </c>
      <c r="C1374" s="54" t="s">
        <v>1244</v>
      </c>
      <c r="D1374" s="54" t="s">
        <v>6530</v>
      </c>
      <c r="E1374" s="59"/>
      <c r="F1374" s="59" t="s">
        <v>1245</v>
      </c>
      <c r="G1374" s="151">
        <v>66332965</v>
      </c>
      <c r="H1374" s="55" t="s">
        <v>1246</v>
      </c>
      <c r="I1374" s="55" t="s">
        <v>1246</v>
      </c>
      <c r="J1374" s="55" t="s">
        <v>1247</v>
      </c>
      <c r="K1374" s="55" t="s">
        <v>471</v>
      </c>
      <c r="L1374" s="55" t="s">
        <v>6123</v>
      </c>
      <c r="M1374" s="55" t="s">
        <v>6082</v>
      </c>
      <c r="N1374" s="60" t="s">
        <v>6082</v>
      </c>
      <c r="O1374" s="55" t="s">
        <v>6083</v>
      </c>
      <c r="P1374" s="67">
        <v>3</v>
      </c>
      <c r="Q1374" s="67" t="s">
        <v>6173</v>
      </c>
      <c r="R1374" s="67">
        <v>1</v>
      </c>
      <c r="S1374" s="67" t="s">
        <v>6173</v>
      </c>
      <c r="T1374" s="56">
        <v>323.31</v>
      </c>
      <c r="U1374" s="103">
        <v>6.53</v>
      </c>
      <c r="V1374" s="103">
        <v>6.1959999999999997</v>
      </c>
      <c r="W1374" s="103">
        <v>3.5450236559505295</v>
      </c>
      <c r="X1374" s="103">
        <v>6.53</v>
      </c>
      <c r="Y1374" s="162">
        <v>7</v>
      </c>
      <c r="Z1374" s="56">
        <v>4.6500000000000004</v>
      </c>
      <c r="AA1374" s="56">
        <v>3.7</v>
      </c>
      <c r="AB1374" s="56">
        <v>4.17</v>
      </c>
      <c r="AC1374" s="56">
        <v>0.85319999999999996</v>
      </c>
      <c r="AD1374" s="56">
        <v>4.0599999999999996</v>
      </c>
      <c r="AE1374" s="56">
        <v>3.7</v>
      </c>
      <c r="AF1374" s="56">
        <f t="shared" si="328"/>
        <v>3.7</v>
      </c>
      <c r="AG1374" s="57">
        <v>4.07</v>
      </c>
      <c r="AH1374" s="103">
        <v>1.1100000000000001E-9</v>
      </c>
      <c r="AI1374" s="103">
        <v>3.1800000000000002E-9</v>
      </c>
      <c r="AJ1374" s="62">
        <f t="shared" si="329"/>
        <v>-7.3432433475259939</v>
      </c>
      <c r="AK1374" s="62">
        <f>LOG10(AI1374*1000/(0.08206*298.15))</f>
        <v>-6.8861392063282194</v>
      </c>
      <c r="AL1374" s="62">
        <f t="shared" si="330"/>
        <v>-6.8861392063282194</v>
      </c>
      <c r="AM1374" s="62">
        <v>-12.147180000000001</v>
      </c>
      <c r="AN1374" s="154">
        <v>-8.86</v>
      </c>
      <c r="AO1374" s="410">
        <v>12.44</v>
      </c>
      <c r="AP1374" s="410">
        <v>-2.52</v>
      </c>
      <c r="AQ1374" s="154" t="s">
        <v>6311</v>
      </c>
      <c r="AR1374" s="154" t="s">
        <v>6311</v>
      </c>
      <c r="AS1374" s="149" t="s">
        <v>6</v>
      </c>
      <c r="AT1374" s="58" t="s">
        <v>266</v>
      </c>
      <c r="AU1374" s="56">
        <v>8</v>
      </c>
      <c r="AV1374" s="56">
        <v>144</v>
      </c>
      <c r="AW1374" s="56">
        <v>120</v>
      </c>
      <c r="AX1374" s="56">
        <v>26</v>
      </c>
      <c r="AY1374" s="56" t="s">
        <v>267</v>
      </c>
      <c r="AZ1374" s="56" t="s">
        <v>268</v>
      </c>
      <c r="BA1374" s="56">
        <v>2</v>
      </c>
      <c r="BB1374" s="55" t="s">
        <v>888</v>
      </c>
      <c r="BC1374" s="55" t="s">
        <v>270</v>
      </c>
      <c r="BD1374" s="55" t="s">
        <v>8374</v>
      </c>
      <c r="BE1374" s="56" t="s">
        <v>889</v>
      </c>
      <c r="BF1374" s="56" t="s">
        <v>272</v>
      </c>
      <c r="BG1374" s="56" t="s">
        <v>272</v>
      </c>
      <c r="BH1374" s="56" t="s">
        <v>890</v>
      </c>
      <c r="BI1374" s="153">
        <v>3.2330999999999999E-4</v>
      </c>
      <c r="BJ1374" s="153">
        <v>25.864800000000002</v>
      </c>
      <c r="BK1374" s="56"/>
      <c r="BL1374" s="153">
        <v>1.1072715402816538</v>
      </c>
      <c r="BM1374" s="56" t="s">
        <v>891</v>
      </c>
      <c r="BN1374" s="162"/>
      <c r="BO1374" s="162"/>
      <c r="BP1374" s="162"/>
      <c r="BQ1374" s="162"/>
      <c r="BR1374" s="162"/>
      <c r="BS1374" s="56">
        <v>4.9727053977644324</v>
      </c>
      <c r="BT1374" s="162"/>
      <c r="BU1374" s="158"/>
      <c r="BV1374" s="162"/>
      <c r="BW1374" s="162"/>
      <c r="BX1374" s="162"/>
      <c r="BY1374" s="162"/>
      <c r="BZ1374" s="162"/>
      <c r="CA1374" s="162"/>
      <c r="CB1374" s="162"/>
      <c r="CC1374" s="56"/>
      <c r="CD1374" s="56"/>
      <c r="CE1374" s="56"/>
      <c r="CF1374" s="56"/>
      <c r="CG1374" s="56"/>
      <c r="CH1374" s="56"/>
      <c r="CI1374" s="103">
        <v>4.9727053977644324</v>
      </c>
      <c r="CJ1374" s="103">
        <f t="shared" si="326"/>
        <v>0.696592730715205</v>
      </c>
      <c r="CK1374" s="57">
        <f t="shared" si="331"/>
        <v>4.2809978823793483E-2</v>
      </c>
      <c r="CL1374" s="160">
        <f t="shared" si="332"/>
        <v>0.22266984502630041</v>
      </c>
      <c r="CM1374" s="160">
        <v>0.68124123737558717</v>
      </c>
      <c r="CN1374" s="160">
        <f t="shared" si="324"/>
        <v>5.3885000000000005</v>
      </c>
      <c r="CO1374" s="55" t="s">
        <v>892</v>
      </c>
      <c r="CP1374" s="497" t="s">
        <v>893</v>
      </c>
      <c r="CQ1374" s="149">
        <v>0.70681749859927789</v>
      </c>
      <c r="CR1374" s="349">
        <f t="shared" si="325"/>
        <v>0.97673158544504945</v>
      </c>
      <c r="CS1374" s="61" t="s">
        <v>539</v>
      </c>
      <c r="CT1374" s="61"/>
      <c r="CU1374" s="111">
        <f t="shared" si="333"/>
        <v>1.3131684822784147</v>
      </c>
      <c r="CV1374" s="331">
        <f t="shared" si="334"/>
        <v>0.2524666728526801</v>
      </c>
      <c r="CW1374" s="326">
        <f t="shared" si="327"/>
        <v>0</v>
      </c>
      <c r="CX1374" s="326" t="s">
        <v>539</v>
      </c>
      <c r="CY1374" s="161" t="s">
        <v>5921</v>
      </c>
    </row>
    <row r="1375" spans="1:103" ht="11.25" customHeight="1" x14ac:dyDescent="0.2">
      <c r="A1375" s="72">
        <v>283</v>
      </c>
      <c r="B1375" s="149">
        <v>383</v>
      </c>
      <c r="C1375" s="54" t="s">
        <v>1332</v>
      </c>
      <c r="D1375" s="54" t="s">
        <v>6508</v>
      </c>
      <c r="E1375" s="59"/>
      <c r="F1375" s="59" t="s">
        <v>1333</v>
      </c>
      <c r="G1375" s="151">
        <v>19044883</v>
      </c>
      <c r="H1375" s="55" t="s">
        <v>1334</v>
      </c>
      <c r="I1375" s="55" t="s">
        <v>8104</v>
      </c>
      <c r="J1375" s="55" t="s">
        <v>1335</v>
      </c>
      <c r="K1375" s="55" t="s">
        <v>1336</v>
      </c>
      <c r="L1375" s="55" t="s">
        <v>6003</v>
      </c>
      <c r="M1375" s="55" t="s">
        <v>6088</v>
      </c>
      <c r="N1375" s="60" t="s">
        <v>6088</v>
      </c>
      <c r="O1375" s="55" t="s">
        <v>6083</v>
      </c>
      <c r="P1375" s="67">
        <v>3</v>
      </c>
      <c r="Q1375" s="67" t="s">
        <v>6173</v>
      </c>
      <c r="R1375" s="67">
        <v>1</v>
      </c>
      <c r="S1375" s="67" t="s">
        <v>6173</v>
      </c>
      <c r="T1375" s="56">
        <v>346.36</v>
      </c>
      <c r="U1375" s="103">
        <v>2.5</v>
      </c>
      <c r="V1375" s="103">
        <v>4.2519999999999998</v>
      </c>
      <c r="W1375" s="103">
        <v>3.3077123209438453</v>
      </c>
      <c r="X1375" s="103">
        <v>2.5</v>
      </c>
      <c r="Y1375" s="162">
        <v>6.89</v>
      </c>
      <c r="Z1375" s="56">
        <v>2.73</v>
      </c>
      <c r="AA1375" s="56">
        <v>3.73</v>
      </c>
      <c r="AB1375" s="56">
        <v>2.34</v>
      </c>
      <c r="AC1375" s="56">
        <v>0.86619999999999997</v>
      </c>
      <c r="AD1375" s="56">
        <v>2.59</v>
      </c>
      <c r="AE1375" s="56">
        <v>3.38</v>
      </c>
      <c r="AF1375" s="56">
        <f t="shared" si="328"/>
        <v>3.73</v>
      </c>
      <c r="AG1375" s="57">
        <v>1.55</v>
      </c>
      <c r="AH1375" s="103">
        <v>1.9099999999999998E-9</v>
      </c>
      <c r="AI1375" s="103"/>
      <c r="AJ1375" s="62">
        <f t="shared" si="329"/>
        <v>-7.1075329590649243</v>
      </c>
      <c r="AK1375" s="62"/>
      <c r="AL1375" s="62">
        <f t="shared" si="330"/>
        <v>-7.1075329590649243</v>
      </c>
      <c r="AM1375" s="62">
        <v>-19.59789</v>
      </c>
      <c r="AN1375" s="154">
        <v>-15.6</v>
      </c>
      <c r="AO1375" s="410">
        <v>9.14</v>
      </c>
      <c r="AP1375" s="410">
        <v>-2.57</v>
      </c>
      <c r="AQ1375" s="154" t="s">
        <v>6311</v>
      </c>
      <c r="AR1375" s="154" t="s">
        <v>6311</v>
      </c>
      <c r="AS1375" s="149" t="s">
        <v>6</v>
      </c>
      <c r="AT1375" s="58" t="s">
        <v>266</v>
      </c>
      <c r="AU1375" s="56">
        <v>8</v>
      </c>
      <c r="AV1375" s="56">
        <v>144</v>
      </c>
      <c r="AW1375" s="56">
        <v>120</v>
      </c>
      <c r="AX1375" s="56">
        <v>26</v>
      </c>
      <c r="AY1375" s="56" t="s">
        <v>267</v>
      </c>
      <c r="AZ1375" s="56" t="s">
        <v>268</v>
      </c>
      <c r="BA1375" s="56">
        <v>2</v>
      </c>
      <c r="BB1375" s="55" t="s">
        <v>888</v>
      </c>
      <c r="BC1375" s="55" t="s">
        <v>270</v>
      </c>
      <c r="BD1375" s="55" t="s">
        <v>8374</v>
      </c>
      <c r="BE1375" s="56" t="s">
        <v>889</v>
      </c>
      <c r="BF1375" s="56" t="s">
        <v>272</v>
      </c>
      <c r="BG1375" s="56" t="s">
        <v>272</v>
      </c>
      <c r="BH1375" s="56" t="s">
        <v>890</v>
      </c>
      <c r="BI1375" s="153">
        <v>3.4635999999999998E-4</v>
      </c>
      <c r="BJ1375" s="153">
        <v>27.7088</v>
      </c>
      <c r="BK1375" s="56"/>
      <c r="BL1375" s="153">
        <v>62.880318232954735</v>
      </c>
      <c r="BM1375" s="56" t="s">
        <v>891</v>
      </c>
      <c r="BN1375" s="162"/>
      <c r="BO1375" s="162"/>
      <c r="BP1375" s="162"/>
      <c r="BQ1375" s="162"/>
      <c r="BR1375" s="162"/>
      <c r="BS1375" s="56">
        <v>5.3272284852608616</v>
      </c>
      <c r="BT1375" s="162"/>
      <c r="BU1375" s="158"/>
      <c r="BV1375" s="162"/>
      <c r="BW1375" s="162"/>
      <c r="BX1375" s="162"/>
      <c r="BY1375" s="162"/>
      <c r="BZ1375" s="162"/>
      <c r="CA1375" s="162"/>
      <c r="CB1375" s="162"/>
      <c r="CC1375" s="56"/>
      <c r="CD1375" s="56"/>
      <c r="CE1375" s="56"/>
      <c r="CF1375" s="56"/>
      <c r="CG1375" s="56"/>
      <c r="CH1375" s="56"/>
      <c r="CI1375" s="103">
        <v>5.3272284852608616</v>
      </c>
      <c r="CJ1375" s="103">
        <f t="shared" si="326"/>
        <v>0.7265013241097722</v>
      </c>
      <c r="CK1375" s="57">
        <f t="shared" si="331"/>
        <v>2.2693266483194776</v>
      </c>
      <c r="CL1375" s="160">
        <f t="shared" si="332"/>
        <v>11.803570732310281</v>
      </c>
      <c r="CM1375" s="160">
        <v>0.45939248775923058</v>
      </c>
      <c r="CN1375" s="160">
        <f t="shared" si="324"/>
        <v>9.6211111111111158</v>
      </c>
      <c r="CO1375" s="55" t="s">
        <v>892</v>
      </c>
      <c r="CP1375" s="497" t="s">
        <v>893</v>
      </c>
      <c r="CQ1375" s="149">
        <v>0.50347639430014801</v>
      </c>
      <c r="CR1375" s="349">
        <f t="shared" si="325"/>
        <v>1.6711865426918919</v>
      </c>
      <c r="CS1375" s="61" t="s">
        <v>539</v>
      </c>
      <c r="CT1375" s="61"/>
      <c r="CU1375" s="111">
        <f t="shared" si="333"/>
        <v>0.46928717379344415</v>
      </c>
      <c r="CV1375" s="331">
        <f t="shared" si="334"/>
        <v>9.0224044346922272E-2</v>
      </c>
      <c r="CW1375" s="326">
        <f t="shared" si="327"/>
        <v>0</v>
      </c>
      <c r="CX1375" s="326" t="s">
        <v>539</v>
      </c>
      <c r="CY1375" s="161" t="s">
        <v>5921</v>
      </c>
    </row>
    <row r="1376" spans="1:103" ht="11.25" customHeight="1" x14ac:dyDescent="0.2">
      <c r="A1376" s="72">
        <v>285</v>
      </c>
      <c r="B1376" s="149">
        <v>247</v>
      </c>
      <c r="C1376" s="54" t="s">
        <v>1077</v>
      </c>
      <c r="D1376" s="54" t="s">
        <v>6581</v>
      </c>
      <c r="E1376" s="59"/>
      <c r="F1376" s="59" t="s">
        <v>1078</v>
      </c>
      <c r="G1376" s="151">
        <v>121552612</v>
      </c>
      <c r="H1376" s="55" t="s">
        <v>1079</v>
      </c>
      <c r="I1376" s="55" t="s">
        <v>1079</v>
      </c>
      <c r="J1376" s="55" t="s">
        <v>1080</v>
      </c>
      <c r="K1376" s="55" t="s">
        <v>426</v>
      </c>
      <c r="L1376" s="55" t="s">
        <v>5969</v>
      </c>
      <c r="M1376" s="55" t="s">
        <v>6082</v>
      </c>
      <c r="N1376" s="60" t="s">
        <v>6082</v>
      </c>
      <c r="O1376" s="55" t="s">
        <v>6083</v>
      </c>
      <c r="P1376" s="67">
        <v>3</v>
      </c>
      <c r="Q1376" s="67" t="s">
        <v>6173</v>
      </c>
      <c r="R1376" s="67">
        <v>1</v>
      </c>
      <c r="S1376" s="67" t="s">
        <v>6173</v>
      </c>
      <c r="T1376" s="56">
        <v>225.29</v>
      </c>
      <c r="U1376" s="103">
        <v>13</v>
      </c>
      <c r="V1376" s="103">
        <v>12.38</v>
      </c>
      <c r="W1376" s="103">
        <v>11.291247186388819</v>
      </c>
      <c r="X1376" s="103">
        <v>13</v>
      </c>
      <c r="Y1376" s="162">
        <v>7.09</v>
      </c>
      <c r="Z1376" s="56">
        <v>3.99</v>
      </c>
      <c r="AA1376" s="56">
        <v>4</v>
      </c>
      <c r="AB1376" s="56">
        <v>3.5</v>
      </c>
      <c r="AC1376" s="56">
        <v>0.81540000000000001</v>
      </c>
      <c r="AD1376" s="56">
        <v>3.62</v>
      </c>
      <c r="AE1376" s="56">
        <v>4</v>
      </c>
      <c r="AF1376" s="56">
        <f t="shared" si="328"/>
        <v>4</v>
      </c>
      <c r="AG1376" s="57">
        <v>3.52</v>
      </c>
      <c r="AH1376" s="103">
        <v>1.9099999999999999E-6</v>
      </c>
      <c r="AI1376" s="103">
        <v>8.3900000000000004E-8</v>
      </c>
      <c r="AJ1376" s="62">
        <f t="shared" si="329"/>
        <v>-4.1075329590649243</v>
      </c>
      <c r="AK1376" s="62">
        <f>LOG10(AI1376*1000/(0.08206*298.15))</f>
        <v>-5.4648043654839515</v>
      </c>
      <c r="AL1376" s="62">
        <f t="shared" si="330"/>
        <v>-5.4648043654839515</v>
      </c>
      <c r="AM1376" s="62">
        <v>-10.070709999999998</v>
      </c>
      <c r="AN1376" s="154">
        <v>-5.85</v>
      </c>
      <c r="AO1376" s="410"/>
      <c r="AP1376" s="410">
        <v>3.8</v>
      </c>
      <c r="AQ1376" s="154" t="s">
        <v>6311</v>
      </c>
      <c r="AR1376" s="154" t="s">
        <v>6311</v>
      </c>
      <c r="AS1376" s="149" t="s">
        <v>6</v>
      </c>
      <c r="AT1376" s="58" t="s">
        <v>266</v>
      </c>
      <c r="AU1376" s="56">
        <v>8</v>
      </c>
      <c r="AV1376" s="56">
        <v>144</v>
      </c>
      <c r="AW1376" s="56">
        <v>120</v>
      </c>
      <c r="AX1376" s="56">
        <v>26</v>
      </c>
      <c r="AY1376" s="56" t="s">
        <v>267</v>
      </c>
      <c r="AZ1376" s="56" t="s">
        <v>268</v>
      </c>
      <c r="BA1376" s="56">
        <v>2</v>
      </c>
      <c r="BB1376" s="55" t="s">
        <v>888</v>
      </c>
      <c r="BC1376" s="55" t="s">
        <v>270</v>
      </c>
      <c r="BD1376" s="55" t="s">
        <v>8374</v>
      </c>
      <c r="BE1376" s="56" t="s">
        <v>889</v>
      </c>
      <c r="BF1376" s="56" t="s">
        <v>272</v>
      </c>
      <c r="BG1376" s="56" t="s">
        <v>272</v>
      </c>
      <c r="BH1376" s="56" t="s">
        <v>890</v>
      </c>
      <c r="BI1376" s="153">
        <v>2.2528999999999998E-4</v>
      </c>
      <c r="BJ1376" s="153">
        <v>18.023199999999999</v>
      </c>
      <c r="BK1376" s="56"/>
      <c r="BL1376" s="153">
        <v>3.0208065550301022</v>
      </c>
      <c r="BM1376" s="56" t="s">
        <v>891</v>
      </c>
      <c r="BN1376" s="162"/>
      <c r="BO1376" s="162"/>
      <c r="BP1376" s="162"/>
      <c r="BQ1376" s="162"/>
      <c r="BR1376" s="162"/>
      <c r="BS1376" s="56">
        <v>3.4650978907622685</v>
      </c>
      <c r="BT1376" s="162"/>
      <c r="BU1376" s="158"/>
      <c r="BV1376" s="162"/>
      <c r="BW1376" s="162"/>
      <c r="BX1376" s="162"/>
      <c r="BY1376" s="162"/>
      <c r="BZ1376" s="162"/>
      <c r="CA1376" s="162"/>
      <c r="CB1376" s="162"/>
      <c r="CC1376" s="56"/>
      <c r="CD1376" s="56"/>
      <c r="CE1376" s="56"/>
      <c r="CF1376" s="56"/>
      <c r="CG1376" s="56"/>
      <c r="CH1376" s="56"/>
      <c r="CI1376" s="103">
        <v>3.4650978907622685</v>
      </c>
      <c r="CJ1376" s="103">
        <f t="shared" si="326"/>
        <v>0.53971550815918601</v>
      </c>
      <c r="CK1376" s="57">
        <f t="shared" si="331"/>
        <v>0.16760656015746939</v>
      </c>
      <c r="CL1376" s="160">
        <f t="shared" si="332"/>
        <v>0.87178101463839774</v>
      </c>
      <c r="CM1376" s="160">
        <v>0.38201704257486818</v>
      </c>
      <c r="CN1376" s="160">
        <f t="shared" si="324"/>
        <v>7.4785062240663933</v>
      </c>
      <c r="CO1376" s="55" t="s">
        <v>892</v>
      </c>
      <c r="CP1376" s="497" t="s">
        <v>893</v>
      </c>
      <c r="CQ1376" s="149">
        <v>0.40854117149979308</v>
      </c>
      <c r="CR1376" s="349">
        <f t="shared" si="325"/>
        <v>1.3526154278660356</v>
      </c>
      <c r="CS1376" s="61" t="s">
        <v>539</v>
      </c>
      <c r="CT1376" s="61"/>
      <c r="CU1376" s="111">
        <f t="shared" si="333"/>
        <v>3.7516977614563722</v>
      </c>
      <c r="CV1376" s="331">
        <f t="shared" si="334"/>
        <v>0.72129255626081945</v>
      </c>
      <c r="CW1376" s="326">
        <f t="shared" si="327"/>
        <v>1</v>
      </c>
      <c r="CX1376" s="326" t="s">
        <v>539</v>
      </c>
      <c r="CY1376" s="161" t="s">
        <v>5921</v>
      </c>
    </row>
    <row r="1377" spans="1:103" ht="11.25" customHeight="1" x14ac:dyDescent="0.2">
      <c r="A1377" s="72">
        <v>286</v>
      </c>
      <c r="B1377" s="149">
        <v>801</v>
      </c>
      <c r="C1377" s="54" t="s">
        <v>2256</v>
      </c>
      <c r="D1377" s="54" t="s">
        <v>6586</v>
      </c>
      <c r="E1377" s="59"/>
      <c r="F1377" s="59" t="s">
        <v>2257</v>
      </c>
      <c r="G1377" s="151">
        <v>135158542</v>
      </c>
      <c r="H1377" s="55" t="s">
        <v>2258</v>
      </c>
      <c r="I1377" s="55" t="s">
        <v>8169</v>
      </c>
      <c r="J1377" s="55" t="s">
        <v>2259</v>
      </c>
      <c r="K1377" s="55" t="s">
        <v>357</v>
      </c>
      <c r="L1377" s="55" t="s">
        <v>6024</v>
      </c>
      <c r="M1377" s="60" t="s">
        <v>2342</v>
      </c>
      <c r="N1377" s="60" t="s">
        <v>2342</v>
      </c>
      <c r="O1377" s="55"/>
      <c r="P1377" s="67">
        <v>3</v>
      </c>
      <c r="Q1377" s="67" t="s">
        <v>6173</v>
      </c>
      <c r="R1377" s="67">
        <v>1</v>
      </c>
      <c r="S1377" s="67" t="s">
        <v>6173</v>
      </c>
      <c r="T1377" s="56">
        <v>210.28</v>
      </c>
      <c r="U1377" s="103">
        <v>7.7000000000000011</v>
      </c>
      <c r="V1377" s="103">
        <v>87.22</v>
      </c>
      <c r="W1377" s="103">
        <v>54.050282520063604</v>
      </c>
      <c r="X1377" s="103">
        <v>7.7000000000000011</v>
      </c>
      <c r="Y1377" s="162">
        <v>7</v>
      </c>
      <c r="Z1377" s="56">
        <v>1.55</v>
      </c>
      <c r="AA1377" s="56">
        <v>3.1</v>
      </c>
      <c r="AB1377" s="56">
        <v>2</v>
      </c>
      <c r="AC1377" s="56">
        <v>0.77859999999999996</v>
      </c>
      <c r="AD1377" s="56">
        <v>2.0499999999999998</v>
      </c>
      <c r="AE1377" s="56">
        <v>2.1800000000000002</v>
      </c>
      <c r="AF1377" s="56">
        <f t="shared" si="328"/>
        <v>3.1</v>
      </c>
      <c r="AG1377" s="57">
        <v>2.62</v>
      </c>
      <c r="AH1377" s="103">
        <v>3.9000000000000002E-9</v>
      </c>
      <c r="AI1377" s="103">
        <v>1.1899999999999999E-7</v>
      </c>
      <c r="AJ1377" s="62">
        <f t="shared" si="329"/>
        <v>-6.7975017192861529</v>
      </c>
      <c r="AK1377" s="62">
        <f>LOG10(AI1377*1000/(0.08206*298.15))</f>
        <v>-5.3130193649201214</v>
      </c>
      <c r="AL1377" s="62">
        <f t="shared" si="330"/>
        <v>-5.3130193649201214</v>
      </c>
      <c r="AM1377" s="62">
        <v>-10.888459999999998</v>
      </c>
      <c r="AN1377" s="154">
        <v>-5.2</v>
      </c>
      <c r="AO1377" s="410"/>
      <c r="AP1377" s="410">
        <v>-3.9</v>
      </c>
      <c r="AQ1377" s="56" t="s">
        <v>6311</v>
      </c>
      <c r="AR1377" s="56" t="s">
        <v>6311</v>
      </c>
      <c r="AS1377" s="149" t="s">
        <v>6</v>
      </c>
      <c r="AT1377" s="58" t="s">
        <v>266</v>
      </c>
      <c r="AU1377" s="56">
        <v>8</v>
      </c>
      <c r="AV1377" s="56">
        <v>144</v>
      </c>
      <c r="AW1377" s="56">
        <v>120</v>
      </c>
      <c r="AX1377" s="56">
        <v>26</v>
      </c>
      <c r="AY1377" s="56" t="s">
        <v>267</v>
      </c>
      <c r="AZ1377" s="56" t="s">
        <v>2253</v>
      </c>
      <c r="BA1377" s="56">
        <v>2</v>
      </c>
      <c r="BB1377" s="55" t="s">
        <v>2254</v>
      </c>
      <c r="BC1377" s="55" t="s">
        <v>270</v>
      </c>
      <c r="BD1377" s="55" t="s">
        <v>8374</v>
      </c>
      <c r="BE1377" s="56" t="s">
        <v>1712</v>
      </c>
      <c r="BF1377" s="56" t="s">
        <v>272</v>
      </c>
      <c r="BG1377" s="56" t="s">
        <v>272</v>
      </c>
      <c r="BH1377" s="56" t="s">
        <v>2255</v>
      </c>
      <c r="BI1377" s="153">
        <v>2.1028E-4</v>
      </c>
      <c r="BJ1377" s="153">
        <v>16.822400000000002</v>
      </c>
      <c r="BK1377" s="56"/>
      <c r="BL1377" s="153">
        <v>438.06945086164825</v>
      </c>
      <c r="BM1377" s="56" t="s">
        <v>891</v>
      </c>
      <c r="BN1377" s="56"/>
      <c r="BO1377" s="56"/>
      <c r="BP1377" s="56"/>
      <c r="BQ1377" s="56"/>
      <c r="BR1377" s="56"/>
      <c r="BS1377" s="56">
        <v>3.2342349170823819</v>
      </c>
      <c r="BT1377" s="56"/>
      <c r="BU1377" s="158"/>
      <c r="BV1377" s="56"/>
      <c r="BW1377" s="56"/>
      <c r="BX1377" s="56"/>
      <c r="BY1377" s="56"/>
      <c r="BZ1377" s="56"/>
      <c r="CA1377" s="56"/>
      <c r="CB1377" s="56"/>
      <c r="CC1377" s="56"/>
      <c r="CD1377" s="56"/>
      <c r="CE1377" s="56"/>
      <c r="CF1377" s="56"/>
      <c r="CG1377" s="56"/>
      <c r="CH1377" s="56"/>
      <c r="CI1377" s="103">
        <v>3.2342349170823819</v>
      </c>
      <c r="CJ1377" s="103">
        <f t="shared" si="326"/>
        <v>0.50977156148481984</v>
      </c>
      <c r="CK1377" s="57">
        <f t="shared" si="331"/>
        <v>26.040841429382741</v>
      </c>
      <c r="CL1377" s="160">
        <f t="shared" si="332"/>
        <v>135.44762891151788</v>
      </c>
      <c r="CM1377" s="160">
        <v>-5.5517327849831592E-2</v>
      </c>
      <c r="CN1377" s="160">
        <f t="shared" si="324"/>
        <v>19.116363636363648</v>
      </c>
      <c r="CO1377" s="55" t="s">
        <v>892</v>
      </c>
      <c r="CP1377" s="497" t="s">
        <v>893</v>
      </c>
      <c r="CQ1377" s="149">
        <v>7.4301327403046763E-2</v>
      </c>
      <c r="CR1377" s="349">
        <f t="shared" si="325"/>
        <v>2.7256509203384458</v>
      </c>
      <c r="CS1377" s="61" t="s">
        <v>539</v>
      </c>
      <c r="CT1377" s="61"/>
      <c r="CU1377" s="111">
        <f t="shared" si="333"/>
        <v>2.3807794416325843</v>
      </c>
      <c r="CV1377" s="331">
        <f t="shared" si="334"/>
        <v>0.45772303595206393</v>
      </c>
      <c r="CW1377" s="326">
        <f t="shared" si="327"/>
        <v>1</v>
      </c>
      <c r="CX1377" s="326" t="s">
        <v>539</v>
      </c>
      <c r="CY1377" s="161" t="s">
        <v>5921</v>
      </c>
    </row>
    <row r="1378" spans="1:103" ht="11.25" customHeight="1" x14ac:dyDescent="0.2">
      <c r="A1378" s="72">
        <v>287</v>
      </c>
      <c r="B1378" s="149">
        <v>401</v>
      </c>
      <c r="C1378" s="54" t="s">
        <v>1375</v>
      </c>
      <c r="D1378" s="54" t="s">
        <v>6426</v>
      </c>
      <c r="E1378" s="59"/>
      <c r="F1378" s="59" t="s">
        <v>1376</v>
      </c>
      <c r="G1378" s="151">
        <v>51036</v>
      </c>
      <c r="H1378" s="55" t="s">
        <v>1377</v>
      </c>
      <c r="I1378" s="55" t="s">
        <v>1377</v>
      </c>
      <c r="J1378" s="55" t="s">
        <v>1378</v>
      </c>
      <c r="K1378" s="55" t="s">
        <v>287</v>
      </c>
      <c r="L1378" s="55" t="s">
        <v>6089</v>
      </c>
      <c r="M1378" s="55" t="s">
        <v>8508</v>
      </c>
      <c r="N1378" s="60" t="s">
        <v>6082</v>
      </c>
      <c r="O1378" s="55" t="s">
        <v>6138</v>
      </c>
      <c r="P1378" s="67">
        <v>3</v>
      </c>
      <c r="Q1378" s="67" t="s">
        <v>6173</v>
      </c>
      <c r="R1378" s="67">
        <v>1</v>
      </c>
      <c r="S1378" s="67" t="s">
        <v>6173</v>
      </c>
      <c r="T1378" s="56">
        <v>338.44</v>
      </c>
      <c r="U1378" s="103">
        <v>14.3</v>
      </c>
      <c r="V1378" s="103">
        <v>0.63839999999999997</v>
      </c>
      <c r="W1378" s="103">
        <v>37.109208070269908</v>
      </c>
      <c r="X1378" s="103">
        <v>14.3</v>
      </c>
      <c r="Y1378" s="162">
        <v>7</v>
      </c>
      <c r="Z1378" s="56">
        <v>4.29</v>
      </c>
      <c r="AA1378" s="56">
        <v>4.75</v>
      </c>
      <c r="AB1378" s="56">
        <v>3.86</v>
      </c>
      <c r="AC1378" s="56">
        <v>0.69040000000000001</v>
      </c>
      <c r="AD1378" s="56">
        <v>4</v>
      </c>
      <c r="AE1378" s="56">
        <v>4.2300000000000004</v>
      </c>
      <c r="AF1378" s="56">
        <f t="shared" si="328"/>
        <v>4.75</v>
      </c>
      <c r="AG1378" s="57">
        <v>3.95</v>
      </c>
      <c r="AH1378" s="103">
        <v>8.8899999999999998E-11</v>
      </c>
      <c r="AI1378" s="103"/>
      <c r="AJ1378" s="62">
        <f t="shared" si="329"/>
        <v>-8.4396645653424383</v>
      </c>
      <c r="AK1378" s="62"/>
      <c r="AL1378" s="62">
        <f t="shared" si="330"/>
        <v>-8.4396645653424383</v>
      </c>
      <c r="AM1378" s="62">
        <v>-11.402930000000001</v>
      </c>
      <c r="AN1378" s="154">
        <v>-6.3</v>
      </c>
      <c r="AO1378" s="410"/>
      <c r="AP1378" s="410"/>
      <c r="AQ1378" s="154" t="s">
        <v>6311</v>
      </c>
      <c r="AR1378" s="154" t="s">
        <v>6311</v>
      </c>
      <c r="AS1378" s="149" t="s">
        <v>6</v>
      </c>
      <c r="AT1378" s="58" t="s">
        <v>266</v>
      </c>
      <c r="AU1378" s="56">
        <v>8</v>
      </c>
      <c r="AV1378" s="56">
        <v>144</v>
      </c>
      <c r="AW1378" s="56">
        <v>120</v>
      </c>
      <c r="AX1378" s="56">
        <v>26</v>
      </c>
      <c r="AY1378" s="56" t="s">
        <v>267</v>
      </c>
      <c r="AZ1378" s="56" t="s">
        <v>268</v>
      </c>
      <c r="BA1378" s="56">
        <v>2</v>
      </c>
      <c r="BB1378" s="55" t="s">
        <v>888</v>
      </c>
      <c r="BC1378" s="55" t="s">
        <v>270</v>
      </c>
      <c r="BD1378" s="55" t="s">
        <v>8374</v>
      </c>
      <c r="BE1378" s="56" t="s">
        <v>889</v>
      </c>
      <c r="BF1378" s="56" t="s">
        <v>272</v>
      </c>
      <c r="BG1378" s="56" t="s">
        <v>272</v>
      </c>
      <c r="BH1378" s="56" t="s">
        <v>890</v>
      </c>
      <c r="BI1378" s="153">
        <v>3.3843999999999996E-4</v>
      </c>
      <c r="BJ1378" s="153">
        <v>27.075199999999999</v>
      </c>
      <c r="BK1378" s="56"/>
      <c r="BL1378" s="153">
        <v>2.4402408127702406</v>
      </c>
      <c r="BM1378" s="56" t="s">
        <v>891</v>
      </c>
      <c r="BN1378" s="162"/>
      <c r="BO1378" s="162"/>
      <c r="BP1378" s="162"/>
      <c r="BQ1378" s="162"/>
      <c r="BR1378" s="162"/>
      <c r="BS1378" s="56">
        <v>5.2054140447848649</v>
      </c>
      <c r="BT1378" s="162"/>
      <c r="BU1378" s="158"/>
      <c r="BV1378" s="162"/>
      <c r="BW1378" s="162"/>
      <c r="BX1378" s="162"/>
      <c r="BY1378" s="162"/>
      <c r="BZ1378" s="162"/>
      <c r="CA1378" s="162"/>
      <c r="CB1378" s="162"/>
      <c r="CC1378" s="56"/>
      <c r="CD1378" s="56"/>
      <c r="CE1378" s="56"/>
      <c r="CF1378" s="56"/>
      <c r="CG1378" s="56"/>
      <c r="CH1378" s="56"/>
      <c r="CI1378" s="103">
        <v>5.2054140447848649</v>
      </c>
      <c r="CJ1378" s="103">
        <f t="shared" si="326"/>
        <v>0.71645527951681343</v>
      </c>
      <c r="CK1378" s="57">
        <f t="shared" si="331"/>
        <v>9.0128265452156978E-2</v>
      </c>
      <c r="CL1378" s="160">
        <f t="shared" si="332"/>
        <v>0.46878899387744932</v>
      </c>
      <c r="CM1378" s="160">
        <v>0.51711641904523076</v>
      </c>
      <c r="CN1378" s="160">
        <f t="shared" si="324"/>
        <v>8.2310502744556242</v>
      </c>
      <c r="CO1378" s="55" t="s">
        <v>892</v>
      </c>
      <c r="CP1378" s="497" t="s">
        <v>893</v>
      </c>
      <c r="CQ1378" s="149">
        <v>0.61285516037554444</v>
      </c>
      <c r="CR1378" s="349">
        <f t="shared" si="325"/>
        <v>1.2694047502012544</v>
      </c>
      <c r="CS1378" s="61" t="s">
        <v>539</v>
      </c>
      <c r="CT1378" s="61"/>
      <c r="CU1378" s="111">
        <f t="shared" si="333"/>
        <v>2.7471397811912208</v>
      </c>
      <c r="CV1378" s="331">
        <f t="shared" si="334"/>
        <v>0.52815861009336962</v>
      </c>
      <c r="CW1378" s="326">
        <f t="shared" si="327"/>
        <v>1</v>
      </c>
      <c r="CX1378" s="326" t="s">
        <v>539</v>
      </c>
      <c r="CY1378" s="161" t="s">
        <v>6351</v>
      </c>
    </row>
    <row r="1379" spans="1:103" ht="11.25" customHeight="1" x14ac:dyDescent="0.2">
      <c r="A1379" s="72">
        <v>290</v>
      </c>
      <c r="B1379" s="149">
        <v>204</v>
      </c>
      <c r="C1379" s="54" t="s">
        <v>982</v>
      </c>
      <c r="D1379" s="54" t="s">
        <v>6591</v>
      </c>
      <c r="E1379" s="59"/>
      <c r="F1379" s="59" t="s">
        <v>983</v>
      </c>
      <c r="G1379" s="151">
        <v>188425856</v>
      </c>
      <c r="H1379" s="55" t="s">
        <v>984</v>
      </c>
      <c r="I1379" s="55" t="s">
        <v>7963</v>
      </c>
      <c r="J1379" s="55" t="s">
        <v>985</v>
      </c>
      <c r="K1379" s="55" t="s">
        <v>986</v>
      </c>
      <c r="L1379" s="55" t="s">
        <v>5929</v>
      </c>
      <c r="M1379" s="55" t="s">
        <v>5952</v>
      </c>
      <c r="N1379" s="60" t="s">
        <v>6381</v>
      </c>
      <c r="O1379" s="55" t="s">
        <v>5953</v>
      </c>
      <c r="P1379" s="67">
        <v>3</v>
      </c>
      <c r="Q1379" s="67" t="s">
        <v>6173</v>
      </c>
      <c r="R1379" s="67">
        <v>1</v>
      </c>
      <c r="S1379" s="67" t="s">
        <v>6173</v>
      </c>
      <c r="T1379" s="56">
        <v>343.21</v>
      </c>
      <c r="U1379" s="103"/>
      <c r="V1379" s="103">
        <v>20.190000000000001</v>
      </c>
      <c r="W1379" s="103">
        <v>0.73376996873806033</v>
      </c>
      <c r="X1379" s="103">
        <v>0.73376996873806033</v>
      </c>
      <c r="Y1379" s="162">
        <v>7</v>
      </c>
      <c r="Z1379" s="56">
        <v>4</v>
      </c>
      <c r="AA1379" s="56">
        <v>2.96</v>
      </c>
      <c r="AB1379" s="56">
        <v>4.82</v>
      </c>
      <c r="AC1379" s="56">
        <v>0.84850000000000003</v>
      </c>
      <c r="AD1379" s="56">
        <v>4.6900000000000004</v>
      </c>
      <c r="AE1379" s="56">
        <v>4.3099999999999996</v>
      </c>
      <c r="AF1379" s="56">
        <f t="shared" si="328"/>
        <v>2.96</v>
      </c>
      <c r="AG1379" s="57">
        <v>4.6900000000000004</v>
      </c>
      <c r="AH1379" s="103">
        <v>4.2499999999999999E-12</v>
      </c>
      <c r="AI1379" s="103"/>
      <c r="AJ1379" s="62">
        <f t="shared" si="329"/>
        <v>-9.7601773962623408</v>
      </c>
      <c r="AK1379" s="62"/>
      <c r="AL1379" s="62">
        <f t="shared" si="330"/>
        <v>-9.7601773962623408</v>
      </c>
      <c r="AM1379" s="62">
        <v>-17.975920000000002</v>
      </c>
      <c r="AN1379" s="154">
        <v>-11.6</v>
      </c>
      <c r="AO1379" s="410">
        <v>10.75</v>
      </c>
      <c r="AP1379" s="410">
        <v>-0.3</v>
      </c>
      <c r="AQ1379" s="154" t="s">
        <v>6311</v>
      </c>
      <c r="AR1379" s="154" t="s">
        <v>6311</v>
      </c>
      <c r="AS1379" s="149" t="s">
        <v>6</v>
      </c>
      <c r="AT1379" s="58" t="s">
        <v>266</v>
      </c>
      <c r="AU1379" s="56">
        <v>8</v>
      </c>
      <c r="AV1379" s="56">
        <v>144</v>
      </c>
      <c r="AW1379" s="56">
        <v>120</v>
      </c>
      <c r="AX1379" s="56">
        <v>26</v>
      </c>
      <c r="AY1379" s="56" t="s">
        <v>267</v>
      </c>
      <c r="AZ1379" s="56" t="s">
        <v>268</v>
      </c>
      <c r="BA1379" s="56">
        <v>3</v>
      </c>
      <c r="BB1379" s="55" t="s">
        <v>888</v>
      </c>
      <c r="BC1379" s="55" t="s">
        <v>270</v>
      </c>
      <c r="BD1379" s="55" t="s">
        <v>8374</v>
      </c>
      <c r="BE1379" s="56" t="s">
        <v>889</v>
      </c>
      <c r="BF1379" s="56" t="s">
        <v>272</v>
      </c>
      <c r="BG1379" s="56" t="s">
        <v>272</v>
      </c>
      <c r="BH1379" s="56" t="s">
        <v>890</v>
      </c>
      <c r="BI1379" s="153">
        <v>3.4320999999999999E-4</v>
      </c>
      <c r="BJ1379" s="153">
        <v>27.456799999999998</v>
      </c>
      <c r="BK1379" s="56"/>
      <c r="BL1379" s="153">
        <v>4.5077511542839943</v>
      </c>
      <c r="BM1379" s="56" t="s">
        <v>891</v>
      </c>
      <c r="BN1379" s="162"/>
      <c r="BO1379" s="162"/>
      <c r="BP1379" s="162"/>
      <c r="BQ1379" s="162"/>
      <c r="BR1379" s="162"/>
      <c r="BS1379" s="56">
        <v>4.873581999999999</v>
      </c>
      <c r="BT1379" s="162"/>
      <c r="BU1379" s="158"/>
      <c r="BV1379" s="162"/>
      <c r="BW1379" s="162"/>
      <c r="BX1379" s="162"/>
      <c r="BY1379" s="162"/>
      <c r="BZ1379" s="162"/>
      <c r="CA1379" s="162"/>
      <c r="CB1379" s="162"/>
      <c r="CC1379" s="56"/>
      <c r="CD1379" s="56"/>
      <c r="CE1379" s="56"/>
      <c r="CF1379" s="56"/>
      <c r="CG1379" s="56"/>
      <c r="CH1379" s="56"/>
      <c r="CI1379" s="103">
        <v>4.873581999999999</v>
      </c>
      <c r="CJ1379" s="103">
        <f t="shared" si="326"/>
        <v>0.68784827764349143</v>
      </c>
      <c r="CK1379" s="57">
        <f t="shared" si="331"/>
        <v>0.16417612956659169</v>
      </c>
      <c r="CL1379" s="160">
        <f t="shared" si="332"/>
        <v>0.92493594122023504</v>
      </c>
      <c r="CM1379" s="160">
        <v>0.43136376415898714</v>
      </c>
      <c r="CN1379" s="160">
        <f t="shared" si="324"/>
        <v>10.169185185185187</v>
      </c>
      <c r="CO1379" s="55" t="s">
        <v>892</v>
      </c>
      <c r="CP1379" s="497" t="s">
        <v>893</v>
      </c>
      <c r="CQ1379" s="149">
        <v>0.43136376415898736</v>
      </c>
      <c r="CR1379" s="349">
        <f t="shared" si="325"/>
        <v>1.8050303703703696</v>
      </c>
      <c r="CS1379" s="61" t="s">
        <v>539</v>
      </c>
      <c r="CT1379" s="61"/>
      <c r="CU1379" s="111">
        <f t="shared" si="333"/>
        <v>0.15056071052832609</v>
      </c>
      <c r="CV1379" s="331">
        <f t="shared" si="334"/>
        <v>2.6724526118777875E-2</v>
      </c>
      <c r="CW1379" s="326">
        <f t="shared" si="327"/>
        <v>0</v>
      </c>
      <c r="CX1379" s="326" t="s">
        <v>539</v>
      </c>
      <c r="CY1379" s="161" t="s">
        <v>5921</v>
      </c>
    </row>
    <row r="1380" spans="1:103" ht="11.25" customHeight="1" x14ac:dyDescent="0.2">
      <c r="A1380" s="72">
        <v>292</v>
      </c>
      <c r="B1380" s="149">
        <v>446</v>
      </c>
      <c r="C1380" s="54" t="s">
        <v>1474</v>
      </c>
      <c r="D1380" s="54" t="s">
        <v>6573</v>
      </c>
      <c r="E1380" s="59"/>
      <c r="F1380" s="59" t="s">
        <v>1475</v>
      </c>
      <c r="G1380" s="151">
        <v>96182535</v>
      </c>
      <c r="H1380" s="55" t="s">
        <v>1476</v>
      </c>
      <c r="I1380" s="55" t="s">
        <v>1476</v>
      </c>
      <c r="J1380" s="55" t="s">
        <v>1477</v>
      </c>
      <c r="K1380" s="55" t="s">
        <v>628</v>
      </c>
      <c r="L1380" s="55" t="s">
        <v>617</v>
      </c>
      <c r="M1380" s="55" t="s">
        <v>946</v>
      </c>
      <c r="N1380" s="60" t="s">
        <v>6376</v>
      </c>
      <c r="O1380" s="55" t="s">
        <v>918</v>
      </c>
      <c r="P1380" s="67">
        <v>3</v>
      </c>
      <c r="Q1380" s="67" t="s">
        <v>6173</v>
      </c>
      <c r="R1380" s="67">
        <v>1</v>
      </c>
      <c r="S1380" s="67" t="s">
        <v>6173</v>
      </c>
      <c r="T1380" s="56">
        <v>318.37</v>
      </c>
      <c r="U1380" s="103">
        <v>5.5</v>
      </c>
      <c r="V1380" s="103">
        <v>2.5409999999999995</v>
      </c>
      <c r="W1380" s="103">
        <v>18.320281285003027</v>
      </c>
      <c r="X1380" s="103">
        <v>5.5</v>
      </c>
      <c r="Y1380" s="162">
        <v>7</v>
      </c>
      <c r="Z1380" s="56">
        <v>4.1900000000000004</v>
      </c>
      <c r="AA1380" s="56"/>
      <c r="AB1380" s="56">
        <v>3.92</v>
      </c>
      <c r="AC1380" s="56">
        <v>0.78249999999999997</v>
      </c>
      <c r="AD1380" s="56">
        <v>3.73</v>
      </c>
      <c r="AE1380" s="56">
        <v>3.3</v>
      </c>
      <c r="AF1380" s="56">
        <f t="shared" si="328"/>
        <v>3.73</v>
      </c>
      <c r="AG1380" s="57">
        <v>3.79</v>
      </c>
      <c r="AH1380" s="103">
        <v>1.3899999999999999E-7</v>
      </c>
      <c r="AI1380" s="103">
        <v>2.8499999999999998E-6</v>
      </c>
      <c r="AJ1380" s="62">
        <f t="shared" si="329"/>
        <v>-5.2455515260585566</v>
      </c>
      <c r="AK1380" s="62">
        <f t="shared" ref="AK1380:AK1385" si="335">LOG10(AI1380*1000/(0.08206*298.15))</f>
        <v>-3.9337214663041418</v>
      </c>
      <c r="AL1380" s="62">
        <f t="shared" si="330"/>
        <v>-3.9337214663041418</v>
      </c>
      <c r="AM1380" s="62">
        <v>-11.76464</v>
      </c>
      <c r="AN1380" s="154">
        <v>-4.3499999999999996</v>
      </c>
      <c r="AO1380" s="410"/>
      <c r="AP1380" s="410">
        <v>0.46</v>
      </c>
      <c r="AQ1380" s="154" t="s">
        <v>6312</v>
      </c>
      <c r="AR1380" s="154" t="s">
        <v>6312</v>
      </c>
      <c r="AS1380" s="149" t="s">
        <v>6</v>
      </c>
      <c r="AT1380" s="58" t="s">
        <v>266</v>
      </c>
      <c r="AU1380" s="56">
        <v>8</v>
      </c>
      <c r="AV1380" s="56">
        <v>144</v>
      </c>
      <c r="AW1380" s="56">
        <v>120</v>
      </c>
      <c r="AX1380" s="56">
        <v>26</v>
      </c>
      <c r="AY1380" s="56" t="s">
        <v>267</v>
      </c>
      <c r="AZ1380" s="56" t="s">
        <v>268</v>
      </c>
      <c r="BA1380" s="56">
        <v>3</v>
      </c>
      <c r="BB1380" s="55" t="s">
        <v>888</v>
      </c>
      <c r="BC1380" s="55" t="s">
        <v>270</v>
      </c>
      <c r="BD1380" s="55" t="s">
        <v>8374</v>
      </c>
      <c r="BE1380" s="56" t="s">
        <v>889</v>
      </c>
      <c r="BF1380" s="56" t="s">
        <v>272</v>
      </c>
      <c r="BG1380" s="56" t="s">
        <v>272</v>
      </c>
      <c r="BH1380" s="56" t="s">
        <v>890</v>
      </c>
      <c r="BI1380" s="153">
        <v>3.1837E-4</v>
      </c>
      <c r="BJ1380" s="153">
        <v>25.4696</v>
      </c>
      <c r="BK1380" s="56"/>
      <c r="BL1380" s="153">
        <v>2.8228846841977666</v>
      </c>
      <c r="BM1380" s="56" t="s">
        <v>891</v>
      </c>
      <c r="BN1380" s="162"/>
      <c r="BO1380" s="162"/>
      <c r="BP1380" s="162"/>
      <c r="BQ1380" s="162"/>
      <c r="BR1380" s="162"/>
      <c r="BS1380" s="172">
        <v>4.2979950000000002</v>
      </c>
      <c r="BT1380" s="162"/>
      <c r="BU1380" s="173"/>
      <c r="BV1380" s="162"/>
      <c r="BW1380" s="162"/>
      <c r="BX1380" s="162"/>
      <c r="BY1380" s="162"/>
      <c r="BZ1380" s="162"/>
      <c r="CA1380" s="162"/>
      <c r="CB1380" s="162"/>
      <c r="CC1380" s="172"/>
      <c r="CD1380" s="56"/>
      <c r="CE1380" s="56"/>
      <c r="CF1380" s="56"/>
      <c r="CG1380" s="56"/>
      <c r="CH1380" s="172"/>
      <c r="CI1380" s="103">
        <v>4.2979950000000002</v>
      </c>
      <c r="CJ1380" s="103">
        <f t="shared" si="326"/>
        <v>0.63326590592655707</v>
      </c>
      <c r="CK1380" s="57">
        <f t="shared" si="331"/>
        <v>0.11083349107162133</v>
      </c>
      <c r="CL1380" s="160">
        <f t="shared" si="332"/>
        <v>0.65679105820220041</v>
      </c>
      <c r="CM1380" s="160">
        <v>-1.0506099933550876</v>
      </c>
      <c r="CN1380" s="160">
        <f t="shared" si="324"/>
        <v>286.17528089887679</v>
      </c>
      <c r="CO1380" s="55" t="s">
        <v>892</v>
      </c>
      <c r="CP1380" s="497" t="s">
        <v>893</v>
      </c>
      <c r="CQ1380" s="149">
        <v>-0.35212850945222429</v>
      </c>
      <c r="CR1380" s="349">
        <f t="shared" si="325"/>
        <v>9.6692862073064454</v>
      </c>
      <c r="CS1380" s="61" t="s">
        <v>539</v>
      </c>
      <c r="CT1380" s="61"/>
      <c r="CU1380" s="111">
        <f t="shared" si="333"/>
        <v>1.2796664491233702</v>
      </c>
      <c r="CV1380" s="331">
        <f t="shared" si="334"/>
        <v>0.21594371328956874</v>
      </c>
      <c r="CW1380" s="326">
        <f t="shared" si="327"/>
        <v>0</v>
      </c>
      <c r="CX1380" s="326" t="s">
        <v>539</v>
      </c>
      <c r="CY1380" s="161" t="s">
        <v>5921</v>
      </c>
    </row>
    <row r="1381" spans="1:103" ht="11.25" customHeight="1" x14ac:dyDescent="0.2">
      <c r="A1381" s="72">
        <v>297</v>
      </c>
      <c r="B1381" s="149">
        <v>207</v>
      </c>
      <c r="C1381" s="54" t="s">
        <v>993</v>
      </c>
      <c r="D1381" s="54"/>
      <c r="E1381" s="59"/>
      <c r="F1381" s="59" t="s">
        <v>994</v>
      </c>
      <c r="G1381" s="151">
        <v>69327760</v>
      </c>
      <c r="H1381" s="55" t="s">
        <v>995</v>
      </c>
      <c r="I1381" s="55" t="s">
        <v>995</v>
      </c>
      <c r="J1381" s="55" t="s">
        <v>996</v>
      </c>
      <c r="K1381" s="55" t="s">
        <v>426</v>
      </c>
      <c r="L1381" s="55" t="s">
        <v>617</v>
      </c>
      <c r="M1381" s="55" t="s">
        <v>997</v>
      </c>
      <c r="N1381" s="60"/>
      <c r="O1381" s="55" t="s">
        <v>918</v>
      </c>
      <c r="P1381" s="67">
        <v>3</v>
      </c>
      <c r="Q1381" s="67" t="s">
        <v>6173</v>
      </c>
      <c r="R1381" s="67">
        <v>1</v>
      </c>
      <c r="S1381" s="67" t="s">
        <v>6173</v>
      </c>
      <c r="T1381" s="56">
        <v>305.44</v>
      </c>
      <c r="U1381" s="103">
        <v>0.9</v>
      </c>
      <c r="V1381" s="103">
        <v>2.427</v>
      </c>
      <c r="W1381" s="103">
        <v>12.44302320524881</v>
      </c>
      <c r="X1381" s="103">
        <v>0.9</v>
      </c>
      <c r="Y1381" s="162">
        <v>7.01</v>
      </c>
      <c r="Z1381" s="56">
        <v>4.3</v>
      </c>
      <c r="AA1381" s="56">
        <v>4.3</v>
      </c>
      <c r="AB1381" s="56">
        <v>3.67</v>
      </c>
      <c r="AC1381" s="56">
        <v>0.77549999999999997</v>
      </c>
      <c r="AD1381" s="56">
        <v>3.85</v>
      </c>
      <c r="AE1381" s="56">
        <v>4.29</v>
      </c>
      <c r="AF1381" s="56">
        <f t="shared" si="328"/>
        <v>4.3</v>
      </c>
      <c r="AG1381" s="57">
        <v>4.0199999999999996</v>
      </c>
      <c r="AH1381" s="103">
        <v>8.9500000000000007E-9</v>
      </c>
      <c r="AI1381" s="103">
        <v>4.1999999999999996E-6</v>
      </c>
      <c r="AJ1381" s="62">
        <f t="shared" si="329"/>
        <v>-6.4367432909967395</v>
      </c>
      <c r="AK1381" s="62">
        <f t="shared" si="335"/>
        <v>-3.7653170359147512</v>
      </c>
      <c r="AL1381" s="62">
        <f t="shared" si="330"/>
        <v>-3.7653170359147512</v>
      </c>
      <c r="AM1381" s="62">
        <v>-12.785059999999998</v>
      </c>
      <c r="AN1381" s="154">
        <v>-5.68</v>
      </c>
      <c r="AO1381" s="410"/>
      <c r="AP1381" s="410">
        <v>3.02</v>
      </c>
      <c r="AQ1381" s="154" t="s">
        <v>6311</v>
      </c>
      <c r="AR1381" s="154" t="s">
        <v>6311</v>
      </c>
      <c r="AS1381" s="149" t="s">
        <v>6</v>
      </c>
      <c r="AT1381" s="58" t="s">
        <v>266</v>
      </c>
      <c r="AU1381" s="56">
        <v>8</v>
      </c>
      <c r="AV1381" s="56">
        <v>144</v>
      </c>
      <c r="AW1381" s="56">
        <v>120</v>
      </c>
      <c r="AX1381" s="56">
        <v>26</v>
      </c>
      <c r="AY1381" s="56" t="s">
        <v>267</v>
      </c>
      <c r="AZ1381" s="56" t="s">
        <v>268</v>
      </c>
      <c r="BA1381" s="56">
        <v>2</v>
      </c>
      <c r="BB1381" s="55" t="s">
        <v>888</v>
      </c>
      <c r="BC1381" s="55" t="s">
        <v>270</v>
      </c>
      <c r="BD1381" s="55" t="s">
        <v>8374</v>
      </c>
      <c r="BE1381" s="56" t="s">
        <v>889</v>
      </c>
      <c r="BF1381" s="56" t="s">
        <v>272</v>
      </c>
      <c r="BG1381" s="56" t="s">
        <v>272</v>
      </c>
      <c r="BH1381" s="56" t="s">
        <v>890</v>
      </c>
      <c r="BI1381" s="153">
        <v>3.0543999999999998E-4</v>
      </c>
      <c r="BJ1381" s="153">
        <v>24.435200000000002</v>
      </c>
      <c r="BK1381" s="56"/>
      <c r="BL1381" s="153">
        <v>2.1572273166100007</v>
      </c>
      <c r="BM1381" s="56" t="s">
        <v>891</v>
      </c>
      <c r="BN1381" s="162"/>
      <c r="BO1381" s="162"/>
      <c r="BP1381" s="162"/>
      <c r="BQ1381" s="162"/>
      <c r="BR1381" s="162"/>
      <c r="BS1381" s="56">
        <v>0.90410239999999997</v>
      </c>
      <c r="BT1381" s="162"/>
      <c r="BU1381" s="158"/>
      <c r="BV1381" s="162"/>
      <c r="BW1381" s="162"/>
      <c r="BX1381" s="162"/>
      <c r="BY1381" s="162"/>
      <c r="BZ1381" s="162"/>
      <c r="CA1381" s="162"/>
      <c r="CB1381" s="162"/>
      <c r="CC1381" s="56"/>
      <c r="CD1381" s="56"/>
      <c r="CE1381" s="56"/>
      <c r="CF1381" s="56"/>
      <c r="CG1381" s="56"/>
      <c r="CH1381" s="56"/>
      <c r="CI1381" s="103">
        <v>0.90410239999999997</v>
      </c>
      <c r="CJ1381" s="103">
        <f t="shared" si="326"/>
        <v>-4.3782377891469867E-2</v>
      </c>
      <c r="CK1381" s="57">
        <f t="shared" si="331"/>
        <v>8.8283595657494121E-2</v>
      </c>
      <c r="CL1381" s="160">
        <f t="shared" si="332"/>
        <v>2.3860431258782198</v>
      </c>
      <c r="CM1381" s="160"/>
      <c r="CN1381" s="160"/>
      <c r="CO1381" s="55" t="s">
        <v>892</v>
      </c>
      <c r="CP1381" s="497" t="s">
        <v>893</v>
      </c>
      <c r="CQ1381" s="149" t="s">
        <v>272</v>
      </c>
      <c r="CR1381" s="349"/>
      <c r="CS1381" s="61" t="s">
        <v>539</v>
      </c>
      <c r="CT1381" s="61"/>
      <c r="CU1381" s="111">
        <f t="shared" si="333"/>
        <v>0.99546246088938606</v>
      </c>
      <c r="CV1381" s="331">
        <f t="shared" si="334"/>
        <v>3.6832111052907276E-2</v>
      </c>
      <c r="CW1381" s="326">
        <f t="shared" si="327"/>
        <v>0</v>
      </c>
      <c r="CX1381" s="326" t="s">
        <v>539</v>
      </c>
      <c r="CY1381" s="161" t="s">
        <v>5921</v>
      </c>
    </row>
    <row r="1382" spans="1:103" ht="11.25" customHeight="1" x14ac:dyDescent="0.2">
      <c r="A1382" s="72">
        <v>312</v>
      </c>
      <c r="B1382" s="149">
        <v>304</v>
      </c>
      <c r="C1382" s="54" t="s">
        <v>1197</v>
      </c>
      <c r="D1382" s="54"/>
      <c r="E1382" s="59"/>
      <c r="F1382" s="59" t="s">
        <v>1198</v>
      </c>
      <c r="G1382" s="151">
        <v>79241466</v>
      </c>
      <c r="H1382" s="55" t="s">
        <v>1195</v>
      </c>
      <c r="I1382" s="55" t="s">
        <v>1195</v>
      </c>
      <c r="J1382" s="55" t="s">
        <v>1196</v>
      </c>
      <c r="K1382" s="55" t="s">
        <v>357</v>
      </c>
      <c r="L1382" s="55" t="s">
        <v>5982</v>
      </c>
      <c r="M1382" s="55" t="s">
        <v>5960</v>
      </c>
      <c r="N1382" s="60"/>
      <c r="O1382" s="55"/>
      <c r="P1382" s="67">
        <v>3</v>
      </c>
      <c r="Q1382" s="67" t="s">
        <v>6173</v>
      </c>
      <c r="R1382" s="67">
        <v>1</v>
      </c>
      <c r="S1382" s="67" t="s">
        <v>6173</v>
      </c>
      <c r="T1382" s="56">
        <v>383.36</v>
      </c>
      <c r="U1382" s="103">
        <v>2</v>
      </c>
      <c r="V1382" s="103">
        <v>0.55679999999999996</v>
      </c>
      <c r="W1382" s="103">
        <v>14.914434678500736</v>
      </c>
      <c r="X1382" s="103">
        <v>2</v>
      </c>
      <c r="Y1382" s="162">
        <v>7</v>
      </c>
      <c r="Z1382" s="56">
        <v>5.34</v>
      </c>
      <c r="AA1382" s="56">
        <v>4.5</v>
      </c>
      <c r="AB1382" s="56">
        <v>4.26</v>
      </c>
      <c r="AC1382" s="56">
        <v>0.8861</v>
      </c>
      <c r="AD1382" s="56">
        <v>4.1399999999999997</v>
      </c>
      <c r="AE1382" s="56">
        <v>3.64</v>
      </c>
      <c r="AF1382" s="56">
        <f t="shared" si="328"/>
        <v>4.5</v>
      </c>
      <c r="AG1382" s="57">
        <v>4.46</v>
      </c>
      <c r="AH1382" s="103">
        <v>3.7900000000000002E-8</v>
      </c>
      <c r="AI1382" s="103">
        <v>2.0800000000000001E-7</v>
      </c>
      <c r="AJ1382" s="62">
        <f t="shared" si="329"/>
        <v>-5.8099271163445794</v>
      </c>
      <c r="AK1382" s="62">
        <f t="shared" si="335"/>
        <v>-5.0705029913498905</v>
      </c>
      <c r="AL1382" s="62">
        <f t="shared" si="330"/>
        <v>-5.0705029913498905</v>
      </c>
      <c r="AM1382" s="62">
        <v>-12.061889999999998</v>
      </c>
      <c r="AN1382" s="154">
        <v>-5.76</v>
      </c>
      <c r="AO1382" s="410"/>
      <c r="AP1382" s="410">
        <v>0.78</v>
      </c>
      <c r="AQ1382" s="154" t="s">
        <v>6311</v>
      </c>
      <c r="AR1382" s="154" t="s">
        <v>6312</v>
      </c>
      <c r="AS1382" s="149" t="s">
        <v>6</v>
      </c>
      <c r="AT1382" s="58" t="s">
        <v>266</v>
      </c>
      <c r="AU1382" s="56">
        <v>8</v>
      </c>
      <c r="AV1382" s="56">
        <v>144</v>
      </c>
      <c r="AW1382" s="56">
        <v>120</v>
      </c>
      <c r="AX1382" s="56">
        <v>26</v>
      </c>
      <c r="AY1382" s="56" t="s">
        <v>267</v>
      </c>
      <c r="AZ1382" s="56" t="s">
        <v>268</v>
      </c>
      <c r="BA1382" s="56">
        <v>2</v>
      </c>
      <c r="BB1382" s="55" t="s">
        <v>888</v>
      </c>
      <c r="BC1382" s="55" t="s">
        <v>270</v>
      </c>
      <c r="BD1382" s="55" t="s">
        <v>8374</v>
      </c>
      <c r="BE1382" s="56" t="s">
        <v>889</v>
      </c>
      <c r="BF1382" s="56" t="s">
        <v>272</v>
      </c>
      <c r="BG1382" s="56" t="s">
        <v>272</v>
      </c>
      <c r="BH1382" s="56" t="s">
        <v>890</v>
      </c>
      <c r="BI1382" s="153">
        <v>3.8336000000000002E-4</v>
      </c>
      <c r="BJ1382" s="153">
        <v>30.668800000000001</v>
      </c>
      <c r="BK1382" s="56"/>
      <c r="BL1382" s="153">
        <v>0.31517575102200357</v>
      </c>
      <c r="BM1382" s="56" t="s">
        <v>891</v>
      </c>
      <c r="BN1382" s="162"/>
      <c r="BO1382" s="162"/>
      <c r="BP1382" s="162"/>
      <c r="BQ1382" s="162"/>
      <c r="BR1382" s="162"/>
      <c r="BS1382" s="56">
        <v>1.96543703286523</v>
      </c>
      <c r="BT1382" s="162"/>
      <c r="BU1382" s="158"/>
      <c r="BV1382" s="162"/>
      <c r="BW1382" s="162"/>
      <c r="BX1382" s="162"/>
      <c r="BY1382" s="162"/>
      <c r="BZ1382" s="162"/>
      <c r="CA1382" s="162"/>
      <c r="CB1382" s="162"/>
      <c r="CC1382" s="56"/>
      <c r="CD1382" s="56"/>
      <c r="CE1382" s="56"/>
      <c r="CF1382" s="56"/>
      <c r="CG1382" s="56"/>
      <c r="CH1382" s="56"/>
      <c r="CI1382" s="103">
        <v>1.96543703286523</v>
      </c>
      <c r="CJ1382" s="103">
        <f t="shared" si="326"/>
        <v>0.29345913479196828</v>
      </c>
      <c r="CK1382" s="57">
        <f t="shared" si="331"/>
        <v>1.0276755237309695E-2</v>
      </c>
      <c r="CL1382" s="160">
        <f t="shared" si="332"/>
        <v>0.16035911899072025</v>
      </c>
      <c r="CM1382" s="160"/>
      <c r="CN1382" s="160"/>
      <c r="CO1382" s="55" t="s">
        <v>892</v>
      </c>
      <c r="CP1382" s="497" t="s">
        <v>893</v>
      </c>
      <c r="CQ1382" s="149" t="s">
        <v>272</v>
      </c>
      <c r="CR1382" s="349"/>
      <c r="CS1382" s="61" t="s">
        <v>539</v>
      </c>
      <c r="CT1382" s="61"/>
      <c r="CU1382" s="111">
        <f t="shared" si="333"/>
        <v>1.0175853851112104</v>
      </c>
      <c r="CV1382" s="331">
        <f t="shared" si="334"/>
        <v>6.5212854757929886E-2</v>
      </c>
      <c r="CW1382" s="326">
        <f t="shared" si="327"/>
        <v>0</v>
      </c>
      <c r="CX1382" s="326" t="s">
        <v>539</v>
      </c>
      <c r="CY1382" s="161" t="s">
        <v>5921</v>
      </c>
    </row>
    <row r="1383" spans="1:103" ht="11.25" customHeight="1" x14ac:dyDescent="0.2">
      <c r="A1383" s="72">
        <v>318</v>
      </c>
      <c r="B1383" s="149">
        <v>341</v>
      </c>
      <c r="C1383" s="54" t="s">
        <v>1274</v>
      </c>
      <c r="D1383" s="54"/>
      <c r="E1383" s="59"/>
      <c r="F1383" s="59" t="s">
        <v>1275</v>
      </c>
      <c r="G1383" s="151">
        <v>82558507</v>
      </c>
      <c r="H1383" s="55" t="s">
        <v>1276</v>
      </c>
      <c r="I1383" s="55" t="s">
        <v>1276</v>
      </c>
      <c r="J1383" s="55" t="s">
        <v>1277</v>
      </c>
      <c r="K1383" s="55" t="s">
        <v>471</v>
      </c>
      <c r="L1383" s="55"/>
      <c r="M1383" s="55"/>
      <c r="N1383" s="60"/>
      <c r="O1383" s="55"/>
      <c r="P1383" s="67">
        <v>3</v>
      </c>
      <c r="Q1383" s="67" t="s">
        <v>6173</v>
      </c>
      <c r="R1383" s="67">
        <v>1</v>
      </c>
      <c r="S1383" s="67" t="s">
        <v>6173</v>
      </c>
      <c r="T1383" s="56">
        <v>332.39</v>
      </c>
      <c r="U1383" s="103">
        <v>1.42</v>
      </c>
      <c r="V1383" s="103">
        <v>3.4119999999999995</v>
      </c>
      <c r="W1383" s="103">
        <v>8.1592069648454544</v>
      </c>
      <c r="X1383" s="103">
        <v>1.42</v>
      </c>
      <c r="Y1383" s="162">
        <v>7</v>
      </c>
      <c r="Z1383" s="56">
        <v>3.98</v>
      </c>
      <c r="AA1383" s="56">
        <v>3.94</v>
      </c>
      <c r="AB1383" s="56">
        <v>3.7</v>
      </c>
      <c r="AC1383" s="56">
        <v>0.86580000000000001</v>
      </c>
      <c r="AD1383" s="56">
        <v>3.6</v>
      </c>
      <c r="AE1383" s="56">
        <v>3.25</v>
      </c>
      <c r="AF1383" s="56">
        <f t="shared" si="328"/>
        <v>3.94</v>
      </c>
      <c r="AG1383" s="57">
        <v>4.08</v>
      </c>
      <c r="AH1383" s="103">
        <v>2.0500000000000001E-13</v>
      </c>
      <c r="AI1383" s="103">
        <v>1.27E-9</v>
      </c>
      <c r="AJ1383" s="62">
        <f t="shared" si="329"/>
        <v>-11.076812465256898</v>
      </c>
      <c r="AK1383" s="62">
        <f t="shared" si="335"/>
        <v>-7.2847626053566952</v>
      </c>
      <c r="AL1383" s="62">
        <f t="shared" si="330"/>
        <v>-7.2847626053566952</v>
      </c>
      <c r="AM1383" s="62">
        <v>-16.252230000000001</v>
      </c>
      <c r="AN1383" s="154">
        <v>-7.83</v>
      </c>
      <c r="AO1383" s="410">
        <v>11.44</v>
      </c>
      <c r="AP1383" s="410">
        <v>-1.64</v>
      </c>
      <c r="AQ1383" s="154" t="s">
        <v>6311</v>
      </c>
      <c r="AR1383" s="154" t="s">
        <v>6311</v>
      </c>
      <c r="AS1383" s="149" t="s">
        <v>6</v>
      </c>
      <c r="AT1383" s="58" t="s">
        <v>266</v>
      </c>
      <c r="AU1383" s="56">
        <v>8</v>
      </c>
      <c r="AV1383" s="56">
        <v>144</v>
      </c>
      <c r="AW1383" s="56">
        <v>120</v>
      </c>
      <c r="AX1383" s="56">
        <v>26</v>
      </c>
      <c r="AY1383" s="56" t="s">
        <v>267</v>
      </c>
      <c r="AZ1383" s="56" t="s">
        <v>268</v>
      </c>
      <c r="BA1383" s="56">
        <v>2</v>
      </c>
      <c r="BB1383" s="55" t="s">
        <v>888</v>
      </c>
      <c r="BC1383" s="55" t="s">
        <v>270</v>
      </c>
      <c r="BD1383" s="55" t="s">
        <v>8374</v>
      </c>
      <c r="BE1383" s="56" t="s">
        <v>889</v>
      </c>
      <c r="BF1383" s="56" t="s">
        <v>272</v>
      </c>
      <c r="BG1383" s="56" t="s">
        <v>272</v>
      </c>
      <c r="BH1383" s="56" t="s">
        <v>890</v>
      </c>
      <c r="BI1383" s="153">
        <v>3.3238999999999995E-4</v>
      </c>
      <c r="BJ1383" s="153">
        <v>26.591200000000001</v>
      </c>
      <c r="BK1383" s="56"/>
      <c r="BL1383" s="153">
        <v>4.5499848384824793</v>
      </c>
      <c r="BM1383" s="56" t="s">
        <v>891</v>
      </c>
      <c r="BN1383" s="162"/>
      <c r="BO1383" s="162"/>
      <c r="BP1383" s="162"/>
      <c r="BQ1383" s="162"/>
      <c r="BR1383" s="162"/>
      <c r="BS1383" s="56">
        <v>8.8548696000000007</v>
      </c>
      <c r="BT1383" s="162"/>
      <c r="BU1383" s="158"/>
      <c r="BV1383" s="162"/>
      <c r="BW1383" s="162"/>
      <c r="BX1383" s="162"/>
      <c r="BY1383" s="162"/>
      <c r="BZ1383" s="162"/>
      <c r="CA1383" s="162"/>
      <c r="CB1383" s="162"/>
      <c r="CC1383" s="56"/>
      <c r="CD1383" s="56"/>
      <c r="CE1383" s="56"/>
      <c r="CF1383" s="56"/>
      <c r="CG1383" s="56"/>
      <c r="CH1383" s="56"/>
      <c r="CI1383" s="103">
        <v>8.8548696000000007</v>
      </c>
      <c r="CJ1383" s="103">
        <f t="shared" si="326"/>
        <v>0.94718216999617488</v>
      </c>
      <c r="CK1383" s="57">
        <f t="shared" si="331"/>
        <v>0.1711086689762959</v>
      </c>
      <c r="CL1383" s="160">
        <f t="shared" si="332"/>
        <v>0.5138398467756633</v>
      </c>
      <c r="CM1383" s="160"/>
      <c r="CN1383" s="160"/>
      <c r="CO1383" s="55" t="s">
        <v>892</v>
      </c>
      <c r="CP1383" s="497" t="s">
        <v>893</v>
      </c>
      <c r="CQ1383" s="149" t="s">
        <v>272</v>
      </c>
      <c r="CR1383" s="349"/>
      <c r="CS1383" s="61" t="s">
        <v>539</v>
      </c>
      <c r="CT1383" s="61"/>
      <c r="CU1383" s="111">
        <f t="shared" si="333"/>
        <v>0.16036373929210654</v>
      </c>
      <c r="CV1383" s="331">
        <f t="shared" si="334"/>
        <v>5.3401125184271488E-2</v>
      </c>
      <c r="CW1383" s="326">
        <f t="shared" si="327"/>
        <v>0</v>
      </c>
      <c r="CX1383" s="326" t="s">
        <v>539</v>
      </c>
      <c r="CY1383" s="161" t="s">
        <v>5921</v>
      </c>
    </row>
    <row r="1384" spans="1:103" ht="11.25" customHeight="1" x14ac:dyDescent="0.2">
      <c r="A1384" s="72">
        <v>321</v>
      </c>
      <c r="B1384" s="149">
        <v>272</v>
      </c>
      <c r="C1384" s="54" t="s">
        <v>1118</v>
      </c>
      <c r="D1384" s="54"/>
      <c r="E1384" s="59"/>
      <c r="F1384" s="59" t="s">
        <v>1119</v>
      </c>
      <c r="G1384" s="151">
        <v>83657243</v>
      </c>
      <c r="H1384" s="55" t="s">
        <v>1120</v>
      </c>
      <c r="I1384" s="55" t="s">
        <v>8151</v>
      </c>
      <c r="J1384" s="55" t="s">
        <v>1121</v>
      </c>
      <c r="K1384" s="55" t="s">
        <v>1122</v>
      </c>
      <c r="L1384" s="55" t="s">
        <v>5973</v>
      </c>
      <c r="M1384" s="55" t="s">
        <v>5960</v>
      </c>
      <c r="N1384" s="60"/>
      <c r="O1384" s="55"/>
      <c r="P1384" s="67">
        <v>3</v>
      </c>
      <c r="Q1384" s="67" t="s">
        <v>6173</v>
      </c>
      <c r="R1384" s="67">
        <v>1</v>
      </c>
      <c r="S1384" s="67" t="s">
        <v>6173</v>
      </c>
      <c r="T1384" s="56">
        <v>326.22000000000003</v>
      </c>
      <c r="U1384" s="103">
        <v>4</v>
      </c>
      <c r="V1384" s="103">
        <v>5.9210000000000003</v>
      </c>
      <c r="W1384" s="103">
        <v>2.9074388103799009</v>
      </c>
      <c r="X1384" s="103">
        <v>4</v>
      </c>
      <c r="Y1384" s="162">
        <v>7</v>
      </c>
      <c r="Z1384" s="56">
        <v>3.92</v>
      </c>
      <c r="AA1384" s="56">
        <v>4.3</v>
      </c>
      <c r="AB1384" s="56">
        <v>3.94</v>
      </c>
      <c r="AC1384" s="56">
        <v>0.84009999999999996</v>
      </c>
      <c r="AD1384" s="56">
        <v>4</v>
      </c>
      <c r="AE1384" s="56">
        <v>4.2300000000000004</v>
      </c>
      <c r="AF1384" s="56">
        <f t="shared" si="328"/>
        <v>4.3</v>
      </c>
      <c r="AG1384" s="57">
        <v>4.16</v>
      </c>
      <c r="AH1384" s="103">
        <v>8.4500000000000005E-11</v>
      </c>
      <c r="AI1384" s="103">
        <v>3.9700000000000002E-7</v>
      </c>
      <c r="AJ1384" s="62">
        <f t="shared" si="329"/>
        <v>-8.4617096173629598</v>
      </c>
      <c r="AK1384" s="62">
        <f t="shared" si="335"/>
        <v>-4.7897758195495364</v>
      </c>
      <c r="AL1384" s="62">
        <f t="shared" si="330"/>
        <v>-4.7897758195495364</v>
      </c>
      <c r="AM1384" s="62">
        <v>-13.611089999999999</v>
      </c>
      <c r="AN1384" s="154">
        <v>-8.74</v>
      </c>
      <c r="AO1384" s="410">
        <v>12.89</v>
      </c>
      <c r="AP1384" s="410">
        <v>2.2000000000000002</v>
      </c>
      <c r="AQ1384" s="154" t="s">
        <v>6311</v>
      </c>
      <c r="AR1384" s="154" t="s">
        <v>6311</v>
      </c>
      <c r="AS1384" s="149" t="s">
        <v>6</v>
      </c>
      <c r="AT1384" s="58" t="s">
        <v>266</v>
      </c>
      <c r="AU1384" s="56">
        <v>8</v>
      </c>
      <c r="AV1384" s="56">
        <v>144</v>
      </c>
      <c r="AW1384" s="56">
        <v>120</v>
      </c>
      <c r="AX1384" s="56">
        <v>26</v>
      </c>
      <c r="AY1384" s="56" t="s">
        <v>267</v>
      </c>
      <c r="AZ1384" s="56" t="s">
        <v>268</v>
      </c>
      <c r="BA1384" s="56">
        <v>2</v>
      </c>
      <c r="BB1384" s="55" t="s">
        <v>888</v>
      </c>
      <c r="BC1384" s="55" t="s">
        <v>270</v>
      </c>
      <c r="BD1384" s="55" t="s">
        <v>8374</v>
      </c>
      <c r="BE1384" s="56" t="s">
        <v>889</v>
      </c>
      <c r="BF1384" s="56" t="s">
        <v>272</v>
      </c>
      <c r="BG1384" s="56" t="s">
        <v>272</v>
      </c>
      <c r="BH1384" s="56" t="s">
        <v>890</v>
      </c>
      <c r="BI1384" s="153">
        <v>3.2622E-4</v>
      </c>
      <c r="BJ1384" s="153">
        <v>26.097600000000003</v>
      </c>
      <c r="BK1384" s="56"/>
      <c r="BL1384" s="153">
        <v>5.0554356116430075</v>
      </c>
      <c r="BM1384" s="56" t="s">
        <v>891</v>
      </c>
      <c r="BN1384" s="162"/>
      <c r="BO1384" s="162"/>
      <c r="BP1384" s="162"/>
      <c r="BQ1384" s="162"/>
      <c r="BR1384" s="162"/>
      <c r="BS1384" s="56">
        <v>5.0174629762726592</v>
      </c>
      <c r="BT1384" s="162"/>
      <c r="BU1384" s="158"/>
      <c r="BV1384" s="162"/>
      <c r="BW1384" s="162"/>
      <c r="BX1384" s="162"/>
      <c r="BY1384" s="162"/>
      <c r="BZ1384" s="162"/>
      <c r="CA1384" s="162"/>
      <c r="CB1384" s="162"/>
      <c r="CC1384" s="56"/>
      <c r="CD1384" s="56"/>
      <c r="CE1384" s="56"/>
      <c r="CF1384" s="56"/>
      <c r="CG1384" s="56"/>
      <c r="CH1384" s="56"/>
      <c r="CI1384" s="103">
        <v>5.0174629762726592</v>
      </c>
      <c r="CJ1384" s="103">
        <f t="shared" si="326"/>
        <v>0.70048417652378669</v>
      </c>
      <c r="CK1384" s="57">
        <f t="shared" si="331"/>
        <v>0.19371266367953402</v>
      </c>
      <c r="CL1384" s="160">
        <f t="shared" si="332"/>
        <v>1.0075680947821477</v>
      </c>
      <c r="CM1384" s="160"/>
      <c r="CN1384" s="160"/>
      <c r="CO1384" s="55" t="s">
        <v>892</v>
      </c>
      <c r="CP1384" s="497" t="s">
        <v>893</v>
      </c>
      <c r="CQ1384" s="149" t="s">
        <v>272</v>
      </c>
      <c r="CR1384" s="349"/>
      <c r="CS1384" s="61" t="s">
        <v>539</v>
      </c>
      <c r="CT1384" s="61"/>
      <c r="CU1384" s="111">
        <f t="shared" si="333"/>
        <v>0.79721564840952641</v>
      </c>
      <c r="CV1384" s="331">
        <f t="shared" si="334"/>
        <v>0.15327079884740358</v>
      </c>
      <c r="CW1384" s="326">
        <f t="shared" si="327"/>
        <v>0</v>
      </c>
      <c r="CX1384" s="326" t="s">
        <v>539</v>
      </c>
      <c r="CY1384" s="161" t="s">
        <v>5921</v>
      </c>
    </row>
    <row r="1385" spans="1:103" ht="11.25" customHeight="1" x14ac:dyDescent="0.2">
      <c r="A1385" s="72">
        <v>323</v>
      </c>
      <c r="B1385" s="149">
        <v>223</v>
      </c>
      <c r="C1385" s="54" t="s">
        <v>1036</v>
      </c>
      <c r="D1385" s="54" t="s">
        <v>6644</v>
      </c>
      <c r="E1385" s="59"/>
      <c r="F1385" s="59" t="s">
        <v>1037</v>
      </c>
      <c r="G1385" s="151">
        <v>2921882</v>
      </c>
      <c r="H1385" s="55" t="s">
        <v>1038</v>
      </c>
      <c r="I1385" s="55" t="s">
        <v>7929</v>
      </c>
      <c r="J1385" s="55" t="s">
        <v>1039</v>
      </c>
      <c r="K1385" s="55" t="s">
        <v>1040</v>
      </c>
      <c r="L1385" s="55" t="s">
        <v>617</v>
      </c>
      <c r="M1385" s="55" t="s">
        <v>946</v>
      </c>
      <c r="N1385" s="60" t="s">
        <v>6376</v>
      </c>
      <c r="O1385" s="55" t="s">
        <v>1041</v>
      </c>
      <c r="P1385" s="67">
        <v>3</v>
      </c>
      <c r="Q1385" s="67" t="s">
        <v>6173</v>
      </c>
      <c r="R1385" s="67">
        <v>1</v>
      </c>
      <c r="S1385" s="67" t="s">
        <v>6173</v>
      </c>
      <c r="T1385" s="56">
        <v>350.59</v>
      </c>
      <c r="U1385" s="103">
        <v>1.1200000000000001</v>
      </c>
      <c r="V1385" s="103">
        <v>0.35699999999999998</v>
      </c>
      <c r="W1385" s="103">
        <v>1.4282345159534386</v>
      </c>
      <c r="X1385" s="103">
        <v>1.1200000000000001</v>
      </c>
      <c r="Y1385" s="162">
        <v>7</v>
      </c>
      <c r="Z1385" s="56">
        <v>5.1100000000000003</v>
      </c>
      <c r="AA1385" s="56">
        <v>4.96</v>
      </c>
      <c r="AB1385" s="56">
        <v>4.79</v>
      </c>
      <c r="AC1385" s="56">
        <v>0.86860000000000004</v>
      </c>
      <c r="AD1385" s="56">
        <v>4.78</v>
      </c>
      <c r="AE1385" s="56">
        <v>4.7699999999999996</v>
      </c>
      <c r="AF1385" s="56">
        <f t="shared" si="328"/>
        <v>4.96</v>
      </c>
      <c r="AG1385" s="57">
        <v>5.16</v>
      </c>
      <c r="AH1385" s="103">
        <v>2.52E-6</v>
      </c>
      <c r="AI1385" s="103">
        <v>2.9299999999999999E-6</v>
      </c>
      <c r="AJ1385" s="62">
        <f t="shared" si="329"/>
        <v>-3.9871657855311078</v>
      </c>
      <c r="AK1385" s="62">
        <f t="shared" si="335"/>
        <v>-3.9216987059585424</v>
      </c>
      <c r="AL1385" s="62">
        <f t="shared" si="330"/>
        <v>-3.9216987059585424</v>
      </c>
      <c r="AM1385" s="62">
        <v>-11.220610000000001</v>
      </c>
      <c r="AN1385" s="154">
        <v>-2.64</v>
      </c>
      <c r="AO1385" s="410"/>
      <c r="AP1385" s="410">
        <v>-5.28</v>
      </c>
      <c r="AQ1385" s="154" t="s">
        <v>6312</v>
      </c>
      <c r="AR1385" s="154" t="s">
        <v>6312</v>
      </c>
      <c r="AS1385" s="149" t="s">
        <v>6</v>
      </c>
      <c r="AT1385" s="58" t="s">
        <v>266</v>
      </c>
      <c r="AU1385" s="56">
        <v>8</v>
      </c>
      <c r="AV1385" s="56">
        <v>144</v>
      </c>
      <c r="AW1385" s="56">
        <v>120</v>
      </c>
      <c r="AX1385" s="56">
        <v>26</v>
      </c>
      <c r="AY1385" s="56" t="s">
        <v>267</v>
      </c>
      <c r="AZ1385" s="56" t="s">
        <v>268</v>
      </c>
      <c r="BA1385" s="56">
        <v>14</v>
      </c>
      <c r="BB1385" s="55" t="s">
        <v>888</v>
      </c>
      <c r="BC1385" s="55" t="s">
        <v>270</v>
      </c>
      <c r="BD1385" s="55" t="s">
        <v>8374</v>
      </c>
      <c r="BE1385" s="56" t="s">
        <v>889</v>
      </c>
      <c r="BF1385" s="56" t="s">
        <v>272</v>
      </c>
      <c r="BG1385" s="56" t="s">
        <v>272</v>
      </c>
      <c r="BH1385" s="56" t="s">
        <v>890</v>
      </c>
      <c r="BI1385" s="153">
        <v>3.5058999999999996E-4</v>
      </c>
      <c r="BJ1385" s="153">
        <v>28.0472</v>
      </c>
      <c r="BK1385" s="56"/>
      <c r="BL1385" s="153">
        <v>0.46377627111057301</v>
      </c>
      <c r="BM1385" s="56" t="s">
        <v>891</v>
      </c>
      <c r="BN1385" s="162"/>
      <c r="BO1385" s="162"/>
      <c r="BP1385" s="162"/>
      <c r="BQ1385" s="162"/>
      <c r="BR1385" s="162"/>
      <c r="BS1385" s="172">
        <v>3.2990518999999998</v>
      </c>
      <c r="BT1385" s="162"/>
      <c r="BU1385" s="173"/>
      <c r="BV1385" s="162"/>
      <c r="BW1385" s="162"/>
      <c r="BX1385" s="162"/>
      <c r="BY1385" s="162"/>
      <c r="BZ1385" s="162"/>
      <c r="CA1385" s="162"/>
      <c r="CB1385" s="162"/>
      <c r="CC1385" s="172"/>
      <c r="CD1385" s="56"/>
      <c r="CE1385" s="56"/>
      <c r="CF1385" s="56"/>
      <c r="CG1385" s="56"/>
      <c r="CH1385" s="172"/>
      <c r="CI1385" s="103">
        <v>3.2990518999999998</v>
      </c>
      <c r="CJ1385" s="103">
        <f t="shared" si="326"/>
        <v>0.51838914782976742</v>
      </c>
      <c r="CK1385" s="57">
        <f t="shared" si="331"/>
        <v>1.6535564017462458E-2</v>
      </c>
      <c r="CL1385" s="160">
        <f t="shared" si="332"/>
        <v>0.14057865264580197</v>
      </c>
      <c r="CM1385" s="160">
        <v>-2.2423817793682899</v>
      </c>
      <c r="CN1385" s="160">
        <f>BJ1385/(10^CM1385)</f>
        <v>4900.8486511480223</v>
      </c>
      <c r="CO1385" s="55" t="s">
        <v>892</v>
      </c>
      <c r="CP1385" s="497" t="s">
        <v>893</v>
      </c>
      <c r="CQ1385" s="149">
        <v>-1.5767489445189753</v>
      </c>
      <c r="CR1385" s="349">
        <f>10^(CJ1385-CQ1385)</f>
        <v>124.49103922351617</v>
      </c>
      <c r="CS1385" s="61" t="s">
        <v>539</v>
      </c>
      <c r="CT1385" s="61"/>
      <c r="CU1385" s="111">
        <f t="shared" si="333"/>
        <v>0.33949147632384935</v>
      </c>
      <c r="CV1385" s="331">
        <f t="shared" si="334"/>
        <v>3.9932684902592774E-2</v>
      </c>
      <c r="CW1385" s="326">
        <f t="shared" si="327"/>
        <v>0</v>
      </c>
      <c r="CX1385" s="326" t="s">
        <v>539</v>
      </c>
      <c r="CY1385" s="161" t="s">
        <v>5921</v>
      </c>
    </row>
    <row r="1386" spans="1:103" ht="11.25" customHeight="1" x14ac:dyDescent="0.2">
      <c r="A1386" s="72">
        <v>324</v>
      </c>
      <c r="B1386" s="149">
        <v>317</v>
      </c>
      <c r="C1386" s="54" t="s">
        <v>6645</v>
      </c>
      <c r="D1386" s="54"/>
      <c r="E1386" s="59"/>
      <c r="F1386" s="59" t="s">
        <v>1236</v>
      </c>
      <c r="G1386" s="151">
        <v>85509199</v>
      </c>
      <c r="H1386" s="55" t="s">
        <v>1237</v>
      </c>
      <c r="I1386" s="55" t="s">
        <v>1237</v>
      </c>
      <c r="J1386" s="55" t="s">
        <v>1238</v>
      </c>
      <c r="K1386" s="55" t="s">
        <v>1112</v>
      </c>
      <c r="L1386" s="55" t="s">
        <v>5990</v>
      </c>
      <c r="M1386" s="67" t="s">
        <v>5992</v>
      </c>
      <c r="N1386" s="60"/>
      <c r="O1386" s="55" t="s">
        <v>5991</v>
      </c>
      <c r="P1386" s="67">
        <v>3</v>
      </c>
      <c r="Q1386" s="67" t="s">
        <v>6173</v>
      </c>
      <c r="R1386" s="67">
        <v>1</v>
      </c>
      <c r="S1386" s="67" t="s">
        <v>6173</v>
      </c>
      <c r="T1386" s="56">
        <v>315.39</v>
      </c>
      <c r="U1386" s="103">
        <v>54</v>
      </c>
      <c r="V1386" s="103">
        <v>6.9019999999999992</v>
      </c>
      <c r="W1386" s="103">
        <v>14.416104412263529</v>
      </c>
      <c r="X1386" s="103">
        <v>54</v>
      </c>
      <c r="Y1386" s="162">
        <v>7.02</v>
      </c>
      <c r="Z1386" s="56">
        <v>4.8899999999999997</v>
      </c>
      <c r="AA1386" s="56">
        <v>3.7</v>
      </c>
      <c r="AB1386" s="56">
        <v>4.1399999999999997</v>
      </c>
      <c r="AC1386" s="56">
        <v>0.87539999999999996</v>
      </c>
      <c r="AD1386" s="56">
        <v>4.09</v>
      </c>
      <c r="AE1386" s="56">
        <v>3.84</v>
      </c>
      <c r="AF1386" s="56">
        <f t="shared" si="328"/>
        <v>3.7</v>
      </c>
      <c r="AG1386" s="57">
        <v>4.09</v>
      </c>
      <c r="AH1386" s="103">
        <v>5.06E-7</v>
      </c>
      <c r="AI1386" s="103"/>
      <c r="AJ1386" s="62">
        <f t="shared" si="329"/>
        <v>-4.6844158094728527</v>
      </c>
      <c r="AK1386" s="62"/>
      <c r="AL1386" s="62">
        <f t="shared" si="330"/>
        <v>-4.6844158094728527</v>
      </c>
      <c r="AM1386" s="62">
        <v>-10.404159999999997</v>
      </c>
      <c r="AN1386" s="154">
        <v>-6.16</v>
      </c>
      <c r="AO1386" s="410"/>
      <c r="AP1386" s="410">
        <v>2.91</v>
      </c>
      <c r="AQ1386" s="154" t="s">
        <v>6311</v>
      </c>
      <c r="AR1386" s="154" t="s">
        <v>6311</v>
      </c>
      <c r="AS1386" s="149" t="s">
        <v>6</v>
      </c>
      <c r="AT1386" s="58" t="s">
        <v>266</v>
      </c>
      <c r="AU1386" s="56">
        <v>8</v>
      </c>
      <c r="AV1386" s="56">
        <v>144</v>
      </c>
      <c r="AW1386" s="56">
        <v>120</v>
      </c>
      <c r="AX1386" s="56">
        <v>26</v>
      </c>
      <c r="AY1386" s="56" t="s">
        <v>267</v>
      </c>
      <c r="AZ1386" s="56" t="s">
        <v>268</v>
      </c>
      <c r="BA1386" s="56">
        <v>2</v>
      </c>
      <c r="BB1386" s="55" t="s">
        <v>888</v>
      </c>
      <c r="BC1386" s="55" t="s">
        <v>270</v>
      </c>
      <c r="BD1386" s="55" t="s">
        <v>8374</v>
      </c>
      <c r="BE1386" s="56" t="s">
        <v>889</v>
      </c>
      <c r="BF1386" s="56" t="s">
        <v>272</v>
      </c>
      <c r="BG1386" s="56" t="s">
        <v>272</v>
      </c>
      <c r="BH1386" s="56" t="s">
        <v>890</v>
      </c>
      <c r="BI1386" s="153">
        <v>3.1538999999999997E-4</v>
      </c>
      <c r="BJ1386" s="153">
        <v>25.231200000000001</v>
      </c>
      <c r="BK1386" s="56"/>
      <c r="BL1386" s="153">
        <v>0.65756534830120184</v>
      </c>
      <c r="BM1386" s="56" t="s">
        <v>891</v>
      </c>
      <c r="BN1386" s="162"/>
      <c r="BO1386" s="162"/>
      <c r="BP1386" s="162"/>
      <c r="BQ1386" s="162"/>
      <c r="BR1386" s="162"/>
      <c r="BS1386" s="56">
        <v>8.4019896000000003</v>
      </c>
      <c r="BT1386" s="162"/>
      <c r="BU1386" s="158"/>
      <c r="BV1386" s="162"/>
      <c r="BW1386" s="162"/>
      <c r="BX1386" s="162"/>
      <c r="BY1386" s="162"/>
      <c r="BZ1386" s="162"/>
      <c r="CA1386" s="162"/>
      <c r="CB1386" s="162"/>
      <c r="CC1386" s="56"/>
      <c r="CD1386" s="56"/>
      <c r="CE1386" s="56"/>
      <c r="CF1386" s="56"/>
      <c r="CG1386" s="56"/>
      <c r="CH1386" s="56"/>
      <c r="CI1386" s="103">
        <v>8.4019896000000003</v>
      </c>
      <c r="CJ1386" s="103">
        <f t="shared" si="326"/>
        <v>0.92438213963170335</v>
      </c>
      <c r="CK1386" s="57">
        <f t="shared" si="331"/>
        <v>2.60615962895622E-2</v>
      </c>
      <c r="CL1386" s="160">
        <f t="shared" si="332"/>
        <v>7.8263051920607216E-2</v>
      </c>
      <c r="CM1386" s="160"/>
      <c r="CN1386" s="160"/>
      <c r="CO1386" s="55" t="s">
        <v>892</v>
      </c>
      <c r="CP1386" s="497" t="s">
        <v>893</v>
      </c>
      <c r="CQ1386" s="149" t="s">
        <v>272</v>
      </c>
      <c r="CR1386" s="349"/>
      <c r="CS1386" s="61" t="s">
        <v>539</v>
      </c>
      <c r="CT1386" s="61"/>
      <c r="CU1386" s="111">
        <f t="shared" si="333"/>
        <v>6.4270491360760547</v>
      </c>
      <c r="CV1386" s="331">
        <f t="shared" si="334"/>
        <v>2.1402073623133262</v>
      </c>
      <c r="CW1386" s="326">
        <f t="shared" si="327"/>
        <v>1</v>
      </c>
      <c r="CX1386" s="326" t="s">
        <v>539</v>
      </c>
      <c r="CY1386" s="161" t="s">
        <v>5921</v>
      </c>
    </row>
    <row r="1387" spans="1:103" ht="11.25" customHeight="1" x14ac:dyDescent="0.2">
      <c r="A1387" s="72">
        <v>325</v>
      </c>
      <c r="B1387" s="149">
        <v>200</v>
      </c>
      <c r="C1387" s="54" t="s">
        <v>972</v>
      </c>
      <c r="D1387" s="54" t="s">
        <v>6646</v>
      </c>
      <c r="E1387" s="59"/>
      <c r="F1387" s="59" t="s">
        <v>973</v>
      </c>
      <c r="G1387" s="151">
        <v>149877418</v>
      </c>
      <c r="H1387" s="55" t="s">
        <v>974</v>
      </c>
      <c r="I1387" s="55" t="s">
        <v>974</v>
      </c>
      <c r="J1387" s="55" t="s">
        <v>975</v>
      </c>
      <c r="K1387" s="55" t="s">
        <v>976</v>
      </c>
      <c r="L1387" s="55" t="s">
        <v>5951</v>
      </c>
      <c r="M1387" s="55" t="s">
        <v>5950</v>
      </c>
      <c r="N1387" s="60" t="s">
        <v>6376</v>
      </c>
      <c r="O1387" s="55" t="s">
        <v>5949</v>
      </c>
      <c r="P1387" s="67">
        <v>3</v>
      </c>
      <c r="Q1387" s="67" t="s">
        <v>6173</v>
      </c>
      <c r="R1387" s="67">
        <v>1</v>
      </c>
      <c r="S1387" s="67" t="s">
        <v>6173</v>
      </c>
      <c r="T1387" s="56">
        <v>300.35000000000002</v>
      </c>
      <c r="U1387" s="103">
        <v>3.76</v>
      </c>
      <c r="V1387" s="103">
        <v>3.5459999999999998</v>
      </c>
      <c r="W1387" s="103">
        <v>51.00674810168843</v>
      </c>
      <c r="X1387" s="103">
        <v>3.76</v>
      </c>
      <c r="Y1387" s="162">
        <v>6.79</v>
      </c>
      <c r="Z1387" s="56">
        <v>4.1399999999999997</v>
      </c>
      <c r="AA1387" s="56"/>
      <c r="AB1387" s="56">
        <v>3.72</v>
      </c>
      <c r="AC1387" s="56">
        <v>0.85740000000000005</v>
      </c>
      <c r="AD1387" s="56">
        <v>3.57</v>
      </c>
      <c r="AE1387" s="56">
        <v>3.12</v>
      </c>
      <c r="AF1387" s="56">
        <f t="shared" si="328"/>
        <v>3.57</v>
      </c>
      <c r="AG1387" s="57">
        <v>3.87</v>
      </c>
      <c r="AH1387" s="103">
        <v>7.3000000000000002E-13</v>
      </c>
      <c r="AI1387" s="103"/>
      <c r="AJ1387" s="62">
        <f t="shared" si="329"/>
        <v>-10.525243466192196</v>
      </c>
      <c r="AK1387" s="62"/>
      <c r="AL1387" s="62">
        <f t="shared" si="330"/>
        <v>-10.525243466192196</v>
      </c>
      <c r="AM1387" s="62">
        <v>-16.03735</v>
      </c>
      <c r="AN1387" s="154">
        <v>-6.27</v>
      </c>
      <c r="AO1387" s="410">
        <v>9.84</v>
      </c>
      <c r="AP1387" s="410">
        <v>3.26</v>
      </c>
      <c r="AQ1387" s="154" t="s">
        <v>6311</v>
      </c>
      <c r="AR1387" s="154" t="s">
        <v>6311</v>
      </c>
      <c r="AS1387" s="149" t="s">
        <v>6</v>
      </c>
      <c r="AT1387" s="58" t="s">
        <v>266</v>
      </c>
      <c r="AU1387" s="56">
        <v>8</v>
      </c>
      <c r="AV1387" s="56">
        <v>144</v>
      </c>
      <c r="AW1387" s="56">
        <v>120</v>
      </c>
      <c r="AX1387" s="56">
        <v>26</v>
      </c>
      <c r="AY1387" s="56" t="s">
        <v>267</v>
      </c>
      <c r="AZ1387" s="56" t="s">
        <v>268</v>
      </c>
      <c r="BA1387" s="56">
        <v>3</v>
      </c>
      <c r="BB1387" s="55" t="s">
        <v>888</v>
      </c>
      <c r="BC1387" s="55" t="s">
        <v>270</v>
      </c>
      <c r="BD1387" s="55" t="s">
        <v>8374</v>
      </c>
      <c r="BE1387" s="56" t="s">
        <v>889</v>
      </c>
      <c r="BF1387" s="56" t="s">
        <v>272</v>
      </c>
      <c r="BG1387" s="56" t="s">
        <v>272</v>
      </c>
      <c r="BH1387" s="56" t="s">
        <v>890</v>
      </c>
      <c r="BI1387" s="153">
        <v>3.0035000000000001E-4</v>
      </c>
      <c r="BJ1387" s="153">
        <v>24.028000000000002</v>
      </c>
      <c r="BK1387" s="56"/>
      <c r="BL1387" s="153">
        <v>2.9532052804243341</v>
      </c>
      <c r="BM1387" s="56" t="s">
        <v>891</v>
      </c>
      <c r="BN1387" s="162"/>
      <c r="BO1387" s="162"/>
      <c r="BP1387" s="162"/>
      <c r="BQ1387" s="162"/>
      <c r="BR1387" s="162"/>
      <c r="BS1387" s="172">
        <v>2.7512060000000003</v>
      </c>
      <c r="BT1387" s="162"/>
      <c r="BU1387" s="173"/>
      <c r="BV1387" s="162"/>
      <c r="BW1387" s="162"/>
      <c r="BX1387" s="162"/>
      <c r="BY1387" s="162"/>
      <c r="BZ1387" s="162"/>
      <c r="CA1387" s="162"/>
      <c r="CB1387" s="162"/>
      <c r="CC1387" s="172"/>
      <c r="CD1387" s="56"/>
      <c r="CE1387" s="56"/>
      <c r="CF1387" s="56"/>
      <c r="CG1387" s="56"/>
      <c r="CH1387" s="172"/>
      <c r="CI1387" s="103">
        <v>2.7512060000000003</v>
      </c>
      <c r="CJ1387" s="103">
        <f t="shared" si="326"/>
        <v>0.43952310995122446</v>
      </c>
      <c r="CK1387" s="57">
        <f t="shared" si="331"/>
        <v>0.12290682871751014</v>
      </c>
      <c r="CL1387" s="160">
        <f t="shared" si="332"/>
        <v>1.0734220848690843</v>
      </c>
      <c r="CM1387" s="160">
        <v>-0.23657200643706283</v>
      </c>
      <c r="CN1387" s="160">
        <f>BJ1387/(10^CM1387)</f>
        <v>41.427586206896564</v>
      </c>
      <c r="CO1387" s="55" t="s">
        <v>892</v>
      </c>
      <c r="CP1387" s="497" t="s">
        <v>893</v>
      </c>
      <c r="CQ1387" s="149">
        <v>-0.1778792070781357</v>
      </c>
      <c r="CR1387" s="349">
        <f>10^(CJ1387-CQ1387)</f>
        <v>4.1438336905882318</v>
      </c>
      <c r="CS1387" s="61" t="s">
        <v>539</v>
      </c>
      <c r="CT1387" s="61"/>
      <c r="CU1387" s="111">
        <f t="shared" si="333"/>
        <v>1.3666733788745733</v>
      </c>
      <c r="CV1387" s="331">
        <f t="shared" si="334"/>
        <v>0.15648410188113865</v>
      </c>
      <c r="CW1387" s="326">
        <f t="shared" si="327"/>
        <v>0</v>
      </c>
      <c r="CX1387" s="326" t="s">
        <v>539</v>
      </c>
      <c r="CY1387" s="161" t="s">
        <v>5921</v>
      </c>
    </row>
    <row r="1388" spans="1:103" ht="11.25" customHeight="1" x14ac:dyDescent="0.2">
      <c r="A1388" s="72">
        <v>326</v>
      </c>
      <c r="B1388" s="149">
        <v>311</v>
      </c>
      <c r="C1388" s="54" t="s">
        <v>6647</v>
      </c>
      <c r="D1388" s="54"/>
      <c r="E1388" s="59"/>
      <c r="F1388" s="59" t="s">
        <v>1218</v>
      </c>
      <c r="G1388" s="151">
        <v>87546187</v>
      </c>
      <c r="H1388" s="55" t="s">
        <v>1219</v>
      </c>
      <c r="I1388" s="55" t="s">
        <v>8153</v>
      </c>
      <c r="J1388" s="55" t="s">
        <v>1220</v>
      </c>
      <c r="K1388" s="55" t="s">
        <v>1221</v>
      </c>
      <c r="L1388" s="55" t="s">
        <v>5988</v>
      </c>
      <c r="M1388" s="55" t="s">
        <v>6082</v>
      </c>
      <c r="N1388" s="60"/>
      <c r="O1388" s="55" t="s">
        <v>6083</v>
      </c>
      <c r="P1388" s="67">
        <v>3</v>
      </c>
      <c r="Q1388" s="67" t="s">
        <v>6173</v>
      </c>
      <c r="R1388" s="67">
        <v>1</v>
      </c>
      <c r="S1388" s="67" t="s">
        <v>6173</v>
      </c>
      <c r="T1388" s="56">
        <v>423.86</v>
      </c>
      <c r="U1388" s="103">
        <v>0.189</v>
      </c>
      <c r="V1388" s="103">
        <v>0.1191</v>
      </c>
      <c r="W1388" s="103">
        <v>9.2730464192725542E-2</v>
      </c>
      <c r="X1388" s="103">
        <v>0.189</v>
      </c>
      <c r="Y1388" s="162">
        <v>7</v>
      </c>
      <c r="Z1388" s="56">
        <v>4.95</v>
      </c>
      <c r="AA1388" s="56">
        <v>4.99</v>
      </c>
      <c r="AB1388" s="56">
        <v>5.05</v>
      </c>
      <c r="AC1388" s="56">
        <v>0.73470000000000002</v>
      </c>
      <c r="AD1388" s="56">
        <v>4.87</v>
      </c>
      <c r="AE1388" s="56">
        <v>4.2699999999999996</v>
      </c>
      <c r="AF1388" s="56">
        <f t="shared" si="328"/>
        <v>4.99</v>
      </c>
      <c r="AG1388" s="57">
        <v>3.98</v>
      </c>
      <c r="AH1388" s="103">
        <v>1.6699999999999999E-10</v>
      </c>
      <c r="AI1388" s="103"/>
      <c r="AJ1388" s="62">
        <f t="shared" si="329"/>
        <v>-8.1658498551650691</v>
      </c>
      <c r="AK1388" s="62"/>
      <c r="AL1388" s="62">
        <f t="shared" si="330"/>
        <v>-8.1658498551650691</v>
      </c>
      <c r="AM1388" s="62">
        <v>-15.96363</v>
      </c>
      <c r="AN1388" s="154">
        <v>-8.93</v>
      </c>
      <c r="AO1388" s="410"/>
      <c r="AP1388" s="410">
        <v>-2.3199999999999998</v>
      </c>
      <c r="AQ1388" s="154" t="s">
        <v>6311</v>
      </c>
      <c r="AR1388" s="154" t="s">
        <v>6314</v>
      </c>
      <c r="AS1388" s="149" t="s">
        <v>6</v>
      </c>
      <c r="AT1388" s="58" t="s">
        <v>266</v>
      </c>
      <c r="AU1388" s="56">
        <v>8</v>
      </c>
      <c r="AV1388" s="56">
        <v>144</v>
      </c>
      <c r="AW1388" s="56">
        <v>120</v>
      </c>
      <c r="AX1388" s="56">
        <v>26</v>
      </c>
      <c r="AY1388" s="56" t="s">
        <v>267</v>
      </c>
      <c r="AZ1388" s="56" t="s">
        <v>268</v>
      </c>
      <c r="BA1388" s="56">
        <v>3</v>
      </c>
      <c r="BB1388" s="55" t="s">
        <v>888</v>
      </c>
      <c r="BC1388" s="55" t="s">
        <v>270</v>
      </c>
      <c r="BD1388" s="55" t="s">
        <v>8374</v>
      </c>
      <c r="BE1388" s="56" t="s">
        <v>889</v>
      </c>
      <c r="BF1388" s="56" t="s">
        <v>272</v>
      </c>
      <c r="BG1388" s="56" t="s">
        <v>272</v>
      </c>
      <c r="BH1388" s="56" t="s">
        <v>890</v>
      </c>
      <c r="BI1388" s="153">
        <v>4.2385999999999997E-4</v>
      </c>
      <c r="BJ1388" s="153">
        <v>33.908799999999999</v>
      </c>
      <c r="BK1388" s="56"/>
      <c r="BL1388" s="153">
        <v>0.78059799922281659</v>
      </c>
      <c r="BM1388" s="56" t="s">
        <v>891</v>
      </c>
      <c r="BN1388" s="162"/>
      <c r="BO1388" s="162"/>
      <c r="BP1388" s="162"/>
      <c r="BQ1388" s="162"/>
      <c r="BR1388" s="162"/>
      <c r="BS1388" s="172">
        <v>1.2970116</v>
      </c>
      <c r="BT1388" s="162"/>
      <c r="BU1388" s="173"/>
      <c r="BV1388" s="162"/>
      <c r="BW1388" s="162"/>
      <c r="BX1388" s="162"/>
      <c r="BY1388" s="162"/>
      <c r="BZ1388" s="162"/>
      <c r="CA1388" s="162"/>
      <c r="CB1388" s="162"/>
      <c r="CC1388" s="172"/>
      <c r="CD1388" s="56"/>
      <c r="CE1388" s="56"/>
      <c r="CF1388" s="56"/>
      <c r="CG1388" s="56"/>
      <c r="CH1388" s="172"/>
      <c r="CI1388" s="103">
        <v>1.2970116</v>
      </c>
      <c r="CJ1388" s="103">
        <f t="shared" si="326"/>
        <v>0.11294386027333361</v>
      </c>
      <c r="CK1388" s="57">
        <f t="shared" si="331"/>
        <v>2.3020513825992562E-2</v>
      </c>
      <c r="CL1388" s="160">
        <f t="shared" si="332"/>
        <v>0.60184349871875975</v>
      </c>
      <c r="CM1388" s="160"/>
      <c r="CN1388" s="160"/>
      <c r="CO1388" s="55" t="s">
        <v>892</v>
      </c>
      <c r="CP1388" s="497" t="s">
        <v>893</v>
      </c>
      <c r="CQ1388" s="149" t="s">
        <v>272</v>
      </c>
      <c r="CR1388" s="349"/>
      <c r="CS1388" s="61" t="s">
        <v>539</v>
      </c>
      <c r="CT1388" s="61"/>
      <c r="CU1388" s="111">
        <f t="shared" si="333"/>
        <v>0.14571959109694932</v>
      </c>
      <c r="CV1388" s="331">
        <f t="shared" si="334"/>
        <v>5.5737743594583122E-3</v>
      </c>
      <c r="CW1388" s="326">
        <f t="shared" si="327"/>
        <v>0</v>
      </c>
      <c r="CX1388" s="326" t="s">
        <v>539</v>
      </c>
      <c r="CY1388" s="161" t="s">
        <v>5921</v>
      </c>
    </row>
    <row r="1389" spans="1:103" ht="11.25" customHeight="1" x14ac:dyDescent="0.2">
      <c r="A1389" s="72">
        <v>328</v>
      </c>
      <c r="B1389" s="149">
        <v>360</v>
      </c>
      <c r="C1389" s="54" t="s">
        <v>1298</v>
      </c>
      <c r="D1389" s="54" t="s">
        <v>6649</v>
      </c>
      <c r="E1389" s="59"/>
      <c r="F1389" s="59" t="s">
        <v>1299</v>
      </c>
      <c r="G1389" s="151">
        <v>72435</v>
      </c>
      <c r="H1389" s="55" t="s">
        <v>1300</v>
      </c>
      <c r="I1389" s="55" t="s">
        <v>7923</v>
      </c>
      <c r="J1389" s="55" t="s">
        <v>1301</v>
      </c>
      <c r="K1389" s="55" t="s">
        <v>426</v>
      </c>
      <c r="L1389" s="55" t="s">
        <v>617</v>
      </c>
      <c r="M1389" s="55" t="s">
        <v>1086</v>
      </c>
      <c r="N1389" s="60" t="s">
        <v>6376</v>
      </c>
      <c r="O1389" s="55" t="s">
        <v>918</v>
      </c>
      <c r="P1389" s="67" t="s">
        <v>6631</v>
      </c>
      <c r="Q1389" s="67" t="s">
        <v>6173</v>
      </c>
      <c r="R1389" s="67" t="s">
        <v>6082</v>
      </c>
      <c r="S1389" s="67" t="s">
        <v>6173</v>
      </c>
      <c r="T1389" s="56">
        <v>345.65</v>
      </c>
      <c r="U1389" s="103">
        <v>0.1</v>
      </c>
      <c r="V1389" s="103">
        <v>0.30199999999999999</v>
      </c>
      <c r="W1389" s="103">
        <v>6.1466227807995315</v>
      </c>
      <c r="X1389" s="103">
        <v>0.1</v>
      </c>
      <c r="Y1389" s="162">
        <v>7</v>
      </c>
      <c r="Z1389" s="56">
        <v>5.67</v>
      </c>
      <c r="AA1389" s="56">
        <v>5.08</v>
      </c>
      <c r="AB1389" s="56">
        <v>5.83</v>
      </c>
      <c r="AC1389" s="56">
        <v>0.84089999999999998</v>
      </c>
      <c r="AD1389" s="56">
        <v>5.51</v>
      </c>
      <c r="AE1389" s="56">
        <v>4.5599999999999996</v>
      </c>
      <c r="AF1389" s="56">
        <f t="shared" si="328"/>
        <v>5.08</v>
      </c>
      <c r="AG1389" s="57">
        <v>5.14</v>
      </c>
      <c r="AH1389" s="103">
        <v>9.7500000000000006E-8</v>
      </c>
      <c r="AI1389" s="103">
        <v>2.03E-7</v>
      </c>
      <c r="AJ1389" s="62">
        <f t="shared" si="329"/>
        <v>-5.3995617106141154</v>
      </c>
      <c r="AK1389" s="62">
        <f>LOG10(AI1389*1000/(0.08206*298.15))</f>
        <v>-5.081070288399439</v>
      </c>
      <c r="AL1389" s="62">
        <f t="shared" si="330"/>
        <v>-5.081070288399439</v>
      </c>
      <c r="AM1389" s="62">
        <v>-9.6148900000000008</v>
      </c>
      <c r="AN1389" s="154">
        <v>-6.6</v>
      </c>
      <c r="AO1389" s="410"/>
      <c r="AP1389" s="410"/>
      <c r="AQ1389" s="154" t="s">
        <v>6311</v>
      </c>
      <c r="AR1389" s="154" t="s">
        <v>6311</v>
      </c>
      <c r="AS1389" s="149" t="s">
        <v>6</v>
      </c>
      <c r="AT1389" s="58" t="s">
        <v>266</v>
      </c>
      <c r="AU1389" s="56">
        <v>8</v>
      </c>
      <c r="AV1389" s="56">
        <v>144</v>
      </c>
      <c r="AW1389" s="56">
        <v>120</v>
      </c>
      <c r="AX1389" s="56">
        <v>26</v>
      </c>
      <c r="AY1389" s="56" t="s">
        <v>267</v>
      </c>
      <c r="AZ1389" s="56" t="s">
        <v>268</v>
      </c>
      <c r="BA1389" s="56">
        <v>2</v>
      </c>
      <c r="BB1389" s="55" t="s">
        <v>888</v>
      </c>
      <c r="BC1389" s="55" t="s">
        <v>270</v>
      </c>
      <c r="BD1389" s="55" t="s">
        <v>8374</v>
      </c>
      <c r="BE1389" s="56" t="s">
        <v>889</v>
      </c>
      <c r="BF1389" s="56" t="s">
        <v>272</v>
      </c>
      <c r="BG1389" s="56" t="s">
        <v>272</v>
      </c>
      <c r="BH1389" s="56" t="s">
        <v>890</v>
      </c>
      <c r="BI1389" s="153">
        <v>3.4564999999999997E-4</v>
      </c>
      <c r="BJ1389" s="153">
        <v>27.651999999999997</v>
      </c>
      <c r="BK1389" s="56"/>
      <c r="BL1389" s="153">
        <v>0.14361822708576152</v>
      </c>
      <c r="BM1389" s="56" t="s">
        <v>891</v>
      </c>
      <c r="BN1389" s="162"/>
      <c r="BO1389" s="162"/>
      <c r="BP1389" s="162"/>
      <c r="BQ1389" s="162"/>
      <c r="BR1389" s="162"/>
      <c r="BS1389" s="56">
        <v>3.069372</v>
      </c>
      <c r="BT1389" s="162"/>
      <c r="BU1389" s="158"/>
      <c r="BV1389" s="162"/>
      <c r="BW1389" s="162"/>
      <c r="BX1389" s="162"/>
      <c r="BY1389" s="162"/>
      <c r="BZ1389" s="162"/>
      <c r="CA1389" s="162"/>
      <c r="CB1389" s="162"/>
      <c r="CC1389" s="56"/>
      <c r="CD1389" s="56"/>
      <c r="CE1389" s="56"/>
      <c r="CF1389" s="56"/>
      <c r="CG1389" s="56"/>
      <c r="CH1389" s="56"/>
      <c r="CI1389" s="103">
        <v>3.069372</v>
      </c>
      <c r="CJ1389" s="103">
        <f t="shared" si="326"/>
        <v>0.48704952699705317</v>
      </c>
      <c r="CK1389" s="57">
        <f t="shared" si="331"/>
        <v>5.1937735818661053E-3</v>
      </c>
      <c r="CL1389" s="160">
        <f t="shared" si="332"/>
        <v>4.6790752989784724E-2</v>
      </c>
      <c r="CM1389" s="160"/>
      <c r="CN1389" s="160"/>
      <c r="CO1389" s="55" t="s">
        <v>892</v>
      </c>
      <c r="CP1389" s="497" t="s">
        <v>893</v>
      </c>
      <c r="CQ1389" s="149">
        <v>-1.5198053616643368</v>
      </c>
      <c r="CR1389" s="349">
        <f>10^(CJ1389-CQ1389)</f>
        <v>101.59091891928027</v>
      </c>
      <c r="CS1389" s="61" t="s">
        <v>539</v>
      </c>
      <c r="CT1389" s="61"/>
      <c r="CU1389" s="111">
        <f t="shared" si="333"/>
        <v>3.257995446625564E-2</v>
      </c>
      <c r="CV1389" s="331">
        <f t="shared" si="334"/>
        <v>3.6163749457543762E-3</v>
      </c>
      <c r="CW1389" s="326">
        <f t="shared" si="327"/>
        <v>0</v>
      </c>
      <c r="CX1389" s="326" t="s">
        <v>539</v>
      </c>
      <c r="CY1389" s="161" t="s">
        <v>5921</v>
      </c>
    </row>
    <row r="1390" spans="1:103" ht="11.25" customHeight="1" x14ac:dyDescent="0.2">
      <c r="A1390" s="72">
        <v>329</v>
      </c>
      <c r="B1390" s="149">
        <v>800</v>
      </c>
      <c r="C1390" s="54" t="s">
        <v>2249</v>
      </c>
      <c r="D1390" s="54" t="s">
        <v>6650</v>
      </c>
      <c r="E1390" s="59"/>
      <c r="F1390" s="59" t="s">
        <v>2250</v>
      </c>
      <c r="G1390" s="151">
        <v>556616</v>
      </c>
      <c r="H1390" s="55" t="s">
        <v>2251</v>
      </c>
      <c r="I1390" s="55" t="s">
        <v>2251</v>
      </c>
      <c r="J1390" s="55" t="s">
        <v>2252</v>
      </c>
      <c r="K1390" s="55" t="s">
        <v>1468</v>
      </c>
      <c r="L1390" s="55" t="s">
        <v>6022</v>
      </c>
      <c r="M1390" s="55" t="s">
        <v>6023</v>
      </c>
      <c r="N1390" s="60" t="s">
        <v>6382</v>
      </c>
      <c r="O1390" s="64" t="s">
        <v>5943</v>
      </c>
      <c r="P1390" s="67">
        <v>3</v>
      </c>
      <c r="Q1390" s="67" t="s">
        <v>6173</v>
      </c>
      <c r="R1390" s="67">
        <v>1</v>
      </c>
      <c r="S1390" s="67" t="s">
        <v>6173</v>
      </c>
      <c r="T1390" s="56">
        <v>73.12</v>
      </c>
      <c r="U1390" s="103">
        <v>7600</v>
      </c>
      <c r="V1390" s="103">
        <v>21130</v>
      </c>
      <c r="W1390" s="103">
        <v>3926.7764950592873</v>
      </c>
      <c r="X1390" s="103">
        <v>7600</v>
      </c>
      <c r="Y1390" s="162">
        <v>7</v>
      </c>
      <c r="Z1390" s="56">
        <v>1.3</v>
      </c>
      <c r="AA1390" s="56">
        <v>0.94</v>
      </c>
      <c r="AB1390" s="56">
        <v>1.6</v>
      </c>
      <c r="AC1390" s="56">
        <v>0.87309999999999999</v>
      </c>
      <c r="AD1390" s="56">
        <v>1.44</v>
      </c>
      <c r="AE1390" s="56">
        <v>0.94</v>
      </c>
      <c r="AF1390" s="56">
        <f t="shared" si="328"/>
        <v>0.94</v>
      </c>
      <c r="AG1390" s="57">
        <v>1.53</v>
      </c>
      <c r="AH1390" s="103">
        <v>3.1099999999999999E-3</v>
      </c>
      <c r="AI1390" s="103">
        <v>4.4799999999999998E-5</v>
      </c>
      <c r="AJ1390" s="62">
        <f t="shared" si="329"/>
        <v>-0.89580593728581437</v>
      </c>
      <c r="AK1390" s="62">
        <f>LOG10(AI1390*1000/(0.08206*298.15))</f>
        <v>-2.737288312314508</v>
      </c>
      <c r="AL1390" s="62">
        <f t="shared" si="330"/>
        <v>-2.737288312314508</v>
      </c>
      <c r="AM1390" s="62">
        <v>-1.2832599999999998</v>
      </c>
      <c r="AN1390" s="154">
        <v>-2.31</v>
      </c>
      <c r="AO1390" s="410"/>
      <c r="AP1390" s="410"/>
      <c r="AQ1390" s="56" t="s">
        <v>6311</v>
      </c>
      <c r="AR1390" s="56" t="s">
        <v>6311</v>
      </c>
      <c r="AS1390" s="149" t="s">
        <v>6</v>
      </c>
      <c r="AT1390" s="58" t="s">
        <v>266</v>
      </c>
      <c r="AU1390" s="56">
        <v>8</v>
      </c>
      <c r="AV1390" s="56">
        <v>144</v>
      </c>
      <c r="AW1390" s="56">
        <v>120</v>
      </c>
      <c r="AX1390" s="56">
        <v>26</v>
      </c>
      <c r="AY1390" s="56" t="s">
        <v>267</v>
      </c>
      <c r="AZ1390" s="56" t="s">
        <v>2253</v>
      </c>
      <c r="BA1390" s="56">
        <v>2</v>
      </c>
      <c r="BB1390" s="55" t="s">
        <v>2254</v>
      </c>
      <c r="BC1390" s="55" t="s">
        <v>270</v>
      </c>
      <c r="BD1390" s="55" t="s">
        <v>8374</v>
      </c>
      <c r="BE1390" s="56" t="s">
        <v>1712</v>
      </c>
      <c r="BF1390" s="56" t="s">
        <v>272</v>
      </c>
      <c r="BG1390" s="56" t="s">
        <v>272</v>
      </c>
      <c r="BH1390" s="56" t="s">
        <v>2255</v>
      </c>
      <c r="BI1390" s="153">
        <v>7.3120000000000005E-5</v>
      </c>
      <c r="BJ1390" s="153">
        <v>5.8496000000000006</v>
      </c>
      <c r="BK1390" s="56"/>
      <c r="BL1390" s="153">
        <v>255.45016216992011</v>
      </c>
      <c r="BM1390" s="56" t="s">
        <v>891</v>
      </c>
      <c r="BN1390" s="56"/>
      <c r="BO1390" s="56"/>
      <c r="BP1390" s="56"/>
      <c r="BQ1390" s="56"/>
      <c r="BR1390" s="56"/>
      <c r="BS1390" s="56">
        <v>0.64930560000000015</v>
      </c>
      <c r="BT1390" s="56"/>
      <c r="BU1390" s="158"/>
      <c r="BV1390" s="56"/>
      <c r="BW1390" s="56"/>
      <c r="BX1390" s="56"/>
      <c r="BY1390" s="56"/>
      <c r="BZ1390" s="56"/>
      <c r="CA1390" s="56"/>
      <c r="CB1390" s="56"/>
      <c r="CC1390" s="56"/>
      <c r="CD1390" s="56"/>
      <c r="CE1390" s="56"/>
      <c r="CF1390" s="56"/>
      <c r="CG1390" s="56"/>
      <c r="CH1390" s="56"/>
      <c r="CI1390" s="103">
        <v>0.64930560000000015</v>
      </c>
      <c r="CJ1390" s="103">
        <f t="shared" si="326"/>
        <v>-0.18755085149562387</v>
      </c>
      <c r="CK1390" s="57">
        <f t="shared" si="331"/>
        <v>43.669680349070035</v>
      </c>
      <c r="CL1390" s="160">
        <f t="shared" si="332"/>
        <v>393.42054368531558</v>
      </c>
      <c r="CM1390" s="160">
        <v>-1.1588010927122354</v>
      </c>
      <c r="CN1390" s="160">
        <f>BJ1390/(10^CM1390)</f>
        <v>84.31935241384015</v>
      </c>
      <c r="CO1390" s="55" t="s">
        <v>892</v>
      </c>
      <c r="CP1390" s="497" t="s">
        <v>893</v>
      </c>
      <c r="CQ1390" s="149">
        <v>-1.0551046136804711</v>
      </c>
      <c r="CR1390" s="349">
        <f>10^(CJ1390-CQ1390)</f>
        <v>7.3714642252389666</v>
      </c>
      <c r="CS1390" s="61" t="s">
        <v>539</v>
      </c>
      <c r="CT1390" s="61"/>
      <c r="CU1390" s="111">
        <f t="shared" si="333"/>
        <v>11704.812033039601</v>
      </c>
      <c r="CV1390" s="331">
        <f t="shared" si="334"/>
        <v>1299.234135667396</v>
      </c>
      <c r="CW1390" s="326">
        <f t="shared" si="327"/>
        <v>1</v>
      </c>
      <c r="CX1390" s="326" t="s">
        <v>539</v>
      </c>
      <c r="CY1390" s="161" t="s">
        <v>6351</v>
      </c>
    </row>
    <row r="1391" spans="1:103" ht="11.25" customHeight="1" x14ac:dyDescent="0.2">
      <c r="A1391" s="72">
        <v>330</v>
      </c>
      <c r="B1391" s="149">
        <v>234</v>
      </c>
      <c r="C1391" s="54" t="s">
        <v>1056</v>
      </c>
      <c r="D1391" s="54" t="s">
        <v>6471</v>
      </c>
      <c r="E1391" s="59"/>
      <c r="F1391" s="59" t="s">
        <v>1057</v>
      </c>
      <c r="G1391" s="151">
        <v>120321</v>
      </c>
      <c r="H1391" s="55" t="s">
        <v>1058</v>
      </c>
      <c r="I1391" s="55" t="s">
        <v>8313</v>
      </c>
      <c r="J1391" s="55" t="s">
        <v>1059</v>
      </c>
      <c r="K1391" s="55" t="s">
        <v>349</v>
      </c>
      <c r="L1391" s="55" t="s">
        <v>5576</v>
      </c>
      <c r="M1391" s="168" t="s">
        <v>6082</v>
      </c>
      <c r="N1391" s="60" t="s">
        <v>6082</v>
      </c>
      <c r="O1391" s="55" t="s">
        <v>6083</v>
      </c>
      <c r="P1391" s="67">
        <v>3</v>
      </c>
      <c r="Q1391" s="67" t="s">
        <v>6173</v>
      </c>
      <c r="R1391" s="67">
        <v>1</v>
      </c>
      <c r="S1391" s="67" t="s">
        <v>6173</v>
      </c>
      <c r="T1391" s="56">
        <v>218.68</v>
      </c>
      <c r="U1391" s="103">
        <v>149</v>
      </c>
      <c r="V1391" s="103">
        <v>112</v>
      </c>
      <c r="W1391" s="103">
        <v>37.137192192033382</v>
      </c>
      <c r="X1391" s="103">
        <v>149</v>
      </c>
      <c r="Y1391" s="162">
        <v>6.72</v>
      </c>
      <c r="Z1391" s="56">
        <v>4.18</v>
      </c>
      <c r="AA1391" s="56">
        <v>3.6</v>
      </c>
      <c r="AB1391" s="56">
        <v>4.26</v>
      </c>
      <c r="AC1391" s="56">
        <v>0.77049999999999996</v>
      </c>
      <c r="AD1391" s="56">
        <v>4.3099999999999996</v>
      </c>
      <c r="AE1391" s="56">
        <v>4.41</v>
      </c>
      <c r="AF1391" s="56">
        <f t="shared" si="328"/>
        <v>3.6</v>
      </c>
      <c r="AG1391" s="57">
        <v>4.01</v>
      </c>
      <c r="AH1391" s="103">
        <v>3.7E-8</v>
      </c>
      <c r="AI1391" s="103">
        <v>2.7000000000000002E-9</v>
      </c>
      <c r="AJ1391" s="62">
        <f t="shared" si="329"/>
        <v>-5.8203646022456565</v>
      </c>
      <c r="AK1391" s="62">
        <f>LOG10(AI1391*1000/(0.08206*298.15))</f>
        <v>-6.9572025621536646</v>
      </c>
      <c r="AL1391" s="62">
        <f t="shared" si="330"/>
        <v>-6.9572025621536646</v>
      </c>
      <c r="AM1391" s="62">
        <v>-10.455459999999999</v>
      </c>
      <c r="AN1391" s="154">
        <v>-6.05</v>
      </c>
      <c r="AO1391" s="410">
        <v>9.81</v>
      </c>
      <c r="AP1391" s="410"/>
      <c r="AQ1391" s="154" t="s">
        <v>6311</v>
      </c>
      <c r="AR1391" s="154" t="s">
        <v>6311</v>
      </c>
      <c r="AS1391" s="149" t="s">
        <v>6</v>
      </c>
      <c r="AT1391" s="58" t="s">
        <v>266</v>
      </c>
      <c r="AU1391" s="56">
        <v>8</v>
      </c>
      <c r="AV1391" s="56">
        <v>144</v>
      </c>
      <c r="AW1391" s="56">
        <v>120</v>
      </c>
      <c r="AX1391" s="56">
        <v>26</v>
      </c>
      <c r="AY1391" s="56" t="s">
        <v>267</v>
      </c>
      <c r="AZ1391" s="56" t="s">
        <v>268</v>
      </c>
      <c r="BA1391" s="56">
        <v>3</v>
      </c>
      <c r="BB1391" s="55" t="s">
        <v>888</v>
      </c>
      <c r="BC1391" s="55" t="s">
        <v>270</v>
      </c>
      <c r="BD1391" s="55" t="s">
        <v>8374</v>
      </c>
      <c r="BE1391" s="56" t="s">
        <v>889</v>
      </c>
      <c r="BF1391" s="56" t="s">
        <v>272</v>
      </c>
      <c r="BG1391" s="56" t="s">
        <v>272</v>
      </c>
      <c r="BH1391" s="56" t="s">
        <v>890</v>
      </c>
      <c r="BI1391" s="153">
        <v>2.1867999999999999E-4</v>
      </c>
      <c r="BJ1391" s="153">
        <v>17.494400000000002</v>
      </c>
      <c r="BK1391" s="56"/>
      <c r="BL1391" s="153">
        <v>1.9794797587696336</v>
      </c>
      <c r="BM1391" s="56" t="s">
        <v>891</v>
      </c>
      <c r="BN1391" s="162"/>
      <c r="BO1391" s="162"/>
      <c r="BP1391" s="162"/>
      <c r="BQ1391" s="162"/>
      <c r="BR1391" s="162"/>
      <c r="BS1391" s="56">
        <v>1.9418784000000002</v>
      </c>
      <c r="BT1391" s="162"/>
      <c r="BU1391" s="158"/>
      <c r="BV1391" s="162"/>
      <c r="BW1391" s="162"/>
      <c r="BX1391" s="162"/>
      <c r="BY1391" s="162"/>
      <c r="BZ1391" s="162"/>
      <c r="CA1391" s="162"/>
      <c r="CB1391" s="162"/>
      <c r="CC1391" s="56"/>
      <c r="CD1391" s="56"/>
      <c r="CE1391" s="56"/>
      <c r="CF1391" s="56"/>
      <c r="CG1391" s="56"/>
      <c r="CH1391" s="56"/>
      <c r="CI1391" s="103">
        <v>1.9418784000000002</v>
      </c>
      <c r="CJ1391" s="103">
        <f t="shared" si="326"/>
        <v>0.2882220309981206</v>
      </c>
      <c r="CK1391" s="57">
        <f t="shared" si="331"/>
        <v>0.11314933686034578</v>
      </c>
      <c r="CL1391" s="160">
        <f t="shared" si="332"/>
        <v>1.0193633951382504</v>
      </c>
      <c r="CM1391" s="160">
        <v>-0.48148606012211248</v>
      </c>
      <c r="CN1391" s="160">
        <f>BJ1391/(10^CM1391)</f>
        <v>53.013333333333335</v>
      </c>
      <c r="CO1391" s="55" t="s">
        <v>892</v>
      </c>
      <c r="CP1391" s="497" t="s">
        <v>893</v>
      </c>
      <c r="CQ1391" s="149">
        <v>-0.31207678184542198</v>
      </c>
      <c r="CR1391" s="349">
        <f>10^(CJ1391-CQ1391)</f>
        <v>3.9838117926093517</v>
      </c>
      <c r="CS1391" s="61" t="s">
        <v>539</v>
      </c>
      <c r="CT1391" s="61"/>
      <c r="CU1391" s="111">
        <f t="shared" si="333"/>
        <v>76.729830250957008</v>
      </c>
      <c r="CV1391" s="331">
        <f t="shared" si="334"/>
        <v>8.5170111578562278</v>
      </c>
      <c r="CW1391" s="326">
        <f t="shared" si="327"/>
        <v>1</v>
      </c>
      <c r="CX1391" s="326" t="s">
        <v>539</v>
      </c>
      <c r="CY1391" s="161" t="s">
        <v>5921</v>
      </c>
    </row>
    <row r="1392" spans="1:103" ht="11.25" customHeight="1" x14ac:dyDescent="0.2">
      <c r="A1392" s="72">
        <v>332</v>
      </c>
      <c r="B1392" s="149">
        <v>421</v>
      </c>
      <c r="C1392" s="54" t="s">
        <v>6652</v>
      </c>
      <c r="D1392" s="54"/>
      <c r="E1392" s="59"/>
      <c r="F1392" s="59" t="s">
        <v>1419</v>
      </c>
      <c r="G1392" s="151">
        <v>94125345</v>
      </c>
      <c r="H1392" s="55" t="s">
        <v>1420</v>
      </c>
      <c r="I1392" s="55" t="s">
        <v>1420</v>
      </c>
      <c r="J1392" s="55" t="s">
        <v>1421</v>
      </c>
      <c r="K1392" s="55" t="s">
        <v>1422</v>
      </c>
      <c r="L1392" s="55"/>
      <c r="M1392" s="55"/>
      <c r="N1392" s="60"/>
      <c r="O1392" s="55"/>
      <c r="P1392" s="67">
        <v>3</v>
      </c>
      <c r="Q1392" s="67" t="s">
        <v>6173</v>
      </c>
      <c r="R1392" s="67">
        <v>1</v>
      </c>
      <c r="S1392" s="67" t="s">
        <v>6173</v>
      </c>
      <c r="T1392" s="56">
        <v>419.38</v>
      </c>
      <c r="U1392" s="103">
        <v>28.999999999999996</v>
      </c>
      <c r="V1392" s="103">
        <v>2.1019999999999999</v>
      </c>
      <c r="W1392" s="103">
        <v>29.689830305501939</v>
      </c>
      <c r="X1392" s="103">
        <v>28.999999999999996</v>
      </c>
      <c r="Y1392" s="162">
        <v>4.28</v>
      </c>
      <c r="Z1392" s="56">
        <v>3.56</v>
      </c>
      <c r="AA1392" s="56"/>
      <c r="AB1392" s="56">
        <v>2.65</v>
      </c>
      <c r="AC1392" s="56">
        <v>0.63749999999999996</v>
      </c>
      <c r="AD1392" s="56">
        <v>2.79</v>
      </c>
      <c r="AE1392" s="56">
        <v>3.02</v>
      </c>
      <c r="AF1392" s="56">
        <f t="shared" si="328"/>
        <v>2.79</v>
      </c>
      <c r="AG1392" s="57">
        <v>2.75</v>
      </c>
      <c r="AH1392" s="103">
        <v>1.79E-10</v>
      </c>
      <c r="AI1392" s="103"/>
      <c r="AJ1392" s="62">
        <f t="shared" si="329"/>
        <v>-8.1357132953327582</v>
      </c>
      <c r="AK1392" s="62"/>
      <c r="AL1392" s="62">
        <f t="shared" si="330"/>
        <v>-8.1357132953327582</v>
      </c>
      <c r="AM1392" s="62">
        <v>-21.087910000000001</v>
      </c>
      <c r="AN1392" s="154">
        <v>-21.3</v>
      </c>
      <c r="AO1392" s="410">
        <v>4.3</v>
      </c>
      <c r="AP1392" s="410">
        <v>2.59</v>
      </c>
      <c r="AQ1392" s="154" t="s">
        <v>6311</v>
      </c>
      <c r="AR1392" s="154" t="s">
        <v>6311</v>
      </c>
      <c r="AS1392" s="149" t="s">
        <v>6</v>
      </c>
      <c r="AT1392" s="58" t="s">
        <v>266</v>
      </c>
      <c r="AU1392" s="56">
        <v>8</v>
      </c>
      <c r="AV1392" s="56">
        <v>144</v>
      </c>
      <c r="AW1392" s="56">
        <v>120</v>
      </c>
      <c r="AX1392" s="56">
        <v>26</v>
      </c>
      <c r="AY1392" s="56" t="s">
        <v>267</v>
      </c>
      <c r="AZ1392" s="56" t="s">
        <v>268</v>
      </c>
      <c r="BA1392" s="56">
        <v>6</v>
      </c>
      <c r="BB1392" s="55" t="s">
        <v>888</v>
      </c>
      <c r="BC1392" s="55" t="s">
        <v>270</v>
      </c>
      <c r="BD1392" s="55" t="s">
        <v>8374</v>
      </c>
      <c r="BE1392" s="56" t="s">
        <v>889</v>
      </c>
      <c r="BF1392" s="56" t="s">
        <v>272</v>
      </c>
      <c r="BG1392" s="56" t="s">
        <v>272</v>
      </c>
      <c r="BH1392" s="56" t="s">
        <v>890</v>
      </c>
      <c r="BI1392" s="153">
        <v>4.1937999999999996E-4</v>
      </c>
      <c r="BJ1392" s="153">
        <v>33.550400000000003</v>
      </c>
      <c r="BK1392" s="56"/>
      <c r="BL1392" s="153">
        <v>13.682697177642797</v>
      </c>
      <c r="BM1392" s="56" t="s">
        <v>891</v>
      </c>
      <c r="BN1392" s="162"/>
      <c r="BO1392" s="162"/>
      <c r="BP1392" s="162"/>
      <c r="BQ1392" s="162"/>
      <c r="BR1392" s="162"/>
      <c r="BS1392" s="172">
        <v>29.788561399999999</v>
      </c>
      <c r="BT1392" s="162"/>
      <c r="BU1392" s="173"/>
      <c r="BV1392" s="162"/>
      <c r="BW1392" s="162"/>
      <c r="BX1392" s="162"/>
      <c r="BY1392" s="162"/>
      <c r="BZ1392" s="162"/>
      <c r="CA1392" s="162"/>
      <c r="CB1392" s="162"/>
      <c r="CC1392" s="172"/>
      <c r="CD1392" s="56"/>
      <c r="CE1392" s="56"/>
      <c r="CF1392" s="56"/>
      <c r="CG1392" s="56"/>
      <c r="CH1392" s="172"/>
      <c r="CI1392" s="103">
        <v>29.788561399999999</v>
      </c>
      <c r="CJ1392" s="103">
        <f t="shared" si="326"/>
        <v>1.4740495300318346</v>
      </c>
      <c r="CK1392" s="57">
        <f t="shared" si="331"/>
        <v>0.40782515790103235</v>
      </c>
      <c r="CL1392" s="160">
        <f t="shared" si="332"/>
        <v>0.45932722275211307</v>
      </c>
      <c r="CM1392" s="160"/>
      <c r="CN1392" s="160"/>
      <c r="CO1392" s="55" t="s">
        <v>892</v>
      </c>
      <c r="CP1392" s="497" t="s">
        <v>893</v>
      </c>
      <c r="CQ1392" s="149" t="s">
        <v>272</v>
      </c>
      <c r="CR1392" s="349"/>
      <c r="CS1392" s="61" t="s">
        <v>539</v>
      </c>
      <c r="CT1392" s="61"/>
      <c r="CU1392" s="111">
        <f t="shared" si="333"/>
        <v>0.97352804690997929</v>
      </c>
      <c r="CV1392" s="331">
        <f t="shared" si="334"/>
        <v>0.86437121465019773</v>
      </c>
      <c r="CW1392" s="326">
        <f t="shared" si="327"/>
        <v>0</v>
      </c>
      <c r="CX1392" s="326" t="s">
        <v>539</v>
      </c>
      <c r="CY1392" s="161" t="s">
        <v>5921</v>
      </c>
    </row>
    <row r="1393" spans="1:103" ht="11.25" customHeight="1" x14ac:dyDescent="0.2">
      <c r="A1393" s="72">
        <v>333</v>
      </c>
      <c r="B1393" s="149">
        <v>303</v>
      </c>
      <c r="C1393" s="54" t="s">
        <v>1193</v>
      </c>
      <c r="D1393" s="54" t="s">
        <v>6653</v>
      </c>
      <c r="E1393" s="59"/>
      <c r="F1393" s="59" t="s">
        <v>1194</v>
      </c>
      <c r="G1393" s="151">
        <v>69806504</v>
      </c>
      <c r="H1393" s="55" t="s">
        <v>1195</v>
      </c>
      <c r="I1393" s="55" t="s">
        <v>1195</v>
      </c>
      <c r="J1393" s="55" t="s">
        <v>1196</v>
      </c>
      <c r="K1393" s="55" t="s">
        <v>357</v>
      </c>
      <c r="L1393" s="55" t="s">
        <v>5982</v>
      </c>
      <c r="M1393" s="60" t="s">
        <v>2342</v>
      </c>
      <c r="N1393" s="60" t="s">
        <v>2342</v>
      </c>
      <c r="O1393" s="55"/>
      <c r="P1393" s="67">
        <v>3</v>
      </c>
      <c r="Q1393" s="67" t="s">
        <v>6173</v>
      </c>
      <c r="R1393" s="67">
        <v>1</v>
      </c>
      <c r="S1393" s="67" t="s">
        <v>6173</v>
      </c>
      <c r="T1393" s="56">
        <v>383.36</v>
      </c>
      <c r="U1393" s="103">
        <v>2</v>
      </c>
      <c r="V1393" s="103">
        <v>0.55679999999999996</v>
      </c>
      <c r="W1393" s="103">
        <v>14.914434678500736</v>
      </c>
      <c r="X1393" s="103">
        <v>2</v>
      </c>
      <c r="Y1393" s="162">
        <v>7</v>
      </c>
      <c r="Z1393" s="56">
        <v>5.34</v>
      </c>
      <c r="AA1393" s="56">
        <v>4.5</v>
      </c>
      <c r="AB1393" s="56">
        <v>4.26</v>
      </c>
      <c r="AC1393" s="56">
        <v>0.8861</v>
      </c>
      <c r="AD1393" s="56">
        <v>4.1399999999999997</v>
      </c>
      <c r="AE1393" s="56">
        <v>3.64</v>
      </c>
      <c r="AF1393" s="56">
        <f t="shared" si="328"/>
        <v>4.5</v>
      </c>
      <c r="AG1393" s="57">
        <v>4.46</v>
      </c>
      <c r="AH1393" s="103">
        <v>3.7900000000000002E-8</v>
      </c>
      <c r="AI1393" s="103">
        <v>2.0800000000000001E-7</v>
      </c>
      <c r="AJ1393" s="62">
        <f t="shared" si="329"/>
        <v>-5.8099271163445794</v>
      </c>
      <c r="AK1393" s="62">
        <f>LOG10(AI1393*1000/(0.08206*298.15))</f>
        <v>-5.0705029913498905</v>
      </c>
      <c r="AL1393" s="62">
        <f t="shared" si="330"/>
        <v>-5.0705029913498905</v>
      </c>
      <c r="AM1393" s="62">
        <v>-12.061889999999998</v>
      </c>
      <c r="AN1393" s="154">
        <v>-5.76</v>
      </c>
      <c r="AO1393" s="410"/>
      <c r="AP1393" s="410">
        <v>0.78</v>
      </c>
      <c r="AQ1393" s="154" t="s">
        <v>6311</v>
      </c>
      <c r="AR1393" s="154" t="s">
        <v>6312</v>
      </c>
      <c r="AS1393" s="149" t="s">
        <v>6</v>
      </c>
      <c r="AT1393" s="58" t="s">
        <v>266</v>
      </c>
      <c r="AU1393" s="56">
        <v>8</v>
      </c>
      <c r="AV1393" s="56">
        <v>144</v>
      </c>
      <c r="AW1393" s="56">
        <v>120</v>
      </c>
      <c r="AX1393" s="56">
        <v>26</v>
      </c>
      <c r="AY1393" s="56" t="s">
        <v>267</v>
      </c>
      <c r="AZ1393" s="56" t="s">
        <v>268</v>
      </c>
      <c r="BA1393" s="56">
        <v>2</v>
      </c>
      <c r="BB1393" s="55" t="s">
        <v>888</v>
      </c>
      <c r="BC1393" s="55" t="s">
        <v>270</v>
      </c>
      <c r="BD1393" s="55" t="s">
        <v>8374</v>
      </c>
      <c r="BE1393" s="56" t="s">
        <v>889</v>
      </c>
      <c r="BF1393" s="56" t="s">
        <v>272</v>
      </c>
      <c r="BG1393" s="56" t="s">
        <v>272</v>
      </c>
      <c r="BH1393" s="56" t="s">
        <v>890</v>
      </c>
      <c r="BI1393" s="153">
        <v>3.8336000000000002E-4</v>
      </c>
      <c r="BJ1393" s="153">
        <v>30.668800000000001</v>
      </c>
      <c r="BK1393" s="56"/>
      <c r="BL1393" s="153">
        <v>0.31517575102200357</v>
      </c>
      <c r="BM1393" s="56" t="s">
        <v>891</v>
      </c>
      <c r="BN1393" s="162"/>
      <c r="BO1393" s="162"/>
      <c r="BP1393" s="162"/>
      <c r="BQ1393" s="162"/>
      <c r="BR1393" s="162"/>
      <c r="BS1393" s="56">
        <v>3.4042368000000005</v>
      </c>
      <c r="BT1393" s="162"/>
      <c r="BU1393" s="158"/>
      <c r="BV1393" s="162"/>
      <c r="BW1393" s="162"/>
      <c r="BX1393" s="162"/>
      <c r="BY1393" s="162"/>
      <c r="BZ1393" s="162"/>
      <c r="CA1393" s="162"/>
      <c r="CB1393" s="162"/>
      <c r="CC1393" s="56"/>
      <c r="CD1393" s="56"/>
      <c r="CE1393" s="56"/>
      <c r="CF1393" s="56"/>
      <c r="CG1393" s="56"/>
      <c r="CH1393" s="56"/>
      <c r="CI1393" s="103">
        <v>3.4042368000000005</v>
      </c>
      <c r="CJ1393" s="103">
        <f t="shared" si="326"/>
        <v>0.53201976215179958</v>
      </c>
      <c r="CK1393" s="57">
        <f t="shared" si="331"/>
        <v>1.0276755237309695E-2</v>
      </c>
      <c r="CL1393" s="160">
        <f t="shared" si="332"/>
        <v>9.2583380516303548E-2</v>
      </c>
      <c r="CM1393" s="160">
        <v>-0.43179827593300535</v>
      </c>
      <c r="CN1393" s="160">
        <f>BJ1393/(10^CM1393)</f>
        <v>82.888648648648712</v>
      </c>
      <c r="CO1393" s="55" t="s">
        <v>892</v>
      </c>
      <c r="CP1393" s="497" t="s">
        <v>893</v>
      </c>
      <c r="CQ1393" s="149">
        <v>0.43776498491040244</v>
      </c>
      <c r="CR1393" s="349">
        <f>10^(CJ1393-CQ1393)</f>
        <v>1.242380931998825</v>
      </c>
      <c r="CS1393" s="61" t="s">
        <v>539</v>
      </c>
      <c r="CT1393" s="61"/>
      <c r="CU1393" s="111">
        <f t="shared" si="333"/>
        <v>0.58750319601738621</v>
      </c>
      <c r="CV1393" s="331">
        <f t="shared" si="334"/>
        <v>6.5212854757929886E-2</v>
      </c>
      <c r="CW1393" s="326">
        <f t="shared" si="327"/>
        <v>0</v>
      </c>
      <c r="CX1393" s="326" t="s">
        <v>539</v>
      </c>
      <c r="CY1393" s="161" t="s">
        <v>5921</v>
      </c>
    </row>
    <row r="1394" spans="1:103" ht="11.25" customHeight="1" x14ac:dyDescent="0.2">
      <c r="A1394" s="72">
        <v>334</v>
      </c>
      <c r="B1394" s="149">
        <v>279</v>
      </c>
      <c r="C1394" s="54" t="s">
        <v>1135</v>
      </c>
      <c r="D1394" s="54" t="s">
        <v>6654</v>
      </c>
      <c r="E1394" s="59"/>
      <c r="F1394" s="59" t="s">
        <v>1136</v>
      </c>
      <c r="G1394" s="151">
        <v>115297</v>
      </c>
      <c r="H1394" s="55" t="s">
        <v>1137</v>
      </c>
      <c r="I1394" s="55" t="s">
        <v>7890</v>
      </c>
      <c r="J1394" s="55" t="s">
        <v>1138</v>
      </c>
      <c r="K1394" s="55" t="s">
        <v>1139</v>
      </c>
      <c r="L1394" s="55" t="s">
        <v>617</v>
      </c>
      <c r="M1394" s="55" t="s">
        <v>1140</v>
      </c>
      <c r="N1394" s="60" t="s">
        <v>6376</v>
      </c>
      <c r="O1394" s="55" t="s">
        <v>918</v>
      </c>
      <c r="P1394" s="67">
        <v>3</v>
      </c>
      <c r="Q1394" s="67" t="s">
        <v>6173</v>
      </c>
      <c r="R1394" s="67">
        <v>1</v>
      </c>
      <c r="S1394" s="67" t="s">
        <v>6173</v>
      </c>
      <c r="T1394" s="56">
        <v>406.92</v>
      </c>
      <c r="U1394" s="103">
        <v>0.44999999999999996</v>
      </c>
      <c r="V1394" s="103">
        <v>1.4870000000000001</v>
      </c>
      <c r="W1394" s="103">
        <v>1.173570099252276</v>
      </c>
      <c r="X1394" s="103">
        <v>0.44999999999999996</v>
      </c>
      <c r="Y1394" s="162">
        <v>7</v>
      </c>
      <c r="Z1394" s="56">
        <v>3.5</v>
      </c>
      <c r="AA1394" s="56">
        <v>3.83</v>
      </c>
      <c r="AB1394" s="56">
        <v>4.1900000000000004</v>
      </c>
      <c r="AC1394" s="56">
        <v>0.72519999999999996</v>
      </c>
      <c r="AD1394" s="56">
        <v>3.87</v>
      </c>
      <c r="AE1394" s="56">
        <v>3.12</v>
      </c>
      <c r="AF1394" s="56">
        <f t="shared" si="328"/>
        <v>3.83</v>
      </c>
      <c r="AG1394" s="57">
        <v>3.04</v>
      </c>
      <c r="AH1394" s="103">
        <v>9.0299999999999995E-8</v>
      </c>
      <c r="AI1394" s="103">
        <v>6.4999999999999994E-5</v>
      </c>
      <c r="AJ1394" s="62">
        <f t="shared" si="329"/>
        <v>-5.4328785759991458</v>
      </c>
      <c r="AK1394" s="62">
        <f>LOG10(AI1394*1000/(0.08206*298.15))</f>
        <v>-2.5756529696697963</v>
      </c>
      <c r="AL1394" s="62">
        <f t="shared" si="330"/>
        <v>-2.5756529696697963</v>
      </c>
      <c r="AM1394" s="62">
        <v>-16.826589999999999</v>
      </c>
      <c r="AN1394" s="154">
        <v>0.3</v>
      </c>
      <c r="AO1394" s="410"/>
      <c r="AP1394" s="410"/>
      <c r="AQ1394" s="154" t="s">
        <v>6311</v>
      </c>
      <c r="AR1394" s="154" t="s">
        <v>6311</v>
      </c>
      <c r="AS1394" s="149" t="s">
        <v>6</v>
      </c>
      <c r="AT1394" s="58" t="s">
        <v>266</v>
      </c>
      <c r="AU1394" s="56">
        <v>8</v>
      </c>
      <c r="AV1394" s="56">
        <v>144</v>
      </c>
      <c r="AW1394" s="56">
        <v>120</v>
      </c>
      <c r="AX1394" s="56">
        <v>26</v>
      </c>
      <c r="AY1394" s="56" t="s">
        <v>267</v>
      </c>
      <c r="AZ1394" s="56" t="s">
        <v>268</v>
      </c>
      <c r="BA1394" s="56">
        <v>2</v>
      </c>
      <c r="BB1394" s="55" t="s">
        <v>888</v>
      </c>
      <c r="BC1394" s="55" t="s">
        <v>270</v>
      </c>
      <c r="BD1394" s="55" t="s">
        <v>8374</v>
      </c>
      <c r="BE1394" s="56" t="s">
        <v>889</v>
      </c>
      <c r="BF1394" s="56" t="s">
        <v>272</v>
      </c>
      <c r="BG1394" s="56" t="s">
        <v>272</v>
      </c>
      <c r="BH1394" s="56" t="s">
        <v>890</v>
      </c>
      <c r="BI1394" s="153">
        <v>4.0692000000000001E-4</v>
      </c>
      <c r="BJ1394" s="153">
        <v>32.553600000000003</v>
      </c>
      <c r="BK1394" s="56"/>
      <c r="BL1394" s="153">
        <v>15.030001911696553</v>
      </c>
      <c r="BM1394" s="56" t="s">
        <v>891</v>
      </c>
      <c r="BN1394" s="162"/>
      <c r="BO1394" s="162"/>
      <c r="BP1394" s="162"/>
      <c r="BQ1394" s="162"/>
      <c r="BR1394" s="162"/>
      <c r="BS1394" s="56">
        <v>3.6134496000000005</v>
      </c>
      <c r="BT1394" s="162"/>
      <c r="BU1394" s="158"/>
      <c r="BV1394" s="162"/>
      <c r="BW1394" s="162"/>
      <c r="BX1394" s="162"/>
      <c r="BY1394" s="162"/>
      <c r="BZ1394" s="162"/>
      <c r="CA1394" s="162"/>
      <c r="CB1394" s="162"/>
      <c r="CC1394" s="56"/>
      <c r="CD1394" s="56"/>
      <c r="CE1394" s="56"/>
      <c r="CF1394" s="56"/>
      <c r="CG1394" s="56"/>
      <c r="CH1394" s="56"/>
      <c r="CI1394" s="103">
        <v>3.6134496000000005</v>
      </c>
      <c r="CJ1394" s="103">
        <f t="shared" si="326"/>
        <v>0.55792200160431216</v>
      </c>
      <c r="CK1394" s="57">
        <f t="shared" si="331"/>
        <v>0.46170014719406</v>
      </c>
      <c r="CL1394" s="160">
        <f t="shared" si="332"/>
        <v>4.1594607855320715</v>
      </c>
      <c r="CM1394" s="160">
        <v>-3.0487429239778088</v>
      </c>
      <c r="CN1394" s="160">
        <f>BJ1394/(10^CM1394)</f>
        <v>36420.168168211349</v>
      </c>
      <c r="CO1394" s="55" t="s">
        <v>892</v>
      </c>
      <c r="CP1394" s="497" t="s">
        <v>893</v>
      </c>
      <c r="CQ1394" s="149">
        <v>-2.9310762821809169</v>
      </c>
      <c r="CR1394" s="349">
        <f>10^(CJ1394-CQ1394)</f>
        <v>3083.1757663454241</v>
      </c>
      <c r="CS1394" s="61" t="s">
        <v>539</v>
      </c>
      <c r="CT1394" s="61"/>
      <c r="CU1394" s="111">
        <f t="shared" si="333"/>
        <v>0.12453473821801746</v>
      </c>
      <c r="CV1394" s="331">
        <f t="shared" si="334"/>
        <v>1.3823355942199939E-2</v>
      </c>
      <c r="CW1394" s="326">
        <f t="shared" si="327"/>
        <v>0</v>
      </c>
      <c r="CX1394" s="326" t="s">
        <v>539</v>
      </c>
      <c r="CY1394" s="161" t="s">
        <v>5921</v>
      </c>
    </row>
    <row r="1395" spans="1:103" ht="11.25" customHeight="1" x14ac:dyDescent="0.2">
      <c r="A1395" s="72">
        <v>335</v>
      </c>
      <c r="B1395" s="149">
        <v>320</v>
      </c>
      <c r="C1395" s="54" t="s">
        <v>1248</v>
      </c>
      <c r="D1395" s="54" t="s">
        <v>6655</v>
      </c>
      <c r="E1395" s="59"/>
      <c r="F1395" s="59" t="s">
        <v>1249</v>
      </c>
      <c r="G1395" s="151">
        <v>133073</v>
      </c>
      <c r="H1395" s="55" t="s">
        <v>1250</v>
      </c>
      <c r="I1395" s="55" t="s">
        <v>8042</v>
      </c>
      <c r="J1395" s="55" t="s">
        <v>1251</v>
      </c>
      <c r="K1395" s="55" t="s">
        <v>1016</v>
      </c>
      <c r="L1395" s="55" t="s">
        <v>5929</v>
      </c>
      <c r="M1395" s="55" t="s">
        <v>6082</v>
      </c>
      <c r="N1395" s="60" t="s">
        <v>6082</v>
      </c>
      <c r="O1395" s="55" t="s">
        <v>6083</v>
      </c>
      <c r="P1395" s="67">
        <v>3</v>
      </c>
      <c r="Q1395" s="67" t="s">
        <v>6173</v>
      </c>
      <c r="R1395" s="67">
        <v>1</v>
      </c>
      <c r="S1395" s="67" t="s">
        <v>6173</v>
      </c>
      <c r="T1395" s="56">
        <v>296.56</v>
      </c>
      <c r="U1395" s="103">
        <v>0.80000000000000016</v>
      </c>
      <c r="V1395" s="103">
        <v>47.35</v>
      </c>
      <c r="W1395" s="103">
        <v>71.139789046441933</v>
      </c>
      <c r="X1395" s="103">
        <v>0.80000000000000016</v>
      </c>
      <c r="Y1395" s="162">
        <v>7</v>
      </c>
      <c r="Z1395" s="56">
        <v>2.84</v>
      </c>
      <c r="AA1395" s="56">
        <v>2.85</v>
      </c>
      <c r="AB1395" s="56">
        <v>2.97</v>
      </c>
      <c r="AC1395" s="56">
        <v>0.59689999999999999</v>
      </c>
      <c r="AD1395" s="56">
        <v>2.92</v>
      </c>
      <c r="AE1395" s="56">
        <v>2.85</v>
      </c>
      <c r="AF1395" s="56">
        <f t="shared" si="328"/>
        <v>2.85</v>
      </c>
      <c r="AG1395" s="57">
        <v>2.98</v>
      </c>
      <c r="AH1395" s="103">
        <v>1.5400000000000001E-9</v>
      </c>
      <c r="AI1395" s="103">
        <v>7.6599999999999998E-8</v>
      </c>
      <c r="AJ1395" s="62">
        <f t="shared" si="329"/>
        <v>-7.2010456054761889</v>
      </c>
      <c r="AK1395" s="62">
        <f>LOG10(AI1395*1000/(0.08206*298.15))</f>
        <v>-5.5043375566800483</v>
      </c>
      <c r="AL1395" s="62">
        <f t="shared" si="330"/>
        <v>-5.5043375566800483</v>
      </c>
      <c r="AM1395" s="62">
        <v>-12.622150000000001</v>
      </c>
      <c r="AN1395" s="154">
        <v>-6.45</v>
      </c>
      <c r="AO1395" s="410"/>
      <c r="AP1395" s="410">
        <v>-3.34</v>
      </c>
      <c r="AQ1395" s="154" t="s">
        <v>6311</v>
      </c>
      <c r="AR1395" s="154" t="s">
        <v>6311</v>
      </c>
      <c r="AS1395" s="149" t="s">
        <v>6</v>
      </c>
      <c r="AT1395" s="58" t="s">
        <v>266</v>
      </c>
      <c r="AU1395" s="56">
        <v>8</v>
      </c>
      <c r="AV1395" s="56">
        <v>144</v>
      </c>
      <c r="AW1395" s="56">
        <v>120</v>
      </c>
      <c r="AX1395" s="56">
        <v>26</v>
      </c>
      <c r="AY1395" s="56" t="s">
        <v>267</v>
      </c>
      <c r="AZ1395" s="56" t="s">
        <v>268</v>
      </c>
      <c r="BA1395" s="56">
        <v>2</v>
      </c>
      <c r="BB1395" s="55" t="s">
        <v>888</v>
      </c>
      <c r="BC1395" s="55" t="s">
        <v>270</v>
      </c>
      <c r="BD1395" s="55" t="s">
        <v>8374</v>
      </c>
      <c r="BE1395" s="56" t="s">
        <v>889</v>
      </c>
      <c r="BF1395" s="56" t="s">
        <v>272</v>
      </c>
      <c r="BG1395" s="56" t="s">
        <v>272</v>
      </c>
      <c r="BH1395" s="56" t="s">
        <v>890</v>
      </c>
      <c r="BI1395" s="153">
        <v>2.9655999999999997E-4</v>
      </c>
      <c r="BJ1395" s="153">
        <v>23.724800000000002</v>
      </c>
      <c r="BK1395" s="56"/>
      <c r="BL1395" s="153">
        <v>42.885311902166244</v>
      </c>
      <c r="BM1395" s="56" t="s">
        <v>891</v>
      </c>
      <c r="BN1395" s="162"/>
      <c r="BO1395" s="162"/>
      <c r="BP1395" s="162"/>
      <c r="BQ1395" s="162"/>
      <c r="BR1395" s="162"/>
      <c r="BS1395" s="56">
        <v>2.6334528000000001</v>
      </c>
      <c r="BT1395" s="162"/>
      <c r="BU1395" s="158"/>
      <c r="BV1395" s="162"/>
      <c r="BW1395" s="162"/>
      <c r="BX1395" s="162"/>
      <c r="BY1395" s="162"/>
      <c r="BZ1395" s="162"/>
      <c r="CA1395" s="162"/>
      <c r="CB1395" s="162"/>
      <c r="CC1395" s="56"/>
      <c r="CD1395" s="56"/>
      <c r="CE1395" s="56"/>
      <c r="CF1395" s="56"/>
      <c r="CG1395" s="56"/>
      <c r="CH1395" s="56"/>
      <c r="CI1395" s="103">
        <v>2.6334528000000001</v>
      </c>
      <c r="CJ1395" s="103">
        <f t="shared" si="326"/>
        <v>0.42052553880010829</v>
      </c>
      <c r="CK1395" s="57">
        <f t="shared" si="331"/>
        <v>1.8076153182394052</v>
      </c>
      <c r="CL1395" s="160">
        <f t="shared" si="332"/>
        <v>16.284822686841487</v>
      </c>
      <c r="CM1395" s="160">
        <v>-1.1974235898560992</v>
      </c>
      <c r="CN1395" s="160">
        <f>BJ1395/(10^CM1395)</f>
        <v>373.78868431632105</v>
      </c>
      <c r="CO1395" s="55" t="s">
        <v>892</v>
      </c>
      <c r="CP1395" s="497" t="s">
        <v>893</v>
      </c>
      <c r="CQ1395" s="149">
        <v>-1.1005726806317602</v>
      </c>
      <c r="CR1395" s="349">
        <f>10^(CJ1395-CQ1395)</f>
        <v>33.196952682682749</v>
      </c>
      <c r="CS1395" s="61" t="s">
        <v>539</v>
      </c>
      <c r="CT1395" s="61"/>
      <c r="CU1395" s="111">
        <f t="shared" si="333"/>
        <v>0.30378368657300414</v>
      </c>
      <c r="CV1395" s="331">
        <f t="shared" si="334"/>
        <v>3.3719989209603458E-2</v>
      </c>
      <c r="CW1395" s="326">
        <f t="shared" si="327"/>
        <v>0</v>
      </c>
      <c r="CX1395" s="326" t="s">
        <v>539</v>
      </c>
      <c r="CY1395" s="161" t="s">
        <v>5921</v>
      </c>
    </row>
    <row r="1396" spans="1:103" ht="11.25" customHeight="1" x14ac:dyDescent="0.2">
      <c r="A1396" s="72">
        <v>336</v>
      </c>
      <c r="B1396" s="149">
        <v>251</v>
      </c>
      <c r="C1396" s="54" t="s">
        <v>1081</v>
      </c>
      <c r="D1396" s="54" t="s">
        <v>6656</v>
      </c>
      <c r="E1396" s="59"/>
      <c r="F1396" s="59" t="s">
        <v>1082</v>
      </c>
      <c r="G1396" s="151">
        <v>584792</v>
      </c>
      <c r="H1396" s="55" t="s">
        <v>1083</v>
      </c>
      <c r="I1396" s="55" t="s">
        <v>8056</v>
      </c>
      <c r="J1396" s="55" t="s">
        <v>1084</v>
      </c>
      <c r="K1396" s="55" t="s">
        <v>1085</v>
      </c>
      <c r="L1396" s="55" t="s">
        <v>617</v>
      </c>
      <c r="M1396" s="55" t="s">
        <v>1086</v>
      </c>
      <c r="N1396" s="60" t="s">
        <v>6376</v>
      </c>
      <c r="O1396" s="55" t="s">
        <v>918</v>
      </c>
      <c r="P1396" s="67">
        <v>3</v>
      </c>
      <c r="Q1396" s="67" t="s">
        <v>6173</v>
      </c>
      <c r="R1396" s="67">
        <v>1</v>
      </c>
      <c r="S1396" s="67" t="s">
        <v>6173</v>
      </c>
      <c r="T1396" s="56">
        <v>302.41000000000003</v>
      </c>
      <c r="U1396" s="103">
        <v>4.5999999999999996</v>
      </c>
      <c r="V1396" s="103">
        <v>0.98380000000000012</v>
      </c>
      <c r="W1396" s="103">
        <v>15.156403132122346</v>
      </c>
      <c r="X1396" s="103">
        <v>4.5999999999999996</v>
      </c>
      <c r="Y1396" s="162">
        <v>7</v>
      </c>
      <c r="Z1396" s="56">
        <v>5.52</v>
      </c>
      <c r="AA1396" s="56">
        <v>4.78</v>
      </c>
      <c r="AB1396" s="56">
        <v>5.0999999999999996</v>
      </c>
      <c r="AC1396" s="56">
        <v>0.78859999999999997</v>
      </c>
      <c r="AD1396" s="56">
        <v>5.05</v>
      </c>
      <c r="AE1396" s="56">
        <v>4.92</v>
      </c>
      <c r="AF1396" s="56">
        <f t="shared" si="328"/>
        <v>4.78</v>
      </c>
      <c r="AG1396" s="57">
        <v>3.54</v>
      </c>
      <c r="AH1396" s="103">
        <v>6.1200000000000003E-7</v>
      </c>
      <c r="AI1396" s="103">
        <v>1.04E-7</v>
      </c>
      <c r="AJ1396" s="62">
        <f t="shared" si="329"/>
        <v>-4.6018149041670906</v>
      </c>
      <c r="AK1396" s="62">
        <f>LOG10(AI1396*1000/(0.08206*298.15))</f>
        <v>-5.3715329870138717</v>
      </c>
      <c r="AL1396" s="62">
        <f t="shared" si="330"/>
        <v>-5.3715329870138717</v>
      </c>
      <c r="AM1396" s="62">
        <v>-10.080069999999999</v>
      </c>
      <c r="AN1396" s="154">
        <v>-6.91</v>
      </c>
      <c r="AO1396" s="410"/>
      <c r="AP1396" s="410"/>
      <c r="AQ1396" s="154" t="s">
        <v>6311</v>
      </c>
      <c r="AR1396" s="154" t="s">
        <v>6312</v>
      </c>
      <c r="AS1396" s="149" t="s">
        <v>6</v>
      </c>
      <c r="AT1396" s="58" t="s">
        <v>266</v>
      </c>
      <c r="AU1396" s="56">
        <v>8</v>
      </c>
      <c r="AV1396" s="56">
        <v>144</v>
      </c>
      <c r="AW1396" s="56">
        <v>120</v>
      </c>
      <c r="AX1396" s="56">
        <v>26</v>
      </c>
      <c r="AY1396" s="56" t="s">
        <v>267</v>
      </c>
      <c r="AZ1396" s="56" t="s">
        <v>268</v>
      </c>
      <c r="BA1396" s="56">
        <v>2</v>
      </c>
      <c r="BB1396" s="55" t="s">
        <v>888</v>
      </c>
      <c r="BC1396" s="55" t="s">
        <v>270</v>
      </c>
      <c r="BD1396" s="55" t="s">
        <v>8374</v>
      </c>
      <c r="BE1396" s="56" t="s">
        <v>889</v>
      </c>
      <c r="BF1396" s="56" t="s">
        <v>272</v>
      </c>
      <c r="BG1396" s="56" t="s">
        <v>272</v>
      </c>
      <c r="BH1396" s="56" t="s">
        <v>890</v>
      </c>
      <c r="BI1396" s="153">
        <v>3.0241000000000003E-4</v>
      </c>
      <c r="BJ1396" s="153">
        <v>24.192800000000002</v>
      </c>
      <c r="BK1396" s="56"/>
      <c r="BL1396" s="153">
        <v>0.17135001555143914</v>
      </c>
      <c r="BM1396" s="56" t="s">
        <v>891</v>
      </c>
      <c r="BN1396" s="162"/>
      <c r="BO1396" s="162"/>
      <c r="BP1396" s="162"/>
      <c r="BQ1396" s="162"/>
      <c r="BR1396" s="162"/>
      <c r="BS1396" s="56">
        <v>2.6854008000000005</v>
      </c>
      <c r="BT1396" s="162"/>
      <c r="BU1396" s="158"/>
      <c r="BV1396" s="162"/>
      <c r="BW1396" s="162"/>
      <c r="BX1396" s="162"/>
      <c r="BY1396" s="162"/>
      <c r="BZ1396" s="162"/>
      <c r="CA1396" s="162"/>
      <c r="CB1396" s="162"/>
      <c r="CC1396" s="56"/>
      <c r="CD1396" s="56"/>
      <c r="CE1396" s="56"/>
      <c r="CF1396" s="56"/>
      <c r="CG1396" s="56"/>
      <c r="CH1396" s="56"/>
      <c r="CI1396" s="103">
        <v>2.6854008000000005</v>
      </c>
      <c r="CJ1396" s="103">
        <f t="shared" si="326"/>
        <v>0.42900911396032515</v>
      </c>
      <c r="CK1396" s="57">
        <f t="shared" si="331"/>
        <v>7.0826864005588078E-3</v>
      </c>
      <c r="CL1396" s="160">
        <f t="shared" si="332"/>
        <v>6.3807985590619884E-2</v>
      </c>
      <c r="CM1396" s="160">
        <v>-1.8371054539601348</v>
      </c>
      <c r="CN1396" s="160">
        <f>BJ1396/(10^CM1396)</f>
        <v>1662.6145971652161</v>
      </c>
      <c r="CO1396" s="55" t="s">
        <v>892</v>
      </c>
      <c r="CP1396" s="497" t="s">
        <v>893</v>
      </c>
      <c r="CQ1396" s="149">
        <v>-1.4398728824019746</v>
      </c>
      <c r="CR1396" s="349">
        <f>10^(CJ1396-CQ1396)</f>
        <v>73.940434168103977</v>
      </c>
      <c r="CS1396" s="61" t="s">
        <v>539</v>
      </c>
      <c r="CT1396" s="61"/>
      <c r="CU1396" s="111">
        <f t="shared" si="333"/>
        <v>1.7129659006581062</v>
      </c>
      <c r="CV1396" s="331">
        <f t="shared" si="334"/>
        <v>0.19013921497304981</v>
      </c>
      <c r="CW1396" s="326">
        <f t="shared" si="327"/>
        <v>0</v>
      </c>
      <c r="CX1396" s="326" t="s">
        <v>539</v>
      </c>
      <c r="CY1396" s="161" t="s">
        <v>5921</v>
      </c>
    </row>
    <row r="1397" spans="1:103" ht="11.25" customHeight="1" x14ac:dyDescent="0.2">
      <c r="A1397" s="72">
        <v>337</v>
      </c>
      <c r="B1397" s="149">
        <v>295</v>
      </c>
      <c r="C1397" s="54" t="s">
        <v>1164</v>
      </c>
      <c r="D1397" s="54" t="s">
        <v>6657</v>
      </c>
      <c r="E1397" s="59"/>
      <c r="F1397" s="59" t="s">
        <v>1165</v>
      </c>
      <c r="G1397" s="151">
        <v>126833178</v>
      </c>
      <c r="H1397" s="55" t="s">
        <v>1166</v>
      </c>
      <c r="I1397" s="55" t="s">
        <v>8166</v>
      </c>
      <c r="J1397" s="55" t="s">
        <v>1167</v>
      </c>
      <c r="K1397" s="55" t="s">
        <v>464</v>
      </c>
      <c r="L1397" s="55" t="s">
        <v>5979</v>
      </c>
      <c r="M1397" s="55" t="s">
        <v>6082</v>
      </c>
      <c r="N1397" s="60" t="s">
        <v>6082</v>
      </c>
      <c r="O1397" s="55" t="s">
        <v>6083</v>
      </c>
      <c r="P1397" s="67">
        <v>3</v>
      </c>
      <c r="Q1397" s="67" t="s">
        <v>6173</v>
      </c>
      <c r="R1397" s="67">
        <v>1</v>
      </c>
      <c r="S1397" s="67" t="s">
        <v>6173</v>
      </c>
      <c r="T1397" s="56">
        <v>302.2</v>
      </c>
      <c r="U1397" s="103"/>
      <c r="V1397" s="103">
        <v>11.99</v>
      </c>
      <c r="W1397" s="103">
        <v>18.633500956253982</v>
      </c>
      <c r="X1397" s="103">
        <v>18.633500956253982</v>
      </c>
      <c r="Y1397" s="162">
        <v>5.94</v>
      </c>
      <c r="Z1397" s="56">
        <v>3.72</v>
      </c>
      <c r="AA1397" s="56">
        <v>3.51</v>
      </c>
      <c r="AB1397" s="56">
        <v>4.93</v>
      </c>
      <c r="AC1397" s="56">
        <v>0.39019999999999999</v>
      </c>
      <c r="AD1397" s="56">
        <v>4.3600000000000003</v>
      </c>
      <c r="AE1397" s="56">
        <v>4.0199999999999996</v>
      </c>
      <c r="AF1397" s="56">
        <f t="shared" si="328"/>
        <v>3.51</v>
      </c>
      <c r="AG1397" s="57">
        <v>4.0199999999999996</v>
      </c>
      <c r="AH1397" s="103">
        <v>8.5100000000000001E-13</v>
      </c>
      <c r="AI1397" s="103"/>
      <c r="AJ1397" s="62">
        <f t="shared" si="329"/>
        <v>-10.458636766228064</v>
      </c>
      <c r="AK1397" s="62"/>
      <c r="AL1397" s="62">
        <f t="shared" si="330"/>
        <v>-10.458636766228064</v>
      </c>
      <c r="AM1397" s="62">
        <v>-14.288309999999999</v>
      </c>
      <c r="AN1397" s="154">
        <v>-10.199999999999999</v>
      </c>
      <c r="AO1397" s="410">
        <v>7.73</v>
      </c>
      <c r="AP1397" s="410"/>
      <c r="AQ1397" s="154" t="s">
        <v>6311</v>
      </c>
      <c r="AR1397" s="154" t="s">
        <v>6311</v>
      </c>
      <c r="AS1397" s="149" t="s">
        <v>63</v>
      </c>
      <c r="AT1397" s="58" t="s">
        <v>266</v>
      </c>
      <c r="AU1397" s="56">
        <v>8</v>
      </c>
      <c r="AV1397" s="56">
        <v>144</v>
      </c>
      <c r="AW1397" s="56">
        <v>120</v>
      </c>
      <c r="AX1397" s="56">
        <v>26</v>
      </c>
      <c r="AY1397" s="56" t="s">
        <v>267</v>
      </c>
      <c r="AZ1397" s="56" t="s">
        <v>268</v>
      </c>
      <c r="BA1397" s="56">
        <v>2</v>
      </c>
      <c r="BB1397" s="55" t="s">
        <v>888</v>
      </c>
      <c r="BC1397" s="55" t="s">
        <v>270</v>
      </c>
      <c r="BD1397" s="55" t="s">
        <v>8374</v>
      </c>
      <c r="BE1397" s="56" t="s">
        <v>889</v>
      </c>
      <c r="BF1397" s="56" t="s">
        <v>272</v>
      </c>
      <c r="BG1397" s="56" t="s">
        <v>272</v>
      </c>
      <c r="BH1397" s="56" t="s">
        <v>890</v>
      </c>
      <c r="BI1397" s="153">
        <v>3.0219999999999997E-4</v>
      </c>
      <c r="BJ1397" s="153">
        <v>24.175999999999998</v>
      </c>
      <c r="BK1397" s="56"/>
      <c r="BL1397" s="153">
        <v>7.0821066085304878</v>
      </c>
      <c r="BM1397" s="56" t="s">
        <v>891</v>
      </c>
      <c r="BN1397" s="162"/>
      <c r="BO1397" s="162"/>
      <c r="BP1397" s="162"/>
      <c r="BQ1397" s="162"/>
      <c r="BR1397" s="162"/>
      <c r="BS1397" s="56">
        <v>2.6835360000000001</v>
      </c>
      <c r="BT1397" s="162"/>
      <c r="BU1397" s="158"/>
      <c r="BV1397" s="162"/>
      <c r="BW1397" s="162"/>
      <c r="BX1397" s="162"/>
      <c r="BY1397" s="162"/>
      <c r="BZ1397" s="162"/>
      <c r="CA1397" s="162"/>
      <c r="CB1397" s="162"/>
      <c r="CC1397" s="56"/>
      <c r="CD1397" s="56"/>
      <c r="CE1397" s="56"/>
      <c r="CF1397" s="56"/>
      <c r="CG1397" s="56"/>
      <c r="CH1397" s="56"/>
      <c r="CI1397" s="103">
        <v>2.6835360000000001</v>
      </c>
      <c r="CJ1397" s="103">
        <f t="shared" ref="CJ1397:CJ1428" si="336">LOG10(CI1397)</f>
        <v>0.42870742578160759</v>
      </c>
      <c r="CK1397" s="57">
        <f t="shared" si="331"/>
        <v>0.29293955197429222</v>
      </c>
      <c r="CL1397" s="160">
        <f t="shared" si="332"/>
        <v>2.6390950628314611</v>
      </c>
      <c r="CM1397" s="160">
        <v>0.18983786811623626</v>
      </c>
      <c r="CN1397" s="160">
        <f>BJ1397/(10^CM1397)</f>
        <v>15.615165044943977</v>
      </c>
      <c r="CO1397" s="55" t="s">
        <v>892</v>
      </c>
      <c r="CP1397" s="497" t="s">
        <v>893</v>
      </c>
      <c r="CQ1397" s="149">
        <v>0.25867551570421637</v>
      </c>
      <c r="CR1397" s="349">
        <f>10^(CJ1397-CQ1397)</f>
        <v>1.4792170706385475</v>
      </c>
      <c r="CS1397" s="61" t="s">
        <v>539</v>
      </c>
      <c r="CT1397" s="61"/>
      <c r="CU1397" s="111">
        <f t="shared" si="333"/>
        <v>6.9436374083500212</v>
      </c>
      <c r="CV1397" s="331">
        <f t="shared" si="334"/>
        <v>0.77074375232685244</v>
      </c>
      <c r="CW1397" s="326">
        <f t="shared" ref="CW1397:CW1428" si="337">IF(CU1397&lt;2,0,1)</f>
        <v>1</v>
      </c>
      <c r="CX1397" s="326" t="s">
        <v>539</v>
      </c>
      <c r="CY1397" s="161" t="s">
        <v>5921</v>
      </c>
    </row>
    <row r="1398" spans="1:103" ht="11.25" customHeight="1" x14ac:dyDescent="0.2">
      <c r="A1398" s="72">
        <v>338</v>
      </c>
      <c r="B1398" s="149">
        <v>325</v>
      </c>
      <c r="C1398" s="54" t="s">
        <v>6658</v>
      </c>
      <c r="D1398" s="54"/>
      <c r="E1398" s="59"/>
      <c r="F1398" s="59" t="s">
        <v>1257</v>
      </c>
      <c r="G1398" s="151">
        <v>100784201</v>
      </c>
      <c r="H1398" s="55" t="s">
        <v>1258</v>
      </c>
      <c r="I1398" s="55" t="s">
        <v>8332</v>
      </c>
      <c r="J1398" s="55" t="s">
        <v>1259</v>
      </c>
      <c r="K1398" s="55" t="s">
        <v>1260</v>
      </c>
      <c r="L1398" s="55"/>
      <c r="M1398" s="55" t="s">
        <v>6082</v>
      </c>
      <c r="N1398" s="60"/>
      <c r="O1398" s="55" t="s">
        <v>6083</v>
      </c>
      <c r="P1398" s="67">
        <v>3</v>
      </c>
      <c r="Q1398" s="67" t="s">
        <v>6173</v>
      </c>
      <c r="R1398" s="67">
        <v>1</v>
      </c>
      <c r="S1398" s="67" t="s">
        <v>6173</v>
      </c>
      <c r="T1398" s="56">
        <v>434.81</v>
      </c>
      <c r="U1398" s="103">
        <v>14.999999999999998</v>
      </c>
      <c r="V1398" s="103">
        <v>94.61</v>
      </c>
      <c r="W1398" s="103">
        <v>75.561317834851621</v>
      </c>
      <c r="X1398" s="103">
        <v>14.999999999999998</v>
      </c>
      <c r="Y1398" s="162">
        <v>3.79</v>
      </c>
      <c r="Z1398" s="56">
        <v>0.4</v>
      </c>
      <c r="AA1398" s="56">
        <v>-0.02</v>
      </c>
      <c r="AB1398" s="56">
        <v>1.01</v>
      </c>
      <c r="AC1398" s="56">
        <v>0.68240000000000001</v>
      </c>
      <c r="AD1398" s="56">
        <v>1.2</v>
      </c>
      <c r="AE1398" s="56">
        <v>1.69</v>
      </c>
      <c r="AF1398" s="56">
        <f t="shared" si="328"/>
        <v>-0.02</v>
      </c>
      <c r="AG1398" s="57">
        <v>0.88</v>
      </c>
      <c r="AH1398" s="103">
        <v>9.6200000000000005E-16</v>
      </c>
      <c r="AI1398" s="103"/>
      <c r="AJ1398" s="62">
        <f t="shared" si="329"/>
        <v>-13.405391254274839</v>
      </c>
      <c r="AK1398" s="62"/>
      <c r="AL1398" s="62">
        <f t="shared" si="330"/>
        <v>-13.405391254274839</v>
      </c>
      <c r="AM1398" s="62">
        <v>-28.066760000000002</v>
      </c>
      <c r="AN1398" s="154">
        <v>-19.600000000000001</v>
      </c>
      <c r="AO1398" s="410">
        <v>2.58</v>
      </c>
      <c r="AP1398" s="410">
        <v>-1.03</v>
      </c>
      <c r="AQ1398" s="154" t="s">
        <v>6311</v>
      </c>
      <c r="AR1398" s="154" t="s">
        <v>6312</v>
      </c>
      <c r="AS1398" s="149" t="s">
        <v>6</v>
      </c>
      <c r="AT1398" s="58" t="s">
        <v>266</v>
      </c>
      <c r="AU1398" s="56">
        <v>8</v>
      </c>
      <c r="AV1398" s="56">
        <v>144</v>
      </c>
      <c r="AW1398" s="56">
        <v>120</v>
      </c>
      <c r="AX1398" s="56">
        <v>26</v>
      </c>
      <c r="AY1398" s="56" t="s">
        <v>267</v>
      </c>
      <c r="AZ1398" s="56" t="s">
        <v>268</v>
      </c>
      <c r="BA1398" s="56">
        <v>3</v>
      </c>
      <c r="BB1398" s="55" t="s">
        <v>888</v>
      </c>
      <c r="BC1398" s="55" t="s">
        <v>270</v>
      </c>
      <c r="BD1398" s="55" t="s">
        <v>8374</v>
      </c>
      <c r="BE1398" s="56" t="s">
        <v>889</v>
      </c>
      <c r="BF1398" s="56" t="s">
        <v>272</v>
      </c>
      <c r="BG1398" s="56" t="s">
        <v>272</v>
      </c>
      <c r="BH1398" s="56" t="s">
        <v>890</v>
      </c>
      <c r="BI1398" s="153">
        <v>4.3480999999999999E-4</v>
      </c>
      <c r="BJ1398" s="153">
        <v>34.784800000000004</v>
      </c>
      <c r="BK1398" s="56"/>
      <c r="BL1398" s="153">
        <v>9769.2117619452711</v>
      </c>
      <c r="BM1398" s="56" t="s">
        <v>891</v>
      </c>
      <c r="BN1398" s="162"/>
      <c r="BO1398" s="162"/>
      <c r="BP1398" s="162"/>
      <c r="BQ1398" s="162"/>
      <c r="BR1398" s="162"/>
      <c r="BS1398" s="56">
        <v>20.07296962525276</v>
      </c>
      <c r="BT1398" s="162"/>
      <c r="BU1398" s="158"/>
      <c r="BV1398" s="162"/>
      <c r="BW1398" s="162"/>
      <c r="BX1398" s="162"/>
      <c r="BY1398" s="162"/>
      <c r="BZ1398" s="162"/>
      <c r="CA1398" s="162"/>
      <c r="CB1398" s="162"/>
      <c r="CC1398" s="56"/>
      <c r="CD1398" s="56"/>
      <c r="CE1398" s="56"/>
      <c r="CF1398" s="56"/>
      <c r="CG1398" s="56"/>
      <c r="CH1398" s="56"/>
      <c r="CI1398" s="103">
        <v>20.07296962525276</v>
      </c>
      <c r="CJ1398" s="103">
        <f t="shared" si="336"/>
        <v>1.3026116274180493</v>
      </c>
      <c r="CK1398" s="57">
        <f t="shared" si="331"/>
        <v>280.84714478580503</v>
      </c>
      <c r="CL1398" s="160">
        <f t="shared" si="332"/>
        <v>486.68492725934948</v>
      </c>
      <c r="CM1398" s="160"/>
      <c r="CN1398" s="160"/>
      <c r="CO1398" s="55" t="s">
        <v>892</v>
      </c>
      <c r="CP1398" s="497" t="s">
        <v>893</v>
      </c>
      <c r="CQ1398" s="149" t="s">
        <v>272</v>
      </c>
      <c r="CR1398" s="349"/>
      <c r="CS1398" s="61" t="s">
        <v>539</v>
      </c>
      <c r="CT1398" s="61"/>
      <c r="CU1398" s="111">
        <f t="shared" si="333"/>
        <v>0.74727358632223895</v>
      </c>
      <c r="CV1398" s="331">
        <f t="shared" si="334"/>
        <v>0.43122283296152331</v>
      </c>
      <c r="CW1398" s="326">
        <f t="shared" si="337"/>
        <v>0</v>
      </c>
      <c r="CX1398" s="326" t="s">
        <v>539</v>
      </c>
      <c r="CY1398" s="161" t="s">
        <v>5921</v>
      </c>
    </row>
    <row r="1399" spans="1:103" ht="11.25" customHeight="1" x14ac:dyDescent="0.2">
      <c r="A1399" s="72">
        <v>340</v>
      </c>
      <c r="B1399" s="149">
        <v>371</v>
      </c>
      <c r="C1399" s="54" t="s">
        <v>3280</v>
      </c>
      <c r="D1399" s="54" t="s">
        <v>6660</v>
      </c>
      <c r="E1399" s="59"/>
      <c r="F1399" s="59" t="s">
        <v>1311</v>
      </c>
      <c r="G1399" s="151">
        <v>113484</v>
      </c>
      <c r="H1399" s="55" t="s">
        <v>1312</v>
      </c>
      <c r="I1399" s="55" t="s">
        <v>1312</v>
      </c>
      <c r="J1399" s="55" t="s">
        <v>1313</v>
      </c>
      <c r="K1399" s="55" t="s">
        <v>1314</v>
      </c>
      <c r="L1399" s="55" t="s">
        <v>617</v>
      </c>
      <c r="M1399" s="55" t="s">
        <v>8511</v>
      </c>
      <c r="N1399" s="60" t="s">
        <v>2342</v>
      </c>
      <c r="O1399" s="55" t="s">
        <v>6001</v>
      </c>
      <c r="P1399" s="67">
        <v>3</v>
      </c>
      <c r="Q1399" s="67" t="s">
        <v>6173</v>
      </c>
      <c r="R1399" s="67">
        <v>1</v>
      </c>
      <c r="S1399" s="67" t="s">
        <v>6173</v>
      </c>
      <c r="T1399" s="56">
        <v>275.39</v>
      </c>
      <c r="U1399" s="103"/>
      <c r="V1399" s="103">
        <v>11.78</v>
      </c>
      <c r="W1399" s="103">
        <v>5.3696770432736747</v>
      </c>
      <c r="X1399" s="103">
        <v>5.3696770432736747</v>
      </c>
      <c r="Y1399" s="162">
        <v>7</v>
      </c>
      <c r="Z1399" s="56">
        <v>3.76</v>
      </c>
      <c r="AA1399" s="56">
        <v>3.7</v>
      </c>
      <c r="AB1399" s="56">
        <v>3.56</v>
      </c>
      <c r="AC1399" s="56">
        <v>0.70889999999999997</v>
      </c>
      <c r="AD1399" s="56">
        <v>3.66</v>
      </c>
      <c r="AE1399" s="56">
        <v>3.85</v>
      </c>
      <c r="AF1399" s="56">
        <f t="shared" si="328"/>
        <v>3.7</v>
      </c>
      <c r="AG1399" s="57">
        <v>3.03</v>
      </c>
      <c r="AH1399" s="103">
        <v>2.8500000000000002E-7</v>
      </c>
      <c r="AI1399" s="103"/>
      <c r="AJ1399" s="62">
        <f t="shared" si="329"/>
        <v>-4.9337214663041413</v>
      </c>
      <c r="AK1399" s="62"/>
      <c r="AL1399" s="62">
        <f t="shared" si="330"/>
        <v>-4.9337214663041413</v>
      </c>
      <c r="AM1399" s="62">
        <v>-11.151609999999998</v>
      </c>
      <c r="AN1399" s="154">
        <v>-5.39</v>
      </c>
      <c r="AO1399" s="410"/>
      <c r="AP1399" s="410">
        <v>-7.53</v>
      </c>
      <c r="AQ1399" s="154" t="s">
        <v>6311</v>
      </c>
      <c r="AR1399" s="154" t="s">
        <v>6311</v>
      </c>
      <c r="AS1399" s="149" t="s">
        <v>6</v>
      </c>
      <c r="AT1399" s="58" t="s">
        <v>266</v>
      </c>
      <c r="AU1399" s="56">
        <v>8</v>
      </c>
      <c r="AV1399" s="56">
        <v>144</v>
      </c>
      <c r="AW1399" s="56">
        <v>120</v>
      </c>
      <c r="AX1399" s="56">
        <v>26</v>
      </c>
      <c r="AY1399" s="56" t="s">
        <v>267</v>
      </c>
      <c r="AZ1399" s="56" t="s">
        <v>268</v>
      </c>
      <c r="BA1399" s="56">
        <v>2</v>
      </c>
      <c r="BB1399" s="55" t="s">
        <v>888</v>
      </c>
      <c r="BC1399" s="55" t="s">
        <v>270</v>
      </c>
      <c r="BD1399" s="55" t="s">
        <v>8374</v>
      </c>
      <c r="BE1399" s="56" t="s">
        <v>889</v>
      </c>
      <c r="BF1399" s="56" t="s">
        <v>272</v>
      </c>
      <c r="BG1399" s="56" t="s">
        <v>272</v>
      </c>
      <c r="BH1399" s="56" t="s">
        <v>890</v>
      </c>
      <c r="BI1399" s="153">
        <v>2.7538999999999998E-4</v>
      </c>
      <c r="BJ1399" s="153">
        <v>22.031199999999998</v>
      </c>
      <c r="BK1399" s="56"/>
      <c r="BL1399" s="153">
        <v>5.9414461605897602</v>
      </c>
      <c r="BM1399" s="56" t="s">
        <v>891</v>
      </c>
      <c r="BN1399" s="162"/>
      <c r="BO1399" s="162"/>
      <c r="BP1399" s="162"/>
      <c r="BQ1399" s="162"/>
      <c r="BR1399" s="162"/>
      <c r="BS1399" s="56">
        <v>2.4454632000000003</v>
      </c>
      <c r="BT1399" s="162"/>
      <c r="BU1399" s="158"/>
      <c r="BV1399" s="162"/>
      <c r="BW1399" s="162"/>
      <c r="BX1399" s="162"/>
      <c r="BY1399" s="162"/>
      <c r="BZ1399" s="162"/>
      <c r="CA1399" s="162"/>
      <c r="CB1399" s="162"/>
      <c r="CC1399" s="56"/>
      <c r="CD1399" s="56"/>
      <c r="CE1399" s="56"/>
      <c r="CF1399" s="56"/>
      <c r="CG1399" s="56"/>
      <c r="CH1399" s="56"/>
      <c r="CI1399" s="103">
        <v>2.4454632000000003</v>
      </c>
      <c r="CJ1399" s="103">
        <f t="shared" si="336"/>
        <v>0.38836113182416504</v>
      </c>
      <c r="CK1399" s="57">
        <f t="shared" si="331"/>
        <v>0.2696832746554777</v>
      </c>
      <c r="CL1399" s="160">
        <f t="shared" si="332"/>
        <v>2.4295790509502493</v>
      </c>
      <c r="CM1399" s="160">
        <v>-0.46629005903965459</v>
      </c>
      <c r="CN1399" s="160">
        <f>BJ1399/(10^CM1399)</f>
        <v>64.465627157226592</v>
      </c>
      <c r="CO1399" s="55" t="s">
        <v>892</v>
      </c>
      <c r="CP1399" s="497" t="s">
        <v>893</v>
      </c>
      <c r="CQ1399" s="149">
        <v>-0.2546647338518393</v>
      </c>
      <c r="CR1399" s="349">
        <f>10^(CJ1399-CQ1399)</f>
        <v>4.3956779440176277</v>
      </c>
      <c r="CS1399" s="61" t="s">
        <v>539</v>
      </c>
      <c r="CT1399" s="61"/>
      <c r="CU1399" s="111">
        <f t="shared" si="333"/>
        <v>2.1957709456734715</v>
      </c>
      <c r="CV1399" s="331">
        <f t="shared" si="334"/>
        <v>0.24373057496975539</v>
      </c>
      <c r="CW1399" s="326">
        <f t="shared" si="337"/>
        <v>1</v>
      </c>
      <c r="CX1399" s="326" t="s">
        <v>539</v>
      </c>
      <c r="CY1399" s="161" t="s">
        <v>5921</v>
      </c>
    </row>
    <row r="1400" spans="1:103" ht="11.25" customHeight="1" x14ac:dyDescent="0.2">
      <c r="A1400" s="72">
        <v>341</v>
      </c>
      <c r="B1400" s="149">
        <v>312</v>
      </c>
      <c r="C1400" s="54" t="s">
        <v>1222</v>
      </c>
      <c r="D1400" s="54" t="s">
        <v>6661</v>
      </c>
      <c r="E1400" s="59"/>
      <c r="F1400" s="59" t="s">
        <v>1223</v>
      </c>
      <c r="G1400" s="151">
        <v>103361097</v>
      </c>
      <c r="H1400" s="55" t="s">
        <v>1224</v>
      </c>
      <c r="I1400" s="55" t="s">
        <v>8157</v>
      </c>
      <c r="J1400" s="55" t="s">
        <v>1225</v>
      </c>
      <c r="K1400" s="55" t="s">
        <v>1226</v>
      </c>
      <c r="L1400" s="55" t="s">
        <v>6158</v>
      </c>
      <c r="M1400" s="55" t="s">
        <v>8512</v>
      </c>
      <c r="N1400" s="60" t="s">
        <v>6385</v>
      </c>
      <c r="O1400" s="55" t="s">
        <v>5957</v>
      </c>
      <c r="P1400" s="67">
        <v>3</v>
      </c>
      <c r="Q1400" s="67" t="s">
        <v>6173</v>
      </c>
      <c r="R1400" s="67">
        <v>1</v>
      </c>
      <c r="S1400" s="67" t="s">
        <v>6173</v>
      </c>
      <c r="T1400" s="56">
        <v>354.33</v>
      </c>
      <c r="U1400" s="103">
        <v>1.79</v>
      </c>
      <c r="V1400" s="103">
        <v>38.74</v>
      </c>
      <c r="W1400" s="103">
        <v>1.0700594930900458</v>
      </c>
      <c r="X1400" s="103">
        <v>1.79</v>
      </c>
      <c r="Y1400" s="162">
        <v>7</v>
      </c>
      <c r="Z1400" s="56">
        <v>1.34</v>
      </c>
      <c r="AA1400" s="56">
        <v>2.5499999999999998</v>
      </c>
      <c r="AB1400" s="56">
        <v>1.93</v>
      </c>
      <c r="AC1400" s="56">
        <v>0.7702</v>
      </c>
      <c r="AD1400" s="56">
        <v>2</v>
      </c>
      <c r="AE1400" s="56">
        <v>2.29</v>
      </c>
      <c r="AF1400" s="56">
        <f t="shared" si="328"/>
        <v>2.5499999999999998</v>
      </c>
      <c r="AG1400" s="57">
        <v>1.46</v>
      </c>
      <c r="AH1400" s="103">
        <v>5.1700000000000003E-14</v>
      </c>
      <c r="AI1400" s="103">
        <v>6.2799999999999996E-7</v>
      </c>
      <c r="AJ1400" s="62">
        <f t="shared" si="329"/>
        <v>-11.675075783218709</v>
      </c>
      <c r="AK1400" s="62">
        <f>LOG10(AI1400*1000/(0.08206*298.15))</f>
        <v>-4.5906066825754559</v>
      </c>
      <c r="AL1400" s="62">
        <f t="shared" si="330"/>
        <v>-4.5906066825754559</v>
      </c>
      <c r="AM1400" s="62">
        <v>-19.772009999999998</v>
      </c>
      <c r="AN1400" s="154">
        <v>-13.9</v>
      </c>
      <c r="AO1400" s="410"/>
      <c r="AP1400" s="410"/>
      <c r="AQ1400" s="154" t="s">
        <v>6311</v>
      </c>
      <c r="AR1400" s="154" t="s">
        <v>6311</v>
      </c>
      <c r="AS1400" s="149" t="s">
        <v>6</v>
      </c>
      <c r="AT1400" s="58" t="s">
        <v>266</v>
      </c>
      <c r="AU1400" s="56">
        <v>8</v>
      </c>
      <c r="AV1400" s="56">
        <v>144</v>
      </c>
      <c r="AW1400" s="56">
        <v>120</v>
      </c>
      <c r="AX1400" s="56">
        <v>26</v>
      </c>
      <c r="AY1400" s="56" t="s">
        <v>267</v>
      </c>
      <c r="AZ1400" s="56" t="s">
        <v>268</v>
      </c>
      <c r="BA1400" s="56">
        <v>2</v>
      </c>
      <c r="BB1400" s="55" t="s">
        <v>888</v>
      </c>
      <c r="BC1400" s="55" t="s">
        <v>270</v>
      </c>
      <c r="BD1400" s="55" t="s">
        <v>8374</v>
      </c>
      <c r="BE1400" s="56" t="s">
        <v>889</v>
      </c>
      <c r="BF1400" s="56" t="s">
        <v>272</v>
      </c>
      <c r="BG1400" s="56" t="s">
        <v>272</v>
      </c>
      <c r="BH1400" s="56" t="s">
        <v>890</v>
      </c>
      <c r="BI1400" s="153">
        <v>3.5432999999999998E-4</v>
      </c>
      <c r="BJ1400" s="153">
        <v>28.346399999999999</v>
      </c>
      <c r="BK1400" s="56"/>
      <c r="BL1400" s="153">
        <v>1139.6038931745741</v>
      </c>
      <c r="BM1400" s="56" t="s">
        <v>891</v>
      </c>
      <c r="BN1400" s="162"/>
      <c r="BO1400" s="162"/>
      <c r="BP1400" s="162"/>
      <c r="BQ1400" s="162"/>
      <c r="BR1400" s="162"/>
      <c r="BS1400" s="56">
        <v>3.1464504</v>
      </c>
      <c r="BT1400" s="162"/>
      <c r="BU1400" s="158"/>
      <c r="BV1400" s="162"/>
      <c r="BW1400" s="162"/>
      <c r="BX1400" s="162"/>
      <c r="BY1400" s="162"/>
      <c r="BZ1400" s="162"/>
      <c r="CA1400" s="162"/>
      <c r="CB1400" s="162"/>
      <c r="CC1400" s="56"/>
      <c r="CD1400" s="56"/>
      <c r="CE1400" s="56"/>
      <c r="CF1400" s="56"/>
      <c r="CG1400" s="56"/>
      <c r="CH1400" s="56"/>
      <c r="CI1400" s="103">
        <v>3.1464504</v>
      </c>
      <c r="CJ1400" s="103">
        <f t="shared" si="336"/>
        <v>0.49782089000815544</v>
      </c>
      <c r="CK1400" s="57">
        <f t="shared" si="331"/>
        <v>40.202773303649636</v>
      </c>
      <c r="CL1400" s="160">
        <f t="shared" si="332"/>
        <v>362.18714687972647</v>
      </c>
      <c r="CM1400" s="160">
        <v>0.36172783601759267</v>
      </c>
      <c r="CN1400" s="160">
        <f>BJ1400/(10^CM1400)</f>
        <v>12.324521739130438</v>
      </c>
      <c r="CO1400" s="55" t="s">
        <v>892</v>
      </c>
      <c r="CP1400" s="497" t="s">
        <v>893</v>
      </c>
      <c r="CQ1400" s="149">
        <v>0.36172783601759295</v>
      </c>
      <c r="CR1400" s="349">
        <f>10^(CJ1400-CQ1400)</f>
        <v>1.3680219130434781</v>
      </c>
      <c r="CS1400" s="61" t="s">
        <v>539</v>
      </c>
      <c r="CT1400" s="61"/>
      <c r="CU1400" s="111">
        <f t="shared" si="333"/>
        <v>0.56889503168395728</v>
      </c>
      <c r="CV1400" s="331">
        <f t="shared" si="334"/>
        <v>6.3147348516919263E-2</v>
      </c>
      <c r="CW1400" s="326">
        <f t="shared" si="337"/>
        <v>0</v>
      </c>
      <c r="CX1400" s="326" t="s">
        <v>539</v>
      </c>
      <c r="CY1400" s="161" t="s">
        <v>5921</v>
      </c>
    </row>
    <row r="1401" spans="1:103" ht="11.25" customHeight="1" x14ac:dyDescent="0.2">
      <c r="A1401" s="72">
        <v>343</v>
      </c>
      <c r="B1401" s="149">
        <v>170</v>
      </c>
      <c r="C1401" s="54" t="s">
        <v>883</v>
      </c>
      <c r="D1401" s="54" t="s">
        <v>6630</v>
      </c>
      <c r="E1401" s="59"/>
      <c r="F1401" s="59" t="s">
        <v>884</v>
      </c>
      <c r="G1401" s="151">
        <v>111812589</v>
      </c>
      <c r="H1401" s="55" t="s">
        <v>885</v>
      </c>
      <c r="I1401" s="55" t="s">
        <v>885</v>
      </c>
      <c r="J1401" s="55" t="s">
        <v>886</v>
      </c>
      <c r="K1401" s="55" t="s">
        <v>887</v>
      </c>
      <c r="L1401" s="55" t="s">
        <v>5925</v>
      </c>
      <c r="M1401" s="55" t="s">
        <v>5923</v>
      </c>
      <c r="N1401" s="60"/>
      <c r="O1401" s="64" t="s">
        <v>5924</v>
      </c>
      <c r="P1401" s="67">
        <v>3</v>
      </c>
      <c r="Q1401" s="67" t="s">
        <v>6173</v>
      </c>
      <c r="R1401" s="67">
        <v>1</v>
      </c>
      <c r="S1401" s="67" t="s">
        <v>6173</v>
      </c>
      <c r="T1401" s="56">
        <v>421.49</v>
      </c>
      <c r="U1401" s="103">
        <v>1.46E-2</v>
      </c>
      <c r="V1401" s="103">
        <v>0.11849999999999998</v>
      </c>
      <c r="W1401" s="103">
        <v>0.20173779761306845</v>
      </c>
      <c r="X1401" s="103">
        <v>1.46E-2</v>
      </c>
      <c r="Y1401" s="162">
        <v>7</v>
      </c>
      <c r="Z1401" s="56">
        <v>5.57</v>
      </c>
      <c r="AA1401" s="56">
        <v>5.01</v>
      </c>
      <c r="AB1401" s="56">
        <v>4.72</v>
      </c>
      <c r="AC1401" s="56">
        <v>0.85519999999999996</v>
      </c>
      <c r="AD1401" s="56">
        <v>5.09</v>
      </c>
      <c r="AE1401" s="56">
        <v>6.44</v>
      </c>
      <c r="AF1401" s="56">
        <f t="shared" si="328"/>
        <v>5.01</v>
      </c>
      <c r="AG1401" s="57">
        <v>5.62</v>
      </c>
      <c r="AH1401" s="103">
        <v>4.9099999999999997E-11</v>
      </c>
      <c r="AI1401" s="103">
        <v>2.1399999999999998E-6</v>
      </c>
      <c r="AJ1401" s="62">
        <f t="shared" si="329"/>
        <v>-8.6974848341896838</v>
      </c>
      <c r="AK1401" s="62">
        <f>LOG10(AI1401*1000/(0.08206*298.15))</f>
        <v>-4.0581525529634606</v>
      </c>
      <c r="AL1401" s="62">
        <f t="shared" si="330"/>
        <v>-4.0581525529634606</v>
      </c>
      <c r="AM1401" s="62">
        <v>-16.903649999999999</v>
      </c>
      <c r="AN1401" s="154">
        <v>-5.45</v>
      </c>
      <c r="AO1401" s="410"/>
      <c r="AP1401" s="410">
        <v>1.58</v>
      </c>
      <c r="AQ1401" s="154" t="s">
        <v>6311</v>
      </c>
      <c r="AR1401" s="154" t="s">
        <v>6312</v>
      </c>
      <c r="AS1401" s="149" t="s">
        <v>6</v>
      </c>
      <c r="AT1401" s="58" t="s">
        <v>266</v>
      </c>
      <c r="AU1401" s="56">
        <v>8</v>
      </c>
      <c r="AV1401" s="56">
        <v>144</v>
      </c>
      <c r="AW1401" s="56">
        <v>120</v>
      </c>
      <c r="AX1401" s="56">
        <v>26</v>
      </c>
      <c r="AY1401" s="56" t="s">
        <v>267</v>
      </c>
      <c r="AZ1401" s="56" t="s">
        <v>268</v>
      </c>
      <c r="BA1401" s="56">
        <v>2</v>
      </c>
      <c r="BB1401" s="55" t="s">
        <v>888</v>
      </c>
      <c r="BC1401" s="55" t="s">
        <v>270</v>
      </c>
      <c r="BD1401" s="55" t="s">
        <v>8374</v>
      </c>
      <c r="BE1401" s="56" t="s">
        <v>889</v>
      </c>
      <c r="BF1401" s="56" t="s">
        <v>272</v>
      </c>
      <c r="BG1401" s="56" t="s">
        <v>272</v>
      </c>
      <c r="BH1401" s="56" t="s">
        <v>890</v>
      </c>
      <c r="BI1401" s="153">
        <v>4.2149E-4</v>
      </c>
      <c r="BJ1401" s="153">
        <v>33.719200000000001</v>
      </c>
      <c r="BK1401" s="56"/>
      <c r="BL1401" s="153">
        <v>0.21536259485554968</v>
      </c>
      <c r="BM1401" s="56" t="s">
        <v>891</v>
      </c>
      <c r="BN1401" s="162"/>
      <c r="BO1401" s="162"/>
      <c r="BP1401" s="162"/>
      <c r="BQ1401" s="162"/>
      <c r="BR1401" s="162"/>
      <c r="BS1401" s="56">
        <v>7.8934623445907445E-2</v>
      </c>
      <c r="BT1401" s="162"/>
      <c r="BU1401" s="158"/>
      <c r="BV1401" s="162"/>
      <c r="BW1401" s="162"/>
      <c r="BX1401" s="162"/>
      <c r="BY1401" s="162"/>
      <c r="BZ1401" s="162"/>
      <c r="CA1401" s="162"/>
      <c r="CB1401" s="162"/>
      <c r="CC1401" s="56"/>
      <c r="CD1401" s="56"/>
      <c r="CE1401" s="56"/>
      <c r="CF1401" s="56"/>
      <c r="CG1401" s="56"/>
      <c r="CH1401" s="56"/>
      <c r="CI1401" s="103">
        <v>7.8934623445907445E-2</v>
      </c>
      <c r="CJ1401" s="103">
        <f t="shared" si="336"/>
        <v>-1.1027324584737646</v>
      </c>
      <c r="CK1401" s="57">
        <f t="shared" si="331"/>
        <v>6.3869425981503023E-3</v>
      </c>
      <c r="CL1401" s="160">
        <f t="shared" si="332"/>
        <v>2.7283666590635476</v>
      </c>
      <c r="CM1401" s="160"/>
      <c r="CN1401" s="160"/>
      <c r="CO1401" s="55" t="s">
        <v>892</v>
      </c>
      <c r="CP1401" s="497" t="s">
        <v>893</v>
      </c>
      <c r="CQ1401" s="149" t="s">
        <v>272</v>
      </c>
      <c r="CR1401" s="349"/>
      <c r="CS1401" s="61" t="s">
        <v>539</v>
      </c>
      <c r="CT1401" s="61"/>
      <c r="CU1401" s="111">
        <f t="shared" si="333"/>
        <v>0.18496319311645457</v>
      </c>
      <c r="CV1401" s="331">
        <f t="shared" si="334"/>
        <v>4.3298773399131653E-4</v>
      </c>
      <c r="CW1401" s="326">
        <f t="shared" si="337"/>
        <v>0</v>
      </c>
      <c r="CX1401" s="326" t="s">
        <v>539</v>
      </c>
      <c r="CY1401" s="161" t="s">
        <v>5921</v>
      </c>
    </row>
    <row r="1402" spans="1:103" ht="11.25" customHeight="1" x14ac:dyDescent="0.2">
      <c r="A1402" s="72">
        <v>345</v>
      </c>
      <c r="B1402" s="149">
        <v>384</v>
      </c>
      <c r="C1402" s="54" t="s">
        <v>1337</v>
      </c>
      <c r="D1402" s="54" t="s">
        <v>6664</v>
      </c>
      <c r="E1402" s="59"/>
      <c r="F1402" s="59" t="s">
        <v>1338</v>
      </c>
      <c r="G1402" s="151">
        <v>19666309</v>
      </c>
      <c r="H1402" s="55" t="s">
        <v>1339</v>
      </c>
      <c r="I1402" s="55" t="s">
        <v>7936</v>
      </c>
      <c r="J1402" s="55" t="s">
        <v>1340</v>
      </c>
      <c r="K1402" s="55" t="s">
        <v>976</v>
      </c>
      <c r="L1402" s="55" t="s">
        <v>6004</v>
      </c>
      <c r="M1402" s="55" t="s">
        <v>6082</v>
      </c>
      <c r="N1402" s="60" t="s">
        <v>6082</v>
      </c>
      <c r="O1402" s="55" t="s">
        <v>6083</v>
      </c>
      <c r="P1402" s="67">
        <v>3</v>
      </c>
      <c r="Q1402" s="67" t="s">
        <v>6173</v>
      </c>
      <c r="R1402" s="67">
        <v>1</v>
      </c>
      <c r="S1402" s="67" t="s">
        <v>6173</v>
      </c>
      <c r="T1402" s="56">
        <v>345.22</v>
      </c>
      <c r="U1402" s="103">
        <v>0.7</v>
      </c>
      <c r="V1402" s="103">
        <v>0.52680000000000005</v>
      </c>
      <c r="W1402" s="103">
        <v>0.72126681029343098</v>
      </c>
      <c r="X1402" s="103">
        <v>0.7</v>
      </c>
      <c r="Y1402" s="162">
        <v>7</v>
      </c>
      <c r="Z1402" s="56">
        <v>4.8099999999999996</v>
      </c>
      <c r="AA1402" s="56">
        <v>4.8</v>
      </c>
      <c r="AB1402" s="56">
        <v>4.5</v>
      </c>
      <c r="AC1402" s="56">
        <v>0.83169999999999999</v>
      </c>
      <c r="AD1402" s="56">
        <v>4.51</v>
      </c>
      <c r="AE1402" s="56">
        <v>4.54</v>
      </c>
      <c r="AF1402" s="56">
        <f t="shared" si="328"/>
        <v>4.8</v>
      </c>
      <c r="AG1402" s="57">
        <v>5.36</v>
      </c>
      <c r="AH1402" s="103">
        <v>3.2199999999999997E-8</v>
      </c>
      <c r="AI1402" s="103">
        <v>7.2699999999999996E-8</v>
      </c>
      <c r="AJ1402" s="62">
        <f t="shared" si="329"/>
        <v>-5.8807104546168212</v>
      </c>
      <c r="AK1402" s="62">
        <f>LOG10(AI1402*1000/(0.08206*298.15))</f>
        <v>-5.5270319154536143</v>
      </c>
      <c r="AL1402" s="62">
        <f t="shared" si="330"/>
        <v>-5.5270319154536143</v>
      </c>
      <c r="AM1402" s="62">
        <v>-10.731549999999999</v>
      </c>
      <c r="AN1402" s="154">
        <v>-0.77500000000000002</v>
      </c>
      <c r="AO1402" s="410"/>
      <c r="AP1402" s="410">
        <v>-2.73</v>
      </c>
      <c r="AQ1402" s="154" t="s">
        <v>6311</v>
      </c>
      <c r="AR1402" s="154" t="s">
        <v>6311</v>
      </c>
      <c r="AS1402" s="149" t="s">
        <v>6</v>
      </c>
      <c r="AT1402" s="58" t="s">
        <v>266</v>
      </c>
      <c r="AU1402" s="56">
        <v>8</v>
      </c>
      <c r="AV1402" s="56">
        <v>144</v>
      </c>
      <c r="AW1402" s="56">
        <v>120</v>
      </c>
      <c r="AX1402" s="56">
        <v>26</v>
      </c>
      <c r="AY1402" s="56" t="s">
        <v>267</v>
      </c>
      <c r="AZ1402" s="56" t="s">
        <v>268</v>
      </c>
      <c r="BA1402" s="56">
        <v>3</v>
      </c>
      <c r="BB1402" s="55" t="s">
        <v>888</v>
      </c>
      <c r="BC1402" s="55" t="s">
        <v>270</v>
      </c>
      <c r="BD1402" s="55" t="s">
        <v>8374</v>
      </c>
      <c r="BE1402" s="56" t="s">
        <v>889</v>
      </c>
      <c r="BF1402" s="56" t="s">
        <v>272</v>
      </c>
      <c r="BG1402" s="56" t="s">
        <v>272</v>
      </c>
      <c r="BH1402" s="56" t="s">
        <v>890</v>
      </c>
      <c r="BI1402" s="153">
        <v>3.4522000000000003E-4</v>
      </c>
      <c r="BJ1402" s="153">
        <v>27.617600000000003</v>
      </c>
      <c r="BK1402" s="56"/>
      <c r="BL1402" s="153">
        <v>0.84924881239931171</v>
      </c>
      <c r="BM1402" s="56" t="s">
        <v>891</v>
      </c>
      <c r="BN1402" s="162"/>
      <c r="BO1402" s="162"/>
      <c r="BP1402" s="162"/>
      <c r="BQ1402" s="162"/>
      <c r="BR1402" s="162"/>
      <c r="BS1402" s="56">
        <v>3.0413882000000001</v>
      </c>
      <c r="BT1402" s="162"/>
      <c r="BU1402" s="158"/>
      <c r="BV1402" s="162"/>
      <c r="BW1402" s="162"/>
      <c r="BX1402" s="162"/>
      <c r="BY1402" s="162"/>
      <c r="BZ1402" s="162"/>
      <c r="CA1402" s="162"/>
      <c r="CB1402" s="162"/>
      <c r="CC1402" s="56"/>
      <c r="CD1402" s="56"/>
      <c r="CE1402" s="56"/>
      <c r="CF1402" s="56"/>
      <c r="CG1402" s="56"/>
      <c r="CH1402" s="56"/>
      <c r="CI1402" s="103">
        <v>3.0413882000000001</v>
      </c>
      <c r="CJ1402" s="103">
        <f t="shared" si="336"/>
        <v>0.48307185663143293</v>
      </c>
      <c r="CK1402" s="57">
        <f t="shared" si="331"/>
        <v>3.0750275635801506E-2</v>
      </c>
      <c r="CL1402" s="160">
        <f t="shared" si="332"/>
        <v>0.27923065276550746</v>
      </c>
      <c r="CM1402" s="160">
        <v>0.31249259019383652</v>
      </c>
      <c r="CN1402" s="160">
        <f>BJ1402/(10^CM1402)</f>
        <v>13.449103785761205</v>
      </c>
      <c r="CO1402" s="55" t="s">
        <v>892</v>
      </c>
      <c r="CP1402" s="497" t="s">
        <v>893</v>
      </c>
      <c r="CQ1402" s="149">
        <v>0.47543215899110564</v>
      </c>
      <c r="CR1402" s="349">
        <f>10^(CJ1402-CQ1402)</f>
        <v>1.0177466877386747</v>
      </c>
      <c r="CS1402" s="61" t="s">
        <v>539</v>
      </c>
      <c r="CT1402" s="61"/>
      <c r="CU1402" s="111">
        <f t="shared" si="333"/>
        <v>0.23015805742916998</v>
      </c>
      <c r="CV1402" s="331">
        <f t="shared" si="334"/>
        <v>2.5346156074387342E-2</v>
      </c>
      <c r="CW1402" s="326">
        <f t="shared" si="337"/>
        <v>0</v>
      </c>
      <c r="CX1402" s="326" t="s">
        <v>539</v>
      </c>
      <c r="CY1402" s="161" t="s">
        <v>5921</v>
      </c>
    </row>
    <row r="1403" spans="1:103" ht="11.25" customHeight="1" x14ac:dyDescent="0.2">
      <c r="A1403" s="72">
        <v>346</v>
      </c>
      <c r="B1403" s="149">
        <v>240</v>
      </c>
      <c r="C1403" s="54" t="s">
        <v>6665</v>
      </c>
      <c r="D1403" s="54"/>
      <c r="E1403" s="59"/>
      <c r="F1403" s="59" t="s">
        <v>1065</v>
      </c>
      <c r="G1403" s="151">
        <v>113136779</v>
      </c>
      <c r="H1403" s="55" t="s">
        <v>1066</v>
      </c>
      <c r="I1403" s="55" t="s">
        <v>8334</v>
      </c>
      <c r="J1403" s="55" t="s">
        <v>1067</v>
      </c>
      <c r="K1403" s="55" t="s">
        <v>471</v>
      </c>
      <c r="L1403" s="55" t="s">
        <v>5248</v>
      </c>
      <c r="M1403" s="55" t="s">
        <v>6082</v>
      </c>
      <c r="N1403" s="60"/>
      <c r="O1403" s="55" t="s">
        <v>6083</v>
      </c>
      <c r="P1403" s="67">
        <v>3</v>
      </c>
      <c r="Q1403" s="67" t="s">
        <v>6173</v>
      </c>
      <c r="R1403" s="67">
        <v>1</v>
      </c>
      <c r="S1403" s="67" t="s">
        <v>6173</v>
      </c>
      <c r="T1403" s="56">
        <v>274.10000000000002</v>
      </c>
      <c r="U1403" s="103">
        <v>37</v>
      </c>
      <c r="V1403" s="103">
        <v>500.2</v>
      </c>
      <c r="W1403" s="103">
        <v>207.92611331549901</v>
      </c>
      <c r="X1403" s="103">
        <v>37</v>
      </c>
      <c r="Y1403" s="162">
        <v>3.68</v>
      </c>
      <c r="Z1403" s="56">
        <v>1.8</v>
      </c>
      <c r="AA1403" s="56"/>
      <c r="AB1403" s="56">
        <v>2.3199999999999998</v>
      </c>
      <c r="AC1403" s="56">
        <v>0.61990000000000001</v>
      </c>
      <c r="AD1403" s="56">
        <v>1.94</v>
      </c>
      <c r="AE1403" s="56">
        <v>1.49</v>
      </c>
      <c r="AF1403" s="56">
        <f t="shared" si="328"/>
        <v>1.94</v>
      </c>
      <c r="AG1403" s="57">
        <v>2.2000000000000002</v>
      </c>
      <c r="AH1403" s="103">
        <v>1.96E-14</v>
      </c>
      <c r="AI1403" s="103">
        <v>7.3099999999999996E-10</v>
      </c>
      <c r="AJ1403" s="62">
        <f t="shared" si="329"/>
        <v>-12.096310254956176</v>
      </c>
      <c r="AK1403" s="62">
        <f>LOG10(AI1403*1000/(0.08206*298.15))</f>
        <v>-7.5246489493547912</v>
      </c>
      <c r="AL1403" s="62">
        <f t="shared" si="330"/>
        <v>-7.5246489493547912</v>
      </c>
      <c r="AM1403" s="62">
        <v>-16.463000000000001</v>
      </c>
      <c r="AN1403" s="154">
        <v>-13.2</v>
      </c>
      <c r="AO1403" s="410">
        <v>4.0999999999999996</v>
      </c>
      <c r="AP1403" s="410">
        <v>-1.29</v>
      </c>
      <c r="AQ1403" s="154" t="s">
        <v>6311</v>
      </c>
      <c r="AR1403" s="154" t="s">
        <v>6311</v>
      </c>
      <c r="AS1403" s="149" t="s">
        <v>6</v>
      </c>
      <c r="AT1403" s="58" t="s">
        <v>266</v>
      </c>
      <c r="AU1403" s="56">
        <v>8</v>
      </c>
      <c r="AV1403" s="56">
        <v>144</v>
      </c>
      <c r="AW1403" s="56">
        <v>120</v>
      </c>
      <c r="AX1403" s="56">
        <v>26</v>
      </c>
      <c r="AY1403" s="56" t="s">
        <v>267</v>
      </c>
      <c r="AZ1403" s="56" t="s">
        <v>268</v>
      </c>
      <c r="BA1403" s="56">
        <v>2</v>
      </c>
      <c r="BB1403" s="55" t="s">
        <v>888</v>
      </c>
      <c r="BC1403" s="55" t="s">
        <v>270</v>
      </c>
      <c r="BD1403" s="55" t="s">
        <v>8374</v>
      </c>
      <c r="BE1403" s="56" t="s">
        <v>889</v>
      </c>
      <c r="BF1403" s="56" t="s">
        <v>272</v>
      </c>
      <c r="BG1403" s="56" t="s">
        <v>272</v>
      </c>
      <c r="BH1403" s="56" t="s">
        <v>890</v>
      </c>
      <c r="BI1403" s="153">
        <v>2.7409999999999999E-4</v>
      </c>
      <c r="BJ1403" s="153">
        <v>21.928000000000001</v>
      </c>
      <c r="BK1403" s="56"/>
      <c r="BL1403" s="153">
        <v>340.50934521239503</v>
      </c>
      <c r="BM1403" s="56" t="s">
        <v>891</v>
      </c>
      <c r="BN1403" s="162"/>
      <c r="BO1403" s="162"/>
      <c r="BP1403" s="162"/>
      <c r="BQ1403" s="162"/>
      <c r="BR1403" s="162"/>
      <c r="BS1403" s="56">
        <v>7.3020240000000012</v>
      </c>
      <c r="BT1403" s="162"/>
      <c r="BU1403" s="158"/>
      <c r="BV1403" s="162"/>
      <c r="BW1403" s="162"/>
      <c r="BX1403" s="162"/>
      <c r="BY1403" s="162"/>
      <c r="BZ1403" s="162"/>
      <c r="CA1403" s="162"/>
      <c r="CB1403" s="162"/>
      <c r="CC1403" s="56"/>
      <c r="CD1403" s="56"/>
      <c r="CE1403" s="56"/>
      <c r="CF1403" s="56"/>
      <c r="CG1403" s="56"/>
      <c r="CH1403" s="56"/>
      <c r="CI1403" s="103">
        <v>7.3020240000000012</v>
      </c>
      <c r="CJ1403" s="103">
        <f t="shared" si="336"/>
        <v>0.86344325603776195</v>
      </c>
      <c r="CK1403" s="57">
        <f t="shared" si="331"/>
        <v>15.52851811439233</v>
      </c>
      <c r="CL1403" s="160">
        <f t="shared" si="332"/>
        <v>46.632186529706694</v>
      </c>
      <c r="CM1403" s="160"/>
      <c r="CN1403" s="160"/>
      <c r="CO1403" s="55" t="s">
        <v>892</v>
      </c>
      <c r="CP1403" s="497" t="s">
        <v>893</v>
      </c>
      <c r="CQ1403" s="149" t="s">
        <v>272</v>
      </c>
      <c r="CR1403" s="349"/>
      <c r="CS1403" s="61" t="s">
        <v>539</v>
      </c>
      <c r="CT1403" s="61"/>
      <c r="CU1403" s="111">
        <f t="shared" si="333"/>
        <v>5.0670882484089335</v>
      </c>
      <c r="CV1403" s="331">
        <f t="shared" si="334"/>
        <v>1.6873403867201751</v>
      </c>
      <c r="CW1403" s="326">
        <f t="shared" si="337"/>
        <v>1</v>
      </c>
      <c r="CX1403" s="326" t="s">
        <v>539</v>
      </c>
      <c r="CY1403" s="161" t="s">
        <v>5921</v>
      </c>
    </row>
    <row r="1404" spans="1:103" ht="11.25" customHeight="1" x14ac:dyDescent="0.2">
      <c r="A1404" s="72">
        <v>348</v>
      </c>
      <c r="B1404" s="149">
        <v>331</v>
      </c>
      <c r="C1404" s="54" t="s">
        <v>6666</v>
      </c>
      <c r="D1404" s="54"/>
      <c r="E1404" s="59"/>
      <c r="F1404" s="59" t="s">
        <v>1271</v>
      </c>
      <c r="G1404" s="151">
        <v>114311329</v>
      </c>
      <c r="H1404" s="55" t="s">
        <v>1272</v>
      </c>
      <c r="I1404" s="55" t="s">
        <v>1272</v>
      </c>
      <c r="J1404" s="55" t="s">
        <v>1273</v>
      </c>
      <c r="K1404" s="55" t="s">
        <v>471</v>
      </c>
      <c r="L1404" s="55"/>
      <c r="M1404" s="55"/>
      <c r="N1404" s="60"/>
      <c r="O1404" s="55"/>
      <c r="P1404" s="67">
        <v>3</v>
      </c>
      <c r="Q1404" s="67" t="s">
        <v>6173</v>
      </c>
      <c r="R1404" s="67">
        <v>1</v>
      </c>
      <c r="S1404" s="67" t="s">
        <v>6173</v>
      </c>
      <c r="T1404" s="56">
        <v>305.33</v>
      </c>
      <c r="U1404" s="103">
        <v>4410</v>
      </c>
      <c r="V1404" s="103">
        <v>2720</v>
      </c>
      <c r="W1404" s="103">
        <v>2370.1153212023837</v>
      </c>
      <c r="X1404" s="103">
        <v>4410</v>
      </c>
      <c r="Y1404" s="162">
        <v>2.82</v>
      </c>
      <c r="Z1404" s="56">
        <v>1.35</v>
      </c>
      <c r="AA1404" s="56">
        <v>0.73</v>
      </c>
      <c r="AB1404" s="56">
        <v>0.65</v>
      </c>
      <c r="AC1404" s="56">
        <v>0.88380000000000003</v>
      </c>
      <c r="AD1404" s="56">
        <v>0.61</v>
      </c>
      <c r="AE1404" s="56">
        <v>0.25</v>
      </c>
      <c r="AF1404" s="56">
        <f t="shared" si="328"/>
        <v>0.73</v>
      </c>
      <c r="AG1404" s="57">
        <v>1.08</v>
      </c>
      <c r="AH1404" s="103">
        <v>9.1499999999999995E-19</v>
      </c>
      <c r="AI1404" s="103"/>
      <c r="AJ1404" s="62">
        <f t="shared" si="329"/>
        <v>-16.427145232246204</v>
      </c>
      <c r="AK1404" s="62"/>
      <c r="AL1404" s="62">
        <f t="shared" si="330"/>
        <v>-16.427145232246204</v>
      </c>
      <c r="AM1404" s="62">
        <v>-19.604050000000001</v>
      </c>
      <c r="AN1404" s="154">
        <v>-18.100000000000001</v>
      </c>
      <c r="AO1404" s="410">
        <v>10.6</v>
      </c>
      <c r="AP1404" s="410">
        <v>3.17</v>
      </c>
      <c r="AQ1404" s="154" t="s">
        <v>6311</v>
      </c>
      <c r="AR1404" s="154" t="s">
        <v>6311</v>
      </c>
      <c r="AS1404" s="149" t="s">
        <v>6</v>
      </c>
      <c r="AT1404" s="58" t="s">
        <v>266</v>
      </c>
      <c r="AU1404" s="56">
        <v>8</v>
      </c>
      <c r="AV1404" s="56">
        <v>144</v>
      </c>
      <c r="AW1404" s="56">
        <v>120</v>
      </c>
      <c r="AX1404" s="56">
        <v>26</v>
      </c>
      <c r="AY1404" s="56" t="s">
        <v>267</v>
      </c>
      <c r="AZ1404" s="56" t="s">
        <v>268</v>
      </c>
      <c r="BA1404" s="56">
        <v>2</v>
      </c>
      <c r="BB1404" s="55" t="s">
        <v>888</v>
      </c>
      <c r="BC1404" s="55" t="s">
        <v>270</v>
      </c>
      <c r="BD1404" s="55" t="s">
        <v>8374</v>
      </c>
      <c r="BE1404" s="56" t="s">
        <v>889</v>
      </c>
      <c r="BF1404" s="56" t="s">
        <v>272</v>
      </c>
      <c r="BG1404" s="56" t="s">
        <v>272</v>
      </c>
      <c r="BH1404" s="56" t="s">
        <v>890</v>
      </c>
      <c r="BI1404" s="153">
        <v>3.0532999999999998E-4</v>
      </c>
      <c r="BJ1404" s="153">
        <v>24.426400000000001</v>
      </c>
      <c r="BK1404" s="56"/>
      <c r="BL1404" s="153">
        <v>961.91008425393011</v>
      </c>
      <c r="BM1404" s="56" t="s">
        <v>891</v>
      </c>
      <c r="BN1404" s="162"/>
      <c r="BO1404" s="162"/>
      <c r="BP1404" s="162"/>
      <c r="BQ1404" s="162"/>
      <c r="BR1404" s="162"/>
      <c r="BS1404" s="56">
        <v>1.5653873363020154</v>
      </c>
      <c r="BT1404" s="162"/>
      <c r="BU1404" s="158"/>
      <c r="BV1404" s="162"/>
      <c r="BW1404" s="162"/>
      <c r="BX1404" s="162"/>
      <c r="BY1404" s="162"/>
      <c r="BZ1404" s="162"/>
      <c r="CA1404" s="162"/>
      <c r="CB1404" s="162"/>
      <c r="CC1404" s="56"/>
      <c r="CD1404" s="56"/>
      <c r="CE1404" s="56"/>
      <c r="CF1404" s="56"/>
      <c r="CG1404" s="56"/>
      <c r="CH1404" s="56"/>
      <c r="CI1404" s="103">
        <v>1.5653873363020154</v>
      </c>
      <c r="CJ1404" s="103">
        <f t="shared" si="336"/>
        <v>0.19462181613494323</v>
      </c>
      <c r="CK1404" s="57">
        <f t="shared" si="331"/>
        <v>39.379936636341419</v>
      </c>
      <c r="CL1404" s="160">
        <f t="shared" si="332"/>
        <v>614.48694642330076</v>
      </c>
      <c r="CM1404" s="160"/>
      <c r="CN1404" s="160"/>
      <c r="CO1404" s="55" t="s">
        <v>892</v>
      </c>
      <c r="CP1404" s="497" t="s">
        <v>893</v>
      </c>
      <c r="CQ1404" s="149" t="s">
        <v>272</v>
      </c>
      <c r="CR1404" s="349"/>
      <c r="CS1404" s="61" t="s">
        <v>539</v>
      </c>
      <c r="CT1404" s="61"/>
      <c r="CU1404" s="111">
        <f t="shared" si="333"/>
        <v>2817.1941204136356</v>
      </c>
      <c r="CV1404" s="331">
        <f t="shared" si="334"/>
        <v>180.54236399960698</v>
      </c>
      <c r="CW1404" s="326">
        <f t="shared" si="337"/>
        <v>1</v>
      </c>
      <c r="CX1404" s="326" t="s">
        <v>539</v>
      </c>
      <c r="CY1404" s="161" t="s">
        <v>5921</v>
      </c>
    </row>
    <row r="1405" spans="1:103" ht="11.25" customHeight="1" x14ac:dyDescent="0.2">
      <c r="A1405" s="72">
        <v>349</v>
      </c>
      <c r="B1405" s="149">
        <v>406</v>
      </c>
      <c r="C1405" s="54" t="s">
        <v>1392</v>
      </c>
      <c r="D1405" s="54" t="s">
        <v>6529</v>
      </c>
      <c r="E1405" s="59"/>
      <c r="F1405" s="59" t="s">
        <v>1393</v>
      </c>
      <c r="G1405" s="151">
        <v>67747095</v>
      </c>
      <c r="H1405" s="55" t="s">
        <v>1394</v>
      </c>
      <c r="I1405" s="55" t="s">
        <v>7941</v>
      </c>
      <c r="J1405" s="55" t="s">
        <v>1395</v>
      </c>
      <c r="K1405" s="55" t="s">
        <v>1064</v>
      </c>
      <c r="L1405" s="55" t="s">
        <v>6007</v>
      </c>
      <c r="M1405" s="55" t="s">
        <v>6008</v>
      </c>
      <c r="N1405" s="60" t="s">
        <v>6386</v>
      </c>
      <c r="O1405" s="55" t="s">
        <v>6009</v>
      </c>
      <c r="P1405" s="67">
        <v>3</v>
      </c>
      <c r="Q1405" s="67" t="s">
        <v>6173</v>
      </c>
      <c r="R1405" s="67">
        <v>1</v>
      </c>
      <c r="S1405" s="67" t="s">
        <v>6173</v>
      </c>
      <c r="T1405" s="56">
        <v>376.66</v>
      </c>
      <c r="U1405" s="103">
        <v>33.999097353120767</v>
      </c>
      <c r="V1405" s="103">
        <v>1.3439643188998329</v>
      </c>
      <c r="W1405" s="103">
        <v>24.885679412654092</v>
      </c>
      <c r="X1405" s="103">
        <v>33.999097353120767</v>
      </c>
      <c r="Y1405" s="162">
        <v>7.37</v>
      </c>
      <c r="Z1405" s="56">
        <v>4.13</v>
      </c>
      <c r="AA1405" s="56">
        <v>4.0999999999999996</v>
      </c>
      <c r="AB1405" s="56">
        <v>4.1100000000000003</v>
      </c>
      <c r="AC1405" s="56">
        <v>0.85909999999999997</v>
      </c>
      <c r="AD1405" s="56">
        <v>4.08</v>
      </c>
      <c r="AE1405" s="56">
        <v>3.98</v>
      </c>
      <c r="AF1405" s="56">
        <f t="shared" ref="AF1405:AF1436" si="338">IF(AA1405=0,AD1405,AA1405)</f>
        <v>4.0999999999999996</v>
      </c>
      <c r="AG1405" s="57">
        <v>4.18</v>
      </c>
      <c r="AH1405" s="103">
        <v>7.5799999999999996E-12</v>
      </c>
      <c r="AI1405" s="103">
        <v>1.6400000000000001E-8</v>
      </c>
      <c r="AJ1405" s="62">
        <f t="shared" ref="AJ1405:AJ1428" si="339">LOG10(AH1405*1000/(0.08206*298.15))</f>
        <v>-9.508897120680599</v>
      </c>
      <c r="AK1405" s="62">
        <f t="shared" ref="AK1405:AK1410" si="340">LOG10(AI1405*1000/(0.08206*298.15))</f>
        <v>-6.1737224782649536</v>
      </c>
      <c r="AL1405" s="62">
        <f t="shared" ref="AL1405:AL1428" si="341">IF(AK1405=0,AJ1405,AK1405)</f>
        <v>-6.1737224782649536</v>
      </c>
      <c r="AM1405" s="62">
        <v>-16.703500000000002</v>
      </c>
      <c r="AN1405" s="154">
        <v>-6.14</v>
      </c>
      <c r="AO1405" s="410"/>
      <c r="AP1405" s="410">
        <v>4.84</v>
      </c>
      <c r="AQ1405" s="154" t="s">
        <v>6311</v>
      </c>
      <c r="AR1405" s="154" t="s">
        <v>6311</v>
      </c>
      <c r="AS1405" s="149" t="s">
        <v>6</v>
      </c>
      <c r="AT1405" s="58" t="s">
        <v>266</v>
      </c>
      <c r="AU1405" s="56">
        <v>8</v>
      </c>
      <c r="AV1405" s="56">
        <v>144</v>
      </c>
      <c r="AW1405" s="56">
        <v>120</v>
      </c>
      <c r="AX1405" s="56">
        <v>26</v>
      </c>
      <c r="AY1405" s="56" t="s">
        <v>267</v>
      </c>
      <c r="AZ1405" s="56" t="s">
        <v>268</v>
      </c>
      <c r="BA1405" s="56">
        <v>3</v>
      </c>
      <c r="BB1405" s="55" t="s">
        <v>888</v>
      </c>
      <c r="BC1405" s="55" t="s">
        <v>270</v>
      </c>
      <c r="BD1405" s="55" t="s">
        <v>8374</v>
      </c>
      <c r="BE1405" s="56" t="s">
        <v>889</v>
      </c>
      <c r="BF1405" s="56" t="s">
        <v>272</v>
      </c>
      <c r="BG1405" s="56" t="s">
        <v>272</v>
      </c>
      <c r="BH1405" s="56" t="s">
        <v>890</v>
      </c>
      <c r="BI1405" s="153">
        <v>3.7666000000000002E-4</v>
      </c>
      <c r="BJ1405" s="153">
        <v>30.132800000000003</v>
      </c>
      <c r="BK1405" s="56"/>
      <c r="BL1405" s="153">
        <v>3.7809114141658466</v>
      </c>
      <c r="BM1405" s="56" t="s">
        <v>891</v>
      </c>
      <c r="BN1405" s="162"/>
      <c r="BO1405" s="162"/>
      <c r="BP1405" s="162"/>
      <c r="BQ1405" s="162"/>
      <c r="BR1405" s="162"/>
      <c r="BS1405" s="56">
        <v>3.2430425999999999</v>
      </c>
      <c r="BT1405" s="162"/>
      <c r="BU1405" s="158"/>
      <c r="BV1405" s="162"/>
      <c r="BW1405" s="162"/>
      <c r="BX1405" s="162"/>
      <c r="BY1405" s="162"/>
      <c r="BZ1405" s="162"/>
      <c r="CA1405" s="162"/>
      <c r="CB1405" s="162"/>
      <c r="CC1405" s="56"/>
      <c r="CD1405" s="56"/>
      <c r="CE1405" s="56"/>
      <c r="CF1405" s="56"/>
      <c r="CG1405" s="56"/>
      <c r="CH1405" s="56"/>
      <c r="CI1405" s="103">
        <v>3.2430425999999999</v>
      </c>
      <c r="CJ1405" s="103">
        <f t="shared" si="336"/>
        <v>0.51095265352138963</v>
      </c>
      <c r="CK1405" s="57">
        <f t="shared" si="331"/>
        <v>0.12547494471691467</v>
      </c>
      <c r="CL1405" s="160">
        <f t="shared" ref="CL1405:CL1436" si="342">BL1405/CI1405</f>
        <v>1.1658531448726104</v>
      </c>
      <c r="CM1405" s="160">
        <v>-0.23428417606624372</v>
      </c>
      <c r="CN1405" s="160">
        <f>BJ1405/(10^CM1405)</f>
        <v>51.680138053925745</v>
      </c>
      <c r="CO1405" s="55" t="s">
        <v>892</v>
      </c>
      <c r="CP1405" s="497" t="s">
        <v>893</v>
      </c>
      <c r="CQ1405" s="149">
        <v>-0.23428417606624358</v>
      </c>
      <c r="CR1405" s="349">
        <f>10^(CJ1405-CQ1405)</f>
        <v>5.5620748580537569</v>
      </c>
      <c r="CS1405" s="61" t="s">
        <v>539</v>
      </c>
      <c r="CT1405" s="61"/>
      <c r="CU1405" s="111">
        <f t="shared" ref="CU1405:CU1436" si="343">X1405/CI1405</f>
        <v>10.483703591534928</v>
      </c>
      <c r="CV1405" s="331">
        <f t="shared" si="334"/>
        <v>1.1283085990389463</v>
      </c>
      <c r="CW1405" s="326">
        <f t="shared" si="337"/>
        <v>1</v>
      </c>
      <c r="CX1405" s="326" t="s">
        <v>539</v>
      </c>
      <c r="CY1405" s="161" t="s">
        <v>5921</v>
      </c>
    </row>
    <row r="1406" spans="1:103" ht="11.25" customHeight="1" x14ac:dyDescent="0.2">
      <c r="A1406" s="72">
        <v>353</v>
      </c>
      <c r="B1406" s="149">
        <v>440</v>
      </c>
      <c r="C1406" s="54" t="s">
        <v>6669</v>
      </c>
      <c r="D1406" s="54"/>
      <c r="E1406" s="59"/>
      <c r="F1406" s="59" t="s">
        <v>1457</v>
      </c>
      <c r="G1406" s="151">
        <v>118134308</v>
      </c>
      <c r="H1406" s="55" t="s">
        <v>1458</v>
      </c>
      <c r="I1406" s="55" t="s">
        <v>1458</v>
      </c>
      <c r="J1406" s="55" t="s">
        <v>1459</v>
      </c>
      <c r="K1406" s="55" t="s">
        <v>300</v>
      </c>
      <c r="L1406" s="55"/>
      <c r="M1406" s="55"/>
      <c r="N1406" s="60"/>
      <c r="O1406" s="55"/>
      <c r="P1406" s="67"/>
      <c r="Q1406" s="67"/>
      <c r="R1406" s="67"/>
      <c r="S1406" s="67"/>
      <c r="T1406" s="56">
        <v>297.48</v>
      </c>
      <c r="U1406" s="103">
        <v>470</v>
      </c>
      <c r="V1406" s="103">
        <v>2.5670000000000002</v>
      </c>
      <c r="W1406" s="103">
        <v>440.00516331227811</v>
      </c>
      <c r="X1406" s="103">
        <v>470</v>
      </c>
      <c r="Y1406" s="162">
        <v>9.9600000000000009</v>
      </c>
      <c r="Z1406" s="56">
        <v>5.51</v>
      </c>
      <c r="AA1406" s="56"/>
      <c r="AB1406" s="56">
        <v>4.67</v>
      </c>
      <c r="AC1406" s="56">
        <v>0.47460000000000002</v>
      </c>
      <c r="AD1406" s="56">
        <v>4.78</v>
      </c>
      <c r="AE1406" s="56">
        <v>4.88</v>
      </c>
      <c r="AF1406" s="56">
        <f t="shared" si="338"/>
        <v>4.78</v>
      </c>
      <c r="AG1406" s="57">
        <v>3.96</v>
      </c>
      <c r="AH1406" s="103">
        <v>1.9399999999999999E-7</v>
      </c>
      <c r="AI1406" s="103">
        <v>1.0700000000000001E-7</v>
      </c>
      <c r="AJ1406" s="62">
        <f t="shared" si="339"/>
        <v>-5.100764596382426</v>
      </c>
      <c r="AK1406" s="62">
        <f t="shared" si="340"/>
        <v>-5.3591825486274418</v>
      </c>
      <c r="AL1406" s="62">
        <f t="shared" si="341"/>
        <v>-5.3591825486274418</v>
      </c>
      <c r="AM1406" s="62">
        <v>-8.4572500000000019</v>
      </c>
      <c r="AN1406" s="154">
        <v>-5.31</v>
      </c>
      <c r="AO1406" s="410"/>
      <c r="AP1406" s="410">
        <v>8.7799999999999994</v>
      </c>
      <c r="AQ1406" s="154" t="s">
        <v>6311</v>
      </c>
      <c r="AR1406" s="154" t="s">
        <v>6311</v>
      </c>
      <c r="AS1406" s="149" t="s">
        <v>6</v>
      </c>
      <c r="AT1406" s="58" t="s">
        <v>266</v>
      </c>
      <c r="AU1406" s="56">
        <v>8</v>
      </c>
      <c r="AV1406" s="56">
        <v>144</v>
      </c>
      <c r="AW1406" s="56">
        <v>120</v>
      </c>
      <c r="AX1406" s="56">
        <v>26</v>
      </c>
      <c r="AY1406" s="56" t="s">
        <v>267</v>
      </c>
      <c r="AZ1406" s="56" t="s">
        <v>268</v>
      </c>
      <c r="BA1406" s="56">
        <v>3</v>
      </c>
      <c r="BB1406" s="55" t="s">
        <v>888</v>
      </c>
      <c r="BC1406" s="55" t="s">
        <v>270</v>
      </c>
      <c r="BD1406" s="55" t="s">
        <v>8374</v>
      </c>
      <c r="BE1406" s="56" t="s">
        <v>889</v>
      </c>
      <c r="BF1406" s="56" t="s">
        <v>272</v>
      </c>
      <c r="BG1406" s="56" t="s">
        <v>272</v>
      </c>
      <c r="BH1406" s="56" t="s">
        <v>890</v>
      </c>
      <c r="BI1406" s="153">
        <v>2.9748000000000003E-4</v>
      </c>
      <c r="BJ1406" s="153">
        <v>23.798400000000001</v>
      </c>
      <c r="BK1406" s="56"/>
      <c r="BL1406" s="153">
        <v>0.17207856384920939</v>
      </c>
      <c r="BM1406" s="56" t="s">
        <v>891</v>
      </c>
      <c r="BN1406" s="162"/>
      <c r="BO1406" s="162"/>
      <c r="BP1406" s="162"/>
      <c r="BQ1406" s="162"/>
      <c r="BR1406" s="162"/>
      <c r="BS1406" s="56">
        <v>23.039826000000001</v>
      </c>
      <c r="BT1406" s="162"/>
      <c r="BU1406" s="158"/>
      <c r="BV1406" s="162"/>
      <c r="BW1406" s="162"/>
      <c r="BX1406" s="162"/>
      <c r="BY1406" s="162"/>
      <c r="BZ1406" s="162"/>
      <c r="CA1406" s="162"/>
      <c r="CB1406" s="162"/>
      <c r="CC1406" s="56"/>
      <c r="CD1406" s="56"/>
      <c r="CE1406" s="56"/>
      <c r="CF1406" s="56"/>
      <c r="CG1406" s="162"/>
      <c r="CH1406" s="56"/>
      <c r="CI1406" s="103">
        <v>23.039826000000001</v>
      </c>
      <c r="CJ1406" s="103">
        <f t="shared" si="336"/>
        <v>1.3624791949106712</v>
      </c>
      <c r="CK1406" s="57">
        <f t="shared" si="331"/>
        <v>7.2306778543603512E-3</v>
      </c>
      <c r="CL1406" s="160">
        <f t="shared" si="342"/>
        <v>7.4687440716440035E-3</v>
      </c>
      <c r="CM1406" s="160"/>
      <c r="CN1406" s="160"/>
      <c r="CO1406" s="55" t="s">
        <v>892</v>
      </c>
      <c r="CP1406" s="497" t="s">
        <v>893</v>
      </c>
      <c r="CQ1406" s="149" t="s">
        <v>272</v>
      </c>
      <c r="CR1406" s="349"/>
      <c r="CS1406" s="61" t="s">
        <v>539</v>
      </c>
      <c r="CT1406" s="61"/>
      <c r="CU1406" s="111">
        <f t="shared" si="343"/>
        <v>20.399459613974514</v>
      </c>
      <c r="CV1406" s="331">
        <f t="shared" si="334"/>
        <v>19.749226838779077</v>
      </c>
      <c r="CW1406" s="326">
        <f t="shared" si="337"/>
        <v>1</v>
      </c>
      <c r="CX1406" s="326" t="s">
        <v>539</v>
      </c>
      <c r="CY1406" s="161" t="s">
        <v>5921</v>
      </c>
    </row>
    <row r="1407" spans="1:103" ht="11.25" customHeight="1" x14ac:dyDescent="0.2">
      <c r="A1407" s="72">
        <v>359</v>
      </c>
      <c r="B1407" s="149">
        <v>216</v>
      </c>
      <c r="C1407" s="54" t="s">
        <v>1021</v>
      </c>
      <c r="D1407" s="54" t="s">
        <v>6502</v>
      </c>
      <c r="E1407" s="59"/>
      <c r="F1407" s="59" t="s">
        <v>1022</v>
      </c>
      <c r="G1407" s="151">
        <v>5234684</v>
      </c>
      <c r="H1407" s="55" t="s">
        <v>1023</v>
      </c>
      <c r="I1407" s="55" t="s">
        <v>1023</v>
      </c>
      <c r="J1407" s="55" t="s">
        <v>1024</v>
      </c>
      <c r="K1407" s="55" t="s">
        <v>1025</v>
      </c>
      <c r="L1407" s="55" t="s">
        <v>5929</v>
      </c>
      <c r="M1407" s="55" t="s">
        <v>5963</v>
      </c>
      <c r="N1407" s="60" t="s">
        <v>6381</v>
      </c>
      <c r="O1407" s="55" t="s">
        <v>5964</v>
      </c>
      <c r="P1407" s="67"/>
      <c r="Q1407" s="67"/>
      <c r="R1407" s="67"/>
      <c r="S1407" s="67"/>
      <c r="T1407" s="56">
        <v>235.3</v>
      </c>
      <c r="U1407" s="103">
        <v>147</v>
      </c>
      <c r="V1407" s="103">
        <v>423.7</v>
      </c>
      <c r="W1407" s="103">
        <v>219.59473697753188</v>
      </c>
      <c r="X1407" s="103">
        <v>147</v>
      </c>
      <c r="Y1407" s="162">
        <v>7</v>
      </c>
      <c r="Z1407" s="56">
        <v>1.49</v>
      </c>
      <c r="AA1407" s="56">
        <v>2.14</v>
      </c>
      <c r="AB1407" s="56">
        <v>1.93</v>
      </c>
      <c r="AC1407" s="56">
        <v>0.79559999999999997</v>
      </c>
      <c r="AD1407" s="56">
        <v>2.1800000000000002</v>
      </c>
      <c r="AE1407" s="56">
        <v>3</v>
      </c>
      <c r="AF1407" s="56">
        <f t="shared" si="338"/>
        <v>2.14</v>
      </c>
      <c r="AG1407" s="57">
        <v>1.85</v>
      </c>
      <c r="AH1407" s="103">
        <v>7.4599999999999993E-12</v>
      </c>
      <c r="AI1407" s="103">
        <v>3.1999999999999998E-10</v>
      </c>
      <c r="AJ1407" s="62">
        <f t="shared" si="339"/>
        <v>-9.5158274988399825</v>
      </c>
      <c r="AK1407" s="62">
        <f t="shared" si="340"/>
        <v>-7.8834163479927462</v>
      </c>
      <c r="AL1407" s="62">
        <f t="shared" si="341"/>
        <v>-7.8834163479927462</v>
      </c>
      <c r="AM1407" s="62">
        <v>-13.869820000000001</v>
      </c>
      <c r="AN1407" s="154">
        <v>-8.64</v>
      </c>
      <c r="AO1407" s="410">
        <v>14.31</v>
      </c>
      <c r="AP1407" s="410">
        <v>0.49</v>
      </c>
      <c r="AQ1407" s="154" t="s">
        <v>6311</v>
      </c>
      <c r="AR1407" s="154" t="s">
        <v>6311</v>
      </c>
      <c r="AS1407" s="149" t="s">
        <v>6</v>
      </c>
      <c r="AT1407" s="58" t="s">
        <v>266</v>
      </c>
      <c r="AU1407" s="56">
        <v>8</v>
      </c>
      <c r="AV1407" s="56">
        <v>144</v>
      </c>
      <c r="AW1407" s="56">
        <v>120</v>
      </c>
      <c r="AX1407" s="56">
        <v>26</v>
      </c>
      <c r="AY1407" s="56" t="s">
        <v>267</v>
      </c>
      <c r="AZ1407" s="56" t="s">
        <v>268</v>
      </c>
      <c r="BA1407" s="56">
        <v>2</v>
      </c>
      <c r="BB1407" s="55" t="s">
        <v>888</v>
      </c>
      <c r="BC1407" s="55" t="s">
        <v>270</v>
      </c>
      <c r="BD1407" s="55" t="s">
        <v>8374</v>
      </c>
      <c r="BE1407" s="56" t="s">
        <v>889</v>
      </c>
      <c r="BF1407" s="56" t="s">
        <v>272</v>
      </c>
      <c r="BG1407" s="56" t="s">
        <v>272</v>
      </c>
      <c r="BH1407" s="56" t="s">
        <v>890</v>
      </c>
      <c r="BI1407" s="153">
        <v>2.353E-4</v>
      </c>
      <c r="BJ1407" s="153">
        <v>18.824000000000002</v>
      </c>
      <c r="BK1407" s="56"/>
      <c r="BL1407" s="153">
        <v>554.94881347532248</v>
      </c>
      <c r="BM1407" s="56" t="s">
        <v>891</v>
      </c>
      <c r="BN1407" s="162"/>
      <c r="BO1407" s="162"/>
      <c r="BP1407" s="162"/>
      <c r="BQ1407" s="162"/>
      <c r="BR1407" s="162"/>
      <c r="BS1407" s="56">
        <v>1.2063526028620322</v>
      </c>
      <c r="BT1407" s="162"/>
      <c r="BU1407" s="158"/>
      <c r="BV1407" s="162"/>
      <c r="BW1407" s="162"/>
      <c r="BX1407" s="162"/>
      <c r="BY1407" s="162"/>
      <c r="BZ1407" s="162"/>
      <c r="CA1407" s="162"/>
      <c r="CB1407" s="162"/>
      <c r="CC1407" s="56"/>
      <c r="CD1407" s="56"/>
      <c r="CE1407" s="56"/>
      <c r="CF1407" s="56"/>
      <c r="CG1407" s="56"/>
      <c r="CH1407" s="56"/>
      <c r="CI1407" s="103">
        <v>1.2063526028620322</v>
      </c>
      <c r="CJ1407" s="103">
        <f t="shared" si="336"/>
        <v>8.1474265594791068E-2</v>
      </c>
      <c r="CK1407" s="57">
        <f t="shared" si="331"/>
        <v>29.480918692909182</v>
      </c>
      <c r="CL1407" s="160">
        <f t="shared" si="342"/>
        <v>460.02206333266457</v>
      </c>
      <c r="CM1407" s="160">
        <v>0.53387857024969654</v>
      </c>
      <c r="CN1407" s="160">
        <f t="shared" ref="CN1407:CN1418" si="344">BJ1407/(10^CM1407)</f>
        <v>5.5059637011468858</v>
      </c>
      <c r="CO1407" s="55" t="s">
        <v>892</v>
      </c>
      <c r="CP1407" s="497" t="s">
        <v>893</v>
      </c>
      <c r="CQ1407" s="149">
        <v>0.55203953188723331</v>
      </c>
      <c r="CR1407" s="349">
        <f t="shared" ref="CR1407:CR1418" si="345">10^(CJ1407-CQ1407)</f>
        <v>0.338403412376586</v>
      </c>
      <c r="CS1407" s="61" t="s">
        <v>539</v>
      </c>
      <c r="CT1407" s="61"/>
      <c r="CU1407" s="111">
        <f t="shared" si="343"/>
        <v>121.8549200716667</v>
      </c>
      <c r="CV1407" s="331">
        <f t="shared" si="334"/>
        <v>7.8091797705057369</v>
      </c>
      <c r="CW1407" s="326">
        <f t="shared" si="337"/>
        <v>1</v>
      </c>
      <c r="CX1407" s="326" t="s">
        <v>539</v>
      </c>
      <c r="CY1407" s="161" t="s">
        <v>5921</v>
      </c>
    </row>
    <row r="1408" spans="1:103" ht="11.25" customHeight="1" x14ac:dyDescent="0.2">
      <c r="A1408" s="72">
        <v>360</v>
      </c>
      <c r="B1408" s="149">
        <v>208</v>
      </c>
      <c r="C1408" s="54" t="s">
        <v>998</v>
      </c>
      <c r="D1408" s="54" t="s">
        <v>6675</v>
      </c>
      <c r="E1408" s="59"/>
      <c r="F1408" s="59" t="s">
        <v>999</v>
      </c>
      <c r="G1408" s="151">
        <v>23184669</v>
      </c>
      <c r="H1408" s="55" t="s">
        <v>1000</v>
      </c>
      <c r="I1408" s="55" t="s">
        <v>7949</v>
      </c>
      <c r="J1408" s="55" t="s">
        <v>1001</v>
      </c>
      <c r="K1408" s="55" t="s">
        <v>924</v>
      </c>
      <c r="L1408" s="55" t="s">
        <v>5954</v>
      </c>
      <c r="M1408" s="55" t="s">
        <v>6082</v>
      </c>
      <c r="N1408" s="60" t="s">
        <v>6082</v>
      </c>
      <c r="O1408" s="55" t="s">
        <v>6083</v>
      </c>
      <c r="P1408" s="67"/>
      <c r="Q1408" s="67"/>
      <c r="R1408" s="67"/>
      <c r="S1408" s="67"/>
      <c r="T1408" s="56">
        <v>311.85000000000002</v>
      </c>
      <c r="U1408" s="103">
        <v>20.000000000000004</v>
      </c>
      <c r="V1408" s="103">
        <v>1.5019999999999998</v>
      </c>
      <c r="W1408" s="103">
        <v>83.935512860460904</v>
      </c>
      <c r="X1408" s="103">
        <v>20.000000000000004</v>
      </c>
      <c r="Y1408" s="162">
        <v>7</v>
      </c>
      <c r="Z1408" s="56">
        <v>4.84</v>
      </c>
      <c r="AA1408" s="56">
        <v>4.5</v>
      </c>
      <c r="AB1408" s="56">
        <v>3.97</v>
      </c>
      <c r="AC1408" s="56">
        <v>0.87309999999999999</v>
      </c>
      <c r="AD1408" s="56">
        <v>4.0999999999999996</v>
      </c>
      <c r="AE1408" s="56">
        <v>4.51</v>
      </c>
      <c r="AF1408" s="56">
        <f t="shared" si="338"/>
        <v>4.5</v>
      </c>
      <c r="AG1408" s="57">
        <v>4.5</v>
      </c>
      <c r="AH1408" s="103">
        <v>5.2199999999999998E-8</v>
      </c>
      <c r="AI1408" s="103">
        <v>5.1E-8</v>
      </c>
      <c r="AJ1408" s="62">
        <f t="shared" si="339"/>
        <v>-5.6708958233103894</v>
      </c>
      <c r="AK1408" s="62">
        <f t="shared" si="340"/>
        <v>-5.6809961502147157</v>
      </c>
      <c r="AL1408" s="62">
        <f t="shared" si="341"/>
        <v>-5.6809961502147157</v>
      </c>
      <c r="AM1408" s="62">
        <v>-11.024289999999999</v>
      </c>
      <c r="AN1408" s="154">
        <v>-4.9400000000000004</v>
      </c>
      <c r="AO1408" s="410"/>
      <c r="AP1408" s="410">
        <v>1.2</v>
      </c>
      <c r="AQ1408" s="154" t="s">
        <v>6311</v>
      </c>
      <c r="AR1408" s="154" t="s">
        <v>6311</v>
      </c>
      <c r="AS1408" s="149" t="s">
        <v>6</v>
      </c>
      <c r="AT1408" s="58" t="s">
        <v>266</v>
      </c>
      <c r="AU1408" s="56">
        <v>8</v>
      </c>
      <c r="AV1408" s="56">
        <v>144</v>
      </c>
      <c r="AW1408" s="56">
        <v>120</v>
      </c>
      <c r="AX1408" s="56">
        <v>26</v>
      </c>
      <c r="AY1408" s="56" t="s">
        <v>267</v>
      </c>
      <c r="AZ1408" s="56" t="s">
        <v>268</v>
      </c>
      <c r="BA1408" s="56">
        <v>2</v>
      </c>
      <c r="BB1408" s="55" t="s">
        <v>888</v>
      </c>
      <c r="BC1408" s="55" t="s">
        <v>270</v>
      </c>
      <c r="BD1408" s="55" t="s">
        <v>8374</v>
      </c>
      <c r="BE1408" s="56" t="s">
        <v>889</v>
      </c>
      <c r="BF1408" s="56" t="s">
        <v>272</v>
      </c>
      <c r="BG1408" s="56" t="s">
        <v>272</v>
      </c>
      <c r="BH1408" s="56" t="s">
        <v>890</v>
      </c>
      <c r="BI1408" s="153">
        <v>3.1185000000000002E-4</v>
      </c>
      <c r="BJ1408" s="153">
        <v>24.948000000000004</v>
      </c>
      <c r="BK1408" s="56"/>
      <c r="BL1408" s="153">
        <v>0.72101076403112896</v>
      </c>
      <c r="BM1408" s="56" t="s">
        <v>891</v>
      </c>
      <c r="BN1408" s="162"/>
      <c r="BO1408" s="162"/>
      <c r="BP1408" s="162"/>
      <c r="BQ1408" s="162"/>
      <c r="BR1408" s="162"/>
      <c r="BS1408" s="56">
        <v>1.5988145312474489</v>
      </c>
      <c r="BT1408" s="162"/>
      <c r="BU1408" s="158"/>
      <c r="BV1408" s="162"/>
      <c r="BW1408" s="162"/>
      <c r="BX1408" s="162"/>
      <c r="BY1408" s="162"/>
      <c r="BZ1408" s="162"/>
      <c r="CA1408" s="162"/>
      <c r="CB1408" s="162"/>
      <c r="CC1408" s="56"/>
      <c r="CD1408" s="56"/>
      <c r="CE1408" s="56"/>
      <c r="CF1408" s="56"/>
      <c r="CG1408" s="56"/>
      <c r="CH1408" s="56"/>
      <c r="CI1408" s="103">
        <v>1.5988145312474489</v>
      </c>
      <c r="CJ1408" s="103">
        <f t="shared" si="336"/>
        <v>0.20379808680592021</v>
      </c>
      <c r="CK1408" s="57">
        <f t="shared" si="331"/>
        <v>2.8900543692124775E-2</v>
      </c>
      <c r="CL1408" s="160">
        <f t="shared" si="342"/>
        <v>0.4509658562263455</v>
      </c>
      <c r="CM1408" s="160">
        <v>-0.35192693557407156</v>
      </c>
      <c r="CN1408" s="160">
        <f t="shared" si="344"/>
        <v>56.099975417611397</v>
      </c>
      <c r="CO1408" s="55" t="s">
        <v>892</v>
      </c>
      <c r="CP1408" s="497" t="s">
        <v>893</v>
      </c>
      <c r="CQ1408" s="149">
        <v>-0.35192693557407156</v>
      </c>
      <c r="CR1408" s="349">
        <f t="shared" si="345"/>
        <v>3.5952162858867149</v>
      </c>
      <c r="CS1408" s="61" t="s">
        <v>539</v>
      </c>
      <c r="CT1408" s="61"/>
      <c r="CU1408" s="111">
        <f t="shared" si="343"/>
        <v>12.509268341710236</v>
      </c>
      <c r="CV1408" s="331">
        <f t="shared" si="334"/>
        <v>0.80166746833413505</v>
      </c>
      <c r="CW1408" s="326">
        <f t="shared" si="337"/>
        <v>1</v>
      </c>
      <c r="CX1408" s="326" t="s">
        <v>539</v>
      </c>
      <c r="CY1408" s="161" t="s">
        <v>5921</v>
      </c>
    </row>
    <row r="1409" spans="1:103" ht="11.25" customHeight="1" x14ac:dyDescent="0.2">
      <c r="A1409" s="72">
        <v>361</v>
      </c>
      <c r="B1409" s="149">
        <v>193</v>
      </c>
      <c r="C1409" s="54" t="s">
        <v>953</v>
      </c>
      <c r="D1409" s="54" t="s">
        <v>6676</v>
      </c>
      <c r="E1409" s="59"/>
      <c r="F1409" s="59" t="s">
        <v>954</v>
      </c>
      <c r="G1409" s="151">
        <v>131860338</v>
      </c>
      <c r="H1409" s="55" t="s">
        <v>955</v>
      </c>
      <c r="I1409" s="55"/>
      <c r="J1409" s="55" t="s">
        <v>956</v>
      </c>
      <c r="K1409" s="55" t="s">
        <v>957</v>
      </c>
      <c r="L1409" s="55" t="s">
        <v>5929</v>
      </c>
      <c r="M1409" s="55" t="s">
        <v>5945</v>
      </c>
      <c r="N1409" s="60" t="s">
        <v>6381</v>
      </c>
      <c r="O1409" s="55" t="s">
        <v>5944</v>
      </c>
      <c r="P1409" s="67"/>
      <c r="Q1409" s="67"/>
      <c r="R1409" s="67"/>
      <c r="S1409" s="67"/>
      <c r="T1409" s="56">
        <v>403.39</v>
      </c>
      <c r="U1409" s="103">
        <v>6</v>
      </c>
      <c r="V1409" s="103">
        <v>11.61</v>
      </c>
      <c r="W1409" s="103">
        <v>0.3595217159337713</v>
      </c>
      <c r="X1409" s="103">
        <v>6</v>
      </c>
      <c r="Y1409" s="162">
        <v>7</v>
      </c>
      <c r="Z1409" s="56">
        <v>1.58</v>
      </c>
      <c r="AA1409" s="56">
        <v>2.5</v>
      </c>
      <c r="AB1409" s="56">
        <v>2.86</v>
      </c>
      <c r="AC1409" s="56">
        <v>0.7379</v>
      </c>
      <c r="AD1409" s="56">
        <v>3.54</v>
      </c>
      <c r="AE1409" s="56">
        <v>5.13</v>
      </c>
      <c r="AF1409" s="56">
        <f t="shared" si="338"/>
        <v>2.5</v>
      </c>
      <c r="AG1409" s="57">
        <v>3.32</v>
      </c>
      <c r="AH1409" s="103">
        <v>8.0099999999999994E-14</v>
      </c>
      <c r="AI1409" s="103">
        <v>7.3000000000000004E-14</v>
      </c>
      <c r="AJ1409" s="62">
        <f t="shared" si="339"/>
        <v>-11.484933810228414</v>
      </c>
      <c r="AK1409" s="62">
        <f t="shared" si="340"/>
        <v>-11.525243466192196</v>
      </c>
      <c r="AL1409" s="62">
        <f t="shared" si="341"/>
        <v>-11.525243466192196</v>
      </c>
      <c r="AM1409" s="62">
        <v>-20.836600000000001</v>
      </c>
      <c r="AN1409" s="154">
        <v>-10.4</v>
      </c>
      <c r="AO1409" s="410"/>
      <c r="AP1409" s="410">
        <v>-0.93</v>
      </c>
      <c r="AQ1409" s="154" t="s">
        <v>6311</v>
      </c>
      <c r="AR1409" s="154" t="s">
        <v>6312</v>
      </c>
      <c r="AS1409" s="149" t="s">
        <v>6</v>
      </c>
      <c r="AT1409" s="58" t="s">
        <v>266</v>
      </c>
      <c r="AU1409" s="56">
        <v>8</v>
      </c>
      <c r="AV1409" s="56">
        <v>144</v>
      </c>
      <c r="AW1409" s="56">
        <v>120</v>
      </c>
      <c r="AX1409" s="56">
        <v>26</v>
      </c>
      <c r="AY1409" s="56" t="s">
        <v>267</v>
      </c>
      <c r="AZ1409" s="56" t="s">
        <v>268</v>
      </c>
      <c r="BA1409" s="56">
        <v>2</v>
      </c>
      <c r="BB1409" s="55" t="s">
        <v>888</v>
      </c>
      <c r="BC1409" s="55" t="s">
        <v>270</v>
      </c>
      <c r="BD1409" s="55" t="s">
        <v>8374</v>
      </c>
      <c r="BE1409" s="56" t="s">
        <v>889</v>
      </c>
      <c r="BF1409" s="56" t="s">
        <v>272</v>
      </c>
      <c r="BG1409" s="56" t="s">
        <v>272</v>
      </c>
      <c r="BH1409" s="56" t="s">
        <v>890</v>
      </c>
      <c r="BI1409" s="153">
        <v>4.0338999999999994E-4</v>
      </c>
      <c r="BJ1409" s="153">
        <v>32.2712</v>
      </c>
      <c r="BK1409" s="56"/>
      <c r="BL1409" s="153">
        <v>789.81818328118436</v>
      </c>
      <c r="BM1409" s="56" t="s">
        <v>891</v>
      </c>
      <c r="BN1409" s="162"/>
      <c r="BO1409" s="162"/>
      <c r="BP1409" s="162"/>
      <c r="BQ1409" s="162"/>
      <c r="BR1409" s="162"/>
      <c r="BS1409" s="56">
        <v>2.0681282467850197</v>
      </c>
      <c r="BT1409" s="162"/>
      <c r="BU1409" s="158"/>
      <c r="BV1409" s="162"/>
      <c r="BW1409" s="162"/>
      <c r="BX1409" s="162"/>
      <c r="BY1409" s="162"/>
      <c r="BZ1409" s="162"/>
      <c r="CA1409" s="162"/>
      <c r="CB1409" s="162"/>
      <c r="CC1409" s="56"/>
      <c r="CD1409" s="56"/>
      <c r="CE1409" s="56"/>
      <c r="CF1409" s="56"/>
      <c r="CG1409" s="56"/>
      <c r="CH1409" s="56"/>
      <c r="CI1409" s="103">
        <v>2.0681282467850197</v>
      </c>
      <c r="CJ1409" s="103">
        <f t="shared" si="336"/>
        <v>0.31557746630977229</v>
      </c>
      <c r="CK1409" s="57">
        <f t="shared" si="331"/>
        <v>24.474397706970436</v>
      </c>
      <c r="CL1409" s="160">
        <f t="shared" si="342"/>
        <v>381.90000282090114</v>
      </c>
      <c r="CM1409" s="160">
        <v>-0.32790214206428253</v>
      </c>
      <c r="CN1409" s="160">
        <f t="shared" si="344"/>
        <v>68.662127659574466</v>
      </c>
      <c r="CO1409" s="55" t="s">
        <v>892</v>
      </c>
      <c r="CP1409" s="497" t="s">
        <v>893</v>
      </c>
      <c r="CQ1409" s="149">
        <v>-0.14325472845302872</v>
      </c>
      <c r="CR1409" s="349">
        <f t="shared" si="345"/>
        <v>2.8762868435003135</v>
      </c>
      <c r="CS1409" s="61" t="s">
        <v>539</v>
      </c>
      <c r="CT1409" s="61"/>
      <c r="CU1409" s="111">
        <f t="shared" si="343"/>
        <v>2.9011740492047422</v>
      </c>
      <c r="CV1409" s="331">
        <f t="shared" si="334"/>
        <v>0.1859242916284489</v>
      </c>
      <c r="CW1409" s="326">
        <f t="shared" si="337"/>
        <v>1</v>
      </c>
      <c r="CX1409" s="326" t="s">
        <v>539</v>
      </c>
      <c r="CY1409" s="161" t="s">
        <v>5921</v>
      </c>
    </row>
    <row r="1410" spans="1:103" ht="11.25" customHeight="1" x14ac:dyDescent="0.2">
      <c r="A1410" s="72">
        <v>362</v>
      </c>
      <c r="B1410" s="149">
        <v>266</v>
      </c>
      <c r="C1410" s="54" t="s">
        <v>1108</v>
      </c>
      <c r="D1410" s="54" t="s">
        <v>6672</v>
      </c>
      <c r="E1410" s="59"/>
      <c r="F1410" s="59" t="s">
        <v>1109</v>
      </c>
      <c r="G1410" s="151">
        <v>119446683</v>
      </c>
      <c r="H1410" s="55" t="s">
        <v>1110</v>
      </c>
      <c r="I1410" s="55" t="s">
        <v>7954</v>
      </c>
      <c r="J1410" s="55" t="s">
        <v>1111</v>
      </c>
      <c r="K1410" s="55" t="s">
        <v>1112</v>
      </c>
      <c r="L1410" s="55" t="s">
        <v>5929</v>
      </c>
      <c r="M1410" s="55" t="s">
        <v>6082</v>
      </c>
      <c r="N1410" s="60" t="s">
        <v>6082</v>
      </c>
      <c r="O1410" s="55" t="s">
        <v>6083</v>
      </c>
      <c r="P1410" s="67"/>
      <c r="Q1410" s="67"/>
      <c r="R1410" s="67"/>
      <c r="S1410" s="67"/>
      <c r="T1410" s="56">
        <v>406.26</v>
      </c>
      <c r="U1410" s="103">
        <v>15</v>
      </c>
      <c r="V1410" s="103">
        <v>0.59560000000000002</v>
      </c>
      <c r="W1410" s="103">
        <v>0.52336426287085225</v>
      </c>
      <c r="X1410" s="103">
        <v>15</v>
      </c>
      <c r="Y1410" s="162">
        <v>7</v>
      </c>
      <c r="Z1410" s="56">
        <v>5.2</v>
      </c>
      <c r="AA1410" s="56">
        <v>4.3</v>
      </c>
      <c r="AB1410" s="56">
        <v>3.84</v>
      </c>
      <c r="AC1410" s="56">
        <v>0.90800000000000003</v>
      </c>
      <c r="AD1410" s="56">
        <v>4</v>
      </c>
      <c r="AE1410" s="56">
        <v>4.92</v>
      </c>
      <c r="AF1410" s="56">
        <f t="shared" si="338"/>
        <v>4.3</v>
      </c>
      <c r="AG1410" s="57">
        <v>4.37</v>
      </c>
      <c r="AH1410" s="103">
        <v>1.6900000000000001E-11</v>
      </c>
      <c r="AI1410" s="103">
        <v>8.9099999999999998E-12</v>
      </c>
      <c r="AJ1410" s="62">
        <f t="shared" si="339"/>
        <v>-9.1606796216989785</v>
      </c>
      <c r="AK1410" s="62">
        <f t="shared" si="340"/>
        <v>-9.4386886222757767</v>
      </c>
      <c r="AL1410" s="62">
        <f t="shared" si="341"/>
        <v>-9.4386886222757767</v>
      </c>
      <c r="AM1410" s="62">
        <v>-16.91262</v>
      </c>
      <c r="AN1410" s="154">
        <v>-10.1</v>
      </c>
      <c r="AO1410" s="410"/>
      <c r="AP1410" s="410">
        <v>2.94</v>
      </c>
      <c r="AQ1410" s="154" t="s">
        <v>6311</v>
      </c>
      <c r="AR1410" s="154" t="s">
        <v>6311</v>
      </c>
      <c r="AS1410" s="149" t="s">
        <v>6</v>
      </c>
      <c r="AT1410" s="58" t="s">
        <v>266</v>
      </c>
      <c r="AU1410" s="56">
        <v>8</v>
      </c>
      <c r="AV1410" s="56">
        <v>144</v>
      </c>
      <c r="AW1410" s="56">
        <v>120</v>
      </c>
      <c r="AX1410" s="56">
        <v>26</v>
      </c>
      <c r="AY1410" s="56" t="s">
        <v>267</v>
      </c>
      <c r="AZ1410" s="56" t="s">
        <v>268</v>
      </c>
      <c r="BA1410" s="56">
        <v>4</v>
      </c>
      <c r="BB1410" s="55" t="s">
        <v>888</v>
      </c>
      <c r="BC1410" s="55" t="s">
        <v>270</v>
      </c>
      <c r="BD1410" s="55" t="s">
        <v>8374</v>
      </c>
      <c r="BE1410" s="56" t="s">
        <v>889</v>
      </c>
      <c r="BF1410" s="56" t="s">
        <v>272</v>
      </c>
      <c r="BG1410" s="56" t="s">
        <v>272</v>
      </c>
      <c r="BH1410" s="56" t="s">
        <v>890</v>
      </c>
      <c r="BI1410" s="153">
        <v>4.0625999999999998E-4</v>
      </c>
      <c r="BJ1410" s="153">
        <v>32.500799999999998</v>
      </c>
      <c r="BK1410" s="56"/>
      <c r="BL1410" s="153">
        <v>0.44615325332090677</v>
      </c>
      <c r="BM1410" s="56" t="s">
        <v>891</v>
      </c>
      <c r="BN1410" s="162"/>
      <c r="BO1410" s="162"/>
      <c r="BP1410" s="162"/>
      <c r="BQ1410" s="162"/>
      <c r="BR1410" s="162"/>
      <c r="BS1410" s="56">
        <v>2.0828423648054786</v>
      </c>
      <c r="BT1410" s="162"/>
      <c r="BU1410" s="158"/>
      <c r="BV1410" s="162"/>
      <c r="BW1410" s="162"/>
      <c r="BX1410" s="162"/>
      <c r="BY1410" s="162"/>
      <c r="BZ1410" s="162"/>
      <c r="CA1410" s="162"/>
      <c r="CB1410" s="162"/>
      <c r="CC1410" s="56"/>
      <c r="CD1410" s="56"/>
      <c r="CE1410" s="56"/>
      <c r="CF1410" s="56"/>
      <c r="CG1410" s="56"/>
      <c r="CH1410" s="56"/>
      <c r="CI1410" s="103">
        <v>2.0828423648054786</v>
      </c>
      <c r="CJ1410" s="103">
        <f t="shared" si="336"/>
        <v>0.3186564025998378</v>
      </c>
      <c r="CK1410" s="57">
        <f t="shared" si="331"/>
        <v>1.3727454503301666E-2</v>
      </c>
      <c r="CL1410" s="160">
        <f t="shared" si="342"/>
        <v>0.21420404196674483</v>
      </c>
      <c r="CM1410" s="160">
        <v>-0.56942632441649743</v>
      </c>
      <c r="CN1410" s="160">
        <f t="shared" si="344"/>
        <v>120.59252137775186</v>
      </c>
      <c r="CO1410" s="55" t="s">
        <v>892</v>
      </c>
      <c r="CP1410" s="497" t="s">
        <v>893</v>
      </c>
      <c r="CQ1410" s="149">
        <v>-0.25118258279645472</v>
      </c>
      <c r="CR1410" s="349">
        <f t="shared" si="345"/>
        <v>3.713975080071513</v>
      </c>
      <c r="CS1410" s="61" t="s">
        <v>539</v>
      </c>
      <c r="CT1410" s="61"/>
      <c r="CU1410" s="111">
        <f t="shared" si="343"/>
        <v>7.2016971871997066</v>
      </c>
      <c r="CV1410" s="331">
        <f t="shared" si="334"/>
        <v>0.46152710087136317</v>
      </c>
      <c r="CW1410" s="326">
        <f t="shared" si="337"/>
        <v>1</v>
      </c>
      <c r="CX1410" s="326" t="s">
        <v>539</v>
      </c>
      <c r="CY1410" s="161" t="s">
        <v>5921</v>
      </c>
    </row>
    <row r="1411" spans="1:103" ht="11.25" customHeight="1" x14ac:dyDescent="0.2">
      <c r="A1411" s="72">
        <v>363</v>
      </c>
      <c r="B1411" s="149">
        <v>365</v>
      </c>
      <c r="C1411" s="54" t="s">
        <v>1302</v>
      </c>
      <c r="D1411" s="54" t="s">
        <v>6504</v>
      </c>
      <c r="E1411" s="59"/>
      <c r="F1411" s="59" t="s">
        <v>1303</v>
      </c>
      <c r="G1411" s="151">
        <v>6317186</v>
      </c>
      <c r="H1411" s="55" t="s">
        <v>1304</v>
      </c>
      <c r="I1411" s="55"/>
      <c r="J1411" s="55" t="s">
        <v>1305</v>
      </c>
      <c r="K1411" s="55" t="s">
        <v>1306</v>
      </c>
      <c r="L1411" s="55" t="s">
        <v>5998</v>
      </c>
      <c r="M1411" s="55" t="s">
        <v>6088</v>
      </c>
      <c r="N1411" s="60" t="s">
        <v>6088</v>
      </c>
      <c r="O1411" s="55" t="s">
        <v>6083</v>
      </c>
      <c r="P1411" s="67"/>
      <c r="Q1411" s="67"/>
      <c r="R1411" s="67"/>
      <c r="S1411" s="67"/>
      <c r="T1411" s="56">
        <v>130.19</v>
      </c>
      <c r="U1411" s="103"/>
      <c r="V1411" s="103">
        <v>27170</v>
      </c>
      <c r="W1411" s="103">
        <v>27834.128443229551</v>
      </c>
      <c r="X1411" s="103">
        <v>27834.128443229551</v>
      </c>
      <c r="Y1411" s="162">
        <v>7</v>
      </c>
      <c r="Z1411" s="56">
        <v>0.62</v>
      </c>
      <c r="AA1411" s="56"/>
      <c r="AB1411" s="56">
        <v>0.81</v>
      </c>
      <c r="AC1411" s="56">
        <v>0.60450000000000004</v>
      </c>
      <c r="AD1411" s="56">
        <v>0.8</v>
      </c>
      <c r="AE1411" s="56">
        <v>0.8</v>
      </c>
      <c r="AF1411" s="56">
        <f t="shared" si="338"/>
        <v>0.8</v>
      </c>
      <c r="AG1411" s="57">
        <v>1.36</v>
      </c>
      <c r="AH1411" s="103">
        <v>2.6099999999999999E-8</v>
      </c>
      <c r="AI1411" s="103"/>
      <c r="AJ1411" s="62">
        <f t="shared" si="339"/>
        <v>-5.9719258189743707</v>
      </c>
      <c r="AK1411" s="62"/>
      <c r="AL1411" s="62">
        <f t="shared" si="341"/>
        <v>-5.9719258189743707</v>
      </c>
      <c r="AM1411" s="62">
        <v>-8.0618999999999996</v>
      </c>
      <c r="AN1411" s="154">
        <v>-11.9</v>
      </c>
      <c r="AO1411" s="410"/>
      <c r="AP1411" s="410"/>
      <c r="AQ1411" s="154" t="s">
        <v>6311</v>
      </c>
      <c r="AR1411" s="154" t="s">
        <v>6311</v>
      </c>
      <c r="AS1411" s="149" t="s">
        <v>6</v>
      </c>
      <c r="AT1411" s="58" t="s">
        <v>266</v>
      </c>
      <c r="AU1411" s="56">
        <v>8</v>
      </c>
      <c r="AV1411" s="56">
        <v>144</v>
      </c>
      <c r="AW1411" s="56">
        <v>120</v>
      </c>
      <c r="AX1411" s="56">
        <v>26</v>
      </c>
      <c r="AY1411" s="56" t="s">
        <v>267</v>
      </c>
      <c r="AZ1411" s="56" t="s">
        <v>268</v>
      </c>
      <c r="BA1411" s="56">
        <v>2</v>
      </c>
      <c r="BB1411" s="55" t="s">
        <v>888</v>
      </c>
      <c r="BC1411" s="55" t="s">
        <v>270</v>
      </c>
      <c r="BD1411" s="55" t="s">
        <v>8374</v>
      </c>
      <c r="BE1411" s="56" t="s">
        <v>889</v>
      </c>
      <c r="BF1411" s="56" t="s">
        <v>272</v>
      </c>
      <c r="BG1411" s="56" t="s">
        <v>272</v>
      </c>
      <c r="BH1411" s="56" t="s">
        <v>890</v>
      </c>
      <c r="BI1411" s="153">
        <v>1.3019E-4</v>
      </c>
      <c r="BJ1411" s="153">
        <v>10.4152</v>
      </c>
      <c r="BK1411" s="56"/>
      <c r="BL1411" s="153">
        <v>1855.9045094121504</v>
      </c>
      <c r="BM1411" s="56" t="s">
        <v>891</v>
      </c>
      <c r="BN1411" s="162"/>
      <c r="BO1411" s="162"/>
      <c r="BP1411" s="162"/>
      <c r="BQ1411" s="162"/>
      <c r="BR1411" s="162"/>
      <c r="BS1411" s="56">
        <v>0.66746725612668067</v>
      </c>
      <c r="BT1411" s="162"/>
      <c r="BU1411" s="158"/>
      <c r="BV1411" s="162"/>
      <c r="BW1411" s="162"/>
      <c r="BX1411" s="162"/>
      <c r="BY1411" s="162"/>
      <c r="BZ1411" s="162"/>
      <c r="CA1411" s="162"/>
      <c r="CB1411" s="162"/>
      <c r="CC1411" s="56"/>
      <c r="CD1411" s="56"/>
      <c r="CE1411" s="56"/>
      <c r="CF1411" s="56"/>
      <c r="CG1411" s="56"/>
      <c r="CH1411" s="56"/>
      <c r="CI1411" s="103">
        <v>0.66746725612668067</v>
      </c>
      <c r="CJ1411" s="103">
        <f t="shared" si="336"/>
        <v>-0.17557003458106421</v>
      </c>
      <c r="CK1411" s="57">
        <f t="shared" si="331"/>
        <v>178.19192232622996</v>
      </c>
      <c r="CL1411" s="160">
        <f t="shared" si="342"/>
        <v>2780.5176843909667</v>
      </c>
      <c r="CM1411" s="160">
        <v>-0.78272648563652059</v>
      </c>
      <c r="CN1411" s="160">
        <f t="shared" si="344"/>
        <v>63.153016527960077</v>
      </c>
      <c r="CO1411" s="55" t="s">
        <v>892</v>
      </c>
      <c r="CP1411" s="497" t="s">
        <v>893</v>
      </c>
      <c r="CQ1411" s="149">
        <v>-0.4374264429082072</v>
      </c>
      <c r="CR1411" s="349">
        <f t="shared" si="345"/>
        <v>1.8274958875397922</v>
      </c>
      <c r="CS1411" s="61" t="s">
        <v>539</v>
      </c>
      <c r="CT1411" s="61"/>
      <c r="CU1411" s="111">
        <f t="shared" si="343"/>
        <v>41701.114455788113</v>
      </c>
      <c r="CV1411" s="331">
        <f t="shared" si="334"/>
        <v>2672.452611877789</v>
      </c>
      <c r="CW1411" s="326">
        <f t="shared" si="337"/>
        <v>1</v>
      </c>
      <c r="CX1411" s="326" t="s">
        <v>539</v>
      </c>
      <c r="CY1411" s="161" t="s">
        <v>5921</v>
      </c>
    </row>
    <row r="1412" spans="1:103" ht="11.25" customHeight="1" x14ac:dyDescent="0.2">
      <c r="A1412" s="72">
        <v>364</v>
      </c>
      <c r="B1412" s="149">
        <v>405</v>
      </c>
      <c r="C1412" s="54" t="s">
        <v>1387</v>
      </c>
      <c r="D1412" s="54" t="s">
        <v>6677</v>
      </c>
      <c r="E1412" s="59"/>
      <c r="F1412" s="59" t="s">
        <v>1388</v>
      </c>
      <c r="G1412" s="151">
        <v>86209510</v>
      </c>
      <c r="H1412" s="55" t="s">
        <v>1389</v>
      </c>
      <c r="I1412" s="55" t="s">
        <v>1389</v>
      </c>
      <c r="J1412" s="55" t="s">
        <v>1390</v>
      </c>
      <c r="K1412" s="55" t="s">
        <v>1391</v>
      </c>
      <c r="L1412" s="55" t="s">
        <v>6006</v>
      </c>
      <c r="M1412" s="55" t="s">
        <v>6082</v>
      </c>
      <c r="N1412" s="60" t="s">
        <v>6082</v>
      </c>
      <c r="O1412" s="55" t="s">
        <v>6083</v>
      </c>
      <c r="P1412" s="67"/>
      <c r="Q1412" s="67"/>
      <c r="R1412" s="67"/>
      <c r="S1412" s="67"/>
      <c r="T1412" s="56">
        <v>468.34</v>
      </c>
      <c r="U1412" s="103">
        <v>3.3</v>
      </c>
      <c r="V1412" s="103">
        <v>10.029999999999999</v>
      </c>
      <c r="W1412" s="103">
        <v>19.978425183553771</v>
      </c>
      <c r="X1412" s="103">
        <v>3.3</v>
      </c>
      <c r="Y1412" s="162">
        <v>4.42</v>
      </c>
      <c r="Z1412" s="56">
        <v>2.41</v>
      </c>
      <c r="AA1412" s="56"/>
      <c r="AB1412" s="56">
        <v>1.99</v>
      </c>
      <c r="AC1412" s="56">
        <v>0.65010000000000001</v>
      </c>
      <c r="AD1412" s="56">
        <v>2.2599999999999998</v>
      </c>
      <c r="AE1412" s="56">
        <v>2.93</v>
      </c>
      <c r="AF1412" s="56">
        <f t="shared" si="338"/>
        <v>2.2599999999999998</v>
      </c>
      <c r="AG1412" s="57">
        <v>3.11</v>
      </c>
      <c r="AH1412" s="103">
        <v>1.3899999999999999E-12</v>
      </c>
      <c r="AI1412" s="103"/>
      <c r="AJ1412" s="62">
        <f t="shared" si="339"/>
        <v>-10.245551526058557</v>
      </c>
      <c r="AK1412" s="62"/>
      <c r="AL1412" s="62">
        <f t="shared" si="341"/>
        <v>-10.245551526058557</v>
      </c>
      <c r="AM1412" s="62">
        <v>-24.811799999999998</v>
      </c>
      <c r="AN1412" s="154">
        <v>-18.7</v>
      </c>
      <c r="AO1412" s="410">
        <v>3.78</v>
      </c>
      <c r="AP1412" s="410">
        <v>-4.76</v>
      </c>
      <c r="AQ1412" s="154" t="s">
        <v>6311</v>
      </c>
      <c r="AR1412" s="154" t="s">
        <v>6312</v>
      </c>
      <c r="AS1412" s="149" t="s">
        <v>6</v>
      </c>
      <c r="AT1412" s="58" t="s">
        <v>266</v>
      </c>
      <c r="AU1412" s="56">
        <v>8</v>
      </c>
      <c r="AV1412" s="56">
        <v>144</v>
      </c>
      <c r="AW1412" s="56">
        <v>120</v>
      </c>
      <c r="AX1412" s="56">
        <v>26</v>
      </c>
      <c r="AY1412" s="56" t="s">
        <v>267</v>
      </c>
      <c r="AZ1412" s="56" t="s">
        <v>268</v>
      </c>
      <c r="BA1412" s="56">
        <v>2</v>
      </c>
      <c r="BB1412" s="55" t="s">
        <v>888</v>
      </c>
      <c r="BC1412" s="55" t="s">
        <v>270</v>
      </c>
      <c r="BD1412" s="55" t="s">
        <v>8374</v>
      </c>
      <c r="BE1412" s="56" t="s">
        <v>889</v>
      </c>
      <c r="BF1412" s="56" t="s">
        <v>272</v>
      </c>
      <c r="BG1412" s="56" t="s">
        <v>272</v>
      </c>
      <c r="BH1412" s="56" t="s">
        <v>890</v>
      </c>
      <c r="BI1412" s="153">
        <v>4.6833999999999998E-4</v>
      </c>
      <c r="BJ1412" s="153">
        <v>37.467199999999998</v>
      </c>
      <c r="BK1412" s="56"/>
      <c r="BL1412" s="153">
        <v>164.79356599237158</v>
      </c>
      <c r="BM1412" s="56" t="s">
        <v>891</v>
      </c>
      <c r="BN1412" s="162"/>
      <c r="BO1412" s="162"/>
      <c r="BP1412" s="162"/>
      <c r="BQ1412" s="162"/>
      <c r="BR1412" s="162"/>
      <c r="BS1412" s="56">
        <v>2.4011184786417514</v>
      </c>
      <c r="BT1412" s="162"/>
      <c r="BU1412" s="158"/>
      <c r="BV1412" s="162"/>
      <c r="BW1412" s="162"/>
      <c r="BX1412" s="162"/>
      <c r="BY1412" s="162"/>
      <c r="BZ1412" s="162"/>
      <c r="CA1412" s="162"/>
      <c r="CB1412" s="162"/>
      <c r="CC1412" s="56"/>
      <c r="CD1412" s="56"/>
      <c r="CE1412" s="56"/>
      <c r="CF1412" s="56"/>
      <c r="CG1412" s="56"/>
      <c r="CH1412" s="56"/>
      <c r="CI1412" s="103">
        <v>2.4011184786417514</v>
      </c>
      <c r="CJ1412" s="103">
        <f t="shared" si="336"/>
        <v>0.38041359002406178</v>
      </c>
      <c r="CK1412" s="57">
        <f t="shared" si="331"/>
        <v>4.3983421764202184</v>
      </c>
      <c r="CL1412" s="160">
        <f t="shared" si="342"/>
        <v>68.632001068764794</v>
      </c>
      <c r="CM1412" s="160">
        <v>2.3222192947339191</v>
      </c>
      <c r="CN1412" s="160">
        <f t="shared" si="344"/>
        <v>0.17841523809523813</v>
      </c>
      <c r="CO1412" s="55" t="s">
        <v>892</v>
      </c>
      <c r="CP1412" s="497" t="s">
        <v>893</v>
      </c>
      <c r="CQ1412" s="149">
        <v>2.3222192947339191</v>
      </c>
      <c r="CR1412" s="349">
        <f t="shared" si="345"/>
        <v>1.1433897517341673E-2</v>
      </c>
      <c r="CS1412" s="61" t="s">
        <v>539</v>
      </c>
      <c r="CT1412" s="61"/>
      <c r="CU1412" s="111">
        <f t="shared" si="343"/>
        <v>1.3743595034372156</v>
      </c>
      <c r="CV1412" s="331">
        <f t="shared" si="334"/>
        <v>8.8077038049280437E-2</v>
      </c>
      <c r="CW1412" s="326">
        <f t="shared" si="337"/>
        <v>0</v>
      </c>
      <c r="CX1412" s="326" t="s">
        <v>539</v>
      </c>
      <c r="CY1412" s="161" t="s">
        <v>5921</v>
      </c>
    </row>
    <row r="1413" spans="1:103" ht="11.25" customHeight="1" x14ac:dyDescent="0.2">
      <c r="A1413" s="72">
        <v>365</v>
      </c>
      <c r="B1413" s="149">
        <v>306</v>
      </c>
      <c r="C1413" s="54" t="s">
        <v>1204</v>
      </c>
      <c r="D1413" s="54" t="s">
        <v>6583</v>
      </c>
      <c r="E1413" s="59"/>
      <c r="F1413" s="59" t="s">
        <v>1205</v>
      </c>
      <c r="G1413" s="151">
        <v>131341861</v>
      </c>
      <c r="H1413" s="55" t="s">
        <v>1206</v>
      </c>
      <c r="I1413" s="55" t="s">
        <v>8326</v>
      </c>
      <c r="J1413" s="55" t="s">
        <v>1207</v>
      </c>
      <c r="K1413" s="55" t="s">
        <v>1208</v>
      </c>
      <c r="L1413" s="55" t="s">
        <v>5985</v>
      </c>
      <c r="M1413" s="55" t="s">
        <v>6082</v>
      </c>
      <c r="N1413" s="55" t="s">
        <v>6082</v>
      </c>
      <c r="O1413" s="55" t="s">
        <v>6083</v>
      </c>
      <c r="P1413" s="67"/>
      <c r="Q1413" s="67"/>
      <c r="R1413" s="67"/>
      <c r="S1413" s="67"/>
      <c r="T1413" s="56">
        <v>248.19</v>
      </c>
      <c r="U1413" s="103">
        <v>1.8</v>
      </c>
      <c r="V1413" s="103">
        <v>3.9849999999999994</v>
      </c>
      <c r="W1413" s="103">
        <v>14.281843804770869</v>
      </c>
      <c r="X1413" s="103">
        <v>1.8</v>
      </c>
      <c r="Y1413" s="162">
        <v>7</v>
      </c>
      <c r="Z1413" s="56">
        <v>3.83</v>
      </c>
      <c r="AA1413" s="56">
        <v>4.12</v>
      </c>
      <c r="AB1413" s="56">
        <v>2.25</v>
      </c>
      <c r="AC1413" s="56">
        <v>0.81240000000000001</v>
      </c>
      <c r="AD1413" s="56">
        <v>2.57</v>
      </c>
      <c r="AE1413" s="56">
        <v>3.67</v>
      </c>
      <c r="AF1413" s="56">
        <f t="shared" si="338"/>
        <v>4.12</v>
      </c>
      <c r="AG1413" s="57">
        <v>3.5</v>
      </c>
      <c r="AH1413" s="103">
        <v>3.1000000000000003E-11</v>
      </c>
      <c r="AI1413" s="103">
        <v>5.3200000000000002E-10</v>
      </c>
      <c r="AJ1413" s="62">
        <f t="shared" si="339"/>
        <v>-8.8972046324783793</v>
      </c>
      <c r="AK1413" s="62">
        <f>LOG10(AI1413*1000/(0.08206*298.15))</f>
        <v>-7.6626546940176032</v>
      </c>
      <c r="AL1413" s="62">
        <f t="shared" si="341"/>
        <v>-7.6626546940176032</v>
      </c>
      <c r="AM1413" s="62">
        <v>-12.228909999999999</v>
      </c>
      <c r="AN1413" s="154">
        <v>-5.95</v>
      </c>
      <c r="AO1413" s="410">
        <v>14.1</v>
      </c>
      <c r="AP1413" s="410">
        <v>-9.1300000000000008</v>
      </c>
      <c r="AQ1413" s="154" t="s">
        <v>6311</v>
      </c>
      <c r="AR1413" s="154" t="s">
        <v>6311</v>
      </c>
      <c r="AS1413" s="149" t="s">
        <v>6</v>
      </c>
      <c r="AT1413" s="58" t="s">
        <v>266</v>
      </c>
      <c r="AU1413" s="56">
        <v>8</v>
      </c>
      <c r="AV1413" s="56">
        <v>144</v>
      </c>
      <c r="AW1413" s="56">
        <v>120</v>
      </c>
      <c r="AX1413" s="56">
        <v>26</v>
      </c>
      <c r="AY1413" s="56" t="s">
        <v>267</v>
      </c>
      <c r="AZ1413" s="56" t="s">
        <v>268</v>
      </c>
      <c r="BA1413" s="56">
        <v>2</v>
      </c>
      <c r="BB1413" s="55" t="s">
        <v>888</v>
      </c>
      <c r="BC1413" s="55" t="s">
        <v>270</v>
      </c>
      <c r="BD1413" s="55" t="s">
        <v>8374</v>
      </c>
      <c r="BE1413" s="56" t="s">
        <v>889</v>
      </c>
      <c r="BF1413" s="56" t="s">
        <v>272</v>
      </c>
      <c r="BG1413" s="56" t="s">
        <v>272</v>
      </c>
      <c r="BH1413" s="56" t="s">
        <v>890</v>
      </c>
      <c r="BI1413" s="153">
        <v>2.4818999999999997E-4</v>
      </c>
      <c r="BJ1413" s="153">
        <v>19.8552</v>
      </c>
      <c r="BK1413" s="56"/>
      <c r="BL1413" s="153">
        <v>4.6329891064452102</v>
      </c>
      <c r="BM1413" s="56" t="s">
        <v>891</v>
      </c>
      <c r="BN1413" s="162"/>
      <c r="BO1413" s="162"/>
      <c r="BP1413" s="162"/>
      <c r="BQ1413" s="162"/>
      <c r="BR1413" s="162"/>
      <c r="BS1413" s="56">
        <v>1.272437962194338</v>
      </c>
      <c r="BT1413" s="162"/>
      <c r="BU1413" s="158"/>
      <c r="BV1413" s="162"/>
      <c r="BW1413" s="162"/>
      <c r="BX1413" s="162"/>
      <c r="BY1413" s="162"/>
      <c r="BZ1413" s="162"/>
      <c r="CA1413" s="162"/>
      <c r="CB1413" s="162"/>
      <c r="CC1413" s="56"/>
      <c r="CD1413" s="56"/>
      <c r="CE1413" s="56"/>
      <c r="CF1413" s="56"/>
      <c r="CG1413" s="56"/>
      <c r="CH1413" s="56"/>
      <c r="CI1413" s="103">
        <v>1.272437962194338</v>
      </c>
      <c r="CJ1413" s="103">
        <f t="shared" si="336"/>
        <v>0.10463661746580713</v>
      </c>
      <c r="CK1413" s="57">
        <f t="shared" si="331"/>
        <v>0.23333882844016732</v>
      </c>
      <c r="CL1413" s="160">
        <f t="shared" si="342"/>
        <v>3.6410333895222302</v>
      </c>
      <c r="CM1413" s="160">
        <v>-0.32790214206428298</v>
      </c>
      <c r="CN1413" s="160">
        <f t="shared" si="344"/>
        <v>42.245106382978769</v>
      </c>
      <c r="CO1413" s="55" t="s">
        <v>892</v>
      </c>
      <c r="CP1413" s="497" t="s">
        <v>893</v>
      </c>
      <c r="CQ1413" s="149">
        <v>-0.19844918740428344</v>
      </c>
      <c r="CR1413" s="349">
        <f t="shared" si="345"/>
        <v>2.00948979434783</v>
      </c>
      <c r="CS1413" s="61" t="s">
        <v>539</v>
      </c>
      <c r="CT1413" s="61"/>
      <c r="CU1413" s="111">
        <f t="shared" si="343"/>
        <v>1.4146072763310782</v>
      </c>
      <c r="CV1413" s="331">
        <f t="shared" si="334"/>
        <v>9.0656351988395986E-2</v>
      </c>
      <c r="CW1413" s="326">
        <f t="shared" si="337"/>
        <v>0</v>
      </c>
      <c r="CX1413" s="326" t="s">
        <v>539</v>
      </c>
      <c r="CY1413" s="161" t="s">
        <v>5921</v>
      </c>
    </row>
    <row r="1414" spans="1:103" ht="11.25" customHeight="1" x14ac:dyDescent="0.2">
      <c r="A1414" s="72">
        <v>366</v>
      </c>
      <c r="B1414" s="149">
        <v>479</v>
      </c>
      <c r="C1414" s="54" t="s">
        <v>1547</v>
      </c>
      <c r="D1414" s="54" t="s">
        <v>6678</v>
      </c>
      <c r="E1414" s="59"/>
      <c r="F1414" s="59" t="s">
        <v>1548</v>
      </c>
      <c r="G1414" s="151">
        <v>156052685</v>
      </c>
      <c r="H1414" s="55" t="s">
        <v>1549</v>
      </c>
      <c r="I1414" s="55" t="s">
        <v>8179</v>
      </c>
      <c r="J1414" s="55" t="s">
        <v>1550</v>
      </c>
      <c r="K1414" s="55" t="s">
        <v>1551</v>
      </c>
      <c r="L1414" s="55" t="s">
        <v>6021</v>
      </c>
      <c r="M1414" s="55" t="s">
        <v>6082</v>
      </c>
      <c r="N1414" s="60" t="s">
        <v>6082</v>
      </c>
      <c r="O1414" s="55" t="s">
        <v>6083</v>
      </c>
      <c r="P1414" s="67"/>
      <c r="Q1414" s="67"/>
      <c r="R1414" s="67"/>
      <c r="S1414" s="67"/>
      <c r="T1414" s="56">
        <v>336.64</v>
      </c>
      <c r="U1414" s="103"/>
      <c r="V1414" s="103">
        <v>4.585</v>
      </c>
      <c r="W1414" s="103">
        <v>9.4878042998086478</v>
      </c>
      <c r="X1414" s="103">
        <v>9.4878042998086478</v>
      </c>
      <c r="Y1414" s="162">
        <v>7</v>
      </c>
      <c r="Z1414" s="56">
        <v>4.3499999999999996</v>
      </c>
      <c r="AA1414" s="56">
        <v>3.76</v>
      </c>
      <c r="AB1414" s="56">
        <v>3.82</v>
      </c>
      <c r="AC1414" s="56">
        <v>0.6704</v>
      </c>
      <c r="AD1414" s="56">
        <v>4.21</v>
      </c>
      <c r="AE1414" s="56">
        <v>4.84</v>
      </c>
      <c r="AF1414" s="56">
        <f t="shared" si="338"/>
        <v>3.76</v>
      </c>
      <c r="AG1414" s="57">
        <v>4.3099999999999996</v>
      </c>
      <c r="AH1414" s="103">
        <v>3.2600000000000002E-11</v>
      </c>
      <c r="AI1414" s="103"/>
      <c r="AJ1414" s="62">
        <f t="shared" si="339"/>
        <v>-8.875348726244713</v>
      </c>
      <c r="AK1414" s="62"/>
      <c r="AL1414" s="62">
        <f t="shared" si="341"/>
        <v>-8.875348726244713</v>
      </c>
      <c r="AM1414" s="62">
        <v>-13.971229999999998</v>
      </c>
      <c r="AN1414" s="154">
        <v>-8.7200000000000006</v>
      </c>
      <c r="AO1414" s="410">
        <v>11.2</v>
      </c>
      <c r="AP1414" s="410">
        <v>-2.7</v>
      </c>
      <c r="AQ1414" s="154" t="s">
        <v>6311</v>
      </c>
      <c r="AR1414" s="154" t="s">
        <v>6311</v>
      </c>
      <c r="AS1414" s="149" t="s">
        <v>63</v>
      </c>
      <c r="AT1414" s="58" t="s">
        <v>266</v>
      </c>
      <c r="AU1414" s="56">
        <v>8</v>
      </c>
      <c r="AV1414" s="56">
        <v>144</v>
      </c>
      <c r="AW1414" s="56">
        <v>120</v>
      </c>
      <c r="AX1414" s="56">
        <v>26</v>
      </c>
      <c r="AY1414" s="56" t="s">
        <v>267</v>
      </c>
      <c r="AZ1414" s="56" t="s">
        <v>268</v>
      </c>
      <c r="BA1414" s="56">
        <v>2</v>
      </c>
      <c r="BB1414" s="55" t="s">
        <v>888</v>
      </c>
      <c r="BC1414" s="55" t="s">
        <v>270</v>
      </c>
      <c r="BD1414" s="55" t="s">
        <v>8374</v>
      </c>
      <c r="BE1414" s="56" t="s">
        <v>889</v>
      </c>
      <c r="BF1414" s="56" t="s">
        <v>272</v>
      </c>
      <c r="BG1414" s="56" t="s">
        <v>272</v>
      </c>
      <c r="BH1414" s="56" t="s">
        <v>890</v>
      </c>
      <c r="BI1414" s="153">
        <v>3.3663999999999998E-4</v>
      </c>
      <c r="BJ1414" s="153">
        <v>26.9312</v>
      </c>
      <c r="BK1414" s="56"/>
      <c r="BL1414" s="153">
        <v>2.1440293102172832</v>
      </c>
      <c r="BM1414" s="56" t="s">
        <v>891</v>
      </c>
      <c r="BN1414" s="162"/>
      <c r="BO1414" s="162"/>
      <c r="BP1414" s="162"/>
      <c r="BQ1414" s="162"/>
      <c r="BR1414" s="162"/>
      <c r="BS1414" s="56">
        <v>1.7259096482255609</v>
      </c>
      <c r="BT1414" s="162"/>
      <c r="BU1414" s="158"/>
      <c r="BV1414" s="162"/>
      <c r="BW1414" s="162"/>
      <c r="BX1414" s="162"/>
      <c r="BY1414" s="162"/>
      <c r="BZ1414" s="162"/>
      <c r="CA1414" s="162"/>
      <c r="CB1414" s="162"/>
      <c r="CC1414" s="56"/>
      <c r="CD1414" s="56"/>
      <c r="CE1414" s="56"/>
      <c r="CF1414" s="56"/>
      <c r="CG1414" s="56"/>
      <c r="CH1414" s="56"/>
      <c r="CI1414" s="103">
        <v>1.7259096482255609</v>
      </c>
      <c r="CJ1414" s="103">
        <f t="shared" si="336"/>
        <v>0.23701805655639599</v>
      </c>
      <c r="CK1414" s="57">
        <f t="shared" si="331"/>
        <v>7.9611354496542414E-2</v>
      </c>
      <c r="CL1414" s="160">
        <f t="shared" si="342"/>
        <v>1.2422604580845809</v>
      </c>
      <c r="CM1414" s="160">
        <v>-0.80687540164553884</v>
      </c>
      <c r="CN1414" s="160">
        <f t="shared" si="344"/>
        <v>172.63589743589765</v>
      </c>
      <c r="CO1414" s="55" t="s">
        <v>892</v>
      </c>
      <c r="CP1414" s="497" t="s">
        <v>893</v>
      </c>
      <c r="CQ1414" s="149">
        <v>-0.80687540164553839</v>
      </c>
      <c r="CR1414" s="349">
        <f t="shared" si="345"/>
        <v>11.063523386061291</v>
      </c>
      <c r="CS1414" s="61" t="s">
        <v>539</v>
      </c>
      <c r="CT1414" s="61"/>
      <c r="CU1414" s="111">
        <f t="shared" si="343"/>
        <v>5.4972775136654644</v>
      </c>
      <c r="CV1414" s="331">
        <f t="shared" si="334"/>
        <v>0.35229786640805638</v>
      </c>
      <c r="CW1414" s="326">
        <f t="shared" si="337"/>
        <v>1</v>
      </c>
      <c r="CX1414" s="326" t="s">
        <v>539</v>
      </c>
      <c r="CY1414" s="161" t="s">
        <v>5921</v>
      </c>
    </row>
    <row r="1415" spans="1:103" ht="11.25" customHeight="1" x14ac:dyDescent="0.2">
      <c r="A1415" s="72">
        <v>367</v>
      </c>
      <c r="B1415" s="149">
        <v>404</v>
      </c>
      <c r="C1415" s="54" t="s">
        <v>1383</v>
      </c>
      <c r="D1415" s="54" t="s">
        <v>6679</v>
      </c>
      <c r="E1415" s="59"/>
      <c r="F1415" s="59" t="s">
        <v>1384</v>
      </c>
      <c r="G1415" s="151">
        <v>23031369</v>
      </c>
      <c r="H1415" s="55" t="s">
        <v>1385</v>
      </c>
      <c r="I1415" s="55" t="s">
        <v>8108</v>
      </c>
      <c r="J1415" s="55" t="s">
        <v>1386</v>
      </c>
      <c r="K1415" s="55" t="s">
        <v>1085</v>
      </c>
      <c r="L1415" s="55" t="s">
        <v>617</v>
      </c>
      <c r="M1415" s="55" t="s">
        <v>1086</v>
      </c>
      <c r="N1415" s="60" t="s">
        <v>6376</v>
      </c>
      <c r="O1415" s="55" t="s">
        <v>918</v>
      </c>
      <c r="P1415" s="67"/>
      <c r="Q1415" s="67"/>
      <c r="R1415" s="67"/>
      <c r="S1415" s="67"/>
      <c r="T1415" s="56">
        <v>300.39</v>
      </c>
      <c r="U1415" s="103">
        <v>8</v>
      </c>
      <c r="V1415" s="103">
        <v>1.788</v>
      </c>
      <c r="W1415" s="103">
        <v>12.522339410065394</v>
      </c>
      <c r="X1415" s="103">
        <v>8</v>
      </c>
      <c r="Y1415" s="162">
        <v>7</v>
      </c>
      <c r="Z1415" s="56">
        <v>4.88</v>
      </c>
      <c r="AA1415" s="56">
        <v>4.49</v>
      </c>
      <c r="AB1415" s="56">
        <v>4.6900000000000004</v>
      </c>
      <c r="AC1415" s="56">
        <v>0.82520000000000004</v>
      </c>
      <c r="AD1415" s="56">
        <v>4.5999999999999996</v>
      </c>
      <c r="AE1415" s="56">
        <v>4.38</v>
      </c>
      <c r="AF1415" s="56">
        <f t="shared" si="338"/>
        <v>4.49</v>
      </c>
      <c r="AG1415" s="57">
        <v>3.18</v>
      </c>
      <c r="AH1415" s="103">
        <v>1.02E-7</v>
      </c>
      <c r="AI1415" s="103"/>
      <c r="AJ1415" s="62">
        <f t="shared" si="339"/>
        <v>-5.3799661545507345</v>
      </c>
      <c r="AK1415" s="62"/>
      <c r="AL1415" s="62">
        <f t="shared" si="341"/>
        <v>-5.3799661545507345</v>
      </c>
      <c r="AM1415" s="62">
        <v>-10.852540000000001</v>
      </c>
      <c r="AN1415" s="154">
        <v>-7.93</v>
      </c>
      <c r="AO1415" s="410"/>
      <c r="AP1415" s="410"/>
      <c r="AQ1415" s="154" t="s">
        <v>6311</v>
      </c>
      <c r="AR1415" s="154" t="s">
        <v>6312</v>
      </c>
      <c r="AS1415" s="149" t="s">
        <v>6</v>
      </c>
      <c r="AT1415" s="58" t="s">
        <v>266</v>
      </c>
      <c r="AU1415" s="56">
        <v>8</v>
      </c>
      <c r="AV1415" s="56">
        <v>144</v>
      </c>
      <c r="AW1415" s="56">
        <v>120</v>
      </c>
      <c r="AX1415" s="56">
        <v>26</v>
      </c>
      <c r="AY1415" s="56" t="s">
        <v>267</v>
      </c>
      <c r="AZ1415" s="56" t="s">
        <v>268</v>
      </c>
      <c r="BA1415" s="56">
        <v>3</v>
      </c>
      <c r="BB1415" s="55" t="s">
        <v>888</v>
      </c>
      <c r="BC1415" s="55" t="s">
        <v>270</v>
      </c>
      <c r="BD1415" s="55" t="s">
        <v>8374</v>
      </c>
      <c r="BE1415" s="56" t="s">
        <v>889</v>
      </c>
      <c r="BF1415" s="56" t="s">
        <v>272</v>
      </c>
      <c r="BG1415" s="56" t="s">
        <v>272</v>
      </c>
      <c r="BH1415" s="56" t="s">
        <v>890</v>
      </c>
      <c r="BI1415" s="153">
        <v>3.0038999999999999E-4</v>
      </c>
      <c r="BJ1415" s="153">
        <v>24.031199999999998</v>
      </c>
      <c r="BK1415" s="56"/>
      <c r="BL1415" s="153">
        <v>0.63937767918549904</v>
      </c>
      <c r="BM1415" s="56" t="s">
        <v>891</v>
      </c>
      <c r="BN1415" s="162"/>
      <c r="BO1415" s="162"/>
      <c r="BP1415" s="162"/>
      <c r="BQ1415" s="162"/>
      <c r="BR1415" s="162"/>
      <c r="BS1415" s="56">
        <v>1.5259811999999999</v>
      </c>
      <c r="BT1415" s="162"/>
      <c r="BU1415" s="158"/>
      <c r="BV1415" s="162"/>
      <c r="BW1415" s="162"/>
      <c r="BX1415" s="162"/>
      <c r="BY1415" s="162"/>
      <c r="BZ1415" s="162"/>
      <c r="CA1415" s="162"/>
      <c r="CB1415" s="162"/>
      <c r="CC1415" s="56"/>
      <c r="CD1415" s="56"/>
      <c r="CE1415" s="56"/>
      <c r="CF1415" s="56"/>
      <c r="CG1415" s="56"/>
      <c r="CH1415" s="56"/>
      <c r="CI1415" s="103">
        <v>1.5259811999999999</v>
      </c>
      <c r="CJ1415" s="103">
        <f t="shared" si="336"/>
        <v>0.18354918316895724</v>
      </c>
      <c r="CK1415" s="57">
        <f t="shared" si="331"/>
        <v>2.6606148639497781E-2</v>
      </c>
      <c r="CL1415" s="160">
        <f t="shared" si="342"/>
        <v>0.41899446676374458</v>
      </c>
      <c r="CM1415" s="160">
        <v>-1.9208187539523762</v>
      </c>
      <c r="CN1415" s="160">
        <f t="shared" si="344"/>
        <v>2002.6000000000056</v>
      </c>
      <c r="CO1415" s="55" t="s">
        <v>892</v>
      </c>
      <c r="CP1415" s="497" t="s">
        <v>893</v>
      </c>
      <c r="CQ1415" s="149">
        <v>-1.7891980365650846</v>
      </c>
      <c r="CR1415" s="349">
        <f t="shared" si="345"/>
        <v>93.917650557215708</v>
      </c>
      <c r="CS1415" s="61" t="s">
        <v>539</v>
      </c>
      <c r="CT1415" s="61"/>
      <c r="CU1415" s="111">
        <f t="shared" si="343"/>
        <v>5.2425285449126111</v>
      </c>
      <c r="CV1415" s="331">
        <f t="shared" si="334"/>
        <v>0.33290056260195083</v>
      </c>
      <c r="CW1415" s="326">
        <f t="shared" si="337"/>
        <v>1</v>
      </c>
      <c r="CX1415" s="326" t="s">
        <v>539</v>
      </c>
      <c r="CY1415" s="161" t="s">
        <v>5921</v>
      </c>
    </row>
    <row r="1416" spans="1:103" ht="11.25" customHeight="1" x14ac:dyDescent="0.2">
      <c r="A1416" s="72">
        <v>372</v>
      </c>
      <c r="B1416" s="149">
        <v>260</v>
      </c>
      <c r="C1416" s="54" t="s">
        <v>1099</v>
      </c>
      <c r="D1416" s="54" t="s">
        <v>6683</v>
      </c>
      <c r="E1416" s="59"/>
      <c r="F1416" s="59" t="s">
        <v>1100</v>
      </c>
      <c r="G1416" s="151">
        <v>51338273</v>
      </c>
      <c r="H1416" s="55" t="s">
        <v>1101</v>
      </c>
      <c r="I1416" s="55" t="s">
        <v>7924</v>
      </c>
      <c r="J1416" s="55" t="s">
        <v>1102</v>
      </c>
      <c r="K1416" s="55" t="s">
        <v>357</v>
      </c>
      <c r="L1416" s="55" t="s">
        <v>5968</v>
      </c>
      <c r="M1416" s="55" t="s">
        <v>6082</v>
      </c>
      <c r="N1416" s="60" t="s">
        <v>6082</v>
      </c>
      <c r="O1416" s="55" t="s">
        <v>6083</v>
      </c>
      <c r="P1416" s="67"/>
      <c r="Q1416" s="67"/>
      <c r="R1416" s="67"/>
      <c r="S1416" s="67"/>
      <c r="T1416" s="56">
        <v>341.19</v>
      </c>
      <c r="U1416" s="103">
        <v>0.8</v>
      </c>
      <c r="V1416" s="103">
        <v>0.79369999999999996</v>
      </c>
      <c r="W1416" s="103">
        <v>2.2542199752571164</v>
      </c>
      <c r="X1416" s="103">
        <v>0.8</v>
      </c>
      <c r="Y1416" s="162">
        <v>7</v>
      </c>
      <c r="Z1416" s="56">
        <v>4.54</v>
      </c>
      <c r="AA1416" s="56">
        <v>4.62</v>
      </c>
      <c r="AB1416" s="56">
        <v>5.18</v>
      </c>
      <c r="AC1416" s="56">
        <v>0.77900000000000003</v>
      </c>
      <c r="AD1416" s="56">
        <v>4.8899999999999997</v>
      </c>
      <c r="AE1416" s="56">
        <v>4.24</v>
      </c>
      <c r="AF1416" s="56">
        <f t="shared" si="338"/>
        <v>4.62</v>
      </c>
      <c r="AG1416" s="57">
        <v>4.49</v>
      </c>
      <c r="AH1416" s="103">
        <v>8.5599999999999999E-8</v>
      </c>
      <c r="AI1416" s="103">
        <v>1.9700000000000002E-6</v>
      </c>
      <c r="AJ1416" s="62">
        <f t="shared" si="339"/>
        <v>-5.4560925616354989</v>
      </c>
      <c r="AK1416" s="62">
        <f>LOG10(AI1416*1000/(0.08206*298.15))</f>
        <v>-4.0941001001510591</v>
      </c>
      <c r="AL1416" s="62">
        <f t="shared" si="341"/>
        <v>-4.0941001001510591</v>
      </c>
      <c r="AM1416" s="62">
        <v>-11.93689</v>
      </c>
      <c r="AN1416" s="154">
        <v>-5.05</v>
      </c>
      <c r="AO1416" s="410"/>
      <c r="AP1416" s="410"/>
      <c r="AQ1416" s="154" t="s">
        <v>6311</v>
      </c>
      <c r="AR1416" s="154" t="s">
        <v>6312</v>
      </c>
      <c r="AS1416" s="149" t="s">
        <v>6</v>
      </c>
      <c r="AT1416" s="58" t="s">
        <v>266</v>
      </c>
      <c r="AU1416" s="56">
        <v>8</v>
      </c>
      <c r="AV1416" s="56">
        <v>144</v>
      </c>
      <c r="AW1416" s="56">
        <v>120</v>
      </c>
      <c r="AX1416" s="56">
        <v>26</v>
      </c>
      <c r="AY1416" s="56" t="s">
        <v>267</v>
      </c>
      <c r="AZ1416" s="56" t="s">
        <v>268</v>
      </c>
      <c r="BA1416" s="56">
        <v>9</v>
      </c>
      <c r="BB1416" s="55" t="s">
        <v>888</v>
      </c>
      <c r="BC1416" s="55" t="s">
        <v>270</v>
      </c>
      <c r="BD1416" s="55" t="s">
        <v>8374</v>
      </c>
      <c r="BE1416" s="56" t="s">
        <v>889</v>
      </c>
      <c r="BF1416" s="56" t="s">
        <v>272</v>
      </c>
      <c r="BG1416" s="56" t="s">
        <v>272</v>
      </c>
      <c r="BH1416" s="56" t="s">
        <v>890</v>
      </c>
      <c r="BI1416" s="153">
        <v>3.4119E-4</v>
      </c>
      <c r="BJ1416" s="153">
        <v>27.295200000000001</v>
      </c>
      <c r="BK1416" s="56"/>
      <c r="BL1416" s="153">
        <v>1.4669735851957078</v>
      </c>
      <c r="BM1416" s="56" t="s">
        <v>891</v>
      </c>
      <c r="BN1416" s="162"/>
      <c r="BO1416" s="162"/>
      <c r="BP1416" s="162"/>
      <c r="BQ1416" s="162"/>
      <c r="BR1416" s="162"/>
      <c r="BS1416" s="56">
        <v>1.4500575</v>
      </c>
      <c r="BT1416" s="162"/>
      <c r="BU1416" s="158"/>
      <c r="BV1416" s="162"/>
      <c r="BW1416" s="162"/>
      <c r="BX1416" s="162"/>
      <c r="BY1416" s="162"/>
      <c r="BZ1416" s="162"/>
      <c r="CA1416" s="162"/>
      <c r="CB1416" s="162"/>
      <c r="CC1416" s="56"/>
      <c r="CD1416" s="56"/>
      <c r="CE1416" s="56"/>
      <c r="CF1416" s="56"/>
      <c r="CG1416" s="56"/>
      <c r="CH1416" s="56"/>
      <c r="CI1416" s="103">
        <v>1.4500575</v>
      </c>
      <c r="CJ1416" s="103">
        <f t="shared" si="336"/>
        <v>0.16138522391607102</v>
      </c>
      <c r="CK1416" s="57">
        <f t="shared" si="331"/>
        <v>5.374474578664775E-2</v>
      </c>
      <c r="CL1416" s="160">
        <f t="shared" si="342"/>
        <v>1.0116658030427812</v>
      </c>
      <c r="CM1416" s="160">
        <v>-0.5335402578182048</v>
      </c>
      <c r="CN1416" s="160">
        <f t="shared" si="344"/>
        <v>93.245211567288877</v>
      </c>
      <c r="CO1416" s="55" t="s">
        <v>892</v>
      </c>
      <c r="CP1416" s="497" t="s">
        <v>893</v>
      </c>
      <c r="CQ1416" s="149">
        <v>-0.30603162411377066</v>
      </c>
      <c r="CR1416" s="349">
        <f t="shared" si="345"/>
        <v>2.9337077493305985</v>
      </c>
      <c r="CS1416" s="61" t="s">
        <v>539</v>
      </c>
      <c r="CT1416" s="61"/>
      <c r="CU1416" s="111">
        <f t="shared" si="343"/>
        <v>0.55170226008278989</v>
      </c>
      <c r="CV1416" s="331">
        <f t="shared" si="334"/>
        <v>2.9309182566898209E-2</v>
      </c>
      <c r="CW1416" s="326">
        <f t="shared" si="337"/>
        <v>0</v>
      </c>
      <c r="CX1416" s="326" t="s">
        <v>539</v>
      </c>
      <c r="CY1416" s="161" t="s">
        <v>5921</v>
      </c>
    </row>
    <row r="1417" spans="1:103" ht="11.25" customHeight="1" x14ac:dyDescent="0.2">
      <c r="A1417" s="72">
        <v>376</v>
      </c>
      <c r="B1417" s="149">
        <v>239</v>
      </c>
      <c r="C1417" s="54" t="s">
        <v>1060</v>
      </c>
      <c r="D1417" s="54" t="s">
        <v>6688</v>
      </c>
      <c r="E1417" s="59"/>
      <c r="F1417" s="59" t="s">
        <v>1061</v>
      </c>
      <c r="G1417" s="151">
        <v>120116883</v>
      </c>
      <c r="H1417" s="55" t="s">
        <v>1062</v>
      </c>
      <c r="I1417" s="55" t="s">
        <v>7894</v>
      </c>
      <c r="J1417" s="55" t="s">
        <v>1063</v>
      </c>
      <c r="K1417" s="55" t="s">
        <v>1064</v>
      </c>
      <c r="L1417" s="55" t="s">
        <v>5929</v>
      </c>
      <c r="M1417" s="60" t="s">
        <v>2342</v>
      </c>
      <c r="N1417" s="60" t="s">
        <v>2342</v>
      </c>
      <c r="O1417" s="55"/>
      <c r="P1417" s="67"/>
      <c r="Q1417" s="67"/>
      <c r="R1417" s="67"/>
      <c r="S1417" s="67"/>
      <c r="T1417" s="56">
        <v>324.79000000000002</v>
      </c>
      <c r="U1417" s="103"/>
      <c r="V1417" s="103">
        <v>17.010000000000002</v>
      </c>
      <c r="W1417" s="103">
        <v>24.637841059372825</v>
      </c>
      <c r="X1417" s="103">
        <v>24.637841059372825</v>
      </c>
      <c r="Y1417" s="162">
        <v>7</v>
      </c>
      <c r="Z1417" s="56">
        <v>2.87</v>
      </c>
      <c r="AA1417" s="56"/>
      <c r="AB1417" s="56">
        <v>1.1299999999999999</v>
      </c>
      <c r="AC1417" s="56">
        <v>0.69910000000000005</v>
      </c>
      <c r="AD1417" s="56">
        <v>1.33</v>
      </c>
      <c r="AE1417" s="56">
        <v>1.76</v>
      </c>
      <c r="AF1417" s="56">
        <f t="shared" si="338"/>
        <v>1.33</v>
      </c>
      <c r="AG1417" s="57">
        <v>2.79</v>
      </c>
      <c r="AH1417" s="103">
        <v>5.2900000000000003E-12</v>
      </c>
      <c r="AI1417" s="103"/>
      <c r="AJ1417" s="62">
        <f t="shared" si="339"/>
        <v>-9.6651106542774663</v>
      </c>
      <c r="AK1417" s="62"/>
      <c r="AL1417" s="62">
        <f t="shared" si="341"/>
        <v>-9.6651106542774663</v>
      </c>
      <c r="AM1417" s="62">
        <v>-18.323869999999999</v>
      </c>
      <c r="AN1417" s="154">
        <v>-3.68</v>
      </c>
      <c r="AO1417" s="410"/>
      <c r="AP1417" s="410">
        <v>-6.61</v>
      </c>
      <c r="AQ1417" s="154" t="s">
        <v>6311</v>
      </c>
      <c r="AR1417" s="154" t="s">
        <v>6311</v>
      </c>
      <c r="AS1417" s="149" t="s">
        <v>63</v>
      </c>
      <c r="AT1417" s="58" t="s">
        <v>266</v>
      </c>
      <c r="AU1417" s="56">
        <v>8</v>
      </c>
      <c r="AV1417" s="56">
        <v>144</v>
      </c>
      <c r="AW1417" s="56">
        <v>120</v>
      </c>
      <c r="AX1417" s="56">
        <v>26</v>
      </c>
      <c r="AY1417" s="56" t="s">
        <v>267</v>
      </c>
      <c r="AZ1417" s="56" t="s">
        <v>268</v>
      </c>
      <c r="BA1417" s="56">
        <v>4</v>
      </c>
      <c r="BB1417" s="55" t="s">
        <v>888</v>
      </c>
      <c r="BC1417" s="55" t="s">
        <v>270</v>
      </c>
      <c r="BD1417" s="55" t="s">
        <v>8374</v>
      </c>
      <c r="BE1417" s="56" t="s">
        <v>889</v>
      </c>
      <c r="BF1417" s="56" t="s">
        <v>272</v>
      </c>
      <c r="BG1417" s="56" t="s">
        <v>272</v>
      </c>
      <c r="BH1417" s="56" t="s">
        <v>890</v>
      </c>
      <c r="BI1417" s="153">
        <v>3.2478999999999999E-4</v>
      </c>
      <c r="BJ1417" s="153">
        <v>25.983200000000004</v>
      </c>
      <c r="BK1417" s="56"/>
      <c r="BL1417" s="153">
        <v>44.142370258500954</v>
      </c>
      <c r="BM1417" s="56" t="s">
        <v>891</v>
      </c>
      <c r="BN1417" s="162"/>
      <c r="BO1417" s="162"/>
      <c r="BP1417" s="162"/>
      <c r="BQ1417" s="162"/>
      <c r="BR1417" s="162"/>
      <c r="BS1417" s="172">
        <v>1.0100969</v>
      </c>
      <c r="BT1417" s="162"/>
      <c r="BU1417" s="173"/>
      <c r="BV1417" s="162"/>
      <c r="BW1417" s="162"/>
      <c r="BX1417" s="162"/>
      <c r="BY1417" s="162"/>
      <c r="BZ1417" s="162"/>
      <c r="CA1417" s="162"/>
      <c r="CB1417" s="162"/>
      <c r="CC1417" s="172"/>
      <c r="CD1417" s="56"/>
      <c r="CE1417" s="56"/>
      <c r="CF1417" s="56"/>
      <c r="CG1417" s="56"/>
      <c r="CH1417" s="172"/>
      <c r="CI1417" s="103">
        <v>1.0100969</v>
      </c>
      <c r="CJ1417" s="103">
        <f t="shared" si="336"/>
        <v>4.3630382546079403E-3</v>
      </c>
      <c r="CK1417" s="57">
        <f t="shared" si="331"/>
        <v>1.6988812101088759</v>
      </c>
      <c r="CL1417" s="160">
        <f t="shared" si="342"/>
        <v>43.701124375791032</v>
      </c>
      <c r="CM1417" s="160">
        <v>-1.3653369446448822</v>
      </c>
      <c r="CN1417" s="160">
        <f t="shared" si="344"/>
        <v>602.60062928653213</v>
      </c>
      <c r="CO1417" s="55" t="s">
        <v>892</v>
      </c>
      <c r="CP1417" s="497" t="s">
        <v>893</v>
      </c>
      <c r="CQ1417" s="149">
        <v>-1.3653369446448818</v>
      </c>
      <c r="CR1417" s="349">
        <f t="shared" si="345"/>
        <v>23.426099463513918</v>
      </c>
      <c r="CS1417" s="61" t="s">
        <v>539</v>
      </c>
      <c r="CT1417" s="61"/>
      <c r="CU1417" s="111">
        <f t="shared" si="343"/>
        <v>24.391561898044461</v>
      </c>
      <c r="CV1417" s="331">
        <f t="shared" si="334"/>
        <v>0.94822196878647824</v>
      </c>
      <c r="CW1417" s="326">
        <f t="shared" si="337"/>
        <v>1</v>
      </c>
      <c r="CX1417" s="326" t="s">
        <v>539</v>
      </c>
      <c r="CY1417" s="161" t="s">
        <v>5921</v>
      </c>
    </row>
    <row r="1418" spans="1:103" ht="11.25" customHeight="1" x14ac:dyDescent="0.2">
      <c r="A1418" s="72">
        <v>379</v>
      </c>
      <c r="B1418" s="149">
        <v>330</v>
      </c>
      <c r="C1418" s="54" t="s">
        <v>1266</v>
      </c>
      <c r="D1418" s="54" t="s">
        <v>6518</v>
      </c>
      <c r="E1418" s="59"/>
      <c r="F1418" s="59" t="s">
        <v>1267</v>
      </c>
      <c r="G1418" s="151">
        <v>35554440</v>
      </c>
      <c r="H1418" s="55" t="s">
        <v>1268</v>
      </c>
      <c r="I1418" s="55" t="s">
        <v>8314</v>
      </c>
      <c r="J1418" s="55" t="s">
        <v>1269</v>
      </c>
      <c r="K1418" s="55" t="s">
        <v>1270</v>
      </c>
      <c r="L1418" s="55" t="s">
        <v>5990</v>
      </c>
      <c r="M1418" s="60" t="s">
        <v>2342</v>
      </c>
      <c r="N1418" s="60" t="s">
        <v>2342</v>
      </c>
      <c r="O1418" s="55"/>
      <c r="P1418" s="67"/>
      <c r="Q1418" s="67"/>
      <c r="R1418" s="67"/>
      <c r="S1418" s="67"/>
      <c r="T1418" s="56">
        <v>297.18</v>
      </c>
      <c r="U1418" s="103">
        <v>180</v>
      </c>
      <c r="V1418" s="103">
        <v>6.9700000000000006</v>
      </c>
      <c r="W1418" s="103">
        <v>205.59832793768933</v>
      </c>
      <c r="X1418" s="103">
        <v>180</v>
      </c>
      <c r="Y1418" s="162">
        <v>8.7899999999999991</v>
      </c>
      <c r="Z1418" s="56">
        <v>4.0999999999999996</v>
      </c>
      <c r="AA1418" s="56">
        <v>3.82</v>
      </c>
      <c r="AB1418" s="56">
        <v>4.1399999999999997</v>
      </c>
      <c r="AC1418" s="56">
        <v>0.87649999999999995</v>
      </c>
      <c r="AD1418" s="56">
        <v>4.03</v>
      </c>
      <c r="AE1418" s="56">
        <v>3.58</v>
      </c>
      <c r="AF1418" s="56">
        <f t="shared" si="338"/>
        <v>3.82</v>
      </c>
      <c r="AG1418" s="57">
        <v>3.69</v>
      </c>
      <c r="AH1418" s="103">
        <v>7.2499999999999994E-8</v>
      </c>
      <c r="AI1418" s="103">
        <v>2.5899999999999999E-9</v>
      </c>
      <c r="AJ1418" s="62">
        <f t="shared" si="339"/>
        <v>-5.5282283197416584</v>
      </c>
      <c r="AK1418" s="62">
        <f>LOG10(AI1418*1000/(0.08206*298.15))</f>
        <v>-6.9752665622313996</v>
      </c>
      <c r="AL1418" s="62">
        <f t="shared" si="341"/>
        <v>-6.9752665622313996</v>
      </c>
      <c r="AM1418" s="62">
        <v>-11.007019999999999</v>
      </c>
      <c r="AN1418" s="154">
        <v>-7.54</v>
      </c>
      <c r="AO1418" s="410"/>
      <c r="AP1418" s="410">
        <v>6.74</v>
      </c>
      <c r="AQ1418" s="154" t="s">
        <v>6311</v>
      </c>
      <c r="AR1418" s="154" t="s">
        <v>6311</v>
      </c>
      <c r="AS1418" s="149" t="s">
        <v>6</v>
      </c>
      <c r="AT1418" s="58" t="s">
        <v>266</v>
      </c>
      <c r="AU1418" s="56">
        <v>8</v>
      </c>
      <c r="AV1418" s="56">
        <v>144</v>
      </c>
      <c r="AW1418" s="56">
        <v>120</v>
      </c>
      <c r="AX1418" s="56">
        <v>26</v>
      </c>
      <c r="AY1418" s="56" t="s">
        <v>267</v>
      </c>
      <c r="AZ1418" s="56" t="s">
        <v>268</v>
      </c>
      <c r="BA1418" s="56">
        <v>3</v>
      </c>
      <c r="BB1418" s="55" t="s">
        <v>888</v>
      </c>
      <c r="BC1418" s="55" t="s">
        <v>270</v>
      </c>
      <c r="BD1418" s="55" t="s">
        <v>8374</v>
      </c>
      <c r="BE1418" s="56" t="s">
        <v>889</v>
      </c>
      <c r="BF1418" s="56" t="s">
        <v>272</v>
      </c>
      <c r="BG1418" s="56" t="s">
        <v>272</v>
      </c>
      <c r="BH1418" s="56" t="s">
        <v>890</v>
      </c>
      <c r="BI1418" s="153">
        <v>2.9717999999999997E-4</v>
      </c>
      <c r="BJ1418" s="153">
        <v>23.7744</v>
      </c>
      <c r="BK1418" s="56"/>
      <c r="BL1418" s="153">
        <v>3.1740194107978934</v>
      </c>
      <c r="BM1418" s="56" t="s">
        <v>891</v>
      </c>
      <c r="BN1418" s="162"/>
      <c r="BO1418" s="162"/>
      <c r="BP1418" s="162"/>
      <c r="BQ1418" s="162"/>
      <c r="BR1418" s="162"/>
      <c r="BS1418" s="56">
        <v>0.90937080000000003</v>
      </c>
      <c r="BT1418" s="162"/>
      <c r="BU1418" s="158"/>
      <c r="BV1418" s="162"/>
      <c r="BW1418" s="162"/>
      <c r="BX1418" s="162"/>
      <c r="BY1418" s="162"/>
      <c r="BZ1418" s="162"/>
      <c r="CA1418" s="162"/>
      <c r="CB1418" s="162"/>
      <c r="CC1418" s="56"/>
      <c r="CD1418" s="56"/>
      <c r="CE1418" s="56"/>
      <c r="CF1418" s="56"/>
      <c r="CG1418" s="56"/>
      <c r="CH1418" s="56"/>
      <c r="CI1418" s="103">
        <v>0.90937080000000003</v>
      </c>
      <c r="CJ1418" s="103">
        <f t="shared" si="336"/>
        <v>-4.1258995152320281E-2</v>
      </c>
      <c r="CK1418" s="57">
        <f t="shared" si="331"/>
        <v>0.13350576295502278</v>
      </c>
      <c r="CL1418" s="160">
        <f t="shared" si="342"/>
        <v>3.490346743922164</v>
      </c>
      <c r="CM1418" s="160">
        <v>0.23564585552946926</v>
      </c>
      <c r="CN1418" s="160">
        <f t="shared" si="344"/>
        <v>13.818589312755286</v>
      </c>
      <c r="CO1418" s="55" t="s">
        <v>892</v>
      </c>
      <c r="CP1418" s="497" t="s">
        <v>893</v>
      </c>
      <c r="CQ1418" s="149">
        <v>0.3574215355818956</v>
      </c>
      <c r="CR1418" s="349">
        <f t="shared" si="345"/>
        <v>0.39931853512855464</v>
      </c>
      <c r="CS1418" s="61" t="s">
        <v>539</v>
      </c>
      <c r="CT1418" s="61"/>
      <c r="CU1418" s="111">
        <f t="shared" si="343"/>
        <v>197.93905852266204</v>
      </c>
      <c r="CV1418" s="331">
        <f t="shared" si="334"/>
        <v>7.5711689884918227</v>
      </c>
      <c r="CW1418" s="326">
        <f t="shared" si="337"/>
        <v>1</v>
      </c>
      <c r="CX1418" s="326" t="s">
        <v>539</v>
      </c>
      <c r="CY1418" s="161" t="s">
        <v>5921</v>
      </c>
    </row>
    <row r="1419" spans="1:103" ht="11.25" customHeight="1" x14ac:dyDescent="0.2">
      <c r="A1419" s="72">
        <v>382</v>
      </c>
      <c r="B1419" s="149">
        <v>439</v>
      </c>
      <c r="C1419" s="54" t="s">
        <v>6694</v>
      </c>
      <c r="D1419" s="54"/>
      <c r="E1419" s="59"/>
      <c r="F1419" s="59" t="s">
        <v>1453</v>
      </c>
      <c r="G1419" s="151">
        <v>148477718</v>
      </c>
      <c r="H1419" s="55" t="s">
        <v>1454</v>
      </c>
      <c r="I1419" s="55" t="s">
        <v>7966</v>
      </c>
      <c r="J1419" s="55" t="s">
        <v>1455</v>
      </c>
      <c r="K1419" s="55" t="s">
        <v>361</v>
      </c>
      <c r="L1419" s="55" t="s">
        <v>617</v>
      </c>
      <c r="M1419" s="55" t="s">
        <v>1456</v>
      </c>
      <c r="N1419" s="60"/>
      <c r="O1419" s="55" t="s">
        <v>918</v>
      </c>
      <c r="P1419" s="67"/>
      <c r="Q1419" s="67"/>
      <c r="R1419" s="67"/>
      <c r="S1419" s="67"/>
      <c r="T1419" s="56">
        <v>411.32</v>
      </c>
      <c r="U1419" s="103"/>
      <c r="V1419" s="103">
        <v>1.285E-2</v>
      </c>
      <c r="W1419" s="103">
        <v>0.1213891379112416</v>
      </c>
      <c r="X1419" s="103">
        <v>0.1213891379112416</v>
      </c>
      <c r="Y1419" s="162">
        <v>7</v>
      </c>
      <c r="Z1419" s="56">
        <v>6.21</v>
      </c>
      <c r="AA1419" s="56"/>
      <c r="AB1419" s="56">
        <v>5.44</v>
      </c>
      <c r="AC1419" s="56">
        <v>0.57879999999999998</v>
      </c>
      <c r="AD1419" s="56">
        <v>5.83</v>
      </c>
      <c r="AE1419" s="56">
        <v>6.36</v>
      </c>
      <c r="AF1419" s="56">
        <f t="shared" si="338"/>
        <v>5.83</v>
      </c>
      <c r="AG1419" s="57">
        <v>5.76</v>
      </c>
      <c r="AH1419" s="103">
        <v>1.2599999999999999E-7</v>
      </c>
      <c r="AI1419" s="103"/>
      <c r="AJ1419" s="62">
        <f t="shared" si="339"/>
        <v>-5.288195781195089</v>
      </c>
      <c r="AK1419" s="62"/>
      <c r="AL1419" s="62">
        <f t="shared" si="341"/>
        <v>-5.288195781195089</v>
      </c>
      <c r="AM1419" s="62">
        <v>-11.30762</v>
      </c>
      <c r="AN1419" s="154">
        <v>-6.99</v>
      </c>
      <c r="AO1419" s="410"/>
      <c r="AP1419" s="410"/>
      <c r="AQ1419" s="154" t="s">
        <v>6311</v>
      </c>
      <c r="AR1419" s="154" t="s">
        <v>6312</v>
      </c>
      <c r="AS1419" s="149" t="s">
        <v>63</v>
      </c>
      <c r="AT1419" s="58" t="s">
        <v>266</v>
      </c>
      <c r="AU1419" s="56">
        <v>8</v>
      </c>
      <c r="AV1419" s="56">
        <v>144</v>
      </c>
      <c r="AW1419" s="56">
        <v>120</v>
      </c>
      <c r="AX1419" s="56">
        <v>26</v>
      </c>
      <c r="AY1419" s="56" t="s">
        <v>267</v>
      </c>
      <c r="AZ1419" s="56" t="s">
        <v>268</v>
      </c>
      <c r="BA1419" s="56">
        <v>2</v>
      </c>
      <c r="BB1419" s="55" t="s">
        <v>888</v>
      </c>
      <c r="BC1419" s="55" t="s">
        <v>270</v>
      </c>
      <c r="BD1419" s="55" t="s">
        <v>8374</v>
      </c>
      <c r="BE1419" s="56" t="s">
        <v>889</v>
      </c>
      <c r="BF1419" s="56" t="s">
        <v>272</v>
      </c>
      <c r="BG1419" s="56" t="s">
        <v>272</v>
      </c>
      <c r="BH1419" s="56" t="s">
        <v>890</v>
      </c>
      <c r="BI1419" s="153">
        <v>4.1131999999999996E-4</v>
      </c>
      <c r="BJ1419" s="153">
        <v>32.9056</v>
      </c>
      <c r="BK1419" s="56"/>
      <c r="BL1419" s="153">
        <v>5.5947260668222726E-2</v>
      </c>
      <c r="BM1419" s="56" t="s">
        <v>891</v>
      </c>
      <c r="BN1419" s="162"/>
      <c r="BO1419" s="162"/>
      <c r="BP1419" s="162"/>
      <c r="BQ1419" s="162"/>
      <c r="BR1419" s="162"/>
      <c r="BS1419" s="56">
        <v>0.7076616857679946</v>
      </c>
      <c r="BT1419" s="162"/>
      <c r="BU1419" s="158"/>
      <c r="BV1419" s="162"/>
      <c r="BW1419" s="162"/>
      <c r="BX1419" s="162"/>
      <c r="BY1419" s="162"/>
      <c r="BZ1419" s="162"/>
      <c r="CA1419" s="162"/>
      <c r="CB1419" s="162"/>
      <c r="CC1419" s="56"/>
      <c r="CD1419" s="56"/>
      <c r="CE1419" s="56"/>
      <c r="CF1419" s="56"/>
      <c r="CG1419" s="56"/>
      <c r="CH1419" s="56"/>
      <c r="CI1419" s="103">
        <v>0.7076616857679946</v>
      </c>
      <c r="CJ1419" s="103">
        <f t="shared" si="336"/>
        <v>-0.15017431733805503</v>
      </c>
      <c r="CK1419" s="57">
        <f t="shared" si="331"/>
        <v>1.7002352386287661E-3</v>
      </c>
      <c r="CL1419" s="160">
        <f t="shared" si="342"/>
        <v>7.9059332719851272E-2</v>
      </c>
      <c r="CM1419" s="160"/>
      <c r="CN1419" s="160"/>
      <c r="CO1419" s="55" t="s">
        <v>892</v>
      </c>
      <c r="CP1419" s="497" t="s">
        <v>893</v>
      </c>
      <c r="CQ1419" s="149" t="s">
        <v>272</v>
      </c>
      <c r="CR1419" s="349"/>
      <c r="CS1419" s="61" t="s">
        <v>539</v>
      </c>
      <c r="CT1419" s="61"/>
      <c r="CU1419" s="111">
        <f t="shared" si="343"/>
        <v>0.17153555201946991</v>
      </c>
      <c r="CV1419" s="331">
        <f t="shared" si="334"/>
        <v>3.689011533332977E-3</v>
      </c>
      <c r="CW1419" s="326">
        <f t="shared" si="337"/>
        <v>0</v>
      </c>
      <c r="CX1419" s="326" t="s">
        <v>539</v>
      </c>
      <c r="CY1419" s="161" t="s">
        <v>5921</v>
      </c>
    </row>
    <row r="1420" spans="1:103" ht="11.25" customHeight="1" x14ac:dyDescent="0.2">
      <c r="A1420" s="72">
        <v>384</v>
      </c>
      <c r="B1420" s="149">
        <v>471</v>
      </c>
      <c r="C1420" s="54" t="s">
        <v>1535</v>
      </c>
      <c r="D1420" s="54" t="s">
        <v>6500</v>
      </c>
      <c r="E1420" s="59"/>
      <c r="F1420" s="59" t="s">
        <v>1536</v>
      </c>
      <c r="G1420" s="151">
        <v>3380345</v>
      </c>
      <c r="H1420" s="55" t="s">
        <v>1537</v>
      </c>
      <c r="I1420" s="55" t="s">
        <v>7884</v>
      </c>
      <c r="J1420" s="55" t="s">
        <v>1538</v>
      </c>
      <c r="K1420" s="55" t="s">
        <v>349</v>
      </c>
      <c r="L1420" s="55" t="s">
        <v>6068</v>
      </c>
      <c r="M1420" s="55" t="s">
        <v>6082</v>
      </c>
      <c r="N1420" s="60" t="s">
        <v>6082</v>
      </c>
      <c r="O1420" s="55" t="s">
        <v>6083</v>
      </c>
      <c r="P1420" s="67"/>
      <c r="Q1420" s="67"/>
      <c r="R1420" s="67"/>
      <c r="S1420" s="67"/>
      <c r="T1420" s="56">
        <v>289.54000000000002</v>
      </c>
      <c r="U1420" s="103">
        <v>10.000000000000002</v>
      </c>
      <c r="V1420" s="103">
        <v>4.6210000000000004</v>
      </c>
      <c r="W1420" s="103">
        <v>1.4181055935993983</v>
      </c>
      <c r="X1420" s="103">
        <v>10.000000000000002</v>
      </c>
      <c r="Y1420" s="162">
        <v>6.54</v>
      </c>
      <c r="Z1420" s="56">
        <v>4.66</v>
      </c>
      <c r="AA1420" s="56">
        <v>4.76</v>
      </c>
      <c r="AB1420" s="56">
        <v>5.3</v>
      </c>
      <c r="AC1420" s="56">
        <v>0.87380000000000002</v>
      </c>
      <c r="AD1420" s="56">
        <v>5.27</v>
      </c>
      <c r="AE1420" s="56">
        <v>5.17</v>
      </c>
      <c r="AF1420" s="56">
        <f t="shared" si="338"/>
        <v>4.76</v>
      </c>
      <c r="AG1420" s="57">
        <v>4.8499999999999996</v>
      </c>
      <c r="AH1420" s="103">
        <v>4.9900000000000003E-9</v>
      </c>
      <c r="AI1420" s="103"/>
      <c r="AJ1420" s="62">
        <f t="shared" si="339"/>
        <v>-6.6904657806892622</v>
      </c>
      <c r="AK1420" s="62"/>
      <c r="AL1420" s="62">
        <f t="shared" si="341"/>
        <v>-6.6904657806892622</v>
      </c>
      <c r="AM1420" s="62">
        <v>-10.51848</v>
      </c>
      <c r="AN1420" s="154">
        <v>-3.91</v>
      </c>
      <c r="AO1420" s="410">
        <v>7.8</v>
      </c>
      <c r="AP1420" s="410"/>
      <c r="AQ1420" s="154" t="s">
        <v>6311</v>
      </c>
      <c r="AR1420" s="154" t="s">
        <v>6311</v>
      </c>
      <c r="AS1420" s="149" t="s">
        <v>6</v>
      </c>
      <c r="AT1420" s="58" t="s">
        <v>266</v>
      </c>
      <c r="AU1420" s="56">
        <v>8</v>
      </c>
      <c r="AV1420" s="56">
        <v>144</v>
      </c>
      <c r="AW1420" s="56">
        <v>120</v>
      </c>
      <c r="AX1420" s="56">
        <v>26</v>
      </c>
      <c r="AY1420" s="56" t="s">
        <v>267</v>
      </c>
      <c r="AZ1420" s="56" t="s">
        <v>268</v>
      </c>
      <c r="BA1420" s="56">
        <v>2</v>
      </c>
      <c r="BB1420" s="55" t="s">
        <v>888</v>
      </c>
      <c r="BC1420" s="55" t="s">
        <v>270</v>
      </c>
      <c r="BD1420" s="55" t="s">
        <v>8374</v>
      </c>
      <c r="BE1420" s="56" t="s">
        <v>889</v>
      </c>
      <c r="BF1420" s="56" t="s">
        <v>272</v>
      </c>
      <c r="BG1420" s="56" t="s">
        <v>272</v>
      </c>
      <c r="BH1420" s="56" t="s">
        <v>890</v>
      </c>
      <c r="BI1420" s="153">
        <v>2.8954000000000002E-4</v>
      </c>
      <c r="BJ1420" s="153">
        <v>23.163200000000003</v>
      </c>
      <c r="BK1420" s="56"/>
      <c r="BL1420" s="153">
        <v>0.97132053426667619</v>
      </c>
      <c r="BM1420" s="56" t="s">
        <v>891</v>
      </c>
      <c r="BN1420" s="162"/>
      <c r="BO1420" s="162"/>
      <c r="BP1420" s="162"/>
      <c r="BQ1420" s="162"/>
      <c r="BR1420" s="162"/>
      <c r="BS1420" s="56">
        <v>0.85703840000000009</v>
      </c>
      <c r="BT1420" s="162"/>
      <c r="BU1420" s="158"/>
      <c r="BV1420" s="162"/>
      <c r="BW1420" s="162"/>
      <c r="BX1420" s="162"/>
      <c r="BY1420" s="162"/>
      <c r="BZ1420" s="162"/>
      <c r="CA1420" s="162"/>
      <c r="CB1420" s="162"/>
      <c r="CC1420" s="56"/>
      <c r="CD1420" s="56"/>
      <c r="CE1420" s="56"/>
      <c r="CF1420" s="56"/>
      <c r="CG1420" s="56"/>
      <c r="CH1420" s="56"/>
      <c r="CI1420" s="103">
        <v>0.85703840000000009</v>
      </c>
      <c r="CJ1420" s="103">
        <f t="shared" si="336"/>
        <v>-6.6999718876695341E-2</v>
      </c>
      <c r="CK1420" s="57">
        <f t="shared" si="331"/>
        <v>4.1933780059174725E-2</v>
      </c>
      <c r="CL1420" s="160">
        <f t="shared" si="342"/>
        <v>1.1333454070047224</v>
      </c>
      <c r="CM1420" s="160">
        <v>-0.56863623584101308</v>
      </c>
      <c r="CN1420" s="160">
        <f>BJ1420/(10^CM1420)</f>
        <v>85.789629629629744</v>
      </c>
      <c r="CO1420" s="55" t="s">
        <v>892</v>
      </c>
      <c r="CP1420" s="497" t="s">
        <v>893</v>
      </c>
      <c r="CQ1420" s="149">
        <v>-3.048771733266693E-2</v>
      </c>
      <c r="CR1420" s="349">
        <f>10^(CJ1420-CQ1420)</f>
        <v>0.91936506818874097</v>
      </c>
      <c r="CS1420" s="61" t="s">
        <v>539</v>
      </c>
      <c r="CT1420" s="61"/>
      <c r="CU1420" s="111">
        <f t="shared" si="343"/>
        <v>11.668088617732883</v>
      </c>
      <c r="CV1420" s="331">
        <f t="shared" si="334"/>
        <v>0.43171927885611661</v>
      </c>
      <c r="CW1420" s="326">
        <f t="shared" si="337"/>
        <v>1</v>
      </c>
      <c r="CX1420" s="326" t="s">
        <v>539</v>
      </c>
      <c r="CY1420" s="161" t="s">
        <v>6351</v>
      </c>
    </row>
    <row r="1421" spans="1:103" ht="11.25" customHeight="1" x14ac:dyDescent="0.2">
      <c r="A1421" s="72">
        <v>385</v>
      </c>
      <c r="B1421" s="149">
        <v>288</v>
      </c>
      <c r="C1421" s="54" t="s">
        <v>6696</v>
      </c>
      <c r="D1421" s="54"/>
      <c r="E1421" s="59"/>
      <c r="F1421" s="59" t="s">
        <v>1141</v>
      </c>
      <c r="G1421" s="151">
        <v>153233911</v>
      </c>
      <c r="H1421" s="55" t="s">
        <v>1142</v>
      </c>
      <c r="I1421" s="55" t="s">
        <v>1142</v>
      </c>
      <c r="J1421" s="55" t="s">
        <v>1143</v>
      </c>
      <c r="K1421" s="55" t="s">
        <v>426</v>
      </c>
      <c r="L1421" s="55" t="s">
        <v>617</v>
      </c>
      <c r="M1421" s="55" t="s">
        <v>1144</v>
      </c>
      <c r="N1421" s="60"/>
      <c r="O1421" s="55" t="s">
        <v>918</v>
      </c>
      <c r="P1421" s="67"/>
      <c r="Q1421" s="67"/>
      <c r="R1421" s="67"/>
      <c r="S1421" s="67"/>
      <c r="T1421" s="56">
        <v>359.41</v>
      </c>
      <c r="U1421" s="103">
        <v>7.5399999999999995E-2</v>
      </c>
      <c r="V1421" s="103">
        <v>3.8080000000000002E-3</v>
      </c>
      <c r="W1421" s="103">
        <v>0.73382103469367388</v>
      </c>
      <c r="X1421" s="103">
        <v>7.5399999999999995E-2</v>
      </c>
      <c r="Y1421" s="162">
        <v>7</v>
      </c>
      <c r="Z1421" s="56">
        <v>7.21</v>
      </c>
      <c r="AA1421" s="56"/>
      <c r="AB1421" s="56">
        <v>5.2</v>
      </c>
      <c r="AC1421" s="56">
        <v>0.68340000000000001</v>
      </c>
      <c r="AD1421" s="56">
        <v>5.44</v>
      </c>
      <c r="AE1421" s="56">
        <v>5.85</v>
      </c>
      <c r="AF1421" s="56">
        <f t="shared" si="338"/>
        <v>5.44</v>
      </c>
      <c r="AG1421" s="57">
        <v>5.6</v>
      </c>
      <c r="AH1421" s="103">
        <v>4.51E-8</v>
      </c>
      <c r="AI1421" s="103">
        <v>1.03E-7</v>
      </c>
      <c r="AJ1421" s="62">
        <f t="shared" si="339"/>
        <v>-5.7343897844346916</v>
      </c>
      <c r="AK1421" s="62">
        <f>LOG10(AI1421*1000/(0.08206*298.15))</f>
        <v>-5.3757291016074795</v>
      </c>
      <c r="AL1421" s="62">
        <f t="shared" si="341"/>
        <v>-5.3757291016074795</v>
      </c>
      <c r="AM1421" s="62">
        <v>-9.1111300000000011</v>
      </c>
      <c r="AN1421" s="154">
        <v>-3</v>
      </c>
      <c r="AO1421" s="410"/>
      <c r="AP1421" s="410">
        <v>2.04</v>
      </c>
      <c r="AQ1421" s="154" t="s">
        <v>6311</v>
      </c>
      <c r="AR1421" s="154" t="s">
        <v>6311</v>
      </c>
      <c r="AS1421" s="149" t="s">
        <v>6</v>
      </c>
      <c r="AT1421" s="58" t="s">
        <v>266</v>
      </c>
      <c r="AU1421" s="56">
        <v>8</v>
      </c>
      <c r="AV1421" s="56">
        <v>144</v>
      </c>
      <c r="AW1421" s="56">
        <v>120</v>
      </c>
      <c r="AX1421" s="56">
        <v>26</v>
      </c>
      <c r="AY1421" s="56" t="s">
        <v>267</v>
      </c>
      <c r="AZ1421" s="56" t="s">
        <v>268</v>
      </c>
      <c r="BA1421" s="56">
        <v>3</v>
      </c>
      <c r="BB1421" s="55" t="s">
        <v>888</v>
      </c>
      <c r="BC1421" s="55" t="s">
        <v>270</v>
      </c>
      <c r="BD1421" s="55" t="s">
        <v>8374</v>
      </c>
      <c r="BE1421" s="56" t="s">
        <v>889</v>
      </c>
      <c r="BF1421" s="56" t="s">
        <v>272</v>
      </c>
      <c r="BG1421" s="56" t="s">
        <v>272</v>
      </c>
      <c r="BH1421" s="56" t="s">
        <v>890</v>
      </c>
      <c r="BI1421" s="153">
        <v>3.5941E-4</v>
      </c>
      <c r="BJ1421" s="153">
        <v>28.752800000000004</v>
      </c>
      <c r="BK1421" s="56"/>
      <c r="BL1421" s="153">
        <v>6.1814328598528154E-3</v>
      </c>
      <c r="BM1421" s="56" t="s">
        <v>891</v>
      </c>
      <c r="BN1421" s="162"/>
      <c r="BO1421" s="162"/>
      <c r="BP1421" s="162"/>
      <c r="BQ1421" s="162"/>
      <c r="BR1421" s="162"/>
      <c r="BS1421" s="56">
        <v>0.61835234484555812</v>
      </c>
      <c r="BT1421" s="162"/>
      <c r="BU1421" s="158"/>
      <c r="BV1421" s="162"/>
      <c r="BW1421" s="162"/>
      <c r="BX1421" s="162"/>
      <c r="BY1421" s="162"/>
      <c r="BZ1421" s="162"/>
      <c r="CA1421" s="162"/>
      <c r="CB1421" s="162"/>
      <c r="CC1421" s="56"/>
      <c r="CD1421" s="56"/>
      <c r="CE1421" s="56"/>
      <c r="CF1421" s="56"/>
      <c r="CG1421" s="56"/>
      <c r="CH1421" s="56"/>
      <c r="CI1421" s="103">
        <v>0.61835234484555812</v>
      </c>
      <c r="CJ1421" s="103">
        <f t="shared" si="336"/>
        <v>-0.20876398799028359</v>
      </c>
      <c r="CK1421" s="57">
        <f t="shared" si="331"/>
        <v>2.1498542263198068E-4</v>
      </c>
      <c r="CL1421" s="160">
        <f t="shared" si="342"/>
        <v>9.9966190981239222E-3</v>
      </c>
      <c r="CM1421" s="160"/>
      <c r="CN1421" s="160"/>
      <c r="CO1421" s="55" t="s">
        <v>892</v>
      </c>
      <c r="CP1421" s="497" t="s">
        <v>893</v>
      </c>
      <c r="CQ1421" s="149" t="s">
        <v>272</v>
      </c>
      <c r="CR1421" s="349"/>
      <c r="CS1421" s="61" t="s">
        <v>539</v>
      </c>
      <c r="CT1421" s="61"/>
      <c r="CU1421" s="111">
        <f t="shared" si="343"/>
        <v>0.12193695168865604</v>
      </c>
      <c r="CV1421" s="331">
        <f t="shared" si="334"/>
        <v>2.6223533012437045E-3</v>
      </c>
      <c r="CW1421" s="326">
        <f t="shared" si="337"/>
        <v>0</v>
      </c>
      <c r="CX1421" s="326" t="s">
        <v>539</v>
      </c>
      <c r="CY1421" s="161" t="s">
        <v>5921</v>
      </c>
    </row>
    <row r="1422" spans="1:103" ht="11.25" customHeight="1" x14ac:dyDescent="0.2">
      <c r="A1422" s="72">
        <v>386</v>
      </c>
      <c r="B1422" s="149">
        <v>297</v>
      </c>
      <c r="C1422" s="54" t="s">
        <v>1172</v>
      </c>
      <c r="D1422" s="54" t="s">
        <v>6697</v>
      </c>
      <c r="E1422" s="59"/>
      <c r="F1422" s="59" t="s">
        <v>1173</v>
      </c>
      <c r="G1422" s="151">
        <v>66441234</v>
      </c>
      <c r="H1422" s="55" t="s">
        <v>1174</v>
      </c>
      <c r="I1422" s="55" t="s">
        <v>7937</v>
      </c>
      <c r="J1422" s="55" t="s">
        <v>1175</v>
      </c>
      <c r="K1422" s="55" t="s">
        <v>357</v>
      </c>
      <c r="L1422" s="55" t="s">
        <v>5980</v>
      </c>
      <c r="M1422" s="55" t="s">
        <v>6082</v>
      </c>
      <c r="N1422" s="60" t="s">
        <v>6082</v>
      </c>
      <c r="O1422" s="55" t="s">
        <v>6083</v>
      </c>
      <c r="P1422" s="67"/>
      <c r="Q1422" s="67"/>
      <c r="R1422" s="67"/>
      <c r="S1422" s="67"/>
      <c r="T1422" s="56">
        <v>361.78</v>
      </c>
      <c r="U1422" s="103">
        <v>0.9</v>
      </c>
      <c r="V1422" s="103">
        <v>0.64470000000000005</v>
      </c>
      <c r="W1422" s="103">
        <v>1.0196345768728539</v>
      </c>
      <c r="X1422" s="103">
        <v>0.9</v>
      </c>
      <c r="Y1422" s="162">
        <v>7</v>
      </c>
      <c r="Z1422" s="56">
        <v>4.95</v>
      </c>
      <c r="AA1422" s="56">
        <v>4.58</v>
      </c>
      <c r="AB1422" s="56">
        <v>4.07</v>
      </c>
      <c r="AC1422" s="56">
        <v>0.86009999999999998</v>
      </c>
      <c r="AD1422" s="56">
        <v>4.22</v>
      </c>
      <c r="AE1422" s="56">
        <v>4.78</v>
      </c>
      <c r="AF1422" s="56">
        <f t="shared" si="338"/>
        <v>4.58</v>
      </c>
      <c r="AG1422" s="57">
        <v>4.42</v>
      </c>
      <c r="AH1422" s="103">
        <v>1.9599999999999999E-11</v>
      </c>
      <c r="AI1422" s="103">
        <v>1.59E-8</v>
      </c>
      <c r="AJ1422" s="62">
        <f t="shared" si="339"/>
        <v>-9.0963102549561761</v>
      </c>
      <c r="AK1422" s="62">
        <f>LOG10(AI1422*1000/(0.08206*298.15))</f>
        <v>-6.1871692019922007</v>
      </c>
      <c r="AL1422" s="62">
        <f t="shared" si="341"/>
        <v>-6.1871692019922007</v>
      </c>
      <c r="AM1422" s="62">
        <v>-15.666689999999999</v>
      </c>
      <c r="AN1422" s="154">
        <v>-7.36</v>
      </c>
      <c r="AO1422" s="410"/>
      <c r="AP1422" s="410">
        <v>-0.08</v>
      </c>
      <c r="AQ1422" s="154" t="s">
        <v>6311</v>
      </c>
      <c r="AR1422" s="154" t="s">
        <v>6312</v>
      </c>
      <c r="AS1422" s="149" t="s">
        <v>6</v>
      </c>
      <c r="AT1422" s="58" t="s">
        <v>266</v>
      </c>
      <c r="AU1422" s="56">
        <v>8</v>
      </c>
      <c r="AV1422" s="56">
        <v>144</v>
      </c>
      <c r="AW1422" s="56">
        <v>120</v>
      </c>
      <c r="AX1422" s="56">
        <v>26</v>
      </c>
      <c r="AY1422" s="56" t="s">
        <v>267</v>
      </c>
      <c r="AZ1422" s="56" t="s">
        <v>268</v>
      </c>
      <c r="BA1422" s="56">
        <v>3</v>
      </c>
      <c r="BB1422" s="55" t="s">
        <v>888</v>
      </c>
      <c r="BC1422" s="55" t="s">
        <v>270</v>
      </c>
      <c r="BD1422" s="55" t="s">
        <v>8374</v>
      </c>
      <c r="BE1422" s="56" t="s">
        <v>889</v>
      </c>
      <c r="BF1422" s="56" t="s">
        <v>272</v>
      </c>
      <c r="BG1422" s="56" t="s">
        <v>272</v>
      </c>
      <c r="BH1422" s="56" t="s">
        <v>890</v>
      </c>
      <c r="BI1422" s="153">
        <v>3.6177999999999997E-4</v>
      </c>
      <c r="BJ1422" s="153">
        <v>28.942399999999999</v>
      </c>
      <c r="BK1422" s="56"/>
      <c r="BL1422" s="153">
        <v>0.66626891935740706</v>
      </c>
      <c r="BM1422" s="56" t="s">
        <v>891</v>
      </c>
      <c r="BN1422" s="162"/>
      <c r="BO1422" s="162"/>
      <c r="BP1422" s="162"/>
      <c r="BQ1422" s="162"/>
      <c r="BR1422" s="162"/>
      <c r="BS1422" s="56">
        <v>1.0708688</v>
      </c>
      <c r="BT1422" s="162"/>
      <c r="BU1422" s="158"/>
      <c r="BV1422" s="162"/>
      <c r="BW1422" s="162"/>
      <c r="BX1422" s="162"/>
      <c r="BY1422" s="162"/>
      <c r="BZ1422" s="162"/>
      <c r="CA1422" s="162"/>
      <c r="CB1422" s="162"/>
      <c r="CC1422" s="56"/>
      <c r="CD1422" s="56"/>
      <c r="CE1422" s="56"/>
      <c r="CF1422" s="56"/>
      <c r="CG1422" s="56"/>
      <c r="CH1422" s="56"/>
      <c r="CI1422" s="103">
        <v>1.0708688</v>
      </c>
      <c r="CJ1422" s="103">
        <f t="shared" si="336"/>
        <v>2.9736265485107046E-2</v>
      </c>
      <c r="CK1422" s="57">
        <f t="shared" si="331"/>
        <v>2.3020513825992562E-2</v>
      </c>
      <c r="CL1422" s="160">
        <f t="shared" si="342"/>
        <v>0.62217604935115034</v>
      </c>
      <c r="CM1422" s="160">
        <v>0.2066085282996776</v>
      </c>
      <c r="CN1422" s="160">
        <f>BJ1422/(10^CM1422)</f>
        <v>17.985644836206358</v>
      </c>
      <c r="CO1422" s="55" t="s">
        <v>892</v>
      </c>
      <c r="CP1422" s="497" t="s">
        <v>893</v>
      </c>
      <c r="CQ1422" s="149">
        <v>0.45802999757152796</v>
      </c>
      <c r="CR1422" s="349">
        <f>10^(CJ1422-CQ1422)</f>
        <v>0.37299779796867694</v>
      </c>
      <c r="CS1422" s="61" t="s">
        <v>539</v>
      </c>
      <c r="CT1422" s="61"/>
      <c r="CU1422" s="111">
        <f t="shared" si="343"/>
        <v>0.84043909020414087</v>
      </c>
      <c r="CV1422" s="331">
        <f t="shared" si="334"/>
        <v>3.1096246337553212E-2</v>
      </c>
      <c r="CW1422" s="326">
        <f t="shared" si="337"/>
        <v>0</v>
      </c>
      <c r="CX1422" s="326" t="s">
        <v>539</v>
      </c>
      <c r="CY1422" s="161" t="s">
        <v>5921</v>
      </c>
    </row>
    <row r="1423" spans="1:103" ht="11.25" customHeight="1" x14ac:dyDescent="0.2">
      <c r="A1423" s="72">
        <v>387</v>
      </c>
      <c r="B1423" s="149">
        <v>460</v>
      </c>
      <c r="C1423" s="54" t="s">
        <v>1505</v>
      </c>
      <c r="D1423" s="54" t="s">
        <v>6698</v>
      </c>
      <c r="E1423" s="59"/>
      <c r="F1423" s="59" t="s">
        <v>1506</v>
      </c>
      <c r="G1423" s="151">
        <v>23564058</v>
      </c>
      <c r="H1423" s="55" t="s">
        <v>1507</v>
      </c>
      <c r="I1423" s="55" t="s">
        <v>1507</v>
      </c>
      <c r="J1423" s="55" t="s">
        <v>1508</v>
      </c>
      <c r="K1423" s="55" t="s">
        <v>1509</v>
      </c>
      <c r="L1423" s="55" t="s">
        <v>6013</v>
      </c>
      <c r="M1423" s="60" t="s">
        <v>2342</v>
      </c>
      <c r="N1423" s="60" t="s">
        <v>2342</v>
      </c>
      <c r="O1423" s="55"/>
      <c r="P1423" s="67"/>
      <c r="Q1423" s="67"/>
      <c r="R1423" s="67"/>
      <c r="S1423" s="67"/>
      <c r="T1423" s="56">
        <v>342.4</v>
      </c>
      <c r="U1423" s="103">
        <v>26.600000000000005</v>
      </c>
      <c r="V1423" s="103">
        <v>438.9</v>
      </c>
      <c r="W1423" s="103">
        <v>25.382462662143375</v>
      </c>
      <c r="X1423" s="103">
        <v>26.600000000000005</v>
      </c>
      <c r="Y1423" s="162">
        <v>4.8499999999999996</v>
      </c>
      <c r="Z1423" s="56">
        <v>1.1000000000000001</v>
      </c>
      <c r="AA1423" s="56">
        <v>1.4</v>
      </c>
      <c r="AB1423" s="56">
        <v>1.29</v>
      </c>
      <c r="AC1423" s="56">
        <v>0.84450000000000003</v>
      </c>
      <c r="AD1423" s="56">
        <v>1.26</v>
      </c>
      <c r="AE1423" s="56">
        <v>1.1599999999999999</v>
      </c>
      <c r="AF1423" s="56">
        <f t="shared" si="338"/>
        <v>1.4</v>
      </c>
      <c r="AG1423" s="57">
        <v>2.13</v>
      </c>
      <c r="AH1423" s="103">
        <v>2.9400000000000001E-13</v>
      </c>
      <c r="AI1423" s="103">
        <v>1.21E-9</v>
      </c>
      <c r="AJ1423" s="62">
        <f t="shared" si="339"/>
        <v>-10.920218995900495</v>
      </c>
      <c r="AK1423" s="62">
        <f>LOG10(AI1423*1000/(0.08206*298.15))</f>
        <v>-7.3057809559962017</v>
      </c>
      <c r="AL1423" s="62">
        <f t="shared" si="341"/>
        <v>-7.3057809559962017</v>
      </c>
      <c r="AM1423" s="62">
        <v>-23.00292</v>
      </c>
      <c r="AN1423" s="154">
        <v>-20.2</v>
      </c>
      <c r="AO1423" s="410">
        <v>6.12</v>
      </c>
      <c r="AP1423" s="410">
        <v>-0.47</v>
      </c>
      <c r="AQ1423" s="154" t="s">
        <v>6311</v>
      </c>
      <c r="AR1423" s="154" t="s">
        <v>6311</v>
      </c>
      <c r="AS1423" s="149" t="s">
        <v>6</v>
      </c>
      <c r="AT1423" s="58" t="s">
        <v>266</v>
      </c>
      <c r="AU1423" s="56">
        <v>8</v>
      </c>
      <c r="AV1423" s="56">
        <v>144</v>
      </c>
      <c r="AW1423" s="56">
        <v>120</v>
      </c>
      <c r="AX1423" s="56">
        <v>26</v>
      </c>
      <c r="AY1423" s="56" t="s">
        <v>267</v>
      </c>
      <c r="AZ1423" s="56" t="s">
        <v>268</v>
      </c>
      <c r="BA1423" s="56">
        <v>2</v>
      </c>
      <c r="BB1423" s="55" t="s">
        <v>888</v>
      </c>
      <c r="BC1423" s="55" t="s">
        <v>270</v>
      </c>
      <c r="BD1423" s="55" t="s">
        <v>8374</v>
      </c>
      <c r="BE1423" s="56" t="s">
        <v>889</v>
      </c>
      <c r="BF1423" s="56" t="s">
        <v>272</v>
      </c>
      <c r="BG1423" s="56" t="s">
        <v>272</v>
      </c>
      <c r="BH1423" s="56" t="s">
        <v>890</v>
      </c>
      <c r="BI1423" s="153">
        <v>3.4239999999999997E-4</v>
      </c>
      <c r="BJ1423" s="153">
        <v>27.391999999999999</v>
      </c>
      <c r="BK1423" s="56"/>
      <c r="BL1423" s="153">
        <v>1808.9383082668351</v>
      </c>
      <c r="BM1423" s="56" t="s">
        <v>891</v>
      </c>
      <c r="BN1423" s="162"/>
      <c r="BO1423" s="162"/>
      <c r="BP1423" s="162"/>
      <c r="BQ1423" s="162"/>
      <c r="BR1423" s="162"/>
      <c r="BS1423" s="56">
        <v>1.013504</v>
      </c>
      <c r="BT1423" s="162"/>
      <c r="BU1423" s="158"/>
      <c r="BV1423" s="162"/>
      <c r="BW1423" s="162"/>
      <c r="BX1423" s="162"/>
      <c r="BY1423" s="162"/>
      <c r="BZ1423" s="162"/>
      <c r="CA1423" s="162"/>
      <c r="CB1423" s="162"/>
      <c r="CC1423" s="56"/>
      <c r="CD1423" s="56"/>
      <c r="CE1423" s="56"/>
      <c r="CF1423" s="56"/>
      <c r="CG1423" s="56"/>
      <c r="CH1423" s="56"/>
      <c r="CI1423" s="103">
        <v>1.013504</v>
      </c>
      <c r="CJ1423" s="103">
        <f t="shared" si="336"/>
        <v>5.8254670640541821E-3</v>
      </c>
      <c r="CK1423" s="57">
        <f t="shared" si="331"/>
        <v>66.038927725862848</v>
      </c>
      <c r="CL1423" s="160">
        <f t="shared" si="342"/>
        <v>1784.8358844827796</v>
      </c>
      <c r="CM1423" s="160">
        <v>1.1206237727719477</v>
      </c>
      <c r="CN1423" s="160">
        <f>BJ1423/(10^CM1423)</f>
        <v>2.0749133752004734</v>
      </c>
      <c r="CO1423" s="55" t="s">
        <v>892</v>
      </c>
      <c r="CP1423" s="497" t="s">
        <v>893</v>
      </c>
      <c r="CQ1423" s="149">
        <v>1.3001240204009425</v>
      </c>
      <c r="CR1423" s="349">
        <f>10^(CJ1423-CQ1423)</f>
        <v>5.0781023121091673E-2</v>
      </c>
      <c r="CS1423" s="61" t="s">
        <v>539</v>
      </c>
      <c r="CT1423" s="61"/>
      <c r="CU1423" s="111">
        <f t="shared" si="343"/>
        <v>26.245579691841382</v>
      </c>
      <c r="CV1423" s="331">
        <f t="shared" si="334"/>
        <v>0.97108644859813109</v>
      </c>
      <c r="CW1423" s="326">
        <f t="shared" si="337"/>
        <v>1</v>
      </c>
      <c r="CX1423" s="326" t="s">
        <v>539</v>
      </c>
      <c r="CY1423" s="161" t="s">
        <v>5921</v>
      </c>
    </row>
    <row r="1424" spans="1:103" ht="11.25" customHeight="1" x14ac:dyDescent="0.2">
      <c r="A1424" s="72">
        <v>388</v>
      </c>
      <c r="B1424" s="149">
        <v>243</v>
      </c>
      <c r="C1424" s="54" t="s">
        <v>1068</v>
      </c>
      <c r="D1424" s="54" t="s">
        <v>6699</v>
      </c>
      <c r="E1424" s="59"/>
      <c r="F1424" s="59" t="s">
        <v>1069</v>
      </c>
      <c r="G1424" s="151">
        <v>122008859</v>
      </c>
      <c r="H1424" s="55" t="s">
        <v>1070</v>
      </c>
      <c r="I1424" s="55" t="s">
        <v>7955</v>
      </c>
      <c r="J1424" s="55" t="s">
        <v>1071</v>
      </c>
      <c r="K1424" s="55" t="s">
        <v>357</v>
      </c>
      <c r="L1424" s="55" t="s">
        <v>5968</v>
      </c>
      <c r="M1424" s="60" t="s">
        <v>2342</v>
      </c>
      <c r="N1424" s="60" t="s">
        <v>2342</v>
      </c>
      <c r="O1424" s="55"/>
      <c r="P1424" s="67"/>
      <c r="Q1424" s="67"/>
      <c r="R1424" s="67"/>
      <c r="S1424" s="67"/>
      <c r="T1424" s="56">
        <v>357.38</v>
      </c>
      <c r="U1424" s="103">
        <v>0.7</v>
      </c>
      <c r="V1424" s="103">
        <v>4.5250000000000004</v>
      </c>
      <c r="W1424" s="103">
        <v>0.42966526364357088</v>
      </c>
      <c r="X1424" s="103">
        <v>0.7</v>
      </c>
      <c r="Y1424" s="162">
        <v>7</v>
      </c>
      <c r="Z1424" s="56">
        <v>4.47</v>
      </c>
      <c r="AA1424" s="56">
        <v>3.31</v>
      </c>
      <c r="AB1424" s="56">
        <v>4.05</v>
      </c>
      <c r="AC1424" s="56">
        <v>0.70509999999999995</v>
      </c>
      <c r="AD1424" s="56">
        <v>4.17</v>
      </c>
      <c r="AE1424" s="56">
        <v>4.4000000000000004</v>
      </c>
      <c r="AF1424" s="56">
        <f t="shared" si="338"/>
        <v>3.31</v>
      </c>
      <c r="AG1424" s="57">
        <v>4.3499999999999996</v>
      </c>
      <c r="AH1424" s="103">
        <v>4.1100000000000001E-9</v>
      </c>
      <c r="AI1424" s="103">
        <v>6.0500000000000004E-9</v>
      </c>
      <c r="AJ1424" s="62">
        <f t="shared" si="339"/>
        <v>-6.7747245044365823</v>
      </c>
      <c r="AK1424" s="62">
        <f>LOG10(AI1424*1000/(0.08206*298.15))</f>
        <v>-6.606810951660183</v>
      </c>
      <c r="AL1424" s="62">
        <f t="shared" si="341"/>
        <v>-6.606810951660183</v>
      </c>
      <c r="AM1424" s="62">
        <v>-14.01172</v>
      </c>
      <c r="AN1424" s="154">
        <v>-6.94</v>
      </c>
      <c r="AO1424" s="410"/>
      <c r="AP1424" s="410"/>
      <c r="AQ1424" s="154" t="s">
        <v>6311</v>
      </c>
      <c r="AR1424" s="154" t="s">
        <v>6312</v>
      </c>
      <c r="AS1424" s="149" t="s">
        <v>63</v>
      </c>
      <c r="AT1424" s="58" t="s">
        <v>266</v>
      </c>
      <c r="AU1424" s="56">
        <v>8</v>
      </c>
      <c r="AV1424" s="56">
        <v>144</v>
      </c>
      <c r="AW1424" s="56">
        <v>120</v>
      </c>
      <c r="AX1424" s="56">
        <v>26</v>
      </c>
      <c r="AY1424" s="56" t="s">
        <v>267</v>
      </c>
      <c r="AZ1424" s="56" t="s">
        <v>268</v>
      </c>
      <c r="BA1424" s="56">
        <v>2</v>
      </c>
      <c r="BB1424" s="55" t="s">
        <v>888</v>
      </c>
      <c r="BC1424" s="55" t="s">
        <v>270</v>
      </c>
      <c r="BD1424" s="55" t="s">
        <v>8374</v>
      </c>
      <c r="BE1424" s="56" t="s">
        <v>889</v>
      </c>
      <c r="BF1424" s="56" t="s">
        <v>272</v>
      </c>
      <c r="BG1424" s="56" t="s">
        <v>272</v>
      </c>
      <c r="BH1424" s="56" t="s">
        <v>890</v>
      </c>
      <c r="BI1424" s="153">
        <v>3.5737999999999997E-4</v>
      </c>
      <c r="BJ1424" s="153">
        <v>28.590399999999999</v>
      </c>
      <c r="BK1424" s="56"/>
      <c r="BL1424" s="153">
        <v>1.7759193715270731</v>
      </c>
      <c r="BM1424" s="56" t="s">
        <v>891</v>
      </c>
      <c r="BN1424" s="162"/>
      <c r="BO1424" s="162"/>
      <c r="BP1424" s="162"/>
      <c r="BQ1424" s="162"/>
      <c r="BR1424" s="162"/>
      <c r="BS1424" s="56">
        <v>1.0578448</v>
      </c>
      <c r="BT1424" s="162"/>
      <c r="BU1424" s="158"/>
      <c r="BV1424" s="162"/>
      <c r="BW1424" s="162"/>
      <c r="BX1424" s="162"/>
      <c r="BY1424" s="162"/>
      <c r="BZ1424" s="162"/>
      <c r="CA1424" s="162"/>
      <c r="CB1424" s="162"/>
      <c r="CC1424" s="56"/>
      <c r="CD1424" s="56"/>
      <c r="CE1424" s="56"/>
      <c r="CF1424" s="56"/>
      <c r="CG1424" s="56"/>
      <c r="CH1424" s="56"/>
      <c r="CI1424" s="103">
        <v>1.0578448</v>
      </c>
      <c r="CJ1424" s="103">
        <f t="shared" si="336"/>
        <v>2.4421955555712711E-2</v>
      </c>
      <c r="CK1424" s="57">
        <f t="shared" si="331"/>
        <v>6.2115933023919677E-2</v>
      </c>
      <c r="CL1424" s="160">
        <f t="shared" si="342"/>
        <v>1.6788090006464778</v>
      </c>
      <c r="CM1424" s="160">
        <v>-7.5351729582636737E-2</v>
      </c>
      <c r="CN1424" s="160">
        <f>BJ1424/(10^CM1424)</f>
        <v>34.007285001357488</v>
      </c>
      <c r="CO1424" s="55" t="s">
        <v>892</v>
      </c>
      <c r="CP1424" s="497" t="s">
        <v>893</v>
      </c>
      <c r="CQ1424" s="149">
        <v>-7.5351729582636737E-2</v>
      </c>
      <c r="CR1424" s="349">
        <f>10^(CJ1424-CQ1424)</f>
        <v>1.258269545050227</v>
      </c>
      <c r="CS1424" s="61" t="s">
        <v>539</v>
      </c>
      <c r="CT1424" s="61"/>
      <c r="CU1424" s="111">
        <f t="shared" si="343"/>
        <v>0.66172277823741243</v>
      </c>
      <c r="CV1424" s="331">
        <f t="shared" si="334"/>
        <v>2.4483742794784262E-2</v>
      </c>
      <c r="CW1424" s="326">
        <f t="shared" si="337"/>
        <v>0</v>
      </c>
      <c r="CX1424" s="326" t="s">
        <v>539</v>
      </c>
      <c r="CY1424" s="161" t="s">
        <v>5921</v>
      </c>
    </row>
    <row r="1425" spans="1:103" ht="11.25" customHeight="1" x14ac:dyDescent="0.2">
      <c r="A1425" s="72">
        <v>389</v>
      </c>
      <c r="B1425" s="149">
        <v>291</v>
      </c>
      <c r="C1425" s="54" t="s">
        <v>1150</v>
      </c>
      <c r="D1425" s="54" t="s">
        <v>6648</v>
      </c>
      <c r="E1425" s="59"/>
      <c r="F1425" s="59" t="s">
        <v>1151</v>
      </c>
      <c r="G1425" s="151">
        <v>161326347</v>
      </c>
      <c r="H1425" s="55" t="s">
        <v>1152</v>
      </c>
      <c r="I1425" s="55" t="s">
        <v>8330</v>
      </c>
      <c r="J1425" s="55" t="s">
        <v>1153</v>
      </c>
      <c r="K1425" s="55" t="s">
        <v>483</v>
      </c>
      <c r="L1425" s="55" t="s">
        <v>5977</v>
      </c>
      <c r="M1425" s="55" t="s">
        <v>6082</v>
      </c>
      <c r="N1425" s="60" t="s">
        <v>6082</v>
      </c>
      <c r="O1425" s="55" t="s">
        <v>6083</v>
      </c>
      <c r="P1425" s="67"/>
      <c r="Q1425" s="67"/>
      <c r="R1425" s="67"/>
      <c r="S1425" s="67"/>
      <c r="T1425" s="56">
        <v>311.39999999999998</v>
      </c>
      <c r="U1425" s="103"/>
      <c r="V1425" s="103">
        <v>11.95</v>
      </c>
      <c r="W1425" s="103">
        <v>13.593103015958755</v>
      </c>
      <c r="X1425" s="103">
        <v>13.593103015958755</v>
      </c>
      <c r="Y1425" s="162">
        <v>7</v>
      </c>
      <c r="Z1425" s="56">
        <v>3.45</v>
      </c>
      <c r="AA1425" s="56"/>
      <c r="AB1425" s="56">
        <v>2.71</v>
      </c>
      <c r="AC1425" s="56">
        <v>0.69220000000000004</v>
      </c>
      <c r="AD1425" s="56">
        <v>3.02</v>
      </c>
      <c r="AE1425" s="56">
        <v>3.61</v>
      </c>
      <c r="AF1425" s="56">
        <f t="shared" si="338"/>
        <v>3.02</v>
      </c>
      <c r="AG1425" s="57">
        <v>3.31</v>
      </c>
      <c r="AH1425" s="103">
        <v>2.8199999999999999E-14</v>
      </c>
      <c r="AI1425" s="103"/>
      <c r="AJ1425" s="62">
        <f t="shared" si="339"/>
        <v>-11.938317217993291</v>
      </c>
      <c r="AK1425" s="62"/>
      <c r="AL1425" s="62">
        <f t="shared" si="341"/>
        <v>-11.938317217993291</v>
      </c>
      <c r="AM1425" s="62">
        <v>-17.162509999999997</v>
      </c>
      <c r="AN1425" s="154">
        <v>-9.2799999999999994</v>
      </c>
      <c r="AO1425" s="410"/>
      <c r="AP1425" s="410">
        <v>0.49</v>
      </c>
      <c r="AQ1425" s="154" t="s">
        <v>6311</v>
      </c>
      <c r="AR1425" s="154" t="s">
        <v>6311</v>
      </c>
      <c r="AS1425" s="149" t="s">
        <v>1154</v>
      </c>
      <c r="AT1425" s="58" t="s">
        <v>266</v>
      </c>
      <c r="AU1425" s="56">
        <v>8</v>
      </c>
      <c r="AV1425" s="56">
        <v>144</v>
      </c>
      <c r="AW1425" s="56">
        <v>120</v>
      </c>
      <c r="AX1425" s="56">
        <v>26</v>
      </c>
      <c r="AY1425" s="56" t="s">
        <v>267</v>
      </c>
      <c r="AZ1425" s="56" t="s">
        <v>268</v>
      </c>
      <c r="BA1425" s="56">
        <v>2</v>
      </c>
      <c r="BB1425" s="55" t="s">
        <v>888</v>
      </c>
      <c r="BC1425" s="55" t="s">
        <v>270</v>
      </c>
      <c r="BD1425" s="55" t="s">
        <v>8374</v>
      </c>
      <c r="BE1425" s="56" t="s">
        <v>889</v>
      </c>
      <c r="BF1425" s="56" t="s">
        <v>272</v>
      </c>
      <c r="BG1425" s="56" t="s">
        <v>272</v>
      </c>
      <c r="BH1425" s="56" t="s">
        <v>890</v>
      </c>
      <c r="BI1425" s="153">
        <v>3.1139999999999998E-4</v>
      </c>
      <c r="BJ1425" s="153">
        <v>24.911999999999999</v>
      </c>
      <c r="BK1425" s="56"/>
      <c r="BL1425" s="153">
        <v>12.754798682260546</v>
      </c>
      <c r="BM1425" s="56" t="s">
        <v>891</v>
      </c>
      <c r="BN1425" s="162"/>
      <c r="BO1425" s="162"/>
      <c r="BP1425" s="162"/>
      <c r="BQ1425" s="162"/>
      <c r="BR1425" s="162"/>
      <c r="BS1425" s="56">
        <v>0.9217439999999999</v>
      </c>
      <c r="BT1425" s="162"/>
      <c r="BU1425" s="158"/>
      <c r="BV1425" s="162"/>
      <c r="BW1425" s="162"/>
      <c r="BX1425" s="162"/>
      <c r="BY1425" s="162"/>
      <c r="BZ1425" s="162"/>
      <c r="CA1425" s="162"/>
      <c r="CB1425" s="162"/>
      <c r="CC1425" s="56"/>
      <c r="CD1425" s="56"/>
      <c r="CE1425" s="56"/>
      <c r="CF1425" s="56"/>
      <c r="CG1425" s="56"/>
      <c r="CH1425" s="56"/>
      <c r="CI1425" s="103">
        <v>0.9217439999999999</v>
      </c>
      <c r="CJ1425" s="103">
        <f t="shared" si="336"/>
        <v>-3.5389680708959981E-2</v>
      </c>
      <c r="CK1425" s="57">
        <f t="shared" si="331"/>
        <v>0.51199416675740794</v>
      </c>
      <c r="CL1425" s="160">
        <f t="shared" si="342"/>
        <v>13.837680182632647</v>
      </c>
      <c r="CM1425" s="160">
        <v>-0.13076828026902421</v>
      </c>
      <c r="CN1425" s="160">
        <f>BJ1425/(10^CM1425)</f>
        <v>33.664864864864896</v>
      </c>
      <c r="CO1425" s="55" t="s">
        <v>892</v>
      </c>
      <c r="CP1425" s="497" t="s">
        <v>893</v>
      </c>
      <c r="CQ1425" s="149">
        <v>-0.13076828026902382</v>
      </c>
      <c r="CR1425" s="349">
        <f>10^(CJ1425-CQ1425)</f>
        <v>1.2455999999999998</v>
      </c>
      <c r="CS1425" s="61" t="s">
        <v>539</v>
      </c>
      <c r="CT1425" s="61"/>
      <c r="CU1425" s="111">
        <f t="shared" si="343"/>
        <v>14.747156494600189</v>
      </c>
      <c r="CV1425" s="331">
        <f t="shared" si="334"/>
        <v>0.54564479030020696</v>
      </c>
      <c r="CW1425" s="326">
        <f t="shared" si="337"/>
        <v>1</v>
      </c>
      <c r="CX1425" s="326" t="s">
        <v>539</v>
      </c>
      <c r="CY1425" s="161" t="s">
        <v>5921</v>
      </c>
    </row>
    <row r="1426" spans="1:103" ht="11.25" customHeight="1" x14ac:dyDescent="0.2">
      <c r="A1426" s="72">
        <v>393</v>
      </c>
      <c r="B1426" s="149">
        <v>419</v>
      </c>
      <c r="C1426" s="54" t="s">
        <v>6703</v>
      </c>
      <c r="D1426" s="54"/>
      <c r="E1426" s="59"/>
      <c r="F1426" s="59" t="s">
        <v>1415</v>
      </c>
      <c r="G1426" s="151">
        <v>181274157</v>
      </c>
      <c r="H1426" s="55" t="s">
        <v>1416</v>
      </c>
      <c r="I1426" s="55" t="s">
        <v>7863</v>
      </c>
      <c r="J1426" s="55" t="s">
        <v>1417</v>
      </c>
      <c r="K1426" s="55" t="s">
        <v>1418</v>
      </c>
      <c r="L1426" s="55"/>
      <c r="M1426" s="55"/>
      <c r="N1426" s="60"/>
      <c r="O1426" s="55"/>
      <c r="P1426" s="67"/>
      <c r="Q1426" s="67"/>
      <c r="R1426" s="67"/>
      <c r="S1426" s="67"/>
      <c r="T1426" s="56">
        <v>398.39</v>
      </c>
      <c r="U1426" s="103"/>
      <c r="V1426" s="103">
        <v>16.899999999999999</v>
      </c>
      <c r="W1426" s="103">
        <v>323.82354933461528</v>
      </c>
      <c r="X1426" s="103">
        <v>323.82354933461528</v>
      </c>
      <c r="Y1426" s="162">
        <v>3.63</v>
      </c>
      <c r="Z1426" s="56">
        <v>2.66</v>
      </c>
      <c r="AA1426" s="56"/>
      <c r="AB1426" s="56">
        <v>1.1000000000000001</v>
      </c>
      <c r="AC1426" s="56">
        <v>0.48370000000000002</v>
      </c>
      <c r="AD1426" s="56">
        <v>0.63</v>
      </c>
      <c r="AE1426" s="56">
        <v>0.06</v>
      </c>
      <c r="AF1426" s="56">
        <f t="shared" si="338"/>
        <v>0.63</v>
      </c>
      <c r="AG1426" s="57">
        <v>0.63</v>
      </c>
      <c r="AH1426" s="103">
        <v>1.41E-17</v>
      </c>
      <c r="AI1426" s="103"/>
      <c r="AJ1426" s="62">
        <f t="shared" si="339"/>
        <v>-15.239347213657272</v>
      </c>
      <c r="AK1426" s="62"/>
      <c r="AL1426" s="62">
        <f t="shared" si="341"/>
        <v>-15.239347213657272</v>
      </c>
      <c r="AM1426" s="62">
        <v>-24.07235</v>
      </c>
      <c r="AN1426" s="154"/>
      <c r="AO1426" s="410">
        <v>4.0199999999999996</v>
      </c>
      <c r="AP1426" s="410">
        <v>-3.75</v>
      </c>
      <c r="AQ1426" s="154" t="s">
        <v>6311</v>
      </c>
      <c r="AR1426" s="154" t="s">
        <v>6312</v>
      </c>
      <c r="AS1426" s="149" t="s">
        <v>120</v>
      </c>
      <c r="AT1426" s="58" t="s">
        <v>266</v>
      </c>
      <c r="AU1426" s="56">
        <v>8</v>
      </c>
      <c r="AV1426" s="56">
        <v>144</v>
      </c>
      <c r="AW1426" s="56">
        <v>120</v>
      </c>
      <c r="AX1426" s="56">
        <v>26</v>
      </c>
      <c r="AY1426" s="56" t="s">
        <v>267</v>
      </c>
      <c r="AZ1426" s="56" t="s">
        <v>268</v>
      </c>
      <c r="BA1426" s="56">
        <v>2</v>
      </c>
      <c r="BB1426" s="55" t="s">
        <v>888</v>
      </c>
      <c r="BC1426" s="55" t="s">
        <v>270</v>
      </c>
      <c r="BD1426" s="55" t="s">
        <v>8374</v>
      </c>
      <c r="BE1426" s="56" t="s">
        <v>889</v>
      </c>
      <c r="BF1426" s="56" t="s">
        <v>272</v>
      </c>
      <c r="BG1426" s="56" t="s">
        <v>272</v>
      </c>
      <c r="BH1426" s="56" t="s">
        <v>890</v>
      </c>
      <c r="BI1426" s="153">
        <v>3.9838999999999999E-4</v>
      </c>
      <c r="BJ1426" s="153">
        <v>31.871199999999998</v>
      </c>
      <c r="BK1426" s="56"/>
      <c r="BL1426" s="153">
        <v>83.591559704413015</v>
      </c>
      <c r="BM1426" s="56" t="s">
        <v>891</v>
      </c>
      <c r="BN1426" s="162"/>
      <c r="BO1426" s="162"/>
      <c r="BP1426" s="162"/>
      <c r="BQ1426" s="162"/>
      <c r="BR1426" s="162"/>
      <c r="BS1426" s="172">
        <v>22.4891155</v>
      </c>
      <c r="BT1426" s="162"/>
      <c r="BU1426" s="173"/>
      <c r="BV1426" s="162"/>
      <c r="BW1426" s="162"/>
      <c r="BX1426" s="162"/>
      <c r="BY1426" s="162"/>
      <c r="BZ1426" s="162"/>
      <c r="CA1426" s="162"/>
      <c r="CB1426" s="162"/>
      <c r="CC1426" s="172"/>
      <c r="CD1426" s="56"/>
      <c r="CE1426" s="56"/>
      <c r="CF1426" s="56"/>
      <c r="CG1426" s="56"/>
      <c r="CH1426" s="172"/>
      <c r="CI1426" s="103">
        <v>22.4891155</v>
      </c>
      <c r="CJ1426" s="103">
        <f t="shared" si="336"/>
        <v>1.3519723749099251</v>
      </c>
      <c r="CK1426" s="57">
        <f t="shared" si="331"/>
        <v>2.6227929825175398</v>
      </c>
      <c r="CL1426" s="160">
        <f t="shared" si="342"/>
        <v>3.7169785403260085</v>
      </c>
      <c r="CM1426" s="160"/>
      <c r="CN1426" s="160"/>
      <c r="CO1426" s="55" t="s">
        <v>892</v>
      </c>
      <c r="CP1426" s="497" t="s">
        <v>893</v>
      </c>
      <c r="CQ1426" s="149" t="s">
        <v>272</v>
      </c>
      <c r="CR1426" s="349"/>
      <c r="CS1426" s="61" t="s">
        <v>539</v>
      </c>
      <c r="CT1426" s="61"/>
      <c r="CU1426" s="111">
        <f t="shared" si="343"/>
        <v>14.399123404147009</v>
      </c>
      <c r="CV1426" s="331">
        <f t="shared" si="334"/>
        <v>10.160381452051235</v>
      </c>
      <c r="CW1426" s="326">
        <f t="shared" si="337"/>
        <v>1</v>
      </c>
      <c r="CX1426" s="326" t="s">
        <v>539</v>
      </c>
      <c r="CY1426" s="161" t="s">
        <v>5921</v>
      </c>
    </row>
    <row r="1427" spans="1:103" ht="11.25" customHeight="1" x14ac:dyDescent="0.2">
      <c r="A1427" s="72">
        <v>404</v>
      </c>
      <c r="B1427" s="149">
        <v>254</v>
      </c>
      <c r="C1427" s="54" t="s">
        <v>1095</v>
      </c>
      <c r="D1427" s="54" t="s">
        <v>6673</v>
      </c>
      <c r="E1427" s="59"/>
      <c r="F1427" s="59" t="s">
        <v>1096</v>
      </c>
      <c r="G1427" s="151">
        <v>84742</v>
      </c>
      <c r="H1427" s="55" t="s">
        <v>1097</v>
      </c>
      <c r="I1427" s="55" t="s">
        <v>1097</v>
      </c>
      <c r="J1427" s="55" t="s">
        <v>1098</v>
      </c>
      <c r="K1427" s="55" t="s">
        <v>357</v>
      </c>
      <c r="L1427" s="55" t="s">
        <v>5492</v>
      </c>
      <c r="M1427" s="55" t="s">
        <v>866</v>
      </c>
      <c r="N1427" s="60" t="s">
        <v>6082</v>
      </c>
      <c r="O1427" s="55" t="s">
        <v>6086</v>
      </c>
      <c r="P1427" s="67"/>
      <c r="Q1427" s="67" t="s">
        <v>6173</v>
      </c>
      <c r="R1427" s="67" t="s">
        <v>6174</v>
      </c>
      <c r="S1427" s="67" t="s">
        <v>6176</v>
      </c>
      <c r="T1427" s="56">
        <v>278.33999999999997</v>
      </c>
      <c r="U1427" s="103">
        <v>11.2</v>
      </c>
      <c r="V1427" s="103">
        <v>2.351</v>
      </c>
      <c r="W1427" s="103">
        <v>24.807078612014664</v>
      </c>
      <c r="X1427" s="103">
        <v>11.2</v>
      </c>
      <c r="Y1427" s="162">
        <v>7</v>
      </c>
      <c r="Z1427" s="56">
        <v>4.6100000000000003</v>
      </c>
      <c r="AA1427" s="56">
        <v>4.5</v>
      </c>
      <c r="AB1427" s="56">
        <v>4.62</v>
      </c>
      <c r="AC1427" s="56">
        <v>0.79549999999999998</v>
      </c>
      <c r="AD1427" s="56">
        <v>4.68</v>
      </c>
      <c r="AE1427" s="56">
        <v>4.83</v>
      </c>
      <c r="AF1427" s="56">
        <f t="shared" si="338"/>
        <v>4.5</v>
      </c>
      <c r="AG1427" s="57">
        <v>3.98</v>
      </c>
      <c r="AH1427" s="103">
        <v>1.22E-6</v>
      </c>
      <c r="AI1427" s="103">
        <v>1.81E-6</v>
      </c>
      <c r="AJ1427" s="62">
        <f t="shared" si="339"/>
        <v>-4.302206495637904</v>
      </c>
      <c r="AK1427" s="62">
        <f>LOG10(AI1427*1000/(0.08206*298.15))</f>
        <v>-4.130887751443467</v>
      </c>
      <c r="AL1427" s="62">
        <f t="shared" si="341"/>
        <v>-4.130887751443467</v>
      </c>
      <c r="AM1427" s="62">
        <v>-8.9484100000000009</v>
      </c>
      <c r="AN1427" s="154">
        <v>-4.67</v>
      </c>
      <c r="AO1427" s="410"/>
      <c r="AP1427" s="410"/>
      <c r="AQ1427" s="154" t="s">
        <v>6311</v>
      </c>
      <c r="AR1427" s="154" t="s">
        <v>6312</v>
      </c>
      <c r="AS1427" s="149" t="s">
        <v>6</v>
      </c>
      <c r="AT1427" s="58" t="s">
        <v>266</v>
      </c>
      <c r="AU1427" s="56">
        <v>8</v>
      </c>
      <c r="AV1427" s="56">
        <v>144</v>
      </c>
      <c r="AW1427" s="56">
        <v>120</v>
      </c>
      <c r="AX1427" s="56">
        <v>26</v>
      </c>
      <c r="AY1427" s="56" t="s">
        <v>267</v>
      </c>
      <c r="AZ1427" s="56" t="s">
        <v>268</v>
      </c>
      <c r="BA1427" s="56">
        <v>4</v>
      </c>
      <c r="BB1427" s="55" t="s">
        <v>888</v>
      </c>
      <c r="BC1427" s="55" t="s">
        <v>270</v>
      </c>
      <c r="BD1427" s="55" t="s">
        <v>8374</v>
      </c>
      <c r="BE1427" s="56" t="s">
        <v>889</v>
      </c>
      <c r="BF1427" s="56" t="s">
        <v>272</v>
      </c>
      <c r="BG1427" s="56" t="s">
        <v>272</v>
      </c>
      <c r="BH1427" s="56" t="s">
        <v>890</v>
      </c>
      <c r="BI1427" s="153">
        <v>2.7833999999999997E-4</v>
      </c>
      <c r="BJ1427" s="153">
        <v>22.267199999999999</v>
      </c>
      <c r="BK1427" s="56"/>
      <c r="BL1427" s="153">
        <v>1.0354630904981286</v>
      </c>
      <c r="BM1427" s="56" t="s">
        <v>891</v>
      </c>
      <c r="BN1427" s="162"/>
      <c r="BO1427" s="162"/>
      <c r="BP1427" s="162"/>
      <c r="BQ1427" s="162"/>
      <c r="BR1427" s="162"/>
      <c r="BS1427" s="56">
        <v>0.58729739999999997</v>
      </c>
      <c r="BT1427" s="162"/>
      <c r="BU1427" s="158"/>
      <c r="BV1427" s="162"/>
      <c r="BW1427" s="162"/>
      <c r="BX1427" s="162"/>
      <c r="BY1427" s="162"/>
      <c r="BZ1427" s="162"/>
      <c r="CA1427" s="162"/>
      <c r="CB1427" s="162"/>
      <c r="CC1427" s="56"/>
      <c r="CD1427" s="56"/>
      <c r="CE1427" s="56"/>
      <c r="CF1427" s="56"/>
      <c r="CG1427" s="56"/>
      <c r="CH1427" s="56"/>
      <c r="CI1427" s="103">
        <v>0.58729739999999997</v>
      </c>
      <c r="CJ1427" s="103">
        <f t="shared" si="336"/>
        <v>-0.23114192179990412</v>
      </c>
      <c r="CK1427" s="57">
        <f t="shared" si="331"/>
        <v>4.6501719591961657E-2</v>
      </c>
      <c r="CL1427" s="160">
        <f t="shared" si="342"/>
        <v>1.7630983731549443</v>
      </c>
      <c r="CM1427" s="160">
        <v>8.6211163422833609E-2</v>
      </c>
      <c r="CN1427" s="160">
        <f>BJ1427/(10^CM1427)</f>
        <v>18.258052287216092</v>
      </c>
      <c r="CO1427" s="55" t="s">
        <v>892</v>
      </c>
      <c r="CP1427" s="497" t="s">
        <v>893</v>
      </c>
      <c r="CQ1427" s="149">
        <v>0.15057234125395008</v>
      </c>
      <c r="CR1427" s="349">
        <f>10^(CJ1427-CQ1427)</f>
        <v>0.4152271446867033</v>
      </c>
      <c r="CS1427" s="61" t="s">
        <v>539</v>
      </c>
      <c r="CT1427" s="61"/>
      <c r="CU1427" s="111">
        <f t="shared" si="343"/>
        <v>19.070406237112575</v>
      </c>
      <c r="CV1427" s="331">
        <f t="shared" si="334"/>
        <v>0.50298196450384425</v>
      </c>
      <c r="CW1427" s="326">
        <f t="shared" si="337"/>
        <v>1</v>
      </c>
      <c r="CX1427" s="326" t="s">
        <v>539</v>
      </c>
      <c r="CY1427" s="161" t="s">
        <v>6351</v>
      </c>
    </row>
    <row r="1428" spans="1:103" ht="11.25" customHeight="1" x14ac:dyDescent="0.2">
      <c r="A1428" s="72">
        <v>406</v>
      </c>
      <c r="B1428" s="149">
        <v>176</v>
      </c>
      <c r="C1428" s="54" t="s">
        <v>6714</v>
      </c>
      <c r="D1428" s="54"/>
      <c r="E1428" s="59"/>
      <c r="F1428" s="59" t="s">
        <v>909</v>
      </c>
      <c r="G1428" s="151">
        <v>555406536</v>
      </c>
      <c r="H1428" s="55" t="s">
        <v>910</v>
      </c>
      <c r="I1428" s="55" t="s">
        <v>7867</v>
      </c>
      <c r="J1428" s="55" t="s">
        <v>911</v>
      </c>
      <c r="K1428" s="55" t="s">
        <v>912</v>
      </c>
      <c r="L1428" s="55" t="s">
        <v>5576</v>
      </c>
      <c r="M1428" s="55" t="s">
        <v>5931</v>
      </c>
      <c r="N1428" s="60"/>
      <c r="O1428" s="55" t="s">
        <v>5940</v>
      </c>
      <c r="P1428" s="67"/>
      <c r="Q1428" s="67"/>
      <c r="R1428" s="67"/>
      <c r="S1428" s="67"/>
      <c r="T1428" s="56">
        <v>281.08999999999997</v>
      </c>
      <c r="U1428" s="103"/>
      <c r="V1428" s="103">
        <v>126.6</v>
      </c>
      <c r="W1428" s="103">
        <v>70.606615703302708</v>
      </c>
      <c r="X1428" s="103">
        <v>70.606615703302708</v>
      </c>
      <c r="Y1428" s="162">
        <v>6.99</v>
      </c>
      <c r="Z1428" s="56">
        <v>2.4500000000000002</v>
      </c>
      <c r="AA1428" s="56"/>
      <c r="AB1428" s="56">
        <v>2.06</v>
      </c>
      <c r="AC1428" s="56">
        <v>0.52690000000000003</v>
      </c>
      <c r="AD1428" s="56">
        <v>3.2</v>
      </c>
      <c r="AE1428" s="56">
        <v>4.4400000000000004</v>
      </c>
      <c r="AF1428" s="56">
        <f t="shared" si="338"/>
        <v>3.2</v>
      </c>
      <c r="AG1428" s="57">
        <v>5.26</v>
      </c>
      <c r="AH1428" s="103">
        <v>8.9299999999999996E-9</v>
      </c>
      <c r="AI1428" s="103"/>
      <c r="AJ1428" s="62">
        <f t="shared" si="339"/>
        <v>-6.4377148674241056</v>
      </c>
      <c r="AK1428" s="62"/>
      <c r="AL1428" s="62">
        <f t="shared" si="341"/>
        <v>-6.4377148674241056</v>
      </c>
      <c r="AM1428" s="62">
        <v>-8.67258</v>
      </c>
      <c r="AN1428" s="154">
        <v>-6.64</v>
      </c>
      <c r="AO1428" s="410">
        <v>12.03</v>
      </c>
      <c r="AP1428" s="410">
        <v>-1.55</v>
      </c>
      <c r="AQ1428" s="154" t="s">
        <v>6311</v>
      </c>
      <c r="AR1428" s="154" t="s">
        <v>6315</v>
      </c>
      <c r="AS1428" s="149" t="s">
        <v>63</v>
      </c>
      <c r="AT1428" s="58" t="s">
        <v>266</v>
      </c>
      <c r="AU1428" s="56">
        <v>8</v>
      </c>
      <c r="AV1428" s="56">
        <v>144</v>
      </c>
      <c r="AW1428" s="56">
        <v>120</v>
      </c>
      <c r="AX1428" s="56">
        <v>26</v>
      </c>
      <c r="AY1428" s="56" t="s">
        <v>267</v>
      </c>
      <c r="AZ1428" s="56" t="s">
        <v>268</v>
      </c>
      <c r="BA1428" s="56">
        <v>4</v>
      </c>
      <c r="BB1428" s="55" t="s">
        <v>888</v>
      </c>
      <c r="BC1428" s="55" t="s">
        <v>270</v>
      </c>
      <c r="BD1428" s="55" t="s">
        <v>8374</v>
      </c>
      <c r="BE1428" s="56" t="s">
        <v>889</v>
      </c>
      <c r="BF1428" s="56" t="s">
        <v>272</v>
      </c>
      <c r="BG1428" s="56" t="s">
        <v>272</v>
      </c>
      <c r="BH1428" s="56" t="s">
        <v>890</v>
      </c>
      <c r="BI1428" s="153">
        <v>2.8108999999999995E-4</v>
      </c>
      <c r="BJ1428" s="153">
        <v>22.487199999999998</v>
      </c>
      <c r="BK1428" s="56"/>
      <c r="BL1428" s="153">
        <v>91.054286482476698</v>
      </c>
      <c r="BM1428" s="56" t="s">
        <v>891</v>
      </c>
      <c r="BN1428" s="162"/>
      <c r="BO1428" s="162"/>
      <c r="BP1428" s="162"/>
      <c r="BQ1428" s="162"/>
      <c r="BR1428" s="162"/>
      <c r="BS1428" s="56">
        <v>0.7167794999999999</v>
      </c>
      <c r="BT1428" s="162"/>
      <c r="BU1428" s="158"/>
      <c r="BV1428" s="162"/>
      <c r="BW1428" s="162"/>
      <c r="BX1428" s="162"/>
      <c r="BY1428" s="162"/>
      <c r="BZ1428" s="162"/>
      <c r="CA1428" s="162"/>
      <c r="CB1428" s="162"/>
      <c r="CC1428" s="56"/>
      <c r="CD1428" s="56"/>
      <c r="CE1428" s="56"/>
      <c r="CF1428" s="56"/>
      <c r="CG1428" s="56"/>
      <c r="CH1428" s="56"/>
      <c r="CI1428" s="103">
        <v>0.7167794999999999</v>
      </c>
      <c r="CJ1428" s="103">
        <f t="shared" si="336"/>
        <v>-0.14461442405490435</v>
      </c>
      <c r="CK1428" s="57">
        <f t="shared" si="331"/>
        <v>4.0491606995302529</v>
      </c>
      <c r="CL1428" s="160">
        <f t="shared" si="342"/>
        <v>127.03249253428245</v>
      </c>
      <c r="CM1428" s="160"/>
      <c r="CN1428" s="160"/>
      <c r="CO1428" s="55" t="s">
        <v>892</v>
      </c>
      <c r="CP1428" s="497" t="s">
        <v>893</v>
      </c>
      <c r="CQ1428" s="149" t="s">
        <v>272</v>
      </c>
      <c r="CR1428" s="349"/>
      <c r="CS1428" s="61" t="s">
        <v>539</v>
      </c>
      <c r="CT1428" s="61"/>
      <c r="CU1428" s="111">
        <f t="shared" si="343"/>
        <v>98.505350255277548</v>
      </c>
      <c r="CV1428" s="331">
        <f t="shared" si="334"/>
        <v>3.1398580393869717</v>
      </c>
      <c r="CW1428" s="326">
        <f t="shared" si="337"/>
        <v>1</v>
      </c>
      <c r="CX1428" s="326" t="s">
        <v>539</v>
      </c>
      <c r="CY1428" s="161" t="s">
        <v>5921</v>
      </c>
    </row>
    <row r="1429" spans="1:103" ht="11.25" customHeight="1" x14ac:dyDescent="0.2">
      <c r="A1429" s="72">
        <v>413</v>
      </c>
      <c r="B1429" s="149">
        <v>278</v>
      </c>
      <c r="C1429" s="54" t="s">
        <v>6721</v>
      </c>
      <c r="D1429" s="54"/>
      <c r="E1429" s="59"/>
      <c r="F1429" s="59" t="s">
        <v>1131</v>
      </c>
      <c r="G1429" s="151" t="s">
        <v>1132</v>
      </c>
      <c r="H1429" s="55" t="s">
        <v>1133</v>
      </c>
      <c r="I1429" s="55" t="s">
        <v>7868</v>
      </c>
      <c r="J1429" s="55" t="s">
        <v>1134</v>
      </c>
      <c r="K1429" s="55"/>
      <c r="L1429" s="55"/>
      <c r="M1429" s="55"/>
      <c r="N1429" s="60"/>
      <c r="O1429" s="55"/>
      <c r="P1429" s="67"/>
      <c r="Q1429" s="67"/>
      <c r="R1429" s="67"/>
      <c r="S1429" s="67"/>
      <c r="T1429" s="56">
        <v>886.12</v>
      </c>
      <c r="U1429" s="103"/>
      <c r="V1429" s="103"/>
      <c r="W1429" s="103">
        <v>80.815104497005834</v>
      </c>
      <c r="X1429" s="103">
        <v>80.815104497005834</v>
      </c>
      <c r="Y1429" s="162">
        <v>9.2799999999999994</v>
      </c>
      <c r="Z1429" s="56"/>
      <c r="AA1429" s="56"/>
      <c r="AB1429" s="56">
        <v>5.8</v>
      </c>
      <c r="AC1429" s="56">
        <v>0.46229999999999999</v>
      </c>
      <c r="AD1429" s="56">
        <v>6.32</v>
      </c>
      <c r="AE1429" s="56">
        <v>6.84</v>
      </c>
      <c r="AF1429" s="56">
        <f t="shared" si="338"/>
        <v>6.32</v>
      </c>
      <c r="AG1429" s="57">
        <v>4.38</v>
      </c>
      <c r="AH1429" s="103"/>
      <c r="AI1429" s="103"/>
      <c r="AJ1429" s="62"/>
      <c r="AK1429" s="62"/>
      <c r="AL1429" s="62"/>
      <c r="AM1429" s="62">
        <v>-40.072839999999999</v>
      </c>
      <c r="AN1429" s="154">
        <v>-30.5</v>
      </c>
      <c r="AO1429" s="410">
        <v>12.42</v>
      </c>
      <c r="AP1429" s="410">
        <v>8.7100000000000009</v>
      </c>
      <c r="AQ1429" s="154" t="s">
        <v>5921</v>
      </c>
      <c r="AR1429" s="154" t="s">
        <v>5921</v>
      </c>
      <c r="AS1429" s="149" t="s">
        <v>63</v>
      </c>
      <c r="AT1429" s="58" t="s">
        <v>266</v>
      </c>
      <c r="AU1429" s="56">
        <v>8</v>
      </c>
      <c r="AV1429" s="56">
        <v>144</v>
      </c>
      <c r="AW1429" s="56">
        <v>120</v>
      </c>
      <c r="AX1429" s="56">
        <v>26</v>
      </c>
      <c r="AY1429" s="56" t="s">
        <v>267</v>
      </c>
      <c r="AZ1429" s="56" t="s">
        <v>268</v>
      </c>
      <c r="BA1429" s="56">
        <v>2</v>
      </c>
      <c r="BB1429" s="55" t="s">
        <v>888</v>
      </c>
      <c r="BC1429" s="55" t="s">
        <v>270</v>
      </c>
      <c r="BD1429" s="55" t="s">
        <v>8374</v>
      </c>
      <c r="BE1429" s="56" t="s">
        <v>889</v>
      </c>
      <c r="BF1429" s="56" t="s">
        <v>272</v>
      </c>
      <c r="BG1429" s="56" t="s">
        <v>272</v>
      </c>
      <c r="BH1429" s="56" t="s">
        <v>890</v>
      </c>
      <c r="BI1429" s="153">
        <v>8.8612000000000001E-4</v>
      </c>
      <c r="BJ1429" s="153">
        <v>70.889600000000002</v>
      </c>
      <c r="BK1429" s="56"/>
      <c r="BL1429" s="153"/>
      <c r="BM1429" s="56" t="s">
        <v>891</v>
      </c>
      <c r="BN1429" s="162"/>
      <c r="BO1429" s="162"/>
      <c r="BP1429" s="162"/>
      <c r="BQ1429" s="162"/>
      <c r="BR1429" s="162"/>
      <c r="BS1429" s="56">
        <v>2.6229152</v>
      </c>
      <c r="BT1429" s="162"/>
      <c r="BU1429" s="158"/>
      <c r="BV1429" s="162"/>
      <c r="BW1429" s="162"/>
      <c r="BX1429" s="162"/>
      <c r="BY1429" s="162"/>
      <c r="BZ1429" s="162"/>
      <c r="CA1429" s="162"/>
      <c r="CB1429" s="162"/>
      <c r="CC1429" s="56"/>
      <c r="CD1429" s="56"/>
      <c r="CE1429" s="56"/>
      <c r="CF1429" s="56"/>
      <c r="CG1429" s="56"/>
      <c r="CH1429" s="56"/>
      <c r="CI1429" s="103">
        <v>2.6229152</v>
      </c>
      <c r="CJ1429" s="103">
        <f t="shared" ref="CJ1429:CJ1459" si="346">LOG10(CI1429)</f>
        <v>0.41878424988604762</v>
      </c>
      <c r="CK1429" s="57">
        <f t="shared" si="331"/>
        <v>0</v>
      </c>
      <c r="CL1429" s="160">
        <f t="shared" si="342"/>
        <v>0</v>
      </c>
      <c r="CM1429" s="160"/>
      <c r="CN1429" s="160"/>
      <c r="CO1429" s="55" t="s">
        <v>892</v>
      </c>
      <c r="CP1429" s="497" t="s">
        <v>893</v>
      </c>
      <c r="CQ1429" s="149" t="s">
        <v>272</v>
      </c>
      <c r="CR1429" s="349"/>
      <c r="CS1429" s="61" t="s">
        <v>539</v>
      </c>
      <c r="CT1429" s="61"/>
      <c r="CU1429" s="111">
        <f t="shared" si="343"/>
        <v>30.811177005267204</v>
      </c>
      <c r="CV1429" s="331">
        <f t="shared" si="334"/>
        <v>1.1400135491948866</v>
      </c>
      <c r="CW1429" s="326">
        <f t="shared" ref="CW1429:CW1459" si="347">IF(CU1429&lt;2,0,1)</f>
        <v>1</v>
      </c>
      <c r="CX1429" s="326" t="s">
        <v>539</v>
      </c>
      <c r="CY1429" s="161" t="s">
        <v>5921</v>
      </c>
    </row>
    <row r="1430" spans="1:103" ht="11.25" customHeight="1" x14ac:dyDescent="0.2">
      <c r="A1430" s="72">
        <v>426</v>
      </c>
      <c r="B1430" s="149">
        <v>432</v>
      </c>
      <c r="C1430" s="54" t="s">
        <v>1445</v>
      </c>
      <c r="D1430" s="54" t="s">
        <v>6735</v>
      </c>
      <c r="E1430" s="59"/>
      <c r="F1430" s="59" t="s">
        <v>1446</v>
      </c>
      <c r="G1430" s="151">
        <v>76578148</v>
      </c>
      <c r="H1430" s="55" t="s">
        <v>1447</v>
      </c>
      <c r="I1430" s="55" t="s">
        <v>7878</v>
      </c>
      <c r="J1430" s="55" t="s">
        <v>1448</v>
      </c>
      <c r="K1430" s="55" t="s">
        <v>357</v>
      </c>
      <c r="L1430" s="55" t="s">
        <v>6012</v>
      </c>
      <c r="M1430" s="55" t="s">
        <v>6082</v>
      </c>
      <c r="N1430" s="60" t="s">
        <v>6082</v>
      </c>
      <c r="O1430" s="55" t="s">
        <v>6083</v>
      </c>
      <c r="P1430" s="67"/>
      <c r="Q1430" s="67"/>
      <c r="R1430" s="67"/>
      <c r="S1430" s="67"/>
      <c r="T1430" s="56">
        <v>372.8</v>
      </c>
      <c r="U1430" s="103">
        <v>0.4</v>
      </c>
      <c r="V1430" s="103">
        <v>0.9961000000000001</v>
      </c>
      <c r="W1430" s="103">
        <v>1.5540890615774106</v>
      </c>
      <c r="X1430" s="103">
        <v>0.4</v>
      </c>
      <c r="Y1430" s="162">
        <v>7</v>
      </c>
      <c r="Z1430" s="56">
        <v>4.3499999999999996</v>
      </c>
      <c r="AA1430" s="56">
        <v>4.28</v>
      </c>
      <c r="AB1430" s="56">
        <v>4.3099999999999996</v>
      </c>
      <c r="AC1430" s="56">
        <v>0.89810000000000001</v>
      </c>
      <c r="AD1430" s="56">
        <v>4.37</v>
      </c>
      <c r="AE1430" s="56">
        <v>4.6500000000000004</v>
      </c>
      <c r="AF1430" s="56">
        <f t="shared" si="338"/>
        <v>4.28</v>
      </c>
      <c r="AG1430" s="57">
        <v>4.13</v>
      </c>
      <c r="AH1430" s="103">
        <v>7.4000000000000003E-11</v>
      </c>
      <c r="AI1430" s="103">
        <v>1.0600000000000001E-8</v>
      </c>
      <c r="AJ1430" s="62">
        <f t="shared" ref="AJ1430:AK1433" si="348">LOG10(AH1430*1000/(0.08206*298.15))</f>
        <v>-8.5193346065816762</v>
      </c>
      <c r="AK1430" s="62">
        <f t="shared" si="348"/>
        <v>-6.3632604610478811</v>
      </c>
      <c r="AL1430" s="62">
        <f t="shared" ref="AL1430:AL1455" si="349">IF(AK1430=0,AJ1430,AK1430)</f>
        <v>-6.3632604610478811</v>
      </c>
      <c r="AM1430" s="62">
        <v>-16.472549999999998</v>
      </c>
      <c r="AN1430" s="154">
        <v>-7.56</v>
      </c>
      <c r="AO1430" s="410"/>
      <c r="AP1430" s="410">
        <v>-1.39</v>
      </c>
      <c r="AQ1430" s="154" t="s">
        <v>6311</v>
      </c>
      <c r="AR1430" s="154" t="s">
        <v>6312</v>
      </c>
      <c r="AS1430" s="149" t="s">
        <v>6</v>
      </c>
      <c r="AT1430" s="58" t="s">
        <v>266</v>
      </c>
      <c r="AU1430" s="56">
        <v>8</v>
      </c>
      <c r="AV1430" s="56">
        <v>144</v>
      </c>
      <c r="AW1430" s="56">
        <v>120</v>
      </c>
      <c r="AX1430" s="56">
        <v>26</v>
      </c>
      <c r="AY1430" s="56" t="s">
        <v>267</v>
      </c>
      <c r="AZ1430" s="56" t="s">
        <v>268</v>
      </c>
      <c r="BA1430" s="56">
        <v>2</v>
      </c>
      <c r="BB1430" s="55" t="s">
        <v>888</v>
      </c>
      <c r="BC1430" s="55" t="s">
        <v>270</v>
      </c>
      <c r="BD1430" s="55" t="s">
        <v>8374</v>
      </c>
      <c r="BE1430" s="56" t="s">
        <v>889</v>
      </c>
      <c r="BF1430" s="56" t="s">
        <v>272</v>
      </c>
      <c r="BG1430" s="56" t="s">
        <v>272</v>
      </c>
      <c r="BH1430" s="56" t="s">
        <v>890</v>
      </c>
      <c r="BI1430" s="153">
        <v>3.7280000000000001E-4</v>
      </c>
      <c r="BJ1430" s="153">
        <v>29.824000000000002</v>
      </c>
      <c r="BK1430" s="56"/>
      <c r="BL1430" s="153">
        <v>2.3743290365048813</v>
      </c>
      <c r="BM1430" s="56" t="s">
        <v>891</v>
      </c>
      <c r="BN1430" s="162"/>
      <c r="BO1430" s="162"/>
      <c r="BP1430" s="162"/>
      <c r="BQ1430" s="162"/>
      <c r="BR1430" s="162"/>
      <c r="BS1430" s="56">
        <v>0.64138937191069822</v>
      </c>
      <c r="BT1430" s="162"/>
      <c r="BU1430" s="158"/>
      <c r="BV1430" s="162"/>
      <c r="BW1430" s="162"/>
      <c r="BX1430" s="162"/>
      <c r="BY1430" s="162"/>
      <c r="BZ1430" s="162"/>
      <c r="CA1430" s="162"/>
      <c r="CB1430" s="162"/>
      <c r="CC1430" s="56"/>
      <c r="CD1430" s="56"/>
      <c r="CE1430" s="56"/>
      <c r="CF1430" s="56"/>
      <c r="CG1430" s="56"/>
      <c r="CH1430" s="56"/>
      <c r="CI1430" s="103">
        <v>0.64138937191069822</v>
      </c>
      <c r="CJ1430" s="103">
        <f t="shared" si="346"/>
        <v>-0.19287824078858698</v>
      </c>
      <c r="CK1430" s="57">
        <f t="shared" si="331"/>
        <v>7.9611354496542414E-2</v>
      </c>
      <c r="CL1430" s="160">
        <f t="shared" si="342"/>
        <v>3.7018527909680787</v>
      </c>
      <c r="CM1430" s="160">
        <v>6.3325410333740145E-2</v>
      </c>
      <c r="CN1430" s="160">
        <f t="shared" ref="CN1430:CN1455" si="350">BJ1430/(10^CM1430)</f>
        <v>25.777481292012403</v>
      </c>
      <c r="CO1430" s="55" t="s">
        <v>892</v>
      </c>
      <c r="CP1430" s="497" t="s">
        <v>893</v>
      </c>
      <c r="CQ1430" s="149">
        <v>0.18169593922657237</v>
      </c>
      <c r="CR1430" s="349">
        <f>10^(CJ1430-CQ1430)</f>
        <v>0.42211017402858991</v>
      </c>
      <c r="CS1430" s="61" t="s">
        <v>539</v>
      </c>
      <c r="CT1430" s="61"/>
      <c r="CU1430" s="111">
        <f t="shared" si="343"/>
        <v>0.62364613059988894</v>
      </c>
      <c r="CV1430" s="331">
        <f t="shared" si="334"/>
        <v>1.3412017167381975E-2</v>
      </c>
      <c r="CW1430" s="326">
        <f t="shared" si="347"/>
        <v>0</v>
      </c>
      <c r="CX1430" s="326" t="s">
        <v>539</v>
      </c>
      <c r="CY1430" s="161" t="s">
        <v>5921</v>
      </c>
    </row>
    <row r="1431" spans="1:103" ht="11.25" customHeight="1" x14ac:dyDescent="0.2">
      <c r="A1431" s="72">
        <v>427</v>
      </c>
      <c r="B1431" s="149">
        <v>214</v>
      </c>
      <c r="C1431" s="54" t="s">
        <v>1017</v>
      </c>
      <c r="D1431" s="54" t="s">
        <v>6477</v>
      </c>
      <c r="E1431" s="59"/>
      <c r="F1431" s="59" t="s">
        <v>1018</v>
      </c>
      <c r="G1431" s="151">
        <v>133062</v>
      </c>
      <c r="H1431" s="55" t="s">
        <v>1019</v>
      </c>
      <c r="I1431" s="55" t="s">
        <v>7879</v>
      </c>
      <c r="J1431" s="55" t="s">
        <v>1020</v>
      </c>
      <c r="K1431" s="55" t="s">
        <v>1016</v>
      </c>
      <c r="L1431" s="55" t="s">
        <v>5929</v>
      </c>
      <c r="M1431" s="168" t="s">
        <v>6082</v>
      </c>
      <c r="N1431" s="60" t="s">
        <v>6082</v>
      </c>
      <c r="O1431" s="55" t="s">
        <v>6083</v>
      </c>
      <c r="P1431" s="67"/>
      <c r="Q1431" s="67"/>
      <c r="R1431" s="67"/>
      <c r="S1431" s="67"/>
      <c r="T1431" s="56">
        <v>300.58999999999997</v>
      </c>
      <c r="U1431" s="103">
        <v>5.0999999999999996</v>
      </c>
      <c r="V1431" s="103">
        <v>49.49</v>
      </c>
      <c r="W1431" s="103">
        <v>5.4698388108957436</v>
      </c>
      <c r="X1431" s="103">
        <v>5.0999999999999996</v>
      </c>
      <c r="Y1431" s="162">
        <v>7</v>
      </c>
      <c r="Z1431" s="56">
        <v>2.74</v>
      </c>
      <c r="AA1431" s="56">
        <v>2.8</v>
      </c>
      <c r="AB1431" s="56">
        <v>2.35</v>
      </c>
      <c r="AC1431" s="56">
        <v>0.74490000000000001</v>
      </c>
      <c r="AD1431" s="56">
        <v>2.19</v>
      </c>
      <c r="AE1431" s="56">
        <v>1.85</v>
      </c>
      <c r="AF1431" s="56">
        <f t="shared" si="338"/>
        <v>2.8</v>
      </c>
      <c r="AG1431" s="57">
        <v>2.33</v>
      </c>
      <c r="AH1431" s="103">
        <v>4.5900000000000001E-9</v>
      </c>
      <c r="AI1431" s="103">
        <v>6.9999999999999998E-9</v>
      </c>
      <c r="AJ1431" s="62">
        <f t="shared" si="348"/>
        <v>-6.7267536407753905</v>
      </c>
      <c r="AK1431" s="62">
        <f t="shared" si="348"/>
        <v>-6.5434682862983946</v>
      </c>
      <c r="AL1431" s="62">
        <f t="shared" si="349"/>
        <v>-6.5434682862983946</v>
      </c>
      <c r="AM1431" s="62">
        <v>-12.354499999999998</v>
      </c>
      <c r="AN1431" s="154">
        <v>-6.93</v>
      </c>
      <c r="AO1431" s="410"/>
      <c r="AP1431" s="410">
        <v>-2.68</v>
      </c>
      <c r="AQ1431" s="154" t="s">
        <v>6311</v>
      </c>
      <c r="AR1431" s="154" t="s">
        <v>6311</v>
      </c>
      <c r="AS1431" s="149" t="s">
        <v>6</v>
      </c>
      <c r="AT1431" s="58" t="s">
        <v>266</v>
      </c>
      <c r="AU1431" s="56">
        <v>8</v>
      </c>
      <c r="AV1431" s="56">
        <v>144</v>
      </c>
      <c r="AW1431" s="56">
        <v>120</v>
      </c>
      <c r="AX1431" s="56">
        <v>26</v>
      </c>
      <c r="AY1431" s="56" t="s">
        <v>267</v>
      </c>
      <c r="AZ1431" s="56" t="s">
        <v>268</v>
      </c>
      <c r="BA1431" s="56">
        <v>2</v>
      </c>
      <c r="BB1431" s="55" t="s">
        <v>888</v>
      </c>
      <c r="BC1431" s="55" t="s">
        <v>270</v>
      </c>
      <c r="BD1431" s="55" t="s">
        <v>8374</v>
      </c>
      <c r="BE1431" s="56" t="s">
        <v>889</v>
      </c>
      <c r="BF1431" s="56" t="s">
        <v>272</v>
      </c>
      <c r="BG1431" s="56" t="s">
        <v>272</v>
      </c>
      <c r="BH1431" s="56" t="s">
        <v>890</v>
      </c>
      <c r="BI1431" s="153">
        <v>3.0058999999999994E-4</v>
      </c>
      <c r="BJ1431" s="153">
        <v>24.0472</v>
      </c>
      <c r="BK1431" s="56"/>
      <c r="BL1431" s="153">
        <v>53.454039276102598</v>
      </c>
      <c r="BM1431" s="56" t="s">
        <v>891</v>
      </c>
      <c r="BN1431" s="162"/>
      <c r="BO1431" s="162"/>
      <c r="BP1431" s="162"/>
      <c r="BQ1431" s="162"/>
      <c r="BR1431" s="162"/>
      <c r="BS1431" s="56">
        <v>0.51715459040406853</v>
      </c>
      <c r="BT1431" s="162"/>
      <c r="BU1431" s="158"/>
      <c r="BV1431" s="162"/>
      <c r="BW1431" s="162"/>
      <c r="BX1431" s="162"/>
      <c r="BY1431" s="162"/>
      <c r="BZ1431" s="162"/>
      <c r="CA1431" s="162"/>
      <c r="CB1431" s="162"/>
      <c r="CC1431" s="56"/>
      <c r="CD1431" s="56"/>
      <c r="CE1431" s="56"/>
      <c r="CF1431" s="56"/>
      <c r="CG1431" s="56"/>
      <c r="CH1431" s="56"/>
      <c r="CI1431" s="103">
        <v>0.51715459040406853</v>
      </c>
      <c r="CJ1431" s="103">
        <f t="shared" si="346"/>
        <v>-0.28637961604751427</v>
      </c>
      <c r="CK1431" s="57">
        <f t="shared" si="331"/>
        <v>2.2228799725582435</v>
      </c>
      <c r="CL1431" s="160">
        <f t="shared" si="342"/>
        <v>103.36181920832867</v>
      </c>
      <c r="CM1431" s="160">
        <v>-1.0765462865276458</v>
      </c>
      <c r="CN1431" s="160">
        <f t="shared" si="350"/>
        <v>286.82090510011972</v>
      </c>
      <c r="CO1431" s="55" t="s">
        <v>892</v>
      </c>
      <c r="CP1431" s="497" t="s">
        <v>893</v>
      </c>
      <c r="CQ1431" s="149">
        <v>-0.94210033726019027</v>
      </c>
      <c r="CR1431" s="349">
        <f>10^(CJ1431-CQ1431)</f>
        <v>4.5260643177243232</v>
      </c>
      <c r="CS1431" s="61" t="s">
        <v>539</v>
      </c>
      <c r="CT1431" s="61"/>
      <c r="CU1431" s="111">
        <f t="shared" si="343"/>
        <v>9.8616547056368873</v>
      </c>
      <c r="CV1431" s="331">
        <f t="shared" si="334"/>
        <v>0.21208290362287499</v>
      </c>
      <c r="CW1431" s="326">
        <f t="shared" si="347"/>
        <v>1</v>
      </c>
      <c r="CX1431" s="326" t="s">
        <v>539</v>
      </c>
      <c r="CY1431" s="161" t="s">
        <v>5921</v>
      </c>
    </row>
    <row r="1432" spans="1:103" ht="11.25" customHeight="1" x14ac:dyDescent="0.2">
      <c r="A1432" s="72">
        <v>428</v>
      </c>
      <c r="B1432" s="149">
        <v>213</v>
      </c>
      <c r="C1432" s="54" t="s">
        <v>1012</v>
      </c>
      <c r="D1432" s="54" t="s">
        <v>6736</v>
      </c>
      <c r="E1432" s="59"/>
      <c r="F1432" s="59" t="s">
        <v>1013</v>
      </c>
      <c r="G1432" s="151">
        <v>2939802</v>
      </c>
      <c r="H1432" s="55" t="s">
        <v>1014</v>
      </c>
      <c r="I1432" s="55" t="s">
        <v>7880</v>
      </c>
      <c r="J1432" s="55" t="s">
        <v>1015</v>
      </c>
      <c r="K1432" s="55" t="s">
        <v>1016</v>
      </c>
      <c r="L1432" s="55" t="s">
        <v>5929</v>
      </c>
      <c r="M1432" s="168" t="s">
        <v>6073</v>
      </c>
      <c r="N1432" s="60" t="s">
        <v>6082</v>
      </c>
      <c r="O1432" s="55" t="s">
        <v>6083</v>
      </c>
      <c r="P1432" s="67"/>
      <c r="Q1432" s="67"/>
      <c r="R1432" s="67"/>
      <c r="S1432" s="67"/>
      <c r="T1432" s="56">
        <v>349.06</v>
      </c>
      <c r="U1432" s="103">
        <v>1.3999999999999997</v>
      </c>
      <c r="V1432" s="103">
        <v>3.5689999999999995</v>
      </c>
      <c r="W1432" s="103">
        <v>1.2968808706865911</v>
      </c>
      <c r="X1432" s="103">
        <v>1.3999999999999997</v>
      </c>
      <c r="Y1432" s="162">
        <v>7</v>
      </c>
      <c r="Z1432" s="56">
        <v>3.42</v>
      </c>
      <c r="AA1432" s="56">
        <v>3.8</v>
      </c>
      <c r="AB1432" s="56">
        <v>3.37</v>
      </c>
      <c r="AC1432" s="56">
        <v>0.81399999999999995</v>
      </c>
      <c r="AD1432" s="56">
        <v>3.12</v>
      </c>
      <c r="AE1432" s="56">
        <v>2.4</v>
      </c>
      <c r="AF1432" s="56">
        <f t="shared" si="338"/>
        <v>3.8</v>
      </c>
      <c r="AG1432" s="57">
        <v>2.95</v>
      </c>
      <c r="AH1432" s="103">
        <v>2.1499999999999998E-9</v>
      </c>
      <c r="AI1432" s="103">
        <v>4.9200000000000004E-9</v>
      </c>
      <c r="AJ1432" s="62">
        <f t="shared" si="348"/>
        <v>-7.0561278663970466</v>
      </c>
      <c r="AK1432" s="62">
        <f t="shared" si="348"/>
        <v>-6.6966012235452919</v>
      </c>
      <c r="AL1432" s="62">
        <f t="shared" si="349"/>
        <v>-6.6966012235452919</v>
      </c>
      <c r="AM1432" s="62">
        <v>-14.13646</v>
      </c>
      <c r="AN1432" s="154">
        <v>-7.96</v>
      </c>
      <c r="AO1432" s="410"/>
      <c r="AP1432" s="410">
        <v>-2.67</v>
      </c>
      <c r="AQ1432" s="154" t="s">
        <v>6311</v>
      </c>
      <c r="AR1432" s="154" t="s">
        <v>6311</v>
      </c>
      <c r="AS1432" s="149" t="s">
        <v>6</v>
      </c>
      <c r="AT1432" s="58" t="s">
        <v>266</v>
      </c>
      <c r="AU1432" s="56">
        <v>8</v>
      </c>
      <c r="AV1432" s="56">
        <v>144</v>
      </c>
      <c r="AW1432" s="56">
        <v>120</v>
      </c>
      <c r="AX1432" s="56">
        <v>26</v>
      </c>
      <c r="AY1432" s="56" t="s">
        <v>267</v>
      </c>
      <c r="AZ1432" s="56" t="s">
        <v>268</v>
      </c>
      <c r="BA1432" s="56">
        <v>2</v>
      </c>
      <c r="BB1432" s="55" t="s">
        <v>888</v>
      </c>
      <c r="BC1432" s="55" t="s">
        <v>270</v>
      </c>
      <c r="BD1432" s="55" t="s">
        <v>8374</v>
      </c>
      <c r="BE1432" s="56" t="s">
        <v>889</v>
      </c>
      <c r="BF1432" s="56" t="s">
        <v>272</v>
      </c>
      <c r="BG1432" s="56" t="s">
        <v>272</v>
      </c>
      <c r="BH1432" s="56" t="s">
        <v>890</v>
      </c>
      <c r="BI1432" s="153">
        <v>3.4906E-4</v>
      </c>
      <c r="BJ1432" s="153">
        <v>27.924800000000001</v>
      </c>
      <c r="BK1432" s="56"/>
      <c r="BL1432" s="153">
        <v>15.212412188772467</v>
      </c>
      <c r="BM1432" s="56" t="s">
        <v>891</v>
      </c>
      <c r="BN1432" s="162"/>
      <c r="BO1432" s="162"/>
      <c r="BP1432" s="162"/>
      <c r="BQ1432" s="162"/>
      <c r="BR1432" s="162"/>
      <c r="BS1432" s="56">
        <v>0.60054553154277979</v>
      </c>
      <c r="BT1432" s="162"/>
      <c r="BU1432" s="158"/>
      <c r="BV1432" s="162"/>
      <c r="BW1432" s="162"/>
      <c r="BX1432" s="162"/>
      <c r="BY1432" s="162"/>
      <c r="BZ1432" s="162"/>
      <c r="CA1432" s="162"/>
      <c r="CB1432" s="162"/>
      <c r="CC1432" s="56"/>
      <c r="CD1432" s="56"/>
      <c r="CE1432" s="56"/>
      <c r="CF1432" s="56"/>
      <c r="CG1432" s="56"/>
      <c r="CH1432" s="56"/>
      <c r="CI1432" s="103">
        <v>0.60054553154277979</v>
      </c>
      <c r="CJ1432" s="103">
        <f t="shared" si="346"/>
        <v>-0.22145406012093066</v>
      </c>
      <c r="CK1432" s="57">
        <f t="shared" si="331"/>
        <v>0.54476351446644078</v>
      </c>
      <c r="CL1432" s="160">
        <f t="shared" si="342"/>
        <v>25.330988892203276</v>
      </c>
      <c r="CM1432" s="160">
        <v>-1.0148584283774775</v>
      </c>
      <c r="CN1432" s="160">
        <f t="shared" si="350"/>
        <v>288.96716668441286</v>
      </c>
      <c r="CO1432" s="55" t="s">
        <v>892</v>
      </c>
      <c r="CP1432" s="497" t="s">
        <v>893</v>
      </c>
      <c r="CQ1432" s="149">
        <v>-0.82759508113974289</v>
      </c>
      <c r="CR1432" s="349">
        <f>10^(CJ1432-CQ1432)</f>
        <v>4.0377648311417662</v>
      </c>
      <c r="CS1432" s="61" t="s">
        <v>539</v>
      </c>
      <c r="CT1432" s="61"/>
      <c r="CU1432" s="111">
        <f t="shared" si="343"/>
        <v>2.3312137489449807</v>
      </c>
      <c r="CV1432" s="331">
        <f t="shared" si="334"/>
        <v>5.0134647338566422E-2</v>
      </c>
      <c r="CW1432" s="326">
        <f t="shared" si="347"/>
        <v>1</v>
      </c>
      <c r="CX1432" s="326" t="s">
        <v>539</v>
      </c>
      <c r="CY1432" s="161" t="s">
        <v>5921</v>
      </c>
    </row>
    <row r="1433" spans="1:103" ht="11.25" customHeight="1" x14ac:dyDescent="0.2">
      <c r="A1433" s="72">
        <v>430</v>
      </c>
      <c r="B1433" s="149">
        <v>196</v>
      </c>
      <c r="C1433" s="54" t="s">
        <v>963</v>
      </c>
      <c r="D1433" s="54" t="s">
        <v>6738</v>
      </c>
      <c r="E1433" s="59"/>
      <c r="F1433" s="59" t="s">
        <v>964</v>
      </c>
      <c r="G1433" s="151">
        <v>17804352</v>
      </c>
      <c r="H1433" s="55" t="s">
        <v>965</v>
      </c>
      <c r="I1433" s="55" t="s">
        <v>7881</v>
      </c>
      <c r="J1433" s="55" t="s">
        <v>966</v>
      </c>
      <c r="K1433" s="55" t="s">
        <v>967</v>
      </c>
      <c r="L1433" s="55" t="s">
        <v>5929</v>
      </c>
      <c r="M1433" s="55" t="s">
        <v>5946</v>
      </c>
      <c r="N1433" s="60" t="s">
        <v>6383</v>
      </c>
      <c r="O1433" s="55" t="s">
        <v>5947</v>
      </c>
      <c r="P1433" s="67"/>
      <c r="Q1433" s="67"/>
      <c r="R1433" s="67"/>
      <c r="S1433" s="67"/>
      <c r="T1433" s="56">
        <v>290.32</v>
      </c>
      <c r="U1433" s="103">
        <v>3.8</v>
      </c>
      <c r="V1433" s="103">
        <v>216.2</v>
      </c>
      <c r="W1433" s="103">
        <v>115.57847375509127</v>
      </c>
      <c r="X1433" s="103">
        <v>3.8</v>
      </c>
      <c r="Y1433" s="162">
        <v>7.05</v>
      </c>
      <c r="Z1433" s="56">
        <v>2.2400000000000002</v>
      </c>
      <c r="AA1433" s="56">
        <v>2.12</v>
      </c>
      <c r="AB1433" s="56">
        <v>1.69</v>
      </c>
      <c r="AC1433" s="56">
        <v>0.86480000000000001</v>
      </c>
      <c r="AD1433" s="56">
        <v>1.8</v>
      </c>
      <c r="AE1433" s="56">
        <v>2.12</v>
      </c>
      <c r="AF1433" s="56">
        <f t="shared" si="338"/>
        <v>2.12</v>
      </c>
      <c r="AG1433" s="57">
        <v>1.83</v>
      </c>
      <c r="AH1433" s="103">
        <v>1.23E-12</v>
      </c>
      <c r="AI1433" s="103">
        <v>4.9300000000000002E-12</v>
      </c>
      <c r="AJ1433" s="62">
        <f t="shared" si="348"/>
        <v>-10.298661214873254</v>
      </c>
      <c r="AK1433" s="62">
        <f t="shared" si="348"/>
        <v>-9.6957194070354209</v>
      </c>
      <c r="AL1433" s="62">
        <f t="shared" si="349"/>
        <v>-9.6957194070354209</v>
      </c>
      <c r="AM1433" s="62">
        <v>-20.06701</v>
      </c>
      <c r="AN1433" s="154">
        <v>-10.199999999999999</v>
      </c>
      <c r="AO1433" s="410">
        <v>11.78</v>
      </c>
      <c r="AP1433" s="410">
        <v>3.48</v>
      </c>
      <c r="AQ1433" s="154" t="s">
        <v>6311</v>
      </c>
      <c r="AR1433" s="154" t="s">
        <v>6312</v>
      </c>
      <c r="AS1433" s="149" t="s">
        <v>6</v>
      </c>
      <c r="AT1433" s="58" t="s">
        <v>266</v>
      </c>
      <c r="AU1433" s="56">
        <v>8</v>
      </c>
      <c r="AV1433" s="56">
        <v>144</v>
      </c>
      <c r="AW1433" s="56">
        <v>120</v>
      </c>
      <c r="AX1433" s="56">
        <v>26</v>
      </c>
      <c r="AY1433" s="56" t="s">
        <v>267</v>
      </c>
      <c r="AZ1433" s="56" t="s">
        <v>268</v>
      </c>
      <c r="BA1433" s="56">
        <v>2</v>
      </c>
      <c r="BB1433" s="55" t="s">
        <v>888</v>
      </c>
      <c r="BC1433" s="55" t="s">
        <v>270</v>
      </c>
      <c r="BD1433" s="55" t="s">
        <v>8374</v>
      </c>
      <c r="BE1433" s="56" t="s">
        <v>889</v>
      </c>
      <c r="BF1433" s="56" t="s">
        <v>272</v>
      </c>
      <c r="BG1433" s="56" t="s">
        <v>272</v>
      </c>
      <c r="BH1433" s="56" t="s">
        <v>890</v>
      </c>
      <c r="BI1433" s="153">
        <v>2.9032E-4</v>
      </c>
      <c r="BJ1433" s="153">
        <v>23.2256</v>
      </c>
      <c r="BK1433" s="56"/>
      <c r="BL1433" s="153">
        <v>145.18874631636413</v>
      </c>
      <c r="BM1433" s="56" t="s">
        <v>891</v>
      </c>
      <c r="BN1433" s="162"/>
      <c r="BO1433" s="162"/>
      <c r="BP1433" s="162"/>
      <c r="BQ1433" s="162"/>
      <c r="BR1433" s="162"/>
      <c r="BS1433" s="56">
        <v>0.49948541430556304</v>
      </c>
      <c r="BT1433" s="162"/>
      <c r="BU1433" s="158"/>
      <c r="BV1433" s="162"/>
      <c r="BW1433" s="162"/>
      <c r="BX1433" s="162"/>
      <c r="BY1433" s="162"/>
      <c r="BZ1433" s="162"/>
      <c r="CA1433" s="162"/>
      <c r="CB1433" s="162"/>
      <c r="CC1433" s="56"/>
      <c r="CD1433" s="56"/>
      <c r="CE1433" s="56"/>
      <c r="CF1433" s="56"/>
      <c r="CG1433" s="56"/>
      <c r="CH1433" s="56"/>
      <c r="CI1433" s="103">
        <v>0.49948541430556304</v>
      </c>
      <c r="CJ1433" s="103">
        <f t="shared" si="346"/>
        <v>-0.30147718927803069</v>
      </c>
      <c r="CK1433" s="57">
        <f t="shared" si="331"/>
        <v>6.2512376996230081</v>
      </c>
      <c r="CL1433" s="160">
        <f t="shared" si="342"/>
        <v>290.67664872300776</v>
      </c>
      <c r="CM1433" s="160">
        <v>-0.55224186763934668</v>
      </c>
      <c r="CN1433" s="160">
        <f t="shared" si="350"/>
        <v>82.834033599480577</v>
      </c>
      <c r="CO1433" s="55" t="s">
        <v>892</v>
      </c>
      <c r="CP1433" s="497" t="s">
        <v>893</v>
      </c>
      <c r="CQ1433" s="149">
        <v>-0.25914176268082983</v>
      </c>
      <c r="CR1433" s="349">
        <f>10^(CJ1433-CQ1433)</f>
        <v>0.90711964724858107</v>
      </c>
      <c r="CS1433" s="61" t="s">
        <v>539</v>
      </c>
      <c r="CT1433" s="61"/>
      <c r="CU1433" s="111">
        <f t="shared" si="343"/>
        <v>7.6078297607211578</v>
      </c>
      <c r="CV1433" s="331">
        <f t="shared" si="334"/>
        <v>0.16361256544502617</v>
      </c>
      <c r="CW1433" s="326">
        <f t="shared" si="347"/>
        <v>1</v>
      </c>
      <c r="CX1433" s="326" t="s">
        <v>539</v>
      </c>
      <c r="CY1433" s="161" t="s">
        <v>5921</v>
      </c>
    </row>
    <row r="1434" spans="1:103" ht="11.25" customHeight="1" x14ac:dyDescent="0.2">
      <c r="A1434" s="72">
        <v>431</v>
      </c>
      <c r="B1434" s="149">
        <v>174</v>
      </c>
      <c r="C1434" s="54" t="s">
        <v>901</v>
      </c>
      <c r="D1434" s="54" t="s">
        <v>6739</v>
      </c>
      <c r="E1434" s="59"/>
      <c r="F1434" s="59" t="s">
        <v>902</v>
      </c>
      <c r="G1434" s="151">
        <v>136458</v>
      </c>
      <c r="H1434" s="55" t="s">
        <v>903</v>
      </c>
      <c r="I1434" s="55" t="s">
        <v>903</v>
      </c>
      <c r="J1434" s="55" t="s">
        <v>904</v>
      </c>
      <c r="K1434" s="55" t="s">
        <v>357</v>
      </c>
      <c r="L1434" s="55" t="s">
        <v>5928</v>
      </c>
      <c r="M1434" s="55" t="s">
        <v>6082</v>
      </c>
      <c r="N1434" s="60" t="s">
        <v>6082</v>
      </c>
      <c r="O1434" s="55" t="s">
        <v>6083</v>
      </c>
      <c r="P1434" s="67"/>
      <c r="Q1434" s="67"/>
      <c r="R1434" s="67"/>
      <c r="S1434" s="67"/>
      <c r="T1434" s="56">
        <v>251.28</v>
      </c>
      <c r="U1434" s="103"/>
      <c r="V1434" s="103">
        <v>20.8</v>
      </c>
      <c r="W1434" s="103">
        <v>616.81925633333435</v>
      </c>
      <c r="X1434" s="103">
        <v>616.81925633333435</v>
      </c>
      <c r="Y1434" s="162">
        <v>7</v>
      </c>
      <c r="Z1434" s="56">
        <v>2.12</v>
      </c>
      <c r="AA1434" s="56">
        <v>3.57</v>
      </c>
      <c r="AB1434" s="56">
        <v>2.65</v>
      </c>
      <c r="AC1434" s="56">
        <v>0.8266</v>
      </c>
      <c r="AD1434" s="56">
        <v>2.77</v>
      </c>
      <c r="AE1434" s="56">
        <v>3.09</v>
      </c>
      <c r="AF1434" s="56">
        <f t="shared" si="338"/>
        <v>3.57</v>
      </c>
      <c r="AG1434" s="57">
        <v>2.34</v>
      </c>
      <c r="AH1434" s="103">
        <v>9.0899999999999996E-10</v>
      </c>
      <c r="AI1434" s="103"/>
      <c r="AJ1434" s="62">
        <f t="shared" ref="AJ1434:AJ1455" si="351">LOG10(AH1434*1000/(0.08206*298.15))</f>
        <v>-7.4300024430906841</v>
      </c>
      <c r="AK1434" s="62"/>
      <c r="AL1434" s="62">
        <f t="shared" si="349"/>
        <v>-7.4300024430906841</v>
      </c>
      <c r="AM1434" s="62">
        <v>-10.431010000000001</v>
      </c>
      <c r="AN1434" s="154">
        <v>-7.8</v>
      </c>
      <c r="AO1434" s="410"/>
      <c r="AP1434" s="410">
        <v>-0.23</v>
      </c>
      <c r="AQ1434" s="154" t="s">
        <v>6311</v>
      </c>
      <c r="AR1434" s="154" t="s">
        <v>6312</v>
      </c>
      <c r="AS1434" s="149" t="s">
        <v>6</v>
      </c>
      <c r="AT1434" s="58" t="s">
        <v>266</v>
      </c>
      <c r="AU1434" s="56">
        <v>8</v>
      </c>
      <c r="AV1434" s="56">
        <v>144</v>
      </c>
      <c r="AW1434" s="56">
        <v>120</v>
      </c>
      <c r="AX1434" s="56">
        <v>26</v>
      </c>
      <c r="AY1434" s="56" t="s">
        <v>267</v>
      </c>
      <c r="AZ1434" s="56" t="s">
        <v>268</v>
      </c>
      <c r="BA1434" s="56">
        <v>2</v>
      </c>
      <c r="BB1434" s="55" t="s">
        <v>888</v>
      </c>
      <c r="BC1434" s="55" t="s">
        <v>270</v>
      </c>
      <c r="BD1434" s="55" t="s">
        <v>8374</v>
      </c>
      <c r="BE1434" s="56" t="s">
        <v>889</v>
      </c>
      <c r="BF1434" s="56" t="s">
        <v>272</v>
      </c>
      <c r="BG1434" s="56" t="s">
        <v>272</v>
      </c>
      <c r="BH1434" s="56" t="s">
        <v>890</v>
      </c>
      <c r="BI1434" s="153">
        <v>2.5127999999999999E-4</v>
      </c>
      <c r="BJ1434" s="153">
        <v>20.102399999999999</v>
      </c>
      <c r="BK1434" s="56"/>
      <c r="BL1434" s="153">
        <v>161.059343082559</v>
      </c>
      <c r="BM1434" s="56" t="s">
        <v>891</v>
      </c>
      <c r="BN1434" s="162"/>
      <c r="BO1434" s="162"/>
      <c r="BP1434" s="162"/>
      <c r="BQ1434" s="162"/>
      <c r="BR1434" s="162"/>
      <c r="BS1434" s="56">
        <v>0.43231845862049423</v>
      </c>
      <c r="BT1434" s="162"/>
      <c r="BU1434" s="158"/>
      <c r="BV1434" s="162"/>
      <c r="BW1434" s="162"/>
      <c r="BX1434" s="162"/>
      <c r="BY1434" s="162"/>
      <c r="BZ1434" s="162"/>
      <c r="CA1434" s="162"/>
      <c r="CB1434" s="162"/>
      <c r="CC1434" s="56"/>
      <c r="CD1434" s="56"/>
      <c r="CE1434" s="56"/>
      <c r="CF1434" s="56"/>
      <c r="CG1434" s="56"/>
      <c r="CH1434" s="56"/>
      <c r="CI1434" s="103">
        <v>0.43231845862049423</v>
      </c>
      <c r="CJ1434" s="103">
        <f t="shared" si="346"/>
        <v>-0.36419622108008237</v>
      </c>
      <c r="CK1434" s="57">
        <f t="shared" si="331"/>
        <v>8.0119459906557928</v>
      </c>
      <c r="CL1434" s="160">
        <f t="shared" si="342"/>
        <v>372.54792126269837</v>
      </c>
      <c r="CM1434" s="160">
        <v>-0.3565473235138128</v>
      </c>
      <c r="CN1434" s="160">
        <f t="shared" si="350"/>
        <v>45.687272727272749</v>
      </c>
      <c r="CO1434" s="55" t="s">
        <v>892</v>
      </c>
      <c r="CP1434" s="497" t="s">
        <v>893</v>
      </c>
      <c r="CQ1434" s="149">
        <v>-0.17827366175690632</v>
      </c>
      <c r="CR1434" s="349">
        <f>10^(CJ1434-CQ1434)</f>
        <v>0.65174459872225743</v>
      </c>
      <c r="CS1434" s="61" t="s">
        <v>539</v>
      </c>
      <c r="CT1434" s="61"/>
      <c r="CU1434" s="111">
        <f t="shared" si="343"/>
        <v>1426.7705762589287</v>
      </c>
      <c r="CV1434" s="331">
        <f t="shared" si="334"/>
        <v>30.683861446062878</v>
      </c>
      <c r="CW1434" s="326">
        <f t="shared" si="347"/>
        <v>1</v>
      </c>
      <c r="CX1434" s="326" t="s">
        <v>539</v>
      </c>
      <c r="CY1434" s="161" t="s">
        <v>5921</v>
      </c>
    </row>
    <row r="1435" spans="1:103" ht="11.25" customHeight="1" x14ac:dyDescent="0.2">
      <c r="A1435" s="72">
        <v>432</v>
      </c>
      <c r="B1435" s="149">
        <v>372</v>
      </c>
      <c r="C1435" s="54" t="s">
        <v>1315</v>
      </c>
      <c r="D1435" s="54" t="s">
        <v>6726</v>
      </c>
      <c r="E1435" s="59"/>
      <c r="F1435" s="59" t="s">
        <v>3291</v>
      </c>
      <c r="G1435" s="59" t="s">
        <v>3291</v>
      </c>
      <c r="H1435" s="55" t="s">
        <v>1317</v>
      </c>
      <c r="I1435" s="55" t="s">
        <v>7882</v>
      </c>
      <c r="J1435" s="55"/>
      <c r="K1435" s="55" t="s">
        <v>1318</v>
      </c>
      <c r="L1435" s="55" t="s">
        <v>617</v>
      </c>
      <c r="M1435" s="55"/>
      <c r="N1435" s="60"/>
      <c r="O1435" s="55" t="s">
        <v>918</v>
      </c>
      <c r="P1435" s="67"/>
      <c r="Q1435" s="67"/>
      <c r="R1435" s="67"/>
      <c r="S1435" s="67"/>
      <c r="T1435" s="56">
        <v>528.69000000000005</v>
      </c>
      <c r="U1435" s="103">
        <v>0.88</v>
      </c>
      <c r="V1435" s="103">
        <v>1.3939999999999999E-2</v>
      </c>
      <c r="W1435" s="103">
        <v>14.900508719302028</v>
      </c>
      <c r="X1435" s="103">
        <v>0.88</v>
      </c>
      <c r="Y1435" s="162">
        <v>7</v>
      </c>
      <c r="Z1435" s="56">
        <v>5.21</v>
      </c>
      <c r="AA1435" s="56">
        <v>5.3</v>
      </c>
      <c r="AB1435" s="56">
        <v>5.1100000000000003</v>
      </c>
      <c r="AC1435" s="56">
        <v>0.64639999999999997</v>
      </c>
      <c r="AD1435" s="56">
        <v>5.39</v>
      </c>
      <c r="AE1435" s="56">
        <v>5.85</v>
      </c>
      <c r="AF1435" s="56">
        <f t="shared" si="338"/>
        <v>5.3</v>
      </c>
      <c r="AG1435" s="57">
        <v>5.39</v>
      </c>
      <c r="AH1435" s="103">
        <v>3.7799999999999999E-15</v>
      </c>
      <c r="AI1435" s="103"/>
      <c r="AJ1435" s="62">
        <f t="shared" si="351"/>
        <v>-12.811074526475426</v>
      </c>
      <c r="AK1435" s="62"/>
      <c r="AL1435" s="62">
        <f t="shared" si="349"/>
        <v>-12.811074526475426</v>
      </c>
      <c r="AM1435" s="62">
        <v>-22.732559999999999</v>
      </c>
      <c r="AN1435" s="154"/>
      <c r="AO1435" s="410">
        <v>12.46</v>
      </c>
      <c r="AP1435" s="410"/>
      <c r="AQ1435" s="154" t="s">
        <v>6311</v>
      </c>
      <c r="AR1435" s="154" t="s">
        <v>6311</v>
      </c>
      <c r="AS1435" s="149" t="s">
        <v>6</v>
      </c>
      <c r="AT1435" s="58" t="s">
        <v>266</v>
      </c>
      <c r="AU1435" s="56">
        <v>8</v>
      </c>
      <c r="AV1435" s="56">
        <v>144</v>
      </c>
      <c r="AW1435" s="56">
        <v>120</v>
      </c>
      <c r="AX1435" s="56">
        <v>26</v>
      </c>
      <c r="AY1435" s="56" t="s">
        <v>267</v>
      </c>
      <c r="AZ1435" s="56" t="s">
        <v>268</v>
      </c>
      <c r="BA1435" s="56">
        <v>2</v>
      </c>
      <c r="BB1435" s="55" t="s">
        <v>888</v>
      </c>
      <c r="BC1435" s="55" t="s">
        <v>270</v>
      </c>
      <c r="BD1435" s="55" t="s">
        <v>8374</v>
      </c>
      <c r="BE1435" s="56" t="s">
        <v>889</v>
      </c>
      <c r="BF1435" s="56" t="s">
        <v>272</v>
      </c>
      <c r="BG1435" s="56" t="s">
        <v>272</v>
      </c>
      <c r="BH1435" s="56" t="s">
        <v>890</v>
      </c>
      <c r="BI1435" s="153">
        <v>5.2869000000000006E-4</v>
      </c>
      <c r="BJ1435" s="153">
        <v>42.295200000000008</v>
      </c>
      <c r="BK1435" s="56"/>
      <c r="BL1435" s="153">
        <v>0.56872208833569926</v>
      </c>
      <c r="BM1435" s="56" t="s">
        <v>891</v>
      </c>
      <c r="BN1435" s="162"/>
      <c r="BO1435" s="162"/>
      <c r="BP1435" s="162"/>
      <c r="BQ1435" s="162"/>
      <c r="BR1435" s="162"/>
      <c r="BS1435" s="56">
        <v>0.90959266908655334</v>
      </c>
      <c r="BT1435" s="162"/>
      <c r="BU1435" s="158"/>
      <c r="BV1435" s="162"/>
      <c r="BW1435" s="162"/>
      <c r="BX1435" s="162"/>
      <c r="BY1435" s="162"/>
      <c r="BZ1435" s="162"/>
      <c r="CA1435" s="162"/>
      <c r="CB1435" s="162"/>
      <c r="CC1435" s="56"/>
      <c r="CD1435" s="56"/>
      <c r="CE1435" s="56"/>
      <c r="CF1435" s="56"/>
      <c r="CG1435" s="56"/>
      <c r="CH1435" s="56"/>
      <c r="CI1435" s="103">
        <v>0.90959266908655334</v>
      </c>
      <c r="CJ1435" s="103">
        <f t="shared" si="346"/>
        <v>-4.1153048527101617E-2</v>
      </c>
      <c r="CK1435" s="57">
        <f t="shared" si="331"/>
        <v>1.3446492470438706E-2</v>
      </c>
      <c r="CL1435" s="160">
        <f t="shared" si="342"/>
        <v>0.62524919963001802</v>
      </c>
      <c r="CM1435" s="160">
        <v>-1.5528419686577812</v>
      </c>
      <c r="CN1435" s="160">
        <f t="shared" si="350"/>
        <v>1510.5428571428592</v>
      </c>
      <c r="CO1435" s="55" t="s">
        <v>892</v>
      </c>
      <c r="CP1435" s="497" t="s">
        <v>893</v>
      </c>
      <c r="CQ1435" s="149" t="s">
        <v>272</v>
      </c>
      <c r="CR1435" s="349"/>
      <c r="CS1435" s="61" t="s">
        <v>539</v>
      </c>
      <c r="CT1435" s="61"/>
      <c r="CU1435" s="111">
        <f t="shared" si="343"/>
        <v>0.96746602067904597</v>
      </c>
      <c r="CV1435" s="331">
        <f t="shared" si="334"/>
        <v>2.0806143486731352E-2</v>
      </c>
      <c r="CW1435" s="326">
        <f t="shared" si="347"/>
        <v>0</v>
      </c>
      <c r="CX1435" s="326" t="s">
        <v>539</v>
      </c>
      <c r="CY1435" s="161" t="s">
        <v>5921</v>
      </c>
    </row>
    <row r="1436" spans="1:103" ht="11.25" customHeight="1" x14ac:dyDescent="0.2">
      <c r="A1436" s="72">
        <v>433</v>
      </c>
      <c r="B1436" s="149">
        <v>474</v>
      </c>
      <c r="C1436" s="54" t="s">
        <v>1543</v>
      </c>
      <c r="D1436" s="54" t="s">
        <v>6740</v>
      </c>
      <c r="E1436" s="59"/>
      <c r="F1436" s="59" t="s">
        <v>1544</v>
      </c>
      <c r="G1436" s="151">
        <v>68694111</v>
      </c>
      <c r="H1436" s="55" t="s">
        <v>1545</v>
      </c>
      <c r="I1436" s="55" t="s">
        <v>7883</v>
      </c>
      <c r="J1436" s="55" t="s">
        <v>1546</v>
      </c>
      <c r="K1436" s="55" t="s">
        <v>1064</v>
      </c>
      <c r="L1436" s="55" t="s">
        <v>6093</v>
      </c>
      <c r="M1436" s="55" t="s">
        <v>6082</v>
      </c>
      <c r="N1436" s="60" t="s">
        <v>6082</v>
      </c>
      <c r="O1436" s="55" t="s">
        <v>6083</v>
      </c>
      <c r="P1436" s="67"/>
      <c r="Q1436" s="67"/>
      <c r="R1436" s="67"/>
      <c r="S1436" s="67"/>
      <c r="T1436" s="56">
        <v>345.75</v>
      </c>
      <c r="U1436" s="103">
        <v>12500</v>
      </c>
      <c r="V1436" s="103">
        <v>418.9</v>
      </c>
      <c r="W1436" s="103">
        <v>1.0441483073289965</v>
      </c>
      <c r="X1436" s="103">
        <v>12500</v>
      </c>
      <c r="Y1436" s="162">
        <v>7</v>
      </c>
      <c r="Z1436" s="56">
        <v>1.5</v>
      </c>
      <c r="AA1436" s="56">
        <v>1.4</v>
      </c>
      <c r="AB1436" s="56">
        <v>4.49</v>
      </c>
      <c r="AC1436" s="56">
        <v>0.85199999999999998</v>
      </c>
      <c r="AD1436" s="56">
        <v>4.53</v>
      </c>
      <c r="AE1436" s="56">
        <v>4.66</v>
      </c>
      <c r="AF1436" s="56">
        <f t="shared" si="338"/>
        <v>1.4</v>
      </c>
      <c r="AG1436" s="57">
        <v>3.87</v>
      </c>
      <c r="AH1436" s="103">
        <v>2.34E-7</v>
      </c>
      <c r="AI1436" s="103">
        <v>5.13E-11</v>
      </c>
      <c r="AJ1436" s="62">
        <f t="shared" si="351"/>
        <v>-5.019350468902509</v>
      </c>
      <c r="AK1436" s="62">
        <f>LOG10(AI1436*1000/(0.08206*298.15))</f>
        <v>-8.6784489612008358</v>
      </c>
      <c r="AL1436" s="62">
        <f t="shared" si="349"/>
        <v>-8.6784489612008358</v>
      </c>
      <c r="AM1436" s="62">
        <v>-9.3395799999999998</v>
      </c>
      <c r="AN1436" s="154">
        <v>-8.7899999999999991</v>
      </c>
      <c r="AO1436" s="410"/>
      <c r="AP1436" s="410">
        <v>3.21</v>
      </c>
      <c r="AQ1436" s="154" t="s">
        <v>6311</v>
      </c>
      <c r="AR1436" s="154" t="s">
        <v>6311</v>
      </c>
      <c r="AS1436" s="149" t="s">
        <v>6</v>
      </c>
      <c r="AT1436" s="58" t="s">
        <v>266</v>
      </c>
      <c r="AU1436" s="56">
        <v>8</v>
      </c>
      <c r="AV1436" s="56">
        <v>144</v>
      </c>
      <c r="AW1436" s="56">
        <v>120</v>
      </c>
      <c r="AX1436" s="56">
        <v>26</v>
      </c>
      <c r="AY1436" s="56" t="s">
        <v>267</v>
      </c>
      <c r="AZ1436" s="56" t="s">
        <v>268</v>
      </c>
      <c r="BA1436" s="56">
        <v>3</v>
      </c>
      <c r="BB1436" s="55" t="s">
        <v>888</v>
      </c>
      <c r="BC1436" s="55" t="s">
        <v>270</v>
      </c>
      <c r="BD1436" s="55" t="s">
        <v>8374</v>
      </c>
      <c r="BE1436" s="56" t="s">
        <v>889</v>
      </c>
      <c r="BF1436" s="56" t="s">
        <v>272</v>
      </c>
      <c r="BG1436" s="56" t="s">
        <v>272</v>
      </c>
      <c r="BH1436" s="56" t="s">
        <v>890</v>
      </c>
      <c r="BI1436" s="153">
        <v>3.4574999999999997E-4</v>
      </c>
      <c r="BJ1436" s="153">
        <v>27.66</v>
      </c>
      <c r="BK1436" s="56"/>
      <c r="BL1436" s="153">
        <v>798.75242334760196</v>
      </c>
      <c r="BM1436" s="56" t="s">
        <v>891</v>
      </c>
      <c r="BN1436" s="162"/>
      <c r="BO1436" s="162"/>
      <c r="BP1436" s="162"/>
      <c r="BQ1436" s="162"/>
      <c r="BR1436" s="162"/>
      <c r="BS1436" s="56">
        <v>0.59123249999999994</v>
      </c>
      <c r="BT1436" s="162"/>
      <c r="BU1436" s="158"/>
      <c r="BV1436" s="162"/>
      <c r="BW1436" s="162"/>
      <c r="BX1436" s="162"/>
      <c r="BY1436" s="162"/>
      <c r="BZ1436" s="162"/>
      <c r="CA1436" s="162"/>
      <c r="CB1436" s="162"/>
      <c r="CC1436" s="56"/>
      <c r="CD1436" s="56"/>
      <c r="CE1436" s="56"/>
      <c r="CF1436" s="56"/>
      <c r="CG1436" s="56"/>
      <c r="CH1436" s="56"/>
      <c r="CI1436" s="103">
        <v>0.59123249999999994</v>
      </c>
      <c r="CJ1436" s="103">
        <f t="shared" si="346"/>
        <v>-0.22824170082649803</v>
      </c>
      <c r="CK1436" s="57">
        <f t="shared" si="331"/>
        <v>28.877527959060085</v>
      </c>
      <c r="CL1436" s="160">
        <f t="shared" si="342"/>
        <v>1350.9954600729866</v>
      </c>
      <c r="CM1436" s="160">
        <v>-0.23657200643706275</v>
      </c>
      <c r="CN1436" s="160">
        <f t="shared" si="350"/>
        <v>47.689655172413794</v>
      </c>
      <c r="CO1436" s="55" t="s">
        <v>892</v>
      </c>
      <c r="CP1436" s="497" t="s">
        <v>893</v>
      </c>
      <c r="CQ1436" s="149">
        <v>-0.15871650767128351</v>
      </c>
      <c r="CR1436" s="349">
        <f t="shared" ref="CR1436:CR1470" si="352">10^(CJ1436-CQ1436)</f>
        <v>0.85206908194329389</v>
      </c>
      <c r="CS1436" s="61" t="s">
        <v>539</v>
      </c>
      <c r="CT1436" s="61"/>
      <c r="CU1436" s="111">
        <f t="shared" si="343"/>
        <v>21142.274824201988</v>
      </c>
      <c r="CV1436" s="331">
        <f t="shared" si="334"/>
        <v>451.91612436731742</v>
      </c>
      <c r="CW1436" s="326">
        <f t="shared" si="347"/>
        <v>1</v>
      </c>
      <c r="CX1436" s="326" t="s">
        <v>539</v>
      </c>
      <c r="CY1436" s="161" t="s">
        <v>5921</v>
      </c>
    </row>
    <row r="1437" spans="1:103" ht="11.25" customHeight="1" x14ac:dyDescent="0.2">
      <c r="A1437" s="72">
        <v>434</v>
      </c>
      <c r="B1437" s="149">
        <v>436</v>
      </c>
      <c r="C1437" s="54" t="s">
        <v>1449</v>
      </c>
      <c r="D1437" s="54" t="s">
        <v>6741</v>
      </c>
      <c r="E1437" s="59"/>
      <c r="F1437" s="59" t="s">
        <v>1450</v>
      </c>
      <c r="G1437" s="151">
        <v>28434006</v>
      </c>
      <c r="H1437" s="55" t="s">
        <v>1451</v>
      </c>
      <c r="I1437" s="55" t="s">
        <v>1451</v>
      </c>
      <c r="J1437" s="55" t="s">
        <v>1452</v>
      </c>
      <c r="K1437" s="55" t="s">
        <v>1085</v>
      </c>
      <c r="L1437" s="55" t="s">
        <v>617</v>
      </c>
      <c r="M1437" s="55" t="s">
        <v>1086</v>
      </c>
      <c r="N1437" s="60" t="s">
        <v>6376</v>
      </c>
      <c r="O1437" s="55" t="s">
        <v>918</v>
      </c>
      <c r="P1437" s="67"/>
      <c r="Q1437" s="67"/>
      <c r="R1437" s="67"/>
      <c r="S1437" s="67"/>
      <c r="T1437" s="56">
        <v>302.41000000000003</v>
      </c>
      <c r="U1437" s="103">
        <v>4.5999999999999996</v>
      </c>
      <c r="V1437" s="103">
        <v>0.98380000000000012</v>
      </c>
      <c r="W1437" s="103">
        <v>15.156403132122346</v>
      </c>
      <c r="X1437" s="103">
        <v>4.5999999999999996</v>
      </c>
      <c r="Y1437" s="162">
        <v>7</v>
      </c>
      <c r="Z1437" s="56">
        <v>5.52</v>
      </c>
      <c r="AA1437" s="56">
        <v>4.78</v>
      </c>
      <c r="AB1437" s="56">
        <v>5.0999999999999996</v>
      </c>
      <c r="AC1437" s="56">
        <v>0.78859999999999997</v>
      </c>
      <c r="AD1437" s="56">
        <v>5.05</v>
      </c>
      <c r="AE1437" s="56">
        <v>4.92</v>
      </c>
      <c r="AF1437" s="56">
        <f t="shared" ref="AF1437:AF1468" si="353">IF(AA1437=0,AD1437,AA1437)</f>
        <v>4.78</v>
      </c>
      <c r="AG1437" s="57">
        <v>3.54</v>
      </c>
      <c r="AH1437" s="103">
        <v>6.1200000000000003E-7</v>
      </c>
      <c r="AI1437" s="103">
        <v>1.04E-7</v>
      </c>
      <c r="AJ1437" s="62">
        <f t="shared" si="351"/>
        <v>-4.6018149041670906</v>
      </c>
      <c r="AK1437" s="62">
        <f>LOG10(AI1437*1000/(0.08206*298.15))</f>
        <v>-5.3715329870138717</v>
      </c>
      <c r="AL1437" s="62">
        <f t="shared" si="349"/>
        <v>-5.3715329870138717</v>
      </c>
      <c r="AM1437" s="62">
        <v>-10.080069999999999</v>
      </c>
      <c r="AN1437" s="154">
        <v>-6.91</v>
      </c>
      <c r="AO1437" s="410"/>
      <c r="AP1437" s="410"/>
      <c r="AQ1437" s="154" t="s">
        <v>6311</v>
      </c>
      <c r="AR1437" s="154" t="s">
        <v>6312</v>
      </c>
      <c r="AS1437" s="149" t="s">
        <v>6</v>
      </c>
      <c r="AT1437" s="58" t="s">
        <v>266</v>
      </c>
      <c r="AU1437" s="56">
        <v>8</v>
      </c>
      <c r="AV1437" s="56">
        <v>144</v>
      </c>
      <c r="AW1437" s="56">
        <v>120</v>
      </c>
      <c r="AX1437" s="56">
        <v>26</v>
      </c>
      <c r="AY1437" s="56" t="s">
        <v>267</v>
      </c>
      <c r="AZ1437" s="56" t="s">
        <v>268</v>
      </c>
      <c r="BA1437" s="56">
        <v>2</v>
      </c>
      <c r="BB1437" s="55" t="s">
        <v>888</v>
      </c>
      <c r="BC1437" s="55" t="s">
        <v>270</v>
      </c>
      <c r="BD1437" s="55" t="s">
        <v>8374</v>
      </c>
      <c r="BE1437" s="56" t="s">
        <v>889</v>
      </c>
      <c r="BF1437" s="56" t="s">
        <v>272</v>
      </c>
      <c r="BG1437" s="56" t="s">
        <v>272</v>
      </c>
      <c r="BH1437" s="56" t="s">
        <v>890</v>
      </c>
      <c r="BI1437" s="153">
        <v>3.0241000000000003E-4</v>
      </c>
      <c r="BJ1437" s="153">
        <v>24.192800000000002</v>
      </c>
      <c r="BK1437" s="56"/>
      <c r="BL1437" s="153">
        <v>0.17135001555143914</v>
      </c>
      <c r="BM1437" s="56" t="s">
        <v>891</v>
      </c>
      <c r="BN1437" s="162"/>
      <c r="BO1437" s="162"/>
      <c r="BP1437" s="162"/>
      <c r="BQ1437" s="162"/>
      <c r="BR1437" s="162"/>
      <c r="BS1437" s="56">
        <v>0.51500306292828191</v>
      </c>
      <c r="BT1437" s="162"/>
      <c r="BU1437" s="158"/>
      <c r="BV1437" s="162"/>
      <c r="BW1437" s="162"/>
      <c r="BX1437" s="162"/>
      <c r="BY1437" s="162"/>
      <c r="BZ1437" s="162"/>
      <c r="CA1437" s="162"/>
      <c r="CB1437" s="162"/>
      <c r="CC1437" s="56"/>
      <c r="CD1437" s="56"/>
      <c r="CE1437" s="56"/>
      <c r="CF1437" s="56"/>
      <c r="CG1437" s="56"/>
      <c r="CH1437" s="56"/>
      <c r="CI1437" s="103">
        <v>0.51500306292828191</v>
      </c>
      <c r="CJ1437" s="103">
        <f t="shared" si="346"/>
        <v>-0.28819018802891455</v>
      </c>
      <c r="CK1437" s="57">
        <f t="shared" ref="CK1437:CK1500" si="354">BL1437/BJ1437</f>
        <v>7.0826864005588078E-3</v>
      </c>
      <c r="CL1437" s="160">
        <f t="shared" ref="CL1437:CL1459" si="355">BL1437/CI1437</f>
        <v>0.33271649798964581</v>
      </c>
      <c r="CM1437" s="160">
        <v>-1.4826928943434603</v>
      </c>
      <c r="CN1437" s="160">
        <f t="shared" si="350"/>
        <v>735.15519327468633</v>
      </c>
      <c r="CO1437" s="55" t="s">
        <v>892</v>
      </c>
      <c r="CP1437" s="497" t="s">
        <v>893</v>
      </c>
      <c r="CQ1437" s="149">
        <v>-1.3980140878749376</v>
      </c>
      <c r="CR1437" s="349">
        <f t="shared" si="352"/>
        <v>12.877272909561011</v>
      </c>
      <c r="CS1437" s="61" t="s">
        <v>539</v>
      </c>
      <c r="CT1437" s="61"/>
      <c r="CU1437" s="111">
        <f t="shared" ref="CU1437:CU1459" si="356">X1437/CI1437</f>
        <v>8.9319857125598965</v>
      </c>
      <c r="CV1437" s="331">
        <f t="shared" ref="CV1437:CV1500" si="357">X1437/BJ1437</f>
        <v>0.19013921497304981</v>
      </c>
      <c r="CW1437" s="326">
        <f t="shared" si="347"/>
        <v>1</v>
      </c>
      <c r="CX1437" s="326" t="s">
        <v>539</v>
      </c>
      <c r="CY1437" s="161" t="s">
        <v>5921</v>
      </c>
    </row>
    <row r="1438" spans="1:103" ht="11.25" customHeight="1" x14ac:dyDescent="0.2">
      <c r="A1438" s="72">
        <v>450</v>
      </c>
      <c r="B1438" s="149">
        <v>305</v>
      </c>
      <c r="C1438" s="54" t="s">
        <v>1199</v>
      </c>
      <c r="D1438" s="54" t="s">
        <v>6535</v>
      </c>
      <c r="E1438" s="59"/>
      <c r="F1438" s="59" t="s">
        <v>1200</v>
      </c>
      <c r="G1438" s="151">
        <v>79622596</v>
      </c>
      <c r="H1438" s="55" t="s">
        <v>1201</v>
      </c>
      <c r="I1438" s="55" t="s">
        <v>7885</v>
      </c>
      <c r="J1438" s="55" t="s">
        <v>1202</v>
      </c>
      <c r="K1438" s="55" t="s">
        <v>1203</v>
      </c>
      <c r="L1438" s="55" t="s">
        <v>5248</v>
      </c>
      <c r="M1438" s="55" t="s">
        <v>5983</v>
      </c>
      <c r="N1438" s="60" t="s">
        <v>6381</v>
      </c>
      <c r="O1438" s="55" t="s">
        <v>5984</v>
      </c>
      <c r="P1438" s="67"/>
      <c r="Q1438" s="67"/>
      <c r="R1438" s="67"/>
      <c r="S1438" s="67"/>
      <c r="T1438" s="56">
        <v>465.09</v>
      </c>
      <c r="U1438" s="103">
        <v>1.76</v>
      </c>
      <c r="V1438" s="103">
        <v>0.44990000000000002</v>
      </c>
      <c r="W1438" s="103">
        <v>1.2809642276355447E-2</v>
      </c>
      <c r="X1438" s="103">
        <v>1.76</v>
      </c>
      <c r="Y1438" s="162">
        <v>7</v>
      </c>
      <c r="Z1438" s="56">
        <v>4.0199999999999996</v>
      </c>
      <c r="AA1438" s="56">
        <v>4.01</v>
      </c>
      <c r="AB1438" s="56">
        <v>4.04</v>
      </c>
      <c r="AC1438" s="56">
        <v>0.73080000000000001</v>
      </c>
      <c r="AD1438" s="56">
        <v>5.16</v>
      </c>
      <c r="AE1438" s="56">
        <v>8.19</v>
      </c>
      <c r="AF1438" s="56">
        <f t="shared" si="353"/>
        <v>4.01</v>
      </c>
      <c r="AG1438" s="57">
        <v>4.62</v>
      </c>
      <c r="AH1438" s="103">
        <v>5.2300000000000003E-9</v>
      </c>
      <c r="AI1438" s="103"/>
      <c r="AJ1438" s="62">
        <f t="shared" si="351"/>
        <v>-6.6700646374453774</v>
      </c>
      <c r="AK1438" s="62"/>
      <c r="AL1438" s="62">
        <f t="shared" si="349"/>
        <v>-6.6700646374453774</v>
      </c>
      <c r="AM1438" s="62">
        <v>-10.72462</v>
      </c>
      <c r="AN1438" s="154">
        <v>-2.95</v>
      </c>
      <c r="AO1438" s="410"/>
      <c r="AP1438" s="410">
        <v>-1.43</v>
      </c>
      <c r="AQ1438" s="154" t="s">
        <v>6311</v>
      </c>
      <c r="AR1438" s="154" t="s">
        <v>6311</v>
      </c>
      <c r="AS1438" s="149" t="s">
        <v>6</v>
      </c>
      <c r="AT1438" s="58" t="s">
        <v>266</v>
      </c>
      <c r="AU1438" s="56">
        <v>8</v>
      </c>
      <c r="AV1438" s="56">
        <v>144</v>
      </c>
      <c r="AW1438" s="56">
        <v>120</v>
      </c>
      <c r="AX1438" s="56">
        <v>26</v>
      </c>
      <c r="AY1438" s="56" t="s">
        <v>267</v>
      </c>
      <c r="AZ1438" s="56" t="s">
        <v>268</v>
      </c>
      <c r="BA1438" s="56">
        <v>3</v>
      </c>
      <c r="BB1438" s="55" t="s">
        <v>888</v>
      </c>
      <c r="BC1438" s="55" t="s">
        <v>270</v>
      </c>
      <c r="BD1438" s="55" t="s">
        <v>8374</v>
      </c>
      <c r="BE1438" s="56" t="s">
        <v>889</v>
      </c>
      <c r="BF1438" s="56" t="s">
        <v>272</v>
      </c>
      <c r="BG1438" s="56" t="s">
        <v>272</v>
      </c>
      <c r="BH1438" s="56" t="s">
        <v>890</v>
      </c>
      <c r="BI1438" s="153">
        <v>4.6508999999999998E-4</v>
      </c>
      <c r="BJ1438" s="153">
        <v>37.2072</v>
      </c>
      <c r="BK1438" s="56"/>
      <c r="BL1438" s="153">
        <v>5.8610442702585477</v>
      </c>
      <c r="BM1438" s="56" t="s">
        <v>891</v>
      </c>
      <c r="BN1438" s="162"/>
      <c r="BO1438" s="162"/>
      <c r="BP1438" s="162"/>
      <c r="BQ1438" s="162"/>
      <c r="BR1438" s="162"/>
      <c r="BS1438" s="56">
        <v>0.47997287999999994</v>
      </c>
      <c r="BT1438" s="162"/>
      <c r="BU1438" s="158"/>
      <c r="BV1438" s="162"/>
      <c r="BW1438" s="162"/>
      <c r="BX1438" s="162"/>
      <c r="BY1438" s="162"/>
      <c r="BZ1438" s="162"/>
      <c r="CA1438" s="162"/>
      <c r="CB1438" s="162"/>
      <c r="CC1438" s="56"/>
      <c r="CD1438" s="56"/>
      <c r="CE1438" s="56"/>
      <c r="CF1438" s="56"/>
      <c r="CG1438" s="56"/>
      <c r="CH1438" s="56"/>
      <c r="CI1438" s="103">
        <v>0.47997287999999994</v>
      </c>
      <c r="CJ1438" s="103">
        <f t="shared" si="346"/>
        <v>-0.31878330095585478</v>
      </c>
      <c r="CK1438" s="57">
        <f t="shared" si="354"/>
        <v>0.15752446489546507</v>
      </c>
      <c r="CL1438" s="160">
        <f t="shared" si="355"/>
        <v>12.21119882910582</v>
      </c>
      <c r="CM1438" s="160">
        <v>-1.2781893847874533</v>
      </c>
      <c r="CN1438" s="160">
        <f t="shared" si="350"/>
        <v>706.01897533206829</v>
      </c>
      <c r="CO1438" s="55" t="s">
        <v>892</v>
      </c>
      <c r="CP1438" s="497" t="s">
        <v>893</v>
      </c>
      <c r="CQ1438" s="149">
        <v>-1.226831399620647</v>
      </c>
      <c r="CR1438" s="349">
        <f t="shared" si="352"/>
        <v>8.0918551253789488</v>
      </c>
      <c r="CS1438" s="61" t="s">
        <v>539</v>
      </c>
      <c r="CT1438" s="61"/>
      <c r="CU1438" s="111">
        <f t="shared" si="356"/>
        <v>3.666873845038912</v>
      </c>
      <c r="CV1438" s="331">
        <f t="shared" si="357"/>
        <v>4.7302672601001954E-2</v>
      </c>
      <c r="CW1438" s="326">
        <f t="shared" si="347"/>
        <v>1</v>
      </c>
      <c r="CX1438" s="326" t="s">
        <v>539</v>
      </c>
      <c r="CY1438" s="161" t="s">
        <v>5921</v>
      </c>
    </row>
    <row r="1439" spans="1:103" ht="11.25" customHeight="1" x14ac:dyDescent="0.2">
      <c r="A1439" s="72">
        <v>451</v>
      </c>
      <c r="B1439" s="149">
        <v>379</v>
      </c>
      <c r="C1439" s="54" t="s">
        <v>1327</v>
      </c>
      <c r="D1439" s="54" t="s">
        <v>6754</v>
      </c>
      <c r="E1439" s="59"/>
      <c r="F1439" s="59" t="s">
        <v>1328</v>
      </c>
      <c r="G1439" s="151">
        <v>50657</v>
      </c>
      <c r="H1439" s="55" t="s">
        <v>1329</v>
      </c>
      <c r="I1439" s="55" t="s">
        <v>7886</v>
      </c>
      <c r="J1439" s="55" t="s">
        <v>1330</v>
      </c>
      <c r="K1439" s="55" t="s">
        <v>464</v>
      </c>
      <c r="L1439" s="64" t="s">
        <v>279</v>
      </c>
      <c r="M1439" s="55" t="s">
        <v>1331</v>
      </c>
      <c r="N1439" s="60" t="s">
        <v>6381</v>
      </c>
      <c r="O1439" s="55" t="s">
        <v>281</v>
      </c>
      <c r="P1439" s="67"/>
      <c r="Q1439" s="67"/>
      <c r="R1439" s="67"/>
      <c r="S1439" s="67"/>
      <c r="T1439" s="56">
        <v>327.12</v>
      </c>
      <c r="U1439" s="103">
        <v>1.5999999999999999</v>
      </c>
      <c r="V1439" s="103">
        <v>1.6850000000000001</v>
      </c>
      <c r="W1439" s="103">
        <v>0.35051539512932522</v>
      </c>
      <c r="X1439" s="103">
        <v>1.5999999999999999</v>
      </c>
      <c r="Y1439" s="162">
        <v>6.72</v>
      </c>
      <c r="Z1439" s="56">
        <v>4.5599999999999996</v>
      </c>
      <c r="AA1439" s="56"/>
      <c r="AB1439" s="56">
        <v>4.43</v>
      </c>
      <c r="AC1439" s="56">
        <v>0.72719999999999996</v>
      </c>
      <c r="AD1439" s="56">
        <v>4.72</v>
      </c>
      <c r="AE1439" s="56">
        <v>5.4</v>
      </c>
      <c r="AF1439" s="56">
        <f t="shared" si="353"/>
        <v>4.72</v>
      </c>
      <c r="AG1439" s="57">
        <v>3.4</v>
      </c>
      <c r="AH1439" s="103">
        <v>3.4699999999999999E-13</v>
      </c>
      <c r="AI1439" s="103">
        <v>3.9999999999999999E-12</v>
      </c>
      <c r="AJ1439" s="62">
        <f t="shared" si="351"/>
        <v>-10.848236851521778</v>
      </c>
      <c r="AK1439" s="62">
        <f>LOG10(AI1439*1000/(0.08206*298.15))</f>
        <v>-9.7865063349846899</v>
      </c>
      <c r="AL1439" s="62">
        <f t="shared" si="349"/>
        <v>-9.7865063349846899</v>
      </c>
      <c r="AM1439" s="62">
        <v>-17.142900000000001</v>
      </c>
      <c r="AN1439" s="154">
        <v>-8.14</v>
      </c>
      <c r="AO1439" s="410">
        <v>7.45</v>
      </c>
      <c r="AP1439" s="410">
        <v>-2.36</v>
      </c>
      <c r="AQ1439" s="154" t="s">
        <v>6311</v>
      </c>
      <c r="AR1439" s="154" t="s">
        <v>6311</v>
      </c>
      <c r="AS1439" s="149" t="s">
        <v>6</v>
      </c>
      <c r="AT1439" s="58" t="s">
        <v>266</v>
      </c>
      <c r="AU1439" s="56">
        <v>8</v>
      </c>
      <c r="AV1439" s="56">
        <v>144</v>
      </c>
      <c r="AW1439" s="56">
        <v>120</v>
      </c>
      <c r="AX1439" s="56">
        <v>26</v>
      </c>
      <c r="AY1439" s="56" t="s">
        <v>267</v>
      </c>
      <c r="AZ1439" s="56" t="s">
        <v>268</v>
      </c>
      <c r="BA1439" s="56">
        <v>2</v>
      </c>
      <c r="BB1439" s="55" t="s">
        <v>888</v>
      </c>
      <c r="BC1439" s="55" t="s">
        <v>270</v>
      </c>
      <c r="BD1439" s="55" t="s">
        <v>8374</v>
      </c>
      <c r="BE1439" s="56" t="s">
        <v>889</v>
      </c>
      <c r="BF1439" s="56" t="s">
        <v>272</v>
      </c>
      <c r="BG1439" s="56" t="s">
        <v>272</v>
      </c>
      <c r="BH1439" s="56" t="s">
        <v>890</v>
      </c>
      <c r="BI1439" s="153">
        <v>3.2711999999999997E-4</v>
      </c>
      <c r="BJ1439" s="153">
        <v>26.169600000000003</v>
      </c>
      <c r="BK1439" s="56"/>
      <c r="BL1439" s="153">
        <v>1.3494944336921437</v>
      </c>
      <c r="BM1439" s="56" t="s">
        <v>891</v>
      </c>
      <c r="BN1439" s="162"/>
      <c r="BO1439" s="162"/>
      <c r="BP1439" s="162"/>
      <c r="BQ1439" s="162"/>
      <c r="BR1439" s="162"/>
      <c r="BS1439" s="56">
        <v>0.32712000000000002</v>
      </c>
      <c r="BT1439" s="162"/>
      <c r="BU1439" s="158"/>
      <c r="BV1439" s="162"/>
      <c r="BW1439" s="162"/>
      <c r="BX1439" s="162"/>
      <c r="BY1439" s="162"/>
      <c r="BZ1439" s="162"/>
      <c r="CA1439" s="162"/>
      <c r="CB1439" s="162"/>
      <c r="CC1439" s="56"/>
      <c r="CD1439" s="56"/>
      <c r="CE1439" s="56"/>
      <c r="CF1439" s="56"/>
      <c r="CG1439" s="56"/>
      <c r="CH1439" s="56"/>
      <c r="CI1439" s="103">
        <v>0.32712000000000002</v>
      </c>
      <c r="CJ1439" s="103">
        <f t="shared" si="346"/>
        <v>-0.48529290245372042</v>
      </c>
      <c r="CK1439" s="57">
        <f t="shared" si="354"/>
        <v>5.1567254894692452E-2</v>
      </c>
      <c r="CL1439" s="160">
        <f t="shared" si="355"/>
        <v>4.1253803915753959</v>
      </c>
      <c r="CM1439" s="160">
        <v>-0.9586073148417753</v>
      </c>
      <c r="CN1439" s="160">
        <f t="shared" si="350"/>
        <v>237.90545454545486</v>
      </c>
      <c r="CO1439" s="55" t="s">
        <v>892</v>
      </c>
      <c r="CP1439" s="497" t="s">
        <v>893</v>
      </c>
      <c r="CQ1439" s="149">
        <v>-0.95860731484177497</v>
      </c>
      <c r="CR1439" s="349">
        <f t="shared" si="352"/>
        <v>2.9738181818181824</v>
      </c>
      <c r="CS1439" s="61" t="s">
        <v>539</v>
      </c>
      <c r="CT1439" s="61"/>
      <c r="CU1439" s="111">
        <f t="shared" si="356"/>
        <v>4.8911714355588156</v>
      </c>
      <c r="CV1439" s="331">
        <f t="shared" si="357"/>
        <v>6.1139642944485192E-2</v>
      </c>
      <c r="CW1439" s="326">
        <f t="shared" si="347"/>
        <v>1</v>
      </c>
      <c r="CX1439" s="326" t="s">
        <v>539</v>
      </c>
      <c r="CY1439" s="161" t="s">
        <v>5921</v>
      </c>
    </row>
    <row r="1440" spans="1:103" ht="11.25" customHeight="1" x14ac:dyDescent="0.2">
      <c r="A1440" s="72">
        <v>459</v>
      </c>
      <c r="B1440" s="149">
        <v>217</v>
      </c>
      <c r="C1440" s="54" t="s">
        <v>1026</v>
      </c>
      <c r="D1440" s="54" t="s">
        <v>6758</v>
      </c>
      <c r="E1440" s="59"/>
      <c r="F1440" s="59" t="s">
        <v>1027</v>
      </c>
      <c r="G1440" s="151">
        <v>128639021</v>
      </c>
      <c r="H1440" s="55" t="s">
        <v>1028</v>
      </c>
      <c r="I1440" s="55" t="s">
        <v>7891</v>
      </c>
      <c r="J1440" s="55" t="s">
        <v>1029</v>
      </c>
      <c r="K1440" s="55" t="s">
        <v>1030</v>
      </c>
      <c r="L1440" s="55" t="s">
        <v>5929</v>
      </c>
      <c r="M1440" s="55" t="s">
        <v>5966</v>
      </c>
      <c r="N1440" s="60" t="s">
        <v>6385</v>
      </c>
      <c r="O1440" s="55" t="s">
        <v>5965</v>
      </c>
      <c r="P1440" s="67"/>
      <c r="Q1440" s="67"/>
      <c r="R1440" s="67"/>
      <c r="S1440" s="67"/>
      <c r="T1440" s="56">
        <v>412.19</v>
      </c>
      <c r="U1440" s="103">
        <v>22</v>
      </c>
      <c r="V1440" s="103">
        <v>3.4739999999999998</v>
      </c>
      <c r="W1440" s="103">
        <v>34.284470881080935</v>
      </c>
      <c r="X1440" s="103">
        <v>22</v>
      </c>
      <c r="Y1440" s="162">
        <v>7</v>
      </c>
      <c r="Z1440" s="56">
        <v>4.26</v>
      </c>
      <c r="AA1440" s="56">
        <v>3.36</v>
      </c>
      <c r="AB1440" s="56">
        <v>2.99</v>
      </c>
      <c r="AC1440" s="56">
        <v>0.73440000000000005</v>
      </c>
      <c r="AD1440" s="56">
        <v>3.05</v>
      </c>
      <c r="AE1440" s="56">
        <v>3.21</v>
      </c>
      <c r="AF1440" s="56">
        <f t="shared" si="353"/>
        <v>3.36</v>
      </c>
      <c r="AG1440" s="57">
        <v>4.43</v>
      </c>
      <c r="AH1440" s="103">
        <v>5.9600000000000006E-11</v>
      </c>
      <c r="AI1440" s="103">
        <v>2.9600000000000001E-9</v>
      </c>
      <c r="AJ1440" s="62">
        <f t="shared" si="351"/>
        <v>-8.613320066572415</v>
      </c>
      <c r="AK1440" s="62">
        <f>LOG10(AI1440*1000/(0.08206*298.15))</f>
        <v>-6.9172746152537128</v>
      </c>
      <c r="AL1440" s="62">
        <f t="shared" si="349"/>
        <v>-6.9172746152537128</v>
      </c>
      <c r="AM1440" s="62">
        <v>-13.92361</v>
      </c>
      <c r="AN1440" s="154">
        <v>-9.6</v>
      </c>
      <c r="AO1440" s="410"/>
      <c r="AP1440" s="410">
        <v>-2.2599999999999998</v>
      </c>
      <c r="AQ1440" s="154" t="s">
        <v>6311</v>
      </c>
      <c r="AR1440" s="154" t="s">
        <v>6314</v>
      </c>
      <c r="AS1440" s="149" t="s">
        <v>6</v>
      </c>
      <c r="AT1440" s="58" t="s">
        <v>266</v>
      </c>
      <c r="AU1440" s="56">
        <v>8</v>
      </c>
      <c r="AV1440" s="56">
        <v>144</v>
      </c>
      <c r="AW1440" s="56">
        <v>120</v>
      </c>
      <c r="AX1440" s="56">
        <v>26</v>
      </c>
      <c r="AY1440" s="56" t="s">
        <v>267</v>
      </c>
      <c r="AZ1440" s="56" t="s">
        <v>268</v>
      </c>
      <c r="BA1440" s="56">
        <v>2</v>
      </c>
      <c r="BB1440" s="55" t="s">
        <v>888</v>
      </c>
      <c r="BC1440" s="55" t="s">
        <v>270</v>
      </c>
      <c r="BD1440" s="55" t="s">
        <v>8374</v>
      </c>
      <c r="BE1440" s="56" t="s">
        <v>889</v>
      </c>
      <c r="BF1440" s="56" t="s">
        <v>272</v>
      </c>
      <c r="BG1440" s="56" t="s">
        <v>272</v>
      </c>
      <c r="BH1440" s="56" t="s">
        <v>890</v>
      </c>
      <c r="BI1440" s="153">
        <v>4.1219E-4</v>
      </c>
      <c r="BJ1440" s="153">
        <v>32.975200000000001</v>
      </c>
      <c r="BK1440" s="56"/>
      <c r="BL1440" s="153">
        <v>3.1622154141750758</v>
      </c>
      <c r="BM1440" s="56" t="s">
        <v>891</v>
      </c>
      <c r="BN1440" s="162"/>
      <c r="BO1440" s="162"/>
      <c r="BP1440" s="162"/>
      <c r="BQ1440" s="162"/>
      <c r="BR1440" s="162"/>
      <c r="BS1440" s="56">
        <v>0.23316987530982641</v>
      </c>
      <c r="BT1440" s="162"/>
      <c r="BU1440" s="158"/>
      <c r="BV1440" s="162"/>
      <c r="BW1440" s="162"/>
      <c r="BX1440" s="162"/>
      <c r="BY1440" s="162"/>
      <c r="BZ1440" s="162"/>
      <c r="CA1440" s="162"/>
      <c r="CB1440" s="162"/>
      <c r="CC1440" s="56"/>
      <c r="CD1440" s="56"/>
      <c r="CE1440" s="56"/>
      <c r="CF1440" s="56"/>
      <c r="CG1440" s="56"/>
      <c r="CH1440" s="56"/>
      <c r="CI1440" s="103">
        <v>0.23316987530982641</v>
      </c>
      <c r="CJ1440" s="103">
        <f t="shared" si="346"/>
        <v>-0.63232755953828901</v>
      </c>
      <c r="CK1440" s="57">
        <f t="shared" si="354"/>
        <v>9.5896777401655656E-2</v>
      </c>
      <c r="CL1440" s="160">
        <f t="shared" si="355"/>
        <v>13.561852318929517</v>
      </c>
      <c r="CM1440" s="160">
        <v>0.20411998265592468</v>
      </c>
      <c r="CN1440" s="160">
        <f t="shared" si="350"/>
        <v>20.609500000000004</v>
      </c>
      <c r="CO1440" s="55" t="s">
        <v>892</v>
      </c>
      <c r="CP1440" s="497" t="s">
        <v>893</v>
      </c>
      <c r="CQ1440" s="149">
        <v>0.25257498915995297</v>
      </c>
      <c r="CR1440" s="349">
        <f t="shared" si="352"/>
        <v>0.13034592287448041</v>
      </c>
      <c r="CS1440" s="61" t="s">
        <v>539</v>
      </c>
      <c r="CT1440" s="61"/>
      <c r="CU1440" s="111">
        <f t="shared" si="356"/>
        <v>94.351810973725989</v>
      </c>
      <c r="CV1440" s="331">
        <f t="shared" si="357"/>
        <v>0.66716805356752951</v>
      </c>
      <c r="CW1440" s="326">
        <f t="shared" si="347"/>
        <v>1</v>
      </c>
      <c r="CX1440" s="326" t="s">
        <v>539</v>
      </c>
      <c r="CY1440" s="161" t="s">
        <v>5921</v>
      </c>
    </row>
    <row r="1441" spans="1:103" ht="11.25" customHeight="1" x14ac:dyDescent="0.2">
      <c r="A1441" s="72">
        <v>460</v>
      </c>
      <c r="B1441" s="149">
        <v>443</v>
      </c>
      <c r="C1441" s="54" t="s">
        <v>1464</v>
      </c>
      <c r="D1441" s="54" t="s">
        <v>6759</v>
      </c>
      <c r="E1441" s="59"/>
      <c r="F1441" s="59" t="s">
        <v>1465</v>
      </c>
      <c r="G1441" s="151">
        <v>21564170</v>
      </c>
      <c r="H1441" s="55" t="s">
        <v>1466</v>
      </c>
      <c r="I1441" s="55" t="s">
        <v>7892</v>
      </c>
      <c r="J1441" s="55" t="s">
        <v>1467</v>
      </c>
      <c r="K1441" s="55" t="s">
        <v>1468</v>
      </c>
      <c r="L1441" s="55" t="s">
        <v>5929</v>
      </c>
      <c r="M1441" s="55" t="s">
        <v>6088</v>
      </c>
      <c r="N1441" s="60" t="s">
        <v>6088</v>
      </c>
      <c r="O1441" s="55" t="s">
        <v>6083</v>
      </c>
      <c r="P1441" s="67"/>
      <c r="Q1441" s="67"/>
      <c r="R1441" s="67"/>
      <c r="S1441" s="67"/>
      <c r="T1441" s="56">
        <v>238.36</v>
      </c>
      <c r="U1441" s="103">
        <v>125</v>
      </c>
      <c r="V1441" s="103">
        <v>41.67</v>
      </c>
      <c r="W1441" s="103">
        <v>92.732800760836611</v>
      </c>
      <c r="X1441" s="103">
        <v>125</v>
      </c>
      <c r="Y1441" s="162">
        <v>7</v>
      </c>
      <c r="Z1441" s="56">
        <v>3.12</v>
      </c>
      <c r="AA1441" s="56">
        <v>3.3</v>
      </c>
      <c r="AB1441" s="56">
        <v>2.83</v>
      </c>
      <c r="AC1441" s="56">
        <v>0.82469999999999999</v>
      </c>
      <c r="AD1441" s="56">
        <v>2.91</v>
      </c>
      <c r="AE1441" s="56">
        <v>3.12</v>
      </c>
      <c r="AF1441" s="56">
        <f t="shared" si="353"/>
        <v>3.3</v>
      </c>
      <c r="AG1441" s="57">
        <v>3.94</v>
      </c>
      <c r="AH1441" s="103">
        <v>6.49E-12</v>
      </c>
      <c r="AI1441" s="103"/>
      <c r="AJ1441" s="62">
        <f t="shared" si="351"/>
        <v>-9.5763216295122824</v>
      </c>
      <c r="AK1441" s="62"/>
      <c r="AL1441" s="62">
        <f t="shared" si="349"/>
        <v>-9.5763216295122824</v>
      </c>
      <c r="AM1441" s="62">
        <v>-11.81157</v>
      </c>
      <c r="AN1441" s="154">
        <v>-12.3</v>
      </c>
      <c r="AO1441" s="410"/>
      <c r="AP1441" s="410">
        <v>-0.09</v>
      </c>
      <c r="AQ1441" s="154" t="s">
        <v>6311</v>
      </c>
      <c r="AR1441" s="154" t="s">
        <v>6311</v>
      </c>
      <c r="AS1441" s="149" t="s">
        <v>6</v>
      </c>
      <c r="AT1441" s="58" t="s">
        <v>266</v>
      </c>
      <c r="AU1441" s="56">
        <v>8</v>
      </c>
      <c r="AV1441" s="56">
        <v>144</v>
      </c>
      <c r="AW1441" s="56">
        <v>120</v>
      </c>
      <c r="AX1441" s="56">
        <v>26</v>
      </c>
      <c r="AY1441" s="56" t="s">
        <v>267</v>
      </c>
      <c r="AZ1441" s="56" t="s">
        <v>268</v>
      </c>
      <c r="BA1441" s="56">
        <v>2</v>
      </c>
      <c r="BB1441" s="55" t="s">
        <v>888</v>
      </c>
      <c r="BC1441" s="55" t="s">
        <v>270</v>
      </c>
      <c r="BD1441" s="55" t="s">
        <v>8374</v>
      </c>
      <c r="BE1441" s="56" t="s">
        <v>889</v>
      </c>
      <c r="BF1441" s="56" t="s">
        <v>272</v>
      </c>
      <c r="BG1441" s="56" t="s">
        <v>272</v>
      </c>
      <c r="BH1441" s="56" t="s">
        <v>890</v>
      </c>
      <c r="BI1441" s="153">
        <v>2.3836000000000002E-4</v>
      </c>
      <c r="BJ1441" s="153">
        <v>19.068800000000003</v>
      </c>
      <c r="BK1441" s="56"/>
      <c r="BL1441" s="153">
        <v>19.317965083130503</v>
      </c>
      <c r="BM1441" s="56" t="s">
        <v>891</v>
      </c>
      <c r="BN1441" s="162"/>
      <c r="BO1441" s="162"/>
      <c r="BP1441" s="162"/>
      <c r="BQ1441" s="162"/>
      <c r="BR1441" s="162"/>
      <c r="BS1441" s="56">
        <v>0.13483677789090037</v>
      </c>
      <c r="BT1441" s="162"/>
      <c r="BU1441" s="158"/>
      <c r="BV1441" s="162"/>
      <c r="BW1441" s="162"/>
      <c r="BX1441" s="162"/>
      <c r="BY1441" s="162"/>
      <c r="BZ1441" s="162"/>
      <c r="CA1441" s="162"/>
      <c r="CB1441" s="162"/>
      <c r="CC1441" s="56"/>
      <c r="CD1441" s="56"/>
      <c r="CE1441" s="56"/>
      <c r="CF1441" s="56"/>
      <c r="CG1441" s="56"/>
      <c r="CH1441" s="56"/>
      <c r="CI1441" s="103">
        <v>0.13483677789090037</v>
      </c>
      <c r="CJ1441" s="103">
        <f t="shared" si="346"/>
        <v>-0.87019163408729783</v>
      </c>
      <c r="CK1441" s="57">
        <f t="shared" si="354"/>
        <v>1.0130666367642693</v>
      </c>
      <c r="CL1441" s="160">
        <f t="shared" si="355"/>
        <v>143.26925772997279</v>
      </c>
      <c r="CM1441" s="160">
        <v>-1.6277443037085857</v>
      </c>
      <c r="CN1441" s="160">
        <f t="shared" si="350"/>
        <v>809.22197428805373</v>
      </c>
      <c r="CO1441" s="55" t="s">
        <v>892</v>
      </c>
      <c r="CP1441" s="497" t="s">
        <v>893</v>
      </c>
      <c r="CQ1441" s="149">
        <v>-1.5943997665210112</v>
      </c>
      <c r="CR1441" s="349">
        <f t="shared" si="352"/>
        <v>5.299173420329641</v>
      </c>
      <c r="CS1441" s="61" t="s">
        <v>539</v>
      </c>
      <c r="CT1441" s="61"/>
      <c r="CU1441" s="111">
        <f t="shared" si="356"/>
        <v>927.04677429432832</v>
      </c>
      <c r="CV1441" s="331">
        <f t="shared" si="357"/>
        <v>6.5552106058063426</v>
      </c>
      <c r="CW1441" s="326">
        <f t="shared" si="347"/>
        <v>1</v>
      </c>
      <c r="CX1441" s="326" t="s">
        <v>539</v>
      </c>
      <c r="CY1441" s="161" t="s">
        <v>5921</v>
      </c>
    </row>
    <row r="1442" spans="1:103" ht="11.25" customHeight="1" x14ac:dyDescent="0.2">
      <c r="A1442" s="72">
        <v>462</v>
      </c>
      <c r="B1442" s="149">
        <v>308</v>
      </c>
      <c r="C1442" s="54" t="s">
        <v>1213</v>
      </c>
      <c r="D1442" s="54" t="s">
        <v>6760</v>
      </c>
      <c r="E1442" s="59"/>
      <c r="F1442" s="59" t="s">
        <v>1214</v>
      </c>
      <c r="G1442" s="151">
        <v>188489078</v>
      </c>
      <c r="H1442" s="55" t="s">
        <v>1215</v>
      </c>
      <c r="I1442" s="55" t="s">
        <v>7893</v>
      </c>
      <c r="J1442" s="55" t="s">
        <v>1216</v>
      </c>
      <c r="K1442" s="55" t="s">
        <v>1217</v>
      </c>
      <c r="L1442" s="55" t="s">
        <v>5987</v>
      </c>
      <c r="M1442" s="60" t="s">
        <v>2342</v>
      </c>
      <c r="N1442" s="60" t="s">
        <v>2342</v>
      </c>
      <c r="O1442" s="55"/>
      <c r="P1442" s="67"/>
      <c r="Q1442" s="67"/>
      <c r="R1442" s="67"/>
      <c r="S1442" s="67"/>
      <c r="T1442" s="56">
        <v>408.73</v>
      </c>
      <c r="U1442" s="103"/>
      <c r="V1442" s="103">
        <v>0.77549999999999997</v>
      </c>
      <c r="W1442" s="103">
        <v>1.2062477472153492</v>
      </c>
      <c r="X1442" s="103">
        <v>1.2062477472153492</v>
      </c>
      <c r="Y1442" s="162">
        <v>7</v>
      </c>
      <c r="Z1442" s="56">
        <v>4.1500000000000004</v>
      </c>
      <c r="AA1442" s="56"/>
      <c r="AB1442" s="56">
        <v>3.46</v>
      </c>
      <c r="AC1442" s="56">
        <v>0.60660000000000003</v>
      </c>
      <c r="AD1442" s="56">
        <v>3.48</v>
      </c>
      <c r="AE1442" s="56">
        <v>3.53</v>
      </c>
      <c r="AF1442" s="56">
        <f t="shared" si="353"/>
        <v>3.48</v>
      </c>
      <c r="AG1442" s="57">
        <v>-0.75</v>
      </c>
      <c r="AH1442" s="103">
        <v>9.3600000000000008E-10</v>
      </c>
      <c r="AI1442" s="103"/>
      <c r="AJ1442" s="62">
        <f t="shared" si="351"/>
        <v>-7.4172904775745465</v>
      </c>
      <c r="AK1442" s="62"/>
      <c r="AL1442" s="62">
        <f t="shared" si="349"/>
        <v>-7.4172904775745465</v>
      </c>
      <c r="AM1442" s="62">
        <v>-12.87222</v>
      </c>
      <c r="AN1442" s="154">
        <v>-10.8</v>
      </c>
      <c r="AO1442" s="410"/>
      <c r="AP1442" s="410">
        <v>-3.03</v>
      </c>
      <c r="AQ1442" s="154" t="s">
        <v>6311</v>
      </c>
      <c r="AR1442" s="154" t="s">
        <v>6314</v>
      </c>
      <c r="AS1442" s="149" t="s">
        <v>63</v>
      </c>
      <c r="AT1442" s="58" t="s">
        <v>266</v>
      </c>
      <c r="AU1442" s="56">
        <v>8</v>
      </c>
      <c r="AV1442" s="56">
        <v>144</v>
      </c>
      <c r="AW1442" s="56">
        <v>120</v>
      </c>
      <c r="AX1442" s="56">
        <v>26</v>
      </c>
      <c r="AY1442" s="56" t="s">
        <v>267</v>
      </c>
      <c r="AZ1442" s="56" t="s">
        <v>268</v>
      </c>
      <c r="BA1442" s="56">
        <v>2</v>
      </c>
      <c r="BB1442" s="55" t="s">
        <v>888</v>
      </c>
      <c r="BC1442" s="55" t="s">
        <v>270</v>
      </c>
      <c r="BD1442" s="55" t="s">
        <v>8374</v>
      </c>
      <c r="BE1442" s="56" t="s">
        <v>889</v>
      </c>
      <c r="BF1442" s="56" t="s">
        <v>272</v>
      </c>
      <c r="BG1442" s="56" t="s">
        <v>272</v>
      </c>
      <c r="BH1442" s="56" t="s">
        <v>890</v>
      </c>
      <c r="BI1442" s="153">
        <v>4.0873E-4</v>
      </c>
      <c r="BJ1442" s="153">
        <v>32.698399999999999</v>
      </c>
      <c r="BK1442" s="56"/>
      <c r="BL1442" s="153">
        <v>3.9366020587388801</v>
      </c>
      <c r="BM1442" s="56" t="s">
        <v>891</v>
      </c>
      <c r="BN1442" s="162"/>
      <c r="BO1442" s="162"/>
      <c r="BP1442" s="162"/>
      <c r="BQ1442" s="162"/>
      <c r="BR1442" s="162"/>
      <c r="BS1442" s="56">
        <v>0.23121260373950206</v>
      </c>
      <c r="BT1442" s="162"/>
      <c r="BU1442" s="158"/>
      <c r="BV1442" s="162"/>
      <c r="BW1442" s="162"/>
      <c r="BX1442" s="162"/>
      <c r="BY1442" s="162"/>
      <c r="BZ1442" s="162"/>
      <c r="CA1442" s="162"/>
      <c r="CB1442" s="162"/>
      <c r="CC1442" s="56"/>
      <c r="CD1442" s="56"/>
      <c r="CE1442" s="56"/>
      <c r="CF1442" s="56"/>
      <c r="CG1442" s="56"/>
      <c r="CH1442" s="56"/>
      <c r="CI1442" s="103">
        <v>0.23121260373950206</v>
      </c>
      <c r="CJ1442" s="103">
        <f t="shared" si="346"/>
        <v>-0.63598849557450288</v>
      </c>
      <c r="CK1442" s="57">
        <f t="shared" si="354"/>
        <v>0.12039127476386857</v>
      </c>
      <c r="CL1442" s="160">
        <f t="shared" si="355"/>
        <v>17.025897356244865</v>
      </c>
      <c r="CM1442" s="160">
        <v>0.39794000867203766</v>
      </c>
      <c r="CN1442" s="160">
        <f t="shared" si="350"/>
        <v>13.079359999999998</v>
      </c>
      <c r="CO1442" s="55" t="s">
        <v>892</v>
      </c>
      <c r="CP1442" s="497" t="s">
        <v>893</v>
      </c>
      <c r="CQ1442" s="149">
        <v>0.48307086636951629</v>
      </c>
      <c r="CR1442" s="349">
        <f t="shared" si="352"/>
        <v>7.6022235814017985E-2</v>
      </c>
      <c r="CS1442" s="61" t="s">
        <v>539</v>
      </c>
      <c r="CT1442" s="61"/>
      <c r="CU1442" s="111">
        <f t="shared" si="356"/>
        <v>5.2170501421902591</v>
      </c>
      <c r="CV1442" s="331">
        <f t="shared" si="357"/>
        <v>3.689011533332974E-2</v>
      </c>
      <c r="CW1442" s="326">
        <f t="shared" si="347"/>
        <v>1</v>
      </c>
      <c r="CX1442" s="326" t="s">
        <v>539</v>
      </c>
      <c r="CY1442" s="161" t="s">
        <v>5921</v>
      </c>
    </row>
    <row r="1443" spans="1:103" ht="11.25" customHeight="1" x14ac:dyDescent="0.2">
      <c r="A1443" s="72">
        <v>469</v>
      </c>
      <c r="B1443" s="149">
        <v>221</v>
      </c>
      <c r="C1443" s="54" t="s">
        <v>1031</v>
      </c>
      <c r="D1443" s="54" t="s">
        <v>6494</v>
      </c>
      <c r="E1443" s="59"/>
      <c r="F1443" s="59" t="s">
        <v>1032</v>
      </c>
      <c r="G1443" s="151">
        <v>1897456</v>
      </c>
      <c r="H1443" s="55" t="s">
        <v>1033</v>
      </c>
      <c r="I1443" s="55" t="s">
        <v>7750</v>
      </c>
      <c r="J1443" s="55" t="s">
        <v>1034</v>
      </c>
      <c r="K1443" s="55" t="s">
        <v>426</v>
      </c>
      <c r="L1443" s="55" t="s">
        <v>5929</v>
      </c>
      <c r="M1443" s="55" t="s">
        <v>8509</v>
      </c>
      <c r="N1443" s="60" t="s">
        <v>6383</v>
      </c>
      <c r="O1443" s="55" t="s">
        <v>1035</v>
      </c>
      <c r="P1443" s="67"/>
      <c r="Q1443" s="67"/>
      <c r="R1443" s="67"/>
      <c r="S1443" s="67"/>
      <c r="T1443" s="56">
        <v>265.91000000000003</v>
      </c>
      <c r="U1443" s="103">
        <v>0.81</v>
      </c>
      <c r="V1443" s="103">
        <v>26.01</v>
      </c>
      <c r="W1443" s="103">
        <v>1.8396477347705402</v>
      </c>
      <c r="X1443" s="103">
        <v>0.81</v>
      </c>
      <c r="Y1443" s="162">
        <v>7</v>
      </c>
      <c r="Z1443" s="56">
        <v>3.66</v>
      </c>
      <c r="AA1443" s="56">
        <v>3.05</v>
      </c>
      <c r="AB1443" s="56">
        <v>3.2</v>
      </c>
      <c r="AC1443" s="56">
        <v>0.76400000000000001</v>
      </c>
      <c r="AD1443" s="56">
        <v>3.12</v>
      </c>
      <c r="AE1443" s="56">
        <v>2.88</v>
      </c>
      <c r="AF1443" s="56">
        <f t="shared" si="353"/>
        <v>3.05</v>
      </c>
      <c r="AG1443" s="57">
        <v>4.17</v>
      </c>
      <c r="AH1443" s="103">
        <v>1.5200000000000001E-7</v>
      </c>
      <c r="AI1443" s="103">
        <v>1.9999999999999999E-6</v>
      </c>
      <c r="AJ1443" s="62">
        <f t="shared" si="351"/>
        <v>-5.2067227383678789</v>
      </c>
      <c r="AK1443" s="62">
        <f>LOG10(AI1443*1000/(0.08206*298.15))</f>
        <v>-4.0875363306486703</v>
      </c>
      <c r="AL1443" s="62">
        <f t="shared" si="349"/>
        <v>-4.0875363306486703</v>
      </c>
      <c r="AM1443" s="62">
        <v>-8.3957800000000002</v>
      </c>
      <c r="AN1443" s="154">
        <v>-5.47</v>
      </c>
      <c r="AO1443" s="410"/>
      <c r="AP1443" s="410"/>
      <c r="AQ1443" s="154" t="s">
        <v>6311</v>
      </c>
      <c r="AR1443" s="154" t="s">
        <v>6311</v>
      </c>
      <c r="AS1443" s="149" t="s">
        <v>6</v>
      </c>
      <c r="AT1443" s="58" t="s">
        <v>266</v>
      </c>
      <c r="AU1443" s="56">
        <v>8</v>
      </c>
      <c r="AV1443" s="56">
        <v>144</v>
      </c>
      <c r="AW1443" s="56">
        <v>120</v>
      </c>
      <c r="AX1443" s="56">
        <v>26</v>
      </c>
      <c r="AY1443" s="56" t="s">
        <v>267</v>
      </c>
      <c r="AZ1443" s="56" t="s">
        <v>268</v>
      </c>
      <c r="BA1443" s="56">
        <v>2</v>
      </c>
      <c r="BB1443" s="55" t="s">
        <v>888</v>
      </c>
      <c r="BC1443" s="55" t="s">
        <v>270</v>
      </c>
      <c r="BD1443" s="55" t="s">
        <v>8374</v>
      </c>
      <c r="BE1443" s="56" t="s">
        <v>889</v>
      </c>
      <c r="BF1443" s="56" t="s">
        <v>272</v>
      </c>
      <c r="BG1443" s="56" t="s">
        <v>272</v>
      </c>
      <c r="BH1443" s="56" t="s">
        <v>890</v>
      </c>
      <c r="BI1443" s="153">
        <v>2.6591000000000001E-4</v>
      </c>
      <c r="BJ1443" s="153">
        <v>21.272800000000004</v>
      </c>
      <c r="BK1443" s="56"/>
      <c r="BL1443" s="153">
        <v>7.0548643891683938</v>
      </c>
      <c r="BM1443" s="56" t="s">
        <v>891</v>
      </c>
      <c r="BN1443" s="162"/>
      <c r="BO1443" s="162"/>
      <c r="BP1443" s="162"/>
      <c r="BQ1443" s="162"/>
      <c r="BR1443" s="162"/>
      <c r="BS1443" s="56">
        <v>8.509120000000002E-2</v>
      </c>
      <c r="BT1443" s="162"/>
      <c r="BU1443" s="158"/>
      <c r="BV1443" s="162"/>
      <c r="BW1443" s="162"/>
      <c r="BX1443" s="162"/>
      <c r="BY1443" s="162"/>
      <c r="BZ1443" s="162"/>
      <c r="CA1443" s="162"/>
      <c r="CB1443" s="162"/>
      <c r="CC1443" s="56"/>
      <c r="CD1443" s="56"/>
      <c r="CE1443" s="56"/>
      <c r="CF1443" s="56"/>
      <c r="CG1443" s="56"/>
      <c r="CH1443" s="56"/>
      <c r="CI1443" s="103">
        <v>8.509120000000002E-2</v>
      </c>
      <c r="CJ1443" s="103">
        <f t="shared" si="346"/>
        <v>-1.0701153516551982</v>
      </c>
      <c r="CK1443" s="57">
        <f t="shared" si="354"/>
        <v>0.33163779047273478</v>
      </c>
      <c r="CL1443" s="160">
        <f t="shared" si="355"/>
        <v>82.909447618183691</v>
      </c>
      <c r="CM1443" s="160">
        <v>-1.645891560852599</v>
      </c>
      <c r="CN1443" s="160">
        <f t="shared" si="350"/>
        <v>941.27433628318624</v>
      </c>
      <c r="CO1443" s="55" t="s">
        <v>892</v>
      </c>
      <c r="CP1443" s="497" t="s">
        <v>893</v>
      </c>
      <c r="CQ1443" s="149">
        <v>-1.1272092997656173</v>
      </c>
      <c r="CR1443" s="349">
        <f t="shared" si="352"/>
        <v>1.1404964770886694</v>
      </c>
      <c r="CS1443" s="61" t="s">
        <v>539</v>
      </c>
      <c r="CT1443" s="61"/>
      <c r="CU1443" s="111">
        <f t="shared" si="356"/>
        <v>9.5191982249633327</v>
      </c>
      <c r="CV1443" s="331">
        <f t="shared" si="357"/>
        <v>3.8076792899853329E-2</v>
      </c>
      <c r="CW1443" s="326">
        <f t="shared" si="347"/>
        <v>1</v>
      </c>
      <c r="CX1443" s="326" t="s">
        <v>539</v>
      </c>
      <c r="CY1443" s="161" t="s">
        <v>5921</v>
      </c>
    </row>
    <row r="1444" spans="1:103" ht="11.25" customHeight="1" x14ac:dyDescent="0.2">
      <c r="A1444" s="72">
        <v>470</v>
      </c>
      <c r="B1444" s="149">
        <v>461</v>
      </c>
      <c r="C1444" s="54" t="s">
        <v>1510</v>
      </c>
      <c r="D1444" s="54" t="s">
        <v>6764</v>
      </c>
      <c r="E1444" s="59"/>
      <c r="F1444" s="59" t="s">
        <v>1511</v>
      </c>
      <c r="G1444" s="151">
        <v>137268</v>
      </c>
      <c r="H1444" s="55" t="s">
        <v>1512</v>
      </c>
      <c r="I1444" s="55" t="s">
        <v>1512</v>
      </c>
      <c r="J1444" s="55" t="s">
        <v>1513</v>
      </c>
      <c r="K1444" s="55" t="s">
        <v>1514</v>
      </c>
      <c r="L1444" s="55" t="s">
        <v>6092</v>
      </c>
      <c r="M1444" s="55" t="s">
        <v>1515</v>
      </c>
      <c r="N1444" s="60" t="s">
        <v>6382</v>
      </c>
      <c r="O1444" s="55" t="s">
        <v>1516</v>
      </c>
      <c r="P1444" s="67"/>
      <c r="Q1444" s="67"/>
      <c r="R1444" s="67"/>
      <c r="S1444" s="67"/>
      <c r="T1444" s="56">
        <v>240.44</v>
      </c>
      <c r="U1444" s="103">
        <v>30</v>
      </c>
      <c r="V1444" s="103">
        <v>9064</v>
      </c>
      <c r="W1444" s="103">
        <v>53.827811055737122</v>
      </c>
      <c r="X1444" s="103">
        <v>30</v>
      </c>
      <c r="Y1444" s="162">
        <v>7</v>
      </c>
      <c r="Z1444" s="56">
        <v>1.7</v>
      </c>
      <c r="AA1444" s="56">
        <v>1.73</v>
      </c>
      <c r="AB1444" s="56">
        <v>2.02</v>
      </c>
      <c r="AC1444" s="56">
        <v>0.82899999999999996</v>
      </c>
      <c r="AD1444" s="56">
        <v>1.94</v>
      </c>
      <c r="AE1444" s="56">
        <v>1.75</v>
      </c>
      <c r="AF1444" s="56">
        <f t="shared" si="353"/>
        <v>1.73</v>
      </c>
      <c r="AG1444" s="57">
        <v>3.34</v>
      </c>
      <c r="AH1444" s="103">
        <v>2.6800000000000001E-5</v>
      </c>
      <c r="AI1444" s="103">
        <v>1.8199999999999999E-7</v>
      </c>
      <c r="AJ1444" s="62">
        <f t="shared" si="351"/>
        <v>-2.960431532283863</v>
      </c>
      <c r="AK1444" s="62">
        <f>LOG10(AI1444*1000/(0.08206*298.15))</f>
        <v>-5.1284949383275773</v>
      </c>
      <c r="AL1444" s="62">
        <f t="shared" si="349"/>
        <v>-5.1284949383275773</v>
      </c>
      <c r="AM1444" s="62">
        <v>-12.009799999999998</v>
      </c>
      <c r="AN1444" s="154">
        <v>-6.05</v>
      </c>
      <c r="AO1444" s="410"/>
      <c r="AP1444" s="410">
        <v>0.87</v>
      </c>
      <c r="AQ1444" s="154" t="s">
        <v>6311</v>
      </c>
      <c r="AR1444" s="154" t="s">
        <v>6311</v>
      </c>
      <c r="AS1444" s="149" t="s">
        <v>6</v>
      </c>
      <c r="AT1444" s="58" t="s">
        <v>266</v>
      </c>
      <c r="AU1444" s="56">
        <v>8</v>
      </c>
      <c r="AV1444" s="56">
        <v>144</v>
      </c>
      <c r="AW1444" s="56">
        <v>120</v>
      </c>
      <c r="AX1444" s="56">
        <v>26</v>
      </c>
      <c r="AY1444" s="56" t="s">
        <v>267</v>
      </c>
      <c r="AZ1444" s="56" t="s">
        <v>268</v>
      </c>
      <c r="BA1444" s="56">
        <v>2</v>
      </c>
      <c r="BB1444" s="55" t="s">
        <v>888</v>
      </c>
      <c r="BC1444" s="55" t="s">
        <v>270</v>
      </c>
      <c r="BD1444" s="55" t="s">
        <v>8374</v>
      </c>
      <c r="BE1444" s="56" t="s">
        <v>889</v>
      </c>
      <c r="BF1444" s="56" t="s">
        <v>272</v>
      </c>
      <c r="BG1444" s="56" t="s">
        <v>272</v>
      </c>
      <c r="BH1444" s="56" t="s">
        <v>890</v>
      </c>
      <c r="BI1444" s="153">
        <v>2.4044E-4</v>
      </c>
      <c r="BJ1444" s="153">
        <v>19.235199999999999</v>
      </c>
      <c r="BK1444" s="56"/>
      <c r="BL1444" s="153">
        <v>367.31335527411579</v>
      </c>
      <c r="BM1444" s="56" t="s">
        <v>891</v>
      </c>
      <c r="BN1444" s="162"/>
      <c r="BO1444" s="162"/>
      <c r="BP1444" s="162"/>
      <c r="BQ1444" s="162"/>
      <c r="BR1444" s="162"/>
      <c r="BS1444" s="56">
        <v>7.6940800000000004E-2</v>
      </c>
      <c r="BT1444" s="162"/>
      <c r="BU1444" s="158"/>
      <c r="BV1444" s="162"/>
      <c r="BW1444" s="162"/>
      <c r="BX1444" s="162"/>
      <c r="BY1444" s="162"/>
      <c r="BZ1444" s="162"/>
      <c r="CA1444" s="162"/>
      <c r="CB1444" s="162"/>
      <c r="CC1444" s="56"/>
      <c r="CD1444" s="56"/>
      <c r="CE1444" s="56"/>
      <c r="CF1444" s="56"/>
      <c r="CG1444" s="56"/>
      <c r="CH1444" s="56"/>
      <c r="CI1444" s="103">
        <v>7.6940800000000004E-2</v>
      </c>
      <c r="CJ1444" s="103">
        <f t="shared" si="346"/>
        <v>-1.1138433023835148</v>
      </c>
      <c r="CK1444" s="57">
        <f t="shared" si="354"/>
        <v>19.095894780096689</v>
      </c>
      <c r="CL1444" s="160">
        <f t="shared" si="355"/>
        <v>4773.9736950241713</v>
      </c>
      <c r="CM1444" s="160">
        <v>-1.6644766621219171</v>
      </c>
      <c r="CN1444" s="160">
        <f t="shared" si="350"/>
        <v>888.32803512418093</v>
      </c>
      <c r="CO1444" s="55" t="s">
        <v>892</v>
      </c>
      <c r="CP1444" s="497" t="s">
        <v>893</v>
      </c>
      <c r="CQ1444" s="149">
        <v>-1.2976425233538103</v>
      </c>
      <c r="CR1444" s="349">
        <f t="shared" si="352"/>
        <v>1.5268600111696071</v>
      </c>
      <c r="CS1444" s="61" t="s">
        <v>539</v>
      </c>
      <c r="CT1444" s="61"/>
      <c r="CU1444" s="111">
        <f t="shared" si="356"/>
        <v>389.91016469805356</v>
      </c>
      <c r="CV1444" s="331">
        <f t="shared" si="357"/>
        <v>1.5596406587922143</v>
      </c>
      <c r="CW1444" s="326">
        <f t="shared" si="347"/>
        <v>1</v>
      </c>
      <c r="CX1444" s="326" t="s">
        <v>539</v>
      </c>
      <c r="CY1444" s="161" t="s">
        <v>6351</v>
      </c>
    </row>
    <row r="1445" spans="1:103" ht="11.25" customHeight="1" x14ac:dyDescent="0.2">
      <c r="A1445" s="72">
        <v>471</v>
      </c>
      <c r="B1445" s="149">
        <v>228</v>
      </c>
      <c r="C1445" s="54" t="s">
        <v>1051</v>
      </c>
      <c r="D1445" s="54" t="s">
        <v>6765</v>
      </c>
      <c r="E1445" s="59"/>
      <c r="F1445" s="59" t="s">
        <v>1052</v>
      </c>
      <c r="G1445" s="151">
        <v>105512069</v>
      </c>
      <c r="H1445" s="55" t="s">
        <v>1053</v>
      </c>
      <c r="I1445" s="55" t="s">
        <v>7897</v>
      </c>
      <c r="J1445" s="55" t="s">
        <v>1054</v>
      </c>
      <c r="K1445" s="55" t="s">
        <v>1055</v>
      </c>
      <c r="L1445" s="55" t="s">
        <v>5967</v>
      </c>
      <c r="M1445" s="168" t="s">
        <v>6074</v>
      </c>
      <c r="N1445" s="60" t="s">
        <v>6082</v>
      </c>
      <c r="O1445" s="55" t="s">
        <v>6083</v>
      </c>
      <c r="P1445" s="67"/>
      <c r="Q1445" s="67"/>
      <c r="R1445" s="67"/>
      <c r="S1445" s="67"/>
      <c r="T1445" s="56">
        <v>349.74</v>
      </c>
      <c r="U1445" s="103">
        <v>4</v>
      </c>
      <c r="V1445" s="103">
        <v>2.9039999999999999</v>
      </c>
      <c r="W1445" s="103">
        <v>11.85073551681247</v>
      </c>
      <c r="X1445" s="103">
        <v>4</v>
      </c>
      <c r="Y1445" s="162">
        <v>7</v>
      </c>
      <c r="Z1445" s="56">
        <v>3.12</v>
      </c>
      <c r="AA1445" s="56">
        <v>3.9</v>
      </c>
      <c r="AB1445" s="56">
        <v>3.37</v>
      </c>
      <c r="AC1445" s="56">
        <v>0.78569999999999995</v>
      </c>
      <c r="AD1445" s="56">
        <v>3.09</v>
      </c>
      <c r="AE1445" s="56">
        <v>2.33</v>
      </c>
      <c r="AF1445" s="56">
        <f t="shared" si="353"/>
        <v>3.9</v>
      </c>
      <c r="AG1445" s="57">
        <v>3.83</v>
      </c>
      <c r="AH1445" s="103">
        <v>3.5099999999999998E-10</v>
      </c>
      <c r="AI1445" s="103">
        <v>2.76E-9</v>
      </c>
      <c r="AJ1445" s="62">
        <f t="shared" si="351"/>
        <v>-7.8432592098468277</v>
      </c>
      <c r="AK1445" s="62">
        <f>LOG10(AI1445*1000/(0.08206*298.15))</f>
        <v>-6.9476572442474342</v>
      </c>
      <c r="AL1445" s="62">
        <f t="shared" si="349"/>
        <v>-6.9476572442474342</v>
      </c>
      <c r="AM1445" s="62">
        <v>-14.626449999999998</v>
      </c>
      <c r="AN1445" s="154">
        <v>-7.69</v>
      </c>
      <c r="AO1445" s="410"/>
      <c r="AP1445" s="410">
        <v>-1.54</v>
      </c>
      <c r="AQ1445" s="154" t="s">
        <v>6311</v>
      </c>
      <c r="AR1445" s="154" t="s">
        <v>6314</v>
      </c>
      <c r="AS1445" s="149" t="s">
        <v>6</v>
      </c>
      <c r="AT1445" s="58" t="s">
        <v>266</v>
      </c>
      <c r="AU1445" s="56">
        <v>8</v>
      </c>
      <c r="AV1445" s="56">
        <v>144</v>
      </c>
      <c r="AW1445" s="56">
        <v>120</v>
      </c>
      <c r="AX1445" s="56">
        <v>26</v>
      </c>
      <c r="AY1445" s="56" t="s">
        <v>267</v>
      </c>
      <c r="AZ1445" s="56" t="s">
        <v>268</v>
      </c>
      <c r="BA1445" s="56">
        <v>2</v>
      </c>
      <c r="BB1445" s="55" t="s">
        <v>888</v>
      </c>
      <c r="BC1445" s="55" t="s">
        <v>270</v>
      </c>
      <c r="BD1445" s="55" t="s">
        <v>8374</v>
      </c>
      <c r="BE1445" s="56" t="s">
        <v>889</v>
      </c>
      <c r="BF1445" s="56" t="s">
        <v>272</v>
      </c>
      <c r="BG1445" s="56" t="s">
        <v>272</v>
      </c>
      <c r="BH1445" s="56" t="s">
        <v>890</v>
      </c>
      <c r="BI1445" s="153">
        <v>3.4973999999999997E-4</v>
      </c>
      <c r="BJ1445" s="153">
        <v>27.979200000000002</v>
      </c>
      <c r="BK1445" s="56"/>
      <c r="BL1445" s="153">
        <v>28.344794043354849</v>
      </c>
      <c r="BM1445" s="56" t="s">
        <v>891</v>
      </c>
      <c r="BN1445" s="162"/>
      <c r="BO1445" s="162"/>
      <c r="BP1445" s="162"/>
      <c r="BQ1445" s="162"/>
      <c r="BR1445" s="162"/>
      <c r="BS1445" s="56">
        <v>0.11191680000000001</v>
      </c>
      <c r="BT1445" s="162"/>
      <c r="BU1445" s="158"/>
      <c r="BV1445" s="162"/>
      <c r="BW1445" s="162"/>
      <c r="BX1445" s="162"/>
      <c r="BY1445" s="162"/>
      <c r="BZ1445" s="162"/>
      <c r="CA1445" s="162"/>
      <c r="CB1445" s="162"/>
      <c r="CC1445" s="56"/>
      <c r="CD1445" s="56"/>
      <c r="CE1445" s="56"/>
      <c r="CF1445" s="56"/>
      <c r="CG1445" s="56"/>
      <c r="CH1445" s="56"/>
      <c r="CI1445" s="103">
        <v>0.11191680000000001</v>
      </c>
      <c r="CJ1445" s="103">
        <f t="shared" si="346"/>
        <v>-0.95110471597700541</v>
      </c>
      <c r="CK1445" s="57">
        <f t="shared" si="354"/>
        <v>1.0130666367642693</v>
      </c>
      <c r="CL1445" s="160">
        <f t="shared" si="355"/>
        <v>253.26665919106736</v>
      </c>
      <c r="CM1445" s="160">
        <v>-0.61978875828839453</v>
      </c>
      <c r="CN1445" s="160">
        <f t="shared" si="350"/>
        <v>116.58000000000017</v>
      </c>
      <c r="CO1445" s="55" t="s">
        <v>892</v>
      </c>
      <c r="CP1445" s="497" t="s">
        <v>893</v>
      </c>
      <c r="CQ1445" s="149">
        <v>-0.51720096551407746</v>
      </c>
      <c r="CR1445" s="349">
        <f t="shared" si="352"/>
        <v>0.36821056843905348</v>
      </c>
      <c r="CS1445" s="61" t="s">
        <v>539</v>
      </c>
      <c r="CT1445" s="61"/>
      <c r="CU1445" s="111">
        <f t="shared" si="356"/>
        <v>35.740836049636869</v>
      </c>
      <c r="CV1445" s="331">
        <f t="shared" si="357"/>
        <v>0.14296334419854748</v>
      </c>
      <c r="CW1445" s="326">
        <f t="shared" si="347"/>
        <v>1</v>
      </c>
      <c r="CX1445" s="326" t="s">
        <v>539</v>
      </c>
      <c r="CY1445" s="161" t="s">
        <v>5921</v>
      </c>
    </row>
    <row r="1446" spans="1:103" ht="11.25" customHeight="1" x14ac:dyDescent="0.2">
      <c r="A1446" s="72">
        <v>472</v>
      </c>
      <c r="B1446" s="149">
        <v>343</v>
      </c>
      <c r="C1446" s="54" t="s">
        <v>1278</v>
      </c>
      <c r="D1446" s="54" t="s">
        <v>6766</v>
      </c>
      <c r="E1446" s="59"/>
      <c r="F1446" s="59" t="s">
        <v>1279</v>
      </c>
      <c r="G1446" s="151">
        <v>77501634</v>
      </c>
      <c r="H1446" s="55" t="s">
        <v>1280</v>
      </c>
      <c r="I1446" s="55" t="s">
        <v>7898</v>
      </c>
      <c r="J1446" s="55" t="s">
        <v>1281</v>
      </c>
      <c r="K1446" s="55" t="s">
        <v>357</v>
      </c>
      <c r="L1446" s="55" t="s">
        <v>5996</v>
      </c>
      <c r="M1446" s="60" t="s">
        <v>2342</v>
      </c>
      <c r="N1446" s="60" t="s">
        <v>2342</v>
      </c>
      <c r="O1446" s="55"/>
      <c r="P1446" s="67"/>
      <c r="Q1446" s="67"/>
      <c r="R1446" s="67"/>
      <c r="S1446" s="67"/>
      <c r="T1446" s="56">
        <v>461.77</v>
      </c>
      <c r="U1446" s="103">
        <v>0.1</v>
      </c>
      <c r="V1446" s="103">
        <v>3.9899999999999998E-2</v>
      </c>
      <c r="W1446" s="103">
        <v>0.28472507400957625</v>
      </c>
      <c r="X1446" s="103">
        <v>0.1</v>
      </c>
      <c r="Y1446" s="162">
        <v>7</v>
      </c>
      <c r="Z1446" s="56">
        <v>4.92</v>
      </c>
      <c r="AA1446" s="56">
        <v>4.8099999999999996</v>
      </c>
      <c r="AB1446" s="56">
        <v>4.49</v>
      </c>
      <c r="AC1446" s="56">
        <v>0.83730000000000004</v>
      </c>
      <c r="AD1446" s="56">
        <v>4.5599999999999996</v>
      </c>
      <c r="AE1446" s="56">
        <v>4.84</v>
      </c>
      <c r="AF1446" s="56">
        <f t="shared" si="353"/>
        <v>4.8099999999999996</v>
      </c>
      <c r="AG1446" s="57">
        <v>4.46</v>
      </c>
      <c r="AH1446" s="103">
        <v>5.7299999999999999E-10</v>
      </c>
      <c r="AI1446" s="103">
        <v>4.7199999999999999E-7</v>
      </c>
      <c r="AJ1446" s="62">
        <f t="shared" si="351"/>
        <v>-7.6304117043452617</v>
      </c>
      <c r="AK1446" s="62">
        <f>LOG10(AI1446*1000/(0.08206*298.15))</f>
        <v>-4.714624327678564</v>
      </c>
      <c r="AL1446" s="62">
        <f t="shared" si="349"/>
        <v>-4.714624327678564</v>
      </c>
      <c r="AM1446" s="62">
        <v>-14.377310000000001</v>
      </c>
      <c r="AN1446" s="154">
        <v>-7.74</v>
      </c>
      <c r="AO1446" s="410"/>
      <c r="AP1446" s="410"/>
      <c r="AQ1446" s="154" t="s">
        <v>6311</v>
      </c>
      <c r="AR1446" s="154" t="s">
        <v>6312</v>
      </c>
      <c r="AS1446" s="149" t="s">
        <v>6</v>
      </c>
      <c r="AT1446" s="58" t="s">
        <v>266</v>
      </c>
      <c r="AU1446" s="56">
        <v>8</v>
      </c>
      <c r="AV1446" s="56">
        <v>144</v>
      </c>
      <c r="AW1446" s="56">
        <v>120</v>
      </c>
      <c r="AX1446" s="56">
        <v>26</v>
      </c>
      <c r="AY1446" s="56" t="s">
        <v>267</v>
      </c>
      <c r="AZ1446" s="56" t="s">
        <v>268</v>
      </c>
      <c r="BA1446" s="56">
        <v>2</v>
      </c>
      <c r="BB1446" s="55" t="s">
        <v>888</v>
      </c>
      <c r="BC1446" s="55" t="s">
        <v>270</v>
      </c>
      <c r="BD1446" s="55" t="s">
        <v>8374</v>
      </c>
      <c r="BE1446" s="56" t="s">
        <v>889</v>
      </c>
      <c r="BF1446" s="56" t="s">
        <v>272</v>
      </c>
      <c r="BG1446" s="56" t="s">
        <v>272</v>
      </c>
      <c r="BH1446" s="56" t="s">
        <v>890</v>
      </c>
      <c r="BI1446" s="153">
        <v>4.6176999999999996E-4</v>
      </c>
      <c r="BJ1446" s="153">
        <v>36.941600000000001</v>
      </c>
      <c r="BK1446" s="56"/>
      <c r="BL1446" s="153">
        <v>0.90484400743761029</v>
      </c>
      <c r="BM1446" s="56" t="s">
        <v>891</v>
      </c>
      <c r="BN1446" s="162"/>
      <c r="BO1446" s="162"/>
      <c r="BP1446" s="162"/>
      <c r="BQ1446" s="162"/>
      <c r="BR1446" s="162"/>
      <c r="BS1446" s="56">
        <v>0.14776640000000002</v>
      </c>
      <c r="BT1446" s="162"/>
      <c r="BU1446" s="158"/>
      <c r="BV1446" s="162"/>
      <c r="BW1446" s="162"/>
      <c r="BX1446" s="162"/>
      <c r="BY1446" s="162"/>
      <c r="BZ1446" s="162"/>
      <c r="CA1446" s="162"/>
      <c r="CB1446" s="162"/>
      <c r="CC1446" s="56"/>
      <c r="CD1446" s="56"/>
      <c r="CE1446" s="56"/>
      <c r="CF1446" s="56"/>
      <c r="CG1446" s="56"/>
      <c r="CH1446" s="56"/>
      <c r="CI1446" s="103">
        <v>0.14776640000000002</v>
      </c>
      <c r="CJ1446" s="103">
        <f t="shared" si="346"/>
        <v>-0.83042430716925419</v>
      </c>
      <c r="CK1446" s="57">
        <f t="shared" si="354"/>
        <v>2.4493904092882015E-2</v>
      </c>
      <c r="CL1446" s="160">
        <f t="shared" si="355"/>
        <v>6.123476023220503</v>
      </c>
      <c r="CM1446" s="160">
        <v>0.3222192947339193</v>
      </c>
      <c r="CN1446" s="160">
        <f t="shared" si="350"/>
        <v>17.591238095238094</v>
      </c>
      <c r="CO1446" s="55" t="s">
        <v>892</v>
      </c>
      <c r="CP1446" s="497" t="s">
        <v>893</v>
      </c>
      <c r="CQ1446" s="149">
        <v>0.44521050940045714</v>
      </c>
      <c r="CR1446" s="349">
        <f t="shared" si="352"/>
        <v>5.3010900713539533E-2</v>
      </c>
      <c r="CS1446" s="61" t="s">
        <v>539</v>
      </c>
      <c r="CT1446" s="61"/>
      <c r="CU1446" s="111">
        <f t="shared" si="356"/>
        <v>0.67674383351018896</v>
      </c>
      <c r="CV1446" s="331">
        <f t="shared" si="357"/>
        <v>2.7069753340407563E-3</v>
      </c>
      <c r="CW1446" s="326">
        <f t="shared" si="347"/>
        <v>0</v>
      </c>
      <c r="CX1446" s="326" t="s">
        <v>539</v>
      </c>
      <c r="CY1446" s="161" t="s">
        <v>6351</v>
      </c>
    </row>
    <row r="1447" spans="1:103" ht="11.25" customHeight="1" x14ac:dyDescent="0.2">
      <c r="A1447" s="72">
        <v>473</v>
      </c>
      <c r="B1447" s="149">
        <v>290</v>
      </c>
      <c r="C1447" s="54" t="s">
        <v>1145</v>
      </c>
      <c r="D1447" s="54" t="s">
        <v>6584</v>
      </c>
      <c r="E1447" s="59"/>
      <c r="F1447" s="59" t="s">
        <v>1146</v>
      </c>
      <c r="G1447" s="151">
        <v>131807573</v>
      </c>
      <c r="H1447" s="55" t="s">
        <v>1147</v>
      </c>
      <c r="I1447" s="55" t="s">
        <v>1147</v>
      </c>
      <c r="J1447" s="55" t="s">
        <v>1148</v>
      </c>
      <c r="K1447" s="55" t="s">
        <v>1149</v>
      </c>
      <c r="L1447" s="55" t="s">
        <v>5976</v>
      </c>
      <c r="M1447" s="60" t="s">
        <v>2342</v>
      </c>
      <c r="N1447" s="60" t="s">
        <v>2342</v>
      </c>
      <c r="O1447" s="55"/>
      <c r="P1447" s="67"/>
      <c r="Q1447" s="67"/>
      <c r="R1447" s="67"/>
      <c r="S1447" s="67"/>
      <c r="T1447" s="56">
        <v>374.39</v>
      </c>
      <c r="U1447" s="103">
        <v>5.1999999999999998E-2</v>
      </c>
      <c r="V1447" s="103">
        <v>0.47060000000000002</v>
      </c>
      <c r="W1447" s="103">
        <v>1.2981480944092318</v>
      </c>
      <c r="X1447" s="103">
        <v>5.1999999999999998E-2</v>
      </c>
      <c r="Y1447" s="162">
        <v>7</v>
      </c>
      <c r="Z1447" s="56">
        <v>4.8899999999999997</v>
      </c>
      <c r="AA1447" s="56">
        <v>4.6500000000000004</v>
      </c>
      <c r="AB1447" s="56">
        <v>4.12</v>
      </c>
      <c r="AC1447" s="56">
        <v>0.81379999999999997</v>
      </c>
      <c r="AD1447" s="56">
        <v>4.2699999999999996</v>
      </c>
      <c r="AE1447" s="56">
        <v>4.76</v>
      </c>
      <c r="AF1447" s="56">
        <f t="shared" si="353"/>
        <v>4.6500000000000004</v>
      </c>
      <c r="AG1447" s="57">
        <v>3.9</v>
      </c>
      <c r="AH1447" s="103">
        <v>2.5799999999999999E-12</v>
      </c>
      <c r="AI1447" s="103">
        <v>4.5499999999999997E-8</v>
      </c>
      <c r="AJ1447" s="62">
        <f t="shared" si="351"/>
        <v>-9.9769466203494215</v>
      </c>
      <c r="AK1447" s="62">
        <f>LOG10(AI1447*1000/(0.08206*298.15))</f>
        <v>-5.7305549296555398</v>
      </c>
      <c r="AL1447" s="62">
        <f t="shared" si="349"/>
        <v>-5.7305549296555398</v>
      </c>
      <c r="AM1447" s="62">
        <v>-19.723759999999999</v>
      </c>
      <c r="AN1447" s="154">
        <v>-12.2</v>
      </c>
      <c r="AO1447" s="410"/>
      <c r="AP1447" s="410">
        <v>0.63</v>
      </c>
      <c r="AQ1447" s="154" t="s">
        <v>6311</v>
      </c>
      <c r="AR1447" s="154" t="s">
        <v>6311</v>
      </c>
      <c r="AS1447" s="149" t="s">
        <v>6</v>
      </c>
      <c r="AT1447" s="58" t="s">
        <v>266</v>
      </c>
      <c r="AU1447" s="56">
        <v>8</v>
      </c>
      <c r="AV1447" s="56">
        <v>144</v>
      </c>
      <c r="AW1447" s="56">
        <v>120</v>
      </c>
      <c r="AX1447" s="56">
        <v>26</v>
      </c>
      <c r="AY1447" s="56" t="s">
        <v>267</v>
      </c>
      <c r="AZ1447" s="56" t="s">
        <v>268</v>
      </c>
      <c r="BA1447" s="56">
        <v>2</v>
      </c>
      <c r="BB1447" s="55" t="s">
        <v>888</v>
      </c>
      <c r="BC1447" s="55" t="s">
        <v>270</v>
      </c>
      <c r="BD1447" s="55" t="s">
        <v>8374</v>
      </c>
      <c r="BE1447" s="56" t="s">
        <v>889</v>
      </c>
      <c r="BF1447" s="56" t="s">
        <v>272</v>
      </c>
      <c r="BG1447" s="56" t="s">
        <v>272</v>
      </c>
      <c r="BH1447" s="56" t="s">
        <v>890</v>
      </c>
      <c r="BI1447" s="153">
        <v>3.7438999999999994E-4</v>
      </c>
      <c r="BJ1447" s="153">
        <v>29.9512</v>
      </c>
      <c r="BK1447" s="56"/>
      <c r="BL1447" s="153">
        <v>0.78057608278793544</v>
      </c>
      <c r="BM1447" s="56" t="s">
        <v>891</v>
      </c>
      <c r="BN1447" s="162"/>
      <c r="BO1447" s="162"/>
      <c r="BP1447" s="162"/>
      <c r="BQ1447" s="162"/>
      <c r="BR1447" s="162"/>
      <c r="BS1447" s="56">
        <v>0.1198048</v>
      </c>
      <c r="BT1447" s="162"/>
      <c r="BU1447" s="158"/>
      <c r="BV1447" s="162"/>
      <c r="BW1447" s="162"/>
      <c r="BX1447" s="162"/>
      <c r="BY1447" s="162"/>
      <c r="BZ1447" s="162"/>
      <c r="CA1447" s="162"/>
      <c r="CB1447" s="162"/>
      <c r="CC1447" s="56"/>
      <c r="CD1447" s="56"/>
      <c r="CE1447" s="56"/>
      <c r="CF1447" s="56"/>
      <c r="CG1447" s="56"/>
      <c r="CH1447" s="56"/>
      <c r="CI1447" s="103">
        <v>0.1198048</v>
      </c>
      <c r="CJ1447" s="103">
        <f t="shared" si="346"/>
        <v>-0.92152578151471765</v>
      </c>
      <c r="CK1447" s="57">
        <f t="shared" si="354"/>
        <v>2.6061596289562203E-2</v>
      </c>
      <c r="CL1447" s="160">
        <f t="shared" si="355"/>
        <v>6.5153990723905508</v>
      </c>
      <c r="CM1447" s="160">
        <v>-1.9208187539523758</v>
      </c>
      <c r="CN1447" s="160">
        <f t="shared" si="350"/>
        <v>2495.9333333333384</v>
      </c>
      <c r="CO1447" s="55" t="s">
        <v>892</v>
      </c>
      <c r="CP1447" s="497" t="s">
        <v>893</v>
      </c>
      <c r="CQ1447" s="149">
        <v>-1.9034377008227692</v>
      </c>
      <c r="CR1447" s="349">
        <f t="shared" si="352"/>
        <v>9.5920607204938531</v>
      </c>
      <c r="CS1447" s="61" t="s">
        <v>539</v>
      </c>
      <c r="CT1447" s="61"/>
      <c r="CU1447" s="111">
        <f t="shared" si="356"/>
        <v>0.43403937070968773</v>
      </c>
      <c r="CV1447" s="331">
        <f t="shared" si="357"/>
        <v>1.7361574828387509E-3</v>
      </c>
      <c r="CW1447" s="326">
        <f t="shared" si="347"/>
        <v>0</v>
      </c>
      <c r="CX1447" s="326" t="s">
        <v>539</v>
      </c>
      <c r="CY1447" s="161" t="s">
        <v>5921</v>
      </c>
    </row>
    <row r="1448" spans="1:103" ht="11.25" customHeight="1" x14ac:dyDescent="0.2">
      <c r="A1448" s="72">
        <v>474</v>
      </c>
      <c r="B1448" s="149">
        <v>445</v>
      </c>
      <c r="C1448" s="54" t="s">
        <v>1469</v>
      </c>
      <c r="D1448" s="54" t="s">
        <v>6682</v>
      </c>
      <c r="E1448" s="59"/>
      <c r="F1448" s="59" t="s">
        <v>1470</v>
      </c>
      <c r="G1448" s="151">
        <v>119168773</v>
      </c>
      <c r="H1448" s="55" t="s">
        <v>1471</v>
      </c>
      <c r="I1448" s="55" t="s">
        <v>7899</v>
      </c>
      <c r="J1448" s="55" t="s">
        <v>1472</v>
      </c>
      <c r="K1448" s="55" t="s">
        <v>1473</v>
      </c>
      <c r="L1448" s="55" t="s">
        <v>617</v>
      </c>
      <c r="M1448" s="55" t="s">
        <v>6011</v>
      </c>
      <c r="N1448" s="60" t="s">
        <v>6381</v>
      </c>
      <c r="O1448" s="55" t="s">
        <v>918</v>
      </c>
      <c r="P1448" s="67"/>
      <c r="Q1448" s="67"/>
      <c r="R1448" s="67"/>
      <c r="S1448" s="67"/>
      <c r="T1448" s="56">
        <v>333.86</v>
      </c>
      <c r="U1448" s="103">
        <v>2.6</v>
      </c>
      <c r="V1448" s="103">
        <v>0.89559999999999995</v>
      </c>
      <c r="W1448" s="103">
        <v>10.557580196238137</v>
      </c>
      <c r="X1448" s="103">
        <v>2.6</v>
      </c>
      <c r="Y1448" s="162">
        <v>7</v>
      </c>
      <c r="Z1448" s="56">
        <v>5.76</v>
      </c>
      <c r="AA1448" s="56">
        <v>4.6100000000000003</v>
      </c>
      <c r="AB1448" s="56">
        <v>4.5599999999999996</v>
      </c>
      <c r="AC1448" s="56">
        <v>0.85609999999999997</v>
      </c>
      <c r="AD1448" s="56">
        <v>4.41</v>
      </c>
      <c r="AE1448" s="56">
        <v>3.9</v>
      </c>
      <c r="AF1448" s="56">
        <f t="shared" si="353"/>
        <v>4.6100000000000003</v>
      </c>
      <c r="AG1448" s="57">
        <v>4.6500000000000004</v>
      </c>
      <c r="AH1448" s="103">
        <v>1.6100000000000001E-11</v>
      </c>
      <c r="AI1448" s="103"/>
      <c r="AJ1448" s="62">
        <f t="shared" si="351"/>
        <v>-9.1817404502808024</v>
      </c>
      <c r="AK1448" s="62"/>
      <c r="AL1448" s="62">
        <f t="shared" si="349"/>
        <v>-9.1817404502808024</v>
      </c>
      <c r="AM1448" s="62">
        <v>-14.803520000000001</v>
      </c>
      <c r="AN1448" s="154">
        <v>-8.34</v>
      </c>
      <c r="AO1448" s="410">
        <v>13.19</v>
      </c>
      <c r="AP1448" s="410">
        <v>-0.91</v>
      </c>
      <c r="AQ1448" s="154" t="s">
        <v>6311</v>
      </c>
      <c r="AR1448" s="154" t="s">
        <v>6311</v>
      </c>
      <c r="AS1448" s="149" t="s">
        <v>6</v>
      </c>
      <c r="AT1448" s="58" t="s">
        <v>266</v>
      </c>
      <c r="AU1448" s="56">
        <v>8</v>
      </c>
      <c r="AV1448" s="56">
        <v>144</v>
      </c>
      <c r="AW1448" s="56">
        <v>120</v>
      </c>
      <c r="AX1448" s="56">
        <v>26</v>
      </c>
      <c r="AY1448" s="56" t="s">
        <v>267</v>
      </c>
      <c r="AZ1448" s="56" t="s">
        <v>268</v>
      </c>
      <c r="BA1448" s="56">
        <v>2</v>
      </c>
      <c r="BB1448" s="55" t="s">
        <v>888</v>
      </c>
      <c r="BC1448" s="55" t="s">
        <v>270</v>
      </c>
      <c r="BD1448" s="55" t="s">
        <v>8374</v>
      </c>
      <c r="BE1448" s="56" t="s">
        <v>889</v>
      </c>
      <c r="BF1448" s="56" t="s">
        <v>272</v>
      </c>
      <c r="BG1448" s="56" t="s">
        <v>272</v>
      </c>
      <c r="BH1448" s="56" t="s">
        <v>890</v>
      </c>
      <c r="BI1448" s="153">
        <v>3.3386000000000001E-4</v>
      </c>
      <c r="BJ1448" s="153">
        <v>26.7088</v>
      </c>
      <c r="BK1448" s="56"/>
      <c r="BL1448" s="153">
        <v>0.11516178533197297</v>
      </c>
      <c r="BM1448" s="56" t="s">
        <v>891</v>
      </c>
      <c r="BN1448" s="162"/>
      <c r="BO1448" s="162"/>
      <c r="BP1448" s="162"/>
      <c r="BQ1448" s="162"/>
      <c r="BR1448" s="162"/>
      <c r="BS1448" s="56">
        <v>0.10683520000000002</v>
      </c>
      <c r="BT1448" s="162"/>
      <c r="BU1448" s="158"/>
      <c r="BV1448" s="162"/>
      <c r="BW1448" s="162"/>
      <c r="BX1448" s="162"/>
      <c r="BY1448" s="162"/>
      <c r="BZ1448" s="162"/>
      <c r="CA1448" s="162"/>
      <c r="CB1448" s="162"/>
      <c r="CC1448" s="56"/>
      <c r="CD1448" s="56"/>
      <c r="CE1448" s="56"/>
      <c r="CF1448" s="56"/>
      <c r="CG1448" s="56"/>
      <c r="CH1448" s="56"/>
      <c r="CI1448" s="103">
        <v>0.10683520000000002</v>
      </c>
      <c r="CJ1448" s="103">
        <f t="shared" si="346"/>
        <v>-0.97128563263439971</v>
      </c>
      <c r="CK1448" s="57">
        <f t="shared" si="354"/>
        <v>4.3117543780316963E-3</v>
      </c>
      <c r="CL1448" s="160">
        <f t="shared" si="355"/>
        <v>1.0779385945079238</v>
      </c>
      <c r="CM1448" s="160">
        <v>-1.7495799976911066</v>
      </c>
      <c r="CN1448" s="160">
        <f t="shared" si="350"/>
        <v>1500.4943820224746</v>
      </c>
      <c r="CO1448" s="55" t="s">
        <v>892</v>
      </c>
      <c r="CP1448" s="497" t="s">
        <v>893</v>
      </c>
      <c r="CQ1448" s="149">
        <v>-1.3905485245685854</v>
      </c>
      <c r="CR1448" s="349">
        <f t="shared" si="352"/>
        <v>2.6258075452349479</v>
      </c>
      <c r="CS1448" s="61" t="s">
        <v>539</v>
      </c>
      <c r="CT1448" s="61"/>
      <c r="CU1448" s="111">
        <f t="shared" si="356"/>
        <v>24.336548253759059</v>
      </c>
      <c r="CV1448" s="331">
        <f t="shared" si="357"/>
        <v>9.7346193015036248E-2</v>
      </c>
      <c r="CW1448" s="326">
        <f t="shared" si="347"/>
        <v>1</v>
      </c>
      <c r="CX1448" s="326" t="s">
        <v>539</v>
      </c>
      <c r="CY1448" s="161" t="s">
        <v>5921</v>
      </c>
    </row>
    <row r="1449" spans="1:103" ht="11.25" customHeight="1" x14ac:dyDescent="0.2">
      <c r="A1449" s="72">
        <v>475</v>
      </c>
      <c r="B1449" s="149">
        <v>472</v>
      </c>
      <c r="C1449" s="54" t="s">
        <v>1539</v>
      </c>
      <c r="D1449" s="54" t="s">
        <v>6587</v>
      </c>
      <c r="E1449" s="59"/>
      <c r="F1449" s="59" t="s">
        <v>1540</v>
      </c>
      <c r="G1449" s="151">
        <v>141517217</v>
      </c>
      <c r="H1449" s="55" t="s">
        <v>1541</v>
      </c>
      <c r="I1449" s="55" t="s">
        <v>1541</v>
      </c>
      <c r="J1449" s="55" t="s">
        <v>1542</v>
      </c>
      <c r="K1449" s="55" t="s">
        <v>300</v>
      </c>
      <c r="L1449" s="55" t="s">
        <v>5929</v>
      </c>
      <c r="M1449" s="55" t="s">
        <v>6082</v>
      </c>
      <c r="N1449" s="60" t="s">
        <v>6082</v>
      </c>
      <c r="O1449" s="55" t="s">
        <v>6083</v>
      </c>
      <c r="P1449" s="67"/>
      <c r="Q1449" s="67"/>
      <c r="R1449" s="67"/>
      <c r="S1449" s="67"/>
      <c r="T1449" s="56">
        <v>408.37</v>
      </c>
      <c r="U1449" s="103"/>
      <c r="V1449" s="103">
        <v>0.39</v>
      </c>
      <c r="W1449" s="103">
        <v>0.41788215925769095</v>
      </c>
      <c r="X1449" s="103">
        <v>0.41788215925769095</v>
      </c>
      <c r="Y1449" s="162">
        <v>7</v>
      </c>
      <c r="Z1449" s="56">
        <v>6.62</v>
      </c>
      <c r="AA1449" s="56">
        <v>4.5</v>
      </c>
      <c r="AB1449" s="56">
        <v>4.7300000000000004</v>
      </c>
      <c r="AC1449" s="56">
        <v>0.70989999999999998</v>
      </c>
      <c r="AD1449" s="56">
        <v>4.8499999999999996</v>
      </c>
      <c r="AE1449" s="56">
        <v>5.1100000000000003</v>
      </c>
      <c r="AF1449" s="56">
        <f t="shared" si="353"/>
        <v>4.5</v>
      </c>
      <c r="AG1449" s="57">
        <v>5.04</v>
      </c>
      <c r="AH1449" s="103">
        <v>1.0700000000000001E-7</v>
      </c>
      <c r="AI1449" s="103"/>
      <c r="AJ1449" s="62">
        <f t="shared" si="351"/>
        <v>-5.3591825486274418</v>
      </c>
      <c r="AK1449" s="62"/>
      <c r="AL1449" s="62">
        <f t="shared" si="349"/>
        <v>-5.3591825486274418</v>
      </c>
      <c r="AM1449" s="62">
        <v>-11.2052</v>
      </c>
      <c r="AN1449" s="154">
        <v>-5.94</v>
      </c>
      <c r="AO1449" s="410"/>
      <c r="AP1449" s="410"/>
      <c r="AQ1449" s="154" t="s">
        <v>6311</v>
      </c>
      <c r="AR1449" s="154" t="s">
        <v>6312</v>
      </c>
      <c r="AS1449" s="149" t="s">
        <v>63</v>
      </c>
      <c r="AT1449" s="58" t="s">
        <v>266</v>
      </c>
      <c r="AU1449" s="56">
        <v>8</v>
      </c>
      <c r="AV1449" s="56">
        <v>144</v>
      </c>
      <c r="AW1449" s="56">
        <v>120</v>
      </c>
      <c r="AX1449" s="56">
        <v>26</v>
      </c>
      <c r="AY1449" s="56" t="s">
        <v>267</v>
      </c>
      <c r="AZ1449" s="56" t="s">
        <v>268</v>
      </c>
      <c r="BA1449" s="56">
        <v>3</v>
      </c>
      <c r="BB1449" s="55" t="s">
        <v>888</v>
      </c>
      <c r="BC1449" s="55" t="s">
        <v>270</v>
      </c>
      <c r="BD1449" s="55" t="s">
        <v>8374</v>
      </c>
      <c r="BE1449" s="56" t="s">
        <v>889</v>
      </c>
      <c r="BF1449" s="56" t="s">
        <v>272</v>
      </c>
      <c r="BG1449" s="56" t="s">
        <v>272</v>
      </c>
      <c r="BH1449" s="56" t="s">
        <v>890</v>
      </c>
      <c r="BI1449" s="153">
        <v>4.0836999999999997E-4</v>
      </c>
      <c r="BJ1449" s="153">
        <v>32.669600000000003</v>
      </c>
      <c r="BK1449" s="56"/>
      <c r="BL1449" s="153">
        <v>2.3792048150235948E-2</v>
      </c>
      <c r="BM1449" s="56" t="s">
        <v>891</v>
      </c>
      <c r="BN1449" s="162"/>
      <c r="BO1449" s="162"/>
      <c r="BP1449" s="162"/>
      <c r="BQ1449" s="162"/>
      <c r="BR1449" s="162"/>
      <c r="BS1449" s="56">
        <v>0.12684446999547902</v>
      </c>
      <c r="BT1449" s="162"/>
      <c r="BU1449" s="158"/>
      <c r="BV1449" s="162"/>
      <c r="BW1449" s="162"/>
      <c r="BX1449" s="162"/>
      <c r="BY1449" s="162"/>
      <c r="BZ1449" s="162"/>
      <c r="CA1449" s="162"/>
      <c r="CB1449" s="162"/>
      <c r="CC1449" s="56"/>
      <c r="CD1449" s="56"/>
      <c r="CE1449" s="56"/>
      <c r="CF1449" s="56"/>
      <c r="CG1449" s="56"/>
      <c r="CH1449" s="56"/>
      <c r="CI1449" s="103">
        <v>0.12684446999547902</v>
      </c>
      <c r="CJ1449" s="103">
        <f t="shared" si="346"/>
        <v>-0.89672846185020993</v>
      </c>
      <c r="CK1449" s="57">
        <f t="shared" si="354"/>
        <v>7.2826260958921887E-4</v>
      </c>
      <c r="CL1449" s="160">
        <f t="shared" si="355"/>
        <v>0.18756866697526461</v>
      </c>
      <c r="CM1449" s="160">
        <v>-1.8538719643217623</v>
      </c>
      <c r="CN1449" s="160">
        <f t="shared" si="350"/>
        <v>2333.5428571428602</v>
      </c>
      <c r="CO1449" s="55" t="s">
        <v>892</v>
      </c>
      <c r="CP1449" s="497" t="s">
        <v>893</v>
      </c>
      <c r="CQ1449" s="149">
        <v>-1.5607391022493968</v>
      </c>
      <c r="CR1449" s="349">
        <f t="shared" si="352"/>
        <v>4.6132887717526803</v>
      </c>
      <c r="CS1449" s="61" t="s">
        <v>539</v>
      </c>
      <c r="CT1449" s="61"/>
      <c r="CU1449" s="111">
        <f t="shared" si="356"/>
        <v>3.2944452310186252</v>
      </c>
      <c r="CV1449" s="331">
        <f t="shared" si="357"/>
        <v>1.2791162403509406E-2</v>
      </c>
      <c r="CW1449" s="326">
        <f t="shared" si="347"/>
        <v>1</v>
      </c>
      <c r="CX1449" s="326" t="s">
        <v>539</v>
      </c>
      <c r="CY1449" s="161" t="s">
        <v>5921</v>
      </c>
    </row>
    <row r="1450" spans="1:103" ht="11.25" customHeight="1" x14ac:dyDescent="0.2">
      <c r="A1450" s="72">
        <v>480</v>
      </c>
      <c r="B1450" s="149">
        <v>468</v>
      </c>
      <c r="C1450" s="54" t="s">
        <v>1531</v>
      </c>
      <c r="D1450" s="54" t="s">
        <v>6771</v>
      </c>
      <c r="E1450" s="59"/>
      <c r="F1450" s="59" t="s">
        <v>1532</v>
      </c>
      <c r="G1450" s="151">
        <v>78488</v>
      </c>
      <c r="H1450" s="55" t="s">
        <v>1533</v>
      </c>
      <c r="I1450" s="55" t="s">
        <v>1533</v>
      </c>
      <c r="J1450" s="55" t="s">
        <v>1534</v>
      </c>
      <c r="K1450" s="55" t="s">
        <v>637</v>
      </c>
      <c r="L1450" s="55" t="s">
        <v>6018</v>
      </c>
      <c r="M1450" s="55" t="s">
        <v>6019</v>
      </c>
      <c r="N1450" s="60" t="s">
        <v>6376</v>
      </c>
      <c r="O1450" s="64" t="s">
        <v>6020</v>
      </c>
      <c r="P1450" s="67"/>
      <c r="Q1450" s="67"/>
      <c r="R1450" s="67"/>
      <c r="S1450" s="67"/>
      <c r="T1450" s="56">
        <v>314.51</v>
      </c>
      <c r="U1450" s="103">
        <v>2.2999999999999998</v>
      </c>
      <c r="V1450" s="103">
        <v>0.13689999999999999</v>
      </c>
      <c r="W1450" s="103">
        <v>128.12517117217132</v>
      </c>
      <c r="X1450" s="103">
        <v>2.2999999999999998</v>
      </c>
      <c r="Y1450" s="162">
        <v>7</v>
      </c>
      <c r="Z1450" s="56">
        <v>5.75</v>
      </c>
      <c r="AA1450" s="56">
        <v>5.7</v>
      </c>
      <c r="AB1450" s="56">
        <v>4.28</v>
      </c>
      <c r="AC1450" s="56">
        <v>0.81089999999999995</v>
      </c>
      <c r="AD1450" s="56">
        <v>3.95</v>
      </c>
      <c r="AE1450" s="56">
        <v>3.23</v>
      </c>
      <c r="AF1450" s="56">
        <f t="shared" si="353"/>
        <v>5.7</v>
      </c>
      <c r="AG1450" s="57">
        <v>5.3</v>
      </c>
      <c r="AH1450" s="103">
        <v>5.2799999999999996E-7</v>
      </c>
      <c r="AI1450" s="103">
        <v>2.9400000000000001E-7</v>
      </c>
      <c r="AJ1450" s="62">
        <f t="shared" si="351"/>
        <v>-4.6659324037788394</v>
      </c>
      <c r="AK1450" s="62">
        <f>LOG10(AI1450*1000/(0.08206*298.15))</f>
        <v>-4.9202189959004947</v>
      </c>
      <c r="AL1450" s="62">
        <f t="shared" si="349"/>
        <v>-4.9202189959004947</v>
      </c>
      <c r="AM1450" s="62">
        <v>-8.7748200000000001</v>
      </c>
      <c r="AN1450" s="154">
        <v>-4.34</v>
      </c>
      <c r="AO1450" s="410"/>
      <c r="AP1450" s="410"/>
      <c r="AQ1450" s="154" t="s">
        <v>6312</v>
      </c>
      <c r="AR1450" s="154" t="s">
        <v>6312</v>
      </c>
      <c r="AS1450" s="149" t="s">
        <v>6</v>
      </c>
      <c r="AT1450" s="58" t="s">
        <v>266</v>
      </c>
      <c r="AU1450" s="56">
        <v>8</v>
      </c>
      <c r="AV1450" s="56">
        <v>144</v>
      </c>
      <c r="AW1450" s="56">
        <v>120</v>
      </c>
      <c r="AX1450" s="56">
        <v>26</v>
      </c>
      <c r="AY1450" s="56" t="s">
        <v>267</v>
      </c>
      <c r="AZ1450" s="56" t="s">
        <v>268</v>
      </c>
      <c r="BA1450" s="56">
        <v>2</v>
      </c>
      <c r="BB1450" s="55" t="s">
        <v>888</v>
      </c>
      <c r="BC1450" s="55" t="s">
        <v>270</v>
      </c>
      <c r="BD1450" s="55" t="s">
        <v>8374</v>
      </c>
      <c r="BE1450" s="56" t="s">
        <v>889</v>
      </c>
      <c r="BF1450" s="56" t="s">
        <v>272</v>
      </c>
      <c r="BG1450" s="56" t="s">
        <v>272</v>
      </c>
      <c r="BH1450" s="56" t="s">
        <v>890</v>
      </c>
      <c r="BI1450" s="153">
        <v>3.1451E-4</v>
      </c>
      <c r="BJ1450" s="153">
        <v>25.160799999999998</v>
      </c>
      <c r="BK1450" s="56"/>
      <c r="BL1450" s="153">
        <v>0.11075400979685472</v>
      </c>
      <c r="BM1450" s="56" t="s">
        <v>891</v>
      </c>
      <c r="BN1450" s="162"/>
      <c r="BO1450" s="162"/>
      <c r="BP1450" s="162"/>
      <c r="BQ1450" s="162"/>
      <c r="BR1450" s="162"/>
      <c r="BS1450" s="56">
        <v>5.889992270272687E-2</v>
      </c>
      <c r="BT1450" s="162"/>
      <c r="BU1450" s="158"/>
      <c r="BV1450" s="162"/>
      <c r="BW1450" s="162"/>
      <c r="BX1450" s="162"/>
      <c r="BY1450" s="162"/>
      <c r="BZ1450" s="162"/>
      <c r="CA1450" s="162"/>
      <c r="CB1450" s="162"/>
      <c r="CC1450" s="56"/>
      <c r="CD1450" s="56"/>
      <c r="CE1450" s="56"/>
      <c r="CF1450" s="56"/>
      <c r="CG1450" s="56"/>
      <c r="CH1450" s="56"/>
      <c r="CI1450" s="103">
        <v>5.889992270272687E-2</v>
      </c>
      <c r="CJ1450" s="103">
        <f t="shared" si="346"/>
        <v>-1.2298852751585896</v>
      </c>
      <c r="CK1450" s="57">
        <f t="shared" si="354"/>
        <v>4.401847707420063E-3</v>
      </c>
      <c r="CL1450" s="160">
        <f t="shared" si="355"/>
        <v>1.8803761484686494</v>
      </c>
      <c r="CM1450" s="160">
        <v>-0.2157603277923166</v>
      </c>
      <c r="CN1450" s="160">
        <f t="shared" si="350"/>
        <v>41.350881624210615</v>
      </c>
      <c r="CO1450" s="55" t="s">
        <v>892</v>
      </c>
      <c r="CP1450" s="497" t="s">
        <v>893</v>
      </c>
      <c r="CQ1450" s="149">
        <v>-0.13899423553928716</v>
      </c>
      <c r="CR1450" s="349">
        <f t="shared" si="352"/>
        <v>8.1116454584385211E-2</v>
      </c>
      <c r="CS1450" s="61" t="s">
        <v>539</v>
      </c>
      <c r="CT1450" s="61"/>
      <c r="CU1450" s="111">
        <f t="shared" si="356"/>
        <v>39.049287239446876</v>
      </c>
      <c r="CV1450" s="331">
        <f t="shared" si="357"/>
        <v>9.1412037773043783E-2</v>
      </c>
      <c r="CW1450" s="326">
        <f t="shared" si="347"/>
        <v>1</v>
      </c>
      <c r="CX1450" s="326" t="s">
        <v>539</v>
      </c>
      <c r="CY1450" s="161" t="s">
        <v>5921</v>
      </c>
    </row>
    <row r="1451" spans="1:103" ht="11.25" customHeight="1" x14ac:dyDescent="0.2">
      <c r="A1451" s="72">
        <v>481</v>
      </c>
      <c r="B1451" s="149">
        <v>414</v>
      </c>
      <c r="C1451" s="54" t="s">
        <v>1406</v>
      </c>
      <c r="D1451" s="54" t="s">
        <v>6772</v>
      </c>
      <c r="E1451" s="59"/>
      <c r="F1451" s="59" t="s">
        <v>1407</v>
      </c>
      <c r="G1451" s="151">
        <v>2312358</v>
      </c>
      <c r="H1451" s="55" t="s">
        <v>1408</v>
      </c>
      <c r="I1451" s="55" t="s">
        <v>7902</v>
      </c>
      <c r="J1451" s="55" t="s">
        <v>1409</v>
      </c>
      <c r="K1451" s="55" t="s">
        <v>426</v>
      </c>
      <c r="L1451" s="55" t="s">
        <v>617</v>
      </c>
      <c r="M1451" s="55" t="s">
        <v>1410</v>
      </c>
      <c r="N1451" s="60" t="s">
        <v>6381</v>
      </c>
      <c r="O1451" s="55" t="s">
        <v>918</v>
      </c>
      <c r="P1451" s="67"/>
      <c r="Q1451" s="67"/>
      <c r="R1451" s="67"/>
      <c r="S1451" s="67"/>
      <c r="T1451" s="56">
        <v>350.47</v>
      </c>
      <c r="U1451" s="103">
        <v>0.215</v>
      </c>
      <c r="V1451" s="103">
        <v>0.33050000000000002</v>
      </c>
      <c r="W1451" s="103">
        <v>1.882135336738826</v>
      </c>
      <c r="X1451" s="103">
        <v>0.215</v>
      </c>
      <c r="Y1451" s="162">
        <v>7</v>
      </c>
      <c r="Z1451" s="56">
        <v>5.57</v>
      </c>
      <c r="AA1451" s="56">
        <v>5</v>
      </c>
      <c r="AB1451" s="56">
        <v>4.05</v>
      </c>
      <c r="AC1451" s="56">
        <v>0.67020000000000002</v>
      </c>
      <c r="AD1451" s="56">
        <v>4.33</v>
      </c>
      <c r="AE1451" s="56">
        <v>4.8099999999999996</v>
      </c>
      <c r="AF1451" s="56">
        <f t="shared" si="353"/>
        <v>5</v>
      </c>
      <c r="AG1451" s="57">
        <v>4.45</v>
      </c>
      <c r="AH1451" s="103">
        <v>9.1699999999999994E-8</v>
      </c>
      <c r="AI1451" s="103">
        <v>6.4000000000000001E-7</v>
      </c>
      <c r="AJ1451" s="62">
        <f t="shared" si="351"/>
        <v>-5.4261969906426311</v>
      </c>
      <c r="AK1451" s="62">
        <f>LOG10(AI1451*1000/(0.08206*298.15))</f>
        <v>-4.5823863523287649</v>
      </c>
      <c r="AL1451" s="62">
        <f t="shared" si="349"/>
        <v>-4.5823863523287649</v>
      </c>
      <c r="AM1451" s="62">
        <v>-17.54712</v>
      </c>
      <c r="AN1451" s="154">
        <v>-6.3E-2</v>
      </c>
      <c r="AO1451" s="410"/>
      <c r="AP1451" s="410"/>
      <c r="AQ1451" s="154" t="s">
        <v>6311</v>
      </c>
      <c r="AR1451" s="154" t="s">
        <v>6311</v>
      </c>
      <c r="AS1451" s="149" t="s">
        <v>6</v>
      </c>
      <c r="AT1451" s="58" t="s">
        <v>266</v>
      </c>
      <c r="AU1451" s="56">
        <v>8</v>
      </c>
      <c r="AV1451" s="56">
        <v>144</v>
      </c>
      <c r="AW1451" s="56">
        <v>120</v>
      </c>
      <c r="AX1451" s="56">
        <v>26</v>
      </c>
      <c r="AY1451" s="56" t="s">
        <v>267</v>
      </c>
      <c r="AZ1451" s="56" t="s">
        <v>268</v>
      </c>
      <c r="BA1451" s="56">
        <v>3</v>
      </c>
      <c r="BB1451" s="55" t="s">
        <v>888</v>
      </c>
      <c r="BC1451" s="55" t="s">
        <v>270</v>
      </c>
      <c r="BD1451" s="55" t="s">
        <v>8374</v>
      </c>
      <c r="BE1451" s="56" t="s">
        <v>889</v>
      </c>
      <c r="BF1451" s="56" t="s">
        <v>272</v>
      </c>
      <c r="BG1451" s="56" t="s">
        <v>272</v>
      </c>
      <c r="BH1451" s="56" t="s">
        <v>890</v>
      </c>
      <c r="BI1451" s="153">
        <v>3.5047000000000002E-4</v>
      </c>
      <c r="BJ1451" s="153">
        <v>28.037600000000001</v>
      </c>
      <c r="BK1451" s="56"/>
      <c r="BL1451" s="153">
        <v>0.17907454178989893</v>
      </c>
      <c r="BM1451" s="56" t="s">
        <v>891</v>
      </c>
      <c r="BN1451" s="162"/>
      <c r="BO1451" s="162"/>
      <c r="BP1451" s="162"/>
      <c r="BQ1451" s="162"/>
      <c r="BR1451" s="162"/>
      <c r="BS1451" s="56">
        <v>6.5634338843358522E-2</v>
      </c>
      <c r="BT1451" s="162"/>
      <c r="BU1451" s="158"/>
      <c r="BV1451" s="162"/>
      <c r="BW1451" s="162"/>
      <c r="BX1451" s="162"/>
      <c r="BY1451" s="162"/>
      <c r="BZ1451" s="162"/>
      <c r="CA1451" s="162"/>
      <c r="CB1451" s="162"/>
      <c r="CC1451" s="56"/>
      <c r="CD1451" s="56"/>
      <c r="CE1451" s="56"/>
      <c r="CF1451" s="56"/>
      <c r="CG1451" s="56"/>
      <c r="CH1451" s="56"/>
      <c r="CI1451" s="103">
        <v>6.5634338843358522E-2</v>
      </c>
      <c r="CJ1451" s="103">
        <f t="shared" si="346"/>
        <v>-1.1828688851923554</v>
      </c>
      <c r="CK1451" s="57">
        <f t="shared" si="354"/>
        <v>6.3869425981503023E-3</v>
      </c>
      <c r="CL1451" s="160">
        <f t="shared" si="355"/>
        <v>2.7283666590635476</v>
      </c>
      <c r="CM1451" s="160">
        <v>-1.1429609175090725</v>
      </c>
      <c r="CN1451" s="160">
        <f t="shared" si="350"/>
        <v>389.67429026524525</v>
      </c>
      <c r="CO1451" s="55" t="s">
        <v>892</v>
      </c>
      <c r="CP1451" s="497" t="s">
        <v>893</v>
      </c>
      <c r="CQ1451" s="149">
        <v>-0.88013847871796902</v>
      </c>
      <c r="CR1451" s="349">
        <f t="shared" si="352"/>
        <v>0.49804615718404949</v>
      </c>
      <c r="CS1451" s="61" t="s">
        <v>539</v>
      </c>
      <c r="CT1451" s="61"/>
      <c r="CU1451" s="111">
        <f t="shared" si="356"/>
        <v>3.2757243203609363</v>
      </c>
      <c r="CV1451" s="331">
        <f t="shared" si="357"/>
        <v>7.6682740320141518E-3</v>
      </c>
      <c r="CW1451" s="326">
        <f t="shared" si="347"/>
        <v>1</v>
      </c>
      <c r="CX1451" s="326" t="s">
        <v>539</v>
      </c>
      <c r="CY1451" s="161" t="s">
        <v>6351</v>
      </c>
    </row>
    <row r="1452" spans="1:103" ht="11.25" customHeight="1" x14ac:dyDescent="0.2">
      <c r="A1452" s="72">
        <v>482</v>
      </c>
      <c r="B1452" s="149">
        <v>423</v>
      </c>
      <c r="C1452" s="54" t="s">
        <v>1423</v>
      </c>
      <c r="D1452" s="54" t="s">
        <v>6590</v>
      </c>
      <c r="E1452" s="59"/>
      <c r="F1452" s="59" t="s">
        <v>1424</v>
      </c>
      <c r="G1452" s="151">
        <v>175013180</v>
      </c>
      <c r="H1452" s="55" t="s">
        <v>1425</v>
      </c>
      <c r="I1452" s="55" t="s">
        <v>7895</v>
      </c>
      <c r="J1452" s="55" t="s">
        <v>1426</v>
      </c>
      <c r="K1452" s="55" t="s">
        <v>1427</v>
      </c>
      <c r="L1452" s="55" t="s">
        <v>6090</v>
      </c>
      <c r="M1452" s="55" t="s">
        <v>6082</v>
      </c>
      <c r="N1452" s="60" t="s">
        <v>6082</v>
      </c>
      <c r="O1452" s="55" t="s">
        <v>6083</v>
      </c>
      <c r="P1452" s="67"/>
      <c r="Q1452" s="67"/>
      <c r="R1452" s="67"/>
      <c r="S1452" s="67"/>
      <c r="T1452" s="56">
        <v>387.82</v>
      </c>
      <c r="U1452" s="103"/>
      <c r="V1452" s="103">
        <v>1.425</v>
      </c>
      <c r="W1452" s="103">
        <v>2.621984995165183</v>
      </c>
      <c r="X1452" s="103">
        <v>2.621984995165183</v>
      </c>
      <c r="Y1452" s="162">
        <v>7</v>
      </c>
      <c r="Z1452" s="56">
        <v>5.45</v>
      </c>
      <c r="AA1452" s="56">
        <v>3.99</v>
      </c>
      <c r="AB1452" s="56">
        <v>3.95</v>
      </c>
      <c r="AC1452" s="56">
        <v>0.61850000000000005</v>
      </c>
      <c r="AD1452" s="56">
        <v>4.07</v>
      </c>
      <c r="AE1452" s="56">
        <v>4.25</v>
      </c>
      <c r="AF1452" s="56">
        <f t="shared" si="353"/>
        <v>3.99</v>
      </c>
      <c r="AG1452" s="57">
        <v>4.0199999999999996</v>
      </c>
      <c r="AH1452" s="103">
        <v>1.15E-15</v>
      </c>
      <c r="AI1452" s="103"/>
      <c r="AJ1452" s="62">
        <f t="shared" si="351"/>
        <v>-13.327868485959041</v>
      </c>
      <c r="AK1452" s="62"/>
      <c r="AL1452" s="62">
        <f t="shared" si="349"/>
        <v>-13.327868485959041</v>
      </c>
      <c r="AM1452" s="62">
        <v>-18.93666</v>
      </c>
      <c r="AN1452" s="154">
        <v>-9.9600000000000009</v>
      </c>
      <c r="AO1452" s="410"/>
      <c r="AP1452" s="410">
        <v>-0.23</v>
      </c>
      <c r="AQ1452" s="154" t="s">
        <v>6311</v>
      </c>
      <c r="AR1452" s="154" t="s">
        <v>6311</v>
      </c>
      <c r="AS1452" s="149" t="s">
        <v>63</v>
      </c>
      <c r="AT1452" s="58" t="s">
        <v>266</v>
      </c>
      <c r="AU1452" s="56">
        <v>8</v>
      </c>
      <c r="AV1452" s="56">
        <v>144</v>
      </c>
      <c r="AW1452" s="56">
        <v>120</v>
      </c>
      <c r="AX1452" s="56">
        <v>26</v>
      </c>
      <c r="AY1452" s="56" t="s">
        <v>267</v>
      </c>
      <c r="AZ1452" s="56" t="s">
        <v>268</v>
      </c>
      <c r="BA1452" s="56">
        <v>2</v>
      </c>
      <c r="BB1452" s="55" t="s">
        <v>888</v>
      </c>
      <c r="BC1452" s="55" t="s">
        <v>270</v>
      </c>
      <c r="BD1452" s="55" t="s">
        <v>8374</v>
      </c>
      <c r="BE1452" s="56" t="s">
        <v>889</v>
      </c>
      <c r="BF1452" s="56" t="s">
        <v>272</v>
      </c>
      <c r="BG1452" s="56" t="s">
        <v>272</v>
      </c>
      <c r="BH1452" s="56" t="s">
        <v>890</v>
      </c>
      <c r="BI1452" s="153">
        <v>3.8781999999999998E-4</v>
      </c>
      <c r="BJ1452" s="153">
        <v>31.025600000000001</v>
      </c>
      <c r="BK1452" s="56"/>
      <c r="BL1452" s="153">
        <v>0.25397162750242946</v>
      </c>
      <c r="BM1452" s="56" t="s">
        <v>891</v>
      </c>
      <c r="BN1452" s="162"/>
      <c r="BO1452" s="162"/>
      <c r="BP1452" s="162"/>
      <c r="BQ1452" s="162"/>
      <c r="BR1452" s="162"/>
      <c r="BS1452" s="56">
        <v>7.2629067510004558E-2</v>
      </c>
      <c r="BT1452" s="162"/>
      <c r="BU1452" s="158"/>
      <c r="BV1452" s="162"/>
      <c r="BW1452" s="162"/>
      <c r="BX1452" s="162"/>
      <c r="BY1452" s="162"/>
      <c r="BZ1452" s="162"/>
      <c r="CA1452" s="162"/>
      <c r="CB1452" s="162"/>
      <c r="CC1452" s="56"/>
      <c r="CD1452" s="56"/>
      <c r="CE1452" s="56"/>
      <c r="CF1452" s="56"/>
      <c r="CG1452" s="56"/>
      <c r="CH1452" s="56"/>
      <c r="CI1452" s="103">
        <v>7.2629067510004558E-2</v>
      </c>
      <c r="CJ1452" s="103">
        <f t="shared" si="346"/>
        <v>-1.1388895317419394</v>
      </c>
      <c r="CK1452" s="57">
        <f t="shared" si="354"/>
        <v>8.1858731983403855E-3</v>
      </c>
      <c r="CL1452" s="160">
        <f t="shared" si="355"/>
        <v>3.4968317260502513</v>
      </c>
      <c r="CM1452" s="160">
        <v>-2.2076083105017461</v>
      </c>
      <c r="CN1452" s="160">
        <f t="shared" si="350"/>
        <v>5004.1290322580689</v>
      </c>
      <c r="CO1452" s="55" t="s">
        <v>892</v>
      </c>
      <c r="CP1452" s="497" t="s">
        <v>893</v>
      </c>
      <c r="CQ1452" s="149">
        <v>-2.0753517295826369</v>
      </c>
      <c r="CR1452" s="349">
        <f t="shared" si="352"/>
        <v>8.6389746145404018</v>
      </c>
      <c r="CS1452" s="61" t="s">
        <v>539</v>
      </c>
      <c r="CT1452" s="61"/>
      <c r="CU1452" s="111">
        <f t="shared" si="356"/>
        <v>36.101041704879499</v>
      </c>
      <c r="CV1452" s="331">
        <f t="shared" si="357"/>
        <v>8.4510371923997699E-2</v>
      </c>
      <c r="CW1452" s="326">
        <f t="shared" si="347"/>
        <v>1</v>
      </c>
      <c r="CX1452" s="326" t="s">
        <v>539</v>
      </c>
      <c r="CY1452" s="161" t="s">
        <v>5921</v>
      </c>
    </row>
    <row r="1453" spans="1:103" ht="11.25" customHeight="1" x14ac:dyDescent="0.2">
      <c r="A1453" s="72">
        <v>483</v>
      </c>
      <c r="B1453" s="149">
        <v>301</v>
      </c>
      <c r="C1453" s="54" t="s">
        <v>6144</v>
      </c>
      <c r="D1453" s="54" t="s">
        <v>6773</v>
      </c>
      <c r="E1453" s="59"/>
      <c r="F1453" s="59" t="s">
        <v>1185</v>
      </c>
      <c r="G1453" s="151">
        <v>76879</v>
      </c>
      <c r="H1453" s="55" t="s">
        <v>1186</v>
      </c>
      <c r="I1453" s="55" t="s">
        <v>1186</v>
      </c>
      <c r="J1453" s="55" t="s">
        <v>1187</v>
      </c>
      <c r="K1453" s="55" t="s">
        <v>403</v>
      </c>
      <c r="L1453" s="55" t="s">
        <v>5929</v>
      </c>
      <c r="M1453" s="168" t="s">
        <v>6079</v>
      </c>
      <c r="N1453" s="60" t="s">
        <v>6381</v>
      </c>
      <c r="O1453" s="65" t="s">
        <v>6083</v>
      </c>
      <c r="P1453" s="67"/>
      <c r="Q1453" s="67"/>
      <c r="R1453" s="67"/>
      <c r="S1453" s="67"/>
      <c r="T1453" s="56">
        <v>367.03</v>
      </c>
      <c r="U1453" s="103">
        <v>0.4</v>
      </c>
      <c r="V1453" s="103">
        <v>4.7210000000000001</v>
      </c>
      <c r="W1453" s="103">
        <v>8.6040230208687092</v>
      </c>
      <c r="X1453" s="103">
        <v>0.4</v>
      </c>
      <c r="Y1453" s="162">
        <v>4.71</v>
      </c>
      <c r="Z1453" s="56">
        <v>3.47</v>
      </c>
      <c r="AA1453" s="56">
        <v>3.53</v>
      </c>
      <c r="AB1453" s="56">
        <v>2.85</v>
      </c>
      <c r="AC1453" s="56">
        <v>0.71630000000000005</v>
      </c>
      <c r="AD1453" s="56">
        <v>3.09</v>
      </c>
      <c r="AE1453" s="56">
        <v>3.53</v>
      </c>
      <c r="AF1453" s="56">
        <f t="shared" si="353"/>
        <v>3.53</v>
      </c>
      <c r="AG1453" s="57">
        <v>3.09</v>
      </c>
      <c r="AH1453" s="103">
        <v>4.5900000000000001E-8</v>
      </c>
      <c r="AI1453" s="103">
        <v>4.2599999999999998E-7</v>
      </c>
      <c r="AJ1453" s="62">
        <f t="shared" si="351"/>
        <v>-5.7267536407753905</v>
      </c>
      <c r="AK1453" s="62">
        <f>LOG10(AI1453*1000/(0.08206*298.15))</f>
        <v>-4.7591567272099331</v>
      </c>
      <c r="AL1453" s="62">
        <f t="shared" si="349"/>
        <v>-4.7591567272099331</v>
      </c>
      <c r="AM1453" s="62">
        <v>-11.08738</v>
      </c>
      <c r="AN1453" s="154">
        <v>-9.75</v>
      </c>
      <c r="AO1453" s="410">
        <v>3.98</v>
      </c>
      <c r="AP1453" s="410"/>
      <c r="AQ1453" s="154" t="s">
        <v>6311</v>
      </c>
      <c r="AR1453" s="154" t="s">
        <v>6311</v>
      </c>
      <c r="AS1453" s="149" t="s">
        <v>6</v>
      </c>
      <c r="AT1453" s="58" t="s">
        <v>266</v>
      </c>
      <c r="AU1453" s="56">
        <v>8</v>
      </c>
      <c r="AV1453" s="56">
        <v>144</v>
      </c>
      <c r="AW1453" s="56">
        <v>120</v>
      </c>
      <c r="AX1453" s="56">
        <v>26</v>
      </c>
      <c r="AY1453" s="56" t="s">
        <v>267</v>
      </c>
      <c r="AZ1453" s="56" t="s">
        <v>268</v>
      </c>
      <c r="BA1453" s="56">
        <v>2</v>
      </c>
      <c r="BB1453" s="55" t="s">
        <v>888</v>
      </c>
      <c r="BC1453" s="55" t="s">
        <v>270</v>
      </c>
      <c r="BD1453" s="55" t="s">
        <v>8374</v>
      </c>
      <c r="BE1453" s="56" t="s">
        <v>889</v>
      </c>
      <c r="BF1453" s="56" t="s">
        <v>272</v>
      </c>
      <c r="BG1453" s="56" t="s">
        <v>272</v>
      </c>
      <c r="BH1453" s="56" t="s">
        <v>890</v>
      </c>
      <c r="BI1453" s="153">
        <v>3.6702999999999996E-4</v>
      </c>
      <c r="BJ1453" s="153">
        <v>29.362399999999997</v>
      </c>
      <c r="BK1453" s="56"/>
      <c r="BL1453" s="153">
        <v>14.424293933447039</v>
      </c>
      <c r="BM1453" s="56" t="s">
        <v>891</v>
      </c>
      <c r="BN1453" s="162"/>
      <c r="BO1453" s="162"/>
      <c r="BP1453" s="162"/>
      <c r="BQ1453" s="162"/>
      <c r="BR1453" s="162"/>
      <c r="BS1453" s="56">
        <v>6.8735616131702787E-2</v>
      </c>
      <c r="BT1453" s="162"/>
      <c r="BU1453" s="158"/>
      <c r="BV1453" s="162"/>
      <c r="BW1453" s="162"/>
      <c r="BX1453" s="162"/>
      <c r="BY1453" s="162"/>
      <c r="BZ1453" s="162"/>
      <c r="CA1453" s="162"/>
      <c r="CB1453" s="162"/>
      <c r="CC1453" s="56"/>
      <c r="CD1453" s="56"/>
      <c r="CE1453" s="56"/>
      <c r="CF1453" s="56"/>
      <c r="CG1453" s="56"/>
      <c r="CH1453" s="56"/>
      <c r="CI1453" s="103">
        <v>6.8735616131702787E-2</v>
      </c>
      <c r="CJ1453" s="103">
        <f t="shared" si="346"/>
        <v>-1.1628181700533671</v>
      </c>
      <c r="CK1453" s="57">
        <f t="shared" si="354"/>
        <v>0.4912505085908182</v>
      </c>
      <c r="CL1453" s="160">
        <f t="shared" si="355"/>
        <v>209.85181693590948</v>
      </c>
      <c r="CM1453" s="160">
        <v>-1.77337268596238</v>
      </c>
      <c r="CN1453" s="160">
        <f t="shared" si="350"/>
        <v>1742.4656951473621</v>
      </c>
      <c r="CO1453" s="55" t="s">
        <v>892</v>
      </c>
      <c r="CP1453" s="497" t="s">
        <v>893</v>
      </c>
      <c r="CQ1453" s="149">
        <v>-1.6417859970347155</v>
      </c>
      <c r="CR1453" s="349">
        <f t="shared" si="352"/>
        <v>3.0127828256134426</v>
      </c>
      <c r="CS1453" s="61" t="s">
        <v>539</v>
      </c>
      <c r="CT1453" s="61"/>
      <c r="CU1453" s="111">
        <f t="shared" si="356"/>
        <v>5.819399352346954</v>
      </c>
      <c r="CV1453" s="331">
        <f t="shared" si="357"/>
        <v>1.3622864615971448E-2</v>
      </c>
      <c r="CW1453" s="326">
        <f t="shared" si="347"/>
        <v>1</v>
      </c>
      <c r="CX1453" s="326" t="s">
        <v>539</v>
      </c>
      <c r="CY1453" s="161" t="s">
        <v>5921</v>
      </c>
    </row>
    <row r="1454" spans="1:103" ht="11.25" customHeight="1" x14ac:dyDescent="0.2">
      <c r="A1454" s="72">
        <v>484</v>
      </c>
      <c r="B1454" s="149">
        <v>424</v>
      </c>
      <c r="C1454" s="54" t="s">
        <v>1428</v>
      </c>
      <c r="D1454" s="54" t="s">
        <v>6774</v>
      </c>
      <c r="E1454" s="59"/>
      <c r="F1454" s="59" t="s">
        <v>1429</v>
      </c>
      <c r="G1454" s="151">
        <v>129630199</v>
      </c>
      <c r="H1454" s="55" t="s">
        <v>1430</v>
      </c>
      <c r="I1454" s="55" t="s">
        <v>7903</v>
      </c>
      <c r="J1454" s="55" t="s">
        <v>1431</v>
      </c>
      <c r="K1454" s="55" t="s">
        <v>341</v>
      </c>
      <c r="L1454" s="55" t="s">
        <v>6010</v>
      </c>
      <c r="M1454" s="60" t="s">
        <v>2342</v>
      </c>
      <c r="N1454" s="60" t="s">
        <v>2342</v>
      </c>
      <c r="O1454" s="55"/>
      <c r="P1454" s="67"/>
      <c r="Q1454" s="67"/>
      <c r="R1454" s="67"/>
      <c r="S1454" s="67"/>
      <c r="T1454" s="56">
        <v>413.18</v>
      </c>
      <c r="U1454" s="103">
        <v>1</v>
      </c>
      <c r="V1454" s="103">
        <v>2.653</v>
      </c>
      <c r="W1454" s="103">
        <v>2.3234818874214813</v>
      </c>
      <c r="X1454" s="103">
        <v>1</v>
      </c>
      <c r="Y1454" s="162">
        <v>7</v>
      </c>
      <c r="Z1454" s="56">
        <v>4.87</v>
      </c>
      <c r="AA1454" s="56">
        <v>3.49</v>
      </c>
      <c r="AB1454" s="56">
        <v>3.89</v>
      </c>
      <c r="AC1454" s="56">
        <v>0.6179</v>
      </c>
      <c r="AD1454" s="56">
        <v>3.68</v>
      </c>
      <c r="AE1454" s="56">
        <v>3.33</v>
      </c>
      <c r="AF1454" s="56">
        <f t="shared" si="353"/>
        <v>3.49</v>
      </c>
      <c r="AG1454" s="57">
        <v>4.82</v>
      </c>
      <c r="AH1454" s="103">
        <v>1.2E-9</v>
      </c>
      <c r="AI1454" s="103"/>
      <c r="AJ1454" s="62">
        <f t="shared" si="351"/>
        <v>-7.3093850802650273</v>
      </c>
      <c r="AK1454" s="62"/>
      <c r="AL1454" s="62">
        <f t="shared" si="349"/>
        <v>-7.3093850802650273</v>
      </c>
      <c r="AM1454" s="62">
        <v>-13.619489999999999</v>
      </c>
      <c r="AN1454" s="154">
        <v>-2.14</v>
      </c>
      <c r="AO1454" s="410"/>
      <c r="AP1454" s="410">
        <v>-2.79</v>
      </c>
      <c r="AQ1454" s="154" t="s">
        <v>6311</v>
      </c>
      <c r="AR1454" s="154" t="s">
        <v>6314</v>
      </c>
      <c r="AS1454" s="149" t="s">
        <v>63</v>
      </c>
      <c r="AT1454" s="58" t="s">
        <v>266</v>
      </c>
      <c r="AU1454" s="56">
        <v>8</v>
      </c>
      <c r="AV1454" s="56">
        <v>144</v>
      </c>
      <c r="AW1454" s="56">
        <v>120</v>
      </c>
      <c r="AX1454" s="56">
        <v>26</v>
      </c>
      <c r="AY1454" s="56" t="s">
        <v>267</v>
      </c>
      <c r="AZ1454" s="56" t="s">
        <v>268</v>
      </c>
      <c r="BA1454" s="56">
        <v>2</v>
      </c>
      <c r="BB1454" s="55" t="s">
        <v>888</v>
      </c>
      <c r="BC1454" s="55" t="s">
        <v>270</v>
      </c>
      <c r="BD1454" s="55" t="s">
        <v>8374</v>
      </c>
      <c r="BE1454" s="56" t="s">
        <v>889</v>
      </c>
      <c r="BF1454" s="56" t="s">
        <v>272</v>
      </c>
      <c r="BG1454" s="56" t="s">
        <v>272</v>
      </c>
      <c r="BH1454" s="56" t="s">
        <v>890</v>
      </c>
      <c r="BI1454" s="153">
        <v>4.1317999999999997E-4</v>
      </c>
      <c r="BJ1454" s="153">
        <v>33.054400000000001</v>
      </c>
      <c r="BK1454" s="56"/>
      <c r="BL1454" s="153">
        <v>0.89782623442660103</v>
      </c>
      <c r="BM1454" s="56" t="s">
        <v>891</v>
      </c>
      <c r="BN1454" s="162"/>
      <c r="BO1454" s="162"/>
      <c r="BP1454" s="162"/>
      <c r="BQ1454" s="162"/>
      <c r="BR1454" s="162"/>
      <c r="BS1454" s="56">
        <v>7.7378366545778163E-2</v>
      </c>
      <c r="BT1454" s="162"/>
      <c r="BU1454" s="158"/>
      <c r="BV1454" s="162"/>
      <c r="BW1454" s="162"/>
      <c r="BX1454" s="162"/>
      <c r="BY1454" s="162"/>
      <c r="BZ1454" s="162"/>
      <c r="CA1454" s="162"/>
      <c r="CB1454" s="162"/>
      <c r="CC1454" s="56"/>
      <c r="CD1454" s="56"/>
      <c r="CE1454" s="56"/>
      <c r="CF1454" s="56"/>
      <c r="CG1454" s="56"/>
      <c r="CH1454" s="56"/>
      <c r="CI1454" s="103">
        <v>7.7378366545778163E-2</v>
      </c>
      <c r="CJ1454" s="103">
        <f t="shared" si="346"/>
        <v>-1.1113804424571445</v>
      </c>
      <c r="CK1454" s="57">
        <f t="shared" si="354"/>
        <v>2.7162079312484905E-2</v>
      </c>
      <c r="CL1454" s="160">
        <f t="shared" si="355"/>
        <v>11.603065230065745</v>
      </c>
      <c r="CM1454" s="160">
        <v>0.20411998265592468</v>
      </c>
      <c r="CN1454" s="160">
        <f t="shared" si="350"/>
        <v>20.659000000000006</v>
      </c>
      <c r="CO1454" s="55" t="s">
        <v>892</v>
      </c>
      <c r="CP1454" s="497" t="s">
        <v>893</v>
      </c>
      <c r="CQ1454" s="149">
        <v>0.36131696126690621</v>
      </c>
      <c r="CR1454" s="349">
        <f t="shared" si="352"/>
        <v>3.3674611674924602E-2</v>
      </c>
      <c r="CS1454" s="61" t="s">
        <v>539</v>
      </c>
      <c r="CT1454" s="61"/>
      <c r="CU1454" s="111">
        <f t="shared" si="356"/>
        <v>12.923508787283401</v>
      </c>
      <c r="CV1454" s="331">
        <f t="shared" si="357"/>
        <v>3.0253158429740065E-2</v>
      </c>
      <c r="CW1454" s="326">
        <f t="shared" si="347"/>
        <v>1</v>
      </c>
      <c r="CX1454" s="326" t="s">
        <v>539</v>
      </c>
      <c r="CY1454" s="161" t="s">
        <v>5921</v>
      </c>
    </row>
    <row r="1455" spans="1:103" ht="11.25" customHeight="1" x14ac:dyDescent="0.2">
      <c r="A1455" s="72">
        <v>485</v>
      </c>
      <c r="B1455" s="149">
        <v>314</v>
      </c>
      <c r="C1455" s="54" t="s">
        <v>1227</v>
      </c>
      <c r="D1455" s="54" t="s">
        <v>6592</v>
      </c>
      <c r="E1455" s="59"/>
      <c r="F1455" s="59" t="s">
        <v>1228</v>
      </c>
      <c r="G1455" s="151">
        <v>361377299</v>
      </c>
      <c r="H1455" s="55" t="s">
        <v>1229</v>
      </c>
      <c r="I1455" s="55" t="s">
        <v>7904</v>
      </c>
      <c r="J1455" s="55" t="s">
        <v>1230</v>
      </c>
      <c r="K1455" s="55" t="s">
        <v>300</v>
      </c>
      <c r="L1455" s="55" t="s">
        <v>5989</v>
      </c>
      <c r="M1455" s="55" t="s">
        <v>6082</v>
      </c>
      <c r="N1455" s="60" t="s">
        <v>6082</v>
      </c>
      <c r="O1455" s="55" t="s">
        <v>6083</v>
      </c>
      <c r="P1455" s="67"/>
      <c r="Q1455" s="67"/>
      <c r="R1455" s="67"/>
      <c r="S1455" s="67"/>
      <c r="T1455" s="56">
        <v>458.83</v>
      </c>
      <c r="U1455" s="103"/>
      <c r="V1455" s="103">
        <v>25.44</v>
      </c>
      <c r="W1455" s="103">
        <v>0.26402910644840705</v>
      </c>
      <c r="X1455" s="103">
        <v>0.26402910644840705</v>
      </c>
      <c r="Y1455" s="162">
        <v>7</v>
      </c>
      <c r="Z1455" s="56">
        <v>2</v>
      </c>
      <c r="AA1455" s="56"/>
      <c r="AB1455" s="56">
        <v>3.78</v>
      </c>
      <c r="AC1455" s="56">
        <v>0.67889999999999995</v>
      </c>
      <c r="AD1455" s="56">
        <v>4.28</v>
      </c>
      <c r="AE1455" s="56">
        <v>5.34</v>
      </c>
      <c r="AF1455" s="56">
        <f t="shared" si="353"/>
        <v>4.28</v>
      </c>
      <c r="AG1455" s="57">
        <v>5.04</v>
      </c>
      <c r="AH1455" s="103">
        <v>2.8100000000000001E-13</v>
      </c>
      <c r="AI1455" s="103"/>
      <c r="AJ1455" s="62">
        <f t="shared" si="351"/>
        <v>-10.939860006407573</v>
      </c>
      <c r="AK1455" s="62"/>
      <c r="AL1455" s="62">
        <f t="shared" si="349"/>
        <v>-10.939860006407573</v>
      </c>
      <c r="AM1455" s="62">
        <v>-19.734660000000002</v>
      </c>
      <c r="AN1455" s="154">
        <v>-0.622</v>
      </c>
      <c r="AO1455" s="410"/>
      <c r="AP1455" s="410">
        <v>-2.1</v>
      </c>
      <c r="AQ1455" s="154" t="s">
        <v>6311</v>
      </c>
      <c r="AR1455" s="154" t="s">
        <v>6311</v>
      </c>
      <c r="AS1455" s="149" t="s">
        <v>63</v>
      </c>
      <c r="AT1455" s="58" t="s">
        <v>266</v>
      </c>
      <c r="AU1455" s="56">
        <v>8</v>
      </c>
      <c r="AV1455" s="56">
        <v>144</v>
      </c>
      <c r="AW1455" s="56">
        <v>120</v>
      </c>
      <c r="AX1455" s="56">
        <v>26</v>
      </c>
      <c r="AY1455" s="56" t="s">
        <v>267</v>
      </c>
      <c r="AZ1455" s="56" t="s">
        <v>268</v>
      </c>
      <c r="BA1455" s="56">
        <v>2</v>
      </c>
      <c r="BB1455" s="55" t="s">
        <v>888</v>
      </c>
      <c r="BC1455" s="55" t="s">
        <v>270</v>
      </c>
      <c r="BD1455" s="55" t="s">
        <v>8374</v>
      </c>
      <c r="BE1455" s="56" t="s">
        <v>889</v>
      </c>
      <c r="BF1455" s="56" t="s">
        <v>272</v>
      </c>
      <c r="BG1455" s="56" t="s">
        <v>272</v>
      </c>
      <c r="BH1455" s="56" t="s">
        <v>890</v>
      </c>
      <c r="BI1455" s="153">
        <v>4.5882999999999997E-4</v>
      </c>
      <c r="BJ1455" s="153">
        <v>36.706400000000002</v>
      </c>
      <c r="BK1455" s="56"/>
      <c r="BL1455" s="153">
        <v>376.92227690743039</v>
      </c>
      <c r="BM1455" s="56" t="s">
        <v>891</v>
      </c>
      <c r="BN1455" s="162"/>
      <c r="BO1455" s="162"/>
      <c r="BP1455" s="162"/>
      <c r="BQ1455" s="162"/>
      <c r="BR1455" s="162"/>
      <c r="BS1455" s="56">
        <v>8.5927479360567771E-2</v>
      </c>
      <c r="BT1455" s="162"/>
      <c r="BU1455" s="158"/>
      <c r="BV1455" s="162"/>
      <c r="BW1455" s="162"/>
      <c r="BX1455" s="162"/>
      <c r="BY1455" s="162"/>
      <c r="BZ1455" s="162"/>
      <c r="CA1455" s="162"/>
      <c r="CB1455" s="162"/>
      <c r="CC1455" s="56"/>
      <c r="CD1455" s="56"/>
      <c r="CE1455" s="56"/>
      <c r="CF1455" s="56"/>
      <c r="CG1455" s="56"/>
      <c r="CH1455" s="56"/>
      <c r="CI1455" s="103">
        <v>8.5927479360567771E-2</v>
      </c>
      <c r="CJ1455" s="103">
        <f t="shared" si="346"/>
        <v>-1.0658679278310812</v>
      </c>
      <c r="CK1455" s="57">
        <f t="shared" si="354"/>
        <v>10.268571064104091</v>
      </c>
      <c r="CL1455" s="160">
        <f t="shared" si="355"/>
        <v>4386.5161612130387</v>
      </c>
      <c r="CM1455" s="160">
        <v>-0.36151074304536324</v>
      </c>
      <c r="CN1455" s="160">
        <f t="shared" si="350"/>
        <v>84.38252873563232</v>
      </c>
      <c r="CO1455" s="55" t="s">
        <v>892</v>
      </c>
      <c r="CP1455" s="497" t="s">
        <v>893</v>
      </c>
      <c r="CQ1455" s="149">
        <v>-0.18736950438955891</v>
      </c>
      <c r="CR1455" s="349">
        <f t="shared" si="352"/>
        <v>0.1322822510058646</v>
      </c>
      <c r="CS1455" s="61" t="s">
        <v>539</v>
      </c>
      <c r="CT1455" s="61"/>
      <c r="CU1455" s="111">
        <f t="shared" si="356"/>
        <v>3.0726969813753242</v>
      </c>
      <c r="CV1455" s="331">
        <f t="shared" si="357"/>
        <v>7.1929992167144427E-3</v>
      </c>
      <c r="CW1455" s="326">
        <f t="shared" si="347"/>
        <v>1</v>
      </c>
      <c r="CX1455" s="326" t="s">
        <v>539</v>
      </c>
      <c r="CY1455" s="161" t="s">
        <v>5921</v>
      </c>
    </row>
    <row r="1456" spans="1:103" ht="11.25" customHeight="1" x14ac:dyDescent="0.2">
      <c r="A1456" s="72">
        <v>497</v>
      </c>
      <c r="B1456" s="149">
        <v>178</v>
      </c>
      <c r="C1456" s="54" t="s">
        <v>913</v>
      </c>
      <c r="D1456" s="54" t="s">
        <v>6532</v>
      </c>
      <c r="E1456" s="59"/>
      <c r="F1456" s="59" t="s">
        <v>914</v>
      </c>
      <c r="G1456" s="151">
        <v>71751412</v>
      </c>
      <c r="H1456" s="55" t="s">
        <v>915</v>
      </c>
      <c r="I1456" s="55" t="s">
        <v>7910</v>
      </c>
      <c r="J1456" s="55" t="s">
        <v>916</v>
      </c>
      <c r="K1456" s="55"/>
      <c r="L1456" s="55" t="s">
        <v>617</v>
      </c>
      <c r="M1456" s="55" t="s">
        <v>917</v>
      </c>
      <c r="N1456" s="60" t="s">
        <v>6376</v>
      </c>
      <c r="O1456" s="55" t="s">
        <v>918</v>
      </c>
      <c r="P1456" s="67"/>
      <c r="Q1456" s="67"/>
      <c r="R1456" s="67"/>
      <c r="S1456" s="67"/>
      <c r="T1456" s="56">
        <v>873.08</v>
      </c>
      <c r="U1456" s="103"/>
      <c r="V1456" s="103"/>
      <c r="W1456" s="103">
        <v>195.45826516612448</v>
      </c>
      <c r="X1456" s="103">
        <v>195.45826516612448</v>
      </c>
      <c r="Y1456" s="162">
        <v>7</v>
      </c>
      <c r="Z1456" s="56"/>
      <c r="AA1456" s="56"/>
      <c r="AB1456" s="56">
        <v>5.35</v>
      </c>
      <c r="AC1456" s="56">
        <v>0.43709999999999999</v>
      </c>
      <c r="AD1456" s="56">
        <v>5.94</v>
      </c>
      <c r="AE1456" s="56">
        <v>6.51</v>
      </c>
      <c r="AF1456" s="56">
        <f t="shared" si="353"/>
        <v>5.94</v>
      </c>
      <c r="AG1456" s="57">
        <v>4.5199999999999996</v>
      </c>
      <c r="AH1456" s="103"/>
      <c r="AI1456" s="103"/>
      <c r="AJ1456" s="62"/>
      <c r="AK1456" s="62"/>
      <c r="AL1456" s="62"/>
      <c r="AM1456" s="62">
        <v>-40.112469999999995</v>
      </c>
      <c r="AN1456" s="154">
        <v>-29.9</v>
      </c>
      <c r="AO1456" s="410">
        <v>12.42</v>
      </c>
      <c r="AP1456" s="410"/>
      <c r="AQ1456" s="154" t="s">
        <v>6311</v>
      </c>
      <c r="AR1456" s="154" t="s">
        <v>6311</v>
      </c>
      <c r="AS1456" s="149" t="s">
        <v>919</v>
      </c>
      <c r="AT1456" s="58" t="s">
        <v>266</v>
      </c>
      <c r="AU1456" s="56">
        <v>8</v>
      </c>
      <c r="AV1456" s="56">
        <v>144</v>
      </c>
      <c r="AW1456" s="56">
        <v>120</v>
      </c>
      <c r="AX1456" s="56">
        <v>26</v>
      </c>
      <c r="AY1456" s="56" t="s">
        <v>267</v>
      </c>
      <c r="AZ1456" s="56" t="s">
        <v>268</v>
      </c>
      <c r="BA1456" s="56">
        <v>2</v>
      </c>
      <c r="BB1456" s="55" t="s">
        <v>888</v>
      </c>
      <c r="BC1456" s="55" t="s">
        <v>270</v>
      </c>
      <c r="BD1456" s="55" t="s">
        <v>8374</v>
      </c>
      <c r="BE1456" s="56" t="s">
        <v>889</v>
      </c>
      <c r="BF1456" s="56" t="s">
        <v>272</v>
      </c>
      <c r="BG1456" s="56" t="s">
        <v>272</v>
      </c>
      <c r="BH1456" s="56" t="s">
        <v>890</v>
      </c>
      <c r="BI1456" s="153">
        <v>8.7308000000000004E-4</v>
      </c>
      <c r="BJ1456" s="153">
        <v>69.846400000000003</v>
      </c>
      <c r="BK1456" s="56"/>
      <c r="BL1456" s="153"/>
      <c r="BM1456" s="56" t="s">
        <v>891</v>
      </c>
      <c r="BN1456" s="162"/>
      <c r="BO1456" s="162"/>
      <c r="BP1456" s="162"/>
      <c r="BQ1456" s="162"/>
      <c r="BR1456" s="162"/>
      <c r="BS1456" s="56">
        <v>3.1701886083122646E-2</v>
      </c>
      <c r="BT1456" s="162"/>
      <c r="BU1456" s="158"/>
      <c r="BV1456" s="162"/>
      <c r="BW1456" s="162"/>
      <c r="BX1456" s="162"/>
      <c r="BY1456" s="162"/>
      <c r="BZ1456" s="162"/>
      <c r="CA1456" s="162"/>
      <c r="CB1456" s="162"/>
      <c r="CC1456" s="56"/>
      <c r="CD1456" s="56"/>
      <c r="CE1456" s="56"/>
      <c r="CF1456" s="56"/>
      <c r="CG1456" s="56"/>
      <c r="CH1456" s="56"/>
      <c r="CI1456" s="103">
        <v>3.1701886083122646E-2</v>
      </c>
      <c r="CJ1456" s="103">
        <f t="shared" si="346"/>
        <v>-1.498914898945475</v>
      </c>
      <c r="CK1456" s="57">
        <f t="shared" si="354"/>
        <v>0</v>
      </c>
      <c r="CL1456" s="160">
        <f t="shared" si="355"/>
        <v>0</v>
      </c>
      <c r="CM1456" s="160"/>
      <c r="CN1456" s="160"/>
      <c r="CO1456" s="55" t="s">
        <v>892</v>
      </c>
      <c r="CP1456" s="497" t="s">
        <v>893</v>
      </c>
      <c r="CQ1456" s="149">
        <v>-0.17118127055118335</v>
      </c>
      <c r="CR1456" s="349">
        <f t="shared" si="352"/>
        <v>4.7018240340583696E-2</v>
      </c>
      <c r="CS1456" s="61" t="s">
        <v>539</v>
      </c>
      <c r="CT1456" s="61"/>
      <c r="CU1456" s="111">
        <f t="shared" si="356"/>
        <v>6165.509037967995</v>
      </c>
      <c r="CV1456" s="331">
        <f t="shared" si="357"/>
        <v>2.7984014232104228</v>
      </c>
      <c r="CW1456" s="326">
        <f t="shared" si="347"/>
        <v>1</v>
      </c>
      <c r="CX1456" s="326" t="s">
        <v>539</v>
      </c>
      <c r="CY1456" s="161" t="s">
        <v>5921</v>
      </c>
    </row>
    <row r="1457" spans="1:103" ht="11.25" customHeight="1" x14ac:dyDescent="0.2">
      <c r="A1457" s="72">
        <v>499</v>
      </c>
      <c r="B1457" s="149">
        <v>318</v>
      </c>
      <c r="C1457" s="54" t="s">
        <v>1239</v>
      </c>
      <c r="D1457" s="54" t="s">
        <v>6578</v>
      </c>
      <c r="E1457" s="59"/>
      <c r="F1457" s="59" t="s">
        <v>1240</v>
      </c>
      <c r="G1457" s="151">
        <v>117337196</v>
      </c>
      <c r="H1457" s="55" t="s">
        <v>1241</v>
      </c>
      <c r="I1457" s="55" t="s">
        <v>7911</v>
      </c>
      <c r="J1457" s="55" t="s">
        <v>1242</v>
      </c>
      <c r="K1457" s="55" t="s">
        <v>1243</v>
      </c>
      <c r="L1457" s="55" t="s">
        <v>5994</v>
      </c>
      <c r="M1457" s="55" t="s">
        <v>6082</v>
      </c>
      <c r="N1457" s="60" t="s">
        <v>6082</v>
      </c>
      <c r="O1457" s="55" t="s">
        <v>6083</v>
      </c>
      <c r="P1457" s="67"/>
      <c r="Q1457" s="67"/>
      <c r="R1457" s="67"/>
      <c r="S1457" s="67"/>
      <c r="T1457" s="56">
        <v>403.88</v>
      </c>
      <c r="U1457" s="103">
        <v>0.85</v>
      </c>
      <c r="V1457" s="103">
        <v>1.7479999999999998</v>
      </c>
      <c r="W1457" s="103">
        <v>43.276521699936396</v>
      </c>
      <c r="X1457" s="103">
        <v>0.85</v>
      </c>
      <c r="Y1457" s="162">
        <v>7</v>
      </c>
      <c r="Z1457" s="56">
        <v>2.59</v>
      </c>
      <c r="AA1457" s="56">
        <v>3.77</v>
      </c>
      <c r="AB1457" s="56">
        <v>3.8</v>
      </c>
      <c r="AC1457" s="56">
        <v>0.71419999999999995</v>
      </c>
      <c r="AD1457" s="56">
        <v>3.16</v>
      </c>
      <c r="AE1457" s="56">
        <v>1.4</v>
      </c>
      <c r="AF1457" s="56">
        <f t="shared" si="353"/>
        <v>3.77</v>
      </c>
      <c r="AG1457" s="57">
        <v>3.89</v>
      </c>
      <c r="AH1457" s="103">
        <v>8.7700000000000001E-15</v>
      </c>
      <c r="AI1457" s="103">
        <v>2.0700000000000001E-9</v>
      </c>
      <c r="AJ1457" s="62">
        <f>LOG10(AH1457*1000/(0.08206*298.15))</f>
        <v>-12.445566732946611</v>
      </c>
      <c r="AK1457" s="62">
        <f>LOG10(AI1457*1000/(0.08206*298.15))</f>
        <v>-7.0725959808557342</v>
      </c>
      <c r="AL1457" s="62">
        <f t="shared" ref="AL1457:AL1478" si="358">IF(AK1457=0,AJ1457,AK1457)</f>
        <v>-7.0725959808557342</v>
      </c>
      <c r="AM1457" s="62">
        <v>-18.93338</v>
      </c>
      <c r="AN1457" s="154">
        <v>-11.4</v>
      </c>
      <c r="AO1457" s="410"/>
      <c r="AP1457" s="410">
        <v>-2.86</v>
      </c>
      <c r="AQ1457" s="154" t="s">
        <v>6311</v>
      </c>
      <c r="AR1457" s="154" t="s">
        <v>6314</v>
      </c>
      <c r="AS1457" s="149" t="s">
        <v>6</v>
      </c>
      <c r="AT1457" s="58" t="s">
        <v>266</v>
      </c>
      <c r="AU1457" s="56">
        <v>8</v>
      </c>
      <c r="AV1457" s="56">
        <v>144</v>
      </c>
      <c r="AW1457" s="56">
        <v>120</v>
      </c>
      <c r="AX1457" s="56">
        <v>26</v>
      </c>
      <c r="AY1457" s="56" t="s">
        <v>267</v>
      </c>
      <c r="AZ1457" s="56" t="s">
        <v>268</v>
      </c>
      <c r="BA1457" s="56">
        <v>2</v>
      </c>
      <c r="BB1457" s="55" t="s">
        <v>888</v>
      </c>
      <c r="BC1457" s="55" t="s">
        <v>270</v>
      </c>
      <c r="BD1457" s="55" t="s">
        <v>8374</v>
      </c>
      <c r="BE1457" s="56" t="s">
        <v>889</v>
      </c>
      <c r="BF1457" s="56" t="s">
        <v>272</v>
      </c>
      <c r="BG1457" s="56" t="s">
        <v>272</v>
      </c>
      <c r="BH1457" s="56" t="s">
        <v>890</v>
      </c>
      <c r="BI1457" s="153">
        <v>4.0387999999999996E-4</v>
      </c>
      <c r="BJ1457" s="153">
        <v>32.310400000000001</v>
      </c>
      <c r="BK1457" s="56"/>
      <c r="BL1457" s="153">
        <v>97.942987649409488</v>
      </c>
      <c r="BM1457" s="56" t="s">
        <v>891</v>
      </c>
      <c r="BN1457" s="162"/>
      <c r="BO1457" s="162"/>
      <c r="BP1457" s="162"/>
      <c r="BQ1457" s="162"/>
      <c r="BR1457" s="162"/>
      <c r="BS1457" s="56">
        <v>8.4409953774374265E-3</v>
      </c>
      <c r="BT1457" s="162"/>
      <c r="BU1457" s="158"/>
      <c r="BV1457" s="162"/>
      <c r="BW1457" s="162"/>
      <c r="BX1457" s="162"/>
      <c r="BY1457" s="162"/>
      <c r="BZ1457" s="162"/>
      <c r="CA1457" s="162"/>
      <c r="CB1457" s="162"/>
      <c r="CC1457" s="56"/>
      <c r="CD1457" s="56"/>
      <c r="CE1457" s="56"/>
      <c r="CF1457" s="56"/>
      <c r="CG1457" s="56"/>
      <c r="CH1457" s="56"/>
      <c r="CI1457" s="103">
        <v>8.4409953774374265E-3</v>
      </c>
      <c r="CJ1457" s="103">
        <f t="shared" si="346"/>
        <v>-2.0736063375639828</v>
      </c>
      <c r="CK1457" s="57">
        <f t="shared" si="354"/>
        <v>3.031314612304691</v>
      </c>
      <c r="CL1457" s="160">
        <f t="shared" si="355"/>
        <v>11603.250952039221</v>
      </c>
      <c r="CM1457" s="160">
        <v>-1.3665315444204142</v>
      </c>
      <c r="CN1457" s="160">
        <f>BJ1457/(10^CM1457)</f>
        <v>751.40465116279222</v>
      </c>
      <c r="CO1457" s="55" t="s">
        <v>892</v>
      </c>
      <c r="CP1457" s="497" t="s">
        <v>893</v>
      </c>
      <c r="CQ1457" s="149">
        <v>-1.1102017543710878</v>
      </c>
      <c r="CR1457" s="349">
        <f t="shared" si="352"/>
        <v>0.10879161323352776</v>
      </c>
      <c r="CS1457" s="61" t="s">
        <v>539</v>
      </c>
      <c r="CT1457" s="61"/>
      <c r="CU1457" s="111">
        <f t="shared" si="356"/>
        <v>100.69902446245014</v>
      </c>
      <c r="CV1457" s="331">
        <f t="shared" si="357"/>
        <v>2.630731900564524E-2</v>
      </c>
      <c r="CW1457" s="326">
        <f t="shared" si="347"/>
        <v>1</v>
      </c>
      <c r="CX1457" s="326" t="s">
        <v>539</v>
      </c>
      <c r="CY1457" s="161" t="s">
        <v>5921</v>
      </c>
    </row>
    <row r="1458" spans="1:103" ht="11.25" customHeight="1" x14ac:dyDescent="0.2">
      <c r="A1458" s="72">
        <v>504</v>
      </c>
      <c r="B1458" s="149">
        <v>425</v>
      </c>
      <c r="C1458" s="54" t="s">
        <v>1432</v>
      </c>
      <c r="D1458" s="54" t="s">
        <v>6574</v>
      </c>
      <c r="E1458" s="59"/>
      <c r="F1458" s="59" t="s">
        <v>1433</v>
      </c>
      <c r="G1458" s="151">
        <v>96489713</v>
      </c>
      <c r="H1458" s="55" t="s">
        <v>1434</v>
      </c>
      <c r="I1458" s="55" t="s">
        <v>7915</v>
      </c>
      <c r="J1458" s="55" t="s">
        <v>1435</v>
      </c>
      <c r="K1458" s="55" t="s">
        <v>1436</v>
      </c>
      <c r="L1458" s="55" t="s">
        <v>5951</v>
      </c>
      <c r="M1458" s="55" t="s">
        <v>6011</v>
      </c>
      <c r="N1458" s="60" t="s">
        <v>6381</v>
      </c>
      <c r="O1458" s="55" t="s">
        <v>918</v>
      </c>
      <c r="P1458" s="67"/>
      <c r="Q1458" s="67"/>
      <c r="R1458" s="67"/>
      <c r="S1458" s="67"/>
      <c r="T1458" s="56">
        <v>364.93</v>
      </c>
      <c r="U1458" s="103">
        <v>1.2E-2</v>
      </c>
      <c r="V1458" s="103">
        <v>1.8259999999999998E-2</v>
      </c>
      <c r="W1458" s="103">
        <v>5.7837507272483402</v>
      </c>
      <c r="X1458" s="103">
        <v>1.2E-2</v>
      </c>
      <c r="Y1458" s="162">
        <v>7</v>
      </c>
      <c r="Z1458" s="56">
        <v>5.47</v>
      </c>
      <c r="AA1458" s="56">
        <v>6.37</v>
      </c>
      <c r="AB1458" s="56">
        <v>5.73</v>
      </c>
      <c r="AC1458" s="56">
        <v>0.73460000000000003</v>
      </c>
      <c r="AD1458" s="56">
        <v>5.44</v>
      </c>
      <c r="AE1458" s="56">
        <v>4.7300000000000004</v>
      </c>
      <c r="AF1458" s="56">
        <f t="shared" si="353"/>
        <v>6.37</v>
      </c>
      <c r="AG1458" s="57">
        <v>5.59</v>
      </c>
      <c r="AH1458" s="103">
        <v>2.26E-10</v>
      </c>
      <c r="AI1458" s="103">
        <v>4.7200000000000002E-5</v>
      </c>
      <c r="AJ1458" s="62">
        <f>LOG10(AH1458*1000/(0.08206*298.15))</f>
        <v>-8.0344578871652512</v>
      </c>
      <c r="AK1458" s="62">
        <f>LOG10(AI1458*1000/(0.08206*298.15))</f>
        <v>-2.714624327678564</v>
      </c>
      <c r="AL1458" s="62">
        <f t="shared" si="358"/>
        <v>-2.714624327678564</v>
      </c>
      <c r="AM1458" s="62">
        <v>-12.987449999999999</v>
      </c>
      <c r="AN1458" s="154">
        <v>-7.08</v>
      </c>
      <c r="AO1458" s="410"/>
      <c r="AP1458" s="410">
        <v>-2.69</v>
      </c>
      <c r="AQ1458" s="154" t="s">
        <v>6311</v>
      </c>
      <c r="AR1458" s="154" t="s">
        <v>6311</v>
      </c>
      <c r="AS1458" s="149" t="s">
        <v>6</v>
      </c>
      <c r="AT1458" s="58" t="s">
        <v>266</v>
      </c>
      <c r="AU1458" s="56">
        <v>8</v>
      </c>
      <c r="AV1458" s="56">
        <v>144</v>
      </c>
      <c r="AW1458" s="56">
        <v>120</v>
      </c>
      <c r="AX1458" s="56">
        <v>26</v>
      </c>
      <c r="AY1458" s="56" t="s">
        <v>267</v>
      </c>
      <c r="AZ1458" s="56" t="s">
        <v>268</v>
      </c>
      <c r="BA1458" s="56">
        <v>2</v>
      </c>
      <c r="BB1458" s="55" t="s">
        <v>888</v>
      </c>
      <c r="BC1458" s="55" t="s">
        <v>270</v>
      </c>
      <c r="BD1458" s="55" t="s">
        <v>8374</v>
      </c>
      <c r="BE1458" s="56" t="s">
        <v>889</v>
      </c>
      <c r="BF1458" s="56" t="s">
        <v>272</v>
      </c>
      <c r="BG1458" s="56" t="s">
        <v>272</v>
      </c>
      <c r="BH1458" s="56" t="s">
        <v>890</v>
      </c>
      <c r="BI1458" s="153">
        <v>3.6492999999999996E-4</v>
      </c>
      <c r="BJ1458" s="153">
        <v>29.194400000000002</v>
      </c>
      <c r="BK1458" s="56"/>
      <c r="BL1458" s="153">
        <v>0.22929921456688696</v>
      </c>
      <c r="BM1458" s="56" t="s">
        <v>891</v>
      </c>
      <c r="BN1458" s="162"/>
      <c r="BO1458" s="162"/>
      <c r="BP1458" s="162"/>
      <c r="BQ1458" s="162"/>
      <c r="BR1458" s="162"/>
      <c r="BS1458" s="56">
        <v>4.37916E-3</v>
      </c>
      <c r="BT1458" s="162"/>
      <c r="BU1458" s="158"/>
      <c r="BV1458" s="162"/>
      <c r="BW1458" s="162"/>
      <c r="BX1458" s="162"/>
      <c r="BY1458" s="162"/>
      <c r="BZ1458" s="162"/>
      <c r="CA1458" s="162"/>
      <c r="CB1458" s="162"/>
      <c r="CC1458" s="56"/>
      <c r="CD1458" s="56"/>
      <c r="CE1458" s="56"/>
      <c r="CF1458" s="56"/>
      <c r="CG1458" s="56"/>
      <c r="CH1458" s="56"/>
      <c r="CI1458" s="103">
        <v>4.37916E-3</v>
      </c>
      <c r="CJ1458" s="103">
        <f t="shared" si="346"/>
        <v>-2.358609186836266</v>
      </c>
      <c r="CK1458" s="57">
        <f t="shared" si="354"/>
        <v>7.8542191162307481E-3</v>
      </c>
      <c r="CL1458" s="160">
        <f t="shared" si="355"/>
        <v>52.361460774871652</v>
      </c>
      <c r="CM1458" s="160">
        <v>-3.0150710777498544</v>
      </c>
      <c r="CN1458" s="160">
        <f>BJ1458/(10^CM1458)</f>
        <v>30225.300816454386</v>
      </c>
      <c r="CO1458" s="55" t="s">
        <v>892</v>
      </c>
      <c r="CP1458" s="497" t="s">
        <v>893</v>
      </c>
      <c r="CQ1458" s="149">
        <v>-2.4142031595460556</v>
      </c>
      <c r="CR1458" s="349">
        <f t="shared" si="352"/>
        <v>1.1365642010065198</v>
      </c>
      <c r="CS1458" s="61" t="s">
        <v>539</v>
      </c>
      <c r="CT1458" s="61"/>
      <c r="CU1458" s="111">
        <f t="shared" si="356"/>
        <v>2.7402515550927578</v>
      </c>
      <c r="CV1458" s="331">
        <f t="shared" si="357"/>
        <v>4.1103773326391362E-4</v>
      </c>
      <c r="CW1458" s="326">
        <f t="shared" si="347"/>
        <v>1</v>
      </c>
      <c r="CX1458" s="326" t="s">
        <v>539</v>
      </c>
      <c r="CY1458" s="161" t="s">
        <v>5921</v>
      </c>
    </row>
    <row r="1459" spans="1:103" ht="11.25" customHeight="1" x14ac:dyDescent="0.2">
      <c r="A1459" s="72">
        <v>505</v>
      </c>
      <c r="B1459" s="149">
        <v>209</v>
      </c>
      <c r="C1459" s="54" t="s">
        <v>1002</v>
      </c>
      <c r="D1459" s="54" t="s">
        <v>6585</v>
      </c>
      <c r="E1459" s="59"/>
      <c r="F1459" s="59" t="s">
        <v>1003</v>
      </c>
      <c r="G1459" s="151">
        <v>134605644</v>
      </c>
      <c r="H1459" s="55" t="s">
        <v>1004</v>
      </c>
      <c r="I1459" s="55" t="s">
        <v>7783</v>
      </c>
      <c r="J1459" s="55" t="s">
        <v>1005</v>
      </c>
      <c r="K1459" s="55" t="s">
        <v>1006</v>
      </c>
      <c r="L1459" s="55" t="s">
        <v>5955</v>
      </c>
      <c r="M1459" s="55" t="s">
        <v>5956</v>
      </c>
      <c r="N1459" s="60" t="s">
        <v>6385</v>
      </c>
      <c r="O1459" s="55" t="s">
        <v>5957</v>
      </c>
      <c r="P1459" s="67"/>
      <c r="Q1459" s="67"/>
      <c r="R1459" s="67"/>
      <c r="S1459" s="67"/>
      <c r="T1459" s="56">
        <v>474.81</v>
      </c>
      <c r="U1459" s="103"/>
      <c r="V1459" s="103">
        <v>2.5579999999999998</v>
      </c>
      <c r="W1459" s="103">
        <v>0.88413759335889419</v>
      </c>
      <c r="X1459" s="103">
        <v>0.88413759335889419</v>
      </c>
      <c r="Y1459" s="162">
        <v>7</v>
      </c>
      <c r="Z1459" s="56">
        <v>3.05</v>
      </c>
      <c r="AA1459" s="56"/>
      <c r="AB1459" s="56">
        <v>3.65</v>
      </c>
      <c r="AC1459" s="56">
        <v>0.56579999999999997</v>
      </c>
      <c r="AD1459" s="56">
        <v>3.64</v>
      </c>
      <c r="AE1459" s="56">
        <v>3.63</v>
      </c>
      <c r="AF1459" s="56">
        <f t="shared" si="353"/>
        <v>3.64</v>
      </c>
      <c r="AG1459" s="57">
        <v>4.2300000000000004</v>
      </c>
      <c r="AH1459" s="103">
        <v>2.2499999999999999E-12</v>
      </c>
      <c r="AI1459" s="103"/>
      <c r="AJ1459" s="62">
        <f t="shared" ref="AJ1459:AJ1478" si="359">LOG10(AH1459*1000/(0.08206*298.15))</f>
        <v>-10.03638380820129</v>
      </c>
      <c r="AK1459" s="62"/>
      <c r="AL1459" s="62">
        <f t="shared" si="358"/>
        <v>-10.03638380820129</v>
      </c>
      <c r="AM1459" s="62">
        <v>-17.98612</v>
      </c>
      <c r="AN1459" s="154">
        <v>-11.3</v>
      </c>
      <c r="AO1459" s="410"/>
      <c r="AP1459" s="410">
        <v>-4.21</v>
      </c>
      <c r="AQ1459" s="154" t="s">
        <v>6311</v>
      </c>
      <c r="AR1459" s="154" t="s">
        <v>6312</v>
      </c>
      <c r="AS1459" s="149" t="s">
        <v>63</v>
      </c>
      <c r="AT1459" s="58" t="s">
        <v>266</v>
      </c>
      <c r="AU1459" s="56">
        <v>8</v>
      </c>
      <c r="AV1459" s="56">
        <v>144</v>
      </c>
      <c r="AW1459" s="56">
        <v>120</v>
      </c>
      <c r="AX1459" s="56">
        <v>26</v>
      </c>
      <c r="AY1459" s="56" t="s">
        <v>267</v>
      </c>
      <c r="AZ1459" s="56" t="s">
        <v>268</v>
      </c>
      <c r="BA1459" s="56">
        <v>2</v>
      </c>
      <c r="BB1459" s="55" t="s">
        <v>888</v>
      </c>
      <c r="BC1459" s="55" t="s">
        <v>270</v>
      </c>
      <c r="BD1459" s="55" t="s">
        <v>8374</v>
      </c>
      <c r="BE1459" s="56" t="s">
        <v>889</v>
      </c>
      <c r="BF1459" s="56" t="s">
        <v>272</v>
      </c>
      <c r="BG1459" s="56" t="s">
        <v>272</v>
      </c>
      <c r="BH1459" s="56" t="s">
        <v>890</v>
      </c>
      <c r="BI1459" s="153">
        <v>4.7480999999999999E-4</v>
      </c>
      <c r="BJ1459" s="153">
        <v>37.9848</v>
      </c>
      <c r="BK1459" s="56"/>
      <c r="BL1459" s="153">
        <v>44.474887385033405</v>
      </c>
      <c r="BM1459" s="56" t="s">
        <v>891</v>
      </c>
      <c r="BN1459" s="162"/>
      <c r="BO1459" s="162"/>
      <c r="BP1459" s="162"/>
      <c r="BQ1459" s="162"/>
      <c r="BR1459" s="162"/>
      <c r="BS1459" s="56">
        <v>3.2895801757671147E-3</v>
      </c>
      <c r="BT1459" s="162"/>
      <c r="BU1459" s="158"/>
      <c r="BV1459" s="162"/>
      <c r="BW1459" s="162"/>
      <c r="BX1459" s="162"/>
      <c r="BY1459" s="162"/>
      <c r="BZ1459" s="162"/>
      <c r="CA1459" s="162"/>
      <c r="CB1459" s="162"/>
      <c r="CC1459" s="56"/>
      <c r="CD1459" s="56"/>
      <c r="CE1459" s="56"/>
      <c r="CF1459" s="56"/>
      <c r="CG1459" s="56"/>
      <c r="CH1459" s="56"/>
      <c r="CI1459" s="103">
        <v>3.2895801757671147E-3</v>
      </c>
      <c r="CJ1459" s="103">
        <f t="shared" si="346"/>
        <v>-2.4828595242329272</v>
      </c>
      <c r="CK1459" s="57">
        <f t="shared" si="354"/>
        <v>1.1708601173372877</v>
      </c>
      <c r="CL1459" s="160">
        <f t="shared" si="355"/>
        <v>13519.928078561596</v>
      </c>
      <c r="CM1459" s="160">
        <v>0.59106460702649899</v>
      </c>
      <c r="CN1459" s="160">
        <f>BJ1459/(10^CM1459)</f>
        <v>9.7396923076923105</v>
      </c>
      <c r="CO1459" s="55" t="s">
        <v>892</v>
      </c>
      <c r="CP1459" s="497" t="s">
        <v>893</v>
      </c>
      <c r="CQ1459" s="149">
        <v>0.59106460702649921</v>
      </c>
      <c r="CR1459" s="349">
        <f t="shared" si="352"/>
        <v>8.4348209635054213E-4</v>
      </c>
      <c r="CS1459" s="61" t="s">
        <v>539</v>
      </c>
      <c r="CT1459" s="61"/>
      <c r="CU1459" s="111">
        <f t="shared" si="356"/>
        <v>268.76912740171088</v>
      </c>
      <c r="CV1459" s="331">
        <f t="shared" si="357"/>
        <v>2.3276089208285795E-2</v>
      </c>
      <c r="CW1459" s="326">
        <f t="shared" si="347"/>
        <v>1</v>
      </c>
      <c r="CX1459" s="326" t="s">
        <v>539</v>
      </c>
      <c r="CY1459" s="161" t="s">
        <v>6351</v>
      </c>
    </row>
    <row r="1460" spans="1:103" ht="11.25" customHeight="1" x14ac:dyDescent="0.2">
      <c r="A1460" s="72">
        <v>527</v>
      </c>
      <c r="B1460" s="191">
        <v>415</v>
      </c>
      <c r="C1460" s="128" t="s">
        <v>3354</v>
      </c>
      <c r="D1460" s="128" t="s">
        <v>6809</v>
      </c>
      <c r="E1460" s="129"/>
      <c r="F1460" s="129" t="s">
        <v>3355</v>
      </c>
      <c r="G1460" s="192">
        <v>116714466</v>
      </c>
      <c r="H1460" s="139" t="s">
        <v>3356</v>
      </c>
      <c r="I1460" s="139" t="s">
        <v>7925</v>
      </c>
      <c r="J1460" s="139" t="s">
        <v>3357</v>
      </c>
      <c r="K1460" s="139" t="s">
        <v>2039</v>
      </c>
      <c r="L1460" s="139" t="s">
        <v>617</v>
      </c>
      <c r="M1460" s="139" t="s">
        <v>8514</v>
      </c>
      <c r="N1460" s="138" t="s">
        <v>2342</v>
      </c>
      <c r="O1460" s="139" t="s">
        <v>918</v>
      </c>
      <c r="P1460" s="138"/>
      <c r="Q1460" s="138"/>
      <c r="R1460" s="138"/>
      <c r="S1460" s="138"/>
      <c r="T1460" s="130">
        <v>492.7</v>
      </c>
      <c r="U1460" s="187">
        <v>5.3100000000000001E-2</v>
      </c>
      <c r="V1460" s="187">
        <v>2.5180000000000001E-2</v>
      </c>
      <c r="W1460" s="187">
        <v>2.0539154523583413E-2</v>
      </c>
      <c r="X1460" s="187">
        <v>5.3100000000000001E-2</v>
      </c>
      <c r="Y1460" s="194">
        <v>6.98</v>
      </c>
      <c r="Z1460" s="130">
        <v>5.26</v>
      </c>
      <c r="AA1460" s="130">
        <v>5.27</v>
      </c>
      <c r="AB1460" s="130">
        <v>4.96</v>
      </c>
      <c r="AC1460" s="130">
        <v>0.73060000000000003</v>
      </c>
      <c r="AD1460" s="130">
        <v>5.45</v>
      </c>
      <c r="AE1460" s="130">
        <v>6.78</v>
      </c>
      <c r="AF1460" s="130">
        <f t="shared" si="353"/>
        <v>5.27</v>
      </c>
      <c r="AG1460" s="131">
        <v>6.16</v>
      </c>
      <c r="AH1460" s="187">
        <v>6.7800000000000004E-13</v>
      </c>
      <c r="AI1460" s="187"/>
      <c r="AJ1460" s="136">
        <f t="shared" si="359"/>
        <v>-10.557336632445589</v>
      </c>
      <c r="AK1460" s="136"/>
      <c r="AL1460" s="136">
        <f t="shared" si="358"/>
        <v>-10.557336632445589</v>
      </c>
      <c r="AM1460" s="136">
        <v>-16.34385</v>
      </c>
      <c r="AN1460" s="193">
        <v>-5.39</v>
      </c>
      <c r="AO1460" s="481">
        <v>8.68</v>
      </c>
      <c r="AP1460" s="481">
        <v>-1.23</v>
      </c>
      <c r="AQ1460" s="193" t="s">
        <v>6311</v>
      </c>
      <c r="AR1460" s="193" t="s">
        <v>6311</v>
      </c>
      <c r="AS1460" s="191" t="s">
        <v>6</v>
      </c>
      <c r="AT1460" s="132" t="s">
        <v>266</v>
      </c>
      <c r="AU1460" s="130">
        <v>8</v>
      </c>
      <c r="AV1460" s="130">
        <v>144</v>
      </c>
      <c r="AW1460" s="130">
        <v>120</v>
      </c>
      <c r="AX1460" s="130">
        <v>26</v>
      </c>
      <c r="AY1460" s="130" t="s">
        <v>267</v>
      </c>
      <c r="AZ1460" s="130" t="s">
        <v>2253</v>
      </c>
      <c r="BA1460" s="130">
        <v>2</v>
      </c>
      <c r="BB1460" s="139" t="s">
        <v>2254</v>
      </c>
      <c r="BC1460" s="139" t="s">
        <v>270</v>
      </c>
      <c r="BD1460" s="139" t="s">
        <v>8374</v>
      </c>
      <c r="BE1460" s="130" t="s">
        <v>1712</v>
      </c>
      <c r="BF1460" s="130" t="s">
        <v>272</v>
      </c>
      <c r="BG1460" s="130" t="s">
        <v>272</v>
      </c>
      <c r="BH1460" s="130" t="s">
        <v>2255</v>
      </c>
      <c r="BI1460" s="187">
        <v>4.927E-4</v>
      </c>
      <c r="BJ1460" s="187">
        <v>39.415999999999997</v>
      </c>
      <c r="BK1460" s="130"/>
      <c r="BL1460" s="485">
        <v>0.47794350293623195</v>
      </c>
      <c r="BM1460" s="130" t="s">
        <v>891</v>
      </c>
      <c r="BN1460" s="194"/>
      <c r="BO1460" s="194"/>
      <c r="BP1460" s="194"/>
      <c r="BQ1460" s="194"/>
      <c r="BR1460" s="194"/>
      <c r="BS1460" s="130"/>
      <c r="BT1460" s="194"/>
      <c r="BU1460" s="195"/>
      <c r="BV1460" s="194"/>
      <c r="BW1460" s="194"/>
      <c r="BX1460" s="194"/>
      <c r="BY1460" s="194"/>
      <c r="BZ1460" s="194"/>
      <c r="CA1460" s="194"/>
      <c r="CB1460" s="194"/>
      <c r="CC1460" s="130"/>
      <c r="CD1460" s="130"/>
      <c r="CE1460" s="130"/>
      <c r="CF1460" s="130"/>
      <c r="CG1460" s="194"/>
      <c r="CH1460" s="130"/>
      <c r="CI1460" s="187"/>
      <c r="CJ1460" s="187"/>
      <c r="CK1460" s="131">
        <f t="shared" si="354"/>
        <v>1.2125621649488329E-2</v>
      </c>
      <c r="CL1460" s="188"/>
      <c r="CM1460" s="188"/>
      <c r="CN1460" s="188"/>
      <c r="CO1460" s="139" t="s">
        <v>892</v>
      </c>
      <c r="CP1460" s="499" t="s">
        <v>893</v>
      </c>
      <c r="CQ1460" s="191">
        <v>1.7951845896824241</v>
      </c>
      <c r="CR1460" s="191">
        <f t="shared" si="352"/>
        <v>1.602564102564101E-2</v>
      </c>
      <c r="CS1460" s="135" t="s">
        <v>539</v>
      </c>
      <c r="CT1460" s="135"/>
      <c r="CU1460" s="135"/>
      <c r="CV1460" s="332">
        <f t="shared" si="357"/>
        <v>1.3471686624720927E-3</v>
      </c>
      <c r="CW1460" s="329">
        <f t="shared" ref="CW1460:CW1491" si="360">IF(CV1460&lt;1,0,1)</f>
        <v>0</v>
      </c>
      <c r="CX1460" s="329" t="s">
        <v>539</v>
      </c>
      <c r="CY1460" s="189" t="s">
        <v>5921</v>
      </c>
    </row>
    <row r="1461" spans="1:103" ht="11.25" customHeight="1" x14ac:dyDescent="0.2">
      <c r="A1461" s="72">
        <v>543</v>
      </c>
      <c r="B1461" s="191">
        <v>287</v>
      </c>
      <c r="C1461" s="128" t="s">
        <v>3815</v>
      </c>
      <c r="D1461" s="128" t="s">
        <v>6825</v>
      </c>
      <c r="E1461" s="129"/>
      <c r="F1461" s="129" t="s">
        <v>3816</v>
      </c>
      <c r="G1461" s="192">
        <v>117817</v>
      </c>
      <c r="H1461" s="139" t="s">
        <v>3817</v>
      </c>
      <c r="I1461" s="139" t="s">
        <v>3817</v>
      </c>
      <c r="J1461" s="139" t="s">
        <v>3818</v>
      </c>
      <c r="K1461" s="139" t="s">
        <v>357</v>
      </c>
      <c r="L1461" s="139" t="s">
        <v>5527</v>
      </c>
      <c r="M1461" s="138" t="s">
        <v>2342</v>
      </c>
      <c r="N1461" s="138" t="s">
        <v>2342</v>
      </c>
      <c r="O1461" s="139"/>
      <c r="P1461" s="138"/>
      <c r="Q1461" s="138"/>
      <c r="R1461" s="138"/>
      <c r="S1461" s="138"/>
      <c r="T1461" s="130">
        <v>390.56</v>
      </c>
      <c r="U1461" s="187">
        <v>0.27</v>
      </c>
      <c r="V1461" s="187">
        <v>1.132E-3</v>
      </c>
      <c r="W1461" s="187">
        <v>0.10272774669146591</v>
      </c>
      <c r="X1461" s="187">
        <v>0.27</v>
      </c>
      <c r="Y1461" s="194">
        <v>7</v>
      </c>
      <c r="Z1461" s="130">
        <v>8.39</v>
      </c>
      <c r="AA1461" s="130">
        <v>7.6</v>
      </c>
      <c r="AB1461" s="130">
        <v>7.44</v>
      </c>
      <c r="AC1461" s="130">
        <v>0.71960000000000002</v>
      </c>
      <c r="AD1461" s="130">
        <v>7.91</v>
      </c>
      <c r="AE1461" s="130">
        <v>8.7100000000000009</v>
      </c>
      <c r="AF1461" s="130">
        <f t="shared" si="353"/>
        <v>7.6</v>
      </c>
      <c r="AG1461" s="131">
        <v>7.11</v>
      </c>
      <c r="AH1461" s="187">
        <v>1.1800000000000001E-5</v>
      </c>
      <c r="AI1461" s="187">
        <v>2.7000000000000001E-7</v>
      </c>
      <c r="AJ1461" s="136">
        <f t="shared" si="359"/>
        <v>-3.3166843190065265</v>
      </c>
      <c r="AK1461" s="136">
        <f>LOG10(AI1461*1000/(0.08206*298.15))</f>
        <v>-4.9572025621536646</v>
      </c>
      <c r="AL1461" s="136">
        <f t="shared" si="358"/>
        <v>-4.9572025621536646</v>
      </c>
      <c r="AM1461" s="136">
        <v>-10.153320000000001</v>
      </c>
      <c r="AN1461" s="193">
        <v>-3.61</v>
      </c>
      <c r="AO1461" s="481"/>
      <c r="AP1461" s="481"/>
      <c r="AQ1461" s="193" t="s">
        <v>6311</v>
      </c>
      <c r="AR1461" s="193" t="s">
        <v>6312</v>
      </c>
      <c r="AS1461" s="191" t="s">
        <v>6</v>
      </c>
      <c r="AT1461" s="132" t="s">
        <v>266</v>
      </c>
      <c r="AU1461" s="130">
        <v>8</v>
      </c>
      <c r="AV1461" s="130">
        <v>144</v>
      </c>
      <c r="AW1461" s="130">
        <v>120</v>
      </c>
      <c r="AX1461" s="130">
        <v>26</v>
      </c>
      <c r="AY1461" s="130" t="s">
        <v>267</v>
      </c>
      <c r="AZ1461" s="130" t="s">
        <v>2253</v>
      </c>
      <c r="BA1461" s="130">
        <v>2</v>
      </c>
      <c r="BB1461" s="139" t="s">
        <v>2254</v>
      </c>
      <c r="BC1461" s="139" t="s">
        <v>270</v>
      </c>
      <c r="BD1461" s="139" t="s">
        <v>8374</v>
      </c>
      <c r="BE1461" s="130" t="s">
        <v>1712</v>
      </c>
      <c r="BF1461" s="130" t="s">
        <v>272</v>
      </c>
      <c r="BG1461" s="130" t="s">
        <v>272</v>
      </c>
      <c r="BH1461" s="130" t="s">
        <v>2255</v>
      </c>
      <c r="BI1461" s="187">
        <v>3.9055999999999997E-4</v>
      </c>
      <c r="BJ1461" s="187">
        <v>31.244800000000001</v>
      </c>
      <c r="BK1461" s="130"/>
      <c r="BL1461" s="485">
        <v>5.8536770976688778E-4</v>
      </c>
      <c r="BM1461" s="130" t="s">
        <v>891</v>
      </c>
      <c r="BN1461" s="194"/>
      <c r="BO1461" s="194"/>
      <c r="BP1461" s="194"/>
      <c r="BQ1461" s="194"/>
      <c r="BR1461" s="194"/>
      <c r="BS1461" s="130"/>
      <c r="BT1461" s="194"/>
      <c r="BU1461" s="195"/>
      <c r="BV1461" s="194"/>
      <c r="BW1461" s="194"/>
      <c r="BX1461" s="194"/>
      <c r="BY1461" s="194"/>
      <c r="BZ1461" s="194"/>
      <c r="CA1461" s="194"/>
      <c r="CB1461" s="194"/>
      <c r="CC1461" s="130"/>
      <c r="CD1461" s="130"/>
      <c r="CE1461" s="130"/>
      <c r="CF1461" s="130"/>
      <c r="CG1461" s="194"/>
      <c r="CH1461" s="130"/>
      <c r="CI1461" s="187"/>
      <c r="CJ1461" s="187"/>
      <c r="CK1461" s="131">
        <f t="shared" si="354"/>
        <v>1.8734884197270835E-5</v>
      </c>
      <c r="CL1461" s="188"/>
      <c r="CM1461" s="188"/>
      <c r="CN1461" s="188"/>
      <c r="CO1461" s="139" t="s">
        <v>892</v>
      </c>
      <c r="CP1461" s="499" t="s">
        <v>893</v>
      </c>
      <c r="CQ1461" s="191">
        <v>2.4548790942923899</v>
      </c>
      <c r="CR1461" s="191">
        <f t="shared" si="352"/>
        <v>3.5084953535265352E-3</v>
      </c>
      <c r="CS1461" s="135" t="s">
        <v>539</v>
      </c>
      <c r="CT1461" s="135"/>
      <c r="CU1461" s="135"/>
      <c r="CV1461" s="332">
        <f t="shared" si="357"/>
        <v>8.641437935272429E-3</v>
      </c>
      <c r="CW1461" s="329">
        <f t="shared" si="360"/>
        <v>0</v>
      </c>
      <c r="CX1461" s="329" t="s">
        <v>539</v>
      </c>
      <c r="CY1461" s="189" t="s">
        <v>6351</v>
      </c>
    </row>
    <row r="1462" spans="1:103" ht="11.25" customHeight="1" x14ac:dyDescent="0.2">
      <c r="A1462" s="72">
        <v>570</v>
      </c>
      <c r="B1462" s="191">
        <v>233</v>
      </c>
      <c r="C1462" s="128" t="s">
        <v>2101</v>
      </c>
      <c r="D1462" s="128" t="s">
        <v>6567</v>
      </c>
      <c r="E1462" s="129"/>
      <c r="F1462" s="129" t="s">
        <v>2102</v>
      </c>
      <c r="G1462" s="192">
        <v>82657043</v>
      </c>
      <c r="H1462" s="139" t="s">
        <v>2103</v>
      </c>
      <c r="I1462" s="139" t="s">
        <v>7896</v>
      </c>
      <c r="J1462" s="139" t="s">
        <v>2104</v>
      </c>
      <c r="K1462" s="139" t="s">
        <v>1363</v>
      </c>
      <c r="L1462" s="139" t="s">
        <v>617</v>
      </c>
      <c r="M1462" s="139" t="s">
        <v>1086</v>
      </c>
      <c r="N1462" s="138" t="s">
        <v>6376</v>
      </c>
      <c r="O1462" s="139" t="s">
        <v>918</v>
      </c>
      <c r="P1462" s="138"/>
      <c r="Q1462" s="138"/>
      <c r="R1462" s="138"/>
      <c r="S1462" s="138"/>
      <c r="T1462" s="130">
        <v>422.87</v>
      </c>
      <c r="U1462" s="187">
        <v>0.1</v>
      </c>
      <c r="V1462" s="187">
        <v>2.407E-4</v>
      </c>
      <c r="W1462" s="187">
        <v>0.12479778456804128</v>
      </c>
      <c r="X1462" s="187">
        <v>0.1</v>
      </c>
      <c r="Y1462" s="194">
        <v>7</v>
      </c>
      <c r="Z1462" s="130">
        <v>8.15</v>
      </c>
      <c r="AA1462" s="130"/>
      <c r="AB1462" s="130">
        <v>6.84</v>
      </c>
      <c r="AC1462" s="130">
        <v>0.85719999999999996</v>
      </c>
      <c r="AD1462" s="130">
        <v>6.93</v>
      </c>
      <c r="AE1462" s="130">
        <v>7.3</v>
      </c>
      <c r="AF1462" s="130">
        <f t="shared" si="353"/>
        <v>6.93</v>
      </c>
      <c r="AG1462" s="131">
        <v>6.43</v>
      </c>
      <c r="AH1462" s="187">
        <v>1.91E-5</v>
      </c>
      <c r="AI1462" s="187">
        <v>9.9999999999999995E-7</v>
      </c>
      <c r="AJ1462" s="136">
        <f t="shared" si="359"/>
        <v>-3.1075329590649243</v>
      </c>
      <c r="AK1462" s="136">
        <f>LOG10(AI1462*1000/(0.08206*298.15))</f>
        <v>-4.3885663263126515</v>
      </c>
      <c r="AL1462" s="136">
        <f t="shared" si="358"/>
        <v>-4.3885663263126515</v>
      </c>
      <c r="AM1462" s="136">
        <v>-9.5165900000000008</v>
      </c>
      <c r="AN1462" s="193">
        <v>-4.72</v>
      </c>
      <c r="AO1462" s="481"/>
      <c r="AP1462" s="481"/>
      <c r="AQ1462" s="193" t="s">
        <v>6311</v>
      </c>
      <c r="AR1462" s="193" t="s">
        <v>6312</v>
      </c>
      <c r="AS1462" s="191" t="s">
        <v>46</v>
      </c>
      <c r="AT1462" s="132" t="s">
        <v>266</v>
      </c>
      <c r="AU1462" s="130">
        <v>8</v>
      </c>
      <c r="AV1462" s="130">
        <v>144</v>
      </c>
      <c r="AW1462" s="130">
        <v>120</v>
      </c>
      <c r="AX1462" s="130">
        <v>26</v>
      </c>
      <c r="AY1462" s="130" t="s">
        <v>267</v>
      </c>
      <c r="AZ1462" s="130" t="s">
        <v>2253</v>
      </c>
      <c r="BA1462" s="130">
        <v>2</v>
      </c>
      <c r="BB1462" s="139" t="s">
        <v>2254</v>
      </c>
      <c r="BC1462" s="139" t="s">
        <v>270</v>
      </c>
      <c r="BD1462" s="139" t="s">
        <v>8374</v>
      </c>
      <c r="BE1462" s="130" t="s">
        <v>1712</v>
      </c>
      <c r="BF1462" s="130" t="s">
        <v>272</v>
      </c>
      <c r="BG1462" s="130" t="s">
        <v>272</v>
      </c>
      <c r="BH1462" s="130" t="s">
        <v>2255</v>
      </c>
      <c r="BI1462" s="187">
        <v>4.2287E-4</v>
      </c>
      <c r="BJ1462" s="187">
        <v>33.829599999999999</v>
      </c>
      <c r="BK1462" s="130"/>
      <c r="BL1462" s="485">
        <v>1.0410986318262474E-3</v>
      </c>
      <c r="BM1462" s="130" t="s">
        <v>891</v>
      </c>
      <c r="BN1462" s="194"/>
      <c r="BO1462" s="194"/>
      <c r="BP1462" s="194"/>
      <c r="BQ1462" s="194"/>
      <c r="BR1462" s="194"/>
      <c r="BS1462" s="130"/>
      <c r="BT1462" s="194"/>
      <c r="BU1462" s="195"/>
      <c r="BV1462" s="194"/>
      <c r="BW1462" s="194"/>
      <c r="BX1462" s="194"/>
      <c r="BY1462" s="194"/>
      <c r="BZ1462" s="194"/>
      <c r="CA1462" s="194"/>
      <c r="CB1462" s="194"/>
      <c r="CC1462" s="130"/>
      <c r="CD1462" s="130"/>
      <c r="CE1462" s="130"/>
      <c r="CF1462" s="130"/>
      <c r="CG1462" s="194"/>
      <c r="CH1462" s="130"/>
      <c r="CI1462" s="187"/>
      <c r="CJ1462" s="187"/>
      <c r="CK1462" s="131">
        <f t="shared" si="354"/>
        <v>3.0774783971026776E-5</v>
      </c>
      <c r="CL1462" s="188"/>
      <c r="CM1462" s="188">
        <v>-3.4634415574284714</v>
      </c>
      <c r="CN1462" s="188">
        <f>BJ1462/(10^CM1462)</f>
        <v>98341.860465116697</v>
      </c>
      <c r="CO1462" s="139" t="s">
        <v>892</v>
      </c>
      <c r="CP1462" s="499" t="s">
        <v>893</v>
      </c>
      <c r="CQ1462" s="191">
        <v>-2.9037207463261767</v>
      </c>
      <c r="CR1462" s="191">
        <f t="shared" si="352"/>
        <v>801.16274580047934</v>
      </c>
      <c r="CS1462" s="135" t="s">
        <v>539</v>
      </c>
      <c r="CT1462" s="135"/>
      <c r="CU1462" s="135"/>
      <c r="CV1462" s="332">
        <f t="shared" si="357"/>
        <v>2.95599120297018E-3</v>
      </c>
      <c r="CW1462" s="329">
        <f t="shared" si="360"/>
        <v>0</v>
      </c>
      <c r="CX1462" s="329" t="s">
        <v>539</v>
      </c>
      <c r="CY1462" s="189" t="s">
        <v>5921</v>
      </c>
    </row>
    <row r="1463" spans="1:103" ht="11.25" customHeight="1" x14ac:dyDescent="0.2">
      <c r="A1463" s="72">
        <v>598</v>
      </c>
      <c r="B1463" s="191">
        <v>270</v>
      </c>
      <c r="C1463" s="128" t="s">
        <v>2092</v>
      </c>
      <c r="D1463" s="128" t="s">
        <v>6594</v>
      </c>
      <c r="E1463" s="129"/>
      <c r="F1463" s="129" t="s">
        <v>2093</v>
      </c>
      <c r="G1463" s="192">
        <v>52315078</v>
      </c>
      <c r="H1463" s="139" t="s">
        <v>2094</v>
      </c>
      <c r="I1463" s="139" t="s">
        <v>7906</v>
      </c>
      <c r="J1463" s="139" t="s">
        <v>2095</v>
      </c>
      <c r="K1463" s="139" t="s">
        <v>2086</v>
      </c>
      <c r="L1463" s="139" t="s">
        <v>617</v>
      </c>
      <c r="M1463" s="139" t="s">
        <v>1086</v>
      </c>
      <c r="N1463" s="138" t="s">
        <v>6376</v>
      </c>
      <c r="O1463" s="139" t="s">
        <v>918</v>
      </c>
      <c r="P1463" s="138"/>
      <c r="Q1463" s="138"/>
      <c r="R1463" s="138"/>
      <c r="S1463" s="138"/>
      <c r="T1463" s="130">
        <v>416.3</v>
      </c>
      <c r="U1463" s="187">
        <v>0.115</v>
      </c>
      <c r="V1463" s="187">
        <v>1.5590000000000001E-3</v>
      </c>
      <c r="W1463" s="187">
        <v>4.6709628252590681E-2</v>
      </c>
      <c r="X1463" s="187">
        <v>0.115</v>
      </c>
      <c r="Y1463" s="194">
        <v>7</v>
      </c>
      <c r="Z1463" s="130">
        <v>6.38</v>
      </c>
      <c r="AA1463" s="130">
        <v>6.94</v>
      </c>
      <c r="AB1463" s="130">
        <v>6.02</v>
      </c>
      <c r="AC1463" s="130">
        <v>0.95830000000000004</v>
      </c>
      <c r="AD1463" s="130">
        <v>6.05</v>
      </c>
      <c r="AE1463" s="130">
        <v>6.27</v>
      </c>
      <c r="AF1463" s="130">
        <f t="shared" si="353"/>
        <v>6.94</v>
      </c>
      <c r="AG1463" s="131">
        <v>5.09</v>
      </c>
      <c r="AH1463" s="187">
        <v>7.8899999999999998E-7</v>
      </c>
      <c r="AI1463" s="187">
        <v>4.2E-7</v>
      </c>
      <c r="AJ1463" s="136">
        <f t="shared" si="359"/>
        <v>-4.4914893231032318</v>
      </c>
      <c r="AK1463" s="136">
        <f>LOG10(AI1463*1000/(0.08206*298.15))</f>
        <v>-4.7653170359147516</v>
      </c>
      <c r="AL1463" s="136">
        <f t="shared" si="358"/>
        <v>-4.7653170359147516</v>
      </c>
      <c r="AM1463" s="136">
        <v>-15.410480000000002</v>
      </c>
      <c r="AN1463" s="193">
        <v>-4.5599999999999996</v>
      </c>
      <c r="AO1463" s="481"/>
      <c r="AP1463" s="481"/>
      <c r="AQ1463" s="193" t="s">
        <v>6311</v>
      </c>
      <c r="AR1463" s="193" t="s">
        <v>6312</v>
      </c>
      <c r="AS1463" s="191" t="s">
        <v>6</v>
      </c>
      <c r="AT1463" s="132" t="s">
        <v>266</v>
      </c>
      <c r="AU1463" s="130">
        <v>8</v>
      </c>
      <c r="AV1463" s="130">
        <v>144</v>
      </c>
      <c r="AW1463" s="130">
        <v>120</v>
      </c>
      <c r="AX1463" s="130">
        <v>26</v>
      </c>
      <c r="AY1463" s="130" t="s">
        <v>267</v>
      </c>
      <c r="AZ1463" s="130" t="s">
        <v>2253</v>
      </c>
      <c r="BA1463" s="130">
        <v>2</v>
      </c>
      <c r="BB1463" s="139" t="s">
        <v>2254</v>
      </c>
      <c r="BC1463" s="139" t="s">
        <v>270</v>
      </c>
      <c r="BD1463" s="139" t="s">
        <v>8374</v>
      </c>
      <c r="BE1463" s="130" t="s">
        <v>1712</v>
      </c>
      <c r="BF1463" s="130" t="s">
        <v>272</v>
      </c>
      <c r="BG1463" s="130" t="s">
        <v>272</v>
      </c>
      <c r="BH1463" s="130" t="s">
        <v>2255</v>
      </c>
      <c r="BI1463" s="187">
        <v>4.1629999999999998E-4</v>
      </c>
      <c r="BJ1463" s="187">
        <v>33.304000000000002</v>
      </c>
      <c r="BK1463" s="130"/>
      <c r="BL1463" s="485">
        <v>3.9840833066549695E-2</v>
      </c>
      <c r="BM1463" s="130" t="s">
        <v>891</v>
      </c>
      <c r="BN1463" s="194"/>
      <c r="BO1463" s="194"/>
      <c r="BP1463" s="194"/>
      <c r="BQ1463" s="194"/>
      <c r="BR1463" s="194"/>
      <c r="BS1463" s="130"/>
      <c r="BT1463" s="194"/>
      <c r="BU1463" s="195"/>
      <c r="BV1463" s="194"/>
      <c r="BW1463" s="194"/>
      <c r="BX1463" s="194"/>
      <c r="BY1463" s="194"/>
      <c r="BZ1463" s="194"/>
      <c r="CA1463" s="194"/>
      <c r="CB1463" s="194"/>
      <c r="CC1463" s="130"/>
      <c r="CD1463" s="203"/>
      <c r="CE1463" s="203"/>
      <c r="CF1463" s="203"/>
      <c r="CG1463" s="194"/>
      <c r="CH1463" s="130"/>
      <c r="CI1463" s="187"/>
      <c r="CJ1463" s="187"/>
      <c r="CK1463" s="131">
        <f t="shared" si="354"/>
        <v>1.1962777163869113E-3</v>
      </c>
      <c r="CL1463" s="188"/>
      <c r="CM1463" s="188">
        <v>-2.771769496998286</v>
      </c>
      <c r="CN1463" s="188">
        <f>BJ1463/(10^CM1463)</f>
        <v>19690.914882909648</v>
      </c>
      <c r="CO1463" s="139" t="s">
        <v>892</v>
      </c>
      <c r="CP1463" s="499" t="s">
        <v>893</v>
      </c>
      <c r="CQ1463" s="191">
        <v>-2.7046840545453876</v>
      </c>
      <c r="CR1463" s="191">
        <f t="shared" si="352"/>
        <v>506.62201107656296</v>
      </c>
      <c r="CS1463" s="135" t="s">
        <v>539</v>
      </c>
      <c r="CT1463" s="135"/>
      <c r="CU1463" s="135"/>
      <c r="CV1463" s="332">
        <f t="shared" si="357"/>
        <v>3.453038674033149E-3</v>
      </c>
      <c r="CW1463" s="329">
        <f t="shared" si="360"/>
        <v>0</v>
      </c>
      <c r="CX1463" s="329" t="s">
        <v>539</v>
      </c>
      <c r="CY1463" s="189" t="s">
        <v>5921</v>
      </c>
    </row>
    <row r="1464" spans="1:103" ht="11.25" customHeight="1" x14ac:dyDescent="0.2">
      <c r="A1464" s="72">
        <v>605</v>
      </c>
      <c r="B1464" s="191">
        <v>359</v>
      </c>
      <c r="C1464" s="128" t="s">
        <v>3216</v>
      </c>
      <c r="D1464" s="128" t="s">
        <v>6871</v>
      </c>
      <c r="E1464" s="129"/>
      <c r="F1464" s="129" t="s">
        <v>3217</v>
      </c>
      <c r="G1464" s="192">
        <v>173584446</v>
      </c>
      <c r="H1464" s="139" t="s">
        <v>3218</v>
      </c>
      <c r="I1464" s="139" t="s">
        <v>7943</v>
      </c>
      <c r="J1464" s="139" t="s">
        <v>3902</v>
      </c>
      <c r="K1464" s="139" t="s">
        <v>3220</v>
      </c>
      <c r="L1464" s="139" t="s">
        <v>617</v>
      </c>
      <c r="M1464" s="139" t="s">
        <v>3221</v>
      </c>
      <c r="N1464" s="138" t="s">
        <v>6376</v>
      </c>
      <c r="O1464" s="139" t="s">
        <v>918</v>
      </c>
      <c r="P1464" s="138"/>
      <c r="Q1464" s="138" t="s">
        <v>6173</v>
      </c>
      <c r="R1464" s="138" t="s">
        <v>6177</v>
      </c>
      <c r="S1464" s="138" t="s">
        <v>6176</v>
      </c>
      <c r="T1464" s="130">
        <v>527.83000000000004</v>
      </c>
      <c r="U1464" s="187"/>
      <c r="V1464" s="187">
        <v>5.0659999999999997E-2</v>
      </c>
      <c r="W1464" s="187">
        <v>0.96049270420010568</v>
      </c>
      <c r="X1464" s="187">
        <v>0.96049270420010568</v>
      </c>
      <c r="Y1464" s="194">
        <v>7</v>
      </c>
      <c r="Z1464" s="130">
        <v>5.21</v>
      </c>
      <c r="AA1464" s="130">
        <v>4.6500000000000004</v>
      </c>
      <c r="AB1464" s="130">
        <v>4.46</v>
      </c>
      <c r="AC1464" s="130">
        <v>0.50080000000000002</v>
      </c>
      <c r="AD1464" s="130">
        <v>3.7</v>
      </c>
      <c r="AE1464" s="130">
        <v>2.77</v>
      </c>
      <c r="AF1464" s="130">
        <f t="shared" si="353"/>
        <v>4.6500000000000004</v>
      </c>
      <c r="AG1464" s="131">
        <v>4.74</v>
      </c>
      <c r="AH1464" s="187">
        <v>2.72E-13</v>
      </c>
      <c r="AI1464" s="187"/>
      <c r="AJ1464" s="136">
        <f t="shared" si="359"/>
        <v>-10.953997422278453</v>
      </c>
      <c r="AK1464" s="136"/>
      <c r="AL1464" s="136">
        <f t="shared" si="358"/>
        <v>-10.953997422278453</v>
      </c>
      <c r="AM1464" s="136">
        <v>-19.639890000000001</v>
      </c>
      <c r="AN1464" s="193">
        <v>-6.89</v>
      </c>
      <c r="AO1464" s="481"/>
      <c r="AP1464" s="481">
        <v>-1.75</v>
      </c>
      <c r="AQ1464" s="193" t="s">
        <v>6311</v>
      </c>
      <c r="AR1464" s="193" t="s">
        <v>6312</v>
      </c>
      <c r="AS1464" s="191" t="s">
        <v>3903</v>
      </c>
      <c r="AT1464" s="132" t="s">
        <v>266</v>
      </c>
      <c r="AU1464" s="130">
        <v>8</v>
      </c>
      <c r="AV1464" s="130">
        <v>144</v>
      </c>
      <c r="AW1464" s="130">
        <v>120</v>
      </c>
      <c r="AX1464" s="130">
        <v>26</v>
      </c>
      <c r="AY1464" s="130" t="s">
        <v>267</v>
      </c>
      <c r="AZ1464" s="130" t="s">
        <v>2253</v>
      </c>
      <c r="BA1464" s="130">
        <v>2</v>
      </c>
      <c r="BB1464" s="139" t="s">
        <v>2254</v>
      </c>
      <c r="BC1464" s="139" t="s">
        <v>270</v>
      </c>
      <c r="BD1464" s="139" t="s">
        <v>8374</v>
      </c>
      <c r="BE1464" s="130" t="s">
        <v>1712</v>
      </c>
      <c r="BF1464" s="130" t="s">
        <v>272</v>
      </c>
      <c r="BG1464" s="130" t="s">
        <v>272</v>
      </c>
      <c r="BH1464" s="130" t="s">
        <v>2255</v>
      </c>
      <c r="BI1464" s="187">
        <v>5.2782999999999997E-4</v>
      </c>
      <c r="BJ1464" s="187">
        <v>42.226400000000005</v>
      </c>
      <c r="BK1464" s="130"/>
      <c r="BL1464" s="485">
        <v>0.56779696965373316</v>
      </c>
      <c r="BM1464" s="130" t="s">
        <v>891</v>
      </c>
      <c r="BN1464" s="194"/>
      <c r="BO1464" s="194"/>
      <c r="BP1464" s="194"/>
      <c r="BQ1464" s="194"/>
      <c r="BR1464" s="194"/>
      <c r="BS1464" s="130"/>
      <c r="BT1464" s="194"/>
      <c r="BU1464" s="195"/>
      <c r="BV1464" s="194"/>
      <c r="BW1464" s="194"/>
      <c r="BX1464" s="194"/>
      <c r="BY1464" s="194"/>
      <c r="BZ1464" s="194"/>
      <c r="CA1464" s="194"/>
      <c r="CB1464" s="194"/>
      <c r="CC1464" s="130"/>
      <c r="CD1464" s="130"/>
      <c r="CE1464" s="130"/>
      <c r="CF1464" s="130"/>
      <c r="CG1464" s="194"/>
      <c r="CH1464" s="130"/>
      <c r="CI1464" s="187"/>
      <c r="CJ1464" s="187"/>
      <c r="CK1464" s="131">
        <f t="shared" si="354"/>
        <v>1.3446492470438708E-2</v>
      </c>
      <c r="CL1464" s="188"/>
      <c r="CM1464" s="188"/>
      <c r="CN1464" s="188"/>
      <c r="CO1464" s="139" t="s">
        <v>892</v>
      </c>
      <c r="CP1464" s="499" t="s">
        <v>893</v>
      </c>
      <c r="CQ1464" s="191">
        <v>-0.19339427564123571</v>
      </c>
      <c r="CR1464" s="191">
        <f t="shared" si="352"/>
        <v>1.5609689904632471</v>
      </c>
      <c r="CS1464" s="135" t="s">
        <v>539</v>
      </c>
      <c r="CT1464" s="135"/>
      <c r="CU1464" s="135"/>
      <c r="CV1464" s="332">
        <f t="shared" si="357"/>
        <v>2.2746260732624746E-2</v>
      </c>
      <c r="CW1464" s="329">
        <f t="shared" si="360"/>
        <v>0</v>
      </c>
      <c r="CX1464" s="329" t="s">
        <v>539</v>
      </c>
      <c r="CY1464" s="189" t="s">
        <v>5921</v>
      </c>
    </row>
    <row r="1465" spans="1:103" ht="11.25" customHeight="1" x14ac:dyDescent="0.2">
      <c r="A1465" s="72">
        <v>612</v>
      </c>
      <c r="B1465" s="191">
        <v>269</v>
      </c>
      <c r="C1465" s="128" t="s">
        <v>3783</v>
      </c>
      <c r="D1465" s="128" t="s">
        <v>6877</v>
      </c>
      <c r="E1465" s="129"/>
      <c r="F1465" s="129" t="s">
        <v>3784</v>
      </c>
      <c r="G1465" s="192">
        <v>68359375</v>
      </c>
      <c r="H1465" s="139" t="s">
        <v>3785</v>
      </c>
      <c r="I1465" s="139" t="s">
        <v>7946</v>
      </c>
      <c r="J1465" s="139" t="s">
        <v>3786</v>
      </c>
      <c r="K1465" s="139" t="s">
        <v>2086</v>
      </c>
      <c r="L1465" s="139" t="s">
        <v>617</v>
      </c>
      <c r="M1465" s="139" t="s">
        <v>1086</v>
      </c>
      <c r="N1465" s="138" t="s">
        <v>6376</v>
      </c>
      <c r="O1465" s="139" t="s">
        <v>918</v>
      </c>
      <c r="P1465" s="138"/>
      <c r="Q1465" s="138"/>
      <c r="R1465" s="138"/>
      <c r="S1465" s="138"/>
      <c r="T1465" s="130">
        <v>434.29</v>
      </c>
      <c r="U1465" s="187">
        <v>3.0000000000000001E-3</v>
      </c>
      <c r="V1465" s="187">
        <v>8.4290000000000007E-3</v>
      </c>
      <c r="W1465" s="187">
        <v>1.6511245292805649E-2</v>
      </c>
      <c r="X1465" s="187">
        <v>3.0000000000000001E-3</v>
      </c>
      <c r="Y1465" s="194">
        <v>7</v>
      </c>
      <c r="Z1465" s="130">
        <v>5.74</v>
      </c>
      <c r="AA1465" s="130">
        <v>5.95</v>
      </c>
      <c r="AB1465" s="130">
        <v>6.11</v>
      </c>
      <c r="AC1465" s="130">
        <v>0.95440000000000003</v>
      </c>
      <c r="AD1465" s="130">
        <v>6.13</v>
      </c>
      <c r="AE1465" s="130">
        <v>6.29</v>
      </c>
      <c r="AF1465" s="130">
        <f t="shared" si="353"/>
        <v>5.95</v>
      </c>
      <c r="AG1465" s="131">
        <v>5.28</v>
      </c>
      <c r="AH1465" s="187">
        <v>9.2099999999999995E-7</v>
      </c>
      <c r="AI1465" s="187">
        <v>2.9000000000000002E-8</v>
      </c>
      <c r="AJ1465" s="136">
        <f t="shared" si="359"/>
        <v>-4.4243066961158029</v>
      </c>
      <c r="AK1465" s="136">
        <f>LOG10(AI1465*1000/(0.08206*298.15))</f>
        <v>-5.9261683284136959</v>
      </c>
      <c r="AL1465" s="136">
        <f t="shared" si="358"/>
        <v>-5.9261683284136959</v>
      </c>
      <c r="AM1465" s="136">
        <v>-15.256640000000001</v>
      </c>
      <c r="AN1465" s="193">
        <v>-4.42</v>
      </c>
      <c r="AO1465" s="481"/>
      <c r="AP1465" s="481"/>
      <c r="AQ1465" s="193" t="s">
        <v>6311</v>
      </c>
      <c r="AR1465" s="193" t="s">
        <v>6312</v>
      </c>
      <c r="AS1465" s="191" t="s">
        <v>6</v>
      </c>
      <c r="AT1465" s="132" t="s">
        <v>266</v>
      </c>
      <c r="AU1465" s="130">
        <v>8</v>
      </c>
      <c r="AV1465" s="130">
        <v>144</v>
      </c>
      <c r="AW1465" s="130">
        <v>120</v>
      </c>
      <c r="AX1465" s="130">
        <v>26</v>
      </c>
      <c r="AY1465" s="130" t="s">
        <v>267</v>
      </c>
      <c r="AZ1465" s="130" t="s">
        <v>2253</v>
      </c>
      <c r="BA1465" s="130">
        <v>2</v>
      </c>
      <c r="BB1465" s="139" t="s">
        <v>2254</v>
      </c>
      <c r="BC1465" s="139" t="s">
        <v>270</v>
      </c>
      <c r="BD1465" s="139" t="s">
        <v>8374</v>
      </c>
      <c r="BE1465" s="130" t="s">
        <v>1712</v>
      </c>
      <c r="BF1465" s="130" t="s">
        <v>272</v>
      </c>
      <c r="BG1465" s="130" t="s">
        <v>272</v>
      </c>
      <c r="BH1465" s="130" t="s">
        <v>2255</v>
      </c>
      <c r="BI1465" s="187">
        <v>4.3428999999999999E-4</v>
      </c>
      <c r="BJ1465" s="187">
        <v>34.743200000000002</v>
      </c>
      <c r="BK1465" s="130"/>
      <c r="BL1465" s="485">
        <v>0.15612980934308904</v>
      </c>
      <c r="BM1465" s="130" t="s">
        <v>891</v>
      </c>
      <c r="BN1465" s="194"/>
      <c r="BO1465" s="194"/>
      <c r="BP1465" s="194"/>
      <c r="BQ1465" s="194"/>
      <c r="BR1465" s="194"/>
      <c r="BS1465" s="130"/>
      <c r="BT1465" s="194"/>
      <c r="BU1465" s="195"/>
      <c r="BV1465" s="194"/>
      <c r="BW1465" s="194"/>
      <c r="BX1465" s="194"/>
      <c r="BY1465" s="194"/>
      <c r="BZ1465" s="194"/>
      <c r="CA1465" s="194"/>
      <c r="CB1465" s="194"/>
      <c r="CC1465" s="130"/>
      <c r="CD1465" s="130"/>
      <c r="CE1465" s="130"/>
      <c r="CF1465" s="130"/>
      <c r="CG1465" s="194"/>
      <c r="CH1465" s="130"/>
      <c r="CI1465" s="187"/>
      <c r="CJ1465" s="187"/>
      <c r="CK1465" s="131">
        <f t="shared" si="354"/>
        <v>4.4938235206627205E-3</v>
      </c>
      <c r="CL1465" s="188"/>
      <c r="CM1465" s="188"/>
      <c r="CN1465" s="188"/>
      <c r="CO1465" s="139" t="s">
        <v>892</v>
      </c>
      <c r="CP1465" s="499" t="s">
        <v>893</v>
      </c>
      <c r="CQ1465" s="191">
        <v>-3.4812957924623373</v>
      </c>
      <c r="CR1465" s="191">
        <f t="shared" si="352"/>
        <v>3028.9757226605789</v>
      </c>
      <c r="CS1465" s="135" t="s">
        <v>539</v>
      </c>
      <c r="CT1465" s="135"/>
      <c r="CU1465" s="135"/>
      <c r="CV1465" s="332">
        <f t="shared" si="357"/>
        <v>8.6347832093762225E-5</v>
      </c>
      <c r="CW1465" s="329">
        <f t="shared" si="360"/>
        <v>0</v>
      </c>
      <c r="CX1465" s="329" t="s">
        <v>539</v>
      </c>
      <c r="CY1465" s="189" t="s">
        <v>5921</v>
      </c>
    </row>
    <row r="1466" spans="1:103" ht="11.25" customHeight="1" x14ac:dyDescent="0.2">
      <c r="A1466" s="72">
        <v>626</v>
      </c>
      <c r="B1466" s="191">
        <v>263</v>
      </c>
      <c r="C1466" s="128" t="s">
        <v>3774</v>
      </c>
      <c r="D1466" s="128" t="s">
        <v>6885</v>
      </c>
      <c r="E1466" s="129"/>
      <c r="F1466" s="129" t="s">
        <v>3775</v>
      </c>
      <c r="G1466" s="192">
        <v>56724</v>
      </c>
      <c r="H1466" s="139" t="s">
        <v>3776</v>
      </c>
      <c r="I1466" s="139" t="s">
        <v>7952</v>
      </c>
      <c r="J1466" s="139" t="s">
        <v>3777</v>
      </c>
      <c r="K1466" s="139" t="s">
        <v>3778</v>
      </c>
      <c r="L1466" s="139" t="s">
        <v>617</v>
      </c>
      <c r="M1466" s="139" t="s">
        <v>946</v>
      </c>
      <c r="N1466" s="138" t="s">
        <v>6376</v>
      </c>
      <c r="O1466" s="139" t="s">
        <v>918</v>
      </c>
      <c r="P1466" s="138"/>
      <c r="Q1466" s="138"/>
      <c r="R1466" s="138"/>
      <c r="S1466" s="138"/>
      <c r="T1466" s="130">
        <v>362.77</v>
      </c>
      <c r="U1466" s="187">
        <v>1.5</v>
      </c>
      <c r="V1466" s="187">
        <v>1.5409999999999999</v>
      </c>
      <c r="W1466" s="187">
        <v>4.1651568927042311</v>
      </c>
      <c r="X1466" s="187">
        <v>1.5</v>
      </c>
      <c r="Y1466" s="194">
        <v>7</v>
      </c>
      <c r="Z1466" s="130">
        <v>4.47</v>
      </c>
      <c r="AA1466" s="130">
        <v>4.13</v>
      </c>
      <c r="AB1466" s="130">
        <v>4.45</v>
      </c>
      <c r="AC1466" s="130">
        <v>0.83789999999999998</v>
      </c>
      <c r="AD1466" s="130">
        <v>4.3</v>
      </c>
      <c r="AE1466" s="130">
        <v>3.86</v>
      </c>
      <c r="AF1466" s="130">
        <f t="shared" si="353"/>
        <v>4.13</v>
      </c>
      <c r="AG1466" s="131">
        <v>4.7300000000000004</v>
      </c>
      <c r="AH1466" s="187">
        <v>1.09E-7</v>
      </c>
      <c r="AI1466" s="187">
        <v>3.0899999999999999E-8</v>
      </c>
      <c r="AJ1466" s="136">
        <f t="shared" si="359"/>
        <v>-5.3511398283720286</v>
      </c>
      <c r="AK1466" s="136">
        <f>LOG10(AI1466*1000/(0.08206*298.15))</f>
        <v>-5.8986078468878169</v>
      </c>
      <c r="AL1466" s="136">
        <f t="shared" si="358"/>
        <v>-5.8986078468878169</v>
      </c>
      <c r="AM1466" s="136">
        <v>-12.9079</v>
      </c>
      <c r="AN1466" s="193">
        <v>-6.51</v>
      </c>
      <c r="AO1466" s="481"/>
      <c r="AP1466" s="481"/>
      <c r="AQ1466" s="193" t="s">
        <v>6312</v>
      </c>
      <c r="AR1466" s="193" t="s">
        <v>6312</v>
      </c>
      <c r="AS1466" s="191" t="s">
        <v>6</v>
      </c>
      <c r="AT1466" s="132" t="s">
        <v>266</v>
      </c>
      <c r="AU1466" s="130">
        <v>8</v>
      </c>
      <c r="AV1466" s="130">
        <v>144</v>
      </c>
      <c r="AW1466" s="130">
        <v>120</v>
      </c>
      <c r="AX1466" s="130">
        <v>26</v>
      </c>
      <c r="AY1466" s="130" t="s">
        <v>267</v>
      </c>
      <c r="AZ1466" s="130" t="s">
        <v>2253</v>
      </c>
      <c r="BA1466" s="130">
        <v>2</v>
      </c>
      <c r="BB1466" s="139" t="s">
        <v>2254</v>
      </c>
      <c r="BC1466" s="139" t="s">
        <v>270</v>
      </c>
      <c r="BD1466" s="139" t="s">
        <v>8374</v>
      </c>
      <c r="BE1466" s="130" t="s">
        <v>1712</v>
      </c>
      <c r="BF1466" s="130" t="s">
        <v>272</v>
      </c>
      <c r="BG1466" s="130" t="s">
        <v>272</v>
      </c>
      <c r="BH1466" s="130" t="s">
        <v>2255</v>
      </c>
      <c r="BI1466" s="187">
        <v>3.6276999999999994E-4</v>
      </c>
      <c r="BJ1466" s="187">
        <v>29.021599999999999</v>
      </c>
      <c r="BK1466" s="130"/>
      <c r="BL1466" s="485">
        <v>1.8027037618469872</v>
      </c>
      <c r="BM1466" s="130" t="s">
        <v>891</v>
      </c>
      <c r="BN1466" s="194"/>
      <c r="BO1466" s="194"/>
      <c r="BP1466" s="194"/>
      <c r="BQ1466" s="194"/>
      <c r="BR1466" s="194"/>
      <c r="BS1466" s="130"/>
      <c r="BT1466" s="194"/>
      <c r="BU1466" s="195"/>
      <c r="BV1466" s="194"/>
      <c r="BW1466" s="194"/>
      <c r="BX1466" s="194"/>
      <c r="BY1466" s="194"/>
      <c r="BZ1466" s="194"/>
      <c r="CA1466" s="194"/>
      <c r="CB1466" s="194"/>
      <c r="CC1466" s="130"/>
      <c r="CD1466" s="130"/>
      <c r="CE1466" s="130"/>
      <c r="CF1466" s="130"/>
      <c r="CG1466" s="194"/>
      <c r="CH1466" s="130"/>
      <c r="CI1466" s="187"/>
      <c r="CJ1466" s="187"/>
      <c r="CK1466" s="131">
        <f t="shared" si="354"/>
        <v>6.2115933023919677E-2</v>
      </c>
      <c r="CL1466" s="188"/>
      <c r="CM1466" s="188"/>
      <c r="CN1466" s="188"/>
      <c r="CO1466" s="139" t="s">
        <v>892</v>
      </c>
      <c r="CP1466" s="499" t="s">
        <v>893</v>
      </c>
      <c r="CQ1466" s="191">
        <v>-5.950688169360429E-2</v>
      </c>
      <c r="CR1466" s="191">
        <f t="shared" si="352"/>
        <v>1.1468506939134613</v>
      </c>
      <c r="CS1466" s="135" t="s">
        <v>539</v>
      </c>
      <c r="CT1466" s="135"/>
      <c r="CU1466" s="135"/>
      <c r="CV1466" s="332">
        <f t="shared" si="357"/>
        <v>5.1685641039777269E-2</v>
      </c>
      <c r="CW1466" s="329">
        <f t="shared" si="360"/>
        <v>0</v>
      </c>
      <c r="CX1466" s="329" t="s">
        <v>539</v>
      </c>
      <c r="CY1466" s="189" t="s">
        <v>5921</v>
      </c>
    </row>
    <row r="1467" spans="1:103" ht="11.25" customHeight="1" x14ac:dyDescent="0.2">
      <c r="A1467" s="72">
        <v>637</v>
      </c>
      <c r="B1467" s="191">
        <v>467</v>
      </c>
      <c r="C1467" s="128" t="s">
        <v>4014</v>
      </c>
      <c r="D1467" s="128" t="s">
        <v>6889</v>
      </c>
      <c r="E1467" s="129"/>
      <c r="F1467" s="129" t="s">
        <v>4015</v>
      </c>
      <c r="G1467" s="192">
        <v>10453868</v>
      </c>
      <c r="H1467" s="139" t="s">
        <v>4016</v>
      </c>
      <c r="I1467" s="139" t="s">
        <v>4016</v>
      </c>
      <c r="J1467" s="139" t="s">
        <v>4017</v>
      </c>
      <c r="K1467" s="139" t="s">
        <v>4018</v>
      </c>
      <c r="L1467" s="139" t="s">
        <v>617</v>
      </c>
      <c r="M1467" s="139" t="s">
        <v>1086</v>
      </c>
      <c r="N1467" s="138" t="s">
        <v>6376</v>
      </c>
      <c r="O1467" s="139" t="s">
        <v>918</v>
      </c>
      <c r="P1467" s="138"/>
      <c r="Q1467" s="138"/>
      <c r="R1467" s="138"/>
      <c r="S1467" s="138"/>
      <c r="T1467" s="130">
        <v>338.44</v>
      </c>
      <c r="U1467" s="187">
        <v>0.3</v>
      </c>
      <c r="V1467" s="187">
        <v>4.1500000000000002E-2</v>
      </c>
      <c r="W1467" s="187">
        <v>0.83077168542444046</v>
      </c>
      <c r="X1467" s="187">
        <v>0.3</v>
      </c>
      <c r="Y1467" s="194">
        <v>7</v>
      </c>
      <c r="Z1467" s="130">
        <v>7.11</v>
      </c>
      <c r="AA1467" s="130">
        <v>6.14</v>
      </c>
      <c r="AB1467" s="130">
        <v>6.42</v>
      </c>
      <c r="AC1467" s="130">
        <v>0.85070000000000001</v>
      </c>
      <c r="AD1467" s="130">
        <v>6.47</v>
      </c>
      <c r="AE1467" s="130">
        <v>6.63</v>
      </c>
      <c r="AF1467" s="130">
        <f t="shared" si="353"/>
        <v>6.14</v>
      </c>
      <c r="AG1467" s="131">
        <v>5.17</v>
      </c>
      <c r="AH1467" s="187">
        <v>5.5600000000000001E-6</v>
      </c>
      <c r="AI1467" s="187">
        <v>1.3300000000000001E-7</v>
      </c>
      <c r="AJ1467" s="136">
        <f t="shared" si="359"/>
        <v>-3.6434915347305945</v>
      </c>
      <c r="AK1467" s="136">
        <f>LOG10(AI1467*1000/(0.08206*298.15))</f>
        <v>-5.2647146853455657</v>
      </c>
      <c r="AL1467" s="136">
        <f t="shared" si="358"/>
        <v>-5.2647146853455657</v>
      </c>
      <c r="AM1467" s="136">
        <v>-9.6268199999999986</v>
      </c>
      <c r="AN1467" s="193">
        <v>-4.79</v>
      </c>
      <c r="AO1467" s="481"/>
      <c r="AP1467" s="481"/>
      <c r="AQ1467" s="193" t="s">
        <v>6311</v>
      </c>
      <c r="AR1467" s="193" t="s">
        <v>6312</v>
      </c>
      <c r="AS1467" s="191" t="s">
        <v>6</v>
      </c>
      <c r="AT1467" s="132" t="s">
        <v>266</v>
      </c>
      <c r="AU1467" s="130">
        <v>8</v>
      </c>
      <c r="AV1467" s="130">
        <v>144</v>
      </c>
      <c r="AW1467" s="130">
        <v>120</v>
      </c>
      <c r="AX1467" s="130">
        <v>26</v>
      </c>
      <c r="AY1467" s="130" t="s">
        <v>267</v>
      </c>
      <c r="AZ1467" s="130" t="s">
        <v>2253</v>
      </c>
      <c r="BA1467" s="130">
        <v>2</v>
      </c>
      <c r="BB1467" s="139" t="s">
        <v>2254</v>
      </c>
      <c r="BC1467" s="139" t="s">
        <v>270</v>
      </c>
      <c r="BD1467" s="139" t="s">
        <v>8374</v>
      </c>
      <c r="BE1467" s="130" t="s">
        <v>1712</v>
      </c>
      <c r="BF1467" s="130" t="s">
        <v>272</v>
      </c>
      <c r="BG1467" s="130" t="s">
        <v>272</v>
      </c>
      <c r="BH1467" s="130" t="s">
        <v>2255</v>
      </c>
      <c r="BI1467" s="187">
        <v>3.3843999999999996E-4</v>
      </c>
      <c r="BJ1467" s="187">
        <v>27.075199999999999</v>
      </c>
      <c r="BK1467" s="130"/>
      <c r="BL1467" s="485">
        <v>7.1579833916065915E-3</v>
      </c>
      <c r="BM1467" s="130" t="s">
        <v>891</v>
      </c>
      <c r="BN1467" s="194"/>
      <c r="BO1467" s="194"/>
      <c r="BP1467" s="194"/>
      <c r="BQ1467" s="194"/>
      <c r="BR1467" s="194"/>
      <c r="BS1467" s="130"/>
      <c r="BT1467" s="194"/>
      <c r="BU1467" s="195"/>
      <c r="BV1467" s="194"/>
      <c r="BW1467" s="194"/>
      <c r="BX1467" s="194"/>
      <c r="BY1467" s="194"/>
      <c r="BZ1467" s="194"/>
      <c r="CA1467" s="194"/>
      <c r="CB1467" s="194"/>
      <c r="CC1467" s="130"/>
      <c r="CD1467" s="130"/>
      <c r="CE1467" s="130"/>
      <c r="CF1467" s="130"/>
      <c r="CG1467" s="194"/>
      <c r="CH1467" s="130"/>
      <c r="CI1467" s="187"/>
      <c r="CJ1467" s="187"/>
      <c r="CK1467" s="131">
        <f t="shared" si="354"/>
        <v>2.6437416497778751E-4</v>
      </c>
      <c r="CL1467" s="188"/>
      <c r="CM1467" s="188"/>
      <c r="CN1467" s="188"/>
      <c r="CO1467" s="139" t="s">
        <v>892</v>
      </c>
      <c r="CP1467" s="499" t="s">
        <v>893</v>
      </c>
      <c r="CQ1467" s="191">
        <v>-2.6286079694666098</v>
      </c>
      <c r="CR1467" s="191">
        <f t="shared" si="352"/>
        <v>425.21440574423031</v>
      </c>
      <c r="CS1467" s="135" t="s">
        <v>539</v>
      </c>
      <c r="CT1467" s="135"/>
      <c r="CU1467" s="135"/>
      <c r="CV1467" s="332">
        <f t="shared" si="357"/>
        <v>1.1080250561399363E-2</v>
      </c>
      <c r="CW1467" s="329">
        <f t="shared" si="360"/>
        <v>0</v>
      </c>
      <c r="CX1467" s="329" t="s">
        <v>539</v>
      </c>
      <c r="CY1467" s="189" t="s">
        <v>5921</v>
      </c>
    </row>
    <row r="1468" spans="1:103" ht="11.25" customHeight="1" x14ac:dyDescent="0.2">
      <c r="A1468" s="72">
        <v>641</v>
      </c>
      <c r="B1468" s="191">
        <v>466</v>
      </c>
      <c r="C1468" s="128" t="s">
        <v>3469</v>
      </c>
      <c r="D1468" s="128" t="s">
        <v>6892</v>
      </c>
      <c r="E1468" s="129"/>
      <c r="F1468" s="129" t="s">
        <v>3470</v>
      </c>
      <c r="G1468" s="192">
        <v>124495187</v>
      </c>
      <c r="H1468" s="139" t="s">
        <v>3471</v>
      </c>
      <c r="I1468" s="139" t="s">
        <v>7957</v>
      </c>
      <c r="J1468" s="139" t="s">
        <v>3472</v>
      </c>
      <c r="K1468" s="139" t="s">
        <v>426</v>
      </c>
      <c r="L1468" s="139" t="s">
        <v>6098</v>
      </c>
      <c r="M1468" s="139" t="s">
        <v>2342</v>
      </c>
      <c r="N1468" s="138" t="s">
        <v>2342</v>
      </c>
      <c r="O1468" s="139"/>
      <c r="P1468" s="138"/>
      <c r="Q1468" s="138"/>
      <c r="R1468" s="138"/>
      <c r="S1468" s="138"/>
      <c r="T1468" s="130">
        <v>308.13</v>
      </c>
      <c r="U1468" s="187">
        <v>0.11600000000000002</v>
      </c>
      <c r="V1468" s="187">
        <v>1.153</v>
      </c>
      <c r="W1468" s="187">
        <v>7.0588504984733347E-2</v>
      </c>
      <c r="X1468" s="187">
        <v>0.11600000000000002</v>
      </c>
      <c r="Y1468" s="194">
        <v>7</v>
      </c>
      <c r="Z1468" s="130">
        <v>5.69</v>
      </c>
      <c r="AA1468" s="130">
        <v>4.66</v>
      </c>
      <c r="AB1468" s="130">
        <v>5.38</v>
      </c>
      <c r="AC1468" s="130">
        <v>0.81930000000000003</v>
      </c>
      <c r="AD1468" s="130">
        <v>5.62</v>
      </c>
      <c r="AE1468" s="130">
        <v>6.29</v>
      </c>
      <c r="AF1468" s="130">
        <f t="shared" si="353"/>
        <v>4.66</v>
      </c>
      <c r="AG1468" s="131">
        <v>5.01</v>
      </c>
      <c r="AH1468" s="187">
        <v>9.6500000000000004E-9</v>
      </c>
      <c r="AI1468" s="187"/>
      <c r="AJ1468" s="136">
        <f t="shared" si="359"/>
        <v>-6.4040390129688589</v>
      </c>
      <c r="AK1468" s="136"/>
      <c r="AL1468" s="136">
        <f t="shared" si="358"/>
        <v>-6.4040390129688589</v>
      </c>
      <c r="AM1468" s="136">
        <v>-10.664239999999999</v>
      </c>
      <c r="AN1468" s="193">
        <v>-5.88</v>
      </c>
      <c r="AO1468" s="481"/>
      <c r="AP1468" s="481">
        <v>2.87</v>
      </c>
      <c r="AQ1468" s="193" t="s">
        <v>6311</v>
      </c>
      <c r="AR1468" s="193" t="s">
        <v>6311</v>
      </c>
      <c r="AS1468" s="191" t="s">
        <v>6</v>
      </c>
      <c r="AT1468" s="132" t="s">
        <v>266</v>
      </c>
      <c r="AU1468" s="130">
        <v>8</v>
      </c>
      <c r="AV1468" s="130">
        <v>144</v>
      </c>
      <c r="AW1468" s="130">
        <v>120</v>
      </c>
      <c r="AX1468" s="130">
        <v>26</v>
      </c>
      <c r="AY1468" s="130" t="s">
        <v>267</v>
      </c>
      <c r="AZ1468" s="130" t="s">
        <v>2253</v>
      </c>
      <c r="BA1468" s="130">
        <v>2</v>
      </c>
      <c r="BB1468" s="139" t="s">
        <v>2254</v>
      </c>
      <c r="BC1468" s="139" t="s">
        <v>270</v>
      </c>
      <c r="BD1468" s="139" t="s">
        <v>8374</v>
      </c>
      <c r="BE1468" s="130" t="s">
        <v>1712</v>
      </c>
      <c r="BF1468" s="130" t="s">
        <v>272</v>
      </c>
      <c r="BG1468" s="130" t="s">
        <v>272</v>
      </c>
      <c r="BH1468" s="130" t="s">
        <v>2255</v>
      </c>
      <c r="BI1468" s="187">
        <v>3.0812999999999999E-4</v>
      </c>
      <c r="BJ1468" s="187">
        <v>24.650400000000001</v>
      </c>
      <c r="BK1468" s="130"/>
      <c r="BL1468" s="485">
        <v>0.12284146408554437</v>
      </c>
      <c r="BM1468" s="130" t="s">
        <v>891</v>
      </c>
      <c r="BN1468" s="194"/>
      <c r="BO1468" s="194"/>
      <c r="BP1468" s="194"/>
      <c r="BQ1468" s="194"/>
      <c r="BR1468" s="194"/>
      <c r="BS1468" s="130"/>
      <c r="BT1468" s="194"/>
      <c r="BU1468" s="195"/>
      <c r="BV1468" s="194"/>
      <c r="BW1468" s="194"/>
      <c r="BX1468" s="194"/>
      <c r="BY1468" s="194"/>
      <c r="BZ1468" s="194"/>
      <c r="CA1468" s="194"/>
      <c r="CB1468" s="194"/>
      <c r="CC1468" s="130"/>
      <c r="CD1468" s="130"/>
      <c r="CE1468" s="130"/>
      <c r="CF1468" s="130"/>
      <c r="CG1468" s="194"/>
      <c r="CH1468" s="130"/>
      <c r="CI1468" s="187"/>
      <c r="CJ1468" s="187"/>
      <c r="CK1468" s="131">
        <f t="shared" si="354"/>
        <v>4.9833456692607164E-3</v>
      </c>
      <c r="CL1468" s="188"/>
      <c r="CM1468" s="188"/>
      <c r="CN1468" s="188"/>
      <c r="CO1468" s="139" t="s">
        <v>892</v>
      </c>
      <c r="CP1468" s="499" t="s">
        <v>893</v>
      </c>
      <c r="CQ1468" s="191">
        <v>-0.56863623584101264</v>
      </c>
      <c r="CR1468" s="191">
        <f t="shared" si="352"/>
        <v>3.7037037037037033</v>
      </c>
      <c r="CS1468" s="135" t="s">
        <v>539</v>
      </c>
      <c r="CT1468" s="135"/>
      <c r="CU1468" s="135"/>
      <c r="CV1468" s="332">
        <f t="shared" si="357"/>
        <v>4.7058059909778349E-3</v>
      </c>
      <c r="CW1468" s="329">
        <f t="shared" si="360"/>
        <v>0</v>
      </c>
      <c r="CX1468" s="329" t="s">
        <v>539</v>
      </c>
      <c r="CY1468" s="189" t="s">
        <v>5921</v>
      </c>
    </row>
    <row r="1469" spans="1:103" ht="11.25" customHeight="1" x14ac:dyDescent="0.2">
      <c r="A1469" s="72">
        <v>644</v>
      </c>
      <c r="B1469" s="191">
        <v>324</v>
      </c>
      <c r="C1469" s="128" t="s">
        <v>2461</v>
      </c>
      <c r="D1469" s="128" t="s">
        <v>6563</v>
      </c>
      <c r="E1469" s="129"/>
      <c r="F1469" s="129" t="s">
        <v>3131</v>
      </c>
      <c r="G1469" s="192">
        <v>66230044</v>
      </c>
      <c r="H1469" s="139" t="s">
        <v>2462</v>
      </c>
      <c r="I1469" s="139" t="s">
        <v>7958</v>
      </c>
      <c r="J1469" s="139" t="s">
        <v>2463</v>
      </c>
      <c r="K1469" s="139" t="s">
        <v>1711</v>
      </c>
      <c r="L1469" s="139" t="s">
        <v>617</v>
      </c>
      <c r="M1469" s="139" t="s">
        <v>3846</v>
      </c>
      <c r="N1469" s="138" t="s">
        <v>6376</v>
      </c>
      <c r="O1469" s="139" t="s">
        <v>918</v>
      </c>
      <c r="P1469" s="138"/>
      <c r="Q1469" s="138"/>
      <c r="R1469" s="138"/>
      <c r="S1469" s="138"/>
      <c r="T1469" s="130">
        <v>419.9</v>
      </c>
      <c r="U1469" s="187">
        <v>2E-3</v>
      </c>
      <c r="V1469" s="187">
        <v>6.1000000000000004E-3</v>
      </c>
      <c r="W1469" s="187">
        <v>2.589082412816358E-2</v>
      </c>
      <c r="X1469" s="187">
        <v>2E-3</v>
      </c>
      <c r="Y1469" s="194">
        <v>7</v>
      </c>
      <c r="Z1469" s="130">
        <v>6.76</v>
      </c>
      <c r="AA1469" s="130">
        <v>6.22</v>
      </c>
      <c r="AB1469" s="130">
        <v>5.98</v>
      </c>
      <c r="AC1469" s="130">
        <v>0.58919999999999995</v>
      </c>
      <c r="AD1469" s="130">
        <v>6.28</v>
      </c>
      <c r="AE1469" s="130">
        <v>6.67</v>
      </c>
      <c r="AF1469" s="130">
        <f t="shared" ref="AF1469:AF1481" si="361">IF(AA1469=0,AD1469,AA1469)</f>
        <v>6.22</v>
      </c>
      <c r="AG1469" s="131">
        <v>6.03</v>
      </c>
      <c r="AH1469" s="187">
        <v>1.1899999999999999E-7</v>
      </c>
      <c r="AI1469" s="187">
        <v>3.4499999999999998E-8</v>
      </c>
      <c r="AJ1469" s="136">
        <f t="shared" si="359"/>
        <v>-5.3130193649201214</v>
      </c>
      <c r="AK1469" s="136">
        <f>LOG10(AI1469*1000/(0.08206*298.15))</f>
        <v>-5.850747231239378</v>
      </c>
      <c r="AL1469" s="136">
        <f t="shared" si="358"/>
        <v>-5.850747231239378</v>
      </c>
      <c r="AM1469" s="136">
        <v>-16.262410000000003</v>
      </c>
      <c r="AN1469" s="193">
        <v>-6.07</v>
      </c>
      <c r="AO1469" s="481"/>
      <c r="AP1469" s="481"/>
      <c r="AQ1469" s="193" t="s">
        <v>6311</v>
      </c>
      <c r="AR1469" s="193" t="s">
        <v>6312</v>
      </c>
      <c r="AS1469" s="191" t="s">
        <v>6</v>
      </c>
      <c r="AT1469" s="132" t="s">
        <v>266</v>
      </c>
      <c r="AU1469" s="130">
        <v>8</v>
      </c>
      <c r="AV1469" s="130">
        <v>144</v>
      </c>
      <c r="AW1469" s="130">
        <v>120</v>
      </c>
      <c r="AX1469" s="130">
        <v>26</v>
      </c>
      <c r="AY1469" s="130" t="s">
        <v>267</v>
      </c>
      <c r="AZ1469" s="130" t="s">
        <v>2253</v>
      </c>
      <c r="BA1469" s="130">
        <v>2</v>
      </c>
      <c r="BB1469" s="139" t="s">
        <v>2254</v>
      </c>
      <c r="BC1469" s="139" t="s">
        <v>270</v>
      </c>
      <c r="BD1469" s="139" t="s">
        <v>8374</v>
      </c>
      <c r="BE1469" s="130" t="s">
        <v>1712</v>
      </c>
      <c r="BF1469" s="130" t="s">
        <v>272</v>
      </c>
      <c r="BG1469" s="130" t="s">
        <v>272</v>
      </c>
      <c r="BH1469" s="130" t="s">
        <v>2255</v>
      </c>
      <c r="BI1469" s="187">
        <v>4.1989999999999996E-4</v>
      </c>
      <c r="BJ1469" s="187">
        <v>33.591999999999999</v>
      </c>
      <c r="BK1469" s="130"/>
      <c r="BL1469" s="485">
        <v>1.8314281053188532E-2</v>
      </c>
      <c r="BM1469" s="130" t="s">
        <v>891</v>
      </c>
      <c r="BN1469" s="194"/>
      <c r="BO1469" s="194"/>
      <c r="BP1469" s="194"/>
      <c r="BQ1469" s="194"/>
      <c r="BR1469" s="194"/>
      <c r="BS1469" s="130"/>
      <c r="BT1469" s="194"/>
      <c r="BU1469" s="195"/>
      <c r="BV1469" s="194"/>
      <c r="BW1469" s="194"/>
      <c r="BX1469" s="194"/>
      <c r="BY1469" s="194"/>
      <c r="BZ1469" s="194"/>
      <c r="CA1469" s="194"/>
      <c r="CB1469" s="194"/>
      <c r="CC1469" s="130"/>
      <c r="CD1469" s="130"/>
      <c r="CE1469" s="130"/>
      <c r="CF1469" s="130"/>
      <c r="CG1469" s="194"/>
      <c r="CH1469" s="130"/>
      <c r="CI1469" s="187"/>
      <c r="CJ1469" s="187"/>
      <c r="CK1469" s="131">
        <f t="shared" si="354"/>
        <v>5.4519769746334042E-4</v>
      </c>
      <c r="CL1469" s="188"/>
      <c r="CM1469" s="188"/>
      <c r="CN1469" s="188"/>
      <c r="CO1469" s="139" t="s">
        <v>892</v>
      </c>
      <c r="CP1469" s="499" t="s">
        <v>893</v>
      </c>
      <c r="CQ1469" s="191">
        <v>-3.5854962806114608</v>
      </c>
      <c r="CR1469" s="191">
        <f t="shared" si="352"/>
        <v>3850.3151717426226</v>
      </c>
      <c r="CS1469" s="135" t="s">
        <v>539</v>
      </c>
      <c r="CT1469" s="135"/>
      <c r="CU1469" s="135"/>
      <c r="CV1469" s="332">
        <f t="shared" si="357"/>
        <v>5.9537985234579666E-5</v>
      </c>
      <c r="CW1469" s="329">
        <f t="shared" si="360"/>
        <v>0</v>
      </c>
      <c r="CX1469" s="329" t="s">
        <v>539</v>
      </c>
      <c r="CY1469" s="189" t="s">
        <v>5921</v>
      </c>
    </row>
    <row r="1470" spans="1:103" ht="11.25" customHeight="1" x14ac:dyDescent="0.2">
      <c r="A1470" s="72">
        <v>656</v>
      </c>
      <c r="B1470" s="183">
        <v>610</v>
      </c>
      <c r="C1470" s="133" t="s">
        <v>4031</v>
      </c>
      <c r="D1470" s="133" t="s">
        <v>6898</v>
      </c>
      <c r="E1470" s="134"/>
      <c r="F1470" s="134" t="s">
        <v>4032</v>
      </c>
      <c r="G1470" s="184">
        <v>79538322</v>
      </c>
      <c r="H1470" s="138" t="s">
        <v>4033</v>
      </c>
      <c r="I1470" s="138" t="s">
        <v>7961</v>
      </c>
      <c r="J1470" s="138" t="s">
        <v>4034</v>
      </c>
      <c r="K1470" s="138" t="s">
        <v>1363</v>
      </c>
      <c r="L1470" s="138" t="s">
        <v>617</v>
      </c>
      <c r="M1470" s="138" t="s">
        <v>1086</v>
      </c>
      <c r="N1470" s="138" t="s">
        <v>6376</v>
      </c>
      <c r="O1470" s="138" t="s">
        <v>918</v>
      </c>
      <c r="P1470" s="138" t="s">
        <v>6184</v>
      </c>
      <c r="Q1470" s="138" t="s">
        <v>6179</v>
      </c>
      <c r="R1470" s="138" t="s">
        <v>6185</v>
      </c>
      <c r="S1470" s="138" t="s">
        <v>6176</v>
      </c>
      <c r="T1470" s="135">
        <v>418.73</v>
      </c>
      <c r="U1470" s="185">
        <v>0.02</v>
      </c>
      <c r="V1470" s="185">
        <v>6.5839999999999996E-3</v>
      </c>
      <c r="W1470" s="185">
        <v>4.1873E-2</v>
      </c>
      <c r="X1470" s="185">
        <v>0.02</v>
      </c>
      <c r="Y1470" s="204">
        <v>7</v>
      </c>
      <c r="Z1470" s="135">
        <v>7.19</v>
      </c>
      <c r="AA1470" s="135">
        <v>6.5</v>
      </c>
      <c r="AB1470" s="135">
        <v>5.92</v>
      </c>
      <c r="AC1470" s="135">
        <v>0.75429999999999997</v>
      </c>
      <c r="AD1470" s="135">
        <v>5.88</v>
      </c>
      <c r="AE1470" s="135">
        <v>5.78</v>
      </c>
      <c r="AF1470" s="135">
        <f t="shared" si="361"/>
        <v>6.5</v>
      </c>
      <c r="AG1470" s="136">
        <v>5.66</v>
      </c>
      <c r="AH1470" s="185">
        <v>4.6299999999999998E-4</v>
      </c>
      <c r="AI1470" s="185">
        <v>1.65E-3</v>
      </c>
      <c r="AJ1470" s="136">
        <f t="shared" si="359"/>
        <v>-1.7229853352946987</v>
      </c>
      <c r="AK1470" s="136">
        <f>LOG10(AI1470*1000/(0.08206*298.15))</f>
        <v>-1.1710823820987455</v>
      </c>
      <c r="AL1470" s="136">
        <f t="shared" si="358"/>
        <v>-1.1710823820987455</v>
      </c>
      <c r="AM1470" s="136">
        <v>-5.0427700000000009</v>
      </c>
      <c r="AN1470" s="186">
        <v>-2.78</v>
      </c>
      <c r="AO1470" s="481"/>
      <c r="AP1470" s="481"/>
      <c r="AQ1470" s="186" t="s">
        <v>6311</v>
      </c>
      <c r="AR1470" s="186" t="s">
        <v>6312</v>
      </c>
      <c r="AS1470" s="183" t="s">
        <v>6</v>
      </c>
      <c r="AT1470" s="137" t="s">
        <v>266</v>
      </c>
      <c r="AU1470" s="135">
        <v>8</v>
      </c>
      <c r="AV1470" s="135">
        <v>144</v>
      </c>
      <c r="AW1470" s="135">
        <v>120</v>
      </c>
      <c r="AX1470" s="135">
        <v>26</v>
      </c>
      <c r="AY1470" s="135" t="s">
        <v>267</v>
      </c>
      <c r="AZ1470" s="135" t="s">
        <v>2253</v>
      </c>
      <c r="BA1470" s="135">
        <v>2</v>
      </c>
      <c r="BB1470" s="138" t="s">
        <v>2254</v>
      </c>
      <c r="BC1470" s="138" t="s">
        <v>270</v>
      </c>
      <c r="BD1470" s="138" t="s">
        <v>8374</v>
      </c>
      <c r="BE1470" s="135" t="s">
        <v>1712</v>
      </c>
      <c r="BF1470" s="135" t="s">
        <v>272</v>
      </c>
      <c r="BG1470" s="135" t="s">
        <v>272</v>
      </c>
      <c r="BH1470" s="135" t="s">
        <v>2255</v>
      </c>
      <c r="BI1470" s="185">
        <v>4.1873000000000002E-4</v>
      </c>
      <c r="BJ1470" s="185">
        <v>33.498400000000004</v>
      </c>
      <c r="BK1470" s="135"/>
      <c r="BL1470" s="485">
        <v>7.5057669750365225E-3</v>
      </c>
      <c r="BM1470" s="135" t="s">
        <v>891</v>
      </c>
      <c r="BN1470" s="204"/>
      <c r="BO1470" s="204"/>
      <c r="BP1470" s="204"/>
      <c r="BQ1470" s="204"/>
      <c r="BR1470" s="204"/>
      <c r="BS1470" s="135"/>
      <c r="BT1470" s="204"/>
      <c r="BU1470" s="135"/>
      <c r="BV1470" s="204"/>
      <c r="BW1470" s="204"/>
      <c r="BX1470" s="204"/>
      <c r="BY1470" s="204"/>
      <c r="BZ1470" s="204"/>
      <c r="CA1470" s="204"/>
      <c r="CB1470" s="204"/>
      <c r="CC1470" s="135"/>
      <c r="CD1470" s="135"/>
      <c r="CE1470" s="135"/>
      <c r="CF1470" s="135"/>
      <c r="CG1470" s="204"/>
      <c r="CH1470" s="135"/>
      <c r="CI1470" s="185"/>
      <c r="CJ1470" s="187"/>
      <c r="CK1470" s="136">
        <f t="shared" si="354"/>
        <v>2.2406344706124836E-4</v>
      </c>
      <c r="CL1470" s="188"/>
      <c r="CM1470" s="188"/>
      <c r="CN1470" s="188"/>
      <c r="CO1470" s="138" t="s">
        <v>892</v>
      </c>
      <c r="CP1470" s="189" t="s">
        <v>893</v>
      </c>
      <c r="CQ1470" s="183">
        <v>-3.0688491211508206</v>
      </c>
      <c r="CR1470" s="191">
        <f t="shared" si="352"/>
        <v>1171.788202258721</v>
      </c>
      <c r="CS1470" s="135" t="s">
        <v>539</v>
      </c>
      <c r="CT1470" s="135"/>
      <c r="CU1470" s="135"/>
      <c r="CV1470" s="332">
        <f t="shared" si="357"/>
        <v>5.9704344088075845E-4</v>
      </c>
      <c r="CW1470" s="329">
        <f t="shared" si="360"/>
        <v>0</v>
      </c>
      <c r="CX1470" s="329" t="s">
        <v>539</v>
      </c>
      <c r="CY1470" s="189" t="s">
        <v>5921</v>
      </c>
    </row>
    <row r="1471" spans="1:103" ht="11.25" customHeight="1" x14ac:dyDescent="0.2">
      <c r="A1471" s="72">
        <v>659</v>
      </c>
      <c r="B1471" s="191">
        <v>477</v>
      </c>
      <c r="C1471" s="128" t="s">
        <v>6900</v>
      </c>
      <c r="D1471" s="128"/>
      <c r="E1471" s="129"/>
      <c r="F1471" s="129" t="s">
        <v>4025</v>
      </c>
      <c r="G1471" s="192">
        <v>112410238</v>
      </c>
      <c r="H1471" s="139" t="s">
        <v>4026</v>
      </c>
      <c r="I1471" s="139" t="s">
        <v>4026</v>
      </c>
      <c r="J1471" s="139" t="s">
        <v>4027</v>
      </c>
      <c r="K1471" s="139" t="s">
        <v>483</v>
      </c>
      <c r="L1471" s="139" t="s">
        <v>617</v>
      </c>
      <c r="M1471" s="139" t="s">
        <v>3940</v>
      </c>
      <c r="N1471" s="138"/>
      <c r="O1471" s="139" t="s">
        <v>918</v>
      </c>
      <c r="P1471" s="138"/>
      <c r="Q1471" s="138"/>
      <c r="R1471" s="138"/>
      <c r="S1471" s="138"/>
      <c r="T1471" s="130">
        <v>352.47</v>
      </c>
      <c r="U1471" s="187">
        <v>0.83000000000000007</v>
      </c>
      <c r="V1471" s="187">
        <v>1.405</v>
      </c>
      <c r="W1471" s="187">
        <v>1.4032083440499095</v>
      </c>
      <c r="X1471" s="187">
        <v>0.83000000000000007</v>
      </c>
      <c r="Y1471" s="194">
        <v>7</v>
      </c>
      <c r="Z1471" s="130">
        <v>4.62</v>
      </c>
      <c r="AA1471" s="130">
        <v>4.25</v>
      </c>
      <c r="AB1471" s="130">
        <v>3.76</v>
      </c>
      <c r="AC1471" s="130">
        <v>0.89090000000000003</v>
      </c>
      <c r="AD1471" s="130">
        <v>3.88</v>
      </c>
      <c r="AE1471" s="130">
        <v>4.24</v>
      </c>
      <c r="AF1471" s="130">
        <f t="shared" si="361"/>
        <v>4.25</v>
      </c>
      <c r="AG1471" s="131">
        <v>4.99</v>
      </c>
      <c r="AH1471" s="187">
        <v>8.6199999999999997E-11</v>
      </c>
      <c r="AI1471" s="187">
        <v>1.26E-8</v>
      </c>
      <c r="AJ1471" s="136">
        <f t="shared" si="359"/>
        <v>-8.4530590604879396</v>
      </c>
      <c r="AK1471" s="136">
        <f>LOG10(AI1471*1000/(0.08206*298.15))</f>
        <v>-6.288195781195089</v>
      </c>
      <c r="AL1471" s="136">
        <f t="shared" si="358"/>
        <v>-6.288195781195089</v>
      </c>
      <c r="AM1471" s="136">
        <v>-18.325980000000001</v>
      </c>
      <c r="AN1471" s="193">
        <v>-9.6199999999999992</v>
      </c>
      <c r="AO1471" s="481">
        <v>10.89</v>
      </c>
      <c r="AP1471" s="481">
        <v>-2.2000000000000002</v>
      </c>
      <c r="AQ1471" s="193" t="s">
        <v>6311</v>
      </c>
      <c r="AR1471" s="193" t="s">
        <v>6311</v>
      </c>
      <c r="AS1471" s="191" t="s">
        <v>6</v>
      </c>
      <c r="AT1471" s="132" t="s">
        <v>266</v>
      </c>
      <c r="AU1471" s="130">
        <v>8</v>
      </c>
      <c r="AV1471" s="130">
        <v>144</v>
      </c>
      <c r="AW1471" s="130">
        <v>120</v>
      </c>
      <c r="AX1471" s="130">
        <v>26</v>
      </c>
      <c r="AY1471" s="130" t="s">
        <v>267</v>
      </c>
      <c r="AZ1471" s="130" t="s">
        <v>2253</v>
      </c>
      <c r="BA1471" s="130">
        <v>2</v>
      </c>
      <c r="BB1471" s="139" t="s">
        <v>2254</v>
      </c>
      <c r="BC1471" s="139" t="s">
        <v>270</v>
      </c>
      <c r="BD1471" s="139" t="s">
        <v>8374</v>
      </c>
      <c r="BE1471" s="130" t="s">
        <v>1712</v>
      </c>
      <c r="BF1471" s="130" t="s">
        <v>272</v>
      </c>
      <c r="BG1471" s="130" t="s">
        <v>272</v>
      </c>
      <c r="BH1471" s="130" t="s">
        <v>2255</v>
      </c>
      <c r="BI1471" s="187">
        <v>3.5247000000000002E-4</v>
      </c>
      <c r="BJ1471" s="187">
        <v>28.197600000000001</v>
      </c>
      <c r="BK1471" s="130"/>
      <c r="BL1471" s="485">
        <v>1.2843995907717831</v>
      </c>
      <c r="BM1471" s="130" t="s">
        <v>891</v>
      </c>
      <c r="BN1471" s="194"/>
      <c r="BO1471" s="194"/>
      <c r="BP1471" s="194"/>
      <c r="BQ1471" s="194"/>
      <c r="BR1471" s="194"/>
      <c r="BS1471" s="130"/>
      <c r="BT1471" s="194"/>
      <c r="BU1471" s="195"/>
      <c r="BV1471" s="194"/>
      <c r="BW1471" s="194"/>
      <c r="BX1471" s="194"/>
      <c r="BY1471" s="194"/>
      <c r="BZ1471" s="194"/>
      <c r="CA1471" s="194"/>
      <c r="CB1471" s="194"/>
      <c r="CC1471" s="130"/>
      <c r="CD1471" s="130"/>
      <c r="CE1471" s="130"/>
      <c r="CF1471" s="130"/>
      <c r="CG1471" s="194"/>
      <c r="CH1471" s="130"/>
      <c r="CI1471" s="187"/>
      <c r="CJ1471" s="187"/>
      <c r="CK1471" s="131">
        <f t="shared" si="354"/>
        <v>4.5549961371598398E-2</v>
      </c>
      <c r="CL1471" s="188"/>
      <c r="CM1471" s="188"/>
      <c r="CN1471" s="188"/>
      <c r="CO1471" s="139" t="s">
        <v>892</v>
      </c>
      <c r="CP1471" s="499" t="s">
        <v>893</v>
      </c>
      <c r="CQ1471" s="191" t="s">
        <v>272</v>
      </c>
      <c r="CR1471" s="191"/>
      <c r="CS1471" s="135" t="s">
        <v>539</v>
      </c>
      <c r="CT1471" s="135"/>
      <c r="CU1471" s="135"/>
      <c r="CV1471" s="332">
        <f t="shared" si="357"/>
        <v>2.9435129230856529E-2</v>
      </c>
      <c r="CW1471" s="329">
        <f t="shared" si="360"/>
        <v>0</v>
      </c>
      <c r="CX1471" s="329" t="s">
        <v>539</v>
      </c>
      <c r="CY1471" s="189" t="s">
        <v>5921</v>
      </c>
    </row>
    <row r="1472" spans="1:103" ht="11.25" customHeight="1" x14ac:dyDescent="0.2">
      <c r="A1472" s="72">
        <v>664</v>
      </c>
      <c r="B1472" s="183">
        <v>338</v>
      </c>
      <c r="C1472" s="133" t="s">
        <v>3174</v>
      </c>
      <c r="D1472" s="133" t="s">
        <v>6903</v>
      </c>
      <c r="E1472" s="134"/>
      <c r="F1472" s="134" t="s">
        <v>3175</v>
      </c>
      <c r="G1472" s="184">
        <v>62924703</v>
      </c>
      <c r="H1472" s="138" t="s">
        <v>3176</v>
      </c>
      <c r="I1472" s="138" t="s">
        <v>7962</v>
      </c>
      <c r="J1472" s="138" t="s">
        <v>3177</v>
      </c>
      <c r="K1472" s="138" t="s">
        <v>1011</v>
      </c>
      <c r="L1472" s="138" t="s">
        <v>6040</v>
      </c>
      <c r="M1472" s="138" t="s">
        <v>6082</v>
      </c>
      <c r="N1472" s="138" t="s">
        <v>6082</v>
      </c>
      <c r="O1472" s="138" t="s">
        <v>6083</v>
      </c>
      <c r="P1472" s="138"/>
      <c r="Q1472" s="138"/>
      <c r="R1472" s="138"/>
      <c r="S1472" s="138"/>
      <c r="T1472" s="135">
        <v>421.73</v>
      </c>
      <c r="U1472" s="185">
        <v>7.0000000000000007E-2</v>
      </c>
      <c r="V1472" s="185">
        <v>4.972E-2</v>
      </c>
      <c r="W1472" s="185">
        <v>2.3715620707252548E-2</v>
      </c>
      <c r="X1472" s="185">
        <v>7.0000000000000007E-2</v>
      </c>
      <c r="Y1472" s="204">
        <v>7</v>
      </c>
      <c r="Z1472" s="135">
        <v>6.09</v>
      </c>
      <c r="AA1472" s="135">
        <v>5.45</v>
      </c>
      <c r="AB1472" s="135">
        <v>5.26</v>
      </c>
      <c r="AC1472" s="135">
        <v>0.81359999999999999</v>
      </c>
      <c r="AD1472" s="135">
        <v>5.42</v>
      </c>
      <c r="AE1472" s="135">
        <v>5.91</v>
      </c>
      <c r="AF1472" s="135">
        <f t="shared" si="361"/>
        <v>5.45</v>
      </c>
      <c r="AG1472" s="136">
        <v>4.76</v>
      </c>
      <c r="AH1472" s="185">
        <v>6.3199999999999996E-6</v>
      </c>
      <c r="AI1472" s="185">
        <v>1.9E-6</v>
      </c>
      <c r="AJ1472" s="136">
        <f t="shared" si="359"/>
        <v>-3.5878492480302668</v>
      </c>
      <c r="AK1472" s="136">
        <f>LOG10(AI1472*1000/(0.08206*298.15))</f>
        <v>-4.1098127253598227</v>
      </c>
      <c r="AL1472" s="136">
        <f t="shared" si="358"/>
        <v>-4.1098127253598227</v>
      </c>
      <c r="AM1472" s="136">
        <v>-11.695880000000001</v>
      </c>
      <c r="AN1472" s="186">
        <v>-2.85</v>
      </c>
      <c r="AO1472" s="481"/>
      <c r="AP1472" s="481">
        <v>-2.63</v>
      </c>
      <c r="AQ1472" s="186" t="s">
        <v>6311</v>
      </c>
      <c r="AR1472" s="186" t="s">
        <v>6311</v>
      </c>
      <c r="AS1472" s="183" t="s">
        <v>6</v>
      </c>
      <c r="AT1472" s="137" t="s">
        <v>266</v>
      </c>
      <c r="AU1472" s="135">
        <v>8</v>
      </c>
      <c r="AV1472" s="135">
        <v>144</v>
      </c>
      <c r="AW1472" s="135">
        <v>120</v>
      </c>
      <c r="AX1472" s="135">
        <v>26</v>
      </c>
      <c r="AY1472" s="135" t="s">
        <v>267</v>
      </c>
      <c r="AZ1472" s="135" t="s">
        <v>2253</v>
      </c>
      <c r="BA1472" s="135">
        <v>3</v>
      </c>
      <c r="BB1472" s="138" t="s">
        <v>2254</v>
      </c>
      <c r="BC1472" s="138" t="s">
        <v>270</v>
      </c>
      <c r="BD1472" s="138" t="s">
        <v>8374</v>
      </c>
      <c r="BE1472" s="135" t="s">
        <v>1712</v>
      </c>
      <c r="BF1472" s="135" t="s">
        <v>272</v>
      </c>
      <c r="BG1472" s="135" t="s">
        <v>272</v>
      </c>
      <c r="BH1472" s="135" t="s">
        <v>2255</v>
      </c>
      <c r="BI1472" s="185">
        <v>4.2172999999999999E-4</v>
      </c>
      <c r="BJ1472" s="185">
        <v>33.738399999999999</v>
      </c>
      <c r="BK1472" s="135"/>
      <c r="BL1472" s="485">
        <v>7.3519999579687814E-2</v>
      </c>
      <c r="BM1472" s="135" t="s">
        <v>891</v>
      </c>
      <c r="BN1472" s="204"/>
      <c r="BO1472" s="204"/>
      <c r="BP1472" s="204"/>
      <c r="BQ1472" s="204"/>
      <c r="BR1472" s="204"/>
      <c r="BS1472" s="205"/>
      <c r="BT1472" s="204"/>
      <c r="BU1472" s="205"/>
      <c r="BV1472" s="204"/>
      <c r="BW1472" s="204"/>
      <c r="BX1472" s="204"/>
      <c r="BY1472" s="204"/>
      <c r="BZ1472" s="204"/>
      <c r="CA1472" s="204"/>
      <c r="CB1472" s="204"/>
      <c r="CC1472" s="205"/>
      <c r="CD1472" s="135"/>
      <c r="CE1472" s="135"/>
      <c r="CF1472" s="135"/>
      <c r="CG1472" s="204"/>
      <c r="CH1472" s="135"/>
      <c r="CI1472" s="185"/>
      <c r="CJ1472" s="187"/>
      <c r="CK1472" s="136">
        <f t="shared" si="354"/>
        <v>2.1791193293009691E-3</v>
      </c>
      <c r="CL1472" s="188"/>
      <c r="CM1472" s="188"/>
      <c r="CN1472" s="188"/>
      <c r="CO1472" s="138" t="s">
        <v>892</v>
      </c>
      <c r="CP1472" s="189" t="s">
        <v>893</v>
      </c>
      <c r="CQ1472" s="183">
        <v>-1.6684026304303026</v>
      </c>
      <c r="CR1472" s="191">
        <f>10^(CJ1472-CQ1472)</f>
        <v>46.601793426621555</v>
      </c>
      <c r="CS1472" s="135" t="s">
        <v>539</v>
      </c>
      <c r="CT1472" s="135"/>
      <c r="CU1472" s="135"/>
      <c r="CV1472" s="332">
        <f t="shared" si="357"/>
        <v>2.074787186114339E-3</v>
      </c>
      <c r="CW1472" s="329">
        <f t="shared" si="360"/>
        <v>0</v>
      </c>
      <c r="CX1472" s="329" t="s">
        <v>539</v>
      </c>
      <c r="CY1472" s="189" t="s">
        <v>5921</v>
      </c>
    </row>
    <row r="1473" spans="1:103" ht="11.25" customHeight="1" x14ac:dyDescent="0.2">
      <c r="A1473" s="72">
        <v>670</v>
      </c>
      <c r="B1473" s="191">
        <v>337</v>
      </c>
      <c r="C1473" s="128" t="s">
        <v>3865</v>
      </c>
      <c r="D1473" s="128" t="s">
        <v>6906</v>
      </c>
      <c r="E1473" s="129"/>
      <c r="F1473" s="129" t="s">
        <v>3866</v>
      </c>
      <c r="G1473" s="192">
        <v>39515418</v>
      </c>
      <c r="H1473" s="139" t="s">
        <v>3867</v>
      </c>
      <c r="I1473" s="139" t="s">
        <v>7964</v>
      </c>
      <c r="J1473" s="139" t="s">
        <v>3868</v>
      </c>
      <c r="K1473" s="139" t="s">
        <v>1711</v>
      </c>
      <c r="L1473" s="139" t="s">
        <v>617</v>
      </c>
      <c r="M1473" s="139" t="s">
        <v>1086</v>
      </c>
      <c r="N1473" s="138" t="s">
        <v>6376</v>
      </c>
      <c r="O1473" s="139" t="s">
        <v>918</v>
      </c>
      <c r="P1473" s="138"/>
      <c r="Q1473" s="138"/>
      <c r="R1473" s="138"/>
      <c r="S1473" s="138"/>
      <c r="T1473" s="130">
        <v>349.42</v>
      </c>
      <c r="U1473" s="187">
        <v>1.41E-2</v>
      </c>
      <c r="V1473" s="187">
        <v>2.5499999999999998E-2</v>
      </c>
      <c r="W1473" s="187">
        <v>0.74704671331386929</v>
      </c>
      <c r="X1473" s="187">
        <v>1.41E-2</v>
      </c>
      <c r="Y1473" s="194">
        <v>7</v>
      </c>
      <c r="Z1473" s="130">
        <v>5.62</v>
      </c>
      <c r="AA1473" s="130">
        <v>6</v>
      </c>
      <c r="AB1473" s="130">
        <v>5.92</v>
      </c>
      <c r="AC1473" s="130">
        <v>0.86950000000000005</v>
      </c>
      <c r="AD1473" s="130">
        <v>5.82</v>
      </c>
      <c r="AE1473" s="130">
        <v>5.48</v>
      </c>
      <c r="AF1473" s="130">
        <f t="shared" si="361"/>
        <v>6</v>
      </c>
      <c r="AG1473" s="131">
        <v>4.42</v>
      </c>
      <c r="AH1473" s="187">
        <v>2.0499999999999999E-6</v>
      </c>
      <c r="AI1473" s="187">
        <v>7.6399999999999997E-6</v>
      </c>
      <c r="AJ1473" s="136">
        <f t="shared" si="359"/>
        <v>-4.0768124652568973</v>
      </c>
      <c r="AK1473" s="136">
        <f>LOG10(AI1473*1000/(0.08206*298.15))</f>
        <v>-3.5054729677369618</v>
      </c>
      <c r="AL1473" s="136">
        <f t="shared" si="358"/>
        <v>-3.5054729677369618</v>
      </c>
      <c r="AM1473" s="136">
        <v>-13.435850000000002</v>
      </c>
      <c r="AN1473" s="193">
        <v>-3.91</v>
      </c>
      <c r="AO1473" s="481"/>
      <c r="AP1473" s="481"/>
      <c r="AQ1473" s="193" t="s">
        <v>6311</v>
      </c>
      <c r="AR1473" s="193" t="s">
        <v>6312</v>
      </c>
      <c r="AS1473" s="191" t="s">
        <v>6</v>
      </c>
      <c r="AT1473" s="132" t="s">
        <v>266</v>
      </c>
      <c r="AU1473" s="130">
        <v>8</v>
      </c>
      <c r="AV1473" s="130">
        <v>144</v>
      </c>
      <c r="AW1473" s="130">
        <v>120</v>
      </c>
      <c r="AX1473" s="130">
        <v>26</v>
      </c>
      <c r="AY1473" s="130" t="s">
        <v>267</v>
      </c>
      <c r="AZ1473" s="130" t="s">
        <v>2253</v>
      </c>
      <c r="BA1473" s="130">
        <v>2</v>
      </c>
      <c r="BB1473" s="139" t="s">
        <v>2254</v>
      </c>
      <c r="BC1473" s="139" t="s">
        <v>270</v>
      </c>
      <c r="BD1473" s="139" t="s">
        <v>8374</v>
      </c>
      <c r="BE1473" s="130" t="s">
        <v>1712</v>
      </c>
      <c r="BF1473" s="130" t="s">
        <v>272</v>
      </c>
      <c r="BG1473" s="130" t="s">
        <v>272</v>
      </c>
      <c r="BH1473" s="130" t="s">
        <v>2255</v>
      </c>
      <c r="BI1473" s="187">
        <v>3.4942000000000003E-4</v>
      </c>
      <c r="BJ1473" s="187">
        <v>27.953600000000002</v>
      </c>
      <c r="BK1473" s="130"/>
      <c r="BL1473" s="485">
        <v>0.16099995675496975</v>
      </c>
      <c r="BM1473" s="130" t="s">
        <v>891</v>
      </c>
      <c r="BN1473" s="194"/>
      <c r="BO1473" s="194"/>
      <c r="BP1473" s="194"/>
      <c r="BQ1473" s="194"/>
      <c r="BR1473" s="194"/>
      <c r="BS1473" s="130"/>
      <c r="BT1473" s="194"/>
      <c r="BU1473" s="195"/>
      <c r="BV1473" s="194"/>
      <c r="BW1473" s="194"/>
      <c r="BX1473" s="194"/>
      <c r="BY1473" s="194"/>
      <c r="BZ1473" s="194"/>
      <c r="CA1473" s="194"/>
      <c r="CB1473" s="194"/>
      <c r="CC1473" s="130"/>
      <c r="CD1473" s="130"/>
      <c r="CE1473" s="130"/>
      <c r="CF1473" s="130"/>
      <c r="CG1473" s="194"/>
      <c r="CH1473" s="130"/>
      <c r="CI1473" s="187"/>
      <c r="CJ1473" s="187"/>
      <c r="CK1473" s="131">
        <f t="shared" si="354"/>
        <v>5.7595428408136968E-3</v>
      </c>
      <c r="CL1473" s="188"/>
      <c r="CM1473" s="188"/>
      <c r="CN1473" s="188"/>
      <c r="CO1473" s="139" t="s">
        <v>892</v>
      </c>
      <c r="CP1473" s="499" t="s">
        <v>893</v>
      </c>
      <c r="CQ1473" s="191">
        <v>-2.625251653989896</v>
      </c>
      <c r="CR1473" s="191">
        <f>10^(CJ1473-CQ1473)</f>
        <v>421.94092827004215</v>
      </c>
      <c r="CS1473" s="135" t="s">
        <v>539</v>
      </c>
      <c r="CT1473" s="135"/>
      <c r="CU1473" s="135"/>
      <c r="CV1473" s="332">
        <f t="shared" si="357"/>
        <v>5.0440730353156654E-4</v>
      </c>
      <c r="CW1473" s="329">
        <f t="shared" si="360"/>
        <v>0</v>
      </c>
      <c r="CX1473" s="329" t="s">
        <v>539</v>
      </c>
      <c r="CY1473" s="189" t="s">
        <v>5921</v>
      </c>
    </row>
    <row r="1474" spans="1:103" ht="11.25" customHeight="1" x14ac:dyDescent="0.2">
      <c r="A1474" s="72">
        <v>680</v>
      </c>
      <c r="B1474" s="191">
        <v>388</v>
      </c>
      <c r="C1474" s="128" t="s">
        <v>6913</v>
      </c>
      <c r="D1474" s="128"/>
      <c r="E1474" s="129"/>
      <c r="F1474" s="129" t="s">
        <v>3937</v>
      </c>
      <c r="G1474" s="192">
        <v>161050584</v>
      </c>
      <c r="H1474" s="139" t="s">
        <v>3938</v>
      </c>
      <c r="I1474" s="139" t="s">
        <v>3938</v>
      </c>
      <c r="J1474" s="139" t="s">
        <v>3939</v>
      </c>
      <c r="K1474" s="139" t="s">
        <v>483</v>
      </c>
      <c r="L1474" s="139" t="s">
        <v>8531</v>
      </c>
      <c r="M1474" s="138" t="s">
        <v>2342</v>
      </c>
      <c r="N1474" s="139" t="s">
        <v>2342</v>
      </c>
      <c r="O1474" s="139" t="s">
        <v>918</v>
      </c>
      <c r="P1474" s="138" t="s">
        <v>6631</v>
      </c>
      <c r="Q1474" s="138" t="s">
        <v>6173</v>
      </c>
      <c r="R1474" s="138" t="s">
        <v>6183</v>
      </c>
      <c r="S1474" s="138" t="s">
        <v>6173</v>
      </c>
      <c r="T1474" s="130">
        <v>368.47</v>
      </c>
      <c r="U1474" s="187">
        <v>1</v>
      </c>
      <c r="V1474" s="187">
        <v>3.3119999999999998</v>
      </c>
      <c r="W1474" s="187">
        <v>2.6085678317202268</v>
      </c>
      <c r="X1474" s="187">
        <v>1</v>
      </c>
      <c r="Y1474" s="194">
        <v>6.99</v>
      </c>
      <c r="Z1474" s="130">
        <v>3.48</v>
      </c>
      <c r="AA1474" s="130">
        <v>3.7</v>
      </c>
      <c r="AB1474" s="130">
        <v>3.59</v>
      </c>
      <c r="AC1474" s="130">
        <v>0.87209999999999999</v>
      </c>
      <c r="AD1474" s="130">
        <v>3.62</v>
      </c>
      <c r="AE1474" s="130">
        <v>3.72</v>
      </c>
      <c r="AF1474" s="130">
        <f t="shared" si="361"/>
        <v>3.7</v>
      </c>
      <c r="AG1474" s="131">
        <v>4.51</v>
      </c>
      <c r="AH1474" s="187">
        <v>3.8399999999999998E-12</v>
      </c>
      <c r="AI1474" s="187"/>
      <c r="AJ1474" s="136">
        <f t="shared" si="359"/>
        <v>-9.804235101945121</v>
      </c>
      <c r="AK1474" s="136"/>
      <c r="AL1474" s="136">
        <f t="shared" si="358"/>
        <v>-9.804235101945121</v>
      </c>
      <c r="AM1474" s="136">
        <v>-19.715879999999999</v>
      </c>
      <c r="AN1474" s="193">
        <v>-11.1</v>
      </c>
      <c r="AO1474" s="481">
        <v>10.43</v>
      </c>
      <c r="AP1474" s="481">
        <v>-2.2599999999999998</v>
      </c>
      <c r="AQ1474" s="193" t="s">
        <v>6311</v>
      </c>
      <c r="AR1474" s="193" t="s">
        <v>6311</v>
      </c>
      <c r="AS1474" s="191" t="s">
        <v>6</v>
      </c>
      <c r="AT1474" s="132" t="s">
        <v>266</v>
      </c>
      <c r="AU1474" s="130">
        <v>8</v>
      </c>
      <c r="AV1474" s="130">
        <v>144</v>
      </c>
      <c r="AW1474" s="130">
        <v>120</v>
      </c>
      <c r="AX1474" s="130">
        <v>26</v>
      </c>
      <c r="AY1474" s="130" t="s">
        <v>267</v>
      </c>
      <c r="AZ1474" s="130" t="s">
        <v>2253</v>
      </c>
      <c r="BA1474" s="130">
        <v>2</v>
      </c>
      <c r="BB1474" s="139" t="s">
        <v>2254</v>
      </c>
      <c r="BC1474" s="139" t="s">
        <v>270</v>
      </c>
      <c r="BD1474" s="139" t="s">
        <v>8374</v>
      </c>
      <c r="BE1474" s="130" t="s">
        <v>1712</v>
      </c>
      <c r="BF1474" s="130" t="s">
        <v>272</v>
      </c>
      <c r="BG1474" s="130" t="s">
        <v>272</v>
      </c>
      <c r="BH1474" s="130" t="s">
        <v>2255</v>
      </c>
      <c r="BI1474" s="187">
        <v>3.6847000000000003E-4</v>
      </c>
      <c r="BJ1474" s="187">
        <v>29.477600000000002</v>
      </c>
      <c r="BK1474" s="130"/>
      <c r="BL1474" s="485">
        <v>14.184503354964354</v>
      </c>
      <c r="BM1474" s="130" t="s">
        <v>891</v>
      </c>
      <c r="BN1474" s="194"/>
      <c r="BO1474" s="194"/>
      <c r="BP1474" s="194"/>
      <c r="BQ1474" s="194"/>
      <c r="BR1474" s="194"/>
      <c r="BS1474" s="130"/>
      <c r="BT1474" s="194"/>
      <c r="BU1474" s="195"/>
      <c r="BV1474" s="194"/>
      <c r="BW1474" s="194"/>
      <c r="BX1474" s="194"/>
      <c r="BY1474" s="194"/>
      <c r="BZ1474" s="194"/>
      <c r="CA1474" s="194"/>
      <c r="CB1474" s="194"/>
      <c r="CC1474" s="130"/>
      <c r="CD1474" s="130"/>
      <c r="CE1474" s="130"/>
      <c r="CF1474" s="130"/>
      <c r="CG1474" s="194"/>
      <c r="CH1474" s="130"/>
      <c r="CI1474" s="187"/>
      <c r="CJ1474" s="187"/>
      <c r="CK1474" s="131">
        <f t="shared" si="354"/>
        <v>0.48119600493134967</v>
      </c>
      <c r="CL1474" s="188"/>
      <c r="CM1474" s="188"/>
      <c r="CN1474" s="188"/>
      <c r="CO1474" s="139" t="s">
        <v>892</v>
      </c>
      <c r="CP1474" s="499" t="s">
        <v>893</v>
      </c>
      <c r="CQ1474" s="191" t="s">
        <v>272</v>
      </c>
      <c r="CR1474" s="191"/>
      <c r="CS1474" s="135" t="s">
        <v>539</v>
      </c>
      <c r="CT1474" s="135"/>
      <c r="CU1474" s="135"/>
      <c r="CV1474" s="332">
        <f t="shared" si="357"/>
        <v>3.3924064374304556E-2</v>
      </c>
      <c r="CW1474" s="329">
        <f t="shared" si="360"/>
        <v>0</v>
      </c>
      <c r="CX1474" s="329" t="s">
        <v>539</v>
      </c>
      <c r="CY1474" s="189" t="s">
        <v>5921</v>
      </c>
    </row>
    <row r="1475" spans="1:103" ht="11.25" customHeight="1" x14ac:dyDescent="0.2">
      <c r="A1475" s="72">
        <v>729</v>
      </c>
      <c r="B1475" s="224">
        <v>652</v>
      </c>
      <c r="C1475" s="46" t="s">
        <v>2053</v>
      </c>
      <c r="D1475" s="46"/>
      <c r="E1475" s="114"/>
      <c r="F1475" s="114" t="s">
        <v>2054</v>
      </c>
      <c r="G1475" s="225">
        <v>52686</v>
      </c>
      <c r="H1475" s="47" t="s">
        <v>2055</v>
      </c>
      <c r="I1475" s="47" t="s">
        <v>7976</v>
      </c>
      <c r="J1475" s="47" t="s">
        <v>2056</v>
      </c>
      <c r="K1475" s="47" t="s">
        <v>2057</v>
      </c>
      <c r="L1475" s="47" t="s">
        <v>617</v>
      </c>
      <c r="M1475" s="47" t="s">
        <v>946</v>
      </c>
      <c r="N1475" s="47" t="s">
        <v>6376</v>
      </c>
      <c r="O1475" s="47" t="s">
        <v>918</v>
      </c>
      <c r="P1475" s="53"/>
      <c r="Q1475" s="53"/>
      <c r="R1475" s="53"/>
      <c r="S1475" s="53"/>
      <c r="T1475" s="48">
        <v>257.44</v>
      </c>
      <c r="U1475" s="98">
        <v>120000</v>
      </c>
      <c r="V1475" s="98">
        <v>25530</v>
      </c>
      <c r="W1475" s="98">
        <v>102488.70998729233</v>
      </c>
      <c r="X1475" s="98">
        <v>120000</v>
      </c>
      <c r="Y1475" s="233">
        <v>5.35</v>
      </c>
      <c r="Z1475" s="48">
        <v>0.42</v>
      </c>
      <c r="AA1475" s="48">
        <v>0.51</v>
      </c>
      <c r="AB1475" s="48">
        <v>0.84</v>
      </c>
      <c r="AC1475" s="48">
        <v>0.75449999999999995</v>
      </c>
      <c r="AD1475" s="48">
        <v>0.73</v>
      </c>
      <c r="AE1475" s="48">
        <v>0.48</v>
      </c>
      <c r="AF1475" s="48">
        <f t="shared" si="361"/>
        <v>0.51</v>
      </c>
      <c r="AG1475" s="49">
        <v>0.9</v>
      </c>
      <c r="AH1475" s="98">
        <v>2.6499999999999998E-12</v>
      </c>
      <c r="AI1475" s="98">
        <v>1.6999999999999999E-11</v>
      </c>
      <c r="AJ1475" s="483">
        <f t="shared" si="359"/>
        <v>-9.9653204523758436</v>
      </c>
      <c r="AK1475" s="483">
        <f>LOG10(AI1475*1000/(0.08206*298.15))</f>
        <v>-9.1581174049343783</v>
      </c>
      <c r="AL1475" s="483">
        <f t="shared" si="358"/>
        <v>-9.1581174049343783</v>
      </c>
      <c r="AM1475" s="483">
        <v>-11.525370000000001</v>
      </c>
      <c r="AN1475" s="226">
        <v>-8.69</v>
      </c>
      <c r="AO1475" s="484">
        <v>10.3</v>
      </c>
      <c r="AP1475" s="484"/>
      <c r="AQ1475" s="226" t="s">
        <v>6312</v>
      </c>
      <c r="AR1475" s="226" t="s">
        <v>6312</v>
      </c>
      <c r="AS1475" s="224" t="s">
        <v>6</v>
      </c>
      <c r="AT1475" s="50" t="s">
        <v>266</v>
      </c>
      <c r="AU1475" s="48">
        <v>8</v>
      </c>
      <c r="AV1475" s="48">
        <v>144</v>
      </c>
      <c r="AW1475" s="48">
        <v>120</v>
      </c>
      <c r="AX1475" s="48">
        <v>26</v>
      </c>
      <c r="AY1475" s="48" t="s">
        <v>267</v>
      </c>
      <c r="AZ1475" s="48" t="s">
        <v>2253</v>
      </c>
      <c r="BA1475" s="48">
        <v>2</v>
      </c>
      <c r="BB1475" s="47" t="s">
        <v>2254</v>
      </c>
      <c r="BC1475" s="47" t="s">
        <v>270</v>
      </c>
      <c r="BD1475" s="47" t="s">
        <v>8374</v>
      </c>
      <c r="BE1475" s="48" t="s">
        <v>1712</v>
      </c>
      <c r="BF1475" s="48" t="s">
        <v>272</v>
      </c>
      <c r="BG1475" s="48" t="s">
        <v>272</v>
      </c>
      <c r="BH1475" s="48" t="s">
        <v>2255</v>
      </c>
      <c r="BI1475" s="98">
        <v>2.5744E-4</v>
      </c>
      <c r="BJ1475" s="98">
        <v>20.595200000000002</v>
      </c>
      <c r="BK1475" s="48"/>
      <c r="BL1475" s="487">
        <v>5549.7577552808461</v>
      </c>
      <c r="BM1475" s="48" t="s">
        <v>891</v>
      </c>
      <c r="BN1475" s="233"/>
      <c r="BO1475" s="233"/>
      <c r="BP1475" s="233"/>
      <c r="BQ1475" s="233"/>
      <c r="BR1475" s="233"/>
      <c r="BS1475" s="48"/>
      <c r="BT1475" s="233"/>
      <c r="BU1475" s="228"/>
      <c r="BV1475" s="233"/>
      <c r="BW1475" s="233"/>
      <c r="BX1475" s="233"/>
      <c r="BY1475" s="233"/>
      <c r="BZ1475" s="233"/>
      <c r="CA1475" s="233"/>
      <c r="CB1475" s="233"/>
      <c r="CC1475" s="48"/>
      <c r="CD1475" s="48"/>
      <c r="CE1475" s="48"/>
      <c r="CF1475" s="48"/>
      <c r="CG1475" s="233"/>
      <c r="CH1475" s="48"/>
      <c r="CI1475" s="98"/>
      <c r="CJ1475" s="98"/>
      <c r="CK1475" s="49">
        <f t="shared" si="354"/>
        <v>269.4685050536458</v>
      </c>
      <c r="CL1475" s="229"/>
      <c r="CM1475" s="229"/>
      <c r="CN1475" s="229"/>
      <c r="CO1475" s="47" t="s">
        <v>892</v>
      </c>
      <c r="CP1475" s="500" t="s">
        <v>893</v>
      </c>
      <c r="CQ1475" s="224">
        <v>0.33760324502253658</v>
      </c>
      <c r="CR1475" s="224">
        <f>10^(CJ1475-CQ1475)</f>
        <v>0.45961771041697719</v>
      </c>
      <c r="CS1475" s="230" t="s">
        <v>539</v>
      </c>
      <c r="CT1475" s="230"/>
      <c r="CU1475" s="230"/>
      <c r="CV1475" s="335">
        <f t="shared" si="357"/>
        <v>5826.6003729024233</v>
      </c>
      <c r="CW1475" s="230">
        <f t="shared" si="360"/>
        <v>1</v>
      </c>
      <c r="CX1475" s="336" t="s">
        <v>539</v>
      </c>
      <c r="CY1475" s="230" t="s">
        <v>5921</v>
      </c>
    </row>
    <row r="1476" spans="1:103" ht="11.25" customHeight="1" x14ac:dyDescent="0.2">
      <c r="A1476" s="72">
        <v>765</v>
      </c>
      <c r="B1476" s="224">
        <v>299</v>
      </c>
      <c r="C1476" s="46" t="s">
        <v>6985</v>
      </c>
      <c r="D1476" s="46" t="s">
        <v>8555</v>
      </c>
      <c r="E1476" s="114"/>
      <c r="F1476" s="114" t="s">
        <v>3826</v>
      </c>
      <c r="G1476" s="225">
        <v>60515</v>
      </c>
      <c r="H1476" s="47" t="s">
        <v>3827</v>
      </c>
      <c r="I1476" s="47" t="s">
        <v>3827</v>
      </c>
      <c r="J1476" s="47" t="s">
        <v>3828</v>
      </c>
      <c r="K1476" s="47" t="s">
        <v>951</v>
      </c>
      <c r="L1476" s="47" t="s">
        <v>617</v>
      </c>
      <c r="M1476" s="47" t="s">
        <v>618</v>
      </c>
      <c r="N1476" s="47" t="s">
        <v>6376</v>
      </c>
      <c r="O1476" s="47" t="s">
        <v>1353</v>
      </c>
      <c r="P1476" s="53"/>
      <c r="Q1476" s="53"/>
      <c r="R1476" s="53"/>
      <c r="S1476" s="53"/>
      <c r="T1476" s="48">
        <v>229.26</v>
      </c>
      <c r="U1476" s="98">
        <v>23300</v>
      </c>
      <c r="V1476" s="98">
        <v>6626</v>
      </c>
      <c r="W1476" s="98">
        <v>6765.9422730553533</v>
      </c>
      <c r="X1476" s="98">
        <v>23300</v>
      </c>
      <c r="Y1476" s="233">
        <v>7</v>
      </c>
      <c r="Z1476" s="48">
        <v>0.72</v>
      </c>
      <c r="AA1476" s="48">
        <v>0.78</v>
      </c>
      <c r="AB1476" s="48">
        <v>1.31</v>
      </c>
      <c r="AC1476" s="48">
        <v>0.73839999999999995</v>
      </c>
      <c r="AD1476" s="48">
        <v>1.03</v>
      </c>
      <c r="AE1476" s="48">
        <v>0.48</v>
      </c>
      <c r="AF1476" s="48">
        <f t="shared" si="361"/>
        <v>0.78</v>
      </c>
      <c r="AG1476" s="49">
        <v>1.17</v>
      </c>
      <c r="AH1476" s="98">
        <v>2.11E-11</v>
      </c>
      <c r="AI1476" s="98">
        <v>2.4299999999999999E-10</v>
      </c>
      <c r="AJ1476" s="483">
        <f t="shared" si="359"/>
        <v>-9.0642838710149594</v>
      </c>
      <c r="AK1476" s="483">
        <f>LOG10(AI1476*1000/(0.08206*298.15))</f>
        <v>-8.0029600527143394</v>
      </c>
      <c r="AL1476" s="483">
        <f t="shared" si="358"/>
        <v>-8.0029600527143394</v>
      </c>
      <c r="AM1476" s="483">
        <v>-12.755280000000001</v>
      </c>
      <c r="AN1476" s="226">
        <v>-8.14</v>
      </c>
      <c r="AO1476" s="484">
        <v>14.4</v>
      </c>
      <c r="AP1476" s="484">
        <v>-0.98</v>
      </c>
      <c r="AQ1476" s="226" t="s">
        <v>6311</v>
      </c>
      <c r="AR1476" s="226" t="s">
        <v>6311</v>
      </c>
      <c r="AS1476" s="224" t="s">
        <v>6</v>
      </c>
      <c r="AT1476" s="50" t="s">
        <v>266</v>
      </c>
      <c r="AU1476" s="48">
        <v>8</v>
      </c>
      <c r="AV1476" s="48">
        <v>144</v>
      </c>
      <c r="AW1476" s="48">
        <v>120</v>
      </c>
      <c r="AX1476" s="48">
        <v>26</v>
      </c>
      <c r="AY1476" s="48" t="s">
        <v>267</v>
      </c>
      <c r="AZ1476" s="48" t="s">
        <v>2253</v>
      </c>
      <c r="BA1476" s="48">
        <v>2</v>
      </c>
      <c r="BB1476" s="47" t="s">
        <v>2254</v>
      </c>
      <c r="BC1476" s="47" t="s">
        <v>270</v>
      </c>
      <c r="BD1476" s="47" t="s">
        <v>8374</v>
      </c>
      <c r="BE1476" s="48" t="s">
        <v>1712</v>
      </c>
      <c r="BF1476" s="48" t="s">
        <v>272</v>
      </c>
      <c r="BG1476" s="48" t="s">
        <v>272</v>
      </c>
      <c r="BH1476" s="48" t="s">
        <v>2255</v>
      </c>
      <c r="BI1476" s="98">
        <v>2.2925999999999998E-4</v>
      </c>
      <c r="BJ1476" s="98">
        <v>18.340799999999998</v>
      </c>
      <c r="BK1476" s="48"/>
      <c r="BL1476" s="487">
        <v>2657.6408345214077</v>
      </c>
      <c r="BM1476" s="48" t="s">
        <v>891</v>
      </c>
      <c r="BN1476" s="233"/>
      <c r="BO1476" s="233"/>
      <c r="BP1476" s="233"/>
      <c r="BQ1476" s="233"/>
      <c r="BR1476" s="233"/>
      <c r="BS1476" s="48"/>
      <c r="BT1476" s="233"/>
      <c r="BU1476" s="228"/>
      <c r="BV1476" s="233"/>
      <c r="BW1476" s="233"/>
      <c r="BX1476" s="233"/>
      <c r="BY1476" s="233"/>
      <c r="BZ1476" s="233"/>
      <c r="CA1476" s="233"/>
      <c r="CB1476" s="233"/>
      <c r="CC1476" s="48"/>
      <c r="CD1476" s="48"/>
      <c r="CE1476" s="48"/>
      <c r="CF1476" s="48"/>
      <c r="CG1476" s="233"/>
      <c r="CH1476" s="48"/>
      <c r="CI1476" s="98"/>
      <c r="CJ1476" s="98"/>
      <c r="CK1476" s="49">
        <f t="shared" si="354"/>
        <v>144.90321221110355</v>
      </c>
      <c r="CL1476" s="229"/>
      <c r="CM1476" s="229"/>
      <c r="CN1476" s="229"/>
      <c r="CO1476" s="47" t="s">
        <v>892</v>
      </c>
      <c r="CP1476" s="500" t="s">
        <v>893</v>
      </c>
      <c r="CQ1476" s="224">
        <v>0.19174998686525094</v>
      </c>
      <c r="CR1476" s="224">
        <f>10^(CJ1476-CQ1476)</f>
        <v>0.64305780405862678</v>
      </c>
      <c r="CS1476" s="230" t="s">
        <v>539</v>
      </c>
      <c r="CT1476" s="230"/>
      <c r="CU1476" s="230"/>
      <c r="CV1476" s="335">
        <f t="shared" si="357"/>
        <v>1270.3916950187561</v>
      </c>
      <c r="CW1476" s="230">
        <f t="shared" si="360"/>
        <v>1</v>
      </c>
      <c r="CX1476" s="336" t="s">
        <v>539</v>
      </c>
      <c r="CY1476" s="230" t="s">
        <v>5921</v>
      </c>
    </row>
    <row r="1477" spans="1:103" ht="11.25" customHeight="1" x14ac:dyDescent="0.2">
      <c r="A1477" s="72">
        <v>772</v>
      </c>
      <c r="B1477" s="224">
        <v>284</v>
      </c>
      <c r="C1477" s="46" t="s">
        <v>6989</v>
      </c>
      <c r="D1477" s="46" t="s">
        <v>8556</v>
      </c>
      <c r="E1477" s="114"/>
      <c r="F1477" s="114" t="s">
        <v>2105</v>
      </c>
      <c r="G1477" s="225">
        <v>62737</v>
      </c>
      <c r="H1477" s="47" t="s">
        <v>2106</v>
      </c>
      <c r="I1477" s="47" t="s">
        <v>7989</v>
      </c>
      <c r="J1477" s="47" t="s">
        <v>2107</v>
      </c>
      <c r="K1477" s="47" t="s">
        <v>2108</v>
      </c>
      <c r="L1477" s="47" t="s">
        <v>617</v>
      </c>
      <c r="M1477" s="47" t="s">
        <v>946</v>
      </c>
      <c r="N1477" s="47" t="s">
        <v>6376</v>
      </c>
      <c r="O1477" s="47" t="s">
        <v>918</v>
      </c>
      <c r="P1477" s="53"/>
      <c r="Q1477" s="53"/>
      <c r="R1477" s="53"/>
      <c r="S1477" s="53"/>
      <c r="T1477" s="48">
        <v>220.98</v>
      </c>
      <c r="U1477" s="98">
        <v>8000</v>
      </c>
      <c r="V1477" s="98">
        <v>2043.9999999999998</v>
      </c>
      <c r="W1477" s="98">
        <v>55507.666363498698</v>
      </c>
      <c r="X1477" s="98">
        <v>8000</v>
      </c>
      <c r="Y1477" s="233">
        <v>7</v>
      </c>
      <c r="Z1477" s="48">
        <v>0.6</v>
      </c>
      <c r="AA1477" s="48">
        <v>1.43</v>
      </c>
      <c r="AB1477" s="48">
        <v>1.56</v>
      </c>
      <c r="AC1477" s="48">
        <v>0.76459999999999995</v>
      </c>
      <c r="AD1477" s="48">
        <v>1.28</v>
      </c>
      <c r="AE1477" s="48">
        <v>0.71</v>
      </c>
      <c r="AF1477" s="48">
        <f t="shared" si="361"/>
        <v>1.43</v>
      </c>
      <c r="AG1477" s="49">
        <v>1.06</v>
      </c>
      <c r="AH1477" s="98">
        <v>8.5799999999999998E-7</v>
      </c>
      <c r="AI1477" s="98">
        <v>5.7400000000000003E-7</v>
      </c>
      <c r="AJ1477" s="483">
        <f t="shared" si="359"/>
        <v>-4.4550790384639463</v>
      </c>
      <c r="AK1477" s="483">
        <f>LOG10(AI1477*1000/(0.08206*298.15))</f>
        <v>-4.6296544339146779</v>
      </c>
      <c r="AL1477" s="483">
        <f t="shared" si="358"/>
        <v>-4.6296544339146779</v>
      </c>
      <c r="AM1477" s="483">
        <v>-9.5230700000000006</v>
      </c>
      <c r="AN1477" s="226">
        <v>-4.45</v>
      </c>
      <c r="AO1477" s="484"/>
      <c r="AP1477" s="484"/>
      <c r="AQ1477" s="226" t="s">
        <v>6315</v>
      </c>
      <c r="AR1477" s="226" t="s">
        <v>6315</v>
      </c>
      <c r="AS1477" s="224" t="s">
        <v>6</v>
      </c>
      <c r="AT1477" s="50" t="s">
        <v>266</v>
      </c>
      <c r="AU1477" s="48">
        <v>8</v>
      </c>
      <c r="AV1477" s="48">
        <v>144</v>
      </c>
      <c r="AW1477" s="48">
        <v>120</v>
      </c>
      <c r="AX1477" s="48">
        <v>26</v>
      </c>
      <c r="AY1477" s="48" t="s">
        <v>267</v>
      </c>
      <c r="AZ1477" s="48" t="s">
        <v>2253</v>
      </c>
      <c r="BA1477" s="48">
        <v>3</v>
      </c>
      <c r="BB1477" s="47" t="s">
        <v>2254</v>
      </c>
      <c r="BC1477" s="47" t="s">
        <v>270</v>
      </c>
      <c r="BD1477" s="47" t="s">
        <v>8374</v>
      </c>
      <c r="BE1477" s="48" t="s">
        <v>1712</v>
      </c>
      <c r="BF1477" s="48" t="s">
        <v>272</v>
      </c>
      <c r="BG1477" s="48" t="s">
        <v>272</v>
      </c>
      <c r="BH1477" s="48" t="s">
        <v>2255</v>
      </c>
      <c r="BI1477" s="98">
        <v>2.2097999999999999E-4</v>
      </c>
      <c r="BJ1477" s="98">
        <v>17.6784</v>
      </c>
      <c r="BK1477" s="48"/>
      <c r="BL1477" s="487">
        <v>3283.1669647131121</v>
      </c>
      <c r="BM1477" s="48" t="s">
        <v>891</v>
      </c>
      <c r="BN1477" s="233"/>
      <c r="BO1477" s="233"/>
      <c r="BP1477" s="233"/>
      <c r="BQ1477" s="233"/>
      <c r="BR1477" s="233"/>
      <c r="BS1477" s="48"/>
      <c r="BT1477" s="233"/>
      <c r="BU1477" s="228"/>
      <c r="BV1477" s="233"/>
      <c r="BW1477" s="233"/>
      <c r="BX1477" s="233"/>
      <c r="BY1477" s="233"/>
      <c r="BZ1477" s="233"/>
      <c r="CA1477" s="233"/>
      <c r="CB1477" s="233"/>
      <c r="CC1477" s="48"/>
      <c r="CD1477" s="48"/>
      <c r="CE1477" s="48"/>
      <c r="CF1477" s="48"/>
      <c r="CG1477" s="233"/>
      <c r="CH1477" s="48"/>
      <c r="CI1477" s="98"/>
      <c r="CJ1477" s="98"/>
      <c r="CK1477" s="49">
        <f t="shared" si="354"/>
        <v>185.71629585896417</v>
      </c>
      <c r="CL1477" s="229"/>
      <c r="CM1477" s="229"/>
      <c r="CN1477" s="229"/>
      <c r="CO1477" s="47" t="s">
        <v>892</v>
      </c>
      <c r="CP1477" s="500" t="s">
        <v>893</v>
      </c>
      <c r="CQ1477" s="224">
        <v>0.13752884922968245</v>
      </c>
      <c r="CR1477" s="224">
        <f>10^(CJ1477-CQ1477)</f>
        <v>0.72856977561386338</v>
      </c>
      <c r="CS1477" s="230" t="s">
        <v>539</v>
      </c>
      <c r="CT1477" s="230"/>
      <c r="CU1477" s="230"/>
      <c r="CV1477" s="335">
        <f t="shared" si="357"/>
        <v>452.52964069146532</v>
      </c>
      <c r="CW1477" s="230">
        <f t="shared" si="360"/>
        <v>1</v>
      </c>
      <c r="CX1477" s="336" t="s">
        <v>539</v>
      </c>
      <c r="CY1477" s="230" t="s">
        <v>5921</v>
      </c>
    </row>
    <row r="1478" spans="1:103" ht="11.25" customHeight="1" x14ac:dyDescent="0.2">
      <c r="A1478" s="72">
        <v>776</v>
      </c>
      <c r="B1478" s="224">
        <v>241</v>
      </c>
      <c r="C1478" s="46" t="s">
        <v>612</v>
      </c>
      <c r="D1478" s="46"/>
      <c r="E1478" s="114"/>
      <c r="F1478" s="114" t="s">
        <v>613</v>
      </c>
      <c r="G1478" s="225">
        <v>63252</v>
      </c>
      <c r="H1478" s="47" t="s">
        <v>614</v>
      </c>
      <c r="I1478" s="47" t="s">
        <v>614</v>
      </c>
      <c r="J1478" s="47" t="s">
        <v>615</v>
      </c>
      <c r="K1478" s="47" t="s">
        <v>616</v>
      </c>
      <c r="L1478" s="47" t="s">
        <v>617</v>
      </c>
      <c r="M1478" s="47" t="s">
        <v>618</v>
      </c>
      <c r="N1478" s="47" t="s">
        <v>6376</v>
      </c>
      <c r="O1478" s="47" t="s">
        <v>619</v>
      </c>
      <c r="P1478" s="53"/>
      <c r="Q1478" s="53"/>
      <c r="R1478" s="53"/>
      <c r="S1478" s="53"/>
      <c r="T1478" s="48">
        <v>201.22</v>
      </c>
      <c r="U1478" s="98">
        <v>110</v>
      </c>
      <c r="V1478" s="98">
        <v>416.2</v>
      </c>
      <c r="W1478" s="98">
        <v>96.309947177161263</v>
      </c>
      <c r="X1478" s="98">
        <v>110</v>
      </c>
      <c r="Y1478" s="233">
        <v>6.99</v>
      </c>
      <c r="Z1478" s="48">
        <v>2.35</v>
      </c>
      <c r="AA1478" s="48">
        <v>2.36</v>
      </c>
      <c r="AB1478" s="48">
        <v>2.4500000000000002</v>
      </c>
      <c r="AC1478" s="48">
        <v>0.83340000000000003</v>
      </c>
      <c r="AD1478" s="48">
        <v>2.44</v>
      </c>
      <c r="AE1478" s="48">
        <v>2.4</v>
      </c>
      <c r="AF1478" s="48">
        <f t="shared" si="361"/>
        <v>2.36</v>
      </c>
      <c r="AG1478" s="49">
        <v>2.38</v>
      </c>
      <c r="AH1478" s="98">
        <v>3.1399999999999999E-9</v>
      </c>
      <c r="AI1478" s="98">
        <v>3.2700000000000001E-9</v>
      </c>
      <c r="AJ1478" s="483">
        <f t="shared" si="359"/>
        <v>-6.8916366782394372</v>
      </c>
      <c r="AK1478" s="483">
        <f>LOG10(AI1478*1000/(0.08206*298.15))</f>
        <v>-6.874018573652366</v>
      </c>
      <c r="AL1478" s="483">
        <f t="shared" si="358"/>
        <v>-6.874018573652366</v>
      </c>
      <c r="AM1478" s="483">
        <v>-10.500939999999998</v>
      </c>
      <c r="AN1478" s="226">
        <v>-6.44</v>
      </c>
      <c r="AO1478" s="484">
        <v>12.02</v>
      </c>
      <c r="AP1478" s="484">
        <v>-1.55</v>
      </c>
      <c r="AQ1478" s="226" t="s">
        <v>6311</v>
      </c>
      <c r="AR1478" s="226" t="s">
        <v>6314</v>
      </c>
      <c r="AS1478" s="224" t="s">
        <v>6</v>
      </c>
      <c r="AT1478" s="50" t="s">
        <v>266</v>
      </c>
      <c r="AU1478" s="48">
        <v>8</v>
      </c>
      <c r="AV1478" s="48">
        <v>144</v>
      </c>
      <c r="AW1478" s="48">
        <v>120</v>
      </c>
      <c r="AX1478" s="48">
        <v>26</v>
      </c>
      <c r="AY1478" s="48" t="s">
        <v>267</v>
      </c>
      <c r="AZ1478" s="48" t="s">
        <v>2253</v>
      </c>
      <c r="BA1478" s="48">
        <v>2</v>
      </c>
      <c r="BB1478" s="47" t="s">
        <v>2254</v>
      </c>
      <c r="BC1478" s="47" t="s">
        <v>270</v>
      </c>
      <c r="BD1478" s="47" t="s">
        <v>8374</v>
      </c>
      <c r="BE1478" s="48" t="s">
        <v>1712</v>
      </c>
      <c r="BF1478" s="48" t="s">
        <v>272</v>
      </c>
      <c r="BG1478" s="48" t="s">
        <v>272</v>
      </c>
      <c r="BH1478" s="48" t="s">
        <v>2255</v>
      </c>
      <c r="BI1478" s="98">
        <v>2.0122E-4</v>
      </c>
      <c r="BJ1478" s="98">
        <v>16.0976</v>
      </c>
      <c r="BK1478" s="48"/>
      <c r="BL1478" s="487">
        <v>80.156019944741601</v>
      </c>
      <c r="BM1478" s="48" t="s">
        <v>891</v>
      </c>
      <c r="BN1478" s="233"/>
      <c r="BO1478" s="233"/>
      <c r="BP1478" s="233"/>
      <c r="BQ1478" s="233"/>
      <c r="BR1478" s="233"/>
      <c r="BS1478" s="234"/>
      <c r="BT1478" s="233"/>
      <c r="BU1478" s="235"/>
      <c r="BV1478" s="233"/>
      <c r="BW1478" s="233"/>
      <c r="BX1478" s="233"/>
      <c r="BY1478" s="233"/>
      <c r="BZ1478" s="233"/>
      <c r="CA1478" s="233"/>
      <c r="CB1478" s="233"/>
      <c r="CC1478" s="234"/>
      <c r="CD1478" s="48"/>
      <c r="CE1478" s="48"/>
      <c r="CF1478" s="48"/>
      <c r="CG1478" s="233"/>
      <c r="CH1478" s="48"/>
      <c r="CI1478" s="52"/>
      <c r="CJ1478" s="98"/>
      <c r="CK1478" s="49">
        <f t="shared" si="354"/>
        <v>4.9793770465623197</v>
      </c>
      <c r="CL1478" s="229"/>
      <c r="CM1478" s="229">
        <v>0.27580627284202597</v>
      </c>
      <c r="CN1478" s="229">
        <f>BJ1478/(10^CM1478)</f>
        <v>8.5301144618675071</v>
      </c>
      <c r="CO1478" s="47" t="s">
        <v>892</v>
      </c>
      <c r="CP1478" s="500" t="s">
        <v>893</v>
      </c>
      <c r="CQ1478" s="224">
        <v>0.61609346580285851</v>
      </c>
      <c r="CR1478" s="224">
        <f>10^(CJ1478-CQ1478)</f>
        <v>0.24205080659611311</v>
      </c>
      <c r="CS1478" s="230" t="s">
        <v>539</v>
      </c>
      <c r="CT1478" s="230"/>
      <c r="CU1478" s="230"/>
      <c r="CV1478" s="335">
        <f t="shared" si="357"/>
        <v>6.8333167677169264</v>
      </c>
      <c r="CW1478" s="230">
        <f t="shared" si="360"/>
        <v>1</v>
      </c>
      <c r="CX1478" s="336" t="s">
        <v>539</v>
      </c>
      <c r="CY1478" s="230" t="s">
        <v>5921</v>
      </c>
    </row>
    <row r="1479" spans="1:103" ht="11.25" customHeight="1" x14ac:dyDescent="0.2">
      <c r="A1479" s="72">
        <v>793</v>
      </c>
      <c r="B1479" s="224">
        <v>238</v>
      </c>
      <c r="C1479" s="46" t="s">
        <v>7003</v>
      </c>
      <c r="D1479" s="46"/>
      <c r="E1479" s="114"/>
      <c r="F1479" s="114" t="s">
        <v>3099</v>
      </c>
      <c r="G1479" s="225">
        <v>75605</v>
      </c>
      <c r="H1479" s="47" t="s">
        <v>3100</v>
      </c>
      <c r="I1479" s="47" t="s">
        <v>3100</v>
      </c>
      <c r="J1479" s="47" t="s">
        <v>3101</v>
      </c>
      <c r="K1479" s="47" t="s">
        <v>426</v>
      </c>
      <c r="L1479" s="47"/>
      <c r="M1479" s="47"/>
      <c r="N1479" s="47"/>
      <c r="O1479" s="47"/>
      <c r="P1479" s="53"/>
      <c r="Q1479" s="53"/>
      <c r="R1479" s="53"/>
      <c r="S1479" s="53"/>
      <c r="T1479" s="48">
        <v>138</v>
      </c>
      <c r="U1479" s="98">
        <v>2000000</v>
      </c>
      <c r="V1479" s="98">
        <v>134800</v>
      </c>
      <c r="W1479" s="98">
        <v>151313.99106775955</v>
      </c>
      <c r="X1479" s="98">
        <v>2000000</v>
      </c>
      <c r="Y1479" s="233">
        <v>3.13</v>
      </c>
      <c r="Z1479" s="48">
        <v>0.36</v>
      </c>
      <c r="AA1479" s="48"/>
      <c r="AB1479" s="48">
        <v>-0.12</v>
      </c>
      <c r="AC1479" s="48">
        <v>0.32100000000000001</v>
      </c>
      <c r="AD1479" s="48">
        <v>-1.06</v>
      </c>
      <c r="AE1479" s="48">
        <v>-1.62</v>
      </c>
      <c r="AF1479" s="48">
        <f t="shared" si="361"/>
        <v>-1.06</v>
      </c>
      <c r="AG1479" s="49">
        <v>-1.06</v>
      </c>
      <c r="AH1479" s="98"/>
      <c r="AI1479" s="98"/>
      <c r="AJ1479" s="483"/>
      <c r="AK1479" s="483"/>
      <c r="AL1479" s="483"/>
      <c r="AM1479" s="483">
        <v>-5.7197300000000002</v>
      </c>
      <c r="AN1479" s="226"/>
      <c r="AO1479" s="484">
        <v>6.3</v>
      </c>
      <c r="AP1479" s="484"/>
      <c r="AQ1479" s="226" t="s">
        <v>6311</v>
      </c>
      <c r="AR1479" s="226" t="s">
        <v>6311</v>
      </c>
      <c r="AS1479" s="224" t="s">
        <v>6</v>
      </c>
      <c r="AT1479" s="50" t="s">
        <v>266</v>
      </c>
      <c r="AU1479" s="48">
        <v>8</v>
      </c>
      <c r="AV1479" s="48">
        <v>144</v>
      </c>
      <c r="AW1479" s="48">
        <v>120</v>
      </c>
      <c r="AX1479" s="48">
        <v>26</v>
      </c>
      <c r="AY1479" s="48" t="s">
        <v>267</v>
      </c>
      <c r="AZ1479" s="48" t="s">
        <v>2253</v>
      </c>
      <c r="BA1479" s="48">
        <v>3</v>
      </c>
      <c r="BB1479" s="47" t="s">
        <v>2254</v>
      </c>
      <c r="BC1479" s="47" t="s">
        <v>270</v>
      </c>
      <c r="BD1479" s="47" t="s">
        <v>8374</v>
      </c>
      <c r="BE1479" s="48" t="s">
        <v>1712</v>
      </c>
      <c r="BF1479" s="48" t="s">
        <v>272</v>
      </c>
      <c r="BG1479" s="48" t="s">
        <v>272</v>
      </c>
      <c r="BH1479" s="48" t="s">
        <v>2255</v>
      </c>
      <c r="BI1479" s="98">
        <v>1.3799999999999999E-4</v>
      </c>
      <c r="BJ1479" s="98">
        <v>11.040000000000001</v>
      </c>
      <c r="BK1479" s="48"/>
      <c r="BL1479" s="487">
        <v>3367.9302324771243</v>
      </c>
      <c r="BM1479" s="48" t="s">
        <v>891</v>
      </c>
      <c r="BN1479" s="233"/>
      <c r="BO1479" s="233"/>
      <c r="BP1479" s="233"/>
      <c r="BQ1479" s="233"/>
      <c r="BR1479" s="233"/>
      <c r="BS1479" s="48"/>
      <c r="BT1479" s="233"/>
      <c r="BU1479" s="228"/>
      <c r="BV1479" s="233"/>
      <c r="BW1479" s="233"/>
      <c r="BX1479" s="233"/>
      <c r="BY1479" s="233"/>
      <c r="BZ1479" s="233"/>
      <c r="CA1479" s="233"/>
      <c r="CB1479" s="233"/>
      <c r="CC1479" s="48"/>
      <c r="CD1479" s="48"/>
      <c r="CE1479" s="48"/>
      <c r="CF1479" s="48"/>
      <c r="CG1479" s="233"/>
      <c r="CH1479" s="48"/>
      <c r="CI1479" s="98"/>
      <c r="CJ1479" s="98"/>
      <c r="CK1479" s="49">
        <f t="shared" si="354"/>
        <v>305.06614424611632</v>
      </c>
      <c r="CL1479" s="229"/>
      <c r="CM1479" s="229"/>
      <c r="CN1479" s="229"/>
      <c r="CO1479" s="47" t="s">
        <v>892</v>
      </c>
      <c r="CP1479" s="500" t="s">
        <v>893</v>
      </c>
      <c r="CQ1479" s="224" t="s">
        <v>272</v>
      </c>
      <c r="CR1479" s="224"/>
      <c r="CS1479" s="230" t="s">
        <v>539</v>
      </c>
      <c r="CT1479" s="230"/>
      <c r="CU1479" s="230"/>
      <c r="CV1479" s="335">
        <f t="shared" si="357"/>
        <v>181159.42028985504</v>
      </c>
      <c r="CW1479" s="230">
        <f t="shared" si="360"/>
        <v>1</v>
      </c>
      <c r="CX1479" s="336" t="s">
        <v>539</v>
      </c>
      <c r="CY1479" s="230" t="s">
        <v>5921</v>
      </c>
    </row>
    <row r="1480" spans="1:103" ht="11.25" customHeight="1" x14ac:dyDescent="0.2">
      <c r="A1480" s="72">
        <v>812</v>
      </c>
      <c r="B1480" s="224">
        <v>420</v>
      </c>
      <c r="C1480" s="46" t="s">
        <v>7020</v>
      </c>
      <c r="D1480" s="46"/>
      <c r="E1480" s="114"/>
      <c r="F1480" s="114" t="s">
        <v>558</v>
      </c>
      <c r="G1480" s="225">
        <v>79572</v>
      </c>
      <c r="H1480" s="47" t="s">
        <v>559</v>
      </c>
      <c r="I1480" s="47" t="s">
        <v>8001</v>
      </c>
      <c r="J1480" s="47" t="s">
        <v>560</v>
      </c>
      <c r="K1480" s="47" t="s">
        <v>561</v>
      </c>
      <c r="L1480" s="51" t="s">
        <v>279</v>
      </c>
      <c r="M1480" s="47" t="s">
        <v>8521</v>
      </c>
      <c r="N1480" s="47"/>
      <c r="O1480" s="47" t="s">
        <v>281</v>
      </c>
      <c r="P1480" s="53"/>
      <c r="Q1480" s="53"/>
      <c r="R1480" s="53"/>
      <c r="S1480" s="53"/>
      <c r="T1480" s="48">
        <v>460.43</v>
      </c>
      <c r="U1480" s="98">
        <v>313</v>
      </c>
      <c r="V1480" s="98">
        <v>1399</v>
      </c>
      <c r="W1480" s="98">
        <v>3335.5204909732734</v>
      </c>
      <c r="X1480" s="98">
        <v>313</v>
      </c>
      <c r="Y1480" s="233">
        <v>5.66</v>
      </c>
      <c r="Z1480" s="48">
        <v>-2.87</v>
      </c>
      <c r="AA1480" s="48">
        <v>-0.9</v>
      </c>
      <c r="AB1480" s="48">
        <v>-1.27</v>
      </c>
      <c r="AC1480" s="48">
        <v>0.77769999999999995</v>
      </c>
      <c r="AD1480" s="48">
        <v>-1.32</v>
      </c>
      <c r="AE1480" s="48">
        <v>-1.5</v>
      </c>
      <c r="AF1480" s="48">
        <f t="shared" si="361"/>
        <v>-0.9</v>
      </c>
      <c r="AG1480" s="49">
        <v>-2.12</v>
      </c>
      <c r="AH1480" s="98">
        <v>1.7E-25</v>
      </c>
      <c r="AI1480" s="98"/>
      <c r="AJ1480" s="483">
        <f t="shared" ref="AJ1480:AJ1511" si="362">LOG10(AH1480*1000/(0.08206*298.15))</f>
        <v>-23.158117404934377</v>
      </c>
      <c r="AK1480" s="483"/>
      <c r="AL1480" s="483">
        <f t="shared" ref="AL1480:AL1511" si="363">IF(AK1480=0,AJ1480,AK1480)</f>
        <v>-23.158117404934377</v>
      </c>
      <c r="AM1480" s="483">
        <v>-41.229529999999997</v>
      </c>
      <c r="AN1480" s="226">
        <v>-32.4</v>
      </c>
      <c r="AO1480" s="484">
        <v>4.5</v>
      </c>
      <c r="AP1480" s="484">
        <v>10.8</v>
      </c>
      <c r="AQ1480" s="226" t="s">
        <v>6311</v>
      </c>
      <c r="AR1480" s="226" t="s">
        <v>6311</v>
      </c>
      <c r="AS1480" s="224" t="s">
        <v>120</v>
      </c>
      <c r="AT1480" s="50" t="s">
        <v>266</v>
      </c>
      <c r="AU1480" s="48">
        <v>8</v>
      </c>
      <c r="AV1480" s="48">
        <v>144</v>
      </c>
      <c r="AW1480" s="48">
        <v>120</v>
      </c>
      <c r="AX1480" s="48">
        <v>26</v>
      </c>
      <c r="AY1480" s="48" t="s">
        <v>267</v>
      </c>
      <c r="AZ1480" s="48" t="s">
        <v>2253</v>
      </c>
      <c r="BA1480" s="48">
        <v>2</v>
      </c>
      <c r="BB1480" s="47" t="s">
        <v>2254</v>
      </c>
      <c r="BC1480" s="47" t="s">
        <v>270</v>
      </c>
      <c r="BD1480" s="47" t="s">
        <v>8374</v>
      </c>
      <c r="BE1480" s="48" t="s">
        <v>1712</v>
      </c>
      <c r="BF1480" s="48" t="s">
        <v>272</v>
      </c>
      <c r="BG1480" s="48" t="s">
        <v>272</v>
      </c>
      <c r="BH1480" s="48" t="s">
        <v>2255</v>
      </c>
      <c r="BI1480" s="98">
        <v>4.6043000000000001E-4</v>
      </c>
      <c r="BJ1480" s="98">
        <v>36.834400000000002</v>
      </c>
      <c r="BK1480" s="48"/>
      <c r="BL1480" s="487">
        <v>8943563.8731396105</v>
      </c>
      <c r="BM1480" s="48" t="s">
        <v>891</v>
      </c>
      <c r="BN1480" s="233"/>
      <c r="BO1480" s="233"/>
      <c r="BP1480" s="233"/>
      <c r="BQ1480" s="233"/>
      <c r="BR1480" s="233"/>
      <c r="BS1480" s="48"/>
      <c r="BT1480" s="233"/>
      <c r="BU1480" s="228"/>
      <c r="BV1480" s="233"/>
      <c r="BW1480" s="233"/>
      <c r="BX1480" s="233"/>
      <c r="BY1480" s="233"/>
      <c r="BZ1480" s="233"/>
      <c r="CA1480" s="233"/>
      <c r="CB1480" s="233"/>
      <c r="CC1480" s="48"/>
      <c r="CD1480" s="48"/>
      <c r="CE1480" s="48"/>
      <c r="CF1480" s="48"/>
      <c r="CG1480" s="233"/>
      <c r="CH1480" s="48"/>
      <c r="CI1480" s="98"/>
      <c r="CJ1480" s="98"/>
      <c r="CK1480" s="49">
        <f t="shared" si="354"/>
        <v>242804.65741642623</v>
      </c>
      <c r="CL1480" s="229"/>
      <c r="CM1480" s="229"/>
      <c r="CN1480" s="229"/>
      <c r="CO1480" s="47" t="s">
        <v>892</v>
      </c>
      <c r="CP1480" s="500" t="s">
        <v>893</v>
      </c>
      <c r="CQ1480" s="224" t="s">
        <v>272</v>
      </c>
      <c r="CR1480" s="224"/>
      <c r="CS1480" s="230" t="s">
        <v>539</v>
      </c>
      <c r="CT1480" s="230"/>
      <c r="CU1480" s="230"/>
      <c r="CV1480" s="335">
        <f t="shared" si="357"/>
        <v>8.4974914753599897</v>
      </c>
      <c r="CW1480" s="230">
        <f t="shared" si="360"/>
        <v>1</v>
      </c>
      <c r="CX1480" s="336" t="s">
        <v>539</v>
      </c>
      <c r="CY1480" s="230" t="s">
        <v>5921</v>
      </c>
    </row>
    <row r="1481" spans="1:103" ht="11.25" customHeight="1" x14ac:dyDescent="0.2">
      <c r="A1481" s="72">
        <v>821</v>
      </c>
      <c r="B1481" s="224">
        <v>470</v>
      </c>
      <c r="C1481" s="46" t="s">
        <v>1874</v>
      </c>
      <c r="D1481" s="46"/>
      <c r="E1481" s="114"/>
      <c r="F1481" s="114" t="s">
        <v>1875</v>
      </c>
      <c r="G1481" s="225">
        <v>83794</v>
      </c>
      <c r="H1481" s="47" t="s">
        <v>1876</v>
      </c>
      <c r="I1481" s="47" t="s">
        <v>1876</v>
      </c>
      <c r="J1481" s="47" t="s">
        <v>1877</v>
      </c>
      <c r="K1481" s="47" t="s">
        <v>1878</v>
      </c>
      <c r="L1481" s="47" t="s">
        <v>617</v>
      </c>
      <c r="M1481" s="47" t="s">
        <v>6099</v>
      </c>
      <c r="N1481" s="47" t="s">
        <v>6381</v>
      </c>
      <c r="O1481" s="47" t="s">
        <v>6100</v>
      </c>
      <c r="P1481" s="53"/>
      <c r="Q1481" s="53"/>
      <c r="R1481" s="53"/>
      <c r="S1481" s="53"/>
      <c r="T1481" s="48">
        <v>394.42</v>
      </c>
      <c r="U1481" s="98">
        <v>0.19999999999999998</v>
      </c>
      <c r="V1481" s="98">
        <v>1.0449999999999999</v>
      </c>
      <c r="W1481" s="98">
        <v>0.27287197154984649</v>
      </c>
      <c r="X1481" s="98">
        <v>0.19999999999999998</v>
      </c>
      <c r="Y1481" s="233">
        <v>7</v>
      </c>
      <c r="Z1481" s="48">
        <v>4.3099999999999996</v>
      </c>
      <c r="AA1481" s="48">
        <v>4.0999999999999996</v>
      </c>
      <c r="AB1481" s="48">
        <v>3.96</v>
      </c>
      <c r="AC1481" s="48">
        <v>0.64770000000000005</v>
      </c>
      <c r="AD1481" s="48">
        <v>4.24</v>
      </c>
      <c r="AE1481" s="48">
        <v>4.6500000000000004</v>
      </c>
      <c r="AF1481" s="48">
        <f t="shared" si="361"/>
        <v>4.0999999999999996</v>
      </c>
      <c r="AG1481" s="49">
        <v>3.51</v>
      </c>
      <c r="AH1481" s="98">
        <v>1.12E-13</v>
      </c>
      <c r="AI1481" s="98"/>
      <c r="AJ1481" s="483">
        <f t="shared" si="362"/>
        <v>-11.33934830364247</v>
      </c>
      <c r="AK1481" s="483"/>
      <c r="AL1481" s="483">
        <f t="shared" si="363"/>
        <v>-11.33934830364247</v>
      </c>
      <c r="AM1481" s="483">
        <v>-18.712900000000001</v>
      </c>
      <c r="AN1481" s="226">
        <v>-13</v>
      </c>
      <c r="AO1481" s="484"/>
      <c r="AP1481" s="484"/>
      <c r="AQ1481" s="226" t="s">
        <v>6311</v>
      </c>
      <c r="AR1481" s="226" t="s">
        <v>6311</v>
      </c>
      <c r="AS1481" s="224" t="s">
        <v>6</v>
      </c>
      <c r="AT1481" s="50" t="s">
        <v>266</v>
      </c>
      <c r="AU1481" s="48">
        <v>8</v>
      </c>
      <c r="AV1481" s="48">
        <v>144</v>
      </c>
      <c r="AW1481" s="48">
        <v>120</v>
      </c>
      <c r="AX1481" s="48">
        <v>26</v>
      </c>
      <c r="AY1481" s="48" t="s">
        <v>267</v>
      </c>
      <c r="AZ1481" s="48" t="s">
        <v>2253</v>
      </c>
      <c r="BA1481" s="48">
        <v>3</v>
      </c>
      <c r="BB1481" s="47" t="s">
        <v>2254</v>
      </c>
      <c r="BC1481" s="47" t="s">
        <v>270</v>
      </c>
      <c r="BD1481" s="47" t="s">
        <v>8374</v>
      </c>
      <c r="BE1481" s="48" t="s">
        <v>1712</v>
      </c>
      <c r="BF1481" s="48" t="s">
        <v>272</v>
      </c>
      <c r="BG1481" s="48" t="s">
        <v>272</v>
      </c>
      <c r="BH1481" s="48" t="s">
        <v>2255</v>
      </c>
      <c r="BI1481" s="98">
        <v>3.9441999999999998E-4</v>
      </c>
      <c r="BJ1481" s="98">
        <v>31.553600000000003</v>
      </c>
      <c r="BK1481" s="48"/>
      <c r="BL1481" s="487">
        <v>2.7286506021710006</v>
      </c>
      <c r="BM1481" s="48" t="s">
        <v>891</v>
      </c>
      <c r="BN1481" s="233"/>
      <c r="BO1481" s="233"/>
      <c r="BP1481" s="233"/>
      <c r="BQ1481" s="233"/>
      <c r="BR1481" s="233"/>
      <c r="BS1481" s="48"/>
      <c r="BT1481" s="233"/>
      <c r="BU1481" s="228"/>
      <c r="BV1481" s="233"/>
      <c r="BW1481" s="233"/>
      <c r="BX1481" s="233"/>
      <c r="BY1481" s="233"/>
      <c r="BZ1481" s="233"/>
      <c r="CA1481" s="233"/>
      <c r="CB1481" s="233"/>
      <c r="CC1481" s="48"/>
      <c r="CD1481" s="48"/>
      <c r="CE1481" s="48"/>
      <c r="CF1481" s="48"/>
      <c r="CG1481" s="233"/>
      <c r="CH1481" s="48"/>
      <c r="CI1481" s="98"/>
      <c r="CJ1481" s="98"/>
      <c r="CK1481" s="49">
        <f t="shared" si="354"/>
        <v>8.6476681018045495E-2</v>
      </c>
      <c r="CL1481" s="229"/>
      <c r="CM1481" s="229">
        <v>-2.0084096709868953</v>
      </c>
      <c r="CN1481" s="229">
        <f>BJ1481/(10^CM1481)</f>
        <v>3217.0557474711354</v>
      </c>
      <c r="CO1481" s="47" t="s">
        <v>892</v>
      </c>
      <c r="CP1481" s="500" t="s">
        <v>893</v>
      </c>
      <c r="CQ1481" s="224">
        <v>-1.6099760319324279</v>
      </c>
      <c r="CR1481" s="224">
        <f>10^(CJ1481-CQ1481)</f>
        <v>40.735779571188246</v>
      </c>
      <c r="CS1481" s="230" t="s">
        <v>539</v>
      </c>
      <c r="CT1481" s="230"/>
      <c r="CU1481" s="230"/>
      <c r="CV1481" s="335">
        <f t="shared" si="357"/>
        <v>6.3384209725673131E-3</v>
      </c>
      <c r="CW1481" s="230">
        <f t="shared" si="360"/>
        <v>0</v>
      </c>
      <c r="CX1481" s="336" t="s">
        <v>539</v>
      </c>
      <c r="CY1481" s="230" t="s">
        <v>5921</v>
      </c>
    </row>
    <row r="1482" spans="1:103" ht="11.25" customHeight="1" x14ac:dyDescent="0.2">
      <c r="A1482" s="72">
        <v>825</v>
      </c>
      <c r="B1482" s="224">
        <v>313</v>
      </c>
      <c r="C1482" s="46" t="s">
        <v>7029</v>
      </c>
      <c r="D1482" s="46"/>
      <c r="E1482" s="114"/>
      <c r="F1482" s="114" t="s">
        <v>3836</v>
      </c>
      <c r="G1482" s="225">
        <v>85007</v>
      </c>
      <c r="H1482" s="47" t="s">
        <v>2456</v>
      </c>
      <c r="I1482" s="47" t="s">
        <v>2456</v>
      </c>
      <c r="J1482" s="47" t="s">
        <v>2457</v>
      </c>
      <c r="K1482" s="47" t="s">
        <v>426</v>
      </c>
      <c r="L1482" s="47"/>
      <c r="M1482" s="47" t="s">
        <v>2342</v>
      </c>
      <c r="N1482" s="47" t="s">
        <v>2342</v>
      </c>
      <c r="O1482" s="47"/>
      <c r="P1482" s="53"/>
      <c r="Q1482" s="53" t="s">
        <v>6173</v>
      </c>
      <c r="R1482" s="53" t="s">
        <v>6185</v>
      </c>
      <c r="S1482" s="53" t="s">
        <v>6182</v>
      </c>
      <c r="T1482" s="48">
        <v>344.05</v>
      </c>
      <c r="U1482" s="98">
        <v>708000</v>
      </c>
      <c r="V1482" s="98">
        <v>134500</v>
      </c>
      <c r="W1482" s="98"/>
      <c r="X1482" s="98">
        <v>708000</v>
      </c>
      <c r="Y1482" s="233"/>
      <c r="Z1482" s="48">
        <v>-2.82</v>
      </c>
      <c r="AA1482" s="48"/>
      <c r="AB1482" s="48"/>
      <c r="AC1482" s="48"/>
      <c r="AD1482" s="48"/>
      <c r="AE1482" s="48"/>
      <c r="AF1482" s="48"/>
      <c r="AG1482" s="49">
        <v>3.61</v>
      </c>
      <c r="AH1482" s="98">
        <v>1.42E-13</v>
      </c>
      <c r="AI1482" s="98"/>
      <c r="AJ1482" s="483">
        <f t="shared" si="362"/>
        <v>-11.236277981929595</v>
      </c>
      <c r="AK1482" s="483"/>
      <c r="AL1482" s="483">
        <f t="shared" si="363"/>
        <v>-11.236277981929595</v>
      </c>
      <c r="AM1482" s="483"/>
      <c r="AN1482" s="226">
        <v>-10.4</v>
      </c>
      <c r="AO1482" s="484"/>
      <c r="AP1482" s="484"/>
      <c r="AQ1482" s="226" t="s">
        <v>6311</v>
      </c>
      <c r="AR1482" s="226" t="s">
        <v>6311</v>
      </c>
      <c r="AS1482" s="224" t="s">
        <v>6</v>
      </c>
      <c r="AT1482" s="50" t="s">
        <v>266</v>
      </c>
      <c r="AU1482" s="48">
        <v>8</v>
      </c>
      <c r="AV1482" s="48">
        <v>144</v>
      </c>
      <c r="AW1482" s="48">
        <v>120</v>
      </c>
      <c r="AX1482" s="48">
        <v>26</v>
      </c>
      <c r="AY1482" s="48" t="s">
        <v>267</v>
      </c>
      <c r="AZ1482" s="48" t="s">
        <v>2253</v>
      </c>
      <c r="BA1482" s="48">
        <v>2</v>
      </c>
      <c r="BB1482" s="47" t="s">
        <v>2254</v>
      </c>
      <c r="BC1482" s="47" t="s">
        <v>270</v>
      </c>
      <c r="BD1482" s="47" t="s">
        <v>8374</v>
      </c>
      <c r="BE1482" s="48" t="s">
        <v>1712</v>
      </c>
      <c r="BF1482" s="48" t="s">
        <v>272</v>
      </c>
      <c r="BG1482" s="48" t="s">
        <v>272</v>
      </c>
      <c r="BH1482" s="48" t="s">
        <v>2255</v>
      </c>
      <c r="BI1482" s="98">
        <v>3.4404999999999999E-4</v>
      </c>
      <c r="BJ1482" s="98">
        <v>27.524000000000001</v>
      </c>
      <c r="BK1482" s="48"/>
      <c r="BL1482" s="487">
        <v>6026477.8154264027</v>
      </c>
      <c r="BM1482" s="48" t="s">
        <v>891</v>
      </c>
      <c r="BN1482" s="233"/>
      <c r="BO1482" s="233"/>
      <c r="BP1482" s="233"/>
      <c r="BQ1482" s="233"/>
      <c r="BR1482" s="233"/>
      <c r="BS1482" s="48"/>
      <c r="BT1482" s="233"/>
      <c r="BU1482" s="228"/>
      <c r="BV1482" s="233"/>
      <c r="BW1482" s="233"/>
      <c r="BX1482" s="233"/>
      <c r="BY1482" s="233"/>
      <c r="BZ1482" s="233"/>
      <c r="CA1482" s="233"/>
      <c r="CB1482" s="233"/>
      <c r="CC1482" s="48"/>
      <c r="CD1482" s="48"/>
      <c r="CE1482" s="48"/>
      <c r="CF1482" s="48"/>
      <c r="CG1482" s="233"/>
      <c r="CH1482" s="48"/>
      <c r="CI1482" s="98"/>
      <c r="CJ1482" s="98"/>
      <c r="CK1482" s="49">
        <f t="shared" si="354"/>
        <v>218953.56108946382</v>
      </c>
      <c r="CL1482" s="229"/>
      <c r="CM1482" s="229">
        <v>1.146128035678238</v>
      </c>
      <c r="CN1482" s="229">
        <f>BJ1482/(10^CM1482)</f>
        <v>1.9659999999999995</v>
      </c>
      <c r="CO1482" s="47" t="s">
        <v>892</v>
      </c>
      <c r="CP1482" s="500" t="s">
        <v>893</v>
      </c>
      <c r="CQ1482" s="224">
        <v>1.9333437564467348</v>
      </c>
      <c r="CR1482" s="224">
        <f>10^(CJ1482-CQ1482)</f>
        <v>1.1658864194469352E-2</v>
      </c>
      <c r="CS1482" s="230" t="s">
        <v>539</v>
      </c>
      <c r="CT1482" s="230"/>
      <c r="CU1482" s="230"/>
      <c r="CV1482" s="335">
        <f t="shared" si="357"/>
        <v>25723.005377125417</v>
      </c>
      <c r="CW1482" s="230">
        <f t="shared" si="360"/>
        <v>1</v>
      </c>
      <c r="CX1482" s="336" t="s">
        <v>539</v>
      </c>
      <c r="CY1482" s="230" t="s">
        <v>5921</v>
      </c>
    </row>
    <row r="1483" spans="1:103" ht="11.25" customHeight="1" x14ac:dyDescent="0.2">
      <c r="A1483" s="72">
        <v>834</v>
      </c>
      <c r="B1483" s="224">
        <v>476</v>
      </c>
      <c r="C1483" s="46" t="s">
        <v>7036</v>
      </c>
      <c r="D1483" s="46" t="s">
        <v>8567</v>
      </c>
      <c r="E1483" s="114"/>
      <c r="F1483" s="114" t="s">
        <v>3535</v>
      </c>
      <c r="G1483" s="225">
        <v>87901</v>
      </c>
      <c r="H1483" s="47" t="s">
        <v>3536</v>
      </c>
      <c r="I1483" s="47" t="s">
        <v>8004</v>
      </c>
      <c r="J1483" s="47" t="s">
        <v>3537</v>
      </c>
      <c r="K1483" s="47" t="s">
        <v>2580</v>
      </c>
      <c r="L1483" s="47" t="s">
        <v>6140</v>
      </c>
      <c r="M1483" s="47" t="s">
        <v>6082</v>
      </c>
      <c r="N1483" s="47" t="s">
        <v>6082</v>
      </c>
      <c r="O1483" s="47" t="s">
        <v>6083</v>
      </c>
      <c r="P1483" s="53"/>
      <c r="Q1483" s="53"/>
      <c r="R1483" s="53"/>
      <c r="S1483" s="53"/>
      <c r="T1483" s="48">
        <v>232.41</v>
      </c>
      <c r="U1483" s="98">
        <v>12000</v>
      </c>
      <c r="V1483" s="98">
        <v>4610</v>
      </c>
      <c r="W1483" s="98">
        <v>8246.2179791775234</v>
      </c>
      <c r="X1483" s="98">
        <v>12000</v>
      </c>
      <c r="Y1483" s="233">
        <v>7</v>
      </c>
      <c r="Z1483" s="48">
        <v>0.94</v>
      </c>
      <c r="AA1483" s="48"/>
      <c r="AB1483" s="48">
        <v>1.1000000000000001</v>
      </c>
      <c r="AC1483" s="48">
        <v>0.2382</v>
      </c>
      <c r="AD1483" s="48">
        <v>0.42</v>
      </c>
      <c r="AE1483" s="48">
        <v>0.11</v>
      </c>
      <c r="AF1483" s="48">
        <f t="shared" ref="AF1483:AF1514" si="364">IF(AA1483=0,AD1483,AA1483)</f>
        <v>0.42</v>
      </c>
      <c r="AG1483" s="49">
        <v>0.34</v>
      </c>
      <c r="AH1483" s="98">
        <v>6.1900000000000001E-11</v>
      </c>
      <c r="AI1483" s="98"/>
      <c r="AJ1483" s="483">
        <f t="shared" si="362"/>
        <v>-8.5968756772925339</v>
      </c>
      <c r="AK1483" s="483"/>
      <c r="AL1483" s="483">
        <f t="shared" si="363"/>
        <v>-8.5968756772925339</v>
      </c>
      <c r="AM1483" s="483">
        <v>-12.730219999999999</v>
      </c>
      <c r="AN1483" s="226">
        <v>-2.99</v>
      </c>
      <c r="AO1483" s="484"/>
      <c r="AP1483" s="484">
        <v>-4.49</v>
      </c>
      <c r="AQ1483" s="226" t="s">
        <v>6311</v>
      </c>
      <c r="AR1483" s="226" t="s">
        <v>6311</v>
      </c>
      <c r="AS1483" s="224" t="s">
        <v>6</v>
      </c>
      <c r="AT1483" s="50" t="s">
        <v>266</v>
      </c>
      <c r="AU1483" s="48">
        <v>8</v>
      </c>
      <c r="AV1483" s="48">
        <v>144</v>
      </c>
      <c r="AW1483" s="48">
        <v>120</v>
      </c>
      <c r="AX1483" s="48">
        <v>26</v>
      </c>
      <c r="AY1483" s="48" t="s">
        <v>267</v>
      </c>
      <c r="AZ1483" s="48" t="s">
        <v>2253</v>
      </c>
      <c r="BA1483" s="48">
        <v>2</v>
      </c>
      <c r="BB1483" s="47" t="s">
        <v>2254</v>
      </c>
      <c r="BC1483" s="47" t="s">
        <v>270</v>
      </c>
      <c r="BD1483" s="47" t="s">
        <v>8374</v>
      </c>
      <c r="BE1483" s="48" t="s">
        <v>1712</v>
      </c>
      <c r="BF1483" s="48" t="s">
        <v>272</v>
      </c>
      <c r="BG1483" s="48" t="s">
        <v>272</v>
      </c>
      <c r="BH1483" s="48" t="s">
        <v>2255</v>
      </c>
      <c r="BI1483" s="98">
        <v>2.3240999999999998E-4</v>
      </c>
      <c r="BJ1483" s="98">
        <v>18.5928</v>
      </c>
      <c r="BK1483" s="48"/>
      <c r="BL1483" s="487">
        <v>1709.3886290702881</v>
      </c>
      <c r="BM1483" s="48" t="s">
        <v>891</v>
      </c>
      <c r="BN1483" s="233"/>
      <c r="BO1483" s="233"/>
      <c r="BP1483" s="233"/>
      <c r="BQ1483" s="233"/>
      <c r="BR1483" s="233"/>
      <c r="BS1483" s="48"/>
      <c r="BT1483" s="233"/>
      <c r="BU1483" s="228"/>
      <c r="BV1483" s="233"/>
      <c r="BW1483" s="233"/>
      <c r="BX1483" s="233"/>
      <c r="BY1483" s="233"/>
      <c r="BZ1483" s="233"/>
      <c r="CA1483" s="233"/>
      <c r="CB1483" s="233"/>
      <c r="CC1483" s="48"/>
      <c r="CD1483" s="48"/>
      <c r="CE1483" s="48"/>
      <c r="CF1483" s="48"/>
      <c r="CG1483" s="233"/>
      <c r="CH1483" s="48"/>
      <c r="CI1483" s="98"/>
      <c r="CJ1483" s="98"/>
      <c r="CK1483" s="49">
        <f t="shared" si="354"/>
        <v>91.93820344812444</v>
      </c>
      <c r="CL1483" s="229"/>
      <c r="CM1483" s="229"/>
      <c r="CN1483" s="229"/>
      <c r="CO1483" s="47" t="s">
        <v>892</v>
      </c>
      <c r="CP1483" s="500" t="s">
        <v>893</v>
      </c>
      <c r="CQ1483" s="224">
        <v>-0.58335453278018778</v>
      </c>
      <c r="CR1483" s="224">
        <f>10^(CJ1483-CQ1483)</f>
        <v>3.8313738678771547</v>
      </c>
      <c r="CS1483" s="230" t="s">
        <v>539</v>
      </c>
      <c r="CT1483" s="230"/>
      <c r="CU1483" s="230"/>
      <c r="CV1483" s="335">
        <f t="shared" si="357"/>
        <v>645.41112688782755</v>
      </c>
      <c r="CW1483" s="230">
        <f t="shared" si="360"/>
        <v>1</v>
      </c>
      <c r="CX1483" s="336" t="s">
        <v>539</v>
      </c>
      <c r="CY1483" s="230" t="s">
        <v>5921</v>
      </c>
    </row>
    <row r="1484" spans="1:103" ht="11.25" customHeight="1" x14ac:dyDescent="0.2">
      <c r="A1484" s="72">
        <v>858</v>
      </c>
      <c r="B1484" s="224">
        <v>374</v>
      </c>
      <c r="C1484" s="46" t="s">
        <v>7055</v>
      </c>
      <c r="D1484" s="46" t="s">
        <v>8570</v>
      </c>
      <c r="E1484" s="114"/>
      <c r="F1484" s="114" t="s">
        <v>3918</v>
      </c>
      <c r="G1484" s="225">
        <v>94746</v>
      </c>
      <c r="H1484" s="47" t="s">
        <v>3919</v>
      </c>
      <c r="I1484" s="47" t="s">
        <v>8005</v>
      </c>
      <c r="J1484" s="47" t="s">
        <v>3920</v>
      </c>
      <c r="K1484" s="47" t="s">
        <v>426</v>
      </c>
      <c r="L1484" s="47" t="s">
        <v>6033</v>
      </c>
      <c r="M1484" s="47" t="s">
        <v>6082</v>
      </c>
      <c r="N1484" s="47" t="s">
        <v>6082</v>
      </c>
      <c r="O1484" s="47" t="s">
        <v>6083</v>
      </c>
      <c r="P1484" s="53"/>
      <c r="Q1484" s="53"/>
      <c r="R1484" s="53"/>
      <c r="S1484" s="53"/>
      <c r="T1484" s="48">
        <v>200.62</v>
      </c>
      <c r="U1484" s="98">
        <v>630</v>
      </c>
      <c r="V1484" s="98">
        <v>180.9</v>
      </c>
      <c r="W1484" s="98">
        <v>1265.8266244961624</v>
      </c>
      <c r="X1484" s="98">
        <v>630</v>
      </c>
      <c r="Y1484" s="233">
        <v>2.74</v>
      </c>
      <c r="Z1484" s="48">
        <v>2.52</v>
      </c>
      <c r="AA1484" s="48">
        <v>3.25</v>
      </c>
      <c r="AB1484" s="48">
        <v>2.57</v>
      </c>
      <c r="AC1484" s="48">
        <v>0.86439999999999995</v>
      </c>
      <c r="AD1484" s="48">
        <v>2.5499999999999998</v>
      </c>
      <c r="AE1484" s="48">
        <v>2.4900000000000002</v>
      </c>
      <c r="AF1484" s="48">
        <f t="shared" si="364"/>
        <v>3.25</v>
      </c>
      <c r="AG1484" s="49">
        <v>2.29</v>
      </c>
      <c r="AH1484" s="98">
        <v>1.37E-8</v>
      </c>
      <c r="AI1484" s="98">
        <v>1.33E-9</v>
      </c>
      <c r="AJ1484" s="483">
        <f t="shared" si="362"/>
        <v>-6.2518457591562449</v>
      </c>
      <c r="AK1484" s="483">
        <f>LOG10(AI1484*1000/(0.08206*298.15))</f>
        <v>-7.2647146853455657</v>
      </c>
      <c r="AL1484" s="483">
        <f t="shared" si="363"/>
        <v>-7.2647146853455657</v>
      </c>
      <c r="AM1484" s="483">
        <v>-9.7762999999999991</v>
      </c>
      <c r="AN1484" s="226">
        <v>-8.1999999999999993</v>
      </c>
      <c r="AO1484" s="484">
        <v>3.14</v>
      </c>
      <c r="AP1484" s="484"/>
      <c r="AQ1484" s="226" t="s">
        <v>6311</v>
      </c>
      <c r="AR1484" s="226" t="s">
        <v>6311</v>
      </c>
      <c r="AS1484" s="224" t="s">
        <v>6</v>
      </c>
      <c r="AT1484" s="50" t="s">
        <v>266</v>
      </c>
      <c r="AU1484" s="48">
        <v>8</v>
      </c>
      <c r="AV1484" s="48">
        <v>144</v>
      </c>
      <c r="AW1484" s="48">
        <v>120</v>
      </c>
      <c r="AX1484" s="48">
        <v>26</v>
      </c>
      <c r="AY1484" s="48" t="s">
        <v>267</v>
      </c>
      <c r="AZ1484" s="48" t="s">
        <v>2253</v>
      </c>
      <c r="BA1484" s="48">
        <v>2</v>
      </c>
      <c r="BB1484" s="47" t="s">
        <v>2254</v>
      </c>
      <c r="BC1484" s="47" t="s">
        <v>270</v>
      </c>
      <c r="BD1484" s="47" t="s">
        <v>8374</v>
      </c>
      <c r="BE1484" s="48" t="s">
        <v>1712</v>
      </c>
      <c r="BF1484" s="48" t="s">
        <v>272</v>
      </c>
      <c r="BG1484" s="48" t="s">
        <v>272</v>
      </c>
      <c r="BH1484" s="48" t="s">
        <v>2255</v>
      </c>
      <c r="BI1484" s="98">
        <v>2.0061999999999999E-4</v>
      </c>
      <c r="BJ1484" s="98">
        <v>16.049600000000002</v>
      </c>
      <c r="BK1484" s="48"/>
      <c r="BL1484" s="487">
        <v>56.229241617620396</v>
      </c>
      <c r="BM1484" s="48" t="s">
        <v>891</v>
      </c>
      <c r="BN1484" s="233"/>
      <c r="BO1484" s="233"/>
      <c r="BP1484" s="233"/>
      <c r="BQ1484" s="233"/>
      <c r="BR1484" s="233"/>
      <c r="BS1484" s="48"/>
      <c r="BT1484" s="233"/>
      <c r="BU1484" s="228"/>
      <c r="BV1484" s="233"/>
      <c r="BW1484" s="233"/>
      <c r="BX1484" s="233"/>
      <c r="BY1484" s="233"/>
      <c r="BZ1484" s="233"/>
      <c r="CA1484" s="233"/>
      <c r="CB1484" s="233"/>
      <c r="CC1484" s="48"/>
      <c r="CD1484" s="48"/>
      <c r="CE1484" s="48"/>
      <c r="CF1484" s="48"/>
      <c r="CG1484" s="233"/>
      <c r="CH1484" s="48"/>
      <c r="CI1484" s="98"/>
      <c r="CJ1484" s="98"/>
      <c r="CK1484" s="49">
        <f t="shared" si="354"/>
        <v>3.5034668538543259</v>
      </c>
      <c r="CL1484" s="229"/>
      <c r="CM1484" s="229"/>
      <c r="CN1484" s="229"/>
      <c r="CO1484" s="47" t="s">
        <v>892</v>
      </c>
      <c r="CP1484" s="500" t="s">
        <v>893</v>
      </c>
      <c r="CQ1484" s="224">
        <v>1.9650677110774168</v>
      </c>
      <c r="CR1484" s="224">
        <f>10^(CJ1484-CQ1484)</f>
        <v>1.0837579315885276E-2</v>
      </c>
      <c r="CS1484" s="230" t="s">
        <v>539</v>
      </c>
      <c r="CT1484" s="230"/>
      <c r="CU1484" s="230"/>
      <c r="CV1484" s="335">
        <f t="shared" si="357"/>
        <v>39.253314724354496</v>
      </c>
      <c r="CW1484" s="230">
        <f t="shared" si="360"/>
        <v>1</v>
      </c>
      <c r="CX1484" s="336" t="s">
        <v>539</v>
      </c>
      <c r="CY1484" s="230" t="s">
        <v>5921</v>
      </c>
    </row>
    <row r="1485" spans="1:103" ht="11.25" customHeight="1" x14ac:dyDescent="0.2">
      <c r="A1485" s="72">
        <v>860</v>
      </c>
      <c r="B1485" s="224">
        <v>212</v>
      </c>
      <c r="C1485" s="46" t="s">
        <v>2209</v>
      </c>
      <c r="D1485" s="46"/>
      <c r="E1485" s="114"/>
      <c r="F1485" s="114" t="s">
        <v>2210</v>
      </c>
      <c r="G1485" s="225">
        <v>94757</v>
      </c>
      <c r="H1485" s="47" t="s">
        <v>2211</v>
      </c>
      <c r="I1485" s="47" t="s">
        <v>8006</v>
      </c>
      <c r="J1485" s="47" t="s">
        <v>2212</v>
      </c>
      <c r="K1485" s="47" t="s">
        <v>426</v>
      </c>
      <c r="L1485" s="47" t="s">
        <v>6032</v>
      </c>
      <c r="M1485" s="47" t="s">
        <v>6082</v>
      </c>
      <c r="N1485" s="47" t="s">
        <v>6082</v>
      </c>
      <c r="O1485" s="47" t="s">
        <v>6083</v>
      </c>
      <c r="P1485" s="53"/>
      <c r="Q1485" s="53"/>
      <c r="R1485" s="53"/>
      <c r="S1485" s="53"/>
      <c r="T1485" s="48">
        <v>221.04</v>
      </c>
      <c r="U1485" s="98">
        <v>677</v>
      </c>
      <c r="V1485" s="98">
        <v>336.2</v>
      </c>
      <c r="W1485" s="98">
        <v>715.27141927724961</v>
      </c>
      <c r="X1485" s="98">
        <v>677</v>
      </c>
      <c r="Y1485" s="233">
        <v>2.86</v>
      </c>
      <c r="Z1485" s="48">
        <v>2.62</v>
      </c>
      <c r="AA1485" s="48">
        <v>2.81</v>
      </c>
      <c r="AB1485" s="48">
        <v>2.91</v>
      </c>
      <c r="AC1485" s="48">
        <v>0.88449999999999995</v>
      </c>
      <c r="AD1485" s="48">
        <v>2.84</v>
      </c>
      <c r="AE1485" s="48">
        <v>2.58</v>
      </c>
      <c r="AF1485" s="48">
        <f t="shared" si="364"/>
        <v>2.81</v>
      </c>
      <c r="AG1485" s="49">
        <v>2.5099999999999998</v>
      </c>
      <c r="AH1485" s="98">
        <v>9.2099999999999994E-9</v>
      </c>
      <c r="AI1485" s="98">
        <v>3.5399999999999999E-8</v>
      </c>
      <c r="AJ1485" s="483">
        <f t="shared" si="362"/>
        <v>-6.4243066961158029</v>
      </c>
      <c r="AK1485" s="483">
        <f>LOG10(AI1485*1000/(0.08206*298.15))</f>
        <v>-5.8395630642868639</v>
      </c>
      <c r="AL1485" s="483">
        <f t="shared" si="363"/>
        <v>-5.8395630642868639</v>
      </c>
      <c r="AM1485" s="483">
        <v>-9.8747099999999985</v>
      </c>
      <c r="AN1485" s="226">
        <v>-7.63</v>
      </c>
      <c r="AO1485" s="484">
        <v>2.98</v>
      </c>
      <c r="AP1485" s="484"/>
      <c r="AQ1485" s="226" t="s">
        <v>6311</v>
      </c>
      <c r="AR1485" s="226" t="s">
        <v>6311</v>
      </c>
      <c r="AS1485" s="224" t="s">
        <v>6</v>
      </c>
      <c r="AT1485" s="50" t="s">
        <v>266</v>
      </c>
      <c r="AU1485" s="48">
        <v>8</v>
      </c>
      <c r="AV1485" s="48">
        <v>144</v>
      </c>
      <c r="AW1485" s="48">
        <v>120</v>
      </c>
      <c r="AX1485" s="48">
        <v>26</v>
      </c>
      <c r="AY1485" s="48" t="s">
        <v>267</v>
      </c>
      <c r="AZ1485" s="48" t="s">
        <v>2253</v>
      </c>
      <c r="BA1485" s="48">
        <v>2</v>
      </c>
      <c r="BB1485" s="47" t="s">
        <v>2254</v>
      </c>
      <c r="BC1485" s="47" t="s">
        <v>270</v>
      </c>
      <c r="BD1485" s="47" t="s">
        <v>8374</v>
      </c>
      <c r="BE1485" s="48" t="s">
        <v>1712</v>
      </c>
      <c r="BF1485" s="48" t="s">
        <v>272</v>
      </c>
      <c r="BG1485" s="48" t="s">
        <v>272</v>
      </c>
      <c r="BH1485" s="48" t="s">
        <v>2255</v>
      </c>
      <c r="BI1485" s="98">
        <v>2.2103999999999998E-4</v>
      </c>
      <c r="BJ1485" s="98">
        <v>17.683199999999999</v>
      </c>
      <c r="BK1485" s="48"/>
      <c r="BL1485" s="487">
        <v>50.37892218674029</v>
      </c>
      <c r="BM1485" s="48" t="s">
        <v>891</v>
      </c>
      <c r="BN1485" s="233"/>
      <c r="BO1485" s="233"/>
      <c r="BP1485" s="233"/>
      <c r="BQ1485" s="233"/>
      <c r="BR1485" s="233"/>
      <c r="BS1485" s="48"/>
      <c r="BT1485" s="233"/>
      <c r="BU1485" s="228"/>
      <c r="BV1485" s="233"/>
      <c r="BW1485" s="233"/>
      <c r="BX1485" s="233"/>
      <c r="BY1485" s="233"/>
      <c r="BZ1485" s="233"/>
      <c r="CA1485" s="233"/>
      <c r="CB1485" s="233"/>
      <c r="CC1485" s="48"/>
      <c r="CD1485" s="48"/>
      <c r="CE1485" s="48"/>
      <c r="CF1485" s="48"/>
      <c r="CG1485" s="233"/>
      <c r="CH1485" s="48"/>
      <c r="CI1485" s="98"/>
      <c r="CJ1485" s="98"/>
      <c r="CK1485" s="49">
        <f t="shared" si="354"/>
        <v>2.848970898182472</v>
      </c>
      <c r="CL1485" s="229"/>
      <c r="CM1485" s="229">
        <v>2.2041199826559246</v>
      </c>
      <c r="CN1485" s="229">
        <f>BJ1485/(10^CM1485)</f>
        <v>0.11052000000000003</v>
      </c>
      <c r="CO1485" s="47" t="s">
        <v>892</v>
      </c>
      <c r="CP1485" s="500" t="s">
        <v>893</v>
      </c>
      <c r="CQ1485" s="224">
        <v>2.4844649999726776</v>
      </c>
      <c r="CR1485" s="224">
        <f>10^(CJ1485-CQ1485)</f>
        <v>3.2774418882241972E-3</v>
      </c>
      <c r="CS1485" s="230" t="s">
        <v>539</v>
      </c>
      <c r="CT1485" s="230"/>
      <c r="CU1485" s="230"/>
      <c r="CV1485" s="335">
        <f t="shared" si="357"/>
        <v>38.284925805284111</v>
      </c>
      <c r="CW1485" s="230">
        <f t="shared" si="360"/>
        <v>1</v>
      </c>
      <c r="CX1485" s="336" t="s">
        <v>539</v>
      </c>
      <c r="CY1485" s="230" t="s">
        <v>5921</v>
      </c>
    </row>
    <row r="1486" spans="1:103" ht="11.25" customHeight="1" x14ac:dyDescent="0.2">
      <c r="A1486" s="72">
        <v>878</v>
      </c>
      <c r="B1486" s="224">
        <v>334</v>
      </c>
      <c r="C1486" s="46" t="s">
        <v>7074</v>
      </c>
      <c r="D1486" s="46"/>
      <c r="E1486" s="114"/>
      <c r="F1486" s="114" t="s">
        <v>3150</v>
      </c>
      <c r="G1486" s="225">
        <v>96457</v>
      </c>
      <c r="H1486" s="47" t="s">
        <v>3151</v>
      </c>
      <c r="I1486" s="47" t="s">
        <v>3151</v>
      </c>
      <c r="J1486" s="47" t="s">
        <v>3152</v>
      </c>
      <c r="K1486" s="47" t="s">
        <v>3153</v>
      </c>
      <c r="L1486" s="47"/>
      <c r="M1486" s="47" t="s">
        <v>3861</v>
      </c>
      <c r="N1486" s="47"/>
      <c r="O1486" s="47" t="s">
        <v>1516</v>
      </c>
      <c r="P1486" s="53"/>
      <c r="Q1486" s="53"/>
      <c r="R1486" s="53"/>
      <c r="S1486" s="53"/>
      <c r="T1486" s="48">
        <v>102.16</v>
      </c>
      <c r="U1486" s="98">
        <v>20000</v>
      </c>
      <c r="V1486" s="98">
        <v>210500.00000000003</v>
      </c>
      <c r="W1486" s="98">
        <v>114625.4052914886</v>
      </c>
      <c r="X1486" s="98">
        <v>20000</v>
      </c>
      <c r="Y1486" s="233">
        <v>8.0500000000000007</v>
      </c>
      <c r="Z1486" s="48">
        <v>-0.49</v>
      </c>
      <c r="AA1486" s="48">
        <v>-0.66</v>
      </c>
      <c r="AB1486" s="48">
        <v>-0.49</v>
      </c>
      <c r="AC1486" s="48">
        <v>0.89780000000000004</v>
      </c>
      <c r="AD1486" s="48">
        <v>-0.52</v>
      </c>
      <c r="AE1486" s="48">
        <v>-0.66</v>
      </c>
      <c r="AF1486" s="48">
        <f t="shared" si="364"/>
        <v>-0.66</v>
      </c>
      <c r="AG1486" s="49">
        <v>0.19</v>
      </c>
      <c r="AH1486" s="98">
        <v>3.3599999999999999E-7</v>
      </c>
      <c r="AI1486" s="98"/>
      <c r="AJ1486" s="483">
        <f t="shared" si="362"/>
        <v>-4.8622270489228079</v>
      </c>
      <c r="AK1486" s="483"/>
      <c r="AL1486" s="483">
        <f t="shared" si="363"/>
        <v>-4.8622270489228079</v>
      </c>
      <c r="AM1486" s="483">
        <v>-8.2308299999999992</v>
      </c>
      <c r="AN1486" s="226">
        <v>-10.1</v>
      </c>
      <c r="AO1486" s="484">
        <v>15.01</v>
      </c>
      <c r="AP1486" s="484">
        <v>2.09</v>
      </c>
      <c r="AQ1486" s="226" t="s">
        <v>6311</v>
      </c>
      <c r="AR1486" s="226" t="s">
        <v>6311</v>
      </c>
      <c r="AS1486" s="224" t="s">
        <v>6</v>
      </c>
      <c r="AT1486" s="50" t="s">
        <v>266</v>
      </c>
      <c r="AU1486" s="48">
        <v>8</v>
      </c>
      <c r="AV1486" s="48">
        <v>144</v>
      </c>
      <c r="AW1486" s="48">
        <v>120</v>
      </c>
      <c r="AX1486" s="48">
        <v>26</v>
      </c>
      <c r="AY1486" s="48" t="s">
        <v>267</v>
      </c>
      <c r="AZ1486" s="48" t="s">
        <v>2253</v>
      </c>
      <c r="BA1486" s="48">
        <v>2</v>
      </c>
      <c r="BB1486" s="47" t="s">
        <v>2254</v>
      </c>
      <c r="BC1486" s="47" t="s">
        <v>270</v>
      </c>
      <c r="BD1486" s="47" t="s">
        <v>8374</v>
      </c>
      <c r="BE1486" s="48" t="s">
        <v>1712</v>
      </c>
      <c r="BF1486" s="48" t="s">
        <v>272</v>
      </c>
      <c r="BG1486" s="48" t="s">
        <v>272</v>
      </c>
      <c r="BH1486" s="48" t="s">
        <v>2255</v>
      </c>
      <c r="BI1486" s="98">
        <v>1.0216E-4</v>
      </c>
      <c r="BJ1486" s="98">
        <v>8.1728000000000005</v>
      </c>
      <c r="BK1486" s="48"/>
      <c r="BL1486" s="487">
        <v>14459.387088215062</v>
      </c>
      <c r="BM1486" s="48" t="s">
        <v>891</v>
      </c>
      <c r="BN1486" s="233"/>
      <c r="BO1486" s="233"/>
      <c r="BP1486" s="233"/>
      <c r="BQ1486" s="233"/>
      <c r="BR1486" s="233"/>
      <c r="BS1486" s="48"/>
      <c r="BT1486" s="233"/>
      <c r="BU1486" s="228"/>
      <c r="BV1486" s="233"/>
      <c r="BW1486" s="233"/>
      <c r="BX1486" s="233"/>
      <c r="BY1486" s="233"/>
      <c r="BZ1486" s="233"/>
      <c r="CA1486" s="233"/>
      <c r="CB1486" s="233"/>
      <c r="CC1486" s="48"/>
      <c r="CD1486" s="48"/>
      <c r="CE1486" s="48"/>
      <c r="CF1486" s="48"/>
      <c r="CG1486" s="233"/>
      <c r="CH1486" s="48"/>
      <c r="CI1486" s="98"/>
      <c r="CJ1486" s="98"/>
      <c r="CK1486" s="49">
        <f t="shared" si="354"/>
        <v>1769.2084827984365</v>
      </c>
      <c r="CL1486" s="229"/>
      <c r="CM1486" s="229"/>
      <c r="CN1486" s="229"/>
      <c r="CO1486" s="47" t="s">
        <v>892</v>
      </c>
      <c r="CP1486" s="500" t="s">
        <v>893</v>
      </c>
      <c r="CQ1486" s="224" t="s">
        <v>272</v>
      </c>
      <c r="CR1486" s="224"/>
      <c r="CS1486" s="230" t="s">
        <v>539</v>
      </c>
      <c r="CT1486" s="230"/>
      <c r="CU1486" s="230"/>
      <c r="CV1486" s="335">
        <f t="shared" si="357"/>
        <v>2447.1417384494907</v>
      </c>
      <c r="CW1486" s="230">
        <f t="shared" si="360"/>
        <v>1</v>
      </c>
      <c r="CX1486" s="336" t="s">
        <v>539</v>
      </c>
      <c r="CY1486" s="230" t="s">
        <v>6351</v>
      </c>
    </row>
    <row r="1487" spans="1:103" ht="11.25" customHeight="1" x14ac:dyDescent="0.2">
      <c r="A1487" s="72">
        <v>890</v>
      </c>
      <c r="B1487" s="224">
        <v>282</v>
      </c>
      <c r="C1487" s="46" t="s">
        <v>7086</v>
      </c>
      <c r="D1487" s="46" t="s">
        <v>8574</v>
      </c>
      <c r="E1487" s="114"/>
      <c r="F1487" s="114" t="s">
        <v>3805</v>
      </c>
      <c r="G1487" s="225">
        <v>99309</v>
      </c>
      <c r="H1487" s="47" t="s">
        <v>3806</v>
      </c>
      <c r="I1487" s="47" t="s">
        <v>8016</v>
      </c>
      <c r="J1487" s="47" t="s">
        <v>3807</v>
      </c>
      <c r="K1487" s="47" t="s">
        <v>1573</v>
      </c>
      <c r="L1487" s="47" t="s">
        <v>5929</v>
      </c>
      <c r="M1487" s="47" t="s">
        <v>6082</v>
      </c>
      <c r="N1487" s="47" t="s">
        <v>6082</v>
      </c>
      <c r="O1487" s="47" t="s">
        <v>6083</v>
      </c>
      <c r="P1487" s="53"/>
      <c r="Q1487" s="53"/>
      <c r="R1487" s="53"/>
      <c r="S1487" s="53"/>
      <c r="T1487" s="48">
        <v>207.01</v>
      </c>
      <c r="U1487" s="98">
        <v>7</v>
      </c>
      <c r="V1487" s="98">
        <v>163.6</v>
      </c>
      <c r="W1487" s="98">
        <v>38.547065816058016</v>
      </c>
      <c r="X1487" s="98">
        <v>7</v>
      </c>
      <c r="Y1487" s="233">
        <v>7</v>
      </c>
      <c r="Z1487" s="48">
        <v>2.76</v>
      </c>
      <c r="AA1487" s="48">
        <v>2.8</v>
      </c>
      <c r="AB1487" s="48">
        <v>2.72</v>
      </c>
      <c r="AC1487" s="48">
        <v>0.93020000000000003</v>
      </c>
      <c r="AD1487" s="48">
        <v>2.88</v>
      </c>
      <c r="AE1487" s="48">
        <v>3.54</v>
      </c>
      <c r="AF1487" s="48">
        <f t="shared" si="364"/>
        <v>2.8</v>
      </c>
      <c r="AG1487" s="49">
        <v>2.08</v>
      </c>
      <c r="AH1487" s="98">
        <v>4.1199999999999998E-9</v>
      </c>
      <c r="AI1487" s="98">
        <v>4.6700000000000001E-8</v>
      </c>
      <c r="AJ1487" s="483">
        <f t="shared" si="362"/>
        <v>-6.773669110279517</v>
      </c>
      <c r="AK1487" s="483">
        <f>LOG10(AI1487*1000/(0.08206*298.15))</f>
        <v>-5.7192494457465397</v>
      </c>
      <c r="AL1487" s="483">
        <f t="shared" si="363"/>
        <v>-5.7192494457465397</v>
      </c>
      <c r="AM1487" s="483">
        <v>-9.5344400000000018</v>
      </c>
      <c r="AN1487" s="226">
        <v>-0.64400000000000002</v>
      </c>
      <c r="AO1487" s="484"/>
      <c r="AP1487" s="484">
        <v>-3.18</v>
      </c>
      <c r="AQ1487" s="226" t="s">
        <v>6311</v>
      </c>
      <c r="AR1487" s="226" t="s">
        <v>6311</v>
      </c>
      <c r="AS1487" s="224" t="s">
        <v>6</v>
      </c>
      <c r="AT1487" s="50" t="s">
        <v>266</v>
      </c>
      <c r="AU1487" s="48">
        <v>8</v>
      </c>
      <c r="AV1487" s="48">
        <v>144</v>
      </c>
      <c r="AW1487" s="48">
        <v>120</v>
      </c>
      <c r="AX1487" s="48">
        <v>26</v>
      </c>
      <c r="AY1487" s="48" t="s">
        <v>267</v>
      </c>
      <c r="AZ1487" s="48" t="s">
        <v>2253</v>
      </c>
      <c r="BA1487" s="48">
        <v>2</v>
      </c>
      <c r="BB1487" s="47" t="s">
        <v>2254</v>
      </c>
      <c r="BC1487" s="47" t="s">
        <v>270</v>
      </c>
      <c r="BD1487" s="47" t="s">
        <v>8374</v>
      </c>
      <c r="BE1487" s="48" t="s">
        <v>1712</v>
      </c>
      <c r="BF1487" s="48" t="s">
        <v>272</v>
      </c>
      <c r="BG1487" s="48" t="s">
        <v>272</v>
      </c>
      <c r="BH1487" s="48" t="s">
        <v>2255</v>
      </c>
      <c r="BI1487" s="98">
        <v>2.0700999999999998E-4</v>
      </c>
      <c r="BJ1487" s="98">
        <v>16.5608</v>
      </c>
      <c r="BK1487" s="48"/>
      <c r="BL1487" s="487">
        <v>35.321189875475142</v>
      </c>
      <c r="BM1487" s="48" t="s">
        <v>891</v>
      </c>
      <c r="BN1487" s="233"/>
      <c r="BO1487" s="233"/>
      <c r="BP1487" s="233"/>
      <c r="BQ1487" s="233"/>
      <c r="BR1487" s="233"/>
      <c r="BS1487" s="48"/>
      <c r="BT1487" s="233"/>
      <c r="BU1487" s="228"/>
      <c r="BV1487" s="233"/>
      <c r="BW1487" s="233"/>
      <c r="BX1487" s="233"/>
      <c r="BY1487" s="233"/>
      <c r="BZ1487" s="233"/>
      <c r="CA1487" s="233"/>
      <c r="CB1487" s="233"/>
      <c r="CC1487" s="48"/>
      <c r="CD1487" s="48"/>
      <c r="CE1487" s="48"/>
      <c r="CF1487" s="48"/>
      <c r="CG1487" s="233"/>
      <c r="CH1487" s="48"/>
      <c r="CI1487" s="98"/>
      <c r="CJ1487" s="98"/>
      <c r="CK1487" s="49">
        <f t="shared" si="354"/>
        <v>2.1328190591924994</v>
      </c>
      <c r="CL1487" s="229"/>
      <c r="CM1487" s="229"/>
      <c r="CN1487" s="229"/>
      <c r="CO1487" s="47" t="s">
        <v>892</v>
      </c>
      <c r="CP1487" s="500" t="s">
        <v>893</v>
      </c>
      <c r="CQ1487" s="224">
        <v>0.50196923099167701</v>
      </c>
      <c r="CR1487" s="224">
        <f>10^(CJ1487-CQ1487)</f>
        <v>0.31479713344921534</v>
      </c>
      <c r="CS1487" s="230" t="s">
        <v>539</v>
      </c>
      <c r="CT1487" s="230"/>
      <c r="CU1487" s="230"/>
      <c r="CV1487" s="335">
        <f t="shared" si="357"/>
        <v>0.42268489444954349</v>
      </c>
      <c r="CW1487" s="230">
        <f t="shared" si="360"/>
        <v>0</v>
      </c>
      <c r="CX1487" s="336" t="s">
        <v>539</v>
      </c>
      <c r="CY1487" s="230" t="s">
        <v>5921</v>
      </c>
    </row>
    <row r="1488" spans="1:103" ht="11.25" customHeight="1" x14ac:dyDescent="0.2">
      <c r="A1488" s="72">
        <v>912</v>
      </c>
      <c r="B1488" s="224">
        <v>257</v>
      </c>
      <c r="C1488" s="46" t="s">
        <v>7106</v>
      </c>
      <c r="D1488" s="46"/>
      <c r="E1488" s="114"/>
      <c r="F1488" s="114" t="s">
        <v>3764</v>
      </c>
      <c r="G1488" s="225">
        <v>101100</v>
      </c>
      <c r="H1488" s="47" t="s">
        <v>3765</v>
      </c>
      <c r="I1488" s="47" t="s">
        <v>8024</v>
      </c>
      <c r="J1488" s="47" t="s">
        <v>3766</v>
      </c>
      <c r="K1488" s="47" t="s">
        <v>426</v>
      </c>
      <c r="L1488" s="47"/>
      <c r="M1488" s="47"/>
      <c r="N1488" s="47"/>
      <c r="O1488" s="47"/>
      <c r="P1488" s="53"/>
      <c r="Q1488" s="53"/>
      <c r="R1488" s="53"/>
      <c r="S1488" s="53"/>
      <c r="T1488" s="48">
        <v>200.62</v>
      </c>
      <c r="U1488" s="98">
        <v>1200</v>
      </c>
      <c r="V1488" s="98">
        <v>980.7</v>
      </c>
      <c r="W1488" s="98">
        <v>1102.4889011331668</v>
      </c>
      <c r="X1488" s="98">
        <v>1200</v>
      </c>
      <c r="Y1488" s="233">
        <v>2.77</v>
      </c>
      <c r="Z1488" s="48">
        <v>2.39</v>
      </c>
      <c r="AA1488" s="48"/>
      <c r="AB1488" s="48">
        <v>2.44</v>
      </c>
      <c r="AC1488" s="48">
        <v>0.85780000000000001</v>
      </c>
      <c r="AD1488" s="48">
        <v>2.46</v>
      </c>
      <c r="AE1488" s="48">
        <v>2.52</v>
      </c>
      <c r="AF1488" s="48">
        <f t="shared" si="364"/>
        <v>2.46</v>
      </c>
      <c r="AG1488" s="49">
        <v>2.21</v>
      </c>
      <c r="AH1488" s="98">
        <v>1.6499999999999999E-8</v>
      </c>
      <c r="AI1488" s="98"/>
      <c r="AJ1488" s="483">
        <f t="shared" si="362"/>
        <v>-6.1710823820987457</v>
      </c>
      <c r="AK1488" s="483"/>
      <c r="AL1488" s="483">
        <f t="shared" si="363"/>
        <v>-6.1710823820987457</v>
      </c>
      <c r="AM1488" s="483">
        <v>-9.6279699999999995</v>
      </c>
      <c r="AN1488" s="226">
        <v>-8.07</v>
      </c>
      <c r="AO1488" s="484">
        <v>3.13</v>
      </c>
      <c r="AP1488" s="484"/>
      <c r="AQ1488" s="226" t="s">
        <v>6311</v>
      </c>
      <c r="AR1488" s="226" t="s">
        <v>6311</v>
      </c>
      <c r="AS1488" s="224" t="s">
        <v>6</v>
      </c>
      <c r="AT1488" s="50" t="s">
        <v>266</v>
      </c>
      <c r="AU1488" s="48">
        <v>8</v>
      </c>
      <c r="AV1488" s="48">
        <v>144</v>
      </c>
      <c r="AW1488" s="48">
        <v>120</v>
      </c>
      <c r="AX1488" s="48">
        <v>26</v>
      </c>
      <c r="AY1488" s="48" t="s">
        <v>267</v>
      </c>
      <c r="AZ1488" s="48" t="s">
        <v>2253</v>
      </c>
      <c r="BA1488" s="48">
        <v>2</v>
      </c>
      <c r="BB1488" s="47" t="s">
        <v>2254</v>
      </c>
      <c r="BC1488" s="47" t="s">
        <v>270</v>
      </c>
      <c r="BD1488" s="47" t="s">
        <v>8374</v>
      </c>
      <c r="BE1488" s="48" t="s">
        <v>1712</v>
      </c>
      <c r="BF1488" s="48" t="s">
        <v>272</v>
      </c>
      <c r="BG1488" s="48" t="s">
        <v>272</v>
      </c>
      <c r="BH1488" s="48" t="s">
        <v>2255</v>
      </c>
      <c r="BI1488" s="98">
        <v>2.0061999999999999E-4</v>
      </c>
      <c r="BJ1488" s="98">
        <v>16.049600000000002</v>
      </c>
      <c r="BK1488" s="48"/>
      <c r="BL1488" s="487">
        <v>73.57245128159181</v>
      </c>
      <c r="BM1488" s="48" t="s">
        <v>891</v>
      </c>
      <c r="BN1488" s="233"/>
      <c r="BO1488" s="233"/>
      <c r="BP1488" s="233"/>
      <c r="BQ1488" s="233"/>
      <c r="BR1488" s="233"/>
      <c r="BS1488" s="48"/>
      <c r="BT1488" s="233"/>
      <c r="BU1488" s="228"/>
      <c r="BV1488" s="233"/>
      <c r="BW1488" s="233"/>
      <c r="BX1488" s="233"/>
      <c r="BY1488" s="233"/>
      <c r="BZ1488" s="233"/>
      <c r="CA1488" s="233"/>
      <c r="CB1488" s="233"/>
      <c r="CC1488" s="48"/>
      <c r="CD1488" s="48"/>
      <c r="CE1488" s="48"/>
      <c r="CF1488" s="48"/>
      <c r="CG1488" s="233"/>
      <c r="CH1488" s="48"/>
      <c r="CI1488" s="98"/>
      <c r="CJ1488" s="98"/>
      <c r="CK1488" s="49">
        <f t="shared" si="354"/>
        <v>4.5840675955532726</v>
      </c>
      <c r="CL1488" s="229"/>
      <c r="CM1488" s="229"/>
      <c r="CN1488" s="229"/>
      <c r="CO1488" s="47" t="s">
        <v>892</v>
      </c>
      <c r="CP1488" s="500" t="s">
        <v>893</v>
      </c>
      <c r="CQ1488" s="224" t="s">
        <v>272</v>
      </c>
      <c r="CR1488" s="224"/>
      <c r="CS1488" s="230" t="s">
        <v>539</v>
      </c>
      <c r="CT1488" s="230"/>
      <c r="CU1488" s="230"/>
      <c r="CV1488" s="335">
        <f t="shared" si="357"/>
        <v>74.76821852258</v>
      </c>
      <c r="CW1488" s="230">
        <f t="shared" si="360"/>
        <v>1</v>
      </c>
      <c r="CX1488" s="336" t="s">
        <v>539</v>
      </c>
      <c r="CY1488" s="230" t="s">
        <v>5921</v>
      </c>
    </row>
    <row r="1489" spans="1:103" ht="11.25" customHeight="1" x14ac:dyDescent="0.2">
      <c r="A1489" s="72">
        <v>914</v>
      </c>
      <c r="B1489" s="224">
        <v>248</v>
      </c>
      <c r="C1489" s="46" t="s">
        <v>7107</v>
      </c>
      <c r="D1489" s="46" t="s">
        <v>8576</v>
      </c>
      <c r="E1489" s="114"/>
      <c r="F1489" s="114" t="s">
        <v>2993</v>
      </c>
      <c r="G1489" s="225">
        <v>101213</v>
      </c>
      <c r="H1489" s="47" t="s">
        <v>2994</v>
      </c>
      <c r="I1489" s="47" t="s">
        <v>8025</v>
      </c>
      <c r="J1489" s="47" t="s">
        <v>2995</v>
      </c>
      <c r="K1489" s="47" t="s">
        <v>1180</v>
      </c>
      <c r="L1489" s="47" t="s">
        <v>6030</v>
      </c>
      <c r="M1489" s="47" t="s">
        <v>6082</v>
      </c>
      <c r="N1489" s="47" t="s">
        <v>6082</v>
      </c>
      <c r="O1489" s="47" t="s">
        <v>6083</v>
      </c>
      <c r="P1489" s="53"/>
      <c r="Q1489" s="53"/>
      <c r="R1489" s="53"/>
      <c r="S1489" s="53"/>
      <c r="T1489" s="48">
        <v>213.66</v>
      </c>
      <c r="U1489" s="98">
        <v>89</v>
      </c>
      <c r="V1489" s="98">
        <v>37.39</v>
      </c>
      <c r="W1489" s="98">
        <v>112.13036195696635</v>
      </c>
      <c r="X1489" s="98">
        <v>89</v>
      </c>
      <c r="Y1489" s="233">
        <v>7</v>
      </c>
      <c r="Z1489" s="48">
        <v>3.3</v>
      </c>
      <c r="AA1489" s="48">
        <v>3.51</v>
      </c>
      <c r="AB1489" s="48">
        <v>3.28</v>
      </c>
      <c r="AC1489" s="48">
        <v>0.89549999999999996</v>
      </c>
      <c r="AD1489" s="48">
        <v>3.32</v>
      </c>
      <c r="AE1489" s="48">
        <v>3.49</v>
      </c>
      <c r="AF1489" s="48">
        <f t="shared" si="364"/>
        <v>3.51</v>
      </c>
      <c r="AG1489" s="49">
        <v>2.82</v>
      </c>
      <c r="AH1489" s="98">
        <v>2.85E-8</v>
      </c>
      <c r="AI1489" s="98">
        <v>5.6899999999999997E-7</v>
      </c>
      <c r="AJ1489" s="483">
        <f t="shared" si="362"/>
        <v>-5.9337214663041413</v>
      </c>
      <c r="AK1489" s="483">
        <f>LOG10(AI1489*1000/(0.08206*298.15))</f>
        <v>-4.6334540599175806</v>
      </c>
      <c r="AL1489" s="483">
        <f t="shared" si="363"/>
        <v>-4.6334540599175806</v>
      </c>
      <c r="AM1489" s="483">
        <v>-9.3203499999999995</v>
      </c>
      <c r="AN1489" s="226">
        <v>-4.5999999999999996</v>
      </c>
      <c r="AO1489" s="484">
        <v>13.06</v>
      </c>
      <c r="AP1489" s="484">
        <v>-0.56999999999999995</v>
      </c>
      <c r="AQ1489" s="226" t="s">
        <v>6311</v>
      </c>
      <c r="AR1489" s="226" t="s">
        <v>6312</v>
      </c>
      <c r="AS1489" s="224" t="s">
        <v>6</v>
      </c>
      <c r="AT1489" s="50" t="s">
        <v>266</v>
      </c>
      <c r="AU1489" s="48">
        <v>8</v>
      </c>
      <c r="AV1489" s="48">
        <v>144</v>
      </c>
      <c r="AW1489" s="48">
        <v>120</v>
      </c>
      <c r="AX1489" s="48">
        <v>26</v>
      </c>
      <c r="AY1489" s="48" t="s">
        <v>267</v>
      </c>
      <c r="AZ1489" s="48" t="s">
        <v>2253</v>
      </c>
      <c r="BA1489" s="48">
        <v>2</v>
      </c>
      <c r="BB1489" s="47" t="s">
        <v>2254</v>
      </c>
      <c r="BC1489" s="47" t="s">
        <v>270</v>
      </c>
      <c r="BD1489" s="47" t="s">
        <v>8374</v>
      </c>
      <c r="BE1489" s="48" t="s">
        <v>1712</v>
      </c>
      <c r="BF1489" s="48" t="s">
        <v>272</v>
      </c>
      <c r="BG1489" s="48" t="s">
        <v>272</v>
      </c>
      <c r="BH1489" s="48" t="s">
        <v>2255</v>
      </c>
      <c r="BI1489" s="98">
        <v>2.1365999999999998E-4</v>
      </c>
      <c r="BJ1489" s="98">
        <v>17.0928</v>
      </c>
      <c r="BK1489" s="48"/>
      <c r="BL1489" s="487">
        <v>11.934197591117313</v>
      </c>
      <c r="BM1489" s="48" t="s">
        <v>891</v>
      </c>
      <c r="BN1489" s="233"/>
      <c r="BO1489" s="233"/>
      <c r="BP1489" s="233"/>
      <c r="BQ1489" s="233"/>
      <c r="BR1489" s="233"/>
      <c r="BS1489" s="234"/>
      <c r="BT1489" s="233"/>
      <c r="BU1489" s="235"/>
      <c r="BV1489" s="233"/>
      <c r="BW1489" s="233"/>
      <c r="BX1489" s="233"/>
      <c r="BY1489" s="233"/>
      <c r="BZ1489" s="233"/>
      <c r="CA1489" s="233"/>
      <c r="CB1489" s="233"/>
      <c r="CC1489" s="234"/>
      <c r="CD1489" s="48"/>
      <c r="CE1489" s="48"/>
      <c r="CF1489" s="48"/>
      <c r="CG1489" s="233"/>
      <c r="CH1489" s="48"/>
      <c r="CI1489" s="98"/>
      <c r="CJ1489" s="98"/>
      <c r="CK1489" s="49">
        <f t="shared" si="354"/>
        <v>0.69820027093965364</v>
      </c>
      <c r="CL1489" s="229"/>
      <c r="CM1489" s="229"/>
      <c r="CN1489" s="229"/>
      <c r="CO1489" s="47" t="s">
        <v>892</v>
      </c>
      <c r="CP1489" s="500" t="s">
        <v>893</v>
      </c>
      <c r="CQ1489" s="224">
        <v>0.71693281519736507</v>
      </c>
      <c r="CR1489" s="224">
        <f t="shared" ref="CR1489:CR1495" si="365">10^(CJ1489-CQ1489)</f>
        <v>0.19189655792378943</v>
      </c>
      <c r="CS1489" s="230" t="s">
        <v>539</v>
      </c>
      <c r="CT1489" s="230"/>
      <c r="CU1489" s="230"/>
      <c r="CV1489" s="335">
        <f t="shared" si="357"/>
        <v>5.2068707291959182</v>
      </c>
      <c r="CW1489" s="230">
        <f t="shared" si="360"/>
        <v>1</v>
      </c>
      <c r="CX1489" s="336" t="s">
        <v>539</v>
      </c>
      <c r="CY1489" s="230" t="s">
        <v>5921</v>
      </c>
    </row>
    <row r="1490" spans="1:103" ht="11.25" customHeight="1" x14ac:dyDescent="0.2">
      <c r="A1490" s="72">
        <v>967</v>
      </c>
      <c r="B1490" s="224">
        <v>391</v>
      </c>
      <c r="C1490" s="46" t="s">
        <v>7154</v>
      </c>
      <c r="D1490" s="46"/>
      <c r="E1490" s="114"/>
      <c r="F1490" s="114" t="s">
        <v>748</v>
      </c>
      <c r="G1490" s="225">
        <v>109864</v>
      </c>
      <c r="H1490" s="47" t="s">
        <v>749</v>
      </c>
      <c r="I1490" s="47" t="s">
        <v>749</v>
      </c>
      <c r="J1490" s="47" t="s">
        <v>750</v>
      </c>
      <c r="K1490" s="47" t="s">
        <v>426</v>
      </c>
      <c r="L1490" s="47" t="s">
        <v>5527</v>
      </c>
      <c r="M1490" s="47" t="s">
        <v>6082</v>
      </c>
      <c r="N1490" s="47" t="s">
        <v>6082</v>
      </c>
      <c r="O1490" s="47"/>
      <c r="P1490" s="53" t="s">
        <v>6178</v>
      </c>
      <c r="Q1490" s="53" t="s">
        <v>6176</v>
      </c>
      <c r="R1490" s="53" t="s">
        <v>6177</v>
      </c>
      <c r="S1490" s="53" t="s">
        <v>6179</v>
      </c>
      <c r="T1490" s="48">
        <v>76.09</v>
      </c>
      <c r="U1490" s="98">
        <v>1000000</v>
      </c>
      <c r="V1490" s="98">
        <v>1000000</v>
      </c>
      <c r="W1490" s="98">
        <v>853743.8418783641</v>
      </c>
      <c r="X1490" s="98">
        <v>1000000</v>
      </c>
      <c r="Y1490" s="233">
        <v>6.64</v>
      </c>
      <c r="Z1490" s="48">
        <v>-0.91</v>
      </c>
      <c r="AA1490" s="48">
        <v>-0.77</v>
      </c>
      <c r="AB1490" s="48">
        <v>-0.59</v>
      </c>
      <c r="AC1490" s="48">
        <v>0.89429999999999998</v>
      </c>
      <c r="AD1490" s="48">
        <v>-0.64</v>
      </c>
      <c r="AE1490" s="48">
        <v>-0.8</v>
      </c>
      <c r="AF1490" s="48">
        <f t="shared" si="364"/>
        <v>-0.77</v>
      </c>
      <c r="AG1490" s="49">
        <v>-0.34</v>
      </c>
      <c r="AH1490" s="98">
        <v>4.1899999999999998E-8</v>
      </c>
      <c r="AI1490" s="98">
        <v>3.3000000000000002E-7</v>
      </c>
      <c r="AJ1490" s="483">
        <f t="shared" si="362"/>
        <v>-5.7663523033463564</v>
      </c>
      <c r="AK1490" s="483">
        <f>LOG10(AI1490*1000/(0.08206*298.15))</f>
        <v>-4.8700523864347645</v>
      </c>
      <c r="AL1490" s="483">
        <f t="shared" si="363"/>
        <v>-4.8700523864347645</v>
      </c>
      <c r="AM1490" s="483">
        <v>-4.8682600000000003</v>
      </c>
      <c r="AN1490" s="226">
        <v>-4.6500000000000004</v>
      </c>
      <c r="AO1490" s="484">
        <v>14.43</v>
      </c>
      <c r="AP1490" s="484"/>
      <c r="AQ1490" s="226" t="s">
        <v>6311</v>
      </c>
      <c r="AR1490" s="226" t="s">
        <v>6311</v>
      </c>
      <c r="AS1490" s="224" t="s">
        <v>6</v>
      </c>
      <c r="AT1490" s="50" t="s">
        <v>266</v>
      </c>
      <c r="AU1490" s="48">
        <v>8</v>
      </c>
      <c r="AV1490" s="48">
        <v>144</v>
      </c>
      <c r="AW1490" s="48">
        <v>120</v>
      </c>
      <c r="AX1490" s="48">
        <v>26</v>
      </c>
      <c r="AY1490" s="48" t="s">
        <v>267</v>
      </c>
      <c r="AZ1490" s="48" t="s">
        <v>2253</v>
      </c>
      <c r="BA1490" s="48">
        <v>2</v>
      </c>
      <c r="BB1490" s="47" t="s">
        <v>2254</v>
      </c>
      <c r="BC1490" s="47" t="s">
        <v>270</v>
      </c>
      <c r="BD1490" s="47" t="s">
        <v>8374</v>
      </c>
      <c r="BE1490" s="48" t="s">
        <v>1712</v>
      </c>
      <c r="BF1490" s="48" t="s">
        <v>272</v>
      </c>
      <c r="BG1490" s="48" t="s">
        <v>272</v>
      </c>
      <c r="BH1490" s="48" t="s">
        <v>2255</v>
      </c>
      <c r="BI1490" s="98">
        <v>7.6089999999999998E-5</v>
      </c>
      <c r="BJ1490" s="98">
        <v>6.0872000000000002</v>
      </c>
      <c r="BK1490" s="48"/>
      <c r="BL1490" s="487">
        <v>25668.387331722472</v>
      </c>
      <c r="BM1490" s="48" t="s">
        <v>891</v>
      </c>
      <c r="BN1490" s="233"/>
      <c r="BO1490" s="233"/>
      <c r="BP1490" s="233"/>
      <c r="BQ1490" s="233"/>
      <c r="BR1490" s="233"/>
      <c r="BS1490" s="48"/>
      <c r="BT1490" s="233"/>
      <c r="BU1490" s="228"/>
      <c r="BV1490" s="233"/>
      <c r="BW1490" s="233"/>
      <c r="BX1490" s="233"/>
      <c r="BY1490" s="233"/>
      <c r="BZ1490" s="233"/>
      <c r="CA1490" s="233"/>
      <c r="CB1490" s="233"/>
      <c r="CC1490" s="48"/>
      <c r="CD1490" s="48"/>
      <c r="CE1490" s="48"/>
      <c r="CF1490" s="48"/>
      <c r="CG1490" s="233"/>
      <c r="CH1490" s="48"/>
      <c r="CI1490" s="98"/>
      <c r="CJ1490" s="98"/>
      <c r="CK1490" s="49">
        <f t="shared" si="354"/>
        <v>4216.7806761273605</v>
      </c>
      <c r="CL1490" s="229"/>
      <c r="CM1490" s="229"/>
      <c r="CN1490" s="229"/>
      <c r="CO1490" s="47" t="s">
        <v>892</v>
      </c>
      <c r="CP1490" s="500" t="s">
        <v>893</v>
      </c>
      <c r="CQ1490" s="224">
        <v>2.5786392099680722</v>
      </c>
      <c r="CR1490" s="224">
        <f t="shared" si="365"/>
        <v>2.6385224274406332E-3</v>
      </c>
      <c r="CS1490" s="230" t="s">
        <v>539</v>
      </c>
      <c r="CT1490" s="230"/>
      <c r="CU1490" s="230"/>
      <c r="CV1490" s="335">
        <f t="shared" si="357"/>
        <v>164279.14311998949</v>
      </c>
      <c r="CW1490" s="230">
        <f t="shared" si="360"/>
        <v>1</v>
      </c>
      <c r="CX1490" s="336" t="s">
        <v>539</v>
      </c>
      <c r="CY1490" s="230" t="s">
        <v>6351</v>
      </c>
    </row>
    <row r="1491" spans="1:103" ht="11.25" customHeight="1" x14ac:dyDescent="0.2">
      <c r="A1491" s="72">
        <v>1000</v>
      </c>
      <c r="B1491" s="224">
        <v>449</v>
      </c>
      <c r="C1491" s="46" t="s">
        <v>1997</v>
      </c>
      <c r="D1491" s="46"/>
      <c r="E1491" s="114"/>
      <c r="F1491" s="114" t="s">
        <v>1998</v>
      </c>
      <c r="G1491" s="225">
        <v>114261</v>
      </c>
      <c r="H1491" s="47" t="s">
        <v>1999</v>
      </c>
      <c r="I1491" s="47" t="s">
        <v>1999</v>
      </c>
      <c r="J1491" s="47" t="s">
        <v>2000</v>
      </c>
      <c r="K1491" s="47" t="s">
        <v>616</v>
      </c>
      <c r="L1491" s="47" t="s">
        <v>617</v>
      </c>
      <c r="M1491" s="47" t="s">
        <v>946</v>
      </c>
      <c r="N1491" s="47" t="s">
        <v>6376</v>
      </c>
      <c r="O1491" s="47" t="s">
        <v>2001</v>
      </c>
      <c r="P1491" s="53"/>
      <c r="Q1491" s="53"/>
      <c r="R1491" s="53"/>
      <c r="S1491" s="53"/>
      <c r="T1491" s="48">
        <v>209.24</v>
      </c>
      <c r="U1491" s="98">
        <v>1859.9111111111113</v>
      </c>
      <c r="V1491" s="98">
        <v>1973.9056630824373</v>
      </c>
      <c r="W1491" s="98">
        <v>708.99751230566653</v>
      </c>
      <c r="X1491" s="98">
        <v>1859.9111111111113</v>
      </c>
      <c r="Y1491" s="233">
        <v>6.96</v>
      </c>
      <c r="Z1491" s="48">
        <v>1.9</v>
      </c>
      <c r="AA1491" s="48">
        <v>1.52</v>
      </c>
      <c r="AB1491" s="48">
        <v>1.54</v>
      </c>
      <c r="AC1491" s="48">
        <v>0.89239999999999997</v>
      </c>
      <c r="AD1491" s="48">
        <v>1.56</v>
      </c>
      <c r="AE1491" s="48">
        <v>1.6</v>
      </c>
      <c r="AF1491" s="48">
        <f t="shared" si="364"/>
        <v>1.52</v>
      </c>
      <c r="AG1491" s="49">
        <v>1.99</v>
      </c>
      <c r="AH1491" s="98">
        <v>3.3499999999999998E-9</v>
      </c>
      <c r="AI1491" s="98">
        <v>1.43E-9</v>
      </c>
      <c r="AJ1491" s="483">
        <f t="shared" si="362"/>
        <v>-6.8635215192758068</v>
      </c>
      <c r="AK1491" s="483">
        <f>LOG10(AI1491*1000/(0.08206*298.15))</f>
        <v>-7.2332302888475901</v>
      </c>
      <c r="AL1491" s="483">
        <f t="shared" si="363"/>
        <v>-7.2332302888475901</v>
      </c>
      <c r="AM1491" s="483">
        <v>-10.072940000000001</v>
      </c>
      <c r="AN1491" s="226">
        <v>-6.19</v>
      </c>
      <c r="AO1491" s="484">
        <v>12.28</v>
      </c>
      <c r="AP1491" s="484">
        <v>-1.49</v>
      </c>
      <c r="AQ1491" s="226" t="s">
        <v>6311</v>
      </c>
      <c r="AR1491" s="226" t="s">
        <v>6314</v>
      </c>
      <c r="AS1491" s="224" t="s">
        <v>6</v>
      </c>
      <c r="AT1491" s="50" t="s">
        <v>266</v>
      </c>
      <c r="AU1491" s="48">
        <v>8</v>
      </c>
      <c r="AV1491" s="48">
        <v>144</v>
      </c>
      <c r="AW1491" s="48">
        <v>120</v>
      </c>
      <c r="AX1491" s="48">
        <v>26</v>
      </c>
      <c r="AY1491" s="48" t="s">
        <v>267</v>
      </c>
      <c r="AZ1491" s="48" t="s">
        <v>2253</v>
      </c>
      <c r="BA1491" s="48">
        <v>2</v>
      </c>
      <c r="BB1491" s="47" t="s">
        <v>2254</v>
      </c>
      <c r="BC1491" s="47" t="s">
        <v>270</v>
      </c>
      <c r="BD1491" s="47" t="s">
        <v>8374</v>
      </c>
      <c r="BE1491" s="48" t="s">
        <v>1712</v>
      </c>
      <c r="BF1491" s="48" t="s">
        <v>272</v>
      </c>
      <c r="BG1491" s="48" t="s">
        <v>272</v>
      </c>
      <c r="BH1491" s="48" t="s">
        <v>2255</v>
      </c>
      <c r="BI1491" s="98">
        <v>2.0924E-4</v>
      </c>
      <c r="BJ1491" s="98">
        <v>16.7392</v>
      </c>
      <c r="BK1491" s="48"/>
      <c r="BL1491" s="487">
        <v>211.3755308782311</v>
      </c>
      <c r="BM1491" s="48" t="s">
        <v>891</v>
      </c>
      <c r="BN1491" s="233"/>
      <c r="BO1491" s="233"/>
      <c r="BP1491" s="233"/>
      <c r="BQ1491" s="233"/>
      <c r="BR1491" s="233"/>
      <c r="BS1491" s="48"/>
      <c r="BT1491" s="233"/>
      <c r="BU1491" s="228"/>
      <c r="BV1491" s="233"/>
      <c r="BW1491" s="233"/>
      <c r="BX1491" s="233"/>
      <c r="BY1491" s="233"/>
      <c r="BZ1491" s="233"/>
      <c r="CA1491" s="233"/>
      <c r="CB1491" s="233"/>
      <c r="CC1491" s="48"/>
      <c r="CD1491" s="48"/>
      <c r="CE1491" s="48"/>
      <c r="CF1491" s="48"/>
      <c r="CG1491" s="233"/>
      <c r="CH1491" s="48"/>
      <c r="CI1491" s="98"/>
      <c r="CJ1491" s="98"/>
      <c r="CK1491" s="49">
        <f t="shared" si="354"/>
        <v>12.627576639160241</v>
      </c>
      <c r="CL1491" s="229"/>
      <c r="CM1491" s="229">
        <v>1.0480036186615178</v>
      </c>
      <c r="CN1491" s="229">
        <f>BJ1491/(10^CM1491)</f>
        <v>1.4987565002438303</v>
      </c>
      <c r="CO1491" s="47" t="s">
        <v>892</v>
      </c>
      <c r="CP1491" s="500" t="s">
        <v>893</v>
      </c>
      <c r="CQ1491" s="224">
        <v>1.0726577657579373</v>
      </c>
      <c r="CR1491" s="224">
        <f t="shared" si="365"/>
        <v>8.4594520724396674E-2</v>
      </c>
      <c r="CS1491" s="230" t="s">
        <v>539</v>
      </c>
      <c r="CT1491" s="230"/>
      <c r="CU1491" s="230"/>
      <c r="CV1491" s="335">
        <f t="shared" si="357"/>
        <v>111.11111111111111</v>
      </c>
      <c r="CW1491" s="230">
        <f t="shared" si="360"/>
        <v>1</v>
      </c>
      <c r="CX1491" s="336" t="s">
        <v>539</v>
      </c>
      <c r="CY1491" s="230" t="s">
        <v>5921</v>
      </c>
    </row>
    <row r="1492" spans="1:103" ht="11.25" customHeight="1" x14ac:dyDescent="0.2">
      <c r="A1492" s="72">
        <v>1008</v>
      </c>
      <c r="B1492" s="224">
        <v>222</v>
      </c>
      <c r="C1492" s="46" t="s">
        <v>2464</v>
      </c>
      <c r="D1492" s="46" t="s">
        <v>6469</v>
      </c>
      <c r="E1492" s="114"/>
      <c r="F1492" s="114" t="s">
        <v>3723</v>
      </c>
      <c r="G1492" s="225">
        <v>116063</v>
      </c>
      <c r="H1492" s="47" t="s">
        <v>2465</v>
      </c>
      <c r="I1492" s="47" t="s">
        <v>2465</v>
      </c>
      <c r="J1492" s="47" t="s">
        <v>2466</v>
      </c>
      <c r="K1492" s="47" t="s">
        <v>1504</v>
      </c>
      <c r="L1492" s="47" t="s">
        <v>617</v>
      </c>
      <c r="M1492" s="47" t="s">
        <v>618</v>
      </c>
      <c r="N1492" s="47" t="s">
        <v>6376</v>
      </c>
      <c r="O1492" s="47" t="s">
        <v>2467</v>
      </c>
      <c r="P1492" s="53"/>
      <c r="Q1492" s="53"/>
      <c r="R1492" s="53"/>
      <c r="S1492" s="53"/>
      <c r="T1492" s="48">
        <v>190.26</v>
      </c>
      <c r="U1492" s="98">
        <v>6030</v>
      </c>
      <c r="V1492" s="98">
        <v>5312</v>
      </c>
      <c r="W1492" s="98">
        <v>3085.6558912350974</v>
      </c>
      <c r="X1492" s="98">
        <v>6030</v>
      </c>
      <c r="Y1492" s="233">
        <v>6.99</v>
      </c>
      <c r="Z1492" s="48">
        <v>1.36</v>
      </c>
      <c r="AA1492" s="48">
        <v>1.1299999999999999</v>
      </c>
      <c r="AB1492" s="48">
        <v>1.44</v>
      </c>
      <c r="AC1492" s="48">
        <v>0.81879999999999997</v>
      </c>
      <c r="AD1492" s="48">
        <v>1.36</v>
      </c>
      <c r="AE1492" s="48">
        <v>1.1299999999999999</v>
      </c>
      <c r="AF1492" s="48">
        <f t="shared" si="364"/>
        <v>1.1299999999999999</v>
      </c>
      <c r="AG1492" s="49">
        <v>1.64</v>
      </c>
      <c r="AH1492" s="98">
        <v>3.5699999999999999E-9</v>
      </c>
      <c r="AI1492" s="98">
        <v>1.44E-9</v>
      </c>
      <c r="AJ1492" s="483">
        <f t="shared" si="362"/>
        <v>-6.8358981102004588</v>
      </c>
      <c r="AK1492" s="483">
        <f>LOG10(AI1492*1000/(0.08206*298.15))</f>
        <v>-7.2302038342174022</v>
      </c>
      <c r="AL1492" s="483">
        <f t="shared" si="363"/>
        <v>-7.2302038342174022</v>
      </c>
      <c r="AM1492" s="483">
        <v>-8.1778699999999986</v>
      </c>
      <c r="AN1492" s="226">
        <v>-7.65</v>
      </c>
      <c r="AO1492" s="484">
        <v>13.81</v>
      </c>
      <c r="AP1492" s="484">
        <v>-1.1200000000000001</v>
      </c>
      <c r="AQ1492" s="226" t="s">
        <v>6311</v>
      </c>
      <c r="AR1492" s="226" t="s">
        <v>6311</v>
      </c>
      <c r="AS1492" s="224" t="s">
        <v>6</v>
      </c>
      <c r="AT1492" s="50" t="s">
        <v>266</v>
      </c>
      <c r="AU1492" s="48">
        <v>8</v>
      </c>
      <c r="AV1492" s="48">
        <v>144</v>
      </c>
      <c r="AW1492" s="48">
        <v>120</v>
      </c>
      <c r="AX1492" s="48">
        <v>26</v>
      </c>
      <c r="AY1492" s="48" t="s">
        <v>267</v>
      </c>
      <c r="AZ1492" s="48" t="s">
        <v>2253</v>
      </c>
      <c r="BA1492" s="48">
        <v>2</v>
      </c>
      <c r="BB1492" s="47" t="s">
        <v>2254</v>
      </c>
      <c r="BC1492" s="47" t="s">
        <v>270</v>
      </c>
      <c r="BD1492" s="47" t="s">
        <v>8374</v>
      </c>
      <c r="BE1492" s="48" t="s">
        <v>1712</v>
      </c>
      <c r="BF1492" s="48" t="s">
        <v>272</v>
      </c>
      <c r="BG1492" s="48" t="s">
        <v>272</v>
      </c>
      <c r="BH1492" s="48" t="s">
        <v>2255</v>
      </c>
      <c r="BI1492" s="98">
        <v>1.9025999999999998E-4</v>
      </c>
      <c r="BJ1492" s="98">
        <v>15.220799999999999</v>
      </c>
      <c r="BK1492" s="48"/>
      <c r="BL1492" s="487">
        <v>587.12624269890546</v>
      </c>
      <c r="BM1492" s="48" t="s">
        <v>891</v>
      </c>
      <c r="BN1492" s="233"/>
      <c r="BO1492" s="233"/>
      <c r="BP1492" s="233"/>
      <c r="BQ1492" s="233"/>
      <c r="BR1492" s="233"/>
      <c r="BS1492" s="48"/>
      <c r="BT1492" s="233"/>
      <c r="BU1492" s="228"/>
      <c r="BV1492" s="233"/>
      <c r="BW1492" s="233"/>
      <c r="BX1492" s="233"/>
      <c r="BY1492" s="233"/>
      <c r="BZ1492" s="233"/>
      <c r="CA1492" s="233"/>
      <c r="CB1492" s="233"/>
      <c r="CC1492" s="48"/>
      <c r="CD1492" s="48"/>
      <c r="CE1492" s="48"/>
      <c r="CF1492" s="48"/>
      <c r="CG1492" s="233"/>
      <c r="CH1492" s="48"/>
      <c r="CI1492" s="98"/>
      <c r="CJ1492" s="98"/>
      <c r="CK1492" s="49">
        <f t="shared" si="354"/>
        <v>38.573941100264477</v>
      </c>
      <c r="CL1492" s="229"/>
      <c r="CM1492" s="229">
        <v>-0.9762470592396435</v>
      </c>
      <c r="CN1492" s="229">
        <f>BJ1492/(10^CM1492)</f>
        <v>144.10682130052496</v>
      </c>
      <c r="CO1492" s="47" t="s">
        <v>892</v>
      </c>
      <c r="CP1492" s="500" t="s">
        <v>893</v>
      </c>
      <c r="CQ1492" s="224">
        <v>-0.3285679141101962</v>
      </c>
      <c r="CR1492" s="224">
        <f t="shared" si="365"/>
        <v>2.130923771124476</v>
      </c>
      <c r="CS1492" s="230" t="s">
        <v>539</v>
      </c>
      <c r="CT1492" s="230"/>
      <c r="CU1492" s="230"/>
      <c r="CV1492" s="335">
        <f t="shared" si="357"/>
        <v>396.1684011352886</v>
      </c>
      <c r="CW1492" s="230">
        <f t="shared" ref="CW1492:CW1523" si="366">IF(CV1492&lt;1,0,1)</f>
        <v>1</v>
      </c>
      <c r="CX1492" s="336" t="s">
        <v>539</v>
      </c>
      <c r="CY1492" s="230" t="s">
        <v>5921</v>
      </c>
    </row>
    <row r="1493" spans="1:103" ht="11.25" customHeight="1" x14ac:dyDescent="0.2">
      <c r="A1493" s="72">
        <v>1021</v>
      </c>
      <c r="B1493" s="224">
        <v>283</v>
      </c>
      <c r="C1493" s="46" t="s">
        <v>7196</v>
      </c>
      <c r="D1493" s="46" t="s">
        <v>8593</v>
      </c>
      <c r="E1493" s="114"/>
      <c r="F1493" s="114" t="s">
        <v>3070</v>
      </c>
      <c r="G1493" s="225">
        <v>120365</v>
      </c>
      <c r="H1493" s="47" t="s">
        <v>3071</v>
      </c>
      <c r="I1493" s="47" t="s">
        <v>8037</v>
      </c>
      <c r="J1493" s="47" t="s">
        <v>3072</v>
      </c>
      <c r="K1493" s="47" t="s">
        <v>426</v>
      </c>
      <c r="L1493" s="47" t="s">
        <v>6033</v>
      </c>
      <c r="M1493" s="47" t="s">
        <v>2342</v>
      </c>
      <c r="N1493" s="47" t="s">
        <v>2342</v>
      </c>
      <c r="O1493" s="47"/>
      <c r="P1493" s="53" t="s">
        <v>8537</v>
      </c>
      <c r="Q1493" s="53" t="s">
        <v>6173</v>
      </c>
      <c r="R1493" s="53" t="s">
        <v>8540</v>
      </c>
      <c r="S1493" s="53" t="s">
        <v>6173</v>
      </c>
      <c r="T1493" s="48">
        <v>235.06</v>
      </c>
      <c r="U1493" s="98">
        <v>590</v>
      </c>
      <c r="V1493" s="98">
        <v>116000</v>
      </c>
      <c r="W1493" s="98">
        <v>399.18915294765719</v>
      </c>
      <c r="X1493" s="98">
        <v>590</v>
      </c>
      <c r="Y1493" s="233">
        <v>3.06</v>
      </c>
      <c r="Z1493" s="48">
        <v>3.03</v>
      </c>
      <c r="AA1493" s="48">
        <v>-0.25</v>
      </c>
      <c r="AB1493" s="48">
        <v>3.1</v>
      </c>
      <c r="AC1493" s="48">
        <v>0.88390000000000002</v>
      </c>
      <c r="AD1493" s="48">
        <v>3.06</v>
      </c>
      <c r="AE1493" s="48">
        <v>2.93</v>
      </c>
      <c r="AF1493" s="48">
        <f t="shared" si="364"/>
        <v>-0.25</v>
      </c>
      <c r="AG1493" s="49">
        <v>2.88</v>
      </c>
      <c r="AH1493" s="98">
        <v>1.22E-8</v>
      </c>
      <c r="AI1493" s="98"/>
      <c r="AJ1493" s="483">
        <f t="shared" si="362"/>
        <v>-6.3022064956379031</v>
      </c>
      <c r="AK1493" s="483"/>
      <c r="AL1493" s="483">
        <f t="shared" si="363"/>
        <v>-6.3022064956379031</v>
      </c>
      <c r="AM1493" s="483">
        <v>-10.080859999999999</v>
      </c>
      <c r="AN1493" s="226">
        <v>-7.49</v>
      </c>
      <c r="AO1493" s="484">
        <v>3.03</v>
      </c>
      <c r="AP1493" s="484"/>
      <c r="AQ1493" s="226" t="s">
        <v>6311</v>
      </c>
      <c r="AR1493" s="226" t="s">
        <v>6311</v>
      </c>
      <c r="AS1493" s="224" t="s">
        <v>6</v>
      </c>
      <c r="AT1493" s="50" t="s">
        <v>266</v>
      </c>
      <c r="AU1493" s="48">
        <v>8</v>
      </c>
      <c r="AV1493" s="48">
        <v>144</v>
      </c>
      <c r="AW1493" s="48">
        <v>120</v>
      </c>
      <c r="AX1493" s="48">
        <v>26</v>
      </c>
      <c r="AY1493" s="48" t="s">
        <v>267</v>
      </c>
      <c r="AZ1493" s="48" t="s">
        <v>2253</v>
      </c>
      <c r="BA1493" s="48">
        <v>2</v>
      </c>
      <c r="BB1493" s="47" t="s">
        <v>2254</v>
      </c>
      <c r="BC1493" s="47" t="s">
        <v>270</v>
      </c>
      <c r="BD1493" s="47" t="s">
        <v>8374</v>
      </c>
      <c r="BE1493" s="48" t="s">
        <v>1712</v>
      </c>
      <c r="BF1493" s="48" t="s">
        <v>272</v>
      </c>
      <c r="BG1493" s="48" t="s">
        <v>272</v>
      </c>
      <c r="BH1493" s="48" t="s">
        <v>2255</v>
      </c>
      <c r="BI1493" s="98">
        <v>2.3505999999999999E-4</v>
      </c>
      <c r="BJ1493" s="98">
        <v>18.8048</v>
      </c>
      <c r="BK1493" s="48"/>
      <c r="BL1493" s="487">
        <v>22.947518667188831</v>
      </c>
      <c r="BM1493" s="48" t="s">
        <v>891</v>
      </c>
      <c r="BN1493" s="233"/>
      <c r="BO1493" s="233"/>
      <c r="BP1493" s="233"/>
      <c r="BQ1493" s="233"/>
      <c r="BR1493" s="233"/>
      <c r="BS1493" s="234"/>
      <c r="BT1493" s="233"/>
      <c r="BU1493" s="235"/>
      <c r="BV1493" s="233"/>
      <c r="BW1493" s="233"/>
      <c r="BX1493" s="233"/>
      <c r="BY1493" s="233"/>
      <c r="BZ1493" s="233"/>
      <c r="CA1493" s="233"/>
      <c r="CB1493" s="233"/>
      <c r="CC1493" s="234"/>
      <c r="CD1493" s="238"/>
      <c r="CE1493" s="238"/>
      <c r="CF1493" s="238"/>
      <c r="CG1493" s="233"/>
      <c r="CH1493" s="48"/>
      <c r="CI1493" s="98"/>
      <c r="CJ1493" s="98"/>
      <c r="CK1493" s="49">
        <f t="shared" si="354"/>
        <v>1.22030112881758</v>
      </c>
      <c r="CL1493" s="229"/>
      <c r="CM1493" s="229"/>
      <c r="CN1493" s="229"/>
      <c r="CO1493" s="47" t="s">
        <v>892</v>
      </c>
      <c r="CP1493" s="500" t="s">
        <v>893</v>
      </c>
      <c r="CQ1493" s="224">
        <v>0.32210390676595257</v>
      </c>
      <c r="CR1493" s="224">
        <f t="shared" si="365"/>
        <v>0.47631701233991836</v>
      </c>
      <c r="CS1493" s="230" t="s">
        <v>539</v>
      </c>
      <c r="CT1493" s="230"/>
      <c r="CU1493" s="230"/>
      <c r="CV1493" s="335">
        <f t="shared" si="357"/>
        <v>31.374968093252786</v>
      </c>
      <c r="CW1493" s="230">
        <f t="shared" si="366"/>
        <v>1</v>
      </c>
      <c r="CX1493" s="336" t="s">
        <v>539</v>
      </c>
      <c r="CY1493" s="230" t="s">
        <v>5921</v>
      </c>
    </row>
    <row r="1494" spans="1:103" ht="11.25" customHeight="1" x14ac:dyDescent="0.2">
      <c r="A1494" s="72">
        <v>1037</v>
      </c>
      <c r="B1494" s="224">
        <v>475</v>
      </c>
      <c r="C1494" s="46" t="s">
        <v>7209</v>
      </c>
      <c r="D1494" s="46" t="s">
        <v>8595</v>
      </c>
      <c r="E1494" s="114"/>
      <c r="F1494" s="114" t="s">
        <v>3483</v>
      </c>
      <c r="G1494" s="225">
        <v>122349</v>
      </c>
      <c r="H1494" s="47" t="s">
        <v>3484</v>
      </c>
      <c r="I1494" s="47" t="s">
        <v>8041</v>
      </c>
      <c r="J1494" s="47" t="s">
        <v>3485</v>
      </c>
      <c r="K1494" s="47" t="s">
        <v>940</v>
      </c>
      <c r="L1494" s="47" t="s">
        <v>5997</v>
      </c>
      <c r="M1494" s="47" t="s">
        <v>6082</v>
      </c>
      <c r="N1494" s="47" t="s">
        <v>6082</v>
      </c>
      <c r="O1494" s="47" t="s">
        <v>6083</v>
      </c>
      <c r="P1494" s="53"/>
      <c r="Q1494" s="53"/>
      <c r="R1494" s="53"/>
      <c r="S1494" s="53"/>
      <c r="T1494" s="48">
        <v>201.66</v>
      </c>
      <c r="U1494" s="98">
        <v>6.2</v>
      </c>
      <c r="V1494" s="98">
        <v>589.9</v>
      </c>
      <c r="W1494" s="98">
        <v>142.76434687890523</v>
      </c>
      <c r="X1494" s="98">
        <v>6.2</v>
      </c>
      <c r="Y1494" s="233">
        <v>7.08</v>
      </c>
      <c r="Z1494" s="48">
        <v>2.4</v>
      </c>
      <c r="AA1494" s="48">
        <v>2.1800000000000002</v>
      </c>
      <c r="AB1494" s="48">
        <v>2.2999999999999998</v>
      </c>
      <c r="AC1494" s="48">
        <v>0.89880000000000004</v>
      </c>
      <c r="AD1494" s="48">
        <v>2.29</v>
      </c>
      <c r="AE1494" s="48">
        <v>2.2799999999999998</v>
      </c>
      <c r="AF1494" s="48">
        <f t="shared" si="364"/>
        <v>2.1800000000000002</v>
      </c>
      <c r="AG1494" s="49">
        <v>2.0299999999999998</v>
      </c>
      <c r="AH1494" s="98">
        <v>3.3700000000000001E-9</v>
      </c>
      <c r="AI1494" s="98">
        <v>9.4200000000000006E-10</v>
      </c>
      <c r="AJ1494" s="483">
        <f t="shared" si="362"/>
        <v>-6.860936425441313</v>
      </c>
      <c r="AK1494" s="483">
        <f>LOG10(AI1494*1000/(0.08206*298.15))</f>
        <v>-7.4145154235197746</v>
      </c>
      <c r="AL1494" s="483">
        <f t="shared" si="363"/>
        <v>-7.4145154235197746</v>
      </c>
      <c r="AM1494" s="483">
        <v>-10.260070000000001</v>
      </c>
      <c r="AN1494" s="226">
        <v>-8.4600000000000009</v>
      </c>
      <c r="AO1494" s="484"/>
      <c r="AP1494" s="484">
        <v>2.71</v>
      </c>
      <c r="AQ1494" s="226" t="s">
        <v>6311</v>
      </c>
      <c r="AR1494" s="226" t="s">
        <v>6311</v>
      </c>
      <c r="AS1494" s="224" t="s">
        <v>6</v>
      </c>
      <c r="AT1494" s="50" t="s">
        <v>266</v>
      </c>
      <c r="AU1494" s="48">
        <v>8</v>
      </c>
      <c r="AV1494" s="48">
        <v>144</v>
      </c>
      <c r="AW1494" s="48">
        <v>120</v>
      </c>
      <c r="AX1494" s="48">
        <v>26</v>
      </c>
      <c r="AY1494" s="48" t="s">
        <v>267</v>
      </c>
      <c r="AZ1494" s="48" t="s">
        <v>2253</v>
      </c>
      <c r="BA1494" s="48">
        <v>3</v>
      </c>
      <c r="BB1494" s="47" t="s">
        <v>2254</v>
      </c>
      <c r="BC1494" s="47" t="s">
        <v>270</v>
      </c>
      <c r="BD1494" s="47" t="s">
        <v>8374</v>
      </c>
      <c r="BE1494" s="48" t="s">
        <v>1712</v>
      </c>
      <c r="BF1494" s="48" t="s">
        <v>272</v>
      </c>
      <c r="BG1494" s="48" t="s">
        <v>272</v>
      </c>
      <c r="BH1494" s="48" t="s">
        <v>2255</v>
      </c>
      <c r="BI1494" s="98">
        <v>2.0165999999999999E-4</v>
      </c>
      <c r="BJ1494" s="98">
        <v>16.1328</v>
      </c>
      <c r="BK1494" s="48"/>
      <c r="BL1494" s="487">
        <v>72.440220377374516</v>
      </c>
      <c r="BM1494" s="48" t="s">
        <v>891</v>
      </c>
      <c r="BN1494" s="233"/>
      <c r="BO1494" s="233"/>
      <c r="BP1494" s="233"/>
      <c r="BQ1494" s="233"/>
      <c r="BR1494" s="233"/>
      <c r="BS1494" s="48"/>
      <c r="BT1494" s="233"/>
      <c r="BU1494" s="228"/>
      <c r="BV1494" s="233"/>
      <c r="BW1494" s="233"/>
      <c r="BX1494" s="233"/>
      <c r="BY1494" s="233"/>
      <c r="BZ1494" s="233"/>
      <c r="CA1494" s="233"/>
      <c r="CB1494" s="233"/>
      <c r="CC1494" s="48"/>
      <c r="CD1494" s="48"/>
      <c r="CE1494" s="48"/>
      <c r="CF1494" s="48"/>
      <c r="CG1494" s="233"/>
      <c r="CH1494" s="48"/>
      <c r="CI1494" s="98"/>
      <c r="CJ1494" s="98"/>
      <c r="CK1494" s="49">
        <f t="shared" si="354"/>
        <v>4.4902447422254363</v>
      </c>
      <c r="CL1494" s="229"/>
      <c r="CM1494" s="229"/>
      <c r="CN1494" s="229"/>
      <c r="CO1494" s="47" t="s">
        <v>892</v>
      </c>
      <c r="CP1494" s="500" t="s">
        <v>893</v>
      </c>
      <c r="CQ1494" s="224">
        <v>1.7136240627626567</v>
      </c>
      <c r="CR1494" s="224">
        <f t="shared" si="365"/>
        <v>1.9336414059113217E-2</v>
      </c>
      <c r="CS1494" s="230" t="s">
        <v>539</v>
      </c>
      <c r="CT1494" s="230"/>
      <c r="CU1494" s="230"/>
      <c r="CV1494" s="335">
        <f t="shared" si="357"/>
        <v>0.38431022513140933</v>
      </c>
      <c r="CW1494" s="230">
        <f t="shared" si="366"/>
        <v>0</v>
      </c>
      <c r="CX1494" s="336" t="s">
        <v>539</v>
      </c>
      <c r="CY1494" s="230" t="s">
        <v>5921</v>
      </c>
    </row>
    <row r="1495" spans="1:103" ht="11.25" customHeight="1" x14ac:dyDescent="0.2">
      <c r="A1495" s="72">
        <v>1040</v>
      </c>
      <c r="B1495" s="224">
        <v>430</v>
      </c>
      <c r="C1495" s="46" t="s">
        <v>7211</v>
      </c>
      <c r="D1495" s="46"/>
      <c r="E1495" s="114"/>
      <c r="F1495" s="114" t="s">
        <v>3976</v>
      </c>
      <c r="G1495" s="225">
        <v>122996</v>
      </c>
      <c r="H1495" s="47" t="s">
        <v>3977</v>
      </c>
      <c r="I1495" s="47" t="s">
        <v>3977</v>
      </c>
      <c r="J1495" s="47" t="s">
        <v>3978</v>
      </c>
      <c r="K1495" s="47" t="s">
        <v>426</v>
      </c>
      <c r="L1495" s="47"/>
      <c r="M1495" s="47"/>
      <c r="N1495" s="47"/>
      <c r="O1495" s="47"/>
      <c r="P1495" s="53"/>
      <c r="Q1495" s="53"/>
      <c r="R1495" s="53"/>
      <c r="S1495" s="53"/>
      <c r="T1495" s="48">
        <v>138.16</v>
      </c>
      <c r="U1495" s="98">
        <v>26700</v>
      </c>
      <c r="V1495" s="98">
        <v>28180</v>
      </c>
      <c r="W1495" s="98">
        <v>16610.485428674176</v>
      </c>
      <c r="X1495" s="98">
        <v>26700</v>
      </c>
      <c r="Y1495" s="233">
        <v>6.99</v>
      </c>
      <c r="Z1495" s="48">
        <v>1.1000000000000001</v>
      </c>
      <c r="AA1495" s="48">
        <v>1.1599999999999999</v>
      </c>
      <c r="AB1495" s="48">
        <v>1.34</v>
      </c>
      <c r="AC1495" s="48">
        <v>0.93079999999999996</v>
      </c>
      <c r="AD1495" s="48">
        <v>1.3</v>
      </c>
      <c r="AE1495" s="48">
        <v>1.1599999999999999</v>
      </c>
      <c r="AF1495" s="48">
        <f t="shared" si="364"/>
        <v>1.1599999999999999</v>
      </c>
      <c r="AG1495" s="49">
        <v>1.23</v>
      </c>
      <c r="AH1495" s="98">
        <v>1.55E-8</v>
      </c>
      <c r="AI1495" s="98">
        <v>4.7199999999999999E-8</v>
      </c>
      <c r="AJ1495" s="483">
        <f t="shared" si="362"/>
        <v>-6.1982346281423606</v>
      </c>
      <c r="AK1495" s="483">
        <f>LOG10(AI1495*1000/(0.08206*298.15))</f>
        <v>-5.714624327678564</v>
      </c>
      <c r="AL1495" s="483">
        <f t="shared" si="363"/>
        <v>-5.714624327678564</v>
      </c>
      <c r="AM1495" s="483">
        <v>-7.5880599999999996</v>
      </c>
      <c r="AN1495" s="226">
        <v>-4.8899999999999997</v>
      </c>
      <c r="AO1495" s="484">
        <v>14.36</v>
      </c>
      <c r="AP1495" s="484"/>
      <c r="AQ1495" s="226" t="s">
        <v>6311</v>
      </c>
      <c r="AR1495" s="226" t="s">
        <v>6311</v>
      </c>
      <c r="AS1495" s="224" t="s">
        <v>6</v>
      </c>
      <c r="AT1495" s="50" t="s">
        <v>266</v>
      </c>
      <c r="AU1495" s="48">
        <v>8</v>
      </c>
      <c r="AV1495" s="48">
        <v>144</v>
      </c>
      <c r="AW1495" s="48">
        <v>120</v>
      </c>
      <c r="AX1495" s="48">
        <v>26</v>
      </c>
      <c r="AY1495" s="48" t="s">
        <v>267</v>
      </c>
      <c r="AZ1495" s="48" t="s">
        <v>2253</v>
      </c>
      <c r="BA1495" s="48">
        <v>2</v>
      </c>
      <c r="BB1495" s="47" t="s">
        <v>2254</v>
      </c>
      <c r="BC1495" s="47" t="s">
        <v>270</v>
      </c>
      <c r="BD1495" s="47" t="s">
        <v>8374</v>
      </c>
      <c r="BE1495" s="48" t="s">
        <v>1712</v>
      </c>
      <c r="BF1495" s="48" t="s">
        <v>272</v>
      </c>
      <c r="BG1495" s="48" t="s">
        <v>272</v>
      </c>
      <c r="BH1495" s="48" t="s">
        <v>2255</v>
      </c>
      <c r="BI1495" s="98">
        <v>1.3815999999999999E-4</v>
      </c>
      <c r="BJ1495" s="98">
        <v>11.0528</v>
      </c>
      <c r="BK1495" s="48"/>
      <c r="BL1495" s="487">
        <v>729.9150603684169</v>
      </c>
      <c r="BM1495" s="48" t="s">
        <v>891</v>
      </c>
      <c r="BN1495" s="233"/>
      <c r="BO1495" s="233"/>
      <c r="BP1495" s="233"/>
      <c r="BQ1495" s="233"/>
      <c r="BR1495" s="233"/>
      <c r="BS1495" s="48"/>
      <c r="BT1495" s="233"/>
      <c r="BU1495" s="228"/>
      <c r="BV1495" s="233"/>
      <c r="BW1495" s="233"/>
      <c r="BX1495" s="233"/>
      <c r="BY1495" s="233"/>
      <c r="BZ1495" s="233"/>
      <c r="CA1495" s="233"/>
      <c r="CB1495" s="233"/>
      <c r="CC1495" s="48"/>
      <c r="CD1495" s="48"/>
      <c r="CE1495" s="48"/>
      <c r="CF1495" s="48"/>
      <c r="CG1495" s="233"/>
      <c r="CH1495" s="48"/>
      <c r="CI1495" s="98"/>
      <c r="CJ1495" s="98"/>
      <c r="CK1495" s="49">
        <f t="shared" si="354"/>
        <v>66.038927725862848</v>
      </c>
      <c r="CL1495" s="229"/>
      <c r="CM1495" s="229"/>
      <c r="CN1495" s="229"/>
      <c r="CO1495" s="47" t="s">
        <v>892</v>
      </c>
      <c r="CP1495" s="500" t="s">
        <v>893</v>
      </c>
      <c r="CQ1495" s="224">
        <v>2.5403294747908736</v>
      </c>
      <c r="CR1495" s="224">
        <f t="shared" si="365"/>
        <v>2.8818443804034576E-3</v>
      </c>
      <c r="CS1495" s="230" t="s">
        <v>539</v>
      </c>
      <c r="CT1495" s="230"/>
      <c r="CU1495" s="230"/>
      <c r="CV1495" s="335">
        <f t="shared" si="357"/>
        <v>2415.6774753908512</v>
      </c>
      <c r="CW1495" s="230">
        <f t="shared" si="366"/>
        <v>1</v>
      </c>
      <c r="CX1495" s="336" t="s">
        <v>539</v>
      </c>
      <c r="CY1495" s="230" t="s">
        <v>6351</v>
      </c>
    </row>
    <row r="1496" spans="1:103" ht="11.25" customHeight="1" x14ac:dyDescent="0.2">
      <c r="A1496" s="72">
        <v>1043</v>
      </c>
      <c r="B1496" s="224">
        <v>369</v>
      </c>
      <c r="C1496" s="46" t="s">
        <v>7214</v>
      </c>
      <c r="D1496" s="46"/>
      <c r="E1496" s="114"/>
      <c r="F1496" s="114" t="s">
        <v>3913</v>
      </c>
      <c r="G1496" s="225">
        <v>123331</v>
      </c>
      <c r="H1496" s="47" t="s">
        <v>3914</v>
      </c>
      <c r="I1496" s="47" t="s">
        <v>3914</v>
      </c>
      <c r="J1496" s="47" t="s">
        <v>3915</v>
      </c>
      <c r="K1496" s="47" t="s">
        <v>2281</v>
      </c>
      <c r="L1496" s="47"/>
      <c r="M1496" s="47"/>
      <c r="N1496" s="47"/>
      <c r="O1496" s="47"/>
      <c r="P1496" s="53"/>
      <c r="Q1496" s="53"/>
      <c r="R1496" s="53"/>
      <c r="S1496" s="53"/>
      <c r="T1496" s="48">
        <v>112.09</v>
      </c>
      <c r="U1496" s="98">
        <v>4510</v>
      </c>
      <c r="V1496" s="98">
        <v>27350</v>
      </c>
      <c r="W1496" s="98">
        <v>134761.82047626583</v>
      </c>
      <c r="X1496" s="98">
        <v>4510</v>
      </c>
      <c r="Y1496" s="233">
        <v>4.47</v>
      </c>
      <c r="Z1496" s="48">
        <v>-0.89</v>
      </c>
      <c r="AA1496" s="48">
        <v>-0.84</v>
      </c>
      <c r="AB1496" s="48">
        <v>-1.1499999999999999</v>
      </c>
      <c r="AC1496" s="48">
        <v>0.623</v>
      </c>
      <c r="AD1496" s="48">
        <v>-1.02</v>
      </c>
      <c r="AE1496" s="48">
        <v>-0.84</v>
      </c>
      <c r="AF1496" s="48">
        <f t="shared" si="364"/>
        <v>-0.84</v>
      </c>
      <c r="AG1496" s="49">
        <v>0.45</v>
      </c>
      <c r="AH1496" s="98">
        <v>2.6499999999999999E-11</v>
      </c>
      <c r="AI1496" s="98"/>
      <c r="AJ1496" s="483">
        <f t="shared" si="362"/>
        <v>-8.9653204523758436</v>
      </c>
      <c r="AK1496" s="483"/>
      <c r="AL1496" s="483">
        <f t="shared" si="363"/>
        <v>-8.9653204523758436</v>
      </c>
      <c r="AM1496" s="483">
        <v>-14.26005</v>
      </c>
      <c r="AN1496" s="226">
        <v>-8.1199999999999992</v>
      </c>
      <c r="AO1496" s="484">
        <v>9.01</v>
      </c>
      <c r="AP1496" s="484">
        <v>-1.48</v>
      </c>
      <c r="AQ1496" s="226" t="s">
        <v>6311</v>
      </c>
      <c r="AR1496" s="226" t="s">
        <v>6311</v>
      </c>
      <c r="AS1496" s="224" t="s">
        <v>6</v>
      </c>
      <c r="AT1496" s="50" t="s">
        <v>266</v>
      </c>
      <c r="AU1496" s="48">
        <v>8</v>
      </c>
      <c r="AV1496" s="48">
        <v>144</v>
      </c>
      <c r="AW1496" s="48">
        <v>120</v>
      </c>
      <c r="AX1496" s="48">
        <v>26</v>
      </c>
      <c r="AY1496" s="48" t="s">
        <v>267</v>
      </c>
      <c r="AZ1496" s="48" t="s">
        <v>2253</v>
      </c>
      <c r="BA1496" s="48">
        <v>2</v>
      </c>
      <c r="BB1496" s="47" t="s">
        <v>2254</v>
      </c>
      <c r="BC1496" s="47" t="s">
        <v>270</v>
      </c>
      <c r="BD1496" s="47" t="s">
        <v>8374</v>
      </c>
      <c r="BE1496" s="48" t="s">
        <v>1712</v>
      </c>
      <c r="BF1496" s="48" t="s">
        <v>272</v>
      </c>
      <c r="BG1496" s="48" t="s">
        <v>272</v>
      </c>
      <c r="BH1496" s="48" t="s">
        <v>2255</v>
      </c>
      <c r="BI1496" s="98">
        <v>1.1208999999999999E-4</v>
      </c>
      <c r="BJ1496" s="98">
        <v>8.9672000000000001</v>
      </c>
      <c r="BK1496" s="48"/>
      <c r="BL1496" s="487">
        <v>36280.717661564784</v>
      </c>
      <c r="BM1496" s="48" t="s">
        <v>891</v>
      </c>
      <c r="BN1496" s="233"/>
      <c r="BO1496" s="233"/>
      <c r="BP1496" s="233"/>
      <c r="BQ1496" s="233"/>
      <c r="BR1496" s="233"/>
      <c r="BS1496" s="48"/>
      <c r="BT1496" s="233"/>
      <c r="BU1496" s="228"/>
      <c r="BV1496" s="233"/>
      <c r="BW1496" s="233"/>
      <c r="BX1496" s="233"/>
      <c r="BY1496" s="233"/>
      <c r="BZ1496" s="233"/>
      <c r="CA1496" s="233"/>
      <c r="CB1496" s="233"/>
      <c r="CC1496" s="48"/>
      <c r="CD1496" s="48"/>
      <c r="CE1496" s="48"/>
      <c r="CF1496" s="48"/>
      <c r="CG1496" s="233"/>
      <c r="CH1496" s="48"/>
      <c r="CI1496" s="98"/>
      <c r="CJ1496" s="98"/>
      <c r="CK1496" s="49">
        <f t="shared" si="354"/>
        <v>4045.9360404100257</v>
      </c>
      <c r="CL1496" s="229"/>
      <c r="CM1496" s="229"/>
      <c r="CN1496" s="229"/>
      <c r="CO1496" s="47" t="s">
        <v>892</v>
      </c>
      <c r="CP1496" s="500" t="s">
        <v>893</v>
      </c>
      <c r="CQ1496" s="224" t="s">
        <v>272</v>
      </c>
      <c r="CR1496" s="224"/>
      <c r="CS1496" s="230" t="s">
        <v>539</v>
      </c>
      <c r="CT1496" s="230"/>
      <c r="CU1496" s="230"/>
      <c r="CV1496" s="335">
        <f t="shared" si="357"/>
        <v>502.94406280667323</v>
      </c>
      <c r="CW1496" s="230">
        <f t="shared" si="366"/>
        <v>1</v>
      </c>
      <c r="CX1496" s="336" t="s">
        <v>539</v>
      </c>
      <c r="CY1496" s="230" t="s">
        <v>5921</v>
      </c>
    </row>
    <row r="1497" spans="1:103" ht="11.25" customHeight="1" x14ac:dyDescent="0.2">
      <c r="A1497" s="72">
        <v>1059</v>
      </c>
      <c r="B1497" s="224">
        <v>310</v>
      </c>
      <c r="C1497" s="46" t="s">
        <v>7229</v>
      </c>
      <c r="D1497" s="46" t="s">
        <v>8714</v>
      </c>
      <c r="E1497" s="114"/>
      <c r="F1497" s="114" t="s">
        <v>3833</v>
      </c>
      <c r="G1497" s="225">
        <v>131113</v>
      </c>
      <c r="H1497" s="47" t="s">
        <v>3834</v>
      </c>
      <c r="I1497" s="47" t="s">
        <v>3834</v>
      </c>
      <c r="J1497" s="47" t="s">
        <v>3835</v>
      </c>
      <c r="K1497" s="47" t="s">
        <v>357</v>
      </c>
      <c r="L1497" s="47"/>
      <c r="M1497" s="47" t="s">
        <v>866</v>
      </c>
      <c r="N1497" s="47" t="s">
        <v>6082</v>
      </c>
      <c r="O1497" s="47" t="s">
        <v>498</v>
      </c>
      <c r="P1497" s="53"/>
      <c r="Q1497" s="53"/>
      <c r="R1497" s="53"/>
      <c r="S1497" s="53"/>
      <c r="T1497" s="48">
        <v>194.18</v>
      </c>
      <c r="U1497" s="98">
        <v>4000</v>
      </c>
      <c r="V1497" s="98">
        <v>2014</v>
      </c>
      <c r="W1497" s="98">
        <v>2680.4301650058796</v>
      </c>
      <c r="X1497" s="98">
        <v>4000</v>
      </c>
      <c r="Y1497" s="233">
        <v>7</v>
      </c>
      <c r="Z1497" s="48">
        <v>1.66</v>
      </c>
      <c r="AA1497" s="48">
        <v>1.6</v>
      </c>
      <c r="AB1497" s="48">
        <v>1.96</v>
      </c>
      <c r="AC1497" s="48">
        <v>0.87429999999999997</v>
      </c>
      <c r="AD1497" s="48">
        <v>1.88</v>
      </c>
      <c r="AE1497" s="48">
        <v>1.64</v>
      </c>
      <c r="AF1497" s="48">
        <f t="shared" si="364"/>
        <v>1.6</v>
      </c>
      <c r="AG1497" s="49">
        <v>1.61</v>
      </c>
      <c r="AH1497" s="98">
        <v>2.2399999999999999E-7</v>
      </c>
      <c r="AI1497" s="98">
        <v>1.97E-7</v>
      </c>
      <c r="AJ1497" s="483">
        <f t="shared" si="362"/>
        <v>-5.0383183079784892</v>
      </c>
      <c r="AK1497" s="483">
        <f>LOG10(AI1497*1000/(0.08206*298.15))</f>
        <v>-5.0941001001510591</v>
      </c>
      <c r="AL1497" s="483">
        <f t="shared" si="363"/>
        <v>-5.0941001001510591</v>
      </c>
      <c r="AM1497" s="483">
        <v>-8.1728799999999993</v>
      </c>
      <c r="AN1497" s="226">
        <v>-5.46</v>
      </c>
      <c r="AO1497" s="484"/>
      <c r="AP1497" s="484"/>
      <c r="AQ1497" s="226" t="s">
        <v>6311</v>
      </c>
      <c r="AR1497" s="226" t="s">
        <v>6312</v>
      </c>
      <c r="AS1497" s="224" t="s">
        <v>6</v>
      </c>
      <c r="AT1497" s="50" t="s">
        <v>266</v>
      </c>
      <c r="AU1497" s="48">
        <v>8</v>
      </c>
      <c r="AV1497" s="48">
        <v>144</v>
      </c>
      <c r="AW1497" s="48">
        <v>120</v>
      </c>
      <c r="AX1497" s="48">
        <v>26</v>
      </c>
      <c r="AY1497" s="48" t="s">
        <v>267</v>
      </c>
      <c r="AZ1497" s="48" t="s">
        <v>2253</v>
      </c>
      <c r="BA1497" s="48">
        <v>2</v>
      </c>
      <c r="BB1497" s="47" t="s">
        <v>2254</v>
      </c>
      <c r="BC1497" s="47" t="s">
        <v>270</v>
      </c>
      <c r="BD1497" s="47" t="s">
        <v>8374</v>
      </c>
      <c r="BE1497" s="48" t="s">
        <v>1712</v>
      </c>
      <c r="BF1497" s="48" t="s">
        <v>272</v>
      </c>
      <c r="BG1497" s="48" t="s">
        <v>272</v>
      </c>
      <c r="BH1497" s="48" t="s">
        <v>2255</v>
      </c>
      <c r="BI1497" s="98">
        <v>1.9417999999999999E-4</v>
      </c>
      <c r="BJ1497" s="98">
        <v>15.534400000000002</v>
      </c>
      <c r="BK1497" s="48"/>
      <c r="BL1497" s="487">
        <v>322.22445421432928</v>
      </c>
      <c r="BM1497" s="48" t="s">
        <v>891</v>
      </c>
      <c r="BN1497" s="233"/>
      <c r="BO1497" s="233"/>
      <c r="BP1497" s="233"/>
      <c r="BQ1497" s="233"/>
      <c r="BR1497" s="233"/>
      <c r="BS1497" s="48"/>
      <c r="BT1497" s="233"/>
      <c r="BU1497" s="228"/>
      <c r="BV1497" s="233"/>
      <c r="BW1497" s="233"/>
      <c r="BX1497" s="233"/>
      <c r="BY1497" s="233"/>
      <c r="BZ1497" s="233"/>
      <c r="CA1497" s="233"/>
      <c r="CB1497" s="233"/>
      <c r="CC1497" s="48"/>
      <c r="CD1497" s="48"/>
      <c r="CE1497" s="48"/>
      <c r="CF1497" s="48"/>
      <c r="CG1497" s="233"/>
      <c r="CH1497" s="48"/>
      <c r="CI1497" s="98"/>
      <c r="CJ1497" s="98"/>
      <c r="CK1497" s="49">
        <f t="shared" si="354"/>
        <v>20.742639188789347</v>
      </c>
      <c r="CL1497" s="229"/>
      <c r="CM1497" s="229"/>
      <c r="CN1497" s="229"/>
      <c r="CO1497" s="47" t="s">
        <v>892</v>
      </c>
      <c r="CP1497" s="500" t="s">
        <v>893</v>
      </c>
      <c r="CQ1497" s="224">
        <v>1.8254172653356777</v>
      </c>
      <c r="CR1497" s="224">
        <f>10^(CJ1497-CQ1497)</f>
        <v>1.4947987797997591E-2</v>
      </c>
      <c r="CS1497" s="230" t="s">
        <v>539</v>
      </c>
      <c r="CT1497" s="230"/>
      <c r="CU1497" s="230"/>
      <c r="CV1497" s="335">
        <f t="shared" si="357"/>
        <v>257.49304768771242</v>
      </c>
      <c r="CW1497" s="230">
        <f t="shared" si="366"/>
        <v>1</v>
      </c>
      <c r="CX1497" s="336" t="s">
        <v>539</v>
      </c>
      <c r="CY1497" s="230" t="s">
        <v>6351</v>
      </c>
    </row>
    <row r="1498" spans="1:103" ht="11.25" customHeight="1" x14ac:dyDescent="0.2">
      <c r="A1498" s="72">
        <v>1062</v>
      </c>
      <c r="B1498" s="224">
        <v>407</v>
      </c>
      <c r="C1498" s="46" t="s">
        <v>7231</v>
      </c>
      <c r="D1498" s="46"/>
      <c r="E1498" s="114"/>
      <c r="F1498" s="114" t="s">
        <v>3956</v>
      </c>
      <c r="G1498" s="225">
        <v>131704</v>
      </c>
      <c r="H1498" s="47" t="s">
        <v>3957</v>
      </c>
      <c r="I1498" s="47" t="s">
        <v>3957</v>
      </c>
      <c r="J1498" s="47" t="s">
        <v>3958</v>
      </c>
      <c r="K1498" s="47" t="s">
        <v>357</v>
      </c>
      <c r="L1498" s="47"/>
      <c r="M1498" s="47"/>
      <c r="N1498" s="47"/>
      <c r="O1498" s="47"/>
      <c r="P1498" s="53"/>
      <c r="Q1498" s="53"/>
      <c r="R1498" s="53"/>
      <c r="S1498" s="53"/>
      <c r="T1498" s="48">
        <v>222.24</v>
      </c>
      <c r="U1498" s="98"/>
      <c r="V1498" s="98">
        <v>125.70000000000002</v>
      </c>
      <c r="W1498" s="98">
        <v>640.9471612548565</v>
      </c>
      <c r="X1498" s="98">
        <v>640.9471612548565</v>
      </c>
      <c r="Y1498" s="233">
        <v>3.04</v>
      </c>
      <c r="Z1498" s="48">
        <v>2.84</v>
      </c>
      <c r="AA1498" s="48"/>
      <c r="AB1498" s="48">
        <v>2.94</v>
      </c>
      <c r="AC1498" s="48">
        <v>0.67620000000000002</v>
      </c>
      <c r="AD1498" s="48">
        <v>2.85</v>
      </c>
      <c r="AE1498" s="48">
        <v>2.72</v>
      </c>
      <c r="AF1498" s="48">
        <f t="shared" si="364"/>
        <v>2.85</v>
      </c>
      <c r="AG1498" s="49">
        <v>2.5299999999999998</v>
      </c>
      <c r="AH1498" s="98">
        <v>1.63E-9</v>
      </c>
      <c r="AI1498" s="98"/>
      <c r="AJ1498" s="483">
        <f t="shared" si="362"/>
        <v>-7.1763787219086943</v>
      </c>
      <c r="AK1498" s="483"/>
      <c r="AL1498" s="483">
        <f t="shared" si="363"/>
        <v>-7.1763787219086943</v>
      </c>
      <c r="AM1498" s="483">
        <v>-10.93275</v>
      </c>
      <c r="AN1498" s="226">
        <v>-7.63</v>
      </c>
      <c r="AO1498" s="484">
        <v>3.38</v>
      </c>
      <c r="AP1498" s="484"/>
      <c r="AQ1498" s="226" t="s">
        <v>6311</v>
      </c>
      <c r="AR1498" s="226" t="s">
        <v>6312</v>
      </c>
      <c r="AS1498" s="224" t="s">
        <v>6</v>
      </c>
      <c r="AT1498" s="50" t="s">
        <v>266</v>
      </c>
      <c r="AU1498" s="48">
        <v>8</v>
      </c>
      <c r="AV1498" s="48">
        <v>144</v>
      </c>
      <c r="AW1498" s="48">
        <v>120</v>
      </c>
      <c r="AX1498" s="48">
        <v>26</v>
      </c>
      <c r="AY1498" s="48" t="s">
        <v>267</v>
      </c>
      <c r="AZ1498" s="48" t="s">
        <v>2253</v>
      </c>
      <c r="BA1498" s="48">
        <v>2</v>
      </c>
      <c r="BB1498" s="47" t="s">
        <v>2254</v>
      </c>
      <c r="BC1498" s="47" t="s">
        <v>270</v>
      </c>
      <c r="BD1498" s="47" t="s">
        <v>8374</v>
      </c>
      <c r="BE1498" s="48" t="s">
        <v>1712</v>
      </c>
      <c r="BF1498" s="48" t="s">
        <v>272</v>
      </c>
      <c r="BG1498" s="48" t="s">
        <v>272</v>
      </c>
      <c r="BH1498" s="48" t="s">
        <v>2255</v>
      </c>
      <c r="BI1498" s="98">
        <v>2.2223999999999999E-4</v>
      </c>
      <c r="BJ1498" s="98">
        <v>17.779199999999999</v>
      </c>
      <c r="BK1498" s="48"/>
      <c r="BL1498" s="487">
        <v>32.137954266042037</v>
      </c>
      <c r="BM1498" s="48" t="s">
        <v>891</v>
      </c>
      <c r="BN1498" s="233"/>
      <c r="BO1498" s="233"/>
      <c r="BP1498" s="233"/>
      <c r="BQ1498" s="233"/>
      <c r="BR1498" s="233"/>
      <c r="BS1498" s="48"/>
      <c r="BT1498" s="233"/>
      <c r="BU1498" s="228"/>
      <c r="BV1498" s="233"/>
      <c r="BW1498" s="233"/>
      <c r="BX1498" s="233"/>
      <c r="BY1498" s="233"/>
      <c r="BZ1498" s="233"/>
      <c r="CA1498" s="233"/>
      <c r="CB1498" s="233"/>
      <c r="CC1498" s="48"/>
      <c r="CD1498" s="48"/>
      <c r="CE1498" s="48"/>
      <c r="CF1498" s="48"/>
      <c r="CG1498" s="233"/>
      <c r="CH1498" s="48"/>
      <c r="CI1498" s="98"/>
      <c r="CJ1498" s="98"/>
      <c r="CK1498" s="49">
        <f t="shared" si="354"/>
        <v>1.8076153182394055</v>
      </c>
      <c r="CL1498" s="229"/>
      <c r="CM1498" s="229"/>
      <c r="CN1498" s="229"/>
      <c r="CO1498" s="47" t="s">
        <v>892</v>
      </c>
      <c r="CP1498" s="500" t="s">
        <v>893</v>
      </c>
      <c r="CQ1498" s="224" t="s">
        <v>272</v>
      </c>
      <c r="CR1498" s="224"/>
      <c r="CS1498" s="230" t="s">
        <v>539</v>
      </c>
      <c r="CT1498" s="230"/>
      <c r="CU1498" s="230"/>
      <c r="CV1498" s="335">
        <f t="shared" si="357"/>
        <v>36.050393789082555</v>
      </c>
      <c r="CW1498" s="230">
        <f t="shared" si="366"/>
        <v>1</v>
      </c>
      <c r="CX1498" s="336" t="s">
        <v>539</v>
      </c>
      <c r="CY1498" s="230" t="s">
        <v>5921</v>
      </c>
    </row>
    <row r="1499" spans="1:103" ht="11.25" customHeight="1" x14ac:dyDescent="0.2">
      <c r="A1499" s="72">
        <v>1069</v>
      </c>
      <c r="B1499" s="224">
        <v>289</v>
      </c>
      <c r="C1499" s="46" t="s">
        <v>7236</v>
      </c>
      <c r="D1499" s="46" t="s">
        <v>8598</v>
      </c>
      <c r="E1499" s="114"/>
      <c r="F1499" s="114" t="s">
        <v>3819</v>
      </c>
      <c r="G1499" s="225">
        <v>134623</v>
      </c>
      <c r="H1499" s="47" t="s">
        <v>3820</v>
      </c>
      <c r="I1499" s="47" t="s">
        <v>3820</v>
      </c>
      <c r="J1499" s="47" t="s">
        <v>3821</v>
      </c>
      <c r="K1499" s="47" t="s">
        <v>471</v>
      </c>
      <c r="L1499" s="47" t="s">
        <v>6034</v>
      </c>
      <c r="M1499" s="47" t="s">
        <v>6082</v>
      </c>
      <c r="N1499" s="47" t="s">
        <v>6082</v>
      </c>
      <c r="O1499" s="47" t="s">
        <v>6083</v>
      </c>
      <c r="P1499" s="53"/>
      <c r="Q1499" s="53"/>
      <c r="R1499" s="53"/>
      <c r="S1499" s="53"/>
      <c r="T1499" s="48">
        <v>191.27</v>
      </c>
      <c r="U1499" s="98"/>
      <c r="V1499" s="98">
        <v>666</v>
      </c>
      <c r="W1499" s="98">
        <v>7791.9625735592645</v>
      </c>
      <c r="X1499" s="98">
        <v>7791.9625735592645</v>
      </c>
      <c r="Y1499" s="233">
        <v>7</v>
      </c>
      <c r="Z1499" s="48">
        <v>2.2599999999999998</v>
      </c>
      <c r="AA1499" s="48">
        <v>2.1800000000000002</v>
      </c>
      <c r="AB1499" s="48">
        <v>2.3199999999999998</v>
      </c>
      <c r="AC1499" s="48">
        <v>0.90939999999999999</v>
      </c>
      <c r="AD1499" s="48">
        <v>2.2400000000000002</v>
      </c>
      <c r="AE1499" s="48">
        <v>1.96</v>
      </c>
      <c r="AF1499" s="48">
        <f t="shared" si="364"/>
        <v>2.1800000000000002</v>
      </c>
      <c r="AG1499" s="49">
        <v>2.42</v>
      </c>
      <c r="AH1499" s="98">
        <v>2.0800000000000001E-8</v>
      </c>
      <c r="AI1499" s="98"/>
      <c r="AJ1499" s="483">
        <f t="shared" si="362"/>
        <v>-6.0705029913498905</v>
      </c>
      <c r="AK1499" s="483"/>
      <c r="AL1499" s="483">
        <f t="shared" si="363"/>
        <v>-6.0705029913498905</v>
      </c>
      <c r="AM1499" s="483">
        <v>-8.6535799999999998</v>
      </c>
      <c r="AN1499" s="226">
        <v>-6.58</v>
      </c>
      <c r="AO1499" s="484"/>
      <c r="AP1499" s="484">
        <v>-1.37</v>
      </c>
      <c r="AQ1499" s="226" t="s">
        <v>6311</v>
      </c>
      <c r="AR1499" s="226" t="s">
        <v>6311</v>
      </c>
      <c r="AS1499" s="224" t="s">
        <v>6</v>
      </c>
      <c r="AT1499" s="50" t="s">
        <v>266</v>
      </c>
      <c r="AU1499" s="48">
        <v>8</v>
      </c>
      <c r="AV1499" s="48">
        <v>144</v>
      </c>
      <c r="AW1499" s="48">
        <v>120</v>
      </c>
      <c r="AX1499" s="48">
        <v>26</v>
      </c>
      <c r="AY1499" s="48" t="s">
        <v>267</v>
      </c>
      <c r="AZ1499" s="48" t="s">
        <v>2253</v>
      </c>
      <c r="BA1499" s="48">
        <v>2</v>
      </c>
      <c r="BB1499" s="47" t="s">
        <v>2254</v>
      </c>
      <c r="BC1499" s="47" t="s">
        <v>270</v>
      </c>
      <c r="BD1499" s="47" t="s">
        <v>8374</v>
      </c>
      <c r="BE1499" s="48" t="s">
        <v>1712</v>
      </c>
      <c r="BF1499" s="48" t="s">
        <v>272</v>
      </c>
      <c r="BG1499" s="48" t="s">
        <v>272</v>
      </c>
      <c r="BH1499" s="48" t="s">
        <v>2255</v>
      </c>
      <c r="BI1499" s="98">
        <v>1.9127E-4</v>
      </c>
      <c r="BJ1499" s="98">
        <v>15.301600000000001</v>
      </c>
      <c r="BK1499" s="48"/>
      <c r="BL1499" s="487">
        <v>91.778479380392213</v>
      </c>
      <c r="BM1499" s="48" t="s">
        <v>891</v>
      </c>
      <c r="BN1499" s="233"/>
      <c r="BO1499" s="233"/>
      <c r="BP1499" s="233"/>
      <c r="BQ1499" s="233"/>
      <c r="BR1499" s="233"/>
      <c r="BS1499" s="48"/>
      <c r="BT1499" s="233"/>
      <c r="BU1499" s="228"/>
      <c r="BV1499" s="233"/>
      <c r="BW1499" s="233"/>
      <c r="BX1499" s="233"/>
      <c r="BY1499" s="233"/>
      <c r="BZ1499" s="233"/>
      <c r="CA1499" s="233"/>
      <c r="CB1499" s="233"/>
      <c r="CC1499" s="48"/>
      <c r="CD1499" s="48"/>
      <c r="CE1499" s="48"/>
      <c r="CF1499" s="48"/>
      <c r="CG1499" s="233"/>
      <c r="CH1499" s="48"/>
      <c r="CI1499" s="98"/>
      <c r="CJ1499" s="98"/>
      <c r="CK1499" s="49">
        <f t="shared" si="354"/>
        <v>5.9979661852611628</v>
      </c>
      <c r="CL1499" s="229"/>
      <c r="CM1499" s="229"/>
      <c r="CN1499" s="229"/>
      <c r="CO1499" s="47" t="s">
        <v>892</v>
      </c>
      <c r="CP1499" s="500" t="s">
        <v>893</v>
      </c>
      <c r="CQ1499" s="224">
        <v>1.9231811594672634</v>
      </c>
      <c r="CR1499" s="224">
        <f>10^(CJ1499-CQ1499)</f>
        <v>1.193490153993847E-2</v>
      </c>
      <c r="CS1499" s="230" t="s">
        <v>539</v>
      </c>
      <c r="CT1499" s="230"/>
      <c r="CU1499" s="230"/>
      <c r="CV1499" s="335">
        <f t="shared" si="357"/>
        <v>509.22534725514089</v>
      </c>
      <c r="CW1499" s="230">
        <f t="shared" si="366"/>
        <v>1</v>
      </c>
      <c r="CX1499" s="336" t="s">
        <v>539</v>
      </c>
      <c r="CY1499" s="230" t="s">
        <v>5921</v>
      </c>
    </row>
    <row r="1500" spans="1:103" ht="11.25" customHeight="1" x14ac:dyDescent="0.2">
      <c r="A1500" s="72">
        <v>1074</v>
      </c>
      <c r="B1500" s="224">
        <v>447</v>
      </c>
      <c r="C1500" s="46" t="s">
        <v>7240</v>
      </c>
      <c r="D1500" s="46"/>
      <c r="E1500" s="114"/>
      <c r="F1500" s="114" t="s">
        <v>3997</v>
      </c>
      <c r="G1500" s="225">
        <v>139402</v>
      </c>
      <c r="H1500" s="47" t="s">
        <v>3998</v>
      </c>
      <c r="I1500" s="47" t="s">
        <v>8044</v>
      </c>
      <c r="J1500" s="47" t="s">
        <v>3999</v>
      </c>
      <c r="K1500" s="47" t="s">
        <v>940</v>
      </c>
      <c r="L1500" s="47"/>
      <c r="M1500" s="47"/>
      <c r="N1500" s="47"/>
      <c r="O1500" s="47"/>
      <c r="P1500" s="53"/>
      <c r="Q1500" s="53"/>
      <c r="R1500" s="53"/>
      <c r="S1500" s="53"/>
      <c r="T1500" s="48">
        <v>229.71</v>
      </c>
      <c r="U1500" s="98">
        <v>8.6</v>
      </c>
      <c r="V1500" s="98">
        <v>96.08</v>
      </c>
      <c r="W1500" s="98">
        <v>33.976598784611866</v>
      </c>
      <c r="X1500" s="98">
        <v>8.6</v>
      </c>
      <c r="Y1500" s="233">
        <v>7.01</v>
      </c>
      <c r="Z1500" s="48">
        <v>3.24</v>
      </c>
      <c r="AA1500" s="48">
        <v>2.93</v>
      </c>
      <c r="AB1500" s="48">
        <v>2.97</v>
      </c>
      <c r="AC1500" s="48">
        <v>0.86960000000000004</v>
      </c>
      <c r="AD1500" s="48">
        <v>2.98</v>
      </c>
      <c r="AE1500" s="48">
        <v>2.98</v>
      </c>
      <c r="AF1500" s="48">
        <f t="shared" si="364"/>
        <v>2.93</v>
      </c>
      <c r="AG1500" s="49">
        <v>2.79</v>
      </c>
      <c r="AH1500" s="98">
        <v>5.9399999999999998E-9</v>
      </c>
      <c r="AI1500" s="98">
        <v>4.5999999999999998E-9</v>
      </c>
      <c r="AJ1500" s="483">
        <f t="shared" si="362"/>
        <v>-6.614779881331458</v>
      </c>
      <c r="AK1500" s="483">
        <f t="shared" ref="AK1500:AK1505" si="367">LOG10(AI1500*1000/(0.08206*298.15))</f>
        <v>-6.7258084946310781</v>
      </c>
      <c r="AL1500" s="483">
        <f t="shared" si="363"/>
        <v>-6.7258084946310781</v>
      </c>
      <c r="AM1500" s="483">
        <v>-10.672369999999999</v>
      </c>
      <c r="AN1500" s="226">
        <v>-8.19</v>
      </c>
      <c r="AO1500" s="484"/>
      <c r="AP1500" s="484">
        <v>2.2799999999999998</v>
      </c>
      <c r="AQ1500" s="226" t="s">
        <v>6311</v>
      </c>
      <c r="AR1500" s="226" t="s">
        <v>6311</v>
      </c>
      <c r="AS1500" s="224" t="s">
        <v>6</v>
      </c>
      <c r="AT1500" s="50" t="s">
        <v>266</v>
      </c>
      <c r="AU1500" s="48">
        <v>8</v>
      </c>
      <c r="AV1500" s="48">
        <v>144</v>
      </c>
      <c r="AW1500" s="48">
        <v>120</v>
      </c>
      <c r="AX1500" s="48">
        <v>26</v>
      </c>
      <c r="AY1500" s="48" t="s">
        <v>267</v>
      </c>
      <c r="AZ1500" s="48" t="s">
        <v>2253</v>
      </c>
      <c r="BA1500" s="48">
        <v>4</v>
      </c>
      <c r="BB1500" s="47" t="s">
        <v>2254</v>
      </c>
      <c r="BC1500" s="47" t="s">
        <v>270</v>
      </c>
      <c r="BD1500" s="47" t="s">
        <v>8374</v>
      </c>
      <c r="BE1500" s="48" t="s">
        <v>1712</v>
      </c>
      <c r="BF1500" s="48" t="s">
        <v>272</v>
      </c>
      <c r="BG1500" s="48" t="s">
        <v>272</v>
      </c>
      <c r="BH1500" s="48" t="s">
        <v>2255</v>
      </c>
      <c r="BI1500" s="98">
        <v>2.2970999999999999E-4</v>
      </c>
      <c r="BJ1500" s="98">
        <v>18.376799999999999</v>
      </c>
      <c r="BK1500" s="48"/>
      <c r="BL1500" s="487">
        <v>14.525660914318838</v>
      </c>
      <c r="BM1500" s="48" t="s">
        <v>891</v>
      </c>
      <c r="BN1500" s="233"/>
      <c r="BO1500" s="233"/>
      <c r="BP1500" s="233"/>
      <c r="BQ1500" s="233"/>
      <c r="BR1500" s="233"/>
      <c r="BS1500" s="48"/>
      <c r="BT1500" s="233"/>
      <c r="BU1500" s="228"/>
      <c r="BV1500" s="233"/>
      <c r="BW1500" s="233"/>
      <c r="BX1500" s="233"/>
      <c r="BY1500" s="233"/>
      <c r="BZ1500" s="233"/>
      <c r="CA1500" s="233"/>
      <c r="CB1500" s="233"/>
      <c r="CC1500" s="48"/>
      <c r="CD1500" s="48"/>
      <c r="CE1500" s="48"/>
      <c r="CF1500" s="48"/>
      <c r="CG1500" s="233"/>
      <c r="CH1500" s="48"/>
      <c r="CI1500" s="98"/>
      <c r="CJ1500" s="98"/>
      <c r="CK1500" s="49">
        <f t="shared" si="354"/>
        <v>0.79043472826165806</v>
      </c>
      <c r="CL1500" s="229"/>
      <c r="CM1500" s="229"/>
      <c r="CN1500" s="229"/>
      <c r="CO1500" s="47" t="s">
        <v>892</v>
      </c>
      <c r="CP1500" s="500" t="s">
        <v>893</v>
      </c>
      <c r="CQ1500" s="224" t="s">
        <v>272</v>
      </c>
      <c r="CR1500" s="224"/>
      <c r="CS1500" s="230" t="s">
        <v>539</v>
      </c>
      <c r="CT1500" s="230"/>
      <c r="CU1500" s="230"/>
      <c r="CV1500" s="335">
        <f t="shared" si="357"/>
        <v>0.4679813678115885</v>
      </c>
      <c r="CW1500" s="230">
        <f t="shared" si="366"/>
        <v>0</v>
      </c>
      <c r="CX1500" s="336" t="s">
        <v>539</v>
      </c>
      <c r="CY1500" s="230" t="s">
        <v>6351</v>
      </c>
    </row>
    <row r="1501" spans="1:103" ht="11.25" customHeight="1" x14ac:dyDescent="0.2">
      <c r="A1501" s="72">
        <v>1080</v>
      </c>
      <c r="B1501" s="224">
        <v>286</v>
      </c>
      <c r="C1501" s="46" t="s">
        <v>7245</v>
      </c>
      <c r="D1501" s="46" t="s">
        <v>8599</v>
      </c>
      <c r="E1501" s="114"/>
      <c r="F1501" s="114" t="s">
        <v>3812</v>
      </c>
      <c r="G1501" s="225">
        <v>141662</v>
      </c>
      <c r="H1501" s="47" t="s">
        <v>3813</v>
      </c>
      <c r="I1501" s="47" t="s">
        <v>3813</v>
      </c>
      <c r="J1501" s="47" t="s">
        <v>3814</v>
      </c>
      <c r="K1501" s="47" t="s">
        <v>3300</v>
      </c>
      <c r="L1501" s="47" t="s">
        <v>617</v>
      </c>
      <c r="M1501" s="47" t="s">
        <v>946</v>
      </c>
      <c r="N1501" s="47" t="s">
        <v>6376</v>
      </c>
      <c r="O1501" s="47" t="s">
        <v>918</v>
      </c>
      <c r="P1501" s="53"/>
      <c r="Q1501" s="53"/>
      <c r="R1501" s="53"/>
      <c r="S1501" s="53"/>
      <c r="T1501" s="48">
        <v>237.19</v>
      </c>
      <c r="U1501" s="98">
        <v>1000000.0000000001</v>
      </c>
      <c r="V1501" s="98">
        <v>27820</v>
      </c>
      <c r="W1501" s="98">
        <v>988772.49065328867</v>
      </c>
      <c r="X1501" s="98">
        <v>1000000.0000000001</v>
      </c>
      <c r="Y1501" s="233">
        <v>7.04</v>
      </c>
      <c r="Z1501" s="48">
        <v>-0.1</v>
      </c>
      <c r="AA1501" s="48"/>
      <c r="AB1501" s="48">
        <v>-0.19</v>
      </c>
      <c r="AC1501" s="48">
        <v>0.8155</v>
      </c>
      <c r="AD1501" s="48">
        <v>-0.24</v>
      </c>
      <c r="AE1501" s="48">
        <v>-0.36</v>
      </c>
      <c r="AF1501" s="48">
        <f t="shared" si="364"/>
        <v>-0.24</v>
      </c>
      <c r="AG1501" s="49">
        <v>0.06</v>
      </c>
      <c r="AH1501" s="98">
        <v>1.1999999999999999E-12</v>
      </c>
      <c r="AI1501" s="98">
        <v>5.0299999999999997E-11</v>
      </c>
      <c r="AJ1501" s="483">
        <f t="shared" si="362"/>
        <v>-10.309385080265027</v>
      </c>
      <c r="AK1501" s="483">
        <f t="shared" si="367"/>
        <v>-8.6869983412567251</v>
      </c>
      <c r="AL1501" s="483">
        <f t="shared" si="363"/>
        <v>-8.6869983412567251</v>
      </c>
      <c r="AM1501" s="483">
        <v>-14.69647</v>
      </c>
      <c r="AN1501" s="226">
        <v>-8.1199999999999992</v>
      </c>
      <c r="AO1501" s="484"/>
      <c r="AP1501" s="484">
        <v>-1.27</v>
      </c>
      <c r="AQ1501" s="226" t="s">
        <v>6314</v>
      </c>
      <c r="AR1501" s="226" t="s">
        <v>6314</v>
      </c>
      <c r="AS1501" s="224" t="s">
        <v>6</v>
      </c>
      <c r="AT1501" s="50" t="s">
        <v>266</v>
      </c>
      <c r="AU1501" s="48">
        <v>8</v>
      </c>
      <c r="AV1501" s="48">
        <v>144</v>
      </c>
      <c r="AW1501" s="48">
        <v>120</v>
      </c>
      <c r="AX1501" s="48">
        <v>26</v>
      </c>
      <c r="AY1501" s="48" t="s">
        <v>267</v>
      </c>
      <c r="AZ1501" s="48" t="s">
        <v>2253</v>
      </c>
      <c r="BA1501" s="48">
        <v>3</v>
      </c>
      <c r="BB1501" s="47" t="s">
        <v>2254</v>
      </c>
      <c r="BC1501" s="47" t="s">
        <v>270</v>
      </c>
      <c r="BD1501" s="47" t="s">
        <v>8374</v>
      </c>
      <c r="BE1501" s="48" t="s">
        <v>1712</v>
      </c>
      <c r="BF1501" s="48" t="s">
        <v>272</v>
      </c>
      <c r="BG1501" s="48" t="s">
        <v>272</v>
      </c>
      <c r="BH1501" s="48" t="s">
        <v>2255</v>
      </c>
      <c r="BI1501" s="98">
        <v>2.3719E-4</v>
      </c>
      <c r="BJ1501" s="98">
        <v>18.975200000000001</v>
      </c>
      <c r="BK1501" s="48"/>
      <c r="BL1501" s="487">
        <v>14986.712467719457</v>
      </c>
      <c r="BM1501" s="48" t="s">
        <v>891</v>
      </c>
      <c r="BN1501" s="233"/>
      <c r="BO1501" s="233"/>
      <c r="BP1501" s="233"/>
      <c r="BQ1501" s="233"/>
      <c r="BR1501" s="233"/>
      <c r="BS1501" s="48"/>
      <c r="BT1501" s="233"/>
      <c r="BU1501" s="228"/>
      <c r="BV1501" s="233"/>
      <c r="BW1501" s="233"/>
      <c r="BX1501" s="233"/>
      <c r="BY1501" s="233"/>
      <c r="BZ1501" s="233"/>
      <c r="CA1501" s="233"/>
      <c r="CB1501" s="233"/>
      <c r="CC1501" s="48"/>
      <c r="CD1501" s="48"/>
      <c r="CE1501" s="48"/>
      <c r="CF1501" s="48"/>
      <c r="CG1501" s="233"/>
      <c r="CH1501" s="48"/>
      <c r="CI1501" s="98"/>
      <c r="CJ1501" s="98"/>
      <c r="CK1501" s="49">
        <f t="shared" ref="CK1501:CK1564" si="368">BL1501/BJ1501</f>
        <v>789.80524409331429</v>
      </c>
      <c r="CL1501" s="229"/>
      <c r="CM1501" s="229"/>
      <c r="CN1501" s="229"/>
      <c r="CO1501" s="47" t="s">
        <v>892</v>
      </c>
      <c r="CP1501" s="500" t="s">
        <v>893</v>
      </c>
      <c r="CQ1501" s="224">
        <v>0.87677131559207733</v>
      </c>
      <c r="CR1501" s="224">
        <f>10^(CJ1501-CQ1501)</f>
        <v>0.13280936016584324</v>
      </c>
      <c r="CS1501" s="230" t="s">
        <v>539</v>
      </c>
      <c r="CT1501" s="230"/>
      <c r="CU1501" s="230"/>
      <c r="CV1501" s="335">
        <f t="shared" ref="CV1501:CV1564" si="369">X1501/BJ1501</f>
        <v>52700.366794552894</v>
      </c>
      <c r="CW1501" s="230">
        <f t="shared" si="366"/>
        <v>1</v>
      </c>
      <c r="CX1501" s="336" t="s">
        <v>539</v>
      </c>
      <c r="CY1501" s="230" t="s">
        <v>5921</v>
      </c>
    </row>
    <row r="1502" spans="1:103" ht="11.25" customHeight="1" x14ac:dyDescent="0.2">
      <c r="A1502" s="72">
        <v>1093</v>
      </c>
      <c r="B1502" s="224">
        <v>422</v>
      </c>
      <c r="C1502" s="46" t="s">
        <v>7254</v>
      </c>
      <c r="D1502" s="46" t="s">
        <v>8602</v>
      </c>
      <c r="E1502" s="114"/>
      <c r="F1502" s="114" t="s">
        <v>625</v>
      </c>
      <c r="G1502" s="225">
        <v>298000</v>
      </c>
      <c r="H1502" s="47" t="s">
        <v>626</v>
      </c>
      <c r="I1502" s="47" t="s">
        <v>8047</v>
      </c>
      <c r="J1502" s="47" t="s">
        <v>627</v>
      </c>
      <c r="K1502" s="47" t="s">
        <v>628</v>
      </c>
      <c r="L1502" s="47" t="s">
        <v>617</v>
      </c>
      <c r="M1502" s="47" t="s">
        <v>946</v>
      </c>
      <c r="N1502" s="47" t="s">
        <v>6376</v>
      </c>
      <c r="O1502" s="47" t="s">
        <v>918</v>
      </c>
      <c r="P1502" s="53"/>
      <c r="Q1502" s="53"/>
      <c r="R1502" s="53"/>
      <c r="S1502" s="53"/>
      <c r="T1502" s="48">
        <v>263.20999999999998</v>
      </c>
      <c r="U1502" s="98">
        <v>37.700000000000003</v>
      </c>
      <c r="V1502" s="98">
        <v>29.36</v>
      </c>
      <c r="W1502" s="98">
        <v>33.908016450114907</v>
      </c>
      <c r="X1502" s="98">
        <v>37.700000000000003</v>
      </c>
      <c r="Y1502" s="233">
        <v>7</v>
      </c>
      <c r="Z1502" s="48">
        <v>2.75</v>
      </c>
      <c r="AA1502" s="48">
        <v>2.86</v>
      </c>
      <c r="AB1502" s="48">
        <v>2.99</v>
      </c>
      <c r="AC1502" s="48">
        <v>0.88990000000000002</v>
      </c>
      <c r="AD1502" s="48">
        <v>2.94</v>
      </c>
      <c r="AE1502" s="48">
        <v>2.78</v>
      </c>
      <c r="AF1502" s="48">
        <f t="shared" si="364"/>
        <v>2.86</v>
      </c>
      <c r="AG1502" s="49">
        <v>2.27</v>
      </c>
      <c r="AH1502" s="98">
        <v>1.68E-7</v>
      </c>
      <c r="AI1502" s="98">
        <v>9.9999999999999995E-8</v>
      </c>
      <c r="AJ1502" s="483">
        <f t="shared" si="362"/>
        <v>-5.1632570445867891</v>
      </c>
      <c r="AK1502" s="483">
        <f t="shared" si="367"/>
        <v>-5.3885663263126515</v>
      </c>
      <c r="AL1502" s="483">
        <f t="shared" si="363"/>
        <v>-5.3885663263126515</v>
      </c>
      <c r="AM1502" s="483">
        <v>-11.07649</v>
      </c>
      <c r="AN1502" s="226">
        <v>-4.5599999999999996</v>
      </c>
      <c r="AO1502" s="484"/>
      <c r="AP1502" s="484"/>
      <c r="AQ1502" s="226" t="s">
        <v>6314</v>
      </c>
      <c r="AR1502" s="226" t="s">
        <v>6314</v>
      </c>
      <c r="AS1502" s="224" t="s">
        <v>6</v>
      </c>
      <c r="AT1502" s="50" t="s">
        <v>266</v>
      </c>
      <c r="AU1502" s="48">
        <v>8</v>
      </c>
      <c r="AV1502" s="48">
        <v>144</v>
      </c>
      <c r="AW1502" s="48">
        <v>120</v>
      </c>
      <c r="AX1502" s="48">
        <v>26</v>
      </c>
      <c r="AY1502" s="48" t="s">
        <v>267</v>
      </c>
      <c r="AZ1502" s="48" t="s">
        <v>2253</v>
      </c>
      <c r="BA1502" s="48">
        <v>2</v>
      </c>
      <c r="BB1502" s="47" t="s">
        <v>2254</v>
      </c>
      <c r="BC1502" s="47" t="s">
        <v>270</v>
      </c>
      <c r="BD1502" s="47" t="s">
        <v>8374</v>
      </c>
      <c r="BE1502" s="48" t="s">
        <v>1712</v>
      </c>
      <c r="BF1502" s="48" t="s">
        <v>272</v>
      </c>
      <c r="BG1502" s="48" t="s">
        <v>272</v>
      </c>
      <c r="BH1502" s="48" t="s">
        <v>2255</v>
      </c>
      <c r="BI1502" s="98">
        <v>2.6320999999999994E-4</v>
      </c>
      <c r="BJ1502" s="98">
        <v>21.056799999999999</v>
      </c>
      <c r="BK1502" s="48"/>
      <c r="BL1502" s="487">
        <v>45.84873790408875</v>
      </c>
      <c r="BM1502" s="48" t="s">
        <v>891</v>
      </c>
      <c r="BN1502" s="233"/>
      <c r="BO1502" s="233"/>
      <c r="BP1502" s="233"/>
      <c r="BQ1502" s="233"/>
      <c r="BR1502" s="233"/>
      <c r="BS1502" s="234"/>
      <c r="BT1502" s="233"/>
      <c r="BU1502" s="235"/>
      <c r="BV1502" s="233"/>
      <c r="BW1502" s="233"/>
      <c r="BX1502" s="233"/>
      <c r="BY1502" s="233"/>
      <c r="BZ1502" s="233"/>
      <c r="CA1502" s="233"/>
      <c r="CB1502" s="233"/>
      <c r="CC1502" s="234"/>
      <c r="CD1502" s="48"/>
      <c r="CE1502" s="48"/>
      <c r="CF1502" s="48"/>
      <c r="CG1502" s="233"/>
      <c r="CH1502" s="48"/>
      <c r="CI1502" s="98"/>
      <c r="CJ1502" s="98"/>
      <c r="CK1502" s="49">
        <f t="shared" si="368"/>
        <v>2.1773839284263872</v>
      </c>
      <c r="CL1502" s="229"/>
      <c r="CM1502" s="229"/>
      <c r="CN1502" s="229"/>
      <c r="CO1502" s="47" t="s">
        <v>892</v>
      </c>
      <c r="CP1502" s="500" t="s">
        <v>893</v>
      </c>
      <c r="CQ1502" s="224">
        <v>0.75466579682406287</v>
      </c>
      <c r="CR1502" s="224">
        <f>10^(CJ1502-CQ1502)</f>
        <v>0.17592769117520954</v>
      </c>
      <c r="CS1502" s="230" t="s">
        <v>539</v>
      </c>
      <c r="CT1502" s="230"/>
      <c r="CU1502" s="230"/>
      <c r="CV1502" s="335">
        <f t="shared" si="369"/>
        <v>1.7903955016906654</v>
      </c>
      <c r="CW1502" s="230">
        <f t="shared" si="366"/>
        <v>1</v>
      </c>
      <c r="CX1502" s="336" t="s">
        <v>539</v>
      </c>
      <c r="CY1502" s="230" t="s">
        <v>5921</v>
      </c>
    </row>
    <row r="1503" spans="1:103" ht="11.25" customHeight="1" x14ac:dyDescent="0.2">
      <c r="A1503" s="72">
        <v>1096</v>
      </c>
      <c r="B1503" s="224">
        <v>315</v>
      </c>
      <c r="C1503" s="46" t="s">
        <v>1868</v>
      </c>
      <c r="D1503" s="46"/>
      <c r="E1503" s="114"/>
      <c r="F1503" s="114" t="s">
        <v>1869</v>
      </c>
      <c r="G1503" s="225">
        <v>298044</v>
      </c>
      <c r="H1503" s="47" t="s">
        <v>1870</v>
      </c>
      <c r="I1503" s="47" t="s">
        <v>1870</v>
      </c>
      <c r="J1503" s="47" t="s">
        <v>1871</v>
      </c>
      <c r="K1503" s="47" t="s">
        <v>1872</v>
      </c>
      <c r="L1503" s="47" t="s">
        <v>617</v>
      </c>
      <c r="M1503" s="47" t="s">
        <v>618</v>
      </c>
      <c r="N1503" s="47" t="s">
        <v>6376</v>
      </c>
      <c r="O1503" s="47" t="s">
        <v>1873</v>
      </c>
      <c r="P1503" s="53"/>
      <c r="Q1503" s="53"/>
      <c r="R1503" s="53"/>
      <c r="S1503" s="53"/>
      <c r="T1503" s="48">
        <v>274.41000000000003</v>
      </c>
      <c r="U1503" s="98">
        <v>16.3</v>
      </c>
      <c r="V1503" s="98">
        <v>6.3639999999999999</v>
      </c>
      <c r="W1503" s="98">
        <v>119.78430952502386</v>
      </c>
      <c r="X1503" s="98">
        <v>16.3</v>
      </c>
      <c r="Y1503" s="233">
        <v>7</v>
      </c>
      <c r="Z1503" s="48">
        <v>4.07</v>
      </c>
      <c r="AA1503" s="48">
        <v>4.0199999999999996</v>
      </c>
      <c r="AB1503" s="48">
        <v>3.91</v>
      </c>
      <c r="AC1503" s="48">
        <v>0.8831</v>
      </c>
      <c r="AD1503" s="48">
        <v>3.77</v>
      </c>
      <c r="AE1503" s="48">
        <v>3.31</v>
      </c>
      <c r="AF1503" s="48">
        <f t="shared" si="364"/>
        <v>4.0199999999999996</v>
      </c>
      <c r="AG1503" s="49">
        <v>3.66</v>
      </c>
      <c r="AH1503" s="98">
        <v>2.0999999999999998E-6</v>
      </c>
      <c r="AI1503" s="98">
        <v>2.1600000000000001E-6</v>
      </c>
      <c r="AJ1503" s="483">
        <f t="shared" si="362"/>
        <v>-4.0663470315787329</v>
      </c>
      <c r="AK1503" s="483">
        <f t="shared" si="367"/>
        <v>-4.0541125751617209</v>
      </c>
      <c r="AL1503" s="483">
        <f t="shared" si="363"/>
        <v>-4.0541125751617209</v>
      </c>
      <c r="AM1503" s="483">
        <v>-8.0103600000000004</v>
      </c>
      <c r="AN1503" s="226">
        <v>-4.3</v>
      </c>
      <c r="AO1503" s="484"/>
      <c r="AP1503" s="484"/>
      <c r="AQ1503" s="226" t="s">
        <v>6312</v>
      </c>
      <c r="AR1503" s="226" t="s">
        <v>6312</v>
      </c>
      <c r="AS1503" s="224" t="s">
        <v>6</v>
      </c>
      <c r="AT1503" s="50" t="s">
        <v>266</v>
      </c>
      <c r="AU1503" s="48">
        <v>8</v>
      </c>
      <c r="AV1503" s="48">
        <v>144</v>
      </c>
      <c r="AW1503" s="48">
        <v>120</v>
      </c>
      <c r="AX1503" s="48">
        <v>26</v>
      </c>
      <c r="AY1503" s="48" t="s">
        <v>267</v>
      </c>
      <c r="AZ1503" s="48" t="s">
        <v>2253</v>
      </c>
      <c r="BA1503" s="48">
        <v>2</v>
      </c>
      <c r="BB1503" s="47" t="s">
        <v>2254</v>
      </c>
      <c r="BC1503" s="47" t="s">
        <v>270</v>
      </c>
      <c r="BD1503" s="47" t="s">
        <v>8374</v>
      </c>
      <c r="BE1503" s="48" t="s">
        <v>1712</v>
      </c>
      <c r="BF1503" s="48" t="s">
        <v>272</v>
      </c>
      <c r="BG1503" s="48" t="s">
        <v>272</v>
      </c>
      <c r="BH1503" s="48" t="s">
        <v>2255</v>
      </c>
      <c r="BI1503" s="98">
        <v>2.7441E-4</v>
      </c>
      <c r="BJ1503" s="98">
        <v>21.952800000000003</v>
      </c>
      <c r="BK1503" s="48"/>
      <c r="BL1503" s="487">
        <v>3.1184079848180222</v>
      </c>
      <c r="BM1503" s="48" t="s">
        <v>891</v>
      </c>
      <c r="BN1503" s="233"/>
      <c r="BO1503" s="233"/>
      <c r="BP1503" s="233"/>
      <c r="BQ1503" s="233"/>
      <c r="BR1503" s="233"/>
      <c r="BS1503" s="48"/>
      <c r="BT1503" s="233"/>
      <c r="BU1503" s="228"/>
      <c r="BV1503" s="233"/>
      <c r="BW1503" s="233"/>
      <c r="BX1503" s="233"/>
      <c r="BY1503" s="233"/>
      <c r="BZ1503" s="233"/>
      <c r="CA1503" s="233"/>
      <c r="CB1503" s="233"/>
      <c r="CC1503" s="48"/>
      <c r="CD1503" s="238"/>
      <c r="CE1503" s="238"/>
      <c r="CF1503" s="238"/>
      <c r="CG1503" s="233"/>
      <c r="CH1503" s="48"/>
      <c r="CI1503" s="98"/>
      <c r="CJ1503" s="98"/>
      <c r="CK1503" s="49">
        <f t="shared" si="368"/>
        <v>0.14205058055546543</v>
      </c>
      <c r="CL1503" s="229"/>
      <c r="CM1503" s="229"/>
      <c r="CN1503" s="229"/>
      <c r="CO1503" s="47" t="s">
        <v>892</v>
      </c>
      <c r="CP1503" s="500" t="s">
        <v>893</v>
      </c>
      <c r="CQ1503" s="224">
        <v>5.301836404376567E-2</v>
      </c>
      <c r="CR1503" s="224">
        <f>10^(CJ1503-CQ1503)</f>
        <v>0.88507818370910474</v>
      </c>
      <c r="CS1503" s="230" t="s">
        <v>539</v>
      </c>
      <c r="CT1503" s="230"/>
      <c r="CU1503" s="230"/>
      <c r="CV1503" s="335">
        <f t="shared" si="369"/>
        <v>0.74250209540468637</v>
      </c>
      <c r="CW1503" s="230">
        <f t="shared" si="366"/>
        <v>0</v>
      </c>
      <c r="CX1503" s="336" t="s">
        <v>539</v>
      </c>
      <c r="CY1503" s="230" t="s">
        <v>5921</v>
      </c>
    </row>
    <row r="1504" spans="1:103" ht="11.25" customHeight="1" x14ac:dyDescent="0.2">
      <c r="A1504" s="72">
        <v>1101</v>
      </c>
      <c r="B1504" s="224">
        <v>236</v>
      </c>
      <c r="C1504" s="46" t="s">
        <v>7258</v>
      </c>
      <c r="D1504" s="46" t="s">
        <v>8604</v>
      </c>
      <c r="E1504" s="114"/>
      <c r="F1504" s="114" t="s">
        <v>3742</v>
      </c>
      <c r="G1504" s="225">
        <v>314409</v>
      </c>
      <c r="H1504" s="47" t="s">
        <v>3743</v>
      </c>
      <c r="I1504" s="47" t="s">
        <v>3743</v>
      </c>
      <c r="J1504" s="47" t="s">
        <v>3744</v>
      </c>
      <c r="K1504" s="47" t="s">
        <v>3745</v>
      </c>
      <c r="L1504" s="47" t="s">
        <v>5997</v>
      </c>
      <c r="M1504" s="47" t="s">
        <v>6082</v>
      </c>
      <c r="N1504" s="47" t="s">
        <v>6082</v>
      </c>
      <c r="O1504" s="47" t="s">
        <v>6083</v>
      </c>
      <c r="P1504" s="53"/>
      <c r="Q1504" s="53"/>
      <c r="R1504" s="53"/>
      <c r="S1504" s="53"/>
      <c r="T1504" s="48">
        <v>261.12</v>
      </c>
      <c r="U1504" s="98">
        <v>815</v>
      </c>
      <c r="V1504" s="98">
        <v>323.60000000000002</v>
      </c>
      <c r="W1504" s="98">
        <v>157.34035911573611</v>
      </c>
      <c r="X1504" s="98">
        <v>815</v>
      </c>
      <c r="Y1504" s="233">
        <v>6</v>
      </c>
      <c r="Z1504" s="48">
        <v>1.68</v>
      </c>
      <c r="AA1504" s="48">
        <v>2.11</v>
      </c>
      <c r="AB1504" s="48">
        <v>1.81</v>
      </c>
      <c r="AC1504" s="48">
        <v>0.80840000000000001</v>
      </c>
      <c r="AD1504" s="48">
        <v>1.89</v>
      </c>
      <c r="AE1504" s="48">
        <v>2.1</v>
      </c>
      <c r="AF1504" s="48">
        <f t="shared" si="364"/>
        <v>2.11</v>
      </c>
      <c r="AG1504" s="49">
        <v>2.33</v>
      </c>
      <c r="AH1504" s="98">
        <v>1.3900000000000001E-10</v>
      </c>
      <c r="AI1504" s="98">
        <v>1.2899999999999999E-10</v>
      </c>
      <c r="AJ1504" s="483">
        <f t="shared" si="362"/>
        <v>-8.2455515260585575</v>
      </c>
      <c r="AK1504" s="483">
        <f t="shared" si="367"/>
        <v>-8.2779766160134027</v>
      </c>
      <c r="AL1504" s="483">
        <f t="shared" si="363"/>
        <v>-8.2779766160134027</v>
      </c>
      <c r="AM1504" s="483">
        <v>-11.272410000000001</v>
      </c>
      <c r="AN1504" s="226">
        <v>-7.65</v>
      </c>
      <c r="AO1504" s="484">
        <v>8.7899999999999991</v>
      </c>
      <c r="AP1504" s="484">
        <v>-3.73</v>
      </c>
      <c r="AQ1504" s="226" t="s">
        <v>6311</v>
      </c>
      <c r="AR1504" s="226" t="s">
        <v>6311</v>
      </c>
      <c r="AS1504" s="224" t="s">
        <v>6</v>
      </c>
      <c r="AT1504" s="50" t="s">
        <v>266</v>
      </c>
      <c r="AU1504" s="48">
        <v>8</v>
      </c>
      <c r="AV1504" s="48">
        <v>144</v>
      </c>
      <c r="AW1504" s="48">
        <v>120</v>
      </c>
      <c r="AX1504" s="48">
        <v>26</v>
      </c>
      <c r="AY1504" s="48" t="s">
        <v>267</v>
      </c>
      <c r="AZ1504" s="48" t="s">
        <v>2253</v>
      </c>
      <c r="BA1504" s="48">
        <v>2</v>
      </c>
      <c r="BB1504" s="47" t="s">
        <v>2254</v>
      </c>
      <c r="BC1504" s="47" t="s">
        <v>270</v>
      </c>
      <c r="BD1504" s="47" t="s">
        <v>8374</v>
      </c>
      <c r="BE1504" s="48" t="s">
        <v>1712</v>
      </c>
      <c r="BF1504" s="48" t="s">
        <v>272</v>
      </c>
      <c r="BG1504" s="48" t="s">
        <v>272</v>
      </c>
      <c r="BH1504" s="48" t="s">
        <v>2255</v>
      </c>
      <c r="BI1504" s="98">
        <v>2.6111999999999999E-4</v>
      </c>
      <c r="BJ1504" s="98">
        <v>20.889600000000002</v>
      </c>
      <c r="BK1504" s="48"/>
      <c r="BL1504" s="487">
        <v>415.74988434117608</v>
      </c>
      <c r="BM1504" s="48" t="s">
        <v>891</v>
      </c>
      <c r="BN1504" s="233"/>
      <c r="BO1504" s="233"/>
      <c r="BP1504" s="233"/>
      <c r="BQ1504" s="233"/>
      <c r="BR1504" s="233"/>
      <c r="BS1504" s="48"/>
      <c r="BT1504" s="233"/>
      <c r="BU1504" s="228"/>
      <c r="BV1504" s="233"/>
      <c r="BW1504" s="233"/>
      <c r="BX1504" s="233"/>
      <c r="BY1504" s="233"/>
      <c r="BZ1504" s="233"/>
      <c r="CA1504" s="233"/>
      <c r="CB1504" s="233"/>
      <c r="CC1504" s="48"/>
      <c r="CD1504" s="48"/>
      <c r="CE1504" s="48"/>
      <c r="CF1504" s="48"/>
      <c r="CG1504" s="233"/>
      <c r="CH1504" s="48"/>
      <c r="CI1504" s="98"/>
      <c r="CJ1504" s="98"/>
      <c r="CK1504" s="49">
        <f t="shared" si="368"/>
        <v>19.90224247190832</v>
      </c>
      <c r="CL1504" s="229"/>
      <c r="CM1504" s="229"/>
      <c r="CN1504" s="229"/>
      <c r="CO1504" s="47" t="s">
        <v>892</v>
      </c>
      <c r="CP1504" s="500" t="s">
        <v>893</v>
      </c>
      <c r="CQ1504" s="224">
        <v>1.9757593167087526</v>
      </c>
      <c r="CR1504" s="224">
        <f>10^(CJ1504-CQ1504)</f>
        <v>1.0574033532017463E-2</v>
      </c>
      <c r="CS1504" s="230" t="s">
        <v>539</v>
      </c>
      <c r="CT1504" s="230"/>
      <c r="CU1504" s="230"/>
      <c r="CV1504" s="335">
        <f t="shared" si="369"/>
        <v>39.014629289215684</v>
      </c>
      <c r="CW1504" s="230">
        <f t="shared" si="366"/>
        <v>1</v>
      </c>
      <c r="CX1504" s="336" t="s">
        <v>539</v>
      </c>
      <c r="CY1504" s="230" t="s">
        <v>5921</v>
      </c>
    </row>
    <row r="1505" spans="1:103" ht="11.25" customHeight="1" x14ac:dyDescent="0.2">
      <c r="A1505" s="72">
        <v>1104</v>
      </c>
      <c r="B1505" s="224">
        <v>321</v>
      </c>
      <c r="C1505" s="46" t="s">
        <v>3837</v>
      </c>
      <c r="D1505" s="46" t="s">
        <v>8605</v>
      </c>
      <c r="E1505" s="114"/>
      <c r="F1505" s="114" t="s">
        <v>3838</v>
      </c>
      <c r="G1505" s="225">
        <v>330541</v>
      </c>
      <c r="H1505" s="47" t="s">
        <v>3839</v>
      </c>
      <c r="I1505" s="47" t="s">
        <v>8049</v>
      </c>
      <c r="J1505" s="47" t="s">
        <v>3840</v>
      </c>
      <c r="K1505" s="47" t="s">
        <v>1292</v>
      </c>
      <c r="L1505" s="47" t="s">
        <v>6095</v>
      </c>
      <c r="M1505" s="47" t="s">
        <v>3841</v>
      </c>
      <c r="N1505" s="47" t="s">
        <v>6385</v>
      </c>
      <c r="O1505" s="47" t="s">
        <v>3842</v>
      </c>
      <c r="P1505" s="53"/>
      <c r="Q1505" s="53"/>
      <c r="R1505" s="53"/>
      <c r="S1505" s="53"/>
      <c r="T1505" s="48">
        <v>233.09</v>
      </c>
      <c r="U1505" s="98">
        <v>42</v>
      </c>
      <c r="V1505" s="98">
        <v>150.6</v>
      </c>
      <c r="W1505" s="98">
        <v>48.699403514076785</v>
      </c>
      <c r="X1505" s="98">
        <v>42</v>
      </c>
      <c r="Y1505" s="233">
        <v>6.99</v>
      </c>
      <c r="Z1505" s="48">
        <v>2.67</v>
      </c>
      <c r="AA1505" s="48">
        <v>2.68</v>
      </c>
      <c r="AB1505" s="48">
        <v>2.73</v>
      </c>
      <c r="AC1505" s="48">
        <v>0.87980000000000003</v>
      </c>
      <c r="AD1505" s="48">
        <v>2.75</v>
      </c>
      <c r="AE1505" s="48">
        <v>2.78</v>
      </c>
      <c r="AF1505" s="48">
        <f t="shared" si="364"/>
        <v>2.68</v>
      </c>
      <c r="AG1505" s="49">
        <v>2.54</v>
      </c>
      <c r="AH1505" s="98">
        <v>5.3300000000000002E-10</v>
      </c>
      <c r="AI1505" s="98">
        <v>5.0400000000000002E-10</v>
      </c>
      <c r="AJ1505" s="483">
        <f t="shared" si="362"/>
        <v>-7.6618391172860791</v>
      </c>
      <c r="AK1505" s="483">
        <f t="shared" si="367"/>
        <v>-7.6861357898671265</v>
      </c>
      <c r="AL1505" s="483">
        <f t="shared" si="363"/>
        <v>-7.6861357898671265</v>
      </c>
      <c r="AM1505" s="483">
        <v>-11.529409999999999</v>
      </c>
      <c r="AN1505" s="226">
        <v>-8.02</v>
      </c>
      <c r="AO1505" s="484">
        <v>13.55</v>
      </c>
      <c r="AP1505" s="484">
        <v>-1.0900000000000001</v>
      </c>
      <c r="AQ1505" s="226" t="s">
        <v>6311</v>
      </c>
      <c r="AR1505" s="226" t="s">
        <v>6311</v>
      </c>
      <c r="AS1505" s="224" t="s">
        <v>6</v>
      </c>
      <c r="AT1505" s="50" t="s">
        <v>266</v>
      </c>
      <c r="AU1505" s="48">
        <v>8</v>
      </c>
      <c r="AV1505" s="48">
        <v>144</v>
      </c>
      <c r="AW1505" s="48">
        <v>120</v>
      </c>
      <c r="AX1505" s="48">
        <v>26</v>
      </c>
      <c r="AY1505" s="48" t="s">
        <v>267</v>
      </c>
      <c r="AZ1505" s="48" t="s">
        <v>2253</v>
      </c>
      <c r="BA1505" s="48">
        <v>2</v>
      </c>
      <c r="BB1505" s="47" t="s">
        <v>2254</v>
      </c>
      <c r="BC1505" s="47" t="s">
        <v>270</v>
      </c>
      <c r="BD1505" s="47" t="s">
        <v>8374</v>
      </c>
      <c r="BE1505" s="48" t="s">
        <v>1712</v>
      </c>
      <c r="BF1505" s="48" t="s">
        <v>272</v>
      </c>
      <c r="BG1505" s="48" t="s">
        <v>272</v>
      </c>
      <c r="BH1505" s="48" t="s">
        <v>2255</v>
      </c>
      <c r="BI1505" s="98">
        <v>2.3309000000000001E-4</v>
      </c>
      <c r="BJ1505" s="98">
        <v>18.647200000000002</v>
      </c>
      <c r="BK1505" s="48"/>
      <c r="BL1505" s="487">
        <v>47.906742565625287</v>
      </c>
      <c r="BM1505" s="48" t="s">
        <v>891</v>
      </c>
      <c r="BN1505" s="233"/>
      <c r="BO1505" s="233"/>
      <c r="BP1505" s="233"/>
      <c r="BQ1505" s="233"/>
      <c r="BR1505" s="233"/>
      <c r="BS1505" s="48"/>
      <c r="BT1505" s="233"/>
      <c r="BU1505" s="228"/>
      <c r="BV1505" s="233"/>
      <c r="BW1505" s="233"/>
      <c r="BX1505" s="233"/>
      <c r="BY1505" s="233"/>
      <c r="BZ1505" s="233"/>
      <c r="CA1505" s="233"/>
      <c r="CB1505" s="233"/>
      <c r="CC1505" s="48"/>
      <c r="CD1505" s="48"/>
      <c r="CE1505" s="48"/>
      <c r="CF1505" s="48"/>
      <c r="CG1505" s="233"/>
      <c r="CH1505" s="48"/>
      <c r="CI1505" s="98"/>
      <c r="CJ1505" s="98"/>
      <c r="CK1505" s="49">
        <f t="shared" si="368"/>
        <v>2.5691118540920503</v>
      </c>
      <c r="CL1505" s="229"/>
      <c r="CM1505" s="229"/>
      <c r="CN1505" s="229"/>
      <c r="CO1505" s="47" t="s">
        <v>892</v>
      </c>
      <c r="CP1505" s="500" t="s">
        <v>893</v>
      </c>
      <c r="CQ1505" s="224">
        <v>0.90647193204310661</v>
      </c>
      <c r="CR1505" s="224">
        <f>10^(CJ1505-CQ1505)</f>
        <v>0.12403037819470435</v>
      </c>
      <c r="CS1505" s="230" t="s">
        <v>539</v>
      </c>
      <c r="CT1505" s="230"/>
      <c r="CU1505" s="230"/>
      <c r="CV1505" s="335">
        <f t="shared" si="369"/>
        <v>2.252348878115749</v>
      </c>
      <c r="CW1505" s="230">
        <f t="shared" si="366"/>
        <v>1</v>
      </c>
      <c r="CX1505" s="336" t="s">
        <v>539</v>
      </c>
      <c r="CY1505" s="230" t="s">
        <v>6351</v>
      </c>
    </row>
    <row r="1506" spans="1:103" ht="11.25" customHeight="1" x14ac:dyDescent="0.2">
      <c r="A1506" s="72">
        <v>1109</v>
      </c>
      <c r="B1506" s="224">
        <v>429</v>
      </c>
      <c r="C1506" s="46" t="s">
        <v>7261</v>
      </c>
      <c r="D1506" s="46"/>
      <c r="E1506" s="114"/>
      <c r="F1506" s="114" t="s">
        <v>2050</v>
      </c>
      <c r="G1506" s="225">
        <v>335671</v>
      </c>
      <c r="H1506" s="47" t="s">
        <v>2051</v>
      </c>
      <c r="I1506" s="47" t="s">
        <v>2051</v>
      </c>
      <c r="J1506" s="47" t="s">
        <v>2052</v>
      </c>
      <c r="K1506" s="47" t="s">
        <v>426</v>
      </c>
      <c r="L1506" s="47"/>
      <c r="M1506" s="47"/>
      <c r="N1506" s="47"/>
      <c r="O1506" s="47"/>
      <c r="P1506" s="53"/>
      <c r="Q1506" s="53"/>
      <c r="R1506" s="53"/>
      <c r="S1506" s="53"/>
      <c r="T1506" s="48">
        <v>414.07</v>
      </c>
      <c r="U1506" s="98"/>
      <c r="V1506" s="98">
        <v>0.48130000000000001</v>
      </c>
      <c r="W1506" s="98">
        <v>443.6839987197352</v>
      </c>
      <c r="X1506" s="98">
        <v>443.6839987197352</v>
      </c>
      <c r="Y1506" s="233">
        <v>2.98</v>
      </c>
      <c r="Z1506" s="48">
        <v>4.8099999999999996</v>
      </c>
      <c r="AA1506" s="48"/>
      <c r="AB1506" s="48">
        <v>4.2</v>
      </c>
      <c r="AC1506" s="48">
        <v>0.57179999999999997</v>
      </c>
      <c r="AD1506" s="48">
        <v>5.57</v>
      </c>
      <c r="AE1506" s="48">
        <v>7.75</v>
      </c>
      <c r="AF1506" s="48">
        <f t="shared" si="364"/>
        <v>5.57</v>
      </c>
      <c r="AG1506" s="49">
        <v>3.71</v>
      </c>
      <c r="AH1506" s="98">
        <v>9.0800000000000006E-2</v>
      </c>
      <c r="AI1506" s="98"/>
      <c r="AJ1506" s="483">
        <f t="shared" si="362"/>
        <v>0.56951952220843338</v>
      </c>
      <c r="AK1506" s="483"/>
      <c r="AL1506" s="483">
        <f t="shared" si="363"/>
        <v>0.56951952220843338</v>
      </c>
      <c r="AM1506" s="483">
        <v>-2.2879299999999998</v>
      </c>
      <c r="AN1506" s="226">
        <v>-6.09</v>
      </c>
      <c r="AO1506" s="484">
        <v>0.5</v>
      </c>
      <c r="AP1506" s="484"/>
      <c r="AQ1506" s="226" t="s">
        <v>6311</v>
      </c>
      <c r="AR1506" s="226" t="s">
        <v>6311</v>
      </c>
      <c r="AS1506" s="224" t="s">
        <v>6</v>
      </c>
      <c r="AT1506" s="50" t="s">
        <v>266</v>
      </c>
      <c r="AU1506" s="48">
        <v>8</v>
      </c>
      <c r="AV1506" s="48">
        <v>144</v>
      </c>
      <c r="AW1506" s="48">
        <v>120</v>
      </c>
      <c r="AX1506" s="48">
        <v>26</v>
      </c>
      <c r="AY1506" s="48" t="s">
        <v>267</v>
      </c>
      <c r="AZ1506" s="48" t="s">
        <v>2253</v>
      </c>
      <c r="BA1506" s="48">
        <v>4</v>
      </c>
      <c r="BB1506" s="47" t="s">
        <v>2254</v>
      </c>
      <c r="BC1506" s="47" t="s">
        <v>270</v>
      </c>
      <c r="BD1506" s="47" t="s">
        <v>8374</v>
      </c>
      <c r="BE1506" s="48" t="s">
        <v>1712</v>
      </c>
      <c r="BF1506" s="48" t="s">
        <v>272</v>
      </c>
      <c r="BG1506" s="48" t="s">
        <v>272</v>
      </c>
      <c r="BH1506" s="48" t="s">
        <v>2255</v>
      </c>
      <c r="BI1506" s="98">
        <v>4.1407E-4</v>
      </c>
      <c r="BJ1506" s="98">
        <v>33.125599999999999</v>
      </c>
      <c r="BK1506" s="48"/>
      <c r="BL1506" s="487">
        <v>1.0186213306013063</v>
      </c>
      <c r="BM1506" s="48" t="s">
        <v>891</v>
      </c>
      <c r="BN1506" s="233"/>
      <c r="BO1506" s="233"/>
      <c r="BP1506" s="233"/>
      <c r="BQ1506" s="233"/>
      <c r="BR1506" s="233"/>
      <c r="BS1506" s="48"/>
      <c r="BT1506" s="233"/>
      <c r="BU1506" s="228"/>
      <c r="BV1506" s="233"/>
      <c r="BW1506" s="233"/>
      <c r="BX1506" s="233"/>
      <c r="BY1506" s="233"/>
      <c r="BZ1506" s="233"/>
      <c r="CA1506" s="233"/>
      <c r="CB1506" s="233"/>
      <c r="CC1506" s="48"/>
      <c r="CD1506" s="48"/>
      <c r="CE1506" s="48"/>
      <c r="CF1506" s="48"/>
      <c r="CG1506" s="233"/>
      <c r="CH1506" s="48"/>
      <c r="CI1506" s="98"/>
      <c r="CJ1506" s="98"/>
      <c r="CK1506" s="49">
        <f t="shared" si="368"/>
        <v>3.0750275635801506E-2</v>
      </c>
      <c r="CL1506" s="229"/>
      <c r="CM1506" s="229"/>
      <c r="CN1506" s="229"/>
      <c r="CO1506" s="47" t="s">
        <v>892</v>
      </c>
      <c r="CP1506" s="500" t="s">
        <v>893</v>
      </c>
      <c r="CQ1506" s="224" t="s">
        <v>272</v>
      </c>
      <c r="CR1506" s="224"/>
      <c r="CS1506" s="230" t="s">
        <v>539</v>
      </c>
      <c r="CT1506" s="230"/>
      <c r="CU1506" s="230"/>
      <c r="CV1506" s="335">
        <f t="shared" si="369"/>
        <v>13.393991315470066</v>
      </c>
      <c r="CW1506" s="230">
        <f t="shared" si="366"/>
        <v>1</v>
      </c>
      <c r="CX1506" s="336" t="s">
        <v>539</v>
      </c>
      <c r="CY1506" s="230" t="s">
        <v>5921</v>
      </c>
    </row>
    <row r="1507" spans="1:103" ht="11.25" customHeight="1" x14ac:dyDescent="0.2">
      <c r="A1507" s="72">
        <v>1113</v>
      </c>
      <c r="B1507" s="224">
        <v>264</v>
      </c>
      <c r="C1507" s="46" t="s">
        <v>7264</v>
      </c>
      <c r="D1507" s="46" t="s">
        <v>8606</v>
      </c>
      <c r="E1507" s="114"/>
      <c r="F1507" s="114" t="s">
        <v>3027</v>
      </c>
      <c r="G1507" s="225">
        <v>420042</v>
      </c>
      <c r="H1507" s="47" t="s">
        <v>3028</v>
      </c>
      <c r="I1507" s="47" t="s">
        <v>7750</v>
      </c>
      <c r="J1507" s="47" t="s">
        <v>3029</v>
      </c>
      <c r="K1507" s="47" t="s">
        <v>426</v>
      </c>
      <c r="L1507" s="47" t="s">
        <v>5527</v>
      </c>
      <c r="M1507" s="47" t="s">
        <v>2342</v>
      </c>
      <c r="N1507" s="47" t="s">
        <v>2342</v>
      </c>
      <c r="O1507" s="47"/>
      <c r="P1507" s="53" t="s">
        <v>8537</v>
      </c>
      <c r="Q1507" s="53" t="s">
        <v>6173</v>
      </c>
      <c r="R1507" s="53" t="s">
        <v>6183</v>
      </c>
      <c r="S1507" s="53" t="s">
        <v>6173</v>
      </c>
      <c r="T1507" s="48">
        <v>42.04</v>
      </c>
      <c r="U1507" s="98">
        <v>500000</v>
      </c>
      <c r="V1507" s="98">
        <v>651500</v>
      </c>
      <c r="W1507" s="98">
        <v>73057.146840623755</v>
      </c>
      <c r="X1507" s="98">
        <v>500000</v>
      </c>
      <c r="Y1507" s="233">
        <v>7.68</v>
      </c>
      <c r="Z1507" s="48">
        <v>-0.81</v>
      </c>
      <c r="AA1507" s="48">
        <v>-0.82</v>
      </c>
      <c r="AB1507" s="48">
        <v>-0.6</v>
      </c>
      <c r="AC1507" s="48">
        <v>0.8165</v>
      </c>
      <c r="AD1507" s="48">
        <v>-0.66</v>
      </c>
      <c r="AE1507" s="48">
        <v>-0.82</v>
      </c>
      <c r="AF1507" s="48">
        <f t="shared" si="364"/>
        <v>-0.82</v>
      </c>
      <c r="AG1507" s="49">
        <v>-0.33</v>
      </c>
      <c r="AH1507" s="98">
        <v>3.3200000000000001E-5</v>
      </c>
      <c r="AI1507" s="98">
        <v>2.5899999999999998E-10</v>
      </c>
      <c r="AJ1507" s="483">
        <f t="shared" si="362"/>
        <v>-2.8674282426086157</v>
      </c>
      <c r="AK1507" s="483">
        <f>LOG10(AI1507*1000/(0.08206*298.15))</f>
        <v>-7.9752665622313996</v>
      </c>
      <c r="AL1507" s="483">
        <f t="shared" si="363"/>
        <v>-7.9752665622313996</v>
      </c>
      <c r="AM1507" s="483">
        <v>-5.90299</v>
      </c>
      <c r="AN1507" s="226">
        <v>-7.62</v>
      </c>
      <c r="AO1507" s="484"/>
      <c r="AP1507" s="484">
        <v>1.1000000000000001</v>
      </c>
      <c r="AQ1507" s="226" t="s">
        <v>6311</v>
      </c>
      <c r="AR1507" s="226" t="s">
        <v>6311</v>
      </c>
      <c r="AS1507" s="224" t="s">
        <v>6</v>
      </c>
      <c r="AT1507" s="50" t="s">
        <v>266</v>
      </c>
      <c r="AU1507" s="48">
        <v>8</v>
      </c>
      <c r="AV1507" s="48">
        <v>144</v>
      </c>
      <c r="AW1507" s="48">
        <v>120</v>
      </c>
      <c r="AX1507" s="48">
        <v>26</v>
      </c>
      <c r="AY1507" s="48" t="s">
        <v>267</v>
      </c>
      <c r="AZ1507" s="48" t="s">
        <v>2253</v>
      </c>
      <c r="BA1507" s="48">
        <v>2</v>
      </c>
      <c r="BB1507" s="47" t="s">
        <v>2254</v>
      </c>
      <c r="BC1507" s="47" t="s">
        <v>270</v>
      </c>
      <c r="BD1507" s="47" t="s">
        <v>8374</v>
      </c>
      <c r="BE1507" s="48" t="s">
        <v>1712</v>
      </c>
      <c r="BF1507" s="48" t="s">
        <v>272</v>
      </c>
      <c r="BG1507" s="48" t="s">
        <v>272</v>
      </c>
      <c r="BH1507" s="48" t="s">
        <v>2255</v>
      </c>
      <c r="BI1507" s="98">
        <v>4.2039999999999997E-5</v>
      </c>
      <c r="BJ1507" s="98">
        <v>3.3632</v>
      </c>
      <c r="BK1507" s="48"/>
      <c r="BL1507" s="487">
        <v>11532.506481330609</v>
      </c>
      <c r="BM1507" s="48" t="s">
        <v>891</v>
      </c>
      <c r="BN1507" s="233"/>
      <c r="BO1507" s="233"/>
      <c r="BP1507" s="233"/>
      <c r="BQ1507" s="233"/>
      <c r="BR1507" s="233"/>
      <c r="BS1507" s="48"/>
      <c r="BT1507" s="233"/>
      <c r="BU1507" s="228"/>
      <c r="BV1507" s="233"/>
      <c r="BW1507" s="233"/>
      <c r="BX1507" s="233"/>
      <c r="BY1507" s="233"/>
      <c r="BZ1507" s="233"/>
      <c r="CA1507" s="233"/>
      <c r="CB1507" s="233"/>
      <c r="CC1507" s="48"/>
      <c r="CD1507" s="48"/>
      <c r="CE1507" s="48"/>
      <c r="CF1507" s="48"/>
      <c r="CG1507" s="233"/>
      <c r="CH1507" s="48"/>
      <c r="CI1507" s="98"/>
      <c r="CJ1507" s="98"/>
      <c r="CK1507" s="49">
        <f t="shared" si="368"/>
        <v>3429.0278548199954</v>
      </c>
      <c r="CL1507" s="229"/>
      <c r="CM1507" s="229"/>
      <c r="CN1507" s="229"/>
      <c r="CO1507" s="47" t="s">
        <v>892</v>
      </c>
      <c r="CP1507" s="500" t="s">
        <v>893</v>
      </c>
      <c r="CQ1507" s="224">
        <v>1.9397915532447512</v>
      </c>
      <c r="CR1507" s="224">
        <f>10^(CJ1507-CQ1507)</f>
        <v>1.148704828917208E-2</v>
      </c>
      <c r="CS1507" s="230" t="s">
        <v>539</v>
      </c>
      <c r="CT1507" s="230"/>
      <c r="CU1507" s="230"/>
      <c r="CV1507" s="335">
        <f t="shared" si="369"/>
        <v>148667.93529971456</v>
      </c>
      <c r="CW1507" s="230">
        <f t="shared" si="366"/>
        <v>1</v>
      </c>
      <c r="CX1507" s="336" t="s">
        <v>539</v>
      </c>
      <c r="CY1507" s="230" t="s">
        <v>6351</v>
      </c>
    </row>
    <row r="1508" spans="1:103" ht="11.25" customHeight="1" x14ac:dyDescent="0.2">
      <c r="A1508" s="72">
        <v>1125</v>
      </c>
      <c r="B1508" s="224">
        <v>277</v>
      </c>
      <c r="C1508" s="46" t="s">
        <v>7275</v>
      </c>
      <c r="D1508" s="46" t="s">
        <v>8608</v>
      </c>
      <c r="E1508" s="114"/>
      <c r="F1508" s="114" t="s">
        <v>3798</v>
      </c>
      <c r="G1508" s="225">
        <v>533744</v>
      </c>
      <c r="H1508" s="47" t="s">
        <v>3799</v>
      </c>
      <c r="I1508" s="47" t="s">
        <v>3799</v>
      </c>
      <c r="J1508" s="47" t="s">
        <v>3800</v>
      </c>
      <c r="K1508" s="47" t="s">
        <v>3801</v>
      </c>
      <c r="L1508" s="47"/>
      <c r="M1508" s="47" t="s">
        <v>6082</v>
      </c>
      <c r="N1508" s="47" t="s">
        <v>6082</v>
      </c>
      <c r="O1508" s="47"/>
      <c r="P1508" s="53"/>
      <c r="Q1508" s="53" t="s">
        <v>6173</v>
      </c>
      <c r="R1508" s="53" t="s">
        <v>6185</v>
      </c>
      <c r="S1508" s="53" t="s">
        <v>6176</v>
      </c>
      <c r="T1508" s="48">
        <v>162.28</v>
      </c>
      <c r="U1508" s="98">
        <v>3000</v>
      </c>
      <c r="V1508" s="98">
        <v>19360</v>
      </c>
      <c r="W1508" s="98">
        <v>9125.6750251889807</v>
      </c>
      <c r="X1508" s="98">
        <v>3000</v>
      </c>
      <c r="Y1508" s="233">
        <v>7.84</v>
      </c>
      <c r="Z1508" s="48">
        <v>0.94</v>
      </c>
      <c r="AA1508" s="48">
        <v>0.63</v>
      </c>
      <c r="AB1508" s="48">
        <v>0.77</v>
      </c>
      <c r="AC1508" s="48">
        <v>0.83020000000000005</v>
      </c>
      <c r="AD1508" s="48">
        <v>0.62</v>
      </c>
      <c r="AE1508" s="48">
        <v>0.16</v>
      </c>
      <c r="AF1508" s="48">
        <f t="shared" si="364"/>
        <v>0.63</v>
      </c>
      <c r="AG1508" s="49">
        <v>1.71</v>
      </c>
      <c r="AH1508" s="98">
        <v>2.8400000000000001E-3</v>
      </c>
      <c r="AI1508" s="98">
        <v>4.9800000000000004E-10</v>
      </c>
      <c r="AJ1508" s="483">
        <f t="shared" si="362"/>
        <v>-0.93524798626561412</v>
      </c>
      <c r="AK1508" s="483">
        <f>LOG10(AI1508*1000/(0.08206*298.15))</f>
        <v>-7.6913369835529339</v>
      </c>
      <c r="AL1508" s="483">
        <f t="shared" si="363"/>
        <v>-7.6913369835529339</v>
      </c>
      <c r="AM1508" s="483">
        <v>-9.3603799999999993</v>
      </c>
      <c r="AN1508" s="226">
        <v>-6.56</v>
      </c>
      <c r="AO1508" s="484"/>
      <c r="AP1508" s="484">
        <v>4.04</v>
      </c>
      <c r="AQ1508" s="226" t="s">
        <v>6311</v>
      </c>
      <c r="AR1508" s="226" t="s">
        <v>6311</v>
      </c>
      <c r="AS1508" s="224" t="s">
        <v>6</v>
      </c>
      <c r="AT1508" s="50" t="s">
        <v>266</v>
      </c>
      <c r="AU1508" s="48">
        <v>8</v>
      </c>
      <c r="AV1508" s="48">
        <v>144</v>
      </c>
      <c r="AW1508" s="48">
        <v>120</v>
      </c>
      <c r="AX1508" s="48">
        <v>26</v>
      </c>
      <c r="AY1508" s="48" t="s">
        <v>267</v>
      </c>
      <c r="AZ1508" s="48" t="s">
        <v>2253</v>
      </c>
      <c r="BA1508" s="48">
        <v>2</v>
      </c>
      <c r="BB1508" s="47" t="s">
        <v>2254</v>
      </c>
      <c r="BC1508" s="47" t="s">
        <v>270</v>
      </c>
      <c r="BD1508" s="47" t="s">
        <v>8374</v>
      </c>
      <c r="BE1508" s="48" t="s">
        <v>1712</v>
      </c>
      <c r="BF1508" s="48" t="s">
        <v>272</v>
      </c>
      <c r="BG1508" s="48" t="s">
        <v>272</v>
      </c>
      <c r="BH1508" s="48" t="s">
        <v>2255</v>
      </c>
      <c r="BI1508" s="98">
        <v>1.6228E-4</v>
      </c>
      <c r="BJ1508" s="98">
        <v>12.9824</v>
      </c>
      <c r="BK1508" s="48"/>
      <c r="BL1508" s="487">
        <v>1193.5785324449307</v>
      </c>
      <c r="BM1508" s="48" t="s">
        <v>891</v>
      </c>
      <c r="BN1508" s="233"/>
      <c r="BO1508" s="233"/>
      <c r="BP1508" s="233"/>
      <c r="BQ1508" s="233"/>
      <c r="BR1508" s="233"/>
      <c r="BS1508" s="234"/>
      <c r="BT1508" s="233"/>
      <c r="BU1508" s="235"/>
      <c r="BV1508" s="233"/>
      <c r="BW1508" s="233"/>
      <c r="BX1508" s="233"/>
      <c r="BY1508" s="233"/>
      <c r="BZ1508" s="233"/>
      <c r="CA1508" s="233"/>
      <c r="CB1508" s="233"/>
      <c r="CC1508" s="234"/>
      <c r="CD1508" s="238"/>
      <c r="CE1508" s="238"/>
      <c r="CF1508" s="238"/>
      <c r="CG1508" s="233"/>
      <c r="CH1508" s="48"/>
      <c r="CI1508" s="98"/>
      <c r="CJ1508" s="98"/>
      <c r="CK1508" s="49">
        <f t="shared" si="368"/>
        <v>91.93820344812444</v>
      </c>
      <c r="CL1508" s="229"/>
      <c r="CM1508" s="229"/>
      <c r="CN1508" s="229"/>
      <c r="CO1508" s="47" t="s">
        <v>892</v>
      </c>
      <c r="CP1508" s="500" t="s">
        <v>893</v>
      </c>
      <c r="CQ1508" s="224">
        <v>6.7207393100050541E-2</v>
      </c>
      <c r="CR1508" s="224">
        <f>10^(CJ1508-CQ1508)</f>
        <v>0.85662867286035904</v>
      </c>
      <c r="CS1508" s="230" t="s">
        <v>539</v>
      </c>
      <c r="CT1508" s="230"/>
      <c r="CU1508" s="230"/>
      <c r="CV1508" s="335">
        <f t="shared" si="369"/>
        <v>231.08208035494206</v>
      </c>
      <c r="CW1508" s="230">
        <f t="shared" si="366"/>
        <v>1</v>
      </c>
      <c r="CX1508" s="336" t="s">
        <v>539</v>
      </c>
      <c r="CY1508" s="230" t="s">
        <v>5921</v>
      </c>
    </row>
    <row r="1509" spans="1:103" ht="11.25" customHeight="1" x14ac:dyDescent="0.2">
      <c r="A1509" s="72">
        <v>1153</v>
      </c>
      <c r="B1509" s="224">
        <v>323</v>
      </c>
      <c r="C1509" s="46" t="s">
        <v>7299</v>
      </c>
      <c r="D1509" s="46" t="s">
        <v>8610</v>
      </c>
      <c r="E1509" s="114"/>
      <c r="F1509" s="114" t="s">
        <v>3843</v>
      </c>
      <c r="G1509" s="225">
        <v>759944</v>
      </c>
      <c r="H1509" s="47" t="s">
        <v>3844</v>
      </c>
      <c r="I1509" s="47" t="s">
        <v>3844</v>
      </c>
      <c r="J1509" s="47" t="s">
        <v>3845</v>
      </c>
      <c r="K1509" s="47" t="s">
        <v>1499</v>
      </c>
      <c r="L1509" s="47" t="s">
        <v>6035</v>
      </c>
      <c r="M1509" s="47" t="s">
        <v>6023</v>
      </c>
      <c r="N1509" s="47" t="s">
        <v>6382</v>
      </c>
      <c r="O1509" s="47" t="s">
        <v>1516</v>
      </c>
      <c r="P1509" s="53"/>
      <c r="Q1509" s="53"/>
      <c r="R1509" s="53"/>
      <c r="S1509" s="53"/>
      <c r="T1509" s="48">
        <v>189.32</v>
      </c>
      <c r="U1509" s="98">
        <v>375</v>
      </c>
      <c r="V1509" s="98">
        <v>89.87</v>
      </c>
      <c r="W1509" s="98">
        <v>198.24237671699615</v>
      </c>
      <c r="X1509" s="98">
        <v>375</v>
      </c>
      <c r="Y1509" s="233">
        <v>7</v>
      </c>
      <c r="Z1509" s="48">
        <v>3.02</v>
      </c>
      <c r="AA1509" s="48">
        <v>3.21</v>
      </c>
      <c r="AB1509" s="48">
        <v>3.1</v>
      </c>
      <c r="AC1509" s="48">
        <v>0.80200000000000005</v>
      </c>
      <c r="AD1509" s="48">
        <v>3.19</v>
      </c>
      <c r="AE1509" s="48">
        <v>3.37</v>
      </c>
      <c r="AF1509" s="48">
        <f t="shared" si="364"/>
        <v>3.21</v>
      </c>
      <c r="AG1509" s="49">
        <v>2.52</v>
      </c>
      <c r="AH1509" s="98">
        <v>1.5400000000000002E-5</v>
      </c>
      <c r="AI1509" s="98">
        <v>1.59E-5</v>
      </c>
      <c r="AJ1509" s="483">
        <f t="shared" si="362"/>
        <v>-3.2010456054761889</v>
      </c>
      <c r="AK1509" s="483">
        <f>LOG10(AI1509*1000/(0.08206*298.15))</f>
        <v>-3.1871692019922002</v>
      </c>
      <c r="AL1509" s="483">
        <f t="shared" si="363"/>
        <v>-3.1871692019922002</v>
      </c>
      <c r="AM1509" s="483">
        <v>-7.9285199999999998</v>
      </c>
      <c r="AN1509" s="226">
        <v>-2.96</v>
      </c>
      <c r="AO1509" s="484"/>
      <c r="AP1509" s="484">
        <v>-1.22</v>
      </c>
      <c r="AQ1509" s="226" t="s">
        <v>6311</v>
      </c>
      <c r="AR1509" s="226" t="s">
        <v>6311</v>
      </c>
      <c r="AS1509" s="224" t="s">
        <v>6</v>
      </c>
      <c r="AT1509" s="50" t="s">
        <v>266</v>
      </c>
      <c r="AU1509" s="48">
        <v>8</v>
      </c>
      <c r="AV1509" s="48">
        <v>144</v>
      </c>
      <c r="AW1509" s="48">
        <v>120</v>
      </c>
      <c r="AX1509" s="48">
        <v>26</v>
      </c>
      <c r="AY1509" s="48" t="s">
        <v>267</v>
      </c>
      <c r="AZ1509" s="48" t="s">
        <v>2253</v>
      </c>
      <c r="BA1509" s="48">
        <v>5</v>
      </c>
      <c r="BB1509" s="47" t="s">
        <v>2254</v>
      </c>
      <c r="BC1509" s="47" t="s">
        <v>270</v>
      </c>
      <c r="BD1509" s="47" t="s">
        <v>8374</v>
      </c>
      <c r="BE1509" s="48" t="s">
        <v>1712</v>
      </c>
      <c r="BF1509" s="48" t="s">
        <v>272</v>
      </c>
      <c r="BG1509" s="48" t="s">
        <v>272</v>
      </c>
      <c r="BH1509" s="48" t="s">
        <v>2255</v>
      </c>
      <c r="BI1509" s="98">
        <v>1.8931999999999998E-4</v>
      </c>
      <c r="BJ1509" s="98">
        <v>15.1456</v>
      </c>
      <c r="BK1509" s="48"/>
      <c r="BL1509" s="487">
        <v>18.868374858355718</v>
      </c>
      <c r="BM1509" s="48" t="s">
        <v>891</v>
      </c>
      <c r="BN1509" s="233"/>
      <c r="BO1509" s="233"/>
      <c r="BP1509" s="233"/>
      <c r="BQ1509" s="233"/>
      <c r="BR1509" s="233"/>
      <c r="BS1509" s="48"/>
      <c r="BT1509" s="233"/>
      <c r="BU1509" s="228"/>
      <c r="BV1509" s="233"/>
      <c r="BW1509" s="233"/>
      <c r="BX1509" s="233"/>
      <c r="BY1509" s="233"/>
      <c r="BZ1509" s="233"/>
      <c r="CA1509" s="233"/>
      <c r="CB1509" s="233"/>
      <c r="CC1509" s="48"/>
      <c r="CD1509" s="48"/>
      <c r="CE1509" s="48"/>
      <c r="CF1509" s="48"/>
      <c r="CG1509" s="233"/>
      <c r="CH1509" s="48"/>
      <c r="CI1509" s="98"/>
      <c r="CJ1509" s="98"/>
      <c r="CK1509" s="49">
        <f t="shared" si="368"/>
        <v>1.2457991006203597</v>
      </c>
      <c r="CL1509" s="229"/>
      <c r="CM1509" s="229"/>
      <c r="CN1509" s="229"/>
      <c r="CO1509" s="47" t="s">
        <v>892</v>
      </c>
      <c r="CP1509" s="500" t="s">
        <v>893</v>
      </c>
      <c r="CQ1509" s="224">
        <v>1.3186572043877425</v>
      </c>
      <c r="CR1509" s="224">
        <f>10^(CJ1509-CQ1509)</f>
        <v>4.8011225943650274E-2</v>
      </c>
      <c r="CS1509" s="230" t="s">
        <v>539</v>
      </c>
      <c r="CT1509" s="230"/>
      <c r="CU1509" s="230"/>
      <c r="CV1509" s="335">
        <f t="shared" si="369"/>
        <v>24.759666173674201</v>
      </c>
      <c r="CW1509" s="230">
        <f t="shared" si="366"/>
        <v>1</v>
      </c>
      <c r="CX1509" s="336" t="s">
        <v>539</v>
      </c>
      <c r="CY1509" s="230" t="s">
        <v>6351</v>
      </c>
    </row>
    <row r="1510" spans="1:103" ht="11.25" customHeight="1" x14ac:dyDescent="0.2">
      <c r="A1510" s="72">
        <v>1159</v>
      </c>
      <c r="B1510" s="224">
        <v>226</v>
      </c>
      <c r="C1510" s="46" t="s">
        <v>7305</v>
      </c>
      <c r="D1510" s="46" t="s">
        <v>8612</v>
      </c>
      <c r="E1510" s="114"/>
      <c r="F1510" s="114" t="s">
        <v>2918</v>
      </c>
      <c r="G1510" s="225">
        <v>834128</v>
      </c>
      <c r="H1510" s="47" t="s">
        <v>2919</v>
      </c>
      <c r="I1510" s="47" t="s">
        <v>2919</v>
      </c>
      <c r="J1510" s="47" t="s">
        <v>2920</v>
      </c>
      <c r="K1510" s="47" t="s">
        <v>940</v>
      </c>
      <c r="L1510" s="47" t="s">
        <v>6026</v>
      </c>
      <c r="M1510" s="47" t="s">
        <v>6082</v>
      </c>
      <c r="N1510" s="47" t="s">
        <v>6082</v>
      </c>
      <c r="O1510" s="47" t="s">
        <v>6083</v>
      </c>
      <c r="P1510" s="53"/>
      <c r="Q1510" s="53"/>
      <c r="R1510" s="53"/>
      <c r="S1510" s="53"/>
      <c r="T1510" s="48">
        <v>227.33</v>
      </c>
      <c r="U1510" s="98">
        <v>209</v>
      </c>
      <c r="V1510" s="98">
        <v>89.7</v>
      </c>
      <c r="W1510" s="98">
        <v>136.97987070228359</v>
      </c>
      <c r="X1510" s="98">
        <v>209</v>
      </c>
      <c r="Y1510" s="233">
        <v>7.46</v>
      </c>
      <c r="Z1510" s="48">
        <v>3.32</v>
      </c>
      <c r="AA1510" s="48">
        <v>2.98</v>
      </c>
      <c r="AB1510" s="48">
        <v>3.02</v>
      </c>
      <c r="AC1510" s="48">
        <v>0.8488</v>
      </c>
      <c r="AD1510" s="48">
        <v>3.04</v>
      </c>
      <c r="AE1510" s="48">
        <v>3.09</v>
      </c>
      <c r="AF1510" s="48">
        <f t="shared" si="364"/>
        <v>2.98</v>
      </c>
      <c r="AG1510" s="49">
        <v>2.52</v>
      </c>
      <c r="AH1510" s="98">
        <v>6.8500000000000001E-9</v>
      </c>
      <c r="AI1510" s="98">
        <v>2.4300000000000001E-9</v>
      </c>
      <c r="AJ1510" s="483">
        <f t="shared" si="362"/>
        <v>-6.5528757548202261</v>
      </c>
      <c r="AK1510" s="483">
        <f>LOG10(AI1510*1000/(0.08206*298.15))</f>
        <v>-7.0029600527143394</v>
      </c>
      <c r="AL1510" s="483">
        <f t="shared" si="363"/>
        <v>-7.0029600527143394</v>
      </c>
      <c r="AM1510" s="483">
        <v>-11.468990000000002</v>
      </c>
      <c r="AN1510" s="226">
        <v>-9.15</v>
      </c>
      <c r="AO1510" s="484"/>
      <c r="AP1510" s="484">
        <v>3.71</v>
      </c>
      <c r="AQ1510" s="226" t="s">
        <v>6311</v>
      </c>
      <c r="AR1510" s="226" t="s">
        <v>6311</v>
      </c>
      <c r="AS1510" s="224" t="s">
        <v>6</v>
      </c>
      <c r="AT1510" s="50" t="s">
        <v>266</v>
      </c>
      <c r="AU1510" s="48">
        <v>8</v>
      </c>
      <c r="AV1510" s="48">
        <v>144</v>
      </c>
      <c r="AW1510" s="48">
        <v>120</v>
      </c>
      <c r="AX1510" s="48">
        <v>26</v>
      </c>
      <c r="AY1510" s="48" t="s">
        <v>267</v>
      </c>
      <c r="AZ1510" s="48" t="s">
        <v>2253</v>
      </c>
      <c r="BA1510" s="48">
        <v>2</v>
      </c>
      <c r="BB1510" s="47" t="s">
        <v>2254</v>
      </c>
      <c r="BC1510" s="47" t="s">
        <v>270</v>
      </c>
      <c r="BD1510" s="47" t="s">
        <v>8374</v>
      </c>
      <c r="BE1510" s="48" t="s">
        <v>1712</v>
      </c>
      <c r="BF1510" s="48" t="s">
        <v>272</v>
      </c>
      <c r="BG1510" s="48" t="s">
        <v>272</v>
      </c>
      <c r="BH1510" s="48" t="s">
        <v>2255</v>
      </c>
      <c r="BI1510" s="98">
        <v>2.2733000000000001E-4</v>
      </c>
      <c r="BJ1510" s="98">
        <v>18.186400000000003</v>
      </c>
      <c r="BK1510" s="48"/>
      <c r="BL1510" s="487">
        <v>12.183294770441965</v>
      </c>
      <c r="BM1510" s="48" t="s">
        <v>891</v>
      </c>
      <c r="BN1510" s="233"/>
      <c r="BO1510" s="233"/>
      <c r="BP1510" s="233"/>
      <c r="BQ1510" s="233"/>
      <c r="BR1510" s="233"/>
      <c r="BS1510" s="48"/>
      <c r="BT1510" s="233"/>
      <c r="BU1510" s="228"/>
      <c r="BV1510" s="233"/>
      <c r="BW1510" s="233"/>
      <c r="BX1510" s="233"/>
      <c r="BY1510" s="233"/>
      <c r="BZ1510" s="233"/>
      <c r="CA1510" s="233"/>
      <c r="CB1510" s="233"/>
      <c r="CC1510" s="48"/>
      <c r="CD1510" s="48"/>
      <c r="CE1510" s="48"/>
      <c r="CF1510" s="48"/>
      <c r="CG1510" s="233"/>
      <c r="CH1510" s="48"/>
      <c r="CI1510" s="98"/>
      <c r="CJ1510" s="98"/>
      <c r="CK1510" s="49">
        <f t="shared" si="368"/>
        <v>0.66991239445090633</v>
      </c>
      <c r="CL1510" s="229"/>
      <c r="CM1510" s="229"/>
      <c r="CN1510" s="229"/>
      <c r="CO1510" s="47" t="s">
        <v>892</v>
      </c>
      <c r="CP1510" s="500" t="s">
        <v>893</v>
      </c>
      <c r="CQ1510" s="224">
        <v>0.80724181104067239</v>
      </c>
      <c r="CR1510" s="224">
        <f>10^(CJ1510-CQ1510)</f>
        <v>0.15586844005108996</v>
      </c>
      <c r="CS1510" s="230" t="s">
        <v>539</v>
      </c>
      <c r="CT1510" s="230"/>
      <c r="CU1510" s="230"/>
      <c r="CV1510" s="335">
        <f t="shared" si="369"/>
        <v>11.49210398979457</v>
      </c>
      <c r="CW1510" s="230">
        <f t="shared" si="366"/>
        <v>1</v>
      </c>
      <c r="CX1510" s="336" t="s">
        <v>539</v>
      </c>
      <c r="CY1510" s="230" t="s">
        <v>6351</v>
      </c>
    </row>
    <row r="1511" spans="1:103" ht="11.25" customHeight="1" x14ac:dyDescent="0.2">
      <c r="A1511" s="72">
        <v>1165</v>
      </c>
      <c r="B1511" s="224">
        <v>385</v>
      </c>
      <c r="C1511" s="46" t="s">
        <v>7310</v>
      </c>
      <c r="D1511" s="46" t="s">
        <v>8613</v>
      </c>
      <c r="E1511" s="114"/>
      <c r="F1511" s="114" t="s">
        <v>3932</v>
      </c>
      <c r="G1511" s="225">
        <v>950378</v>
      </c>
      <c r="H1511" s="47" t="s">
        <v>3933</v>
      </c>
      <c r="I1511" s="47" t="s">
        <v>3933</v>
      </c>
      <c r="J1511" s="47" t="s">
        <v>3934</v>
      </c>
      <c r="K1511" s="47" t="s">
        <v>3935</v>
      </c>
      <c r="L1511" s="47" t="s">
        <v>617</v>
      </c>
      <c r="M1511" s="47" t="s">
        <v>946</v>
      </c>
      <c r="N1511" s="47" t="s">
        <v>6376</v>
      </c>
      <c r="O1511" s="47" t="s">
        <v>918</v>
      </c>
      <c r="P1511" s="53"/>
      <c r="Q1511" s="53" t="s">
        <v>6173</v>
      </c>
      <c r="R1511" s="53" t="s">
        <v>6177</v>
      </c>
      <c r="S1511" s="53" t="s">
        <v>6176</v>
      </c>
      <c r="T1511" s="48">
        <v>302.33</v>
      </c>
      <c r="U1511" s="98">
        <v>187</v>
      </c>
      <c r="V1511" s="98">
        <v>157.30000000000001</v>
      </c>
      <c r="W1511" s="98">
        <v>120.35974087343877</v>
      </c>
      <c r="X1511" s="98">
        <v>187</v>
      </c>
      <c r="Y1511" s="233">
        <v>7</v>
      </c>
      <c r="Z1511" s="48">
        <v>1.58</v>
      </c>
      <c r="AA1511" s="48">
        <v>2.2000000000000002</v>
      </c>
      <c r="AB1511" s="48">
        <v>1.73</v>
      </c>
      <c r="AC1511" s="48">
        <v>0.71389999999999998</v>
      </c>
      <c r="AD1511" s="48">
        <v>1.83</v>
      </c>
      <c r="AE1511" s="48">
        <v>2.0299999999999998</v>
      </c>
      <c r="AF1511" s="48">
        <f t="shared" si="364"/>
        <v>2.2000000000000002</v>
      </c>
      <c r="AG1511" s="49">
        <v>3.36</v>
      </c>
      <c r="AH1511" s="98">
        <v>7.0999999999999999E-9</v>
      </c>
      <c r="AI1511" s="98">
        <v>7.1699999999999998E-9</v>
      </c>
      <c r="AJ1511" s="483">
        <f t="shared" si="362"/>
        <v>-6.5373079775935761</v>
      </c>
      <c r="AK1511" s="483">
        <f>LOG10(AI1511*1000/(0.08206*298.15))</f>
        <v>-6.5330471706448519</v>
      </c>
      <c r="AL1511" s="483">
        <f t="shared" si="363"/>
        <v>-6.5330471706448519</v>
      </c>
      <c r="AM1511" s="483">
        <v>-16.076590000000003</v>
      </c>
      <c r="AN1511" s="226">
        <v>-1.94</v>
      </c>
      <c r="AO1511" s="484"/>
      <c r="AP1511" s="484">
        <v>-4.17</v>
      </c>
      <c r="AQ1511" s="226" t="s">
        <v>6314</v>
      </c>
      <c r="AR1511" s="226" t="s">
        <v>6314</v>
      </c>
      <c r="AS1511" s="224" t="s">
        <v>6</v>
      </c>
      <c r="AT1511" s="50" t="s">
        <v>266</v>
      </c>
      <c r="AU1511" s="48">
        <v>8</v>
      </c>
      <c r="AV1511" s="48">
        <v>144</v>
      </c>
      <c r="AW1511" s="48">
        <v>120</v>
      </c>
      <c r="AX1511" s="48">
        <v>26</v>
      </c>
      <c r="AY1511" s="48" t="s">
        <v>267</v>
      </c>
      <c r="AZ1511" s="48" t="s">
        <v>2253</v>
      </c>
      <c r="BA1511" s="48">
        <v>2</v>
      </c>
      <c r="BB1511" s="47" t="s">
        <v>2254</v>
      </c>
      <c r="BC1511" s="47" t="s">
        <v>270</v>
      </c>
      <c r="BD1511" s="47" t="s">
        <v>8374</v>
      </c>
      <c r="BE1511" s="48" t="s">
        <v>1712</v>
      </c>
      <c r="BF1511" s="48" t="s">
        <v>272</v>
      </c>
      <c r="BG1511" s="48" t="s">
        <v>272</v>
      </c>
      <c r="BH1511" s="48" t="s">
        <v>2255</v>
      </c>
      <c r="BI1511" s="98">
        <v>3.0232999999999996E-4</v>
      </c>
      <c r="BJ1511" s="98">
        <v>24.186399999999999</v>
      </c>
      <c r="BK1511" s="48"/>
      <c r="BL1511" s="487">
        <v>591.94757269986974</v>
      </c>
      <c r="BM1511" s="48" t="s">
        <v>891</v>
      </c>
      <c r="BN1511" s="233"/>
      <c r="BO1511" s="233"/>
      <c r="BP1511" s="233"/>
      <c r="BQ1511" s="233"/>
      <c r="BR1511" s="233"/>
      <c r="BS1511" s="48"/>
      <c r="BT1511" s="233"/>
      <c r="BU1511" s="228"/>
      <c r="BV1511" s="233"/>
      <c r="BW1511" s="233"/>
      <c r="BX1511" s="233"/>
      <c r="BY1511" s="233"/>
      <c r="BZ1511" s="233"/>
      <c r="CA1511" s="233"/>
      <c r="CB1511" s="233"/>
      <c r="CC1511" s="48"/>
      <c r="CD1511" s="48"/>
      <c r="CE1511" s="48"/>
      <c r="CF1511" s="48"/>
      <c r="CG1511" s="233"/>
      <c r="CH1511" s="48"/>
      <c r="CI1511" s="98"/>
      <c r="CJ1511" s="98"/>
      <c r="CK1511" s="49">
        <f t="shared" si="368"/>
        <v>24.474397706970436</v>
      </c>
      <c r="CL1511" s="229"/>
      <c r="CM1511" s="229"/>
      <c r="CN1511" s="229"/>
      <c r="CO1511" s="47" t="s">
        <v>892</v>
      </c>
      <c r="CP1511" s="500" t="s">
        <v>893</v>
      </c>
      <c r="CQ1511" s="224">
        <v>-1.779695774034832</v>
      </c>
      <c r="CR1511" s="224">
        <f>10^(CJ1511-CQ1511)</f>
        <v>60.213763717129581</v>
      </c>
      <c r="CS1511" s="230" t="s">
        <v>539</v>
      </c>
      <c r="CT1511" s="230"/>
      <c r="CU1511" s="230"/>
      <c r="CV1511" s="335">
        <f t="shared" si="369"/>
        <v>7.7316177686633818</v>
      </c>
      <c r="CW1511" s="230">
        <f t="shared" si="366"/>
        <v>1</v>
      </c>
      <c r="CX1511" s="336" t="s">
        <v>539</v>
      </c>
      <c r="CY1511" s="230" t="s">
        <v>5921</v>
      </c>
    </row>
    <row r="1512" spans="1:103" ht="11.25" customHeight="1" x14ac:dyDescent="0.2">
      <c r="A1512" s="72">
        <v>1168</v>
      </c>
      <c r="B1512" s="224">
        <v>215</v>
      </c>
      <c r="C1512" s="46" t="s">
        <v>7311</v>
      </c>
      <c r="D1512" s="46"/>
      <c r="E1512" s="114"/>
      <c r="F1512" s="114" t="s">
        <v>3052</v>
      </c>
      <c r="G1512" s="225">
        <v>1007289</v>
      </c>
      <c r="H1512" s="47" t="s">
        <v>3053</v>
      </c>
      <c r="I1512" s="47" t="s">
        <v>8063</v>
      </c>
      <c r="J1512" s="47" t="s">
        <v>3054</v>
      </c>
      <c r="K1512" s="47" t="s">
        <v>3055</v>
      </c>
      <c r="L1512" s="47"/>
      <c r="M1512" s="47"/>
      <c r="N1512" s="47"/>
      <c r="O1512" s="47"/>
      <c r="P1512" s="53"/>
      <c r="Q1512" s="53" t="s">
        <v>6173</v>
      </c>
      <c r="R1512" s="53" t="s">
        <v>6185</v>
      </c>
      <c r="S1512" s="53" t="s">
        <v>6176</v>
      </c>
      <c r="T1512" s="48">
        <v>173.6</v>
      </c>
      <c r="U1512" s="98">
        <v>670</v>
      </c>
      <c r="V1512" s="98">
        <v>6160</v>
      </c>
      <c r="W1512" s="98">
        <v>932.28719849875813</v>
      </c>
      <c r="X1512" s="98">
        <v>670</v>
      </c>
      <c r="Y1512" s="233">
        <v>7.88</v>
      </c>
      <c r="Z1512" s="48">
        <v>1.36</v>
      </c>
      <c r="AA1512" s="48">
        <v>1.1499999999999999</v>
      </c>
      <c r="AB1512" s="48">
        <v>1.29</v>
      </c>
      <c r="AC1512" s="48">
        <v>0.94299999999999995</v>
      </c>
      <c r="AD1512" s="48">
        <v>1.26</v>
      </c>
      <c r="AE1512" s="48">
        <v>1.1599999999999999</v>
      </c>
      <c r="AF1512" s="48">
        <f t="shared" si="364"/>
        <v>1.1499999999999999</v>
      </c>
      <c r="AG1512" s="49">
        <v>1.01</v>
      </c>
      <c r="AH1512" s="98">
        <v>1.1599999999999999E-9</v>
      </c>
      <c r="AI1512" s="98"/>
      <c r="AJ1512" s="483">
        <f t="shared" ref="AJ1512:AJ1537" si="370">LOG10(AH1512*1000/(0.08206*298.15))</f>
        <v>-7.3241083370857334</v>
      </c>
      <c r="AK1512" s="483"/>
      <c r="AL1512" s="483">
        <f t="shared" ref="AL1512:AL1537" si="371">IF(AK1512=0,AJ1512,AK1512)</f>
        <v>-7.3241083370857334</v>
      </c>
      <c r="AM1512" s="483">
        <v>-11.125200000000001</v>
      </c>
      <c r="AN1512" s="226">
        <v>-9.07</v>
      </c>
      <c r="AO1512" s="484"/>
      <c r="AP1512" s="484">
        <v>3.85</v>
      </c>
      <c r="AQ1512" s="226" t="s">
        <v>6311</v>
      </c>
      <c r="AR1512" s="226" t="s">
        <v>6311</v>
      </c>
      <c r="AS1512" s="224" t="s">
        <v>6</v>
      </c>
      <c r="AT1512" s="50" t="s">
        <v>266</v>
      </c>
      <c r="AU1512" s="48">
        <v>8</v>
      </c>
      <c r="AV1512" s="48">
        <v>144</v>
      </c>
      <c r="AW1512" s="48">
        <v>120</v>
      </c>
      <c r="AX1512" s="48">
        <v>26</v>
      </c>
      <c r="AY1512" s="48" t="s">
        <v>267</v>
      </c>
      <c r="AZ1512" s="48" t="s">
        <v>2253</v>
      </c>
      <c r="BA1512" s="48">
        <v>2</v>
      </c>
      <c r="BB1512" s="47" t="s">
        <v>2254</v>
      </c>
      <c r="BC1512" s="47" t="s">
        <v>270</v>
      </c>
      <c r="BD1512" s="47" t="s">
        <v>8374</v>
      </c>
      <c r="BE1512" s="48" t="s">
        <v>1712</v>
      </c>
      <c r="BF1512" s="48" t="s">
        <v>272</v>
      </c>
      <c r="BG1512" s="48" t="s">
        <v>272</v>
      </c>
      <c r="BH1512" s="48" t="s">
        <v>2255</v>
      </c>
      <c r="BI1512" s="98">
        <v>1.7359999999999999E-4</v>
      </c>
      <c r="BJ1512" s="98">
        <v>13.888</v>
      </c>
      <c r="BK1512" s="48"/>
      <c r="BL1512" s="487">
        <v>535.7148940004729</v>
      </c>
      <c r="BM1512" s="48" t="s">
        <v>891</v>
      </c>
      <c r="BN1512" s="233"/>
      <c r="BO1512" s="233"/>
      <c r="BP1512" s="233"/>
      <c r="BQ1512" s="233"/>
      <c r="BR1512" s="233"/>
      <c r="BS1512" s="48"/>
      <c r="BT1512" s="233"/>
      <c r="BU1512" s="228"/>
      <c r="BV1512" s="233"/>
      <c r="BW1512" s="233"/>
      <c r="BX1512" s="233"/>
      <c r="BY1512" s="233"/>
      <c r="BZ1512" s="233"/>
      <c r="CA1512" s="233"/>
      <c r="CB1512" s="233"/>
      <c r="CC1512" s="48"/>
      <c r="CD1512" s="48"/>
      <c r="CE1512" s="48"/>
      <c r="CF1512" s="48"/>
      <c r="CG1512" s="233"/>
      <c r="CH1512" s="48"/>
      <c r="CI1512" s="98"/>
      <c r="CJ1512" s="98"/>
      <c r="CK1512" s="49">
        <f t="shared" si="368"/>
        <v>38.573941100264463</v>
      </c>
      <c r="CL1512" s="229"/>
      <c r="CM1512" s="229"/>
      <c r="CN1512" s="229"/>
      <c r="CO1512" s="47" t="s">
        <v>892</v>
      </c>
      <c r="CP1512" s="500" t="s">
        <v>893</v>
      </c>
      <c r="CQ1512" s="224" t="s">
        <v>272</v>
      </c>
      <c r="CR1512" s="224"/>
      <c r="CS1512" s="230" t="s">
        <v>539</v>
      </c>
      <c r="CT1512" s="230"/>
      <c r="CU1512" s="230"/>
      <c r="CV1512" s="335">
        <f t="shared" si="369"/>
        <v>48.243087557603687</v>
      </c>
      <c r="CW1512" s="230">
        <f t="shared" si="366"/>
        <v>1</v>
      </c>
      <c r="CX1512" s="336" t="s">
        <v>539</v>
      </c>
      <c r="CY1512" s="230" t="s">
        <v>5921</v>
      </c>
    </row>
    <row r="1513" spans="1:103" ht="11.25" customHeight="1" x14ac:dyDescent="0.2">
      <c r="A1513" s="72">
        <v>1176</v>
      </c>
      <c r="B1513" s="224">
        <v>267</v>
      </c>
      <c r="C1513" s="46" t="s">
        <v>7319</v>
      </c>
      <c r="D1513" s="46" t="s">
        <v>8615</v>
      </c>
      <c r="E1513" s="114"/>
      <c r="F1513" s="114" t="s">
        <v>3780</v>
      </c>
      <c r="G1513" s="225">
        <v>1134232</v>
      </c>
      <c r="H1513" s="47" t="s">
        <v>3781</v>
      </c>
      <c r="I1513" s="47" t="s">
        <v>3781</v>
      </c>
      <c r="J1513" s="47" t="s">
        <v>3782</v>
      </c>
      <c r="K1513" s="47" t="s">
        <v>1499</v>
      </c>
      <c r="L1513" s="47" t="s">
        <v>5248</v>
      </c>
      <c r="M1513" s="47" t="s">
        <v>6082</v>
      </c>
      <c r="N1513" s="47" t="s">
        <v>6082</v>
      </c>
      <c r="O1513" s="47" t="s">
        <v>6083</v>
      </c>
      <c r="P1513" s="53"/>
      <c r="Q1513" s="53"/>
      <c r="R1513" s="53"/>
      <c r="S1513" s="53"/>
      <c r="T1513" s="48">
        <v>215.36</v>
      </c>
      <c r="U1513" s="98">
        <v>85</v>
      </c>
      <c r="V1513" s="98">
        <v>17.690000000000001</v>
      </c>
      <c r="W1513" s="98">
        <v>65.037680250577822</v>
      </c>
      <c r="X1513" s="98">
        <v>85</v>
      </c>
      <c r="Y1513" s="233">
        <v>7</v>
      </c>
      <c r="Z1513" s="48">
        <v>3.81</v>
      </c>
      <c r="AA1513" s="48">
        <v>3.88</v>
      </c>
      <c r="AB1513" s="48">
        <v>3.64</v>
      </c>
      <c r="AC1513" s="48">
        <v>0.79579999999999995</v>
      </c>
      <c r="AD1513" s="48">
        <v>3.7</v>
      </c>
      <c r="AE1513" s="48">
        <v>3.83</v>
      </c>
      <c r="AF1513" s="48">
        <f t="shared" si="364"/>
        <v>3.88</v>
      </c>
      <c r="AG1513" s="49">
        <v>3.04</v>
      </c>
      <c r="AH1513" s="98">
        <v>1.2E-5</v>
      </c>
      <c r="AI1513" s="98">
        <v>6.7000000000000002E-6</v>
      </c>
      <c r="AJ1513" s="483">
        <f t="shared" si="370"/>
        <v>-3.3093850802650269</v>
      </c>
      <c r="AK1513" s="483">
        <f t="shared" ref="AK1513:AK1530" si="372">LOG10(AI1513*1000/(0.08206*298.15))</f>
        <v>-3.5624915236118255</v>
      </c>
      <c r="AL1513" s="483">
        <f t="shared" si="371"/>
        <v>-3.5624915236118255</v>
      </c>
      <c r="AM1513" s="483">
        <v>-8.6158000000000001</v>
      </c>
      <c r="AN1513" s="226">
        <v>-3.56</v>
      </c>
      <c r="AO1513" s="484"/>
      <c r="AP1513" s="484">
        <v>-1.3</v>
      </c>
      <c r="AQ1513" s="226" t="s">
        <v>6311</v>
      </c>
      <c r="AR1513" s="226" t="s">
        <v>6311</v>
      </c>
      <c r="AS1513" s="224" t="s">
        <v>6</v>
      </c>
      <c r="AT1513" s="50" t="s">
        <v>266</v>
      </c>
      <c r="AU1513" s="48">
        <v>8</v>
      </c>
      <c r="AV1513" s="48">
        <v>144</v>
      </c>
      <c r="AW1513" s="48">
        <v>120</v>
      </c>
      <c r="AX1513" s="48">
        <v>26</v>
      </c>
      <c r="AY1513" s="48" t="s">
        <v>267</v>
      </c>
      <c r="AZ1513" s="48" t="s">
        <v>2253</v>
      </c>
      <c r="BA1513" s="48">
        <v>3</v>
      </c>
      <c r="BB1513" s="47" t="s">
        <v>2254</v>
      </c>
      <c r="BC1513" s="47" t="s">
        <v>270</v>
      </c>
      <c r="BD1513" s="47" t="s">
        <v>8374</v>
      </c>
      <c r="BE1513" s="48" t="s">
        <v>1712</v>
      </c>
      <c r="BF1513" s="48" t="s">
        <v>272</v>
      </c>
      <c r="BG1513" s="48" t="s">
        <v>272</v>
      </c>
      <c r="BH1513" s="48" t="s">
        <v>2255</v>
      </c>
      <c r="BI1513" s="98">
        <v>2.1536E-4</v>
      </c>
      <c r="BJ1513" s="98">
        <v>17.228800000000003</v>
      </c>
      <c r="BK1513" s="48"/>
      <c r="BL1513" s="487">
        <v>4.1899037116722635</v>
      </c>
      <c r="BM1513" s="48" t="s">
        <v>891</v>
      </c>
      <c r="BN1513" s="233"/>
      <c r="BO1513" s="233"/>
      <c r="BP1513" s="233"/>
      <c r="BQ1513" s="233"/>
      <c r="BR1513" s="233"/>
      <c r="BS1513" s="48"/>
      <c r="BT1513" s="233"/>
      <c r="BU1513" s="228"/>
      <c r="BV1513" s="233"/>
      <c r="BW1513" s="233"/>
      <c r="BX1513" s="233"/>
      <c r="BY1513" s="233"/>
      <c r="BZ1513" s="233"/>
      <c r="CA1513" s="233"/>
      <c r="CB1513" s="233"/>
      <c r="CC1513" s="48"/>
      <c r="CD1513" s="48"/>
      <c r="CE1513" s="48"/>
      <c r="CF1513" s="48"/>
      <c r="CG1513" s="233"/>
      <c r="CH1513" s="48"/>
      <c r="CI1513" s="98"/>
      <c r="CJ1513" s="98"/>
      <c r="CK1513" s="49">
        <f t="shared" si="368"/>
        <v>0.24319184804932803</v>
      </c>
      <c r="CL1513" s="229"/>
      <c r="CM1513" s="229"/>
      <c r="CN1513" s="229"/>
      <c r="CO1513" s="47" t="s">
        <v>892</v>
      </c>
      <c r="CP1513" s="500" t="s">
        <v>893</v>
      </c>
      <c r="CQ1513" s="224">
        <v>0.75331942926120909</v>
      </c>
      <c r="CR1513" s="224">
        <f>10^(CJ1513-CQ1513)</f>
        <v>0.17647393543911954</v>
      </c>
      <c r="CS1513" s="230" t="s">
        <v>539</v>
      </c>
      <c r="CT1513" s="230"/>
      <c r="CU1513" s="230"/>
      <c r="CV1513" s="335">
        <f t="shared" si="369"/>
        <v>4.9335995542347684</v>
      </c>
      <c r="CW1513" s="230">
        <f t="shared" si="366"/>
        <v>1</v>
      </c>
      <c r="CX1513" s="336" t="s">
        <v>539</v>
      </c>
      <c r="CY1513" s="230" t="s">
        <v>5921</v>
      </c>
    </row>
    <row r="1514" spans="1:103" ht="11.25" customHeight="1" x14ac:dyDescent="0.2">
      <c r="A1514" s="72">
        <v>1180</v>
      </c>
      <c r="B1514" s="224">
        <v>281</v>
      </c>
      <c r="C1514" s="46" t="s">
        <v>7322</v>
      </c>
      <c r="D1514" s="46" t="s">
        <v>8616</v>
      </c>
      <c r="E1514" s="114"/>
      <c r="F1514" s="114" t="s">
        <v>3067</v>
      </c>
      <c r="G1514" s="225">
        <v>1194656</v>
      </c>
      <c r="H1514" s="47" t="s">
        <v>3068</v>
      </c>
      <c r="I1514" s="47" t="s">
        <v>8066</v>
      </c>
      <c r="J1514" s="47" t="s">
        <v>3069</v>
      </c>
      <c r="K1514" s="47" t="s">
        <v>426</v>
      </c>
      <c r="L1514" s="47" t="s">
        <v>5248</v>
      </c>
      <c r="M1514" s="47" t="s">
        <v>6082</v>
      </c>
      <c r="N1514" s="47" t="s">
        <v>6082</v>
      </c>
      <c r="O1514" s="47" t="s">
        <v>6083</v>
      </c>
      <c r="P1514" s="53"/>
      <c r="Q1514" s="53" t="s">
        <v>6173</v>
      </c>
      <c r="R1514" s="53" t="s">
        <v>6174</v>
      </c>
      <c r="S1514" s="53" t="s">
        <v>6176</v>
      </c>
      <c r="T1514" s="48">
        <v>172.01</v>
      </c>
      <c r="U1514" s="98">
        <v>14.6</v>
      </c>
      <c r="V1514" s="98">
        <v>149.4</v>
      </c>
      <c r="W1514" s="98">
        <v>75.085088303630883</v>
      </c>
      <c r="X1514" s="98">
        <v>14.6</v>
      </c>
      <c r="Y1514" s="233">
        <v>7</v>
      </c>
      <c r="Z1514" s="48">
        <v>2.83</v>
      </c>
      <c r="AA1514" s="48">
        <v>2.74</v>
      </c>
      <c r="AB1514" s="48">
        <v>3.08</v>
      </c>
      <c r="AC1514" s="48">
        <v>0.87619999999999998</v>
      </c>
      <c r="AD1514" s="48">
        <v>3.01</v>
      </c>
      <c r="AE1514" s="48">
        <v>2.79</v>
      </c>
      <c r="AF1514" s="48">
        <f t="shared" si="364"/>
        <v>2.74</v>
      </c>
      <c r="AG1514" s="49">
        <v>2.99</v>
      </c>
      <c r="AH1514" s="98">
        <v>2.8600000000000001E-5</v>
      </c>
      <c r="AI1514" s="98">
        <v>1.01E-5</v>
      </c>
      <c r="AJ1514" s="483">
        <f t="shared" si="370"/>
        <v>-2.9322002931836089</v>
      </c>
      <c r="AK1514" s="483">
        <f t="shared" si="372"/>
        <v>-3.3842449525300093</v>
      </c>
      <c r="AL1514" s="483">
        <f t="shared" si="371"/>
        <v>-3.3842449525300093</v>
      </c>
      <c r="AM1514" s="483">
        <v>-5.2783700000000007</v>
      </c>
      <c r="AN1514" s="226">
        <v>-2.96</v>
      </c>
      <c r="AO1514" s="484"/>
      <c r="AP1514" s="484"/>
      <c r="AQ1514" s="226" t="s">
        <v>6311</v>
      </c>
      <c r="AR1514" s="226" t="s">
        <v>6311</v>
      </c>
      <c r="AS1514" s="224" t="s">
        <v>6</v>
      </c>
      <c r="AT1514" s="50" t="s">
        <v>266</v>
      </c>
      <c r="AU1514" s="48">
        <v>8</v>
      </c>
      <c r="AV1514" s="48">
        <v>144</v>
      </c>
      <c r="AW1514" s="48">
        <v>120</v>
      </c>
      <c r="AX1514" s="48">
        <v>26</v>
      </c>
      <c r="AY1514" s="48" t="s">
        <v>267</v>
      </c>
      <c r="AZ1514" s="48" t="s">
        <v>2253</v>
      </c>
      <c r="BA1514" s="48">
        <v>2</v>
      </c>
      <c r="BB1514" s="47" t="s">
        <v>2254</v>
      </c>
      <c r="BC1514" s="47" t="s">
        <v>270</v>
      </c>
      <c r="BD1514" s="47" t="s">
        <v>8374</v>
      </c>
      <c r="BE1514" s="48" t="s">
        <v>1712</v>
      </c>
      <c r="BF1514" s="48" t="s">
        <v>272</v>
      </c>
      <c r="BG1514" s="48" t="s">
        <v>272</v>
      </c>
      <c r="BH1514" s="48" t="s">
        <v>2255</v>
      </c>
      <c r="BI1514" s="98">
        <v>1.7200999999999997E-4</v>
      </c>
      <c r="BJ1514" s="98">
        <v>13.7608</v>
      </c>
      <c r="BK1514" s="48"/>
      <c r="BL1514" s="487">
        <v>25.393975476876413</v>
      </c>
      <c r="BM1514" s="48" t="s">
        <v>891</v>
      </c>
      <c r="BN1514" s="233"/>
      <c r="BO1514" s="233"/>
      <c r="BP1514" s="233"/>
      <c r="BQ1514" s="233"/>
      <c r="BR1514" s="233"/>
      <c r="BS1514" s="48"/>
      <c r="BT1514" s="233"/>
      <c r="BU1514" s="228"/>
      <c r="BV1514" s="233"/>
      <c r="BW1514" s="233"/>
      <c r="BX1514" s="233"/>
      <c r="BY1514" s="233"/>
      <c r="BZ1514" s="233"/>
      <c r="CA1514" s="233"/>
      <c r="CB1514" s="233"/>
      <c r="CC1514" s="48"/>
      <c r="CD1514" s="48"/>
      <c r="CE1514" s="48"/>
      <c r="CF1514" s="48"/>
      <c r="CG1514" s="233"/>
      <c r="CH1514" s="48"/>
      <c r="CI1514" s="98"/>
      <c r="CJ1514" s="98"/>
      <c r="CK1514" s="49">
        <f t="shared" si="368"/>
        <v>1.8453851140105526</v>
      </c>
      <c r="CL1514" s="229"/>
      <c r="CM1514" s="229"/>
      <c r="CN1514" s="229"/>
      <c r="CO1514" s="47" t="s">
        <v>892</v>
      </c>
      <c r="CP1514" s="500" t="s">
        <v>893</v>
      </c>
      <c r="CQ1514" s="224">
        <v>0.97277510431864844</v>
      </c>
      <c r="CR1514" s="224">
        <f>10^(CJ1514-CQ1514)</f>
        <v>0.10646942182856134</v>
      </c>
      <c r="CS1514" s="230" t="s">
        <v>539</v>
      </c>
      <c r="CT1514" s="230"/>
      <c r="CU1514" s="230"/>
      <c r="CV1514" s="335">
        <f t="shared" si="369"/>
        <v>1.0609848264635777</v>
      </c>
      <c r="CW1514" s="230">
        <f t="shared" si="366"/>
        <v>1</v>
      </c>
      <c r="CX1514" s="336" t="s">
        <v>539</v>
      </c>
      <c r="CY1514" s="230" t="s">
        <v>6351</v>
      </c>
    </row>
    <row r="1515" spans="1:103" ht="11.25" customHeight="1" x14ac:dyDescent="0.2">
      <c r="A1515" s="72">
        <v>1187</v>
      </c>
      <c r="B1515" s="224">
        <v>696</v>
      </c>
      <c r="C1515" s="46" t="s">
        <v>7328</v>
      </c>
      <c r="D1515" s="46" t="s">
        <v>8619</v>
      </c>
      <c r="E1515" s="114"/>
      <c r="F1515" s="114" t="s">
        <v>4059</v>
      </c>
      <c r="G1515" s="225">
        <v>1582098</v>
      </c>
      <c r="H1515" s="47" t="s">
        <v>4060</v>
      </c>
      <c r="I1515" s="47" t="s">
        <v>4060</v>
      </c>
      <c r="J1515" s="47" t="s">
        <v>4061</v>
      </c>
      <c r="K1515" s="47" t="s">
        <v>1011</v>
      </c>
      <c r="L1515" s="47" t="s">
        <v>5248</v>
      </c>
      <c r="M1515" s="47" t="s">
        <v>6088</v>
      </c>
      <c r="N1515" s="47" t="s">
        <v>6088</v>
      </c>
      <c r="O1515" s="47" t="s">
        <v>6083</v>
      </c>
      <c r="P1515" s="53"/>
      <c r="Q1515" s="53" t="s">
        <v>6173</v>
      </c>
      <c r="R1515" s="53" t="s">
        <v>6174</v>
      </c>
      <c r="S1515" s="53" t="s">
        <v>6176</v>
      </c>
      <c r="T1515" s="48">
        <v>335.28</v>
      </c>
      <c r="U1515" s="98">
        <v>0.184</v>
      </c>
      <c r="V1515" s="98">
        <v>0.20899999999999999</v>
      </c>
      <c r="W1515" s="98">
        <v>0.78597303720046241</v>
      </c>
      <c r="X1515" s="98">
        <v>0.184</v>
      </c>
      <c r="Y1515" s="233">
        <v>7</v>
      </c>
      <c r="Z1515" s="48">
        <v>5.31</v>
      </c>
      <c r="AA1515" s="48">
        <v>5.34</v>
      </c>
      <c r="AB1515" s="48">
        <v>5.12</v>
      </c>
      <c r="AC1515" s="48">
        <v>0.84789999999999999</v>
      </c>
      <c r="AD1515" s="48">
        <v>5.19</v>
      </c>
      <c r="AE1515" s="48">
        <v>5.41</v>
      </c>
      <c r="AF1515" s="48">
        <f t="shared" ref="AF1515:AF1549" si="373">IF(AA1515=0,AD1515,AA1515)</f>
        <v>5.34</v>
      </c>
      <c r="AG1515" s="49">
        <v>3.69</v>
      </c>
      <c r="AH1515" s="98">
        <v>2.12E-4</v>
      </c>
      <c r="AI1515" s="98">
        <v>1.03E-4</v>
      </c>
      <c r="AJ1515" s="483">
        <f t="shared" si="370"/>
        <v>-2.0622304653839003</v>
      </c>
      <c r="AK1515" s="483">
        <f t="shared" si="372"/>
        <v>-2.3757291016074795</v>
      </c>
      <c r="AL1515" s="483">
        <f t="shared" si="371"/>
        <v>-2.3757291016074795</v>
      </c>
      <c r="AM1515" s="483">
        <v>-9.2376700000000014</v>
      </c>
      <c r="AN1515" s="226">
        <v>-1.46</v>
      </c>
      <c r="AO1515" s="484"/>
      <c r="AP1515" s="484">
        <v>-1.45</v>
      </c>
      <c r="AQ1515" s="226" t="s">
        <v>6311</v>
      </c>
      <c r="AR1515" s="226" t="s">
        <v>6311</v>
      </c>
      <c r="AS1515" s="224" t="s">
        <v>6</v>
      </c>
      <c r="AT1515" s="50" t="s">
        <v>266</v>
      </c>
      <c r="AU1515" s="48">
        <v>8</v>
      </c>
      <c r="AV1515" s="48">
        <v>144</v>
      </c>
      <c r="AW1515" s="48">
        <v>120</v>
      </c>
      <c r="AX1515" s="48">
        <v>26</v>
      </c>
      <c r="AY1515" s="48" t="s">
        <v>267</v>
      </c>
      <c r="AZ1515" s="48" t="s">
        <v>2253</v>
      </c>
      <c r="BA1515" s="48">
        <v>3</v>
      </c>
      <c r="BB1515" s="47" t="s">
        <v>2254</v>
      </c>
      <c r="BC1515" s="47" t="s">
        <v>270</v>
      </c>
      <c r="BD1515" s="47" t="s">
        <v>8374</v>
      </c>
      <c r="BE1515" s="48" t="s">
        <v>1712</v>
      </c>
      <c r="BF1515" s="48" t="s">
        <v>272</v>
      </c>
      <c r="BG1515" s="48" t="s">
        <v>272</v>
      </c>
      <c r="BH1515" s="48" t="s">
        <v>2255</v>
      </c>
      <c r="BI1515" s="98">
        <v>3.3527999999999997E-4</v>
      </c>
      <c r="BJ1515" s="98">
        <v>26.822399999999998</v>
      </c>
      <c r="BK1515" s="48"/>
      <c r="BL1515" s="487">
        <v>0.29328958958761553</v>
      </c>
      <c r="BM1515" s="48" t="s">
        <v>891</v>
      </c>
      <c r="BN1515" s="233"/>
      <c r="BO1515" s="233"/>
      <c r="BP1515" s="233"/>
      <c r="BQ1515" s="233"/>
      <c r="BR1515" s="233"/>
      <c r="BS1515" s="234"/>
      <c r="BT1515" s="233"/>
      <c r="BU1515" s="235"/>
      <c r="BV1515" s="233"/>
      <c r="BW1515" s="233"/>
      <c r="BX1515" s="233"/>
      <c r="BY1515" s="233"/>
      <c r="BZ1515" s="233"/>
      <c r="CA1515" s="233"/>
      <c r="CB1515" s="233"/>
      <c r="CC1515" s="234"/>
      <c r="CD1515" s="238"/>
      <c r="CE1515" s="238"/>
      <c r="CF1515" s="238"/>
      <c r="CG1515" s="233"/>
      <c r="CH1515" s="48"/>
      <c r="CI1515" s="98"/>
      <c r="CJ1515" s="98"/>
      <c r="CK1515" s="49">
        <f t="shared" si="368"/>
        <v>1.0934502117171303E-2</v>
      </c>
      <c r="CL1515" s="229"/>
      <c r="CM1515" s="229"/>
      <c r="CN1515" s="229"/>
      <c r="CO1515" s="47" t="s">
        <v>892</v>
      </c>
      <c r="CP1515" s="500" t="s">
        <v>893</v>
      </c>
      <c r="CQ1515" s="224">
        <v>-1.0772665892698581</v>
      </c>
      <c r="CR1515" s="224">
        <f>10^(CJ1515-CQ1515)</f>
        <v>11.947212524662707</v>
      </c>
      <c r="CS1515" s="230" t="s">
        <v>539</v>
      </c>
      <c r="CT1515" s="230"/>
      <c r="CU1515" s="230"/>
      <c r="CV1515" s="335">
        <f t="shared" si="369"/>
        <v>6.8599379623001675E-3</v>
      </c>
      <c r="CW1515" s="230">
        <f t="shared" si="366"/>
        <v>0</v>
      </c>
      <c r="CX1515" s="336" t="s">
        <v>539</v>
      </c>
      <c r="CY1515" s="230" t="s">
        <v>5921</v>
      </c>
    </row>
    <row r="1516" spans="1:103" ht="11.25" customHeight="1" x14ac:dyDescent="0.2">
      <c r="A1516" s="72">
        <v>1189</v>
      </c>
      <c r="B1516" s="224">
        <v>275</v>
      </c>
      <c r="C1516" s="46" t="s">
        <v>7329</v>
      </c>
      <c r="D1516" s="46" t="s">
        <v>8620</v>
      </c>
      <c r="E1516" s="114"/>
      <c r="F1516" s="114" t="s">
        <v>3795</v>
      </c>
      <c r="G1516" s="225">
        <v>1596845</v>
      </c>
      <c r="H1516" s="47" t="s">
        <v>3796</v>
      </c>
      <c r="I1516" s="47" t="s">
        <v>8070</v>
      </c>
      <c r="J1516" s="47" t="s">
        <v>3797</v>
      </c>
      <c r="K1516" s="47" t="s">
        <v>483</v>
      </c>
      <c r="L1516" s="47" t="s">
        <v>5248</v>
      </c>
      <c r="M1516" s="47" t="s">
        <v>8534</v>
      </c>
      <c r="N1516" s="47" t="s">
        <v>6376</v>
      </c>
      <c r="O1516" s="47"/>
      <c r="P1516" s="53" t="s">
        <v>6178</v>
      </c>
      <c r="Q1516" s="53" t="s">
        <v>6173</v>
      </c>
      <c r="R1516" s="53" t="s">
        <v>6177</v>
      </c>
      <c r="S1516" s="53" t="s">
        <v>6176</v>
      </c>
      <c r="T1516" s="48">
        <v>160.16999999999999</v>
      </c>
      <c r="U1516" s="98">
        <v>100000</v>
      </c>
      <c r="V1516" s="98">
        <v>63900</v>
      </c>
      <c r="W1516" s="98">
        <v>216063.38490470519</v>
      </c>
      <c r="X1516" s="98">
        <v>100000</v>
      </c>
      <c r="Y1516" s="233">
        <v>4.17</v>
      </c>
      <c r="Z1516" s="48">
        <v>-1.51</v>
      </c>
      <c r="AA1516" s="48">
        <v>-1.5</v>
      </c>
      <c r="AB1516" s="48">
        <v>-0.84</v>
      </c>
      <c r="AC1516" s="48">
        <v>0.74139999999999995</v>
      </c>
      <c r="AD1516" s="48">
        <v>-0.93</v>
      </c>
      <c r="AE1516" s="48">
        <v>-1.1399999999999999</v>
      </c>
      <c r="AF1516" s="48">
        <f t="shared" si="373"/>
        <v>-1.5</v>
      </c>
      <c r="AG1516" s="49">
        <v>-0.84</v>
      </c>
      <c r="AH1516" s="98">
        <v>2.2200000000000002E-15</v>
      </c>
      <c r="AI1516" s="98">
        <v>4.2299999999999999E-10</v>
      </c>
      <c r="AJ1516" s="483">
        <f t="shared" si="370"/>
        <v>-13.042213351862014</v>
      </c>
      <c r="AK1516" s="483">
        <f t="shared" si="372"/>
        <v>-7.7622259589376092</v>
      </c>
      <c r="AL1516" s="483">
        <f t="shared" si="371"/>
        <v>-7.7622259589376092</v>
      </c>
      <c r="AM1516" s="483">
        <v>-15.238519999999999</v>
      </c>
      <c r="AN1516" s="226">
        <v>-12.3</v>
      </c>
      <c r="AO1516" s="484">
        <v>5.59</v>
      </c>
      <c r="AP1516" s="484">
        <v>3.41</v>
      </c>
      <c r="AQ1516" s="226" t="s">
        <v>6311</v>
      </c>
      <c r="AR1516" s="226" t="s">
        <v>6311</v>
      </c>
      <c r="AS1516" s="224" t="s">
        <v>6</v>
      </c>
      <c r="AT1516" s="50" t="s">
        <v>266</v>
      </c>
      <c r="AU1516" s="48">
        <v>8</v>
      </c>
      <c r="AV1516" s="48">
        <v>144</v>
      </c>
      <c r="AW1516" s="48">
        <v>120</v>
      </c>
      <c r="AX1516" s="48">
        <v>26</v>
      </c>
      <c r="AY1516" s="48" t="s">
        <v>267</v>
      </c>
      <c r="AZ1516" s="48" t="s">
        <v>2253</v>
      </c>
      <c r="BA1516" s="48">
        <v>2</v>
      </c>
      <c r="BB1516" s="47" t="s">
        <v>2254</v>
      </c>
      <c r="BC1516" s="47" t="s">
        <v>270</v>
      </c>
      <c r="BD1516" s="47" t="s">
        <v>8374</v>
      </c>
      <c r="BE1516" s="48" t="s">
        <v>1712</v>
      </c>
      <c r="BF1516" s="48" t="s">
        <v>272</v>
      </c>
      <c r="BG1516" s="48" t="s">
        <v>272</v>
      </c>
      <c r="BH1516" s="48" t="s">
        <v>2255</v>
      </c>
      <c r="BI1516" s="98">
        <v>1.6016999999999998E-4</v>
      </c>
      <c r="BJ1516" s="98">
        <v>12.813599999999999</v>
      </c>
      <c r="BK1516" s="48"/>
      <c r="BL1516" s="487">
        <v>186858.20627866147</v>
      </c>
      <c r="BM1516" s="48" t="s">
        <v>891</v>
      </c>
      <c r="BN1516" s="233"/>
      <c r="BO1516" s="233"/>
      <c r="BP1516" s="233"/>
      <c r="BQ1516" s="233"/>
      <c r="BR1516" s="233"/>
      <c r="BS1516" s="48"/>
      <c r="BT1516" s="233"/>
      <c r="BU1516" s="228"/>
      <c r="BV1516" s="233"/>
      <c r="BW1516" s="233"/>
      <c r="BX1516" s="233"/>
      <c r="BY1516" s="233"/>
      <c r="BZ1516" s="233"/>
      <c r="CA1516" s="233"/>
      <c r="CB1516" s="233"/>
      <c r="CC1516" s="48"/>
      <c r="CD1516" s="48"/>
      <c r="CE1516" s="48"/>
      <c r="CF1516" s="48"/>
      <c r="CG1516" s="233"/>
      <c r="CH1516" s="48"/>
      <c r="CI1516" s="98"/>
      <c r="CJ1516" s="98"/>
      <c r="CK1516" s="49">
        <f t="shared" si="368"/>
        <v>14582.803137187168</v>
      </c>
      <c r="CL1516" s="229"/>
      <c r="CM1516" s="229"/>
      <c r="CN1516" s="229"/>
      <c r="CO1516" s="47" t="s">
        <v>892</v>
      </c>
      <c r="CP1516" s="500" t="s">
        <v>893</v>
      </c>
      <c r="CQ1516" s="224">
        <v>2.4122321412052092</v>
      </c>
      <c r="CR1516" s="224">
        <f>10^(CJ1516-CQ1516)</f>
        <v>3.8705070138914505E-3</v>
      </c>
      <c r="CS1516" s="230" t="s">
        <v>539</v>
      </c>
      <c r="CT1516" s="230"/>
      <c r="CU1516" s="230"/>
      <c r="CV1516" s="335">
        <f t="shared" si="369"/>
        <v>7804.2080289692203</v>
      </c>
      <c r="CW1516" s="230">
        <f t="shared" si="366"/>
        <v>1</v>
      </c>
      <c r="CX1516" s="336" t="s">
        <v>539</v>
      </c>
      <c r="CY1516" s="230" t="s">
        <v>5921</v>
      </c>
    </row>
    <row r="1517" spans="1:103" ht="11.25" customHeight="1" x14ac:dyDescent="0.2">
      <c r="A1517" s="72">
        <v>1191</v>
      </c>
      <c r="B1517" s="224">
        <v>438</v>
      </c>
      <c r="C1517" s="46" t="s">
        <v>7330</v>
      </c>
      <c r="D1517" s="46" t="s">
        <v>8621</v>
      </c>
      <c r="E1517" s="114"/>
      <c r="F1517" s="114" t="s">
        <v>3450</v>
      </c>
      <c r="G1517" s="225">
        <v>1610180</v>
      </c>
      <c r="H1517" s="47" t="s">
        <v>3451</v>
      </c>
      <c r="I1517" s="47" t="s">
        <v>3451</v>
      </c>
      <c r="J1517" s="47" t="s">
        <v>3452</v>
      </c>
      <c r="K1517" s="47" t="s">
        <v>940</v>
      </c>
      <c r="L1517" s="47" t="s">
        <v>6050</v>
      </c>
      <c r="M1517" s="47" t="s">
        <v>6082</v>
      </c>
      <c r="N1517" s="47" t="s">
        <v>6082</v>
      </c>
      <c r="O1517" s="47" t="s">
        <v>6083</v>
      </c>
      <c r="P1517" s="53"/>
      <c r="Q1517" s="53"/>
      <c r="R1517" s="53"/>
      <c r="S1517" s="53"/>
      <c r="T1517" s="48">
        <v>225.29</v>
      </c>
      <c r="U1517" s="98">
        <v>750</v>
      </c>
      <c r="V1517" s="98">
        <v>90.19</v>
      </c>
      <c r="W1517" s="98">
        <v>553.02137161468045</v>
      </c>
      <c r="X1517" s="98">
        <v>750</v>
      </c>
      <c r="Y1517" s="233">
        <v>7.99</v>
      </c>
      <c r="Z1517" s="48">
        <v>3.57</v>
      </c>
      <c r="AA1517" s="48">
        <v>2.99</v>
      </c>
      <c r="AB1517" s="48">
        <v>2.76</v>
      </c>
      <c r="AC1517" s="48">
        <v>0.91990000000000005</v>
      </c>
      <c r="AD1517" s="48">
        <v>2.79</v>
      </c>
      <c r="AE1517" s="48">
        <v>2.91</v>
      </c>
      <c r="AF1517" s="48">
        <f t="shared" si="373"/>
        <v>2.99</v>
      </c>
      <c r="AG1517" s="49">
        <v>2.25</v>
      </c>
      <c r="AH1517" s="98">
        <v>4.32E-9</v>
      </c>
      <c r="AI1517" s="98">
        <v>9.0899999999999996E-10</v>
      </c>
      <c r="AJ1517" s="483">
        <f t="shared" si="370"/>
        <v>-6.7530825794977396</v>
      </c>
      <c r="AK1517" s="483">
        <f t="shared" si="372"/>
        <v>-7.4300024430906841</v>
      </c>
      <c r="AL1517" s="483">
        <f t="shared" si="371"/>
        <v>-7.4300024430906841</v>
      </c>
      <c r="AM1517" s="483">
        <v>-11.672529999999998</v>
      </c>
      <c r="AN1517" s="226">
        <v>-8.6</v>
      </c>
      <c r="AO1517" s="484"/>
      <c r="AP1517" s="484">
        <v>4.3600000000000003</v>
      </c>
      <c r="AQ1517" s="226" t="s">
        <v>6311</v>
      </c>
      <c r="AR1517" s="226" t="s">
        <v>6311</v>
      </c>
      <c r="AS1517" s="224" t="s">
        <v>6</v>
      </c>
      <c r="AT1517" s="50" t="s">
        <v>266</v>
      </c>
      <c r="AU1517" s="48">
        <v>8</v>
      </c>
      <c r="AV1517" s="48">
        <v>144</v>
      </c>
      <c r="AW1517" s="48">
        <v>120</v>
      </c>
      <c r="AX1517" s="48">
        <v>26</v>
      </c>
      <c r="AY1517" s="48" t="s">
        <v>267</v>
      </c>
      <c r="AZ1517" s="48" t="s">
        <v>2253</v>
      </c>
      <c r="BA1517" s="48">
        <v>2</v>
      </c>
      <c r="BB1517" s="47" t="s">
        <v>2254</v>
      </c>
      <c r="BC1517" s="47" t="s">
        <v>270</v>
      </c>
      <c r="BD1517" s="47" t="s">
        <v>8374</v>
      </c>
      <c r="BE1517" s="48" t="s">
        <v>1712</v>
      </c>
      <c r="BF1517" s="48" t="s">
        <v>272</v>
      </c>
      <c r="BG1517" s="48" t="s">
        <v>272</v>
      </c>
      <c r="BH1517" s="48" t="s">
        <v>2255</v>
      </c>
      <c r="BI1517" s="98">
        <v>2.2528999999999998E-4</v>
      </c>
      <c r="BJ1517" s="98">
        <v>18.023199999999999</v>
      </c>
      <c r="BK1517" s="48"/>
      <c r="BL1517" s="487">
        <v>7.1998743118286477</v>
      </c>
      <c r="BM1517" s="48" t="s">
        <v>891</v>
      </c>
      <c r="BN1517" s="233"/>
      <c r="BO1517" s="233"/>
      <c r="BP1517" s="233"/>
      <c r="BQ1517" s="233"/>
      <c r="BR1517" s="233"/>
      <c r="BS1517" s="48"/>
      <c r="BT1517" s="233"/>
      <c r="BU1517" s="228"/>
      <c r="BV1517" s="233"/>
      <c r="BW1517" s="233"/>
      <c r="BX1517" s="233"/>
      <c r="BY1517" s="233"/>
      <c r="BZ1517" s="233"/>
      <c r="CA1517" s="233"/>
      <c r="CB1517" s="233"/>
      <c r="CC1517" s="48"/>
      <c r="CD1517" s="48"/>
      <c r="CE1517" s="48"/>
      <c r="CF1517" s="48"/>
      <c r="CG1517" s="233"/>
      <c r="CH1517" s="48"/>
      <c r="CI1517" s="98"/>
      <c r="CJ1517" s="98"/>
      <c r="CK1517" s="49">
        <f t="shared" si="368"/>
        <v>0.39947813439503793</v>
      </c>
      <c r="CL1517" s="229"/>
      <c r="CM1517" s="229"/>
      <c r="CN1517" s="229"/>
      <c r="CO1517" s="47" t="s">
        <v>892</v>
      </c>
      <c r="CP1517" s="500" t="s">
        <v>893</v>
      </c>
      <c r="CQ1517" s="224">
        <v>1.3267181545620503</v>
      </c>
      <c r="CR1517" s="224">
        <f>10^(CJ1517-CQ1517)</f>
        <v>4.7128307721565309E-2</v>
      </c>
      <c r="CS1517" s="230" t="s">
        <v>539</v>
      </c>
      <c r="CT1517" s="230"/>
      <c r="CU1517" s="230"/>
      <c r="CV1517" s="335">
        <f t="shared" si="369"/>
        <v>41.613032091970354</v>
      </c>
      <c r="CW1517" s="230">
        <f t="shared" si="366"/>
        <v>1</v>
      </c>
      <c r="CX1517" s="336" t="s">
        <v>539</v>
      </c>
      <c r="CY1517" s="230" t="s">
        <v>5921</v>
      </c>
    </row>
    <row r="1518" spans="1:103" ht="11.25" customHeight="1" x14ac:dyDescent="0.2">
      <c r="A1518" s="72">
        <v>1193</v>
      </c>
      <c r="B1518" s="224">
        <v>368</v>
      </c>
      <c r="C1518" s="46" t="s">
        <v>7331</v>
      </c>
      <c r="D1518" s="46"/>
      <c r="E1518" s="114"/>
      <c r="F1518" s="114" t="s">
        <v>3244</v>
      </c>
      <c r="G1518" s="225">
        <v>1634782</v>
      </c>
      <c r="H1518" s="47" t="s">
        <v>3245</v>
      </c>
      <c r="I1518" s="47" t="s">
        <v>3245</v>
      </c>
      <c r="J1518" s="47" t="s">
        <v>3246</v>
      </c>
      <c r="K1518" s="47" t="s">
        <v>637</v>
      </c>
      <c r="L1518" s="47"/>
      <c r="M1518" s="47" t="s">
        <v>618</v>
      </c>
      <c r="N1518" s="47"/>
      <c r="O1518" s="47"/>
      <c r="P1518" s="53"/>
      <c r="Q1518" s="53"/>
      <c r="R1518" s="53"/>
      <c r="S1518" s="53"/>
      <c r="T1518" s="48">
        <v>314.29000000000002</v>
      </c>
      <c r="U1518" s="98">
        <v>7500</v>
      </c>
      <c r="V1518" s="98">
        <v>3622</v>
      </c>
      <c r="W1518" s="98">
        <v>15751.813565671535</v>
      </c>
      <c r="X1518" s="98">
        <v>7500</v>
      </c>
      <c r="Y1518" s="233">
        <v>7</v>
      </c>
      <c r="Z1518" s="48">
        <v>0.52</v>
      </c>
      <c r="AA1518" s="48"/>
      <c r="AB1518" s="48">
        <v>1.32</v>
      </c>
      <c r="AC1518" s="48">
        <v>0.57120000000000004</v>
      </c>
      <c r="AD1518" s="48">
        <v>1.66</v>
      </c>
      <c r="AE1518" s="48">
        <v>2.0699999999999998</v>
      </c>
      <c r="AF1518" s="48">
        <f t="shared" si="373"/>
        <v>1.66</v>
      </c>
      <c r="AG1518" s="49">
        <v>1.0900000000000001</v>
      </c>
      <c r="AH1518" s="98">
        <v>1.81E-12</v>
      </c>
      <c r="AI1518" s="98">
        <v>5.4E-10</v>
      </c>
      <c r="AJ1518" s="483">
        <f t="shared" si="370"/>
        <v>-10.130887751443467</v>
      </c>
      <c r="AK1518" s="483">
        <f t="shared" si="372"/>
        <v>-7.6561725664896834</v>
      </c>
      <c r="AL1518" s="483">
        <f t="shared" si="371"/>
        <v>-7.6561725664896834</v>
      </c>
      <c r="AM1518" s="483">
        <v>-14.283380000000001</v>
      </c>
      <c r="AN1518" s="226">
        <v>-8.6199999999999992</v>
      </c>
      <c r="AO1518" s="484"/>
      <c r="AP1518" s="484"/>
      <c r="AQ1518" s="226" t="s">
        <v>6312</v>
      </c>
      <c r="AR1518" s="226" t="s">
        <v>6312</v>
      </c>
      <c r="AS1518" s="224" t="s">
        <v>6</v>
      </c>
      <c r="AT1518" s="50" t="s">
        <v>266</v>
      </c>
      <c r="AU1518" s="48">
        <v>8</v>
      </c>
      <c r="AV1518" s="48">
        <v>144</v>
      </c>
      <c r="AW1518" s="48">
        <v>120</v>
      </c>
      <c r="AX1518" s="48">
        <v>26</v>
      </c>
      <c r="AY1518" s="48" t="s">
        <v>267</v>
      </c>
      <c r="AZ1518" s="48" t="s">
        <v>2253</v>
      </c>
      <c r="BA1518" s="48">
        <v>2</v>
      </c>
      <c r="BB1518" s="47" t="s">
        <v>2254</v>
      </c>
      <c r="BC1518" s="47" t="s">
        <v>270</v>
      </c>
      <c r="BD1518" s="47" t="s">
        <v>8374</v>
      </c>
      <c r="BE1518" s="48" t="s">
        <v>1712</v>
      </c>
      <c r="BF1518" s="48" t="s">
        <v>272</v>
      </c>
      <c r="BG1518" s="48" t="s">
        <v>272</v>
      </c>
      <c r="BH1518" s="48" t="s">
        <v>2255</v>
      </c>
      <c r="BI1518" s="98">
        <v>3.1429E-4</v>
      </c>
      <c r="BJ1518" s="98">
        <v>25.143200000000004</v>
      </c>
      <c r="BK1518" s="48"/>
      <c r="BL1518" s="487">
        <v>5509.5808815897444</v>
      </c>
      <c r="BM1518" s="48" t="s">
        <v>891</v>
      </c>
      <c r="BN1518" s="233"/>
      <c r="BO1518" s="233"/>
      <c r="BP1518" s="233"/>
      <c r="BQ1518" s="233"/>
      <c r="BR1518" s="233"/>
      <c r="BS1518" s="48"/>
      <c r="BT1518" s="233"/>
      <c r="BU1518" s="228"/>
      <c r="BV1518" s="233"/>
      <c r="BW1518" s="233"/>
      <c r="BX1518" s="233"/>
      <c r="BY1518" s="233"/>
      <c r="BZ1518" s="233"/>
      <c r="CA1518" s="233"/>
      <c r="CB1518" s="233"/>
      <c r="CC1518" s="48"/>
      <c r="CD1518" s="48"/>
      <c r="CE1518" s="48"/>
      <c r="CF1518" s="48"/>
      <c r="CG1518" s="233"/>
      <c r="CH1518" s="48"/>
      <c r="CI1518" s="98"/>
      <c r="CJ1518" s="98"/>
      <c r="CK1518" s="49">
        <f t="shared" si="368"/>
        <v>219.12806968046007</v>
      </c>
      <c r="CL1518" s="229"/>
      <c r="CM1518" s="229"/>
      <c r="CN1518" s="229"/>
      <c r="CO1518" s="47" t="s">
        <v>892</v>
      </c>
      <c r="CP1518" s="500" t="s">
        <v>893</v>
      </c>
      <c r="CQ1518" s="224" t="s">
        <v>272</v>
      </c>
      <c r="CR1518" s="224"/>
      <c r="CS1518" s="230" t="s">
        <v>539</v>
      </c>
      <c r="CT1518" s="230"/>
      <c r="CU1518" s="230"/>
      <c r="CV1518" s="335">
        <f t="shared" si="369"/>
        <v>298.29138693563266</v>
      </c>
      <c r="CW1518" s="230">
        <f t="shared" si="366"/>
        <v>1</v>
      </c>
      <c r="CX1518" s="336" t="s">
        <v>539</v>
      </c>
      <c r="CY1518" s="230" t="s">
        <v>5921</v>
      </c>
    </row>
    <row r="1519" spans="1:103" ht="11.25" customHeight="1" x14ac:dyDescent="0.2">
      <c r="A1519" s="72">
        <v>1196</v>
      </c>
      <c r="B1519" s="224">
        <v>245</v>
      </c>
      <c r="C1519" s="46" t="s">
        <v>7333</v>
      </c>
      <c r="D1519" s="46"/>
      <c r="E1519" s="114"/>
      <c r="F1519" s="114" t="s">
        <v>3752</v>
      </c>
      <c r="G1519" s="225">
        <v>1698608</v>
      </c>
      <c r="H1519" s="47" t="s">
        <v>3753</v>
      </c>
      <c r="I1519" s="47" t="s">
        <v>8071</v>
      </c>
      <c r="J1519" s="47" t="s">
        <v>3754</v>
      </c>
      <c r="K1519" s="47" t="s">
        <v>3353</v>
      </c>
      <c r="L1519" s="47"/>
      <c r="M1519" s="47"/>
      <c r="N1519" s="47"/>
      <c r="O1519" s="47"/>
      <c r="P1519" s="53"/>
      <c r="Q1519" s="53"/>
      <c r="R1519" s="53"/>
      <c r="S1519" s="53"/>
      <c r="T1519" s="48">
        <v>221.64</v>
      </c>
      <c r="U1519" s="98">
        <v>400</v>
      </c>
      <c r="V1519" s="98">
        <v>3585.0000000000005</v>
      </c>
      <c r="W1519" s="98">
        <v>127.54050771140733</v>
      </c>
      <c r="X1519" s="98">
        <v>400</v>
      </c>
      <c r="Y1519" s="233">
        <v>7</v>
      </c>
      <c r="Z1519" s="48">
        <v>0.76</v>
      </c>
      <c r="AA1519" s="48">
        <v>1.1399999999999999</v>
      </c>
      <c r="AB1519" s="48">
        <v>0.96</v>
      </c>
      <c r="AC1519" s="48">
        <v>0.85029999999999994</v>
      </c>
      <c r="AD1519" s="48">
        <v>0.92</v>
      </c>
      <c r="AE1519" s="48">
        <v>0.73</v>
      </c>
      <c r="AF1519" s="48">
        <f t="shared" si="373"/>
        <v>1.1399999999999999</v>
      </c>
      <c r="AG1519" s="49">
        <v>1.43</v>
      </c>
      <c r="AH1519" s="98">
        <v>6.54E-12</v>
      </c>
      <c r="AI1519" s="98">
        <v>3.3299999999999999E-10</v>
      </c>
      <c r="AJ1519" s="483">
        <f t="shared" si="370"/>
        <v>-9.5729885779883848</v>
      </c>
      <c r="AK1519" s="483">
        <f t="shared" si="372"/>
        <v>-7.8661220928063322</v>
      </c>
      <c r="AL1519" s="483">
        <f t="shared" si="371"/>
        <v>-7.8661220928063322</v>
      </c>
      <c r="AM1519" s="483">
        <v>-14.229660000000003</v>
      </c>
      <c r="AN1519" s="226">
        <v>-8.8000000000000007</v>
      </c>
      <c r="AO1519" s="484"/>
      <c r="AP1519" s="484">
        <v>0.71</v>
      </c>
      <c r="AQ1519" s="226" t="s">
        <v>6311</v>
      </c>
      <c r="AR1519" s="226" t="s">
        <v>6311</v>
      </c>
      <c r="AS1519" s="224" t="s">
        <v>6</v>
      </c>
      <c r="AT1519" s="50" t="s">
        <v>266</v>
      </c>
      <c r="AU1519" s="48">
        <v>8</v>
      </c>
      <c r="AV1519" s="48">
        <v>144</v>
      </c>
      <c r="AW1519" s="48">
        <v>120</v>
      </c>
      <c r="AX1519" s="48">
        <v>26</v>
      </c>
      <c r="AY1519" s="48" t="s">
        <v>267</v>
      </c>
      <c r="AZ1519" s="48" t="s">
        <v>2253</v>
      </c>
      <c r="BA1519" s="48">
        <v>2</v>
      </c>
      <c r="BB1519" s="47" t="s">
        <v>2254</v>
      </c>
      <c r="BC1519" s="47" t="s">
        <v>270</v>
      </c>
      <c r="BD1519" s="47" t="s">
        <v>8374</v>
      </c>
      <c r="BE1519" s="48" t="s">
        <v>1712</v>
      </c>
      <c r="BF1519" s="48" t="s">
        <v>272</v>
      </c>
      <c r="BG1519" s="48" t="s">
        <v>272</v>
      </c>
      <c r="BH1519" s="48" t="s">
        <v>2255</v>
      </c>
      <c r="BI1519" s="98">
        <v>2.2163999999999997E-4</v>
      </c>
      <c r="BJ1519" s="98">
        <v>17.731199999999998</v>
      </c>
      <c r="BK1519" s="48"/>
      <c r="BL1519" s="487">
        <v>2365.3321862378039</v>
      </c>
      <c r="BM1519" s="48" t="s">
        <v>891</v>
      </c>
      <c r="BN1519" s="233"/>
      <c r="BO1519" s="233"/>
      <c r="BP1519" s="233"/>
      <c r="BQ1519" s="233"/>
      <c r="BR1519" s="233"/>
      <c r="BS1519" s="48"/>
      <c r="BT1519" s="233"/>
      <c r="BU1519" s="228"/>
      <c r="BV1519" s="233"/>
      <c r="BW1519" s="233"/>
      <c r="BX1519" s="233"/>
      <c r="BY1519" s="233"/>
      <c r="BZ1519" s="233"/>
      <c r="CA1519" s="233"/>
      <c r="CB1519" s="233"/>
      <c r="CC1519" s="48"/>
      <c r="CD1519" s="48"/>
      <c r="CE1519" s="48"/>
      <c r="CF1519" s="48"/>
      <c r="CG1519" s="233"/>
      <c r="CH1519" s="48"/>
      <c r="CI1519" s="98"/>
      <c r="CJ1519" s="98"/>
      <c r="CK1519" s="49">
        <f t="shared" si="368"/>
        <v>133.39944201395303</v>
      </c>
      <c r="CL1519" s="229"/>
      <c r="CM1519" s="229"/>
      <c r="CN1519" s="229"/>
      <c r="CO1519" s="47" t="s">
        <v>892</v>
      </c>
      <c r="CP1519" s="500" t="s">
        <v>893</v>
      </c>
      <c r="CQ1519" s="224" t="s">
        <v>272</v>
      </c>
      <c r="CR1519" s="224"/>
      <c r="CS1519" s="230" t="s">
        <v>539</v>
      </c>
      <c r="CT1519" s="230"/>
      <c r="CU1519" s="230"/>
      <c r="CV1519" s="335">
        <f t="shared" si="369"/>
        <v>22.559104854719369</v>
      </c>
      <c r="CW1519" s="230">
        <f t="shared" si="366"/>
        <v>1</v>
      </c>
      <c r="CX1519" s="336" t="s">
        <v>539</v>
      </c>
      <c r="CY1519" s="230" t="s">
        <v>5921</v>
      </c>
    </row>
    <row r="1520" spans="1:103" ht="11.25" customHeight="1" x14ac:dyDescent="0.2">
      <c r="A1520" s="72">
        <v>1198</v>
      </c>
      <c r="B1520" s="224">
        <v>258</v>
      </c>
      <c r="C1520" s="46" t="s">
        <v>7334</v>
      </c>
      <c r="D1520" s="46" t="s">
        <v>8622</v>
      </c>
      <c r="E1520" s="114"/>
      <c r="F1520" s="114" t="s">
        <v>3012</v>
      </c>
      <c r="G1520" s="225">
        <v>1702176</v>
      </c>
      <c r="H1520" s="47" t="s">
        <v>3013</v>
      </c>
      <c r="I1520" s="47" t="s">
        <v>8072</v>
      </c>
      <c r="J1520" s="47" t="s">
        <v>3014</v>
      </c>
      <c r="K1520" s="47" t="s">
        <v>3015</v>
      </c>
      <c r="L1520" s="47" t="s">
        <v>6032</v>
      </c>
      <c r="M1520" s="47" t="s">
        <v>5960</v>
      </c>
      <c r="N1520" s="47"/>
      <c r="O1520" s="47"/>
      <c r="P1520" s="53"/>
      <c r="Q1520" s="53"/>
      <c r="R1520" s="53"/>
      <c r="S1520" s="53"/>
      <c r="T1520" s="48">
        <v>192</v>
      </c>
      <c r="U1520" s="98">
        <v>7850</v>
      </c>
      <c r="V1520" s="98">
        <v>5974</v>
      </c>
      <c r="W1520" s="98">
        <v>5050.1145444391304</v>
      </c>
      <c r="X1520" s="98">
        <v>7850</v>
      </c>
      <c r="Y1520" s="233">
        <v>1.93</v>
      </c>
      <c r="Z1520" s="48">
        <v>1.63</v>
      </c>
      <c r="AA1520" s="48">
        <v>1.06</v>
      </c>
      <c r="AB1520" s="48">
        <v>1.97</v>
      </c>
      <c r="AC1520" s="48">
        <v>0.83960000000000001</v>
      </c>
      <c r="AD1520" s="48">
        <v>1.8</v>
      </c>
      <c r="AE1520" s="48">
        <v>1.31</v>
      </c>
      <c r="AF1520" s="48">
        <f t="shared" si="373"/>
        <v>1.06</v>
      </c>
      <c r="AG1520" s="49">
        <v>2.0299999999999998</v>
      </c>
      <c r="AH1520" s="98">
        <v>4.9200000000000004E-9</v>
      </c>
      <c r="AI1520" s="98">
        <v>3.0300000000000001E-9</v>
      </c>
      <c r="AJ1520" s="483">
        <f t="shared" si="370"/>
        <v>-6.6966012235452919</v>
      </c>
      <c r="AK1520" s="483">
        <f t="shared" si="372"/>
        <v>-6.9071236978103467</v>
      </c>
      <c r="AL1520" s="483">
        <f t="shared" si="371"/>
        <v>-6.9071236978103467</v>
      </c>
      <c r="AM1520" s="483">
        <v>-10.62134</v>
      </c>
      <c r="AN1520" s="226">
        <v>-7.72</v>
      </c>
      <c r="AO1520" s="484">
        <v>2.02</v>
      </c>
      <c r="AP1520" s="484">
        <v>-3.21</v>
      </c>
      <c r="AQ1520" s="226" t="s">
        <v>6311</v>
      </c>
      <c r="AR1520" s="226" t="s">
        <v>6311</v>
      </c>
      <c r="AS1520" s="224" t="s">
        <v>6</v>
      </c>
      <c r="AT1520" s="50" t="s">
        <v>266</v>
      </c>
      <c r="AU1520" s="48">
        <v>8</v>
      </c>
      <c r="AV1520" s="48">
        <v>144</v>
      </c>
      <c r="AW1520" s="48">
        <v>120</v>
      </c>
      <c r="AX1520" s="48">
        <v>26</v>
      </c>
      <c r="AY1520" s="48" t="s">
        <v>267</v>
      </c>
      <c r="AZ1520" s="48" t="s">
        <v>2253</v>
      </c>
      <c r="BA1520" s="48">
        <v>2</v>
      </c>
      <c r="BB1520" s="47" t="s">
        <v>2254</v>
      </c>
      <c r="BC1520" s="47" t="s">
        <v>270</v>
      </c>
      <c r="BD1520" s="47" t="s">
        <v>8374</v>
      </c>
      <c r="BE1520" s="48" t="s">
        <v>1712</v>
      </c>
      <c r="BF1520" s="48" t="s">
        <v>272</v>
      </c>
      <c r="BG1520" s="48" t="s">
        <v>272</v>
      </c>
      <c r="BH1520" s="48" t="s">
        <v>2255</v>
      </c>
      <c r="BI1520" s="98">
        <v>1.92E-4</v>
      </c>
      <c r="BJ1520" s="98">
        <v>15.36</v>
      </c>
      <c r="BK1520" s="48"/>
      <c r="BL1520" s="487">
        <v>338.99885294536443</v>
      </c>
      <c r="BM1520" s="48" t="s">
        <v>891</v>
      </c>
      <c r="BN1520" s="233"/>
      <c r="BO1520" s="233"/>
      <c r="BP1520" s="233"/>
      <c r="BQ1520" s="233"/>
      <c r="BR1520" s="233"/>
      <c r="BS1520" s="48"/>
      <c r="BT1520" s="233"/>
      <c r="BU1520" s="228"/>
      <c r="BV1520" s="233"/>
      <c r="BW1520" s="233"/>
      <c r="BX1520" s="233"/>
      <c r="BY1520" s="233"/>
      <c r="BZ1520" s="233"/>
      <c r="CA1520" s="233"/>
      <c r="CB1520" s="233"/>
      <c r="CC1520" s="48"/>
      <c r="CD1520" s="48"/>
      <c r="CE1520" s="48"/>
      <c r="CF1520" s="48"/>
      <c r="CG1520" s="233"/>
      <c r="CH1520" s="48"/>
      <c r="CI1520" s="98"/>
      <c r="CJ1520" s="98"/>
      <c r="CK1520" s="49">
        <f t="shared" si="368"/>
        <v>22.070237821963833</v>
      </c>
      <c r="CL1520" s="229"/>
      <c r="CM1520" s="229"/>
      <c r="CN1520" s="229"/>
      <c r="CO1520" s="47" t="s">
        <v>892</v>
      </c>
      <c r="CP1520" s="500" t="s">
        <v>893</v>
      </c>
      <c r="CQ1520" s="224">
        <v>2.8450980400142569</v>
      </c>
      <c r="CR1520" s="224">
        <f t="shared" ref="CR1520:CR1530" si="374">10^(CJ1520-CQ1520)</f>
        <v>1.4285714285714277E-3</v>
      </c>
      <c r="CS1520" s="230" t="s">
        <v>539</v>
      </c>
      <c r="CT1520" s="230"/>
      <c r="CU1520" s="230"/>
      <c r="CV1520" s="335">
        <f t="shared" si="369"/>
        <v>511.06770833333337</v>
      </c>
      <c r="CW1520" s="230">
        <f t="shared" si="366"/>
        <v>1</v>
      </c>
      <c r="CX1520" s="336" t="s">
        <v>539</v>
      </c>
      <c r="CY1520" s="230" t="s">
        <v>5921</v>
      </c>
    </row>
    <row r="1521" spans="1:103" ht="11.25" customHeight="1" x14ac:dyDescent="0.2">
      <c r="A1521" s="72">
        <v>1202</v>
      </c>
      <c r="B1521" s="224">
        <v>230</v>
      </c>
      <c r="C1521" s="46" t="s">
        <v>7337</v>
      </c>
      <c r="D1521" s="46" t="s">
        <v>8625</v>
      </c>
      <c r="E1521" s="114"/>
      <c r="F1521" s="114" t="s">
        <v>3728</v>
      </c>
      <c r="G1521" s="225">
        <v>1861401</v>
      </c>
      <c r="H1521" s="47" t="s">
        <v>3729</v>
      </c>
      <c r="I1521" s="47" t="s">
        <v>8075</v>
      </c>
      <c r="J1521" s="47" t="s">
        <v>3730</v>
      </c>
      <c r="K1521" s="47" t="s">
        <v>1011</v>
      </c>
      <c r="L1521" s="47" t="s">
        <v>6027</v>
      </c>
      <c r="M1521" s="47" t="s">
        <v>6088</v>
      </c>
      <c r="N1521" s="47" t="s">
        <v>6088</v>
      </c>
      <c r="O1521" s="47" t="s">
        <v>6083</v>
      </c>
      <c r="P1521" s="53"/>
      <c r="Q1521" s="53"/>
      <c r="R1521" s="53"/>
      <c r="S1521" s="53"/>
      <c r="T1521" s="48">
        <v>335.28</v>
      </c>
      <c r="U1521" s="98">
        <v>0.1</v>
      </c>
      <c r="V1521" s="98">
        <v>0.2306</v>
      </c>
      <c r="W1521" s="98">
        <v>0.78597303720046241</v>
      </c>
      <c r="X1521" s="98">
        <v>0.1</v>
      </c>
      <c r="Y1521" s="233">
        <v>7</v>
      </c>
      <c r="Z1521" s="48">
        <v>5.31</v>
      </c>
      <c r="AA1521" s="48">
        <v>5.29</v>
      </c>
      <c r="AB1521" s="48">
        <v>5.12</v>
      </c>
      <c r="AC1521" s="48">
        <v>0.84789999999999999</v>
      </c>
      <c r="AD1521" s="48">
        <v>5.19</v>
      </c>
      <c r="AE1521" s="48">
        <v>5.41</v>
      </c>
      <c r="AF1521" s="48">
        <f t="shared" si="373"/>
        <v>5.29</v>
      </c>
      <c r="AG1521" s="49">
        <v>3.67</v>
      </c>
      <c r="AH1521" s="98">
        <v>2.12E-4</v>
      </c>
      <c r="AI1521" s="98">
        <v>2.9100000000000003E-4</v>
      </c>
      <c r="AJ1521" s="483">
        <f t="shared" si="370"/>
        <v>-2.0622304653839003</v>
      </c>
      <c r="AK1521" s="483">
        <f t="shared" si="372"/>
        <v>-1.9246733373267444</v>
      </c>
      <c r="AL1521" s="483">
        <f t="shared" si="371"/>
        <v>-1.9246733373267444</v>
      </c>
      <c r="AM1521" s="483">
        <v>-9.2376700000000014</v>
      </c>
      <c r="AN1521" s="226">
        <v>-1.46</v>
      </c>
      <c r="AO1521" s="484"/>
      <c r="AP1521" s="484">
        <v>-0.59</v>
      </c>
      <c r="AQ1521" s="226" t="s">
        <v>6311</v>
      </c>
      <c r="AR1521" s="226" t="s">
        <v>6311</v>
      </c>
      <c r="AS1521" s="224" t="s">
        <v>6</v>
      </c>
      <c r="AT1521" s="50" t="s">
        <v>266</v>
      </c>
      <c r="AU1521" s="48">
        <v>8</v>
      </c>
      <c r="AV1521" s="48">
        <v>144</v>
      </c>
      <c r="AW1521" s="48">
        <v>120</v>
      </c>
      <c r="AX1521" s="48">
        <v>26</v>
      </c>
      <c r="AY1521" s="48" t="s">
        <v>267</v>
      </c>
      <c r="AZ1521" s="48" t="s">
        <v>2253</v>
      </c>
      <c r="BA1521" s="48">
        <v>2</v>
      </c>
      <c r="BB1521" s="47" t="s">
        <v>2254</v>
      </c>
      <c r="BC1521" s="47" t="s">
        <v>270</v>
      </c>
      <c r="BD1521" s="47" t="s">
        <v>8374</v>
      </c>
      <c r="BE1521" s="48" t="s">
        <v>1712</v>
      </c>
      <c r="BF1521" s="48" t="s">
        <v>272</v>
      </c>
      <c r="BG1521" s="48" t="s">
        <v>272</v>
      </c>
      <c r="BH1521" s="48" t="s">
        <v>2255</v>
      </c>
      <c r="BI1521" s="98">
        <v>3.3527999999999997E-4</v>
      </c>
      <c r="BJ1521" s="98">
        <v>26.822399999999998</v>
      </c>
      <c r="BK1521" s="48"/>
      <c r="BL1521" s="487">
        <v>0.29328958958761553</v>
      </c>
      <c r="BM1521" s="48" t="s">
        <v>891</v>
      </c>
      <c r="BN1521" s="233"/>
      <c r="BO1521" s="233"/>
      <c r="BP1521" s="233"/>
      <c r="BQ1521" s="233"/>
      <c r="BR1521" s="233"/>
      <c r="BS1521" s="48"/>
      <c r="BT1521" s="233"/>
      <c r="BU1521" s="228"/>
      <c r="BV1521" s="233"/>
      <c r="BW1521" s="233"/>
      <c r="BX1521" s="233"/>
      <c r="BY1521" s="233"/>
      <c r="BZ1521" s="233"/>
      <c r="CA1521" s="233"/>
      <c r="CB1521" s="233"/>
      <c r="CC1521" s="48"/>
      <c r="CD1521" s="48"/>
      <c r="CE1521" s="48"/>
      <c r="CF1521" s="48"/>
      <c r="CG1521" s="233"/>
      <c r="CH1521" s="48"/>
      <c r="CI1521" s="98"/>
      <c r="CJ1521" s="98"/>
      <c r="CK1521" s="49">
        <f t="shared" si="368"/>
        <v>1.0934502117171303E-2</v>
      </c>
      <c r="CL1521" s="229"/>
      <c r="CM1521" s="229"/>
      <c r="CN1521" s="229"/>
      <c r="CO1521" s="47" t="s">
        <v>892</v>
      </c>
      <c r="CP1521" s="500" t="s">
        <v>893</v>
      </c>
      <c r="CQ1521" s="224">
        <v>-0.64614439051611505</v>
      </c>
      <c r="CR1521" s="224">
        <f t="shared" si="374"/>
        <v>4.4273554482449393</v>
      </c>
      <c r="CS1521" s="230" t="s">
        <v>539</v>
      </c>
      <c r="CT1521" s="230"/>
      <c r="CU1521" s="230"/>
      <c r="CV1521" s="335">
        <f t="shared" si="369"/>
        <v>3.7282271534240042E-3</v>
      </c>
      <c r="CW1521" s="230">
        <f t="shared" si="366"/>
        <v>0</v>
      </c>
      <c r="CX1521" s="336" t="s">
        <v>539</v>
      </c>
      <c r="CY1521" s="230" t="s">
        <v>5921</v>
      </c>
    </row>
    <row r="1522" spans="1:103" ht="11.25" customHeight="1" x14ac:dyDescent="0.2">
      <c r="A1522" s="72">
        <v>1204</v>
      </c>
      <c r="B1522" s="224">
        <v>229</v>
      </c>
      <c r="C1522" s="46" t="s">
        <v>1574</v>
      </c>
      <c r="D1522" s="46"/>
      <c r="E1522" s="114"/>
      <c r="F1522" s="114" t="s">
        <v>1575</v>
      </c>
      <c r="G1522" s="225">
        <v>1912249</v>
      </c>
      <c r="H1522" s="47" t="s">
        <v>1576</v>
      </c>
      <c r="I1522" s="47" t="s">
        <v>8076</v>
      </c>
      <c r="J1522" s="47" t="s">
        <v>1577</v>
      </c>
      <c r="K1522" s="47" t="s">
        <v>940</v>
      </c>
      <c r="L1522" s="47" t="s">
        <v>6152</v>
      </c>
      <c r="M1522" s="47" t="s">
        <v>6082</v>
      </c>
      <c r="N1522" s="47" t="s">
        <v>6082</v>
      </c>
      <c r="O1522" s="47" t="s">
        <v>6083</v>
      </c>
      <c r="P1522" s="53"/>
      <c r="Q1522" s="53"/>
      <c r="R1522" s="53"/>
      <c r="S1522" s="53"/>
      <c r="T1522" s="48">
        <v>215.68</v>
      </c>
      <c r="U1522" s="98">
        <v>34.700000000000003</v>
      </c>
      <c r="V1522" s="98">
        <v>214.1</v>
      </c>
      <c r="W1522" s="98">
        <v>69.792679926582196</v>
      </c>
      <c r="X1522" s="98">
        <v>34.700000000000003</v>
      </c>
      <c r="Y1522" s="233">
        <v>7.03</v>
      </c>
      <c r="Z1522" s="48">
        <v>2.82</v>
      </c>
      <c r="AA1522" s="48">
        <v>2.61</v>
      </c>
      <c r="AB1522" s="48">
        <v>2.67</v>
      </c>
      <c r="AC1522" s="48">
        <v>0.91020000000000001</v>
      </c>
      <c r="AD1522" s="48">
        <v>2.66</v>
      </c>
      <c r="AE1522" s="48">
        <v>2.63</v>
      </c>
      <c r="AF1522" s="48">
        <f t="shared" si="373"/>
        <v>2.61</v>
      </c>
      <c r="AG1522" s="49">
        <v>2.41</v>
      </c>
      <c r="AH1522" s="98">
        <v>4.4699999999999997E-9</v>
      </c>
      <c r="AI1522" s="98">
        <v>2.3600000000000001E-9</v>
      </c>
      <c r="AJ1522" s="483">
        <f t="shared" si="370"/>
        <v>-6.7382588031807158</v>
      </c>
      <c r="AK1522" s="483">
        <f t="shared" si="372"/>
        <v>-7.0156543233425452</v>
      </c>
      <c r="AL1522" s="483">
        <f t="shared" si="371"/>
        <v>-7.0156543233425452</v>
      </c>
      <c r="AM1522" s="483">
        <v>-10.46622</v>
      </c>
      <c r="AN1522" s="226">
        <v>-8.32</v>
      </c>
      <c r="AO1522" s="484"/>
      <c r="AP1522" s="484">
        <v>2.27</v>
      </c>
      <c r="AQ1522" s="226" t="s">
        <v>6311</v>
      </c>
      <c r="AR1522" s="226" t="s">
        <v>6311</v>
      </c>
      <c r="AS1522" s="224" t="s">
        <v>6</v>
      </c>
      <c r="AT1522" s="50" t="s">
        <v>266</v>
      </c>
      <c r="AU1522" s="48">
        <v>8</v>
      </c>
      <c r="AV1522" s="48">
        <v>144</v>
      </c>
      <c r="AW1522" s="48">
        <v>120</v>
      </c>
      <c r="AX1522" s="48">
        <v>26</v>
      </c>
      <c r="AY1522" s="48" t="s">
        <v>267</v>
      </c>
      <c r="AZ1522" s="48" t="s">
        <v>2253</v>
      </c>
      <c r="BA1522" s="48">
        <v>3</v>
      </c>
      <c r="BB1522" s="47" t="s">
        <v>2254</v>
      </c>
      <c r="BC1522" s="47" t="s">
        <v>270</v>
      </c>
      <c r="BD1522" s="47" t="s">
        <v>8374</v>
      </c>
      <c r="BE1522" s="48" t="s">
        <v>1712</v>
      </c>
      <c r="BF1522" s="48" t="s">
        <v>272</v>
      </c>
      <c r="BG1522" s="48" t="s">
        <v>272</v>
      </c>
      <c r="BH1522" s="48" t="s">
        <v>2255</v>
      </c>
      <c r="BI1522" s="98">
        <v>2.1567999999999999E-4</v>
      </c>
      <c r="BJ1522" s="98">
        <v>17.2544</v>
      </c>
      <c r="BK1522" s="48"/>
      <c r="BL1522" s="487">
        <v>32.506325128150984</v>
      </c>
      <c r="BM1522" s="48" t="s">
        <v>891</v>
      </c>
      <c r="BN1522" s="233"/>
      <c r="BO1522" s="233"/>
      <c r="BP1522" s="233"/>
      <c r="BQ1522" s="233"/>
      <c r="BR1522" s="233"/>
      <c r="BS1522" s="48"/>
      <c r="BT1522" s="233"/>
      <c r="BU1522" s="228"/>
      <c r="BV1522" s="233"/>
      <c r="BW1522" s="233"/>
      <c r="BX1522" s="233"/>
      <c r="BY1522" s="233"/>
      <c r="BZ1522" s="233"/>
      <c r="CA1522" s="233"/>
      <c r="CB1522" s="233"/>
      <c r="CC1522" s="48"/>
      <c r="CD1522" s="48"/>
      <c r="CE1522" s="48"/>
      <c r="CF1522" s="48"/>
      <c r="CG1522" s="233"/>
      <c r="CH1522" s="48"/>
      <c r="CI1522" s="98"/>
      <c r="CJ1522" s="98"/>
      <c r="CK1522" s="49">
        <f t="shared" si="368"/>
        <v>1.8839441028462875</v>
      </c>
      <c r="CL1522" s="229"/>
      <c r="CM1522" s="229">
        <v>1.0328741488313409</v>
      </c>
      <c r="CN1522" s="229">
        <f>BJ1522/(10^CM1522)</f>
        <v>1.5996527355018382</v>
      </c>
      <c r="CO1522" s="47" t="s">
        <v>892</v>
      </c>
      <c r="CP1522" s="500" t="s">
        <v>893</v>
      </c>
      <c r="CQ1522" s="224">
        <v>1.2234526426154375</v>
      </c>
      <c r="CR1522" s="224">
        <f t="shared" si="374"/>
        <v>5.9778822659789475E-2</v>
      </c>
      <c r="CS1522" s="230" t="s">
        <v>539</v>
      </c>
      <c r="CT1522" s="230"/>
      <c r="CU1522" s="230"/>
      <c r="CV1522" s="335">
        <f t="shared" si="369"/>
        <v>2.0110812314540061</v>
      </c>
      <c r="CW1522" s="230">
        <f t="shared" si="366"/>
        <v>1</v>
      </c>
      <c r="CX1522" s="336" t="s">
        <v>539</v>
      </c>
      <c r="CY1522" s="230" t="s">
        <v>6351</v>
      </c>
    </row>
    <row r="1523" spans="1:103" ht="11.25" customHeight="1" x14ac:dyDescent="0.2">
      <c r="A1523" s="72">
        <v>1206</v>
      </c>
      <c r="B1523" s="224">
        <v>280</v>
      </c>
      <c r="C1523" s="46" t="s">
        <v>7338</v>
      </c>
      <c r="D1523" s="46" t="s">
        <v>8626</v>
      </c>
      <c r="E1523" s="114"/>
      <c r="F1523" s="114" t="s">
        <v>3802</v>
      </c>
      <c r="G1523" s="225">
        <v>1918009</v>
      </c>
      <c r="H1523" s="47" t="s">
        <v>3803</v>
      </c>
      <c r="I1523" s="47" t="s">
        <v>8077</v>
      </c>
      <c r="J1523" s="47" t="s">
        <v>3804</v>
      </c>
      <c r="K1523" s="47" t="s">
        <v>426</v>
      </c>
      <c r="L1523" s="47" t="s">
        <v>6032</v>
      </c>
      <c r="M1523" s="47" t="s">
        <v>2342</v>
      </c>
      <c r="N1523" s="47" t="s">
        <v>2342</v>
      </c>
      <c r="O1523" s="47"/>
      <c r="P1523" s="53" t="s">
        <v>8537</v>
      </c>
      <c r="Q1523" s="53" t="s">
        <v>6173</v>
      </c>
      <c r="R1523" s="53" t="s">
        <v>8539</v>
      </c>
      <c r="S1523" s="53" t="s">
        <v>6173</v>
      </c>
      <c r="T1523" s="48">
        <v>221.04</v>
      </c>
      <c r="U1523" s="98">
        <v>8310</v>
      </c>
      <c r="V1523" s="98">
        <v>440.5</v>
      </c>
      <c r="W1523" s="98">
        <v>652.3352874623381</v>
      </c>
      <c r="X1523" s="98">
        <v>8310</v>
      </c>
      <c r="Y1523" s="233">
        <v>2.71</v>
      </c>
      <c r="Z1523" s="48">
        <v>2.14</v>
      </c>
      <c r="AA1523" s="48">
        <v>2.21</v>
      </c>
      <c r="AB1523" s="48">
        <v>2.79</v>
      </c>
      <c r="AC1523" s="48">
        <v>0.84530000000000005</v>
      </c>
      <c r="AD1523" s="48">
        <v>2.78</v>
      </c>
      <c r="AE1523" s="48">
        <v>2.75</v>
      </c>
      <c r="AF1523" s="48">
        <f t="shared" si="373"/>
        <v>2.21</v>
      </c>
      <c r="AG1523" s="49">
        <v>2.76</v>
      </c>
      <c r="AH1523" s="98">
        <v>3.5199999999999998E-9</v>
      </c>
      <c r="AI1523" s="98">
        <v>2.1799999999999999E-9</v>
      </c>
      <c r="AJ1523" s="483">
        <f t="shared" si="370"/>
        <v>-6.8420236628345208</v>
      </c>
      <c r="AK1523" s="483">
        <f t="shared" si="372"/>
        <v>-7.0501098327080474</v>
      </c>
      <c r="AL1523" s="483">
        <f t="shared" si="371"/>
        <v>-7.0501098327080474</v>
      </c>
      <c r="AM1523" s="483">
        <v>-9.9556700000000014</v>
      </c>
      <c r="AN1523" s="226">
        <v>-6.49</v>
      </c>
      <c r="AO1523" s="484">
        <v>2.4</v>
      </c>
      <c r="AP1523" s="484"/>
      <c r="AQ1523" s="226" t="s">
        <v>6311</v>
      </c>
      <c r="AR1523" s="226" t="s">
        <v>6311</v>
      </c>
      <c r="AS1523" s="224" t="s">
        <v>6</v>
      </c>
      <c r="AT1523" s="50" t="s">
        <v>266</v>
      </c>
      <c r="AU1523" s="48">
        <v>8</v>
      </c>
      <c r="AV1523" s="48">
        <v>144</v>
      </c>
      <c r="AW1523" s="48">
        <v>120</v>
      </c>
      <c r="AX1523" s="48">
        <v>26</v>
      </c>
      <c r="AY1523" s="48" t="s">
        <v>267</v>
      </c>
      <c r="AZ1523" s="48" t="s">
        <v>2253</v>
      </c>
      <c r="BA1523" s="48">
        <v>2</v>
      </c>
      <c r="BB1523" s="47" t="s">
        <v>2254</v>
      </c>
      <c r="BC1523" s="47" t="s">
        <v>270</v>
      </c>
      <c r="BD1523" s="47" t="s">
        <v>8374</v>
      </c>
      <c r="BE1523" s="48" t="s">
        <v>1712</v>
      </c>
      <c r="BF1523" s="48" t="s">
        <v>272</v>
      </c>
      <c r="BG1523" s="48" t="s">
        <v>272</v>
      </c>
      <c r="BH1523" s="48" t="s">
        <v>2255</v>
      </c>
      <c r="BI1523" s="98">
        <v>2.2103999999999998E-4</v>
      </c>
      <c r="BJ1523" s="98">
        <v>17.683199999999999</v>
      </c>
      <c r="BK1523" s="48"/>
      <c r="BL1523" s="487">
        <v>135.93674667832471</v>
      </c>
      <c r="BM1523" s="48" t="s">
        <v>891</v>
      </c>
      <c r="BN1523" s="233"/>
      <c r="BO1523" s="233"/>
      <c r="BP1523" s="233"/>
      <c r="BQ1523" s="233"/>
      <c r="BR1523" s="233"/>
      <c r="BS1523" s="48"/>
      <c r="BT1523" s="233"/>
      <c r="BU1523" s="228"/>
      <c r="BV1523" s="233"/>
      <c r="BW1523" s="233"/>
      <c r="BX1523" s="233"/>
      <c r="BY1523" s="233"/>
      <c r="BZ1523" s="233"/>
      <c r="CA1523" s="233"/>
      <c r="CB1523" s="233"/>
      <c r="CC1523" s="48"/>
      <c r="CD1523" s="48"/>
      <c r="CE1523" s="48"/>
      <c r="CF1523" s="48"/>
      <c r="CG1523" s="233"/>
      <c r="CH1523" s="48"/>
      <c r="CI1523" s="98"/>
      <c r="CJ1523" s="98"/>
      <c r="CK1523" s="49">
        <f t="shared" si="368"/>
        <v>7.6873386422324419</v>
      </c>
      <c r="CL1523" s="229"/>
      <c r="CM1523" s="229"/>
      <c r="CN1523" s="229"/>
      <c r="CO1523" s="47" t="s">
        <v>892</v>
      </c>
      <c r="CP1523" s="500" t="s">
        <v>893</v>
      </c>
      <c r="CQ1523" s="224">
        <v>1.9731292497874575</v>
      </c>
      <c r="CR1523" s="224">
        <f t="shared" si="374"/>
        <v>1.0638263671957939E-2</v>
      </c>
      <c r="CS1523" s="230" t="s">
        <v>539</v>
      </c>
      <c r="CT1523" s="230"/>
      <c r="CU1523" s="230"/>
      <c r="CV1523" s="335">
        <f t="shared" si="369"/>
        <v>469.93756786102063</v>
      </c>
      <c r="CW1523" s="230">
        <f t="shared" si="366"/>
        <v>1</v>
      </c>
      <c r="CX1523" s="336" t="s">
        <v>539</v>
      </c>
      <c r="CY1523" s="230" t="s">
        <v>5921</v>
      </c>
    </row>
    <row r="1524" spans="1:103" ht="11.25" customHeight="1" x14ac:dyDescent="0.2">
      <c r="A1524" s="72">
        <v>1208</v>
      </c>
      <c r="B1524" s="224">
        <v>433</v>
      </c>
      <c r="C1524" s="46" t="s">
        <v>2451</v>
      </c>
      <c r="D1524" s="46"/>
      <c r="E1524" s="114"/>
      <c r="F1524" s="114" t="s">
        <v>3979</v>
      </c>
      <c r="G1524" s="225">
        <v>1918021</v>
      </c>
      <c r="H1524" s="47" t="s">
        <v>2452</v>
      </c>
      <c r="I1524" s="47" t="s">
        <v>8078</v>
      </c>
      <c r="J1524" s="47" t="s">
        <v>2453</v>
      </c>
      <c r="K1524" s="47" t="s">
        <v>2454</v>
      </c>
      <c r="L1524" s="47" t="s">
        <v>6033</v>
      </c>
      <c r="M1524" s="47" t="s">
        <v>3980</v>
      </c>
      <c r="N1524" s="47" t="s">
        <v>6385</v>
      </c>
      <c r="O1524" s="47" t="s">
        <v>1630</v>
      </c>
      <c r="P1524" s="53" t="s">
        <v>6178</v>
      </c>
      <c r="Q1524" s="53" t="s">
        <v>6173</v>
      </c>
      <c r="R1524" s="53" t="s">
        <v>6181</v>
      </c>
      <c r="S1524" s="53" t="s">
        <v>6176</v>
      </c>
      <c r="T1524" s="48">
        <v>241.46</v>
      </c>
      <c r="U1524" s="98">
        <v>430</v>
      </c>
      <c r="V1524" s="98">
        <v>628.6</v>
      </c>
      <c r="W1524" s="98">
        <v>746.18273513473173</v>
      </c>
      <c r="X1524" s="98">
        <v>430</v>
      </c>
      <c r="Y1524" s="233">
        <v>2.6</v>
      </c>
      <c r="Z1524" s="48">
        <v>1.36</v>
      </c>
      <c r="AA1524" s="48">
        <v>1.9</v>
      </c>
      <c r="AB1524" s="48">
        <v>2.4500000000000002</v>
      </c>
      <c r="AC1524" s="48">
        <v>0.79590000000000005</v>
      </c>
      <c r="AD1524" s="48">
        <v>2.59</v>
      </c>
      <c r="AE1524" s="48">
        <v>2.94</v>
      </c>
      <c r="AF1524" s="48">
        <f t="shared" si="373"/>
        <v>1.9</v>
      </c>
      <c r="AG1524" s="49">
        <v>2.25</v>
      </c>
      <c r="AH1524" s="98">
        <v>1.29E-12</v>
      </c>
      <c r="AI1524" s="98">
        <v>5.3299999999999998E-14</v>
      </c>
      <c r="AJ1524" s="483">
        <f t="shared" si="370"/>
        <v>-10.277976616013403</v>
      </c>
      <c r="AK1524" s="483">
        <f t="shared" si="372"/>
        <v>-11.66183911728608</v>
      </c>
      <c r="AL1524" s="483">
        <f t="shared" si="371"/>
        <v>-11.66183911728608</v>
      </c>
      <c r="AM1524" s="483">
        <v>-14.922219999999998</v>
      </c>
      <c r="AN1524" s="226">
        <v>-8.65</v>
      </c>
      <c r="AO1524" s="484">
        <v>1.93</v>
      </c>
      <c r="AP1524" s="484">
        <v>-4.34</v>
      </c>
      <c r="AQ1524" s="226" t="s">
        <v>5921</v>
      </c>
      <c r="AR1524" s="226" t="s">
        <v>5921</v>
      </c>
      <c r="AS1524" s="224" t="s">
        <v>6</v>
      </c>
      <c r="AT1524" s="50" t="s">
        <v>266</v>
      </c>
      <c r="AU1524" s="48">
        <v>8</v>
      </c>
      <c r="AV1524" s="48">
        <v>144</v>
      </c>
      <c r="AW1524" s="48">
        <v>120</v>
      </c>
      <c r="AX1524" s="48">
        <v>26</v>
      </c>
      <c r="AY1524" s="48" t="s">
        <v>267</v>
      </c>
      <c r="AZ1524" s="48" t="s">
        <v>2253</v>
      </c>
      <c r="BA1524" s="48">
        <v>3</v>
      </c>
      <c r="BB1524" s="47" t="s">
        <v>2254</v>
      </c>
      <c r="BC1524" s="47" t="s">
        <v>270</v>
      </c>
      <c r="BD1524" s="47" t="s">
        <v>8374</v>
      </c>
      <c r="BE1524" s="48" t="s">
        <v>1712</v>
      </c>
      <c r="BF1524" s="48" t="s">
        <v>272</v>
      </c>
      <c r="BG1524" s="48" t="s">
        <v>272</v>
      </c>
      <c r="BH1524" s="48" t="s">
        <v>2255</v>
      </c>
      <c r="BI1524" s="98">
        <v>2.4146000000000001E-4</v>
      </c>
      <c r="BJ1524" s="98">
        <v>19.316800000000001</v>
      </c>
      <c r="BK1524" s="48"/>
      <c r="BL1524" s="487">
        <v>745.1251054455887</v>
      </c>
      <c r="BM1524" s="48" t="s">
        <v>891</v>
      </c>
      <c r="BN1524" s="233"/>
      <c r="BO1524" s="233"/>
      <c r="BP1524" s="233"/>
      <c r="BQ1524" s="233"/>
      <c r="BR1524" s="233"/>
      <c r="BS1524" s="48"/>
      <c r="BT1524" s="233"/>
      <c r="BU1524" s="228"/>
      <c r="BV1524" s="233"/>
      <c r="BW1524" s="233"/>
      <c r="BX1524" s="233"/>
      <c r="BY1524" s="233"/>
      <c r="BZ1524" s="233"/>
      <c r="CA1524" s="233"/>
      <c r="CB1524" s="233"/>
      <c r="CC1524" s="48"/>
      <c r="CD1524" s="48"/>
      <c r="CE1524" s="48"/>
      <c r="CF1524" s="48"/>
      <c r="CG1524" s="233"/>
      <c r="CH1524" s="48"/>
      <c r="CI1524" s="98"/>
      <c r="CJ1524" s="98"/>
      <c r="CK1524" s="49">
        <f t="shared" si="368"/>
        <v>38.57394110026447</v>
      </c>
      <c r="CL1524" s="229"/>
      <c r="CM1524" s="229">
        <v>1.118728228139199</v>
      </c>
      <c r="CN1524" s="229">
        <f>BJ1524/(10^CM1524)</f>
        <v>1.4696264345975647</v>
      </c>
      <c r="CO1524" s="47" t="s">
        <v>892</v>
      </c>
      <c r="CP1524" s="500" t="s">
        <v>893</v>
      </c>
      <c r="CQ1524" s="224">
        <v>1.3145159593146216</v>
      </c>
      <c r="CR1524" s="224">
        <f t="shared" si="374"/>
        <v>4.8471230024461277E-2</v>
      </c>
      <c r="CS1524" s="230" t="s">
        <v>539</v>
      </c>
      <c r="CT1524" s="230"/>
      <c r="CU1524" s="230"/>
      <c r="CV1524" s="335">
        <f t="shared" si="369"/>
        <v>22.260415803859853</v>
      </c>
      <c r="CW1524" s="230">
        <f t="shared" ref="CW1524:CW1555" si="375">IF(CV1524&lt;1,0,1)</f>
        <v>1</v>
      </c>
      <c r="CX1524" s="336" t="s">
        <v>539</v>
      </c>
      <c r="CY1524" s="230" t="s">
        <v>5921</v>
      </c>
    </row>
    <row r="1525" spans="1:103" ht="11.25" customHeight="1" x14ac:dyDescent="0.2">
      <c r="A1525" s="72">
        <v>1211</v>
      </c>
      <c r="B1525" s="224">
        <v>411</v>
      </c>
      <c r="C1525" s="46" t="s">
        <v>7340</v>
      </c>
      <c r="D1525" s="46" t="s">
        <v>8628</v>
      </c>
      <c r="E1525" s="114"/>
      <c r="F1525" s="114" t="s">
        <v>3962</v>
      </c>
      <c r="G1525" s="225">
        <v>1929824</v>
      </c>
      <c r="H1525" s="47" t="s">
        <v>3963</v>
      </c>
      <c r="I1525" s="47" t="s">
        <v>8079</v>
      </c>
      <c r="J1525" s="47" t="s">
        <v>3964</v>
      </c>
      <c r="K1525" s="47" t="s">
        <v>3965</v>
      </c>
      <c r="L1525" s="47" t="s">
        <v>6047</v>
      </c>
      <c r="M1525" s="47" t="s">
        <v>6082</v>
      </c>
      <c r="N1525" s="47" t="s">
        <v>6082</v>
      </c>
      <c r="O1525" s="47" t="s">
        <v>6083</v>
      </c>
      <c r="P1525" s="53"/>
      <c r="Q1525" s="53"/>
      <c r="R1525" s="53"/>
      <c r="S1525" s="53"/>
      <c r="T1525" s="48">
        <v>230.91</v>
      </c>
      <c r="U1525" s="98">
        <v>72</v>
      </c>
      <c r="V1525" s="98">
        <v>36.840000000000003</v>
      </c>
      <c r="W1525" s="98">
        <v>650.7928026582747</v>
      </c>
      <c r="X1525" s="98">
        <v>72</v>
      </c>
      <c r="Y1525" s="233">
        <v>7</v>
      </c>
      <c r="Z1525" s="48">
        <v>3.35</v>
      </c>
      <c r="AA1525" s="48">
        <v>3.41</v>
      </c>
      <c r="AB1525" s="48">
        <v>3.45</v>
      </c>
      <c r="AC1525" s="48">
        <v>0.85199999999999998</v>
      </c>
      <c r="AD1525" s="48">
        <v>3.22</v>
      </c>
      <c r="AE1525" s="48">
        <v>2.52</v>
      </c>
      <c r="AF1525" s="48">
        <f t="shared" si="373"/>
        <v>3.41</v>
      </c>
      <c r="AG1525" s="49">
        <v>3.5</v>
      </c>
      <c r="AH1525" s="98">
        <v>1.59E-5</v>
      </c>
      <c r="AI1525" s="98">
        <v>2.0299999999999999E-5</v>
      </c>
      <c r="AJ1525" s="483">
        <f t="shared" si="370"/>
        <v>-3.1871692019922002</v>
      </c>
      <c r="AK1525" s="483">
        <f t="shared" si="372"/>
        <v>-3.081070288399439</v>
      </c>
      <c r="AL1525" s="483">
        <f t="shared" si="371"/>
        <v>-3.081070288399439</v>
      </c>
      <c r="AM1525" s="483">
        <v>-5.7222499999999998</v>
      </c>
      <c r="AN1525" s="226">
        <v>-3.65</v>
      </c>
      <c r="AO1525" s="484"/>
      <c r="AP1525" s="484">
        <v>-3.75</v>
      </c>
      <c r="AQ1525" s="226" t="s">
        <v>6311</v>
      </c>
      <c r="AR1525" s="226" t="s">
        <v>6311</v>
      </c>
      <c r="AS1525" s="224" t="s">
        <v>6</v>
      </c>
      <c r="AT1525" s="50" t="s">
        <v>266</v>
      </c>
      <c r="AU1525" s="48">
        <v>8</v>
      </c>
      <c r="AV1525" s="48">
        <v>144</v>
      </c>
      <c r="AW1525" s="48">
        <v>120</v>
      </c>
      <c r="AX1525" s="48">
        <v>26</v>
      </c>
      <c r="AY1525" s="48" t="s">
        <v>267</v>
      </c>
      <c r="AZ1525" s="48" t="s">
        <v>2253</v>
      </c>
      <c r="BA1525" s="48">
        <v>2</v>
      </c>
      <c r="BB1525" s="47" t="s">
        <v>2254</v>
      </c>
      <c r="BC1525" s="47" t="s">
        <v>270</v>
      </c>
      <c r="BD1525" s="47" t="s">
        <v>8374</v>
      </c>
      <c r="BE1525" s="48" t="s">
        <v>1712</v>
      </c>
      <c r="BF1525" s="48" t="s">
        <v>272</v>
      </c>
      <c r="BG1525" s="48" t="s">
        <v>272</v>
      </c>
      <c r="BH1525" s="48" t="s">
        <v>2255</v>
      </c>
      <c r="BI1525" s="98">
        <v>2.3091E-4</v>
      </c>
      <c r="BJ1525" s="98">
        <v>18.472799999999999</v>
      </c>
      <c r="BK1525" s="48"/>
      <c r="BL1525" s="487">
        <v>11.630750549029953</v>
      </c>
      <c r="BM1525" s="48" t="s">
        <v>891</v>
      </c>
      <c r="BN1525" s="233"/>
      <c r="BO1525" s="233"/>
      <c r="BP1525" s="233"/>
      <c r="BQ1525" s="233"/>
      <c r="BR1525" s="233"/>
      <c r="BS1525" s="48"/>
      <c r="BT1525" s="233"/>
      <c r="BU1525" s="228"/>
      <c r="BV1525" s="233"/>
      <c r="BW1525" s="233"/>
      <c r="BX1525" s="233"/>
      <c r="BY1525" s="233"/>
      <c r="BZ1525" s="233"/>
      <c r="CA1525" s="233"/>
      <c r="CB1525" s="233"/>
      <c r="CC1525" s="48"/>
      <c r="CD1525" s="48"/>
      <c r="CE1525" s="48"/>
      <c r="CF1525" s="48"/>
      <c r="CG1525" s="233"/>
      <c r="CH1525" s="48"/>
      <c r="CI1525" s="98"/>
      <c r="CJ1525" s="98"/>
      <c r="CK1525" s="49">
        <f t="shared" si="368"/>
        <v>0.62961492296944443</v>
      </c>
      <c r="CL1525" s="229"/>
      <c r="CM1525" s="229"/>
      <c r="CN1525" s="229"/>
      <c r="CO1525" s="47" t="s">
        <v>892</v>
      </c>
      <c r="CP1525" s="500" t="s">
        <v>893</v>
      </c>
      <c r="CQ1525" s="224">
        <v>0.7481112529441738</v>
      </c>
      <c r="CR1525" s="224">
        <f t="shared" si="374"/>
        <v>0.1786029990066153</v>
      </c>
      <c r="CS1525" s="230" t="s">
        <v>539</v>
      </c>
      <c r="CT1525" s="230"/>
      <c r="CU1525" s="230"/>
      <c r="CV1525" s="335">
        <f t="shared" si="369"/>
        <v>3.8976224503053141</v>
      </c>
      <c r="CW1525" s="230">
        <f t="shared" si="375"/>
        <v>1</v>
      </c>
      <c r="CX1525" s="336" t="s">
        <v>539</v>
      </c>
      <c r="CY1525" s="230" t="s">
        <v>6351</v>
      </c>
    </row>
    <row r="1526" spans="1:103" ht="11.25" customHeight="1" x14ac:dyDescent="0.2">
      <c r="A1526" s="72">
        <v>1214</v>
      </c>
      <c r="B1526" s="224">
        <v>237</v>
      </c>
      <c r="C1526" s="46" t="s">
        <v>7342</v>
      </c>
      <c r="D1526" s="46" t="s">
        <v>8629</v>
      </c>
      <c r="E1526" s="114"/>
      <c r="F1526" s="114" t="s">
        <v>3746</v>
      </c>
      <c r="G1526" s="225">
        <v>2008415</v>
      </c>
      <c r="H1526" s="47" t="s">
        <v>3747</v>
      </c>
      <c r="I1526" s="47" t="s">
        <v>3747</v>
      </c>
      <c r="J1526" s="47" t="s">
        <v>3748</v>
      </c>
      <c r="K1526" s="47" t="s">
        <v>1499</v>
      </c>
      <c r="L1526" s="47" t="s">
        <v>5248</v>
      </c>
      <c r="M1526" s="47" t="s">
        <v>6082</v>
      </c>
      <c r="N1526" s="47" t="s">
        <v>6082</v>
      </c>
      <c r="O1526" s="47" t="s">
        <v>6083</v>
      </c>
      <c r="P1526" s="53"/>
      <c r="Q1526" s="53"/>
      <c r="R1526" s="53"/>
      <c r="S1526" s="53"/>
      <c r="T1526" s="48">
        <v>217.37</v>
      </c>
      <c r="U1526" s="98">
        <v>45</v>
      </c>
      <c r="V1526" s="98">
        <v>10.15</v>
      </c>
      <c r="W1526" s="98">
        <v>50.956501758609107</v>
      </c>
      <c r="X1526" s="98">
        <v>45</v>
      </c>
      <c r="Y1526" s="233">
        <v>7</v>
      </c>
      <c r="Z1526" s="48">
        <v>3.85</v>
      </c>
      <c r="AA1526" s="48">
        <v>4.1500000000000004</v>
      </c>
      <c r="AB1526" s="48">
        <v>3.66</v>
      </c>
      <c r="AC1526" s="48">
        <v>0.76280000000000003</v>
      </c>
      <c r="AD1526" s="48">
        <v>3.8</v>
      </c>
      <c r="AE1526" s="48">
        <v>4.0599999999999996</v>
      </c>
      <c r="AF1526" s="48">
        <f t="shared" si="373"/>
        <v>4.1500000000000004</v>
      </c>
      <c r="AG1526" s="49">
        <v>3.12</v>
      </c>
      <c r="AH1526" s="98">
        <v>2.7100000000000001E-5</v>
      </c>
      <c r="AI1526" s="98">
        <v>8.4499999999999994E-5</v>
      </c>
      <c r="AJ1526" s="483">
        <f t="shared" si="370"/>
        <v>-2.9555970354382461</v>
      </c>
      <c r="AK1526" s="483">
        <f t="shared" si="372"/>
        <v>-2.4617096173629593</v>
      </c>
      <c r="AL1526" s="483">
        <f t="shared" si="371"/>
        <v>-2.4617096173629593</v>
      </c>
      <c r="AM1526" s="483">
        <v>-8.3325999999999993</v>
      </c>
      <c r="AN1526" s="226">
        <v>-2.69</v>
      </c>
      <c r="AO1526" s="484"/>
      <c r="AP1526" s="484">
        <v>-1.22</v>
      </c>
      <c r="AQ1526" s="226" t="s">
        <v>6311</v>
      </c>
      <c r="AR1526" s="226" t="s">
        <v>6311</v>
      </c>
      <c r="AS1526" s="224" t="s">
        <v>6</v>
      </c>
      <c r="AT1526" s="50" t="s">
        <v>266</v>
      </c>
      <c r="AU1526" s="48">
        <v>8</v>
      </c>
      <c r="AV1526" s="48">
        <v>144</v>
      </c>
      <c r="AW1526" s="48">
        <v>120</v>
      </c>
      <c r="AX1526" s="48">
        <v>26</v>
      </c>
      <c r="AY1526" s="48" t="s">
        <v>267</v>
      </c>
      <c r="AZ1526" s="48" t="s">
        <v>2253</v>
      </c>
      <c r="BA1526" s="48">
        <v>2</v>
      </c>
      <c r="BB1526" s="47" t="s">
        <v>2254</v>
      </c>
      <c r="BC1526" s="47" t="s">
        <v>270</v>
      </c>
      <c r="BD1526" s="47" t="s">
        <v>8374</v>
      </c>
      <c r="BE1526" s="48" t="s">
        <v>1712</v>
      </c>
      <c r="BF1526" s="48" t="s">
        <v>272</v>
      </c>
      <c r="BG1526" s="48" t="s">
        <v>272</v>
      </c>
      <c r="BH1526" s="48" t="s">
        <v>2255</v>
      </c>
      <c r="BI1526" s="98">
        <v>2.1736999999999999E-4</v>
      </c>
      <c r="BJ1526" s="98">
        <v>17.389600000000002</v>
      </c>
      <c r="BK1526" s="48"/>
      <c r="BL1526" s="487">
        <v>3.8932707359585152</v>
      </c>
      <c r="BM1526" s="48" t="s">
        <v>891</v>
      </c>
      <c r="BN1526" s="233"/>
      <c r="BO1526" s="233"/>
      <c r="BP1526" s="233"/>
      <c r="BQ1526" s="233"/>
      <c r="BR1526" s="233"/>
      <c r="BS1526" s="48"/>
      <c r="BT1526" s="233"/>
      <c r="BU1526" s="228"/>
      <c r="BV1526" s="233"/>
      <c r="BW1526" s="233"/>
      <c r="BX1526" s="233"/>
      <c r="BY1526" s="233"/>
      <c r="BZ1526" s="233"/>
      <c r="CA1526" s="233"/>
      <c r="CB1526" s="233"/>
      <c r="CC1526" s="48"/>
      <c r="CD1526" s="48"/>
      <c r="CE1526" s="48"/>
      <c r="CF1526" s="48"/>
      <c r="CG1526" s="233"/>
      <c r="CH1526" s="48"/>
      <c r="CI1526" s="98"/>
      <c r="CJ1526" s="98"/>
      <c r="CK1526" s="49">
        <f t="shared" si="368"/>
        <v>0.22388500804840336</v>
      </c>
      <c r="CL1526" s="229"/>
      <c r="CM1526" s="229"/>
      <c r="CN1526" s="229"/>
      <c r="CO1526" s="47" t="s">
        <v>892</v>
      </c>
      <c r="CP1526" s="500" t="s">
        <v>893</v>
      </c>
      <c r="CQ1526" s="224">
        <v>0.44019070666728904</v>
      </c>
      <c r="CR1526" s="224">
        <f t="shared" si="374"/>
        <v>0.36291865554143182</v>
      </c>
      <c r="CS1526" s="230" t="s">
        <v>539</v>
      </c>
      <c r="CT1526" s="230"/>
      <c r="CU1526" s="230"/>
      <c r="CV1526" s="335">
        <f t="shared" si="369"/>
        <v>2.5877535998527854</v>
      </c>
      <c r="CW1526" s="230">
        <f t="shared" si="375"/>
        <v>1</v>
      </c>
      <c r="CX1526" s="336" t="s">
        <v>539</v>
      </c>
      <c r="CY1526" s="230" t="s">
        <v>5921</v>
      </c>
    </row>
    <row r="1527" spans="1:103" ht="11.25" customHeight="1" x14ac:dyDescent="0.2">
      <c r="A1527" s="72">
        <v>1218</v>
      </c>
      <c r="B1527" s="224">
        <v>340</v>
      </c>
      <c r="C1527" s="46" t="s">
        <v>7345</v>
      </c>
      <c r="D1527" s="46" t="s">
        <v>8631</v>
      </c>
      <c r="E1527" s="114"/>
      <c r="F1527" s="114" t="s">
        <v>3872</v>
      </c>
      <c r="G1527" s="225">
        <v>2164172</v>
      </c>
      <c r="H1527" s="47" t="s">
        <v>3873</v>
      </c>
      <c r="I1527" s="47" t="s">
        <v>3873</v>
      </c>
      <c r="J1527" s="47" t="s">
        <v>3874</v>
      </c>
      <c r="K1527" s="47" t="s">
        <v>1292</v>
      </c>
      <c r="L1527" s="47" t="s">
        <v>6041</v>
      </c>
      <c r="M1527" s="47" t="s">
        <v>6082</v>
      </c>
      <c r="N1527" s="47" t="s">
        <v>6082</v>
      </c>
      <c r="O1527" s="47" t="s">
        <v>6083</v>
      </c>
      <c r="P1527" s="53"/>
      <c r="Q1527" s="53"/>
      <c r="R1527" s="53"/>
      <c r="S1527" s="53"/>
      <c r="T1527" s="48">
        <v>232.2</v>
      </c>
      <c r="U1527" s="98">
        <v>110</v>
      </c>
      <c r="V1527" s="98">
        <v>253.90000000000003</v>
      </c>
      <c r="W1527" s="98">
        <v>221.74927847417729</v>
      </c>
      <c r="X1527" s="98">
        <v>110</v>
      </c>
      <c r="Y1527" s="233">
        <v>7</v>
      </c>
      <c r="Z1527" s="48">
        <v>2.35</v>
      </c>
      <c r="AA1527" s="48">
        <v>2.42</v>
      </c>
      <c r="AB1527" s="48">
        <v>2.35</v>
      </c>
      <c r="AC1527" s="48">
        <v>0.80859999999999999</v>
      </c>
      <c r="AD1527" s="48">
        <v>2.36</v>
      </c>
      <c r="AE1527" s="48">
        <v>2.36</v>
      </c>
      <c r="AF1527" s="48">
        <f t="shared" si="373"/>
        <v>2.42</v>
      </c>
      <c r="AG1527" s="49">
        <v>1.92</v>
      </c>
      <c r="AH1527" s="98">
        <v>8.4399999999999998E-9</v>
      </c>
      <c r="AI1527" s="98">
        <v>2.6099999999999999E-9</v>
      </c>
      <c r="AJ1527" s="483">
        <f t="shared" si="370"/>
        <v>-6.4622238796869969</v>
      </c>
      <c r="AK1527" s="483">
        <f t="shared" si="372"/>
        <v>-6.9719258189743707</v>
      </c>
      <c r="AL1527" s="483">
        <f t="shared" si="371"/>
        <v>-6.9719258189743707</v>
      </c>
      <c r="AM1527" s="483">
        <v>-9.2389799999999997</v>
      </c>
      <c r="AN1527" s="226">
        <v>-7.25</v>
      </c>
      <c r="AO1527" s="484">
        <v>14.55</v>
      </c>
      <c r="AP1527" s="484">
        <v>-0.6</v>
      </c>
      <c r="AQ1527" s="226" t="s">
        <v>6311</v>
      </c>
      <c r="AR1527" s="226" t="s">
        <v>6311</v>
      </c>
      <c r="AS1527" s="224" t="s">
        <v>6</v>
      </c>
      <c r="AT1527" s="50" t="s">
        <v>266</v>
      </c>
      <c r="AU1527" s="48">
        <v>8</v>
      </c>
      <c r="AV1527" s="48">
        <v>144</v>
      </c>
      <c r="AW1527" s="48">
        <v>120</v>
      </c>
      <c r="AX1527" s="48">
        <v>26</v>
      </c>
      <c r="AY1527" s="48" t="s">
        <v>267</v>
      </c>
      <c r="AZ1527" s="48" t="s">
        <v>2253</v>
      </c>
      <c r="BA1527" s="48">
        <v>2</v>
      </c>
      <c r="BB1527" s="47" t="s">
        <v>2254</v>
      </c>
      <c r="BC1527" s="47" t="s">
        <v>270</v>
      </c>
      <c r="BD1527" s="47" t="s">
        <v>8374</v>
      </c>
      <c r="BE1527" s="48" t="s">
        <v>1712</v>
      </c>
      <c r="BF1527" s="48" t="s">
        <v>272</v>
      </c>
      <c r="BG1527" s="48" t="s">
        <v>272</v>
      </c>
      <c r="BH1527" s="48" t="s">
        <v>2255</v>
      </c>
      <c r="BI1527" s="98">
        <v>2.3219999999999998E-4</v>
      </c>
      <c r="BJ1527" s="98">
        <v>18.576000000000001</v>
      </c>
      <c r="BK1527" s="48"/>
      <c r="BL1527" s="487">
        <v>92.49690801694166</v>
      </c>
      <c r="BM1527" s="48" t="s">
        <v>891</v>
      </c>
      <c r="BN1527" s="233"/>
      <c r="BO1527" s="233"/>
      <c r="BP1527" s="233"/>
      <c r="BQ1527" s="233"/>
      <c r="BR1527" s="233"/>
      <c r="BS1527" s="48"/>
      <c r="BT1527" s="233"/>
      <c r="BU1527" s="228"/>
      <c r="BV1527" s="233"/>
      <c r="BW1527" s="233"/>
      <c r="BX1527" s="233"/>
      <c r="BY1527" s="233"/>
      <c r="BZ1527" s="233"/>
      <c r="CA1527" s="233"/>
      <c r="CB1527" s="233"/>
      <c r="CC1527" s="48"/>
      <c r="CD1527" s="48"/>
      <c r="CE1527" s="48"/>
      <c r="CF1527" s="48"/>
      <c r="CG1527" s="233"/>
      <c r="CH1527" s="48"/>
      <c r="CI1527" s="98"/>
      <c r="CJ1527" s="98"/>
      <c r="CK1527" s="49">
        <f t="shared" si="368"/>
        <v>4.9793770465623197</v>
      </c>
      <c r="CL1527" s="229"/>
      <c r="CM1527" s="229"/>
      <c r="CN1527" s="229"/>
      <c r="CO1527" s="47" t="s">
        <v>892</v>
      </c>
      <c r="CP1527" s="500" t="s">
        <v>893</v>
      </c>
      <c r="CQ1527" s="224">
        <v>1.4283642013519744</v>
      </c>
      <c r="CR1527" s="224">
        <f t="shared" si="374"/>
        <v>3.729372797038253E-2</v>
      </c>
      <c r="CS1527" s="230" t="s">
        <v>539</v>
      </c>
      <c r="CT1527" s="230"/>
      <c r="CU1527" s="230"/>
      <c r="CV1527" s="335">
        <f t="shared" si="369"/>
        <v>5.9216192937123164</v>
      </c>
      <c r="CW1527" s="230">
        <f t="shared" si="375"/>
        <v>1</v>
      </c>
      <c r="CX1527" s="336" t="s">
        <v>539</v>
      </c>
      <c r="CY1527" s="230" t="s">
        <v>5921</v>
      </c>
    </row>
    <row r="1528" spans="1:103" ht="11.25" customHeight="1" x14ac:dyDescent="0.2">
      <c r="A1528" s="72">
        <v>1220</v>
      </c>
      <c r="B1528" s="224">
        <v>402</v>
      </c>
      <c r="C1528" s="46" t="s">
        <v>7346</v>
      </c>
      <c r="D1528" s="46" t="s">
        <v>8632</v>
      </c>
      <c r="E1528" s="114"/>
      <c r="F1528" s="114" t="s">
        <v>3293</v>
      </c>
      <c r="G1528" s="225">
        <v>2212671</v>
      </c>
      <c r="H1528" s="47" t="s">
        <v>3294</v>
      </c>
      <c r="I1528" s="47" t="s">
        <v>3294</v>
      </c>
      <c r="J1528" s="47" t="s">
        <v>3295</v>
      </c>
      <c r="K1528" s="47" t="s">
        <v>1499</v>
      </c>
      <c r="L1528" s="47" t="s">
        <v>6096</v>
      </c>
      <c r="M1528" s="47" t="s">
        <v>6082</v>
      </c>
      <c r="N1528" s="47" t="s">
        <v>6082</v>
      </c>
      <c r="O1528" s="47" t="s">
        <v>6083</v>
      </c>
      <c r="P1528" s="53"/>
      <c r="Q1528" s="53"/>
      <c r="R1528" s="53"/>
      <c r="S1528" s="53"/>
      <c r="T1528" s="48">
        <v>187.3</v>
      </c>
      <c r="U1528" s="98">
        <v>970.00000000000011</v>
      </c>
      <c r="V1528" s="98">
        <v>91.97</v>
      </c>
      <c r="W1528" s="98">
        <v>552.7614881546142</v>
      </c>
      <c r="X1528" s="98">
        <v>970.00000000000011</v>
      </c>
      <c r="Y1528" s="233">
        <v>7</v>
      </c>
      <c r="Z1528" s="48">
        <v>2.91</v>
      </c>
      <c r="AA1528" s="48">
        <v>3.21</v>
      </c>
      <c r="AB1528" s="48">
        <v>2.29</v>
      </c>
      <c r="AC1528" s="48">
        <v>0.748</v>
      </c>
      <c r="AD1528" s="48">
        <v>2.61</v>
      </c>
      <c r="AE1528" s="48">
        <v>3.21</v>
      </c>
      <c r="AF1528" s="48">
        <f t="shared" si="373"/>
        <v>3.21</v>
      </c>
      <c r="AG1528" s="49">
        <v>2.2599999999999998</v>
      </c>
      <c r="AH1528" s="98">
        <v>6.7800000000000003E-6</v>
      </c>
      <c r="AI1528" s="98">
        <v>4.0999999999999997E-6</v>
      </c>
      <c r="AJ1528" s="483">
        <f t="shared" si="370"/>
        <v>-3.5573366324455882</v>
      </c>
      <c r="AK1528" s="483">
        <f t="shared" si="372"/>
        <v>-3.7757824695929165</v>
      </c>
      <c r="AL1528" s="483">
        <f t="shared" si="371"/>
        <v>-3.7757824695929165</v>
      </c>
      <c r="AM1528" s="483">
        <v>-8.2653600000000012</v>
      </c>
      <c r="AN1528" s="226">
        <v>-4.1399999999999997</v>
      </c>
      <c r="AO1528" s="484"/>
      <c r="AP1528" s="484">
        <v>-1.22</v>
      </c>
      <c r="AQ1528" s="226" t="s">
        <v>6311</v>
      </c>
      <c r="AR1528" s="226" t="s">
        <v>6311</v>
      </c>
      <c r="AS1528" s="224" t="s">
        <v>6</v>
      </c>
      <c r="AT1528" s="50" t="s">
        <v>266</v>
      </c>
      <c r="AU1528" s="48">
        <v>8</v>
      </c>
      <c r="AV1528" s="48">
        <v>144</v>
      </c>
      <c r="AW1528" s="48">
        <v>120</v>
      </c>
      <c r="AX1528" s="48">
        <v>26</v>
      </c>
      <c r="AY1528" s="48" t="s">
        <v>267</v>
      </c>
      <c r="AZ1528" s="48" t="s">
        <v>2253</v>
      </c>
      <c r="BA1528" s="48">
        <v>2</v>
      </c>
      <c r="BB1528" s="47" t="s">
        <v>2254</v>
      </c>
      <c r="BC1528" s="47" t="s">
        <v>270</v>
      </c>
      <c r="BD1528" s="47" t="s">
        <v>8374</v>
      </c>
      <c r="BE1528" s="48" t="s">
        <v>1712</v>
      </c>
      <c r="BF1528" s="48" t="s">
        <v>272</v>
      </c>
      <c r="BG1528" s="48" t="s">
        <v>272</v>
      </c>
      <c r="BH1528" s="48" t="s">
        <v>2255</v>
      </c>
      <c r="BI1528" s="98">
        <v>1.873E-4</v>
      </c>
      <c r="BJ1528" s="98">
        <v>14.984000000000002</v>
      </c>
      <c r="BK1528" s="48"/>
      <c r="BL1528" s="487">
        <v>23.435098183419459</v>
      </c>
      <c r="BM1528" s="48" t="s">
        <v>891</v>
      </c>
      <c r="BN1528" s="233"/>
      <c r="BO1528" s="233"/>
      <c r="BP1528" s="233"/>
      <c r="BQ1528" s="233"/>
      <c r="BR1528" s="233"/>
      <c r="BS1528" s="48"/>
      <c r="BT1528" s="233"/>
      <c r="BU1528" s="228"/>
      <c r="BV1528" s="233"/>
      <c r="BW1528" s="233"/>
      <c r="BX1528" s="233"/>
      <c r="BY1528" s="233"/>
      <c r="BZ1528" s="233"/>
      <c r="CA1528" s="233"/>
      <c r="CB1528" s="233"/>
      <c r="CC1528" s="48"/>
      <c r="CD1528" s="48"/>
      <c r="CE1528" s="48"/>
      <c r="CF1528" s="48"/>
      <c r="CG1528" s="233"/>
      <c r="CH1528" s="48"/>
      <c r="CI1528" s="98"/>
      <c r="CJ1528" s="98"/>
      <c r="CK1528" s="49">
        <f t="shared" si="368"/>
        <v>1.5640081542591735</v>
      </c>
      <c r="CL1528" s="229"/>
      <c r="CM1528" s="229"/>
      <c r="CN1528" s="229"/>
      <c r="CO1528" s="47" t="s">
        <v>892</v>
      </c>
      <c r="CP1528" s="500" t="s">
        <v>893</v>
      </c>
      <c r="CQ1528" s="224">
        <v>0.83620406722687912</v>
      </c>
      <c r="CR1528" s="224">
        <f t="shared" si="374"/>
        <v>0.14581289505076214</v>
      </c>
      <c r="CS1528" s="230" t="s">
        <v>539</v>
      </c>
      <c r="CT1528" s="230"/>
      <c r="CU1528" s="230"/>
      <c r="CV1528" s="335">
        <f t="shared" si="369"/>
        <v>64.735718099305927</v>
      </c>
      <c r="CW1528" s="230">
        <f t="shared" si="375"/>
        <v>1</v>
      </c>
      <c r="CX1528" s="336" t="s">
        <v>539</v>
      </c>
      <c r="CY1528" s="230" t="s">
        <v>5921</v>
      </c>
    </row>
    <row r="1529" spans="1:103" ht="11.25" customHeight="1" x14ac:dyDescent="0.2">
      <c r="A1529" s="72">
        <v>1231</v>
      </c>
      <c r="B1529" s="224">
        <v>335</v>
      </c>
      <c r="C1529" s="46" t="s">
        <v>7355</v>
      </c>
      <c r="D1529" s="46" t="s">
        <v>8633</v>
      </c>
      <c r="E1529" s="114"/>
      <c r="F1529" s="114" t="s">
        <v>3862</v>
      </c>
      <c r="G1529" s="225">
        <v>2593159</v>
      </c>
      <c r="H1529" s="47" t="s">
        <v>3863</v>
      </c>
      <c r="I1529" s="47" t="s">
        <v>8085</v>
      </c>
      <c r="J1529" s="47" t="s">
        <v>3864</v>
      </c>
      <c r="K1529" s="47" t="s">
        <v>2938</v>
      </c>
      <c r="L1529" s="47" t="s">
        <v>6039</v>
      </c>
      <c r="M1529" s="47" t="s">
        <v>6082</v>
      </c>
      <c r="N1529" s="47" t="s">
        <v>6082</v>
      </c>
      <c r="O1529" s="47" t="s">
        <v>6083</v>
      </c>
      <c r="P1529" s="53"/>
      <c r="Q1529" s="53"/>
      <c r="R1529" s="53"/>
      <c r="S1529" s="53"/>
      <c r="T1529" s="48">
        <v>247.53</v>
      </c>
      <c r="U1529" s="98">
        <v>117</v>
      </c>
      <c r="V1529" s="98">
        <v>32.33</v>
      </c>
      <c r="W1529" s="98">
        <v>201.19993766609937</v>
      </c>
      <c r="X1529" s="98">
        <v>117</v>
      </c>
      <c r="Y1529" s="233">
        <v>7</v>
      </c>
      <c r="Z1529" s="48">
        <v>3.6</v>
      </c>
      <c r="AA1529" s="48">
        <v>3.37</v>
      </c>
      <c r="AB1529" s="48">
        <v>2.77</v>
      </c>
      <c r="AC1529" s="48">
        <v>0.79220000000000002</v>
      </c>
      <c r="AD1529" s="48">
        <v>2.9</v>
      </c>
      <c r="AE1529" s="48">
        <v>3.27</v>
      </c>
      <c r="AF1529" s="48">
        <f t="shared" si="373"/>
        <v>3.37</v>
      </c>
      <c r="AG1529" s="49">
        <v>2.94</v>
      </c>
      <c r="AH1529" s="98">
        <v>6.7099999999999999E-8</v>
      </c>
      <c r="AI1529" s="98">
        <v>2.7799999999999997E-7</v>
      </c>
      <c r="AJ1529" s="483">
        <f t="shared" si="370"/>
        <v>-5.5618438061436599</v>
      </c>
      <c r="AK1529" s="483">
        <f t="shared" si="372"/>
        <v>-4.9445215303945753</v>
      </c>
      <c r="AL1529" s="483">
        <f t="shared" si="371"/>
        <v>-4.9445215303945753</v>
      </c>
      <c r="AM1529" s="483">
        <v>-6.8924500000000002</v>
      </c>
      <c r="AN1529" s="226">
        <v>-7.14</v>
      </c>
      <c r="AO1529" s="484"/>
      <c r="AP1529" s="484">
        <v>-3.46</v>
      </c>
      <c r="AQ1529" s="226" t="s">
        <v>6311</v>
      </c>
      <c r="AR1529" s="226" t="s">
        <v>6311</v>
      </c>
      <c r="AS1529" s="224" t="s">
        <v>6</v>
      </c>
      <c r="AT1529" s="50" t="s">
        <v>266</v>
      </c>
      <c r="AU1529" s="48">
        <v>8</v>
      </c>
      <c r="AV1529" s="48">
        <v>144</v>
      </c>
      <c r="AW1529" s="48">
        <v>120</v>
      </c>
      <c r="AX1529" s="48">
        <v>26</v>
      </c>
      <c r="AY1529" s="48" t="s">
        <v>267</v>
      </c>
      <c r="AZ1529" s="48" t="s">
        <v>2253</v>
      </c>
      <c r="BA1529" s="48">
        <v>2</v>
      </c>
      <c r="BB1529" s="47" t="s">
        <v>2254</v>
      </c>
      <c r="BC1529" s="47" t="s">
        <v>270</v>
      </c>
      <c r="BD1529" s="47" t="s">
        <v>8374</v>
      </c>
      <c r="BE1529" s="48" t="s">
        <v>1712</v>
      </c>
      <c r="BF1529" s="48" t="s">
        <v>272</v>
      </c>
      <c r="BG1529" s="48" t="s">
        <v>272</v>
      </c>
      <c r="BH1529" s="48" t="s">
        <v>2255</v>
      </c>
      <c r="BI1529" s="98">
        <v>2.4752999999999998E-4</v>
      </c>
      <c r="BJ1529" s="98">
        <v>19.802400000000002</v>
      </c>
      <c r="BK1529" s="48"/>
      <c r="BL1529" s="487">
        <v>7.4347752039564874</v>
      </c>
      <c r="BM1529" s="48" t="s">
        <v>891</v>
      </c>
      <c r="BN1529" s="233"/>
      <c r="BO1529" s="233"/>
      <c r="BP1529" s="233"/>
      <c r="BQ1529" s="233"/>
      <c r="BR1529" s="233"/>
      <c r="BS1529" s="48"/>
      <c r="BT1529" s="233"/>
      <c r="BU1529" s="228"/>
      <c r="BV1529" s="233"/>
      <c r="BW1529" s="233"/>
      <c r="BX1529" s="233"/>
      <c r="BY1529" s="233"/>
      <c r="BZ1529" s="233"/>
      <c r="CA1529" s="233"/>
      <c r="CB1529" s="233"/>
      <c r="CC1529" s="48"/>
      <c r="CD1529" s="48"/>
      <c r="CE1529" s="48"/>
      <c r="CF1529" s="48"/>
      <c r="CG1529" s="233"/>
      <c r="CH1529" s="48"/>
      <c r="CI1529" s="98"/>
      <c r="CJ1529" s="98"/>
      <c r="CK1529" s="49">
        <f t="shared" si="368"/>
        <v>0.37544818829821064</v>
      </c>
      <c r="CL1529" s="229"/>
      <c r="CM1529" s="229"/>
      <c r="CN1529" s="229"/>
      <c r="CO1529" s="47" t="s">
        <v>892</v>
      </c>
      <c r="CP1529" s="500" t="s">
        <v>893</v>
      </c>
      <c r="CQ1529" s="224">
        <v>0.13425388387367512</v>
      </c>
      <c r="CR1529" s="224">
        <f t="shared" si="374"/>
        <v>0.73408460474934323</v>
      </c>
      <c r="CS1529" s="230" t="s">
        <v>539</v>
      </c>
      <c r="CT1529" s="230"/>
      <c r="CU1529" s="230"/>
      <c r="CV1529" s="335">
        <f t="shared" si="369"/>
        <v>5.9083747424554591</v>
      </c>
      <c r="CW1529" s="230">
        <f t="shared" si="375"/>
        <v>1</v>
      </c>
      <c r="CX1529" s="336" t="s">
        <v>539</v>
      </c>
      <c r="CY1529" s="230" t="s">
        <v>5921</v>
      </c>
    </row>
    <row r="1530" spans="1:103" ht="11.25" customHeight="1" x14ac:dyDescent="0.2">
      <c r="A1530" s="72">
        <v>1235</v>
      </c>
      <c r="B1530" s="224">
        <v>246</v>
      </c>
      <c r="C1530" s="46" t="s">
        <v>7358</v>
      </c>
      <c r="D1530" s="46" t="s">
        <v>8635</v>
      </c>
      <c r="E1530" s="114"/>
      <c r="F1530" s="114" t="s">
        <v>2988</v>
      </c>
      <c r="G1530" s="225">
        <v>2675776</v>
      </c>
      <c r="H1530" s="47" t="s">
        <v>2989</v>
      </c>
      <c r="I1530" s="47" t="s">
        <v>8086</v>
      </c>
      <c r="J1530" s="47" t="s">
        <v>2990</v>
      </c>
      <c r="K1530" s="47" t="s">
        <v>426</v>
      </c>
      <c r="L1530" s="47" t="s">
        <v>6028</v>
      </c>
      <c r="M1530" s="47" t="s">
        <v>6082</v>
      </c>
      <c r="N1530" s="47" t="s">
        <v>6082</v>
      </c>
      <c r="O1530" s="47" t="s">
        <v>6083</v>
      </c>
      <c r="P1530" s="53"/>
      <c r="Q1530" s="53"/>
      <c r="R1530" s="53"/>
      <c r="S1530" s="53"/>
      <c r="T1530" s="48">
        <v>207.05</v>
      </c>
      <c r="U1530" s="98">
        <v>8</v>
      </c>
      <c r="V1530" s="98">
        <v>46.1</v>
      </c>
      <c r="W1530" s="98">
        <v>113.78243793222119</v>
      </c>
      <c r="X1530" s="98">
        <v>8</v>
      </c>
      <c r="Y1530" s="233">
        <v>7</v>
      </c>
      <c r="Z1530" s="48">
        <v>3.44</v>
      </c>
      <c r="AA1530" s="48"/>
      <c r="AB1530" s="48">
        <v>3.46</v>
      </c>
      <c r="AC1530" s="48">
        <v>0.86470000000000002</v>
      </c>
      <c r="AD1530" s="48">
        <v>3.49</v>
      </c>
      <c r="AE1530" s="48">
        <v>3.58</v>
      </c>
      <c r="AF1530" s="48">
        <f t="shared" si="373"/>
        <v>3.49</v>
      </c>
      <c r="AG1530" s="49">
        <v>3.1</v>
      </c>
      <c r="AH1530" s="98">
        <v>1.04E-5</v>
      </c>
      <c r="AI1530" s="98">
        <v>1.02E-4</v>
      </c>
      <c r="AJ1530" s="483">
        <f t="shared" si="370"/>
        <v>-3.3715329870138713</v>
      </c>
      <c r="AK1530" s="483">
        <f t="shared" si="372"/>
        <v>-2.3799661545507345</v>
      </c>
      <c r="AL1530" s="483">
        <f t="shared" si="371"/>
        <v>-2.3799661545507345</v>
      </c>
      <c r="AM1530" s="483">
        <v>-5.5212600000000007</v>
      </c>
      <c r="AN1530" s="226">
        <v>-2.02</v>
      </c>
      <c r="AO1530" s="484"/>
      <c r="AP1530" s="484"/>
      <c r="AQ1530" s="226" t="s">
        <v>6311</v>
      </c>
      <c r="AR1530" s="226" t="s">
        <v>6311</v>
      </c>
      <c r="AS1530" s="224" t="s">
        <v>6</v>
      </c>
      <c r="AT1530" s="50" t="s">
        <v>266</v>
      </c>
      <c r="AU1530" s="48">
        <v>8</v>
      </c>
      <c r="AV1530" s="48">
        <v>144</v>
      </c>
      <c r="AW1530" s="48">
        <v>120</v>
      </c>
      <c r="AX1530" s="48">
        <v>26</v>
      </c>
      <c r="AY1530" s="48" t="s">
        <v>267</v>
      </c>
      <c r="AZ1530" s="48" t="s">
        <v>2253</v>
      </c>
      <c r="BA1530" s="48">
        <v>2</v>
      </c>
      <c r="BB1530" s="47" t="s">
        <v>2254</v>
      </c>
      <c r="BC1530" s="47" t="s">
        <v>270</v>
      </c>
      <c r="BD1530" s="47" t="s">
        <v>8374</v>
      </c>
      <c r="BE1530" s="48" t="s">
        <v>1712</v>
      </c>
      <c r="BF1530" s="48" t="s">
        <v>272</v>
      </c>
      <c r="BG1530" s="48" t="s">
        <v>272</v>
      </c>
      <c r="BH1530" s="48" t="s">
        <v>2255</v>
      </c>
      <c r="BI1530" s="98">
        <v>2.0704999999999999E-4</v>
      </c>
      <c r="BJ1530" s="98">
        <v>16.564</v>
      </c>
      <c r="BK1530" s="48"/>
      <c r="BL1530" s="487">
        <v>8.6578734757198035</v>
      </c>
      <c r="BM1530" s="48" t="s">
        <v>891</v>
      </c>
      <c r="BN1530" s="233"/>
      <c r="BO1530" s="233"/>
      <c r="BP1530" s="233"/>
      <c r="BQ1530" s="233"/>
      <c r="BR1530" s="233"/>
      <c r="BS1530" s="234"/>
      <c r="BT1530" s="233"/>
      <c r="BU1530" s="235"/>
      <c r="BV1530" s="233"/>
      <c r="BW1530" s="233"/>
      <c r="BX1530" s="233"/>
      <c r="BY1530" s="233"/>
      <c r="BZ1530" s="233"/>
      <c r="CA1530" s="233"/>
      <c r="CB1530" s="233"/>
      <c r="CC1530" s="234"/>
      <c r="CD1530" s="238"/>
      <c r="CE1530" s="238"/>
      <c r="CF1530" s="238"/>
      <c r="CG1530" s="233"/>
      <c r="CH1530" s="48"/>
      <c r="CI1530" s="98"/>
      <c r="CJ1530" s="98"/>
      <c r="CK1530" s="49">
        <f t="shared" si="368"/>
        <v>0.52269219244867204</v>
      </c>
      <c r="CL1530" s="229"/>
      <c r="CM1530" s="229"/>
      <c r="CN1530" s="229"/>
      <c r="CO1530" s="47" t="s">
        <v>892</v>
      </c>
      <c r="CP1530" s="500" t="s">
        <v>893</v>
      </c>
      <c r="CQ1530" s="224">
        <v>0.71867496512865003</v>
      </c>
      <c r="CR1530" s="224">
        <f t="shared" si="374"/>
        <v>0.19112831668199867</v>
      </c>
      <c r="CS1530" s="230" t="s">
        <v>539</v>
      </c>
      <c r="CT1530" s="230"/>
      <c r="CU1530" s="230"/>
      <c r="CV1530" s="335">
        <f t="shared" si="369"/>
        <v>0.48297512678097076</v>
      </c>
      <c r="CW1530" s="230">
        <f t="shared" si="375"/>
        <v>0</v>
      </c>
      <c r="CX1530" s="336" t="s">
        <v>539</v>
      </c>
      <c r="CY1530" s="230" t="s">
        <v>5921</v>
      </c>
    </row>
    <row r="1531" spans="1:103" ht="11.25" customHeight="1" x14ac:dyDescent="0.2">
      <c r="A1531" s="72">
        <v>1248</v>
      </c>
      <c r="B1531" s="224">
        <v>227</v>
      </c>
      <c r="C1531" s="46" t="s">
        <v>7368</v>
      </c>
      <c r="D1531" s="46"/>
      <c r="E1531" s="114"/>
      <c r="F1531" s="114" t="s">
        <v>3724</v>
      </c>
      <c r="G1531" s="225">
        <v>3337711</v>
      </c>
      <c r="H1531" s="47" t="s">
        <v>3725</v>
      </c>
      <c r="I1531" s="47" t="s">
        <v>3725</v>
      </c>
      <c r="J1531" s="47" t="s">
        <v>3726</v>
      </c>
      <c r="K1531" s="47" t="s">
        <v>3727</v>
      </c>
      <c r="L1531" s="47"/>
      <c r="M1531" s="47"/>
      <c r="N1531" s="47"/>
      <c r="O1531" s="47"/>
      <c r="P1531" s="53"/>
      <c r="Q1531" s="53"/>
      <c r="R1531" s="53"/>
      <c r="S1531" s="53"/>
      <c r="T1531" s="48">
        <v>230.24</v>
      </c>
      <c r="U1531" s="98">
        <v>5000</v>
      </c>
      <c r="V1531" s="98">
        <v>2527</v>
      </c>
      <c r="W1531" s="98">
        <v>4094.3105136736153</v>
      </c>
      <c r="X1531" s="98">
        <v>5000</v>
      </c>
      <c r="Y1531" s="233">
        <v>3.34</v>
      </c>
      <c r="Z1531" s="48">
        <v>0.05</v>
      </c>
      <c r="AA1531" s="48">
        <v>-0.27</v>
      </c>
      <c r="AB1531" s="48">
        <v>-0.16</v>
      </c>
      <c r="AC1531" s="48">
        <v>0.78869999999999996</v>
      </c>
      <c r="AD1531" s="48">
        <v>-0.15</v>
      </c>
      <c r="AE1531" s="48">
        <v>-0.11</v>
      </c>
      <c r="AF1531" s="48">
        <f t="shared" si="373"/>
        <v>-0.27</v>
      </c>
      <c r="AG1531" s="49">
        <v>-0.11</v>
      </c>
      <c r="AH1531" s="98">
        <v>1.71E-12</v>
      </c>
      <c r="AI1531" s="98"/>
      <c r="AJ1531" s="483">
        <f t="shared" si="370"/>
        <v>-10.155570215920498</v>
      </c>
      <c r="AK1531" s="483"/>
      <c r="AL1531" s="483">
        <f t="shared" si="371"/>
        <v>-10.155570215920498</v>
      </c>
      <c r="AM1531" s="483">
        <v>-17.404730000000001</v>
      </c>
      <c r="AN1531" s="226">
        <v>-17.2</v>
      </c>
      <c r="AO1531" s="484">
        <v>4.63</v>
      </c>
      <c r="AP1531" s="484">
        <v>1.39</v>
      </c>
      <c r="AQ1531" s="226" t="s">
        <v>6311</v>
      </c>
      <c r="AR1531" s="226" t="s">
        <v>6311</v>
      </c>
      <c r="AS1531" s="224" t="s">
        <v>6</v>
      </c>
      <c r="AT1531" s="50" t="s">
        <v>266</v>
      </c>
      <c r="AU1531" s="48">
        <v>8</v>
      </c>
      <c r="AV1531" s="48">
        <v>144</v>
      </c>
      <c r="AW1531" s="48">
        <v>120</v>
      </c>
      <c r="AX1531" s="48">
        <v>26</v>
      </c>
      <c r="AY1531" s="48" t="s">
        <v>267</v>
      </c>
      <c r="AZ1531" s="48" t="s">
        <v>2253</v>
      </c>
      <c r="BA1531" s="48">
        <v>2</v>
      </c>
      <c r="BB1531" s="47" t="s">
        <v>2254</v>
      </c>
      <c r="BC1531" s="47" t="s">
        <v>270</v>
      </c>
      <c r="BD1531" s="47" t="s">
        <v>8374</v>
      </c>
      <c r="BE1531" s="48" t="s">
        <v>1712</v>
      </c>
      <c r="BF1531" s="48" t="s">
        <v>272</v>
      </c>
      <c r="BG1531" s="48" t="s">
        <v>272</v>
      </c>
      <c r="BH1531" s="48" t="s">
        <v>2255</v>
      </c>
      <c r="BI1531" s="98">
        <v>2.3023999999999999E-4</v>
      </c>
      <c r="BJ1531" s="98">
        <v>18.4192</v>
      </c>
      <c r="BK1531" s="48"/>
      <c r="BL1531" s="487">
        <v>10667.822393471906</v>
      </c>
      <c r="BM1531" s="48" t="s">
        <v>891</v>
      </c>
      <c r="BN1531" s="233"/>
      <c r="BO1531" s="233"/>
      <c r="BP1531" s="233"/>
      <c r="BQ1531" s="233"/>
      <c r="BR1531" s="233"/>
      <c r="BS1531" s="48"/>
      <c r="BT1531" s="233"/>
      <c r="BU1531" s="228"/>
      <c r="BV1531" s="233"/>
      <c r="BW1531" s="233"/>
      <c r="BX1531" s="233"/>
      <c r="BY1531" s="233"/>
      <c r="BZ1531" s="233"/>
      <c r="CA1531" s="233"/>
      <c r="CB1531" s="233"/>
      <c r="CC1531" s="48"/>
      <c r="CD1531" s="48"/>
      <c r="CE1531" s="48"/>
      <c r="CF1531" s="48"/>
      <c r="CG1531" s="233"/>
      <c r="CH1531" s="48"/>
      <c r="CI1531" s="98"/>
      <c r="CJ1531" s="98"/>
      <c r="CK1531" s="49">
        <f t="shared" si="368"/>
        <v>579.16860631688166</v>
      </c>
      <c r="CL1531" s="229"/>
      <c r="CM1531" s="229"/>
      <c r="CN1531" s="229"/>
      <c r="CO1531" s="47" t="s">
        <v>892</v>
      </c>
      <c r="CP1531" s="500" t="s">
        <v>893</v>
      </c>
      <c r="CQ1531" s="224" t="s">
        <v>272</v>
      </c>
      <c r="CR1531" s="224"/>
      <c r="CS1531" s="230" t="s">
        <v>539</v>
      </c>
      <c r="CT1531" s="230"/>
      <c r="CU1531" s="230"/>
      <c r="CV1531" s="335">
        <f t="shared" si="369"/>
        <v>271.455872133426</v>
      </c>
      <c r="CW1531" s="230">
        <f t="shared" si="375"/>
        <v>1</v>
      </c>
      <c r="CX1531" s="336" t="s">
        <v>539</v>
      </c>
      <c r="CY1531" s="230" t="s">
        <v>5921</v>
      </c>
    </row>
    <row r="1532" spans="1:103" ht="11.25" customHeight="1" x14ac:dyDescent="0.2">
      <c r="A1532" s="72">
        <v>1259</v>
      </c>
      <c r="B1532" s="224">
        <v>392</v>
      </c>
      <c r="C1532" s="46" t="s">
        <v>7378</v>
      </c>
      <c r="D1532" s="46"/>
      <c r="E1532" s="114"/>
      <c r="F1532" s="114" t="s">
        <v>3941</v>
      </c>
      <c r="G1532" s="225">
        <v>4376185</v>
      </c>
      <c r="H1532" s="47" t="s">
        <v>3942</v>
      </c>
      <c r="I1532" s="47" t="s">
        <v>3942</v>
      </c>
      <c r="J1532" s="47" t="s">
        <v>3943</v>
      </c>
      <c r="K1532" s="47" t="s">
        <v>357</v>
      </c>
      <c r="L1532" s="47"/>
      <c r="M1532" s="47"/>
      <c r="N1532" s="47"/>
      <c r="O1532" s="47"/>
      <c r="P1532" s="53"/>
      <c r="Q1532" s="53"/>
      <c r="R1532" s="53"/>
      <c r="S1532" s="53"/>
      <c r="T1532" s="48">
        <v>180.16</v>
      </c>
      <c r="U1532" s="98"/>
      <c r="V1532" s="98">
        <v>5958</v>
      </c>
      <c r="W1532" s="98">
        <v>5697.1594325593505</v>
      </c>
      <c r="X1532" s="98">
        <v>5697.1594325593505</v>
      </c>
      <c r="Y1532" s="233">
        <v>2.44</v>
      </c>
      <c r="Z1532" s="48">
        <v>1.37</v>
      </c>
      <c r="AA1532" s="48">
        <v>1.1299999999999999</v>
      </c>
      <c r="AB1532" s="48">
        <v>1.62</v>
      </c>
      <c r="AC1532" s="48">
        <v>0.84399999999999997</v>
      </c>
      <c r="AD1532" s="48">
        <v>1.49</v>
      </c>
      <c r="AE1532" s="48">
        <v>1.1299999999999999</v>
      </c>
      <c r="AF1532" s="48">
        <f t="shared" si="373"/>
        <v>1.1299999999999999</v>
      </c>
      <c r="AG1532" s="49">
        <v>1.35</v>
      </c>
      <c r="AH1532" s="98">
        <v>6.9899999999999996E-10</v>
      </c>
      <c r="AI1532" s="98"/>
      <c r="AJ1532" s="483">
        <f t="shared" si="370"/>
        <v>-7.54408915056697</v>
      </c>
      <c r="AK1532" s="483"/>
      <c r="AL1532" s="483">
        <f t="shared" si="371"/>
        <v>-7.54408915056697</v>
      </c>
      <c r="AM1532" s="483">
        <v>-10.548029999999999</v>
      </c>
      <c r="AN1532" s="226">
        <v>-8.02</v>
      </c>
      <c r="AO1532" s="484">
        <v>3.32</v>
      </c>
      <c r="AP1532" s="484"/>
      <c r="AQ1532" s="226" t="s">
        <v>6311</v>
      </c>
      <c r="AR1532" s="226" t="s">
        <v>6312</v>
      </c>
      <c r="AS1532" s="224" t="s">
        <v>6</v>
      </c>
      <c r="AT1532" s="50" t="s">
        <v>266</v>
      </c>
      <c r="AU1532" s="48">
        <v>8</v>
      </c>
      <c r="AV1532" s="48">
        <v>144</v>
      </c>
      <c r="AW1532" s="48">
        <v>120</v>
      </c>
      <c r="AX1532" s="48">
        <v>26</v>
      </c>
      <c r="AY1532" s="48" t="s">
        <v>267</v>
      </c>
      <c r="AZ1532" s="48" t="s">
        <v>2253</v>
      </c>
      <c r="BA1532" s="48">
        <v>2</v>
      </c>
      <c r="BB1532" s="47" t="s">
        <v>2254</v>
      </c>
      <c r="BC1532" s="47" t="s">
        <v>270</v>
      </c>
      <c r="BD1532" s="47" t="s">
        <v>8374</v>
      </c>
      <c r="BE1532" s="48" t="s">
        <v>1712</v>
      </c>
      <c r="BF1532" s="48" t="s">
        <v>272</v>
      </c>
      <c r="BG1532" s="48" t="s">
        <v>272</v>
      </c>
      <c r="BH1532" s="48" t="s">
        <v>2255</v>
      </c>
      <c r="BI1532" s="98">
        <v>1.8015999999999998E-4</v>
      </c>
      <c r="BJ1532" s="98">
        <v>14.412800000000001</v>
      </c>
      <c r="BK1532" s="48"/>
      <c r="BL1532" s="487">
        <v>544.579605733417</v>
      </c>
      <c r="BM1532" s="48" t="s">
        <v>891</v>
      </c>
      <c r="BN1532" s="233"/>
      <c r="BO1532" s="233"/>
      <c r="BP1532" s="233"/>
      <c r="BQ1532" s="233"/>
      <c r="BR1532" s="233"/>
      <c r="BS1532" s="48"/>
      <c r="BT1532" s="233"/>
      <c r="BU1532" s="228"/>
      <c r="BV1532" s="233"/>
      <c r="BW1532" s="233"/>
      <c r="BX1532" s="233"/>
      <c r="BY1532" s="233"/>
      <c r="BZ1532" s="233"/>
      <c r="CA1532" s="233"/>
      <c r="CB1532" s="233"/>
      <c r="CC1532" s="48"/>
      <c r="CD1532" s="48"/>
      <c r="CE1532" s="48"/>
      <c r="CF1532" s="48"/>
      <c r="CG1532" s="233"/>
      <c r="CH1532" s="48"/>
      <c r="CI1532" s="98"/>
      <c r="CJ1532" s="98"/>
      <c r="CK1532" s="49">
        <f t="shared" si="368"/>
        <v>37.784442005260388</v>
      </c>
      <c r="CL1532" s="229"/>
      <c r="CM1532" s="229"/>
      <c r="CN1532" s="229"/>
      <c r="CO1532" s="47" t="s">
        <v>892</v>
      </c>
      <c r="CP1532" s="500" t="s">
        <v>893</v>
      </c>
      <c r="CQ1532" s="224" t="s">
        <v>272</v>
      </c>
      <c r="CR1532" s="224"/>
      <c r="CS1532" s="230" t="s">
        <v>539</v>
      </c>
      <c r="CT1532" s="230"/>
      <c r="CU1532" s="230"/>
      <c r="CV1532" s="335">
        <f t="shared" si="369"/>
        <v>395.28470752104727</v>
      </c>
      <c r="CW1532" s="230">
        <f t="shared" si="375"/>
        <v>1</v>
      </c>
      <c r="CX1532" s="336" t="s">
        <v>539</v>
      </c>
      <c r="CY1532" s="230" t="s">
        <v>5921</v>
      </c>
    </row>
    <row r="1533" spans="1:103" ht="11.25" customHeight="1" x14ac:dyDescent="0.2">
      <c r="A1533" s="72">
        <v>1266</v>
      </c>
      <c r="B1533" s="224">
        <v>636</v>
      </c>
      <c r="C1533" s="46" t="s">
        <v>7385</v>
      </c>
      <c r="D1533" s="46" t="s">
        <v>8636</v>
      </c>
      <c r="E1533" s="114"/>
      <c r="F1533" s="114" t="s">
        <v>4035</v>
      </c>
      <c r="G1533" s="225">
        <v>5902512</v>
      </c>
      <c r="H1533" s="47" t="s">
        <v>4036</v>
      </c>
      <c r="I1533" s="47" t="s">
        <v>8093</v>
      </c>
      <c r="J1533" s="47" t="s">
        <v>4037</v>
      </c>
      <c r="K1533" s="47" t="s">
        <v>3745</v>
      </c>
      <c r="L1533" s="47" t="s">
        <v>5248</v>
      </c>
      <c r="M1533" s="47" t="s">
        <v>6082</v>
      </c>
      <c r="N1533" s="47" t="s">
        <v>6082</v>
      </c>
      <c r="O1533" s="47" t="s">
        <v>6083</v>
      </c>
      <c r="P1533" s="53"/>
      <c r="Q1533" s="53"/>
      <c r="R1533" s="53"/>
      <c r="S1533" s="53"/>
      <c r="T1533" s="48">
        <v>216.66</v>
      </c>
      <c r="U1533" s="98">
        <v>710</v>
      </c>
      <c r="V1533" s="98">
        <v>871.7</v>
      </c>
      <c r="W1533" s="98">
        <v>211.72821629228585</v>
      </c>
      <c r="X1533" s="98">
        <v>710</v>
      </c>
      <c r="Y1533" s="233">
        <v>5.9</v>
      </c>
      <c r="Z1533" s="48">
        <v>1.75</v>
      </c>
      <c r="AA1533" s="48">
        <v>1.89</v>
      </c>
      <c r="AB1533" s="48">
        <v>1.81</v>
      </c>
      <c r="AC1533" s="48">
        <v>0.77769999999999995</v>
      </c>
      <c r="AD1533" s="48">
        <v>1.79</v>
      </c>
      <c r="AE1533" s="48">
        <v>1.76</v>
      </c>
      <c r="AF1533" s="48">
        <f t="shared" si="373"/>
        <v>1.89</v>
      </c>
      <c r="AG1533" s="49">
        <v>2.19</v>
      </c>
      <c r="AH1533" s="98">
        <v>5.0200000000000002E-10</v>
      </c>
      <c r="AI1533" s="98">
        <v>1.2E-10</v>
      </c>
      <c r="AJ1533" s="483">
        <f t="shared" si="370"/>
        <v>-7.6878626091676328</v>
      </c>
      <c r="AK1533" s="483">
        <f>LOG10(AI1533*1000/(0.08206*298.15))</f>
        <v>-8.3093850802650273</v>
      </c>
      <c r="AL1533" s="483">
        <f t="shared" si="371"/>
        <v>-8.3093850802650273</v>
      </c>
      <c r="AM1533" s="483">
        <v>-10.625200000000001</v>
      </c>
      <c r="AN1533" s="226">
        <v>-7.57</v>
      </c>
      <c r="AO1533" s="484">
        <v>8.7899999999999991</v>
      </c>
      <c r="AP1533" s="484">
        <v>-3.73</v>
      </c>
      <c r="AQ1533" s="226" t="s">
        <v>6311</v>
      </c>
      <c r="AR1533" s="226" t="s">
        <v>6311</v>
      </c>
      <c r="AS1533" s="224" t="s">
        <v>6</v>
      </c>
      <c r="AT1533" s="50" t="s">
        <v>266</v>
      </c>
      <c r="AU1533" s="48">
        <v>8</v>
      </c>
      <c r="AV1533" s="48">
        <v>144</v>
      </c>
      <c r="AW1533" s="48">
        <v>120</v>
      </c>
      <c r="AX1533" s="48">
        <v>26</v>
      </c>
      <c r="AY1533" s="48" t="s">
        <v>267</v>
      </c>
      <c r="AZ1533" s="48" t="s">
        <v>2253</v>
      </c>
      <c r="BA1533" s="48">
        <v>2</v>
      </c>
      <c r="BB1533" s="47" t="s">
        <v>2254</v>
      </c>
      <c r="BC1533" s="47" t="s">
        <v>270</v>
      </c>
      <c r="BD1533" s="47" t="s">
        <v>8374</v>
      </c>
      <c r="BE1533" s="48" t="s">
        <v>1712</v>
      </c>
      <c r="BF1533" s="48" t="s">
        <v>272</v>
      </c>
      <c r="BG1533" s="48" t="s">
        <v>272</v>
      </c>
      <c r="BH1533" s="48" t="s">
        <v>2255</v>
      </c>
      <c r="BI1533" s="98">
        <v>2.1665999999999998E-4</v>
      </c>
      <c r="BJ1533" s="98">
        <v>17.332799999999999</v>
      </c>
      <c r="BK1533" s="48"/>
      <c r="BL1533" s="487">
        <v>298.47209834425252</v>
      </c>
      <c r="BM1533" s="48" t="s">
        <v>891</v>
      </c>
      <c r="BN1533" s="233"/>
      <c r="BO1533" s="233"/>
      <c r="BP1533" s="233"/>
      <c r="BQ1533" s="233"/>
      <c r="BR1533" s="233"/>
      <c r="BS1533" s="48"/>
      <c r="BT1533" s="233"/>
      <c r="BU1533" s="228"/>
      <c r="BV1533" s="233"/>
      <c r="BW1533" s="233"/>
      <c r="BX1533" s="233"/>
      <c r="BY1533" s="233"/>
      <c r="BZ1533" s="233"/>
      <c r="CA1533" s="233"/>
      <c r="CB1533" s="233"/>
      <c r="CC1533" s="48"/>
      <c r="CD1533" s="48"/>
      <c r="CE1533" s="48"/>
      <c r="CF1533" s="48"/>
      <c r="CG1533" s="233"/>
      <c r="CH1533" s="48"/>
      <c r="CI1533" s="98"/>
      <c r="CJ1533" s="98"/>
      <c r="CK1533" s="49">
        <f t="shared" si="368"/>
        <v>17.220073983675604</v>
      </c>
      <c r="CL1533" s="229"/>
      <c r="CM1533" s="229"/>
      <c r="CN1533" s="229"/>
      <c r="CO1533" s="47" t="s">
        <v>892</v>
      </c>
      <c r="CP1533" s="500" t="s">
        <v>893</v>
      </c>
      <c r="CQ1533" s="224">
        <v>1.8930796245945305</v>
      </c>
      <c r="CR1533" s="224">
        <f>10^(CJ1533-CQ1533)</f>
        <v>1.2791467608146001E-2</v>
      </c>
      <c r="CS1533" s="230" t="s">
        <v>539</v>
      </c>
      <c r="CT1533" s="230"/>
      <c r="CU1533" s="230"/>
      <c r="CV1533" s="335">
        <f t="shared" si="369"/>
        <v>40.962798855349398</v>
      </c>
      <c r="CW1533" s="230">
        <f t="shared" si="375"/>
        <v>1</v>
      </c>
      <c r="CX1533" s="336" t="s">
        <v>539</v>
      </c>
      <c r="CY1533" s="230" t="s">
        <v>5921</v>
      </c>
    </row>
    <row r="1534" spans="1:103" ht="11.25" customHeight="1" x14ac:dyDescent="0.2">
      <c r="A1534" s="72">
        <v>1276</v>
      </c>
      <c r="B1534" s="224">
        <v>409</v>
      </c>
      <c r="C1534" s="46" t="s">
        <v>7393</v>
      </c>
      <c r="D1534" s="46" t="s">
        <v>8638</v>
      </c>
      <c r="E1534" s="114"/>
      <c r="F1534" s="114" t="s">
        <v>3297</v>
      </c>
      <c r="G1534" s="225">
        <v>6923224</v>
      </c>
      <c r="H1534" s="47" t="s">
        <v>3298</v>
      </c>
      <c r="I1534" s="47" t="s">
        <v>3298</v>
      </c>
      <c r="J1534" s="47" t="s">
        <v>3299</v>
      </c>
      <c r="K1534" s="47" t="s">
        <v>3300</v>
      </c>
      <c r="L1534" s="47" t="s">
        <v>617</v>
      </c>
      <c r="M1534" s="47" t="s">
        <v>946</v>
      </c>
      <c r="N1534" s="47" t="s">
        <v>6376</v>
      </c>
      <c r="O1534" s="47" t="s">
        <v>918</v>
      </c>
      <c r="P1534" s="53"/>
      <c r="Q1534" s="53"/>
      <c r="R1534" s="53"/>
      <c r="S1534" s="53"/>
      <c r="T1534" s="48">
        <v>223.16</v>
      </c>
      <c r="U1534" s="98">
        <v>1000000</v>
      </c>
      <c r="V1534" s="98">
        <v>49070</v>
      </c>
      <c r="W1534" s="98">
        <v>194364.23473459893</v>
      </c>
      <c r="X1534" s="98">
        <v>1000000</v>
      </c>
      <c r="Y1534" s="233">
        <v>6.54</v>
      </c>
      <c r="Z1534" s="48">
        <v>-0.31</v>
      </c>
      <c r="AA1534" s="48">
        <v>-0.2</v>
      </c>
      <c r="AB1534" s="48">
        <v>-0.35</v>
      </c>
      <c r="AC1534" s="48">
        <v>0.79049999999999998</v>
      </c>
      <c r="AD1534" s="48">
        <v>-0.38</v>
      </c>
      <c r="AE1534" s="48">
        <v>-0.45</v>
      </c>
      <c r="AF1534" s="48">
        <f t="shared" si="373"/>
        <v>-0.2</v>
      </c>
      <c r="AG1534" s="49">
        <v>-0.03</v>
      </c>
      <c r="AH1534" s="98">
        <v>5.45E-13</v>
      </c>
      <c r="AI1534" s="98">
        <v>6.4999999999999996E-13</v>
      </c>
      <c r="AJ1534" s="483">
        <f t="shared" si="370"/>
        <v>-10.65216982403601</v>
      </c>
      <c r="AK1534" s="483">
        <f>LOG10(AI1534*1000/(0.08206*298.15))</f>
        <v>-10.575652969669797</v>
      </c>
      <c r="AL1534" s="483">
        <f t="shared" si="371"/>
        <v>-10.575652969669797</v>
      </c>
      <c r="AM1534" s="483">
        <v>-15.405339999999999</v>
      </c>
      <c r="AN1534" s="226">
        <v>-7.18</v>
      </c>
      <c r="AO1534" s="484">
        <v>13.06</v>
      </c>
      <c r="AP1534" s="484">
        <v>-1.3</v>
      </c>
      <c r="AQ1534" s="226" t="s">
        <v>6314</v>
      </c>
      <c r="AR1534" s="226" t="s">
        <v>6314</v>
      </c>
      <c r="AS1534" s="224" t="s">
        <v>6</v>
      </c>
      <c r="AT1534" s="50" t="s">
        <v>266</v>
      </c>
      <c r="AU1534" s="48">
        <v>8</v>
      </c>
      <c r="AV1534" s="48">
        <v>144</v>
      </c>
      <c r="AW1534" s="48">
        <v>120</v>
      </c>
      <c r="AX1534" s="48">
        <v>26</v>
      </c>
      <c r="AY1534" s="48" t="s">
        <v>267</v>
      </c>
      <c r="AZ1534" s="48" t="s">
        <v>2253</v>
      </c>
      <c r="BA1534" s="48">
        <v>2</v>
      </c>
      <c r="BB1534" s="47" t="s">
        <v>2254</v>
      </c>
      <c r="BC1534" s="47" t="s">
        <v>270</v>
      </c>
      <c r="BD1534" s="47" t="s">
        <v>8374</v>
      </c>
      <c r="BE1534" s="48" t="s">
        <v>1712</v>
      </c>
      <c r="BF1534" s="48" t="s">
        <v>272</v>
      </c>
      <c r="BG1534" s="48" t="s">
        <v>272</v>
      </c>
      <c r="BH1534" s="48" t="s">
        <v>2255</v>
      </c>
      <c r="BI1534" s="98">
        <v>2.2316E-4</v>
      </c>
      <c r="BJ1534" s="98">
        <v>17.852799999999998</v>
      </c>
      <c r="BK1534" s="48"/>
      <c r="BL1534" s="487">
        <v>21768.442285280984</v>
      </c>
      <c r="BM1534" s="48" t="s">
        <v>891</v>
      </c>
      <c r="BN1534" s="233"/>
      <c r="BO1534" s="233"/>
      <c r="BP1534" s="233"/>
      <c r="BQ1534" s="233"/>
      <c r="BR1534" s="233"/>
      <c r="BS1534" s="48"/>
      <c r="BT1534" s="233"/>
      <c r="BU1534" s="228"/>
      <c r="BV1534" s="233"/>
      <c r="BW1534" s="233"/>
      <c r="BX1534" s="233"/>
      <c r="BY1534" s="233"/>
      <c r="BZ1534" s="233"/>
      <c r="CA1534" s="233"/>
      <c r="CB1534" s="233"/>
      <c r="CC1534" s="48"/>
      <c r="CD1534" s="48"/>
      <c r="CE1534" s="48"/>
      <c r="CF1534" s="48"/>
      <c r="CG1534" s="233"/>
      <c r="CH1534" s="48"/>
      <c r="CI1534" s="98"/>
      <c r="CJ1534" s="98"/>
      <c r="CK1534" s="49">
        <f t="shared" si="368"/>
        <v>1219.3293088636508</v>
      </c>
      <c r="CL1534" s="229"/>
      <c r="CM1534" s="229"/>
      <c r="CN1534" s="229"/>
      <c r="CO1534" s="47" t="s">
        <v>892</v>
      </c>
      <c r="CP1534" s="500" t="s">
        <v>893</v>
      </c>
      <c r="CQ1534" s="224">
        <v>0.98622918740737187</v>
      </c>
      <c r="CR1534" s="224">
        <f>10^(CJ1534-CQ1534)</f>
        <v>0.10322165370723679</v>
      </c>
      <c r="CS1534" s="230" t="s">
        <v>539</v>
      </c>
      <c r="CT1534" s="230"/>
      <c r="CU1534" s="230"/>
      <c r="CV1534" s="335">
        <f t="shared" si="369"/>
        <v>56013.622512995164</v>
      </c>
      <c r="CW1534" s="230">
        <f t="shared" si="375"/>
        <v>1</v>
      </c>
      <c r="CX1534" s="336" t="s">
        <v>539</v>
      </c>
      <c r="CY1534" s="230" t="s">
        <v>5921</v>
      </c>
    </row>
    <row r="1535" spans="1:103" ht="11.25" customHeight="1" x14ac:dyDescent="0.2">
      <c r="A1535" s="72">
        <v>1278</v>
      </c>
      <c r="B1535" s="224">
        <v>442</v>
      </c>
      <c r="C1535" s="46" t="s">
        <v>7394</v>
      </c>
      <c r="D1535" s="46" t="s">
        <v>8639</v>
      </c>
      <c r="E1535" s="114"/>
      <c r="F1535" s="114" t="s">
        <v>3991</v>
      </c>
      <c r="G1535" s="225">
        <v>7287196</v>
      </c>
      <c r="H1535" s="47" t="s">
        <v>3992</v>
      </c>
      <c r="I1535" s="47" t="s">
        <v>3992</v>
      </c>
      <c r="J1535" s="47" t="s">
        <v>3993</v>
      </c>
      <c r="K1535" s="47" t="s">
        <v>940</v>
      </c>
      <c r="L1535" s="47" t="s">
        <v>6051</v>
      </c>
      <c r="M1535" s="47" t="s">
        <v>6082</v>
      </c>
      <c r="N1535" s="47" t="s">
        <v>6082</v>
      </c>
      <c r="O1535" s="47" t="s">
        <v>6083</v>
      </c>
      <c r="P1535" s="53"/>
      <c r="Q1535" s="53"/>
      <c r="R1535" s="53"/>
      <c r="S1535" s="53"/>
      <c r="T1535" s="48">
        <v>241.36</v>
      </c>
      <c r="U1535" s="98">
        <v>33</v>
      </c>
      <c r="V1535" s="98">
        <v>26.55</v>
      </c>
      <c r="W1535" s="98">
        <v>69.608984359463648</v>
      </c>
      <c r="X1535" s="98">
        <v>33</v>
      </c>
      <c r="Y1535" s="233">
        <v>7.29</v>
      </c>
      <c r="Z1535" s="48">
        <v>3.73</v>
      </c>
      <c r="AA1535" s="48">
        <v>3.51</v>
      </c>
      <c r="AB1535" s="48">
        <v>3.38</v>
      </c>
      <c r="AC1535" s="48">
        <v>0.87580000000000002</v>
      </c>
      <c r="AD1535" s="48">
        <v>3.4</v>
      </c>
      <c r="AE1535" s="48">
        <v>3.44</v>
      </c>
      <c r="AF1535" s="48">
        <f t="shared" si="373"/>
        <v>3.51</v>
      </c>
      <c r="AG1535" s="49">
        <v>2.9</v>
      </c>
      <c r="AH1535" s="98">
        <v>9.0900000000000007E-9</v>
      </c>
      <c r="AI1535" s="98">
        <v>1.1900000000000001E-8</v>
      </c>
      <c r="AJ1535" s="483">
        <f t="shared" si="370"/>
        <v>-6.4300024430906841</v>
      </c>
      <c r="AK1535" s="483">
        <f>LOG10(AI1535*1000/(0.08206*298.15))</f>
        <v>-6.3130193649201214</v>
      </c>
      <c r="AL1535" s="483">
        <f t="shared" si="371"/>
        <v>-6.3130193649201214</v>
      </c>
      <c r="AM1535" s="483">
        <v>-11.675140000000001</v>
      </c>
      <c r="AN1535" s="226">
        <v>-9.02</v>
      </c>
      <c r="AO1535" s="484"/>
      <c r="AP1535" s="484">
        <v>3.76</v>
      </c>
      <c r="AQ1535" s="226" t="s">
        <v>6311</v>
      </c>
      <c r="AR1535" s="226" t="s">
        <v>6311</v>
      </c>
      <c r="AS1535" s="224" t="s">
        <v>6</v>
      </c>
      <c r="AT1535" s="50" t="s">
        <v>266</v>
      </c>
      <c r="AU1535" s="48">
        <v>8</v>
      </c>
      <c r="AV1535" s="48">
        <v>144</v>
      </c>
      <c r="AW1535" s="48">
        <v>120</v>
      </c>
      <c r="AX1535" s="48">
        <v>26</v>
      </c>
      <c r="AY1535" s="48" t="s">
        <v>267</v>
      </c>
      <c r="AZ1535" s="48" t="s">
        <v>2253</v>
      </c>
      <c r="BA1535" s="48">
        <v>2</v>
      </c>
      <c r="BB1535" s="47" t="s">
        <v>2254</v>
      </c>
      <c r="BC1535" s="47" t="s">
        <v>270</v>
      </c>
      <c r="BD1535" s="47" t="s">
        <v>8374</v>
      </c>
      <c r="BE1535" s="48" t="s">
        <v>1712</v>
      </c>
      <c r="BF1535" s="48" t="s">
        <v>272</v>
      </c>
      <c r="BG1535" s="48" t="s">
        <v>272</v>
      </c>
      <c r="BH1535" s="48" t="s">
        <v>2255</v>
      </c>
      <c r="BI1535" s="98">
        <v>2.4136000000000001E-4</v>
      </c>
      <c r="BJ1535" s="98">
        <v>19.308800000000002</v>
      </c>
      <c r="BK1535" s="48"/>
      <c r="BL1535" s="487">
        <v>5.5405425840245366</v>
      </c>
      <c r="BM1535" s="48" t="s">
        <v>891</v>
      </c>
      <c r="BN1535" s="233"/>
      <c r="BO1535" s="233"/>
      <c r="BP1535" s="233"/>
      <c r="BQ1535" s="233"/>
      <c r="BR1535" s="233"/>
      <c r="BS1535" s="48"/>
      <c r="BT1535" s="233"/>
      <c r="BU1535" s="228"/>
      <c r="BV1535" s="233"/>
      <c r="BW1535" s="233"/>
      <c r="BX1535" s="233"/>
      <c r="BY1535" s="233"/>
      <c r="BZ1535" s="233"/>
      <c r="CA1535" s="233"/>
      <c r="CB1535" s="233"/>
      <c r="CC1535" s="48"/>
      <c r="CD1535" s="48"/>
      <c r="CE1535" s="48"/>
      <c r="CF1535" s="48"/>
      <c r="CG1535" s="233"/>
      <c r="CH1535" s="48"/>
      <c r="CI1535" s="98"/>
      <c r="CJ1535" s="98"/>
      <c r="CK1535" s="49">
        <f t="shared" si="368"/>
        <v>0.28694391075698833</v>
      </c>
      <c r="CL1535" s="229"/>
      <c r="CM1535" s="229"/>
      <c r="CN1535" s="229"/>
      <c r="CO1535" s="47" t="s">
        <v>892</v>
      </c>
      <c r="CP1535" s="500" t="s">
        <v>893</v>
      </c>
      <c r="CQ1535" s="224">
        <v>0.69921293726247169</v>
      </c>
      <c r="CR1535" s="224">
        <f>10^(CJ1535-CQ1535)</f>
        <v>0.19988815653705452</v>
      </c>
      <c r="CS1535" s="230" t="s">
        <v>539</v>
      </c>
      <c r="CT1535" s="230"/>
      <c r="CU1535" s="230"/>
      <c r="CV1535" s="335">
        <f t="shared" si="369"/>
        <v>1.7090652966523034</v>
      </c>
      <c r="CW1535" s="230">
        <f t="shared" si="375"/>
        <v>1</v>
      </c>
      <c r="CX1535" s="336" t="s">
        <v>539</v>
      </c>
      <c r="CY1535" s="230" t="s">
        <v>5921</v>
      </c>
    </row>
    <row r="1536" spans="1:103" ht="11.25" customHeight="1" x14ac:dyDescent="0.2">
      <c r="A1536" s="72">
        <v>1284</v>
      </c>
      <c r="B1536" s="224">
        <v>400</v>
      </c>
      <c r="C1536" s="46" t="s">
        <v>7398</v>
      </c>
      <c r="D1536" s="46" t="s">
        <v>8642</v>
      </c>
      <c r="E1536" s="114"/>
      <c r="F1536" s="114" t="s">
        <v>3953</v>
      </c>
      <c r="G1536" s="225">
        <v>7786347</v>
      </c>
      <c r="H1536" s="47" t="s">
        <v>3954</v>
      </c>
      <c r="I1536" s="47" t="s">
        <v>3954</v>
      </c>
      <c r="J1536" s="47" t="s">
        <v>3955</v>
      </c>
      <c r="K1536" s="47" t="s">
        <v>637</v>
      </c>
      <c r="L1536" s="47" t="s">
        <v>617</v>
      </c>
      <c r="M1536" s="47" t="s">
        <v>946</v>
      </c>
      <c r="N1536" s="47" t="s">
        <v>6376</v>
      </c>
      <c r="O1536" s="47" t="s">
        <v>918</v>
      </c>
      <c r="P1536" s="53"/>
      <c r="Q1536" s="53"/>
      <c r="R1536" s="53"/>
      <c r="S1536" s="53"/>
      <c r="T1536" s="48">
        <v>224.15</v>
      </c>
      <c r="U1536" s="98">
        <v>600000</v>
      </c>
      <c r="V1536" s="98">
        <v>25330</v>
      </c>
      <c r="W1536" s="98">
        <v>251500.43653178515</v>
      </c>
      <c r="X1536" s="98">
        <v>600000</v>
      </c>
      <c r="Y1536" s="233">
        <v>7</v>
      </c>
      <c r="Z1536" s="48">
        <v>0.76</v>
      </c>
      <c r="AA1536" s="48">
        <v>0.13</v>
      </c>
      <c r="AB1536" s="48">
        <v>0.52</v>
      </c>
      <c r="AC1536" s="48">
        <v>0.71879999999999999</v>
      </c>
      <c r="AD1536" s="48">
        <v>0.43</v>
      </c>
      <c r="AE1536" s="48">
        <v>0.28000000000000003</v>
      </c>
      <c r="AF1536" s="48">
        <f t="shared" si="373"/>
        <v>0.13</v>
      </c>
      <c r="AG1536" s="49">
        <v>0.37</v>
      </c>
      <c r="AH1536" s="98">
        <v>3.8899999999999996E-9</v>
      </c>
      <c r="AI1536" s="98">
        <v>6.3899999999999994E-11</v>
      </c>
      <c r="AJ1536" s="483">
        <f t="shared" si="370"/>
        <v>-6.7986167249869442</v>
      </c>
      <c r="AK1536" s="483">
        <f>LOG10(AI1536*1000/(0.08206*298.15))</f>
        <v>-8.5830654681542509</v>
      </c>
      <c r="AL1536" s="483">
        <f t="shared" si="371"/>
        <v>-8.5830654681542509</v>
      </c>
      <c r="AM1536" s="483">
        <v>-11.53064</v>
      </c>
      <c r="AN1536" s="226">
        <v>-3.82</v>
      </c>
      <c r="AO1536" s="484"/>
      <c r="AP1536" s="484"/>
      <c r="AQ1536" s="226" t="s">
        <v>6314</v>
      </c>
      <c r="AR1536" s="226" t="s">
        <v>6312</v>
      </c>
      <c r="AS1536" s="224" t="s">
        <v>6</v>
      </c>
      <c r="AT1536" s="50" t="s">
        <v>266</v>
      </c>
      <c r="AU1536" s="48">
        <v>8</v>
      </c>
      <c r="AV1536" s="48">
        <v>144</v>
      </c>
      <c r="AW1536" s="48">
        <v>120</v>
      </c>
      <c r="AX1536" s="48">
        <v>26</v>
      </c>
      <c r="AY1536" s="48" t="s">
        <v>267</v>
      </c>
      <c r="AZ1536" s="48" t="s">
        <v>2253</v>
      </c>
      <c r="BA1536" s="48">
        <v>3</v>
      </c>
      <c r="BB1536" s="47" t="s">
        <v>2254</v>
      </c>
      <c r="BC1536" s="47" t="s">
        <v>270</v>
      </c>
      <c r="BD1536" s="47" t="s">
        <v>8374</v>
      </c>
      <c r="BE1536" s="48" t="s">
        <v>1712</v>
      </c>
      <c r="BF1536" s="48" t="s">
        <v>272</v>
      </c>
      <c r="BG1536" s="48" t="s">
        <v>272</v>
      </c>
      <c r="BH1536" s="48" t="s">
        <v>2255</v>
      </c>
      <c r="BI1536" s="98">
        <v>2.2415E-4</v>
      </c>
      <c r="BJ1536" s="98">
        <v>17.932000000000002</v>
      </c>
      <c r="BK1536" s="48"/>
      <c r="BL1536" s="487">
        <v>2392.1187941942062</v>
      </c>
      <c r="BM1536" s="48" t="s">
        <v>891</v>
      </c>
      <c r="BN1536" s="233"/>
      <c r="BO1536" s="233"/>
      <c r="BP1536" s="233"/>
      <c r="BQ1536" s="233"/>
      <c r="BR1536" s="233"/>
      <c r="BS1536" s="234"/>
      <c r="BT1536" s="233"/>
      <c r="BU1536" s="235"/>
      <c r="BV1536" s="233"/>
      <c r="BW1536" s="233"/>
      <c r="BX1536" s="233"/>
      <c r="BY1536" s="233"/>
      <c r="BZ1536" s="233"/>
      <c r="CA1536" s="233"/>
      <c r="CB1536" s="233"/>
      <c r="CC1536" s="234"/>
      <c r="CD1536" s="48"/>
      <c r="CE1536" s="48"/>
      <c r="CF1536" s="48"/>
      <c r="CG1536" s="233"/>
      <c r="CH1536" s="48"/>
      <c r="CI1536" s="98"/>
      <c r="CJ1536" s="98"/>
      <c r="CK1536" s="49">
        <f t="shared" si="368"/>
        <v>133.39944201395303</v>
      </c>
      <c r="CL1536" s="229"/>
      <c r="CM1536" s="229"/>
      <c r="CN1536" s="229"/>
      <c r="CO1536" s="47" t="s">
        <v>892</v>
      </c>
      <c r="CP1536" s="500" t="s">
        <v>893</v>
      </c>
      <c r="CQ1536" s="224">
        <v>-1.355076341264569</v>
      </c>
      <c r="CR1536" s="224">
        <f>10^(CJ1536-CQ1536)</f>
        <v>22.650424268726383</v>
      </c>
      <c r="CS1536" s="230" t="s">
        <v>539</v>
      </c>
      <c r="CT1536" s="230"/>
      <c r="CU1536" s="230"/>
      <c r="CV1536" s="335">
        <f t="shared" si="369"/>
        <v>33459.736783403969</v>
      </c>
      <c r="CW1536" s="230">
        <f t="shared" si="375"/>
        <v>1</v>
      </c>
      <c r="CX1536" s="336" t="s">
        <v>539</v>
      </c>
      <c r="CY1536" s="230" t="s">
        <v>5921</v>
      </c>
    </row>
    <row r="1537" spans="1:103" ht="11.25" customHeight="1" x14ac:dyDescent="0.2">
      <c r="A1537" s="72">
        <v>1287</v>
      </c>
      <c r="B1537" s="224">
        <v>370</v>
      </c>
      <c r="C1537" s="46" t="s">
        <v>7347</v>
      </c>
      <c r="D1537" s="46"/>
      <c r="E1537" s="114"/>
      <c r="F1537" s="114" t="s">
        <v>3916</v>
      </c>
      <c r="G1537" s="114">
        <v>8018017</v>
      </c>
      <c r="H1537" s="47" t="s">
        <v>3917</v>
      </c>
      <c r="I1537" s="47" t="s">
        <v>3917</v>
      </c>
      <c r="J1537" s="47"/>
      <c r="K1537" s="47" t="s">
        <v>1297</v>
      </c>
      <c r="L1537" s="47"/>
      <c r="M1537" s="47"/>
      <c r="N1537" s="47"/>
      <c r="O1537" s="47"/>
      <c r="P1537" s="53"/>
      <c r="Q1537" s="53"/>
      <c r="R1537" s="53"/>
      <c r="S1537" s="53"/>
      <c r="T1537" s="48">
        <v>212.38</v>
      </c>
      <c r="U1537" s="98"/>
      <c r="V1537" s="98">
        <v>28140</v>
      </c>
      <c r="W1537" s="98">
        <v>12505.861552441997</v>
      </c>
      <c r="X1537" s="98">
        <v>12505.861552441997</v>
      </c>
      <c r="Y1537" s="233">
        <v>1.25</v>
      </c>
      <c r="Z1537" s="48">
        <v>0.62</v>
      </c>
      <c r="AA1537" s="48">
        <v>1.33</v>
      </c>
      <c r="AB1537" s="48">
        <v>0.96</v>
      </c>
      <c r="AC1537" s="48">
        <v>0.5101</v>
      </c>
      <c r="AD1537" s="48">
        <v>1.3</v>
      </c>
      <c r="AE1537" s="48">
        <v>1.66</v>
      </c>
      <c r="AF1537" s="48">
        <f t="shared" si="373"/>
        <v>1.33</v>
      </c>
      <c r="AG1537" s="49">
        <v>1.3</v>
      </c>
      <c r="AH1537" s="98">
        <v>5.6400000000000002E-7</v>
      </c>
      <c r="AI1537" s="98"/>
      <c r="AJ1537" s="483">
        <f t="shared" si="370"/>
        <v>-4.6372872223293093</v>
      </c>
      <c r="AK1537" s="483"/>
      <c r="AL1537" s="483">
        <f t="shared" si="371"/>
        <v>-4.6372872223293093</v>
      </c>
      <c r="AM1537" s="483">
        <v>-12.801919999999999</v>
      </c>
      <c r="AN1537" s="226"/>
      <c r="AO1537" s="484">
        <v>1.25</v>
      </c>
      <c r="AP1537" s="484">
        <v>1.71</v>
      </c>
      <c r="AQ1537" s="226" t="s">
        <v>5921</v>
      </c>
      <c r="AR1537" s="226" t="s">
        <v>5921</v>
      </c>
      <c r="AS1537" s="224" t="s">
        <v>6</v>
      </c>
      <c r="AT1537" s="50" t="s">
        <v>266</v>
      </c>
      <c r="AU1537" s="48">
        <v>8</v>
      </c>
      <c r="AV1537" s="48">
        <v>144</v>
      </c>
      <c r="AW1537" s="48">
        <v>120</v>
      </c>
      <c r="AX1537" s="48">
        <v>26</v>
      </c>
      <c r="AY1537" s="48" t="s">
        <v>267</v>
      </c>
      <c r="AZ1537" s="48" t="s">
        <v>2253</v>
      </c>
      <c r="BA1537" s="48">
        <v>4</v>
      </c>
      <c r="BB1537" s="47" t="s">
        <v>2254</v>
      </c>
      <c r="BC1537" s="47" t="s">
        <v>270</v>
      </c>
      <c r="BD1537" s="47" t="s">
        <v>8374</v>
      </c>
      <c r="BE1537" s="48" t="s">
        <v>1712</v>
      </c>
      <c r="BF1537" s="48" t="s">
        <v>272</v>
      </c>
      <c r="BG1537" s="48" t="s">
        <v>272</v>
      </c>
      <c r="BH1537" s="48" t="s">
        <v>2255</v>
      </c>
      <c r="BI1537" s="98">
        <v>2.1238E-4</v>
      </c>
      <c r="BJ1537" s="98">
        <v>16.990400000000001</v>
      </c>
      <c r="BK1537" s="48"/>
      <c r="BL1537" s="487">
        <v>3027.5520370915779</v>
      </c>
      <c r="BM1537" s="48" t="s">
        <v>891</v>
      </c>
      <c r="BN1537" s="233"/>
      <c r="BO1537" s="233"/>
      <c r="BP1537" s="233"/>
      <c r="BQ1537" s="233"/>
      <c r="BR1537" s="233"/>
      <c r="BS1537" s="48"/>
      <c r="BT1537" s="233"/>
      <c r="BU1537" s="228"/>
      <c r="BV1537" s="233"/>
      <c r="BW1537" s="233"/>
      <c r="BX1537" s="233"/>
      <c r="BY1537" s="233"/>
      <c r="BZ1537" s="233"/>
      <c r="CA1537" s="233"/>
      <c r="CB1537" s="233"/>
      <c r="CC1537" s="48"/>
      <c r="CD1537" s="48"/>
      <c r="CE1537" s="48"/>
      <c r="CF1537" s="48"/>
      <c r="CG1537" s="233"/>
      <c r="CH1537" s="48"/>
      <c r="CI1537" s="98"/>
      <c r="CJ1537" s="98"/>
      <c r="CK1537" s="49">
        <f t="shared" si="368"/>
        <v>178.19192232622996</v>
      </c>
      <c r="CL1537" s="229"/>
      <c r="CM1537" s="229"/>
      <c r="CN1537" s="229"/>
      <c r="CO1537" s="47" t="s">
        <v>892</v>
      </c>
      <c r="CP1537" s="500" t="s">
        <v>893</v>
      </c>
      <c r="CQ1537" s="224" t="s">
        <v>272</v>
      </c>
      <c r="CR1537" s="224"/>
      <c r="CS1537" s="230" t="s">
        <v>539</v>
      </c>
      <c r="CT1537" s="230"/>
      <c r="CU1537" s="230"/>
      <c r="CV1537" s="335">
        <f t="shared" si="369"/>
        <v>736.05456919448602</v>
      </c>
      <c r="CW1537" s="230">
        <f t="shared" si="375"/>
        <v>1</v>
      </c>
      <c r="CX1537" s="336" t="s">
        <v>539</v>
      </c>
      <c r="CY1537" s="230" t="s">
        <v>5921</v>
      </c>
    </row>
    <row r="1538" spans="1:103" ht="11.25" customHeight="1" x14ac:dyDescent="0.2">
      <c r="A1538" s="72">
        <v>1288</v>
      </c>
      <c r="B1538" s="224">
        <v>393</v>
      </c>
      <c r="C1538" s="46" t="s">
        <v>7400</v>
      </c>
      <c r="D1538" s="46"/>
      <c r="E1538" s="114"/>
      <c r="F1538" s="114" t="s">
        <v>3944</v>
      </c>
      <c r="G1538" s="225">
        <v>9006422</v>
      </c>
      <c r="H1538" s="47" t="s">
        <v>3945</v>
      </c>
      <c r="I1538" s="47" t="s">
        <v>3945</v>
      </c>
      <c r="J1538" s="47"/>
      <c r="K1538" s="47" t="s">
        <v>403</v>
      </c>
      <c r="L1538" s="47"/>
      <c r="M1538" s="47"/>
      <c r="N1538" s="47"/>
      <c r="O1538" s="47"/>
      <c r="P1538" s="53"/>
      <c r="Q1538" s="53"/>
      <c r="R1538" s="53"/>
      <c r="S1538" s="53"/>
      <c r="T1538" s="48">
        <v>504.13</v>
      </c>
      <c r="U1538" s="98"/>
      <c r="V1538" s="98">
        <v>186.4</v>
      </c>
      <c r="W1538" s="98"/>
      <c r="X1538" s="98">
        <v>186.4</v>
      </c>
      <c r="Y1538" s="233"/>
      <c r="Z1538" s="48">
        <v>-0.42</v>
      </c>
      <c r="AA1538" s="48">
        <v>0.3</v>
      </c>
      <c r="AB1538" s="48">
        <v>0</v>
      </c>
      <c r="AC1538" s="48">
        <v>0</v>
      </c>
      <c r="AD1538" s="48">
        <v>0</v>
      </c>
      <c r="AE1538" s="48">
        <v>0</v>
      </c>
      <c r="AF1538" s="48">
        <f t="shared" si="373"/>
        <v>0.3</v>
      </c>
      <c r="AG1538" s="49" t="s">
        <v>404</v>
      </c>
      <c r="AH1538" s="98"/>
      <c r="AI1538" s="98"/>
      <c r="AJ1538" s="483"/>
      <c r="AK1538" s="483"/>
      <c r="AL1538" s="483"/>
      <c r="AM1538" s="483"/>
      <c r="AN1538" s="226"/>
      <c r="AO1538" s="484"/>
      <c r="AP1538" s="484"/>
      <c r="AQ1538" s="226" t="s">
        <v>6311</v>
      </c>
      <c r="AR1538" s="226" t="s">
        <v>6311</v>
      </c>
      <c r="AS1538" s="224" t="s">
        <v>6</v>
      </c>
      <c r="AT1538" s="50" t="s">
        <v>266</v>
      </c>
      <c r="AU1538" s="48">
        <v>8</v>
      </c>
      <c r="AV1538" s="48">
        <v>144</v>
      </c>
      <c r="AW1538" s="48">
        <v>120</v>
      </c>
      <c r="AX1538" s="48">
        <v>26</v>
      </c>
      <c r="AY1538" s="48" t="s">
        <v>267</v>
      </c>
      <c r="AZ1538" s="48" t="s">
        <v>2253</v>
      </c>
      <c r="BA1538" s="48">
        <v>3</v>
      </c>
      <c r="BB1538" s="47" t="s">
        <v>2254</v>
      </c>
      <c r="BC1538" s="47" t="s">
        <v>270</v>
      </c>
      <c r="BD1538" s="47" t="s">
        <v>8374</v>
      </c>
      <c r="BE1538" s="48" t="s">
        <v>1712</v>
      </c>
      <c r="BF1538" s="48" t="s">
        <v>272</v>
      </c>
      <c r="BG1538" s="48" t="s">
        <v>272</v>
      </c>
      <c r="BH1538" s="48" t="s">
        <v>2255</v>
      </c>
      <c r="BI1538" s="98">
        <v>5.0412999999999999E-4</v>
      </c>
      <c r="BJ1538" s="98">
        <v>40.330399999999997</v>
      </c>
      <c r="BK1538" s="48"/>
      <c r="BL1538" s="487">
        <v>61736.860761644843</v>
      </c>
      <c r="BM1538" s="48" t="s">
        <v>891</v>
      </c>
      <c r="BN1538" s="233"/>
      <c r="BO1538" s="233"/>
      <c r="BP1538" s="233"/>
      <c r="BQ1538" s="233"/>
      <c r="BR1538" s="233"/>
      <c r="BS1538" s="48"/>
      <c r="BT1538" s="233"/>
      <c r="BU1538" s="228"/>
      <c r="BV1538" s="233"/>
      <c r="BW1538" s="233"/>
      <c r="BX1538" s="233"/>
      <c r="BY1538" s="233"/>
      <c r="BZ1538" s="233"/>
      <c r="CA1538" s="233"/>
      <c r="CB1538" s="233"/>
      <c r="CC1538" s="48"/>
      <c r="CD1538" s="48"/>
      <c r="CE1538" s="48"/>
      <c r="CF1538" s="48"/>
      <c r="CG1538" s="233"/>
      <c r="CH1538" s="48"/>
      <c r="CI1538" s="98"/>
      <c r="CJ1538" s="98"/>
      <c r="CK1538" s="49">
        <f t="shared" si="368"/>
        <v>1530.7772985550564</v>
      </c>
      <c r="CL1538" s="229"/>
      <c r="CM1538" s="229"/>
      <c r="CN1538" s="229"/>
      <c r="CO1538" s="47" t="s">
        <v>892</v>
      </c>
      <c r="CP1538" s="500" t="s">
        <v>893</v>
      </c>
      <c r="CQ1538" s="224" t="s">
        <v>272</v>
      </c>
      <c r="CR1538" s="224"/>
      <c r="CS1538" s="230" t="s">
        <v>539</v>
      </c>
      <c r="CT1538" s="230"/>
      <c r="CU1538" s="230"/>
      <c r="CV1538" s="335">
        <f t="shared" si="369"/>
        <v>4.6218237359411267</v>
      </c>
      <c r="CW1538" s="230">
        <f t="shared" si="375"/>
        <v>1</v>
      </c>
      <c r="CX1538" s="336" t="s">
        <v>539</v>
      </c>
      <c r="CY1538" s="230" t="s">
        <v>5921</v>
      </c>
    </row>
    <row r="1539" spans="1:103" ht="11.25" customHeight="1" x14ac:dyDescent="0.2">
      <c r="A1539" s="72">
        <v>1292</v>
      </c>
      <c r="B1539" s="224">
        <v>382</v>
      </c>
      <c r="C1539" s="46" t="s">
        <v>7404</v>
      </c>
      <c r="D1539" s="46" t="s">
        <v>8645</v>
      </c>
      <c r="E1539" s="114"/>
      <c r="F1539" s="114" t="s">
        <v>3264</v>
      </c>
      <c r="G1539" s="225">
        <v>10265926</v>
      </c>
      <c r="H1539" s="47" t="s">
        <v>3265</v>
      </c>
      <c r="I1539" s="47" t="s">
        <v>3265</v>
      </c>
      <c r="J1539" s="47" t="s">
        <v>3266</v>
      </c>
      <c r="K1539" s="47" t="s">
        <v>637</v>
      </c>
      <c r="L1539" s="47" t="s">
        <v>617</v>
      </c>
      <c r="M1539" s="47" t="s">
        <v>946</v>
      </c>
      <c r="N1539" s="47" t="s">
        <v>6376</v>
      </c>
      <c r="O1539" s="47" t="s">
        <v>918</v>
      </c>
      <c r="P1539" s="53"/>
      <c r="Q1539" s="53"/>
      <c r="R1539" s="53"/>
      <c r="S1539" s="53"/>
      <c r="T1539" s="48">
        <v>141.13</v>
      </c>
      <c r="U1539" s="98">
        <v>1000000</v>
      </c>
      <c r="V1539" s="98">
        <v>399400</v>
      </c>
      <c r="W1539" s="98">
        <v>999123.88550133386</v>
      </c>
      <c r="X1539" s="98">
        <v>1000000</v>
      </c>
      <c r="Y1539" s="233">
        <v>7.23</v>
      </c>
      <c r="Z1539" s="48">
        <v>-0.93</v>
      </c>
      <c r="AA1539" s="48">
        <v>-0.8</v>
      </c>
      <c r="AB1539" s="48">
        <v>-0.47</v>
      </c>
      <c r="AC1539" s="48">
        <v>0.86880000000000002</v>
      </c>
      <c r="AD1539" s="48">
        <v>-0.56000000000000005</v>
      </c>
      <c r="AE1539" s="48">
        <v>-0.82</v>
      </c>
      <c r="AF1539" s="48">
        <f t="shared" si="373"/>
        <v>-0.8</v>
      </c>
      <c r="AG1539" s="49">
        <v>-0.23</v>
      </c>
      <c r="AH1539" s="98">
        <v>8.68E-10</v>
      </c>
      <c r="AI1539" s="98"/>
      <c r="AJ1539" s="483">
        <f t="shared" ref="AJ1539:AJ1564" si="376">LOG10(AH1539*1000/(0.08206*298.15))</f>
        <v>-7.4500466011361599</v>
      </c>
      <c r="AK1539" s="483"/>
      <c r="AL1539" s="483">
        <f t="shared" ref="AL1539:AL1564" si="377">IF(AK1539=0,AJ1539,AK1539)</f>
        <v>-7.4500466011361599</v>
      </c>
      <c r="AM1539" s="483">
        <v>-9.6689599999999984</v>
      </c>
      <c r="AN1539" s="226">
        <v>-7.09</v>
      </c>
      <c r="AO1539" s="484"/>
      <c r="AP1539" s="484">
        <v>-0.57999999999999996</v>
      </c>
      <c r="AQ1539" s="226" t="s">
        <v>6311</v>
      </c>
      <c r="AR1539" s="226" t="s">
        <v>6311</v>
      </c>
      <c r="AS1539" s="224" t="s">
        <v>6</v>
      </c>
      <c r="AT1539" s="50" t="s">
        <v>266</v>
      </c>
      <c r="AU1539" s="48">
        <v>8</v>
      </c>
      <c r="AV1539" s="48">
        <v>144</v>
      </c>
      <c r="AW1539" s="48">
        <v>120</v>
      </c>
      <c r="AX1539" s="48">
        <v>26</v>
      </c>
      <c r="AY1539" s="48" t="s">
        <v>267</v>
      </c>
      <c r="AZ1539" s="48" t="s">
        <v>2253</v>
      </c>
      <c r="BA1539" s="48">
        <v>2</v>
      </c>
      <c r="BB1539" s="47" t="s">
        <v>2254</v>
      </c>
      <c r="BC1539" s="47" t="s">
        <v>270</v>
      </c>
      <c r="BD1539" s="47" t="s">
        <v>8374</v>
      </c>
      <c r="BE1539" s="48" t="s">
        <v>1712</v>
      </c>
      <c r="BF1539" s="48" t="s">
        <v>272</v>
      </c>
      <c r="BG1539" s="48" t="s">
        <v>272</v>
      </c>
      <c r="BH1539" s="48" t="s">
        <v>2255</v>
      </c>
      <c r="BI1539" s="98">
        <v>1.4113E-4</v>
      </c>
      <c r="BJ1539" s="98">
        <v>11.2904</v>
      </c>
      <c r="BK1539" s="48"/>
      <c r="BL1539" s="487">
        <v>49619.495181144208</v>
      </c>
      <c r="BM1539" s="48" t="s">
        <v>891</v>
      </c>
      <c r="BN1539" s="233"/>
      <c r="BO1539" s="233"/>
      <c r="BP1539" s="233"/>
      <c r="BQ1539" s="233"/>
      <c r="BR1539" s="233"/>
      <c r="BS1539" s="48"/>
      <c r="BT1539" s="233"/>
      <c r="BU1539" s="228"/>
      <c r="BV1539" s="233"/>
      <c r="BW1539" s="233"/>
      <c r="BX1539" s="233"/>
      <c r="BY1539" s="233"/>
      <c r="BZ1539" s="233"/>
      <c r="CA1539" s="233"/>
      <c r="CB1539" s="233"/>
      <c r="CC1539" s="48"/>
      <c r="CD1539" s="48"/>
      <c r="CE1539" s="48"/>
      <c r="CF1539" s="48"/>
      <c r="CG1539" s="233"/>
      <c r="CH1539" s="48"/>
      <c r="CI1539" s="98"/>
      <c r="CJ1539" s="98"/>
      <c r="CK1539" s="49">
        <f t="shared" si="368"/>
        <v>4394.8394371452041</v>
      </c>
      <c r="CL1539" s="229"/>
      <c r="CM1539" s="229"/>
      <c r="CN1539" s="229"/>
      <c r="CO1539" s="47" t="s">
        <v>892</v>
      </c>
      <c r="CP1539" s="500" t="s">
        <v>893</v>
      </c>
      <c r="CQ1539" s="224">
        <v>1.3433615694861691</v>
      </c>
      <c r="CR1539" s="224">
        <f t="shared" ref="CR1539:CR1549" si="378">10^(CJ1539-CQ1539)</f>
        <v>4.5356384732659245E-2</v>
      </c>
      <c r="CS1539" s="230" t="s">
        <v>539</v>
      </c>
      <c r="CT1539" s="230"/>
      <c r="CU1539" s="230"/>
      <c r="CV1539" s="335">
        <f t="shared" si="369"/>
        <v>88570.821228654429</v>
      </c>
      <c r="CW1539" s="230">
        <f t="shared" si="375"/>
        <v>1</v>
      </c>
      <c r="CX1539" s="336" t="s">
        <v>539</v>
      </c>
      <c r="CY1539" s="230" t="s">
        <v>5921</v>
      </c>
    </row>
    <row r="1540" spans="1:103" ht="11.25" customHeight="1" x14ac:dyDescent="0.2">
      <c r="A1540" s="72">
        <v>1295</v>
      </c>
      <c r="B1540" s="224">
        <v>373</v>
      </c>
      <c r="C1540" s="46" t="s">
        <v>2476</v>
      </c>
      <c r="D1540" s="46"/>
      <c r="E1540" s="114"/>
      <c r="F1540" s="114" t="s">
        <v>2477</v>
      </c>
      <c r="G1540" s="225">
        <v>12427382</v>
      </c>
      <c r="H1540" s="47" t="s">
        <v>2478</v>
      </c>
      <c r="I1540" s="47" t="s">
        <v>2478</v>
      </c>
      <c r="J1540" s="47" t="s">
        <v>2479</v>
      </c>
      <c r="K1540" s="47" t="s">
        <v>1297</v>
      </c>
      <c r="L1540" s="47" t="s">
        <v>5929</v>
      </c>
      <c r="M1540" s="47" t="s">
        <v>1515</v>
      </c>
      <c r="N1540" s="47" t="s">
        <v>6382</v>
      </c>
      <c r="O1540" s="47" t="s">
        <v>1516</v>
      </c>
      <c r="P1540" s="53"/>
      <c r="Q1540" s="53"/>
      <c r="R1540" s="53"/>
      <c r="S1540" s="53"/>
      <c r="T1540" s="48">
        <v>212.38</v>
      </c>
      <c r="U1540" s="98"/>
      <c r="V1540" s="98">
        <v>28140</v>
      </c>
      <c r="W1540" s="98">
        <v>12505.861552441997</v>
      </c>
      <c r="X1540" s="98">
        <v>12505.861552441997</v>
      </c>
      <c r="Y1540" s="233">
        <v>1.25</v>
      </c>
      <c r="Z1540" s="48">
        <v>0.62</v>
      </c>
      <c r="AA1540" s="48">
        <v>1.33</v>
      </c>
      <c r="AB1540" s="48">
        <v>0.96</v>
      </c>
      <c r="AC1540" s="48">
        <v>0.5101</v>
      </c>
      <c r="AD1540" s="48">
        <v>1.3</v>
      </c>
      <c r="AE1540" s="48">
        <v>1.66</v>
      </c>
      <c r="AF1540" s="48">
        <f t="shared" si="373"/>
        <v>1.33</v>
      </c>
      <c r="AG1540" s="49">
        <v>1.3</v>
      </c>
      <c r="AH1540" s="98">
        <v>5.6400000000000002E-7</v>
      </c>
      <c r="AI1540" s="98"/>
      <c r="AJ1540" s="483">
        <f t="shared" si="376"/>
        <v>-4.6372872223293093</v>
      </c>
      <c r="AK1540" s="483"/>
      <c r="AL1540" s="483">
        <f t="shared" si="377"/>
        <v>-4.6372872223293093</v>
      </c>
      <c r="AM1540" s="483">
        <v>-12.801919999999999</v>
      </c>
      <c r="AN1540" s="226"/>
      <c r="AO1540" s="484">
        <v>1.25</v>
      </c>
      <c r="AP1540" s="484">
        <v>1.71</v>
      </c>
      <c r="AQ1540" s="226" t="s">
        <v>6311</v>
      </c>
      <c r="AR1540" s="226" t="s">
        <v>6311</v>
      </c>
      <c r="AS1540" s="224" t="s">
        <v>6</v>
      </c>
      <c r="AT1540" s="50" t="s">
        <v>266</v>
      </c>
      <c r="AU1540" s="48">
        <v>8</v>
      </c>
      <c r="AV1540" s="48">
        <v>144</v>
      </c>
      <c r="AW1540" s="48">
        <v>120</v>
      </c>
      <c r="AX1540" s="48">
        <v>26</v>
      </c>
      <c r="AY1540" s="48" t="s">
        <v>267</v>
      </c>
      <c r="AZ1540" s="48" t="s">
        <v>2253</v>
      </c>
      <c r="BA1540" s="48">
        <v>2</v>
      </c>
      <c r="BB1540" s="47" t="s">
        <v>2254</v>
      </c>
      <c r="BC1540" s="47" t="s">
        <v>270</v>
      </c>
      <c r="BD1540" s="47" t="s">
        <v>8374</v>
      </c>
      <c r="BE1540" s="48" t="s">
        <v>1712</v>
      </c>
      <c r="BF1540" s="48" t="s">
        <v>272</v>
      </c>
      <c r="BG1540" s="48" t="s">
        <v>272</v>
      </c>
      <c r="BH1540" s="48" t="s">
        <v>2255</v>
      </c>
      <c r="BI1540" s="98">
        <v>2.1238E-4</v>
      </c>
      <c r="BJ1540" s="98">
        <v>16.990400000000001</v>
      </c>
      <c r="BK1540" s="48"/>
      <c r="BL1540" s="487">
        <v>3027.5520370915779</v>
      </c>
      <c r="BM1540" s="48" t="s">
        <v>891</v>
      </c>
      <c r="BN1540" s="233"/>
      <c r="BO1540" s="233"/>
      <c r="BP1540" s="233"/>
      <c r="BQ1540" s="233"/>
      <c r="BR1540" s="233"/>
      <c r="BS1540" s="48"/>
      <c r="BT1540" s="233"/>
      <c r="BU1540" s="228"/>
      <c r="BV1540" s="233"/>
      <c r="BW1540" s="233"/>
      <c r="BX1540" s="233"/>
      <c r="BY1540" s="233"/>
      <c r="BZ1540" s="233"/>
      <c r="CA1540" s="233"/>
      <c r="CB1540" s="233"/>
      <c r="CC1540" s="48"/>
      <c r="CD1540" s="48"/>
      <c r="CE1540" s="48"/>
      <c r="CF1540" s="48"/>
      <c r="CG1540" s="233"/>
      <c r="CH1540" s="48"/>
      <c r="CI1540" s="98"/>
      <c r="CJ1540" s="98"/>
      <c r="CK1540" s="49">
        <f t="shared" si="368"/>
        <v>178.19192232622996</v>
      </c>
      <c r="CL1540" s="229"/>
      <c r="CM1540" s="229">
        <v>-6.7010207570163058E-2</v>
      </c>
      <c r="CN1540" s="229">
        <f>BJ1540/(10^CM1540)</f>
        <v>19.825028075709607</v>
      </c>
      <c r="CO1540" s="47" t="s">
        <v>892</v>
      </c>
      <c r="CP1540" s="500" t="s">
        <v>893</v>
      </c>
      <c r="CQ1540" s="224">
        <v>6.0285517575122641E-2</v>
      </c>
      <c r="CR1540" s="224">
        <f t="shared" si="378"/>
        <v>0.87039118183822417</v>
      </c>
      <c r="CS1540" s="230" t="s">
        <v>539</v>
      </c>
      <c r="CT1540" s="230"/>
      <c r="CU1540" s="230"/>
      <c r="CV1540" s="335">
        <f t="shared" si="369"/>
        <v>736.05456919448602</v>
      </c>
      <c r="CW1540" s="230">
        <f t="shared" si="375"/>
        <v>1</v>
      </c>
      <c r="CX1540" s="336" t="s">
        <v>539</v>
      </c>
      <c r="CY1540" s="230" t="s">
        <v>5921</v>
      </c>
    </row>
    <row r="1541" spans="1:103" ht="11.25" customHeight="1" x14ac:dyDescent="0.2">
      <c r="A1541" s="72">
        <v>1297</v>
      </c>
      <c r="B1541" s="224">
        <v>333</v>
      </c>
      <c r="C1541" s="46" t="s">
        <v>7406</v>
      </c>
      <c r="D1541" s="46" t="s">
        <v>8647</v>
      </c>
      <c r="E1541" s="114"/>
      <c r="F1541" s="114" t="s">
        <v>3857</v>
      </c>
      <c r="G1541" s="225">
        <v>13194484</v>
      </c>
      <c r="H1541" s="47" t="s">
        <v>3858</v>
      </c>
      <c r="I1541" s="47" t="s">
        <v>3858</v>
      </c>
      <c r="J1541" s="47" t="s">
        <v>3859</v>
      </c>
      <c r="K1541" s="47" t="s">
        <v>637</v>
      </c>
      <c r="L1541" s="47" t="s">
        <v>617</v>
      </c>
      <c r="M1541" s="47" t="s">
        <v>618</v>
      </c>
      <c r="N1541" s="47" t="s">
        <v>6376</v>
      </c>
      <c r="O1541" s="47" t="s">
        <v>3860</v>
      </c>
      <c r="P1541" s="53"/>
      <c r="Q1541" s="53"/>
      <c r="R1541" s="53"/>
      <c r="S1541" s="53"/>
      <c r="T1541" s="48">
        <v>242.34</v>
      </c>
      <c r="U1541" s="98">
        <v>750</v>
      </c>
      <c r="V1541" s="98">
        <v>22.41</v>
      </c>
      <c r="W1541" s="98">
        <v>840.28208338666479</v>
      </c>
      <c r="X1541" s="98">
        <v>750</v>
      </c>
      <c r="Y1541" s="233">
        <v>7</v>
      </c>
      <c r="Z1541" s="48">
        <v>3.14</v>
      </c>
      <c r="AA1541" s="48">
        <v>3.59</v>
      </c>
      <c r="AB1541" s="48">
        <v>3.13</v>
      </c>
      <c r="AC1541" s="48">
        <v>0.84330000000000005</v>
      </c>
      <c r="AD1541" s="48">
        <v>3.26</v>
      </c>
      <c r="AE1541" s="48">
        <v>3.59</v>
      </c>
      <c r="AF1541" s="48">
        <f t="shared" si="373"/>
        <v>3.59</v>
      </c>
      <c r="AG1541" s="49">
        <v>3.18</v>
      </c>
      <c r="AH1541" s="98">
        <v>3.1E-7</v>
      </c>
      <c r="AI1541" s="98">
        <v>1.6199999999999999E-7</v>
      </c>
      <c r="AJ1541" s="483">
        <f t="shared" si="376"/>
        <v>-4.8972046324783793</v>
      </c>
      <c r="AK1541" s="483">
        <f>LOG10(AI1541*1000/(0.08206*298.15))</f>
        <v>-5.1790513117700208</v>
      </c>
      <c r="AL1541" s="483">
        <f t="shared" si="377"/>
        <v>-5.1790513117700208</v>
      </c>
      <c r="AM1541" s="483">
        <v>-8.2349800000000002</v>
      </c>
      <c r="AN1541" s="226">
        <v>-4.63</v>
      </c>
      <c r="AO1541" s="484"/>
      <c r="AP1541" s="484"/>
      <c r="AQ1541" s="226" t="s">
        <v>6312</v>
      </c>
      <c r="AR1541" s="226" t="s">
        <v>6312</v>
      </c>
      <c r="AS1541" s="224" t="s">
        <v>6</v>
      </c>
      <c r="AT1541" s="50" t="s">
        <v>266</v>
      </c>
      <c r="AU1541" s="48">
        <v>8</v>
      </c>
      <c r="AV1541" s="48">
        <v>144</v>
      </c>
      <c r="AW1541" s="48">
        <v>120</v>
      </c>
      <c r="AX1541" s="48">
        <v>26</v>
      </c>
      <c r="AY1541" s="48" t="s">
        <v>267</v>
      </c>
      <c r="AZ1541" s="48" t="s">
        <v>2253</v>
      </c>
      <c r="BA1541" s="48">
        <v>2</v>
      </c>
      <c r="BB1541" s="47" t="s">
        <v>2254</v>
      </c>
      <c r="BC1541" s="47" t="s">
        <v>270</v>
      </c>
      <c r="BD1541" s="47" t="s">
        <v>8374</v>
      </c>
      <c r="BE1541" s="48" t="s">
        <v>1712</v>
      </c>
      <c r="BF1541" s="48" t="s">
        <v>272</v>
      </c>
      <c r="BG1541" s="48" t="s">
        <v>272</v>
      </c>
      <c r="BH1541" s="48" t="s">
        <v>2255</v>
      </c>
      <c r="BI1541" s="98">
        <v>2.4233999999999999E-4</v>
      </c>
      <c r="BJ1541" s="98">
        <v>19.3872</v>
      </c>
      <c r="BK1541" s="48"/>
      <c r="BL1541" s="487">
        <v>18.844781381216844</v>
      </c>
      <c r="BM1541" s="48" t="s">
        <v>891</v>
      </c>
      <c r="BN1541" s="233"/>
      <c r="BO1541" s="233"/>
      <c r="BP1541" s="233"/>
      <c r="BQ1541" s="233"/>
      <c r="BR1541" s="233"/>
      <c r="BS1541" s="48"/>
      <c r="BT1541" s="233"/>
      <c r="BU1541" s="228"/>
      <c r="BV1541" s="233"/>
      <c r="BW1541" s="233"/>
      <c r="BX1541" s="233"/>
      <c r="BY1541" s="233"/>
      <c r="BZ1541" s="233"/>
      <c r="CA1541" s="233"/>
      <c r="CB1541" s="233"/>
      <c r="CC1541" s="48"/>
      <c r="CD1541" s="48"/>
      <c r="CE1541" s="48"/>
      <c r="CF1541" s="48"/>
      <c r="CG1541" s="233"/>
      <c r="CH1541" s="48"/>
      <c r="CI1541" s="98"/>
      <c r="CJ1541" s="98"/>
      <c r="CK1541" s="49">
        <f t="shared" si="368"/>
        <v>0.97202181755059236</v>
      </c>
      <c r="CL1541" s="229"/>
      <c r="CM1541" s="229"/>
      <c r="CN1541" s="229"/>
      <c r="CO1541" s="47" t="s">
        <v>892</v>
      </c>
      <c r="CP1541" s="500" t="s">
        <v>893</v>
      </c>
      <c r="CQ1541" s="224">
        <v>0.46354784930409759</v>
      </c>
      <c r="CR1541" s="224">
        <f t="shared" si="378"/>
        <v>0.34391581764768653</v>
      </c>
      <c r="CS1541" s="230" t="s">
        <v>539</v>
      </c>
      <c r="CT1541" s="230"/>
      <c r="CU1541" s="230"/>
      <c r="CV1541" s="335">
        <f t="shared" si="369"/>
        <v>38.685318148056453</v>
      </c>
      <c r="CW1541" s="230">
        <f t="shared" si="375"/>
        <v>1</v>
      </c>
      <c r="CX1541" s="336" t="s">
        <v>539</v>
      </c>
      <c r="CY1541" s="230" t="s">
        <v>5921</v>
      </c>
    </row>
    <row r="1542" spans="1:103" ht="11.25" customHeight="1" x14ac:dyDescent="0.2">
      <c r="A1542" s="72">
        <v>1302</v>
      </c>
      <c r="B1542" s="224">
        <v>410</v>
      </c>
      <c r="C1542" s="46" t="s">
        <v>7410</v>
      </c>
      <c r="D1542" s="46" t="s">
        <v>8648</v>
      </c>
      <c r="E1542" s="114"/>
      <c r="F1542" s="114" t="s">
        <v>3959</v>
      </c>
      <c r="G1542" s="225">
        <v>15299997</v>
      </c>
      <c r="H1542" s="47" t="s">
        <v>3960</v>
      </c>
      <c r="I1542" s="47" t="s">
        <v>3960</v>
      </c>
      <c r="J1542" s="47" t="s">
        <v>3961</v>
      </c>
      <c r="K1542" s="47" t="s">
        <v>471</v>
      </c>
      <c r="L1542" s="47" t="s">
        <v>6046</v>
      </c>
      <c r="M1542" s="47" t="s">
        <v>6082</v>
      </c>
      <c r="N1542" s="47" t="s">
        <v>6082</v>
      </c>
      <c r="O1542" s="47" t="s">
        <v>6083</v>
      </c>
      <c r="P1542" s="53"/>
      <c r="Q1542" s="53"/>
      <c r="R1542" s="53"/>
      <c r="S1542" s="53"/>
      <c r="T1542" s="48">
        <v>271.35000000000002</v>
      </c>
      <c r="U1542" s="98">
        <v>73</v>
      </c>
      <c r="V1542" s="98">
        <v>24.24</v>
      </c>
      <c r="W1542" s="98">
        <v>121.20759273016373</v>
      </c>
      <c r="X1542" s="98">
        <v>73</v>
      </c>
      <c r="Y1542" s="233">
        <v>7</v>
      </c>
      <c r="Z1542" s="48">
        <v>3.33</v>
      </c>
      <c r="AA1542" s="48">
        <v>3.36</v>
      </c>
      <c r="AB1542" s="48">
        <v>3.49</v>
      </c>
      <c r="AC1542" s="48">
        <v>0.9214</v>
      </c>
      <c r="AD1542" s="48">
        <v>3.44</v>
      </c>
      <c r="AE1542" s="48">
        <v>3.24</v>
      </c>
      <c r="AF1542" s="48">
        <f t="shared" si="373"/>
        <v>3.36</v>
      </c>
      <c r="AG1542" s="49">
        <v>3.34</v>
      </c>
      <c r="AH1542" s="98">
        <v>3.7699999999999999E-10</v>
      </c>
      <c r="AI1542" s="98">
        <v>8.4099999999999999E-10</v>
      </c>
      <c r="AJ1542" s="483">
        <f t="shared" si="376"/>
        <v>-7.812224976106859</v>
      </c>
      <c r="AK1542" s="483">
        <f>LOG10(AI1542*1000/(0.08206*298.15))</f>
        <v>-7.4637703305147394</v>
      </c>
      <c r="AL1542" s="483">
        <f t="shared" si="377"/>
        <v>-7.4637703305147394</v>
      </c>
      <c r="AM1542" s="483">
        <v>-12.8308</v>
      </c>
      <c r="AN1542" s="226">
        <v>-7.96</v>
      </c>
      <c r="AO1542" s="484"/>
      <c r="AP1542" s="484">
        <v>-0.82</v>
      </c>
      <c r="AQ1542" s="226" t="s">
        <v>6311</v>
      </c>
      <c r="AR1542" s="226" t="s">
        <v>6311</v>
      </c>
      <c r="AS1542" s="224" t="s">
        <v>6</v>
      </c>
      <c r="AT1542" s="50" t="s">
        <v>266</v>
      </c>
      <c r="AU1542" s="48">
        <v>8</v>
      </c>
      <c r="AV1542" s="48">
        <v>144</v>
      </c>
      <c r="AW1542" s="48">
        <v>120</v>
      </c>
      <c r="AX1542" s="48">
        <v>26</v>
      </c>
      <c r="AY1542" s="48" t="s">
        <v>267</v>
      </c>
      <c r="AZ1542" s="48" t="s">
        <v>2253</v>
      </c>
      <c r="BA1542" s="48">
        <v>2</v>
      </c>
      <c r="BB1542" s="47" t="s">
        <v>2254</v>
      </c>
      <c r="BC1542" s="47" t="s">
        <v>270</v>
      </c>
      <c r="BD1542" s="47" t="s">
        <v>8374</v>
      </c>
      <c r="BE1542" s="48" t="s">
        <v>1712</v>
      </c>
      <c r="BF1542" s="48" t="s">
        <v>272</v>
      </c>
      <c r="BG1542" s="48" t="s">
        <v>272</v>
      </c>
      <c r="BH1542" s="48" t="s">
        <v>2255</v>
      </c>
      <c r="BI1542" s="98">
        <v>2.7135000000000001E-4</v>
      </c>
      <c r="BJ1542" s="98">
        <v>21.708000000000002</v>
      </c>
      <c r="BK1542" s="48"/>
      <c r="BL1542" s="487">
        <v>14.244815412120916</v>
      </c>
      <c r="BM1542" s="48" t="s">
        <v>891</v>
      </c>
      <c r="BN1542" s="233"/>
      <c r="BO1542" s="233"/>
      <c r="BP1542" s="233"/>
      <c r="BQ1542" s="233"/>
      <c r="BR1542" s="233"/>
      <c r="BS1542" s="48"/>
      <c r="BT1542" s="233"/>
      <c r="BU1542" s="228"/>
      <c r="BV1542" s="233"/>
      <c r="BW1542" s="233"/>
      <c r="BX1542" s="233"/>
      <c r="BY1542" s="233"/>
      <c r="BZ1542" s="233"/>
      <c r="CA1542" s="233"/>
      <c r="CB1542" s="233"/>
      <c r="CC1542" s="48"/>
      <c r="CD1542" s="48"/>
      <c r="CE1542" s="48"/>
      <c r="CF1542" s="48"/>
      <c r="CG1542" s="233"/>
      <c r="CH1542" s="48"/>
      <c r="CI1542" s="98"/>
      <c r="CJ1542" s="98"/>
      <c r="CK1542" s="49">
        <f t="shared" si="368"/>
        <v>0.65620118906029645</v>
      </c>
      <c r="CL1542" s="229"/>
      <c r="CM1542" s="229"/>
      <c r="CN1542" s="229"/>
      <c r="CO1542" s="47" t="s">
        <v>892</v>
      </c>
      <c r="CP1542" s="500" t="s">
        <v>893</v>
      </c>
      <c r="CQ1542" s="224">
        <v>1.061517382552372</v>
      </c>
      <c r="CR1542" s="224">
        <f t="shared" si="378"/>
        <v>8.6792583803390236E-2</v>
      </c>
      <c r="CS1542" s="230" t="s">
        <v>539</v>
      </c>
      <c r="CT1542" s="230"/>
      <c r="CU1542" s="230"/>
      <c r="CV1542" s="335">
        <f t="shared" si="369"/>
        <v>3.3628155518702778</v>
      </c>
      <c r="CW1542" s="230">
        <f t="shared" si="375"/>
        <v>1</v>
      </c>
      <c r="CX1542" s="336" t="s">
        <v>539</v>
      </c>
      <c r="CY1542" s="230" t="s">
        <v>5921</v>
      </c>
    </row>
    <row r="1543" spans="1:103" ht="11.25" customHeight="1" x14ac:dyDescent="0.2">
      <c r="A1543" s="72">
        <v>1305</v>
      </c>
      <c r="B1543" s="224">
        <v>329</v>
      </c>
      <c r="C1543" s="46" t="s">
        <v>7412</v>
      </c>
      <c r="D1543" s="46" t="s">
        <v>8650</v>
      </c>
      <c r="E1543" s="114"/>
      <c r="F1543" s="114" t="s">
        <v>3854</v>
      </c>
      <c r="G1543" s="225">
        <v>16672870</v>
      </c>
      <c r="H1543" s="47" t="s">
        <v>3855</v>
      </c>
      <c r="I1543" s="47" t="s">
        <v>8103</v>
      </c>
      <c r="J1543" s="47" t="s">
        <v>3856</v>
      </c>
      <c r="K1543" s="47" t="s">
        <v>426</v>
      </c>
      <c r="L1543" s="47"/>
      <c r="M1543" s="47" t="s">
        <v>2342</v>
      </c>
      <c r="N1543" s="47" t="s">
        <v>2342</v>
      </c>
      <c r="O1543" s="47"/>
      <c r="P1543" s="53" t="s">
        <v>8537</v>
      </c>
      <c r="Q1543" s="53" t="s">
        <v>6173</v>
      </c>
      <c r="R1543" s="53" t="s">
        <v>6183</v>
      </c>
      <c r="S1543" s="53" t="s">
        <v>6173</v>
      </c>
      <c r="T1543" s="48">
        <v>144.49</v>
      </c>
      <c r="U1543" s="98">
        <v>1000000</v>
      </c>
      <c r="V1543" s="98">
        <v>123500</v>
      </c>
      <c r="W1543" s="98">
        <v>91167.02670394312</v>
      </c>
      <c r="X1543" s="98">
        <v>1000000</v>
      </c>
      <c r="Y1543" s="233">
        <v>1.07</v>
      </c>
      <c r="Z1543" s="48">
        <v>-0.25</v>
      </c>
      <c r="AA1543" s="48">
        <v>-0.22</v>
      </c>
      <c r="AB1543" s="48">
        <v>-0.39</v>
      </c>
      <c r="AC1543" s="48">
        <v>0.69820000000000004</v>
      </c>
      <c r="AD1543" s="48">
        <v>-0.75</v>
      </c>
      <c r="AE1543" s="48">
        <v>-1.42</v>
      </c>
      <c r="AF1543" s="48">
        <f t="shared" si="373"/>
        <v>-0.22</v>
      </c>
      <c r="AG1543" s="49">
        <v>-0.45</v>
      </c>
      <c r="AH1543" s="98">
        <v>5.7000000000000003E-12</v>
      </c>
      <c r="AI1543" s="98"/>
      <c r="AJ1543" s="483">
        <f t="shared" si="376"/>
        <v>-9.632691470640161</v>
      </c>
      <c r="AK1543" s="483"/>
      <c r="AL1543" s="483">
        <f t="shared" si="377"/>
        <v>-9.632691470640161</v>
      </c>
      <c r="AM1543" s="483">
        <v>-10.689049999999998</v>
      </c>
      <c r="AN1543" s="226">
        <v>-9.56</v>
      </c>
      <c r="AO1543" s="484">
        <v>1.88</v>
      </c>
      <c r="AP1543" s="484"/>
      <c r="AQ1543" s="226" t="s">
        <v>6311</v>
      </c>
      <c r="AR1543" s="226" t="s">
        <v>6311</v>
      </c>
      <c r="AS1543" s="224" t="s">
        <v>6</v>
      </c>
      <c r="AT1543" s="50" t="s">
        <v>266</v>
      </c>
      <c r="AU1543" s="48">
        <v>8</v>
      </c>
      <c r="AV1543" s="48">
        <v>144</v>
      </c>
      <c r="AW1543" s="48">
        <v>120</v>
      </c>
      <c r="AX1543" s="48">
        <v>26</v>
      </c>
      <c r="AY1543" s="48" t="s">
        <v>267</v>
      </c>
      <c r="AZ1543" s="48" t="s">
        <v>2253</v>
      </c>
      <c r="BA1543" s="48">
        <v>2</v>
      </c>
      <c r="BB1543" s="47" t="s">
        <v>2254</v>
      </c>
      <c r="BC1543" s="47" t="s">
        <v>270</v>
      </c>
      <c r="BD1543" s="47" t="s">
        <v>8374</v>
      </c>
      <c r="BE1543" s="48" t="s">
        <v>1712</v>
      </c>
      <c r="BF1543" s="48" t="s">
        <v>272</v>
      </c>
      <c r="BG1543" s="48" t="s">
        <v>272</v>
      </c>
      <c r="BH1543" s="48" t="s">
        <v>2255</v>
      </c>
      <c r="BI1543" s="98">
        <v>1.4448999999999999E-4</v>
      </c>
      <c r="BJ1543" s="98">
        <v>11.559200000000001</v>
      </c>
      <c r="BK1543" s="48"/>
      <c r="BL1543" s="487">
        <v>12449.811934351983</v>
      </c>
      <c r="BM1543" s="48" t="s">
        <v>891</v>
      </c>
      <c r="BN1543" s="233"/>
      <c r="BO1543" s="233"/>
      <c r="BP1543" s="233"/>
      <c r="BQ1543" s="233"/>
      <c r="BR1543" s="233"/>
      <c r="BS1543" s="48"/>
      <c r="BT1543" s="233"/>
      <c r="BU1543" s="228"/>
      <c r="BV1543" s="233"/>
      <c r="BW1543" s="233"/>
      <c r="BX1543" s="233"/>
      <c r="BY1543" s="233"/>
      <c r="BZ1543" s="233"/>
      <c r="CA1543" s="233"/>
      <c r="CB1543" s="233"/>
      <c r="CC1543" s="48"/>
      <c r="CD1543" s="48"/>
      <c r="CE1543" s="48"/>
      <c r="CF1543" s="48"/>
      <c r="CG1543" s="233"/>
      <c r="CH1543" s="48"/>
      <c r="CI1543" s="98"/>
      <c r="CJ1543" s="98"/>
      <c r="CK1543" s="49">
        <f t="shared" si="368"/>
        <v>1077.047886908435</v>
      </c>
      <c r="CL1543" s="229"/>
      <c r="CM1543" s="229"/>
      <c r="CN1543" s="229"/>
      <c r="CO1543" s="47" t="s">
        <v>892</v>
      </c>
      <c r="CP1543" s="500" t="s">
        <v>893</v>
      </c>
      <c r="CQ1543" s="224">
        <v>2.0699395432006185</v>
      </c>
      <c r="CR1543" s="224">
        <f t="shared" si="378"/>
        <v>8.5125653075874795E-3</v>
      </c>
      <c r="CS1543" s="230" t="s">
        <v>539</v>
      </c>
      <c r="CT1543" s="230"/>
      <c r="CU1543" s="230"/>
      <c r="CV1543" s="335">
        <f t="shared" si="369"/>
        <v>86511.177244099934</v>
      </c>
      <c r="CW1543" s="230">
        <f t="shared" si="375"/>
        <v>1</v>
      </c>
      <c r="CX1543" s="336" t="s">
        <v>539</v>
      </c>
      <c r="CY1543" s="230" t="s">
        <v>5921</v>
      </c>
    </row>
    <row r="1544" spans="1:103" ht="11.25" customHeight="1" x14ac:dyDescent="0.2">
      <c r="A1544" s="72">
        <v>1307</v>
      </c>
      <c r="B1544" s="224">
        <v>386</v>
      </c>
      <c r="C1544" s="46" t="s">
        <v>7413</v>
      </c>
      <c r="D1544" s="46" t="s">
        <v>8651</v>
      </c>
      <c r="E1544" s="114"/>
      <c r="F1544" s="114" t="s">
        <v>3267</v>
      </c>
      <c r="G1544" s="225">
        <v>16752775</v>
      </c>
      <c r="H1544" s="47" t="s">
        <v>3268</v>
      </c>
      <c r="I1544" s="47" t="s">
        <v>3268</v>
      </c>
      <c r="J1544" s="47" t="s">
        <v>3269</v>
      </c>
      <c r="K1544" s="47" t="s">
        <v>1504</v>
      </c>
      <c r="L1544" s="47" t="s">
        <v>617</v>
      </c>
      <c r="M1544" s="47" t="s">
        <v>3936</v>
      </c>
      <c r="N1544" s="47" t="s">
        <v>6376</v>
      </c>
      <c r="O1544" s="47" t="s">
        <v>3271</v>
      </c>
      <c r="P1544" s="53"/>
      <c r="Q1544" s="53"/>
      <c r="R1544" s="53"/>
      <c r="S1544" s="53"/>
      <c r="T1544" s="48">
        <v>162.21</v>
      </c>
      <c r="U1544" s="98">
        <v>58000</v>
      </c>
      <c r="V1544" s="98">
        <v>20550</v>
      </c>
      <c r="W1544" s="98">
        <v>11483.588568495103</v>
      </c>
      <c r="X1544" s="98">
        <v>58000</v>
      </c>
      <c r="Y1544" s="233">
        <v>6.93</v>
      </c>
      <c r="Z1544" s="48">
        <v>0.61</v>
      </c>
      <c r="AA1544" s="48">
        <v>0.6</v>
      </c>
      <c r="AB1544" s="48">
        <v>0.53</v>
      </c>
      <c r="AC1544" s="48">
        <v>0.8548</v>
      </c>
      <c r="AD1544" s="48">
        <v>0.55000000000000004</v>
      </c>
      <c r="AE1544" s="48">
        <v>0.6</v>
      </c>
      <c r="AF1544" s="48">
        <f t="shared" si="373"/>
        <v>0.6</v>
      </c>
      <c r="AG1544" s="49">
        <v>0.93</v>
      </c>
      <c r="AH1544" s="98">
        <v>2.0200000000000001E-9</v>
      </c>
      <c r="AI1544" s="98">
        <v>1.97E-11</v>
      </c>
      <c r="AJ1544" s="483">
        <f t="shared" si="376"/>
        <v>-7.0832149568660281</v>
      </c>
      <c r="AK1544" s="483">
        <f t="shared" ref="AK1544:AK1549" si="379">LOG10(AI1544*1000/(0.08206*298.15))</f>
        <v>-9.0941001001510582</v>
      </c>
      <c r="AL1544" s="483">
        <f t="shared" si="377"/>
        <v>-9.0941001001510582</v>
      </c>
      <c r="AM1544" s="483">
        <v>-7.9050999999999991</v>
      </c>
      <c r="AN1544" s="226">
        <v>-7.49</v>
      </c>
      <c r="AO1544" s="484">
        <v>13.27</v>
      </c>
      <c r="AP1544" s="484">
        <v>-1.25</v>
      </c>
      <c r="AQ1544" s="226" t="s">
        <v>6311</v>
      </c>
      <c r="AR1544" s="226" t="s">
        <v>6311</v>
      </c>
      <c r="AS1544" s="224" t="s">
        <v>6</v>
      </c>
      <c r="AT1544" s="50" t="s">
        <v>266</v>
      </c>
      <c r="AU1544" s="48">
        <v>8</v>
      </c>
      <c r="AV1544" s="48">
        <v>144</v>
      </c>
      <c r="AW1544" s="48">
        <v>120</v>
      </c>
      <c r="AX1544" s="48">
        <v>26</v>
      </c>
      <c r="AY1544" s="48" t="s">
        <v>267</v>
      </c>
      <c r="AZ1544" s="48" t="s">
        <v>2253</v>
      </c>
      <c r="BA1544" s="48">
        <v>2</v>
      </c>
      <c r="BB1544" s="47" t="s">
        <v>2254</v>
      </c>
      <c r="BC1544" s="47" t="s">
        <v>270</v>
      </c>
      <c r="BD1544" s="47" t="s">
        <v>8374</v>
      </c>
      <c r="BE1544" s="48" t="s">
        <v>1712</v>
      </c>
      <c r="BF1544" s="48" t="s">
        <v>272</v>
      </c>
      <c r="BG1544" s="48" t="s">
        <v>272</v>
      </c>
      <c r="BH1544" s="48" t="s">
        <v>2255</v>
      </c>
      <c r="BI1544" s="98">
        <v>1.6221000000000001E-4</v>
      </c>
      <c r="BJ1544" s="98">
        <v>12.976800000000001</v>
      </c>
      <c r="BK1544" s="48"/>
      <c r="BL1544" s="487">
        <v>2360.6773020169553</v>
      </c>
      <c r="BM1544" s="48" t="s">
        <v>891</v>
      </c>
      <c r="BN1544" s="233"/>
      <c r="BO1544" s="233"/>
      <c r="BP1544" s="233"/>
      <c r="BQ1544" s="233"/>
      <c r="BR1544" s="233"/>
      <c r="BS1544" s="48"/>
      <c r="BT1544" s="233"/>
      <c r="BU1544" s="228"/>
      <c r="BV1544" s="233"/>
      <c r="BW1544" s="233"/>
      <c r="BX1544" s="233"/>
      <c r="BY1544" s="233"/>
      <c r="BZ1544" s="233"/>
      <c r="CA1544" s="233"/>
      <c r="CB1544" s="233"/>
      <c r="CC1544" s="48"/>
      <c r="CD1544" s="48"/>
      <c r="CE1544" s="48"/>
      <c r="CF1544" s="48"/>
      <c r="CG1544" s="233"/>
      <c r="CH1544" s="48"/>
      <c r="CI1544" s="98"/>
      <c r="CJ1544" s="98"/>
      <c r="CK1544" s="49">
        <f t="shared" si="368"/>
        <v>181.91521037674582</v>
      </c>
      <c r="CL1544" s="229"/>
      <c r="CM1544" s="229"/>
      <c r="CN1544" s="229"/>
      <c r="CO1544" s="47" t="s">
        <v>892</v>
      </c>
      <c r="CP1544" s="500" t="s">
        <v>893</v>
      </c>
      <c r="CQ1544" s="224">
        <v>0.18105186655060296</v>
      </c>
      <c r="CR1544" s="224">
        <f t="shared" si="378"/>
        <v>0.65909517668779405</v>
      </c>
      <c r="CS1544" s="230" t="s">
        <v>539</v>
      </c>
      <c r="CT1544" s="230"/>
      <c r="CU1544" s="230"/>
      <c r="CV1544" s="335">
        <f t="shared" si="369"/>
        <v>4469.5148264595273</v>
      </c>
      <c r="CW1544" s="230">
        <f t="shared" si="375"/>
        <v>1</v>
      </c>
      <c r="CX1544" s="336" t="s">
        <v>539</v>
      </c>
      <c r="CY1544" s="230" t="s">
        <v>5921</v>
      </c>
    </row>
    <row r="1545" spans="1:103" ht="11.25" customHeight="1" x14ac:dyDescent="0.2">
      <c r="A1545" s="72">
        <v>1312</v>
      </c>
      <c r="B1545" s="224">
        <v>395</v>
      </c>
      <c r="C1545" s="46" t="s">
        <v>3946</v>
      </c>
      <c r="D1545" s="46" t="s">
        <v>8652</v>
      </c>
      <c r="E1545" s="114"/>
      <c r="F1545" s="114" t="s">
        <v>3947</v>
      </c>
      <c r="G1545" s="225">
        <v>21087649</v>
      </c>
      <c r="H1545" s="47" t="s">
        <v>3948</v>
      </c>
      <c r="I1545" s="47" t="s">
        <v>3948</v>
      </c>
      <c r="J1545" s="47" t="s">
        <v>3949</v>
      </c>
      <c r="K1545" s="47" t="s">
        <v>483</v>
      </c>
      <c r="L1545" s="47"/>
      <c r="M1545" s="47" t="s">
        <v>2342</v>
      </c>
      <c r="N1545" s="47" t="s">
        <v>2342</v>
      </c>
      <c r="O1545" s="47"/>
      <c r="P1545" s="53" t="s">
        <v>8538</v>
      </c>
      <c r="Q1545" s="53" t="s">
        <v>6173</v>
      </c>
      <c r="R1545" s="53" t="s">
        <v>6183</v>
      </c>
      <c r="S1545" s="53" t="s">
        <v>6173</v>
      </c>
      <c r="T1545" s="48">
        <v>214.29</v>
      </c>
      <c r="U1545" s="98">
        <v>1050</v>
      </c>
      <c r="V1545" s="98">
        <v>1304</v>
      </c>
      <c r="W1545" s="98">
        <v>1025.6564248381817</v>
      </c>
      <c r="X1545" s="98">
        <v>1050</v>
      </c>
      <c r="Y1545" s="233">
        <v>7</v>
      </c>
      <c r="Z1545" s="48">
        <v>1.49</v>
      </c>
      <c r="AA1545" s="48">
        <v>1.7</v>
      </c>
      <c r="AB1545" s="48">
        <v>1.56</v>
      </c>
      <c r="AC1545" s="48">
        <v>0.91379999999999995</v>
      </c>
      <c r="AD1545" s="48">
        <v>1.5</v>
      </c>
      <c r="AE1545" s="48">
        <v>1.3</v>
      </c>
      <c r="AF1545" s="48">
        <f t="shared" si="373"/>
        <v>1.7</v>
      </c>
      <c r="AG1545" s="49">
        <v>1.33</v>
      </c>
      <c r="AH1545" s="98">
        <v>1.81E-12</v>
      </c>
      <c r="AI1545" s="98">
        <v>1.1700000000000001E-10</v>
      </c>
      <c r="AJ1545" s="483">
        <f t="shared" si="376"/>
        <v>-10.130887751443467</v>
      </c>
      <c r="AK1545" s="483">
        <f t="shared" si="379"/>
        <v>-8.3203804645664903</v>
      </c>
      <c r="AL1545" s="483">
        <f t="shared" si="377"/>
        <v>-8.3203804645664903</v>
      </c>
      <c r="AM1545" s="483">
        <v>-12.96701</v>
      </c>
      <c r="AN1545" s="226">
        <v>-6.13</v>
      </c>
      <c r="AO1545" s="484"/>
      <c r="AP1545" s="484">
        <v>-0.16</v>
      </c>
      <c r="AQ1545" s="226" t="s">
        <v>6311</v>
      </c>
      <c r="AR1545" s="226" t="s">
        <v>6311</v>
      </c>
      <c r="AS1545" s="224" t="s">
        <v>6</v>
      </c>
      <c r="AT1545" s="50" t="s">
        <v>266</v>
      </c>
      <c r="AU1545" s="48">
        <v>8</v>
      </c>
      <c r="AV1545" s="48">
        <v>144</v>
      </c>
      <c r="AW1545" s="48">
        <v>120</v>
      </c>
      <c r="AX1545" s="48">
        <v>26</v>
      </c>
      <c r="AY1545" s="48" t="s">
        <v>267</v>
      </c>
      <c r="AZ1545" s="48" t="s">
        <v>2253</v>
      </c>
      <c r="BA1545" s="48">
        <v>2</v>
      </c>
      <c r="BB1545" s="47" t="s">
        <v>2254</v>
      </c>
      <c r="BC1545" s="47" t="s">
        <v>270</v>
      </c>
      <c r="BD1545" s="47" t="s">
        <v>8374</v>
      </c>
      <c r="BE1545" s="48" t="s">
        <v>1712</v>
      </c>
      <c r="BF1545" s="48" t="s">
        <v>272</v>
      </c>
      <c r="BG1545" s="48" t="s">
        <v>272</v>
      </c>
      <c r="BH1545" s="48" t="s">
        <v>2255</v>
      </c>
      <c r="BI1545" s="98">
        <v>2.1428999999999998E-4</v>
      </c>
      <c r="BJ1545" s="98">
        <v>17.1432</v>
      </c>
      <c r="BK1545" s="48"/>
      <c r="BL1545" s="487">
        <v>505.39728533628062</v>
      </c>
      <c r="BM1545" s="48" t="s">
        <v>891</v>
      </c>
      <c r="BN1545" s="233"/>
      <c r="BO1545" s="233"/>
      <c r="BP1545" s="233"/>
      <c r="BQ1545" s="233"/>
      <c r="BR1545" s="233"/>
      <c r="BS1545" s="48"/>
      <c r="BT1545" s="233"/>
      <c r="BU1545" s="228"/>
      <c r="BV1545" s="233"/>
      <c r="BW1545" s="233"/>
      <c r="BX1545" s="233"/>
      <c r="BY1545" s="233"/>
      <c r="BZ1545" s="233"/>
      <c r="CA1545" s="233"/>
      <c r="CB1545" s="233"/>
      <c r="CC1545" s="48"/>
      <c r="CD1545" s="48"/>
      <c r="CE1545" s="48"/>
      <c r="CF1545" s="48"/>
      <c r="CG1545" s="233"/>
      <c r="CH1545" s="48"/>
      <c r="CI1545" s="98"/>
      <c r="CJ1545" s="98"/>
      <c r="CK1545" s="49">
        <f t="shared" si="368"/>
        <v>29.480918692909178</v>
      </c>
      <c r="CL1545" s="229"/>
      <c r="CM1545" s="229"/>
      <c r="CN1545" s="229"/>
      <c r="CO1545" s="47" t="s">
        <v>892</v>
      </c>
      <c r="CP1545" s="500" t="s">
        <v>893</v>
      </c>
      <c r="CQ1545" s="224">
        <v>1.8472130715812232</v>
      </c>
      <c r="CR1545" s="224">
        <f t="shared" si="378"/>
        <v>1.4216311418013992E-2</v>
      </c>
      <c r="CS1545" s="230" t="s">
        <v>539</v>
      </c>
      <c r="CT1545" s="230"/>
      <c r="CU1545" s="230"/>
      <c r="CV1545" s="335">
        <f t="shared" si="369"/>
        <v>61.248775024499508</v>
      </c>
      <c r="CW1545" s="230">
        <f t="shared" si="375"/>
        <v>1</v>
      </c>
      <c r="CX1545" s="336" t="s">
        <v>539</v>
      </c>
      <c r="CY1545" s="230" t="s">
        <v>5921</v>
      </c>
    </row>
    <row r="1546" spans="1:103" ht="11.25" customHeight="1" x14ac:dyDescent="0.2">
      <c r="A1546" s="72">
        <v>1314</v>
      </c>
      <c r="B1546" s="224">
        <v>265</v>
      </c>
      <c r="C1546" s="46" t="s">
        <v>2445</v>
      </c>
      <c r="D1546" s="46"/>
      <c r="E1546" s="114"/>
      <c r="F1546" s="114" t="s">
        <v>3779</v>
      </c>
      <c r="G1546" s="225">
        <v>21725462</v>
      </c>
      <c r="H1546" s="47" t="s">
        <v>2446</v>
      </c>
      <c r="I1546" s="47" t="s">
        <v>8106</v>
      </c>
      <c r="J1546" s="47" t="s">
        <v>2447</v>
      </c>
      <c r="K1546" s="47" t="s">
        <v>940</v>
      </c>
      <c r="L1546" s="47" t="s">
        <v>6026</v>
      </c>
      <c r="M1546" s="47" t="s">
        <v>6082</v>
      </c>
      <c r="N1546" s="47" t="s">
        <v>6082</v>
      </c>
      <c r="O1546" s="47" t="s">
        <v>6083</v>
      </c>
      <c r="P1546" s="53"/>
      <c r="Q1546" s="53" t="s">
        <v>6173</v>
      </c>
      <c r="R1546" s="53" t="s">
        <v>6185</v>
      </c>
      <c r="S1546" s="53" t="s">
        <v>6176</v>
      </c>
      <c r="T1546" s="48">
        <v>240.69</v>
      </c>
      <c r="U1546" s="98">
        <v>170</v>
      </c>
      <c r="V1546" s="98">
        <v>183.8</v>
      </c>
      <c r="W1546" s="98">
        <v>51.458609532229197</v>
      </c>
      <c r="X1546" s="98">
        <v>170</v>
      </c>
      <c r="Y1546" s="233">
        <v>7</v>
      </c>
      <c r="Z1546" s="48">
        <v>2.5099999999999998</v>
      </c>
      <c r="AA1546" s="48">
        <v>2.2200000000000002</v>
      </c>
      <c r="AB1546" s="48">
        <v>2.34</v>
      </c>
      <c r="AC1546" s="48">
        <v>0.84540000000000004</v>
      </c>
      <c r="AD1546" s="48">
        <v>2.2999999999999998</v>
      </c>
      <c r="AE1546" s="48">
        <v>2.19</v>
      </c>
      <c r="AF1546" s="48">
        <f t="shared" si="373"/>
        <v>2.2200000000000002</v>
      </c>
      <c r="AG1546" s="49">
        <v>2.1</v>
      </c>
      <c r="AH1546" s="98">
        <v>1.8600000000000002E-12</v>
      </c>
      <c r="AI1546" s="98">
        <v>2.5700000000000002E-12</v>
      </c>
      <c r="AJ1546" s="483">
        <f t="shared" si="376"/>
        <v>-10.119053382094735</v>
      </c>
      <c r="AK1546" s="483">
        <f t="shared" si="379"/>
        <v>-9.9786332029813565</v>
      </c>
      <c r="AL1546" s="483">
        <f t="shared" si="377"/>
        <v>-9.9786332029813565</v>
      </c>
      <c r="AM1546" s="483">
        <v>-13.04054</v>
      </c>
      <c r="AN1546" s="226">
        <v>-9.64</v>
      </c>
      <c r="AO1546" s="484"/>
      <c r="AP1546" s="484">
        <v>1.46</v>
      </c>
      <c r="AQ1546" s="226" t="s">
        <v>6311</v>
      </c>
      <c r="AR1546" s="226" t="s">
        <v>6311</v>
      </c>
      <c r="AS1546" s="224" t="s">
        <v>6</v>
      </c>
      <c r="AT1546" s="50" t="s">
        <v>266</v>
      </c>
      <c r="AU1546" s="48">
        <v>8</v>
      </c>
      <c r="AV1546" s="48">
        <v>144</v>
      </c>
      <c r="AW1546" s="48">
        <v>120</v>
      </c>
      <c r="AX1546" s="48">
        <v>26</v>
      </c>
      <c r="AY1546" s="48" t="s">
        <v>267</v>
      </c>
      <c r="AZ1546" s="48" t="s">
        <v>2253</v>
      </c>
      <c r="BA1546" s="48">
        <v>2</v>
      </c>
      <c r="BB1546" s="47" t="s">
        <v>2254</v>
      </c>
      <c r="BC1546" s="47" t="s">
        <v>270</v>
      </c>
      <c r="BD1546" s="47" t="s">
        <v>8374</v>
      </c>
      <c r="BE1546" s="48" t="s">
        <v>1712</v>
      </c>
      <c r="BF1546" s="48" t="s">
        <v>272</v>
      </c>
      <c r="BG1546" s="48" t="s">
        <v>272</v>
      </c>
      <c r="BH1546" s="48" t="s">
        <v>2255</v>
      </c>
      <c r="BI1546" s="98">
        <v>2.4068999999999997E-4</v>
      </c>
      <c r="BJ1546" s="98">
        <v>19.255199999999999</v>
      </c>
      <c r="BK1546" s="48"/>
      <c r="BL1546" s="487">
        <v>68.869518545715295</v>
      </c>
      <c r="BM1546" s="48" t="s">
        <v>891</v>
      </c>
      <c r="BN1546" s="233"/>
      <c r="BO1546" s="233"/>
      <c r="BP1546" s="233"/>
      <c r="BQ1546" s="233"/>
      <c r="BR1546" s="233"/>
      <c r="BS1546" s="48"/>
      <c r="BT1546" s="233"/>
      <c r="BU1546" s="228"/>
      <c r="BV1546" s="233"/>
      <c r="BW1546" s="233"/>
      <c r="BX1546" s="233"/>
      <c r="BY1546" s="233"/>
      <c r="BZ1546" s="233"/>
      <c r="CA1546" s="233"/>
      <c r="CB1546" s="233"/>
      <c r="CC1546" s="48"/>
      <c r="CD1546" s="48"/>
      <c r="CE1546" s="48"/>
      <c r="CF1546" s="48"/>
      <c r="CG1546" s="233"/>
      <c r="CH1546" s="48"/>
      <c r="CI1546" s="98"/>
      <c r="CJ1546" s="98"/>
      <c r="CK1546" s="49">
        <f t="shared" si="368"/>
        <v>3.5766711613338371</v>
      </c>
      <c r="CL1546" s="229"/>
      <c r="CM1546" s="229">
        <v>0.77815125038364341</v>
      </c>
      <c r="CN1546" s="229">
        <f>BJ1546/(10^CM1546)</f>
        <v>3.2092000000000005</v>
      </c>
      <c r="CO1546" s="47" t="s">
        <v>892</v>
      </c>
      <c r="CP1546" s="500" t="s">
        <v>893</v>
      </c>
      <c r="CQ1546" s="224">
        <v>1.1488097537803779</v>
      </c>
      <c r="CR1546" s="224">
        <f t="shared" si="378"/>
        <v>7.0988867235094663E-2</v>
      </c>
      <c r="CS1546" s="230" t="s">
        <v>539</v>
      </c>
      <c r="CT1546" s="230"/>
      <c r="CU1546" s="230"/>
      <c r="CV1546" s="335">
        <f t="shared" si="369"/>
        <v>8.8287839129170305</v>
      </c>
      <c r="CW1546" s="230">
        <f t="shared" si="375"/>
        <v>1</v>
      </c>
      <c r="CX1546" s="336" t="s">
        <v>539</v>
      </c>
      <c r="CY1546" s="230" t="s">
        <v>5921</v>
      </c>
    </row>
    <row r="1547" spans="1:103" ht="11.25" customHeight="1" x14ac:dyDescent="0.2">
      <c r="A1547" s="72">
        <v>1317</v>
      </c>
      <c r="B1547" s="224">
        <v>336</v>
      </c>
      <c r="C1547" s="46" t="s">
        <v>3162</v>
      </c>
      <c r="D1547" s="46"/>
      <c r="E1547" s="114"/>
      <c r="F1547" s="114" t="s">
        <v>3163</v>
      </c>
      <c r="G1547" s="225">
        <v>22224926</v>
      </c>
      <c r="H1547" s="47" t="s">
        <v>3164</v>
      </c>
      <c r="I1547" s="47" t="s">
        <v>3164</v>
      </c>
      <c r="J1547" s="47" t="s">
        <v>3165</v>
      </c>
      <c r="K1547" s="47" t="s">
        <v>637</v>
      </c>
      <c r="L1547" s="47" t="s">
        <v>617</v>
      </c>
      <c r="M1547" s="47" t="s">
        <v>946</v>
      </c>
      <c r="N1547" s="47" t="s">
        <v>6376</v>
      </c>
      <c r="O1547" s="47" t="s">
        <v>918</v>
      </c>
      <c r="P1547" s="53"/>
      <c r="Q1547" s="53"/>
      <c r="R1547" s="53"/>
      <c r="S1547" s="53"/>
      <c r="T1547" s="48">
        <v>303.36</v>
      </c>
      <c r="U1547" s="98">
        <v>329</v>
      </c>
      <c r="V1547" s="98">
        <v>20.47</v>
      </c>
      <c r="W1547" s="98">
        <v>205.09653141491145</v>
      </c>
      <c r="X1547" s="98">
        <v>329</v>
      </c>
      <c r="Y1547" s="233">
        <v>7</v>
      </c>
      <c r="Z1547" s="48">
        <v>3.29</v>
      </c>
      <c r="AA1547" s="48">
        <v>3.23</v>
      </c>
      <c r="AB1547" s="48">
        <v>3.1</v>
      </c>
      <c r="AC1547" s="48">
        <v>0.91149999999999998</v>
      </c>
      <c r="AD1547" s="48">
        <v>3.22</v>
      </c>
      <c r="AE1547" s="48">
        <v>3.68</v>
      </c>
      <c r="AF1547" s="48">
        <f t="shared" si="373"/>
        <v>3.23</v>
      </c>
      <c r="AG1547" s="49">
        <v>3.2</v>
      </c>
      <c r="AH1547" s="98">
        <v>9.6599999999999995E-11</v>
      </c>
      <c r="AI1547" s="98">
        <v>1.21E-9</v>
      </c>
      <c r="AJ1547" s="483">
        <f t="shared" si="376"/>
        <v>-8.4035891998971586</v>
      </c>
      <c r="AK1547" s="483">
        <f t="shared" si="379"/>
        <v>-7.3057809559962017</v>
      </c>
      <c r="AL1547" s="483">
        <f t="shared" si="377"/>
        <v>-7.3057809559962017</v>
      </c>
      <c r="AM1547" s="483">
        <v>-14.0052</v>
      </c>
      <c r="AN1547" s="226">
        <v>-7.03</v>
      </c>
      <c r="AO1547" s="484"/>
      <c r="AP1547" s="484">
        <v>-0.09</v>
      </c>
      <c r="AQ1547" s="226" t="s">
        <v>6311</v>
      </c>
      <c r="AR1547" s="226" t="s">
        <v>6311</v>
      </c>
      <c r="AS1547" s="224" t="s">
        <v>6</v>
      </c>
      <c r="AT1547" s="50" t="s">
        <v>266</v>
      </c>
      <c r="AU1547" s="48">
        <v>8</v>
      </c>
      <c r="AV1547" s="48">
        <v>144</v>
      </c>
      <c r="AW1547" s="48">
        <v>120</v>
      </c>
      <c r="AX1547" s="48">
        <v>26</v>
      </c>
      <c r="AY1547" s="48" t="s">
        <v>267</v>
      </c>
      <c r="AZ1547" s="48" t="s">
        <v>2253</v>
      </c>
      <c r="BA1547" s="48">
        <v>2</v>
      </c>
      <c r="BB1547" s="47" t="s">
        <v>2254</v>
      </c>
      <c r="BC1547" s="47" t="s">
        <v>270</v>
      </c>
      <c r="BD1547" s="47" t="s">
        <v>8374</v>
      </c>
      <c r="BE1547" s="48" t="s">
        <v>1712</v>
      </c>
      <c r="BF1547" s="48" t="s">
        <v>272</v>
      </c>
      <c r="BG1547" s="48" t="s">
        <v>272</v>
      </c>
      <c r="BH1547" s="48" t="s">
        <v>2255</v>
      </c>
      <c r="BI1547" s="98">
        <v>3.0336000000000002E-4</v>
      </c>
      <c r="BJ1547" s="98">
        <v>24.268800000000002</v>
      </c>
      <c r="BK1547" s="48"/>
      <c r="BL1547" s="487">
        <v>17.298534643385999</v>
      </c>
      <c r="BM1547" s="48" t="s">
        <v>891</v>
      </c>
      <c r="BN1547" s="233"/>
      <c r="BO1547" s="233"/>
      <c r="BP1547" s="233"/>
      <c r="BQ1547" s="233"/>
      <c r="BR1547" s="233"/>
      <c r="BS1547" s="48"/>
      <c r="BT1547" s="233"/>
      <c r="BU1547" s="228"/>
      <c r="BV1547" s="233"/>
      <c r="BW1547" s="233"/>
      <c r="BX1547" s="233"/>
      <c r="BY1547" s="233"/>
      <c r="BZ1547" s="233"/>
      <c r="CA1547" s="233"/>
      <c r="CB1547" s="233"/>
      <c r="CC1547" s="48"/>
      <c r="CD1547" s="238"/>
      <c r="CE1547" s="238"/>
      <c r="CF1547" s="238"/>
      <c r="CG1547" s="233"/>
      <c r="CH1547" s="48"/>
      <c r="CI1547" s="98"/>
      <c r="CJ1547" s="98"/>
      <c r="CK1547" s="49">
        <f t="shared" si="368"/>
        <v>0.71278903956462603</v>
      </c>
      <c r="CL1547" s="229"/>
      <c r="CM1547" s="229">
        <v>-1.7521858376341091</v>
      </c>
      <c r="CN1547" s="229">
        <f>BJ1547/(10^CM1547)</f>
        <v>1371.6210460758371</v>
      </c>
      <c r="CO1547" s="47" t="s">
        <v>892</v>
      </c>
      <c r="CP1547" s="500" t="s">
        <v>893</v>
      </c>
      <c r="CQ1547" s="224">
        <v>-1.4149970769866913</v>
      </c>
      <c r="CR1547" s="224">
        <f t="shared" si="378"/>
        <v>26.001420628843618</v>
      </c>
      <c r="CS1547" s="230" t="s">
        <v>539</v>
      </c>
      <c r="CT1547" s="230"/>
      <c r="CU1547" s="230"/>
      <c r="CV1547" s="335">
        <f t="shared" si="369"/>
        <v>13.556500527426159</v>
      </c>
      <c r="CW1547" s="230">
        <f t="shared" si="375"/>
        <v>1</v>
      </c>
      <c r="CX1547" s="336" t="s">
        <v>539</v>
      </c>
      <c r="CY1547" s="230" t="s">
        <v>5921</v>
      </c>
    </row>
    <row r="1548" spans="1:103" ht="11.25" customHeight="1" x14ac:dyDescent="0.2">
      <c r="A1548" s="72">
        <v>1321</v>
      </c>
      <c r="B1548" s="224">
        <v>434</v>
      </c>
      <c r="C1548" s="46" t="s">
        <v>7417</v>
      </c>
      <c r="D1548" s="46" t="s">
        <v>8653</v>
      </c>
      <c r="E1548" s="114"/>
      <c r="F1548" s="114" t="s">
        <v>3981</v>
      </c>
      <c r="G1548" s="225">
        <v>23103982</v>
      </c>
      <c r="H1548" s="47" t="s">
        <v>3982</v>
      </c>
      <c r="I1548" s="47" t="s">
        <v>3982</v>
      </c>
      <c r="J1548" s="47" t="s">
        <v>3983</v>
      </c>
      <c r="K1548" s="47" t="s">
        <v>616</v>
      </c>
      <c r="L1548" s="47" t="s">
        <v>617</v>
      </c>
      <c r="M1548" s="47" t="s">
        <v>946</v>
      </c>
      <c r="N1548" s="47" t="s">
        <v>6376</v>
      </c>
      <c r="O1548" s="47" t="s">
        <v>918</v>
      </c>
      <c r="P1548" s="53"/>
      <c r="Q1548" s="53"/>
      <c r="R1548" s="53"/>
      <c r="S1548" s="53"/>
      <c r="T1548" s="48">
        <v>238.29</v>
      </c>
      <c r="U1548" s="98">
        <v>2700</v>
      </c>
      <c r="V1548" s="98">
        <v>969.49999999999989</v>
      </c>
      <c r="W1548" s="98">
        <v>11145.660681732637</v>
      </c>
      <c r="X1548" s="98">
        <v>2700</v>
      </c>
      <c r="Y1548" s="233">
        <v>8.6300000000000008</v>
      </c>
      <c r="Z1548" s="48">
        <v>1.4</v>
      </c>
      <c r="AA1548" s="48">
        <v>1.7</v>
      </c>
      <c r="AB1548" s="48">
        <v>1.74</v>
      </c>
      <c r="AC1548" s="48">
        <v>0.86729999999999996</v>
      </c>
      <c r="AD1548" s="48">
        <v>1.73</v>
      </c>
      <c r="AE1548" s="48">
        <v>1.7</v>
      </c>
      <c r="AF1548" s="48">
        <f t="shared" si="373"/>
        <v>1.7</v>
      </c>
      <c r="AG1548" s="49">
        <v>1.99</v>
      </c>
      <c r="AH1548" s="98">
        <v>2.6200000000000001E-9</v>
      </c>
      <c r="AI1548" s="98">
        <v>8.4499999999999998E-10</v>
      </c>
      <c r="AJ1548" s="483">
        <f t="shared" si="376"/>
        <v>-6.9702650349929067</v>
      </c>
      <c r="AK1548" s="483">
        <f t="shared" si="379"/>
        <v>-7.4617096173629598</v>
      </c>
      <c r="AL1548" s="483">
        <f t="shared" si="377"/>
        <v>-7.4617096173629598</v>
      </c>
      <c r="AM1548" s="483">
        <v>-11.863299999999999</v>
      </c>
      <c r="AN1548" s="226">
        <v>-6.48</v>
      </c>
      <c r="AO1548" s="484"/>
      <c r="AP1548" s="484">
        <v>4.9000000000000004</v>
      </c>
      <c r="AQ1548" s="226" t="s">
        <v>6311</v>
      </c>
      <c r="AR1548" s="226" t="s">
        <v>6312</v>
      </c>
      <c r="AS1548" s="224" t="s">
        <v>6</v>
      </c>
      <c r="AT1548" s="50" t="s">
        <v>266</v>
      </c>
      <c r="AU1548" s="48">
        <v>8</v>
      </c>
      <c r="AV1548" s="48">
        <v>144</v>
      </c>
      <c r="AW1548" s="48">
        <v>120</v>
      </c>
      <c r="AX1548" s="48">
        <v>26</v>
      </c>
      <c r="AY1548" s="48" t="s">
        <v>267</v>
      </c>
      <c r="AZ1548" s="48" t="s">
        <v>2253</v>
      </c>
      <c r="BA1548" s="48">
        <v>2</v>
      </c>
      <c r="BB1548" s="47" t="s">
        <v>2254</v>
      </c>
      <c r="BC1548" s="47" t="s">
        <v>270</v>
      </c>
      <c r="BD1548" s="47" t="s">
        <v>8374</v>
      </c>
      <c r="BE1548" s="48" t="s">
        <v>1712</v>
      </c>
      <c r="BF1548" s="48" t="s">
        <v>272</v>
      </c>
      <c r="BG1548" s="48" t="s">
        <v>272</v>
      </c>
      <c r="BH1548" s="48" t="s">
        <v>2255</v>
      </c>
      <c r="BI1548" s="98">
        <v>2.3828999999999997E-4</v>
      </c>
      <c r="BJ1548" s="98">
        <v>19.063199999999998</v>
      </c>
      <c r="BK1548" s="48"/>
      <c r="BL1548" s="487">
        <v>676.96437900470914</v>
      </c>
      <c r="BM1548" s="48" t="s">
        <v>891</v>
      </c>
      <c r="BN1548" s="233"/>
      <c r="BO1548" s="233"/>
      <c r="BP1548" s="233"/>
      <c r="BQ1548" s="233"/>
      <c r="BR1548" s="233"/>
      <c r="BS1548" s="48"/>
      <c r="BT1548" s="233"/>
      <c r="BU1548" s="228"/>
      <c r="BV1548" s="233"/>
      <c r="BW1548" s="233"/>
      <c r="BX1548" s="233"/>
      <c r="BY1548" s="233"/>
      <c r="BZ1548" s="233"/>
      <c r="CA1548" s="233"/>
      <c r="CB1548" s="233"/>
      <c r="CC1548" s="48"/>
      <c r="CD1548" s="48"/>
      <c r="CE1548" s="48"/>
      <c r="CF1548" s="48"/>
      <c r="CG1548" s="233"/>
      <c r="CH1548" s="48"/>
      <c r="CI1548" s="98"/>
      <c r="CJ1548" s="98"/>
      <c r="CK1548" s="49">
        <f t="shared" si="368"/>
        <v>35.511581424142285</v>
      </c>
      <c r="CL1548" s="229"/>
      <c r="CM1548" s="229"/>
      <c r="CN1548" s="229"/>
      <c r="CO1548" s="47" t="s">
        <v>892</v>
      </c>
      <c r="CP1548" s="500" t="s">
        <v>893</v>
      </c>
      <c r="CQ1548" s="224">
        <v>1.8660822961392676</v>
      </c>
      <c r="CR1548" s="224">
        <f t="shared" si="378"/>
        <v>1.3611867214949251E-2</v>
      </c>
      <c r="CS1548" s="230" t="s">
        <v>539</v>
      </c>
      <c r="CT1548" s="230"/>
      <c r="CU1548" s="230"/>
      <c r="CV1548" s="335">
        <f t="shared" si="369"/>
        <v>141.63414327080449</v>
      </c>
      <c r="CW1548" s="230">
        <f t="shared" si="375"/>
        <v>1</v>
      </c>
      <c r="CX1548" s="336" t="s">
        <v>539</v>
      </c>
      <c r="CY1548" s="230" t="s">
        <v>5921</v>
      </c>
    </row>
    <row r="1549" spans="1:103" ht="11.25" customHeight="1" x14ac:dyDescent="0.2">
      <c r="A1549" s="72">
        <v>1323</v>
      </c>
      <c r="B1549" s="224">
        <v>416</v>
      </c>
      <c r="C1549" s="46" t="s">
        <v>7418</v>
      </c>
      <c r="D1549" s="46" t="s">
        <v>8654</v>
      </c>
      <c r="E1549" s="114"/>
      <c r="F1549" s="114" t="s">
        <v>3384</v>
      </c>
      <c r="G1549" s="225">
        <v>23135220</v>
      </c>
      <c r="H1549" s="47" t="s">
        <v>3385</v>
      </c>
      <c r="I1549" s="47" t="s">
        <v>3385</v>
      </c>
      <c r="J1549" s="47" t="s">
        <v>3386</v>
      </c>
      <c r="K1549" s="47" t="s">
        <v>3387</v>
      </c>
      <c r="L1549" s="47" t="s">
        <v>617</v>
      </c>
      <c r="M1549" s="47" t="s">
        <v>618</v>
      </c>
      <c r="N1549" s="47" t="s">
        <v>6376</v>
      </c>
      <c r="O1549" s="47" t="s">
        <v>918</v>
      </c>
      <c r="P1549" s="53"/>
      <c r="Q1549" s="53"/>
      <c r="R1549" s="53"/>
      <c r="S1549" s="53"/>
      <c r="T1549" s="48">
        <v>219.26</v>
      </c>
      <c r="U1549" s="98">
        <v>280000</v>
      </c>
      <c r="V1549" s="98">
        <v>4287</v>
      </c>
      <c r="W1549" s="98">
        <v>14156.614625813852</v>
      </c>
      <c r="X1549" s="98">
        <v>280000</v>
      </c>
      <c r="Y1549" s="233">
        <v>5.83</v>
      </c>
      <c r="Z1549" s="48">
        <v>-1.2</v>
      </c>
      <c r="AA1549" s="48">
        <v>-0.47</v>
      </c>
      <c r="AB1549" s="48">
        <v>0.18</v>
      </c>
      <c r="AC1549" s="48">
        <v>0.73540000000000005</v>
      </c>
      <c r="AD1549" s="48">
        <v>-0.06</v>
      </c>
      <c r="AE1549" s="48">
        <v>-0.47</v>
      </c>
      <c r="AF1549" s="48">
        <f t="shared" si="373"/>
        <v>-0.47</v>
      </c>
      <c r="AG1549" s="49">
        <v>0.31</v>
      </c>
      <c r="AH1549" s="98">
        <v>3.5299999999999997E-11</v>
      </c>
      <c r="AI1549" s="98">
        <v>2.3700000000000001E-10</v>
      </c>
      <c r="AJ1549" s="483">
        <f t="shared" si="376"/>
        <v>-8.8407916209248292</v>
      </c>
      <c r="AK1549" s="483">
        <f t="shared" si="379"/>
        <v>-8.013817980302548</v>
      </c>
      <c r="AL1549" s="483">
        <f t="shared" si="377"/>
        <v>-8.013817980302548</v>
      </c>
      <c r="AM1549" s="483">
        <v>-14.050719999999998</v>
      </c>
      <c r="AN1549" s="226">
        <v>-12.7</v>
      </c>
      <c r="AO1549" s="484">
        <v>10.48</v>
      </c>
      <c r="AP1549" s="484">
        <v>-1.93</v>
      </c>
      <c r="AQ1549" s="226" t="s">
        <v>6311</v>
      </c>
      <c r="AR1549" s="226" t="s">
        <v>6311</v>
      </c>
      <c r="AS1549" s="224" t="s">
        <v>6</v>
      </c>
      <c r="AT1549" s="50" t="s">
        <v>266</v>
      </c>
      <c r="AU1549" s="48">
        <v>8</v>
      </c>
      <c r="AV1549" s="48">
        <v>144</v>
      </c>
      <c r="AW1549" s="48">
        <v>120</v>
      </c>
      <c r="AX1549" s="48">
        <v>26</v>
      </c>
      <c r="AY1549" s="48" t="s">
        <v>267</v>
      </c>
      <c r="AZ1549" s="48" t="s">
        <v>2253</v>
      </c>
      <c r="BA1549" s="48">
        <v>3</v>
      </c>
      <c r="BB1549" s="47" t="s">
        <v>2254</v>
      </c>
      <c r="BC1549" s="47" t="s">
        <v>270</v>
      </c>
      <c r="BD1549" s="47" t="s">
        <v>8374</v>
      </c>
      <c r="BE1549" s="48" t="s">
        <v>1712</v>
      </c>
      <c r="BF1549" s="48" t="s">
        <v>272</v>
      </c>
      <c r="BG1549" s="48" t="s">
        <v>272</v>
      </c>
      <c r="BH1549" s="48" t="s">
        <v>2255</v>
      </c>
      <c r="BI1549" s="98">
        <v>2.1925999999999998E-4</v>
      </c>
      <c r="BJ1549" s="98">
        <v>17.540800000000001</v>
      </c>
      <c r="BK1549" s="48"/>
      <c r="BL1549" s="487">
        <v>134734.68451045887</v>
      </c>
      <c r="BM1549" s="48" t="s">
        <v>891</v>
      </c>
      <c r="BN1549" s="233"/>
      <c r="BO1549" s="233"/>
      <c r="BP1549" s="233"/>
      <c r="BQ1549" s="233"/>
      <c r="BR1549" s="233"/>
      <c r="BS1549" s="48"/>
      <c r="BT1549" s="233"/>
      <c r="BU1549" s="228"/>
      <c r="BV1549" s="233"/>
      <c r="BW1549" s="233"/>
      <c r="BX1549" s="233"/>
      <c r="BY1549" s="233"/>
      <c r="BZ1549" s="233"/>
      <c r="CA1549" s="233"/>
      <c r="CB1549" s="233"/>
      <c r="CC1549" s="48"/>
      <c r="CD1549" s="48"/>
      <c r="CE1549" s="48"/>
      <c r="CF1549" s="48"/>
      <c r="CG1549" s="233"/>
      <c r="CH1549" s="48"/>
      <c r="CI1549" s="98"/>
      <c r="CJ1549" s="98"/>
      <c r="CK1549" s="49">
        <f t="shared" si="368"/>
        <v>7681.2166212749053</v>
      </c>
      <c r="CL1549" s="229"/>
      <c r="CM1549" s="229"/>
      <c r="CN1549" s="229"/>
      <c r="CO1549" s="47" t="s">
        <v>892</v>
      </c>
      <c r="CP1549" s="500" t="s">
        <v>893</v>
      </c>
      <c r="CQ1549" s="224">
        <v>0.8145187889324822</v>
      </c>
      <c r="CR1549" s="224">
        <f t="shared" si="378"/>
        <v>0.15327848918781145</v>
      </c>
      <c r="CS1549" s="230" t="s">
        <v>539</v>
      </c>
      <c r="CT1549" s="230"/>
      <c r="CU1549" s="230"/>
      <c r="CV1549" s="335">
        <f t="shared" si="369"/>
        <v>15962.783909513819</v>
      </c>
      <c r="CW1549" s="230">
        <f t="shared" si="375"/>
        <v>1</v>
      </c>
      <c r="CX1549" s="336" t="s">
        <v>539</v>
      </c>
      <c r="CY1549" s="230" t="s">
        <v>5921</v>
      </c>
    </row>
    <row r="1550" spans="1:103" ht="11.25" customHeight="1" x14ac:dyDescent="0.2">
      <c r="A1550" s="72">
        <v>1325</v>
      </c>
      <c r="B1550" s="224">
        <v>348</v>
      </c>
      <c r="C1550" s="46" t="s">
        <v>7419</v>
      </c>
      <c r="D1550" s="46"/>
      <c r="E1550" s="114"/>
      <c r="F1550" s="114" t="s">
        <v>3883</v>
      </c>
      <c r="G1550" s="225">
        <v>23422539</v>
      </c>
      <c r="H1550" s="47" t="s">
        <v>3884</v>
      </c>
      <c r="I1550" s="47" t="s">
        <v>8109</v>
      </c>
      <c r="J1550" s="47" t="s">
        <v>3885</v>
      </c>
      <c r="K1550" s="47" t="s">
        <v>616</v>
      </c>
      <c r="L1550" s="47"/>
      <c r="M1550" s="47"/>
      <c r="N1550" s="47"/>
      <c r="O1550" s="47"/>
      <c r="P1550" s="53"/>
      <c r="Q1550" s="53"/>
      <c r="R1550" s="53"/>
      <c r="S1550" s="53"/>
      <c r="T1550" s="48">
        <v>257.72000000000003</v>
      </c>
      <c r="U1550" s="98"/>
      <c r="V1550" s="98">
        <v>3683</v>
      </c>
      <c r="W1550" s="98"/>
      <c r="X1550" s="98">
        <v>3683</v>
      </c>
      <c r="Y1550" s="233"/>
      <c r="Z1550" s="48">
        <v>-0.64</v>
      </c>
      <c r="AA1550" s="48"/>
      <c r="AB1550" s="48">
        <v>0</v>
      </c>
      <c r="AC1550" s="48">
        <v>0</v>
      </c>
      <c r="AD1550" s="48">
        <v>0</v>
      </c>
      <c r="AE1550" s="48">
        <v>0</v>
      </c>
      <c r="AF1550" s="48"/>
      <c r="AG1550" s="49">
        <v>1.8</v>
      </c>
      <c r="AH1550" s="98">
        <v>2.2699999999999998E-19</v>
      </c>
      <c r="AI1550" s="98"/>
      <c r="AJ1550" s="483">
        <f t="shared" si="376"/>
        <v>-17.032540469119528</v>
      </c>
      <c r="AK1550" s="483"/>
      <c r="AL1550" s="483">
        <f t="shared" si="377"/>
        <v>-17.032540469119528</v>
      </c>
      <c r="AM1550" s="483"/>
      <c r="AN1550" s="226">
        <v>-8.93</v>
      </c>
      <c r="AO1550" s="484"/>
      <c r="AP1550" s="484"/>
      <c r="AQ1550" s="226" t="s">
        <v>6311</v>
      </c>
      <c r="AR1550" s="226" t="s">
        <v>6314</v>
      </c>
      <c r="AS1550" s="224" t="s">
        <v>6</v>
      </c>
      <c r="AT1550" s="50" t="s">
        <v>266</v>
      </c>
      <c r="AU1550" s="48">
        <v>8</v>
      </c>
      <c r="AV1550" s="48">
        <v>144</v>
      </c>
      <c r="AW1550" s="48">
        <v>120</v>
      </c>
      <c r="AX1550" s="48">
        <v>26</v>
      </c>
      <c r="AY1550" s="48" t="s">
        <v>267</v>
      </c>
      <c r="AZ1550" s="48" t="s">
        <v>2253</v>
      </c>
      <c r="BA1550" s="48">
        <v>2</v>
      </c>
      <c r="BB1550" s="47" t="s">
        <v>2254</v>
      </c>
      <c r="BC1550" s="47" t="s">
        <v>270</v>
      </c>
      <c r="BD1550" s="47" t="s">
        <v>8374</v>
      </c>
      <c r="BE1550" s="48" t="s">
        <v>1712</v>
      </c>
      <c r="BF1550" s="48" t="s">
        <v>272</v>
      </c>
      <c r="BG1550" s="48" t="s">
        <v>272</v>
      </c>
      <c r="BH1550" s="48" t="s">
        <v>2255</v>
      </c>
      <c r="BI1550" s="98">
        <v>2.5772000000000002E-4</v>
      </c>
      <c r="BJ1550" s="98">
        <v>20.617600000000003</v>
      </c>
      <c r="BK1550" s="48"/>
      <c r="BL1550" s="487">
        <v>49743.017026368405</v>
      </c>
      <c r="BM1550" s="48" t="s">
        <v>891</v>
      </c>
      <c r="BN1550" s="233"/>
      <c r="BO1550" s="233"/>
      <c r="BP1550" s="233"/>
      <c r="BQ1550" s="233"/>
      <c r="BR1550" s="233"/>
      <c r="BS1550" s="48"/>
      <c r="BT1550" s="233"/>
      <c r="BU1550" s="228"/>
      <c r="BV1550" s="233"/>
      <c r="BW1550" s="233"/>
      <c r="BX1550" s="233"/>
      <c r="BY1550" s="233"/>
      <c r="BZ1550" s="233"/>
      <c r="CA1550" s="233"/>
      <c r="CB1550" s="233"/>
      <c r="CC1550" s="48"/>
      <c r="CD1550" s="48"/>
      <c r="CE1550" s="48"/>
      <c r="CF1550" s="48"/>
      <c r="CG1550" s="233"/>
      <c r="CH1550" s="48"/>
      <c r="CI1550" s="98"/>
      <c r="CJ1550" s="98"/>
      <c r="CK1550" s="49">
        <f t="shared" si="368"/>
        <v>2412.6482726587187</v>
      </c>
      <c r="CL1550" s="229"/>
      <c r="CM1550" s="229"/>
      <c r="CN1550" s="229"/>
      <c r="CO1550" s="47" t="s">
        <v>892</v>
      </c>
      <c r="CP1550" s="500" t="s">
        <v>893</v>
      </c>
      <c r="CQ1550" s="224" t="s">
        <v>272</v>
      </c>
      <c r="CR1550" s="224"/>
      <c r="CS1550" s="230" t="s">
        <v>539</v>
      </c>
      <c r="CT1550" s="230"/>
      <c r="CU1550" s="230"/>
      <c r="CV1550" s="335">
        <f t="shared" si="369"/>
        <v>178.63378860779139</v>
      </c>
      <c r="CW1550" s="230">
        <f t="shared" si="375"/>
        <v>1</v>
      </c>
      <c r="CX1550" s="336" t="s">
        <v>539</v>
      </c>
      <c r="CY1550" s="230" t="s">
        <v>5921</v>
      </c>
    </row>
    <row r="1551" spans="1:103" ht="11.25" customHeight="1" x14ac:dyDescent="0.2">
      <c r="A1551" s="72">
        <v>1329</v>
      </c>
      <c r="B1551" s="224">
        <v>450</v>
      </c>
      <c r="C1551" s="46" t="s">
        <v>7421</v>
      </c>
      <c r="D1551" s="46" t="s">
        <v>8655</v>
      </c>
      <c r="E1551" s="114"/>
      <c r="F1551" s="114" t="s">
        <v>4004</v>
      </c>
      <c r="G1551" s="225">
        <v>23950585</v>
      </c>
      <c r="H1551" s="47" t="s">
        <v>4005</v>
      </c>
      <c r="I1551" s="47" t="s">
        <v>8110</v>
      </c>
      <c r="J1551" s="47" t="s">
        <v>4006</v>
      </c>
      <c r="K1551" s="47" t="s">
        <v>471</v>
      </c>
      <c r="L1551" s="47" t="s">
        <v>6052</v>
      </c>
      <c r="M1551" s="47" t="s">
        <v>5960</v>
      </c>
      <c r="N1551" s="47"/>
      <c r="O1551" s="47"/>
      <c r="P1551" s="53"/>
      <c r="Q1551" s="53"/>
      <c r="R1551" s="53"/>
      <c r="S1551" s="53"/>
      <c r="T1551" s="48">
        <v>256.13</v>
      </c>
      <c r="U1551" s="98">
        <v>15</v>
      </c>
      <c r="V1551" s="98">
        <v>25.74</v>
      </c>
      <c r="W1551" s="98">
        <v>32.244856572284007</v>
      </c>
      <c r="X1551" s="98">
        <v>15</v>
      </c>
      <c r="Y1551" s="233">
        <v>7</v>
      </c>
      <c r="Z1551" s="48">
        <v>3.57</v>
      </c>
      <c r="AA1551" s="48">
        <v>3.43</v>
      </c>
      <c r="AB1551" s="48">
        <v>3.36</v>
      </c>
      <c r="AC1551" s="48">
        <v>0.87749999999999995</v>
      </c>
      <c r="AD1551" s="48">
        <v>3.42</v>
      </c>
      <c r="AE1551" s="48">
        <v>3.64</v>
      </c>
      <c r="AF1551" s="48">
        <f>IF(AA1551=0,AD1551,AA1551)</f>
        <v>3.43</v>
      </c>
      <c r="AG1551" s="49">
        <v>3.67</v>
      </c>
      <c r="AH1551" s="98">
        <v>1.03E-9</v>
      </c>
      <c r="AI1551" s="98">
        <v>9.7700000000000008E-9</v>
      </c>
      <c r="AJ1551" s="483">
        <f t="shared" si="376"/>
        <v>-7.3757291016074795</v>
      </c>
      <c r="AK1551" s="483">
        <f>LOG10(AI1551*1000/(0.08206*298.15))</f>
        <v>-6.3986717625938789</v>
      </c>
      <c r="AL1551" s="483">
        <f t="shared" si="377"/>
        <v>-6.3986717625938789</v>
      </c>
      <c r="AM1551" s="483">
        <v>-11.341019999999999</v>
      </c>
      <c r="AN1551" s="226">
        <v>-8.0299999999999994</v>
      </c>
      <c r="AO1551" s="484">
        <v>12.3</v>
      </c>
      <c r="AP1551" s="484">
        <v>-2.79</v>
      </c>
      <c r="AQ1551" s="226" t="s">
        <v>6311</v>
      </c>
      <c r="AR1551" s="226" t="s">
        <v>6311</v>
      </c>
      <c r="AS1551" s="224" t="s">
        <v>6</v>
      </c>
      <c r="AT1551" s="50" t="s">
        <v>266</v>
      </c>
      <c r="AU1551" s="48">
        <v>8</v>
      </c>
      <c r="AV1551" s="48">
        <v>144</v>
      </c>
      <c r="AW1551" s="48">
        <v>120</v>
      </c>
      <c r="AX1551" s="48">
        <v>26</v>
      </c>
      <c r="AY1551" s="48" t="s">
        <v>267</v>
      </c>
      <c r="AZ1551" s="48" t="s">
        <v>2253</v>
      </c>
      <c r="BA1551" s="48">
        <v>2</v>
      </c>
      <c r="BB1551" s="47" t="s">
        <v>2254</v>
      </c>
      <c r="BC1551" s="47" t="s">
        <v>270</v>
      </c>
      <c r="BD1551" s="47" t="s">
        <v>8374</v>
      </c>
      <c r="BE1551" s="48" t="s">
        <v>1712</v>
      </c>
      <c r="BF1551" s="48" t="s">
        <v>272</v>
      </c>
      <c r="BG1551" s="48" t="s">
        <v>272</v>
      </c>
      <c r="BH1551" s="48" t="s">
        <v>2255</v>
      </c>
      <c r="BI1551" s="98">
        <v>2.5612999999999998E-4</v>
      </c>
      <c r="BJ1551" s="98">
        <v>20.490400000000001</v>
      </c>
      <c r="BK1551" s="48"/>
      <c r="BL1551" s="487">
        <v>8.1854667650080852</v>
      </c>
      <c r="BM1551" s="48" t="s">
        <v>891</v>
      </c>
      <c r="BN1551" s="233"/>
      <c r="BO1551" s="233"/>
      <c r="BP1551" s="233"/>
      <c r="BQ1551" s="233"/>
      <c r="BR1551" s="233"/>
      <c r="BS1551" s="48"/>
      <c r="BT1551" s="233"/>
      <c r="BU1551" s="228"/>
      <c r="BV1551" s="233"/>
      <c r="BW1551" s="233"/>
      <c r="BX1551" s="233"/>
      <c r="BY1551" s="233"/>
      <c r="BZ1551" s="233"/>
      <c r="CA1551" s="233"/>
      <c r="CB1551" s="233"/>
      <c r="CC1551" s="48"/>
      <c r="CD1551" s="48"/>
      <c r="CE1551" s="48"/>
      <c r="CF1551" s="48"/>
      <c r="CG1551" s="233"/>
      <c r="CH1551" s="48"/>
      <c r="CI1551" s="98"/>
      <c r="CJ1551" s="98"/>
      <c r="CK1551" s="49">
        <f t="shared" si="368"/>
        <v>0.39947813439503793</v>
      </c>
      <c r="CL1551" s="229"/>
      <c r="CM1551" s="229"/>
      <c r="CN1551" s="229"/>
      <c r="CO1551" s="47" t="s">
        <v>892</v>
      </c>
      <c r="CP1551" s="500" t="s">
        <v>893</v>
      </c>
      <c r="CQ1551" s="224">
        <v>1.4413191808480192</v>
      </c>
      <c r="CR1551" s="224">
        <f>10^(CJ1551-CQ1551)</f>
        <v>3.6197686896922439E-2</v>
      </c>
      <c r="CS1551" s="230" t="s">
        <v>539</v>
      </c>
      <c r="CT1551" s="230"/>
      <c r="CU1551" s="230"/>
      <c r="CV1551" s="335">
        <f t="shared" si="369"/>
        <v>0.73205013079295667</v>
      </c>
      <c r="CW1551" s="230">
        <f t="shared" si="375"/>
        <v>0</v>
      </c>
      <c r="CX1551" s="336" t="s">
        <v>539</v>
      </c>
      <c r="CY1551" s="230" t="s">
        <v>5921</v>
      </c>
    </row>
    <row r="1552" spans="1:103" ht="11.25" customHeight="1" x14ac:dyDescent="0.2">
      <c r="A1552" s="72">
        <v>1331</v>
      </c>
      <c r="B1552" s="224">
        <v>375</v>
      </c>
      <c r="C1552" s="46" t="s">
        <v>7422</v>
      </c>
      <c r="D1552" s="46"/>
      <c r="E1552" s="114"/>
      <c r="F1552" s="114" t="s">
        <v>3921</v>
      </c>
      <c r="G1552" s="225">
        <v>24307264</v>
      </c>
      <c r="H1552" s="47" t="s">
        <v>3922</v>
      </c>
      <c r="I1552" s="47" t="s">
        <v>8111</v>
      </c>
      <c r="J1552" s="47" t="s">
        <v>3923</v>
      </c>
      <c r="K1552" s="47" t="s">
        <v>426</v>
      </c>
      <c r="L1552" s="47"/>
      <c r="M1552" s="47"/>
      <c r="N1552" s="47"/>
      <c r="O1552" s="47"/>
      <c r="P1552" s="53"/>
      <c r="Q1552" s="53"/>
      <c r="R1552" s="53"/>
      <c r="S1552" s="53"/>
      <c r="T1552" s="48">
        <v>114.21</v>
      </c>
      <c r="U1552" s="98">
        <v>499999.99999999994</v>
      </c>
      <c r="V1552" s="98">
        <v>999999.99999999988</v>
      </c>
      <c r="W1552" s="98">
        <v>198474.23265146618</v>
      </c>
      <c r="X1552" s="98">
        <v>499999.99999999994</v>
      </c>
      <c r="Y1552" s="233">
        <v>7</v>
      </c>
      <c r="Z1552" s="48">
        <v>-2.82</v>
      </c>
      <c r="AA1552" s="48">
        <v>-2.82</v>
      </c>
      <c r="AB1552" s="48">
        <v>-2.5099999999999998</v>
      </c>
      <c r="AC1552" s="48">
        <v>0.88990000000000002</v>
      </c>
      <c r="AD1552" s="48">
        <v>-2.34</v>
      </c>
      <c r="AE1552" s="48">
        <v>-1.71</v>
      </c>
      <c r="AF1552" s="48">
        <f>IF(AA1552=0,AD1552,AA1552)</f>
        <v>-2.82</v>
      </c>
      <c r="AG1552" s="49">
        <v>1.56</v>
      </c>
      <c r="AH1552" s="98">
        <v>4.31E-12</v>
      </c>
      <c r="AI1552" s="98"/>
      <c r="AJ1552" s="483">
        <f t="shared" si="376"/>
        <v>-9.7540890561519209</v>
      </c>
      <c r="AK1552" s="483"/>
      <c r="AL1552" s="483">
        <f t="shared" si="377"/>
        <v>-9.7540890561519209</v>
      </c>
      <c r="AM1552" s="483">
        <v>-0.20416000000000012</v>
      </c>
      <c r="AN1552" s="226">
        <v>-4.01</v>
      </c>
      <c r="AO1552" s="484"/>
      <c r="AP1552" s="484"/>
      <c r="AQ1552" s="226" t="s">
        <v>6311</v>
      </c>
      <c r="AR1552" s="226" t="s">
        <v>6311</v>
      </c>
      <c r="AS1552" s="224" t="s">
        <v>6</v>
      </c>
      <c r="AT1552" s="50" t="s">
        <v>266</v>
      </c>
      <c r="AU1552" s="48">
        <v>8</v>
      </c>
      <c r="AV1552" s="48">
        <v>144</v>
      </c>
      <c r="AW1552" s="48">
        <v>120</v>
      </c>
      <c r="AX1552" s="48">
        <v>26</v>
      </c>
      <c r="AY1552" s="48" t="s">
        <v>267</v>
      </c>
      <c r="AZ1552" s="48" t="s">
        <v>2253</v>
      </c>
      <c r="BA1552" s="48">
        <v>2</v>
      </c>
      <c r="BB1552" s="47" t="s">
        <v>2254</v>
      </c>
      <c r="BC1552" s="47" t="s">
        <v>270</v>
      </c>
      <c r="BD1552" s="47" t="s">
        <v>8374</v>
      </c>
      <c r="BE1552" s="48" t="s">
        <v>1712</v>
      </c>
      <c r="BF1552" s="48" t="s">
        <v>272</v>
      </c>
      <c r="BG1552" s="48" t="s">
        <v>272</v>
      </c>
      <c r="BH1552" s="48" t="s">
        <v>2255</v>
      </c>
      <c r="BI1552" s="98">
        <v>1.1420999999999999E-4</v>
      </c>
      <c r="BJ1552" s="98">
        <v>9.1367999999999991</v>
      </c>
      <c r="BK1552" s="48"/>
      <c r="BL1552" s="487">
        <v>2000534.8969622131</v>
      </c>
      <c r="BM1552" s="48" t="s">
        <v>891</v>
      </c>
      <c r="BN1552" s="233"/>
      <c r="BO1552" s="233"/>
      <c r="BP1552" s="233"/>
      <c r="BQ1552" s="233"/>
      <c r="BR1552" s="233"/>
      <c r="BS1552" s="48"/>
      <c r="BT1552" s="233"/>
      <c r="BU1552" s="228"/>
      <c r="BV1552" s="233"/>
      <c r="BW1552" s="233"/>
      <c r="BX1552" s="233"/>
      <c r="BY1552" s="233"/>
      <c r="BZ1552" s="233"/>
      <c r="CA1552" s="233"/>
      <c r="CB1552" s="233"/>
      <c r="CC1552" s="48"/>
      <c r="CD1552" s="48"/>
      <c r="CE1552" s="48"/>
      <c r="CF1552" s="48"/>
      <c r="CG1552" s="233"/>
      <c r="CH1552" s="48"/>
      <c r="CI1552" s="98"/>
      <c r="CJ1552" s="98"/>
      <c r="CK1552" s="49">
        <f t="shared" si="368"/>
        <v>218953.56108946385</v>
      </c>
      <c r="CL1552" s="229"/>
      <c r="CM1552" s="229"/>
      <c r="CN1552" s="229"/>
      <c r="CO1552" s="47" t="s">
        <v>892</v>
      </c>
      <c r="CP1552" s="500" t="s">
        <v>893</v>
      </c>
      <c r="CQ1552" s="224">
        <v>3.1986570869544226</v>
      </c>
      <c r="CR1552" s="224">
        <f>10^(CJ1552-CQ1552)</f>
        <v>6.3291139240506309E-4</v>
      </c>
      <c r="CS1552" s="230" t="s">
        <v>539</v>
      </c>
      <c r="CT1552" s="230"/>
      <c r="CU1552" s="230"/>
      <c r="CV1552" s="335">
        <f t="shared" si="369"/>
        <v>54723.754487347869</v>
      </c>
      <c r="CW1552" s="230">
        <f t="shared" si="375"/>
        <v>1</v>
      </c>
      <c r="CX1552" s="336" t="s">
        <v>539</v>
      </c>
      <c r="CY1552" s="230" t="s">
        <v>5921</v>
      </c>
    </row>
    <row r="1553" spans="1:103" ht="11.25" customHeight="1" x14ac:dyDescent="0.2">
      <c r="A1553" s="72">
        <v>1333</v>
      </c>
      <c r="B1553" s="224">
        <v>232</v>
      </c>
      <c r="C1553" s="46" t="s">
        <v>7423</v>
      </c>
      <c r="D1553" s="46"/>
      <c r="E1553" s="114"/>
      <c r="F1553" s="114" t="s">
        <v>3734</v>
      </c>
      <c r="G1553" s="225">
        <v>25057890</v>
      </c>
      <c r="H1553" s="47" t="s">
        <v>3735</v>
      </c>
      <c r="I1553" s="47" t="s">
        <v>3735</v>
      </c>
      <c r="J1553" s="47" t="s">
        <v>3736</v>
      </c>
      <c r="K1553" s="47" t="s">
        <v>471</v>
      </c>
      <c r="L1553" s="47"/>
      <c r="M1553" s="47"/>
      <c r="N1553" s="47"/>
      <c r="O1553" s="47"/>
      <c r="P1553" s="53"/>
      <c r="Q1553" s="53"/>
      <c r="R1553" s="53"/>
      <c r="S1553" s="53"/>
      <c r="T1553" s="48">
        <v>240.28</v>
      </c>
      <c r="U1553" s="98">
        <v>500</v>
      </c>
      <c r="V1553" s="98">
        <v>268.60000000000002</v>
      </c>
      <c r="W1553" s="98">
        <v>190.86118823955022</v>
      </c>
      <c r="X1553" s="98">
        <v>500</v>
      </c>
      <c r="Y1553" s="233">
        <v>3.37</v>
      </c>
      <c r="Z1553" s="48">
        <v>1.67</v>
      </c>
      <c r="AA1553" s="48">
        <v>2.34</v>
      </c>
      <c r="AB1553" s="48">
        <v>1.68</v>
      </c>
      <c r="AC1553" s="48">
        <v>0.79949999999999999</v>
      </c>
      <c r="AD1553" s="48">
        <v>2.04</v>
      </c>
      <c r="AE1553" s="48">
        <v>2.8</v>
      </c>
      <c r="AF1553" s="48">
        <f>IF(AA1553=0,AD1553,AA1553)</f>
        <v>2.34</v>
      </c>
      <c r="AG1553" s="49">
        <v>1.1399999999999999</v>
      </c>
      <c r="AH1553" s="98">
        <v>1.9900000000000001E-10</v>
      </c>
      <c r="AI1553" s="98">
        <v>2.1799999999999999E-9</v>
      </c>
      <c r="AJ1553" s="483">
        <f t="shared" si="376"/>
        <v>-8.0897132499029443</v>
      </c>
      <c r="AK1553" s="483">
        <f>LOG10(AI1553*1000/(0.08206*298.15))</f>
        <v>-7.0501098327080474</v>
      </c>
      <c r="AL1553" s="483">
        <f t="shared" si="377"/>
        <v>-7.0501098327080474</v>
      </c>
      <c r="AM1553" s="483">
        <v>-15.664450000000002</v>
      </c>
      <c r="AN1553" s="226">
        <v>-5.7</v>
      </c>
      <c r="AO1553" s="484">
        <v>3.28</v>
      </c>
      <c r="AP1553" s="484"/>
      <c r="AQ1553" s="226" t="s">
        <v>6311</v>
      </c>
      <c r="AR1553" s="226" t="s">
        <v>6311</v>
      </c>
      <c r="AS1553" s="224" t="s">
        <v>6</v>
      </c>
      <c r="AT1553" s="50" t="s">
        <v>266</v>
      </c>
      <c r="AU1553" s="48">
        <v>8</v>
      </c>
      <c r="AV1553" s="48">
        <v>144</v>
      </c>
      <c r="AW1553" s="48">
        <v>120</v>
      </c>
      <c r="AX1553" s="48">
        <v>26</v>
      </c>
      <c r="AY1553" s="48" t="s">
        <v>267</v>
      </c>
      <c r="AZ1553" s="48" t="s">
        <v>2253</v>
      </c>
      <c r="BA1553" s="48">
        <v>2</v>
      </c>
      <c r="BB1553" s="47" t="s">
        <v>2254</v>
      </c>
      <c r="BC1553" s="47" t="s">
        <v>270</v>
      </c>
      <c r="BD1553" s="47" t="s">
        <v>8374</v>
      </c>
      <c r="BE1553" s="48" t="s">
        <v>1712</v>
      </c>
      <c r="BF1553" s="48" t="s">
        <v>272</v>
      </c>
      <c r="BG1553" s="48" t="s">
        <v>272</v>
      </c>
      <c r="BH1553" s="48" t="s">
        <v>2255</v>
      </c>
      <c r="BI1553" s="98">
        <v>2.4028E-4</v>
      </c>
      <c r="BJ1553" s="98">
        <v>19.2224</v>
      </c>
      <c r="BK1553" s="48"/>
      <c r="BL1553" s="487">
        <v>390.56257308084844</v>
      </c>
      <c r="BM1553" s="48" t="s">
        <v>891</v>
      </c>
      <c r="BN1553" s="233"/>
      <c r="BO1553" s="233"/>
      <c r="BP1553" s="233"/>
      <c r="BQ1553" s="233"/>
      <c r="BR1553" s="233"/>
      <c r="BS1553" s="48"/>
      <c r="BT1553" s="233"/>
      <c r="BU1553" s="228"/>
      <c r="BV1553" s="233"/>
      <c r="BW1553" s="233"/>
      <c r="BX1553" s="233"/>
      <c r="BY1553" s="233"/>
      <c r="BZ1553" s="233"/>
      <c r="CA1553" s="233"/>
      <c r="CB1553" s="233"/>
      <c r="CC1553" s="48"/>
      <c r="CD1553" s="48"/>
      <c r="CE1553" s="48"/>
      <c r="CF1553" s="48"/>
      <c r="CG1553" s="233"/>
      <c r="CH1553" s="48"/>
      <c r="CI1553" s="98"/>
      <c r="CJ1553" s="98"/>
      <c r="CK1553" s="49">
        <f t="shared" si="368"/>
        <v>20.318096235685889</v>
      </c>
      <c r="CL1553" s="229"/>
      <c r="CM1553" s="229"/>
      <c r="CN1553" s="229"/>
      <c r="CO1553" s="47" t="s">
        <v>892</v>
      </c>
      <c r="CP1553" s="500" t="s">
        <v>893</v>
      </c>
      <c r="CQ1553" s="224" t="s">
        <v>272</v>
      </c>
      <c r="CR1553" s="224"/>
      <c r="CS1553" s="230" t="s">
        <v>539</v>
      </c>
      <c r="CT1553" s="230"/>
      <c r="CU1553" s="230"/>
      <c r="CV1553" s="335">
        <f t="shared" si="369"/>
        <v>26.01132012651906</v>
      </c>
      <c r="CW1553" s="230">
        <f t="shared" si="375"/>
        <v>1</v>
      </c>
      <c r="CX1553" s="336" t="s">
        <v>539</v>
      </c>
      <c r="CY1553" s="230" t="s">
        <v>5921</v>
      </c>
    </row>
    <row r="1554" spans="1:103" ht="11.25" customHeight="1" x14ac:dyDescent="0.2">
      <c r="A1554" s="72">
        <v>1336</v>
      </c>
      <c r="B1554" s="224">
        <v>444</v>
      </c>
      <c r="C1554" s="46" t="s">
        <v>7425</v>
      </c>
      <c r="D1554" s="46"/>
      <c r="E1554" s="114"/>
      <c r="F1554" s="114" t="s">
        <v>3994</v>
      </c>
      <c r="G1554" s="225">
        <v>25606411</v>
      </c>
      <c r="H1554" s="47" t="s">
        <v>3995</v>
      </c>
      <c r="I1554" s="47" t="s">
        <v>8112</v>
      </c>
      <c r="J1554" s="47" t="s">
        <v>3996</v>
      </c>
      <c r="K1554" s="47" t="s">
        <v>1180</v>
      </c>
      <c r="L1554" s="47"/>
      <c r="M1554" s="47"/>
      <c r="N1554" s="47"/>
      <c r="O1554" s="47"/>
      <c r="P1554" s="53"/>
      <c r="Q1554" s="53"/>
      <c r="R1554" s="53"/>
      <c r="S1554" s="53"/>
      <c r="T1554" s="48">
        <v>224.73</v>
      </c>
      <c r="U1554" s="98">
        <v>1000000</v>
      </c>
      <c r="V1554" s="98">
        <v>3435</v>
      </c>
      <c r="W1554" s="98"/>
      <c r="X1554" s="98">
        <v>1000000</v>
      </c>
      <c r="Y1554" s="233"/>
      <c r="Z1554" s="48">
        <v>-0.39</v>
      </c>
      <c r="AA1554" s="48"/>
      <c r="AB1554" s="48">
        <v>0</v>
      </c>
      <c r="AC1554" s="48">
        <v>0</v>
      </c>
      <c r="AD1554" s="48">
        <v>0</v>
      </c>
      <c r="AE1554" s="48">
        <v>0</v>
      </c>
      <c r="AF1554" s="48"/>
      <c r="AG1554" s="49">
        <v>1.43</v>
      </c>
      <c r="AH1554" s="98">
        <v>8.4399999999999998E-18</v>
      </c>
      <c r="AI1554" s="98"/>
      <c r="AJ1554" s="483">
        <f t="shared" si="376"/>
        <v>-15.462223879686997</v>
      </c>
      <c r="AK1554" s="483"/>
      <c r="AL1554" s="483">
        <f t="shared" si="377"/>
        <v>-15.462223879686997</v>
      </c>
      <c r="AM1554" s="483"/>
      <c r="AN1554" s="226">
        <v>-9.19</v>
      </c>
      <c r="AO1554" s="484"/>
      <c r="AP1554" s="484"/>
      <c r="AQ1554" s="226" t="s">
        <v>6311</v>
      </c>
      <c r="AR1554" s="226" t="s">
        <v>6312</v>
      </c>
      <c r="AS1554" s="224" t="s">
        <v>6</v>
      </c>
      <c r="AT1554" s="50" t="s">
        <v>266</v>
      </c>
      <c r="AU1554" s="48">
        <v>8</v>
      </c>
      <c r="AV1554" s="48">
        <v>144</v>
      </c>
      <c r="AW1554" s="48">
        <v>120</v>
      </c>
      <c r="AX1554" s="48">
        <v>26</v>
      </c>
      <c r="AY1554" s="48" t="s">
        <v>267</v>
      </c>
      <c r="AZ1554" s="48" t="s">
        <v>2253</v>
      </c>
      <c r="BA1554" s="48">
        <v>2</v>
      </c>
      <c r="BB1554" s="47" t="s">
        <v>2254</v>
      </c>
      <c r="BC1554" s="47" t="s">
        <v>270</v>
      </c>
      <c r="BD1554" s="47" t="s">
        <v>8374</v>
      </c>
      <c r="BE1554" s="48" t="s">
        <v>1712</v>
      </c>
      <c r="BF1554" s="48" t="s">
        <v>272</v>
      </c>
      <c r="BG1554" s="48" t="s">
        <v>272</v>
      </c>
      <c r="BH1554" s="48" t="s">
        <v>2255</v>
      </c>
      <c r="BI1554" s="98">
        <v>2.2472999999999997E-4</v>
      </c>
      <c r="BJ1554" s="98">
        <v>17.978400000000001</v>
      </c>
      <c r="BK1554" s="48"/>
      <c r="BL1554" s="487">
        <v>25865.450788757142</v>
      </c>
      <c r="BM1554" s="48" t="s">
        <v>891</v>
      </c>
      <c r="BN1554" s="233"/>
      <c r="BO1554" s="233"/>
      <c r="BP1554" s="233"/>
      <c r="BQ1554" s="233"/>
      <c r="BR1554" s="233"/>
      <c r="BS1554" s="48"/>
      <c r="BT1554" s="233"/>
      <c r="BU1554" s="228"/>
      <c r="BV1554" s="233"/>
      <c r="BW1554" s="233"/>
      <c r="BX1554" s="233"/>
      <c r="BY1554" s="233"/>
      <c r="BZ1554" s="233"/>
      <c r="CA1554" s="233"/>
      <c r="CB1554" s="233"/>
      <c r="CC1554" s="48"/>
      <c r="CD1554" s="48"/>
      <c r="CE1554" s="48"/>
      <c r="CF1554" s="48"/>
      <c r="CG1554" s="233"/>
      <c r="CH1554" s="48"/>
      <c r="CI1554" s="98"/>
      <c r="CJ1554" s="98"/>
      <c r="CK1554" s="49">
        <f t="shared" si="368"/>
        <v>1438.6959233723323</v>
      </c>
      <c r="CL1554" s="229"/>
      <c r="CM1554" s="229"/>
      <c r="CN1554" s="229"/>
      <c r="CO1554" s="47" t="s">
        <v>892</v>
      </c>
      <c r="CP1554" s="500" t="s">
        <v>893</v>
      </c>
      <c r="CQ1554" s="224" t="s">
        <v>272</v>
      </c>
      <c r="CR1554" s="224"/>
      <c r="CS1554" s="230" t="s">
        <v>539</v>
      </c>
      <c r="CT1554" s="230"/>
      <c r="CU1554" s="230"/>
      <c r="CV1554" s="335">
        <f t="shared" si="369"/>
        <v>55622.302318337555</v>
      </c>
      <c r="CW1554" s="230">
        <f t="shared" si="375"/>
        <v>1</v>
      </c>
      <c r="CX1554" s="336" t="s">
        <v>539</v>
      </c>
      <c r="CY1554" s="230" t="s">
        <v>5921</v>
      </c>
    </row>
    <row r="1555" spans="1:103" ht="11.25" customHeight="1" x14ac:dyDescent="0.2">
      <c r="A1555" s="72">
        <v>1339</v>
      </c>
      <c r="B1555" s="224">
        <v>332</v>
      </c>
      <c r="C1555" s="46" t="s">
        <v>7427</v>
      </c>
      <c r="D1555" s="46" t="s">
        <v>8657</v>
      </c>
      <c r="E1555" s="114"/>
      <c r="F1555" s="114" t="s">
        <v>3136</v>
      </c>
      <c r="G1555" s="225">
        <v>26225796</v>
      </c>
      <c r="H1555" s="47" t="s">
        <v>3137</v>
      </c>
      <c r="I1555" s="47" t="s">
        <v>3137</v>
      </c>
      <c r="J1555" s="47" t="s">
        <v>3138</v>
      </c>
      <c r="K1555" s="47" t="s">
        <v>357</v>
      </c>
      <c r="L1555" s="47" t="s">
        <v>6038</v>
      </c>
      <c r="M1555" s="47" t="s">
        <v>2342</v>
      </c>
      <c r="N1555" s="47" t="s">
        <v>2342</v>
      </c>
      <c r="O1555" s="47"/>
      <c r="P1555" s="53" t="s">
        <v>8538</v>
      </c>
      <c r="Q1555" s="53" t="s">
        <v>6173</v>
      </c>
      <c r="R1555" s="53" t="s">
        <v>6183</v>
      </c>
      <c r="S1555" s="53" t="s">
        <v>6173</v>
      </c>
      <c r="T1555" s="48">
        <v>286.35000000000002</v>
      </c>
      <c r="U1555" s="98">
        <v>50</v>
      </c>
      <c r="V1555" s="98">
        <v>72.86</v>
      </c>
      <c r="W1555" s="98">
        <v>217.21868860960652</v>
      </c>
      <c r="X1555" s="98">
        <v>50</v>
      </c>
      <c r="Y1555" s="233">
        <v>7</v>
      </c>
      <c r="Z1555" s="48">
        <v>2.89</v>
      </c>
      <c r="AA1555" s="48">
        <v>2.7</v>
      </c>
      <c r="AB1555" s="48">
        <v>2.19</v>
      </c>
      <c r="AC1555" s="48">
        <v>0.86560000000000004</v>
      </c>
      <c r="AD1555" s="48">
        <v>2.14</v>
      </c>
      <c r="AE1555" s="48">
        <v>2</v>
      </c>
      <c r="AF1555" s="48">
        <f t="shared" ref="AF1555:AF1586" si="380">IF(AA1555=0,AD1555,AA1555)</f>
        <v>2.7</v>
      </c>
      <c r="AG1555" s="49">
        <v>2.5</v>
      </c>
      <c r="AH1555" s="98">
        <v>1.1700000000000001E-9</v>
      </c>
      <c r="AI1555" s="98">
        <v>3.69E-8</v>
      </c>
      <c r="AJ1555" s="483">
        <f t="shared" si="376"/>
        <v>-7.3203804645664903</v>
      </c>
      <c r="AK1555" s="483">
        <f t="shared" ref="AK1555:AK1564" si="381">LOG10(AI1555*1000/(0.08206*298.15))</f>
        <v>-5.8215399601535918</v>
      </c>
      <c r="AL1555" s="483">
        <f t="shared" si="377"/>
        <v>-5.8215399601535918</v>
      </c>
      <c r="AM1555" s="483">
        <v>-12.87795</v>
      </c>
      <c r="AN1555" s="226">
        <v>-6.59</v>
      </c>
      <c r="AO1555" s="484"/>
      <c r="AP1555" s="484"/>
      <c r="AQ1555" s="226" t="s">
        <v>6311</v>
      </c>
      <c r="AR1555" s="226" t="s">
        <v>6311</v>
      </c>
      <c r="AS1555" s="224" t="s">
        <v>6</v>
      </c>
      <c r="AT1555" s="50" t="s">
        <v>266</v>
      </c>
      <c r="AU1555" s="48">
        <v>8</v>
      </c>
      <c r="AV1555" s="48">
        <v>144</v>
      </c>
      <c r="AW1555" s="48">
        <v>120</v>
      </c>
      <c r="AX1555" s="48">
        <v>26</v>
      </c>
      <c r="AY1555" s="48" t="s">
        <v>267</v>
      </c>
      <c r="AZ1555" s="48" t="s">
        <v>2253</v>
      </c>
      <c r="BA1555" s="48">
        <v>2</v>
      </c>
      <c r="BB1555" s="47" t="s">
        <v>2254</v>
      </c>
      <c r="BC1555" s="47" t="s">
        <v>270</v>
      </c>
      <c r="BD1555" s="47" t="s">
        <v>8374</v>
      </c>
      <c r="BE1555" s="48" t="s">
        <v>1712</v>
      </c>
      <c r="BF1555" s="48" t="s">
        <v>272</v>
      </c>
      <c r="BG1555" s="48" t="s">
        <v>272</v>
      </c>
      <c r="BH1555" s="48" t="s">
        <v>2255</v>
      </c>
      <c r="BI1555" s="98">
        <v>2.8634999999999999E-4</v>
      </c>
      <c r="BJ1555" s="98">
        <v>22.908000000000001</v>
      </c>
      <c r="BK1555" s="48"/>
      <c r="BL1555" s="487">
        <v>37.341192871066504</v>
      </c>
      <c r="BM1555" s="48" t="s">
        <v>891</v>
      </c>
      <c r="BN1555" s="233"/>
      <c r="BO1555" s="233"/>
      <c r="BP1555" s="233"/>
      <c r="BQ1555" s="233"/>
      <c r="BR1555" s="233"/>
      <c r="BS1555" s="48"/>
      <c r="BT1555" s="233"/>
      <c r="BU1555" s="228"/>
      <c r="BV1555" s="233"/>
      <c r="BW1555" s="233"/>
      <c r="BX1555" s="233"/>
      <c r="BY1555" s="233"/>
      <c r="BZ1555" s="233"/>
      <c r="CA1555" s="233"/>
      <c r="CB1555" s="233"/>
      <c r="CC1555" s="48"/>
      <c r="CD1555" s="48"/>
      <c r="CE1555" s="48"/>
      <c r="CF1555" s="48"/>
      <c r="CG1555" s="233"/>
      <c r="CH1555" s="48"/>
      <c r="CI1555" s="98"/>
      <c r="CJ1555" s="98"/>
      <c r="CK1555" s="49">
        <f t="shared" si="368"/>
        <v>1.6300503261335124</v>
      </c>
      <c r="CL1555" s="229"/>
      <c r="CM1555" s="229"/>
      <c r="CN1555" s="229"/>
      <c r="CO1555" s="47" t="s">
        <v>892</v>
      </c>
      <c r="CP1555" s="500" t="s">
        <v>893</v>
      </c>
      <c r="CQ1555" s="224">
        <v>0.93576039588830162</v>
      </c>
      <c r="CR1555" s="224">
        <f t="shared" ref="CR1555:CR1562" si="382">10^(CJ1555-CQ1555)</f>
        <v>0.11594168402727414</v>
      </c>
      <c r="CS1555" s="230" t="s">
        <v>539</v>
      </c>
      <c r="CT1555" s="230"/>
      <c r="CU1555" s="230"/>
      <c r="CV1555" s="335">
        <f t="shared" si="369"/>
        <v>2.182643617950061</v>
      </c>
      <c r="CW1555" s="230">
        <f t="shared" si="375"/>
        <v>1</v>
      </c>
      <c r="CX1555" s="336" t="s">
        <v>539</v>
      </c>
      <c r="CY1555" s="230" t="s">
        <v>5921</v>
      </c>
    </row>
    <row r="1556" spans="1:103" ht="11.25" customHeight="1" x14ac:dyDescent="0.2">
      <c r="A1556" s="72">
        <v>1341</v>
      </c>
      <c r="B1556" s="224">
        <v>412</v>
      </c>
      <c r="C1556" s="46" t="s">
        <v>7428</v>
      </c>
      <c r="D1556" s="46" t="s">
        <v>8658</v>
      </c>
      <c r="E1556" s="114"/>
      <c r="F1556" s="114" t="s">
        <v>3350</v>
      </c>
      <c r="G1556" s="225">
        <v>27314132</v>
      </c>
      <c r="H1556" s="47" t="s">
        <v>3351</v>
      </c>
      <c r="I1556" s="47" t="s">
        <v>8113</v>
      </c>
      <c r="J1556" s="47" t="s">
        <v>3352</v>
      </c>
      <c r="K1556" s="47" t="s">
        <v>3353</v>
      </c>
      <c r="L1556" s="47" t="s">
        <v>6048</v>
      </c>
      <c r="M1556" s="47" t="s">
        <v>6082</v>
      </c>
      <c r="N1556" s="47" t="s">
        <v>6082</v>
      </c>
      <c r="O1556" s="47" t="s">
        <v>6083</v>
      </c>
      <c r="P1556" s="53"/>
      <c r="Q1556" s="53"/>
      <c r="R1556" s="53"/>
      <c r="S1556" s="53"/>
      <c r="T1556" s="48">
        <v>303.67</v>
      </c>
      <c r="U1556" s="98">
        <v>33.700000000000003</v>
      </c>
      <c r="V1556" s="98">
        <v>126.9</v>
      </c>
      <c r="W1556" s="98">
        <v>27.695033158720896</v>
      </c>
      <c r="X1556" s="98">
        <v>33.700000000000003</v>
      </c>
      <c r="Y1556" s="233">
        <v>7</v>
      </c>
      <c r="Z1556" s="48">
        <v>2.19</v>
      </c>
      <c r="AA1556" s="48">
        <v>2.2999999999999998</v>
      </c>
      <c r="AB1556" s="48">
        <v>2.2000000000000002</v>
      </c>
      <c r="AC1556" s="48">
        <v>0.84279999999999999</v>
      </c>
      <c r="AD1556" s="48">
        <v>2.25</v>
      </c>
      <c r="AE1556" s="48">
        <v>2.4500000000000002</v>
      </c>
      <c r="AF1556" s="48">
        <f t="shared" si="380"/>
        <v>2.2999999999999998</v>
      </c>
      <c r="AG1556" s="49">
        <v>2.56</v>
      </c>
      <c r="AH1556" s="98">
        <v>1.2500000000000001E-10</v>
      </c>
      <c r="AI1556" s="98">
        <v>3.43E-10</v>
      </c>
      <c r="AJ1556" s="483">
        <f t="shared" si="376"/>
        <v>-8.2916563133045962</v>
      </c>
      <c r="AK1556" s="483">
        <f t="shared" si="381"/>
        <v>-7.8532722062698817</v>
      </c>
      <c r="AL1556" s="483">
        <f t="shared" si="377"/>
        <v>-7.8532722062698817</v>
      </c>
      <c r="AM1556" s="483">
        <v>-12.369860000000001</v>
      </c>
      <c r="AN1556" s="226">
        <v>-7.96</v>
      </c>
      <c r="AO1556" s="484"/>
      <c r="AP1556" s="484">
        <v>1.1100000000000001</v>
      </c>
      <c r="AQ1556" s="226" t="s">
        <v>6311</v>
      </c>
      <c r="AR1556" s="226" t="s">
        <v>6311</v>
      </c>
      <c r="AS1556" s="224" t="s">
        <v>6</v>
      </c>
      <c r="AT1556" s="50" t="s">
        <v>266</v>
      </c>
      <c r="AU1556" s="48">
        <v>8</v>
      </c>
      <c r="AV1556" s="48">
        <v>144</v>
      </c>
      <c r="AW1556" s="48">
        <v>120</v>
      </c>
      <c r="AX1556" s="48">
        <v>26</v>
      </c>
      <c r="AY1556" s="48" t="s">
        <v>267</v>
      </c>
      <c r="AZ1556" s="48" t="s">
        <v>2253</v>
      </c>
      <c r="BA1556" s="48">
        <v>2</v>
      </c>
      <c r="BB1556" s="47" t="s">
        <v>2254</v>
      </c>
      <c r="BC1556" s="47" t="s">
        <v>270</v>
      </c>
      <c r="BD1556" s="47" t="s">
        <v>8374</v>
      </c>
      <c r="BE1556" s="48" t="s">
        <v>1712</v>
      </c>
      <c r="BF1556" s="48" t="s">
        <v>272</v>
      </c>
      <c r="BG1556" s="48" t="s">
        <v>272</v>
      </c>
      <c r="BH1556" s="48" t="s">
        <v>2255</v>
      </c>
      <c r="BI1556" s="98">
        <v>3.0367000000000002E-4</v>
      </c>
      <c r="BJ1556" s="98">
        <v>24.293600000000001</v>
      </c>
      <c r="BK1556" s="48"/>
      <c r="BL1556" s="487">
        <v>168.40806639264599</v>
      </c>
      <c r="BM1556" s="48" t="s">
        <v>891</v>
      </c>
      <c r="BN1556" s="233"/>
      <c r="BO1556" s="233"/>
      <c r="BP1556" s="233"/>
      <c r="BQ1556" s="233"/>
      <c r="BR1556" s="233"/>
      <c r="BS1556" s="48"/>
      <c r="BT1556" s="233"/>
      <c r="BU1556" s="228"/>
      <c r="BV1556" s="233"/>
      <c r="BW1556" s="233"/>
      <c r="BX1556" s="233"/>
      <c r="BY1556" s="233"/>
      <c r="BZ1556" s="233"/>
      <c r="CA1556" s="233"/>
      <c r="CB1556" s="233"/>
      <c r="CC1556" s="48"/>
      <c r="CD1556" s="48"/>
      <c r="CE1556" s="48"/>
      <c r="CF1556" s="48"/>
      <c r="CG1556" s="233"/>
      <c r="CH1556" s="48"/>
      <c r="CI1556" s="98"/>
      <c r="CJ1556" s="98"/>
      <c r="CK1556" s="49">
        <f t="shared" si="368"/>
        <v>6.932198866888645</v>
      </c>
      <c r="CL1556" s="229"/>
      <c r="CM1556" s="229"/>
      <c r="CN1556" s="229"/>
      <c r="CO1556" s="47" t="s">
        <v>892</v>
      </c>
      <c r="CP1556" s="500" t="s">
        <v>893</v>
      </c>
      <c r="CQ1556" s="224">
        <v>1.0603363116413038</v>
      </c>
      <c r="CR1556" s="224">
        <f t="shared" si="382"/>
        <v>8.7028938887550783E-2</v>
      </c>
      <c r="CS1556" s="230" t="s">
        <v>539</v>
      </c>
      <c r="CT1556" s="230"/>
      <c r="CU1556" s="230"/>
      <c r="CV1556" s="335">
        <f t="shared" si="369"/>
        <v>1.3871966279184642</v>
      </c>
      <c r="CW1556" s="230">
        <f t="shared" ref="CW1556:CW1587" si="383">IF(CV1556&lt;1,0,1)</f>
        <v>1</v>
      </c>
      <c r="CX1556" s="336" t="s">
        <v>539</v>
      </c>
      <c r="CY1556" s="230" t="s">
        <v>5921</v>
      </c>
    </row>
    <row r="1557" spans="1:103" ht="11.25" customHeight="1" x14ac:dyDescent="0.2">
      <c r="A1557" s="72">
        <v>1346</v>
      </c>
      <c r="B1557" s="224">
        <v>435</v>
      </c>
      <c r="C1557" s="46" t="s">
        <v>7430</v>
      </c>
      <c r="D1557" s="46"/>
      <c r="E1557" s="114"/>
      <c r="F1557" s="114" t="s">
        <v>3984</v>
      </c>
      <c r="G1557" s="225">
        <v>29091212</v>
      </c>
      <c r="H1557" s="47" t="s">
        <v>3985</v>
      </c>
      <c r="I1557" s="47" t="s">
        <v>8115</v>
      </c>
      <c r="J1557" s="47" t="s">
        <v>3986</v>
      </c>
      <c r="K1557" s="47" t="s">
        <v>3987</v>
      </c>
      <c r="L1557" s="47" t="s">
        <v>6049</v>
      </c>
      <c r="M1557" s="47" t="s">
        <v>5960</v>
      </c>
      <c r="N1557" s="47"/>
      <c r="O1557" s="47"/>
      <c r="P1557" s="53"/>
      <c r="Q1557" s="53" t="s">
        <v>6176</v>
      </c>
      <c r="R1557" s="53" t="s">
        <v>6185</v>
      </c>
      <c r="S1557" s="53" t="s">
        <v>6176</v>
      </c>
      <c r="T1557" s="48">
        <v>350.29</v>
      </c>
      <c r="U1557" s="98">
        <v>1.2999999999999999E-2</v>
      </c>
      <c r="V1557" s="98">
        <v>1.9450000000000001</v>
      </c>
      <c r="W1557" s="98">
        <v>0.14602517633582363</v>
      </c>
      <c r="X1557" s="98">
        <v>1.2999999999999999E-2</v>
      </c>
      <c r="Y1557" s="233">
        <v>7</v>
      </c>
      <c r="Z1557" s="48">
        <v>4.9400000000000004</v>
      </c>
      <c r="AA1557" s="48">
        <v>4.0999999999999996</v>
      </c>
      <c r="AB1557" s="48">
        <v>4.4800000000000004</v>
      </c>
      <c r="AC1557" s="48">
        <v>0.72829999999999995</v>
      </c>
      <c r="AD1557" s="48">
        <v>5.21</v>
      </c>
      <c r="AE1557" s="48">
        <v>6.92</v>
      </c>
      <c r="AF1557" s="48">
        <f t="shared" si="380"/>
        <v>4.0999999999999996</v>
      </c>
      <c r="AG1557" s="49">
        <v>3</v>
      </c>
      <c r="AH1557" s="98">
        <v>1.64E-6</v>
      </c>
      <c r="AI1557" s="98">
        <v>8.7899999999999997E-7</v>
      </c>
      <c r="AJ1557" s="483">
        <f t="shared" si="376"/>
        <v>-4.1737224782649536</v>
      </c>
      <c r="AK1557" s="483">
        <f t="shared" si="381"/>
        <v>-4.4445774512388798</v>
      </c>
      <c r="AL1557" s="483">
        <f t="shared" si="377"/>
        <v>-4.4445774512388798</v>
      </c>
      <c r="AM1557" s="483">
        <v>-12.14371</v>
      </c>
      <c r="AN1557" s="226">
        <v>-3.1</v>
      </c>
      <c r="AO1557" s="484"/>
      <c r="AP1557" s="484">
        <v>-1.4</v>
      </c>
      <c r="AQ1557" s="226" t="s">
        <v>6311</v>
      </c>
      <c r="AR1557" s="226" t="s">
        <v>6311</v>
      </c>
      <c r="AS1557" s="224" t="s">
        <v>6</v>
      </c>
      <c r="AT1557" s="50" t="s">
        <v>266</v>
      </c>
      <c r="AU1557" s="48">
        <v>8</v>
      </c>
      <c r="AV1557" s="48">
        <v>144</v>
      </c>
      <c r="AW1557" s="48">
        <v>120</v>
      </c>
      <c r="AX1557" s="48">
        <v>26</v>
      </c>
      <c r="AY1557" s="48" t="s">
        <v>267</v>
      </c>
      <c r="AZ1557" s="48" t="s">
        <v>2253</v>
      </c>
      <c r="BA1557" s="48">
        <v>2</v>
      </c>
      <c r="BB1557" s="47" t="s">
        <v>2254</v>
      </c>
      <c r="BC1557" s="47" t="s">
        <v>270</v>
      </c>
      <c r="BD1557" s="47" t="s">
        <v>8374</v>
      </c>
      <c r="BE1557" s="48" t="s">
        <v>1712</v>
      </c>
      <c r="BF1557" s="48" t="s">
        <v>272</v>
      </c>
      <c r="BG1557" s="48" t="s">
        <v>272</v>
      </c>
      <c r="BH1557" s="48" t="s">
        <v>2255</v>
      </c>
      <c r="BI1557" s="98">
        <v>3.5029000000000001E-4</v>
      </c>
      <c r="BJ1557" s="98">
        <v>28.023200000000003</v>
      </c>
      <c r="BK1557" s="48"/>
      <c r="BL1557" s="487">
        <v>0.65858788793156209</v>
      </c>
      <c r="BM1557" s="48" t="s">
        <v>891</v>
      </c>
      <c r="BN1557" s="233"/>
      <c r="BO1557" s="233"/>
      <c r="BP1557" s="233"/>
      <c r="BQ1557" s="233"/>
      <c r="BR1557" s="233"/>
      <c r="BS1557" s="48"/>
      <c r="BT1557" s="233"/>
      <c r="BU1557" s="228"/>
      <c r="BV1557" s="233"/>
      <c r="BW1557" s="233"/>
      <c r="BX1557" s="233"/>
      <c r="BY1557" s="233"/>
      <c r="BZ1557" s="233"/>
      <c r="CA1557" s="233"/>
      <c r="CB1557" s="233"/>
      <c r="CC1557" s="48"/>
      <c r="CD1557" s="48"/>
      <c r="CE1557" s="48"/>
      <c r="CF1557" s="48"/>
      <c r="CG1557" s="233"/>
      <c r="CH1557" s="48"/>
      <c r="CI1557" s="98"/>
      <c r="CJ1557" s="98"/>
      <c r="CK1557" s="49">
        <f t="shared" si="368"/>
        <v>2.3501523306815854E-2</v>
      </c>
      <c r="CL1557" s="229"/>
      <c r="CM1557" s="229"/>
      <c r="CN1557" s="229"/>
      <c r="CO1557" s="47" t="s">
        <v>892</v>
      </c>
      <c r="CP1557" s="500" t="s">
        <v>893</v>
      </c>
      <c r="CQ1557" s="224">
        <v>0.89734159567045446</v>
      </c>
      <c r="CR1557" s="224">
        <f t="shared" si="382"/>
        <v>0.12666551823784078</v>
      </c>
      <c r="CS1557" s="230" t="s">
        <v>539</v>
      </c>
      <c r="CT1557" s="230"/>
      <c r="CU1557" s="230"/>
      <c r="CV1557" s="335">
        <f t="shared" si="369"/>
        <v>4.639013388906334E-4</v>
      </c>
      <c r="CW1557" s="230">
        <f t="shared" si="383"/>
        <v>0</v>
      </c>
      <c r="CX1557" s="336" t="s">
        <v>539</v>
      </c>
      <c r="CY1557" s="230" t="s">
        <v>5921</v>
      </c>
    </row>
    <row r="1558" spans="1:103" ht="11.25" customHeight="1" x14ac:dyDescent="0.2">
      <c r="A1558" s="72">
        <v>1352</v>
      </c>
      <c r="B1558" s="224">
        <v>218</v>
      </c>
      <c r="C1558" s="46" t="s">
        <v>7433</v>
      </c>
      <c r="D1558" s="46" t="s">
        <v>8659</v>
      </c>
      <c r="E1558" s="114"/>
      <c r="F1558" s="114" t="s">
        <v>2908</v>
      </c>
      <c r="G1558" s="225">
        <v>30560191</v>
      </c>
      <c r="H1558" s="47" t="s">
        <v>2909</v>
      </c>
      <c r="I1558" s="47" t="s">
        <v>8117</v>
      </c>
      <c r="J1558" s="47" t="s">
        <v>3716</v>
      </c>
      <c r="K1558" s="47" t="s">
        <v>2911</v>
      </c>
      <c r="L1558" s="47" t="s">
        <v>617</v>
      </c>
      <c r="M1558" s="47" t="s">
        <v>946</v>
      </c>
      <c r="N1558" s="47" t="s">
        <v>6376</v>
      </c>
      <c r="O1558" s="47" t="s">
        <v>918</v>
      </c>
      <c r="P1558" s="53"/>
      <c r="Q1558" s="53"/>
      <c r="R1558" s="53"/>
      <c r="S1558" s="53"/>
      <c r="T1558" s="48">
        <v>183.17</v>
      </c>
      <c r="U1558" s="98">
        <v>818000</v>
      </c>
      <c r="V1558" s="98">
        <v>282700</v>
      </c>
      <c r="W1558" s="98">
        <v>763579.64970261347</v>
      </c>
      <c r="X1558" s="98">
        <v>818000</v>
      </c>
      <c r="Y1558" s="233">
        <v>5.21</v>
      </c>
      <c r="Z1558" s="48">
        <v>-0.9</v>
      </c>
      <c r="AA1558" s="48">
        <v>-0.85</v>
      </c>
      <c r="AB1558" s="48">
        <v>-0.36</v>
      </c>
      <c r="AC1558" s="48">
        <v>0.76990000000000003</v>
      </c>
      <c r="AD1558" s="48">
        <v>-0.53</v>
      </c>
      <c r="AE1558" s="48">
        <v>-0.85</v>
      </c>
      <c r="AF1558" s="48">
        <f t="shared" si="380"/>
        <v>-0.85</v>
      </c>
      <c r="AG1558" s="49">
        <v>-0.09</v>
      </c>
      <c r="AH1558" s="98">
        <v>2.8099999999999999E-12</v>
      </c>
      <c r="AI1558" s="98">
        <v>5.0099999999999999E-13</v>
      </c>
      <c r="AJ1558" s="483">
        <f t="shared" si="376"/>
        <v>-9.9398600064075726</v>
      </c>
      <c r="AK1558" s="483">
        <f t="shared" si="381"/>
        <v>-10.688728600445407</v>
      </c>
      <c r="AL1558" s="483">
        <f t="shared" si="377"/>
        <v>-10.688728600445407</v>
      </c>
      <c r="AM1558" s="483">
        <v>-12.834210000000001</v>
      </c>
      <c r="AN1558" s="226">
        <v>-10.6</v>
      </c>
      <c r="AO1558" s="484">
        <v>11</v>
      </c>
      <c r="AP1558" s="484">
        <v>-1.6</v>
      </c>
      <c r="AQ1558" s="226" t="s">
        <v>6311</v>
      </c>
      <c r="AR1558" s="226" t="s">
        <v>6311</v>
      </c>
      <c r="AS1558" s="224" t="s">
        <v>6</v>
      </c>
      <c r="AT1558" s="50" t="s">
        <v>266</v>
      </c>
      <c r="AU1558" s="48">
        <v>8</v>
      </c>
      <c r="AV1558" s="48">
        <v>144</v>
      </c>
      <c r="AW1558" s="48">
        <v>120</v>
      </c>
      <c r="AX1558" s="48">
        <v>26</v>
      </c>
      <c r="AY1558" s="48" t="s">
        <v>267</v>
      </c>
      <c r="AZ1558" s="48" t="s">
        <v>2253</v>
      </c>
      <c r="BA1558" s="48">
        <v>2</v>
      </c>
      <c r="BB1558" s="47" t="s">
        <v>2254</v>
      </c>
      <c r="BC1558" s="47" t="s">
        <v>270</v>
      </c>
      <c r="BD1558" s="47" t="s">
        <v>8374</v>
      </c>
      <c r="BE1558" s="48" t="s">
        <v>1712</v>
      </c>
      <c r="BF1558" s="48" t="s">
        <v>272</v>
      </c>
      <c r="BG1558" s="48" t="s">
        <v>272</v>
      </c>
      <c r="BH1558" s="48" t="s">
        <v>2255</v>
      </c>
      <c r="BI1558" s="98">
        <v>1.8316999999999997E-4</v>
      </c>
      <c r="BJ1558" s="98">
        <v>14.653599999999999</v>
      </c>
      <c r="BK1558" s="48"/>
      <c r="BL1558" s="487">
        <v>60526.330564524455</v>
      </c>
      <c r="BM1558" s="48" t="s">
        <v>891</v>
      </c>
      <c r="BN1558" s="233"/>
      <c r="BO1558" s="233"/>
      <c r="BP1558" s="233"/>
      <c r="BQ1558" s="233"/>
      <c r="BR1558" s="233"/>
      <c r="BS1558" s="48"/>
      <c r="BT1558" s="233"/>
      <c r="BU1558" s="228"/>
      <c r="BV1558" s="233"/>
      <c r="BW1558" s="233"/>
      <c r="BX1558" s="233"/>
      <c r="BY1558" s="233"/>
      <c r="BZ1558" s="233"/>
      <c r="CA1558" s="233"/>
      <c r="CB1558" s="233"/>
      <c r="CC1558" s="48"/>
      <c r="CD1558" s="48"/>
      <c r="CE1558" s="48"/>
      <c r="CF1558" s="48"/>
      <c r="CG1558" s="233"/>
      <c r="CH1558" s="48"/>
      <c r="CI1558" s="98"/>
      <c r="CJ1558" s="98"/>
      <c r="CK1558" s="49">
        <f t="shared" si="368"/>
        <v>4130.4751436182551</v>
      </c>
      <c r="CL1558" s="229"/>
      <c r="CM1558" s="229"/>
      <c r="CN1558" s="229"/>
      <c r="CO1558" s="47" t="s">
        <v>892</v>
      </c>
      <c r="CP1558" s="500" t="s">
        <v>893</v>
      </c>
      <c r="CQ1558" s="224">
        <v>2.9733483526043556</v>
      </c>
      <c r="CR1558" s="224">
        <f t="shared" si="382"/>
        <v>1.0632897990911576E-3</v>
      </c>
      <c r="CS1558" s="230" t="s">
        <v>539</v>
      </c>
      <c r="CT1558" s="230"/>
      <c r="CU1558" s="230"/>
      <c r="CV1558" s="335">
        <f t="shared" si="369"/>
        <v>55822.460009826944</v>
      </c>
      <c r="CW1558" s="230">
        <f t="shared" si="383"/>
        <v>1</v>
      </c>
      <c r="CX1558" s="336" t="s">
        <v>539</v>
      </c>
      <c r="CY1558" s="230" t="s">
        <v>5921</v>
      </c>
    </row>
    <row r="1559" spans="1:103" ht="11.25" customHeight="1" x14ac:dyDescent="0.2">
      <c r="A1559" s="72">
        <v>1353</v>
      </c>
      <c r="B1559" s="224">
        <v>448</v>
      </c>
      <c r="C1559" s="46" t="s">
        <v>7434</v>
      </c>
      <c r="D1559" s="46" t="s">
        <v>8660</v>
      </c>
      <c r="E1559" s="114"/>
      <c r="F1559" s="114" t="s">
        <v>4000</v>
      </c>
      <c r="G1559" s="225">
        <v>31218834</v>
      </c>
      <c r="H1559" s="47" t="s">
        <v>4001</v>
      </c>
      <c r="I1559" s="47" t="s">
        <v>4001</v>
      </c>
      <c r="J1559" s="47" t="s">
        <v>4002</v>
      </c>
      <c r="K1559" s="47" t="s">
        <v>4003</v>
      </c>
      <c r="L1559" s="47" t="s">
        <v>617</v>
      </c>
      <c r="M1559" s="47" t="s">
        <v>946</v>
      </c>
      <c r="N1559" s="47" t="s">
        <v>6376</v>
      </c>
      <c r="O1559" s="47" t="s">
        <v>918</v>
      </c>
      <c r="P1559" s="53"/>
      <c r="Q1559" s="53"/>
      <c r="R1559" s="53"/>
      <c r="S1559" s="53"/>
      <c r="T1559" s="48">
        <v>281.31</v>
      </c>
      <c r="U1559" s="98">
        <v>110.00000000000001</v>
      </c>
      <c r="V1559" s="98">
        <v>8.609</v>
      </c>
      <c r="W1559" s="98">
        <v>1045.1657529732552</v>
      </c>
      <c r="X1559" s="98">
        <v>110.00000000000001</v>
      </c>
      <c r="Y1559" s="233">
        <v>7.01</v>
      </c>
      <c r="Z1559" s="48">
        <v>3.51</v>
      </c>
      <c r="AA1559" s="48">
        <v>3.82</v>
      </c>
      <c r="AB1559" s="48">
        <v>3.06</v>
      </c>
      <c r="AC1559" s="48">
        <v>0.75239999999999996</v>
      </c>
      <c r="AD1559" s="48">
        <v>2.63</v>
      </c>
      <c r="AE1559" s="48">
        <v>1.61</v>
      </c>
      <c r="AF1559" s="48">
        <f t="shared" si="380"/>
        <v>3.82</v>
      </c>
      <c r="AG1559" s="49">
        <v>2.64</v>
      </c>
      <c r="AH1559" s="98">
        <v>5.8700000000000003E-8</v>
      </c>
      <c r="AI1559" s="98">
        <v>4.8100000000000001E-8</v>
      </c>
      <c r="AJ1559" s="483">
        <f t="shared" si="376"/>
        <v>-5.6199282250650375</v>
      </c>
      <c r="AK1559" s="483">
        <f t="shared" si="381"/>
        <v>-5.7064212499388196</v>
      </c>
      <c r="AL1559" s="483">
        <f t="shared" si="377"/>
        <v>-5.7064212499388196</v>
      </c>
      <c r="AM1559" s="483">
        <v>-12.019570000000002</v>
      </c>
      <c r="AN1559" s="226">
        <v>-3.51</v>
      </c>
      <c r="AO1559" s="484"/>
      <c r="AP1559" s="484">
        <v>0.94</v>
      </c>
      <c r="AQ1559" s="226" t="s">
        <v>6311</v>
      </c>
      <c r="AR1559" s="226" t="s">
        <v>6312</v>
      </c>
      <c r="AS1559" s="224" t="s">
        <v>6</v>
      </c>
      <c r="AT1559" s="50" t="s">
        <v>266</v>
      </c>
      <c r="AU1559" s="48">
        <v>8</v>
      </c>
      <c r="AV1559" s="48">
        <v>144</v>
      </c>
      <c r="AW1559" s="48">
        <v>120</v>
      </c>
      <c r="AX1559" s="48">
        <v>26</v>
      </c>
      <c r="AY1559" s="48" t="s">
        <v>267</v>
      </c>
      <c r="AZ1559" s="48" t="s">
        <v>2253</v>
      </c>
      <c r="BA1559" s="48">
        <v>2</v>
      </c>
      <c r="BB1559" s="47" t="s">
        <v>2254</v>
      </c>
      <c r="BC1559" s="47" t="s">
        <v>270</v>
      </c>
      <c r="BD1559" s="47" t="s">
        <v>8374</v>
      </c>
      <c r="BE1559" s="48" t="s">
        <v>1712</v>
      </c>
      <c r="BF1559" s="48" t="s">
        <v>272</v>
      </c>
      <c r="BG1559" s="48" t="s">
        <v>272</v>
      </c>
      <c r="BH1559" s="48" t="s">
        <v>2255</v>
      </c>
      <c r="BI1559" s="98">
        <v>2.8131E-4</v>
      </c>
      <c r="BJ1559" s="98">
        <v>22.504799999999999</v>
      </c>
      <c r="BK1559" s="48"/>
      <c r="BL1559" s="487">
        <v>10.177806052365417</v>
      </c>
      <c r="BM1559" s="48" t="s">
        <v>891</v>
      </c>
      <c r="BN1559" s="233"/>
      <c r="BO1559" s="233"/>
      <c r="BP1559" s="233"/>
      <c r="BQ1559" s="233"/>
      <c r="BR1559" s="233"/>
      <c r="BS1559" s="48"/>
      <c r="BT1559" s="233"/>
      <c r="BU1559" s="228"/>
      <c r="BV1559" s="233"/>
      <c r="BW1559" s="233"/>
      <c r="BX1559" s="233"/>
      <c r="BY1559" s="233"/>
      <c r="BZ1559" s="233"/>
      <c r="CA1559" s="233"/>
      <c r="CB1559" s="233"/>
      <c r="CC1559" s="48"/>
      <c r="CD1559" s="48"/>
      <c r="CE1559" s="48"/>
      <c r="CF1559" s="48"/>
      <c r="CG1559" s="233"/>
      <c r="CH1559" s="48"/>
      <c r="CI1559" s="98"/>
      <c r="CJ1559" s="98"/>
      <c r="CK1559" s="49">
        <f t="shared" si="368"/>
        <v>0.45225045556349835</v>
      </c>
      <c r="CL1559" s="229"/>
      <c r="CM1559" s="229"/>
      <c r="CN1559" s="229"/>
      <c r="CO1559" s="47" t="s">
        <v>892</v>
      </c>
      <c r="CP1559" s="500" t="s">
        <v>893</v>
      </c>
      <c r="CQ1559" s="224">
        <v>-0.16809411479658826</v>
      </c>
      <c r="CR1559" s="224">
        <f t="shared" si="382"/>
        <v>1.4726315979145088</v>
      </c>
      <c r="CS1559" s="230" t="s">
        <v>539</v>
      </c>
      <c r="CT1559" s="230"/>
      <c r="CU1559" s="230"/>
      <c r="CV1559" s="335">
        <f t="shared" si="369"/>
        <v>4.8878461483772355</v>
      </c>
      <c r="CW1559" s="230">
        <f t="shared" si="383"/>
        <v>1</v>
      </c>
      <c r="CX1559" s="336" t="s">
        <v>539</v>
      </c>
      <c r="CY1559" s="230" t="s">
        <v>5921</v>
      </c>
    </row>
    <row r="1560" spans="1:103" ht="11.25" customHeight="1" x14ac:dyDescent="0.2">
      <c r="A1560" s="72">
        <v>1360</v>
      </c>
      <c r="B1560" s="224">
        <v>478</v>
      </c>
      <c r="C1560" s="46" t="s">
        <v>7439</v>
      </c>
      <c r="D1560" s="46" t="s">
        <v>8662</v>
      </c>
      <c r="E1560" s="114"/>
      <c r="F1560" s="114" t="s">
        <v>4028</v>
      </c>
      <c r="G1560" s="225">
        <v>34014181</v>
      </c>
      <c r="H1560" s="47" t="s">
        <v>4029</v>
      </c>
      <c r="I1560" s="47" t="s">
        <v>4029</v>
      </c>
      <c r="J1560" s="47" t="s">
        <v>4030</v>
      </c>
      <c r="K1560" s="47" t="s">
        <v>1292</v>
      </c>
      <c r="L1560" s="47" t="s">
        <v>6056</v>
      </c>
      <c r="M1560" s="47" t="s">
        <v>6082</v>
      </c>
      <c r="N1560" s="47" t="s">
        <v>6082</v>
      </c>
      <c r="O1560" s="47" t="s">
        <v>6083</v>
      </c>
      <c r="P1560" s="53"/>
      <c r="Q1560" s="53"/>
      <c r="R1560" s="53"/>
      <c r="S1560" s="53"/>
      <c r="T1560" s="48">
        <v>228.32</v>
      </c>
      <c r="U1560" s="98">
        <v>2500</v>
      </c>
      <c r="V1560" s="98">
        <v>919.9</v>
      </c>
      <c r="W1560" s="98">
        <v>2130.8062195796897</v>
      </c>
      <c r="X1560" s="98">
        <v>2500</v>
      </c>
      <c r="Y1560" s="233">
        <v>7.17</v>
      </c>
      <c r="Z1560" s="48">
        <v>1.78</v>
      </c>
      <c r="AA1560" s="48">
        <v>1.79</v>
      </c>
      <c r="AB1560" s="48">
        <v>1.71</v>
      </c>
      <c r="AC1560" s="48">
        <v>0.75580000000000003</v>
      </c>
      <c r="AD1560" s="48">
        <v>1.73</v>
      </c>
      <c r="AE1560" s="48">
        <v>1.79</v>
      </c>
      <c r="AF1560" s="48">
        <f t="shared" si="380"/>
        <v>1.79</v>
      </c>
      <c r="AG1560" s="49">
        <v>2.62</v>
      </c>
      <c r="AH1560" s="98">
        <v>6.7699999999999996E-12</v>
      </c>
      <c r="AI1560" s="98">
        <v>1.2E-10</v>
      </c>
      <c r="AJ1560" s="483">
        <f t="shared" si="376"/>
        <v>-9.5579776576275073</v>
      </c>
      <c r="AK1560" s="483">
        <f t="shared" si="381"/>
        <v>-8.3093850802650273</v>
      </c>
      <c r="AL1560" s="483">
        <f t="shared" si="377"/>
        <v>-8.3093850802650273</v>
      </c>
      <c r="AM1560" s="483">
        <v>-11.597460000000002</v>
      </c>
      <c r="AN1560" s="226">
        <v>-9.6199999999999992</v>
      </c>
      <c r="AO1560" s="484">
        <v>13.36</v>
      </c>
      <c r="AP1560" s="484">
        <v>2.13</v>
      </c>
      <c r="AQ1560" s="226" t="s">
        <v>6311</v>
      </c>
      <c r="AR1560" s="226" t="s">
        <v>6311</v>
      </c>
      <c r="AS1560" s="224" t="s">
        <v>6</v>
      </c>
      <c r="AT1560" s="50" t="s">
        <v>266</v>
      </c>
      <c r="AU1560" s="48">
        <v>8</v>
      </c>
      <c r="AV1560" s="48">
        <v>144</v>
      </c>
      <c r="AW1560" s="48">
        <v>120</v>
      </c>
      <c r="AX1560" s="48">
        <v>26</v>
      </c>
      <c r="AY1560" s="48" t="s">
        <v>267</v>
      </c>
      <c r="AZ1560" s="48" t="s">
        <v>2253</v>
      </c>
      <c r="BA1560" s="48">
        <v>2</v>
      </c>
      <c r="BB1560" s="47" t="s">
        <v>2254</v>
      </c>
      <c r="BC1560" s="47" t="s">
        <v>270</v>
      </c>
      <c r="BD1560" s="47" t="s">
        <v>8374</v>
      </c>
      <c r="BE1560" s="48" t="s">
        <v>1712</v>
      </c>
      <c r="BF1560" s="48" t="s">
        <v>272</v>
      </c>
      <c r="BG1560" s="48" t="s">
        <v>272</v>
      </c>
      <c r="BH1560" s="48" t="s">
        <v>2255</v>
      </c>
      <c r="BI1560" s="98">
        <v>2.2831999999999998E-4</v>
      </c>
      <c r="BJ1560" s="98">
        <v>18.265599999999999</v>
      </c>
      <c r="BK1560" s="48"/>
      <c r="BL1560" s="487">
        <v>295.61465194168443</v>
      </c>
      <c r="BM1560" s="48" t="s">
        <v>891</v>
      </c>
      <c r="BN1560" s="233"/>
      <c r="BO1560" s="233"/>
      <c r="BP1560" s="233"/>
      <c r="BQ1560" s="233"/>
      <c r="BR1560" s="233"/>
      <c r="BS1560" s="48"/>
      <c r="BT1560" s="233"/>
      <c r="BU1560" s="228"/>
      <c r="BV1560" s="233"/>
      <c r="BW1560" s="233"/>
      <c r="BX1560" s="233"/>
      <c r="BY1560" s="233"/>
      <c r="BZ1560" s="233"/>
      <c r="CA1560" s="233"/>
      <c r="CB1560" s="233"/>
      <c r="CC1560" s="48"/>
      <c r="CD1560" s="48"/>
      <c r="CE1560" s="48"/>
      <c r="CF1560" s="48"/>
      <c r="CG1560" s="233"/>
      <c r="CH1560" s="48"/>
      <c r="CI1560" s="98"/>
      <c r="CJ1560" s="98"/>
      <c r="CK1560" s="49">
        <f t="shared" si="368"/>
        <v>16.184228929883741</v>
      </c>
      <c r="CL1560" s="229"/>
      <c r="CM1560" s="229"/>
      <c r="CN1560" s="229"/>
      <c r="CO1560" s="47" t="s">
        <v>892</v>
      </c>
      <c r="CP1560" s="500" t="s">
        <v>893</v>
      </c>
      <c r="CQ1560" s="224">
        <v>2.0903209513649159</v>
      </c>
      <c r="CR1560" s="224">
        <f t="shared" si="382"/>
        <v>8.12230041829109E-3</v>
      </c>
      <c r="CS1560" s="230" t="s">
        <v>539</v>
      </c>
      <c r="CT1560" s="230"/>
      <c r="CU1560" s="230"/>
      <c r="CV1560" s="335">
        <f t="shared" si="369"/>
        <v>136.86930623686055</v>
      </c>
      <c r="CW1560" s="230">
        <f t="shared" si="383"/>
        <v>1</v>
      </c>
      <c r="CX1560" s="336" t="s">
        <v>539</v>
      </c>
      <c r="CY1560" s="230" t="s">
        <v>5921</v>
      </c>
    </row>
    <row r="1561" spans="1:103" ht="11.25" customHeight="1" x14ac:dyDescent="0.2">
      <c r="A1561" s="72">
        <v>1365</v>
      </c>
      <c r="B1561" s="224">
        <v>362</v>
      </c>
      <c r="C1561" s="46" t="s">
        <v>7442</v>
      </c>
      <c r="D1561" s="46" t="s">
        <v>8663</v>
      </c>
      <c r="E1561" s="114"/>
      <c r="F1561" s="114" t="s">
        <v>3222</v>
      </c>
      <c r="G1561" s="225">
        <v>36734197</v>
      </c>
      <c r="H1561" s="47" t="s">
        <v>3223</v>
      </c>
      <c r="I1561" s="47" t="s">
        <v>8122</v>
      </c>
      <c r="J1561" s="47" t="s">
        <v>3224</v>
      </c>
      <c r="K1561" s="47" t="s">
        <v>2039</v>
      </c>
      <c r="L1561" s="47" t="s">
        <v>6043</v>
      </c>
      <c r="M1561" s="47" t="s">
        <v>6082</v>
      </c>
      <c r="N1561" s="47" t="s">
        <v>6082</v>
      </c>
      <c r="O1561" s="47"/>
      <c r="P1561" s="53"/>
      <c r="Q1561" s="53" t="s">
        <v>6176</v>
      </c>
      <c r="R1561" s="53" t="s">
        <v>6185</v>
      </c>
      <c r="S1561" s="53" t="s">
        <v>6179</v>
      </c>
      <c r="T1561" s="48">
        <v>330.17</v>
      </c>
      <c r="U1561" s="98">
        <v>13.9</v>
      </c>
      <c r="V1561" s="98">
        <v>22.34</v>
      </c>
      <c r="W1561" s="98">
        <v>22.842183166830502</v>
      </c>
      <c r="X1561" s="98">
        <v>13.9</v>
      </c>
      <c r="Y1561" s="233">
        <v>6.63</v>
      </c>
      <c r="Z1561" s="48">
        <v>2.85</v>
      </c>
      <c r="AA1561" s="48">
        <v>3</v>
      </c>
      <c r="AB1561" s="48">
        <v>3.51</v>
      </c>
      <c r="AC1561" s="48">
        <v>0.7833</v>
      </c>
      <c r="AD1561" s="48">
        <v>3.31</v>
      </c>
      <c r="AE1561" s="48">
        <v>2.8</v>
      </c>
      <c r="AF1561" s="48">
        <f t="shared" si="380"/>
        <v>3</v>
      </c>
      <c r="AG1561" s="49">
        <v>2.2400000000000002</v>
      </c>
      <c r="AH1561" s="98">
        <v>1.04E-13</v>
      </c>
      <c r="AI1561" s="98">
        <v>3.12E-9</v>
      </c>
      <c r="AJ1561" s="483">
        <f t="shared" si="376"/>
        <v>-11.371532987013872</v>
      </c>
      <c r="AK1561" s="483">
        <f t="shared" si="381"/>
        <v>-6.8944117322942091</v>
      </c>
      <c r="AL1561" s="483">
        <f t="shared" si="377"/>
        <v>-6.8944117322942091</v>
      </c>
      <c r="AM1561" s="483">
        <v>-15.96514</v>
      </c>
      <c r="AN1561" s="226">
        <v>-7.12</v>
      </c>
      <c r="AO1561" s="484">
        <v>9.19</v>
      </c>
      <c r="AP1561" s="484">
        <v>-2.23</v>
      </c>
      <c r="AQ1561" s="226" t="s">
        <v>6311</v>
      </c>
      <c r="AR1561" s="226" t="s">
        <v>6311</v>
      </c>
      <c r="AS1561" s="224" t="s">
        <v>6</v>
      </c>
      <c r="AT1561" s="50" t="s">
        <v>266</v>
      </c>
      <c r="AU1561" s="48">
        <v>8</v>
      </c>
      <c r="AV1561" s="48">
        <v>144</v>
      </c>
      <c r="AW1561" s="48">
        <v>120</v>
      </c>
      <c r="AX1561" s="48">
        <v>26</v>
      </c>
      <c r="AY1561" s="48" t="s">
        <v>267</v>
      </c>
      <c r="AZ1561" s="48" t="s">
        <v>2253</v>
      </c>
      <c r="BA1561" s="48">
        <v>2</v>
      </c>
      <c r="BB1561" s="47" t="s">
        <v>2254</v>
      </c>
      <c r="BC1561" s="47" t="s">
        <v>270</v>
      </c>
      <c r="BD1561" s="47" t="s">
        <v>8374</v>
      </c>
      <c r="BE1561" s="48" t="s">
        <v>1712</v>
      </c>
      <c r="BF1561" s="48" t="s">
        <v>272</v>
      </c>
      <c r="BG1561" s="48" t="s">
        <v>272</v>
      </c>
      <c r="BH1561" s="48" t="s">
        <v>2255</v>
      </c>
      <c r="BI1561" s="98">
        <v>3.3017000000000002E-4</v>
      </c>
      <c r="BJ1561" s="98">
        <v>26.413600000000002</v>
      </c>
      <c r="BK1561" s="48"/>
      <c r="BL1561" s="487">
        <v>46.768410475410406</v>
      </c>
      <c r="BM1561" s="48" t="s">
        <v>891</v>
      </c>
      <c r="BN1561" s="233"/>
      <c r="BO1561" s="233"/>
      <c r="BP1561" s="233"/>
      <c r="BQ1561" s="233"/>
      <c r="BR1561" s="233"/>
      <c r="BS1561" s="48"/>
      <c r="BT1561" s="233"/>
      <c r="BU1561" s="228"/>
      <c r="BV1561" s="233"/>
      <c r="BW1561" s="233"/>
      <c r="BX1561" s="233"/>
      <c r="BY1561" s="233"/>
      <c r="BZ1561" s="233"/>
      <c r="CA1561" s="233"/>
      <c r="CB1561" s="233"/>
      <c r="CC1561" s="48"/>
      <c r="CD1561" s="48"/>
      <c r="CE1561" s="48"/>
      <c r="CF1561" s="48"/>
      <c r="CG1561" s="233"/>
      <c r="CH1561" s="48"/>
      <c r="CI1561" s="98"/>
      <c r="CJ1561" s="98"/>
      <c r="CK1561" s="49">
        <f t="shared" si="368"/>
        <v>1.7706185629906714</v>
      </c>
      <c r="CL1561" s="229"/>
      <c r="CM1561" s="229"/>
      <c r="CN1561" s="229"/>
      <c r="CO1561" s="47" t="s">
        <v>892</v>
      </c>
      <c r="CP1561" s="500" t="s">
        <v>893</v>
      </c>
      <c r="CQ1561" s="224">
        <v>0.72072154165223934</v>
      </c>
      <c r="CR1561" s="224">
        <f t="shared" si="382"/>
        <v>0.19022975928196009</v>
      </c>
      <c r="CS1561" s="230" t="s">
        <v>539</v>
      </c>
      <c r="CT1561" s="230"/>
      <c r="CU1561" s="230"/>
      <c r="CV1561" s="335">
        <f t="shared" si="369"/>
        <v>0.52624405609231606</v>
      </c>
      <c r="CW1561" s="230">
        <f t="shared" si="383"/>
        <v>0</v>
      </c>
      <c r="CX1561" s="336" t="s">
        <v>539</v>
      </c>
      <c r="CY1561" s="230" t="s">
        <v>5921</v>
      </c>
    </row>
    <row r="1562" spans="1:103" ht="11.25" customHeight="1" x14ac:dyDescent="0.2">
      <c r="A1562" s="72">
        <v>1367</v>
      </c>
      <c r="B1562" s="224">
        <v>426</v>
      </c>
      <c r="C1562" s="46" t="s">
        <v>7443</v>
      </c>
      <c r="D1562" s="46" t="s">
        <v>8664</v>
      </c>
      <c r="E1562" s="114"/>
      <c r="F1562" s="114" t="s">
        <v>3970</v>
      </c>
      <c r="G1562" s="225">
        <v>40487421</v>
      </c>
      <c r="H1562" s="47" t="s">
        <v>3971</v>
      </c>
      <c r="I1562" s="47" t="s">
        <v>8123</v>
      </c>
      <c r="J1562" s="47" t="s">
        <v>3972</v>
      </c>
      <c r="K1562" s="47" t="s">
        <v>1011</v>
      </c>
      <c r="L1562" s="47" t="s">
        <v>6164</v>
      </c>
      <c r="M1562" s="47" t="s">
        <v>6088</v>
      </c>
      <c r="N1562" s="47" t="s">
        <v>6088</v>
      </c>
      <c r="O1562" s="47"/>
      <c r="P1562" s="53"/>
      <c r="Q1562" s="53"/>
      <c r="R1562" s="53"/>
      <c r="S1562" s="53"/>
      <c r="T1562" s="48">
        <v>281.31</v>
      </c>
      <c r="U1562" s="98">
        <v>0.3</v>
      </c>
      <c r="V1562" s="98">
        <v>0.59360000000000002</v>
      </c>
      <c r="W1562" s="98">
        <v>1.7749461057572287</v>
      </c>
      <c r="X1562" s="98">
        <v>0.3</v>
      </c>
      <c r="Y1562" s="233">
        <v>7</v>
      </c>
      <c r="Z1562" s="48">
        <v>4.82</v>
      </c>
      <c r="AA1562" s="48">
        <v>5.18</v>
      </c>
      <c r="AB1562" s="48">
        <v>4.42</v>
      </c>
      <c r="AC1562" s="48">
        <v>0.73450000000000004</v>
      </c>
      <c r="AD1562" s="48">
        <v>4.83</v>
      </c>
      <c r="AE1562" s="48">
        <v>5.56</v>
      </c>
      <c r="AF1562" s="48">
        <f t="shared" si="380"/>
        <v>5.18</v>
      </c>
      <c r="AG1562" s="49">
        <v>3.48</v>
      </c>
      <c r="AH1562" s="98">
        <v>1.4500000000000001E-6</v>
      </c>
      <c r="AI1562" s="98">
        <v>8.5600000000000004E-7</v>
      </c>
      <c r="AJ1562" s="483">
        <f t="shared" si="376"/>
        <v>-4.2271983240776771</v>
      </c>
      <c r="AK1562" s="483">
        <f t="shared" si="381"/>
        <v>-4.4560925616354989</v>
      </c>
      <c r="AL1562" s="483">
        <f t="shared" si="377"/>
        <v>-4.4560925616354989</v>
      </c>
      <c r="AM1562" s="483">
        <v>-9.3757799999999989</v>
      </c>
      <c r="AN1562" s="226">
        <v>-2.91</v>
      </c>
      <c r="AO1562" s="484"/>
      <c r="AP1562" s="484">
        <v>-2.2400000000000002</v>
      </c>
      <c r="AQ1562" s="226" t="s">
        <v>6311</v>
      </c>
      <c r="AR1562" s="226" t="s">
        <v>6311</v>
      </c>
      <c r="AS1562" s="224" t="s">
        <v>6</v>
      </c>
      <c r="AT1562" s="50" t="s">
        <v>266</v>
      </c>
      <c r="AU1562" s="48">
        <v>8</v>
      </c>
      <c r="AV1562" s="48">
        <v>144</v>
      </c>
      <c r="AW1562" s="48">
        <v>120</v>
      </c>
      <c r="AX1562" s="48">
        <v>26</v>
      </c>
      <c r="AY1562" s="48" t="s">
        <v>267</v>
      </c>
      <c r="AZ1562" s="48" t="s">
        <v>2253</v>
      </c>
      <c r="BA1562" s="48">
        <v>2</v>
      </c>
      <c r="BB1562" s="47" t="s">
        <v>2254</v>
      </c>
      <c r="BC1562" s="47" t="s">
        <v>270</v>
      </c>
      <c r="BD1562" s="47" t="s">
        <v>8374</v>
      </c>
      <c r="BE1562" s="48" t="s">
        <v>1712</v>
      </c>
      <c r="BF1562" s="48" t="s">
        <v>272</v>
      </c>
      <c r="BG1562" s="48" t="s">
        <v>272</v>
      </c>
      <c r="BH1562" s="48" t="s">
        <v>2255</v>
      </c>
      <c r="BI1562" s="98">
        <v>2.8131E-4</v>
      </c>
      <c r="BJ1562" s="98">
        <v>22.504799999999999</v>
      </c>
      <c r="BK1562" s="48"/>
      <c r="BL1562" s="487">
        <v>0.67786493762242284</v>
      </c>
      <c r="BM1562" s="48" t="s">
        <v>891</v>
      </c>
      <c r="BN1562" s="233"/>
      <c r="BO1562" s="233"/>
      <c r="BP1562" s="233"/>
      <c r="BQ1562" s="233"/>
      <c r="BR1562" s="233"/>
      <c r="BS1562" s="48"/>
      <c r="BT1562" s="233"/>
      <c r="BU1562" s="228"/>
      <c r="BV1562" s="233"/>
      <c r="BW1562" s="233"/>
      <c r="BX1562" s="233"/>
      <c r="BY1562" s="233"/>
      <c r="BZ1562" s="233"/>
      <c r="CA1562" s="233"/>
      <c r="CB1562" s="233"/>
      <c r="CC1562" s="48"/>
      <c r="CD1562" s="48"/>
      <c r="CE1562" s="48"/>
      <c r="CF1562" s="48"/>
      <c r="CG1562" s="233"/>
      <c r="CH1562" s="48"/>
      <c r="CI1562" s="98"/>
      <c r="CJ1562" s="98"/>
      <c r="CK1562" s="49">
        <f t="shared" si="368"/>
        <v>3.0120904767979403E-2</v>
      </c>
      <c r="CL1562" s="229"/>
      <c r="CM1562" s="229"/>
      <c r="CN1562" s="229"/>
      <c r="CO1562" s="47" t="s">
        <v>892</v>
      </c>
      <c r="CP1562" s="500" t="s">
        <v>893</v>
      </c>
      <c r="CQ1562" s="224">
        <v>0.25365537444784847</v>
      </c>
      <c r="CR1562" s="224">
        <f t="shared" si="382"/>
        <v>0.55762806782267571</v>
      </c>
      <c r="CS1562" s="230" t="s">
        <v>539</v>
      </c>
      <c r="CT1562" s="230"/>
      <c r="CU1562" s="230"/>
      <c r="CV1562" s="335">
        <f t="shared" si="369"/>
        <v>1.3330489495574277E-2</v>
      </c>
      <c r="CW1562" s="230">
        <f t="shared" si="383"/>
        <v>0</v>
      </c>
      <c r="CX1562" s="336" t="s">
        <v>539</v>
      </c>
      <c r="CY1562" s="230" t="s">
        <v>5921</v>
      </c>
    </row>
    <row r="1563" spans="1:103" ht="11.25" customHeight="1" x14ac:dyDescent="0.2">
      <c r="A1563" s="72">
        <v>1371</v>
      </c>
      <c r="B1563" s="224">
        <v>363</v>
      </c>
      <c r="C1563" s="46" t="s">
        <v>7446</v>
      </c>
      <c r="D1563" s="46"/>
      <c r="E1563" s="114"/>
      <c r="F1563" s="114" t="s">
        <v>3906</v>
      </c>
      <c r="G1563" s="225">
        <v>42509808</v>
      </c>
      <c r="H1563" s="47" t="s">
        <v>3907</v>
      </c>
      <c r="I1563" s="47" t="s">
        <v>8124</v>
      </c>
      <c r="J1563" s="47" t="s">
        <v>3908</v>
      </c>
      <c r="K1563" s="47" t="s">
        <v>3909</v>
      </c>
      <c r="L1563" s="47"/>
      <c r="M1563" s="47"/>
      <c r="N1563" s="47"/>
      <c r="O1563" s="47"/>
      <c r="P1563" s="53"/>
      <c r="Q1563" s="53"/>
      <c r="R1563" s="53"/>
      <c r="S1563" s="53"/>
      <c r="T1563" s="48">
        <v>313.74</v>
      </c>
      <c r="U1563" s="98">
        <v>69</v>
      </c>
      <c r="V1563" s="98">
        <v>5.5750000000000002</v>
      </c>
      <c r="W1563" s="98">
        <v>43.308175917650892</v>
      </c>
      <c r="X1563" s="98">
        <v>69</v>
      </c>
      <c r="Y1563" s="233">
        <v>7</v>
      </c>
      <c r="Z1563" s="48">
        <v>3.71</v>
      </c>
      <c r="AA1563" s="48">
        <v>3.82</v>
      </c>
      <c r="AB1563" s="48">
        <v>3.05</v>
      </c>
      <c r="AC1563" s="48">
        <v>0.85409999999999997</v>
      </c>
      <c r="AD1563" s="48">
        <v>3.03</v>
      </c>
      <c r="AE1563" s="48">
        <v>2.99</v>
      </c>
      <c r="AF1563" s="48">
        <f t="shared" si="380"/>
        <v>3.82</v>
      </c>
      <c r="AG1563" s="49">
        <v>3.78</v>
      </c>
      <c r="AH1563" s="98">
        <v>5.9299999999999998E-7</v>
      </c>
      <c r="AI1563" s="98">
        <v>5.2099999999999997E-7</v>
      </c>
      <c r="AJ1563" s="483">
        <f t="shared" si="376"/>
        <v>-4.6155116329483894</v>
      </c>
      <c r="AK1563" s="483">
        <f t="shared" si="381"/>
        <v>-4.6717286030131273</v>
      </c>
      <c r="AL1563" s="483">
        <f t="shared" si="377"/>
        <v>-4.6717286030131273</v>
      </c>
      <c r="AM1563" s="483">
        <v>-12.15424</v>
      </c>
      <c r="AN1563" s="226">
        <v>-2.06</v>
      </c>
      <c r="AO1563" s="484"/>
      <c r="AP1563" s="484">
        <v>-1.47</v>
      </c>
      <c r="AQ1563" s="226" t="s">
        <v>6312</v>
      </c>
      <c r="AR1563" s="226" t="s">
        <v>6312</v>
      </c>
      <c r="AS1563" s="224" t="s">
        <v>6</v>
      </c>
      <c r="AT1563" s="50" t="s">
        <v>266</v>
      </c>
      <c r="AU1563" s="48">
        <v>8</v>
      </c>
      <c r="AV1563" s="48">
        <v>144</v>
      </c>
      <c r="AW1563" s="48">
        <v>120</v>
      </c>
      <c r="AX1563" s="48">
        <v>26</v>
      </c>
      <c r="AY1563" s="48" t="s">
        <v>267</v>
      </c>
      <c r="AZ1563" s="48" t="s">
        <v>2253</v>
      </c>
      <c r="BA1563" s="48">
        <v>2</v>
      </c>
      <c r="BB1563" s="47" t="s">
        <v>2254</v>
      </c>
      <c r="BC1563" s="47" t="s">
        <v>270</v>
      </c>
      <c r="BD1563" s="47" t="s">
        <v>8374</v>
      </c>
      <c r="BE1563" s="48" t="s">
        <v>1712</v>
      </c>
      <c r="BF1563" s="48" t="s">
        <v>272</v>
      </c>
      <c r="BG1563" s="48" t="s">
        <v>272</v>
      </c>
      <c r="BH1563" s="48" t="s">
        <v>2255</v>
      </c>
      <c r="BI1563" s="98">
        <v>3.1374000000000001E-4</v>
      </c>
      <c r="BJ1563" s="98">
        <v>25.0992</v>
      </c>
      <c r="BK1563" s="48"/>
      <c r="BL1563" s="487">
        <v>7.50617857453949</v>
      </c>
      <c r="BM1563" s="48" t="s">
        <v>891</v>
      </c>
      <c r="BN1563" s="233"/>
      <c r="BO1563" s="233"/>
      <c r="BP1563" s="233"/>
      <c r="BQ1563" s="233"/>
      <c r="BR1563" s="233"/>
      <c r="BS1563" s="48"/>
      <c r="BT1563" s="233"/>
      <c r="BU1563" s="228"/>
      <c r="BV1563" s="233"/>
      <c r="BW1563" s="233"/>
      <c r="BX1563" s="233"/>
      <c r="BY1563" s="233"/>
      <c r="BZ1563" s="233"/>
      <c r="CA1563" s="233"/>
      <c r="CB1563" s="233"/>
      <c r="CC1563" s="48"/>
      <c r="CD1563" s="238"/>
      <c r="CE1563" s="238"/>
      <c r="CF1563" s="238"/>
      <c r="CG1563" s="233"/>
      <c r="CH1563" s="48"/>
      <c r="CI1563" s="98"/>
      <c r="CJ1563" s="98"/>
      <c r="CK1563" s="49">
        <f t="shared" si="368"/>
        <v>0.29906047103252253</v>
      </c>
      <c r="CL1563" s="229"/>
      <c r="CM1563" s="229"/>
      <c r="CN1563" s="229"/>
      <c r="CO1563" s="47" t="s">
        <v>892</v>
      </c>
      <c r="CP1563" s="500" t="s">
        <v>893</v>
      </c>
      <c r="CQ1563" s="224" t="s">
        <v>272</v>
      </c>
      <c r="CR1563" s="224"/>
      <c r="CS1563" s="230" t="s">
        <v>539</v>
      </c>
      <c r="CT1563" s="230"/>
      <c r="CU1563" s="230"/>
      <c r="CV1563" s="335">
        <f t="shared" si="369"/>
        <v>2.7490916045132914</v>
      </c>
      <c r="CW1563" s="230">
        <f t="shared" si="383"/>
        <v>1</v>
      </c>
      <c r="CX1563" s="336" t="s">
        <v>539</v>
      </c>
      <c r="CY1563" s="230" t="s">
        <v>5921</v>
      </c>
    </row>
    <row r="1564" spans="1:103" ht="11.25" customHeight="1" x14ac:dyDescent="0.2">
      <c r="A1564" s="72">
        <v>1373</v>
      </c>
      <c r="B1564" s="224">
        <v>641</v>
      </c>
      <c r="C1564" s="46" t="s">
        <v>7447</v>
      </c>
      <c r="D1564" s="46" t="s">
        <v>8665</v>
      </c>
      <c r="E1564" s="114"/>
      <c r="F1564" s="114" t="s">
        <v>4044</v>
      </c>
      <c r="G1564" s="225">
        <v>43121433</v>
      </c>
      <c r="H1564" s="47" t="s">
        <v>4045</v>
      </c>
      <c r="I1564" s="47" t="s">
        <v>8125</v>
      </c>
      <c r="J1564" s="47" t="s">
        <v>4046</v>
      </c>
      <c r="K1564" s="47" t="s">
        <v>1112</v>
      </c>
      <c r="L1564" s="47" t="s">
        <v>6057</v>
      </c>
      <c r="M1564" s="47" t="s">
        <v>6082</v>
      </c>
      <c r="N1564" s="47" t="s">
        <v>6082</v>
      </c>
      <c r="O1564" s="47" t="s">
        <v>6083</v>
      </c>
      <c r="P1564" s="53" t="s">
        <v>6183</v>
      </c>
      <c r="Q1564" s="53" t="s">
        <v>6176</v>
      </c>
      <c r="R1564" s="53" t="s">
        <v>6181</v>
      </c>
      <c r="S1564" s="53" t="s">
        <v>6173</v>
      </c>
      <c r="T1564" s="48">
        <v>293.75</v>
      </c>
      <c r="U1564" s="98">
        <v>71.5</v>
      </c>
      <c r="V1564" s="98">
        <v>57.53</v>
      </c>
      <c r="W1564" s="98">
        <v>64.265497703518065</v>
      </c>
      <c r="X1564" s="98">
        <v>71.5</v>
      </c>
      <c r="Y1564" s="233">
        <v>7</v>
      </c>
      <c r="Z1564" s="48">
        <v>2.94</v>
      </c>
      <c r="AA1564" s="48">
        <v>2.77</v>
      </c>
      <c r="AB1564" s="48">
        <v>2.93</v>
      </c>
      <c r="AC1564" s="48">
        <v>0.77049999999999996</v>
      </c>
      <c r="AD1564" s="48">
        <v>2.89</v>
      </c>
      <c r="AE1564" s="48">
        <v>2.77</v>
      </c>
      <c r="AF1564" s="48">
        <f t="shared" si="380"/>
        <v>2.77</v>
      </c>
      <c r="AG1564" s="49">
        <v>3.28</v>
      </c>
      <c r="AH1564" s="98">
        <v>1.1599999999999999E-9</v>
      </c>
      <c r="AI1564" s="98">
        <v>8.1099999999999997E-11</v>
      </c>
      <c r="AJ1564" s="483">
        <f t="shared" si="376"/>
        <v>-7.3241083370857334</v>
      </c>
      <c r="AK1564" s="483">
        <f t="shared" si="381"/>
        <v>-8.4795454721014956</v>
      </c>
      <c r="AL1564" s="483">
        <f t="shared" si="377"/>
        <v>-8.4795454721014956</v>
      </c>
      <c r="AM1564" s="483">
        <v>-13.86453</v>
      </c>
      <c r="AN1564" s="226">
        <v>-8.77</v>
      </c>
      <c r="AO1564" s="484"/>
      <c r="AP1564" s="484">
        <v>1.41</v>
      </c>
      <c r="AQ1564" s="226" t="s">
        <v>6311</v>
      </c>
      <c r="AR1564" s="226" t="s">
        <v>6311</v>
      </c>
      <c r="AS1564" s="224" t="s">
        <v>6</v>
      </c>
      <c r="AT1564" s="50" t="s">
        <v>266</v>
      </c>
      <c r="AU1564" s="48">
        <v>8</v>
      </c>
      <c r="AV1564" s="48">
        <v>144</v>
      </c>
      <c r="AW1564" s="48">
        <v>120</v>
      </c>
      <c r="AX1564" s="48">
        <v>26</v>
      </c>
      <c r="AY1564" s="48" t="s">
        <v>267</v>
      </c>
      <c r="AZ1564" s="48" t="s">
        <v>2253</v>
      </c>
      <c r="BA1564" s="48">
        <v>2</v>
      </c>
      <c r="BB1564" s="47" t="s">
        <v>2254</v>
      </c>
      <c r="BC1564" s="47" t="s">
        <v>270</v>
      </c>
      <c r="BD1564" s="47" t="s">
        <v>8374</v>
      </c>
      <c r="BE1564" s="48" t="s">
        <v>1712</v>
      </c>
      <c r="BF1564" s="48" t="s">
        <v>272</v>
      </c>
      <c r="BG1564" s="48" t="s">
        <v>272</v>
      </c>
      <c r="BH1564" s="48" t="s">
        <v>2255</v>
      </c>
      <c r="BI1564" s="98">
        <v>2.9375000000000001E-4</v>
      </c>
      <c r="BJ1564" s="98">
        <v>23.5</v>
      </c>
      <c r="BK1564" s="48"/>
      <c r="BL1564" s="487">
        <v>34.543304050678344</v>
      </c>
      <c r="BM1564" s="48" t="s">
        <v>891</v>
      </c>
      <c r="BN1564" s="233"/>
      <c r="BO1564" s="233"/>
      <c r="BP1564" s="233"/>
      <c r="BQ1564" s="233"/>
      <c r="BR1564" s="233"/>
      <c r="BS1564" s="48"/>
      <c r="BT1564" s="233"/>
      <c r="BU1564" s="228"/>
      <c r="BV1564" s="233"/>
      <c r="BW1564" s="233"/>
      <c r="BX1564" s="233"/>
      <c r="BY1564" s="233"/>
      <c r="BZ1564" s="233"/>
      <c r="CA1564" s="233"/>
      <c r="CB1564" s="233"/>
      <c r="CC1564" s="48"/>
      <c r="CD1564" s="48"/>
      <c r="CE1564" s="48"/>
      <c r="CF1564" s="48"/>
      <c r="CG1564" s="233"/>
      <c r="CH1564" s="48"/>
      <c r="CI1564" s="98"/>
      <c r="CJ1564" s="98"/>
      <c r="CK1564" s="49">
        <f t="shared" si="368"/>
        <v>1.4699278319437594</v>
      </c>
      <c r="CL1564" s="229"/>
      <c r="CM1564" s="229"/>
      <c r="CN1564" s="229"/>
      <c r="CO1564" s="47" t="s">
        <v>892</v>
      </c>
      <c r="CP1564" s="500" t="s">
        <v>893</v>
      </c>
      <c r="CQ1564" s="224">
        <v>1.1661031917136673</v>
      </c>
      <c r="CR1564" s="224">
        <f>10^(CJ1564-CQ1564)</f>
        <v>6.8217658447285001E-2</v>
      </c>
      <c r="CS1564" s="230" t="s">
        <v>539</v>
      </c>
      <c r="CT1564" s="230"/>
      <c r="CU1564" s="230"/>
      <c r="CV1564" s="335">
        <f t="shared" si="369"/>
        <v>3.0425531914893615</v>
      </c>
      <c r="CW1564" s="230">
        <f t="shared" si="383"/>
        <v>1</v>
      </c>
      <c r="CX1564" s="336" t="s">
        <v>539</v>
      </c>
      <c r="CY1564" s="230" t="s">
        <v>5921</v>
      </c>
    </row>
    <row r="1565" spans="1:103" ht="11.25" customHeight="1" x14ac:dyDescent="0.2">
      <c r="A1565" s="72">
        <v>1375</v>
      </c>
      <c r="B1565" s="224">
        <v>292</v>
      </c>
      <c r="C1565" s="46" t="s">
        <v>3822</v>
      </c>
      <c r="D1565" s="46"/>
      <c r="E1565" s="114"/>
      <c r="F1565" s="114" t="s">
        <v>3823</v>
      </c>
      <c r="G1565" s="225">
        <v>43222486</v>
      </c>
      <c r="H1565" s="47" t="s">
        <v>3824</v>
      </c>
      <c r="I1565" s="47" t="s">
        <v>8126</v>
      </c>
      <c r="J1565" s="47" t="s">
        <v>3825</v>
      </c>
      <c r="K1565" s="47" t="s">
        <v>1594</v>
      </c>
      <c r="L1565" s="47"/>
      <c r="M1565" s="47"/>
      <c r="N1565" s="47"/>
      <c r="O1565" s="47"/>
      <c r="P1565" s="53"/>
      <c r="Q1565" s="53"/>
      <c r="R1565" s="53"/>
      <c r="S1565" s="53"/>
      <c r="T1565" s="48">
        <v>360.44</v>
      </c>
      <c r="U1565" s="98">
        <v>816999.99999999988</v>
      </c>
      <c r="V1565" s="98">
        <v>1492</v>
      </c>
      <c r="W1565" s="98"/>
      <c r="X1565" s="98">
        <v>816999.99999999988</v>
      </c>
      <c r="Y1565" s="233"/>
      <c r="Z1565" s="48">
        <v>-0.02</v>
      </c>
      <c r="AA1565" s="48">
        <v>0.65</v>
      </c>
      <c r="AB1565" s="48">
        <v>0</v>
      </c>
      <c r="AC1565" s="48">
        <v>0</v>
      </c>
      <c r="AD1565" s="48">
        <v>0</v>
      </c>
      <c r="AE1565" s="48">
        <v>0</v>
      </c>
      <c r="AF1565" s="48">
        <f t="shared" si="380"/>
        <v>0.65</v>
      </c>
      <c r="AG1565" s="49">
        <v>3.23</v>
      </c>
      <c r="AH1565" s="98"/>
      <c r="AI1565" s="98"/>
      <c r="AJ1565" s="483"/>
      <c r="AK1565" s="483"/>
      <c r="AL1565" s="483"/>
      <c r="AM1565" s="483"/>
      <c r="AN1565" s="226">
        <v>-4.04</v>
      </c>
      <c r="AO1565" s="484"/>
      <c r="AP1565" s="484"/>
      <c r="AQ1565" s="226" t="s">
        <v>6311</v>
      </c>
      <c r="AR1565" s="226" t="s">
        <v>6311</v>
      </c>
      <c r="AS1565" s="224" t="s">
        <v>6</v>
      </c>
      <c r="AT1565" s="50" t="s">
        <v>266</v>
      </c>
      <c r="AU1565" s="48">
        <v>8</v>
      </c>
      <c r="AV1565" s="48">
        <v>144</v>
      </c>
      <c r="AW1565" s="48">
        <v>120</v>
      </c>
      <c r="AX1565" s="48">
        <v>26</v>
      </c>
      <c r="AY1565" s="48" t="s">
        <v>267</v>
      </c>
      <c r="AZ1565" s="48" t="s">
        <v>2253</v>
      </c>
      <c r="BA1565" s="48">
        <v>2</v>
      </c>
      <c r="BB1565" s="47" t="s">
        <v>2254</v>
      </c>
      <c r="BC1565" s="47" t="s">
        <v>270</v>
      </c>
      <c r="BD1565" s="47" t="s">
        <v>8374</v>
      </c>
      <c r="BE1565" s="48" t="s">
        <v>1712</v>
      </c>
      <c r="BF1565" s="48" t="s">
        <v>272</v>
      </c>
      <c r="BG1565" s="48" t="s">
        <v>272</v>
      </c>
      <c r="BH1565" s="48" t="s">
        <v>2255</v>
      </c>
      <c r="BI1565" s="98">
        <v>3.6043999999999996E-4</v>
      </c>
      <c r="BJ1565" s="98">
        <v>28.8352</v>
      </c>
      <c r="BK1565" s="48"/>
      <c r="BL1565" s="487">
        <v>19301.674212674818</v>
      </c>
      <c r="BM1565" s="48" t="s">
        <v>891</v>
      </c>
      <c r="BN1565" s="233"/>
      <c r="BO1565" s="233"/>
      <c r="BP1565" s="233"/>
      <c r="BQ1565" s="233"/>
      <c r="BR1565" s="233"/>
      <c r="BS1565" s="48"/>
      <c r="BT1565" s="233"/>
      <c r="BU1565" s="228"/>
      <c r="BV1565" s="233"/>
      <c r="BW1565" s="233"/>
      <c r="BX1565" s="233"/>
      <c r="BY1565" s="233"/>
      <c r="BZ1565" s="233"/>
      <c r="CA1565" s="233"/>
      <c r="CB1565" s="233"/>
      <c r="CC1565" s="48"/>
      <c r="CD1565" s="48"/>
      <c r="CE1565" s="48"/>
      <c r="CF1565" s="48"/>
      <c r="CG1565" s="233"/>
      <c r="CH1565" s="48"/>
      <c r="CI1565" s="98"/>
      <c r="CJ1565" s="98"/>
      <c r="CK1565" s="49">
        <f t="shared" ref="CK1565:CK1619" si="384">BL1565/BJ1565</f>
        <v>669.37889151713239</v>
      </c>
      <c r="CL1565" s="229"/>
      <c r="CM1565" s="229"/>
      <c r="CN1565" s="229"/>
      <c r="CO1565" s="47" t="s">
        <v>892</v>
      </c>
      <c r="CP1565" s="500" t="s">
        <v>893</v>
      </c>
      <c r="CQ1565" s="224" t="s">
        <v>272</v>
      </c>
      <c r="CR1565" s="224"/>
      <c r="CS1565" s="230" t="s">
        <v>539</v>
      </c>
      <c r="CT1565" s="230"/>
      <c r="CU1565" s="230"/>
      <c r="CV1565" s="335">
        <f t="shared" ref="CV1565:CV1619" si="385">X1565/BJ1565</f>
        <v>28333.425812895344</v>
      </c>
      <c r="CW1565" s="230">
        <f t="shared" si="383"/>
        <v>1</v>
      </c>
      <c r="CX1565" s="336" t="s">
        <v>539</v>
      </c>
      <c r="CY1565" s="230" t="s">
        <v>5921</v>
      </c>
    </row>
    <row r="1566" spans="1:103" ht="11.25" customHeight="1" x14ac:dyDescent="0.2">
      <c r="A1566" s="72">
        <v>1376</v>
      </c>
      <c r="B1566" s="224">
        <v>700</v>
      </c>
      <c r="C1566" s="46" t="s">
        <v>7448</v>
      </c>
      <c r="D1566" s="46" t="s">
        <v>8666</v>
      </c>
      <c r="E1566" s="114"/>
      <c r="F1566" s="114" t="s">
        <v>3647</v>
      </c>
      <c r="G1566" s="225">
        <v>50471448</v>
      </c>
      <c r="H1566" s="47" t="s">
        <v>3648</v>
      </c>
      <c r="I1566" s="47" t="s">
        <v>8127</v>
      </c>
      <c r="J1566" s="47" t="s">
        <v>3649</v>
      </c>
      <c r="K1566" s="47" t="s">
        <v>1149</v>
      </c>
      <c r="L1566" s="47" t="s">
        <v>5929</v>
      </c>
      <c r="M1566" s="47" t="s">
        <v>8524</v>
      </c>
      <c r="N1566" s="47" t="s">
        <v>6386</v>
      </c>
      <c r="O1566" s="47" t="s">
        <v>6058</v>
      </c>
      <c r="P1566" s="53" t="s">
        <v>6172</v>
      </c>
      <c r="Q1566" s="53" t="s">
        <v>6176</v>
      </c>
      <c r="R1566" s="53" t="s">
        <v>6181</v>
      </c>
      <c r="S1566" s="53" t="s">
        <v>6173</v>
      </c>
      <c r="T1566" s="48">
        <v>286.11</v>
      </c>
      <c r="U1566" s="98">
        <v>2.6</v>
      </c>
      <c r="V1566" s="98">
        <v>33.28</v>
      </c>
      <c r="W1566" s="98">
        <v>6.8633008646066509</v>
      </c>
      <c r="X1566" s="98">
        <v>2.6</v>
      </c>
      <c r="Y1566" s="233">
        <v>7</v>
      </c>
      <c r="Z1566" s="48">
        <v>3.03</v>
      </c>
      <c r="AA1566" s="48">
        <v>3.1</v>
      </c>
      <c r="AB1566" s="48">
        <v>3.3</v>
      </c>
      <c r="AC1566" s="48">
        <v>0.77590000000000003</v>
      </c>
      <c r="AD1566" s="48">
        <v>3.27</v>
      </c>
      <c r="AE1566" s="48">
        <v>3.19</v>
      </c>
      <c r="AF1566" s="48">
        <f t="shared" si="380"/>
        <v>3.1</v>
      </c>
      <c r="AG1566" s="49">
        <v>3.05</v>
      </c>
      <c r="AH1566" s="98">
        <v>2.3599999999999999E-6</v>
      </c>
      <c r="AI1566" s="98">
        <v>1.74E-8</v>
      </c>
      <c r="AJ1566" s="483">
        <f>LOG10(AH1566*1000/(0.08206*298.15))</f>
        <v>-4.0156543233425452</v>
      </c>
      <c r="AK1566" s="483">
        <f>LOG10(AI1566*1000/(0.08206*298.15))</f>
        <v>-6.148017078030052</v>
      </c>
      <c r="AL1566" s="483">
        <f t="shared" ref="AL1566:AL1604" si="386">IF(AK1566=0,AJ1566,AK1566)</f>
        <v>-6.148017078030052</v>
      </c>
      <c r="AM1566" s="483">
        <v>-10.17206</v>
      </c>
      <c r="AN1566" s="226">
        <v>-6.05</v>
      </c>
      <c r="AO1566" s="484"/>
      <c r="AP1566" s="484">
        <v>-3.43</v>
      </c>
      <c r="AQ1566" s="226" t="s">
        <v>6311</v>
      </c>
      <c r="AR1566" s="226" t="s">
        <v>6311</v>
      </c>
      <c r="AS1566" s="224" t="s">
        <v>6</v>
      </c>
      <c r="AT1566" s="50" t="s">
        <v>266</v>
      </c>
      <c r="AU1566" s="48">
        <v>8</v>
      </c>
      <c r="AV1566" s="48">
        <v>144</v>
      </c>
      <c r="AW1566" s="48">
        <v>120</v>
      </c>
      <c r="AX1566" s="48">
        <v>26</v>
      </c>
      <c r="AY1566" s="48" t="s">
        <v>267</v>
      </c>
      <c r="AZ1566" s="48" t="s">
        <v>2253</v>
      </c>
      <c r="BA1566" s="48">
        <v>2</v>
      </c>
      <c r="BB1566" s="47" t="s">
        <v>2254</v>
      </c>
      <c r="BC1566" s="47" t="s">
        <v>270</v>
      </c>
      <c r="BD1566" s="47" t="s">
        <v>8374</v>
      </c>
      <c r="BE1566" s="48" t="s">
        <v>1712</v>
      </c>
      <c r="BF1566" s="48" t="s">
        <v>272</v>
      </c>
      <c r="BG1566" s="48" t="s">
        <v>272</v>
      </c>
      <c r="BH1566" s="48" t="s">
        <v>2255</v>
      </c>
      <c r="BI1566" s="98">
        <v>2.8611000000000001E-4</v>
      </c>
      <c r="BJ1566" s="98">
        <v>22.8888</v>
      </c>
      <c r="BK1566" s="48"/>
      <c r="BL1566" s="487">
        <v>27.931228477279827</v>
      </c>
      <c r="BM1566" s="48" t="s">
        <v>891</v>
      </c>
      <c r="BN1566" s="233"/>
      <c r="BO1566" s="233"/>
      <c r="BP1566" s="233"/>
      <c r="BQ1566" s="233"/>
      <c r="BR1566" s="233"/>
      <c r="BS1566" s="48"/>
      <c r="BT1566" s="233"/>
      <c r="BU1566" s="228"/>
      <c r="BV1566" s="233"/>
      <c r="BW1566" s="233"/>
      <c r="BX1566" s="233"/>
      <c r="BY1566" s="233"/>
      <c r="BZ1566" s="233"/>
      <c r="CA1566" s="233"/>
      <c r="CB1566" s="233"/>
      <c r="CC1566" s="48"/>
      <c r="CD1566" s="48"/>
      <c r="CE1566" s="48"/>
      <c r="CF1566" s="48"/>
      <c r="CG1566" s="233"/>
      <c r="CH1566" s="48"/>
      <c r="CI1566" s="98"/>
      <c r="CJ1566" s="98"/>
      <c r="CK1566" s="49">
        <f t="shared" si="384"/>
        <v>1.22030112881758</v>
      </c>
      <c r="CL1566" s="229"/>
      <c r="CM1566" s="229"/>
      <c r="CN1566" s="229"/>
      <c r="CO1566" s="47" t="s">
        <v>892</v>
      </c>
      <c r="CP1566" s="500" t="s">
        <v>893</v>
      </c>
      <c r="CQ1566" s="224">
        <v>1.0878502860140404</v>
      </c>
      <c r="CR1566" s="224">
        <f>10^(CJ1566-CQ1566)</f>
        <v>8.1686391966607541E-2</v>
      </c>
      <c r="CS1566" s="230" t="s">
        <v>539</v>
      </c>
      <c r="CT1566" s="230"/>
      <c r="CU1566" s="230"/>
      <c r="CV1566" s="335">
        <f t="shared" si="385"/>
        <v>0.11359267414630737</v>
      </c>
      <c r="CW1566" s="230">
        <f t="shared" si="383"/>
        <v>0</v>
      </c>
      <c r="CX1566" s="336" t="s">
        <v>539</v>
      </c>
      <c r="CY1566" s="230" t="s">
        <v>5921</v>
      </c>
    </row>
    <row r="1567" spans="1:103" ht="11.25" customHeight="1" x14ac:dyDescent="0.2">
      <c r="A1567" s="72">
        <v>1378</v>
      </c>
      <c r="B1567" s="224">
        <v>220</v>
      </c>
      <c r="C1567" s="46" t="s">
        <v>7449</v>
      </c>
      <c r="D1567" s="46"/>
      <c r="E1567" s="114"/>
      <c r="F1567" s="114" t="s">
        <v>3720</v>
      </c>
      <c r="G1567" s="225">
        <v>50594666</v>
      </c>
      <c r="H1567" s="47" t="s">
        <v>3721</v>
      </c>
      <c r="I1567" s="47" t="s">
        <v>8128</v>
      </c>
      <c r="J1567" s="47" t="s">
        <v>3722</v>
      </c>
      <c r="K1567" s="47" t="s">
        <v>426</v>
      </c>
      <c r="L1567" s="47" t="s">
        <v>5955</v>
      </c>
      <c r="M1567" s="47" t="s">
        <v>5958</v>
      </c>
      <c r="N1567" s="47"/>
      <c r="O1567" s="47" t="s">
        <v>5957</v>
      </c>
      <c r="P1567" s="53"/>
      <c r="Q1567" s="53"/>
      <c r="R1567" s="53"/>
      <c r="S1567" s="53"/>
      <c r="T1567" s="48">
        <v>361.66</v>
      </c>
      <c r="U1567" s="98">
        <v>120</v>
      </c>
      <c r="V1567" s="98">
        <v>1.4850000000000001</v>
      </c>
      <c r="W1567" s="98">
        <v>70.51807979484947</v>
      </c>
      <c r="X1567" s="98">
        <v>120</v>
      </c>
      <c r="Y1567" s="233">
        <v>3.72</v>
      </c>
      <c r="Z1567" s="48">
        <v>4.17</v>
      </c>
      <c r="AA1567" s="48">
        <v>3.7</v>
      </c>
      <c r="AB1567" s="48">
        <v>4.04</v>
      </c>
      <c r="AC1567" s="48">
        <v>0.89410000000000001</v>
      </c>
      <c r="AD1567" s="48">
        <v>4.0999999999999996</v>
      </c>
      <c r="AE1567" s="48">
        <v>4.3499999999999996</v>
      </c>
      <c r="AF1567" s="48">
        <f t="shared" si="380"/>
        <v>3.7</v>
      </c>
      <c r="AG1567" s="49">
        <v>3.82</v>
      </c>
      <c r="AH1567" s="98">
        <v>6.0300000000000001E-11</v>
      </c>
      <c r="AI1567" s="98"/>
      <c r="AJ1567" s="483">
        <f t="shared" ref="AJ1567:AJ1604" si="387">LOG10(AH1567*1000/(0.08206*298.15))</f>
        <v>-8.6082490141725003</v>
      </c>
      <c r="AK1567" s="483"/>
      <c r="AL1567" s="483">
        <f t="shared" si="386"/>
        <v>-8.6082490141725003</v>
      </c>
      <c r="AM1567" s="483">
        <v>-13.366</v>
      </c>
      <c r="AN1567" s="226">
        <v>-8.4</v>
      </c>
      <c r="AO1567" s="484">
        <v>1.93</v>
      </c>
      <c r="AP1567" s="484"/>
      <c r="AQ1567" s="226" t="s">
        <v>6311</v>
      </c>
      <c r="AR1567" s="226" t="s">
        <v>6311</v>
      </c>
      <c r="AS1567" s="224" t="s">
        <v>6</v>
      </c>
      <c r="AT1567" s="50" t="s">
        <v>266</v>
      </c>
      <c r="AU1567" s="48">
        <v>8</v>
      </c>
      <c r="AV1567" s="48">
        <v>144</v>
      </c>
      <c r="AW1567" s="48">
        <v>120</v>
      </c>
      <c r="AX1567" s="48">
        <v>26</v>
      </c>
      <c r="AY1567" s="48" t="s">
        <v>267</v>
      </c>
      <c r="AZ1567" s="48" t="s">
        <v>2253</v>
      </c>
      <c r="BA1567" s="48">
        <v>2</v>
      </c>
      <c r="BB1567" s="47" t="s">
        <v>2254</v>
      </c>
      <c r="BC1567" s="47" t="s">
        <v>270</v>
      </c>
      <c r="BD1567" s="47" t="s">
        <v>8374</v>
      </c>
      <c r="BE1567" s="48" t="s">
        <v>1712</v>
      </c>
      <c r="BF1567" s="48" t="s">
        <v>272</v>
      </c>
      <c r="BG1567" s="48" t="s">
        <v>272</v>
      </c>
      <c r="BH1567" s="48" t="s">
        <v>2255</v>
      </c>
      <c r="BI1567" s="98">
        <v>3.6166000000000003E-4</v>
      </c>
      <c r="BJ1567" s="98">
        <v>28.932800000000004</v>
      </c>
      <c r="BK1567" s="48"/>
      <c r="BL1567" s="487">
        <v>3.3421310710076866</v>
      </c>
      <c r="BM1567" s="48" t="s">
        <v>891</v>
      </c>
      <c r="BN1567" s="233"/>
      <c r="BO1567" s="233"/>
      <c r="BP1567" s="233"/>
      <c r="BQ1567" s="233"/>
      <c r="BR1567" s="233"/>
      <c r="BS1567" s="48"/>
      <c r="BT1567" s="233"/>
      <c r="BU1567" s="228"/>
      <c r="BV1567" s="233"/>
      <c r="BW1567" s="233"/>
      <c r="BX1567" s="233"/>
      <c r="BY1567" s="233"/>
      <c r="BZ1567" s="233"/>
      <c r="CA1567" s="233"/>
      <c r="CB1567" s="233"/>
      <c r="CC1567" s="48"/>
      <c r="CD1567" s="48"/>
      <c r="CE1567" s="48"/>
      <c r="CF1567" s="48"/>
      <c r="CG1567" s="233"/>
      <c r="CH1567" s="48"/>
      <c r="CI1567" s="98"/>
      <c r="CJ1567" s="98"/>
      <c r="CK1567" s="49">
        <f t="shared" si="384"/>
        <v>0.11551357182877862</v>
      </c>
      <c r="CL1567" s="229"/>
      <c r="CM1567" s="229"/>
      <c r="CN1567" s="229"/>
      <c r="CO1567" s="47" t="s">
        <v>892</v>
      </c>
      <c r="CP1567" s="500" t="s">
        <v>893</v>
      </c>
      <c r="CQ1567" s="224" t="s">
        <v>272</v>
      </c>
      <c r="CR1567" s="224"/>
      <c r="CS1567" s="230" t="s">
        <v>539</v>
      </c>
      <c r="CT1567" s="230"/>
      <c r="CU1567" s="230"/>
      <c r="CV1567" s="335">
        <f t="shared" si="385"/>
        <v>4.1475418901730903</v>
      </c>
      <c r="CW1567" s="230">
        <f t="shared" si="383"/>
        <v>1</v>
      </c>
      <c r="CX1567" s="336" t="s">
        <v>539</v>
      </c>
      <c r="CY1567" s="230" t="s">
        <v>5921</v>
      </c>
    </row>
    <row r="1568" spans="1:103" ht="11.25" customHeight="1" x14ac:dyDescent="0.2">
      <c r="A1568" s="72">
        <v>1382</v>
      </c>
      <c r="B1568" s="224">
        <v>350</v>
      </c>
      <c r="C1568" s="46" t="s">
        <v>7451</v>
      </c>
      <c r="D1568" s="46" t="s">
        <v>8667</v>
      </c>
      <c r="E1568" s="114"/>
      <c r="F1568" s="114" t="s">
        <v>3201</v>
      </c>
      <c r="G1568" s="225">
        <v>51235042</v>
      </c>
      <c r="H1568" s="47" t="s">
        <v>3202</v>
      </c>
      <c r="I1568" s="47" t="s">
        <v>8130</v>
      </c>
      <c r="J1568" s="47" t="s">
        <v>3203</v>
      </c>
      <c r="K1568" s="47" t="s">
        <v>3204</v>
      </c>
      <c r="L1568" s="51" t="s">
        <v>6056</v>
      </c>
      <c r="M1568" s="47" t="s">
        <v>6082</v>
      </c>
      <c r="N1568" s="47" t="s">
        <v>6082</v>
      </c>
      <c r="O1568" s="47" t="s">
        <v>6083</v>
      </c>
      <c r="P1568" s="53"/>
      <c r="Q1568" s="53"/>
      <c r="R1568" s="53"/>
      <c r="S1568" s="53"/>
      <c r="T1568" s="48">
        <v>252.31</v>
      </c>
      <c r="U1568" s="98">
        <v>33000</v>
      </c>
      <c r="V1568" s="98">
        <v>604.20000000000005</v>
      </c>
      <c r="W1568" s="98">
        <v>503.42463468979759</v>
      </c>
      <c r="X1568" s="98">
        <v>33000</v>
      </c>
      <c r="Y1568" s="233">
        <v>7.04</v>
      </c>
      <c r="Z1568" s="48">
        <v>2.15</v>
      </c>
      <c r="AA1568" s="48">
        <v>1.85</v>
      </c>
      <c r="AB1568" s="48">
        <v>1.95</v>
      </c>
      <c r="AC1568" s="48">
        <v>0.6381</v>
      </c>
      <c r="AD1568" s="48">
        <v>1.91</v>
      </c>
      <c r="AE1568" s="48">
        <v>1.85</v>
      </c>
      <c r="AF1568" s="48">
        <f t="shared" si="380"/>
        <v>1.85</v>
      </c>
      <c r="AG1568" s="49">
        <v>1.69</v>
      </c>
      <c r="AH1568" s="98">
        <v>4.1100000000000002E-13</v>
      </c>
      <c r="AI1568" s="98">
        <v>2.2600000000000001E-12</v>
      </c>
      <c r="AJ1568" s="483">
        <f t="shared" si="387"/>
        <v>-10.774724504436582</v>
      </c>
      <c r="AK1568" s="483">
        <f>LOG10(AI1568*1000/(0.08206*298.15))</f>
        <v>-10.034457887165251</v>
      </c>
      <c r="AL1568" s="483">
        <f t="shared" si="386"/>
        <v>-10.034457887165251</v>
      </c>
      <c r="AM1568" s="483">
        <v>-13.65523</v>
      </c>
      <c r="AN1568" s="226">
        <v>-9.66</v>
      </c>
      <c r="AO1568" s="484"/>
      <c r="AP1568" s="484">
        <v>2.0499999999999998</v>
      </c>
      <c r="AQ1568" s="226" t="s">
        <v>6311</v>
      </c>
      <c r="AR1568" s="226" t="s">
        <v>6311</v>
      </c>
      <c r="AS1568" s="224" t="s">
        <v>6</v>
      </c>
      <c r="AT1568" s="50" t="s">
        <v>266</v>
      </c>
      <c r="AU1568" s="48">
        <v>8</v>
      </c>
      <c r="AV1568" s="48">
        <v>144</v>
      </c>
      <c r="AW1568" s="48">
        <v>120</v>
      </c>
      <c r="AX1568" s="48">
        <v>26</v>
      </c>
      <c r="AY1568" s="48" t="s">
        <v>267</v>
      </c>
      <c r="AZ1568" s="48" t="s">
        <v>2253</v>
      </c>
      <c r="BA1568" s="48">
        <v>2</v>
      </c>
      <c r="BB1568" s="47" t="s">
        <v>2254</v>
      </c>
      <c r="BC1568" s="47" t="s">
        <v>270</v>
      </c>
      <c r="BD1568" s="47" t="s">
        <v>8374</v>
      </c>
      <c r="BE1568" s="48" t="s">
        <v>1712</v>
      </c>
      <c r="BF1568" s="48" t="s">
        <v>272</v>
      </c>
      <c r="BG1568" s="48" t="s">
        <v>272</v>
      </c>
      <c r="BH1568" s="48" t="s">
        <v>2255</v>
      </c>
      <c r="BI1568" s="98">
        <v>2.5231E-4</v>
      </c>
      <c r="BJ1568" s="98">
        <v>20.184799999999999</v>
      </c>
      <c r="BK1568" s="48"/>
      <c r="BL1568" s="487">
        <v>151.9915568815984</v>
      </c>
      <c r="BM1568" s="48" t="s">
        <v>891</v>
      </c>
      <c r="BN1568" s="233"/>
      <c r="BO1568" s="233"/>
      <c r="BP1568" s="233"/>
      <c r="BQ1568" s="233"/>
      <c r="BR1568" s="233"/>
      <c r="BS1568" s="48"/>
      <c r="BT1568" s="233"/>
      <c r="BU1568" s="228"/>
      <c r="BV1568" s="233"/>
      <c r="BW1568" s="233"/>
      <c r="BX1568" s="233"/>
      <c r="BY1568" s="233"/>
      <c r="BZ1568" s="233"/>
      <c r="CA1568" s="233"/>
      <c r="CB1568" s="233"/>
      <c r="CC1568" s="48"/>
      <c r="CD1568" s="48"/>
      <c r="CE1568" s="48"/>
      <c r="CF1568" s="48"/>
      <c r="CG1568" s="233"/>
      <c r="CH1568" s="48"/>
      <c r="CI1568" s="98"/>
      <c r="CJ1568" s="98"/>
      <c r="CK1568" s="49">
        <f t="shared" si="384"/>
        <v>7.5300006381831084</v>
      </c>
      <c r="CL1568" s="229"/>
      <c r="CM1568" s="229"/>
      <c r="CN1568" s="229"/>
      <c r="CO1568" s="47" t="s">
        <v>892</v>
      </c>
      <c r="CP1568" s="500" t="s">
        <v>893</v>
      </c>
      <c r="CQ1568" s="224">
        <v>2.5416665800261642</v>
      </c>
      <c r="CR1568" s="224">
        <f>10^(CJ1568-CQ1568)</f>
        <v>2.8729854065059476E-3</v>
      </c>
      <c r="CS1568" s="230" t="s">
        <v>539</v>
      </c>
      <c r="CT1568" s="230"/>
      <c r="CU1568" s="230"/>
      <c r="CV1568" s="335">
        <f t="shared" si="385"/>
        <v>1634.8935832903967</v>
      </c>
      <c r="CW1568" s="230">
        <f t="shared" si="383"/>
        <v>1</v>
      </c>
      <c r="CX1568" s="336" t="s">
        <v>539</v>
      </c>
      <c r="CY1568" s="230" t="s">
        <v>5921</v>
      </c>
    </row>
    <row r="1569" spans="1:103" ht="11.25" customHeight="1" x14ac:dyDescent="0.2">
      <c r="A1569" s="72">
        <v>1384</v>
      </c>
      <c r="B1569" s="224">
        <v>640</v>
      </c>
      <c r="C1569" s="46" t="s">
        <v>7452</v>
      </c>
      <c r="D1569" s="46"/>
      <c r="E1569" s="114"/>
      <c r="F1569" s="114" t="s">
        <v>4041</v>
      </c>
      <c r="G1569" s="225">
        <v>51707552</v>
      </c>
      <c r="H1569" s="47" t="s">
        <v>4042</v>
      </c>
      <c r="I1569" s="47" t="s">
        <v>4042</v>
      </c>
      <c r="J1569" s="47" t="s">
        <v>4043</v>
      </c>
      <c r="K1569" s="47" t="s">
        <v>1292</v>
      </c>
      <c r="L1569" s="47"/>
      <c r="M1569" s="47"/>
      <c r="N1569" s="47"/>
      <c r="O1569" s="47"/>
      <c r="P1569" s="53"/>
      <c r="Q1569" s="53"/>
      <c r="R1569" s="53"/>
      <c r="S1569" s="53"/>
      <c r="T1569" s="48">
        <v>220.25</v>
      </c>
      <c r="U1569" s="98">
        <v>20</v>
      </c>
      <c r="V1569" s="98">
        <v>1057</v>
      </c>
      <c r="W1569" s="98">
        <v>566.12967115484219</v>
      </c>
      <c r="X1569" s="98">
        <v>20</v>
      </c>
      <c r="Y1569" s="233">
        <v>6.6</v>
      </c>
      <c r="Z1569" s="48">
        <v>2.1</v>
      </c>
      <c r="AA1569" s="48">
        <v>1.77</v>
      </c>
      <c r="AB1569" s="48">
        <v>1.79</v>
      </c>
      <c r="AC1569" s="48">
        <v>0.78059999999999996</v>
      </c>
      <c r="AD1569" s="48">
        <v>1.71</v>
      </c>
      <c r="AE1569" s="48">
        <v>1.43</v>
      </c>
      <c r="AF1569" s="48">
        <f t="shared" si="380"/>
        <v>1.77</v>
      </c>
      <c r="AG1569" s="49">
        <v>1.8</v>
      </c>
      <c r="AH1569" s="98">
        <v>3.5899999999999998E-13</v>
      </c>
      <c r="AI1569" s="98">
        <v>3.3299999999999999E-13</v>
      </c>
      <c r="AJ1569" s="483">
        <f t="shared" si="387"/>
        <v>-10.833471877734333</v>
      </c>
      <c r="AK1569" s="483">
        <f>LOG10(AI1569*1000/(0.08206*298.15))</f>
        <v>-10.866122092806332</v>
      </c>
      <c r="AL1569" s="483">
        <f t="shared" si="386"/>
        <v>-10.866122092806332</v>
      </c>
      <c r="AM1569" s="483">
        <v>-14.517139999999998</v>
      </c>
      <c r="AN1569" s="226">
        <v>-10.7</v>
      </c>
      <c r="AO1569" s="484">
        <v>12.05</v>
      </c>
      <c r="AP1569" s="484">
        <v>0.22</v>
      </c>
      <c r="AQ1569" s="226" t="s">
        <v>6311</v>
      </c>
      <c r="AR1569" s="226" t="s">
        <v>6311</v>
      </c>
      <c r="AS1569" s="224" t="s">
        <v>6</v>
      </c>
      <c r="AT1569" s="50" t="s">
        <v>266</v>
      </c>
      <c r="AU1569" s="48">
        <v>8</v>
      </c>
      <c r="AV1569" s="48">
        <v>144</v>
      </c>
      <c r="AW1569" s="48">
        <v>120</v>
      </c>
      <c r="AX1569" s="48">
        <v>26</v>
      </c>
      <c r="AY1569" s="48" t="s">
        <v>267</v>
      </c>
      <c r="AZ1569" s="48" t="s">
        <v>2253</v>
      </c>
      <c r="BA1569" s="48">
        <v>3</v>
      </c>
      <c r="BB1569" s="47" t="s">
        <v>2254</v>
      </c>
      <c r="BC1569" s="47" t="s">
        <v>270</v>
      </c>
      <c r="BD1569" s="47" t="s">
        <v>8374</v>
      </c>
      <c r="BE1569" s="48" t="s">
        <v>1712</v>
      </c>
      <c r="BF1569" s="48" t="s">
        <v>272</v>
      </c>
      <c r="BG1569" s="48" t="s">
        <v>272</v>
      </c>
      <c r="BH1569" s="48" t="s">
        <v>2255</v>
      </c>
      <c r="BI1569" s="98">
        <v>2.2024999999999999E-4</v>
      </c>
      <c r="BJ1569" s="98">
        <v>17.62</v>
      </c>
      <c r="BK1569" s="48"/>
      <c r="BL1569" s="487">
        <v>147.13158621162873</v>
      </c>
      <c r="BM1569" s="48" t="s">
        <v>891</v>
      </c>
      <c r="BN1569" s="233"/>
      <c r="BO1569" s="233"/>
      <c r="BP1569" s="233"/>
      <c r="BQ1569" s="233"/>
      <c r="BR1569" s="233"/>
      <c r="BS1569" s="48"/>
      <c r="BT1569" s="233"/>
      <c r="BU1569" s="228"/>
      <c r="BV1569" s="233"/>
      <c r="BW1569" s="233"/>
      <c r="BX1569" s="233"/>
      <c r="BY1569" s="233"/>
      <c r="BZ1569" s="233"/>
      <c r="CA1569" s="233"/>
      <c r="CB1569" s="233"/>
      <c r="CC1569" s="48"/>
      <c r="CD1569" s="48"/>
      <c r="CE1569" s="48"/>
      <c r="CF1569" s="48"/>
      <c r="CG1569" s="233"/>
      <c r="CH1569" s="48"/>
      <c r="CI1569" s="98"/>
      <c r="CJ1569" s="98"/>
      <c r="CK1569" s="49">
        <f t="shared" si="384"/>
        <v>8.3502602844284173</v>
      </c>
      <c r="CL1569" s="229"/>
      <c r="CM1569" s="229"/>
      <c r="CN1569" s="229"/>
      <c r="CO1569" s="47" t="s">
        <v>892</v>
      </c>
      <c r="CP1569" s="500" t="s">
        <v>893</v>
      </c>
      <c r="CQ1569" s="224" t="s">
        <v>272</v>
      </c>
      <c r="CR1569" s="224"/>
      <c r="CS1569" s="230" t="s">
        <v>539</v>
      </c>
      <c r="CT1569" s="230"/>
      <c r="CU1569" s="230"/>
      <c r="CV1569" s="335">
        <f t="shared" si="385"/>
        <v>1.1350737797956867</v>
      </c>
      <c r="CW1569" s="230">
        <f t="shared" si="383"/>
        <v>1</v>
      </c>
      <c r="CX1569" s="336" t="s">
        <v>539</v>
      </c>
      <c r="CY1569" s="230" t="s">
        <v>5921</v>
      </c>
    </row>
    <row r="1570" spans="1:103" ht="11.25" customHeight="1" x14ac:dyDescent="0.2">
      <c r="A1570" s="72">
        <v>1386</v>
      </c>
      <c r="B1570" s="224">
        <v>455</v>
      </c>
      <c r="C1570" s="46" t="s">
        <v>7453</v>
      </c>
      <c r="D1570" s="46" t="s">
        <v>8668</v>
      </c>
      <c r="E1570" s="114"/>
      <c r="F1570" s="114" t="s">
        <v>3459</v>
      </c>
      <c r="G1570" s="225">
        <v>53112280</v>
      </c>
      <c r="H1570" s="47" t="s">
        <v>3460</v>
      </c>
      <c r="I1570" s="47" t="s">
        <v>3460</v>
      </c>
      <c r="J1570" s="47" t="s">
        <v>3461</v>
      </c>
      <c r="K1570" s="47" t="s">
        <v>426</v>
      </c>
      <c r="L1570" s="47" t="s">
        <v>6097</v>
      </c>
      <c r="M1570" s="47" t="s">
        <v>6082</v>
      </c>
      <c r="N1570" s="47" t="s">
        <v>6082</v>
      </c>
      <c r="O1570" s="47" t="s">
        <v>6083</v>
      </c>
      <c r="P1570" s="53"/>
      <c r="Q1570" s="53"/>
      <c r="R1570" s="53"/>
      <c r="S1570" s="53"/>
      <c r="T1570" s="48">
        <v>199.25</v>
      </c>
      <c r="U1570" s="98">
        <v>121</v>
      </c>
      <c r="V1570" s="98">
        <v>165.8</v>
      </c>
      <c r="W1570" s="98">
        <v>141.05819753853945</v>
      </c>
      <c r="X1570" s="98">
        <v>121</v>
      </c>
      <c r="Y1570" s="233">
        <v>7.46</v>
      </c>
      <c r="Z1570" s="48">
        <v>3.19</v>
      </c>
      <c r="AA1570" s="48">
        <v>2.84</v>
      </c>
      <c r="AB1570" s="48">
        <v>3.28</v>
      </c>
      <c r="AC1570" s="48">
        <v>0.87819999999999998</v>
      </c>
      <c r="AD1570" s="48">
        <v>3.18</v>
      </c>
      <c r="AE1570" s="48">
        <v>2.84</v>
      </c>
      <c r="AF1570" s="48">
        <f t="shared" si="380"/>
        <v>2.84</v>
      </c>
      <c r="AG1570" s="49">
        <v>3.09</v>
      </c>
      <c r="AH1570" s="98">
        <v>2.4600000000000002E-6</v>
      </c>
      <c r="AI1570" s="98">
        <v>3.5800000000000003E-8</v>
      </c>
      <c r="AJ1570" s="483">
        <f t="shared" si="387"/>
        <v>-3.9976312192092727</v>
      </c>
      <c r="AK1570" s="483">
        <f>LOG10(AI1570*1000/(0.08206*298.15))</f>
        <v>-5.834683299668777</v>
      </c>
      <c r="AL1570" s="483">
        <f t="shared" si="386"/>
        <v>-5.834683299668777</v>
      </c>
      <c r="AM1570" s="483">
        <v>-9.3730799999999981</v>
      </c>
      <c r="AN1570" s="226">
        <v>-5.49</v>
      </c>
      <c r="AO1570" s="484"/>
      <c r="AP1570" s="484">
        <v>4.01</v>
      </c>
      <c r="AQ1570" s="226" t="s">
        <v>6311</v>
      </c>
      <c r="AR1570" s="226" t="s">
        <v>6311</v>
      </c>
      <c r="AS1570" s="224" t="s">
        <v>6</v>
      </c>
      <c r="AT1570" s="50" t="s">
        <v>266</v>
      </c>
      <c r="AU1570" s="48">
        <v>8</v>
      </c>
      <c r="AV1570" s="48">
        <v>144</v>
      </c>
      <c r="AW1570" s="48">
        <v>120</v>
      </c>
      <c r="AX1570" s="48">
        <v>26</v>
      </c>
      <c r="AY1570" s="48" t="s">
        <v>267</v>
      </c>
      <c r="AZ1570" s="48" t="s">
        <v>2253</v>
      </c>
      <c r="BA1570" s="48">
        <v>2</v>
      </c>
      <c r="BB1570" s="47" t="s">
        <v>2254</v>
      </c>
      <c r="BC1570" s="47" t="s">
        <v>270</v>
      </c>
      <c r="BD1570" s="47" t="s">
        <v>8374</v>
      </c>
      <c r="BE1570" s="48" t="s">
        <v>1712</v>
      </c>
      <c r="BF1570" s="48" t="s">
        <v>272</v>
      </c>
      <c r="BG1570" s="48" t="s">
        <v>272</v>
      </c>
      <c r="BH1570" s="48" t="s">
        <v>2255</v>
      </c>
      <c r="BI1570" s="98">
        <v>1.9924999999999999E-4</v>
      </c>
      <c r="BJ1570" s="98">
        <v>15.94</v>
      </c>
      <c r="BK1570" s="48"/>
      <c r="BL1570" s="487">
        <v>13.97202422862426</v>
      </c>
      <c r="BM1570" s="48" t="s">
        <v>891</v>
      </c>
      <c r="BN1570" s="233"/>
      <c r="BO1570" s="233"/>
      <c r="BP1570" s="233"/>
      <c r="BQ1570" s="233"/>
      <c r="BR1570" s="233"/>
      <c r="BS1570" s="48"/>
      <c r="BT1570" s="233"/>
      <c r="BU1570" s="228"/>
      <c r="BV1570" s="233"/>
      <c r="BW1570" s="233"/>
      <c r="BX1570" s="233"/>
      <c r="BY1570" s="233"/>
      <c r="BZ1570" s="233"/>
      <c r="CA1570" s="233"/>
      <c r="CB1570" s="233"/>
      <c r="CC1570" s="48"/>
      <c r="CD1570" s="48"/>
      <c r="CE1570" s="48"/>
      <c r="CF1570" s="48"/>
      <c r="CG1570" s="233"/>
      <c r="CH1570" s="48"/>
      <c r="CI1570" s="98"/>
      <c r="CJ1570" s="98"/>
      <c r="CK1570" s="49">
        <f t="shared" si="384"/>
        <v>0.87653853379073154</v>
      </c>
      <c r="CL1570" s="229"/>
      <c r="CM1570" s="229"/>
      <c r="CN1570" s="229"/>
      <c r="CO1570" s="47" t="s">
        <v>892</v>
      </c>
      <c r="CP1570" s="500" t="s">
        <v>893</v>
      </c>
      <c r="CQ1570" s="224">
        <v>1.1428868733665685</v>
      </c>
      <c r="CR1570" s="224">
        <f t="shared" ref="CR1570:CR1575" si="388">10^(CJ1570-CQ1570)</f>
        <v>7.196364071453365E-2</v>
      </c>
      <c r="CS1570" s="230" t="s">
        <v>539</v>
      </c>
      <c r="CT1570" s="230"/>
      <c r="CU1570" s="230"/>
      <c r="CV1570" s="335">
        <f t="shared" si="385"/>
        <v>7.5909661229611043</v>
      </c>
      <c r="CW1570" s="230">
        <f t="shared" si="383"/>
        <v>1</v>
      </c>
      <c r="CX1570" s="336" t="s">
        <v>539</v>
      </c>
      <c r="CY1570" s="230" t="s">
        <v>5921</v>
      </c>
    </row>
    <row r="1571" spans="1:103" ht="11.25" customHeight="1" x14ac:dyDescent="0.2">
      <c r="A1571" s="72">
        <v>1388</v>
      </c>
      <c r="B1571" s="224">
        <v>242</v>
      </c>
      <c r="C1571" s="46" t="s">
        <v>7454</v>
      </c>
      <c r="D1571" s="46" t="s">
        <v>8669</v>
      </c>
      <c r="E1571" s="114"/>
      <c r="F1571" s="114" t="s">
        <v>3749</v>
      </c>
      <c r="G1571" s="225">
        <v>54593838</v>
      </c>
      <c r="H1571" s="47" t="s">
        <v>3750</v>
      </c>
      <c r="I1571" s="47" t="s">
        <v>8131</v>
      </c>
      <c r="J1571" s="47" t="s">
        <v>3751</v>
      </c>
      <c r="K1571" s="47" t="s">
        <v>628</v>
      </c>
      <c r="L1571" s="47" t="s">
        <v>617</v>
      </c>
      <c r="M1571" s="47" t="s">
        <v>946</v>
      </c>
      <c r="N1571" s="47" t="s">
        <v>6376</v>
      </c>
      <c r="O1571" s="47" t="s">
        <v>918</v>
      </c>
      <c r="P1571" s="53"/>
      <c r="Q1571" s="53"/>
      <c r="R1571" s="53"/>
      <c r="S1571" s="53"/>
      <c r="T1571" s="48">
        <v>336</v>
      </c>
      <c r="U1571" s="98">
        <v>1</v>
      </c>
      <c r="V1571" s="98">
        <v>0.90450000000000008</v>
      </c>
      <c r="W1571" s="98">
        <v>3.064356420235852</v>
      </c>
      <c r="X1571" s="98">
        <v>1</v>
      </c>
      <c r="Y1571" s="233">
        <v>7</v>
      </c>
      <c r="Z1571" s="48">
        <v>4.17</v>
      </c>
      <c r="AA1571" s="48">
        <v>4.59</v>
      </c>
      <c r="AB1571" s="48">
        <v>4.5999999999999996</v>
      </c>
      <c r="AC1571" s="48">
        <v>0.75600000000000001</v>
      </c>
      <c r="AD1571" s="48">
        <v>4.42</v>
      </c>
      <c r="AE1571" s="48">
        <v>3.97</v>
      </c>
      <c r="AF1571" s="48">
        <f t="shared" si="380"/>
        <v>4.59</v>
      </c>
      <c r="AG1571" s="49">
        <v>4.1399999999999997</v>
      </c>
      <c r="AH1571" s="98">
        <v>4.1500000000000001E-6</v>
      </c>
      <c r="AI1571" s="98"/>
      <c r="AJ1571" s="483">
        <f t="shared" si="387"/>
        <v>-3.770518229600559</v>
      </c>
      <c r="AK1571" s="483"/>
      <c r="AL1571" s="483">
        <f t="shared" si="386"/>
        <v>-3.770518229600559</v>
      </c>
      <c r="AM1571" s="483">
        <v>-8.9857200000000006</v>
      </c>
      <c r="AN1571" s="226">
        <v>-3.56</v>
      </c>
      <c r="AO1571" s="484"/>
      <c r="AP1571" s="484"/>
      <c r="AQ1571" s="226" t="s">
        <v>6311</v>
      </c>
      <c r="AR1571" s="226" t="s">
        <v>6311</v>
      </c>
      <c r="AS1571" s="224" t="s">
        <v>6</v>
      </c>
      <c r="AT1571" s="50" t="s">
        <v>266</v>
      </c>
      <c r="AU1571" s="48">
        <v>8</v>
      </c>
      <c r="AV1571" s="48">
        <v>144</v>
      </c>
      <c r="AW1571" s="48">
        <v>120</v>
      </c>
      <c r="AX1571" s="48">
        <v>26</v>
      </c>
      <c r="AY1571" s="48" t="s">
        <v>267</v>
      </c>
      <c r="AZ1571" s="48" t="s">
        <v>2253</v>
      </c>
      <c r="BA1571" s="48">
        <v>2</v>
      </c>
      <c r="BB1571" s="47" t="s">
        <v>2254</v>
      </c>
      <c r="BC1571" s="47" t="s">
        <v>270</v>
      </c>
      <c r="BD1571" s="47" t="s">
        <v>8374</v>
      </c>
      <c r="BE1571" s="48" t="s">
        <v>1712</v>
      </c>
      <c r="BF1571" s="48" t="s">
        <v>272</v>
      </c>
      <c r="BG1571" s="48" t="s">
        <v>272</v>
      </c>
      <c r="BH1571" s="48" t="s">
        <v>2255</v>
      </c>
      <c r="BI1571" s="98">
        <v>3.3599999999999998E-4</v>
      </c>
      <c r="BJ1571" s="98">
        <v>26.88</v>
      </c>
      <c r="BK1571" s="48"/>
      <c r="BL1571" s="487">
        <v>3.1050048107575696</v>
      </c>
      <c r="BM1571" s="48" t="s">
        <v>891</v>
      </c>
      <c r="BN1571" s="233"/>
      <c r="BO1571" s="233"/>
      <c r="BP1571" s="233"/>
      <c r="BQ1571" s="233"/>
      <c r="BR1571" s="233"/>
      <c r="BS1571" s="48"/>
      <c r="BT1571" s="233"/>
      <c r="BU1571" s="228"/>
      <c r="BV1571" s="233"/>
      <c r="BW1571" s="233"/>
      <c r="BX1571" s="233"/>
      <c r="BY1571" s="233"/>
      <c r="BZ1571" s="233"/>
      <c r="CA1571" s="233"/>
      <c r="CB1571" s="233"/>
      <c r="CC1571" s="48"/>
      <c r="CD1571" s="48"/>
      <c r="CE1571" s="48"/>
      <c r="CF1571" s="48"/>
      <c r="CG1571" s="233"/>
      <c r="CH1571" s="48"/>
      <c r="CI1571" s="98"/>
      <c r="CJ1571" s="98"/>
      <c r="CK1571" s="49">
        <f t="shared" si="384"/>
        <v>0.11551357182877864</v>
      </c>
      <c r="CL1571" s="229"/>
      <c r="CM1571" s="229"/>
      <c r="CN1571" s="229"/>
      <c r="CO1571" s="47" t="s">
        <v>892</v>
      </c>
      <c r="CP1571" s="500" t="s">
        <v>893</v>
      </c>
      <c r="CQ1571" s="224">
        <v>-1.8444410786687473</v>
      </c>
      <c r="CR1571" s="224">
        <f t="shared" si="388"/>
        <v>69.894190391712456</v>
      </c>
      <c r="CS1571" s="230" t="s">
        <v>539</v>
      </c>
      <c r="CT1571" s="230"/>
      <c r="CU1571" s="230"/>
      <c r="CV1571" s="335">
        <f t="shared" si="385"/>
        <v>3.7202380952380952E-2</v>
      </c>
      <c r="CW1571" s="230">
        <f t="shared" si="383"/>
        <v>0</v>
      </c>
      <c r="CX1571" s="336" t="s">
        <v>539</v>
      </c>
      <c r="CY1571" s="230" t="s">
        <v>5921</v>
      </c>
    </row>
    <row r="1572" spans="1:103" ht="11.25" customHeight="1" x14ac:dyDescent="0.2">
      <c r="A1572" s="72">
        <v>1391</v>
      </c>
      <c r="B1572" s="224">
        <v>327</v>
      </c>
      <c r="C1572" s="46" t="s">
        <v>7455</v>
      </c>
      <c r="D1572" s="46" t="s">
        <v>8670</v>
      </c>
      <c r="E1572" s="114"/>
      <c r="F1572" s="114" t="s">
        <v>3847</v>
      </c>
      <c r="G1572" s="225">
        <v>55283686</v>
      </c>
      <c r="H1572" s="47" t="s">
        <v>3848</v>
      </c>
      <c r="I1572" s="47" t="s">
        <v>8133</v>
      </c>
      <c r="J1572" s="47" t="s">
        <v>3849</v>
      </c>
      <c r="K1572" s="47" t="s">
        <v>1011</v>
      </c>
      <c r="L1572" s="47" t="s">
        <v>5248</v>
      </c>
      <c r="M1572" s="47" t="s">
        <v>6037</v>
      </c>
      <c r="N1572" s="47" t="s">
        <v>6385</v>
      </c>
      <c r="O1572" s="47" t="s">
        <v>6036</v>
      </c>
      <c r="P1572" s="53"/>
      <c r="Q1572" s="53"/>
      <c r="R1572" s="53"/>
      <c r="S1572" s="53"/>
      <c r="T1572" s="48">
        <v>333.26</v>
      </c>
      <c r="U1572" s="98">
        <v>0.3</v>
      </c>
      <c r="V1572" s="98">
        <v>0.33779999999999999</v>
      </c>
      <c r="W1572" s="98">
        <v>2.0548645032035719</v>
      </c>
      <c r="X1572" s="98">
        <v>0.3</v>
      </c>
      <c r="Y1572" s="233">
        <v>7</v>
      </c>
      <c r="Z1572" s="48">
        <v>5.23</v>
      </c>
      <c r="AA1572" s="48">
        <v>5.1100000000000003</v>
      </c>
      <c r="AB1572" s="48">
        <v>4.97</v>
      </c>
      <c r="AC1572" s="48">
        <v>0.83189999999999997</v>
      </c>
      <c r="AD1572" s="48">
        <v>5</v>
      </c>
      <c r="AE1572" s="48">
        <v>5.0999999999999996</v>
      </c>
      <c r="AF1572" s="48">
        <f t="shared" si="380"/>
        <v>5.1100000000000003</v>
      </c>
      <c r="AG1572" s="49">
        <v>3.38</v>
      </c>
      <c r="AH1572" s="98">
        <v>1.8599999999999999E-4</v>
      </c>
      <c r="AI1572" s="98">
        <v>1.2799999999999999E-4</v>
      </c>
      <c r="AJ1572" s="483">
        <f t="shared" si="387"/>
        <v>-2.1190533820947355</v>
      </c>
      <c r="AK1572" s="483">
        <f>LOG10(AI1572*1000/(0.08206*298.15))</f>
        <v>-2.2813563566647836</v>
      </c>
      <c r="AL1572" s="483">
        <f t="shared" si="386"/>
        <v>-2.2813563566647836</v>
      </c>
      <c r="AM1572" s="483">
        <v>-9.6163799999999995</v>
      </c>
      <c r="AN1572" s="226">
        <v>-1.97</v>
      </c>
      <c r="AO1572" s="484"/>
      <c r="AP1572" s="484">
        <v>-1.76</v>
      </c>
      <c r="AQ1572" s="226" t="s">
        <v>6311</v>
      </c>
      <c r="AR1572" s="226" t="s">
        <v>6311</v>
      </c>
      <c r="AS1572" s="224" t="s">
        <v>6</v>
      </c>
      <c r="AT1572" s="50" t="s">
        <v>266</v>
      </c>
      <c r="AU1572" s="48">
        <v>8</v>
      </c>
      <c r="AV1572" s="48">
        <v>144</v>
      </c>
      <c r="AW1572" s="48">
        <v>120</v>
      </c>
      <c r="AX1572" s="48">
        <v>26</v>
      </c>
      <c r="AY1572" s="48" t="s">
        <v>267</v>
      </c>
      <c r="AZ1572" s="48" t="s">
        <v>2253</v>
      </c>
      <c r="BA1572" s="48">
        <v>2</v>
      </c>
      <c r="BB1572" s="47" t="s">
        <v>2254</v>
      </c>
      <c r="BC1572" s="47" t="s">
        <v>270</v>
      </c>
      <c r="BD1572" s="47" t="s">
        <v>8374</v>
      </c>
      <c r="BE1572" s="48" t="s">
        <v>1712</v>
      </c>
      <c r="BF1572" s="48" t="s">
        <v>272</v>
      </c>
      <c r="BG1572" s="48" t="s">
        <v>272</v>
      </c>
      <c r="BH1572" s="48" t="s">
        <v>2255</v>
      </c>
      <c r="BI1572" s="98">
        <v>3.3325999999999999E-4</v>
      </c>
      <c r="BJ1572" s="98">
        <v>26.660799999999998</v>
      </c>
      <c r="BK1572" s="48"/>
      <c r="BL1572" s="487">
        <v>0.34396970186922776</v>
      </c>
      <c r="BM1572" s="48" t="s">
        <v>891</v>
      </c>
      <c r="BN1572" s="233"/>
      <c r="BO1572" s="233"/>
      <c r="BP1572" s="233"/>
      <c r="BQ1572" s="233"/>
      <c r="BR1572" s="233"/>
      <c r="BS1572" s="234"/>
      <c r="BT1572" s="233"/>
      <c r="BU1572" s="235"/>
      <c r="BV1572" s="233"/>
      <c r="BW1572" s="233"/>
      <c r="BX1572" s="233"/>
      <c r="BY1572" s="233"/>
      <c r="BZ1572" s="233"/>
      <c r="CA1572" s="233"/>
      <c r="CB1572" s="233"/>
      <c r="CC1572" s="234"/>
      <c r="CD1572" s="238"/>
      <c r="CE1572" s="238"/>
      <c r="CF1572" s="238"/>
      <c r="CG1572" s="233"/>
      <c r="CH1572" s="48"/>
      <c r="CI1572" s="98"/>
      <c r="CJ1572" s="98"/>
      <c r="CK1572" s="49">
        <f t="shared" si="384"/>
        <v>1.2901702194578849E-2</v>
      </c>
      <c r="CL1572" s="229"/>
      <c r="CM1572" s="229"/>
      <c r="CN1572" s="229"/>
      <c r="CO1572" s="47" t="s">
        <v>892</v>
      </c>
      <c r="CP1572" s="500" t="s">
        <v>893</v>
      </c>
      <c r="CQ1572" s="224">
        <v>-1.0924579845494089</v>
      </c>
      <c r="CR1572" s="224">
        <f t="shared" si="388"/>
        <v>12.372514873014508</v>
      </c>
      <c r="CS1572" s="230" t="s">
        <v>539</v>
      </c>
      <c r="CT1572" s="230"/>
      <c r="CU1572" s="230"/>
      <c r="CV1572" s="335">
        <f t="shared" si="385"/>
        <v>1.1252475544619816E-2</v>
      </c>
      <c r="CW1572" s="230">
        <f t="shared" si="383"/>
        <v>0</v>
      </c>
      <c r="CX1572" s="336" t="s">
        <v>539</v>
      </c>
      <c r="CY1572" s="230" t="s">
        <v>5921</v>
      </c>
    </row>
    <row r="1573" spans="1:103" ht="11.25" customHeight="1" x14ac:dyDescent="0.2">
      <c r="A1573" s="72">
        <v>1394</v>
      </c>
      <c r="B1573" s="224">
        <v>672</v>
      </c>
      <c r="C1573" s="46" t="s">
        <v>7457</v>
      </c>
      <c r="D1573" s="46" t="s">
        <v>8671</v>
      </c>
      <c r="E1573" s="114"/>
      <c r="F1573" s="114" t="s">
        <v>4055</v>
      </c>
      <c r="G1573" s="225">
        <v>55335063</v>
      </c>
      <c r="H1573" s="47" t="s">
        <v>4056</v>
      </c>
      <c r="I1573" s="47" t="s">
        <v>8134</v>
      </c>
      <c r="J1573" s="47" t="s">
        <v>4057</v>
      </c>
      <c r="K1573" s="47" t="s">
        <v>1958</v>
      </c>
      <c r="L1573" s="47" t="s">
        <v>6033</v>
      </c>
      <c r="M1573" s="47" t="s">
        <v>6082</v>
      </c>
      <c r="N1573" s="47" t="s">
        <v>6082</v>
      </c>
      <c r="O1573" s="47" t="s">
        <v>6083</v>
      </c>
      <c r="P1573" s="53"/>
      <c r="Q1573" s="53"/>
      <c r="R1573" s="53"/>
      <c r="S1573" s="53"/>
      <c r="T1573" s="48">
        <v>256.47000000000003</v>
      </c>
      <c r="U1573" s="98">
        <v>440</v>
      </c>
      <c r="V1573" s="98">
        <v>374.9</v>
      </c>
      <c r="W1573" s="98">
        <v>975.07174474334352</v>
      </c>
      <c r="X1573" s="98">
        <v>440</v>
      </c>
      <c r="Y1573" s="233">
        <v>2.59</v>
      </c>
      <c r="Z1573" s="48">
        <v>2.5299999999999998</v>
      </c>
      <c r="AA1573" s="48"/>
      <c r="AB1573" s="48">
        <v>2.59</v>
      </c>
      <c r="AC1573" s="48">
        <v>0.86650000000000005</v>
      </c>
      <c r="AD1573" s="48">
        <v>2.68</v>
      </c>
      <c r="AE1573" s="48">
        <v>2.98</v>
      </c>
      <c r="AF1573" s="48">
        <f t="shared" si="380"/>
        <v>2.68</v>
      </c>
      <c r="AG1573" s="49">
        <v>2.74</v>
      </c>
      <c r="AH1573" s="98">
        <v>5.14E-9</v>
      </c>
      <c r="AI1573" s="98">
        <v>9.6599999999999997E-10</v>
      </c>
      <c r="AJ1573" s="483">
        <f t="shared" si="387"/>
        <v>-6.6776032073173761</v>
      </c>
      <c r="AK1573" s="483">
        <f>LOG10(AI1573*1000/(0.08206*298.15))</f>
        <v>-7.4035891998971586</v>
      </c>
      <c r="AL1573" s="483">
        <f t="shared" si="386"/>
        <v>-7.4035891998971586</v>
      </c>
      <c r="AM1573" s="483">
        <v>-11.744759999999998</v>
      </c>
      <c r="AN1573" s="226">
        <v>-7.84</v>
      </c>
      <c r="AO1573" s="484">
        <v>2.2599999999999998</v>
      </c>
      <c r="AP1573" s="484">
        <v>-2.68</v>
      </c>
      <c r="AQ1573" s="226" t="s">
        <v>6311</v>
      </c>
      <c r="AR1573" s="226" t="s">
        <v>6311</v>
      </c>
      <c r="AS1573" s="224" t="s">
        <v>6</v>
      </c>
      <c r="AT1573" s="50" t="s">
        <v>266</v>
      </c>
      <c r="AU1573" s="48">
        <v>8</v>
      </c>
      <c r="AV1573" s="48">
        <v>144</v>
      </c>
      <c r="AW1573" s="48">
        <v>120</v>
      </c>
      <c r="AX1573" s="48">
        <v>26</v>
      </c>
      <c r="AY1573" s="48" t="s">
        <v>267</v>
      </c>
      <c r="AZ1573" s="48" t="s">
        <v>2253</v>
      </c>
      <c r="BA1573" s="48">
        <v>2</v>
      </c>
      <c r="BB1573" s="47" t="s">
        <v>2254</v>
      </c>
      <c r="BC1573" s="47" t="s">
        <v>270</v>
      </c>
      <c r="BD1573" s="47" t="s">
        <v>8374</v>
      </c>
      <c r="BE1573" s="48" t="s">
        <v>1712</v>
      </c>
      <c r="BF1573" s="48" t="s">
        <v>272</v>
      </c>
      <c r="BG1573" s="48" t="s">
        <v>272</v>
      </c>
      <c r="BH1573" s="48" t="s">
        <v>2255</v>
      </c>
      <c r="BI1573" s="98">
        <v>2.5647000000000002E-4</v>
      </c>
      <c r="BJ1573" s="98">
        <v>20.517600000000002</v>
      </c>
      <c r="BK1573" s="48"/>
      <c r="BL1573" s="487">
        <v>70.411496021669564</v>
      </c>
      <c r="BM1573" s="48" t="s">
        <v>891</v>
      </c>
      <c r="BN1573" s="233"/>
      <c r="BO1573" s="233"/>
      <c r="BP1573" s="233"/>
      <c r="BQ1573" s="233"/>
      <c r="BR1573" s="233"/>
      <c r="BS1573" s="48"/>
      <c r="BT1573" s="233"/>
      <c r="BU1573" s="228"/>
      <c r="BV1573" s="233"/>
      <c r="BW1573" s="233"/>
      <c r="BX1573" s="233"/>
      <c r="BY1573" s="233"/>
      <c r="BZ1573" s="233"/>
      <c r="CA1573" s="233"/>
      <c r="CB1573" s="233"/>
      <c r="CC1573" s="48"/>
      <c r="CD1573" s="48"/>
      <c r="CE1573" s="48"/>
      <c r="CF1573" s="48"/>
      <c r="CG1573" s="233"/>
      <c r="CH1573" s="48"/>
      <c r="CI1573" s="98"/>
      <c r="CJ1573" s="98"/>
      <c r="CK1573" s="49">
        <f t="shared" si="384"/>
        <v>3.4317608307828187</v>
      </c>
      <c r="CL1573" s="229"/>
      <c r="CM1573" s="229"/>
      <c r="CN1573" s="229"/>
      <c r="CO1573" s="47" t="s">
        <v>892</v>
      </c>
      <c r="CP1573" s="500" t="s">
        <v>893</v>
      </c>
      <c r="CQ1573" s="224">
        <v>2.1192237885705594</v>
      </c>
      <c r="CR1573" s="224">
        <f t="shared" si="388"/>
        <v>7.5993458764592207E-3</v>
      </c>
      <c r="CS1573" s="230" t="s">
        <v>539</v>
      </c>
      <c r="CT1573" s="230"/>
      <c r="CU1573" s="230"/>
      <c r="CV1573" s="335">
        <f t="shared" si="385"/>
        <v>21.445003314227783</v>
      </c>
      <c r="CW1573" s="230">
        <f t="shared" si="383"/>
        <v>1</v>
      </c>
      <c r="CX1573" s="336" t="s">
        <v>539</v>
      </c>
      <c r="CY1573" s="230" t="s">
        <v>5921</v>
      </c>
    </row>
    <row r="1574" spans="1:103" ht="11.25" customHeight="1" x14ac:dyDescent="0.2">
      <c r="A1574" s="72">
        <v>1396</v>
      </c>
      <c r="B1574" s="224">
        <v>259</v>
      </c>
      <c r="C1574" s="46" t="s">
        <v>7458</v>
      </c>
      <c r="D1574" s="46" t="s">
        <v>8395</v>
      </c>
      <c r="E1574" s="114"/>
      <c r="F1574" s="114" t="s">
        <v>3767</v>
      </c>
      <c r="G1574" s="225">
        <v>57754855</v>
      </c>
      <c r="H1574" s="47" t="s">
        <v>6188</v>
      </c>
      <c r="I1574" s="47" t="s">
        <v>8135</v>
      </c>
      <c r="J1574" s="47" t="s">
        <v>3768</v>
      </c>
      <c r="K1574" s="47"/>
      <c r="L1574" s="47" t="s">
        <v>6032</v>
      </c>
      <c r="M1574" s="47" t="s">
        <v>2342</v>
      </c>
      <c r="N1574" s="47" t="s">
        <v>2342</v>
      </c>
      <c r="O1574" s="47"/>
      <c r="P1574" s="53"/>
      <c r="Q1574" s="53" t="s">
        <v>6173</v>
      </c>
      <c r="R1574" s="53" t="s">
        <v>6082</v>
      </c>
      <c r="S1574" s="53" t="s">
        <v>6173</v>
      </c>
      <c r="T1574" s="48">
        <v>192</v>
      </c>
      <c r="U1574" s="98">
        <v>7850</v>
      </c>
      <c r="V1574" s="98">
        <v>5974</v>
      </c>
      <c r="W1574" s="98">
        <v>5050.1145444391304</v>
      </c>
      <c r="X1574" s="98">
        <v>7850</v>
      </c>
      <c r="Y1574" s="233">
        <v>1.93</v>
      </c>
      <c r="Z1574" s="48">
        <v>1.63</v>
      </c>
      <c r="AA1574" s="48">
        <v>1.06</v>
      </c>
      <c r="AB1574" s="48">
        <v>1.97</v>
      </c>
      <c r="AC1574" s="48">
        <v>0.83960000000000001</v>
      </c>
      <c r="AD1574" s="48">
        <v>1.8</v>
      </c>
      <c r="AE1574" s="48">
        <v>1.31</v>
      </c>
      <c r="AF1574" s="48">
        <f t="shared" si="380"/>
        <v>1.06</v>
      </c>
      <c r="AG1574" s="49">
        <v>0.87</v>
      </c>
      <c r="AH1574" s="98">
        <v>4.9200000000000004E-9</v>
      </c>
      <c r="AI1574" s="98"/>
      <c r="AJ1574" s="483">
        <f t="shared" si="387"/>
        <v>-6.6966012235452919</v>
      </c>
      <c r="AK1574" s="483"/>
      <c r="AL1574" s="483">
        <f t="shared" si="386"/>
        <v>-6.6966012235452919</v>
      </c>
      <c r="AM1574" s="483">
        <v>-10.62134</v>
      </c>
      <c r="AN1574" s="226">
        <v>-16.5</v>
      </c>
      <c r="AO1574" s="484">
        <v>2.02</v>
      </c>
      <c r="AP1574" s="484">
        <v>-3.21</v>
      </c>
      <c r="AQ1574" s="226" t="s">
        <v>6311</v>
      </c>
      <c r="AR1574" s="226" t="s">
        <v>6311</v>
      </c>
      <c r="AS1574" s="224" t="s">
        <v>3769</v>
      </c>
      <c r="AT1574" s="50" t="s">
        <v>266</v>
      </c>
      <c r="AU1574" s="48">
        <v>8</v>
      </c>
      <c r="AV1574" s="48">
        <v>144</v>
      </c>
      <c r="AW1574" s="48">
        <v>120</v>
      </c>
      <c r="AX1574" s="48">
        <v>26</v>
      </c>
      <c r="AY1574" s="48" t="s">
        <v>267</v>
      </c>
      <c r="AZ1574" s="48" t="s">
        <v>2253</v>
      </c>
      <c r="BA1574" s="48">
        <v>2</v>
      </c>
      <c r="BB1574" s="47" t="s">
        <v>2254</v>
      </c>
      <c r="BC1574" s="47" t="s">
        <v>270</v>
      </c>
      <c r="BD1574" s="47" t="s">
        <v>8374</v>
      </c>
      <c r="BE1574" s="48" t="s">
        <v>1712</v>
      </c>
      <c r="BF1574" s="48" t="s">
        <v>272</v>
      </c>
      <c r="BG1574" s="48" t="s">
        <v>272</v>
      </c>
      <c r="BH1574" s="48" t="s">
        <v>2255</v>
      </c>
      <c r="BI1574" s="98">
        <v>1.92E-4</v>
      </c>
      <c r="BJ1574" s="98">
        <v>15.36</v>
      </c>
      <c r="BK1574" s="48"/>
      <c r="BL1574" s="487"/>
      <c r="BM1574" s="48" t="s">
        <v>891</v>
      </c>
      <c r="BN1574" s="233"/>
      <c r="BO1574" s="233"/>
      <c r="BP1574" s="233"/>
      <c r="BQ1574" s="233"/>
      <c r="BR1574" s="233"/>
      <c r="BS1574" s="48"/>
      <c r="BT1574" s="233"/>
      <c r="BU1574" s="228"/>
      <c r="BV1574" s="233"/>
      <c r="BW1574" s="233"/>
      <c r="BX1574" s="233"/>
      <c r="BY1574" s="233"/>
      <c r="BZ1574" s="233"/>
      <c r="CA1574" s="233"/>
      <c r="CB1574" s="233"/>
      <c r="CC1574" s="48"/>
      <c r="CD1574" s="48"/>
      <c r="CE1574" s="48"/>
      <c r="CF1574" s="48"/>
      <c r="CG1574" s="233"/>
      <c r="CH1574" s="48"/>
      <c r="CI1574" s="98"/>
      <c r="CJ1574" s="98"/>
      <c r="CK1574" s="49">
        <f t="shared" si="384"/>
        <v>0</v>
      </c>
      <c r="CL1574" s="229"/>
      <c r="CM1574" s="229"/>
      <c r="CN1574" s="229"/>
      <c r="CO1574" s="47" t="s">
        <v>892</v>
      </c>
      <c r="CP1574" s="500" t="s">
        <v>893</v>
      </c>
      <c r="CQ1574" s="224">
        <v>2.7698956052958783</v>
      </c>
      <c r="CR1574" s="224">
        <f t="shared" si="388"/>
        <v>1.6986519214145356E-3</v>
      </c>
      <c r="CS1574" s="230" t="s">
        <v>539</v>
      </c>
      <c r="CT1574" s="230"/>
      <c r="CU1574" s="230"/>
      <c r="CV1574" s="335">
        <f t="shared" si="385"/>
        <v>511.06770833333337</v>
      </c>
      <c r="CW1574" s="230">
        <f t="shared" si="383"/>
        <v>1</v>
      </c>
      <c r="CX1574" s="336" t="s">
        <v>539</v>
      </c>
      <c r="CY1574" s="230" t="s">
        <v>5921</v>
      </c>
    </row>
    <row r="1575" spans="1:103" ht="11.25" customHeight="1" x14ac:dyDescent="0.2">
      <c r="A1575" s="72">
        <v>1398</v>
      </c>
      <c r="B1575" s="224">
        <v>381</v>
      </c>
      <c r="C1575" s="46" t="s">
        <v>7459</v>
      </c>
      <c r="D1575" s="46" t="s">
        <v>8672</v>
      </c>
      <c r="E1575" s="114"/>
      <c r="F1575" s="114" t="s">
        <v>3257</v>
      </c>
      <c r="G1575" s="225">
        <v>57837191</v>
      </c>
      <c r="H1575" s="47" t="s">
        <v>3258</v>
      </c>
      <c r="I1575" s="47" t="s">
        <v>3258</v>
      </c>
      <c r="J1575" s="47" t="s">
        <v>3259</v>
      </c>
      <c r="K1575" s="47" t="s">
        <v>3260</v>
      </c>
      <c r="L1575" s="47" t="s">
        <v>6045</v>
      </c>
      <c r="M1575" s="47" t="s">
        <v>6082</v>
      </c>
      <c r="N1575" s="47" t="s">
        <v>6082</v>
      </c>
      <c r="O1575" s="47"/>
      <c r="P1575" s="53"/>
      <c r="Q1575" s="53"/>
      <c r="R1575" s="53"/>
      <c r="S1575" s="53"/>
      <c r="T1575" s="48">
        <v>279.33</v>
      </c>
      <c r="U1575" s="98">
        <v>26000</v>
      </c>
      <c r="V1575" s="98">
        <v>560</v>
      </c>
      <c r="W1575" s="98">
        <v>2729.7167292958652</v>
      </c>
      <c r="X1575" s="98">
        <v>26000</v>
      </c>
      <c r="Y1575" s="233">
        <v>7.05</v>
      </c>
      <c r="Z1575" s="48">
        <v>1.7</v>
      </c>
      <c r="AA1575" s="48">
        <v>1.71</v>
      </c>
      <c r="AB1575" s="48">
        <v>1.81</v>
      </c>
      <c r="AC1575" s="48">
        <v>0.87380000000000002</v>
      </c>
      <c r="AD1575" s="48">
        <v>1.88</v>
      </c>
      <c r="AE1575" s="48">
        <v>2.15</v>
      </c>
      <c r="AF1575" s="48">
        <f t="shared" si="380"/>
        <v>1.71</v>
      </c>
      <c r="AG1575" s="49">
        <v>2.06</v>
      </c>
      <c r="AH1575" s="98">
        <v>8.0500000000000001E-10</v>
      </c>
      <c r="AI1575" s="98">
        <v>2.9499999999999999E-9</v>
      </c>
      <c r="AJ1575" s="483">
        <f t="shared" si="387"/>
        <v>-7.4827704459447837</v>
      </c>
      <c r="AK1575" s="483">
        <f>LOG10(AI1575*1000/(0.08206*298.15))</f>
        <v>-6.918744310334489</v>
      </c>
      <c r="AL1575" s="483">
        <f t="shared" si="386"/>
        <v>-6.918744310334489</v>
      </c>
      <c r="AM1575" s="483">
        <v>-13.054030000000001</v>
      </c>
      <c r="AN1575" s="226">
        <v>-7.18</v>
      </c>
      <c r="AO1575" s="484"/>
      <c r="AP1575" s="484">
        <v>1.41</v>
      </c>
      <c r="AQ1575" s="226" t="s">
        <v>6311</v>
      </c>
      <c r="AR1575" s="226" t="s">
        <v>6312</v>
      </c>
      <c r="AS1575" s="224" t="s">
        <v>6</v>
      </c>
      <c r="AT1575" s="50" t="s">
        <v>266</v>
      </c>
      <c r="AU1575" s="48">
        <v>8</v>
      </c>
      <c r="AV1575" s="48">
        <v>144</v>
      </c>
      <c r="AW1575" s="48">
        <v>120</v>
      </c>
      <c r="AX1575" s="48">
        <v>26</v>
      </c>
      <c r="AY1575" s="48" t="s">
        <v>267</v>
      </c>
      <c r="AZ1575" s="48" t="s">
        <v>2253</v>
      </c>
      <c r="BA1575" s="48">
        <v>3</v>
      </c>
      <c r="BB1575" s="47" t="s">
        <v>2254</v>
      </c>
      <c r="BC1575" s="47" t="s">
        <v>270</v>
      </c>
      <c r="BD1575" s="47" t="s">
        <v>8374</v>
      </c>
      <c r="BE1575" s="48" t="s">
        <v>1712</v>
      </c>
      <c r="BF1575" s="48" t="s">
        <v>272</v>
      </c>
      <c r="BG1575" s="48" t="s">
        <v>272</v>
      </c>
      <c r="BH1575" s="48" t="s">
        <v>2255</v>
      </c>
      <c r="BI1575" s="98">
        <v>2.7933E-4</v>
      </c>
      <c r="BJ1575" s="98">
        <v>22.346399999999999</v>
      </c>
      <c r="BK1575" s="48"/>
      <c r="BL1575" s="487">
        <v>426.72450311395255</v>
      </c>
      <c r="BM1575" s="48" t="s">
        <v>891</v>
      </c>
      <c r="BN1575" s="233"/>
      <c r="BO1575" s="233"/>
      <c r="BP1575" s="233"/>
      <c r="BQ1575" s="233"/>
      <c r="BR1575" s="233"/>
      <c r="BS1575" s="48"/>
      <c r="BT1575" s="233"/>
      <c r="BU1575" s="228"/>
      <c r="BV1575" s="233"/>
      <c r="BW1575" s="233"/>
      <c r="BX1575" s="233"/>
      <c r="BY1575" s="233"/>
      <c r="BZ1575" s="233"/>
      <c r="CA1575" s="233"/>
      <c r="CB1575" s="233"/>
      <c r="CC1575" s="48"/>
      <c r="CD1575" s="48"/>
      <c r="CE1575" s="48"/>
      <c r="CF1575" s="48"/>
      <c r="CG1575" s="233"/>
      <c r="CH1575" s="48"/>
      <c r="CI1575" s="98"/>
      <c r="CJ1575" s="98"/>
      <c r="CK1575" s="49">
        <f t="shared" si="384"/>
        <v>19.095894780096685</v>
      </c>
      <c r="CL1575" s="229"/>
      <c r="CM1575" s="229"/>
      <c r="CN1575" s="229"/>
      <c r="CO1575" s="47" t="s">
        <v>892</v>
      </c>
      <c r="CP1575" s="500" t="s">
        <v>893</v>
      </c>
      <c r="CQ1575" s="224">
        <v>2.0021749710453349</v>
      </c>
      <c r="CR1575" s="224">
        <f t="shared" si="388"/>
        <v>9.9500446349728884E-3</v>
      </c>
      <c r="CS1575" s="230" t="s">
        <v>539</v>
      </c>
      <c r="CT1575" s="230"/>
      <c r="CU1575" s="230"/>
      <c r="CV1575" s="335">
        <f t="shared" si="385"/>
        <v>1163.4983711022805</v>
      </c>
      <c r="CW1575" s="230">
        <f t="shared" si="383"/>
        <v>1</v>
      </c>
      <c r="CX1575" s="336" t="s">
        <v>539</v>
      </c>
      <c r="CY1575" s="230" t="s">
        <v>5921</v>
      </c>
    </row>
    <row r="1576" spans="1:103" ht="11.25" customHeight="1" x14ac:dyDescent="0.2">
      <c r="A1576" s="72">
        <v>1405</v>
      </c>
      <c r="B1576" s="224">
        <v>249</v>
      </c>
      <c r="C1576" s="46" t="s">
        <v>7461</v>
      </c>
      <c r="D1576" s="46"/>
      <c r="E1576" s="114"/>
      <c r="F1576" s="114" t="s">
        <v>3755</v>
      </c>
      <c r="G1576" s="225">
        <v>64902723</v>
      </c>
      <c r="H1576" s="47" t="s">
        <v>3756</v>
      </c>
      <c r="I1576" s="47" t="s">
        <v>8139</v>
      </c>
      <c r="J1576" s="47" t="s">
        <v>3757</v>
      </c>
      <c r="K1576" s="47" t="s">
        <v>1422</v>
      </c>
      <c r="L1576" s="47"/>
      <c r="M1576" s="47"/>
      <c r="N1576" s="47"/>
      <c r="O1576" s="47"/>
      <c r="P1576" s="53"/>
      <c r="Q1576" s="53"/>
      <c r="R1576" s="53"/>
      <c r="S1576" s="53"/>
      <c r="T1576" s="48">
        <v>357.77</v>
      </c>
      <c r="U1576" s="98">
        <v>30999.999999999996</v>
      </c>
      <c r="V1576" s="98">
        <v>108.9</v>
      </c>
      <c r="W1576" s="98">
        <v>62.17330025016642</v>
      </c>
      <c r="X1576" s="98">
        <v>30999.999999999996</v>
      </c>
      <c r="Y1576" s="233">
        <v>3.94</v>
      </c>
      <c r="Z1576" s="48">
        <v>2.2599999999999998</v>
      </c>
      <c r="AA1576" s="48">
        <v>2</v>
      </c>
      <c r="AB1576" s="48">
        <v>1.83</v>
      </c>
      <c r="AC1576" s="48">
        <v>0.79210000000000003</v>
      </c>
      <c r="AD1576" s="48">
        <v>1.92</v>
      </c>
      <c r="AE1576" s="48">
        <v>2.14</v>
      </c>
      <c r="AF1576" s="48">
        <f t="shared" si="380"/>
        <v>2</v>
      </c>
      <c r="AG1576" s="49">
        <v>1.8</v>
      </c>
      <c r="AH1576" s="98">
        <v>8.6500000000000005E-12</v>
      </c>
      <c r="AI1576" s="98">
        <v>3.4199999999999999E-16</v>
      </c>
      <c r="AJ1576" s="483">
        <f t="shared" si="387"/>
        <v>-9.4515502188478369</v>
      </c>
      <c r="AK1576" s="483">
        <f>LOG10(AI1576*1000/(0.08206*298.15))</f>
        <v>-13.854540220256517</v>
      </c>
      <c r="AL1576" s="483">
        <f t="shared" si="386"/>
        <v>-13.854540220256517</v>
      </c>
      <c r="AM1576" s="483">
        <v>-22.71763</v>
      </c>
      <c r="AN1576" s="226">
        <v>-21.4</v>
      </c>
      <c r="AO1576" s="484">
        <v>4.21</v>
      </c>
      <c r="AP1576" s="484">
        <v>2.56</v>
      </c>
      <c r="AQ1576" s="226" t="s">
        <v>6311</v>
      </c>
      <c r="AR1576" s="226" t="s">
        <v>6311</v>
      </c>
      <c r="AS1576" s="224" t="s">
        <v>6</v>
      </c>
      <c r="AT1576" s="50" t="s">
        <v>266</v>
      </c>
      <c r="AU1576" s="48">
        <v>8</v>
      </c>
      <c r="AV1576" s="48">
        <v>144</v>
      </c>
      <c r="AW1576" s="48">
        <v>120</v>
      </c>
      <c r="AX1576" s="48">
        <v>26</v>
      </c>
      <c r="AY1576" s="48" t="s">
        <v>267</v>
      </c>
      <c r="AZ1576" s="48" t="s">
        <v>2253</v>
      </c>
      <c r="BA1576" s="48">
        <v>4</v>
      </c>
      <c r="BB1576" s="47" t="s">
        <v>2254</v>
      </c>
      <c r="BC1576" s="47" t="s">
        <v>270</v>
      </c>
      <c r="BD1576" s="47" t="s">
        <v>8374</v>
      </c>
      <c r="BE1576" s="48" t="s">
        <v>1712</v>
      </c>
      <c r="BF1576" s="48" t="s">
        <v>272</v>
      </c>
      <c r="BG1576" s="48" t="s">
        <v>272</v>
      </c>
      <c r="BH1576" s="48" t="s">
        <v>2255</v>
      </c>
      <c r="BI1576" s="98">
        <v>3.5776999999999998E-4</v>
      </c>
      <c r="BJ1576" s="98">
        <v>28.621600000000001</v>
      </c>
      <c r="BK1576" s="48"/>
      <c r="BL1576" s="487">
        <v>171.67138896807089</v>
      </c>
      <c r="BM1576" s="48" t="s">
        <v>891</v>
      </c>
      <c r="BN1576" s="233"/>
      <c r="BO1576" s="233"/>
      <c r="BP1576" s="233"/>
      <c r="BQ1576" s="233"/>
      <c r="BR1576" s="233"/>
      <c r="BS1576" s="48"/>
      <c r="BT1576" s="233"/>
      <c r="BU1576" s="228"/>
      <c r="BV1576" s="233"/>
      <c r="BW1576" s="233"/>
      <c r="BX1576" s="233"/>
      <c r="BY1576" s="233"/>
      <c r="BZ1576" s="233"/>
      <c r="CA1576" s="233"/>
      <c r="CB1576" s="233"/>
      <c r="CC1576" s="48"/>
      <c r="CD1576" s="48"/>
      <c r="CE1576" s="48"/>
      <c r="CF1576" s="48"/>
      <c r="CG1576" s="233"/>
      <c r="CH1576" s="48"/>
      <c r="CI1576" s="98"/>
      <c r="CJ1576" s="98"/>
      <c r="CK1576" s="49">
        <f t="shared" si="384"/>
        <v>5.9979661852611619</v>
      </c>
      <c r="CL1576" s="229"/>
      <c r="CM1576" s="229"/>
      <c r="CN1576" s="229"/>
      <c r="CO1576" s="47" t="s">
        <v>892</v>
      </c>
      <c r="CP1576" s="500" t="s">
        <v>893</v>
      </c>
      <c r="CQ1576" s="224" t="s">
        <v>272</v>
      </c>
      <c r="CR1576" s="224"/>
      <c r="CS1576" s="230" t="s">
        <v>539</v>
      </c>
      <c r="CT1576" s="230"/>
      <c r="CU1576" s="230"/>
      <c r="CV1576" s="335">
        <f t="shared" si="385"/>
        <v>1083.0980797719203</v>
      </c>
      <c r="CW1576" s="230">
        <f t="shared" si="383"/>
        <v>1</v>
      </c>
      <c r="CX1576" s="336" t="s">
        <v>539</v>
      </c>
      <c r="CY1576" s="230" t="s">
        <v>5921</v>
      </c>
    </row>
    <row r="1577" spans="1:103" ht="11.25" customHeight="1" x14ac:dyDescent="0.2">
      <c r="A1577" s="72">
        <v>1407</v>
      </c>
      <c r="B1577" s="224">
        <v>274</v>
      </c>
      <c r="C1577" s="46" t="s">
        <v>7463</v>
      </c>
      <c r="D1577" s="46"/>
      <c r="E1577" s="114"/>
      <c r="F1577" s="114" t="s">
        <v>3790</v>
      </c>
      <c r="G1577" s="225">
        <v>66215278</v>
      </c>
      <c r="H1577" s="47" t="s">
        <v>3791</v>
      </c>
      <c r="I1577" s="47" t="s">
        <v>3791</v>
      </c>
      <c r="J1577" s="47" t="s">
        <v>3792</v>
      </c>
      <c r="K1577" s="47" t="s">
        <v>3793</v>
      </c>
      <c r="L1577" s="47" t="s">
        <v>617</v>
      </c>
      <c r="M1577" s="47" t="s">
        <v>3794</v>
      </c>
      <c r="N1577" s="47"/>
      <c r="O1577" s="47" t="s">
        <v>918</v>
      </c>
      <c r="P1577" s="53"/>
      <c r="Q1577" s="53"/>
      <c r="R1577" s="53"/>
      <c r="S1577" s="53"/>
      <c r="T1577" s="48">
        <v>166.18</v>
      </c>
      <c r="U1577" s="98">
        <v>13000</v>
      </c>
      <c r="V1577" s="98">
        <v>9669</v>
      </c>
      <c r="W1577" s="98">
        <v>1203.8676784526174</v>
      </c>
      <c r="X1577" s="98">
        <v>13000</v>
      </c>
      <c r="Y1577" s="233">
        <v>8.82</v>
      </c>
      <c r="Z1577" s="48">
        <v>0.96</v>
      </c>
      <c r="AA1577" s="48"/>
      <c r="AB1577" s="48">
        <v>0.37</v>
      </c>
      <c r="AC1577" s="48">
        <v>0.76300000000000001</v>
      </c>
      <c r="AD1577" s="48">
        <v>0.24</v>
      </c>
      <c r="AE1577" s="48">
        <v>-0.04</v>
      </c>
      <c r="AF1577" s="48">
        <f t="shared" si="380"/>
        <v>0.24</v>
      </c>
      <c r="AG1577" s="49">
        <v>-0.1</v>
      </c>
      <c r="AH1577" s="98">
        <v>3.2299999999999999E-13</v>
      </c>
      <c r="AI1577" s="98">
        <v>5.6499999999999999E-14</v>
      </c>
      <c r="AJ1577" s="483">
        <f t="shared" si="387"/>
        <v>-10.879363803981549</v>
      </c>
      <c r="AK1577" s="483">
        <f>LOG10(AI1577*1000/(0.08206*298.15))</f>
        <v>-11.636517878493214</v>
      </c>
      <c r="AL1577" s="483">
        <f t="shared" si="386"/>
        <v>-11.636517878493214</v>
      </c>
      <c r="AM1577" s="483">
        <v>-14.649339999999999</v>
      </c>
      <c r="AN1577" s="226">
        <v>-12.7</v>
      </c>
      <c r="AO1577" s="484"/>
      <c r="AP1577" s="484">
        <v>5.44</v>
      </c>
      <c r="AQ1577" s="226" t="s">
        <v>6311</v>
      </c>
      <c r="AR1577" s="226" t="s">
        <v>6311</v>
      </c>
      <c r="AS1577" s="224" t="s">
        <v>6</v>
      </c>
      <c r="AT1577" s="50" t="s">
        <v>266</v>
      </c>
      <c r="AU1577" s="48">
        <v>8</v>
      </c>
      <c r="AV1577" s="48">
        <v>144</v>
      </c>
      <c r="AW1577" s="48">
        <v>120</v>
      </c>
      <c r="AX1577" s="48">
        <v>26</v>
      </c>
      <c r="AY1577" s="48" t="s">
        <v>267</v>
      </c>
      <c r="AZ1577" s="48" t="s">
        <v>2253</v>
      </c>
      <c r="BA1577" s="48">
        <v>2</v>
      </c>
      <c r="BB1577" s="47" t="s">
        <v>2254</v>
      </c>
      <c r="BC1577" s="47" t="s">
        <v>270</v>
      </c>
      <c r="BD1577" s="47" t="s">
        <v>8374</v>
      </c>
      <c r="BE1577" s="48" t="s">
        <v>1712</v>
      </c>
      <c r="BF1577" s="48" t="s">
        <v>272</v>
      </c>
      <c r="BG1577" s="48" t="s">
        <v>272</v>
      </c>
      <c r="BH1577" s="48" t="s">
        <v>2255</v>
      </c>
      <c r="BI1577" s="98">
        <v>1.6618000000000001E-4</v>
      </c>
      <c r="BJ1577" s="98">
        <v>13.294400000000001</v>
      </c>
      <c r="BK1577" s="48"/>
      <c r="BL1577" s="487">
        <v>1172.742744200895</v>
      </c>
      <c r="BM1577" s="48" t="s">
        <v>891</v>
      </c>
      <c r="BN1577" s="233"/>
      <c r="BO1577" s="233"/>
      <c r="BP1577" s="233"/>
      <c r="BQ1577" s="233"/>
      <c r="BR1577" s="233"/>
      <c r="BS1577" s="48"/>
      <c r="BT1577" s="233"/>
      <c r="BU1577" s="228"/>
      <c r="BV1577" s="233"/>
      <c r="BW1577" s="233"/>
      <c r="BX1577" s="233"/>
      <c r="BY1577" s="233"/>
      <c r="BZ1577" s="233"/>
      <c r="CA1577" s="233"/>
      <c r="CB1577" s="233"/>
      <c r="CC1577" s="48"/>
      <c r="CD1577" s="48"/>
      <c r="CE1577" s="48"/>
      <c r="CF1577" s="48"/>
      <c r="CG1577" s="233"/>
      <c r="CH1577" s="48"/>
      <c r="CI1577" s="98"/>
      <c r="CJ1577" s="98"/>
      <c r="CK1577" s="49">
        <f t="shared" si="384"/>
        <v>88.213288617831182</v>
      </c>
      <c r="CL1577" s="229"/>
      <c r="CM1577" s="229"/>
      <c r="CN1577" s="229"/>
      <c r="CO1577" s="47" t="s">
        <v>892</v>
      </c>
      <c r="CP1577" s="500" t="s">
        <v>893</v>
      </c>
      <c r="CQ1577" s="224" t="s">
        <v>272</v>
      </c>
      <c r="CR1577" s="224"/>
      <c r="CS1577" s="230" t="s">
        <v>539</v>
      </c>
      <c r="CT1577" s="230"/>
      <c r="CU1577" s="230"/>
      <c r="CV1577" s="335">
        <f t="shared" si="385"/>
        <v>977.85533758575025</v>
      </c>
      <c r="CW1577" s="230">
        <f t="shared" si="383"/>
        <v>1</v>
      </c>
      <c r="CX1577" s="336" t="s">
        <v>539</v>
      </c>
      <c r="CY1577" s="230" t="s">
        <v>5921</v>
      </c>
    </row>
    <row r="1578" spans="1:103" ht="11.25" customHeight="1" x14ac:dyDescent="0.2">
      <c r="A1578" s="72">
        <v>1413</v>
      </c>
      <c r="B1578" s="224">
        <v>342</v>
      </c>
      <c r="C1578" s="46" t="s">
        <v>7464</v>
      </c>
      <c r="D1578" s="46" t="s">
        <v>7465</v>
      </c>
      <c r="E1578" s="114"/>
      <c r="F1578" s="114" t="s">
        <v>3875</v>
      </c>
      <c r="G1578" s="225">
        <v>69377817</v>
      </c>
      <c r="H1578" s="47" t="s">
        <v>3876</v>
      </c>
      <c r="I1578" s="47" t="s">
        <v>8141</v>
      </c>
      <c r="J1578" s="47" t="s">
        <v>3877</v>
      </c>
      <c r="K1578" s="47" t="s">
        <v>3878</v>
      </c>
      <c r="L1578" s="47"/>
      <c r="M1578" s="47"/>
      <c r="N1578" s="47"/>
      <c r="O1578" s="47"/>
      <c r="P1578" s="53"/>
      <c r="Q1578" s="53"/>
      <c r="R1578" s="53"/>
      <c r="S1578" s="53"/>
      <c r="T1578" s="48">
        <v>255.03</v>
      </c>
      <c r="U1578" s="98">
        <v>91</v>
      </c>
      <c r="V1578" s="98">
        <v>5551</v>
      </c>
      <c r="W1578" s="98">
        <v>718.77219896037332</v>
      </c>
      <c r="X1578" s="98">
        <v>91</v>
      </c>
      <c r="Y1578" s="233">
        <v>2.69</v>
      </c>
      <c r="Z1578" s="48">
        <v>1.17</v>
      </c>
      <c r="AA1578" s="48"/>
      <c r="AB1578" s="48">
        <v>1.48</v>
      </c>
      <c r="AC1578" s="48">
        <v>0.76929999999999998</v>
      </c>
      <c r="AD1578" s="48">
        <v>1.91</v>
      </c>
      <c r="AE1578" s="48">
        <v>3.16</v>
      </c>
      <c r="AF1578" s="48">
        <f t="shared" si="380"/>
        <v>1.91</v>
      </c>
      <c r="AG1578" s="49">
        <v>1.68</v>
      </c>
      <c r="AH1578" s="98">
        <v>4.5400000000000001E-14</v>
      </c>
      <c r="AI1578" s="98">
        <v>1.0499999999999999E-13</v>
      </c>
      <c r="AJ1578" s="483">
        <f t="shared" si="387"/>
        <v>-11.731510473455549</v>
      </c>
      <c r="AK1578" s="483">
        <f>LOG10(AI1578*1000/(0.08206*298.15))</f>
        <v>-11.367377027242714</v>
      </c>
      <c r="AL1578" s="483">
        <f t="shared" si="386"/>
        <v>-11.367377027242714</v>
      </c>
      <c r="AM1578" s="483">
        <v>-14.850779999999999</v>
      </c>
      <c r="AN1578" s="226">
        <v>-8.2100000000000009</v>
      </c>
      <c r="AO1578" s="484">
        <v>2.2200000000000002</v>
      </c>
      <c r="AP1578" s="484">
        <v>-1.55</v>
      </c>
      <c r="AQ1578" s="226" t="s">
        <v>6311</v>
      </c>
      <c r="AR1578" s="226" t="s">
        <v>6311</v>
      </c>
      <c r="AS1578" s="224" t="s">
        <v>6</v>
      </c>
      <c r="AT1578" s="50" t="s">
        <v>266</v>
      </c>
      <c r="AU1578" s="48">
        <v>8</v>
      </c>
      <c r="AV1578" s="48">
        <v>144</v>
      </c>
      <c r="AW1578" s="48">
        <v>120</v>
      </c>
      <c r="AX1578" s="48">
        <v>26</v>
      </c>
      <c r="AY1578" s="48" t="s">
        <v>267</v>
      </c>
      <c r="AZ1578" s="48" t="s">
        <v>2253</v>
      </c>
      <c r="BA1578" s="48">
        <v>2</v>
      </c>
      <c r="BB1578" s="47" t="s">
        <v>2254</v>
      </c>
      <c r="BC1578" s="47" t="s">
        <v>270</v>
      </c>
      <c r="BD1578" s="47" t="s">
        <v>8374</v>
      </c>
      <c r="BE1578" s="48" t="s">
        <v>1712</v>
      </c>
      <c r="BF1578" s="48" t="s">
        <v>272</v>
      </c>
      <c r="BG1578" s="48" t="s">
        <v>272</v>
      </c>
      <c r="BH1578" s="48" t="s">
        <v>2255</v>
      </c>
      <c r="BI1578" s="98">
        <v>2.5503E-4</v>
      </c>
      <c r="BJ1578" s="98">
        <v>20.4024</v>
      </c>
      <c r="BK1578" s="48"/>
      <c r="BL1578" s="487">
        <v>1165.7737470848126</v>
      </c>
      <c r="BM1578" s="48" t="s">
        <v>891</v>
      </c>
      <c r="BN1578" s="233"/>
      <c r="BO1578" s="233"/>
      <c r="BP1578" s="233"/>
      <c r="BQ1578" s="233"/>
      <c r="BR1578" s="233"/>
      <c r="BS1578" s="48"/>
      <c r="BT1578" s="233"/>
      <c r="BU1578" s="228"/>
      <c r="BV1578" s="233"/>
      <c r="BW1578" s="233"/>
      <c r="BX1578" s="233"/>
      <c r="BY1578" s="233"/>
      <c r="BZ1578" s="233"/>
      <c r="CA1578" s="233"/>
      <c r="CB1578" s="233"/>
      <c r="CC1578" s="48"/>
      <c r="CD1578" s="48"/>
      <c r="CE1578" s="48"/>
      <c r="CF1578" s="48"/>
      <c r="CG1578" s="233"/>
      <c r="CH1578" s="48"/>
      <c r="CI1578" s="98"/>
      <c r="CJ1578" s="98"/>
      <c r="CK1578" s="49">
        <f t="shared" si="384"/>
        <v>57.139049674783976</v>
      </c>
      <c r="CL1578" s="229"/>
      <c r="CM1578" s="229"/>
      <c r="CN1578" s="229"/>
      <c r="CO1578" s="47" t="s">
        <v>892</v>
      </c>
      <c r="CP1578" s="500" t="s">
        <v>893</v>
      </c>
      <c r="CQ1578" s="224">
        <v>1.1553360374650619</v>
      </c>
      <c r="CR1578" s="224">
        <f>10^(CJ1578-CQ1578)</f>
        <v>6.9930069930069907E-2</v>
      </c>
      <c r="CS1578" s="230" t="s">
        <v>539</v>
      </c>
      <c r="CT1578" s="230"/>
      <c r="CU1578" s="230"/>
      <c r="CV1578" s="335">
        <f t="shared" si="385"/>
        <v>4.4602595773046305</v>
      </c>
      <c r="CW1578" s="230">
        <f t="shared" si="383"/>
        <v>1</v>
      </c>
      <c r="CX1578" s="336" t="s">
        <v>539</v>
      </c>
      <c r="CY1578" s="230" t="s">
        <v>5921</v>
      </c>
    </row>
    <row r="1579" spans="1:103" ht="11.25" customHeight="1" x14ac:dyDescent="0.2">
      <c r="A1579" s="72">
        <v>1418</v>
      </c>
      <c r="B1579" s="224">
        <v>473</v>
      </c>
      <c r="C1579" s="46" t="s">
        <v>7468</v>
      </c>
      <c r="D1579" s="46" t="s">
        <v>7469</v>
      </c>
      <c r="E1579" s="114"/>
      <c r="F1579" s="114" t="s">
        <v>4022</v>
      </c>
      <c r="G1579" s="225">
        <v>74051802</v>
      </c>
      <c r="H1579" s="47" t="s">
        <v>4023</v>
      </c>
      <c r="I1579" s="47" t="s">
        <v>4023</v>
      </c>
      <c r="J1579" s="47" t="s">
        <v>4024</v>
      </c>
      <c r="K1579" s="47" t="s">
        <v>1521</v>
      </c>
      <c r="L1579" s="47" t="s">
        <v>6053</v>
      </c>
      <c r="M1579" s="47" t="s">
        <v>6054</v>
      </c>
      <c r="N1579" s="47" t="s">
        <v>6383</v>
      </c>
      <c r="O1579" s="47" t="s">
        <v>6055</v>
      </c>
      <c r="P1579" s="53"/>
      <c r="Q1579" s="53"/>
      <c r="R1579" s="53"/>
      <c r="S1579" s="53"/>
      <c r="T1579" s="48">
        <v>327.48</v>
      </c>
      <c r="U1579" s="98">
        <v>25</v>
      </c>
      <c r="V1579" s="98">
        <v>1.5369999999999999</v>
      </c>
      <c r="W1579" s="98">
        <v>84.175321094114651</v>
      </c>
      <c r="X1579" s="98">
        <v>25</v>
      </c>
      <c r="Y1579" s="233">
        <v>3.87</v>
      </c>
      <c r="Z1579" s="48">
        <v>3.99</v>
      </c>
      <c r="AA1579" s="48">
        <v>4.38</v>
      </c>
      <c r="AB1579" s="48">
        <v>4.1399999999999997</v>
      </c>
      <c r="AC1579" s="48">
        <v>0.79290000000000005</v>
      </c>
      <c r="AD1579" s="48">
        <v>4.12</v>
      </c>
      <c r="AE1579" s="48">
        <v>4.08</v>
      </c>
      <c r="AF1579" s="48">
        <f t="shared" si="380"/>
        <v>4.38</v>
      </c>
      <c r="AG1579" s="49">
        <v>3.8</v>
      </c>
      <c r="AH1579" s="98">
        <v>2.1599999999999998E-11</v>
      </c>
      <c r="AI1579" s="98"/>
      <c r="AJ1579" s="483">
        <f t="shared" si="387"/>
        <v>-9.0541125751617209</v>
      </c>
      <c r="AK1579" s="483"/>
      <c r="AL1579" s="483">
        <f t="shared" si="386"/>
        <v>-9.0541125751617209</v>
      </c>
      <c r="AM1579" s="483">
        <v>-12.815639999999998</v>
      </c>
      <c r="AN1579" s="226">
        <v>-9.07</v>
      </c>
      <c r="AO1579" s="484">
        <v>3.82</v>
      </c>
      <c r="AP1579" s="484"/>
      <c r="AQ1579" s="226" t="s">
        <v>6311</v>
      </c>
      <c r="AR1579" s="226" t="s">
        <v>6311</v>
      </c>
      <c r="AS1579" s="224" t="s">
        <v>6</v>
      </c>
      <c r="AT1579" s="50" t="s">
        <v>266</v>
      </c>
      <c r="AU1579" s="48">
        <v>8</v>
      </c>
      <c r="AV1579" s="48">
        <v>144</v>
      </c>
      <c r="AW1579" s="48">
        <v>120</v>
      </c>
      <c r="AX1579" s="48">
        <v>26</v>
      </c>
      <c r="AY1579" s="48" t="s">
        <v>267</v>
      </c>
      <c r="AZ1579" s="48" t="s">
        <v>2253</v>
      </c>
      <c r="BA1579" s="48">
        <v>3</v>
      </c>
      <c r="BB1579" s="47" t="s">
        <v>2254</v>
      </c>
      <c r="BC1579" s="47" t="s">
        <v>270</v>
      </c>
      <c r="BD1579" s="47" t="s">
        <v>8374</v>
      </c>
      <c r="BE1579" s="48" t="s">
        <v>1712</v>
      </c>
      <c r="BF1579" s="48" t="s">
        <v>272</v>
      </c>
      <c r="BG1579" s="48" t="s">
        <v>272</v>
      </c>
      <c r="BH1579" s="48" t="s">
        <v>2255</v>
      </c>
      <c r="BI1579" s="98">
        <v>3.2748E-4</v>
      </c>
      <c r="BJ1579" s="98">
        <v>26.198400000000003</v>
      </c>
      <c r="BK1579" s="48"/>
      <c r="BL1579" s="487">
        <v>4.3910237056294461</v>
      </c>
      <c r="BM1579" s="48" t="s">
        <v>891</v>
      </c>
      <c r="BN1579" s="233"/>
      <c r="BO1579" s="233"/>
      <c r="BP1579" s="233"/>
      <c r="BQ1579" s="233"/>
      <c r="BR1579" s="233"/>
      <c r="BS1579" s="48"/>
      <c r="BT1579" s="233"/>
      <c r="BU1579" s="228"/>
      <c r="BV1579" s="233"/>
      <c r="BW1579" s="233"/>
      <c r="BX1579" s="233"/>
      <c r="BY1579" s="233"/>
      <c r="BZ1579" s="233"/>
      <c r="CA1579" s="233"/>
      <c r="CB1579" s="233"/>
      <c r="CC1579" s="48"/>
      <c r="CD1579" s="48"/>
      <c r="CE1579" s="48"/>
      <c r="CF1579" s="48"/>
      <c r="CG1579" s="233"/>
      <c r="CH1579" s="48"/>
      <c r="CI1579" s="98"/>
      <c r="CJ1579" s="98"/>
      <c r="CK1579" s="49">
        <f t="shared" si="384"/>
        <v>0.16760656015746936</v>
      </c>
      <c r="CL1579" s="229"/>
      <c r="CM1579" s="229"/>
      <c r="CN1579" s="229"/>
      <c r="CO1579" s="47" t="s">
        <v>892</v>
      </c>
      <c r="CP1579" s="500" t="s">
        <v>893</v>
      </c>
      <c r="CQ1579" s="224">
        <v>1.2342490060046578</v>
      </c>
      <c r="CR1579" s="224">
        <f>10^(CJ1579-CQ1579)</f>
        <v>5.8311067752118181E-2</v>
      </c>
      <c r="CS1579" s="230" t="s">
        <v>539</v>
      </c>
      <c r="CT1579" s="230"/>
      <c r="CU1579" s="230"/>
      <c r="CV1579" s="335">
        <f t="shared" si="385"/>
        <v>0.95425674850372533</v>
      </c>
      <c r="CW1579" s="230">
        <f t="shared" si="383"/>
        <v>0</v>
      </c>
      <c r="CX1579" s="336" t="s">
        <v>539</v>
      </c>
      <c r="CY1579" s="230" t="s">
        <v>5921</v>
      </c>
    </row>
    <row r="1580" spans="1:103" ht="11.25" customHeight="1" x14ac:dyDescent="0.2">
      <c r="A1580" s="72">
        <v>1420</v>
      </c>
      <c r="B1580" s="224">
        <v>255</v>
      </c>
      <c r="C1580" s="46" t="s">
        <v>7470</v>
      </c>
      <c r="D1580" s="46"/>
      <c r="E1580" s="114"/>
      <c r="F1580" s="114" t="s">
        <v>3758</v>
      </c>
      <c r="G1580" s="225">
        <v>74115245</v>
      </c>
      <c r="H1580" s="47" t="s">
        <v>3759</v>
      </c>
      <c r="I1580" s="47" t="s">
        <v>8144</v>
      </c>
      <c r="J1580" s="47" t="s">
        <v>3760</v>
      </c>
      <c r="K1580" s="47" t="s">
        <v>426</v>
      </c>
      <c r="L1580" s="47" t="s">
        <v>617</v>
      </c>
      <c r="M1580" s="47" t="s">
        <v>1144</v>
      </c>
      <c r="N1580" s="47"/>
      <c r="O1580" s="47" t="s">
        <v>918</v>
      </c>
      <c r="P1580" s="53"/>
      <c r="Q1580" s="53"/>
      <c r="R1580" s="53"/>
      <c r="S1580" s="53"/>
      <c r="T1580" s="48">
        <v>303.14999999999998</v>
      </c>
      <c r="U1580" s="98">
        <v>1</v>
      </c>
      <c r="V1580" s="98">
        <v>26.5</v>
      </c>
      <c r="W1580" s="98">
        <v>0.55164231528761531</v>
      </c>
      <c r="X1580" s="98">
        <v>1</v>
      </c>
      <c r="Y1580" s="233">
        <v>7</v>
      </c>
      <c r="Z1580" s="48">
        <v>2.7</v>
      </c>
      <c r="AA1580" s="48">
        <v>3.1</v>
      </c>
      <c r="AB1580" s="48">
        <v>3.68</v>
      </c>
      <c r="AC1580" s="48">
        <v>0.77329999999999999</v>
      </c>
      <c r="AD1580" s="48">
        <v>3.56</v>
      </c>
      <c r="AE1580" s="48">
        <v>3.27</v>
      </c>
      <c r="AF1580" s="48">
        <f t="shared" si="380"/>
        <v>3.1</v>
      </c>
      <c r="AG1580" s="49">
        <v>4.03</v>
      </c>
      <c r="AH1580" s="98">
        <v>1.56E-9</v>
      </c>
      <c r="AI1580" s="98">
        <v>3.9E-10</v>
      </c>
      <c r="AJ1580" s="483">
        <f t="shared" si="387"/>
        <v>-7.1954417279581904</v>
      </c>
      <c r="AK1580" s="483">
        <f>LOG10(AI1580*1000/(0.08206*298.15))</f>
        <v>-7.7975017192861529</v>
      </c>
      <c r="AL1580" s="483">
        <f t="shared" si="386"/>
        <v>-7.7975017192861529</v>
      </c>
      <c r="AM1580" s="483">
        <v>-12.062449999999998</v>
      </c>
      <c r="AN1580" s="226">
        <v>-8.39</v>
      </c>
      <c r="AO1580" s="484"/>
      <c r="AP1580" s="484">
        <v>-1.68</v>
      </c>
      <c r="AQ1580" s="226" t="s">
        <v>6311</v>
      </c>
      <c r="AR1580" s="226" t="s">
        <v>6311</v>
      </c>
      <c r="AS1580" s="224" t="s">
        <v>6</v>
      </c>
      <c r="AT1580" s="50" t="s">
        <v>266</v>
      </c>
      <c r="AU1580" s="48">
        <v>8</v>
      </c>
      <c r="AV1580" s="48">
        <v>144</v>
      </c>
      <c r="AW1580" s="48">
        <v>120</v>
      </c>
      <c r="AX1580" s="48">
        <v>26</v>
      </c>
      <c r="AY1580" s="48" t="s">
        <v>267</v>
      </c>
      <c r="AZ1580" s="48" t="s">
        <v>2253</v>
      </c>
      <c r="BA1580" s="48">
        <v>3</v>
      </c>
      <c r="BB1580" s="47" t="s">
        <v>2254</v>
      </c>
      <c r="BC1580" s="47" t="s">
        <v>270</v>
      </c>
      <c r="BD1580" s="47" t="s">
        <v>8374</v>
      </c>
      <c r="BE1580" s="48" t="s">
        <v>1712</v>
      </c>
      <c r="BF1580" s="48" t="s">
        <v>272</v>
      </c>
      <c r="BG1580" s="48" t="s">
        <v>272</v>
      </c>
      <c r="BH1580" s="48" t="s">
        <v>2255</v>
      </c>
      <c r="BI1580" s="98">
        <v>3.0314999999999997E-4</v>
      </c>
      <c r="BJ1580" s="98">
        <v>24.251999999999999</v>
      </c>
      <c r="BK1580" s="48"/>
      <c r="BL1580" s="487">
        <v>58.558180306163635</v>
      </c>
      <c r="BM1580" s="48" t="s">
        <v>891</v>
      </c>
      <c r="BN1580" s="233"/>
      <c r="BO1580" s="233"/>
      <c r="BP1580" s="233"/>
      <c r="BQ1580" s="233"/>
      <c r="BR1580" s="233"/>
      <c r="BS1580" s="48"/>
      <c r="BT1580" s="233"/>
      <c r="BU1580" s="228"/>
      <c r="BV1580" s="233"/>
      <c r="BW1580" s="233"/>
      <c r="BX1580" s="233"/>
      <c r="BY1580" s="233"/>
      <c r="BZ1580" s="233"/>
      <c r="CA1580" s="233"/>
      <c r="CB1580" s="233"/>
      <c r="CC1580" s="48"/>
      <c r="CD1580" s="48"/>
      <c r="CE1580" s="48"/>
      <c r="CF1580" s="48"/>
      <c r="CG1580" s="233"/>
      <c r="CH1580" s="48"/>
      <c r="CI1580" s="98"/>
      <c r="CJ1580" s="98"/>
      <c r="CK1580" s="49">
        <f t="shared" si="384"/>
        <v>2.414571182012355</v>
      </c>
      <c r="CL1580" s="229"/>
      <c r="CM1580" s="229"/>
      <c r="CN1580" s="229"/>
      <c r="CO1580" s="47" t="s">
        <v>892</v>
      </c>
      <c r="CP1580" s="500" t="s">
        <v>893</v>
      </c>
      <c r="CQ1580" s="224" t="s">
        <v>272</v>
      </c>
      <c r="CR1580" s="224"/>
      <c r="CS1580" s="230" t="s">
        <v>539</v>
      </c>
      <c r="CT1580" s="230"/>
      <c r="CU1580" s="230"/>
      <c r="CV1580" s="335">
        <f t="shared" si="385"/>
        <v>4.123371268349002E-2</v>
      </c>
      <c r="CW1580" s="230">
        <f t="shared" si="383"/>
        <v>0</v>
      </c>
      <c r="CX1580" s="336" t="s">
        <v>539</v>
      </c>
      <c r="CY1580" s="230" t="s">
        <v>5921</v>
      </c>
    </row>
    <row r="1581" spans="1:103" ht="11.25" customHeight="1" x14ac:dyDescent="0.2">
      <c r="A1581" s="72">
        <v>1422</v>
      </c>
      <c r="B1581" s="224">
        <v>397</v>
      </c>
      <c r="C1581" s="46" t="s">
        <v>7471</v>
      </c>
      <c r="D1581" s="46"/>
      <c r="E1581" s="114"/>
      <c r="F1581" s="114" t="s">
        <v>3950</v>
      </c>
      <c r="G1581" s="225">
        <v>74223646</v>
      </c>
      <c r="H1581" s="47" t="s">
        <v>3951</v>
      </c>
      <c r="I1581" s="47" t="s">
        <v>3951</v>
      </c>
      <c r="J1581" s="47" t="s">
        <v>3952</v>
      </c>
      <c r="K1581" s="47" t="s">
        <v>3853</v>
      </c>
      <c r="L1581" s="47"/>
      <c r="M1581" s="47"/>
      <c r="N1581" s="47"/>
      <c r="O1581" s="47"/>
      <c r="P1581" s="53" t="s">
        <v>6183</v>
      </c>
      <c r="Q1581" s="53" t="s">
        <v>6179</v>
      </c>
      <c r="R1581" s="53" t="s">
        <v>6185</v>
      </c>
      <c r="S1581" s="53" t="s">
        <v>6176</v>
      </c>
      <c r="T1581" s="48">
        <v>381.37</v>
      </c>
      <c r="U1581" s="98">
        <v>9500</v>
      </c>
      <c r="V1581" s="98">
        <v>52.75</v>
      </c>
      <c r="W1581" s="98">
        <v>81.535460207346588</v>
      </c>
      <c r="X1581" s="98">
        <v>9500</v>
      </c>
      <c r="Y1581" s="233">
        <v>3.87</v>
      </c>
      <c r="Z1581" s="48">
        <v>2</v>
      </c>
      <c r="AA1581" s="48">
        <v>2.2000000000000002</v>
      </c>
      <c r="AB1581" s="48">
        <v>1.46</v>
      </c>
      <c r="AC1581" s="48">
        <v>0.81320000000000003</v>
      </c>
      <c r="AD1581" s="48">
        <v>1.52</v>
      </c>
      <c r="AE1581" s="48">
        <v>1.7</v>
      </c>
      <c r="AF1581" s="48">
        <f t="shared" si="380"/>
        <v>2.2000000000000002</v>
      </c>
      <c r="AG1581" s="49">
        <v>1.03</v>
      </c>
      <c r="AH1581" s="98">
        <v>7.5199999999999998E-14</v>
      </c>
      <c r="AI1581" s="98">
        <v>1.32E-16</v>
      </c>
      <c r="AJ1581" s="483">
        <f t="shared" si="387"/>
        <v>-11.512348485721009</v>
      </c>
      <c r="AK1581" s="483">
        <f>LOG10(AI1581*1000/(0.08206*298.15))</f>
        <v>-14.267992395106802</v>
      </c>
      <c r="AL1581" s="483">
        <f t="shared" si="386"/>
        <v>-14.267992395106802</v>
      </c>
      <c r="AM1581" s="483">
        <v>-25.259620000000002</v>
      </c>
      <c r="AN1581" s="226">
        <v>-23.7</v>
      </c>
      <c r="AO1581" s="484">
        <v>2.5499999999999998</v>
      </c>
      <c r="AP1581" s="484"/>
      <c r="AQ1581" s="226" t="s">
        <v>6311</v>
      </c>
      <c r="AR1581" s="226" t="s">
        <v>6312</v>
      </c>
      <c r="AS1581" s="224" t="s">
        <v>6</v>
      </c>
      <c r="AT1581" s="50" t="s">
        <v>266</v>
      </c>
      <c r="AU1581" s="48">
        <v>8</v>
      </c>
      <c r="AV1581" s="48">
        <v>144</v>
      </c>
      <c r="AW1581" s="48">
        <v>120</v>
      </c>
      <c r="AX1581" s="48">
        <v>26</v>
      </c>
      <c r="AY1581" s="48" t="s">
        <v>267</v>
      </c>
      <c r="AZ1581" s="48" t="s">
        <v>2253</v>
      </c>
      <c r="BA1581" s="48">
        <v>2</v>
      </c>
      <c r="BB1581" s="47" t="s">
        <v>2254</v>
      </c>
      <c r="BC1581" s="47" t="s">
        <v>270</v>
      </c>
      <c r="BD1581" s="47" t="s">
        <v>8374</v>
      </c>
      <c r="BE1581" s="48" t="s">
        <v>1712</v>
      </c>
      <c r="BF1581" s="48" t="s">
        <v>272</v>
      </c>
      <c r="BG1581" s="48" t="s">
        <v>272</v>
      </c>
      <c r="BH1581" s="48" t="s">
        <v>2255</v>
      </c>
      <c r="BI1581" s="98">
        <v>3.8136999999999996E-4</v>
      </c>
      <c r="BJ1581" s="98">
        <v>30.509600000000002</v>
      </c>
      <c r="BK1581" s="48"/>
      <c r="BL1581" s="487">
        <v>313.2899957373902</v>
      </c>
      <c r="BM1581" s="48" t="s">
        <v>891</v>
      </c>
      <c r="BN1581" s="233"/>
      <c r="BO1581" s="233"/>
      <c r="BP1581" s="233"/>
      <c r="BQ1581" s="233"/>
      <c r="BR1581" s="233"/>
      <c r="BS1581" s="48"/>
      <c r="BT1581" s="233"/>
      <c r="BU1581" s="228"/>
      <c r="BV1581" s="233"/>
      <c r="BW1581" s="233"/>
      <c r="BX1581" s="233"/>
      <c r="BY1581" s="233"/>
      <c r="BZ1581" s="233"/>
      <c r="CA1581" s="233"/>
      <c r="CB1581" s="233"/>
      <c r="CC1581" s="48"/>
      <c r="CD1581" s="48"/>
      <c r="CE1581" s="48"/>
      <c r="CF1581" s="48"/>
      <c r="CG1581" s="233"/>
      <c r="CH1581" s="48"/>
      <c r="CI1581" s="98"/>
      <c r="CJ1581" s="98"/>
      <c r="CK1581" s="49">
        <f t="shared" si="384"/>
        <v>10.268571064104091</v>
      </c>
      <c r="CL1581" s="229"/>
      <c r="CM1581" s="229"/>
      <c r="CN1581" s="229"/>
      <c r="CO1581" s="47" t="s">
        <v>892</v>
      </c>
      <c r="CP1581" s="500" t="s">
        <v>893</v>
      </c>
      <c r="CQ1581" s="224" t="s">
        <v>272</v>
      </c>
      <c r="CR1581" s="224"/>
      <c r="CS1581" s="230" t="s">
        <v>539</v>
      </c>
      <c r="CT1581" s="230"/>
      <c r="CU1581" s="230"/>
      <c r="CV1581" s="335">
        <f t="shared" si="385"/>
        <v>311.37740252248472</v>
      </c>
      <c r="CW1581" s="230">
        <f t="shared" si="383"/>
        <v>1</v>
      </c>
      <c r="CX1581" s="336" t="s">
        <v>539</v>
      </c>
      <c r="CY1581" s="230" t="s">
        <v>5921</v>
      </c>
    </row>
    <row r="1582" spans="1:103" ht="11.25" customHeight="1" x14ac:dyDescent="0.2">
      <c r="A1582" s="72">
        <v>1425</v>
      </c>
      <c r="B1582" s="224">
        <v>351</v>
      </c>
      <c r="C1582" s="46" t="s">
        <v>7472</v>
      </c>
      <c r="D1582" s="46" t="s">
        <v>7473</v>
      </c>
      <c r="E1582" s="114"/>
      <c r="F1582" s="114" t="s">
        <v>3886</v>
      </c>
      <c r="G1582" s="225">
        <v>78587050</v>
      </c>
      <c r="H1582" s="47" t="s">
        <v>3887</v>
      </c>
      <c r="I1582" s="47" t="s">
        <v>8145</v>
      </c>
      <c r="J1582" s="47" t="s">
        <v>3888</v>
      </c>
      <c r="K1582" s="47" t="s">
        <v>3889</v>
      </c>
      <c r="L1582" s="47" t="s">
        <v>617</v>
      </c>
      <c r="M1582" s="47" t="s">
        <v>1144</v>
      </c>
      <c r="N1582" s="47"/>
      <c r="O1582" s="47" t="s">
        <v>918</v>
      </c>
      <c r="P1582" s="53"/>
      <c r="Q1582" s="53"/>
      <c r="R1582" s="53"/>
      <c r="S1582" s="53"/>
      <c r="T1582" s="48">
        <v>352.88</v>
      </c>
      <c r="U1582" s="98">
        <v>0.5</v>
      </c>
      <c r="V1582" s="98">
        <v>0.1036</v>
      </c>
      <c r="W1582" s="98">
        <v>9.0704126382347603</v>
      </c>
      <c r="X1582" s="98">
        <v>0.5</v>
      </c>
      <c r="Y1582" s="233">
        <v>7</v>
      </c>
      <c r="Z1582" s="48">
        <v>5.57</v>
      </c>
      <c r="AA1582" s="48"/>
      <c r="AB1582" s="48">
        <v>3.84</v>
      </c>
      <c r="AC1582" s="48">
        <v>0.6885</v>
      </c>
      <c r="AD1582" s="48">
        <v>3.71</v>
      </c>
      <c r="AE1582" s="48">
        <v>3.42</v>
      </c>
      <c r="AF1582" s="48">
        <f t="shared" si="380"/>
        <v>3.71</v>
      </c>
      <c r="AG1582" s="49">
        <v>4.2</v>
      </c>
      <c r="AH1582" s="98">
        <v>2.2900000000000002E-9</v>
      </c>
      <c r="AI1582" s="98">
        <v>2.37E-8</v>
      </c>
      <c r="AJ1582" s="483">
        <f t="shared" si="387"/>
        <v>-7.028730843972764</v>
      </c>
      <c r="AK1582" s="483">
        <f>LOG10(AI1582*1000/(0.08206*298.15))</f>
        <v>-6.013817980302548</v>
      </c>
      <c r="AL1582" s="483">
        <f t="shared" si="386"/>
        <v>-6.013817980302548</v>
      </c>
      <c r="AM1582" s="483">
        <v>-15.313119999999998</v>
      </c>
      <c r="AN1582" s="226">
        <v>-6.27</v>
      </c>
      <c r="AO1582" s="484">
        <v>12.77</v>
      </c>
      <c r="AP1582" s="484">
        <v>-1.36</v>
      </c>
      <c r="AQ1582" s="226" t="s">
        <v>6311</v>
      </c>
      <c r="AR1582" s="226" t="s">
        <v>6311</v>
      </c>
      <c r="AS1582" s="224" t="s">
        <v>6</v>
      </c>
      <c r="AT1582" s="50" t="s">
        <v>266</v>
      </c>
      <c r="AU1582" s="48">
        <v>8</v>
      </c>
      <c r="AV1582" s="48">
        <v>144</v>
      </c>
      <c r="AW1582" s="48">
        <v>120</v>
      </c>
      <c r="AX1582" s="48">
        <v>26</v>
      </c>
      <c r="AY1582" s="48" t="s">
        <v>267</v>
      </c>
      <c r="AZ1582" s="48" t="s">
        <v>2253</v>
      </c>
      <c r="BA1582" s="48">
        <v>2</v>
      </c>
      <c r="BB1582" s="47" t="s">
        <v>2254</v>
      </c>
      <c r="BC1582" s="47" t="s">
        <v>270</v>
      </c>
      <c r="BD1582" s="47" t="s">
        <v>8374</v>
      </c>
      <c r="BE1582" s="48" t="s">
        <v>1712</v>
      </c>
      <c r="BF1582" s="48" t="s">
        <v>272</v>
      </c>
      <c r="BG1582" s="48" t="s">
        <v>272</v>
      </c>
      <c r="BH1582" s="48" t="s">
        <v>2255</v>
      </c>
      <c r="BI1582" s="98">
        <v>3.5287999999999997E-4</v>
      </c>
      <c r="BJ1582" s="98">
        <v>28.230399999999999</v>
      </c>
      <c r="BK1582" s="48"/>
      <c r="BL1582" s="487">
        <v>0.18030594432282229</v>
      </c>
      <c r="BM1582" s="48" t="s">
        <v>891</v>
      </c>
      <c r="BN1582" s="233"/>
      <c r="BO1582" s="233"/>
      <c r="BP1582" s="233"/>
      <c r="BQ1582" s="233"/>
      <c r="BR1582" s="233"/>
      <c r="BS1582" s="48"/>
      <c r="BT1582" s="233"/>
      <c r="BU1582" s="228"/>
      <c r="BV1582" s="233"/>
      <c r="BW1582" s="233"/>
      <c r="BX1582" s="233"/>
      <c r="BY1582" s="233"/>
      <c r="BZ1582" s="233"/>
      <c r="CA1582" s="233"/>
      <c r="CB1582" s="233"/>
      <c r="CC1582" s="48"/>
      <c r="CD1582" s="48"/>
      <c r="CE1582" s="48"/>
      <c r="CF1582" s="48"/>
      <c r="CG1582" s="233"/>
      <c r="CH1582" s="48"/>
      <c r="CI1582" s="98"/>
      <c r="CJ1582" s="98"/>
      <c r="CK1582" s="49">
        <f t="shared" si="384"/>
        <v>6.3869425981503023E-3</v>
      </c>
      <c r="CL1582" s="229"/>
      <c r="CM1582" s="229"/>
      <c r="CN1582" s="229"/>
      <c r="CO1582" s="47" t="s">
        <v>892</v>
      </c>
      <c r="CP1582" s="500" t="s">
        <v>893</v>
      </c>
      <c r="CQ1582" s="224">
        <v>0.39436692941385371</v>
      </c>
      <c r="CR1582" s="224">
        <f>10^(CJ1582-CQ1582)</f>
        <v>0.40330450257306316</v>
      </c>
      <c r="CS1582" s="230" t="s">
        <v>539</v>
      </c>
      <c r="CT1582" s="230"/>
      <c r="CU1582" s="230"/>
      <c r="CV1582" s="335">
        <f t="shared" si="385"/>
        <v>1.7711403309907052E-2</v>
      </c>
      <c r="CW1582" s="230">
        <f t="shared" si="383"/>
        <v>0</v>
      </c>
      <c r="CX1582" s="336" t="s">
        <v>539</v>
      </c>
      <c r="CY1582" s="230" t="s">
        <v>5921</v>
      </c>
    </row>
    <row r="1583" spans="1:103" ht="11.25" customHeight="1" x14ac:dyDescent="0.2">
      <c r="A1583" s="72">
        <v>1429</v>
      </c>
      <c r="B1583" s="224">
        <v>354</v>
      </c>
      <c r="C1583" s="46" t="s">
        <v>7475</v>
      </c>
      <c r="D1583" s="46"/>
      <c r="E1583" s="114"/>
      <c r="F1583" s="114" t="s">
        <v>3209</v>
      </c>
      <c r="G1583" s="225">
        <v>81334341</v>
      </c>
      <c r="H1583" s="47" t="s">
        <v>3210</v>
      </c>
      <c r="I1583" s="47" t="s">
        <v>3210</v>
      </c>
      <c r="J1583" s="47" t="s">
        <v>3211</v>
      </c>
      <c r="K1583" s="47" t="s">
        <v>471</v>
      </c>
      <c r="L1583" s="47"/>
      <c r="M1583" s="47"/>
      <c r="N1583" s="47"/>
      <c r="O1583" s="47"/>
      <c r="P1583" s="53"/>
      <c r="Q1583" s="53"/>
      <c r="R1583" s="53"/>
      <c r="S1583" s="53"/>
      <c r="T1583" s="48">
        <v>261.27999999999997</v>
      </c>
      <c r="U1583" s="98">
        <v>11300</v>
      </c>
      <c r="V1583" s="98">
        <v>650.29999999999995</v>
      </c>
      <c r="W1583" s="98">
        <v>3141.2765147683754</v>
      </c>
      <c r="X1583" s="98">
        <v>11300</v>
      </c>
      <c r="Y1583" s="233">
        <v>2.82</v>
      </c>
      <c r="Z1583" s="48">
        <v>1.57</v>
      </c>
      <c r="AA1583" s="48">
        <v>0.22</v>
      </c>
      <c r="AB1583" s="48">
        <v>0.42</v>
      </c>
      <c r="AC1583" s="48">
        <v>0.88060000000000005</v>
      </c>
      <c r="AD1583" s="48">
        <v>0.43</v>
      </c>
      <c r="AE1583" s="48">
        <v>0.51</v>
      </c>
      <c r="AF1583" s="48">
        <f t="shared" si="380"/>
        <v>0.22</v>
      </c>
      <c r="AG1583" s="49">
        <v>0.96</v>
      </c>
      <c r="AH1583" s="98">
        <v>7.0799999999999999E-17</v>
      </c>
      <c r="AI1583" s="98"/>
      <c r="AJ1583" s="483">
        <f t="shared" si="387"/>
        <v>-14.538533068622883</v>
      </c>
      <c r="AK1583" s="483"/>
      <c r="AL1583" s="483">
        <f t="shared" si="386"/>
        <v>-14.538533068622883</v>
      </c>
      <c r="AM1583" s="483">
        <v>-17.984069999999999</v>
      </c>
      <c r="AN1583" s="226">
        <v>-16.100000000000001</v>
      </c>
      <c r="AO1583" s="484">
        <v>10.6</v>
      </c>
      <c r="AP1583" s="484">
        <v>3.3</v>
      </c>
      <c r="AQ1583" s="226" t="s">
        <v>6311</v>
      </c>
      <c r="AR1583" s="226" t="s">
        <v>6311</v>
      </c>
      <c r="AS1583" s="224" t="s">
        <v>6</v>
      </c>
      <c r="AT1583" s="50" t="s">
        <v>266</v>
      </c>
      <c r="AU1583" s="48">
        <v>8</v>
      </c>
      <c r="AV1583" s="48">
        <v>144</v>
      </c>
      <c r="AW1583" s="48">
        <v>120</v>
      </c>
      <c r="AX1583" s="48">
        <v>26</v>
      </c>
      <c r="AY1583" s="48" t="s">
        <v>267</v>
      </c>
      <c r="AZ1583" s="48" t="s">
        <v>2253</v>
      </c>
      <c r="BA1583" s="48">
        <v>2</v>
      </c>
      <c r="BB1583" s="47" t="s">
        <v>2254</v>
      </c>
      <c r="BC1583" s="47" t="s">
        <v>270</v>
      </c>
      <c r="BD1583" s="47" t="s">
        <v>8374</v>
      </c>
      <c r="BE1583" s="48" t="s">
        <v>1712</v>
      </c>
      <c r="BF1583" s="48" t="s">
        <v>272</v>
      </c>
      <c r="BG1583" s="48" t="s">
        <v>272</v>
      </c>
      <c r="BH1583" s="48" t="s">
        <v>2255</v>
      </c>
      <c r="BI1583" s="98">
        <v>2.6127999999999996E-4</v>
      </c>
      <c r="BJ1583" s="98">
        <v>20.902399999999997</v>
      </c>
      <c r="BK1583" s="48"/>
      <c r="BL1583" s="487">
        <v>522.26288971287363</v>
      </c>
      <c r="BM1583" s="48" t="s">
        <v>891</v>
      </c>
      <c r="BN1583" s="233"/>
      <c r="BO1583" s="233"/>
      <c r="BP1583" s="233"/>
      <c r="BQ1583" s="233"/>
      <c r="BR1583" s="233"/>
      <c r="BS1583" s="48"/>
      <c r="BT1583" s="233"/>
      <c r="BU1583" s="228"/>
      <c r="BV1583" s="233"/>
      <c r="BW1583" s="233"/>
      <c r="BX1583" s="233"/>
      <c r="BY1583" s="233"/>
      <c r="BZ1583" s="233"/>
      <c r="CA1583" s="233"/>
      <c r="CB1583" s="233"/>
      <c r="CC1583" s="48"/>
      <c r="CD1583" s="48"/>
      <c r="CE1583" s="48"/>
      <c r="CF1583" s="48"/>
      <c r="CG1583" s="233"/>
      <c r="CH1583" s="48"/>
      <c r="CI1583" s="98"/>
      <c r="CJ1583" s="98"/>
      <c r="CK1583" s="49">
        <f t="shared" si="384"/>
        <v>24.985785829037514</v>
      </c>
      <c r="CL1583" s="229"/>
      <c r="CM1583" s="229"/>
      <c r="CN1583" s="229"/>
      <c r="CO1583" s="47" t="s">
        <v>892</v>
      </c>
      <c r="CP1583" s="500" t="s">
        <v>893</v>
      </c>
      <c r="CQ1583" s="224" t="s">
        <v>272</v>
      </c>
      <c r="CR1583" s="224"/>
      <c r="CS1583" s="230" t="s">
        <v>539</v>
      </c>
      <c r="CT1583" s="230"/>
      <c r="CU1583" s="230"/>
      <c r="CV1583" s="335">
        <f t="shared" si="385"/>
        <v>540.60777709736692</v>
      </c>
      <c r="CW1583" s="230">
        <f t="shared" si="383"/>
        <v>1</v>
      </c>
      <c r="CX1583" s="336" t="s">
        <v>539</v>
      </c>
      <c r="CY1583" s="230" t="s">
        <v>5921</v>
      </c>
    </row>
    <row r="1584" spans="1:103" ht="11.25" customHeight="1" x14ac:dyDescent="0.2">
      <c r="A1584" s="72">
        <v>1431</v>
      </c>
      <c r="B1584" s="224">
        <v>355</v>
      </c>
      <c r="C1584" s="46" t="s">
        <v>7476</v>
      </c>
      <c r="D1584" s="46" t="s">
        <v>7477</v>
      </c>
      <c r="E1584" s="114"/>
      <c r="F1584" s="114" t="s">
        <v>3896</v>
      </c>
      <c r="G1584" s="225">
        <v>81335377</v>
      </c>
      <c r="H1584" s="47" t="s">
        <v>3897</v>
      </c>
      <c r="I1584" s="47" t="s">
        <v>8147</v>
      </c>
      <c r="J1584" s="47" t="s">
        <v>3898</v>
      </c>
      <c r="K1584" s="47" t="s">
        <v>471</v>
      </c>
      <c r="L1584" s="47" t="s">
        <v>6042</v>
      </c>
      <c r="M1584" s="47" t="s">
        <v>2342</v>
      </c>
      <c r="N1584" s="47" t="s">
        <v>2342</v>
      </c>
      <c r="O1584" s="47"/>
      <c r="P1584" s="53" t="s">
        <v>8537</v>
      </c>
      <c r="Q1584" s="53" t="s">
        <v>6173</v>
      </c>
      <c r="R1584" s="53" t="s">
        <v>8539</v>
      </c>
      <c r="S1584" s="53" t="s">
        <v>6173</v>
      </c>
      <c r="T1584" s="48">
        <v>311.33999999999997</v>
      </c>
      <c r="U1584" s="98">
        <v>90.000000000000014</v>
      </c>
      <c r="V1584" s="98">
        <v>271.8</v>
      </c>
      <c r="W1584" s="98">
        <v>149.01669294373019</v>
      </c>
      <c r="X1584" s="98">
        <v>90.000000000000014</v>
      </c>
      <c r="Y1584" s="233">
        <v>3.58</v>
      </c>
      <c r="Z1584" s="48">
        <v>2.9</v>
      </c>
      <c r="AA1584" s="48">
        <v>1.86</v>
      </c>
      <c r="AB1584" s="48">
        <v>1.85</v>
      </c>
      <c r="AC1584" s="48">
        <v>0.92749999999999999</v>
      </c>
      <c r="AD1584" s="48">
        <v>1.9</v>
      </c>
      <c r="AE1584" s="48">
        <v>2.54</v>
      </c>
      <c r="AF1584" s="48">
        <f t="shared" si="380"/>
        <v>1.86</v>
      </c>
      <c r="AG1584" s="49">
        <v>2.23</v>
      </c>
      <c r="AH1584" s="98">
        <v>6.9100000000000002E-18</v>
      </c>
      <c r="AI1584" s="98"/>
      <c r="AJ1584" s="483">
        <f t="shared" si="387"/>
        <v>-15.549088278938454</v>
      </c>
      <c r="AK1584" s="483"/>
      <c r="AL1584" s="483">
        <f t="shared" si="386"/>
        <v>-15.549088278938454</v>
      </c>
      <c r="AM1584" s="483">
        <v>-20.276879999999998</v>
      </c>
      <c r="AN1584" s="226">
        <v>-16.899999999999999</v>
      </c>
      <c r="AO1584" s="484">
        <v>3.1</v>
      </c>
      <c r="AP1584" s="484">
        <v>1.57</v>
      </c>
      <c r="AQ1584" s="226" t="s">
        <v>6311</v>
      </c>
      <c r="AR1584" s="226" t="s">
        <v>6311</v>
      </c>
      <c r="AS1584" s="224" t="s">
        <v>6</v>
      </c>
      <c r="AT1584" s="50" t="s">
        <v>266</v>
      </c>
      <c r="AU1584" s="48">
        <v>8</v>
      </c>
      <c r="AV1584" s="48">
        <v>144</v>
      </c>
      <c r="AW1584" s="48">
        <v>120</v>
      </c>
      <c r="AX1584" s="48">
        <v>26</v>
      </c>
      <c r="AY1584" s="48" t="s">
        <v>267</v>
      </c>
      <c r="AZ1584" s="48" t="s">
        <v>2253</v>
      </c>
      <c r="BA1584" s="48">
        <v>2</v>
      </c>
      <c r="BB1584" s="47" t="s">
        <v>2254</v>
      </c>
      <c r="BC1584" s="47" t="s">
        <v>270</v>
      </c>
      <c r="BD1584" s="47" t="s">
        <v>8374</v>
      </c>
      <c r="BE1584" s="48" t="s">
        <v>1712</v>
      </c>
      <c r="BF1584" s="48" t="s">
        <v>272</v>
      </c>
      <c r="BG1584" s="48" t="s">
        <v>272</v>
      </c>
      <c r="BH1584" s="48" t="s">
        <v>2255</v>
      </c>
      <c r="BI1584" s="98">
        <v>3.1133999999999996E-4</v>
      </c>
      <c r="BJ1584" s="98">
        <v>24.9072</v>
      </c>
      <c r="BK1584" s="48"/>
      <c r="BL1584" s="487">
        <v>39.769022927937854</v>
      </c>
      <c r="BM1584" s="48" t="s">
        <v>891</v>
      </c>
      <c r="BN1584" s="233"/>
      <c r="BO1584" s="233"/>
      <c r="BP1584" s="233"/>
      <c r="BQ1584" s="233"/>
      <c r="BR1584" s="233"/>
      <c r="BS1584" s="48"/>
      <c r="BT1584" s="233"/>
      <c r="BU1584" s="228"/>
      <c r="BV1584" s="233"/>
      <c r="BW1584" s="233"/>
      <c r="BX1584" s="233"/>
      <c r="BY1584" s="233"/>
      <c r="BZ1584" s="233"/>
      <c r="CA1584" s="233"/>
      <c r="CB1584" s="233"/>
      <c r="CC1584" s="48"/>
      <c r="CD1584" s="48"/>
      <c r="CE1584" s="48"/>
      <c r="CF1584" s="48"/>
      <c r="CG1584" s="233"/>
      <c r="CH1584" s="48"/>
      <c r="CI1584" s="98"/>
      <c r="CJ1584" s="98"/>
      <c r="CK1584" s="49">
        <f t="shared" si="384"/>
        <v>1.5966878223139436</v>
      </c>
      <c r="CL1584" s="229"/>
      <c r="CM1584" s="229"/>
      <c r="CN1584" s="229"/>
      <c r="CO1584" s="47" t="s">
        <v>892</v>
      </c>
      <c r="CP1584" s="500" t="s">
        <v>893</v>
      </c>
      <c r="CQ1584" s="224">
        <v>2.5352036608700597</v>
      </c>
      <c r="CR1584" s="224">
        <f>10^(CJ1584-CQ1584)</f>
        <v>2.9160592175990212E-3</v>
      </c>
      <c r="CS1584" s="230" t="s">
        <v>539</v>
      </c>
      <c r="CT1584" s="230"/>
      <c r="CU1584" s="230"/>
      <c r="CV1584" s="335">
        <f t="shared" si="385"/>
        <v>3.6134129890152251</v>
      </c>
      <c r="CW1584" s="230">
        <f t="shared" si="383"/>
        <v>1</v>
      </c>
      <c r="CX1584" s="336" t="s">
        <v>539</v>
      </c>
      <c r="CY1584" s="230" t="s">
        <v>5921</v>
      </c>
    </row>
    <row r="1585" spans="1:103" ht="11.25" customHeight="1" x14ac:dyDescent="0.2">
      <c r="A1585" s="72">
        <v>1433</v>
      </c>
      <c r="B1585" s="224">
        <v>357</v>
      </c>
      <c r="C1585" s="46" t="s">
        <v>7478</v>
      </c>
      <c r="D1585" s="46" t="s">
        <v>7479</v>
      </c>
      <c r="E1585" s="114"/>
      <c r="F1585" s="114" t="s">
        <v>3899</v>
      </c>
      <c r="G1585" s="225">
        <v>81335775</v>
      </c>
      <c r="H1585" s="47" t="s">
        <v>3900</v>
      </c>
      <c r="I1585" s="47" t="s">
        <v>3900</v>
      </c>
      <c r="J1585" s="47" t="s">
        <v>3901</v>
      </c>
      <c r="K1585" s="47" t="s">
        <v>471</v>
      </c>
      <c r="L1585" s="47"/>
      <c r="M1585" s="47" t="s">
        <v>2342</v>
      </c>
      <c r="N1585" s="47" t="s">
        <v>2342</v>
      </c>
      <c r="O1585" s="47"/>
      <c r="P1585" s="53" t="s">
        <v>8537</v>
      </c>
      <c r="Q1585" s="53" t="s">
        <v>6173</v>
      </c>
      <c r="R1585" s="53" t="s">
        <v>6183</v>
      </c>
      <c r="S1585" s="53" t="s">
        <v>6173</v>
      </c>
      <c r="T1585" s="48">
        <v>289.33</v>
      </c>
      <c r="U1585" s="98">
        <v>1400</v>
      </c>
      <c r="V1585" s="98">
        <v>84.54</v>
      </c>
      <c r="W1585" s="98">
        <v>853.87336555138552</v>
      </c>
      <c r="X1585" s="98">
        <v>1400</v>
      </c>
      <c r="Y1585" s="233">
        <v>3.09</v>
      </c>
      <c r="Z1585" s="48">
        <v>2.6</v>
      </c>
      <c r="AA1585" s="48"/>
      <c r="AB1585" s="48">
        <v>1.07</v>
      </c>
      <c r="AC1585" s="48">
        <v>0.83960000000000001</v>
      </c>
      <c r="AD1585" s="48">
        <v>1.1299999999999999</v>
      </c>
      <c r="AE1585" s="48">
        <v>1.51</v>
      </c>
      <c r="AF1585" s="48">
        <f t="shared" si="380"/>
        <v>1.1299999999999999</v>
      </c>
      <c r="AG1585" s="49">
        <v>1.98</v>
      </c>
      <c r="AH1585" s="98">
        <v>1.04E-16</v>
      </c>
      <c r="AI1585" s="98"/>
      <c r="AJ1585" s="483">
        <f t="shared" si="387"/>
        <v>-14.371532987013872</v>
      </c>
      <c r="AK1585" s="483"/>
      <c r="AL1585" s="483">
        <f t="shared" si="386"/>
        <v>-14.371532987013872</v>
      </c>
      <c r="AM1585" s="483">
        <v>-18.078189999999999</v>
      </c>
      <c r="AN1585" s="226">
        <v>-16</v>
      </c>
      <c r="AO1585" s="484">
        <v>10.73</v>
      </c>
      <c r="AP1585" s="484">
        <v>3.34</v>
      </c>
      <c r="AQ1585" s="226" t="s">
        <v>6311</v>
      </c>
      <c r="AR1585" s="226" t="s">
        <v>6311</v>
      </c>
      <c r="AS1585" s="224" t="s">
        <v>6</v>
      </c>
      <c r="AT1585" s="50" t="s">
        <v>266</v>
      </c>
      <c r="AU1585" s="48">
        <v>8</v>
      </c>
      <c r="AV1585" s="48">
        <v>144</v>
      </c>
      <c r="AW1585" s="48">
        <v>120</v>
      </c>
      <c r="AX1585" s="48">
        <v>26</v>
      </c>
      <c r="AY1585" s="48" t="s">
        <v>267</v>
      </c>
      <c r="AZ1585" s="48" t="s">
        <v>2253</v>
      </c>
      <c r="BA1585" s="48">
        <v>2</v>
      </c>
      <c r="BB1585" s="47" t="s">
        <v>2254</v>
      </c>
      <c r="BC1585" s="47" t="s">
        <v>270</v>
      </c>
      <c r="BD1585" s="47" t="s">
        <v>8374</v>
      </c>
      <c r="BE1585" s="48" t="s">
        <v>1712</v>
      </c>
      <c r="BF1585" s="48" t="s">
        <v>272</v>
      </c>
      <c r="BG1585" s="48" t="s">
        <v>272</v>
      </c>
      <c r="BH1585" s="48" t="s">
        <v>2255</v>
      </c>
      <c r="BI1585" s="98">
        <v>2.8932999999999997E-4</v>
      </c>
      <c r="BJ1585" s="98">
        <v>23.1464</v>
      </c>
      <c r="BK1585" s="48"/>
      <c r="BL1585" s="487">
        <v>68.727962179014753</v>
      </c>
      <c r="BM1585" s="48" t="s">
        <v>891</v>
      </c>
      <c r="BN1585" s="233"/>
      <c r="BO1585" s="233"/>
      <c r="BP1585" s="233"/>
      <c r="BQ1585" s="233"/>
      <c r="BR1585" s="233"/>
      <c r="BS1585" s="48"/>
      <c r="BT1585" s="233"/>
      <c r="BU1585" s="228"/>
      <c r="BV1585" s="233"/>
      <c r="BW1585" s="233"/>
      <c r="BX1585" s="233"/>
      <c r="BY1585" s="233"/>
      <c r="BZ1585" s="233"/>
      <c r="CA1585" s="233"/>
      <c r="CB1585" s="233"/>
      <c r="CC1585" s="48"/>
      <c r="CD1585" s="48"/>
      <c r="CE1585" s="48"/>
      <c r="CF1585" s="48"/>
      <c r="CG1585" s="233"/>
      <c r="CH1585" s="48"/>
      <c r="CI1585" s="98"/>
      <c r="CJ1585" s="98"/>
      <c r="CK1585" s="49">
        <f t="shared" si="384"/>
        <v>2.9692722055704022</v>
      </c>
      <c r="CL1585" s="229"/>
      <c r="CM1585" s="229"/>
      <c r="CN1585" s="229"/>
      <c r="CO1585" s="47" t="s">
        <v>892</v>
      </c>
      <c r="CP1585" s="500" t="s">
        <v>893</v>
      </c>
      <c r="CQ1585" s="224">
        <v>2.5814494049732861</v>
      </c>
      <c r="CR1585" s="224">
        <f>10^(CJ1585-CQ1585)</f>
        <v>2.6215044244189876E-3</v>
      </c>
      <c r="CS1585" s="230" t="s">
        <v>539</v>
      </c>
      <c r="CT1585" s="230"/>
      <c r="CU1585" s="230"/>
      <c r="CV1585" s="335">
        <f t="shared" si="385"/>
        <v>60.484567794559844</v>
      </c>
      <c r="CW1585" s="230">
        <f t="shared" si="383"/>
        <v>1</v>
      </c>
      <c r="CX1585" s="336" t="s">
        <v>539</v>
      </c>
      <c r="CY1585" s="230" t="s">
        <v>5921</v>
      </c>
    </row>
    <row r="1586" spans="1:103" ht="11.25" customHeight="1" x14ac:dyDescent="0.2">
      <c r="A1586" s="72">
        <v>1435</v>
      </c>
      <c r="B1586" s="224">
        <v>256</v>
      </c>
      <c r="C1586" s="46" t="s">
        <v>7480</v>
      </c>
      <c r="D1586" s="46"/>
      <c r="E1586" s="114"/>
      <c r="F1586" s="114" t="s">
        <v>3761</v>
      </c>
      <c r="G1586" s="225">
        <v>81777891</v>
      </c>
      <c r="H1586" s="47" t="s">
        <v>3762</v>
      </c>
      <c r="I1586" s="47" t="s">
        <v>8148</v>
      </c>
      <c r="J1586" s="47" t="s">
        <v>3763</v>
      </c>
      <c r="K1586" s="47" t="s">
        <v>471</v>
      </c>
      <c r="L1586" s="47" t="s">
        <v>6031</v>
      </c>
      <c r="M1586" s="47" t="s">
        <v>6082</v>
      </c>
      <c r="N1586" s="47"/>
      <c r="O1586" s="47" t="s">
        <v>6083</v>
      </c>
      <c r="P1586" s="53"/>
      <c r="Q1586" s="53"/>
      <c r="R1586" s="53"/>
      <c r="S1586" s="53"/>
      <c r="T1586" s="48">
        <v>239.7</v>
      </c>
      <c r="U1586" s="98">
        <v>1100</v>
      </c>
      <c r="V1586" s="98">
        <v>197.5</v>
      </c>
      <c r="W1586" s="98">
        <v>478.26437689804004</v>
      </c>
      <c r="X1586" s="98">
        <v>1100</v>
      </c>
      <c r="Y1586" s="233">
        <v>7</v>
      </c>
      <c r="Z1586" s="48">
        <v>2.86</v>
      </c>
      <c r="AA1586" s="48">
        <v>2.5</v>
      </c>
      <c r="AB1586" s="48">
        <v>2.44</v>
      </c>
      <c r="AC1586" s="48">
        <v>0.77280000000000004</v>
      </c>
      <c r="AD1586" s="48">
        <v>2.36</v>
      </c>
      <c r="AE1586" s="48">
        <v>2.17</v>
      </c>
      <c r="AF1586" s="48">
        <f t="shared" si="380"/>
        <v>2.5</v>
      </c>
      <c r="AG1586" s="49">
        <v>2.2400000000000002</v>
      </c>
      <c r="AH1586" s="98">
        <v>7.3199999999999995E-10</v>
      </c>
      <c r="AI1586" s="98">
        <v>4.1299999999999999E-8</v>
      </c>
      <c r="AJ1586" s="483">
        <f t="shared" si="387"/>
        <v>-7.5240552452542602</v>
      </c>
      <c r="AK1586" s="483">
        <f>LOG10(AI1586*1000/(0.08206*298.15))</f>
        <v>-5.7726162746562508</v>
      </c>
      <c r="AL1586" s="483">
        <f t="shared" si="386"/>
        <v>-5.7726162746562508</v>
      </c>
      <c r="AM1586" s="483">
        <v>-11.32104</v>
      </c>
      <c r="AN1586" s="226">
        <v>-5</v>
      </c>
      <c r="AO1586" s="484"/>
      <c r="AP1586" s="484">
        <v>-1.48</v>
      </c>
      <c r="AQ1586" s="226" t="s">
        <v>6311</v>
      </c>
      <c r="AR1586" s="226" t="s">
        <v>6311</v>
      </c>
      <c r="AS1586" s="224" t="s">
        <v>6</v>
      </c>
      <c r="AT1586" s="50" t="s">
        <v>266</v>
      </c>
      <c r="AU1586" s="48">
        <v>8</v>
      </c>
      <c r="AV1586" s="48">
        <v>144</v>
      </c>
      <c r="AW1586" s="48">
        <v>120</v>
      </c>
      <c r="AX1586" s="48">
        <v>26</v>
      </c>
      <c r="AY1586" s="48" t="s">
        <v>267</v>
      </c>
      <c r="AZ1586" s="48" t="s">
        <v>2253</v>
      </c>
      <c r="BA1586" s="48">
        <v>3</v>
      </c>
      <c r="BB1586" s="47" t="s">
        <v>2254</v>
      </c>
      <c r="BC1586" s="47" t="s">
        <v>270</v>
      </c>
      <c r="BD1586" s="47" t="s">
        <v>8374</v>
      </c>
      <c r="BE1586" s="48" t="s">
        <v>1712</v>
      </c>
      <c r="BF1586" s="48" t="s">
        <v>272</v>
      </c>
      <c r="BG1586" s="48" t="s">
        <v>272</v>
      </c>
      <c r="BH1586" s="48" t="s">
        <v>2255</v>
      </c>
      <c r="BI1586" s="98">
        <v>2.3969999999999997E-4</v>
      </c>
      <c r="BJ1586" s="98">
        <v>19.175999999999998</v>
      </c>
      <c r="BK1586" s="48"/>
      <c r="BL1586" s="487">
        <v>33.258452208690869</v>
      </c>
      <c r="BM1586" s="48" t="s">
        <v>891</v>
      </c>
      <c r="BN1586" s="233"/>
      <c r="BO1586" s="233"/>
      <c r="BP1586" s="233"/>
      <c r="BQ1586" s="233"/>
      <c r="BR1586" s="233"/>
      <c r="BS1586" s="48"/>
      <c r="BT1586" s="233"/>
      <c r="BU1586" s="228"/>
      <c r="BV1586" s="233"/>
      <c r="BW1586" s="233"/>
      <c r="BX1586" s="233"/>
      <c r="BY1586" s="233"/>
      <c r="BZ1586" s="233"/>
      <c r="CA1586" s="233"/>
      <c r="CB1586" s="233"/>
      <c r="CC1586" s="48"/>
      <c r="CD1586" s="48"/>
      <c r="CE1586" s="48"/>
      <c r="CF1586" s="48"/>
      <c r="CG1586" s="233"/>
      <c r="CH1586" s="48"/>
      <c r="CI1586" s="98"/>
      <c r="CJ1586" s="98"/>
      <c r="CK1586" s="49">
        <f t="shared" si="384"/>
        <v>1.7343790263188814</v>
      </c>
      <c r="CL1586" s="229"/>
      <c r="CM1586" s="229"/>
      <c r="CN1586" s="229"/>
      <c r="CO1586" s="47" t="s">
        <v>892</v>
      </c>
      <c r="CP1586" s="500" t="s">
        <v>893</v>
      </c>
      <c r="CQ1586" s="224" t="s">
        <v>272</v>
      </c>
      <c r="CR1586" s="224"/>
      <c r="CS1586" s="230" t="s">
        <v>539</v>
      </c>
      <c r="CT1586" s="230"/>
      <c r="CU1586" s="230"/>
      <c r="CV1586" s="335">
        <f t="shared" si="385"/>
        <v>57.363370880267006</v>
      </c>
      <c r="CW1586" s="230">
        <f t="shared" si="383"/>
        <v>1</v>
      </c>
      <c r="CX1586" s="336" t="s">
        <v>539</v>
      </c>
      <c r="CY1586" s="230" t="s">
        <v>5921</v>
      </c>
    </row>
    <row r="1587" spans="1:103" ht="11.25" customHeight="1" x14ac:dyDescent="0.2">
      <c r="A1587" s="72">
        <v>1437</v>
      </c>
      <c r="B1587" s="224">
        <v>642</v>
      </c>
      <c r="C1587" s="46" t="s">
        <v>7481</v>
      </c>
      <c r="D1587" s="46"/>
      <c r="E1587" s="114"/>
      <c r="F1587" s="114" t="s">
        <v>4047</v>
      </c>
      <c r="G1587" s="225">
        <v>82097505</v>
      </c>
      <c r="H1587" s="47" t="s">
        <v>4048</v>
      </c>
      <c r="I1587" s="47" t="s">
        <v>8149</v>
      </c>
      <c r="J1587" s="47" t="s">
        <v>4049</v>
      </c>
      <c r="K1587" s="47" t="s">
        <v>4050</v>
      </c>
      <c r="L1587" s="47"/>
      <c r="M1587" s="47"/>
      <c r="N1587" s="47"/>
      <c r="O1587" s="47"/>
      <c r="P1587" s="53" t="s">
        <v>6178</v>
      </c>
      <c r="Q1587" s="53" t="s">
        <v>6173</v>
      </c>
      <c r="R1587" s="53" t="s">
        <v>6177</v>
      </c>
      <c r="S1587" s="53" t="s">
        <v>6176</v>
      </c>
      <c r="T1587" s="48">
        <v>401.83</v>
      </c>
      <c r="U1587" s="98">
        <v>32</v>
      </c>
      <c r="V1587" s="98">
        <v>343</v>
      </c>
      <c r="W1587" s="98">
        <v>45.086067549215727</v>
      </c>
      <c r="X1587" s="98">
        <v>32</v>
      </c>
      <c r="Y1587" s="233">
        <v>4.12</v>
      </c>
      <c r="Z1587" s="48">
        <v>2.44</v>
      </c>
      <c r="AA1587" s="48">
        <v>1.1000000000000001</v>
      </c>
      <c r="AB1587" s="48">
        <v>1.76</v>
      </c>
      <c r="AC1587" s="48">
        <v>0.83699999999999997</v>
      </c>
      <c r="AD1587" s="48">
        <v>1.91</v>
      </c>
      <c r="AE1587" s="48">
        <v>2.36</v>
      </c>
      <c r="AF1587" s="48">
        <f t="shared" ref="AF1587:AF1619" si="389">IF(AA1587=0,AD1587,AA1587)</f>
        <v>1.1000000000000001</v>
      </c>
      <c r="AG1587" s="49">
        <v>1.71</v>
      </c>
      <c r="AH1587" s="98">
        <v>3.2299999999999999E-13</v>
      </c>
      <c r="AI1587" s="98"/>
      <c r="AJ1587" s="483">
        <f t="shared" si="387"/>
        <v>-10.879363803981549</v>
      </c>
      <c r="AK1587" s="483"/>
      <c r="AL1587" s="483">
        <f t="shared" si="386"/>
        <v>-10.879363803981549</v>
      </c>
      <c r="AM1587" s="483">
        <v>-24.565580000000001</v>
      </c>
      <c r="AN1587" s="226">
        <v>-23.3</v>
      </c>
      <c r="AO1587" s="484">
        <v>4.34</v>
      </c>
      <c r="AP1587" s="484">
        <v>2.6</v>
      </c>
      <c r="AQ1587" s="226" t="s">
        <v>6311</v>
      </c>
      <c r="AR1587" s="226" t="s">
        <v>6311</v>
      </c>
      <c r="AS1587" s="224" t="s">
        <v>6</v>
      </c>
      <c r="AT1587" s="50" t="s">
        <v>266</v>
      </c>
      <c r="AU1587" s="48">
        <v>8</v>
      </c>
      <c r="AV1587" s="48">
        <v>144</v>
      </c>
      <c r="AW1587" s="48">
        <v>120</v>
      </c>
      <c r="AX1587" s="48">
        <v>26</v>
      </c>
      <c r="AY1587" s="48" t="s">
        <v>267</v>
      </c>
      <c r="AZ1587" s="48" t="s">
        <v>2253</v>
      </c>
      <c r="BA1587" s="48">
        <v>2</v>
      </c>
      <c r="BB1587" s="47" t="s">
        <v>2254</v>
      </c>
      <c r="BC1587" s="47" t="s">
        <v>270</v>
      </c>
      <c r="BD1587" s="47" t="s">
        <v>8374</v>
      </c>
      <c r="BE1587" s="48" t="s">
        <v>1712</v>
      </c>
      <c r="BF1587" s="48" t="s">
        <v>272</v>
      </c>
      <c r="BG1587" s="48" t="s">
        <v>272</v>
      </c>
      <c r="BH1587" s="48" t="s">
        <v>2255</v>
      </c>
      <c r="BI1587" s="98">
        <v>4.0182999999999994E-4</v>
      </c>
      <c r="BJ1587" s="98">
        <v>32.1464</v>
      </c>
      <c r="BK1587" s="48"/>
      <c r="BL1587" s="487">
        <v>132.88573332043649</v>
      </c>
      <c r="BM1587" s="48" t="s">
        <v>891</v>
      </c>
      <c r="BN1587" s="233"/>
      <c r="BO1587" s="233"/>
      <c r="BP1587" s="233"/>
      <c r="BQ1587" s="233"/>
      <c r="BR1587" s="233"/>
      <c r="BS1587" s="48"/>
      <c r="BT1587" s="233"/>
      <c r="BU1587" s="228"/>
      <c r="BV1587" s="233"/>
      <c r="BW1587" s="233"/>
      <c r="BX1587" s="233"/>
      <c r="BY1587" s="233"/>
      <c r="BZ1587" s="233"/>
      <c r="CA1587" s="233"/>
      <c r="CB1587" s="233"/>
      <c r="CC1587" s="48"/>
      <c r="CD1587" s="48"/>
      <c r="CE1587" s="48"/>
      <c r="CF1587" s="48"/>
      <c r="CG1587" s="233"/>
      <c r="CH1587" s="48"/>
      <c r="CI1587" s="98"/>
      <c r="CJ1587" s="98"/>
      <c r="CK1587" s="49">
        <f t="shared" si="384"/>
        <v>4.1337671814086958</v>
      </c>
      <c r="CL1587" s="229"/>
      <c r="CM1587" s="229"/>
      <c r="CN1587" s="229"/>
      <c r="CO1587" s="47" t="s">
        <v>892</v>
      </c>
      <c r="CP1587" s="500" t="s">
        <v>893</v>
      </c>
      <c r="CQ1587" s="224" t="s">
        <v>272</v>
      </c>
      <c r="CR1587" s="224"/>
      <c r="CS1587" s="230" t="s">
        <v>539</v>
      </c>
      <c r="CT1587" s="230"/>
      <c r="CU1587" s="230"/>
      <c r="CV1587" s="335">
        <f t="shared" si="385"/>
        <v>0.99544583530348651</v>
      </c>
      <c r="CW1587" s="230">
        <f t="shared" si="383"/>
        <v>0</v>
      </c>
      <c r="CX1587" s="336" t="s">
        <v>539</v>
      </c>
      <c r="CY1587" s="230" t="s">
        <v>5921</v>
      </c>
    </row>
    <row r="1588" spans="1:103" ht="11.25" customHeight="1" x14ac:dyDescent="0.2">
      <c r="A1588" s="72">
        <v>1441</v>
      </c>
      <c r="B1588" s="224">
        <v>231</v>
      </c>
      <c r="C1588" s="46" t="s">
        <v>7484</v>
      </c>
      <c r="D1588" s="46"/>
      <c r="E1588" s="114"/>
      <c r="F1588" s="114" t="s">
        <v>3731</v>
      </c>
      <c r="G1588" s="225">
        <v>83055996</v>
      </c>
      <c r="H1588" s="47" t="s">
        <v>3732</v>
      </c>
      <c r="I1588" s="47" t="s">
        <v>3732</v>
      </c>
      <c r="J1588" s="47" t="s">
        <v>3733</v>
      </c>
      <c r="K1588" s="47" t="s">
        <v>1391</v>
      </c>
      <c r="L1588" s="47"/>
      <c r="M1588" s="47"/>
      <c r="N1588" s="47"/>
      <c r="O1588" s="47"/>
      <c r="P1588" s="53"/>
      <c r="Q1588" s="53"/>
      <c r="R1588" s="53"/>
      <c r="S1588" s="53"/>
      <c r="T1588" s="48">
        <v>410.4</v>
      </c>
      <c r="U1588" s="98">
        <v>120.00000000000001</v>
      </c>
      <c r="V1588" s="98">
        <v>23.54</v>
      </c>
      <c r="W1588" s="98">
        <v>62.116553635821923</v>
      </c>
      <c r="X1588" s="98">
        <v>120.00000000000001</v>
      </c>
      <c r="Y1588" s="233">
        <v>3.96</v>
      </c>
      <c r="Z1588" s="48">
        <v>1.41</v>
      </c>
      <c r="AA1588" s="48">
        <v>2.4</v>
      </c>
      <c r="AB1588" s="48">
        <v>2.11</v>
      </c>
      <c r="AC1588" s="48">
        <v>0.92310000000000003</v>
      </c>
      <c r="AD1588" s="48">
        <v>2.15</v>
      </c>
      <c r="AE1588" s="48">
        <v>2.38</v>
      </c>
      <c r="AF1588" s="48">
        <f t="shared" si="389"/>
        <v>2.4</v>
      </c>
      <c r="AG1588" s="49">
        <v>1.39</v>
      </c>
      <c r="AH1588" s="98">
        <v>3.5899999999999997E-14</v>
      </c>
      <c r="AI1588" s="98">
        <v>3.7799999999999999E-15</v>
      </c>
      <c r="AJ1588" s="483">
        <f t="shared" si="387"/>
        <v>-11.833471877734333</v>
      </c>
      <c r="AK1588" s="483">
        <f>LOG10(AI1588*1000/(0.08206*298.15))</f>
        <v>-12.811074526475426</v>
      </c>
      <c r="AL1588" s="483">
        <f t="shared" si="386"/>
        <v>-12.811074526475426</v>
      </c>
      <c r="AM1588" s="483">
        <v>-26.052250000000001</v>
      </c>
      <c r="AN1588" s="226">
        <v>-13.2</v>
      </c>
      <c r="AO1588" s="484">
        <v>3.46</v>
      </c>
      <c r="AP1588" s="484">
        <v>-0.73</v>
      </c>
      <c r="AQ1588" s="226" t="s">
        <v>6311</v>
      </c>
      <c r="AR1588" s="226" t="s">
        <v>6312</v>
      </c>
      <c r="AS1588" s="224" t="s">
        <v>6</v>
      </c>
      <c r="AT1588" s="50" t="s">
        <v>266</v>
      </c>
      <c r="AU1588" s="48">
        <v>8</v>
      </c>
      <c r="AV1588" s="48">
        <v>144</v>
      </c>
      <c r="AW1588" s="48">
        <v>120</v>
      </c>
      <c r="AX1588" s="48">
        <v>26</v>
      </c>
      <c r="AY1588" s="48" t="s">
        <v>267</v>
      </c>
      <c r="AZ1588" s="48" t="s">
        <v>2253</v>
      </c>
      <c r="BA1588" s="48">
        <v>2</v>
      </c>
      <c r="BB1588" s="47" t="s">
        <v>2254</v>
      </c>
      <c r="BC1588" s="47" t="s">
        <v>270</v>
      </c>
      <c r="BD1588" s="47" t="s">
        <v>8374</v>
      </c>
      <c r="BE1588" s="48" t="s">
        <v>1712</v>
      </c>
      <c r="BF1588" s="48" t="s">
        <v>272</v>
      </c>
      <c r="BG1588" s="48" t="s">
        <v>272</v>
      </c>
      <c r="BH1588" s="48" t="s">
        <v>2255</v>
      </c>
      <c r="BI1588" s="98">
        <v>4.1039999999999995E-4</v>
      </c>
      <c r="BJ1588" s="98">
        <v>32.832000000000001</v>
      </c>
      <c r="BK1588" s="48"/>
      <c r="BL1588" s="487">
        <v>1142.0532449236289</v>
      </c>
      <c r="BM1588" s="48" t="s">
        <v>891</v>
      </c>
      <c r="BN1588" s="233"/>
      <c r="BO1588" s="233"/>
      <c r="BP1588" s="233"/>
      <c r="BQ1588" s="233"/>
      <c r="BR1588" s="233"/>
      <c r="BS1588" s="48"/>
      <c r="BT1588" s="233"/>
      <c r="BU1588" s="228"/>
      <c r="BV1588" s="233"/>
      <c r="BW1588" s="233"/>
      <c r="BX1588" s="233"/>
      <c r="BY1588" s="233"/>
      <c r="BZ1588" s="233"/>
      <c r="CA1588" s="233"/>
      <c r="CB1588" s="233"/>
      <c r="CC1588" s="48"/>
      <c r="CD1588" s="48"/>
      <c r="CE1588" s="48"/>
      <c r="CF1588" s="48"/>
      <c r="CG1588" s="233"/>
      <c r="CH1588" s="48"/>
      <c r="CI1588" s="98"/>
      <c r="CJ1588" s="98"/>
      <c r="CK1588" s="49">
        <f t="shared" si="384"/>
        <v>34.784760140217742</v>
      </c>
      <c r="CL1588" s="229"/>
      <c r="CM1588" s="229"/>
      <c r="CN1588" s="229"/>
      <c r="CO1588" s="47" t="s">
        <v>892</v>
      </c>
      <c r="CP1588" s="500" t="s">
        <v>893</v>
      </c>
      <c r="CQ1588" s="224" t="s">
        <v>272</v>
      </c>
      <c r="CR1588" s="224"/>
      <c r="CS1588" s="230" t="s">
        <v>539</v>
      </c>
      <c r="CT1588" s="230"/>
      <c r="CU1588" s="230"/>
      <c r="CV1588" s="335">
        <f t="shared" si="385"/>
        <v>3.6549707602339185</v>
      </c>
      <c r="CW1588" s="230">
        <f t="shared" ref="CW1588:CW1619" si="390">IF(CV1588&lt;1,0,1)</f>
        <v>1</v>
      </c>
      <c r="CX1588" s="336" t="s">
        <v>539</v>
      </c>
      <c r="CY1588" s="230" t="s">
        <v>5921</v>
      </c>
    </row>
    <row r="1589" spans="1:103" ht="11.25" customHeight="1" x14ac:dyDescent="0.2">
      <c r="A1589" s="72">
        <v>1443</v>
      </c>
      <c r="B1589" s="224">
        <v>463</v>
      </c>
      <c r="C1589" s="46" t="s">
        <v>7485</v>
      </c>
      <c r="D1589" s="46" t="s">
        <v>7486</v>
      </c>
      <c r="E1589" s="114"/>
      <c r="F1589" s="114" t="s">
        <v>3466</v>
      </c>
      <c r="G1589" s="225">
        <v>84087014</v>
      </c>
      <c r="H1589" s="47" t="s">
        <v>3467</v>
      </c>
      <c r="I1589" s="47" t="s">
        <v>8152</v>
      </c>
      <c r="J1589" s="47" t="s">
        <v>3468</v>
      </c>
      <c r="K1589" s="47" t="s">
        <v>1958</v>
      </c>
      <c r="L1589" s="47" t="s">
        <v>6033</v>
      </c>
      <c r="M1589" s="47" t="s">
        <v>6082</v>
      </c>
      <c r="N1589" s="47"/>
      <c r="O1589" s="47" t="s">
        <v>6083</v>
      </c>
      <c r="P1589" s="53"/>
      <c r="Q1589" s="53"/>
      <c r="R1589" s="53"/>
      <c r="S1589" s="53"/>
      <c r="T1589" s="48">
        <v>242.06</v>
      </c>
      <c r="U1589" s="98">
        <v>6.5000000000000002E-2</v>
      </c>
      <c r="V1589" s="98">
        <v>76.02</v>
      </c>
      <c r="W1589" s="98">
        <v>142.53549521537383</v>
      </c>
      <c r="X1589" s="98">
        <v>6.5000000000000002E-2</v>
      </c>
      <c r="Y1589" s="233">
        <v>3.39</v>
      </c>
      <c r="Z1589" s="48">
        <v>2.97</v>
      </c>
      <c r="AA1589" s="48"/>
      <c r="AB1589" s="48">
        <v>3.12</v>
      </c>
      <c r="AC1589" s="48">
        <v>0.62870000000000004</v>
      </c>
      <c r="AD1589" s="48">
        <v>2.7</v>
      </c>
      <c r="AE1589" s="48">
        <v>2.11</v>
      </c>
      <c r="AF1589" s="48">
        <f t="shared" si="389"/>
        <v>2.7</v>
      </c>
      <c r="AG1589" s="49">
        <v>3.09</v>
      </c>
      <c r="AH1589" s="98">
        <v>7.6100000000000001E-12</v>
      </c>
      <c r="AI1589" s="98"/>
      <c r="AJ1589" s="483">
        <f t="shared" si="387"/>
        <v>-9.5071816695420797</v>
      </c>
      <c r="AK1589" s="483"/>
      <c r="AL1589" s="483">
        <f t="shared" si="386"/>
        <v>-9.5071816695420797</v>
      </c>
      <c r="AM1589" s="483">
        <v>-12.59633</v>
      </c>
      <c r="AN1589" s="226">
        <v>-9.61</v>
      </c>
      <c r="AO1589" s="484">
        <v>-3.26</v>
      </c>
      <c r="AP1589" s="484">
        <v>3.05</v>
      </c>
      <c r="AQ1589" s="226" t="s">
        <v>6311</v>
      </c>
      <c r="AR1589" s="226" t="s">
        <v>6311</v>
      </c>
      <c r="AS1589" s="224" t="s">
        <v>6</v>
      </c>
      <c r="AT1589" s="50" t="s">
        <v>266</v>
      </c>
      <c r="AU1589" s="48">
        <v>8</v>
      </c>
      <c r="AV1589" s="48">
        <v>144</v>
      </c>
      <c r="AW1589" s="48">
        <v>120</v>
      </c>
      <c r="AX1589" s="48">
        <v>26</v>
      </c>
      <c r="AY1589" s="48" t="s">
        <v>267</v>
      </c>
      <c r="AZ1589" s="48" t="s">
        <v>2253</v>
      </c>
      <c r="BA1589" s="48">
        <v>3</v>
      </c>
      <c r="BB1589" s="47" t="s">
        <v>2254</v>
      </c>
      <c r="BC1589" s="47" t="s">
        <v>270</v>
      </c>
      <c r="BD1589" s="47" t="s">
        <v>8374</v>
      </c>
      <c r="BE1589" s="48" t="s">
        <v>1712</v>
      </c>
      <c r="BF1589" s="48" t="s">
        <v>272</v>
      </c>
      <c r="BG1589" s="48" t="s">
        <v>272</v>
      </c>
      <c r="BH1589" s="48" t="s">
        <v>2255</v>
      </c>
      <c r="BI1589" s="98">
        <v>2.4206E-4</v>
      </c>
      <c r="BJ1589" s="98">
        <v>19.364799999999999</v>
      </c>
      <c r="BK1589" s="48"/>
      <c r="BL1589" s="487">
        <v>26.752602023323405</v>
      </c>
      <c r="BM1589" s="48" t="s">
        <v>891</v>
      </c>
      <c r="BN1589" s="233"/>
      <c r="BO1589" s="233"/>
      <c r="BP1589" s="233"/>
      <c r="BQ1589" s="233"/>
      <c r="BR1589" s="233"/>
      <c r="BS1589" s="48"/>
      <c r="BT1589" s="233"/>
      <c r="BU1589" s="228"/>
      <c r="BV1589" s="233"/>
      <c r="BW1589" s="233"/>
      <c r="BX1589" s="233"/>
      <c r="BY1589" s="233"/>
      <c r="BZ1589" s="233"/>
      <c r="CA1589" s="233"/>
      <c r="CB1589" s="233"/>
      <c r="CC1589" s="48"/>
      <c r="CD1589" s="48"/>
      <c r="CE1589" s="48"/>
      <c r="CF1589" s="48"/>
      <c r="CG1589" s="233"/>
      <c r="CH1589" s="48"/>
      <c r="CI1589" s="98"/>
      <c r="CJ1589" s="98"/>
      <c r="CK1589" s="49">
        <f t="shared" si="384"/>
        <v>1.3815067557280947</v>
      </c>
      <c r="CL1589" s="229"/>
      <c r="CM1589" s="229"/>
      <c r="CN1589" s="229"/>
      <c r="CO1589" s="47" t="s">
        <v>892</v>
      </c>
      <c r="CP1589" s="500" t="s">
        <v>893</v>
      </c>
      <c r="CQ1589" s="224">
        <v>1.4996870826184039</v>
      </c>
      <c r="CR1589" s="224">
        <f>10^(CJ1589-CQ1589)</f>
        <v>3.1645569620253153E-2</v>
      </c>
      <c r="CS1589" s="230" t="s">
        <v>539</v>
      </c>
      <c r="CT1589" s="230"/>
      <c r="CU1589" s="230"/>
      <c r="CV1589" s="335">
        <f t="shared" si="385"/>
        <v>3.3566058002148231E-3</v>
      </c>
      <c r="CW1589" s="230">
        <f t="shared" si="390"/>
        <v>0</v>
      </c>
      <c r="CX1589" s="336" t="s">
        <v>539</v>
      </c>
      <c r="CY1589" s="230" t="s">
        <v>5921</v>
      </c>
    </row>
    <row r="1590" spans="1:103" ht="11.25" customHeight="1" x14ac:dyDescent="0.2">
      <c r="A1590" s="72">
        <v>1449</v>
      </c>
      <c r="B1590" s="224">
        <v>250</v>
      </c>
      <c r="C1590" s="46" t="s">
        <v>7489</v>
      </c>
      <c r="D1590" s="46"/>
      <c r="E1590" s="114"/>
      <c r="F1590" s="114" t="s">
        <v>2996</v>
      </c>
      <c r="G1590" s="225">
        <v>87818313</v>
      </c>
      <c r="H1590" s="47" t="s">
        <v>2997</v>
      </c>
      <c r="I1590" s="47" t="s">
        <v>2997</v>
      </c>
      <c r="J1590" s="47" t="s">
        <v>2998</v>
      </c>
      <c r="K1590" s="47" t="s">
        <v>426</v>
      </c>
      <c r="L1590" s="47"/>
      <c r="M1590" s="47"/>
      <c r="N1590" s="47"/>
      <c r="O1590" s="47"/>
      <c r="P1590" s="53"/>
      <c r="Q1590" s="53"/>
      <c r="R1590" s="53"/>
      <c r="S1590" s="53"/>
      <c r="T1590" s="48">
        <v>274.39999999999998</v>
      </c>
      <c r="U1590" s="98">
        <v>63.000000000000007</v>
      </c>
      <c r="V1590" s="98">
        <v>1.9550000000000001</v>
      </c>
      <c r="W1590" s="98">
        <v>23.355227768273167</v>
      </c>
      <c r="X1590" s="98">
        <v>63.000000000000007</v>
      </c>
      <c r="Y1590" s="233">
        <v>7</v>
      </c>
      <c r="Z1590" s="48">
        <v>4.55</v>
      </c>
      <c r="AA1590" s="48">
        <v>4.62</v>
      </c>
      <c r="AB1590" s="48">
        <v>4.07</v>
      </c>
      <c r="AC1590" s="48">
        <v>0.71719999999999995</v>
      </c>
      <c r="AD1590" s="48">
        <v>4.2699999999999996</v>
      </c>
      <c r="AE1590" s="48">
        <v>4.6100000000000003</v>
      </c>
      <c r="AF1590" s="48">
        <f t="shared" si="389"/>
        <v>4.62</v>
      </c>
      <c r="AG1590" s="49">
        <v>3.96</v>
      </c>
      <c r="AH1590" s="98">
        <v>2.1199999999999999E-7</v>
      </c>
      <c r="AI1590" s="98">
        <v>4.34E-7</v>
      </c>
      <c r="AJ1590" s="483">
        <f t="shared" si="387"/>
        <v>-5.0622304653839008</v>
      </c>
      <c r="AK1590" s="483">
        <f>LOG10(AI1590*1000/(0.08206*298.15))</f>
        <v>-4.7510765968001412</v>
      </c>
      <c r="AL1590" s="483">
        <f t="shared" si="386"/>
        <v>-4.7510765968001412</v>
      </c>
      <c r="AM1590" s="483">
        <v>-7.2987899999999994</v>
      </c>
      <c r="AN1590" s="226">
        <v>-4.68</v>
      </c>
      <c r="AO1590" s="484"/>
      <c r="AP1590" s="484"/>
      <c r="AQ1590" s="226" t="s">
        <v>6311</v>
      </c>
      <c r="AR1590" s="226" t="s">
        <v>6311</v>
      </c>
      <c r="AS1590" s="224" t="s">
        <v>6</v>
      </c>
      <c r="AT1590" s="50" t="s">
        <v>266</v>
      </c>
      <c r="AU1590" s="48">
        <v>8</v>
      </c>
      <c r="AV1590" s="48">
        <v>144</v>
      </c>
      <c r="AW1590" s="48">
        <v>120</v>
      </c>
      <c r="AX1590" s="48">
        <v>26</v>
      </c>
      <c r="AY1590" s="48" t="s">
        <v>267</v>
      </c>
      <c r="AZ1590" s="48" t="s">
        <v>2253</v>
      </c>
      <c r="BA1590" s="48">
        <v>4</v>
      </c>
      <c r="BB1590" s="47" t="s">
        <v>2254</v>
      </c>
      <c r="BC1590" s="47" t="s">
        <v>270</v>
      </c>
      <c r="BD1590" s="47" t="s">
        <v>8374</v>
      </c>
      <c r="BE1590" s="48" t="s">
        <v>1712</v>
      </c>
      <c r="BF1590" s="48" t="s">
        <v>272</v>
      </c>
      <c r="BG1590" s="48" t="s">
        <v>272</v>
      </c>
      <c r="BH1590" s="48" t="s">
        <v>2255</v>
      </c>
      <c r="BI1590" s="98">
        <v>2.7439999999999995E-4</v>
      </c>
      <c r="BJ1590" s="98">
        <v>21.951999999999998</v>
      </c>
      <c r="BK1590" s="48"/>
      <c r="BL1590" s="487">
        <v>1.1556574066119707</v>
      </c>
      <c r="BM1590" s="48" t="s">
        <v>891</v>
      </c>
      <c r="BN1590" s="233"/>
      <c r="BO1590" s="233"/>
      <c r="BP1590" s="233"/>
      <c r="BQ1590" s="233"/>
      <c r="BR1590" s="233"/>
      <c r="BS1590" s="48"/>
      <c r="BT1590" s="233"/>
      <c r="BU1590" s="228"/>
      <c r="BV1590" s="233"/>
      <c r="BW1590" s="233"/>
      <c r="BX1590" s="233"/>
      <c r="BY1590" s="233"/>
      <c r="BZ1590" s="233"/>
      <c r="CA1590" s="233"/>
      <c r="CB1590" s="233"/>
      <c r="CC1590" s="48"/>
      <c r="CD1590" s="48"/>
      <c r="CE1590" s="48"/>
      <c r="CF1590" s="48"/>
      <c r="CG1590" s="233"/>
      <c r="CH1590" s="48"/>
      <c r="CI1590" s="98"/>
      <c r="CJ1590" s="98"/>
      <c r="CK1590" s="49">
        <f t="shared" si="384"/>
        <v>5.2644743377003041E-2</v>
      </c>
      <c r="CL1590" s="229"/>
      <c r="CM1590" s="229"/>
      <c r="CN1590" s="229"/>
      <c r="CO1590" s="47" t="s">
        <v>892</v>
      </c>
      <c r="CP1590" s="500" t="s">
        <v>893</v>
      </c>
      <c r="CQ1590" s="224" t="s">
        <v>272</v>
      </c>
      <c r="CR1590" s="224"/>
      <c r="CS1590" s="230" t="s">
        <v>539</v>
      </c>
      <c r="CT1590" s="230"/>
      <c r="CU1590" s="230"/>
      <c r="CV1590" s="335">
        <f t="shared" si="385"/>
        <v>2.8698979591836742</v>
      </c>
      <c r="CW1590" s="230">
        <f t="shared" si="390"/>
        <v>1</v>
      </c>
      <c r="CX1590" s="336" t="s">
        <v>539</v>
      </c>
      <c r="CY1590" s="230" t="s">
        <v>5921</v>
      </c>
    </row>
    <row r="1591" spans="1:103" ht="11.25" customHeight="1" x14ac:dyDescent="0.2">
      <c r="A1591" s="72">
        <v>1453</v>
      </c>
      <c r="B1591" s="224">
        <v>271</v>
      </c>
      <c r="C1591" s="46" t="s">
        <v>7491</v>
      </c>
      <c r="D1591" s="46" t="s">
        <v>7492</v>
      </c>
      <c r="E1591" s="114"/>
      <c r="F1591" s="114" t="s">
        <v>3787</v>
      </c>
      <c r="G1591" s="225">
        <v>94361065</v>
      </c>
      <c r="H1591" s="47" t="s">
        <v>3788</v>
      </c>
      <c r="I1591" s="47" t="s">
        <v>8156</v>
      </c>
      <c r="J1591" s="47" t="s">
        <v>3789</v>
      </c>
      <c r="K1591" s="47" t="s">
        <v>1265</v>
      </c>
      <c r="L1591" s="47" t="s">
        <v>6007</v>
      </c>
      <c r="M1591" s="47" t="s">
        <v>6082</v>
      </c>
      <c r="N1591" s="47" t="s">
        <v>6082</v>
      </c>
      <c r="O1591" s="47" t="s">
        <v>6083</v>
      </c>
      <c r="P1591" s="53"/>
      <c r="Q1591" s="53" t="s">
        <v>6173</v>
      </c>
      <c r="R1591" s="53" t="s">
        <v>6174</v>
      </c>
      <c r="S1591" s="53" t="s">
        <v>6182</v>
      </c>
      <c r="T1591" s="48">
        <v>291.77999999999997</v>
      </c>
      <c r="U1591" s="98">
        <v>140</v>
      </c>
      <c r="V1591" s="98">
        <v>148</v>
      </c>
      <c r="W1591" s="98">
        <v>32.738254459622638</v>
      </c>
      <c r="X1591" s="98">
        <v>140</v>
      </c>
      <c r="Y1591" s="233">
        <v>7.04</v>
      </c>
      <c r="Z1591" s="48">
        <v>3.25</v>
      </c>
      <c r="AA1591" s="48">
        <v>2.9</v>
      </c>
      <c r="AB1591" s="48">
        <v>3.03</v>
      </c>
      <c r="AC1591" s="48">
        <v>0.82089999999999996</v>
      </c>
      <c r="AD1591" s="48">
        <v>2.95</v>
      </c>
      <c r="AE1591" s="48">
        <v>2.7</v>
      </c>
      <c r="AF1591" s="48">
        <f t="shared" si="389"/>
        <v>2.9</v>
      </c>
      <c r="AG1591" s="49">
        <v>3.01</v>
      </c>
      <c r="AH1591" s="98">
        <v>1.72E-10</v>
      </c>
      <c r="AI1591" s="98">
        <v>7.1000000000000003E-10</v>
      </c>
      <c r="AJ1591" s="483">
        <f t="shared" si="387"/>
        <v>-8.1530378794051028</v>
      </c>
      <c r="AK1591" s="483">
        <f>LOG10(AI1591*1000/(0.08206*298.15))</f>
        <v>-7.537307977593577</v>
      </c>
      <c r="AL1591" s="483">
        <f t="shared" si="386"/>
        <v>-7.537307977593577</v>
      </c>
      <c r="AM1591" s="483">
        <v>-13.853300000000001</v>
      </c>
      <c r="AN1591" s="226">
        <v>-7.8</v>
      </c>
      <c r="AO1591" s="484">
        <v>12.59</v>
      </c>
      <c r="AP1591" s="484">
        <v>2.89</v>
      </c>
      <c r="AQ1591" s="226" t="s">
        <v>6311</v>
      </c>
      <c r="AR1591" s="226" t="s">
        <v>6311</v>
      </c>
      <c r="AS1591" s="224" t="s">
        <v>6</v>
      </c>
      <c r="AT1591" s="50" t="s">
        <v>266</v>
      </c>
      <c r="AU1591" s="48">
        <v>8</v>
      </c>
      <c r="AV1591" s="48">
        <v>144</v>
      </c>
      <c r="AW1591" s="48">
        <v>120</v>
      </c>
      <c r="AX1591" s="48">
        <v>26</v>
      </c>
      <c r="AY1591" s="48" t="s">
        <v>267</v>
      </c>
      <c r="AZ1591" s="48" t="s">
        <v>2253</v>
      </c>
      <c r="BA1591" s="48">
        <v>2</v>
      </c>
      <c r="BB1591" s="47" t="s">
        <v>2254</v>
      </c>
      <c r="BC1591" s="47" t="s">
        <v>270</v>
      </c>
      <c r="BD1591" s="47" t="s">
        <v>8374</v>
      </c>
      <c r="BE1591" s="48" t="s">
        <v>1712</v>
      </c>
      <c r="BF1591" s="48" t="s">
        <v>272</v>
      </c>
      <c r="BG1591" s="48" t="s">
        <v>272</v>
      </c>
      <c r="BH1591" s="48" t="s">
        <v>2255</v>
      </c>
      <c r="BI1591" s="98">
        <v>2.9177999999999995E-4</v>
      </c>
      <c r="BJ1591" s="98">
        <v>23.342399999999998</v>
      </c>
      <c r="BK1591" s="48"/>
      <c r="BL1591" s="487">
        <v>18.073011292485916</v>
      </c>
      <c r="BM1591" s="48" t="s">
        <v>891</v>
      </c>
      <c r="BN1591" s="233"/>
      <c r="BO1591" s="233"/>
      <c r="BP1591" s="233"/>
      <c r="BQ1591" s="233"/>
      <c r="BR1591" s="233"/>
      <c r="BS1591" s="48"/>
      <c r="BT1591" s="233"/>
      <c r="BU1591" s="228"/>
      <c r="BV1591" s="233"/>
      <c r="BW1591" s="233"/>
      <c r="BX1591" s="233"/>
      <c r="BY1591" s="233"/>
      <c r="BZ1591" s="233"/>
      <c r="CA1591" s="233"/>
      <c r="CB1591" s="233"/>
      <c r="CC1591" s="48"/>
      <c r="CD1591" s="48"/>
      <c r="CE1591" s="48"/>
      <c r="CF1591" s="48"/>
      <c r="CG1591" s="233"/>
      <c r="CH1591" s="48"/>
      <c r="CI1591" s="98"/>
      <c r="CJ1591" s="98"/>
      <c r="CK1591" s="49">
        <f t="shared" si="384"/>
        <v>0.77425677276055238</v>
      </c>
      <c r="CL1591" s="229"/>
      <c r="CM1591" s="229"/>
      <c r="CN1591" s="229"/>
      <c r="CO1591" s="47" t="s">
        <v>892</v>
      </c>
      <c r="CP1591" s="500" t="s">
        <v>893</v>
      </c>
      <c r="CQ1591" s="224">
        <v>1.3004864478433742</v>
      </c>
      <c r="CR1591" s="224">
        <f>10^(CJ1591-CQ1591)</f>
        <v>5.0062617432175854E-2</v>
      </c>
      <c r="CS1591" s="230" t="s">
        <v>539</v>
      </c>
      <c r="CT1591" s="230"/>
      <c r="CU1591" s="230"/>
      <c r="CV1591" s="335">
        <f t="shared" si="385"/>
        <v>5.9976694770032219</v>
      </c>
      <c r="CW1591" s="230">
        <f t="shared" si="390"/>
        <v>1</v>
      </c>
      <c r="CX1591" s="336" t="s">
        <v>539</v>
      </c>
      <c r="CY1591" s="230" t="s">
        <v>5921</v>
      </c>
    </row>
    <row r="1592" spans="1:103" ht="11.25" customHeight="1" x14ac:dyDescent="0.2">
      <c r="A1592" s="72">
        <v>1456</v>
      </c>
      <c r="B1592" s="224">
        <v>328</v>
      </c>
      <c r="C1592" s="46" t="s">
        <v>7493</v>
      </c>
      <c r="D1592" s="46"/>
      <c r="E1592" s="114"/>
      <c r="F1592" s="114" t="s">
        <v>3850</v>
      </c>
      <c r="G1592" s="225">
        <v>97780068</v>
      </c>
      <c r="H1592" s="47" t="s">
        <v>3851</v>
      </c>
      <c r="I1592" s="47" t="s">
        <v>3851</v>
      </c>
      <c r="J1592" s="47" t="s">
        <v>3852</v>
      </c>
      <c r="K1592" s="47" t="s">
        <v>3853</v>
      </c>
      <c r="L1592" s="47"/>
      <c r="M1592" s="47"/>
      <c r="N1592" s="47"/>
      <c r="O1592" s="47"/>
      <c r="P1592" s="53"/>
      <c r="Q1592" s="53"/>
      <c r="R1592" s="53"/>
      <c r="S1592" s="53"/>
      <c r="T1592" s="48">
        <v>410.41</v>
      </c>
      <c r="U1592" s="98">
        <v>1.7000000000000002</v>
      </c>
      <c r="V1592" s="98">
        <v>115.80000000000001</v>
      </c>
      <c r="W1592" s="98">
        <v>290.54802936909402</v>
      </c>
      <c r="X1592" s="98">
        <v>1.7000000000000002</v>
      </c>
      <c r="Y1592" s="233">
        <v>3.9</v>
      </c>
      <c r="Z1592" s="48">
        <v>2.4300000000000002</v>
      </c>
      <c r="AA1592" s="48">
        <v>1.59</v>
      </c>
      <c r="AB1592" s="48">
        <v>1.63</v>
      </c>
      <c r="AC1592" s="48">
        <v>0.73470000000000002</v>
      </c>
      <c r="AD1592" s="48">
        <v>1.26</v>
      </c>
      <c r="AE1592" s="48">
        <v>0.16</v>
      </c>
      <c r="AF1592" s="48">
        <f t="shared" si="389"/>
        <v>1.59</v>
      </c>
      <c r="AG1592" s="49">
        <v>1.24</v>
      </c>
      <c r="AH1592" s="98">
        <v>7.0199999999999999E-17</v>
      </c>
      <c r="AI1592" s="98">
        <v>1.8399999999999999E-15</v>
      </c>
      <c r="AJ1592" s="483">
        <f t="shared" si="387"/>
        <v>-14.542229214182846</v>
      </c>
      <c r="AK1592" s="483">
        <f>LOG10(AI1592*1000/(0.08206*298.15))</f>
        <v>-13.123748503303116</v>
      </c>
      <c r="AL1592" s="483">
        <f t="shared" si="386"/>
        <v>-13.123748503303116</v>
      </c>
      <c r="AM1592" s="483">
        <v>-27.60098</v>
      </c>
      <c r="AN1592" s="226">
        <v>-25.3</v>
      </c>
      <c r="AO1592" s="484">
        <v>2.54</v>
      </c>
      <c r="AP1592" s="484">
        <v>4.17</v>
      </c>
      <c r="AQ1592" s="226" t="s">
        <v>6311</v>
      </c>
      <c r="AR1592" s="226" t="s">
        <v>6312</v>
      </c>
      <c r="AS1592" s="224" t="s">
        <v>6</v>
      </c>
      <c r="AT1592" s="50" t="s">
        <v>266</v>
      </c>
      <c r="AU1592" s="48">
        <v>8</v>
      </c>
      <c r="AV1592" s="48">
        <v>144</v>
      </c>
      <c r="AW1592" s="48">
        <v>120</v>
      </c>
      <c r="AX1592" s="48">
        <v>26</v>
      </c>
      <c r="AY1592" s="48" t="s">
        <v>267</v>
      </c>
      <c r="AZ1592" s="48" t="s">
        <v>2253</v>
      </c>
      <c r="BA1592" s="48">
        <v>3</v>
      </c>
      <c r="BB1592" s="47" t="s">
        <v>2254</v>
      </c>
      <c r="BC1592" s="47" t="s">
        <v>270</v>
      </c>
      <c r="BD1592" s="47" t="s">
        <v>8374</v>
      </c>
      <c r="BE1592" s="48" t="s">
        <v>1712</v>
      </c>
      <c r="BF1592" s="48" t="s">
        <v>272</v>
      </c>
      <c r="BG1592" s="48" t="s">
        <v>272</v>
      </c>
      <c r="BH1592" s="48" t="s">
        <v>2255</v>
      </c>
      <c r="BI1592" s="98">
        <v>4.1041E-4</v>
      </c>
      <c r="BJ1592" s="98">
        <v>32.832800000000006</v>
      </c>
      <c r="BK1592" s="48"/>
      <c r="BL1592" s="487">
        <v>138.55906185607867</v>
      </c>
      <c r="BM1592" s="48" t="s">
        <v>891</v>
      </c>
      <c r="BN1592" s="233"/>
      <c r="BO1592" s="233"/>
      <c r="BP1592" s="233"/>
      <c r="BQ1592" s="233"/>
      <c r="BR1592" s="233"/>
      <c r="BS1592" s="48"/>
      <c r="BT1592" s="233"/>
      <c r="BU1592" s="228"/>
      <c r="BV1592" s="233"/>
      <c r="BW1592" s="233"/>
      <c r="BX1592" s="233"/>
      <c r="BY1592" s="233"/>
      <c r="BZ1592" s="233"/>
      <c r="CA1592" s="233"/>
      <c r="CB1592" s="233"/>
      <c r="CC1592" s="48"/>
      <c r="CD1592" s="48"/>
      <c r="CE1592" s="48"/>
      <c r="CF1592" s="48"/>
      <c r="CG1592" s="233"/>
      <c r="CH1592" s="48"/>
      <c r="CI1592" s="98"/>
      <c r="CJ1592" s="98"/>
      <c r="CK1592" s="49">
        <f t="shared" si="384"/>
        <v>4.2201415004531642</v>
      </c>
      <c r="CL1592" s="229"/>
      <c r="CM1592" s="229"/>
      <c r="CN1592" s="229"/>
      <c r="CO1592" s="47" t="s">
        <v>892</v>
      </c>
      <c r="CP1592" s="500" t="s">
        <v>893</v>
      </c>
      <c r="CQ1592" s="224" t="s">
        <v>272</v>
      </c>
      <c r="CR1592" s="224"/>
      <c r="CS1592" s="230" t="s">
        <v>539</v>
      </c>
      <c r="CT1592" s="230"/>
      <c r="CU1592" s="230"/>
      <c r="CV1592" s="335">
        <f t="shared" si="385"/>
        <v>5.1777490801881043E-2</v>
      </c>
      <c r="CW1592" s="230">
        <f t="shared" si="390"/>
        <v>0</v>
      </c>
      <c r="CX1592" s="336" t="s">
        <v>539</v>
      </c>
      <c r="CY1592" s="230" t="s">
        <v>5921</v>
      </c>
    </row>
    <row r="1593" spans="1:103" ht="11.25" customHeight="1" x14ac:dyDescent="0.2">
      <c r="A1593" s="72">
        <v>1457</v>
      </c>
      <c r="B1593" s="224">
        <v>349</v>
      </c>
      <c r="C1593" s="46" t="s">
        <v>7494</v>
      </c>
      <c r="D1593" s="46" t="s">
        <v>7495</v>
      </c>
      <c r="E1593" s="114"/>
      <c r="F1593" s="114" t="s">
        <v>3178</v>
      </c>
      <c r="G1593" s="225">
        <v>98886443</v>
      </c>
      <c r="H1593" s="47" t="s">
        <v>3179</v>
      </c>
      <c r="I1593" s="47" t="s">
        <v>3179</v>
      </c>
      <c r="J1593" s="47" t="s">
        <v>3180</v>
      </c>
      <c r="K1593" s="47" t="s">
        <v>3181</v>
      </c>
      <c r="L1593" s="47" t="s">
        <v>617</v>
      </c>
      <c r="M1593" s="47" t="s">
        <v>946</v>
      </c>
      <c r="N1593" s="47" t="s">
        <v>6376</v>
      </c>
      <c r="O1593" s="47" t="s">
        <v>918</v>
      </c>
      <c r="P1593" s="53"/>
      <c r="Q1593" s="53"/>
      <c r="R1593" s="53"/>
      <c r="S1593" s="53"/>
      <c r="T1593" s="48">
        <v>283.35000000000002</v>
      </c>
      <c r="U1593" s="98">
        <v>9850</v>
      </c>
      <c r="V1593" s="98">
        <v>563.5</v>
      </c>
      <c r="W1593" s="98">
        <v>11280.366677633347</v>
      </c>
      <c r="X1593" s="98">
        <v>9850</v>
      </c>
      <c r="Y1593" s="233">
        <v>7</v>
      </c>
      <c r="Z1593" s="48">
        <v>2.4700000000000002</v>
      </c>
      <c r="AA1593" s="48">
        <v>1.68</v>
      </c>
      <c r="AB1593" s="48">
        <v>1.5</v>
      </c>
      <c r="AC1593" s="48">
        <v>0.82110000000000005</v>
      </c>
      <c r="AD1593" s="48">
        <v>1.38</v>
      </c>
      <c r="AE1593" s="48">
        <v>0.94</v>
      </c>
      <c r="AF1593" s="48">
        <f t="shared" si="389"/>
        <v>1.68</v>
      </c>
      <c r="AG1593" s="49">
        <v>2.58</v>
      </c>
      <c r="AH1593" s="98">
        <v>5.8500000000000005E-10</v>
      </c>
      <c r="AI1593" s="98">
        <v>1.7399999999999999E-10</v>
      </c>
      <c r="AJ1593" s="483">
        <f t="shared" si="387"/>
        <v>-7.6214104602304715</v>
      </c>
      <c r="AK1593" s="483">
        <f>LOG10(AI1593*1000/(0.08206*298.15))</f>
        <v>-8.1480170780300529</v>
      </c>
      <c r="AL1593" s="483">
        <f t="shared" si="386"/>
        <v>-8.1480170780300529</v>
      </c>
      <c r="AM1593" s="483">
        <v>-14.637880000000001</v>
      </c>
      <c r="AN1593" s="226">
        <v>-7.45</v>
      </c>
      <c r="AO1593" s="484"/>
      <c r="AP1593" s="484">
        <v>-2.64</v>
      </c>
      <c r="AQ1593" s="226" t="s">
        <v>6311</v>
      </c>
      <c r="AR1593" s="226" t="s">
        <v>6311</v>
      </c>
      <c r="AS1593" s="224" t="s">
        <v>6</v>
      </c>
      <c r="AT1593" s="50" t="s">
        <v>266</v>
      </c>
      <c r="AU1593" s="48">
        <v>8</v>
      </c>
      <c r="AV1593" s="48">
        <v>144</v>
      </c>
      <c r="AW1593" s="48">
        <v>120</v>
      </c>
      <c r="AX1593" s="48">
        <v>26</v>
      </c>
      <c r="AY1593" s="48" t="s">
        <v>267</v>
      </c>
      <c r="AZ1593" s="48" t="s">
        <v>2253</v>
      </c>
      <c r="BA1593" s="48">
        <v>2</v>
      </c>
      <c r="BB1593" s="47" t="s">
        <v>2254</v>
      </c>
      <c r="BC1593" s="47" t="s">
        <v>270</v>
      </c>
      <c r="BD1593" s="47" t="s">
        <v>8374</v>
      </c>
      <c r="BE1593" s="48" t="s">
        <v>1712</v>
      </c>
      <c r="BF1593" s="48" t="s">
        <v>272</v>
      </c>
      <c r="BG1593" s="48" t="s">
        <v>272</v>
      </c>
      <c r="BH1593" s="48" t="s">
        <v>2255</v>
      </c>
      <c r="BI1593" s="98">
        <v>2.8335000000000003E-4</v>
      </c>
      <c r="BJ1593" s="98">
        <v>22.668000000000003</v>
      </c>
      <c r="BK1593" s="48"/>
      <c r="BL1593" s="487">
        <v>88.067611310500411</v>
      </c>
      <c r="BM1593" s="48" t="s">
        <v>891</v>
      </c>
      <c r="BN1593" s="233"/>
      <c r="BO1593" s="233"/>
      <c r="BP1593" s="233"/>
      <c r="BQ1593" s="233"/>
      <c r="BR1593" s="233"/>
      <c r="BS1593" s="48"/>
      <c r="BT1593" s="233"/>
      <c r="BU1593" s="228"/>
      <c r="BV1593" s="233"/>
      <c r="BW1593" s="233"/>
      <c r="BX1593" s="233"/>
      <c r="BY1593" s="233"/>
      <c r="BZ1593" s="233"/>
      <c r="CA1593" s="233"/>
      <c r="CB1593" s="233"/>
      <c r="CC1593" s="48"/>
      <c r="CD1593" s="48"/>
      <c r="CE1593" s="48"/>
      <c r="CF1593" s="48"/>
      <c r="CG1593" s="233"/>
      <c r="CH1593" s="48"/>
      <c r="CI1593" s="98"/>
      <c r="CJ1593" s="98"/>
      <c r="CK1593" s="49">
        <f t="shared" si="384"/>
        <v>3.8851072573892886</v>
      </c>
      <c r="CL1593" s="229"/>
      <c r="CM1593" s="229"/>
      <c r="CN1593" s="229"/>
      <c r="CO1593" s="47" t="s">
        <v>892</v>
      </c>
      <c r="CP1593" s="500" t="s">
        <v>893</v>
      </c>
      <c r="CQ1593" s="224">
        <v>2.1206113155979454</v>
      </c>
      <c r="CR1593" s="224">
        <f>10^(CJ1593-CQ1593)</f>
        <v>7.5751054769764431E-3</v>
      </c>
      <c r="CS1593" s="230" t="s">
        <v>539</v>
      </c>
      <c r="CT1593" s="230"/>
      <c r="CU1593" s="230"/>
      <c r="CV1593" s="335">
        <f t="shared" si="385"/>
        <v>434.53326274925001</v>
      </c>
      <c r="CW1593" s="230">
        <f t="shared" si="390"/>
        <v>1</v>
      </c>
      <c r="CX1593" s="336" t="s">
        <v>539</v>
      </c>
      <c r="CY1593" s="230" t="s">
        <v>5921</v>
      </c>
    </row>
    <row r="1594" spans="1:103" ht="11.25" customHeight="1" x14ac:dyDescent="0.2">
      <c r="A1594" s="72">
        <v>1459</v>
      </c>
      <c r="B1594" s="224">
        <v>339</v>
      </c>
      <c r="C1594" s="46" t="s">
        <v>7496</v>
      </c>
      <c r="D1594" s="46"/>
      <c r="E1594" s="114"/>
      <c r="F1594" s="114" t="s">
        <v>3869</v>
      </c>
      <c r="G1594" s="225">
        <v>98967409</v>
      </c>
      <c r="H1594" s="47" t="s">
        <v>3870</v>
      </c>
      <c r="I1594" s="47" t="s">
        <v>3870</v>
      </c>
      <c r="J1594" s="47" t="s">
        <v>3871</v>
      </c>
      <c r="K1594" s="47" t="s">
        <v>3811</v>
      </c>
      <c r="L1594" s="47"/>
      <c r="M1594" s="47"/>
      <c r="N1594" s="47"/>
      <c r="O1594" s="47"/>
      <c r="P1594" s="53"/>
      <c r="Q1594" s="53"/>
      <c r="R1594" s="53"/>
      <c r="S1594" s="53"/>
      <c r="T1594" s="48">
        <v>325.3</v>
      </c>
      <c r="U1594" s="98">
        <v>49</v>
      </c>
      <c r="V1594" s="98">
        <v>455</v>
      </c>
      <c r="W1594" s="98">
        <v>235.65901781239404</v>
      </c>
      <c r="X1594" s="98">
        <v>49</v>
      </c>
      <c r="Y1594" s="233">
        <v>4.16</v>
      </c>
      <c r="Z1594" s="48">
        <v>1.5</v>
      </c>
      <c r="AA1594" s="48"/>
      <c r="AB1594" s="48">
        <v>2.25</v>
      </c>
      <c r="AC1594" s="48">
        <v>0.6583</v>
      </c>
      <c r="AD1594" s="48">
        <v>1.84</v>
      </c>
      <c r="AE1594" s="48">
        <v>0.96</v>
      </c>
      <c r="AF1594" s="48">
        <f t="shared" si="389"/>
        <v>1.84</v>
      </c>
      <c r="AG1594" s="49">
        <v>1.73</v>
      </c>
      <c r="AH1594" s="98">
        <v>2.4700000000000001E-13</v>
      </c>
      <c r="AI1594" s="98"/>
      <c r="AJ1594" s="483">
        <f t="shared" si="387"/>
        <v>-10.995869373052987</v>
      </c>
      <c r="AK1594" s="483"/>
      <c r="AL1594" s="483">
        <f t="shared" si="386"/>
        <v>-10.995869373052987</v>
      </c>
      <c r="AM1594" s="483">
        <v>-16.797190000000001</v>
      </c>
      <c r="AN1594" s="226">
        <v>-18</v>
      </c>
      <c r="AO1594" s="484">
        <v>5.14</v>
      </c>
      <c r="AP1594" s="484">
        <v>-2.85</v>
      </c>
      <c r="AQ1594" s="226" t="s">
        <v>6311</v>
      </c>
      <c r="AR1594" s="226" t="s">
        <v>6311</v>
      </c>
      <c r="AS1594" s="224" t="s">
        <v>6</v>
      </c>
      <c r="AT1594" s="50" t="s">
        <v>266</v>
      </c>
      <c r="AU1594" s="48">
        <v>8</v>
      </c>
      <c r="AV1594" s="48">
        <v>144</v>
      </c>
      <c r="AW1594" s="48">
        <v>120</v>
      </c>
      <c r="AX1594" s="48">
        <v>26</v>
      </c>
      <c r="AY1594" s="48" t="s">
        <v>267</v>
      </c>
      <c r="AZ1594" s="48" t="s">
        <v>2253</v>
      </c>
      <c r="BA1594" s="48">
        <v>2</v>
      </c>
      <c r="BB1594" s="47" t="s">
        <v>2254</v>
      </c>
      <c r="BC1594" s="47" t="s">
        <v>270</v>
      </c>
      <c r="BD1594" s="47" t="s">
        <v>8374</v>
      </c>
      <c r="BE1594" s="48" t="s">
        <v>1712</v>
      </c>
      <c r="BF1594" s="48" t="s">
        <v>272</v>
      </c>
      <c r="BG1594" s="48" t="s">
        <v>272</v>
      </c>
      <c r="BH1594" s="48" t="s">
        <v>2255</v>
      </c>
      <c r="BI1594" s="98">
        <v>3.2529999999999999E-4</v>
      </c>
      <c r="BJ1594" s="98">
        <v>26.024000000000001</v>
      </c>
      <c r="BK1594" s="48"/>
      <c r="BL1594" s="487">
        <v>751.50878760657963</v>
      </c>
      <c r="BM1594" s="48" t="s">
        <v>891</v>
      </c>
      <c r="BN1594" s="233"/>
      <c r="BO1594" s="233"/>
      <c r="BP1594" s="233"/>
      <c r="BQ1594" s="233"/>
      <c r="BR1594" s="233"/>
      <c r="BS1594" s="48"/>
      <c r="BT1594" s="233"/>
      <c r="BU1594" s="228"/>
      <c r="BV1594" s="233"/>
      <c r="BW1594" s="233"/>
      <c r="BX1594" s="233"/>
      <c r="BY1594" s="233"/>
      <c r="BZ1594" s="233"/>
      <c r="CA1594" s="233"/>
      <c r="CB1594" s="233"/>
      <c r="CC1594" s="48"/>
      <c r="CD1594" s="48"/>
      <c r="CE1594" s="48"/>
      <c r="CF1594" s="48"/>
      <c r="CG1594" s="233"/>
      <c r="CH1594" s="48"/>
      <c r="CI1594" s="98"/>
      <c r="CJ1594" s="98"/>
      <c r="CK1594" s="49">
        <f t="shared" si="384"/>
        <v>28.877527959060082</v>
      </c>
      <c r="CL1594" s="229"/>
      <c r="CM1594" s="229"/>
      <c r="CN1594" s="229"/>
      <c r="CO1594" s="47" t="s">
        <v>892</v>
      </c>
      <c r="CP1594" s="500" t="s">
        <v>893</v>
      </c>
      <c r="CQ1594" s="224" t="s">
        <v>272</v>
      </c>
      <c r="CR1594" s="224"/>
      <c r="CS1594" s="230" t="s">
        <v>539</v>
      </c>
      <c r="CT1594" s="230"/>
      <c r="CU1594" s="230"/>
      <c r="CV1594" s="335">
        <f t="shared" si="385"/>
        <v>1.8828773439901629</v>
      </c>
      <c r="CW1594" s="230">
        <f t="shared" si="390"/>
        <v>1</v>
      </c>
      <c r="CX1594" s="336" t="s">
        <v>539</v>
      </c>
      <c r="CY1594" s="230" t="s">
        <v>6351</v>
      </c>
    </row>
    <row r="1595" spans="1:103" ht="11.25" customHeight="1" x14ac:dyDescent="0.2">
      <c r="A1595" s="72">
        <v>1461</v>
      </c>
      <c r="B1595" s="224">
        <v>647</v>
      </c>
      <c r="C1595" s="46" t="s">
        <v>7497</v>
      </c>
      <c r="D1595" s="46"/>
      <c r="E1595" s="114"/>
      <c r="F1595" s="114" t="s">
        <v>4051</v>
      </c>
      <c r="G1595" s="225">
        <v>101200480</v>
      </c>
      <c r="H1595" s="47" t="s">
        <v>4052</v>
      </c>
      <c r="I1595" s="47" t="s">
        <v>4052</v>
      </c>
      <c r="J1595" s="47" t="s">
        <v>4053</v>
      </c>
      <c r="K1595" s="47" t="s">
        <v>4054</v>
      </c>
      <c r="L1595" s="47"/>
      <c r="M1595" s="47"/>
      <c r="N1595" s="47"/>
      <c r="O1595" s="47"/>
      <c r="P1595" s="53"/>
      <c r="Q1595" s="53"/>
      <c r="R1595" s="53"/>
      <c r="S1595" s="53"/>
      <c r="T1595" s="48">
        <v>395.39</v>
      </c>
      <c r="U1595" s="98">
        <v>50</v>
      </c>
      <c r="V1595" s="98">
        <v>21.72</v>
      </c>
      <c r="W1595" s="98">
        <v>86.501906849341296</v>
      </c>
      <c r="X1595" s="98">
        <v>50</v>
      </c>
      <c r="Y1595" s="233">
        <v>3.99</v>
      </c>
      <c r="Z1595" s="48">
        <v>2.5499999999999998</v>
      </c>
      <c r="AA1595" s="48"/>
      <c r="AB1595" s="48">
        <v>1.43</v>
      </c>
      <c r="AC1595" s="48">
        <v>0.82230000000000003</v>
      </c>
      <c r="AD1595" s="48">
        <v>1.44</v>
      </c>
      <c r="AE1595" s="48">
        <v>1.47</v>
      </c>
      <c r="AF1595" s="48">
        <f t="shared" si="389"/>
        <v>1.44</v>
      </c>
      <c r="AG1595" s="49">
        <v>1.46</v>
      </c>
      <c r="AH1595" s="98">
        <v>1.5399999999999999E-12</v>
      </c>
      <c r="AI1595" s="98">
        <v>1.0199999999999999E-13</v>
      </c>
      <c r="AJ1595" s="483">
        <f t="shared" si="387"/>
        <v>-10.201045605476189</v>
      </c>
      <c r="AK1595" s="483">
        <f>LOG10(AI1595*1000/(0.08206*298.15))</f>
        <v>-11.379966154550734</v>
      </c>
      <c r="AL1595" s="483">
        <f t="shared" si="386"/>
        <v>-11.379966154550734</v>
      </c>
      <c r="AM1595" s="483">
        <v>-24.168569999999999</v>
      </c>
      <c r="AN1595" s="226">
        <v>-22.9</v>
      </c>
      <c r="AO1595" s="484">
        <v>4.34</v>
      </c>
      <c r="AP1595" s="484">
        <v>2.73</v>
      </c>
      <c r="AQ1595" s="226" t="s">
        <v>6311</v>
      </c>
      <c r="AR1595" s="226" t="s">
        <v>6312</v>
      </c>
      <c r="AS1595" s="224" t="s">
        <v>6</v>
      </c>
      <c r="AT1595" s="50" t="s">
        <v>266</v>
      </c>
      <c r="AU1595" s="48">
        <v>8</v>
      </c>
      <c r="AV1595" s="48">
        <v>144</v>
      </c>
      <c r="AW1595" s="48">
        <v>120</v>
      </c>
      <c r="AX1595" s="48">
        <v>26</v>
      </c>
      <c r="AY1595" s="48" t="s">
        <v>267</v>
      </c>
      <c r="AZ1595" s="48" t="s">
        <v>2253</v>
      </c>
      <c r="BA1595" s="48">
        <v>2</v>
      </c>
      <c r="BB1595" s="47" t="s">
        <v>2254</v>
      </c>
      <c r="BC1595" s="47" t="s">
        <v>270</v>
      </c>
      <c r="BD1595" s="47" t="s">
        <v>8374</v>
      </c>
      <c r="BE1595" s="48" t="s">
        <v>1712</v>
      </c>
      <c r="BF1595" s="48" t="s">
        <v>272</v>
      </c>
      <c r="BG1595" s="48" t="s">
        <v>272</v>
      </c>
      <c r="BH1595" s="48" t="s">
        <v>2255</v>
      </c>
      <c r="BI1595" s="98">
        <v>3.9538999999999997E-4</v>
      </c>
      <c r="BJ1595" s="98">
        <v>31.6312</v>
      </c>
      <c r="BK1595" s="48"/>
      <c r="BL1595" s="487">
        <v>104.15273556831961</v>
      </c>
      <c r="BM1595" s="48" t="s">
        <v>891</v>
      </c>
      <c r="BN1595" s="233"/>
      <c r="BO1595" s="233"/>
      <c r="BP1595" s="233"/>
      <c r="BQ1595" s="233"/>
      <c r="BR1595" s="233"/>
      <c r="BS1595" s="48"/>
      <c r="BT1595" s="233"/>
      <c r="BU1595" s="228"/>
      <c r="BV1595" s="233"/>
      <c r="BW1595" s="233"/>
      <c r="BX1595" s="233"/>
      <c r="BY1595" s="233"/>
      <c r="BZ1595" s="233"/>
      <c r="CA1595" s="233"/>
      <c r="CB1595" s="233"/>
      <c r="CC1595" s="48"/>
      <c r="CD1595" s="48"/>
      <c r="CE1595" s="48"/>
      <c r="CF1595" s="48"/>
      <c r="CG1595" s="233"/>
      <c r="CH1595" s="48"/>
      <c r="CI1595" s="98"/>
      <c r="CJ1595" s="98"/>
      <c r="CK1595" s="49">
        <f t="shared" si="384"/>
        <v>3.2927216029843831</v>
      </c>
      <c r="CL1595" s="229"/>
      <c r="CM1595" s="229"/>
      <c r="CN1595" s="229"/>
      <c r="CO1595" s="47" t="s">
        <v>892</v>
      </c>
      <c r="CP1595" s="500" t="s">
        <v>893</v>
      </c>
      <c r="CQ1595" s="224" t="s">
        <v>272</v>
      </c>
      <c r="CR1595" s="224"/>
      <c r="CS1595" s="230" t="s">
        <v>539</v>
      </c>
      <c r="CT1595" s="230"/>
      <c r="CU1595" s="230"/>
      <c r="CV1595" s="335">
        <f t="shared" si="385"/>
        <v>1.5807177723260579</v>
      </c>
      <c r="CW1595" s="230">
        <f t="shared" si="390"/>
        <v>1</v>
      </c>
      <c r="CX1595" s="336" t="s">
        <v>539</v>
      </c>
      <c r="CY1595" s="230" t="s">
        <v>5921</v>
      </c>
    </row>
    <row r="1596" spans="1:103" ht="11.25" customHeight="1" x14ac:dyDescent="0.2">
      <c r="A1596" s="72">
        <v>1463</v>
      </c>
      <c r="B1596" s="224">
        <v>353</v>
      </c>
      <c r="C1596" s="46" t="s">
        <v>6899</v>
      </c>
      <c r="D1596" s="46"/>
      <c r="E1596" s="114"/>
      <c r="F1596" s="114" t="s">
        <v>3893</v>
      </c>
      <c r="G1596" s="225">
        <v>104098488</v>
      </c>
      <c r="H1596" s="47" t="s">
        <v>3894</v>
      </c>
      <c r="I1596" s="47" t="s">
        <v>3894</v>
      </c>
      <c r="J1596" s="47" t="s">
        <v>3895</v>
      </c>
      <c r="K1596" s="47" t="s">
        <v>471</v>
      </c>
      <c r="L1596" s="47"/>
      <c r="M1596" s="47"/>
      <c r="N1596" s="47"/>
      <c r="O1596" s="47"/>
      <c r="P1596" s="53"/>
      <c r="Q1596" s="53"/>
      <c r="R1596" s="53"/>
      <c r="S1596" s="53"/>
      <c r="T1596" s="48">
        <v>275.3</v>
      </c>
      <c r="U1596" s="98">
        <v>2230</v>
      </c>
      <c r="V1596" s="98">
        <v>132.5</v>
      </c>
      <c r="W1596" s="98">
        <v>1737.0255693539702</v>
      </c>
      <c r="X1596" s="98">
        <v>2230</v>
      </c>
      <c r="Y1596" s="233">
        <v>2.95</v>
      </c>
      <c r="Z1596" s="48">
        <v>2.11</v>
      </c>
      <c r="AA1596" s="48">
        <v>2.4700000000000002</v>
      </c>
      <c r="AB1596" s="48">
        <v>0.79</v>
      </c>
      <c r="AC1596" s="48">
        <v>0.84009999999999996</v>
      </c>
      <c r="AD1596" s="48">
        <v>0.81</v>
      </c>
      <c r="AE1596" s="48">
        <v>0.97</v>
      </c>
      <c r="AF1596" s="48">
        <f t="shared" si="389"/>
        <v>2.4700000000000002</v>
      </c>
      <c r="AG1596" s="49">
        <v>1.62</v>
      </c>
      <c r="AH1596" s="98">
        <v>7.8100000000000002E-17</v>
      </c>
      <c r="AI1596" s="98"/>
      <c r="AJ1596" s="483">
        <f t="shared" si="387"/>
        <v>-14.495915292435351</v>
      </c>
      <c r="AK1596" s="483"/>
      <c r="AL1596" s="483">
        <f t="shared" si="386"/>
        <v>-14.495915292435351</v>
      </c>
      <c r="AM1596" s="483">
        <v>-17.94426</v>
      </c>
      <c r="AN1596" s="226">
        <v>-16.100000000000001</v>
      </c>
      <c r="AO1596" s="484">
        <v>10.72</v>
      </c>
      <c r="AP1596" s="484">
        <v>3.33</v>
      </c>
      <c r="AQ1596" s="226" t="s">
        <v>6311</v>
      </c>
      <c r="AR1596" s="226" t="s">
        <v>6311</v>
      </c>
      <c r="AS1596" s="224" t="s">
        <v>6</v>
      </c>
      <c r="AT1596" s="50" t="s">
        <v>266</v>
      </c>
      <c r="AU1596" s="48">
        <v>8</v>
      </c>
      <c r="AV1596" s="48">
        <v>144</v>
      </c>
      <c r="AW1596" s="48">
        <v>120</v>
      </c>
      <c r="AX1596" s="48">
        <v>26</v>
      </c>
      <c r="AY1596" s="48" t="s">
        <v>267</v>
      </c>
      <c r="AZ1596" s="48" t="s">
        <v>2253</v>
      </c>
      <c r="BA1596" s="48">
        <v>2</v>
      </c>
      <c r="BB1596" s="47" t="s">
        <v>2254</v>
      </c>
      <c r="BC1596" s="47" t="s">
        <v>270</v>
      </c>
      <c r="BD1596" s="47" t="s">
        <v>8374</v>
      </c>
      <c r="BE1596" s="48" t="s">
        <v>1712</v>
      </c>
      <c r="BF1596" s="48" t="s">
        <v>272</v>
      </c>
      <c r="BG1596" s="48" t="s">
        <v>272</v>
      </c>
      <c r="BH1596" s="48" t="s">
        <v>2255</v>
      </c>
      <c r="BI1596" s="98">
        <v>2.7530000000000002E-4</v>
      </c>
      <c r="BJ1596" s="98">
        <v>22.024000000000001</v>
      </c>
      <c r="BK1596" s="48"/>
      <c r="BL1596" s="487">
        <v>180.14209592835692</v>
      </c>
      <c r="BM1596" s="48" t="s">
        <v>891</v>
      </c>
      <c r="BN1596" s="233"/>
      <c r="BO1596" s="233"/>
      <c r="BP1596" s="233"/>
      <c r="BQ1596" s="233"/>
      <c r="BR1596" s="233"/>
      <c r="BS1596" s="48"/>
      <c r="BT1596" s="233"/>
      <c r="BU1596" s="228"/>
      <c r="BV1596" s="233"/>
      <c r="BW1596" s="233"/>
      <c r="BX1596" s="233"/>
      <c r="BY1596" s="233"/>
      <c r="BZ1596" s="233"/>
      <c r="CA1596" s="233"/>
      <c r="CB1596" s="233"/>
      <c r="CC1596" s="48"/>
      <c r="CD1596" s="48"/>
      <c r="CE1596" s="48"/>
      <c r="CF1596" s="48"/>
      <c r="CG1596" s="233"/>
      <c r="CH1596" s="48"/>
      <c r="CI1596" s="98"/>
      <c r="CJ1596" s="98"/>
      <c r="CK1596" s="49">
        <f t="shared" si="384"/>
        <v>8.1793541558462088</v>
      </c>
      <c r="CL1596" s="229"/>
      <c r="CM1596" s="229"/>
      <c r="CN1596" s="229"/>
      <c r="CO1596" s="47" t="s">
        <v>892</v>
      </c>
      <c r="CP1596" s="500" t="s">
        <v>893</v>
      </c>
      <c r="CQ1596" s="224" t="s">
        <v>272</v>
      </c>
      <c r="CR1596" s="224"/>
      <c r="CS1596" s="230" t="s">
        <v>539</v>
      </c>
      <c r="CT1596" s="230"/>
      <c r="CU1596" s="230"/>
      <c r="CV1596" s="335">
        <f t="shared" si="385"/>
        <v>101.25317835088994</v>
      </c>
      <c r="CW1596" s="230">
        <f t="shared" si="390"/>
        <v>1</v>
      </c>
      <c r="CX1596" s="336" t="s">
        <v>539</v>
      </c>
      <c r="CY1596" s="230" t="s">
        <v>5921</v>
      </c>
    </row>
    <row r="1597" spans="1:103" ht="11.25" customHeight="1" x14ac:dyDescent="0.2">
      <c r="A1597" s="72">
        <v>1464</v>
      </c>
      <c r="B1597" s="224">
        <v>380</v>
      </c>
      <c r="C1597" s="46" t="s">
        <v>7498</v>
      </c>
      <c r="D1597" s="46"/>
      <c r="E1597" s="114"/>
      <c r="F1597" s="114" t="s">
        <v>3928</v>
      </c>
      <c r="G1597" s="225">
        <v>104206828</v>
      </c>
      <c r="H1597" s="47" t="s">
        <v>3929</v>
      </c>
      <c r="I1597" s="47" t="s">
        <v>8158</v>
      </c>
      <c r="J1597" s="47" t="s">
        <v>3930</v>
      </c>
      <c r="K1597" s="47" t="s">
        <v>3931</v>
      </c>
      <c r="L1597" s="47"/>
      <c r="M1597" s="47"/>
      <c r="N1597" s="47"/>
      <c r="O1597" s="47"/>
      <c r="P1597" s="53"/>
      <c r="Q1597" s="53"/>
      <c r="R1597" s="53"/>
      <c r="S1597" s="53"/>
      <c r="T1597" s="48">
        <v>339.32</v>
      </c>
      <c r="U1597" s="98"/>
      <c r="V1597" s="98">
        <v>157.5</v>
      </c>
      <c r="W1597" s="98">
        <v>725.4532962098973</v>
      </c>
      <c r="X1597" s="98">
        <v>725.4532962098973</v>
      </c>
      <c r="Y1597" s="233">
        <v>2.98</v>
      </c>
      <c r="Z1597" s="48">
        <v>1.49</v>
      </c>
      <c r="AA1597" s="48"/>
      <c r="AB1597" s="48">
        <v>1.87</v>
      </c>
      <c r="AC1597" s="48">
        <v>0.67259999999999998</v>
      </c>
      <c r="AD1597" s="48">
        <v>0.94</v>
      </c>
      <c r="AE1597" s="48">
        <v>-0.7</v>
      </c>
      <c r="AF1597" s="48">
        <f t="shared" si="389"/>
        <v>0.94</v>
      </c>
      <c r="AG1597" s="49">
        <v>0.66</v>
      </c>
      <c r="AH1597" s="98">
        <v>2.3700000000000001E-18</v>
      </c>
      <c r="AI1597" s="98"/>
      <c r="AJ1597" s="483">
        <f t="shared" si="387"/>
        <v>-16.013817980302548</v>
      </c>
      <c r="AK1597" s="483"/>
      <c r="AL1597" s="483">
        <f t="shared" si="386"/>
        <v>-16.013817980302548</v>
      </c>
      <c r="AM1597" s="483">
        <v>-20.83417</v>
      </c>
      <c r="AN1597" s="226">
        <v>-19.899999999999999</v>
      </c>
      <c r="AO1597" s="484">
        <v>2.98</v>
      </c>
      <c r="AP1597" s="484"/>
      <c r="AQ1597" s="226" t="s">
        <v>6311</v>
      </c>
      <c r="AR1597" s="226" t="s">
        <v>6311</v>
      </c>
      <c r="AS1597" s="224" t="s">
        <v>63</v>
      </c>
      <c r="AT1597" s="50" t="s">
        <v>266</v>
      </c>
      <c r="AU1597" s="48">
        <v>8</v>
      </c>
      <c r="AV1597" s="48">
        <v>144</v>
      </c>
      <c r="AW1597" s="48">
        <v>120</v>
      </c>
      <c r="AX1597" s="48">
        <v>26</v>
      </c>
      <c r="AY1597" s="48" t="s">
        <v>267</v>
      </c>
      <c r="AZ1597" s="48" t="s">
        <v>2253</v>
      </c>
      <c r="BA1597" s="48">
        <v>2</v>
      </c>
      <c r="BB1597" s="47" t="s">
        <v>2254</v>
      </c>
      <c r="BC1597" s="47" t="s">
        <v>270</v>
      </c>
      <c r="BD1597" s="47" t="s">
        <v>8374</v>
      </c>
      <c r="BE1597" s="48" t="s">
        <v>1712</v>
      </c>
      <c r="BF1597" s="48" t="s">
        <v>272</v>
      </c>
      <c r="BG1597" s="48" t="s">
        <v>272</v>
      </c>
      <c r="BH1597" s="48" t="s">
        <v>2255</v>
      </c>
      <c r="BI1597" s="98">
        <v>3.3932E-4</v>
      </c>
      <c r="BJ1597" s="98">
        <v>27.145600000000002</v>
      </c>
      <c r="BK1597" s="48"/>
      <c r="BL1597" s="487">
        <v>800.27722647023541</v>
      </c>
      <c r="BM1597" s="48" t="s">
        <v>891</v>
      </c>
      <c r="BN1597" s="233"/>
      <c r="BO1597" s="233"/>
      <c r="BP1597" s="233"/>
      <c r="BQ1597" s="233"/>
      <c r="BR1597" s="233"/>
      <c r="BS1597" s="48"/>
      <c r="BT1597" s="233"/>
      <c r="BU1597" s="228"/>
      <c r="BV1597" s="233"/>
      <c r="BW1597" s="233"/>
      <c r="BX1597" s="233"/>
      <c r="BY1597" s="233"/>
      <c r="BZ1597" s="233"/>
      <c r="CA1597" s="233"/>
      <c r="CB1597" s="233"/>
      <c r="CC1597" s="48"/>
      <c r="CD1597" s="48"/>
      <c r="CE1597" s="48"/>
      <c r="CF1597" s="48"/>
      <c r="CG1597" s="233"/>
      <c r="CH1597" s="48"/>
      <c r="CI1597" s="98"/>
      <c r="CJ1597" s="98"/>
      <c r="CK1597" s="49">
        <f t="shared" si="384"/>
        <v>29.480918692909178</v>
      </c>
      <c r="CL1597" s="229"/>
      <c r="CM1597" s="229"/>
      <c r="CN1597" s="229"/>
      <c r="CO1597" s="47" t="s">
        <v>892</v>
      </c>
      <c r="CP1597" s="500" t="s">
        <v>893</v>
      </c>
      <c r="CQ1597" s="224" t="s">
        <v>272</v>
      </c>
      <c r="CR1597" s="224"/>
      <c r="CS1597" s="230" t="s">
        <v>539</v>
      </c>
      <c r="CT1597" s="230"/>
      <c r="CU1597" s="230"/>
      <c r="CV1597" s="335">
        <f t="shared" si="385"/>
        <v>26.724526118777895</v>
      </c>
      <c r="CW1597" s="230">
        <f t="shared" si="390"/>
        <v>1</v>
      </c>
      <c r="CX1597" s="336" t="s">
        <v>539</v>
      </c>
      <c r="CY1597" s="230" t="s">
        <v>5921</v>
      </c>
    </row>
    <row r="1598" spans="1:103" ht="11.25" customHeight="1" x14ac:dyDescent="0.2">
      <c r="A1598" s="72">
        <v>1471</v>
      </c>
      <c r="B1598" s="224">
        <v>309</v>
      </c>
      <c r="C1598" s="46" t="s">
        <v>7503</v>
      </c>
      <c r="D1598" s="46" t="s">
        <v>8676</v>
      </c>
      <c r="E1598" s="114"/>
      <c r="F1598" s="114" t="s">
        <v>3829</v>
      </c>
      <c r="G1598" s="225">
        <v>110488705</v>
      </c>
      <c r="H1598" s="47" t="s">
        <v>3830</v>
      </c>
      <c r="I1598" s="47" t="s">
        <v>8160</v>
      </c>
      <c r="J1598" s="47" t="s">
        <v>3831</v>
      </c>
      <c r="K1598" s="47" t="s">
        <v>3832</v>
      </c>
      <c r="L1598" s="47" t="s">
        <v>6094</v>
      </c>
      <c r="M1598" s="47" t="s">
        <v>6082</v>
      </c>
      <c r="N1598" s="47" t="s">
        <v>6082</v>
      </c>
      <c r="O1598" s="47" t="s">
        <v>6083</v>
      </c>
      <c r="P1598" s="53"/>
      <c r="Q1598" s="53"/>
      <c r="R1598" s="53"/>
      <c r="S1598" s="53"/>
      <c r="T1598" s="48">
        <v>387.86</v>
      </c>
      <c r="U1598" s="98"/>
      <c r="V1598" s="98">
        <v>18.72</v>
      </c>
      <c r="W1598" s="98">
        <v>4.9966047111969925</v>
      </c>
      <c r="X1598" s="98">
        <v>4.9966047111969925</v>
      </c>
      <c r="Y1598" s="233">
        <v>7</v>
      </c>
      <c r="Z1598" s="48">
        <v>2.36</v>
      </c>
      <c r="AA1598" s="48">
        <v>2.68</v>
      </c>
      <c r="AB1598" s="48">
        <v>3.11</v>
      </c>
      <c r="AC1598" s="48">
        <v>0.67589999999999995</v>
      </c>
      <c r="AD1598" s="48">
        <v>3.31</v>
      </c>
      <c r="AE1598" s="48">
        <v>3.71</v>
      </c>
      <c r="AF1598" s="48">
        <f t="shared" si="389"/>
        <v>2.68</v>
      </c>
      <c r="AG1598" s="49">
        <v>3.31</v>
      </c>
      <c r="AH1598" s="98">
        <v>1.01E-15</v>
      </c>
      <c r="AI1598" s="98">
        <v>2.01E-10</v>
      </c>
      <c r="AJ1598" s="483">
        <f t="shared" si="387"/>
        <v>-13.384244952530009</v>
      </c>
      <c r="AK1598" s="483">
        <f>LOG10(AI1598*1000/(0.08206*298.15))</f>
        <v>-8.0853702688921629</v>
      </c>
      <c r="AL1598" s="483">
        <f t="shared" si="386"/>
        <v>-8.0853702688921629</v>
      </c>
      <c r="AM1598" s="483">
        <v>-19.18627</v>
      </c>
      <c r="AN1598" s="226">
        <v>-9.31</v>
      </c>
      <c r="AO1598" s="484"/>
      <c r="AP1598" s="484">
        <v>-1.37</v>
      </c>
      <c r="AQ1598" s="226" t="s">
        <v>6311</v>
      </c>
      <c r="AR1598" s="226" t="s">
        <v>6311</v>
      </c>
      <c r="AS1598" s="224" t="s">
        <v>6</v>
      </c>
      <c r="AT1598" s="50" t="s">
        <v>266</v>
      </c>
      <c r="AU1598" s="48">
        <v>8</v>
      </c>
      <c r="AV1598" s="48">
        <v>144</v>
      </c>
      <c r="AW1598" s="48">
        <v>120</v>
      </c>
      <c r="AX1598" s="48">
        <v>26</v>
      </c>
      <c r="AY1598" s="48" t="s">
        <v>267</v>
      </c>
      <c r="AZ1598" s="48" t="s">
        <v>2253</v>
      </c>
      <c r="BA1598" s="48">
        <v>2</v>
      </c>
      <c r="BB1598" s="47" t="s">
        <v>2254</v>
      </c>
      <c r="BC1598" s="47" t="s">
        <v>270</v>
      </c>
      <c r="BD1598" s="47" t="s">
        <v>8374</v>
      </c>
      <c r="BE1598" s="48" t="s">
        <v>1712</v>
      </c>
      <c r="BF1598" s="48" t="s">
        <v>272</v>
      </c>
      <c r="BG1598" s="48" t="s">
        <v>272</v>
      </c>
      <c r="BH1598" s="48" t="s">
        <v>2255</v>
      </c>
      <c r="BI1598" s="98">
        <v>3.8786000000000002E-4</v>
      </c>
      <c r="BJ1598" s="98">
        <v>31.0288</v>
      </c>
      <c r="BK1598" s="48"/>
      <c r="BL1598" s="487">
        <v>151.34183419645859</v>
      </c>
      <c r="BM1598" s="48" t="s">
        <v>891</v>
      </c>
      <c r="BN1598" s="233"/>
      <c r="BO1598" s="233"/>
      <c r="BP1598" s="233"/>
      <c r="BQ1598" s="233"/>
      <c r="BR1598" s="233"/>
      <c r="BS1598" s="48"/>
      <c r="BT1598" s="233"/>
      <c r="BU1598" s="228"/>
      <c r="BV1598" s="233"/>
      <c r="BW1598" s="233"/>
      <c r="BX1598" s="233"/>
      <c r="BY1598" s="233"/>
      <c r="BZ1598" s="233"/>
      <c r="CA1598" s="233"/>
      <c r="CB1598" s="233"/>
      <c r="CC1598" s="48"/>
      <c r="CD1598" s="48"/>
      <c r="CE1598" s="48"/>
      <c r="CF1598" s="48"/>
      <c r="CG1598" s="233"/>
      <c r="CH1598" s="48"/>
      <c r="CI1598" s="98"/>
      <c r="CJ1598" s="98"/>
      <c r="CK1598" s="49">
        <f t="shared" si="384"/>
        <v>4.8774633307268918</v>
      </c>
      <c r="CL1598" s="229"/>
      <c r="CM1598" s="229"/>
      <c r="CN1598" s="229"/>
      <c r="CO1598" s="47" t="s">
        <v>892</v>
      </c>
      <c r="CP1598" s="500" t="s">
        <v>893</v>
      </c>
      <c r="CQ1598" s="224">
        <v>0.79239168949825378</v>
      </c>
      <c r="CR1598" s="224">
        <f>10^(CJ1598-CQ1598)</f>
        <v>0.16129032258064518</v>
      </c>
      <c r="CS1598" s="230" t="s">
        <v>539</v>
      </c>
      <c r="CT1598" s="230"/>
      <c r="CU1598" s="230"/>
      <c r="CV1598" s="335">
        <f t="shared" si="385"/>
        <v>0.16103119396164184</v>
      </c>
      <c r="CW1598" s="230">
        <f t="shared" si="390"/>
        <v>0</v>
      </c>
      <c r="CX1598" s="336" t="s">
        <v>539</v>
      </c>
      <c r="CY1598" s="230" t="s">
        <v>5921</v>
      </c>
    </row>
    <row r="1599" spans="1:103" ht="11.25" customHeight="1" x14ac:dyDescent="0.2">
      <c r="A1599" s="72">
        <v>1473</v>
      </c>
      <c r="B1599" s="224">
        <v>637</v>
      </c>
      <c r="C1599" s="46" t="s">
        <v>7504</v>
      </c>
      <c r="D1599" s="46" t="s">
        <v>8677</v>
      </c>
      <c r="E1599" s="114"/>
      <c r="F1599" s="114" t="s">
        <v>3564</v>
      </c>
      <c r="G1599" s="225">
        <v>111988499</v>
      </c>
      <c r="H1599" s="47" t="s">
        <v>3565</v>
      </c>
      <c r="I1599" s="47" t="s">
        <v>8161</v>
      </c>
      <c r="J1599" s="47" t="s">
        <v>3566</v>
      </c>
      <c r="K1599" s="47" t="s">
        <v>2432</v>
      </c>
      <c r="L1599" s="47" t="s">
        <v>8535</v>
      </c>
      <c r="M1599" s="47" t="s">
        <v>2433</v>
      </c>
      <c r="N1599" s="47" t="s">
        <v>6082</v>
      </c>
      <c r="O1599" s="47" t="s">
        <v>6082</v>
      </c>
      <c r="P1599" s="53" t="s">
        <v>6183</v>
      </c>
      <c r="Q1599" s="53" t="s">
        <v>6176</v>
      </c>
      <c r="R1599" s="53" t="s">
        <v>6185</v>
      </c>
      <c r="S1599" s="53" t="s">
        <v>6176</v>
      </c>
      <c r="T1599" s="48">
        <v>252.72</v>
      </c>
      <c r="U1599" s="98"/>
      <c r="V1599" s="98">
        <v>231.9</v>
      </c>
      <c r="W1599" s="98">
        <v>449.40677250503643</v>
      </c>
      <c r="X1599" s="98">
        <v>449.40677250503643</v>
      </c>
      <c r="Y1599" s="233">
        <v>7</v>
      </c>
      <c r="Z1599" s="48">
        <v>2.33</v>
      </c>
      <c r="AA1599" s="48"/>
      <c r="AB1599" s="48">
        <v>1.55</v>
      </c>
      <c r="AC1599" s="48">
        <v>0.67530000000000001</v>
      </c>
      <c r="AD1599" s="48">
        <v>1.22</v>
      </c>
      <c r="AE1599" s="48">
        <v>0.55000000000000004</v>
      </c>
      <c r="AF1599" s="48">
        <f t="shared" si="389"/>
        <v>1.22</v>
      </c>
      <c r="AG1599" s="49">
        <v>2.0499999999999998</v>
      </c>
      <c r="AH1599" s="98">
        <v>2.4499999999999998E-10</v>
      </c>
      <c r="AI1599" s="98"/>
      <c r="AJ1599" s="483">
        <f t="shared" si="387"/>
        <v>-7.9994002419481189</v>
      </c>
      <c r="AK1599" s="483"/>
      <c r="AL1599" s="483">
        <f t="shared" si="386"/>
        <v>-7.9994002419481189</v>
      </c>
      <c r="AM1599" s="483">
        <v>-13.170950000000001</v>
      </c>
      <c r="AN1599" s="226">
        <v>-13</v>
      </c>
      <c r="AO1599" s="484"/>
      <c r="AP1599" s="484"/>
      <c r="AQ1599" s="226" t="s">
        <v>6311</v>
      </c>
      <c r="AR1599" s="226" t="s">
        <v>6311</v>
      </c>
      <c r="AS1599" s="224" t="s">
        <v>63</v>
      </c>
      <c r="AT1599" s="50" t="s">
        <v>266</v>
      </c>
      <c r="AU1599" s="48">
        <v>8</v>
      </c>
      <c r="AV1599" s="48">
        <v>144</v>
      </c>
      <c r="AW1599" s="48">
        <v>120</v>
      </c>
      <c r="AX1599" s="48">
        <v>26</v>
      </c>
      <c r="AY1599" s="48" t="s">
        <v>267</v>
      </c>
      <c r="AZ1599" s="48" t="s">
        <v>2253</v>
      </c>
      <c r="BA1599" s="48">
        <v>2</v>
      </c>
      <c r="BB1599" s="47" t="s">
        <v>2254</v>
      </c>
      <c r="BC1599" s="47" t="s">
        <v>270</v>
      </c>
      <c r="BD1599" s="47" t="s">
        <v>8374</v>
      </c>
      <c r="BE1599" s="48" t="s">
        <v>1712</v>
      </c>
      <c r="BF1599" s="48" t="s">
        <v>272</v>
      </c>
      <c r="BG1599" s="48" t="s">
        <v>272</v>
      </c>
      <c r="BH1599" s="48" t="s">
        <v>2255</v>
      </c>
      <c r="BI1599" s="98">
        <v>2.5272000000000001E-4</v>
      </c>
      <c r="BJ1599" s="98">
        <v>20.217600000000001</v>
      </c>
      <c r="BK1599" s="48"/>
      <c r="BL1599" s="487">
        <v>104.92201267737308</v>
      </c>
      <c r="BM1599" s="48" t="s">
        <v>891</v>
      </c>
      <c r="BN1599" s="233"/>
      <c r="BO1599" s="233"/>
      <c r="BP1599" s="233"/>
      <c r="BQ1599" s="233"/>
      <c r="BR1599" s="233"/>
      <c r="BS1599" s="48"/>
      <c r="BT1599" s="233"/>
      <c r="BU1599" s="228"/>
      <c r="BV1599" s="233"/>
      <c r="BW1599" s="233"/>
      <c r="BX1599" s="233"/>
      <c r="BY1599" s="233"/>
      <c r="BZ1599" s="233"/>
      <c r="CA1599" s="233"/>
      <c r="CB1599" s="233"/>
      <c r="CC1599" s="48"/>
      <c r="CD1599" s="48"/>
      <c r="CE1599" s="48"/>
      <c r="CF1599" s="48"/>
      <c r="CG1599" s="233"/>
      <c r="CH1599" s="48"/>
      <c r="CI1599" s="98"/>
      <c r="CJ1599" s="98"/>
      <c r="CK1599" s="49">
        <f t="shared" si="384"/>
        <v>5.1896373791831412</v>
      </c>
      <c r="CL1599" s="229"/>
      <c r="CM1599" s="229"/>
      <c r="CN1599" s="229"/>
      <c r="CO1599" s="47" t="s">
        <v>892</v>
      </c>
      <c r="CP1599" s="500" t="s">
        <v>893</v>
      </c>
      <c r="CQ1599" s="224">
        <v>1.596093672820255</v>
      </c>
      <c r="CR1599" s="224">
        <f>10^(CJ1599-CQ1599)</f>
        <v>2.5345818884828258E-2</v>
      </c>
      <c r="CS1599" s="230" t="s">
        <v>539</v>
      </c>
      <c r="CT1599" s="230"/>
      <c r="CU1599" s="230"/>
      <c r="CV1599" s="335">
        <f t="shared" si="385"/>
        <v>22.228492625486528</v>
      </c>
      <c r="CW1599" s="230">
        <f t="shared" si="390"/>
        <v>1</v>
      </c>
      <c r="CX1599" s="336" t="s">
        <v>539</v>
      </c>
      <c r="CY1599" s="230" t="s">
        <v>5921</v>
      </c>
    </row>
    <row r="1600" spans="1:103" ht="11.25" customHeight="1" x14ac:dyDescent="0.2">
      <c r="A1600" s="72">
        <v>1483</v>
      </c>
      <c r="B1600" s="224">
        <v>352</v>
      </c>
      <c r="C1600" s="46" t="s">
        <v>7510</v>
      </c>
      <c r="D1600" s="46"/>
      <c r="E1600" s="114"/>
      <c r="F1600" s="114" t="s">
        <v>3890</v>
      </c>
      <c r="G1600" s="225">
        <v>119515387</v>
      </c>
      <c r="H1600" s="47" t="s">
        <v>3891</v>
      </c>
      <c r="I1600" s="47" t="s">
        <v>3891</v>
      </c>
      <c r="J1600" s="47" t="s">
        <v>3892</v>
      </c>
      <c r="K1600" s="47" t="s">
        <v>1180</v>
      </c>
      <c r="L1600" s="47"/>
      <c r="M1600" s="47"/>
      <c r="N1600" s="47"/>
      <c r="O1600" s="47"/>
      <c r="P1600" s="53"/>
      <c r="Q1600" s="53"/>
      <c r="R1600" s="53"/>
      <c r="S1600" s="53"/>
      <c r="T1600" s="48">
        <v>229.32</v>
      </c>
      <c r="U1600" s="98"/>
      <c r="V1600" s="98">
        <v>196</v>
      </c>
      <c r="W1600" s="98">
        <v>3985.124860488068</v>
      </c>
      <c r="X1600" s="98">
        <v>3985.124860488068</v>
      </c>
      <c r="Y1600" s="233">
        <v>7</v>
      </c>
      <c r="Z1600" s="48">
        <v>2.57</v>
      </c>
      <c r="AA1600" s="48"/>
      <c r="AB1600" s="48">
        <v>2.11</v>
      </c>
      <c r="AC1600" s="48">
        <v>0.57999999999999996</v>
      </c>
      <c r="AD1600" s="48">
        <v>1.87</v>
      </c>
      <c r="AE1600" s="48">
        <v>1.56</v>
      </c>
      <c r="AF1600" s="48">
        <f t="shared" si="389"/>
        <v>1.87</v>
      </c>
      <c r="AG1600" s="49">
        <v>1.82</v>
      </c>
      <c r="AH1600" s="98">
        <v>2.9699999999999998E-11</v>
      </c>
      <c r="AI1600" s="98"/>
      <c r="AJ1600" s="483">
        <f t="shared" si="387"/>
        <v>-8.9158098769954393</v>
      </c>
      <c r="AK1600" s="483"/>
      <c r="AL1600" s="483">
        <f t="shared" si="386"/>
        <v>-8.9158098769954393</v>
      </c>
      <c r="AM1600" s="483">
        <v>-10.252640000000001</v>
      </c>
      <c r="AN1600" s="226">
        <v>-8.57</v>
      </c>
      <c r="AO1600" s="484">
        <v>15.15</v>
      </c>
      <c r="AP1600" s="484">
        <v>-1.71</v>
      </c>
      <c r="AQ1600" s="226" t="s">
        <v>6311</v>
      </c>
      <c r="AR1600" s="226" t="s">
        <v>6311</v>
      </c>
      <c r="AS1600" s="224" t="s">
        <v>63</v>
      </c>
      <c r="AT1600" s="50" t="s">
        <v>266</v>
      </c>
      <c r="AU1600" s="48">
        <v>8</v>
      </c>
      <c r="AV1600" s="48">
        <v>144</v>
      </c>
      <c r="AW1600" s="48">
        <v>120</v>
      </c>
      <c r="AX1600" s="48">
        <v>26</v>
      </c>
      <c r="AY1600" s="48" t="s">
        <v>267</v>
      </c>
      <c r="AZ1600" s="48" t="s">
        <v>2253</v>
      </c>
      <c r="BA1600" s="48">
        <v>3</v>
      </c>
      <c r="BB1600" s="47" t="s">
        <v>2254</v>
      </c>
      <c r="BC1600" s="47" t="s">
        <v>270</v>
      </c>
      <c r="BD1600" s="47" t="s">
        <v>8374</v>
      </c>
      <c r="BE1600" s="48" t="s">
        <v>1712</v>
      </c>
      <c r="BF1600" s="48" t="s">
        <v>272</v>
      </c>
      <c r="BG1600" s="48" t="s">
        <v>272</v>
      </c>
      <c r="BH1600" s="48" t="s">
        <v>2255</v>
      </c>
      <c r="BI1600" s="98">
        <v>2.2931999999999998E-4</v>
      </c>
      <c r="BJ1600" s="98">
        <v>18.345600000000001</v>
      </c>
      <c r="BK1600" s="48"/>
      <c r="BL1600" s="487">
        <v>57.959540413553334</v>
      </c>
      <c r="BM1600" s="48" t="s">
        <v>891</v>
      </c>
      <c r="BN1600" s="233"/>
      <c r="BO1600" s="233"/>
      <c r="BP1600" s="233"/>
      <c r="BQ1600" s="233"/>
      <c r="BR1600" s="233"/>
      <c r="BS1600" s="48"/>
      <c r="BT1600" s="233"/>
      <c r="BU1600" s="228"/>
      <c r="BV1600" s="233"/>
      <c r="BW1600" s="233"/>
      <c r="BX1600" s="233"/>
      <c r="BY1600" s="233"/>
      <c r="BZ1600" s="233"/>
      <c r="CA1600" s="233"/>
      <c r="CB1600" s="233"/>
      <c r="CC1600" s="48"/>
      <c r="CD1600" s="48"/>
      <c r="CE1600" s="48"/>
      <c r="CF1600" s="48"/>
      <c r="CG1600" s="233"/>
      <c r="CH1600" s="48"/>
      <c r="CI1600" s="98"/>
      <c r="CJ1600" s="98"/>
      <c r="CK1600" s="49">
        <f t="shared" si="384"/>
        <v>3.159315607750814</v>
      </c>
      <c r="CL1600" s="229"/>
      <c r="CM1600" s="229"/>
      <c r="CN1600" s="229"/>
      <c r="CO1600" s="47" t="s">
        <v>892</v>
      </c>
      <c r="CP1600" s="500" t="s">
        <v>893</v>
      </c>
      <c r="CQ1600" s="224" t="s">
        <v>272</v>
      </c>
      <c r="CR1600" s="224"/>
      <c r="CS1600" s="230" t="s">
        <v>539</v>
      </c>
      <c r="CT1600" s="230"/>
      <c r="CU1600" s="230"/>
      <c r="CV1600" s="335">
        <f t="shared" si="385"/>
        <v>217.22510359367192</v>
      </c>
      <c r="CW1600" s="230">
        <f t="shared" si="390"/>
        <v>1</v>
      </c>
      <c r="CX1600" s="336" t="s">
        <v>539</v>
      </c>
      <c r="CY1600" s="230" t="s">
        <v>5921</v>
      </c>
    </row>
    <row r="1601" spans="1:103" ht="11.25" customHeight="1" x14ac:dyDescent="0.2">
      <c r="A1601" s="72">
        <v>1487</v>
      </c>
      <c r="B1601" s="224">
        <v>469</v>
      </c>
      <c r="C1601" s="46" t="s">
        <v>7511</v>
      </c>
      <c r="D1601" s="46"/>
      <c r="E1601" s="114"/>
      <c r="F1601" s="114" t="s">
        <v>4019</v>
      </c>
      <c r="G1601" s="225">
        <v>122931480</v>
      </c>
      <c r="H1601" s="47" t="s">
        <v>4020</v>
      </c>
      <c r="I1601" s="47" t="s">
        <v>4020</v>
      </c>
      <c r="J1601" s="47" t="s">
        <v>4021</v>
      </c>
      <c r="K1601" s="47" t="s">
        <v>3615</v>
      </c>
      <c r="L1601" s="47"/>
      <c r="M1601" s="47"/>
      <c r="N1601" s="47"/>
      <c r="O1601" s="47"/>
      <c r="P1601" s="53"/>
      <c r="Q1601" s="53"/>
      <c r="R1601" s="53"/>
      <c r="S1601" s="53"/>
      <c r="T1601" s="48">
        <v>431.45</v>
      </c>
      <c r="U1601" s="98">
        <v>10</v>
      </c>
      <c r="V1601" s="98">
        <v>4.8010000000000002</v>
      </c>
      <c r="W1601" s="98">
        <v>71.602877121393462</v>
      </c>
      <c r="X1601" s="98">
        <v>10</v>
      </c>
      <c r="Y1601" s="233">
        <v>3.83</v>
      </c>
      <c r="Z1601" s="48">
        <v>0.03</v>
      </c>
      <c r="AA1601" s="48">
        <v>0.28999999999999998</v>
      </c>
      <c r="AB1601" s="48">
        <v>-0.12</v>
      </c>
      <c r="AC1601" s="48">
        <v>0.78490000000000004</v>
      </c>
      <c r="AD1601" s="48">
        <v>0.45</v>
      </c>
      <c r="AE1601" s="48">
        <v>2.2200000000000002</v>
      </c>
      <c r="AF1601" s="48">
        <f t="shared" si="389"/>
        <v>0.28999999999999998</v>
      </c>
      <c r="AG1601" s="49">
        <v>0.65</v>
      </c>
      <c r="AH1601" s="98">
        <v>2.1600000000000001E-16</v>
      </c>
      <c r="AI1601" s="98">
        <v>6.4199999999999995E-10</v>
      </c>
      <c r="AJ1601" s="483">
        <f t="shared" si="387"/>
        <v>-14.054112575161721</v>
      </c>
      <c r="AK1601" s="483">
        <f>LOG10(AI1601*1000/(0.08206*298.15))</f>
        <v>-7.5810312982437988</v>
      </c>
      <c r="AL1601" s="483">
        <f t="shared" si="386"/>
        <v>-7.5810312982437988</v>
      </c>
      <c r="AM1601" s="483">
        <v>-30.232560000000003</v>
      </c>
      <c r="AN1601" s="226">
        <v>-32.700000000000003</v>
      </c>
      <c r="AO1601" s="484">
        <v>3.48</v>
      </c>
      <c r="AP1601" s="484">
        <v>-1.17</v>
      </c>
      <c r="AQ1601" s="226" t="s">
        <v>6311</v>
      </c>
      <c r="AR1601" s="226" t="s">
        <v>6311</v>
      </c>
      <c r="AS1601" s="224" t="s">
        <v>6</v>
      </c>
      <c r="AT1601" s="50" t="s">
        <v>266</v>
      </c>
      <c r="AU1601" s="48">
        <v>8</v>
      </c>
      <c r="AV1601" s="48">
        <v>144</v>
      </c>
      <c r="AW1601" s="48">
        <v>120</v>
      </c>
      <c r="AX1601" s="48">
        <v>26</v>
      </c>
      <c r="AY1601" s="48" t="s">
        <v>267</v>
      </c>
      <c r="AZ1601" s="48" t="s">
        <v>2253</v>
      </c>
      <c r="BA1601" s="48">
        <v>3</v>
      </c>
      <c r="BB1601" s="47" t="s">
        <v>2254</v>
      </c>
      <c r="BC1601" s="47" t="s">
        <v>270</v>
      </c>
      <c r="BD1601" s="47" t="s">
        <v>8374</v>
      </c>
      <c r="BE1601" s="48" t="s">
        <v>1712</v>
      </c>
      <c r="BF1601" s="48" t="s">
        <v>272</v>
      </c>
      <c r="BG1601" s="48" t="s">
        <v>272</v>
      </c>
      <c r="BH1601" s="48" t="s">
        <v>2255</v>
      </c>
      <c r="BI1601" s="98">
        <v>4.3144999999999994E-4</v>
      </c>
      <c r="BJ1601" s="98">
        <v>34.515999999999998</v>
      </c>
      <c r="BK1601" s="48"/>
      <c r="BL1601" s="487">
        <v>20834.710646184281</v>
      </c>
      <c r="BM1601" s="48" t="s">
        <v>891</v>
      </c>
      <c r="BN1601" s="233"/>
      <c r="BO1601" s="233"/>
      <c r="BP1601" s="233"/>
      <c r="BQ1601" s="233"/>
      <c r="BR1601" s="233"/>
      <c r="BS1601" s="48"/>
      <c r="BT1601" s="233"/>
      <c r="BU1601" s="228"/>
      <c r="BV1601" s="233"/>
      <c r="BW1601" s="233"/>
      <c r="BX1601" s="233"/>
      <c r="BY1601" s="233"/>
      <c r="BZ1601" s="233"/>
      <c r="CA1601" s="233"/>
      <c r="CB1601" s="233"/>
      <c r="CC1601" s="48"/>
      <c r="CD1601" s="48"/>
      <c r="CE1601" s="48"/>
      <c r="CF1601" s="48"/>
      <c r="CG1601" s="233"/>
      <c r="CH1601" s="48"/>
      <c r="CI1601" s="98"/>
      <c r="CJ1601" s="98"/>
      <c r="CK1601" s="49">
        <f t="shared" si="384"/>
        <v>603.62471451455212</v>
      </c>
      <c r="CL1601" s="229"/>
      <c r="CM1601" s="229"/>
      <c r="CN1601" s="229"/>
      <c r="CO1601" s="47" t="s">
        <v>892</v>
      </c>
      <c r="CP1601" s="500" t="s">
        <v>893</v>
      </c>
      <c r="CQ1601" s="224" t="s">
        <v>272</v>
      </c>
      <c r="CR1601" s="224"/>
      <c r="CS1601" s="230" t="s">
        <v>539</v>
      </c>
      <c r="CT1601" s="230"/>
      <c r="CU1601" s="230"/>
      <c r="CV1601" s="335">
        <f t="shared" si="385"/>
        <v>0.28972070923629623</v>
      </c>
      <c r="CW1601" s="230">
        <f t="shared" si="390"/>
        <v>0</v>
      </c>
      <c r="CX1601" s="336" t="s">
        <v>539</v>
      </c>
      <c r="CY1601" s="230" t="s">
        <v>5921</v>
      </c>
    </row>
    <row r="1602" spans="1:103" ht="11.25" customHeight="1" x14ac:dyDescent="0.2">
      <c r="A1602" s="72">
        <v>1489</v>
      </c>
      <c r="B1602" s="224">
        <v>454</v>
      </c>
      <c r="C1602" s="46" t="s">
        <v>7513</v>
      </c>
      <c r="D1602" s="46"/>
      <c r="E1602" s="114"/>
      <c r="F1602" s="114" t="s">
        <v>4007</v>
      </c>
      <c r="G1602" s="225">
        <v>123312890</v>
      </c>
      <c r="H1602" s="47" t="s">
        <v>4008</v>
      </c>
      <c r="I1602" s="47" t="s">
        <v>4008</v>
      </c>
      <c r="J1602" s="47" t="s">
        <v>4009</v>
      </c>
      <c r="K1602" s="47" t="s">
        <v>2281</v>
      </c>
      <c r="L1602" s="47" t="s">
        <v>617</v>
      </c>
      <c r="M1602" s="47" t="s">
        <v>4010</v>
      </c>
      <c r="N1602" s="47"/>
      <c r="O1602" s="47" t="s">
        <v>918</v>
      </c>
      <c r="P1602" s="53"/>
      <c r="Q1602" s="53"/>
      <c r="R1602" s="53"/>
      <c r="S1602" s="53"/>
      <c r="T1602" s="48">
        <v>217.23</v>
      </c>
      <c r="U1602" s="98">
        <v>290</v>
      </c>
      <c r="V1602" s="98">
        <v>49570</v>
      </c>
      <c r="W1602" s="98">
        <v>9266.5868869269907</v>
      </c>
      <c r="X1602" s="98">
        <v>290</v>
      </c>
      <c r="Y1602" s="233">
        <v>7.95</v>
      </c>
      <c r="Z1602" s="48">
        <v>0.89</v>
      </c>
      <c r="AA1602" s="48">
        <v>-0.18</v>
      </c>
      <c r="AB1602" s="48">
        <v>0.77</v>
      </c>
      <c r="AC1602" s="48">
        <v>0.65590000000000004</v>
      </c>
      <c r="AD1602" s="48">
        <v>0.3</v>
      </c>
      <c r="AE1602" s="48">
        <v>-0.51</v>
      </c>
      <c r="AF1602" s="48">
        <f t="shared" si="389"/>
        <v>-0.18</v>
      </c>
      <c r="AG1602" s="49">
        <v>0.74</v>
      </c>
      <c r="AH1602" s="98">
        <v>3.5400000000000001E-13</v>
      </c>
      <c r="AI1602" s="98"/>
      <c r="AJ1602" s="483">
        <f t="shared" si="387"/>
        <v>-10.839563064286864</v>
      </c>
      <c r="AK1602" s="483"/>
      <c r="AL1602" s="483">
        <f t="shared" si="386"/>
        <v>-10.839563064286864</v>
      </c>
      <c r="AM1602" s="483">
        <v>-13.69971</v>
      </c>
      <c r="AN1602" s="226">
        <v>-11</v>
      </c>
      <c r="AO1602" s="484">
        <v>12.9</v>
      </c>
      <c r="AP1602" s="484">
        <v>3.71</v>
      </c>
      <c r="AQ1602" s="226" t="s">
        <v>6311</v>
      </c>
      <c r="AR1602" s="226" t="s">
        <v>6311</v>
      </c>
      <c r="AS1602" s="224" t="s">
        <v>6</v>
      </c>
      <c r="AT1602" s="50" t="s">
        <v>266</v>
      </c>
      <c r="AU1602" s="48">
        <v>8</v>
      </c>
      <c r="AV1602" s="48">
        <v>144</v>
      </c>
      <c r="AW1602" s="48">
        <v>120</v>
      </c>
      <c r="AX1602" s="48">
        <v>26</v>
      </c>
      <c r="AY1602" s="48" t="s">
        <v>267</v>
      </c>
      <c r="AZ1602" s="48" t="s">
        <v>2253</v>
      </c>
      <c r="BA1602" s="48">
        <v>2</v>
      </c>
      <c r="BB1602" s="47" t="s">
        <v>2254</v>
      </c>
      <c r="BC1602" s="47" t="s">
        <v>270</v>
      </c>
      <c r="BD1602" s="47" t="s">
        <v>8374</v>
      </c>
      <c r="BE1602" s="48" t="s">
        <v>1712</v>
      </c>
      <c r="BF1602" s="48" t="s">
        <v>272</v>
      </c>
      <c r="BG1602" s="48" t="s">
        <v>272</v>
      </c>
      <c r="BH1602" s="48" t="s">
        <v>2255</v>
      </c>
      <c r="BI1602" s="98">
        <v>2.1722999999999998E-4</v>
      </c>
      <c r="BJ1602" s="98">
        <v>17.378399999999999</v>
      </c>
      <c r="BK1602" s="48"/>
      <c r="BL1602" s="487">
        <v>1771.7841089550063</v>
      </c>
      <c r="BM1602" s="48" t="s">
        <v>891</v>
      </c>
      <c r="BN1602" s="233"/>
      <c r="BO1602" s="233"/>
      <c r="BP1602" s="233"/>
      <c r="BQ1602" s="233"/>
      <c r="BR1602" s="233"/>
      <c r="BS1602" s="48"/>
      <c r="BT1602" s="233"/>
      <c r="BU1602" s="228"/>
      <c r="BV1602" s="233"/>
      <c r="BW1602" s="233"/>
      <c r="BX1602" s="233"/>
      <c r="BY1602" s="233"/>
      <c r="BZ1602" s="233"/>
      <c r="CA1602" s="233"/>
      <c r="CB1602" s="233"/>
      <c r="CC1602" s="48"/>
      <c r="CD1602" s="238"/>
      <c r="CE1602" s="238"/>
      <c r="CF1602" s="238"/>
      <c r="CG1602" s="233"/>
      <c r="CH1602" s="48"/>
      <c r="CI1602" s="98"/>
      <c r="CJ1602" s="98"/>
      <c r="CK1602" s="49">
        <f t="shared" si="384"/>
        <v>101.95323556570263</v>
      </c>
      <c r="CL1602" s="229"/>
      <c r="CM1602" s="229"/>
      <c r="CN1602" s="229"/>
      <c r="CO1602" s="47" t="s">
        <v>892</v>
      </c>
      <c r="CP1602" s="500" t="s">
        <v>893</v>
      </c>
      <c r="CQ1602" s="224" t="s">
        <v>272</v>
      </c>
      <c r="CR1602" s="224"/>
      <c r="CS1602" s="230" t="s">
        <v>539</v>
      </c>
      <c r="CT1602" s="230"/>
      <c r="CU1602" s="230"/>
      <c r="CV1602" s="335">
        <f t="shared" si="385"/>
        <v>16.687382037471806</v>
      </c>
      <c r="CW1602" s="230">
        <f t="shared" si="390"/>
        <v>1</v>
      </c>
      <c r="CX1602" s="336" t="s">
        <v>539</v>
      </c>
      <c r="CY1602" s="230" t="s">
        <v>5921</v>
      </c>
    </row>
    <row r="1603" spans="1:103" ht="11.25" customHeight="1" x14ac:dyDescent="0.2">
      <c r="A1603" s="72">
        <v>1491</v>
      </c>
      <c r="B1603" s="224">
        <v>457</v>
      </c>
      <c r="C1603" s="46" t="s">
        <v>7514</v>
      </c>
      <c r="D1603" s="46"/>
      <c r="E1603" s="114"/>
      <c r="F1603" s="114" t="s">
        <v>4011</v>
      </c>
      <c r="G1603" s="225">
        <v>123343168</v>
      </c>
      <c r="H1603" s="47" t="s">
        <v>4012</v>
      </c>
      <c r="I1603" s="47" t="s">
        <v>8165</v>
      </c>
      <c r="J1603" s="47" t="s">
        <v>4013</v>
      </c>
      <c r="K1603" s="47" t="s">
        <v>426</v>
      </c>
      <c r="L1603" s="47"/>
      <c r="M1603" s="47"/>
      <c r="N1603" s="47"/>
      <c r="O1603" s="47"/>
      <c r="P1603" s="53"/>
      <c r="Q1603" s="53"/>
      <c r="R1603" s="53"/>
      <c r="S1603" s="53"/>
      <c r="T1603" s="48">
        <v>326.76</v>
      </c>
      <c r="U1603" s="98"/>
      <c r="V1603" s="98">
        <v>39.409999999999997</v>
      </c>
      <c r="W1603" s="98">
        <v>304.95017532842462</v>
      </c>
      <c r="X1603" s="98">
        <v>304.95017532842462</v>
      </c>
      <c r="Y1603" s="233">
        <v>3.06</v>
      </c>
      <c r="Z1603" s="48">
        <v>2.74</v>
      </c>
      <c r="AA1603" s="48"/>
      <c r="AB1603" s="48">
        <v>3.35</v>
      </c>
      <c r="AC1603" s="48">
        <v>0.80159999999999998</v>
      </c>
      <c r="AD1603" s="48">
        <v>3.26</v>
      </c>
      <c r="AE1603" s="48">
        <v>3</v>
      </c>
      <c r="AF1603" s="48">
        <f t="shared" si="389"/>
        <v>3.26</v>
      </c>
      <c r="AG1603" s="49">
        <v>3.26</v>
      </c>
      <c r="AH1603" s="98">
        <v>2.8700000000000001E-12</v>
      </c>
      <c r="AI1603" s="98"/>
      <c r="AJ1603" s="483">
        <f t="shared" si="387"/>
        <v>-9.93068442957866</v>
      </c>
      <c r="AK1603" s="483"/>
      <c r="AL1603" s="483">
        <f t="shared" si="386"/>
        <v>-9.93068442957866</v>
      </c>
      <c r="AM1603" s="483">
        <v>-17.042919999999999</v>
      </c>
      <c r="AN1603" s="226"/>
      <c r="AO1603" s="484">
        <v>1.91</v>
      </c>
      <c r="AP1603" s="484">
        <v>-0.71</v>
      </c>
      <c r="AQ1603" s="226" t="s">
        <v>6311</v>
      </c>
      <c r="AR1603" s="226" t="s">
        <v>6311</v>
      </c>
      <c r="AS1603" s="224" t="s">
        <v>6</v>
      </c>
      <c r="AT1603" s="50" t="s">
        <v>266</v>
      </c>
      <c r="AU1603" s="48">
        <v>8</v>
      </c>
      <c r="AV1603" s="48">
        <v>144</v>
      </c>
      <c r="AW1603" s="48">
        <v>120</v>
      </c>
      <c r="AX1603" s="48">
        <v>26</v>
      </c>
      <c r="AY1603" s="48" t="s">
        <v>267</v>
      </c>
      <c r="AZ1603" s="48" t="s">
        <v>2253</v>
      </c>
      <c r="BA1603" s="48">
        <v>2</v>
      </c>
      <c r="BB1603" s="47" t="s">
        <v>2254</v>
      </c>
      <c r="BC1603" s="47" t="s">
        <v>270</v>
      </c>
      <c r="BD1603" s="47" t="s">
        <v>8374</v>
      </c>
      <c r="BE1603" s="48" t="s">
        <v>1712</v>
      </c>
      <c r="BF1603" s="48" t="s">
        <v>272</v>
      </c>
      <c r="BG1603" s="48" t="s">
        <v>272</v>
      </c>
      <c r="BH1603" s="48" t="s">
        <v>2255</v>
      </c>
      <c r="BI1603" s="98">
        <v>3.2676E-4</v>
      </c>
      <c r="BJ1603" s="98">
        <v>26.140799999999999</v>
      </c>
      <c r="BK1603" s="48"/>
      <c r="BL1603" s="487">
        <v>58.107860786650541</v>
      </c>
      <c r="BM1603" s="48" t="s">
        <v>891</v>
      </c>
      <c r="BN1603" s="233"/>
      <c r="BO1603" s="233"/>
      <c r="BP1603" s="233"/>
      <c r="BQ1603" s="233"/>
      <c r="BR1603" s="233"/>
      <c r="BS1603" s="48"/>
      <c r="BT1603" s="233"/>
      <c r="BU1603" s="228"/>
      <c r="BV1603" s="233"/>
      <c r="BW1603" s="233"/>
      <c r="BX1603" s="233"/>
      <c r="BY1603" s="233"/>
      <c r="BZ1603" s="233"/>
      <c r="CA1603" s="233"/>
      <c r="CB1603" s="233"/>
      <c r="CC1603" s="48"/>
      <c r="CD1603" s="48"/>
      <c r="CE1603" s="48"/>
      <c r="CF1603" s="48"/>
      <c r="CG1603" s="233"/>
      <c r="CH1603" s="48"/>
      <c r="CI1603" s="98"/>
      <c r="CJ1603" s="98"/>
      <c r="CK1603" s="49">
        <f t="shared" si="384"/>
        <v>2.222879972558244</v>
      </c>
      <c r="CL1603" s="229"/>
      <c r="CM1603" s="229"/>
      <c r="CN1603" s="229"/>
      <c r="CO1603" s="47" t="s">
        <v>892</v>
      </c>
      <c r="CP1603" s="500" t="s">
        <v>893</v>
      </c>
      <c r="CQ1603" s="224" t="s">
        <v>272</v>
      </c>
      <c r="CR1603" s="224"/>
      <c r="CS1603" s="230" t="s">
        <v>539</v>
      </c>
      <c r="CT1603" s="230"/>
      <c r="CU1603" s="230"/>
      <c r="CV1603" s="335">
        <f t="shared" si="385"/>
        <v>11.665678759962383</v>
      </c>
      <c r="CW1603" s="230">
        <f t="shared" si="390"/>
        <v>1</v>
      </c>
      <c r="CX1603" s="336" t="s">
        <v>539</v>
      </c>
      <c r="CY1603" s="230" t="s">
        <v>5921</v>
      </c>
    </row>
    <row r="1604" spans="1:103" ht="11.25" customHeight="1" x14ac:dyDescent="0.2">
      <c r="A1604" s="72">
        <v>1494</v>
      </c>
      <c r="B1604" s="224">
        <v>697</v>
      </c>
      <c r="C1604" s="46" t="s">
        <v>7516</v>
      </c>
      <c r="D1604" s="46"/>
      <c r="E1604" s="114"/>
      <c r="F1604" s="114" t="s">
        <v>4062</v>
      </c>
      <c r="G1604" s="225">
        <v>126535157</v>
      </c>
      <c r="H1604" s="47" t="s">
        <v>4063</v>
      </c>
      <c r="I1604" s="47" t="s">
        <v>4063</v>
      </c>
      <c r="J1604" s="47" t="s">
        <v>4064</v>
      </c>
      <c r="K1604" s="47" t="s">
        <v>3853</v>
      </c>
      <c r="L1604" s="47"/>
      <c r="M1604" s="47"/>
      <c r="N1604" s="47"/>
      <c r="O1604" s="47"/>
      <c r="P1604" s="53"/>
      <c r="Q1604" s="53" t="s">
        <v>6173</v>
      </c>
      <c r="R1604" s="53" t="s">
        <v>6175</v>
      </c>
      <c r="S1604" s="53" t="s">
        <v>6176</v>
      </c>
      <c r="T1604" s="48">
        <v>492.43</v>
      </c>
      <c r="U1604" s="98"/>
      <c r="V1604" s="98">
        <v>0.7298</v>
      </c>
      <c r="W1604" s="98">
        <v>10.527966717335826</v>
      </c>
      <c r="X1604" s="98">
        <v>10.527966717335826</v>
      </c>
      <c r="Y1604" s="233">
        <v>4.72</v>
      </c>
      <c r="Z1604" s="48">
        <v>3.94</v>
      </c>
      <c r="AA1604" s="48">
        <v>3.56</v>
      </c>
      <c r="AB1604" s="48">
        <v>2.66</v>
      </c>
      <c r="AC1604" s="48">
        <v>0.78600000000000003</v>
      </c>
      <c r="AD1604" s="48">
        <v>2.83</v>
      </c>
      <c r="AE1604" s="48">
        <v>3.57</v>
      </c>
      <c r="AF1604" s="48">
        <f t="shared" si="389"/>
        <v>3.56</v>
      </c>
      <c r="AG1604" s="49">
        <v>2.7</v>
      </c>
      <c r="AH1604" s="98">
        <v>1.25E-14</v>
      </c>
      <c r="AI1604" s="98"/>
      <c r="AJ1604" s="483">
        <f t="shared" si="387"/>
        <v>-12.291656313304596</v>
      </c>
      <c r="AK1604" s="483"/>
      <c r="AL1604" s="483">
        <f t="shared" si="386"/>
        <v>-12.291656313304596</v>
      </c>
      <c r="AM1604" s="483">
        <v>-25.929599999999997</v>
      </c>
      <c r="AN1604" s="226">
        <v>-24.9</v>
      </c>
      <c r="AO1604" s="484">
        <v>11.38</v>
      </c>
      <c r="AP1604" s="484">
        <v>4.13</v>
      </c>
      <c r="AQ1604" s="226" t="s">
        <v>6311</v>
      </c>
      <c r="AR1604" s="226" t="s">
        <v>6312</v>
      </c>
      <c r="AS1604" s="224" t="s">
        <v>63</v>
      </c>
      <c r="AT1604" s="50" t="s">
        <v>266</v>
      </c>
      <c r="AU1604" s="48">
        <v>8</v>
      </c>
      <c r="AV1604" s="48">
        <v>144</v>
      </c>
      <c r="AW1604" s="48">
        <v>120</v>
      </c>
      <c r="AX1604" s="48">
        <v>26</v>
      </c>
      <c r="AY1604" s="48" t="s">
        <v>267</v>
      </c>
      <c r="AZ1604" s="48" t="s">
        <v>2253</v>
      </c>
      <c r="BA1604" s="48">
        <v>2</v>
      </c>
      <c r="BB1604" s="47" t="s">
        <v>2254</v>
      </c>
      <c r="BC1604" s="47" t="s">
        <v>270</v>
      </c>
      <c r="BD1604" s="47" t="s">
        <v>8374</v>
      </c>
      <c r="BE1604" s="48" t="s">
        <v>1712</v>
      </c>
      <c r="BF1604" s="48" t="s">
        <v>272</v>
      </c>
      <c r="BG1604" s="48" t="s">
        <v>272</v>
      </c>
      <c r="BH1604" s="48" t="s">
        <v>2255</v>
      </c>
      <c r="BI1604" s="98">
        <v>4.9242999999999997E-4</v>
      </c>
      <c r="BJ1604" s="98">
        <v>39.394400000000005</v>
      </c>
      <c r="BK1604" s="48"/>
      <c r="BL1604" s="487">
        <v>7.3220131296477398</v>
      </c>
      <c r="BM1604" s="48" t="s">
        <v>891</v>
      </c>
      <c r="BN1604" s="233"/>
      <c r="BO1604" s="233"/>
      <c r="BP1604" s="233"/>
      <c r="BQ1604" s="233"/>
      <c r="BR1604" s="233"/>
      <c r="BS1604" s="48"/>
      <c r="BT1604" s="233"/>
      <c r="BU1604" s="228"/>
      <c r="BV1604" s="233"/>
      <c r="BW1604" s="233"/>
      <c r="BX1604" s="233"/>
      <c r="BY1604" s="233"/>
      <c r="BZ1604" s="233"/>
      <c r="CA1604" s="233"/>
      <c r="CB1604" s="233"/>
      <c r="CC1604" s="48"/>
      <c r="CD1604" s="48"/>
      <c r="CE1604" s="48"/>
      <c r="CF1604" s="48"/>
      <c r="CG1604" s="233"/>
      <c r="CH1604" s="48"/>
      <c r="CI1604" s="98"/>
      <c r="CJ1604" s="98"/>
      <c r="CK1604" s="49">
        <f t="shared" si="384"/>
        <v>0.18586431395446407</v>
      </c>
      <c r="CL1604" s="229"/>
      <c r="CM1604" s="229"/>
      <c r="CN1604" s="229"/>
      <c r="CO1604" s="47" t="s">
        <v>892</v>
      </c>
      <c r="CP1604" s="500" t="s">
        <v>893</v>
      </c>
      <c r="CQ1604" s="224" t="s">
        <v>272</v>
      </c>
      <c r="CR1604" s="224"/>
      <c r="CS1604" s="230" t="s">
        <v>539</v>
      </c>
      <c r="CT1604" s="230"/>
      <c r="CU1604" s="230"/>
      <c r="CV1604" s="335">
        <f t="shared" si="385"/>
        <v>0.26724526118777858</v>
      </c>
      <c r="CW1604" s="230">
        <f t="shared" si="390"/>
        <v>0</v>
      </c>
      <c r="CX1604" s="336" t="s">
        <v>539</v>
      </c>
      <c r="CY1604" s="230" t="s">
        <v>5921</v>
      </c>
    </row>
    <row r="1605" spans="1:103" ht="11.25" customHeight="1" x14ac:dyDescent="0.2">
      <c r="A1605" s="72">
        <v>1496</v>
      </c>
      <c r="B1605" s="224">
        <v>437</v>
      </c>
      <c r="C1605" s="46" t="s">
        <v>7517</v>
      </c>
      <c r="D1605" s="46"/>
      <c r="E1605" s="114"/>
      <c r="F1605" s="114" t="s">
        <v>3988</v>
      </c>
      <c r="G1605" s="225">
        <v>127277536</v>
      </c>
      <c r="H1605" s="47" t="s">
        <v>3989</v>
      </c>
      <c r="I1605" s="47" t="s">
        <v>8167</v>
      </c>
      <c r="J1605" s="47" t="s">
        <v>3990</v>
      </c>
      <c r="K1605" s="47" t="s">
        <v>403</v>
      </c>
      <c r="L1605" s="47"/>
      <c r="M1605" s="47"/>
      <c r="N1605" s="47"/>
      <c r="O1605" s="47"/>
      <c r="P1605" s="53"/>
      <c r="Q1605" s="53"/>
      <c r="R1605" s="53"/>
      <c r="S1605" s="53"/>
      <c r="T1605" s="48">
        <v>252.28</v>
      </c>
      <c r="U1605" s="98"/>
      <c r="V1605" s="98">
        <v>1000000</v>
      </c>
      <c r="W1605" s="98"/>
      <c r="X1605" s="98">
        <v>1000000</v>
      </c>
      <c r="Y1605" s="233"/>
      <c r="Z1605" s="48">
        <v>-2.58</v>
      </c>
      <c r="AA1605" s="48">
        <v>-2.9</v>
      </c>
      <c r="AB1605" s="48">
        <v>0</v>
      </c>
      <c r="AC1605" s="48">
        <v>0</v>
      </c>
      <c r="AD1605" s="48">
        <v>0</v>
      </c>
      <c r="AE1605" s="48">
        <v>0</v>
      </c>
      <c r="AF1605" s="48">
        <f t="shared" si="389"/>
        <v>-2.9</v>
      </c>
      <c r="AG1605" s="49" t="s">
        <v>404</v>
      </c>
      <c r="AH1605" s="98"/>
      <c r="AI1605" s="98"/>
      <c r="AJ1605" s="483"/>
      <c r="AK1605" s="483"/>
      <c r="AL1605" s="483"/>
      <c r="AM1605" s="483"/>
      <c r="AN1605" s="226"/>
      <c r="AO1605" s="484"/>
      <c r="AP1605" s="484"/>
      <c r="AQ1605" s="226" t="s">
        <v>6311</v>
      </c>
      <c r="AR1605" s="226" t="s">
        <v>6311</v>
      </c>
      <c r="AS1605" s="224" t="s">
        <v>6</v>
      </c>
      <c r="AT1605" s="50" t="s">
        <v>266</v>
      </c>
      <c r="AU1605" s="48">
        <v>8</v>
      </c>
      <c r="AV1605" s="48">
        <v>144</v>
      </c>
      <c r="AW1605" s="48">
        <v>120</v>
      </c>
      <c r="AX1605" s="48">
        <v>26</v>
      </c>
      <c r="AY1605" s="48" t="s">
        <v>267</v>
      </c>
      <c r="AZ1605" s="48" t="s">
        <v>2253</v>
      </c>
      <c r="BA1605" s="48">
        <v>3</v>
      </c>
      <c r="BB1605" s="47" t="s">
        <v>2254</v>
      </c>
      <c r="BC1605" s="47" t="s">
        <v>270</v>
      </c>
      <c r="BD1605" s="47" t="s">
        <v>8374</v>
      </c>
      <c r="BE1605" s="48" t="s">
        <v>1712</v>
      </c>
      <c r="BF1605" s="48" t="s">
        <v>272</v>
      </c>
      <c r="BG1605" s="48" t="s">
        <v>272</v>
      </c>
      <c r="BH1605" s="48" t="s">
        <v>2255</v>
      </c>
      <c r="BI1605" s="98">
        <v>2.5227999999999996E-4</v>
      </c>
      <c r="BJ1605" s="98">
        <v>20.182400000000001</v>
      </c>
      <c r="BK1605" s="48"/>
      <c r="BL1605" s="487">
        <v>2690176.7956168554</v>
      </c>
      <c r="BM1605" s="48" t="s">
        <v>891</v>
      </c>
      <c r="BN1605" s="233"/>
      <c r="BO1605" s="233"/>
      <c r="BP1605" s="233"/>
      <c r="BQ1605" s="233"/>
      <c r="BR1605" s="233"/>
      <c r="BS1605" s="48"/>
      <c r="BT1605" s="233"/>
      <c r="BU1605" s="228"/>
      <c r="BV1605" s="233"/>
      <c r="BW1605" s="233"/>
      <c r="BX1605" s="233"/>
      <c r="BY1605" s="233"/>
      <c r="BZ1605" s="233"/>
      <c r="CA1605" s="233"/>
      <c r="CB1605" s="233"/>
      <c r="CC1605" s="48"/>
      <c r="CD1605" s="48"/>
      <c r="CE1605" s="48"/>
      <c r="CF1605" s="48"/>
      <c r="CG1605" s="233"/>
      <c r="CH1605" s="48"/>
      <c r="CI1605" s="98"/>
      <c r="CJ1605" s="98"/>
      <c r="CK1605" s="49">
        <f t="shared" si="384"/>
        <v>133293.20574445336</v>
      </c>
      <c r="CL1605" s="229"/>
      <c r="CM1605" s="229"/>
      <c r="CN1605" s="229"/>
      <c r="CO1605" s="47" t="s">
        <v>892</v>
      </c>
      <c r="CP1605" s="500" t="s">
        <v>893</v>
      </c>
      <c r="CQ1605" s="224" t="s">
        <v>272</v>
      </c>
      <c r="CR1605" s="224"/>
      <c r="CS1605" s="230" t="s">
        <v>539</v>
      </c>
      <c r="CT1605" s="230"/>
      <c r="CU1605" s="230"/>
      <c r="CV1605" s="335">
        <f t="shared" si="385"/>
        <v>49548.121135246547</v>
      </c>
      <c r="CW1605" s="230">
        <f t="shared" si="390"/>
        <v>1</v>
      </c>
      <c r="CX1605" s="336" t="s">
        <v>539</v>
      </c>
      <c r="CY1605" s="230" t="s">
        <v>5921</v>
      </c>
    </row>
    <row r="1606" spans="1:103" ht="11.25" customHeight="1" x14ac:dyDescent="0.2">
      <c r="A1606" s="72">
        <v>1501</v>
      </c>
      <c r="B1606" s="224">
        <v>699</v>
      </c>
      <c r="C1606" s="46" t="s">
        <v>7520</v>
      </c>
      <c r="D1606" s="46"/>
      <c r="E1606" s="114"/>
      <c r="F1606" s="114" t="s">
        <v>4065</v>
      </c>
      <c r="G1606" s="225">
        <v>131983727</v>
      </c>
      <c r="H1606" s="47" t="s">
        <v>4066</v>
      </c>
      <c r="I1606" s="47" t="s">
        <v>8168</v>
      </c>
      <c r="J1606" s="47" t="s">
        <v>4067</v>
      </c>
      <c r="K1606" s="47" t="s">
        <v>1122</v>
      </c>
      <c r="L1606" s="47"/>
      <c r="M1606" s="47"/>
      <c r="N1606" s="47"/>
      <c r="O1606" s="47"/>
      <c r="P1606" s="53"/>
      <c r="Q1606" s="53"/>
      <c r="R1606" s="53"/>
      <c r="S1606" s="53"/>
      <c r="T1606" s="48">
        <v>317.81</v>
      </c>
      <c r="U1606" s="98">
        <v>7</v>
      </c>
      <c r="V1606" s="98">
        <v>48.39</v>
      </c>
      <c r="W1606" s="98">
        <v>87.532142420790137</v>
      </c>
      <c r="X1606" s="98">
        <v>7</v>
      </c>
      <c r="Y1606" s="233">
        <v>7.08</v>
      </c>
      <c r="Z1606" s="48">
        <v>4.1100000000000003</v>
      </c>
      <c r="AA1606" s="48">
        <v>3.29</v>
      </c>
      <c r="AB1606" s="48">
        <v>3.42</v>
      </c>
      <c r="AC1606" s="48">
        <v>0.77929999999999999</v>
      </c>
      <c r="AD1606" s="48">
        <v>3.32</v>
      </c>
      <c r="AE1606" s="48">
        <v>3.07</v>
      </c>
      <c r="AF1606" s="48">
        <f t="shared" si="389"/>
        <v>3.29</v>
      </c>
      <c r="AG1606" s="49">
        <v>3.46</v>
      </c>
      <c r="AH1606" s="98">
        <v>1.4800000000000001E-10</v>
      </c>
      <c r="AI1606" s="98"/>
      <c r="AJ1606" s="483">
        <f t="shared" ref="AJ1606:AJ1619" si="391">LOG10(AH1606*1000/(0.08206*298.15))</f>
        <v>-8.2183046109176949</v>
      </c>
      <c r="AK1606" s="483"/>
      <c r="AL1606" s="483">
        <f t="shared" ref="AL1606:AL1619" si="392">IF(AK1606=0,AJ1606,AK1606)</f>
        <v>-8.2183046109176949</v>
      </c>
      <c r="AM1606" s="483">
        <v>-13.95701</v>
      </c>
      <c r="AN1606" s="226">
        <v>-8.42</v>
      </c>
      <c r="AO1606" s="484">
        <v>13.24</v>
      </c>
      <c r="AP1606" s="484">
        <v>2.98</v>
      </c>
      <c r="AQ1606" s="226" t="s">
        <v>6311</v>
      </c>
      <c r="AR1606" s="226" t="s">
        <v>6311</v>
      </c>
      <c r="AS1606" s="224" t="s">
        <v>6</v>
      </c>
      <c r="AT1606" s="50" t="s">
        <v>266</v>
      </c>
      <c r="AU1606" s="48">
        <v>8</v>
      </c>
      <c r="AV1606" s="48">
        <v>144</v>
      </c>
      <c r="AW1606" s="48">
        <v>120</v>
      </c>
      <c r="AX1606" s="48">
        <v>26</v>
      </c>
      <c r="AY1606" s="48" t="s">
        <v>267</v>
      </c>
      <c r="AZ1606" s="48" t="s">
        <v>2253</v>
      </c>
      <c r="BA1606" s="48">
        <v>2</v>
      </c>
      <c r="BB1606" s="47" t="s">
        <v>2254</v>
      </c>
      <c r="BC1606" s="47" t="s">
        <v>270</v>
      </c>
      <c r="BD1606" s="47" t="s">
        <v>8374</v>
      </c>
      <c r="BE1606" s="48" t="s">
        <v>1712</v>
      </c>
      <c r="BF1606" s="48" t="s">
        <v>272</v>
      </c>
      <c r="BG1606" s="48" t="s">
        <v>272</v>
      </c>
      <c r="BH1606" s="48" t="s">
        <v>2255</v>
      </c>
      <c r="BI1606" s="98">
        <v>3.1780999999999997E-4</v>
      </c>
      <c r="BJ1606" s="98">
        <v>25.424800000000001</v>
      </c>
      <c r="BK1606" s="48"/>
      <c r="BL1606" s="487">
        <v>3.3248844613536717</v>
      </c>
      <c r="BM1606" s="48" t="s">
        <v>891</v>
      </c>
      <c r="BN1606" s="233"/>
      <c r="BO1606" s="233"/>
      <c r="BP1606" s="233"/>
      <c r="BQ1606" s="233"/>
      <c r="BR1606" s="233"/>
      <c r="BS1606" s="48"/>
      <c r="BT1606" s="233"/>
      <c r="BU1606" s="228"/>
      <c r="BV1606" s="233"/>
      <c r="BW1606" s="233"/>
      <c r="BX1606" s="233"/>
      <c r="BY1606" s="233"/>
      <c r="BZ1606" s="233"/>
      <c r="CA1606" s="233"/>
      <c r="CB1606" s="233"/>
      <c r="CC1606" s="48"/>
      <c r="CD1606" s="238"/>
      <c r="CE1606" s="238"/>
      <c r="CF1606" s="238"/>
      <c r="CG1606" s="233"/>
      <c r="CH1606" s="48"/>
      <c r="CI1606" s="98"/>
      <c r="CJ1606" s="98"/>
      <c r="CK1606" s="49">
        <f t="shared" si="384"/>
        <v>0.13077327889909346</v>
      </c>
      <c r="CL1606" s="229"/>
      <c r="CM1606" s="229"/>
      <c r="CN1606" s="229"/>
      <c r="CO1606" s="47" t="s">
        <v>892</v>
      </c>
      <c r="CP1606" s="500" t="s">
        <v>893</v>
      </c>
      <c r="CQ1606" s="224" t="s">
        <v>272</v>
      </c>
      <c r="CR1606" s="224"/>
      <c r="CS1606" s="230" t="s">
        <v>539</v>
      </c>
      <c r="CT1606" s="230"/>
      <c r="CU1606" s="230"/>
      <c r="CV1606" s="335">
        <f t="shared" si="385"/>
        <v>0.27532173311097824</v>
      </c>
      <c r="CW1606" s="230">
        <f t="shared" si="390"/>
        <v>0</v>
      </c>
      <c r="CX1606" s="336" t="s">
        <v>539</v>
      </c>
      <c r="CY1606" s="230" t="s">
        <v>5921</v>
      </c>
    </row>
    <row r="1607" spans="1:103" ht="11.25" customHeight="1" x14ac:dyDescent="0.2">
      <c r="A1607" s="72">
        <v>1505</v>
      </c>
      <c r="B1607" s="224">
        <v>219</v>
      </c>
      <c r="C1607" s="46" t="s">
        <v>7522</v>
      </c>
      <c r="D1607" s="46"/>
      <c r="E1607" s="114"/>
      <c r="F1607" s="114" t="s">
        <v>3717</v>
      </c>
      <c r="G1607" s="225">
        <v>135410207</v>
      </c>
      <c r="H1607" s="47" t="s">
        <v>3718</v>
      </c>
      <c r="I1607" s="47" t="s">
        <v>8170</v>
      </c>
      <c r="J1607" s="47" t="s">
        <v>3719</v>
      </c>
      <c r="K1607" s="47" t="s">
        <v>2432</v>
      </c>
      <c r="L1607" s="47" t="s">
        <v>617</v>
      </c>
      <c r="M1607" s="47" t="s">
        <v>2433</v>
      </c>
      <c r="N1607" s="47"/>
      <c r="O1607" s="47" t="s">
        <v>918</v>
      </c>
      <c r="P1607" s="53"/>
      <c r="Q1607" s="53"/>
      <c r="R1607" s="53"/>
      <c r="S1607" s="53"/>
      <c r="T1607" s="48">
        <v>222.67</v>
      </c>
      <c r="U1607" s="98">
        <v>4200</v>
      </c>
      <c r="V1607" s="98">
        <v>222.6</v>
      </c>
      <c r="W1607" s="98">
        <v>1728.4694545971074</v>
      </c>
      <c r="X1607" s="98">
        <v>4200</v>
      </c>
      <c r="Y1607" s="233">
        <v>7</v>
      </c>
      <c r="Z1607" s="48">
        <v>2.5499999999999998</v>
      </c>
      <c r="AA1607" s="48"/>
      <c r="AB1607" s="48">
        <v>1.19</v>
      </c>
      <c r="AC1607" s="48">
        <v>0.8357</v>
      </c>
      <c r="AD1607" s="48">
        <v>1.06</v>
      </c>
      <c r="AE1607" s="48">
        <v>0.62</v>
      </c>
      <c r="AF1607" s="48">
        <f t="shared" si="389"/>
        <v>1.06</v>
      </c>
      <c r="AG1607" s="49">
        <v>2.02</v>
      </c>
      <c r="AH1607" s="98">
        <v>6.9199999999999998E-8</v>
      </c>
      <c r="AI1607" s="98"/>
      <c r="AJ1607" s="483">
        <f t="shared" si="391"/>
        <v>-5.548460231855894</v>
      </c>
      <c r="AK1607" s="483"/>
      <c r="AL1607" s="483">
        <f t="shared" si="392"/>
        <v>-5.548460231855894</v>
      </c>
      <c r="AM1607" s="483">
        <v>-11.255369999999999</v>
      </c>
      <c r="AN1607" s="226">
        <v>-9.56</v>
      </c>
      <c r="AO1607" s="484"/>
      <c r="AP1607" s="484">
        <v>-0.44</v>
      </c>
      <c r="AQ1607" s="226" t="s">
        <v>6311</v>
      </c>
      <c r="AR1607" s="226" t="s">
        <v>6311</v>
      </c>
      <c r="AS1607" s="224" t="s">
        <v>6</v>
      </c>
      <c r="AT1607" s="50" t="s">
        <v>266</v>
      </c>
      <c r="AU1607" s="48">
        <v>8</v>
      </c>
      <c r="AV1607" s="48">
        <v>144</v>
      </c>
      <c r="AW1607" s="48">
        <v>120</v>
      </c>
      <c r="AX1607" s="48">
        <v>26</v>
      </c>
      <c r="AY1607" s="48" t="s">
        <v>267</v>
      </c>
      <c r="AZ1607" s="48" t="s">
        <v>2253</v>
      </c>
      <c r="BA1607" s="48">
        <v>2</v>
      </c>
      <c r="BB1607" s="47" t="s">
        <v>2254</v>
      </c>
      <c r="BC1607" s="47" t="s">
        <v>270</v>
      </c>
      <c r="BD1607" s="47" t="s">
        <v>8374</v>
      </c>
      <c r="BE1607" s="48" t="s">
        <v>1712</v>
      </c>
      <c r="BF1607" s="48" t="s">
        <v>272</v>
      </c>
      <c r="BG1607" s="48" t="s">
        <v>272</v>
      </c>
      <c r="BH1607" s="48" t="s">
        <v>2255</v>
      </c>
      <c r="BI1607" s="98">
        <v>2.2266999999999998E-4</v>
      </c>
      <c r="BJ1607" s="98">
        <v>17.813600000000001</v>
      </c>
      <c r="BK1607" s="48"/>
      <c r="BL1607" s="487">
        <v>58.655225546922601</v>
      </c>
      <c r="BM1607" s="48" t="s">
        <v>891</v>
      </c>
      <c r="BN1607" s="233"/>
      <c r="BO1607" s="233"/>
      <c r="BP1607" s="233"/>
      <c r="BQ1607" s="233"/>
      <c r="BR1607" s="233"/>
      <c r="BS1607" s="48"/>
      <c r="BT1607" s="233"/>
      <c r="BU1607" s="228"/>
      <c r="BV1607" s="233"/>
      <c r="BW1607" s="233"/>
      <c r="BX1607" s="233"/>
      <c r="BY1607" s="233"/>
      <c r="BZ1607" s="233"/>
      <c r="CA1607" s="233"/>
      <c r="CB1607" s="233"/>
      <c r="CC1607" s="48"/>
      <c r="CD1607" s="48"/>
      <c r="CE1607" s="48"/>
      <c r="CF1607" s="48"/>
      <c r="CG1607" s="233"/>
      <c r="CH1607" s="48"/>
      <c r="CI1607" s="98"/>
      <c r="CJ1607" s="98"/>
      <c r="CK1607" s="49">
        <f t="shared" si="384"/>
        <v>3.2927216029843827</v>
      </c>
      <c r="CL1607" s="229"/>
      <c r="CM1607" s="229"/>
      <c r="CN1607" s="229"/>
      <c r="CO1607" s="47" t="s">
        <v>892</v>
      </c>
      <c r="CP1607" s="500" t="s">
        <v>893</v>
      </c>
      <c r="CQ1607" s="224" t="s">
        <v>272</v>
      </c>
      <c r="CR1607" s="224"/>
      <c r="CS1607" s="230" t="s">
        <v>539</v>
      </c>
      <c r="CT1607" s="230"/>
      <c r="CU1607" s="230"/>
      <c r="CV1607" s="335">
        <f t="shared" si="385"/>
        <v>235.77491354919835</v>
      </c>
      <c r="CW1607" s="230">
        <f t="shared" si="390"/>
        <v>1</v>
      </c>
      <c r="CX1607" s="336" t="s">
        <v>539</v>
      </c>
      <c r="CY1607" s="230" t="s">
        <v>5921</v>
      </c>
    </row>
    <row r="1608" spans="1:103" ht="11.25" customHeight="1" x14ac:dyDescent="0.2">
      <c r="A1608" s="72">
        <v>1509</v>
      </c>
      <c r="B1608" s="224">
        <v>358</v>
      </c>
      <c r="C1608" s="46" t="s">
        <v>7524</v>
      </c>
      <c r="D1608" s="46" t="s">
        <v>8678</v>
      </c>
      <c r="E1608" s="114"/>
      <c r="F1608" s="114" t="s">
        <v>2429</v>
      </c>
      <c r="G1608" s="225">
        <v>138261413</v>
      </c>
      <c r="H1608" s="47" t="s">
        <v>2430</v>
      </c>
      <c r="I1608" s="47" t="s">
        <v>8172</v>
      </c>
      <c r="J1608" s="47" t="s">
        <v>3212</v>
      </c>
      <c r="K1608" s="47" t="s">
        <v>2432</v>
      </c>
      <c r="L1608" s="47" t="s">
        <v>617</v>
      </c>
      <c r="M1608" s="47" t="s">
        <v>8691</v>
      </c>
      <c r="N1608" s="47" t="s">
        <v>2342</v>
      </c>
      <c r="O1608" s="47" t="s">
        <v>8692</v>
      </c>
      <c r="P1608" s="53" t="s">
        <v>8538</v>
      </c>
      <c r="Q1608" s="53" t="s">
        <v>6173</v>
      </c>
      <c r="R1608" s="53" t="s">
        <v>6183</v>
      </c>
      <c r="S1608" s="53" t="s">
        <v>6173</v>
      </c>
      <c r="T1608" s="48">
        <v>255.66</v>
      </c>
      <c r="U1608" s="98">
        <v>610</v>
      </c>
      <c r="V1608" s="98">
        <v>7172</v>
      </c>
      <c r="W1608" s="98">
        <v>1728.4737348871395</v>
      </c>
      <c r="X1608" s="98">
        <v>610</v>
      </c>
      <c r="Y1608" s="233">
        <v>7</v>
      </c>
      <c r="Z1608" s="48">
        <v>0.56000000000000005</v>
      </c>
      <c r="AA1608" s="48">
        <v>0.56999999999999995</v>
      </c>
      <c r="AB1608" s="48">
        <v>0.42</v>
      </c>
      <c r="AC1608" s="48">
        <v>0.87409999999999999</v>
      </c>
      <c r="AD1608" s="48">
        <v>0.38</v>
      </c>
      <c r="AE1608" s="48">
        <v>0.2</v>
      </c>
      <c r="AF1608" s="48">
        <f t="shared" si="389"/>
        <v>0.56999999999999995</v>
      </c>
      <c r="AG1608" s="49">
        <v>1.21</v>
      </c>
      <c r="AH1608" s="98">
        <v>1.04E-13</v>
      </c>
      <c r="AI1608" s="98">
        <v>1.65E-15</v>
      </c>
      <c r="AJ1608" s="483">
        <f t="shared" si="391"/>
        <v>-11.371532987013872</v>
      </c>
      <c r="AK1608" s="483">
        <f>LOG10(AI1608*1000/(0.08206*298.15))</f>
        <v>-13.171082382098746</v>
      </c>
      <c r="AL1608" s="483">
        <f t="shared" si="392"/>
        <v>-13.171082382098746</v>
      </c>
      <c r="AM1608" s="483">
        <v>-15.755459999999998</v>
      </c>
      <c r="AN1608" s="226">
        <v>-12.2</v>
      </c>
      <c r="AO1608" s="484"/>
      <c r="AP1608" s="484">
        <v>0.26</v>
      </c>
      <c r="AQ1608" s="226" t="s">
        <v>6311</v>
      </c>
      <c r="AR1608" s="226" t="s">
        <v>6311</v>
      </c>
      <c r="AS1608" s="224" t="s">
        <v>6</v>
      </c>
      <c r="AT1608" s="50" t="s">
        <v>266</v>
      </c>
      <c r="AU1608" s="48">
        <v>8</v>
      </c>
      <c r="AV1608" s="48">
        <v>144</v>
      </c>
      <c r="AW1608" s="48">
        <v>120</v>
      </c>
      <c r="AX1608" s="48">
        <v>26</v>
      </c>
      <c r="AY1608" s="48" t="s">
        <v>267</v>
      </c>
      <c r="AZ1608" s="48" t="s">
        <v>2253</v>
      </c>
      <c r="BA1608" s="48">
        <v>2</v>
      </c>
      <c r="BB1608" s="47" t="s">
        <v>2254</v>
      </c>
      <c r="BC1608" s="47" t="s">
        <v>270</v>
      </c>
      <c r="BD1608" s="47" t="s">
        <v>8374</v>
      </c>
      <c r="BE1608" s="48" t="s">
        <v>1712</v>
      </c>
      <c r="BF1608" s="48" t="s">
        <v>272</v>
      </c>
      <c r="BG1608" s="48" t="s">
        <v>272</v>
      </c>
      <c r="BH1608" s="48" t="s">
        <v>2255</v>
      </c>
      <c r="BI1608" s="98">
        <v>2.5566E-4</v>
      </c>
      <c r="BJ1608" s="98">
        <v>20.4528</v>
      </c>
      <c r="BK1608" s="48"/>
      <c r="BL1608" s="487">
        <v>4125.9768279244026</v>
      </c>
      <c r="BM1608" s="48" t="s">
        <v>891</v>
      </c>
      <c r="BN1608" s="233"/>
      <c r="BO1608" s="233"/>
      <c r="BP1608" s="233"/>
      <c r="BQ1608" s="233"/>
      <c r="BR1608" s="233"/>
      <c r="BS1608" s="48"/>
      <c r="BT1608" s="233"/>
      <c r="BU1608" s="228"/>
      <c r="BV1608" s="233"/>
      <c r="BW1608" s="233"/>
      <c r="BX1608" s="233"/>
      <c r="BY1608" s="233"/>
      <c r="BZ1608" s="233"/>
      <c r="CA1608" s="233"/>
      <c r="CB1608" s="233"/>
      <c r="CC1608" s="48"/>
      <c r="CD1608" s="48"/>
      <c r="CE1608" s="48"/>
      <c r="CF1608" s="48"/>
      <c r="CG1608" s="233"/>
      <c r="CH1608" s="48"/>
      <c r="CI1608" s="98"/>
      <c r="CJ1608" s="98"/>
      <c r="CK1608" s="49">
        <f t="shared" si="384"/>
        <v>201.73163713156157</v>
      </c>
      <c r="CL1608" s="229"/>
      <c r="CM1608" s="229"/>
      <c r="CN1608" s="229"/>
      <c r="CO1608" s="47" t="s">
        <v>892</v>
      </c>
      <c r="CP1608" s="500" t="s">
        <v>893</v>
      </c>
      <c r="CQ1608" s="224">
        <v>2.3580728468633363</v>
      </c>
      <c r="CR1608" s="224">
        <f>10^(CJ1608-CQ1608)</f>
        <v>4.384571465140868E-3</v>
      </c>
      <c r="CS1608" s="230" t="s">
        <v>539</v>
      </c>
      <c r="CT1608" s="230"/>
      <c r="CU1608" s="230"/>
      <c r="CV1608" s="335">
        <f t="shared" si="385"/>
        <v>29.824767269029181</v>
      </c>
      <c r="CW1608" s="230">
        <f t="shared" si="390"/>
        <v>1</v>
      </c>
      <c r="CX1608" s="336" t="s">
        <v>539</v>
      </c>
      <c r="CY1608" s="230" t="s">
        <v>5921</v>
      </c>
    </row>
    <row r="1609" spans="1:103" ht="11.25" customHeight="1" x14ac:dyDescent="0.2">
      <c r="A1609" s="72">
        <v>1513</v>
      </c>
      <c r="B1609" s="224">
        <v>366</v>
      </c>
      <c r="C1609" s="46" t="s">
        <v>7527</v>
      </c>
      <c r="D1609" s="46" t="s">
        <v>8679</v>
      </c>
      <c r="E1609" s="114"/>
      <c r="F1609" s="114" t="s">
        <v>3910</v>
      </c>
      <c r="G1609" s="225">
        <v>141112290</v>
      </c>
      <c r="H1609" s="47" t="s">
        <v>3911</v>
      </c>
      <c r="I1609" s="47" t="s">
        <v>8174</v>
      </c>
      <c r="J1609" s="47" t="s">
        <v>3912</v>
      </c>
      <c r="K1609" s="47" t="s">
        <v>426</v>
      </c>
      <c r="L1609" s="47" t="s">
        <v>6044</v>
      </c>
      <c r="M1609" s="47" t="s">
        <v>5960</v>
      </c>
      <c r="N1609" s="47"/>
      <c r="O1609" s="47"/>
      <c r="P1609" s="53"/>
      <c r="Q1609" s="53"/>
      <c r="R1609" s="53"/>
      <c r="S1609" s="53"/>
      <c r="T1609" s="48">
        <v>359.32</v>
      </c>
      <c r="U1609" s="98">
        <v>6.2</v>
      </c>
      <c r="V1609" s="98">
        <v>56.79999999999999</v>
      </c>
      <c r="W1609" s="98">
        <v>22.155491606886766</v>
      </c>
      <c r="X1609" s="98">
        <v>6.2</v>
      </c>
      <c r="Y1609" s="233">
        <v>7</v>
      </c>
      <c r="Z1609" s="48">
        <v>2.25</v>
      </c>
      <c r="AA1609" s="48">
        <v>2.3199999999999998</v>
      </c>
      <c r="AB1609" s="48">
        <v>2.5499999999999998</v>
      </c>
      <c r="AC1609" s="48">
        <v>0.82920000000000005</v>
      </c>
      <c r="AD1609" s="48">
        <v>2.46</v>
      </c>
      <c r="AE1609" s="48">
        <v>1.67</v>
      </c>
      <c r="AF1609" s="48">
        <f t="shared" si="389"/>
        <v>2.3199999999999998</v>
      </c>
      <c r="AG1609" s="49">
        <v>3.04</v>
      </c>
      <c r="AH1609" s="98">
        <v>3.5299999999999997E-11</v>
      </c>
      <c r="AI1609" s="98">
        <v>1.8500000000000001E-10</v>
      </c>
      <c r="AJ1609" s="483">
        <f t="shared" si="391"/>
        <v>-8.8407916209248292</v>
      </c>
      <c r="AK1609" s="483">
        <f>LOG10(AI1609*1000/(0.08206*298.15))</f>
        <v>-8.1213945979096387</v>
      </c>
      <c r="AL1609" s="483">
        <f t="shared" si="392"/>
        <v>-8.1213945979096387</v>
      </c>
      <c r="AM1609" s="483">
        <v>-13.732060000000001</v>
      </c>
      <c r="AN1609" s="226">
        <v>-17.399999999999999</v>
      </c>
      <c r="AO1609" s="484"/>
      <c r="AP1609" s="484">
        <v>-4.29</v>
      </c>
      <c r="AQ1609" s="226" t="s">
        <v>6311</v>
      </c>
      <c r="AR1609" s="226" t="s">
        <v>6311</v>
      </c>
      <c r="AS1609" s="224" t="s">
        <v>6</v>
      </c>
      <c r="AT1609" s="50" t="s">
        <v>266</v>
      </c>
      <c r="AU1609" s="48">
        <v>8</v>
      </c>
      <c r="AV1609" s="48">
        <v>144</v>
      </c>
      <c r="AW1609" s="48">
        <v>120</v>
      </c>
      <c r="AX1609" s="48">
        <v>26</v>
      </c>
      <c r="AY1609" s="48" t="s">
        <v>267</v>
      </c>
      <c r="AZ1609" s="48" t="s">
        <v>2253</v>
      </c>
      <c r="BA1609" s="48">
        <v>2</v>
      </c>
      <c r="BB1609" s="47" t="s">
        <v>2254</v>
      </c>
      <c r="BC1609" s="47" t="s">
        <v>270</v>
      </c>
      <c r="BD1609" s="47" t="s">
        <v>8374</v>
      </c>
      <c r="BE1609" s="48" t="s">
        <v>1712</v>
      </c>
      <c r="BF1609" s="48" t="s">
        <v>272</v>
      </c>
      <c r="BG1609" s="48" t="s">
        <v>272</v>
      </c>
      <c r="BH1609" s="48" t="s">
        <v>2255</v>
      </c>
      <c r="BI1609" s="98">
        <v>3.5932E-4</v>
      </c>
      <c r="BJ1609" s="98">
        <v>28.7456</v>
      </c>
      <c r="BK1609" s="48"/>
      <c r="BL1609" s="487">
        <v>176.01771993426911</v>
      </c>
      <c r="BM1609" s="48" t="s">
        <v>891</v>
      </c>
      <c r="BN1609" s="233"/>
      <c r="BO1609" s="233"/>
      <c r="BP1609" s="233"/>
      <c r="BQ1609" s="233"/>
      <c r="BR1609" s="233"/>
      <c r="BS1609" s="48"/>
      <c r="BT1609" s="233"/>
      <c r="BU1609" s="228"/>
      <c r="BV1609" s="233"/>
      <c r="BW1609" s="233"/>
      <c r="BX1609" s="233"/>
      <c r="BY1609" s="233"/>
      <c r="BZ1609" s="233"/>
      <c r="CA1609" s="233"/>
      <c r="CB1609" s="233"/>
      <c r="CC1609" s="48"/>
      <c r="CD1609" s="48"/>
      <c r="CE1609" s="48"/>
      <c r="CF1609" s="48"/>
      <c r="CG1609" s="233"/>
      <c r="CH1609" s="48"/>
      <c r="CI1609" s="98"/>
      <c r="CJ1609" s="98"/>
      <c r="CK1609" s="49">
        <f t="shared" si="384"/>
        <v>6.123292605973405</v>
      </c>
      <c r="CL1609" s="229"/>
      <c r="CM1609" s="229"/>
      <c r="CN1609" s="229"/>
      <c r="CO1609" s="47" t="s">
        <v>892</v>
      </c>
      <c r="CP1609" s="500" t="s">
        <v>893</v>
      </c>
      <c r="CQ1609" s="224">
        <v>2.2041199826559246</v>
      </c>
      <c r="CR1609" s="224">
        <f>10^(CJ1609-CQ1609)</f>
        <v>6.2500000000000021E-3</v>
      </c>
      <c r="CS1609" s="230" t="s">
        <v>539</v>
      </c>
      <c r="CT1609" s="230"/>
      <c r="CU1609" s="230"/>
      <c r="CV1609" s="335">
        <f t="shared" si="385"/>
        <v>0.21568518312367807</v>
      </c>
      <c r="CW1609" s="230">
        <f t="shared" si="390"/>
        <v>0</v>
      </c>
      <c r="CX1609" s="336" t="s">
        <v>539</v>
      </c>
      <c r="CY1609" s="230" t="s">
        <v>5921</v>
      </c>
    </row>
    <row r="1610" spans="1:103" ht="11.25" customHeight="1" x14ac:dyDescent="0.2">
      <c r="A1610" s="72">
        <v>1516</v>
      </c>
      <c r="B1610" s="224">
        <v>361</v>
      </c>
      <c r="C1610" s="46" t="s">
        <v>7528</v>
      </c>
      <c r="D1610" s="46"/>
      <c r="E1610" s="114"/>
      <c r="F1610" s="114" t="s">
        <v>3904</v>
      </c>
      <c r="G1610" s="225">
        <v>144550367</v>
      </c>
      <c r="H1610" s="47" t="s">
        <v>4970</v>
      </c>
      <c r="I1610" s="47" t="s">
        <v>7768</v>
      </c>
      <c r="J1610" s="47" t="s">
        <v>3905</v>
      </c>
      <c r="K1610" s="47"/>
      <c r="L1610" s="47"/>
      <c r="M1610" s="47"/>
      <c r="N1610" s="47"/>
      <c r="O1610" s="47"/>
      <c r="P1610" s="53"/>
      <c r="Q1610" s="53"/>
      <c r="R1610" s="53"/>
      <c r="S1610" s="53"/>
      <c r="T1610" s="48">
        <v>529.24</v>
      </c>
      <c r="U1610" s="98"/>
      <c r="V1610" s="98">
        <v>2.3109999999999999</v>
      </c>
      <c r="W1610" s="98">
        <v>12.991301465371428</v>
      </c>
      <c r="X1610" s="98">
        <v>12.991301465371428</v>
      </c>
      <c r="Y1610" s="233">
        <v>4.6399999999999997</v>
      </c>
      <c r="Z1610" s="48">
        <v>2.87</v>
      </c>
      <c r="AA1610" s="48"/>
      <c r="AB1610" s="48">
        <v>2.54</v>
      </c>
      <c r="AC1610" s="48">
        <v>0.61509999999999998</v>
      </c>
      <c r="AD1610" s="48">
        <v>3.03</v>
      </c>
      <c r="AE1610" s="48">
        <v>4</v>
      </c>
      <c r="AF1610" s="48">
        <f t="shared" si="389"/>
        <v>3.03</v>
      </c>
      <c r="AG1610" s="49">
        <v>3.03</v>
      </c>
      <c r="AH1610" s="98">
        <v>4.2099999999999999E-14</v>
      </c>
      <c r="AI1610" s="98"/>
      <c r="AJ1610" s="483">
        <f t="shared" si="391"/>
        <v>-11.764284230476983</v>
      </c>
      <c r="AK1610" s="483"/>
      <c r="AL1610" s="483">
        <f t="shared" si="392"/>
        <v>-11.764284230476983</v>
      </c>
      <c r="AM1610" s="483">
        <v>-25.779900000000001</v>
      </c>
      <c r="AN1610" s="226"/>
      <c r="AO1610" s="484">
        <v>3.69</v>
      </c>
      <c r="AP1610" s="484">
        <v>1.51</v>
      </c>
      <c r="AQ1610" s="226" t="s">
        <v>6311</v>
      </c>
      <c r="AR1610" s="226" t="s">
        <v>6312</v>
      </c>
      <c r="AS1610" s="224" t="s">
        <v>120</v>
      </c>
      <c r="AT1610" s="50" t="s">
        <v>266</v>
      </c>
      <c r="AU1610" s="48">
        <v>8</v>
      </c>
      <c r="AV1610" s="48">
        <v>144</v>
      </c>
      <c r="AW1610" s="48">
        <v>120</v>
      </c>
      <c r="AX1610" s="48">
        <v>26</v>
      </c>
      <c r="AY1610" s="48" t="s">
        <v>267</v>
      </c>
      <c r="AZ1610" s="48" t="s">
        <v>2253</v>
      </c>
      <c r="BA1610" s="48">
        <v>3</v>
      </c>
      <c r="BB1610" s="47" t="s">
        <v>2254</v>
      </c>
      <c r="BC1610" s="47" t="s">
        <v>270</v>
      </c>
      <c r="BD1610" s="47" t="s">
        <v>8374</v>
      </c>
      <c r="BE1610" s="48" t="s">
        <v>1712</v>
      </c>
      <c r="BF1610" s="48" t="s">
        <v>272</v>
      </c>
      <c r="BG1610" s="48" t="s">
        <v>272</v>
      </c>
      <c r="BH1610" s="48" t="s">
        <v>2255</v>
      </c>
      <c r="BI1610" s="98">
        <v>5.2923999999999994E-4</v>
      </c>
      <c r="BJ1610" s="98">
        <v>42.339199999999998</v>
      </c>
      <c r="BK1610" s="48"/>
      <c r="BL1610" s="487">
        <v>71.929271331041733</v>
      </c>
      <c r="BM1610" s="48" t="s">
        <v>891</v>
      </c>
      <c r="BN1610" s="233"/>
      <c r="BO1610" s="233"/>
      <c r="BP1610" s="233"/>
      <c r="BQ1610" s="233"/>
      <c r="BR1610" s="233"/>
      <c r="BS1610" s="48"/>
      <c r="BT1610" s="233"/>
      <c r="BU1610" s="228"/>
      <c r="BV1610" s="233"/>
      <c r="BW1610" s="233"/>
      <c r="BX1610" s="233"/>
      <c r="BY1610" s="233"/>
      <c r="BZ1610" s="233"/>
      <c r="CA1610" s="233"/>
      <c r="CB1610" s="233"/>
      <c r="CC1610" s="48"/>
      <c r="CD1610" s="48"/>
      <c r="CE1610" s="48"/>
      <c r="CF1610" s="48"/>
      <c r="CG1610" s="233"/>
      <c r="CH1610" s="48"/>
      <c r="CI1610" s="98"/>
      <c r="CJ1610" s="98"/>
      <c r="CK1610" s="49">
        <f t="shared" si="384"/>
        <v>1.6988812101088764</v>
      </c>
      <c r="CL1610" s="229"/>
      <c r="CM1610" s="229"/>
      <c r="CN1610" s="229"/>
      <c r="CO1610" s="47" t="s">
        <v>892</v>
      </c>
      <c r="CP1610" s="500" t="s">
        <v>893</v>
      </c>
      <c r="CQ1610" s="224" t="s">
        <v>272</v>
      </c>
      <c r="CR1610" s="224"/>
      <c r="CS1610" s="230" t="s">
        <v>539</v>
      </c>
      <c r="CT1610" s="230"/>
      <c r="CU1610" s="230"/>
      <c r="CV1610" s="335">
        <f t="shared" si="385"/>
        <v>0.30683861446062821</v>
      </c>
      <c r="CW1610" s="230">
        <f t="shared" si="390"/>
        <v>0</v>
      </c>
      <c r="CX1610" s="336" t="s">
        <v>539</v>
      </c>
      <c r="CY1610" s="230" t="s">
        <v>5921</v>
      </c>
    </row>
    <row r="1611" spans="1:103" ht="11.25" customHeight="1" x14ac:dyDescent="0.2">
      <c r="A1611" s="72">
        <v>1518</v>
      </c>
      <c r="B1611" s="224">
        <v>418</v>
      </c>
      <c r="C1611" s="46" t="s">
        <v>7529</v>
      </c>
      <c r="D1611" s="46"/>
      <c r="E1611" s="114"/>
      <c r="F1611" s="114" t="s">
        <v>3966</v>
      </c>
      <c r="G1611" s="225">
        <v>144651069</v>
      </c>
      <c r="H1611" s="47" t="s">
        <v>3967</v>
      </c>
      <c r="I1611" s="47" t="s">
        <v>3967</v>
      </c>
      <c r="J1611" s="47" t="s">
        <v>3968</v>
      </c>
      <c r="K1611" s="47" t="s">
        <v>3969</v>
      </c>
      <c r="L1611" s="47"/>
      <c r="M1611" s="47"/>
      <c r="N1611" s="47"/>
      <c r="O1611" s="47"/>
      <c r="P1611" s="53"/>
      <c r="Q1611" s="53" t="s">
        <v>6173</v>
      </c>
      <c r="R1611" s="53" t="s">
        <v>6177</v>
      </c>
      <c r="S1611" s="53" t="s">
        <v>6176</v>
      </c>
      <c r="T1611" s="48">
        <v>406.41</v>
      </c>
      <c r="U1611" s="98">
        <v>52</v>
      </c>
      <c r="V1611" s="98">
        <v>321.3</v>
      </c>
      <c r="W1611" s="98">
        <v>28.771624623155716</v>
      </c>
      <c r="X1611" s="98">
        <v>52</v>
      </c>
      <c r="Y1611" s="233">
        <v>4.24</v>
      </c>
      <c r="Z1611" s="48">
        <v>1.25</v>
      </c>
      <c r="AA1611" s="48">
        <v>1.1000000000000001</v>
      </c>
      <c r="AB1611" s="48">
        <v>1.54</v>
      </c>
      <c r="AC1611" s="48">
        <v>0.79649999999999999</v>
      </c>
      <c r="AD1611" s="48">
        <v>1.55</v>
      </c>
      <c r="AE1611" s="48">
        <v>1.56</v>
      </c>
      <c r="AF1611" s="48">
        <f t="shared" si="389"/>
        <v>1.1000000000000001</v>
      </c>
      <c r="AG1611" s="49">
        <v>1.54</v>
      </c>
      <c r="AH1611" s="98">
        <v>3.2000000000000002E-16</v>
      </c>
      <c r="AI1611" s="98"/>
      <c r="AJ1611" s="483">
        <f t="shared" si="391"/>
        <v>-13.883416347992746</v>
      </c>
      <c r="AK1611" s="483"/>
      <c r="AL1611" s="483">
        <f t="shared" si="392"/>
        <v>-13.883416347992746</v>
      </c>
      <c r="AM1611" s="483">
        <v>-25.526059999999998</v>
      </c>
      <c r="AN1611" s="226">
        <v>-22.3</v>
      </c>
      <c r="AO1611" s="484">
        <v>3.72</v>
      </c>
      <c r="AP1611" s="484">
        <v>0.71</v>
      </c>
      <c r="AQ1611" s="226" t="s">
        <v>6311</v>
      </c>
      <c r="AR1611" s="226" t="s">
        <v>6312</v>
      </c>
      <c r="AS1611" s="224" t="s">
        <v>6</v>
      </c>
      <c r="AT1611" s="50" t="s">
        <v>266</v>
      </c>
      <c r="AU1611" s="48">
        <v>8</v>
      </c>
      <c r="AV1611" s="48">
        <v>144</v>
      </c>
      <c r="AW1611" s="48">
        <v>120</v>
      </c>
      <c r="AX1611" s="48">
        <v>26</v>
      </c>
      <c r="AY1611" s="48" t="s">
        <v>267</v>
      </c>
      <c r="AZ1611" s="48" t="s">
        <v>2253</v>
      </c>
      <c r="BA1611" s="48">
        <v>2</v>
      </c>
      <c r="BB1611" s="47" t="s">
        <v>2254</v>
      </c>
      <c r="BC1611" s="47" t="s">
        <v>270</v>
      </c>
      <c r="BD1611" s="47" t="s">
        <v>8374</v>
      </c>
      <c r="BE1611" s="48" t="s">
        <v>1712</v>
      </c>
      <c r="BF1611" s="48" t="s">
        <v>272</v>
      </c>
      <c r="BG1611" s="48" t="s">
        <v>272</v>
      </c>
      <c r="BH1611" s="48" t="s">
        <v>2255</v>
      </c>
      <c r="BI1611" s="98">
        <v>4.0641000000000001E-4</v>
      </c>
      <c r="BJ1611" s="98">
        <v>32.512800000000006</v>
      </c>
      <c r="BK1611" s="48"/>
      <c r="BL1611" s="487">
        <v>1574.4881106670255</v>
      </c>
      <c r="BM1611" s="48" t="s">
        <v>891</v>
      </c>
      <c r="BN1611" s="233"/>
      <c r="BO1611" s="233"/>
      <c r="BP1611" s="233"/>
      <c r="BQ1611" s="233"/>
      <c r="BR1611" s="233"/>
      <c r="BS1611" s="48"/>
      <c r="BT1611" s="233"/>
      <c r="BU1611" s="228"/>
      <c r="BV1611" s="233"/>
      <c r="BW1611" s="233"/>
      <c r="BX1611" s="233"/>
      <c r="BY1611" s="233"/>
      <c r="BZ1611" s="233"/>
      <c r="CA1611" s="233"/>
      <c r="CB1611" s="233"/>
      <c r="CC1611" s="48"/>
      <c r="CD1611" s="48"/>
      <c r="CE1611" s="48"/>
      <c r="CF1611" s="48"/>
      <c r="CG1611" s="233"/>
      <c r="CH1611" s="48"/>
      <c r="CI1611" s="98"/>
      <c r="CJ1611" s="98"/>
      <c r="CK1611" s="49">
        <f t="shared" si="384"/>
        <v>48.426715344941847</v>
      </c>
      <c r="CL1611" s="229"/>
      <c r="CM1611" s="229"/>
      <c r="CN1611" s="229"/>
      <c r="CO1611" s="47" t="s">
        <v>892</v>
      </c>
      <c r="CP1611" s="500" t="s">
        <v>893</v>
      </c>
      <c r="CQ1611" s="224" t="s">
        <v>272</v>
      </c>
      <c r="CR1611" s="224"/>
      <c r="CS1611" s="230" t="s">
        <v>539</v>
      </c>
      <c r="CT1611" s="230"/>
      <c r="CU1611" s="230"/>
      <c r="CV1611" s="335">
        <f t="shared" si="385"/>
        <v>1.5993700942398068</v>
      </c>
      <c r="CW1611" s="230">
        <f t="shared" si="390"/>
        <v>1</v>
      </c>
      <c r="CX1611" s="336" t="s">
        <v>539</v>
      </c>
      <c r="CY1611" s="230" t="s">
        <v>5921</v>
      </c>
    </row>
    <row r="1612" spans="1:103" ht="11.25" customHeight="1" x14ac:dyDescent="0.2">
      <c r="A1612" s="72">
        <v>1519</v>
      </c>
      <c r="B1612" s="224">
        <v>285</v>
      </c>
      <c r="C1612" s="46" t="s">
        <v>7530</v>
      </c>
      <c r="D1612" s="46"/>
      <c r="E1612" s="114"/>
      <c r="F1612" s="114" t="s">
        <v>3808</v>
      </c>
      <c r="G1612" s="225">
        <v>145701219</v>
      </c>
      <c r="H1612" s="47" t="s">
        <v>3809</v>
      </c>
      <c r="I1612" s="47" t="s">
        <v>8176</v>
      </c>
      <c r="J1612" s="47" t="s">
        <v>3810</v>
      </c>
      <c r="K1612" s="47" t="s">
        <v>3811</v>
      </c>
      <c r="L1612" s="47"/>
      <c r="M1612" s="47"/>
      <c r="N1612" s="47"/>
      <c r="O1612" s="47"/>
      <c r="P1612" s="53"/>
      <c r="Q1612" s="53"/>
      <c r="R1612" s="53"/>
      <c r="S1612" s="53"/>
      <c r="T1612" s="48">
        <v>406.22</v>
      </c>
      <c r="U1612" s="98"/>
      <c r="V1612" s="98">
        <v>2.8170000000000002</v>
      </c>
      <c r="W1612" s="98">
        <v>12.55339810595669</v>
      </c>
      <c r="X1612" s="98">
        <v>12.55339810595669</v>
      </c>
      <c r="Y1612" s="233">
        <v>4.66</v>
      </c>
      <c r="Z1612" s="48">
        <v>3.51</v>
      </c>
      <c r="AA1612" s="48"/>
      <c r="AB1612" s="48">
        <v>3.07</v>
      </c>
      <c r="AC1612" s="48">
        <v>0.57899999999999996</v>
      </c>
      <c r="AD1612" s="48">
        <v>2.99</v>
      </c>
      <c r="AE1612" s="48">
        <v>2.88</v>
      </c>
      <c r="AF1612" s="48">
        <f t="shared" si="389"/>
        <v>2.99</v>
      </c>
      <c r="AG1612" s="49">
        <v>3.18</v>
      </c>
      <c r="AH1612" s="98">
        <v>7.5499999999999994E-14</v>
      </c>
      <c r="AI1612" s="98"/>
      <c r="AJ1612" s="483">
        <f t="shared" si="391"/>
        <v>-11.510619374683463</v>
      </c>
      <c r="AK1612" s="483"/>
      <c r="AL1612" s="483">
        <f t="shared" si="392"/>
        <v>-11.510619374683463</v>
      </c>
      <c r="AM1612" s="483">
        <v>-19.684110000000004</v>
      </c>
      <c r="AN1612" s="226">
        <v>-16.8</v>
      </c>
      <c r="AO1612" s="484">
        <v>4.25</v>
      </c>
      <c r="AP1612" s="484">
        <v>-2.66</v>
      </c>
      <c r="AQ1612" s="226" t="s">
        <v>6311</v>
      </c>
      <c r="AR1612" s="226" t="s">
        <v>6311</v>
      </c>
      <c r="AS1612" s="224" t="s">
        <v>63</v>
      </c>
      <c r="AT1612" s="50" t="s">
        <v>266</v>
      </c>
      <c r="AU1612" s="48">
        <v>8</v>
      </c>
      <c r="AV1612" s="48">
        <v>144</v>
      </c>
      <c r="AW1612" s="48">
        <v>120</v>
      </c>
      <c r="AX1612" s="48">
        <v>26</v>
      </c>
      <c r="AY1612" s="48" t="s">
        <v>267</v>
      </c>
      <c r="AZ1612" s="48" t="s">
        <v>2253</v>
      </c>
      <c r="BA1612" s="48">
        <v>3</v>
      </c>
      <c r="BB1612" s="47" t="s">
        <v>2254</v>
      </c>
      <c r="BC1612" s="47" t="s">
        <v>270</v>
      </c>
      <c r="BD1612" s="47" t="s">
        <v>8374</v>
      </c>
      <c r="BE1612" s="48" t="s">
        <v>1712</v>
      </c>
      <c r="BF1612" s="48" t="s">
        <v>272</v>
      </c>
      <c r="BG1612" s="48" t="s">
        <v>272</v>
      </c>
      <c r="BH1612" s="48" t="s">
        <v>2255</v>
      </c>
      <c r="BI1612" s="98">
        <v>4.0622E-4</v>
      </c>
      <c r="BJ1612" s="98">
        <v>32.497600000000006</v>
      </c>
      <c r="BK1612" s="48"/>
      <c r="BL1612" s="487">
        <v>14.697054404720344</v>
      </c>
      <c r="BM1612" s="48" t="s">
        <v>891</v>
      </c>
      <c r="BN1612" s="233"/>
      <c r="BO1612" s="233"/>
      <c r="BP1612" s="233"/>
      <c r="BQ1612" s="233"/>
      <c r="BR1612" s="233"/>
      <c r="BS1612" s="48"/>
      <c r="BT1612" s="233"/>
      <c r="BU1612" s="228"/>
      <c r="BV1612" s="233"/>
      <c r="BW1612" s="233"/>
      <c r="BX1612" s="233"/>
      <c r="BY1612" s="233"/>
      <c r="BZ1612" s="233"/>
      <c r="CA1612" s="233"/>
      <c r="CB1612" s="233"/>
      <c r="CC1612" s="48"/>
      <c r="CD1612" s="48"/>
      <c r="CE1612" s="48"/>
      <c r="CF1612" s="48"/>
      <c r="CG1612" s="233"/>
      <c r="CH1612" s="48"/>
      <c r="CI1612" s="98"/>
      <c r="CJ1612" s="98"/>
      <c r="CK1612" s="49">
        <f t="shared" si="384"/>
        <v>0.4522504555634983</v>
      </c>
      <c r="CL1612" s="229"/>
      <c r="CM1612" s="229"/>
      <c r="CN1612" s="229"/>
      <c r="CO1612" s="47" t="s">
        <v>892</v>
      </c>
      <c r="CP1612" s="500" t="s">
        <v>893</v>
      </c>
      <c r="CQ1612" s="224" t="s">
        <v>272</v>
      </c>
      <c r="CR1612" s="224"/>
      <c r="CS1612" s="230" t="s">
        <v>539</v>
      </c>
      <c r="CT1612" s="230"/>
      <c r="CU1612" s="230"/>
      <c r="CV1612" s="335">
        <f t="shared" si="385"/>
        <v>0.3862869290641982</v>
      </c>
      <c r="CW1612" s="230">
        <f t="shared" si="390"/>
        <v>0</v>
      </c>
      <c r="CX1612" s="336" t="s">
        <v>539</v>
      </c>
      <c r="CY1612" s="230" t="s">
        <v>5921</v>
      </c>
    </row>
    <row r="1613" spans="1:103" ht="11.25" customHeight="1" x14ac:dyDescent="0.2">
      <c r="A1613" s="72">
        <v>1523</v>
      </c>
      <c r="B1613" s="224">
        <v>628</v>
      </c>
      <c r="C1613" s="46" t="s">
        <v>7532</v>
      </c>
      <c r="D1613" s="46" t="s">
        <v>8680</v>
      </c>
      <c r="E1613" s="114"/>
      <c r="F1613" s="114" t="s">
        <v>3546</v>
      </c>
      <c r="G1613" s="225">
        <v>149979419</v>
      </c>
      <c r="H1613" s="47" t="s">
        <v>3547</v>
      </c>
      <c r="I1613" s="47" t="s">
        <v>8177</v>
      </c>
      <c r="J1613" s="47" t="s">
        <v>3548</v>
      </c>
      <c r="K1613" s="47" t="s">
        <v>3549</v>
      </c>
      <c r="L1613" s="47" t="s">
        <v>6053</v>
      </c>
      <c r="M1613" s="47" t="s">
        <v>6054</v>
      </c>
      <c r="N1613" s="47" t="s">
        <v>6383</v>
      </c>
      <c r="O1613" s="47" t="s">
        <v>6055</v>
      </c>
      <c r="P1613" s="53" t="s">
        <v>6178</v>
      </c>
      <c r="Q1613" s="53" t="s">
        <v>6173</v>
      </c>
      <c r="R1613" s="53" t="s">
        <v>6181</v>
      </c>
      <c r="S1613" s="53" t="s">
        <v>6176</v>
      </c>
      <c r="T1613" s="48">
        <v>341.83</v>
      </c>
      <c r="U1613" s="98"/>
      <c r="V1613" s="98">
        <v>11.659999999999998</v>
      </c>
      <c r="W1613" s="98">
        <v>136.08497411030191</v>
      </c>
      <c r="X1613" s="98">
        <v>136.08497411030191</v>
      </c>
      <c r="Y1613" s="233">
        <v>3.68</v>
      </c>
      <c r="Z1613" s="48">
        <v>3.25</v>
      </c>
      <c r="AA1613" s="48"/>
      <c r="AB1613" s="48">
        <v>3.34</v>
      </c>
      <c r="AC1613" s="48">
        <v>0.56799999999999995</v>
      </c>
      <c r="AD1613" s="48">
        <v>3.14</v>
      </c>
      <c r="AE1613" s="48">
        <v>2.88</v>
      </c>
      <c r="AF1613" s="48">
        <f t="shared" si="389"/>
        <v>3.14</v>
      </c>
      <c r="AG1613" s="49">
        <v>2.72</v>
      </c>
      <c r="AH1613" s="98">
        <v>7.0500000000000003E-13</v>
      </c>
      <c r="AI1613" s="98"/>
      <c r="AJ1613" s="483">
        <f t="shared" si="391"/>
        <v>-10.540377209321253</v>
      </c>
      <c r="AK1613" s="483"/>
      <c r="AL1613" s="483">
        <f t="shared" si="392"/>
        <v>-10.540377209321253</v>
      </c>
      <c r="AM1613" s="483">
        <v>-14.519870000000001</v>
      </c>
      <c r="AN1613" s="226">
        <v>-11.4</v>
      </c>
      <c r="AO1613" s="484">
        <v>3.63</v>
      </c>
      <c r="AP1613" s="484"/>
      <c r="AQ1613" s="226" t="s">
        <v>6311</v>
      </c>
      <c r="AR1613" s="226" t="s">
        <v>6311</v>
      </c>
      <c r="AS1613" s="224" t="s">
        <v>63</v>
      </c>
      <c r="AT1613" s="50" t="s">
        <v>266</v>
      </c>
      <c r="AU1613" s="48">
        <v>8</v>
      </c>
      <c r="AV1613" s="48">
        <v>144</v>
      </c>
      <c r="AW1613" s="48">
        <v>120</v>
      </c>
      <c r="AX1613" s="48">
        <v>26</v>
      </c>
      <c r="AY1613" s="48" t="s">
        <v>267</v>
      </c>
      <c r="AZ1613" s="48" t="s">
        <v>2253</v>
      </c>
      <c r="BA1613" s="48">
        <v>2</v>
      </c>
      <c r="BB1613" s="47" t="s">
        <v>2254</v>
      </c>
      <c r="BC1613" s="47" t="s">
        <v>270</v>
      </c>
      <c r="BD1613" s="47" t="s">
        <v>8374</v>
      </c>
      <c r="BE1613" s="48" t="s">
        <v>1712</v>
      </c>
      <c r="BF1613" s="48" t="s">
        <v>272</v>
      </c>
      <c r="BG1613" s="48" t="s">
        <v>272</v>
      </c>
      <c r="BH1613" s="48" t="s">
        <v>2255</v>
      </c>
      <c r="BI1613" s="98">
        <v>3.4182999999999994E-4</v>
      </c>
      <c r="BJ1613" s="98">
        <v>27.346399999999999</v>
      </c>
      <c r="BK1613" s="48"/>
      <c r="BL1613" s="487">
        <v>21.173135410619171</v>
      </c>
      <c r="BM1613" s="48" t="s">
        <v>891</v>
      </c>
      <c r="BN1613" s="233"/>
      <c r="BO1613" s="233"/>
      <c r="BP1613" s="233"/>
      <c r="BQ1613" s="233"/>
      <c r="BR1613" s="233"/>
      <c r="BS1613" s="48"/>
      <c r="BT1613" s="233"/>
      <c r="BU1613" s="228"/>
      <c r="BV1613" s="233"/>
      <c r="BW1613" s="233"/>
      <c r="BX1613" s="233"/>
      <c r="BY1613" s="233"/>
      <c r="BZ1613" s="233"/>
      <c r="CA1613" s="233"/>
      <c r="CB1613" s="233"/>
      <c r="CC1613" s="48"/>
      <c r="CD1613" s="48"/>
      <c r="CE1613" s="48"/>
      <c r="CF1613" s="48"/>
      <c r="CG1613" s="233"/>
      <c r="CH1613" s="48"/>
      <c r="CI1613" s="98"/>
      <c r="CJ1613" s="98"/>
      <c r="CK1613" s="49">
        <f t="shared" si="384"/>
        <v>0.77425677276055249</v>
      </c>
      <c r="CL1613" s="229"/>
      <c r="CM1613" s="229"/>
      <c r="CN1613" s="229"/>
      <c r="CO1613" s="47" t="s">
        <v>892</v>
      </c>
      <c r="CP1613" s="500" t="s">
        <v>893</v>
      </c>
      <c r="CQ1613" s="224">
        <v>1.2699487343267482</v>
      </c>
      <c r="CR1613" s="224">
        <f>10^(CJ1613-CQ1613)</f>
        <v>5.3709519326511572E-2</v>
      </c>
      <c r="CS1613" s="230" t="s">
        <v>539</v>
      </c>
      <c r="CT1613" s="230"/>
      <c r="CU1613" s="230"/>
      <c r="CV1613" s="335">
        <f t="shared" si="385"/>
        <v>4.9763396319187141</v>
      </c>
      <c r="CW1613" s="230">
        <f t="shared" si="390"/>
        <v>1</v>
      </c>
      <c r="CX1613" s="336" t="s">
        <v>539</v>
      </c>
      <c r="CY1613" s="230" t="s">
        <v>5921</v>
      </c>
    </row>
    <row r="1614" spans="1:103" ht="11.25" customHeight="1" x14ac:dyDescent="0.2">
      <c r="A1614" s="72">
        <v>1525</v>
      </c>
      <c r="B1614" s="224">
        <v>638</v>
      </c>
      <c r="C1614" s="46" t="s">
        <v>7533</v>
      </c>
      <c r="D1614" s="46"/>
      <c r="E1614" s="114"/>
      <c r="F1614" s="114" t="s">
        <v>4038</v>
      </c>
      <c r="G1614" s="225">
        <v>153719234</v>
      </c>
      <c r="H1614" s="47" t="s">
        <v>4039</v>
      </c>
      <c r="I1614" s="47" t="s">
        <v>8178</v>
      </c>
      <c r="J1614" s="47" t="s">
        <v>4040</v>
      </c>
      <c r="K1614" s="47" t="s">
        <v>3773</v>
      </c>
      <c r="L1614" s="47" t="s">
        <v>617</v>
      </c>
      <c r="M1614" s="47" t="s">
        <v>2433</v>
      </c>
      <c r="N1614" s="47"/>
      <c r="O1614" s="47" t="s">
        <v>918</v>
      </c>
      <c r="P1614" s="53" t="s">
        <v>6183</v>
      </c>
      <c r="Q1614" s="53" t="s">
        <v>6176</v>
      </c>
      <c r="R1614" s="53" t="s">
        <v>6185</v>
      </c>
      <c r="S1614" s="53" t="s">
        <v>6182</v>
      </c>
      <c r="T1614" s="48">
        <v>291.72000000000003</v>
      </c>
      <c r="U1614" s="98"/>
      <c r="V1614" s="98">
        <v>2862</v>
      </c>
      <c r="W1614" s="98">
        <v>2599.9572367237629</v>
      </c>
      <c r="X1614" s="98">
        <v>2599.9572367237629</v>
      </c>
      <c r="Y1614" s="233">
        <v>7.02</v>
      </c>
      <c r="Z1614" s="48">
        <v>0.8</v>
      </c>
      <c r="AA1614" s="48"/>
      <c r="AB1614" s="48">
        <v>0.13</v>
      </c>
      <c r="AC1614" s="48">
        <v>0.64749999999999996</v>
      </c>
      <c r="AD1614" s="48">
        <v>-0.33</v>
      </c>
      <c r="AE1614" s="48">
        <v>-1.1599999999999999</v>
      </c>
      <c r="AF1614" s="48">
        <f t="shared" si="389"/>
        <v>-0.33</v>
      </c>
      <c r="AG1614" s="49">
        <v>2.73</v>
      </c>
      <c r="AH1614" s="98">
        <v>6.87E-15</v>
      </c>
      <c r="AI1614" s="98"/>
      <c r="AJ1614" s="483">
        <f t="shared" si="391"/>
        <v>-12.551609589253101</v>
      </c>
      <c r="AK1614" s="483"/>
      <c r="AL1614" s="483">
        <f t="shared" si="392"/>
        <v>-12.551609589253101</v>
      </c>
      <c r="AM1614" s="483">
        <v>-16.178440000000002</v>
      </c>
      <c r="AN1614" s="226">
        <v>-17.2</v>
      </c>
      <c r="AO1614" s="484"/>
      <c r="AP1614" s="484">
        <v>0.99</v>
      </c>
      <c r="AQ1614" s="226" t="s">
        <v>6311</v>
      </c>
      <c r="AR1614" s="226" t="s">
        <v>6311</v>
      </c>
      <c r="AS1614" s="224" t="s">
        <v>460</v>
      </c>
      <c r="AT1614" s="50" t="s">
        <v>266</v>
      </c>
      <c r="AU1614" s="48">
        <v>8</v>
      </c>
      <c r="AV1614" s="48">
        <v>144</v>
      </c>
      <c r="AW1614" s="48">
        <v>120</v>
      </c>
      <c r="AX1614" s="48">
        <v>26</v>
      </c>
      <c r="AY1614" s="48" t="s">
        <v>267</v>
      </c>
      <c r="AZ1614" s="48" t="s">
        <v>2253</v>
      </c>
      <c r="BA1614" s="48">
        <v>2</v>
      </c>
      <c r="BB1614" s="47" t="s">
        <v>2254</v>
      </c>
      <c r="BC1614" s="47" t="s">
        <v>270</v>
      </c>
      <c r="BD1614" s="47" t="s">
        <v>8374</v>
      </c>
      <c r="BE1614" s="48" t="s">
        <v>1712</v>
      </c>
      <c r="BF1614" s="48" t="s">
        <v>272</v>
      </c>
      <c r="BG1614" s="48" t="s">
        <v>272</v>
      </c>
      <c r="BH1614" s="48" t="s">
        <v>2255</v>
      </c>
      <c r="BI1614" s="98">
        <v>2.9172000000000003E-4</v>
      </c>
      <c r="BJ1614" s="98">
        <v>23.337600000000002</v>
      </c>
      <c r="BK1614" s="48"/>
      <c r="BL1614" s="487">
        <v>2866.0661171120928</v>
      </c>
      <c r="BM1614" s="48" t="s">
        <v>891</v>
      </c>
      <c r="BN1614" s="233"/>
      <c r="BO1614" s="233"/>
      <c r="BP1614" s="233"/>
      <c r="BQ1614" s="233"/>
      <c r="BR1614" s="233"/>
      <c r="BS1614" s="48"/>
      <c r="BT1614" s="233"/>
      <c r="BU1614" s="228"/>
      <c r="BV1614" s="233"/>
      <c r="BW1614" s="233"/>
      <c r="BX1614" s="233"/>
      <c r="BY1614" s="233"/>
      <c r="BZ1614" s="233"/>
      <c r="CA1614" s="233"/>
      <c r="CB1614" s="233"/>
      <c r="CC1614" s="48"/>
      <c r="CD1614" s="238"/>
      <c r="CE1614" s="238"/>
      <c r="CF1614" s="238"/>
      <c r="CG1614" s="233"/>
      <c r="CH1614" s="48"/>
      <c r="CI1614" s="98"/>
      <c r="CJ1614" s="98"/>
      <c r="CK1614" s="49">
        <f t="shared" si="384"/>
        <v>122.80894852564499</v>
      </c>
      <c r="CL1614" s="229"/>
      <c r="CM1614" s="229"/>
      <c r="CN1614" s="229"/>
      <c r="CO1614" s="47" t="s">
        <v>892</v>
      </c>
      <c r="CP1614" s="500" t="s">
        <v>893</v>
      </c>
      <c r="CQ1614" s="224" t="s">
        <v>272</v>
      </c>
      <c r="CR1614" s="224"/>
      <c r="CS1614" s="230" t="s">
        <v>539</v>
      </c>
      <c r="CT1614" s="230"/>
      <c r="CU1614" s="230"/>
      <c r="CV1614" s="335">
        <f t="shared" si="385"/>
        <v>111.40636726671821</v>
      </c>
      <c r="CW1614" s="230">
        <f t="shared" si="390"/>
        <v>1</v>
      </c>
      <c r="CX1614" s="336" t="s">
        <v>539</v>
      </c>
      <c r="CY1614" s="230" t="s">
        <v>5921</v>
      </c>
    </row>
    <row r="1615" spans="1:103" ht="11.25" customHeight="1" x14ac:dyDescent="0.2">
      <c r="A1615" s="72">
        <v>1533</v>
      </c>
      <c r="B1615" s="224">
        <v>346</v>
      </c>
      <c r="C1615" s="46" t="s">
        <v>7539</v>
      </c>
      <c r="D1615" s="46"/>
      <c r="E1615" s="114"/>
      <c r="F1615" s="114" t="s">
        <v>3879</v>
      </c>
      <c r="G1615" s="225">
        <v>173159574</v>
      </c>
      <c r="H1615" s="47" t="s">
        <v>3880</v>
      </c>
      <c r="I1615" s="47" t="s">
        <v>3880</v>
      </c>
      <c r="J1615" s="47" t="s">
        <v>3881</v>
      </c>
      <c r="K1615" s="47" t="s">
        <v>3882</v>
      </c>
      <c r="L1615" s="47"/>
      <c r="M1615" s="47"/>
      <c r="N1615" s="47"/>
      <c r="O1615" s="47"/>
      <c r="P1615" s="53"/>
      <c r="Q1615" s="53"/>
      <c r="R1615" s="53"/>
      <c r="S1615" s="53"/>
      <c r="T1615" s="48">
        <v>452.44</v>
      </c>
      <c r="U1615" s="98"/>
      <c r="V1615" s="98">
        <v>352.3</v>
      </c>
      <c r="W1615" s="98">
        <v>90.273648178451822</v>
      </c>
      <c r="X1615" s="98">
        <v>90.273648178451822</v>
      </c>
      <c r="Y1615" s="233">
        <v>3.97</v>
      </c>
      <c r="Z1615" s="48">
        <v>-0.82</v>
      </c>
      <c r="AA1615" s="48"/>
      <c r="AB1615" s="48">
        <v>0.7</v>
      </c>
      <c r="AC1615" s="48">
        <v>0.52959999999999996</v>
      </c>
      <c r="AD1615" s="48">
        <v>0.81</v>
      </c>
      <c r="AE1615" s="48">
        <v>0.99</v>
      </c>
      <c r="AF1615" s="48">
        <f t="shared" si="389"/>
        <v>0.81</v>
      </c>
      <c r="AG1615" s="49">
        <v>0.2</v>
      </c>
      <c r="AH1615" s="98">
        <v>4.2799999999999999E-23</v>
      </c>
      <c r="AI1615" s="98"/>
      <c r="AJ1615" s="483">
        <f t="shared" si="391"/>
        <v>-20.757122557299478</v>
      </c>
      <c r="AK1615" s="483"/>
      <c r="AL1615" s="483">
        <f t="shared" si="392"/>
        <v>-20.757122557299478</v>
      </c>
      <c r="AM1615" s="483">
        <v>-36.155370000000005</v>
      </c>
      <c r="AN1615" s="226">
        <v>-30.8</v>
      </c>
      <c r="AO1615" s="484">
        <v>3.88</v>
      </c>
      <c r="AP1615" s="484">
        <v>-0.93</v>
      </c>
      <c r="AQ1615" s="226" t="s">
        <v>6311</v>
      </c>
      <c r="AR1615" s="226" t="s">
        <v>6311</v>
      </c>
      <c r="AS1615" s="224" t="s">
        <v>63</v>
      </c>
      <c r="AT1615" s="50" t="s">
        <v>266</v>
      </c>
      <c r="AU1615" s="48">
        <v>8</v>
      </c>
      <c r="AV1615" s="48">
        <v>144</v>
      </c>
      <c r="AW1615" s="48">
        <v>120</v>
      </c>
      <c r="AX1615" s="48">
        <v>26</v>
      </c>
      <c r="AY1615" s="48" t="s">
        <v>267</v>
      </c>
      <c r="AZ1615" s="48" t="s">
        <v>2253</v>
      </c>
      <c r="BA1615" s="48">
        <v>2</v>
      </c>
      <c r="BB1615" s="47" t="s">
        <v>2254</v>
      </c>
      <c r="BC1615" s="47" t="s">
        <v>270</v>
      </c>
      <c r="BD1615" s="47" t="s">
        <v>8374</v>
      </c>
      <c r="BE1615" s="48" t="s">
        <v>1712</v>
      </c>
      <c r="BF1615" s="48" t="s">
        <v>272</v>
      </c>
      <c r="BG1615" s="48" t="s">
        <v>272</v>
      </c>
      <c r="BH1615" s="48" t="s">
        <v>2255</v>
      </c>
      <c r="BI1615" s="98">
        <v>4.5243999999999997E-4</v>
      </c>
      <c r="BJ1615" s="98">
        <v>36.1952</v>
      </c>
      <c r="BK1615" s="48"/>
      <c r="BL1615" s="487">
        <v>126707.69592873663</v>
      </c>
      <c r="BM1615" s="48" t="s">
        <v>891</v>
      </c>
      <c r="BN1615" s="233"/>
      <c r="BO1615" s="233"/>
      <c r="BP1615" s="233"/>
      <c r="BQ1615" s="233"/>
      <c r="BR1615" s="233"/>
      <c r="BS1615" s="48"/>
      <c r="BT1615" s="233"/>
      <c r="BU1615" s="228"/>
      <c r="BV1615" s="233"/>
      <c r="BW1615" s="233"/>
      <c r="BX1615" s="233"/>
      <c r="BY1615" s="233"/>
      <c r="BZ1615" s="233"/>
      <c r="CA1615" s="233"/>
      <c r="CB1615" s="233"/>
      <c r="CC1615" s="48"/>
      <c r="CD1615" s="48"/>
      <c r="CE1615" s="48"/>
      <c r="CF1615" s="48"/>
      <c r="CG1615" s="233"/>
      <c r="CH1615" s="48"/>
      <c r="CI1615" s="98"/>
      <c r="CJ1615" s="98"/>
      <c r="CK1615" s="49">
        <f t="shared" si="384"/>
        <v>3500.6767728521086</v>
      </c>
      <c r="CL1615" s="229"/>
      <c r="CM1615" s="229"/>
      <c r="CN1615" s="229"/>
      <c r="CO1615" s="47" t="s">
        <v>892</v>
      </c>
      <c r="CP1615" s="500" t="s">
        <v>893</v>
      </c>
      <c r="CQ1615" s="224" t="s">
        <v>272</v>
      </c>
      <c r="CR1615" s="224"/>
      <c r="CS1615" s="230" t="s">
        <v>539</v>
      </c>
      <c r="CT1615" s="230"/>
      <c r="CU1615" s="230"/>
      <c r="CV1615" s="335">
        <f t="shared" si="385"/>
        <v>2.4940778937110948</v>
      </c>
      <c r="CW1615" s="230">
        <f t="shared" si="390"/>
        <v>1</v>
      </c>
      <c r="CX1615" s="336" t="s">
        <v>539</v>
      </c>
      <c r="CY1615" s="230" t="s">
        <v>5921</v>
      </c>
    </row>
    <row r="1616" spans="1:103" ht="11.25" customHeight="1" x14ac:dyDescent="0.2">
      <c r="A1616" s="72">
        <v>1544</v>
      </c>
      <c r="B1616" s="224">
        <v>694</v>
      </c>
      <c r="C1616" s="46" t="s">
        <v>7547</v>
      </c>
      <c r="D1616" s="46"/>
      <c r="E1616" s="114"/>
      <c r="F1616" s="114" t="s">
        <v>3612</v>
      </c>
      <c r="G1616" s="225">
        <v>199119589</v>
      </c>
      <c r="H1616" s="236" t="s">
        <v>3613</v>
      </c>
      <c r="I1616" s="236" t="s">
        <v>8183</v>
      </c>
      <c r="J1616" s="47" t="s">
        <v>4058</v>
      </c>
      <c r="K1616" s="47"/>
      <c r="L1616" s="47"/>
      <c r="M1616" s="47"/>
      <c r="N1616" s="47"/>
      <c r="O1616" s="47"/>
      <c r="P1616" s="53" t="s">
        <v>6178</v>
      </c>
      <c r="Q1616" s="53" t="s">
        <v>6173</v>
      </c>
      <c r="R1616" s="53" t="s">
        <v>6177</v>
      </c>
      <c r="S1616" s="53" t="s">
        <v>6176</v>
      </c>
      <c r="T1616" s="48">
        <v>437.35</v>
      </c>
      <c r="U1616" s="98"/>
      <c r="V1616" s="98">
        <v>51.74</v>
      </c>
      <c r="W1616" s="98">
        <v>47.954473908322143</v>
      </c>
      <c r="X1616" s="98">
        <v>47.954473908322143</v>
      </c>
      <c r="Y1616" s="233">
        <v>4.03</v>
      </c>
      <c r="Z1616" s="48">
        <v>0.11</v>
      </c>
      <c r="AA1616" s="48"/>
      <c r="AB1616" s="48">
        <v>2.0299999999999998</v>
      </c>
      <c r="AC1616" s="48">
        <v>0.61890000000000001</v>
      </c>
      <c r="AD1616" s="48">
        <v>2.31</v>
      </c>
      <c r="AE1616" s="48">
        <v>2.82</v>
      </c>
      <c r="AF1616" s="48">
        <f t="shared" si="389"/>
        <v>2.31</v>
      </c>
      <c r="AG1616" s="49">
        <v>2.31</v>
      </c>
      <c r="AH1616" s="98">
        <v>3.8999999999999999E-12</v>
      </c>
      <c r="AI1616" s="98"/>
      <c r="AJ1616" s="483">
        <f t="shared" si="391"/>
        <v>-9.7975017192861529</v>
      </c>
      <c r="AK1616" s="483"/>
      <c r="AL1616" s="483">
        <f t="shared" si="392"/>
        <v>-9.7975017192861529</v>
      </c>
      <c r="AM1616" s="483">
        <v>-24.908469999999998</v>
      </c>
      <c r="AN1616" s="226"/>
      <c r="AO1616" s="484">
        <v>3.72</v>
      </c>
      <c r="AP1616" s="484">
        <v>-1.0900000000000001</v>
      </c>
      <c r="AQ1616" s="226" t="s">
        <v>6311</v>
      </c>
      <c r="AR1616" s="226" t="s">
        <v>6311</v>
      </c>
      <c r="AS1616" s="224" t="s">
        <v>63</v>
      </c>
      <c r="AT1616" s="50" t="s">
        <v>266</v>
      </c>
      <c r="AU1616" s="48">
        <v>8</v>
      </c>
      <c r="AV1616" s="48">
        <v>144</v>
      </c>
      <c r="AW1616" s="48">
        <v>120</v>
      </c>
      <c r="AX1616" s="48">
        <v>26</v>
      </c>
      <c r="AY1616" s="48" t="s">
        <v>267</v>
      </c>
      <c r="AZ1616" s="48" t="s">
        <v>2253</v>
      </c>
      <c r="BA1616" s="48">
        <v>2</v>
      </c>
      <c r="BB1616" s="47" t="s">
        <v>2254</v>
      </c>
      <c r="BC1616" s="47" t="s">
        <v>270</v>
      </c>
      <c r="BD1616" s="47" t="s">
        <v>8374</v>
      </c>
      <c r="BE1616" s="48" t="s">
        <v>1712</v>
      </c>
      <c r="BF1616" s="48" t="s">
        <v>272</v>
      </c>
      <c r="BG1616" s="48" t="s">
        <v>272</v>
      </c>
      <c r="BH1616" s="48" t="s">
        <v>2255</v>
      </c>
      <c r="BI1616" s="98">
        <v>4.3734999999999998E-4</v>
      </c>
      <c r="BJ1616" s="98">
        <v>34.988</v>
      </c>
      <c r="BK1616" s="48"/>
      <c r="BL1616" s="487">
        <v>17899.385883180556</v>
      </c>
      <c r="BM1616" s="48" t="s">
        <v>891</v>
      </c>
      <c r="BN1616" s="233"/>
      <c r="BO1616" s="233"/>
      <c r="BP1616" s="233"/>
      <c r="BQ1616" s="233"/>
      <c r="BR1616" s="233"/>
      <c r="BS1616" s="48"/>
      <c r="BT1616" s="233"/>
      <c r="BU1616" s="228"/>
      <c r="BV1616" s="233"/>
      <c r="BW1616" s="233"/>
      <c r="BX1616" s="233"/>
      <c r="BY1616" s="233"/>
      <c r="BZ1616" s="233"/>
      <c r="CA1616" s="233"/>
      <c r="CB1616" s="233"/>
      <c r="CC1616" s="48"/>
      <c r="CD1616" s="48"/>
      <c r="CE1616" s="48"/>
      <c r="CF1616" s="48"/>
      <c r="CG1616" s="233"/>
      <c r="CH1616" s="48"/>
      <c r="CI1616" s="98"/>
      <c r="CJ1616" s="98"/>
      <c r="CK1616" s="49">
        <f t="shared" si="384"/>
        <v>511.58642629417386</v>
      </c>
      <c r="CL1616" s="229"/>
      <c r="CM1616" s="229"/>
      <c r="CN1616" s="229"/>
      <c r="CO1616" s="47" t="s">
        <v>892</v>
      </c>
      <c r="CP1616" s="500" t="s">
        <v>893</v>
      </c>
      <c r="CQ1616" s="224" t="s">
        <v>272</v>
      </c>
      <c r="CR1616" s="224"/>
      <c r="CS1616" s="230" t="s">
        <v>539</v>
      </c>
      <c r="CT1616" s="230"/>
      <c r="CU1616" s="230"/>
      <c r="CV1616" s="335">
        <f t="shared" si="385"/>
        <v>1.3705977451789797</v>
      </c>
      <c r="CW1616" s="230">
        <f t="shared" si="390"/>
        <v>1</v>
      </c>
      <c r="CX1616" s="336" t="s">
        <v>539</v>
      </c>
      <c r="CY1616" s="230" t="s">
        <v>6351</v>
      </c>
    </row>
    <row r="1617" spans="1:103" ht="11.25" customHeight="1" x14ac:dyDescent="0.2">
      <c r="A1617" s="72">
        <v>1548</v>
      </c>
      <c r="B1617" s="224">
        <v>378</v>
      </c>
      <c r="C1617" s="46" t="s">
        <v>7550</v>
      </c>
      <c r="D1617" s="46"/>
      <c r="E1617" s="114"/>
      <c r="F1617" s="114" t="s">
        <v>3924</v>
      </c>
      <c r="G1617" s="225">
        <v>208465218</v>
      </c>
      <c r="H1617" s="47" t="s">
        <v>3925</v>
      </c>
      <c r="I1617" s="47" t="s">
        <v>3925</v>
      </c>
      <c r="J1617" s="47" t="s">
        <v>3926</v>
      </c>
      <c r="K1617" s="47" t="s">
        <v>3927</v>
      </c>
      <c r="L1617" s="47"/>
      <c r="M1617" s="47"/>
      <c r="N1617" s="47"/>
      <c r="O1617" s="47"/>
      <c r="P1617" s="53"/>
      <c r="Q1617" s="53"/>
      <c r="R1617" s="53"/>
      <c r="S1617" s="53"/>
      <c r="T1617" s="48">
        <v>503.51</v>
      </c>
      <c r="U1617" s="98"/>
      <c r="V1617" s="98">
        <v>141.5</v>
      </c>
      <c r="W1617" s="98">
        <v>69.503728107019825</v>
      </c>
      <c r="X1617" s="98">
        <v>69.503728107019825</v>
      </c>
      <c r="Y1617" s="233">
        <v>4</v>
      </c>
      <c r="Z1617" s="48">
        <v>0.8</v>
      </c>
      <c r="AA1617" s="48"/>
      <c r="AB1617" s="48">
        <v>1.37</v>
      </c>
      <c r="AC1617" s="48">
        <v>0.71840000000000004</v>
      </c>
      <c r="AD1617" s="48">
        <v>1.33</v>
      </c>
      <c r="AE1617" s="48">
        <v>1.17</v>
      </c>
      <c r="AF1617" s="48">
        <f t="shared" si="389"/>
        <v>1.33</v>
      </c>
      <c r="AG1617" s="49">
        <v>0.53</v>
      </c>
      <c r="AH1617" s="98">
        <v>6.1700000000000003E-18</v>
      </c>
      <c r="AI1617" s="98"/>
      <c r="AJ1617" s="483">
        <f t="shared" si="391"/>
        <v>-15.59828116227941</v>
      </c>
      <c r="AK1617" s="483"/>
      <c r="AL1617" s="483">
        <f t="shared" si="392"/>
        <v>-15.59828116227941</v>
      </c>
      <c r="AM1617" s="483">
        <v>-34.479199999999999</v>
      </c>
      <c r="AN1617" s="226">
        <v>-23.9</v>
      </c>
      <c r="AO1617" s="484">
        <v>3.73</v>
      </c>
      <c r="AP1617" s="484">
        <v>-0.9</v>
      </c>
      <c r="AQ1617" s="226" t="s">
        <v>6311</v>
      </c>
      <c r="AR1617" s="226" t="s">
        <v>6312</v>
      </c>
      <c r="AS1617" s="224" t="s">
        <v>63</v>
      </c>
      <c r="AT1617" s="50" t="s">
        <v>266</v>
      </c>
      <c r="AU1617" s="48">
        <v>8</v>
      </c>
      <c r="AV1617" s="48">
        <v>144</v>
      </c>
      <c r="AW1617" s="48">
        <v>120</v>
      </c>
      <c r="AX1617" s="48">
        <v>26</v>
      </c>
      <c r="AY1617" s="48" t="s">
        <v>267</v>
      </c>
      <c r="AZ1617" s="48" t="s">
        <v>2253</v>
      </c>
      <c r="BA1617" s="48">
        <v>2</v>
      </c>
      <c r="BB1617" s="47" t="s">
        <v>2254</v>
      </c>
      <c r="BC1617" s="47" t="s">
        <v>270</v>
      </c>
      <c r="BD1617" s="47" t="s">
        <v>8374</v>
      </c>
      <c r="BE1617" s="48" t="s">
        <v>1712</v>
      </c>
      <c r="BF1617" s="48" t="s">
        <v>272</v>
      </c>
      <c r="BG1617" s="48" t="s">
        <v>272</v>
      </c>
      <c r="BH1617" s="48" t="s">
        <v>2255</v>
      </c>
      <c r="BI1617" s="98">
        <v>5.0350999999999998E-4</v>
      </c>
      <c r="BJ1617" s="98">
        <v>40.280799999999999</v>
      </c>
      <c r="BK1617" s="48"/>
      <c r="BL1617" s="487">
        <v>4946.8426937718004</v>
      </c>
      <c r="BM1617" s="48" t="s">
        <v>891</v>
      </c>
      <c r="BN1617" s="233"/>
      <c r="BO1617" s="233"/>
      <c r="BP1617" s="233"/>
      <c r="BQ1617" s="233"/>
      <c r="BR1617" s="233"/>
      <c r="BS1617" s="48"/>
      <c r="BT1617" s="233"/>
      <c r="BU1617" s="228"/>
      <c r="BV1617" s="233"/>
      <c r="BW1617" s="233"/>
      <c r="BX1617" s="233"/>
      <c r="BY1617" s="233"/>
      <c r="BZ1617" s="233"/>
      <c r="CA1617" s="233"/>
      <c r="CB1617" s="233"/>
      <c r="CC1617" s="48"/>
      <c r="CD1617" s="48"/>
      <c r="CE1617" s="48"/>
      <c r="CF1617" s="48"/>
      <c r="CG1617" s="233"/>
      <c r="CH1617" s="48"/>
      <c r="CI1617" s="98"/>
      <c r="CJ1617" s="98"/>
      <c r="CK1617" s="49">
        <f t="shared" si="384"/>
        <v>122.80894852564498</v>
      </c>
      <c r="CL1617" s="229"/>
      <c r="CM1617" s="229"/>
      <c r="CN1617" s="229"/>
      <c r="CO1617" s="47" t="s">
        <v>892</v>
      </c>
      <c r="CP1617" s="500" t="s">
        <v>893</v>
      </c>
      <c r="CQ1617" s="224" t="s">
        <v>272</v>
      </c>
      <c r="CR1617" s="224"/>
      <c r="CS1617" s="230" t="s">
        <v>539</v>
      </c>
      <c r="CT1617" s="230"/>
      <c r="CU1617" s="230"/>
      <c r="CV1617" s="335">
        <f t="shared" si="385"/>
        <v>1.7254803307536053</v>
      </c>
      <c r="CW1617" s="230">
        <f t="shared" si="390"/>
        <v>1</v>
      </c>
      <c r="CX1617" s="336" t="s">
        <v>539</v>
      </c>
      <c r="CY1617" s="230" t="s">
        <v>5921</v>
      </c>
    </row>
    <row r="1618" spans="1:103" ht="11.25" customHeight="1" x14ac:dyDescent="0.2">
      <c r="A1618" s="72">
        <v>1549</v>
      </c>
      <c r="B1618" s="224">
        <v>261</v>
      </c>
      <c r="C1618" s="46" t="s">
        <v>7551</v>
      </c>
      <c r="D1618" s="46"/>
      <c r="E1618" s="114"/>
      <c r="F1618" s="114" t="s">
        <v>3770</v>
      </c>
      <c r="G1618" s="225">
        <v>210880925</v>
      </c>
      <c r="H1618" s="47" t="s">
        <v>3771</v>
      </c>
      <c r="I1618" s="47" t="s">
        <v>8185</v>
      </c>
      <c r="J1618" s="47" t="s">
        <v>3772</v>
      </c>
      <c r="K1618" s="47" t="s">
        <v>3773</v>
      </c>
      <c r="L1618" s="47" t="s">
        <v>617</v>
      </c>
      <c r="M1618" s="47" t="s">
        <v>2433</v>
      </c>
      <c r="N1618" s="47"/>
      <c r="O1618" s="47" t="s">
        <v>918</v>
      </c>
      <c r="P1618" s="53"/>
      <c r="Q1618" s="53"/>
      <c r="R1618" s="53"/>
      <c r="S1618" s="53"/>
      <c r="T1618" s="48">
        <v>249.68</v>
      </c>
      <c r="U1618" s="98"/>
      <c r="V1618" s="98">
        <v>5997</v>
      </c>
      <c r="W1618" s="98">
        <v>1539.5144006477483</v>
      </c>
      <c r="X1618" s="98">
        <v>1539.5144006477483</v>
      </c>
      <c r="Y1618" s="233">
        <v>7</v>
      </c>
      <c r="Z1618" s="48">
        <v>0.64</v>
      </c>
      <c r="AA1618" s="48">
        <v>0.7</v>
      </c>
      <c r="AB1618" s="48">
        <v>0.06</v>
      </c>
      <c r="AC1618" s="48">
        <v>0.62460000000000004</v>
      </c>
      <c r="AD1618" s="48">
        <v>-0.03</v>
      </c>
      <c r="AE1618" s="48">
        <v>-0.15</v>
      </c>
      <c r="AF1618" s="48">
        <f t="shared" si="389"/>
        <v>0.7</v>
      </c>
      <c r="AG1618" s="49">
        <v>1.26</v>
      </c>
      <c r="AH1618" s="98">
        <v>9.2099999999999998E-16</v>
      </c>
      <c r="AI1618" s="98"/>
      <c r="AJ1618" s="483">
        <f t="shared" si="391"/>
        <v>-13.424306696115803</v>
      </c>
      <c r="AK1618" s="483"/>
      <c r="AL1618" s="483">
        <f t="shared" si="392"/>
        <v>-13.424306696115803</v>
      </c>
      <c r="AM1618" s="483">
        <v>-15.200420000000001</v>
      </c>
      <c r="AN1618" s="226">
        <v>-14.7</v>
      </c>
      <c r="AO1618" s="484"/>
      <c r="AP1618" s="484">
        <v>0.49</v>
      </c>
      <c r="AQ1618" s="226" t="s">
        <v>6311</v>
      </c>
      <c r="AR1618" s="226" t="s">
        <v>6311</v>
      </c>
      <c r="AS1618" s="224" t="s">
        <v>63</v>
      </c>
      <c r="AT1618" s="50" t="s">
        <v>266</v>
      </c>
      <c r="AU1618" s="48">
        <v>8</v>
      </c>
      <c r="AV1618" s="48">
        <v>144</v>
      </c>
      <c r="AW1618" s="48">
        <v>120</v>
      </c>
      <c r="AX1618" s="48">
        <v>26</v>
      </c>
      <c r="AY1618" s="48" t="s">
        <v>267</v>
      </c>
      <c r="AZ1618" s="48" t="s">
        <v>2253</v>
      </c>
      <c r="BA1618" s="48">
        <v>2</v>
      </c>
      <c r="BB1618" s="47" t="s">
        <v>2254</v>
      </c>
      <c r="BC1618" s="47" t="s">
        <v>270</v>
      </c>
      <c r="BD1618" s="47" t="s">
        <v>8374</v>
      </c>
      <c r="BE1618" s="48" t="s">
        <v>1712</v>
      </c>
      <c r="BF1618" s="48" t="s">
        <v>272</v>
      </c>
      <c r="BG1618" s="48" t="s">
        <v>272</v>
      </c>
      <c r="BH1618" s="48" t="s">
        <v>2255</v>
      </c>
      <c r="BI1618" s="98">
        <v>2.4968000000000001E-4</v>
      </c>
      <c r="BJ1618" s="98">
        <v>19.974399999999999</v>
      </c>
      <c r="BK1618" s="48"/>
      <c r="BL1618" s="487">
        <v>3415.0711453007025</v>
      </c>
      <c r="BM1618" s="48" t="s">
        <v>891</v>
      </c>
      <c r="BN1618" s="233"/>
      <c r="BO1618" s="233"/>
      <c r="BP1618" s="233"/>
      <c r="BQ1618" s="233"/>
      <c r="BR1618" s="233"/>
      <c r="BS1618" s="48"/>
      <c r="BT1618" s="233"/>
      <c r="BU1618" s="228"/>
      <c r="BV1618" s="233"/>
      <c r="BW1618" s="233"/>
      <c r="BX1618" s="233"/>
      <c r="BY1618" s="233"/>
      <c r="BZ1618" s="233"/>
      <c r="CA1618" s="233"/>
      <c r="CB1618" s="233"/>
      <c r="CC1618" s="48"/>
      <c r="CD1618" s="48"/>
      <c r="CE1618" s="48"/>
      <c r="CF1618" s="48"/>
      <c r="CG1618" s="233"/>
      <c r="CH1618" s="48"/>
      <c r="CI1618" s="98"/>
      <c r="CJ1618" s="98"/>
      <c r="CK1618" s="49">
        <f t="shared" si="384"/>
        <v>170.97240193951771</v>
      </c>
      <c r="CL1618" s="229"/>
      <c r="CM1618" s="229"/>
      <c r="CN1618" s="229"/>
      <c r="CO1618" s="47" t="s">
        <v>892</v>
      </c>
      <c r="CP1618" s="500" t="s">
        <v>893</v>
      </c>
      <c r="CQ1618" s="224" t="s">
        <v>272</v>
      </c>
      <c r="CR1618" s="224"/>
      <c r="CS1618" s="230" t="s">
        <v>539</v>
      </c>
      <c r="CT1618" s="230"/>
      <c r="CU1618" s="230"/>
      <c r="CV1618" s="335">
        <f t="shared" si="385"/>
        <v>77.074375232685256</v>
      </c>
      <c r="CW1618" s="230">
        <f t="shared" si="390"/>
        <v>1</v>
      </c>
      <c r="CX1618" s="336" t="s">
        <v>539</v>
      </c>
      <c r="CY1618" s="230" t="s">
        <v>5921</v>
      </c>
    </row>
    <row r="1619" spans="1:103" ht="11.25" customHeight="1" x14ac:dyDescent="0.2">
      <c r="A1619" s="72">
        <v>1553</v>
      </c>
      <c r="B1619" s="224">
        <v>428</v>
      </c>
      <c r="C1619" s="46" t="s">
        <v>7554</v>
      </c>
      <c r="D1619" s="46"/>
      <c r="E1619" s="114"/>
      <c r="F1619" s="114" t="s">
        <v>3973</v>
      </c>
      <c r="G1619" s="225">
        <v>219714962</v>
      </c>
      <c r="H1619" s="47" t="s">
        <v>3974</v>
      </c>
      <c r="I1619" s="47" t="s">
        <v>3974</v>
      </c>
      <c r="J1619" s="47" t="s">
        <v>3975</v>
      </c>
      <c r="K1619" s="47" t="s">
        <v>471</v>
      </c>
      <c r="L1619" s="47"/>
      <c r="M1619" s="47"/>
      <c r="N1619" s="47"/>
      <c r="O1619" s="47"/>
      <c r="P1619" s="53"/>
      <c r="Q1619" s="53"/>
      <c r="R1619" s="53"/>
      <c r="S1619" s="53"/>
      <c r="T1619" s="48">
        <v>483.37</v>
      </c>
      <c r="U1619" s="98"/>
      <c r="V1619" s="98">
        <v>2.7490000000000001</v>
      </c>
      <c r="W1619" s="98">
        <v>127.13926392424689</v>
      </c>
      <c r="X1619" s="98">
        <v>127.13926392424689</v>
      </c>
      <c r="Y1619" s="233">
        <v>3.58</v>
      </c>
      <c r="Z1619" s="48">
        <v>2.95</v>
      </c>
      <c r="AA1619" s="48"/>
      <c r="AB1619" s="48">
        <v>2.29</v>
      </c>
      <c r="AC1619" s="48">
        <v>0.57079999999999997</v>
      </c>
      <c r="AD1619" s="48">
        <v>2.4900000000000002</v>
      </c>
      <c r="AE1619" s="48">
        <v>2.87</v>
      </c>
      <c r="AF1619" s="48">
        <f t="shared" si="389"/>
        <v>2.4900000000000002</v>
      </c>
      <c r="AG1619" s="49">
        <v>2.23</v>
      </c>
      <c r="AH1619" s="98">
        <v>1.42E-14</v>
      </c>
      <c r="AI1619" s="98"/>
      <c r="AJ1619" s="483">
        <f t="shared" si="391"/>
        <v>-12.236277981929595</v>
      </c>
      <c r="AK1619" s="483"/>
      <c r="AL1619" s="483">
        <f t="shared" si="392"/>
        <v>-12.236277981929595</v>
      </c>
      <c r="AM1619" s="483">
        <v>-19.675779999999996</v>
      </c>
      <c r="AN1619" s="226">
        <v>-19.5</v>
      </c>
      <c r="AO1619" s="484"/>
      <c r="AP1619" s="484"/>
      <c r="AQ1619" s="226" t="s">
        <v>6311</v>
      </c>
      <c r="AR1619" s="226" t="s">
        <v>6311</v>
      </c>
      <c r="AS1619" s="224" t="s">
        <v>63</v>
      </c>
      <c r="AT1619" s="50" t="s">
        <v>266</v>
      </c>
      <c r="AU1619" s="48">
        <v>8</v>
      </c>
      <c r="AV1619" s="48">
        <v>144</v>
      </c>
      <c r="AW1619" s="48">
        <v>120</v>
      </c>
      <c r="AX1619" s="48">
        <v>26</v>
      </c>
      <c r="AY1619" s="48" t="s">
        <v>267</v>
      </c>
      <c r="AZ1619" s="48" t="s">
        <v>2253</v>
      </c>
      <c r="BA1619" s="48">
        <v>3</v>
      </c>
      <c r="BB1619" s="47" t="s">
        <v>2254</v>
      </c>
      <c r="BC1619" s="47" t="s">
        <v>270</v>
      </c>
      <c r="BD1619" s="47" t="s">
        <v>8374</v>
      </c>
      <c r="BE1619" s="48" t="s">
        <v>1712</v>
      </c>
      <c r="BF1619" s="48" t="s">
        <v>272</v>
      </c>
      <c r="BG1619" s="48" t="s">
        <v>272</v>
      </c>
      <c r="BH1619" s="48" t="s">
        <v>2255</v>
      </c>
      <c r="BI1619" s="98">
        <v>4.8337E-4</v>
      </c>
      <c r="BJ1619" s="98">
        <v>38.669600000000003</v>
      </c>
      <c r="BK1619" s="48"/>
      <c r="BL1619" s="487">
        <v>55.67813667509995</v>
      </c>
      <c r="BM1619" s="48" t="s">
        <v>891</v>
      </c>
      <c r="BN1619" s="233"/>
      <c r="BO1619" s="233"/>
      <c r="BP1619" s="233"/>
      <c r="BQ1619" s="233"/>
      <c r="BR1619" s="233"/>
      <c r="BS1619" s="48"/>
      <c r="BT1619" s="233"/>
      <c r="BU1619" s="228"/>
      <c r="BV1619" s="233"/>
      <c r="BW1619" s="233"/>
      <c r="BX1619" s="233"/>
      <c r="BY1619" s="233"/>
      <c r="BZ1619" s="233"/>
      <c r="CA1619" s="233"/>
      <c r="CB1619" s="233"/>
      <c r="CC1619" s="48"/>
      <c r="CD1619" s="48"/>
      <c r="CE1619" s="48"/>
      <c r="CF1619" s="48"/>
      <c r="CG1619" s="233"/>
      <c r="CH1619" s="48"/>
      <c r="CI1619" s="98"/>
      <c r="CJ1619" s="98"/>
      <c r="CK1619" s="49">
        <f t="shared" si="384"/>
        <v>1.4398425811257407</v>
      </c>
      <c r="CL1619" s="229"/>
      <c r="CM1619" s="229"/>
      <c r="CN1619" s="229"/>
      <c r="CO1619" s="47" t="s">
        <v>892</v>
      </c>
      <c r="CP1619" s="500" t="s">
        <v>893</v>
      </c>
      <c r="CQ1619" s="224" t="s">
        <v>272</v>
      </c>
      <c r="CR1619" s="224"/>
      <c r="CS1619" s="230" t="s">
        <v>539</v>
      </c>
      <c r="CT1619" s="230"/>
      <c r="CU1619" s="230"/>
      <c r="CV1619" s="335">
        <f t="shared" si="385"/>
        <v>3.2878349898692223</v>
      </c>
      <c r="CW1619" s="230">
        <f t="shared" si="390"/>
        <v>1</v>
      </c>
      <c r="CX1619" s="336" t="s">
        <v>539</v>
      </c>
      <c r="CY1619" s="230" t="s">
        <v>5921</v>
      </c>
    </row>
    <row r="1620" spans="1:103" ht="11.25" customHeight="1" x14ac:dyDescent="0.2">
      <c r="A1620" s="72">
        <v>2034</v>
      </c>
      <c r="B1620" s="282">
        <v>235</v>
      </c>
      <c r="C1620" s="115" t="s">
        <v>3737</v>
      </c>
      <c r="D1620" s="115"/>
      <c r="E1620" s="116">
        <v>1</v>
      </c>
      <c r="F1620" s="116" t="s">
        <v>3738</v>
      </c>
      <c r="G1620" s="283">
        <v>10043353</v>
      </c>
      <c r="H1620" s="284" t="s">
        <v>3739</v>
      </c>
      <c r="I1620" s="284"/>
      <c r="J1620" s="284" t="s">
        <v>3740</v>
      </c>
      <c r="K1620" s="284" t="s">
        <v>3741</v>
      </c>
      <c r="L1620" s="284"/>
      <c r="M1620" s="284"/>
      <c r="N1620" s="284"/>
      <c r="O1620" s="284"/>
      <c r="P1620" s="286"/>
      <c r="Q1620" s="286"/>
      <c r="R1620" s="286"/>
      <c r="S1620" s="286"/>
      <c r="T1620" s="119">
        <v>61.83</v>
      </c>
      <c r="U1620" s="292"/>
      <c r="V1620" s="292"/>
      <c r="W1620" s="292"/>
      <c r="X1620" s="292"/>
      <c r="Y1620" s="370"/>
      <c r="Z1620" s="119"/>
      <c r="AA1620" s="119"/>
      <c r="AB1620" s="116"/>
      <c r="AC1620" s="116"/>
      <c r="AD1620" s="116"/>
      <c r="AE1620" s="116"/>
      <c r="AF1620" s="116"/>
      <c r="AG1620" s="120" t="s">
        <v>404</v>
      </c>
      <c r="AH1620" s="292"/>
      <c r="AI1620" s="292"/>
      <c r="AJ1620" s="125"/>
      <c r="AK1620" s="125"/>
      <c r="AL1620" s="125"/>
      <c r="AM1620" s="125"/>
      <c r="AN1620" s="297"/>
      <c r="AO1620" s="420"/>
      <c r="AP1620" s="420"/>
      <c r="AQ1620" s="297" t="s">
        <v>6311</v>
      </c>
      <c r="AR1620" s="297" t="s">
        <v>6311</v>
      </c>
      <c r="AS1620" s="282" t="s">
        <v>6</v>
      </c>
      <c r="AT1620" s="118" t="s">
        <v>266</v>
      </c>
      <c r="AU1620" s="119">
        <v>8</v>
      </c>
      <c r="AV1620" s="119">
        <v>144</v>
      </c>
      <c r="AW1620" s="119">
        <v>120</v>
      </c>
      <c r="AX1620" s="119">
        <v>26</v>
      </c>
      <c r="AY1620" s="119" t="s">
        <v>267</v>
      </c>
      <c r="AZ1620" s="119" t="s">
        <v>2253</v>
      </c>
      <c r="BA1620" s="119">
        <v>3</v>
      </c>
      <c r="BB1620" s="284" t="s">
        <v>2254</v>
      </c>
      <c r="BC1620" s="284" t="s">
        <v>270</v>
      </c>
      <c r="BD1620" s="284" t="s">
        <v>8374</v>
      </c>
      <c r="BE1620" s="119" t="s">
        <v>1712</v>
      </c>
      <c r="BF1620" s="119" t="s">
        <v>272</v>
      </c>
      <c r="BG1620" s="119" t="s">
        <v>272</v>
      </c>
      <c r="BH1620" s="119" t="s">
        <v>2255</v>
      </c>
      <c r="BI1620" s="292">
        <v>6.1829999999999996E-5</v>
      </c>
      <c r="BJ1620" s="292">
        <v>4.9463999999999997</v>
      </c>
      <c r="BK1620" s="119"/>
      <c r="BL1620" s="287"/>
      <c r="BM1620" s="119" t="s">
        <v>891</v>
      </c>
      <c r="BN1620" s="370"/>
      <c r="BO1620" s="370"/>
      <c r="BP1620" s="370"/>
      <c r="BQ1620" s="370"/>
      <c r="BR1620" s="370"/>
      <c r="BS1620" s="119"/>
      <c r="BT1620" s="370"/>
      <c r="BU1620" s="293"/>
      <c r="BV1620" s="370"/>
      <c r="BW1620" s="370"/>
      <c r="BX1620" s="370"/>
      <c r="BY1620" s="370"/>
      <c r="BZ1620" s="370"/>
      <c r="CA1620" s="370"/>
      <c r="CB1620" s="370"/>
      <c r="CC1620" s="119"/>
      <c r="CD1620" s="119"/>
      <c r="CE1620" s="119"/>
      <c r="CF1620" s="119"/>
      <c r="CG1620" s="370"/>
      <c r="CH1620" s="119"/>
      <c r="CI1620" s="292"/>
      <c r="CJ1620" s="292"/>
      <c r="CK1620" s="120" t="s">
        <v>404</v>
      </c>
      <c r="CL1620" s="294"/>
      <c r="CM1620" s="294"/>
      <c r="CN1620" s="294">
        <f>BJ1620/(10^CM1620)</f>
        <v>4.9463999999999997</v>
      </c>
      <c r="CO1620" s="284" t="s">
        <v>892</v>
      </c>
      <c r="CP1620" s="498" t="s">
        <v>893</v>
      </c>
      <c r="CQ1620" s="282"/>
      <c r="CR1620" s="282">
        <f t="shared" ref="CR1620:CR1629" si="393">10^(CJ1620-CQ1620)</f>
        <v>1</v>
      </c>
      <c r="CS1620" s="123" t="s">
        <v>539</v>
      </c>
      <c r="CT1620" s="123"/>
      <c r="CU1620" s="123" t="s">
        <v>6310</v>
      </c>
      <c r="CV1620" s="338" t="s">
        <v>6310</v>
      </c>
      <c r="CW1620" s="123">
        <f t="shared" ref="CW1620:CW1622" si="394">IF(CV1620&lt;1,0,1)</f>
        <v>1</v>
      </c>
      <c r="CX1620" s="339" t="s">
        <v>539</v>
      </c>
      <c r="CY1620" s="123" t="s">
        <v>6351</v>
      </c>
    </row>
    <row r="1621" spans="1:103" ht="11.25" customHeight="1" x14ac:dyDescent="0.2">
      <c r="A1621" s="72">
        <v>1927</v>
      </c>
      <c r="B1621" s="241">
        <v>850</v>
      </c>
      <c r="C1621" s="32" t="s">
        <v>2461</v>
      </c>
      <c r="D1621" s="32" t="s">
        <v>6563</v>
      </c>
      <c r="E1621" s="40"/>
      <c r="F1621" s="40" t="s">
        <v>3131</v>
      </c>
      <c r="G1621" s="242">
        <v>66230044</v>
      </c>
      <c r="H1621" s="36" t="s">
        <v>2462</v>
      </c>
      <c r="I1621" s="36" t="s">
        <v>7958</v>
      </c>
      <c r="J1621" s="36" t="s">
        <v>2463</v>
      </c>
      <c r="K1621" s="36" t="s">
        <v>1711</v>
      </c>
      <c r="L1621" s="36" t="s">
        <v>617</v>
      </c>
      <c r="M1621" s="36" t="s">
        <v>3846</v>
      </c>
      <c r="N1621" s="36" t="s">
        <v>6376</v>
      </c>
      <c r="O1621" s="36" t="s">
        <v>918</v>
      </c>
      <c r="P1621" s="41"/>
      <c r="Q1621" s="41"/>
      <c r="R1621" s="41"/>
      <c r="S1621" s="41"/>
      <c r="T1621" s="37">
        <v>419.9</v>
      </c>
      <c r="U1621" s="243">
        <v>2E-3</v>
      </c>
      <c r="V1621" s="243">
        <v>6.1000000000000004E-3</v>
      </c>
      <c r="W1621" s="243">
        <v>2.589082412816358E-2</v>
      </c>
      <c r="X1621" s="243">
        <v>2E-3</v>
      </c>
      <c r="Y1621" s="414">
        <v>7</v>
      </c>
      <c r="Z1621" s="37">
        <v>6.76</v>
      </c>
      <c r="AA1621" s="37">
        <v>6.22</v>
      </c>
      <c r="AB1621" s="37">
        <v>5.98</v>
      </c>
      <c r="AC1621" s="37">
        <v>0.58919999999999995</v>
      </c>
      <c r="AD1621" s="37">
        <v>6.28</v>
      </c>
      <c r="AE1621" s="37">
        <v>6.67</v>
      </c>
      <c r="AF1621" s="37">
        <f>IF(AA1621=0,AD1621,AA1621)</f>
        <v>6.22</v>
      </c>
      <c r="AG1621" s="38">
        <v>6.03</v>
      </c>
      <c r="AH1621" s="243">
        <v>1.1899999999999999E-7</v>
      </c>
      <c r="AI1621" s="243">
        <v>3.4499999999999998E-8</v>
      </c>
      <c r="AJ1621" s="34">
        <f>LOG10(AH1621*1000/(0.08206*298.15))</f>
        <v>-5.3130193649201214</v>
      </c>
      <c r="AK1621" s="34">
        <f>LOG10(AI1621*1000/(0.08206*298.15))</f>
        <v>-5.850747231239378</v>
      </c>
      <c r="AL1621" s="34">
        <f>IF(AK1621=0,AJ1621,AK1621)</f>
        <v>-5.850747231239378</v>
      </c>
      <c r="AM1621" s="34">
        <v>-16.262410000000003</v>
      </c>
      <c r="AN1621" s="244">
        <v>-6.07</v>
      </c>
      <c r="AO1621" s="417"/>
      <c r="AP1621" s="417"/>
      <c r="AQ1621" s="244" t="s">
        <v>6311</v>
      </c>
      <c r="AR1621" s="244" t="s">
        <v>6312</v>
      </c>
      <c r="AS1621" s="241" t="s">
        <v>6</v>
      </c>
      <c r="AT1621" s="39" t="s">
        <v>266</v>
      </c>
      <c r="AU1621" s="37">
        <v>2</v>
      </c>
      <c r="AV1621" s="37">
        <v>48</v>
      </c>
      <c r="AW1621" s="37">
        <v>48</v>
      </c>
      <c r="AX1621" s="37">
        <v>26</v>
      </c>
      <c r="AY1621" s="37" t="s">
        <v>647</v>
      </c>
      <c r="AZ1621" s="37" t="s">
        <v>1920</v>
      </c>
      <c r="BA1621" s="37">
        <v>10</v>
      </c>
      <c r="BB1621" s="36" t="s">
        <v>1613</v>
      </c>
      <c r="BC1621" s="36" t="s">
        <v>538</v>
      </c>
      <c r="BD1621" s="36"/>
      <c r="BE1621" s="37" t="s">
        <v>271</v>
      </c>
      <c r="BF1621" s="37" t="s">
        <v>272</v>
      </c>
      <c r="BG1621" s="37" t="s">
        <v>272</v>
      </c>
      <c r="BH1621" s="37" t="s">
        <v>4089</v>
      </c>
      <c r="BI1621" s="250">
        <v>4.9998809268652809E-4</v>
      </c>
      <c r="BJ1621" s="250">
        <v>4.7998856897906684E-3</v>
      </c>
      <c r="BK1621" s="37"/>
      <c r="BL1621" s="263">
        <v>1.8314281053188532E-2</v>
      </c>
      <c r="BM1621" s="37" t="s">
        <v>541</v>
      </c>
      <c r="BN1621" s="37"/>
      <c r="BO1621" s="37"/>
      <c r="BP1621" s="37"/>
      <c r="BQ1621" s="37"/>
      <c r="BR1621" s="37"/>
      <c r="BS1621" s="37"/>
      <c r="BT1621" s="37"/>
      <c r="BU1621" s="246"/>
      <c r="BV1621" s="37"/>
      <c r="BW1621" s="37"/>
      <c r="BX1621" s="37"/>
      <c r="BY1621" s="37"/>
      <c r="BZ1621" s="37"/>
      <c r="CA1621" s="37"/>
      <c r="CB1621" s="37"/>
      <c r="CC1621" s="37"/>
      <c r="CD1621" s="37"/>
      <c r="CE1621" s="37"/>
      <c r="CF1621" s="37"/>
      <c r="CG1621" s="37"/>
      <c r="CH1621" s="37"/>
      <c r="CI1621" s="243"/>
      <c r="CJ1621" s="243"/>
      <c r="CK1621" s="38">
        <f>BL1621/BJ1621</f>
        <v>3.8155660856971889</v>
      </c>
      <c r="CL1621" s="247"/>
      <c r="CM1621" s="247"/>
      <c r="CN1621" s="247"/>
      <c r="CO1621" s="36" t="s">
        <v>4073</v>
      </c>
      <c r="CP1621" s="496" t="s">
        <v>4101</v>
      </c>
      <c r="CQ1621" s="241">
        <v>-3.5854962806114608</v>
      </c>
      <c r="CR1621" s="241">
        <f t="shared" si="393"/>
        <v>3850.3151717426226</v>
      </c>
      <c r="CS1621" s="33"/>
      <c r="CT1621" s="33"/>
      <c r="CU1621" s="250"/>
      <c r="CV1621" s="337">
        <f>X1621/BJ1621</f>
        <v>0.41667658966420584</v>
      </c>
      <c r="CW1621" s="330">
        <f t="shared" si="394"/>
        <v>0</v>
      </c>
      <c r="CX1621" s="330"/>
      <c r="CY1621" s="143" t="s">
        <v>5921</v>
      </c>
    </row>
    <row r="1622" spans="1:103" ht="11.25" customHeight="1" x14ac:dyDescent="0.2">
      <c r="A1622" s="72">
        <v>1934</v>
      </c>
      <c r="B1622" s="241">
        <v>851</v>
      </c>
      <c r="C1622" s="32" t="s">
        <v>4102</v>
      </c>
      <c r="D1622" s="32" t="s">
        <v>6610</v>
      </c>
      <c r="E1622" s="40"/>
      <c r="F1622" s="40" t="s">
        <v>4103</v>
      </c>
      <c r="G1622" s="242">
        <v>70124775</v>
      </c>
      <c r="H1622" s="36" t="s">
        <v>4104</v>
      </c>
      <c r="I1622" s="36" t="s">
        <v>7913</v>
      </c>
      <c r="J1622" s="36" t="s">
        <v>4105</v>
      </c>
      <c r="K1622" s="36" t="s">
        <v>1711</v>
      </c>
      <c r="L1622" s="36" t="s">
        <v>617</v>
      </c>
      <c r="M1622" s="36" t="s">
        <v>1086</v>
      </c>
      <c r="N1622" s="36" t="s">
        <v>6376</v>
      </c>
      <c r="O1622" s="36" t="s">
        <v>918</v>
      </c>
      <c r="P1622" s="41"/>
      <c r="Q1622" s="41"/>
      <c r="R1622" s="41"/>
      <c r="S1622" s="41"/>
      <c r="T1622" s="37">
        <v>451.46</v>
      </c>
      <c r="U1622" s="243">
        <v>6.0000000000000005E-2</v>
      </c>
      <c r="V1622" s="243">
        <v>4.019E-3</v>
      </c>
      <c r="W1622" s="243">
        <v>6.090027829748268E-2</v>
      </c>
      <c r="X1622" s="243">
        <v>6.0000000000000005E-2</v>
      </c>
      <c r="Y1622" s="414">
        <v>7</v>
      </c>
      <c r="Z1622" s="37">
        <v>6.56</v>
      </c>
      <c r="AA1622" s="37">
        <v>6.2</v>
      </c>
      <c r="AB1622" s="37">
        <v>6</v>
      </c>
      <c r="AC1622" s="37">
        <v>0.81779999999999997</v>
      </c>
      <c r="AD1622" s="37">
        <v>6.04</v>
      </c>
      <c r="AE1622" s="37">
        <v>6.17</v>
      </c>
      <c r="AF1622" s="37">
        <f>IF(AA1622=0,AD1622,AA1622)</f>
        <v>6.2</v>
      </c>
      <c r="AG1622" s="38">
        <v>6.24</v>
      </c>
      <c r="AH1622" s="243">
        <v>3.7499999999999998E-8</v>
      </c>
      <c r="AI1622" s="243">
        <v>8.6099999999999997E-8</v>
      </c>
      <c r="AJ1622" s="34">
        <f>LOG10(AH1622*1000/(0.08206*298.15))</f>
        <v>-5.8145350585849327</v>
      </c>
      <c r="AK1622" s="34">
        <f>LOG10(AI1622*1000/(0.08206*298.15))</f>
        <v>-5.4535631748589974</v>
      </c>
      <c r="AL1622" s="34">
        <f>IF(AK1622=0,AJ1622,AK1622)</f>
        <v>-5.4535631748589974</v>
      </c>
      <c r="AM1622" s="34">
        <v>-16.798259999999999</v>
      </c>
      <c r="AN1622" s="244">
        <v>-6.32</v>
      </c>
      <c r="AO1622" s="417"/>
      <c r="AP1622" s="417"/>
      <c r="AQ1622" s="244" t="s">
        <v>6311</v>
      </c>
      <c r="AR1622" s="244" t="s">
        <v>6312</v>
      </c>
      <c r="AS1622" s="241" t="s">
        <v>6</v>
      </c>
      <c r="AT1622" s="39" t="s">
        <v>266</v>
      </c>
      <c r="AU1622" s="37">
        <v>2</v>
      </c>
      <c r="AV1622" s="37">
        <v>48</v>
      </c>
      <c r="AW1622" s="37">
        <v>48</v>
      </c>
      <c r="AX1622" s="37">
        <v>26</v>
      </c>
      <c r="AY1622" s="37" t="s">
        <v>647</v>
      </c>
      <c r="AZ1622" s="37" t="s">
        <v>1920</v>
      </c>
      <c r="BA1622" s="37">
        <v>10</v>
      </c>
      <c r="BB1622" s="36" t="s">
        <v>1613</v>
      </c>
      <c r="BC1622" s="36" t="s">
        <v>538</v>
      </c>
      <c r="BD1622" s="36"/>
      <c r="BE1622" s="37" t="s">
        <v>271</v>
      </c>
      <c r="BF1622" s="37" t="s">
        <v>272</v>
      </c>
      <c r="BG1622" s="37" t="s">
        <v>272</v>
      </c>
      <c r="BH1622" s="37" t="s">
        <v>4089</v>
      </c>
      <c r="BI1622" s="250">
        <v>1E-4</v>
      </c>
      <c r="BJ1622" s="250">
        <v>1.6E-2</v>
      </c>
      <c r="BK1622" s="37"/>
      <c r="BL1622" s="263">
        <v>2.9777160187692591E-2</v>
      </c>
      <c r="BM1622" s="37" t="s">
        <v>541</v>
      </c>
      <c r="BN1622" s="37"/>
      <c r="BO1622" s="37"/>
      <c r="BP1622" s="37"/>
      <c r="BQ1622" s="37"/>
      <c r="BR1622" s="37"/>
      <c r="BS1622" s="37"/>
      <c r="BT1622" s="37"/>
      <c r="BU1622" s="246"/>
      <c r="BV1622" s="37"/>
      <c r="BW1622" s="37"/>
      <c r="BX1622" s="37"/>
      <c r="BY1622" s="37"/>
      <c r="BZ1622" s="37"/>
      <c r="CA1622" s="37"/>
      <c r="CB1622" s="37"/>
      <c r="CC1622" s="37"/>
      <c r="CD1622" s="37"/>
      <c r="CE1622" s="37"/>
      <c r="CF1622" s="37"/>
      <c r="CG1622" s="37"/>
      <c r="CH1622" s="37"/>
      <c r="CI1622" s="243"/>
      <c r="CJ1622" s="243"/>
      <c r="CK1622" s="38">
        <f>BL1622/BJ1622</f>
        <v>1.8610725117307869</v>
      </c>
      <c r="CL1622" s="247"/>
      <c r="CM1622" s="247"/>
      <c r="CN1622" s="247"/>
      <c r="CO1622" s="36" t="s">
        <v>4073</v>
      </c>
      <c r="CP1622" s="496" t="s">
        <v>4101</v>
      </c>
      <c r="CQ1622" s="241">
        <v>-3.3831773698563921</v>
      </c>
      <c r="CR1622" s="241">
        <f t="shared" si="393"/>
        <v>2416.4475323157544</v>
      </c>
      <c r="CS1622" s="33"/>
      <c r="CT1622" s="33"/>
      <c r="CU1622" s="250"/>
      <c r="CV1622" s="337">
        <f>X1622/BJ1622</f>
        <v>3.75</v>
      </c>
      <c r="CW1622" s="330">
        <f t="shared" si="394"/>
        <v>1</v>
      </c>
      <c r="CX1622" s="330"/>
      <c r="CY1622" s="143" t="s">
        <v>5921</v>
      </c>
    </row>
    <row r="1623" spans="1:103" ht="11.25" customHeight="1" x14ac:dyDescent="0.2">
      <c r="A1623" s="72">
        <v>438</v>
      </c>
      <c r="B1623" s="149">
        <v>757</v>
      </c>
      <c r="C1623" s="54" t="s">
        <v>1535</v>
      </c>
      <c r="D1623" s="54" t="s">
        <v>6500</v>
      </c>
      <c r="E1623" s="59"/>
      <c r="F1623" s="59" t="s">
        <v>1536</v>
      </c>
      <c r="G1623" s="151">
        <v>3380345</v>
      </c>
      <c r="H1623" s="55" t="s">
        <v>1537</v>
      </c>
      <c r="I1623" s="55" t="s">
        <v>7884</v>
      </c>
      <c r="J1623" s="55" t="s">
        <v>1538</v>
      </c>
      <c r="K1623" s="55" t="s">
        <v>349</v>
      </c>
      <c r="L1623" s="55" t="s">
        <v>6067</v>
      </c>
      <c r="M1623" s="55" t="s">
        <v>6082</v>
      </c>
      <c r="N1623" s="60" t="s">
        <v>6082</v>
      </c>
      <c r="O1623" s="55" t="s">
        <v>6083</v>
      </c>
      <c r="P1623" s="67"/>
      <c r="Q1623" s="67"/>
      <c r="R1623" s="67"/>
      <c r="S1623" s="67"/>
      <c r="T1623" s="56">
        <v>289.54000000000002</v>
      </c>
      <c r="U1623" s="103">
        <v>10.000000000000002</v>
      </c>
      <c r="V1623" s="103">
        <v>4.6210000000000004</v>
      </c>
      <c r="W1623" s="103">
        <v>1.4181055935993983</v>
      </c>
      <c r="X1623" s="103">
        <v>10.000000000000002</v>
      </c>
      <c r="Y1623" s="162">
        <v>6.54</v>
      </c>
      <c r="Z1623" s="56">
        <v>4.66</v>
      </c>
      <c r="AA1623" s="56">
        <v>4.76</v>
      </c>
      <c r="AB1623" s="56">
        <v>5.3</v>
      </c>
      <c r="AC1623" s="56">
        <v>0.87380000000000002</v>
      </c>
      <c r="AD1623" s="56">
        <v>5.27</v>
      </c>
      <c r="AE1623" s="56">
        <v>5.17</v>
      </c>
      <c r="AF1623" s="56">
        <f>IF(AA1623=0,AD1623,AA1623)</f>
        <v>4.76</v>
      </c>
      <c r="AG1623" s="57">
        <v>4.8499999999999996</v>
      </c>
      <c r="AH1623" s="103">
        <v>4.9900000000000003E-9</v>
      </c>
      <c r="AI1623" s="103"/>
      <c r="AJ1623" s="62">
        <f>LOG10(AH1623*1000/(0.08206*298.15))</f>
        <v>-6.6904657806892622</v>
      </c>
      <c r="AK1623" s="62"/>
      <c r="AL1623" s="62">
        <f>IF(AK1623=0,AJ1623,AK1623)</f>
        <v>-6.6904657806892622</v>
      </c>
      <c r="AM1623" s="62">
        <v>-10.51848</v>
      </c>
      <c r="AN1623" s="154">
        <v>-3.91</v>
      </c>
      <c r="AO1623" s="410">
        <v>7.8</v>
      </c>
      <c r="AP1623" s="410"/>
      <c r="AQ1623" s="154" t="s">
        <v>6311</v>
      </c>
      <c r="AR1623" s="154" t="s">
        <v>6311</v>
      </c>
      <c r="AS1623" s="149" t="s">
        <v>6</v>
      </c>
      <c r="AT1623" s="58" t="s">
        <v>266</v>
      </c>
      <c r="AU1623" s="56">
        <v>2</v>
      </c>
      <c r="AV1623" s="56">
        <v>96</v>
      </c>
      <c r="AW1623" s="56">
        <v>96</v>
      </c>
      <c r="AX1623" s="56">
        <v>28</v>
      </c>
      <c r="AY1623" s="56" t="s">
        <v>8722</v>
      </c>
      <c r="AZ1623" s="56" t="s">
        <v>536</v>
      </c>
      <c r="BA1623" s="56" t="s">
        <v>8722</v>
      </c>
      <c r="BB1623" s="55" t="s">
        <v>1764</v>
      </c>
      <c r="BC1623" s="55" t="s">
        <v>2134</v>
      </c>
      <c r="BD1623" s="55"/>
      <c r="BE1623" s="56" t="s">
        <v>271</v>
      </c>
      <c r="BF1623" s="56" t="s">
        <v>272</v>
      </c>
      <c r="BG1623" s="56">
        <v>7</v>
      </c>
      <c r="BH1623" s="56" t="s">
        <v>2135</v>
      </c>
      <c r="BI1623" s="153">
        <v>9.9996546365049233E-2</v>
      </c>
      <c r="BJ1623" s="153">
        <v>0.89996891728544304</v>
      </c>
      <c r="BK1623" s="56"/>
      <c r="BL1623" s="153">
        <v>0.97132053426667619</v>
      </c>
      <c r="BM1623" s="56" t="s">
        <v>2046</v>
      </c>
      <c r="BN1623" s="56"/>
      <c r="BO1623" s="56"/>
      <c r="BP1623" s="56"/>
      <c r="BQ1623" s="56">
        <v>0.41998549473320673</v>
      </c>
      <c r="BR1623" s="56"/>
      <c r="BS1623" s="56"/>
      <c r="BT1623" s="56"/>
      <c r="BU1623" s="158"/>
      <c r="BV1623" s="56"/>
      <c r="BW1623" s="56"/>
      <c r="BX1623" s="56"/>
      <c r="BY1623" s="56"/>
      <c r="BZ1623" s="56"/>
      <c r="CA1623" s="56"/>
      <c r="CB1623" s="56"/>
      <c r="CC1623" s="56"/>
      <c r="CD1623" s="56"/>
      <c r="CE1623" s="56"/>
      <c r="CF1623" s="56"/>
      <c r="CG1623" s="56"/>
      <c r="CH1623" s="56"/>
      <c r="CI1623" s="103">
        <v>0.41998549473320673</v>
      </c>
      <c r="CJ1623" s="103">
        <f t="shared" ref="CJ1623:CJ1646" si="395">LOG10(CI1623)</f>
        <v>-0.37676570880712623</v>
      </c>
      <c r="CK1623" s="57">
        <f>BL1623/BJ1623</f>
        <v>1.0792823125452482</v>
      </c>
      <c r="CL1623" s="160">
        <f>BL1623/CI1623</f>
        <v>2.3127478125969607</v>
      </c>
      <c r="CM1623" s="160">
        <v>-0.56863623584101308</v>
      </c>
      <c r="CN1623" s="160">
        <f>BJ1623/(10^CM1623)</f>
        <v>3.3332182121683114</v>
      </c>
      <c r="CO1623" s="55"/>
      <c r="CP1623" s="497" t="s">
        <v>2136</v>
      </c>
      <c r="CQ1623" s="149">
        <v>-3.048771733266693E-2</v>
      </c>
      <c r="CR1623" s="349">
        <f t="shared" si="393"/>
        <v>0.45052822954452992</v>
      </c>
      <c r="CS1623" s="61" t="s">
        <v>539</v>
      </c>
      <c r="CT1623" s="61"/>
      <c r="CU1623" s="111">
        <f>X1623/CI1623</f>
        <v>23.810346131959729</v>
      </c>
      <c r="CV1623" s="331">
        <f>X1623/BJ1623</f>
        <v>11.111494861581207</v>
      </c>
      <c r="CW1623" s="326">
        <f t="shared" ref="CW1623:CW1647" si="396">IF(CU1623&lt;2,0,1)</f>
        <v>1</v>
      </c>
      <c r="CX1623" s="326"/>
      <c r="CY1623" s="161" t="s">
        <v>6351</v>
      </c>
    </row>
    <row r="1624" spans="1:103" ht="11.25" customHeight="1" x14ac:dyDescent="0.2">
      <c r="A1624" s="72">
        <v>2033</v>
      </c>
      <c r="B1624" s="282">
        <v>606</v>
      </c>
      <c r="C1624" s="115" t="s">
        <v>1799</v>
      </c>
      <c r="D1624" s="115"/>
      <c r="E1624" s="116">
        <v>1</v>
      </c>
      <c r="F1624" s="116" t="s">
        <v>1800</v>
      </c>
      <c r="G1624" s="283">
        <v>7446200</v>
      </c>
      <c r="H1624" s="284" t="s">
        <v>1801</v>
      </c>
      <c r="I1624" s="284"/>
      <c r="J1624" s="284"/>
      <c r="K1624" s="284" t="s">
        <v>403</v>
      </c>
      <c r="L1624" s="284"/>
      <c r="M1624" s="284"/>
      <c r="N1624" s="350"/>
      <c r="O1624" s="284"/>
      <c r="P1624" s="286"/>
      <c r="Q1624" s="286"/>
      <c r="R1624" s="286"/>
      <c r="S1624" s="286"/>
      <c r="T1624" s="119">
        <v>65.39</v>
      </c>
      <c r="U1624" s="292"/>
      <c r="V1624" s="292"/>
      <c r="W1624" s="292"/>
      <c r="X1624" s="292"/>
      <c r="Y1624" s="370"/>
      <c r="Z1624" s="119"/>
      <c r="AA1624" s="119"/>
      <c r="AB1624" s="116"/>
      <c r="AC1624" s="116"/>
      <c r="AD1624" s="116"/>
      <c r="AE1624" s="116"/>
      <c r="AF1624" s="116"/>
      <c r="AG1624" s="120" t="s">
        <v>5921</v>
      </c>
      <c r="AH1624" s="292"/>
      <c r="AI1624" s="287"/>
      <c r="AJ1624" s="125"/>
      <c r="AK1624" s="125"/>
      <c r="AL1624" s="125"/>
      <c r="AM1624" s="125"/>
      <c r="AN1624" s="288"/>
      <c r="AO1624" s="420"/>
      <c r="AP1624" s="420"/>
      <c r="AQ1624" s="297" t="s">
        <v>6311</v>
      </c>
      <c r="AR1624" s="297" t="s">
        <v>6311</v>
      </c>
      <c r="AS1624" s="282" t="s">
        <v>6</v>
      </c>
      <c r="AT1624" s="118" t="s">
        <v>266</v>
      </c>
      <c r="AU1624" s="119">
        <v>2</v>
      </c>
      <c r="AV1624" s="119">
        <v>120</v>
      </c>
      <c r="AW1624" s="119">
        <v>120</v>
      </c>
      <c r="AX1624" s="119">
        <v>25</v>
      </c>
      <c r="AY1624" s="119" t="s">
        <v>1780</v>
      </c>
      <c r="AZ1624" s="119" t="s">
        <v>536</v>
      </c>
      <c r="BA1624" s="119" t="s">
        <v>8722</v>
      </c>
      <c r="BB1624" s="284" t="s">
        <v>1764</v>
      </c>
      <c r="BC1624" s="284" t="s">
        <v>1802</v>
      </c>
      <c r="BD1624" s="284"/>
      <c r="BE1624" s="119" t="s">
        <v>889</v>
      </c>
      <c r="BF1624" s="119" t="s">
        <v>650</v>
      </c>
      <c r="BG1624" s="119">
        <v>7.2</v>
      </c>
      <c r="BH1624" s="119" t="s">
        <v>272</v>
      </c>
      <c r="BI1624" s="292" t="s">
        <v>8722</v>
      </c>
      <c r="BJ1624" s="292" t="s">
        <v>8722</v>
      </c>
      <c r="BK1624" s="119"/>
      <c r="BL1624" s="287"/>
      <c r="BM1624" s="119" t="s">
        <v>1584</v>
      </c>
      <c r="BN1624" s="119"/>
      <c r="BO1624" s="119"/>
      <c r="BP1624" s="119"/>
      <c r="BQ1624" s="119"/>
      <c r="BR1624" s="119">
        <v>18.700000000000014</v>
      </c>
      <c r="BS1624" s="119"/>
      <c r="BT1624" s="119"/>
      <c r="BU1624" s="293"/>
      <c r="BV1624" s="119"/>
      <c r="BW1624" s="119"/>
      <c r="BX1624" s="119"/>
      <c r="BY1624" s="119"/>
      <c r="BZ1624" s="119"/>
      <c r="CA1624" s="119"/>
      <c r="CB1624" s="119"/>
      <c r="CC1624" s="119"/>
      <c r="CD1624" s="119"/>
      <c r="CE1624" s="119"/>
      <c r="CF1624" s="119"/>
      <c r="CG1624" s="119"/>
      <c r="CH1624" s="119"/>
      <c r="CI1624" s="292">
        <v>18.700000000000014</v>
      </c>
      <c r="CJ1624" s="292">
        <f t="shared" si="395"/>
        <v>1.2718416065364992</v>
      </c>
      <c r="CK1624" s="120" t="s">
        <v>404</v>
      </c>
      <c r="CL1624" s="294"/>
      <c r="CM1624" s="294"/>
      <c r="CN1624" s="294"/>
      <c r="CO1624" s="284"/>
      <c r="CP1624" s="498" t="s">
        <v>1803</v>
      </c>
      <c r="CQ1624" s="282">
        <v>-0.98716277529482777</v>
      </c>
      <c r="CR1624" s="352">
        <f t="shared" si="393"/>
        <v>181.5533980582527</v>
      </c>
      <c r="CS1624" s="123" t="s">
        <v>539</v>
      </c>
      <c r="CT1624" s="123"/>
      <c r="CU1624" s="300" t="s">
        <v>6310</v>
      </c>
      <c r="CV1624" s="338" t="s">
        <v>6310</v>
      </c>
      <c r="CW1624" s="339">
        <f t="shared" si="396"/>
        <v>1</v>
      </c>
      <c r="CX1624" s="339" t="s">
        <v>539</v>
      </c>
      <c r="CY1624" s="295" t="s">
        <v>5921</v>
      </c>
    </row>
    <row r="1625" spans="1:103" ht="11.25" customHeight="1" x14ac:dyDescent="0.2">
      <c r="A1625" s="72">
        <v>2018</v>
      </c>
      <c r="B1625" s="282">
        <v>2075</v>
      </c>
      <c r="C1625" s="115" t="s">
        <v>5713</v>
      </c>
      <c r="D1625" s="115"/>
      <c r="E1625" s="116">
        <v>1</v>
      </c>
      <c r="F1625" s="116" t="s">
        <v>5714</v>
      </c>
      <c r="G1625" s="283">
        <v>7761888</v>
      </c>
      <c r="H1625" s="286" t="s">
        <v>5715</v>
      </c>
      <c r="I1625" s="286"/>
      <c r="J1625" s="286" t="s">
        <v>5716</v>
      </c>
      <c r="K1625" s="284" t="s">
        <v>416</v>
      </c>
      <c r="L1625" s="286"/>
      <c r="M1625" s="286"/>
      <c r="N1625" s="286"/>
      <c r="O1625" s="286"/>
      <c r="P1625" s="286"/>
      <c r="Q1625" s="286"/>
      <c r="R1625" s="286"/>
      <c r="S1625" s="286"/>
      <c r="T1625" s="123">
        <v>231.88</v>
      </c>
      <c r="U1625" s="300"/>
      <c r="V1625" s="300"/>
      <c r="W1625" s="300"/>
      <c r="X1625" s="300"/>
      <c r="Y1625" s="419"/>
      <c r="Z1625" s="116"/>
      <c r="AA1625" s="116"/>
      <c r="AB1625" s="116"/>
      <c r="AC1625" s="116"/>
      <c r="AD1625" s="116"/>
      <c r="AE1625" s="116"/>
      <c r="AF1625" s="116"/>
      <c r="AG1625" s="117" t="s">
        <v>404</v>
      </c>
      <c r="AH1625" s="300"/>
      <c r="AI1625" s="292"/>
      <c r="AJ1625" s="125"/>
      <c r="AK1625" s="125"/>
      <c r="AL1625" s="125"/>
      <c r="AM1625" s="125"/>
      <c r="AN1625" s="301"/>
      <c r="AO1625" s="420"/>
      <c r="AP1625" s="420"/>
      <c r="AQ1625" s="301" t="s">
        <v>6311</v>
      </c>
      <c r="AR1625" s="301" t="s">
        <v>6311</v>
      </c>
      <c r="AS1625" s="298" t="s">
        <v>5466</v>
      </c>
      <c r="AT1625" s="124" t="s">
        <v>266</v>
      </c>
      <c r="AU1625" s="123">
        <v>0</v>
      </c>
      <c r="AV1625" s="123">
        <v>48</v>
      </c>
      <c r="AW1625" s="123">
        <v>48</v>
      </c>
      <c r="AX1625" s="123">
        <v>27</v>
      </c>
      <c r="AY1625" s="123" t="s">
        <v>267</v>
      </c>
      <c r="AZ1625" s="123" t="s">
        <v>5717</v>
      </c>
      <c r="BA1625" s="123">
        <v>24</v>
      </c>
      <c r="BB1625" s="286" t="s">
        <v>5666</v>
      </c>
      <c r="BC1625" s="286" t="s">
        <v>5718</v>
      </c>
      <c r="BD1625" s="286"/>
      <c r="BE1625" s="123"/>
      <c r="BF1625" s="123"/>
      <c r="BG1625" s="123">
        <v>7.2</v>
      </c>
      <c r="BH1625" s="123"/>
      <c r="BI1625" s="300">
        <v>5.0999919079999997E-2</v>
      </c>
      <c r="BJ1625" s="300">
        <v>0.12100008536</v>
      </c>
      <c r="BK1625" s="306" t="s">
        <v>5719</v>
      </c>
      <c r="BL1625" s="287"/>
      <c r="BM1625" s="123"/>
      <c r="BN1625" s="123"/>
      <c r="BO1625" s="123">
        <v>0.10000010504</v>
      </c>
      <c r="BP1625" s="123"/>
      <c r="BQ1625" s="123"/>
      <c r="BR1625" s="123"/>
      <c r="BS1625" s="123"/>
      <c r="BT1625" s="123"/>
      <c r="BU1625" s="293"/>
      <c r="BV1625" s="123"/>
      <c r="BW1625" s="123"/>
      <c r="BX1625" s="123"/>
      <c r="BY1625" s="123"/>
      <c r="BZ1625" s="123"/>
      <c r="CA1625" s="123"/>
      <c r="CB1625" s="123"/>
      <c r="CC1625" s="123"/>
      <c r="CD1625" s="123"/>
      <c r="CE1625" s="123"/>
      <c r="CF1625" s="123"/>
      <c r="CG1625" s="123"/>
      <c r="CH1625" s="123"/>
      <c r="CI1625" s="300">
        <v>0.10000010504</v>
      </c>
      <c r="CJ1625" s="292">
        <f t="shared" si="395"/>
        <v>-0.99999954381731582</v>
      </c>
      <c r="CK1625" s="120" t="s">
        <v>404</v>
      </c>
      <c r="CL1625" s="294"/>
      <c r="CM1625" s="294"/>
      <c r="CN1625" s="294">
        <f>BJ1625/(10^CM1625)</f>
        <v>0.12100008536</v>
      </c>
      <c r="CO1625" s="286" t="s">
        <v>5685</v>
      </c>
      <c r="CP1625" s="295" t="s">
        <v>5720</v>
      </c>
      <c r="CQ1625" s="282">
        <v>-1.8097680767529927</v>
      </c>
      <c r="CR1625" s="282">
        <f t="shared" si="393"/>
        <v>6.4531020469978593</v>
      </c>
      <c r="CS1625" s="123"/>
      <c r="CT1625" s="123" t="s">
        <v>6310</v>
      </c>
      <c r="CU1625" s="300" t="s">
        <v>6310</v>
      </c>
      <c r="CV1625" s="338" t="s">
        <v>6310</v>
      </c>
      <c r="CW1625" s="339">
        <f t="shared" si="396"/>
        <v>1</v>
      </c>
      <c r="CX1625" s="339" t="s">
        <v>539</v>
      </c>
      <c r="CY1625" s="295" t="s">
        <v>6351</v>
      </c>
    </row>
    <row r="1626" spans="1:103" ht="11.25" customHeight="1" x14ac:dyDescent="0.2">
      <c r="A1626" s="72">
        <v>356</v>
      </c>
      <c r="B1626" s="149">
        <v>799</v>
      </c>
      <c r="C1626" s="54" t="s">
        <v>1108</v>
      </c>
      <c r="D1626" s="54" t="s">
        <v>6672</v>
      </c>
      <c r="E1626" s="59"/>
      <c r="F1626" s="59" t="s">
        <v>1109</v>
      </c>
      <c r="G1626" s="151">
        <v>119446683</v>
      </c>
      <c r="H1626" s="55" t="s">
        <v>1110</v>
      </c>
      <c r="I1626" s="55" t="s">
        <v>7954</v>
      </c>
      <c r="J1626" s="55" t="s">
        <v>1111</v>
      </c>
      <c r="K1626" s="55" t="s">
        <v>1112</v>
      </c>
      <c r="L1626" s="64" t="s">
        <v>5929</v>
      </c>
      <c r="M1626" s="55" t="s">
        <v>6082</v>
      </c>
      <c r="N1626" s="60" t="s">
        <v>6082</v>
      </c>
      <c r="O1626" s="55" t="s">
        <v>6083</v>
      </c>
      <c r="P1626" s="67"/>
      <c r="Q1626" s="67"/>
      <c r="R1626" s="67"/>
      <c r="S1626" s="67"/>
      <c r="T1626" s="56">
        <v>406.26</v>
      </c>
      <c r="U1626" s="103">
        <v>15</v>
      </c>
      <c r="V1626" s="103">
        <v>0.59560000000000002</v>
      </c>
      <c r="W1626" s="103">
        <v>0.52336426287085225</v>
      </c>
      <c r="X1626" s="103">
        <v>15</v>
      </c>
      <c r="Y1626" s="162">
        <v>7</v>
      </c>
      <c r="Z1626" s="56">
        <v>5.2</v>
      </c>
      <c r="AA1626" s="56">
        <v>4.3</v>
      </c>
      <c r="AB1626" s="56">
        <v>3.84</v>
      </c>
      <c r="AC1626" s="56">
        <v>0.90800000000000003</v>
      </c>
      <c r="AD1626" s="56">
        <v>4</v>
      </c>
      <c r="AE1626" s="56">
        <v>4.92</v>
      </c>
      <c r="AF1626" s="56">
        <f t="shared" ref="AF1626:AF1632" si="397">IF(AA1626=0,AD1626,AA1626)</f>
        <v>4.3</v>
      </c>
      <c r="AG1626" s="57">
        <v>4.37</v>
      </c>
      <c r="AH1626" s="103">
        <v>1.6900000000000001E-11</v>
      </c>
      <c r="AI1626" s="103">
        <v>8.9099999999999998E-12</v>
      </c>
      <c r="AJ1626" s="62">
        <f t="shared" ref="AJ1626:AK1630" si="398">LOG10(AH1626*1000/(0.08206*298.15))</f>
        <v>-9.1606796216989785</v>
      </c>
      <c r="AK1626" s="62">
        <f t="shared" si="398"/>
        <v>-9.4386886222757767</v>
      </c>
      <c r="AL1626" s="62">
        <f t="shared" ref="AL1626:AL1632" si="399">IF(AK1626=0,AJ1626,AK1626)</f>
        <v>-9.4386886222757767</v>
      </c>
      <c r="AM1626" s="62">
        <v>-16.91262</v>
      </c>
      <c r="AN1626" s="154">
        <v>-10.1</v>
      </c>
      <c r="AO1626" s="410"/>
      <c r="AP1626" s="410">
        <v>2.94</v>
      </c>
      <c r="AQ1626" s="154" t="s">
        <v>6311</v>
      </c>
      <c r="AR1626" s="154" t="s">
        <v>6311</v>
      </c>
      <c r="AS1626" s="155" t="s">
        <v>6</v>
      </c>
      <c r="AT1626" s="58" t="s">
        <v>266</v>
      </c>
      <c r="AU1626" s="56">
        <v>0</v>
      </c>
      <c r="AV1626" s="56">
        <v>96</v>
      </c>
      <c r="AW1626" s="56">
        <v>96</v>
      </c>
      <c r="AX1626" s="56">
        <v>26</v>
      </c>
      <c r="AY1626" s="56" t="s">
        <v>8722</v>
      </c>
      <c r="AZ1626" s="56" t="s">
        <v>536</v>
      </c>
      <c r="BA1626" s="56">
        <v>20</v>
      </c>
      <c r="BB1626" s="55" t="s">
        <v>1764</v>
      </c>
      <c r="BC1626" s="55" t="s">
        <v>538</v>
      </c>
      <c r="BD1626" s="55"/>
      <c r="BE1626" s="56" t="s">
        <v>271</v>
      </c>
      <c r="BF1626" s="56" t="s">
        <v>272</v>
      </c>
      <c r="BG1626" s="56" t="s">
        <v>272</v>
      </c>
      <c r="BH1626" s="56" t="s">
        <v>2247</v>
      </c>
      <c r="BI1626" s="153">
        <v>0.4999913849758903</v>
      </c>
      <c r="BJ1626" s="153">
        <v>2.9999483098553412</v>
      </c>
      <c r="BK1626" s="56" t="s">
        <v>1810</v>
      </c>
      <c r="BL1626" s="153">
        <v>0.44615325332090677</v>
      </c>
      <c r="BM1626" s="56" t="s">
        <v>1584</v>
      </c>
      <c r="BN1626" s="56"/>
      <c r="BO1626" s="56"/>
      <c r="BP1626" s="56"/>
      <c r="BQ1626" s="56">
        <v>2.4299581309828269</v>
      </c>
      <c r="BR1626" s="56"/>
      <c r="BS1626" s="56"/>
      <c r="BT1626" s="56"/>
      <c r="BU1626" s="158"/>
      <c r="BV1626" s="56"/>
      <c r="BW1626" s="56"/>
      <c r="BX1626" s="56"/>
      <c r="BY1626" s="56"/>
      <c r="BZ1626" s="56"/>
      <c r="CA1626" s="56"/>
      <c r="CB1626" s="56"/>
      <c r="CC1626" s="56"/>
      <c r="CD1626" s="56"/>
      <c r="CE1626" s="56"/>
      <c r="CF1626" s="56"/>
      <c r="CG1626" s="56"/>
      <c r="CH1626" s="56"/>
      <c r="CI1626" s="103">
        <v>2.4299581309828269</v>
      </c>
      <c r="CJ1626" s="103">
        <f t="shared" si="395"/>
        <v>0.38559879061898134</v>
      </c>
      <c r="CK1626" s="57">
        <f>BL1626/BJ1626</f>
        <v>0.1487203135651429</v>
      </c>
      <c r="CL1626" s="160">
        <f t="shared" ref="CL1626:CL1646" si="400">BL1626/CI1626</f>
        <v>0.18360532538906527</v>
      </c>
      <c r="CM1626" s="160">
        <v>-0.56942632441649743</v>
      </c>
      <c r="CN1626" s="160">
        <f>BJ1626/(10^CM1626)</f>
        <v>11.131151562065574</v>
      </c>
      <c r="CO1626" s="55"/>
      <c r="CP1626" s="497" t="s">
        <v>2248</v>
      </c>
      <c r="CQ1626" s="149">
        <v>-0.25118258279645472</v>
      </c>
      <c r="CR1626" s="349">
        <f t="shared" si="393"/>
        <v>4.3329270119441876</v>
      </c>
      <c r="CS1626" s="61" t="s">
        <v>539</v>
      </c>
      <c r="CT1626" s="61" t="s">
        <v>6310</v>
      </c>
      <c r="CU1626" s="111">
        <f t="shared" ref="CU1626:CU1646" si="401">X1626/CI1626</f>
        <v>6.1729458663277716</v>
      </c>
      <c r="CV1626" s="331">
        <f>X1626/BJ1626</f>
        <v>5.0000861517254966</v>
      </c>
      <c r="CW1626" s="326">
        <f t="shared" si="396"/>
        <v>1</v>
      </c>
      <c r="CX1626" s="326" t="s">
        <v>539</v>
      </c>
      <c r="CY1626" s="161" t="s">
        <v>5921</v>
      </c>
    </row>
    <row r="1627" spans="1:103" ht="11.25" customHeight="1" x14ac:dyDescent="0.2">
      <c r="A1627" s="72">
        <v>186</v>
      </c>
      <c r="B1627" s="149">
        <v>761</v>
      </c>
      <c r="C1627" s="54" t="s">
        <v>1087</v>
      </c>
      <c r="D1627" s="54" t="s">
        <v>6486</v>
      </c>
      <c r="E1627" s="59"/>
      <c r="F1627" s="59" t="s">
        <v>1088</v>
      </c>
      <c r="G1627" s="151">
        <v>333415</v>
      </c>
      <c r="H1627" s="55" t="s">
        <v>1089</v>
      </c>
      <c r="I1627" s="55" t="s">
        <v>1089</v>
      </c>
      <c r="J1627" s="55" t="s">
        <v>1090</v>
      </c>
      <c r="K1627" s="55" t="s">
        <v>628</v>
      </c>
      <c r="L1627" s="55" t="s">
        <v>617</v>
      </c>
      <c r="M1627" s="55" t="s">
        <v>946</v>
      </c>
      <c r="N1627" s="60" t="s">
        <v>6376</v>
      </c>
      <c r="O1627" s="55" t="s">
        <v>918</v>
      </c>
      <c r="P1627" s="67" t="s">
        <v>6178</v>
      </c>
      <c r="Q1627" s="67" t="s">
        <v>6173</v>
      </c>
      <c r="R1627" s="67" t="s">
        <v>6177</v>
      </c>
      <c r="S1627" s="67" t="s">
        <v>6176</v>
      </c>
      <c r="T1627" s="56">
        <v>304.35000000000002</v>
      </c>
      <c r="U1627" s="103">
        <v>40</v>
      </c>
      <c r="V1627" s="103">
        <v>6.4560000000000004</v>
      </c>
      <c r="W1627" s="103">
        <v>16.344562722528643</v>
      </c>
      <c r="X1627" s="103">
        <v>40</v>
      </c>
      <c r="Y1627" s="162">
        <v>7</v>
      </c>
      <c r="Z1627" s="56">
        <v>3.86</v>
      </c>
      <c r="AA1627" s="56">
        <v>3.81</v>
      </c>
      <c r="AB1627" s="56">
        <v>3.79</v>
      </c>
      <c r="AC1627" s="56">
        <v>0.7823</v>
      </c>
      <c r="AD1627" s="56">
        <v>3.8</v>
      </c>
      <c r="AE1627" s="56">
        <v>3.81</v>
      </c>
      <c r="AF1627" s="56">
        <f t="shared" si="397"/>
        <v>3.81</v>
      </c>
      <c r="AG1627" s="57">
        <v>4.32</v>
      </c>
      <c r="AH1627" s="103">
        <v>8.7299999999999994E-8</v>
      </c>
      <c r="AI1627" s="103">
        <v>1.1300000000000001E-7</v>
      </c>
      <c r="AJ1627" s="62">
        <f t="shared" si="398"/>
        <v>-5.447552082607082</v>
      </c>
      <c r="AK1627" s="62">
        <f t="shared" si="398"/>
        <v>-5.3354878828292325</v>
      </c>
      <c r="AL1627" s="62">
        <f t="shared" si="399"/>
        <v>-5.3354878828292325</v>
      </c>
      <c r="AM1627" s="62">
        <v>-11.566619999999999</v>
      </c>
      <c r="AN1627" s="154">
        <v>-2.79</v>
      </c>
      <c r="AO1627" s="410"/>
      <c r="AP1627" s="410">
        <v>1.21</v>
      </c>
      <c r="AQ1627" s="154" t="s">
        <v>6312</v>
      </c>
      <c r="AR1627" s="154" t="s">
        <v>6312</v>
      </c>
      <c r="AS1627" s="149" t="s">
        <v>6</v>
      </c>
      <c r="AT1627" s="58" t="s">
        <v>266</v>
      </c>
      <c r="AU1627" s="56">
        <v>8</v>
      </c>
      <c r="AV1627" s="56">
        <v>96</v>
      </c>
      <c r="AW1627" s="56">
        <v>96</v>
      </c>
      <c r="AX1627" s="56">
        <v>25.5</v>
      </c>
      <c r="AY1627" s="56" t="s">
        <v>8722</v>
      </c>
      <c r="AZ1627" s="56" t="s">
        <v>2148</v>
      </c>
      <c r="BA1627" s="56">
        <v>20</v>
      </c>
      <c r="BB1627" s="55" t="s">
        <v>1613</v>
      </c>
      <c r="BC1627" s="55" t="s">
        <v>2149</v>
      </c>
      <c r="BD1627" s="55"/>
      <c r="BE1627" s="56" t="s">
        <v>1712</v>
      </c>
      <c r="BF1627" s="56" t="s">
        <v>8722</v>
      </c>
      <c r="BG1627" s="56" t="s">
        <v>8722</v>
      </c>
      <c r="BH1627" s="56" t="s">
        <v>272</v>
      </c>
      <c r="BI1627" s="103" t="s">
        <v>8722</v>
      </c>
      <c r="BJ1627" s="103" t="s">
        <v>8722</v>
      </c>
      <c r="BK1627" s="56" t="s">
        <v>2150</v>
      </c>
      <c r="BL1627" s="153">
        <v>5.3395825622052628</v>
      </c>
      <c r="BM1627" s="56" t="s">
        <v>2090</v>
      </c>
      <c r="BN1627" s="56"/>
      <c r="BO1627" s="56"/>
      <c r="BP1627" s="56"/>
      <c r="BQ1627" s="56">
        <v>8.7750000000000004</v>
      </c>
      <c r="BR1627" s="56"/>
      <c r="BS1627" s="56"/>
      <c r="BT1627" s="56"/>
      <c r="BU1627" s="158"/>
      <c r="BV1627" s="56"/>
      <c r="BW1627" s="56"/>
      <c r="BX1627" s="56"/>
      <c r="BY1627" s="56"/>
      <c r="BZ1627" s="56"/>
      <c r="CA1627" s="56"/>
      <c r="CB1627" s="56"/>
      <c r="CC1627" s="56"/>
      <c r="CD1627" s="56"/>
      <c r="CE1627" s="56"/>
      <c r="CF1627" s="56"/>
      <c r="CG1627" s="56"/>
      <c r="CH1627" s="56"/>
      <c r="CI1627" s="103">
        <v>8.7750000000000004</v>
      </c>
      <c r="CJ1627" s="103">
        <f t="shared" si="395"/>
        <v>0.94324712513786169</v>
      </c>
      <c r="CK1627" s="57"/>
      <c r="CL1627" s="160">
        <f t="shared" si="400"/>
        <v>0.60849943728834899</v>
      </c>
      <c r="CM1627" s="160">
        <v>-0.7518228197217347</v>
      </c>
      <c r="CN1627" s="160"/>
      <c r="CO1627" s="55"/>
      <c r="CP1627" s="497" t="s">
        <v>2151</v>
      </c>
      <c r="CQ1627" s="149">
        <v>2.3058777017553444E-2</v>
      </c>
      <c r="CR1627" s="349">
        <f t="shared" si="393"/>
        <v>8.3212457494721477</v>
      </c>
      <c r="CS1627" s="61" t="s">
        <v>539</v>
      </c>
      <c r="CT1627" s="61" t="s">
        <v>6310</v>
      </c>
      <c r="CU1627" s="111">
        <f t="shared" si="401"/>
        <v>4.5584045584045585</v>
      </c>
      <c r="CV1627" s="331"/>
      <c r="CW1627" s="326">
        <f t="shared" si="396"/>
        <v>1</v>
      </c>
      <c r="CX1627" s="326" t="s">
        <v>539</v>
      </c>
      <c r="CY1627" s="161" t="s">
        <v>5921</v>
      </c>
    </row>
    <row r="1628" spans="1:103" ht="11.25" customHeight="1" x14ac:dyDescent="0.2">
      <c r="A1628" s="72">
        <v>1667</v>
      </c>
      <c r="B1628" s="241">
        <v>1962</v>
      </c>
      <c r="C1628" s="32" t="s">
        <v>7628</v>
      </c>
      <c r="D1628" s="32" t="s">
        <v>8560</v>
      </c>
      <c r="E1628" s="40"/>
      <c r="F1628" s="40" t="s">
        <v>5528</v>
      </c>
      <c r="G1628" s="242">
        <v>71432</v>
      </c>
      <c r="H1628" s="41" t="s">
        <v>5529</v>
      </c>
      <c r="I1628" s="41" t="s">
        <v>5529</v>
      </c>
      <c r="J1628" s="41" t="s">
        <v>5530</v>
      </c>
      <c r="K1628" s="41" t="s">
        <v>426</v>
      </c>
      <c r="L1628" s="41" t="s">
        <v>5527</v>
      </c>
      <c r="M1628" s="41" t="s">
        <v>6616</v>
      </c>
      <c r="N1628" s="36" t="s">
        <v>6082</v>
      </c>
      <c r="O1628" s="41"/>
      <c r="P1628" s="41" t="s">
        <v>6183</v>
      </c>
      <c r="Q1628" s="41" t="s">
        <v>6176</v>
      </c>
      <c r="R1628" s="41" t="s">
        <v>6185</v>
      </c>
      <c r="S1628" s="41" t="s">
        <v>6182</v>
      </c>
      <c r="T1628" s="33">
        <v>78.11</v>
      </c>
      <c r="U1628" s="250">
        <v>1790</v>
      </c>
      <c r="V1628" s="250">
        <v>2000</v>
      </c>
      <c r="W1628" s="250">
        <v>856.45911900744181</v>
      </c>
      <c r="X1628" s="250">
        <v>1790</v>
      </c>
      <c r="Y1628" s="415">
        <v>7</v>
      </c>
      <c r="Z1628" s="33">
        <v>1.99</v>
      </c>
      <c r="AA1628" s="33">
        <v>2.13</v>
      </c>
      <c r="AB1628" s="33">
        <v>1.98</v>
      </c>
      <c r="AC1628" s="33">
        <v>0.89549999999999996</v>
      </c>
      <c r="AD1628" s="33">
        <v>2.04</v>
      </c>
      <c r="AE1628" s="33">
        <v>2.2200000000000002</v>
      </c>
      <c r="AF1628" s="33">
        <f t="shared" si="397"/>
        <v>2.13</v>
      </c>
      <c r="AG1628" s="34">
        <v>2.04</v>
      </c>
      <c r="AH1628" s="250">
        <v>5.3899999999999998E-3</v>
      </c>
      <c r="AI1628" s="250">
        <v>5.5500000000000002E-3</v>
      </c>
      <c r="AJ1628" s="34">
        <f t="shared" si="398"/>
        <v>-0.6569775611259131</v>
      </c>
      <c r="AK1628" s="34">
        <f t="shared" si="398"/>
        <v>-0.64427334318997553</v>
      </c>
      <c r="AL1628" s="34">
        <f t="shared" si="399"/>
        <v>-0.64427334318997553</v>
      </c>
      <c r="AM1628" s="34">
        <v>-2.2901499999999997</v>
      </c>
      <c r="AN1628" s="251"/>
      <c r="AO1628" s="417"/>
      <c r="AP1628" s="417"/>
      <c r="AQ1628" s="251" t="s">
        <v>6311</v>
      </c>
      <c r="AR1628" s="251" t="s">
        <v>6311</v>
      </c>
      <c r="AS1628" s="252" t="s">
        <v>5466</v>
      </c>
      <c r="AT1628" s="35" t="s">
        <v>266</v>
      </c>
      <c r="AU1628" s="33">
        <v>5.25</v>
      </c>
      <c r="AV1628" s="33">
        <v>48</v>
      </c>
      <c r="AW1628" s="33">
        <v>0.5</v>
      </c>
      <c r="AX1628" s="33">
        <v>26</v>
      </c>
      <c r="AY1628" s="253" t="s">
        <v>267</v>
      </c>
      <c r="AZ1628" s="33" t="s">
        <v>6220</v>
      </c>
      <c r="BA1628" s="262" t="s">
        <v>6224</v>
      </c>
      <c r="BB1628" s="41" t="s">
        <v>6221</v>
      </c>
      <c r="BC1628" s="41" t="s">
        <v>8380</v>
      </c>
      <c r="BD1628" s="41"/>
      <c r="BE1628" s="33" t="s">
        <v>2449</v>
      </c>
      <c r="BF1628" s="33" t="s">
        <v>6203</v>
      </c>
      <c r="BG1628" s="33" t="s">
        <v>6203</v>
      </c>
      <c r="BH1628" s="33" t="s">
        <v>6222</v>
      </c>
      <c r="BI1628" s="250">
        <v>1E-4</v>
      </c>
      <c r="BJ1628" s="250">
        <v>10</v>
      </c>
      <c r="BK1628" s="254"/>
      <c r="BL1628" s="263">
        <v>65.506989010592207</v>
      </c>
      <c r="BM1628" s="33" t="s">
        <v>1584</v>
      </c>
      <c r="BN1628" s="33">
        <v>4.9990400000000004E-2</v>
      </c>
      <c r="BO1628" s="33">
        <v>4.9990400000000004E-2</v>
      </c>
      <c r="BP1628" s="33"/>
      <c r="BQ1628" s="33"/>
      <c r="BR1628" s="33"/>
      <c r="BS1628" s="33"/>
      <c r="BT1628" s="264"/>
      <c r="BU1628" s="246"/>
      <c r="BV1628" s="33"/>
      <c r="BW1628" s="33"/>
      <c r="BX1628" s="33"/>
      <c r="BY1628" s="33"/>
      <c r="BZ1628" s="33"/>
      <c r="CA1628" s="33"/>
      <c r="CB1628" s="33"/>
      <c r="CC1628" s="33"/>
      <c r="CD1628" s="33"/>
      <c r="CE1628" s="33"/>
      <c r="CF1628" s="33"/>
      <c r="CG1628" s="33"/>
      <c r="CH1628" s="33"/>
      <c r="CI1628" s="250">
        <v>4.9990400000000004E-2</v>
      </c>
      <c r="CJ1628" s="243">
        <f t="shared" si="395"/>
        <v>-1.3011133882104473</v>
      </c>
      <c r="CK1628" s="38">
        <f t="shared" ref="CK1628:CK1643" si="402">BL1628/BJ1628</f>
        <v>6.5506989010592207</v>
      </c>
      <c r="CL1628" s="247">
        <f t="shared" si="400"/>
        <v>1310.3913753559123</v>
      </c>
      <c r="CM1628" s="247"/>
      <c r="CN1628" s="247"/>
      <c r="CO1628" s="41" t="s">
        <v>6223</v>
      </c>
      <c r="CP1628" s="143" t="s">
        <v>8379</v>
      </c>
      <c r="CQ1628" s="241">
        <v>1.6774458069231892</v>
      </c>
      <c r="CR1628" s="241">
        <f t="shared" si="393"/>
        <v>1.0506082452770584E-3</v>
      </c>
      <c r="CS1628" s="33"/>
      <c r="CT1628" s="33"/>
      <c r="CU1628" s="250">
        <f t="shared" si="401"/>
        <v>35806.874919984635</v>
      </c>
      <c r="CV1628" s="337">
        <f t="shared" ref="CV1628:CV1643" si="403">X1628/BJ1628</f>
        <v>179</v>
      </c>
      <c r="CW1628" s="330">
        <f t="shared" si="396"/>
        <v>1</v>
      </c>
      <c r="CX1628" s="330"/>
      <c r="CY1628" s="143" t="s">
        <v>6351</v>
      </c>
    </row>
    <row r="1629" spans="1:103" ht="11.25" customHeight="1" x14ac:dyDescent="0.2">
      <c r="A1629" s="72">
        <v>1735</v>
      </c>
      <c r="B1629" s="241">
        <v>2010</v>
      </c>
      <c r="C1629" s="32" t="s">
        <v>2282</v>
      </c>
      <c r="D1629" s="32" t="s">
        <v>8586</v>
      </c>
      <c r="E1629" s="40"/>
      <c r="F1629" s="40" t="s">
        <v>2283</v>
      </c>
      <c r="G1629" s="242">
        <v>108883</v>
      </c>
      <c r="H1629" s="41" t="s">
        <v>2284</v>
      </c>
      <c r="I1629" s="41" t="s">
        <v>2284</v>
      </c>
      <c r="J1629" s="41" t="s">
        <v>2285</v>
      </c>
      <c r="K1629" s="41" t="s">
        <v>426</v>
      </c>
      <c r="L1629" s="41" t="s">
        <v>5527</v>
      </c>
      <c r="M1629" s="41" t="s">
        <v>866</v>
      </c>
      <c r="N1629" s="36" t="s">
        <v>6082</v>
      </c>
      <c r="O1629" s="41" t="s">
        <v>498</v>
      </c>
      <c r="P1629" s="41" t="s">
        <v>6183</v>
      </c>
      <c r="Q1629" s="41" t="s">
        <v>6176</v>
      </c>
      <c r="R1629" s="41" t="s">
        <v>6185</v>
      </c>
      <c r="S1629" s="41" t="s">
        <v>6182</v>
      </c>
      <c r="T1629" s="33">
        <v>92.149199999999993</v>
      </c>
      <c r="U1629" s="250">
        <v>526</v>
      </c>
      <c r="V1629" s="250">
        <v>573.1</v>
      </c>
      <c r="W1629" s="250">
        <v>358.50198875106923</v>
      </c>
      <c r="X1629" s="250">
        <v>526</v>
      </c>
      <c r="Y1629" s="415">
        <v>7</v>
      </c>
      <c r="Z1629" s="33">
        <v>2.54</v>
      </c>
      <c r="AA1629" s="33">
        <v>2.73</v>
      </c>
      <c r="AB1629" s="33">
        <v>2.58</v>
      </c>
      <c r="AC1629" s="33">
        <v>0.89580000000000004</v>
      </c>
      <c r="AD1629" s="33">
        <v>2.61</v>
      </c>
      <c r="AE1629" s="33">
        <v>2.68</v>
      </c>
      <c r="AF1629" s="33">
        <f t="shared" si="397"/>
        <v>2.73</v>
      </c>
      <c r="AG1629" s="34">
        <v>2.27</v>
      </c>
      <c r="AH1629" s="250">
        <v>5.9500000000000004E-3</v>
      </c>
      <c r="AI1629" s="250">
        <v>6.6400000000000001E-3</v>
      </c>
      <c r="AJ1629" s="34">
        <f t="shared" si="398"/>
        <v>-0.6140493605841022</v>
      </c>
      <c r="AK1629" s="34">
        <f t="shared" si="398"/>
        <v>-0.56639824694463436</v>
      </c>
      <c r="AL1629" s="34">
        <f t="shared" si="399"/>
        <v>-0.56639824694463436</v>
      </c>
      <c r="AM1629" s="34">
        <v>-2.2421199999999999</v>
      </c>
      <c r="AN1629" s="251">
        <v>-0.56525000000000003</v>
      </c>
      <c r="AO1629" s="417"/>
      <c r="AP1629" s="417"/>
      <c r="AQ1629" s="251" t="s">
        <v>6311</v>
      </c>
      <c r="AR1629" s="251" t="s">
        <v>6311</v>
      </c>
      <c r="AS1629" s="252" t="s">
        <v>5466</v>
      </c>
      <c r="AT1629" s="35" t="s">
        <v>266</v>
      </c>
      <c r="AU1629" s="33">
        <v>5.25</v>
      </c>
      <c r="AV1629" s="33">
        <v>48</v>
      </c>
      <c r="AW1629" s="33">
        <v>0.5</v>
      </c>
      <c r="AX1629" s="33">
        <v>26</v>
      </c>
      <c r="AY1629" s="253" t="s">
        <v>267</v>
      </c>
      <c r="AZ1629" s="33" t="s">
        <v>6220</v>
      </c>
      <c r="BA1629" s="262" t="s">
        <v>6225</v>
      </c>
      <c r="BB1629" s="41" t="s">
        <v>6221</v>
      </c>
      <c r="BC1629" s="41" t="s">
        <v>8380</v>
      </c>
      <c r="BD1629" s="41"/>
      <c r="BE1629" s="33" t="s">
        <v>2449</v>
      </c>
      <c r="BF1629" s="33" t="s">
        <v>6203</v>
      </c>
      <c r="BG1629" s="33" t="s">
        <v>6203</v>
      </c>
      <c r="BH1629" s="33" t="s">
        <v>6222</v>
      </c>
      <c r="BI1629" s="250">
        <v>1E-4</v>
      </c>
      <c r="BJ1629" s="250">
        <v>100</v>
      </c>
      <c r="BK1629" s="254"/>
      <c r="BL1629" s="263">
        <v>24.780928190647881</v>
      </c>
      <c r="BM1629" s="33" t="s">
        <v>1584</v>
      </c>
      <c r="BN1629" s="269">
        <v>5</v>
      </c>
      <c r="BO1629" s="33">
        <v>0.10044262799999999</v>
      </c>
      <c r="BP1629" s="33"/>
      <c r="BQ1629" s="33"/>
      <c r="BR1629" s="33"/>
      <c r="BS1629" s="33"/>
      <c r="BT1629" s="33"/>
      <c r="BU1629" s="246"/>
      <c r="BV1629" s="33"/>
      <c r="BW1629" s="33"/>
      <c r="BX1629" s="33"/>
      <c r="BY1629" s="33"/>
      <c r="BZ1629" s="33"/>
      <c r="CA1629" s="33"/>
      <c r="CB1629" s="33"/>
      <c r="CC1629" s="33"/>
      <c r="CD1629" s="33"/>
      <c r="CE1629" s="33"/>
      <c r="CF1629" s="33"/>
      <c r="CG1629" s="33"/>
      <c r="CH1629" s="33"/>
      <c r="CI1629" s="250">
        <v>0.10044262799999999</v>
      </c>
      <c r="CJ1629" s="243">
        <f t="shared" si="395"/>
        <v>-0.9980819328471342</v>
      </c>
      <c r="CK1629" s="38">
        <f t="shared" si="402"/>
        <v>0.2478092819064788</v>
      </c>
      <c r="CL1629" s="247">
        <f t="shared" si="400"/>
        <v>246.71724231118168</v>
      </c>
      <c r="CM1629" s="247"/>
      <c r="CN1629" s="247"/>
      <c r="CO1629" s="41" t="s">
        <v>6223</v>
      </c>
      <c r="CP1629" s="143" t="s">
        <v>8379</v>
      </c>
      <c r="CQ1629" s="241">
        <v>1.6286977074745506</v>
      </c>
      <c r="CR1629" s="241">
        <f t="shared" si="393"/>
        <v>2.3616762364490019E-3</v>
      </c>
      <c r="CS1629" s="33"/>
      <c r="CT1629" s="33"/>
      <c r="CU1629" s="250">
        <f t="shared" si="401"/>
        <v>5236.8203667470752</v>
      </c>
      <c r="CV1629" s="337">
        <f t="shared" si="403"/>
        <v>5.26</v>
      </c>
      <c r="CW1629" s="330">
        <f t="shared" si="396"/>
        <v>1</v>
      </c>
      <c r="CX1629" s="330"/>
      <c r="CY1629" s="143" t="s">
        <v>6351</v>
      </c>
    </row>
    <row r="1630" spans="1:103" ht="11.25" customHeight="1" x14ac:dyDescent="0.2">
      <c r="A1630" s="72">
        <v>1842</v>
      </c>
      <c r="B1630" s="241">
        <v>1950</v>
      </c>
      <c r="C1630" s="272" t="s">
        <v>7730</v>
      </c>
      <c r="D1630" s="272"/>
      <c r="E1630" s="241"/>
      <c r="F1630" s="40" t="s">
        <v>2227</v>
      </c>
      <c r="G1630" s="40">
        <v>1746016</v>
      </c>
      <c r="H1630" s="242" t="s">
        <v>5519</v>
      </c>
      <c r="I1630" s="242" t="s">
        <v>5519</v>
      </c>
      <c r="J1630" s="41" t="s">
        <v>5520</v>
      </c>
      <c r="K1630" s="41" t="s">
        <v>426</v>
      </c>
      <c r="L1630" s="41"/>
      <c r="M1630" s="41"/>
      <c r="N1630" s="36"/>
      <c r="O1630" s="41"/>
      <c r="P1630" s="41"/>
      <c r="Q1630" s="41"/>
      <c r="R1630" s="41"/>
      <c r="S1630" s="41"/>
      <c r="T1630" s="41">
        <v>321.98</v>
      </c>
      <c r="U1630" s="273">
        <v>2.0000621175885952E-4</v>
      </c>
      <c r="V1630" s="250">
        <v>1.1030342578501101E-3</v>
      </c>
      <c r="W1630" s="250">
        <v>4.4445612551683659E-4</v>
      </c>
      <c r="X1630" s="273">
        <v>2.0000621175885952E-4</v>
      </c>
      <c r="Y1630" s="415">
        <v>7</v>
      </c>
      <c r="Z1630" s="33">
        <v>6.92</v>
      </c>
      <c r="AA1630" s="33">
        <v>6.8</v>
      </c>
      <c r="AB1630" s="33">
        <v>0</v>
      </c>
      <c r="AC1630" s="33">
        <v>0</v>
      </c>
      <c r="AD1630" s="33">
        <v>0</v>
      </c>
      <c r="AE1630" s="33">
        <v>0</v>
      </c>
      <c r="AF1630" s="33">
        <f t="shared" si="397"/>
        <v>6.8</v>
      </c>
      <c r="AG1630" s="34">
        <v>5.56</v>
      </c>
      <c r="AH1630" s="250">
        <v>3.5300000000000001E-6</v>
      </c>
      <c r="AI1630" s="250">
        <v>5.0000000000000002E-5</v>
      </c>
      <c r="AJ1630" s="34">
        <f t="shared" si="398"/>
        <v>-3.8407916209248292</v>
      </c>
      <c r="AK1630" s="34">
        <f t="shared" si="398"/>
        <v>-2.6895963219766328</v>
      </c>
      <c r="AL1630" s="34">
        <f t="shared" si="399"/>
        <v>-2.6895963219766328</v>
      </c>
      <c r="AM1630" s="34"/>
      <c r="AN1630" s="34">
        <v>-3.2486000000000002</v>
      </c>
      <c r="AO1630" s="417"/>
      <c r="AP1630" s="417"/>
      <c r="AQ1630" s="251" t="s">
        <v>6311</v>
      </c>
      <c r="AR1630" s="251" t="s">
        <v>6311</v>
      </c>
      <c r="AS1630" s="251" t="s">
        <v>5466</v>
      </c>
      <c r="AT1630" s="252" t="s">
        <v>266</v>
      </c>
      <c r="AU1630" s="35">
        <v>5.25</v>
      </c>
      <c r="AV1630" s="33">
        <v>48</v>
      </c>
      <c r="AW1630" s="33">
        <v>0.5</v>
      </c>
      <c r="AX1630" s="33">
        <v>26</v>
      </c>
      <c r="AY1630" s="33" t="s">
        <v>267</v>
      </c>
      <c r="AZ1630" s="33" t="s">
        <v>6220</v>
      </c>
      <c r="BA1630" s="33" t="s">
        <v>6225</v>
      </c>
      <c r="BB1630" s="33" t="s">
        <v>6221</v>
      </c>
      <c r="BC1630" s="41" t="s">
        <v>8380</v>
      </c>
      <c r="BD1630" s="41"/>
      <c r="BE1630" s="33" t="s">
        <v>2449</v>
      </c>
      <c r="BF1630" s="33" t="s">
        <v>6203</v>
      </c>
      <c r="BG1630" s="33" t="s">
        <v>6203</v>
      </c>
      <c r="BH1630" s="33" t="s">
        <v>6222</v>
      </c>
      <c r="BI1630" s="250">
        <v>1E-4</v>
      </c>
      <c r="BJ1630" s="250">
        <v>1</v>
      </c>
      <c r="BK1630" s="273"/>
      <c r="BL1630" s="263">
        <v>1.0087345500329062E-2</v>
      </c>
      <c r="BM1630" s="250" t="s">
        <v>1584</v>
      </c>
      <c r="BN1630" s="33"/>
      <c r="BO1630" s="33">
        <v>0.10013578000000001</v>
      </c>
      <c r="BP1630" s="33"/>
      <c r="BQ1630" s="33"/>
      <c r="BR1630" s="33"/>
      <c r="BS1630" s="33"/>
      <c r="BT1630" s="33"/>
      <c r="BU1630" s="246"/>
      <c r="BV1630" s="33"/>
      <c r="BW1630" s="33"/>
      <c r="BX1630" s="33"/>
      <c r="BY1630" s="33"/>
      <c r="BZ1630" s="33"/>
      <c r="CA1630" s="33"/>
      <c r="CB1630" s="33"/>
      <c r="CC1630" s="33"/>
      <c r="CD1630" s="33"/>
      <c r="CE1630" s="33"/>
      <c r="CF1630" s="33"/>
      <c r="CG1630" s="33"/>
      <c r="CH1630" s="33"/>
      <c r="CI1630" s="250">
        <v>0.10013578000000001</v>
      </c>
      <c r="CJ1630" s="243">
        <f t="shared" si="395"/>
        <v>-0.99941071492763389</v>
      </c>
      <c r="CK1630" s="38">
        <f t="shared" si="402"/>
        <v>1.0087345500329062E-2</v>
      </c>
      <c r="CL1630" s="247">
        <f t="shared" si="400"/>
        <v>0.10073667474632006</v>
      </c>
      <c r="CM1630" s="247"/>
      <c r="CN1630" s="247"/>
      <c r="CO1630" s="41" t="s">
        <v>6223</v>
      </c>
      <c r="CP1630" s="143" t="s">
        <v>8379</v>
      </c>
      <c r="CQ1630" s="241" t="s">
        <v>272</v>
      </c>
      <c r="CR1630" s="241"/>
      <c r="CS1630" s="33"/>
      <c r="CT1630" s="33"/>
      <c r="CU1630" s="250">
        <f t="shared" si="401"/>
        <v>1.9973501156016313E-3</v>
      </c>
      <c r="CV1630" s="337">
        <f t="shared" si="403"/>
        <v>2.0000621175885952E-4</v>
      </c>
      <c r="CW1630" s="330">
        <f t="shared" si="396"/>
        <v>0</v>
      </c>
      <c r="CX1630" s="330"/>
      <c r="CY1630" s="143" t="s">
        <v>5921</v>
      </c>
    </row>
    <row r="1631" spans="1:103" ht="11.25" customHeight="1" x14ac:dyDescent="0.2">
      <c r="A1631" s="72">
        <v>175</v>
      </c>
      <c r="B1631" s="149">
        <v>759</v>
      </c>
      <c r="C1631" s="54" t="s">
        <v>2143</v>
      </c>
      <c r="D1631" s="54"/>
      <c r="E1631" s="59"/>
      <c r="F1631" s="59" t="s">
        <v>2144</v>
      </c>
      <c r="G1631" s="151">
        <v>1568838</v>
      </c>
      <c r="H1631" s="55" t="s">
        <v>2145</v>
      </c>
      <c r="I1631" s="55" t="s">
        <v>7784</v>
      </c>
      <c r="J1631" s="55" t="s">
        <v>2146</v>
      </c>
      <c r="K1631" s="55" t="s">
        <v>426</v>
      </c>
      <c r="L1631" s="55"/>
      <c r="M1631" s="55"/>
      <c r="N1631" s="60"/>
      <c r="O1631" s="55"/>
      <c r="P1631" s="67"/>
      <c r="Q1631" s="67"/>
      <c r="R1631" s="67"/>
      <c r="S1631" s="67"/>
      <c r="T1631" s="56">
        <v>256.33999999999997</v>
      </c>
      <c r="U1631" s="103"/>
      <c r="V1631" s="103">
        <v>1.8580000000000001</v>
      </c>
      <c r="W1631" s="103">
        <v>18.570191400562301</v>
      </c>
      <c r="X1631" s="103">
        <v>18.570191400562301</v>
      </c>
      <c r="Y1631" s="162">
        <v>7</v>
      </c>
      <c r="Z1631" s="56">
        <v>4.7699999999999996</v>
      </c>
      <c r="AA1631" s="56"/>
      <c r="AB1631" s="56">
        <v>4.95</v>
      </c>
      <c r="AC1631" s="56">
        <v>0.7853</v>
      </c>
      <c r="AD1631" s="56">
        <v>4.88</v>
      </c>
      <c r="AE1631" s="56">
        <v>4.7300000000000004</v>
      </c>
      <c r="AF1631" s="56">
        <f t="shared" si="397"/>
        <v>4.88</v>
      </c>
      <c r="AG1631" s="57">
        <v>4.29</v>
      </c>
      <c r="AH1631" s="103">
        <v>2.96E-6</v>
      </c>
      <c r="AI1631" s="103"/>
      <c r="AJ1631" s="62">
        <f>LOG10(AH1631*1000/(0.08206*298.15))</f>
        <v>-3.9172746152537132</v>
      </c>
      <c r="AK1631" s="62"/>
      <c r="AL1631" s="62">
        <f t="shared" si="399"/>
        <v>-3.9172746152537132</v>
      </c>
      <c r="AM1631" s="62">
        <v>-8.2977699999999999</v>
      </c>
      <c r="AN1631" s="154">
        <v>-13.7</v>
      </c>
      <c r="AO1631" s="410"/>
      <c r="AP1631" s="410"/>
      <c r="AQ1631" s="154" t="s">
        <v>6311</v>
      </c>
      <c r="AR1631" s="154" t="s">
        <v>6311</v>
      </c>
      <c r="AS1631" s="149" t="s">
        <v>63</v>
      </c>
      <c r="AT1631" s="58" t="s">
        <v>266</v>
      </c>
      <c r="AU1631" s="56">
        <v>2</v>
      </c>
      <c r="AV1631" s="56">
        <v>120</v>
      </c>
      <c r="AW1631" s="56">
        <v>120</v>
      </c>
      <c r="AX1631" s="56" t="s">
        <v>2137</v>
      </c>
      <c r="AY1631" s="56" t="s">
        <v>8722</v>
      </c>
      <c r="AZ1631" s="56" t="s">
        <v>2138</v>
      </c>
      <c r="BA1631" s="56">
        <v>25</v>
      </c>
      <c r="BB1631" s="55" t="s">
        <v>2139</v>
      </c>
      <c r="BC1631" s="55" t="s">
        <v>2140</v>
      </c>
      <c r="BD1631" s="55"/>
      <c r="BE1631" s="56" t="s">
        <v>271</v>
      </c>
      <c r="BF1631" s="56" t="s">
        <v>272</v>
      </c>
      <c r="BG1631" s="56" t="s">
        <v>272</v>
      </c>
      <c r="BH1631" s="56" t="s">
        <v>2141</v>
      </c>
      <c r="BI1631" s="153">
        <v>0.5</v>
      </c>
      <c r="BJ1631" s="153">
        <v>10</v>
      </c>
      <c r="BK1631" s="56"/>
      <c r="BL1631" s="153">
        <v>0.68498234818170534</v>
      </c>
      <c r="BM1631" s="56" t="s">
        <v>2046</v>
      </c>
      <c r="BN1631" s="56"/>
      <c r="BO1631" s="56"/>
      <c r="BP1631" s="56"/>
      <c r="BQ1631" s="56"/>
      <c r="BR1631" s="56">
        <v>1.2</v>
      </c>
      <c r="BS1631" s="56"/>
      <c r="BT1631" s="56"/>
      <c r="BU1631" s="158"/>
      <c r="BV1631" s="56"/>
      <c r="BW1631" s="56"/>
      <c r="BX1631" s="56"/>
      <c r="BY1631" s="56"/>
      <c r="BZ1631" s="56"/>
      <c r="CA1631" s="56"/>
      <c r="CB1631" s="56"/>
      <c r="CC1631" s="56"/>
      <c r="CD1631" s="56"/>
      <c r="CE1631" s="56"/>
      <c r="CF1631" s="56"/>
      <c r="CG1631" s="56"/>
      <c r="CH1631" s="56"/>
      <c r="CI1631" s="103">
        <v>1.2</v>
      </c>
      <c r="CJ1631" s="103">
        <f t="shared" si="395"/>
        <v>7.9181246047624818E-2</v>
      </c>
      <c r="CK1631" s="57">
        <f t="shared" si="402"/>
        <v>6.8498234818170536E-2</v>
      </c>
      <c r="CL1631" s="160">
        <f t="shared" si="400"/>
        <v>0.57081862348475443</v>
      </c>
      <c r="CM1631" s="160"/>
      <c r="CN1631" s="160"/>
      <c r="CO1631" s="55"/>
      <c r="CP1631" s="497" t="s">
        <v>2142</v>
      </c>
      <c r="CQ1631" s="149" t="s">
        <v>272</v>
      </c>
      <c r="CR1631" s="349"/>
      <c r="CS1631" s="61" t="s">
        <v>539</v>
      </c>
      <c r="CT1631" s="61"/>
      <c r="CU1631" s="111">
        <f t="shared" si="401"/>
        <v>15.475159500468585</v>
      </c>
      <c r="CV1631" s="331">
        <f t="shared" si="403"/>
        <v>1.8570191400562301</v>
      </c>
      <c r="CW1631" s="326">
        <f t="shared" si="396"/>
        <v>1</v>
      </c>
      <c r="CX1631" s="326"/>
      <c r="CY1631" s="161" t="s">
        <v>5921</v>
      </c>
    </row>
    <row r="1632" spans="1:103" ht="11.25" customHeight="1" x14ac:dyDescent="0.2">
      <c r="A1632" s="72">
        <v>228</v>
      </c>
      <c r="B1632" s="149">
        <v>758</v>
      </c>
      <c r="C1632" s="54" t="s">
        <v>977</v>
      </c>
      <c r="D1632" s="54" t="s">
        <v>6447</v>
      </c>
      <c r="E1632" s="59"/>
      <c r="F1632" s="59" t="s">
        <v>978</v>
      </c>
      <c r="G1632" s="151">
        <v>80057</v>
      </c>
      <c r="H1632" s="55" t="s">
        <v>979</v>
      </c>
      <c r="I1632" s="55" t="s">
        <v>979</v>
      </c>
      <c r="J1632" s="55" t="s">
        <v>980</v>
      </c>
      <c r="K1632" s="55" t="s">
        <v>376</v>
      </c>
      <c r="L1632" s="55" t="s">
        <v>5527</v>
      </c>
      <c r="M1632" s="55" t="s">
        <v>602</v>
      </c>
      <c r="N1632" s="60" t="s">
        <v>6386</v>
      </c>
      <c r="O1632" s="55" t="s">
        <v>981</v>
      </c>
      <c r="P1632" s="67"/>
      <c r="Q1632" s="67"/>
      <c r="R1632" s="67"/>
      <c r="S1632" s="67"/>
      <c r="T1632" s="56">
        <v>228.29</v>
      </c>
      <c r="U1632" s="103">
        <v>119.99999999999999</v>
      </c>
      <c r="V1632" s="103">
        <v>172.7</v>
      </c>
      <c r="W1632" s="103">
        <v>88.815116150744203</v>
      </c>
      <c r="X1632" s="103">
        <v>119.99999999999999</v>
      </c>
      <c r="Y1632" s="162">
        <v>6.76</v>
      </c>
      <c r="Z1632" s="56">
        <v>3.64</v>
      </c>
      <c r="AA1632" s="56">
        <v>3.32</v>
      </c>
      <c r="AB1632" s="56">
        <v>3.73</v>
      </c>
      <c r="AC1632" s="56">
        <v>0.77510000000000001</v>
      </c>
      <c r="AD1632" s="56">
        <v>3.63</v>
      </c>
      <c r="AE1632" s="56">
        <v>3.43</v>
      </c>
      <c r="AF1632" s="56">
        <f t="shared" si="397"/>
        <v>3.32</v>
      </c>
      <c r="AG1632" s="57">
        <v>3.7</v>
      </c>
      <c r="AH1632" s="103">
        <v>9.1600000000000006E-12</v>
      </c>
      <c r="AI1632" s="103"/>
      <c r="AJ1632" s="62">
        <f>LOG10(AH1632*1000/(0.08206*298.15))</f>
        <v>-9.4266708526448006</v>
      </c>
      <c r="AK1632" s="62"/>
      <c r="AL1632" s="62">
        <f t="shared" si="399"/>
        <v>-9.4266708526448006</v>
      </c>
      <c r="AM1632" s="62">
        <v>-13.641390000000001</v>
      </c>
      <c r="AN1632" s="154">
        <v>-10.199999999999999</v>
      </c>
      <c r="AO1632" s="410">
        <v>10.29</v>
      </c>
      <c r="AP1632" s="410"/>
      <c r="AQ1632" s="154" t="s">
        <v>6311</v>
      </c>
      <c r="AR1632" s="154" t="s">
        <v>6311</v>
      </c>
      <c r="AS1632" s="149" t="s">
        <v>6</v>
      </c>
      <c r="AT1632" s="58" t="s">
        <v>266</v>
      </c>
      <c r="AU1632" s="56">
        <v>2</v>
      </c>
      <c r="AV1632" s="56">
        <v>120</v>
      </c>
      <c r="AW1632" s="56">
        <v>120</v>
      </c>
      <c r="AX1632" s="56" t="s">
        <v>2137</v>
      </c>
      <c r="AY1632" s="56" t="s">
        <v>8722</v>
      </c>
      <c r="AZ1632" s="56" t="s">
        <v>2138</v>
      </c>
      <c r="BA1632" s="56">
        <v>25</v>
      </c>
      <c r="BB1632" s="55" t="s">
        <v>2139</v>
      </c>
      <c r="BC1632" s="55" t="s">
        <v>2140</v>
      </c>
      <c r="BD1632" s="55"/>
      <c r="BE1632" s="56" t="s">
        <v>271</v>
      </c>
      <c r="BF1632" s="56" t="s">
        <v>272</v>
      </c>
      <c r="BG1632" s="56" t="s">
        <v>272</v>
      </c>
      <c r="BH1632" s="56" t="s">
        <v>2141</v>
      </c>
      <c r="BI1632" s="153">
        <v>0.5</v>
      </c>
      <c r="BJ1632" s="153">
        <v>10</v>
      </c>
      <c r="BK1632" s="56"/>
      <c r="BL1632" s="153">
        <v>6.3125217586499822</v>
      </c>
      <c r="BM1632" s="56" t="s">
        <v>2046</v>
      </c>
      <c r="BN1632" s="56"/>
      <c r="BO1632" s="56"/>
      <c r="BP1632" s="56"/>
      <c r="BQ1632" s="56"/>
      <c r="BR1632" s="56">
        <v>5</v>
      </c>
      <c r="BS1632" s="56"/>
      <c r="BT1632" s="56"/>
      <c r="BU1632" s="158"/>
      <c r="BV1632" s="56"/>
      <c r="BW1632" s="56"/>
      <c r="BX1632" s="56"/>
      <c r="BY1632" s="56"/>
      <c r="BZ1632" s="56"/>
      <c r="CA1632" s="56"/>
      <c r="CB1632" s="56"/>
      <c r="CC1632" s="56"/>
      <c r="CD1632" s="56"/>
      <c r="CE1632" s="56"/>
      <c r="CF1632" s="56"/>
      <c r="CG1632" s="56"/>
      <c r="CH1632" s="56"/>
      <c r="CI1632" s="103">
        <v>5</v>
      </c>
      <c r="CJ1632" s="103">
        <f t="shared" si="395"/>
        <v>0.69897000433601886</v>
      </c>
      <c r="CK1632" s="57">
        <f t="shared" si="402"/>
        <v>0.63125217586499827</v>
      </c>
      <c r="CL1632" s="160">
        <f t="shared" si="400"/>
        <v>1.2625043517299965</v>
      </c>
      <c r="CM1632" s="160">
        <v>0.66742784480864559</v>
      </c>
      <c r="CN1632" s="160">
        <f>BJ1632/(10^CM1632)</f>
        <v>2.1506619680967018</v>
      </c>
      <c r="CO1632" s="55"/>
      <c r="CP1632" s="497" t="s">
        <v>2142</v>
      </c>
      <c r="CQ1632" s="149">
        <v>0.76399462909803484</v>
      </c>
      <c r="CR1632" s="349">
        <f>10^(CJ1632-CQ1632)</f>
        <v>0.86094493469770406</v>
      </c>
      <c r="CS1632" s="61" t="s">
        <v>539</v>
      </c>
      <c r="CT1632" s="61"/>
      <c r="CU1632" s="111">
        <f t="shared" si="401"/>
        <v>23.999999999999996</v>
      </c>
      <c r="CV1632" s="331">
        <f t="shared" si="403"/>
        <v>11.999999999999998</v>
      </c>
      <c r="CW1632" s="326">
        <f t="shared" si="396"/>
        <v>1</v>
      </c>
      <c r="CX1632" s="326"/>
      <c r="CY1632" s="161" t="s">
        <v>6351</v>
      </c>
    </row>
    <row r="1633" spans="1:103" ht="11.25" customHeight="1" x14ac:dyDescent="0.2">
      <c r="A1633" s="72">
        <v>424</v>
      </c>
      <c r="B1633" s="149">
        <v>760</v>
      </c>
      <c r="C1633" s="54" t="s">
        <v>8717</v>
      </c>
      <c r="D1633" s="54"/>
      <c r="E1633" s="59"/>
      <c r="F1633" s="59" t="s">
        <v>6390</v>
      </c>
      <c r="G1633" s="59" t="s">
        <v>6390</v>
      </c>
      <c r="H1633" s="55"/>
      <c r="I1633" s="55" t="s">
        <v>7877</v>
      </c>
      <c r="J1633" s="55" t="s">
        <v>2147</v>
      </c>
      <c r="K1633" s="55"/>
      <c r="L1633" s="55"/>
      <c r="M1633" s="55"/>
      <c r="N1633" s="60"/>
      <c r="O1633" s="55"/>
      <c r="P1633" s="67"/>
      <c r="Q1633" s="67"/>
      <c r="R1633" s="67"/>
      <c r="S1633" s="67"/>
      <c r="T1633" s="56">
        <v>265.35000000000002</v>
      </c>
      <c r="U1633" s="103"/>
      <c r="V1633" s="103"/>
      <c r="W1633" s="103">
        <v>66.652906460106635</v>
      </c>
      <c r="X1633" s="103">
        <v>66.652906460106635</v>
      </c>
      <c r="Y1633" s="162">
        <v>6.89</v>
      </c>
      <c r="Z1633" s="56"/>
      <c r="AA1633" s="56"/>
      <c r="AB1633" s="56"/>
      <c r="AC1633" s="56"/>
      <c r="AD1633" s="56"/>
      <c r="AE1633" s="56"/>
      <c r="AF1633" s="56"/>
      <c r="AG1633" s="57">
        <v>4.0199999999999996</v>
      </c>
      <c r="AH1633" s="103"/>
      <c r="AI1633" s="103"/>
      <c r="AJ1633" s="62"/>
      <c r="AK1633" s="62"/>
      <c r="AL1633" s="62"/>
      <c r="AM1633" s="62"/>
      <c r="AN1633" s="154">
        <v>-7.41</v>
      </c>
      <c r="AO1633" s="410">
        <v>10.59</v>
      </c>
      <c r="AP1633" s="410"/>
      <c r="AQ1633" s="154" t="s">
        <v>5921</v>
      </c>
      <c r="AR1633" s="154" t="s">
        <v>5921</v>
      </c>
      <c r="AS1633" s="149" t="s">
        <v>1687</v>
      </c>
      <c r="AT1633" s="58" t="s">
        <v>266</v>
      </c>
      <c r="AU1633" s="56">
        <v>2</v>
      </c>
      <c r="AV1633" s="56">
        <v>120</v>
      </c>
      <c r="AW1633" s="56">
        <v>120</v>
      </c>
      <c r="AX1633" s="56" t="s">
        <v>2137</v>
      </c>
      <c r="AY1633" s="56" t="s">
        <v>8722</v>
      </c>
      <c r="AZ1633" s="56" t="s">
        <v>2138</v>
      </c>
      <c r="BA1633" s="56">
        <v>25</v>
      </c>
      <c r="BB1633" s="55" t="s">
        <v>2139</v>
      </c>
      <c r="BC1633" s="55" t="s">
        <v>2140</v>
      </c>
      <c r="BD1633" s="55"/>
      <c r="BE1633" s="56" t="s">
        <v>271</v>
      </c>
      <c r="BF1633" s="56" t="s">
        <v>272</v>
      </c>
      <c r="BG1633" s="56" t="s">
        <v>272</v>
      </c>
      <c r="BH1633" s="56" t="s">
        <v>2141</v>
      </c>
      <c r="BI1633" s="153">
        <v>0.27376555310236678</v>
      </c>
      <c r="BJ1633" s="153">
        <v>5.4753110620473358</v>
      </c>
      <c r="BK1633" s="56"/>
      <c r="BL1633" s="153"/>
      <c r="BM1633" s="56" t="s">
        <v>2046</v>
      </c>
      <c r="BN1633" s="56"/>
      <c r="BO1633" s="56"/>
      <c r="BP1633" s="56"/>
      <c r="BQ1633" s="56"/>
      <c r="BR1633" s="56">
        <v>0.72274106019024831</v>
      </c>
      <c r="BS1633" s="56"/>
      <c r="BT1633" s="56"/>
      <c r="BU1633" s="158"/>
      <c r="BV1633" s="56"/>
      <c r="BW1633" s="56"/>
      <c r="BX1633" s="56"/>
      <c r="BY1633" s="56"/>
      <c r="BZ1633" s="56"/>
      <c r="CA1633" s="56"/>
      <c r="CB1633" s="56"/>
      <c r="CC1633" s="56"/>
      <c r="CD1633" s="56"/>
      <c r="CE1633" s="56"/>
      <c r="CF1633" s="56"/>
      <c r="CG1633" s="56"/>
      <c r="CH1633" s="56"/>
      <c r="CI1633" s="103">
        <v>0.72274106019024831</v>
      </c>
      <c r="CJ1633" s="103">
        <f t="shared" si="395"/>
        <v>-0.14101727154807772</v>
      </c>
      <c r="CK1633" s="57">
        <f t="shared" si="402"/>
        <v>0</v>
      </c>
      <c r="CL1633" s="160">
        <f t="shared" si="400"/>
        <v>0</v>
      </c>
      <c r="CM1633" s="160"/>
      <c r="CN1633" s="160"/>
      <c r="CO1633" s="55"/>
      <c r="CP1633" s="497" t="s">
        <v>2142</v>
      </c>
      <c r="CQ1633" s="149" t="s">
        <v>272</v>
      </c>
      <c r="CR1633" s="349"/>
      <c r="CS1633" s="61" t="s">
        <v>539</v>
      </c>
      <c r="CT1633" s="61"/>
      <c r="CU1633" s="111">
        <f t="shared" si="401"/>
        <v>92.222387977461082</v>
      </c>
      <c r="CV1633" s="331">
        <f t="shared" si="403"/>
        <v>12.173355213024863</v>
      </c>
      <c r="CW1633" s="326">
        <f t="shared" si="396"/>
        <v>1</v>
      </c>
      <c r="CX1633" s="326"/>
      <c r="CY1633" s="161" t="s">
        <v>5921</v>
      </c>
    </row>
    <row r="1634" spans="1:103" ht="11.25" customHeight="1" x14ac:dyDescent="0.2">
      <c r="A1634" s="72">
        <v>1677</v>
      </c>
      <c r="B1634" s="241">
        <v>2044</v>
      </c>
      <c r="C1634" s="32" t="s">
        <v>6674</v>
      </c>
      <c r="D1634" s="32"/>
      <c r="E1634" s="40"/>
      <c r="F1634" s="40" t="s">
        <v>2269</v>
      </c>
      <c r="G1634" s="242">
        <v>79947</v>
      </c>
      <c r="H1634" s="41" t="s">
        <v>2270</v>
      </c>
      <c r="I1634" s="41" t="s">
        <v>2270</v>
      </c>
      <c r="J1634" s="41" t="s">
        <v>2271</v>
      </c>
      <c r="K1634" s="41" t="s">
        <v>376</v>
      </c>
      <c r="L1634" s="41" t="s">
        <v>5492</v>
      </c>
      <c r="M1634" s="41" t="s">
        <v>2342</v>
      </c>
      <c r="N1634" s="36" t="s">
        <v>2342</v>
      </c>
      <c r="O1634" s="41"/>
      <c r="P1634" s="41"/>
      <c r="Q1634" s="41"/>
      <c r="R1634" s="41"/>
      <c r="S1634" s="41"/>
      <c r="T1634" s="33">
        <v>543.88</v>
      </c>
      <c r="U1634" s="250"/>
      <c r="V1634" s="250">
        <v>1.0020000000000001E-3</v>
      </c>
      <c r="W1634" s="250">
        <v>0.29888429047368459</v>
      </c>
      <c r="X1634" s="250">
        <v>0.29888429047368459</v>
      </c>
      <c r="Y1634" s="415">
        <v>6.97</v>
      </c>
      <c r="Z1634" s="33">
        <v>7.2</v>
      </c>
      <c r="AA1634" s="33"/>
      <c r="AB1634" s="33">
        <v>6.4</v>
      </c>
      <c r="AC1634" s="33">
        <v>0.56699999999999995</v>
      </c>
      <c r="AD1634" s="33">
        <v>6.8</v>
      </c>
      <c r="AE1634" s="33">
        <v>7.29</v>
      </c>
      <c r="AF1634" s="33">
        <f t="shared" ref="AF1634:AF1646" si="404">IF(AA1634=0,AD1634,AA1634)</f>
        <v>6.8</v>
      </c>
      <c r="AG1634" s="34">
        <v>6.88</v>
      </c>
      <c r="AH1634" s="250">
        <v>2.3099999999999997E-13</v>
      </c>
      <c r="AI1634" s="250"/>
      <c r="AJ1634" s="34">
        <f t="shared" ref="AJ1634:AJ1646" si="405">LOG10(AH1634*1000/(0.08206*298.15))</f>
        <v>-11.024954346420508</v>
      </c>
      <c r="AK1634" s="34"/>
      <c r="AL1634" s="34">
        <f t="shared" ref="AL1634:AL1646" si="406">IF(AK1634=0,AJ1634,AK1634)</f>
        <v>-11.024954346420508</v>
      </c>
      <c r="AM1634" s="34">
        <v>-12.1549</v>
      </c>
      <c r="AN1634" s="251">
        <v>-7.9859</v>
      </c>
      <c r="AO1634" s="417">
        <v>8.5</v>
      </c>
      <c r="AP1634" s="417"/>
      <c r="AQ1634" s="251" t="s">
        <v>6311</v>
      </c>
      <c r="AR1634" s="251" t="s">
        <v>6311</v>
      </c>
      <c r="AS1634" s="252" t="s">
        <v>5466</v>
      </c>
      <c r="AT1634" s="35" t="s">
        <v>266</v>
      </c>
      <c r="AU1634" s="33">
        <v>3</v>
      </c>
      <c r="AV1634" s="33">
        <v>48</v>
      </c>
      <c r="AW1634" s="33">
        <v>45</v>
      </c>
      <c r="AX1634" s="33" t="s">
        <v>6240</v>
      </c>
      <c r="AY1634" s="33" t="s">
        <v>1584</v>
      </c>
      <c r="AZ1634" s="268" t="s">
        <v>6239</v>
      </c>
      <c r="BA1634" s="33">
        <v>20</v>
      </c>
      <c r="BB1634" s="41" t="s">
        <v>6238</v>
      </c>
      <c r="BC1634" s="41" t="s">
        <v>6241</v>
      </c>
      <c r="BD1634" s="41"/>
      <c r="BE1634" s="33" t="s">
        <v>2449</v>
      </c>
      <c r="BF1634" s="33" t="s">
        <v>272</v>
      </c>
      <c r="BG1634" s="33" t="s">
        <v>272</v>
      </c>
      <c r="BH1634" s="33" t="s">
        <v>2141</v>
      </c>
      <c r="BI1634" s="250">
        <v>0.27194000000000002</v>
      </c>
      <c r="BJ1634" s="250">
        <v>1.63164</v>
      </c>
      <c r="BK1634" s="254"/>
      <c r="BL1634" s="263">
        <v>9.5495540000302657E-3</v>
      </c>
      <c r="BM1634" s="33">
        <v>0</v>
      </c>
      <c r="BN1634" s="33"/>
      <c r="BO1634" s="33">
        <v>0.87020799999999998</v>
      </c>
      <c r="BP1634" s="33"/>
      <c r="BQ1634" s="33"/>
      <c r="BR1634" s="33"/>
      <c r="BS1634" s="33"/>
      <c r="BT1634" s="33"/>
      <c r="BU1634" s="246"/>
      <c r="BV1634" s="33"/>
      <c r="BW1634" s="33"/>
      <c r="BX1634" s="33"/>
      <c r="BY1634" s="33"/>
      <c r="BZ1634" s="33"/>
      <c r="CA1634" s="33"/>
      <c r="CB1634" s="33"/>
      <c r="CC1634" s="33"/>
      <c r="CD1634" s="33"/>
      <c r="CE1634" s="33"/>
      <c r="CF1634" s="33"/>
      <c r="CG1634" s="33"/>
      <c r="CH1634" s="33"/>
      <c r="CI1634" s="250">
        <v>0.87020799999999998</v>
      </c>
      <c r="CJ1634" s="243">
        <f t="shared" si="395"/>
        <v>-6.0376928467014861E-2</v>
      </c>
      <c r="CK1634" s="38">
        <f t="shared" si="402"/>
        <v>5.8527334461218562E-3</v>
      </c>
      <c r="CL1634" s="247">
        <f t="shared" si="400"/>
        <v>1.0973875211478482E-2</v>
      </c>
      <c r="CM1634" s="247">
        <v>-0.39793202348275891</v>
      </c>
      <c r="CN1634" s="247">
        <f>BJ1634/(10^CM1634)</f>
        <v>4.0790250000000041</v>
      </c>
      <c r="CO1634" s="41"/>
      <c r="CP1634" s="143" t="s">
        <v>6236</v>
      </c>
      <c r="CQ1634" s="241">
        <v>-0.14907664058159587</v>
      </c>
      <c r="CR1634" s="241">
        <f t="shared" ref="CR1634:CR1641" si="407">10^(CJ1634-CQ1634)</f>
        <v>1.2265908258735967</v>
      </c>
      <c r="CS1634" s="33"/>
      <c r="CT1634" s="33"/>
      <c r="CU1634" s="250">
        <f t="shared" si="401"/>
        <v>0.34346304616101508</v>
      </c>
      <c r="CV1634" s="337">
        <f t="shared" si="403"/>
        <v>0.18318029128587471</v>
      </c>
      <c r="CW1634" s="330">
        <f t="shared" si="396"/>
        <v>0</v>
      </c>
      <c r="CX1634" s="330"/>
      <c r="CY1634" s="143" t="s">
        <v>6351</v>
      </c>
    </row>
    <row r="1635" spans="1:103" ht="11.25" customHeight="1" x14ac:dyDescent="0.2">
      <c r="A1635" s="72">
        <v>1652</v>
      </c>
      <c r="B1635" s="241">
        <v>543</v>
      </c>
      <c r="C1635" s="32" t="s">
        <v>422</v>
      </c>
      <c r="D1635" s="32"/>
      <c r="E1635" s="40"/>
      <c r="F1635" s="40" t="s">
        <v>423</v>
      </c>
      <c r="G1635" s="242">
        <v>64175</v>
      </c>
      <c r="H1635" s="36" t="s">
        <v>424</v>
      </c>
      <c r="I1635" s="36" t="s">
        <v>424</v>
      </c>
      <c r="J1635" s="36" t="s">
        <v>425</v>
      </c>
      <c r="K1635" s="36" t="s">
        <v>426</v>
      </c>
      <c r="L1635" s="42" t="s">
        <v>279</v>
      </c>
      <c r="M1635" s="42" t="s">
        <v>8502</v>
      </c>
      <c r="N1635" s="36" t="s">
        <v>6082</v>
      </c>
      <c r="O1635" s="36" t="s">
        <v>281</v>
      </c>
      <c r="P1635" s="41" t="s">
        <v>6183</v>
      </c>
      <c r="Q1635" s="41" t="s">
        <v>6176</v>
      </c>
      <c r="R1635" s="41" t="s">
        <v>6185</v>
      </c>
      <c r="S1635" s="41" t="s">
        <v>6176</v>
      </c>
      <c r="T1635" s="40">
        <v>46.07</v>
      </c>
      <c r="U1635" s="263">
        <v>1000000.0000000001</v>
      </c>
      <c r="V1635" s="263">
        <v>792099.99999999988</v>
      </c>
      <c r="W1635" s="263">
        <v>183407.97347399619</v>
      </c>
      <c r="X1635" s="263">
        <v>1000000.0000000001</v>
      </c>
      <c r="Y1635" s="417">
        <v>6.96</v>
      </c>
      <c r="Z1635" s="40">
        <v>-0.14000000000000001</v>
      </c>
      <c r="AA1635" s="40">
        <v>-0.31</v>
      </c>
      <c r="AB1635" s="40">
        <v>-0.24</v>
      </c>
      <c r="AC1635" s="40">
        <v>0.90610000000000002</v>
      </c>
      <c r="AD1635" s="40">
        <v>-0.23</v>
      </c>
      <c r="AE1635" s="40">
        <v>-0.19</v>
      </c>
      <c r="AF1635" s="40">
        <f t="shared" si="404"/>
        <v>-0.31</v>
      </c>
      <c r="AG1635" s="38">
        <v>0.09</v>
      </c>
      <c r="AH1635" s="243">
        <v>5.6699999999999999E-6</v>
      </c>
      <c r="AI1635" s="243">
        <v>5.0000000000000004E-6</v>
      </c>
      <c r="AJ1635" s="34">
        <f t="shared" si="405"/>
        <v>-3.6349832674197451</v>
      </c>
      <c r="AK1635" s="34">
        <f>LOG10(AI1635*1000/(0.08206*298.15))</f>
        <v>-3.6895963219766328</v>
      </c>
      <c r="AL1635" s="34">
        <f t="shared" si="406"/>
        <v>-3.6895963219766328</v>
      </c>
      <c r="AM1635" s="34">
        <v>-3.1772200000000002</v>
      </c>
      <c r="AN1635" s="244">
        <v>-3.57</v>
      </c>
      <c r="AO1635" s="417">
        <v>15.24</v>
      </c>
      <c r="AP1635" s="417"/>
      <c r="AQ1635" s="244" t="s">
        <v>6311</v>
      </c>
      <c r="AR1635" s="244" t="s">
        <v>6311</v>
      </c>
      <c r="AS1635" s="241" t="s">
        <v>282</v>
      </c>
      <c r="AT1635" s="39" t="s">
        <v>266</v>
      </c>
      <c r="AU1635" s="37">
        <v>2</v>
      </c>
      <c r="AV1635" s="37">
        <v>48</v>
      </c>
      <c r="AW1635" s="37">
        <v>48</v>
      </c>
      <c r="AX1635" s="37">
        <v>26</v>
      </c>
      <c r="AY1635" s="37" t="s">
        <v>647</v>
      </c>
      <c r="AZ1635" s="37" t="s">
        <v>536</v>
      </c>
      <c r="BA1635" s="37">
        <v>20</v>
      </c>
      <c r="BB1635" s="36" t="s">
        <v>537</v>
      </c>
      <c r="BC1635" s="36" t="s">
        <v>538</v>
      </c>
      <c r="BD1635" s="36"/>
      <c r="BE1635" s="37" t="s">
        <v>271</v>
      </c>
      <c r="BF1635" s="37" t="s">
        <v>539</v>
      </c>
      <c r="BG1635" s="37" t="s">
        <v>539</v>
      </c>
      <c r="BH1635" s="37" t="s">
        <v>272</v>
      </c>
      <c r="BI1635" s="248">
        <v>6500</v>
      </c>
      <c r="BJ1635" s="248">
        <v>13500</v>
      </c>
      <c r="BK1635" s="37"/>
      <c r="BL1635" s="263">
        <v>3161.9297169680549</v>
      </c>
      <c r="BM1635" s="37" t="s">
        <v>1552</v>
      </c>
      <c r="BN1635" s="37"/>
      <c r="BO1635" s="37">
        <v>11092.776572668112</v>
      </c>
      <c r="BP1635" s="37"/>
      <c r="BQ1635" s="37"/>
      <c r="BR1635" s="37"/>
      <c r="BS1635" s="37"/>
      <c r="BT1635" s="37"/>
      <c r="BU1635" s="246"/>
      <c r="BV1635" s="37"/>
      <c r="BW1635" s="37"/>
      <c r="BX1635" s="37"/>
      <c r="BY1635" s="37"/>
      <c r="BZ1635" s="37"/>
      <c r="CA1635" s="37"/>
      <c r="CB1635" s="37"/>
      <c r="CC1635" s="37"/>
      <c r="CD1635" s="37"/>
      <c r="CE1635" s="37"/>
      <c r="CF1635" s="37"/>
      <c r="CG1635" s="37"/>
      <c r="CH1635" s="37"/>
      <c r="CI1635" s="243">
        <v>11092.776572668112</v>
      </c>
      <c r="CJ1635" s="243">
        <f t="shared" si="395"/>
        <v>4.0450402656496891</v>
      </c>
      <c r="CK1635" s="38">
        <f t="shared" si="402"/>
        <v>0.23421701607170778</v>
      </c>
      <c r="CL1635" s="247">
        <f t="shared" si="400"/>
        <v>0.28504402808931051</v>
      </c>
      <c r="CM1635" s="247">
        <v>2.8171348229570792</v>
      </c>
      <c r="CN1635" s="247">
        <f>BJ1635/(10^CM1635)</f>
        <v>20.568325926556323</v>
      </c>
      <c r="CO1635" s="36"/>
      <c r="CP1635" s="496" t="s">
        <v>1553</v>
      </c>
      <c r="CQ1635" s="241">
        <v>3.7646752173993483</v>
      </c>
      <c r="CR1635" s="241">
        <f t="shared" si="407"/>
        <v>1.9070630351714031</v>
      </c>
      <c r="CS1635" s="33"/>
      <c r="CT1635" s="33"/>
      <c r="CU1635" s="250">
        <f t="shared" si="401"/>
        <v>90.148755223641288</v>
      </c>
      <c r="CV1635" s="337">
        <f t="shared" si="403"/>
        <v>74.074074074074076</v>
      </c>
      <c r="CW1635" s="330">
        <f t="shared" si="396"/>
        <v>1</v>
      </c>
      <c r="CX1635" s="330"/>
      <c r="CY1635" s="143" t="s">
        <v>6351</v>
      </c>
    </row>
    <row r="1636" spans="1:103" ht="11.25" customHeight="1" x14ac:dyDescent="0.2">
      <c r="A1636" s="72">
        <v>1660</v>
      </c>
      <c r="B1636" s="241">
        <v>480</v>
      </c>
      <c r="C1636" s="32" t="s">
        <v>7624</v>
      </c>
      <c r="D1636" s="32" t="s">
        <v>8558</v>
      </c>
      <c r="E1636" s="40"/>
      <c r="F1636" s="40" t="s">
        <v>744</v>
      </c>
      <c r="G1636" s="242">
        <v>67641</v>
      </c>
      <c r="H1636" s="36" t="s">
        <v>745</v>
      </c>
      <c r="I1636" s="36" t="s">
        <v>745</v>
      </c>
      <c r="J1636" s="36" t="s">
        <v>746</v>
      </c>
      <c r="K1636" s="36" t="s">
        <v>426</v>
      </c>
      <c r="L1636" s="36"/>
      <c r="M1636" s="36" t="s">
        <v>6082</v>
      </c>
      <c r="N1636" s="36" t="s">
        <v>6082</v>
      </c>
      <c r="O1636" s="36"/>
      <c r="P1636" s="41" t="s">
        <v>6183</v>
      </c>
      <c r="Q1636" s="41" t="s">
        <v>6176</v>
      </c>
      <c r="R1636" s="41" t="s">
        <v>6185</v>
      </c>
      <c r="S1636" s="41" t="s">
        <v>6176</v>
      </c>
      <c r="T1636" s="37">
        <v>58.08</v>
      </c>
      <c r="U1636" s="243">
        <v>1000000</v>
      </c>
      <c r="V1636" s="243">
        <v>219900</v>
      </c>
      <c r="W1636" s="243">
        <v>103282.46813506066</v>
      </c>
      <c r="X1636" s="243">
        <v>1000000</v>
      </c>
      <c r="Y1636" s="414">
        <v>7</v>
      </c>
      <c r="Z1636" s="37">
        <v>-0.24</v>
      </c>
      <c r="AA1636" s="37">
        <v>-0.24</v>
      </c>
      <c r="AB1636" s="37">
        <v>0.17</v>
      </c>
      <c r="AC1636" s="37">
        <v>0.90069999999999995</v>
      </c>
      <c r="AD1636" s="37">
        <v>0.09</v>
      </c>
      <c r="AE1636" s="37">
        <v>-0.16</v>
      </c>
      <c r="AF1636" s="37">
        <f t="shared" si="404"/>
        <v>-0.24</v>
      </c>
      <c r="AG1636" s="38">
        <v>0.21</v>
      </c>
      <c r="AH1636" s="243">
        <v>4.9599999999999999E-5</v>
      </c>
      <c r="AI1636" s="243">
        <v>3.4999999999999997E-5</v>
      </c>
      <c r="AJ1636" s="34">
        <f t="shared" si="405"/>
        <v>-2.6930846498224543</v>
      </c>
      <c r="AK1636" s="34">
        <f>LOG10(AI1636*1000/(0.08206*298.15))</f>
        <v>-2.8444982819623763</v>
      </c>
      <c r="AL1636" s="34">
        <f t="shared" si="406"/>
        <v>-2.8444982819623763</v>
      </c>
      <c r="AM1636" s="34">
        <v>-2.79976</v>
      </c>
      <c r="AN1636" s="244">
        <v>-2.73</v>
      </c>
      <c r="AO1636" s="417"/>
      <c r="AP1636" s="417"/>
      <c r="AQ1636" s="244" t="s">
        <v>6311</v>
      </c>
      <c r="AR1636" s="244" t="s">
        <v>6311</v>
      </c>
      <c r="AS1636" s="241" t="s">
        <v>6</v>
      </c>
      <c r="AT1636" s="39" t="s">
        <v>266</v>
      </c>
      <c r="AU1636" s="37">
        <v>0</v>
      </c>
      <c r="AV1636" s="37">
        <v>48</v>
      </c>
      <c r="AW1636" s="37">
        <v>48</v>
      </c>
      <c r="AX1636" s="37">
        <v>26</v>
      </c>
      <c r="AY1636" s="37" t="s">
        <v>647</v>
      </c>
      <c r="AZ1636" s="37" t="s">
        <v>536</v>
      </c>
      <c r="BA1636" s="37">
        <v>20</v>
      </c>
      <c r="BB1636" s="36" t="s">
        <v>537</v>
      </c>
      <c r="BC1636" s="36" t="s">
        <v>538</v>
      </c>
      <c r="BD1636" s="36"/>
      <c r="BE1636" s="37" t="s">
        <v>271</v>
      </c>
      <c r="BF1636" s="37" t="s">
        <v>539</v>
      </c>
      <c r="BG1636" s="37" t="s">
        <v>539</v>
      </c>
      <c r="BH1636" s="37" t="s">
        <v>272</v>
      </c>
      <c r="BI1636" s="248">
        <v>6500</v>
      </c>
      <c r="BJ1636" s="248">
        <v>13500</v>
      </c>
      <c r="BK1636" s="37"/>
      <c r="BL1636" s="263">
        <v>4901.9695332186175</v>
      </c>
      <c r="BM1636" s="37" t="s">
        <v>1552</v>
      </c>
      <c r="BN1636" s="37"/>
      <c r="BO1636" s="37">
        <v>10495.055999999999</v>
      </c>
      <c r="BP1636" s="37"/>
      <c r="BQ1636" s="37"/>
      <c r="BR1636" s="37"/>
      <c r="BS1636" s="37"/>
      <c r="BT1636" s="37"/>
      <c r="BU1636" s="246"/>
      <c r="BV1636" s="37"/>
      <c r="BW1636" s="37"/>
      <c r="BX1636" s="37"/>
      <c r="BY1636" s="37"/>
      <c r="BZ1636" s="37"/>
      <c r="CA1636" s="37"/>
      <c r="CB1636" s="37"/>
      <c r="CC1636" s="37"/>
      <c r="CD1636" s="37"/>
      <c r="CE1636" s="37"/>
      <c r="CF1636" s="37"/>
      <c r="CG1636" s="37"/>
      <c r="CH1636" s="37"/>
      <c r="CI1636" s="243">
        <v>10495.055999999999</v>
      </c>
      <c r="CJ1636" s="243">
        <f t="shared" si="395"/>
        <v>4.0209847602529694</v>
      </c>
      <c r="CK1636" s="38">
        <f t="shared" si="402"/>
        <v>0.36310885431249018</v>
      </c>
      <c r="CL1636" s="247">
        <f t="shared" si="400"/>
        <v>0.46707416646644079</v>
      </c>
      <c r="CM1636" s="247"/>
      <c r="CN1636" s="247"/>
      <c r="CO1636" s="36"/>
      <c r="CP1636" s="496" t="s">
        <v>1553</v>
      </c>
      <c r="CQ1636" s="241">
        <v>3.8908610132968491</v>
      </c>
      <c r="CR1636" s="241">
        <f t="shared" si="407"/>
        <v>1.3493473080039131</v>
      </c>
      <c r="CS1636" s="33"/>
      <c r="CT1636" s="33"/>
      <c r="CU1636" s="250">
        <f t="shared" si="401"/>
        <v>95.2829599003569</v>
      </c>
      <c r="CV1636" s="337">
        <f t="shared" si="403"/>
        <v>74.074074074074076</v>
      </c>
      <c r="CW1636" s="330">
        <f t="shared" si="396"/>
        <v>1</v>
      </c>
      <c r="CX1636" s="330"/>
      <c r="CY1636" s="143" t="s">
        <v>6351</v>
      </c>
    </row>
    <row r="1637" spans="1:103" ht="11.25" customHeight="1" x14ac:dyDescent="0.2">
      <c r="A1637" s="72">
        <v>1661</v>
      </c>
      <c r="B1637" s="241">
        <v>535</v>
      </c>
      <c r="C1637" s="32" t="s">
        <v>504</v>
      </c>
      <c r="D1637" s="32"/>
      <c r="E1637" s="40"/>
      <c r="F1637" s="40" t="s">
        <v>1689</v>
      </c>
      <c r="G1637" s="242">
        <v>67685</v>
      </c>
      <c r="H1637" s="36" t="s">
        <v>505</v>
      </c>
      <c r="I1637" s="36" t="s">
        <v>505</v>
      </c>
      <c r="J1637" s="36" t="s">
        <v>506</v>
      </c>
      <c r="K1637" s="36" t="s">
        <v>426</v>
      </c>
      <c r="L1637" s="42" t="s">
        <v>279</v>
      </c>
      <c r="M1637" s="36" t="s">
        <v>507</v>
      </c>
      <c r="N1637" s="36" t="s">
        <v>6082</v>
      </c>
      <c r="O1637" s="36" t="s">
        <v>281</v>
      </c>
      <c r="P1637" s="41"/>
      <c r="Q1637" s="41" t="s">
        <v>6173</v>
      </c>
      <c r="R1637" s="41" t="s">
        <v>6185</v>
      </c>
      <c r="S1637" s="41" t="s">
        <v>6176</v>
      </c>
      <c r="T1637" s="40">
        <v>78.13</v>
      </c>
      <c r="U1637" s="263">
        <v>999999.99999999988</v>
      </c>
      <c r="V1637" s="263">
        <v>999999.99999999988</v>
      </c>
      <c r="W1637" s="263">
        <v>1006509.3747378461</v>
      </c>
      <c r="X1637" s="263">
        <v>999999.99999999988</v>
      </c>
      <c r="Y1637" s="417">
        <v>7</v>
      </c>
      <c r="Z1637" s="40">
        <v>-1.22</v>
      </c>
      <c r="AA1637" s="40">
        <v>-1.35</v>
      </c>
      <c r="AB1637" s="40">
        <v>-0.67</v>
      </c>
      <c r="AC1637" s="40">
        <v>0.73660000000000003</v>
      </c>
      <c r="AD1637" s="40">
        <v>-0.91</v>
      </c>
      <c r="AE1637" s="40">
        <v>-1.35</v>
      </c>
      <c r="AF1637" s="40">
        <f t="shared" si="404"/>
        <v>-1.35</v>
      </c>
      <c r="AG1637" s="38">
        <v>-0.34</v>
      </c>
      <c r="AH1637" s="243">
        <v>4.9600000000000001E-8</v>
      </c>
      <c r="AI1637" s="243">
        <v>1.51E-9</v>
      </c>
      <c r="AJ1637" s="34">
        <f t="shared" si="405"/>
        <v>-5.6930846498224543</v>
      </c>
      <c r="AK1637" s="34">
        <f>LOG10(AI1637*1000/(0.08206*298.15))</f>
        <v>-7.2095893790194827</v>
      </c>
      <c r="AL1637" s="34">
        <f t="shared" si="406"/>
        <v>-7.2095893790194827</v>
      </c>
      <c r="AM1637" s="34">
        <v>-7.0543600000000009</v>
      </c>
      <c r="AN1637" s="244">
        <v>2.0099999999999998</v>
      </c>
      <c r="AO1637" s="417"/>
      <c r="AP1637" s="417"/>
      <c r="AQ1637" s="244" t="s">
        <v>6311</v>
      </c>
      <c r="AR1637" s="244" t="s">
        <v>6311</v>
      </c>
      <c r="AS1637" s="241" t="s">
        <v>282</v>
      </c>
      <c r="AT1637" s="39" t="s">
        <v>266</v>
      </c>
      <c r="AU1637" s="37">
        <v>2</v>
      </c>
      <c r="AV1637" s="37">
        <v>48</v>
      </c>
      <c r="AW1637" s="37">
        <v>48</v>
      </c>
      <c r="AX1637" s="37">
        <v>26</v>
      </c>
      <c r="AY1637" s="37" t="s">
        <v>647</v>
      </c>
      <c r="AZ1637" s="37" t="s">
        <v>536</v>
      </c>
      <c r="BA1637" s="37">
        <v>20</v>
      </c>
      <c r="BB1637" s="36" t="s">
        <v>537</v>
      </c>
      <c r="BC1637" s="36" t="s">
        <v>538</v>
      </c>
      <c r="BD1637" s="36"/>
      <c r="BE1637" s="37" t="s">
        <v>271</v>
      </c>
      <c r="BF1637" s="37" t="s">
        <v>539</v>
      </c>
      <c r="BG1637" s="37" t="s">
        <v>539</v>
      </c>
      <c r="BH1637" s="37" t="s">
        <v>272</v>
      </c>
      <c r="BI1637" s="248">
        <v>20000</v>
      </c>
      <c r="BJ1637" s="248">
        <v>41500</v>
      </c>
      <c r="BK1637" s="37"/>
      <c r="BL1637" s="263">
        <v>50037.986350047962</v>
      </c>
      <c r="BM1637" s="37" t="s">
        <v>1552</v>
      </c>
      <c r="BN1637" s="37"/>
      <c r="BO1637" s="37">
        <v>29100</v>
      </c>
      <c r="BP1637" s="37"/>
      <c r="BQ1637" s="37"/>
      <c r="BR1637" s="37"/>
      <c r="BS1637" s="37"/>
      <c r="BT1637" s="37"/>
      <c r="BU1637" s="246"/>
      <c r="BV1637" s="37"/>
      <c r="BW1637" s="37"/>
      <c r="BX1637" s="37"/>
      <c r="BY1637" s="37"/>
      <c r="BZ1637" s="37"/>
      <c r="CA1637" s="37"/>
      <c r="CB1637" s="37"/>
      <c r="CC1637" s="37"/>
      <c r="CD1637" s="37"/>
      <c r="CE1637" s="37"/>
      <c r="CF1637" s="37"/>
      <c r="CG1637" s="37"/>
      <c r="CH1637" s="37"/>
      <c r="CI1637" s="243">
        <v>29100</v>
      </c>
      <c r="CJ1637" s="243">
        <f t="shared" si="395"/>
        <v>4.4638929889859069</v>
      </c>
      <c r="CK1637" s="38">
        <f t="shared" si="402"/>
        <v>1.2057346108445293</v>
      </c>
      <c r="CL1637" s="247">
        <f t="shared" si="400"/>
        <v>1.7195184312731258</v>
      </c>
      <c r="CM1637" s="247">
        <v>4.5321166480173769</v>
      </c>
      <c r="CN1637" s="247">
        <f>BJ1637/(10^CM1637)</f>
        <v>1.2187972024360147</v>
      </c>
      <c r="CO1637" s="36"/>
      <c r="CP1637" s="496" t="s">
        <v>1553</v>
      </c>
      <c r="CQ1637" s="241">
        <v>4.5498980085144174</v>
      </c>
      <c r="CR1637" s="241">
        <f t="shared" si="407"/>
        <v>0.82034206285045197</v>
      </c>
      <c r="CS1637" s="33"/>
      <c r="CT1637" s="33"/>
      <c r="CU1637" s="250">
        <f t="shared" si="401"/>
        <v>34.364261168384878</v>
      </c>
      <c r="CV1637" s="337">
        <f t="shared" si="403"/>
        <v>24.096385542168672</v>
      </c>
      <c r="CW1637" s="330">
        <f t="shared" si="396"/>
        <v>1</v>
      </c>
      <c r="CX1637" s="330"/>
      <c r="CY1637" s="143" t="s">
        <v>6351</v>
      </c>
    </row>
    <row r="1638" spans="1:103" ht="11.25" customHeight="1" x14ac:dyDescent="0.2">
      <c r="A1638" s="72">
        <v>1690</v>
      </c>
      <c r="B1638" s="241">
        <v>574</v>
      </c>
      <c r="C1638" s="32" t="s">
        <v>1756</v>
      </c>
      <c r="D1638" s="32"/>
      <c r="E1638" s="40"/>
      <c r="F1638" s="40" t="s">
        <v>1757</v>
      </c>
      <c r="G1638" s="242">
        <v>87865</v>
      </c>
      <c r="H1638" s="36" t="s">
        <v>1758</v>
      </c>
      <c r="I1638" s="36" t="s">
        <v>7866</v>
      </c>
      <c r="J1638" s="36" t="s">
        <v>1759</v>
      </c>
      <c r="K1638" s="36" t="s">
        <v>349</v>
      </c>
      <c r="L1638" s="36" t="s">
        <v>6134</v>
      </c>
      <c r="M1638" s="36" t="s">
        <v>497</v>
      </c>
      <c r="N1638" s="36" t="s">
        <v>6381</v>
      </c>
      <c r="O1638" s="36" t="s">
        <v>6086</v>
      </c>
      <c r="P1638" s="41"/>
      <c r="Q1638" s="41" t="s">
        <v>6173</v>
      </c>
      <c r="R1638" s="41" t="s">
        <v>6180</v>
      </c>
      <c r="S1638" s="41" t="s">
        <v>6176</v>
      </c>
      <c r="T1638" s="37">
        <v>266.33999999999997</v>
      </c>
      <c r="U1638" s="243">
        <v>14</v>
      </c>
      <c r="V1638" s="243">
        <v>3.09</v>
      </c>
      <c r="W1638" s="243">
        <v>10.125964381601822</v>
      </c>
      <c r="X1638" s="243">
        <v>14</v>
      </c>
      <c r="Y1638" s="414">
        <v>4.71</v>
      </c>
      <c r="Z1638" s="37">
        <v>4.74</v>
      </c>
      <c r="AA1638" s="37">
        <v>5.12</v>
      </c>
      <c r="AB1638" s="37">
        <v>5.1100000000000003</v>
      </c>
      <c r="AC1638" s="37">
        <v>0.88800000000000001</v>
      </c>
      <c r="AD1638" s="37">
        <v>5.04</v>
      </c>
      <c r="AE1638" s="37">
        <v>4.78</v>
      </c>
      <c r="AF1638" s="37">
        <f t="shared" si="404"/>
        <v>5.12</v>
      </c>
      <c r="AG1638" s="38">
        <v>4.8499999999999996</v>
      </c>
      <c r="AH1638" s="243">
        <v>1.2499999999999999E-7</v>
      </c>
      <c r="AI1638" s="243">
        <v>2.4500000000000001E-8</v>
      </c>
      <c r="AJ1638" s="34">
        <f t="shared" si="405"/>
        <v>-5.2916563133045953</v>
      </c>
      <c r="AK1638" s="34">
        <f>LOG10(AI1638*1000/(0.08206*298.15))</f>
        <v>-5.9994002419481189</v>
      </c>
      <c r="AL1638" s="34">
        <f t="shared" si="406"/>
        <v>-5.9994002419481189</v>
      </c>
      <c r="AM1638" s="34">
        <v>-7.034559999999999</v>
      </c>
      <c r="AN1638" s="244">
        <v>-3.97</v>
      </c>
      <c r="AO1638" s="417">
        <v>4.68</v>
      </c>
      <c r="AP1638" s="417"/>
      <c r="AQ1638" s="244" t="s">
        <v>6311</v>
      </c>
      <c r="AR1638" s="244" t="s">
        <v>6311</v>
      </c>
      <c r="AS1638" s="241" t="s">
        <v>6</v>
      </c>
      <c r="AT1638" s="39" t="s">
        <v>266</v>
      </c>
      <c r="AU1638" s="37">
        <v>2</v>
      </c>
      <c r="AV1638" s="37">
        <v>48</v>
      </c>
      <c r="AW1638" s="37">
        <v>48</v>
      </c>
      <c r="AX1638" s="37">
        <v>26</v>
      </c>
      <c r="AY1638" s="37" t="s">
        <v>647</v>
      </c>
      <c r="AZ1638" s="37" t="s">
        <v>536</v>
      </c>
      <c r="BA1638" s="37">
        <v>20</v>
      </c>
      <c r="BB1638" s="36" t="s">
        <v>1644</v>
      </c>
      <c r="BC1638" s="36" t="s">
        <v>538</v>
      </c>
      <c r="BD1638" s="36"/>
      <c r="BE1638" s="37" t="s">
        <v>271</v>
      </c>
      <c r="BF1638" s="37" t="s">
        <v>272</v>
      </c>
      <c r="BG1638" s="37" t="s">
        <v>272</v>
      </c>
      <c r="BH1638" s="37" t="s">
        <v>272</v>
      </c>
      <c r="BI1638" s="250">
        <v>0.05</v>
      </c>
      <c r="BJ1638" s="250">
        <v>0.8</v>
      </c>
      <c r="BK1638" s="37"/>
      <c r="BL1638" s="263">
        <v>0.75725542865225259</v>
      </c>
      <c r="BM1638" s="37" t="s">
        <v>1552</v>
      </c>
      <c r="BN1638" s="37"/>
      <c r="BO1638" s="37">
        <v>0.09</v>
      </c>
      <c r="BP1638" s="37"/>
      <c r="BQ1638" s="37"/>
      <c r="BR1638" s="37"/>
      <c r="BS1638" s="37"/>
      <c r="BT1638" s="37"/>
      <c r="BU1638" s="246"/>
      <c r="BV1638" s="37"/>
      <c r="BW1638" s="37"/>
      <c r="BX1638" s="37"/>
      <c r="BY1638" s="37"/>
      <c r="BZ1638" s="37"/>
      <c r="CA1638" s="37"/>
      <c r="CB1638" s="37"/>
      <c r="CC1638" s="37"/>
      <c r="CD1638" s="37"/>
      <c r="CE1638" s="37"/>
      <c r="CF1638" s="37"/>
      <c r="CG1638" s="37"/>
      <c r="CH1638" s="37"/>
      <c r="CI1638" s="243">
        <v>0.09</v>
      </c>
      <c r="CJ1638" s="243">
        <f t="shared" si="395"/>
        <v>-1.0457574905606752</v>
      </c>
      <c r="CK1638" s="38">
        <f t="shared" si="402"/>
        <v>0.94656928581531574</v>
      </c>
      <c r="CL1638" s="247">
        <f t="shared" si="400"/>
        <v>8.413949207247251</v>
      </c>
      <c r="CM1638" s="247">
        <v>-0.85054537395088958</v>
      </c>
      <c r="CN1638" s="247">
        <f>BJ1638/(10^CM1638)</f>
        <v>5.670682878767896</v>
      </c>
      <c r="CO1638" s="36"/>
      <c r="CP1638" s="496" t="s">
        <v>1553</v>
      </c>
      <c r="CQ1638" s="241">
        <v>-0.72193980992494822</v>
      </c>
      <c r="CR1638" s="241">
        <f t="shared" si="407"/>
        <v>0.47444111661546268</v>
      </c>
      <c r="CS1638" s="33"/>
      <c r="CT1638" s="33"/>
      <c r="CU1638" s="250">
        <f t="shared" si="401"/>
        <v>155.55555555555557</v>
      </c>
      <c r="CV1638" s="337">
        <f t="shared" si="403"/>
        <v>17.5</v>
      </c>
      <c r="CW1638" s="330">
        <f t="shared" si="396"/>
        <v>1</v>
      </c>
      <c r="CX1638" s="330"/>
      <c r="CY1638" s="143" t="s">
        <v>5921</v>
      </c>
    </row>
    <row r="1639" spans="1:103" ht="11.25" customHeight="1" x14ac:dyDescent="0.2">
      <c r="A1639" s="72">
        <v>1704</v>
      </c>
      <c r="B1639" s="241">
        <v>500</v>
      </c>
      <c r="C1639" s="32" t="s">
        <v>7645</v>
      </c>
      <c r="D1639" s="32"/>
      <c r="E1639" s="40"/>
      <c r="F1639" s="40" t="s">
        <v>1608</v>
      </c>
      <c r="G1639" s="242">
        <v>98544</v>
      </c>
      <c r="H1639" s="36" t="s">
        <v>1609</v>
      </c>
      <c r="I1639" s="36" t="s">
        <v>1609</v>
      </c>
      <c r="J1639" s="36" t="s">
        <v>1610</v>
      </c>
      <c r="K1639" s="36" t="s">
        <v>349</v>
      </c>
      <c r="L1639" s="36"/>
      <c r="M1639" s="36" t="s">
        <v>6082</v>
      </c>
      <c r="N1639" s="36" t="s">
        <v>6082</v>
      </c>
      <c r="O1639" s="36"/>
      <c r="P1639" s="41" t="s">
        <v>6184</v>
      </c>
      <c r="Q1639" s="41" t="s">
        <v>6173</v>
      </c>
      <c r="R1639" s="41" t="s">
        <v>6185</v>
      </c>
      <c r="S1639" s="41" t="s">
        <v>6176</v>
      </c>
      <c r="T1639" s="37">
        <v>150.22</v>
      </c>
      <c r="U1639" s="243">
        <v>580</v>
      </c>
      <c r="V1639" s="243">
        <v>428.9</v>
      </c>
      <c r="W1639" s="243">
        <v>1193.2398742028151</v>
      </c>
      <c r="X1639" s="243">
        <v>580</v>
      </c>
      <c r="Y1639" s="414">
        <v>6.11</v>
      </c>
      <c r="Z1639" s="37">
        <v>3.42</v>
      </c>
      <c r="AA1639" s="37">
        <v>3.31</v>
      </c>
      <c r="AB1639" s="37">
        <v>3.4</v>
      </c>
      <c r="AC1639" s="37">
        <v>0.93430000000000002</v>
      </c>
      <c r="AD1639" s="37">
        <v>3.36</v>
      </c>
      <c r="AE1639" s="37">
        <v>3.17</v>
      </c>
      <c r="AF1639" s="37">
        <f t="shared" si="404"/>
        <v>3.31</v>
      </c>
      <c r="AG1639" s="38">
        <v>3.12</v>
      </c>
      <c r="AH1639" s="243">
        <v>1.4500000000000001E-6</v>
      </c>
      <c r="AI1639" s="243">
        <v>1.19E-6</v>
      </c>
      <c r="AJ1639" s="34">
        <f t="shared" si="405"/>
        <v>-4.2271983240776771</v>
      </c>
      <c r="AK1639" s="34">
        <f>LOG10(AI1639*1000/(0.08206*298.15))</f>
        <v>-4.3130193649201214</v>
      </c>
      <c r="AL1639" s="34">
        <f t="shared" si="406"/>
        <v>-4.3130193649201214</v>
      </c>
      <c r="AM1639" s="34">
        <v>-6.7175700000000003</v>
      </c>
      <c r="AN1639" s="244">
        <v>-4.28</v>
      </c>
      <c r="AO1639" s="417">
        <v>10.130000000000001</v>
      </c>
      <c r="AP1639" s="417"/>
      <c r="AQ1639" s="244" t="s">
        <v>6311</v>
      </c>
      <c r="AR1639" s="244" t="s">
        <v>6311</v>
      </c>
      <c r="AS1639" s="241" t="s">
        <v>6</v>
      </c>
      <c r="AT1639" s="39" t="s">
        <v>266</v>
      </c>
      <c r="AU1639" s="37">
        <v>2</v>
      </c>
      <c r="AV1639" s="37">
        <v>48</v>
      </c>
      <c r="AW1639" s="37">
        <v>48</v>
      </c>
      <c r="AX1639" s="37">
        <v>26</v>
      </c>
      <c r="AY1639" s="37" t="s">
        <v>647</v>
      </c>
      <c r="AZ1639" s="37" t="s">
        <v>536</v>
      </c>
      <c r="BA1639" s="37">
        <v>20</v>
      </c>
      <c r="BB1639" s="36" t="s">
        <v>537</v>
      </c>
      <c r="BC1639" s="36" t="s">
        <v>538</v>
      </c>
      <c r="BD1639" s="36"/>
      <c r="BE1639" s="37" t="s">
        <v>271</v>
      </c>
      <c r="BF1639" s="37" t="s">
        <v>539</v>
      </c>
      <c r="BG1639" s="37" t="s">
        <v>539</v>
      </c>
      <c r="BH1639" s="37" t="s">
        <v>272</v>
      </c>
      <c r="BI1639" s="250">
        <v>0.30000000000000004</v>
      </c>
      <c r="BJ1639" s="250">
        <v>4.8000000000000007</v>
      </c>
      <c r="BK1639" s="37"/>
      <c r="BL1639" s="263">
        <v>6.5467500114518993</v>
      </c>
      <c r="BM1639" s="37" t="s">
        <v>1552</v>
      </c>
      <c r="BN1639" s="37"/>
      <c r="BO1639" s="37">
        <v>1.73</v>
      </c>
      <c r="BP1639" s="37"/>
      <c r="BQ1639" s="37"/>
      <c r="BR1639" s="37"/>
      <c r="BS1639" s="37"/>
      <c r="BT1639" s="37"/>
      <c r="BU1639" s="246"/>
      <c r="BV1639" s="37"/>
      <c r="BW1639" s="37"/>
      <c r="BX1639" s="37"/>
      <c r="BY1639" s="37"/>
      <c r="BZ1639" s="37"/>
      <c r="CA1639" s="37"/>
      <c r="CB1639" s="37"/>
      <c r="CC1639" s="37"/>
      <c r="CD1639" s="37"/>
      <c r="CE1639" s="37"/>
      <c r="CF1639" s="37"/>
      <c r="CG1639" s="37"/>
      <c r="CH1639" s="37"/>
      <c r="CI1639" s="243">
        <v>1.73</v>
      </c>
      <c r="CJ1639" s="243">
        <f t="shared" si="395"/>
        <v>0.2380461031287954</v>
      </c>
      <c r="CK1639" s="38">
        <f t="shared" si="402"/>
        <v>1.3639062523858121</v>
      </c>
      <c r="CL1639" s="247">
        <f t="shared" si="400"/>
        <v>3.7842485615328898</v>
      </c>
      <c r="CM1639" s="247">
        <v>0.71320269044533025</v>
      </c>
      <c r="CN1639" s="247">
        <f>BJ1639/(10^CM1639)</f>
        <v>0.92904884325408688</v>
      </c>
      <c r="CO1639" s="36"/>
      <c r="CP1639" s="496" t="s">
        <v>1553</v>
      </c>
      <c r="CQ1639" s="241">
        <v>0.71320269044533036</v>
      </c>
      <c r="CR1639" s="241">
        <f t="shared" si="407"/>
        <v>0.33484468725616034</v>
      </c>
      <c r="CS1639" s="33"/>
      <c r="CT1639" s="33"/>
      <c r="CU1639" s="250">
        <f t="shared" si="401"/>
        <v>335.26011560693644</v>
      </c>
      <c r="CV1639" s="337">
        <f t="shared" si="403"/>
        <v>120.83333333333331</v>
      </c>
      <c r="CW1639" s="330">
        <f t="shared" si="396"/>
        <v>1</v>
      </c>
      <c r="CX1639" s="330"/>
      <c r="CY1639" s="143" t="s">
        <v>6351</v>
      </c>
    </row>
    <row r="1640" spans="1:103" ht="11.25" customHeight="1" x14ac:dyDescent="0.2">
      <c r="A1640" s="72">
        <v>1758</v>
      </c>
      <c r="B1640" s="241">
        <v>600</v>
      </c>
      <c r="C1640" s="32" t="s">
        <v>1795</v>
      </c>
      <c r="D1640" s="32"/>
      <c r="E1640" s="40"/>
      <c r="F1640" s="40" t="s">
        <v>1796</v>
      </c>
      <c r="G1640" s="242">
        <v>112276</v>
      </c>
      <c r="H1640" s="36" t="s">
        <v>1797</v>
      </c>
      <c r="I1640" s="36" t="s">
        <v>1797</v>
      </c>
      <c r="J1640" s="36" t="s">
        <v>1798</v>
      </c>
      <c r="K1640" s="36" t="s">
        <v>426</v>
      </c>
      <c r="L1640" s="36"/>
      <c r="M1640" s="36" t="s">
        <v>6616</v>
      </c>
      <c r="N1640" s="36" t="s">
        <v>6082</v>
      </c>
      <c r="O1640" s="36"/>
      <c r="P1640" s="41"/>
      <c r="Q1640" s="41" t="s">
        <v>6176</v>
      </c>
      <c r="R1640" s="41" t="s">
        <v>6185</v>
      </c>
      <c r="S1640" s="41" t="s">
        <v>6176</v>
      </c>
      <c r="T1640" s="37">
        <v>150.16999999999999</v>
      </c>
      <c r="U1640" s="243">
        <v>1000000</v>
      </c>
      <c r="V1640" s="243">
        <v>1000000</v>
      </c>
      <c r="W1640" s="243">
        <v>992163.35087300697</v>
      </c>
      <c r="X1640" s="243">
        <v>1000000</v>
      </c>
      <c r="Y1640" s="414">
        <v>6.58</v>
      </c>
      <c r="Z1640" s="37">
        <v>-1.75</v>
      </c>
      <c r="AA1640" s="37">
        <v>-1.75</v>
      </c>
      <c r="AB1640" s="37">
        <v>-1.01</v>
      </c>
      <c r="AC1640" s="37">
        <v>0.8387</v>
      </c>
      <c r="AD1640" s="37">
        <v>-1.24</v>
      </c>
      <c r="AE1640" s="37">
        <v>-1.87</v>
      </c>
      <c r="AF1640" s="37">
        <f t="shared" si="404"/>
        <v>-1.75</v>
      </c>
      <c r="AG1640" s="38">
        <v>-0.93</v>
      </c>
      <c r="AH1640" s="243">
        <v>3.1599999999999999E-11</v>
      </c>
      <c r="AI1640" s="243"/>
      <c r="AJ1640" s="34">
        <f t="shared" si="405"/>
        <v>-8.8888792436942481</v>
      </c>
      <c r="AK1640" s="34"/>
      <c r="AL1640" s="34">
        <f t="shared" si="406"/>
        <v>-8.8888792436942481</v>
      </c>
      <c r="AM1640" s="34">
        <v>-10.47321</v>
      </c>
      <c r="AN1640" s="244">
        <v>-9.2100000000000009</v>
      </c>
      <c r="AO1640" s="417">
        <v>14.06</v>
      </c>
      <c r="AP1640" s="417"/>
      <c r="AQ1640" s="244" t="s">
        <v>6311</v>
      </c>
      <c r="AR1640" s="244" t="s">
        <v>6311</v>
      </c>
      <c r="AS1640" s="241" t="s">
        <v>6</v>
      </c>
      <c r="AT1640" s="39" t="s">
        <v>266</v>
      </c>
      <c r="AU1640" s="37">
        <v>2</v>
      </c>
      <c r="AV1640" s="37">
        <v>48</v>
      </c>
      <c r="AW1640" s="37">
        <v>48</v>
      </c>
      <c r="AX1640" s="37">
        <v>26</v>
      </c>
      <c r="AY1640" s="37" t="s">
        <v>647</v>
      </c>
      <c r="AZ1640" s="37" t="s">
        <v>536</v>
      </c>
      <c r="BA1640" s="37">
        <v>20</v>
      </c>
      <c r="BB1640" s="36" t="s">
        <v>1644</v>
      </c>
      <c r="BC1640" s="36" t="s">
        <v>538</v>
      </c>
      <c r="BD1640" s="36"/>
      <c r="BE1640" s="37" t="s">
        <v>271</v>
      </c>
      <c r="BF1640" s="37" t="s">
        <v>272</v>
      </c>
      <c r="BG1640" s="37" t="s">
        <v>272</v>
      </c>
      <c r="BH1640" s="37" t="s">
        <v>272</v>
      </c>
      <c r="BI1640" s="250">
        <v>27994.407456724366</v>
      </c>
      <c r="BJ1640" s="250">
        <v>79984.021304926762</v>
      </c>
      <c r="BK1640" s="37"/>
      <c r="BL1640" s="263">
        <v>287778.39145830373</v>
      </c>
      <c r="BM1640" s="37" t="s">
        <v>1552</v>
      </c>
      <c r="BN1640" s="37"/>
      <c r="BO1640" s="37">
        <v>53889.234354194406</v>
      </c>
      <c r="BP1640" s="37"/>
      <c r="BQ1640" s="37"/>
      <c r="BR1640" s="37"/>
      <c r="BS1640" s="37"/>
      <c r="BT1640" s="37"/>
      <c r="BU1640" s="246"/>
      <c r="BV1640" s="37"/>
      <c r="BW1640" s="37"/>
      <c r="BX1640" s="37"/>
      <c r="BY1640" s="37"/>
      <c r="BZ1640" s="37"/>
      <c r="CA1640" s="37"/>
      <c r="CB1640" s="37"/>
      <c r="CC1640" s="37"/>
      <c r="CD1640" s="37"/>
      <c r="CE1640" s="37"/>
      <c r="CF1640" s="37"/>
      <c r="CG1640" s="37"/>
      <c r="CH1640" s="37"/>
      <c r="CI1640" s="243">
        <v>53889.234354194406</v>
      </c>
      <c r="CJ1640" s="243">
        <f t="shared" si="395"/>
        <v>4.7315020132840822</v>
      </c>
      <c r="CK1640" s="38">
        <f t="shared" si="402"/>
        <v>3.5979485247583756</v>
      </c>
      <c r="CL1640" s="247">
        <f t="shared" si="400"/>
        <v>5.3401833391589992</v>
      </c>
      <c r="CM1640" s="247"/>
      <c r="CN1640" s="247"/>
      <c r="CO1640" s="36"/>
      <c r="CP1640" s="496" t="s">
        <v>1553</v>
      </c>
      <c r="CQ1640" s="241">
        <v>4.8629941487295589</v>
      </c>
      <c r="CR1640" s="241">
        <f t="shared" si="407"/>
        <v>0.73876764107240289</v>
      </c>
      <c r="CS1640" s="33"/>
      <c r="CT1640" s="33"/>
      <c r="CU1640" s="250">
        <f t="shared" si="401"/>
        <v>18.556582070314128</v>
      </c>
      <c r="CV1640" s="337">
        <f t="shared" si="403"/>
        <v>12.502497169874143</v>
      </c>
      <c r="CW1640" s="330">
        <f t="shared" si="396"/>
        <v>1</v>
      </c>
      <c r="CX1640" s="330"/>
      <c r="CY1640" s="143" t="s">
        <v>6351</v>
      </c>
    </row>
    <row r="1641" spans="1:103" ht="11.25" customHeight="1" x14ac:dyDescent="0.2">
      <c r="A1641" s="72">
        <v>502</v>
      </c>
      <c r="B1641" s="149">
        <v>755</v>
      </c>
      <c r="C1641" s="54" t="s">
        <v>1707</v>
      </c>
      <c r="D1641" s="54" t="s">
        <v>6789</v>
      </c>
      <c r="E1641" s="59"/>
      <c r="F1641" s="59" t="s">
        <v>1708</v>
      </c>
      <c r="G1641" s="151">
        <v>51630581</v>
      </c>
      <c r="H1641" s="55" t="s">
        <v>1709</v>
      </c>
      <c r="I1641" s="55" t="s">
        <v>7913</v>
      </c>
      <c r="J1641" s="55" t="s">
        <v>1710</v>
      </c>
      <c r="K1641" s="55" t="s">
        <v>1711</v>
      </c>
      <c r="L1641" s="55" t="s">
        <v>617</v>
      </c>
      <c r="M1641" s="55" t="s">
        <v>1086</v>
      </c>
      <c r="N1641" s="60" t="s">
        <v>6376</v>
      </c>
      <c r="O1641" s="55" t="s">
        <v>1365</v>
      </c>
      <c r="P1641" s="67"/>
      <c r="Q1641" s="67" t="s">
        <v>6173</v>
      </c>
      <c r="R1641" s="67" t="s">
        <v>6174</v>
      </c>
      <c r="S1641" s="67" t="s">
        <v>6176</v>
      </c>
      <c r="T1641" s="56">
        <v>419.9</v>
      </c>
      <c r="U1641" s="103">
        <v>2E-3</v>
      </c>
      <c r="V1641" s="103">
        <v>6.1000000000000004E-3</v>
      </c>
      <c r="W1641" s="103">
        <v>2.589082412816358E-2</v>
      </c>
      <c r="X1641" s="103">
        <v>2E-3</v>
      </c>
      <c r="Y1641" s="162">
        <v>7</v>
      </c>
      <c r="Z1641" s="56">
        <v>6.76</v>
      </c>
      <c r="AA1641" s="56">
        <v>6.22</v>
      </c>
      <c r="AB1641" s="56">
        <v>5.98</v>
      </c>
      <c r="AC1641" s="56">
        <v>0.58919999999999995</v>
      </c>
      <c r="AD1641" s="56">
        <v>6.28</v>
      </c>
      <c r="AE1641" s="56">
        <v>6.67</v>
      </c>
      <c r="AF1641" s="56">
        <f t="shared" si="404"/>
        <v>6.22</v>
      </c>
      <c r="AG1641" s="57">
        <v>6.03</v>
      </c>
      <c r="AH1641" s="103">
        <v>1.1899999999999999E-7</v>
      </c>
      <c r="AI1641" s="103">
        <v>3.4499999999999998E-8</v>
      </c>
      <c r="AJ1641" s="62">
        <f t="shared" si="405"/>
        <v>-5.3130193649201214</v>
      </c>
      <c r="AK1641" s="62">
        <f>LOG10(AI1641*1000/(0.08206*298.15))</f>
        <v>-5.850747231239378</v>
      </c>
      <c r="AL1641" s="62">
        <f t="shared" si="406"/>
        <v>-5.850747231239378</v>
      </c>
      <c r="AM1641" s="62">
        <v>-16.262410000000003</v>
      </c>
      <c r="AN1641" s="154">
        <v>-6.07</v>
      </c>
      <c r="AO1641" s="410"/>
      <c r="AP1641" s="410"/>
      <c r="AQ1641" s="154" t="s">
        <v>6311</v>
      </c>
      <c r="AR1641" s="154" t="s">
        <v>6312</v>
      </c>
      <c r="AS1641" s="149" t="s">
        <v>6</v>
      </c>
      <c r="AT1641" s="58" t="s">
        <v>266</v>
      </c>
      <c r="AU1641" s="56">
        <v>2</v>
      </c>
      <c r="AV1641" s="56">
        <v>96</v>
      </c>
      <c r="AW1641" s="56">
        <v>96</v>
      </c>
      <c r="AX1641" s="56" t="s">
        <v>8722</v>
      </c>
      <c r="AY1641" s="56" t="s">
        <v>8722</v>
      </c>
      <c r="AZ1641" s="56" t="s">
        <v>536</v>
      </c>
      <c r="BA1641" s="56">
        <v>10</v>
      </c>
      <c r="BB1641" s="55" t="s">
        <v>1764</v>
      </c>
      <c r="BC1641" s="55" t="s">
        <v>270</v>
      </c>
      <c r="BD1641" s="55" t="s">
        <v>8374</v>
      </c>
      <c r="BE1641" s="56" t="s">
        <v>1712</v>
      </c>
      <c r="BF1641" s="56" t="s">
        <v>272</v>
      </c>
      <c r="BG1641" s="56" t="s">
        <v>272</v>
      </c>
      <c r="BH1641" s="56" t="s">
        <v>272</v>
      </c>
      <c r="BI1641" s="153">
        <v>9.9997618537305601E-5</v>
      </c>
      <c r="BJ1641" s="153">
        <v>0.499988092686528</v>
      </c>
      <c r="BK1641" s="56"/>
      <c r="BL1641" s="153">
        <v>1.8314281053188532E-2</v>
      </c>
      <c r="BM1641" s="56" t="s">
        <v>1584</v>
      </c>
      <c r="BN1641" s="56"/>
      <c r="BO1641" s="56">
        <v>1.7899573718177703E-2</v>
      </c>
      <c r="BP1641" s="56"/>
      <c r="BQ1641" s="56">
        <v>8.2898025767426352E-3</v>
      </c>
      <c r="BR1641" s="56"/>
      <c r="BS1641" s="56"/>
      <c r="BT1641" s="56"/>
      <c r="BU1641" s="158"/>
      <c r="BV1641" s="56"/>
      <c r="BW1641" s="56"/>
      <c r="BX1641" s="56"/>
      <c r="BY1641" s="56"/>
      <c r="BZ1641" s="56"/>
      <c r="CA1641" s="56"/>
      <c r="CB1641" s="56"/>
      <c r="CC1641" s="56"/>
      <c r="CD1641" s="56"/>
      <c r="CE1641" s="56"/>
      <c r="CF1641" s="56"/>
      <c r="CG1641" s="56"/>
      <c r="CH1641" s="56"/>
      <c r="CI1641" s="103">
        <v>8.2898025767426352E-3</v>
      </c>
      <c r="CJ1641" s="103">
        <f t="shared" si="395"/>
        <v>-2.0814558121339508</v>
      </c>
      <c r="CK1641" s="57">
        <f t="shared" si="402"/>
        <v>3.6629434422693008E-2</v>
      </c>
      <c r="CL1641" s="160">
        <f t="shared" si="400"/>
        <v>2.2092541871346807</v>
      </c>
      <c r="CM1641" s="160">
        <v>-3.1307399864572858</v>
      </c>
      <c r="CN1641" s="160">
        <f>BJ1641/(10^CM1641)</f>
        <v>675.61556766048307</v>
      </c>
      <c r="CO1641" s="55"/>
      <c r="CP1641" s="497" t="s">
        <v>2133</v>
      </c>
      <c r="CQ1641" s="149">
        <v>-2.7768549398397511</v>
      </c>
      <c r="CR1641" s="349">
        <f t="shared" si="407"/>
        <v>4.9590573146156105</v>
      </c>
      <c r="CS1641" s="61" t="s">
        <v>539</v>
      </c>
      <c r="CT1641" s="61"/>
      <c r="CU1641" s="111">
        <f t="shared" si="401"/>
        <v>0.24126026904561976</v>
      </c>
      <c r="CV1641" s="331">
        <f t="shared" si="403"/>
        <v>4.0000952607763757E-3</v>
      </c>
      <c r="CW1641" s="326">
        <f t="shared" si="396"/>
        <v>0</v>
      </c>
      <c r="CX1641" s="326" t="s">
        <v>539</v>
      </c>
      <c r="CY1641" s="161" t="s">
        <v>5921</v>
      </c>
    </row>
    <row r="1642" spans="1:103" ht="11.25" customHeight="1" x14ac:dyDescent="0.2">
      <c r="A1642" s="72">
        <v>148</v>
      </c>
      <c r="B1642" s="149">
        <v>2072</v>
      </c>
      <c r="C1642" s="54" t="s">
        <v>5701</v>
      </c>
      <c r="D1642" s="54"/>
      <c r="E1642" s="59"/>
      <c r="F1642" s="167" t="s">
        <v>5702</v>
      </c>
      <c r="G1642" s="151">
        <v>519028</v>
      </c>
      <c r="H1642" s="67" t="s">
        <v>5703</v>
      </c>
      <c r="I1642" s="67" t="s">
        <v>5703</v>
      </c>
      <c r="J1642" s="67" t="s">
        <v>5704</v>
      </c>
      <c r="K1642" s="67" t="s">
        <v>455</v>
      </c>
      <c r="L1642" s="67"/>
      <c r="M1642" s="67"/>
      <c r="N1642" s="60"/>
      <c r="O1642" s="67"/>
      <c r="P1642" s="67"/>
      <c r="Q1642" s="67"/>
      <c r="R1642" s="67"/>
      <c r="S1642" s="67"/>
      <c r="T1642" s="61">
        <v>248.36</v>
      </c>
      <c r="U1642" s="111"/>
      <c r="V1642" s="111">
        <v>831.5</v>
      </c>
      <c r="W1642" s="111">
        <v>922.74489498573701</v>
      </c>
      <c r="X1642" s="111">
        <v>922.74489498573701</v>
      </c>
      <c r="Y1642" s="411">
        <v>10.44</v>
      </c>
      <c r="Z1642" s="61">
        <v>1.71</v>
      </c>
      <c r="AA1642" s="61"/>
      <c r="AB1642" s="61">
        <v>3.64</v>
      </c>
      <c r="AC1642" s="61">
        <v>0.2888</v>
      </c>
      <c r="AD1642" s="61">
        <v>2.15</v>
      </c>
      <c r="AE1642" s="61">
        <v>1.44</v>
      </c>
      <c r="AF1642" s="61">
        <f t="shared" si="404"/>
        <v>2.15</v>
      </c>
      <c r="AG1642" s="62">
        <v>2.15</v>
      </c>
      <c r="AH1642" s="111">
        <v>1.29E-11</v>
      </c>
      <c r="AI1642" s="111"/>
      <c r="AJ1642" s="62">
        <f t="shared" si="405"/>
        <v>-9.2779766160134027</v>
      </c>
      <c r="AK1642" s="62"/>
      <c r="AL1642" s="62">
        <f t="shared" si="406"/>
        <v>-9.2779766160134027</v>
      </c>
      <c r="AM1642" s="62">
        <v>-12.19089</v>
      </c>
      <c r="AN1642" s="342">
        <v>-9.2780000000000005</v>
      </c>
      <c r="AO1642" s="410"/>
      <c r="AP1642" s="410">
        <v>9.4700000000000006</v>
      </c>
      <c r="AQ1642" s="163" t="s">
        <v>6311</v>
      </c>
      <c r="AR1642" s="163" t="s">
        <v>6311</v>
      </c>
      <c r="AS1642" s="164" t="s">
        <v>5466</v>
      </c>
      <c r="AT1642" s="63" t="s">
        <v>266</v>
      </c>
      <c r="AU1642" s="61">
        <v>0</v>
      </c>
      <c r="AV1642" s="61">
        <v>96</v>
      </c>
      <c r="AW1642" s="61">
        <v>96</v>
      </c>
      <c r="AX1642" s="61">
        <v>26</v>
      </c>
      <c r="AY1642" s="61" t="s">
        <v>267</v>
      </c>
      <c r="AZ1642" s="61" t="s">
        <v>5671</v>
      </c>
      <c r="BA1642" s="61">
        <v>20</v>
      </c>
      <c r="BB1642" s="67" t="s">
        <v>5487</v>
      </c>
      <c r="BC1642" s="67" t="s">
        <v>5494</v>
      </c>
      <c r="BD1642" s="67"/>
      <c r="BE1642" s="61" t="s">
        <v>5598</v>
      </c>
      <c r="BF1642" s="61" t="s">
        <v>5681</v>
      </c>
      <c r="BG1642" s="61"/>
      <c r="BH1642" s="61"/>
      <c r="BI1642" s="153">
        <v>49.920360000000002</v>
      </c>
      <c r="BJ1642" s="153">
        <v>300.51560000000001</v>
      </c>
      <c r="BK1642" s="165"/>
      <c r="BL1642" s="153">
        <v>371.64701687736073</v>
      </c>
      <c r="BM1642" s="61"/>
      <c r="BN1642" s="61"/>
      <c r="BO1642" s="61"/>
      <c r="BP1642" s="61"/>
      <c r="BQ1642" s="61">
        <v>239.99999998660002</v>
      </c>
      <c r="BR1642" s="61"/>
      <c r="BS1642" s="61"/>
      <c r="BT1642" s="61"/>
      <c r="BU1642" s="158"/>
      <c r="BV1642" s="61"/>
      <c r="BW1642" s="61"/>
      <c r="BX1642" s="61"/>
      <c r="BY1642" s="61"/>
      <c r="BZ1642" s="61"/>
      <c r="CA1642" s="61"/>
      <c r="CB1642" s="61"/>
      <c r="CC1642" s="61"/>
      <c r="CD1642" s="61"/>
      <c r="CE1642" s="61"/>
      <c r="CF1642" s="61"/>
      <c r="CG1642" s="61"/>
      <c r="CH1642" s="61"/>
      <c r="CI1642" s="111">
        <v>239.99999998660002</v>
      </c>
      <c r="CJ1642" s="103">
        <f t="shared" si="395"/>
        <v>2.3802112416873578</v>
      </c>
      <c r="CK1642" s="57">
        <f t="shared" si="402"/>
        <v>1.2366979181026234</v>
      </c>
      <c r="CL1642" s="160">
        <f t="shared" si="400"/>
        <v>1.5485292370754624</v>
      </c>
      <c r="CM1642" s="160"/>
      <c r="CN1642" s="160"/>
      <c r="CO1642" s="67" t="s">
        <v>5494</v>
      </c>
      <c r="CP1642" s="161" t="s">
        <v>5705</v>
      </c>
      <c r="CQ1642" s="149" t="s">
        <v>272</v>
      </c>
      <c r="CR1642" s="349"/>
      <c r="CS1642" s="61" t="s">
        <v>539</v>
      </c>
      <c r="CT1642" s="61"/>
      <c r="CU1642" s="111">
        <f t="shared" si="401"/>
        <v>3.8447703959885704</v>
      </c>
      <c r="CV1642" s="331">
        <f t="shared" si="403"/>
        <v>3.0705390834477044</v>
      </c>
      <c r="CW1642" s="326">
        <f t="shared" si="396"/>
        <v>1</v>
      </c>
      <c r="CX1642" s="326" t="s">
        <v>539</v>
      </c>
      <c r="CY1642" s="161" t="s">
        <v>5921</v>
      </c>
    </row>
    <row r="1643" spans="1:103" ht="11.25" customHeight="1" x14ac:dyDescent="0.2">
      <c r="A1643" s="72">
        <v>380</v>
      </c>
      <c r="B1643" s="149">
        <v>2073</v>
      </c>
      <c r="C1643" s="54" t="s">
        <v>6692</v>
      </c>
      <c r="D1643" s="54"/>
      <c r="E1643" s="59"/>
      <c r="F1643" s="167" t="s">
        <v>5706</v>
      </c>
      <c r="G1643" s="151">
        <v>145572447</v>
      </c>
      <c r="H1643" s="67" t="s">
        <v>5707</v>
      </c>
      <c r="I1643" s="67" t="s">
        <v>8338</v>
      </c>
      <c r="J1643" s="67" t="s">
        <v>5708</v>
      </c>
      <c r="K1643" s="67" t="s">
        <v>4241</v>
      </c>
      <c r="L1643" s="67"/>
      <c r="M1643" s="67"/>
      <c r="N1643" s="60"/>
      <c r="O1643" s="67"/>
      <c r="P1643" s="67"/>
      <c r="Q1643" s="67"/>
      <c r="R1643" s="67"/>
      <c r="S1643" s="67"/>
      <c r="T1643" s="61">
        <v>246.17</v>
      </c>
      <c r="U1643" s="111"/>
      <c r="V1643" s="111">
        <v>1302</v>
      </c>
      <c r="W1643" s="111">
        <v>563.94289008184228</v>
      </c>
      <c r="X1643" s="111">
        <v>563.94289008184228</v>
      </c>
      <c r="Y1643" s="411">
        <v>10.36</v>
      </c>
      <c r="Z1643" s="61">
        <v>1.5</v>
      </c>
      <c r="AA1643" s="61"/>
      <c r="AB1643" s="61">
        <v>2.98</v>
      </c>
      <c r="AC1643" s="61">
        <v>0.28839999999999999</v>
      </c>
      <c r="AD1643" s="61">
        <v>1.87</v>
      </c>
      <c r="AE1643" s="61">
        <v>1.37</v>
      </c>
      <c r="AF1643" s="61">
        <f t="shared" si="404"/>
        <v>1.87</v>
      </c>
      <c r="AG1643" s="62">
        <v>1.87</v>
      </c>
      <c r="AH1643" s="111">
        <v>6.0699999999999998E-12</v>
      </c>
      <c r="AI1643" s="111"/>
      <c r="AJ1643" s="62">
        <f t="shared" si="405"/>
        <v>-9.6053776352373941</v>
      </c>
      <c r="AK1643" s="62"/>
      <c r="AL1643" s="62">
        <f t="shared" si="406"/>
        <v>-9.6053776352373941</v>
      </c>
      <c r="AM1643" s="62">
        <v>-12.65137</v>
      </c>
      <c r="AN1643" s="163"/>
      <c r="AO1643" s="410"/>
      <c r="AP1643" s="410">
        <v>9.59</v>
      </c>
      <c r="AQ1643" s="163" t="s">
        <v>6311</v>
      </c>
      <c r="AR1643" s="163" t="s">
        <v>6311</v>
      </c>
      <c r="AS1643" s="164" t="s">
        <v>5466</v>
      </c>
      <c r="AT1643" s="63" t="s">
        <v>266</v>
      </c>
      <c r="AU1643" s="61">
        <v>0</v>
      </c>
      <c r="AV1643" s="61">
        <v>96</v>
      </c>
      <c r="AW1643" s="61">
        <v>96</v>
      </c>
      <c r="AX1643" s="61">
        <v>26</v>
      </c>
      <c r="AY1643" s="61" t="s">
        <v>267</v>
      </c>
      <c r="AZ1643" s="61" t="s">
        <v>5671</v>
      </c>
      <c r="BA1643" s="61">
        <v>20</v>
      </c>
      <c r="BB1643" s="67" t="s">
        <v>5487</v>
      </c>
      <c r="BC1643" s="67" t="s">
        <v>5494</v>
      </c>
      <c r="BD1643" s="67"/>
      <c r="BE1643" s="61" t="s">
        <v>5598</v>
      </c>
      <c r="BF1643" s="61" t="s">
        <v>5681</v>
      </c>
      <c r="BG1643" s="61"/>
      <c r="BH1643" s="61"/>
      <c r="BI1643" s="153">
        <v>30.032739999999997</v>
      </c>
      <c r="BJ1643" s="153">
        <v>179.95026999999999</v>
      </c>
      <c r="BK1643" s="165"/>
      <c r="BL1643" s="153">
        <v>568.7024846145456</v>
      </c>
      <c r="BM1643" s="61"/>
      <c r="BN1643" s="61"/>
      <c r="BO1643" s="61"/>
      <c r="BP1643" s="61"/>
      <c r="BQ1643" s="61">
        <v>165.99999998898997</v>
      </c>
      <c r="BR1643" s="61"/>
      <c r="BS1643" s="61"/>
      <c r="BT1643" s="61"/>
      <c r="BU1643" s="158"/>
      <c r="BV1643" s="61"/>
      <c r="BW1643" s="61"/>
      <c r="BX1643" s="61"/>
      <c r="BY1643" s="61"/>
      <c r="BZ1643" s="61"/>
      <c r="CA1643" s="61"/>
      <c r="CB1643" s="61"/>
      <c r="CC1643" s="61"/>
      <c r="CD1643" s="61"/>
      <c r="CE1643" s="61"/>
      <c r="CF1643" s="61"/>
      <c r="CG1643" s="61"/>
      <c r="CH1643" s="61"/>
      <c r="CI1643" s="111">
        <v>165.99999998898997</v>
      </c>
      <c r="CJ1643" s="103">
        <f t="shared" si="395"/>
        <v>2.2201080880112505</v>
      </c>
      <c r="CK1643" s="57">
        <f t="shared" si="402"/>
        <v>3.160331377188518</v>
      </c>
      <c r="CL1643" s="160">
        <f t="shared" si="400"/>
        <v>3.4259185822425606</v>
      </c>
      <c r="CM1643" s="160"/>
      <c r="CN1643" s="160"/>
      <c r="CO1643" s="67" t="s">
        <v>5494</v>
      </c>
      <c r="CP1643" s="161" t="s">
        <v>5705</v>
      </c>
      <c r="CQ1643" s="149" t="s">
        <v>272</v>
      </c>
      <c r="CR1643" s="349"/>
      <c r="CS1643" s="61" t="s">
        <v>539</v>
      </c>
      <c r="CT1643" s="61"/>
      <c r="CU1643" s="111">
        <f t="shared" si="401"/>
        <v>3.3972463260195545</v>
      </c>
      <c r="CV1643" s="331">
        <f t="shared" si="403"/>
        <v>3.1338818779312878</v>
      </c>
      <c r="CW1643" s="326">
        <f t="shared" si="396"/>
        <v>1</v>
      </c>
      <c r="CX1643" s="326" t="s">
        <v>539</v>
      </c>
      <c r="CY1643" s="161" t="s">
        <v>5921</v>
      </c>
    </row>
    <row r="1644" spans="1:103" ht="11.25" customHeight="1" x14ac:dyDescent="0.2">
      <c r="A1644" s="72">
        <v>1678</v>
      </c>
      <c r="B1644" s="241">
        <v>803</v>
      </c>
      <c r="C1644" s="32" t="s">
        <v>7633</v>
      </c>
      <c r="D1644" s="32"/>
      <c r="E1644" s="40"/>
      <c r="F1644" s="40" t="s">
        <v>2269</v>
      </c>
      <c r="G1644" s="242">
        <v>79947</v>
      </c>
      <c r="H1644" s="36" t="s">
        <v>2270</v>
      </c>
      <c r="I1644" s="36" t="s">
        <v>2270</v>
      </c>
      <c r="J1644" s="36" t="s">
        <v>2271</v>
      </c>
      <c r="K1644" s="36" t="s">
        <v>376</v>
      </c>
      <c r="L1644" s="41" t="s">
        <v>5492</v>
      </c>
      <c r="M1644" s="41" t="s">
        <v>2342</v>
      </c>
      <c r="N1644" s="36" t="s">
        <v>2342</v>
      </c>
      <c r="O1644" s="36"/>
      <c r="P1644" s="41"/>
      <c r="Q1644" s="41"/>
      <c r="R1644" s="41"/>
      <c r="S1644" s="41"/>
      <c r="T1644" s="37">
        <v>543.87</v>
      </c>
      <c r="U1644" s="243"/>
      <c r="V1644" s="243">
        <v>1.001981576818416E-3</v>
      </c>
      <c r="W1644" s="243">
        <v>0.29887879506494602</v>
      </c>
      <c r="X1644" s="243">
        <v>0.29887879506494602</v>
      </c>
      <c r="Y1644" s="414">
        <v>6.97</v>
      </c>
      <c r="Z1644" s="37">
        <v>7.2</v>
      </c>
      <c r="AA1644" s="37"/>
      <c r="AB1644" s="37">
        <v>6.4</v>
      </c>
      <c r="AC1644" s="37">
        <v>0.56699999999999995</v>
      </c>
      <c r="AD1644" s="37">
        <v>6.8</v>
      </c>
      <c r="AE1644" s="37">
        <v>7.29</v>
      </c>
      <c r="AF1644" s="37">
        <f t="shared" si="404"/>
        <v>6.8</v>
      </c>
      <c r="AG1644" s="38">
        <v>6.88</v>
      </c>
      <c r="AH1644" s="243">
        <v>2.3099999999999997E-13</v>
      </c>
      <c r="AI1644" s="243"/>
      <c r="AJ1644" s="34">
        <f t="shared" si="405"/>
        <v>-11.024954346420508</v>
      </c>
      <c r="AK1644" s="34"/>
      <c r="AL1644" s="34">
        <f t="shared" si="406"/>
        <v>-11.024954346420508</v>
      </c>
      <c r="AM1644" s="34">
        <v>-12.1549</v>
      </c>
      <c r="AN1644" s="244">
        <v>-7.99</v>
      </c>
      <c r="AO1644" s="417">
        <v>8.5</v>
      </c>
      <c r="AP1644" s="417"/>
      <c r="AQ1644" s="244" t="s">
        <v>6311</v>
      </c>
      <c r="AR1644" s="244" t="s">
        <v>6311</v>
      </c>
      <c r="AS1644" s="241" t="s">
        <v>6</v>
      </c>
      <c r="AT1644" s="39" t="s">
        <v>266</v>
      </c>
      <c r="AU1644" s="245"/>
      <c r="AV1644" s="245">
        <v>0</v>
      </c>
      <c r="AW1644" s="37">
        <v>72</v>
      </c>
      <c r="AX1644" s="37" t="s">
        <v>8722</v>
      </c>
      <c r="AY1644" s="37" t="s">
        <v>8722</v>
      </c>
      <c r="AZ1644" s="37" t="s">
        <v>8722</v>
      </c>
      <c r="BA1644" s="37" t="s">
        <v>8722</v>
      </c>
      <c r="BB1644" s="36" t="s">
        <v>8722</v>
      </c>
      <c r="BC1644" s="36" t="s">
        <v>8722</v>
      </c>
      <c r="BD1644" s="36"/>
      <c r="BE1644" s="37" t="s">
        <v>8722</v>
      </c>
      <c r="BF1644" s="37" t="s">
        <v>8722</v>
      </c>
      <c r="BG1644" s="37" t="s">
        <v>8722</v>
      </c>
      <c r="BH1644" s="37" t="s">
        <v>8722</v>
      </c>
      <c r="BI1644" s="243" t="s">
        <v>8722</v>
      </c>
      <c r="BJ1644" s="243" t="s">
        <v>8722</v>
      </c>
      <c r="BK1644" s="37"/>
      <c r="BL1644" s="263">
        <v>9.5493784180268829E-3</v>
      </c>
      <c r="BM1644" s="36" t="s">
        <v>1640</v>
      </c>
      <c r="BN1644" s="37"/>
      <c r="BO1644" s="37"/>
      <c r="BP1644" s="37">
        <v>0.38999282930058105</v>
      </c>
      <c r="BQ1644" s="37"/>
      <c r="BR1644" s="37"/>
      <c r="BS1644" s="37"/>
      <c r="BT1644" s="37"/>
      <c r="BU1644" s="246"/>
      <c r="BV1644" s="37"/>
      <c r="BW1644" s="37"/>
      <c r="BX1644" s="37"/>
      <c r="BY1644" s="37"/>
      <c r="BZ1644" s="37"/>
      <c r="CA1644" s="37"/>
      <c r="CB1644" s="37"/>
      <c r="CC1644" s="37"/>
      <c r="CD1644" s="37"/>
      <c r="CE1644" s="37"/>
      <c r="CF1644" s="37"/>
      <c r="CG1644" s="37"/>
      <c r="CH1644" s="37"/>
      <c r="CI1644" s="243">
        <v>0.38999282930058105</v>
      </c>
      <c r="CJ1644" s="243">
        <f t="shared" si="395"/>
        <v>-0.40894337816277981</v>
      </c>
      <c r="CK1644" s="38"/>
      <c r="CL1644" s="247">
        <f t="shared" si="400"/>
        <v>2.4486035897513501E-2</v>
      </c>
      <c r="CM1644" s="247">
        <v>-0.39794000867203794</v>
      </c>
      <c r="CN1644" s="247"/>
      <c r="CO1644" s="36" t="s">
        <v>1641</v>
      </c>
      <c r="CP1644" s="496" t="s">
        <v>2272</v>
      </c>
      <c r="CQ1644" s="241">
        <v>-0.14907664058159587</v>
      </c>
      <c r="CR1644" s="241">
        <f>10^(CJ1644-CQ1644)</f>
        <v>0.54970952528197892</v>
      </c>
      <c r="CS1644" s="33"/>
      <c r="CT1644" s="33"/>
      <c r="CU1644" s="250">
        <f t="shared" si="401"/>
        <v>0.76636997557355013</v>
      </c>
      <c r="CV1644" s="337"/>
      <c r="CW1644" s="330">
        <f t="shared" si="396"/>
        <v>0</v>
      </c>
      <c r="CX1644" s="330"/>
      <c r="CY1644" s="143" t="s">
        <v>6351</v>
      </c>
    </row>
    <row r="1645" spans="1:103" ht="11.25" customHeight="1" x14ac:dyDescent="0.2">
      <c r="A1645" s="72">
        <v>1916</v>
      </c>
      <c r="B1645" s="241">
        <v>565</v>
      </c>
      <c r="C1645" s="32" t="s">
        <v>1735</v>
      </c>
      <c r="D1645" s="32"/>
      <c r="E1645" s="40"/>
      <c r="F1645" s="40" t="s">
        <v>1736</v>
      </c>
      <c r="G1645" s="242">
        <v>54381087</v>
      </c>
      <c r="H1645" s="36" t="s">
        <v>1737</v>
      </c>
      <c r="I1645" s="36" t="s">
        <v>8263</v>
      </c>
      <c r="J1645" s="36" t="s">
        <v>1738</v>
      </c>
      <c r="K1645" s="36" t="s">
        <v>349</v>
      </c>
      <c r="L1645" s="36"/>
      <c r="M1645" s="36"/>
      <c r="N1645" s="36"/>
      <c r="O1645" s="36"/>
      <c r="P1645" s="41"/>
      <c r="Q1645" s="41"/>
      <c r="R1645" s="41"/>
      <c r="S1645" s="41"/>
      <c r="T1645" s="37">
        <v>230.22</v>
      </c>
      <c r="U1645" s="243"/>
      <c r="V1645" s="243">
        <v>110.5</v>
      </c>
      <c r="W1645" s="243">
        <v>76.23300678772209</v>
      </c>
      <c r="X1645" s="243">
        <v>76.23300678772209</v>
      </c>
      <c r="Y1645" s="414">
        <v>6.84</v>
      </c>
      <c r="Z1645" s="37">
        <v>2.86</v>
      </c>
      <c r="AA1645" s="37"/>
      <c r="AB1645" s="37">
        <v>2.99</v>
      </c>
      <c r="AC1645" s="37">
        <v>0.81759999999999999</v>
      </c>
      <c r="AD1645" s="37">
        <v>3.06</v>
      </c>
      <c r="AE1645" s="37">
        <v>3.25</v>
      </c>
      <c r="AF1645" s="37">
        <f t="shared" si="404"/>
        <v>3.06</v>
      </c>
      <c r="AG1645" s="38">
        <v>2.48</v>
      </c>
      <c r="AH1645" s="243">
        <v>9.4400000000000002E-12</v>
      </c>
      <c r="AI1645" s="243"/>
      <c r="AJ1645" s="34">
        <f t="shared" si="405"/>
        <v>-9.4135943320145827</v>
      </c>
      <c r="AK1645" s="34"/>
      <c r="AL1645" s="34">
        <f t="shared" si="406"/>
        <v>-9.4135943320145827</v>
      </c>
      <c r="AM1645" s="34">
        <v>-13.618749999999999</v>
      </c>
      <c r="AN1645" s="244">
        <v>-8.43</v>
      </c>
      <c r="AO1645" s="417">
        <v>10.5</v>
      </c>
      <c r="AP1645" s="417">
        <v>-2.41</v>
      </c>
      <c r="AQ1645" s="244" t="s">
        <v>6311</v>
      </c>
      <c r="AR1645" s="244" t="s">
        <v>6311</v>
      </c>
      <c r="AS1645" s="241" t="s">
        <v>1154</v>
      </c>
      <c r="AT1645" s="39" t="s">
        <v>266</v>
      </c>
      <c r="AU1645" s="37">
        <v>2</v>
      </c>
      <c r="AV1645" s="37">
        <v>48</v>
      </c>
      <c r="AW1645" s="37">
        <v>48</v>
      </c>
      <c r="AX1645" s="37">
        <v>26.5</v>
      </c>
      <c r="AY1645" s="37" t="s">
        <v>8722</v>
      </c>
      <c r="AZ1645" s="37" t="s">
        <v>536</v>
      </c>
      <c r="BA1645" s="37">
        <v>20</v>
      </c>
      <c r="BB1645" s="36" t="s">
        <v>1644</v>
      </c>
      <c r="BC1645" s="36" t="s">
        <v>1584</v>
      </c>
      <c r="BD1645" s="36"/>
      <c r="BE1645" s="37" t="s">
        <v>649</v>
      </c>
      <c r="BF1645" s="37" t="s">
        <v>272</v>
      </c>
      <c r="BG1645" s="37" t="s">
        <v>272</v>
      </c>
      <c r="BH1645" s="37" t="s">
        <v>1739</v>
      </c>
      <c r="BI1645" s="250">
        <v>0.01</v>
      </c>
      <c r="BJ1645" s="250">
        <v>8</v>
      </c>
      <c r="BK1645" s="37"/>
      <c r="BL1645" s="263">
        <v>31.943099155130632</v>
      </c>
      <c r="BM1645" s="37" t="s">
        <v>1740</v>
      </c>
      <c r="BN1645" s="37"/>
      <c r="BO1645" s="37">
        <v>0.54</v>
      </c>
      <c r="BP1645" s="37">
        <v>0.19</v>
      </c>
      <c r="BQ1645" s="37"/>
      <c r="BR1645" s="37"/>
      <c r="BS1645" s="37"/>
      <c r="BT1645" s="37"/>
      <c r="BU1645" s="246"/>
      <c r="BV1645" s="37"/>
      <c r="BW1645" s="37"/>
      <c r="BX1645" s="37"/>
      <c r="BY1645" s="37"/>
      <c r="BZ1645" s="37"/>
      <c r="CA1645" s="37"/>
      <c r="CB1645" s="37"/>
      <c r="CC1645" s="37"/>
      <c r="CD1645" s="37"/>
      <c r="CE1645" s="37"/>
      <c r="CF1645" s="37"/>
      <c r="CG1645" s="37"/>
      <c r="CH1645" s="37"/>
      <c r="CI1645" s="243">
        <v>0.19</v>
      </c>
      <c r="CJ1645" s="243">
        <f t="shared" si="395"/>
        <v>-0.72124639904717103</v>
      </c>
      <c r="CK1645" s="38">
        <f>BL1645/BJ1645</f>
        <v>3.992887394391329</v>
      </c>
      <c r="CL1645" s="247">
        <f t="shared" si="400"/>
        <v>168.12157450068753</v>
      </c>
      <c r="CM1645" s="247"/>
      <c r="CN1645" s="247"/>
      <c r="CO1645" s="36"/>
      <c r="CP1645" s="496" t="s">
        <v>1741</v>
      </c>
      <c r="CQ1645" s="241" t="s">
        <v>272</v>
      </c>
      <c r="CR1645" s="241"/>
      <c r="CS1645" s="33"/>
      <c r="CT1645" s="33"/>
      <c r="CU1645" s="250">
        <f t="shared" si="401"/>
        <v>401.22635151432678</v>
      </c>
      <c r="CV1645" s="337">
        <f>X1645/BJ1645</f>
        <v>9.5291258484652612</v>
      </c>
      <c r="CW1645" s="330">
        <f t="shared" si="396"/>
        <v>1</v>
      </c>
      <c r="CX1645" s="330"/>
      <c r="CY1645" s="143" t="s">
        <v>5921</v>
      </c>
    </row>
    <row r="1646" spans="1:103" ht="11.25" customHeight="1" x14ac:dyDescent="0.2">
      <c r="A1646" s="72">
        <v>181</v>
      </c>
      <c r="B1646" s="149">
        <v>2071</v>
      </c>
      <c r="C1646" s="54" t="s">
        <v>5586</v>
      </c>
      <c r="D1646" s="54"/>
      <c r="E1646" s="59"/>
      <c r="F1646" s="59" t="s">
        <v>1355</v>
      </c>
      <c r="G1646" s="151">
        <v>1763231</v>
      </c>
      <c r="H1646" s="67" t="s">
        <v>5587</v>
      </c>
      <c r="I1646" s="67" t="s">
        <v>8302</v>
      </c>
      <c r="J1646" s="67" t="s">
        <v>5588</v>
      </c>
      <c r="K1646" s="67" t="s">
        <v>426</v>
      </c>
      <c r="L1646" s="67"/>
      <c r="M1646" s="67"/>
      <c r="N1646" s="60"/>
      <c r="O1646" s="67"/>
      <c r="P1646" s="67"/>
      <c r="Q1646" s="67"/>
      <c r="R1646" s="67"/>
      <c r="S1646" s="67"/>
      <c r="T1646" s="61">
        <v>500.13</v>
      </c>
      <c r="U1646" s="111"/>
      <c r="V1646" s="111">
        <v>0.10390000000000001</v>
      </c>
      <c r="W1646" s="111">
        <v>2685.8571231865435</v>
      </c>
      <c r="X1646" s="111">
        <v>2685.8571231865435</v>
      </c>
      <c r="Y1646" s="411">
        <v>2.27</v>
      </c>
      <c r="Z1646" s="61">
        <v>4.49</v>
      </c>
      <c r="AA1646" s="61"/>
      <c r="AB1646" s="61">
        <v>2.3199999999999998</v>
      </c>
      <c r="AC1646" s="61">
        <v>0.56120000000000003</v>
      </c>
      <c r="AD1646" s="61">
        <v>4.16</v>
      </c>
      <c r="AE1646" s="61">
        <v>7.03</v>
      </c>
      <c r="AF1646" s="61">
        <f t="shared" si="404"/>
        <v>4.16</v>
      </c>
      <c r="AG1646" s="62">
        <v>4.3899999999999997</v>
      </c>
      <c r="AH1646" s="111">
        <v>1.0999999999999999E-2</v>
      </c>
      <c r="AI1646" s="111"/>
      <c r="AJ1646" s="62">
        <f t="shared" si="405"/>
        <v>-0.34717364115442678</v>
      </c>
      <c r="AK1646" s="62"/>
      <c r="AL1646" s="62">
        <f t="shared" si="406"/>
        <v>-0.34717364115442678</v>
      </c>
      <c r="AM1646" s="62">
        <v>-3.9819300000000002</v>
      </c>
      <c r="AN1646" s="163">
        <v>-7.2603</v>
      </c>
      <c r="AO1646" s="410">
        <v>-3.27</v>
      </c>
      <c r="AP1646" s="410"/>
      <c r="AQ1646" s="163" t="s">
        <v>6311</v>
      </c>
      <c r="AR1646" s="163" t="s">
        <v>6311</v>
      </c>
      <c r="AS1646" s="164" t="s">
        <v>5466</v>
      </c>
      <c r="AT1646" s="63" t="s">
        <v>266</v>
      </c>
      <c r="AU1646" s="61">
        <v>2</v>
      </c>
      <c r="AV1646" s="61">
        <v>96</v>
      </c>
      <c r="AW1646" s="61">
        <v>94</v>
      </c>
      <c r="AX1646" s="61">
        <v>28.5</v>
      </c>
      <c r="AY1646" s="61"/>
      <c r="AZ1646" s="61" t="s">
        <v>5671</v>
      </c>
      <c r="BA1646" s="61">
        <v>20</v>
      </c>
      <c r="BB1646" s="67" t="s">
        <v>5487</v>
      </c>
      <c r="BC1646" s="67" t="s">
        <v>538</v>
      </c>
      <c r="BD1646" s="67"/>
      <c r="BE1646" s="61" t="s">
        <v>6341</v>
      </c>
      <c r="BF1646" s="61"/>
      <c r="BG1646" s="61"/>
      <c r="BH1646" s="61"/>
      <c r="BI1646" s="153">
        <v>6.2516250000000007</v>
      </c>
      <c r="BJ1646" s="153">
        <v>200.05200000000002</v>
      </c>
      <c r="BK1646" s="165"/>
      <c r="BL1646" s="153">
        <v>2.3845910314689278</v>
      </c>
      <c r="BM1646" s="61"/>
      <c r="BN1646" s="61"/>
      <c r="BO1646" s="61"/>
      <c r="BP1646" s="61"/>
      <c r="BQ1646" s="61">
        <v>67.99999990437</v>
      </c>
      <c r="BR1646" s="61"/>
      <c r="BS1646" s="61"/>
      <c r="BT1646" s="61"/>
      <c r="BU1646" s="158"/>
      <c r="BV1646" s="61"/>
      <c r="BW1646" s="61"/>
      <c r="BX1646" s="61"/>
      <c r="BY1646" s="61"/>
      <c r="BZ1646" s="61"/>
      <c r="CA1646" s="61"/>
      <c r="CB1646" s="61"/>
      <c r="CC1646" s="61"/>
      <c r="CD1646" s="61"/>
      <c r="CE1646" s="61"/>
      <c r="CF1646" s="61"/>
      <c r="CG1646" s="61"/>
      <c r="CH1646" s="61"/>
      <c r="CI1646" s="111">
        <v>67.99999990437</v>
      </c>
      <c r="CJ1646" s="103">
        <f t="shared" si="395"/>
        <v>1.8325089120954778</v>
      </c>
      <c r="CK1646" s="57">
        <f>BL1646/BJ1646</f>
        <v>1.1919855994785993E-2</v>
      </c>
      <c r="CL1646" s="160">
        <f t="shared" si="400"/>
        <v>3.5067515217976977E-2</v>
      </c>
      <c r="CM1646" s="160"/>
      <c r="CN1646" s="160"/>
      <c r="CO1646" s="67"/>
      <c r="CP1646" s="161" t="s">
        <v>5700</v>
      </c>
      <c r="CQ1646" s="149" t="s">
        <v>272</v>
      </c>
      <c r="CR1646" s="349"/>
      <c r="CS1646" s="61" t="s">
        <v>539</v>
      </c>
      <c r="CT1646" s="61"/>
      <c r="CU1646" s="111">
        <f t="shared" si="401"/>
        <v>39.497898925937172</v>
      </c>
      <c r="CV1646" s="331">
        <f>X1646/BJ1646</f>
        <v>13.425794909256309</v>
      </c>
      <c r="CW1646" s="326">
        <f t="shared" si="396"/>
        <v>1</v>
      </c>
      <c r="CX1646" s="326"/>
      <c r="CY1646" s="161" t="s">
        <v>5921</v>
      </c>
    </row>
    <row r="1647" spans="1:103" ht="11.25" customHeight="1" x14ac:dyDescent="0.2">
      <c r="A1647" s="72">
        <v>416</v>
      </c>
      <c r="B1647" s="327">
        <v>2070</v>
      </c>
      <c r="C1647" s="432" t="s">
        <v>6724</v>
      </c>
      <c r="D1647" s="432"/>
      <c r="E1647" s="433"/>
      <c r="F1647" s="434" t="s">
        <v>6389</v>
      </c>
      <c r="G1647" s="434" t="s">
        <v>6389</v>
      </c>
      <c r="H1647" s="435" t="s">
        <v>5531</v>
      </c>
      <c r="I1647" s="435" t="s">
        <v>7870</v>
      </c>
      <c r="J1647" s="435" t="s">
        <v>5531</v>
      </c>
      <c r="K1647" s="435"/>
      <c r="L1647" s="435"/>
      <c r="M1647" s="435"/>
      <c r="N1647" s="436"/>
      <c r="O1647" s="435"/>
      <c r="P1647" s="435"/>
      <c r="Q1647" s="435"/>
      <c r="R1647" s="435"/>
      <c r="S1647" s="435"/>
      <c r="T1647" s="437" t="s">
        <v>404</v>
      </c>
      <c r="U1647" s="438"/>
      <c r="V1647" s="439"/>
      <c r="W1647" s="439"/>
      <c r="X1647" s="439"/>
      <c r="Y1647" s="440"/>
      <c r="Z1647" s="437"/>
      <c r="AA1647" s="437"/>
      <c r="AB1647" s="437"/>
      <c r="AC1647" s="437"/>
      <c r="AD1647" s="437"/>
      <c r="AE1647" s="437"/>
      <c r="AF1647" s="437"/>
      <c r="AG1647" s="441">
        <v>2.0699999999999998</v>
      </c>
      <c r="AH1647" s="439"/>
      <c r="AI1647" s="442"/>
      <c r="AJ1647" s="441"/>
      <c r="AK1647" s="441"/>
      <c r="AL1647" s="441"/>
      <c r="AM1647" s="441"/>
      <c r="AN1647" s="443"/>
      <c r="AO1647" s="444"/>
      <c r="AP1647" s="444"/>
      <c r="AQ1647" s="445" t="s">
        <v>6311</v>
      </c>
      <c r="AR1647" s="445" t="s">
        <v>6311</v>
      </c>
      <c r="AS1647" s="446" t="s">
        <v>5466</v>
      </c>
      <c r="AT1647" s="447" t="s">
        <v>266</v>
      </c>
      <c r="AU1647" s="437">
        <v>2</v>
      </c>
      <c r="AV1647" s="437">
        <v>96</v>
      </c>
      <c r="AW1647" s="437">
        <v>94</v>
      </c>
      <c r="AX1647" s="437">
        <v>28.5</v>
      </c>
      <c r="AY1647" s="437"/>
      <c r="AZ1647" s="437" t="s">
        <v>5695</v>
      </c>
      <c r="BA1647" s="437">
        <v>20</v>
      </c>
      <c r="BB1647" s="435" t="s">
        <v>5696</v>
      </c>
      <c r="BC1647" s="435" t="s">
        <v>5697</v>
      </c>
      <c r="BD1647" s="435"/>
      <c r="BE1647" s="437" t="s">
        <v>1584</v>
      </c>
      <c r="BF1647" s="437"/>
      <c r="BG1647" s="437">
        <v>7</v>
      </c>
      <c r="BH1647" s="437" t="s">
        <v>5658</v>
      </c>
      <c r="BI1647" s="442"/>
      <c r="BJ1647" s="442"/>
      <c r="BK1647" s="448"/>
      <c r="BL1647" s="442"/>
      <c r="BM1647" s="437"/>
      <c r="BN1647" s="437"/>
      <c r="BO1647" s="437"/>
      <c r="BP1647" s="437"/>
      <c r="BQ1647" s="437"/>
      <c r="BR1647" s="437"/>
      <c r="BS1647" s="437"/>
      <c r="BT1647" s="437"/>
      <c r="BU1647" s="449"/>
      <c r="BV1647" s="437"/>
      <c r="BW1647" s="437"/>
      <c r="BX1647" s="437"/>
      <c r="BY1647" s="437"/>
      <c r="BZ1647" s="437"/>
      <c r="CA1647" s="437"/>
      <c r="CB1647" s="437"/>
      <c r="CC1647" s="437"/>
      <c r="CD1647" s="437"/>
      <c r="CE1647" s="437"/>
      <c r="CF1647" s="437"/>
      <c r="CG1647" s="437"/>
      <c r="CH1647" s="437"/>
      <c r="CI1647" s="438"/>
      <c r="CJ1647" s="439"/>
      <c r="CK1647" s="450"/>
      <c r="CL1647" s="451"/>
      <c r="CM1647" s="451"/>
      <c r="CN1647" s="451"/>
      <c r="CO1647" s="435"/>
      <c r="CP1647" s="455" t="s">
        <v>5699</v>
      </c>
      <c r="CQ1647" s="327" t="s">
        <v>272</v>
      </c>
      <c r="CR1647" s="452"/>
      <c r="CS1647" s="437" t="s">
        <v>539</v>
      </c>
      <c r="CT1647" s="437"/>
      <c r="CU1647" s="438" t="s">
        <v>6310</v>
      </c>
      <c r="CV1647" s="453"/>
      <c r="CW1647" s="454">
        <f t="shared" si="396"/>
        <v>1</v>
      </c>
      <c r="CX1647" s="454"/>
      <c r="CY1647" s="455" t="s">
        <v>5921</v>
      </c>
    </row>
    <row r="1648" spans="1:103" ht="11.25" customHeight="1" x14ac:dyDescent="0.2">
      <c r="A1648" s="72">
        <v>701</v>
      </c>
      <c r="B1648" s="183">
        <v>2069</v>
      </c>
      <c r="C1648" s="133" t="s">
        <v>6932</v>
      </c>
      <c r="D1648" s="133"/>
      <c r="E1648" s="134"/>
      <c r="F1648" s="183" t="s">
        <v>6392</v>
      </c>
      <c r="G1648" s="183" t="s">
        <v>6392</v>
      </c>
      <c r="H1648" s="138" t="s">
        <v>5531</v>
      </c>
      <c r="I1648" s="138"/>
      <c r="J1648" s="138"/>
      <c r="K1648" s="138"/>
      <c r="L1648" s="138"/>
      <c r="M1648" s="138"/>
      <c r="N1648" s="138"/>
      <c r="O1648" s="138"/>
      <c r="P1648" s="138"/>
      <c r="Q1648" s="138"/>
      <c r="R1648" s="138"/>
      <c r="S1648" s="138"/>
      <c r="T1648" s="135">
        <v>6054.36</v>
      </c>
      <c r="U1648" s="185"/>
      <c r="V1648" s="185"/>
      <c r="W1648" s="185"/>
      <c r="X1648" s="185"/>
      <c r="Y1648" s="204"/>
      <c r="Z1648" s="135"/>
      <c r="AA1648" s="135"/>
      <c r="AB1648" s="135"/>
      <c r="AC1648" s="135"/>
      <c r="AD1648" s="135"/>
      <c r="AE1648" s="135"/>
      <c r="AF1648" s="135"/>
      <c r="AG1648" s="136" t="s">
        <v>404</v>
      </c>
      <c r="AH1648" s="185"/>
      <c r="AI1648" s="185"/>
      <c r="AJ1648" s="136"/>
      <c r="AK1648" s="136"/>
      <c r="AL1648" s="136"/>
      <c r="AM1648" s="136"/>
      <c r="AN1648" s="186"/>
      <c r="AO1648" s="481"/>
      <c r="AP1648" s="481"/>
      <c r="AQ1648" s="186" t="s">
        <v>6311</v>
      </c>
      <c r="AR1648" s="186" t="s">
        <v>6311</v>
      </c>
      <c r="AS1648" s="183" t="s">
        <v>5466</v>
      </c>
      <c r="AT1648" s="137" t="s">
        <v>266</v>
      </c>
      <c r="AU1648" s="135">
        <v>2</v>
      </c>
      <c r="AV1648" s="135">
        <v>96</v>
      </c>
      <c r="AW1648" s="135">
        <v>94</v>
      </c>
      <c r="AX1648" s="135">
        <v>28.5</v>
      </c>
      <c r="AY1648" s="135"/>
      <c r="AZ1648" s="135" t="s">
        <v>5695</v>
      </c>
      <c r="BA1648" s="135">
        <v>20</v>
      </c>
      <c r="BB1648" s="138" t="s">
        <v>5696</v>
      </c>
      <c r="BC1648" s="138" t="s">
        <v>5697</v>
      </c>
      <c r="BD1648" s="138"/>
      <c r="BE1648" s="135"/>
      <c r="BF1648" s="135"/>
      <c r="BG1648" s="135">
        <v>7</v>
      </c>
      <c r="BH1648" s="135" t="s">
        <v>5658</v>
      </c>
      <c r="BI1648" s="185">
        <v>3.7839749999999999</v>
      </c>
      <c r="BJ1648" s="185">
        <v>121.0872</v>
      </c>
      <c r="BK1648" s="201"/>
      <c r="BL1648" s="485"/>
      <c r="BM1648" s="135"/>
      <c r="BN1648" s="135"/>
      <c r="BO1648" s="135"/>
      <c r="BP1648" s="135"/>
      <c r="BQ1648" s="135" t="e">
        <v>#VALUE!</v>
      </c>
      <c r="BR1648" s="135"/>
      <c r="BS1648" s="135"/>
      <c r="BT1648" s="135"/>
      <c r="BU1648" s="135"/>
      <c r="BV1648" s="135"/>
      <c r="BW1648" s="135"/>
      <c r="BX1648" s="135"/>
      <c r="BY1648" s="135"/>
      <c r="BZ1648" s="135"/>
      <c r="CA1648" s="135"/>
      <c r="CB1648" s="135"/>
      <c r="CC1648" s="135"/>
      <c r="CD1648" s="135"/>
      <c r="CE1648" s="135"/>
      <c r="CF1648" s="135"/>
      <c r="CG1648" s="135"/>
      <c r="CH1648" s="135"/>
      <c r="CI1648" s="185"/>
      <c r="CJ1648" s="187"/>
      <c r="CK1648" s="136">
        <f>BL1648/BJ1648</f>
        <v>0</v>
      </c>
      <c r="CL1648" s="188"/>
      <c r="CM1648" s="188"/>
      <c r="CN1648" s="188"/>
      <c r="CO1648" s="138"/>
      <c r="CP1648" s="189" t="s">
        <v>5699</v>
      </c>
      <c r="CQ1648" s="191" t="s">
        <v>272</v>
      </c>
      <c r="CR1648" s="191"/>
      <c r="CS1648" s="135" t="s">
        <v>539</v>
      </c>
      <c r="CT1648" s="135"/>
      <c r="CU1648" s="135"/>
      <c r="CV1648" s="332" t="s">
        <v>6310</v>
      </c>
      <c r="CW1648" s="329">
        <f>IF(CV1648&lt;1,0,1)</f>
        <v>1</v>
      </c>
      <c r="CX1648" s="329"/>
      <c r="CY1648" s="189" t="s">
        <v>5921</v>
      </c>
    </row>
    <row r="1649" spans="1:103" ht="11.25" customHeight="1" x14ac:dyDescent="0.2">
      <c r="A1649" s="72">
        <v>1650</v>
      </c>
      <c r="B1649" s="241">
        <v>2027</v>
      </c>
      <c r="C1649" s="32" t="s">
        <v>422</v>
      </c>
      <c r="D1649" s="32"/>
      <c r="E1649" s="40"/>
      <c r="F1649" s="40" t="s">
        <v>423</v>
      </c>
      <c r="G1649" s="242">
        <v>64175</v>
      </c>
      <c r="H1649" s="41" t="s">
        <v>424</v>
      </c>
      <c r="I1649" s="41" t="s">
        <v>424</v>
      </c>
      <c r="J1649" s="41" t="s">
        <v>425</v>
      </c>
      <c r="K1649" s="41" t="s">
        <v>426</v>
      </c>
      <c r="L1649" s="41" t="s">
        <v>279</v>
      </c>
      <c r="M1649" s="480" t="s">
        <v>8502</v>
      </c>
      <c r="N1649" s="36" t="s">
        <v>6082</v>
      </c>
      <c r="O1649" s="41" t="s">
        <v>281</v>
      </c>
      <c r="P1649" s="41" t="s">
        <v>6183</v>
      </c>
      <c r="Q1649" s="41" t="s">
        <v>6176</v>
      </c>
      <c r="R1649" s="41" t="s">
        <v>6185</v>
      </c>
      <c r="S1649" s="41" t="s">
        <v>6176</v>
      </c>
      <c r="T1649" s="33">
        <v>46.07</v>
      </c>
      <c r="U1649" s="250">
        <v>1000000.0000000001</v>
      </c>
      <c r="V1649" s="250">
        <v>792099.99999999988</v>
      </c>
      <c r="W1649" s="250">
        <v>183407.97347399619</v>
      </c>
      <c r="X1649" s="250">
        <v>1000000.0000000001</v>
      </c>
      <c r="Y1649" s="415">
        <v>6.96</v>
      </c>
      <c r="Z1649" s="33">
        <v>-0.14000000000000001</v>
      </c>
      <c r="AA1649" s="33">
        <v>-0.31</v>
      </c>
      <c r="AB1649" s="33">
        <v>-0.24</v>
      </c>
      <c r="AC1649" s="33">
        <v>0.90610000000000002</v>
      </c>
      <c r="AD1649" s="33">
        <v>-0.23</v>
      </c>
      <c r="AE1649" s="33">
        <v>-0.19</v>
      </c>
      <c r="AF1649" s="33">
        <f>IF(AA1649=0,AD1649,AA1649)</f>
        <v>-0.31</v>
      </c>
      <c r="AG1649" s="34">
        <v>0.09</v>
      </c>
      <c r="AH1649" s="250">
        <v>5.6699999999999999E-6</v>
      </c>
      <c r="AI1649" s="250">
        <v>5.0000000000000004E-6</v>
      </c>
      <c r="AJ1649" s="34">
        <f>LOG10(AH1649*1000/(0.08206*298.15))</f>
        <v>-3.6349832674197451</v>
      </c>
      <c r="AK1649" s="34">
        <f>LOG10(AI1649*1000/(0.08206*298.15))</f>
        <v>-3.6895963219766328</v>
      </c>
      <c r="AL1649" s="34">
        <f>IF(AK1649=0,AJ1649,AK1649)</f>
        <v>-3.6895963219766328</v>
      </c>
      <c r="AM1649" s="34">
        <v>-3.1772200000000002</v>
      </c>
      <c r="AN1649" s="251">
        <v>-3.5697999999999999</v>
      </c>
      <c r="AO1649" s="417">
        <v>15.24</v>
      </c>
      <c r="AP1649" s="417"/>
      <c r="AQ1649" s="251" t="s">
        <v>6311</v>
      </c>
      <c r="AR1649" s="251" t="s">
        <v>6311</v>
      </c>
      <c r="AS1649" s="252" t="s">
        <v>5466</v>
      </c>
      <c r="AT1649" s="35" t="s">
        <v>266</v>
      </c>
      <c r="AU1649" s="33">
        <v>0</v>
      </c>
      <c r="AV1649" s="33">
        <v>48</v>
      </c>
      <c r="AW1649" s="33">
        <v>48</v>
      </c>
      <c r="AX1649" s="33">
        <v>28.5</v>
      </c>
      <c r="AY1649" s="33" t="s">
        <v>1584</v>
      </c>
      <c r="AZ1649" s="33" t="s">
        <v>1584</v>
      </c>
      <c r="BA1649" s="33" t="s">
        <v>1584</v>
      </c>
      <c r="BB1649" s="41" t="s">
        <v>1584</v>
      </c>
      <c r="BC1649" s="41" t="s">
        <v>1584</v>
      </c>
      <c r="BD1649" s="41"/>
      <c r="BE1649" s="33" t="s">
        <v>1584</v>
      </c>
      <c r="BF1649" s="33" t="s">
        <v>272</v>
      </c>
      <c r="BG1649" s="33" t="s">
        <v>272</v>
      </c>
      <c r="BH1649" s="33" t="s">
        <v>272</v>
      </c>
      <c r="BI1649" s="250">
        <v>197.22499999999999</v>
      </c>
      <c r="BJ1649" s="250">
        <v>1578.0000000000002</v>
      </c>
      <c r="BK1649" s="254"/>
      <c r="BL1649" s="263">
        <v>3161.9297169680549</v>
      </c>
      <c r="BM1649" s="33" t="s">
        <v>1584</v>
      </c>
      <c r="BN1649" s="33"/>
      <c r="BO1649" s="33" t="e">
        <v>#VALUE!</v>
      </c>
      <c r="BP1649" s="33"/>
      <c r="BQ1649" s="33"/>
      <c r="BR1649" s="33"/>
      <c r="BS1649" s="33"/>
      <c r="BT1649" s="33"/>
      <c r="BU1649" s="246"/>
      <c r="BV1649" s="33"/>
      <c r="BW1649" s="33"/>
      <c r="BX1649" s="33"/>
      <c r="BY1649" s="33"/>
      <c r="BZ1649" s="33"/>
      <c r="CA1649" s="33"/>
      <c r="CB1649" s="33"/>
      <c r="CC1649" s="33"/>
      <c r="CD1649" s="33"/>
      <c r="CE1649" s="33"/>
      <c r="CF1649" s="33"/>
      <c r="CG1649" s="33"/>
      <c r="CH1649" s="33"/>
      <c r="CI1649" s="250"/>
      <c r="CJ1649" s="243"/>
      <c r="CK1649" s="38">
        <f>BL1649/BJ1649</f>
        <v>2.0037577420583363</v>
      </c>
      <c r="CL1649" s="247"/>
      <c r="CM1649" s="247">
        <v>2.8171348229570792</v>
      </c>
      <c r="CN1649" s="247">
        <f>BJ1649/(10^CM1649)</f>
        <v>2.4042087638596952</v>
      </c>
      <c r="CO1649" s="41"/>
      <c r="CP1649" s="143" t="s">
        <v>6292</v>
      </c>
      <c r="CQ1649" s="241">
        <v>3.7646752173993483</v>
      </c>
      <c r="CR1649" s="241">
        <f>10^(CJ1649-CQ1649)</f>
        <v>1.7191935875372096E-4</v>
      </c>
      <c r="CS1649" s="33"/>
      <c r="CT1649" s="33"/>
      <c r="CU1649" s="250"/>
      <c r="CV1649" s="337">
        <f>X1649/BJ1649</f>
        <v>633.7135614702155</v>
      </c>
      <c r="CW1649" s="330">
        <f>IF(CV1649&lt;1,0,1)</f>
        <v>1</v>
      </c>
      <c r="CX1649" s="330"/>
      <c r="CY1649" s="143" t="s">
        <v>6351</v>
      </c>
    </row>
    <row r="1650" spans="1:103" ht="11.25" customHeight="1" x14ac:dyDescent="0.2">
      <c r="A1650" s="72">
        <v>2023</v>
      </c>
      <c r="B1650" s="282">
        <v>2015</v>
      </c>
      <c r="C1650" s="115" t="s">
        <v>5580</v>
      </c>
      <c r="D1650" s="115" t="s">
        <v>8641</v>
      </c>
      <c r="E1650" s="116">
        <v>1</v>
      </c>
      <c r="F1650" s="116" t="s">
        <v>5581</v>
      </c>
      <c r="G1650" s="283">
        <v>7784465</v>
      </c>
      <c r="H1650" s="286" t="s">
        <v>5582</v>
      </c>
      <c r="I1650" s="286"/>
      <c r="J1650" s="286" t="s">
        <v>5583</v>
      </c>
      <c r="K1650" s="284" t="s">
        <v>416</v>
      </c>
      <c r="L1650" s="286"/>
      <c r="M1650" s="286" t="s">
        <v>2342</v>
      </c>
      <c r="N1650" s="286" t="s">
        <v>2342</v>
      </c>
      <c r="O1650" s="286"/>
      <c r="P1650" s="286"/>
      <c r="Q1650" s="286"/>
      <c r="R1650" s="286"/>
      <c r="S1650" s="286"/>
      <c r="T1650" s="123">
        <v>129.91</v>
      </c>
      <c r="U1650" s="300"/>
      <c r="V1650" s="300"/>
      <c r="W1650" s="300"/>
      <c r="X1650" s="300"/>
      <c r="Y1650" s="419"/>
      <c r="Z1650" s="116"/>
      <c r="AA1650" s="116"/>
      <c r="AB1650" s="116"/>
      <c r="AC1650" s="116"/>
      <c r="AD1650" s="116"/>
      <c r="AE1650" s="116"/>
      <c r="AF1650" s="116"/>
      <c r="AG1650" s="117" t="s">
        <v>404</v>
      </c>
      <c r="AH1650" s="300"/>
      <c r="AI1650" s="300"/>
      <c r="AJ1650" s="125"/>
      <c r="AK1650" s="125"/>
      <c r="AL1650" s="125"/>
      <c r="AM1650" s="125"/>
      <c r="AN1650" s="301"/>
      <c r="AO1650" s="420"/>
      <c r="AP1650" s="420"/>
      <c r="AQ1650" s="301" t="s">
        <v>6311</v>
      </c>
      <c r="AR1650" s="301" t="s">
        <v>6311</v>
      </c>
      <c r="AS1650" s="298" t="s">
        <v>5466</v>
      </c>
      <c r="AT1650" s="124" t="s">
        <v>266</v>
      </c>
      <c r="AU1650" s="123">
        <v>4</v>
      </c>
      <c r="AV1650" s="123">
        <v>120</v>
      </c>
      <c r="AW1650" s="123">
        <v>106</v>
      </c>
      <c r="AX1650" s="123">
        <v>28</v>
      </c>
      <c r="AY1650" s="307" t="s">
        <v>267</v>
      </c>
      <c r="AZ1650" s="123" t="s">
        <v>1584</v>
      </c>
      <c r="BA1650" s="123">
        <v>30</v>
      </c>
      <c r="BB1650" s="286" t="s">
        <v>6209</v>
      </c>
      <c r="BC1650" s="286" t="s">
        <v>5697</v>
      </c>
      <c r="BD1650" s="286"/>
      <c r="BE1650" s="123" t="s">
        <v>6210</v>
      </c>
      <c r="BF1650" s="123" t="s">
        <v>6203</v>
      </c>
      <c r="BG1650" s="123" t="s">
        <v>6203</v>
      </c>
      <c r="BH1650" s="123"/>
      <c r="BI1650" s="300">
        <v>3.2477499999999999</v>
      </c>
      <c r="BJ1650" s="300">
        <v>1299.0999999999999</v>
      </c>
      <c r="BK1650" s="306"/>
      <c r="BL1650" s="287"/>
      <c r="BM1650" s="123" t="s">
        <v>1584</v>
      </c>
      <c r="BN1650" s="123" t="e">
        <v>#VALUE!</v>
      </c>
      <c r="BO1650" s="123">
        <v>649.54999999999995</v>
      </c>
      <c r="BP1650" s="123"/>
      <c r="BQ1650" s="123">
        <v>259.82</v>
      </c>
      <c r="BR1650" s="123">
        <v>129.91</v>
      </c>
      <c r="BS1650" s="123"/>
      <c r="BT1650" s="123"/>
      <c r="BU1650" s="293"/>
      <c r="BV1650" s="123"/>
      <c r="BW1650" s="123"/>
      <c r="BX1650" s="123"/>
      <c r="BY1650" s="123"/>
      <c r="BZ1650" s="123"/>
      <c r="CA1650" s="123"/>
      <c r="CB1650" s="123"/>
      <c r="CC1650" s="123"/>
      <c r="CD1650" s="123"/>
      <c r="CE1650" s="123"/>
      <c r="CF1650" s="123"/>
      <c r="CG1650" s="123"/>
      <c r="CH1650" s="123"/>
      <c r="CI1650" s="300">
        <v>129.91</v>
      </c>
      <c r="CJ1650" s="292">
        <f t="shared" ref="CJ1650:CJ1694" si="408">LOG10(CI1650)</f>
        <v>2.1136425827717398</v>
      </c>
      <c r="CK1650" s="120" t="s">
        <v>404</v>
      </c>
      <c r="CL1650" s="294"/>
      <c r="CM1650" s="294"/>
      <c r="CN1650" s="294">
        <f>BJ1650/(10^CM1650)</f>
        <v>1299.0999999999999</v>
      </c>
      <c r="CO1650" s="286"/>
      <c r="CP1650" s="295" t="s">
        <v>8386</v>
      </c>
      <c r="CQ1650" s="282">
        <v>1.4008920858919578</v>
      </c>
      <c r="CR1650" s="282">
        <f>10^(CJ1650-CQ1650)</f>
        <v>5.1611977215574409</v>
      </c>
      <c r="CS1650" s="123"/>
      <c r="CT1650" s="123"/>
      <c r="CU1650" s="300" t="s">
        <v>6310</v>
      </c>
      <c r="CV1650" s="338" t="s">
        <v>6310</v>
      </c>
      <c r="CW1650" s="339">
        <f t="shared" ref="CW1650:CW1694" si="409">IF(CU1650&lt;2,0,1)</f>
        <v>1</v>
      </c>
      <c r="CX1650" s="339" t="s">
        <v>539</v>
      </c>
      <c r="CY1650" s="295" t="s">
        <v>5921</v>
      </c>
    </row>
    <row r="1651" spans="1:103" ht="11.25" customHeight="1" x14ac:dyDescent="0.2">
      <c r="A1651" s="72">
        <v>1861</v>
      </c>
      <c r="B1651" s="241">
        <v>1949</v>
      </c>
      <c r="C1651" s="32" t="s">
        <v>5516</v>
      </c>
      <c r="D1651" s="32"/>
      <c r="E1651" s="40"/>
      <c r="F1651" s="40" t="s">
        <v>5455</v>
      </c>
      <c r="G1651" s="242">
        <v>5436431</v>
      </c>
      <c r="H1651" s="41" t="s">
        <v>5456</v>
      </c>
      <c r="I1651" s="41" t="s">
        <v>8245</v>
      </c>
      <c r="J1651" s="41" t="s">
        <v>5517</v>
      </c>
      <c r="K1651" s="41" t="s">
        <v>426</v>
      </c>
      <c r="L1651" s="41" t="s">
        <v>5492</v>
      </c>
      <c r="M1651" s="41"/>
      <c r="N1651" s="36"/>
      <c r="O1651" s="41"/>
      <c r="P1651" s="41"/>
      <c r="Q1651" s="41"/>
      <c r="R1651" s="41"/>
      <c r="S1651" s="41"/>
      <c r="T1651" s="33">
        <v>485.8</v>
      </c>
      <c r="U1651" s="250"/>
      <c r="V1651" s="250">
        <v>1.4610000000000001E-3</v>
      </c>
      <c r="W1651" s="250">
        <v>0.1087570729116497</v>
      </c>
      <c r="X1651" s="250">
        <v>0.1087570729116497</v>
      </c>
      <c r="Y1651" s="415">
        <v>7</v>
      </c>
      <c r="Z1651" s="33">
        <v>6.77</v>
      </c>
      <c r="AA1651" s="33"/>
      <c r="AB1651" s="33">
        <v>6.3</v>
      </c>
      <c r="AC1651" s="33">
        <v>0.86460000000000004</v>
      </c>
      <c r="AD1651" s="33">
        <v>6.51</v>
      </c>
      <c r="AE1651" s="33">
        <v>7.39</v>
      </c>
      <c r="AF1651" s="33">
        <f>IF(AA1651=0,AD1651,AA1651)</f>
        <v>6.51</v>
      </c>
      <c r="AG1651" s="34">
        <v>6.36</v>
      </c>
      <c r="AH1651" s="250">
        <v>2.9699999999999999E-6</v>
      </c>
      <c r="AI1651" s="250"/>
      <c r="AJ1651" s="34">
        <f t="shared" ref="AJ1651:AJ1682" si="410">LOG10(AH1651*1000/(0.08206*298.15))</f>
        <v>-3.9158098769954393</v>
      </c>
      <c r="AK1651" s="34"/>
      <c r="AL1651" s="34">
        <f t="shared" ref="AL1651:AL1659" si="411">IF(AK1651=0,AJ1651,AK1651)</f>
        <v>-3.9158098769954393</v>
      </c>
      <c r="AM1651" s="34">
        <v>-9.6528299999999998</v>
      </c>
      <c r="AN1651" s="251">
        <v>-2.7378999999999998</v>
      </c>
      <c r="AO1651" s="417"/>
      <c r="AP1651" s="417"/>
      <c r="AQ1651" s="251" t="s">
        <v>6311</v>
      </c>
      <c r="AR1651" s="251" t="s">
        <v>6311</v>
      </c>
      <c r="AS1651" s="252" t="s">
        <v>5466</v>
      </c>
      <c r="AT1651" s="35" t="s">
        <v>266</v>
      </c>
      <c r="AU1651" s="33">
        <v>3</v>
      </c>
      <c r="AV1651" s="33">
        <v>1668</v>
      </c>
      <c r="AW1651" s="33" t="s">
        <v>5518</v>
      </c>
      <c r="AX1651" s="33">
        <v>28.5</v>
      </c>
      <c r="AY1651" s="253" t="s">
        <v>267</v>
      </c>
      <c r="AZ1651" s="33" t="s">
        <v>6219</v>
      </c>
      <c r="BA1651" s="262"/>
      <c r="BB1651" s="41" t="s">
        <v>6215</v>
      </c>
      <c r="BC1651" s="41" t="s">
        <v>5697</v>
      </c>
      <c r="BD1651" s="41"/>
      <c r="BE1651" s="41" t="s">
        <v>6217</v>
      </c>
      <c r="BF1651" s="33"/>
      <c r="BG1651" s="33"/>
      <c r="BH1651" s="33" t="s">
        <v>6218</v>
      </c>
      <c r="BI1651" s="250">
        <v>0.1</v>
      </c>
      <c r="BJ1651" s="250">
        <v>5</v>
      </c>
      <c r="BK1651" s="254"/>
      <c r="BL1651" s="263">
        <v>2.0754893559871895E-2</v>
      </c>
      <c r="BM1651" s="33" t="s">
        <v>6250</v>
      </c>
      <c r="BN1651" s="33"/>
      <c r="BO1651" s="33"/>
      <c r="BP1651" s="33"/>
      <c r="BQ1651" s="33"/>
      <c r="BR1651" s="33"/>
      <c r="BS1651" s="33"/>
      <c r="BT1651" s="33">
        <v>5.0037400000000005</v>
      </c>
      <c r="BU1651" s="246"/>
      <c r="BV1651" s="33"/>
      <c r="BW1651" s="33"/>
      <c r="BX1651" s="33"/>
      <c r="BY1651" s="33"/>
      <c r="BZ1651" s="33"/>
      <c r="CA1651" s="33"/>
      <c r="CB1651" s="33"/>
      <c r="CC1651" s="33"/>
      <c r="CD1651" s="33"/>
      <c r="CE1651" s="33"/>
      <c r="CF1651" s="33"/>
      <c r="CG1651" s="33"/>
      <c r="CH1651" s="33"/>
      <c r="CI1651" s="250">
        <v>5.0037400000000005</v>
      </c>
      <c r="CJ1651" s="243">
        <f t="shared" si="408"/>
        <v>0.69929473517428398</v>
      </c>
      <c r="CK1651" s="250">
        <f>BL1651/BJ1651</f>
        <v>4.1509787119743792E-3</v>
      </c>
      <c r="CL1651" s="247">
        <f>BL1651/CI1651</f>
        <v>4.1478761006510916E-3</v>
      </c>
      <c r="CM1651" s="247"/>
      <c r="CN1651" s="247"/>
      <c r="CO1651" s="41"/>
      <c r="CP1651" s="143" t="s">
        <v>8383</v>
      </c>
      <c r="CQ1651" s="241" t="s">
        <v>272</v>
      </c>
      <c r="CR1651" s="241"/>
      <c r="CS1651" s="33"/>
      <c r="CT1651" s="33"/>
      <c r="CU1651" s="250">
        <f>X1651/CI1651</f>
        <v>2.1735156685129459E-2</v>
      </c>
      <c r="CV1651" s="337">
        <f>X1651/BJ1651</f>
        <v>2.1751414582329938E-2</v>
      </c>
      <c r="CW1651" s="330">
        <f t="shared" si="409"/>
        <v>0</v>
      </c>
      <c r="CX1651" s="330"/>
      <c r="CY1651" s="143" t="s">
        <v>5921</v>
      </c>
    </row>
    <row r="1652" spans="1:103" ht="11.25" customHeight="1" x14ac:dyDescent="0.2">
      <c r="A1652" s="72">
        <v>358</v>
      </c>
      <c r="B1652" s="149">
        <v>2043</v>
      </c>
      <c r="C1652" s="54" t="s">
        <v>6674</v>
      </c>
      <c r="D1652" s="54" t="s">
        <v>6446</v>
      </c>
      <c r="E1652" s="59"/>
      <c r="F1652" s="59" t="s">
        <v>2269</v>
      </c>
      <c r="G1652" s="151">
        <v>79947</v>
      </c>
      <c r="H1652" s="67" t="s">
        <v>2270</v>
      </c>
      <c r="I1652" s="67" t="s">
        <v>2270</v>
      </c>
      <c r="J1652" s="67" t="s">
        <v>2271</v>
      </c>
      <c r="K1652" s="67" t="s">
        <v>376</v>
      </c>
      <c r="L1652" s="67" t="s">
        <v>5492</v>
      </c>
      <c r="M1652" s="67" t="s">
        <v>2342</v>
      </c>
      <c r="N1652" s="60" t="s">
        <v>2342</v>
      </c>
      <c r="O1652" s="67"/>
      <c r="P1652" s="67"/>
      <c r="Q1652" s="67"/>
      <c r="R1652" s="67"/>
      <c r="S1652" s="67"/>
      <c r="T1652" s="61">
        <v>543.88</v>
      </c>
      <c r="U1652" s="111"/>
      <c r="V1652" s="111">
        <v>1.0020000000000001E-3</v>
      </c>
      <c r="W1652" s="111">
        <v>0.29888429047368459</v>
      </c>
      <c r="X1652" s="111">
        <v>0.29888429047368459</v>
      </c>
      <c r="Y1652" s="411">
        <v>6.97</v>
      </c>
      <c r="Z1652" s="61">
        <v>7.2</v>
      </c>
      <c r="AA1652" s="61"/>
      <c r="AB1652" s="61">
        <v>6.4</v>
      </c>
      <c r="AC1652" s="61">
        <v>0.56699999999999995</v>
      </c>
      <c r="AD1652" s="61">
        <v>6.8</v>
      </c>
      <c r="AE1652" s="61">
        <v>7.29</v>
      </c>
      <c r="AF1652" s="61">
        <f>IF(AA1652=0,AD1652,AA1652)</f>
        <v>6.8</v>
      </c>
      <c r="AG1652" s="62">
        <v>6.88</v>
      </c>
      <c r="AH1652" s="111">
        <v>2.3099999999999997E-13</v>
      </c>
      <c r="AI1652" s="111"/>
      <c r="AJ1652" s="62">
        <f t="shared" si="410"/>
        <v>-11.024954346420508</v>
      </c>
      <c r="AK1652" s="62"/>
      <c r="AL1652" s="62">
        <f t="shared" si="411"/>
        <v>-11.024954346420508</v>
      </c>
      <c r="AM1652" s="62">
        <v>-12.1549</v>
      </c>
      <c r="AN1652" s="163">
        <v>-7.9859</v>
      </c>
      <c r="AO1652" s="410">
        <v>8.5</v>
      </c>
      <c r="AP1652" s="410"/>
      <c r="AQ1652" s="163" t="s">
        <v>6311</v>
      </c>
      <c r="AR1652" s="163" t="s">
        <v>6311</v>
      </c>
      <c r="AS1652" s="164" t="s">
        <v>5466</v>
      </c>
      <c r="AT1652" s="63" t="s">
        <v>266</v>
      </c>
      <c r="AU1652" s="61">
        <v>0</v>
      </c>
      <c r="AV1652" s="56">
        <v>96</v>
      </c>
      <c r="AW1652" s="56">
        <v>96</v>
      </c>
      <c r="AX1652" s="61">
        <v>21</v>
      </c>
      <c r="AY1652" s="174" t="s">
        <v>6256</v>
      </c>
      <c r="AZ1652" s="61" t="s">
        <v>1584</v>
      </c>
      <c r="BA1652" s="61">
        <v>6</v>
      </c>
      <c r="BB1652" s="61" t="s">
        <v>1584</v>
      </c>
      <c r="BC1652" s="61" t="s">
        <v>6230</v>
      </c>
      <c r="BD1652" s="61"/>
      <c r="BE1652" s="61" t="s">
        <v>271</v>
      </c>
      <c r="BF1652" s="61" t="s">
        <v>272</v>
      </c>
      <c r="BG1652" s="61" t="s">
        <v>272</v>
      </c>
      <c r="BH1652" s="61" t="s">
        <v>6257</v>
      </c>
      <c r="BI1652" s="111" t="s">
        <v>1584</v>
      </c>
      <c r="BJ1652" s="111" t="s">
        <v>1584</v>
      </c>
      <c r="BK1652" s="165"/>
      <c r="BL1652" s="153">
        <v>9.5495540000302657E-3</v>
      </c>
      <c r="BM1652" s="61" t="s">
        <v>1584</v>
      </c>
      <c r="BN1652" s="61"/>
      <c r="BO1652" s="61"/>
      <c r="BP1652" s="61"/>
      <c r="BQ1652" s="61">
        <v>2.9913399999999997</v>
      </c>
      <c r="BR1652" s="61"/>
      <c r="BS1652" s="61"/>
      <c r="BT1652" s="61"/>
      <c r="BU1652" s="158"/>
      <c r="BV1652" s="61"/>
      <c r="BW1652" s="61"/>
      <c r="BX1652" s="61"/>
      <c r="BY1652" s="61"/>
      <c r="BZ1652" s="61"/>
      <c r="CA1652" s="61"/>
      <c r="CB1652" s="61"/>
      <c r="CC1652" s="61"/>
      <c r="CD1652" s="61"/>
      <c r="CE1652" s="61"/>
      <c r="CF1652" s="61"/>
      <c r="CG1652" s="161"/>
      <c r="CH1652" s="61"/>
      <c r="CI1652" s="111">
        <v>2.9913399999999997</v>
      </c>
      <c r="CJ1652" s="103">
        <f t="shared" si="408"/>
        <v>0.47586577837130417</v>
      </c>
      <c r="CK1652" s="57"/>
      <c r="CL1652" s="160">
        <f>BL1652/CI1652</f>
        <v>3.1924000615210129E-3</v>
      </c>
      <c r="CM1652" s="160">
        <v>-0.39793202348275891</v>
      </c>
      <c r="CN1652" s="160"/>
      <c r="CO1652" s="67"/>
      <c r="CP1652" s="161" t="s">
        <v>6259</v>
      </c>
      <c r="CQ1652" s="149">
        <v>-0.14907664058159587</v>
      </c>
      <c r="CR1652" s="349">
        <f t="shared" ref="CR1652:CR1662" si="412">10^(CJ1652-CQ1652)</f>
        <v>4.2164059639404883</v>
      </c>
      <c r="CS1652" s="61" t="s">
        <v>539</v>
      </c>
      <c r="CT1652" s="61"/>
      <c r="CU1652" s="111">
        <f>X1652/CI1652</f>
        <v>9.9916522519568021E-2</v>
      </c>
      <c r="CV1652" s="331"/>
      <c r="CW1652" s="326">
        <f t="shared" si="409"/>
        <v>0</v>
      </c>
      <c r="CX1652" s="326"/>
      <c r="CY1652" s="161" t="s">
        <v>6351</v>
      </c>
    </row>
    <row r="1653" spans="1:103" ht="11.25" customHeight="1" x14ac:dyDescent="0.2">
      <c r="A1653" s="72">
        <v>1693</v>
      </c>
      <c r="B1653" s="241">
        <v>568</v>
      </c>
      <c r="C1653" s="32" t="s">
        <v>7637</v>
      </c>
      <c r="D1653" s="32"/>
      <c r="E1653" s="40"/>
      <c r="F1653" s="40" t="s">
        <v>1745</v>
      </c>
      <c r="G1653" s="242">
        <v>91236</v>
      </c>
      <c r="H1653" s="36" t="s">
        <v>1746</v>
      </c>
      <c r="I1653" s="36" t="s">
        <v>8211</v>
      </c>
      <c r="J1653" s="36" t="s">
        <v>1747</v>
      </c>
      <c r="K1653" s="36" t="s">
        <v>426</v>
      </c>
      <c r="L1653" s="36"/>
      <c r="M1653" s="36"/>
      <c r="N1653" s="36"/>
      <c r="O1653" s="36"/>
      <c r="P1653" s="41"/>
      <c r="Q1653" s="41" t="s">
        <v>6173</v>
      </c>
      <c r="R1653" s="41" t="s">
        <v>6185</v>
      </c>
      <c r="S1653" s="41" t="s">
        <v>6182</v>
      </c>
      <c r="T1653" s="37">
        <v>153.13999999999999</v>
      </c>
      <c r="U1653" s="243">
        <v>1690</v>
      </c>
      <c r="V1653" s="243">
        <v>997.3</v>
      </c>
      <c r="W1653" s="243">
        <v>1531.3999999999999</v>
      </c>
      <c r="X1653" s="243">
        <v>1690</v>
      </c>
      <c r="Y1653" s="414">
        <v>7</v>
      </c>
      <c r="Z1653" s="37">
        <v>1.89</v>
      </c>
      <c r="AA1653" s="37">
        <v>1.73</v>
      </c>
      <c r="AB1653" s="37">
        <v>2.06</v>
      </c>
      <c r="AC1653" s="37">
        <v>0.91830000000000001</v>
      </c>
      <c r="AD1653" s="37">
        <v>1.98</v>
      </c>
      <c r="AE1653" s="37">
        <v>1.73</v>
      </c>
      <c r="AF1653" s="37">
        <f>IF(AA1653=0,AD1653,AA1653)</f>
        <v>1.73</v>
      </c>
      <c r="AG1653" s="38">
        <v>1.4</v>
      </c>
      <c r="AH1653" s="243">
        <v>1.26E-6</v>
      </c>
      <c r="AI1653" s="243">
        <v>4.2899999999999999E-7</v>
      </c>
      <c r="AJ1653" s="34">
        <f t="shared" si="410"/>
        <v>-4.288195781195089</v>
      </c>
      <c r="AK1653" s="34">
        <f>LOG10(AI1653*1000/(0.08206*298.15))</f>
        <v>-4.7561090341279275</v>
      </c>
      <c r="AL1653" s="34">
        <f t="shared" si="411"/>
        <v>-4.7561090341279275</v>
      </c>
      <c r="AM1653" s="34">
        <v>-6.3857200000000001</v>
      </c>
      <c r="AN1653" s="244">
        <v>-4.09</v>
      </c>
      <c r="AO1653" s="417"/>
      <c r="AP1653" s="417"/>
      <c r="AQ1653" s="244" t="s">
        <v>6311</v>
      </c>
      <c r="AR1653" s="244" t="s">
        <v>6311</v>
      </c>
      <c r="AS1653" s="241" t="s">
        <v>6</v>
      </c>
      <c r="AT1653" s="39" t="s">
        <v>266</v>
      </c>
      <c r="AU1653" s="37">
        <v>2</v>
      </c>
      <c r="AV1653" s="37">
        <v>48</v>
      </c>
      <c r="AW1653" s="37">
        <v>48</v>
      </c>
      <c r="AX1653" s="37">
        <v>26</v>
      </c>
      <c r="AY1653" s="37" t="s">
        <v>8722</v>
      </c>
      <c r="AZ1653" s="37" t="s">
        <v>536</v>
      </c>
      <c r="BA1653" s="37">
        <v>20</v>
      </c>
      <c r="BB1653" s="36" t="s">
        <v>1644</v>
      </c>
      <c r="BC1653" s="36" t="s">
        <v>8722</v>
      </c>
      <c r="BD1653" s="36"/>
      <c r="BE1653" s="37" t="s">
        <v>271</v>
      </c>
      <c r="BF1653" s="37" t="s">
        <v>272</v>
      </c>
      <c r="BG1653" s="37" t="s">
        <v>272</v>
      </c>
      <c r="BH1653" s="37" t="s">
        <v>272</v>
      </c>
      <c r="BI1653" s="250">
        <v>3.8285</v>
      </c>
      <c r="BJ1653" s="250">
        <v>61.256</v>
      </c>
      <c r="BK1653" s="37"/>
      <c r="BL1653" s="263">
        <v>157.93545748914954</v>
      </c>
      <c r="BM1653" s="37" t="s">
        <v>1584</v>
      </c>
      <c r="BN1653" s="37"/>
      <c r="BO1653" s="37">
        <v>30.628</v>
      </c>
      <c r="BP1653" s="37"/>
      <c r="BQ1653" s="37"/>
      <c r="BR1653" s="37"/>
      <c r="BS1653" s="37"/>
      <c r="BT1653" s="37"/>
      <c r="BU1653" s="246"/>
      <c r="BV1653" s="37"/>
      <c r="BW1653" s="37"/>
      <c r="BX1653" s="37"/>
      <c r="BY1653" s="37"/>
      <c r="BZ1653" s="37"/>
      <c r="CA1653" s="37"/>
      <c r="CB1653" s="37"/>
      <c r="CC1653" s="37"/>
      <c r="CD1653" s="37"/>
      <c r="CE1653" s="37"/>
      <c r="CF1653" s="37"/>
      <c r="CG1653" s="37"/>
      <c r="CH1653" s="37"/>
      <c r="CI1653" s="243">
        <v>30.628</v>
      </c>
      <c r="CJ1653" s="243">
        <f t="shared" si="408"/>
        <v>1.4861186384219007</v>
      </c>
      <c r="CK1653" s="38">
        <f>BL1653/BJ1653</f>
        <v>2.5782855147112045</v>
      </c>
      <c r="CL1653" s="247">
        <f>BL1653/CI1653</f>
        <v>5.156571029422409</v>
      </c>
      <c r="CM1653" s="247"/>
      <c r="CN1653" s="247"/>
      <c r="CO1653" s="36"/>
      <c r="CP1653" s="496" t="s">
        <v>1673</v>
      </c>
      <c r="CQ1653" s="241">
        <v>2.2810919162343706</v>
      </c>
      <c r="CR1653" s="241">
        <f t="shared" si="412"/>
        <v>0.16033440415913136</v>
      </c>
      <c r="CS1653" s="33"/>
      <c r="CT1653" s="33"/>
      <c r="CU1653" s="250">
        <f>X1653/CI1653</f>
        <v>55.178268251273344</v>
      </c>
      <c r="CV1653" s="337">
        <f>X1653/BJ1653</f>
        <v>27.589134125636672</v>
      </c>
      <c r="CW1653" s="330">
        <f t="shared" si="409"/>
        <v>1</v>
      </c>
      <c r="CX1653" s="330"/>
      <c r="CY1653" s="143" t="s">
        <v>5921</v>
      </c>
    </row>
    <row r="1654" spans="1:103" ht="11.25" customHeight="1" x14ac:dyDescent="0.2">
      <c r="A1654" s="72">
        <v>1700</v>
      </c>
      <c r="B1654" s="241">
        <v>526</v>
      </c>
      <c r="C1654" s="32" t="s">
        <v>7643</v>
      </c>
      <c r="D1654" s="32"/>
      <c r="E1654" s="40"/>
      <c r="F1654" s="40" t="s">
        <v>1670</v>
      </c>
      <c r="G1654" s="242">
        <v>95761</v>
      </c>
      <c r="H1654" s="36" t="s">
        <v>1671</v>
      </c>
      <c r="I1654" s="36" t="s">
        <v>8213</v>
      </c>
      <c r="J1654" s="36" t="s">
        <v>1672</v>
      </c>
      <c r="K1654" s="36" t="s">
        <v>1573</v>
      </c>
      <c r="L1654" s="36"/>
      <c r="M1654" s="36" t="s">
        <v>1629</v>
      </c>
      <c r="N1654" s="36" t="s">
        <v>6385</v>
      </c>
      <c r="O1654" s="36" t="s">
        <v>498</v>
      </c>
      <c r="P1654" s="41" t="s">
        <v>6184</v>
      </c>
      <c r="Q1654" s="41" t="s">
        <v>6176</v>
      </c>
      <c r="R1654" s="41" t="s">
        <v>6185</v>
      </c>
      <c r="S1654" s="41" t="s">
        <v>6176</v>
      </c>
      <c r="T1654" s="37">
        <v>162.02000000000001</v>
      </c>
      <c r="U1654" s="243">
        <v>92</v>
      </c>
      <c r="V1654" s="243">
        <v>337.9</v>
      </c>
      <c r="W1654" s="243">
        <v>294.82793311198913</v>
      </c>
      <c r="X1654" s="243">
        <v>92</v>
      </c>
      <c r="Y1654" s="414">
        <v>7.2</v>
      </c>
      <c r="Z1654" s="37">
        <v>2.37</v>
      </c>
      <c r="AA1654" s="37">
        <v>2.69</v>
      </c>
      <c r="AB1654" s="37">
        <v>2.62</v>
      </c>
      <c r="AC1654" s="37">
        <v>0.89139999999999997</v>
      </c>
      <c r="AD1654" s="37">
        <v>2.6</v>
      </c>
      <c r="AE1654" s="37">
        <v>2.5099999999999998</v>
      </c>
      <c r="AF1654" s="37">
        <f>IF(AA1654=0,AD1654,AA1654)</f>
        <v>2.69</v>
      </c>
      <c r="AG1654" s="38">
        <v>2.4700000000000002</v>
      </c>
      <c r="AH1654" s="243">
        <v>1.0499999999999999E-6</v>
      </c>
      <c r="AI1654" s="243">
        <v>1.4600000000000001E-5</v>
      </c>
      <c r="AJ1654" s="34">
        <f t="shared" si="410"/>
        <v>-4.3673770272427141</v>
      </c>
      <c r="AK1654" s="34">
        <f>LOG10(AI1654*1000/(0.08206*298.15))</f>
        <v>-3.2242134705282148</v>
      </c>
      <c r="AL1654" s="34">
        <f t="shared" si="411"/>
        <v>-3.2242134705282148</v>
      </c>
      <c r="AM1654" s="34">
        <v>-7.2924100000000003</v>
      </c>
      <c r="AN1654" s="244">
        <v>-4.37</v>
      </c>
      <c r="AO1654" s="417"/>
      <c r="AP1654" s="417">
        <v>2.9</v>
      </c>
      <c r="AQ1654" s="244" t="s">
        <v>6311</v>
      </c>
      <c r="AR1654" s="244" t="s">
        <v>6311</v>
      </c>
      <c r="AS1654" s="241" t="s">
        <v>6</v>
      </c>
      <c r="AT1654" s="39" t="s">
        <v>266</v>
      </c>
      <c r="AU1654" s="37">
        <v>2</v>
      </c>
      <c r="AV1654" s="37">
        <v>48</v>
      </c>
      <c r="AW1654" s="37">
        <v>48</v>
      </c>
      <c r="AX1654" s="37">
        <v>26</v>
      </c>
      <c r="AY1654" s="37" t="s">
        <v>8722</v>
      </c>
      <c r="AZ1654" s="37" t="s">
        <v>536</v>
      </c>
      <c r="BA1654" s="37">
        <v>20</v>
      </c>
      <c r="BB1654" s="36" t="s">
        <v>1644</v>
      </c>
      <c r="BC1654" s="36" t="s">
        <v>8722</v>
      </c>
      <c r="BD1654" s="36"/>
      <c r="BE1654" s="37" t="s">
        <v>271</v>
      </c>
      <c r="BF1654" s="37" t="s">
        <v>272</v>
      </c>
      <c r="BG1654" s="37" t="s">
        <v>272</v>
      </c>
      <c r="BH1654" s="37" t="s">
        <v>272</v>
      </c>
      <c r="BI1654" s="250">
        <v>0.9721200000000001</v>
      </c>
      <c r="BJ1654" s="250">
        <v>4.0505000000000004</v>
      </c>
      <c r="BK1654" s="37"/>
      <c r="BL1654" s="263">
        <v>61.925800289105773</v>
      </c>
      <c r="BM1654" s="37" t="s">
        <v>1584</v>
      </c>
      <c r="BN1654" s="37"/>
      <c r="BO1654" s="37">
        <v>1.62</v>
      </c>
      <c r="BP1654" s="37"/>
      <c r="BQ1654" s="37"/>
      <c r="BR1654" s="37"/>
      <c r="BS1654" s="37"/>
      <c r="BT1654" s="37"/>
      <c r="BU1654" s="246"/>
      <c r="BV1654" s="37"/>
      <c r="BW1654" s="37"/>
      <c r="BX1654" s="37"/>
      <c r="BY1654" s="37"/>
      <c r="BZ1654" s="37"/>
      <c r="CA1654" s="37"/>
      <c r="CB1654" s="37"/>
      <c r="CC1654" s="37"/>
      <c r="CD1654" s="37"/>
      <c r="CE1654" s="37"/>
      <c r="CF1654" s="37"/>
      <c r="CG1654" s="37"/>
      <c r="CH1654" s="37"/>
      <c r="CI1654" s="243">
        <v>1.62</v>
      </c>
      <c r="CJ1654" s="243">
        <f t="shared" si="408"/>
        <v>0.20951501454263097</v>
      </c>
      <c r="CK1654" s="38">
        <f>BL1654/BJ1654</f>
        <v>15.288433598100424</v>
      </c>
      <c r="CL1654" s="247">
        <f>BL1654/CI1654</f>
        <v>38.225802647596154</v>
      </c>
      <c r="CM1654" s="247">
        <v>0.35012181688711158</v>
      </c>
      <c r="CN1654" s="247">
        <f>BJ1654/(10^CM1654)</f>
        <v>1.8087844661113524</v>
      </c>
      <c r="CO1654" s="36"/>
      <c r="CP1654" s="496" t="s">
        <v>1673</v>
      </c>
      <c r="CQ1654" s="241">
        <v>0.74774431752431614</v>
      </c>
      <c r="CR1654" s="241">
        <f t="shared" si="412"/>
        <v>0.28958142241195639</v>
      </c>
      <c r="CS1654" s="33"/>
      <c r="CT1654" s="33"/>
      <c r="CU1654" s="250">
        <f>X1654/CI1654</f>
        <v>56.79012345679012</v>
      </c>
      <c r="CV1654" s="337">
        <f>X1654/BJ1654</f>
        <v>22.713245278360695</v>
      </c>
      <c r="CW1654" s="330">
        <f t="shared" si="409"/>
        <v>1</v>
      </c>
      <c r="CX1654" s="330"/>
      <c r="CY1654" s="143" t="s">
        <v>6351</v>
      </c>
    </row>
    <row r="1655" spans="1:103" ht="11.25" customHeight="1" x14ac:dyDescent="0.2">
      <c r="A1655" s="72">
        <v>2007</v>
      </c>
      <c r="B1655" s="282">
        <v>602</v>
      </c>
      <c r="C1655" s="115" t="s">
        <v>751</v>
      </c>
      <c r="D1655" s="115"/>
      <c r="E1655" s="116">
        <v>1</v>
      </c>
      <c r="F1655" s="116" t="s">
        <v>752</v>
      </c>
      <c r="G1655" s="283">
        <v>57136</v>
      </c>
      <c r="H1655" s="284" t="s">
        <v>753</v>
      </c>
      <c r="I1655" s="284"/>
      <c r="J1655" s="284" t="s">
        <v>754</v>
      </c>
      <c r="K1655" s="284" t="s">
        <v>416</v>
      </c>
      <c r="L1655" s="284"/>
      <c r="M1655" s="284"/>
      <c r="N1655" s="284"/>
      <c r="O1655" s="284"/>
      <c r="P1655" s="286"/>
      <c r="Q1655" s="286"/>
      <c r="R1655" s="286"/>
      <c r="S1655" s="286"/>
      <c r="T1655" s="119">
        <v>60.06</v>
      </c>
      <c r="U1655" s="292"/>
      <c r="V1655" s="292"/>
      <c r="W1655" s="292">
        <v>996747.89660699933</v>
      </c>
      <c r="X1655" s="292">
        <v>996747.89660699933</v>
      </c>
      <c r="Y1655" s="370">
        <v>6.41</v>
      </c>
      <c r="Z1655" s="119"/>
      <c r="AA1655" s="119"/>
      <c r="AB1655" s="116">
        <v>-1.59</v>
      </c>
      <c r="AC1655" s="116">
        <v>0.81310000000000004</v>
      </c>
      <c r="AD1655" s="116">
        <v>-1.75</v>
      </c>
      <c r="AE1655" s="116">
        <v>-2.11</v>
      </c>
      <c r="AF1655" s="116">
        <f>IF(AA1655=0,AD1655,AA1655)</f>
        <v>-1.75</v>
      </c>
      <c r="AG1655" s="120">
        <v>-1.32</v>
      </c>
      <c r="AH1655" s="292">
        <v>3.6499999999999998E-10</v>
      </c>
      <c r="AI1655" s="292">
        <v>1.7400000000000001E-12</v>
      </c>
      <c r="AJ1655" s="125">
        <f t="shared" si="410"/>
        <v>-7.8262734618561769</v>
      </c>
      <c r="AK1655" s="125">
        <f>LOG10(AI1655*1000/(0.08206*298.15))</f>
        <v>-10.148017078030053</v>
      </c>
      <c r="AL1655" s="125">
        <f t="shared" si="411"/>
        <v>-10.148017078030053</v>
      </c>
      <c r="AM1655" s="125"/>
      <c r="AN1655" s="297">
        <v>-9</v>
      </c>
      <c r="AO1655" s="420">
        <v>14.43</v>
      </c>
      <c r="AP1655" s="420">
        <v>0.1</v>
      </c>
      <c r="AQ1655" s="297" t="s">
        <v>6311</v>
      </c>
      <c r="AR1655" s="297" t="s">
        <v>6311</v>
      </c>
      <c r="AS1655" s="282" t="s">
        <v>6</v>
      </c>
      <c r="AT1655" s="118" t="s">
        <v>266</v>
      </c>
      <c r="AU1655" s="119">
        <v>2</v>
      </c>
      <c r="AV1655" s="119">
        <v>48</v>
      </c>
      <c r="AW1655" s="119">
        <v>48</v>
      </c>
      <c r="AX1655" s="119">
        <v>26</v>
      </c>
      <c r="AY1655" s="119" t="s">
        <v>8722</v>
      </c>
      <c r="AZ1655" s="119" t="s">
        <v>536</v>
      </c>
      <c r="BA1655" s="119">
        <v>20</v>
      </c>
      <c r="BB1655" s="284" t="s">
        <v>1644</v>
      </c>
      <c r="BC1655" s="284" t="s">
        <v>8722</v>
      </c>
      <c r="BD1655" s="284"/>
      <c r="BE1655" s="119" t="s">
        <v>271</v>
      </c>
      <c r="BF1655" s="119" t="s">
        <v>272</v>
      </c>
      <c r="BG1655" s="119" t="s">
        <v>272</v>
      </c>
      <c r="BH1655" s="119" t="s">
        <v>272</v>
      </c>
      <c r="BI1655" s="292">
        <v>4984.9800000000005</v>
      </c>
      <c r="BJ1655" s="292">
        <v>24984.959999999999</v>
      </c>
      <c r="BK1655" s="119"/>
      <c r="BL1655" s="287"/>
      <c r="BM1655" s="119" t="s">
        <v>1584</v>
      </c>
      <c r="BN1655" s="119"/>
      <c r="BO1655" s="119">
        <v>22462.440000000002</v>
      </c>
      <c r="BP1655" s="119"/>
      <c r="BQ1655" s="119"/>
      <c r="BR1655" s="119"/>
      <c r="BS1655" s="119"/>
      <c r="BT1655" s="119"/>
      <c r="BU1655" s="293"/>
      <c r="BV1655" s="119"/>
      <c r="BW1655" s="119"/>
      <c r="BX1655" s="119"/>
      <c r="BY1655" s="119"/>
      <c r="BZ1655" s="119"/>
      <c r="CA1655" s="119"/>
      <c r="CB1655" s="119"/>
      <c r="CC1655" s="119"/>
      <c r="CD1655" s="119"/>
      <c r="CE1655" s="119"/>
      <c r="CF1655" s="119"/>
      <c r="CG1655" s="119"/>
      <c r="CH1655" s="119"/>
      <c r="CI1655" s="292">
        <v>22462.440000000002</v>
      </c>
      <c r="CJ1655" s="292">
        <f t="shared" si="408"/>
        <v>4.3514569300634429</v>
      </c>
      <c r="CK1655" s="120" t="s">
        <v>404</v>
      </c>
      <c r="CL1655" s="294"/>
      <c r="CM1655" s="294"/>
      <c r="CN1655" s="294">
        <f>BJ1655/(10^CM1655)</f>
        <v>24984.959999999999</v>
      </c>
      <c r="CO1655" s="284"/>
      <c r="CP1655" s="498" t="s">
        <v>1673</v>
      </c>
      <c r="CQ1655" s="282"/>
      <c r="CR1655" s="282">
        <f t="shared" si="412"/>
        <v>22462.440000000042</v>
      </c>
      <c r="CS1655" s="123"/>
      <c r="CT1655" s="123"/>
      <c r="CU1655" s="300">
        <f>X1655/CI1655</f>
        <v>44.373981482287732</v>
      </c>
      <c r="CV1655" s="338">
        <f>X1655/BJ1655</f>
        <v>39.893916044172151</v>
      </c>
      <c r="CW1655" s="339">
        <f t="shared" si="409"/>
        <v>1</v>
      </c>
      <c r="CX1655" s="339"/>
      <c r="CY1655" s="295" t="s">
        <v>6351</v>
      </c>
    </row>
    <row r="1656" spans="1:103" ht="11.25" customHeight="1" x14ac:dyDescent="0.2">
      <c r="A1656" s="72">
        <v>2013</v>
      </c>
      <c r="B1656" s="282">
        <v>592</v>
      </c>
      <c r="C1656" s="115" t="s">
        <v>1772</v>
      </c>
      <c r="D1656" s="115"/>
      <c r="E1656" s="116">
        <v>1</v>
      </c>
      <c r="F1656" s="116" t="s">
        <v>1773</v>
      </c>
      <c r="G1656" s="283">
        <v>7647145</v>
      </c>
      <c r="H1656" s="284" t="s">
        <v>1774</v>
      </c>
      <c r="I1656" s="284"/>
      <c r="J1656" s="284" t="s">
        <v>1775</v>
      </c>
      <c r="K1656" s="284" t="s">
        <v>416</v>
      </c>
      <c r="L1656" s="284"/>
      <c r="M1656" s="284"/>
      <c r="N1656" s="284"/>
      <c r="O1656" s="284"/>
      <c r="P1656" s="286"/>
      <c r="Q1656" s="286"/>
      <c r="R1656" s="286"/>
      <c r="S1656" s="286"/>
      <c r="T1656" s="119">
        <v>58.44</v>
      </c>
      <c r="U1656" s="292"/>
      <c r="V1656" s="292"/>
      <c r="W1656" s="292"/>
      <c r="X1656" s="292"/>
      <c r="Y1656" s="370"/>
      <c r="Z1656" s="116"/>
      <c r="AA1656" s="116"/>
      <c r="AB1656" s="116"/>
      <c r="AC1656" s="116"/>
      <c r="AD1656" s="116"/>
      <c r="AE1656" s="116"/>
      <c r="AF1656" s="116"/>
      <c r="AG1656" s="117" t="s">
        <v>404</v>
      </c>
      <c r="AH1656" s="292">
        <v>7.7299999999999999E-3</v>
      </c>
      <c r="AI1656" s="292"/>
      <c r="AJ1656" s="125">
        <f t="shared" si="410"/>
        <v>-0.50038683239432691</v>
      </c>
      <c r="AK1656" s="125"/>
      <c r="AL1656" s="125">
        <f t="shared" si="411"/>
        <v>-0.50038683239432691</v>
      </c>
      <c r="AM1656" s="125"/>
      <c r="AN1656" s="297"/>
      <c r="AO1656" s="420"/>
      <c r="AP1656" s="420"/>
      <c r="AQ1656" s="297" t="s">
        <v>6311</v>
      </c>
      <c r="AR1656" s="297" t="s">
        <v>6312</v>
      </c>
      <c r="AS1656" s="282" t="s">
        <v>6</v>
      </c>
      <c r="AT1656" s="118" t="s">
        <v>266</v>
      </c>
      <c r="AU1656" s="119">
        <v>2</v>
      </c>
      <c r="AV1656" s="119">
        <v>48</v>
      </c>
      <c r="AW1656" s="119">
        <v>48</v>
      </c>
      <c r="AX1656" s="119">
        <v>26</v>
      </c>
      <c r="AY1656" s="119" t="s">
        <v>8722</v>
      </c>
      <c r="AZ1656" s="119" t="s">
        <v>536</v>
      </c>
      <c r="BA1656" s="119">
        <v>20</v>
      </c>
      <c r="BB1656" s="284" t="s">
        <v>1644</v>
      </c>
      <c r="BC1656" s="284" t="s">
        <v>8722</v>
      </c>
      <c r="BD1656" s="284"/>
      <c r="BE1656" s="119" t="s">
        <v>271</v>
      </c>
      <c r="BF1656" s="119" t="s">
        <v>272</v>
      </c>
      <c r="BG1656" s="119" t="s">
        <v>272</v>
      </c>
      <c r="BH1656" s="119" t="s">
        <v>272</v>
      </c>
      <c r="BI1656" s="292">
        <v>5025.84</v>
      </c>
      <c r="BJ1656" s="292">
        <v>14610</v>
      </c>
      <c r="BK1656" s="119"/>
      <c r="BL1656" s="287"/>
      <c r="BM1656" s="119" t="s">
        <v>1584</v>
      </c>
      <c r="BN1656" s="119"/>
      <c r="BO1656" s="119">
        <v>12009.42</v>
      </c>
      <c r="BP1656" s="119"/>
      <c r="BQ1656" s="119"/>
      <c r="BR1656" s="119"/>
      <c r="BS1656" s="119"/>
      <c r="BT1656" s="119"/>
      <c r="BU1656" s="293"/>
      <c r="BV1656" s="119"/>
      <c r="BW1656" s="119"/>
      <c r="BX1656" s="119"/>
      <c r="BY1656" s="119"/>
      <c r="BZ1656" s="119"/>
      <c r="CA1656" s="119"/>
      <c r="CB1656" s="119"/>
      <c r="CC1656" s="119"/>
      <c r="CD1656" s="119"/>
      <c r="CE1656" s="119"/>
      <c r="CF1656" s="119"/>
      <c r="CG1656" s="119"/>
      <c r="CH1656" s="119"/>
      <c r="CI1656" s="292">
        <v>12009.42</v>
      </c>
      <c r="CJ1656" s="292">
        <f t="shared" si="408"/>
        <v>4.0795220334743476</v>
      </c>
      <c r="CK1656" s="120" t="s">
        <v>404</v>
      </c>
      <c r="CL1656" s="294"/>
      <c r="CM1656" s="294"/>
      <c r="CN1656" s="294">
        <f>BJ1656/(10^CM1656)</f>
        <v>14610</v>
      </c>
      <c r="CO1656" s="284"/>
      <c r="CP1656" s="498" t="s">
        <v>1673</v>
      </c>
      <c r="CQ1656" s="282">
        <v>3.772051968667959</v>
      </c>
      <c r="CR1656" s="282">
        <f t="shared" si="412"/>
        <v>2.0298785988944079</v>
      </c>
      <c r="CS1656" s="123"/>
      <c r="CT1656" s="123"/>
      <c r="CU1656" s="300" t="s">
        <v>6310</v>
      </c>
      <c r="CV1656" s="338" t="s">
        <v>6310</v>
      </c>
      <c r="CW1656" s="339">
        <f t="shared" si="409"/>
        <v>1</v>
      </c>
      <c r="CX1656" s="339"/>
      <c r="CY1656" s="295" t="s">
        <v>6351</v>
      </c>
    </row>
    <row r="1657" spans="1:103" ht="11.25" customHeight="1" x14ac:dyDescent="0.2">
      <c r="A1657" s="72">
        <v>65</v>
      </c>
      <c r="B1657" s="149">
        <v>722</v>
      </c>
      <c r="C1657" s="54" t="s">
        <v>1635</v>
      </c>
      <c r="D1657" s="54" t="s">
        <v>6463</v>
      </c>
      <c r="E1657" s="59"/>
      <c r="F1657" s="59" t="s">
        <v>1636</v>
      </c>
      <c r="G1657" s="151">
        <v>106489</v>
      </c>
      <c r="H1657" s="55" t="s">
        <v>1637</v>
      </c>
      <c r="I1657" s="55" t="s">
        <v>8214</v>
      </c>
      <c r="J1657" s="55" t="s">
        <v>1638</v>
      </c>
      <c r="K1657" s="55" t="s">
        <v>349</v>
      </c>
      <c r="L1657" s="55" t="s">
        <v>6066</v>
      </c>
      <c r="M1657" s="55" t="s">
        <v>497</v>
      </c>
      <c r="N1657" s="60" t="s">
        <v>6381</v>
      </c>
      <c r="O1657" s="55" t="s">
        <v>6086</v>
      </c>
      <c r="P1657" s="67" t="s">
        <v>6184</v>
      </c>
      <c r="Q1657" s="67" t="s">
        <v>6182</v>
      </c>
      <c r="R1657" s="67" t="s">
        <v>6185</v>
      </c>
      <c r="S1657" s="67" t="s">
        <v>6176</v>
      </c>
      <c r="T1657" s="56">
        <v>128.56</v>
      </c>
      <c r="U1657" s="103">
        <v>24000</v>
      </c>
      <c r="V1657" s="103">
        <v>3222</v>
      </c>
      <c r="W1657" s="103">
        <v>2084.999061164639</v>
      </c>
      <c r="X1657" s="103">
        <v>24000</v>
      </c>
      <c r="Y1657" s="162">
        <v>5.63</v>
      </c>
      <c r="Z1657" s="56">
        <v>2.16</v>
      </c>
      <c r="AA1657" s="56">
        <v>2.39</v>
      </c>
      <c r="AB1657" s="56">
        <v>2.5099999999999998</v>
      </c>
      <c r="AC1657" s="56">
        <v>0.89249999999999996</v>
      </c>
      <c r="AD1657" s="56">
        <v>2.4900000000000002</v>
      </c>
      <c r="AE1657" s="56">
        <v>2.4300000000000002</v>
      </c>
      <c r="AF1657" s="56">
        <f>IF(AA1657=0,AD1657,AA1657)</f>
        <v>2.39</v>
      </c>
      <c r="AG1657" s="57">
        <v>2.15</v>
      </c>
      <c r="AH1657" s="103">
        <v>4.15E-7</v>
      </c>
      <c r="AI1657" s="103">
        <v>6.2699999999999999E-7</v>
      </c>
      <c r="AJ1657" s="62">
        <f t="shared" si="410"/>
        <v>-4.770518229600559</v>
      </c>
      <c r="AK1657" s="62">
        <f>LOG10(AI1657*1000/(0.08206*298.15))</f>
        <v>-4.5912987854819356</v>
      </c>
      <c r="AL1657" s="62">
        <f t="shared" si="411"/>
        <v>-4.5912987854819356</v>
      </c>
      <c r="AM1657" s="62">
        <v>-7.63727</v>
      </c>
      <c r="AN1657" s="154">
        <v>-4.8600000000000003</v>
      </c>
      <c r="AO1657" s="410">
        <v>9.4700000000000006</v>
      </c>
      <c r="AP1657" s="410"/>
      <c r="AQ1657" s="154" t="s">
        <v>6311</v>
      </c>
      <c r="AR1657" s="154" t="s">
        <v>6311</v>
      </c>
      <c r="AS1657" s="149" t="s">
        <v>6</v>
      </c>
      <c r="AT1657" s="58" t="s">
        <v>266</v>
      </c>
      <c r="AU1657" s="56">
        <v>2</v>
      </c>
      <c r="AV1657" s="56">
        <v>120</v>
      </c>
      <c r="AW1657" s="56">
        <v>120</v>
      </c>
      <c r="AX1657" s="56">
        <v>26</v>
      </c>
      <c r="AY1657" s="56" t="s">
        <v>8722</v>
      </c>
      <c r="AZ1657" s="56" t="s">
        <v>536</v>
      </c>
      <c r="BA1657" s="56">
        <v>10</v>
      </c>
      <c r="BB1657" s="55" t="s">
        <v>1644</v>
      </c>
      <c r="BC1657" s="55" t="s">
        <v>1887</v>
      </c>
      <c r="BD1657" s="55"/>
      <c r="BE1657" s="56" t="s">
        <v>2045</v>
      </c>
      <c r="BF1657" s="56" t="s">
        <v>272</v>
      </c>
      <c r="BG1657" s="56">
        <v>7.8</v>
      </c>
      <c r="BH1657" s="56" t="s">
        <v>272</v>
      </c>
      <c r="BI1657" s="153">
        <v>4</v>
      </c>
      <c r="BJ1657" s="153">
        <v>60</v>
      </c>
      <c r="BK1657" s="56"/>
      <c r="BL1657" s="153">
        <v>75.859480414180325</v>
      </c>
      <c r="BM1657" s="56" t="s">
        <v>2046</v>
      </c>
      <c r="BN1657" s="56"/>
      <c r="BO1657" s="56"/>
      <c r="BP1657" s="56"/>
      <c r="BQ1657" s="56"/>
      <c r="BR1657" s="56">
        <v>45</v>
      </c>
      <c r="BS1657" s="56"/>
      <c r="BT1657" s="56"/>
      <c r="BU1657" s="158"/>
      <c r="BV1657" s="56"/>
      <c r="BW1657" s="56"/>
      <c r="BX1657" s="56"/>
      <c r="BY1657" s="56"/>
      <c r="BZ1657" s="56"/>
      <c r="CA1657" s="56"/>
      <c r="CB1657" s="56"/>
      <c r="CC1657" s="56"/>
      <c r="CD1657" s="56"/>
      <c r="CE1657" s="56"/>
      <c r="CF1657" s="56"/>
      <c r="CG1657" s="56"/>
      <c r="CH1657" s="56"/>
      <c r="CI1657" s="103">
        <v>45</v>
      </c>
      <c r="CJ1657" s="103">
        <f t="shared" si="408"/>
        <v>1.6532125137753437</v>
      </c>
      <c r="CK1657" s="57">
        <f>BL1657/BJ1657</f>
        <v>1.264324673569672</v>
      </c>
      <c r="CL1657" s="160">
        <f>BL1657/CI1657</f>
        <v>1.6857662314262294</v>
      </c>
      <c r="CM1657" s="160">
        <v>0.27971818245026747</v>
      </c>
      <c r="CN1657" s="160">
        <f>BJ1657/(10^CM1657)</f>
        <v>31.508887379598448</v>
      </c>
      <c r="CO1657" s="55"/>
      <c r="CP1657" s="497" t="s">
        <v>2047</v>
      </c>
      <c r="CQ1657" s="149">
        <v>0.54533072722344478</v>
      </c>
      <c r="CR1657" s="349">
        <f t="shared" si="412"/>
        <v>12.819815842298217</v>
      </c>
      <c r="CS1657" s="61" t="s">
        <v>539</v>
      </c>
      <c r="CT1657" s="61"/>
      <c r="CU1657" s="111">
        <f>X1657/CI1657</f>
        <v>533.33333333333337</v>
      </c>
      <c r="CV1657" s="331">
        <f>X1657/BJ1657</f>
        <v>400</v>
      </c>
      <c r="CW1657" s="326">
        <f t="shared" si="409"/>
        <v>1</v>
      </c>
      <c r="CX1657" s="326"/>
      <c r="CY1657" s="161" t="s">
        <v>6351</v>
      </c>
    </row>
    <row r="1658" spans="1:103" ht="11.25" customHeight="1" x14ac:dyDescent="0.2">
      <c r="A1658" s="72">
        <v>1744</v>
      </c>
      <c r="B1658" s="241">
        <v>807</v>
      </c>
      <c r="C1658" s="32" t="s">
        <v>7665</v>
      </c>
      <c r="D1658" s="32" t="s">
        <v>8706</v>
      </c>
      <c r="E1658" s="40"/>
      <c r="F1658" s="40" t="s">
        <v>2292</v>
      </c>
      <c r="G1658" s="242">
        <v>110827</v>
      </c>
      <c r="H1658" s="36" t="s">
        <v>2293</v>
      </c>
      <c r="I1658" s="36" t="s">
        <v>2293</v>
      </c>
      <c r="J1658" s="36" t="s">
        <v>2294</v>
      </c>
      <c r="K1658" s="36" t="s">
        <v>426</v>
      </c>
      <c r="L1658" s="36"/>
      <c r="M1658" s="36" t="s">
        <v>6082</v>
      </c>
      <c r="N1658" s="36" t="s">
        <v>6082</v>
      </c>
      <c r="O1658" s="36" t="s">
        <v>498</v>
      </c>
      <c r="P1658" s="41" t="s">
        <v>6183</v>
      </c>
      <c r="Q1658" s="41" t="s">
        <v>6182</v>
      </c>
      <c r="R1658" s="41" t="s">
        <v>6185</v>
      </c>
      <c r="S1658" s="41" t="s">
        <v>6176</v>
      </c>
      <c r="T1658" s="37">
        <v>84.16</v>
      </c>
      <c r="U1658" s="243">
        <v>1928.6442196901805</v>
      </c>
      <c r="V1658" s="243">
        <v>2154.9097426705925</v>
      </c>
      <c r="W1658" s="243">
        <v>53.101370111452994</v>
      </c>
      <c r="X1658" s="243">
        <v>1928.6442196901805</v>
      </c>
      <c r="Y1658" s="414">
        <v>7</v>
      </c>
      <c r="Z1658" s="37">
        <v>1.99</v>
      </c>
      <c r="AA1658" s="37">
        <v>2.13</v>
      </c>
      <c r="AB1658" s="37">
        <v>1.98</v>
      </c>
      <c r="AC1658" s="37">
        <v>0.89549999999999996</v>
      </c>
      <c r="AD1658" s="37">
        <v>2.04</v>
      </c>
      <c r="AE1658" s="37">
        <v>2.2200000000000002</v>
      </c>
      <c r="AF1658" s="37">
        <f>IF(AA1658=0,AD1658,AA1658)</f>
        <v>2.13</v>
      </c>
      <c r="AG1658" s="38">
        <v>2.36</v>
      </c>
      <c r="AH1658" s="243">
        <v>0.255</v>
      </c>
      <c r="AI1658" s="243">
        <v>0.15</v>
      </c>
      <c r="AJ1658" s="34">
        <f t="shared" si="410"/>
        <v>1.0179738541213035</v>
      </c>
      <c r="AK1658" s="34">
        <f>LOG10(AI1658*1000/(0.08206*298.15))</f>
        <v>0.78752493274302948</v>
      </c>
      <c r="AL1658" s="34">
        <f t="shared" si="411"/>
        <v>0.78752493274302948</v>
      </c>
      <c r="AM1658" s="34">
        <v>-2.2901499999999997</v>
      </c>
      <c r="AN1658" s="244">
        <v>0.83799999999999997</v>
      </c>
      <c r="AO1658" s="417"/>
      <c r="AP1658" s="417"/>
      <c r="AQ1658" s="244" t="s">
        <v>6311</v>
      </c>
      <c r="AR1658" s="244" t="s">
        <v>6311</v>
      </c>
      <c r="AS1658" s="241" t="s">
        <v>6</v>
      </c>
      <c r="AT1658" s="39" t="s">
        <v>266</v>
      </c>
      <c r="AU1658" s="245"/>
      <c r="AV1658" s="245">
        <v>0</v>
      </c>
      <c r="AW1658" s="37">
        <v>48</v>
      </c>
      <c r="AX1658" s="37">
        <v>27</v>
      </c>
      <c r="AY1658" s="37" t="s">
        <v>8722</v>
      </c>
      <c r="AZ1658" s="37" t="s">
        <v>536</v>
      </c>
      <c r="BA1658" s="37">
        <v>20</v>
      </c>
      <c r="BB1658" s="36" t="s">
        <v>1764</v>
      </c>
      <c r="BC1658" s="36" t="s">
        <v>538</v>
      </c>
      <c r="BD1658" s="36"/>
      <c r="BE1658" s="37" t="s">
        <v>271</v>
      </c>
      <c r="BF1658" s="37" t="s">
        <v>8722</v>
      </c>
      <c r="BG1658" s="37" t="s">
        <v>8722</v>
      </c>
      <c r="BH1658" s="37" t="s">
        <v>272</v>
      </c>
      <c r="BI1658" s="250">
        <v>65</v>
      </c>
      <c r="BJ1658" s="250">
        <v>389.99999999999994</v>
      </c>
      <c r="BK1658" s="37"/>
      <c r="BL1658" s="263">
        <v>70.580824415970298</v>
      </c>
      <c r="BM1658" s="37">
        <v>0</v>
      </c>
      <c r="BN1658" s="37"/>
      <c r="BO1658" s="37">
        <v>2470</v>
      </c>
      <c r="BP1658" s="37"/>
      <c r="BQ1658" s="37"/>
      <c r="BR1658" s="37"/>
      <c r="BS1658" s="37"/>
      <c r="BT1658" s="37"/>
      <c r="BU1658" s="246"/>
      <c r="BV1658" s="37"/>
      <c r="BW1658" s="37"/>
      <c r="BX1658" s="37"/>
      <c r="BY1658" s="37"/>
      <c r="BZ1658" s="37"/>
      <c r="CA1658" s="37"/>
      <c r="CB1658" s="37"/>
      <c r="CC1658" s="37"/>
      <c r="CD1658" s="37"/>
      <c r="CE1658" s="37"/>
      <c r="CF1658" s="37"/>
      <c r="CG1658" s="37"/>
      <c r="CH1658" s="37"/>
      <c r="CI1658" s="243">
        <v>2470</v>
      </c>
      <c r="CJ1658" s="243">
        <f t="shared" si="408"/>
        <v>3.3926969532596658</v>
      </c>
      <c r="CK1658" s="38">
        <f>BL1658/BJ1658</f>
        <v>0.18097647286146232</v>
      </c>
      <c r="CL1658" s="247">
        <f>BL1658/CI1658</f>
        <v>2.8575232557072994E-2</v>
      </c>
      <c r="CM1658" s="247"/>
      <c r="CN1658" s="247"/>
      <c r="CO1658" s="36"/>
      <c r="CP1658" s="496" t="s">
        <v>2295</v>
      </c>
      <c r="CQ1658" s="241">
        <v>1.1984908463300834</v>
      </c>
      <c r="CR1658" s="241">
        <f t="shared" si="412"/>
        <v>156.38896553430916</v>
      </c>
      <c r="CS1658" s="33"/>
      <c r="CT1658" s="33"/>
      <c r="CU1658" s="250">
        <f>X1658/CI1658</f>
        <v>0.78082761930776545</v>
      </c>
      <c r="CV1658" s="337">
        <f>X1658/BJ1658</f>
        <v>4.9452415889491812</v>
      </c>
      <c r="CW1658" s="330">
        <f t="shared" si="409"/>
        <v>0</v>
      </c>
      <c r="CX1658" s="330"/>
      <c r="CY1658" s="143" t="s">
        <v>6351</v>
      </c>
    </row>
    <row r="1659" spans="1:103" ht="11.25" customHeight="1" x14ac:dyDescent="0.2">
      <c r="A1659" s="72">
        <v>1891</v>
      </c>
      <c r="B1659" s="241">
        <v>830</v>
      </c>
      <c r="C1659" s="32" t="s">
        <v>2372</v>
      </c>
      <c r="D1659" s="32" t="s">
        <v>8656</v>
      </c>
      <c r="E1659" s="40"/>
      <c r="F1659" s="40" t="s">
        <v>2373</v>
      </c>
      <c r="G1659" s="242">
        <v>25154523</v>
      </c>
      <c r="H1659" s="36" t="s">
        <v>2374</v>
      </c>
      <c r="I1659" s="36" t="s">
        <v>2374</v>
      </c>
      <c r="J1659" s="36"/>
      <c r="K1659" s="36" t="s">
        <v>349</v>
      </c>
      <c r="L1659" s="36" t="s">
        <v>5527</v>
      </c>
      <c r="M1659" s="36" t="s">
        <v>602</v>
      </c>
      <c r="N1659" s="36" t="s">
        <v>6386</v>
      </c>
      <c r="O1659" s="36" t="s">
        <v>2081</v>
      </c>
      <c r="P1659" s="41"/>
      <c r="Q1659" s="41"/>
      <c r="R1659" s="41"/>
      <c r="S1659" s="41"/>
      <c r="T1659" s="37">
        <v>220.35050000000001</v>
      </c>
      <c r="U1659" s="243">
        <v>6.35</v>
      </c>
      <c r="V1659" s="243">
        <v>1.57</v>
      </c>
      <c r="W1659" s="243">
        <v>19.191726252861727</v>
      </c>
      <c r="X1659" s="243">
        <v>6.35</v>
      </c>
      <c r="Y1659" s="414">
        <v>6.89</v>
      </c>
      <c r="Z1659" s="37">
        <v>5.99</v>
      </c>
      <c r="AA1659" s="37">
        <v>5.76</v>
      </c>
      <c r="AB1659" s="37">
        <v>6.1</v>
      </c>
      <c r="AC1659" s="37">
        <v>0.8236</v>
      </c>
      <c r="AD1659" s="37">
        <v>6.13</v>
      </c>
      <c r="AE1659" s="37">
        <v>6.19</v>
      </c>
      <c r="AF1659" s="37">
        <f>IF(AA1659=0,AD1659,AA1659)</f>
        <v>5.76</v>
      </c>
      <c r="AG1659" s="38">
        <v>6.13</v>
      </c>
      <c r="AH1659" s="243">
        <v>5.9699999999999996E-6</v>
      </c>
      <c r="AI1659" s="243">
        <v>3.4E-5</v>
      </c>
      <c r="AJ1659" s="34">
        <f t="shared" si="410"/>
        <v>-3.6125919951832826</v>
      </c>
      <c r="AK1659" s="34">
        <f>LOG10(AI1659*1000/(0.08206*298.15))</f>
        <v>-2.8570874092703966</v>
      </c>
      <c r="AL1659" s="34">
        <f t="shared" si="411"/>
        <v>-2.8570874092703966</v>
      </c>
      <c r="AM1659" s="34">
        <v>-7.4645599999999996</v>
      </c>
      <c r="AN1659" s="244"/>
      <c r="AO1659" s="417">
        <v>10.15</v>
      </c>
      <c r="AP1659" s="417"/>
      <c r="AQ1659" s="37" t="s">
        <v>6311</v>
      </c>
      <c r="AR1659" s="37" t="s">
        <v>6311</v>
      </c>
      <c r="AS1659" s="241" t="s">
        <v>6</v>
      </c>
      <c r="AT1659" s="39" t="s">
        <v>266</v>
      </c>
      <c r="AU1659" s="245"/>
      <c r="AV1659" s="245">
        <v>0</v>
      </c>
      <c r="AW1659" s="37">
        <v>48</v>
      </c>
      <c r="AX1659" s="37">
        <v>27</v>
      </c>
      <c r="AY1659" s="37" t="s">
        <v>8722</v>
      </c>
      <c r="AZ1659" s="37" t="s">
        <v>536</v>
      </c>
      <c r="BA1659" s="37">
        <v>20</v>
      </c>
      <c r="BB1659" s="36" t="s">
        <v>1764</v>
      </c>
      <c r="BC1659" s="36" t="s">
        <v>538</v>
      </c>
      <c r="BD1659" s="36"/>
      <c r="BE1659" s="37" t="s">
        <v>271</v>
      </c>
      <c r="BF1659" s="37" t="s">
        <v>8722</v>
      </c>
      <c r="BG1659" s="37" t="s">
        <v>8722</v>
      </c>
      <c r="BH1659" s="37" t="s">
        <v>272</v>
      </c>
      <c r="BI1659" s="250">
        <v>7.8E-2</v>
      </c>
      <c r="BJ1659" s="250">
        <v>7.5</v>
      </c>
      <c r="BK1659" s="37"/>
      <c r="BL1659" s="263">
        <v>4.7238384880786001E-2</v>
      </c>
      <c r="BM1659" s="37">
        <v>0</v>
      </c>
      <c r="BN1659" s="37"/>
      <c r="BO1659" s="37"/>
      <c r="BP1659" s="37">
        <v>2</v>
      </c>
      <c r="BQ1659" s="37"/>
      <c r="BR1659" s="37"/>
      <c r="BS1659" s="37"/>
      <c r="BT1659" s="37"/>
      <c r="BU1659" s="246"/>
      <c r="BV1659" s="37"/>
      <c r="BW1659" s="37"/>
      <c r="BX1659" s="37"/>
      <c r="BY1659" s="37"/>
      <c r="BZ1659" s="37"/>
      <c r="CA1659" s="37"/>
      <c r="CB1659" s="37"/>
      <c r="CC1659" s="37"/>
      <c r="CD1659" s="37"/>
      <c r="CE1659" s="37"/>
      <c r="CF1659" s="37"/>
      <c r="CG1659" s="37"/>
      <c r="CH1659" s="37"/>
      <c r="CI1659" s="243">
        <v>2</v>
      </c>
      <c r="CJ1659" s="243">
        <f t="shared" si="408"/>
        <v>0.3010299956639812</v>
      </c>
      <c r="CK1659" s="38">
        <f>BL1659/BJ1659</f>
        <v>6.2984513174381331E-3</v>
      </c>
      <c r="CL1659" s="247">
        <f>BL1659/CI1659</f>
        <v>2.3619192440393001E-2</v>
      </c>
      <c r="CM1659" s="247"/>
      <c r="CN1659" s="247"/>
      <c r="CO1659" s="36"/>
      <c r="CP1659" s="496" t="s">
        <v>2295</v>
      </c>
      <c r="CQ1659" s="241">
        <v>-0.68083071392274863</v>
      </c>
      <c r="CR1659" s="241">
        <f t="shared" si="412"/>
        <v>9.5909297418198314</v>
      </c>
      <c r="CS1659" s="33"/>
      <c r="CT1659" s="33"/>
      <c r="CU1659" s="250">
        <f>X1659/CI1659</f>
        <v>3.1749999999999998</v>
      </c>
      <c r="CV1659" s="337">
        <f>X1659/BJ1659</f>
        <v>0.84666666666666657</v>
      </c>
      <c r="CW1659" s="330">
        <f t="shared" si="409"/>
        <v>1</v>
      </c>
      <c r="CX1659" s="330"/>
      <c r="CY1659" s="143" t="s">
        <v>5921</v>
      </c>
    </row>
    <row r="1660" spans="1:103" ht="11.25" customHeight="1" x14ac:dyDescent="0.2">
      <c r="A1660" s="72">
        <v>2011</v>
      </c>
      <c r="B1660" s="282">
        <v>821</v>
      </c>
      <c r="C1660" s="115" t="s">
        <v>2330</v>
      </c>
      <c r="D1660" s="115"/>
      <c r="E1660" s="116">
        <v>1</v>
      </c>
      <c r="F1660" s="116" t="s">
        <v>2331</v>
      </c>
      <c r="G1660" s="283">
        <v>7487947</v>
      </c>
      <c r="H1660" s="284" t="s">
        <v>2332</v>
      </c>
      <c r="I1660" s="284"/>
      <c r="J1660" s="284"/>
      <c r="K1660" s="284" t="s">
        <v>416</v>
      </c>
      <c r="L1660" s="284"/>
      <c r="M1660" s="284"/>
      <c r="N1660" s="284"/>
      <c r="O1660" s="284"/>
      <c r="P1660" s="286"/>
      <c r="Q1660" s="286"/>
      <c r="R1660" s="286"/>
      <c r="S1660" s="286"/>
      <c r="T1660" s="119">
        <v>271.5</v>
      </c>
      <c r="U1660" s="292"/>
      <c r="V1660" s="292"/>
      <c r="W1660" s="292"/>
      <c r="X1660" s="292"/>
      <c r="Y1660" s="370"/>
      <c r="Z1660" s="116"/>
      <c r="AA1660" s="116"/>
      <c r="AB1660" s="116"/>
      <c r="AC1660" s="116"/>
      <c r="AD1660" s="116"/>
      <c r="AE1660" s="116"/>
      <c r="AF1660" s="116"/>
      <c r="AG1660" s="117" t="s">
        <v>404</v>
      </c>
      <c r="AH1660" s="292">
        <v>2.4500000000000001E-2</v>
      </c>
      <c r="AI1660" s="292"/>
      <c r="AJ1660" s="125">
        <f t="shared" si="410"/>
        <v>5.9975805188064034E-4</v>
      </c>
      <c r="AK1660" s="125"/>
      <c r="AL1660" s="125"/>
      <c r="AM1660" s="125"/>
      <c r="AN1660" s="297"/>
      <c r="AO1660" s="420"/>
      <c r="AP1660" s="420"/>
      <c r="AQ1660" s="119" t="s">
        <v>6311</v>
      </c>
      <c r="AR1660" s="119" t="s">
        <v>6311</v>
      </c>
      <c r="AS1660" s="282" t="s">
        <v>6</v>
      </c>
      <c r="AT1660" s="118" t="s">
        <v>266</v>
      </c>
      <c r="AU1660" s="289"/>
      <c r="AV1660" s="289">
        <v>0</v>
      </c>
      <c r="AW1660" s="119">
        <v>48</v>
      </c>
      <c r="AX1660" s="119">
        <v>27</v>
      </c>
      <c r="AY1660" s="119" t="s">
        <v>8722</v>
      </c>
      <c r="AZ1660" s="119" t="s">
        <v>536</v>
      </c>
      <c r="BA1660" s="119">
        <v>20</v>
      </c>
      <c r="BB1660" s="284" t="s">
        <v>1764</v>
      </c>
      <c r="BC1660" s="284" t="s">
        <v>538</v>
      </c>
      <c r="BD1660" s="284"/>
      <c r="BE1660" s="119" t="s">
        <v>271</v>
      </c>
      <c r="BF1660" s="119" t="s">
        <v>8722</v>
      </c>
      <c r="BG1660" s="119" t="s">
        <v>8722</v>
      </c>
      <c r="BH1660" s="119" t="s">
        <v>272</v>
      </c>
      <c r="BI1660" s="291">
        <v>6.3E-2</v>
      </c>
      <c r="BJ1660" s="291">
        <v>3</v>
      </c>
      <c r="BK1660" s="119"/>
      <c r="BL1660" s="287"/>
      <c r="BM1660" s="119">
        <v>0</v>
      </c>
      <c r="BN1660" s="119"/>
      <c r="BO1660" s="119"/>
      <c r="BP1660" s="119">
        <v>2.0000000000000004E-2</v>
      </c>
      <c r="BQ1660" s="119"/>
      <c r="BR1660" s="119"/>
      <c r="BS1660" s="119"/>
      <c r="BT1660" s="119"/>
      <c r="BU1660" s="293"/>
      <c r="BV1660" s="119"/>
      <c r="BW1660" s="119"/>
      <c r="BX1660" s="119"/>
      <c r="BY1660" s="119"/>
      <c r="BZ1660" s="119"/>
      <c r="CA1660" s="119"/>
      <c r="CB1660" s="119"/>
      <c r="CC1660" s="119"/>
      <c r="CD1660" s="119"/>
      <c r="CE1660" s="119"/>
      <c r="CF1660" s="119"/>
      <c r="CG1660" s="119"/>
      <c r="CH1660" s="119"/>
      <c r="CI1660" s="292">
        <v>2.0000000000000004E-2</v>
      </c>
      <c r="CJ1660" s="292">
        <f t="shared" si="408"/>
        <v>-1.6989700043360187</v>
      </c>
      <c r="CK1660" s="120" t="s">
        <v>404</v>
      </c>
      <c r="CL1660" s="294"/>
      <c r="CM1660" s="294"/>
      <c r="CN1660" s="294">
        <f>BJ1660/(10^CM1660)</f>
        <v>3</v>
      </c>
      <c r="CO1660" s="284"/>
      <c r="CP1660" s="498" t="s">
        <v>2295</v>
      </c>
      <c r="CQ1660" s="282">
        <v>-1.131493158854177</v>
      </c>
      <c r="CR1660" s="282">
        <f t="shared" si="412"/>
        <v>0.27072175360490336</v>
      </c>
      <c r="CS1660" s="123"/>
      <c r="CT1660" s="123"/>
      <c r="CU1660" s="300" t="s">
        <v>6310</v>
      </c>
      <c r="CV1660" s="338" t="s">
        <v>6310</v>
      </c>
      <c r="CW1660" s="339">
        <f t="shared" si="409"/>
        <v>1</v>
      </c>
      <c r="CX1660" s="339"/>
      <c r="CY1660" s="295" t="s">
        <v>5921</v>
      </c>
    </row>
    <row r="1661" spans="1:103" ht="11.25" customHeight="1" x14ac:dyDescent="0.2">
      <c r="A1661" s="72">
        <v>2012</v>
      </c>
      <c r="B1661" s="282">
        <v>822</v>
      </c>
      <c r="C1661" s="115" t="s">
        <v>2333</v>
      </c>
      <c r="D1661" s="115"/>
      <c r="E1661" s="116">
        <v>1</v>
      </c>
      <c r="F1661" s="116" t="s">
        <v>2334</v>
      </c>
      <c r="G1661" s="283">
        <v>7632000</v>
      </c>
      <c r="H1661" s="284" t="s">
        <v>2335</v>
      </c>
      <c r="I1661" s="284"/>
      <c r="J1661" s="284"/>
      <c r="K1661" s="284" t="s">
        <v>416</v>
      </c>
      <c r="L1661" s="284"/>
      <c r="M1661" s="284"/>
      <c r="N1661" s="284"/>
      <c r="O1661" s="284"/>
      <c r="P1661" s="286"/>
      <c r="Q1661" s="286"/>
      <c r="R1661" s="286"/>
      <c r="S1661" s="286"/>
      <c r="T1661" s="119">
        <v>69</v>
      </c>
      <c r="U1661" s="292"/>
      <c r="V1661" s="292"/>
      <c r="W1661" s="292"/>
      <c r="X1661" s="292"/>
      <c r="Y1661" s="370"/>
      <c r="Z1661" s="116"/>
      <c r="AA1661" s="116"/>
      <c r="AB1661" s="116"/>
      <c r="AC1661" s="116"/>
      <c r="AD1661" s="116"/>
      <c r="AE1661" s="116"/>
      <c r="AF1661" s="116"/>
      <c r="AG1661" s="117" t="s">
        <v>404</v>
      </c>
      <c r="AH1661" s="292">
        <v>2.05E-7</v>
      </c>
      <c r="AI1661" s="292"/>
      <c r="AJ1661" s="125">
        <f t="shared" si="410"/>
        <v>-5.0768124652568973</v>
      </c>
      <c r="AK1661" s="125"/>
      <c r="AL1661" s="125">
        <f>IF(AK1661=0,AJ1661,AK1661)</f>
        <v>-5.0768124652568973</v>
      </c>
      <c r="AM1661" s="125"/>
      <c r="AN1661" s="297"/>
      <c r="AO1661" s="420"/>
      <c r="AP1661" s="420"/>
      <c r="AQ1661" s="119" t="s">
        <v>6311</v>
      </c>
      <c r="AR1661" s="119" t="s">
        <v>6311</v>
      </c>
      <c r="AS1661" s="282" t="s">
        <v>6</v>
      </c>
      <c r="AT1661" s="118" t="s">
        <v>266</v>
      </c>
      <c r="AU1661" s="289"/>
      <c r="AV1661" s="289">
        <v>0</v>
      </c>
      <c r="AW1661" s="119">
        <v>48</v>
      </c>
      <c r="AX1661" s="119">
        <v>27</v>
      </c>
      <c r="AY1661" s="119" t="s">
        <v>8722</v>
      </c>
      <c r="AZ1661" s="119" t="s">
        <v>536</v>
      </c>
      <c r="BA1661" s="119">
        <v>20</v>
      </c>
      <c r="BB1661" s="284" t="s">
        <v>1764</v>
      </c>
      <c r="BC1661" s="284" t="s">
        <v>538</v>
      </c>
      <c r="BD1661" s="284"/>
      <c r="BE1661" s="119" t="s">
        <v>271</v>
      </c>
      <c r="BF1661" s="119" t="s">
        <v>8722</v>
      </c>
      <c r="BG1661" s="119" t="s">
        <v>8722</v>
      </c>
      <c r="BH1661" s="119" t="s">
        <v>272</v>
      </c>
      <c r="BI1661" s="291">
        <v>56.003814752599091</v>
      </c>
      <c r="BJ1661" s="291">
        <v>1550.1055869022962</v>
      </c>
      <c r="BK1661" s="119"/>
      <c r="BL1661" s="287"/>
      <c r="BM1661" s="119">
        <v>0</v>
      </c>
      <c r="BN1661" s="119"/>
      <c r="BO1661" s="119"/>
      <c r="BP1661" s="119">
        <v>436.02970057380719</v>
      </c>
      <c r="BQ1661" s="119"/>
      <c r="BR1661" s="119"/>
      <c r="BS1661" s="119"/>
      <c r="BT1661" s="119"/>
      <c r="BU1661" s="293"/>
      <c r="BV1661" s="119"/>
      <c r="BW1661" s="119"/>
      <c r="BX1661" s="119"/>
      <c r="BY1661" s="119"/>
      <c r="BZ1661" s="119"/>
      <c r="CA1661" s="119"/>
      <c r="CB1661" s="119"/>
      <c r="CC1661" s="119"/>
      <c r="CD1661" s="119"/>
      <c r="CE1661" s="119"/>
      <c r="CF1661" s="119"/>
      <c r="CG1661" s="119"/>
      <c r="CH1661" s="119"/>
      <c r="CI1661" s="292">
        <v>436.02970057380719</v>
      </c>
      <c r="CJ1661" s="292">
        <f t="shared" si="408"/>
        <v>2.6395160726539002</v>
      </c>
      <c r="CK1661" s="120" t="s">
        <v>404</v>
      </c>
      <c r="CL1661" s="294"/>
      <c r="CM1661" s="294"/>
      <c r="CN1661" s="294">
        <f>BJ1661/(10^CM1661)</f>
        <v>1550.1055869022962</v>
      </c>
      <c r="CO1661" s="284"/>
      <c r="CP1661" s="498" t="s">
        <v>2295</v>
      </c>
      <c r="CQ1661" s="282">
        <v>-0.12895155384969162</v>
      </c>
      <c r="CR1661" s="282">
        <f t="shared" si="412"/>
        <v>586.76962857837077</v>
      </c>
      <c r="CS1661" s="123"/>
      <c r="CT1661" s="123"/>
      <c r="CU1661" s="300" t="s">
        <v>6310</v>
      </c>
      <c r="CV1661" s="338" t="s">
        <v>6310</v>
      </c>
      <c r="CW1661" s="339">
        <f t="shared" si="409"/>
        <v>1</v>
      </c>
      <c r="CX1661" s="339"/>
      <c r="CY1661" s="295" t="s">
        <v>6351</v>
      </c>
    </row>
    <row r="1662" spans="1:103" ht="11.25" customHeight="1" x14ac:dyDescent="0.2">
      <c r="A1662" s="72">
        <v>2015</v>
      </c>
      <c r="B1662" s="282">
        <v>823</v>
      </c>
      <c r="C1662" s="115" t="s">
        <v>2336</v>
      </c>
      <c r="D1662" s="115"/>
      <c r="E1662" s="116">
        <v>1</v>
      </c>
      <c r="F1662" s="116" t="s">
        <v>2337</v>
      </c>
      <c r="G1662" s="283">
        <v>7718549</v>
      </c>
      <c r="H1662" s="284" t="s">
        <v>2338</v>
      </c>
      <c r="I1662" s="284"/>
      <c r="J1662" s="284"/>
      <c r="K1662" s="284" t="s">
        <v>416</v>
      </c>
      <c r="L1662" s="284"/>
      <c r="M1662" s="284"/>
      <c r="N1662" s="284"/>
      <c r="O1662" s="284"/>
      <c r="P1662" s="286"/>
      <c r="Q1662" s="286"/>
      <c r="R1662" s="286"/>
      <c r="S1662" s="286"/>
      <c r="T1662" s="119">
        <v>129.6</v>
      </c>
      <c r="U1662" s="292"/>
      <c r="V1662" s="292"/>
      <c r="W1662" s="292"/>
      <c r="X1662" s="292"/>
      <c r="Y1662" s="370"/>
      <c r="Z1662" s="116"/>
      <c r="AA1662" s="116"/>
      <c r="AB1662" s="116"/>
      <c r="AC1662" s="116"/>
      <c r="AD1662" s="116"/>
      <c r="AE1662" s="116"/>
      <c r="AF1662" s="116"/>
      <c r="AG1662" s="117" t="s">
        <v>404</v>
      </c>
      <c r="AH1662" s="292">
        <v>2.4500000000000001E-2</v>
      </c>
      <c r="AI1662" s="292"/>
      <c r="AJ1662" s="125">
        <f t="shared" si="410"/>
        <v>5.9975805188064034E-4</v>
      </c>
      <c r="AK1662" s="125"/>
      <c r="AL1662" s="125"/>
      <c r="AM1662" s="125"/>
      <c r="AN1662" s="297"/>
      <c r="AO1662" s="420"/>
      <c r="AP1662" s="420"/>
      <c r="AQ1662" s="119" t="s">
        <v>6311</v>
      </c>
      <c r="AR1662" s="119" t="s">
        <v>6311</v>
      </c>
      <c r="AS1662" s="282" t="s">
        <v>6</v>
      </c>
      <c r="AT1662" s="118" t="s">
        <v>266</v>
      </c>
      <c r="AU1662" s="289"/>
      <c r="AV1662" s="289">
        <v>0</v>
      </c>
      <c r="AW1662" s="119">
        <v>48</v>
      </c>
      <c r="AX1662" s="119">
        <v>27</v>
      </c>
      <c r="AY1662" s="119" t="s">
        <v>8722</v>
      </c>
      <c r="AZ1662" s="119" t="s">
        <v>536</v>
      </c>
      <c r="BA1662" s="119">
        <v>20</v>
      </c>
      <c r="BB1662" s="284" t="s">
        <v>1764</v>
      </c>
      <c r="BC1662" s="284" t="s">
        <v>538</v>
      </c>
      <c r="BD1662" s="284"/>
      <c r="BE1662" s="119" t="s">
        <v>271</v>
      </c>
      <c r="BF1662" s="119" t="s">
        <v>8722</v>
      </c>
      <c r="BG1662" s="119" t="s">
        <v>8722</v>
      </c>
      <c r="BH1662" s="119" t="s">
        <v>272</v>
      </c>
      <c r="BI1662" s="291">
        <v>30</v>
      </c>
      <c r="BJ1662" s="291">
        <v>1370</v>
      </c>
      <c r="BK1662" s="119"/>
      <c r="BL1662" s="287"/>
      <c r="BM1662" s="119">
        <v>0</v>
      </c>
      <c r="BN1662" s="119"/>
      <c r="BO1662" s="119"/>
      <c r="BP1662" s="119">
        <v>289.8</v>
      </c>
      <c r="BQ1662" s="119"/>
      <c r="BR1662" s="119"/>
      <c r="BS1662" s="119"/>
      <c r="BT1662" s="119"/>
      <c r="BU1662" s="293"/>
      <c r="BV1662" s="119"/>
      <c r="BW1662" s="119"/>
      <c r="BX1662" s="119"/>
      <c r="BY1662" s="119"/>
      <c r="BZ1662" s="119"/>
      <c r="CA1662" s="119"/>
      <c r="CB1662" s="119"/>
      <c r="CC1662" s="119"/>
      <c r="CD1662" s="119"/>
      <c r="CE1662" s="119"/>
      <c r="CF1662" s="119"/>
      <c r="CG1662" s="119"/>
      <c r="CH1662" s="119"/>
      <c r="CI1662" s="292">
        <v>289.8</v>
      </c>
      <c r="CJ1662" s="292">
        <f t="shared" si="408"/>
        <v>2.462098381135156</v>
      </c>
      <c r="CK1662" s="120" t="s">
        <v>404</v>
      </c>
      <c r="CL1662" s="294"/>
      <c r="CM1662" s="294"/>
      <c r="CN1662" s="294">
        <f>BJ1662/(10^CM1662)</f>
        <v>1370</v>
      </c>
      <c r="CO1662" s="284"/>
      <c r="CP1662" s="498" t="s">
        <v>2295</v>
      </c>
      <c r="CQ1662" s="282">
        <v>1.1936011143547463</v>
      </c>
      <c r="CR1662" s="282">
        <f t="shared" si="412"/>
        <v>18.556551308856601</v>
      </c>
      <c r="CS1662" s="123"/>
      <c r="CT1662" s="123"/>
      <c r="CU1662" s="300" t="s">
        <v>6310</v>
      </c>
      <c r="CV1662" s="338" t="s">
        <v>6310</v>
      </c>
      <c r="CW1662" s="339">
        <f t="shared" si="409"/>
        <v>1</v>
      </c>
      <c r="CX1662" s="339"/>
      <c r="CY1662" s="295" t="s">
        <v>6351</v>
      </c>
    </row>
    <row r="1663" spans="1:103" ht="11.25" customHeight="1" x14ac:dyDescent="0.2">
      <c r="A1663" s="72">
        <v>1835</v>
      </c>
      <c r="B1663" s="241">
        <v>858</v>
      </c>
      <c r="C1663" s="32" t="s">
        <v>7723</v>
      </c>
      <c r="D1663" s="32"/>
      <c r="E1663" s="40"/>
      <c r="F1663" s="40" t="s">
        <v>2438</v>
      </c>
      <c r="G1663" s="242">
        <v>950356</v>
      </c>
      <c r="H1663" s="36" t="s">
        <v>2439</v>
      </c>
      <c r="I1663" s="36" t="s">
        <v>8234</v>
      </c>
      <c r="J1663" s="36" t="s">
        <v>2440</v>
      </c>
      <c r="K1663" s="36" t="s">
        <v>637</v>
      </c>
      <c r="L1663" s="270"/>
      <c r="M1663" s="270"/>
      <c r="N1663" s="36"/>
      <c r="O1663" s="270"/>
      <c r="P1663" s="41"/>
      <c r="Q1663" s="41"/>
      <c r="R1663" s="41"/>
      <c r="S1663" s="41"/>
      <c r="T1663" s="244">
        <v>247.14</v>
      </c>
      <c r="U1663" s="243"/>
      <c r="V1663" s="243">
        <v>731</v>
      </c>
      <c r="W1663" s="243">
        <v>4294.8009681712065</v>
      </c>
      <c r="X1663" s="243">
        <v>4294.8009681712065</v>
      </c>
      <c r="Y1663" s="414">
        <v>7</v>
      </c>
      <c r="Z1663" s="37">
        <v>0.98</v>
      </c>
      <c r="AA1663" s="37">
        <v>1.33</v>
      </c>
      <c r="AB1663" s="37">
        <v>1.27</v>
      </c>
      <c r="AC1663" s="37">
        <v>0.88109999999999999</v>
      </c>
      <c r="AD1663" s="37">
        <v>1.26</v>
      </c>
      <c r="AE1663" s="37">
        <v>1.25</v>
      </c>
      <c r="AF1663" s="37">
        <f t="shared" ref="AF1663:AF1700" si="413">IF(AA1663=0,AD1663,AA1663)</f>
        <v>1.33</v>
      </c>
      <c r="AG1663" s="38">
        <v>1.07</v>
      </c>
      <c r="AH1663" s="243">
        <v>3.6399999999999998E-10</v>
      </c>
      <c r="AI1663" s="243"/>
      <c r="AJ1663" s="34">
        <f t="shared" si="410"/>
        <v>-7.827464942663596</v>
      </c>
      <c r="AK1663" s="34"/>
      <c r="AL1663" s="34">
        <f t="shared" ref="AL1663:AL1694" si="414">IF(AK1663=0,AJ1663,AK1663)</f>
        <v>-7.827464942663596</v>
      </c>
      <c r="AM1663" s="34">
        <v>-12.837319999999998</v>
      </c>
      <c r="AN1663" s="244">
        <v>-6.37</v>
      </c>
      <c r="AO1663" s="417"/>
      <c r="AP1663" s="417"/>
      <c r="AQ1663" s="244" t="s">
        <v>6314</v>
      </c>
      <c r="AR1663" s="244" t="s">
        <v>6314</v>
      </c>
      <c r="AS1663" s="241" t="s">
        <v>6</v>
      </c>
      <c r="AT1663" s="39" t="s">
        <v>266</v>
      </c>
      <c r="AU1663" s="245">
        <v>0</v>
      </c>
      <c r="AV1663" s="245">
        <v>48</v>
      </c>
      <c r="AW1663" s="37">
        <v>48</v>
      </c>
      <c r="AX1663" s="37">
        <v>27.5</v>
      </c>
      <c r="AY1663" s="37" t="s">
        <v>647</v>
      </c>
      <c r="AZ1663" s="37" t="s">
        <v>536</v>
      </c>
      <c r="BA1663" s="37">
        <v>10</v>
      </c>
      <c r="BB1663" s="36" t="s">
        <v>1764</v>
      </c>
      <c r="BC1663" s="36" t="s">
        <v>538</v>
      </c>
      <c r="BD1663" s="36"/>
      <c r="BE1663" s="37" t="s">
        <v>271</v>
      </c>
      <c r="BF1663" s="37" t="s">
        <v>272</v>
      </c>
      <c r="BG1663" s="37" t="s">
        <v>272</v>
      </c>
      <c r="BH1663" s="37" t="s">
        <v>272</v>
      </c>
      <c r="BI1663" s="250">
        <v>2.4714</v>
      </c>
      <c r="BJ1663" s="250">
        <v>49.427999999999997</v>
      </c>
      <c r="BK1663" s="37" t="s">
        <v>1843</v>
      </c>
      <c r="BL1663" s="263">
        <v>1673.4203358345376</v>
      </c>
      <c r="BM1663" s="37">
        <v>0</v>
      </c>
      <c r="BN1663" s="37" t="e">
        <v>#VALUE!</v>
      </c>
      <c r="BO1663" s="37">
        <v>49.427999999999997</v>
      </c>
      <c r="BP1663" s="37"/>
      <c r="BQ1663" s="37"/>
      <c r="BR1663" s="37"/>
      <c r="BS1663" s="37"/>
      <c r="BT1663" s="37"/>
      <c r="BU1663" s="246"/>
      <c r="BV1663" s="37"/>
      <c r="BW1663" s="37"/>
      <c r="BX1663" s="37"/>
      <c r="BY1663" s="37"/>
      <c r="BZ1663" s="37"/>
      <c r="CA1663" s="37"/>
      <c r="CB1663" s="37"/>
      <c r="CC1663" s="37"/>
      <c r="CD1663" s="37"/>
      <c r="CE1663" s="37"/>
      <c r="CF1663" s="37"/>
      <c r="CG1663" s="37"/>
      <c r="CH1663" s="37"/>
      <c r="CI1663" s="243">
        <v>49.427999999999997</v>
      </c>
      <c r="CJ1663" s="243">
        <f t="shared" si="408"/>
        <v>1.6939730380040423</v>
      </c>
      <c r="CK1663" s="38">
        <f>BL1663/BJ1663</f>
        <v>33.855716108977454</v>
      </c>
      <c r="CL1663" s="247">
        <f t="shared" ref="CL1663:CL1694" si="415">BL1663/CI1663</f>
        <v>33.855716108977454</v>
      </c>
      <c r="CM1663" s="247"/>
      <c r="CN1663" s="247"/>
      <c r="CO1663" s="36"/>
      <c r="CP1663" s="496" t="s">
        <v>2442</v>
      </c>
      <c r="CQ1663" s="241" t="s">
        <v>272</v>
      </c>
      <c r="CR1663" s="241"/>
      <c r="CS1663" s="33"/>
      <c r="CT1663" s="33" t="s">
        <v>6310</v>
      </c>
      <c r="CU1663" s="250">
        <f>X1663/CI1663</f>
        <v>86.890041437468781</v>
      </c>
      <c r="CV1663" s="337">
        <f>X1663/BJ1663</f>
        <v>86.890041437468781</v>
      </c>
      <c r="CW1663" s="330">
        <f t="shared" si="409"/>
        <v>1</v>
      </c>
      <c r="CX1663" s="330" t="s">
        <v>539</v>
      </c>
      <c r="CY1663" s="143" t="s">
        <v>5921</v>
      </c>
    </row>
    <row r="1664" spans="1:103" ht="11.25" customHeight="1" x14ac:dyDescent="0.2">
      <c r="A1664" s="72">
        <v>1777</v>
      </c>
      <c r="B1664" s="241">
        <v>2067</v>
      </c>
      <c r="C1664" s="32" t="s">
        <v>6838</v>
      </c>
      <c r="D1664" s="32"/>
      <c r="E1664" s="40"/>
      <c r="F1664" s="40" t="s">
        <v>4822</v>
      </c>
      <c r="G1664" s="242">
        <v>147240</v>
      </c>
      <c r="H1664" s="41" t="s">
        <v>5687</v>
      </c>
      <c r="I1664" s="41" t="s">
        <v>8219</v>
      </c>
      <c r="J1664" s="41" t="s">
        <v>5688</v>
      </c>
      <c r="K1664" s="41"/>
      <c r="L1664" s="41"/>
      <c r="M1664" s="41"/>
      <c r="N1664" s="36"/>
      <c r="O1664" s="41"/>
      <c r="P1664" s="41"/>
      <c r="Q1664" s="41"/>
      <c r="R1664" s="41"/>
      <c r="S1664" s="41"/>
      <c r="T1664" s="33">
        <v>255.36</v>
      </c>
      <c r="U1664" s="250"/>
      <c r="V1664" s="250">
        <v>362.7</v>
      </c>
      <c r="W1664" s="250"/>
      <c r="X1664" s="250"/>
      <c r="Y1664" s="415"/>
      <c r="Z1664" s="34">
        <v>3.27</v>
      </c>
      <c r="AA1664" s="34"/>
      <c r="AB1664" s="34">
        <v>3.72</v>
      </c>
      <c r="AC1664" s="34">
        <v>0.86529999999999996</v>
      </c>
      <c r="AD1664" s="34">
        <v>3.71</v>
      </c>
      <c r="AE1664" s="34">
        <v>3.66</v>
      </c>
      <c r="AF1664" s="34">
        <f t="shared" si="413"/>
        <v>3.71</v>
      </c>
      <c r="AG1664" s="34">
        <v>3.71</v>
      </c>
      <c r="AH1664" s="250">
        <v>3.7E-9</v>
      </c>
      <c r="AI1664" s="250"/>
      <c r="AJ1664" s="34">
        <f t="shared" si="410"/>
        <v>-6.8203646022456565</v>
      </c>
      <c r="AK1664" s="34"/>
      <c r="AL1664" s="34">
        <f t="shared" si="414"/>
        <v>-6.8203646022456565</v>
      </c>
      <c r="AM1664" s="34">
        <v>-10.310830000000001</v>
      </c>
      <c r="AN1664" s="251"/>
      <c r="AO1664" s="417"/>
      <c r="AP1664" s="417"/>
      <c r="AQ1664" s="251" t="s">
        <v>6311</v>
      </c>
      <c r="AR1664" s="251" t="s">
        <v>6316</v>
      </c>
      <c r="AS1664" s="252" t="s">
        <v>5466</v>
      </c>
      <c r="AT1664" s="35" t="s">
        <v>266</v>
      </c>
      <c r="AU1664" s="33">
        <v>168</v>
      </c>
      <c r="AV1664" s="33">
        <v>240</v>
      </c>
      <c r="AW1664" s="33">
        <v>72</v>
      </c>
      <c r="AX1664" s="33">
        <v>26</v>
      </c>
      <c r="AY1664" s="33" t="s">
        <v>5670</v>
      </c>
      <c r="AZ1664" s="33" t="s">
        <v>5689</v>
      </c>
      <c r="BA1664" s="33">
        <v>200</v>
      </c>
      <c r="BB1664" s="41" t="s">
        <v>5690</v>
      </c>
      <c r="BC1664" s="41" t="s">
        <v>5494</v>
      </c>
      <c r="BD1664" s="41"/>
      <c r="BE1664" s="33" t="s">
        <v>5598</v>
      </c>
      <c r="BF1664" s="33"/>
      <c r="BG1664" s="33"/>
      <c r="BH1664" s="33"/>
      <c r="BI1664" s="250"/>
      <c r="BJ1664" s="250"/>
      <c r="BK1664" s="254" t="s">
        <v>5691</v>
      </c>
      <c r="BL1664" s="263"/>
      <c r="BM1664" s="33"/>
      <c r="BN1664" s="33"/>
      <c r="BO1664" s="33"/>
      <c r="BP1664" s="33"/>
      <c r="BQ1664" s="33"/>
      <c r="BR1664" s="33"/>
      <c r="BS1664" s="33"/>
      <c r="BT1664" s="33"/>
      <c r="BU1664" s="246"/>
      <c r="BV1664" s="33"/>
      <c r="BW1664" s="33"/>
      <c r="BX1664" s="33"/>
      <c r="BY1664" s="33"/>
      <c r="BZ1664" s="33"/>
      <c r="CA1664" s="33"/>
      <c r="CB1664" s="33"/>
      <c r="CC1664" s="33"/>
      <c r="CD1664" s="33"/>
      <c r="CE1664" s="33"/>
      <c r="CF1664" s="33"/>
      <c r="CG1664" s="33"/>
      <c r="CH1664" s="33">
        <v>39.815228565554115</v>
      </c>
      <c r="CI1664" s="250">
        <v>39.815228565554115</v>
      </c>
      <c r="CJ1664" s="243">
        <f t="shared" si="408"/>
        <v>1.600049213204908</v>
      </c>
      <c r="CK1664" s="38"/>
      <c r="CL1664" s="247">
        <f t="shared" si="415"/>
        <v>0</v>
      </c>
      <c r="CM1664" s="247"/>
      <c r="CN1664" s="247"/>
      <c r="CO1664" s="41" t="s">
        <v>5494</v>
      </c>
      <c r="CP1664" s="143" t="s">
        <v>5692</v>
      </c>
      <c r="CQ1664" s="241" t="s">
        <v>272</v>
      </c>
      <c r="CR1664" s="241"/>
      <c r="CS1664" s="33"/>
      <c r="CT1664" s="33" t="s">
        <v>6310</v>
      </c>
      <c r="CU1664" s="250" t="s">
        <v>6310</v>
      </c>
      <c r="CV1664" s="337"/>
      <c r="CW1664" s="330">
        <f t="shared" si="409"/>
        <v>1</v>
      </c>
      <c r="CX1664" s="330" t="s">
        <v>539</v>
      </c>
      <c r="CY1664" s="143" t="s">
        <v>5921</v>
      </c>
    </row>
    <row r="1665" spans="1:103" ht="11.25" customHeight="1" x14ac:dyDescent="0.2">
      <c r="A1665" s="72">
        <v>1778</v>
      </c>
      <c r="B1665" s="241">
        <v>2067</v>
      </c>
      <c r="C1665" s="32" t="s">
        <v>6838</v>
      </c>
      <c r="D1665" s="32"/>
      <c r="E1665" s="40"/>
      <c r="F1665" s="40" t="s">
        <v>4822</v>
      </c>
      <c r="G1665" s="242">
        <v>147240</v>
      </c>
      <c r="H1665" s="41" t="s">
        <v>5687</v>
      </c>
      <c r="I1665" s="41" t="s">
        <v>8219</v>
      </c>
      <c r="J1665" s="41" t="s">
        <v>5688</v>
      </c>
      <c r="K1665" s="41"/>
      <c r="L1665" s="41"/>
      <c r="M1665" s="41"/>
      <c r="N1665" s="36"/>
      <c r="O1665" s="41"/>
      <c r="P1665" s="41"/>
      <c r="Q1665" s="41"/>
      <c r="R1665" s="41"/>
      <c r="S1665" s="41"/>
      <c r="T1665" s="33">
        <v>255.36</v>
      </c>
      <c r="U1665" s="250"/>
      <c r="V1665" s="250">
        <v>362.7</v>
      </c>
      <c r="W1665" s="250"/>
      <c r="X1665" s="250"/>
      <c r="Y1665" s="415"/>
      <c r="Z1665" s="34">
        <v>3.27</v>
      </c>
      <c r="AA1665" s="34"/>
      <c r="AB1665" s="34">
        <v>3.72</v>
      </c>
      <c r="AC1665" s="34">
        <v>0.86529999999999996</v>
      </c>
      <c r="AD1665" s="34">
        <v>3.71</v>
      </c>
      <c r="AE1665" s="34">
        <v>3.66</v>
      </c>
      <c r="AF1665" s="34">
        <f t="shared" si="413"/>
        <v>3.71</v>
      </c>
      <c r="AG1665" s="34">
        <v>3.71</v>
      </c>
      <c r="AH1665" s="250">
        <v>3.7E-9</v>
      </c>
      <c r="AI1665" s="250"/>
      <c r="AJ1665" s="34">
        <f t="shared" si="410"/>
        <v>-6.8203646022456565</v>
      </c>
      <c r="AK1665" s="34"/>
      <c r="AL1665" s="34">
        <f t="shared" si="414"/>
        <v>-6.8203646022456565</v>
      </c>
      <c r="AM1665" s="34">
        <v>-10.310830000000001</v>
      </c>
      <c r="AN1665" s="251"/>
      <c r="AO1665" s="417"/>
      <c r="AP1665" s="417"/>
      <c r="AQ1665" s="251" t="s">
        <v>6311</v>
      </c>
      <c r="AR1665" s="251" t="s">
        <v>6316</v>
      </c>
      <c r="AS1665" s="252" t="s">
        <v>5466</v>
      </c>
      <c r="AT1665" s="35" t="s">
        <v>266</v>
      </c>
      <c r="AU1665" s="33">
        <v>72</v>
      </c>
      <c r="AV1665" s="33">
        <v>144</v>
      </c>
      <c r="AW1665" s="33">
        <v>72</v>
      </c>
      <c r="AX1665" s="33">
        <v>26</v>
      </c>
      <c r="AY1665" s="33" t="s">
        <v>5670</v>
      </c>
      <c r="AZ1665" s="33" t="s">
        <v>5689</v>
      </c>
      <c r="BA1665" s="33">
        <v>200</v>
      </c>
      <c r="BB1665" s="41" t="s">
        <v>5690</v>
      </c>
      <c r="BC1665" s="41" t="s">
        <v>5494</v>
      </c>
      <c r="BD1665" s="41"/>
      <c r="BE1665" s="33" t="s">
        <v>5598</v>
      </c>
      <c r="BF1665" s="33"/>
      <c r="BG1665" s="33"/>
      <c r="BH1665" s="33"/>
      <c r="BI1665" s="250"/>
      <c r="BJ1665" s="250"/>
      <c r="BK1665" s="254" t="s">
        <v>5691</v>
      </c>
      <c r="BL1665" s="263"/>
      <c r="BM1665" s="33"/>
      <c r="BN1665" s="33"/>
      <c r="BO1665" s="33"/>
      <c r="BP1665" s="33"/>
      <c r="BQ1665" s="33"/>
      <c r="BR1665" s="33"/>
      <c r="BS1665" s="33"/>
      <c r="BT1665" s="33"/>
      <c r="BU1665" s="246"/>
      <c r="BV1665" s="33"/>
      <c r="BW1665" s="33"/>
      <c r="BX1665" s="33"/>
      <c r="BY1665" s="33"/>
      <c r="BZ1665" s="33"/>
      <c r="CA1665" s="33"/>
      <c r="CB1665" s="33"/>
      <c r="CC1665" s="33"/>
      <c r="CD1665" s="33"/>
      <c r="CE1665" s="33"/>
      <c r="CF1665" s="33">
        <v>229.2657117401138</v>
      </c>
      <c r="CG1665" s="33"/>
      <c r="CH1665" s="33"/>
      <c r="CI1665" s="250">
        <v>229.2657117401138</v>
      </c>
      <c r="CJ1665" s="243">
        <f t="shared" si="408"/>
        <v>2.3603391078675409</v>
      </c>
      <c r="CK1665" s="38"/>
      <c r="CL1665" s="247">
        <f t="shared" si="415"/>
        <v>0</v>
      </c>
      <c r="CM1665" s="247"/>
      <c r="CN1665" s="247"/>
      <c r="CO1665" s="41" t="s">
        <v>5494</v>
      </c>
      <c r="CP1665" s="143" t="s">
        <v>5692</v>
      </c>
      <c r="CQ1665" s="241" t="s">
        <v>272</v>
      </c>
      <c r="CR1665" s="241"/>
      <c r="CS1665" s="33"/>
      <c r="CT1665" s="33" t="s">
        <v>6310</v>
      </c>
      <c r="CU1665" s="250" t="s">
        <v>6310</v>
      </c>
      <c r="CV1665" s="337"/>
      <c r="CW1665" s="330">
        <f t="shared" si="409"/>
        <v>1</v>
      </c>
      <c r="CX1665" s="330" t="s">
        <v>539</v>
      </c>
      <c r="CY1665" s="143" t="s">
        <v>5921</v>
      </c>
    </row>
    <row r="1666" spans="1:103" ht="11.25" customHeight="1" x14ac:dyDescent="0.2">
      <c r="A1666" s="72">
        <v>1779</v>
      </c>
      <c r="B1666" s="241">
        <v>2067</v>
      </c>
      <c r="C1666" s="32" t="s">
        <v>6838</v>
      </c>
      <c r="D1666" s="32"/>
      <c r="E1666" s="40"/>
      <c r="F1666" s="40" t="s">
        <v>4822</v>
      </c>
      <c r="G1666" s="242">
        <v>147240</v>
      </c>
      <c r="H1666" s="36" t="s">
        <v>5687</v>
      </c>
      <c r="I1666" s="36" t="s">
        <v>8220</v>
      </c>
      <c r="J1666" s="41" t="s">
        <v>5688</v>
      </c>
      <c r="K1666" s="41"/>
      <c r="L1666" s="41"/>
      <c r="M1666" s="41"/>
      <c r="N1666" s="36"/>
      <c r="O1666" s="41"/>
      <c r="P1666" s="41"/>
      <c r="Q1666" s="41"/>
      <c r="R1666" s="41"/>
      <c r="S1666" s="41"/>
      <c r="T1666" s="33">
        <v>255.36</v>
      </c>
      <c r="U1666" s="250"/>
      <c r="V1666" s="250">
        <v>362.7</v>
      </c>
      <c r="W1666" s="250"/>
      <c r="X1666" s="250"/>
      <c r="Y1666" s="415"/>
      <c r="Z1666" s="34">
        <v>3.27</v>
      </c>
      <c r="AA1666" s="34"/>
      <c r="AB1666" s="34">
        <v>3.72</v>
      </c>
      <c r="AC1666" s="34">
        <v>0.86529999999999996</v>
      </c>
      <c r="AD1666" s="34">
        <v>3.71</v>
      </c>
      <c r="AE1666" s="34">
        <v>3.66</v>
      </c>
      <c r="AF1666" s="34">
        <f t="shared" si="413"/>
        <v>3.71</v>
      </c>
      <c r="AG1666" s="34">
        <v>3.71</v>
      </c>
      <c r="AH1666" s="250">
        <v>3.7E-9</v>
      </c>
      <c r="AI1666" s="250"/>
      <c r="AJ1666" s="34">
        <f t="shared" si="410"/>
        <v>-6.8203646022456565</v>
      </c>
      <c r="AK1666" s="34"/>
      <c r="AL1666" s="34">
        <f t="shared" si="414"/>
        <v>-6.8203646022456565</v>
      </c>
      <c r="AM1666" s="34">
        <v>-10.310830000000001</v>
      </c>
      <c r="AN1666" s="251"/>
      <c r="AO1666" s="417"/>
      <c r="AP1666" s="417"/>
      <c r="AQ1666" s="251" t="s">
        <v>6311</v>
      </c>
      <c r="AR1666" s="251" t="s">
        <v>6316</v>
      </c>
      <c r="AS1666" s="252" t="s">
        <v>5466</v>
      </c>
      <c r="AT1666" s="35" t="s">
        <v>266</v>
      </c>
      <c r="AU1666" s="33">
        <v>0</v>
      </c>
      <c r="AV1666" s="33">
        <v>72</v>
      </c>
      <c r="AW1666" s="33">
        <v>72</v>
      </c>
      <c r="AX1666" s="33">
        <v>26</v>
      </c>
      <c r="AY1666" s="33" t="s">
        <v>5670</v>
      </c>
      <c r="AZ1666" s="33" t="s">
        <v>5689</v>
      </c>
      <c r="BA1666" s="33">
        <v>200</v>
      </c>
      <c r="BB1666" s="41" t="s">
        <v>5690</v>
      </c>
      <c r="BC1666" s="41" t="s">
        <v>5494</v>
      </c>
      <c r="BD1666" s="41"/>
      <c r="BE1666" s="33" t="s">
        <v>5598</v>
      </c>
      <c r="BF1666" s="33"/>
      <c r="BG1666" s="33"/>
      <c r="BH1666" s="33"/>
      <c r="BI1666" s="250"/>
      <c r="BJ1666" s="250"/>
      <c r="BK1666" s="254" t="s">
        <v>5691</v>
      </c>
      <c r="BL1666" s="263"/>
      <c r="BM1666" s="33"/>
      <c r="BN1666" s="33"/>
      <c r="BO1666" s="33"/>
      <c r="BP1666" s="33">
        <v>605.541498183812</v>
      </c>
      <c r="BQ1666" s="33"/>
      <c r="BR1666" s="33"/>
      <c r="BS1666" s="33"/>
      <c r="BT1666" s="33"/>
      <c r="BU1666" s="246"/>
      <c r="BV1666" s="33"/>
      <c r="BW1666" s="33"/>
      <c r="BX1666" s="33"/>
      <c r="BY1666" s="33"/>
      <c r="BZ1666" s="33"/>
      <c r="CA1666" s="33"/>
      <c r="CB1666" s="33"/>
      <c r="CC1666" s="33"/>
      <c r="CD1666" s="33"/>
      <c r="CE1666" s="33"/>
      <c r="CF1666" s="33"/>
      <c r="CG1666" s="33"/>
      <c r="CH1666" s="33"/>
      <c r="CI1666" s="250">
        <v>605.541498183812</v>
      </c>
      <c r="CJ1666" s="243">
        <f t="shared" si="408"/>
        <v>2.7821439110045532</v>
      </c>
      <c r="CK1666" s="38"/>
      <c r="CL1666" s="247">
        <f t="shared" si="415"/>
        <v>0</v>
      </c>
      <c r="CM1666" s="247"/>
      <c r="CN1666" s="247"/>
      <c r="CO1666" s="41" t="s">
        <v>5494</v>
      </c>
      <c r="CP1666" s="143" t="s">
        <v>5692</v>
      </c>
      <c r="CQ1666" s="241" t="s">
        <v>272</v>
      </c>
      <c r="CR1666" s="241"/>
      <c r="CS1666" s="33"/>
      <c r="CT1666" s="33" t="s">
        <v>6310</v>
      </c>
      <c r="CU1666" s="250" t="s">
        <v>6310</v>
      </c>
      <c r="CV1666" s="337"/>
      <c r="CW1666" s="330">
        <f t="shared" si="409"/>
        <v>1</v>
      </c>
      <c r="CX1666" s="330" t="s">
        <v>539</v>
      </c>
      <c r="CY1666" s="143" t="s">
        <v>5921</v>
      </c>
    </row>
    <row r="1667" spans="1:103" ht="11.25" customHeight="1" x14ac:dyDescent="0.2">
      <c r="A1667" s="72">
        <v>1789</v>
      </c>
      <c r="B1667" s="241">
        <v>2068</v>
      </c>
      <c r="C1667" s="32" t="s">
        <v>7688</v>
      </c>
      <c r="D1667" s="32"/>
      <c r="E1667" s="40"/>
      <c r="F1667" s="40" t="s">
        <v>1088</v>
      </c>
      <c r="G1667" s="242">
        <v>333415</v>
      </c>
      <c r="H1667" s="41" t="s">
        <v>1089</v>
      </c>
      <c r="I1667" s="41" t="s">
        <v>1089</v>
      </c>
      <c r="J1667" s="41" t="s">
        <v>1090</v>
      </c>
      <c r="K1667" s="41" t="s">
        <v>628</v>
      </c>
      <c r="L1667" s="41" t="s">
        <v>617</v>
      </c>
      <c r="M1667" s="41" t="s">
        <v>946</v>
      </c>
      <c r="N1667" s="36" t="s">
        <v>6376</v>
      </c>
      <c r="O1667" s="41" t="s">
        <v>918</v>
      </c>
      <c r="P1667" s="41" t="s">
        <v>6178</v>
      </c>
      <c r="Q1667" s="41" t="s">
        <v>6173</v>
      </c>
      <c r="R1667" s="41" t="s">
        <v>6177</v>
      </c>
      <c r="S1667" s="41" t="s">
        <v>6176</v>
      </c>
      <c r="T1667" s="33">
        <v>304.35000000000002</v>
      </c>
      <c r="U1667" s="250">
        <v>40</v>
      </c>
      <c r="V1667" s="250">
        <v>6.4560000000000004</v>
      </c>
      <c r="W1667" s="250">
        <v>16.344562722528643</v>
      </c>
      <c r="X1667" s="250">
        <v>40</v>
      </c>
      <c r="Y1667" s="415">
        <v>7</v>
      </c>
      <c r="Z1667" s="33">
        <v>3.86</v>
      </c>
      <c r="AA1667" s="33">
        <v>3.81</v>
      </c>
      <c r="AB1667" s="33">
        <v>3.79</v>
      </c>
      <c r="AC1667" s="33">
        <v>0.7823</v>
      </c>
      <c r="AD1667" s="33">
        <v>3.8</v>
      </c>
      <c r="AE1667" s="33">
        <v>3.81</v>
      </c>
      <c r="AF1667" s="33">
        <f t="shared" si="413"/>
        <v>3.81</v>
      </c>
      <c r="AG1667" s="34">
        <v>4.32</v>
      </c>
      <c r="AH1667" s="250">
        <v>8.7299999999999994E-8</v>
      </c>
      <c r="AI1667" s="250">
        <v>1.1300000000000001E-7</v>
      </c>
      <c r="AJ1667" s="34">
        <f t="shared" si="410"/>
        <v>-5.447552082607082</v>
      </c>
      <c r="AK1667" s="34">
        <f t="shared" ref="AK1667:AK1672" si="416">LOG10(AI1667*1000/(0.08206*298.15))</f>
        <v>-5.3354878828292325</v>
      </c>
      <c r="AL1667" s="34">
        <f t="shared" si="414"/>
        <v>-5.3354878828292325</v>
      </c>
      <c r="AM1667" s="34">
        <v>-11.566619999999999</v>
      </c>
      <c r="AN1667" s="251">
        <v>-2.7926000000000002</v>
      </c>
      <c r="AO1667" s="417"/>
      <c r="AP1667" s="417">
        <v>1.21</v>
      </c>
      <c r="AQ1667" s="251" t="s">
        <v>6312</v>
      </c>
      <c r="AR1667" s="251" t="s">
        <v>6312</v>
      </c>
      <c r="AS1667" s="252" t="s">
        <v>5466</v>
      </c>
      <c r="AT1667" s="35" t="s">
        <v>266</v>
      </c>
      <c r="AU1667" s="33">
        <v>0</v>
      </c>
      <c r="AV1667" s="33">
        <v>72</v>
      </c>
      <c r="AW1667" s="33">
        <v>72</v>
      </c>
      <c r="AX1667" s="33">
        <v>26</v>
      </c>
      <c r="AY1667" s="33" t="s">
        <v>5670</v>
      </c>
      <c r="AZ1667" s="33" t="s">
        <v>5689</v>
      </c>
      <c r="BA1667" s="33">
        <v>200</v>
      </c>
      <c r="BB1667" s="41" t="s">
        <v>5690</v>
      </c>
      <c r="BC1667" s="41" t="s">
        <v>5494</v>
      </c>
      <c r="BD1667" s="41"/>
      <c r="BE1667" s="33" t="s">
        <v>5598</v>
      </c>
      <c r="BF1667" s="33"/>
      <c r="BG1667" s="33"/>
      <c r="BH1667" s="33" t="s">
        <v>5693</v>
      </c>
      <c r="BI1667" s="250"/>
      <c r="BJ1667" s="250"/>
      <c r="BK1667" s="254" t="s">
        <v>5691</v>
      </c>
      <c r="BL1667" s="263">
        <v>5.3395825622052628</v>
      </c>
      <c r="BM1667" s="33"/>
      <c r="BN1667" s="33"/>
      <c r="BO1667" s="33"/>
      <c r="BP1667" s="33">
        <v>14.7</v>
      </c>
      <c r="BQ1667" s="33"/>
      <c r="BR1667" s="33"/>
      <c r="BS1667" s="33"/>
      <c r="BT1667" s="33"/>
      <c r="BU1667" s="246"/>
      <c r="BV1667" s="33"/>
      <c r="BW1667" s="33"/>
      <c r="BX1667" s="33"/>
      <c r="BY1667" s="33"/>
      <c r="BZ1667" s="33"/>
      <c r="CA1667" s="33"/>
      <c r="CB1667" s="33"/>
      <c r="CC1667" s="33"/>
      <c r="CD1667" s="33"/>
      <c r="CE1667" s="33"/>
      <c r="CF1667" s="33"/>
      <c r="CG1667" s="33"/>
      <c r="CH1667" s="33"/>
      <c r="CI1667" s="250">
        <v>14.7</v>
      </c>
      <c r="CJ1667" s="243">
        <f t="shared" si="408"/>
        <v>1.167317334748176</v>
      </c>
      <c r="CK1667" s="38"/>
      <c r="CL1667" s="247">
        <f t="shared" si="415"/>
        <v>0.36323690899355532</v>
      </c>
      <c r="CM1667" s="247">
        <v>-0.7518228197217347</v>
      </c>
      <c r="CN1667" s="247"/>
      <c r="CO1667" s="41" t="s">
        <v>5494</v>
      </c>
      <c r="CP1667" s="143" t="s">
        <v>5692</v>
      </c>
      <c r="CQ1667" s="241">
        <v>2.3058777017553444E-2</v>
      </c>
      <c r="CR1667" s="241">
        <f t="shared" ref="CR1667:CR1698" si="417">10^(CJ1667-CQ1667)</f>
        <v>13.939864674329407</v>
      </c>
      <c r="CS1667" s="33"/>
      <c r="CT1667" s="33" t="s">
        <v>6310</v>
      </c>
      <c r="CU1667" s="250">
        <f t="shared" ref="CU1667:CU1694" si="418">X1667/CI1667</f>
        <v>2.7210884353741496</v>
      </c>
      <c r="CV1667" s="337"/>
      <c r="CW1667" s="330">
        <f t="shared" si="409"/>
        <v>1</v>
      </c>
      <c r="CX1667" s="330" t="s">
        <v>539</v>
      </c>
      <c r="CY1667" s="143" t="s">
        <v>5921</v>
      </c>
    </row>
    <row r="1668" spans="1:103" ht="11.25" customHeight="1" x14ac:dyDescent="0.2">
      <c r="A1668" s="72">
        <v>1790</v>
      </c>
      <c r="B1668" s="241">
        <v>2068</v>
      </c>
      <c r="C1668" s="32" t="s">
        <v>7688</v>
      </c>
      <c r="D1668" s="32"/>
      <c r="E1668" s="40"/>
      <c r="F1668" s="40" t="s">
        <v>1088</v>
      </c>
      <c r="G1668" s="242">
        <v>333415</v>
      </c>
      <c r="H1668" s="41" t="s">
        <v>1089</v>
      </c>
      <c r="I1668" s="41" t="s">
        <v>1089</v>
      </c>
      <c r="J1668" s="41" t="s">
        <v>1090</v>
      </c>
      <c r="K1668" s="41" t="s">
        <v>628</v>
      </c>
      <c r="L1668" s="41" t="s">
        <v>617</v>
      </c>
      <c r="M1668" s="41" t="s">
        <v>946</v>
      </c>
      <c r="N1668" s="36" t="s">
        <v>6376</v>
      </c>
      <c r="O1668" s="41" t="s">
        <v>918</v>
      </c>
      <c r="P1668" s="41" t="s">
        <v>6178</v>
      </c>
      <c r="Q1668" s="41" t="s">
        <v>6173</v>
      </c>
      <c r="R1668" s="41" t="s">
        <v>6177</v>
      </c>
      <c r="S1668" s="41" t="s">
        <v>6176</v>
      </c>
      <c r="T1668" s="33">
        <v>304.35000000000002</v>
      </c>
      <c r="U1668" s="250">
        <v>40</v>
      </c>
      <c r="V1668" s="250">
        <v>6.4560000000000004</v>
      </c>
      <c r="W1668" s="250">
        <v>16.344562722528643</v>
      </c>
      <c r="X1668" s="250">
        <v>40</v>
      </c>
      <c r="Y1668" s="415">
        <v>7</v>
      </c>
      <c r="Z1668" s="34">
        <v>3.86</v>
      </c>
      <c r="AA1668" s="34">
        <v>3.81</v>
      </c>
      <c r="AB1668" s="34">
        <v>3.79</v>
      </c>
      <c r="AC1668" s="34">
        <v>0.7823</v>
      </c>
      <c r="AD1668" s="34">
        <v>3.8</v>
      </c>
      <c r="AE1668" s="34">
        <v>3.81</v>
      </c>
      <c r="AF1668" s="34">
        <f t="shared" si="413"/>
        <v>3.81</v>
      </c>
      <c r="AG1668" s="34">
        <v>4.32</v>
      </c>
      <c r="AH1668" s="250">
        <v>8.7299999999999994E-8</v>
      </c>
      <c r="AI1668" s="250">
        <v>1.1300000000000001E-7</v>
      </c>
      <c r="AJ1668" s="34">
        <f t="shared" si="410"/>
        <v>-5.447552082607082</v>
      </c>
      <c r="AK1668" s="34">
        <f t="shared" si="416"/>
        <v>-5.3354878828292325</v>
      </c>
      <c r="AL1668" s="34">
        <f t="shared" si="414"/>
        <v>-5.3354878828292325</v>
      </c>
      <c r="AM1668" s="34">
        <v>-11.566619999999999</v>
      </c>
      <c r="AN1668" s="251"/>
      <c r="AO1668" s="417"/>
      <c r="AP1668" s="417">
        <v>1.21</v>
      </c>
      <c r="AQ1668" s="251" t="s">
        <v>6312</v>
      </c>
      <c r="AR1668" s="251" t="s">
        <v>6312</v>
      </c>
      <c r="AS1668" s="252" t="s">
        <v>5466</v>
      </c>
      <c r="AT1668" s="35" t="s">
        <v>266</v>
      </c>
      <c r="AU1668" s="33">
        <v>168</v>
      </c>
      <c r="AV1668" s="33">
        <v>240</v>
      </c>
      <c r="AW1668" s="33">
        <v>72</v>
      </c>
      <c r="AX1668" s="33">
        <v>26</v>
      </c>
      <c r="AY1668" s="33" t="s">
        <v>5670</v>
      </c>
      <c r="AZ1668" s="33" t="s">
        <v>5694</v>
      </c>
      <c r="BA1668" s="33">
        <v>200</v>
      </c>
      <c r="BB1668" s="41" t="s">
        <v>5690</v>
      </c>
      <c r="BC1668" s="41" t="s">
        <v>5494</v>
      </c>
      <c r="BD1668" s="41"/>
      <c r="BE1668" s="33" t="s">
        <v>5598</v>
      </c>
      <c r="BF1668" s="33"/>
      <c r="BG1668" s="33"/>
      <c r="BH1668" s="33" t="s">
        <v>5693</v>
      </c>
      <c r="BI1668" s="250"/>
      <c r="BJ1668" s="250"/>
      <c r="BK1668" s="254" t="s">
        <v>5691</v>
      </c>
      <c r="BL1668" s="263">
        <v>5.3395825622052628</v>
      </c>
      <c r="BM1668" s="33"/>
      <c r="BN1668" s="33"/>
      <c r="BO1668" s="33"/>
      <c r="BP1668" s="33"/>
      <c r="BQ1668" s="33"/>
      <c r="BR1668" s="33"/>
      <c r="BS1668" s="33"/>
      <c r="BT1668" s="33"/>
      <c r="BU1668" s="246"/>
      <c r="BV1668" s="33"/>
      <c r="BW1668" s="33"/>
      <c r="BX1668" s="33"/>
      <c r="BY1668" s="33"/>
      <c r="BZ1668" s="33"/>
      <c r="CA1668" s="33"/>
      <c r="CB1668" s="33"/>
      <c r="CC1668" s="33"/>
      <c r="CD1668" s="33"/>
      <c r="CE1668" s="33"/>
      <c r="CF1668" s="33"/>
      <c r="CG1668" s="33"/>
      <c r="CH1668" s="33">
        <v>5.41</v>
      </c>
      <c r="CI1668" s="250">
        <v>5.41</v>
      </c>
      <c r="CJ1668" s="243">
        <f t="shared" si="408"/>
        <v>0.73319726510656946</v>
      </c>
      <c r="CK1668" s="38"/>
      <c r="CL1668" s="247">
        <f t="shared" si="415"/>
        <v>0.9869838377458896</v>
      </c>
      <c r="CM1668" s="247">
        <v>-0.7518228197217347</v>
      </c>
      <c r="CN1668" s="247"/>
      <c r="CO1668" s="41" t="s">
        <v>5494</v>
      </c>
      <c r="CP1668" s="143" t="s">
        <v>5692</v>
      </c>
      <c r="CQ1668" s="241">
        <v>2.3058777017553444E-2</v>
      </c>
      <c r="CR1668" s="241">
        <f t="shared" si="417"/>
        <v>5.1302495161987807</v>
      </c>
      <c r="CS1668" s="33"/>
      <c r="CT1668" s="33" t="s">
        <v>6310</v>
      </c>
      <c r="CU1668" s="250">
        <f t="shared" si="418"/>
        <v>7.393715341959334</v>
      </c>
      <c r="CV1668" s="337"/>
      <c r="CW1668" s="330">
        <f t="shared" si="409"/>
        <v>1</v>
      </c>
      <c r="CX1668" s="330" t="s">
        <v>539</v>
      </c>
      <c r="CY1668" s="143" t="s">
        <v>5921</v>
      </c>
    </row>
    <row r="1669" spans="1:103" ht="11.25" customHeight="1" x14ac:dyDescent="0.2">
      <c r="A1669" s="72">
        <v>1791</v>
      </c>
      <c r="B1669" s="241">
        <v>2068</v>
      </c>
      <c r="C1669" s="32" t="s">
        <v>7688</v>
      </c>
      <c r="D1669" s="32"/>
      <c r="E1669" s="40"/>
      <c r="F1669" s="40" t="s">
        <v>1088</v>
      </c>
      <c r="G1669" s="242">
        <v>333415</v>
      </c>
      <c r="H1669" s="41" t="s">
        <v>1089</v>
      </c>
      <c r="I1669" s="41" t="s">
        <v>1089</v>
      </c>
      <c r="J1669" s="41" t="s">
        <v>1090</v>
      </c>
      <c r="K1669" s="41" t="s">
        <v>628</v>
      </c>
      <c r="L1669" s="41" t="s">
        <v>617</v>
      </c>
      <c r="M1669" s="41" t="s">
        <v>946</v>
      </c>
      <c r="N1669" s="36" t="s">
        <v>6376</v>
      </c>
      <c r="O1669" s="41" t="s">
        <v>918</v>
      </c>
      <c r="P1669" s="41" t="s">
        <v>6178</v>
      </c>
      <c r="Q1669" s="41" t="s">
        <v>6173</v>
      </c>
      <c r="R1669" s="41" t="s">
        <v>6177</v>
      </c>
      <c r="S1669" s="41" t="s">
        <v>6176</v>
      </c>
      <c r="T1669" s="33">
        <v>304.35000000000002</v>
      </c>
      <c r="U1669" s="250">
        <v>40</v>
      </c>
      <c r="V1669" s="250">
        <v>6.4560000000000004</v>
      </c>
      <c r="W1669" s="250">
        <v>16.344562722528643</v>
      </c>
      <c r="X1669" s="250">
        <v>40</v>
      </c>
      <c r="Y1669" s="415">
        <v>7</v>
      </c>
      <c r="Z1669" s="34">
        <v>3.86</v>
      </c>
      <c r="AA1669" s="34">
        <v>3.81</v>
      </c>
      <c r="AB1669" s="34">
        <v>3.79</v>
      </c>
      <c r="AC1669" s="34">
        <v>0.7823</v>
      </c>
      <c r="AD1669" s="34">
        <v>3.8</v>
      </c>
      <c r="AE1669" s="34">
        <v>3.81</v>
      </c>
      <c r="AF1669" s="34">
        <f t="shared" si="413"/>
        <v>3.81</v>
      </c>
      <c r="AG1669" s="34">
        <v>4.32</v>
      </c>
      <c r="AH1669" s="250">
        <v>8.7299999999999994E-8</v>
      </c>
      <c r="AI1669" s="250">
        <v>1.1300000000000001E-7</v>
      </c>
      <c r="AJ1669" s="34">
        <f t="shared" si="410"/>
        <v>-5.447552082607082</v>
      </c>
      <c r="AK1669" s="34">
        <f t="shared" si="416"/>
        <v>-5.3354878828292325</v>
      </c>
      <c r="AL1669" s="34">
        <f t="shared" si="414"/>
        <v>-5.3354878828292325</v>
      </c>
      <c r="AM1669" s="34">
        <v>-11.566619999999999</v>
      </c>
      <c r="AN1669" s="251"/>
      <c r="AO1669" s="417"/>
      <c r="AP1669" s="417">
        <v>1.21</v>
      </c>
      <c r="AQ1669" s="251" t="s">
        <v>6312</v>
      </c>
      <c r="AR1669" s="251" t="s">
        <v>6312</v>
      </c>
      <c r="AS1669" s="252" t="s">
        <v>5466</v>
      </c>
      <c r="AT1669" s="35" t="s">
        <v>266</v>
      </c>
      <c r="AU1669" s="33">
        <v>72</v>
      </c>
      <c r="AV1669" s="33">
        <v>144</v>
      </c>
      <c r="AW1669" s="33">
        <v>72</v>
      </c>
      <c r="AX1669" s="33">
        <v>26</v>
      </c>
      <c r="AY1669" s="33" t="s">
        <v>5670</v>
      </c>
      <c r="AZ1669" s="33" t="s">
        <v>5689</v>
      </c>
      <c r="BA1669" s="33">
        <v>200</v>
      </c>
      <c r="BB1669" s="41" t="s">
        <v>5690</v>
      </c>
      <c r="BC1669" s="41" t="s">
        <v>5494</v>
      </c>
      <c r="BD1669" s="41"/>
      <c r="BE1669" s="33"/>
      <c r="BF1669" s="33"/>
      <c r="BG1669" s="33"/>
      <c r="BH1669" s="33" t="s">
        <v>5693</v>
      </c>
      <c r="BI1669" s="250"/>
      <c r="BJ1669" s="250"/>
      <c r="BK1669" s="254" t="s">
        <v>5691</v>
      </c>
      <c r="BL1669" s="263">
        <v>5.3395825622052628</v>
      </c>
      <c r="BM1669" s="33"/>
      <c r="BN1669" s="33"/>
      <c r="BO1669" s="33"/>
      <c r="BP1669" s="33"/>
      <c r="BQ1669" s="33"/>
      <c r="BR1669" s="33"/>
      <c r="BS1669" s="33"/>
      <c r="BT1669" s="33"/>
      <c r="BU1669" s="246"/>
      <c r="BV1669" s="33"/>
      <c r="BW1669" s="33"/>
      <c r="BX1669" s="33"/>
      <c r="BY1669" s="33"/>
      <c r="BZ1669" s="33"/>
      <c r="CA1669" s="33"/>
      <c r="CB1669" s="33"/>
      <c r="CC1669" s="33"/>
      <c r="CD1669" s="33"/>
      <c r="CE1669" s="33"/>
      <c r="CF1669" s="33">
        <v>12.200000000000001</v>
      </c>
      <c r="CG1669" s="33"/>
      <c r="CH1669" s="33"/>
      <c r="CI1669" s="250">
        <v>12.200000000000001</v>
      </c>
      <c r="CJ1669" s="243">
        <f t="shared" si="408"/>
        <v>1.0863598306747482</v>
      </c>
      <c r="CK1669" s="38"/>
      <c r="CL1669" s="247">
        <f t="shared" si="415"/>
        <v>0.43767070182010348</v>
      </c>
      <c r="CM1669" s="247">
        <v>-0.7518228197217347</v>
      </c>
      <c r="CN1669" s="247"/>
      <c r="CO1669" s="41" t="s">
        <v>5494</v>
      </c>
      <c r="CP1669" s="143" t="s">
        <v>5692</v>
      </c>
      <c r="CQ1669" s="241">
        <v>2.3058777017553444E-2</v>
      </c>
      <c r="CR1669" s="241">
        <f t="shared" si="417"/>
        <v>11.569139389579508</v>
      </c>
      <c r="CS1669" s="33"/>
      <c r="CT1669" s="33" t="s">
        <v>6310</v>
      </c>
      <c r="CU1669" s="250">
        <f t="shared" si="418"/>
        <v>3.2786885245901636</v>
      </c>
      <c r="CV1669" s="337"/>
      <c r="CW1669" s="330">
        <f t="shared" si="409"/>
        <v>1</v>
      </c>
      <c r="CX1669" s="330" t="s">
        <v>539</v>
      </c>
      <c r="CY1669" s="143" t="s">
        <v>5921</v>
      </c>
    </row>
    <row r="1670" spans="1:103" ht="11.25" customHeight="1" x14ac:dyDescent="0.2">
      <c r="A1670" s="72">
        <v>5</v>
      </c>
      <c r="B1670" s="149">
        <v>630</v>
      </c>
      <c r="C1670" s="54" t="s">
        <v>1879</v>
      </c>
      <c r="D1670" s="54" t="s">
        <v>6544</v>
      </c>
      <c r="E1670" s="59"/>
      <c r="F1670" s="59" t="s">
        <v>1880</v>
      </c>
      <c r="G1670" s="151">
        <v>100970</v>
      </c>
      <c r="H1670" s="55" t="s">
        <v>1881</v>
      </c>
      <c r="I1670" s="55" t="s">
        <v>1881</v>
      </c>
      <c r="J1670" s="55" t="s">
        <v>1882</v>
      </c>
      <c r="K1670" s="55" t="s">
        <v>1883</v>
      </c>
      <c r="L1670" s="55" t="s">
        <v>6625</v>
      </c>
      <c r="M1670" s="55" t="s">
        <v>2342</v>
      </c>
      <c r="N1670" s="60" t="s">
        <v>2342</v>
      </c>
      <c r="O1670" s="55"/>
      <c r="P1670" s="67" t="s">
        <v>1639</v>
      </c>
      <c r="Q1670" s="67" t="s">
        <v>6173</v>
      </c>
      <c r="R1670" s="67" t="s">
        <v>6082</v>
      </c>
      <c r="S1670" s="67" t="s">
        <v>6173</v>
      </c>
      <c r="T1670" s="56">
        <v>140.19</v>
      </c>
      <c r="U1670" s="103">
        <v>449000</v>
      </c>
      <c r="V1670" s="103">
        <v>1000000</v>
      </c>
      <c r="W1670" s="103">
        <v>992469.19512812293</v>
      </c>
      <c r="X1670" s="103">
        <v>449000</v>
      </c>
      <c r="Y1670" s="162">
        <v>10.06</v>
      </c>
      <c r="Z1670" s="56">
        <v>-4.1500000000000004</v>
      </c>
      <c r="AA1670" s="56"/>
      <c r="AB1670" s="56">
        <v>-0.49</v>
      </c>
      <c r="AC1670" s="56">
        <v>0.40629999999999999</v>
      </c>
      <c r="AD1670" s="56">
        <v>0.99</v>
      </c>
      <c r="AE1670" s="56">
        <v>2.17</v>
      </c>
      <c r="AF1670" s="62">
        <f t="shared" si="413"/>
        <v>0.99</v>
      </c>
      <c r="AG1670" s="57">
        <v>-0.33</v>
      </c>
      <c r="AH1670" s="103">
        <v>0.16300000000000001</v>
      </c>
      <c r="AI1670" s="103">
        <v>1.6399999999999999E-9</v>
      </c>
      <c r="AJ1670" s="62">
        <f t="shared" si="410"/>
        <v>0.82362127809130603</v>
      </c>
      <c r="AK1670" s="62">
        <f t="shared" si="416"/>
        <v>-7.1737224782649536</v>
      </c>
      <c r="AL1670" s="62">
        <f t="shared" si="414"/>
        <v>-7.1737224782649536</v>
      </c>
      <c r="AM1670" s="62">
        <v>-13.43446</v>
      </c>
      <c r="AN1670" s="154">
        <v>-6.49</v>
      </c>
      <c r="AO1670" s="410"/>
      <c r="AP1670" s="410">
        <v>5.28</v>
      </c>
      <c r="AQ1670" s="154" t="s">
        <v>6311</v>
      </c>
      <c r="AR1670" s="154" t="s">
        <v>6311</v>
      </c>
      <c r="AS1670" s="149" t="s">
        <v>6</v>
      </c>
      <c r="AT1670" s="58" t="s">
        <v>266</v>
      </c>
      <c r="AU1670" s="56">
        <v>2</v>
      </c>
      <c r="AV1670" s="56">
        <v>48</v>
      </c>
      <c r="AW1670" s="56">
        <v>48</v>
      </c>
      <c r="AX1670" s="56">
        <v>26</v>
      </c>
      <c r="AY1670" s="56" t="s">
        <v>647</v>
      </c>
      <c r="AZ1670" s="56" t="s">
        <v>1834</v>
      </c>
      <c r="BA1670" s="56">
        <v>9</v>
      </c>
      <c r="BB1670" s="55" t="s">
        <v>1782</v>
      </c>
      <c r="BC1670" s="55" t="s">
        <v>538</v>
      </c>
      <c r="BD1670" s="55"/>
      <c r="BE1670" s="56" t="s">
        <v>1809</v>
      </c>
      <c r="BF1670" s="56" t="s">
        <v>539</v>
      </c>
      <c r="BG1670" s="56" t="s">
        <v>272</v>
      </c>
      <c r="BH1670" s="56" t="s">
        <v>272</v>
      </c>
      <c r="BI1670" s="153">
        <v>6250</v>
      </c>
      <c r="BJ1670" s="153">
        <v>100000</v>
      </c>
      <c r="BK1670" s="56" t="s">
        <v>1843</v>
      </c>
      <c r="BL1670" s="153">
        <v>38426606.735013537</v>
      </c>
      <c r="BM1670" s="56" t="s">
        <v>541</v>
      </c>
      <c r="BN1670" s="56"/>
      <c r="BO1670" s="56">
        <v>57380</v>
      </c>
      <c r="BP1670" s="56"/>
      <c r="BQ1670" s="56"/>
      <c r="BR1670" s="56">
        <v>45715.959000000003</v>
      </c>
      <c r="BS1670" s="56"/>
      <c r="BT1670" s="56"/>
      <c r="BU1670" s="158"/>
      <c r="BV1670" s="56"/>
      <c r="BW1670" s="56"/>
      <c r="BX1670" s="56"/>
      <c r="BY1670" s="56"/>
      <c r="BZ1670" s="56"/>
      <c r="CA1670" s="56"/>
      <c r="CB1670" s="56"/>
      <c r="CC1670" s="56"/>
      <c r="CD1670" s="56"/>
      <c r="CE1670" s="56"/>
      <c r="CF1670" s="56"/>
      <c r="CG1670" s="56"/>
      <c r="CH1670" s="56"/>
      <c r="CI1670" s="103">
        <v>45715.959000000003</v>
      </c>
      <c r="CJ1670" s="103">
        <f t="shared" si="408"/>
        <v>4.6600678345499329</v>
      </c>
      <c r="CK1670" s="57">
        <f t="shared" ref="CK1670:CK1694" si="419">BL1670/BJ1670</f>
        <v>384.26606735013536</v>
      </c>
      <c r="CL1670" s="160">
        <f t="shared" si="415"/>
        <v>840.55125552574611</v>
      </c>
      <c r="CM1670" s="160"/>
      <c r="CN1670" s="160"/>
      <c r="CO1670" s="55"/>
      <c r="CP1670" s="497" t="s">
        <v>1811</v>
      </c>
      <c r="CQ1670" s="153">
        <v>4.6687898627375946</v>
      </c>
      <c r="CR1670" s="349">
        <f t="shared" si="417"/>
        <v>0.98011711232433996</v>
      </c>
      <c r="CS1670" s="61" t="s">
        <v>539</v>
      </c>
      <c r="CT1670" s="61" t="s">
        <v>6310</v>
      </c>
      <c r="CU1670" s="111">
        <f t="shared" si="418"/>
        <v>9.8215155018403966</v>
      </c>
      <c r="CV1670" s="331">
        <f t="shared" ref="CV1670:CV1694" si="420">X1670/BJ1670</f>
        <v>4.49</v>
      </c>
      <c r="CW1670" s="326">
        <f t="shared" si="409"/>
        <v>1</v>
      </c>
      <c r="CX1670" s="326" t="s">
        <v>539</v>
      </c>
      <c r="CY1670" s="161" t="s">
        <v>6351</v>
      </c>
    </row>
    <row r="1671" spans="1:103" ht="11.25" customHeight="1" x14ac:dyDescent="0.2">
      <c r="A1671" s="72">
        <v>27</v>
      </c>
      <c r="B1671" s="149">
        <v>613</v>
      </c>
      <c r="C1671" s="54" t="s">
        <v>1826</v>
      </c>
      <c r="D1671" s="54" t="s">
        <v>6595</v>
      </c>
      <c r="E1671" s="59"/>
      <c r="F1671" s="59" t="s">
        <v>1827</v>
      </c>
      <c r="G1671" s="151">
        <v>75092</v>
      </c>
      <c r="H1671" s="55" t="s">
        <v>1828</v>
      </c>
      <c r="I1671" s="55" t="s">
        <v>8279</v>
      </c>
      <c r="J1671" s="55" t="s">
        <v>1829</v>
      </c>
      <c r="K1671" s="55" t="s">
        <v>426</v>
      </c>
      <c r="L1671" s="55"/>
      <c r="M1671" s="55" t="s">
        <v>866</v>
      </c>
      <c r="N1671" s="60" t="s">
        <v>6082</v>
      </c>
      <c r="O1671" s="55" t="s">
        <v>498</v>
      </c>
      <c r="P1671" s="67" t="s">
        <v>6183</v>
      </c>
      <c r="Q1671" s="67" t="s">
        <v>6176</v>
      </c>
      <c r="R1671" s="67" t="s">
        <v>6185</v>
      </c>
      <c r="S1671" s="67" t="s">
        <v>6176</v>
      </c>
      <c r="T1671" s="56">
        <v>84.93</v>
      </c>
      <c r="U1671" s="103">
        <v>13000.000000000002</v>
      </c>
      <c r="V1671" s="103">
        <v>10950</v>
      </c>
      <c r="W1671" s="103">
        <v>5741.9727100041027</v>
      </c>
      <c r="X1671" s="103">
        <v>13000.000000000002</v>
      </c>
      <c r="Y1671" s="162">
        <v>7</v>
      </c>
      <c r="Z1671" s="56">
        <v>1.34</v>
      </c>
      <c r="AA1671" s="56">
        <v>1.25</v>
      </c>
      <c r="AB1671" s="56">
        <v>1.36</v>
      </c>
      <c r="AC1671" s="56">
        <v>0.88929999999999998</v>
      </c>
      <c r="AD1671" s="56">
        <v>1.32</v>
      </c>
      <c r="AE1671" s="56">
        <v>1.19</v>
      </c>
      <c r="AF1671" s="56">
        <f t="shared" si="413"/>
        <v>1.25</v>
      </c>
      <c r="AG1671" s="57">
        <v>1.26</v>
      </c>
      <c r="AH1671" s="103">
        <v>9.1400000000000006E-3</v>
      </c>
      <c r="AI1671" s="103">
        <v>3.2499999999999999E-3</v>
      </c>
      <c r="AJ1671" s="62">
        <f t="shared" si="410"/>
        <v>-0.42762013057882037</v>
      </c>
      <c r="AK1671" s="62">
        <f t="shared" si="416"/>
        <v>-0.87668296533377743</v>
      </c>
      <c r="AL1671" s="62">
        <f t="shared" si="414"/>
        <v>-0.87668296533377743</v>
      </c>
      <c r="AM1671" s="62">
        <v>-0.64007999999999998</v>
      </c>
      <c r="AN1671" s="154">
        <v>-0.94899999999999995</v>
      </c>
      <c r="AO1671" s="410"/>
      <c r="AP1671" s="410"/>
      <c r="AQ1671" s="154" t="s">
        <v>6311</v>
      </c>
      <c r="AR1671" s="154" t="s">
        <v>6312</v>
      </c>
      <c r="AS1671" s="149" t="s">
        <v>6</v>
      </c>
      <c r="AT1671" s="58" t="s">
        <v>266</v>
      </c>
      <c r="AU1671" s="56">
        <v>2</v>
      </c>
      <c r="AV1671" s="56" t="s">
        <v>646</v>
      </c>
      <c r="AW1671" s="56" t="s">
        <v>646</v>
      </c>
      <c r="AX1671" s="56">
        <v>26</v>
      </c>
      <c r="AY1671" s="56" t="s">
        <v>647</v>
      </c>
      <c r="AZ1671" s="56" t="s">
        <v>536</v>
      </c>
      <c r="BA1671" s="56">
        <v>10</v>
      </c>
      <c r="BB1671" s="55" t="s">
        <v>1764</v>
      </c>
      <c r="BC1671" s="55" t="s">
        <v>538</v>
      </c>
      <c r="BD1671" s="55"/>
      <c r="BE1671" s="56" t="s">
        <v>1809</v>
      </c>
      <c r="BF1671" s="56" t="s">
        <v>539</v>
      </c>
      <c r="BG1671" s="56" t="s">
        <v>272</v>
      </c>
      <c r="BH1671" s="56" t="s">
        <v>272</v>
      </c>
      <c r="BI1671" s="153">
        <v>156</v>
      </c>
      <c r="BJ1671" s="153">
        <v>500</v>
      </c>
      <c r="BK1671" s="56" t="s">
        <v>1821</v>
      </c>
      <c r="BL1671" s="153">
        <v>273.1537229343171</v>
      </c>
      <c r="BM1671" s="56" t="s">
        <v>541</v>
      </c>
      <c r="BN1671" s="56"/>
      <c r="BO1671" s="56">
        <v>700.29999999999984</v>
      </c>
      <c r="BP1671" s="56"/>
      <c r="BQ1671" s="56"/>
      <c r="BR1671" s="56">
        <v>676.89210000000003</v>
      </c>
      <c r="BS1671" s="56"/>
      <c r="BT1671" s="56"/>
      <c r="BU1671" s="158"/>
      <c r="BV1671" s="56"/>
      <c r="BW1671" s="56"/>
      <c r="BX1671" s="56"/>
      <c r="BY1671" s="56"/>
      <c r="BZ1671" s="56"/>
      <c r="CA1671" s="56"/>
      <c r="CB1671" s="56"/>
      <c r="CC1671" s="56"/>
      <c r="CD1671" s="56"/>
      <c r="CE1671" s="56"/>
      <c r="CF1671" s="56"/>
      <c r="CG1671" s="56"/>
      <c r="CH1671" s="56"/>
      <c r="CI1671" s="103">
        <v>676.89210000000003</v>
      </c>
      <c r="CJ1671" s="103">
        <f t="shared" si="408"/>
        <v>2.8305194454808777</v>
      </c>
      <c r="CK1671" s="57">
        <f t="shared" si="419"/>
        <v>0.54630744586863422</v>
      </c>
      <c r="CL1671" s="160">
        <f t="shared" si="415"/>
        <v>0.40354101183086211</v>
      </c>
      <c r="CM1671" s="160"/>
      <c r="CN1671" s="160"/>
      <c r="CO1671" s="55"/>
      <c r="CP1671" s="497" t="s">
        <v>1811</v>
      </c>
      <c r="CQ1671" s="149">
        <v>2.3231295710264264</v>
      </c>
      <c r="CR1671" s="349">
        <f t="shared" si="417"/>
        <v>3.2165467984405844</v>
      </c>
      <c r="CS1671" s="61" t="s">
        <v>539</v>
      </c>
      <c r="CT1671" s="61" t="s">
        <v>6310</v>
      </c>
      <c r="CU1671" s="111">
        <f t="shared" si="418"/>
        <v>19.205424320951597</v>
      </c>
      <c r="CV1671" s="331">
        <f t="shared" si="420"/>
        <v>26.000000000000004</v>
      </c>
      <c r="CW1671" s="326">
        <f t="shared" si="409"/>
        <v>1</v>
      </c>
      <c r="CX1671" s="326" t="s">
        <v>539</v>
      </c>
      <c r="CY1671" s="161" t="s">
        <v>6351</v>
      </c>
    </row>
    <row r="1672" spans="1:103" ht="11.25" customHeight="1" x14ac:dyDescent="0.2">
      <c r="A1672" s="72">
        <v>38</v>
      </c>
      <c r="B1672" s="149">
        <v>618</v>
      </c>
      <c r="C1672" s="54" t="s">
        <v>1839</v>
      </c>
      <c r="D1672" s="54" t="s">
        <v>6545</v>
      </c>
      <c r="E1672" s="59"/>
      <c r="F1672" s="59" t="s">
        <v>1840</v>
      </c>
      <c r="G1672" s="151">
        <v>107186</v>
      </c>
      <c r="H1672" s="55" t="s">
        <v>1841</v>
      </c>
      <c r="I1672" s="55" t="s">
        <v>1841</v>
      </c>
      <c r="J1672" s="55" t="s">
        <v>1842</v>
      </c>
      <c r="K1672" s="55" t="s">
        <v>659</v>
      </c>
      <c r="L1672" s="55" t="s">
        <v>5527</v>
      </c>
      <c r="M1672" s="55" t="s">
        <v>6624</v>
      </c>
      <c r="N1672" s="60" t="s">
        <v>6088</v>
      </c>
      <c r="O1672" s="55"/>
      <c r="P1672" s="67" t="s">
        <v>6172</v>
      </c>
      <c r="Q1672" s="67" t="s">
        <v>6176</v>
      </c>
      <c r="R1672" s="67" t="s">
        <v>6175</v>
      </c>
      <c r="S1672" s="67" t="s">
        <v>6176</v>
      </c>
      <c r="T1672" s="56">
        <v>58.08</v>
      </c>
      <c r="U1672" s="103">
        <v>1000000</v>
      </c>
      <c r="V1672" s="103">
        <v>317700</v>
      </c>
      <c r="W1672" s="103">
        <v>118584.13982640629</v>
      </c>
      <c r="X1672" s="103">
        <v>1000000</v>
      </c>
      <c r="Y1672" s="162">
        <v>6.88</v>
      </c>
      <c r="Z1672" s="56">
        <v>0.21</v>
      </c>
      <c r="AA1672" s="56">
        <v>0.17</v>
      </c>
      <c r="AB1672" s="56">
        <v>0.08</v>
      </c>
      <c r="AC1672" s="56">
        <v>0.84809999999999997</v>
      </c>
      <c r="AD1672" s="56">
        <v>0.1</v>
      </c>
      <c r="AE1672" s="56">
        <v>0.17</v>
      </c>
      <c r="AF1672" s="56">
        <f t="shared" si="413"/>
        <v>0.17</v>
      </c>
      <c r="AG1672" s="57">
        <v>0.41</v>
      </c>
      <c r="AH1672" s="103">
        <v>5.5999999999999997E-6</v>
      </c>
      <c r="AI1672" s="103">
        <v>4.9899999999999997E-6</v>
      </c>
      <c r="AJ1672" s="62">
        <f t="shared" si="410"/>
        <v>-3.6403782993064513</v>
      </c>
      <c r="AK1672" s="62">
        <f t="shared" si="416"/>
        <v>-3.6904657806892618</v>
      </c>
      <c r="AL1672" s="62">
        <f t="shared" si="414"/>
        <v>-3.6904657806892618</v>
      </c>
      <c r="AM1672" s="62">
        <v>-3.7748599999999999</v>
      </c>
      <c r="AN1672" s="154">
        <v>-3.82</v>
      </c>
      <c r="AO1672" s="410">
        <v>14.43</v>
      </c>
      <c r="AP1672" s="410"/>
      <c r="AQ1672" s="154" t="s">
        <v>6311</v>
      </c>
      <c r="AR1672" s="154" t="s">
        <v>6311</v>
      </c>
      <c r="AS1672" s="149" t="s">
        <v>6</v>
      </c>
      <c r="AT1672" s="58" t="s">
        <v>266</v>
      </c>
      <c r="AU1672" s="56">
        <v>2</v>
      </c>
      <c r="AV1672" s="56" t="s">
        <v>646</v>
      </c>
      <c r="AW1672" s="56" t="s">
        <v>646</v>
      </c>
      <c r="AX1672" s="56">
        <v>26</v>
      </c>
      <c r="AY1672" s="56" t="s">
        <v>647</v>
      </c>
      <c r="AZ1672" s="56" t="s">
        <v>536</v>
      </c>
      <c r="BA1672" s="56">
        <v>10</v>
      </c>
      <c r="BB1672" s="55" t="s">
        <v>1764</v>
      </c>
      <c r="BC1672" s="55" t="s">
        <v>538</v>
      </c>
      <c r="BD1672" s="55"/>
      <c r="BE1672" s="56" t="s">
        <v>1809</v>
      </c>
      <c r="BF1672" s="56" t="s">
        <v>539</v>
      </c>
      <c r="BG1672" s="56" t="s">
        <v>272</v>
      </c>
      <c r="BH1672" s="56" t="s">
        <v>272</v>
      </c>
      <c r="BI1672" s="153">
        <v>1.56</v>
      </c>
      <c r="BJ1672" s="153">
        <v>750</v>
      </c>
      <c r="BK1672" s="56" t="s">
        <v>1843</v>
      </c>
      <c r="BL1672" s="153">
        <v>1932.9721983995692</v>
      </c>
      <c r="BM1672" s="56" t="s">
        <v>541</v>
      </c>
      <c r="BN1672" s="56"/>
      <c r="BO1672" s="56">
        <v>338.9</v>
      </c>
      <c r="BP1672" s="56"/>
      <c r="BQ1672" s="56"/>
      <c r="BR1672" s="56">
        <v>220.70399999999998</v>
      </c>
      <c r="BS1672" s="56"/>
      <c r="BT1672" s="56"/>
      <c r="BU1672" s="158"/>
      <c r="BV1672" s="56"/>
      <c r="BW1672" s="56"/>
      <c r="BX1672" s="56"/>
      <c r="BY1672" s="56"/>
      <c r="BZ1672" s="56"/>
      <c r="CA1672" s="56"/>
      <c r="CB1672" s="56"/>
      <c r="CC1672" s="56"/>
      <c r="CD1672" s="56"/>
      <c r="CE1672" s="56"/>
      <c r="CF1672" s="56"/>
      <c r="CG1672" s="56"/>
      <c r="CH1672" s="56"/>
      <c r="CI1672" s="103">
        <v>220.70399999999998</v>
      </c>
      <c r="CJ1672" s="103">
        <f t="shared" si="408"/>
        <v>2.3438102043088476</v>
      </c>
      <c r="CK1672" s="57">
        <f t="shared" si="419"/>
        <v>2.5772962645327588</v>
      </c>
      <c r="CL1672" s="160">
        <f t="shared" si="415"/>
        <v>8.7582109902836809</v>
      </c>
      <c r="CM1672" s="160"/>
      <c r="CN1672" s="160"/>
      <c r="CO1672" s="55"/>
      <c r="CP1672" s="497" t="s">
        <v>1811</v>
      </c>
      <c r="CQ1672" s="149">
        <v>-0.16502394964466491</v>
      </c>
      <c r="CR1672" s="349">
        <f t="shared" si="417"/>
        <v>322.7261477073169</v>
      </c>
      <c r="CS1672" s="61" t="s">
        <v>539</v>
      </c>
      <c r="CT1672" s="61" t="s">
        <v>6310</v>
      </c>
      <c r="CU1672" s="111">
        <f t="shared" si="418"/>
        <v>4530.9554878932877</v>
      </c>
      <c r="CV1672" s="331">
        <f t="shared" si="420"/>
        <v>1333.3333333333333</v>
      </c>
      <c r="CW1672" s="326">
        <f t="shared" si="409"/>
        <v>1</v>
      </c>
      <c r="CX1672" s="326" t="s">
        <v>539</v>
      </c>
      <c r="CY1672" s="161" t="s">
        <v>6351</v>
      </c>
    </row>
    <row r="1673" spans="1:103" ht="11.25" customHeight="1" x14ac:dyDescent="0.2">
      <c r="A1673" s="72">
        <v>43</v>
      </c>
      <c r="B1673" s="149">
        <v>607</v>
      </c>
      <c r="C1673" s="54" t="s">
        <v>1804</v>
      </c>
      <c r="D1673" s="54" t="s">
        <v>6553</v>
      </c>
      <c r="E1673" s="59"/>
      <c r="F1673" s="59" t="s">
        <v>1805</v>
      </c>
      <c r="G1673" s="151">
        <v>115208</v>
      </c>
      <c r="H1673" s="55" t="s">
        <v>1806</v>
      </c>
      <c r="I1673" s="55" t="s">
        <v>8283</v>
      </c>
      <c r="J1673" s="55" t="s">
        <v>1807</v>
      </c>
      <c r="K1673" s="55" t="s">
        <v>1808</v>
      </c>
      <c r="L1673" s="55" t="s">
        <v>6622</v>
      </c>
      <c r="M1673" s="55" t="s">
        <v>6621</v>
      </c>
      <c r="N1673" s="60" t="s">
        <v>6376</v>
      </c>
      <c r="O1673" s="64" t="s">
        <v>6623</v>
      </c>
      <c r="P1673" s="67"/>
      <c r="Q1673" s="67" t="s">
        <v>6173</v>
      </c>
      <c r="R1673" s="67" t="s">
        <v>6175</v>
      </c>
      <c r="S1673" s="67" t="s">
        <v>6176</v>
      </c>
      <c r="T1673" s="56">
        <v>149.4</v>
      </c>
      <c r="U1673" s="103">
        <v>83300</v>
      </c>
      <c r="V1673" s="103">
        <v>15140.000000000002</v>
      </c>
      <c r="W1673" s="103">
        <v>27819.581821743235</v>
      </c>
      <c r="X1673" s="103">
        <v>83300</v>
      </c>
      <c r="Y1673" s="162">
        <v>6.68</v>
      </c>
      <c r="Z1673" s="56">
        <v>1.21</v>
      </c>
      <c r="AA1673" s="56">
        <v>1.42</v>
      </c>
      <c r="AB1673" s="56">
        <v>1.66</v>
      </c>
      <c r="AC1673" s="56">
        <v>0.82110000000000005</v>
      </c>
      <c r="AD1673" s="56">
        <v>1.58</v>
      </c>
      <c r="AE1673" s="56">
        <v>1.38</v>
      </c>
      <c r="AF1673" s="56">
        <f t="shared" si="413"/>
        <v>1.42</v>
      </c>
      <c r="AG1673" s="57">
        <v>1.42</v>
      </c>
      <c r="AH1673" s="103">
        <v>1.5599999999999999E-7</v>
      </c>
      <c r="AI1673" s="103"/>
      <c r="AJ1673" s="62">
        <f t="shared" si="410"/>
        <v>-5.1954417279581904</v>
      </c>
      <c r="AK1673" s="62"/>
      <c r="AL1673" s="62">
        <f t="shared" si="414"/>
        <v>-5.1954417279581904</v>
      </c>
      <c r="AM1673" s="62">
        <v>-4.8216099999999997</v>
      </c>
      <c r="AN1673" s="154">
        <v>-3.6</v>
      </c>
      <c r="AO1673" s="410">
        <v>12.73</v>
      </c>
      <c r="AP1673" s="410"/>
      <c r="AQ1673" s="154" t="s">
        <v>6311</v>
      </c>
      <c r="AR1673" s="154" t="s">
        <v>6311</v>
      </c>
      <c r="AS1673" s="149" t="s">
        <v>6</v>
      </c>
      <c r="AT1673" s="58" t="s">
        <v>266</v>
      </c>
      <c r="AU1673" s="56">
        <v>2</v>
      </c>
      <c r="AV1673" s="56" t="s">
        <v>646</v>
      </c>
      <c r="AW1673" s="56" t="s">
        <v>646</v>
      </c>
      <c r="AX1673" s="56">
        <v>26</v>
      </c>
      <c r="AY1673" s="56" t="s">
        <v>647</v>
      </c>
      <c r="AZ1673" s="56" t="s">
        <v>536</v>
      </c>
      <c r="BA1673" s="56">
        <v>10</v>
      </c>
      <c r="BB1673" s="55" t="s">
        <v>1764</v>
      </c>
      <c r="BC1673" s="55" t="s">
        <v>538</v>
      </c>
      <c r="BD1673" s="55"/>
      <c r="BE1673" s="56" t="s">
        <v>1809</v>
      </c>
      <c r="BF1673" s="56" t="s">
        <v>539</v>
      </c>
      <c r="BG1673" s="56" t="s">
        <v>272</v>
      </c>
      <c r="BH1673" s="56" t="s">
        <v>272</v>
      </c>
      <c r="BI1673" s="153">
        <v>25</v>
      </c>
      <c r="BJ1673" s="153">
        <v>800</v>
      </c>
      <c r="BK1673" s="56" t="s">
        <v>1810</v>
      </c>
      <c r="BL1673" s="153">
        <v>628.70888438731436</v>
      </c>
      <c r="BM1673" s="56" t="s">
        <v>541</v>
      </c>
      <c r="BN1673" s="56"/>
      <c r="BO1673" s="56">
        <v>417.3</v>
      </c>
      <c r="BP1673" s="56"/>
      <c r="BQ1673" s="56"/>
      <c r="BR1673" s="56">
        <v>404.87400000000002</v>
      </c>
      <c r="BS1673" s="56"/>
      <c r="BT1673" s="56"/>
      <c r="BU1673" s="158"/>
      <c r="BV1673" s="56"/>
      <c r="BW1673" s="56"/>
      <c r="BX1673" s="56"/>
      <c r="BY1673" s="56"/>
      <c r="BZ1673" s="56"/>
      <c r="CA1673" s="56"/>
      <c r="CB1673" s="56"/>
      <c r="CC1673" s="56"/>
      <c r="CD1673" s="56"/>
      <c r="CE1673" s="56"/>
      <c r="CF1673" s="56"/>
      <c r="CG1673" s="56"/>
      <c r="CH1673" s="56"/>
      <c r="CI1673" s="103">
        <v>404.87400000000002</v>
      </c>
      <c r="CJ1673" s="103">
        <f t="shared" si="408"/>
        <v>2.6073198883537856</v>
      </c>
      <c r="CK1673" s="57">
        <f t="shared" si="419"/>
        <v>0.78588610548414295</v>
      </c>
      <c r="CL1673" s="160">
        <f t="shared" si="415"/>
        <v>1.5528507248855552</v>
      </c>
      <c r="CM1673" s="160"/>
      <c r="CN1673" s="160"/>
      <c r="CO1673" s="55"/>
      <c r="CP1673" s="497" t="s">
        <v>1811</v>
      </c>
      <c r="CQ1673" s="149">
        <v>2.3398723828571271</v>
      </c>
      <c r="CR1673" s="349">
        <f t="shared" si="417"/>
        <v>1.8511751234782587</v>
      </c>
      <c r="CS1673" s="61" t="s">
        <v>539</v>
      </c>
      <c r="CT1673" s="61" t="s">
        <v>6310</v>
      </c>
      <c r="CU1673" s="111">
        <f t="shared" si="418"/>
        <v>205.74302128563454</v>
      </c>
      <c r="CV1673" s="331">
        <f t="shared" si="420"/>
        <v>104.125</v>
      </c>
      <c r="CW1673" s="326">
        <f t="shared" si="409"/>
        <v>1</v>
      </c>
      <c r="CX1673" s="326" t="s">
        <v>539</v>
      </c>
      <c r="CY1673" s="161" t="s">
        <v>5921</v>
      </c>
    </row>
    <row r="1674" spans="1:103" ht="11.25" customHeight="1" x14ac:dyDescent="0.2">
      <c r="A1674" s="72">
        <v>46</v>
      </c>
      <c r="B1674" s="149">
        <v>632</v>
      </c>
      <c r="C1674" s="54" t="s">
        <v>629</v>
      </c>
      <c r="D1674" s="54" t="s">
        <v>6537</v>
      </c>
      <c r="E1674" s="59"/>
      <c r="F1674" s="59" t="s">
        <v>630</v>
      </c>
      <c r="G1674" s="151">
        <v>58082</v>
      </c>
      <c r="H1674" s="55" t="s">
        <v>631</v>
      </c>
      <c r="I1674" s="55" t="s">
        <v>631</v>
      </c>
      <c r="J1674" s="55" t="s">
        <v>632</v>
      </c>
      <c r="K1674" s="55" t="s">
        <v>333</v>
      </c>
      <c r="L1674" s="64" t="s">
        <v>279</v>
      </c>
      <c r="M1674" s="55" t="s">
        <v>633</v>
      </c>
      <c r="N1674" s="60" t="s">
        <v>6376</v>
      </c>
      <c r="O1674" s="55" t="s">
        <v>281</v>
      </c>
      <c r="P1674" s="67"/>
      <c r="Q1674" s="67" t="s">
        <v>6173</v>
      </c>
      <c r="R1674" s="67" t="s">
        <v>6185</v>
      </c>
      <c r="S1674" s="67" t="s">
        <v>6176</v>
      </c>
      <c r="T1674" s="56">
        <v>194.19</v>
      </c>
      <c r="U1674" s="103">
        <v>21600</v>
      </c>
      <c r="V1674" s="103">
        <v>2632</v>
      </c>
      <c r="W1674" s="103">
        <v>53484.367190123849</v>
      </c>
      <c r="X1674" s="103">
        <v>21600</v>
      </c>
      <c r="Y1674" s="162">
        <v>7.14</v>
      </c>
      <c r="Z1674" s="56">
        <v>0.16</v>
      </c>
      <c r="AA1674" s="56">
        <v>-7.0000000000000007E-2</v>
      </c>
      <c r="AB1674" s="56">
        <v>0.42</v>
      </c>
      <c r="AC1674" s="56">
        <v>0.85360000000000003</v>
      </c>
      <c r="AD1674" s="56">
        <v>0.28000000000000003</v>
      </c>
      <c r="AE1674" s="56">
        <v>-0.13</v>
      </c>
      <c r="AF1674" s="56">
        <f t="shared" si="413"/>
        <v>-7.0000000000000007E-2</v>
      </c>
      <c r="AG1674" s="57">
        <v>-0.09</v>
      </c>
      <c r="AH1674" s="103">
        <v>3.5800000000000002E-11</v>
      </c>
      <c r="AI1674" s="103"/>
      <c r="AJ1674" s="62">
        <f t="shared" si="410"/>
        <v>-8.834683299668777</v>
      </c>
      <c r="AK1674" s="62"/>
      <c r="AL1674" s="62">
        <f t="shared" si="414"/>
        <v>-8.834683299668777</v>
      </c>
      <c r="AM1674" s="62">
        <v>-12.930309999999999</v>
      </c>
      <c r="AN1674" s="154">
        <v>-6.54</v>
      </c>
      <c r="AO1674" s="410"/>
      <c r="AP1674" s="410">
        <v>0.52</v>
      </c>
      <c r="AQ1674" s="154" t="s">
        <v>6311</v>
      </c>
      <c r="AR1674" s="154" t="s">
        <v>6311</v>
      </c>
      <c r="AS1674" s="149" t="s">
        <v>6</v>
      </c>
      <c r="AT1674" s="58" t="s">
        <v>266</v>
      </c>
      <c r="AU1674" s="56">
        <v>2</v>
      </c>
      <c r="AV1674" s="56" t="s">
        <v>646</v>
      </c>
      <c r="AW1674" s="56" t="s">
        <v>646</v>
      </c>
      <c r="AX1674" s="56">
        <v>26</v>
      </c>
      <c r="AY1674" s="56" t="s">
        <v>647</v>
      </c>
      <c r="AZ1674" s="56" t="s">
        <v>536</v>
      </c>
      <c r="BA1674" s="56">
        <v>10</v>
      </c>
      <c r="BB1674" s="55" t="s">
        <v>1764</v>
      </c>
      <c r="BC1674" s="55" t="s">
        <v>538</v>
      </c>
      <c r="BD1674" s="55"/>
      <c r="BE1674" s="56" t="s">
        <v>1809</v>
      </c>
      <c r="BF1674" s="56" t="s">
        <v>539</v>
      </c>
      <c r="BG1674" s="56" t="s">
        <v>272</v>
      </c>
      <c r="BH1674" s="56" t="s">
        <v>272</v>
      </c>
      <c r="BI1674" s="153">
        <v>18.75</v>
      </c>
      <c r="BJ1674" s="153">
        <v>2000</v>
      </c>
      <c r="BK1674" s="56" t="s">
        <v>1843</v>
      </c>
      <c r="BL1674" s="153">
        <v>7166.8920285460554</v>
      </c>
      <c r="BM1674" s="56" t="s">
        <v>541</v>
      </c>
      <c r="BN1674" s="56"/>
      <c r="BO1674" s="56">
        <v>662.2</v>
      </c>
      <c r="BP1674" s="56"/>
      <c r="BQ1674" s="56"/>
      <c r="BR1674" s="56">
        <v>328.18109999999996</v>
      </c>
      <c r="BS1674" s="56"/>
      <c r="BT1674" s="56"/>
      <c r="BU1674" s="158"/>
      <c r="BV1674" s="56"/>
      <c r="BW1674" s="56"/>
      <c r="BX1674" s="56"/>
      <c r="BY1674" s="56"/>
      <c r="BZ1674" s="56"/>
      <c r="CA1674" s="56"/>
      <c r="CB1674" s="56"/>
      <c r="CC1674" s="56"/>
      <c r="CD1674" s="56"/>
      <c r="CE1674" s="56"/>
      <c r="CF1674" s="56"/>
      <c r="CG1674" s="56"/>
      <c r="CH1674" s="56"/>
      <c r="CI1674" s="103">
        <v>328.18109999999996</v>
      </c>
      <c r="CJ1674" s="103">
        <f t="shared" si="408"/>
        <v>2.5161135663512662</v>
      </c>
      <c r="CK1674" s="57">
        <f t="shared" si="419"/>
        <v>3.5834460142730276</v>
      </c>
      <c r="CL1674" s="160">
        <f t="shared" si="415"/>
        <v>21.838222946251495</v>
      </c>
      <c r="CM1674" s="160"/>
      <c r="CN1674" s="160"/>
      <c r="CO1674" s="55"/>
      <c r="CP1674" s="497" t="s">
        <v>1811</v>
      </c>
      <c r="CQ1674" s="149">
        <v>2.1789769472931693</v>
      </c>
      <c r="CR1674" s="349">
        <f t="shared" si="417"/>
        <v>2.1733847682119203</v>
      </c>
      <c r="CS1674" s="61" t="s">
        <v>539</v>
      </c>
      <c r="CT1674" s="61" t="s">
        <v>6310</v>
      </c>
      <c r="CU1674" s="111">
        <f t="shared" si="418"/>
        <v>65.81731854759461</v>
      </c>
      <c r="CV1674" s="331">
        <f t="shared" si="420"/>
        <v>10.8</v>
      </c>
      <c r="CW1674" s="326">
        <f t="shared" si="409"/>
        <v>1</v>
      </c>
      <c r="CX1674" s="326" t="s">
        <v>539</v>
      </c>
      <c r="CY1674" s="161" t="s">
        <v>6351</v>
      </c>
    </row>
    <row r="1675" spans="1:103" ht="11.25" customHeight="1" x14ac:dyDescent="0.2">
      <c r="A1675" s="72">
        <v>48</v>
      </c>
      <c r="B1675" s="149">
        <v>621</v>
      </c>
      <c r="C1675" s="54" t="s">
        <v>1852</v>
      </c>
      <c r="D1675" s="54" t="s">
        <v>6562</v>
      </c>
      <c r="E1675" s="59"/>
      <c r="F1675" s="59" t="s">
        <v>1853</v>
      </c>
      <c r="G1675" s="151">
        <v>513815</v>
      </c>
      <c r="H1675" s="55" t="s">
        <v>1854</v>
      </c>
      <c r="I1675" s="55" t="s">
        <v>1854</v>
      </c>
      <c r="J1675" s="55" t="s">
        <v>1855</v>
      </c>
      <c r="K1675" s="55" t="s">
        <v>426</v>
      </c>
      <c r="L1675" s="55" t="s">
        <v>5527</v>
      </c>
      <c r="M1675" s="55" t="s">
        <v>6616</v>
      </c>
      <c r="N1675" s="60" t="s">
        <v>6082</v>
      </c>
      <c r="O1675" s="55" t="s">
        <v>498</v>
      </c>
      <c r="P1675" s="67" t="s">
        <v>6183</v>
      </c>
      <c r="Q1675" s="67" t="s">
        <v>6173</v>
      </c>
      <c r="R1675" s="67" t="s">
        <v>6185</v>
      </c>
      <c r="S1675" s="67" t="s">
        <v>6176</v>
      </c>
      <c r="T1675" s="56">
        <v>82.14</v>
      </c>
      <c r="U1675" s="103">
        <v>326</v>
      </c>
      <c r="V1675" s="103">
        <v>80.28</v>
      </c>
      <c r="W1675" s="103">
        <v>108.28160850502327</v>
      </c>
      <c r="X1675" s="103">
        <v>326</v>
      </c>
      <c r="Y1675" s="162">
        <v>7</v>
      </c>
      <c r="Z1675" s="56">
        <v>3.13</v>
      </c>
      <c r="AA1675" s="56"/>
      <c r="AB1675" s="56">
        <v>2.58</v>
      </c>
      <c r="AC1675" s="56">
        <v>0.75060000000000004</v>
      </c>
      <c r="AD1675" s="56">
        <v>2.71</v>
      </c>
      <c r="AE1675" s="56">
        <v>2.97</v>
      </c>
      <c r="AF1675" s="56">
        <f t="shared" si="413"/>
        <v>2.71</v>
      </c>
      <c r="AG1675" s="57">
        <v>2.5</v>
      </c>
      <c r="AH1675" s="103">
        <v>0.191</v>
      </c>
      <c r="AI1675" s="103">
        <v>5.04E-2</v>
      </c>
      <c r="AJ1675" s="62">
        <f t="shared" si="410"/>
        <v>0.89246704093507578</v>
      </c>
      <c r="AK1675" s="62">
        <f>LOG10(AI1675*1000/(0.08206*298.15))</f>
        <v>0.31386421013287347</v>
      </c>
      <c r="AL1675" s="62">
        <f t="shared" si="414"/>
        <v>0.31386421013287347</v>
      </c>
      <c r="AM1675" s="62">
        <v>-0.77951000000000015</v>
      </c>
      <c r="AN1675" s="154">
        <v>0.41899999999999998</v>
      </c>
      <c r="AO1675" s="410"/>
      <c r="AP1675" s="410"/>
      <c r="AQ1675" s="154" t="s">
        <v>6311</v>
      </c>
      <c r="AR1675" s="154" t="s">
        <v>6311</v>
      </c>
      <c r="AS1675" s="149" t="s">
        <v>6</v>
      </c>
      <c r="AT1675" s="58" t="s">
        <v>266</v>
      </c>
      <c r="AU1675" s="56">
        <v>2</v>
      </c>
      <c r="AV1675" s="56" t="s">
        <v>646</v>
      </c>
      <c r="AW1675" s="56" t="s">
        <v>646</v>
      </c>
      <c r="AX1675" s="56">
        <v>26</v>
      </c>
      <c r="AY1675" s="56" t="s">
        <v>647</v>
      </c>
      <c r="AZ1675" s="56" t="s">
        <v>536</v>
      </c>
      <c r="BA1675" s="56">
        <v>10</v>
      </c>
      <c r="BB1675" s="55" t="s">
        <v>1764</v>
      </c>
      <c r="BC1675" s="55" t="s">
        <v>538</v>
      </c>
      <c r="BD1675" s="55"/>
      <c r="BE1675" s="56" t="s">
        <v>1809</v>
      </c>
      <c r="BF1675" s="56" t="s">
        <v>539</v>
      </c>
      <c r="BG1675" s="56" t="s">
        <v>272</v>
      </c>
      <c r="BH1675" s="56" t="s">
        <v>272</v>
      </c>
      <c r="BI1675" s="153">
        <v>9.3738587948874006</v>
      </c>
      <c r="BJ1675" s="153">
        <v>299.96348143639682</v>
      </c>
      <c r="BK1675" s="56" t="s">
        <v>1821</v>
      </c>
      <c r="BL1675" s="153">
        <v>6.5208122878613821</v>
      </c>
      <c r="BM1675" s="56" t="s">
        <v>541</v>
      </c>
      <c r="BN1675" s="56"/>
      <c r="BO1675" s="56">
        <v>132.98381010346924</v>
      </c>
      <c r="BP1675" s="56"/>
      <c r="BQ1675" s="56"/>
      <c r="BR1675" s="56">
        <v>155.24459999999999</v>
      </c>
      <c r="BS1675" s="56"/>
      <c r="BT1675" s="56"/>
      <c r="BU1675" s="158"/>
      <c r="BV1675" s="56"/>
      <c r="BW1675" s="56"/>
      <c r="BX1675" s="56"/>
      <c r="BY1675" s="56"/>
      <c r="BZ1675" s="56"/>
      <c r="CA1675" s="56"/>
      <c r="CB1675" s="56"/>
      <c r="CC1675" s="56"/>
      <c r="CD1675" s="56"/>
      <c r="CE1675" s="56"/>
      <c r="CF1675" s="56"/>
      <c r="CG1675" s="56"/>
      <c r="CH1675" s="56"/>
      <c r="CI1675" s="103">
        <v>132.98381010346924</v>
      </c>
      <c r="CJ1675" s="103">
        <f t="shared" si="408"/>
        <v>2.1237987717136386</v>
      </c>
      <c r="CK1675" s="57">
        <f t="shared" si="419"/>
        <v>2.1738687178305842E-2</v>
      </c>
      <c r="CL1675" s="160">
        <f t="shared" si="415"/>
        <v>4.9034632733020701E-2</v>
      </c>
      <c r="CM1675" s="160"/>
      <c r="CN1675" s="160"/>
      <c r="CO1675" s="55"/>
      <c r="CP1675" s="497" t="s">
        <v>1811</v>
      </c>
      <c r="CQ1675" s="149">
        <v>0.83694937552786552</v>
      </c>
      <c r="CR1675" s="349">
        <f t="shared" si="417"/>
        <v>19.357505716406266</v>
      </c>
      <c r="CS1675" s="61" t="s">
        <v>539</v>
      </c>
      <c r="CT1675" s="61" t="s">
        <v>6310</v>
      </c>
      <c r="CU1675" s="111">
        <f t="shared" si="418"/>
        <v>2.4514262280976369</v>
      </c>
      <c r="CV1675" s="331">
        <f t="shared" si="420"/>
        <v>1.0867989611232856</v>
      </c>
      <c r="CW1675" s="326">
        <f t="shared" si="409"/>
        <v>1</v>
      </c>
      <c r="CX1675" s="326" t="s">
        <v>539</v>
      </c>
      <c r="CY1675" s="161" t="s">
        <v>5921</v>
      </c>
    </row>
    <row r="1676" spans="1:103" ht="11.25" customHeight="1" x14ac:dyDescent="0.2">
      <c r="A1676" s="72">
        <v>58</v>
      </c>
      <c r="B1676" s="149">
        <v>623</v>
      </c>
      <c r="C1676" s="54" t="s">
        <v>1859</v>
      </c>
      <c r="D1676" s="54" t="s">
        <v>6561</v>
      </c>
      <c r="E1676" s="59"/>
      <c r="F1676" s="59" t="s">
        <v>1860</v>
      </c>
      <c r="G1676" s="151">
        <v>371404</v>
      </c>
      <c r="H1676" s="55" t="s">
        <v>1861</v>
      </c>
      <c r="I1676" s="55" t="s">
        <v>1861</v>
      </c>
      <c r="J1676" s="55" t="s">
        <v>1862</v>
      </c>
      <c r="K1676" s="55" t="s">
        <v>1573</v>
      </c>
      <c r="L1676" s="55" t="s">
        <v>5527</v>
      </c>
      <c r="M1676" s="55" t="s">
        <v>6616</v>
      </c>
      <c r="N1676" s="60" t="s">
        <v>6082</v>
      </c>
      <c r="O1676" s="55" t="s">
        <v>498</v>
      </c>
      <c r="P1676" s="67"/>
      <c r="Q1676" s="67" t="s">
        <v>6173</v>
      </c>
      <c r="R1676" s="67" t="s">
        <v>6185</v>
      </c>
      <c r="S1676" s="67" t="s">
        <v>6176</v>
      </c>
      <c r="T1676" s="56">
        <v>111.12</v>
      </c>
      <c r="U1676" s="103"/>
      <c r="V1676" s="103">
        <v>11240</v>
      </c>
      <c r="W1676" s="103">
        <v>2375.7034738548805</v>
      </c>
      <c r="X1676" s="103">
        <v>2375.7034738548805</v>
      </c>
      <c r="Y1676" s="162">
        <v>8.5</v>
      </c>
      <c r="Z1676" s="56">
        <v>1.28</v>
      </c>
      <c r="AA1676" s="56">
        <v>1.1499999999999999</v>
      </c>
      <c r="AB1676" s="56">
        <v>1.18</v>
      </c>
      <c r="AC1676" s="56">
        <v>0.89080000000000004</v>
      </c>
      <c r="AD1676" s="56">
        <v>1.17</v>
      </c>
      <c r="AE1676" s="56">
        <v>1.1499999999999999</v>
      </c>
      <c r="AF1676" s="56">
        <f t="shared" si="413"/>
        <v>1.1499999999999999</v>
      </c>
      <c r="AG1676" s="57">
        <v>1.32</v>
      </c>
      <c r="AH1676" s="103">
        <v>2.2199999999999999E-6</v>
      </c>
      <c r="AI1676" s="103"/>
      <c r="AJ1676" s="62">
        <f t="shared" si="410"/>
        <v>-4.0422133518620136</v>
      </c>
      <c r="AK1676" s="62"/>
      <c r="AL1676" s="62">
        <f t="shared" si="414"/>
        <v>-4.0422133518620136</v>
      </c>
      <c r="AM1676" s="62">
        <v>-6.2953399999999995</v>
      </c>
      <c r="AN1676" s="154">
        <v>-3.81</v>
      </c>
      <c r="AO1676" s="410"/>
      <c r="AP1676" s="410">
        <v>4.66</v>
      </c>
      <c r="AQ1676" s="154" t="s">
        <v>6311</v>
      </c>
      <c r="AR1676" s="154" t="s">
        <v>6311</v>
      </c>
      <c r="AS1676" s="149" t="s">
        <v>6</v>
      </c>
      <c r="AT1676" s="58" t="s">
        <v>266</v>
      </c>
      <c r="AU1676" s="56">
        <v>2</v>
      </c>
      <c r="AV1676" s="56" t="s">
        <v>646</v>
      </c>
      <c r="AW1676" s="56" t="s">
        <v>646</v>
      </c>
      <c r="AX1676" s="56">
        <v>26</v>
      </c>
      <c r="AY1676" s="56" t="s">
        <v>647</v>
      </c>
      <c r="AZ1676" s="56" t="s">
        <v>536</v>
      </c>
      <c r="BA1676" s="56">
        <v>10</v>
      </c>
      <c r="BB1676" s="55" t="s">
        <v>1764</v>
      </c>
      <c r="BC1676" s="55" t="s">
        <v>538</v>
      </c>
      <c r="BD1676" s="55"/>
      <c r="BE1676" s="56" t="s">
        <v>1809</v>
      </c>
      <c r="BF1676" s="56" t="s">
        <v>539</v>
      </c>
      <c r="BG1676" s="56" t="s">
        <v>272</v>
      </c>
      <c r="BH1676" s="56" t="s">
        <v>272</v>
      </c>
      <c r="BI1676" s="153">
        <v>7.8</v>
      </c>
      <c r="BJ1676" s="153">
        <v>250</v>
      </c>
      <c r="BK1676" s="56" t="s">
        <v>1843</v>
      </c>
      <c r="BL1676" s="153">
        <v>404.59846682124487</v>
      </c>
      <c r="BM1676" s="56" t="s">
        <v>541</v>
      </c>
      <c r="BN1676" s="56"/>
      <c r="BO1676" s="56">
        <v>62.73</v>
      </c>
      <c r="BP1676" s="56"/>
      <c r="BQ1676" s="56"/>
      <c r="BR1676" s="56">
        <v>196.6824</v>
      </c>
      <c r="BS1676" s="56"/>
      <c r="BT1676" s="56"/>
      <c r="BU1676" s="158"/>
      <c r="BV1676" s="56"/>
      <c r="BW1676" s="56"/>
      <c r="BX1676" s="56"/>
      <c r="BY1676" s="56"/>
      <c r="BZ1676" s="56"/>
      <c r="CA1676" s="56"/>
      <c r="CB1676" s="56"/>
      <c r="CC1676" s="56"/>
      <c r="CD1676" s="56"/>
      <c r="CE1676" s="56"/>
      <c r="CF1676" s="56"/>
      <c r="CG1676" s="56"/>
      <c r="CH1676" s="56"/>
      <c r="CI1676" s="103">
        <v>62.73</v>
      </c>
      <c r="CJ1676" s="103">
        <f t="shared" si="408"/>
        <v>1.7974752875373343</v>
      </c>
      <c r="CK1676" s="57">
        <f t="shared" si="419"/>
        <v>1.6183938672849796</v>
      </c>
      <c r="CL1676" s="160">
        <f t="shared" si="415"/>
        <v>6.4498400577274815</v>
      </c>
      <c r="CM1676" s="160"/>
      <c r="CN1676" s="160"/>
      <c r="CO1676" s="55"/>
      <c r="CP1676" s="497" t="s">
        <v>1811</v>
      </c>
      <c r="CQ1676" s="149">
        <v>1.271641274119043</v>
      </c>
      <c r="CR1676" s="349">
        <f t="shared" si="417"/>
        <v>3.3560932043988378</v>
      </c>
      <c r="CS1676" s="61" t="s">
        <v>539</v>
      </c>
      <c r="CT1676" s="61" t="s">
        <v>6310</v>
      </c>
      <c r="CU1676" s="111">
        <f t="shared" si="418"/>
        <v>37.871887037380532</v>
      </c>
      <c r="CV1676" s="331">
        <f t="shared" si="420"/>
        <v>9.5028138954195214</v>
      </c>
      <c r="CW1676" s="326">
        <f t="shared" si="409"/>
        <v>1</v>
      </c>
      <c r="CX1676" s="326" t="s">
        <v>539</v>
      </c>
      <c r="CY1676" s="161" t="s">
        <v>6351</v>
      </c>
    </row>
    <row r="1677" spans="1:103" ht="11.25" customHeight="1" x14ac:dyDescent="0.2">
      <c r="A1677" s="72">
        <v>73</v>
      </c>
      <c r="B1677" s="149">
        <v>619</v>
      </c>
      <c r="C1677" s="54" t="s">
        <v>1844</v>
      </c>
      <c r="D1677" s="54" t="s">
        <v>6538</v>
      </c>
      <c r="E1677" s="59"/>
      <c r="F1677" s="59" t="s">
        <v>1845</v>
      </c>
      <c r="G1677" s="151">
        <v>75070</v>
      </c>
      <c r="H1677" s="55" t="s">
        <v>1846</v>
      </c>
      <c r="I1677" s="55" t="s">
        <v>1846</v>
      </c>
      <c r="J1677" s="55" t="s">
        <v>1847</v>
      </c>
      <c r="K1677" s="55" t="s">
        <v>511</v>
      </c>
      <c r="L1677" s="55"/>
      <c r="M1677" s="55" t="s">
        <v>6624</v>
      </c>
      <c r="N1677" s="60" t="s">
        <v>6088</v>
      </c>
      <c r="O1677" s="55"/>
      <c r="P1677" s="67" t="s">
        <v>6172</v>
      </c>
      <c r="Q1677" s="67" t="s">
        <v>6176</v>
      </c>
      <c r="R1677" s="67" t="s">
        <v>6175</v>
      </c>
      <c r="S1677" s="67" t="s">
        <v>6176</v>
      </c>
      <c r="T1677" s="56">
        <v>44.05</v>
      </c>
      <c r="U1677" s="103">
        <v>1000000</v>
      </c>
      <c r="V1677" s="103">
        <v>256800.00000000003</v>
      </c>
      <c r="W1677" s="103">
        <v>71440.734788660862</v>
      </c>
      <c r="X1677" s="103">
        <v>1000000</v>
      </c>
      <c r="Y1677" s="162">
        <v>7</v>
      </c>
      <c r="Z1677" s="56">
        <v>-0.17</v>
      </c>
      <c r="AA1677" s="56">
        <v>-0.34</v>
      </c>
      <c r="AB1677" s="56">
        <v>0.41</v>
      </c>
      <c r="AC1677" s="56">
        <v>0.93489999999999995</v>
      </c>
      <c r="AD1677" s="56">
        <v>0.28999999999999998</v>
      </c>
      <c r="AE1677" s="56">
        <v>-0.16</v>
      </c>
      <c r="AF1677" s="56">
        <f t="shared" si="413"/>
        <v>-0.34</v>
      </c>
      <c r="AG1677" s="57">
        <v>0.05</v>
      </c>
      <c r="AH1677" s="103">
        <v>6.7799999999999995E-5</v>
      </c>
      <c r="AI1677" s="103">
        <v>6.6699999999999995E-5</v>
      </c>
      <c r="AJ1677" s="62">
        <f t="shared" si="410"/>
        <v>-2.5573366324455886</v>
      </c>
      <c r="AK1677" s="62">
        <f t="shared" ref="AK1677:AK1684" si="421">LOG10(AI1677*1000/(0.08206*298.15))</f>
        <v>-2.5644404923961028</v>
      </c>
      <c r="AL1677" s="62">
        <f t="shared" si="414"/>
        <v>-2.5644404923961028</v>
      </c>
      <c r="AM1677" s="62">
        <v>-2.7803900000000001</v>
      </c>
      <c r="AN1677" s="154">
        <v>-2.4300000000000002</v>
      </c>
      <c r="AO1677" s="410"/>
      <c r="AP1677" s="410"/>
      <c r="AQ1677" s="154" t="s">
        <v>6311</v>
      </c>
      <c r="AR1677" s="154" t="s">
        <v>6311</v>
      </c>
      <c r="AS1677" s="149" t="s">
        <v>6</v>
      </c>
      <c r="AT1677" s="58" t="s">
        <v>266</v>
      </c>
      <c r="AU1677" s="56">
        <v>2</v>
      </c>
      <c r="AV1677" s="56" t="s">
        <v>646</v>
      </c>
      <c r="AW1677" s="56" t="s">
        <v>646</v>
      </c>
      <c r="AX1677" s="56">
        <v>26</v>
      </c>
      <c r="AY1677" s="56" t="s">
        <v>647</v>
      </c>
      <c r="AZ1677" s="56" t="s">
        <v>536</v>
      </c>
      <c r="BA1677" s="56">
        <v>10</v>
      </c>
      <c r="BB1677" s="55" t="s">
        <v>1764</v>
      </c>
      <c r="BC1677" s="55" t="s">
        <v>538</v>
      </c>
      <c r="BD1677" s="55"/>
      <c r="BE1677" s="56" t="s">
        <v>1809</v>
      </c>
      <c r="BF1677" s="56" t="s">
        <v>539</v>
      </c>
      <c r="BG1677" s="56" t="s">
        <v>272</v>
      </c>
      <c r="BH1677" s="56" t="s">
        <v>272</v>
      </c>
      <c r="BI1677" s="153">
        <v>1.56</v>
      </c>
      <c r="BJ1677" s="153">
        <v>399.99999999999994</v>
      </c>
      <c r="BK1677" s="56"/>
      <c r="BL1677" s="153">
        <v>3216.7915016643656</v>
      </c>
      <c r="BM1677" s="56" t="s">
        <v>541</v>
      </c>
      <c r="BN1677" s="56"/>
      <c r="BO1677" s="56">
        <v>22.579999999999995</v>
      </c>
      <c r="BP1677" s="56"/>
      <c r="BQ1677" s="56"/>
      <c r="BR1677" s="56">
        <v>12.774499999999998</v>
      </c>
      <c r="BS1677" s="56"/>
      <c r="BT1677" s="56"/>
      <c r="BU1677" s="158"/>
      <c r="BV1677" s="56"/>
      <c r="BW1677" s="56"/>
      <c r="BX1677" s="56"/>
      <c r="BY1677" s="56"/>
      <c r="BZ1677" s="56"/>
      <c r="CA1677" s="56"/>
      <c r="CB1677" s="56"/>
      <c r="CC1677" s="56"/>
      <c r="CD1677" s="56"/>
      <c r="CE1677" s="56"/>
      <c r="CF1677" s="56"/>
      <c r="CG1677" s="56"/>
      <c r="CH1677" s="56"/>
      <c r="CI1677" s="103">
        <v>12.774499999999998</v>
      </c>
      <c r="CJ1677" s="103">
        <f t="shared" si="408"/>
        <v>1.1063439106470228</v>
      </c>
      <c r="CK1677" s="57">
        <f t="shared" si="419"/>
        <v>8.0419787541609153</v>
      </c>
      <c r="CL1677" s="160">
        <f t="shared" si="415"/>
        <v>251.81349576612519</v>
      </c>
      <c r="CM1677" s="160"/>
      <c r="CN1677" s="160"/>
      <c r="CO1677" s="55"/>
      <c r="CP1677" s="497" t="s">
        <v>1811</v>
      </c>
      <c r="CQ1677" s="149">
        <v>1.2727953370537051</v>
      </c>
      <c r="CR1677" s="349">
        <f t="shared" si="417"/>
        <v>0.68162980723471778</v>
      </c>
      <c r="CS1677" s="61" t="s">
        <v>539</v>
      </c>
      <c r="CT1677" s="61"/>
      <c r="CU1677" s="111">
        <f t="shared" si="418"/>
        <v>78280.950330737032</v>
      </c>
      <c r="CV1677" s="331">
        <f t="shared" si="420"/>
        <v>2500.0000000000005</v>
      </c>
      <c r="CW1677" s="326">
        <f t="shared" si="409"/>
        <v>1</v>
      </c>
      <c r="CX1677" s="326"/>
      <c r="CY1677" s="161" t="s">
        <v>6351</v>
      </c>
    </row>
    <row r="1678" spans="1:103" ht="11.25" customHeight="1" x14ac:dyDescent="0.2">
      <c r="A1678" s="72">
        <v>77</v>
      </c>
      <c r="B1678" s="149">
        <v>614</v>
      </c>
      <c r="C1678" s="54" t="s">
        <v>1776</v>
      </c>
      <c r="D1678" s="54" t="s">
        <v>6601</v>
      </c>
      <c r="E1678" s="59"/>
      <c r="F1678" s="59" t="s">
        <v>1777</v>
      </c>
      <c r="G1678" s="151">
        <v>127184</v>
      </c>
      <c r="H1678" s="55" t="s">
        <v>1778</v>
      </c>
      <c r="I1678" s="55" t="s">
        <v>8284</v>
      </c>
      <c r="J1678" s="55" t="s">
        <v>1779</v>
      </c>
      <c r="K1678" s="55" t="s">
        <v>1139</v>
      </c>
      <c r="L1678" s="55" t="s">
        <v>5527</v>
      </c>
      <c r="M1678" s="55" t="s">
        <v>866</v>
      </c>
      <c r="N1678" s="60" t="s">
        <v>6082</v>
      </c>
      <c r="O1678" s="55" t="s">
        <v>498</v>
      </c>
      <c r="P1678" s="67" t="s">
        <v>6183</v>
      </c>
      <c r="Q1678" s="67" t="s">
        <v>6176</v>
      </c>
      <c r="R1678" s="67" t="s">
        <v>6185</v>
      </c>
      <c r="S1678" s="67" t="s">
        <v>6176</v>
      </c>
      <c r="T1678" s="56">
        <v>165.83</v>
      </c>
      <c r="U1678" s="103">
        <v>206</v>
      </c>
      <c r="V1678" s="103">
        <v>80.319999999999993</v>
      </c>
      <c r="W1678" s="103">
        <v>158.36642053993464</v>
      </c>
      <c r="X1678" s="103">
        <v>206</v>
      </c>
      <c r="Y1678" s="162">
        <v>7</v>
      </c>
      <c r="Z1678" s="56">
        <v>2.97</v>
      </c>
      <c r="AA1678" s="56">
        <v>3.4</v>
      </c>
      <c r="AB1678" s="56">
        <v>3.43</v>
      </c>
      <c r="AC1678" s="56">
        <v>0.7944</v>
      </c>
      <c r="AD1678" s="56">
        <v>3.3</v>
      </c>
      <c r="AE1678" s="56">
        <v>2.95</v>
      </c>
      <c r="AF1678" s="56">
        <f t="shared" si="413"/>
        <v>3.4</v>
      </c>
      <c r="AG1678" s="57">
        <v>2.52</v>
      </c>
      <c r="AH1678" s="103">
        <v>1.6500000000000001E-2</v>
      </c>
      <c r="AI1678" s="103">
        <v>1.77E-2</v>
      </c>
      <c r="AJ1678" s="62">
        <f t="shared" si="410"/>
        <v>-0.17108238209874552</v>
      </c>
      <c r="AK1678" s="62">
        <f t="shared" si="421"/>
        <v>-0.14059305995084523</v>
      </c>
      <c r="AL1678" s="62">
        <f t="shared" si="414"/>
        <v>-0.14059305995084523</v>
      </c>
      <c r="AM1678" s="62">
        <v>-2.4583099999999996</v>
      </c>
      <c r="AN1678" s="154">
        <v>0.47299999999999998</v>
      </c>
      <c r="AO1678" s="410"/>
      <c r="AP1678" s="410"/>
      <c r="AQ1678" s="154" t="s">
        <v>6311</v>
      </c>
      <c r="AR1678" s="154" t="s">
        <v>6311</v>
      </c>
      <c r="AS1678" s="149" t="s">
        <v>6</v>
      </c>
      <c r="AT1678" s="58" t="s">
        <v>266</v>
      </c>
      <c r="AU1678" s="56">
        <v>2</v>
      </c>
      <c r="AV1678" s="56" t="s">
        <v>646</v>
      </c>
      <c r="AW1678" s="56" t="s">
        <v>646</v>
      </c>
      <c r="AX1678" s="56">
        <v>26</v>
      </c>
      <c r="AY1678" s="56" t="s">
        <v>647</v>
      </c>
      <c r="AZ1678" s="56" t="s">
        <v>536</v>
      </c>
      <c r="BA1678" s="56">
        <v>10</v>
      </c>
      <c r="BB1678" s="55" t="s">
        <v>1764</v>
      </c>
      <c r="BC1678" s="55" t="s">
        <v>538</v>
      </c>
      <c r="BD1678" s="55"/>
      <c r="BE1678" s="56" t="s">
        <v>1809</v>
      </c>
      <c r="BF1678" s="56" t="s">
        <v>539</v>
      </c>
      <c r="BG1678" s="56" t="s">
        <v>272</v>
      </c>
      <c r="BH1678" s="56" t="s">
        <v>272</v>
      </c>
      <c r="BI1678" s="153">
        <v>6.25</v>
      </c>
      <c r="BJ1678" s="153">
        <v>200</v>
      </c>
      <c r="BK1678" s="56" t="s">
        <v>1810</v>
      </c>
      <c r="BL1678" s="153">
        <v>18.327621224191194</v>
      </c>
      <c r="BM1678" s="56" t="s">
        <v>541</v>
      </c>
      <c r="BN1678" s="56"/>
      <c r="BO1678" s="56">
        <v>48.752295319869397</v>
      </c>
      <c r="BP1678" s="56"/>
      <c r="BQ1678" s="56"/>
      <c r="BR1678" s="56">
        <v>41.457500000000003</v>
      </c>
      <c r="BS1678" s="56"/>
      <c r="BT1678" s="56"/>
      <c r="BU1678" s="158"/>
      <c r="BV1678" s="56"/>
      <c r="BW1678" s="56"/>
      <c r="BX1678" s="56"/>
      <c r="BY1678" s="56"/>
      <c r="BZ1678" s="56"/>
      <c r="CA1678" s="56"/>
      <c r="CB1678" s="56"/>
      <c r="CC1678" s="56"/>
      <c r="CD1678" s="56"/>
      <c r="CE1678" s="56"/>
      <c r="CF1678" s="56"/>
      <c r="CG1678" s="56"/>
      <c r="CH1678" s="56"/>
      <c r="CI1678" s="103">
        <v>41.457500000000003</v>
      </c>
      <c r="CJ1678" s="103">
        <f t="shared" si="408"/>
        <v>1.6176031094090595</v>
      </c>
      <c r="CK1678" s="57">
        <f t="shared" si="419"/>
        <v>9.1638106120955964E-2</v>
      </c>
      <c r="CL1678" s="160">
        <f t="shared" si="415"/>
        <v>0.44208216183299026</v>
      </c>
      <c r="CM1678" s="160"/>
      <c r="CN1678" s="160"/>
      <c r="CO1678" s="55"/>
      <c r="CP1678" s="497" t="s">
        <v>1811</v>
      </c>
      <c r="CQ1678" s="149">
        <v>1.0108634047408867</v>
      </c>
      <c r="CR1678" s="349">
        <f t="shared" si="417"/>
        <v>4.0433348091854286</v>
      </c>
      <c r="CS1678" s="61" t="s">
        <v>539</v>
      </c>
      <c r="CT1678" s="61" t="s">
        <v>6310</v>
      </c>
      <c r="CU1678" s="111">
        <f t="shared" si="418"/>
        <v>4.9689440993788816</v>
      </c>
      <c r="CV1678" s="331">
        <f t="shared" si="420"/>
        <v>1.03</v>
      </c>
      <c r="CW1678" s="326">
        <f t="shared" si="409"/>
        <v>1</v>
      </c>
      <c r="CX1678" s="326" t="s">
        <v>539</v>
      </c>
      <c r="CY1678" s="161" t="s">
        <v>6351</v>
      </c>
    </row>
    <row r="1679" spans="1:103" ht="11.25" customHeight="1" x14ac:dyDescent="0.2">
      <c r="A1679" s="72">
        <v>80</v>
      </c>
      <c r="B1679" s="149">
        <v>608</v>
      </c>
      <c r="C1679" s="54" t="s">
        <v>1812</v>
      </c>
      <c r="D1679" s="54" t="s">
        <v>6539</v>
      </c>
      <c r="E1679" s="59"/>
      <c r="F1679" s="59" t="s">
        <v>1813</v>
      </c>
      <c r="G1679" s="151">
        <v>84662</v>
      </c>
      <c r="H1679" s="55" t="s">
        <v>1814</v>
      </c>
      <c r="I1679" s="55" t="s">
        <v>1814</v>
      </c>
      <c r="J1679" s="55" t="s">
        <v>1815</v>
      </c>
      <c r="K1679" s="55" t="s">
        <v>357</v>
      </c>
      <c r="L1679" s="55" t="s">
        <v>5527</v>
      </c>
      <c r="M1679" s="55" t="s">
        <v>6082</v>
      </c>
      <c r="N1679" s="60" t="s">
        <v>6082</v>
      </c>
      <c r="O1679" s="55" t="s">
        <v>6083</v>
      </c>
      <c r="P1679" s="67"/>
      <c r="Q1679" s="67" t="s">
        <v>6173</v>
      </c>
      <c r="R1679" s="67" t="s">
        <v>6174</v>
      </c>
      <c r="S1679" s="67" t="s">
        <v>6176</v>
      </c>
      <c r="T1679" s="56">
        <v>222.24</v>
      </c>
      <c r="U1679" s="103">
        <v>1080</v>
      </c>
      <c r="V1679" s="103">
        <v>287.2</v>
      </c>
      <c r="W1679" s="103">
        <v>545.53450942184111</v>
      </c>
      <c r="X1679" s="103">
        <v>1080</v>
      </c>
      <c r="Y1679" s="162">
        <v>7</v>
      </c>
      <c r="Z1679" s="56">
        <v>2.65</v>
      </c>
      <c r="AA1679" s="56">
        <v>2.42</v>
      </c>
      <c r="AB1679" s="56">
        <v>2.72</v>
      </c>
      <c r="AC1679" s="56">
        <v>0.77739999999999998</v>
      </c>
      <c r="AD1679" s="56">
        <v>2.72</v>
      </c>
      <c r="AE1679" s="56">
        <v>2.7</v>
      </c>
      <c r="AF1679" s="56">
        <f t="shared" si="413"/>
        <v>2.42</v>
      </c>
      <c r="AG1679" s="57">
        <v>2.38</v>
      </c>
      <c r="AH1679" s="103">
        <v>3.9400000000000001E-7</v>
      </c>
      <c r="AI1679" s="103">
        <v>6.0999999999999998E-7</v>
      </c>
      <c r="AJ1679" s="62">
        <f t="shared" si="410"/>
        <v>-4.7930701044870778</v>
      </c>
      <c r="AK1679" s="62">
        <f t="shared" si="421"/>
        <v>-4.6032364913018844</v>
      </c>
      <c r="AL1679" s="62">
        <f t="shared" si="414"/>
        <v>-4.6032364913018844</v>
      </c>
      <c r="AM1679" s="62">
        <v>-8.4111799999999999</v>
      </c>
      <c r="AN1679" s="154">
        <v>-5.19</v>
      </c>
      <c r="AO1679" s="410"/>
      <c r="AP1679" s="410"/>
      <c r="AQ1679" s="154" t="s">
        <v>6311</v>
      </c>
      <c r="AR1679" s="154" t="s">
        <v>6312</v>
      </c>
      <c r="AS1679" s="149" t="s">
        <v>6</v>
      </c>
      <c r="AT1679" s="58" t="s">
        <v>266</v>
      </c>
      <c r="AU1679" s="56">
        <v>2</v>
      </c>
      <c r="AV1679" s="56" t="s">
        <v>646</v>
      </c>
      <c r="AW1679" s="56" t="s">
        <v>646</v>
      </c>
      <c r="AX1679" s="56">
        <v>26</v>
      </c>
      <c r="AY1679" s="56" t="s">
        <v>647</v>
      </c>
      <c r="AZ1679" s="56" t="s">
        <v>536</v>
      </c>
      <c r="BA1679" s="56">
        <v>10</v>
      </c>
      <c r="BB1679" s="55" t="s">
        <v>1764</v>
      </c>
      <c r="BC1679" s="55" t="s">
        <v>538</v>
      </c>
      <c r="BD1679" s="55"/>
      <c r="BE1679" s="56" t="s">
        <v>1809</v>
      </c>
      <c r="BF1679" s="56" t="s">
        <v>539</v>
      </c>
      <c r="BG1679" s="56" t="s">
        <v>272</v>
      </c>
      <c r="BH1679" s="56" t="s">
        <v>272</v>
      </c>
      <c r="BI1679" s="153">
        <v>6.25</v>
      </c>
      <c r="BJ1679" s="153">
        <v>200</v>
      </c>
      <c r="BK1679" s="56"/>
      <c r="BL1679" s="153">
        <v>47.605510686091655</v>
      </c>
      <c r="BM1679" s="56" t="s">
        <v>541</v>
      </c>
      <c r="BN1679" s="56"/>
      <c r="BO1679" s="56">
        <v>38.97</v>
      </c>
      <c r="BP1679" s="56"/>
      <c r="BQ1679" s="56"/>
      <c r="BR1679" s="56">
        <v>46.670400000000001</v>
      </c>
      <c r="BS1679" s="56"/>
      <c r="BT1679" s="56"/>
      <c r="BU1679" s="158"/>
      <c r="BV1679" s="56"/>
      <c r="BW1679" s="56"/>
      <c r="BX1679" s="56"/>
      <c r="BY1679" s="56"/>
      <c r="BZ1679" s="56"/>
      <c r="CA1679" s="56"/>
      <c r="CB1679" s="56"/>
      <c r="CC1679" s="56"/>
      <c r="CD1679" s="56"/>
      <c r="CE1679" s="56"/>
      <c r="CF1679" s="56"/>
      <c r="CG1679" s="56"/>
      <c r="CH1679" s="56"/>
      <c r="CI1679" s="103">
        <v>38.97</v>
      </c>
      <c r="CJ1679" s="103">
        <f t="shared" si="408"/>
        <v>1.5907304057926903</v>
      </c>
      <c r="CK1679" s="57">
        <f t="shared" si="419"/>
        <v>0.23802755343045828</v>
      </c>
      <c r="CL1679" s="160">
        <f t="shared" si="415"/>
        <v>1.2215938077005815</v>
      </c>
      <c r="CM1679" s="160"/>
      <c r="CN1679" s="160"/>
      <c r="CO1679" s="55"/>
      <c r="CP1679" s="497" t="s">
        <v>1811</v>
      </c>
      <c r="CQ1679" s="149">
        <v>1.4806759069734372</v>
      </c>
      <c r="CR1679" s="349">
        <f t="shared" si="417"/>
        <v>1.2884112219139685</v>
      </c>
      <c r="CS1679" s="61" t="s">
        <v>539</v>
      </c>
      <c r="CT1679" s="61"/>
      <c r="CU1679" s="111">
        <f t="shared" si="418"/>
        <v>27.713625866050808</v>
      </c>
      <c r="CV1679" s="331">
        <f t="shared" si="420"/>
        <v>5.4</v>
      </c>
      <c r="CW1679" s="326">
        <f t="shared" si="409"/>
        <v>1</v>
      </c>
      <c r="CX1679" s="326"/>
      <c r="CY1679" s="161" t="s">
        <v>6351</v>
      </c>
    </row>
    <row r="1680" spans="1:103" ht="11.25" customHeight="1" x14ac:dyDescent="0.2">
      <c r="A1680" s="72">
        <v>93</v>
      </c>
      <c r="B1680" s="149">
        <v>615</v>
      </c>
      <c r="C1680" s="54" t="s">
        <v>1830</v>
      </c>
      <c r="D1680" s="54" t="s">
        <v>6599</v>
      </c>
      <c r="E1680" s="59"/>
      <c r="F1680" s="59" t="s">
        <v>1831</v>
      </c>
      <c r="G1680" s="151">
        <v>120821</v>
      </c>
      <c r="H1680" s="55" t="s">
        <v>1832</v>
      </c>
      <c r="I1680" s="55" t="s">
        <v>8038</v>
      </c>
      <c r="J1680" s="55" t="s">
        <v>1833</v>
      </c>
      <c r="K1680" s="55" t="s">
        <v>426</v>
      </c>
      <c r="L1680" s="55" t="s">
        <v>5527</v>
      </c>
      <c r="M1680" s="55" t="s">
        <v>866</v>
      </c>
      <c r="N1680" s="60" t="s">
        <v>6082</v>
      </c>
      <c r="O1680" s="55" t="s">
        <v>6086</v>
      </c>
      <c r="P1680" s="67" t="s">
        <v>6183</v>
      </c>
      <c r="Q1680" s="67" t="s">
        <v>6176</v>
      </c>
      <c r="R1680" s="67" t="s">
        <v>6185</v>
      </c>
      <c r="S1680" s="67" t="s">
        <v>6176</v>
      </c>
      <c r="T1680" s="56">
        <v>181.45</v>
      </c>
      <c r="U1680" s="103">
        <v>49</v>
      </c>
      <c r="V1680" s="103">
        <v>19.989999999999998</v>
      </c>
      <c r="W1680" s="103">
        <v>5.4797023966694614</v>
      </c>
      <c r="X1680" s="103">
        <v>49</v>
      </c>
      <c r="Y1680" s="162">
        <v>7</v>
      </c>
      <c r="Z1680" s="56">
        <v>3.93</v>
      </c>
      <c r="AA1680" s="56">
        <v>4.0199999999999996</v>
      </c>
      <c r="AB1680" s="56">
        <v>3.92</v>
      </c>
      <c r="AC1680" s="56">
        <v>0.89549999999999996</v>
      </c>
      <c r="AD1680" s="56">
        <v>3.9</v>
      </c>
      <c r="AE1680" s="56">
        <v>3.82</v>
      </c>
      <c r="AF1680" s="56">
        <f t="shared" si="413"/>
        <v>4.0199999999999996</v>
      </c>
      <c r="AG1680" s="57">
        <v>3.84</v>
      </c>
      <c r="AH1680" s="103">
        <v>2.1900000000000001E-3</v>
      </c>
      <c r="AI1680" s="103">
        <v>1.42E-3</v>
      </c>
      <c r="AJ1680" s="62">
        <f t="shared" si="410"/>
        <v>-1.0481222114725335</v>
      </c>
      <c r="AK1680" s="62">
        <f t="shared" si="421"/>
        <v>-1.2362779819295953</v>
      </c>
      <c r="AL1680" s="62">
        <f t="shared" si="414"/>
        <v>-1.2362779819295953</v>
      </c>
      <c r="AM1680" s="62">
        <v>-3.28653</v>
      </c>
      <c r="AN1680" s="154">
        <v>-1.17</v>
      </c>
      <c r="AO1680" s="410"/>
      <c r="AP1680" s="410"/>
      <c r="AQ1680" s="154" t="s">
        <v>6311</v>
      </c>
      <c r="AR1680" s="154" t="s">
        <v>6311</v>
      </c>
      <c r="AS1680" s="149" t="s">
        <v>6</v>
      </c>
      <c r="AT1680" s="58" t="s">
        <v>266</v>
      </c>
      <c r="AU1680" s="56">
        <v>2</v>
      </c>
      <c r="AV1680" s="56" t="s">
        <v>646</v>
      </c>
      <c r="AW1680" s="56" t="s">
        <v>646</v>
      </c>
      <c r="AX1680" s="56">
        <v>26</v>
      </c>
      <c r="AY1680" s="56" t="s">
        <v>647</v>
      </c>
      <c r="AZ1680" s="56" t="s">
        <v>1834</v>
      </c>
      <c r="BA1680" s="56">
        <v>9</v>
      </c>
      <c r="BB1680" s="55" t="s">
        <v>1782</v>
      </c>
      <c r="BC1680" s="55" t="s">
        <v>538</v>
      </c>
      <c r="BD1680" s="55"/>
      <c r="BE1680" s="56" t="s">
        <v>1809</v>
      </c>
      <c r="BF1680" s="56" t="s">
        <v>539</v>
      </c>
      <c r="BG1680" s="56" t="s">
        <v>272</v>
      </c>
      <c r="BH1680" s="56" t="s">
        <v>1820</v>
      </c>
      <c r="BI1680" s="153">
        <v>2.5</v>
      </c>
      <c r="BJ1680" s="153">
        <v>40</v>
      </c>
      <c r="BK1680" s="56" t="s">
        <v>1810</v>
      </c>
      <c r="BL1680" s="153">
        <v>2.7543807376682925</v>
      </c>
      <c r="BM1680" s="56" t="s">
        <v>541</v>
      </c>
      <c r="BN1680" s="56"/>
      <c r="BO1680" s="56">
        <v>17.89</v>
      </c>
      <c r="BP1680" s="56"/>
      <c r="BQ1680" s="56"/>
      <c r="BR1680" s="56">
        <v>17.237749999999998</v>
      </c>
      <c r="BS1680" s="56"/>
      <c r="BT1680" s="56"/>
      <c r="BU1680" s="158"/>
      <c r="BV1680" s="56"/>
      <c r="BW1680" s="56"/>
      <c r="BX1680" s="56"/>
      <c r="BY1680" s="56"/>
      <c r="BZ1680" s="56"/>
      <c r="CA1680" s="56"/>
      <c r="CB1680" s="56"/>
      <c r="CC1680" s="56"/>
      <c r="CD1680" s="56"/>
      <c r="CE1680" s="56"/>
      <c r="CF1680" s="56"/>
      <c r="CG1680" s="56"/>
      <c r="CH1680" s="56"/>
      <c r="CI1680" s="103">
        <v>17.237749999999998</v>
      </c>
      <c r="CJ1680" s="103">
        <f t="shared" si="408"/>
        <v>1.2364805778254231</v>
      </c>
      <c r="CK1680" s="57">
        <f t="shared" si="419"/>
        <v>6.8859518441707318E-2</v>
      </c>
      <c r="CL1680" s="160">
        <f t="shared" si="415"/>
        <v>0.15978771809942091</v>
      </c>
      <c r="CM1680" s="160"/>
      <c r="CN1680" s="160"/>
      <c r="CO1680" s="55"/>
      <c r="CP1680" s="497" t="s">
        <v>1811</v>
      </c>
      <c r="CQ1680" s="149">
        <v>0.44808361068751446</v>
      </c>
      <c r="CR1680" s="349">
        <f t="shared" si="417"/>
        <v>6.1432327117625505</v>
      </c>
      <c r="CS1680" s="61" t="s">
        <v>539</v>
      </c>
      <c r="CT1680" s="61" t="s">
        <v>6310</v>
      </c>
      <c r="CU1680" s="111">
        <f t="shared" si="418"/>
        <v>2.8425983669562447</v>
      </c>
      <c r="CV1680" s="331">
        <f t="shared" si="420"/>
        <v>1.2250000000000001</v>
      </c>
      <c r="CW1680" s="326">
        <f t="shared" si="409"/>
        <v>1</v>
      </c>
      <c r="CX1680" s="326" t="s">
        <v>539</v>
      </c>
      <c r="CY1680" s="161" t="s">
        <v>6351</v>
      </c>
    </row>
    <row r="1681" spans="1:103" ht="11.25" customHeight="1" x14ac:dyDescent="0.2">
      <c r="A1681" s="72">
        <v>99</v>
      </c>
      <c r="B1681" s="149">
        <v>612</v>
      </c>
      <c r="C1681" s="54" t="s">
        <v>1822</v>
      </c>
      <c r="D1681" s="54" t="s">
        <v>6542</v>
      </c>
      <c r="E1681" s="59"/>
      <c r="F1681" s="59" t="s">
        <v>1823</v>
      </c>
      <c r="G1681" s="151">
        <v>95501</v>
      </c>
      <c r="H1681" s="55" t="s">
        <v>1824</v>
      </c>
      <c r="I1681" s="55" t="s">
        <v>8009</v>
      </c>
      <c r="J1681" s="55" t="s">
        <v>1825</v>
      </c>
      <c r="K1681" s="55" t="s">
        <v>426</v>
      </c>
      <c r="L1681" s="55" t="s">
        <v>5527</v>
      </c>
      <c r="M1681" s="55" t="s">
        <v>6082</v>
      </c>
      <c r="N1681" s="60" t="s">
        <v>6082</v>
      </c>
      <c r="O1681" s="55" t="s">
        <v>6083</v>
      </c>
      <c r="P1681" s="67" t="s">
        <v>6183</v>
      </c>
      <c r="Q1681" s="67" t="s">
        <v>6176</v>
      </c>
      <c r="R1681" s="67" t="s">
        <v>6185</v>
      </c>
      <c r="S1681" s="67" t="s">
        <v>6182</v>
      </c>
      <c r="T1681" s="56">
        <v>147</v>
      </c>
      <c r="U1681" s="103">
        <v>80.000000000000014</v>
      </c>
      <c r="V1681" s="103">
        <v>92.03</v>
      </c>
      <c r="W1681" s="103">
        <v>21.742893306072631</v>
      </c>
      <c r="X1681" s="103">
        <v>80.000000000000014</v>
      </c>
      <c r="Y1681" s="162">
        <v>7</v>
      </c>
      <c r="Z1681" s="56">
        <v>3.28</v>
      </c>
      <c r="AA1681" s="56">
        <v>3.43</v>
      </c>
      <c r="AB1681" s="56">
        <v>3.25</v>
      </c>
      <c r="AC1681" s="56">
        <v>0.92110000000000003</v>
      </c>
      <c r="AD1681" s="56">
        <v>3.26</v>
      </c>
      <c r="AE1681" s="56">
        <v>3.28</v>
      </c>
      <c r="AF1681" s="56">
        <f t="shared" si="413"/>
        <v>3.43</v>
      </c>
      <c r="AG1681" s="57">
        <v>3.16</v>
      </c>
      <c r="AH1681" s="103">
        <v>2.96E-3</v>
      </c>
      <c r="AI1681" s="103">
        <v>1.92E-3</v>
      </c>
      <c r="AJ1681" s="62">
        <f t="shared" si="410"/>
        <v>-0.91727461525371323</v>
      </c>
      <c r="AK1681" s="62">
        <f t="shared" si="421"/>
        <v>-1.1052650976091021</v>
      </c>
      <c r="AL1681" s="62">
        <f t="shared" si="414"/>
        <v>-1.1052650976091021</v>
      </c>
      <c r="AM1681" s="62">
        <v>-3.1465000000000001</v>
      </c>
      <c r="AN1681" s="154">
        <v>-0.98599999999999999</v>
      </c>
      <c r="AO1681" s="410"/>
      <c r="AP1681" s="410"/>
      <c r="AQ1681" s="154" t="s">
        <v>6311</v>
      </c>
      <c r="AR1681" s="154" t="s">
        <v>6311</v>
      </c>
      <c r="AS1681" s="149" t="s">
        <v>6</v>
      </c>
      <c r="AT1681" s="58" t="s">
        <v>266</v>
      </c>
      <c r="AU1681" s="56">
        <v>2</v>
      </c>
      <c r="AV1681" s="56" t="s">
        <v>646</v>
      </c>
      <c r="AW1681" s="56" t="s">
        <v>646</v>
      </c>
      <c r="AX1681" s="56">
        <v>26</v>
      </c>
      <c r="AY1681" s="56" t="s">
        <v>647</v>
      </c>
      <c r="AZ1681" s="56" t="s">
        <v>536</v>
      </c>
      <c r="BA1681" s="56">
        <v>10</v>
      </c>
      <c r="BB1681" s="55" t="s">
        <v>1764</v>
      </c>
      <c r="BC1681" s="55" t="s">
        <v>538</v>
      </c>
      <c r="BD1681" s="55"/>
      <c r="BE1681" s="56" t="s">
        <v>1809</v>
      </c>
      <c r="BF1681" s="56" t="s">
        <v>539</v>
      </c>
      <c r="BG1681" s="56" t="s">
        <v>272</v>
      </c>
      <c r="BH1681" s="56" t="s">
        <v>272</v>
      </c>
      <c r="BI1681" s="153">
        <v>1.2500000000000002</v>
      </c>
      <c r="BJ1681" s="153">
        <v>40.000000000000007</v>
      </c>
      <c r="BK1681" s="56" t="s">
        <v>1810</v>
      </c>
      <c r="BL1681" s="153">
        <v>8.5575478214277876</v>
      </c>
      <c r="BM1681" s="56" t="s">
        <v>541</v>
      </c>
      <c r="BN1681" s="56"/>
      <c r="BO1681" s="56">
        <v>13.85</v>
      </c>
      <c r="BP1681" s="56"/>
      <c r="BQ1681" s="56"/>
      <c r="BR1681" s="56">
        <v>10.436999999999999</v>
      </c>
      <c r="BS1681" s="56"/>
      <c r="BT1681" s="56"/>
      <c r="BU1681" s="158"/>
      <c r="BV1681" s="56"/>
      <c r="BW1681" s="56"/>
      <c r="BX1681" s="56"/>
      <c r="BY1681" s="56"/>
      <c r="BZ1681" s="56"/>
      <c r="CA1681" s="56"/>
      <c r="CB1681" s="56"/>
      <c r="CC1681" s="56"/>
      <c r="CD1681" s="56"/>
      <c r="CE1681" s="56"/>
      <c r="CF1681" s="56"/>
      <c r="CG1681" s="56"/>
      <c r="CH1681" s="56"/>
      <c r="CI1681" s="103">
        <v>10.436999999999999</v>
      </c>
      <c r="CJ1681" s="103">
        <f t="shared" si="408"/>
        <v>1.0185756834672515</v>
      </c>
      <c r="CK1681" s="57">
        <f t="shared" si="419"/>
        <v>0.21393869553569464</v>
      </c>
      <c r="CL1681" s="160">
        <f t="shared" si="415"/>
        <v>0.81992409901578889</v>
      </c>
      <c r="CM1681" s="160"/>
      <c r="CN1681" s="160"/>
      <c r="CO1681" s="55"/>
      <c r="CP1681" s="497" t="s">
        <v>1811</v>
      </c>
      <c r="CQ1681" s="149">
        <v>0.83096433084659549</v>
      </c>
      <c r="CR1681" s="349">
        <f t="shared" si="417"/>
        <v>1.5403214121248237</v>
      </c>
      <c r="CS1681" s="61" t="s">
        <v>539</v>
      </c>
      <c r="CT1681" s="61" t="s">
        <v>6310</v>
      </c>
      <c r="CU1681" s="111">
        <f t="shared" si="418"/>
        <v>7.6650378461243669</v>
      </c>
      <c r="CV1681" s="331">
        <f t="shared" si="420"/>
        <v>2</v>
      </c>
      <c r="CW1681" s="326">
        <f t="shared" si="409"/>
        <v>1</v>
      </c>
      <c r="CX1681" s="326" t="s">
        <v>539</v>
      </c>
      <c r="CY1681" s="161" t="s">
        <v>6351</v>
      </c>
    </row>
    <row r="1682" spans="1:103" ht="11.25" customHeight="1" x14ac:dyDescent="0.2">
      <c r="A1682" s="72">
        <v>100</v>
      </c>
      <c r="B1682" s="149">
        <v>611</v>
      </c>
      <c r="C1682" s="54" t="s">
        <v>1816</v>
      </c>
      <c r="D1682" s="54" t="s">
        <v>6540</v>
      </c>
      <c r="E1682" s="59"/>
      <c r="F1682" s="59" t="s">
        <v>1817</v>
      </c>
      <c r="G1682" s="151">
        <v>91203</v>
      </c>
      <c r="H1682" s="55" t="s">
        <v>1818</v>
      </c>
      <c r="I1682" s="55" t="s">
        <v>1818</v>
      </c>
      <c r="J1682" s="55" t="s">
        <v>1819</v>
      </c>
      <c r="K1682" s="55" t="s">
        <v>426</v>
      </c>
      <c r="L1682" s="55" t="s">
        <v>6161</v>
      </c>
      <c r="M1682" s="55" t="s">
        <v>866</v>
      </c>
      <c r="N1682" s="60" t="s">
        <v>6082</v>
      </c>
      <c r="O1682" s="55" t="s">
        <v>6086</v>
      </c>
      <c r="P1682" s="67" t="s">
        <v>6183</v>
      </c>
      <c r="Q1682" s="67" t="s">
        <v>6173</v>
      </c>
      <c r="R1682" s="67" t="s">
        <v>6185</v>
      </c>
      <c r="S1682" s="67" t="s">
        <v>6176</v>
      </c>
      <c r="T1682" s="56">
        <v>128.16999999999999</v>
      </c>
      <c r="U1682" s="103">
        <v>31</v>
      </c>
      <c r="V1682" s="103">
        <v>142.1</v>
      </c>
      <c r="W1682" s="103">
        <v>119.61520373315027</v>
      </c>
      <c r="X1682" s="103">
        <v>31</v>
      </c>
      <c r="Y1682" s="162">
        <v>7</v>
      </c>
      <c r="Z1682" s="56">
        <v>3.17</v>
      </c>
      <c r="AA1682" s="56">
        <v>3.3</v>
      </c>
      <c r="AB1682" s="56">
        <v>3.34</v>
      </c>
      <c r="AC1682" s="56">
        <v>0.91310000000000002</v>
      </c>
      <c r="AD1682" s="56">
        <v>3.37</v>
      </c>
      <c r="AE1682" s="56">
        <v>3.45</v>
      </c>
      <c r="AF1682" s="56">
        <f t="shared" si="413"/>
        <v>3.3</v>
      </c>
      <c r="AG1682" s="57">
        <v>2.95</v>
      </c>
      <c r="AH1682" s="103">
        <v>5.2599999999999999E-4</v>
      </c>
      <c r="AI1682" s="103">
        <v>4.4000000000000002E-4</v>
      </c>
      <c r="AJ1682" s="62">
        <f t="shared" si="410"/>
        <v>-1.6675805821589127</v>
      </c>
      <c r="AK1682" s="62">
        <f t="shared" si="421"/>
        <v>-1.7451136498264643</v>
      </c>
      <c r="AL1682" s="62">
        <f t="shared" si="414"/>
        <v>-1.7451136498264643</v>
      </c>
      <c r="AM1682" s="62">
        <v>-4.5244700000000009</v>
      </c>
      <c r="AN1682" s="154">
        <v>-1.86</v>
      </c>
      <c r="AO1682" s="410"/>
      <c r="AP1682" s="410"/>
      <c r="AQ1682" s="154" t="s">
        <v>6311</v>
      </c>
      <c r="AR1682" s="154" t="s">
        <v>6311</v>
      </c>
      <c r="AS1682" s="149" t="s">
        <v>6</v>
      </c>
      <c r="AT1682" s="58" t="s">
        <v>266</v>
      </c>
      <c r="AU1682" s="56">
        <v>2</v>
      </c>
      <c r="AV1682" s="56" t="s">
        <v>646</v>
      </c>
      <c r="AW1682" s="56" t="s">
        <v>646</v>
      </c>
      <c r="AX1682" s="56">
        <v>26</v>
      </c>
      <c r="AY1682" s="56" t="s">
        <v>647</v>
      </c>
      <c r="AZ1682" s="56" t="s">
        <v>536</v>
      </c>
      <c r="BA1682" s="56">
        <v>10</v>
      </c>
      <c r="BB1682" s="55" t="s">
        <v>1764</v>
      </c>
      <c r="BC1682" s="55" t="s">
        <v>538</v>
      </c>
      <c r="BD1682" s="55"/>
      <c r="BE1682" s="56" t="s">
        <v>1809</v>
      </c>
      <c r="BF1682" s="56" t="s">
        <v>539</v>
      </c>
      <c r="BG1682" s="56" t="s">
        <v>272</v>
      </c>
      <c r="BH1682" s="56" t="s">
        <v>1820</v>
      </c>
      <c r="BI1682" s="153">
        <v>1.875</v>
      </c>
      <c r="BJ1682" s="153">
        <v>30</v>
      </c>
      <c r="BK1682" s="56" t="s">
        <v>1821</v>
      </c>
      <c r="BL1682" s="153">
        <v>9.3671911853439802</v>
      </c>
      <c r="BM1682" s="56" t="s">
        <v>541</v>
      </c>
      <c r="BN1682" s="56"/>
      <c r="BO1682" s="56">
        <v>8.84</v>
      </c>
      <c r="BP1682" s="56"/>
      <c r="BQ1682" s="56"/>
      <c r="BR1682" s="56">
        <v>8.5873899999999992</v>
      </c>
      <c r="BS1682" s="56"/>
      <c r="BT1682" s="56"/>
      <c r="BU1682" s="158"/>
      <c r="BV1682" s="56"/>
      <c r="BW1682" s="56"/>
      <c r="BX1682" s="56"/>
      <c r="BY1682" s="56"/>
      <c r="BZ1682" s="56"/>
      <c r="CA1682" s="56"/>
      <c r="CB1682" s="56"/>
      <c r="CC1682" s="56"/>
      <c r="CD1682" s="56"/>
      <c r="CE1682" s="56"/>
      <c r="CF1682" s="56"/>
      <c r="CG1682" s="56"/>
      <c r="CH1682" s="56"/>
      <c r="CI1682" s="103">
        <v>8.5873899999999992</v>
      </c>
      <c r="CJ1682" s="103">
        <f t="shared" si="408"/>
        <v>0.93386118701677967</v>
      </c>
      <c r="CK1682" s="57">
        <f t="shared" si="419"/>
        <v>0.31223970617813268</v>
      </c>
      <c r="CL1682" s="160">
        <f t="shared" si="415"/>
        <v>1.090807705873843</v>
      </c>
      <c r="CM1682" s="160"/>
      <c r="CN1682" s="160"/>
      <c r="CO1682" s="55"/>
      <c r="CP1682" s="497" t="s">
        <v>1811</v>
      </c>
      <c r="CQ1682" s="149">
        <v>0.81042980838148881</v>
      </c>
      <c r="CR1682" s="349">
        <f t="shared" si="417"/>
        <v>1.3287135951129667</v>
      </c>
      <c r="CS1682" s="61" t="s">
        <v>539</v>
      </c>
      <c r="CT1682" s="61" t="s">
        <v>6310</v>
      </c>
      <c r="CU1682" s="111">
        <f t="shared" si="418"/>
        <v>3.6099443486321228</v>
      </c>
      <c r="CV1682" s="331">
        <f t="shared" si="420"/>
        <v>1.0333333333333334</v>
      </c>
      <c r="CW1682" s="326">
        <f t="shared" si="409"/>
        <v>1</v>
      </c>
      <c r="CX1682" s="326" t="s">
        <v>539</v>
      </c>
      <c r="CY1682" s="161" t="s">
        <v>6351</v>
      </c>
    </row>
    <row r="1683" spans="1:103" ht="11.25" customHeight="1" x14ac:dyDescent="0.2">
      <c r="A1683" s="72">
        <v>106</v>
      </c>
      <c r="B1683" s="149">
        <v>631</v>
      </c>
      <c r="C1683" s="54" t="s">
        <v>1751</v>
      </c>
      <c r="D1683" s="54" t="s">
        <v>6543</v>
      </c>
      <c r="E1683" s="59"/>
      <c r="F1683" s="59" t="s">
        <v>1752</v>
      </c>
      <c r="G1683" s="151">
        <v>100027</v>
      </c>
      <c r="H1683" s="55" t="s">
        <v>1753</v>
      </c>
      <c r="I1683" s="55" t="s">
        <v>1753</v>
      </c>
      <c r="J1683" s="55" t="s">
        <v>1754</v>
      </c>
      <c r="K1683" s="55" t="s">
        <v>349</v>
      </c>
      <c r="L1683" s="55"/>
      <c r="M1683" s="55" t="s">
        <v>1694</v>
      </c>
      <c r="N1683" s="60" t="s">
        <v>6381</v>
      </c>
      <c r="O1683" s="55" t="s">
        <v>1755</v>
      </c>
      <c r="P1683" s="67" t="s">
        <v>6184</v>
      </c>
      <c r="Q1683" s="67" t="s">
        <v>6182</v>
      </c>
      <c r="R1683" s="67" t="s">
        <v>6185</v>
      </c>
      <c r="S1683" s="67" t="s">
        <v>6176</v>
      </c>
      <c r="T1683" s="56">
        <v>139.11000000000001</v>
      </c>
      <c r="U1683" s="103">
        <v>11600</v>
      </c>
      <c r="V1683" s="103">
        <v>7507</v>
      </c>
      <c r="W1683" s="103">
        <v>3744.1940657427303</v>
      </c>
      <c r="X1683" s="103">
        <v>11600</v>
      </c>
      <c r="Y1683" s="162">
        <v>4.4000000000000004</v>
      </c>
      <c r="Z1683" s="56">
        <v>1.91</v>
      </c>
      <c r="AA1683" s="56">
        <v>1.91</v>
      </c>
      <c r="AB1683" s="56">
        <v>1.74</v>
      </c>
      <c r="AC1683" s="56">
        <v>0.92979999999999996</v>
      </c>
      <c r="AD1683" s="56">
        <v>1.71</v>
      </c>
      <c r="AE1683" s="56">
        <v>1.57</v>
      </c>
      <c r="AF1683" s="56">
        <f t="shared" si="413"/>
        <v>1.91</v>
      </c>
      <c r="AG1683" s="57">
        <v>1.08</v>
      </c>
      <c r="AH1683" s="103">
        <v>2.21E-9</v>
      </c>
      <c r="AI1683" s="103">
        <v>4.1500000000000001E-10</v>
      </c>
      <c r="AJ1683" s="62">
        <f t="shared" ref="AJ1683:AJ1714" si="422">LOG10(AH1683*1000/(0.08206*298.15))</f>
        <v>-7.0441740526275414</v>
      </c>
      <c r="AK1683" s="62">
        <f t="shared" si="421"/>
        <v>-7.770518229600559</v>
      </c>
      <c r="AL1683" s="62">
        <f t="shared" si="414"/>
        <v>-7.770518229600559</v>
      </c>
      <c r="AM1683" s="62">
        <v>-9.7192299999999996</v>
      </c>
      <c r="AN1683" s="154">
        <v>-6.89</v>
      </c>
      <c r="AO1683" s="410">
        <v>7.23</v>
      </c>
      <c r="AP1683" s="410"/>
      <c r="AQ1683" s="154" t="s">
        <v>6311</v>
      </c>
      <c r="AR1683" s="154" t="s">
        <v>6311</v>
      </c>
      <c r="AS1683" s="149" t="s">
        <v>6</v>
      </c>
      <c r="AT1683" s="58" t="s">
        <v>266</v>
      </c>
      <c r="AU1683" s="56">
        <v>2</v>
      </c>
      <c r="AV1683" s="56" t="s">
        <v>646</v>
      </c>
      <c r="AW1683" s="56" t="s">
        <v>646</v>
      </c>
      <c r="AX1683" s="56">
        <v>26</v>
      </c>
      <c r="AY1683" s="56" t="s">
        <v>647</v>
      </c>
      <c r="AZ1683" s="56" t="s">
        <v>536</v>
      </c>
      <c r="BA1683" s="56">
        <v>10</v>
      </c>
      <c r="BB1683" s="55" t="s">
        <v>1764</v>
      </c>
      <c r="BC1683" s="55" t="s">
        <v>538</v>
      </c>
      <c r="BD1683" s="55"/>
      <c r="BE1683" s="56" t="s">
        <v>1809</v>
      </c>
      <c r="BF1683" s="56" t="s">
        <v>539</v>
      </c>
      <c r="BG1683" s="56" t="s">
        <v>272</v>
      </c>
      <c r="BH1683" s="56" t="s">
        <v>272</v>
      </c>
      <c r="BI1683" s="153">
        <v>0.98768100000000014</v>
      </c>
      <c r="BJ1683" s="153">
        <v>31.995300000000004</v>
      </c>
      <c r="BK1683" s="56"/>
      <c r="BL1683" s="153">
        <v>137.65352925672985</v>
      </c>
      <c r="BM1683" s="56" t="s">
        <v>541</v>
      </c>
      <c r="BN1683" s="56"/>
      <c r="BO1683" s="56">
        <v>11.85</v>
      </c>
      <c r="BP1683" s="56"/>
      <c r="BQ1683" s="56"/>
      <c r="BR1683" s="56">
        <v>7.9292700000000007</v>
      </c>
      <c r="BS1683" s="56"/>
      <c r="BT1683" s="56"/>
      <c r="BU1683" s="158"/>
      <c r="BV1683" s="56"/>
      <c r="BW1683" s="56"/>
      <c r="BX1683" s="56"/>
      <c r="BY1683" s="56"/>
      <c r="BZ1683" s="56"/>
      <c r="CA1683" s="56"/>
      <c r="CB1683" s="56"/>
      <c r="CC1683" s="56"/>
      <c r="CD1683" s="56"/>
      <c r="CE1683" s="56"/>
      <c r="CF1683" s="56"/>
      <c r="CG1683" s="56"/>
      <c r="CH1683" s="56"/>
      <c r="CI1683" s="103">
        <v>7.9292700000000007</v>
      </c>
      <c r="CJ1683" s="103">
        <f t="shared" si="408"/>
        <v>0.89923320628795833</v>
      </c>
      <c r="CK1683" s="57">
        <f t="shared" si="419"/>
        <v>4.302304690274191</v>
      </c>
      <c r="CL1683" s="160">
        <f t="shared" si="415"/>
        <v>17.360176820404632</v>
      </c>
      <c r="CM1683" s="160"/>
      <c r="CN1683" s="160"/>
      <c r="CO1683" s="55"/>
      <c r="CP1683" s="497" t="s">
        <v>1811</v>
      </c>
      <c r="CQ1683" s="149">
        <v>1.2322608872357181</v>
      </c>
      <c r="CR1683" s="349">
        <f t="shared" si="417"/>
        <v>0.46448566901351918</v>
      </c>
      <c r="CS1683" s="61" t="s">
        <v>539</v>
      </c>
      <c r="CT1683" s="61"/>
      <c r="CU1683" s="111">
        <f t="shared" si="418"/>
        <v>1462.9341667013482</v>
      </c>
      <c r="CV1683" s="331">
        <f t="shared" si="420"/>
        <v>362.55325000859494</v>
      </c>
      <c r="CW1683" s="326">
        <f t="shared" si="409"/>
        <v>1</v>
      </c>
      <c r="CX1683" s="326"/>
      <c r="CY1683" s="161" t="s">
        <v>6351</v>
      </c>
    </row>
    <row r="1684" spans="1:103" ht="11.25" customHeight="1" x14ac:dyDescent="0.2">
      <c r="A1684" s="72">
        <v>184</v>
      </c>
      <c r="B1684" s="149">
        <v>626</v>
      </c>
      <c r="C1684" s="54" t="s">
        <v>1868</v>
      </c>
      <c r="D1684" s="54" t="s">
        <v>6559</v>
      </c>
      <c r="E1684" s="59"/>
      <c r="F1684" s="59" t="s">
        <v>1869</v>
      </c>
      <c r="G1684" s="151">
        <v>298044</v>
      </c>
      <c r="H1684" s="55" t="s">
        <v>1870</v>
      </c>
      <c r="I1684" s="55" t="s">
        <v>1870</v>
      </c>
      <c r="J1684" s="55" t="s">
        <v>1871</v>
      </c>
      <c r="K1684" s="55" t="s">
        <v>1872</v>
      </c>
      <c r="L1684" s="55" t="s">
        <v>617</v>
      </c>
      <c r="M1684" s="55" t="s">
        <v>618</v>
      </c>
      <c r="N1684" s="60" t="s">
        <v>6376</v>
      </c>
      <c r="O1684" s="55" t="s">
        <v>1873</v>
      </c>
      <c r="P1684" s="67" t="s">
        <v>6178</v>
      </c>
      <c r="Q1684" s="67" t="s">
        <v>6173</v>
      </c>
      <c r="R1684" s="67" t="s">
        <v>6177</v>
      </c>
      <c r="S1684" s="67" t="s">
        <v>6176</v>
      </c>
      <c r="T1684" s="56">
        <v>274.41000000000003</v>
      </c>
      <c r="U1684" s="103">
        <v>16.3</v>
      </c>
      <c r="V1684" s="103">
        <v>6.3639999999999999</v>
      </c>
      <c r="W1684" s="103">
        <v>119.78430952502386</v>
      </c>
      <c r="X1684" s="103">
        <v>16.3</v>
      </c>
      <c r="Y1684" s="162">
        <v>7</v>
      </c>
      <c r="Z1684" s="56">
        <v>4.07</v>
      </c>
      <c r="AA1684" s="56">
        <v>4.0199999999999996</v>
      </c>
      <c r="AB1684" s="56">
        <v>3.91</v>
      </c>
      <c r="AC1684" s="56">
        <v>0.8831</v>
      </c>
      <c r="AD1684" s="56">
        <v>3.77</v>
      </c>
      <c r="AE1684" s="56">
        <v>3.31</v>
      </c>
      <c r="AF1684" s="56">
        <f t="shared" si="413"/>
        <v>4.0199999999999996</v>
      </c>
      <c r="AG1684" s="57">
        <v>3.66</v>
      </c>
      <c r="AH1684" s="103">
        <v>2.0999999999999998E-6</v>
      </c>
      <c r="AI1684" s="103">
        <v>2.1600000000000001E-6</v>
      </c>
      <c r="AJ1684" s="62">
        <f t="shared" si="422"/>
        <v>-4.0663470315787329</v>
      </c>
      <c r="AK1684" s="62">
        <f t="shared" si="421"/>
        <v>-4.0541125751617209</v>
      </c>
      <c r="AL1684" s="62">
        <f t="shared" si="414"/>
        <v>-4.0541125751617209</v>
      </c>
      <c r="AM1684" s="62">
        <v>-8.0103600000000004</v>
      </c>
      <c r="AN1684" s="154">
        <v>-4.3</v>
      </c>
      <c r="AO1684" s="410"/>
      <c r="AP1684" s="410"/>
      <c r="AQ1684" s="154" t="s">
        <v>6312</v>
      </c>
      <c r="AR1684" s="154" t="s">
        <v>6312</v>
      </c>
      <c r="AS1684" s="149" t="s">
        <v>6</v>
      </c>
      <c r="AT1684" s="58" t="s">
        <v>266</v>
      </c>
      <c r="AU1684" s="56">
        <v>2</v>
      </c>
      <c r="AV1684" s="56" t="s">
        <v>646</v>
      </c>
      <c r="AW1684" s="56" t="s">
        <v>646</v>
      </c>
      <c r="AX1684" s="56">
        <v>26</v>
      </c>
      <c r="AY1684" s="56" t="s">
        <v>647</v>
      </c>
      <c r="AZ1684" s="56" t="s">
        <v>536</v>
      </c>
      <c r="BA1684" s="56">
        <v>10</v>
      </c>
      <c r="BB1684" s="55" t="s">
        <v>1764</v>
      </c>
      <c r="BC1684" s="55" t="s">
        <v>538</v>
      </c>
      <c r="BD1684" s="55"/>
      <c r="BE1684" s="56" t="s">
        <v>1809</v>
      </c>
      <c r="BF1684" s="56" t="s">
        <v>539</v>
      </c>
      <c r="BG1684" s="56" t="s">
        <v>272</v>
      </c>
      <c r="BH1684" s="56" t="s">
        <v>272</v>
      </c>
      <c r="BI1684" s="153">
        <v>0.5</v>
      </c>
      <c r="BJ1684" s="153">
        <v>16</v>
      </c>
      <c r="BK1684" s="56" t="s">
        <v>1810</v>
      </c>
      <c r="BL1684" s="153">
        <v>3.1184079848180222</v>
      </c>
      <c r="BM1684" s="56" t="s">
        <v>541</v>
      </c>
      <c r="BN1684" s="56"/>
      <c r="BO1684" s="56">
        <v>10.82</v>
      </c>
      <c r="BP1684" s="56"/>
      <c r="BQ1684" s="56"/>
      <c r="BR1684" s="56">
        <v>8.2323000000000004</v>
      </c>
      <c r="BS1684" s="56"/>
      <c r="BT1684" s="56"/>
      <c r="BU1684" s="158"/>
      <c r="BV1684" s="56"/>
      <c r="BW1684" s="56"/>
      <c r="BX1684" s="56"/>
      <c r="BY1684" s="56"/>
      <c r="BZ1684" s="56"/>
      <c r="CA1684" s="56"/>
      <c r="CB1684" s="56"/>
      <c r="CC1684" s="56"/>
      <c r="CD1684" s="56"/>
      <c r="CE1684" s="56"/>
      <c r="CF1684" s="56"/>
      <c r="CG1684" s="56"/>
      <c r="CH1684" s="56"/>
      <c r="CI1684" s="103">
        <v>8.2323000000000004</v>
      </c>
      <c r="CJ1684" s="103">
        <f t="shared" si="408"/>
        <v>0.91552118852436803</v>
      </c>
      <c r="CK1684" s="57">
        <f t="shared" si="419"/>
        <v>0.19490049905112639</v>
      </c>
      <c r="CL1684" s="160">
        <f t="shared" si="415"/>
        <v>0.3788015481479079</v>
      </c>
      <c r="CM1684" s="160"/>
      <c r="CN1684" s="160"/>
      <c r="CO1684" s="55"/>
      <c r="CP1684" s="497" t="s">
        <v>1811</v>
      </c>
      <c r="CQ1684" s="149">
        <v>5.301836404376567E-2</v>
      </c>
      <c r="CR1684" s="349">
        <f t="shared" si="417"/>
        <v>7.2862291317484633</v>
      </c>
      <c r="CS1684" s="61" t="s">
        <v>539</v>
      </c>
      <c r="CT1684" s="61" t="s">
        <v>6310</v>
      </c>
      <c r="CU1684" s="111">
        <f t="shared" si="418"/>
        <v>1.9800055877458305</v>
      </c>
      <c r="CV1684" s="331">
        <f t="shared" si="420"/>
        <v>1.01875</v>
      </c>
      <c r="CW1684" s="326">
        <f t="shared" si="409"/>
        <v>0</v>
      </c>
      <c r="CX1684" s="326" t="s">
        <v>539</v>
      </c>
      <c r="CY1684" s="161" t="s">
        <v>5921</v>
      </c>
    </row>
    <row r="1685" spans="1:103" ht="11.25" customHeight="1" x14ac:dyDescent="0.2">
      <c r="A1685" s="72">
        <v>251</v>
      </c>
      <c r="B1685" s="149">
        <v>633</v>
      </c>
      <c r="C1685" s="54" t="s">
        <v>522</v>
      </c>
      <c r="D1685" s="54" t="s">
        <v>6483</v>
      </c>
      <c r="E1685" s="59"/>
      <c r="F1685" s="59" t="s">
        <v>523</v>
      </c>
      <c r="G1685" s="151">
        <v>151213</v>
      </c>
      <c r="H1685" s="55" t="s">
        <v>524</v>
      </c>
      <c r="I1685" s="55" t="s">
        <v>524</v>
      </c>
      <c r="J1685" s="55" t="s">
        <v>525</v>
      </c>
      <c r="K1685" s="55" t="s">
        <v>426</v>
      </c>
      <c r="L1685" s="64" t="s">
        <v>279</v>
      </c>
      <c r="M1685" s="55" t="s">
        <v>1884</v>
      </c>
      <c r="N1685" s="60" t="s">
        <v>526</v>
      </c>
      <c r="O1685" s="55" t="s">
        <v>281</v>
      </c>
      <c r="P1685" s="67">
        <v>3</v>
      </c>
      <c r="Q1685" s="67" t="s">
        <v>6173</v>
      </c>
      <c r="R1685" s="67">
        <v>1</v>
      </c>
      <c r="S1685" s="67" t="s">
        <v>6173</v>
      </c>
      <c r="T1685" s="56">
        <v>266.39999999999998</v>
      </c>
      <c r="U1685" s="103"/>
      <c r="V1685" s="103">
        <v>163.69999999999999</v>
      </c>
      <c r="W1685" s="103">
        <v>42221.554647164048</v>
      </c>
      <c r="X1685" s="103">
        <v>42221.554647164048</v>
      </c>
      <c r="Y1685" s="162">
        <v>0.8</v>
      </c>
      <c r="Z1685" s="56">
        <v>2.42</v>
      </c>
      <c r="AA1685" s="56"/>
      <c r="AB1685" s="56">
        <v>2.4300000000000002</v>
      </c>
      <c r="AC1685" s="56">
        <v>0.41520000000000001</v>
      </c>
      <c r="AD1685" s="56">
        <v>4.12</v>
      </c>
      <c r="AE1685" s="56">
        <v>5.39</v>
      </c>
      <c r="AF1685" s="56">
        <f t="shared" si="413"/>
        <v>4.12</v>
      </c>
      <c r="AG1685" s="57">
        <v>4.12</v>
      </c>
      <c r="AH1685" s="103">
        <v>1.8400000000000001E-7</v>
      </c>
      <c r="AI1685" s="103"/>
      <c r="AJ1685" s="62">
        <f t="shared" si="422"/>
        <v>-5.1237485033031156</v>
      </c>
      <c r="AK1685" s="62"/>
      <c r="AL1685" s="62">
        <f t="shared" si="414"/>
        <v>-5.1237485033031156</v>
      </c>
      <c r="AM1685" s="62">
        <v>-11.085739999999999</v>
      </c>
      <c r="AN1685" s="154"/>
      <c r="AO1685" s="410">
        <v>-3.29</v>
      </c>
      <c r="AP1685" s="410"/>
      <c r="AQ1685" s="154" t="s">
        <v>6311</v>
      </c>
      <c r="AR1685" s="154" t="s">
        <v>6311</v>
      </c>
      <c r="AS1685" s="149" t="s">
        <v>6</v>
      </c>
      <c r="AT1685" s="58" t="s">
        <v>266</v>
      </c>
      <c r="AU1685" s="56">
        <v>2</v>
      </c>
      <c r="AV1685" s="56" t="s">
        <v>646</v>
      </c>
      <c r="AW1685" s="56" t="s">
        <v>646</v>
      </c>
      <c r="AX1685" s="56">
        <v>26</v>
      </c>
      <c r="AY1685" s="56" t="s">
        <v>647</v>
      </c>
      <c r="AZ1685" s="56" t="s">
        <v>536</v>
      </c>
      <c r="BA1685" s="56">
        <v>10</v>
      </c>
      <c r="BB1685" s="55" t="s">
        <v>1764</v>
      </c>
      <c r="BC1685" s="55" t="s">
        <v>538</v>
      </c>
      <c r="BD1685" s="55"/>
      <c r="BE1685" s="56" t="s">
        <v>1809</v>
      </c>
      <c r="BF1685" s="56" t="s">
        <v>539</v>
      </c>
      <c r="BG1685" s="56" t="s">
        <v>272</v>
      </c>
      <c r="BH1685" s="56" t="s">
        <v>272</v>
      </c>
      <c r="BI1685" s="153">
        <v>0.57736320133157637</v>
      </c>
      <c r="BJ1685" s="153">
        <v>9.2378112213052219</v>
      </c>
      <c r="BK1685" s="56"/>
      <c r="BL1685" s="153">
        <v>91.81892852707891</v>
      </c>
      <c r="BM1685" s="56" t="s">
        <v>541</v>
      </c>
      <c r="BN1685" s="56"/>
      <c r="BO1685" s="56">
        <v>5.0253693043900407</v>
      </c>
      <c r="BP1685" s="56"/>
      <c r="BQ1685" s="56"/>
      <c r="BR1685" s="56">
        <v>7.1927999999999992</v>
      </c>
      <c r="BS1685" s="56"/>
      <c r="BT1685" s="56"/>
      <c r="BU1685" s="158"/>
      <c r="BV1685" s="56"/>
      <c r="BW1685" s="56"/>
      <c r="BX1685" s="56"/>
      <c r="BY1685" s="56"/>
      <c r="BZ1685" s="56"/>
      <c r="CA1685" s="56"/>
      <c r="CB1685" s="56"/>
      <c r="CC1685" s="56"/>
      <c r="CD1685" s="56"/>
      <c r="CE1685" s="56"/>
      <c r="CF1685" s="56"/>
      <c r="CG1685" s="56"/>
      <c r="CH1685" s="56"/>
      <c r="CI1685" s="103">
        <v>5.0253693043900407</v>
      </c>
      <c r="CJ1685" s="103">
        <f t="shared" si="408"/>
        <v>0.70116798270254388</v>
      </c>
      <c r="CK1685" s="57">
        <f t="shared" si="419"/>
        <v>9.9394679461858164</v>
      </c>
      <c r="CL1685" s="160">
        <f t="shared" si="415"/>
        <v>18.271080783429809</v>
      </c>
      <c r="CM1685" s="160">
        <v>0.65321251377534384</v>
      </c>
      <c r="CN1685" s="160">
        <f t="shared" ref="CN1685:CN1690" si="423">BJ1685/(10^CM1685)</f>
        <v>2.0528469380678258</v>
      </c>
      <c r="CO1685" s="55"/>
      <c r="CP1685" s="497" t="s">
        <v>1811</v>
      </c>
      <c r="CQ1685" s="149">
        <v>1.0143413694582426</v>
      </c>
      <c r="CR1685" s="349">
        <f t="shared" si="417"/>
        <v>0.48621305232795831</v>
      </c>
      <c r="CS1685" s="61" t="s">
        <v>539</v>
      </c>
      <c r="CT1685" s="61"/>
      <c r="CU1685" s="111">
        <f t="shared" si="418"/>
        <v>8401.6819640061713</v>
      </c>
      <c r="CV1685" s="331">
        <f t="shared" si="420"/>
        <v>4570.5149884193579</v>
      </c>
      <c r="CW1685" s="326">
        <f t="shared" si="409"/>
        <v>1</v>
      </c>
      <c r="CX1685" s="326"/>
      <c r="CY1685" s="161" t="s">
        <v>6351</v>
      </c>
    </row>
    <row r="1686" spans="1:103" ht="11.25" customHeight="1" x14ac:dyDescent="0.2">
      <c r="A1686" s="72">
        <v>254</v>
      </c>
      <c r="B1686" s="149">
        <v>629</v>
      </c>
      <c r="C1686" s="54" t="s">
        <v>1349</v>
      </c>
      <c r="D1686" s="54" t="s">
        <v>6431</v>
      </c>
      <c r="E1686" s="59"/>
      <c r="F1686" s="59" t="s">
        <v>1350</v>
      </c>
      <c r="G1686" s="151">
        <v>56382</v>
      </c>
      <c r="H1686" s="55" t="s">
        <v>1351</v>
      </c>
      <c r="I1686" s="55" t="s">
        <v>7980</v>
      </c>
      <c r="J1686" s="55" t="s">
        <v>1352</v>
      </c>
      <c r="K1686" s="55" t="s">
        <v>628</v>
      </c>
      <c r="L1686" s="55" t="s">
        <v>617</v>
      </c>
      <c r="M1686" s="55" t="s">
        <v>618</v>
      </c>
      <c r="N1686" s="60" t="s">
        <v>6376</v>
      </c>
      <c r="O1686" s="55" t="s">
        <v>1353</v>
      </c>
      <c r="P1686" s="67">
        <v>3</v>
      </c>
      <c r="Q1686" s="67" t="s">
        <v>6173</v>
      </c>
      <c r="R1686" s="67">
        <v>1</v>
      </c>
      <c r="S1686" s="67" t="s">
        <v>6173</v>
      </c>
      <c r="T1686" s="56">
        <v>291.26</v>
      </c>
      <c r="U1686" s="103">
        <v>11</v>
      </c>
      <c r="V1686" s="103">
        <v>3.0139999999999998</v>
      </c>
      <c r="W1686" s="103">
        <v>6.8278008475008045</v>
      </c>
      <c r="X1686" s="103">
        <v>11</v>
      </c>
      <c r="Y1686" s="162">
        <v>7</v>
      </c>
      <c r="Z1686" s="56">
        <v>3.73</v>
      </c>
      <c r="AA1686" s="56">
        <v>3.83</v>
      </c>
      <c r="AB1686" s="56">
        <v>3.48</v>
      </c>
      <c r="AC1686" s="56">
        <v>0.87450000000000006</v>
      </c>
      <c r="AD1686" s="56">
        <v>3.57</v>
      </c>
      <c r="AE1686" s="56">
        <v>3.84</v>
      </c>
      <c r="AF1686" s="56">
        <f t="shared" si="413"/>
        <v>3.83</v>
      </c>
      <c r="AG1686" s="57">
        <v>3</v>
      </c>
      <c r="AH1686" s="103">
        <v>2.96E-7</v>
      </c>
      <c r="AI1686" s="103">
        <v>2.9799999999999999E-7</v>
      </c>
      <c r="AJ1686" s="62">
        <f t="shared" si="422"/>
        <v>-4.9172746152537128</v>
      </c>
      <c r="AK1686" s="62">
        <f t="shared" ref="AK1686:AK1691" si="424">LOG10(AI1686*1000/(0.08206*298.15))</f>
        <v>-4.9143500622363963</v>
      </c>
      <c r="AL1686" s="62">
        <f t="shared" si="414"/>
        <v>-4.9143500622363963</v>
      </c>
      <c r="AM1686" s="62">
        <v>-11.31479</v>
      </c>
      <c r="AN1686" s="154">
        <v>-4.29</v>
      </c>
      <c r="AO1686" s="410"/>
      <c r="AP1686" s="410"/>
      <c r="AQ1686" s="154" t="s">
        <v>6314</v>
      </c>
      <c r="AR1686" s="154" t="s">
        <v>6314</v>
      </c>
      <c r="AS1686" s="149" t="s">
        <v>6</v>
      </c>
      <c r="AT1686" s="58" t="s">
        <v>266</v>
      </c>
      <c r="AU1686" s="56">
        <v>2</v>
      </c>
      <c r="AV1686" s="56" t="s">
        <v>646</v>
      </c>
      <c r="AW1686" s="56" t="s">
        <v>646</v>
      </c>
      <c r="AX1686" s="56">
        <v>26</v>
      </c>
      <c r="AY1686" s="56" t="s">
        <v>647</v>
      </c>
      <c r="AZ1686" s="56" t="s">
        <v>536</v>
      </c>
      <c r="BA1686" s="56">
        <v>10</v>
      </c>
      <c r="BB1686" s="55" t="s">
        <v>1764</v>
      </c>
      <c r="BC1686" s="55" t="s">
        <v>538</v>
      </c>
      <c r="BD1686" s="55"/>
      <c r="BE1686" s="56" t="s">
        <v>1809</v>
      </c>
      <c r="BF1686" s="56" t="s">
        <v>539</v>
      </c>
      <c r="BG1686" s="56" t="s">
        <v>272</v>
      </c>
      <c r="BH1686" s="56" t="s">
        <v>272</v>
      </c>
      <c r="BI1686" s="153">
        <v>0.625</v>
      </c>
      <c r="BJ1686" s="153">
        <v>10</v>
      </c>
      <c r="BK1686" s="56" t="s">
        <v>1810</v>
      </c>
      <c r="BL1686" s="153">
        <v>6.6860226757664334</v>
      </c>
      <c r="BM1686" s="56" t="s">
        <v>541</v>
      </c>
      <c r="BN1686" s="56"/>
      <c r="BO1686" s="56">
        <v>5.07</v>
      </c>
      <c r="BP1686" s="56"/>
      <c r="BQ1686" s="56"/>
      <c r="BR1686" s="56">
        <v>4.9514200000000006</v>
      </c>
      <c r="BS1686" s="56"/>
      <c r="BT1686" s="56"/>
      <c r="BU1686" s="158"/>
      <c r="BV1686" s="56"/>
      <c r="BW1686" s="56"/>
      <c r="BX1686" s="56"/>
      <c r="BY1686" s="56"/>
      <c r="BZ1686" s="56"/>
      <c r="CA1686" s="56"/>
      <c r="CB1686" s="56"/>
      <c r="CC1686" s="56"/>
      <c r="CD1686" s="56"/>
      <c r="CE1686" s="56"/>
      <c r="CF1686" s="56"/>
      <c r="CG1686" s="56"/>
      <c r="CH1686" s="56"/>
      <c r="CI1686" s="103">
        <v>4.9514200000000006</v>
      </c>
      <c r="CJ1686" s="103">
        <f t="shared" si="408"/>
        <v>0.69472976655488583</v>
      </c>
      <c r="CK1686" s="57">
        <f t="shared" si="419"/>
        <v>0.66860226757664332</v>
      </c>
      <c r="CL1686" s="160">
        <f t="shared" si="415"/>
        <v>1.3503242859152389</v>
      </c>
      <c r="CM1686" s="160">
        <v>-0.81902829642671837</v>
      </c>
      <c r="CN1686" s="160">
        <f t="shared" si="423"/>
        <v>65.921684507273383</v>
      </c>
      <c r="CO1686" s="55"/>
      <c r="CP1686" s="497" t="s">
        <v>1811</v>
      </c>
      <c r="CQ1686" s="149">
        <v>-0.23289357127406324</v>
      </c>
      <c r="CR1686" s="349">
        <f t="shared" si="417"/>
        <v>8.4649293515167177</v>
      </c>
      <c r="CS1686" s="61" t="s">
        <v>539</v>
      </c>
      <c r="CT1686" s="61" t="s">
        <v>6310</v>
      </c>
      <c r="CU1686" s="111">
        <f t="shared" si="418"/>
        <v>2.2215849190737198</v>
      </c>
      <c r="CV1686" s="331">
        <f t="shared" si="420"/>
        <v>1.1000000000000001</v>
      </c>
      <c r="CW1686" s="326">
        <f t="shared" si="409"/>
        <v>1</v>
      </c>
      <c r="CX1686" s="326" t="s">
        <v>539</v>
      </c>
      <c r="CY1686" s="161" t="s">
        <v>5921</v>
      </c>
    </row>
    <row r="1687" spans="1:103" ht="11.25" customHeight="1" x14ac:dyDescent="0.2">
      <c r="A1687" s="72">
        <v>260</v>
      </c>
      <c r="B1687" s="149">
        <v>617</v>
      </c>
      <c r="C1687" s="54" t="s">
        <v>1669</v>
      </c>
      <c r="D1687" s="54" t="s">
        <v>6457</v>
      </c>
      <c r="E1687" s="59"/>
      <c r="F1687" s="59" t="s">
        <v>1670</v>
      </c>
      <c r="G1687" s="151">
        <v>95761</v>
      </c>
      <c r="H1687" s="55" t="s">
        <v>1671</v>
      </c>
      <c r="I1687" s="55" t="s">
        <v>8213</v>
      </c>
      <c r="J1687" s="55" t="s">
        <v>1672</v>
      </c>
      <c r="K1687" s="55" t="s">
        <v>1573</v>
      </c>
      <c r="L1687" s="55"/>
      <c r="M1687" s="55" t="s">
        <v>1629</v>
      </c>
      <c r="N1687" s="60" t="s">
        <v>6385</v>
      </c>
      <c r="O1687" s="55" t="s">
        <v>498</v>
      </c>
      <c r="P1687" s="67">
        <v>3</v>
      </c>
      <c r="Q1687" s="67" t="s">
        <v>6173</v>
      </c>
      <c r="R1687" s="67">
        <v>1</v>
      </c>
      <c r="S1687" s="67" t="s">
        <v>6173</v>
      </c>
      <c r="T1687" s="56">
        <v>162.02000000000001</v>
      </c>
      <c r="U1687" s="103">
        <v>92</v>
      </c>
      <c r="V1687" s="103">
        <v>337.9</v>
      </c>
      <c r="W1687" s="103">
        <v>294.82793311198913</v>
      </c>
      <c r="X1687" s="103">
        <v>92</v>
      </c>
      <c r="Y1687" s="162">
        <v>7.2</v>
      </c>
      <c r="Z1687" s="56">
        <v>2.37</v>
      </c>
      <c r="AA1687" s="56">
        <v>2.69</v>
      </c>
      <c r="AB1687" s="56">
        <v>2.62</v>
      </c>
      <c r="AC1687" s="56">
        <v>0.89139999999999997</v>
      </c>
      <c r="AD1687" s="56">
        <v>2.6</v>
      </c>
      <c r="AE1687" s="56">
        <v>2.5099999999999998</v>
      </c>
      <c r="AF1687" s="56">
        <f t="shared" si="413"/>
        <v>2.69</v>
      </c>
      <c r="AG1687" s="57">
        <v>2.4700000000000002</v>
      </c>
      <c r="AH1687" s="103">
        <v>1.0499999999999999E-6</v>
      </c>
      <c r="AI1687" s="103">
        <v>1.4600000000000001E-5</v>
      </c>
      <c r="AJ1687" s="62">
        <f t="shared" si="422"/>
        <v>-4.3673770272427141</v>
      </c>
      <c r="AK1687" s="62">
        <f t="shared" si="424"/>
        <v>-3.2242134705282148</v>
      </c>
      <c r="AL1687" s="62">
        <f t="shared" si="414"/>
        <v>-3.2242134705282148</v>
      </c>
      <c r="AM1687" s="62">
        <v>-7.2924100000000003</v>
      </c>
      <c r="AN1687" s="154">
        <v>-4.37</v>
      </c>
      <c r="AO1687" s="410"/>
      <c r="AP1687" s="410">
        <v>2.9</v>
      </c>
      <c r="AQ1687" s="154" t="s">
        <v>6311</v>
      </c>
      <c r="AR1687" s="154" t="s">
        <v>6311</v>
      </c>
      <c r="AS1687" s="149" t="s">
        <v>6</v>
      </c>
      <c r="AT1687" s="58" t="s">
        <v>266</v>
      </c>
      <c r="AU1687" s="56">
        <v>2</v>
      </c>
      <c r="AV1687" s="56" t="s">
        <v>646</v>
      </c>
      <c r="AW1687" s="56" t="s">
        <v>646</v>
      </c>
      <c r="AX1687" s="56">
        <v>26</v>
      </c>
      <c r="AY1687" s="56" t="s">
        <v>647</v>
      </c>
      <c r="AZ1687" s="56" t="s">
        <v>536</v>
      </c>
      <c r="BA1687" s="56">
        <v>20</v>
      </c>
      <c r="BB1687" s="55" t="s">
        <v>1764</v>
      </c>
      <c r="BC1687" s="55" t="s">
        <v>538</v>
      </c>
      <c r="BD1687" s="55"/>
      <c r="BE1687" s="56" t="s">
        <v>1809</v>
      </c>
      <c r="BF1687" s="56" t="s">
        <v>539</v>
      </c>
      <c r="BG1687" s="56" t="s">
        <v>272</v>
      </c>
      <c r="BH1687" s="56" t="s">
        <v>272</v>
      </c>
      <c r="BI1687" s="153">
        <v>0.5</v>
      </c>
      <c r="BJ1687" s="153">
        <v>8</v>
      </c>
      <c r="BK1687" s="56"/>
      <c r="BL1687" s="153">
        <v>61.925800289105773</v>
      </c>
      <c r="BM1687" s="56" t="s">
        <v>541</v>
      </c>
      <c r="BN1687" s="56"/>
      <c r="BO1687" s="56">
        <v>2.71</v>
      </c>
      <c r="BP1687" s="56"/>
      <c r="BQ1687" s="56"/>
      <c r="BR1687" s="56">
        <v>2.5923200000000004</v>
      </c>
      <c r="BS1687" s="56"/>
      <c r="BT1687" s="56"/>
      <c r="BU1687" s="158"/>
      <c r="BV1687" s="56"/>
      <c r="BW1687" s="56"/>
      <c r="BX1687" s="56"/>
      <c r="BY1687" s="56"/>
      <c r="BZ1687" s="56"/>
      <c r="CA1687" s="56"/>
      <c r="CB1687" s="56"/>
      <c r="CC1687" s="56"/>
      <c r="CD1687" s="56"/>
      <c r="CE1687" s="56"/>
      <c r="CF1687" s="56"/>
      <c r="CG1687" s="56"/>
      <c r="CH1687" s="56"/>
      <c r="CI1687" s="103">
        <v>2.5923200000000004</v>
      </c>
      <c r="CJ1687" s="103">
        <f t="shared" si="408"/>
        <v>0.41368861049186545</v>
      </c>
      <c r="CK1687" s="57">
        <f t="shared" si="419"/>
        <v>7.7407250361382216</v>
      </c>
      <c r="CL1687" s="160">
        <f t="shared" si="415"/>
        <v>23.888177497031911</v>
      </c>
      <c r="CM1687" s="160">
        <v>0.35012181688711158</v>
      </c>
      <c r="CN1687" s="160">
        <f t="shared" si="423"/>
        <v>3.5724665421283341</v>
      </c>
      <c r="CO1687" s="55"/>
      <c r="CP1687" s="497" t="s">
        <v>1811</v>
      </c>
      <c r="CQ1687" s="149">
        <v>0.74774431752431614</v>
      </c>
      <c r="CR1687" s="349">
        <f t="shared" si="417"/>
        <v>0.46338747712775485</v>
      </c>
      <c r="CS1687" s="61" t="s">
        <v>539</v>
      </c>
      <c r="CT1687" s="61"/>
      <c r="CU1687" s="111">
        <f t="shared" si="418"/>
        <v>35.48944574743858</v>
      </c>
      <c r="CV1687" s="331">
        <f t="shared" si="420"/>
        <v>11.5</v>
      </c>
      <c r="CW1687" s="326">
        <f t="shared" si="409"/>
        <v>1</v>
      </c>
      <c r="CX1687" s="326"/>
      <c r="CY1687" s="161" t="s">
        <v>6351</v>
      </c>
    </row>
    <row r="1688" spans="1:103" ht="11.25" customHeight="1" x14ac:dyDescent="0.2">
      <c r="A1688" s="72">
        <v>289</v>
      </c>
      <c r="B1688" s="149">
        <v>616</v>
      </c>
      <c r="C1688" s="54" t="s">
        <v>1835</v>
      </c>
      <c r="D1688" s="54" t="s">
        <v>6452</v>
      </c>
      <c r="E1688" s="59"/>
      <c r="F1688" s="59" t="s">
        <v>1836</v>
      </c>
      <c r="G1688" s="151">
        <v>88062</v>
      </c>
      <c r="H1688" s="55" t="s">
        <v>1837</v>
      </c>
      <c r="I1688" s="55" t="s">
        <v>8321</v>
      </c>
      <c r="J1688" s="55" t="s">
        <v>1838</v>
      </c>
      <c r="K1688" s="55" t="s">
        <v>349</v>
      </c>
      <c r="L1688" s="55"/>
      <c r="M1688" s="55" t="s">
        <v>497</v>
      </c>
      <c r="N1688" s="60" t="s">
        <v>6381</v>
      </c>
      <c r="O1688" s="55" t="s">
        <v>498</v>
      </c>
      <c r="P1688" s="67">
        <v>3</v>
      </c>
      <c r="Q1688" s="67" t="s">
        <v>6173</v>
      </c>
      <c r="R1688" s="67">
        <v>1</v>
      </c>
      <c r="S1688" s="67" t="s">
        <v>6173</v>
      </c>
      <c r="T1688" s="56">
        <v>197.45</v>
      </c>
      <c r="U1688" s="103">
        <v>800</v>
      </c>
      <c r="V1688" s="103">
        <v>121.00000000000001</v>
      </c>
      <c r="W1688" s="103">
        <v>111.03429465883431</v>
      </c>
      <c r="X1688" s="103">
        <v>800</v>
      </c>
      <c r="Y1688" s="162">
        <v>4.92</v>
      </c>
      <c r="Z1688" s="56">
        <v>3.45</v>
      </c>
      <c r="AA1688" s="56">
        <v>3.69</v>
      </c>
      <c r="AB1688" s="56">
        <v>3.67</v>
      </c>
      <c r="AC1688" s="56">
        <v>0.91900000000000004</v>
      </c>
      <c r="AD1688" s="56">
        <v>3.65</v>
      </c>
      <c r="AE1688" s="56">
        <v>3.58</v>
      </c>
      <c r="AF1688" s="56">
        <f t="shared" si="413"/>
        <v>3.69</v>
      </c>
      <c r="AG1688" s="57">
        <v>3.49</v>
      </c>
      <c r="AH1688" s="103">
        <v>2.28E-7</v>
      </c>
      <c r="AI1688" s="103">
        <v>2.6000000000000001E-6</v>
      </c>
      <c r="AJ1688" s="62">
        <f t="shared" si="422"/>
        <v>-5.0306314793121976</v>
      </c>
      <c r="AK1688" s="62">
        <f t="shared" si="424"/>
        <v>-3.9735929783418338</v>
      </c>
      <c r="AL1688" s="62">
        <f t="shared" si="414"/>
        <v>-3.9735929783418338</v>
      </c>
      <c r="AM1688" s="62">
        <v>-5.7308899999999996</v>
      </c>
      <c r="AN1688" s="154">
        <v>-3.39</v>
      </c>
      <c r="AO1688" s="410">
        <v>6.59</v>
      </c>
      <c r="AP1688" s="410"/>
      <c r="AQ1688" s="154" t="s">
        <v>6311</v>
      </c>
      <c r="AR1688" s="154" t="s">
        <v>6311</v>
      </c>
      <c r="AS1688" s="149" t="s">
        <v>6</v>
      </c>
      <c r="AT1688" s="58" t="s">
        <v>266</v>
      </c>
      <c r="AU1688" s="56">
        <v>2</v>
      </c>
      <c r="AV1688" s="56" t="s">
        <v>646</v>
      </c>
      <c r="AW1688" s="56" t="s">
        <v>646</v>
      </c>
      <c r="AX1688" s="56">
        <v>26</v>
      </c>
      <c r="AY1688" s="56" t="s">
        <v>647</v>
      </c>
      <c r="AZ1688" s="56" t="s">
        <v>536</v>
      </c>
      <c r="BA1688" s="56">
        <v>10</v>
      </c>
      <c r="BB1688" s="55" t="s">
        <v>1764</v>
      </c>
      <c r="BC1688" s="55" t="s">
        <v>538</v>
      </c>
      <c r="BD1688" s="55"/>
      <c r="BE1688" s="56" t="s">
        <v>1809</v>
      </c>
      <c r="BF1688" s="56" t="s">
        <v>539</v>
      </c>
      <c r="BG1688" s="56" t="s">
        <v>272</v>
      </c>
      <c r="BH1688" s="56" t="s">
        <v>272</v>
      </c>
      <c r="BI1688" s="153">
        <v>0.625</v>
      </c>
      <c r="BJ1688" s="153">
        <v>10</v>
      </c>
      <c r="BK1688" s="56"/>
      <c r="BL1688" s="153">
        <v>8.087459858100015</v>
      </c>
      <c r="BM1688" s="56" t="s">
        <v>541</v>
      </c>
      <c r="BN1688" s="56"/>
      <c r="BO1688" s="56">
        <v>4.09</v>
      </c>
      <c r="BP1688" s="56"/>
      <c r="BQ1688" s="56"/>
      <c r="BR1688" s="56">
        <v>2.9617499999999999</v>
      </c>
      <c r="BS1688" s="56"/>
      <c r="BT1688" s="56"/>
      <c r="BU1688" s="158"/>
      <c r="BV1688" s="56"/>
      <c r="BW1688" s="56"/>
      <c r="BX1688" s="56"/>
      <c r="BY1688" s="56"/>
      <c r="BZ1688" s="56"/>
      <c r="CA1688" s="56"/>
      <c r="CB1688" s="56"/>
      <c r="CC1688" s="56"/>
      <c r="CD1688" s="56"/>
      <c r="CE1688" s="56"/>
      <c r="CF1688" s="56"/>
      <c r="CG1688" s="56"/>
      <c r="CH1688" s="56"/>
      <c r="CI1688" s="103">
        <v>2.9617499999999999</v>
      </c>
      <c r="CJ1688" s="103">
        <f t="shared" si="408"/>
        <v>0.4715483971282442</v>
      </c>
      <c r="CK1688" s="57">
        <f t="shared" si="419"/>
        <v>0.80874598581000146</v>
      </c>
      <c r="CL1688" s="160">
        <f t="shared" si="415"/>
        <v>2.730635556039509</v>
      </c>
      <c r="CM1688" s="160">
        <v>-0.46217394247130367</v>
      </c>
      <c r="CN1688" s="160">
        <f t="shared" si="423"/>
        <v>28.985042564708419</v>
      </c>
      <c r="CO1688" s="55"/>
      <c r="CP1688" s="497" t="s">
        <v>1811</v>
      </c>
      <c r="CQ1688" s="149">
        <v>0.2340104251063487</v>
      </c>
      <c r="CR1688" s="349">
        <f t="shared" si="417"/>
        <v>1.727977057523588</v>
      </c>
      <c r="CS1688" s="61" t="s">
        <v>539</v>
      </c>
      <c r="CT1688" s="61"/>
      <c r="CU1688" s="111">
        <f t="shared" si="418"/>
        <v>270.11057651726179</v>
      </c>
      <c r="CV1688" s="331">
        <f t="shared" si="420"/>
        <v>80</v>
      </c>
      <c r="CW1688" s="326">
        <f t="shared" si="409"/>
        <v>1</v>
      </c>
      <c r="CX1688" s="326"/>
      <c r="CY1688" s="161" t="s">
        <v>5921</v>
      </c>
    </row>
    <row r="1689" spans="1:103" ht="11.25" customHeight="1" x14ac:dyDescent="0.2">
      <c r="A1689" s="72">
        <v>316</v>
      </c>
      <c r="B1689" s="149">
        <v>625</v>
      </c>
      <c r="C1689" s="54" t="s">
        <v>620</v>
      </c>
      <c r="D1689" s="54" t="s">
        <v>6472</v>
      </c>
      <c r="E1689" s="59"/>
      <c r="F1689" s="59" t="s">
        <v>621</v>
      </c>
      <c r="G1689" s="151">
        <v>121755</v>
      </c>
      <c r="H1689" s="55" t="s">
        <v>622</v>
      </c>
      <c r="I1689" s="55" t="s">
        <v>622</v>
      </c>
      <c r="J1689" s="55" t="s">
        <v>623</v>
      </c>
      <c r="K1689" s="55" t="s">
        <v>624</v>
      </c>
      <c r="L1689" s="64" t="s">
        <v>316</v>
      </c>
      <c r="M1689" s="55" t="s">
        <v>946</v>
      </c>
      <c r="N1689" s="60" t="s">
        <v>6376</v>
      </c>
      <c r="O1689" s="55" t="s">
        <v>281</v>
      </c>
      <c r="P1689" s="67">
        <v>3</v>
      </c>
      <c r="Q1689" s="67" t="s">
        <v>6173</v>
      </c>
      <c r="R1689" s="67">
        <v>1</v>
      </c>
      <c r="S1689" s="67" t="s">
        <v>6173</v>
      </c>
      <c r="T1689" s="56">
        <v>330.36</v>
      </c>
      <c r="U1689" s="103">
        <v>143</v>
      </c>
      <c r="V1689" s="103">
        <v>78.45</v>
      </c>
      <c r="W1689" s="103">
        <v>185.77508018988354</v>
      </c>
      <c r="X1689" s="103">
        <v>143</v>
      </c>
      <c r="Y1689" s="162">
        <v>7</v>
      </c>
      <c r="Z1689" s="56">
        <v>2.29</v>
      </c>
      <c r="AA1689" s="56">
        <v>2.36</v>
      </c>
      <c r="AB1689" s="56">
        <v>2.69</v>
      </c>
      <c r="AC1689" s="56">
        <v>0.8125</v>
      </c>
      <c r="AD1689" s="56">
        <v>2.76</v>
      </c>
      <c r="AE1689" s="56">
        <v>2.93</v>
      </c>
      <c r="AF1689" s="56">
        <f t="shared" si="413"/>
        <v>2.36</v>
      </c>
      <c r="AG1689" s="57">
        <v>2.3199999999999998</v>
      </c>
      <c r="AH1689" s="103">
        <v>8.39E-10</v>
      </c>
      <c r="AI1689" s="103">
        <v>4.8900000000000003E-9</v>
      </c>
      <c r="AJ1689" s="62">
        <f t="shared" si="422"/>
        <v>-7.4648043654839515</v>
      </c>
      <c r="AK1689" s="62">
        <f t="shared" si="424"/>
        <v>-6.6992574671890317</v>
      </c>
      <c r="AL1689" s="62">
        <f t="shared" si="414"/>
        <v>-6.6992574671890317</v>
      </c>
      <c r="AM1689" s="62">
        <v>-12.449109999999999</v>
      </c>
      <c r="AN1689" s="154">
        <v>-5.94</v>
      </c>
      <c r="AO1689" s="410"/>
      <c r="AP1689" s="410"/>
      <c r="AQ1689" s="154" t="s">
        <v>6312</v>
      </c>
      <c r="AR1689" s="154" t="s">
        <v>6312</v>
      </c>
      <c r="AS1689" s="149" t="s">
        <v>6</v>
      </c>
      <c r="AT1689" s="58" t="s">
        <v>266</v>
      </c>
      <c r="AU1689" s="56">
        <v>2</v>
      </c>
      <c r="AV1689" s="56" t="s">
        <v>646</v>
      </c>
      <c r="AW1689" s="56" t="s">
        <v>646</v>
      </c>
      <c r="AX1689" s="56">
        <v>26</v>
      </c>
      <c r="AY1689" s="56" t="s">
        <v>647</v>
      </c>
      <c r="AZ1689" s="56" t="s">
        <v>536</v>
      </c>
      <c r="BA1689" s="56">
        <v>10</v>
      </c>
      <c r="BB1689" s="55" t="s">
        <v>1764</v>
      </c>
      <c r="BC1689" s="55" t="s">
        <v>538</v>
      </c>
      <c r="BD1689" s="55"/>
      <c r="BE1689" s="56" t="s">
        <v>1809</v>
      </c>
      <c r="BF1689" s="56" t="s">
        <v>539</v>
      </c>
      <c r="BG1689" s="56" t="s">
        <v>272</v>
      </c>
      <c r="BH1689" s="56" t="s">
        <v>272</v>
      </c>
      <c r="BI1689" s="153">
        <v>0.49999999999999994</v>
      </c>
      <c r="BJ1689" s="153">
        <v>50</v>
      </c>
      <c r="BK1689" s="56"/>
      <c r="BL1689" s="153">
        <v>148.98359766722712</v>
      </c>
      <c r="BM1689" s="56" t="s">
        <v>541</v>
      </c>
      <c r="BN1689" s="56"/>
      <c r="BO1689" s="56">
        <v>9.36</v>
      </c>
      <c r="BP1689" s="56"/>
      <c r="BQ1689" s="56"/>
      <c r="BR1689" s="56">
        <v>3.3036000000000003</v>
      </c>
      <c r="BS1689" s="56"/>
      <c r="BT1689" s="56"/>
      <c r="BU1689" s="158"/>
      <c r="BV1689" s="56"/>
      <c r="BW1689" s="56"/>
      <c r="BX1689" s="56"/>
      <c r="BY1689" s="56"/>
      <c r="BZ1689" s="56"/>
      <c r="CA1689" s="56"/>
      <c r="CB1689" s="56"/>
      <c r="CC1689" s="56"/>
      <c r="CD1689" s="56"/>
      <c r="CE1689" s="56"/>
      <c r="CF1689" s="56"/>
      <c r="CG1689" s="56"/>
      <c r="CH1689" s="56"/>
      <c r="CI1689" s="103">
        <v>3.3036000000000003</v>
      </c>
      <c r="CJ1689" s="103">
        <f t="shared" si="408"/>
        <v>0.51898745744095509</v>
      </c>
      <c r="CK1689" s="57">
        <f t="shared" si="419"/>
        <v>2.9796719533445422</v>
      </c>
      <c r="CL1689" s="160">
        <f t="shared" si="415"/>
        <v>45.09734764112698</v>
      </c>
      <c r="CM1689" s="160">
        <v>-1.0170155211093046</v>
      </c>
      <c r="CN1689" s="160">
        <f t="shared" si="423"/>
        <v>519.9786659309641</v>
      </c>
      <c r="CO1689" s="55"/>
      <c r="CP1689" s="497" t="s">
        <v>1811</v>
      </c>
      <c r="CQ1689" s="149">
        <v>-0.606977785182086</v>
      </c>
      <c r="CR1689" s="349">
        <f t="shared" si="417"/>
        <v>13.364885506576405</v>
      </c>
      <c r="CS1689" s="61" t="s">
        <v>539</v>
      </c>
      <c r="CT1689" s="61"/>
      <c r="CU1689" s="111">
        <f t="shared" si="418"/>
        <v>43.28611212011139</v>
      </c>
      <c r="CV1689" s="331">
        <f t="shared" si="420"/>
        <v>2.86</v>
      </c>
      <c r="CW1689" s="326">
        <f t="shared" si="409"/>
        <v>1</v>
      </c>
      <c r="CX1689" s="326"/>
      <c r="CY1689" s="161" t="s">
        <v>5921</v>
      </c>
    </row>
    <row r="1690" spans="1:103" ht="11.25" customHeight="1" x14ac:dyDescent="0.2">
      <c r="A1690" s="72">
        <v>357</v>
      </c>
      <c r="B1690" s="149">
        <v>609</v>
      </c>
      <c r="C1690" s="54" t="s">
        <v>1095</v>
      </c>
      <c r="D1690" s="54" t="s">
        <v>6673</v>
      </c>
      <c r="E1690" s="59"/>
      <c r="F1690" s="59" t="s">
        <v>1096</v>
      </c>
      <c r="G1690" s="151">
        <v>84742</v>
      </c>
      <c r="H1690" s="55" t="s">
        <v>1097</v>
      </c>
      <c r="I1690" s="55" t="s">
        <v>1097</v>
      </c>
      <c r="J1690" s="55" t="s">
        <v>1098</v>
      </c>
      <c r="K1690" s="55" t="s">
        <v>357</v>
      </c>
      <c r="L1690" s="55" t="s">
        <v>5492</v>
      </c>
      <c r="M1690" s="55" t="s">
        <v>866</v>
      </c>
      <c r="N1690" s="60" t="s">
        <v>6082</v>
      </c>
      <c r="O1690" s="55" t="s">
        <v>6086</v>
      </c>
      <c r="P1690" s="67"/>
      <c r="Q1690" s="67" t="s">
        <v>6173</v>
      </c>
      <c r="R1690" s="67" t="s">
        <v>6174</v>
      </c>
      <c r="S1690" s="67" t="s">
        <v>6176</v>
      </c>
      <c r="T1690" s="56">
        <v>278.33999999999997</v>
      </c>
      <c r="U1690" s="103">
        <v>11.2</v>
      </c>
      <c r="V1690" s="103">
        <v>2.351</v>
      </c>
      <c r="W1690" s="103">
        <v>24.807078612014664</v>
      </c>
      <c r="X1690" s="103">
        <v>11.2</v>
      </c>
      <c r="Y1690" s="162">
        <v>7</v>
      </c>
      <c r="Z1690" s="56">
        <v>4.6100000000000003</v>
      </c>
      <c r="AA1690" s="56">
        <v>4.5</v>
      </c>
      <c r="AB1690" s="56">
        <v>4.62</v>
      </c>
      <c r="AC1690" s="56">
        <v>0.79549999999999998</v>
      </c>
      <c r="AD1690" s="56">
        <v>4.68</v>
      </c>
      <c r="AE1690" s="56">
        <v>4.83</v>
      </c>
      <c r="AF1690" s="56">
        <f t="shared" si="413"/>
        <v>4.5</v>
      </c>
      <c r="AG1690" s="57">
        <v>3.98</v>
      </c>
      <c r="AH1690" s="103">
        <v>1.22E-6</v>
      </c>
      <c r="AI1690" s="103">
        <v>1.81E-6</v>
      </c>
      <c r="AJ1690" s="62">
        <f t="shared" si="422"/>
        <v>-4.302206495637904</v>
      </c>
      <c r="AK1690" s="62">
        <f t="shared" si="424"/>
        <v>-4.130887751443467</v>
      </c>
      <c r="AL1690" s="62">
        <f t="shared" si="414"/>
        <v>-4.130887751443467</v>
      </c>
      <c r="AM1690" s="62">
        <v>-8.9484100000000009</v>
      </c>
      <c r="AN1690" s="154">
        <v>-4.67</v>
      </c>
      <c r="AO1690" s="410"/>
      <c r="AP1690" s="410"/>
      <c r="AQ1690" s="154" t="s">
        <v>6311</v>
      </c>
      <c r="AR1690" s="154" t="s">
        <v>6312</v>
      </c>
      <c r="AS1690" s="149" t="s">
        <v>6</v>
      </c>
      <c r="AT1690" s="58" t="s">
        <v>266</v>
      </c>
      <c r="AU1690" s="56">
        <v>2</v>
      </c>
      <c r="AV1690" s="56" t="s">
        <v>646</v>
      </c>
      <c r="AW1690" s="56" t="s">
        <v>646</v>
      </c>
      <c r="AX1690" s="56">
        <v>26</v>
      </c>
      <c r="AY1690" s="56" t="s">
        <v>647</v>
      </c>
      <c r="AZ1690" s="56" t="s">
        <v>536</v>
      </c>
      <c r="BA1690" s="56">
        <v>10</v>
      </c>
      <c r="BB1690" s="55" t="s">
        <v>1764</v>
      </c>
      <c r="BC1690" s="55" t="s">
        <v>538</v>
      </c>
      <c r="BD1690" s="55"/>
      <c r="BE1690" s="56" t="s">
        <v>1809</v>
      </c>
      <c r="BF1690" s="56" t="s">
        <v>539</v>
      </c>
      <c r="BG1690" s="56" t="s">
        <v>272</v>
      </c>
      <c r="BH1690" s="56" t="s">
        <v>272</v>
      </c>
      <c r="BI1690" s="153">
        <v>0.625</v>
      </c>
      <c r="BJ1690" s="153">
        <v>10</v>
      </c>
      <c r="BK1690" s="56"/>
      <c r="BL1690" s="153">
        <v>1.0354630904981286</v>
      </c>
      <c r="BM1690" s="56" t="s">
        <v>541</v>
      </c>
      <c r="BN1690" s="56"/>
      <c r="BO1690" s="56">
        <v>2.2799999999999998</v>
      </c>
      <c r="BP1690" s="56"/>
      <c r="BQ1690" s="56"/>
      <c r="BR1690" s="56">
        <v>1.6143719999999997</v>
      </c>
      <c r="BS1690" s="56"/>
      <c r="BT1690" s="56"/>
      <c r="BU1690" s="158"/>
      <c r="BV1690" s="56"/>
      <c r="BW1690" s="56"/>
      <c r="BX1690" s="56"/>
      <c r="BY1690" s="56"/>
      <c r="BZ1690" s="56"/>
      <c r="CA1690" s="56"/>
      <c r="CB1690" s="56"/>
      <c r="CC1690" s="56"/>
      <c r="CD1690" s="56"/>
      <c r="CE1690" s="56"/>
      <c r="CF1690" s="56"/>
      <c r="CG1690" s="56"/>
      <c r="CH1690" s="56"/>
      <c r="CI1690" s="103">
        <v>1.6143719999999997</v>
      </c>
      <c r="CJ1690" s="103">
        <f t="shared" si="408"/>
        <v>0.20800361646534044</v>
      </c>
      <c r="CK1690" s="57">
        <f t="shared" si="419"/>
        <v>0.10354630904981285</v>
      </c>
      <c r="CL1690" s="160">
        <f t="shared" si="415"/>
        <v>0.64140302885464362</v>
      </c>
      <c r="CM1690" s="160">
        <v>8.6211163422833609E-2</v>
      </c>
      <c r="CN1690" s="160">
        <f t="shared" si="423"/>
        <v>8.199527685212372</v>
      </c>
      <c r="CO1690" s="55"/>
      <c r="CP1690" s="497" t="s">
        <v>1811</v>
      </c>
      <c r="CQ1690" s="149">
        <v>0.15057234125395008</v>
      </c>
      <c r="CR1690" s="349">
        <f t="shared" si="417"/>
        <v>1.141382672598521</v>
      </c>
      <c r="CS1690" s="61" t="s">
        <v>539</v>
      </c>
      <c r="CT1690" s="61"/>
      <c r="CU1690" s="111">
        <f t="shared" si="418"/>
        <v>6.9376822690185422</v>
      </c>
      <c r="CV1690" s="331">
        <f t="shared" si="420"/>
        <v>1.1199999999999999</v>
      </c>
      <c r="CW1690" s="326">
        <f t="shared" si="409"/>
        <v>1</v>
      </c>
      <c r="CX1690" s="326"/>
      <c r="CY1690" s="161" t="s">
        <v>6351</v>
      </c>
    </row>
    <row r="1691" spans="1:103" ht="11.25" customHeight="1" x14ac:dyDescent="0.2">
      <c r="A1691" s="72">
        <v>452</v>
      </c>
      <c r="B1691" s="149">
        <v>622</v>
      </c>
      <c r="C1691" s="54" t="s">
        <v>6755</v>
      </c>
      <c r="D1691" s="54" t="s">
        <v>6756</v>
      </c>
      <c r="E1691" s="59"/>
      <c r="F1691" s="59" t="s">
        <v>1856</v>
      </c>
      <c r="G1691" s="151">
        <v>97234</v>
      </c>
      <c r="H1691" s="55" t="s">
        <v>1857</v>
      </c>
      <c r="I1691" s="55" t="s">
        <v>7887</v>
      </c>
      <c r="J1691" s="55" t="s">
        <v>1858</v>
      </c>
      <c r="K1691" s="55" t="s">
        <v>376</v>
      </c>
      <c r="L1691" s="55" t="s">
        <v>6632</v>
      </c>
      <c r="M1691" s="55" t="s">
        <v>497</v>
      </c>
      <c r="N1691" s="60" t="s">
        <v>6381</v>
      </c>
      <c r="O1691" s="55" t="s">
        <v>498</v>
      </c>
      <c r="P1691" s="67" t="s">
        <v>1639</v>
      </c>
      <c r="Q1691" s="67" t="s">
        <v>6173</v>
      </c>
      <c r="R1691" s="67" t="s">
        <v>6180</v>
      </c>
      <c r="S1691" s="67" t="s">
        <v>6176</v>
      </c>
      <c r="T1691" s="56">
        <v>269.12</v>
      </c>
      <c r="U1691" s="103">
        <v>30</v>
      </c>
      <c r="V1691" s="103">
        <v>16.170000000000002</v>
      </c>
      <c r="W1691" s="103">
        <v>18.194745033748994</v>
      </c>
      <c r="X1691" s="103">
        <v>30</v>
      </c>
      <c r="Y1691" s="162">
        <v>6.62</v>
      </c>
      <c r="Z1691" s="56">
        <v>4.34</v>
      </c>
      <c r="AA1691" s="56">
        <v>4.26</v>
      </c>
      <c r="AB1691" s="56">
        <v>4.53</v>
      </c>
      <c r="AC1691" s="56">
        <v>0.85260000000000002</v>
      </c>
      <c r="AD1691" s="56">
        <v>4.5599999999999996</v>
      </c>
      <c r="AE1691" s="56">
        <v>4.62</v>
      </c>
      <c r="AF1691" s="56">
        <f t="shared" si="413"/>
        <v>4.26</v>
      </c>
      <c r="AG1691" s="57">
        <v>4.34</v>
      </c>
      <c r="AH1691" s="103">
        <v>2.8500000000000002E-12</v>
      </c>
      <c r="AI1691" s="103">
        <v>1.1499999999999999E-12</v>
      </c>
      <c r="AJ1691" s="62">
        <f t="shared" si="422"/>
        <v>-9.9337214663041422</v>
      </c>
      <c r="AK1691" s="62">
        <f t="shared" si="424"/>
        <v>-10.327868485959041</v>
      </c>
      <c r="AL1691" s="62">
        <f t="shared" si="414"/>
        <v>-10.327868485959041</v>
      </c>
      <c r="AM1691" s="62">
        <v>-15.802580000000001</v>
      </c>
      <c r="AN1691" s="154">
        <v>-9.84</v>
      </c>
      <c r="AO1691" s="410">
        <v>9.15</v>
      </c>
      <c r="AP1691" s="410"/>
      <c r="AQ1691" s="154" t="s">
        <v>6311</v>
      </c>
      <c r="AR1691" s="154" t="s">
        <v>6311</v>
      </c>
      <c r="AS1691" s="149" t="s">
        <v>6</v>
      </c>
      <c r="AT1691" s="58" t="s">
        <v>266</v>
      </c>
      <c r="AU1691" s="56">
        <v>2</v>
      </c>
      <c r="AV1691" s="56" t="s">
        <v>646</v>
      </c>
      <c r="AW1691" s="56" t="s">
        <v>646</v>
      </c>
      <c r="AX1691" s="56">
        <v>26</v>
      </c>
      <c r="AY1691" s="56" t="s">
        <v>647</v>
      </c>
      <c r="AZ1691" s="56" t="s">
        <v>536</v>
      </c>
      <c r="BA1691" s="56">
        <v>10</v>
      </c>
      <c r="BB1691" s="55" t="s">
        <v>1764</v>
      </c>
      <c r="BC1691" s="55" t="s">
        <v>538</v>
      </c>
      <c r="BD1691" s="55"/>
      <c r="BE1691" s="56" t="s">
        <v>1809</v>
      </c>
      <c r="BF1691" s="56" t="s">
        <v>539</v>
      </c>
      <c r="BG1691" s="56" t="s">
        <v>272</v>
      </c>
      <c r="BH1691" s="56" t="s">
        <v>272</v>
      </c>
      <c r="BI1691" s="153">
        <v>0.62497677702225685</v>
      </c>
      <c r="BJ1691" s="153">
        <v>1.999925686471222</v>
      </c>
      <c r="BK1691" s="56" t="s">
        <v>1843</v>
      </c>
      <c r="BL1691" s="153">
        <v>1.7498143512725235</v>
      </c>
      <c r="BM1691" s="56" t="s">
        <v>541</v>
      </c>
      <c r="BN1691" s="56"/>
      <c r="BO1691" s="56">
        <v>0.45998290788838114</v>
      </c>
      <c r="BP1691" s="56"/>
      <c r="BQ1691" s="56"/>
      <c r="BR1691" s="56">
        <v>0.26642880000000002</v>
      </c>
      <c r="BS1691" s="56"/>
      <c r="BT1691" s="56"/>
      <c r="BU1691" s="158"/>
      <c r="BV1691" s="56"/>
      <c r="BW1691" s="56"/>
      <c r="BX1691" s="56"/>
      <c r="BY1691" s="56"/>
      <c r="BZ1691" s="56"/>
      <c r="CA1691" s="56"/>
      <c r="CB1691" s="56"/>
      <c r="CC1691" s="56"/>
      <c r="CD1691" s="56"/>
      <c r="CE1691" s="56"/>
      <c r="CF1691" s="56"/>
      <c r="CG1691" s="56"/>
      <c r="CH1691" s="56"/>
      <c r="CI1691" s="103">
        <v>0.26642880000000002</v>
      </c>
      <c r="CJ1691" s="103">
        <f t="shared" si="408"/>
        <v>-0.57441883128463189</v>
      </c>
      <c r="CK1691" s="57">
        <f t="shared" si="419"/>
        <v>0.8749396855640128</v>
      </c>
      <c r="CL1691" s="160">
        <f t="shared" si="415"/>
        <v>6.5676621719293236</v>
      </c>
      <c r="CM1691" s="160"/>
      <c r="CN1691" s="160"/>
      <c r="CO1691" s="55"/>
      <c r="CP1691" s="497" t="s">
        <v>1811</v>
      </c>
      <c r="CQ1691" s="149">
        <v>-0.50933991337044637</v>
      </c>
      <c r="CR1691" s="349">
        <f t="shared" si="417"/>
        <v>0.86083731073605152</v>
      </c>
      <c r="CS1691" s="61" t="s">
        <v>539</v>
      </c>
      <c r="CT1691" s="61" t="s">
        <v>6310</v>
      </c>
      <c r="CU1691" s="111">
        <f t="shared" si="418"/>
        <v>112.60043959211616</v>
      </c>
      <c r="CV1691" s="331">
        <f t="shared" si="420"/>
        <v>15.000557372175981</v>
      </c>
      <c r="CW1691" s="326">
        <f t="shared" si="409"/>
        <v>1</v>
      </c>
      <c r="CX1691" s="326" t="s">
        <v>539</v>
      </c>
      <c r="CY1691" s="161" t="s">
        <v>5921</v>
      </c>
    </row>
    <row r="1692" spans="1:103" ht="11.25" customHeight="1" x14ac:dyDescent="0.2">
      <c r="A1692" s="72">
        <v>463</v>
      </c>
      <c r="B1692" s="149">
        <v>620</v>
      </c>
      <c r="C1692" s="54" t="s">
        <v>6761</v>
      </c>
      <c r="D1692" s="54" t="s">
        <v>6762</v>
      </c>
      <c r="E1692" s="59"/>
      <c r="F1692" s="59" t="s">
        <v>1848</v>
      </c>
      <c r="G1692" s="151">
        <v>58275</v>
      </c>
      <c r="H1692" s="55" t="s">
        <v>1849</v>
      </c>
      <c r="I1692" s="55" t="s">
        <v>1849</v>
      </c>
      <c r="J1692" s="55" t="s">
        <v>1850</v>
      </c>
      <c r="K1692" s="55" t="s">
        <v>1771</v>
      </c>
      <c r="L1692" s="64" t="s">
        <v>279</v>
      </c>
      <c r="M1692" s="55" t="s">
        <v>1851</v>
      </c>
      <c r="N1692" s="60" t="s">
        <v>6383</v>
      </c>
      <c r="O1692" s="55" t="s">
        <v>281</v>
      </c>
      <c r="P1692" s="67" t="s">
        <v>6172</v>
      </c>
      <c r="Q1692" s="67" t="s">
        <v>6173</v>
      </c>
      <c r="R1692" s="67" t="s">
        <v>6175</v>
      </c>
      <c r="S1692" s="67" t="s">
        <v>6176</v>
      </c>
      <c r="T1692" s="56">
        <v>172.18</v>
      </c>
      <c r="U1692" s="103">
        <v>160</v>
      </c>
      <c r="V1692" s="103">
        <v>793.8</v>
      </c>
      <c r="W1692" s="103">
        <v>61.091769358236967</v>
      </c>
      <c r="X1692" s="103">
        <v>160</v>
      </c>
      <c r="Y1692" s="162">
        <v>7</v>
      </c>
      <c r="Z1692" s="56">
        <v>2.21</v>
      </c>
      <c r="AA1692" s="56">
        <v>2.2000000000000002</v>
      </c>
      <c r="AB1692" s="56">
        <v>1.9</v>
      </c>
      <c r="AC1692" s="56">
        <v>0.81189999999999996</v>
      </c>
      <c r="AD1692" s="56">
        <v>2.02</v>
      </c>
      <c r="AE1692" s="56">
        <v>2.38</v>
      </c>
      <c r="AF1692" s="56">
        <f t="shared" si="413"/>
        <v>2.2000000000000002</v>
      </c>
      <c r="AG1692" s="57">
        <v>1.68</v>
      </c>
      <c r="AH1692" s="103">
        <v>3.0899999999999999E-9</v>
      </c>
      <c r="AI1692" s="103"/>
      <c r="AJ1692" s="62">
        <f t="shared" si="422"/>
        <v>-6.8986078468878169</v>
      </c>
      <c r="AK1692" s="62"/>
      <c r="AL1692" s="62">
        <f t="shared" si="414"/>
        <v>-6.8986078468878169</v>
      </c>
      <c r="AM1692" s="62">
        <v>-9.7995200000000011</v>
      </c>
      <c r="AN1692" s="154">
        <v>-5.71</v>
      </c>
      <c r="AO1692" s="410"/>
      <c r="AP1692" s="410"/>
      <c r="AQ1692" s="154" t="s">
        <v>6311</v>
      </c>
      <c r="AR1692" s="154" t="s">
        <v>6311</v>
      </c>
      <c r="AS1692" s="149" t="s">
        <v>6</v>
      </c>
      <c r="AT1692" s="58" t="s">
        <v>266</v>
      </c>
      <c r="AU1692" s="56">
        <v>2</v>
      </c>
      <c r="AV1692" s="56" t="s">
        <v>646</v>
      </c>
      <c r="AW1692" s="56" t="s">
        <v>646</v>
      </c>
      <c r="AX1692" s="56">
        <v>26</v>
      </c>
      <c r="AY1692" s="56" t="s">
        <v>647</v>
      </c>
      <c r="AZ1692" s="56" t="s">
        <v>536</v>
      </c>
      <c r="BA1692" s="56">
        <v>10</v>
      </c>
      <c r="BB1692" s="55" t="s">
        <v>1764</v>
      </c>
      <c r="BC1692" s="55" t="s">
        <v>538</v>
      </c>
      <c r="BD1692" s="55"/>
      <c r="BE1692" s="56" t="s">
        <v>1809</v>
      </c>
      <c r="BF1692" s="56" t="s">
        <v>539</v>
      </c>
      <c r="BG1692" s="56" t="s">
        <v>272</v>
      </c>
      <c r="BH1692" s="56" t="s">
        <v>272</v>
      </c>
      <c r="BI1692" s="153">
        <v>3.1298182240548235E-2</v>
      </c>
      <c r="BJ1692" s="153">
        <v>1.5999070793890473</v>
      </c>
      <c r="BK1692" s="56" t="s">
        <v>1843</v>
      </c>
      <c r="BL1692" s="153">
        <v>91.618189121637243</v>
      </c>
      <c r="BM1692" s="56" t="s">
        <v>541</v>
      </c>
      <c r="BN1692" s="56"/>
      <c r="BO1692" s="56">
        <v>0.11999303095417851</v>
      </c>
      <c r="BP1692" s="56"/>
      <c r="BQ1692" s="56"/>
      <c r="BR1692" s="56">
        <v>9.4699000000000005E-2</v>
      </c>
      <c r="BS1692" s="56"/>
      <c r="BT1692" s="56"/>
      <c r="BU1692" s="158"/>
      <c r="BV1692" s="56"/>
      <c r="BW1692" s="56"/>
      <c r="BX1692" s="56"/>
      <c r="BY1692" s="56"/>
      <c r="BZ1692" s="56"/>
      <c r="CA1692" s="56"/>
      <c r="CB1692" s="56"/>
      <c r="CC1692" s="56"/>
      <c r="CD1692" s="56"/>
      <c r="CE1692" s="56"/>
      <c r="CF1692" s="56"/>
      <c r="CG1692" s="56"/>
      <c r="CH1692" s="56"/>
      <c r="CI1692" s="103">
        <v>9.4699000000000005E-2</v>
      </c>
      <c r="CJ1692" s="103">
        <f t="shared" si="408"/>
        <v>-1.0236546070239168</v>
      </c>
      <c r="CK1692" s="57">
        <f t="shared" si="419"/>
        <v>57.26469386998604</v>
      </c>
      <c r="CL1692" s="160">
        <f t="shared" si="415"/>
        <v>967.46733462483485</v>
      </c>
      <c r="CM1692" s="160"/>
      <c r="CN1692" s="160"/>
      <c r="CO1692" s="55"/>
      <c r="CP1692" s="497" t="s">
        <v>1811</v>
      </c>
      <c r="CQ1692" s="149">
        <v>-0.95664216802755875</v>
      </c>
      <c r="CR1692" s="349">
        <f t="shared" si="417"/>
        <v>0.85701329843456575</v>
      </c>
      <c r="CS1692" s="61" t="s">
        <v>539</v>
      </c>
      <c r="CT1692" s="61" t="s">
        <v>6310</v>
      </c>
      <c r="CU1692" s="111">
        <f t="shared" si="418"/>
        <v>1689.5637757526479</v>
      </c>
      <c r="CV1692" s="331">
        <f t="shared" si="420"/>
        <v>100.00580787547914</v>
      </c>
      <c r="CW1692" s="326">
        <f t="shared" si="409"/>
        <v>1</v>
      </c>
      <c r="CX1692" s="326" t="s">
        <v>539</v>
      </c>
      <c r="CY1692" s="161" t="s">
        <v>5921</v>
      </c>
    </row>
    <row r="1693" spans="1:103" ht="11.25" customHeight="1" x14ac:dyDescent="0.2">
      <c r="A1693" s="72">
        <v>486</v>
      </c>
      <c r="B1693" s="149">
        <v>627</v>
      </c>
      <c r="C1693" s="54" t="s">
        <v>1874</v>
      </c>
      <c r="D1693" s="54" t="s">
        <v>6770</v>
      </c>
      <c r="E1693" s="59"/>
      <c r="F1693" s="59" t="s">
        <v>1875</v>
      </c>
      <c r="G1693" s="151">
        <v>83794</v>
      </c>
      <c r="H1693" s="55" t="s">
        <v>1876</v>
      </c>
      <c r="I1693" s="55" t="s">
        <v>1876</v>
      </c>
      <c r="J1693" s="55" t="s">
        <v>1877</v>
      </c>
      <c r="K1693" s="55" t="s">
        <v>1878</v>
      </c>
      <c r="L1693" s="55" t="s">
        <v>617</v>
      </c>
      <c r="M1693" s="55" t="s">
        <v>6099</v>
      </c>
      <c r="N1693" s="60" t="s">
        <v>6381</v>
      </c>
      <c r="O1693" s="55" t="s">
        <v>6100</v>
      </c>
      <c r="P1693" s="67"/>
      <c r="Q1693" s="67" t="s">
        <v>6176</v>
      </c>
      <c r="R1693" s="67" t="s">
        <v>6185</v>
      </c>
      <c r="S1693" s="67" t="s">
        <v>6176</v>
      </c>
      <c r="T1693" s="56">
        <v>394.42</v>
      </c>
      <c r="U1693" s="103">
        <v>0.19999999999999998</v>
      </c>
      <c r="V1693" s="103">
        <v>1.0449999999999999</v>
      </c>
      <c r="W1693" s="103">
        <v>0.27287197154984649</v>
      </c>
      <c r="X1693" s="103">
        <v>0.19999999999999998</v>
      </c>
      <c r="Y1693" s="162">
        <v>7</v>
      </c>
      <c r="Z1693" s="56">
        <v>4.3099999999999996</v>
      </c>
      <c r="AA1693" s="56">
        <v>4.0999999999999996</v>
      </c>
      <c r="AB1693" s="56">
        <v>3.96</v>
      </c>
      <c r="AC1693" s="56">
        <v>0.64770000000000005</v>
      </c>
      <c r="AD1693" s="56">
        <v>4.24</v>
      </c>
      <c r="AE1693" s="56">
        <v>4.6500000000000004</v>
      </c>
      <c r="AF1693" s="56">
        <f t="shared" si="413"/>
        <v>4.0999999999999996</v>
      </c>
      <c r="AG1693" s="57">
        <v>3.51</v>
      </c>
      <c r="AH1693" s="103">
        <v>1.12E-13</v>
      </c>
      <c r="AI1693" s="103"/>
      <c r="AJ1693" s="62">
        <f t="shared" si="422"/>
        <v>-11.33934830364247</v>
      </c>
      <c r="AK1693" s="62"/>
      <c r="AL1693" s="62">
        <f t="shared" si="414"/>
        <v>-11.33934830364247</v>
      </c>
      <c r="AM1693" s="62">
        <v>-18.712900000000001</v>
      </c>
      <c r="AN1693" s="154">
        <v>-13</v>
      </c>
      <c r="AO1693" s="410"/>
      <c r="AP1693" s="410"/>
      <c r="AQ1693" s="154" t="s">
        <v>6311</v>
      </c>
      <c r="AR1693" s="154" t="s">
        <v>6311</v>
      </c>
      <c r="AS1693" s="149" t="s">
        <v>6</v>
      </c>
      <c r="AT1693" s="58" t="s">
        <v>266</v>
      </c>
      <c r="AU1693" s="56">
        <v>2</v>
      </c>
      <c r="AV1693" s="56" t="s">
        <v>646</v>
      </c>
      <c r="AW1693" s="56" t="s">
        <v>646</v>
      </c>
      <c r="AX1693" s="56">
        <v>26</v>
      </c>
      <c r="AY1693" s="56" t="s">
        <v>647</v>
      </c>
      <c r="AZ1693" s="56" t="s">
        <v>536</v>
      </c>
      <c r="BA1693" s="56">
        <v>10</v>
      </c>
      <c r="BB1693" s="55" t="s">
        <v>1764</v>
      </c>
      <c r="BC1693" s="55" t="s">
        <v>538</v>
      </c>
      <c r="BD1693" s="55"/>
      <c r="BE1693" s="56" t="s">
        <v>1809</v>
      </c>
      <c r="BF1693" s="56" t="s">
        <v>539</v>
      </c>
      <c r="BG1693" s="56" t="s">
        <v>272</v>
      </c>
      <c r="BH1693" s="56" t="s">
        <v>272</v>
      </c>
      <c r="BI1693" s="153">
        <v>1.5699601957254773E-2</v>
      </c>
      <c r="BJ1693" s="153">
        <v>0.49998732347945141</v>
      </c>
      <c r="BK1693" s="56" t="s">
        <v>1810</v>
      </c>
      <c r="BL1693" s="153">
        <v>2.7286506021710006</v>
      </c>
      <c r="BM1693" s="56" t="s">
        <v>541</v>
      </c>
      <c r="BN1693" s="56"/>
      <c r="BO1693" s="56">
        <v>7.5998073168876606E-2</v>
      </c>
      <c r="BP1693" s="56"/>
      <c r="BQ1693" s="56"/>
      <c r="BR1693" s="56">
        <v>6.7051400000000011E-2</v>
      </c>
      <c r="BS1693" s="56"/>
      <c r="BT1693" s="56"/>
      <c r="BU1693" s="158"/>
      <c r="BV1693" s="56"/>
      <c r="BW1693" s="56"/>
      <c r="BX1693" s="56"/>
      <c r="BY1693" s="56"/>
      <c r="BZ1693" s="56"/>
      <c r="CA1693" s="56"/>
      <c r="CB1693" s="56"/>
      <c r="CC1693" s="56"/>
      <c r="CD1693" s="56"/>
      <c r="CE1693" s="56"/>
      <c r="CF1693" s="56"/>
      <c r="CG1693" s="56"/>
      <c r="CH1693" s="56"/>
      <c r="CI1693" s="103">
        <v>6.7051400000000011E-2</v>
      </c>
      <c r="CJ1693" s="103">
        <f t="shared" si="408"/>
        <v>-1.1735921498641775</v>
      </c>
      <c r="CK1693" s="57">
        <f t="shared" si="419"/>
        <v>5.4574395670316296</v>
      </c>
      <c r="CL1693" s="160">
        <f t="shared" si="415"/>
        <v>40.69490871437435</v>
      </c>
      <c r="CM1693" s="160">
        <v>-2.0084096709868953</v>
      </c>
      <c r="CN1693" s="160">
        <f>BJ1693/(10^CM1693)</f>
        <v>50.976341611172067</v>
      </c>
      <c r="CO1693" s="55"/>
      <c r="CP1693" s="497" t="s">
        <v>1811</v>
      </c>
      <c r="CQ1693" s="149">
        <v>-1.6099760319324279</v>
      </c>
      <c r="CR1693" s="349">
        <f t="shared" si="417"/>
        <v>2.7313910503395715</v>
      </c>
      <c r="CS1693" s="61" t="s">
        <v>539</v>
      </c>
      <c r="CT1693" s="61" t="s">
        <v>6310</v>
      </c>
      <c r="CU1693" s="111">
        <f t="shared" si="418"/>
        <v>2.9827863400316765</v>
      </c>
      <c r="CV1693" s="331">
        <f t="shared" si="420"/>
        <v>0.40001014147355601</v>
      </c>
      <c r="CW1693" s="326">
        <f t="shared" si="409"/>
        <v>1</v>
      </c>
      <c r="CX1693" s="326" t="s">
        <v>539</v>
      </c>
      <c r="CY1693" s="161" t="s">
        <v>5921</v>
      </c>
    </row>
    <row r="1694" spans="1:103" ht="11.25" customHeight="1" x14ac:dyDescent="0.2">
      <c r="A1694" s="72">
        <v>487</v>
      </c>
      <c r="B1694" s="149">
        <v>624</v>
      </c>
      <c r="C1694" s="54" t="s">
        <v>6775</v>
      </c>
      <c r="D1694" s="54" t="s">
        <v>6776</v>
      </c>
      <c r="E1694" s="59"/>
      <c r="F1694" s="59" t="s">
        <v>1863</v>
      </c>
      <c r="G1694" s="151">
        <v>70304</v>
      </c>
      <c r="H1694" s="55" t="s">
        <v>1864</v>
      </c>
      <c r="I1694" s="55" t="s">
        <v>7905</v>
      </c>
      <c r="J1694" s="55" t="s">
        <v>1865</v>
      </c>
      <c r="K1694" s="55" t="s">
        <v>376</v>
      </c>
      <c r="L1694" s="64" t="s">
        <v>279</v>
      </c>
      <c r="M1694" s="55" t="s">
        <v>497</v>
      </c>
      <c r="N1694" s="60" t="s">
        <v>6381</v>
      </c>
      <c r="O1694" s="55" t="s">
        <v>281</v>
      </c>
      <c r="P1694" s="67"/>
      <c r="Q1694" s="67" t="s">
        <v>6173</v>
      </c>
      <c r="R1694" s="67" t="s">
        <v>6185</v>
      </c>
      <c r="S1694" s="67" t="s">
        <v>6176</v>
      </c>
      <c r="T1694" s="56">
        <v>406.9</v>
      </c>
      <c r="U1694" s="103">
        <v>140</v>
      </c>
      <c r="V1694" s="103">
        <v>3.8370000000000001E-3</v>
      </c>
      <c r="W1694" s="103">
        <v>9.1093563128345531E-2</v>
      </c>
      <c r="X1694" s="103">
        <v>140</v>
      </c>
      <c r="Y1694" s="162">
        <v>6.66</v>
      </c>
      <c r="Z1694" s="56">
        <v>6.92</v>
      </c>
      <c r="AA1694" s="56">
        <v>7.54</v>
      </c>
      <c r="AB1694" s="56">
        <v>7.28</v>
      </c>
      <c r="AC1694" s="56">
        <v>0.80659999999999998</v>
      </c>
      <c r="AD1694" s="56">
        <v>7.25</v>
      </c>
      <c r="AE1694" s="56">
        <v>7.2</v>
      </c>
      <c r="AF1694" s="56">
        <f t="shared" si="413"/>
        <v>7.54</v>
      </c>
      <c r="AG1694" s="57">
        <v>7.05</v>
      </c>
      <c r="AH1694" s="103">
        <v>8.5999999999999997E-13</v>
      </c>
      <c r="AI1694" s="103"/>
      <c r="AJ1694" s="62">
        <f t="shared" si="422"/>
        <v>-10.454067875069084</v>
      </c>
      <c r="AK1694" s="62"/>
      <c r="AL1694" s="62">
        <f t="shared" si="414"/>
        <v>-10.454067875069084</v>
      </c>
      <c r="AM1694" s="62">
        <v>-14.64447</v>
      </c>
      <c r="AN1694" s="154">
        <v>-7.01</v>
      </c>
      <c r="AO1694" s="410">
        <v>6.49</v>
      </c>
      <c r="AP1694" s="410"/>
      <c r="AQ1694" s="154" t="s">
        <v>6311</v>
      </c>
      <c r="AR1694" s="154" t="s">
        <v>6311</v>
      </c>
      <c r="AS1694" s="149" t="s">
        <v>6</v>
      </c>
      <c r="AT1694" s="58" t="s">
        <v>266</v>
      </c>
      <c r="AU1694" s="56">
        <v>2</v>
      </c>
      <c r="AV1694" s="56" t="s">
        <v>646</v>
      </c>
      <c r="AW1694" s="56" t="s">
        <v>646</v>
      </c>
      <c r="AX1694" s="56">
        <v>26</v>
      </c>
      <c r="AY1694" s="56" t="s">
        <v>647</v>
      </c>
      <c r="AZ1694" s="56" t="s">
        <v>536</v>
      </c>
      <c r="BA1694" s="56">
        <v>10</v>
      </c>
      <c r="BB1694" s="55" t="s">
        <v>1764</v>
      </c>
      <c r="BC1694" s="55" t="s">
        <v>538</v>
      </c>
      <c r="BD1694" s="55"/>
      <c r="BE1694" s="56" t="s">
        <v>1809</v>
      </c>
      <c r="BF1694" s="56" t="s">
        <v>539</v>
      </c>
      <c r="BG1694" s="56" t="s">
        <v>272</v>
      </c>
      <c r="BH1694" s="56" t="s">
        <v>272</v>
      </c>
      <c r="BI1694" s="153">
        <v>1.2499692806763166E-2</v>
      </c>
      <c r="BJ1694" s="153">
        <v>0.49998771227052663</v>
      </c>
      <c r="BK1694" s="56" t="s">
        <v>1866</v>
      </c>
      <c r="BL1694" s="153">
        <v>1.2747813168780344E-2</v>
      </c>
      <c r="BM1694" s="56" t="s">
        <v>541</v>
      </c>
      <c r="BN1694" s="56"/>
      <c r="BO1694" s="56">
        <v>7.8998058538743213E-2</v>
      </c>
      <c r="BP1694" s="56"/>
      <c r="BQ1694" s="56"/>
      <c r="BR1694" s="56">
        <v>6.9172999999999998E-2</v>
      </c>
      <c r="BS1694" s="56"/>
      <c r="BT1694" s="56"/>
      <c r="BU1694" s="158"/>
      <c r="BV1694" s="56"/>
      <c r="BW1694" s="56"/>
      <c r="BX1694" s="56"/>
      <c r="BY1694" s="56"/>
      <c r="BZ1694" s="56"/>
      <c r="CA1694" s="56"/>
      <c r="CB1694" s="56"/>
      <c r="CC1694" s="56"/>
      <c r="CD1694" s="56"/>
      <c r="CE1694" s="56"/>
      <c r="CF1694" s="56"/>
      <c r="CG1694" s="56"/>
      <c r="CH1694" s="56"/>
      <c r="CI1694" s="103">
        <v>6.9172999999999998E-2</v>
      </c>
      <c r="CJ1694" s="103">
        <f t="shared" si="408"/>
        <v>-1.1600633887684408</v>
      </c>
      <c r="CK1694" s="57">
        <f t="shared" si="419"/>
        <v>2.5496252919677612E-2</v>
      </c>
      <c r="CL1694" s="160">
        <f t="shared" si="415"/>
        <v>0.18428885791826788</v>
      </c>
      <c r="CM1694" s="160"/>
      <c r="CN1694" s="160"/>
      <c r="CO1694" s="55"/>
      <c r="CP1694" s="497" t="s">
        <v>1811</v>
      </c>
      <c r="CQ1694" s="149">
        <v>-1.1851585195085319</v>
      </c>
      <c r="CR1694" s="349">
        <f t="shared" si="417"/>
        <v>1.059485776543875</v>
      </c>
      <c r="CS1694" s="61" t="s">
        <v>539</v>
      </c>
      <c r="CT1694" s="61" t="s">
        <v>6310</v>
      </c>
      <c r="CU1694" s="111">
        <f t="shared" si="418"/>
        <v>2023.9110635652639</v>
      </c>
      <c r="CV1694" s="331">
        <f t="shared" si="420"/>
        <v>280.00688129761613</v>
      </c>
      <c r="CW1694" s="326">
        <f t="shared" si="409"/>
        <v>1</v>
      </c>
      <c r="CX1694" s="326" t="s">
        <v>539</v>
      </c>
      <c r="CY1694" s="161" t="s">
        <v>5921</v>
      </c>
    </row>
    <row r="1695" spans="1:103" ht="11.25" customHeight="1" x14ac:dyDescent="0.2">
      <c r="A1695" s="72">
        <v>1898</v>
      </c>
      <c r="B1695" s="241">
        <v>703</v>
      </c>
      <c r="C1695" s="32" t="s">
        <v>4068</v>
      </c>
      <c r="D1695" s="32"/>
      <c r="E1695" s="40"/>
      <c r="F1695" s="40" t="s">
        <v>4069</v>
      </c>
      <c r="G1695" s="242">
        <v>37529309</v>
      </c>
      <c r="H1695" s="36" t="s">
        <v>4070</v>
      </c>
      <c r="I1695" s="36" t="s">
        <v>4070</v>
      </c>
      <c r="J1695" s="36" t="s">
        <v>4071</v>
      </c>
      <c r="K1695" s="36" t="s">
        <v>1573</v>
      </c>
      <c r="L1695" s="36"/>
      <c r="M1695" s="36"/>
      <c r="N1695" s="36"/>
      <c r="O1695" s="36"/>
      <c r="P1695" s="41"/>
      <c r="Q1695" s="41"/>
      <c r="R1695" s="41"/>
      <c r="S1695" s="41"/>
      <c r="T1695" s="37">
        <v>233.39</v>
      </c>
      <c r="U1695" s="243"/>
      <c r="V1695" s="243">
        <v>0.2014</v>
      </c>
      <c r="W1695" s="243">
        <v>0.52249512653046315</v>
      </c>
      <c r="X1695" s="243">
        <v>0.52249512653046315</v>
      </c>
      <c r="Y1695" s="414">
        <v>7.04</v>
      </c>
      <c r="Z1695" s="37">
        <v>6.04</v>
      </c>
      <c r="AA1695" s="37"/>
      <c r="AB1695" s="37">
        <v>5.98</v>
      </c>
      <c r="AC1695" s="37">
        <v>0.748</v>
      </c>
      <c r="AD1695" s="37">
        <v>6.05</v>
      </c>
      <c r="AE1695" s="37">
        <v>6.18</v>
      </c>
      <c r="AF1695" s="37">
        <f t="shared" si="413"/>
        <v>6.05</v>
      </c>
      <c r="AG1695" s="38">
        <v>5.46</v>
      </c>
      <c r="AH1695" s="243">
        <v>2.69E-5</v>
      </c>
      <c r="AI1695" s="243"/>
      <c r="AJ1695" s="34">
        <f t="shared" si="422"/>
        <v>-2.9588140463102439</v>
      </c>
      <c r="AK1695" s="34"/>
      <c r="AL1695" s="34">
        <f t="shared" ref="AL1695:AL1726" si="425">IF(AK1695=0,AJ1695,AK1695)</f>
        <v>-2.9588140463102439</v>
      </c>
      <c r="AM1695" s="34">
        <v>-7.3938600000000001</v>
      </c>
      <c r="AN1695" s="244">
        <v>-2.76</v>
      </c>
      <c r="AO1695" s="417"/>
      <c r="AP1695" s="417">
        <v>4.96</v>
      </c>
      <c r="AQ1695" s="244" t="s">
        <v>6311</v>
      </c>
      <c r="AR1695" s="244" t="s">
        <v>6311</v>
      </c>
      <c r="AS1695" s="241" t="s">
        <v>6</v>
      </c>
      <c r="AT1695" s="39" t="s">
        <v>266</v>
      </c>
      <c r="AU1695" s="37">
        <v>2</v>
      </c>
      <c r="AV1695" s="37">
        <v>48</v>
      </c>
      <c r="AW1695" s="37">
        <v>48</v>
      </c>
      <c r="AX1695" s="37">
        <v>26</v>
      </c>
      <c r="AY1695" s="37" t="s">
        <v>647</v>
      </c>
      <c r="AZ1695" s="37" t="s">
        <v>536</v>
      </c>
      <c r="BA1695" s="37">
        <v>10</v>
      </c>
      <c r="BB1695" s="36" t="s">
        <v>1764</v>
      </c>
      <c r="BC1695" s="36" t="s">
        <v>538</v>
      </c>
      <c r="BD1695" s="36"/>
      <c r="BE1695" s="37" t="s">
        <v>1809</v>
      </c>
      <c r="BF1695" s="37" t="s">
        <v>539</v>
      </c>
      <c r="BG1695" s="37" t="s">
        <v>272</v>
      </c>
      <c r="BH1695" s="37" t="s">
        <v>4072</v>
      </c>
      <c r="BI1695" s="243" t="s">
        <v>8722</v>
      </c>
      <c r="BJ1695" s="243" t="s">
        <v>8722</v>
      </c>
      <c r="BK1695" s="37"/>
      <c r="BL1695" s="263">
        <v>4.5118873093850632E-2</v>
      </c>
      <c r="BM1695" s="37" t="s">
        <v>541</v>
      </c>
      <c r="BN1695" s="37"/>
      <c r="BO1695" s="37"/>
      <c r="BP1695" s="37"/>
      <c r="BQ1695" s="37"/>
      <c r="BR1695" s="37"/>
      <c r="BS1695" s="37"/>
      <c r="BT1695" s="37"/>
      <c r="BU1695" s="246"/>
      <c r="BV1695" s="37"/>
      <c r="BW1695" s="37"/>
      <c r="BX1695" s="37"/>
      <c r="BY1695" s="37"/>
      <c r="BZ1695" s="37"/>
      <c r="CA1695" s="37"/>
      <c r="CB1695" s="37"/>
      <c r="CC1695" s="37"/>
      <c r="CD1695" s="37"/>
      <c r="CE1695" s="37"/>
      <c r="CF1695" s="37"/>
      <c r="CG1695" s="37"/>
      <c r="CH1695" s="37"/>
      <c r="CI1695" s="243"/>
      <c r="CJ1695" s="243"/>
      <c r="CK1695" s="38"/>
      <c r="CL1695" s="247"/>
      <c r="CM1695" s="247"/>
      <c r="CN1695" s="247"/>
      <c r="CO1695" s="36" t="s">
        <v>4073</v>
      </c>
      <c r="CP1695" s="496" t="s">
        <v>1811</v>
      </c>
      <c r="CQ1695" s="241">
        <v>-1.2118316288588322</v>
      </c>
      <c r="CR1695" s="241">
        <f t="shared" si="417"/>
        <v>16.286644951140069</v>
      </c>
      <c r="CS1695" s="33"/>
      <c r="CT1695" s="33"/>
      <c r="CU1695" s="250" t="s">
        <v>6310</v>
      </c>
      <c r="CV1695" s="337" t="s">
        <v>6310</v>
      </c>
      <c r="CW1695" s="330">
        <f>IF(CV1695&lt;1,0,1)</f>
        <v>1</v>
      </c>
      <c r="CX1695" s="330"/>
      <c r="CY1695" s="143" t="s">
        <v>5921</v>
      </c>
    </row>
    <row r="1696" spans="1:103" ht="11.25" customHeight="1" x14ac:dyDescent="0.2">
      <c r="A1696" s="72">
        <v>1913</v>
      </c>
      <c r="B1696" s="241">
        <v>715</v>
      </c>
      <c r="C1696" s="32" t="s">
        <v>1359</v>
      </c>
      <c r="D1696" s="32"/>
      <c r="E1696" s="40"/>
      <c r="F1696" s="40" t="s">
        <v>1360</v>
      </c>
      <c r="G1696" s="242">
        <v>52645531</v>
      </c>
      <c r="H1696" s="36" t="s">
        <v>1361</v>
      </c>
      <c r="I1696" s="36" t="s">
        <v>7889</v>
      </c>
      <c r="J1696" s="36" t="s">
        <v>1362</v>
      </c>
      <c r="K1696" s="36" t="s">
        <v>1363</v>
      </c>
      <c r="L1696" s="36" t="s">
        <v>617</v>
      </c>
      <c r="M1696" s="36" t="s">
        <v>1364</v>
      </c>
      <c r="N1696" s="36" t="s">
        <v>6376</v>
      </c>
      <c r="O1696" s="36" t="s">
        <v>1365</v>
      </c>
      <c r="P1696" s="41"/>
      <c r="Q1696" s="41"/>
      <c r="R1696" s="41"/>
      <c r="S1696" s="41"/>
      <c r="T1696" s="37">
        <v>391.29</v>
      </c>
      <c r="U1696" s="243">
        <v>6.0000000000000001E-3</v>
      </c>
      <c r="V1696" s="243">
        <v>9.7470000000000005E-3</v>
      </c>
      <c r="W1696" s="243">
        <v>5.1582067922973561E-2</v>
      </c>
      <c r="X1696" s="243">
        <v>6.0000000000000001E-3</v>
      </c>
      <c r="Y1696" s="414">
        <v>7</v>
      </c>
      <c r="Z1696" s="37">
        <v>7.43</v>
      </c>
      <c r="AA1696" s="37">
        <v>6.5</v>
      </c>
      <c r="AB1696" s="37">
        <v>6.33</v>
      </c>
      <c r="AC1696" s="37">
        <v>0.93520000000000003</v>
      </c>
      <c r="AD1696" s="37">
        <v>6.47</v>
      </c>
      <c r="AE1696" s="37">
        <v>7.15</v>
      </c>
      <c r="AF1696" s="37">
        <f t="shared" si="413"/>
        <v>6.5</v>
      </c>
      <c r="AG1696" s="38">
        <v>5.3</v>
      </c>
      <c r="AH1696" s="243">
        <v>2.8799999999999998E-7</v>
      </c>
      <c r="AI1696" s="243">
        <v>1.8700000000000001E-6</v>
      </c>
      <c r="AJ1696" s="34">
        <f t="shared" si="422"/>
        <v>-4.9291738385534209</v>
      </c>
      <c r="AK1696" s="34">
        <f>LOG10(AI1696*1000/(0.08206*298.15))</f>
        <v>-4.116724719776153</v>
      </c>
      <c r="AL1696" s="34">
        <f t="shared" si="425"/>
        <v>-4.116724719776153</v>
      </c>
      <c r="AM1696" s="34">
        <v>-12.603410000000002</v>
      </c>
      <c r="AN1696" s="244">
        <v>-4.92</v>
      </c>
      <c r="AO1696" s="417"/>
      <c r="AP1696" s="417"/>
      <c r="AQ1696" s="244" t="s">
        <v>6311</v>
      </c>
      <c r="AR1696" s="244" t="s">
        <v>6312</v>
      </c>
      <c r="AS1696" s="241" t="s">
        <v>6</v>
      </c>
      <c r="AT1696" s="39" t="s">
        <v>266</v>
      </c>
      <c r="AU1696" s="37">
        <v>2</v>
      </c>
      <c r="AV1696" s="37">
        <v>48</v>
      </c>
      <c r="AW1696" s="37">
        <v>48</v>
      </c>
      <c r="AX1696" s="37">
        <v>26</v>
      </c>
      <c r="AY1696" s="37" t="s">
        <v>647</v>
      </c>
      <c r="AZ1696" s="37" t="s">
        <v>536</v>
      </c>
      <c r="BA1696" s="37">
        <v>10</v>
      </c>
      <c r="BB1696" s="36" t="s">
        <v>1764</v>
      </c>
      <c r="BC1696" s="36" t="s">
        <v>538</v>
      </c>
      <c r="BD1696" s="36"/>
      <c r="BE1696" s="37" t="s">
        <v>1809</v>
      </c>
      <c r="BF1696" s="37" t="s">
        <v>539</v>
      </c>
      <c r="BG1696" s="37" t="s">
        <v>272</v>
      </c>
      <c r="BH1696" s="37" t="s">
        <v>4072</v>
      </c>
      <c r="BI1696" s="250">
        <v>9.9997444416049075E-2</v>
      </c>
      <c r="BJ1696" s="250">
        <v>19.999488883209814</v>
      </c>
      <c r="BK1696" s="37"/>
      <c r="BL1696" s="263">
        <v>4.2698807781093792E-3</v>
      </c>
      <c r="BM1696" s="37" t="s">
        <v>541</v>
      </c>
      <c r="BN1696" s="37"/>
      <c r="BO1696" s="37"/>
      <c r="BP1696" s="37"/>
      <c r="BQ1696" s="37"/>
      <c r="BR1696" s="37"/>
      <c r="BS1696" s="37"/>
      <c r="BT1696" s="37"/>
      <c r="BU1696" s="246"/>
      <c r="BV1696" s="37"/>
      <c r="BW1696" s="37"/>
      <c r="BX1696" s="37"/>
      <c r="BY1696" s="37"/>
      <c r="BZ1696" s="37"/>
      <c r="CA1696" s="37"/>
      <c r="CB1696" s="37"/>
      <c r="CC1696" s="37"/>
      <c r="CD1696" s="37"/>
      <c r="CE1696" s="37"/>
      <c r="CF1696" s="37"/>
      <c r="CG1696" s="37"/>
      <c r="CH1696" s="37"/>
      <c r="CI1696" s="243"/>
      <c r="CJ1696" s="243"/>
      <c r="CK1696" s="38">
        <f>BL1696/BJ1696</f>
        <v>2.1349949506430015E-4</v>
      </c>
      <c r="CL1696" s="247"/>
      <c r="CM1696" s="247">
        <v>-2.6020599913279625</v>
      </c>
      <c r="CN1696" s="247">
        <f>BJ1696/(10^CM1696)</f>
        <v>7999.7955532839296</v>
      </c>
      <c r="CO1696" s="36" t="s">
        <v>4073</v>
      </c>
      <c r="CP1696" s="496" t="s">
        <v>1811</v>
      </c>
      <c r="CQ1696" s="241">
        <v>-2.0868585448471388</v>
      </c>
      <c r="CR1696" s="241">
        <f t="shared" si="417"/>
        <v>122.14017695134237</v>
      </c>
      <c r="CS1696" s="33"/>
      <c r="CT1696" s="33"/>
      <c r="CU1696" s="250"/>
      <c r="CV1696" s="337">
        <f>X1696/BJ1696</f>
        <v>3.000076669477881E-4</v>
      </c>
      <c r="CW1696" s="330">
        <f>IF(CV1696&lt;1,0,1)</f>
        <v>0</v>
      </c>
      <c r="CX1696" s="330"/>
      <c r="CY1696" s="143" t="s">
        <v>5921</v>
      </c>
    </row>
    <row r="1697" spans="1:103" ht="11.25" customHeight="1" x14ac:dyDescent="0.2">
      <c r="A1697" s="72">
        <v>1724</v>
      </c>
      <c r="B1697" s="241">
        <v>2065</v>
      </c>
      <c r="C1697" s="32" t="s">
        <v>7654</v>
      </c>
      <c r="D1697" s="32" t="s">
        <v>8582</v>
      </c>
      <c r="E1697" s="40"/>
      <c r="F1697" s="40" t="s">
        <v>1554</v>
      </c>
      <c r="G1697" s="242">
        <v>107028</v>
      </c>
      <c r="H1697" s="41" t="s">
        <v>1555</v>
      </c>
      <c r="I1697" s="41" t="s">
        <v>1555</v>
      </c>
      <c r="J1697" s="41" t="s">
        <v>1556</v>
      </c>
      <c r="K1697" s="41" t="s">
        <v>1557</v>
      </c>
      <c r="L1697" s="41"/>
      <c r="M1697" s="41" t="s">
        <v>6088</v>
      </c>
      <c r="N1697" s="36" t="s">
        <v>6088</v>
      </c>
      <c r="O1697" s="41"/>
      <c r="P1697" s="41" t="s">
        <v>6172</v>
      </c>
      <c r="Q1697" s="41" t="s">
        <v>6173</v>
      </c>
      <c r="R1697" s="41" t="s">
        <v>6175</v>
      </c>
      <c r="S1697" s="41" t="s">
        <v>6176</v>
      </c>
      <c r="T1697" s="33">
        <v>56.06</v>
      </c>
      <c r="U1697" s="250">
        <v>212000</v>
      </c>
      <c r="V1697" s="250">
        <v>139700</v>
      </c>
      <c r="W1697" s="250">
        <v>70575.35858518102</v>
      </c>
      <c r="X1697" s="250">
        <v>212000</v>
      </c>
      <c r="Y1697" s="415">
        <v>7</v>
      </c>
      <c r="Z1697" s="33">
        <v>0.19</v>
      </c>
      <c r="AA1697" s="33">
        <v>-0.01</v>
      </c>
      <c r="AB1697" s="33">
        <v>0.44</v>
      </c>
      <c r="AC1697" s="33">
        <v>0.82410000000000005</v>
      </c>
      <c r="AD1697" s="33">
        <v>0.31</v>
      </c>
      <c r="AE1697" s="33">
        <v>-0.01</v>
      </c>
      <c r="AF1697" s="33">
        <f t="shared" si="413"/>
        <v>-0.01</v>
      </c>
      <c r="AG1697" s="34">
        <v>0.4</v>
      </c>
      <c r="AH1697" s="250">
        <v>3.5800000000000003E-5</v>
      </c>
      <c r="AI1697" s="250">
        <v>1.22E-4</v>
      </c>
      <c r="AJ1697" s="34">
        <f t="shared" si="422"/>
        <v>-2.8346832996687774</v>
      </c>
      <c r="AK1697" s="34">
        <f>LOG10(AI1697*1000/(0.08206*298.15))</f>
        <v>-2.3022064956379036</v>
      </c>
      <c r="AL1697" s="34">
        <f t="shared" si="425"/>
        <v>-2.3022064956379036</v>
      </c>
      <c r="AM1697" s="34">
        <v>-3.3780299999999999</v>
      </c>
      <c r="AN1697" s="251">
        <v>-2.6764000000000001</v>
      </c>
      <c r="AO1697" s="417"/>
      <c r="AP1697" s="417"/>
      <c r="AQ1697" s="251" t="s">
        <v>6311</v>
      </c>
      <c r="AR1697" s="251" t="s">
        <v>6311</v>
      </c>
      <c r="AS1697" s="252" t="s">
        <v>5466</v>
      </c>
      <c r="AT1697" s="35" t="s">
        <v>266</v>
      </c>
      <c r="AU1697" s="33">
        <v>2</v>
      </c>
      <c r="AV1697" s="33">
        <v>50</v>
      </c>
      <c r="AW1697" s="33">
        <v>48</v>
      </c>
      <c r="AX1697" s="33">
        <v>26</v>
      </c>
      <c r="AY1697" s="33" t="s">
        <v>267</v>
      </c>
      <c r="AZ1697" s="33" t="s">
        <v>3666</v>
      </c>
      <c r="BA1697" s="33" t="s">
        <v>5683</v>
      </c>
      <c r="BB1697" s="41" t="s">
        <v>5684</v>
      </c>
      <c r="BC1697" s="41" t="s">
        <v>538</v>
      </c>
      <c r="BD1697" s="41"/>
      <c r="BE1697" s="33" t="s">
        <v>2449</v>
      </c>
      <c r="BF1697" s="33"/>
      <c r="BG1697" s="33"/>
      <c r="BH1697" s="33"/>
      <c r="BI1697" s="250">
        <v>9.2498999999999998E-2</v>
      </c>
      <c r="BJ1697" s="250">
        <v>1.479984</v>
      </c>
      <c r="BK1697" s="254"/>
      <c r="BL1697" s="263">
        <v>1944.5275178868808</v>
      </c>
      <c r="BM1697" s="33"/>
      <c r="BN1697" s="33"/>
      <c r="BO1697" s="33">
        <v>0.42000000638000001</v>
      </c>
      <c r="BP1697" s="33"/>
      <c r="BQ1697" s="33"/>
      <c r="BR1697" s="33"/>
      <c r="BS1697" s="33"/>
      <c r="BT1697" s="33"/>
      <c r="BU1697" s="246"/>
      <c r="BV1697" s="33"/>
      <c r="BW1697" s="33"/>
      <c r="BX1697" s="33"/>
      <c r="BY1697" s="33"/>
      <c r="BZ1697" s="33"/>
      <c r="CA1697" s="33"/>
      <c r="CB1697" s="33"/>
      <c r="CC1697" s="33"/>
      <c r="CD1697" s="33"/>
      <c r="CE1697" s="33"/>
      <c r="CF1697" s="33"/>
      <c r="CG1697" s="33"/>
      <c r="CH1697" s="33"/>
      <c r="CI1697" s="250">
        <v>0.42000000638000001</v>
      </c>
      <c r="CJ1697" s="243">
        <f t="shared" ref="CJ1697:CJ1705" si="426">LOG10(CI1697)</f>
        <v>-0.37675070300495961</v>
      </c>
      <c r="CK1697" s="38">
        <f>BL1697/BJ1697</f>
        <v>1313.8841486711212</v>
      </c>
      <c r="CL1697" s="247">
        <f t="shared" ref="CL1697:CL1705" si="427">BL1697/CI1697</f>
        <v>4629.8273532109097</v>
      </c>
      <c r="CM1697" s="247"/>
      <c r="CN1697" s="247"/>
      <c r="CO1697" s="41" t="s">
        <v>5685</v>
      </c>
      <c r="CP1697" s="143" t="s">
        <v>5686</v>
      </c>
      <c r="CQ1697" s="241">
        <v>-1.4124877040692267</v>
      </c>
      <c r="CR1697" s="241">
        <f t="shared" si="417"/>
        <v>10.857679079502145</v>
      </c>
      <c r="CS1697" s="33"/>
      <c r="CT1697" s="33"/>
      <c r="CU1697" s="250">
        <f t="shared" ref="CU1697:CU1705" si="428">X1697/CI1697</f>
        <v>504761.89709433116</v>
      </c>
      <c r="CV1697" s="337">
        <f>X1697/BJ1697</f>
        <v>143244.79183558741</v>
      </c>
      <c r="CW1697" s="330">
        <f t="shared" ref="CW1697:CW1705" si="429">IF(CU1697&lt;2,0,1)</f>
        <v>1</v>
      </c>
      <c r="CX1697" s="330"/>
      <c r="CY1697" s="143" t="s">
        <v>6351</v>
      </c>
    </row>
    <row r="1698" spans="1:103" ht="11.25" customHeight="1" x14ac:dyDescent="0.2">
      <c r="A1698" s="72">
        <v>1728</v>
      </c>
      <c r="B1698" s="241">
        <v>2066</v>
      </c>
      <c r="C1698" s="32" t="s">
        <v>1839</v>
      </c>
      <c r="D1698" s="32"/>
      <c r="E1698" s="40"/>
      <c r="F1698" s="40" t="s">
        <v>1840</v>
      </c>
      <c r="G1698" s="242">
        <v>107186</v>
      </c>
      <c r="H1698" s="41" t="s">
        <v>1841</v>
      </c>
      <c r="I1698" s="41" t="s">
        <v>1841</v>
      </c>
      <c r="J1698" s="41" t="s">
        <v>1842</v>
      </c>
      <c r="K1698" s="41" t="s">
        <v>659</v>
      </c>
      <c r="L1698" s="41" t="s">
        <v>5527</v>
      </c>
      <c r="M1698" s="41" t="s">
        <v>6624</v>
      </c>
      <c r="N1698" s="36" t="s">
        <v>6088</v>
      </c>
      <c r="O1698" s="41"/>
      <c r="P1698" s="41" t="s">
        <v>6172</v>
      </c>
      <c r="Q1698" s="41" t="s">
        <v>6176</v>
      </c>
      <c r="R1698" s="41" t="s">
        <v>6175</v>
      </c>
      <c r="S1698" s="41" t="s">
        <v>6176</v>
      </c>
      <c r="T1698" s="33">
        <v>58.08</v>
      </c>
      <c r="U1698" s="250">
        <v>1000000</v>
      </c>
      <c r="V1698" s="250">
        <v>317700</v>
      </c>
      <c r="W1698" s="250">
        <v>118584.13982640629</v>
      </c>
      <c r="X1698" s="250">
        <v>1000000</v>
      </c>
      <c r="Y1698" s="415">
        <v>6.88</v>
      </c>
      <c r="Z1698" s="33">
        <v>0.21</v>
      </c>
      <c r="AA1698" s="33">
        <v>0.17</v>
      </c>
      <c r="AB1698" s="33">
        <v>0.08</v>
      </c>
      <c r="AC1698" s="33">
        <v>0.84809999999999997</v>
      </c>
      <c r="AD1698" s="33">
        <v>0.1</v>
      </c>
      <c r="AE1698" s="33">
        <v>0.17</v>
      </c>
      <c r="AF1698" s="33">
        <f t="shared" si="413"/>
        <v>0.17</v>
      </c>
      <c r="AG1698" s="34">
        <v>0.41</v>
      </c>
      <c r="AH1698" s="250">
        <v>5.5999999999999997E-6</v>
      </c>
      <c r="AI1698" s="250">
        <v>4.9899999999999997E-6</v>
      </c>
      <c r="AJ1698" s="34">
        <f t="shared" si="422"/>
        <v>-3.6403782993064513</v>
      </c>
      <c r="AK1698" s="34">
        <f>LOG10(AI1698*1000/(0.08206*298.15))</f>
        <v>-3.6904657806892618</v>
      </c>
      <c r="AL1698" s="34">
        <f t="shared" si="425"/>
        <v>-3.6904657806892618</v>
      </c>
      <c r="AM1698" s="34">
        <v>-3.7748599999999999</v>
      </c>
      <c r="AN1698" s="251">
        <v>-3.8182</v>
      </c>
      <c r="AO1698" s="417">
        <v>14.43</v>
      </c>
      <c r="AP1698" s="417"/>
      <c r="AQ1698" s="33" t="s">
        <v>6311</v>
      </c>
      <c r="AR1698" s="33" t="s">
        <v>6311</v>
      </c>
      <c r="AS1698" s="252" t="s">
        <v>5466</v>
      </c>
      <c r="AT1698" s="35" t="s">
        <v>266</v>
      </c>
      <c r="AU1698" s="33">
        <v>72</v>
      </c>
      <c r="AV1698" s="33">
        <v>120</v>
      </c>
      <c r="AW1698" s="33">
        <v>48</v>
      </c>
      <c r="AX1698" s="33">
        <v>26</v>
      </c>
      <c r="AY1698" s="33" t="s">
        <v>267</v>
      </c>
      <c r="AZ1698" s="33" t="s">
        <v>3666</v>
      </c>
      <c r="BA1698" s="33" t="s">
        <v>5683</v>
      </c>
      <c r="BB1698" s="41" t="s">
        <v>5684</v>
      </c>
      <c r="BC1698" s="41" t="s">
        <v>538</v>
      </c>
      <c r="BD1698" s="41"/>
      <c r="BE1698" s="33" t="s">
        <v>2449</v>
      </c>
      <c r="BF1698" s="33"/>
      <c r="BG1698" s="33"/>
      <c r="BH1698" s="33"/>
      <c r="BI1698" s="250">
        <v>23.40624</v>
      </c>
      <c r="BJ1698" s="250">
        <v>749.23199999999997</v>
      </c>
      <c r="BK1698" s="254"/>
      <c r="BL1698" s="263">
        <v>1932.9721983995692</v>
      </c>
      <c r="BM1698" s="33"/>
      <c r="BN1698" s="33"/>
      <c r="BO1698" s="33"/>
      <c r="BP1698" s="33"/>
      <c r="BQ1698" s="33"/>
      <c r="BR1698" s="33"/>
      <c r="BS1698" s="33"/>
      <c r="BT1698" s="33"/>
      <c r="BU1698" s="246"/>
      <c r="BV1698" s="33"/>
      <c r="BW1698" s="33"/>
      <c r="BX1698" s="33"/>
      <c r="BY1698" s="33"/>
      <c r="BZ1698" s="33"/>
      <c r="CA1698" s="33"/>
      <c r="CB1698" s="33"/>
      <c r="CC1698" s="33"/>
      <c r="CD1698" s="33"/>
      <c r="CE1698" s="33">
        <v>159.00000001248</v>
      </c>
      <c r="CF1698" s="33"/>
      <c r="CG1698" s="33"/>
      <c r="CH1698" s="33"/>
      <c r="CI1698" s="250">
        <v>159.00000001248</v>
      </c>
      <c r="CJ1698" s="243">
        <f t="shared" si="426"/>
        <v>2.2013971243545396</v>
      </c>
      <c r="CK1698" s="38">
        <f>BL1698/BJ1698</f>
        <v>2.5799381211688357</v>
      </c>
      <c r="CL1698" s="247">
        <f t="shared" si="427"/>
        <v>12.157057850615402</v>
      </c>
      <c r="CM1698" s="247"/>
      <c r="CN1698" s="247"/>
      <c r="CO1698" s="41"/>
      <c r="CP1698" s="143" t="s">
        <v>5686</v>
      </c>
      <c r="CQ1698" s="241">
        <v>-0.16502394964466491</v>
      </c>
      <c r="CR1698" s="241">
        <f t="shared" si="417"/>
        <v>232.49899181478804</v>
      </c>
      <c r="CS1698" s="33"/>
      <c r="CT1698" s="33"/>
      <c r="CU1698" s="250">
        <f t="shared" si="428"/>
        <v>6289.3081756069778</v>
      </c>
      <c r="CV1698" s="337">
        <f>X1698/BJ1698</f>
        <v>1334.7000662011233</v>
      </c>
      <c r="CW1698" s="330">
        <f t="shared" si="429"/>
        <v>1</v>
      </c>
      <c r="CX1698" s="330"/>
      <c r="CY1698" s="143" t="s">
        <v>6351</v>
      </c>
    </row>
    <row r="1699" spans="1:103" ht="11.25" customHeight="1" x14ac:dyDescent="0.2">
      <c r="A1699" s="72">
        <v>1729</v>
      </c>
      <c r="B1699" s="241">
        <v>2066</v>
      </c>
      <c r="C1699" s="32" t="s">
        <v>1839</v>
      </c>
      <c r="D1699" s="32"/>
      <c r="E1699" s="40"/>
      <c r="F1699" s="40" t="s">
        <v>1840</v>
      </c>
      <c r="G1699" s="242">
        <v>107186</v>
      </c>
      <c r="H1699" s="41" t="s">
        <v>1841</v>
      </c>
      <c r="I1699" s="41" t="s">
        <v>1841</v>
      </c>
      <c r="J1699" s="41" t="s">
        <v>1842</v>
      </c>
      <c r="K1699" s="41" t="s">
        <v>659</v>
      </c>
      <c r="L1699" s="41" t="s">
        <v>5527</v>
      </c>
      <c r="M1699" s="41" t="s">
        <v>6624</v>
      </c>
      <c r="N1699" s="36" t="s">
        <v>6088</v>
      </c>
      <c r="O1699" s="41"/>
      <c r="P1699" s="41" t="s">
        <v>6172</v>
      </c>
      <c r="Q1699" s="41" t="s">
        <v>6176</v>
      </c>
      <c r="R1699" s="41" t="s">
        <v>6175</v>
      </c>
      <c r="S1699" s="41" t="s">
        <v>6176</v>
      </c>
      <c r="T1699" s="33">
        <v>58.08</v>
      </c>
      <c r="U1699" s="250">
        <v>1000000</v>
      </c>
      <c r="V1699" s="250">
        <v>317700</v>
      </c>
      <c r="W1699" s="250">
        <v>118584.13982640629</v>
      </c>
      <c r="X1699" s="250">
        <v>1000000</v>
      </c>
      <c r="Y1699" s="415">
        <v>6.88</v>
      </c>
      <c r="Z1699" s="33">
        <v>0.21</v>
      </c>
      <c r="AA1699" s="33">
        <v>0.17</v>
      </c>
      <c r="AB1699" s="33">
        <v>0.08</v>
      </c>
      <c r="AC1699" s="33">
        <v>0.84809999999999997</v>
      </c>
      <c r="AD1699" s="33">
        <v>0.1</v>
      </c>
      <c r="AE1699" s="33">
        <v>0.17</v>
      </c>
      <c r="AF1699" s="33">
        <f t="shared" si="413"/>
        <v>0.17</v>
      </c>
      <c r="AG1699" s="34">
        <v>0.41</v>
      </c>
      <c r="AH1699" s="250">
        <v>5.5999999999999997E-6</v>
      </c>
      <c r="AI1699" s="250">
        <v>4.9899999999999997E-6</v>
      </c>
      <c r="AJ1699" s="34">
        <f t="shared" si="422"/>
        <v>-3.6403782993064513</v>
      </c>
      <c r="AK1699" s="34">
        <f>LOG10(AI1699*1000/(0.08206*298.15))</f>
        <v>-3.6904657806892618</v>
      </c>
      <c r="AL1699" s="34">
        <f t="shared" si="425"/>
        <v>-3.6904657806892618</v>
      </c>
      <c r="AM1699" s="34">
        <v>-3.7748599999999999</v>
      </c>
      <c r="AN1699" s="251">
        <v>-3.8182</v>
      </c>
      <c r="AO1699" s="417">
        <v>14.43</v>
      </c>
      <c r="AP1699" s="417"/>
      <c r="AQ1699" s="33" t="s">
        <v>6311</v>
      </c>
      <c r="AR1699" s="33" t="s">
        <v>6311</v>
      </c>
      <c r="AS1699" s="252" t="s">
        <v>5466</v>
      </c>
      <c r="AT1699" s="35" t="s">
        <v>266</v>
      </c>
      <c r="AU1699" s="33">
        <v>24</v>
      </c>
      <c r="AV1699" s="33">
        <v>72</v>
      </c>
      <c r="AW1699" s="33">
        <v>48</v>
      </c>
      <c r="AX1699" s="33">
        <v>26</v>
      </c>
      <c r="AY1699" s="33" t="s">
        <v>267</v>
      </c>
      <c r="AZ1699" s="33" t="s">
        <v>3666</v>
      </c>
      <c r="BA1699" s="33" t="s">
        <v>5683</v>
      </c>
      <c r="BB1699" s="41" t="s">
        <v>5684</v>
      </c>
      <c r="BC1699" s="41" t="s">
        <v>538</v>
      </c>
      <c r="BD1699" s="41"/>
      <c r="BE1699" s="33" t="s">
        <v>2449</v>
      </c>
      <c r="BF1699" s="33"/>
      <c r="BG1699" s="33"/>
      <c r="BH1699" s="33"/>
      <c r="BI1699" s="250">
        <v>23.40624</v>
      </c>
      <c r="BJ1699" s="250">
        <v>749.23199999999997</v>
      </c>
      <c r="BK1699" s="254"/>
      <c r="BL1699" s="263">
        <v>1932.9721983995692</v>
      </c>
      <c r="BM1699" s="33"/>
      <c r="BN1699" s="33"/>
      <c r="BO1699" s="33"/>
      <c r="BP1699" s="33"/>
      <c r="BQ1699" s="33"/>
      <c r="BR1699" s="33"/>
      <c r="BS1699" s="33"/>
      <c r="BT1699" s="33"/>
      <c r="BU1699" s="246"/>
      <c r="BV1699" s="33"/>
      <c r="BW1699" s="33"/>
      <c r="BX1699" s="33"/>
      <c r="BY1699" s="33"/>
      <c r="BZ1699" s="33">
        <v>450.99999999120001</v>
      </c>
      <c r="CA1699" s="33"/>
      <c r="CB1699" s="33"/>
      <c r="CC1699" s="33"/>
      <c r="CD1699" s="33"/>
      <c r="CE1699" s="33"/>
      <c r="CF1699" s="33"/>
      <c r="CG1699" s="33"/>
      <c r="CH1699" s="33"/>
      <c r="CI1699" s="250">
        <v>450.99999999120001</v>
      </c>
      <c r="CJ1699" s="243">
        <f t="shared" si="426"/>
        <v>2.6541765418694867</v>
      </c>
      <c r="CK1699" s="38">
        <f>BL1699/BJ1699</f>
        <v>2.5799381211688357</v>
      </c>
      <c r="CL1699" s="247">
        <f t="shared" si="427"/>
        <v>4.2859693978653786</v>
      </c>
      <c r="CM1699" s="247"/>
      <c r="CN1699" s="247"/>
      <c r="CO1699" s="41"/>
      <c r="CP1699" s="143" t="s">
        <v>5686</v>
      </c>
      <c r="CQ1699" s="241">
        <v>-0.16502394964466491</v>
      </c>
      <c r="CR1699" s="241">
        <f t="shared" ref="CR1699:CR1720" si="430">10^(CJ1699-CQ1699)</f>
        <v>659.47827231568044</v>
      </c>
      <c r="CS1699" s="33"/>
      <c r="CT1699" s="33"/>
      <c r="CU1699" s="250">
        <f t="shared" si="428"/>
        <v>2217.2949002649939</v>
      </c>
      <c r="CV1699" s="337">
        <f>X1699/BJ1699</f>
        <v>1334.7000662011233</v>
      </c>
      <c r="CW1699" s="330">
        <f t="shared" si="429"/>
        <v>1</v>
      </c>
      <c r="CX1699" s="330"/>
      <c r="CY1699" s="143" t="s">
        <v>6351</v>
      </c>
    </row>
    <row r="1700" spans="1:103" ht="11.25" customHeight="1" x14ac:dyDescent="0.2">
      <c r="A1700" s="72">
        <v>1730</v>
      </c>
      <c r="B1700" s="241">
        <v>2066</v>
      </c>
      <c r="C1700" s="32" t="s">
        <v>1839</v>
      </c>
      <c r="D1700" s="32"/>
      <c r="E1700" s="40"/>
      <c r="F1700" s="40" t="s">
        <v>1840</v>
      </c>
      <c r="G1700" s="242">
        <v>107186</v>
      </c>
      <c r="H1700" s="41" t="s">
        <v>1841</v>
      </c>
      <c r="I1700" s="41" t="s">
        <v>1841</v>
      </c>
      <c r="J1700" s="41" t="s">
        <v>1842</v>
      </c>
      <c r="K1700" s="41" t="s">
        <v>659</v>
      </c>
      <c r="L1700" s="41" t="s">
        <v>5527</v>
      </c>
      <c r="M1700" s="41" t="s">
        <v>6624</v>
      </c>
      <c r="N1700" s="36" t="s">
        <v>6088</v>
      </c>
      <c r="O1700" s="41"/>
      <c r="P1700" s="41" t="s">
        <v>6172</v>
      </c>
      <c r="Q1700" s="41" t="s">
        <v>6176</v>
      </c>
      <c r="R1700" s="41" t="s">
        <v>6175</v>
      </c>
      <c r="S1700" s="41" t="s">
        <v>6176</v>
      </c>
      <c r="T1700" s="33">
        <v>58.08</v>
      </c>
      <c r="U1700" s="250">
        <v>1000000</v>
      </c>
      <c r="V1700" s="250">
        <v>317700</v>
      </c>
      <c r="W1700" s="250">
        <v>118584.13982640629</v>
      </c>
      <c r="X1700" s="250">
        <v>1000000</v>
      </c>
      <c r="Y1700" s="415">
        <v>6.88</v>
      </c>
      <c r="Z1700" s="33">
        <v>0.21</v>
      </c>
      <c r="AA1700" s="33">
        <v>0.17</v>
      </c>
      <c r="AB1700" s="33">
        <v>0.08</v>
      </c>
      <c r="AC1700" s="33">
        <v>0.84809999999999997</v>
      </c>
      <c r="AD1700" s="33">
        <v>0.1</v>
      </c>
      <c r="AE1700" s="33">
        <v>0.17</v>
      </c>
      <c r="AF1700" s="33">
        <f t="shared" si="413"/>
        <v>0.17</v>
      </c>
      <c r="AG1700" s="34">
        <v>0.41</v>
      </c>
      <c r="AH1700" s="250">
        <v>5.5999999999999997E-6</v>
      </c>
      <c r="AI1700" s="250">
        <v>4.9899999999999997E-6</v>
      </c>
      <c r="AJ1700" s="34">
        <f t="shared" si="422"/>
        <v>-3.6403782993064513</v>
      </c>
      <c r="AK1700" s="34">
        <f>LOG10(AI1700*1000/(0.08206*298.15))</f>
        <v>-3.6904657806892618</v>
      </c>
      <c r="AL1700" s="34">
        <f t="shared" si="425"/>
        <v>-3.6904657806892618</v>
      </c>
      <c r="AM1700" s="34">
        <v>-3.7748599999999999</v>
      </c>
      <c r="AN1700" s="251">
        <v>-3.8182</v>
      </c>
      <c r="AO1700" s="417">
        <v>14.43</v>
      </c>
      <c r="AP1700" s="417"/>
      <c r="AQ1700" s="33" t="s">
        <v>6311</v>
      </c>
      <c r="AR1700" s="33" t="s">
        <v>6311</v>
      </c>
      <c r="AS1700" s="252" t="s">
        <v>5466</v>
      </c>
      <c r="AT1700" s="35" t="s">
        <v>266</v>
      </c>
      <c r="AU1700" s="33">
        <v>2</v>
      </c>
      <c r="AV1700" s="33">
        <v>50</v>
      </c>
      <c r="AW1700" s="33">
        <v>48</v>
      </c>
      <c r="AX1700" s="33">
        <v>26</v>
      </c>
      <c r="AY1700" s="33" t="s">
        <v>267</v>
      </c>
      <c r="AZ1700" s="33" t="s">
        <v>3666</v>
      </c>
      <c r="BA1700" s="33" t="s">
        <v>5683</v>
      </c>
      <c r="BB1700" s="41" t="s">
        <v>5684</v>
      </c>
      <c r="BC1700" s="41" t="s">
        <v>538</v>
      </c>
      <c r="BD1700" s="41"/>
      <c r="BE1700" s="33" t="s">
        <v>2449</v>
      </c>
      <c r="BF1700" s="33"/>
      <c r="BG1700" s="33"/>
      <c r="BH1700" s="33"/>
      <c r="BI1700" s="250">
        <v>23.40624</v>
      </c>
      <c r="BJ1700" s="250">
        <v>749.23199999999997</v>
      </c>
      <c r="BK1700" s="254"/>
      <c r="BL1700" s="263">
        <v>1932.9721983995692</v>
      </c>
      <c r="BM1700" s="33"/>
      <c r="BN1700" s="33"/>
      <c r="BO1700" s="33">
        <v>477.99999998784</v>
      </c>
      <c r="BP1700" s="33"/>
      <c r="BQ1700" s="33"/>
      <c r="BR1700" s="33"/>
      <c r="BS1700" s="33"/>
      <c r="BT1700" s="33"/>
      <c r="BU1700" s="246"/>
      <c r="BV1700" s="33"/>
      <c r="BW1700" s="33"/>
      <c r="BX1700" s="33"/>
      <c r="BY1700" s="33"/>
      <c r="BZ1700" s="33"/>
      <c r="CA1700" s="33"/>
      <c r="CB1700" s="33"/>
      <c r="CC1700" s="33"/>
      <c r="CD1700" s="33"/>
      <c r="CE1700" s="33"/>
      <c r="CF1700" s="33"/>
      <c r="CG1700" s="33"/>
      <c r="CH1700" s="33"/>
      <c r="CI1700" s="250">
        <v>477.99999998784</v>
      </c>
      <c r="CJ1700" s="243">
        <f t="shared" si="426"/>
        <v>2.6794278966010707</v>
      </c>
      <c r="CK1700" s="38">
        <f>BL1700/BJ1700</f>
        <v>2.5799381211688357</v>
      </c>
      <c r="CL1700" s="247">
        <f t="shared" si="427"/>
        <v>4.0438748921521812</v>
      </c>
      <c r="CM1700" s="247"/>
      <c r="CN1700" s="247"/>
      <c r="CO1700" s="41"/>
      <c r="CP1700" s="143" t="s">
        <v>5686</v>
      </c>
      <c r="CQ1700" s="241">
        <v>-0.16502394964466491</v>
      </c>
      <c r="CR1700" s="241">
        <f t="shared" si="430"/>
        <v>698.95923318187738</v>
      </c>
      <c r="CS1700" s="33"/>
      <c r="CT1700" s="33"/>
      <c r="CU1700" s="250">
        <f t="shared" si="428"/>
        <v>2092.0502092582415</v>
      </c>
      <c r="CV1700" s="337">
        <f>X1700/BJ1700</f>
        <v>1334.7000662011233</v>
      </c>
      <c r="CW1700" s="330">
        <f t="shared" si="429"/>
        <v>1</v>
      </c>
      <c r="CX1700" s="330"/>
      <c r="CY1700" s="143" t="s">
        <v>6351</v>
      </c>
    </row>
    <row r="1701" spans="1:103" ht="11.25" customHeight="1" x14ac:dyDescent="0.2">
      <c r="A1701" s="72">
        <v>49</v>
      </c>
      <c r="B1701" s="149">
        <v>863</v>
      </c>
      <c r="C1701" s="54" t="s">
        <v>2455</v>
      </c>
      <c r="D1701" s="54" t="s">
        <v>6450</v>
      </c>
      <c r="E1701" s="59"/>
      <c r="F1701" s="59" t="s">
        <v>3836</v>
      </c>
      <c r="G1701" s="151">
        <v>85007</v>
      </c>
      <c r="H1701" s="55" t="s">
        <v>2456</v>
      </c>
      <c r="I1701" s="55" t="s">
        <v>2456</v>
      </c>
      <c r="J1701" s="55" t="s">
        <v>2457</v>
      </c>
      <c r="K1701" s="55" t="s">
        <v>426</v>
      </c>
      <c r="L1701" s="60" t="s">
        <v>6107</v>
      </c>
      <c r="M1701" s="60" t="s">
        <v>2342</v>
      </c>
      <c r="N1701" s="60" t="s">
        <v>2342</v>
      </c>
      <c r="O1701" s="60"/>
      <c r="P1701" s="67"/>
      <c r="Q1701" s="67"/>
      <c r="R1701" s="67"/>
      <c r="S1701" s="67"/>
      <c r="T1701" s="154">
        <v>344.05</v>
      </c>
      <c r="U1701" s="103">
        <v>708000</v>
      </c>
      <c r="V1701" s="103">
        <v>134500</v>
      </c>
      <c r="W1701" s="103"/>
      <c r="X1701" s="103">
        <v>708000</v>
      </c>
      <c r="Y1701" s="162"/>
      <c r="Z1701" s="56">
        <v>-2.82</v>
      </c>
      <c r="AA1701" s="56"/>
      <c r="AB1701" s="56"/>
      <c r="AC1701" s="56"/>
      <c r="AD1701" s="56"/>
      <c r="AE1701" s="56"/>
      <c r="AF1701" s="56"/>
      <c r="AG1701" s="57">
        <v>3.61</v>
      </c>
      <c r="AH1701" s="103">
        <v>1.42E-13</v>
      </c>
      <c r="AI1701" s="103"/>
      <c r="AJ1701" s="62">
        <f t="shared" si="422"/>
        <v>-11.236277981929595</v>
      </c>
      <c r="AK1701" s="62"/>
      <c r="AL1701" s="62">
        <f t="shared" si="425"/>
        <v>-11.236277981929595</v>
      </c>
      <c r="AM1701" s="62"/>
      <c r="AN1701" s="154">
        <v>-10.4</v>
      </c>
      <c r="AO1701" s="410"/>
      <c r="AP1701" s="410"/>
      <c r="AQ1701" s="154" t="s">
        <v>6311</v>
      </c>
      <c r="AR1701" s="154" t="s">
        <v>6311</v>
      </c>
      <c r="AS1701" s="149" t="s">
        <v>6</v>
      </c>
      <c r="AT1701" s="58" t="s">
        <v>266</v>
      </c>
      <c r="AU1701" s="56">
        <v>2</v>
      </c>
      <c r="AV1701" s="56">
        <v>98</v>
      </c>
      <c r="AW1701" s="56">
        <v>96</v>
      </c>
      <c r="AX1701" s="56">
        <v>26</v>
      </c>
      <c r="AY1701" s="56" t="s">
        <v>267</v>
      </c>
      <c r="AZ1701" s="56" t="s">
        <v>536</v>
      </c>
      <c r="BA1701" s="56">
        <v>10</v>
      </c>
      <c r="BB1701" s="55" t="s">
        <v>1764</v>
      </c>
      <c r="BC1701" s="55" t="s">
        <v>2448</v>
      </c>
      <c r="BD1701" s="55"/>
      <c r="BE1701" s="56" t="s">
        <v>2449</v>
      </c>
      <c r="BF1701" s="56"/>
      <c r="BG1701" s="56" t="s">
        <v>540</v>
      </c>
      <c r="BH1701" s="56" t="s">
        <v>272</v>
      </c>
      <c r="BI1701" s="103"/>
      <c r="BJ1701" s="103"/>
      <c r="BK1701" s="56" t="s">
        <v>6605</v>
      </c>
      <c r="BL1701" s="153">
        <v>6026477.8154264027</v>
      </c>
      <c r="BM1701" s="56" t="s">
        <v>541</v>
      </c>
      <c r="BN1701" s="162"/>
      <c r="BO1701" s="56"/>
      <c r="BP1701" s="56"/>
      <c r="BQ1701" s="56">
        <v>555.29</v>
      </c>
      <c r="BR1701" s="56"/>
      <c r="BS1701" s="56"/>
      <c r="BT1701" s="56"/>
      <c r="BU1701" s="158"/>
      <c r="BV1701" s="56"/>
      <c r="BW1701" s="56"/>
      <c r="BX1701" s="56"/>
      <c r="BY1701" s="56"/>
      <c r="BZ1701" s="56"/>
      <c r="CA1701" s="56"/>
      <c r="CB1701" s="56"/>
      <c r="CC1701" s="56"/>
      <c r="CD1701" s="56"/>
      <c r="CE1701" s="56"/>
      <c r="CF1701" s="56"/>
      <c r="CG1701" s="56"/>
      <c r="CH1701" s="56"/>
      <c r="CI1701" s="103">
        <v>555.29</v>
      </c>
      <c r="CJ1701" s="103">
        <f t="shared" si="426"/>
        <v>2.7445198525038577</v>
      </c>
      <c r="CK1701" s="57"/>
      <c r="CL1701" s="160">
        <f t="shared" si="427"/>
        <v>10852.847728981978</v>
      </c>
      <c r="CM1701" s="160">
        <v>1.146128035678238</v>
      </c>
      <c r="CN1701" s="160"/>
      <c r="CO1701" s="55"/>
      <c r="CP1701" s="497" t="s">
        <v>2450</v>
      </c>
      <c r="CQ1701" s="149">
        <v>1.9333437564467348</v>
      </c>
      <c r="CR1701" s="349">
        <f t="shared" si="430"/>
        <v>6.4740506985468871</v>
      </c>
      <c r="CS1701" s="61" t="s">
        <v>539</v>
      </c>
      <c r="CT1701" s="61"/>
      <c r="CU1701" s="111">
        <f t="shared" si="428"/>
        <v>1275.0094545192603</v>
      </c>
      <c r="CV1701" s="331"/>
      <c r="CW1701" s="326">
        <f t="shared" si="429"/>
        <v>1</v>
      </c>
      <c r="CX1701" s="326"/>
      <c r="CY1701" s="161" t="s">
        <v>5921</v>
      </c>
    </row>
    <row r="1702" spans="1:103" ht="11.25" customHeight="1" x14ac:dyDescent="0.2">
      <c r="A1702" s="72">
        <v>51</v>
      </c>
      <c r="B1702" s="149">
        <v>868</v>
      </c>
      <c r="C1702" s="54" t="s">
        <v>2464</v>
      </c>
      <c r="D1702" s="54" t="s">
        <v>6469</v>
      </c>
      <c r="E1702" s="59"/>
      <c r="F1702" s="59" t="s">
        <v>3723</v>
      </c>
      <c r="G1702" s="151">
        <v>116063</v>
      </c>
      <c r="H1702" s="55" t="s">
        <v>2465</v>
      </c>
      <c r="I1702" s="55" t="s">
        <v>2465</v>
      </c>
      <c r="J1702" s="55" t="s">
        <v>2466</v>
      </c>
      <c r="K1702" s="55" t="s">
        <v>1504</v>
      </c>
      <c r="L1702" s="60" t="s">
        <v>617</v>
      </c>
      <c r="M1702" s="55" t="s">
        <v>618</v>
      </c>
      <c r="N1702" s="60" t="s">
        <v>6376</v>
      </c>
      <c r="O1702" s="55" t="s">
        <v>2467</v>
      </c>
      <c r="P1702" s="67"/>
      <c r="Q1702" s="67" t="s">
        <v>6173</v>
      </c>
      <c r="R1702" s="67" t="s">
        <v>6177</v>
      </c>
      <c r="S1702" s="67" t="s">
        <v>6176</v>
      </c>
      <c r="T1702" s="154">
        <v>190.26</v>
      </c>
      <c r="U1702" s="103">
        <v>6030</v>
      </c>
      <c r="V1702" s="103">
        <v>5312</v>
      </c>
      <c r="W1702" s="103">
        <v>3085.6558912350974</v>
      </c>
      <c r="X1702" s="103">
        <v>6030</v>
      </c>
      <c r="Y1702" s="162">
        <v>6.99</v>
      </c>
      <c r="Z1702" s="56">
        <v>1.36</v>
      </c>
      <c r="AA1702" s="56">
        <v>1.1299999999999999</v>
      </c>
      <c r="AB1702" s="56">
        <v>1.44</v>
      </c>
      <c r="AC1702" s="56">
        <v>0.81879999999999997</v>
      </c>
      <c r="AD1702" s="56">
        <v>1.36</v>
      </c>
      <c r="AE1702" s="56">
        <v>1.1299999999999999</v>
      </c>
      <c r="AF1702" s="56">
        <f t="shared" ref="AF1702:AF1736" si="431">IF(AA1702=0,AD1702,AA1702)</f>
        <v>1.1299999999999999</v>
      </c>
      <c r="AG1702" s="57">
        <v>1.64</v>
      </c>
      <c r="AH1702" s="103">
        <v>3.5699999999999999E-9</v>
      </c>
      <c r="AI1702" s="103">
        <v>1.44E-9</v>
      </c>
      <c r="AJ1702" s="62">
        <f t="shared" si="422"/>
        <v>-6.8358981102004588</v>
      </c>
      <c r="AK1702" s="62">
        <f t="shared" ref="AK1702:AK1711" si="432">LOG10(AI1702*1000/(0.08206*298.15))</f>
        <v>-7.2302038342174022</v>
      </c>
      <c r="AL1702" s="62">
        <f t="shared" si="425"/>
        <v>-7.2302038342174022</v>
      </c>
      <c r="AM1702" s="62">
        <v>-8.1778699999999986</v>
      </c>
      <c r="AN1702" s="154">
        <v>-7.65</v>
      </c>
      <c r="AO1702" s="410">
        <v>13.81</v>
      </c>
      <c r="AP1702" s="410">
        <v>-1.1200000000000001</v>
      </c>
      <c r="AQ1702" s="154" t="s">
        <v>6311</v>
      </c>
      <c r="AR1702" s="154" t="s">
        <v>6311</v>
      </c>
      <c r="AS1702" s="149" t="s">
        <v>6</v>
      </c>
      <c r="AT1702" s="58" t="s">
        <v>266</v>
      </c>
      <c r="AU1702" s="56">
        <v>2</v>
      </c>
      <c r="AV1702" s="56">
        <v>98</v>
      </c>
      <c r="AW1702" s="56">
        <v>96</v>
      </c>
      <c r="AX1702" s="56">
        <v>26</v>
      </c>
      <c r="AY1702" s="56" t="s">
        <v>267</v>
      </c>
      <c r="AZ1702" s="56" t="s">
        <v>536</v>
      </c>
      <c r="BA1702" s="56">
        <v>10</v>
      </c>
      <c r="BB1702" s="55" t="s">
        <v>1764</v>
      </c>
      <c r="BC1702" s="55" t="s">
        <v>2448</v>
      </c>
      <c r="BD1702" s="55"/>
      <c r="BE1702" s="56" t="s">
        <v>2449</v>
      </c>
      <c r="BF1702" s="56" t="s">
        <v>272</v>
      </c>
      <c r="BG1702" s="56" t="s">
        <v>540</v>
      </c>
      <c r="BH1702" s="56" t="s">
        <v>272</v>
      </c>
      <c r="BI1702" s="103"/>
      <c r="BJ1702" s="103"/>
      <c r="BK1702" s="56" t="s">
        <v>6606</v>
      </c>
      <c r="BL1702" s="153">
        <v>587.12624269890546</v>
      </c>
      <c r="BM1702" s="56" t="s">
        <v>541</v>
      </c>
      <c r="BN1702" s="162"/>
      <c r="BO1702" s="56"/>
      <c r="BP1702" s="56"/>
      <c r="BQ1702" s="56">
        <v>279.885289325695</v>
      </c>
      <c r="BR1702" s="56"/>
      <c r="BS1702" s="56"/>
      <c r="BT1702" s="56"/>
      <c r="BU1702" s="158"/>
      <c r="BV1702" s="56"/>
      <c r="BW1702" s="56"/>
      <c r="BX1702" s="56"/>
      <c r="BY1702" s="56"/>
      <c r="BZ1702" s="56"/>
      <c r="CA1702" s="56"/>
      <c r="CB1702" s="56"/>
      <c r="CC1702" s="56"/>
      <c r="CD1702" s="56"/>
      <c r="CE1702" s="56"/>
      <c r="CF1702" s="56"/>
      <c r="CG1702" s="56"/>
      <c r="CH1702" s="56"/>
      <c r="CI1702" s="103">
        <v>279.885289325695</v>
      </c>
      <c r="CJ1702" s="103">
        <f t="shared" si="426"/>
        <v>2.4469800726977864</v>
      </c>
      <c r="CK1702" s="57"/>
      <c r="CL1702" s="160">
        <f t="shared" si="427"/>
        <v>2.0977388419142042</v>
      </c>
      <c r="CM1702" s="160">
        <v>-0.9762470592396435</v>
      </c>
      <c r="CN1702" s="160"/>
      <c r="CO1702" s="55"/>
      <c r="CP1702" s="497" t="s">
        <v>2450</v>
      </c>
      <c r="CQ1702" s="149">
        <v>-0.3285679141101962</v>
      </c>
      <c r="CR1702" s="349">
        <f t="shared" si="430"/>
        <v>596.41421621217478</v>
      </c>
      <c r="CS1702" s="61" t="s">
        <v>539</v>
      </c>
      <c r="CT1702" s="61"/>
      <c r="CU1702" s="111">
        <f t="shared" si="428"/>
        <v>21.54454067424405</v>
      </c>
      <c r="CV1702" s="331"/>
      <c r="CW1702" s="326">
        <f t="shared" si="429"/>
        <v>1</v>
      </c>
      <c r="CX1702" s="326"/>
      <c r="CY1702" s="161" t="s">
        <v>5921</v>
      </c>
    </row>
    <row r="1703" spans="1:103" ht="11.25" customHeight="1" x14ac:dyDescent="0.2">
      <c r="A1703" s="72">
        <v>61</v>
      </c>
      <c r="B1703" s="149">
        <v>862</v>
      </c>
      <c r="C1703" s="54" t="s">
        <v>2451</v>
      </c>
      <c r="D1703" s="54" t="s">
        <v>6496</v>
      </c>
      <c r="E1703" s="59"/>
      <c r="F1703" s="59" t="s">
        <v>3979</v>
      </c>
      <c r="G1703" s="151">
        <v>1918021</v>
      </c>
      <c r="H1703" s="55" t="s">
        <v>2452</v>
      </c>
      <c r="I1703" s="55" t="s">
        <v>8078</v>
      </c>
      <c r="J1703" s="55" t="s">
        <v>2453</v>
      </c>
      <c r="K1703" s="55" t="s">
        <v>2454</v>
      </c>
      <c r="L1703" s="55" t="s">
        <v>6033</v>
      </c>
      <c r="M1703" s="55" t="s">
        <v>3980</v>
      </c>
      <c r="N1703" s="60" t="s">
        <v>6385</v>
      </c>
      <c r="O1703" s="55" t="s">
        <v>1630</v>
      </c>
      <c r="P1703" s="67"/>
      <c r="Q1703" s="67"/>
      <c r="R1703" s="67"/>
      <c r="S1703" s="67"/>
      <c r="T1703" s="154">
        <v>241.46</v>
      </c>
      <c r="U1703" s="103">
        <v>430</v>
      </c>
      <c r="V1703" s="103">
        <v>628.6</v>
      </c>
      <c r="W1703" s="103">
        <v>746.18273513473173</v>
      </c>
      <c r="X1703" s="103">
        <v>430</v>
      </c>
      <c r="Y1703" s="162">
        <v>2.6</v>
      </c>
      <c r="Z1703" s="56">
        <v>1.36</v>
      </c>
      <c r="AA1703" s="56">
        <v>1.9</v>
      </c>
      <c r="AB1703" s="56">
        <v>2.4500000000000002</v>
      </c>
      <c r="AC1703" s="56">
        <v>0.79590000000000005</v>
      </c>
      <c r="AD1703" s="56">
        <v>2.59</v>
      </c>
      <c r="AE1703" s="56">
        <v>2.94</v>
      </c>
      <c r="AF1703" s="56">
        <f t="shared" si="431"/>
        <v>1.9</v>
      </c>
      <c r="AG1703" s="66">
        <v>2.25</v>
      </c>
      <c r="AH1703" s="103">
        <v>1.29E-12</v>
      </c>
      <c r="AI1703" s="157">
        <v>5.3299999999999998E-14</v>
      </c>
      <c r="AJ1703" s="62">
        <f t="shared" si="422"/>
        <v>-10.277976616013403</v>
      </c>
      <c r="AK1703" s="62">
        <f t="shared" si="432"/>
        <v>-11.66183911728608</v>
      </c>
      <c r="AL1703" s="62">
        <f t="shared" si="425"/>
        <v>-11.66183911728608</v>
      </c>
      <c r="AM1703" s="62">
        <v>-14.922219999999998</v>
      </c>
      <c r="AN1703" s="154">
        <v>-8.65</v>
      </c>
      <c r="AO1703" s="410">
        <v>1.93</v>
      </c>
      <c r="AP1703" s="410">
        <v>-4.34</v>
      </c>
      <c r="AQ1703" s="154" t="s">
        <v>5921</v>
      </c>
      <c r="AR1703" s="154" t="s">
        <v>5921</v>
      </c>
      <c r="AS1703" s="149" t="s">
        <v>6</v>
      </c>
      <c r="AT1703" s="58" t="s">
        <v>266</v>
      </c>
      <c r="AU1703" s="56">
        <v>2</v>
      </c>
      <c r="AV1703" s="56">
        <v>98</v>
      </c>
      <c r="AW1703" s="56">
        <v>96</v>
      </c>
      <c r="AX1703" s="56">
        <v>26</v>
      </c>
      <c r="AY1703" s="56" t="s">
        <v>267</v>
      </c>
      <c r="AZ1703" s="56" t="s">
        <v>536</v>
      </c>
      <c r="BA1703" s="56">
        <v>10</v>
      </c>
      <c r="BB1703" s="55" t="s">
        <v>1764</v>
      </c>
      <c r="BC1703" s="55" t="s">
        <v>2448</v>
      </c>
      <c r="BD1703" s="55"/>
      <c r="BE1703" s="56" t="s">
        <v>2449</v>
      </c>
      <c r="BF1703" s="56"/>
      <c r="BG1703" s="56" t="s">
        <v>540</v>
      </c>
      <c r="BH1703" s="56" t="s">
        <v>272</v>
      </c>
      <c r="BI1703" s="103"/>
      <c r="BJ1703" s="103"/>
      <c r="BK1703" s="56"/>
      <c r="BL1703" s="153">
        <v>745.1251054455887</v>
      </c>
      <c r="BM1703" s="56" t="s">
        <v>541</v>
      </c>
      <c r="BN1703" s="162"/>
      <c r="BO1703" s="56"/>
      <c r="BP1703" s="56"/>
      <c r="BQ1703" s="56">
        <v>112.56</v>
      </c>
      <c r="BR1703" s="56"/>
      <c r="BS1703" s="56"/>
      <c r="BT1703" s="56"/>
      <c r="BU1703" s="158"/>
      <c r="BV1703" s="56"/>
      <c r="BW1703" s="56"/>
      <c r="BX1703" s="56"/>
      <c r="BY1703" s="56"/>
      <c r="BZ1703" s="56"/>
      <c r="CA1703" s="56"/>
      <c r="CB1703" s="56"/>
      <c r="CC1703" s="56"/>
      <c r="CD1703" s="56"/>
      <c r="CE1703" s="56"/>
      <c r="CF1703" s="56"/>
      <c r="CG1703" s="56"/>
      <c r="CH1703" s="56"/>
      <c r="CI1703" s="103">
        <v>112.56</v>
      </c>
      <c r="CJ1703" s="103">
        <f t="shared" si="426"/>
        <v>2.0513840844266893</v>
      </c>
      <c r="CK1703" s="57"/>
      <c r="CL1703" s="160">
        <f t="shared" si="427"/>
        <v>6.619803708649509</v>
      </c>
      <c r="CM1703" s="160">
        <v>1.118728228139199</v>
      </c>
      <c r="CN1703" s="160">
        <f>BJ1703/(10^CM1703)</f>
        <v>0</v>
      </c>
      <c r="CO1703" s="55"/>
      <c r="CP1703" s="497" t="s">
        <v>2450</v>
      </c>
      <c r="CQ1703" s="149">
        <v>1.3145159593146216</v>
      </c>
      <c r="CR1703" s="349">
        <f t="shared" si="430"/>
        <v>5.4559216515533651</v>
      </c>
      <c r="CS1703" s="61" t="s">
        <v>539</v>
      </c>
      <c r="CT1703" s="61"/>
      <c r="CU1703" s="111">
        <f t="shared" si="428"/>
        <v>3.8201847903340438</v>
      </c>
      <c r="CV1703" s="331"/>
      <c r="CW1703" s="326">
        <f t="shared" si="429"/>
        <v>1</v>
      </c>
      <c r="CX1703" s="326"/>
      <c r="CY1703" s="161" t="s">
        <v>5921</v>
      </c>
    </row>
    <row r="1704" spans="1:103" ht="11.25" customHeight="1" x14ac:dyDescent="0.2">
      <c r="A1704" s="72">
        <v>69</v>
      </c>
      <c r="B1704" s="149">
        <v>861</v>
      </c>
      <c r="C1704" s="54" t="s">
        <v>2445</v>
      </c>
      <c r="D1704" s="54" t="s">
        <v>6509</v>
      </c>
      <c r="E1704" s="59"/>
      <c r="F1704" s="59" t="s">
        <v>3779</v>
      </c>
      <c r="G1704" s="151">
        <v>21725462</v>
      </c>
      <c r="H1704" s="55" t="s">
        <v>2446</v>
      </c>
      <c r="I1704" s="55" t="s">
        <v>8106</v>
      </c>
      <c r="J1704" s="55" t="s">
        <v>2447</v>
      </c>
      <c r="K1704" s="55" t="s">
        <v>940</v>
      </c>
      <c r="L1704" s="55" t="s">
        <v>6026</v>
      </c>
      <c r="M1704" s="55" t="s">
        <v>6082</v>
      </c>
      <c r="N1704" s="60" t="s">
        <v>6082</v>
      </c>
      <c r="O1704" s="55" t="s">
        <v>6083</v>
      </c>
      <c r="P1704" s="67"/>
      <c r="Q1704" s="67"/>
      <c r="R1704" s="67"/>
      <c r="S1704" s="67"/>
      <c r="T1704" s="154">
        <v>240.69</v>
      </c>
      <c r="U1704" s="103">
        <v>170</v>
      </c>
      <c r="V1704" s="103">
        <v>183.8</v>
      </c>
      <c r="W1704" s="103">
        <v>51.458609532229197</v>
      </c>
      <c r="X1704" s="103">
        <v>170</v>
      </c>
      <c r="Y1704" s="162">
        <v>7</v>
      </c>
      <c r="Z1704" s="56">
        <v>2.5099999999999998</v>
      </c>
      <c r="AA1704" s="56">
        <v>2.2200000000000002</v>
      </c>
      <c r="AB1704" s="56">
        <v>2.34</v>
      </c>
      <c r="AC1704" s="56">
        <v>0.84540000000000004</v>
      </c>
      <c r="AD1704" s="56">
        <v>2.2999999999999998</v>
      </c>
      <c r="AE1704" s="56">
        <v>2.19</v>
      </c>
      <c r="AF1704" s="56">
        <f t="shared" si="431"/>
        <v>2.2200000000000002</v>
      </c>
      <c r="AG1704" s="66">
        <v>2.1</v>
      </c>
      <c r="AH1704" s="103">
        <v>1.8600000000000002E-12</v>
      </c>
      <c r="AI1704" s="157">
        <v>2.5700000000000002E-12</v>
      </c>
      <c r="AJ1704" s="62">
        <f t="shared" si="422"/>
        <v>-10.119053382094735</v>
      </c>
      <c r="AK1704" s="62">
        <f t="shared" si="432"/>
        <v>-9.9786332029813565</v>
      </c>
      <c r="AL1704" s="62">
        <f t="shared" si="425"/>
        <v>-9.9786332029813565</v>
      </c>
      <c r="AM1704" s="62">
        <v>-13.04054</v>
      </c>
      <c r="AN1704" s="154">
        <v>-9.64</v>
      </c>
      <c r="AO1704" s="410"/>
      <c r="AP1704" s="410">
        <v>1.46</v>
      </c>
      <c r="AQ1704" s="154" t="s">
        <v>6311</v>
      </c>
      <c r="AR1704" s="154" t="s">
        <v>6311</v>
      </c>
      <c r="AS1704" s="149" t="s">
        <v>6</v>
      </c>
      <c r="AT1704" s="58" t="s">
        <v>266</v>
      </c>
      <c r="AU1704" s="56">
        <v>2</v>
      </c>
      <c r="AV1704" s="56">
        <v>98</v>
      </c>
      <c r="AW1704" s="56">
        <v>96</v>
      </c>
      <c r="AX1704" s="56">
        <v>26</v>
      </c>
      <c r="AY1704" s="56" t="s">
        <v>267</v>
      </c>
      <c r="AZ1704" s="56" t="s">
        <v>536</v>
      </c>
      <c r="BA1704" s="56">
        <v>10</v>
      </c>
      <c r="BB1704" s="55" t="s">
        <v>1764</v>
      </c>
      <c r="BC1704" s="55" t="s">
        <v>2448</v>
      </c>
      <c r="BD1704" s="55"/>
      <c r="BE1704" s="56" t="s">
        <v>2449</v>
      </c>
      <c r="BF1704" s="56"/>
      <c r="BG1704" s="56" t="s">
        <v>540</v>
      </c>
      <c r="BH1704" s="56" t="s">
        <v>272</v>
      </c>
      <c r="BI1704" s="103"/>
      <c r="BJ1704" s="103"/>
      <c r="BK1704" s="56"/>
      <c r="BL1704" s="153">
        <v>68.869518545715295</v>
      </c>
      <c r="BM1704" s="56" t="s">
        <v>541</v>
      </c>
      <c r="BN1704" s="162"/>
      <c r="BO1704" s="56"/>
      <c r="BP1704" s="56"/>
      <c r="BQ1704" s="56">
        <v>75.90684628167844</v>
      </c>
      <c r="BR1704" s="56"/>
      <c r="BS1704" s="56"/>
      <c r="BT1704" s="56"/>
      <c r="BU1704" s="158"/>
      <c r="BV1704" s="56"/>
      <c r="BW1704" s="56"/>
      <c r="BX1704" s="56"/>
      <c r="BY1704" s="56"/>
      <c r="BZ1704" s="56"/>
      <c r="CA1704" s="56"/>
      <c r="CB1704" s="56"/>
      <c r="CC1704" s="56"/>
      <c r="CD1704" s="56"/>
      <c r="CE1704" s="56"/>
      <c r="CF1704" s="56"/>
      <c r="CG1704" s="56"/>
      <c r="CH1704" s="56"/>
      <c r="CI1704" s="103">
        <v>75.90684628167844</v>
      </c>
      <c r="CJ1704" s="103">
        <f t="shared" si="426"/>
        <v>1.8802809480728802</v>
      </c>
      <c r="CK1704" s="57"/>
      <c r="CL1704" s="160">
        <f t="shared" si="427"/>
        <v>0.90728994707738586</v>
      </c>
      <c r="CM1704" s="160">
        <v>0.77815125038364341</v>
      </c>
      <c r="CN1704" s="160"/>
      <c r="CO1704" s="55"/>
      <c r="CP1704" s="497" t="s">
        <v>2450</v>
      </c>
      <c r="CQ1704" s="149">
        <v>1.1488097537803779</v>
      </c>
      <c r="CR1704" s="349">
        <f t="shared" si="430"/>
        <v>5.3885410329248122</v>
      </c>
      <c r="CS1704" s="61" t="s">
        <v>539</v>
      </c>
      <c r="CT1704" s="61"/>
      <c r="CU1704" s="111">
        <f t="shared" si="428"/>
        <v>2.2395871825468361</v>
      </c>
      <c r="CV1704" s="331"/>
      <c r="CW1704" s="326">
        <f t="shared" si="429"/>
        <v>1</v>
      </c>
      <c r="CX1704" s="326"/>
      <c r="CY1704" s="161" t="s">
        <v>5921</v>
      </c>
    </row>
    <row r="1705" spans="1:103" ht="11.25" customHeight="1" x14ac:dyDescent="0.2">
      <c r="A1705" s="72">
        <v>313</v>
      </c>
      <c r="B1705" s="149">
        <v>865</v>
      </c>
      <c r="C1705" s="54" t="s">
        <v>947</v>
      </c>
      <c r="D1705" s="54" t="s">
        <v>6451</v>
      </c>
      <c r="E1705" s="59"/>
      <c r="F1705" s="59" t="s">
        <v>948</v>
      </c>
      <c r="G1705" s="151">
        <v>86500</v>
      </c>
      <c r="H1705" s="55" t="s">
        <v>949</v>
      </c>
      <c r="I1705" s="55" t="s">
        <v>949</v>
      </c>
      <c r="J1705" s="55" t="s">
        <v>950</v>
      </c>
      <c r="K1705" s="55" t="s">
        <v>951</v>
      </c>
      <c r="L1705" s="60" t="s">
        <v>617</v>
      </c>
      <c r="M1705" s="60" t="s">
        <v>618</v>
      </c>
      <c r="N1705" s="60" t="s">
        <v>6376</v>
      </c>
      <c r="O1705" s="60" t="s">
        <v>918</v>
      </c>
      <c r="P1705" s="67">
        <v>3</v>
      </c>
      <c r="Q1705" s="67" t="s">
        <v>6173</v>
      </c>
      <c r="R1705" s="67">
        <v>1</v>
      </c>
      <c r="S1705" s="67" t="s">
        <v>6173</v>
      </c>
      <c r="T1705" s="154">
        <v>317.33</v>
      </c>
      <c r="U1705" s="103">
        <v>20.9</v>
      </c>
      <c r="V1705" s="103">
        <v>43.54</v>
      </c>
      <c r="W1705" s="103">
        <v>52.663671333716046</v>
      </c>
      <c r="X1705" s="103">
        <v>20.9</v>
      </c>
      <c r="Y1705" s="162">
        <v>7</v>
      </c>
      <c r="Z1705" s="56">
        <v>2.5299999999999998</v>
      </c>
      <c r="AA1705" s="56">
        <v>2.75</v>
      </c>
      <c r="AB1705" s="56">
        <v>3.17</v>
      </c>
      <c r="AC1705" s="56">
        <v>0.83950000000000002</v>
      </c>
      <c r="AD1705" s="56">
        <v>3.01</v>
      </c>
      <c r="AE1705" s="56">
        <v>2.54</v>
      </c>
      <c r="AF1705" s="56">
        <f t="shared" si="431"/>
        <v>2.75</v>
      </c>
      <c r="AG1705" s="57">
        <v>3.27</v>
      </c>
      <c r="AH1705" s="103">
        <v>2.8599999999999999E-10</v>
      </c>
      <c r="AI1705" s="103">
        <v>2.3899999999999999E-8</v>
      </c>
      <c r="AJ1705" s="62">
        <f t="shared" si="422"/>
        <v>-7.9322002931836089</v>
      </c>
      <c r="AK1705" s="62">
        <f t="shared" si="432"/>
        <v>-6.0101684253645145</v>
      </c>
      <c r="AL1705" s="62">
        <f t="shared" si="425"/>
        <v>-6.0101684253645145</v>
      </c>
      <c r="AM1705" s="62">
        <v>-15.46162</v>
      </c>
      <c r="AN1705" s="154">
        <v>-6.71</v>
      </c>
      <c r="AO1705" s="410"/>
      <c r="AP1705" s="410">
        <v>-2.6</v>
      </c>
      <c r="AQ1705" s="154" t="s">
        <v>6314</v>
      </c>
      <c r="AR1705" s="154" t="s">
        <v>6314</v>
      </c>
      <c r="AS1705" s="149" t="s">
        <v>6</v>
      </c>
      <c r="AT1705" s="58" t="s">
        <v>266</v>
      </c>
      <c r="AU1705" s="56">
        <v>2</v>
      </c>
      <c r="AV1705" s="56">
        <v>98</v>
      </c>
      <c r="AW1705" s="56">
        <v>96</v>
      </c>
      <c r="AX1705" s="56">
        <v>26</v>
      </c>
      <c r="AY1705" s="56" t="s">
        <v>267</v>
      </c>
      <c r="AZ1705" s="56" t="s">
        <v>536</v>
      </c>
      <c r="BA1705" s="56">
        <v>10</v>
      </c>
      <c r="BB1705" s="55" t="s">
        <v>1764</v>
      </c>
      <c r="BC1705" s="55" t="s">
        <v>2448</v>
      </c>
      <c r="BD1705" s="55"/>
      <c r="BE1705" s="56" t="s">
        <v>2449</v>
      </c>
      <c r="BF1705" s="56"/>
      <c r="BG1705" s="56" t="s">
        <v>540</v>
      </c>
      <c r="BH1705" s="56" t="s">
        <v>272</v>
      </c>
      <c r="BI1705" s="103"/>
      <c r="BJ1705" s="103"/>
      <c r="BK1705" s="56" t="s">
        <v>6605</v>
      </c>
      <c r="BL1705" s="153">
        <v>87.120053154584937</v>
      </c>
      <c r="BM1705" s="56" t="s">
        <v>541</v>
      </c>
      <c r="BN1705" s="162"/>
      <c r="BO1705" s="56"/>
      <c r="BP1705" s="56"/>
      <c r="BQ1705" s="56">
        <v>3.3899999999999997</v>
      </c>
      <c r="BR1705" s="56"/>
      <c r="BS1705" s="56"/>
      <c r="BT1705" s="56"/>
      <c r="BU1705" s="158"/>
      <c r="BV1705" s="56"/>
      <c r="BW1705" s="56"/>
      <c r="BX1705" s="56"/>
      <c r="BY1705" s="56"/>
      <c r="BZ1705" s="56"/>
      <c r="CA1705" s="56"/>
      <c r="CB1705" s="56"/>
      <c r="CC1705" s="56"/>
      <c r="CD1705" s="56"/>
      <c r="CE1705" s="56"/>
      <c r="CF1705" s="56"/>
      <c r="CG1705" s="56"/>
      <c r="CH1705" s="56"/>
      <c r="CI1705" s="103">
        <v>3.3899999999999997</v>
      </c>
      <c r="CJ1705" s="103">
        <f t="shared" si="426"/>
        <v>0.5301996982030821</v>
      </c>
      <c r="CK1705" s="57"/>
      <c r="CL1705" s="160">
        <f t="shared" si="427"/>
        <v>25.699130724066357</v>
      </c>
      <c r="CM1705" s="160">
        <v>-2.1493680459054527</v>
      </c>
      <c r="CN1705" s="160"/>
      <c r="CO1705" s="55"/>
      <c r="CP1705" s="497" t="s">
        <v>2450</v>
      </c>
      <c r="CQ1705" s="149">
        <v>-1.0681269040684367</v>
      </c>
      <c r="CR1705" s="349">
        <f t="shared" si="430"/>
        <v>39.657615912131547</v>
      </c>
      <c r="CS1705" s="61" t="s">
        <v>539</v>
      </c>
      <c r="CT1705" s="61"/>
      <c r="CU1705" s="111">
        <f t="shared" si="428"/>
        <v>6.1651917404129799</v>
      </c>
      <c r="CV1705" s="331"/>
      <c r="CW1705" s="326">
        <f t="shared" si="429"/>
        <v>1</v>
      </c>
      <c r="CX1705" s="326"/>
      <c r="CY1705" s="161" t="s">
        <v>5921</v>
      </c>
    </row>
    <row r="1706" spans="1:103" ht="11.25" customHeight="1" x14ac:dyDescent="0.2">
      <c r="A1706" s="72">
        <v>646</v>
      </c>
      <c r="B1706" s="183">
        <v>1121</v>
      </c>
      <c r="C1706" s="133" t="s">
        <v>2461</v>
      </c>
      <c r="D1706" s="133" t="s">
        <v>6563</v>
      </c>
      <c r="E1706" s="134"/>
      <c r="F1706" s="134" t="s">
        <v>3131</v>
      </c>
      <c r="G1706" s="184">
        <v>66230044</v>
      </c>
      <c r="H1706" s="138" t="s">
        <v>2462</v>
      </c>
      <c r="I1706" s="138" t="s">
        <v>7958</v>
      </c>
      <c r="J1706" s="138" t="s">
        <v>2463</v>
      </c>
      <c r="K1706" s="138" t="s">
        <v>1711</v>
      </c>
      <c r="L1706" s="138" t="s">
        <v>617</v>
      </c>
      <c r="M1706" s="138" t="s">
        <v>3846</v>
      </c>
      <c r="N1706" s="138" t="s">
        <v>6376</v>
      </c>
      <c r="O1706" s="138" t="s">
        <v>918</v>
      </c>
      <c r="P1706" s="138"/>
      <c r="Q1706" s="138" t="s">
        <v>6173</v>
      </c>
      <c r="R1706" s="138" t="s">
        <v>6174</v>
      </c>
      <c r="S1706" s="138" t="s">
        <v>6176</v>
      </c>
      <c r="T1706" s="135">
        <v>419.9</v>
      </c>
      <c r="U1706" s="185">
        <v>2E-3</v>
      </c>
      <c r="V1706" s="185">
        <v>6.1000000000000004E-3</v>
      </c>
      <c r="W1706" s="185">
        <v>2.589082412816358E-2</v>
      </c>
      <c r="X1706" s="185">
        <v>2E-3</v>
      </c>
      <c r="Y1706" s="204">
        <v>7</v>
      </c>
      <c r="Z1706" s="135">
        <v>6.76</v>
      </c>
      <c r="AA1706" s="135">
        <v>6.22</v>
      </c>
      <c r="AB1706" s="135">
        <v>5.98</v>
      </c>
      <c r="AC1706" s="135">
        <v>0.58919999999999995</v>
      </c>
      <c r="AD1706" s="135">
        <v>6.28</v>
      </c>
      <c r="AE1706" s="135">
        <v>6.67</v>
      </c>
      <c r="AF1706" s="135">
        <f t="shared" si="431"/>
        <v>6.22</v>
      </c>
      <c r="AG1706" s="136">
        <v>6.03</v>
      </c>
      <c r="AH1706" s="185">
        <v>1.1899999999999999E-7</v>
      </c>
      <c r="AI1706" s="185">
        <v>3.4499999999999998E-8</v>
      </c>
      <c r="AJ1706" s="136">
        <f t="shared" si="422"/>
        <v>-5.3130193649201214</v>
      </c>
      <c r="AK1706" s="136">
        <f t="shared" si="432"/>
        <v>-5.850747231239378</v>
      </c>
      <c r="AL1706" s="136">
        <f t="shared" si="425"/>
        <v>-5.850747231239378</v>
      </c>
      <c r="AM1706" s="136">
        <v>-16.262410000000003</v>
      </c>
      <c r="AN1706" s="186">
        <v>-6.07</v>
      </c>
      <c r="AO1706" s="481"/>
      <c r="AP1706" s="481"/>
      <c r="AQ1706" s="135" t="s">
        <v>6311</v>
      </c>
      <c r="AR1706" s="135" t="s">
        <v>6312</v>
      </c>
      <c r="AS1706" s="190"/>
      <c r="AT1706" s="137" t="s">
        <v>266</v>
      </c>
      <c r="AU1706" s="135">
        <v>6</v>
      </c>
      <c r="AV1706" s="135">
        <v>120</v>
      </c>
      <c r="AW1706" s="135">
        <v>114</v>
      </c>
      <c r="AX1706" s="135">
        <v>28</v>
      </c>
      <c r="AY1706" s="135" t="s">
        <v>8722</v>
      </c>
      <c r="AZ1706" s="135" t="s">
        <v>1563</v>
      </c>
      <c r="BA1706" s="135">
        <v>32</v>
      </c>
      <c r="BB1706" s="138" t="s">
        <v>2485</v>
      </c>
      <c r="BC1706" s="458" t="s">
        <v>8726</v>
      </c>
      <c r="BD1706" s="138" t="s">
        <v>8374</v>
      </c>
      <c r="BE1706" s="135" t="s">
        <v>2449</v>
      </c>
      <c r="BF1706" s="135" t="s">
        <v>272</v>
      </c>
      <c r="BG1706" s="135" t="s">
        <v>272</v>
      </c>
      <c r="BH1706" s="135" t="s">
        <v>2486</v>
      </c>
      <c r="BI1706" s="185">
        <v>5.0000000000000001E-3</v>
      </c>
      <c r="BJ1706" s="185">
        <v>2.5000000000000001E-4</v>
      </c>
      <c r="BK1706" s="138" t="s">
        <v>6607</v>
      </c>
      <c r="BL1706" s="485">
        <v>1.8314281053188532E-2</v>
      </c>
      <c r="BM1706" s="130" t="s">
        <v>541</v>
      </c>
      <c r="BN1706" s="135"/>
      <c r="BO1706" s="135"/>
      <c r="BP1706" s="135"/>
      <c r="BQ1706" s="135"/>
      <c r="BR1706" s="138" t="e">
        <v>#VALUE!</v>
      </c>
      <c r="BS1706" s="135"/>
      <c r="BT1706" s="135"/>
      <c r="BU1706" s="135">
        <v>2.68736</v>
      </c>
      <c r="BV1706" s="135"/>
      <c r="BW1706" s="135"/>
      <c r="BX1706" s="135"/>
      <c r="BY1706" s="135"/>
      <c r="BZ1706" s="135"/>
      <c r="CA1706" s="135"/>
      <c r="CB1706" s="135"/>
      <c r="CC1706" s="135"/>
      <c r="CD1706" s="135"/>
      <c r="CE1706" s="135"/>
      <c r="CF1706" s="135"/>
      <c r="CG1706" s="135"/>
      <c r="CH1706" s="135"/>
      <c r="CI1706" s="185"/>
      <c r="CJ1706" s="187"/>
      <c r="CK1706" s="136">
        <f t="shared" ref="CK1706:CK1737" si="433">BL1706/BJ1706</f>
        <v>73.257124212754121</v>
      </c>
      <c r="CL1706" s="188"/>
      <c r="CM1706" s="188"/>
      <c r="CN1706" s="188"/>
      <c r="CO1706" s="138" t="s">
        <v>2488</v>
      </c>
      <c r="CP1706" s="189" t="s">
        <v>2450</v>
      </c>
      <c r="CQ1706" s="183">
        <v>-3.5854962806114608</v>
      </c>
      <c r="CR1706" s="191">
        <f t="shared" si="430"/>
        <v>3850.3151717426226</v>
      </c>
      <c r="CS1706" s="135" t="s">
        <v>539</v>
      </c>
      <c r="CT1706" s="135"/>
      <c r="CU1706" s="135"/>
      <c r="CV1706" s="332">
        <f t="shared" ref="CV1706:CV1737" si="434">X1706/BJ1706</f>
        <v>8</v>
      </c>
      <c r="CW1706" s="329">
        <f>IF(CV1706&lt;1,0,1)</f>
        <v>1</v>
      </c>
      <c r="CX1706" s="329"/>
      <c r="CY1706" s="189" t="s">
        <v>5921</v>
      </c>
    </row>
    <row r="1707" spans="1:103" ht="11.25" customHeight="1" x14ac:dyDescent="0.2">
      <c r="A1707" s="72">
        <v>770</v>
      </c>
      <c r="B1707" s="224">
        <v>867</v>
      </c>
      <c r="C1707" s="46" t="s">
        <v>2221</v>
      </c>
      <c r="D1707" s="46" t="s">
        <v>6434</v>
      </c>
      <c r="E1707" s="114"/>
      <c r="F1707" s="114" t="s">
        <v>2222</v>
      </c>
      <c r="G1707" s="225">
        <v>60571</v>
      </c>
      <c r="H1707" s="47" t="s">
        <v>1703</v>
      </c>
      <c r="I1707" s="47" t="s">
        <v>7988</v>
      </c>
      <c r="J1707" s="47" t="s">
        <v>2223</v>
      </c>
      <c r="K1707" s="47" t="s">
        <v>1705</v>
      </c>
      <c r="L1707" s="47" t="s">
        <v>617</v>
      </c>
      <c r="M1707" s="47" t="s">
        <v>1286</v>
      </c>
      <c r="N1707" s="47" t="s">
        <v>6376</v>
      </c>
      <c r="O1707" s="47" t="s">
        <v>2224</v>
      </c>
      <c r="P1707" s="53" t="s">
        <v>6172</v>
      </c>
      <c r="Q1707" s="53" t="s">
        <v>6176</v>
      </c>
      <c r="R1707" s="53" t="s">
        <v>6181</v>
      </c>
      <c r="S1707" s="53" t="s">
        <v>6173</v>
      </c>
      <c r="T1707" s="226">
        <v>380.91</v>
      </c>
      <c r="U1707" s="98">
        <v>0.25</v>
      </c>
      <c r="V1707" s="98">
        <v>0.14549999999999999</v>
      </c>
      <c r="W1707" s="98">
        <v>0.16248840450671448</v>
      </c>
      <c r="X1707" s="98">
        <v>0.25</v>
      </c>
      <c r="Y1707" s="233">
        <v>7</v>
      </c>
      <c r="Z1707" s="48">
        <v>5.45</v>
      </c>
      <c r="AA1707" s="48">
        <v>5.2</v>
      </c>
      <c r="AB1707" s="48">
        <v>4.97</v>
      </c>
      <c r="AC1707" s="48">
        <v>0.6804</v>
      </c>
      <c r="AD1707" s="48">
        <v>4.9400000000000004</v>
      </c>
      <c r="AE1707" s="48">
        <v>4.88</v>
      </c>
      <c r="AF1707" s="48">
        <f t="shared" si="431"/>
        <v>5.2</v>
      </c>
      <c r="AG1707" s="49">
        <v>4.05</v>
      </c>
      <c r="AH1707" s="98">
        <v>5.4099999999999999E-7</v>
      </c>
      <c r="AI1707" s="98">
        <v>1.0000000000000001E-5</v>
      </c>
      <c r="AJ1707" s="483">
        <f t="shared" si="422"/>
        <v>-4.6553690612060823</v>
      </c>
      <c r="AK1707" s="483">
        <f t="shared" si="432"/>
        <v>-3.388566326312652</v>
      </c>
      <c r="AL1707" s="483">
        <f t="shared" si="425"/>
        <v>-3.388566326312652</v>
      </c>
      <c r="AM1707" s="483">
        <v>-9.114469999999999</v>
      </c>
      <c r="AN1707" s="226">
        <v>-4.32</v>
      </c>
      <c r="AO1707" s="484"/>
      <c r="AP1707" s="484"/>
      <c r="AQ1707" s="226" t="s">
        <v>6312</v>
      </c>
      <c r="AR1707" s="226" t="s">
        <v>6311</v>
      </c>
      <c r="AS1707" s="224" t="s">
        <v>6</v>
      </c>
      <c r="AT1707" s="50" t="s">
        <v>266</v>
      </c>
      <c r="AU1707" s="48">
        <v>2</v>
      </c>
      <c r="AV1707" s="48">
        <v>98</v>
      </c>
      <c r="AW1707" s="48">
        <v>96</v>
      </c>
      <c r="AX1707" s="48">
        <v>26</v>
      </c>
      <c r="AY1707" s="48" t="s">
        <v>267</v>
      </c>
      <c r="AZ1707" s="48" t="s">
        <v>536</v>
      </c>
      <c r="BA1707" s="48">
        <v>10</v>
      </c>
      <c r="BB1707" s="47" t="s">
        <v>2458</v>
      </c>
      <c r="BC1707" s="47" t="s">
        <v>2448</v>
      </c>
      <c r="BD1707" s="47"/>
      <c r="BE1707" s="48" t="s">
        <v>1712</v>
      </c>
      <c r="BF1707" s="48"/>
      <c r="BG1707" s="48" t="s">
        <v>540</v>
      </c>
      <c r="BH1707" s="48" t="s">
        <v>2459</v>
      </c>
      <c r="BI1707" s="98"/>
      <c r="BJ1707" s="98">
        <v>0.2</v>
      </c>
      <c r="BK1707" s="48"/>
      <c r="BL1707" s="487">
        <v>0.24944647679838694</v>
      </c>
      <c r="BM1707" s="48" t="s">
        <v>541</v>
      </c>
      <c r="BN1707" s="233"/>
      <c r="BO1707" s="48"/>
      <c r="BP1707" s="48"/>
      <c r="BQ1707" s="48" t="e">
        <v>#VALUE!</v>
      </c>
      <c r="BR1707" s="48"/>
      <c r="BS1707" s="48"/>
      <c r="BT1707" s="48"/>
      <c r="BU1707" s="228"/>
      <c r="BV1707" s="48"/>
      <c r="BW1707" s="48"/>
      <c r="BX1707" s="48"/>
      <c r="BY1707" s="48"/>
      <c r="BZ1707" s="48"/>
      <c r="CA1707" s="48"/>
      <c r="CB1707" s="48"/>
      <c r="CC1707" s="48"/>
      <c r="CD1707" s="48"/>
      <c r="CE1707" s="48"/>
      <c r="CF1707" s="48"/>
      <c r="CG1707" s="48"/>
      <c r="CH1707" s="48"/>
      <c r="CI1707" s="98"/>
      <c r="CJ1707" s="98"/>
      <c r="CK1707" s="49">
        <f t="shared" si="433"/>
        <v>1.2472323839919346</v>
      </c>
      <c r="CL1707" s="229"/>
      <c r="CM1707" s="229">
        <v>-2.1633801408079694</v>
      </c>
      <c r="CN1707" s="229"/>
      <c r="CO1707" s="47"/>
      <c r="CP1707" s="500" t="s">
        <v>2450</v>
      </c>
      <c r="CQ1707" s="224">
        <v>-2.0793624855436361</v>
      </c>
      <c r="CR1707" s="224">
        <f t="shared" si="430"/>
        <v>120.05008877419399</v>
      </c>
      <c r="CS1707" s="230" t="s">
        <v>539</v>
      </c>
      <c r="CT1707" s="230"/>
      <c r="CU1707" s="230"/>
      <c r="CV1707" s="335">
        <f t="shared" si="434"/>
        <v>1.25</v>
      </c>
      <c r="CW1707" s="230">
        <f>IF(CV1707&lt;1,0,1)</f>
        <v>1</v>
      </c>
      <c r="CX1707" s="336" t="s">
        <v>539</v>
      </c>
      <c r="CY1707" s="230" t="s">
        <v>5921</v>
      </c>
    </row>
    <row r="1708" spans="1:103" ht="11.25" customHeight="1" x14ac:dyDescent="0.2">
      <c r="A1708" s="72">
        <v>1004</v>
      </c>
      <c r="B1708" s="224">
        <v>864</v>
      </c>
      <c r="C1708" s="46" t="s">
        <v>1135</v>
      </c>
      <c r="D1708" s="46" t="s">
        <v>6654</v>
      </c>
      <c r="E1708" s="114"/>
      <c r="F1708" s="114" t="s">
        <v>1136</v>
      </c>
      <c r="G1708" s="225">
        <v>115297</v>
      </c>
      <c r="H1708" s="47" t="s">
        <v>1137</v>
      </c>
      <c r="I1708" s="47" t="s">
        <v>7890</v>
      </c>
      <c r="J1708" s="47" t="s">
        <v>1138</v>
      </c>
      <c r="K1708" s="47" t="s">
        <v>1139</v>
      </c>
      <c r="L1708" s="237" t="s">
        <v>617</v>
      </c>
      <c r="M1708" s="237" t="s">
        <v>1140</v>
      </c>
      <c r="N1708" s="47" t="s">
        <v>6376</v>
      </c>
      <c r="O1708" s="237" t="s">
        <v>918</v>
      </c>
      <c r="P1708" s="53" t="s">
        <v>6172</v>
      </c>
      <c r="Q1708" s="53" t="s">
        <v>6176</v>
      </c>
      <c r="R1708" s="53" t="s">
        <v>6181</v>
      </c>
      <c r="S1708" s="53" t="s">
        <v>6173</v>
      </c>
      <c r="T1708" s="226">
        <v>406.92</v>
      </c>
      <c r="U1708" s="98">
        <v>0.44999999999999996</v>
      </c>
      <c r="V1708" s="98">
        <v>1.4870000000000001</v>
      </c>
      <c r="W1708" s="98">
        <v>1.173570099252276</v>
      </c>
      <c r="X1708" s="98">
        <v>0.44999999999999996</v>
      </c>
      <c r="Y1708" s="233">
        <v>7</v>
      </c>
      <c r="Z1708" s="48">
        <v>3.5</v>
      </c>
      <c r="AA1708" s="48">
        <v>3.83</v>
      </c>
      <c r="AB1708" s="48">
        <v>4.1900000000000004</v>
      </c>
      <c r="AC1708" s="48">
        <v>0.72519999999999996</v>
      </c>
      <c r="AD1708" s="48">
        <v>3.87</v>
      </c>
      <c r="AE1708" s="48">
        <v>3.12</v>
      </c>
      <c r="AF1708" s="48">
        <f t="shared" si="431"/>
        <v>3.83</v>
      </c>
      <c r="AG1708" s="49">
        <v>3.04</v>
      </c>
      <c r="AH1708" s="98">
        <v>9.0299999999999995E-8</v>
      </c>
      <c r="AI1708" s="98">
        <v>6.4999999999999994E-5</v>
      </c>
      <c r="AJ1708" s="483">
        <f t="shared" si="422"/>
        <v>-5.4328785759991458</v>
      </c>
      <c r="AK1708" s="483">
        <f t="shared" si="432"/>
        <v>-2.5756529696697963</v>
      </c>
      <c r="AL1708" s="483">
        <f t="shared" si="425"/>
        <v>-2.5756529696697963</v>
      </c>
      <c r="AM1708" s="483">
        <v>-16.826589999999999</v>
      </c>
      <c r="AN1708" s="226">
        <v>0.3</v>
      </c>
      <c r="AO1708" s="484"/>
      <c r="AP1708" s="484"/>
      <c r="AQ1708" s="226" t="s">
        <v>6311</v>
      </c>
      <c r="AR1708" s="226" t="s">
        <v>6311</v>
      </c>
      <c r="AS1708" s="224" t="s">
        <v>6</v>
      </c>
      <c r="AT1708" s="50" t="s">
        <v>266</v>
      </c>
      <c r="AU1708" s="48">
        <v>2</v>
      </c>
      <c r="AV1708" s="48">
        <v>98</v>
      </c>
      <c r="AW1708" s="48">
        <v>96</v>
      </c>
      <c r="AX1708" s="48">
        <v>26</v>
      </c>
      <c r="AY1708" s="48" t="s">
        <v>267</v>
      </c>
      <c r="AZ1708" s="48" t="s">
        <v>536</v>
      </c>
      <c r="BA1708" s="48">
        <v>10</v>
      </c>
      <c r="BB1708" s="47" t="s">
        <v>2458</v>
      </c>
      <c r="BC1708" s="47" t="s">
        <v>2448</v>
      </c>
      <c r="BD1708" s="47"/>
      <c r="BE1708" s="48" t="s">
        <v>1712</v>
      </c>
      <c r="BF1708" s="48"/>
      <c r="BG1708" s="48" t="s">
        <v>540</v>
      </c>
      <c r="BH1708" s="48" t="s">
        <v>2459</v>
      </c>
      <c r="BI1708" s="98"/>
      <c r="BJ1708" s="98">
        <v>5.0000000000000001E-3</v>
      </c>
      <c r="BK1708" s="48"/>
      <c r="BL1708" s="487">
        <v>15.030001911696553</v>
      </c>
      <c r="BM1708" s="48" t="s">
        <v>541</v>
      </c>
      <c r="BN1708" s="233"/>
      <c r="BO1708" s="48"/>
      <c r="BP1708" s="48"/>
      <c r="BQ1708" s="48" t="e">
        <v>#VALUE!</v>
      </c>
      <c r="BR1708" s="48"/>
      <c r="BS1708" s="48"/>
      <c r="BT1708" s="48"/>
      <c r="BU1708" s="228"/>
      <c r="BV1708" s="48"/>
      <c r="BW1708" s="48"/>
      <c r="BX1708" s="48"/>
      <c r="BY1708" s="48"/>
      <c r="BZ1708" s="48"/>
      <c r="CA1708" s="48"/>
      <c r="CB1708" s="48"/>
      <c r="CC1708" s="48"/>
      <c r="CD1708" s="48"/>
      <c r="CE1708" s="48"/>
      <c r="CF1708" s="48"/>
      <c r="CG1708" s="48"/>
      <c r="CH1708" s="48"/>
      <c r="CI1708" s="98"/>
      <c r="CJ1708" s="98"/>
      <c r="CK1708" s="49">
        <f t="shared" si="433"/>
        <v>3006.0003823393108</v>
      </c>
      <c r="CL1708" s="229"/>
      <c r="CM1708" s="229">
        <v>-3.0487429239778088</v>
      </c>
      <c r="CN1708" s="229"/>
      <c r="CO1708" s="47"/>
      <c r="CP1708" s="500" t="s">
        <v>2450</v>
      </c>
      <c r="CQ1708" s="224">
        <v>-2.9310762821809169</v>
      </c>
      <c r="CR1708" s="224">
        <f t="shared" si="430"/>
        <v>853.24997098213873</v>
      </c>
      <c r="CS1708" s="230" t="s">
        <v>539</v>
      </c>
      <c r="CT1708" s="230"/>
      <c r="CU1708" s="230"/>
      <c r="CV1708" s="335">
        <f t="shared" si="434"/>
        <v>89.999999999999986</v>
      </c>
      <c r="CW1708" s="230">
        <f>IF(CV1708&lt;1,0,1)</f>
        <v>1</v>
      </c>
      <c r="CX1708" s="336" t="s">
        <v>539</v>
      </c>
      <c r="CY1708" s="230" t="s">
        <v>5921</v>
      </c>
    </row>
    <row r="1709" spans="1:103" ht="11.25" customHeight="1" x14ac:dyDescent="0.2">
      <c r="A1709" s="72">
        <v>1409</v>
      </c>
      <c r="B1709" s="224">
        <v>866</v>
      </c>
      <c r="C1709" s="46" t="s">
        <v>2461</v>
      </c>
      <c r="D1709" s="46" t="s">
        <v>6563</v>
      </c>
      <c r="E1709" s="114"/>
      <c r="F1709" s="114" t="s">
        <v>3131</v>
      </c>
      <c r="G1709" s="225">
        <v>66230044</v>
      </c>
      <c r="H1709" s="47" t="s">
        <v>2462</v>
      </c>
      <c r="I1709" s="47" t="s">
        <v>7958</v>
      </c>
      <c r="J1709" s="47" t="s">
        <v>2463</v>
      </c>
      <c r="K1709" s="47" t="s">
        <v>1711</v>
      </c>
      <c r="L1709" s="237" t="s">
        <v>617</v>
      </c>
      <c r="M1709" s="237" t="s">
        <v>3846</v>
      </c>
      <c r="N1709" s="47" t="s">
        <v>6376</v>
      </c>
      <c r="O1709" s="237" t="s">
        <v>918</v>
      </c>
      <c r="P1709" s="53"/>
      <c r="Q1709" s="53" t="s">
        <v>6173</v>
      </c>
      <c r="R1709" s="53" t="s">
        <v>6174</v>
      </c>
      <c r="S1709" s="53" t="s">
        <v>6176</v>
      </c>
      <c r="T1709" s="226">
        <v>419.9</v>
      </c>
      <c r="U1709" s="98">
        <v>2E-3</v>
      </c>
      <c r="V1709" s="98">
        <v>6.1000000000000004E-3</v>
      </c>
      <c r="W1709" s="98">
        <v>2.589082412816358E-2</v>
      </c>
      <c r="X1709" s="98">
        <v>2E-3</v>
      </c>
      <c r="Y1709" s="233">
        <v>7</v>
      </c>
      <c r="Z1709" s="48">
        <v>6.76</v>
      </c>
      <c r="AA1709" s="48">
        <v>6.22</v>
      </c>
      <c r="AB1709" s="48">
        <v>5.98</v>
      </c>
      <c r="AC1709" s="48">
        <v>0.58919999999999995</v>
      </c>
      <c r="AD1709" s="48">
        <v>6.28</v>
      </c>
      <c r="AE1709" s="48">
        <v>6.67</v>
      </c>
      <c r="AF1709" s="48">
        <f t="shared" si="431"/>
        <v>6.22</v>
      </c>
      <c r="AG1709" s="49">
        <v>6.03</v>
      </c>
      <c r="AH1709" s="98">
        <v>1.1899999999999999E-7</v>
      </c>
      <c r="AI1709" s="98">
        <v>3.4499999999999998E-8</v>
      </c>
      <c r="AJ1709" s="483">
        <f t="shared" si="422"/>
        <v>-5.3130193649201214</v>
      </c>
      <c r="AK1709" s="483">
        <f t="shared" si="432"/>
        <v>-5.850747231239378</v>
      </c>
      <c r="AL1709" s="483">
        <f t="shared" si="425"/>
        <v>-5.850747231239378</v>
      </c>
      <c r="AM1709" s="483">
        <v>-16.262410000000003</v>
      </c>
      <c r="AN1709" s="226">
        <v>-6.07</v>
      </c>
      <c r="AO1709" s="484"/>
      <c r="AP1709" s="484"/>
      <c r="AQ1709" s="226" t="s">
        <v>6311</v>
      </c>
      <c r="AR1709" s="226" t="s">
        <v>6312</v>
      </c>
      <c r="AS1709" s="224" t="s">
        <v>6</v>
      </c>
      <c r="AT1709" s="50" t="s">
        <v>266</v>
      </c>
      <c r="AU1709" s="48">
        <v>2</v>
      </c>
      <c r="AV1709" s="48">
        <v>98</v>
      </c>
      <c r="AW1709" s="48">
        <v>96</v>
      </c>
      <c r="AX1709" s="48">
        <v>26</v>
      </c>
      <c r="AY1709" s="48" t="s">
        <v>267</v>
      </c>
      <c r="AZ1709" s="48" t="s">
        <v>536</v>
      </c>
      <c r="BA1709" s="48">
        <v>10</v>
      </c>
      <c r="BB1709" s="47" t="s">
        <v>2458</v>
      </c>
      <c r="BC1709" s="47" t="s">
        <v>2448</v>
      </c>
      <c r="BD1709" s="47"/>
      <c r="BE1709" s="48" t="s">
        <v>1712</v>
      </c>
      <c r="BF1709" s="48"/>
      <c r="BG1709" s="48" t="s">
        <v>540</v>
      </c>
      <c r="BH1709" s="48" t="s">
        <v>2459</v>
      </c>
      <c r="BI1709" s="98"/>
      <c r="BJ1709" s="98">
        <v>4.9968099999999998E-4</v>
      </c>
      <c r="BK1709" s="48"/>
      <c r="BL1709" s="487">
        <v>1.8314281053188532E-2</v>
      </c>
      <c r="BM1709" s="48" t="s">
        <v>541</v>
      </c>
      <c r="BN1709" s="233"/>
      <c r="BO1709" s="48"/>
      <c r="BP1709" s="48"/>
      <c r="BQ1709" s="48" t="e">
        <v>#VALUE!</v>
      </c>
      <c r="BR1709" s="48"/>
      <c r="BS1709" s="48"/>
      <c r="BT1709" s="48"/>
      <c r="BU1709" s="228"/>
      <c r="BV1709" s="48"/>
      <c r="BW1709" s="48"/>
      <c r="BX1709" s="48"/>
      <c r="BY1709" s="48"/>
      <c r="BZ1709" s="48"/>
      <c r="CA1709" s="48"/>
      <c r="CB1709" s="48"/>
      <c r="CC1709" s="48"/>
      <c r="CD1709" s="48"/>
      <c r="CE1709" s="48"/>
      <c r="CF1709" s="48"/>
      <c r="CG1709" s="48"/>
      <c r="CH1709" s="48"/>
      <c r="CI1709" s="98"/>
      <c r="CJ1709" s="98"/>
      <c r="CK1709" s="49">
        <f t="shared" si="433"/>
        <v>36.651946047955661</v>
      </c>
      <c r="CL1709" s="229"/>
      <c r="CM1709" s="229"/>
      <c r="CN1709" s="229"/>
      <c r="CO1709" s="47"/>
      <c r="CP1709" s="500" t="s">
        <v>2450</v>
      </c>
      <c r="CQ1709" s="224">
        <v>-3.5854962806114608</v>
      </c>
      <c r="CR1709" s="224">
        <f t="shared" si="430"/>
        <v>3850.3151717426226</v>
      </c>
      <c r="CS1709" s="230" t="s">
        <v>539</v>
      </c>
      <c r="CT1709" s="230"/>
      <c r="CU1709" s="230"/>
      <c r="CV1709" s="335">
        <f t="shared" si="434"/>
        <v>4.0025536292154396</v>
      </c>
      <c r="CW1709" s="230">
        <f>IF(CV1709&lt;1,0,1)</f>
        <v>1</v>
      </c>
      <c r="CX1709" s="336" t="s">
        <v>539</v>
      </c>
      <c r="CY1709" s="230" t="s">
        <v>5921</v>
      </c>
    </row>
    <row r="1710" spans="1:103" ht="11.25" customHeight="1" x14ac:dyDescent="0.2">
      <c r="A1710" s="72">
        <v>1616</v>
      </c>
      <c r="B1710" s="241">
        <v>794</v>
      </c>
      <c r="C1710" s="32" t="s">
        <v>1894</v>
      </c>
      <c r="D1710" s="32"/>
      <c r="E1710" s="40"/>
      <c r="F1710" s="40" t="s">
        <v>1696</v>
      </c>
      <c r="G1710" s="242">
        <v>51285</v>
      </c>
      <c r="H1710" s="36" t="s">
        <v>1697</v>
      </c>
      <c r="I1710" s="36" t="s">
        <v>1697</v>
      </c>
      <c r="J1710" s="36" t="s">
        <v>1698</v>
      </c>
      <c r="K1710" s="36" t="s">
        <v>1693</v>
      </c>
      <c r="L1710" s="36" t="s">
        <v>6110</v>
      </c>
      <c r="M1710" s="36" t="s">
        <v>497</v>
      </c>
      <c r="N1710" s="36" t="s">
        <v>6381</v>
      </c>
      <c r="O1710" s="36" t="s">
        <v>6086</v>
      </c>
      <c r="P1710" s="41"/>
      <c r="Q1710" s="41" t="s">
        <v>6179</v>
      </c>
      <c r="R1710" s="41" t="s">
        <v>6180</v>
      </c>
      <c r="S1710" s="41" t="s">
        <v>6176</v>
      </c>
      <c r="T1710" s="37">
        <v>184.11</v>
      </c>
      <c r="U1710" s="243">
        <v>2790</v>
      </c>
      <c r="V1710" s="243">
        <v>1971</v>
      </c>
      <c r="W1710" s="243">
        <v>1135.2130579271745</v>
      </c>
      <c r="X1710" s="243">
        <v>2790</v>
      </c>
      <c r="Y1710" s="414">
        <v>3.15</v>
      </c>
      <c r="Z1710" s="37">
        <v>1.73</v>
      </c>
      <c r="AA1710" s="37">
        <v>1.67</v>
      </c>
      <c r="AB1710" s="37">
        <v>1.62</v>
      </c>
      <c r="AC1710" s="37">
        <v>0.79949999999999999</v>
      </c>
      <c r="AD1710" s="37">
        <v>1.66</v>
      </c>
      <c r="AE1710" s="37">
        <v>1.74</v>
      </c>
      <c r="AF1710" s="37">
        <f t="shared" si="431"/>
        <v>1.67</v>
      </c>
      <c r="AG1710" s="38">
        <v>0.7</v>
      </c>
      <c r="AH1710" s="243">
        <v>2.7599999999999999E-8</v>
      </c>
      <c r="AI1710" s="243">
        <v>8.6000000000000002E-8</v>
      </c>
      <c r="AJ1710" s="34">
        <f t="shared" si="422"/>
        <v>-5.9476572442474342</v>
      </c>
      <c r="AK1710" s="34">
        <f t="shared" si="432"/>
        <v>-5.4540678750690841</v>
      </c>
      <c r="AL1710" s="34">
        <f t="shared" si="425"/>
        <v>-5.4540678750690841</v>
      </c>
      <c r="AM1710" s="34">
        <v>-9.2873400000000004</v>
      </c>
      <c r="AN1710" s="244">
        <v>-5.58</v>
      </c>
      <c r="AO1710" s="417">
        <v>4.04</v>
      </c>
      <c r="AP1710" s="417"/>
      <c r="AQ1710" s="37" t="s">
        <v>6311</v>
      </c>
      <c r="AR1710" s="37" t="s">
        <v>6311</v>
      </c>
      <c r="AS1710" s="241" t="s">
        <v>6</v>
      </c>
      <c r="AT1710" s="39" t="s">
        <v>266</v>
      </c>
      <c r="AU1710" s="37">
        <v>2</v>
      </c>
      <c r="AV1710" s="37">
        <v>48</v>
      </c>
      <c r="AW1710" s="37">
        <v>48</v>
      </c>
      <c r="AX1710" s="37">
        <v>26</v>
      </c>
      <c r="AY1710" s="37" t="s">
        <v>647</v>
      </c>
      <c r="AZ1710" s="37" t="s">
        <v>2231</v>
      </c>
      <c r="BA1710" s="37">
        <v>50</v>
      </c>
      <c r="BB1710" s="36" t="s">
        <v>1886</v>
      </c>
      <c r="BC1710" s="36" t="s">
        <v>538</v>
      </c>
      <c r="BD1710" s="36"/>
      <c r="BE1710" s="37" t="s">
        <v>2232</v>
      </c>
      <c r="BF1710" s="37" t="s">
        <v>272</v>
      </c>
      <c r="BG1710" s="37" t="s">
        <v>272</v>
      </c>
      <c r="BH1710" s="37" t="s">
        <v>272</v>
      </c>
      <c r="BI1710" s="243">
        <v>2.5</v>
      </c>
      <c r="BJ1710" s="243">
        <v>30</v>
      </c>
      <c r="BK1710" s="37" t="s">
        <v>2233</v>
      </c>
      <c r="BL1710" s="263">
        <v>264.34090833793243</v>
      </c>
      <c r="BM1710" s="37" t="s">
        <v>541</v>
      </c>
      <c r="BN1710" s="37"/>
      <c r="BO1710" s="37">
        <v>5.5232999999999999</v>
      </c>
      <c r="BP1710" s="37"/>
      <c r="BQ1710" s="37"/>
      <c r="BR1710" s="37"/>
      <c r="BS1710" s="37"/>
      <c r="BT1710" s="37"/>
      <c r="BU1710" s="246"/>
      <c r="BV1710" s="37"/>
      <c r="BW1710" s="37"/>
      <c r="BX1710" s="37"/>
      <c r="BY1710" s="37"/>
      <c r="BZ1710" s="37"/>
      <c r="CA1710" s="37"/>
      <c r="CB1710" s="37"/>
      <c r="CC1710" s="37"/>
      <c r="CD1710" s="37"/>
      <c r="CE1710" s="37"/>
      <c r="CF1710" s="37"/>
      <c r="CG1710" s="37"/>
      <c r="CH1710" s="37"/>
      <c r="CI1710" s="243">
        <v>5.5232999999999999</v>
      </c>
      <c r="CJ1710" s="243">
        <f t="shared" ref="CJ1710:CJ1718" si="435">LOG10(CI1710)</f>
        <v>0.7421986327232567</v>
      </c>
      <c r="CK1710" s="38">
        <f t="shared" si="433"/>
        <v>8.8113636112644151</v>
      </c>
      <c r="CL1710" s="247">
        <f t="shared" ref="CL1710:CL1718" si="436">BL1710/CI1710</f>
        <v>47.85923421467826</v>
      </c>
      <c r="CM1710" s="247">
        <v>5.5476152000535031E-2</v>
      </c>
      <c r="CN1710" s="247">
        <f>BJ1710/(10^CM1710)</f>
        <v>26.402503126334974</v>
      </c>
      <c r="CO1710" s="36"/>
      <c r="CP1710" s="496" t="s">
        <v>2234</v>
      </c>
      <c r="CQ1710" s="241">
        <v>0.73554580874365427</v>
      </c>
      <c r="CR1710" s="241">
        <f t="shared" si="430"/>
        <v>1.0154366259259049</v>
      </c>
      <c r="CS1710" s="33"/>
      <c r="CT1710" s="33" t="s">
        <v>6310</v>
      </c>
      <c r="CU1710" s="250">
        <f t="shared" ref="CU1710:CU1718" si="437">X1710/CI1710</f>
        <v>505.13280104285485</v>
      </c>
      <c r="CV1710" s="337">
        <f t="shared" si="434"/>
        <v>93</v>
      </c>
      <c r="CW1710" s="330">
        <f t="shared" ref="CW1710:CW1718" si="438">IF(CU1710&lt;2,0,1)</f>
        <v>1</v>
      </c>
      <c r="CX1710" s="330" t="s">
        <v>539</v>
      </c>
      <c r="CY1710" s="143" t="s">
        <v>6351</v>
      </c>
    </row>
    <row r="1711" spans="1:103" ht="11.25" customHeight="1" x14ac:dyDescent="0.2">
      <c r="A1711" s="72">
        <v>1686</v>
      </c>
      <c r="B1711" s="241">
        <v>793</v>
      </c>
      <c r="C1711" s="32" t="s">
        <v>947</v>
      </c>
      <c r="D1711" s="32"/>
      <c r="E1711" s="40"/>
      <c r="F1711" s="40" t="s">
        <v>948</v>
      </c>
      <c r="G1711" s="242">
        <v>86500</v>
      </c>
      <c r="H1711" s="36" t="s">
        <v>949</v>
      </c>
      <c r="I1711" s="36" t="s">
        <v>949</v>
      </c>
      <c r="J1711" s="36" t="s">
        <v>950</v>
      </c>
      <c r="K1711" s="36" t="s">
        <v>951</v>
      </c>
      <c r="L1711" s="36" t="s">
        <v>617</v>
      </c>
      <c r="M1711" s="36" t="s">
        <v>618</v>
      </c>
      <c r="N1711" s="36" t="s">
        <v>6376</v>
      </c>
      <c r="O1711" s="36" t="s">
        <v>952</v>
      </c>
      <c r="P1711" s="41" t="s">
        <v>6178</v>
      </c>
      <c r="Q1711" s="41" t="s">
        <v>6176</v>
      </c>
      <c r="R1711" s="41" t="s">
        <v>6177</v>
      </c>
      <c r="S1711" s="41" t="s">
        <v>6176</v>
      </c>
      <c r="T1711" s="37">
        <v>317.33</v>
      </c>
      <c r="U1711" s="243">
        <v>20.9</v>
      </c>
      <c r="V1711" s="243">
        <v>43.54</v>
      </c>
      <c r="W1711" s="243">
        <v>52.663671333716046</v>
      </c>
      <c r="X1711" s="243">
        <v>20.9</v>
      </c>
      <c r="Y1711" s="414">
        <v>7</v>
      </c>
      <c r="Z1711" s="37">
        <v>2.5299999999999998</v>
      </c>
      <c r="AA1711" s="37">
        <v>2.75</v>
      </c>
      <c r="AB1711" s="37">
        <v>3.17</v>
      </c>
      <c r="AC1711" s="37">
        <v>0.83950000000000002</v>
      </c>
      <c r="AD1711" s="37">
        <v>3.01</v>
      </c>
      <c r="AE1711" s="37">
        <v>2.54</v>
      </c>
      <c r="AF1711" s="37">
        <f t="shared" si="431"/>
        <v>2.75</v>
      </c>
      <c r="AG1711" s="38">
        <v>3.27</v>
      </c>
      <c r="AH1711" s="243">
        <v>2.8599999999999999E-10</v>
      </c>
      <c r="AI1711" s="243">
        <v>2.3899999999999999E-8</v>
      </c>
      <c r="AJ1711" s="34">
        <f t="shared" si="422"/>
        <v>-7.9322002931836089</v>
      </c>
      <c r="AK1711" s="34">
        <f t="shared" si="432"/>
        <v>-6.0101684253645145</v>
      </c>
      <c r="AL1711" s="34">
        <f t="shared" si="425"/>
        <v>-6.0101684253645145</v>
      </c>
      <c r="AM1711" s="34">
        <v>-15.46162</v>
      </c>
      <c r="AN1711" s="244">
        <v>-6.71</v>
      </c>
      <c r="AO1711" s="417"/>
      <c r="AP1711" s="417">
        <v>-2.6</v>
      </c>
      <c r="AQ1711" s="37" t="s">
        <v>6314</v>
      </c>
      <c r="AR1711" s="37" t="s">
        <v>6314</v>
      </c>
      <c r="AS1711" s="241" t="s">
        <v>6</v>
      </c>
      <c r="AT1711" s="39" t="s">
        <v>266</v>
      </c>
      <c r="AU1711" s="37">
        <v>2</v>
      </c>
      <c r="AV1711" s="37">
        <v>48</v>
      </c>
      <c r="AW1711" s="37">
        <v>48</v>
      </c>
      <c r="AX1711" s="37">
        <v>26</v>
      </c>
      <c r="AY1711" s="37" t="s">
        <v>647</v>
      </c>
      <c r="AZ1711" s="37" t="s">
        <v>2231</v>
      </c>
      <c r="BA1711" s="37">
        <v>50</v>
      </c>
      <c r="BB1711" s="36" t="s">
        <v>1886</v>
      </c>
      <c r="BC1711" s="36" t="s">
        <v>538</v>
      </c>
      <c r="BD1711" s="36"/>
      <c r="BE1711" s="37" t="s">
        <v>2232</v>
      </c>
      <c r="BF1711" s="37" t="s">
        <v>272</v>
      </c>
      <c r="BG1711" s="37" t="s">
        <v>272</v>
      </c>
      <c r="BH1711" s="37" t="s">
        <v>272</v>
      </c>
      <c r="BI1711" s="250">
        <v>2</v>
      </c>
      <c r="BJ1711" s="250">
        <v>10.000000000000002</v>
      </c>
      <c r="BK1711" s="37" t="s">
        <v>2233</v>
      </c>
      <c r="BL1711" s="263">
        <v>87.120053154584937</v>
      </c>
      <c r="BM1711" s="37" t="s">
        <v>541</v>
      </c>
      <c r="BN1711" s="37"/>
      <c r="BO1711" s="37">
        <v>3.4906299999999995</v>
      </c>
      <c r="BP1711" s="37"/>
      <c r="BQ1711" s="37"/>
      <c r="BR1711" s="37"/>
      <c r="BS1711" s="37"/>
      <c r="BT1711" s="37"/>
      <c r="BU1711" s="246"/>
      <c r="BV1711" s="37"/>
      <c r="BW1711" s="37"/>
      <c r="BX1711" s="37"/>
      <c r="BY1711" s="37"/>
      <c r="BZ1711" s="37"/>
      <c r="CA1711" s="37"/>
      <c r="CB1711" s="37"/>
      <c r="CC1711" s="37"/>
      <c r="CD1711" s="37"/>
      <c r="CE1711" s="37"/>
      <c r="CF1711" s="37"/>
      <c r="CG1711" s="37"/>
      <c r="CH1711" s="37"/>
      <c r="CI1711" s="243">
        <v>3.4906299999999995</v>
      </c>
      <c r="CJ1711" s="243">
        <f t="shared" si="435"/>
        <v>0.54290381688225031</v>
      </c>
      <c r="CK1711" s="38">
        <f t="shared" si="433"/>
        <v>8.7120053154584927</v>
      </c>
      <c r="CL1711" s="247">
        <f t="shared" si="436"/>
        <v>24.958260587511408</v>
      </c>
      <c r="CM1711" s="247">
        <v>-2.1493680459054527</v>
      </c>
      <c r="CN1711" s="247">
        <f>BJ1711/(10^CM1711)</f>
        <v>1410.48361630776</v>
      </c>
      <c r="CO1711" s="36"/>
      <c r="CP1711" s="496" t="s">
        <v>2234</v>
      </c>
      <c r="CQ1711" s="241">
        <v>-1.0681269040684367</v>
      </c>
      <c r="CR1711" s="241">
        <f t="shared" si="430"/>
        <v>40.83482708889786</v>
      </c>
      <c r="CS1711" s="33"/>
      <c r="CT1711" s="33" t="s">
        <v>6310</v>
      </c>
      <c r="CU1711" s="250">
        <f t="shared" si="437"/>
        <v>5.9874578514480197</v>
      </c>
      <c r="CV1711" s="337">
        <f t="shared" si="434"/>
        <v>2.0899999999999994</v>
      </c>
      <c r="CW1711" s="330">
        <f t="shared" si="438"/>
        <v>1</v>
      </c>
      <c r="CX1711" s="330" t="s">
        <v>539</v>
      </c>
      <c r="CY1711" s="143" t="s">
        <v>5921</v>
      </c>
    </row>
    <row r="1712" spans="1:103" ht="11.25" customHeight="1" x14ac:dyDescent="0.2">
      <c r="A1712" s="72">
        <v>1780</v>
      </c>
      <c r="B1712" s="241">
        <v>795</v>
      </c>
      <c r="C1712" s="32" t="s">
        <v>7686</v>
      </c>
      <c r="D1712" s="32"/>
      <c r="E1712" s="40"/>
      <c r="F1712" s="40" t="s">
        <v>2235</v>
      </c>
      <c r="G1712" s="242">
        <v>150787</v>
      </c>
      <c r="H1712" s="36" t="s">
        <v>2236</v>
      </c>
      <c r="I1712" s="36" t="s">
        <v>2236</v>
      </c>
      <c r="J1712" s="36" t="s">
        <v>2237</v>
      </c>
      <c r="K1712" s="36" t="s">
        <v>426</v>
      </c>
      <c r="L1712" s="36"/>
      <c r="M1712" s="36" t="s">
        <v>866</v>
      </c>
      <c r="N1712" s="36"/>
      <c r="O1712" s="36" t="s">
        <v>498</v>
      </c>
      <c r="P1712" s="41"/>
      <c r="Q1712" s="41" t="s">
        <v>6179</v>
      </c>
      <c r="R1712" s="41" t="s">
        <v>6185</v>
      </c>
      <c r="S1712" s="41" t="s">
        <v>6176</v>
      </c>
      <c r="T1712" s="37">
        <v>138.16</v>
      </c>
      <c r="U1712" s="243"/>
      <c r="V1712" s="243">
        <v>1543</v>
      </c>
      <c r="W1712" s="243">
        <v>2886.5715343879397</v>
      </c>
      <c r="X1712" s="243">
        <v>2886.5715343879397</v>
      </c>
      <c r="Y1712" s="414">
        <v>7</v>
      </c>
      <c r="Z1712" s="37">
        <v>2.15</v>
      </c>
      <c r="AA1712" s="37">
        <v>2.04</v>
      </c>
      <c r="AB1712" s="37">
        <v>1.86</v>
      </c>
      <c r="AC1712" s="37">
        <v>0.78849999999999998</v>
      </c>
      <c r="AD1712" s="37">
        <v>1.93</v>
      </c>
      <c r="AE1712" s="37">
        <v>2.1</v>
      </c>
      <c r="AF1712" s="37">
        <f t="shared" si="431"/>
        <v>2.04</v>
      </c>
      <c r="AG1712" s="38">
        <v>1.76</v>
      </c>
      <c r="AH1712" s="243">
        <v>1.8899999999999999E-5</v>
      </c>
      <c r="AI1712" s="243"/>
      <c r="AJ1712" s="34">
        <f t="shared" si="422"/>
        <v>-3.1121045221394077</v>
      </c>
      <c r="AK1712" s="34"/>
      <c r="AL1712" s="34">
        <f t="shared" si="425"/>
        <v>-3.1121045221394077</v>
      </c>
      <c r="AM1712" s="34">
        <v>-5.3424399999999999</v>
      </c>
      <c r="AN1712" s="244">
        <v>-3.18</v>
      </c>
      <c r="AO1712" s="417"/>
      <c r="AP1712" s="417"/>
      <c r="AQ1712" s="37" t="s">
        <v>6311</v>
      </c>
      <c r="AR1712" s="37" t="s">
        <v>6311</v>
      </c>
      <c r="AS1712" s="241" t="s">
        <v>6</v>
      </c>
      <c r="AT1712" s="39" t="s">
        <v>266</v>
      </c>
      <c r="AU1712" s="37">
        <v>2</v>
      </c>
      <c r="AV1712" s="37">
        <v>48</v>
      </c>
      <c r="AW1712" s="37">
        <v>48</v>
      </c>
      <c r="AX1712" s="37">
        <v>26</v>
      </c>
      <c r="AY1712" s="37" t="s">
        <v>647</v>
      </c>
      <c r="AZ1712" s="37" t="s">
        <v>2231</v>
      </c>
      <c r="BA1712" s="37">
        <v>50</v>
      </c>
      <c r="BB1712" s="36" t="s">
        <v>1886</v>
      </c>
      <c r="BC1712" s="36" t="s">
        <v>538</v>
      </c>
      <c r="BD1712" s="36"/>
      <c r="BE1712" s="37" t="s">
        <v>2232</v>
      </c>
      <c r="BF1712" s="37" t="s">
        <v>272</v>
      </c>
      <c r="BG1712" s="37" t="s">
        <v>272</v>
      </c>
      <c r="BH1712" s="37" t="s">
        <v>272</v>
      </c>
      <c r="BI1712" s="250">
        <v>41.273151920047795</v>
      </c>
      <c r="BJ1712" s="250">
        <v>187.60523600021725</v>
      </c>
      <c r="BK1712" s="37" t="s">
        <v>2233</v>
      </c>
      <c r="BL1712" s="263">
        <v>83.227591053710256</v>
      </c>
      <c r="BM1712" s="37" t="s">
        <v>541</v>
      </c>
      <c r="BN1712" s="37"/>
      <c r="BO1712" s="37">
        <v>103.75816</v>
      </c>
      <c r="BP1712" s="37"/>
      <c r="BQ1712" s="37"/>
      <c r="BR1712" s="37"/>
      <c r="BS1712" s="37"/>
      <c r="BT1712" s="37"/>
      <c r="BU1712" s="246"/>
      <c r="BV1712" s="37"/>
      <c r="BW1712" s="37"/>
      <c r="BX1712" s="37"/>
      <c r="BY1712" s="37"/>
      <c r="BZ1712" s="37"/>
      <c r="CA1712" s="37"/>
      <c r="CB1712" s="37"/>
      <c r="CC1712" s="37"/>
      <c r="CD1712" s="37"/>
      <c r="CE1712" s="37"/>
      <c r="CF1712" s="37"/>
      <c r="CG1712" s="37"/>
      <c r="CH1712" s="37"/>
      <c r="CI1712" s="243">
        <v>103.75816</v>
      </c>
      <c r="CJ1712" s="243">
        <f t="shared" si="435"/>
        <v>2.0160222615635708</v>
      </c>
      <c r="CK1712" s="38">
        <f t="shared" si="433"/>
        <v>0.44363149359868548</v>
      </c>
      <c r="CL1712" s="247">
        <f t="shared" si="436"/>
        <v>0.80213056065865329</v>
      </c>
      <c r="CM1712" s="247"/>
      <c r="CN1712" s="247"/>
      <c r="CO1712" s="36"/>
      <c r="CP1712" s="496" t="s">
        <v>2234</v>
      </c>
      <c r="CQ1712" s="241">
        <v>2.0700339345261436</v>
      </c>
      <c r="CR1712" s="241">
        <f t="shared" si="430"/>
        <v>0.88305616532515063</v>
      </c>
      <c r="CS1712" s="33"/>
      <c r="CT1712" s="33" t="s">
        <v>6310</v>
      </c>
      <c r="CU1712" s="250">
        <f t="shared" si="437"/>
        <v>27.820188160506504</v>
      </c>
      <c r="CV1712" s="337">
        <f t="shared" si="434"/>
        <v>15.386412426061483</v>
      </c>
      <c r="CW1712" s="330">
        <f t="shared" si="438"/>
        <v>1</v>
      </c>
      <c r="CX1712" s="330" t="s">
        <v>539</v>
      </c>
      <c r="CY1712" s="143" t="s">
        <v>6351</v>
      </c>
    </row>
    <row r="1713" spans="1:103" ht="11.25" customHeight="1" x14ac:dyDescent="0.2">
      <c r="A1713" s="72">
        <v>1683</v>
      </c>
      <c r="B1713" s="241">
        <v>695</v>
      </c>
      <c r="C1713" s="32" t="s">
        <v>1095</v>
      </c>
      <c r="D1713" s="32" t="s">
        <v>6673</v>
      </c>
      <c r="E1713" s="40"/>
      <c r="F1713" s="40" t="s">
        <v>1096</v>
      </c>
      <c r="G1713" s="242">
        <v>84742</v>
      </c>
      <c r="H1713" s="36" t="s">
        <v>1097</v>
      </c>
      <c r="I1713" s="36" t="s">
        <v>1097</v>
      </c>
      <c r="J1713" s="36" t="s">
        <v>1098</v>
      </c>
      <c r="K1713" s="36" t="s">
        <v>357</v>
      </c>
      <c r="L1713" s="36" t="s">
        <v>5492</v>
      </c>
      <c r="M1713" s="36" t="s">
        <v>866</v>
      </c>
      <c r="N1713" s="36" t="s">
        <v>6082</v>
      </c>
      <c r="O1713" s="36" t="s">
        <v>6086</v>
      </c>
      <c r="P1713" s="41"/>
      <c r="Q1713" s="41" t="s">
        <v>6173</v>
      </c>
      <c r="R1713" s="41" t="s">
        <v>6174</v>
      </c>
      <c r="S1713" s="41" t="s">
        <v>6176</v>
      </c>
      <c r="T1713" s="37">
        <v>278.33999999999997</v>
      </c>
      <c r="U1713" s="243">
        <v>11.2</v>
      </c>
      <c r="V1713" s="243">
        <v>2.351</v>
      </c>
      <c r="W1713" s="243">
        <v>24.807078612014664</v>
      </c>
      <c r="X1713" s="243">
        <v>11.2</v>
      </c>
      <c r="Y1713" s="414">
        <v>7</v>
      </c>
      <c r="Z1713" s="37">
        <v>4.6100000000000003</v>
      </c>
      <c r="AA1713" s="37">
        <v>4.5</v>
      </c>
      <c r="AB1713" s="37">
        <v>4.62</v>
      </c>
      <c r="AC1713" s="37">
        <v>0.79549999999999998</v>
      </c>
      <c r="AD1713" s="37">
        <v>4.68</v>
      </c>
      <c r="AE1713" s="37">
        <v>4.83</v>
      </c>
      <c r="AF1713" s="37">
        <f t="shared" si="431"/>
        <v>4.5</v>
      </c>
      <c r="AG1713" s="38">
        <v>3.98</v>
      </c>
      <c r="AH1713" s="243">
        <v>1.22E-6</v>
      </c>
      <c r="AI1713" s="243">
        <v>1.81E-6</v>
      </c>
      <c r="AJ1713" s="34">
        <f t="shared" si="422"/>
        <v>-4.302206495637904</v>
      </c>
      <c r="AK1713" s="34">
        <f t="shared" ref="AK1713:AK1720" si="439">LOG10(AI1713*1000/(0.08206*298.15))</f>
        <v>-4.130887751443467</v>
      </c>
      <c r="AL1713" s="34">
        <f t="shared" si="425"/>
        <v>-4.130887751443467</v>
      </c>
      <c r="AM1713" s="34">
        <v>-8.9484100000000009</v>
      </c>
      <c r="AN1713" s="244">
        <v>-4.67</v>
      </c>
      <c r="AO1713" s="417"/>
      <c r="AP1713" s="417"/>
      <c r="AQ1713" s="244" t="s">
        <v>6311</v>
      </c>
      <c r="AR1713" s="244" t="s">
        <v>6312</v>
      </c>
      <c r="AS1713" s="241" t="s">
        <v>6</v>
      </c>
      <c r="AT1713" s="39" t="s">
        <v>266</v>
      </c>
      <c r="AU1713" s="37">
        <v>2</v>
      </c>
      <c r="AV1713" s="37">
        <v>48</v>
      </c>
      <c r="AW1713" s="37">
        <v>48</v>
      </c>
      <c r="AX1713" s="37">
        <v>26</v>
      </c>
      <c r="AY1713" s="37" t="s">
        <v>647</v>
      </c>
      <c r="AZ1713" s="37" t="s">
        <v>1920</v>
      </c>
      <c r="BA1713" s="37">
        <v>10</v>
      </c>
      <c r="BB1713" s="36" t="s">
        <v>1613</v>
      </c>
      <c r="BC1713" s="36" t="s">
        <v>538</v>
      </c>
      <c r="BD1713" s="36"/>
      <c r="BE1713" s="37" t="s">
        <v>271</v>
      </c>
      <c r="BF1713" s="37" t="s">
        <v>272</v>
      </c>
      <c r="BG1713" s="37" t="s">
        <v>272</v>
      </c>
      <c r="BH1713" s="37" t="s">
        <v>272</v>
      </c>
      <c r="BI1713" s="250">
        <v>3.3298803664451224</v>
      </c>
      <c r="BJ1713" s="250">
        <v>21.999209628165975</v>
      </c>
      <c r="BK1713" s="37"/>
      <c r="BL1713" s="263">
        <v>1.0354630904981286</v>
      </c>
      <c r="BM1713" s="37" t="s">
        <v>541</v>
      </c>
      <c r="BN1713" s="37"/>
      <c r="BO1713" s="37">
        <v>2.2799180887372006</v>
      </c>
      <c r="BP1713" s="37"/>
      <c r="BQ1713" s="37"/>
      <c r="BR1713" s="37"/>
      <c r="BS1713" s="37"/>
      <c r="BT1713" s="37"/>
      <c r="BU1713" s="246"/>
      <c r="BV1713" s="37"/>
      <c r="BW1713" s="37"/>
      <c r="BX1713" s="37"/>
      <c r="BY1713" s="37"/>
      <c r="BZ1713" s="37"/>
      <c r="CA1713" s="37"/>
      <c r="CB1713" s="37"/>
      <c r="CC1713" s="37"/>
      <c r="CD1713" s="37"/>
      <c r="CE1713" s="37"/>
      <c r="CF1713" s="37"/>
      <c r="CG1713" s="37"/>
      <c r="CH1713" s="37"/>
      <c r="CI1713" s="243">
        <v>2.2799180887372006</v>
      </c>
      <c r="CJ1713" s="243">
        <f t="shared" si="435"/>
        <v>0.35791924425989963</v>
      </c>
      <c r="CK1713" s="38">
        <f t="shared" si="433"/>
        <v>4.7068195085172834E-2</v>
      </c>
      <c r="CL1713" s="247">
        <f t="shared" si="436"/>
        <v>0.45416679468149235</v>
      </c>
      <c r="CM1713" s="247">
        <v>8.6211163422833609E-2</v>
      </c>
      <c r="CN1713" s="247">
        <f>BJ1713/(10^CM1713)</f>
        <v>18.038312839893749</v>
      </c>
      <c r="CO1713" s="36"/>
      <c r="CP1713" s="496" t="s">
        <v>1992</v>
      </c>
      <c r="CQ1713" s="241">
        <v>0.15057234125395008</v>
      </c>
      <c r="CR1713" s="241">
        <f t="shared" si="430"/>
        <v>1.6119326905004412</v>
      </c>
      <c r="CS1713" s="33"/>
      <c r="CT1713" s="33"/>
      <c r="CU1713" s="250">
        <f t="shared" si="437"/>
        <v>4.9124571866542128</v>
      </c>
      <c r="CV1713" s="337">
        <f t="shared" si="434"/>
        <v>0.50910919934416377</v>
      </c>
      <c r="CW1713" s="330">
        <f t="shared" si="438"/>
        <v>1</v>
      </c>
      <c r="CX1713" s="330"/>
      <c r="CY1713" s="143" t="s">
        <v>6351</v>
      </c>
    </row>
    <row r="1714" spans="1:103" ht="11.25" customHeight="1" x14ac:dyDescent="0.2">
      <c r="A1714" s="72">
        <v>1714</v>
      </c>
      <c r="B1714" s="241">
        <v>692</v>
      </c>
      <c r="C1714" s="32" t="s">
        <v>1993</v>
      </c>
      <c r="D1714" s="32" t="s">
        <v>8578</v>
      </c>
      <c r="E1714" s="40"/>
      <c r="F1714" s="40" t="s">
        <v>1994</v>
      </c>
      <c r="G1714" s="242">
        <v>105679</v>
      </c>
      <c r="H1714" s="36" t="s">
        <v>1995</v>
      </c>
      <c r="I1714" s="36" t="s">
        <v>1995</v>
      </c>
      <c r="J1714" s="36" t="s">
        <v>1996</v>
      </c>
      <c r="K1714" s="36" t="s">
        <v>349</v>
      </c>
      <c r="L1714" s="36" t="s">
        <v>5527</v>
      </c>
      <c r="M1714" s="36" t="s">
        <v>866</v>
      </c>
      <c r="N1714" s="36" t="s">
        <v>6082</v>
      </c>
      <c r="O1714" s="36" t="s">
        <v>6086</v>
      </c>
      <c r="P1714" s="41" t="s">
        <v>6184</v>
      </c>
      <c r="Q1714" s="41" t="s">
        <v>6179</v>
      </c>
      <c r="R1714" s="41" t="s">
        <v>6185</v>
      </c>
      <c r="S1714" s="41" t="s">
        <v>6176</v>
      </c>
      <c r="T1714" s="37">
        <v>122.16</v>
      </c>
      <c r="U1714" s="243">
        <v>7869.9999999999991</v>
      </c>
      <c r="V1714" s="243">
        <v>4067.9999999999995</v>
      </c>
      <c r="W1714" s="243"/>
      <c r="X1714" s="243">
        <v>7869.9999999999991</v>
      </c>
      <c r="Y1714" s="414"/>
      <c r="Z1714" s="37">
        <v>2.61</v>
      </c>
      <c r="AA1714" s="37">
        <v>2.2999999999999998</v>
      </c>
      <c r="AB1714" s="37">
        <v>2.35</v>
      </c>
      <c r="AC1714" s="37">
        <v>0.97360000000000002</v>
      </c>
      <c r="AD1714" s="37">
        <v>2.36</v>
      </c>
      <c r="AE1714" s="37">
        <v>2.4</v>
      </c>
      <c r="AF1714" s="37">
        <f t="shared" si="431"/>
        <v>2.2999999999999998</v>
      </c>
      <c r="AG1714" s="38">
        <v>2.39</v>
      </c>
      <c r="AH1714" s="243">
        <v>6.8299999999999996E-7</v>
      </c>
      <c r="AI1714" s="243">
        <v>9.5099999999999998E-7</v>
      </c>
      <c r="AJ1714" s="34">
        <f t="shared" si="422"/>
        <v>-4.5541456226311192</v>
      </c>
      <c r="AK1714" s="34">
        <f t="shared" si="439"/>
        <v>-4.4103858093752377</v>
      </c>
      <c r="AL1714" s="34">
        <f t="shared" si="425"/>
        <v>-4.4103858093752377</v>
      </c>
      <c r="AM1714" s="34">
        <v>-6.4130500000000001</v>
      </c>
      <c r="AN1714" s="244">
        <v>-4.17</v>
      </c>
      <c r="AO1714" s="417"/>
      <c r="AP1714" s="417"/>
      <c r="AQ1714" s="244" t="s">
        <v>6311</v>
      </c>
      <c r="AR1714" s="244" t="s">
        <v>6311</v>
      </c>
      <c r="AS1714" s="241" t="s">
        <v>6</v>
      </c>
      <c r="AT1714" s="39" t="s">
        <v>266</v>
      </c>
      <c r="AU1714" s="37">
        <v>2</v>
      </c>
      <c r="AV1714" s="37">
        <v>48</v>
      </c>
      <c r="AW1714" s="37">
        <v>48</v>
      </c>
      <c r="AX1714" s="37">
        <v>26</v>
      </c>
      <c r="AY1714" s="37" t="s">
        <v>647</v>
      </c>
      <c r="AZ1714" s="37" t="s">
        <v>1920</v>
      </c>
      <c r="BA1714" s="37">
        <v>10</v>
      </c>
      <c r="BB1714" s="36" t="s">
        <v>1613</v>
      </c>
      <c r="BC1714" s="36" t="s">
        <v>538</v>
      </c>
      <c r="BD1714" s="36"/>
      <c r="BE1714" s="37" t="s">
        <v>271</v>
      </c>
      <c r="BF1714" s="37" t="s">
        <v>272</v>
      </c>
      <c r="BG1714" s="37" t="s">
        <v>272</v>
      </c>
      <c r="BH1714" s="37" t="s">
        <v>272</v>
      </c>
      <c r="BI1714" s="250">
        <v>3.3175818803975883</v>
      </c>
      <c r="BJ1714" s="250">
        <v>23.223073162783116</v>
      </c>
      <c r="BK1714" s="37"/>
      <c r="BL1714" s="263">
        <v>28.424185192030809</v>
      </c>
      <c r="BM1714" s="37" t="s">
        <v>541</v>
      </c>
      <c r="BN1714" s="37"/>
      <c r="BO1714" s="37">
        <v>10.80868176633534</v>
      </c>
      <c r="BP1714" s="37"/>
      <c r="BQ1714" s="37"/>
      <c r="BR1714" s="37"/>
      <c r="BS1714" s="37"/>
      <c r="BT1714" s="37"/>
      <c r="BU1714" s="246"/>
      <c r="BV1714" s="37"/>
      <c r="BW1714" s="37"/>
      <c r="BX1714" s="37"/>
      <c r="BY1714" s="37"/>
      <c r="BZ1714" s="37"/>
      <c r="CA1714" s="37"/>
      <c r="CB1714" s="37"/>
      <c r="CC1714" s="37"/>
      <c r="CD1714" s="37"/>
      <c r="CE1714" s="37"/>
      <c r="CF1714" s="37"/>
      <c r="CG1714" s="37"/>
      <c r="CH1714" s="37"/>
      <c r="CI1714" s="243">
        <v>10.80868176633534</v>
      </c>
      <c r="CJ1714" s="243">
        <f t="shared" si="435"/>
        <v>1.0337727303532798</v>
      </c>
      <c r="CK1714" s="38">
        <f t="shared" si="433"/>
        <v>1.2239631246385987</v>
      </c>
      <c r="CL1714" s="247">
        <f t="shared" si="436"/>
        <v>2.6297550253131345</v>
      </c>
      <c r="CM1714" s="247"/>
      <c r="CN1714" s="247"/>
      <c r="CO1714" s="36"/>
      <c r="CP1714" s="496" t="s">
        <v>1992</v>
      </c>
      <c r="CQ1714" s="241">
        <v>1.0544819309384768</v>
      </c>
      <c r="CR1714" s="241">
        <f t="shared" si="430"/>
        <v>0.95343436082731114</v>
      </c>
      <c r="CS1714" s="33"/>
      <c r="CT1714" s="33"/>
      <c r="CU1714" s="250">
        <f t="shared" si="437"/>
        <v>728.11839317092836</v>
      </c>
      <c r="CV1714" s="337">
        <f t="shared" si="434"/>
        <v>338.88710356441203</v>
      </c>
      <c r="CW1714" s="330">
        <f t="shared" si="438"/>
        <v>1</v>
      </c>
      <c r="CX1714" s="330"/>
      <c r="CY1714" s="143" t="s">
        <v>6351</v>
      </c>
    </row>
    <row r="1715" spans="1:103" ht="11.25" customHeight="1" x14ac:dyDescent="0.2">
      <c r="A1715" s="72">
        <v>1720</v>
      </c>
      <c r="B1715" s="241">
        <v>691</v>
      </c>
      <c r="C1715" s="32" t="s">
        <v>1635</v>
      </c>
      <c r="D1715" s="32"/>
      <c r="E1715" s="40"/>
      <c r="F1715" s="40" t="s">
        <v>1636</v>
      </c>
      <c r="G1715" s="242">
        <v>106489</v>
      </c>
      <c r="H1715" s="36" t="s">
        <v>1637</v>
      </c>
      <c r="I1715" s="36" t="s">
        <v>8214</v>
      </c>
      <c r="J1715" s="36" t="s">
        <v>1638</v>
      </c>
      <c r="K1715" s="36" t="s">
        <v>349</v>
      </c>
      <c r="L1715" s="36" t="s">
        <v>5527</v>
      </c>
      <c r="M1715" s="36" t="s">
        <v>497</v>
      </c>
      <c r="N1715" s="36" t="s">
        <v>6381</v>
      </c>
      <c r="O1715" s="36" t="s">
        <v>498</v>
      </c>
      <c r="P1715" s="41" t="s">
        <v>6184</v>
      </c>
      <c r="Q1715" s="41" t="s">
        <v>6182</v>
      </c>
      <c r="R1715" s="41" t="s">
        <v>6185</v>
      </c>
      <c r="S1715" s="41" t="s">
        <v>6176</v>
      </c>
      <c r="T1715" s="37">
        <v>128.56</v>
      </c>
      <c r="U1715" s="243">
        <v>24000</v>
      </c>
      <c r="V1715" s="243">
        <v>3222</v>
      </c>
      <c r="W1715" s="243">
        <v>2084.999061164639</v>
      </c>
      <c r="X1715" s="243">
        <v>24000</v>
      </c>
      <c r="Y1715" s="414">
        <v>5.63</v>
      </c>
      <c r="Z1715" s="37">
        <v>2.16</v>
      </c>
      <c r="AA1715" s="37">
        <v>2.39</v>
      </c>
      <c r="AB1715" s="37">
        <v>2.5099999999999998</v>
      </c>
      <c r="AC1715" s="37">
        <v>0.89249999999999996</v>
      </c>
      <c r="AD1715" s="37">
        <v>2.4900000000000002</v>
      </c>
      <c r="AE1715" s="37">
        <v>2.4300000000000002</v>
      </c>
      <c r="AF1715" s="37">
        <f t="shared" si="431"/>
        <v>2.39</v>
      </c>
      <c r="AG1715" s="38">
        <v>2.15</v>
      </c>
      <c r="AH1715" s="243">
        <v>4.15E-7</v>
      </c>
      <c r="AI1715" s="243">
        <v>6.2699999999999999E-7</v>
      </c>
      <c r="AJ1715" s="34">
        <f t="shared" ref="AJ1715:AJ1746" si="440">LOG10(AH1715*1000/(0.08206*298.15))</f>
        <v>-4.770518229600559</v>
      </c>
      <c r="AK1715" s="34">
        <f t="shared" si="439"/>
        <v>-4.5912987854819356</v>
      </c>
      <c r="AL1715" s="34">
        <f t="shared" si="425"/>
        <v>-4.5912987854819356</v>
      </c>
      <c r="AM1715" s="34">
        <v>-7.63727</v>
      </c>
      <c r="AN1715" s="244">
        <v>-4.8600000000000003</v>
      </c>
      <c r="AO1715" s="417">
        <v>9.4700000000000006</v>
      </c>
      <c r="AP1715" s="417"/>
      <c r="AQ1715" s="244" t="s">
        <v>6311</v>
      </c>
      <c r="AR1715" s="244" t="s">
        <v>6311</v>
      </c>
      <c r="AS1715" s="241" t="s">
        <v>6</v>
      </c>
      <c r="AT1715" s="39" t="s">
        <v>266</v>
      </c>
      <c r="AU1715" s="37">
        <v>2</v>
      </c>
      <c r="AV1715" s="37">
        <v>48</v>
      </c>
      <c r="AW1715" s="37">
        <v>48</v>
      </c>
      <c r="AX1715" s="37">
        <v>26</v>
      </c>
      <c r="AY1715" s="37" t="s">
        <v>647</v>
      </c>
      <c r="AZ1715" s="37" t="s">
        <v>1920</v>
      </c>
      <c r="BA1715" s="37">
        <v>10</v>
      </c>
      <c r="BB1715" s="36" t="s">
        <v>1613</v>
      </c>
      <c r="BC1715" s="36" t="s">
        <v>538</v>
      </c>
      <c r="BD1715" s="36"/>
      <c r="BE1715" s="37" t="s">
        <v>271</v>
      </c>
      <c r="BF1715" s="37" t="s">
        <v>272</v>
      </c>
      <c r="BG1715" s="37" t="s">
        <v>272</v>
      </c>
      <c r="BH1715" s="37" t="s">
        <v>272</v>
      </c>
      <c r="BI1715" s="250">
        <v>5</v>
      </c>
      <c r="BJ1715" s="250">
        <v>50</v>
      </c>
      <c r="BK1715" s="37"/>
      <c r="BL1715" s="263">
        <v>75.859480414180325</v>
      </c>
      <c r="BM1715" s="37" t="s">
        <v>541</v>
      </c>
      <c r="BN1715" s="37"/>
      <c r="BO1715" s="37">
        <v>31.45</v>
      </c>
      <c r="BP1715" s="37"/>
      <c r="BQ1715" s="37"/>
      <c r="BR1715" s="37"/>
      <c r="BS1715" s="37"/>
      <c r="BT1715" s="37"/>
      <c r="BU1715" s="246"/>
      <c r="BV1715" s="37"/>
      <c r="BW1715" s="37"/>
      <c r="BX1715" s="37"/>
      <c r="BY1715" s="37"/>
      <c r="BZ1715" s="37"/>
      <c r="CA1715" s="37"/>
      <c r="CB1715" s="37"/>
      <c r="CC1715" s="37"/>
      <c r="CD1715" s="37"/>
      <c r="CE1715" s="37"/>
      <c r="CF1715" s="37"/>
      <c r="CG1715" s="37"/>
      <c r="CH1715" s="37"/>
      <c r="CI1715" s="243">
        <v>31.45</v>
      </c>
      <c r="CJ1715" s="243">
        <f t="shared" si="435"/>
        <v>1.4976206497812876</v>
      </c>
      <c r="CK1715" s="38">
        <f t="shared" si="433"/>
        <v>1.5171896082836065</v>
      </c>
      <c r="CL1715" s="247">
        <f t="shared" si="436"/>
        <v>2.412066149894446</v>
      </c>
      <c r="CM1715" s="247">
        <v>0.27971818245026747</v>
      </c>
      <c r="CN1715" s="247">
        <f>BJ1715/(10^CM1715)</f>
        <v>26.257406149665375</v>
      </c>
      <c r="CO1715" s="36"/>
      <c r="CP1715" s="496" t="s">
        <v>1992</v>
      </c>
      <c r="CQ1715" s="241">
        <v>0.54533072722344478</v>
      </c>
      <c r="CR1715" s="241">
        <f t="shared" si="430"/>
        <v>8.9596268497839713</v>
      </c>
      <c r="CS1715" s="33"/>
      <c r="CT1715" s="33"/>
      <c r="CU1715" s="250">
        <f t="shared" si="437"/>
        <v>763.11605723370428</v>
      </c>
      <c r="CV1715" s="337">
        <f t="shared" si="434"/>
        <v>480</v>
      </c>
      <c r="CW1715" s="330">
        <f t="shared" si="438"/>
        <v>1</v>
      </c>
      <c r="CX1715" s="330"/>
      <c r="CY1715" s="143" t="s">
        <v>6351</v>
      </c>
    </row>
    <row r="1716" spans="1:103" ht="11.25" customHeight="1" x14ac:dyDescent="0.2">
      <c r="A1716" s="72">
        <v>1723</v>
      </c>
      <c r="B1716" s="241">
        <v>689</v>
      </c>
      <c r="C1716" s="32" t="s">
        <v>7653</v>
      </c>
      <c r="D1716" s="32"/>
      <c r="E1716" s="40"/>
      <c r="F1716" s="40" t="s">
        <v>1989</v>
      </c>
      <c r="G1716" s="242">
        <v>106934</v>
      </c>
      <c r="H1716" s="36" t="s">
        <v>1990</v>
      </c>
      <c r="I1716" s="36" t="s">
        <v>1990</v>
      </c>
      <c r="J1716" s="36" t="s">
        <v>1991</v>
      </c>
      <c r="K1716" s="36" t="s">
        <v>426</v>
      </c>
      <c r="L1716" s="36"/>
      <c r="M1716" s="36"/>
      <c r="N1716" s="36"/>
      <c r="O1716" s="36"/>
      <c r="P1716" s="41" t="s">
        <v>6183</v>
      </c>
      <c r="Q1716" s="41" t="s">
        <v>6176</v>
      </c>
      <c r="R1716" s="41" t="s">
        <v>6185</v>
      </c>
      <c r="S1716" s="41" t="s">
        <v>6176</v>
      </c>
      <c r="T1716" s="37">
        <v>187.86</v>
      </c>
      <c r="U1716" s="243">
        <v>3910</v>
      </c>
      <c r="V1716" s="243">
        <v>1067</v>
      </c>
      <c r="W1716" s="243">
        <v>1425.0638324498232</v>
      </c>
      <c r="X1716" s="243">
        <v>3910</v>
      </c>
      <c r="Y1716" s="414">
        <v>7</v>
      </c>
      <c r="Z1716" s="37">
        <v>2.0099999999999998</v>
      </c>
      <c r="AA1716" s="37">
        <v>1.96</v>
      </c>
      <c r="AB1716" s="37">
        <v>2.2000000000000002</v>
      </c>
      <c r="AC1716" s="37">
        <v>0.88219999999999998</v>
      </c>
      <c r="AD1716" s="37">
        <v>2.17</v>
      </c>
      <c r="AE1716" s="37">
        <v>2.08</v>
      </c>
      <c r="AF1716" s="37">
        <f t="shared" si="431"/>
        <v>1.96</v>
      </c>
      <c r="AG1716" s="38">
        <v>1.92</v>
      </c>
      <c r="AH1716" s="243">
        <v>1.2999999999999999E-3</v>
      </c>
      <c r="AI1716" s="243">
        <v>6.4999999999999997E-4</v>
      </c>
      <c r="AJ1716" s="34">
        <f t="shared" si="440"/>
        <v>-1.274622974005815</v>
      </c>
      <c r="AK1716" s="34">
        <f t="shared" si="439"/>
        <v>-1.5756529696697963</v>
      </c>
      <c r="AL1716" s="34">
        <f t="shared" si="425"/>
        <v>-1.5756529696697963</v>
      </c>
      <c r="AM1716" s="34">
        <v>-2.3047900000000001</v>
      </c>
      <c r="AN1716" s="244">
        <v>-1.82</v>
      </c>
      <c r="AO1716" s="417"/>
      <c r="AP1716" s="417"/>
      <c r="AQ1716" s="244" t="s">
        <v>6311</v>
      </c>
      <c r="AR1716" s="244" t="s">
        <v>6312</v>
      </c>
      <c r="AS1716" s="241" t="s">
        <v>6</v>
      </c>
      <c r="AT1716" s="39" t="s">
        <v>266</v>
      </c>
      <c r="AU1716" s="37">
        <v>2</v>
      </c>
      <c r="AV1716" s="37">
        <v>48</v>
      </c>
      <c r="AW1716" s="37">
        <v>48</v>
      </c>
      <c r="AX1716" s="37">
        <v>26</v>
      </c>
      <c r="AY1716" s="37" t="s">
        <v>647</v>
      </c>
      <c r="AZ1716" s="37" t="s">
        <v>1920</v>
      </c>
      <c r="BA1716" s="37">
        <v>10</v>
      </c>
      <c r="BB1716" s="36" t="s">
        <v>1613</v>
      </c>
      <c r="BC1716" s="36" t="s">
        <v>538</v>
      </c>
      <c r="BD1716" s="36"/>
      <c r="BE1716" s="37" t="s">
        <v>271</v>
      </c>
      <c r="BF1716" s="37" t="s">
        <v>272</v>
      </c>
      <c r="BG1716" s="37" t="s">
        <v>272</v>
      </c>
      <c r="BH1716" s="37" t="s">
        <v>272</v>
      </c>
      <c r="BI1716" s="250">
        <v>10</v>
      </c>
      <c r="BJ1716" s="250">
        <v>350</v>
      </c>
      <c r="BK1716" s="37"/>
      <c r="BL1716" s="263">
        <v>151.16572036892813</v>
      </c>
      <c r="BM1716" s="37" t="s">
        <v>541</v>
      </c>
      <c r="BN1716" s="37"/>
      <c r="BO1716" s="37">
        <v>137.4</v>
      </c>
      <c r="BP1716" s="37"/>
      <c r="BQ1716" s="37"/>
      <c r="BR1716" s="37"/>
      <c r="BS1716" s="37"/>
      <c r="BT1716" s="37"/>
      <c r="BU1716" s="246"/>
      <c r="BV1716" s="37"/>
      <c r="BW1716" s="37"/>
      <c r="BX1716" s="37"/>
      <c r="BY1716" s="37"/>
      <c r="BZ1716" s="37"/>
      <c r="CA1716" s="37"/>
      <c r="CB1716" s="37"/>
      <c r="CC1716" s="37"/>
      <c r="CD1716" s="37"/>
      <c r="CE1716" s="37"/>
      <c r="CF1716" s="37"/>
      <c r="CG1716" s="37"/>
      <c r="CH1716" s="37"/>
      <c r="CI1716" s="243">
        <v>137.4</v>
      </c>
      <c r="CJ1716" s="243">
        <f t="shared" si="435"/>
        <v>2.1379867327235318</v>
      </c>
      <c r="CK1716" s="38">
        <f t="shared" si="433"/>
        <v>0.43190205819693755</v>
      </c>
      <c r="CL1716" s="247">
        <f t="shared" si="436"/>
        <v>1.1001871933692005</v>
      </c>
      <c r="CM1716" s="247"/>
      <c r="CN1716" s="247"/>
      <c r="CO1716" s="36"/>
      <c r="CP1716" s="496" t="s">
        <v>1992</v>
      </c>
      <c r="CQ1716" s="241">
        <v>0.63346845557958653</v>
      </c>
      <c r="CR1716" s="241">
        <f t="shared" si="430"/>
        <v>31.953488372093034</v>
      </c>
      <c r="CS1716" s="33"/>
      <c r="CT1716" s="33"/>
      <c r="CU1716" s="250">
        <f t="shared" si="437"/>
        <v>28.457059679767102</v>
      </c>
      <c r="CV1716" s="337">
        <f t="shared" si="434"/>
        <v>11.171428571428571</v>
      </c>
      <c r="CW1716" s="330">
        <f t="shared" si="438"/>
        <v>1</v>
      </c>
      <c r="CX1716" s="330"/>
      <c r="CY1716" s="143" t="s">
        <v>6351</v>
      </c>
    </row>
    <row r="1717" spans="1:103" ht="11.25" customHeight="1" x14ac:dyDescent="0.2">
      <c r="A1717" s="72">
        <v>1760</v>
      </c>
      <c r="B1717" s="241">
        <v>698</v>
      </c>
      <c r="C1717" s="32" t="s">
        <v>1997</v>
      </c>
      <c r="D1717" s="32"/>
      <c r="E1717" s="40"/>
      <c r="F1717" s="40" t="s">
        <v>1998</v>
      </c>
      <c r="G1717" s="242">
        <v>114261</v>
      </c>
      <c r="H1717" s="36" t="s">
        <v>1999</v>
      </c>
      <c r="I1717" s="36" t="s">
        <v>1999</v>
      </c>
      <c r="J1717" s="36" t="s">
        <v>2000</v>
      </c>
      <c r="K1717" s="36" t="s">
        <v>616</v>
      </c>
      <c r="L1717" s="36" t="s">
        <v>617</v>
      </c>
      <c r="M1717" s="36" t="s">
        <v>946</v>
      </c>
      <c r="N1717" s="36" t="s">
        <v>6376</v>
      </c>
      <c r="O1717" s="36" t="s">
        <v>2001</v>
      </c>
      <c r="P1717" s="41"/>
      <c r="Q1717" s="41" t="s">
        <v>6173</v>
      </c>
      <c r="R1717" s="41" t="s">
        <v>6177</v>
      </c>
      <c r="S1717" s="41" t="s">
        <v>6176</v>
      </c>
      <c r="T1717" s="37">
        <v>209.24</v>
      </c>
      <c r="U1717" s="243">
        <v>1859.9111111111113</v>
      </c>
      <c r="V1717" s="243">
        <v>1973.9056630824373</v>
      </c>
      <c r="W1717" s="243">
        <v>708.99751230566653</v>
      </c>
      <c r="X1717" s="243">
        <v>1859.9111111111113</v>
      </c>
      <c r="Y1717" s="414">
        <v>6.96</v>
      </c>
      <c r="Z1717" s="37">
        <v>1.9</v>
      </c>
      <c r="AA1717" s="37">
        <v>1.52</v>
      </c>
      <c r="AB1717" s="37">
        <v>1.54</v>
      </c>
      <c r="AC1717" s="37">
        <v>0.89239999999999997</v>
      </c>
      <c r="AD1717" s="37">
        <v>1.56</v>
      </c>
      <c r="AE1717" s="37">
        <v>1.6</v>
      </c>
      <c r="AF1717" s="37">
        <f t="shared" si="431"/>
        <v>1.52</v>
      </c>
      <c r="AG1717" s="38">
        <v>1.99</v>
      </c>
      <c r="AH1717" s="243">
        <v>3.3499999999999998E-9</v>
      </c>
      <c r="AI1717" s="243">
        <v>1.43E-9</v>
      </c>
      <c r="AJ1717" s="34">
        <f t="shared" si="440"/>
        <v>-6.8635215192758068</v>
      </c>
      <c r="AK1717" s="34">
        <f t="shared" si="439"/>
        <v>-7.2332302888475901</v>
      </c>
      <c r="AL1717" s="34">
        <f t="shared" si="425"/>
        <v>-7.2332302888475901</v>
      </c>
      <c r="AM1717" s="34">
        <v>-10.072940000000001</v>
      </c>
      <c r="AN1717" s="244">
        <v>-6.19</v>
      </c>
      <c r="AO1717" s="417">
        <v>12.28</v>
      </c>
      <c r="AP1717" s="417">
        <v>-1.49</v>
      </c>
      <c r="AQ1717" s="244" t="s">
        <v>6311</v>
      </c>
      <c r="AR1717" s="244" t="s">
        <v>6314</v>
      </c>
      <c r="AS1717" s="241" t="s">
        <v>6</v>
      </c>
      <c r="AT1717" s="39" t="s">
        <v>266</v>
      </c>
      <c r="AU1717" s="37">
        <v>2</v>
      </c>
      <c r="AV1717" s="37">
        <v>48</v>
      </c>
      <c r="AW1717" s="37">
        <v>48</v>
      </c>
      <c r="AX1717" s="37">
        <v>26</v>
      </c>
      <c r="AY1717" s="37" t="s">
        <v>647</v>
      </c>
      <c r="AZ1717" s="37" t="s">
        <v>1920</v>
      </c>
      <c r="BA1717" s="37">
        <v>10</v>
      </c>
      <c r="BB1717" s="36" t="s">
        <v>1613</v>
      </c>
      <c r="BC1717" s="36" t="s">
        <v>538</v>
      </c>
      <c r="BD1717" s="36"/>
      <c r="BE1717" s="37" t="s">
        <v>271</v>
      </c>
      <c r="BF1717" s="37" t="s">
        <v>272</v>
      </c>
      <c r="BG1717" s="37" t="s">
        <v>272</v>
      </c>
      <c r="BH1717" s="37" t="s">
        <v>272</v>
      </c>
      <c r="BI1717" s="250">
        <v>4.9997610513739552</v>
      </c>
      <c r="BJ1717" s="250">
        <v>19.999044205495821</v>
      </c>
      <c r="BK1717" s="37"/>
      <c r="BL1717" s="263">
        <v>211.3755308782311</v>
      </c>
      <c r="BM1717" s="37" t="s">
        <v>541</v>
      </c>
      <c r="BN1717" s="37"/>
      <c r="BO1717" s="37">
        <v>28.108656630824374</v>
      </c>
      <c r="BP1717" s="37"/>
      <c r="BQ1717" s="37"/>
      <c r="BR1717" s="37"/>
      <c r="BS1717" s="37"/>
      <c r="BT1717" s="37"/>
      <c r="BU1717" s="246"/>
      <c r="BV1717" s="37"/>
      <c r="BW1717" s="37"/>
      <c r="BX1717" s="37"/>
      <c r="BY1717" s="37"/>
      <c r="BZ1717" s="37"/>
      <c r="CA1717" s="37"/>
      <c r="CB1717" s="37"/>
      <c r="CC1717" s="37"/>
      <c r="CD1717" s="37"/>
      <c r="CE1717" s="37"/>
      <c r="CF1717" s="37"/>
      <c r="CG1717" s="37"/>
      <c r="CH1717" s="37"/>
      <c r="CI1717" s="243">
        <v>28.108656630824374</v>
      </c>
      <c r="CJ1717" s="243">
        <f t="shared" si="435"/>
        <v>1.4488400902975416</v>
      </c>
      <c r="CK1717" s="38">
        <f t="shared" si="433"/>
        <v>10.569281646977121</v>
      </c>
      <c r="CL1717" s="247">
        <f t="shared" si="436"/>
        <v>7.5199442525628752</v>
      </c>
      <c r="CM1717" s="247">
        <v>1.0480036186615178</v>
      </c>
      <c r="CN1717" s="247">
        <f>BJ1717/(10^CM1717)</f>
        <v>1.7906290325493794</v>
      </c>
      <c r="CO1717" s="36"/>
      <c r="CP1717" s="496" t="s">
        <v>1992</v>
      </c>
      <c r="CQ1717" s="241">
        <v>1.0726577657579373</v>
      </c>
      <c r="CR1717" s="241">
        <f t="shared" si="430"/>
        <v>2.3778383358912238</v>
      </c>
      <c r="CS1717" s="33"/>
      <c r="CT1717" s="33"/>
      <c r="CU1717" s="250">
        <f t="shared" si="437"/>
        <v>66.168623265741729</v>
      </c>
      <c r="CV1717" s="337">
        <f t="shared" si="434"/>
        <v>93</v>
      </c>
      <c r="CW1717" s="330">
        <f t="shared" si="438"/>
        <v>1</v>
      </c>
      <c r="CX1717" s="330"/>
      <c r="CY1717" s="143" t="s">
        <v>5921</v>
      </c>
    </row>
    <row r="1718" spans="1:103" ht="11.25" customHeight="1" x14ac:dyDescent="0.2">
      <c r="A1718" s="72">
        <v>1844</v>
      </c>
      <c r="B1718" s="241">
        <v>693</v>
      </c>
      <c r="C1718" s="32" t="s">
        <v>1031</v>
      </c>
      <c r="D1718" s="32"/>
      <c r="E1718" s="40"/>
      <c r="F1718" s="40" t="s">
        <v>1032</v>
      </c>
      <c r="G1718" s="242">
        <v>1897456</v>
      </c>
      <c r="H1718" s="36" t="s">
        <v>1033</v>
      </c>
      <c r="I1718" s="36" t="s">
        <v>7750</v>
      </c>
      <c r="J1718" s="36" t="s">
        <v>1034</v>
      </c>
      <c r="K1718" s="36" t="s">
        <v>426</v>
      </c>
      <c r="L1718" s="36" t="s">
        <v>5929</v>
      </c>
      <c r="M1718" s="36" t="s">
        <v>8509</v>
      </c>
      <c r="N1718" s="36" t="s">
        <v>6383</v>
      </c>
      <c r="O1718" s="36" t="s">
        <v>1035</v>
      </c>
      <c r="P1718" s="41"/>
      <c r="Q1718" s="41"/>
      <c r="R1718" s="41"/>
      <c r="S1718" s="41"/>
      <c r="T1718" s="37">
        <v>265.91000000000003</v>
      </c>
      <c r="U1718" s="243">
        <v>0.81</v>
      </c>
      <c r="V1718" s="243">
        <v>26.01</v>
      </c>
      <c r="W1718" s="243">
        <v>1.8396477347705402</v>
      </c>
      <c r="X1718" s="243">
        <v>0.81</v>
      </c>
      <c r="Y1718" s="414">
        <v>7</v>
      </c>
      <c r="Z1718" s="37">
        <v>3.66</v>
      </c>
      <c r="AA1718" s="37">
        <v>3.05</v>
      </c>
      <c r="AB1718" s="37">
        <v>3.2</v>
      </c>
      <c r="AC1718" s="37">
        <v>0.76400000000000001</v>
      </c>
      <c r="AD1718" s="37">
        <v>3.12</v>
      </c>
      <c r="AE1718" s="37">
        <v>2.88</v>
      </c>
      <c r="AF1718" s="37">
        <f t="shared" si="431"/>
        <v>3.05</v>
      </c>
      <c r="AG1718" s="38">
        <v>4.17</v>
      </c>
      <c r="AH1718" s="243">
        <v>1.5200000000000001E-7</v>
      </c>
      <c r="AI1718" s="243">
        <v>1.9999999999999999E-6</v>
      </c>
      <c r="AJ1718" s="34">
        <f t="shared" si="440"/>
        <v>-5.2067227383678789</v>
      </c>
      <c r="AK1718" s="34">
        <f t="shared" si="439"/>
        <v>-4.0875363306486703</v>
      </c>
      <c r="AL1718" s="34">
        <f t="shared" si="425"/>
        <v>-4.0875363306486703</v>
      </c>
      <c r="AM1718" s="34">
        <v>-8.3957800000000002</v>
      </c>
      <c r="AN1718" s="244">
        <v>-5.47</v>
      </c>
      <c r="AO1718" s="417"/>
      <c r="AP1718" s="417"/>
      <c r="AQ1718" s="244" t="s">
        <v>6311</v>
      </c>
      <c r="AR1718" s="244" t="s">
        <v>6311</v>
      </c>
      <c r="AS1718" s="241" t="s">
        <v>6</v>
      </c>
      <c r="AT1718" s="39" t="s">
        <v>266</v>
      </c>
      <c r="AU1718" s="37">
        <v>2</v>
      </c>
      <c r="AV1718" s="37">
        <v>48</v>
      </c>
      <c r="AW1718" s="37">
        <v>48</v>
      </c>
      <c r="AX1718" s="37">
        <v>26</v>
      </c>
      <c r="AY1718" s="37" t="s">
        <v>647</v>
      </c>
      <c r="AZ1718" s="37" t="s">
        <v>1920</v>
      </c>
      <c r="BA1718" s="37">
        <v>10</v>
      </c>
      <c r="BB1718" s="36" t="s">
        <v>1613</v>
      </c>
      <c r="BC1718" s="36" t="s">
        <v>538</v>
      </c>
      <c r="BD1718" s="36"/>
      <c r="BE1718" s="37" t="s">
        <v>271</v>
      </c>
      <c r="BF1718" s="37" t="s">
        <v>272</v>
      </c>
      <c r="BG1718" s="37" t="s">
        <v>272</v>
      </c>
      <c r="BH1718" s="37" t="s">
        <v>272</v>
      </c>
      <c r="BI1718" s="250">
        <v>0.01</v>
      </c>
      <c r="BJ1718" s="250">
        <v>1.5</v>
      </c>
      <c r="BK1718" s="37"/>
      <c r="BL1718" s="263">
        <v>7.0548643891683938</v>
      </c>
      <c r="BM1718" s="37" t="s">
        <v>541</v>
      </c>
      <c r="BN1718" s="37"/>
      <c r="BO1718" s="37">
        <v>43.79</v>
      </c>
      <c r="BP1718" s="37"/>
      <c r="BQ1718" s="37"/>
      <c r="BR1718" s="37"/>
      <c r="BS1718" s="37"/>
      <c r="BT1718" s="37"/>
      <c r="BU1718" s="246"/>
      <c r="BV1718" s="37"/>
      <c r="BW1718" s="37"/>
      <c r="BX1718" s="37"/>
      <c r="BY1718" s="37"/>
      <c r="BZ1718" s="37"/>
      <c r="CA1718" s="37"/>
      <c r="CB1718" s="37"/>
      <c r="CC1718" s="37"/>
      <c r="CD1718" s="37"/>
      <c r="CE1718" s="37"/>
      <c r="CF1718" s="37"/>
      <c r="CG1718" s="37"/>
      <c r="CH1718" s="37"/>
      <c r="CI1718" s="243">
        <v>43.79</v>
      </c>
      <c r="CJ1718" s="243">
        <f t="shared" si="435"/>
        <v>1.6413749451921256</v>
      </c>
      <c r="CK1718" s="38">
        <f t="shared" si="433"/>
        <v>4.7032429261122628</v>
      </c>
      <c r="CL1718" s="247">
        <f t="shared" si="436"/>
        <v>0.16110674558502841</v>
      </c>
      <c r="CM1718" s="247">
        <v>-1.645891560852599</v>
      </c>
      <c r="CN1718" s="247">
        <f>BJ1718/(10^CM1718)</f>
        <v>66.371681415929217</v>
      </c>
      <c r="CO1718" s="36"/>
      <c r="CP1718" s="496" t="s">
        <v>1992</v>
      </c>
      <c r="CQ1718" s="241">
        <v>-1.1272092997656173</v>
      </c>
      <c r="CR1718" s="241">
        <f t="shared" si="430"/>
        <v>586.92721141214167</v>
      </c>
      <c r="CS1718" s="33"/>
      <c r="CT1718" s="33"/>
      <c r="CU1718" s="250">
        <f t="shared" si="437"/>
        <v>1.8497373829641471E-2</v>
      </c>
      <c r="CV1718" s="337">
        <f t="shared" si="434"/>
        <v>0.54</v>
      </c>
      <c r="CW1718" s="330">
        <f t="shared" si="438"/>
        <v>0</v>
      </c>
      <c r="CX1718" s="330"/>
      <c r="CY1718" s="143" t="s">
        <v>5921</v>
      </c>
    </row>
    <row r="1719" spans="1:103" ht="11.25" customHeight="1" x14ac:dyDescent="0.2">
      <c r="A1719" s="72">
        <v>1668</v>
      </c>
      <c r="B1719" s="241">
        <v>852</v>
      </c>
      <c r="C1719" s="32" t="s">
        <v>1298</v>
      </c>
      <c r="D1719" s="32"/>
      <c r="E1719" s="40"/>
      <c r="F1719" s="40" t="s">
        <v>1299</v>
      </c>
      <c r="G1719" s="242">
        <v>72435</v>
      </c>
      <c r="H1719" s="36" t="s">
        <v>1300</v>
      </c>
      <c r="I1719" s="36" t="s">
        <v>7923</v>
      </c>
      <c r="J1719" s="36" t="s">
        <v>1301</v>
      </c>
      <c r="K1719" s="36" t="s">
        <v>426</v>
      </c>
      <c r="L1719" s="36" t="s">
        <v>617</v>
      </c>
      <c r="M1719" s="36" t="s">
        <v>1086</v>
      </c>
      <c r="N1719" s="36" t="s">
        <v>6376</v>
      </c>
      <c r="O1719" s="36" t="s">
        <v>918</v>
      </c>
      <c r="P1719" s="41"/>
      <c r="Q1719" s="41"/>
      <c r="R1719" s="41"/>
      <c r="S1719" s="41"/>
      <c r="T1719" s="37">
        <v>345.65</v>
      </c>
      <c r="U1719" s="243">
        <v>0.1</v>
      </c>
      <c r="V1719" s="243">
        <v>0.30199999999999999</v>
      </c>
      <c r="W1719" s="243">
        <v>6.1466227807995315</v>
      </c>
      <c r="X1719" s="243">
        <v>0.1</v>
      </c>
      <c r="Y1719" s="414">
        <v>7</v>
      </c>
      <c r="Z1719" s="37">
        <v>5.67</v>
      </c>
      <c r="AA1719" s="37">
        <v>5.08</v>
      </c>
      <c r="AB1719" s="37">
        <v>5.83</v>
      </c>
      <c r="AC1719" s="37">
        <v>0.84089999999999998</v>
      </c>
      <c r="AD1719" s="37">
        <v>5.51</v>
      </c>
      <c r="AE1719" s="37">
        <v>4.5599999999999996</v>
      </c>
      <c r="AF1719" s="37">
        <f t="shared" si="431"/>
        <v>5.08</v>
      </c>
      <c r="AG1719" s="38">
        <v>5.14</v>
      </c>
      <c r="AH1719" s="243">
        <v>9.7500000000000006E-8</v>
      </c>
      <c r="AI1719" s="243">
        <v>2.03E-7</v>
      </c>
      <c r="AJ1719" s="34">
        <f t="shared" si="440"/>
        <v>-5.3995617106141154</v>
      </c>
      <c r="AK1719" s="34">
        <f t="shared" si="439"/>
        <v>-5.081070288399439</v>
      </c>
      <c r="AL1719" s="34">
        <f t="shared" si="425"/>
        <v>-5.081070288399439</v>
      </c>
      <c r="AM1719" s="34">
        <v>-9.6148900000000008</v>
      </c>
      <c r="AN1719" s="244">
        <v>-6.6</v>
      </c>
      <c r="AO1719" s="417"/>
      <c r="AP1719" s="417"/>
      <c r="AQ1719" s="244" t="s">
        <v>6311</v>
      </c>
      <c r="AR1719" s="244" t="s">
        <v>6311</v>
      </c>
      <c r="AS1719" s="241" t="s">
        <v>6</v>
      </c>
      <c r="AT1719" s="39" t="s">
        <v>266</v>
      </c>
      <c r="AU1719" s="37">
        <v>2</v>
      </c>
      <c r="AV1719" s="37">
        <v>48</v>
      </c>
      <c r="AW1719" s="37">
        <v>48</v>
      </c>
      <c r="AX1719" s="37">
        <v>26</v>
      </c>
      <c r="AY1719" s="37" t="s">
        <v>647</v>
      </c>
      <c r="AZ1719" s="37" t="s">
        <v>1920</v>
      </c>
      <c r="BA1719" s="37">
        <v>10</v>
      </c>
      <c r="BB1719" s="36" t="s">
        <v>1613</v>
      </c>
      <c r="BC1719" s="36" t="s">
        <v>538</v>
      </c>
      <c r="BD1719" s="36"/>
      <c r="BE1719" s="37" t="s">
        <v>271</v>
      </c>
      <c r="BF1719" s="37" t="s">
        <v>272</v>
      </c>
      <c r="BG1719" s="37" t="s">
        <v>272</v>
      </c>
      <c r="BH1719" s="37" t="s">
        <v>4089</v>
      </c>
      <c r="BI1719" s="243">
        <v>4.9998553491870622E-2</v>
      </c>
      <c r="BJ1719" s="243">
        <v>0.79997685586992995</v>
      </c>
      <c r="BK1719" s="37"/>
      <c r="BL1719" s="263">
        <v>0.14361822708576152</v>
      </c>
      <c r="BM1719" s="37" t="s">
        <v>541</v>
      </c>
      <c r="BN1719" s="37"/>
      <c r="BO1719" s="37"/>
      <c r="BP1719" s="37"/>
      <c r="BQ1719" s="37"/>
      <c r="BR1719" s="37"/>
      <c r="BS1719" s="37"/>
      <c r="BT1719" s="37"/>
      <c r="BU1719" s="246"/>
      <c r="BV1719" s="37"/>
      <c r="BW1719" s="37"/>
      <c r="BX1719" s="37"/>
      <c r="BY1719" s="37"/>
      <c r="BZ1719" s="37"/>
      <c r="CA1719" s="37"/>
      <c r="CB1719" s="37"/>
      <c r="CC1719" s="37"/>
      <c r="CD1719" s="37"/>
      <c r="CE1719" s="37"/>
      <c r="CF1719" s="37"/>
      <c r="CG1719" s="37"/>
      <c r="CH1719" s="37"/>
      <c r="CI1719" s="243"/>
      <c r="CJ1719" s="243"/>
      <c r="CK1719" s="38">
        <f t="shared" si="433"/>
        <v>0.17952797763078379</v>
      </c>
      <c r="CL1719" s="247"/>
      <c r="CM1719" s="247"/>
      <c r="CN1719" s="247"/>
      <c r="CO1719" s="36" t="s">
        <v>4073</v>
      </c>
      <c r="CP1719" s="496" t="s">
        <v>4100</v>
      </c>
      <c r="CQ1719" s="241">
        <v>-1.5198053616643368</v>
      </c>
      <c r="CR1719" s="241">
        <f t="shared" si="430"/>
        <v>33.09827512575221</v>
      </c>
      <c r="CS1719" s="33"/>
      <c r="CT1719" s="33"/>
      <c r="CU1719" s="250"/>
      <c r="CV1719" s="337">
        <f t="shared" si="434"/>
        <v>0.12500361637494578</v>
      </c>
      <c r="CW1719" s="330">
        <f>IF(CV1719&lt;1,0,1)</f>
        <v>0</v>
      </c>
      <c r="CX1719" s="330"/>
      <c r="CY1719" s="143" t="s">
        <v>5921</v>
      </c>
    </row>
    <row r="1720" spans="1:103" ht="11.25" customHeight="1" x14ac:dyDescent="0.2">
      <c r="A1720" s="72">
        <v>1853</v>
      </c>
      <c r="B1720" s="241">
        <v>847</v>
      </c>
      <c r="C1720" s="32" t="s">
        <v>1036</v>
      </c>
      <c r="D1720" s="32" t="s">
        <v>6644</v>
      </c>
      <c r="E1720" s="40"/>
      <c r="F1720" s="40" t="s">
        <v>4099</v>
      </c>
      <c r="G1720" s="242">
        <v>2921882</v>
      </c>
      <c r="H1720" s="36" t="s">
        <v>1038</v>
      </c>
      <c r="I1720" s="36" t="s">
        <v>7929</v>
      </c>
      <c r="J1720" s="36" t="s">
        <v>1039</v>
      </c>
      <c r="K1720" s="36" t="s">
        <v>1040</v>
      </c>
      <c r="L1720" s="36" t="s">
        <v>617</v>
      </c>
      <c r="M1720" s="36" t="s">
        <v>946</v>
      </c>
      <c r="N1720" s="36" t="s">
        <v>6376</v>
      </c>
      <c r="O1720" s="36" t="s">
        <v>918</v>
      </c>
      <c r="P1720" s="41" t="s">
        <v>6178</v>
      </c>
      <c r="Q1720" s="41" t="s">
        <v>6173</v>
      </c>
      <c r="R1720" s="41" t="s">
        <v>6177</v>
      </c>
      <c r="S1720" s="41" t="s">
        <v>6176</v>
      </c>
      <c r="T1720" s="37">
        <v>350.59</v>
      </c>
      <c r="U1720" s="243">
        <v>1.1200000000000001</v>
      </c>
      <c r="V1720" s="243">
        <v>0.35699999999999998</v>
      </c>
      <c r="W1720" s="243"/>
      <c r="X1720" s="243">
        <v>1.1200000000000001</v>
      </c>
      <c r="Y1720" s="414"/>
      <c r="Z1720" s="37">
        <v>5.1100000000000003</v>
      </c>
      <c r="AA1720" s="37">
        <v>4.96</v>
      </c>
      <c r="AB1720" s="37">
        <v>4.79</v>
      </c>
      <c r="AC1720" s="37">
        <v>0.86860000000000004</v>
      </c>
      <c r="AD1720" s="37">
        <v>4.78</v>
      </c>
      <c r="AE1720" s="37">
        <v>4.7699999999999996</v>
      </c>
      <c r="AF1720" s="37">
        <f t="shared" si="431"/>
        <v>4.96</v>
      </c>
      <c r="AG1720" s="38">
        <v>5.16</v>
      </c>
      <c r="AH1720" s="243">
        <v>2.52E-6</v>
      </c>
      <c r="AI1720" s="243">
        <v>2.9299999999999999E-6</v>
      </c>
      <c r="AJ1720" s="34">
        <f t="shared" si="440"/>
        <v>-3.9871657855311078</v>
      </c>
      <c r="AK1720" s="34">
        <f t="shared" si="439"/>
        <v>-3.9216987059585424</v>
      </c>
      <c r="AL1720" s="34">
        <f t="shared" si="425"/>
        <v>-3.9216987059585424</v>
      </c>
      <c r="AM1720" s="34">
        <v>-11.220610000000001</v>
      </c>
      <c r="AN1720" s="244">
        <v>-2.64</v>
      </c>
      <c r="AO1720" s="417"/>
      <c r="AP1720" s="417"/>
      <c r="AQ1720" s="244" t="s">
        <v>6312</v>
      </c>
      <c r="AR1720" s="244" t="s">
        <v>6312</v>
      </c>
      <c r="AS1720" s="241" t="s">
        <v>6</v>
      </c>
      <c r="AT1720" s="39" t="s">
        <v>266</v>
      </c>
      <c r="AU1720" s="37">
        <v>2</v>
      </c>
      <c r="AV1720" s="37">
        <v>48</v>
      </c>
      <c r="AW1720" s="37">
        <v>48</v>
      </c>
      <c r="AX1720" s="37">
        <v>26</v>
      </c>
      <c r="AY1720" s="37" t="s">
        <v>647</v>
      </c>
      <c r="AZ1720" s="37" t="s">
        <v>1920</v>
      </c>
      <c r="BA1720" s="37">
        <v>10</v>
      </c>
      <c r="BB1720" s="36" t="s">
        <v>1613</v>
      </c>
      <c r="BC1720" s="36" t="s">
        <v>538</v>
      </c>
      <c r="BD1720" s="36"/>
      <c r="BE1720" s="37" t="s">
        <v>271</v>
      </c>
      <c r="BF1720" s="37" t="s">
        <v>272</v>
      </c>
      <c r="BG1720" s="37" t="s">
        <v>272</v>
      </c>
      <c r="BH1720" s="37" t="s">
        <v>4089</v>
      </c>
      <c r="BI1720" s="250">
        <v>2E-3</v>
      </c>
      <c r="BJ1720" s="250">
        <v>2</v>
      </c>
      <c r="BK1720" s="37"/>
      <c r="BL1720" s="263">
        <v>0.46377627111057301</v>
      </c>
      <c r="BM1720" s="37" t="s">
        <v>541</v>
      </c>
      <c r="BN1720" s="37"/>
      <c r="BO1720" s="37"/>
      <c r="BP1720" s="37"/>
      <c r="BQ1720" s="37"/>
      <c r="BR1720" s="37"/>
      <c r="BS1720" s="37"/>
      <c r="BT1720" s="37"/>
      <c r="BU1720" s="246"/>
      <c r="BV1720" s="37"/>
      <c r="BW1720" s="37"/>
      <c r="BX1720" s="37"/>
      <c r="BY1720" s="37"/>
      <c r="BZ1720" s="37"/>
      <c r="CA1720" s="37"/>
      <c r="CB1720" s="37"/>
      <c r="CC1720" s="37"/>
      <c r="CD1720" s="37"/>
      <c r="CE1720" s="37"/>
      <c r="CF1720" s="37"/>
      <c r="CG1720" s="37"/>
      <c r="CH1720" s="37"/>
      <c r="CI1720" s="243"/>
      <c r="CJ1720" s="243"/>
      <c r="CK1720" s="38">
        <f t="shared" si="433"/>
        <v>0.23188813555528651</v>
      </c>
      <c r="CL1720" s="247"/>
      <c r="CM1720" s="247">
        <v>-2.2423817793682899</v>
      </c>
      <c r="CN1720" s="247">
        <f>BJ1720/(10^CM1720)</f>
        <v>349.47150882426922</v>
      </c>
      <c r="CO1720" s="36" t="s">
        <v>4073</v>
      </c>
      <c r="CP1720" s="496" t="s">
        <v>4100</v>
      </c>
      <c r="CQ1720" s="241">
        <v>-1.5767489445189753</v>
      </c>
      <c r="CR1720" s="241">
        <f t="shared" si="430"/>
        <v>37.735398834894397</v>
      </c>
      <c r="CS1720" s="33"/>
      <c r="CT1720" s="33"/>
      <c r="CU1720" s="250"/>
      <c r="CV1720" s="337">
        <f t="shared" si="434"/>
        <v>0.56000000000000005</v>
      </c>
      <c r="CW1720" s="330">
        <f>IF(CV1720&lt;1,0,1)</f>
        <v>0</v>
      </c>
      <c r="CX1720" s="330"/>
      <c r="CY1720" s="143" t="s">
        <v>5921</v>
      </c>
    </row>
    <row r="1721" spans="1:103" ht="11.25" customHeight="1" x14ac:dyDescent="0.2">
      <c r="A1721" s="72">
        <v>1611</v>
      </c>
      <c r="B1721" s="241">
        <v>94</v>
      </c>
      <c r="C1721" s="32" t="s">
        <v>7611</v>
      </c>
      <c r="D1721" s="32"/>
      <c r="E1721" s="40"/>
      <c r="F1721" s="40" t="s">
        <v>634</v>
      </c>
      <c r="G1721" s="242">
        <v>50180</v>
      </c>
      <c r="H1721" s="36" t="s">
        <v>635</v>
      </c>
      <c r="I1721" s="36" t="s">
        <v>8204</v>
      </c>
      <c r="J1721" s="36" t="s">
        <v>636</v>
      </c>
      <c r="K1721" s="36" t="s">
        <v>637</v>
      </c>
      <c r="L1721" s="36"/>
      <c r="M1721" s="36"/>
      <c r="N1721" s="36"/>
      <c r="O1721" s="36"/>
      <c r="P1721" s="41"/>
      <c r="Q1721" s="41"/>
      <c r="R1721" s="41"/>
      <c r="S1721" s="41"/>
      <c r="T1721" s="37">
        <v>261.08999999999997</v>
      </c>
      <c r="U1721" s="243">
        <v>40000</v>
      </c>
      <c r="V1721" s="243">
        <v>5943</v>
      </c>
      <c r="W1721" s="243">
        <v>40438.053103185957</v>
      </c>
      <c r="X1721" s="243">
        <v>40000</v>
      </c>
      <c r="Y1721" s="414">
        <v>8.02</v>
      </c>
      <c r="Z1721" s="37">
        <v>0.97</v>
      </c>
      <c r="AA1721" s="37">
        <v>0.63</v>
      </c>
      <c r="AB1721" s="37">
        <v>0.71</v>
      </c>
      <c r="AC1721" s="37">
        <v>0.69450000000000001</v>
      </c>
      <c r="AD1721" s="37">
        <v>0.53</v>
      </c>
      <c r="AE1721" s="37">
        <v>0.23</v>
      </c>
      <c r="AF1721" s="37">
        <f t="shared" si="431"/>
        <v>0.63</v>
      </c>
      <c r="AG1721" s="38">
        <v>0.61</v>
      </c>
      <c r="AH1721" s="243">
        <v>1.36E-11</v>
      </c>
      <c r="AI1721" s="243"/>
      <c r="AJ1721" s="34">
        <f t="shared" si="440"/>
        <v>-9.2550274179424346</v>
      </c>
      <c r="AK1721" s="34"/>
      <c r="AL1721" s="34">
        <f t="shared" si="425"/>
        <v>-9.2550274179424346</v>
      </c>
      <c r="AM1721" s="34">
        <v>-13.003439999999999</v>
      </c>
      <c r="AN1721" s="244">
        <v>-8.18</v>
      </c>
      <c r="AO1721" s="417"/>
      <c r="AP1721" s="417">
        <v>2.84</v>
      </c>
      <c r="AQ1721" s="244" t="s">
        <v>6311</v>
      </c>
      <c r="AR1721" s="244" t="s">
        <v>6311</v>
      </c>
      <c r="AS1721" s="241" t="s">
        <v>90</v>
      </c>
      <c r="AT1721" s="39" t="s">
        <v>266</v>
      </c>
      <c r="AU1721" s="37">
        <v>0</v>
      </c>
      <c r="AV1721" s="37">
        <v>48</v>
      </c>
      <c r="AW1721" s="37">
        <v>48</v>
      </c>
      <c r="AX1721" s="37">
        <v>26</v>
      </c>
      <c r="AY1721" s="37" t="s">
        <v>8722</v>
      </c>
      <c r="AZ1721" s="37" t="s">
        <v>536</v>
      </c>
      <c r="BA1721" s="37">
        <v>20</v>
      </c>
      <c r="BB1721" s="36" t="s">
        <v>537</v>
      </c>
      <c r="BC1721" s="36" t="s">
        <v>538</v>
      </c>
      <c r="BD1721" s="36"/>
      <c r="BE1721" s="245" t="s">
        <v>271</v>
      </c>
      <c r="BF1721" s="245" t="s">
        <v>539</v>
      </c>
      <c r="BG1721" s="245" t="s">
        <v>540</v>
      </c>
      <c r="BH1721" s="245" t="s">
        <v>272</v>
      </c>
      <c r="BI1721" s="243">
        <v>935.48546999999996</v>
      </c>
      <c r="BJ1721" s="243">
        <v>14967.506429999998</v>
      </c>
      <c r="BK1721" s="37"/>
      <c r="BL1721" s="263">
        <v>1804.8172709404346</v>
      </c>
      <c r="BM1721" s="37" t="s">
        <v>541</v>
      </c>
      <c r="BN1721" s="37"/>
      <c r="BO1721" s="37">
        <v>2948.2543889999997</v>
      </c>
      <c r="BP1721" s="37"/>
      <c r="BQ1721" s="37"/>
      <c r="BR1721" s="37"/>
      <c r="BS1721" s="37"/>
      <c r="BT1721" s="37"/>
      <c r="BU1721" s="246"/>
      <c r="BV1721" s="37"/>
      <c r="BW1721" s="37"/>
      <c r="BX1721" s="37"/>
      <c r="BY1721" s="37"/>
      <c r="BZ1721" s="37"/>
      <c r="CA1721" s="37"/>
      <c r="CB1721" s="37"/>
      <c r="CC1721" s="37"/>
      <c r="CD1721" s="37"/>
      <c r="CE1721" s="37"/>
      <c r="CF1721" s="37"/>
      <c r="CG1721" s="37"/>
      <c r="CH1721" s="37"/>
      <c r="CI1721" s="243">
        <v>2948.2543889999997</v>
      </c>
      <c r="CJ1721" s="243">
        <f t="shared" ref="CJ1721:CJ1727" si="441">LOG10(CI1721)</f>
        <v>3.4695649537366982</v>
      </c>
      <c r="CK1721" s="38">
        <f t="shared" si="433"/>
        <v>0.12058236148961754</v>
      </c>
      <c r="CL1721" s="247">
        <f t="shared" ref="CL1721:CL1727" si="442">BL1721/CI1721</f>
        <v>0.61216470250133315</v>
      </c>
      <c r="CM1721" s="247"/>
      <c r="CN1721" s="247"/>
      <c r="CO1721" s="36"/>
      <c r="CP1721" s="496" t="s">
        <v>542</v>
      </c>
      <c r="CQ1721" s="241" t="s">
        <v>272</v>
      </c>
      <c r="CR1721" s="241"/>
      <c r="CS1721" s="33"/>
      <c r="CT1721" s="33"/>
      <c r="CU1721" s="250">
        <f t="shared" ref="CU1721:CU1727" si="443">X1721/CI1721</f>
        <v>13.567350276570725</v>
      </c>
      <c r="CV1721" s="337">
        <f t="shared" si="434"/>
        <v>2.6724558420650704</v>
      </c>
      <c r="CW1721" s="330">
        <f t="shared" ref="CW1721:CW1727" si="444">IF(CU1721&lt;2,0,1)</f>
        <v>1</v>
      </c>
      <c r="CX1721" s="330"/>
      <c r="CY1721" s="143" t="s">
        <v>5921</v>
      </c>
    </row>
    <row r="1722" spans="1:103" ht="11.25" customHeight="1" x14ac:dyDescent="0.2">
      <c r="A1722" s="72">
        <v>1615</v>
      </c>
      <c r="B1722" s="241">
        <v>61</v>
      </c>
      <c r="C1722" s="32" t="s">
        <v>6746</v>
      </c>
      <c r="D1722" s="32"/>
      <c r="E1722" s="40"/>
      <c r="F1722" s="40" t="s">
        <v>531</v>
      </c>
      <c r="G1722" s="242">
        <v>50782</v>
      </c>
      <c r="H1722" s="36" t="s">
        <v>532</v>
      </c>
      <c r="I1722" s="36" t="s">
        <v>532</v>
      </c>
      <c r="J1722" s="36" t="s">
        <v>533</v>
      </c>
      <c r="K1722" s="36" t="s">
        <v>357</v>
      </c>
      <c r="L1722" s="42" t="s">
        <v>279</v>
      </c>
      <c r="M1722" s="36" t="s">
        <v>8513</v>
      </c>
      <c r="N1722" s="36"/>
      <c r="O1722" s="36" t="s">
        <v>281</v>
      </c>
      <c r="P1722" s="41"/>
      <c r="Q1722" s="41"/>
      <c r="R1722" s="41"/>
      <c r="S1722" s="41"/>
      <c r="T1722" s="37">
        <v>180.16</v>
      </c>
      <c r="U1722" s="243">
        <v>4600</v>
      </c>
      <c r="V1722" s="243">
        <v>5295</v>
      </c>
      <c r="W1722" s="243">
        <v>2374.9713401832237</v>
      </c>
      <c r="X1722" s="243">
        <v>4600</v>
      </c>
      <c r="Y1722" s="414">
        <v>2.72</v>
      </c>
      <c r="Z1722" s="37">
        <v>1.1299999999999999</v>
      </c>
      <c r="AA1722" s="37">
        <v>1.19</v>
      </c>
      <c r="AB1722" s="37">
        <v>1.44</v>
      </c>
      <c r="AC1722" s="37">
        <v>0.93910000000000005</v>
      </c>
      <c r="AD1722" s="37">
        <v>1.39</v>
      </c>
      <c r="AE1722" s="37">
        <v>1.19</v>
      </c>
      <c r="AF1722" s="37">
        <f t="shared" si="431"/>
        <v>1.19</v>
      </c>
      <c r="AG1722" s="38">
        <v>1.24</v>
      </c>
      <c r="AH1722" s="243">
        <v>1.3000000000000001E-9</v>
      </c>
      <c r="AI1722" s="243">
        <v>1.3000000000000001E-9</v>
      </c>
      <c r="AJ1722" s="34">
        <f t="shared" si="440"/>
        <v>-7.2746229740058146</v>
      </c>
      <c r="AK1722" s="34">
        <f>LOG10(AI1722*1000/(0.08206*298.15))</f>
        <v>-7.2746229740058146</v>
      </c>
      <c r="AL1722" s="34">
        <f t="shared" si="425"/>
        <v>-7.2746229740058146</v>
      </c>
      <c r="AM1722" s="34">
        <v>-10.548029999999999</v>
      </c>
      <c r="AN1722" s="244">
        <v>-7.7</v>
      </c>
      <c r="AO1722" s="417">
        <v>3.48</v>
      </c>
      <c r="AP1722" s="417"/>
      <c r="AQ1722" s="244" t="s">
        <v>6311</v>
      </c>
      <c r="AR1722" s="244" t="s">
        <v>6314</v>
      </c>
      <c r="AS1722" s="241" t="s">
        <v>6</v>
      </c>
      <c r="AT1722" s="39" t="s">
        <v>266</v>
      </c>
      <c r="AU1722" s="37">
        <v>0</v>
      </c>
      <c r="AV1722" s="37">
        <v>48</v>
      </c>
      <c r="AW1722" s="37">
        <v>48</v>
      </c>
      <c r="AX1722" s="37">
        <v>26</v>
      </c>
      <c r="AY1722" s="37" t="s">
        <v>8722</v>
      </c>
      <c r="AZ1722" s="37" t="s">
        <v>536</v>
      </c>
      <c r="BA1722" s="37">
        <v>20</v>
      </c>
      <c r="BB1722" s="36" t="s">
        <v>537</v>
      </c>
      <c r="BC1722" s="36" t="s">
        <v>538</v>
      </c>
      <c r="BD1722" s="36"/>
      <c r="BE1722" s="245" t="s">
        <v>271</v>
      </c>
      <c r="BF1722" s="245" t="s">
        <v>539</v>
      </c>
      <c r="BG1722" s="245" t="s">
        <v>540</v>
      </c>
      <c r="BH1722" s="245" t="s">
        <v>272</v>
      </c>
      <c r="BI1722" s="243">
        <v>27.924799999999998</v>
      </c>
      <c r="BJ1722" s="243">
        <v>107.26726400000001</v>
      </c>
      <c r="BK1722" s="37"/>
      <c r="BL1722" s="263">
        <v>894.55155126681882</v>
      </c>
      <c r="BM1722" s="37" t="s">
        <v>541</v>
      </c>
      <c r="BN1722" s="37"/>
      <c r="BO1722" s="37">
        <v>62.245279999999994</v>
      </c>
      <c r="BP1722" s="37"/>
      <c r="BQ1722" s="37"/>
      <c r="BR1722" s="37"/>
      <c r="BS1722" s="37"/>
      <c r="BT1722" s="37"/>
      <c r="BU1722" s="246"/>
      <c r="BV1722" s="37"/>
      <c r="BW1722" s="37"/>
      <c r="BX1722" s="37"/>
      <c r="BY1722" s="37"/>
      <c r="BZ1722" s="37"/>
      <c r="CA1722" s="37"/>
      <c r="CB1722" s="37"/>
      <c r="CC1722" s="37"/>
      <c r="CD1722" s="37"/>
      <c r="CE1722" s="37"/>
      <c r="CF1722" s="37"/>
      <c r="CG1722" s="37"/>
      <c r="CH1722" s="37"/>
      <c r="CI1722" s="243">
        <v>62.245279999999994</v>
      </c>
      <c r="CJ1722" s="243">
        <f t="shared" si="441"/>
        <v>1.7941064248814693</v>
      </c>
      <c r="CK1722" s="38">
        <f t="shared" si="433"/>
        <v>8.3394646037286702</v>
      </c>
      <c r="CL1722" s="247">
        <f t="shared" si="442"/>
        <v>14.371395730998703</v>
      </c>
      <c r="CM1722" s="247"/>
      <c r="CN1722" s="247"/>
      <c r="CO1722" s="36"/>
      <c r="CP1722" s="496" t="s">
        <v>542</v>
      </c>
      <c r="CQ1722" s="241" t="s">
        <v>272</v>
      </c>
      <c r="CR1722" s="241"/>
      <c r="CS1722" s="33"/>
      <c r="CT1722" s="33"/>
      <c r="CU1722" s="250">
        <f t="shared" si="443"/>
        <v>73.901185760591005</v>
      </c>
      <c r="CV1722" s="337">
        <f t="shared" si="434"/>
        <v>42.883539940013755</v>
      </c>
      <c r="CW1722" s="330">
        <f t="shared" si="444"/>
        <v>1</v>
      </c>
      <c r="CX1722" s="330"/>
      <c r="CY1722" s="143" t="s">
        <v>6351</v>
      </c>
    </row>
    <row r="1723" spans="1:103" ht="11.25" customHeight="1" x14ac:dyDescent="0.2">
      <c r="A1723" s="72">
        <v>1619</v>
      </c>
      <c r="B1723" s="241">
        <v>74</v>
      </c>
      <c r="C1723" s="32" t="s">
        <v>275</v>
      </c>
      <c r="D1723" s="32" t="s">
        <v>8542</v>
      </c>
      <c r="E1723" s="40"/>
      <c r="F1723" s="40" t="s">
        <v>276</v>
      </c>
      <c r="G1723" s="242">
        <v>51558</v>
      </c>
      <c r="H1723" s="36" t="s">
        <v>277</v>
      </c>
      <c r="I1723" s="36" t="s">
        <v>277</v>
      </c>
      <c r="J1723" s="36" t="s">
        <v>278</v>
      </c>
      <c r="K1723" s="36" t="s">
        <v>264</v>
      </c>
      <c r="L1723" s="42" t="s">
        <v>279</v>
      </c>
      <c r="M1723" s="36" t="s">
        <v>280</v>
      </c>
      <c r="N1723" s="36"/>
      <c r="O1723" s="36" t="s">
        <v>281</v>
      </c>
      <c r="P1723" s="41"/>
      <c r="Q1723" s="41"/>
      <c r="R1723" s="41"/>
      <c r="S1723" s="41"/>
      <c r="T1723" s="40">
        <v>289.37</v>
      </c>
      <c r="U1723" s="263">
        <v>3560</v>
      </c>
      <c r="V1723" s="243">
        <v>3944</v>
      </c>
      <c r="W1723" s="243">
        <v>2639.0857658441932</v>
      </c>
      <c r="X1723" s="263">
        <v>3560</v>
      </c>
      <c r="Y1723" s="414">
        <v>10.95</v>
      </c>
      <c r="Z1723" s="37">
        <v>1.91</v>
      </c>
      <c r="AA1723" s="37">
        <v>1.83</v>
      </c>
      <c r="AB1723" s="37">
        <v>1.95</v>
      </c>
      <c r="AC1723" s="37">
        <v>0.89380000000000004</v>
      </c>
      <c r="AD1723" s="37">
        <v>1.86</v>
      </c>
      <c r="AE1723" s="37">
        <v>1.53</v>
      </c>
      <c r="AF1723" s="37">
        <f t="shared" si="431"/>
        <v>1.83</v>
      </c>
      <c r="AG1723" s="38">
        <v>1.91</v>
      </c>
      <c r="AH1723" s="243">
        <v>2.73E-13</v>
      </c>
      <c r="AI1723" s="243"/>
      <c r="AJ1723" s="34">
        <f t="shared" si="440"/>
        <v>-10.952403679271896</v>
      </c>
      <c r="AK1723" s="34"/>
      <c r="AL1723" s="34">
        <f t="shared" si="425"/>
        <v>-10.952403679271896</v>
      </c>
      <c r="AM1723" s="34">
        <v>-14.121339999999998</v>
      </c>
      <c r="AN1723" s="244">
        <v>-9.2200000000000006</v>
      </c>
      <c r="AO1723" s="417">
        <v>14.12</v>
      </c>
      <c r="AP1723" s="417">
        <v>9.98</v>
      </c>
      <c r="AQ1723" s="244" t="s">
        <v>6311</v>
      </c>
      <c r="AR1723" s="244" t="s">
        <v>6312</v>
      </c>
      <c r="AS1723" s="241" t="s">
        <v>282</v>
      </c>
      <c r="AT1723" s="39" t="s">
        <v>266</v>
      </c>
      <c r="AU1723" s="37">
        <v>0</v>
      </c>
      <c r="AV1723" s="37">
        <v>48</v>
      </c>
      <c r="AW1723" s="37">
        <v>48</v>
      </c>
      <c r="AX1723" s="37">
        <v>26</v>
      </c>
      <c r="AY1723" s="37" t="s">
        <v>8722</v>
      </c>
      <c r="AZ1723" s="37" t="s">
        <v>536</v>
      </c>
      <c r="BA1723" s="37">
        <v>20</v>
      </c>
      <c r="BB1723" s="36" t="s">
        <v>537</v>
      </c>
      <c r="BC1723" s="36" t="s">
        <v>538</v>
      </c>
      <c r="BD1723" s="36"/>
      <c r="BE1723" s="245" t="s">
        <v>271</v>
      </c>
      <c r="BF1723" s="245" t="s">
        <v>539</v>
      </c>
      <c r="BG1723" s="245" t="s">
        <v>540</v>
      </c>
      <c r="BH1723" s="245" t="s">
        <v>272</v>
      </c>
      <c r="BI1723" s="243">
        <v>1874.1048049999999</v>
      </c>
      <c r="BJ1723" s="243">
        <v>9487.6610010000004</v>
      </c>
      <c r="BK1723" s="37"/>
      <c r="BL1723" s="263">
        <v>286.34031889166783</v>
      </c>
      <c r="BM1723" s="37" t="s">
        <v>541</v>
      </c>
      <c r="BN1723" s="37"/>
      <c r="BO1723" s="37">
        <v>6523.4415320000007</v>
      </c>
      <c r="BP1723" s="37"/>
      <c r="BQ1723" s="37"/>
      <c r="BR1723" s="37"/>
      <c r="BS1723" s="37"/>
      <c r="BT1723" s="37"/>
      <c r="BU1723" s="246"/>
      <c r="BV1723" s="37"/>
      <c r="BW1723" s="37"/>
      <c r="BX1723" s="37"/>
      <c r="BY1723" s="37"/>
      <c r="BZ1723" s="37"/>
      <c r="CA1723" s="37"/>
      <c r="CB1723" s="37"/>
      <c r="CC1723" s="37"/>
      <c r="CD1723" s="37"/>
      <c r="CE1723" s="37"/>
      <c r="CF1723" s="37"/>
      <c r="CG1723" s="37"/>
      <c r="CH1723" s="37"/>
      <c r="CI1723" s="243">
        <v>6523.4415320000007</v>
      </c>
      <c r="CJ1723" s="243">
        <f t="shared" si="441"/>
        <v>3.814476774263968</v>
      </c>
      <c r="CK1723" s="38">
        <f t="shared" si="433"/>
        <v>3.0180285621660339E-2</v>
      </c>
      <c r="CL1723" s="247">
        <f t="shared" si="442"/>
        <v>4.3894057682138783E-2</v>
      </c>
      <c r="CM1723" s="247"/>
      <c r="CN1723" s="247"/>
      <c r="CO1723" s="36"/>
      <c r="CP1723" s="496" t="s">
        <v>542</v>
      </c>
      <c r="CQ1723" s="241" t="s">
        <v>272</v>
      </c>
      <c r="CR1723" s="241"/>
      <c r="CS1723" s="33"/>
      <c r="CT1723" s="33"/>
      <c r="CU1723" s="250">
        <f t="shared" si="443"/>
        <v>0.54572421359750445</v>
      </c>
      <c r="CV1723" s="337">
        <f t="shared" si="434"/>
        <v>0.37522419905441134</v>
      </c>
      <c r="CW1723" s="330">
        <f t="shared" si="444"/>
        <v>0</v>
      </c>
      <c r="CX1723" s="330"/>
      <c r="CY1723" s="143" t="s">
        <v>5921</v>
      </c>
    </row>
    <row r="1724" spans="1:103" ht="11.25" customHeight="1" x14ac:dyDescent="0.2">
      <c r="A1724" s="72">
        <v>1621</v>
      </c>
      <c r="B1724" s="241">
        <v>85</v>
      </c>
      <c r="C1724" s="32" t="s">
        <v>7615</v>
      </c>
      <c r="D1724" s="32" t="s">
        <v>6428</v>
      </c>
      <c r="E1724" s="40"/>
      <c r="F1724" s="40" t="s">
        <v>607</v>
      </c>
      <c r="G1724" s="242">
        <v>52539</v>
      </c>
      <c r="H1724" s="36" t="s">
        <v>608</v>
      </c>
      <c r="I1724" s="36" t="s">
        <v>8206</v>
      </c>
      <c r="J1724" s="36" t="s">
        <v>609</v>
      </c>
      <c r="K1724" s="36" t="s">
        <v>610</v>
      </c>
      <c r="L1724" s="42" t="s">
        <v>279</v>
      </c>
      <c r="M1724" s="36" t="s">
        <v>611</v>
      </c>
      <c r="N1724" s="36" t="s">
        <v>6383</v>
      </c>
      <c r="O1724" s="36" t="s">
        <v>281</v>
      </c>
      <c r="P1724" s="41"/>
      <c r="Q1724" s="41"/>
      <c r="R1724" s="41"/>
      <c r="S1724" s="41"/>
      <c r="T1724" s="37">
        <v>454.6</v>
      </c>
      <c r="U1724" s="243"/>
      <c r="V1724" s="243">
        <v>4.4710000000000001</v>
      </c>
      <c r="W1724" s="243">
        <v>19.392304924720388</v>
      </c>
      <c r="X1724" s="243">
        <v>19.392304924720388</v>
      </c>
      <c r="Y1724" s="414">
        <v>9.1999999999999993</v>
      </c>
      <c r="Z1724" s="37">
        <v>4.8</v>
      </c>
      <c r="AA1724" s="37">
        <v>3.79</v>
      </c>
      <c r="AB1724" s="37">
        <v>3.97</v>
      </c>
      <c r="AC1724" s="37">
        <v>0.86899999999999999</v>
      </c>
      <c r="AD1724" s="37">
        <v>3.95</v>
      </c>
      <c r="AE1724" s="37">
        <v>3.9</v>
      </c>
      <c r="AF1724" s="37">
        <f t="shared" si="431"/>
        <v>3.79</v>
      </c>
      <c r="AG1724" s="38">
        <v>5.42</v>
      </c>
      <c r="AH1724" s="243">
        <v>8.7899999999999997E-15</v>
      </c>
      <c r="AI1724" s="243"/>
      <c r="AJ1724" s="34">
        <f t="shared" si="440"/>
        <v>-12.44457745123888</v>
      </c>
      <c r="AK1724" s="34"/>
      <c r="AL1724" s="34">
        <f t="shared" si="425"/>
        <v>-12.44457745123888</v>
      </c>
      <c r="AM1724" s="34">
        <v>-20.996379999999998</v>
      </c>
      <c r="AN1724" s="244">
        <v>-13.2</v>
      </c>
      <c r="AO1724" s="417"/>
      <c r="AP1724" s="417">
        <v>8.9700000000000006</v>
      </c>
      <c r="AQ1724" s="244" t="s">
        <v>6311</v>
      </c>
      <c r="AR1724" s="244" t="s">
        <v>6311</v>
      </c>
      <c r="AS1724" s="241" t="s">
        <v>90</v>
      </c>
      <c r="AT1724" s="39" t="s">
        <v>266</v>
      </c>
      <c r="AU1724" s="37">
        <v>0</v>
      </c>
      <c r="AV1724" s="37">
        <v>48</v>
      </c>
      <c r="AW1724" s="37">
        <v>48</v>
      </c>
      <c r="AX1724" s="37">
        <v>26</v>
      </c>
      <c r="AY1724" s="37" t="s">
        <v>8722</v>
      </c>
      <c r="AZ1724" s="37" t="s">
        <v>536</v>
      </c>
      <c r="BA1724" s="37">
        <v>20</v>
      </c>
      <c r="BB1724" s="36" t="s">
        <v>537</v>
      </c>
      <c r="BC1724" s="36" t="s">
        <v>538</v>
      </c>
      <c r="BD1724" s="36"/>
      <c r="BE1724" s="245" t="s">
        <v>271</v>
      </c>
      <c r="BF1724" s="245" t="s">
        <v>539</v>
      </c>
      <c r="BG1724" s="245" t="s">
        <v>540</v>
      </c>
      <c r="BH1724" s="245" t="s">
        <v>272</v>
      </c>
      <c r="BI1724" s="243">
        <v>107.7402</v>
      </c>
      <c r="BJ1724" s="243">
        <v>545.42908</v>
      </c>
      <c r="BK1724" s="37"/>
      <c r="BL1724" s="263">
        <v>1.1416932447253265</v>
      </c>
      <c r="BM1724" s="37" t="s">
        <v>541</v>
      </c>
      <c r="BN1724" s="37"/>
      <c r="BO1724" s="37">
        <v>265.94099999999997</v>
      </c>
      <c r="BP1724" s="37"/>
      <c r="BQ1724" s="37"/>
      <c r="BR1724" s="37"/>
      <c r="BS1724" s="37"/>
      <c r="BT1724" s="37"/>
      <c r="BU1724" s="246"/>
      <c r="BV1724" s="37"/>
      <c r="BW1724" s="37"/>
      <c r="BX1724" s="37"/>
      <c r="BY1724" s="37"/>
      <c r="BZ1724" s="37"/>
      <c r="CA1724" s="37"/>
      <c r="CB1724" s="37"/>
      <c r="CC1724" s="37"/>
      <c r="CD1724" s="37"/>
      <c r="CE1724" s="37"/>
      <c r="CF1724" s="37"/>
      <c r="CG1724" s="37"/>
      <c r="CH1724" s="37"/>
      <c r="CI1724" s="243">
        <v>265.94099999999997</v>
      </c>
      <c r="CJ1724" s="243">
        <f t="shared" si="441"/>
        <v>2.4247852974711326</v>
      </c>
      <c r="CK1724" s="38">
        <f t="shared" si="433"/>
        <v>2.0932020066207809E-3</v>
      </c>
      <c r="CL1724" s="247">
        <f t="shared" si="442"/>
        <v>4.2930320812711335E-3</v>
      </c>
      <c r="CM1724" s="247">
        <v>0.43456890403419851</v>
      </c>
      <c r="CN1724" s="247">
        <f>BJ1724/(10^CM1724)</f>
        <v>200.52539705882361</v>
      </c>
      <c r="CO1724" s="36"/>
      <c r="CP1724" s="496" t="s">
        <v>542</v>
      </c>
      <c r="CQ1724" s="241">
        <v>0.43456890403419873</v>
      </c>
      <c r="CR1724" s="241">
        <f>10^(CJ1724-CQ1724)</f>
        <v>97.772426470588329</v>
      </c>
      <c r="CS1724" s="33"/>
      <c r="CT1724" s="33"/>
      <c r="CU1724" s="250">
        <f t="shared" si="443"/>
        <v>7.2919575863520061E-2</v>
      </c>
      <c r="CV1724" s="337">
        <f t="shared" si="434"/>
        <v>3.5554218936622133E-2</v>
      </c>
      <c r="CW1724" s="330">
        <f t="shared" si="444"/>
        <v>0</v>
      </c>
      <c r="CX1724" s="330"/>
      <c r="CY1724" s="143" t="s">
        <v>5921</v>
      </c>
    </row>
    <row r="1725" spans="1:103" ht="11.25" customHeight="1" x14ac:dyDescent="0.2">
      <c r="A1725" s="72">
        <v>1629</v>
      </c>
      <c r="B1725" s="241">
        <v>66</v>
      </c>
      <c r="C1725" s="32" t="s">
        <v>417</v>
      </c>
      <c r="D1725" s="32" t="s">
        <v>8353</v>
      </c>
      <c r="E1725" s="40"/>
      <c r="F1725" s="40" t="s">
        <v>557</v>
      </c>
      <c r="G1725" s="242">
        <v>56757</v>
      </c>
      <c r="H1725" s="36" t="s">
        <v>418</v>
      </c>
      <c r="I1725" s="36" t="s">
        <v>8208</v>
      </c>
      <c r="J1725" s="36" t="s">
        <v>419</v>
      </c>
      <c r="K1725" s="36" t="s">
        <v>420</v>
      </c>
      <c r="L1725" s="42" t="s">
        <v>279</v>
      </c>
      <c r="M1725" s="36" t="s">
        <v>8503</v>
      </c>
      <c r="N1725" s="36"/>
      <c r="O1725" s="36" t="s">
        <v>281</v>
      </c>
      <c r="P1725" s="41"/>
      <c r="Q1725" s="41"/>
      <c r="R1725" s="41"/>
      <c r="S1725" s="41"/>
      <c r="T1725" s="37">
        <v>323.13</v>
      </c>
      <c r="U1725" s="243">
        <v>2500</v>
      </c>
      <c r="V1725" s="243">
        <v>388.5</v>
      </c>
      <c r="W1725" s="243">
        <v>1069.9839928466963</v>
      </c>
      <c r="X1725" s="243">
        <v>2500</v>
      </c>
      <c r="Y1725" s="414">
        <v>6.58</v>
      </c>
      <c r="Z1725" s="37">
        <v>0.92</v>
      </c>
      <c r="AA1725" s="37">
        <v>1.1399999999999999</v>
      </c>
      <c r="AB1725" s="37">
        <v>1.02</v>
      </c>
      <c r="AC1725" s="37">
        <v>0.92410000000000003</v>
      </c>
      <c r="AD1725" s="37">
        <v>1.02</v>
      </c>
      <c r="AE1725" s="37">
        <v>1.02</v>
      </c>
      <c r="AF1725" s="37">
        <f t="shared" si="431"/>
        <v>1.1399999999999999</v>
      </c>
      <c r="AG1725" s="38">
        <v>0.82</v>
      </c>
      <c r="AH1725" s="243">
        <v>2.2900000000000001E-18</v>
      </c>
      <c r="AI1725" s="243"/>
      <c r="AJ1725" s="34">
        <f t="shared" si="440"/>
        <v>-16.028730843972763</v>
      </c>
      <c r="AK1725" s="34"/>
      <c r="AL1725" s="34">
        <f t="shared" si="425"/>
        <v>-16.028730843972763</v>
      </c>
      <c r="AM1725" s="34">
        <v>-21.30564</v>
      </c>
      <c r="AN1725" s="244">
        <v>-15</v>
      </c>
      <c r="AO1725" s="417">
        <v>11.03</v>
      </c>
      <c r="AP1725" s="417">
        <v>-1.73</v>
      </c>
      <c r="AQ1725" s="244" t="s">
        <v>6311</v>
      </c>
      <c r="AR1725" s="244" t="s">
        <v>6311</v>
      </c>
      <c r="AS1725" s="241" t="s">
        <v>90</v>
      </c>
      <c r="AT1725" s="39" t="s">
        <v>266</v>
      </c>
      <c r="AU1725" s="37">
        <v>0</v>
      </c>
      <c r="AV1725" s="37">
        <v>48</v>
      </c>
      <c r="AW1725" s="37">
        <v>48</v>
      </c>
      <c r="AX1725" s="37">
        <v>26</v>
      </c>
      <c r="AY1725" s="37" t="s">
        <v>8722</v>
      </c>
      <c r="AZ1725" s="37" t="s">
        <v>536</v>
      </c>
      <c r="BA1725" s="37">
        <v>20</v>
      </c>
      <c r="BB1725" s="36" t="s">
        <v>537</v>
      </c>
      <c r="BC1725" s="36" t="s">
        <v>538</v>
      </c>
      <c r="BD1725" s="36"/>
      <c r="BE1725" s="245" t="s">
        <v>271</v>
      </c>
      <c r="BF1725" s="245" t="s">
        <v>539</v>
      </c>
      <c r="BG1725" s="245" t="s">
        <v>540</v>
      </c>
      <c r="BH1725" s="245" t="s">
        <v>272</v>
      </c>
      <c r="BI1725" s="243">
        <v>1111.211757</v>
      </c>
      <c r="BJ1725" s="243">
        <v>5625.5317350000005</v>
      </c>
      <c r="BK1725" s="37"/>
      <c r="BL1725" s="263">
        <v>2476.9958593985561</v>
      </c>
      <c r="BM1725" s="37" t="s">
        <v>541</v>
      </c>
      <c r="BN1725" s="37"/>
      <c r="BO1725" s="37">
        <v>3260.317074</v>
      </c>
      <c r="BP1725" s="37"/>
      <c r="BQ1725" s="37"/>
      <c r="BR1725" s="37"/>
      <c r="BS1725" s="37"/>
      <c r="BT1725" s="37"/>
      <c r="BU1725" s="246"/>
      <c r="BV1725" s="37"/>
      <c r="BW1725" s="37"/>
      <c r="BX1725" s="37"/>
      <c r="BY1725" s="37"/>
      <c r="BZ1725" s="37"/>
      <c r="CA1725" s="37"/>
      <c r="CB1725" s="37"/>
      <c r="CC1725" s="37"/>
      <c r="CD1725" s="37"/>
      <c r="CE1725" s="37"/>
      <c r="CF1725" s="37"/>
      <c r="CG1725" s="37"/>
      <c r="CH1725" s="37"/>
      <c r="CI1725" s="243">
        <v>3260.317074</v>
      </c>
      <c r="CJ1725" s="243">
        <f t="shared" si="441"/>
        <v>3.5132598383477958</v>
      </c>
      <c r="CK1725" s="38">
        <f t="shared" si="433"/>
        <v>0.44031319634863919</v>
      </c>
      <c r="CL1725" s="247">
        <f t="shared" si="442"/>
        <v>0.75974078691665192</v>
      </c>
      <c r="CM1725" s="247"/>
      <c r="CN1725" s="247"/>
      <c r="CO1725" s="36"/>
      <c r="CP1725" s="496" t="s">
        <v>542</v>
      </c>
      <c r="CQ1725" s="241" t="s">
        <v>272</v>
      </c>
      <c r="CR1725" s="241"/>
      <c r="CS1725" s="33"/>
      <c r="CT1725" s="33"/>
      <c r="CU1725" s="250">
        <f t="shared" si="443"/>
        <v>0.7667965855028982</v>
      </c>
      <c r="CV1725" s="337">
        <f t="shared" si="434"/>
        <v>0.44440243478601582</v>
      </c>
      <c r="CW1725" s="330">
        <f t="shared" si="444"/>
        <v>0</v>
      </c>
      <c r="CX1725" s="330"/>
      <c r="CY1725" s="143" t="s">
        <v>5921</v>
      </c>
    </row>
    <row r="1726" spans="1:103" ht="11.25" customHeight="1" x14ac:dyDescent="0.2">
      <c r="A1726" s="72">
        <v>1632</v>
      </c>
      <c r="B1726" s="241">
        <v>83</v>
      </c>
      <c r="C1726" s="32" t="s">
        <v>7620</v>
      </c>
      <c r="D1726" s="32"/>
      <c r="E1726" s="40"/>
      <c r="F1726" s="40" t="s">
        <v>598</v>
      </c>
      <c r="G1726" s="242">
        <v>57636</v>
      </c>
      <c r="H1726" s="36" t="s">
        <v>599</v>
      </c>
      <c r="I1726" s="36" t="s">
        <v>7940</v>
      </c>
      <c r="J1726" s="36" t="s">
        <v>600</v>
      </c>
      <c r="K1726" s="36" t="s">
        <v>601</v>
      </c>
      <c r="L1726" s="42" t="s">
        <v>279</v>
      </c>
      <c r="M1726" s="36" t="s">
        <v>6108</v>
      </c>
      <c r="N1726" s="36" t="s">
        <v>6386</v>
      </c>
      <c r="O1726" s="36" t="s">
        <v>281</v>
      </c>
      <c r="P1726" s="41"/>
      <c r="Q1726" s="41"/>
      <c r="R1726" s="41"/>
      <c r="S1726" s="41"/>
      <c r="T1726" s="37">
        <v>296.39999999999998</v>
      </c>
      <c r="U1726" s="243">
        <v>11.3</v>
      </c>
      <c r="V1726" s="243">
        <v>116.4</v>
      </c>
      <c r="W1726" s="243">
        <v>1.9582953798945142</v>
      </c>
      <c r="X1726" s="243">
        <v>11.3</v>
      </c>
      <c r="Y1726" s="414">
        <v>6.99</v>
      </c>
      <c r="Z1726" s="37">
        <v>4.12</v>
      </c>
      <c r="AA1726" s="37">
        <v>3.67</v>
      </c>
      <c r="AB1726" s="37">
        <v>3.64</v>
      </c>
      <c r="AC1726" s="37">
        <v>0.84489999999999998</v>
      </c>
      <c r="AD1726" s="37">
        <v>3.87</v>
      </c>
      <c r="AE1726" s="37">
        <v>4.5199999999999996</v>
      </c>
      <c r="AF1726" s="37">
        <f t="shared" si="431"/>
        <v>3.67</v>
      </c>
      <c r="AG1726" s="38">
        <v>3.86</v>
      </c>
      <c r="AH1726" s="243">
        <v>7.9400000000000005E-12</v>
      </c>
      <c r="AI1726" s="243"/>
      <c r="AJ1726" s="34">
        <f t="shared" si="440"/>
        <v>-9.4887458238855551</v>
      </c>
      <c r="AK1726" s="34"/>
      <c r="AL1726" s="34">
        <f t="shared" si="425"/>
        <v>-9.4887458238855551</v>
      </c>
      <c r="AM1726" s="34">
        <v>-18.03331</v>
      </c>
      <c r="AN1726" s="244">
        <v>-9.83</v>
      </c>
      <c r="AO1726" s="417">
        <v>10.24</v>
      </c>
      <c r="AP1726" s="417"/>
      <c r="AQ1726" s="244" t="s">
        <v>6311</v>
      </c>
      <c r="AR1726" s="244" t="s">
        <v>6311</v>
      </c>
      <c r="AS1726" s="241" t="s">
        <v>90</v>
      </c>
      <c r="AT1726" s="39" t="s">
        <v>266</v>
      </c>
      <c r="AU1726" s="37">
        <v>0</v>
      </c>
      <c r="AV1726" s="37">
        <v>48</v>
      </c>
      <c r="AW1726" s="37">
        <v>48</v>
      </c>
      <c r="AX1726" s="37">
        <v>26</v>
      </c>
      <c r="AY1726" s="37" t="s">
        <v>8722</v>
      </c>
      <c r="AZ1726" s="37" t="s">
        <v>536</v>
      </c>
      <c r="BA1726" s="37">
        <v>20</v>
      </c>
      <c r="BB1726" s="36" t="s">
        <v>537</v>
      </c>
      <c r="BC1726" s="36" t="s">
        <v>538</v>
      </c>
      <c r="BD1726" s="36"/>
      <c r="BE1726" s="245" t="s">
        <v>271</v>
      </c>
      <c r="BF1726" s="245" t="s">
        <v>539</v>
      </c>
      <c r="BG1726" s="245" t="s">
        <v>540</v>
      </c>
      <c r="BH1726" s="245" t="s">
        <v>272</v>
      </c>
      <c r="BI1726" s="243">
        <v>0.56315999999999999</v>
      </c>
      <c r="BJ1726" s="243">
        <v>9.0105599999999999</v>
      </c>
      <c r="BK1726" s="37"/>
      <c r="BL1726" s="263">
        <v>3.0374294492184628</v>
      </c>
      <c r="BM1726" s="37" t="s">
        <v>541</v>
      </c>
      <c r="BN1726" s="37"/>
      <c r="BO1726" s="37">
        <v>1.60056</v>
      </c>
      <c r="BP1726" s="37"/>
      <c r="BQ1726" s="37"/>
      <c r="BR1726" s="37"/>
      <c r="BS1726" s="37"/>
      <c r="BT1726" s="37"/>
      <c r="BU1726" s="246"/>
      <c r="BV1726" s="37"/>
      <c r="BW1726" s="37"/>
      <c r="BX1726" s="37"/>
      <c r="BY1726" s="37"/>
      <c r="BZ1726" s="37"/>
      <c r="CA1726" s="37"/>
      <c r="CB1726" s="37"/>
      <c r="CC1726" s="37"/>
      <c r="CD1726" s="37"/>
      <c r="CE1726" s="37"/>
      <c r="CF1726" s="37"/>
      <c r="CG1726" s="37"/>
      <c r="CH1726" s="37"/>
      <c r="CI1726" s="243">
        <v>1.60056</v>
      </c>
      <c r="CJ1726" s="243">
        <f t="shared" si="441"/>
        <v>0.20427195913025906</v>
      </c>
      <c r="CK1726" s="38">
        <f t="shared" si="433"/>
        <v>0.33709663430668713</v>
      </c>
      <c r="CL1726" s="247">
        <f t="shared" si="442"/>
        <v>1.8977292005413497</v>
      </c>
      <c r="CM1726" s="247"/>
      <c r="CN1726" s="247"/>
      <c r="CO1726" s="36"/>
      <c r="CP1726" s="496" t="s">
        <v>542</v>
      </c>
      <c r="CQ1726" s="241">
        <v>0.23044892137827391</v>
      </c>
      <c r="CR1726" s="241">
        <f>10^(CJ1726-CQ1726)</f>
        <v>0.94150588235294119</v>
      </c>
      <c r="CS1726" s="33"/>
      <c r="CT1726" s="33"/>
      <c r="CU1726" s="250">
        <f t="shared" si="443"/>
        <v>7.060028989853552</v>
      </c>
      <c r="CV1726" s="337">
        <f t="shared" si="434"/>
        <v>1.2540840968818809</v>
      </c>
      <c r="CW1726" s="330">
        <f t="shared" si="444"/>
        <v>1</v>
      </c>
      <c r="CX1726" s="330"/>
      <c r="CY1726" s="143" t="s">
        <v>5921</v>
      </c>
    </row>
    <row r="1727" spans="1:103" ht="11.25" customHeight="1" x14ac:dyDescent="0.2">
      <c r="A1727" s="72">
        <v>1633</v>
      </c>
      <c r="B1727" s="241">
        <v>92</v>
      </c>
      <c r="C1727" s="32" t="s">
        <v>629</v>
      </c>
      <c r="D1727" s="32"/>
      <c r="E1727" s="40"/>
      <c r="F1727" s="40" t="s">
        <v>630</v>
      </c>
      <c r="G1727" s="242">
        <v>58082</v>
      </c>
      <c r="H1727" s="36" t="s">
        <v>631</v>
      </c>
      <c r="I1727" s="36" t="s">
        <v>631</v>
      </c>
      <c r="J1727" s="36" t="s">
        <v>632</v>
      </c>
      <c r="K1727" s="36" t="s">
        <v>333</v>
      </c>
      <c r="L1727" s="42" t="s">
        <v>279</v>
      </c>
      <c r="M1727" s="36" t="s">
        <v>633</v>
      </c>
      <c r="N1727" s="36" t="s">
        <v>6376</v>
      </c>
      <c r="O1727" s="36" t="s">
        <v>281</v>
      </c>
      <c r="P1727" s="41"/>
      <c r="Q1727" s="41" t="s">
        <v>6173</v>
      </c>
      <c r="R1727" s="41" t="s">
        <v>6185</v>
      </c>
      <c r="S1727" s="41" t="s">
        <v>6176</v>
      </c>
      <c r="T1727" s="37">
        <v>194.19</v>
      </c>
      <c r="U1727" s="243">
        <v>21600</v>
      </c>
      <c r="V1727" s="243">
        <v>2632</v>
      </c>
      <c r="W1727" s="243">
        <v>53484.367190123849</v>
      </c>
      <c r="X1727" s="243">
        <v>21600</v>
      </c>
      <c r="Y1727" s="414">
        <v>7.14</v>
      </c>
      <c r="Z1727" s="37">
        <v>0.16</v>
      </c>
      <c r="AA1727" s="37">
        <v>-7.0000000000000007E-2</v>
      </c>
      <c r="AB1727" s="37">
        <v>0.42</v>
      </c>
      <c r="AC1727" s="37">
        <v>0.85360000000000003</v>
      </c>
      <c r="AD1727" s="37">
        <v>0.28000000000000003</v>
      </c>
      <c r="AE1727" s="37">
        <v>-0.13</v>
      </c>
      <c r="AF1727" s="37">
        <f t="shared" si="431"/>
        <v>-7.0000000000000007E-2</v>
      </c>
      <c r="AG1727" s="38">
        <v>-0.09</v>
      </c>
      <c r="AH1727" s="243">
        <v>3.5800000000000002E-11</v>
      </c>
      <c r="AI1727" s="243"/>
      <c r="AJ1727" s="34">
        <f t="shared" si="440"/>
        <v>-8.834683299668777</v>
      </c>
      <c r="AK1727" s="34"/>
      <c r="AL1727" s="34">
        <f t="shared" ref="AL1727:AL1758" si="445">IF(AK1727=0,AJ1727,AK1727)</f>
        <v>-8.834683299668777</v>
      </c>
      <c r="AM1727" s="34">
        <v>-12.930309999999999</v>
      </c>
      <c r="AN1727" s="244">
        <v>-6.54</v>
      </c>
      <c r="AO1727" s="417"/>
      <c r="AP1727" s="417">
        <v>0.52</v>
      </c>
      <c r="AQ1727" s="244" t="s">
        <v>6311</v>
      </c>
      <c r="AR1727" s="244" t="s">
        <v>6311</v>
      </c>
      <c r="AS1727" s="241" t="s">
        <v>6</v>
      </c>
      <c r="AT1727" s="39" t="s">
        <v>266</v>
      </c>
      <c r="AU1727" s="37">
        <v>0</v>
      </c>
      <c r="AV1727" s="37">
        <v>48</v>
      </c>
      <c r="AW1727" s="37">
        <v>48</v>
      </c>
      <c r="AX1727" s="37">
        <v>26</v>
      </c>
      <c r="AY1727" s="37" t="s">
        <v>8722</v>
      </c>
      <c r="AZ1727" s="37" t="s">
        <v>536</v>
      </c>
      <c r="BA1727" s="37">
        <v>20</v>
      </c>
      <c r="BB1727" s="36" t="s">
        <v>537</v>
      </c>
      <c r="BC1727" s="36" t="s">
        <v>538</v>
      </c>
      <c r="BD1727" s="36"/>
      <c r="BE1727" s="245" t="s">
        <v>271</v>
      </c>
      <c r="BF1727" s="245" t="s">
        <v>539</v>
      </c>
      <c r="BG1727" s="245" t="s">
        <v>540</v>
      </c>
      <c r="BH1727" s="245" t="s">
        <v>272</v>
      </c>
      <c r="BI1727" s="243">
        <v>499.98099300000001</v>
      </c>
      <c r="BJ1727" s="243">
        <v>2531.1112979999998</v>
      </c>
      <c r="BK1727" s="37"/>
      <c r="BL1727" s="263">
        <v>7166.8920285460554</v>
      </c>
      <c r="BM1727" s="37" t="s">
        <v>541</v>
      </c>
      <c r="BN1727" s="37"/>
      <c r="BO1727" s="37">
        <v>847.19271300000003</v>
      </c>
      <c r="BP1727" s="37"/>
      <c r="BQ1727" s="37"/>
      <c r="BR1727" s="37"/>
      <c r="BS1727" s="37"/>
      <c r="BT1727" s="37"/>
      <c r="BU1727" s="246"/>
      <c r="BV1727" s="37"/>
      <c r="BW1727" s="37"/>
      <c r="BX1727" s="37"/>
      <c r="BY1727" s="37"/>
      <c r="BZ1727" s="37"/>
      <c r="CA1727" s="37"/>
      <c r="CB1727" s="37"/>
      <c r="CC1727" s="37"/>
      <c r="CD1727" s="37"/>
      <c r="CE1727" s="37"/>
      <c r="CF1727" s="37"/>
      <c r="CG1727" s="37"/>
      <c r="CH1727" s="37"/>
      <c r="CI1727" s="243">
        <v>847.19271300000003</v>
      </c>
      <c r="CJ1727" s="243">
        <f t="shared" si="441"/>
        <v>2.9279822115971861</v>
      </c>
      <c r="CK1727" s="38">
        <f t="shared" si="433"/>
        <v>2.8315199075635653</v>
      </c>
      <c r="CL1727" s="247">
        <f t="shared" si="442"/>
        <v>8.4595770461331323</v>
      </c>
      <c r="CM1727" s="247"/>
      <c r="CN1727" s="247"/>
      <c r="CO1727" s="36"/>
      <c r="CP1727" s="496" t="s">
        <v>542</v>
      </c>
      <c r="CQ1727" s="241">
        <v>2.1789769472931693</v>
      </c>
      <c r="CR1727" s="241">
        <f>10^(CJ1727-CQ1727)</f>
        <v>5.6105477682119247</v>
      </c>
      <c r="CS1727" s="33"/>
      <c r="CT1727" s="33"/>
      <c r="CU1727" s="250">
        <f t="shared" si="443"/>
        <v>25.495970006059295</v>
      </c>
      <c r="CV1727" s="337">
        <f t="shared" si="434"/>
        <v>8.5338009502259364</v>
      </c>
      <c r="CW1727" s="330">
        <f t="shared" si="444"/>
        <v>1</v>
      </c>
      <c r="CX1727" s="330"/>
      <c r="CY1727" s="143" t="s">
        <v>6351</v>
      </c>
    </row>
    <row r="1728" spans="1:103" ht="11.25" customHeight="1" x14ac:dyDescent="0.2">
      <c r="A1728" s="72">
        <v>1636</v>
      </c>
      <c r="B1728" s="241">
        <v>211</v>
      </c>
      <c r="C1728" s="32" t="s">
        <v>2238</v>
      </c>
      <c r="D1728" s="32" t="s">
        <v>8354</v>
      </c>
      <c r="E1728" s="40"/>
      <c r="F1728" s="40" t="s">
        <v>2239</v>
      </c>
      <c r="G1728" s="242">
        <v>58559</v>
      </c>
      <c r="H1728" s="36" t="s">
        <v>2240</v>
      </c>
      <c r="I1728" s="36" t="s">
        <v>2240</v>
      </c>
      <c r="J1728" s="36" t="s">
        <v>2241</v>
      </c>
      <c r="K1728" s="36" t="s">
        <v>333</v>
      </c>
      <c r="L1728" s="42" t="s">
        <v>279</v>
      </c>
      <c r="M1728" s="36" t="s">
        <v>2242</v>
      </c>
      <c r="N1728" s="36"/>
      <c r="O1728" s="36" t="s">
        <v>281</v>
      </c>
      <c r="P1728" s="41"/>
      <c r="Q1728" s="41"/>
      <c r="R1728" s="41"/>
      <c r="S1728" s="41"/>
      <c r="T1728" s="37">
        <v>180.16</v>
      </c>
      <c r="U1728" s="243">
        <v>7360.0000000000009</v>
      </c>
      <c r="V1728" s="243">
        <v>2912.0000000000005</v>
      </c>
      <c r="W1728" s="243">
        <v>9454.9312038599001</v>
      </c>
      <c r="X1728" s="243">
        <v>7360.0000000000009</v>
      </c>
      <c r="Y1728" s="414">
        <v>5.28</v>
      </c>
      <c r="Z1728" s="37">
        <v>-0.39</v>
      </c>
      <c r="AA1728" s="37">
        <v>-0.04</v>
      </c>
      <c r="AB1728" s="37">
        <v>0.1</v>
      </c>
      <c r="AC1728" s="37">
        <v>0.69630000000000003</v>
      </c>
      <c r="AD1728" s="37">
        <v>0</v>
      </c>
      <c r="AE1728" s="37">
        <v>-0.17</v>
      </c>
      <c r="AF1728" s="37">
        <f t="shared" si="431"/>
        <v>-0.04</v>
      </c>
      <c r="AG1728" s="38">
        <v>-0.21</v>
      </c>
      <c r="AH1728" s="243">
        <v>1.6799999999999999E-12</v>
      </c>
      <c r="AI1728" s="243"/>
      <c r="AJ1728" s="34">
        <f t="shared" si="440"/>
        <v>-10.163257044586789</v>
      </c>
      <c r="AK1728" s="34"/>
      <c r="AL1728" s="34">
        <f t="shared" si="445"/>
        <v>-10.163257044586789</v>
      </c>
      <c r="AM1728" s="34">
        <v>-15.289169999999999</v>
      </c>
      <c r="AN1728" s="244">
        <v>-9.16</v>
      </c>
      <c r="AO1728" s="417">
        <v>8.6</v>
      </c>
      <c r="AP1728" s="417">
        <v>1.64</v>
      </c>
      <c r="AQ1728" s="244" t="s">
        <v>6311</v>
      </c>
      <c r="AR1728" s="244" t="s">
        <v>6311</v>
      </c>
      <c r="AS1728" s="241" t="s">
        <v>6</v>
      </c>
      <c r="AT1728" s="39" t="s">
        <v>266</v>
      </c>
      <c r="AU1728" s="37">
        <v>0</v>
      </c>
      <c r="AV1728" s="37">
        <v>48</v>
      </c>
      <c r="AW1728" s="37">
        <v>48</v>
      </c>
      <c r="AX1728" s="37">
        <v>26</v>
      </c>
      <c r="AY1728" s="37" t="s">
        <v>8722</v>
      </c>
      <c r="AZ1728" s="37" t="s">
        <v>536</v>
      </c>
      <c r="BA1728" s="37">
        <v>20</v>
      </c>
      <c r="BB1728" s="36" t="s">
        <v>537</v>
      </c>
      <c r="BC1728" s="36" t="s">
        <v>538</v>
      </c>
      <c r="BD1728" s="36"/>
      <c r="BE1728" s="245" t="s">
        <v>271</v>
      </c>
      <c r="BF1728" s="245" t="s">
        <v>539</v>
      </c>
      <c r="BG1728" s="245" t="s">
        <v>540</v>
      </c>
      <c r="BH1728" s="245" t="s">
        <v>272</v>
      </c>
      <c r="BI1728" s="243">
        <v>257.62879999999996</v>
      </c>
      <c r="BJ1728" s="243">
        <v>7206.4</v>
      </c>
      <c r="BK1728" s="37"/>
      <c r="BL1728" s="263">
        <v>20735.636604380754</v>
      </c>
      <c r="BM1728" s="37" t="s">
        <v>541</v>
      </c>
      <c r="BN1728" s="37"/>
      <c r="BO1728" s="37"/>
      <c r="BP1728" s="37"/>
      <c r="BQ1728" s="37"/>
      <c r="BR1728" s="37"/>
      <c r="BS1728" s="37"/>
      <c r="BT1728" s="37"/>
      <c r="BU1728" s="246"/>
      <c r="BV1728" s="37"/>
      <c r="BW1728" s="37"/>
      <c r="BX1728" s="37"/>
      <c r="BY1728" s="37"/>
      <c r="BZ1728" s="37"/>
      <c r="CA1728" s="37"/>
      <c r="CB1728" s="37"/>
      <c r="CC1728" s="37"/>
      <c r="CD1728" s="37"/>
      <c r="CE1728" s="37"/>
      <c r="CF1728" s="37"/>
      <c r="CG1728" s="37"/>
      <c r="CH1728" s="37"/>
      <c r="CI1728" s="243"/>
      <c r="CJ1728" s="243"/>
      <c r="CK1728" s="38">
        <f t="shared" si="433"/>
        <v>2.8773918467446653</v>
      </c>
      <c r="CL1728" s="247"/>
      <c r="CM1728" s="247"/>
      <c r="CN1728" s="247"/>
      <c r="CO1728" s="36" t="s">
        <v>3683</v>
      </c>
      <c r="CP1728" s="496" t="s">
        <v>542</v>
      </c>
      <c r="CQ1728" s="241" t="s">
        <v>272</v>
      </c>
      <c r="CR1728" s="241"/>
      <c r="CS1728" s="33"/>
      <c r="CT1728" s="33"/>
      <c r="CU1728" s="250"/>
      <c r="CV1728" s="337">
        <f t="shared" si="434"/>
        <v>1.0213143872113679</v>
      </c>
      <c r="CW1728" s="330">
        <f>IF(CV1728&lt;1,0,1)</f>
        <v>1</v>
      </c>
      <c r="CX1728" s="330"/>
      <c r="CY1728" s="143" t="s">
        <v>6351</v>
      </c>
    </row>
    <row r="1729" spans="1:103" ht="11.25" customHeight="1" x14ac:dyDescent="0.2">
      <c r="A1729" s="72">
        <v>1645</v>
      </c>
      <c r="B1729" s="241">
        <v>89</v>
      </c>
      <c r="C1729" s="32" t="s">
        <v>612</v>
      </c>
      <c r="D1729" s="32"/>
      <c r="E1729" s="40"/>
      <c r="F1729" s="40" t="s">
        <v>613</v>
      </c>
      <c r="G1729" s="242">
        <v>63252</v>
      </c>
      <c r="H1729" s="36" t="s">
        <v>614</v>
      </c>
      <c r="I1729" s="36" t="s">
        <v>614</v>
      </c>
      <c r="J1729" s="36" t="s">
        <v>615</v>
      </c>
      <c r="K1729" s="36" t="s">
        <v>616</v>
      </c>
      <c r="L1729" s="36" t="s">
        <v>617</v>
      </c>
      <c r="M1729" s="36" t="s">
        <v>618</v>
      </c>
      <c r="N1729" s="36" t="s">
        <v>6376</v>
      </c>
      <c r="O1729" s="36" t="s">
        <v>619</v>
      </c>
      <c r="P1729" s="41"/>
      <c r="Q1729" s="41" t="s">
        <v>6173</v>
      </c>
      <c r="R1729" s="41" t="s">
        <v>6185</v>
      </c>
      <c r="S1729" s="41" t="s">
        <v>6176</v>
      </c>
      <c r="T1729" s="37">
        <v>201.22</v>
      </c>
      <c r="U1729" s="243">
        <v>110</v>
      </c>
      <c r="V1729" s="243">
        <v>416.2</v>
      </c>
      <c r="W1729" s="243">
        <v>96.309947177161263</v>
      </c>
      <c r="X1729" s="243">
        <v>110</v>
      </c>
      <c r="Y1729" s="414">
        <v>6.99</v>
      </c>
      <c r="Z1729" s="37">
        <v>2.35</v>
      </c>
      <c r="AA1729" s="37">
        <v>2.36</v>
      </c>
      <c r="AB1729" s="37">
        <v>2.4500000000000002</v>
      </c>
      <c r="AC1729" s="37">
        <v>0.83340000000000003</v>
      </c>
      <c r="AD1729" s="37">
        <v>2.44</v>
      </c>
      <c r="AE1729" s="37">
        <v>2.4</v>
      </c>
      <c r="AF1729" s="37">
        <f t="shared" si="431"/>
        <v>2.36</v>
      </c>
      <c r="AG1729" s="38">
        <v>2.38</v>
      </c>
      <c r="AH1729" s="243">
        <v>3.1399999999999999E-9</v>
      </c>
      <c r="AI1729" s="243">
        <v>3.2700000000000001E-9</v>
      </c>
      <c r="AJ1729" s="34">
        <f t="shared" si="440"/>
        <v>-6.8916366782394372</v>
      </c>
      <c r="AK1729" s="34">
        <f>LOG10(AI1729*1000/(0.08206*298.15))</f>
        <v>-6.874018573652366</v>
      </c>
      <c r="AL1729" s="34">
        <f t="shared" si="445"/>
        <v>-6.874018573652366</v>
      </c>
      <c r="AM1729" s="34">
        <v>-10.500939999999998</v>
      </c>
      <c r="AN1729" s="244">
        <v>-6.44</v>
      </c>
      <c r="AO1729" s="417">
        <v>12.02</v>
      </c>
      <c r="AP1729" s="417">
        <v>-1.55</v>
      </c>
      <c r="AQ1729" s="244" t="s">
        <v>6311</v>
      </c>
      <c r="AR1729" s="244" t="s">
        <v>6314</v>
      </c>
      <c r="AS1729" s="241" t="s">
        <v>6</v>
      </c>
      <c r="AT1729" s="39" t="s">
        <v>266</v>
      </c>
      <c r="AU1729" s="37">
        <v>0</v>
      </c>
      <c r="AV1729" s="37">
        <v>48</v>
      </c>
      <c r="AW1729" s="37">
        <v>48</v>
      </c>
      <c r="AX1729" s="37">
        <v>26</v>
      </c>
      <c r="AY1729" s="37" t="s">
        <v>8722</v>
      </c>
      <c r="AZ1729" s="37" t="s">
        <v>536</v>
      </c>
      <c r="BA1729" s="37">
        <v>20</v>
      </c>
      <c r="BB1729" s="36" t="s">
        <v>537</v>
      </c>
      <c r="BC1729" s="36" t="s">
        <v>538</v>
      </c>
      <c r="BD1729" s="36"/>
      <c r="BE1729" s="245" t="s">
        <v>271</v>
      </c>
      <c r="BF1729" s="245" t="s">
        <v>539</v>
      </c>
      <c r="BG1729" s="245" t="s">
        <v>540</v>
      </c>
      <c r="BH1729" s="245" t="s">
        <v>272</v>
      </c>
      <c r="BI1729" s="243">
        <v>2.193298</v>
      </c>
      <c r="BJ1729" s="243">
        <v>10.906124</v>
      </c>
      <c r="BK1729" s="37"/>
      <c r="BL1729" s="263">
        <v>80.156019944741601</v>
      </c>
      <c r="BM1729" s="37" t="s">
        <v>541</v>
      </c>
      <c r="BN1729" s="37"/>
      <c r="BO1729" s="37">
        <v>7.9280679999999997</v>
      </c>
      <c r="BP1729" s="37"/>
      <c r="BQ1729" s="37"/>
      <c r="BR1729" s="37"/>
      <c r="BS1729" s="37"/>
      <c r="BT1729" s="37"/>
      <c r="BU1729" s="246"/>
      <c r="BV1729" s="37"/>
      <c r="BW1729" s="37"/>
      <c r="BX1729" s="37"/>
      <c r="BY1729" s="37"/>
      <c r="BZ1729" s="37"/>
      <c r="CA1729" s="37"/>
      <c r="CB1729" s="37"/>
      <c r="CC1729" s="37"/>
      <c r="CD1729" s="37"/>
      <c r="CE1729" s="37"/>
      <c r="CF1729" s="37"/>
      <c r="CG1729" s="37"/>
      <c r="CH1729" s="37"/>
      <c r="CI1729" s="243">
        <v>7.9280679999999997</v>
      </c>
      <c r="CJ1729" s="243">
        <f>LOG10(CI1729)</f>
        <v>0.89916736648959517</v>
      </c>
      <c r="CK1729" s="38">
        <f t="shared" si="433"/>
        <v>7.3496340170661547</v>
      </c>
      <c r="CL1729" s="247">
        <f>BL1729/CI1729</f>
        <v>10.110410246827046</v>
      </c>
      <c r="CM1729" s="247">
        <v>0.27580627284202597</v>
      </c>
      <c r="CN1729" s="247">
        <f>BJ1729/(10^CM1729)</f>
        <v>5.7791525479152357</v>
      </c>
      <c r="CO1729" s="36"/>
      <c r="CP1729" s="496" t="s">
        <v>542</v>
      </c>
      <c r="CQ1729" s="241">
        <v>0.61609346580285851</v>
      </c>
      <c r="CR1729" s="241">
        <f>10^(CJ1729-CQ1729)</f>
        <v>1.9189952541488335</v>
      </c>
      <c r="CS1729" s="33"/>
      <c r="CT1729" s="33"/>
      <c r="CU1729" s="250">
        <f>X1729/CI1729</f>
        <v>13.874754858308481</v>
      </c>
      <c r="CV1729" s="337">
        <f t="shared" si="434"/>
        <v>10.086076409914282</v>
      </c>
      <c r="CW1729" s="330">
        <f>IF(CU1729&lt;2,0,1)</f>
        <v>1</v>
      </c>
      <c r="CX1729" s="330"/>
      <c r="CY1729" s="143" t="s">
        <v>5921</v>
      </c>
    </row>
    <row r="1730" spans="1:103" ht="11.25" customHeight="1" x14ac:dyDescent="0.2">
      <c r="A1730" s="72">
        <v>1676</v>
      </c>
      <c r="B1730" s="241">
        <v>69</v>
      </c>
      <c r="C1730" s="32" t="s">
        <v>7020</v>
      </c>
      <c r="D1730" s="32"/>
      <c r="E1730" s="40"/>
      <c r="F1730" s="40" t="s">
        <v>558</v>
      </c>
      <c r="G1730" s="242">
        <v>79572</v>
      </c>
      <c r="H1730" s="36" t="s">
        <v>559</v>
      </c>
      <c r="I1730" s="36" t="s">
        <v>8001</v>
      </c>
      <c r="J1730" s="36" t="s">
        <v>560</v>
      </c>
      <c r="K1730" s="36" t="s">
        <v>561</v>
      </c>
      <c r="L1730" s="42" t="s">
        <v>279</v>
      </c>
      <c r="M1730" s="36" t="s">
        <v>8521</v>
      </c>
      <c r="N1730" s="36"/>
      <c r="O1730" s="36" t="s">
        <v>281</v>
      </c>
      <c r="P1730" s="41"/>
      <c r="Q1730" s="41"/>
      <c r="R1730" s="41"/>
      <c r="S1730" s="41"/>
      <c r="T1730" s="37">
        <v>460.43</v>
      </c>
      <c r="U1730" s="243">
        <v>313</v>
      </c>
      <c r="V1730" s="243">
        <v>1399</v>
      </c>
      <c r="W1730" s="243">
        <v>3335.5204909732734</v>
      </c>
      <c r="X1730" s="243">
        <v>313</v>
      </c>
      <c r="Y1730" s="414">
        <v>5.66</v>
      </c>
      <c r="Z1730" s="37">
        <v>-2.87</v>
      </c>
      <c r="AA1730" s="37">
        <v>-0.9</v>
      </c>
      <c r="AB1730" s="37">
        <v>-1.27</v>
      </c>
      <c r="AC1730" s="37">
        <v>0.77769999999999995</v>
      </c>
      <c r="AD1730" s="37">
        <v>-1.32</v>
      </c>
      <c r="AE1730" s="37">
        <v>-1.5</v>
      </c>
      <c r="AF1730" s="37">
        <f t="shared" si="431"/>
        <v>-0.9</v>
      </c>
      <c r="AG1730" s="38">
        <v>-2.12</v>
      </c>
      <c r="AH1730" s="243">
        <v>1.7E-25</v>
      </c>
      <c r="AI1730" s="243"/>
      <c r="AJ1730" s="34">
        <f t="shared" si="440"/>
        <v>-23.158117404934377</v>
      </c>
      <c r="AK1730" s="34"/>
      <c r="AL1730" s="34">
        <f t="shared" si="445"/>
        <v>-23.158117404934377</v>
      </c>
      <c r="AM1730" s="34">
        <v>-41.229529999999997</v>
      </c>
      <c r="AN1730" s="244">
        <v>-32.4</v>
      </c>
      <c r="AO1730" s="417">
        <v>4.5</v>
      </c>
      <c r="AP1730" s="417">
        <v>10.8</v>
      </c>
      <c r="AQ1730" s="244" t="s">
        <v>6311</v>
      </c>
      <c r="AR1730" s="244" t="s">
        <v>6311</v>
      </c>
      <c r="AS1730" s="241" t="s">
        <v>6</v>
      </c>
      <c r="AT1730" s="39" t="s">
        <v>266</v>
      </c>
      <c r="AU1730" s="37">
        <v>0</v>
      </c>
      <c r="AV1730" s="37">
        <v>48</v>
      </c>
      <c r="AW1730" s="37">
        <v>48</v>
      </c>
      <c r="AX1730" s="37">
        <v>26</v>
      </c>
      <c r="AY1730" s="37" t="s">
        <v>8722</v>
      </c>
      <c r="AZ1730" s="37" t="s">
        <v>536</v>
      </c>
      <c r="BA1730" s="37">
        <v>20</v>
      </c>
      <c r="BB1730" s="36" t="s">
        <v>537</v>
      </c>
      <c r="BC1730" s="36" t="s">
        <v>538</v>
      </c>
      <c r="BD1730" s="36"/>
      <c r="BE1730" s="245" t="s">
        <v>271</v>
      </c>
      <c r="BF1730" s="245" t="s">
        <v>539</v>
      </c>
      <c r="BG1730" s="245" t="s">
        <v>540</v>
      </c>
      <c r="BH1730" s="245" t="s">
        <v>272</v>
      </c>
      <c r="BI1730" s="243">
        <v>69.478887</v>
      </c>
      <c r="BJ1730" s="243">
        <v>3706.4615000000003</v>
      </c>
      <c r="BK1730" s="37"/>
      <c r="BL1730" s="263">
        <v>8943563.8731396105</v>
      </c>
      <c r="BM1730" s="37" t="s">
        <v>541</v>
      </c>
      <c r="BN1730" s="37"/>
      <c r="BO1730" s="37">
        <v>1310.4298229999999</v>
      </c>
      <c r="BP1730" s="37"/>
      <c r="BQ1730" s="37"/>
      <c r="BR1730" s="37"/>
      <c r="BS1730" s="266"/>
      <c r="BT1730" s="37"/>
      <c r="BU1730" s="267"/>
      <c r="BV1730" s="37"/>
      <c r="BW1730" s="37"/>
      <c r="BX1730" s="37"/>
      <c r="BY1730" s="37"/>
      <c r="BZ1730" s="37"/>
      <c r="CA1730" s="37"/>
      <c r="CB1730" s="37"/>
      <c r="CC1730" s="266"/>
      <c r="CD1730" s="266"/>
      <c r="CE1730" s="266"/>
      <c r="CF1730" s="266"/>
      <c r="CG1730" s="37"/>
      <c r="CH1730" s="37"/>
      <c r="CI1730" s="243">
        <v>1310.4298229999999</v>
      </c>
      <c r="CJ1730" s="243">
        <f>LOG10(CI1730)</f>
        <v>3.1174137682815379</v>
      </c>
      <c r="CK1730" s="38">
        <f t="shared" si="433"/>
        <v>2412.9655395421237</v>
      </c>
      <c r="CL1730" s="247">
        <f>BL1730/CI1730</f>
        <v>6824.9086797070022</v>
      </c>
      <c r="CM1730" s="247"/>
      <c r="CN1730" s="247"/>
      <c r="CO1730" s="36" t="s">
        <v>563</v>
      </c>
      <c r="CP1730" s="496" t="s">
        <v>542</v>
      </c>
      <c r="CQ1730" s="241" t="s">
        <v>272</v>
      </c>
      <c r="CR1730" s="241"/>
      <c r="CS1730" s="33"/>
      <c r="CT1730" s="33"/>
      <c r="CU1730" s="250">
        <f>X1730/CI1730</f>
        <v>0.2388529278763217</v>
      </c>
      <c r="CV1730" s="337">
        <f t="shared" si="434"/>
        <v>8.4447120252024735E-2</v>
      </c>
      <c r="CW1730" s="330">
        <f>IF(CU1730&lt;2,0,1)</f>
        <v>0</v>
      </c>
      <c r="CX1730" s="330"/>
      <c r="CY1730" s="143" t="s">
        <v>5921</v>
      </c>
    </row>
    <row r="1731" spans="1:103" ht="11.25" customHeight="1" x14ac:dyDescent="0.2">
      <c r="A1731" s="72">
        <v>1707</v>
      </c>
      <c r="B1731" s="241">
        <v>76</v>
      </c>
      <c r="C1731" s="32" t="s">
        <v>7094</v>
      </c>
      <c r="D1731" s="32"/>
      <c r="E1731" s="40"/>
      <c r="F1731" s="40" t="s">
        <v>569</v>
      </c>
      <c r="G1731" s="242">
        <v>99661</v>
      </c>
      <c r="H1731" s="36" t="s">
        <v>570</v>
      </c>
      <c r="I1731" s="36" t="s">
        <v>8021</v>
      </c>
      <c r="J1731" s="36" t="s">
        <v>571</v>
      </c>
      <c r="K1731" s="36" t="s">
        <v>426</v>
      </c>
      <c r="L1731" s="42" t="s">
        <v>279</v>
      </c>
      <c r="M1731" s="36" t="s">
        <v>572</v>
      </c>
      <c r="N1731" s="36"/>
      <c r="O1731" s="36" t="s">
        <v>281</v>
      </c>
      <c r="P1731" s="41"/>
      <c r="Q1731" s="41"/>
      <c r="R1731" s="41"/>
      <c r="S1731" s="41"/>
      <c r="T1731" s="37">
        <v>144.21</v>
      </c>
      <c r="U1731" s="243">
        <v>2000</v>
      </c>
      <c r="V1731" s="243">
        <v>894.6</v>
      </c>
      <c r="W1731" s="243">
        <v>2084.4686933927019</v>
      </c>
      <c r="X1731" s="243">
        <v>2000</v>
      </c>
      <c r="Y1731" s="414">
        <v>3.33</v>
      </c>
      <c r="Z1731" s="37">
        <v>2.96</v>
      </c>
      <c r="AA1731" s="37">
        <v>2.75</v>
      </c>
      <c r="AB1731" s="37">
        <v>2.64</v>
      </c>
      <c r="AC1731" s="37">
        <v>0.93820000000000003</v>
      </c>
      <c r="AD1731" s="37">
        <v>2.65</v>
      </c>
      <c r="AE1731" s="37">
        <v>2.72</v>
      </c>
      <c r="AF1731" s="37">
        <f t="shared" si="431"/>
        <v>2.75</v>
      </c>
      <c r="AG1731" s="38">
        <v>2.3199999999999998</v>
      </c>
      <c r="AH1731" s="243">
        <v>3.0000000000000001E-6</v>
      </c>
      <c r="AI1731" s="243"/>
      <c r="AJ1731" s="34">
        <f t="shared" si="440"/>
        <v>-3.9114450715929894</v>
      </c>
      <c r="AK1731" s="34"/>
      <c r="AL1731" s="34">
        <f t="shared" si="445"/>
        <v>-3.9114450715929894</v>
      </c>
      <c r="AM1731" s="34">
        <v>-5.7235100000000001</v>
      </c>
      <c r="AN1731" s="244">
        <v>-3.88</v>
      </c>
      <c r="AO1731" s="417">
        <v>4.82</v>
      </c>
      <c r="AP1731" s="417"/>
      <c r="AQ1731" s="244" t="s">
        <v>6311</v>
      </c>
      <c r="AR1731" s="244" t="s">
        <v>6311</v>
      </c>
      <c r="AS1731" s="241" t="s">
        <v>90</v>
      </c>
      <c r="AT1731" s="39" t="s">
        <v>266</v>
      </c>
      <c r="AU1731" s="37">
        <v>0</v>
      </c>
      <c r="AV1731" s="37">
        <v>48</v>
      </c>
      <c r="AW1731" s="37">
        <v>48</v>
      </c>
      <c r="AX1731" s="37">
        <v>26</v>
      </c>
      <c r="AY1731" s="37" t="s">
        <v>8722</v>
      </c>
      <c r="AZ1731" s="37" t="s">
        <v>536</v>
      </c>
      <c r="BA1731" s="37">
        <v>20</v>
      </c>
      <c r="BB1731" s="36" t="s">
        <v>537</v>
      </c>
      <c r="BC1731" s="36" t="s">
        <v>538</v>
      </c>
      <c r="BD1731" s="36"/>
      <c r="BE1731" s="245" t="s">
        <v>271</v>
      </c>
      <c r="BF1731" s="245" t="s">
        <v>539</v>
      </c>
      <c r="BG1731" s="245" t="s">
        <v>540</v>
      </c>
      <c r="BH1731" s="245" t="s">
        <v>272</v>
      </c>
      <c r="BI1731" s="250">
        <v>6.3308190000000009</v>
      </c>
      <c r="BJ1731" s="250">
        <v>20.001926999999998</v>
      </c>
      <c r="BK1731" s="37"/>
      <c r="BL1731" s="263">
        <v>16.271192264769432</v>
      </c>
      <c r="BM1731" s="37" t="s">
        <v>541</v>
      </c>
      <c r="BN1731" s="37"/>
      <c r="BO1731" s="37">
        <v>13.195215000000001</v>
      </c>
      <c r="BP1731" s="37"/>
      <c r="BQ1731" s="37"/>
      <c r="BR1731" s="37"/>
      <c r="BS1731" s="37"/>
      <c r="BT1731" s="37"/>
      <c r="BU1731" s="246"/>
      <c r="BV1731" s="37"/>
      <c r="BW1731" s="37"/>
      <c r="BX1731" s="37"/>
      <c r="BY1731" s="37"/>
      <c r="BZ1731" s="37"/>
      <c r="CA1731" s="37"/>
      <c r="CB1731" s="37"/>
      <c r="CC1731" s="37"/>
      <c r="CD1731" s="37"/>
      <c r="CE1731" s="37"/>
      <c r="CF1731" s="37"/>
      <c r="CG1731" s="37"/>
      <c r="CH1731" s="37"/>
      <c r="CI1731" s="243">
        <v>13.195215000000001</v>
      </c>
      <c r="CJ1731" s="243">
        <f>LOG10(CI1731)</f>
        <v>1.1204164709147577</v>
      </c>
      <c r="CK1731" s="38">
        <f t="shared" si="433"/>
        <v>0.81348123432154484</v>
      </c>
      <c r="CL1731" s="247">
        <f>BL1731/CI1731</f>
        <v>1.2331130841573579</v>
      </c>
      <c r="CM1731" s="247"/>
      <c r="CN1731" s="247"/>
      <c r="CO1731" s="36"/>
      <c r="CP1731" s="496" t="s">
        <v>542</v>
      </c>
      <c r="CQ1731" s="241" t="s">
        <v>272</v>
      </c>
      <c r="CR1731" s="241"/>
      <c r="CS1731" s="33"/>
      <c r="CT1731" s="33"/>
      <c r="CU1731" s="250">
        <f>X1731/CI1731</f>
        <v>151.57009567483362</v>
      </c>
      <c r="CV1731" s="337">
        <f t="shared" si="434"/>
        <v>99.990365928242824</v>
      </c>
      <c r="CW1731" s="330">
        <f>IF(CU1731&lt;2,0,1)</f>
        <v>1</v>
      </c>
      <c r="CX1731" s="330"/>
      <c r="CY1731" s="143" t="s">
        <v>6351</v>
      </c>
    </row>
    <row r="1732" spans="1:103" ht="11.25" customHeight="1" x14ac:dyDescent="0.2">
      <c r="A1732" s="72">
        <v>1713</v>
      </c>
      <c r="B1732" s="241">
        <v>65</v>
      </c>
      <c r="C1732" s="32" t="s">
        <v>7649</v>
      </c>
      <c r="D1732" s="32"/>
      <c r="E1732" s="40"/>
      <c r="F1732" s="40" t="s">
        <v>556</v>
      </c>
      <c r="G1732" s="242">
        <v>103902</v>
      </c>
      <c r="H1732" s="36" t="s">
        <v>462</v>
      </c>
      <c r="I1732" s="36" t="s">
        <v>462</v>
      </c>
      <c r="J1732" s="36" t="s">
        <v>463</v>
      </c>
      <c r="K1732" s="36" t="s">
        <v>464</v>
      </c>
      <c r="L1732" s="42" t="s">
        <v>279</v>
      </c>
      <c r="M1732" s="36" t="s">
        <v>465</v>
      </c>
      <c r="N1732" s="36" t="s">
        <v>6384</v>
      </c>
      <c r="O1732" s="36" t="s">
        <v>281</v>
      </c>
      <c r="P1732" s="41"/>
      <c r="Q1732" s="41" t="s">
        <v>6173</v>
      </c>
      <c r="R1732" s="41" t="s">
        <v>6175</v>
      </c>
      <c r="S1732" s="41" t="s">
        <v>6182</v>
      </c>
      <c r="T1732" s="37">
        <v>151.16</v>
      </c>
      <c r="U1732" s="243">
        <v>14000</v>
      </c>
      <c r="V1732" s="243">
        <v>30350</v>
      </c>
      <c r="W1732" s="243">
        <v>17759.751440465923</v>
      </c>
      <c r="X1732" s="243">
        <v>14000</v>
      </c>
      <c r="Y1732" s="414">
        <v>5.7</v>
      </c>
      <c r="Z1732" s="37">
        <v>0.27</v>
      </c>
      <c r="AA1732" s="37">
        <v>0.46</v>
      </c>
      <c r="AB1732" s="37">
        <v>0.43</v>
      </c>
      <c r="AC1732" s="37">
        <v>0.85150000000000003</v>
      </c>
      <c r="AD1732" s="37">
        <v>0.4</v>
      </c>
      <c r="AE1732" s="37">
        <v>0.34</v>
      </c>
      <c r="AF1732" s="37">
        <f t="shared" si="431"/>
        <v>0.46</v>
      </c>
      <c r="AG1732" s="38">
        <v>0.91</v>
      </c>
      <c r="AH1732" s="243">
        <v>6.4199999999999999E-13</v>
      </c>
      <c r="AI1732" s="243"/>
      <c r="AJ1732" s="34">
        <f t="shared" si="440"/>
        <v>-10.581031298243799</v>
      </c>
      <c r="AK1732" s="34"/>
      <c r="AL1732" s="34">
        <f t="shared" si="445"/>
        <v>-10.581031298243799</v>
      </c>
      <c r="AM1732" s="34">
        <v>-13.617180000000001</v>
      </c>
      <c r="AN1732" s="244">
        <v>-11.6</v>
      </c>
      <c r="AO1732" s="417">
        <v>9.86</v>
      </c>
      <c r="AP1732" s="417">
        <v>1.72</v>
      </c>
      <c r="AQ1732" s="244" t="s">
        <v>6311</v>
      </c>
      <c r="AR1732" s="244" t="s">
        <v>6311</v>
      </c>
      <c r="AS1732" s="241" t="s">
        <v>90</v>
      </c>
      <c r="AT1732" s="39" t="s">
        <v>266</v>
      </c>
      <c r="AU1732" s="37">
        <v>0</v>
      </c>
      <c r="AV1732" s="37">
        <v>48</v>
      </c>
      <c r="AW1732" s="37">
        <v>48</v>
      </c>
      <c r="AX1732" s="37">
        <v>26</v>
      </c>
      <c r="AY1732" s="37" t="s">
        <v>8722</v>
      </c>
      <c r="AZ1732" s="37" t="s">
        <v>536</v>
      </c>
      <c r="BA1732" s="37">
        <v>20</v>
      </c>
      <c r="BB1732" s="36" t="s">
        <v>537</v>
      </c>
      <c r="BC1732" s="36" t="s">
        <v>538</v>
      </c>
      <c r="BD1732" s="36"/>
      <c r="BE1732" s="245" t="s">
        <v>271</v>
      </c>
      <c r="BF1732" s="245" t="s">
        <v>539</v>
      </c>
      <c r="BG1732" s="245" t="s">
        <v>540</v>
      </c>
      <c r="BH1732" s="245" t="s">
        <v>272</v>
      </c>
      <c r="BI1732" s="250">
        <v>71.816116000000008</v>
      </c>
      <c r="BJ1732" s="250">
        <v>6365.3476000000001</v>
      </c>
      <c r="BK1732" s="37"/>
      <c r="BL1732" s="263">
        <v>4443.7527132617224</v>
      </c>
      <c r="BM1732" s="37" t="s">
        <v>541</v>
      </c>
      <c r="BN1732" s="37"/>
      <c r="BO1732" s="37">
        <v>1824.743056</v>
      </c>
      <c r="BP1732" s="37"/>
      <c r="BQ1732" s="37"/>
      <c r="BR1732" s="37"/>
      <c r="BS1732" s="37"/>
      <c r="BT1732" s="37"/>
      <c r="BU1732" s="246"/>
      <c r="BV1732" s="37"/>
      <c r="BW1732" s="37"/>
      <c r="BX1732" s="37"/>
      <c r="BY1732" s="37"/>
      <c r="BZ1732" s="37"/>
      <c r="CA1732" s="37"/>
      <c r="CB1732" s="37"/>
      <c r="CC1732" s="37"/>
      <c r="CD1732" s="37"/>
      <c r="CE1732" s="37"/>
      <c r="CF1732" s="37"/>
      <c r="CG1732" s="37"/>
      <c r="CH1732" s="37"/>
      <c r="CI1732" s="243">
        <v>1824.743056</v>
      </c>
      <c r="CJ1732" s="243">
        <f>LOG10(CI1732)</f>
        <v>3.2612017196322212</v>
      </c>
      <c r="CK1732" s="38">
        <f t="shared" si="433"/>
        <v>0.69811626834985763</v>
      </c>
      <c r="CL1732" s="247">
        <f>BL1732/CI1732</f>
        <v>2.4352758590586587</v>
      </c>
      <c r="CM1732" s="247">
        <v>2.9100902170651883</v>
      </c>
      <c r="CN1732" s="247">
        <f>BJ1732/(10^CM1732)</f>
        <v>7.8294617652754628</v>
      </c>
      <c r="CO1732" s="36"/>
      <c r="CP1732" s="496" t="s">
        <v>542</v>
      </c>
      <c r="CQ1732" s="241">
        <v>2.9100902170651883</v>
      </c>
      <c r="CR1732" s="241">
        <f>10^(CJ1732-CQ1732)</f>
        <v>2.2444581012989651</v>
      </c>
      <c r="CS1732" s="33"/>
      <c r="CT1732" s="33"/>
      <c r="CU1732" s="250">
        <f>X1732/CI1732</f>
        <v>7.6723130711286291</v>
      </c>
      <c r="CV1732" s="337">
        <f t="shared" si="434"/>
        <v>2.1994085601860927</v>
      </c>
      <c r="CW1732" s="330">
        <f>IF(CU1732&lt;2,0,1)</f>
        <v>1</v>
      </c>
      <c r="CX1732" s="330"/>
      <c r="CY1732" s="143" t="s">
        <v>6351</v>
      </c>
    </row>
    <row r="1733" spans="1:103" ht="11.25" customHeight="1" x14ac:dyDescent="0.2">
      <c r="A1733" s="72">
        <v>1759</v>
      </c>
      <c r="B1733" s="241">
        <v>186</v>
      </c>
      <c r="C1733" s="32" t="s">
        <v>7182</v>
      </c>
      <c r="D1733" s="32"/>
      <c r="E1733" s="40"/>
      <c r="F1733" s="40" t="s">
        <v>3684</v>
      </c>
      <c r="G1733" s="242">
        <v>114078</v>
      </c>
      <c r="H1733" s="36" t="s">
        <v>3685</v>
      </c>
      <c r="I1733" s="36" t="s">
        <v>8033</v>
      </c>
      <c r="J1733" s="36" t="s">
        <v>3686</v>
      </c>
      <c r="K1733" s="36" t="s">
        <v>3680</v>
      </c>
      <c r="L1733" s="42" t="s">
        <v>279</v>
      </c>
      <c r="M1733" s="36" t="s">
        <v>8522</v>
      </c>
      <c r="N1733" s="36"/>
      <c r="O1733" s="36" t="s">
        <v>281</v>
      </c>
      <c r="P1733" s="41"/>
      <c r="Q1733" s="41"/>
      <c r="R1733" s="41"/>
      <c r="S1733" s="41"/>
      <c r="T1733" s="37">
        <v>733.93</v>
      </c>
      <c r="U1733" s="243"/>
      <c r="V1733" s="243">
        <v>0.51680000000000004</v>
      </c>
      <c r="W1733" s="243">
        <v>27268.085069128781</v>
      </c>
      <c r="X1733" s="243">
        <v>27268.085069128781</v>
      </c>
      <c r="Y1733" s="414">
        <v>10.19</v>
      </c>
      <c r="Z1733" s="37">
        <v>2.48</v>
      </c>
      <c r="AA1733" s="37">
        <v>3.06</v>
      </c>
      <c r="AB1733" s="37">
        <v>2.37</v>
      </c>
      <c r="AC1733" s="37">
        <v>0.91320000000000001</v>
      </c>
      <c r="AD1733" s="37">
        <v>2.44</v>
      </c>
      <c r="AE1733" s="37">
        <v>2.83</v>
      </c>
      <c r="AF1733" s="37">
        <f t="shared" si="431"/>
        <v>3.06</v>
      </c>
      <c r="AG1733" s="37">
        <v>2.33</v>
      </c>
      <c r="AH1733" s="243">
        <v>5.4199999999999999E-29</v>
      </c>
      <c r="AI1733" s="243"/>
      <c r="AJ1733" s="34">
        <f t="shared" si="440"/>
        <v>-26.654567039774264</v>
      </c>
      <c r="AK1733" s="34"/>
      <c r="AL1733" s="34">
        <f t="shared" si="445"/>
        <v>-26.654567039774264</v>
      </c>
      <c r="AM1733" s="34">
        <v>-40.716160000000002</v>
      </c>
      <c r="AN1733" s="37">
        <v>-30.6</v>
      </c>
      <c r="AO1733" s="417">
        <v>13.09</v>
      </c>
      <c r="AP1733" s="417">
        <v>8.16</v>
      </c>
      <c r="AQ1733" s="37" t="s">
        <v>6311</v>
      </c>
      <c r="AR1733" s="37" t="s">
        <v>6311</v>
      </c>
      <c r="AS1733" s="241" t="s">
        <v>115</v>
      </c>
      <c r="AT1733" s="39" t="s">
        <v>266</v>
      </c>
      <c r="AU1733" s="37">
        <v>0</v>
      </c>
      <c r="AV1733" s="37">
        <v>48</v>
      </c>
      <c r="AW1733" s="37">
        <v>48</v>
      </c>
      <c r="AX1733" s="37">
        <v>26</v>
      </c>
      <c r="AY1733" s="37" t="s">
        <v>8722</v>
      </c>
      <c r="AZ1733" s="37" t="s">
        <v>536</v>
      </c>
      <c r="BA1733" s="37">
        <v>20</v>
      </c>
      <c r="BB1733" s="36" t="s">
        <v>537</v>
      </c>
      <c r="BC1733" s="36" t="s">
        <v>538</v>
      </c>
      <c r="BD1733" s="36"/>
      <c r="BE1733" s="245" t="s">
        <v>271</v>
      </c>
      <c r="BF1733" s="245" t="s">
        <v>539</v>
      </c>
      <c r="BG1733" s="245" t="s">
        <v>540</v>
      </c>
      <c r="BH1733" s="245" t="s">
        <v>272</v>
      </c>
      <c r="BI1733" s="250">
        <v>0.66053699999999993</v>
      </c>
      <c r="BJ1733" s="250">
        <v>9.9814479999999985</v>
      </c>
      <c r="BK1733" s="37"/>
      <c r="BL1733" s="263">
        <v>223.44294162306696</v>
      </c>
      <c r="BM1733" s="37" t="s">
        <v>541</v>
      </c>
      <c r="BN1733" s="37"/>
      <c r="BO1733" s="37"/>
      <c r="BP1733" s="37"/>
      <c r="BQ1733" s="37"/>
      <c r="BR1733" s="37"/>
      <c r="BS1733" s="37"/>
      <c r="BT1733" s="37"/>
      <c r="BU1733" s="246"/>
      <c r="BV1733" s="37"/>
      <c r="BW1733" s="37"/>
      <c r="BX1733" s="37"/>
      <c r="BY1733" s="37"/>
      <c r="BZ1733" s="37"/>
      <c r="CA1733" s="37"/>
      <c r="CB1733" s="37"/>
      <c r="CC1733" s="37"/>
      <c r="CD1733" s="37"/>
      <c r="CE1733" s="37"/>
      <c r="CF1733" s="37"/>
      <c r="CG1733" s="37"/>
      <c r="CH1733" s="37"/>
      <c r="CI1733" s="243"/>
      <c r="CJ1733" s="243"/>
      <c r="CK1733" s="38">
        <f t="shared" si="433"/>
        <v>22.385824343629</v>
      </c>
      <c r="CL1733" s="247"/>
      <c r="CM1733" s="247"/>
      <c r="CN1733" s="247"/>
      <c r="CO1733" s="36" t="s">
        <v>3683</v>
      </c>
      <c r="CP1733" s="496" t="s">
        <v>542</v>
      </c>
      <c r="CQ1733" s="241" t="s">
        <v>272</v>
      </c>
      <c r="CR1733" s="241"/>
      <c r="CS1733" s="33"/>
      <c r="CT1733" s="33"/>
      <c r="CU1733" s="250"/>
      <c r="CV1733" s="337">
        <f t="shared" si="434"/>
        <v>2731.8766845380337</v>
      </c>
      <c r="CW1733" s="330">
        <f>IF(CV1733&lt;1,0,1)</f>
        <v>1</v>
      </c>
      <c r="CX1733" s="330"/>
      <c r="CY1733" s="143" t="s">
        <v>6351</v>
      </c>
    </row>
    <row r="1734" spans="1:103" ht="11.25" customHeight="1" x14ac:dyDescent="0.2">
      <c r="A1734" s="72">
        <v>1766</v>
      </c>
      <c r="B1734" s="241">
        <v>90</v>
      </c>
      <c r="C1734" s="32" t="s">
        <v>620</v>
      </c>
      <c r="D1734" s="32"/>
      <c r="E1734" s="40"/>
      <c r="F1734" s="40" t="s">
        <v>621</v>
      </c>
      <c r="G1734" s="242">
        <v>121755</v>
      </c>
      <c r="H1734" s="36" t="s">
        <v>622</v>
      </c>
      <c r="I1734" s="36" t="s">
        <v>622</v>
      </c>
      <c r="J1734" s="36" t="s">
        <v>623</v>
      </c>
      <c r="K1734" s="36" t="s">
        <v>624</v>
      </c>
      <c r="L1734" s="36" t="s">
        <v>617</v>
      </c>
      <c r="M1734" s="36" t="s">
        <v>946</v>
      </c>
      <c r="N1734" s="36" t="s">
        <v>6376</v>
      </c>
      <c r="O1734" s="36"/>
      <c r="P1734" s="41" t="s">
        <v>6178</v>
      </c>
      <c r="Q1734" s="41" t="s">
        <v>6176</v>
      </c>
      <c r="R1734" s="41" t="s">
        <v>6177</v>
      </c>
      <c r="S1734" s="41" t="s">
        <v>6176</v>
      </c>
      <c r="T1734" s="37">
        <v>330.36</v>
      </c>
      <c r="U1734" s="243">
        <v>143</v>
      </c>
      <c r="V1734" s="243">
        <v>78.45</v>
      </c>
      <c r="W1734" s="243">
        <v>185.77508018988354</v>
      </c>
      <c r="X1734" s="243">
        <v>143</v>
      </c>
      <c r="Y1734" s="414">
        <v>7</v>
      </c>
      <c r="Z1734" s="37">
        <v>2.29</v>
      </c>
      <c r="AA1734" s="37">
        <v>2.36</v>
      </c>
      <c r="AB1734" s="37">
        <v>2.69</v>
      </c>
      <c r="AC1734" s="37">
        <v>0.8125</v>
      </c>
      <c r="AD1734" s="37">
        <v>2.76</v>
      </c>
      <c r="AE1734" s="37">
        <v>2.93</v>
      </c>
      <c r="AF1734" s="37">
        <f t="shared" si="431"/>
        <v>2.36</v>
      </c>
      <c r="AG1734" s="38">
        <v>2.3199999999999998</v>
      </c>
      <c r="AH1734" s="243">
        <v>8.39E-10</v>
      </c>
      <c r="AI1734" s="243">
        <v>4.8900000000000003E-9</v>
      </c>
      <c r="AJ1734" s="34">
        <f t="shared" si="440"/>
        <v>-7.4648043654839515</v>
      </c>
      <c r="AK1734" s="34">
        <f>LOG10(AI1734*1000/(0.08206*298.15))</f>
        <v>-6.6992574671890317</v>
      </c>
      <c r="AL1734" s="34">
        <f t="shared" si="445"/>
        <v>-6.6992574671890317</v>
      </c>
      <c r="AM1734" s="34">
        <v>-12.449109999999999</v>
      </c>
      <c r="AN1734" s="244">
        <v>-5.94</v>
      </c>
      <c r="AO1734" s="417"/>
      <c r="AP1734" s="417"/>
      <c r="AQ1734" s="244" t="s">
        <v>6312</v>
      </c>
      <c r="AR1734" s="244" t="s">
        <v>6312</v>
      </c>
      <c r="AS1734" s="241" t="s">
        <v>90</v>
      </c>
      <c r="AT1734" s="39" t="s">
        <v>266</v>
      </c>
      <c r="AU1734" s="37">
        <v>0</v>
      </c>
      <c r="AV1734" s="37">
        <v>48</v>
      </c>
      <c r="AW1734" s="37">
        <v>48</v>
      </c>
      <c r="AX1734" s="37">
        <v>26</v>
      </c>
      <c r="AY1734" s="37" t="s">
        <v>8722</v>
      </c>
      <c r="AZ1734" s="37" t="s">
        <v>536</v>
      </c>
      <c r="BA1734" s="37">
        <v>20</v>
      </c>
      <c r="BB1734" s="36" t="s">
        <v>537</v>
      </c>
      <c r="BC1734" s="36" t="s">
        <v>538</v>
      </c>
      <c r="BD1734" s="36"/>
      <c r="BE1734" s="245" t="s">
        <v>271</v>
      </c>
      <c r="BF1734" s="245" t="s">
        <v>539</v>
      </c>
      <c r="BG1734" s="245" t="s">
        <v>540</v>
      </c>
      <c r="BH1734" s="245" t="s">
        <v>272</v>
      </c>
      <c r="BI1734" s="250">
        <v>3.0062760000000002</v>
      </c>
      <c r="BJ1734" s="250">
        <v>96.002616000000017</v>
      </c>
      <c r="BK1734" s="37"/>
      <c r="BL1734" s="263">
        <v>148.98359766722712</v>
      </c>
      <c r="BM1734" s="37" t="s">
        <v>541</v>
      </c>
      <c r="BN1734" s="37"/>
      <c r="BO1734" s="37">
        <v>8.4241799999999998</v>
      </c>
      <c r="BP1734" s="37"/>
      <c r="BQ1734" s="37"/>
      <c r="BR1734" s="37"/>
      <c r="BS1734" s="37"/>
      <c r="BT1734" s="37"/>
      <c r="BU1734" s="246"/>
      <c r="BV1734" s="37"/>
      <c r="BW1734" s="37"/>
      <c r="BX1734" s="37"/>
      <c r="BY1734" s="37"/>
      <c r="BZ1734" s="37"/>
      <c r="CA1734" s="37"/>
      <c r="CB1734" s="37"/>
      <c r="CC1734" s="37"/>
      <c r="CD1734" s="37"/>
      <c r="CE1734" s="37"/>
      <c r="CF1734" s="37"/>
      <c r="CG1734" s="37"/>
      <c r="CH1734" s="37"/>
      <c r="CI1734" s="243">
        <v>8.4241799999999998</v>
      </c>
      <c r="CJ1734" s="243">
        <f>LOG10(CI1734)</f>
        <v>0.92552763787491021</v>
      </c>
      <c r="CK1734" s="38">
        <f t="shared" si="433"/>
        <v>1.5518701872376799</v>
      </c>
      <c r="CL1734" s="247">
        <f>BL1734/CI1734</f>
        <v>17.685234369069406</v>
      </c>
      <c r="CM1734" s="247">
        <v>-1.0170155211093046</v>
      </c>
      <c r="CN1734" s="247">
        <f>BJ1734/(10^CM1734)</f>
        <v>998.38624387125276</v>
      </c>
      <c r="CO1734" s="36"/>
      <c r="CP1734" s="496" t="s">
        <v>542</v>
      </c>
      <c r="CQ1734" s="241">
        <v>-0.606977785182086</v>
      </c>
      <c r="CR1734" s="241">
        <f>10^(CJ1734-CQ1734)</f>
        <v>34.080458041769823</v>
      </c>
      <c r="CS1734" s="33"/>
      <c r="CT1734" s="33"/>
      <c r="CU1734" s="250">
        <f>X1734/CI1734</f>
        <v>16.974945929455448</v>
      </c>
      <c r="CV1734" s="337">
        <f t="shared" si="434"/>
        <v>1.4895427432935784</v>
      </c>
      <c r="CW1734" s="330">
        <f>IF(CU1734&lt;2,0,1)</f>
        <v>1</v>
      </c>
      <c r="CX1734" s="330"/>
      <c r="CY1734" s="143" t="s">
        <v>5921</v>
      </c>
    </row>
    <row r="1735" spans="1:103" ht="11.25" customHeight="1" x14ac:dyDescent="0.2">
      <c r="A1735" s="72">
        <v>1781</v>
      </c>
      <c r="B1735" s="241">
        <v>91</v>
      </c>
      <c r="C1735" s="32" t="s">
        <v>7254</v>
      </c>
      <c r="D1735" s="32" t="s">
        <v>8602</v>
      </c>
      <c r="E1735" s="40"/>
      <c r="F1735" s="40" t="s">
        <v>625</v>
      </c>
      <c r="G1735" s="242">
        <v>298000</v>
      </c>
      <c r="H1735" s="36" t="s">
        <v>626</v>
      </c>
      <c r="I1735" s="36" t="s">
        <v>8047</v>
      </c>
      <c r="J1735" s="36" t="s">
        <v>627</v>
      </c>
      <c r="K1735" s="36" t="s">
        <v>628</v>
      </c>
      <c r="L1735" s="36" t="s">
        <v>617</v>
      </c>
      <c r="M1735" s="36" t="s">
        <v>946</v>
      </c>
      <c r="N1735" s="36" t="s">
        <v>6376</v>
      </c>
      <c r="O1735" s="36"/>
      <c r="P1735" s="41" t="s">
        <v>6178</v>
      </c>
      <c r="Q1735" s="41" t="s">
        <v>6176</v>
      </c>
      <c r="R1735" s="41" t="s">
        <v>6177</v>
      </c>
      <c r="S1735" s="41" t="s">
        <v>6179</v>
      </c>
      <c r="T1735" s="37">
        <v>263.20999999999998</v>
      </c>
      <c r="U1735" s="243">
        <v>37.700000000000003</v>
      </c>
      <c r="V1735" s="243">
        <v>29.36</v>
      </c>
      <c r="W1735" s="243">
        <v>33.908016450114907</v>
      </c>
      <c r="X1735" s="243">
        <v>37.700000000000003</v>
      </c>
      <c r="Y1735" s="414">
        <v>7</v>
      </c>
      <c r="Z1735" s="37">
        <v>2.75</v>
      </c>
      <c r="AA1735" s="37">
        <v>2.86</v>
      </c>
      <c r="AB1735" s="37">
        <v>2.99</v>
      </c>
      <c r="AC1735" s="37">
        <v>0.88990000000000002</v>
      </c>
      <c r="AD1735" s="37">
        <v>2.94</v>
      </c>
      <c r="AE1735" s="37">
        <v>2.78</v>
      </c>
      <c r="AF1735" s="37">
        <f t="shared" si="431"/>
        <v>2.86</v>
      </c>
      <c r="AG1735" s="38">
        <v>2.27</v>
      </c>
      <c r="AH1735" s="243">
        <v>1.68E-7</v>
      </c>
      <c r="AI1735" s="243">
        <v>9.9999999999999995E-8</v>
      </c>
      <c r="AJ1735" s="34">
        <f t="shared" si="440"/>
        <v>-5.1632570445867891</v>
      </c>
      <c r="AK1735" s="34">
        <f>LOG10(AI1735*1000/(0.08206*298.15))</f>
        <v>-5.3885663263126515</v>
      </c>
      <c r="AL1735" s="34">
        <f t="shared" si="445"/>
        <v>-5.3885663263126515</v>
      </c>
      <c r="AM1735" s="34">
        <v>-11.07649</v>
      </c>
      <c r="AN1735" s="244">
        <v>-4.5599999999999996</v>
      </c>
      <c r="AO1735" s="417"/>
      <c r="AP1735" s="417"/>
      <c r="AQ1735" s="244" t="s">
        <v>6314</v>
      </c>
      <c r="AR1735" s="244" t="s">
        <v>6314</v>
      </c>
      <c r="AS1735" s="241" t="s">
        <v>90</v>
      </c>
      <c r="AT1735" s="39" t="s">
        <v>266</v>
      </c>
      <c r="AU1735" s="37">
        <v>0</v>
      </c>
      <c r="AV1735" s="37">
        <v>48</v>
      </c>
      <c r="AW1735" s="37">
        <v>48</v>
      </c>
      <c r="AX1735" s="37">
        <v>26</v>
      </c>
      <c r="AY1735" s="37" t="s">
        <v>8722</v>
      </c>
      <c r="AZ1735" s="37" t="s">
        <v>536</v>
      </c>
      <c r="BA1735" s="37">
        <v>20</v>
      </c>
      <c r="BB1735" s="36" t="s">
        <v>537</v>
      </c>
      <c r="BC1735" s="36" t="s">
        <v>538</v>
      </c>
      <c r="BD1735" s="36"/>
      <c r="BE1735" s="245" t="s">
        <v>271</v>
      </c>
      <c r="BF1735" s="245" t="s">
        <v>539</v>
      </c>
      <c r="BG1735" s="245" t="s">
        <v>540</v>
      </c>
      <c r="BH1735" s="245" t="s">
        <v>272</v>
      </c>
      <c r="BI1735" s="250">
        <v>5.0009899999999998</v>
      </c>
      <c r="BJ1735" s="250">
        <v>25.320801999999997</v>
      </c>
      <c r="BK1735" s="37"/>
      <c r="BL1735" s="263">
        <v>45.84873790408875</v>
      </c>
      <c r="BM1735" s="37" t="s">
        <v>541</v>
      </c>
      <c r="BN1735" s="37"/>
      <c r="BO1735" s="37">
        <v>8.5543250000000004</v>
      </c>
      <c r="BP1735" s="37"/>
      <c r="BQ1735" s="37"/>
      <c r="BR1735" s="37"/>
      <c r="BS1735" s="37"/>
      <c r="BT1735" s="37"/>
      <c r="BU1735" s="246"/>
      <c r="BV1735" s="37"/>
      <c r="BW1735" s="37"/>
      <c r="BX1735" s="37"/>
      <c r="BY1735" s="37"/>
      <c r="BZ1735" s="37"/>
      <c r="CA1735" s="37"/>
      <c r="CB1735" s="37"/>
      <c r="CC1735" s="37"/>
      <c r="CD1735" s="37"/>
      <c r="CE1735" s="37"/>
      <c r="CF1735" s="37"/>
      <c r="CG1735" s="37"/>
      <c r="CH1735" s="37"/>
      <c r="CI1735" s="243">
        <v>8.5543250000000004</v>
      </c>
      <c r="CJ1735" s="243">
        <f>LOG10(CI1735)</f>
        <v>0.93218574615756422</v>
      </c>
      <c r="CK1735" s="38">
        <f t="shared" si="433"/>
        <v>1.8107142855936693</v>
      </c>
      <c r="CL1735" s="247">
        <f>BL1735/CI1735</f>
        <v>5.3597142853572608</v>
      </c>
      <c r="CM1735" s="247"/>
      <c r="CN1735" s="247"/>
      <c r="CO1735" s="36"/>
      <c r="CP1735" s="496" t="s">
        <v>542</v>
      </c>
      <c r="CQ1735" s="241">
        <v>0.75466579682406287</v>
      </c>
      <c r="CR1735" s="241">
        <f>10^(CJ1735-CQ1735)</f>
        <v>1.5049426468123746</v>
      </c>
      <c r="CS1735" s="33"/>
      <c r="CT1735" s="33"/>
      <c r="CU1735" s="250">
        <f>X1735/CI1735</f>
        <v>4.4071273887770221</v>
      </c>
      <c r="CV1735" s="337">
        <f t="shared" si="434"/>
        <v>1.4888943881003456</v>
      </c>
      <c r="CW1735" s="330">
        <f>IF(CU1735&lt;2,0,1)</f>
        <v>1</v>
      </c>
      <c r="CX1735" s="330"/>
      <c r="CY1735" s="143" t="s">
        <v>5921</v>
      </c>
    </row>
    <row r="1736" spans="1:103" ht="11.25" customHeight="1" x14ac:dyDescent="0.2">
      <c r="A1736" s="72">
        <v>1782</v>
      </c>
      <c r="B1736" s="241">
        <v>197</v>
      </c>
      <c r="C1736" s="32" t="s">
        <v>1923</v>
      </c>
      <c r="D1736" s="32"/>
      <c r="E1736" s="40"/>
      <c r="F1736" s="40" t="s">
        <v>1924</v>
      </c>
      <c r="G1736" s="242">
        <v>298464</v>
      </c>
      <c r="H1736" s="36" t="s">
        <v>1925</v>
      </c>
      <c r="I1736" s="36" t="s">
        <v>1925</v>
      </c>
      <c r="J1736" s="36" t="s">
        <v>1926</v>
      </c>
      <c r="K1736" s="36" t="s">
        <v>1292</v>
      </c>
      <c r="L1736" s="42" t="s">
        <v>279</v>
      </c>
      <c r="M1736" s="36" t="s">
        <v>1927</v>
      </c>
      <c r="N1736" s="36" t="s">
        <v>6376</v>
      </c>
      <c r="O1736" s="36" t="s">
        <v>281</v>
      </c>
      <c r="P1736" s="41"/>
      <c r="Q1736" s="41"/>
      <c r="R1736" s="41"/>
      <c r="S1736" s="41"/>
      <c r="T1736" s="37">
        <v>236.27</v>
      </c>
      <c r="U1736" s="243">
        <v>112</v>
      </c>
      <c r="V1736" s="243">
        <v>17.66</v>
      </c>
      <c r="W1736" s="243">
        <v>78.236350072691764</v>
      </c>
      <c r="X1736" s="243">
        <v>112</v>
      </c>
      <c r="Y1736" s="414">
        <v>7</v>
      </c>
      <c r="Z1736" s="37">
        <v>2.25</v>
      </c>
      <c r="AA1736" s="37">
        <v>2.4500000000000002</v>
      </c>
      <c r="AB1736" s="37">
        <v>2.17</v>
      </c>
      <c r="AC1736" s="37">
        <v>0.88529999999999998</v>
      </c>
      <c r="AD1736" s="37">
        <v>2.2799999999999998</v>
      </c>
      <c r="AE1736" s="37">
        <v>2.67</v>
      </c>
      <c r="AF1736" s="37">
        <f t="shared" si="431"/>
        <v>2.4500000000000002</v>
      </c>
      <c r="AG1736" s="38">
        <v>2.52</v>
      </c>
      <c r="AH1736" s="243">
        <v>1.08E-10</v>
      </c>
      <c r="AI1736" s="243"/>
      <c r="AJ1736" s="34">
        <f t="shared" si="440"/>
        <v>-8.3551425708257021</v>
      </c>
      <c r="AK1736" s="34"/>
      <c r="AL1736" s="34">
        <f t="shared" si="445"/>
        <v>-8.3551425708257021</v>
      </c>
      <c r="AM1736" s="34">
        <v>-14.371929999999999</v>
      </c>
      <c r="AN1736" s="244">
        <v>-9.82</v>
      </c>
      <c r="AO1736" s="417">
        <v>13.94</v>
      </c>
      <c r="AP1736" s="417">
        <v>-0.49</v>
      </c>
      <c r="AQ1736" s="244" t="s">
        <v>6311</v>
      </c>
      <c r="AR1736" s="244" t="s">
        <v>6311</v>
      </c>
      <c r="AS1736" s="241" t="s">
        <v>90</v>
      </c>
      <c r="AT1736" s="39" t="s">
        <v>266</v>
      </c>
      <c r="AU1736" s="37">
        <v>0</v>
      </c>
      <c r="AV1736" s="37">
        <v>48</v>
      </c>
      <c r="AW1736" s="37">
        <v>48</v>
      </c>
      <c r="AX1736" s="37">
        <v>26</v>
      </c>
      <c r="AY1736" s="37" t="s">
        <v>8722</v>
      </c>
      <c r="AZ1736" s="37" t="s">
        <v>536</v>
      </c>
      <c r="BA1736" s="37">
        <v>20</v>
      </c>
      <c r="BB1736" s="36" t="s">
        <v>537</v>
      </c>
      <c r="BC1736" s="36" t="s">
        <v>538</v>
      </c>
      <c r="BD1736" s="36"/>
      <c r="BE1736" s="245" t="s">
        <v>271</v>
      </c>
      <c r="BF1736" s="245" t="s">
        <v>539</v>
      </c>
      <c r="BG1736" s="245" t="s">
        <v>540</v>
      </c>
      <c r="BH1736" s="245" t="s">
        <v>272</v>
      </c>
      <c r="BI1736" s="250">
        <v>12.498683000000002</v>
      </c>
      <c r="BJ1736" s="250">
        <v>200.00255500000003</v>
      </c>
      <c r="BK1736" s="37"/>
      <c r="BL1736" s="263">
        <v>115.74002752106692</v>
      </c>
      <c r="BM1736" s="37" t="s">
        <v>541</v>
      </c>
      <c r="BN1736" s="37"/>
      <c r="BO1736" s="37"/>
      <c r="BP1736" s="37"/>
      <c r="BQ1736" s="37"/>
      <c r="BR1736" s="37"/>
      <c r="BS1736" s="37"/>
      <c r="BT1736" s="37"/>
      <c r="BU1736" s="246"/>
      <c r="BV1736" s="37"/>
      <c r="BW1736" s="37"/>
      <c r="BX1736" s="37"/>
      <c r="BY1736" s="37"/>
      <c r="BZ1736" s="37"/>
      <c r="CA1736" s="37"/>
      <c r="CB1736" s="37"/>
      <c r="CC1736" s="37"/>
      <c r="CD1736" s="37"/>
      <c r="CE1736" s="37"/>
      <c r="CF1736" s="37"/>
      <c r="CG1736" s="37"/>
      <c r="CH1736" s="37"/>
      <c r="CI1736" s="243"/>
      <c r="CJ1736" s="243"/>
      <c r="CK1736" s="38">
        <f t="shared" si="433"/>
        <v>0.57869274480551958</v>
      </c>
      <c r="CL1736" s="247"/>
      <c r="CM1736" s="247"/>
      <c r="CN1736" s="247"/>
      <c r="CO1736" s="36" t="s">
        <v>3683</v>
      </c>
      <c r="CP1736" s="496" t="s">
        <v>542</v>
      </c>
      <c r="CQ1736" s="241">
        <v>1.4661607659946467</v>
      </c>
      <c r="CR1736" s="241">
        <f>10^(CJ1736-CQ1736)</f>
        <v>3.4185287288678222E-2</v>
      </c>
      <c r="CS1736" s="33"/>
      <c r="CT1736" s="33"/>
      <c r="CU1736" s="250"/>
      <c r="CV1736" s="337">
        <f t="shared" si="434"/>
        <v>0.55999284609139111</v>
      </c>
      <c r="CW1736" s="330">
        <f>IF(CV1736&lt;1,0,1)</f>
        <v>0</v>
      </c>
      <c r="CX1736" s="330"/>
      <c r="CY1736" s="143" t="s">
        <v>5921</v>
      </c>
    </row>
    <row r="1737" spans="1:103" ht="11.25" customHeight="1" x14ac:dyDescent="0.2">
      <c r="A1737" s="72">
        <v>1821</v>
      </c>
      <c r="B1737" s="241">
        <v>73</v>
      </c>
      <c r="C1737" s="32" t="s">
        <v>7711</v>
      </c>
      <c r="D1737" s="32"/>
      <c r="E1737" s="40"/>
      <c r="F1737" s="40" t="s">
        <v>564</v>
      </c>
      <c r="G1737" s="242">
        <v>616911</v>
      </c>
      <c r="H1737" s="36" t="s">
        <v>565</v>
      </c>
      <c r="I1737" s="36" t="s">
        <v>565</v>
      </c>
      <c r="J1737" s="36" t="s">
        <v>566</v>
      </c>
      <c r="K1737" s="36" t="s">
        <v>567</v>
      </c>
      <c r="L1737" s="42" t="s">
        <v>279</v>
      </c>
      <c r="M1737" s="36" t="s">
        <v>568</v>
      </c>
      <c r="N1737" s="36"/>
      <c r="O1737" s="36" t="s">
        <v>281</v>
      </c>
      <c r="P1737" s="41"/>
      <c r="Q1737" s="41"/>
      <c r="R1737" s="41"/>
      <c r="S1737" s="41"/>
      <c r="T1737" s="37">
        <v>163.19999999999999</v>
      </c>
      <c r="U1737" s="243"/>
      <c r="V1737" s="243">
        <v>242900</v>
      </c>
      <c r="W1737" s="243">
        <v>57905.54512291951</v>
      </c>
      <c r="X1737" s="243">
        <v>57905.54512291951</v>
      </c>
      <c r="Y1737" s="414">
        <v>1.65</v>
      </c>
      <c r="Z1737" s="37">
        <v>-0.66</v>
      </c>
      <c r="AA1737" s="37"/>
      <c r="AB1737" s="37">
        <v>0.09</v>
      </c>
      <c r="AC1737" s="37">
        <v>0.67149999999999999</v>
      </c>
      <c r="AD1737" s="37">
        <v>0</v>
      </c>
      <c r="AE1737" s="37">
        <v>-0.15</v>
      </c>
      <c r="AF1737" s="37"/>
      <c r="AG1737" s="38">
        <v>-0.53</v>
      </c>
      <c r="AH1737" s="243">
        <v>1.72E-13</v>
      </c>
      <c r="AI1737" s="243"/>
      <c r="AJ1737" s="34">
        <f t="shared" si="440"/>
        <v>-11.153037879405103</v>
      </c>
      <c r="AK1737" s="34"/>
      <c r="AL1737" s="34">
        <f t="shared" si="445"/>
        <v>-11.153037879405103</v>
      </c>
      <c r="AM1737" s="34">
        <v>-13.868679999999999</v>
      </c>
      <c r="AN1737" s="244">
        <v>-11.7</v>
      </c>
      <c r="AO1737" s="417">
        <v>3.25</v>
      </c>
      <c r="AP1737" s="417">
        <v>-0.91</v>
      </c>
      <c r="AQ1737" s="244" t="s">
        <v>6311</v>
      </c>
      <c r="AR1737" s="244" t="s">
        <v>6311</v>
      </c>
      <c r="AS1737" s="241" t="s">
        <v>90</v>
      </c>
      <c r="AT1737" s="39" t="s">
        <v>266</v>
      </c>
      <c r="AU1737" s="37">
        <v>0</v>
      </c>
      <c r="AV1737" s="37">
        <v>48</v>
      </c>
      <c r="AW1737" s="37">
        <v>48</v>
      </c>
      <c r="AX1737" s="37">
        <v>26</v>
      </c>
      <c r="AY1737" s="37" t="s">
        <v>8722</v>
      </c>
      <c r="AZ1737" s="37" t="s">
        <v>536</v>
      </c>
      <c r="BA1737" s="37">
        <v>20</v>
      </c>
      <c r="BB1737" s="36" t="s">
        <v>537</v>
      </c>
      <c r="BC1737" s="36" t="s">
        <v>538</v>
      </c>
      <c r="BD1737" s="36"/>
      <c r="BE1737" s="245" t="s">
        <v>271</v>
      </c>
      <c r="BF1737" s="245" t="s">
        <v>539</v>
      </c>
      <c r="BG1737" s="245" t="s">
        <v>540</v>
      </c>
      <c r="BH1737" s="245" t="s">
        <v>272</v>
      </c>
      <c r="BI1737" s="250">
        <v>31.252799999999997</v>
      </c>
      <c r="BJ1737" s="250">
        <v>8824.5504000000001</v>
      </c>
      <c r="BK1737" s="37"/>
      <c r="BL1737" s="263">
        <v>32829.642570587654</v>
      </c>
      <c r="BM1737" s="37" t="s">
        <v>541</v>
      </c>
      <c r="BN1737" s="37"/>
      <c r="BO1737" s="37">
        <v>8327.2473599999994</v>
      </c>
      <c r="BP1737" s="37"/>
      <c r="BQ1737" s="37"/>
      <c r="BR1737" s="37"/>
      <c r="BS1737" s="37"/>
      <c r="BT1737" s="37"/>
      <c r="BU1737" s="246"/>
      <c r="BV1737" s="37"/>
      <c r="BW1737" s="37"/>
      <c r="BX1737" s="37"/>
      <c r="BY1737" s="37"/>
      <c r="BZ1737" s="37"/>
      <c r="CA1737" s="37"/>
      <c r="CB1737" s="37"/>
      <c r="CC1737" s="37"/>
      <c r="CD1737" s="37"/>
      <c r="CE1737" s="37"/>
      <c r="CF1737" s="37"/>
      <c r="CG1737" s="37"/>
      <c r="CH1737" s="37"/>
      <c r="CI1737" s="243">
        <v>8327.2473599999994</v>
      </c>
      <c r="CJ1737" s="243">
        <f>LOG10(CI1737)</f>
        <v>3.9205014655214505</v>
      </c>
      <c r="CK1737" s="38">
        <f t="shared" si="433"/>
        <v>3.7202623456700583</v>
      </c>
      <c r="CL1737" s="247">
        <f>BL1737/CI1737</f>
        <v>3.9424363359596004</v>
      </c>
      <c r="CM1737" s="247"/>
      <c r="CN1737" s="247"/>
      <c r="CO1737" s="36" t="s">
        <v>563</v>
      </c>
      <c r="CP1737" s="496" t="s">
        <v>542</v>
      </c>
      <c r="CQ1737" s="241" t="s">
        <v>272</v>
      </c>
      <c r="CR1737" s="241"/>
      <c r="CS1737" s="33"/>
      <c r="CT1737" s="33"/>
      <c r="CU1737" s="250">
        <f>X1737/CI1737</f>
        <v>6.9537438507074096</v>
      </c>
      <c r="CV1737" s="337">
        <f t="shared" si="434"/>
        <v>6.5618691602599393</v>
      </c>
      <c r="CW1737" s="330">
        <f>IF(CU1737&lt;2,0,1)</f>
        <v>1</v>
      </c>
      <c r="CX1737" s="330"/>
      <c r="CY1737" s="143" t="s">
        <v>5921</v>
      </c>
    </row>
    <row r="1738" spans="1:103" ht="11.25" customHeight="1" x14ac:dyDescent="0.2">
      <c r="A1738" s="72">
        <v>1830</v>
      </c>
      <c r="B1738" s="241">
        <v>190</v>
      </c>
      <c r="C1738" s="32" t="s">
        <v>7719</v>
      </c>
      <c r="D1738" s="32"/>
      <c r="E1738" s="40"/>
      <c r="F1738" s="40" t="s">
        <v>3693</v>
      </c>
      <c r="G1738" s="242">
        <v>723466</v>
      </c>
      <c r="H1738" s="36" t="s">
        <v>3694</v>
      </c>
      <c r="I1738" s="36" t="s">
        <v>3694</v>
      </c>
      <c r="J1738" s="36" t="s">
        <v>3695</v>
      </c>
      <c r="K1738" s="36" t="s">
        <v>3315</v>
      </c>
      <c r="L1738" s="42" t="s">
        <v>279</v>
      </c>
      <c r="M1738" s="36" t="s">
        <v>3696</v>
      </c>
      <c r="N1738" s="36"/>
      <c r="O1738" s="36" t="s">
        <v>281</v>
      </c>
      <c r="P1738" s="41"/>
      <c r="Q1738" s="41"/>
      <c r="R1738" s="41"/>
      <c r="S1738" s="41"/>
      <c r="T1738" s="37">
        <v>253.28</v>
      </c>
      <c r="U1738" s="243">
        <v>610</v>
      </c>
      <c r="V1738" s="243">
        <v>3942</v>
      </c>
      <c r="W1738" s="243">
        <v>297.57805271508363</v>
      </c>
      <c r="X1738" s="243">
        <v>610</v>
      </c>
      <c r="Y1738" s="414">
        <v>4.5599999999999996</v>
      </c>
      <c r="Z1738" s="37">
        <v>0.48</v>
      </c>
      <c r="AA1738" s="37">
        <v>0.89</v>
      </c>
      <c r="AB1738" s="37">
        <v>0.57999999999999996</v>
      </c>
      <c r="AC1738" s="37">
        <v>0.88390000000000002</v>
      </c>
      <c r="AD1738" s="37">
        <v>0.65</v>
      </c>
      <c r="AE1738" s="37">
        <v>0.89</v>
      </c>
      <c r="AF1738" s="37">
        <f t="shared" ref="AF1738:AF1752" si="446">IF(AA1738=0,AD1738,AA1738)</f>
        <v>0.89</v>
      </c>
      <c r="AG1738" s="37">
        <v>1.17</v>
      </c>
      <c r="AH1738" s="243">
        <v>9.5599999999999997E-13</v>
      </c>
      <c r="AI1738" s="243"/>
      <c r="AJ1738" s="34">
        <f t="shared" si="440"/>
        <v>-10.408108434036551</v>
      </c>
      <c r="AK1738" s="34"/>
      <c r="AL1738" s="34">
        <f t="shared" si="445"/>
        <v>-10.408108434036551</v>
      </c>
      <c r="AM1738" s="34">
        <v>-17.286439999999999</v>
      </c>
      <c r="AN1738" s="37">
        <v>-17.3</v>
      </c>
      <c r="AO1738" s="417">
        <v>5.81</v>
      </c>
      <c r="AP1738" s="417">
        <v>1.39</v>
      </c>
      <c r="AQ1738" s="37" t="s">
        <v>6311</v>
      </c>
      <c r="AR1738" s="37" t="s">
        <v>6311</v>
      </c>
      <c r="AS1738" s="241" t="s">
        <v>90</v>
      </c>
      <c r="AT1738" s="39" t="s">
        <v>266</v>
      </c>
      <c r="AU1738" s="37">
        <v>0</v>
      </c>
      <c r="AV1738" s="37">
        <v>48</v>
      </c>
      <c r="AW1738" s="37">
        <v>48</v>
      </c>
      <c r="AX1738" s="37">
        <v>26</v>
      </c>
      <c r="AY1738" s="37" t="s">
        <v>8722</v>
      </c>
      <c r="AZ1738" s="37" t="s">
        <v>536</v>
      </c>
      <c r="BA1738" s="37">
        <v>20</v>
      </c>
      <c r="BB1738" s="36" t="s">
        <v>537</v>
      </c>
      <c r="BC1738" s="36" t="s">
        <v>538</v>
      </c>
      <c r="BD1738" s="36"/>
      <c r="BE1738" s="245" t="s">
        <v>271</v>
      </c>
      <c r="BF1738" s="245" t="s">
        <v>539</v>
      </c>
      <c r="BG1738" s="245" t="s">
        <v>540</v>
      </c>
      <c r="BH1738" s="245" t="s">
        <v>272</v>
      </c>
      <c r="BI1738" s="250">
        <v>49.997471999999995</v>
      </c>
      <c r="BJ1738" s="250">
        <v>799.90889600000003</v>
      </c>
      <c r="BK1738" s="37"/>
      <c r="BL1738" s="263">
        <v>4822.9515319358616</v>
      </c>
      <c r="BM1738" s="37" t="s">
        <v>541</v>
      </c>
      <c r="BN1738" s="37"/>
      <c r="BO1738" s="37"/>
      <c r="BP1738" s="37"/>
      <c r="BQ1738" s="37"/>
      <c r="BR1738" s="37"/>
      <c r="BS1738" s="266"/>
      <c r="BT1738" s="37"/>
      <c r="BU1738" s="267"/>
      <c r="BV1738" s="37"/>
      <c r="BW1738" s="37"/>
      <c r="BX1738" s="37"/>
      <c r="BY1738" s="37"/>
      <c r="BZ1738" s="37"/>
      <c r="CA1738" s="37"/>
      <c r="CB1738" s="37"/>
      <c r="CC1738" s="266"/>
      <c r="CD1738" s="266"/>
      <c r="CE1738" s="266"/>
      <c r="CF1738" s="266"/>
      <c r="CG1738" s="37"/>
      <c r="CH1738" s="37"/>
      <c r="CI1738" s="243"/>
      <c r="CJ1738" s="243"/>
      <c r="CK1738" s="38">
        <f t="shared" ref="CK1738:CK1755" si="447">BL1738/BJ1738</f>
        <v>6.0293760402632923</v>
      </c>
      <c r="CL1738" s="247"/>
      <c r="CM1738" s="247"/>
      <c r="CN1738" s="247"/>
      <c r="CO1738" s="36" t="s">
        <v>3683</v>
      </c>
      <c r="CP1738" s="496" t="s">
        <v>542</v>
      </c>
      <c r="CQ1738" s="241" t="s">
        <v>272</v>
      </c>
      <c r="CR1738" s="241"/>
      <c r="CS1738" s="33"/>
      <c r="CT1738" s="33"/>
      <c r="CU1738" s="250"/>
      <c r="CV1738" s="337">
        <f t="shared" ref="CV1738:CV1755" si="448">X1738/BJ1738</f>
        <v>0.76258684338972516</v>
      </c>
      <c r="CW1738" s="330">
        <f>IF(CV1738&lt;1,0,1)</f>
        <v>0</v>
      </c>
      <c r="CX1738" s="330"/>
      <c r="CY1738" s="143" t="s">
        <v>5921</v>
      </c>
    </row>
    <row r="1739" spans="1:103" ht="11.25" customHeight="1" x14ac:dyDescent="0.2">
      <c r="A1739" s="72">
        <v>1831</v>
      </c>
      <c r="B1739" s="241">
        <v>195</v>
      </c>
      <c r="C1739" s="32" t="s">
        <v>7298</v>
      </c>
      <c r="D1739" s="32"/>
      <c r="E1739" s="40"/>
      <c r="F1739" s="40" t="s">
        <v>3697</v>
      </c>
      <c r="G1739" s="242">
        <v>738705</v>
      </c>
      <c r="H1739" s="36" t="s">
        <v>3698</v>
      </c>
      <c r="I1739" s="36" t="s">
        <v>3698</v>
      </c>
      <c r="J1739" s="36" t="s">
        <v>3699</v>
      </c>
      <c r="K1739" s="36" t="s">
        <v>3700</v>
      </c>
      <c r="L1739" s="42" t="s">
        <v>279</v>
      </c>
      <c r="M1739" s="36" t="s">
        <v>3701</v>
      </c>
      <c r="N1739" s="36"/>
      <c r="O1739" s="36" t="s">
        <v>281</v>
      </c>
      <c r="P1739" s="41"/>
      <c r="Q1739" s="41"/>
      <c r="R1739" s="41"/>
      <c r="S1739" s="41"/>
      <c r="T1739" s="37">
        <v>290.32</v>
      </c>
      <c r="U1739" s="243">
        <v>400</v>
      </c>
      <c r="V1739" s="243">
        <v>2334</v>
      </c>
      <c r="W1739" s="243">
        <v>592.75736009645766</v>
      </c>
      <c r="X1739" s="243">
        <v>400</v>
      </c>
      <c r="Y1739" s="414">
        <v>9.11</v>
      </c>
      <c r="Z1739" s="37">
        <v>0.73</v>
      </c>
      <c r="AA1739" s="37">
        <v>0.91</v>
      </c>
      <c r="AB1739" s="37">
        <v>1.22</v>
      </c>
      <c r="AC1739" s="37">
        <v>0.85780000000000001</v>
      </c>
      <c r="AD1739" s="37">
        <v>1.1200000000000001</v>
      </c>
      <c r="AE1739" s="37">
        <v>0.79</v>
      </c>
      <c r="AF1739" s="37">
        <f t="shared" si="446"/>
        <v>0.91</v>
      </c>
      <c r="AG1739" s="38">
        <v>1.18</v>
      </c>
      <c r="AH1739" s="243">
        <v>2.3900000000000001E-14</v>
      </c>
      <c r="AI1739" s="243"/>
      <c r="AJ1739" s="34">
        <f t="shared" si="440"/>
        <v>-12.010168425364514</v>
      </c>
      <c r="AK1739" s="34"/>
      <c r="AL1739" s="34">
        <f t="shared" si="445"/>
        <v>-12.010168425364514</v>
      </c>
      <c r="AM1739" s="34">
        <v>-20.178329999999999</v>
      </c>
      <c r="AN1739" s="244">
        <v>-14.6</v>
      </c>
      <c r="AO1739" s="417"/>
      <c r="AP1739" s="417">
        <v>6.9</v>
      </c>
      <c r="AQ1739" s="244" t="s">
        <v>6311</v>
      </c>
      <c r="AR1739" s="244" t="s">
        <v>6311</v>
      </c>
      <c r="AS1739" s="241" t="s">
        <v>90</v>
      </c>
      <c r="AT1739" s="39" t="s">
        <v>266</v>
      </c>
      <c r="AU1739" s="37">
        <v>0</v>
      </c>
      <c r="AV1739" s="37">
        <v>48</v>
      </c>
      <c r="AW1739" s="37">
        <v>48</v>
      </c>
      <c r="AX1739" s="37">
        <v>26</v>
      </c>
      <c r="AY1739" s="37" t="s">
        <v>8722</v>
      </c>
      <c r="AZ1739" s="37" t="s">
        <v>536</v>
      </c>
      <c r="BA1739" s="37">
        <v>20</v>
      </c>
      <c r="BB1739" s="36" t="s">
        <v>537</v>
      </c>
      <c r="BC1739" s="36" t="s">
        <v>538</v>
      </c>
      <c r="BD1739" s="36"/>
      <c r="BE1739" s="245" t="s">
        <v>271</v>
      </c>
      <c r="BF1739" s="245" t="s">
        <v>539</v>
      </c>
      <c r="BG1739" s="245" t="s">
        <v>540</v>
      </c>
      <c r="BH1739" s="245" t="s">
        <v>272</v>
      </c>
      <c r="BI1739" s="250">
        <v>18.754671999999999</v>
      </c>
      <c r="BJ1739" s="250">
        <v>299.98765600000002</v>
      </c>
      <c r="BK1739" s="37"/>
      <c r="BL1739" s="263">
        <v>3296.5825482699597</v>
      </c>
      <c r="BM1739" s="37" t="s">
        <v>541</v>
      </c>
      <c r="BN1739" s="37"/>
      <c r="BO1739" s="37"/>
      <c r="BP1739" s="37"/>
      <c r="BQ1739" s="37"/>
      <c r="BR1739" s="37"/>
      <c r="BS1739" s="266"/>
      <c r="BT1739" s="37"/>
      <c r="BU1739" s="267"/>
      <c r="BV1739" s="37"/>
      <c r="BW1739" s="37"/>
      <c r="BX1739" s="37"/>
      <c r="BY1739" s="37"/>
      <c r="BZ1739" s="37"/>
      <c r="CA1739" s="37"/>
      <c r="CB1739" s="37"/>
      <c r="CC1739" s="266"/>
      <c r="CD1739" s="266"/>
      <c r="CE1739" s="266"/>
      <c r="CF1739" s="266"/>
      <c r="CG1739" s="37"/>
      <c r="CH1739" s="37"/>
      <c r="CI1739" s="243"/>
      <c r="CJ1739" s="243"/>
      <c r="CK1739" s="38">
        <f t="shared" si="447"/>
        <v>10.98906065744905</v>
      </c>
      <c r="CL1739" s="247"/>
      <c r="CM1739" s="247"/>
      <c r="CN1739" s="247"/>
      <c r="CO1739" s="36" t="s">
        <v>3683</v>
      </c>
      <c r="CP1739" s="496" t="s">
        <v>542</v>
      </c>
      <c r="CQ1739" s="241" t="s">
        <v>272</v>
      </c>
      <c r="CR1739" s="241"/>
      <c r="CS1739" s="33"/>
      <c r="CT1739" s="33"/>
      <c r="CU1739" s="250"/>
      <c r="CV1739" s="337">
        <f t="shared" si="448"/>
        <v>1.333388197813046</v>
      </c>
      <c r="CW1739" s="330">
        <f>IF(CV1739&lt;1,0,1)</f>
        <v>1</v>
      </c>
      <c r="CX1739" s="330"/>
      <c r="CY1739" s="143" t="s">
        <v>5921</v>
      </c>
    </row>
    <row r="1740" spans="1:103" ht="11.25" customHeight="1" x14ac:dyDescent="0.2">
      <c r="A1740" s="72">
        <v>1833</v>
      </c>
      <c r="B1740" s="241">
        <v>203</v>
      </c>
      <c r="C1740" s="32" t="s">
        <v>7721</v>
      </c>
      <c r="D1740" s="32"/>
      <c r="E1740" s="40"/>
      <c r="F1740" s="40" t="s">
        <v>3712</v>
      </c>
      <c r="G1740" s="242">
        <v>882097</v>
      </c>
      <c r="H1740" s="36" t="s">
        <v>3713</v>
      </c>
      <c r="I1740" s="36" t="s">
        <v>8233</v>
      </c>
      <c r="J1740" s="36" t="s">
        <v>3714</v>
      </c>
      <c r="K1740" s="36" t="s">
        <v>426</v>
      </c>
      <c r="L1740" s="36"/>
      <c r="M1740" s="36"/>
      <c r="N1740" s="36"/>
      <c r="O1740" s="36"/>
      <c r="P1740" s="41"/>
      <c r="Q1740" s="41"/>
      <c r="R1740" s="41"/>
      <c r="S1740" s="41"/>
      <c r="T1740" s="37">
        <v>214.65</v>
      </c>
      <c r="U1740" s="243"/>
      <c r="V1740" s="243">
        <v>582.5</v>
      </c>
      <c r="W1740" s="243">
        <v>761.60693998986937</v>
      </c>
      <c r="X1740" s="243">
        <v>761.60693998986937</v>
      </c>
      <c r="Y1740" s="414">
        <v>2.91</v>
      </c>
      <c r="Z1740" s="37">
        <v>2.84</v>
      </c>
      <c r="AA1740" s="37">
        <v>2.57</v>
      </c>
      <c r="AB1740" s="37">
        <v>2.74</v>
      </c>
      <c r="AC1740" s="37">
        <v>0.89339999999999997</v>
      </c>
      <c r="AD1740" s="37">
        <v>2.74</v>
      </c>
      <c r="AE1740" s="37">
        <v>2.72</v>
      </c>
      <c r="AF1740" s="37">
        <f t="shared" si="446"/>
        <v>2.57</v>
      </c>
      <c r="AG1740" s="38">
        <v>2.61</v>
      </c>
      <c r="AH1740" s="243">
        <v>2.1900000000000001E-8</v>
      </c>
      <c r="AI1740" s="243"/>
      <c r="AJ1740" s="34">
        <f t="shared" si="440"/>
        <v>-6.048122211472533</v>
      </c>
      <c r="AK1740" s="34"/>
      <c r="AL1740" s="34">
        <f t="shared" si="445"/>
        <v>-6.048122211472533</v>
      </c>
      <c r="AM1740" s="34">
        <v>-9.976449999999998</v>
      </c>
      <c r="AN1740" s="244">
        <v>-7.59</v>
      </c>
      <c r="AO1740" s="417">
        <v>3.18</v>
      </c>
      <c r="AP1740" s="417"/>
      <c r="AQ1740" s="244" t="s">
        <v>6311</v>
      </c>
      <c r="AR1740" s="244" t="s">
        <v>6311</v>
      </c>
      <c r="AS1740" s="241" t="s">
        <v>6</v>
      </c>
      <c r="AT1740" s="39" t="s">
        <v>266</v>
      </c>
      <c r="AU1740" s="37">
        <v>0</v>
      </c>
      <c r="AV1740" s="37">
        <v>48</v>
      </c>
      <c r="AW1740" s="37">
        <v>48</v>
      </c>
      <c r="AX1740" s="37">
        <v>26</v>
      </c>
      <c r="AY1740" s="37" t="s">
        <v>8722</v>
      </c>
      <c r="AZ1740" s="37" t="s">
        <v>536</v>
      </c>
      <c r="BA1740" s="37">
        <v>20</v>
      </c>
      <c r="BB1740" s="36" t="s">
        <v>537</v>
      </c>
      <c r="BC1740" s="36" t="s">
        <v>538</v>
      </c>
      <c r="BD1740" s="36"/>
      <c r="BE1740" s="245" t="s">
        <v>271</v>
      </c>
      <c r="BF1740" s="245" t="s">
        <v>539</v>
      </c>
      <c r="BG1740" s="245" t="s">
        <v>540</v>
      </c>
      <c r="BH1740" s="245" t="s">
        <v>272</v>
      </c>
      <c r="BI1740" s="250">
        <v>28.140615</v>
      </c>
      <c r="BJ1740" s="250">
        <v>600.16139999999996</v>
      </c>
      <c r="BK1740" s="37"/>
      <c r="BL1740" s="263">
        <v>31.040370244807068</v>
      </c>
      <c r="BM1740" s="37" t="s">
        <v>541</v>
      </c>
      <c r="BN1740" s="37"/>
      <c r="BO1740" s="37"/>
      <c r="BP1740" s="37"/>
      <c r="BQ1740" s="37"/>
      <c r="BR1740" s="37"/>
      <c r="BS1740" s="37"/>
      <c r="BT1740" s="37"/>
      <c r="BU1740" s="246"/>
      <c r="BV1740" s="37"/>
      <c r="BW1740" s="37"/>
      <c r="BX1740" s="37"/>
      <c r="BY1740" s="37"/>
      <c r="BZ1740" s="37"/>
      <c r="CA1740" s="37"/>
      <c r="CB1740" s="37"/>
      <c r="CC1740" s="37"/>
      <c r="CD1740" s="37"/>
      <c r="CE1740" s="37"/>
      <c r="CF1740" s="37"/>
      <c r="CG1740" s="37"/>
      <c r="CH1740" s="37"/>
      <c r="CI1740" s="243"/>
      <c r="CJ1740" s="243"/>
      <c r="CK1740" s="38">
        <f t="shared" si="447"/>
        <v>5.172003771786568E-2</v>
      </c>
      <c r="CL1740" s="247"/>
      <c r="CM1740" s="247"/>
      <c r="CN1740" s="247"/>
      <c r="CO1740" s="36" t="s">
        <v>563</v>
      </c>
      <c r="CP1740" s="496" t="s">
        <v>542</v>
      </c>
      <c r="CQ1740" s="241" t="s">
        <v>272</v>
      </c>
      <c r="CR1740" s="241"/>
      <c r="CS1740" s="33"/>
      <c r="CT1740" s="33"/>
      <c r="CU1740" s="250"/>
      <c r="CV1740" s="337">
        <f t="shared" si="448"/>
        <v>1.2690035380313853</v>
      </c>
      <c r="CW1740" s="330">
        <f>IF(CV1740&lt;1,0,1)</f>
        <v>1</v>
      </c>
      <c r="CX1740" s="330"/>
      <c r="CY1740" s="143" t="s">
        <v>5921</v>
      </c>
    </row>
    <row r="1741" spans="1:103" ht="11.25" customHeight="1" x14ac:dyDescent="0.2">
      <c r="A1741" s="72">
        <v>1854</v>
      </c>
      <c r="B1741" s="241">
        <v>95</v>
      </c>
      <c r="C1741" s="32" t="s">
        <v>638</v>
      </c>
      <c r="D1741" s="32"/>
      <c r="E1741" s="40"/>
      <c r="F1741" s="40" t="s">
        <v>639</v>
      </c>
      <c r="G1741" s="242">
        <v>3778732</v>
      </c>
      <c r="H1741" s="36" t="s">
        <v>640</v>
      </c>
      <c r="I1741" s="36" t="s">
        <v>8240</v>
      </c>
      <c r="J1741" s="36" t="s">
        <v>641</v>
      </c>
      <c r="K1741" s="36" t="s">
        <v>637</v>
      </c>
      <c r="L1741" s="42" t="s">
        <v>279</v>
      </c>
      <c r="M1741" s="36" t="s">
        <v>8527</v>
      </c>
      <c r="N1741" s="36"/>
      <c r="O1741" s="36" t="s">
        <v>281</v>
      </c>
      <c r="P1741" s="41"/>
      <c r="Q1741" s="41"/>
      <c r="R1741" s="41"/>
      <c r="S1741" s="41"/>
      <c r="T1741" s="37">
        <v>261.08999999999997</v>
      </c>
      <c r="U1741" s="243"/>
      <c r="V1741" s="243">
        <v>3781</v>
      </c>
      <c r="W1741" s="243">
        <v>40438.053103185957</v>
      </c>
      <c r="X1741" s="243">
        <v>40438.053103185957</v>
      </c>
      <c r="Y1741" s="414">
        <v>7.36</v>
      </c>
      <c r="Z1741" s="37">
        <v>0.97</v>
      </c>
      <c r="AA1741" s="37">
        <v>0.86</v>
      </c>
      <c r="AB1741" s="37">
        <v>0.9</v>
      </c>
      <c r="AC1741" s="37">
        <v>0.74919999999999998</v>
      </c>
      <c r="AD1741" s="37">
        <v>0.68</v>
      </c>
      <c r="AE1741" s="37">
        <v>0.23</v>
      </c>
      <c r="AF1741" s="37">
        <f t="shared" si="446"/>
        <v>0.86</v>
      </c>
      <c r="AG1741" s="38">
        <v>0.61</v>
      </c>
      <c r="AH1741" s="243">
        <v>1.36E-11</v>
      </c>
      <c r="AI1741" s="243"/>
      <c r="AJ1741" s="34">
        <f t="shared" si="440"/>
        <v>-9.2550274179424346</v>
      </c>
      <c r="AK1741" s="34"/>
      <c r="AL1741" s="34">
        <f t="shared" si="445"/>
        <v>-9.2550274179424346</v>
      </c>
      <c r="AM1741" s="34">
        <v>-13.003439999999999</v>
      </c>
      <c r="AN1741" s="244">
        <v>-8.18</v>
      </c>
      <c r="AO1741" s="417"/>
      <c r="AP1741" s="417">
        <v>1.44</v>
      </c>
      <c r="AQ1741" s="244" t="s">
        <v>6311</v>
      </c>
      <c r="AR1741" s="244" t="s">
        <v>6311</v>
      </c>
      <c r="AS1741" s="241" t="s">
        <v>90</v>
      </c>
      <c r="AT1741" s="39" t="s">
        <v>266</v>
      </c>
      <c r="AU1741" s="37">
        <v>0</v>
      </c>
      <c r="AV1741" s="37">
        <v>48</v>
      </c>
      <c r="AW1741" s="37">
        <v>48</v>
      </c>
      <c r="AX1741" s="37">
        <v>26</v>
      </c>
      <c r="AY1741" s="37" t="s">
        <v>8722</v>
      </c>
      <c r="AZ1741" s="37" t="s">
        <v>536</v>
      </c>
      <c r="BA1741" s="37">
        <v>20</v>
      </c>
      <c r="BB1741" s="36" t="s">
        <v>537</v>
      </c>
      <c r="BC1741" s="36" t="s">
        <v>538</v>
      </c>
      <c r="BD1741" s="36"/>
      <c r="BE1741" s="245" t="s">
        <v>271</v>
      </c>
      <c r="BF1741" s="245" t="s">
        <v>539</v>
      </c>
      <c r="BG1741" s="245" t="s">
        <v>540</v>
      </c>
      <c r="BH1741" s="245" t="s">
        <v>272</v>
      </c>
      <c r="BI1741" s="250">
        <v>1249.9422659999998</v>
      </c>
      <c r="BJ1741" s="250">
        <v>19999.493999999995</v>
      </c>
      <c r="BK1741" s="37"/>
      <c r="BL1741" s="263">
        <v>1804.8172709404346</v>
      </c>
      <c r="BM1741" s="37" t="s">
        <v>541</v>
      </c>
      <c r="BN1741" s="37"/>
      <c r="BO1741" s="37">
        <v>14141.600432999998</v>
      </c>
      <c r="BP1741" s="37"/>
      <c r="BQ1741" s="37"/>
      <c r="BR1741" s="37"/>
      <c r="BS1741" s="37"/>
      <c r="BT1741" s="37"/>
      <c r="BU1741" s="246"/>
      <c r="BV1741" s="37"/>
      <c r="BW1741" s="37"/>
      <c r="BX1741" s="37"/>
      <c r="BY1741" s="37"/>
      <c r="BZ1741" s="37"/>
      <c r="CA1741" s="37"/>
      <c r="CB1741" s="37"/>
      <c r="CC1741" s="37"/>
      <c r="CD1741" s="37"/>
      <c r="CE1741" s="37"/>
      <c r="CF1741" s="37"/>
      <c r="CG1741" s="37"/>
      <c r="CH1741" s="37"/>
      <c r="CI1741" s="243">
        <v>14141.600432999998</v>
      </c>
      <c r="CJ1741" s="243">
        <f>LOG10(CI1741)</f>
        <v>4.1504985622111246</v>
      </c>
      <c r="CK1741" s="38">
        <f t="shared" si="447"/>
        <v>9.0243146698633231E-2</v>
      </c>
      <c r="CL1741" s="247">
        <f>BL1741/CI1741</f>
        <v>0.12762468289860746</v>
      </c>
      <c r="CM1741" s="247"/>
      <c r="CN1741" s="247"/>
      <c r="CO1741" s="36"/>
      <c r="CP1741" s="496" t="s">
        <v>542</v>
      </c>
      <c r="CQ1741" s="241" t="s">
        <v>272</v>
      </c>
      <c r="CR1741" s="241"/>
      <c r="CS1741" s="33"/>
      <c r="CT1741" s="33"/>
      <c r="CU1741" s="250">
        <f>X1741/CI1741</f>
        <v>2.8595103711756784</v>
      </c>
      <c r="CV1741" s="337">
        <f t="shared" si="448"/>
        <v>2.0219538105907064</v>
      </c>
      <c r="CW1741" s="330">
        <f>IF(CU1741&lt;2,0,1)</f>
        <v>1</v>
      </c>
      <c r="CX1741" s="330"/>
      <c r="CY1741" s="143" t="s">
        <v>5921</v>
      </c>
    </row>
    <row r="1742" spans="1:103" ht="11.25" customHeight="1" x14ac:dyDescent="0.2">
      <c r="A1742" s="72">
        <v>1879</v>
      </c>
      <c r="B1742" s="241">
        <v>62</v>
      </c>
      <c r="C1742" s="32" t="s">
        <v>543</v>
      </c>
      <c r="D1742" s="32"/>
      <c r="E1742" s="40"/>
      <c r="F1742" s="40" t="s">
        <v>544</v>
      </c>
      <c r="G1742" s="242">
        <v>15307796</v>
      </c>
      <c r="H1742" s="36" t="s">
        <v>545</v>
      </c>
      <c r="I1742" s="36" t="s">
        <v>8250</v>
      </c>
      <c r="J1742" s="36" t="s">
        <v>546</v>
      </c>
      <c r="K1742" s="36" t="s">
        <v>426</v>
      </c>
      <c r="L1742" s="36" t="s">
        <v>279</v>
      </c>
      <c r="M1742" s="36" t="s">
        <v>6116</v>
      </c>
      <c r="N1742" s="36"/>
      <c r="O1742" s="36" t="s">
        <v>6117</v>
      </c>
      <c r="P1742" s="41"/>
      <c r="Q1742" s="41"/>
      <c r="R1742" s="41"/>
      <c r="S1742" s="41"/>
      <c r="T1742" s="37">
        <v>296.14999999999998</v>
      </c>
      <c r="U1742" s="243">
        <v>2.37</v>
      </c>
      <c r="V1742" s="243">
        <v>4.5179999999999998</v>
      </c>
      <c r="W1742" s="243">
        <v>22.46527488448924</v>
      </c>
      <c r="X1742" s="243">
        <v>2.37</v>
      </c>
      <c r="Y1742" s="414">
        <v>4.34</v>
      </c>
      <c r="Z1742" s="37">
        <v>4.0199999999999996</v>
      </c>
      <c r="AA1742" s="37">
        <v>4.51</v>
      </c>
      <c r="AB1742" s="37">
        <v>4.6100000000000003</v>
      </c>
      <c r="AC1742" s="37">
        <v>0.87739999999999996</v>
      </c>
      <c r="AD1742" s="37">
        <v>4.4800000000000004</v>
      </c>
      <c r="AE1742" s="37">
        <v>4.0599999999999996</v>
      </c>
      <c r="AF1742" s="37">
        <f t="shared" si="446"/>
        <v>4.51</v>
      </c>
      <c r="AG1742" s="38">
        <v>4.4800000000000004</v>
      </c>
      <c r="AH1742" s="243">
        <v>4.7300000000000002E-12</v>
      </c>
      <c r="AI1742" s="243"/>
      <c r="AJ1742" s="34">
        <f t="shared" si="440"/>
        <v>-9.71370518557484</v>
      </c>
      <c r="AK1742" s="34"/>
      <c r="AL1742" s="34">
        <f t="shared" si="445"/>
        <v>-9.71370518557484</v>
      </c>
      <c r="AM1742" s="34">
        <v>-13.81147</v>
      </c>
      <c r="AN1742" s="244"/>
      <c r="AO1742" s="417">
        <v>4.18</v>
      </c>
      <c r="AP1742" s="417">
        <v>-2.2599999999999998</v>
      </c>
      <c r="AQ1742" s="244" t="s">
        <v>6311</v>
      </c>
      <c r="AR1742" s="244" t="s">
        <v>6311</v>
      </c>
      <c r="AS1742" s="241" t="s">
        <v>90</v>
      </c>
      <c r="AT1742" s="39" t="s">
        <v>266</v>
      </c>
      <c r="AU1742" s="37">
        <v>0</v>
      </c>
      <c r="AV1742" s="37">
        <v>48</v>
      </c>
      <c r="AW1742" s="37">
        <v>48</v>
      </c>
      <c r="AX1742" s="37">
        <v>26</v>
      </c>
      <c r="AY1742" s="37" t="s">
        <v>8722</v>
      </c>
      <c r="AZ1742" s="37" t="s">
        <v>536</v>
      </c>
      <c r="BA1742" s="37">
        <v>20</v>
      </c>
      <c r="BB1742" s="36" t="s">
        <v>537</v>
      </c>
      <c r="BC1742" s="36" t="s">
        <v>538</v>
      </c>
      <c r="BD1742" s="36"/>
      <c r="BE1742" s="245" t="s">
        <v>271</v>
      </c>
      <c r="BF1742" s="245" t="s">
        <v>539</v>
      </c>
      <c r="BG1742" s="245" t="s">
        <v>540</v>
      </c>
      <c r="BH1742" s="245" t="s">
        <v>272</v>
      </c>
      <c r="BI1742" s="250">
        <v>8.2921999999999993</v>
      </c>
      <c r="BJ1742" s="250">
        <v>117.83808499999998</v>
      </c>
      <c r="BK1742" s="37"/>
      <c r="BL1742" s="263">
        <v>3.7320696223033583</v>
      </c>
      <c r="BM1742" s="37" t="s">
        <v>541</v>
      </c>
      <c r="BN1742" s="37"/>
      <c r="BO1742" s="37">
        <v>57.038489999999996</v>
      </c>
      <c r="BP1742" s="37"/>
      <c r="BQ1742" s="37"/>
      <c r="BR1742" s="37"/>
      <c r="BS1742" s="37"/>
      <c r="BT1742" s="37"/>
      <c r="BU1742" s="246"/>
      <c r="BV1742" s="37"/>
      <c r="BW1742" s="37"/>
      <c r="BX1742" s="37"/>
      <c r="BY1742" s="37"/>
      <c r="BZ1742" s="37"/>
      <c r="CA1742" s="37"/>
      <c r="CB1742" s="37"/>
      <c r="CC1742" s="37"/>
      <c r="CD1742" s="37"/>
      <c r="CE1742" s="37"/>
      <c r="CF1742" s="37"/>
      <c r="CG1742" s="37"/>
      <c r="CH1742" s="37"/>
      <c r="CI1742" s="243">
        <v>57.038489999999996</v>
      </c>
      <c r="CJ1742" s="243">
        <f>LOG10(CI1742)</f>
        <v>1.7561680197654781</v>
      </c>
      <c r="CK1742" s="38">
        <f t="shared" si="447"/>
        <v>3.167116660376277E-2</v>
      </c>
      <c r="CL1742" s="247">
        <f>BL1742/CI1742</f>
        <v>6.5430722698012492E-2</v>
      </c>
      <c r="CM1742" s="247"/>
      <c r="CN1742" s="247"/>
      <c r="CO1742" s="36"/>
      <c r="CP1742" s="496" t="s">
        <v>542</v>
      </c>
      <c r="CQ1742" s="241" t="s">
        <v>272</v>
      </c>
      <c r="CR1742" s="241"/>
      <c r="CS1742" s="33"/>
      <c r="CT1742" s="33"/>
      <c r="CU1742" s="250">
        <f>X1742/CI1742</f>
        <v>4.1550889583507562E-2</v>
      </c>
      <c r="CV1742" s="337">
        <f t="shared" si="448"/>
        <v>2.0112343135922486E-2</v>
      </c>
      <c r="CW1742" s="330">
        <f>IF(CU1742&lt;2,0,1)</f>
        <v>0</v>
      </c>
      <c r="CX1742" s="330"/>
      <c r="CY1742" s="143" t="s">
        <v>6351</v>
      </c>
    </row>
    <row r="1743" spans="1:103" ht="11.25" customHeight="1" x14ac:dyDescent="0.2">
      <c r="A1743" s="72">
        <v>1883</v>
      </c>
      <c r="B1743" s="241">
        <v>63</v>
      </c>
      <c r="C1743" s="32" t="s">
        <v>548</v>
      </c>
      <c r="D1743" s="32"/>
      <c r="E1743" s="40"/>
      <c r="F1743" s="40" t="s">
        <v>549</v>
      </c>
      <c r="G1743" s="242">
        <v>15687271</v>
      </c>
      <c r="H1743" s="36" t="s">
        <v>550</v>
      </c>
      <c r="I1743" s="36" t="s">
        <v>550</v>
      </c>
      <c r="J1743" s="36" t="s">
        <v>551</v>
      </c>
      <c r="K1743" s="36" t="s">
        <v>426</v>
      </c>
      <c r="L1743" s="42" t="s">
        <v>279</v>
      </c>
      <c r="M1743" s="36" t="s">
        <v>547</v>
      </c>
      <c r="N1743" s="36"/>
      <c r="O1743" s="36" t="s">
        <v>281</v>
      </c>
      <c r="P1743" s="41"/>
      <c r="Q1743" s="41"/>
      <c r="R1743" s="41"/>
      <c r="S1743" s="41"/>
      <c r="T1743" s="37">
        <v>206.28</v>
      </c>
      <c r="U1743" s="243">
        <v>21</v>
      </c>
      <c r="V1743" s="243">
        <v>41.05</v>
      </c>
      <c r="W1743" s="243">
        <v>211.08487844767379</v>
      </c>
      <c r="X1743" s="243">
        <v>21</v>
      </c>
      <c r="Y1743" s="414">
        <v>3.75</v>
      </c>
      <c r="Z1743" s="37">
        <v>3.79</v>
      </c>
      <c r="AA1743" s="37">
        <v>3.97</v>
      </c>
      <c r="AB1743" s="37">
        <v>3.21</v>
      </c>
      <c r="AC1743" s="37">
        <v>0.8014</v>
      </c>
      <c r="AD1743" s="37">
        <v>3.37</v>
      </c>
      <c r="AE1743" s="37">
        <v>3.72</v>
      </c>
      <c r="AF1743" s="37">
        <f t="shared" si="446"/>
        <v>3.97</v>
      </c>
      <c r="AG1743" s="38">
        <v>3.35</v>
      </c>
      <c r="AH1743" s="243">
        <v>1.5200000000000001E-7</v>
      </c>
      <c r="AI1743" s="243"/>
      <c r="AJ1743" s="34">
        <f t="shared" si="440"/>
        <v>-5.2067227383678789</v>
      </c>
      <c r="AK1743" s="34"/>
      <c r="AL1743" s="34">
        <f t="shared" si="445"/>
        <v>-5.2067227383678789</v>
      </c>
      <c r="AM1743" s="34">
        <v>-8.3652599999999993</v>
      </c>
      <c r="AN1743" s="244">
        <v>-6.18</v>
      </c>
      <c r="AO1743" s="417">
        <v>4.41</v>
      </c>
      <c r="AP1743" s="417"/>
      <c r="AQ1743" s="244" t="s">
        <v>6311</v>
      </c>
      <c r="AR1743" s="244" t="s">
        <v>6311</v>
      </c>
      <c r="AS1743" s="241" t="s">
        <v>90</v>
      </c>
      <c r="AT1743" s="39" t="s">
        <v>266</v>
      </c>
      <c r="AU1743" s="37">
        <v>0</v>
      </c>
      <c r="AV1743" s="37">
        <v>48</v>
      </c>
      <c r="AW1743" s="37">
        <v>48</v>
      </c>
      <c r="AX1743" s="37">
        <v>26</v>
      </c>
      <c r="AY1743" s="37" t="s">
        <v>8722</v>
      </c>
      <c r="AZ1743" s="37" t="s">
        <v>536</v>
      </c>
      <c r="BA1743" s="37">
        <v>20</v>
      </c>
      <c r="BB1743" s="36" t="s">
        <v>537</v>
      </c>
      <c r="BC1743" s="36" t="s">
        <v>538</v>
      </c>
      <c r="BD1743" s="36"/>
      <c r="BE1743" s="245" t="s">
        <v>271</v>
      </c>
      <c r="BF1743" s="245" t="s">
        <v>539</v>
      </c>
      <c r="BG1743" s="245" t="s">
        <v>540</v>
      </c>
      <c r="BH1743" s="245" t="s">
        <v>272</v>
      </c>
      <c r="BI1743" s="250">
        <v>4.8888359999999995</v>
      </c>
      <c r="BJ1743" s="250">
        <v>117.33206399999999</v>
      </c>
      <c r="BK1743" s="37"/>
      <c r="BL1743" s="263">
        <v>4.182713544871266</v>
      </c>
      <c r="BM1743" s="37" t="s">
        <v>541</v>
      </c>
      <c r="BN1743" s="37"/>
      <c r="BO1743" s="37">
        <v>41.359140000000004</v>
      </c>
      <c r="BP1743" s="37"/>
      <c r="BQ1743" s="37"/>
      <c r="BR1743" s="37"/>
      <c r="BS1743" s="37"/>
      <c r="BT1743" s="37"/>
      <c r="BU1743" s="246"/>
      <c r="BV1743" s="37"/>
      <c r="BW1743" s="37"/>
      <c r="BX1743" s="37"/>
      <c r="BY1743" s="37"/>
      <c r="BZ1743" s="37"/>
      <c r="CA1743" s="37"/>
      <c r="CB1743" s="37"/>
      <c r="CC1743" s="37"/>
      <c r="CD1743" s="37"/>
      <c r="CE1743" s="37"/>
      <c r="CF1743" s="37"/>
      <c r="CG1743" s="37"/>
      <c r="CH1743" s="37"/>
      <c r="CI1743" s="243">
        <v>41.359140000000004</v>
      </c>
      <c r="CJ1743" s="243">
        <f>LOG10(CI1743)</f>
        <v>1.6165714996908784</v>
      </c>
      <c r="CK1743" s="38">
        <f t="shared" si="447"/>
        <v>3.5648512454969396E-2</v>
      </c>
      <c r="CL1743" s="247">
        <f>BL1743/CI1743</f>
        <v>0.10113154057050668</v>
      </c>
      <c r="CM1743" s="247"/>
      <c r="CN1743" s="247"/>
      <c r="CO1743" s="36"/>
      <c r="CP1743" s="496" t="s">
        <v>542</v>
      </c>
      <c r="CQ1743" s="241">
        <v>2.2380461031287955</v>
      </c>
      <c r="CR1743" s="241">
        <f>10^(CJ1743-CQ1743)</f>
        <v>0.2390701734104046</v>
      </c>
      <c r="CS1743" s="33"/>
      <c r="CT1743" s="33"/>
      <c r="CU1743" s="250">
        <f>X1743/CI1743</f>
        <v>0.50774750151961567</v>
      </c>
      <c r="CV1743" s="337">
        <f t="shared" si="448"/>
        <v>0.17897920895689692</v>
      </c>
      <c r="CW1743" s="330">
        <f>IF(CU1743&lt;2,0,1)</f>
        <v>0</v>
      </c>
      <c r="CX1743" s="330"/>
      <c r="CY1743" s="143" t="s">
        <v>6351</v>
      </c>
    </row>
    <row r="1744" spans="1:103" ht="11.25" customHeight="1" x14ac:dyDescent="0.2">
      <c r="A1744" s="72">
        <v>1889</v>
      </c>
      <c r="B1744" s="241">
        <v>199</v>
      </c>
      <c r="C1744" s="32" t="s">
        <v>3702</v>
      </c>
      <c r="D1744" s="32"/>
      <c r="E1744" s="40"/>
      <c r="F1744" s="40" t="s">
        <v>3703</v>
      </c>
      <c r="G1744" s="242">
        <v>23031325</v>
      </c>
      <c r="H1744" s="36" t="s">
        <v>3704</v>
      </c>
      <c r="I1744" s="36" t="s">
        <v>3704</v>
      </c>
      <c r="J1744" s="36" t="s">
        <v>3705</v>
      </c>
      <c r="K1744" s="36" t="s">
        <v>3706</v>
      </c>
      <c r="L1744" s="36"/>
      <c r="M1744" s="36"/>
      <c r="N1744" s="36"/>
      <c r="O1744" s="36"/>
      <c r="P1744" s="41"/>
      <c r="Q1744" s="41"/>
      <c r="R1744" s="41"/>
      <c r="S1744" s="41"/>
      <c r="T1744" s="37">
        <v>225.28</v>
      </c>
      <c r="U1744" s="243"/>
      <c r="V1744" s="243">
        <v>212800</v>
      </c>
      <c r="W1744" s="243">
        <v>10782.578719844396</v>
      </c>
      <c r="X1744" s="243">
        <v>10782.578719844396</v>
      </c>
      <c r="Y1744" s="414">
        <v>9.3699999999999992</v>
      </c>
      <c r="Z1744" s="37">
        <v>0.67</v>
      </c>
      <c r="AA1744" s="37">
        <v>0.9</v>
      </c>
      <c r="AB1744" s="37">
        <v>0.55000000000000004</v>
      </c>
      <c r="AC1744" s="37">
        <v>0.73699999999999999</v>
      </c>
      <c r="AD1744" s="37">
        <v>0.52</v>
      </c>
      <c r="AE1744" s="37">
        <v>0.48</v>
      </c>
      <c r="AF1744" s="37">
        <f t="shared" si="446"/>
        <v>0.9</v>
      </c>
      <c r="AG1744" s="38">
        <v>1.23</v>
      </c>
      <c r="AH1744" s="243">
        <v>1.6500000000000001E-18</v>
      </c>
      <c r="AI1744" s="243"/>
      <c r="AJ1744" s="34">
        <f t="shared" si="440"/>
        <v>-16.171082382098746</v>
      </c>
      <c r="AK1744" s="34"/>
      <c r="AL1744" s="34">
        <f t="shared" si="445"/>
        <v>-16.171082382098746</v>
      </c>
      <c r="AM1744" s="34">
        <v>-18.533179999999998</v>
      </c>
      <c r="AN1744" s="244">
        <v>-15</v>
      </c>
      <c r="AO1744" s="417">
        <v>9.11</v>
      </c>
      <c r="AP1744" s="417">
        <v>9.65</v>
      </c>
      <c r="AQ1744" s="244" t="s">
        <v>6311</v>
      </c>
      <c r="AR1744" s="244" t="s">
        <v>6311</v>
      </c>
      <c r="AS1744" s="241" t="s">
        <v>6</v>
      </c>
      <c r="AT1744" s="39" t="s">
        <v>266</v>
      </c>
      <c r="AU1744" s="37">
        <v>0</v>
      </c>
      <c r="AV1744" s="37">
        <v>48</v>
      </c>
      <c r="AW1744" s="37">
        <v>48</v>
      </c>
      <c r="AX1744" s="37">
        <v>26</v>
      </c>
      <c r="AY1744" s="37" t="s">
        <v>8722</v>
      </c>
      <c r="AZ1744" s="37" t="s">
        <v>536</v>
      </c>
      <c r="BA1744" s="37">
        <v>20</v>
      </c>
      <c r="BB1744" s="36" t="s">
        <v>537</v>
      </c>
      <c r="BC1744" s="36" t="s">
        <v>538</v>
      </c>
      <c r="BD1744" s="36"/>
      <c r="BE1744" s="245" t="s">
        <v>271</v>
      </c>
      <c r="BF1744" s="245" t="s">
        <v>539</v>
      </c>
      <c r="BG1744" s="245" t="s">
        <v>540</v>
      </c>
      <c r="BH1744" s="245" t="s">
        <v>272</v>
      </c>
      <c r="BI1744" s="250">
        <v>9978.7032576000001</v>
      </c>
      <c r="BJ1744" s="250">
        <v>16426.043392</v>
      </c>
      <c r="BK1744" s="37"/>
      <c r="BL1744" s="263">
        <v>2895.9805282483785</v>
      </c>
      <c r="BM1744" s="37" t="s">
        <v>541</v>
      </c>
      <c r="BN1744" s="37"/>
      <c r="BO1744" s="37"/>
      <c r="BP1744" s="37"/>
      <c r="BQ1744" s="37"/>
      <c r="BR1744" s="37"/>
      <c r="BS1744" s="37"/>
      <c r="BT1744" s="37"/>
      <c r="BU1744" s="246"/>
      <c r="BV1744" s="37"/>
      <c r="BW1744" s="37"/>
      <c r="BX1744" s="37"/>
      <c r="BY1744" s="37"/>
      <c r="BZ1744" s="37"/>
      <c r="CA1744" s="37"/>
      <c r="CB1744" s="37"/>
      <c r="CC1744" s="37"/>
      <c r="CD1744" s="37"/>
      <c r="CE1744" s="37"/>
      <c r="CF1744" s="37"/>
      <c r="CG1744" s="37"/>
      <c r="CH1744" s="37"/>
      <c r="CI1744" s="243"/>
      <c r="CJ1744" s="243"/>
      <c r="CK1744" s="38">
        <f t="shared" si="447"/>
        <v>0.17630420540949091</v>
      </c>
      <c r="CL1744" s="247"/>
      <c r="CM1744" s="247"/>
      <c r="CN1744" s="247"/>
      <c r="CO1744" s="36" t="s">
        <v>3683</v>
      </c>
      <c r="CP1744" s="496" t="s">
        <v>542</v>
      </c>
      <c r="CQ1744" s="241" t="s">
        <v>272</v>
      </c>
      <c r="CR1744" s="241"/>
      <c r="CS1744" s="33"/>
      <c r="CT1744" s="33"/>
      <c r="CU1744" s="250"/>
      <c r="CV1744" s="337">
        <f t="shared" si="448"/>
        <v>0.65643189065821239</v>
      </c>
      <c r="CW1744" s="330">
        <f>IF(CV1744&lt;1,0,1)</f>
        <v>0</v>
      </c>
      <c r="CX1744" s="330"/>
      <c r="CY1744" s="143" t="s">
        <v>5921</v>
      </c>
    </row>
    <row r="1745" spans="1:103" ht="11.25" customHeight="1" x14ac:dyDescent="0.2">
      <c r="A1745" s="72">
        <v>1892</v>
      </c>
      <c r="B1745" s="241">
        <v>64</v>
      </c>
      <c r="C1745" s="32" t="s">
        <v>552</v>
      </c>
      <c r="D1745" s="32"/>
      <c r="E1745" s="40"/>
      <c r="F1745" s="40" t="s">
        <v>553</v>
      </c>
      <c r="G1745" s="242">
        <v>26159342</v>
      </c>
      <c r="H1745" s="36" t="s">
        <v>554</v>
      </c>
      <c r="I1745" s="36" t="s">
        <v>8254</v>
      </c>
      <c r="J1745" s="36" t="s">
        <v>555</v>
      </c>
      <c r="K1745" s="36" t="s">
        <v>426</v>
      </c>
      <c r="L1745" s="36"/>
      <c r="M1745" s="36"/>
      <c r="N1745" s="36"/>
      <c r="O1745" s="36"/>
      <c r="P1745" s="41"/>
      <c r="Q1745" s="41"/>
      <c r="R1745" s="41"/>
      <c r="S1745" s="41"/>
      <c r="T1745" s="37">
        <v>230.26</v>
      </c>
      <c r="U1745" s="243">
        <v>15.899999999999999</v>
      </c>
      <c r="V1745" s="243">
        <v>144.9</v>
      </c>
      <c r="W1745" s="243">
        <v>123.65694143221432</v>
      </c>
      <c r="X1745" s="243">
        <v>15.899999999999999</v>
      </c>
      <c r="Y1745" s="414">
        <v>4.09</v>
      </c>
      <c r="Z1745" s="37">
        <v>3.1</v>
      </c>
      <c r="AA1745" s="37">
        <v>3.18</v>
      </c>
      <c r="AB1745" s="37">
        <v>2.98</v>
      </c>
      <c r="AC1745" s="37">
        <v>0.86229999999999996</v>
      </c>
      <c r="AD1745" s="37">
        <v>2.98</v>
      </c>
      <c r="AE1745" s="37">
        <v>3</v>
      </c>
      <c r="AF1745" s="37">
        <f t="shared" si="446"/>
        <v>3.18</v>
      </c>
      <c r="AG1745" s="38">
        <v>2.98</v>
      </c>
      <c r="AH1745" s="243">
        <v>3.3900000000000002E-10</v>
      </c>
      <c r="AI1745" s="243"/>
      <c r="AJ1745" s="34">
        <f t="shared" si="440"/>
        <v>-7.8583666281095699</v>
      </c>
      <c r="AK1745" s="34"/>
      <c r="AL1745" s="34">
        <f t="shared" si="445"/>
        <v>-7.8583666281095699</v>
      </c>
      <c r="AM1745" s="34">
        <v>-11.75592</v>
      </c>
      <c r="AN1745" s="244"/>
      <c r="AO1745" s="417">
        <v>4.8499999999999996</v>
      </c>
      <c r="AP1745" s="417"/>
      <c r="AQ1745" s="244" t="s">
        <v>6311</v>
      </c>
      <c r="AR1745" s="244" t="s">
        <v>6311</v>
      </c>
      <c r="AS1745" s="241" t="s">
        <v>90</v>
      </c>
      <c r="AT1745" s="39" t="s">
        <v>266</v>
      </c>
      <c r="AU1745" s="37">
        <v>0</v>
      </c>
      <c r="AV1745" s="37">
        <v>48</v>
      </c>
      <c r="AW1745" s="37">
        <v>48</v>
      </c>
      <c r="AX1745" s="37">
        <v>26</v>
      </c>
      <c r="AY1745" s="37" t="s">
        <v>8722</v>
      </c>
      <c r="AZ1745" s="37" t="s">
        <v>536</v>
      </c>
      <c r="BA1745" s="37">
        <v>20</v>
      </c>
      <c r="BB1745" s="36" t="s">
        <v>537</v>
      </c>
      <c r="BC1745" s="36" t="s">
        <v>538</v>
      </c>
      <c r="BD1745" s="36"/>
      <c r="BE1745" s="245" t="s">
        <v>271</v>
      </c>
      <c r="BF1745" s="245" t="s">
        <v>539</v>
      </c>
      <c r="BG1745" s="245" t="s">
        <v>540</v>
      </c>
      <c r="BH1745" s="245" t="s">
        <v>272</v>
      </c>
      <c r="BI1745" s="250">
        <v>9.279478000000001</v>
      </c>
      <c r="BJ1745" s="250">
        <v>148.35651799999999</v>
      </c>
      <c r="BK1745" s="37"/>
      <c r="BL1745" s="263">
        <v>19.449502650790564</v>
      </c>
      <c r="BM1745" s="37" t="s">
        <v>541</v>
      </c>
      <c r="BN1745" s="37"/>
      <c r="BO1745" s="37">
        <v>54.594645999999997</v>
      </c>
      <c r="BP1745" s="37"/>
      <c r="BQ1745" s="37"/>
      <c r="BR1745" s="37"/>
      <c r="BS1745" s="37"/>
      <c r="BT1745" s="37"/>
      <c r="BU1745" s="246"/>
      <c r="BV1745" s="37"/>
      <c r="BW1745" s="37"/>
      <c r="BX1745" s="37"/>
      <c r="BY1745" s="37"/>
      <c r="BZ1745" s="37"/>
      <c r="CA1745" s="37"/>
      <c r="CB1745" s="37"/>
      <c r="CC1745" s="37"/>
      <c r="CD1745" s="37"/>
      <c r="CE1745" s="37"/>
      <c r="CF1745" s="37"/>
      <c r="CG1745" s="37"/>
      <c r="CH1745" s="37"/>
      <c r="CI1745" s="243">
        <v>54.594645999999997</v>
      </c>
      <c r="CJ1745" s="243">
        <f>LOG10(CI1745)</f>
        <v>1.7371500543042404</v>
      </c>
      <c r="CK1745" s="38">
        <f t="shared" si="447"/>
        <v>0.13109975155112877</v>
      </c>
      <c r="CL1745" s="247">
        <f>BL1745/CI1745</f>
        <v>0.3562529309337506</v>
      </c>
      <c r="CM1745" s="247"/>
      <c r="CN1745" s="247"/>
      <c r="CO1745" s="36"/>
      <c r="CP1745" s="496" t="s">
        <v>542</v>
      </c>
      <c r="CQ1745" s="241" t="s">
        <v>272</v>
      </c>
      <c r="CR1745" s="241"/>
      <c r="CS1745" s="33"/>
      <c r="CT1745" s="33"/>
      <c r="CU1745" s="250">
        <f>X1745/CI1745</f>
        <v>0.29123734953790154</v>
      </c>
      <c r="CV1745" s="337">
        <f t="shared" si="448"/>
        <v>0.10717425977873112</v>
      </c>
      <c r="CW1745" s="330">
        <f>IF(CU1745&lt;2,0,1)</f>
        <v>0</v>
      </c>
      <c r="CX1745" s="330"/>
      <c r="CY1745" s="143" t="s">
        <v>5921</v>
      </c>
    </row>
    <row r="1746" spans="1:103" ht="11.25" customHeight="1" x14ac:dyDescent="0.2">
      <c r="A1746" s="72">
        <v>1901</v>
      </c>
      <c r="B1746" s="241">
        <v>201</v>
      </c>
      <c r="C1746" s="32" t="s">
        <v>3707</v>
      </c>
      <c r="D1746" s="32"/>
      <c r="E1746" s="40"/>
      <c r="F1746" s="40" t="s">
        <v>3708</v>
      </c>
      <c r="G1746" s="242">
        <v>41859670</v>
      </c>
      <c r="H1746" s="36" t="s">
        <v>3709</v>
      </c>
      <c r="I1746" s="36" t="s">
        <v>8260</v>
      </c>
      <c r="J1746" s="36" t="s">
        <v>3710</v>
      </c>
      <c r="K1746" s="36" t="s">
        <v>471</v>
      </c>
      <c r="L1746" s="42" t="s">
        <v>279</v>
      </c>
      <c r="M1746" s="36" t="s">
        <v>3711</v>
      </c>
      <c r="N1746" s="36"/>
      <c r="O1746" s="36" t="s">
        <v>281</v>
      </c>
      <c r="P1746" s="41"/>
      <c r="Q1746" s="41"/>
      <c r="R1746" s="41"/>
      <c r="S1746" s="41"/>
      <c r="T1746" s="37">
        <v>361.82</v>
      </c>
      <c r="U1746" s="243"/>
      <c r="V1746" s="243">
        <v>1.224</v>
      </c>
      <c r="W1746" s="243">
        <v>106.78065223924317</v>
      </c>
      <c r="X1746" s="243">
        <v>106.78065223924317</v>
      </c>
      <c r="Y1746" s="414">
        <v>3.68</v>
      </c>
      <c r="Z1746" s="37">
        <v>4.25</v>
      </c>
      <c r="AA1746" s="37"/>
      <c r="AB1746" s="37">
        <v>3.5</v>
      </c>
      <c r="AC1746" s="37">
        <v>0.62629999999999997</v>
      </c>
      <c r="AD1746" s="37">
        <v>3.48</v>
      </c>
      <c r="AE1746" s="37">
        <v>3.46</v>
      </c>
      <c r="AF1746" s="37">
        <f t="shared" si="446"/>
        <v>3.48</v>
      </c>
      <c r="AG1746" s="38">
        <v>3.82</v>
      </c>
      <c r="AH1746" s="243">
        <v>2.1200000000000001E-15</v>
      </c>
      <c r="AI1746" s="243"/>
      <c r="AJ1746" s="34">
        <f t="shared" si="440"/>
        <v>-13.0622304653839</v>
      </c>
      <c r="AK1746" s="34"/>
      <c r="AL1746" s="34">
        <f t="shared" si="445"/>
        <v>-13.0622304653839</v>
      </c>
      <c r="AM1746" s="34">
        <v>-19.732430000000001</v>
      </c>
      <c r="AN1746" s="244">
        <v>-16.2</v>
      </c>
      <c r="AO1746" s="417">
        <v>3.29</v>
      </c>
      <c r="AP1746" s="417">
        <v>-2.06</v>
      </c>
      <c r="AQ1746" s="244" t="s">
        <v>6311</v>
      </c>
      <c r="AR1746" s="244" t="s">
        <v>6311</v>
      </c>
      <c r="AS1746" s="241" t="s">
        <v>90</v>
      </c>
      <c r="AT1746" s="39" t="s">
        <v>266</v>
      </c>
      <c r="AU1746" s="37">
        <v>0</v>
      </c>
      <c r="AV1746" s="37">
        <v>48</v>
      </c>
      <c r="AW1746" s="37">
        <v>48</v>
      </c>
      <c r="AX1746" s="37">
        <v>26</v>
      </c>
      <c r="AY1746" s="37" t="s">
        <v>8722</v>
      </c>
      <c r="AZ1746" s="37" t="s">
        <v>536</v>
      </c>
      <c r="BA1746" s="37">
        <v>20</v>
      </c>
      <c r="BB1746" s="36" t="s">
        <v>537</v>
      </c>
      <c r="BC1746" s="36" t="s">
        <v>538</v>
      </c>
      <c r="BD1746" s="36"/>
      <c r="BE1746" s="245" t="s">
        <v>271</v>
      </c>
      <c r="BF1746" s="245" t="s">
        <v>539</v>
      </c>
      <c r="BG1746" s="245" t="s">
        <v>540</v>
      </c>
      <c r="BH1746" s="245" t="s">
        <v>272</v>
      </c>
      <c r="BI1746" s="250">
        <v>6.2594859999999999</v>
      </c>
      <c r="BJ1746" s="250">
        <v>100.007048</v>
      </c>
      <c r="BK1746" s="37"/>
      <c r="BL1746" s="263">
        <v>2.8337893859172447</v>
      </c>
      <c r="BM1746" s="37" t="s">
        <v>541</v>
      </c>
      <c r="BN1746" s="37"/>
      <c r="BO1746" s="37"/>
      <c r="BP1746" s="37"/>
      <c r="BQ1746" s="37"/>
      <c r="BR1746" s="37"/>
      <c r="BS1746" s="37"/>
      <c r="BT1746" s="37"/>
      <c r="BU1746" s="246"/>
      <c r="BV1746" s="37"/>
      <c r="BW1746" s="37"/>
      <c r="BX1746" s="37"/>
      <c r="BY1746" s="37"/>
      <c r="BZ1746" s="37"/>
      <c r="CA1746" s="37"/>
      <c r="CB1746" s="37"/>
      <c r="CC1746" s="37"/>
      <c r="CD1746" s="37"/>
      <c r="CE1746" s="37"/>
      <c r="CF1746" s="37"/>
      <c r="CG1746" s="37"/>
      <c r="CH1746" s="37"/>
      <c r="CI1746" s="243"/>
      <c r="CJ1746" s="243"/>
      <c r="CK1746" s="38">
        <f t="shared" si="447"/>
        <v>2.8335896745169849E-2</v>
      </c>
      <c r="CL1746" s="247"/>
      <c r="CM1746" s="247"/>
      <c r="CN1746" s="247"/>
      <c r="CO1746" s="36" t="s">
        <v>3683</v>
      </c>
      <c r="CP1746" s="496" t="s">
        <v>542</v>
      </c>
      <c r="CQ1746" s="241" t="s">
        <v>272</v>
      </c>
      <c r="CR1746" s="241"/>
      <c r="CS1746" s="33"/>
      <c r="CT1746" s="33"/>
      <c r="CU1746" s="250"/>
      <c r="CV1746" s="337">
        <f t="shared" si="448"/>
        <v>1.0677312686926141</v>
      </c>
      <c r="CW1746" s="330">
        <f>IF(CV1746&lt;1,0,1)</f>
        <v>1</v>
      </c>
      <c r="CX1746" s="330"/>
      <c r="CY1746" s="143" t="s">
        <v>5921</v>
      </c>
    </row>
    <row r="1747" spans="1:103" ht="11.25" customHeight="1" x14ac:dyDescent="0.2">
      <c r="A1747" s="72">
        <v>1902</v>
      </c>
      <c r="B1747" s="241">
        <v>205</v>
      </c>
      <c r="C1747" s="32" t="s">
        <v>3715</v>
      </c>
      <c r="D1747" s="32"/>
      <c r="E1747" s="40"/>
      <c r="F1747" s="40" t="s">
        <v>3166</v>
      </c>
      <c r="G1747" s="242">
        <v>49562289</v>
      </c>
      <c r="H1747" s="36" t="s">
        <v>3167</v>
      </c>
      <c r="I1747" s="36" t="s">
        <v>7950</v>
      </c>
      <c r="J1747" s="36" t="s">
        <v>3168</v>
      </c>
      <c r="K1747" s="36" t="s">
        <v>357</v>
      </c>
      <c r="L1747" s="42" t="s">
        <v>279</v>
      </c>
      <c r="M1747" s="36" t="s">
        <v>3169</v>
      </c>
      <c r="N1747" s="36" t="s">
        <v>6383</v>
      </c>
      <c r="O1747" s="36" t="s">
        <v>281</v>
      </c>
      <c r="P1747" s="41"/>
      <c r="Q1747" s="41" t="s">
        <v>6173</v>
      </c>
      <c r="R1747" s="41" t="s">
        <v>6175</v>
      </c>
      <c r="S1747" s="41" t="s">
        <v>6176</v>
      </c>
      <c r="T1747" s="37">
        <v>360.83</v>
      </c>
      <c r="U1747" s="243"/>
      <c r="V1747" s="243">
        <v>0.19570000000000001</v>
      </c>
      <c r="W1747" s="243">
        <v>2.2766833860878775</v>
      </c>
      <c r="X1747" s="243">
        <v>2.2766833860878775</v>
      </c>
      <c r="Y1747" s="414">
        <v>7</v>
      </c>
      <c r="Z1747" s="37">
        <v>5.19</v>
      </c>
      <c r="AA1747" s="37"/>
      <c r="AB1747" s="37">
        <v>5.0999999999999996</v>
      </c>
      <c r="AC1747" s="37">
        <v>0.7853</v>
      </c>
      <c r="AD1747" s="37">
        <v>5.01</v>
      </c>
      <c r="AE1747" s="37">
        <v>4.8</v>
      </c>
      <c r="AF1747" s="37">
        <f t="shared" si="446"/>
        <v>5.01</v>
      </c>
      <c r="AG1747" s="38">
        <v>5.01</v>
      </c>
      <c r="AH1747" s="243">
        <v>4.4599999999999999E-9</v>
      </c>
      <c r="AI1747" s="243"/>
      <c r="AJ1747" s="34">
        <f t="shared" ref="AJ1747:AJ1763" si="449">LOG10(AH1747*1000/(0.08206*298.15))</f>
        <v>-6.7392314676005096</v>
      </c>
      <c r="AK1747" s="34"/>
      <c r="AL1747" s="34">
        <f t="shared" si="445"/>
        <v>-6.7392314676005096</v>
      </c>
      <c r="AM1747" s="34">
        <v>-13.82502</v>
      </c>
      <c r="AN1747" s="244">
        <v>-6.28</v>
      </c>
      <c r="AO1747" s="417"/>
      <c r="AP1747" s="417"/>
      <c r="AQ1747" s="244" t="s">
        <v>6311</v>
      </c>
      <c r="AR1747" s="244" t="s">
        <v>6312</v>
      </c>
      <c r="AS1747" s="241" t="s">
        <v>90</v>
      </c>
      <c r="AT1747" s="39" t="s">
        <v>266</v>
      </c>
      <c r="AU1747" s="37">
        <v>0</v>
      </c>
      <c r="AV1747" s="37">
        <v>48</v>
      </c>
      <c r="AW1747" s="37">
        <v>48</v>
      </c>
      <c r="AX1747" s="37">
        <v>26</v>
      </c>
      <c r="AY1747" s="37" t="s">
        <v>8722</v>
      </c>
      <c r="AZ1747" s="37" t="s">
        <v>536</v>
      </c>
      <c r="BA1747" s="37">
        <v>20</v>
      </c>
      <c r="BB1747" s="36" t="s">
        <v>537</v>
      </c>
      <c r="BC1747" s="36" t="s">
        <v>538</v>
      </c>
      <c r="BD1747" s="36"/>
      <c r="BE1747" s="245" t="s">
        <v>271</v>
      </c>
      <c r="BF1747" s="245" t="s">
        <v>539</v>
      </c>
      <c r="BG1747" s="245" t="s">
        <v>540</v>
      </c>
      <c r="BH1747" s="245" t="s">
        <v>272</v>
      </c>
      <c r="BI1747" s="250">
        <v>14.794029999999999</v>
      </c>
      <c r="BJ1747" s="250">
        <v>75.016556999999992</v>
      </c>
      <c r="BK1747" s="37"/>
      <c r="BL1747" s="263">
        <v>0.404542019658371</v>
      </c>
      <c r="BM1747" s="37" t="s">
        <v>541</v>
      </c>
      <c r="BN1747" s="37"/>
      <c r="BO1747" s="37"/>
      <c r="BP1747" s="37"/>
      <c r="BQ1747" s="37"/>
      <c r="BR1747" s="37"/>
      <c r="BS1747" s="37"/>
      <c r="BT1747" s="37"/>
      <c r="BU1747" s="246"/>
      <c r="BV1747" s="37"/>
      <c r="BW1747" s="37"/>
      <c r="BX1747" s="37"/>
      <c r="BY1747" s="37"/>
      <c r="BZ1747" s="37"/>
      <c r="CA1747" s="37"/>
      <c r="CB1747" s="37"/>
      <c r="CC1747" s="37"/>
      <c r="CD1747" s="37"/>
      <c r="CE1747" s="37"/>
      <c r="CF1747" s="37"/>
      <c r="CG1747" s="37"/>
      <c r="CH1747" s="37"/>
      <c r="CI1747" s="243"/>
      <c r="CJ1747" s="243"/>
      <c r="CK1747" s="38">
        <f t="shared" si="447"/>
        <v>5.3927031023080817E-3</v>
      </c>
      <c r="CL1747" s="247"/>
      <c r="CM1747" s="247"/>
      <c r="CN1747" s="247"/>
      <c r="CO1747" s="36" t="s">
        <v>3683</v>
      </c>
      <c r="CP1747" s="496" t="s">
        <v>542</v>
      </c>
      <c r="CQ1747" s="241" t="s">
        <v>272</v>
      </c>
      <c r="CR1747" s="241"/>
      <c r="CS1747" s="33"/>
      <c r="CT1747" s="33"/>
      <c r="CU1747" s="250"/>
      <c r="CV1747" s="337">
        <f t="shared" si="448"/>
        <v>3.0349078618575866E-2</v>
      </c>
      <c r="CW1747" s="330">
        <f>IF(CV1747&lt;1,0,1)</f>
        <v>0</v>
      </c>
      <c r="CX1747" s="330"/>
      <c r="CY1747" s="143" t="s">
        <v>6351</v>
      </c>
    </row>
    <row r="1748" spans="1:103" ht="11.25" customHeight="1" x14ac:dyDescent="0.2">
      <c r="A1748" s="72">
        <v>1904</v>
      </c>
      <c r="B1748" s="241">
        <v>81</v>
      </c>
      <c r="C1748" s="32" t="s">
        <v>593</v>
      </c>
      <c r="D1748" s="32"/>
      <c r="E1748" s="40"/>
      <c r="F1748" s="40" t="s">
        <v>594</v>
      </c>
      <c r="G1748" s="242">
        <v>51022709</v>
      </c>
      <c r="H1748" s="36" t="s">
        <v>595</v>
      </c>
      <c r="I1748" s="36" t="s">
        <v>595</v>
      </c>
      <c r="J1748" s="36" t="s">
        <v>596</v>
      </c>
      <c r="K1748" s="36" t="s">
        <v>597</v>
      </c>
      <c r="L1748" s="36"/>
      <c r="M1748" s="36"/>
      <c r="N1748" s="36"/>
      <c r="O1748" s="36"/>
      <c r="P1748" s="41"/>
      <c r="Q1748" s="41"/>
      <c r="R1748" s="41"/>
      <c r="S1748" s="41"/>
      <c r="T1748" s="37">
        <v>239.31</v>
      </c>
      <c r="U1748" s="243">
        <v>14100</v>
      </c>
      <c r="V1748" s="243">
        <v>300200</v>
      </c>
      <c r="W1748" s="243">
        <v>53574.835567078924</v>
      </c>
      <c r="X1748" s="243">
        <v>14100</v>
      </c>
      <c r="Y1748" s="414">
        <v>9.81</v>
      </c>
      <c r="Z1748" s="37">
        <v>0.64</v>
      </c>
      <c r="AA1748" s="37"/>
      <c r="AB1748" s="37">
        <v>1.1399999999999999</v>
      </c>
      <c r="AC1748" s="37">
        <v>0.58960000000000001</v>
      </c>
      <c r="AD1748" s="37">
        <v>0.61</v>
      </c>
      <c r="AE1748" s="37">
        <v>0.01</v>
      </c>
      <c r="AF1748" s="37">
        <f t="shared" si="446"/>
        <v>0.61</v>
      </c>
      <c r="AG1748" s="38">
        <v>0.89</v>
      </c>
      <c r="AH1748" s="243">
        <v>6.4000000000000005E-16</v>
      </c>
      <c r="AI1748" s="243"/>
      <c r="AJ1748" s="34">
        <f t="shared" si="449"/>
        <v>-13.582386352328765</v>
      </c>
      <c r="AK1748" s="34"/>
      <c r="AL1748" s="34">
        <f t="shared" si="445"/>
        <v>-13.582386352328765</v>
      </c>
      <c r="AM1748" s="34">
        <v>-18.729609999999997</v>
      </c>
      <c r="AN1748" s="244">
        <v>-11</v>
      </c>
      <c r="AO1748" s="417">
        <v>9.99</v>
      </c>
      <c r="AP1748" s="417">
        <v>9.6199999999999992</v>
      </c>
      <c r="AQ1748" s="244" t="s">
        <v>6311</v>
      </c>
      <c r="AR1748" s="244" t="s">
        <v>6311</v>
      </c>
      <c r="AS1748" s="241" t="s">
        <v>105</v>
      </c>
      <c r="AT1748" s="39" t="s">
        <v>266</v>
      </c>
      <c r="AU1748" s="37">
        <v>0</v>
      </c>
      <c r="AV1748" s="37">
        <v>48</v>
      </c>
      <c r="AW1748" s="37">
        <v>48</v>
      </c>
      <c r="AX1748" s="37">
        <v>26</v>
      </c>
      <c r="AY1748" s="37" t="s">
        <v>8722</v>
      </c>
      <c r="AZ1748" s="37" t="s">
        <v>536</v>
      </c>
      <c r="BA1748" s="37">
        <v>20</v>
      </c>
      <c r="BB1748" s="36" t="s">
        <v>537</v>
      </c>
      <c r="BC1748" s="36" t="s">
        <v>538</v>
      </c>
      <c r="BD1748" s="36"/>
      <c r="BE1748" s="245" t="s">
        <v>271</v>
      </c>
      <c r="BF1748" s="245" t="s">
        <v>539</v>
      </c>
      <c r="BG1748" s="245" t="s">
        <v>540</v>
      </c>
      <c r="BH1748" s="245" t="s">
        <v>272</v>
      </c>
      <c r="BI1748" s="250">
        <v>1037.40885</v>
      </c>
      <c r="BJ1748" s="250">
        <v>16598.589462</v>
      </c>
      <c r="BK1748" s="37"/>
      <c r="BL1748" s="263">
        <v>3273.2324406516786</v>
      </c>
      <c r="BM1748" s="37" t="s">
        <v>541</v>
      </c>
      <c r="BN1748" s="37"/>
      <c r="BO1748" s="37">
        <v>11314.600730999999</v>
      </c>
      <c r="BP1748" s="37"/>
      <c r="BQ1748" s="37"/>
      <c r="BR1748" s="37"/>
      <c r="BS1748" s="37"/>
      <c r="BT1748" s="37"/>
      <c r="BU1748" s="246"/>
      <c r="BV1748" s="37"/>
      <c r="BW1748" s="37"/>
      <c r="BX1748" s="37"/>
      <c r="BY1748" s="37"/>
      <c r="BZ1748" s="37"/>
      <c r="CA1748" s="37"/>
      <c r="CB1748" s="37"/>
      <c r="CC1748" s="37"/>
      <c r="CD1748" s="37"/>
      <c r="CE1748" s="37"/>
      <c r="CF1748" s="37"/>
      <c r="CG1748" s="37"/>
      <c r="CH1748" s="37"/>
      <c r="CI1748" s="243">
        <v>11314.600730999999</v>
      </c>
      <c r="CJ1748" s="243">
        <f>LOG10(CI1748)</f>
        <v>4.0536392332016682</v>
      </c>
      <c r="CK1748" s="38">
        <f t="shared" si="447"/>
        <v>0.19719943361122685</v>
      </c>
      <c r="CL1748" s="247">
        <f>BL1748/CI1748</f>
        <v>0.28929279242559591</v>
      </c>
      <c r="CM1748" s="247"/>
      <c r="CN1748" s="247"/>
      <c r="CO1748" s="36"/>
      <c r="CP1748" s="496" t="s">
        <v>542</v>
      </c>
      <c r="CQ1748" s="241" t="s">
        <v>272</v>
      </c>
      <c r="CR1748" s="241"/>
      <c r="CS1748" s="33"/>
      <c r="CT1748" s="33"/>
      <c r="CU1748" s="250">
        <f>X1748/CI1748</f>
        <v>1.2461774246587864</v>
      </c>
      <c r="CV1748" s="337">
        <f t="shared" si="448"/>
        <v>0.84946977165016646</v>
      </c>
      <c r="CW1748" s="330">
        <f>IF(CU1748&lt;2,0,1)</f>
        <v>0</v>
      </c>
      <c r="CX1748" s="330"/>
      <c r="CY1748" s="143" t="s">
        <v>5921</v>
      </c>
    </row>
    <row r="1749" spans="1:103" ht="11.25" customHeight="1" x14ac:dyDescent="0.2">
      <c r="A1749" s="72">
        <v>1905</v>
      </c>
      <c r="B1749" s="241">
        <v>78</v>
      </c>
      <c r="C1749" s="32" t="s">
        <v>578</v>
      </c>
      <c r="D1749" s="32" t="s">
        <v>6629</v>
      </c>
      <c r="E1749" s="40"/>
      <c r="F1749" s="40" t="s">
        <v>579</v>
      </c>
      <c r="G1749" s="242">
        <v>51384511</v>
      </c>
      <c r="H1749" s="36" t="s">
        <v>580</v>
      </c>
      <c r="I1749" s="36" t="s">
        <v>580</v>
      </c>
      <c r="J1749" s="36" t="s">
        <v>581</v>
      </c>
      <c r="K1749" s="36" t="s">
        <v>300</v>
      </c>
      <c r="L1749" s="36"/>
      <c r="M1749" s="36" t="s">
        <v>5852</v>
      </c>
      <c r="N1749" s="36" t="s">
        <v>6376</v>
      </c>
      <c r="O1749" s="36"/>
      <c r="P1749" s="41"/>
      <c r="Q1749" s="41"/>
      <c r="R1749" s="41"/>
      <c r="S1749" s="41"/>
      <c r="T1749" s="37">
        <v>267.36</v>
      </c>
      <c r="U1749" s="243">
        <v>16900</v>
      </c>
      <c r="V1749" s="243">
        <v>4777</v>
      </c>
      <c r="W1749" s="243">
        <v>10643.793311918304</v>
      </c>
      <c r="X1749" s="243">
        <v>16900</v>
      </c>
      <c r="Y1749" s="414">
        <v>11.06</v>
      </c>
      <c r="Z1749" s="37">
        <v>1.69</v>
      </c>
      <c r="AA1749" s="37">
        <v>1.88</v>
      </c>
      <c r="AB1749" s="37">
        <v>1.88</v>
      </c>
      <c r="AC1749" s="37">
        <v>0.79749999999999999</v>
      </c>
      <c r="AD1749" s="37">
        <v>1.85</v>
      </c>
      <c r="AE1749" s="37">
        <v>1.79</v>
      </c>
      <c r="AF1749" s="37">
        <f t="shared" si="446"/>
        <v>1.88</v>
      </c>
      <c r="AG1749" s="38">
        <v>1.87</v>
      </c>
      <c r="AH1749" s="243">
        <v>1.4000000000000001E-13</v>
      </c>
      <c r="AI1749" s="243"/>
      <c r="AJ1749" s="34">
        <f t="shared" si="449"/>
        <v>-11.242438290634414</v>
      </c>
      <c r="AK1749" s="34"/>
      <c r="AL1749" s="34">
        <f t="shared" si="445"/>
        <v>-11.242438290634414</v>
      </c>
      <c r="AM1749" s="34">
        <v>-13.46964</v>
      </c>
      <c r="AN1749" s="244">
        <v>-9.1999999999999993</v>
      </c>
      <c r="AO1749" s="417">
        <v>13.89</v>
      </c>
      <c r="AP1749" s="417">
        <v>9.43</v>
      </c>
      <c r="AQ1749" s="244" t="s">
        <v>6311</v>
      </c>
      <c r="AR1749" s="244" t="s">
        <v>6311</v>
      </c>
      <c r="AS1749" s="241" t="s">
        <v>102</v>
      </c>
      <c r="AT1749" s="39" t="s">
        <v>266</v>
      </c>
      <c r="AU1749" s="37">
        <v>0</v>
      </c>
      <c r="AV1749" s="37">
        <v>48</v>
      </c>
      <c r="AW1749" s="37">
        <v>48</v>
      </c>
      <c r="AX1749" s="37">
        <v>26</v>
      </c>
      <c r="AY1749" s="37" t="s">
        <v>8722</v>
      </c>
      <c r="AZ1749" s="37" t="s">
        <v>536</v>
      </c>
      <c r="BA1749" s="37">
        <v>20</v>
      </c>
      <c r="BB1749" s="36" t="s">
        <v>537</v>
      </c>
      <c r="BC1749" s="36" t="s">
        <v>538</v>
      </c>
      <c r="BD1749" s="36"/>
      <c r="BE1749" s="245" t="s">
        <v>271</v>
      </c>
      <c r="BF1749" s="245" t="s">
        <v>539</v>
      </c>
      <c r="BG1749" s="245" t="s">
        <v>540</v>
      </c>
      <c r="BH1749" s="245" t="s">
        <v>272</v>
      </c>
      <c r="BI1749" s="250">
        <v>585.62534400000004</v>
      </c>
      <c r="BJ1749" s="250">
        <v>2964.7015680000004</v>
      </c>
      <c r="BK1749" s="37"/>
      <c r="BL1749" s="263">
        <v>416.97251828381803</v>
      </c>
      <c r="BM1749" s="37" t="s">
        <v>541</v>
      </c>
      <c r="BN1749" s="37"/>
      <c r="BO1749" s="37">
        <v>2849.095104</v>
      </c>
      <c r="BP1749" s="37"/>
      <c r="BQ1749" s="37"/>
      <c r="BR1749" s="37"/>
      <c r="BS1749" s="37"/>
      <c r="BT1749" s="37"/>
      <c r="BU1749" s="246"/>
      <c r="BV1749" s="37"/>
      <c r="BW1749" s="37"/>
      <c r="BX1749" s="37"/>
      <c r="BY1749" s="37"/>
      <c r="BZ1749" s="37"/>
      <c r="CA1749" s="37"/>
      <c r="CB1749" s="37"/>
      <c r="CC1749" s="37"/>
      <c r="CD1749" s="37"/>
      <c r="CE1749" s="37"/>
      <c r="CF1749" s="37"/>
      <c r="CG1749" s="37"/>
      <c r="CH1749" s="37"/>
      <c r="CI1749" s="243">
        <v>2849.095104</v>
      </c>
      <c r="CJ1749" s="243">
        <f>LOG10(CI1749)</f>
        <v>3.4547069464149915</v>
      </c>
      <c r="CK1749" s="38">
        <f t="shared" si="447"/>
        <v>0.14064569695124807</v>
      </c>
      <c r="CL1749" s="247">
        <f>BL1749/CI1749</f>
        <v>0.14635261479983858</v>
      </c>
      <c r="CM1749" s="247"/>
      <c r="CN1749" s="247"/>
      <c r="CO1749" s="36"/>
      <c r="CP1749" s="496" t="s">
        <v>542</v>
      </c>
      <c r="CQ1749" s="241" t="s">
        <v>272</v>
      </c>
      <c r="CR1749" s="241"/>
      <c r="CS1749" s="33"/>
      <c r="CT1749" s="33"/>
      <c r="CU1749" s="250">
        <f>X1749/CI1749</f>
        <v>5.9317079223761846</v>
      </c>
      <c r="CV1749" s="337">
        <f t="shared" si="448"/>
        <v>5.7004051208435147</v>
      </c>
      <c r="CW1749" s="330">
        <f>IF(CU1749&lt;2,0,1)</f>
        <v>1</v>
      </c>
      <c r="CX1749" s="330"/>
      <c r="CY1749" s="143" t="s">
        <v>5921</v>
      </c>
    </row>
    <row r="1750" spans="1:103" ht="11.25" customHeight="1" x14ac:dyDescent="0.2">
      <c r="A1750" s="72">
        <v>1940</v>
      </c>
      <c r="B1750" s="241">
        <v>189</v>
      </c>
      <c r="C1750" s="32" t="s">
        <v>3688</v>
      </c>
      <c r="D1750" s="32"/>
      <c r="E1750" s="40"/>
      <c r="F1750" s="40" t="s">
        <v>3689</v>
      </c>
      <c r="G1750" s="242">
        <v>80214831</v>
      </c>
      <c r="H1750" s="36" t="s">
        <v>3690</v>
      </c>
      <c r="I1750" s="36" t="s">
        <v>8269</v>
      </c>
      <c r="J1750" s="36" t="s">
        <v>3691</v>
      </c>
      <c r="K1750" s="36" t="s">
        <v>264</v>
      </c>
      <c r="L1750" s="42" t="s">
        <v>279</v>
      </c>
      <c r="M1750" s="36" t="s">
        <v>8528</v>
      </c>
      <c r="N1750" s="36"/>
      <c r="O1750" s="36" t="s">
        <v>281</v>
      </c>
      <c r="P1750" s="41"/>
      <c r="Q1750" s="41"/>
      <c r="R1750" s="41"/>
      <c r="S1750" s="41"/>
      <c r="T1750" s="37">
        <v>837.05</v>
      </c>
      <c r="U1750" s="243"/>
      <c r="V1750" s="243">
        <v>1.8870000000000001E-2</v>
      </c>
      <c r="W1750" s="243">
        <v>191.75707687492627</v>
      </c>
      <c r="X1750" s="243">
        <v>191.75707687492627</v>
      </c>
      <c r="Y1750" s="414">
        <v>9.19</v>
      </c>
      <c r="Z1750" s="37">
        <v>2.75</v>
      </c>
      <c r="AA1750" s="37"/>
      <c r="AB1750" s="37">
        <v>3.48</v>
      </c>
      <c r="AC1750" s="37">
        <v>0.72209999999999996</v>
      </c>
      <c r="AD1750" s="37">
        <v>3.55</v>
      </c>
      <c r="AE1750" s="37">
        <v>3.73</v>
      </c>
      <c r="AF1750" s="37">
        <f t="shared" si="446"/>
        <v>3.55</v>
      </c>
      <c r="AG1750" s="37">
        <v>2.97</v>
      </c>
      <c r="AH1750" s="243">
        <v>4.9699999999999996E-31</v>
      </c>
      <c r="AI1750" s="243"/>
      <c r="AJ1750" s="34">
        <f t="shared" si="449"/>
        <v>-28.692209937579321</v>
      </c>
      <c r="AK1750" s="34"/>
      <c r="AL1750" s="34">
        <f t="shared" si="445"/>
        <v>-28.692209937579321</v>
      </c>
      <c r="AM1750" s="34">
        <v>-43.251219999999996</v>
      </c>
      <c r="AN1750" s="37">
        <v>-30.6</v>
      </c>
      <c r="AO1750" s="417">
        <v>13</v>
      </c>
      <c r="AP1750" s="417">
        <v>8.16</v>
      </c>
      <c r="AQ1750" s="37" t="s">
        <v>6311</v>
      </c>
      <c r="AR1750" s="37" t="s">
        <v>6311</v>
      </c>
      <c r="AS1750" s="241" t="s">
        <v>90</v>
      </c>
      <c r="AT1750" s="39" t="s">
        <v>266</v>
      </c>
      <c r="AU1750" s="37">
        <v>0</v>
      </c>
      <c r="AV1750" s="37">
        <v>48</v>
      </c>
      <c r="AW1750" s="37">
        <v>48</v>
      </c>
      <c r="AX1750" s="37">
        <v>26</v>
      </c>
      <c r="AY1750" s="37" t="s">
        <v>8722</v>
      </c>
      <c r="AZ1750" s="37" t="s">
        <v>536</v>
      </c>
      <c r="BA1750" s="37">
        <v>20</v>
      </c>
      <c r="BB1750" s="36" t="s">
        <v>537</v>
      </c>
      <c r="BC1750" s="36" t="s">
        <v>538</v>
      </c>
      <c r="BD1750" s="36"/>
      <c r="BE1750" s="245" t="s">
        <v>271</v>
      </c>
      <c r="BF1750" s="245" t="s">
        <v>539</v>
      </c>
      <c r="BG1750" s="245" t="s">
        <v>540</v>
      </c>
      <c r="BH1750" s="245" t="s">
        <v>272</v>
      </c>
      <c r="BI1750" s="250">
        <v>0.66964000000000001</v>
      </c>
      <c r="BJ1750" s="250">
        <v>10.044599999999999</v>
      </c>
      <c r="BK1750" s="37"/>
      <c r="BL1750" s="263">
        <v>145.80633738314458</v>
      </c>
      <c r="BM1750" s="37" t="s">
        <v>541</v>
      </c>
      <c r="BN1750" s="37"/>
      <c r="BO1750" s="37"/>
      <c r="BP1750" s="37"/>
      <c r="BQ1750" s="37"/>
      <c r="BR1750" s="37"/>
      <c r="BS1750" s="37"/>
      <c r="BT1750" s="37"/>
      <c r="BU1750" s="246"/>
      <c r="BV1750" s="37"/>
      <c r="BW1750" s="37"/>
      <c r="BX1750" s="37"/>
      <c r="BY1750" s="37"/>
      <c r="BZ1750" s="37"/>
      <c r="CA1750" s="37"/>
      <c r="CB1750" s="37"/>
      <c r="CC1750" s="37"/>
      <c r="CD1750" s="37"/>
      <c r="CE1750" s="37"/>
      <c r="CF1750" s="37"/>
      <c r="CG1750" s="37"/>
      <c r="CH1750" s="37"/>
      <c r="CI1750" s="243"/>
      <c r="CJ1750" s="243"/>
      <c r="CK1750" s="38">
        <f t="shared" si="447"/>
        <v>14.515892856175915</v>
      </c>
      <c r="CL1750" s="247"/>
      <c r="CM1750" s="247"/>
      <c r="CN1750" s="247"/>
      <c r="CO1750" s="36" t="s">
        <v>3683</v>
      </c>
      <c r="CP1750" s="496" t="s">
        <v>542</v>
      </c>
      <c r="CQ1750" s="241" t="s">
        <v>272</v>
      </c>
      <c r="CR1750" s="241"/>
      <c r="CS1750" s="33"/>
      <c r="CT1750" s="33"/>
      <c r="CU1750" s="250"/>
      <c r="CV1750" s="337">
        <f t="shared" si="448"/>
        <v>19.090563773064758</v>
      </c>
      <c r="CW1750" s="330">
        <f>IF(CV1750&lt;1,0,1)</f>
        <v>1</v>
      </c>
      <c r="CX1750" s="330"/>
      <c r="CY1750" s="143" t="s">
        <v>5921</v>
      </c>
    </row>
    <row r="1751" spans="1:103" ht="11.25" customHeight="1" x14ac:dyDescent="0.2">
      <c r="A1751" s="72">
        <v>1941</v>
      </c>
      <c r="B1751" s="241">
        <v>185</v>
      </c>
      <c r="C1751" s="32" t="s">
        <v>3676</v>
      </c>
      <c r="D1751" s="32"/>
      <c r="E1751" s="40"/>
      <c r="F1751" s="40" t="s">
        <v>3677</v>
      </c>
      <c r="G1751" s="242">
        <v>81103119</v>
      </c>
      <c r="H1751" s="36" t="s">
        <v>3678</v>
      </c>
      <c r="I1751" s="36" t="s">
        <v>8270</v>
      </c>
      <c r="J1751" s="36" t="s">
        <v>3679</v>
      </c>
      <c r="K1751" s="36" t="s">
        <v>3680</v>
      </c>
      <c r="L1751" s="42" t="s">
        <v>279</v>
      </c>
      <c r="M1751" s="36" t="s">
        <v>8529</v>
      </c>
      <c r="N1751" s="36"/>
      <c r="O1751" s="36" t="s">
        <v>281</v>
      </c>
      <c r="P1751" s="41"/>
      <c r="Q1751" s="41"/>
      <c r="R1751" s="41"/>
      <c r="S1751" s="41"/>
      <c r="T1751" s="37">
        <v>747.95</v>
      </c>
      <c r="U1751" s="243"/>
      <c r="V1751" s="243">
        <v>0.34200000000000003</v>
      </c>
      <c r="W1751" s="243">
        <v>36633.006794662921</v>
      </c>
      <c r="X1751" s="243">
        <v>36633.006794662921</v>
      </c>
      <c r="Y1751" s="414">
        <v>10.23</v>
      </c>
      <c r="Z1751" s="37">
        <v>3.18</v>
      </c>
      <c r="AA1751" s="37">
        <v>3.16</v>
      </c>
      <c r="AB1751" s="37">
        <v>3.11</v>
      </c>
      <c r="AC1751" s="37">
        <v>0.78539999999999999</v>
      </c>
      <c r="AD1751" s="37">
        <v>3.12</v>
      </c>
      <c r="AE1751" s="37">
        <v>3.16</v>
      </c>
      <c r="AF1751" s="37">
        <f t="shared" si="446"/>
        <v>3.16</v>
      </c>
      <c r="AG1751" s="37">
        <v>2.75</v>
      </c>
      <c r="AH1751" s="243">
        <v>1.7299999999999999E-29</v>
      </c>
      <c r="AI1751" s="243"/>
      <c r="AJ1751" s="34">
        <f t="shared" si="449"/>
        <v>-27.150520223183857</v>
      </c>
      <c r="AK1751" s="34"/>
      <c r="AL1751" s="34">
        <f t="shared" si="445"/>
        <v>-27.150520223183857</v>
      </c>
      <c r="AM1751" s="34">
        <v>-38.709489999999995</v>
      </c>
      <c r="AN1751" s="37">
        <v>-29.5</v>
      </c>
      <c r="AO1751" s="417">
        <v>13.08</v>
      </c>
      <c r="AP1751" s="417">
        <v>8.16</v>
      </c>
      <c r="AQ1751" s="37" t="s">
        <v>6311</v>
      </c>
      <c r="AR1751" s="37" t="s">
        <v>6311</v>
      </c>
      <c r="AS1751" s="241" t="s">
        <v>90</v>
      </c>
      <c r="AT1751" s="39" t="s">
        <v>266</v>
      </c>
      <c r="AU1751" s="37">
        <v>0</v>
      </c>
      <c r="AV1751" s="37">
        <v>48</v>
      </c>
      <c r="AW1751" s="37">
        <v>48</v>
      </c>
      <c r="AX1751" s="37">
        <v>26</v>
      </c>
      <c r="AY1751" s="37" t="s">
        <v>8722</v>
      </c>
      <c r="AZ1751" s="37" t="s">
        <v>536</v>
      </c>
      <c r="BA1751" s="37">
        <v>20</v>
      </c>
      <c r="BB1751" s="36" t="s">
        <v>537</v>
      </c>
      <c r="BC1751" s="36" t="s">
        <v>538</v>
      </c>
      <c r="BD1751" s="36"/>
      <c r="BE1751" s="245" t="s">
        <v>271</v>
      </c>
      <c r="BF1751" s="245" t="s">
        <v>539</v>
      </c>
      <c r="BG1751" s="245" t="s">
        <v>540</v>
      </c>
      <c r="BH1751" s="245" t="s">
        <v>272</v>
      </c>
      <c r="BI1751" s="250">
        <v>0.59836000000000011</v>
      </c>
      <c r="BJ1751" s="250">
        <v>10.022530000000001</v>
      </c>
      <c r="BK1751" s="37"/>
      <c r="BL1751" s="263">
        <v>53.544462895195281</v>
      </c>
      <c r="BM1751" s="37" t="s">
        <v>3682</v>
      </c>
      <c r="BN1751" s="37"/>
      <c r="BO1751" s="37"/>
      <c r="BP1751" s="37"/>
      <c r="BQ1751" s="37"/>
      <c r="BR1751" s="37"/>
      <c r="BS1751" s="37"/>
      <c r="BT1751" s="37"/>
      <c r="BU1751" s="246"/>
      <c r="BV1751" s="37"/>
      <c r="BW1751" s="37"/>
      <c r="BX1751" s="37"/>
      <c r="BY1751" s="37"/>
      <c r="BZ1751" s="37"/>
      <c r="CA1751" s="37"/>
      <c r="CB1751" s="37"/>
      <c r="CC1751" s="37"/>
      <c r="CD1751" s="37"/>
      <c r="CE1751" s="37"/>
      <c r="CF1751" s="37"/>
      <c r="CG1751" s="37"/>
      <c r="CH1751" s="37"/>
      <c r="CI1751" s="243"/>
      <c r="CJ1751" s="243"/>
      <c r="CK1751" s="38">
        <f t="shared" si="447"/>
        <v>5.3424098401496698</v>
      </c>
      <c r="CL1751" s="247"/>
      <c r="CM1751" s="247"/>
      <c r="CN1751" s="247"/>
      <c r="CO1751" s="36" t="s">
        <v>3683</v>
      </c>
      <c r="CP1751" s="496" t="s">
        <v>542</v>
      </c>
      <c r="CQ1751" s="241" t="s">
        <v>272</v>
      </c>
      <c r="CR1751" s="241"/>
      <c r="CS1751" s="33"/>
      <c r="CT1751" s="33"/>
      <c r="CU1751" s="250"/>
      <c r="CV1751" s="337">
        <f t="shared" si="448"/>
        <v>3655.0658161824326</v>
      </c>
      <c r="CW1751" s="330">
        <f>IF(CV1751&lt;1,0,1)</f>
        <v>1</v>
      </c>
      <c r="CX1751" s="330"/>
      <c r="CY1751" s="143" t="s">
        <v>5921</v>
      </c>
    </row>
    <row r="1752" spans="1:103" ht="11.25" customHeight="1" x14ac:dyDescent="0.2">
      <c r="A1752" s="72">
        <v>1962</v>
      </c>
      <c r="B1752" s="241">
        <v>77</v>
      </c>
      <c r="C1752" s="32" t="s">
        <v>573</v>
      </c>
      <c r="D1752" s="32"/>
      <c r="E1752" s="40"/>
      <c r="F1752" s="40" t="s">
        <v>574</v>
      </c>
      <c r="G1752" s="242" t="s">
        <v>575</v>
      </c>
      <c r="H1752" s="36" t="s">
        <v>576</v>
      </c>
      <c r="I1752" s="36" t="s">
        <v>576</v>
      </c>
      <c r="J1752" s="36" t="s">
        <v>577</v>
      </c>
      <c r="K1752" s="36" t="s">
        <v>300</v>
      </c>
      <c r="L1752" s="36"/>
      <c r="M1752" s="36"/>
      <c r="N1752" s="36"/>
      <c r="O1752" s="36"/>
      <c r="P1752" s="41"/>
      <c r="Q1752" s="41"/>
      <c r="R1752" s="41"/>
      <c r="S1752" s="41"/>
      <c r="T1752" s="37">
        <v>325.44</v>
      </c>
      <c r="U1752" s="243"/>
      <c r="V1752" s="243">
        <v>2240</v>
      </c>
      <c r="W1752" s="243">
        <v>7119.8514289814229</v>
      </c>
      <c r="X1752" s="243">
        <v>7119.8514289814229</v>
      </c>
      <c r="Y1752" s="414">
        <v>10.92</v>
      </c>
      <c r="Z1752" s="37">
        <v>1.84</v>
      </c>
      <c r="AA1752" s="37">
        <v>1.87</v>
      </c>
      <c r="AB1752" s="37">
        <v>2.25</v>
      </c>
      <c r="AC1752" s="37">
        <v>0.70579999999999998</v>
      </c>
      <c r="AD1752" s="37">
        <v>2.21</v>
      </c>
      <c r="AE1752" s="37">
        <v>2.14</v>
      </c>
      <c r="AF1752" s="37">
        <f t="shared" si="446"/>
        <v>1.87</v>
      </c>
      <c r="AG1752" s="38">
        <v>4.26</v>
      </c>
      <c r="AH1752" s="243">
        <v>2.89E-15</v>
      </c>
      <c r="AI1752" s="243"/>
      <c r="AJ1752" s="34">
        <f t="shared" si="449"/>
        <v>-12.927668483556104</v>
      </c>
      <c r="AK1752" s="34"/>
      <c r="AL1752" s="34">
        <f t="shared" si="445"/>
        <v>-12.927668483556104</v>
      </c>
      <c r="AM1752" s="34">
        <v>-15.488090000000001</v>
      </c>
      <c r="AN1752" s="244">
        <v>-26.7</v>
      </c>
      <c r="AO1752" s="417">
        <v>13.86</v>
      </c>
      <c r="AP1752" s="417">
        <v>9.42</v>
      </c>
      <c r="AQ1752" s="244" t="s">
        <v>5921</v>
      </c>
      <c r="AR1752" s="244" t="s">
        <v>5921</v>
      </c>
      <c r="AS1752" s="241" t="s">
        <v>6</v>
      </c>
      <c r="AT1752" s="39" t="s">
        <v>266</v>
      </c>
      <c r="AU1752" s="37">
        <v>0</v>
      </c>
      <c r="AV1752" s="37">
        <v>48</v>
      </c>
      <c r="AW1752" s="37">
        <v>48</v>
      </c>
      <c r="AX1752" s="37">
        <v>26</v>
      </c>
      <c r="AY1752" s="37" t="s">
        <v>8722</v>
      </c>
      <c r="AZ1752" s="37" t="s">
        <v>536</v>
      </c>
      <c r="BA1752" s="37">
        <v>20</v>
      </c>
      <c r="BB1752" s="36" t="s">
        <v>537</v>
      </c>
      <c r="BC1752" s="36" t="s">
        <v>538</v>
      </c>
      <c r="BD1752" s="36"/>
      <c r="BE1752" s="245" t="s">
        <v>271</v>
      </c>
      <c r="BF1752" s="245" t="s">
        <v>539</v>
      </c>
      <c r="BG1752" s="245" t="s">
        <v>540</v>
      </c>
      <c r="BH1752" s="245" t="s">
        <v>272</v>
      </c>
      <c r="BI1752" s="250">
        <v>3394.5995519999997</v>
      </c>
      <c r="BJ1752" s="250">
        <v>8486.498880000001</v>
      </c>
      <c r="BK1752" s="37"/>
      <c r="BL1752" s="263">
        <v>372.19191189648717</v>
      </c>
      <c r="BM1752" s="37" t="s">
        <v>541</v>
      </c>
      <c r="BN1752" s="37"/>
      <c r="BO1752" s="37">
        <v>6227.1642239999992</v>
      </c>
      <c r="BP1752" s="37"/>
      <c r="BQ1752" s="37"/>
      <c r="BR1752" s="37"/>
      <c r="BS1752" s="37"/>
      <c r="BT1752" s="37"/>
      <c r="BU1752" s="246"/>
      <c r="BV1752" s="37"/>
      <c r="BW1752" s="37"/>
      <c r="BX1752" s="37"/>
      <c r="BY1752" s="37"/>
      <c r="BZ1752" s="37"/>
      <c r="CA1752" s="37"/>
      <c r="CB1752" s="37"/>
      <c r="CC1752" s="37"/>
      <c r="CD1752" s="37"/>
      <c r="CE1752" s="37"/>
      <c r="CF1752" s="37"/>
      <c r="CG1752" s="37"/>
      <c r="CH1752" s="37"/>
      <c r="CI1752" s="243">
        <v>6227.1642239999992</v>
      </c>
      <c r="CJ1752" s="243">
        <f t="shared" ref="CJ1752:CJ1769" si="450">LOG10(CI1752)</f>
        <v>3.7942903191719433</v>
      </c>
      <c r="CK1752" s="38">
        <f t="shared" si="447"/>
        <v>4.3856944678756282E-2</v>
      </c>
      <c r="CL1752" s="247">
        <f t="shared" ref="CL1752:CL1769" si="451">BL1752/CI1752</f>
        <v>5.9769085655719367E-2</v>
      </c>
      <c r="CM1752" s="247"/>
      <c r="CN1752" s="247"/>
      <c r="CO1752" s="36"/>
      <c r="CP1752" s="496" t="s">
        <v>542</v>
      </c>
      <c r="CQ1752" s="241" t="s">
        <v>272</v>
      </c>
      <c r="CR1752" s="241"/>
      <c r="CS1752" s="33"/>
      <c r="CT1752" s="33"/>
      <c r="CU1752" s="250">
        <f t="shared" ref="CU1752:CU1769" si="452">X1752/CI1752</f>
        <v>1.1433537277756276</v>
      </c>
      <c r="CV1752" s="337">
        <f t="shared" si="448"/>
        <v>0.83896215973829502</v>
      </c>
      <c r="CW1752" s="330">
        <f t="shared" ref="CW1752:CW1769" si="453">IF(CU1752&lt;2,0,1)</f>
        <v>0</v>
      </c>
      <c r="CX1752" s="330"/>
      <c r="CY1752" s="143" t="s">
        <v>5921</v>
      </c>
    </row>
    <row r="1753" spans="1:103" ht="11.25" customHeight="1" x14ac:dyDescent="0.2">
      <c r="A1753" s="72">
        <v>1963</v>
      </c>
      <c r="B1753" s="241">
        <v>80</v>
      </c>
      <c r="C1753" s="32" t="s">
        <v>587</v>
      </c>
      <c r="D1753" s="32"/>
      <c r="E1753" s="40"/>
      <c r="F1753" s="40" t="s">
        <v>588</v>
      </c>
      <c r="G1753" s="242" t="s">
        <v>589</v>
      </c>
      <c r="H1753" s="36" t="s">
        <v>590</v>
      </c>
      <c r="I1753" s="36" t="s">
        <v>8275</v>
      </c>
      <c r="J1753" s="36" t="s">
        <v>591</v>
      </c>
      <c r="K1753" s="36" t="s">
        <v>592</v>
      </c>
      <c r="L1753" s="36"/>
      <c r="M1753" s="36"/>
      <c r="N1753" s="36"/>
      <c r="O1753" s="36"/>
      <c r="P1753" s="41"/>
      <c r="Q1753" s="41"/>
      <c r="R1753" s="41"/>
      <c r="S1753" s="41"/>
      <c r="T1753" s="37">
        <v>277.2</v>
      </c>
      <c r="U1753" s="243"/>
      <c r="V1753" s="243">
        <v>4947</v>
      </c>
      <c r="W1753" s="243">
        <v>21.027770379808942</v>
      </c>
      <c r="X1753" s="243">
        <v>21.027770379808942</v>
      </c>
      <c r="Y1753" s="414">
        <v>7</v>
      </c>
      <c r="Z1753" s="37">
        <v>0.37</v>
      </c>
      <c r="AA1753" s="37"/>
      <c r="AB1753" s="37">
        <v>0</v>
      </c>
      <c r="AC1753" s="37">
        <v>0</v>
      </c>
      <c r="AD1753" s="37">
        <v>0</v>
      </c>
      <c r="AE1753" s="37">
        <v>0</v>
      </c>
      <c r="AF1753" s="37"/>
      <c r="AG1753" s="38">
        <v>6.31</v>
      </c>
      <c r="AH1753" s="243">
        <v>2.2600000000000001E-21</v>
      </c>
      <c r="AI1753" s="243"/>
      <c r="AJ1753" s="34">
        <f t="shared" si="449"/>
        <v>-19.034457887165249</v>
      </c>
      <c r="AK1753" s="34"/>
      <c r="AL1753" s="34">
        <f t="shared" si="445"/>
        <v>-19.034457887165249</v>
      </c>
      <c r="AM1753" s="34"/>
      <c r="AN1753" s="244">
        <v>-24.3</v>
      </c>
      <c r="AO1753" s="417">
        <v>13.04</v>
      </c>
      <c r="AP1753" s="417">
        <v>0.63</v>
      </c>
      <c r="AQ1753" s="244" t="s">
        <v>5921</v>
      </c>
      <c r="AR1753" s="244" t="s">
        <v>5921</v>
      </c>
      <c r="AS1753" s="241" t="s">
        <v>6</v>
      </c>
      <c r="AT1753" s="39" t="s">
        <v>266</v>
      </c>
      <c r="AU1753" s="37">
        <v>0</v>
      </c>
      <c r="AV1753" s="37">
        <v>48</v>
      </c>
      <c r="AW1753" s="37">
        <v>48</v>
      </c>
      <c r="AX1753" s="37">
        <v>26</v>
      </c>
      <c r="AY1753" s="37" t="s">
        <v>8722</v>
      </c>
      <c r="AZ1753" s="37" t="s">
        <v>536</v>
      </c>
      <c r="BA1753" s="37">
        <v>20</v>
      </c>
      <c r="BB1753" s="36" t="s">
        <v>537</v>
      </c>
      <c r="BC1753" s="36" t="s">
        <v>538</v>
      </c>
      <c r="BD1753" s="36"/>
      <c r="BE1753" s="245" t="s">
        <v>271</v>
      </c>
      <c r="BF1753" s="245" t="s">
        <v>539</v>
      </c>
      <c r="BG1753" s="245" t="s">
        <v>540</v>
      </c>
      <c r="BH1753" s="245" t="s">
        <v>272</v>
      </c>
      <c r="BI1753" s="250">
        <v>1192.9301999999998</v>
      </c>
      <c r="BJ1753" s="250">
        <v>6039.1900800000003</v>
      </c>
      <c r="BK1753" s="37"/>
      <c r="BL1753" s="263">
        <v>6626.683460124872</v>
      </c>
      <c r="BM1753" s="37" t="s">
        <v>541</v>
      </c>
      <c r="BN1753" s="37"/>
      <c r="BO1753" s="37">
        <v>1316.0347200000001</v>
      </c>
      <c r="BP1753" s="37"/>
      <c r="BQ1753" s="37"/>
      <c r="BR1753" s="37"/>
      <c r="BS1753" s="37"/>
      <c r="BT1753" s="37"/>
      <c r="BU1753" s="246"/>
      <c r="BV1753" s="37"/>
      <c r="BW1753" s="37"/>
      <c r="BX1753" s="37"/>
      <c r="BY1753" s="37"/>
      <c r="BZ1753" s="37"/>
      <c r="CA1753" s="37"/>
      <c r="CB1753" s="37"/>
      <c r="CC1753" s="37"/>
      <c r="CD1753" s="37"/>
      <c r="CE1753" s="37"/>
      <c r="CF1753" s="37"/>
      <c r="CG1753" s="37"/>
      <c r="CH1753" s="37"/>
      <c r="CI1753" s="243">
        <v>1316.0347200000001</v>
      </c>
      <c r="CJ1753" s="243">
        <f t="shared" si="450"/>
        <v>3.1192673471088672</v>
      </c>
      <c r="CK1753" s="38">
        <f t="shared" si="447"/>
        <v>1.0972801604755702</v>
      </c>
      <c r="CL1753" s="247">
        <f t="shared" si="451"/>
        <v>5.0353409066022756</v>
      </c>
      <c r="CM1753" s="247"/>
      <c r="CN1753" s="247"/>
      <c r="CO1753" s="36"/>
      <c r="CP1753" s="496" t="s">
        <v>542</v>
      </c>
      <c r="CQ1753" s="241" t="s">
        <v>272</v>
      </c>
      <c r="CR1753" s="241"/>
      <c r="CS1753" s="33"/>
      <c r="CT1753" s="33"/>
      <c r="CU1753" s="250">
        <f t="shared" si="452"/>
        <v>1.5978127370233013E-2</v>
      </c>
      <c r="CV1753" s="337">
        <f t="shared" si="448"/>
        <v>3.481885832579878E-3</v>
      </c>
      <c r="CW1753" s="330">
        <f t="shared" si="453"/>
        <v>0</v>
      </c>
      <c r="CX1753" s="330"/>
      <c r="CY1753" s="143" t="s">
        <v>5921</v>
      </c>
    </row>
    <row r="1754" spans="1:103" ht="11.25" customHeight="1" x14ac:dyDescent="0.2">
      <c r="A1754" s="72">
        <v>1964</v>
      </c>
      <c r="B1754" s="241">
        <v>79</v>
      </c>
      <c r="C1754" s="32" t="s">
        <v>582</v>
      </c>
      <c r="D1754" s="32"/>
      <c r="E1754" s="40"/>
      <c r="F1754" s="40" t="s">
        <v>583</v>
      </c>
      <c r="G1754" s="242" t="s">
        <v>584</v>
      </c>
      <c r="H1754" s="36" t="s">
        <v>585</v>
      </c>
      <c r="I1754" s="36" t="s">
        <v>8276</v>
      </c>
      <c r="J1754" s="36" t="s">
        <v>586</v>
      </c>
      <c r="K1754" s="36" t="s">
        <v>426</v>
      </c>
      <c r="L1754" s="36"/>
      <c r="M1754" s="36"/>
      <c r="N1754" s="36"/>
      <c r="O1754" s="36"/>
      <c r="P1754" s="41"/>
      <c r="Q1754" s="41"/>
      <c r="R1754" s="41"/>
      <c r="S1754" s="41"/>
      <c r="T1754" s="37">
        <v>257.33999999999997</v>
      </c>
      <c r="U1754" s="243"/>
      <c r="V1754" s="243">
        <v>3009</v>
      </c>
      <c r="W1754" s="243">
        <v>13.19797485563376</v>
      </c>
      <c r="X1754" s="243">
        <v>13.19797485563376</v>
      </c>
      <c r="Y1754" s="414">
        <v>7</v>
      </c>
      <c r="Z1754" s="37">
        <v>0.74</v>
      </c>
      <c r="AA1754" s="37"/>
      <c r="AB1754" s="37">
        <v>0</v>
      </c>
      <c r="AC1754" s="37">
        <v>0</v>
      </c>
      <c r="AD1754" s="37">
        <v>0</v>
      </c>
      <c r="AE1754" s="37">
        <v>0</v>
      </c>
      <c r="AF1754" s="37"/>
      <c r="AG1754" s="38">
        <v>6.96</v>
      </c>
      <c r="AH1754" s="243">
        <v>6.1000000000000003E-20</v>
      </c>
      <c r="AI1754" s="243"/>
      <c r="AJ1754" s="34">
        <f t="shared" si="449"/>
        <v>-17.603236491301885</v>
      </c>
      <c r="AK1754" s="34"/>
      <c r="AL1754" s="34">
        <f t="shared" si="445"/>
        <v>-17.603236491301885</v>
      </c>
      <c r="AM1754" s="34"/>
      <c r="AN1754" s="244">
        <v>-6.04</v>
      </c>
      <c r="AO1754" s="417">
        <v>13.59</v>
      </c>
      <c r="AP1754" s="417">
        <v>-2.29</v>
      </c>
      <c r="AQ1754" s="244" t="s">
        <v>5921</v>
      </c>
      <c r="AR1754" s="244" t="s">
        <v>5921</v>
      </c>
      <c r="AS1754" s="241" t="s">
        <v>6</v>
      </c>
      <c r="AT1754" s="39" t="s">
        <v>266</v>
      </c>
      <c r="AU1754" s="37">
        <v>0</v>
      </c>
      <c r="AV1754" s="37">
        <v>48</v>
      </c>
      <c r="AW1754" s="37">
        <v>48</v>
      </c>
      <c r="AX1754" s="37">
        <v>26</v>
      </c>
      <c r="AY1754" s="37" t="s">
        <v>8722</v>
      </c>
      <c r="AZ1754" s="37" t="s">
        <v>536</v>
      </c>
      <c r="BA1754" s="37">
        <v>20</v>
      </c>
      <c r="BB1754" s="36" t="s">
        <v>537</v>
      </c>
      <c r="BC1754" s="36" t="s">
        <v>538</v>
      </c>
      <c r="BD1754" s="36"/>
      <c r="BE1754" s="245" t="s">
        <v>271</v>
      </c>
      <c r="BF1754" s="245" t="s">
        <v>539</v>
      </c>
      <c r="BG1754" s="245" t="s">
        <v>540</v>
      </c>
      <c r="BH1754" s="245" t="s">
        <v>272</v>
      </c>
      <c r="BI1754" s="250">
        <v>32.167499999999997</v>
      </c>
      <c r="BJ1754" s="250">
        <v>514.67999999999995</v>
      </c>
      <c r="BK1754" s="37"/>
      <c r="BL1754" s="263">
        <v>2862.2877812448119</v>
      </c>
      <c r="BM1754" s="37" t="s">
        <v>541</v>
      </c>
      <c r="BN1754" s="37"/>
      <c r="BO1754" s="37">
        <v>94.726853999999989</v>
      </c>
      <c r="BP1754" s="37"/>
      <c r="BQ1754" s="37"/>
      <c r="BR1754" s="37"/>
      <c r="BS1754" s="37"/>
      <c r="BT1754" s="37"/>
      <c r="BU1754" s="246"/>
      <c r="BV1754" s="37"/>
      <c r="BW1754" s="37"/>
      <c r="BX1754" s="37"/>
      <c r="BY1754" s="37"/>
      <c r="BZ1754" s="37"/>
      <c r="CA1754" s="37"/>
      <c r="CB1754" s="37"/>
      <c r="CC1754" s="37"/>
      <c r="CD1754" s="37"/>
      <c r="CE1754" s="37"/>
      <c r="CF1754" s="37"/>
      <c r="CG1754" s="37"/>
      <c r="CH1754" s="37"/>
      <c r="CI1754" s="243">
        <v>94.726853999999989</v>
      </c>
      <c r="CJ1754" s="243">
        <f t="shared" si="450"/>
        <v>1.9764731140693834</v>
      </c>
      <c r="CK1754" s="38">
        <f t="shared" si="447"/>
        <v>5.5612959144416187</v>
      </c>
      <c r="CL1754" s="247">
        <f t="shared" si="451"/>
        <v>30.216223387349192</v>
      </c>
      <c r="CM1754" s="247"/>
      <c r="CN1754" s="247"/>
      <c r="CO1754" s="36"/>
      <c r="CP1754" s="496" t="s">
        <v>542</v>
      </c>
      <c r="CQ1754" s="241" t="s">
        <v>272</v>
      </c>
      <c r="CR1754" s="241"/>
      <c r="CS1754" s="33"/>
      <c r="CT1754" s="33"/>
      <c r="CU1754" s="250">
        <f t="shared" si="452"/>
        <v>0.13932664601775713</v>
      </c>
      <c r="CV1754" s="337">
        <f t="shared" si="448"/>
        <v>2.56430691995682E-2</v>
      </c>
      <c r="CW1754" s="330">
        <f t="shared" si="453"/>
        <v>0</v>
      </c>
      <c r="CX1754" s="330"/>
      <c r="CY1754" s="143" t="s">
        <v>5921</v>
      </c>
    </row>
    <row r="1755" spans="1:103" ht="11.25" customHeight="1" x14ac:dyDescent="0.2">
      <c r="A1755" s="72">
        <v>1965</v>
      </c>
      <c r="B1755" s="241">
        <v>84</v>
      </c>
      <c r="C1755" s="32" t="s">
        <v>603</v>
      </c>
      <c r="D1755" s="32"/>
      <c r="E1755" s="40"/>
      <c r="F1755" s="40" t="s">
        <v>3538</v>
      </c>
      <c r="G1755" s="242">
        <v>10540291</v>
      </c>
      <c r="H1755" s="36" t="s">
        <v>604</v>
      </c>
      <c r="I1755" s="36" t="s">
        <v>7942</v>
      </c>
      <c r="J1755" s="36" t="s">
        <v>605</v>
      </c>
      <c r="K1755" s="36" t="s">
        <v>300</v>
      </c>
      <c r="L1755" s="36"/>
      <c r="M1755" s="36" t="s">
        <v>3539</v>
      </c>
      <c r="N1755" s="36"/>
      <c r="O1755" s="36"/>
      <c r="P1755" s="41"/>
      <c r="Q1755" s="41"/>
      <c r="R1755" s="41"/>
      <c r="S1755" s="41"/>
      <c r="T1755" s="37">
        <v>371.51</v>
      </c>
      <c r="U1755" s="243"/>
      <c r="V1755" s="243">
        <v>0.19359999999999999</v>
      </c>
      <c r="W1755" s="243">
        <v>2.8838356629872446</v>
      </c>
      <c r="X1755" s="243">
        <v>2.8838356629872446</v>
      </c>
      <c r="Y1755" s="414">
        <v>8.6199999999999992</v>
      </c>
      <c r="Z1755" s="37">
        <v>6.3</v>
      </c>
      <c r="AA1755" s="37"/>
      <c r="AB1755" s="37">
        <v>6.31</v>
      </c>
      <c r="AC1755" s="37">
        <v>0.68869999999999998</v>
      </c>
      <c r="AD1755" s="37">
        <v>6.82</v>
      </c>
      <c r="AE1755" s="37">
        <v>7.88</v>
      </c>
      <c r="AF1755" s="37">
        <f t="shared" ref="AF1755:AF1763" si="454">IF(AA1755=0,AD1755,AA1755)</f>
        <v>6.82</v>
      </c>
      <c r="AG1755" s="38">
        <v>6.16</v>
      </c>
      <c r="AH1755" s="243">
        <v>4.49E-10</v>
      </c>
      <c r="AI1755" s="243"/>
      <c r="AJ1755" s="34">
        <f t="shared" si="449"/>
        <v>-7.7363199853093283</v>
      </c>
      <c r="AK1755" s="34"/>
      <c r="AL1755" s="34">
        <f t="shared" si="445"/>
        <v>-7.7363199853093283</v>
      </c>
      <c r="AM1755" s="34">
        <v>-13.760640000000002</v>
      </c>
      <c r="AN1755" s="244">
        <v>-8.94</v>
      </c>
      <c r="AO1755" s="417"/>
      <c r="AP1755" s="417">
        <v>8.69</v>
      </c>
      <c r="AQ1755" s="244" t="s">
        <v>5921</v>
      </c>
      <c r="AR1755" s="244" t="s">
        <v>5921</v>
      </c>
      <c r="AS1755" s="241" t="s">
        <v>109</v>
      </c>
      <c r="AT1755" s="39" t="s">
        <v>266</v>
      </c>
      <c r="AU1755" s="37">
        <v>0</v>
      </c>
      <c r="AV1755" s="37">
        <v>48</v>
      </c>
      <c r="AW1755" s="37">
        <v>48</v>
      </c>
      <c r="AX1755" s="37">
        <v>26</v>
      </c>
      <c r="AY1755" s="37" t="s">
        <v>8722</v>
      </c>
      <c r="AZ1755" s="37" t="s">
        <v>536</v>
      </c>
      <c r="BA1755" s="37">
        <v>20</v>
      </c>
      <c r="BB1755" s="36" t="s">
        <v>537</v>
      </c>
      <c r="BC1755" s="36" t="s">
        <v>538</v>
      </c>
      <c r="BD1755" s="36"/>
      <c r="BE1755" s="245" t="s">
        <v>271</v>
      </c>
      <c r="BF1755" s="245" t="s">
        <v>539</v>
      </c>
      <c r="BG1755" s="245" t="s">
        <v>540</v>
      </c>
      <c r="BH1755" s="245" t="s">
        <v>272</v>
      </c>
      <c r="BI1755" s="250">
        <v>2.0433049999999997</v>
      </c>
      <c r="BJ1755" s="250">
        <v>32.952936999999999</v>
      </c>
      <c r="BK1755" s="37"/>
      <c r="BL1755" s="263">
        <v>4.195082521268987E-2</v>
      </c>
      <c r="BM1755" s="37" t="s">
        <v>541</v>
      </c>
      <c r="BN1755" s="37"/>
      <c r="BO1755" s="37">
        <v>21.101768</v>
      </c>
      <c r="BP1755" s="37"/>
      <c r="BQ1755" s="37"/>
      <c r="BR1755" s="37"/>
      <c r="BS1755" s="37"/>
      <c r="BT1755" s="37"/>
      <c r="BU1755" s="246"/>
      <c r="BV1755" s="37"/>
      <c r="BW1755" s="37"/>
      <c r="BX1755" s="37"/>
      <c r="BY1755" s="37"/>
      <c r="BZ1755" s="37"/>
      <c r="CA1755" s="37"/>
      <c r="CB1755" s="37"/>
      <c r="CC1755" s="37"/>
      <c r="CD1755" s="37"/>
      <c r="CE1755" s="37"/>
      <c r="CF1755" s="37"/>
      <c r="CG1755" s="37"/>
      <c r="CH1755" s="37"/>
      <c r="CI1755" s="243">
        <v>21.101768</v>
      </c>
      <c r="CJ1755" s="243">
        <f t="shared" si="450"/>
        <v>1.3243188439458864</v>
      </c>
      <c r="CK1755" s="38">
        <f t="shared" si="447"/>
        <v>1.2730526936852358E-3</v>
      </c>
      <c r="CL1755" s="247">
        <f t="shared" si="451"/>
        <v>1.9880241889063451E-3</v>
      </c>
      <c r="CM1755" s="247"/>
      <c r="CN1755" s="247"/>
      <c r="CO1755" s="36"/>
      <c r="CP1755" s="496" t="s">
        <v>542</v>
      </c>
      <c r="CQ1755" s="241" t="s">
        <v>272</v>
      </c>
      <c r="CR1755" s="241"/>
      <c r="CS1755" s="33"/>
      <c r="CT1755" s="33"/>
      <c r="CU1755" s="250">
        <f t="shared" si="452"/>
        <v>0.13666322475857209</v>
      </c>
      <c r="CV1755" s="337">
        <f t="shared" si="448"/>
        <v>8.7513767376402429E-2</v>
      </c>
      <c r="CW1755" s="330">
        <f t="shared" si="453"/>
        <v>0</v>
      </c>
      <c r="CX1755" s="330"/>
      <c r="CY1755" s="143" t="s">
        <v>5921</v>
      </c>
    </row>
    <row r="1756" spans="1:103" ht="11.25" customHeight="1" x14ac:dyDescent="0.2">
      <c r="A1756" s="72">
        <v>1698</v>
      </c>
      <c r="B1756" s="241">
        <v>496</v>
      </c>
      <c r="C1756" s="32" t="s">
        <v>7641</v>
      </c>
      <c r="D1756" s="32"/>
      <c r="E1756" s="40"/>
      <c r="F1756" s="40" t="s">
        <v>1599</v>
      </c>
      <c r="G1756" s="242">
        <v>95567</v>
      </c>
      <c r="H1756" s="36" t="s">
        <v>1600</v>
      </c>
      <c r="I1756" s="36" t="s">
        <v>1600</v>
      </c>
      <c r="J1756" s="36" t="s">
        <v>1601</v>
      </c>
      <c r="K1756" s="36" t="s">
        <v>349</v>
      </c>
      <c r="L1756" s="36"/>
      <c r="M1756" s="36"/>
      <c r="N1756" s="36"/>
      <c r="O1756" s="36"/>
      <c r="P1756" s="41"/>
      <c r="Q1756" s="41"/>
      <c r="R1756" s="41"/>
      <c r="S1756" s="41"/>
      <c r="T1756" s="37">
        <v>173.01</v>
      </c>
      <c r="U1756" s="243"/>
      <c r="V1756" s="243">
        <v>2227</v>
      </c>
      <c r="W1756" s="243">
        <v>2938.1313431240615</v>
      </c>
      <c r="X1756" s="243">
        <v>2938.1313431240615</v>
      </c>
      <c r="Y1756" s="414">
        <v>5.0999999999999996</v>
      </c>
      <c r="Z1756" s="37">
        <v>2.4</v>
      </c>
      <c r="AA1756" s="37">
        <v>2.35</v>
      </c>
      <c r="AB1756" s="37">
        <v>2.38</v>
      </c>
      <c r="AC1756" s="37">
        <v>0.85870000000000002</v>
      </c>
      <c r="AD1756" s="37">
        <v>2.4</v>
      </c>
      <c r="AE1756" s="37">
        <v>2.4700000000000002</v>
      </c>
      <c r="AF1756" s="37">
        <f t="shared" si="454"/>
        <v>2.35</v>
      </c>
      <c r="AG1756" s="38">
        <v>2.2599999999999998</v>
      </c>
      <c r="AH1756" s="243">
        <v>2.23E-7</v>
      </c>
      <c r="AI1756" s="243"/>
      <c r="AJ1756" s="34">
        <f t="shared" si="449"/>
        <v>-5.0402614632644909</v>
      </c>
      <c r="AK1756" s="34"/>
      <c r="AL1756" s="34">
        <f t="shared" si="445"/>
        <v>-5.0402614632644909</v>
      </c>
      <c r="AM1756" s="34">
        <v>-5.9052600000000002</v>
      </c>
      <c r="AN1756" s="244">
        <v>-3.21</v>
      </c>
      <c r="AO1756" s="417">
        <v>8.43</v>
      </c>
      <c r="AP1756" s="417"/>
      <c r="AQ1756" s="244" t="s">
        <v>6311</v>
      </c>
      <c r="AR1756" s="244" t="s">
        <v>6311</v>
      </c>
      <c r="AS1756" s="241" t="s">
        <v>6</v>
      </c>
      <c r="AT1756" s="39" t="s">
        <v>266</v>
      </c>
      <c r="AU1756" s="37">
        <v>2</v>
      </c>
      <c r="AV1756" s="37">
        <v>48</v>
      </c>
      <c r="AW1756" s="37">
        <v>48</v>
      </c>
      <c r="AX1756" s="37">
        <v>26</v>
      </c>
      <c r="AY1756" s="37" t="s">
        <v>8722</v>
      </c>
      <c r="AZ1756" s="37" t="s">
        <v>1586</v>
      </c>
      <c r="BA1756" s="37">
        <v>60</v>
      </c>
      <c r="BB1756" s="36" t="s">
        <v>537</v>
      </c>
      <c r="BC1756" s="36" t="s">
        <v>538</v>
      </c>
      <c r="BD1756" s="36"/>
      <c r="BE1756" s="37" t="s">
        <v>271</v>
      </c>
      <c r="BF1756" s="37" t="s">
        <v>272</v>
      </c>
      <c r="BG1756" s="37" t="s">
        <v>272</v>
      </c>
      <c r="BH1756" s="37" t="s">
        <v>1587</v>
      </c>
      <c r="BI1756" s="243" t="s">
        <v>8722</v>
      </c>
      <c r="BJ1756" s="243" t="s">
        <v>8722</v>
      </c>
      <c r="BK1756" s="37"/>
      <c r="BL1756" s="263">
        <v>62.148579428193813</v>
      </c>
      <c r="BM1756" s="37" t="s">
        <v>1588</v>
      </c>
      <c r="BN1756" s="37"/>
      <c r="BO1756" s="37">
        <v>45.12</v>
      </c>
      <c r="BP1756" s="37"/>
      <c r="BQ1756" s="37"/>
      <c r="BR1756" s="37"/>
      <c r="BS1756" s="37"/>
      <c r="BT1756" s="37"/>
      <c r="BU1756" s="246"/>
      <c r="BV1756" s="37"/>
      <c r="BW1756" s="37"/>
      <c r="BX1756" s="37"/>
      <c r="BY1756" s="37"/>
      <c r="BZ1756" s="37"/>
      <c r="CA1756" s="37"/>
      <c r="CB1756" s="37"/>
      <c r="CC1756" s="37"/>
      <c r="CD1756" s="37"/>
      <c r="CE1756" s="37"/>
      <c r="CF1756" s="37"/>
      <c r="CG1756" s="37"/>
      <c r="CH1756" s="37"/>
      <c r="CI1756" s="243">
        <v>45.12</v>
      </c>
      <c r="CJ1756" s="243">
        <f t="shared" si="450"/>
        <v>1.6543690909752859</v>
      </c>
      <c r="CK1756" s="38"/>
      <c r="CL1756" s="247">
        <f t="shared" si="451"/>
        <v>1.3774064589581962</v>
      </c>
      <c r="CM1756" s="247"/>
      <c r="CN1756" s="247"/>
      <c r="CO1756" s="36"/>
      <c r="CP1756" s="496" t="s">
        <v>1589</v>
      </c>
      <c r="CQ1756" s="241" t="s">
        <v>272</v>
      </c>
      <c r="CR1756" s="241"/>
      <c r="CS1756" s="33"/>
      <c r="CT1756" s="33"/>
      <c r="CU1756" s="250">
        <f t="shared" si="452"/>
        <v>65.118159200444623</v>
      </c>
      <c r="CV1756" s="337"/>
      <c r="CW1756" s="330">
        <f t="shared" si="453"/>
        <v>1</v>
      </c>
      <c r="CX1756" s="330"/>
      <c r="CY1756" s="143" t="s">
        <v>5921</v>
      </c>
    </row>
    <row r="1757" spans="1:103" ht="11.25" customHeight="1" x14ac:dyDescent="0.2">
      <c r="A1757" s="72">
        <v>1715</v>
      </c>
      <c r="B1757" s="241">
        <v>498</v>
      </c>
      <c r="C1757" s="32" t="s">
        <v>7650</v>
      </c>
      <c r="D1757" s="32"/>
      <c r="E1757" s="40"/>
      <c r="F1757" s="40" t="s">
        <v>1605</v>
      </c>
      <c r="G1757" s="242">
        <v>106412</v>
      </c>
      <c r="H1757" s="36" t="s">
        <v>1606</v>
      </c>
      <c r="I1757" s="36" t="s">
        <v>1606</v>
      </c>
      <c r="J1757" s="36" t="s">
        <v>1607</v>
      </c>
      <c r="K1757" s="36" t="s">
        <v>349</v>
      </c>
      <c r="L1757" s="36"/>
      <c r="M1757" s="36"/>
      <c r="N1757" s="36"/>
      <c r="O1757" s="36"/>
      <c r="P1757" s="41"/>
      <c r="Q1757" s="41" t="s">
        <v>6173</v>
      </c>
      <c r="R1757" s="41" t="s">
        <v>6185</v>
      </c>
      <c r="S1757" s="41" t="s">
        <v>6176</v>
      </c>
      <c r="T1757" s="37">
        <v>173.01</v>
      </c>
      <c r="U1757" s="243">
        <v>14000</v>
      </c>
      <c r="V1757" s="243">
        <v>1389</v>
      </c>
      <c r="W1757" s="243">
        <v>2871.2513085577211</v>
      </c>
      <c r="X1757" s="243">
        <v>14000</v>
      </c>
      <c r="Y1757" s="414">
        <v>5.56</v>
      </c>
      <c r="Z1757" s="37">
        <v>2.4</v>
      </c>
      <c r="AA1757" s="37">
        <v>2.59</v>
      </c>
      <c r="AB1757" s="37">
        <v>2.57</v>
      </c>
      <c r="AC1757" s="37">
        <v>0.87290000000000001</v>
      </c>
      <c r="AD1757" s="37">
        <v>2.5499999999999998</v>
      </c>
      <c r="AE1757" s="37">
        <v>2.4900000000000002</v>
      </c>
      <c r="AF1757" s="37">
        <f t="shared" si="454"/>
        <v>2.59</v>
      </c>
      <c r="AG1757" s="38">
        <v>2.27</v>
      </c>
      <c r="AH1757" s="243">
        <v>2.23E-7</v>
      </c>
      <c r="AI1757" s="243">
        <v>1.5099999999999999E-7</v>
      </c>
      <c r="AJ1757" s="34">
        <f t="shared" si="449"/>
        <v>-5.0402614632644909</v>
      </c>
      <c r="AK1757" s="34">
        <f>LOG10(AI1757*1000/(0.08206*298.15))</f>
        <v>-5.2095893790194827</v>
      </c>
      <c r="AL1757" s="34">
        <f t="shared" si="445"/>
        <v>-5.2095893790194827</v>
      </c>
      <c r="AM1757" s="34">
        <v>-8.1513799999999996</v>
      </c>
      <c r="AN1757" s="244">
        <v>-5.04</v>
      </c>
      <c r="AO1757" s="417">
        <v>9.34</v>
      </c>
      <c r="AP1757" s="417"/>
      <c r="AQ1757" s="244" t="s">
        <v>6311</v>
      </c>
      <c r="AR1757" s="244" t="s">
        <v>6311</v>
      </c>
      <c r="AS1757" s="241" t="s">
        <v>6</v>
      </c>
      <c r="AT1757" s="39" t="s">
        <v>266</v>
      </c>
      <c r="AU1757" s="37">
        <v>2</v>
      </c>
      <c r="AV1757" s="37">
        <v>48</v>
      </c>
      <c r="AW1757" s="37">
        <v>48</v>
      </c>
      <c r="AX1757" s="37">
        <v>26</v>
      </c>
      <c r="AY1757" s="37" t="s">
        <v>8722</v>
      </c>
      <c r="AZ1757" s="37" t="s">
        <v>1586</v>
      </c>
      <c r="BA1757" s="37">
        <v>60</v>
      </c>
      <c r="BB1757" s="36" t="s">
        <v>537</v>
      </c>
      <c r="BC1757" s="36" t="s">
        <v>538</v>
      </c>
      <c r="BD1757" s="36"/>
      <c r="BE1757" s="37" t="s">
        <v>271</v>
      </c>
      <c r="BF1757" s="37" t="s">
        <v>272</v>
      </c>
      <c r="BG1757" s="37" t="s">
        <v>272</v>
      </c>
      <c r="BH1757" s="37" t="s">
        <v>1587</v>
      </c>
      <c r="BI1757" s="243" t="s">
        <v>8722</v>
      </c>
      <c r="BJ1757" s="243" t="s">
        <v>8722</v>
      </c>
      <c r="BK1757" s="37"/>
      <c r="BL1757" s="263">
        <v>62.148579428193813</v>
      </c>
      <c r="BM1757" s="37" t="s">
        <v>1588</v>
      </c>
      <c r="BN1757" s="37"/>
      <c r="BO1757" s="37">
        <v>46.32</v>
      </c>
      <c r="BP1757" s="37"/>
      <c r="BQ1757" s="37"/>
      <c r="BR1757" s="37"/>
      <c r="BS1757" s="37"/>
      <c r="BT1757" s="37"/>
      <c r="BU1757" s="246"/>
      <c r="BV1757" s="37"/>
      <c r="BW1757" s="37"/>
      <c r="BX1757" s="37"/>
      <c r="BY1757" s="37"/>
      <c r="BZ1757" s="37"/>
      <c r="CA1757" s="37"/>
      <c r="CB1757" s="37"/>
      <c r="CC1757" s="37"/>
      <c r="CD1757" s="37"/>
      <c r="CE1757" s="37"/>
      <c r="CF1757" s="37"/>
      <c r="CG1757" s="37"/>
      <c r="CH1757" s="37"/>
      <c r="CI1757" s="243">
        <v>46.32</v>
      </c>
      <c r="CJ1757" s="243">
        <f t="shared" si="450"/>
        <v>1.6657685507193798</v>
      </c>
      <c r="CK1757" s="38"/>
      <c r="CL1757" s="247">
        <f t="shared" si="451"/>
        <v>1.3417223538038388</v>
      </c>
      <c r="CM1757" s="247"/>
      <c r="CN1757" s="247"/>
      <c r="CO1757" s="36"/>
      <c r="CP1757" s="496" t="s">
        <v>1589</v>
      </c>
      <c r="CQ1757" s="241" t="s">
        <v>272</v>
      </c>
      <c r="CR1757" s="241"/>
      <c r="CS1757" s="33"/>
      <c r="CT1757" s="33"/>
      <c r="CU1757" s="250">
        <f t="shared" si="452"/>
        <v>302.24525043177891</v>
      </c>
      <c r="CV1757" s="337"/>
      <c r="CW1757" s="330">
        <f t="shared" si="453"/>
        <v>1</v>
      </c>
      <c r="CX1757" s="330"/>
      <c r="CY1757" s="143" t="s">
        <v>5921</v>
      </c>
    </row>
    <row r="1758" spans="1:103" ht="11.25" customHeight="1" x14ac:dyDescent="0.2">
      <c r="A1758" s="72">
        <v>1763</v>
      </c>
      <c r="B1758" s="241">
        <v>594</v>
      </c>
      <c r="C1758" s="32" t="s">
        <v>7677</v>
      </c>
      <c r="D1758" s="32"/>
      <c r="E1758" s="40"/>
      <c r="F1758" s="40" t="s">
        <v>1785</v>
      </c>
      <c r="G1758" s="242">
        <v>118796</v>
      </c>
      <c r="H1758" s="36" t="s">
        <v>1786</v>
      </c>
      <c r="I1758" s="36" t="s">
        <v>1786</v>
      </c>
      <c r="J1758" s="36" t="s">
        <v>1787</v>
      </c>
      <c r="K1758" s="36" t="s">
        <v>349</v>
      </c>
      <c r="L1758" s="36"/>
      <c r="M1758" s="36"/>
      <c r="N1758" s="36"/>
      <c r="O1758" s="36"/>
      <c r="P1758" s="41"/>
      <c r="Q1758" s="41" t="s">
        <v>6173</v>
      </c>
      <c r="R1758" s="41" t="s">
        <v>6185</v>
      </c>
      <c r="S1758" s="41" t="s">
        <v>6176</v>
      </c>
      <c r="T1758" s="37">
        <v>330.8</v>
      </c>
      <c r="U1758" s="243">
        <v>70</v>
      </c>
      <c r="V1758" s="243">
        <v>9.1270000000000007</v>
      </c>
      <c r="W1758" s="243">
        <v>128.69613396410787</v>
      </c>
      <c r="X1758" s="243">
        <v>70</v>
      </c>
      <c r="Y1758" s="414">
        <v>4.88</v>
      </c>
      <c r="Z1758" s="37">
        <v>4.18</v>
      </c>
      <c r="AA1758" s="37">
        <v>4.13</v>
      </c>
      <c r="AB1758" s="37">
        <v>4</v>
      </c>
      <c r="AC1758" s="37">
        <v>0.86329999999999996</v>
      </c>
      <c r="AD1758" s="37">
        <v>4.08</v>
      </c>
      <c r="AE1758" s="37">
        <v>4.33</v>
      </c>
      <c r="AF1758" s="37">
        <f t="shared" si="454"/>
        <v>4.13</v>
      </c>
      <c r="AG1758" s="38">
        <v>3.85</v>
      </c>
      <c r="AH1758" s="243">
        <v>3.55E-8</v>
      </c>
      <c r="AI1758" s="243"/>
      <c r="AJ1758" s="34">
        <f t="shared" si="449"/>
        <v>-5.8383379732575573</v>
      </c>
      <c r="AK1758" s="34"/>
      <c r="AL1758" s="34">
        <f t="shared" si="445"/>
        <v>-5.8383379732575573</v>
      </c>
      <c r="AM1758" s="34">
        <v>-7.1991499999999995</v>
      </c>
      <c r="AN1758" s="244">
        <v>-3.92</v>
      </c>
      <c r="AO1758" s="417">
        <v>6.34</v>
      </c>
      <c r="AP1758" s="417"/>
      <c r="AQ1758" s="244" t="s">
        <v>6311</v>
      </c>
      <c r="AR1758" s="244" t="s">
        <v>6311</v>
      </c>
      <c r="AS1758" s="241" t="s">
        <v>6</v>
      </c>
      <c r="AT1758" s="39" t="s">
        <v>266</v>
      </c>
      <c r="AU1758" s="37">
        <v>2</v>
      </c>
      <c r="AV1758" s="37">
        <v>48</v>
      </c>
      <c r="AW1758" s="37">
        <v>48</v>
      </c>
      <c r="AX1758" s="37">
        <v>26</v>
      </c>
      <c r="AY1758" s="37" t="s">
        <v>8722</v>
      </c>
      <c r="AZ1758" s="37" t="s">
        <v>1586</v>
      </c>
      <c r="BA1758" s="37">
        <v>60</v>
      </c>
      <c r="BB1758" s="36" t="s">
        <v>537</v>
      </c>
      <c r="BC1758" s="36" t="s">
        <v>538</v>
      </c>
      <c r="BD1758" s="36"/>
      <c r="BE1758" s="37" t="s">
        <v>271</v>
      </c>
      <c r="BF1758" s="37" t="s">
        <v>272</v>
      </c>
      <c r="BG1758" s="37" t="s">
        <v>272</v>
      </c>
      <c r="BH1758" s="37" t="s">
        <v>1587</v>
      </c>
      <c r="BI1758" s="243" t="s">
        <v>8722</v>
      </c>
      <c r="BJ1758" s="243" t="s">
        <v>8722</v>
      </c>
      <c r="BK1758" s="37"/>
      <c r="BL1758" s="263">
        <v>2.9943840506721915</v>
      </c>
      <c r="BM1758" s="37" t="s">
        <v>1588</v>
      </c>
      <c r="BN1758" s="37"/>
      <c r="BO1758" s="37">
        <v>4.42</v>
      </c>
      <c r="BP1758" s="37"/>
      <c r="BQ1758" s="37"/>
      <c r="BR1758" s="37"/>
      <c r="BS1758" s="37"/>
      <c r="BT1758" s="37"/>
      <c r="BU1758" s="246"/>
      <c r="BV1758" s="37"/>
      <c r="BW1758" s="37"/>
      <c r="BX1758" s="37"/>
      <c r="BY1758" s="37"/>
      <c r="BZ1758" s="37"/>
      <c r="CA1758" s="37"/>
      <c r="CB1758" s="37"/>
      <c r="CC1758" s="37"/>
      <c r="CD1758" s="37"/>
      <c r="CE1758" s="37"/>
      <c r="CF1758" s="37"/>
      <c r="CG1758" s="37"/>
      <c r="CH1758" s="37"/>
      <c r="CI1758" s="243">
        <v>4.42</v>
      </c>
      <c r="CJ1758" s="243">
        <f t="shared" si="450"/>
        <v>0.64542226934909186</v>
      </c>
      <c r="CK1758" s="38"/>
      <c r="CL1758" s="247">
        <f t="shared" si="451"/>
        <v>0.67746245490321078</v>
      </c>
      <c r="CM1758" s="247"/>
      <c r="CN1758" s="247"/>
      <c r="CO1758" s="36"/>
      <c r="CP1758" s="496" t="s">
        <v>1589</v>
      </c>
      <c r="CQ1758" s="241">
        <v>0.81528479411186061</v>
      </c>
      <c r="CR1758" s="241">
        <f>10^(CJ1758-CQ1758)</f>
        <v>0.67629702227399446</v>
      </c>
      <c r="CS1758" s="33"/>
      <c r="CT1758" s="33"/>
      <c r="CU1758" s="250">
        <f t="shared" si="452"/>
        <v>15.837104072398191</v>
      </c>
      <c r="CV1758" s="337"/>
      <c r="CW1758" s="330">
        <f t="shared" si="453"/>
        <v>1</v>
      </c>
      <c r="CX1758" s="330"/>
      <c r="CY1758" s="143" t="s">
        <v>6351</v>
      </c>
    </row>
    <row r="1759" spans="1:103" ht="11.25" customHeight="1" x14ac:dyDescent="0.2">
      <c r="A1759" s="72">
        <v>1812</v>
      </c>
      <c r="B1759" s="241">
        <v>497</v>
      </c>
      <c r="C1759" s="32" t="s">
        <v>7702</v>
      </c>
      <c r="D1759" s="32"/>
      <c r="E1759" s="40"/>
      <c r="F1759" s="40" t="s">
        <v>1602</v>
      </c>
      <c r="G1759" s="242">
        <v>591208</v>
      </c>
      <c r="H1759" s="36" t="s">
        <v>1603</v>
      </c>
      <c r="I1759" s="36" t="s">
        <v>1603</v>
      </c>
      <c r="J1759" s="36" t="s">
        <v>1604</v>
      </c>
      <c r="K1759" s="36" t="s">
        <v>349</v>
      </c>
      <c r="L1759" s="36"/>
      <c r="M1759" s="36"/>
      <c r="N1759" s="36"/>
      <c r="O1759" s="36"/>
      <c r="P1759" s="41"/>
      <c r="Q1759" s="41" t="s">
        <v>6173</v>
      </c>
      <c r="R1759" s="41" t="s">
        <v>6185</v>
      </c>
      <c r="S1759" s="41" t="s">
        <v>6182</v>
      </c>
      <c r="T1759" s="37">
        <v>173.01</v>
      </c>
      <c r="U1759" s="243">
        <v>23000</v>
      </c>
      <c r="V1759" s="243">
        <v>1284</v>
      </c>
      <c r="W1759" s="243">
        <v>2559.0054223698153</v>
      </c>
      <c r="X1759" s="243">
        <v>23000</v>
      </c>
      <c r="Y1759" s="414">
        <v>5.41</v>
      </c>
      <c r="Z1759" s="37">
        <v>2.4</v>
      </c>
      <c r="AA1759" s="37">
        <v>2.63</v>
      </c>
      <c r="AB1759" s="37">
        <v>2.6</v>
      </c>
      <c r="AC1759" s="37">
        <v>0.89929999999999999</v>
      </c>
      <c r="AD1759" s="37">
        <v>2.6</v>
      </c>
      <c r="AE1759" s="37">
        <v>2.63</v>
      </c>
      <c r="AF1759" s="37">
        <f t="shared" si="454"/>
        <v>2.63</v>
      </c>
      <c r="AG1759" s="38">
        <v>2.2799999999999998</v>
      </c>
      <c r="AH1759" s="243">
        <v>2.23E-7</v>
      </c>
      <c r="AI1759" s="243"/>
      <c r="AJ1759" s="34">
        <f t="shared" si="449"/>
        <v>-5.0402614632644909</v>
      </c>
      <c r="AK1759" s="34"/>
      <c r="AL1759" s="34">
        <f t="shared" ref="AL1759:AL1763" si="455">IF(AK1759=0,AJ1759,AK1759)</f>
        <v>-5.0402614632644909</v>
      </c>
      <c r="AM1759" s="34">
        <v>-7.8248200000000008</v>
      </c>
      <c r="AN1759" s="244">
        <v>-5.04</v>
      </c>
      <c r="AO1759" s="417">
        <v>9</v>
      </c>
      <c r="AP1759" s="417"/>
      <c r="AQ1759" s="244" t="s">
        <v>6311</v>
      </c>
      <c r="AR1759" s="244" t="s">
        <v>6311</v>
      </c>
      <c r="AS1759" s="241" t="s">
        <v>6</v>
      </c>
      <c r="AT1759" s="39" t="s">
        <v>266</v>
      </c>
      <c r="AU1759" s="37">
        <v>2</v>
      </c>
      <c r="AV1759" s="37">
        <v>48</v>
      </c>
      <c r="AW1759" s="37">
        <v>48</v>
      </c>
      <c r="AX1759" s="37">
        <v>26</v>
      </c>
      <c r="AY1759" s="37" t="s">
        <v>8722</v>
      </c>
      <c r="AZ1759" s="37" t="s">
        <v>1586</v>
      </c>
      <c r="BA1759" s="37">
        <v>60</v>
      </c>
      <c r="BB1759" s="36" t="s">
        <v>537</v>
      </c>
      <c r="BC1759" s="36" t="s">
        <v>538</v>
      </c>
      <c r="BD1759" s="36"/>
      <c r="BE1759" s="37" t="s">
        <v>271</v>
      </c>
      <c r="BF1759" s="37" t="s">
        <v>272</v>
      </c>
      <c r="BG1759" s="37" t="s">
        <v>272</v>
      </c>
      <c r="BH1759" s="37" t="s">
        <v>1587</v>
      </c>
      <c r="BI1759" s="243" t="s">
        <v>8722</v>
      </c>
      <c r="BJ1759" s="243" t="s">
        <v>8722</v>
      </c>
      <c r="BK1759" s="37"/>
      <c r="BL1759" s="263">
        <v>62.148579428193813</v>
      </c>
      <c r="BM1759" s="37" t="s">
        <v>1588</v>
      </c>
      <c r="BN1759" s="37"/>
      <c r="BO1759" s="37">
        <v>60.66</v>
      </c>
      <c r="BP1759" s="37"/>
      <c r="BQ1759" s="37"/>
      <c r="BR1759" s="37"/>
      <c r="BS1759" s="37"/>
      <c r="BT1759" s="37"/>
      <c r="BU1759" s="246"/>
      <c r="BV1759" s="37"/>
      <c r="BW1759" s="37"/>
      <c r="BX1759" s="37"/>
      <c r="BY1759" s="37"/>
      <c r="BZ1759" s="37"/>
      <c r="CA1759" s="37"/>
      <c r="CB1759" s="37"/>
      <c r="CC1759" s="37"/>
      <c r="CD1759" s="37"/>
      <c r="CE1759" s="37"/>
      <c r="CF1759" s="37"/>
      <c r="CG1759" s="37"/>
      <c r="CH1759" s="37"/>
      <c r="CI1759" s="243">
        <v>60.66</v>
      </c>
      <c r="CJ1759" s="243">
        <f t="shared" si="450"/>
        <v>1.7829024059746448</v>
      </c>
      <c r="CK1759" s="38"/>
      <c r="CL1759" s="247">
        <f t="shared" si="451"/>
        <v>1.0245397202142073</v>
      </c>
      <c r="CM1759" s="247"/>
      <c r="CN1759" s="247"/>
      <c r="CO1759" s="36"/>
      <c r="CP1759" s="496" t="s">
        <v>1589</v>
      </c>
      <c r="CQ1759" s="241" t="s">
        <v>272</v>
      </c>
      <c r="CR1759" s="241"/>
      <c r="CS1759" s="33"/>
      <c r="CT1759" s="33"/>
      <c r="CU1759" s="250">
        <f t="shared" si="452"/>
        <v>379.16254533465218</v>
      </c>
      <c r="CV1759" s="337"/>
      <c r="CW1759" s="330">
        <f t="shared" si="453"/>
        <v>1</v>
      </c>
      <c r="CX1759" s="330"/>
      <c r="CY1759" s="143" t="s">
        <v>5921</v>
      </c>
    </row>
    <row r="1760" spans="1:103" ht="11.25" customHeight="1" x14ac:dyDescent="0.2">
      <c r="A1760" s="72">
        <v>1817</v>
      </c>
      <c r="B1760" s="241">
        <v>523</v>
      </c>
      <c r="C1760" s="32" t="s">
        <v>7707</v>
      </c>
      <c r="D1760" s="32"/>
      <c r="E1760" s="40"/>
      <c r="F1760" s="40" t="s">
        <v>1663</v>
      </c>
      <c r="G1760" s="242">
        <v>608333</v>
      </c>
      <c r="H1760" s="36" t="s">
        <v>1664</v>
      </c>
      <c r="I1760" s="36" t="s">
        <v>1664</v>
      </c>
      <c r="J1760" s="36" t="s">
        <v>1665</v>
      </c>
      <c r="K1760" s="36" t="s">
        <v>349</v>
      </c>
      <c r="L1760" s="36"/>
      <c r="M1760" s="36"/>
      <c r="N1760" s="36"/>
      <c r="O1760" s="36"/>
      <c r="P1760" s="41"/>
      <c r="Q1760" s="41"/>
      <c r="R1760" s="41"/>
      <c r="S1760" s="41"/>
      <c r="T1760" s="37">
        <v>251.9</v>
      </c>
      <c r="U1760" s="243"/>
      <c r="V1760" s="243">
        <v>118.6</v>
      </c>
      <c r="W1760" s="243">
        <v>618.34117586105913</v>
      </c>
      <c r="X1760" s="243">
        <v>618.34117586105913</v>
      </c>
      <c r="Y1760" s="414">
        <v>4.75</v>
      </c>
      <c r="Z1760" s="37">
        <v>3.29</v>
      </c>
      <c r="AA1760" s="37">
        <v>3.36</v>
      </c>
      <c r="AB1760" s="37">
        <v>3.16</v>
      </c>
      <c r="AC1760" s="37">
        <v>0.82299999999999995</v>
      </c>
      <c r="AD1760" s="37">
        <v>3.23</v>
      </c>
      <c r="AE1760" s="37">
        <v>3.41</v>
      </c>
      <c r="AF1760" s="37">
        <f t="shared" si="454"/>
        <v>3.36</v>
      </c>
      <c r="AG1760" s="38">
        <v>3.06</v>
      </c>
      <c r="AH1760" s="243">
        <v>8.9000000000000003E-8</v>
      </c>
      <c r="AI1760" s="243"/>
      <c r="AJ1760" s="34">
        <f t="shared" si="449"/>
        <v>-5.4391763196677392</v>
      </c>
      <c r="AK1760" s="34"/>
      <c r="AL1760" s="34">
        <f t="shared" si="455"/>
        <v>-5.4391763196677392</v>
      </c>
      <c r="AM1760" s="34">
        <v>-5.7098199999999997</v>
      </c>
      <c r="AN1760" s="244">
        <v>-3.56</v>
      </c>
      <c r="AO1760" s="417">
        <v>6.89</v>
      </c>
      <c r="AP1760" s="417"/>
      <c r="AQ1760" s="244" t="s">
        <v>6311</v>
      </c>
      <c r="AR1760" s="244" t="s">
        <v>6311</v>
      </c>
      <c r="AS1760" s="241" t="s">
        <v>6</v>
      </c>
      <c r="AT1760" s="39" t="s">
        <v>266</v>
      </c>
      <c r="AU1760" s="37">
        <v>2</v>
      </c>
      <c r="AV1760" s="37">
        <v>48</v>
      </c>
      <c r="AW1760" s="37">
        <v>48</v>
      </c>
      <c r="AX1760" s="37">
        <v>26</v>
      </c>
      <c r="AY1760" s="37" t="s">
        <v>8722</v>
      </c>
      <c r="AZ1760" s="37" t="s">
        <v>1586</v>
      </c>
      <c r="BA1760" s="37">
        <v>60</v>
      </c>
      <c r="BB1760" s="36" t="s">
        <v>537</v>
      </c>
      <c r="BC1760" s="36" t="s">
        <v>538</v>
      </c>
      <c r="BD1760" s="36"/>
      <c r="BE1760" s="37" t="s">
        <v>271</v>
      </c>
      <c r="BF1760" s="37" t="s">
        <v>272</v>
      </c>
      <c r="BG1760" s="37" t="s">
        <v>272</v>
      </c>
      <c r="BH1760" s="37" t="s">
        <v>1587</v>
      </c>
      <c r="BI1760" s="248" t="s">
        <v>8722</v>
      </c>
      <c r="BJ1760" s="250">
        <v>100</v>
      </c>
      <c r="BK1760" s="37"/>
      <c r="BL1760" s="263">
        <v>14.364124725306345</v>
      </c>
      <c r="BM1760" s="37" t="s">
        <v>1588</v>
      </c>
      <c r="BN1760" s="37"/>
      <c r="BO1760" s="37">
        <v>41.77</v>
      </c>
      <c r="BP1760" s="37"/>
      <c r="BQ1760" s="37"/>
      <c r="BR1760" s="37"/>
      <c r="BS1760" s="37"/>
      <c r="BT1760" s="37"/>
      <c r="BU1760" s="246"/>
      <c r="BV1760" s="37"/>
      <c r="BW1760" s="37"/>
      <c r="BX1760" s="37"/>
      <c r="BY1760" s="37"/>
      <c r="BZ1760" s="37"/>
      <c r="CA1760" s="37"/>
      <c r="CB1760" s="37"/>
      <c r="CC1760" s="37"/>
      <c r="CD1760" s="37"/>
      <c r="CE1760" s="37"/>
      <c r="CF1760" s="37"/>
      <c r="CG1760" s="37"/>
      <c r="CH1760" s="37"/>
      <c r="CI1760" s="243">
        <v>41.77</v>
      </c>
      <c r="CJ1760" s="243">
        <f t="shared" si="450"/>
        <v>1.6208644752651211</v>
      </c>
      <c r="CK1760" s="38">
        <f>BL1760/BJ1760</f>
        <v>0.14364124725306346</v>
      </c>
      <c r="CL1760" s="247">
        <f t="shared" si="451"/>
        <v>0.34388615574111431</v>
      </c>
      <c r="CM1760" s="247"/>
      <c r="CN1760" s="247"/>
      <c r="CO1760" s="36"/>
      <c r="CP1760" s="496" t="s">
        <v>1589</v>
      </c>
      <c r="CQ1760" s="241" t="s">
        <v>272</v>
      </c>
      <c r="CR1760" s="241"/>
      <c r="CS1760" s="33"/>
      <c r="CT1760" s="33"/>
      <c r="CU1760" s="250">
        <f t="shared" si="452"/>
        <v>14.803475601174505</v>
      </c>
      <c r="CV1760" s="337">
        <f>X1760/BJ1760</f>
        <v>6.1834117586105917</v>
      </c>
      <c r="CW1760" s="330">
        <f t="shared" si="453"/>
        <v>1</v>
      </c>
      <c r="CX1760" s="330"/>
      <c r="CY1760" s="143" t="s">
        <v>5921</v>
      </c>
    </row>
    <row r="1761" spans="1:103" ht="11.25" customHeight="1" x14ac:dyDescent="0.2">
      <c r="A1761" s="72">
        <v>1819</v>
      </c>
      <c r="B1761" s="241">
        <v>522</v>
      </c>
      <c r="C1761" s="32" t="s">
        <v>7709</v>
      </c>
      <c r="D1761" s="32"/>
      <c r="E1761" s="40"/>
      <c r="F1761" s="40" t="s">
        <v>1660</v>
      </c>
      <c r="G1761" s="242">
        <v>615587</v>
      </c>
      <c r="H1761" s="36" t="s">
        <v>1661</v>
      </c>
      <c r="I1761" s="36" t="s">
        <v>1661</v>
      </c>
      <c r="J1761" s="36" t="s">
        <v>1662</v>
      </c>
      <c r="K1761" s="36" t="s">
        <v>349</v>
      </c>
      <c r="L1761" s="36"/>
      <c r="M1761" s="36"/>
      <c r="N1761" s="36"/>
      <c r="O1761" s="36"/>
      <c r="P1761" s="41"/>
      <c r="Q1761" s="41"/>
      <c r="R1761" s="41"/>
      <c r="S1761" s="41"/>
      <c r="T1761" s="37">
        <v>251.9</v>
      </c>
      <c r="U1761" s="243">
        <v>1900</v>
      </c>
      <c r="V1761" s="243">
        <v>156.1</v>
      </c>
      <c r="W1761" s="243">
        <v>618.34117586105913</v>
      </c>
      <c r="X1761" s="243">
        <v>1900</v>
      </c>
      <c r="Y1761" s="414">
        <v>5.23</v>
      </c>
      <c r="Z1761" s="37">
        <v>3.29</v>
      </c>
      <c r="AA1761" s="37">
        <v>3.22</v>
      </c>
      <c r="AB1761" s="37">
        <v>3.26</v>
      </c>
      <c r="AC1761" s="37">
        <v>0.86639999999999995</v>
      </c>
      <c r="AD1761" s="37">
        <v>3.3</v>
      </c>
      <c r="AE1761" s="37">
        <v>3.43</v>
      </c>
      <c r="AF1761" s="37">
        <f t="shared" si="454"/>
        <v>3.22</v>
      </c>
      <c r="AG1761" s="38">
        <v>3.06</v>
      </c>
      <c r="AH1761" s="243">
        <v>8.9000000000000003E-8</v>
      </c>
      <c r="AI1761" s="243"/>
      <c r="AJ1761" s="34">
        <f t="shared" si="449"/>
        <v>-5.4391763196677392</v>
      </c>
      <c r="AK1761" s="34"/>
      <c r="AL1761" s="34">
        <f t="shared" si="455"/>
        <v>-5.4391763196677392</v>
      </c>
      <c r="AM1761" s="34">
        <v>-7.1956499999999997</v>
      </c>
      <c r="AN1761" s="244">
        <v>-3.56</v>
      </c>
      <c r="AO1761" s="417">
        <v>7.86</v>
      </c>
      <c r="AP1761" s="417"/>
      <c r="AQ1761" s="244" t="s">
        <v>6311</v>
      </c>
      <c r="AR1761" s="244" t="s">
        <v>6311</v>
      </c>
      <c r="AS1761" s="241" t="s">
        <v>6</v>
      </c>
      <c r="AT1761" s="39" t="s">
        <v>266</v>
      </c>
      <c r="AU1761" s="37">
        <v>2</v>
      </c>
      <c r="AV1761" s="37">
        <v>48</v>
      </c>
      <c r="AW1761" s="37">
        <v>48</v>
      </c>
      <c r="AX1761" s="37">
        <v>26</v>
      </c>
      <c r="AY1761" s="37" t="s">
        <v>8722</v>
      </c>
      <c r="AZ1761" s="37" t="s">
        <v>1586</v>
      </c>
      <c r="BA1761" s="37">
        <v>60</v>
      </c>
      <c r="BB1761" s="36" t="s">
        <v>537</v>
      </c>
      <c r="BC1761" s="36" t="s">
        <v>538</v>
      </c>
      <c r="BD1761" s="36"/>
      <c r="BE1761" s="37" t="s">
        <v>271</v>
      </c>
      <c r="BF1761" s="37" t="s">
        <v>272</v>
      </c>
      <c r="BG1761" s="37" t="s">
        <v>272</v>
      </c>
      <c r="BH1761" s="37" t="s">
        <v>1587</v>
      </c>
      <c r="BI1761" s="243" t="s">
        <v>8722</v>
      </c>
      <c r="BJ1761" s="243" t="s">
        <v>8722</v>
      </c>
      <c r="BK1761" s="37"/>
      <c r="BL1761" s="263">
        <v>14.364124725306345</v>
      </c>
      <c r="BM1761" s="37" t="s">
        <v>1588</v>
      </c>
      <c r="BN1761" s="37"/>
      <c r="BO1761" s="37">
        <v>7.9500000000000011</v>
      </c>
      <c r="BP1761" s="37"/>
      <c r="BQ1761" s="37"/>
      <c r="BR1761" s="37"/>
      <c r="BS1761" s="37"/>
      <c r="BT1761" s="37"/>
      <c r="BU1761" s="246"/>
      <c r="BV1761" s="37"/>
      <c r="BW1761" s="37"/>
      <c r="BX1761" s="37"/>
      <c r="BY1761" s="37"/>
      <c r="BZ1761" s="37"/>
      <c r="CA1761" s="37"/>
      <c r="CB1761" s="37"/>
      <c r="CC1761" s="37"/>
      <c r="CD1761" s="37"/>
      <c r="CE1761" s="37"/>
      <c r="CF1761" s="37"/>
      <c r="CG1761" s="37"/>
      <c r="CH1761" s="37"/>
      <c r="CI1761" s="243">
        <v>7.9500000000000011</v>
      </c>
      <c r="CJ1761" s="243">
        <f t="shared" si="450"/>
        <v>0.90036712865647039</v>
      </c>
      <c r="CK1761" s="38"/>
      <c r="CL1761" s="247">
        <f t="shared" si="451"/>
        <v>1.8068081415479678</v>
      </c>
      <c r="CM1761" s="247"/>
      <c r="CN1761" s="247"/>
      <c r="CO1761" s="36"/>
      <c r="CP1761" s="496" t="s">
        <v>1589</v>
      </c>
      <c r="CQ1761" s="241" t="s">
        <v>272</v>
      </c>
      <c r="CR1761" s="241"/>
      <c r="CS1761" s="33"/>
      <c r="CT1761" s="33"/>
      <c r="CU1761" s="250">
        <f t="shared" si="452"/>
        <v>238.99371069182388</v>
      </c>
      <c r="CV1761" s="337"/>
      <c r="CW1761" s="330">
        <f t="shared" si="453"/>
        <v>1</v>
      </c>
      <c r="CX1761" s="330"/>
      <c r="CY1761" s="143" t="s">
        <v>5921</v>
      </c>
    </row>
    <row r="1762" spans="1:103" ht="11.25" customHeight="1" x14ac:dyDescent="0.2">
      <c r="A1762" s="72">
        <v>1872</v>
      </c>
      <c r="B1762" s="241">
        <v>493</v>
      </c>
      <c r="C1762" s="32" t="s">
        <v>1590</v>
      </c>
      <c r="D1762" s="32"/>
      <c r="E1762" s="40"/>
      <c r="F1762" s="40" t="s">
        <v>1591</v>
      </c>
      <c r="G1762" s="242">
        <v>10075500</v>
      </c>
      <c r="H1762" s="36" t="s">
        <v>1592</v>
      </c>
      <c r="I1762" s="36" t="s">
        <v>1592</v>
      </c>
      <c r="J1762" s="36" t="s">
        <v>1593</v>
      </c>
      <c r="K1762" s="36" t="s">
        <v>1594</v>
      </c>
      <c r="L1762" s="36"/>
      <c r="M1762" s="36"/>
      <c r="N1762" s="36"/>
      <c r="O1762" s="36"/>
      <c r="P1762" s="41"/>
      <c r="Q1762" s="41"/>
      <c r="R1762" s="41"/>
      <c r="S1762" s="41"/>
      <c r="T1762" s="37">
        <v>196.04</v>
      </c>
      <c r="U1762" s="243"/>
      <c r="V1762" s="243">
        <v>125.6</v>
      </c>
      <c r="W1762" s="243">
        <v>459.56261695531714</v>
      </c>
      <c r="X1762" s="243">
        <v>459.56261695531714</v>
      </c>
      <c r="Y1762" s="414">
        <v>7</v>
      </c>
      <c r="Z1762" s="37">
        <v>2.94</v>
      </c>
      <c r="AA1762" s="37">
        <v>3</v>
      </c>
      <c r="AB1762" s="37">
        <v>3.22</v>
      </c>
      <c r="AC1762" s="37">
        <v>0.89200000000000002</v>
      </c>
      <c r="AD1762" s="37">
        <v>3.17</v>
      </c>
      <c r="AE1762" s="37">
        <v>3</v>
      </c>
      <c r="AF1762" s="37">
        <f t="shared" si="454"/>
        <v>3</v>
      </c>
      <c r="AG1762" s="38">
        <v>2.88</v>
      </c>
      <c r="AH1762" s="243">
        <v>3.53E-7</v>
      </c>
      <c r="AI1762" s="243"/>
      <c r="AJ1762" s="34">
        <f t="shared" si="449"/>
        <v>-4.8407916209248292</v>
      </c>
      <c r="AK1762" s="34"/>
      <c r="AL1762" s="34">
        <f t="shared" si="455"/>
        <v>-4.8407916209248292</v>
      </c>
      <c r="AM1762" s="34">
        <v>-7.7084099999999998</v>
      </c>
      <c r="AN1762" s="244">
        <v>-4.8600000000000003</v>
      </c>
      <c r="AO1762" s="417">
        <v>16.04</v>
      </c>
      <c r="AP1762" s="417">
        <v>-5.0999999999999996</v>
      </c>
      <c r="AQ1762" s="244" t="s">
        <v>6311</v>
      </c>
      <c r="AR1762" s="244" t="s">
        <v>6311</v>
      </c>
      <c r="AS1762" s="241" t="s">
        <v>6</v>
      </c>
      <c r="AT1762" s="39" t="s">
        <v>266</v>
      </c>
      <c r="AU1762" s="37">
        <v>2</v>
      </c>
      <c r="AV1762" s="37">
        <v>48</v>
      </c>
      <c r="AW1762" s="37">
        <v>48</v>
      </c>
      <c r="AX1762" s="37">
        <v>26</v>
      </c>
      <c r="AY1762" s="37" t="s">
        <v>8722</v>
      </c>
      <c r="AZ1762" s="37" t="s">
        <v>1586</v>
      </c>
      <c r="BA1762" s="37">
        <v>60</v>
      </c>
      <c r="BB1762" s="36" t="s">
        <v>537</v>
      </c>
      <c r="BC1762" s="36" t="s">
        <v>538</v>
      </c>
      <c r="BD1762" s="36"/>
      <c r="BE1762" s="37" t="s">
        <v>271</v>
      </c>
      <c r="BF1762" s="37" t="s">
        <v>272</v>
      </c>
      <c r="BG1762" s="37" t="s">
        <v>272</v>
      </c>
      <c r="BH1762" s="37" t="s">
        <v>1587</v>
      </c>
      <c r="BI1762" s="243" t="s">
        <v>8722</v>
      </c>
      <c r="BJ1762" s="243" t="s">
        <v>8722</v>
      </c>
      <c r="BK1762" s="37"/>
      <c r="BL1762" s="263">
        <v>23.053172173940368</v>
      </c>
      <c r="BM1762" s="37" t="s">
        <v>1588</v>
      </c>
      <c r="BN1762" s="37"/>
      <c r="BO1762" s="37">
        <v>5.3097291507268549</v>
      </c>
      <c r="BP1762" s="37"/>
      <c r="BQ1762" s="37"/>
      <c r="BR1762" s="37"/>
      <c r="BS1762" s="37"/>
      <c r="BT1762" s="37"/>
      <c r="BU1762" s="246"/>
      <c r="BV1762" s="37"/>
      <c r="BW1762" s="37"/>
      <c r="BX1762" s="37"/>
      <c r="BY1762" s="37"/>
      <c r="BZ1762" s="37"/>
      <c r="CA1762" s="37"/>
      <c r="CB1762" s="37"/>
      <c r="CC1762" s="37"/>
      <c r="CD1762" s="37"/>
      <c r="CE1762" s="37"/>
      <c r="CF1762" s="37"/>
      <c r="CG1762" s="37"/>
      <c r="CH1762" s="37"/>
      <c r="CI1762" s="243">
        <v>5.3097291507268549</v>
      </c>
      <c r="CJ1762" s="243">
        <f t="shared" si="450"/>
        <v>0.72507236828583554</v>
      </c>
      <c r="CK1762" s="38"/>
      <c r="CL1762" s="247">
        <f t="shared" si="451"/>
        <v>4.3416851442949014</v>
      </c>
      <c r="CM1762" s="247"/>
      <c r="CN1762" s="247"/>
      <c r="CO1762" s="36"/>
      <c r="CP1762" s="496" t="s">
        <v>1589</v>
      </c>
      <c r="CQ1762" s="241" t="s">
        <v>272</v>
      </c>
      <c r="CR1762" s="241"/>
      <c r="CS1762" s="33"/>
      <c r="CT1762" s="33"/>
      <c r="CU1762" s="250">
        <f t="shared" si="452"/>
        <v>86.551046938506659</v>
      </c>
      <c r="CV1762" s="337"/>
      <c r="CW1762" s="330">
        <f t="shared" si="453"/>
        <v>1</v>
      </c>
      <c r="CX1762" s="330"/>
      <c r="CY1762" s="143" t="s">
        <v>5921</v>
      </c>
    </row>
    <row r="1763" spans="1:103" ht="11.25" customHeight="1" x14ac:dyDescent="0.2">
      <c r="A1763" s="72">
        <v>1910</v>
      </c>
      <c r="B1763" s="241">
        <v>495</v>
      </c>
      <c r="C1763" s="32" t="s">
        <v>1595</v>
      </c>
      <c r="D1763" s="32"/>
      <c r="E1763" s="40"/>
      <c r="F1763" s="40" t="s">
        <v>1596</v>
      </c>
      <c r="G1763" s="242">
        <v>52415299</v>
      </c>
      <c r="H1763" s="36" t="s">
        <v>1597</v>
      </c>
      <c r="I1763" s="36" t="s">
        <v>7782</v>
      </c>
      <c r="J1763" s="36" t="s">
        <v>1598</v>
      </c>
      <c r="K1763" s="36" t="s">
        <v>1594</v>
      </c>
      <c r="L1763" s="36"/>
      <c r="M1763" s="36"/>
      <c r="N1763" s="36"/>
      <c r="O1763" s="36"/>
      <c r="P1763" s="41"/>
      <c r="Q1763" s="41"/>
      <c r="R1763" s="41"/>
      <c r="S1763" s="41"/>
      <c r="T1763" s="37">
        <v>196.04</v>
      </c>
      <c r="U1763" s="243"/>
      <c r="V1763" s="243">
        <v>125.6</v>
      </c>
      <c r="W1763" s="243">
        <v>492.43021603313764</v>
      </c>
      <c r="X1763" s="243">
        <v>492.43021603313764</v>
      </c>
      <c r="Y1763" s="414">
        <v>7</v>
      </c>
      <c r="Z1763" s="37">
        <v>2.94</v>
      </c>
      <c r="AA1763" s="37">
        <v>3</v>
      </c>
      <c r="AB1763" s="37">
        <v>3.22</v>
      </c>
      <c r="AC1763" s="37">
        <v>0.89200000000000002</v>
      </c>
      <c r="AD1763" s="37">
        <v>3.15</v>
      </c>
      <c r="AE1763" s="37">
        <v>2.91</v>
      </c>
      <c r="AF1763" s="37">
        <f t="shared" si="454"/>
        <v>3</v>
      </c>
      <c r="AG1763" s="38">
        <v>2.88</v>
      </c>
      <c r="AH1763" s="243">
        <v>3.53E-7</v>
      </c>
      <c r="AI1763" s="243"/>
      <c r="AJ1763" s="34">
        <f t="shared" si="449"/>
        <v>-4.8407916209248292</v>
      </c>
      <c r="AK1763" s="34"/>
      <c r="AL1763" s="34">
        <f t="shared" si="455"/>
        <v>-4.8407916209248292</v>
      </c>
      <c r="AM1763" s="34">
        <v>-7.7084099999999998</v>
      </c>
      <c r="AN1763" s="244">
        <v>-4.8600000000000003</v>
      </c>
      <c r="AO1763" s="417">
        <v>16.07</v>
      </c>
      <c r="AP1763" s="417">
        <v>-5.01</v>
      </c>
      <c r="AQ1763" s="244" t="s">
        <v>6311</v>
      </c>
      <c r="AR1763" s="244" t="s">
        <v>6311</v>
      </c>
      <c r="AS1763" s="241" t="s">
        <v>120</v>
      </c>
      <c r="AT1763" s="39" t="s">
        <v>266</v>
      </c>
      <c r="AU1763" s="37">
        <v>2</v>
      </c>
      <c r="AV1763" s="37">
        <v>48</v>
      </c>
      <c r="AW1763" s="37">
        <v>48</v>
      </c>
      <c r="AX1763" s="37">
        <v>26</v>
      </c>
      <c r="AY1763" s="37" t="s">
        <v>8722</v>
      </c>
      <c r="AZ1763" s="37" t="s">
        <v>1586</v>
      </c>
      <c r="BA1763" s="37">
        <v>60</v>
      </c>
      <c r="BB1763" s="36" t="s">
        <v>537</v>
      </c>
      <c r="BC1763" s="36" t="s">
        <v>538</v>
      </c>
      <c r="BD1763" s="36"/>
      <c r="BE1763" s="37" t="s">
        <v>271</v>
      </c>
      <c r="BF1763" s="37" t="s">
        <v>272</v>
      </c>
      <c r="BG1763" s="37" t="s">
        <v>272</v>
      </c>
      <c r="BH1763" s="37" t="s">
        <v>1587</v>
      </c>
      <c r="BI1763" s="243" t="s">
        <v>8722</v>
      </c>
      <c r="BJ1763" s="243" t="s">
        <v>8722</v>
      </c>
      <c r="BK1763" s="37"/>
      <c r="BL1763" s="263">
        <v>23.053172173940368</v>
      </c>
      <c r="BM1763" s="37" t="s">
        <v>1588</v>
      </c>
      <c r="BN1763" s="37"/>
      <c r="BO1763" s="37">
        <v>9.2567464752627533</v>
      </c>
      <c r="BP1763" s="37"/>
      <c r="BQ1763" s="37"/>
      <c r="BR1763" s="37"/>
      <c r="BS1763" s="37"/>
      <c r="BT1763" s="37"/>
      <c r="BU1763" s="246"/>
      <c r="BV1763" s="37"/>
      <c r="BW1763" s="37"/>
      <c r="BX1763" s="37"/>
      <c r="BY1763" s="37"/>
      <c r="BZ1763" s="37"/>
      <c r="CA1763" s="37"/>
      <c r="CB1763" s="37"/>
      <c r="CC1763" s="37"/>
      <c r="CD1763" s="37"/>
      <c r="CE1763" s="37"/>
      <c r="CF1763" s="37"/>
      <c r="CG1763" s="37"/>
      <c r="CH1763" s="37"/>
      <c r="CI1763" s="243">
        <v>9.2567464752627533</v>
      </c>
      <c r="CJ1763" s="243">
        <f t="shared" si="450"/>
        <v>0.96645836938963081</v>
      </c>
      <c r="CK1763" s="38"/>
      <c r="CL1763" s="247">
        <f t="shared" si="451"/>
        <v>2.4904184462161152</v>
      </c>
      <c r="CM1763" s="247"/>
      <c r="CN1763" s="247"/>
      <c r="CO1763" s="36"/>
      <c r="CP1763" s="496" t="s">
        <v>1589</v>
      </c>
      <c r="CQ1763" s="241" t="s">
        <v>272</v>
      </c>
      <c r="CR1763" s="241"/>
      <c r="CS1763" s="33"/>
      <c r="CT1763" s="33"/>
      <c r="CU1763" s="250">
        <f t="shared" si="452"/>
        <v>53.196899942013374</v>
      </c>
      <c r="CV1763" s="337"/>
      <c r="CW1763" s="330">
        <f t="shared" si="453"/>
        <v>1</v>
      </c>
      <c r="CX1763" s="330"/>
      <c r="CY1763" s="143" t="s">
        <v>5921</v>
      </c>
    </row>
    <row r="1764" spans="1:103" ht="11.25" customHeight="1" x14ac:dyDescent="0.2">
      <c r="A1764" s="72">
        <v>1912</v>
      </c>
      <c r="B1764" s="241">
        <v>491</v>
      </c>
      <c r="C1764" s="32" t="s">
        <v>1581</v>
      </c>
      <c r="D1764" s="32"/>
      <c r="E1764" s="40"/>
      <c r="F1764" s="40" t="s">
        <v>1582</v>
      </c>
      <c r="G1764" s="242">
        <v>52488365</v>
      </c>
      <c r="H1764" s="36"/>
      <c r="I1764" s="36" t="s">
        <v>7877</v>
      </c>
      <c r="J1764" s="36" t="s">
        <v>1583</v>
      </c>
      <c r="K1764" s="36"/>
      <c r="L1764" s="36"/>
      <c r="M1764" s="36"/>
      <c r="N1764" s="36"/>
      <c r="O1764" s="36"/>
      <c r="P1764" s="41"/>
      <c r="Q1764" s="41"/>
      <c r="R1764" s="41"/>
      <c r="S1764" s="41"/>
      <c r="T1764" s="37">
        <v>195.95</v>
      </c>
      <c r="U1764" s="243"/>
      <c r="V1764" s="243"/>
      <c r="W1764" s="243">
        <v>492.20414625430175</v>
      </c>
      <c r="X1764" s="243">
        <v>492.20414625430175</v>
      </c>
      <c r="Y1764" s="414">
        <v>7</v>
      </c>
      <c r="Z1764" s="37"/>
      <c r="AA1764" s="37"/>
      <c r="AB1764" s="37"/>
      <c r="AC1764" s="37"/>
      <c r="AD1764" s="37"/>
      <c r="AE1764" s="37"/>
      <c r="AF1764" s="37"/>
      <c r="AG1764" s="38">
        <v>2.89</v>
      </c>
      <c r="AH1764" s="243"/>
      <c r="AI1764" s="243"/>
      <c r="AJ1764" s="34"/>
      <c r="AK1764" s="34"/>
      <c r="AL1764" s="34"/>
      <c r="AM1764" s="34"/>
      <c r="AN1764" s="244">
        <v>-4.74</v>
      </c>
      <c r="AO1764" s="417">
        <v>16.07</v>
      </c>
      <c r="AP1764" s="417">
        <v>-5.01</v>
      </c>
      <c r="AQ1764" s="244" t="s">
        <v>6311</v>
      </c>
      <c r="AR1764" s="244" t="s">
        <v>6311</v>
      </c>
      <c r="AS1764" s="241" t="s">
        <v>120</v>
      </c>
      <c r="AT1764" s="39" t="s">
        <v>266</v>
      </c>
      <c r="AU1764" s="37">
        <v>2</v>
      </c>
      <c r="AV1764" s="37">
        <v>48</v>
      </c>
      <c r="AW1764" s="37">
        <v>48</v>
      </c>
      <c r="AX1764" s="37">
        <v>26</v>
      </c>
      <c r="AY1764" s="37" t="s">
        <v>8722</v>
      </c>
      <c r="AZ1764" s="37" t="s">
        <v>1586</v>
      </c>
      <c r="BA1764" s="37">
        <v>60</v>
      </c>
      <c r="BB1764" s="36" t="s">
        <v>537</v>
      </c>
      <c r="BC1764" s="36" t="s">
        <v>538</v>
      </c>
      <c r="BD1764" s="36"/>
      <c r="BE1764" s="37" t="s">
        <v>271</v>
      </c>
      <c r="BF1764" s="37" t="s">
        <v>272</v>
      </c>
      <c r="BG1764" s="37" t="s">
        <v>272</v>
      </c>
      <c r="BH1764" s="37" t="s">
        <v>1587</v>
      </c>
      <c r="BI1764" s="250">
        <v>0.5</v>
      </c>
      <c r="BJ1764" s="250">
        <v>10</v>
      </c>
      <c r="BK1764" s="37"/>
      <c r="BL1764" s="263"/>
      <c r="BM1764" s="37" t="s">
        <v>1588</v>
      </c>
      <c r="BN1764" s="37"/>
      <c r="BO1764" s="37">
        <v>4.3</v>
      </c>
      <c r="BP1764" s="37"/>
      <c r="BQ1764" s="37"/>
      <c r="BR1764" s="37"/>
      <c r="BS1764" s="37"/>
      <c r="BT1764" s="37"/>
      <c r="BU1764" s="246"/>
      <c r="BV1764" s="37"/>
      <c r="BW1764" s="37"/>
      <c r="BX1764" s="37"/>
      <c r="BY1764" s="37"/>
      <c r="BZ1764" s="37"/>
      <c r="CA1764" s="37"/>
      <c r="CB1764" s="37"/>
      <c r="CC1764" s="37"/>
      <c r="CD1764" s="37"/>
      <c r="CE1764" s="37"/>
      <c r="CF1764" s="37"/>
      <c r="CG1764" s="37"/>
      <c r="CH1764" s="37"/>
      <c r="CI1764" s="243">
        <v>4.3</v>
      </c>
      <c r="CJ1764" s="243">
        <f t="shared" si="450"/>
        <v>0.63346845557958653</v>
      </c>
      <c r="CK1764" s="38">
        <f>BL1764/BJ1764</f>
        <v>0</v>
      </c>
      <c r="CL1764" s="247">
        <f t="shared" si="451"/>
        <v>0</v>
      </c>
      <c r="CM1764" s="247"/>
      <c r="CN1764" s="247"/>
      <c r="CO1764" s="36"/>
      <c r="CP1764" s="496" t="s">
        <v>1589</v>
      </c>
      <c r="CQ1764" s="241" t="s">
        <v>272</v>
      </c>
      <c r="CR1764" s="241"/>
      <c r="CS1764" s="33"/>
      <c r="CT1764" s="33"/>
      <c r="CU1764" s="250">
        <f t="shared" si="452"/>
        <v>114.46608052425623</v>
      </c>
      <c r="CV1764" s="337">
        <f>X1764/BJ1764</f>
        <v>49.220414625430173</v>
      </c>
      <c r="CW1764" s="330">
        <f t="shared" si="453"/>
        <v>1</v>
      </c>
      <c r="CX1764" s="330"/>
      <c r="CY1764" s="143" t="s">
        <v>5921</v>
      </c>
    </row>
    <row r="1765" spans="1:103" ht="11.25" customHeight="1" x14ac:dyDescent="0.2">
      <c r="A1765" s="72">
        <v>1944</v>
      </c>
      <c r="B1765" s="241">
        <v>735</v>
      </c>
      <c r="C1765" s="32" t="s">
        <v>2078</v>
      </c>
      <c r="D1765" s="32" t="s">
        <v>6568</v>
      </c>
      <c r="E1765" s="40"/>
      <c r="F1765" s="40" t="s">
        <v>2079</v>
      </c>
      <c r="G1765" s="242">
        <v>84852153</v>
      </c>
      <c r="H1765" s="36" t="s">
        <v>2080</v>
      </c>
      <c r="I1765" s="36" t="s">
        <v>2080</v>
      </c>
      <c r="J1765" s="36"/>
      <c r="K1765" s="36" t="s">
        <v>349</v>
      </c>
      <c r="L1765" s="36"/>
      <c r="M1765" s="36" t="s">
        <v>602</v>
      </c>
      <c r="N1765" s="36" t="s">
        <v>6386</v>
      </c>
      <c r="O1765" s="36" t="s">
        <v>2081</v>
      </c>
      <c r="P1765" s="41"/>
      <c r="Q1765" s="41"/>
      <c r="R1765" s="41"/>
      <c r="S1765" s="41"/>
      <c r="T1765" s="37">
        <v>220.36</v>
      </c>
      <c r="U1765" s="243">
        <v>5000</v>
      </c>
      <c r="V1765" s="243">
        <v>1.544</v>
      </c>
      <c r="W1765" s="243">
        <v>36.570657092294041</v>
      </c>
      <c r="X1765" s="243">
        <v>5000</v>
      </c>
      <c r="Y1765" s="414">
        <v>6.83</v>
      </c>
      <c r="Z1765" s="37">
        <v>5.77</v>
      </c>
      <c r="AA1765" s="37"/>
      <c r="AB1765" s="37">
        <v>5.2</v>
      </c>
      <c r="AC1765" s="37">
        <v>0.65349999999999997</v>
      </c>
      <c r="AD1765" s="37">
        <v>5.39</v>
      </c>
      <c r="AE1765" s="37">
        <v>5.64</v>
      </c>
      <c r="AF1765" s="37">
        <f t="shared" ref="AF1765:AF1774" si="456">IF(AA1765=0,AD1765,AA1765)</f>
        <v>5.39</v>
      </c>
      <c r="AG1765" s="38">
        <v>5.39</v>
      </c>
      <c r="AH1765" s="243">
        <v>5.9699999999999996E-6</v>
      </c>
      <c r="AI1765" s="243">
        <v>4.3000000000000003E-6</v>
      </c>
      <c r="AJ1765" s="34">
        <f>LOG10(AH1765*1000/(0.08206*298.15))</f>
        <v>-3.6125919951832826</v>
      </c>
      <c r="AK1765" s="34">
        <f>LOG10(AI1765*1000/(0.08206*298.15))</f>
        <v>-3.7550978707330653</v>
      </c>
      <c r="AL1765" s="34">
        <f t="shared" ref="AL1765:AL1774" si="457">IF(AK1765=0,AJ1765,AK1765)</f>
        <v>-3.7550978707330653</v>
      </c>
      <c r="AM1765" s="34">
        <v>-7.7129099999999999</v>
      </c>
      <c r="AN1765" s="244"/>
      <c r="AO1765" s="417">
        <v>10.15</v>
      </c>
      <c r="AP1765" s="417"/>
      <c r="AQ1765" s="244" t="s">
        <v>6311</v>
      </c>
      <c r="AR1765" s="244" t="s">
        <v>6311</v>
      </c>
      <c r="AS1765" s="241" t="s">
        <v>6</v>
      </c>
      <c r="AT1765" s="39" t="s">
        <v>266</v>
      </c>
      <c r="AU1765" s="37">
        <v>2</v>
      </c>
      <c r="AV1765" s="37">
        <v>48</v>
      </c>
      <c r="AW1765" s="37">
        <v>48</v>
      </c>
      <c r="AX1765" s="37">
        <v>26</v>
      </c>
      <c r="AY1765" s="37" t="s">
        <v>8722</v>
      </c>
      <c r="AZ1765" s="37" t="s">
        <v>1586</v>
      </c>
      <c r="BA1765" s="37">
        <v>60</v>
      </c>
      <c r="BB1765" s="36" t="s">
        <v>537</v>
      </c>
      <c r="BC1765" s="36" t="s">
        <v>538</v>
      </c>
      <c r="BD1765" s="36"/>
      <c r="BE1765" s="37" t="s">
        <v>271</v>
      </c>
      <c r="BF1765" s="37" t="s">
        <v>272</v>
      </c>
      <c r="BG1765" s="37" t="s">
        <v>272</v>
      </c>
      <c r="BH1765" s="37" t="s">
        <v>1587</v>
      </c>
      <c r="BI1765" s="243" t="s">
        <v>8722</v>
      </c>
      <c r="BJ1765" s="243" t="s">
        <v>8722</v>
      </c>
      <c r="BK1765" s="37"/>
      <c r="BL1765" s="263">
        <v>7.4455325003865938E-2</v>
      </c>
      <c r="BM1765" s="37" t="s">
        <v>1588</v>
      </c>
      <c r="BN1765" s="37"/>
      <c r="BO1765" s="37">
        <v>969.58400000000017</v>
      </c>
      <c r="BP1765" s="37"/>
      <c r="BQ1765" s="37"/>
      <c r="BR1765" s="37"/>
      <c r="BS1765" s="37"/>
      <c r="BT1765" s="37"/>
      <c r="BU1765" s="246"/>
      <c r="BV1765" s="37"/>
      <c r="BW1765" s="37"/>
      <c r="BX1765" s="37"/>
      <c r="BY1765" s="37"/>
      <c r="BZ1765" s="37"/>
      <c r="CA1765" s="37"/>
      <c r="CB1765" s="37"/>
      <c r="CC1765" s="37"/>
      <c r="CD1765" s="37"/>
      <c r="CE1765" s="37"/>
      <c r="CF1765" s="37"/>
      <c r="CG1765" s="37"/>
      <c r="CH1765" s="37"/>
      <c r="CI1765" s="243">
        <v>969.58400000000017</v>
      </c>
      <c r="CJ1765" s="243">
        <f t="shared" si="450"/>
        <v>2.9865854401874712</v>
      </c>
      <c r="CK1765" s="38"/>
      <c r="CL1765" s="247">
        <f t="shared" si="451"/>
        <v>7.6791000061743922E-5</v>
      </c>
      <c r="CM1765" s="247"/>
      <c r="CN1765" s="247"/>
      <c r="CO1765" s="36"/>
      <c r="CP1765" s="496" t="s">
        <v>1589</v>
      </c>
      <c r="CQ1765" s="241">
        <v>-0.679853713888946</v>
      </c>
      <c r="CR1765" s="241">
        <f>10^(CJ1765-CQ1765)</f>
        <v>4639.1578947368453</v>
      </c>
      <c r="CS1765" s="33"/>
      <c r="CT1765" s="33"/>
      <c r="CU1765" s="250">
        <f t="shared" si="452"/>
        <v>5.1568507731150666</v>
      </c>
      <c r="CV1765" s="337"/>
      <c r="CW1765" s="330">
        <f t="shared" si="453"/>
        <v>1</v>
      </c>
      <c r="CX1765" s="330"/>
      <c r="CY1765" s="143" t="s">
        <v>6351</v>
      </c>
    </row>
    <row r="1766" spans="1:103" ht="11.25" customHeight="1" x14ac:dyDescent="0.2">
      <c r="A1766" s="72">
        <v>1959</v>
      </c>
      <c r="B1766" s="241">
        <v>734</v>
      </c>
      <c r="C1766" s="32" t="s">
        <v>2074</v>
      </c>
      <c r="D1766" s="32"/>
      <c r="E1766" s="40"/>
      <c r="F1766" s="40" t="s">
        <v>2075</v>
      </c>
      <c r="G1766" s="242">
        <v>186825365</v>
      </c>
      <c r="H1766" s="36" t="s">
        <v>2076</v>
      </c>
      <c r="I1766" s="36" t="s">
        <v>7834</v>
      </c>
      <c r="J1766" s="36" t="s">
        <v>2077</v>
      </c>
      <c r="K1766" s="36" t="s">
        <v>300</v>
      </c>
      <c r="L1766" s="36"/>
      <c r="M1766" s="36"/>
      <c r="N1766" s="36"/>
      <c r="O1766" s="36"/>
      <c r="P1766" s="41"/>
      <c r="Q1766" s="41"/>
      <c r="R1766" s="41"/>
      <c r="S1766" s="41"/>
      <c r="T1766" s="37">
        <v>645.30999999999995</v>
      </c>
      <c r="U1766" s="243"/>
      <c r="V1766" s="243">
        <v>2.8249999999999998E-4</v>
      </c>
      <c r="W1766" s="243">
        <v>1.0709480272385303</v>
      </c>
      <c r="X1766" s="243">
        <v>1.0709480272385303</v>
      </c>
      <c r="Y1766" s="414">
        <v>7.5</v>
      </c>
      <c r="Z1766" s="37">
        <v>8.81</v>
      </c>
      <c r="AA1766" s="37">
        <v>7.57</v>
      </c>
      <c r="AB1766" s="37">
        <v>6.92</v>
      </c>
      <c r="AC1766" s="37">
        <v>0.75929999999999997</v>
      </c>
      <c r="AD1766" s="37">
        <v>7.36</v>
      </c>
      <c r="AE1766" s="37">
        <v>8.89</v>
      </c>
      <c r="AF1766" s="37">
        <f t="shared" si="456"/>
        <v>7.57</v>
      </c>
      <c r="AG1766" s="38">
        <v>8.24</v>
      </c>
      <c r="AH1766" s="243">
        <v>1.8E-12</v>
      </c>
      <c r="AI1766" s="243"/>
      <c r="AJ1766" s="34">
        <f t="shared" ref="AJ1766:AJ1774" si="458">LOG10(AH1766*1000/(0.08206*298.15))</f>
        <v>-10.133293821209346</v>
      </c>
      <c r="AK1766" s="34"/>
      <c r="AL1766" s="34">
        <f t="shared" si="457"/>
        <v>-10.133293821209346</v>
      </c>
      <c r="AM1766" s="34">
        <v>-18.407700000000002</v>
      </c>
      <c r="AN1766" s="244">
        <v>-10.5</v>
      </c>
      <c r="AO1766" s="417"/>
      <c r="AP1766" s="417">
        <v>9.3699999999999992</v>
      </c>
      <c r="AQ1766" s="244" t="s">
        <v>6311</v>
      </c>
      <c r="AR1766" s="244" t="s">
        <v>6311</v>
      </c>
      <c r="AS1766" s="241"/>
      <c r="AT1766" s="39" t="s">
        <v>266</v>
      </c>
      <c r="AU1766" s="37">
        <v>2</v>
      </c>
      <c r="AV1766" s="37">
        <v>48</v>
      </c>
      <c r="AW1766" s="37">
        <v>48</v>
      </c>
      <c r="AX1766" s="37">
        <v>26</v>
      </c>
      <c r="AY1766" s="37" t="s">
        <v>8722</v>
      </c>
      <c r="AZ1766" s="37" t="s">
        <v>1586</v>
      </c>
      <c r="BA1766" s="37">
        <v>60</v>
      </c>
      <c r="BB1766" s="36" t="s">
        <v>537</v>
      </c>
      <c r="BC1766" s="36" t="s">
        <v>538</v>
      </c>
      <c r="BD1766" s="36"/>
      <c r="BE1766" s="37" t="s">
        <v>271</v>
      </c>
      <c r="BF1766" s="37" t="s">
        <v>272</v>
      </c>
      <c r="BG1766" s="37" t="s">
        <v>272</v>
      </c>
      <c r="BH1766" s="37" t="s">
        <v>1587</v>
      </c>
      <c r="BI1766" s="243" t="s">
        <v>8722</v>
      </c>
      <c r="BJ1766" s="243" t="s">
        <v>8722</v>
      </c>
      <c r="BK1766" s="37"/>
      <c r="BL1766" s="263">
        <v>4.0579565742698967E-4</v>
      </c>
      <c r="BM1766" s="37" t="s">
        <v>1588</v>
      </c>
      <c r="BN1766" s="37"/>
      <c r="BO1766" s="37">
        <v>4323.5769999999993</v>
      </c>
      <c r="BP1766" s="37"/>
      <c r="BQ1766" s="37"/>
      <c r="BR1766" s="37"/>
      <c r="BS1766" s="37"/>
      <c r="BT1766" s="37"/>
      <c r="BU1766" s="246"/>
      <c r="BV1766" s="37"/>
      <c r="BW1766" s="37"/>
      <c r="BX1766" s="37"/>
      <c r="BY1766" s="37"/>
      <c r="BZ1766" s="37"/>
      <c r="CA1766" s="37"/>
      <c r="CB1766" s="37"/>
      <c r="CC1766" s="37"/>
      <c r="CD1766" s="37"/>
      <c r="CE1766" s="37"/>
      <c r="CF1766" s="37"/>
      <c r="CG1766" s="37"/>
      <c r="CH1766" s="37"/>
      <c r="CI1766" s="243">
        <v>4323.5769999999993</v>
      </c>
      <c r="CJ1766" s="243">
        <f t="shared" si="450"/>
        <v>3.635843197873299</v>
      </c>
      <c r="CK1766" s="38"/>
      <c r="CL1766" s="247">
        <f t="shared" si="451"/>
        <v>9.385646593711405E-8</v>
      </c>
      <c r="CM1766" s="247"/>
      <c r="CN1766" s="247"/>
      <c r="CO1766" s="36"/>
      <c r="CP1766" s="496" t="s">
        <v>1589</v>
      </c>
      <c r="CQ1766" s="241" t="s">
        <v>272</v>
      </c>
      <c r="CR1766" s="241"/>
      <c r="CS1766" s="33"/>
      <c r="CT1766" s="33"/>
      <c r="CU1766" s="250">
        <f t="shared" si="452"/>
        <v>2.476995384235161E-4</v>
      </c>
      <c r="CV1766" s="337"/>
      <c r="CW1766" s="330">
        <f t="shared" si="453"/>
        <v>0</v>
      </c>
      <c r="CX1766" s="330"/>
      <c r="CY1766" s="143" t="s">
        <v>5921</v>
      </c>
    </row>
    <row r="1767" spans="1:103" ht="11.25" customHeight="1" x14ac:dyDescent="0.2">
      <c r="A1767" s="72">
        <v>1992</v>
      </c>
      <c r="B1767" s="241">
        <v>733</v>
      </c>
      <c r="C1767" s="32" t="s">
        <v>2071</v>
      </c>
      <c r="D1767" s="32"/>
      <c r="E1767" s="40"/>
      <c r="F1767" s="241" t="s">
        <v>6419</v>
      </c>
      <c r="G1767" s="241" t="s">
        <v>6419</v>
      </c>
      <c r="H1767" s="36" t="s">
        <v>2072</v>
      </c>
      <c r="I1767" s="36" t="s">
        <v>7748</v>
      </c>
      <c r="J1767" s="36" t="s">
        <v>2073</v>
      </c>
      <c r="K1767" s="36" t="s">
        <v>349</v>
      </c>
      <c r="L1767" s="36"/>
      <c r="M1767" s="36"/>
      <c r="N1767" s="36"/>
      <c r="O1767" s="36"/>
      <c r="P1767" s="41"/>
      <c r="Q1767" s="41"/>
      <c r="R1767" s="41"/>
      <c r="S1767" s="41"/>
      <c r="T1767" s="37">
        <v>265.35000000000002</v>
      </c>
      <c r="U1767" s="243"/>
      <c r="V1767" s="243">
        <v>9.8510000000000014E-2</v>
      </c>
      <c r="W1767" s="243">
        <v>4.7186644145382788</v>
      </c>
      <c r="X1767" s="243">
        <v>4.7186644145382788</v>
      </c>
      <c r="Y1767" s="414">
        <v>6.07</v>
      </c>
      <c r="Z1767" s="37">
        <v>6.2</v>
      </c>
      <c r="AA1767" s="37"/>
      <c r="AB1767" s="37">
        <v>5.0199999999999996</v>
      </c>
      <c r="AC1767" s="37">
        <v>0.49590000000000001</v>
      </c>
      <c r="AD1767" s="37">
        <v>5.5</v>
      </c>
      <c r="AE1767" s="37">
        <v>5.87</v>
      </c>
      <c r="AF1767" s="37">
        <f t="shared" si="456"/>
        <v>5.5</v>
      </c>
      <c r="AG1767" s="38">
        <v>4.79</v>
      </c>
      <c r="AH1767" s="243">
        <v>7.4499999999999995E-5</v>
      </c>
      <c r="AI1767" s="243"/>
      <c r="AJ1767" s="34">
        <f t="shared" si="458"/>
        <v>-2.5164100535643588</v>
      </c>
      <c r="AK1767" s="34"/>
      <c r="AL1767" s="34">
        <f t="shared" si="457"/>
        <v>-2.5164100535643588</v>
      </c>
      <c r="AM1767" s="34">
        <v>-7.0290599999999994</v>
      </c>
      <c r="AN1767" s="244">
        <v>-2.2999999999999998</v>
      </c>
      <c r="AO1767" s="417">
        <v>7.38</v>
      </c>
      <c r="AP1767" s="417"/>
      <c r="AQ1767" s="244" t="s">
        <v>5921</v>
      </c>
      <c r="AR1767" s="244" t="s">
        <v>5921</v>
      </c>
      <c r="AS1767" s="241" t="s">
        <v>1687</v>
      </c>
      <c r="AT1767" s="39" t="s">
        <v>266</v>
      </c>
      <c r="AU1767" s="37">
        <v>2</v>
      </c>
      <c r="AV1767" s="37">
        <v>48</v>
      </c>
      <c r="AW1767" s="37">
        <v>48</v>
      </c>
      <c r="AX1767" s="37">
        <v>26</v>
      </c>
      <c r="AY1767" s="37" t="s">
        <v>8722</v>
      </c>
      <c r="AZ1767" s="37" t="s">
        <v>1586</v>
      </c>
      <c r="BA1767" s="37">
        <v>60</v>
      </c>
      <c r="BB1767" s="36" t="s">
        <v>537</v>
      </c>
      <c r="BC1767" s="36" t="s">
        <v>538</v>
      </c>
      <c r="BD1767" s="36"/>
      <c r="BE1767" s="37" t="s">
        <v>271</v>
      </c>
      <c r="BF1767" s="37" t="s">
        <v>272</v>
      </c>
      <c r="BG1767" s="37" t="s">
        <v>272</v>
      </c>
      <c r="BH1767" s="37" t="s">
        <v>1587</v>
      </c>
      <c r="BI1767" s="243" t="s">
        <v>8722</v>
      </c>
      <c r="BJ1767" s="243" t="s">
        <v>8722</v>
      </c>
      <c r="BK1767" s="37"/>
      <c r="BL1767" s="263">
        <v>3.6846741874546236E-2</v>
      </c>
      <c r="BM1767" s="37" t="s">
        <v>1588</v>
      </c>
      <c r="BN1767" s="37"/>
      <c r="BO1767" s="37">
        <v>3529.1550000000007</v>
      </c>
      <c r="BP1767" s="37"/>
      <c r="BQ1767" s="37"/>
      <c r="BR1767" s="37"/>
      <c r="BS1767" s="37"/>
      <c r="BT1767" s="37"/>
      <c r="BU1767" s="246"/>
      <c r="BV1767" s="37"/>
      <c r="BW1767" s="37"/>
      <c r="BX1767" s="37"/>
      <c r="BY1767" s="37"/>
      <c r="BZ1767" s="37"/>
      <c r="CA1767" s="37"/>
      <c r="CB1767" s="37"/>
      <c r="CC1767" s="37"/>
      <c r="CD1767" s="37"/>
      <c r="CE1767" s="37"/>
      <c r="CF1767" s="37"/>
      <c r="CG1767" s="37"/>
      <c r="CH1767" s="37"/>
      <c r="CI1767" s="243">
        <v>3529.1550000000007</v>
      </c>
      <c r="CJ1767" s="243">
        <f t="shared" si="450"/>
        <v>3.5476707329324904</v>
      </c>
      <c r="CK1767" s="38"/>
      <c r="CL1767" s="247">
        <f t="shared" si="451"/>
        <v>1.0440669756512884E-5</v>
      </c>
      <c r="CM1767" s="247"/>
      <c r="CN1767" s="247"/>
      <c r="CO1767" s="36"/>
      <c r="CP1767" s="496" t="s">
        <v>1589</v>
      </c>
      <c r="CQ1767" s="241" t="s">
        <v>272</v>
      </c>
      <c r="CR1767" s="241"/>
      <c r="CS1767" s="33"/>
      <c r="CT1767" s="33"/>
      <c r="CU1767" s="250">
        <f t="shared" si="452"/>
        <v>1.3370521879991889E-3</v>
      </c>
      <c r="CV1767" s="337"/>
      <c r="CW1767" s="330">
        <f t="shared" si="453"/>
        <v>0</v>
      </c>
      <c r="CX1767" s="330"/>
      <c r="CY1767" s="143" t="s">
        <v>5921</v>
      </c>
    </row>
    <row r="1768" spans="1:103" ht="11.25" customHeight="1" x14ac:dyDescent="0.2">
      <c r="A1768" s="72">
        <v>1993</v>
      </c>
      <c r="B1768" s="241">
        <v>732</v>
      </c>
      <c r="C1768" s="32" t="s">
        <v>2068</v>
      </c>
      <c r="D1768" s="32"/>
      <c r="E1768" s="40"/>
      <c r="F1768" s="241" t="s">
        <v>6420</v>
      </c>
      <c r="G1768" s="241" t="s">
        <v>6420</v>
      </c>
      <c r="H1768" s="36" t="s">
        <v>2069</v>
      </c>
      <c r="I1768" s="36" t="s">
        <v>7737</v>
      </c>
      <c r="J1768" s="36" t="s">
        <v>2070</v>
      </c>
      <c r="K1768" s="36" t="s">
        <v>349</v>
      </c>
      <c r="L1768" s="36"/>
      <c r="M1768" s="36"/>
      <c r="N1768" s="36"/>
      <c r="O1768" s="36"/>
      <c r="P1768" s="41"/>
      <c r="Q1768" s="41"/>
      <c r="R1768" s="41"/>
      <c r="S1768" s="41"/>
      <c r="T1768" s="37">
        <v>265.35000000000002</v>
      </c>
      <c r="U1768" s="243"/>
      <c r="V1768" s="243">
        <v>9.0480000000000005E-2</v>
      </c>
      <c r="W1768" s="243">
        <v>3.4183701854177335</v>
      </c>
      <c r="X1768" s="243">
        <v>3.4183701854177335</v>
      </c>
      <c r="Y1768" s="414">
        <v>6.7</v>
      </c>
      <c r="Z1768" s="37">
        <v>6.69</v>
      </c>
      <c r="AA1768" s="37"/>
      <c r="AB1768" s="37">
        <v>5.65</v>
      </c>
      <c r="AC1768" s="37">
        <v>0.49199999999999999</v>
      </c>
      <c r="AD1768" s="37">
        <v>6.19</v>
      </c>
      <c r="AE1768" s="37">
        <v>6.63</v>
      </c>
      <c r="AF1768" s="37">
        <f t="shared" si="456"/>
        <v>6.19</v>
      </c>
      <c r="AG1768" s="38">
        <v>5.98</v>
      </c>
      <c r="AH1768" s="243">
        <v>2.3800000000000001E-6</v>
      </c>
      <c r="AI1768" s="243"/>
      <c r="AJ1768" s="34">
        <f t="shared" si="458"/>
        <v>-4.0119893692561401</v>
      </c>
      <c r="AK1768" s="34"/>
      <c r="AL1768" s="34">
        <f t="shared" si="457"/>
        <v>-4.0119893692561401</v>
      </c>
      <c r="AM1768" s="34">
        <v>-6.8363900000000006</v>
      </c>
      <c r="AN1768" s="244">
        <v>-2.14</v>
      </c>
      <c r="AO1768" s="417">
        <v>8.64</v>
      </c>
      <c r="AP1768" s="417"/>
      <c r="AQ1768" s="244" t="s">
        <v>5921</v>
      </c>
      <c r="AR1768" s="244" t="s">
        <v>5921</v>
      </c>
      <c r="AS1768" s="241" t="s">
        <v>1687</v>
      </c>
      <c r="AT1768" s="39" t="s">
        <v>266</v>
      </c>
      <c r="AU1768" s="37">
        <v>2</v>
      </c>
      <c r="AV1768" s="37">
        <v>48</v>
      </c>
      <c r="AW1768" s="37">
        <v>48</v>
      </c>
      <c r="AX1768" s="37">
        <v>26</v>
      </c>
      <c r="AY1768" s="37" t="s">
        <v>8722</v>
      </c>
      <c r="AZ1768" s="37" t="s">
        <v>1586</v>
      </c>
      <c r="BA1768" s="37">
        <v>60</v>
      </c>
      <c r="BB1768" s="36" t="s">
        <v>537</v>
      </c>
      <c r="BC1768" s="36" t="s">
        <v>538</v>
      </c>
      <c r="BD1768" s="36"/>
      <c r="BE1768" s="37" t="s">
        <v>271</v>
      </c>
      <c r="BF1768" s="37" t="s">
        <v>272</v>
      </c>
      <c r="BG1768" s="37" t="s">
        <v>272</v>
      </c>
      <c r="BH1768" s="37" t="s">
        <v>1587</v>
      </c>
      <c r="BI1768" s="243" t="s">
        <v>8722</v>
      </c>
      <c r="BJ1768" s="243" t="s">
        <v>8722</v>
      </c>
      <c r="BK1768" s="37"/>
      <c r="BL1768" s="263">
        <v>1.3376118019748253E-2</v>
      </c>
      <c r="BM1768" s="37" t="s">
        <v>1588</v>
      </c>
      <c r="BN1768" s="37"/>
      <c r="BO1768" s="37">
        <v>7190.9850000000006</v>
      </c>
      <c r="BP1768" s="37"/>
      <c r="BQ1768" s="37"/>
      <c r="BR1768" s="37"/>
      <c r="BS1768" s="37"/>
      <c r="BT1768" s="37"/>
      <c r="BU1768" s="246"/>
      <c r="BV1768" s="37"/>
      <c r="BW1768" s="37"/>
      <c r="BX1768" s="37"/>
      <c r="BY1768" s="37"/>
      <c r="BZ1768" s="37"/>
      <c r="CA1768" s="37"/>
      <c r="CB1768" s="37"/>
      <c r="CC1768" s="37"/>
      <c r="CD1768" s="37"/>
      <c r="CE1768" s="37"/>
      <c r="CF1768" s="37"/>
      <c r="CG1768" s="37"/>
      <c r="CH1768" s="37"/>
      <c r="CI1768" s="243">
        <v>7190.9850000000006</v>
      </c>
      <c r="CJ1768" s="243">
        <f t="shared" si="450"/>
        <v>3.85678838283981</v>
      </c>
      <c r="CK1768" s="38"/>
      <c r="CL1768" s="247">
        <f t="shared" si="451"/>
        <v>1.8601231986644739E-6</v>
      </c>
      <c r="CM1768" s="247"/>
      <c r="CN1768" s="247"/>
      <c r="CO1768" s="36"/>
      <c r="CP1768" s="496" t="s">
        <v>1589</v>
      </c>
      <c r="CQ1768" s="241" t="s">
        <v>272</v>
      </c>
      <c r="CR1768" s="241"/>
      <c r="CS1768" s="33"/>
      <c r="CT1768" s="33"/>
      <c r="CU1768" s="250">
        <f t="shared" si="452"/>
        <v>4.7536883826314937E-4</v>
      </c>
      <c r="CV1768" s="337"/>
      <c r="CW1768" s="330">
        <f t="shared" si="453"/>
        <v>0</v>
      </c>
      <c r="CX1768" s="330"/>
      <c r="CY1768" s="143" t="s">
        <v>5921</v>
      </c>
    </row>
    <row r="1769" spans="1:103" ht="11.25" customHeight="1" x14ac:dyDescent="0.2">
      <c r="A1769" s="72">
        <v>136</v>
      </c>
      <c r="B1769" s="149">
        <v>2064</v>
      </c>
      <c r="C1769" s="54" t="s">
        <v>5678</v>
      </c>
      <c r="D1769" s="54" t="s">
        <v>8544</v>
      </c>
      <c r="E1769" s="59"/>
      <c r="F1769" s="167" t="s">
        <v>661</v>
      </c>
      <c r="G1769" s="151">
        <v>302794</v>
      </c>
      <c r="H1769" s="67" t="s">
        <v>662</v>
      </c>
      <c r="I1769" s="67" t="s">
        <v>662</v>
      </c>
      <c r="J1769" s="67" t="s">
        <v>5679</v>
      </c>
      <c r="K1769" s="67" t="s">
        <v>426</v>
      </c>
      <c r="L1769" s="67" t="s">
        <v>279</v>
      </c>
      <c r="M1769" s="67" t="s">
        <v>664</v>
      </c>
      <c r="N1769" s="60"/>
      <c r="O1769" s="67" t="s">
        <v>281</v>
      </c>
      <c r="P1769" s="67"/>
      <c r="Q1769" s="67"/>
      <c r="R1769" s="67"/>
      <c r="S1769" s="67"/>
      <c r="T1769" s="61">
        <v>300.44</v>
      </c>
      <c r="U1769" s="111"/>
      <c r="V1769" s="111">
        <v>0.1263</v>
      </c>
      <c r="W1769" s="111">
        <v>14.714914849105602</v>
      </c>
      <c r="X1769" s="111">
        <v>14.714914849105602</v>
      </c>
      <c r="Y1769" s="411">
        <v>4.6500000000000004</v>
      </c>
      <c r="Z1769" s="61">
        <v>7.85</v>
      </c>
      <c r="AA1769" s="61">
        <v>6.3</v>
      </c>
      <c r="AB1769" s="61">
        <v>5.52</v>
      </c>
      <c r="AC1769" s="61">
        <v>0.80679999999999996</v>
      </c>
      <c r="AD1769" s="61">
        <v>5.9</v>
      </c>
      <c r="AE1769" s="61">
        <v>6.83</v>
      </c>
      <c r="AF1769" s="61">
        <f t="shared" si="456"/>
        <v>6.3</v>
      </c>
      <c r="AG1769" s="62">
        <v>5.9</v>
      </c>
      <c r="AH1769" s="111">
        <v>9.5000000000000005E-6</v>
      </c>
      <c r="AI1769" s="111"/>
      <c r="AJ1769" s="62">
        <f t="shared" si="458"/>
        <v>-3.4108427210238039</v>
      </c>
      <c r="AK1769" s="62"/>
      <c r="AL1769" s="62">
        <f t="shared" si="457"/>
        <v>-3.4108427210238039</v>
      </c>
      <c r="AM1769" s="62">
        <v>-10.49797</v>
      </c>
      <c r="AN1769" s="163">
        <v>-7.0221999999999998</v>
      </c>
      <c r="AO1769" s="410">
        <v>4.7300000000000004</v>
      </c>
      <c r="AP1769" s="410"/>
      <c r="AQ1769" s="163" t="s">
        <v>6311</v>
      </c>
      <c r="AR1769" s="163" t="s">
        <v>6311</v>
      </c>
      <c r="AS1769" s="164" t="s">
        <v>5466</v>
      </c>
      <c r="AT1769" s="63" t="s">
        <v>266</v>
      </c>
      <c r="AU1769" s="61">
        <v>24</v>
      </c>
      <c r="AV1769" s="61">
        <v>120</v>
      </c>
      <c r="AW1769" s="61">
        <v>96</v>
      </c>
      <c r="AX1769" s="61">
        <v>26</v>
      </c>
      <c r="AY1769" s="61" t="s">
        <v>647</v>
      </c>
      <c r="AZ1769" s="61"/>
      <c r="BA1769" s="61"/>
      <c r="BB1769" s="67"/>
      <c r="BC1769" s="67" t="s">
        <v>538</v>
      </c>
      <c r="BD1769" s="67"/>
      <c r="BE1769" s="61" t="s">
        <v>5680</v>
      </c>
      <c r="BF1769" s="61" t="s">
        <v>5681</v>
      </c>
      <c r="BG1769" s="61"/>
      <c r="BH1769" s="61" t="s">
        <v>1820</v>
      </c>
      <c r="BI1769" s="153">
        <v>3.90572E-4</v>
      </c>
      <c r="BJ1769" s="153">
        <v>0.1081584</v>
      </c>
      <c r="BK1769" s="165"/>
      <c r="BL1769" s="153">
        <v>1.3755385092719082E-3</v>
      </c>
      <c r="BM1769" s="61"/>
      <c r="BN1769" s="61"/>
      <c r="BO1769" s="61"/>
      <c r="BP1769" s="61"/>
      <c r="BQ1769" s="61"/>
      <c r="BR1769" s="61"/>
      <c r="BS1769" s="61"/>
      <c r="BT1769" s="61"/>
      <c r="BU1769" s="158"/>
      <c r="BV1769" s="61"/>
      <c r="BW1769" s="61"/>
      <c r="BX1769" s="61"/>
      <c r="BY1769" s="61"/>
      <c r="BZ1769" s="61"/>
      <c r="CA1769" s="61"/>
      <c r="CB1769" s="61">
        <v>0.10800006812</v>
      </c>
      <c r="CC1769" s="61"/>
      <c r="CD1769" s="61"/>
      <c r="CE1769" s="61"/>
      <c r="CF1769" s="61"/>
      <c r="CG1769" s="61"/>
      <c r="CH1769" s="61"/>
      <c r="CI1769" s="111">
        <v>0.10800006812</v>
      </c>
      <c r="CJ1769" s="103">
        <f t="shared" si="450"/>
        <v>-0.96657597058591349</v>
      </c>
      <c r="CK1769" s="57">
        <f>BL1769/BJ1769</f>
        <v>1.2717814883281449E-2</v>
      </c>
      <c r="CL1769" s="160">
        <f t="shared" si="451"/>
        <v>1.2736459645039604E-2</v>
      </c>
      <c r="CM1769" s="160"/>
      <c r="CN1769" s="160"/>
      <c r="CO1769" s="67"/>
      <c r="CP1769" s="161" t="s">
        <v>5682</v>
      </c>
      <c r="CQ1769" s="149" t="s">
        <v>272</v>
      </c>
      <c r="CR1769" s="349"/>
      <c r="CS1769" s="61" t="s">
        <v>539</v>
      </c>
      <c r="CT1769" s="61"/>
      <c r="CU1769" s="111">
        <f t="shared" si="452"/>
        <v>136.24912562791818</v>
      </c>
      <c r="CV1769" s="331">
        <f>X1769/BJ1769</f>
        <v>136.04967204679065</v>
      </c>
      <c r="CW1769" s="326">
        <f t="shared" si="453"/>
        <v>1</v>
      </c>
      <c r="CX1769" s="326"/>
      <c r="CY1769" s="161" t="s">
        <v>5921</v>
      </c>
    </row>
    <row r="1770" spans="1:103" ht="11.25" customHeight="1" x14ac:dyDescent="0.2">
      <c r="A1770" s="72">
        <v>1943</v>
      </c>
      <c r="B1770" s="241">
        <v>854</v>
      </c>
      <c r="C1770" s="32" t="s">
        <v>2101</v>
      </c>
      <c r="D1770" s="32" t="s">
        <v>6567</v>
      </c>
      <c r="E1770" s="40"/>
      <c r="F1770" s="40" t="s">
        <v>2102</v>
      </c>
      <c r="G1770" s="242">
        <v>82657043</v>
      </c>
      <c r="H1770" s="36" t="s">
        <v>2103</v>
      </c>
      <c r="I1770" s="36" t="s">
        <v>7896</v>
      </c>
      <c r="J1770" s="36" t="s">
        <v>2104</v>
      </c>
      <c r="K1770" s="36" t="s">
        <v>1363</v>
      </c>
      <c r="L1770" s="36" t="s">
        <v>617</v>
      </c>
      <c r="M1770" s="36" t="s">
        <v>1086</v>
      </c>
      <c r="N1770" s="36" t="s">
        <v>6376</v>
      </c>
      <c r="O1770" s="36" t="s">
        <v>918</v>
      </c>
      <c r="P1770" s="41"/>
      <c r="Q1770" s="41"/>
      <c r="R1770" s="41"/>
      <c r="S1770" s="41"/>
      <c r="T1770" s="37">
        <v>422.87</v>
      </c>
      <c r="U1770" s="243">
        <v>0.1</v>
      </c>
      <c r="V1770" s="243">
        <v>2.407E-4</v>
      </c>
      <c r="W1770" s="243">
        <v>0.12479778456804128</v>
      </c>
      <c r="X1770" s="243">
        <v>0.1</v>
      </c>
      <c r="Y1770" s="414">
        <v>7</v>
      </c>
      <c r="Z1770" s="37">
        <v>8.15</v>
      </c>
      <c r="AA1770" s="37"/>
      <c r="AB1770" s="37">
        <v>6.84</v>
      </c>
      <c r="AC1770" s="37">
        <v>0.85719999999999996</v>
      </c>
      <c r="AD1770" s="37">
        <v>6.93</v>
      </c>
      <c r="AE1770" s="37">
        <v>7.3</v>
      </c>
      <c r="AF1770" s="37">
        <f t="shared" si="456"/>
        <v>6.93</v>
      </c>
      <c r="AG1770" s="38">
        <v>6.43</v>
      </c>
      <c r="AH1770" s="243">
        <v>1.91E-5</v>
      </c>
      <c r="AI1770" s="243">
        <v>9.9999999999999995E-7</v>
      </c>
      <c r="AJ1770" s="34">
        <f t="shared" si="458"/>
        <v>-3.1075329590649243</v>
      </c>
      <c r="AK1770" s="34">
        <f>LOG10(AI1770*1000/(0.08206*298.15))</f>
        <v>-4.3885663263126515</v>
      </c>
      <c r="AL1770" s="34">
        <f t="shared" si="457"/>
        <v>-4.3885663263126515</v>
      </c>
      <c r="AM1770" s="34">
        <v>-9.5165900000000008</v>
      </c>
      <c r="AN1770" s="244">
        <v>-4.72</v>
      </c>
      <c r="AO1770" s="417"/>
      <c r="AP1770" s="417"/>
      <c r="AQ1770" s="244" t="s">
        <v>6311</v>
      </c>
      <c r="AR1770" s="244" t="s">
        <v>6312</v>
      </c>
      <c r="AS1770" s="241" t="s">
        <v>46</v>
      </c>
      <c r="AT1770" s="39" t="s">
        <v>266</v>
      </c>
      <c r="AU1770" s="37">
        <v>2</v>
      </c>
      <c r="AV1770" s="37">
        <v>48</v>
      </c>
      <c r="AW1770" s="37">
        <v>48</v>
      </c>
      <c r="AX1770" s="37">
        <v>28</v>
      </c>
      <c r="AY1770" s="37" t="s">
        <v>267</v>
      </c>
      <c r="AZ1770" s="37" t="s">
        <v>4106</v>
      </c>
      <c r="BA1770" s="37">
        <v>10</v>
      </c>
      <c r="BB1770" s="36" t="s">
        <v>4107</v>
      </c>
      <c r="BC1770" s="36" t="s">
        <v>4108</v>
      </c>
      <c r="BD1770" s="36" t="s">
        <v>8374</v>
      </c>
      <c r="BE1770" s="37" t="s">
        <v>1712</v>
      </c>
      <c r="BF1770" s="37" t="s">
        <v>272</v>
      </c>
      <c r="BG1770" s="37" t="s">
        <v>4109</v>
      </c>
      <c r="BH1770" s="37" t="s">
        <v>4089</v>
      </c>
      <c r="BI1770" s="250">
        <v>0.05</v>
      </c>
      <c r="BJ1770" s="250">
        <v>0.2</v>
      </c>
      <c r="BK1770" s="37"/>
      <c r="BL1770" s="263">
        <v>1.0410986318262474E-3</v>
      </c>
      <c r="BM1770" s="37">
        <v>0</v>
      </c>
      <c r="BN1770" s="37"/>
      <c r="BO1770" s="37"/>
      <c r="BP1770" s="37"/>
      <c r="BQ1770" s="37"/>
      <c r="BR1770" s="37"/>
      <c r="BS1770" s="37"/>
      <c r="BT1770" s="37"/>
      <c r="BU1770" s="246"/>
      <c r="BV1770" s="37"/>
      <c r="BW1770" s="37"/>
      <c r="BX1770" s="37"/>
      <c r="BY1770" s="37"/>
      <c r="BZ1770" s="37"/>
      <c r="CA1770" s="37"/>
      <c r="CB1770" s="37"/>
      <c r="CC1770" s="37"/>
      <c r="CD1770" s="37"/>
      <c r="CE1770" s="37"/>
      <c r="CF1770" s="37"/>
      <c r="CG1770" s="37"/>
      <c r="CH1770" s="37"/>
      <c r="CI1770" s="243"/>
      <c r="CJ1770" s="243"/>
      <c r="CK1770" s="38">
        <f>BL1770/BJ1770</f>
        <v>5.2054931591312371E-3</v>
      </c>
      <c r="CL1770" s="247"/>
      <c r="CM1770" s="247">
        <v>-3.4634415574284714</v>
      </c>
      <c r="CN1770" s="247">
        <f>BJ1770/(10^CM1770)</f>
        <v>581.39534883721183</v>
      </c>
      <c r="CO1770" s="36"/>
      <c r="CP1770" s="496" t="s">
        <v>4110</v>
      </c>
      <c r="CQ1770" s="241">
        <v>-2.9037207463261767</v>
      </c>
      <c r="CR1770" s="241">
        <f>10^(CJ1770-CQ1770)</f>
        <v>801.16274580047934</v>
      </c>
      <c r="CS1770" s="33"/>
      <c r="CT1770" s="33"/>
      <c r="CU1770" s="250"/>
      <c r="CV1770" s="337">
        <f>X1770/BJ1770</f>
        <v>0.5</v>
      </c>
      <c r="CW1770" s="330">
        <f>IF(CV1770&lt;1,0,1)</f>
        <v>0</v>
      </c>
      <c r="CX1770" s="330" t="s">
        <v>539</v>
      </c>
      <c r="CY1770" s="143" t="s">
        <v>5921</v>
      </c>
    </row>
    <row r="1771" spans="1:103" ht="11.25" customHeight="1" x14ac:dyDescent="0.2">
      <c r="A1771" s="72">
        <v>250</v>
      </c>
      <c r="B1771" s="149">
        <v>2060</v>
      </c>
      <c r="C1771" s="54" t="s">
        <v>5669</v>
      </c>
      <c r="D1771" s="54" t="s">
        <v>6457</v>
      </c>
      <c r="E1771" s="59"/>
      <c r="F1771" s="167" t="s">
        <v>1670</v>
      </c>
      <c r="G1771" s="151">
        <v>95761</v>
      </c>
      <c r="H1771" s="67" t="s">
        <v>1671</v>
      </c>
      <c r="I1771" s="67" t="s">
        <v>8213</v>
      </c>
      <c r="J1771" s="67" t="s">
        <v>1672</v>
      </c>
      <c r="K1771" s="67" t="s">
        <v>1573</v>
      </c>
      <c r="L1771" s="67" t="s">
        <v>617</v>
      </c>
      <c r="M1771" s="67" t="s">
        <v>1629</v>
      </c>
      <c r="N1771" s="60" t="s">
        <v>6385</v>
      </c>
      <c r="O1771" s="67" t="s">
        <v>498</v>
      </c>
      <c r="P1771" s="67">
        <v>3</v>
      </c>
      <c r="Q1771" s="67" t="s">
        <v>6173</v>
      </c>
      <c r="R1771" s="67">
        <v>1</v>
      </c>
      <c r="S1771" s="67" t="s">
        <v>6173</v>
      </c>
      <c r="T1771" s="61">
        <v>162.02000000000001</v>
      </c>
      <c r="U1771" s="111">
        <v>92</v>
      </c>
      <c r="V1771" s="111">
        <v>337.9</v>
      </c>
      <c r="W1771" s="111">
        <v>294.82793311198913</v>
      </c>
      <c r="X1771" s="111">
        <v>92</v>
      </c>
      <c r="Y1771" s="411">
        <v>7.2</v>
      </c>
      <c r="Z1771" s="61">
        <v>2.37</v>
      </c>
      <c r="AA1771" s="61">
        <v>2.69</v>
      </c>
      <c r="AB1771" s="61">
        <v>2.62</v>
      </c>
      <c r="AC1771" s="61">
        <v>0.89139999999999997</v>
      </c>
      <c r="AD1771" s="61">
        <v>2.6</v>
      </c>
      <c r="AE1771" s="61">
        <v>2.5099999999999998</v>
      </c>
      <c r="AF1771" s="61">
        <f t="shared" si="456"/>
        <v>2.69</v>
      </c>
      <c r="AG1771" s="62">
        <v>2.4700000000000002</v>
      </c>
      <c r="AH1771" s="111">
        <v>1.0499999999999999E-6</v>
      </c>
      <c r="AI1771" s="111">
        <v>1.4600000000000001E-5</v>
      </c>
      <c r="AJ1771" s="62">
        <f t="shared" si="458"/>
        <v>-4.3673770272427141</v>
      </c>
      <c r="AK1771" s="62">
        <f>LOG10(AI1771*1000/(0.08206*298.15))</f>
        <v>-3.2242134705282148</v>
      </c>
      <c r="AL1771" s="62">
        <f t="shared" si="457"/>
        <v>-3.2242134705282148</v>
      </c>
      <c r="AM1771" s="62">
        <v>-7.2924100000000003</v>
      </c>
      <c r="AN1771" s="163">
        <v>-4.3684000000000003</v>
      </c>
      <c r="AO1771" s="410"/>
      <c r="AP1771" s="410">
        <v>2.9</v>
      </c>
      <c r="AQ1771" s="61" t="s">
        <v>6311</v>
      </c>
      <c r="AR1771" s="61" t="s">
        <v>6311</v>
      </c>
      <c r="AS1771" s="164" t="s">
        <v>5466</v>
      </c>
      <c r="AT1771" s="63" t="s">
        <v>266</v>
      </c>
      <c r="AU1771" s="61">
        <v>0</v>
      </c>
      <c r="AV1771" s="61">
        <v>96</v>
      </c>
      <c r="AW1771" s="61">
        <v>96</v>
      </c>
      <c r="AX1771" s="61">
        <v>26.4</v>
      </c>
      <c r="AY1771" s="61" t="s">
        <v>5670</v>
      </c>
      <c r="AZ1771" s="61" t="s">
        <v>5671</v>
      </c>
      <c r="BA1771" s="61">
        <v>20</v>
      </c>
      <c r="BB1771" s="67" t="s">
        <v>5487</v>
      </c>
      <c r="BC1771" s="67" t="s">
        <v>5494</v>
      </c>
      <c r="BD1771" s="67"/>
      <c r="BE1771" s="61" t="s">
        <v>5598</v>
      </c>
      <c r="BF1771" s="61"/>
      <c r="BG1771" s="61">
        <v>7.4</v>
      </c>
      <c r="BH1771" s="61"/>
      <c r="BI1771" s="153">
        <v>0.50064180000000003</v>
      </c>
      <c r="BJ1771" s="153">
        <v>8.0037880000000001</v>
      </c>
      <c r="BK1771" s="165" t="s">
        <v>5672</v>
      </c>
      <c r="BL1771" s="153">
        <v>61.925800289105773</v>
      </c>
      <c r="BM1771" s="61"/>
      <c r="BN1771" s="61"/>
      <c r="BO1771" s="61"/>
      <c r="BP1771" s="61"/>
      <c r="BQ1771" s="61">
        <v>3.2200000618000004</v>
      </c>
      <c r="BR1771" s="61"/>
      <c r="BS1771" s="61"/>
      <c r="BT1771" s="61"/>
      <c r="BU1771" s="158"/>
      <c r="BV1771" s="61"/>
      <c r="BW1771" s="61"/>
      <c r="BX1771" s="61"/>
      <c r="BY1771" s="61"/>
      <c r="BZ1771" s="61"/>
      <c r="CA1771" s="61"/>
      <c r="CB1771" s="61"/>
      <c r="CC1771" s="61"/>
      <c r="CD1771" s="61"/>
      <c r="CE1771" s="61"/>
      <c r="CF1771" s="61"/>
      <c r="CG1771" s="61"/>
      <c r="CH1771" s="61"/>
      <c r="CI1771" s="111">
        <v>3.2200000618000004</v>
      </c>
      <c r="CJ1771" s="103">
        <f t="shared" ref="CJ1771:CJ1777" si="459">LOG10(CI1771)</f>
        <v>0.50785588003104798</v>
      </c>
      <c r="CK1771" s="57">
        <f>BL1771/BJ1771</f>
        <v>7.7370615375002147</v>
      </c>
      <c r="CL1771" s="160">
        <f t="shared" ref="CL1771:CL1776" si="460">BL1771/CI1771</f>
        <v>19.231614627513036</v>
      </c>
      <c r="CM1771" s="160">
        <v>0.35012181688711158</v>
      </c>
      <c r="CN1771" s="160">
        <f>BJ1771/(10^CM1771)</f>
        <v>3.574158105036032</v>
      </c>
      <c r="CO1771" s="67" t="s">
        <v>5494</v>
      </c>
      <c r="CP1771" s="161" t="s">
        <v>5673</v>
      </c>
      <c r="CQ1771" s="149">
        <v>0.74774431752431614</v>
      </c>
      <c r="CR1771" s="349">
        <f>10^(CJ1771-CQ1771)</f>
        <v>0.57558777658187132</v>
      </c>
      <c r="CS1771" s="61" t="s">
        <v>539</v>
      </c>
      <c r="CT1771" s="61" t="s">
        <v>6310</v>
      </c>
      <c r="CU1771" s="111">
        <f t="shared" ref="CU1771:CU1776" si="461">X1771/CI1771</f>
        <v>28.571428023070105</v>
      </c>
      <c r="CV1771" s="331">
        <f>X1771/BJ1771</f>
        <v>11.494557327105616</v>
      </c>
      <c r="CW1771" s="326">
        <f t="shared" ref="CW1771:CW1777" si="462">IF(CU1771&lt;2,0,1)</f>
        <v>1</v>
      </c>
      <c r="CX1771" s="326" t="s">
        <v>539</v>
      </c>
      <c r="CY1771" s="161" t="s">
        <v>6351</v>
      </c>
    </row>
    <row r="1772" spans="1:103" ht="11.25" customHeight="1" x14ac:dyDescent="0.2">
      <c r="A1772" s="72">
        <v>1862</v>
      </c>
      <c r="B1772" s="241">
        <v>1974</v>
      </c>
      <c r="C1772" s="32" t="s">
        <v>5540</v>
      </c>
      <c r="D1772" s="32" t="s">
        <v>6628</v>
      </c>
      <c r="E1772" s="40"/>
      <c r="F1772" s="40" t="s">
        <v>1043</v>
      </c>
      <c r="G1772" s="242">
        <v>5598152</v>
      </c>
      <c r="H1772" s="41" t="s">
        <v>5541</v>
      </c>
      <c r="I1772" s="41" t="s">
        <v>8246</v>
      </c>
      <c r="J1772" s="41" t="s">
        <v>5542</v>
      </c>
      <c r="K1772" s="41" t="s">
        <v>1046</v>
      </c>
      <c r="L1772" s="41" t="s">
        <v>617</v>
      </c>
      <c r="M1772" s="41" t="s">
        <v>618</v>
      </c>
      <c r="N1772" s="36"/>
      <c r="O1772" s="41" t="s">
        <v>918</v>
      </c>
      <c r="P1772" s="41"/>
      <c r="Q1772" s="41"/>
      <c r="R1772" s="41"/>
      <c r="S1772" s="41"/>
      <c r="T1772" s="33">
        <v>334.52</v>
      </c>
      <c r="U1772" s="250"/>
      <c r="V1772" s="250">
        <v>25.97</v>
      </c>
      <c r="W1772" s="250">
        <v>118.69217496641555</v>
      </c>
      <c r="X1772" s="250">
        <v>118.69217496641555</v>
      </c>
      <c r="Y1772" s="415">
        <v>7</v>
      </c>
      <c r="Z1772" s="33">
        <v>2.89</v>
      </c>
      <c r="AA1772" s="33"/>
      <c r="AB1772" s="33">
        <v>3.25</v>
      </c>
      <c r="AC1772" s="33">
        <v>0.68079999999999996</v>
      </c>
      <c r="AD1772" s="33">
        <v>3.43</v>
      </c>
      <c r="AE1772" s="33">
        <v>3.73</v>
      </c>
      <c r="AF1772" s="33">
        <f t="shared" si="456"/>
        <v>3.43</v>
      </c>
      <c r="AG1772" s="34">
        <v>3.81</v>
      </c>
      <c r="AH1772" s="250">
        <v>5.4599999999999998E-9</v>
      </c>
      <c r="AI1772" s="250"/>
      <c r="AJ1772" s="34">
        <f t="shared" si="458"/>
        <v>-6.6513736836079147</v>
      </c>
      <c r="AK1772" s="34"/>
      <c r="AL1772" s="34">
        <f t="shared" si="457"/>
        <v>-6.6513736836079147</v>
      </c>
      <c r="AM1772" s="34">
        <v>-12.981439999999999</v>
      </c>
      <c r="AN1772" s="251">
        <v>-4.4558</v>
      </c>
      <c r="AO1772" s="417"/>
      <c r="AP1772" s="417">
        <v>-5.28</v>
      </c>
      <c r="AQ1772" s="251" t="s">
        <v>6312</v>
      </c>
      <c r="AR1772" s="251" t="s">
        <v>6312</v>
      </c>
      <c r="AS1772" s="252" t="s">
        <v>5466</v>
      </c>
      <c r="AT1772" s="35" t="s">
        <v>266</v>
      </c>
      <c r="AU1772" s="33">
        <v>3</v>
      </c>
      <c r="AV1772" s="33">
        <v>48</v>
      </c>
      <c r="AW1772" s="33">
        <v>45</v>
      </c>
      <c r="AX1772" s="33">
        <v>28.5</v>
      </c>
      <c r="AY1772" s="262" t="s">
        <v>267</v>
      </c>
      <c r="AZ1772" s="33" t="s">
        <v>6305</v>
      </c>
      <c r="BA1772" s="33">
        <v>24</v>
      </c>
      <c r="BB1772" s="41" t="s">
        <v>6304</v>
      </c>
      <c r="BC1772" s="41" t="s">
        <v>5697</v>
      </c>
      <c r="BD1772" s="41"/>
      <c r="BE1772" s="33" t="s">
        <v>2449</v>
      </c>
      <c r="BF1772" s="33" t="s">
        <v>6203</v>
      </c>
      <c r="BG1772" s="33" t="s">
        <v>6203</v>
      </c>
      <c r="BH1772" s="33" t="s">
        <v>5890</v>
      </c>
      <c r="BI1772" s="250">
        <v>6.6904E-3</v>
      </c>
      <c r="BJ1772" s="250">
        <v>1.00356</v>
      </c>
      <c r="BK1772" s="254"/>
      <c r="BL1772" s="263">
        <v>43.622754807854605</v>
      </c>
      <c r="BM1772" s="33">
        <v>0</v>
      </c>
      <c r="BN1772" s="33"/>
      <c r="BO1772" s="33">
        <v>0.50178</v>
      </c>
      <c r="BP1772" s="33"/>
      <c r="BQ1772" s="33"/>
      <c r="BR1772" s="33"/>
      <c r="BS1772" s="33"/>
      <c r="BT1772" s="33"/>
      <c r="BU1772" s="246"/>
      <c r="BV1772" s="33"/>
      <c r="BW1772" s="33"/>
      <c r="BX1772" s="33"/>
      <c r="BY1772" s="33"/>
      <c r="BZ1772" s="33"/>
      <c r="CA1772" s="33"/>
      <c r="CB1772" s="33"/>
      <c r="CC1772" s="33"/>
      <c r="CD1772" s="33"/>
      <c r="CE1772" s="33"/>
      <c r="CF1772" s="33"/>
      <c r="CG1772" s="33"/>
      <c r="CH1772" s="33"/>
      <c r="CI1772" s="250">
        <v>0.50178</v>
      </c>
      <c r="CJ1772" s="243">
        <f t="shared" si="459"/>
        <v>-0.29948665283156634</v>
      </c>
      <c r="CK1772" s="38">
        <f>BL1772/BJ1772</f>
        <v>43.468008696893662</v>
      </c>
      <c r="CL1772" s="247">
        <f t="shared" si="460"/>
        <v>86.936017393787324</v>
      </c>
      <c r="CM1772" s="247"/>
      <c r="CN1772" s="247"/>
      <c r="CO1772" s="41"/>
      <c r="CP1772" s="143" t="s">
        <v>8384</v>
      </c>
      <c r="CQ1772" s="241" t="s">
        <v>272</v>
      </c>
      <c r="CR1772" s="241"/>
      <c r="CS1772" s="33"/>
      <c r="CT1772" s="33"/>
      <c r="CU1772" s="250">
        <f t="shared" si="461"/>
        <v>236.54225948905008</v>
      </c>
      <c r="CV1772" s="337">
        <f>X1772/BJ1772</f>
        <v>118.27112974452504</v>
      </c>
      <c r="CW1772" s="330">
        <f t="shared" si="462"/>
        <v>1</v>
      </c>
      <c r="CX1772" s="330"/>
      <c r="CY1772" s="143" t="s">
        <v>5921</v>
      </c>
    </row>
    <row r="1773" spans="1:103" ht="11.25" customHeight="1" x14ac:dyDescent="0.2">
      <c r="A1773" s="72">
        <v>1871</v>
      </c>
      <c r="B1773" s="241">
        <v>492</v>
      </c>
      <c r="C1773" s="32" t="s">
        <v>1590</v>
      </c>
      <c r="D1773" s="32"/>
      <c r="E1773" s="40"/>
      <c r="F1773" s="40" t="s">
        <v>1591</v>
      </c>
      <c r="G1773" s="242">
        <v>10075500</v>
      </c>
      <c r="H1773" s="36" t="s">
        <v>1592</v>
      </c>
      <c r="I1773" s="36" t="s">
        <v>1592</v>
      </c>
      <c r="J1773" s="36" t="s">
        <v>1593</v>
      </c>
      <c r="K1773" s="36" t="s">
        <v>1594</v>
      </c>
      <c r="L1773" s="36"/>
      <c r="M1773" s="36"/>
      <c r="N1773" s="36"/>
      <c r="O1773" s="36"/>
      <c r="P1773" s="41"/>
      <c r="Q1773" s="41"/>
      <c r="R1773" s="41"/>
      <c r="S1773" s="41"/>
      <c r="T1773" s="37">
        <v>196.04</v>
      </c>
      <c r="U1773" s="243"/>
      <c r="V1773" s="243">
        <v>125.6</v>
      </c>
      <c r="W1773" s="243">
        <v>459.56261695531714</v>
      </c>
      <c r="X1773" s="243">
        <v>459.56261695531714</v>
      </c>
      <c r="Y1773" s="414">
        <v>7</v>
      </c>
      <c r="Z1773" s="37">
        <v>2.94</v>
      </c>
      <c r="AA1773" s="37">
        <v>3</v>
      </c>
      <c r="AB1773" s="37">
        <v>3.22</v>
      </c>
      <c r="AC1773" s="37">
        <v>0.89200000000000002</v>
      </c>
      <c r="AD1773" s="37">
        <v>3.17</v>
      </c>
      <c r="AE1773" s="37">
        <v>3</v>
      </c>
      <c r="AF1773" s="37">
        <f t="shared" si="456"/>
        <v>3</v>
      </c>
      <c r="AG1773" s="38">
        <v>2.88</v>
      </c>
      <c r="AH1773" s="243">
        <v>3.53E-7</v>
      </c>
      <c r="AI1773" s="243"/>
      <c r="AJ1773" s="34">
        <f t="shared" si="458"/>
        <v>-4.8407916209248292</v>
      </c>
      <c r="AK1773" s="34"/>
      <c r="AL1773" s="34">
        <f t="shared" si="457"/>
        <v>-4.8407916209248292</v>
      </c>
      <c r="AM1773" s="34">
        <v>-7.7084099999999998</v>
      </c>
      <c r="AN1773" s="244">
        <v>-4.8600000000000003</v>
      </c>
      <c r="AO1773" s="417">
        <v>16.04</v>
      </c>
      <c r="AP1773" s="417">
        <v>-5.0999999999999996</v>
      </c>
      <c r="AQ1773" s="244" t="s">
        <v>6311</v>
      </c>
      <c r="AR1773" s="244" t="s">
        <v>6311</v>
      </c>
      <c r="AS1773" s="241" t="s">
        <v>6</v>
      </c>
      <c r="AT1773" s="39" t="s">
        <v>266</v>
      </c>
      <c r="AU1773" s="37">
        <v>2</v>
      </c>
      <c r="AV1773" s="37">
        <v>48</v>
      </c>
      <c r="AW1773" s="37">
        <v>48</v>
      </c>
      <c r="AX1773" s="37">
        <v>26</v>
      </c>
      <c r="AY1773" s="37" t="s">
        <v>8722</v>
      </c>
      <c r="AZ1773" s="37" t="s">
        <v>536</v>
      </c>
      <c r="BA1773" s="37">
        <v>10</v>
      </c>
      <c r="BB1773" s="36" t="s">
        <v>537</v>
      </c>
      <c r="BC1773" s="36" t="s">
        <v>538</v>
      </c>
      <c r="BD1773" s="36"/>
      <c r="BE1773" s="37" t="s">
        <v>649</v>
      </c>
      <c r="BF1773" s="37" t="s">
        <v>539</v>
      </c>
      <c r="BG1773" s="37" t="s">
        <v>539</v>
      </c>
      <c r="BH1773" s="37" t="s">
        <v>8722</v>
      </c>
      <c r="BI1773" s="243" t="s">
        <v>8722</v>
      </c>
      <c r="BJ1773" s="243" t="s">
        <v>8722</v>
      </c>
      <c r="BK1773" s="37"/>
      <c r="BL1773" s="263">
        <v>23.053172173940368</v>
      </c>
      <c r="BM1773" s="37" t="s">
        <v>1584</v>
      </c>
      <c r="BN1773" s="37"/>
      <c r="BO1773" s="37">
        <v>5.499719459321601</v>
      </c>
      <c r="BP1773" s="37"/>
      <c r="BQ1773" s="37"/>
      <c r="BR1773" s="37"/>
      <c r="BS1773" s="37"/>
      <c r="BT1773" s="37"/>
      <c r="BU1773" s="246"/>
      <c r="BV1773" s="37"/>
      <c r="BW1773" s="37"/>
      <c r="BX1773" s="37"/>
      <c r="BY1773" s="37"/>
      <c r="BZ1773" s="37"/>
      <c r="CA1773" s="37"/>
      <c r="CB1773" s="37"/>
      <c r="CC1773" s="37"/>
      <c r="CD1773" s="37"/>
      <c r="CE1773" s="37"/>
      <c r="CF1773" s="37"/>
      <c r="CG1773" s="37"/>
      <c r="CH1773" s="37"/>
      <c r="CI1773" s="243">
        <v>5.499719459321601</v>
      </c>
      <c r="CJ1773" s="243">
        <f t="shared" si="459"/>
        <v>0.74034053669861022</v>
      </c>
      <c r="CK1773" s="38"/>
      <c r="CL1773" s="247">
        <f t="shared" si="460"/>
        <v>4.191699657491986</v>
      </c>
      <c r="CM1773" s="247"/>
      <c r="CN1773" s="247"/>
      <c r="CO1773" s="36"/>
      <c r="CP1773" s="496" t="s">
        <v>1585</v>
      </c>
      <c r="CQ1773" s="241" t="s">
        <v>272</v>
      </c>
      <c r="CR1773" s="241"/>
      <c r="CS1773" s="33"/>
      <c r="CT1773" s="33"/>
      <c r="CU1773" s="250">
        <f t="shared" si="461"/>
        <v>83.561101680630983</v>
      </c>
      <c r="CV1773" s="337"/>
      <c r="CW1773" s="330">
        <f t="shared" si="462"/>
        <v>1</v>
      </c>
      <c r="CX1773" s="330"/>
      <c r="CY1773" s="143" t="s">
        <v>5921</v>
      </c>
    </row>
    <row r="1774" spans="1:103" ht="11.25" customHeight="1" x14ac:dyDescent="0.2">
      <c r="A1774" s="72">
        <v>1909</v>
      </c>
      <c r="B1774" s="241">
        <v>494</v>
      </c>
      <c r="C1774" s="32" t="s">
        <v>1595</v>
      </c>
      <c r="D1774" s="32"/>
      <c r="E1774" s="40"/>
      <c r="F1774" s="40" t="s">
        <v>1596</v>
      </c>
      <c r="G1774" s="242">
        <v>52415299</v>
      </c>
      <c r="H1774" s="36" t="s">
        <v>1597</v>
      </c>
      <c r="I1774" s="36" t="s">
        <v>7782</v>
      </c>
      <c r="J1774" s="36" t="s">
        <v>1598</v>
      </c>
      <c r="K1774" s="36" t="s">
        <v>1594</v>
      </c>
      <c r="L1774" s="36"/>
      <c r="M1774" s="36"/>
      <c r="N1774" s="36"/>
      <c r="O1774" s="36"/>
      <c r="P1774" s="41"/>
      <c r="Q1774" s="41"/>
      <c r="R1774" s="41"/>
      <c r="S1774" s="41"/>
      <c r="T1774" s="37">
        <v>196.04</v>
      </c>
      <c r="U1774" s="243"/>
      <c r="V1774" s="243">
        <v>125.6</v>
      </c>
      <c r="W1774" s="243">
        <v>492.43021603313764</v>
      </c>
      <c r="X1774" s="243">
        <v>492.43021603313764</v>
      </c>
      <c r="Y1774" s="414">
        <v>7</v>
      </c>
      <c r="Z1774" s="37">
        <v>2.94</v>
      </c>
      <c r="AA1774" s="37">
        <v>3</v>
      </c>
      <c r="AB1774" s="37">
        <v>3.22</v>
      </c>
      <c r="AC1774" s="37">
        <v>0.89200000000000002</v>
      </c>
      <c r="AD1774" s="37">
        <v>3.15</v>
      </c>
      <c r="AE1774" s="37">
        <v>2.91</v>
      </c>
      <c r="AF1774" s="37">
        <f t="shared" si="456"/>
        <v>3</v>
      </c>
      <c r="AG1774" s="38">
        <v>2.88</v>
      </c>
      <c r="AH1774" s="243">
        <v>3.53E-7</v>
      </c>
      <c r="AI1774" s="243"/>
      <c r="AJ1774" s="34">
        <f t="shared" si="458"/>
        <v>-4.8407916209248292</v>
      </c>
      <c r="AK1774" s="34"/>
      <c r="AL1774" s="34">
        <f t="shared" si="457"/>
        <v>-4.8407916209248292</v>
      </c>
      <c r="AM1774" s="34">
        <v>-7.7084099999999998</v>
      </c>
      <c r="AN1774" s="244">
        <v>-4.8600000000000003</v>
      </c>
      <c r="AO1774" s="417">
        <v>16.07</v>
      </c>
      <c r="AP1774" s="417">
        <v>-5.01</v>
      </c>
      <c r="AQ1774" s="244" t="s">
        <v>6311</v>
      </c>
      <c r="AR1774" s="244" t="s">
        <v>6311</v>
      </c>
      <c r="AS1774" s="241" t="s">
        <v>120</v>
      </c>
      <c r="AT1774" s="39" t="s">
        <v>266</v>
      </c>
      <c r="AU1774" s="37">
        <v>2</v>
      </c>
      <c r="AV1774" s="37">
        <v>48</v>
      </c>
      <c r="AW1774" s="37">
        <v>48</v>
      </c>
      <c r="AX1774" s="37">
        <v>26</v>
      </c>
      <c r="AY1774" s="37" t="s">
        <v>8722</v>
      </c>
      <c r="AZ1774" s="37" t="s">
        <v>536</v>
      </c>
      <c r="BA1774" s="37">
        <v>10</v>
      </c>
      <c r="BB1774" s="36" t="s">
        <v>537</v>
      </c>
      <c r="BC1774" s="36" t="s">
        <v>538</v>
      </c>
      <c r="BD1774" s="36"/>
      <c r="BE1774" s="37" t="s">
        <v>649</v>
      </c>
      <c r="BF1774" s="37" t="s">
        <v>539</v>
      </c>
      <c r="BG1774" s="37" t="s">
        <v>539</v>
      </c>
      <c r="BH1774" s="37" t="s">
        <v>8722</v>
      </c>
      <c r="BI1774" s="243" t="s">
        <v>8722</v>
      </c>
      <c r="BJ1774" s="243" t="s">
        <v>8722</v>
      </c>
      <c r="BK1774" s="37"/>
      <c r="BL1774" s="263">
        <v>23.053172173940368</v>
      </c>
      <c r="BM1774" s="37" t="s">
        <v>1584</v>
      </c>
      <c r="BN1774" s="37"/>
      <c r="BO1774" s="37">
        <v>5.3369515508843879</v>
      </c>
      <c r="BP1774" s="37"/>
      <c r="BQ1774" s="37"/>
      <c r="BR1774" s="37"/>
      <c r="BS1774" s="37"/>
      <c r="BT1774" s="37"/>
      <c r="BU1774" s="246"/>
      <c r="BV1774" s="37"/>
      <c r="BW1774" s="37"/>
      <c r="BX1774" s="37"/>
      <c r="BY1774" s="37"/>
      <c r="BZ1774" s="37"/>
      <c r="CA1774" s="37"/>
      <c r="CB1774" s="37"/>
      <c r="CC1774" s="37"/>
      <c r="CD1774" s="37"/>
      <c r="CE1774" s="37"/>
      <c r="CF1774" s="37"/>
      <c r="CG1774" s="37"/>
      <c r="CH1774" s="37"/>
      <c r="CI1774" s="243">
        <v>5.3369515508843879</v>
      </c>
      <c r="CJ1774" s="243">
        <f t="shared" si="459"/>
        <v>0.7272932602742509</v>
      </c>
      <c r="CK1774" s="38"/>
      <c r="CL1774" s="247">
        <f t="shared" si="460"/>
        <v>4.3195393389172176</v>
      </c>
      <c r="CM1774" s="247"/>
      <c r="CN1774" s="247"/>
      <c r="CO1774" s="36"/>
      <c r="CP1774" s="496" t="s">
        <v>1585</v>
      </c>
      <c r="CQ1774" s="241" t="s">
        <v>272</v>
      </c>
      <c r="CR1774" s="241"/>
      <c r="CS1774" s="33"/>
      <c r="CT1774" s="33"/>
      <c r="CU1774" s="250">
        <f t="shared" si="461"/>
        <v>92.268069390949762</v>
      </c>
      <c r="CV1774" s="337"/>
      <c r="CW1774" s="330">
        <f t="shared" si="462"/>
        <v>1</v>
      </c>
      <c r="CX1774" s="330"/>
      <c r="CY1774" s="143" t="s">
        <v>5921</v>
      </c>
    </row>
    <row r="1775" spans="1:103" ht="11.25" customHeight="1" x14ac:dyDescent="0.2">
      <c r="A1775" s="72">
        <v>1911</v>
      </c>
      <c r="B1775" s="241">
        <v>490</v>
      </c>
      <c r="C1775" s="32" t="s">
        <v>1581</v>
      </c>
      <c r="D1775" s="32"/>
      <c r="E1775" s="40"/>
      <c r="F1775" s="40" t="s">
        <v>1582</v>
      </c>
      <c r="G1775" s="242">
        <v>52488365</v>
      </c>
      <c r="H1775" s="36"/>
      <c r="I1775" s="36" t="s">
        <v>8262</v>
      </c>
      <c r="J1775" s="36" t="s">
        <v>1583</v>
      </c>
      <c r="K1775" s="36"/>
      <c r="L1775" s="36"/>
      <c r="M1775" s="36"/>
      <c r="N1775" s="36"/>
      <c r="O1775" s="36"/>
      <c r="P1775" s="41"/>
      <c r="Q1775" s="41"/>
      <c r="R1775" s="41"/>
      <c r="S1775" s="41"/>
      <c r="T1775" s="37">
        <v>195.95</v>
      </c>
      <c r="U1775" s="243"/>
      <c r="V1775" s="243"/>
      <c r="W1775" s="243">
        <v>492.20414625430175</v>
      </c>
      <c r="X1775" s="243">
        <v>492.20414625430175</v>
      </c>
      <c r="Y1775" s="414">
        <v>7</v>
      </c>
      <c r="Z1775" s="37"/>
      <c r="AA1775" s="37"/>
      <c r="AB1775" s="37"/>
      <c r="AC1775" s="37"/>
      <c r="AD1775" s="37"/>
      <c r="AE1775" s="37"/>
      <c r="AF1775" s="37"/>
      <c r="AG1775" s="38">
        <v>2.89</v>
      </c>
      <c r="AH1775" s="243"/>
      <c r="AI1775" s="243"/>
      <c r="AJ1775" s="34"/>
      <c r="AK1775" s="34"/>
      <c r="AL1775" s="34"/>
      <c r="AM1775" s="34"/>
      <c r="AN1775" s="244">
        <v>-4.74</v>
      </c>
      <c r="AO1775" s="417">
        <v>16.07</v>
      </c>
      <c r="AP1775" s="417">
        <v>-5.01</v>
      </c>
      <c r="AQ1775" s="244" t="s">
        <v>6311</v>
      </c>
      <c r="AR1775" s="244" t="s">
        <v>6311</v>
      </c>
      <c r="AS1775" s="241" t="s">
        <v>120</v>
      </c>
      <c r="AT1775" s="39" t="s">
        <v>266</v>
      </c>
      <c r="AU1775" s="37">
        <v>2</v>
      </c>
      <c r="AV1775" s="37">
        <v>48</v>
      </c>
      <c r="AW1775" s="37">
        <v>48</v>
      </c>
      <c r="AX1775" s="37">
        <v>26</v>
      </c>
      <c r="AY1775" s="37" t="s">
        <v>8722</v>
      </c>
      <c r="AZ1775" s="37" t="s">
        <v>536</v>
      </c>
      <c r="BA1775" s="37">
        <v>10</v>
      </c>
      <c r="BB1775" s="36" t="s">
        <v>537</v>
      </c>
      <c r="BC1775" s="36" t="s">
        <v>538</v>
      </c>
      <c r="BD1775" s="36"/>
      <c r="BE1775" s="37" t="s">
        <v>649</v>
      </c>
      <c r="BF1775" s="37" t="s">
        <v>539</v>
      </c>
      <c r="BG1775" s="37" t="s">
        <v>539</v>
      </c>
      <c r="BH1775" s="37" t="s">
        <v>8722</v>
      </c>
      <c r="BI1775" s="248" t="s">
        <v>8722</v>
      </c>
      <c r="BJ1775" s="248" t="s">
        <v>8722</v>
      </c>
      <c r="BK1775" s="37"/>
      <c r="BL1775" s="263"/>
      <c r="BM1775" s="37" t="s">
        <v>1584</v>
      </c>
      <c r="BN1775" s="37"/>
      <c r="BO1775" s="37">
        <v>5.0999999999999996</v>
      </c>
      <c r="BP1775" s="37"/>
      <c r="BQ1775" s="37"/>
      <c r="BR1775" s="37"/>
      <c r="BS1775" s="37"/>
      <c r="BT1775" s="37"/>
      <c r="BU1775" s="246"/>
      <c r="BV1775" s="37"/>
      <c r="BW1775" s="37"/>
      <c r="BX1775" s="37"/>
      <c r="BY1775" s="37"/>
      <c r="BZ1775" s="37"/>
      <c r="CA1775" s="37"/>
      <c r="CB1775" s="37"/>
      <c r="CC1775" s="37"/>
      <c r="CD1775" s="37"/>
      <c r="CE1775" s="37"/>
      <c r="CF1775" s="37"/>
      <c r="CG1775" s="37"/>
      <c r="CH1775" s="37"/>
      <c r="CI1775" s="243">
        <v>5.0999999999999996</v>
      </c>
      <c r="CJ1775" s="243">
        <f t="shared" si="459"/>
        <v>0.70757017609793638</v>
      </c>
      <c r="CK1775" s="38"/>
      <c r="CL1775" s="247">
        <f t="shared" si="460"/>
        <v>0</v>
      </c>
      <c r="CM1775" s="247"/>
      <c r="CN1775" s="247"/>
      <c r="CO1775" s="36"/>
      <c r="CP1775" s="496" t="s">
        <v>1585</v>
      </c>
      <c r="CQ1775" s="241" t="s">
        <v>272</v>
      </c>
      <c r="CR1775" s="241"/>
      <c r="CS1775" s="33"/>
      <c r="CT1775" s="33"/>
      <c r="CU1775" s="250">
        <f t="shared" si="461"/>
        <v>96.510616912608199</v>
      </c>
      <c r="CV1775" s="337"/>
      <c r="CW1775" s="330">
        <f t="shared" si="462"/>
        <v>1</v>
      </c>
      <c r="CX1775" s="330"/>
      <c r="CY1775" s="143" t="s">
        <v>5921</v>
      </c>
    </row>
    <row r="1776" spans="1:103" ht="11.25" customHeight="1" x14ac:dyDescent="0.2">
      <c r="A1776" s="72">
        <v>180</v>
      </c>
      <c r="B1776" s="149">
        <v>774</v>
      </c>
      <c r="C1776" s="54" t="s">
        <v>1354</v>
      </c>
      <c r="D1776" s="54"/>
      <c r="E1776" s="59"/>
      <c r="F1776" s="59" t="s">
        <v>1355</v>
      </c>
      <c r="G1776" s="151">
        <v>1763231</v>
      </c>
      <c r="H1776" s="55" t="s">
        <v>1356</v>
      </c>
      <c r="I1776" s="55" t="s">
        <v>1356</v>
      </c>
      <c r="J1776" s="55" t="s">
        <v>1357</v>
      </c>
      <c r="K1776" s="55" t="s">
        <v>426</v>
      </c>
      <c r="L1776" s="55"/>
      <c r="M1776" s="55"/>
      <c r="N1776" s="60"/>
      <c r="O1776" s="55"/>
      <c r="P1776" s="67"/>
      <c r="Q1776" s="67"/>
      <c r="R1776" s="67"/>
      <c r="S1776" s="67"/>
      <c r="T1776" s="56">
        <v>500.13</v>
      </c>
      <c r="U1776" s="103"/>
      <c r="V1776" s="103">
        <v>0.10390000000000001</v>
      </c>
      <c r="W1776" s="103">
        <v>2685.8571231865435</v>
      </c>
      <c r="X1776" s="103">
        <v>2685.8571231865435</v>
      </c>
      <c r="Y1776" s="162">
        <v>2.27</v>
      </c>
      <c r="Z1776" s="56">
        <v>4.49</v>
      </c>
      <c r="AA1776" s="56"/>
      <c r="AB1776" s="56">
        <v>2.3199999999999998</v>
      </c>
      <c r="AC1776" s="56">
        <v>0.56120000000000003</v>
      </c>
      <c r="AD1776" s="56">
        <v>4.16</v>
      </c>
      <c r="AE1776" s="56">
        <v>7.03</v>
      </c>
      <c r="AF1776" s="56">
        <f>IF(AA1776=0,AD1776,AA1776)</f>
        <v>4.16</v>
      </c>
      <c r="AG1776" s="57">
        <v>4.3899999999999997</v>
      </c>
      <c r="AH1776" s="103">
        <v>1.0999999999999999E-2</v>
      </c>
      <c r="AI1776" s="103"/>
      <c r="AJ1776" s="62">
        <f>LOG10(AH1776*1000/(0.08206*298.15))</f>
        <v>-0.34717364115442678</v>
      </c>
      <c r="AK1776" s="62"/>
      <c r="AL1776" s="62">
        <f>IF(AK1776=0,AJ1776,AK1776)</f>
        <v>-0.34717364115442678</v>
      </c>
      <c r="AM1776" s="62">
        <v>-3.9819300000000002</v>
      </c>
      <c r="AN1776" s="154">
        <v>-7.26</v>
      </c>
      <c r="AO1776" s="410">
        <v>-3.27</v>
      </c>
      <c r="AP1776" s="410"/>
      <c r="AQ1776" s="56" t="s">
        <v>6311</v>
      </c>
      <c r="AR1776" s="56" t="s">
        <v>6311</v>
      </c>
      <c r="AS1776" s="155" t="s">
        <v>2165</v>
      </c>
      <c r="AT1776" s="58" t="s">
        <v>266</v>
      </c>
      <c r="AU1776" s="56">
        <v>6</v>
      </c>
      <c r="AV1776" s="56">
        <v>120</v>
      </c>
      <c r="AW1776" s="56">
        <v>120</v>
      </c>
      <c r="AX1776" s="56">
        <v>28</v>
      </c>
      <c r="AY1776" s="56" t="s">
        <v>8722</v>
      </c>
      <c r="AZ1776" s="56" t="s">
        <v>2166</v>
      </c>
      <c r="BA1776" s="56">
        <v>32</v>
      </c>
      <c r="BB1776" s="55" t="s">
        <v>2167</v>
      </c>
      <c r="BC1776" s="55" t="s">
        <v>8722</v>
      </c>
      <c r="BD1776" s="55"/>
      <c r="BE1776" s="56" t="s">
        <v>271</v>
      </c>
      <c r="BF1776" s="56" t="s">
        <v>272</v>
      </c>
      <c r="BG1776" s="56" t="s">
        <v>272</v>
      </c>
      <c r="BH1776" s="56" t="s">
        <v>2119</v>
      </c>
      <c r="BI1776" s="153">
        <v>0.25000499880028793</v>
      </c>
      <c r="BJ1776" s="153">
        <v>8.0001599616092136</v>
      </c>
      <c r="BK1776" s="56" t="s">
        <v>2168</v>
      </c>
      <c r="BL1776" s="153">
        <v>2.3845910314689278</v>
      </c>
      <c r="BM1776" s="56">
        <v>0</v>
      </c>
      <c r="BN1776" s="56"/>
      <c r="BO1776" s="56"/>
      <c r="BP1776" s="56"/>
      <c r="BQ1776" s="56"/>
      <c r="BR1776" s="56">
        <v>2.2005720000000002</v>
      </c>
      <c r="BS1776" s="56"/>
      <c r="BT1776" s="56"/>
      <c r="BU1776" s="158"/>
      <c r="BV1776" s="56"/>
      <c r="BW1776" s="56"/>
      <c r="BX1776" s="56"/>
      <c r="BY1776" s="56"/>
      <c r="BZ1776" s="56"/>
      <c r="CA1776" s="56"/>
      <c r="CB1776" s="56"/>
      <c r="CC1776" s="56"/>
      <c r="CD1776" s="56"/>
      <c r="CE1776" s="56"/>
      <c r="CF1776" s="56"/>
      <c r="CG1776" s="56"/>
      <c r="CH1776" s="56"/>
      <c r="CI1776" s="103">
        <v>2.2005720000000002</v>
      </c>
      <c r="CJ1776" s="103">
        <f t="shared" si="459"/>
        <v>0.34253558271089152</v>
      </c>
      <c r="CK1776" s="57">
        <f>BL1776/BJ1776</f>
        <v>0.29806791900561858</v>
      </c>
      <c r="CL1776" s="160">
        <f t="shared" si="460"/>
        <v>1.0836232722532722</v>
      </c>
      <c r="CM1776" s="160"/>
      <c r="CN1776" s="160"/>
      <c r="CO1776" s="55"/>
      <c r="CP1776" s="497" t="s">
        <v>2169</v>
      </c>
      <c r="CQ1776" s="149" t="s">
        <v>272</v>
      </c>
      <c r="CR1776" s="349"/>
      <c r="CS1776" s="61" t="s">
        <v>539</v>
      </c>
      <c r="CT1776" s="61" t="s">
        <v>6310</v>
      </c>
      <c r="CU1776" s="111">
        <f t="shared" si="461"/>
        <v>1220.5268099323919</v>
      </c>
      <c r="CV1776" s="331">
        <f>X1776/BJ1776</f>
        <v>335.7254275008633</v>
      </c>
      <c r="CW1776" s="326">
        <f t="shared" si="462"/>
        <v>1</v>
      </c>
      <c r="CX1776" s="326" t="s">
        <v>539</v>
      </c>
      <c r="CY1776" s="161" t="s">
        <v>5921</v>
      </c>
    </row>
    <row r="1777" spans="1:103" ht="11.25" customHeight="1" x14ac:dyDescent="0.2">
      <c r="A1777" s="72">
        <v>2028</v>
      </c>
      <c r="B1777" s="282">
        <v>2059</v>
      </c>
      <c r="C1777" s="115" t="s">
        <v>5661</v>
      </c>
      <c r="D1777" s="115"/>
      <c r="E1777" s="116">
        <v>1</v>
      </c>
      <c r="F1777" s="122" t="s">
        <v>5662</v>
      </c>
      <c r="G1777" s="283">
        <v>3251238</v>
      </c>
      <c r="H1777" s="286" t="s">
        <v>5663</v>
      </c>
      <c r="I1777" s="286"/>
      <c r="J1777" s="286" t="s">
        <v>5664</v>
      </c>
      <c r="K1777" s="286"/>
      <c r="L1777" s="286"/>
      <c r="M1777" s="286"/>
      <c r="N1777" s="350"/>
      <c r="O1777" s="286"/>
      <c r="P1777" s="286"/>
      <c r="Q1777" s="286"/>
      <c r="R1777" s="286"/>
      <c r="S1777" s="286"/>
      <c r="T1777" s="123">
        <v>187.56</v>
      </c>
      <c r="U1777" s="300"/>
      <c r="V1777" s="300"/>
      <c r="W1777" s="300"/>
      <c r="X1777" s="300"/>
      <c r="Y1777" s="419"/>
      <c r="Z1777" s="125"/>
      <c r="AA1777" s="125"/>
      <c r="AB1777" s="116"/>
      <c r="AC1777" s="116"/>
      <c r="AD1777" s="116"/>
      <c r="AE1777" s="116"/>
      <c r="AF1777" s="116"/>
      <c r="AG1777" s="125" t="s">
        <v>5921</v>
      </c>
      <c r="AH1777" s="300"/>
      <c r="AI1777" s="300"/>
      <c r="AJ1777" s="125"/>
      <c r="AK1777" s="125"/>
      <c r="AL1777" s="125"/>
      <c r="AM1777" s="125"/>
      <c r="AN1777" s="301"/>
      <c r="AO1777" s="420"/>
      <c r="AP1777" s="420"/>
      <c r="AQ1777" s="301" t="s">
        <v>6311</v>
      </c>
      <c r="AR1777" s="301" t="s">
        <v>6311</v>
      </c>
      <c r="AS1777" s="298" t="s">
        <v>5466</v>
      </c>
      <c r="AT1777" s="124" t="s">
        <v>266</v>
      </c>
      <c r="AU1777" s="123">
        <v>24</v>
      </c>
      <c r="AV1777" s="123">
        <v>120</v>
      </c>
      <c r="AW1777" s="123">
        <v>96</v>
      </c>
      <c r="AX1777" s="123">
        <v>25</v>
      </c>
      <c r="AY1777" s="123" t="s">
        <v>267</v>
      </c>
      <c r="AZ1777" s="123" t="s">
        <v>5665</v>
      </c>
      <c r="BA1777" s="123">
        <v>16</v>
      </c>
      <c r="BB1777" s="286" t="s">
        <v>5666</v>
      </c>
      <c r="BC1777" s="286" t="s">
        <v>1584</v>
      </c>
      <c r="BD1777" s="286"/>
      <c r="BE1777" s="123" t="s">
        <v>5598</v>
      </c>
      <c r="BF1777" s="123"/>
      <c r="BG1777" s="123"/>
      <c r="BH1777" s="123"/>
      <c r="BI1777" s="300"/>
      <c r="BJ1777" s="300"/>
      <c r="BK1777" s="306" t="s">
        <v>5667</v>
      </c>
      <c r="BL1777" s="287"/>
      <c r="BM1777" s="123"/>
      <c r="BN1777" s="123"/>
      <c r="BO1777" s="123"/>
      <c r="BP1777" s="123"/>
      <c r="BQ1777" s="123"/>
      <c r="BR1777" s="123"/>
      <c r="BS1777" s="123"/>
      <c r="BT1777" s="123"/>
      <c r="BU1777" s="293"/>
      <c r="BV1777" s="123"/>
      <c r="BW1777" s="123"/>
      <c r="BX1777" s="123"/>
      <c r="BY1777" s="123"/>
      <c r="BZ1777" s="123"/>
      <c r="CA1777" s="123"/>
      <c r="CB1777" s="123">
        <v>0.69999999084000009</v>
      </c>
      <c r="CC1777" s="123"/>
      <c r="CD1777" s="123"/>
      <c r="CE1777" s="123"/>
      <c r="CF1777" s="123"/>
      <c r="CG1777" s="123"/>
      <c r="CH1777" s="123"/>
      <c r="CI1777" s="300">
        <v>0.69999999084000009</v>
      </c>
      <c r="CJ1777" s="292">
        <f t="shared" si="459"/>
        <v>-0.15490196566879666</v>
      </c>
      <c r="CK1777" s="120" t="s">
        <v>404</v>
      </c>
      <c r="CL1777" s="294"/>
      <c r="CM1777" s="294"/>
      <c r="CN1777" s="294">
        <f>BJ1777/(10^CM1777)</f>
        <v>0</v>
      </c>
      <c r="CO1777" s="286" t="s">
        <v>5494</v>
      </c>
      <c r="CP1777" s="295" t="s">
        <v>5668</v>
      </c>
      <c r="CQ1777" s="282">
        <v>-0.6074055187621199</v>
      </c>
      <c r="CR1777" s="352">
        <f>10^(CJ1777-CQ1777)</f>
        <v>2.8346768247355132</v>
      </c>
      <c r="CS1777" s="123" t="s">
        <v>539</v>
      </c>
      <c r="CT1777" s="123" t="s">
        <v>6310</v>
      </c>
      <c r="CU1777" s="300" t="s">
        <v>6310</v>
      </c>
      <c r="CV1777" s="338" t="s">
        <v>6310</v>
      </c>
      <c r="CW1777" s="339">
        <f t="shared" si="462"/>
        <v>1</v>
      </c>
      <c r="CX1777" s="339" t="s">
        <v>539</v>
      </c>
      <c r="CY1777" s="295" t="s">
        <v>6351</v>
      </c>
    </row>
    <row r="1778" spans="1:103" ht="11.25" customHeight="1" x14ac:dyDescent="0.2">
      <c r="A1778" s="72">
        <v>2019</v>
      </c>
      <c r="B1778" s="282">
        <v>685</v>
      </c>
      <c r="C1778" s="115" t="s">
        <v>1979</v>
      </c>
      <c r="D1778" s="115"/>
      <c r="E1778" s="116">
        <v>1</v>
      </c>
      <c r="F1778" s="116" t="s">
        <v>1980</v>
      </c>
      <c r="G1778" s="283">
        <v>7773015</v>
      </c>
      <c r="H1778" s="284" t="s">
        <v>1981</v>
      </c>
      <c r="I1778" s="284"/>
      <c r="J1778" s="284"/>
      <c r="K1778" s="284" t="s">
        <v>416</v>
      </c>
      <c r="L1778" s="284"/>
      <c r="M1778" s="284"/>
      <c r="N1778" s="284"/>
      <c r="O1778" s="284"/>
      <c r="P1778" s="286"/>
      <c r="Q1778" s="286"/>
      <c r="R1778" s="286"/>
      <c r="S1778" s="286"/>
      <c r="T1778" s="119">
        <v>125.84399999999999</v>
      </c>
      <c r="U1778" s="292"/>
      <c r="V1778" s="292"/>
      <c r="W1778" s="292"/>
      <c r="X1778" s="292"/>
      <c r="Y1778" s="370"/>
      <c r="Z1778" s="116"/>
      <c r="AA1778" s="116"/>
      <c r="AB1778" s="116"/>
      <c r="AC1778" s="116"/>
      <c r="AD1778" s="116"/>
      <c r="AE1778" s="116"/>
      <c r="AF1778" s="116"/>
      <c r="AG1778" s="117" t="s">
        <v>404</v>
      </c>
      <c r="AH1778" s="292"/>
      <c r="AI1778" s="292"/>
      <c r="AJ1778" s="125"/>
      <c r="AK1778" s="125"/>
      <c r="AL1778" s="125"/>
      <c r="AM1778" s="125"/>
      <c r="AN1778" s="297"/>
      <c r="AO1778" s="420"/>
      <c r="AP1778" s="420"/>
      <c r="AQ1778" s="297" t="s">
        <v>5921</v>
      </c>
      <c r="AR1778" s="297" t="s">
        <v>5921</v>
      </c>
      <c r="AS1778" s="282" t="s">
        <v>6</v>
      </c>
      <c r="AT1778" s="118" t="s">
        <v>266</v>
      </c>
      <c r="AU1778" s="119">
        <v>2</v>
      </c>
      <c r="AV1778" s="119">
        <v>48</v>
      </c>
      <c r="AW1778" s="119">
        <v>48</v>
      </c>
      <c r="AX1778" s="119">
        <v>26</v>
      </c>
      <c r="AY1778" s="119" t="s">
        <v>647</v>
      </c>
      <c r="AZ1778" s="119" t="s">
        <v>536</v>
      </c>
      <c r="BA1778" s="119">
        <v>10</v>
      </c>
      <c r="BB1778" s="284" t="s">
        <v>1764</v>
      </c>
      <c r="BC1778" s="284" t="s">
        <v>538</v>
      </c>
      <c r="BD1778" s="284"/>
      <c r="BE1778" s="119" t="s">
        <v>271</v>
      </c>
      <c r="BF1778" s="119" t="s">
        <v>1974</v>
      </c>
      <c r="BG1778" s="119" t="s">
        <v>1974</v>
      </c>
      <c r="BH1778" s="119" t="s">
        <v>272</v>
      </c>
      <c r="BI1778" s="292">
        <v>100.6752</v>
      </c>
      <c r="BJ1778" s="292">
        <v>50337.599999999999</v>
      </c>
      <c r="BK1778" s="119"/>
      <c r="BL1778" s="287"/>
      <c r="BM1778" s="119" t="s">
        <v>541</v>
      </c>
      <c r="BN1778" s="119"/>
      <c r="BO1778" s="119"/>
      <c r="BP1778" s="119">
        <v>10067.52</v>
      </c>
      <c r="BQ1778" s="119"/>
      <c r="BR1778" s="119"/>
      <c r="BS1778" s="119"/>
      <c r="BT1778" s="119"/>
      <c r="BU1778" s="293"/>
      <c r="BV1778" s="119"/>
      <c r="BW1778" s="119"/>
      <c r="BX1778" s="119"/>
      <c r="BY1778" s="119"/>
      <c r="BZ1778" s="119"/>
      <c r="CA1778" s="119"/>
      <c r="CB1778" s="119"/>
      <c r="CC1778" s="119"/>
      <c r="CD1778" s="119"/>
      <c r="CE1778" s="119"/>
      <c r="CF1778" s="119"/>
      <c r="CG1778" s="119"/>
      <c r="CH1778" s="119"/>
      <c r="CI1778" s="292"/>
      <c r="CJ1778" s="292"/>
      <c r="CK1778" s="120" t="s">
        <v>404</v>
      </c>
      <c r="CL1778" s="120"/>
      <c r="CM1778" s="294"/>
      <c r="CN1778" s="294">
        <f>BJ1778/(10^CM1778)</f>
        <v>50337.599999999999</v>
      </c>
      <c r="CO1778" s="284"/>
      <c r="CP1778" s="498" t="s">
        <v>6378</v>
      </c>
      <c r="CQ1778" s="282"/>
      <c r="CR1778" s="282">
        <f>10^(CJ1778-CQ1778)</f>
        <v>1</v>
      </c>
      <c r="CS1778" s="123"/>
      <c r="CT1778" s="123"/>
      <c r="CU1778" s="300" t="s">
        <v>6310</v>
      </c>
      <c r="CV1778" s="338" t="s">
        <v>6310</v>
      </c>
      <c r="CW1778" s="123">
        <f>IF(CV1778&lt;1,0,1)</f>
        <v>1</v>
      </c>
      <c r="CX1778" s="339"/>
      <c r="CY1778" s="295" t="s">
        <v>6351</v>
      </c>
    </row>
    <row r="1779" spans="1:103" ht="11.25" customHeight="1" x14ac:dyDescent="0.2">
      <c r="A1779" s="72">
        <v>2020</v>
      </c>
      <c r="B1779" s="282">
        <v>685</v>
      </c>
      <c r="C1779" s="115" t="s">
        <v>1979</v>
      </c>
      <c r="D1779" s="115"/>
      <c r="E1779" s="116">
        <v>1</v>
      </c>
      <c r="F1779" s="116" t="s">
        <v>1980</v>
      </c>
      <c r="G1779" s="283">
        <v>7773015</v>
      </c>
      <c r="H1779" s="284" t="s">
        <v>1981</v>
      </c>
      <c r="I1779" s="284"/>
      <c r="J1779" s="284"/>
      <c r="K1779" s="284" t="s">
        <v>416</v>
      </c>
      <c r="L1779" s="284"/>
      <c r="M1779" s="284"/>
      <c r="N1779" s="284"/>
      <c r="O1779" s="284"/>
      <c r="P1779" s="286"/>
      <c r="Q1779" s="286"/>
      <c r="R1779" s="286"/>
      <c r="S1779" s="286"/>
      <c r="T1779" s="119">
        <v>125.84399999999999</v>
      </c>
      <c r="U1779" s="292"/>
      <c r="V1779" s="292"/>
      <c r="W1779" s="292"/>
      <c r="X1779" s="292"/>
      <c r="Y1779" s="370"/>
      <c r="Z1779" s="116"/>
      <c r="AA1779" s="116"/>
      <c r="AB1779" s="116"/>
      <c r="AC1779" s="116"/>
      <c r="AD1779" s="116"/>
      <c r="AE1779" s="116"/>
      <c r="AF1779" s="116"/>
      <c r="AG1779" s="117" t="s">
        <v>404</v>
      </c>
      <c r="AH1779" s="292"/>
      <c r="AI1779" s="292"/>
      <c r="AJ1779" s="125"/>
      <c r="AK1779" s="125"/>
      <c r="AL1779" s="125"/>
      <c r="AM1779" s="125"/>
      <c r="AN1779" s="297"/>
      <c r="AO1779" s="420"/>
      <c r="AP1779" s="420"/>
      <c r="AQ1779" s="297" t="s">
        <v>5921</v>
      </c>
      <c r="AR1779" s="297" t="s">
        <v>5921</v>
      </c>
      <c r="AS1779" s="282" t="s">
        <v>6</v>
      </c>
      <c r="AT1779" s="118" t="s">
        <v>266</v>
      </c>
      <c r="AU1779" s="119">
        <v>24</v>
      </c>
      <c r="AV1779" s="119">
        <v>72</v>
      </c>
      <c r="AW1779" s="119">
        <v>48</v>
      </c>
      <c r="AX1779" s="119">
        <v>26</v>
      </c>
      <c r="AY1779" s="119" t="s">
        <v>647</v>
      </c>
      <c r="AZ1779" s="119" t="s">
        <v>536</v>
      </c>
      <c r="BA1779" s="119">
        <v>10</v>
      </c>
      <c r="BB1779" s="284" t="s">
        <v>1764</v>
      </c>
      <c r="BC1779" s="284" t="s">
        <v>538</v>
      </c>
      <c r="BD1779" s="284"/>
      <c r="BE1779" s="119" t="s">
        <v>271</v>
      </c>
      <c r="BF1779" s="119" t="s">
        <v>1974</v>
      </c>
      <c r="BG1779" s="119" t="s">
        <v>1974</v>
      </c>
      <c r="BH1779" s="119" t="s">
        <v>272</v>
      </c>
      <c r="BI1779" s="292">
        <v>100.6752</v>
      </c>
      <c r="BJ1779" s="292">
        <v>50337.599999999999</v>
      </c>
      <c r="BK1779" s="119"/>
      <c r="BL1779" s="287"/>
      <c r="BM1779" s="119" t="s">
        <v>541</v>
      </c>
      <c r="BN1779" s="119"/>
      <c r="BO1779" s="119"/>
      <c r="BP1779" s="119"/>
      <c r="BQ1779" s="119"/>
      <c r="BR1779" s="119"/>
      <c r="BS1779" s="119"/>
      <c r="BT1779" s="119"/>
      <c r="BU1779" s="293"/>
      <c r="BV1779" s="119"/>
      <c r="BW1779" s="119"/>
      <c r="BX1779" s="119"/>
      <c r="BY1779" s="119"/>
      <c r="BZ1779" s="119"/>
      <c r="CA1779" s="119">
        <v>13591.152</v>
      </c>
      <c r="CB1779" s="119"/>
      <c r="CC1779" s="119"/>
      <c r="CD1779" s="119"/>
      <c r="CE1779" s="119"/>
      <c r="CF1779" s="119"/>
      <c r="CG1779" s="119"/>
      <c r="CH1779" s="119"/>
      <c r="CI1779" s="292"/>
      <c r="CJ1779" s="292"/>
      <c r="CK1779" s="120" t="s">
        <v>404</v>
      </c>
      <c r="CL1779" s="120"/>
      <c r="CM1779" s="294"/>
      <c r="CN1779" s="294">
        <f>BJ1779/(10^CM1779)</f>
        <v>50337.599999999999</v>
      </c>
      <c r="CO1779" s="284"/>
      <c r="CP1779" s="498" t="s">
        <v>6378</v>
      </c>
      <c r="CQ1779" s="282"/>
      <c r="CR1779" s="282">
        <f>10^(CJ1779-CQ1779)</f>
        <v>1</v>
      </c>
      <c r="CS1779" s="123"/>
      <c r="CT1779" s="123"/>
      <c r="CU1779" s="300" t="s">
        <v>6310</v>
      </c>
      <c r="CV1779" s="338" t="s">
        <v>6310</v>
      </c>
      <c r="CW1779" s="123">
        <f>IF(CV1779&lt;1,0,1)</f>
        <v>1</v>
      </c>
      <c r="CX1779" s="339"/>
      <c r="CY1779" s="295" t="s">
        <v>6351</v>
      </c>
    </row>
    <row r="1780" spans="1:103" ht="11.25" customHeight="1" x14ac:dyDescent="0.2">
      <c r="A1780" s="72">
        <v>2021</v>
      </c>
      <c r="B1780" s="282">
        <v>685</v>
      </c>
      <c r="C1780" s="115" t="s">
        <v>1979</v>
      </c>
      <c r="D1780" s="115"/>
      <c r="E1780" s="116">
        <v>1</v>
      </c>
      <c r="F1780" s="116" t="s">
        <v>1980</v>
      </c>
      <c r="G1780" s="283">
        <v>7773015</v>
      </c>
      <c r="H1780" s="284" t="s">
        <v>1981</v>
      </c>
      <c r="I1780" s="284"/>
      <c r="J1780" s="284"/>
      <c r="K1780" s="284" t="s">
        <v>416</v>
      </c>
      <c r="L1780" s="284"/>
      <c r="M1780" s="284"/>
      <c r="N1780" s="284"/>
      <c r="O1780" s="284"/>
      <c r="P1780" s="286"/>
      <c r="Q1780" s="286"/>
      <c r="R1780" s="286"/>
      <c r="S1780" s="286"/>
      <c r="T1780" s="119">
        <v>125.84399999999999</v>
      </c>
      <c r="U1780" s="292"/>
      <c r="V1780" s="292"/>
      <c r="W1780" s="292"/>
      <c r="X1780" s="292"/>
      <c r="Y1780" s="370"/>
      <c r="Z1780" s="116"/>
      <c r="AA1780" s="116"/>
      <c r="AB1780" s="116"/>
      <c r="AC1780" s="116"/>
      <c r="AD1780" s="116"/>
      <c r="AE1780" s="116"/>
      <c r="AF1780" s="116"/>
      <c r="AG1780" s="117" t="s">
        <v>404</v>
      </c>
      <c r="AH1780" s="292"/>
      <c r="AI1780" s="292"/>
      <c r="AJ1780" s="125"/>
      <c r="AK1780" s="125"/>
      <c r="AL1780" s="125"/>
      <c r="AM1780" s="125"/>
      <c r="AN1780" s="297"/>
      <c r="AO1780" s="420"/>
      <c r="AP1780" s="420"/>
      <c r="AQ1780" s="297" t="s">
        <v>5921</v>
      </c>
      <c r="AR1780" s="297" t="s">
        <v>5921</v>
      </c>
      <c r="AS1780" s="282" t="s">
        <v>6</v>
      </c>
      <c r="AT1780" s="118" t="s">
        <v>266</v>
      </c>
      <c r="AU1780" s="119">
        <v>72</v>
      </c>
      <c r="AV1780" s="119">
        <v>120</v>
      </c>
      <c r="AW1780" s="119">
        <v>48</v>
      </c>
      <c r="AX1780" s="119">
        <v>26</v>
      </c>
      <c r="AY1780" s="119" t="s">
        <v>647</v>
      </c>
      <c r="AZ1780" s="119" t="s">
        <v>536</v>
      </c>
      <c r="BA1780" s="119">
        <v>10</v>
      </c>
      <c r="BB1780" s="284" t="s">
        <v>1764</v>
      </c>
      <c r="BC1780" s="284" t="s">
        <v>538</v>
      </c>
      <c r="BD1780" s="284"/>
      <c r="BE1780" s="119" t="s">
        <v>271</v>
      </c>
      <c r="BF1780" s="119" t="s">
        <v>1974</v>
      </c>
      <c r="BG1780" s="119" t="s">
        <v>1974</v>
      </c>
      <c r="BH1780" s="119" t="s">
        <v>272</v>
      </c>
      <c r="BI1780" s="292">
        <v>100.6752</v>
      </c>
      <c r="BJ1780" s="292">
        <v>50337.599999999999</v>
      </c>
      <c r="BK1780" s="119"/>
      <c r="BL1780" s="287"/>
      <c r="BM1780" s="119" t="s">
        <v>541</v>
      </c>
      <c r="BN1780" s="119"/>
      <c r="BO1780" s="119"/>
      <c r="BP1780" s="119"/>
      <c r="BQ1780" s="119"/>
      <c r="BR1780" s="119"/>
      <c r="BS1780" s="119"/>
      <c r="BT1780" s="119"/>
      <c r="BU1780" s="293"/>
      <c r="BV1780" s="119"/>
      <c r="BW1780" s="119"/>
      <c r="BX1780" s="119"/>
      <c r="BY1780" s="119"/>
      <c r="BZ1780" s="119"/>
      <c r="CA1780" s="119"/>
      <c r="CB1780" s="119"/>
      <c r="CC1780" s="119"/>
      <c r="CD1780" s="119"/>
      <c r="CE1780" s="119"/>
      <c r="CF1780" s="119">
        <v>6669.732</v>
      </c>
      <c r="CG1780" s="119"/>
      <c r="CH1780" s="119"/>
      <c r="CI1780" s="292"/>
      <c r="CJ1780" s="292"/>
      <c r="CK1780" s="120" t="s">
        <v>404</v>
      </c>
      <c r="CL1780" s="120"/>
      <c r="CM1780" s="294"/>
      <c r="CN1780" s="294">
        <f>BJ1780/(10^CM1780)</f>
        <v>50337.599999999999</v>
      </c>
      <c r="CO1780" s="284"/>
      <c r="CP1780" s="498" t="s">
        <v>6378</v>
      </c>
      <c r="CQ1780" s="282"/>
      <c r="CR1780" s="282">
        <f>10^(CJ1780-CQ1780)</f>
        <v>1</v>
      </c>
      <c r="CS1780" s="123"/>
      <c r="CT1780" s="123"/>
      <c r="CU1780" s="300" t="s">
        <v>6310</v>
      </c>
      <c r="CV1780" s="338" t="s">
        <v>6310</v>
      </c>
      <c r="CW1780" s="123">
        <f>IF(CV1780&lt;1,0,1)</f>
        <v>1</v>
      </c>
      <c r="CX1780" s="339"/>
      <c r="CY1780" s="295" t="s">
        <v>6351</v>
      </c>
    </row>
    <row r="1781" spans="1:103" ht="11.25" customHeight="1" x14ac:dyDescent="0.2">
      <c r="A1781" s="72">
        <v>461</v>
      </c>
      <c r="B1781" s="149">
        <v>753</v>
      </c>
      <c r="C1781" s="54" t="s">
        <v>6737</v>
      </c>
      <c r="D1781" s="54"/>
      <c r="E1781" s="59"/>
      <c r="F1781" s="59" t="s">
        <v>2131</v>
      </c>
      <c r="G1781" s="151">
        <v>95144244</v>
      </c>
      <c r="H1781" s="55"/>
      <c r="I1781" s="55" t="s">
        <v>7877</v>
      </c>
      <c r="J1781" s="55" t="s">
        <v>2132</v>
      </c>
      <c r="K1781" s="55"/>
      <c r="L1781" s="55"/>
      <c r="M1781" s="55" t="s">
        <v>526</v>
      </c>
      <c r="N1781" s="60"/>
      <c r="O1781" s="55"/>
      <c r="P1781" s="67"/>
      <c r="Q1781" s="67"/>
      <c r="R1781" s="67"/>
      <c r="S1781" s="67"/>
      <c r="T1781" s="56">
        <v>400000</v>
      </c>
      <c r="U1781" s="103"/>
      <c r="V1781" s="103"/>
      <c r="W1781" s="103"/>
      <c r="X1781" s="103"/>
      <c r="Y1781" s="162"/>
      <c r="Z1781" s="56"/>
      <c r="AA1781" s="56"/>
      <c r="AB1781" s="56"/>
      <c r="AC1781" s="56"/>
      <c r="AD1781" s="56"/>
      <c r="AE1781" s="56"/>
      <c r="AF1781" s="56"/>
      <c r="AG1781" s="57">
        <v>1.29</v>
      </c>
      <c r="AH1781" s="103"/>
      <c r="AI1781" s="103"/>
      <c r="AJ1781" s="62"/>
      <c r="AK1781" s="62"/>
      <c r="AL1781" s="62"/>
      <c r="AM1781" s="62"/>
      <c r="AN1781" s="154">
        <v>-12.6</v>
      </c>
      <c r="AO1781" s="410"/>
      <c r="AP1781" s="410"/>
      <c r="AQ1781" s="154" t="s">
        <v>6317</v>
      </c>
      <c r="AR1781" s="154" t="s">
        <v>6317</v>
      </c>
      <c r="AS1781" s="149" t="s">
        <v>6</v>
      </c>
      <c r="AT1781" s="58" t="s">
        <v>266</v>
      </c>
      <c r="AU1781" s="56">
        <v>2</v>
      </c>
      <c r="AV1781" s="56" t="s">
        <v>646</v>
      </c>
      <c r="AW1781" s="56" t="s">
        <v>646</v>
      </c>
      <c r="AX1781" s="56">
        <v>26</v>
      </c>
      <c r="AY1781" s="56" t="s">
        <v>8722</v>
      </c>
      <c r="AZ1781" s="56" t="s">
        <v>536</v>
      </c>
      <c r="BA1781" s="56">
        <v>10</v>
      </c>
      <c r="BB1781" s="55" t="s">
        <v>1764</v>
      </c>
      <c r="BC1781" s="55" t="s">
        <v>538</v>
      </c>
      <c r="BD1781" s="55"/>
      <c r="BE1781" s="56" t="s">
        <v>649</v>
      </c>
      <c r="BF1781" s="56" t="s">
        <v>272</v>
      </c>
      <c r="BG1781" s="56" t="s">
        <v>272</v>
      </c>
      <c r="BH1781" s="56" t="s">
        <v>272</v>
      </c>
      <c r="BI1781" s="153">
        <v>12000</v>
      </c>
      <c r="BJ1781" s="153">
        <v>350000</v>
      </c>
      <c r="BK1781" s="56"/>
      <c r="BL1781" s="153"/>
      <c r="BM1781" s="56" t="s">
        <v>2046</v>
      </c>
      <c r="BN1781" s="56"/>
      <c r="BO1781" s="56">
        <v>400000000</v>
      </c>
      <c r="BP1781" s="56"/>
      <c r="BQ1781" s="56"/>
      <c r="BR1781" s="56">
        <v>6500</v>
      </c>
      <c r="BS1781" s="56"/>
      <c r="BT1781" s="56"/>
      <c r="BU1781" s="158"/>
      <c r="BV1781" s="56"/>
      <c r="BW1781" s="56"/>
      <c r="BX1781" s="56"/>
      <c r="BY1781" s="56"/>
      <c r="BZ1781" s="56"/>
      <c r="CA1781" s="56"/>
      <c r="CB1781" s="56"/>
      <c r="CC1781" s="56"/>
      <c r="CD1781" s="56"/>
      <c r="CE1781" s="56"/>
      <c r="CF1781" s="56"/>
      <c r="CG1781" s="56"/>
      <c r="CH1781" s="56"/>
      <c r="CI1781" s="103">
        <v>6500</v>
      </c>
      <c r="CJ1781" s="103">
        <f>LOG10(CI1781)</f>
        <v>3.8129133566428557</v>
      </c>
      <c r="CK1781" s="57">
        <f>BL1781/BJ1781</f>
        <v>0</v>
      </c>
      <c r="CL1781" s="160">
        <f>BL1781/CI1781</f>
        <v>0</v>
      </c>
      <c r="CM1781" s="160"/>
      <c r="CN1781" s="160"/>
      <c r="CO1781" s="55"/>
      <c r="CP1781" s="497" t="s">
        <v>2130</v>
      </c>
      <c r="CQ1781" s="149" t="s">
        <v>272</v>
      </c>
      <c r="CR1781" s="349"/>
      <c r="CS1781" s="61" t="s">
        <v>539</v>
      </c>
      <c r="CT1781" s="61"/>
      <c r="CU1781" s="111" t="s">
        <v>6310</v>
      </c>
      <c r="CV1781" s="331"/>
      <c r="CW1781" s="326">
        <f>IF(CU1781&lt;2,0,1)</f>
        <v>1</v>
      </c>
      <c r="CX1781" s="326"/>
      <c r="CY1781" s="161" t="s">
        <v>5921</v>
      </c>
    </row>
    <row r="1782" spans="1:103" ht="11.25" customHeight="1" x14ac:dyDescent="0.2">
      <c r="A1782" s="72">
        <v>1659</v>
      </c>
      <c r="B1782" s="241">
        <v>752</v>
      </c>
      <c r="C1782" s="32" t="s">
        <v>7624</v>
      </c>
      <c r="D1782" s="32" t="s">
        <v>8558</v>
      </c>
      <c r="E1782" s="40"/>
      <c r="F1782" s="40" t="s">
        <v>744</v>
      </c>
      <c r="G1782" s="242">
        <v>67641</v>
      </c>
      <c r="H1782" s="36" t="s">
        <v>745</v>
      </c>
      <c r="I1782" s="36" t="s">
        <v>745</v>
      </c>
      <c r="J1782" s="36" t="s">
        <v>746</v>
      </c>
      <c r="K1782" s="36" t="s">
        <v>426</v>
      </c>
      <c r="L1782" s="36"/>
      <c r="M1782" s="36" t="s">
        <v>6082</v>
      </c>
      <c r="N1782" s="36" t="s">
        <v>6082</v>
      </c>
      <c r="O1782" s="36"/>
      <c r="P1782" s="41" t="s">
        <v>6183</v>
      </c>
      <c r="Q1782" s="41" t="s">
        <v>6176</v>
      </c>
      <c r="R1782" s="41" t="s">
        <v>6185</v>
      </c>
      <c r="S1782" s="41" t="s">
        <v>6176</v>
      </c>
      <c r="T1782" s="37">
        <v>58.08</v>
      </c>
      <c r="U1782" s="243">
        <v>1000000</v>
      </c>
      <c r="V1782" s="243">
        <v>219900</v>
      </c>
      <c r="W1782" s="243">
        <v>103282.46813506066</v>
      </c>
      <c r="X1782" s="243">
        <v>1000000</v>
      </c>
      <c r="Y1782" s="414">
        <v>7</v>
      </c>
      <c r="Z1782" s="37">
        <v>-0.24</v>
      </c>
      <c r="AA1782" s="37">
        <v>-0.24</v>
      </c>
      <c r="AB1782" s="37">
        <v>0.17</v>
      </c>
      <c r="AC1782" s="37">
        <v>0.90069999999999995</v>
      </c>
      <c r="AD1782" s="37">
        <v>0.09</v>
      </c>
      <c r="AE1782" s="37">
        <v>-0.16</v>
      </c>
      <c r="AF1782" s="37">
        <f>IF(AA1782=0,AD1782,AA1782)</f>
        <v>-0.24</v>
      </c>
      <c r="AG1782" s="38">
        <v>0.21</v>
      </c>
      <c r="AH1782" s="243">
        <v>4.9599999999999999E-5</v>
      </c>
      <c r="AI1782" s="243">
        <v>3.4999999999999997E-5</v>
      </c>
      <c r="AJ1782" s="34">
        <f>LOG10(AH1782*1000/(0.08206*298.15))</f>
        <v>-2.6930846498224543</v>
      </c>
      <c r="AK1782" s="34">
        <f>LOG10(AI1782*1000/(0.08206*298.15))</f>
        <v>-2.8444982819623763</v>
      </c>
      <c r="AL1782" s="34">
        <f>IF(AK1782=0,AJ1782,AK1782)</f>
        <v>-2.8444982819623763</v>
      </c>
      <c r="AM1782" s="34">
        <v>-2.79976</v>
      </c>
      <c r="AN1782" s="244">
        <v>-2.73</v>
      </c>
      <c r="AO1782" s="417"/>
      <c r="AP1782" s="417"/>
      <c r="AQ1782" s="244" t="s">
        <v>6311</v>
      </c>
      <c r="AR1782" s="244" t="s">
        <v>6311</v>
      </c>
      <c r="AS1782" s="241" t="s">
        <v>6</v>
      </c>
      <c r="AT1782" s="39" t="s">
        <v>266</v>
      </c>
      <c r="AU1782" s="37">
        <v>2</v>
      </c>
      <c r="AV1782" s="37">
        <v>72</v>
      </c>
      <c r="AW1782" s="37">
        <v>72</v>
      </c>
      <c r="AX1782" s="37">
        <v>26</v>
      </c>
      <c r="AY1782" s="37" t="s">
        <v>8722</v>
      </c>
      <c r="AZ1782" s="37" t="s">
        <v>536</v>
      </c>
      <c r="BA1782" s="37">
        <v>10</v>
      </c>
      <c r="BB1782" s="36" t="s">
        <v>1764</v>
      </c>
      <c r="BC1782" s="36" t="s">
        <v>538</v>
      </c>
      <c r="BD1782" s="36"/>
      <c r="BE1782" s="37" t="s">
        <v>649</v>
      </c>
      <c r="BF1782" s="37" t="s">
        <v>272</v>
      </c>
      <c r="BG1782" s="37" t="s">
        <v>272</v>
      </c>
      <c r="BH1782" s="37" t="s">
        <v>272</v>
      </c>
      <c r="BI1782" s="248">
        <v>3950</v>
      </c>
      <c r="BJ1782" s="248">
        <v>19750</v>
      </c>
      <c r="BK1782" s="37"/>
      <c r="BL1782" s="263">
        <v>4901.9695332186175</v>
      </c>
      <c r="BM1782" s="37" t="s">
        <v>2046</v>
      </c>
      <c r="BN1782" s="37"/>
      <c r="BO1782" s="37"/>
      <c r="BP1782" s="37">
        <v>12990</v>
      </c>
      <c r="BQ1782" s="37"/>
      <c r="BR1782" s="37"/>
      <c r="BS1782" s="37"/>
      <c r="BT1782" s="37"/>
      <c r="BU1782" s="246"/>
      <c r="BV1782" s="37"/>
      <c r="BW1782" s="37"/>
      <c r="BX1782" s="37"/>
      <c r="BY1782" s="37"/>
      <c r="BZ1782" s="37"/>
      <c r="CA1782" s="37"/>
      <c r="CB1782" s="37"/>
      <c r="CC1782" s="37"/>
      <c r="CD1782" s="37"/>
      <c r="CE1782" s="37"/>
      <c r="CF1782" s="37"/>
      <c r="CG1782" s="37"/>
      <c r="CH1782" s="37"/>
      <c r="CI1782" s="243">
        <v>12990</v>
      </c>
      <c r="CJ1782" s="243">
        <f>LOG10(CI1782)</f>
        <v>4.1136091510730282</v>
      </c>
      <c r="CK1782" s="38">
        <f>BL1782/BJ1782</f>
        <v>0.24820098902372748</v>
      </c>
      <c r="CL1782" s="247">
        <f>BL1782/CI1782</f>
        <v>0.37736486014000137</v>
      </c>
      <c r="CM1782" s="247"/>
      <c r="CN1782" s="247"/>
      <c r="CO1782" s="36"/>
      <c r="CP1782" s="496" t="s">
        <v>2130</v>
      </c>
      <c r="CQ1782" s="241">
        <v>3.8908610132968491</v>
      </c>
      <c r="CR1782" s="241">
        <f>10^(CJ1782-CQ1782)</f>
        <v>1.6701217726680861</v>
      </c>
      <c r="CS1782" s="33"/>
      <c r="CT1782" s="33"/>
      <c r="CU1782" s="250">
        <f>X1782/CI1782</f>
        <v>76.982294072363359</v>
      </c>
      <c r="CV1782" s="337">
        <f>X1782/BJ1782</f>
        <v>50.632911392405063</v>
      </c>
      <c r="CW1782" s="330">
        <f>IF(CU1782&lt;2,0,1)</f>
        <v>1</v>
      </c>
      <c r="CX1782" s="330"/>
      <c r="CY1782" s="143" t="s">
        <v>6351</v>
      </c>
    </row>
    <row r="1783" spans="1:103" ht="11.25" customHeight="1" x14ac:dyDescent="0.2">
      <c r="A1783" s="72">
        <v>1870</v>
      </c>
      <c r="B1783" s="241">
        <v>826</v>
      </c>
      <c r="C1783" s="32" t="s">
        <v>2347</v>
      </c>
      <c r="D1783" s="32"/>
      <c r="E1783" s="40"/>
      <c r="F1783" s="40" t="s">
        <v>2348</v>
      </c>
      <c r="G1783" s="242">
        <v>8047152</v>
      </c>
      <c r="H1783" s="36"/>
      <c r="I1783" s="36" t="s">
        <v>7877</v>
      </c>
      <c r="J1783" s="36"/>
      <c r="K1783" s="36"/>
      <c r="L1783" s="36"/>
      <c r="M1783" s="36"/>
      <c r="N1783" s="36"/>
      <c r="O1783" s="36"/>
      <c r="P1783" s="41"/>
      <c r="Q1783" s="41"/>
      <c r="R1783" s="41"/>
      <c r="S1783" s="41"/>
      <c r="T1783" s="37" t="s">
        <v>404</v>
      </c>
      <c r="U1783" s="243"/>
      <c r="V1783" s="243"/>
      <c r="W1783" s="243"/>
      <c r="X1783" s="243"/>
      <c r="Y1783" s="414"/>
      <c r="Z1783" s="37"/>
      <c r="AA1783" s="37"/>
      <c r="AB1783" s="37"/>
      <c r="AC1783" s="37"/>
      <c r="AD1783" s="37"/>
      <c r="AE1783" s="37"/>
      <c r="AF1783" s="37"/>
      <c r="AG1783" s="38" t="s">
        <v>5921</v>
      </c>
      <c r="AH1783" s="243"/>
      <c r="AI1783" s="243"/>
      <c r="AJ1783" s="34"/>
      <c r="AK1783" s="34"/>
      <c r="AL1783" s="34"/>
      <c r="AM1783" s="34"/>
      <c r="AN1783" s="244"/>
      <c r="AO1783" s="417"/>
      <c r="AP1783" s="417"/>
      <c r="AQ1783" s="37" t="s">
        <v>6317</v>
      </c>
      <c r="AR1783" s="37" t="s">
        <v>6317</v>
      </c>
      <c r="AS1783" s="241" t="s">
        <v>2349</v>
      </c>
      <c r="AT1783" s="39" t="s">
        <v>266</v>
      </c>
      <c r="AU1783" s="245"/>
      <c r="AV1783" s="245">
        <v>0</v>
      </c>
      <c r="AW1783" s="37">
        <v>48</v>
      </c>
      <c r="AX1783" s="37">
        <v>28.5</v>
      </c>
      <c r="AY1783" s="37" t="s">
        <v>8722</v>
      </c>
      <c r="AZ1783" s="37" t="s">
        <v>2350</v>
      </c>
      <c r="BA1783" s="37" t="s">
        <v>2351</v>
      </c>
      <c r="BB1783" s="36" t="s">
        <v>1764</v>
      </c>
      <c r="BC1783" s="36" t="s">
        <v>8722</v>
      </c>
      <c r="BD1783" s="36"/>
      <c r="BE1783" s="37" t="s">
        <v>271</v>
      </c>
      <c r="BF1783" s="37" t="s">
        <v>8722</v>
      </c>
      <c r="BG1783" s="37" t="s">
        <v>8722</v>
      </c>
      <c r="BH1783" s="37" t="s">
        <v>2352</v>
      </c>
      <c r="BI1783" s="243" t="s">
        <v>8722</v>
      </c>
      <c r="BJ1783" s="243" t="s">
        <v>8722</v>
      </c>
      <c r="BK1783" s="37"/>
      <c r="BL1783" s="263" t="e">
        <v>#VALUE!</v>
      </c>
      <c r="BM1783" s="37">
        <v>0</v>
      </c>
      <c r="BN1783" s="37"/>
      <c r="BO1783" s="37"/>
      <c r="BP1783" s="37"/>
      <c r="BQ1783" s="37"/>
      <c r="BR1783" s="37"/>
      <c r="BS1783" s="37"/>
      <c r="BT1783" s="37"/>
      <c r="BU1783" s="246"/>
      <c r="BV1783" s="37"/>
      <c r="BW1783" s="37"/>
      <c r="BX1783" s="37"/>
      <c r="BY1783" s="37"/>
      <c r="BZ1783" s="37"/>
      <c r="CA1783" s="37"/>
      <c r="CB1783" s="37"/>
      <c r="CC1783" s="37"/>
      <c r="CD1783" s="37"/>
      <c r="CE1783" s="37"/>
      <c r="CF1783" s="37"/>
      <c r="CG1783" s="37"/>
      <c r="CH1783" s="37"/>
      <c r="CI1783" s="243"/>
      <c r="CJ1783" s="243"/>
      <c r="CK1783" s="38"/>
      <c r="CL1783" s="247"/>
      <c r="CM1783" s="247"/>
      <c r="CN1783" s="247"/>
      <c r="CO1783" s="36"/>
      <c r="CP1783" s="496" t="s">
        <v>2354</v>
      </c>
      <c r="CQ1783" s="241" t="s">
        <v>272</v>
      </c>
      <c r="CR1783" s="241"/>
      <c r="CS1783" s="33"/>
      <c r="CT1783" s="33"/>
      <c r="CU1783" s="250" t="s">
        <v>6310</v>
      </c>
      <c r="CV1783" s="337" t="s">
        <v>6310</v>
      </c>
      <c r="CW1783" s="330">
        <f>IF(CV1783&lt;1,0,1)</f>
        <v>1</v>
      </c>
      <c r="CX1783" s="330"/>
      <c r="CY1783" s="143" t="s">
        <v>5921</v>
      </c>
    </row>
    <row r="1784" spans="1:103" ht="11.25" customHeight="1" x14ac:dyDescent="0.2">
      <c r="A1784" s="72">
        <v>179</v>
      </c>
      <c r="B1784" s="149">
        <v>2041</v>
      </c>
      <c r="C1784" s="54" t="s">
        <v>5586</v>
      </c>
      <c r="D1784" s="54"/>
      <c r="E1784" s="59"/>
      <c r="F1784" s="59" t="s">
        <v>1355</v>
      </c>
      <c r="G1784" s="151">
        <v>1763231</v>
      </c>
      <c r="H1784" s="67" t="s">
        <v>5587</v>
      </c>
      <c r="I1784" s="67" t="s">
        <v>8302</v>
      </c>
      <c r="J1784" s="67" t="s">
        <v>5588</v>
      </c>
      <c r="K1784" s="67" t="s">
        <v>426</v>
      </c>
      <c r="L1784" s="67" t="s">
        <v>5527</v>
      </c>
      <c r="M1784" s="67"/>
      <c r="N1784" s="60"/>
      <c r="O1784" s="67"/>
      <c r="P1784" s="67"/>
      <c r="Q1784" s="67"/>
      <c r="R1784" s="67"/>
      <c r="S1784" s="67"/>
      <c r="T1784" s="61">
        <v>500.13</v>
      </c>
      <c r="U1784" s="111"/>
      <c r="V1784" s="111">
        <v>0.10390000000000001</v>
      </c>
      <c r="W1784" s="111">
        <v>2685.8571231865435</v>
      </c>
      <c r="X1784" s="111">
        <v>2685.8571231865435</v>
      </c>
      <c r="Y1784" s="411">
        <v>2.27</v>
      </c>
      <c r="Z1784" s="61">
        <v>4.49</v>
      </c>
      <c r="AA1784" s="61"/>
      <c r="AB1784" s="61">
        <v>2.3199999999999998</v>
      </c>
      <c r="AC1784" s="61">
        <v>0.56120000000000003</v>
      </c>
      <c r="AD1784" s="61">
        <v>4.16</v>
      </c>
      <c r="AE1784" s="61">
        <v>7.03</v>
      </c>
      <c r="AF1784" s="61">
        <f t="shared" ref="AF1784:AF1792" si="463">IF(AA1784=0,AD1784,AA1784)</f>
        <v>4.16</v>
      </c>
      <c r="AG1784" s="62">
        <v>4.3899999999999997</v>
      </c>
      <c r="AH1784" s="111">
        <v>1.0999999999999999E-2</v>
      </c>
      <c r="AI1784" s="111"/>
      <c r="AJ1784" s="62">
        <f t="shared" ref="AJ1784:AJ1792" si="464">LOG10(AH1784*1000/(0.08206*298.15))</f>
        <v>-0.34717364115442678</v>
      </c>
      <c r="AK1784" s="62"/>
      <c r="AL1784" s="62">
        <f t="shared" ref="AL1784:AL1792" si="465">IF(AK1784=0,AJ1784,AK1784)</f>
        <v>-0.34717364115442678</v>
      </c>
      <c r="AM1784" s="62">
        <v>-3.9819300000000002</v>
      </c>
      <c r="AN1784" s="163">
        <v>-7.2603</v>
      </c>
      <c r="AO1784" s="410">
        <v>-3.27</v>
      </c>
      <c r="AP1784" s="410"/>
      <c r="AQ1784" s="163" t="s">
        <v>6311</v>
      </c>
      <c r="AR1784" s="163" t="s">
        <v>6311</v>
      </c>
      <c r="AS1784" s="164" t="s">
        <v>5466</v>
      </c>
      <c r="AT1784" s="63" t="s">
        <v>266</v>
      </c>
      <c r="AU1784" s="61">
        <v>1</v>
      </c>
      <c r="AV1784" s="61">
        <v>96</v>
      </c>
      <c r="AW1784" s="61">
        <v>95</v>
      </c>
      <c r="AX1784" s="61">
        <v>26</v>
      </c>
      <c r="AY1784" s="174">
        <v>0.59027777777777779</v>
      </c>
      <c r="AZ1784" s="178" t="s">
        <v>536</v>
      </c>
      <c r="BA1784" s="61">
        <v>20</v>
      </c>
      <c r="BB1784" s="67" t="s">
        <v>1764</v>
      </c>
      <c r="BC1784" s="67" t="s">
        <v>6264</v>
      </c>
      <c r="BD1784" s="67"/>
      <c r="BE1784" s="67" t="s">
        <v>6265</v>
      </c>
      <c r="BF1784" s="61" t="s">
        <v>272</v>
      </c>
      <c r="BG1784" s="61" t="s">
        <v>272</v>
      </c>
      <c r="BH1784" s="61" t="s">
        <v>5936</v>
      </c>
      <c r="BI1784" s="153">
        <v>0.1</v>
      </c>
      <c r="BJ1784" s="153">
        <v>100</v>
      </c>
      <c r="BK1784" s="165"/>
      <c r="BL1784" s="153">
        <v>2.3845910314689278</v>
      </c>
      <c r="BM1784" s="61" t="s">
        <v>6266</v>
      </c>
      <c r="BN1784" s="61"/>
      <c r="BO1784" s="61"/>
      <c r="BP1784" s="61"/>
      <c r="BQ1784" s="61">
        <v>70.622361194967041</v>
      </c>
      <c r="BR1784" s="61">
        <v>34.073145361895328</v>
      </c>
      <c r="BS1784" s="61"/>
      <c r="BT1784" s="61"/>
      <c r="BU1784" s="158"/>
      <c r="BV1784" s="61"/>
      <c r="BW1784" s="61"/>
      <c r="BX1784" s="61"/>
      <c r="BY1784" s="61"/>
      <c r="BZ1784" s="61"/>
      <c r="CA1784" s="61"/>
      <c r="CB1784" s="61"/>
      <c r="CC1784" s="61"/>
      <c r="CD1784" s="61"/>
      <c r="CE1784" s="61"/>
      <c r="CF1784" s="61"/>
      <c r="CG1784" s="61"/>
      <c r="CH1784" s="61"/>
      <c r="CI1784" s="111">
        <v>34.073145361895328</v>
      </c>
      <c r="CJ1784" s="103">
        <f>LOG10(CI1784)</f>
        <v>1.532412226032305</v>
      </c>
      <c r="CK1784" s="57">
        <f t="shared" ref="CK1784:CK1810" si="466">BL1784/BJ1784</f>
        <v>2.384591031468928E-2</v>
      </c>
      <c r="CL1784" s="160">
        <f>BL1784/CI1784</f>
        <v>6.9984470354640727E-2</v>
      </c>
      <c r="CM1784" s="160"/>
      <c r="CN1784" s="160"/>
      <c r="CO1784" s="67"/>
      <c r="CP1784" s="161" t="s">
        <v>6270</v>
      </c>
      <c r="CQ1784" s="149" t="s">
        <v>272</v>
      </c>
      <c r="CR1784" s="349"/>
      <c r="CS1784" s="61" t="s">
        <v>539</v>
      </c>
      <c r="CT1784" s="61"/>
      <c r="CU1784" s="111">
        <f>X1784/CI1784</f>
        <v>78.82621620809303</v>
      </c>
      <c r="CV1784" s="331">
        <f t="shared" ref="CV1784:CV1810" si="467">X1784/BJ1784</f>
        <v>26.858571231865437</v>
      </c>
      <c r="CW1784" s="326">
        <f>IF(CU1784&lt;2,0,1)</f>
        <v>1</v>
      </c>
      <c r="CX1784" s="326"/>
      <c r="CY1784" s="161" t="s">
        <v>5921</v>
      </c>
    </row>
    <row r="1785" spans="1:103" ht="11.25" customHeight="1" x14ac:dyDescent="0.2">
      <c r="A1785" s="72">
        <v>564</v>
      </c>
      <c r="B1785" s="191">
        <v>1997</v>
      </c>
      <c r="C1785" s="128" t="s">
        <v>6842</v>
      </c>
      <c r="D1785" s="128"/>
      <c r="E1785" s="129"/>
      <c r="F1785" s="134" t="s">
        <v>2050</v>
      </c>
      <c r="G1785" s="192">
        <v>335671</v>
      </c>
      <c r="H1785" s="138" t="s">
        <v>2051</v>
      </c>
      <c r="I1785" s="138" t="s">
        <v>2051</v>
      </c>
      <c r="J1785" s="138" t="s">
        <v>2052</v>
      </c>
      <c r="K1785" s="138" t="s">
        <v>426</v>
      </c>
      <c r="L1785" s="138" t="s">
        <v>5527</v>
      </c>
      <c r="M1785" s="138"/>
      <c r="N1785" s="138"/>
      <c r="O1785" s="138"/>
      <c r="P1785" s="138"/>
      <c r="Q1785" s="138"/>
      <c r="R1785" s="138"/>
      <c r="S1785" s="138"/>
      <c r="T1785" s="135">
        <v>414.07</v>
      </c>
      <c r="U1785" s="185"/>
      <c r="V1785" s="185">
        <v>0.48130000000000001</v>
      </c>
      <c r="W1785" s="185">
        <v>443.6839987197352</v>
      </c>
      <c r="X1785" s="185">
        <v>443.6839987197352</v>
      </c>
      <c r="Y1785" s="204">
        <v>2.98</v>
      </c>
      <c r="Z1785" s="135">
        <v>4.8099999999999996</v>
      </c>
      <c r="AA1785" s="135"/>
      <c r="AB1785" s="135">
        <v>4.2</v>
      </c>
      <c r="AC1785" s="135">
        <v>0.57179999999999997</v>
      </c>
      <c r="AD1785" s="135">
        <v>5.57</v>
      </c>
      <c r="AE1785" s="135">
        <v>7.75</v>
      </c>
      <c r="AF1785" s="135">
        <f t="shared" si="463"/>
        <v>5.57</v>
      </c>
      <c r="AG1785" s="136">
        <v>3.71</v>
      </c>
      <c r="AH1785" s="185">
        <v>9.0800000000000006E-2</v>
      </c>
      <c r="AI1785" s="185"/>
      <c r="AJ1785" s="136">
        <f t="shared" si="464"/>
        <v>0.56951952220843338</v>
      </c>
      <c r="AK1785" s="136"/>
      <c r="AL1785" s="136">
        <f t="shared" si="465"/>
        <v>0.56951952220843338</v>
      </c>
      <c r="AM1785" s="136">
        <v>-2.2879299999999998</v>
      </c>
      <c r="AN1785" s="186">
        <v>-6.0853999999999999</v>
      </c>
      <c r="AO1785" s="481">
        <v>0.5</v>
      </c>
      <c r="AP1785" s="481"/>
      <c r="AQ1785" s="186" t="s">
        <v>6311</v>
      </c>
      <c r="AR1785" s="186" t="s">
        <v>6311</v>
      </c>
      <c r="AS1785" s="183" t="s">
        <v>5466</v>
      </c>
      <c r="AT1785" s="137" t="s">
        <v>266</v>
      </c>
      <c r="AU1785" s="135">
        <v>1</v>
      </c>
      <c r="AV1785" s="135">
        <v>96</v>
      </c>
      <c r="AW1785" s="135">
        <v>95</v>
      </c>
      <c r="AX1785" s="135">
        <v>26</v>
      </c>
      <c r="AY1785" s="199">
        <v>0.59027777777777779</v>
      </c>
      <c r="AZ1785" s="200" t="s">
        <v>536</v>
      </c>
      <c r="BA1785" s="135">
        <v>20</v>
      </c>
      <c r="BB1785" s="138" t="s">
        <v>1764</v>
      </c>
      <c r="BC1785" s="138" t="s">
        <v>6264</v>
      </c>
      <c r="BD1785" s="138"/>
      <c r="BE1785" s="138" t="s">
        <v>6265</v>
      </c>
      <c r="BF1785" s="135" t="s">
        <v>272</v>
      </c>
      <c r="BG1785" s="135" t="s">
        <v>272</v>
      </c>
      <c r="BH1785" s="135" t="s">
        <v>5936</v>
      </c>
      <c r="BI1785" s="185">
        <v>0.1</v>
      </c>
      <c r="BJ1785" s="185">
        <v>500</v>
      </c>
      <c r="BK1785" s="201"/>
      <c r="BL1785" s="485">
        <v>1.0186213306013063</v>
      </c>
      <c r="BM1785" s="135" t="s">
        <v>6266</v>
      </c>
      <c r="BN1785" s="135"/>
      <c r="BO1785" s="135"/>
      <c r="BP1785" s="135"/>
      <c r="BQ1785" s="189"/>
      <c r="BR1785" s="189"/>
      <c r="BS1785" s="135"/>
      <c r="BT1785" s="135"/>
      <c r="BU1785" s="195"/>
      <c r="BV1785" s="135"/>
      <c r="BW1785" s="135"/>
      <c r="BX1785" s="135"/>
      <c r="BY1785" s="135"/>
      <c r="BZ1785" s="135"/>
      <c r="CA1785" s="135"/>
      <c r="CB1785" s="135"/>
      <c r="CC1785" s="135"/>
      <c r="CD1785" s="135"/>
      <c r="CE1785" s="135"/>
      <c r="CF1785" s="135"/>
      <c r="CG1785" s="135"/>
      <c r="CH1785" s="135"/>
      <c r="CI1785" s="185"/>
      <c r="CJ1785" s="187"/>
      <c r="CK1785" s="131">
        <f t="shared" si="466"/>
        <v>2.0372426612026125E-3</v>
      </c>
      <c r="CL1785" s="188"/>
      <c r="CM1785" s="188"/>
      <c r="CN1785" s="188"/>
      <c r="CO1785" s="138"/>
      <c r="CP1785" s="189" t="s">
        <v>6270</v>
      </c>
      <c r="CQ1785" s="191" t="s">
        <v>272</v>
      </c>
      <c r="CR1785" s="191"/>
      <c r="CS1785" s="135" t="s">
        <v>539</v>
      </c>
      <c r="CT1785" s="135"/>
      <c r="CU1785" s="135"/>
      <c r="CV1785" s="332">
        <f t="shared" si="467"/>
        <v>0.88736799743947037</v>
      </c>
      <c r="CW1785" s="329">
        <f>IF(CV1785&lt;1,0,1)</f>
        <v>0</v>
      </c>
      <c r="CX1785" s="329"/>
      <c r="CY1785" s="189" t="s">
        <v>5921</v>
      </c>
    </row>
    <row r="1786" spans="1:103" ht="11.25" customHeight="1" x14ac:dyDescent="0.25">
      <c r="A1786" s="72">
        <v>566</v>
      </c>
      <c r="B1786" s="183">
        <v>2042</v>
      </c>
      <c r="C1786" s="133" t="s">
        <v>6844</v>
      </c>
      <c r="D1786" s="133"/>
      <c r="E1786" s="134"/>
      <c r="F1786" s="134" t="s">
        <v>5859</v>
      </c>
      <c r="G1786" s="134">
        <v>375224</v>
      </c>
      <c r="H1786" s="202" t="s">
        <v>6269</v>
      </c>
      <c r="I1786" s="202" t="s">
        <v>6269</v>
      </c>
      <c r="J1786" s="138"/>
      <c r="K1786" s="138" t="s">
        <v>6268</v>
      </c>
      <c r="L1786" s="138" t="s">
        <v>5527</v>
      </c>
      <c r="M1786" s="138"/>
      <c r="N1786" s="138"/>
      <c r="O1786" s="138"/>
      <c r="P1786" s="138"/>
      <c r="Q1786" s="138"/>
      <c r="R1786" s="138"/>
      <c r="S1786" s="138"/>
      <c r="T1786" s="135">
        <v>214.04</v>
      </c>
      <c r="U1786" s="185"/>
      <c r="V1786" s="185">
        <v>1373</v>
      </c>
      <c r="W1786" s="185">
        <v>10244.59849607375</v>
      </c>
      <c r="X1786" s="185">
        <v>10244.59849607375</v>
      </c>
      <c r="Y1786" s="204">
        <v>1.37</v>
      </c>
      <c r="Z1786" s="135">
        <v>2.14</v>
      </c>
      <c r="AA1786" s="135"/>
      <c r="AB1786" s="135">
        <v>1.71</v>
      </c>
      <c r="AC1786" s="135">
        <v>0.56689999999999996</v>
      </c>
      <c r="AD1786" s="135">
        <v>2.62</v>
      </c>
      <c r="AE1786" s="135">
        <v>3.93</v>
      </c>
      <c r="AF1786" s="135">
        <f t="shared" si="463"/>
        <v>2.62</v>
      </c>
      <c r="AG1786" s="136">
        <v>2.62</v>
      </c>
      <c r="AH1786" s="185">
        <v>1.1900000000000001E-4</v>
      </c>
      <c r="AI1786" s="185"/>
      <c r="AJ1786" s="136">
        <f t="shared" si="464"/>
        <v>-2.3130193649201209</v>
      </c>
      <c r="AK1786" s="136"/>
      <c r="AL1786" s="136">
        <f t="shared" si="465"/>
        <v>-2.3130193649201209</v>
      </c>
      <c r="AM1786" s="136">
        <v>-4.2505699999999997</v>
      </c>
      <c r="AN1786" s="186"/>
      <c r="AO1786" s="481">
        <v>0.37</v>
      </c>
      <c r="AP1786" s="481"/>
      <c r="AQ1786" s="186" t="s">
        <v>6311</v>
      </c>
      <c r="AR1786" s="186" t="s">
        <v>6311</v>
      </c>
      <c r="AS1786" s="183" t="s">
        <v>5466</v>
      </c>
      <c r="AT1786" s="137" t="s">
        <v>266</v>
      </c>
      <c r="AU1786" s="135">
        <v>1</v>
      </c>
      <c r="AV1786" s="135">
        <v>96</v>
      </c>
      <c r="AW1786" s="135">
        <v>95</v>
      </c>
      <c r="AX1786" s="135">
        <v>26</v>
      </c>
      <c r="AY1786" s="199">
        <v>0.59027777777777779</v>
      </c>
      <c r="AZ1786" s="200" t="s">
        <v>536</v>
      </c>
      <c r="BA1786" s="135">
        <v>20</v>
      </c>
      <c r="BB1786" s="138" t="s">
        <v>1764</v>
      </c>
      <c r="BC1786" s="138" t="s">
        <v>6264</v>
      </c>
      <c r="BD1786" s="138"/>
      <c r="BE1786" s="138" t="s">
        <v>6265</v>
      </c>
      <c r="BF1786" s="135" t="s">
        <v>272</v>
      </c>
      <c r="BG1786" s="135" t="s">
        <v>272</v>
      </c>
      <c r="BH1786" s="135" t="s">
        <v>5936</v>
      </c>
      <c r="BI1786" s="185">
        <v>47.863009232263856</v>
      </c>
      <c r="BJ1786" s="185">
        <v>3000</v>
      </c>
      <c r="BK1786" s="201"/>
      <c r="BL1786" s="485">
        <v>131.63183703867455</v>
      </c>
      <c r="BM1786" s="135" t="s">
        <v>6266</v>
      </c>
      <c r="BN1786" s="135"/>
      <c r="BO1786" s="135"/>
      <c r="BP1786" s="135"/>
      <c r="BQ1786" s="135"/>
      <c r="BR1786" s="135"/>
      <c r="BS1786" s="135"/>
      <c r="BT1786" s="135"/>
      <c r="BU1786" s="135"/>
      <c r="BV1786" s="135"/>
      <c r="BW1786" s="135"/>
      <c r="BX1786" s="135"/>
      <c r="BY1786" s="135"/>
      <c r="BZ1786" s="135"/>
      <c r="CA1786" s="135"/>
      <c r="CB1786" s="135"/>
      <c r="CC1786" s="135"/>
      <c r="CD1786" s="135"/>
      <c r="CE1786" s="135"/>
      <c r="CF1786" s="135"/>
      <c r="CG1786" s="135"/>
      <c r="CH1786" s="135"/>
      <c r="CI1786" s="185"/>
      <c r="CJ1786" s="187"/>
      <c r="CK1786" s="136">
        <f t="shared" si="466"/>
        <v>4.3877279012891512E-2</v>
      </c>
      <c r="CL1786" s="188"/>
      <c r="CM1786" s="188"/>
      <c r="CN1786" s="188"/>
      <c r="CO1786" s="138"/>
      <c r="CP1786" s="189" t="s">
        <v>6270</v>
      </c>
      <c r="CQ1786" s="191" t="s">
        <v>272</v>
      </c>
      <c r="CR1786" s="191"/>
      <c r="CS1786" s="135" t="s">
        <v>539</v>
      </c>
      <c r="CT1786" s="135"/>
      <c r="CU1786" s="135"/>
      <c r="CV1786" s="332">
        <f t="shared" si="467"/>
        <v>3.4148661653579166</v>
      </c>
      <c r="CW1786" s="329">
        <f>IF(CV1786&lt;1,0,1)</f>
        <v>1</v>
      </c>
      <c r="CX1786" s="329"/>
      <c r="CY1786" s="189" t="s">
        <v>5921</v>
      </c>
    </row>
    <row r="1787" spans="1:103" ht="11.25" customHeight="1" x14ac:dyDescent="0.25">
      <c r="A1787" s="72">
        <v>1895</v>
      </c>
      <c r="B1787" s="252">
        <v>2162</v>
      </c>
      <c r="C1787" s="274" t="s">
        <v>6267</v>
      </c>
      <c r="D1787" s="274"/>
      <c r="E1787" s="249"/>
      <c r="F1787" s="249" t="s">
        <v>5235</v>
      </c>
      <c r="G1787" s="249">
        <v>29420493</v>
      </c>
      <c r="H1787" s="275" t="s">
        <v>5236</v>
      </c>
      <c r="I1787" s="275" t="s">
        <v>5236</v>
      </c>
      <c r="J1787" s="41"/>
      <c r="K1787" s="41" t="s">
        <v>6268</v>
      </c>
      <c r="L1787" s="41" t="s">
        <v>5527</v>
      </c>
      <c r="M1787" s="41"/>
      <c r="N1787" s="36"/>
      <c r="O1787" s="41"/>
      <c r="P1787" s="41"/>
      <c r="Q1787" s="41"/>
      <c r="R1787" s="41"/>
      <c r="S1787" s="41"/>
      <c r="T1787" s="33">
        <v>300.10000000000002</v>
      </c>
      <c r="U1787" s="250"/>
      <c r="V1787" s="243">
        <v>344</v>
      </c>
      <c r="W1787" s="243">
        <v>993724.49556925613</v>
      </c>
      <c r="X1787" s="243">
        <v>993724.49556925613</v>
      </c>
      <c r="Y1787" s="415">
        <v>-0.52</v>
      </c>
      <c r="Z1787" s="33">
        <v>1.82</v>
      </c>
      <c r="AA1787" s="33"/>
      <c r="AB1787" s="33">
        <v>0.19</v>
      </c>
      <c r="AC1787" s="33">
        <v>0.44590000000000002</v>
      </c>
      <c r="AD1787" s="33">
        <v>1.94</v>
      </c>
      <c r="AE1787" s="33">
        <v>3.68</v>
      </c>
      <c r="AF1787" s="33">
        <f t="shared" si="463"/>
        <v>1.94</v>
      </c>
      <c r="AG1787" s="34">
        <v>5.34</v>
      </c>
      <c r="AH1787" s="250">
        <v>1.4399999999999999E-5</v>
      </c>
      <c r="AI1787" s="250"/>
      <c r="AJ1787" s="34">
        <f t="shared" si="464"/>
        <v>-3.2302038342174022</v>
      </c>
      <c r="AK1787" s="34"/>
      <c r="AL1787" s="34">
        <f t="shared" si="465"/>
        <v>-3.2302038342174022</v>
      </c>
      <c r="AM1787" s="34">
        <v>-5.9927100000000006</v>
      </c>
      <c r="AN1787" s="251">
        <v>-12.8</v>
      </c>
      <c r="AO1787" s="417">
        <v>-3.57</v>
      </c>
      <c r="AP1787" s="417"/>
      <c r="AQ1787" s="251" t="s">
        <v>6311</v>
      </c>
      <c r="AR1787" s="251" t="s">
        <v>6311</v>
      </c>
      <c r="AS1787" s="252" t="s">
        <v>5466</v>
      </c>
      <c r="AT1787" s="35" t="s">
        <v>266</v>
      </c>
      <c r="AU1787" s="33">
        <v>1</v>
      </c>
      <c r="AV1787" s="33">
        <v>96</v>
      </c>
      <c r="AW1787" s="33">
        <v>95</v>
      </c>
      <c r="AX1787" s="33">
        <v>26</v>
      </c>
      <c r="AY1787" s="253">
        <v>0.59027777777777779</v>
      </c>
      <c r="AZ1787" s="268" t="s">
        <v>536</v>
      </c>
      <c r="BA1787" s="33">
        <v>20</v>
      </c>
      <c r="BB1787" s="41" t="s">
        <v>1764</v>
      </c>
      <c r="BC1787" s="41" t="s">
        <v>6264</v>
      </c>
      <c r="BD1787" s="41"/>
      <c r="BE1787" s="41" t="s">
        <v>6265</v>
      </c>
      <c r="BF1787" s="33" t="s">
        <v>272</v>
      </c>
      <c r="BG1787" s="33" t="s">
        <v>272</v>
      </c>
      <c r="BH1787" s="33" t="s">
        <v>5936</v>
      </c>
      <c r="BI1787" s="250">
        <v>47.863009232263856</v>
      </c>
      <c r="BJ1787" s="250">
        <v>3000</v>
      </c>
      <c r="BK1787" s="254"/>
      <c r="BL1787" s="263">
        <v>357.70416372480673</v>
      </c>
      <c r="BM1787" s="33" t="s">
        <v>6266</v>
      </c>
      <c r="BN1787" s="33"/>
      <c r="BO1787" s="33"/>
      <c r="BP1787" s="33"/>
      <c r="BQ1787" s="33"/>
      <c r="BR1787" s="33"/>
      <c r="BS1787" s="33"/>
      <c r="BT1787" s="33"/>
      <c r="BU1787" s="33"/>
      <c r="BV1787" s="33"/>
      <c r="BW1787" s="33"/>
      <c r="BX1787" s="33"/>
      <c r="BY1787" s="33"/>
      <c r="BZ1787" s="33"/>
      <c r="CA1787" s="33"/>
      <c r="CB1787" s="33"/>
      <c r="CC1787" s="33"/>
      <c r="CD1787" s="33"/>
      <c r="CE1787" s="33"/>
      <c r="CF1787" s="33"/>
      <c r="CG1787" s="33"/>
      <c r="CH1787" s="33"/>
      <c r="CI1787" s="250"/>
      <c r="CJ1787" s="243"/>
      <c r="CK1787" s="34">
        <f t="shared" si="466"/>
        <v>0.11923472124160224</v>
      </c>
      <c r="CL1787" s="247"/>
      <c r="CM1787" s="247"/>
      <c r="CN1787" s="247"/>
      <c r="CO1787" s="41"/>
      <c r="CP1787" s="143" t="s">
        <v>6270</v>
      </c>
      <c r="CQ1787" s="241" t="s">
        <v>272</v>
      </c>
      <c r="CR1787" s="241"/>
      <c r="CS1787" s="33"/>
      <c r="CT1787" s="33"/>
      <c r="CU1787" s="250"/>
      <c r="CV1787" s="337">
        <f t="shared" si="467"/>
        <v>331.2414985230854</v>
      </c>
      <c r="CW1787" s="330">
        <f>IF(CV1787&lt;1,0,1)</f>
        <v>1</v>
      </c>
      <c r="CX1787" s="330"/>
      <c r="CY1787" s="143" t="s">
        <v>5921</v>
      </c>
    </row>
    <row r="1788" spans="1:103" ht="11.25" customHeight="1" x14ac:dyDescent="0.2">
      <c r="A1788" s="72">
        <v>1810</v>
      </c>
      <c r="B1788" s="241">
        <v>2032</v>
      </c>
      <c r="C1788" s="32" t="s">
        <v>2249</v>
      </c>
      <c r="D1788" s="32"/>
      <c r="E1788" s="40"/>
      <c r="F1788" s="40" t="s">
        <v>2250</v>
      </c>
      <c r="G1788" s="242">
        <v>556616</v>
      </c>
      <c r="H1788" s="41" t="s">
        <v>2251</v>
      </c>
      <c r="I1788" s="41" t="s">
        <v>2251</v>
      </c>
      <c r="J1788" s="41" t="s">
        <v>2252</v>
      </c>
      <c r="K1788" s="41" t="s">
        <v>1468</v>
      </c>
      <c r="L1788" s="36" t="s">
        <v>6022</v>
      </c>
      <c r="M1788" s="36" t="s">
        <v>6023</v>
      </c>
      <c r="N1788" s="36" t="s">
        <v>6382</v>
      </c>
      <c r="O1788" s="42" t="s">
        <v>5943</v>
      </c>
      <c r="P1788" s="41"/>
      <c r="Q1788" s="41"/>
      <c r="R1788" s="41"/>
      <c r="S1788" s="41"/>
      <c r="T1788" s="33">
        <v>73.118700000000004</v>
      </c>
      <c r="U1788" s="250">
        <v>7599.8648796498901</v>
      </c>
      <c r="V1788" s="250">
        <v>21129.624329868708</v>
      </c>
      <c r="W1788" s="250">
        <v>3926.706680925759</v>
      </c>
      <c r="X1788" s="250">
        <v>7599.8648796498901</v>
      </c>
      <c r="Y1788" s="415">
        <v>7</v>
      </c>
      <c r="Z1788" s="33">
        <v>1.3</v>
      </c>
      <c r="AA1788" s="33">
        <v>0.94</v>
      </c>
      <c r="AB1788" s="33">
        <v>1.6</v>
      </c>
      <c r="AC1788" s="33">
        <v>0.87309999999999999</v>
      </c>
      <c r="AD1788" s="33">
        <v>1.44</v>
      </c>
      <c r="AE1788" s="33">
        <v>0.94</v>
      </c>
      <c r="AF1788" s="33">
        <f t="shared" si="463"/>
        <v>0.94</v>
      </c>
      <c r="AG1788" s="34">
        <v>1.53</v>
      </c>
      <c r="AH1788" s="250">
        <v>3.1099999999999999E-3</v>
      </c>
      <c r="AI1788" s="250">
        <v>4.4799999999999998E-5</v>
      </c>
      <c r="AJ1788" s="34">
        <f t="shared" si="464"/>
        <v>-0.89580593728581437</v>
      </c>
      <c r="AK1788" s="34">
        <f>LOG10(AI1788*1000/(0.08206*298.15))</f>
        <v>-2.737288312314508</v>
      </c>
      <c r="AL1788" s="34">
        <f t="shared" si="465"/>
        <v>-2.737288312314508</v>
      </c>
      <c r="AM1788" s="34">
        <v>-1.2832599999999998</v>
      </c>
      <c r="AN1788" s="251">
        <v>-2.3068</v>
      </c>
      <c r="AO1788" s="417"/>
      <c r="AP1788" s="417"/>
      <c r="AQ1788" s="251" t="s">
        <v>6311</v>
      </c>
      <c r="AR1788" s="251" t="s">
        <v>6311</v>
      </c>
      <c r="AS1788" s="252" t="s">
        <v>5466</v>
      </c>
      <c r="AT1788" s="35" t="s">
        <v>266</v>
      </c>
      <c r="AU1788" s="33">
        <v>4</v>
      </c>
      <c r="AV1788" s="33">
        <v>24</v>
      </c>
      <c r="AW1788" s="33">
        <v>20</v>
      </c>
      <c r="AX1788" s="33">
        <v>28</v>
      </c>
      <c r="AY1788" s="253">
        <v>0.59027777777777779</v>
      </c>
      <c r="AZ1788" s="33" t="s">
        <v>6282</v>
      </c>
      <c r="BA1788" s="33">
        <v>20</v>
      </c>
      <c r="BB1788" s="41" t="s">
        <v>6283</v>
      </c>
      <c r="BC1788" s="41" t="s">
        <v>6284</v>
      </c>
      <c r="BD1788" s="41"/>
      <c r="BE1788" s="41" t="s">
        <v>6285</v>
      </c>
      <c r="BF1788" s="33" t="s">
        <v>272</v>
      </c>
      <c r="BG1788" s="33" t="s">
        <v>272</v>
      </c>
      <c r="BH1788" s="33" t="s">
        <v>5936</v>
      </c>
      <c r="BI1788" s="250">
        <v>3.3634602E-3</v>
      </c>
      <c r="BJ1788" s="250">
        <v>0.23397984000000002</v>
      </c>
      <c r="BK1788" s="254"/>
      <c r="BL1788" s="263">
        <v>255.44562052316383</v>
      </c>
      <c r="BM1788" s="33" t="s">
        <v>6250</v>
      </c>
      <c r="BN1788" s="33">
        <v>0.13673196900000001</v>
      </c>
      <c r="BO1788" s="33"/>
      <c r="BP1788" s="33"/>
      <c r="BQ1788" s="33"/>
      <c r="BR1788" s="33"/>
      <c r="BS1788" s="33"/>
      <c r="BT1788" s="33"/>
      <c r="BU1788" s="246"/>
      <c r="BV1788" s="33"/>
      <c r="BW1788" s="33"/>
      <c r="BX1788" s="33"/>
      <c r="BY1788" s="33"/>
      <c r="BZ1788" s="33"/>
      <c r="CA1788" s="33"/>
      <c r="CB1788" s="33"/>
      <c r="CC1788" s="33"/>
      <c r="CD1788" s="33"/>
      <c r="CE1788" s="33"/>
      <c r="CF1788" s="33"/>
      <c r="CG1788" s="33"/>
      <c r="CH1788" s="33"/>
      <c r="CI1788" s="250">
        <v>0.13673196900000001</v>
      </c>
      <c r="CJ1788" s="243">
        <f t="shared" ref="CJ1788:CJ1816" si="468">LOG10(CI1788)</f>
        <v>-0.86412993212510825</v>
      </c>
      <c r="CK1788" s="38">
        <f t="shared" si="466"/>
        <v>1091.742008726751</v>
      </c>
      <c r="CL1788" s="247">
        <f t="shared" ref="CL1788:CL1816" si="469">BL1788/CI1788</f>
        <v>1868.2216192115525</v>
      </c>
      <c r="CM1788" s="247">
        <v>-1.1588088140996178</v>
      </c>
      <c r="CN1788" s="247">
        <f>BJ1788/(10^CM1788)</f>
        <v>3.3727740965536062</v>
      </c>
      <c r="CO1788" s="41"/>
      <c r="CP1788" s="143" t="s">
        <v>6286</v>
      </c>
      <c r="CQ1788" s="241">
        <v>-1.0551046136804711</v>
      </c>
      <c r="CR1788" s="241">
        <f>10^(CJ1788-CQ1788)</f>
        <v>1.5522965117349723</v>
      </c>
      <c r="CS1788" s="33"/>
      <c r="CT1788" s="33"/>
      <c r="CU1788" s="250">
        <f t="shared" ref="CU1788:CU1816" si="470">X1788/CI1788</f>
        <v>55582.209012508916</v>
      </c>
      <c r="CV1788" s="337">
        <f t="shared" si="467"/>
        <v>32480.853391684897</v>
      </c>
      <c r="CW1788" s="330">
        <f t="shared" ref="CW1788:CW1816" si="471">IF(CU1788&lt;2,0,1)</f>
        <v>1</v>
      </c>
      <c r="CX1788" s="330"/>
      <c r="CY1788" s="143" t="s">
        <v>6351</v>
      </c>
    </row>
    <row r="1789" spans="1:103" ht="11.25" customHeight="1" x14ac:dyDescent="0.2">
      <c r="A1789" s="72">
        <v>1866</v>
      </c>
      <c r="B1789" s="241">
        <v>2005</v>
      </c>
      <c r="C1789" s="32" t="s">
        <v>5569</v>
      </c>
      <c r="D1789" s="32"/>
      <c r="E1789" s="40"/>
      <c r="F1789" s="40" t="s">
        <v>1294</v>
      </c>
      <c r="G1789" s="242">
        <v>6734801</v>
      </c>
      <c r="H1789" s="41" t="s">
        <v>5001</v>
      </c>
      <c r="I1789" s="41" t="s">
        <v>8095</v>
      </c>
      <c r="J1789" s="41" t="s">
        <v>5570</v>
      </c>
      <c r="K1789" s="41" t="s">
        <v>1297</v>
      </c>
      <c r="L1789" s="41"/>
      <c r="M1789" s="41"/>
      <c r="N1789" s="36"/>
      <c r="O1789" s="41"/>
      <c r="P1789" s="41"/>
      <c r="Q1789" s="41"/>
      <c r="R1789" s="41"/>
      <c r="S1789" s="41"/>
      <c r="T1789" s="33">
        <v>129.16999999999999</v>
      </c>
      <c r="U1789" s="250">
        <v>721944.10899520037</v>
      </c>
      <c r="V1789" s="250">
        <v>999922.58863601158</v>
      </c>
      <c r="W1789" s="250">
        <v>22970.035139472759</v>
      </c>
      <c r="X1789" s="250">
        <v>721944.10899520037</v>
      </c>
      <c r="Y1789" s="415">
        <v>1.98</v>
      </c>
      <c r="Z1789" s="33">
        <v>-2.62</v>
      </c>
      <c r="AA1789" s="33"/>
      <c r="AB1789" s="33">
        <v>0.78</v>
      </c>
      <c r="AC1789" s="33">
        <v>0.66080000000000005</v>
      </c>
      <c r="AD1789" s="33">
        <v>0.78</v>
      </c>
      <c r="AE1789" s="33">
        <v>0.78</v>
      </c>
      <c r="AF1789" s="33">
        <f t="shared" si="463"/>
        <v>0.78</v>
      </c>
      <c r="AG1789" s="34">
        <v>0.78</v>
      </c>
      <c r="AH1789" s="250">
        <v>1.36E-11</v>
      </c>
      <c r="AI1789" s="250"/>
      <c r="AJ1789" s="34">
        <f t="shared" si="464"/>
        <v>-9.2550274179424346</v>
      </c>
      <c r="AK1789" s="34"/>
      <c r="AL1789" s="34">
        <f t="shared" si="465"/>
        <v>-9.2550274179424346</v>
      </c>
      <c r="AM1789" s="34">
        <v>-6.0241499999999997</v>
      </c>
      <c r="AN1789" s="251"/>
      <c r="AO1789" s="417">
        <v>4.63</v>
      </c>
      <c r="AP1789" s="417">
        <v>0.87</v>
      </c>
      <c r="AQ1789" s="251" t="s">
        <v>6311</v>
      </c>
      <c r="AR1789" s="251" t="s">
        <v>6311</v>
      </c>
      <c r="AS1789" s="252" t="s">
        <v>5466</v>
      </c>
      <c r="AT1789" s="35" t="s">
        <v>266</v>
      </c>
      <c r="AU1789" s="33">
        <v>4</v>
      </c>
      <c r="AV1789" s="33">
        <v>24</v>
      </c>
      <c r="AW1789" s="33">
        <v>20</v>
      </c>
      <c r="AX1789" s="33">
        <v>28</v>
      </c>
      <c r="AY1789" s="253">
        <v>0.59027777777777779</v>
      </c>
      <c r="AZ1789" s="33" t="s">
        <v>6282</v>
      </c>
      <c r="BA1789" s="33">
        <v>20</v>
      </c>
      <c r="BB1789" s="41" t="s">
        <v>6283</v>
      </c>
      <c r="BC1789" s="41" t="s">
        <v>6284</v>
      </c>
      <c r="BD1789" s="41"/>
      <c r="BE1789" s="41" t="s">
        <v>6285</v>
      </c>
      <c r="BF1789" s="33" t="s">
        <v>272</v>
      </c>
      <c r="BG1789" s="33" t="s">
        <v>272</v>
      </c>
      <c r="BH1789" s="33" t="s">
        <v>5936</v>
      </c>
      <c r="BI1789" s="250">
        <v>5.9418199999999996E-3</v>
      </c>
      <c r="BJ1789" s="250">
        <v>0.51667999999999992</v>
      </c>
      <c r="BK1789" s="254"/>
      <c r="BL1789" s="263">
        <v>1496179.3609681532</v>
      </c>
      <c r="BM1789" s="33" t="s">
        <v>6250</v>
      </c>
      <c r="BN1789" s="33">
        <v>0.25188149999999998</v>
      </c>
      <c r="BO1789" s="33"/>
      <c r="BP1789" s="33"/>
      <c r="BQ1789" s="33"/>
      <c r="BR1789" s="33"/>
      <c r="BS1789" s="33"/>
      <c r="BT1789" s="33"/>
      <c r="BU1789" s="246"/>
      <c r="BV1789" s="33"/>
      <c r="BW1789" s="33"/>
      <c r="BX1789" s="33"/>
      <c r="BY1789" s="33"/>
      <c r="BZ1789" s="33"/>
      <c r="CA1789" s="33"/>
      <c r="CB1789" s="33"/>
      <c r="CC1789" s="33"/>
      <c r="CD1789" s="33"/>
      <c r="CE1789" s="33"/>
      <c r="CF1789" s="33"/>
      <c r="CG1789" s="33"/>
      <c r="CH1789" s="33"/>
      <c r="CI1789" s="250">
        <v>0.25188149999999998</v>
      </c>
      <c r="CJ1789" s="243">
        <f t="shared" si="468"/>
        <v>-0.5988037290598941</v>
      </c>
      <c r="CK1789" s="38">
        <f t="shared" si="466"/>
        <v>2895756.2920340509</v>
      </c>
      <c r="CL1789" s="247">
        <f t="shared" si="469"/>
        <v>5940012.9067365145</v>
      </c>
      <c r="CM1789" s="247"/>
      <c r="CN1789" s="247"/>
      <c r="CO1789" s="41"/>
      <c r="CP1789" s="143" t="s">
        <v>6286</v>
      </c>
      <c r="CQ1789" s="241" t="s">
        <v>272</v>
      </c>
      <c r="CR1789" s="241"/>
      <c r="CS1789" s="33"/>
      <c r="CT1789" s="33"/>
      <c r="CU1789" s="250">
        <f t="shared" si="470"/>
        <v>2866205.3743335675</v>
      </c>
      <c r="CV1789" s="337">
        <f t="shared" si="467"/>
        <v>1397275.1199876142</v>
      </c>
      <c r="CW1789" s="330">
        <f t="shared" si="471"/>
        <v>1</v>
      </c>
      <c r="CX1789" s="330"/>
      <c r="CY1789" s="143" t="s">
        <v>5921</v>
      </c>
    </row>
    <row r="1790" spans="1:103" ht="11.25" customHeight="1" x14ac:dyDescent="0.2">
      <c r="A1790" s="72">
        <v>41</v>
      </c>
      <c r="B1790" s="149">
        <v>545</v>
      </c>
      <c r="C1790" s="54" t="s">
        <v>1713</v>
      </c>
      <c r="D1790" s="54" t="s">
        <v>8359</v>
      </c>
      <c r="E1790" s="59"/>
      <c r="F1790" s="59" t="s">
        <v>1714</v>
      </c>
      <c r="G1790" s="151">
        <v>75127</v>
      </c>
      <c r="H1790" s="55" t="s">
        <v>1715</v>
      </c>
      <c r="I1790" s="55" t="s">
        <v>1715</v>
      </c>
      <c r="J1790" s="55" t="s">
        <v>1716</v>
      </c>
      <c r="K1790" s="55" t="s">
        <v>471</v>
      </c>
      <c r="L1790" s="55"/>
      <c r="M1790" s="55"/>
      <c r="N1790" s="60"/>
      <c r="O1790" s="55"/>
      <c r="P1790" s="67"/>
      <c r="Q1790" s="67"/>
      <c r="R1790" s="67"/>
      <c r="S1790" s="67"/>
      <c r="T1790" s="56">
        <v>45.04</v>
      </c>
      <c r="U1790" s="103">
        <v>1000000</v>
      </c>
      <c r="V1790" s="103">
        <v>1000000</v>
      </c>
      <c r="W1790" s="103">
        <v>898666.14666198369</v>
      </c>
      <c r="X1790" s="103">
        <v>1000000</v>
      </c>
      <c r="Y1790" s="162">
        <v>7.42</v>
      </c>
      <c r="Z1790" s="56">
        <v>-1.61</v>
      </c>
      <c r="AA1790" s="56">
        <v>-1.51</v>
      </c>
      <c r="AB1790" s="56">
        <v>-1.27</v>
      </c>
      <c r="AC1790" s="56">
        <v>0.85529999999999995</v>
      </c>
      <c r="AD1790" s="56">
        <v>-1.34</v>
      </c>
      <c r="AE1790" s="56">
        <v>-1.51</v>
      </c>
      <c r="AF1790" s="56">
        <f t="shared" si="463"/>
        <v>-1.51</v>
      </c>
      <c r="AG1790" s="57">
        <v>-0.89</v>
      </c>
      <c r="AH1790" s="103">
        <v>1.5300000000000001E-8</v>
      </c>
      <c r="AI1790" s="103">
        <v>1.39E-9</v>
      </c>
      <c r="AJ1790" s="62">
        <f t="shared" si="464"/>
        <v>-6.2038748954950531</v>
      </c>
      <c r="AK1790" s="62">
        <f>LOG10(AI1790*1000/(0.08206*298.15))</f>
        <v>-7.2455515260585566</v>
      </c>
      <c r="AL1790" s="62">
        <f t="shared" si="465"/>
        <v>-7.2455515260585566</v>
      </c>
      <c r="AM1790" s="62">
        <v>-7.3395299999999999</v>
      </c>
      <c r="AN1790" s="154">
        <v>-7.27</v>
      </c>
      <c r="AO1790" s="410">
        <v>16.5</v>
      </c>
      <c r="AP1790" s="410">
        <v>-0.5</v>
      </c>
      <c r="AQ1790" s="154" t="s">
        <v>6311</v>
      </c>
      <c r="AR1790" s="154" t="s">
        <v>6311</v>
      </c>
      <c r="AS1790" s="149" t="s">
        <v>6</v>
      </c>
      <c r="AT1790" s="58" t="s">
        <v>266</v>
      </c>
      <c r="AU1790" s="56">
        <v>2</v>
      </c>
      <c r="AV1790" s="56">
        <v>96</v>
      </c>
      <c r="AW1790" s="56">
        <v>96</v>
      </c>
      <c r="AX1790" s="56">
        <v>25</v>
      </c>
      <c r="AY1790" s="56" t="s">
        <v>8722</v>
      </c>
      <c r="AZ1790" s="56" t="s">
        <v>1682</v>
      </c>
      <c r="BA1790" s="56">
        <v>12</v>
      </c>
      <c r="BB1790" s="55" t="s">
        <v>888</v>
      </c>
      <c r="BC1790" s="55" t="s">
        <v>538</v>
      </c>
      <c r="BD1790" s="55"/>
      <c r="BE1790" s="56" t="s">
        <v>271</v>
      </c>
      <c r="BF1790" s="56" t="s">
        <v>272</v>
      </c>
      <c r="BG1790" s="56" t="s">
        <v>1683</v>
      </c>
      <c r="BH1790" s="56" t="s">
        <v>272</v>
      </c>
      <c r="BI1790" s="153">
        <v>1035.92</v>
      </c>
      <c r="BJ1790" s="153">
        <v>19817.599999999999</v>
      </c>
      <c r="BK1790" s="56"/>
      <c r="BL1790" s="153">
        <v>64615.897632339525</v>
      </c>
      <c r="BM1790" s="56">
        <v>0</v>
      </c>
      <c r="BN1790" s="56"/>
      <c r="BO1790" s="56"/>
      <c r="BP1790" s="56"/>
      <c r="BQ1790" s="56">
        <v>9143.119999999999</v>
      </c>
      <c r="BR1790" s="56"/>
      <c r="BS1790" s="56"/>
      <c r="BT1790" s="56"/>
      <c r="BU1790" s="158"/>
      <c r="BV1790" s="56"/>
      <c r="BW1790" s="56"/>
      <c r="BX1790" s="56"/>
      <c r="BY1790" s="56"/>
      <c r="BZ1790" s="56"/>
      <c r="CA1790" s="56"/>
      <c r="CB1790" s="56"/>
      <c r="CC1790" s="56"/>
      <c r="CD1790" s="56"/>
      <c r="CE1790" s="56"/>
      <c r="CF1790" s="56"/>
      <c r="CG1790" s="56"/>
      <c r="CH1790" s="56"/>
      <c r="CI1790" s="103">
        <v>9143.119999999999</v>
      </c>
      <c r="CJ1790" s="103">
        <f t="shared" si="468"/>
        <v>3.9610944197565026</v>
      </c>
      <c r="CK1790" s="57">
        <f t="shared" si="466"/>
        <v>3.2605309236405784</v>
      </c>
      <c r="CL1790" s="160">
        <f t="shared" si="469"/>
        <v>7.0671606226692347</v>
      </c>
      <c r="CM1790" s="160"/>
      <c r="CN1790" s="160"/>
      <c r="CO1790" s="55"/>
      <c r="CP1790" s="497" t="s">
        <v>1684</v>
      </c>
      <c r="CQ1790" s="149" t="s">
        <v>272</v>
      </c>
      <c r="CR1790" s="349"/>
      <c r="CS1790" s="61" t="s">
        <v>539</v>
      </c>
      <c r="CT1790" s="61"/>
      <c r="CU1790" s="111">
        <f t="shared" si="470"/>
        <v>109.37185555915269</v>
      </c>
      <c r="CV1790" s="331">
        <f t="shared" si="467"/>
        <v>50.460196996609078</v>
      </c>
      <c r="CW1790" s="326">
        <f t="shared" si="471"/>
        <v>1</v>
      </c>
      <c r="CX1790" s="326"/>
      <c r="CY1790" s="161" t="s">
        <v>6351</v>
      </c>
    </row>
    <row r="1791" spans="1:103" ht="11.25" customHeight="1" x14ac:dyDescent="0.2">
      <c r="A1791" s="72">
        <v>112</v>
      </c>
      <c r="B1791" s="149">
        <v>564</v>
      </c>
      <c r="C1791" s="54" t="s">
        <v>755</v>
      </c>
      <c r="D1791" s="54" t="s">
        <v>8366</v>
      </c>
      <c r="E1791" s="59"/>
      <c r="F1791" s="59" t="s">
        <v>756</v>
      </c>
      <c r="G1791" s="151">
        <v>123397</v>
      </c>
      <c r="H1791" s="55" t="s">
        <v>757</v>
      </c>
      <c r="I1791" s="55" t="s">
        <v>757</v>
      </c>
      <c r="J1791" s="55" t="s">
        <v>758</v>
      </c>
      <c r="K1791" s="55" t="s">
        <v>471</v>
      </c>
      <c r="L1791" s="55"/>
      <c r="M1791" s="55"/>
      <c r="N1791" s="60"/>
      <c r="O1791" s="55"/>
      <c r="P1791" s="67"/>
      <c r="Q1791" s="67"/>
      <c r="R1791" s="67"/>
      <c r="S1791" s="67"/>
      <c r="T1791" s="56">
        <v>59.07</v>
      </c>
      <c r="U1791" s="103">
        <v>1000000</v>
      </c>
      <c r="V1791" s="103">
        <v>924100</v>
      </c>
      <c r="W1791" s="103">
        <v>81539.298510092412</v>
      </c>
      <c r="X1791" s="103">
        <v>1000000</v>
      </c>
      <c r="Y1791" s="162">
        <v>7.08</v>
      </c>
      <c r="Z1791" s="56">
        <v>-1.1399999999999999</v>
      </c>
      <c r="AA1791" s="56">
        <v>-0.97</v>
      </c>
      <c r="AB1791" s="56">
        <v>-0.89</v>
      </c>
      <c r="AC1791" s="56">
        <v>0.85619999999999996</v>
      </c>
      <c r="AD1791" s="56">
        <v>-0.81</v>
      </c>
      <c r="AE1791" s="56">
        <v>-0.6</v>
      </c>
      <c r="AF1791" s="56">
        <f t="shared" si="463"/>
        <v>-0.97</v>
      </c>
      <c r="AG1791" s="57">
        <v>-0.26</v>
      </c>
      <c r="AH1791" s="103">
        <v>3.3600000000000003E-8</v>
      </c>
      <c r="AI1791" s="103">
        <v>1.9700000000000001E-8</v>
      </c>
      <c r="AJ1791" s="62">
        <f t="shared" si="464"/>
        <v>-5.8622270489228079</v>
      </c>
      <c r="AK1791" s="62">
        <f>LOG10(AI1791*1000/(0.08206*298.15))</f>
        <v>-6.0941001001510591</v>
      </c>
      <c r="AL1791" s="62">
        <f t="shared" si="465"/>
        <v>-6.0941001001510591</v>
      </c>
      <c r="AM1791" s="62">
        <v>-6.36416</v>
      </c>
      <c r="AN1791" s="154">
        <v>-6.79</v>
      </c>
      <c r="AO1791" s="410">
        <v>16.48</v>
      </c>
      <c r="AP1791" s="410">
        <v>-0.47</v>
      </c>
      <c r="AQ1791" s="154" t="s">
        <v>6311</v>
      </c>
      <c r="AR1791" s="154" t="s">
        <v>6311</v>
      </c>
      <c r="AS1791" s="149" t="s">
        <v>87</v>
      </c>
      <c r="AT1791" s="58" t="s">
        <v>266</v>
      </c>
      <c r="AU1791" s="56">
        <v>2</v>
      </c>
      <c r="AV1791" s="56">
        <v>96</v>
      </c>
      <c r="AW1791" s="56">
        <v>96</v>
      </c>
      <c r="AX1791" s="56">
        <v>25</v>
      </c>
      <c r="AY1791" s="56" t="s">
        <v>8722</v>
      </c>
      <c r="AZ1791" s="56" t="s">
        <v>1682</v>
      </c>
      <c r="BA1791" s="56">
        <v>12</v>
      </c>
      <c r="BB1791" s="55" t="s">
        <v>888</v>
      </c>
      <c r="BC1791" s="55" t="s">
        <v>538</v>
      </c>
      <c r="BD1791" s="55"/>
      <c r="BE1791" s="56" t="s">
        <v>649</v>
      </c>
      <c r="BF1791" s="56" t="s">
        <v>272</v>
      </c>
      <c r="BG1791" s="56" t="s">
        <v>1683</v>
      </c>
      <c r="BH1791" s="56" t="s">
        <v>272</v>
      </c>
      <c r="BI1791" s="153">
        <v>13586.1</v>
      </c>
      <c r="BJ1791" s="153">
        <v>25990.799999999999</v>
      </c>
      <c r="BK1791" s="56"/>
      <c r="BL1791" s="153">
        <v>32062.764920729347</v>
      </c>
      <c r="BM1791" s="56">
        <v>0</v>
      </c>
      <c r="BN1791" s="56"/>
      <c r="BO1791" s="56"/>
      <c r="BP1791" s="56"/>
      <c r="BQ1791" s="56">
        <v>10986.611000000001</v>
      </c>
      <c r="BR1791" s="56"/>
      <c r="BS1791" s="56"/>
      <c r="BT1791" s="56"/>
      <c r="BU1791" s="158"/>
      <c r="BV1791" s="56"/>
      <c r="BW1791" s="56"/>
      <c r="BX1791" s="56"/>
      <c r="BY1791" s="56"/>
      <c r="BZ1791" s="56"/>
      <c r="CA1791" s="56"/>
      <c r="CB1791" s="56"/>
      <c r="CC1791" s="56"/>
      <c r="CD1791" s="56"/>
      <c r="CE1791" s="56"/>
      <c r="CF1791" s="56"/>
      <c r="CG1791" s="56"/>
      <c r="CH1791" s="56"/>
      <c r="CI1791" s="103">
        <v>10986.611000000001</v>
      </c>
      <c r="CJ1791" s="103">
        <f t="shared" si="468"/>
        <v>4.040863747839329</v>
      </c>
      <c r="CK1791" s="57">
        <f t="shared" si="466"/>
        <v>1.2336197777955795</v>
      </c>
      <c r="CL1791" s="160">
        <f t="shared" si="469"/>
        <v>2.9183489722835683</v>
      </c>
      <c r="CM1791" s="160"/>
      <c r="CN1791" s="160"/>
      <c r="CO1791" s="55"/>
      <c r="CP1791" s="497" t="s">
        <v>1684</v>
      </c>
      <c r="CQ1791" s="149" t="s">
        <v>272</v>
      </c>
      <c r="CR1791" s="349"/>
      <c r="CS1791" s="61" t="s">
        <v>539</v>
      </c>
      <c r="CT1791" s="61"/>
      <c r="CU1791" s="111">
        <f t="shared" si="470"/>
        <v>91.019878650477381</v>
      </c>
      <c r="CV1791" s="331">
        <f t="shared" si="467"/>
        <v>38.475152746356407</v>
      </c>
      <c r="CW1791" s="326">
        <f t="shared" si="471"/>
        <v>1</v>
      </c>
      <c r="CX1791" s="326"/>
      <c r="CY1791" s="161" t="s">
        <v>6351</v>
      </c>
    </row>
    <row r="1792" spans="1:103" ht="11.25" customHeight="1" x14ac:dyDescent="0.2">
      <c r="A1792" s="72">
        <v>1663</v>
      </c>
      <c r="B1792" s="241">
        <v>532</v>
      </c>
      <c r="C1792" s="32" t="s">
        <v>7625</v>
      </c>
      <c r="D1792" s="32" t="s">
        <v>8559</v>
      </c>
      <c r="E1792" s="40"/>
      <c r="F1792" s="40" t="s">
        <v>733</v>
      </c>
      <c r="G1792" s="242">
        <v>68122</v>
      </c>
      <c r="H1792" s="36" t="s">
        <v>734</v>
      </c>
      <c r="I1792" s="36" t="s">
        <v>734</v>
      </c>
      <c r="J1792" s="36" t="s">
        <v>735</v>
      </c>
      <c r="K1792" s="36" t="s">
        <v>471</v>
      </c>
      <c r="L1792" s="36"/>
      <c r="M1792" s="36" t="s">
        <v>2342</v>
      </c>
      <c r="N1792" s="36" t="s">
        <v>2342</v>
      </c>
      <c r="O1792" s="36"/>
      <c r="P1792" s="41" t="s">
        <v>8537</v>
      </c>
      <c r="Q1792" s="41" t="s">
        <v>6173</v>
      </c>
      <c r="R1792" s="41" t="s">
        <v>8539</v>
      </c>
      <c r="S1792" s="41" t="s">
        <v>6173</v>
      </c>
      <c r="T1792" s="37">
        <v>73.09</v>
      </c>
      <c r="U1792" s="243">
        <v>1000000</v>
      </c>
      <c r="V1792" s="243">
        <v>977900</v>
      </c>
      <c r="W1792" s="243">
        <v>1008922.8589982488</v>
      </c>
      <c r="X1792" s="243">
        <v>1000000</v>
      </c>
      <c r="Y1792" s="414">
        <v>7.39</v>
      </c>
      <c r="Z1792" s="37">
        <v>-0.93</v>
      </c>
      <c r="AA1792" s="37">
        <v>-1.01</v>
      </c>
      <c r="AB1792" s="37">
        <v>-0.7</v>
      </c>
      <c r="AC1792" s="37">
        <v>0.86360000000000003</v>
      </c>
      <c r="AD1792" s="37">
        <v>-0.78</v>
      </c>
      <c r="AE1792" s="37">
        <v>-1.01</v>
      </c>
      <c r="AF1792" s="37">
        <f t="shared" si="463"/>
        <v>-1.01</v>
      </c>
      <c r="AG1792" s="38">
        <v>-0.09</v>
      </c>
      <c r="AH1792" s="243">
        <v>7.3799999999999999E-8</v>
      </c>
      <c r="AI1792" s="243">
        <v>7.3900000000000007E-8</v>
      </c>
      <c r="AJ1792" s="34">
        <f t="shared" si="464"/>
        <v>-5.5205099644896105</v>
      </c>
      <c r="AK1792" s="34">
        <f>LOG10(AI1792*1000/(0.08206*298.15))</f>
        <v>-5.5199218879178265</v>
      </c>
      <c r="AL1792" s="34">
        <f t="shared" si="465"/>
        <v>-5.5199218879178265</v>
      </c>
      <c r="AM1792" s="34">
        <v>-5.7034300000000009</v>
      </c>
      <c r="AN1792" s="244">
        <v>-5.99</v>
      </c>
      <c r="AO1792" s="417"/>
      <c r="AP1792" s="417">
        <v>-0.44</v>
      </c>
      <c r="AQ1792" s="244" t="s">
        <v>6311</v>
      </c>
      <c r="AR1792" s="244" t="s">
        <v>6311</v>
      </c>
      <c r="AS1792" s="241" t="s">
        <v>87</v>
      </c>
      <c r="AT1792" s="39" t="s">
        <v>266</v>
      </c>
      <c r="AU1792" s="37">
        <v>2</v>
      </c>
      <c r="AV1792" s="37">
        <v>48</v>
      </c>
      <c r="AW1792" s="37">
        <v>48</v>
      </c>
      <c r="AX1792" s="37">
        <v>25</v>
      </c>
      <c r="AY1792" s="37" t="s">
        <v>8722</v>
      </c>
      <c r="AZ1792" s="37" t="s">
        <v>1682</v>
      </c>
      <c r="BA1792" s="37">
        <v>12</v>
      </c>
      <c r="BB1792" s="36" t="s">
        <v>888</v>
      </c>
      <c r="BC1792" s="36" t="s">
        <v>538</v>
      </c>
      <c r="BD1792" s="36"/>
      <c r="BE1792" s="37" t="s">
        <v>271</v>
      </c>
      <c r="BF1792" s="37" t="s">
        <v>272</v>
      </c>
      <c r="BG1792" s="37" t="s">
        <v>1683</v>
      </c>
      <c r="BH1792" s="37" t="s">
        <v>272</v>
      </c>
      <c r="BI1792" s="243">
        <v>1096.3500000000001</v>
      </c>
      <c r="BJ1792" s="243">
        <v>16810.7</v>
      </c>
      <c r="BK1792" s="37"/>
      <c r="BL1792" s="263">
        <v>25697.505156875439</v>
      </c>
      <c r="BM1792" s="37">
        <v>0</v>
      </c>
      <c r="BN1792" s="37"/>
      <c r="BO1792" s="37">
        <v>8843.8900000000012</v>
      </c>
      <c r="BP1792" s="37"/>
      <c r="BQ1792" s="37"/>
      <c r="BR1792" s="37"/>
      <c r="BS1792" s="37"/>
      <c r="BT1792" s="37"/>
      <c r="BU1792" s="246"/>
      <c r="BV1792" s="37"/>
      <c r="BW1792" s="37"/>
      <c r="BX1792" s="37"/>
      <c r="BY1792" s="37"/>
      <c r="BZ1792" s="37"/>
      <c r="CA1792" s="37"/>
      <c r="CB1792" s="37"/>
      <c r="CC1792" s="37"/>
      <c r="CD1792" s="37"/>
      <c r="CE1792" s="37"/>
      <c r="CF1792" s="37"/>
      <c r="CG1792" s="37"/>
      <c r="CH1792" s="37"/>
      <c r="CI1792" s="243">
        <v>8843.8900000000012</v>
      </c>
      <c r="CJ1792" s="243">
        <f t="shared" si="468"/>
        <v>3.9466433322004231</v>
      </c>
      <c r="CK1792" s="38">
        <f t="shared" si="466"/>
        <v>1.5286398042244189</v>
      </c>
      <c r="CL1792" s="247">
        <f t="shared" si="469"/>
        <v>2.9056789667075726</v>
      </c>
      <c r="CM1792" s="247"/>
      <c r="CN1792" s="247"/>
      <c r="CO1792" s="36"/>
      <c r="CP1792" s="496" t="s">
        <v>1684</v>
      </c>
      <c r="CQ1792" s="241">
        <v>4.0010327659684135</v>
      </c>
      <c r="CR1792" s="241">
        <f>10^(CJ1792-CQ1792)</f>
        <v>0.88228839372292289</v>
      </c>
      <c r="CS1792" s="33"/>
      <c r="CT1792" s="33"/>
      <c r="CU1792" s="250">
        <f t="shared" si="470"/>
        <v>113.07241496671712</v>
      </c>
      <c r="CV1792" s="337">
        <f t="shared" si="467"/>
        <v>59.485922656403361</v>
      </c>
      <c r="CW1792" s="330">
        <f t="shared" si="471"/>
        <v>1</v>
      </c>
      <c r="CX1792" s="330"/>
      <c r="CY1792" s="143" t="s">
        <v>6351</v>
      </c>
    </row>
    <row r="1793" spans="1:103" ht="11.25" customHeight="1" x14ac:dyDescent="0.2">
      <c r="A1793" s="72">
        <v>1887</v>
      </c>
      <c r="B1793" s="241">
        <v>828</v>
      </c>
      <c r="C1793" s="32" t="s">
        <v>2365</v>
      </c>
      <c r="D1793" s="32"/>
      <c r="E1793" s="40"/>
      <c r="F1793" s="40" t="s">
        <v>2366</v>
      </c>
      <c r="G1793" s="242">
        <v>20546321</v>
      </c>
      <c r="H1793" s="36"/>
      <c r="I1793" s="36" t="s">
        <v>7877</v>
      </c>
      <c r="J1793" s="36" t="s">
        <v>2367</v>
      </c>
      <c r="K1793" s="36"/>
      <c r="L1793" s="36"/>
      <c r="M1793" s="36"/>
      <c r="N1793" s="36"/>
      <c r="O1793" s="36"/>
      <c r="P1793" s="41"/>
      <c r="Q1793" s="41"/>
      <c r="R1793" s="41"/>
      <c r="S1793" s="41"/>
      <c r="T1793" s="37">
        <v>89.09</v>
      </c>
      <c r="U1793" s="243"/>
      <c r="V1793" s="243"/>
      <c r="W1793" s="243">
        <v>999606.24093761935</v>
      </c>
      <c r="X1793" s="243">
        <v>999606.24093761935</v>
      </c>
      <c r="Y1793" s="414">
        <v>5.78</v>
      </c>
      <c r="Z1793" s="37"/>
      <c r="AA1793" s="37"/>
      <c r="AB1793" s="37"/>
      <c r="AC1793" s="37"/>
      <c r="AD1793" s="37"/>
      <c r="AE1793" s="37"/>
      <c r="AF1793" s="37"/>
      <c r="AG1793" s="38">
        <v>-1.4</v>
      </c>
      <c r="AH1793" s="243"/>
      <c r="AI1793" s="243"/>
      <c r="AJ1793" s="34"/>
      <c r="AK1793" s="34"/>
      <c r="AL1793" s="34"/>
      <c r="AM1793" s="34"/>
      <c r="AN1793" s="244"/>
      <c r="AO1793" s="417">
        <v>13.23</v>
      </c>
      <c r="AP1793" s="417">
        <v>-0.8</v>
      </c>
      <c r="AQ1793" s="37" t="s">
        <v>6311</v>
      </c>
      <c r="AR1793" s="37" t="s">
        <v>6311</v>
      </c>
      <c r="AS1793" s="241" t="s">
        <v>6</v>
      </c>
      <c r="AT1793" s="39" t="s">
        <v>266</v>
      </c>
      <c r="AU1793" s="245"/>
      <c r="AV1793" s="245">
        <v>0</v>
      </c>
      <c r="AW1793" s="37">
        <v>96</v>
      </c>
      <c r="AX1793" s="37">
        <v>25</v>
      </c>
      <c r="AY1793" s="37" t="s">
        <v>8722</v>
      </c>
      <c r="AZ1793" s="37" t="s">
        <v>1682</v>
      </c>
      <c r="BA1793" s="37">
        <v>12</v>
      </c>
      <c r="BB1793" s="36" t="s">
        <v>888</v>
      </c>
      <c r="BC1793" s="36" t="s">
        <v>538</v>
      </c>
      <c r="BD1793" s="36"/>
      <c r="BE1793" s="37" t="s">
        <v>271</v>
      </c>
      <c r="BF1793" s="37" t="s">
        <v>272</v>
      </c>
      <c r="BG1793" s="37" t="s">
        <v>1683</v>
      </c>
      <c r="BH1793" s="37" t="s">
        <v>272</v>
      </c>
      <c r="BI1793" s="250">
        <v>1069.08</v>
      </c>
      <c r="BJ1793" s="250">
        <v>3296.33</v>
      </c>
      <c r="BK1793" s="37"/>
      <c r="BL1793" s="263"/>
      <c r="BM1793" s="37">
        <v>0</v>
      </c>
      <c r="BN1793" s="37"/>
      <c r="BO1793" s="37"/>
      <c r="BP1793" s="37">
        <v>1315.6200000000001</v>
      </c>
      <c r="BQ1793" s="37"/>
      <c r="BR1793" s="37"/>
      <c r="BS1793" s="37"/>
      <c r="BT1793" s="37"/>
      <c r="BU1793" s="246"/>
      <c r="BV1793" s="37"/>
      <c r="BW1793" s="37"/>
      <c r="BX1793" s="37"/>
      <c r="BY1793" s="37"/>
      <c r="BZ1793" s="37"/>
      <c r="CA1793" s="37"/>
      <c r="CB1793" s="37"/>
      <c r="CC1793" s="37"/>
      <c r="CD1793" s="37"/>
      <c r="CE1793" s="37"/>
      <c r="CF1793" s="37"/>
      <c r="CG1793" s="37"/>
      <c r="CH1793" s="37"/>
      <c r="CI1793" s="243">
        <v>1315.6200000000001</v>
      </c>
      <c r="CJ1793" s="243">
        <f t="shared" si="468"/>
        <v>3.1191304669872792</v>
      </c>
      <c r="CK1793" s="38">
        <f t="shared" si="466"/>
        <v>0</v>
      </c>
      <c r="CL1793" s="247">
        <f t="shared" si="469"/>
        <v>0</v>
      </c>
      <c r="CM1793" s="247"/>
      <c r="CN1793" s="247"/>
      <c r="CO1793" s="36"/>
      <c r="CP1793" s="496" t="s">
        <v>1684</v>
      </c>
      <c r="CQ1793" s="241" t="s">
        <v>272</v>
      </c>
      <c r="CR1793" s="241"/>
      <c r="CS1793" s="33"/>
      <c r="CT1793" s="33"/>
      <c r="CU1793" s="250">
        <f t="shared" si="470"/>
        <v>759.79860517293696</v>
      </c>
      <c r="CV1793" s="337">
        <f t="shared" si="467"/>
        <v>303.24823089242261</v>
      </c>
      <c r="CW1793" s="330">
        <f t="shared" si="471"/>
        <v>1</v>
      </c>
      <c r="CX1793" s="330"/>
      <c r="CY1793" s="143" t="s">
        <v>5921</v>
      </c>
    </row>
    <row r="1794" spans="1:103" ht="11.25" customHeight="1" x14ac:dyDescent="0.2">
      <c r="A1794" s="72">
        <v>17</v>
      </c>
      <c r="B1794" s="149">
        <v>549</v>
      </c>
      <c r="C1794" s="54" t="s">
        <v>773</v>
      </c>
      <c r="D1794" s="54" t="s">
        <v>6443</v>
      </c>
      <c r="E1794" s="59"/>
      <c r="F1794" s="59" t="s">
        <v>774</v>
      </c>
      <c r="G1794" s="151">
        <v>75310</v>
      </c>
      <c r="H1794" s="55" t="s">
        <v>775</v>
      </c>
      <c r="I1794" s="55" t="s">
        <v>775</v>
      </c>
      <c r="J1794" s="55" t="s">
        <v>776</v>
      </c>
      <c r="K1794" s="55" t="s">
        <v>300</v>
      </c>
      <c r="L1794" s="55" t="s">
        <v>6627</v>
      </c>
      <c r="M1794" s="55" t="s">
        <v>6025</v>
      </c>
      <c r="N1794" s="60" t="s">
        <v>2342</v>
      </c>
      <c r="O1794" s="55" t="s">
        <v>2342</v>
      </c>
      <c r="P1794" s="67" t="s">
        <v>1639</v>
      </c>
      <c r="Q1794" s="67" t="s">
        <v>6173</v>
      </c>
      <c r="R1794" s="67" t="s">
        <v>6082</v>
      </c>
      <c r="S1794" s="67" t="s">
        <v>6173</v>
      </c>
      <c r="T1794" s="56">
        <v>59.11</v>
      </c>
      <c r="U1794" s="103">
        <v>999999.99999999988</v>
      </c>
      <c r="V1794" s="103">
        <v>838100</v>
      </c>
      <c r="W1794" s="103">
        <v>120687.1299094159</v>
      </c>
      <c r="X1794" s="103">
        <v>999999.99999999988</v>
      </c>
      <c r="Y1794" s="162">
        <v>12.49</v>
      </c>
      <c r="Z1794" s="56">
        <v>0.27</v>
      </c>
      <c r="AA1794" s="56">
        <v>0.26</v>
      </c>
      <c r="AB1794" s="56">
        <v>0.37</v>
      </c>
      <c r="AC1794" s="56">
        <v>0.90820000000000001</v>
      </c>
      <c r="AD1794" s="56">
        <v>0.34</v>
      </c>
      <c r="AE1794" s="56">
        <v>0.21</v>
      </c>
      <c r="AF1794" s="56">
        <f t="shared" ref="AF1794:AF1802" si="472">IF(AA1794=0,AD1794,AA1794)</f>
        <v>0.26</v>
      </c>
      <c r="AG1794" s="57">
        <v>-0.03</v>
      </c>
      <c r="AH1794" s="103">
        <v>1.34E-5</v>
      </c>
      <c r="AI1794" s="103">
        <v>4.5099999999999998E-5</v>
      </c>
      <c r="AJ1794" s="62">
        <f>LOG10(AH1794*1000/(0.08206*298.15))</f>
        <v>-3.2614615279478443</v>
      </c>
      <c r="AK1794" s="62">
        <f>LOG10(AI1794*1000/(0.08206*298.15))</f>
        <v>-2.7343897844346912</v>
      </c>
      <c r="AL1794" s="62">
        <f t="shared" ref="AL1794:AL1808" si="473">IF(AK1794=0,AJ1794,AK1794)</f>
        <v>-2.7343897844346912</v>
      </c>
      <c r="AM1794" s="62">
        <v>-4.3610199999999999</v>
      </c>
      <c r="AN1794" s="154">
        <v>-3.31</v>
      </c>
      <c r="AO1794" s="410"/>
      <c r="AP1794" s="410">
        <v>10.68</v>
      </c>
      <c r="AQ1794" s="154" t="s">
        <v>6311</v>
      </c>
      <c r="AR1794" s="154" t="s">
        <v>6311</v>
      </c>
      <c r="AS1794" s="149" t="s">
        <v>75</v>
      </c>
      <c r="AT1794" s="58" t="s">
        <v>266</v>
      </c>
      <c r="AU1794" s="56">
        <v>2</v>
      </c>
      <c r="AV1794" s="56">
        <v>96</v>
      </c>
      <c r="AW1794" s="56">
        <v>96</v>
      </c>
      <c r="AX1794" s="56">
        <v>25</v>
      </c>
      <c r="AY1794" s="56" t="s">
        <v>8722</v>
      </c>
      <c r="AZ1794" s="56" t="s">
        <v>1563</v>
      </c>
      <c r="BA1794" s="56">
        <v>12</v>
      </c>
      <c r="BB1794" s="55" t="s">
        <v>888</v>
      </c>
      <c r="BC1794" s="55" t="s">
        <v>538</v>
      </c>
      <c r="BD1794" s="55"/>
      <c r="BE1794" s="56" t="s">
        <v>271</v>
      </c>
      <c r="BF1794" s="56" t="s">
        <v>272</v>
      </c>
      <c r="BG1794" s="56" t="s">
        <v>539</v>
      </c>
      <c r="BH1794" s="56" t="s">
        <v>272</v>
      </c>
      <c r="BI1794" s="153">
        <v>5.9110000000000005</v>
      </c>
      <c r="BJ1794" s="153">
        <v>11822</v>
      </c>
      <c r="BK1794" s="56"/>
      <c r="BL1794" s="153">
        <v>1737.6966319191611</v>
      </c>
      <c r="BM1794" s="56">
        <v>0</v>
      </c>
      <c r="BN1794" s="56"/>
      <c r="BO1794" s="56"/>
      <c r="BP1794" s="56"/>
      <c r="BQ1794" s="56">
        <v>5390.8320000000003</v>
      </c>
      <c r="BR1794" s="56"/>
      <c r="BS1794" s="56"/>
      <c r="BT1794" s="56"/>
      <c r="BU1794" s="158"/>
      <c r="BV1794" s="56"/>
      <c r="BW1794" s="56"/>
      <c r="BX1794" s="56"/>
      <c r="BY1794" s="56"/>
      <c r="BZ1794" s="56"/>
      <c r="CA1794" s="56"/>
      <c r="CB1794" s="56"/>
      <c r="CC1794" s="56"/>
      <c r="CD1794" s="56"/>
      <c r="CE1794" s="56"/>
      <c r="CF1794" s="56"/>
      <c r="CG1794" s="56"/>
      <c r="CH1794" s="56"/>
      <c r="CI1794" s="103">
        <v>5390.8320000000003</v>
      </c>
      <c r="CJ1794" s="103">
        <f t="shared" si="468"/>
        <v>3.7316557976773037</v>
      </c>
      <c r="CK1794" s="57">
        <f t="shared" si="466"/>
        <v>0.14698838030106251</v>
      </c>
      <c r="CL1794" s="160">
        <f t="shared" si="469"/>
        <v>0.32234293925671603</v>
      </c>
      <c r="CM1794" s="160"/>
      <c r="CN1794" s="160"/>
      <c r="CO1794" s="55"/>
      <c r="CP1794" s="497" t="s">
        <v>1564</v>
      </c>
      <c r="CQ1794" s="153">
        <v>3.7316557976773037</v>
      </c>
      <c r="CR1794" s="349">
        <f t="shared" ref="CR1794:CR1803" si="474">10^(CJ1794-CQ1794)</f>
        <v>1</v>
      </c>
      <c r="CS1794" s="61" t="s">
        <v>539</v>
      </c>
      <c r="CT1794" s="61"/>
      <c r="CU1794" s="111">
        <f t="shared" si="470"/>
        <v>185.50012317208174</v>
      </c>
      <c r="CV1794" s="331">
        <f t="shared" si="467"/>
        <v>84.588056166469286</v>
      </c>
      <c r="CW1794" s="326">
        <f t="shared" si="471"/>
        <v>1</v>
      </c>
      <c r="CX1794" s="326"/>
      <c r="CY1794" s="161" t="s">
        <v>6351</v>
      </c>
    </row>
    <row r="1795" spans="1:103" ht="11.25" customHeight="1" x14ac:dyDescent="0.2">
      <c r="A1795" s="72">
        <v>19</v>
      </c>
      <c r="B1795" s="149">
        <v>483</v>
      </c>
      <c r="C1795" s="54" t="s">
        <v>1559</v>
      </c>
      <c r="D1795" s="54" t="s">
        <v>6480</v>
      </c>
      <c r="E1795" s="59"/>
      <c r="F1795" s="59" t="s">
        <v>1560</v>
      </c>
      <c r="G1795" s="151">
        <v>141435</v>
      </c>
      <c r="H1795" s="55" t="s">
        <v>1561</v>
      </c>
      <c r="I1795" s="55" t="s">
        <v>1561</v>
      </c>
      <c r="J1795" s="55" t="s">
        <v>1562</v>
      </c>
      <c r="K1795" s="55" t="s">
        <v>300</v>
      </c>
      <c r="L1795" s="55" t="s">
        <v>5492</v>
      </c>
      <c r="M1795" s="60" t="s">
        <v>2342</v>
      </c>
      <c r="N1795" s="60" t="s">
        <v>2342</v>
      </c>
      <c r="O1795" s="55"/>
      <c r="P1795" s="67"/>
      <c r="Q1795" s="67"/>
      <c r="R1795" s="67"/>
      <c r="S1795" s="67"/>
      <c r="T1795" s="56">
        <v>61.08</v>
      </c>
      <c r="U1795" s="103">
        <v>1000000</v>
      </c>
      <c r="V1795" s="103">
        <v>1000000</v>
      </c>
      <c r="W1795" s="103">
        <v>990601.60746683436</v>
      </c>
      <c r="X1795" s="103">
        <v>1000000</v>
      </c>
      <c r="Y1795" s="162">
        <v>11.6</v>
      </c>
      <c r="Z1795" s="56">
        <v>-1.61</v>
      </c>
      <c r="AA1795" s="56">
        <v>-1.31</v>
      </c>
      <c r="AB1795" s="56">
        <v>-1.06</v>
      </c>
      <c r="AC1795" s="56">
        <v>0.87129999999999996</v>
      </c>
      <c r="AD1795" s="56">
        <v>-1.1200000000000001</v>
      </c>
      <c r="AE1795" s="56">
        <v>-1.31</v>
      </c>
      <c r="AF1795" s="56">
        <f t="shared" si="472"/>
        <v>-1.31</v>
      </c>
      <c r="AG1795" s="57">
        <v>-1.21</v>
      </c>
      <c r="AH1795" s="103">
        <v>3.6800000000000002E-10</v>
      </c>
      <c r="AI1795" s="103"/>
      <c r="AJ1795" s="62">
        <f t="shared" ref="AJ1795:AJ1808" si="475">LOG10(AH1795*1000/(0.08206*298.15))</f>
        <v>-7.8227185076391343</v>
      </c>
      <c r="AK1795" s="62"/>
      <c r="AL1795" s="62">
        <f t="shared" si="473"/>
        <v>-7.8227185076391343</v>
      </c>
      <c r="AM1795" s="62">
        <v>-7.9048299999999996</v>
      </c>
      <c r="AN1795" s="154">
        <v>-8.2799999999999994</v>
      </c>
      <c r="AO1795" s="410">
        <v>12.85</v>
      </c>
      <c r="AP1795" s="410">
        <v>9.16</v>
      </c>
      <c r="AQ1795" s="154" t="s">
        <v>6311</v>
      </c>
      <c r="AR1795" s="154" t="s">
        <v>6311</v>
      </c>
      <c r="AS1795" s="149" t="s">
        <v>6</v>
      </c>
      <c r="AT1795" s="58" t="s">
        <v>266</v>
      </c>
      <c r="AU1795" s="56">
        <v>2</v>
      </c>
      <c r="AV1795" s="56">
        <v>96</v>
      </c>
      <c r="AW1795" s="56">
        <v>96</v>
      </c>
      <c r="AX1795" s="56">
        <v>25</v>
      </c>
      <c r="AY1795" s="56" t="s">
        <v>8722</v>
      </c>
      <c r="AZ1795" s="56" t="s">
        <v>1563</v>
      </c>
      <c r="BA1795" s="56">
        <v>12</v>
      </c>
      <c r="BB1795" s="55" t="s">
        <v>888</v>
      </c>
      <c r="BC1795" s="55" t="s">
        <v>538</v>
      </c>
      <c r="BD1795" s="55"/>
      <c r="BE1795" s="56" t="s">
        <v>271</v>
      </c>
      <c r="BF1795" s="56" t="s">
        <v>272</v>
      </c>
      <c r="BG1795" s="56" t="s">
        <v>539</v>
      </c>
      <c r="BH1795" s="56" t="s">
        <v>272</v>
      </c>
      <c r="BI1795" s="153">
        <v>610.79999999999995</v>
      </c>
      <c r="BJ1795" s="153">
        <v>48864</v>
      </c>
      <c r="BK1795" s="56"/>
      <c r="BL1795" s="153">
        <v>87627.420679025265</v>
      </c>
      <c r="BM1795" s="56">
        <v>0</v>
      </c>
      <c r="BN1795" s="56"/>
      <c r="BO1795" s="56"/>
      <c r="BP1795" s="56"/>
      <c r="BQ1795" s="56">
        <v>3683.1239999999998</v>
      </c>
      <c r="BR1795" s="56"/>
      <c r="BS1795" s="56"/>
      <c r="BT1795" s="56"/>
      <c r="BU1795" s="158"/>
      <c r="BV1795" s="56"/>
      <c r="BW1795" s="56"/>
      <c r="BX1795" s="56"/>
      <c r="BY1795" s="56"/>
      <c r="BZ1795" s="56"/>
      <c r="CA1795" s="56"/>
      <c r="CB1795" s="56"/>
      <c r="CC1795" s="56"/>
      <c r="CD1795" s="56"/>
      <c r="CE1795" s="56"/>
      <c r="CF1795" s="56"/>
      <c r="CG1795" s="56"/>
      <c r="CH1795" s="56"/>
      <c r="CI1795" s="103">
        <v>3683.1239999999998</v>
      </c>
      <c r="CJ1795" s="103">
        <f t="shared" si="468"/>
        <v>3.5662163405245351</v>
      </c>
      <c r="CK1795" s="57">
        <f t="shared" si="466"/>
        <v>1.793292008002318</v>
      </c>
      <c r="CL1795" s="160">
        <f t="shared" si="469"/>
        <v>23.79160209621649</v>
      </c>
      <c r="CM1795" s="160">
        <v>2.1760912590556813</v>
      </c>
      <c r="CN1795" s="160">
        <f>BJ1795/(10^CM1795)</f>
        <v>325.75999999999982</v>
      </c>
      <c r="CO1795" s="55"/>
      <c r="CP1795" s="497" t="s">
        <v>1564</v>
      </c>
      <c r="CQ1795" s="153">
        <v>2.7616670252264872</v>
      </c>
      <c r="CR1795" s="349">
        <f t="shared" si="474"/>
        <v>6.3760147827472338</v>
      </c>
      <c r="CS1795" s="61" t="s">
        <v>539</v>
      </c>
      <c r="CT1795" s="61"/>
      <c r="CU1795" s="111">
        <f t="shared" si="470"/>
        <v>271.50864320614784</v>
      </c>
      <c r="CV1795" s="331">
        <f t="shared" si="467"/>
        <v>20.464963981663391</v>
      </c>
      <c r="CW1795" s="326">
        <f t="shared" si="471"/>
        <v>1</v>
      </c>
      <c r="CX1795" s="326"/>
      <c r="CY1795" s="161" t="s">
        <v>6351</v>
      </c>
    </row>
    <row r="1796" spans="1:103" ht="11.25" customHeight="1" x14ac:dyDescent="0.2">
      <c r="A1796" s="72">
        <v>20</v>
      </c>
      <c r="B1796" s="149">
        <v>557</v>
      </c>
      <c r="C1796" s="54" t="s">
        <v>1727</v>
      </c>
      <c r="D1796" s="54" t="s">
        <v>6442</v>
      </c>
      <c r="E1796" s="59"/>
      <c r="F1796" s="59" t="s">
        <v>1728</v>
      </c>
      <c r="G1796" s="151">
        <v>74895</v>
      </c>
      <c r="H1796" s="55" t="s">
        <v>1729</v>
      </c>
      <c r="I1796" s="55" t="s">
        <v>1729</v>
      </c>
      <c r="J1796" s="55" t="s">
        <v>1730</v>
      </c>
      <c r="K1796" s="55" t="s">
        <v>300</v>
      </c>
      <c r="L1796" s="55" t="s">
        <v>5527</v>
      </c>
      <c r="M1796" s="55" t="s">
        <v>6025</v>
      </c>
      <c r="N1796" s="60" t="s">
        <v>2342</v>
      </c>
      <c r="O1796" s="55"/>
      <c r="P1796" s="67" t="s">
        <v>1639</v>
      </c>
      <c r="Q1796" s="67" t="s">
        <v>6173</v>
      </c>
      <c r="R1796" s="67">
        <v>1</v>
      </c>
      <c r="S1796" s="67" t="s">
        <v>6173</v>
      </c>
      <c r="T1796" s="56">
        <v>31.06</v>
      </c>
      <c r="U1796" s="103">
        <v>1080000</v>
      </c>
      <c r="V1796" s="103">
        <v>1000000</v>
      </c>
      <c r="W1796" s="103">
        <v>382121.48021432577</v>
      </c>
      <c r="X1796" s="103">
        <v>1080000</v>
      </c>
      <c r="Y1796" s="162">
        <v>12.87</v>
      </c>
      <c r="Z1796" s="56">
        <v>-0.64</v>
      </c>
      <c r="AA1796" s="56">
        <v>-0.56999999999999995</v>
      </c>
      <c r="AB1796" s="56">
        <v>-0.28000000000000003</v>
      </c>
      <c r="AC1796" s="56">
        <v>0.90190000000000003</v>
      </c>
      <c r="AD1796" s="56">
        <v>-0.37</v>
      </c>
      <c r="AE1796" s="56">
        <v>-0.66</v>
      </c>
      <c r="AF1796" s="56">
        <f t="shared" si="472"/>
        <v>-0.56999999999999995</v>
      </c>
      <c r="AG1796" s="57">
        <v>-0.41</v>
      </c>
      <c r="AH1796" s="103">
        <v>7.5800000000000003E-6</v>
      </c>
      <c r="AI1796" s="103">
        <v>1.11E-5</v>
      </c>
      <c r="AJ1796" s="62">
        <f t="shared" si="475"/>
        <v>-3.5088971206805981</v>
      </c>
      <c r="AK1796" s="62">
        <f>LOG10(AI1796*1000/(0.08206*298.15))</f>
        <v>-3.3432433475259944</v>
      </c>
      <c r="AL1796" s="62">
        <f t="shared" si="473"/>
        <v>-3.3432433475259944</v>
      </c>
      <c r="AM1796" s="62">
        <v>-4.0587199999999992</v>
      </c>
      <c r="AN1796" s="154">
        <v>-3.58</v>
      </c>
      <c r="AO1796" s="410"/>
      <c r="AP1796" s="410">
        <v>10.66</v>
      </c>
      <c r="AQ1796" s="154" t="s">
        <v>6311</v>
      </c>
      <c r="AR1796" s="154" t="s">
        <v>6311</v>
      </c>
      <c r="AS1796" s="149" t="s">
        <v>6</v>
      </c>
      <c r="AT1796" s="58" t="s">
        <v>266</v>
      </c>
      <c r="AU1796" s="56">
        <v>2</v>
      </c>
      <c r="AV1796" s="56">
        <v>96</v>
      </c>
      <c r="AW1796" s="56">
        <v>96</v>
      </c>
      <c r="AX1796" s="56">
        <v>25</v>
      </c>
      <c r="AY1796" s="56" t="s">
        <v>8722</v>
      </c>
      <c r="AZ1796" s="56" t="s">
        <v>1563</v>
      </c>
      <c r="BA1796" s="56">
        <v>12</v>
      </c>
      <c r="BB1796" s="55" t="s">
        <v>888</v>
      </c>
      <c r="BC1796" s="55" t="s">
        <v>538</v>
      </c>
      <c r="BD1796" s="55"/>
      <c r="BE1796" s="56" t="s">
        <v>271</v>
      </c>
      <c r="BF1796" s="56" t="s">
        <v>272</v>
      </c>
      <c r="BG1796" s="56" t="s">
        <v>539</v>
      </c>
      <c r="BH1796" s="56" t="s">
        <v>272</v>
      </c>
      <c r="BI1796" s="153">
        <v>62.12</v>
      </c>
      <c r="BJ1796" s="153">
        <v>15530</v>
      </c>
      <c r="BK1796" s="56"/>
      <c r="BL1796" s="153">
        <v>5994.9484279023845</v>
      </c>
      <c r="BM1796" s="56">
        <v>0</v>
      </c>
      <c r="BN1796" s="56"/>
      <c r="BO1796" s="56"/>
      <c r="BP1796" s="56"/>
      <c r="BQ1796" s="56">
        <v>711.27399999999989</v>
      </c>
      <c r="BR1796" s="56"/>
      <c r="BS1796" s="56"/>
      <c r="BT1796" s="56"/>
      <c r="BU1796" s="158"/>
      <c r="BV1796" s="56"/>
      <c r="BW1796" s="56"/>
      <c r="BX1796" s="56"/>
      <c r="BY1796" s="56"/>
      <c r="BZ1796" s="56"/>
      <c r="CA1796" s="56"/>
      <c r="CB1796" s="56"/>
      <c r="CC1796" s="56"/>
      <c r="CD1796" s="56"/>
      <c r="CE1796" s="56"/>
      <c r="CF1796" s="56"/>
      <c r="CG1796" s="56"/>
      <c r="CH1796" s="56"/>
      <c r="CI1796" s="103">
        <v>711.27399999999989</v>
      </c>
      <c r="CJ1796" s="103">
        <f t="shared" si="468"/>
        <v>2.8520369337324278</v>
      </c>
      <c r="CK1796" s="57">
        <f t="shared" si="466"/>
        <v>0.386023723625395</v>
      </c>
      <c r="CL1796" s="160">
        <f t="shared" si="469"/>
        <v>8.4284655813405038</v>
      </c>
      <c r="CM1796" s="160"/>
      <c r="CN1796" s="160"/>
      <c r="CO1796" s="55"/>
      <c r="CP1796" s="497" t="s">
        <v>1564</v>
      </c>
      <c r="CQ1796" s="153">
        <v>2.8520369337324278</v>
      </c>
      <c r="CR1796" s="349">
        <f t="shared" si="474"/>
        <v>1</v>
      </c>
      <c r="CS1796" s="61" t="s">
        <v>539</v>
      </c>
      <c r="CT1796" s="61"/>
      <c r="CU1796" s="111">
        <f t="shared" si="470"/>
        <v>1518.4021909981248</v>
      </c>
      <c r="CV1796" s="331">
        <f t="shared" si="467"/>
        <v>69.542820347714098</v>
      </c>
      <c r="CW1796" s="326">
        <f t="shared" si="471"/>
        <v>1</v>
      </c>
      <c r="CX1796" s="326"/>
      <c r="CY1796" s="161" t="s">
        <v>6351</v>
      </c>
    </row>
    <row r="1797" spans="1:103" ht="11.25" customHeight="1" x14ac:dyDescent="0.2">
      <c r="A1797" s="72">
        <v>21</v>
      </c>
      <c r="B1797" s="149">
        <v>518</v>
      </c>
      <c r="C1797" s="54" t="s">
        <v>1651</v>
      </c>
      <c r="D1797" s="54" t="s">
        <v>6465</v>
      </c>
      <c r="E1797" s="59"/>
      <c r="F1797" s="59" t="s">
        <v>1652</v>
      </c>
      <c r="G1797" s="151">
        <v>108930</v>
      </c>
      <c r="H1797" s="55" t="s">
        <v>1653</v>
      </c>
      <c r="I1797" s="55" t="s">
        <v>1653</v>
      </c>
      <c r="J1797" s="55" t="s">
        <v>1654</v>
      </c>
      <c r="K1797" s="55" t="s">
        <v>426</v>
      </c>
      <c r="L1797" s="55" t="s">
        <v>5492</v>
      </c>
      <c r="M1797" s="55" t="s">
        <v>6082</v>
      </c>
      <c r="N1797" s="60" t="s">
        <v>6082</v>
      </c>
      <c r="O1797" s="55" t="s">
        <v>6083</v>
      </c>
      <c r="P1797" s="67"/>
      <c r="Q1797" s="67" t="s">
        <v>6173</v>
      </c>
      <c r="R1797" s="67" t="s">
        <v>6185</v>
      </c>
      <c r="S1797" s="67" t="s">
        <v>6176</v>
      </c>
      <c r="T1797" s="56">
        <v>100.16</v>
      </c>
      <c r="U1797" s="103">
        <v>42000</v>
      </c>
      <c r="V1797" s="103">
        <v>33660</v>
      </c>
      <c r="W1797" s="103">
        <v>41753.637448388792</v>
      </c>
      <c r="X1797" s="103">
        <v>42000</v>
      </c>
      <c r="Y1797" s="162">
        <v>7</v>
      </c>
      <c r="Z1797" s="56">
        <v>1.64</v>
      </c>
      <c r="AA1797" s="56">
        <v>1.23</v>
      </c>
      <c r="AB1797" s="56">
        <v>1.32</v>
      </c>
      <c r="AC1797" s="56">
        <v>0.84599999999999997</v>
      </c>
      <c r="AD1797" s="56">
        <v>1.33</v>
      </c>
      <c r="AE1797" s="56">
        <v>1.34</v>
      </c>
      <c r="AF1797" s="56">
        <f t="shared" si="472"/>
        <v>1.23</v>
      </c>
      <c r="AG1797" s="57">
        <v>1.1000000000000001</v>
      </c>
      <c r="AH1797" s="103">
        <v>4.8999999999999997E-6</v>
      </c>
      <c r="AI1797" s="103">
        <v>4.4000000000000002E-6</v>
      </c>
      <c r="AJ1797" s="62">
        <f t="shared" si="475"/>
        <v>-3.6983702462841381</v>
      </c>
      <c r="AK1797" s="62">
        <f>LOG10(AI1797*1000/(0.08206*298.15))</f>
        <v>-3.7451136498264646</v>
      </c>
      <c r="AL1797" s="62">
        <f t="shared" si="473"/>
        <v>-3.7451136498264646</v>
      </c>
      <c r="AM1797" s="62">
        <v>-4.0753700000000004</v>
      </c>
      <c r="AN1797" s="154">
        <v>-3.91</v>
      </c>
      <c r="AO1797" s="410">
        <v>15.31</v>
      </c>
      <c r="AP1797" s="410"/>
      <c r="AQ1797" s="154" t="s">
        <v>6311</v>
      </c>
      <c r="AR1797" s="154" t="s">
        <v>6311</v>
      </c>
      <c r="AS1797" s="149" t="s">
        <v>6</v>
      </c>
      <c r="AT1797" s="58" t="s">
        <v>266</v>
      </c>
      <c r="AU1797" s="56">
        <v>2</v>
      </c>
      <c r="AV1797" s="56">
        <v>96</v>
      </c>
      <c r="AW1797" s="56">
        <v>96</v>
      </c>
      <c r="AX1797" s="56">
        <v>25</v>
      </c>
      <c r="AY1797" s="56" t="s">
        <v>8722</v>
      </c>
      <c r="AZ1797" s="56" t="s">
        <v>1563</v>
      </c>
      <c r="BA1797" s="56">
        <v>12</v>
      </c>
      <c r="BB1797" s="55" t="s">
        <v>888</v>
      </c>
      <c r="BC1797" s="55" t="s">
        <v>538</v>
      </c>
      <c r="BD1797" s="55"/>
      <c r="BE1797" s="56" t="s">
        <v>271</v>
      </c>
      <c r="BF1797" s="56" t="s">
        <v>272</v>
      </c>
      <c r="BG1797" s="56" t="s">
        <v>539</v>
      </c>
      <c r="BH1797" s="56" t="s">
        <v>272</v>
      </c>
      <c r="BI1797" s="153">
        <v>100.16</v>
      </c>
      <c r="BJ1797" s="153">
        <v>3004.7999999999997</v>
      </c>
      <c r="BK1797" s="56"/>
      <c r="BL1797" s="153">
        <v>173.2248986327638</v>
      </c>
      <c r="BM1797" s="56">
        <v>0</v>
      </c>
      <c r="BN1797" s="56"/>
      <c r="BO1797" s="56"/>
      <c r="BP1797" s="56"/>
      <c r="BQ1797" s="56">
        <v>1382.2080000000001</v>
      </c>
      <c r="BR1797" s="56"/>
      <c r="BS1797" s="56"/>
      <c r="BT1797" s="56"/>
      <c r="BU1797" s="158"/>
      <c r="BV1797" s="56"/>
      <c r="BW1797" s="56"/>
      <c r="BX1797" s="56"/>
      <c r="BY1797" s="56"/>
      <c r="BZ1797" s="56"/>
      <c r="CA1797" s="56"/>
      <c r="CB1797" s="56"/>
      <c r="CC1797" s="56"/>
      <c r="CD1797" s="56"/>
      <c r="CE1797" s="56"/>
      <c r="CF1797" s="56"/>
      <c r="CG1797" s="56"/>
      <c r="CH1797" s="56"/>
      <c r="CI1797" s="103">
        <v>1382.2080000000001</v>
      </c>
      <c r="CJ1797" s="103">
        <f t="shared" si="468"/>
        <v>3.1405734022675911</v>
      </c>
      <c r="CK1797" s="57">
        <f t="shared" si="466"/>
        <v>5.7649393847432048E-2</v>
      </c>
      <c r="CL1797" s="160">
        <f t="shared" si="469"/>
        <v>0.12532476923354791</v>
      </c>
      <c r="CM1797" s="160">
        <v>2.8491094471625895</v>
      </c>
      <c r="CN1797" s="160">
        <f>BJ1797/(10^CM1797)</f>
        <v>4.2531051839336458</v>
      </c>
      <c r="CO1797" s="55"/>
      <c r="CP1797" s="497" t="s">
        <v>1564</v>
      </c>
      <c r="CQ1797" s="153">
        <v>2.9700462454377488</v>
      </c>
      <c r="CR1797" s="349">
        <f t="shared" si="474"/>
        <v>1.4809048547028261</v>
      </c>
      <c r="CS1797" s="61" t="s">
        <v>539</v>
      </c>
      <c r="CT1797" s="61"/>
      <c r="CU1797" s="111">
        <f t="shared" si="470"/>
        <v>30.386164745103486</v>
      </c>
      <c r="CV1797" s="331">
        <f t="shared" si="467"/>
        <v>13.977635782747605</v>
      </c>
      <c r="CW1797" s="326">
        <f t="shared" si="471"/>
        <v>1</v>
      </c>
      <c r="CX1797" s="326"/>
      <c r="CY1797" s="161" t="s">
        <v>6351</v>
      </c>
    </row>
    <row r="1798" spans="1:103" ht="11.25" customHeight="1" x14ac:dyDescent="0.2">
      <c r="A1798" s="72">
        <v>25</v>
      </c>
      <c r="B1798" s="149">
        <v>485</v>
      </c>
      <c r="C1798" s="54" t="s">
        <v>1569</v>
      </c>
      <c r="D1798" s="54" t="s">
        <v>6436</v>
      </c>
      <c r="E1798" s="59"/>
      <c r="F1798" s="59" t="s">
        <v>1570</v>
      </c>
      <c r="G1798" s="151">
        <v>62533</v>
      </c>
      <c r="H1798" s="55" t="s">
        <v>1571</v>
      </c>
      <c r="I1798" s="55" t="s">
        <v>1571</v>
      </c>
      <c r="J1798" s="55" t="s">
        <v>1572</v>
      </c>
      <c r="K1798" s="55" t="s">
        <v>1573</v>
      </c>
      <c r="L1798" s="55" t="s">
        <v>5492</v>
      </c>
      <c r="M1798" s="55" t="s">
        <v>866</v>
      </c>
      <c r="N1798" s="60" t="s">
        <v>6082</v>
      </c>
      <c r="O1798" s="55" t="s">
        <v>6086</v>
      </c>
      <c r="P1798" s="67" t="s">
        <v>6184</v>
      </c>
      <c r="Q1798" s="67" t="s">
        <v>6176</v>
      </c>
      <c r="R1798" s="67" t="s">
        <v>6185</v>
      </c>
      <c r="S1798" s="67" t="s">
        <v>6176</v>
      </c>
      <c r="T1798" s="56">
        <v>93.13</v>
      </c>
      <c r="U1798" s="103">
        <v>36000</v>
      </c>
      <c r="V1798" s="103">
        <v>20820</v>
      </c>
      <c r="W1798" s="103">
        <v>32291.602882644271</v>
      </c>
      <c r="X1798" s="103">
        <v>36000</v>
      </c>
      <c r="Y1798" s="162">
        <v>9.08</v>
      </c>
      <c r="Z1798" s="56">
        <v>1.08</v>
      </c>
      <c r="AA1798" s="56">
        <v>0.9</v>
      </c>
      <c r="AB1798" s="56">
        <v>1.25</v>
      </c>
      <c r="AC1798" s="56">
        <v>0.88229999999999997</v>
      </c>
      <c r="AD1798" s="56">
        <v>1.17</v>
      </c>
      <c r="AE1798" s="56">
        <v>0.94</v>
      </c>
      <c r="AF1798" s="56">
        <f t="shared" si="472"/>
        <v>0.9</v>
      </c>
      <c r="AG1798" s="57">
        <v>1.1100000000000001</v>
      </c>
      <c r="AH1798" s="103">
        <v>1.9E-6</v>
      </c>
      <c r="AI1798" s="103">
        <v>2.0200000000000001E-6</v>
      </c>
      <c r="AJ1798" s="62">
        <f t="shared" si="475"/>
        <v>-4.1098127253598227</v>
      </c>
      <c r="AK1798" s="62">
        <f>LOG10(AI1798*1000/(0.08206*298.15))</f>
        <v>-4.0832149568660281</v>
      </c>
      <c r="AL1798" s="62">
        <f t="shared" si="473"/>
        <v>-4.0832149568660281</v>
      </c>
      <c r="AM1798" s="62">
        <v>-6.248120000000001</v>
      </c>
      <c r="AN1798" s="154">
        <v>-3.95</v>
      </c>
      <c r="AO1798" s="410"/>
      <c r="AP1798" s="410">
        <v>4.6100000000000003</v>
      </c>
      <c r="AQ1798" s="154" t="s">
        <v>6311</v>
      </c>
      <c r="AR1798" s="154" t="s">
        <v>6311</v>
      </c>
      <c r="AS1798" s="149" t="s">
        <v>6</v>
      </c>
      <c r="AT1798" s="58" t="s">
        <v>266</v>
      </c>
      <c r="AU1798" s="56">
        <v>2</v>
      </c>
      <c r="AV1798" s="56">
        <v>96</v>
      </c>
      <c r="AW1798" s="56">
        <v>96</v>
      </c>
      <c r="AX1798" s="56">
        <v>25</v>
      </c>
      <c r="AY1798" s="56" t="s">
        <v>8722</v>
      </c>
      <c r="AZ1798" s="56" t="s">
        <v>1563</v>
      </c>
      <c r="BA1798" s="56">
        <v>12</v>
      </c>
      <c r="BB1798" s="55" t="s">
        <v>888</v>
      </c>
      <c r="BC1798" s="55" t="s">
        <v>538</v>
      </c>
      <c r="BD1798" s="55"/>
      <c r="BE1798" s="56" t="s">
        <v>271</v>
      </c>
      <c r="BF1798" s="56" t="s">
        <v>272</v>
      </c>
      <c r="BG1798" s="56" t="s">
        <v>539</v>
      </c>
      <c r="BH1798" s="56" t="s">
        <v>272</v>
      </c>
      <c r="BI1798" s="153">
        <v>18.626000000000001</v>
      </c>
      <c r="BJ1798" s="153">
        <v>1862.6</v>
      </c>
      <c r="BK1798" s="56"/>
      <c r="BL1798" s="153">
        <v>512.79242714957945</v>
      </c>
      <c r="BM1798" s="56">
        <v>0</v>
      </c>
      <c r="BN1798" s="56"/>
      <c r="BO1798" s="56"/>
      <c r="BP1798" s="56"/>
      <c r="BQ1798" s="56">
        <v>866.10900000000004</v>
      </c>
      <c r="BR1798" s="56"/>
      <c r="BS1798" s="56"/>
      <c r="BT1798" s="56"/>
      <c r="BU1798" s="158"/>
      <c r="BV1798" s="56"/>
      <c r="BW1798" s="56"/>
      <c r="BX1798" s="56"/>
      <c r="BY1798" s="56"/>
      <c r="BZ1798" s="56"/>
      <c r="CA1798" s="56"/>
      <c r="CB1798" s="56"/>
      <c r="CC1798" s="56"/>
      <c r="CD1798" s="56"/>
      <c r="CE1798" s="56"/>
      <c r="CF1798" s="56"/>
      <c r="CG1798" s="56"/>
      <c r="CH1798" s="56"/>
      <c r="CI1798" s="103">
        <v>866.10900000000004</v>
      </c>
      <c r="CJ1798" s="103">
        <f t="shared" si="468"/>
        <v>2.9375725515088567</v>
      </c>
      <c r="CK1798" s="57">
        <f t="shared" si="466"/>
        <v>0.27531001135486927</v>
      </c>
      <c r="CL1798" s="160">
        <f t="shared" si="469"/>
        <v>0.59206454054810587</v>
      </c>
      <c r="CM1798" s="160">
        <v>1.4583110721791823</v>
      </c>
      <c r="CN1798" s="160">
        <f>BJ1798/(10^CM1798)</f>
        <v>64.834852392836552</v>
      </c>
      <c r="CO1798" s="55"/>
      <c r="CP1798" s="497" t="s">
        <v>1564</v>
      </c>
      <c r="CQ1798" s="149">
        <v>1.7587483936881136</v>
      </c>
      <c r="CR1798" s="349">
        <f t="shared" si="474"/>
        <v>15.094688591860269</v>
      </c>
      <c r="CS1798" s="61" t="s">
        <v>539</v>
      </c>
      <c r="CT1798" s="61"/>
      <c r="CU1798" s="111">
        <f t="shared" si="470"/>
        <v>41.565207150601132</v>
      </c>
      <c r="CV1798" s="331">
        <f t="shared" si="467"/>
        <v>19.327821325029529</v>
      </c>
      <c r="CW1798" s="326">
        <f t="shared" si="471"/>
        <v>1</v>
      </c>
      <c r="CX1798" s="326"/>
      <c r="CY1798" s="161" t="s">
        <v>6351</v>
      </c>
    </row>
    <row r="1799" spans="1:103" ht="11.25" customHeight="1" x14ac:dyDescent="0.2">
      <c r="A1799" s="72">
        <v>26</v>
      </c>
      <c r="B1799" s="149">
        <v>527</v>
      </c>
      <c r="C1799" s="54" t="s">
        <v>1674</v>
      </c>
      <c r="D1799" s="54" t="s">
        <v>6474</v>
      </c>
      <c r="E1799" s="59"/>
      <c r="F1799" s="59" t="s">
        <v>1675</v>
      </c>
      <c r="G1799" s="151">
        <v>124403</v>
      </c>
      <c r="H1799" s="55" t="s">
        <v>1676</v>
      </c>
      <c r="I1799" s="55" t="s">
        <v>1676</v>
      </c>
      <c r="J1799" s="55" t="s">
        <v>1677</v>
      </c>
      <c r="K1799" s="55" t="s">
        <v>300</v>
      </c>
      <c r="L1799" s="55" t="s">
        <v>5492</v>
      </c>
      <c r="M1799" s="60" t="s">
        <v>2342</v>
      </c>
      <c r="N1799" s="60" t="s">
        <v>2342</v>
      </c>
      <c r="O1799" s="55"/>
      <c r="P1799" s="67"/>
      <c r="Q1799" s="67"/>
      <c r="R1799" s="67"/>
      <c r="S1799" s="67"/>
      <c r="T1799" s="56">
        <v>45.08</v>
      </c>
      <c r="U1799" s="103">
        <v>1630000.0000000002</v>
      </c>
      <c r="V1799" s="103">
        <v>1000000</v>
      </c>
      <c r="W1799" s="103">
        <v>494292.37082134798</v>
      </c>
      <c r="X1799" s="103">
        <v>1630000.0000000002</v>
      </c>
      <c r="Y1799" s="162">
        <v>12.89</v>
      </c>
      <c r="Z1799" s="56">
        <v>-0.17</v>
      </c>
      <c r="AA1799" s="56">
        <v>-0.38</v>
      </c>
      <c r="AB1799" s="56">
        <v>-0.23</v>
      </c>
      <c r="AC1799" s="56">
        <v>0.89749999999999996</v>
      </c>
      <c r="AD1799" s="56">
        <v>-0.28000000000000003</v>
      </c>
      <c r="AE1799" s="56">
        <v>-0.43</v>
      </c>
      <c r="AF1799" s="56">
        <f t="shared" si="472"/>
        <v>-0.38</v>
      </c>
      <c r="AG1799" s="57">
        <v>-0.08</v>
      </c>
      <c r="AH1799" s="103">
        <v>1.66E-5</v>
      </c>
      <c r="AI1799" s="103">
        <v>1.77E-5</v>
      </c>
      <c r="AJ1799" s="62">
        <f t="shared" si="475"/>
        <v>-3.1684582382725965</v>
      </c>
      <c r="AK1799" s="62">
        <f>LOG10(AI1799*1000/(0.08206*298.15))</f>
        <v>-3.1405930599508451</v>
      </c>
      <c r="AL1799" s="62">
        <f t="shared" si="473"/>
        <v>-3.1405930599508451</v>
      </c>
      <c r="AM1799" s="62">
        <v>-2.8848699999999998</v>
      </c>
      <c r="AN1799" s="154">
        <v>-3.09</v>
      </c>
      <c r="AO1799" s="410"/>
      <c r="AP1799" s="410">
        <v>10.74</v>
      </c>
      <c r="AQ1799" s="154" t="s">
        <v>6311</v>
      </c>
      <c r="AR1799" s="154" t="s">
        <v>6311</v>
      </c>
      <c r="AS1799" s="149" t="s">
        <v>6</v>
      </c>
      <c r="AT1799" s="58" t="s">
        <v>266</v>
      </c>
      <c r="AU1799" s="56">
        <v>2</v>
      </c>
      <c r="AV1799" s="56">
        <v>96</v>
      </c>
      <c r="AW1799" s="56">
        <v>96</v>
      </c>
      <c r="AX1799" s="56">
        <v>25</v>
      </c>
      <c r="AY1799" s="56" t="s">
        <v>8722</v>
      </c>
      <c r="AZ1799" s="56" t="s">
        <v>1563</v>
      </c>
      <c r="BA1799" s="56">
        <v>12</v>
      </c>
      <c r="BB1799" s="55" t="s">
        <v>888</v>
      </c>
      <c r="BC1799" s="55" t="s">
        <v>538</v>
      </c>
      <c r="BD1799" s="55"/>
      <c r="BE1799" s="56" t="s">
        <v>271</v>
      </c>
      <c r="BF1799" s="56" t="s">
        <v>272</v>
      </c>
      <c r="BG1799" s="56" t="s">
        <v>539</v>
      </c>
      <c r="BH1799" s="56" t="s">
        <v>272</v>
      </c>
      <c r="BI1799" s="153">
        <v>45.08</v>
      </c>
      <c r="BJ1799" s="153">
        <v>9016</v>
      </c>
      <c r="BK1799" s="56"/>
      <c r="BL1799" s="153">
        <v>3292.0081928497075</v>
      </c>
      <c r="BM1799" s="56">
        <v>0</v>
      </c>
      <c r="BN1799" s="56"/>
      <c r="BO1799" s="56"/>
      <c r="BP1799" s="56"/>
      <c r="BQ1799" s="56">
        <v>396.70400000000001</v>
      </c>
      <c r="BR1799" s="56"/>
      <c r="BS1799" s="56"/>
      <c r="BT1799" s="56"/>
      <c r="BU1799" s="158"/>
      <c r="BV1799" s="56"/>
      <c r="BW1799" s="56"/>
      <c r="BX1799" s="56"/>
      <c r="BY1799" s="56"/>
      <c r="BZ1799" s="56"/>
      <c r="CA1799" s="56"/>
      <c r="CB1799" s="56"/>
      <c r="CC1799" s="56"/>
      <c r="CD1799" s="56"/>
      <c r="CE1799" s="56"/>
      <c r="CF1799" s="56"/>
      <c r="CG1799" s="56"/>
      <c r="CH1799" s="56"/>
      <c r="CI1799" s="103">
        <v>396.70400000000001</v>
      </c>
      <c r="CJ1799" s="103">
        <f t="shared" si="468"/>
        <v>2.5984665795242377</v>
      </c>
      <c r="CK1799" s="57">
        <f t="shared" si="466"/>
        <v>0.36512956886088149</v>
      </c>
      <c r="CL1799" s="160">
        <f t="shared" si="469"/>
        <v>8.2983992922927605</v>
      </c>
      <c r="CM1799" s="160"/>
      <c r="CN1799" s="160"/>
      <c r="CO1799" s="55"/>
      <c r="CP1799" s="497" t="s">
        <v>1564</v>
      </c>
      <c r="CQ1799" s="149">
        <v>1.8562017499840486</v>
      </c>
      <c r="CR1799" s="349">
        <f t="shared" si="474"/>
        <v>5.5241419465606452</v>
      </c>
      <c r="CS1799" s="61" t="s">
        <v>539</v>
      </c>
      <c r="CT1799" s="61"/>
      <c r="CU1799" s="111">
        <f t="shared" si="470"/>
        <v>4108.8569815277897</v>
      </c>
      <c r="CV1799" s="331">
        <f t="shared" si="467"/>
        <v>180.78970718722275</v>
      </c>
      <c r="CW1799" s="326">
        <f t="shared" si="471"/>
        <v>1</v>
      </c>
      <c r="CX1799" s="326"/>
      <c r="CY1799" s="161" t="s">
        <v>6351</v>
      </c>
    </row>
    <row r="1800" spans="1:103" ht="11.25" customHeight="1" x14ac:dyDescent="0.2">
      <c r="A1800" s="72">
        <v>166</v>
      </c>
      <c r="B1800" s="149">
        <v>503</v>
      </c>
      <c r="C1800" s="54" t="s">
        <v>1619</v>
      </c>
      <c r="D1800" s="54" t="s">
        <v>6464</v>
      </c>
      <c r="E1800" s="59"/>
      <c r="F1800" s="59" t="s">
        <v>1620</v>
      </c>
      <c r="G1800" s="151">
        <v>107200</v>
      </c>
      <c r="H1800" s="55" t="s">
        <v>1621</v>
      </c>
      <c r="I1800" s="55" t="s">
        <v>8300</v>
      </c>
      <c r="J1800" s="55" t="s">
        <v>1622</v>
      </c>
      <c r="K1800" s="55" t="s">
        <v>511</v>
      </c>
      <c r="L1800" s="55" t="s">
        <v>5492</v>
      </c>
      <c r="M1800" s="55" t="s">
        <v>6062</v>
      </c>
      <c r="N1800" s="60" t="s">
        <v>6088</v>
      </c>
      <c r="O1800" s="55" t="s">
        <v>6063</v>
      </c>
      <c r="P1800" s="67"/>
      <c r="Q1800" s="67"/>
      <c r="R1800" s="67"/>
      <c r="S1800" s="67"/>
      <c r="T1800" s="56">
        <v>78.5</v>
      </c>
      <c r="U1800" s="103"/>
      <c r="V1800" s="103">
        <v>110700</v>
      </c>
      <c r="W1800" s="103">
        <v>53072.513568270573</v>
      </c>
      <c r="X1800" s="103">
        <v>53072.513568270573</v>
      </c>
      <c r="Y1800" s="162">
        <v>7</v>
      </c>
      <c r="Z1800" s="56">
        <v>0.09</v>
      </c>
      <c r="AA1800" s="56"/>
      <c r="AB1800" s="56">
        <v>0.75</v>
      </c>
      <c r="AC1800" s="56">
        <v>0.84689999999999999</v>
      </c>
      <c r="AD1800" s="56">
        <v>0.55000000000000004</v>
      </c>
      <c r="AE1800" s="56">
        <v>0.02</v>
      </c>
      <c r="AF1800" s="56">
        <f t="shared" si="472"/>
        <v>0.55000000000000004</v>
      </c>
      <c r="AG1800" s="57">
        <v>0.43</v>
      </c>
      <c r="AH1800" s="103">
        <v>2.3900000000000002E-5</v>
      </c>
      <c r="AI1800" s="103"/>
      <c r="AJ1800" s="62">
        <f t="shared" si="475"/>
        <v>-3.010168425364514</v>
      </c>
      <c r="AK1800" s="62"/>
      <c r="AL1800" s="62">
        <f t="shared" si="473"/>
        <v>-3.010168425364514</v>
      </c>
      <c r="AM1800" s="62">
        <v>-3.4015000000000004</v>
      </c>
      <c r="AN1800" s="154">
        <v>-3.15</v>
      </c>
      <c r="AO1800" s="410"/>
      <c r="AP1800" s="410"/>
      <c r="AQ1800" s="154" t="s">
        <v>6311</v>
      </c>
      <c r="AR1800" s="154" t="s">
        <v>6311</v>
      </c>
      <c r="AS1800" s="149" t="s">
        <v>6</v>
      </c>
      <c r="AT1800" s="58" t="s">
        <v>266</v>
      </c>
      <c r="AU1800" s="56">
        <v>2</v>
      </c>
      <c r="AV1800" s="56">
        <v>96</v>
      </c>
      <c r="AW1800" s="56">
        <v>96</v>
      </c>
      <c r="AX1800" s="56">
        <v>25</v>
      </c>
      <c r="AY1800" s="56" t="s">
        <v>8722</v>
      </c>
      <c r="AZ1800" s="56" t="s">
        <v>1563</v>
      </c>
      <c r="BA1800" s="56">
        <v>12</v>
      </c>
      <c r="BB1800" s="55" t="s">
        <v>888</v>
      </c>
      <c r="BC1800" s="55" t="s">
        <v>538</v>
      </c>
      <c r="BD1800" s="55"/>
      <c r="BE1800" s="56" t="s">
        <v>271</v>
      </c>
      <c r="BF1800" s="56" t="s">
        <v>272</v>
      </c>
      <c r="BG1800" s="56" t="s">
        <v>539</v>
      </c>
      <c r="BH1800" s="56" t="s">
        <v>272</v>
      </c>
      <c r="BI1800" s="153">
        <v>7.85E-2</v>
      </c>
      <c r="BJ1800" s="153">
        <v>78.5</v>
      </c>
      <c r="BK1800" s="56"/>
      <c r="BL1800" s="153">
        <v>3348.4256241143116</v>
      </c>
      <c r="BM1800" s="56">
        <v>0</v>
      </c>
      <c r="BN1800" s="56"/>
      <c r="BO1800" s="56"/>
      <c r="BP1800" s="56"/>
      <c r="BQ1800" s="56">
        <v>3.3510000000000004</v>
      </c>
      <c r="BR1800" s="56"/>
      <c r="BS1800" s="56"/>
      <c r="BT1800" s="56"/>
      <c r="BU1800" s="158"/>
      <c r="BV1800" s="56"/>
      <c r="BW1800" s="56"/>
      <c r="BX1800" s="56"/>
      <c r="BY1800" s="56"/>
      <c r="BZ1800" s="56"/>
      <c r="CA1800" s="56"/>
      <c r="CB1800" s="56"/>
      <c r="CC1800" s="56"/>
      <c r="CD1800" s="56"/>
      <c r="CE1800" s="56"/>
      <c r="CF1800" s="56"/>
      <c r="CG1800" s="56"/>
      <c r="CH1800" s="56"/>
      <c r="CI1800" s="103">
        <v>3.3510000000000004</v>
      </c>
      <c r="CJ1800" s="103">
        <f t="shared" si="468"/>
        <v>0.52517442783527157</v>
      </c>
      <c r="CK1800" s="57">
        <f t="shared" si="466"/>
        <v>42.655103491902061</v>
      </c>
      <c r="CL1800" s="160">
        <f t="shared" si="469"/>
        <v>999.23175891205949</v>
      </c>
      <c r="CM1800" s="160">
        <v>0.52504480703684508</v>
      </c>
      <c r="CN1800" s="160">
        <f>BJ1800/(10^CM1800)</f>
        <v>23.432835820895527</v>
      </c>
      <c r="CO1800" s="55"/>
      <c r="CP1800" s="497" t="s">
        <v>1564</v>
      </c>
      <c r="CQ1800" s="149">
        <v>0.5251711694035609</v>
      </c>
      <c r="CR1800" s="349">
        <f t="shared" si="474"/>
        <v>1.0000075028444297</v>
      </c>
      <c r="CS1800" s="61" t="s">
        <v>539</v>
      </c>
      <c r="CT1800" s="61"/>
      <c r="CU1800" s="111">
        <f t="shared" si="470"/>
        <v>15837.813658093275</v>
      </c>
      <c r="CV1800" s="331">
        <f t="shared" si="467"/>
        <v>676.08297539198179</v>
      </c>
      <c r="CW1800" s="326">
        <f t="shared" si="471"/>
        <v>1</v>
      </c>
      <c r="CX1800" s="326"/>
      <c r="CY1800" s="161" t="s">
        <v>6351</v>
      </c>
    </row>
    <row r="1801" spans="1:103" ht="11.25" customHeight="1" x14ac:dyDescent="0.2">
      <c r="A1801" s="72">
        <v>456</v>
      </c>
      <c r="B1801" s="149">
        <v>558</v>
      </c>
      <c r="C1801" s="54" t="s">
        <v>1731</v>
      </c>
      <c r="D1801" s="54" t="s">
        <v>6597</v>
      </c>
      <c r="E1801" s="59"/>
      <c r="F1801" s="59" t="s">
        <v>1732</v>
      </c>
      <c r="G1801" s="151">
        <v>100618</v>
      </c>
      <c r="H1801" s="55" t="s">
        <v>1733</v>
      </c>
      <c r="I1801" s="55" t="s">
        <v>1733</v>
      </c>
      <c r="J1801" s="55" t="s">
        <v>1734</v>
      </c>
      <c r="K1801" s="55" t="s">
        <v>426</v>
      </c>
      <c r="L1801" s="55" t="s">
        <v>5527</v>
      </c>
      <c r="M1801" s="55" t="s">
        <v>6082</v>
      </c>
      <c r="N1801" s="60" t="s">
        <v>6082</v>
      </c>
      <c r="O1801" s="55" t="s">
        <v>6083</v>
      </c>
      <c r="P1801" s="67"/>
      <c r="Q1801" s="67" t="s">
        <v>6173</v>
      </c>
      <c r="R1801" s="67" t="s">
        <v>6185</v>
      </c>
      <c r="S1801" s="67" t="s">
        <v>6176</v>
      </c>
      <c r="T1801" s="56">
        <v>107.15</v>
      </c>
      <c r="U1801" s="103">
        <v>5620</v>
      </c>
      <c r="V1801" s="103">
        <v>4249</v>
      </c>
      <c r="W1801" s="103">
        <v>3630.7151330315546</v>
      </c>
      <c r="X1801" s="103">
        <v>5620</v>
      </c>
      <c r="Y1801" s="162">
        <v>8.6199999999999992</v>
      </c>
      <c r="Z1801" s="56">
        <v>1.62</v>
      </c>
      <c r="AA1801" s="56">
        <v>1.66</v>
      </c>
      <c r="AB1801" s="56">
        <v>1.98</v>
      </c>
      <c r="AC1801" s="56">
        <v>0.91490000000000005</v>
      </c>
      <c r="AD1801" s="56">
        <v>1.9</v>
      </c>
      <c r="AE1801" s="56">
        <v>1.6</v>
      </c>
      <c r="AF1801" s="56">
        <f t="shared" si="472"/>
        <v>1.66</v>
      </c>
      <c r="AG1801" s="57">
        <v>1.74</v>
      </c>
      <c r="AH1801" s="103">
        <v>4.1799999999999998E-6</v>
      </c>
      <c r="AI1801" s="103">
        <v>8.8799999999999997E-6</v>
      </c>
      <c r="AJ1801" s="62">
        <f t="shared" si="475"/>
        <v>-3.7673900445376165</v>
      </c>
      <c r="AK1801" s="62">
        <f>LOG10(AI1801*1000/(0.08206*298.15))</f>
        <v>-3.4401533605340506</v>
      </c>
      <c r="AL1801" s="62">
        <f t="shared" si="473"/>
        <v>-3.4401533605340506</v>
      </c>
      <c r="AM1801" s="62">
        <v>-5.276489999999999</v>
      </c>
      <c r="AN1801" s="154">
        <v>-3.47</v>
      </c>
      <c r="AO1801" s="410"/>
      <c r="AP1801" s="410">
        <v>4.7</v>
      </c>
      <c r="AQ1801" s="154" t="s">
        <v>6311</v>
      </c>
      <c r="AR1801" s="154" t="s">
        <v>6311</v>
      </c>
      <c r="AS1801" s="149" t="s">
        <v>6</v>
      </c>
      <c r="AT1801" s="58" t="s">
        <v>266</v>
      </c>
      <c r="AU1801" s="56">
        <v>2</v>
      </c>
      <c r="AV1801" s="56">
        <v>96</v>
      </c>
      <c r="AW1801" s="56">
        <v>96</v>
      </c>
      <c r="AX1801" s="56">
        <v>25</v>
      </c>
      <c r="AY1801" s="56" t="s">
        <v>8722</v>
      </c>
      <c r="AZ1801" s="56" t="s">
        <v>1563</v>
      </c>
      <c r="BA1801" s="56">
        <v>12</v>
      </c>
      <c r="BB1801" s="55" t="s">
        <v>888</v>
      </c>
      <c r="BC1801" s="55" t="s">
        <v>538</v>
      </c>
      <c r="BD1801" s="55"/>
      <c r="BE1801" s="56" t="s">
        <v>271</v>
      </c>
      <c r="BF1801" s="56" t="s">
        <v>272</v>
      </c>
      <c r="BG1801" s="56" t="s">
        <v>539</v>
      </c>
      <c r="BH1801" s="56" t="s">
        <v>272</v>
      </c>
      <c r="BI1801" s="153">
        <v>1.0715000000000001E-2</v>
      </c>
      <c r="BJ1801" s="153">
        <v>5.3575000000000005E-2</v>
      </c>
      <c r="BK1801" s="56"/>
      <c r="BL1801" s="153">
        <v>193.13908757131543</v>
      </c>
      <c r="BM1801" s="56">
        <v>0</v>
      </c>
      <c r="BN1801" s="56"/>
      <c r="BO1801" s="56"/>
      <c r="BP1801" s="56"/>
      <c r="BQ1801" s="56">
        <v>7.6076500000000005E-2</v>
      </c>
      <c r="BR1801" s="56"/>
      <c r="BS1801" s="56"/>
      <c r="BT1801" s="56"/>
      <c r="BU1801" s="158"/>
      <c r="BV1801" s="56"/>
      <c r="BW1801" s="56"/>
      <c r="BX1801" s="56"/>
      <c r="BY1801" s="56"/>
      <c r="BZ1801" s="56"/>
      <c r="CA1801" s="56"/>
      <c r="CB1801" s="56"/>
      <c r="CC1801" s="56"/>
      <c r="CD1801" s="56"/>
      <c r="CE1801" s="56"/>
      <c r="CF1801" s="56"/>
      <c r="CG1801" s="56"/>
      <c r="CH1801" s="56"/>
      <c r="CI1801" s="103">
        <v>7.6076500000000005E-2</v>
      </c>
      <c r="CJ1801" s="103">
        <f t="shared" si="468"/>
        <v>-1.1187494759030772</v>
      </c>
      <c r="CK1801" s="57">
        <f t="shared" si="466"/>
        <v>3605.0226331556773</v>
      </c>
      <c r="CL1801" s="160">
        <f t="shared" si="469"/>
        <v>2538.7483332082234</v>
      </c>
      <c r="CM1801" s="160">
        <v>2</v>
      </c>
      <c r="CN1801" s="160">
        <f>BJ1801/(10^CM1801)</f>
        <v>5.3575000000000009E-4</v>
      </c>
      <c r="CO1801" s="55"/>
      <c r="CP1801" s="497" t="s">
        <v>1564</v>
      </c>
      <c r="CQ1801" s="149">
        <v>0.44062526204846136</v>
      </c>
      <c r="CR1801" s="349">
        <f t="shared" si="474"/>
        <v>2.7581968747716311E-2</v>
      </c>
      <c r="CS1801" s="61" t="s">
        <v>539</v>
      </c>
      <c r="CT1801" s="61"/>
      <c r="CU1801" s="111">
        <f t="shared" si="470"/>
        <v>73873.0094050068</v>
      </c>
      <c r="CV1801" s="331">
        <f t="shared" si="467"/>
        <v>104899.67335510965</v>
      </c>
      <c r="CW1801" s="326">
        <f t="shared" si="471"/>
        <v>1</v>
      </c>
      <c r="CX1801" s="326"/>
      <c r="CY1801" s="161" t="s">
        <v>6351</v>
      </c>
    </row>
    <row r="1802" spans="1:103" ht="11.25" customHeight="1" x14ac:dyDescent="0.2">
      <c r="A1802" s="72">
        <v>1722</v>
      </c>
      <c r="B1802" s="241">
        <v>590</v>
      </c>
      <c r="C1802" s="32" t="s">
        <v>7652</v>
      </c>
      <c r="D1802" s="32" t="s">
        <v>8581</v>
      </c>
      <c r="E1802" s="40"/>
      <c r="F1802" s="40" t="s">
        <v>1768</v>
      </c>
      <c r="G1802" s="242">
        <v>106514</v>
      </c>
      <c r="H1802" s="36" t="s">
        <v>1769</v>
      </c>
      <c r="I1802" s="36" t="s">
        <v>8215</v>
      </c>
      <c r="J1802" s="36" t="s">
        <v>1770</v>
      </c>
      <c r="K1802" s="36" t="s">
        <v>1771</v>
      </c>
      <c r="L1802" s="41" t="s">
        <v>5527</v>
      </c>
      <c r="M1802" s="41" t="s">
        <v>8685</v>
      </c>
      <c r="N1802" s="36" t="s">
        <v>6088</v>
      </c>
      <c r="O1802" s="480" t="s">
        <v>8684</v>
      </c>
      <c r="P1802" s="41" t="s">
        <v>8538</v>
      </c>
      <c r="Q1802" s="41" t="s">
        <v>6173</v>
      </c>
      <c r="R1802" s="41" t="s">
        <v>8540</v>
      </c>
      <c r="S1802" s="41" t="s">
        <v>6173</v>
      </c>
      <c r="T1802" s="37">
        <v>108.09</v>
      </c>
      <c r="U1802" s="243">
        <v>11100</v>
      </c>
      <c r="V1802" s="243">
        <v>74480</v>
      </c>
      <c r="W1802" s="243">
        <v>10322.514862305698</v>
      </c>
      <c r="X1802" s="243">
        <v>11100</v>
      </c>
      <c r="Y1802" s="414">
        <v>7</v>
      </c>
      <c r="Z1802" s="37">
        <v>0.25</v>
      </c>
      <c r="AA1802" s="37">
        <v>0.2</v>
      </c>
      <c r="AB1802" s="37">
        <v>0.08</v>
      </c>
      <c r="AC1802" s="37">
        <v>0.83720000000000006</v>
      </c>
      <c r="AD1802" s="37">
        <v>0.13</v>
      </c>
      <c r="AE1802" s="37">
        <v>0.27</v>
      </c>
      <c r="AF1802" s="37">
        <f t="shared" si="472"/>
        <v>0.2</v>
      </c>
      <c r="AG1802" s="38">
        <v>0.38</v>
      </c>
      <c r="AH1802" s="243">
        <v>1.2199999999999999E-9</v>
      </c>
      <c r="AI1802" s="243">
        <v>4.7899999999999999E-4</v>
      </c>
      <c r="AJ1802" s="34">
        <f t="shared" si="475"/>
        <v>-7.3022064956379031</v>
      </c>
      <c r="AK1802" s="34">
        <f>LOG10(AI1802*1000/(0.08206*298.15))</f>
        <v>-1.7082308128980885</v>
      </c>
      <c r="AL1802" s="34">
        <f t="shared" si="473"/>
        <v>-1.7082308128980885</v>
      </c>
      <c r="AM1802" s="34">
        <v>-5.0524300000000002</v>
      </c>
      <c r="AN1802" s="244">
        <v>-6.93</v>
      </c>
      <c r="AO1802" s="417"/>
      <c r="AP1802" s="417"/>
      <c r="AQ1802" s="244" t="s">
        <v>6311</v>
      </c>
      <c r="AR1802" s="244" t="s">
        <v>6311</v>
      </c>
      <c r="AS1802" s="241" t="s">
        <v>6</v>
      </c>
      <c r="AT1802" s="39" t="s">
        <v>266</v>
      </c>
      <c r="AU1802" s="37">
        <v>2</v>
      </c>
      <c r="AV1802" s="37">
        <v>48</v>
      </c>
      <c r="AW1802" s="37">
        <v>48</v>
      </c>
      <c r="AX1802" s="37">
        <v>25</v>
      </c>
      <c r="AY1802" s="37" t="s">
        <v>8722</v>
      </c>
      <c r="AZ1802" s="37" t="s">
        <v>1563</v>
      </c>
      <c r="BA1802" s="37">
        <v>12</v>
      </c>
      <c r="BB1802" s="36" t="s">
        <v>888</v>
      </c>
      <c r="BC1802" s="36" t="s">
        <v>538</v>
      </c>
      <c r="BD1802" s="36"/>
      <c r="BE1802" s="37" t="s">
        <v>271</v>
      </c>
      <c r="BF1802" s="37" t="s">
        <v>272</v>
      </c>
      <c r="BG1802" s="37" t="s">
        <v>539</v>
      </c>
      <c r="BH1802" s="37" t="s">
        <v>272</v>
      </c>
      <c r="BI1802" s="250">
        <v>5.4045000000000003E-2</v>
      </c>
      <c r="BJ1802" s="250">
        <v>1.0809</v>
      </c>
      <c r="BK1802" s="37"/>
      <c r="BL1802" s="263">
        <v>3311.7726622286805</v>
      </c>
      <c r="BM1802" s="37">
        <v>0</v>
      </c>
      <c r="BN1802" s="37"/>
      <c r="BO1802" s="37">
        <v>0.47195633672525439</v>
      </c>
      <c r="BP1802" s="37"/>
      <c r="BQ1802" s="37"/>
      <c r="BR1802" s="37"/>
      <c r="BS1802" s="37"/>
      <c r="BT1802" s="37"/>
      <c r="BU1802" s="246"/>
      <c r="BV1802" s="37"/>
      <c r="BW1802" s="37"/>
      <c r="BX1802" s="37"/>
      <c r="BY1802" s="37"/>
      <c r="BZ1802" s="37"/>
      <c r="CA1802" s="37"/>
      <c r="CB1802" s="37"/>
      <c r="CC1802" s="37"/>
      <c r="CD1802" s="37"/>
      <c r="CE1802" s="37"/>
      <c r="CF1802" s="37"/>
      <c r="CG1802" s="37"/>
      <c r="CH1802" s="37"/>
      <c r="CI1802" s="243">
        <v>0.47195633672525439</v>
      </c>
      <c r="CJ1802" s="243">
        <f t="shared" si="468"/>
        <v>-0.32609817847699163</v>
      </c>
      <c r="CK1802" s="38">
        <f t="shared" si="466"/>
        <v>3063.9029163000096</v>
      </c>
      <c r="CL1802" s="247">
        <f t="shared" si="469"/>
        <v>7017.1166366955731</v>
      </c>
      <c r="CM1802" s="247">
        <v>-1.3458234581220399</v>
      </c>
      <c r="CN1802" s="247">
        <f>BJ1802/(10^CM1802)</f>
        <v>23.966740576496697</v>
      </c>
      <c r="CO1802" s="36"/>
      <c r="CP1802" s="496" t="s">
        <v>1564</v>
      </c>
      <c r="CQ1802" s="241">
        <v>-0.98035849438149669</v>
      </c>
      <c r="CR1802" s="241">
        <f t="shared" si="474"/>
        <v>4.5108700485915119</v>
      </c>
      <c r="CS1802" s="33"/>
      <c r="CT1802" s="33"/>
      <c r="CU1802" s="250">
        <f t="shared" si="470"/>
        <v>23519.124834765757</v>
      </c>
      <c r="CV1802" s="337">
        <f t="shared" si="467"/>
        <v>10269.220094365806</v>
      </c>
      <c r="CW1802" s="330">
        <f t="shared" si="471"/>
        <v>1</v>
      </c>
      <c r="CX1802" s="330"/>
      <c r="CY1802" s="143" t="s">
        <v>6351</v>
      </c>
    </row>
    <row r="1803" spans="1:103" ht="11.25" customHeight="1" x14ac:dyDescent="0.2">
      <c r="A1803" s="72">
        <v>498</v>
      </c>
      <c r="B1803" s="149">
        <v>827</v>
      </c>
      <c r="C1803" s="54" t="s">
        <v>6785</v>
      </c>
      <c r="D1803" s="54" t="s">
        <v>6786</v>
      </c>
      <c r="E1803" s="59"/>
      <c r="F1803" s="59" t="s">
        <v>2355</v>
      </c>
      <c r="G1803" s="151">
        <v>13463417</v>
      </c>
      <c r="H1803" s="55" t="s">
        <v>2356</v>
      </c>
      <c r="I1803" s="55" t="s">
        <v>2356</v>
      </c>
      <c r="J1803" s="55" t="s">
        <v>2357</v>
      </c>
      <c r="K1803" s="55" t="s">
        <v>6617</v>
      </c>
      <c r="L1803" s="55" t="s">
        <v>5929</v>
      </c>
      <c r="M1803" s="55" t="s">
        <v>2342</v>
      </c>
      <c r="N1803" s="60" t="s">
        <v>2342</v>
      </c>
      <c r="O1803" s="55"/>
      <c r="P1803" s="67"/>
      <c r="Q1803" s="67"/>
      <c r="R1803" s="67"/>
      <c r="S1803" s="67"/>
      <c r="T1803" s="56">
        <v>317.7</v>
      </c>
      <c r="U1803" s="103"/>
      <c r="V1803" s="103">
        <v>487600</v>
      </c>
      <c r="W1803" s="103"/>
      <c r="X1803" s="103">
        <v>487600</v>
      </c>
      <c r="Y1803" s="162"/>
      <c r="Z1803" s="56">
        <v>-1.99</v>
      </c>
      <c r="AA1803" s="56"/>
      <c r="AB1803" s="56"/>
      <c r="AC1803" s="56"/>
      <c r="AD1803" s="56"/>
      <c r="AE1803" s="56"/>
      <c r="AF1803" s="56"/>
      <c r="AG1803" s="57" t="s">
        <v>5921</v>
      </c>
      <c r="AH1803" s="103">
        <v>8.1399999999999998E-22</v>
      </c>
      <c r="AI1803" s="103"/>
      <c r="AJ1803" s="62">
        <f t="shared" si="475"/>
        <v>-19.477941921423451</v>
      </c>
      <c r="AK1803" s="62"/>
      <c r="AL1803" s="62">
        <f t="shared" si="473"/>
        <v>-19.477941921423451</v>
      </c>
      <c r="AM1803" s="62"/>
      <c r="AN1803" s="154"/>
      <c r="AO1803" s="410"/>
      <c r="AP1803" s="410"/>
      <c r="AQ1803" s="56" t="s">
        <v>6311</v>
      </c>
      <c r="AR1803" s="56" t="s">
        <v>6311</v>
      </c>
      <c r="AS1803" s="149" t="s">
        <v>6</v>
      </c>
      <c r="AT1803" s="58" t="s">
        <v>266</v>
      </c>
      <c r="AU1803" s="61">
        <v>0</v>
      </c>
      <c r="AV1803" s="56">
        <v>96</v>
      </c>
      <c r="AW1803" s="56">
        <v>96</v>
      </c>
      <c r="AX1803" s="56">
        <v>25</v>
      </c>
      <c r="AY1803" s="56" t="s">
        <v>1780</v>
      </c>
      <c r="AZ1803" s="56" t="s">
        <v>2358</v>
      </c>
      <c r="BA1803" s="472" t="s">
        <v>2359</v>
      </c>
      <c r="BB1803" s="55" t="s">
        <v>2360</v>
      </c>
      <c r="BC1803" s="55" t="s">
        <v>2361</v>
      </c>
      <c r="BD1803" s="55"/>
      <c r="BE1803" s="56" t="s">
        <v>271</v>
      </c>
      <c r="BF1803" s="56" t="s">
        <v>8722</v>
      </c>
      <c r="BG1803" s="56" t="s">
        <v>2362</v>
      </c>
      <c r="BH1803" s="56" t="s">
        <v>2363</v>
      </c>
      <c r="BI1803" s="153">
        <v>3.0000000000000001E-3</v>
      </c>
      <c r="BJ1803" s="153">
        <v>0.3</v>
      </c>
      <c r="BK1803" s="56"/>
      <c r="BL1803" s="153">
        <v>1000083.3911979881</v>
      </c>
      <c r="BM1803" s="56" t="s">
        <v>1584</v>
      </c>
      <c r="BN1803" s="56"/>
      <c r="BO1803" s="56"/>
      <c r="BP1803" s="56"/>
      <c r="BQ1803" s="56">
        <v>7.000000000000008E-3</v>
      </c>
      <c r="BR1803" s="56"/>
      <c r="BS1803" s="56"/>
      <c r="BT1803" s="56"/>
      <c r="BU1803" s="158"/>
      <c r="BV1803" s="56"/>
      <c r="BW1803" s="56"/>
      <c r="BX1803" s="56"/>
      <c r="BY1803" s="56"/>
      <c r="BZ1803" s="56"/>
      <c r="CA1803" s="56"/>
      <c r="CB1803" s="56"/>
      <c r="CC1803" s="56"/>
      <c r="CD1803" s="56"/>
      <c r="CE1803" s="56"/>
      <c r="CF1803" s="56"/>
      <c r="CG1803" s="56"/>
      <c r="CH1803" s="56"/>
      <c r="CI1803" s="103">
        <v>7.000000000000008E-3</v>
      </c>
      <c r="CJ1803" s="103">
        <f t="shared" si="468"/>
        <v>-2.1549019599857426</v>
      </c>
      <c r="CK1803" s="57">
        <f t="shared" si="466"/>
        <v>3333611.3039932935</v>
      </c>
      <c r="CL1803" s="160">
        <f t="shared" si="469"/>
        <v>142869055.8854267</v>
      </c>
      <c r="CM1803" s="160"/>
      <c r="CN1803" s="160"/>
      <c r="CO1803" s="55"/>
      <c r="CP1803" s="497" t="s">
        <v>2364</v>
      </c>
      <c r="CQ1803" s="149">
        <v>-2.5399383368546382</v>
      </c>
      <c r="CR1803" s="349">
        <f t="shared" si="474"/>
        <v>2.4268133584853815</v>
      </c>
      <c r="CS1803" s="61" t="s">
        <v>539</v>
      </c>
      <c r="CT1803" s="61"/>
      <c r="CU1803" s="111">
        <f t="shared" si="470"/>
        <v>69657142.857142776</v>
      </c>
      <c r="CV1803" s="331">
        <f t="shared" si="467"/>
        <v>1625333.3333333335</v>
      </c>
      <c r="CW1803" s="326">
        <f t="shared" si="471"/>
        <v>1</v>
      </c>
      <c r="CX1803" s="326"/>
      <c r="CY1803" s="161" t="s">
        <v>6351</v>
      </c>
    </row>
    <row r="1804" spans="1:103" ht="11.25" customHeight="1" x14ac:dyDescent="0.2">
      <c r="A1804" s="72">
        <v>1614</v>
      </c>
      <c r="B1804" s="241">
        <v>2057</v>
      </c>
      <c r="C1804" s="32" t="s">
        <v>6939</v>
      </c>
      <c r="D1804" s="32"/>
      <c r="E1804" s="40"/>
      <c r="F1804" s="40" t="s">
        <v>3560</v>
      </c>
      <c r="G1804" s="242">
        <v>50351</v>
      </c>
      <c r="H1804" s="36" t="s">
        <v>5651</v>
      </c>
      <c r="I1804" s="36" t="s">
        <v>8205</v>
      </c>
      <c r="J1804" s="36" t="s">
        <v>5652</v>
      </c>
      <c r="K1804" s="36" t="s">
        <v>1314</v>
      </c>
      <c r="L1804" s="36" t="s">
        <v>279</v>
      </c>
      <c r="M1804" s="36" t="s">
        <v>3563</v>
      </c>
      <c r="N1804" s="36" t="s">
        <v>2342</v>
      </c>
      <c r="O1804" s="36" t="s">
        <v>281</v>
      </c>
      <c r="P1804" s="41" t="s">
        <v>8537</v>
      </c>
      <c r="Q1804" s="41" t="s">
        <v>6173</v>
      </c>
      <c r="R1804" s="41" t="s">
        <v>6183</v>
      </c>
      <c r="S1804" s="41" t="s">
        <v>6173</v>
      </c>
      <c r="T1804" s="37">
        <v>258.06</v>
      </c>
      <c r="U1804" s="243">
        <v>545</v>
      </c>
      <c r="V1804" s="243">
        <v>544.79999999999995</v>
      </c>
      <c r="W1804" s="243">
        <v>1785.3390035534064</v>
      </c>
      <c r="X1804" s="243">
        <v>545</v>
      </c>
      <c r="Y1804" s="414">
        <v>6.41</v>
      </c>
      <c r="Z1804" s="37">
        <v>-0.24</v>
      </c>
      <c r="AA1804" s="37">
        <v>0.33</v>
      </c>
      <c r="AB1804" s="37">
        <v>0.45</v>
      </c>
      <c r="AC1804" s="37">
        <v>0.73229999999999995</v>
      </c>
      <c r="AD1804" s="37">
        <v>0.48</v>
      </c>
      <c r="AE1804" s="37">
        <v>0.54</v>
      </c>
      <c r="AF1804" s="37">
        <f>IF(AA1804=0,AD1804,AA1804)</f>
        <v>0.33</v>
      </c>
      <c r="AG1804" s="37">
        <v>-0.12</v>
      </c>
      <c r="AH1804" s="243">
        <v>1.29E-16</v>
      </c>
      <c r="AI1804" s="243"/>
      <c r="AJ1804" s="34">
        <f t="shared" si="475"/>
        <v>-14.277976616013403</v>
      </c>
      <c r="AK1804" s="34"/>
      <c r="AL1804" s="34">
        <f t="shared" si="473"/>
        <v>-14.277976616013403</v>
      </c>
      <c r="AM1804" s="34">
        <v>-19.407769999999999</v>
      </c>
      <c r="AN1804" s="244"/>
      <c r="AO1804" s="417">
        <v>10.7</v>
      </c>
      <c r="AP1804" s="417">
        <v>-2.5499999999999998</v>
      </c>
      <c r="AQ1804" s="244" t="s">
        <v>6311</v>
      </c>
      <c r="AR1804" s="244" t="s">
        <v>6311</v>
      </c>
      <c r="AS1804" s="241" t="s">
        <v>5466</v>
      </c>
      <c r="AT1804" s="39" t="s">
        <v>266</v>
      </c>
      <c r="AU1804" s="37">
        <v>72</v>
      </c>
      <c r="AV1804" s="37">
        <v>96</v>
      </c>
      <c r="AW1804" s="37">
        <v>24</v>
      </c>
      <c r="AX1804" s="37">
        <v>28.5</v>
      </c>
      <c r="AY1804" s="37" t="s">
        <v>5624</v>
      </c>
      <c r="AZ1804" s="37" t="s">
        <v>5625</v>
      </c>
      <c r="BA1804" s="37">
        <v>20</v>
      </c>
      <c r="BB1804" s="36" t="s">
        <v>5487</v>
      </c>
      <c r="BC1804" s="36" t="s">
        <v>5506</v>
      </c>
      <c r="BD1804" s="36"/>
      <c r="BE1804" s="37" t="s">
        <v>2449</v>
      </c>
      <c r="BF1804" s="37"/>
      <c r="BG1804" s="37"/>
      <c r="BH1804" s="37" t="s">
        <v>5626</v>
      </c>
      <c r="BI1804" s="243">
        <v>6.4515000000000002</v>
      </c>
      <c r="BJ1804" s="243">
        <v>7.7417999999999996</v>
      </c>
      <c r="BK1804" s="37"/>
      <c r="BL1804" s="263">
        <v>21780.341903278175</v>
      </c>
      <c r="BM1804" s="37"/>
      <c r="BN1804" s="37"/>
      <c r="BO1804" s="37"/>
      <c r="BP1804" s="37"/>
      <c r="BQ1804" s="37"/>
      <c r="BR1804" s="37"/>
      <c r="BS1804" s="37"/>
      <c r="BT1804" s="37"/>
      <c r="BU1804" s="246"/>
      <c r="BV1804" s="37"/>
      <c r="BW1804" s="37"/>
      <c r="BX1804" s="37"/>
      <c r="BY1804" s="37"/>
      <c r="BZ1804" s="37"/>
      <c r="CA1804" s="37"/>
      <c r="CB1804" s="37"/>
      <c r="CC1804" s="37"/>
      <c r="CD1804" s="37">
        <v>7.1224559999999997</v>
      </c>
      <c r="CE1804" s="37"/>
      <c r="CF1804" s="37"/>
      <c r="CG1804" s="37"/>
      <c r="CH1804" s="37"/>
      <c r="CI1804" s="243">
        <v>7.1224559999999997</v>
      </c>
      <c r="CJ1804" s="243">
        <f t="shared" si="468"/>
        <v>0.85262977500295312</v>
      </c>
      <c r="CK1804" s="38">
        <f t="shared" si="466"/>
        <v>2813.3433960161947</v>
      </c>
      <c r="CL1804" s="38">
        <f t="shared" si="469"/>
        <v>3057.981952191516</v>
      </c>
      <c r="CM1804" s="38"/>
      <c r="CN1804" s="247"/>
      <c r="CO1804" s="36"/>
      <c r="CP1804" s="496" t="s">
        <v>5627</v>
      </c>
      <c r="CQ1804" s="241" t="s">
        <v>272</v>
      </c>
      <c r="CR1804" s="241"/>
      <c r="CS1804" s="33"/>
      <c r="CT1804" s="33"/>
      <c r="CU1804" s="250">
        <f t="shared" si="470"/>
        <v>76.518549219538883</v>
      </c>
      <c r="CV1804" s="337">
        <f t="shared" si="467"/>
        <v>70.39706528197577</v>
      </c>
      <c r="CW1804" s="330">
        <f t="shared" si="471"/>
        <v>1</v>
      </c>
      <c r="CX1804" s="330"/>
      <c r="CY1804" s="143" t="s">
        <v>5921</v>
      </c>
    </row>
    <row r="1805" spans="1:103" ht="11.25" customHeight="1" x14ac:dyDescent="0.2">
      <c r="A1805" s="72">
        <v>1797</v>
      </c>
      <c r="B1805" s="241">
        <v>2056</v>
      </c>
      <c r="C1805" s="32" t="s">
        <v>7693</v>
      </c>
      <c r="D1805" s="32"/>
      <c r="E1805" s="40"/>
      <c r="F1805" s="40" t="s">
        <v>5647</v>
      </c>
      <c r="G1805" s="242">
        <v>458377</v>
      </c>
      <c r="H1805" s="36" t="s">
        <v>5648</v>
      </c>
      <c r="I1805" s="36" t="s">
        <v>5648</v>
      </c>
      <c r="J1805" s="36" t="s">
        <v>5649</v>
      </c>
      <c r="K1805" s="36" t="s">
        <v>5650</v>
      </c>
      <c r="L1805" s="36"/>
      <c r="M1805" s="36"/>
      <c r="N1805" s="36"/>
      <c r="O1805" s="36"/>
      <c r="P1805" s="41"/>
      <c r="Q1805" s="41"/>
      <c r="R1805" s="41"/>
      <c r="S1805" s="41"/>
      <c r="T1805" s="37">
        <v>368.39</v>
      </c>
      <c r="U1805" s="243"/>
      <c r="V1805" s="243">
        <v>7.4749999999999996</v>
      </c>
      <c r="W1805" s="243">
        <v>99.153450641863671</v>
      </c>
      <c r="X1805" s="243">
        <v>99.153450641863671</v>
      </c>
      <c r="Y1805" s="414">
        <v>5.75</v>
      </c>
      <c r="Z1805" s="37">
        <v>3.29</v>
      </c>
      <c r="AA1805" s="37"/>
      <c r="AB1805" s="37">
        <v>2.39</v>
      </c>
      <c r="AC1805" s="37">
        <v>0.73240000000000005</v>
      </c>
      <c r="AD1805" s="37">
        <v>2.56</v>
      </c>
      <c r="AE1805" s="37">
        <v>2.92</v>
      </c>
      <c r="AF1805" s="37">
        <f>IF(AA1805=0,AD1805,AA1805)</f>
        <v>2.56</v>
      </c>
      <c r="AG1805" s="37">
        <v>2.56</v>
      </c>
      <c r="AH1805" s="243">
        <v>7.0399999999999998E-22</v>
      </c>
      <c r="AI1805" s="243"/>
      <c r="AJ1805" s="34">
        <f t="shared" si="475"/>
        <v>-19.54099366717054</v>
      </c>
      <c r="AK1805" s="34"/>
      <c r="AL1805" s="34">
        <f t="shared" si="473"/>
        <v>-19.54099366717054</v>
      </c>
      <c r="AM1805" s="34">
        <v>-21.635549999999999</v>
      </c>
      <c r="AN1805" s="244"/>
      <c r="AO1805" s="417">
        <v>8.11</v>
      </c>
      <c r="AP1805" s="417"/>
      <c r="AQ1805" s="244" t="s">
        <v>6311</v>
      </c>
      <c r="AR1805" s="244" t="s">
        <v>6311</v>
      </c>
      <c r="AS1805" s="241" t="s">
        <v>5466</v>
      </c>
      <c r="AT1805" s="39" t="s">
        <v>266</v>
      </c>
      <c r="AU1805" s="37">
        <v>72</v>
      </c>
      <c r="AV1805" s="37">
        <v>96</v>
      </c>
      <c r="AW1805" s="37">
        <v>24</v>
      </c>
      <c r="AX1805" s="37">
        <v>28.5</v>
      </c>
      <c r="AY1805" s="37" t="s">
        <v>5624</v>
      </c>
      <c r="AZ1805" s="37" t="s">
        <v>5625</v>
      </c>
      <c r="BA1805" s="37">
        <v>20</v>
      </c>
      <c r="BB1805" s="36" t="s">
        <v>5487</v>
      </c>
      <c r="BC1805" s="36" t="s">
        <v>5506</v>
      </c>
      <c r="BD1805" s="36"/>
      <c r="BE1805" s="37" t="s">
        <v>2449</v>
      </c>
      <c r="BF1805" s="37"/>
      <c r="BG1805" s="37"/>
      <c r="BH1805" s="37" t="s">
        <v>5626</v>
      </c>
      <c r="BI1805" s="250">
        <v>3.6839</v>
      </c>
      <c r="BJ1805" s="250">
        <v>6.6310199999999995</v>
      </c>
      <c r="BK1805" s="37"/>
      <c r="BL1805" s="263">
        <v>21.006748342817009</v>
      </c>
      <c r="BM1805" s="37"/>
      <c r="BN1805" s="37"/>
      <c r="BO1805" s="37"/>
      <c r="BP1805" s="37"/>
      <c r="BQ1805" s="37"/>
      <c r="BR1805" s="37"/>
      <c r="BS1805" s="37"/>
      <c r="BT1805" s="37"/>
      <c r="BU1805" s="246"/>
      <c r="BV1805" s="37"/>
      <c r="BW1805" s="37"/>
      <c r="BX1805" s="37"/>
      <c r="BY1805" s="37"/>
      <c r="BZ1805" s="37"/>
      <c r="CA1805" s="37"/>
      <c r="CB1805" s="37"/>
      <c r="CC1805" s="37"/>
      <c r="CD1805" s="37">
        <v>4.3470019999999998</v>
      </c>
      <c r="CE1805" s="37"/>
      <c r="CF1805" s="37"/>
      <c r="CG1805" s="37"/>
      <c r="CH1805" s="37"/>
      <c r="CI1805" s="243">
        <v>4.3470019999999998</v>
      </c>
      <c r="CJ1805" s="243">
        <f t="shared" si="468"/>
        <v>0.6381898400042173</v>
      </c>
      <c r="CK1805" s="38">
        <f t="shared" si="466"/>
        <v>3.1679512869538939</v>
      </c>
      <c r="CL1805" s="38">
        <f t="shared" si="469"/>
        <v>4.8324680648449228</v>
      </c>
      <c r="CM1805" s="38"/>
      <c r="CN1805" s="247"/>
      <c r="CO1805" s="36"/>
      <c r="CP1805" s="496" t="s">
        <v>5627</v>
      </c>
      <c r="CQ1805" s="241" t="s">
        <v>272</v>
      </c>
      <c r="CR1805" s="241"/>
      <c r="CS1805" s="33"/>
      <c r="CT1805" s="33"/>
      <c r="CU1805" s="250">
        <f t="shared" si="470"/>
        <v>22.809616982431496</v>
      </c>
      <c r="CV1805" s="337">
        <f t="shared" si="467"/>
        <v>14.952971132927313</v>
      </c>
      <c r="CW1805" s="330">
        <f t="shared" si="471"/>
        <v>1</v>
      </c>
      <c r="CX1805" s="330"/>
      <c r="CY1805" s="143" t="s">
        <v>5921</v>
      </c>
    </row>
    <row r="1806" spans="1:103" ht="11.25" customHeight="1" x14ac:dyDescent="0.2">
      <c r="A1806" s="72">
        <v>1852</v>
      </c>
      <c r="B1806" s="241">
        <v>2052</v>
      </c>
      <c r="C1806" s="32" t="s">
        <v>7736</v>
      </c>
      <c r="D1806" s="32"/>
      <c r="E1806" s="40"/>
      <c r="F1806" s="40" t="s">
        <v>5628</v>
      </c>
      <c r="G1806" s="242">
        <v>2752650</v>
      </c>
      <c r="H1806" s="41" t="s">
        <v>5629</v>
      </c>
      <c r="I1806" s="41" t="s">
        <v>8239</v>
      </c>
      <c r="J1806" s="41" t="s">
        <v>5630</v>
      </c>
      <c r="K1806" s="41" t="s">
        <v>5631</v>
      </c>
      <c r="L1806" s="41"/>
      <c r="M1806" s="41"/>
      <c r="N1806" s="36"/>
      <c r="O1806" s="41"/>
      <c r="P1806" s="41"/>
      <c r="Q1806" s="41"/>
      <c r="R1806" s="41"/>
      <c r="S1806" s="41"/>
      <c r="T1806" s="33">
        <v>628.77</v>
      </c>
      <c r="U1806" s="250"/>
      <c r="V1806" s="250">
        <v>2.259E-7</v>
      </c>
      <c r="W1806" s="250">
        <v>0.12260037889898641</v>
      </c>
      <c r="X1806" s="250">
        <v>0.12260037889898641</v>
      </c>
      <c r="Y1806" s="415">
        <v>6.54</v>
      </c>
      <c r="Z1806" s="33">
        <v>11.29</v>
      </c>
      <c r="AA1806" s="33"/>
      <c r="AB1806" s="33">
        <v>6.52</v>
      </c>
      <c r="AC1806" s="33">
        <v>0.29349999999999998</v>
      </c>
      <c r="AD1806" s="33">
        <v>8.6</v>
      </c>
      <c r="AE1806" s="33">
        <v>10.3</v>
      </c>
      <c r="AF1806" s="33">
        <f>IF(AA1806=0,AD1806,AA1806)</f>
        <v>8.6</v>
      </c>
      <c r="AG1806" s="34">
        <v>8.6</v>
      </c>
      <c r="AH1806" s="250">
        <v>3.3100000000000001E-19</v>
      </c>
      <c r="AI1806" s="250"/>
      <c r="AJ1806" s="34">
        <f t="shared" si="475"/>
        <v>-16.868738332536932</v>
      </c>
      <c r="AK1806" s="34"/>
      <c r="AL1806" s="34">
        <f t="shared" si="473"/>
        <v>-16.868738332536932</v>
      </c>
      <c r="AM1806" s="34">
        <v>-26.646889999999999</v>
      </c>
      <c r="AN1806" s="251"/>
      <c r="AO1806" s="417">
        <v>4.58</v>
      </c>
      <c r="AP1806" s="417"/>
      <c r="AQ1806" s="251" t="s">
        <v>6311</v>
      </c>
      <c r="AR1806" s="251" t="s">
        <v>6311</v>
      </c>
      <c r="AS1806" s="252" t="s">
        <v>5466</v>
      </c>
      <c r="AT1806" s="35" t="s">
        <v>266</v>
      </c>
      <c r="AU1806" s="33">
        <v>72</v>
      </c>
      <c r="AV1806" s="33">
        <v>96</v>
      </c>
      <c r="AW1806" s="33">
        <v>24</v>
      </c>
      <c r="AX1806" s="33">
        <v>28.5</v>
      </c>
      <c r="AY1806" s="33" t="s">
        <v>5624</v>
      </c>
      <c r="AZ1806" s="33" t="s">
        <v>5625</v>
      </c>
      <c r="BA1806" s="33">
        <v>20</v>
      </c>
      <c r="BB1806" s="41" t="s">
        <v>5487</v>
      </c>
      <c r="BC1806" s="41" t="s">
        <v>5506</v>
      </c>
      <c r="BD1806" s="41"/>
      <c r="BE1806" s="33" t="s">
        <v>2449</v>
      </c>
      <c r="BF1806" s="33"/>
      <c r="BG1806" s="33"/>
      <c r="BH1806" s="33" t="s">
        <v>5626</v>
      </c>
      <c r="BI1806" s="250">
        <v>6.2877000000000002E-2</v>
      </c>
      <c r="BJ1806" s="250">
        <v>0.50301600000000002</v>
      </c>
      <c r="BK1806" s="254"/>
      <c r="BL1806" s="263">
        <v>2.3428409824797383E-6</v>
      </c>
      <c r="BM1806" s="33"/>
      <c r="BN1806" s="33"/>
      <c r="BO1806" s="33"/>
      <c r="BP1806" s="33"/>
      <c r="BQ1806" s="33"/>
      <c r="BR1806" s="33"/>
      <c r="BS1806" s="33"/>
      <c r="BT1806" s="33"/>
      <c r="BU1806" s="246"/>
      <c r="BV1806" s="33"/>
      <c r="BW1806" s="33"/>
      <c r="BX1806" s="33"/>
      <c r="BY1806" s="33"/>
      <c r="BZ1806" s="33"/>
      <c r="CA1806" s="33"/>
      <c r="CB1806" s="33"/>
      <c r="CC1806" s="33"/>
      <c r="CD1806" s="33">
        <v>0.23641751999999999</v>
      </c>
      <c r="CE1806" s="33"/>
      <c r="CF1806" s="33"/>
      <c r="CG1806" s="33"/>
      <c r="CH1806" s="33"/>
      <c r="CI1806" s="250">
        <v>0.23641751999999999</v>
      </c>
      <c r="CJ1806" s="243">
        <f t="shared" si="468"/>
        <v>-0.6263203426918611</v>
      </c>
      <c r="CK1806" s="38">
        <f t="shared" si="466"/>
        <v>4.6575873977760914E-6</v>
      </c>
      <c r="CL1806" s="247">
        <f t="shared" si="469"/>
        <v>9.909760420800195E-6</v>
      </c>
      <c r="CM1806" s="247"/>
      <c r="CN1806" s="247"/>
      <c r="CO1806" s="41"/>
      <c r="CP1806" s="143" t="s">
        <v>5627</v>
      </c>
      <c r="CQ1806" s="241" t="s">
        <v>272</v>
      </c>
      <c r="CR1806" s="241"/>
      <c r="CS1806" s="33"/>
      <c r="CT1806" s="33"/>
      <c r="CU1806" s="250">
        <f t="shared" si="470"/>
        <v>0.51857569142501114</v>
      </c>
      <c r="CV1806" s="337">
        <f t="shared" si="467"/>
        <v>0.24373057496975525</v>
      </c>
      <c r="CW1806" s="330">
        <f t="shared" si="471"/>
        <v>0</v>
      </c>
      <c r="CX1806" s="330"/>
      <c r="CY1806" s="143" t="s">
        <v>5921</v>
      </c>
    </row>
    <row r="1807" spans="1:103" ht="11.25" customHeight="1" x14ac:dyDescent="0.2">
      <c r="A1807" s="72">
        <v>1890</v>
      </c>
      <c r="B1807" s="241">
        <v>2055</v>
      </c>
      <c r="C1807" s="32" t="s">
        <v>5642</v>
      </c>
      <c r="D1807" s="32"/>
      <c r="E1807" s="40"/>
      <c r="F1807" s="40" t="s">
        <v>5643</v>
      </c>
      <c r="G1807" s="242">
        <v>24280931</v>
      </c>
      <c r="H1807" s="36" t="s">
        <v>5644</v>
      </c>
      <c r="I1807" s="36" t="s">
        <v>8253</v>
      </c>
      <c r="J1807" s="36" t="s">
        <v>5645</v>
      </c>
      <c r="K1807" s="36" t="s">
        <v>2962</v>
      </c>
      <c r="L1807" s="36" t="s">
        <v>279</v>
      </c>
      <c r="M1807" s="36" t="s">
        <v>5646</v>
      </c>
      <c r="N1807" s="36"/>
      <c r="O1807" s="36" t="s">
        <v>281</v>
      </c>
      <c r="P1807" s="41"/>
      <c r="Q1807" s="41"/>
      <c r="R1807" s="41"/>
      <c r="S1807" s="41"/>
      <c r="T1807" s="37">
        <v>320.35000000000002</v>
      </c>
      <c r="U1807" s="243"/>
      <c r="V1807" s="243">
        <v>22.07</v>
      </c>
      <c r="W1807" s="243">
        <v>226.79043202745856</v>
      </c>
      <c r="X1807" s="243">
        <v>226.79043202745856</v>
      </c>
      <c r="Y1807" s="414">
        <v>3.96</v>
      </c>
      <c r="Z1807" s="37">
        <v>4.22</v>
      </c>
      <c r="AA1807" s="37"/>
      <c r="AB1807" s="37">
        <v>3.8</v>
      </c>
      <c r="AC1807" s="37">
        <v>0.61650000000000005</v>
      </c>
      <c r="AD1807" s="37">
        <v>3.43</v>
      </c>
      <c r="AE1807" s="37">
        <v>2.92</v>
      </c>
      <c r="AF1807" s="37">
        <f>IF(AA1807=0,AD1807,AA1807)</f>
        <v>3.43</v>
      </c>
      <c r="AG1807" s="37">
        <v>3.43</v>
      </c>
      <c r="AH1807" s="243">
        <v>3.8200000000000003E-12</v>
      </c>
      <c r="AI1807" s="243"/>
      <c r="AJ1807" s="34">
        <f t="shared" si="475"/>
        <v>-9.8065029634009431</v>
      </c>
      <c r="AK1807" s="34"/>
      <c r="AL1807" s="34">
        <f t="shared" si="473"/>
        <v>-9.8065029634009431</v>
      </c>
      <c r="AM1807" s="34">
        <v>-13.914859999999999</v>
      </c>
      <c r="AN1807" s="244"/>
      <c r="AO1807" s="417">
        <v>4.71</v>
      </c>
      <c r="AP1807" s="417"/>
      <c r="AQ1807" s="244" t="s">
        <v>6311</v>
      </c>
      <c r="AR1807" s="244" t="s">
        <v>6311</v>
      </c>
      <c r="AS1807" s="241" t="s">
        <v>5466</v>
      </c>
      <c r="AT1807" s="39" t="s">
        <v>266</v>
      </c>
      <c r="AU1807" s="37">
        <v>72</v>
      </c>
      <c r="AV1807" s="37">
        <v>96</v>
      </c>
      <c r="AW1807" s="37">
        <v>24</v>
      </c>
      <c r="AX1807" s="37">
        <v>28.5</v>
      </c>
      <c r="AY1807" s="37" t="s">
        <v>5624</v>
      </c>
      <c r="AZ1807" s="37" t="s">
        <v>5625</v>
      </c>
      <c r="BA1807" s="37">
        <v>20</v>
      </c>
      <c r="BB1807" s="36" t="s">
        <v>5487</v>
      </c>
      <c r="BC1807" s="36" t="s">
        <v>5506</v>
      </c>
      <c r="BD1807" s="36"/>
      <c r="BE1807" s="37" t="s">
        <v>2449</v>
      </c>
      <c r="BF1807" s="37"/>
      <c r="BG1807" s="37"/>
      <c r="BH1807" s="37" t="s">
        <v>5626</v>
      </c>
      <c r="BI1807" s="250">
        <v>1.1852950000000002</v>
      </c>
      <c r="BJ1807" s="250">
        <v>24.026250000000001</v>
      </c>
      <c r="BK1807" s="37"/>
      <c r="BL1807" s="263">
        <v>2.6695786988352448</v>
      </c>
      <c r="BM1807" s="37"/>
      <c r="BN1807" s="37"/>
      <c r="BO1807" s="37"/>
      <c r="BP1807" s="37"/>
      <c r="BQ1807" s="37"/>
      <c r="BR1807" s="37"/>
      <c r="BS1807" s="37"/>
      <c r="BT1807" s="37"/>
      <c r="BU1807" s="246"/>
      <c r="BV1807" s="37"/>
      <c r="BW1807" s="37"/>
      <c r="BX1807" s="37"/>
      <c r="BY1807" s="37"/>
      <c r="BZ1807" s="37"/>
      <c r="CA1807" s="37"/>
      <c r="CB1807" s="37"/>
      <c r="CC1807" s="37"/>
      <c r="CD1807" s="37">
        <v>17.779425</v>
      </c>
      <c r="CE1807" s="37"/>
      <c r="CF1807" s="37"/>
      <c r="CG1807" s="37"/>
      <c r="CH1807" s="37"/>
      <c r="CI1807" s="243">
        <v>17.779425</v>
      </c>
      <c r="CJ1807" s="243">
        <f t="shared" si="468"/>
        <v>1.2499177114505555</v>
      </c>
      <c r="CK1807" s="38">
        <f t="shared" si="466"/>
        <v>0.11111091821800093</v>
      </c>
      <c r="CL1807" s="38">
        <f t="shared" si="469"/>
        <v>0.15014988948378505</v>
      </c>
      <c r="CM1807" s="38"/>
      <c r="CN1807" s="247"/>
      <c r="CO1807" s="36"/>
      <c r="CP1807" s="496" t="s">
        <v>5627</v>
      </c>
      <c r="CQ1807" s="241" t="s">
        <v>272</v>
      </c>
      <c r="CR1807" s="241"/>
      <c r="CS1807" s="33"/>
      <c r="CT1807" s="33"/>
      <c r="CU1807" s="250">
        <f t="shared" si="470"/>
        <v>12.755779898813294</v>
      </c>
      <c r="CV1807" s="337">
        <f t="shared" si="467"/>
        <v>9.439277125121837</v>
      </c>
      <c r="CW1807" s="330">
        <f t="shared" si="471"/>
        <v>1</v>
      </c>
      <c r="CX1807" s="330"/>
      <c r="CY1807" s="143" t="s">
        <v>6351</v>
      </c>
    </row>
    <row r="1808" spans="1:103" ht="11.25" customHeight="1" x14ac:dyDescent="0.2">
      <c r="A1808" s="72">
        <v>1896</v>
      </c>
      <c r="B1808" s="241">
        <v>2051</v>
      </c>
      <c r="C1808" s="32" t="s">
        <v>5618</v>
      </c>
      <c r="D1808" s="32"/>
      <c r="E1808" s="40"/>
      <c r="F1808" s="40" t="s">
        <v>5619</v>
      </c>
      <c r="G1808" s="242">
        <v>33069624</v>
      </c>
      <c r="H1808" s="41" t="s">
        <v>5620</v>
      </c>
      <c r="I1808" s="41" t="s">
        <v>8256</v>
      </c>
      <c r="J1808" s="41" t="s">
        <v>5621</v>
      </c>
      <c r="K1808" s="41" t="s">
        <v>5622</v>
      </c>
      <c r="L1808" s="41" t="s">
        <v>279</v>
      </c>
      <c r="M1808" s="41" t="s">
        <v>5623</v>
      </c>
      <c r="N1808" s="36"/>
      <c r="O1808" s="41" t="s">
        <v>281</v>
      </c>
      <c r="P1808" s="41"/>
      <c r="Q1808" s="41"/>
      <c r="R1808" s="41"/>
      <c r="S1808" s="41"/>
      <c r="T1808" s="33">
        <v>853.93</v>
      </c>
      <c r="U1808" s="250"/>
      <c r="V1808" s="250">
        <v>4.8469999999999997E-3</v>
      </c>
      <c r="W1808" s="250">
        <v>4.8020012781979392E-2</v>
      </c>
      <c r="X1808" s="250">
        <v>4.8020012781979392E-2</v>
      </c>
      <c r="Y1808" s="415">
        <v>7</v>
      </c>
      <c r="Z1808" s="33">
        <v>3.31</v>
      </c>
      <c r="AA1808" s="33"/>
      <c r="AB1808" s="33">
        <v>3.18</v>
      </c>
      <c r="AC1808" s="33">
        <v>0.86709999999999998</v>
      </c>
      <c r="AD1808" s="33">
        <v>3.89</v>
      </c>
      <c r="AE1808" s="33">
        <v>7.38</v>
      </c>
      <c r="AF1808" s="33">
        <f>IF(AA1808=0,AD1808,AA1808)</f>
        <v>3.89</v>
      </c>
      <c r="AG1808" s="34">
        <v>3.89</v>
      </c>
      <c r="AH1808" s="250">
        <v>2.0899999999999999E-29</v>
      </c>
      <c r="AI1808" s="250"/>
      <c r="AJ1808" s="34">
        <f t="shared" si="475"/>
        <v>-27.068420040201598</v>
      </c>
      <c r="AK1808" s="34"/>
      <c r="AL1808" s="34">
        <f t="shared" si="473"/>
        <v>-27.068420040201598</v>
      </c>
      <c r="AM1808" s="34">
        <v>-46.076779999999999</v>
      </c>
      <c r="AN1808" s="251"/>
      <c r="AO1808" s="417">
        <v>11.9</v>
      </c>
      <c r="AP1808" s="417">
        <v>-2.19</v>
      </c>
      <c r="AQ1808" s="251" t="s">
        <v>6311</v>
      </c>
      <c r="AR1808" s="251" t="s">
        <v>6312</v>
      </c>
      <c r="AS1808" s="252" t="s">
        <v>5466</v>
      </c>
      <c r="AT1808" s="35" t="s">
        <v>266</v>
      </c>
      <c r="AU1808" s="33">
        <v>72</v>
      </c>
      <c r="AV1808" s="33">
        <v>96</v>
      </c>
      <c r="AW1808" s="33">
        <v>24</v>
      </c>
      <c r="AX1808" s="33">
        <v>28.5</v>
      </c>
      <c r="AY1808" s="33" t="s">
        <v>5624</v>
      </c>
      <c r="AZ1808" s="33" t="s">
        <v>5625</v>
      </c>
      <c r="BA1808" s="33">
        <v>20</v>
      </c>
      <c r="BB1808" s="41" t="s">
        <v>5487</v>
      </c>
      <c r="BC1808" s="41" t="s">
        <v>5506</v>
      </c>
      <c r="BD1808" s="41"/>
      <c r="BE1808" s="33" t="s">
        <v>2449</v>
      </c>
      <c r="BF1808" s="33"/>
      <c r="BG1808" s="33"/>
      <c r="BH1808" s="33" t="s">
        <v>5626</v>
      </c>
      <c r="BI1808" s="250">
        <v>0.42696499999999998</v>
      </c>
      <c r="BJ1808" s="250">
        <v>8.539299999999999</v>
      </c>
      <c r="BK1808" s="254"/>
      <c r="BL1808" s="263">
        <v>46.720907657448279</v>
      </c>
      <c r="BM1808" s="33"/>
      <c r="BN1808" s="33"/>
      <c r="BO1808" s="33"/>
      <c r="BP1808" s="33"/>
      <c r="BQ1808" s="33"/>
      <c r="BR1808" s="33"/>
      <c r="BS1808" s="33"/>
      <c r="BT1808" s="33"/>
      <c r="BU1808" s="246"/>
      <c r="BV1808" s="33"/>
      <c r="BW1808" s="33"/>
      <c r="BX1808" s="33"/>
      <c r="BY1808" s="33"/>
      <c r="BZ1808" s="33"/>
      <c r="CA1808" s="33"/>
      <c r="CB1808" s="33"/>
      <c r="CC1808" s="33"/>
      <c r="CD1808" s="33">
        <v>1.0503338999999998</v>
      </c>
      <c r="CE1808" s="33"/>
      <c r="CF1808" s="33"/>
      <c r="CG1808" s="33"/>
      <c r="CH1808" s="33"/>
      <c r="CI1808" s="250">
        <v>1.0503338999999998</v>
      </c>
      <c r="CJ1808" s="243">
        <f t="shared" si="468"/>
        <v>2.1327382761039793E-2</v>
      </c>
      <c r="CK1808" s="38">
        <f t="shared" si="466"/>
        <v>5.4712807440244848</v>
      </c>
      <c r="CL1808" s="247">
        <f t="shared" si="469"/>
        <v>44.481957268491747</v>
      </c>
      <c r="CM1808" s="247"/>
      <c r="CN1808" s="247"/>
      <c r="CO1808" s="41"/>
      <c r="CP1808" s="143" t="s">
        <v>5627</v>
      </c>
      <c r="CQ1808" s="241" t="s">
        <v>272</v>
      </c>
      <c r="CR1808" s="241"/>
      <c r="CS1808" s="33"/>
      <c r="CT1808" s="33"/>
      <c r="CU1808" s="250">
        <f t="shared" si="470"/>
        <v>4.5718806926044568E-2</v>
      </c>
      <c r="CV1808" s="337">
        <f t="shared" si="467"/>
        <v>5.6234132519034814E-3</v>
      </c>
      <c r="CW1808" s="330">
        <f t="shared" si="471"/>
        <v>0</v>
      </c>
      <c r="CX1808" s="330"/>
      <c r="CY1808" s="143" t="s">
        <v>5921</v>
      </c>
    </row>
    <row r="1809" spans="1:103" ht="11.25" customHeight="1" x14ac:dyDescent="0.2">
      <c r="A1809" s="72">
        <v>1897</v>
      </c>
      <c r="B1809" s="241">
        <v>2054</v>
      </c>
      <c r="C1809" s="32" t="s">
        <v>5637</v>
      </c>
      <c r="D1809" s="32"/>
      <c r="E1809" s="40"/>
      <c r="F1809" s="40" t="s">
        <v>5638</v>
      </c>
      <c r="G1809" s="242">
        <v>34031328</v>
      </c>
      <c r="H1809" s="36" t="s">
        <v>5639</v>
      </c>
      <c r="I1809" s="36" t="s">
        <v>8257</v>
      </c>
      <c r="J1809" s="36" t="s">
        <v>5640</v>
      </c>
      <c r="K1809" s="36" t="s">
        <v>403</v>
      </c>
      <c r="L1809" s="36" t="s">
        <v>279</v>
      </c>
      <c r="M1809" s="36" t="s">
        <v>5641</v>
      </c>
      <c r="N1809" s="36"/>
      <c r="O1809" s="36" t="s">
        <v>281</v>
      </c>
      <c r="P1809" s="41"/>
      <c r="Q1809" s="41"/>
      <c r="R1809" s="41"/>
      <c r="S1809" s="41"/>
      <c r="T1809" s="37">
        <v>678.49</v>
      </c>
      <c r="U1809" s="243"/>
      <c r="V1809" s="243">
        <v>168.9</v>
      </c>
      <c r="W1809" s="243"/>
      <c r="X1809" s="243">
        <v>168.9</v>
      </c>
      <c r="Y1809" s="414"/>
      <c r="Z1809" s="37">
        <v>-0.63</v>
      </c>
      <c r="AA1809" s="37"/>
      <c r="AB1809" s="37">
        <v>0</v>
      </c>
      <c r="AC1809" s="37">
        <v>0</v>
      </c>
      <c r="AD1809" s="37">
        <v>0</v>
      </c>
      <c r="AE1809" s="37">
        <v>0</v>
      </c>
      <c r="AF1809" s="37"/>
      <c r="AG1809" s="37" t="s">
        <v>404</v>
      </c>
      <c r="AH1809" s="243"/>
      <c r="AI1809" s="243"/>
      <c r="AJ1809" s="34"/>
      <c r="AK1809" s="34"/>
      <c r="AL1809" s="34"/>
      <c r="AM1809" s="34"/>
      <c r="AN1809" s="244"/>
      <c r="AO1809" s="417"/>
      <c r="AP1809" s="417"/>
      <c r="AQ1809" s="244" t="s">
        <v>6311</v>
      </c>
      <c r="AR1809" s="244" t="s">
        <v>6312</v>
      </c>
      <c r="AS1809" s="241" t="s">
        <v>5466</v>
      </c>
      <c r="AT1809" s="39" t="s">
        <v>266</v>
      </c>
      <c r="AU1809" s="37">
        <v>72</v>
      </c>
      <c r="AV1809" s="37">
        <v>96</v>
      </c>
      <c r="AW1809" s="37">
        <v>24</v>
      </c>
      <c r="AX1809" s="37">
        <v>28.5</v>
      </c>
      <c r="AY1809" s="37" t="s">
        <v>5624</v>
      </c>
      <c r="AZ1809" s="37" t="s">
        <v>5625</v>
      </c>
      <c r="BA1809" s="37">
        <v>20</v>
      </c>
      <c r="BB1809" s="36" t="s">
        <v>5487</v>
      </c>
      <c r="BC1809" s="36" t="s">
        <v>5506</v>
      </c>
      <c r="BD1809" s="36"/>
      <c r="BE1809" s="37" t="s">
        <v>2449</v>
      </c>
      <c r="BF1809" s="37"/>
      <c r="BG1809" s="37"/>
      <c r="BH1809" s="37" t="s">
        <v>5626</v>
      </c>
      <c r="BI1809" s="250">
        <v>1.0584444</v>
      </c>
      <c r="BJ1809" s="250">
        <v>16.962250000000001</v>
      </c>
      <c r="BK1809" s="37"/>
      <c r="BL1809" s="263">
        <v>128276.30782521363</v>
      </c>
      <c r="BM1809" s="37"/>
      <c r="BN1809" s="37"/>
      <c r="BO1809" s="37"/>
      <c r="BP1809" s="37"/>
      <c r="BQ1809" s="37"/>
      <c r="BR1809" s="37"/>
      <c r="BS1809" s="37"/>
      <c r="BT1809" s="37"/>
      <c r="BU1809" s="246"/>
      <c r="BV1809" s="37"/>
      <c r="BW1809" s="37"/>
      <c r="BX1809" s="37"/>
      <c r="BY1809" s="37"/>
      <c r="BZ1809" s="37"/>
      <c r="CA1809" s="37"/>
      <c r="CB1809" s="37"/>
      <c r="CC1809" s="37"/>
      <c r="CD1809" s="37">
        <v>8.4132759999999998</v>
      </c>
      <c r="CE1809" s="37"/>
      <c r="CF1809" s="37"/>
      <c r="CG1809" s="37"/>
      <c r="CH1809" s="37"/>
      <c r="CI1809" s="243">
        <v>8.4132759999999998</v>
      </c>
      <c r="CJ1809" s="243">
        <f t="shared" si="468"/>
        <v>0.92496513630784594</v>
      </c>
      <c r="CK1809" s="38">
        <f t="shared" si="466"/>
        <v>7562.458272057871</v>
      </c>
      <c r="CL1809" s="38">
        <f t="shared" si="469"/>
        <v>15246.891677536032</v>
      </c>
      <c r="CM1809" s="38"/>
      <c r="CN1809" s="247"/>
      <c r="CO1809" s="36"/>
      <c r="CP1809" s="496" t="s">
        <v>5627</v>
      </c>
      <c r="CQ1809" s="241" t="s">
        <v>272</v>
      </c>
      <c r="CR1809" s="241"/>
      <c r="CS1809" s="33"/>
      <c r="CT1809" s="33"/>
      <c r="CU1809" s="250">
        <f t="shared" si="470"/>
        <v>20.075414143075779</v>
      </c>
      <c r="CV1809" s="337">
        <f t="shared" si="467"/>
        <v>9.9574054149655851</v>
      </c>
      <c r="CW1809" s="330">
        <f t="shared" si="471"/>
        <v>1</v>
      </c>
      <c r="CX1809" s="330"/>
      <c r="CY1809" s="143" t="s">
        <v>5921</v>
      </c>
    </row>
    <row r="1810" spans="1:103" ht="11.25" customHeight="1" x14ac:dyDescent="0.2">
      <c r="A1810" s="72">
        <v>1900</v>
      </c>
      <c r="B1810" s="241">
        <v>2053</v>
      </c>
      <c r="C1810" s="32" t="s">
        <v>5632</v>
      </c>
      <c r="D1810" s="32"/>
      <c r="E1810" s="40"/>
      <c r="F1810" s="40" t="s">
        <v>5633</v>
      </c>
      <c r="G1810" s="242">
        <v>38748322</v>
      </c>
      <c r="H1810" s="41" t="s">
        <v>5634</v>
      </c>
      <c r="I1810" s="41" t="s">
        <v>8259</v>
      </c>
      <c r="J1810" s="41" t="s">
        <v>5635</v>
      </c>
      <c r="K1810" s="41" t="s">
        <v>5636</v>
      </c>
      <c r="L1810" s="41"/>
      <c r="M1810" s="41"/>
      <c r="N1810" s="36"/>
      <c r="O1810" s="41"/>
      <c r="P1810" s="41"/>
      <c r="Q1810" s="41"/>
      <c r="R1810" s="41"/>
      <c r="S1810" s="41"/>
      <c r="T1810" s="33">
        <v>360.41</v>
      </c>
      <c r="U1810" s="250"/>
      <c r="V1810" s="250">
        <v>2493</v>
      </c>
      <c r="W1810" s="250">
        <v>640.90968217212799</v>
      </c>
      <c r="X1810" s="250">
        <v>640.90968217212799</v>
      </c>
      <c r="Y1810" s="415">
        <v>7</v>
      </c>
      <c r="Z1810" s="33">
        <v>0.99</v>
      </c>
      <c r="AA1810" s="33"/>
      <c r="AB1810" s="33">
        <v>-0.21</v>
      </c>
      <c r="AC1810" s="33">
        <v>0.35049999999999998</v>
      </c>
      <c r="AD1810" s="33">
        <v>0.67</v>
      </c>
      <c r="AE1810" s="33">
        <v>1.27</v>
      </c>
      <c r="AF1810" s="33">
        <f t="shared" ref="AF1810:AF1833" si="476">IF(AA1810=0,AD1810,AA1810)</f>
        <v>0.67</v>
      </c>
      <c r="AG1810" s="34">
        <v>0.67</v>
      </c>
      <c r="AH1810" s="250">
        <v>4.58E-17</v>
      </c>
      <c r="AI1810" s="250"/>
      <c r="AJ1810" s="34">
        <f t="shared" ref="AJ1810:AJ1825" si="477">LOG10(AH1810*1000/(0.08206*298.15))</f>
        <v>-14.727700848308782</v>
      </c>
      <c r="AK1810" s="34"/>
      <c r="AL1810" s="34">
        <f t="shared" ref="AL1810:AL1825" si="478">IF(AK1810=0,AJ1810,AK1810)</f>
        <v>-14.727700848308782</v>
      </c>
      <c r="AM1810" s="34">
        <v>-20.118249999999996</v>
      </c>
      <c r="AN1810" s="251"/>
      <c r="AO1810" s="417">
        <v>14.25</v>
      </c>
      <c r="AP1810" s="417"/>
      <c r="AQ1810" s="251" t="s">
        <v>6312</v>
      </c>
      <c r="AR1810" s="251" t="s">
        <v>6311</v>
      </c>
      <c r="AS1810" s="252" t="s">
        <v>5466</v>
      </c>
      <c r="AT1810" s="35" t="s">
        <v>266</v>
      </c>
      <c r="AU1810" s="33">
        <v>72</v>
      </c>
      <c r="AV1810" s="33">
        <v>96</v>
      </c>
      <c r="AW1810" s="33">
        <v>24</v>
      </c>
      <c r="AX1810" s="33">
        <v>28.5</v>
      </c>
      <c r="AY1810" s="33" t="s">
        <v>5624</v>
      </c>
      <c r="AZ1810" s="33" t="s">
        <v>5625</v>
      </c>
      <c r="BA1810" s="33">
        <v>20</v>
      </c>
      <c r="BB1810" s="41" t="s">
        <v>5487</v>
      </c>
      <c r="BC1810" s="41" t="s">
        <v>5506</v>
      </c>
      <c r="BD1810" s="41"/>
      <c r="BE1810" s="33" t="s">
        <v>2449</v>
      </c>
      <c r="BF1810" s="33"/>
      <c r="BG1810" s="33"/>
      <c r="BH1810" s="33" t="s">
        <v>5626</v>
      </c>
      <c r="BI1810" s="250">
        <v>0.14776810000000001</v>
      </c>
      <c r="BJ1810" s="250">
        <v>1.3335170000000001</v>
      </c>
      <c r="BK1810" s="254"/>
      <c r="BL1810" s="263">
        <v>2390.4399179934621</v>
      </c>
      <c r="BM1810" s="33"/>
      <c r="BN1810" s="33"/>
      <c r="BO1810" s="33"/>
      <c r="BP1810" s="33"/>
      <c r="BQ1810" s="33"/>
      <c r="BR1810" s="33"/>
      <c r="BS1810" s="33"/>
      <c r="BT1810" s="33"/>
      <c r="BU1810" s="246"/>
      <c r="BV1810" s="33"/>
      <c r="BW1810" s="33"/>
      <c r="BX1810" s="33"/>
      <c r="BY1810" s="33"/>
      <c r="BZ1810" s="33"/>
      <c r="CA1810" s="33"/>
      <c r="CB1810" s="33"/>
      <c r="CC1810" s="33"/>
      <c r="CD1810" s="33">
        <v>0.36041000000000001</v>
      </c>
      <c r="CE1810" s="33"/>
      <c r="CF1810" s="33"/>
      <c r="CG1810" s="33"/>
      <c r="CH1810" s="33"/>
      <c r="CI1810" s="250">
        <v>0.36041000000000001</v>
      </c>
      <c r="CJ1810" s="243">
        <f t="shared" si="468"/>
        <v>-0.443203167513817</v>
      </c>
      <c r="CK1810" s="38">
        <f t="shared" si="466"/>
        <v>1792.5830101854435</v>
      </c>
      <c r="CL1810" s="247">
        <f t="shared" si="469"/>
        <v>6632.5571376861408</v>
      </c>
      <c r="CM1810" s="247"/>
      <c r="CN1810" s="247"/>
      <c r="CO1810" s="41"/>
      <c r="CP1810" s="143" t="s">
        <v>5627</v>
      </c>
      <c r="CQ1810" s="241" t="s">
        <v>272</v>
      </c>
      <c r="CR1810" s="241"/>
      <c r="CS1810" s="33"/>
      <c r="CT1810" s="33"/>
      <c r="CU1810" s="250">
        <f t="shared" si="470"/>
        <v>1778.2794100389222</v>
      </c>
      <c r="CV1810" s="337">
        <f t="shared" si="467"/>
        <v>480.61605676727629</v>
      </c>
      <c r="CW1810" s="330">
        <f t="shared" si="471"/>
        <v>1</v>
      </c>
      <c r="CX1810" s="330"/>
      <c r="CY1810" s="143" t="s">
        <v>5921</v>
      </c>
    </row>
    <row r="1811" spans="1:103" ht="11.25" customHeight="1" x14ac:dyDescent="0.2">
      <c r="A1811" s="72">
        <v>55</v>
      </c>
      <c r="B1811" s="149">
        <v>559</v>
      </c>
      <c r="C1811" s="54" t="s">
        <v>1731</v>
      </c>
      <c r="D1811" s="54" t="s">
        <v>6597</v>
      </c>
      <c r="E1811" s="59"/>
      <c r="F1811" s="59" t="s">
        <v>1732</v>
      </c>
      <c r="G1811" s="151">
        <v>100618</v>
      </c>
      <c r="H1811" s="55" t="s">
        <v>1733</v>
      </c>
      <c r="I1811" s="55" t="s">
        <v>1733</v>
      </c>
      <c r="J1811" s="55" t="s">
        <v>1734</v>
      </c>
      <c r="K1811" s="55" t="s">
        <v>426</v>
      </c>
      <c r="L1811" s="55" t="s">
        <v>5527</v>
      </c>
      <c r="M1811" s="55" t="s">
        <v>6082</v>
      </c>
      <c r="N1811" s="60" t="s">
        <v>6082</v>
      </c>
      <c r="O1811" s="55" t="s">
        <v>6083</v>
      </c>
      <c r="P1811" s="67"/>
      <c r="Q1811" s="67" t="s">
        <v>6173</v>
      </c>
      <c r="R1811" s="67" t="s">
        <v>6185</v>
      </c>
      <c r="S1811" s="67" t="s">
        <v>6176</v>
      </c>
      <c r="T1811" s="56">
        <v>107.15</v>
      </c>
      <c r="U1811" s="103">
        <v>5620</v>
      </c>
      <c r="V1811" s="103">
        <v>4249</v>
      </c>
      <c r="W1811" s="103">
        <v>3630.7151330315546</v>
      </c>
      <c r="X1811" s="103">
        <v>5620</v>
      </c>
      <c r="Y1811" s="162">
        <v>8.6199999999999992</v>
      </c>
      <c r="Z1811" s="56">
        <v>1.62</v>
      </c>
      <c r="AA1811" s="56">
        <v>1.66</v>
      </c>
      <c r="AB1811" s="56">
        <v>1.98</v>
      </c>
      <c r="AC1811" s="56">
        <v>0.91490000000000005</v>
      </c>
      <c r="AD1811" s="56">
        <v>1.9</v>
      </c>
      <c r="AE1811" s="56">
        <v>1.6</v>
      </c>
      <c r="AF1811" s="56">
        <f t="shared" si="476"/>
        <v>1.66</v>
      </c>
      <c r="AG1811" s="57">
        <v>1.74</v>
      </c>
      <c r="AH1811" s="103">
        <v>4.1799999999999998E-6</v>
      </c>
      <c r="AI1811" s="103">
        <v>8.8799999999999997E-6</v>
      </c>
      <c r="AJ1811" s="62">
        <f t="shared" si="477"/>
        <v>-3.7673900445376165</v>
      </c>
      <c r="AK1811" s="62">
        <f>LOG10(AI1811*1000/(0.08206*298.15))</f>
        <v>-3.4401533605340506</v>
      </c>
      <c r="AL1811" s="62">
        <f t="shared" si="478"/>
        <v>-3.4401533605340506</v>
      </c>
      <c r="AM1811" s="62">
        <v>-5.276489999999999</v>
      </c>
      <c r="AN1811" s="154">
        <v>-3.47</v>
      </c>
      <c r="AO1811" s="410"/>
      <c r="AP1811" s="410">
        <v>4.7</v>
      </c>
      <c r="AQ1811" s="154" t="s">
        <v>6311</v>
      </c>
      <c r="AR1811" s="154" t="s">
        <v>6311</v>
      </c>
      <c r="AS1811" s="149" t="s">
        <v>6</v>
      </c>
      <c r="AT1811" s="58" t="s">
        <v>266</v>
      </c>
      <c r="AU1811" s="56">
        <v>2</v>
      </c>
      <c r="AV1811" s="56">
        <v>96</v>
      </c>
      <c r="AW1811" s="56">
        <v>96</v>
      </c>
      <c r="AX1811" s="56">
        <v>27</v>
      </c>
      <c r="AY1811" s="56" t="s">
        <v>8722</v>
      </c>
      <c r="AZ1811" s="56" t="s">
        <v>536</v>
      </c>
      <c r="BA1811" s="56">
        <v>10</v>
      </c>
      <c r="BB1811" s="55" t="s">
        <v>1644</v>
      </c>
      <c r="BC1811" s="55" t="s">
        <v>538</v>
      </c>
      <c r="BD1811" s="55"/>
      <c r="BE1811" s="56" t="s">
        <v>889</v>
      </c>
      <c r="BF1811" s="56" t="s">
        <v>272</v>
      </c>
      <c r="BG1811" s="56" t="s">
        <v>539</v>
      </c>
      <c r="BH1811" s="56" t="s">
        <v>272</v>
      </c>
      <c r="BI1811" s="103" t="s">
        <v>8722</v>
      </c>
      <c r="BJ1811" s="103" t="s">
        <v>8722</v>
      </c>
      <c r="BK1811" s="56"/>
      <c r="BL1811" s="153">
        <v>193.13908757131543</v>
      </c>
      <c r="BM1811" s="56" t="s">
        <v>541</v>
      </c>
      <c r="BN1811" s="56">
        <v>74.965018656716424</v>
      </c>
      <c r="BO1811" s="56">
        <v>74.965018656716424</v>
      </c>
      <c r="BP1811" s="56">
        <v>74.965018656716424</v>
      </c>
      <c r="BQ1811" s="56">
        <v>74.965018656716424</v>
      </c>
      <c r="BR1811" s="56"/>
      <c r="BS1811" s="56"/>
      <c r="BT1811" s="56"/>
      <c r="BU1811" s="158"/>
      <c r="BV1811" s="56"/>
      <c r="BW1811" s="56"/>
      <c r="BX1811" s="56"/>
      <c r="BY1811" s="56"/>
      <c r="BZ1811" s="56"/>
      <c r="CA1811" s="56"/>
      <c r="CB1811" s="56"/>
      <c r="CC1811" s="56"/>
      <c r="CD1811" s="56"/>
      <c r="CE1811" s="56"/>
      <c r="CF1811" s="56"/>
      <c r="CG1811" s="56"/>
      <c r="CH1811" s="56"/>
      <c r="CI1811" s="103">
        <v>74.965018656716424</v>
      </c>
      <c r="CJ1811" s="103">
        <f t="shared" si="468"/>
        <v>1.8748586534127964</v>
      </c>
      <c r="CK1811" s="57"/>
      <c r="CL1811" s="160">
        <f t="shared" si="469"/>
        <v>2.5763895084952573</v>
      </c>
      <c r="CM1811" s="160">
        <v>2</v>
      </c>
      <c r="CN1811" s="160"/>
      <c r="CO1811" s="55" t="s">
        <v>1641</v>
      </c>
      <c r="CP1811" s="497" t="s">
        <v>1645</v>
      </c>
      <c r="CQ1811" s="149">
        <v>0.44062526204846136</v>
      </c>
      <c r="CR1811" s="349">
        <f>10^(CJ1811-CQ1811)</f>
        <v>27.178994850729524</v>
      </c>
      <c r="CS1811" s="61" t="s">
        <v>539</v>
      </c>
      <c r="CT1811" s="61"/>
      <c r="CU1811" s="111">
        <f t="shared" si="470"/>
        <v>74.968299891118363</v>
      </c>
      <c r="CV1811" s="331"/>
      <c r="CW1811" s="326">
        <f t="shared" si="471"/>
        <v>1</v>
      </c>
      <c r="CX1811" s="326" t="s">
        <v>539</v>
      </c>
      <c r="CY1811" s="161" t="s">
        <v>6351</v>
      </c>
    </row>
    <row r="1812" spans="1:103" ht="11.25" customHeight="1" x14ac:dyDescent="0.2">
      <c r="A1812" s="72">
        <v>62</v>
      </c>
      <c r="B1812" s="149">
        <v>528</v>
      </c>
      <c r="C1812" s="54" t="s">
        <v>1678</v>
      </c>
      <c r="D1812" s="54" t="s">
        <v>6555</v>
      </c>
      <c r="E1812" s="59"/>
      <c r="F1812" s="59" t="s">
        <v>1679</v>
      </c>
      <c r="G1812" s="151">
        <v>121697</v>
      </c>
      <c r="H1812" s="55" t="s">
        <v>1680</v>
      </c>
      <c r="I1812" s="55" t="s">
        <v>1680</v>
      </c>
      <c r="J1812" s="55" t="s">
        <v>1681</v>
      </c>
      <c r="K1812" s="55" t="s">
        <v>426</v>
      </c>
      <c r="L1812" s="55" t="s">
        <v>5527</v>
      </c>
      <c r="M1812" s="55" t="s">
        <v>6082</v>
      </c>
      <c r="N1812" s="60" t="s">
        <v>6082</v>
      </c>
      <c r="O1812" s="55" t="s">
        <v>6083</v>
      </c>
      <c r="P1812" s="67"/>
      <c r="Q1812" s="67" t="s">
        <v>6173</v>
      </c>
      <c r="R1812" s="67" t="s">
        <v>6185</v>
      </c>
      <c r="S1812" s="67" t="s">
        <v>6176</v>
      </c>
      <c r="T1812" s="56">
        <v>121.18</v>
      </c>
      <c r="U1812" s="103">
        <v>1450</v>
      </c>
      <c r="V1812" s="103">
        <v>1058</v>
      </c>
      <c r="W1812" s="103">
        <v>1031.4090746936404</v>
      </c>
      <c r="X1812" s="103">
        <v>1450</v>
      </c>
      <c r="Y1812" s="162">
        <v>8.52</v>
      </c>
      <c r="Z1812" s="56">
        <v>2.17</v>
      </c>
      <c r="AA1812" s="56">
        <v>2.31</v>
      </c>
      <c r="AB1812" s="56">
        <v>2.41</v>
      </c>
      <c r="AC1812" s="56">
        <v>0.90669999999999995</v>
      </c>
      <c r="AD1812" s="56">
        <v>2.39</v>
      </c>
      <c r="AE1812" s="56">
        <v>2.33</v>
      </c>
      <c r="AF1812" s="56">
        <f t="shared" si="476"/>
        <v>2.31</v>
      </c>
      <c r="AG1812" s="57">
        <v>2.13</v>
      </c>
      <c r="AH1812" s="103">
        <v>8.5699999999999996E-5</v>
      </c>
      <c r="AI1812" s="103">
        <v>5.6799999999999998E-5</v>
      </c>
      <c r="AJ1812" s="62">
        <f t="shared" si="477"/>
        <v>-2.4555855043894534</v>
      </c>
      <c r="AK1812" s="62">
        <f>LOG10(AI1812*1000/(0.08206*298.15))</f>
        <v>-2.6342179906016328</v>
      </c>
      <c r="AL1812" s="62">
        <f t="shared" si="478"/>
        <v>-2.6342179906016328</v>
      </c>
      <c r="AM1812" s="62">
        <v>-5.0751400000000002</v>
      </c>
      <c r="AN1812" s="154">
        <v>-2.67</v>
      </c>
      <c r="AO1812" s="410"/>
      <c r="AP1812" s="410">
        <v>5.0999999999999996</v>
      </c>
      <c r="AQ1812" s="154" t="s">
        <v>6311</v>
      </c>
      <c r="AR1812" s="154" t="s">
        <v>6311</v>
      </c>
      <c r="AS1812" s="149" t="s">
        <v>6</v>
      </c>
      <c r="AT1812" s="58" t="s">
        <v>266</v>
      </c>
      <c r="AU1812" s="56">
        <v>2</v>
      </c>
      <c r="AV1812" s="56">
        <v>96</v>
      </c>
      <c r="AW1812" s="56">
        <v>96</v>
      </c>
      <c r="AX1812" s="56">
        <v>27</v>
      </c>
      <c r="AY1812" s="56" t="s">
        <v>8722</v>
      </c>
      <c r="AZ1812" s="56" t="s">
        <v>536</v>
      </c>
      <c r="BA1812" s="56">
        <v>10</v>
      </c>
      <c r="BB1812" s="55" t="s">
        <v>1644</v>
      </c>
      <c r="BC1812" s="55" t="s">
        <v>538</v>
      </c>
      <c r="BD1812" s="55"/>
      <c r="BE1812" s="56" t="s">
        <v>889</v>
      </c>
      <c r="BF1812" s="56" t="s">
        <v>272</v>
      </c>
      <c r="BG1812" s="56" t="s">
        <v>539</v>
      </c>
      <c r="BH1812" s="56" t="s">
        <v>272</v>
      </c>
      <c r="BI1812" s="103" t="s">
        <v>8722</v>
      </c>
      <c r="BJ1812" s="103" t="s">
        <v>8722</v>
      </c>
      <c r="BK1812" s="56"/>
      <c r="BL1812" s="153">
        <v>70.041259674735528</v>
      </c>
      <c r="BM1812" s="56" t="s">
        <v>541</v>
      </c>
      <c r="BN1812" s="56">
        <v>54.261044554455452</v>
      </c>
      <c r="BO1812" s="56">
        <v>54.31103630363036</v>
      </c>
      <c r="BP1812" s="56">
        <v>54.231049504950498</v>
      </c>
      <c r="BQ1812" s="56">
        <v>54.231049504950555</v>
      </c>
      <c r="BR1812" s="56"/>
      <c r="BS1812" s="56"/>
      <c r="BT1812" s="56"/>
      <c r="BU1812" s="158"/>
      <c r="BV1812" s="56"/>
      <c r="BW1812" s="56"/>
      <c r="BX1812" s="56"/>
      <c r="BY1812" s="56"/>
      <c r="BZ1812" s="56"/>
      <c r="CA1812" s="56"/>
      <c r="CB1812" s="56"/>
      <c r="CC1812" s="56"/>
      <c r="CD1812" s="56"/>
      <c r="CE1812" s="56"/>
      <c r="CF1812" s="56"/>
      <c r="CG1812" s="56"/>
      <c r="CH1812" s="56"/>
      <c r="CI1812" s="103">
        <v>54.231049504950498</v>
      </c>
      <c r="CJ1812" s="103">
        <f t="shared" si="468"/>
        <v>1.7342480091892505</v>
      </c>
      <c r="CK1812" s="57"/>
      <c r="CL1812" s="160">
        <f t="shared" si="469"/>
        <v>1.2915342836642281</v>
      </c>
      <c r="CM1812" s="160">
        <v>1.8111693312893598</v>
      </c>
      <c r="CN1812" s="160"/>
      <c r="CO1812" s="55" t="s">
        <v>1641</v>
      </c>
      <c r="CP1812" s="497" t="s">
        <v>1645</v>
      </c>
      <c r="CQ1812" s="149">
        <v>1.3014170441222239</v>
      </c>
      <c r="CR1812" s="349">
        <f>10^(CJ1812-CQ1812)</f>
        <v>2.7091369836326988</v>
      </c>
      <c r="CS1812" s="61" t="s">
        <v>539</v>
      </c>
      <c r="CT1812" s="61"/>
      <c r="CU1812" s="111">
        <f t="shared" si="470"/>
        <v>26.737450468621972</v>
      </c>
      <c r="CV1812" s="331"/>
      <c r="CW1812" s="326">
        <f t="shared" si="471"/>
        <v>1</v>
      </c>
      <c r="CX1812" s="326" t="s">
        <v>539</v>
      </c>
      <c r="CY1812" s="161" t="s">
        <v>6351</v>
      </c>
    </row>
    <row r="1813" spans="1:103" ht="11.25" customHeight="1" x14ac:dyDescent="0.2">
      <c r="A1813" s="72">
        <v>76</v>
      </c>
      <c r="B1813" s="149">
        <v>512</v>
      </c>
      <c r="C1813" s="54" t="s">
        <v>1635</v>
      </c>
      <c r="D1813" s="54" t="s">
        <v>6463</v>
      </c>
      <c r="E1813" s="59"/>
      <c r="F1813" s="59" t="s">
        <v>1636</v>
      </c>
      <c r="G1813" s="151">
        <v>106489</v>
      </c>
      <c r="H1813" s="55" t="s">
        <v>1637</v>
      </c>
      <c r="I1813" s="55" t="s">
        <v>8214</v>
      </c>
      <c r="J1813" s="55" t="s">
        <v>1638</v>
      </c>
      <c r="K1813" s="55" t="s">
        <v>349</v>
      </c>
      <c r="L1813" s="55" t="s">
        <v>5527</v>
      </c>
      <c r="M1813" s="55" t="s">
        <v>497</v>
      </c>
      <c r="N1813" s="60" t="s">
        <v>6381</v>
      </c>
      <c r="O1813" s="55" t="s">
        <v>498</v>
      </c>
      <c r="P1813" s="67" t="s">
        <v>6184</v>
      </c>
      <c r="Q1813" s="67" t="s">
        <v>6182</v>
      </c>
      <c r="R1813" s="67" t="s">
        <v>6185</v>
      </c>
      <c r="S1813" s="67" t="s">
        <v>6176</v>
      </c>
      <c r="T1813" s="56">
        <v>128.56</v>
      </c>
      <c r="U1813" s="103">
        <v>24000</v>
      </c>
      <c r="V1813" s="103">
        <v>3222</v>
      </c>
      <c r="W1813" s="103">
        <v>2084.999061164639</v>
      </c>
      <c r="X1813" s="103">
        <v>24000</v>
      </c>
      <c r="Y1813" s="162">
        <v>5.63</v>
      </c>
      <c r="Z1813" s="56">
        <v>2.16</v>
      </c>
      <c r="AA1813" s="56">
        <v>2.39</v>
      </c>
      <c r="AB1813" s="56">
        <v>2.5099999999999998</v>
      </c>
      <c r="AC1813" s="56">
        <v>0.89249999999999996</v>
      </c>
      <c r="AD1813" s="56">
        <v>2.4900000000000002</v>
      </c>
      <c r="AE1813" s="56">
        <v>2.4300000000000002</v>
      </c>
      <c r="AF1813" s="56">
        <f t="shared" si="476"/>
        <v>2.39</v>
      </c>
      <c r="AG1813" s="57">
        <v>2.15</v>
      </c>
      <c r="AH1813" s="103">
        <v>4.15E-7</v>
      </c>
      <c r="AI1813" s="103">
        <v>6.2699999999999999E-7</v>
      </c>
      <c r="AJ1813" s="62">
        <f t="shared" si="477"/>
        <v>-4.770518229600559</v>
      </c>
      <c r="AK1813" s="62">
        <f>LOG10(AI1813*1000/(0.08206*298.15))</f>
        <v>-4.5912987854819356</v>
      </c>
      <c r="AL1813" s="62">
        <f t="shared" si="478"/>
        <v>-4.5912987854819356</v>
      </c>
      <c r="AM1813" s="62">
        <v>-7.63727</v>
      </c>
      <c r="AN1813" s="154">
        <v>-4.8600000000000003</v>
      </c>
      <c r="AO1813" s="410">
        <v>9.4700000000000006</v>
      </c>
      <c r="AP1813" s="410"/>
      <c r="AQ1813" s="154" t="s">
        <v>6311</v>
      </c>
      <c r="AR1813" s="154" t="s">
        <v>6311</v>
      </c>
      <c r="AS1813" s="149" t="s">
        <v>6</v>
      </c>
      <c r="AT1813" s="58" t="s">
        <v>266</v>
      </c>
      <c r="AU1813" s="56">
        <v>2</v>
      </c>
      <c r="AV1813" s="56">
        <v>96</v>
      </c>
      <c r="AW1813" s="56">
        <v>96</v>
      </c>
      <c r="AX1813" s="56">
        <v>27</v>
      </c>
      <c r="AY1813" s="56" t="s">
        <v>8722</v>
      </c>
      <c r="AZ1813" s="56" t="s">
        <v>536</v>
      </c>
      <c r="BA1813" s="56">
        <v>10</v>
      </c>
      <c r="BB1813" s="55" t="s">
        <v>1644</v>
      </c>
      <c r="BC1813" s="55" t="s">
        <v>538</v>
      </c>
      <c r="BD1813" s="55"/>
      <c r="BE1813" s="56" t="s">
        <v>889</v>
      </c>
      <c r="BF1813" s="56" t="s">
        <v>272</v>
      </c>
      <c r="BG1813" s="56" t="s">
        <v>539</v>
      </c>
      <c r="BH1813" s="56" t="s">
        <v>272</v>
      </c>
      <c r="BI1813" s="103" t="s">
        <v>8722</v>
      </c>
      <c r="BJ1813" s="103" t="s">
        <v>8722</v>
      </c>
      <c r="BK1813" s="56"/>
      <c r="BL1813" s="153">
        <v>75.859480414180325</v>
      </c>
      <c r="BM1813" s="56" t="s">
        <v>541</v>
      </c>
      <c r="BN1813" s="56">
        <v>40.4</v>
      </c>
      <c r="BO1813" s="56">
        <v>43.86</v>
      </c>
      <c r="BP1813" s="56">
        <v>42.14</v>
      </c>
      <c r="BQ1813" s="56">
        <v>32.179999999999943</v>
      </c>
      <c r="BR1813" s="56"/>
      <c r="BS1813" s="56"/>
      <c r="BT1813" s="56"/>
      <c r="BU1813" s="158"/>
      <c r="BV1813" s="56"/>
      <c r="BW1813" s="56"/>
      <c r="BX1813" s="56"/>
      <c r="BY1813" s="56"/>
      <c r="BZ1813" s="56"/>
      <c r="CA1813" s="56"/>
      <c r="CB1813" s="56"/>
      <c r="CC1813" s="56"/>
      <c r="CD1813" s="56"/>
      <c r="CE1813" s="56"/>
      <c r="CF1813" s="56"/>
      <c r="CG1813" s="56"/>
      <c r="CH1813" s="56"/>
      <c r="CI1813" s="103">
        <v>32.179999999999943</v>
      </c>
      <c r="CJ1813" s="103">
        <f t="shared" si="468"/>
        <v>1.5075860397630099</v>
      </c>
      <c r="CK1813" s="57"/>
      <c r="CL1813" s="160">
        <f t="shared" si="469"/>
        <v>2.3573486766370557</v>
      </c>
      <c r="CM1813" s="160">
        <v>0.27971818245026747</v>
      </c>
      <c r="CN1813" s="160"/>
      <c r="CO1813" s="55" t="s">
        <v>1641</v>
      </c>
      <c r="CP1813" s="497" t="s">
        <v>1645</v>
      </c>
      <c r="CQ1813" s="149">
        <v>0.54533072722344478</v>
      </c>
      <c r="CR1813" s="349">
        <f>10^(CJ1813-CQ1813)</f>
        <v>9.1675927512256834</v>
      </c>
      <c r="CS1813" s="61" t="s">
        <v>539</v>
      </c>
      <c r="CT1813" s="61"/>
      <c r="CU1813" s="111">
        <f t="shared" si="470"/>
        <v>745.80484773151159</v>
      </c>
      <c r="CV1813" s="331"/>
      <c r="CW1813" s="326">
        <f t="shared" si="471"/>
        <v>1</v>
      </c>
      <c r="CX1813" s="326" t="s">
        <v>539</v>
      </c>
      <c r="CY1813" s="161" t="s">
        <v>6351</v>
      </c>
    </row>
    <row r="1814" spans="1:103" ht="11.25" customHeight="1" x14ac:dyDescent="0.2">
      <c r="A1814" s="72">
        <v>425</v>
      </c>
      <c r="B1814" s="149">
        <v>536</v>
      </c>
      <c r="C1814" s="54" t="s">
        <v>6734</v>
      </c>
      <c r="D1814" s="54" t="s">
        <v>6702</v>
      </c>
      <c r="E1814" s="59"/>
      <c r="F1814" s="59" t="s">
        <v>1690</v>
      </c>
      <c r="G1814" s="151">
        <v>534521</v>
      </c>
      <c r="H1814" s="55" t="s">
        <v>1691</v>
      </c>
      <c r="I1814" s="55" t="s">
        <v>1691</v>
      </c>
      <c r="J1814" s="55" t="s">
        <v>1692</v>
      </c>
      <c r="K1814" s="55" t="s">
        <v>1693</v>
      </c>
      <c r="L1814" s="55" t="s">
        <v>617</v>
      </c>
      <c r="M1814" s="55" t="s">
        <v>1694</v>
      </c>
      <c r="N1814" s="60" t="s">
        <v>6381</v>
      </c>
      <c r="O1814" s="55" t="s">
        <v>1695</v>
      </c>
      <c r="P1814" s="67"/>
      <c r="Q1814" s="67" t="s">
        <v>6173</v>
      </c>
      <c r="R1814" s="67" t="s">
        <v>6180</v>
      </c>
      <c r="S1814" s="67" t="s">
        <v>6176</v>
      </c>
      <c r="T1814" s="56">
        <v>198.13</v>
      </c>
      <c r="U1814" s="103">
        <v>198</v>
      </c>
      <c r="V1814" s="103">
        <v>678.4</v>
      </c>
      <c r="W1814" s="103">
        <v>571.41316171447409</v>
      </c>
      <c r="X1814" s="103">
        <v>198</v>
      </c>
      <c r="Y1814" s="162">
        <v>3.5</v>
      </c>
      <c r="Z1814" s="56">
        <v>2.27</v>
      </c>
      <c r="AA1814" s="56">
        <v>2.13</v>
      </c>
      <c r="AB1814" s="56">
        <v>2.29</v>
      </c>
      <c r="AC1814" s="56">
        <v>0.86</v>
      </c>
      <c r="AD1814" s="56">
        <v>2.27</v>
      </c>
      <c r="AE1814" s="56">
        <v>2.2000000000000002</v>
      </c>
      <c r="AF1814" s="56">
        <f t="shared" si="476"/>
        <v>2.13</v>
      </c>
      <c r="AG1814" s="57">
        <v>1.1499999999999999</v>
      </c>
      <c r="AH1814" s="103">
        <v>3.0500000000000002E-8</v>
      </c>
      <c r="AI1814" s="103">
        <v>1.3999999999999999E-6</v>
      </c>
      <c r="AJ1814" s="62">
        <f t="shared" si="477"/>
        <v>-5.9042664869658656</v>
      </c>
      <c r="AK1814" s="62">
        <f>LOG10(AI1814*1000/(0.08206*298.15))</f>
        <v>-4.2424382906344134</v>
      </c>
      <c r="AL1814" s="62">
        <f t="shared" si="478"/>
        <v>-4.2424382906344134</v>
      </c>
      <c r="AM1814" s="62">
        <v>-9.2475299999999994</v>
      </c>
      <c r="AN1814" s="154">
        <v>-5.07</v>
      </c>
      <c r="AO1814" s="410">
        <v>4.42</v>
      </c>
      <c r="AP1814" s="410"/>
      <c r="AQ1814" s="154" t="s">
        <v>6311</v>
      </c>
      <c r="AR1814" s="154" t="s">
        <v>6311</v>
      </c>
      <c r="AS1814" s="149" t="s">
        <v>6</v>
      </c>
      <c r="AT1814" s="58" t="s">
        <v>266</v>
      </c>
      <c r="AU1814" s="56">
        <v>2</v>
      </c>
      <c r="AV1814" s="56">
        <v>96</v>
      </c>
      <c r="AW1814" s="56">
        <v>96</v>
      </c>
      <c r="AX1814" s="56">
        <v>27</v>
      </c>
      <c r="AY1814" s="56" t="s">
        <v>8722</v>
      </c>
      <c r="AZ1814" s="56" t="s">
        <v>536</v>
      </c>
      <c r="BA1814" s="56">
        <v>10</v>
      </c>
      <c r="BB1814" s="55" t="s">
        <v>1644</v>
      </c>
      <c r="BC1814" s="55" t="s">
        <v>538</v>
      </c>
      <c r="BD1814" s="55"/>
      <c r="BE1814" s="56" t="s">
        <v>889</v>
      </c>
      <c r="BF1814" s="56" t="s">
        <v>272</v>
      </c>
      <c r="BG1814" s="56" t="s">
        <v>539</v>
      </c>
      <c r="BH1814" s="56" t="s">
        <v>272</v>
      </c>
      <c r="BI1814" s="103" t="s">
        <v>8722</v>
      </c>
      <c r="BJ1814" s="103" t="s">
        <v>8722</v>
      </c>
      <c r="BK1814" s="56"/>
      <c r="BL1814" s="153">
        <v>93.124346806769523</v>
      </c>
      <c r="BM1814" s="56" t="s">
        <v>541</v>
      </c>
      <c r="BN1814" s="56"/>
      <c r="BO1814" s="56">
        <v>0.59996971838094282</v>
      </c>
      <c r="BP1814" s="56">
        <v>0.43997779347935806</v>
      </c>
      <c r="BQ1814" s="56">
        <v>0.38998031694761343</v>
      </c>
      <c r="BR1814" s="56"/>
      <c r="BS1814" s="56"/>
      <c r="BT1814" s="56"/>
      <c r="BU1814" s="158"/>
      <c r="BV1814" s="56"/>
      <c r="BW1814" s="56"/>
      <c r="BX1814" s="56"/>
      <c r="BY1814" s="56"/>
      <c r="BZ1814" s="56"/>
      <c r="CA1814" s="56"/>
      <c r="CB1814" s="56"/>
      <c r="CC1814" s="56"/>
      <c r="CD1814" s="56"/>
      <c r="CE1814" s="56"/>
      <c r="CF1814" s="56"/>
      <c r="CG1814" s="56"/>
      <c r="CH1814" s="56"/>
      <c r="CI1814" s="103">
        <v>0.38998031694761343</v>
      </c>
      <c r="CJ1814" s="103">
        <f t="shared" si="468"/>
        <v>-0.40895731209339287</v>
      </c>
      <c r="CK1814" s="57"/>
      <c r="CL1814" s="160">
        <f t="shared" si="469"/>
        <v>238.79242812985109</v>
      </c>
      <c r="CM1814" s="160"/>
      <c r="CN1814" s="160"/>
      <c r="CO1814" s="55" t="s">
        <v>1641</v>
      </c>
      <c r="CP1814" s="497" t="s">
        <v>1645</v>
      </c>
      <c r="CQ1814" s="149">
        <v>-0.11350532493431179</v>
      </c>
      <c r="CR1814" s="349">
        <f>10^(CJ1814-CQ1814)</f>
        <v>0.5064633378004223</v>
      </c>
      <c r="CS1814" s="61" t="s">
        <v>539</v>
      </c>
      <c r="CT1814" s="61"/>
      <c r="CU1814" s="111">
        <f t="shared" si="470"/>
        <v>507.7179318939771</v>
      </c>
      <c r="CV1814" s="331"/>
      <c r="CW1814" s="326">
        <f t="shared" si="471"/>
        <v>1</v>
      </c>
      <c r="CX1814" s="326" t="s">
        <v>539</v>
      </c>
      <c r="CY1814" s="161" t="s">
        <v>6351</v>
      </c>
    </row>
    <row r="1815" spans="1:103" ht="11.25" customHeight="1" x14ac:dyDescent="0.2">
      <c r="A1815" s="72">
        <v>1685</v>
      </c>
      <c r="B1815" s="241">
        <v>2050</v>
      </c>
      <c r="C1815" s="32" t="s">
        <v>5208</v>
      </c>
      <c r="D1815" s="32"/>
      <c r="E1815" s="40"/>
      <c r="F1815" s="40" t="s">
        <v>5209</v>
      </c>
      <c r="G1815" s="242">
        <v>85018</v>
      </c>
      <c r="H1815" s="41" t="s">
        <v>5491</v>
      </c>
      <c r="I1815" s="41" t="s">
        <v>7888</v>
      </c>
      <c r="J1815" s="41" t="s">
        <v>5211</v>
      </c>
      <c r="K1815" s="41" t="s">
        <v>426</v>
      </c>
      <c r="L1815" s="41" t="s">
        <v>5492</v>
      </c>
      <c r="M1815" s="41" t="s">
        <v>866</v>
      </c>
      <c r="N1815" s="36" t="s">
        <v>6082</v>
      </c>
      <c r="O1815" s="41" t="s">
        <v>6086</v>
      </c>
      <c r="P1815" s="41"/>
      <c r="Q1815" s="41"/>
      <c r="R1815" s="41"/>
      <c r="S1815" s="41"/>
      <c r="T1815" s="33">
        <v>178.23</v>
      </c>
      <c r="U1815" s="250">
        <v>1.1499999999999999</v>
      </c>
      <c r="V1815" s="250">
        <v>0.67700000000000005</v>
      </c>
      <c r="W1815" s="250">
        <v>0.45812164036289388</v>
      </c>
      <c r="X1815" s="250">
        <v>1.1499999999999999</v>
      </c>
      <c r="Y1815" s="415">
        <v>7</v>
      </c>
      <c r="Z1815" s="33">
        <v>4.3499999999999996</v>
      </c>
      <c r="AA1815" s="33">
        <v>4.46</v>
      </c>
      <c r="AB1815" s="33">
        <v>4.72</v>
      </c>
      <c r="AC1815" s="33">
        <v>0.88919999999999999</v>
      </c>
      <c r="AD1815" s="33">
        <v>4.71</v>
      </c>
      <c r="AE1815" s="33">
        <v>4.68</v>
      </c>
      <c r="AF1815" s="33">
        <f t="shared" si="476"/>
        <v>4.46</v>
      </c>
      <c r="AG1815" s="34">
        <v>4.09</v>
      </c>
      <c r="AH1815" s="250">
        <v>5.13E-5</v>
      </c>
      <c r="AI1815" s="250">
        <v>4.2299999999999998E-5</v>
      </c>
      <c r="AJ1815" s="34">
        <f t="shared" si="477"/>
        <v>-2.6784489612008358</v>
      </c>
      <c r="AK1815" s="34">
        <f>LOG10(AI1815*1000/(0.08206*298.15))</f>
        <v>-2.7622259589376097</v>
      </c>
      <c r="AL1815" s="34">
        <f t="shared" si="478"/>
        <v>-2.7622259589376097</v>
      </c>
      <c r="AM1815" s="34">
        <v>-6.7898499999999995</v>
      </c>
      <c r="AN1815" s="251">
        <v>-2.7795000000000001</v>
      </c>
      <c r="AO1815" s="417"/>
      <c r="AP1815" s="417"/>
      <c r="AQ1815" s="251" t="s">
        <v>6311</v>
      </c>
      <c r="AR1815" s="251" t="s">
        <v>6311</v>
      </c>
      <c r="AS1815" s="252" t="s">
        <v>5466</v>
      </c>
      <c r="AT1815" s="35" t="s">
        <v>266</v>
      </c>
      <c r="AU1815" s="33">
        <v>1</v>
      </c>
      <c r="AV1815" s="33">
        <v>48</v>
      </c>
      <c r="AW1815" s="33">
        <v>48</v>
      </c>
      <c r="AX1815" s="33">
        <v>26</v>
      </c>
      <c r="AY1815" s="33" t="s">
        <v>267</v>
      </c>
      <c r="AZ1815" s="33" t="s">
        <v>5616</v>
      </c>
      <c r="BA1815" s="33">
        <v>2</v>
      </c>
      <c r="BB1815" s="41" t="s">
        <v>5617</v>
      </c>
      <c r="BC1815" s="41" t="s">
        <v>538</v>
      </c>
      <c r="BD1815" s="41"/>
      <c r="BE1815" s="33"/>
      <c r="BF1815" s="33"/>
      <c r="BG1815" s="33"/>
      <c r="BH1815" s="33" t="s">
        <v>5614</v>
      </c>
      <c r="BI1815" s="250"/>
      <c r="BJ1815" s="250"/>
      <c r="BK1815" s="254"/>
      <c r="BL1815" s="263">
        <v>1.1351305369535005</v>
      </c>
      <c r="BM1815" s="33"/>
      <c r="BN1815" s="33"/>
      <c r="BO1815" s="33">
        <v>0.6719271</v>
      </c>
      <c r="BP1815" s="33"/>
      <c r="BQ1815" s="33"/>
      <c r="BR1815" s="33"/>
      <c r="BS1815" s="33"/>
      <c r="BT1815" s="33"/>
      <c r="BU1815" s="246"/>
      <c r="BV1815" s="33"/>
      <c r="BW1815" s="33"/>
      <c r="BX1815" s="33"/>
      <c r="BY1815" s="33"/>
      <c r="BZ1815" s="33"/>
      <c r="CA1815" s="33"/>
      <c r="CB1815" s="33"/>
      <c r="CC1815" s="33"/>
      <c r="CD1815" s="33"/>
      <c r="CE1815" s="33"/>
      <c r="CF1815" s="33"/>
      <c r="CG1815" s="33"/>
      <c r="CH1815" s="33"/>
      <c r="CI1815" s="250">
        <v>0.6719271</v>
      </c>
      <c r="CJ1815" s="243">
        <f t="shared" si="468"/>
        <v>-0.17267784269785771</v>
      </c>
      <c r="CK1815" s="38"/>
      <c r="CL1815" s="247">
        <f t="shared" si="469"/>
        <v>1.6893656126587253</v>
      </c>
      <c r="CM1815" s="247">
        <v>-0.63078414258985727</v>
      </c>
      <c r="CN1815" s="247"/>
      <c r="CO1815" s="41"/>
      <c r="CP1815" s="143" t="s">
        <v>5615</v>
      </c>
      <c r="CQ1815" s="241">
        <v>-0.18386763218074403</v>
      </c>
      <c r="CR1815" s="241">
        <f>10^(CJ1815-CQ1815)</f>
        <v>1.0261002406933408</v>
      </c>
      <c r="CS1815" s="33"/>
      <c r="CT1815" s="33"/>
      <c r="CU1815" s="250">
        <f t="shared" si="470"/>
        <v>1.7114951904752762</v>
      </c>
      <c r="CV1815" s="337"/>
      <c r="CW1815" s="330">
        <f t="shared" si="471"/>
        <v>0</v>
      </c>
      <c r="CX1815" s="330"/>
      <c r="CY1815" s="143" t="s">
        <v>5921</v>
      </c>
    </row>
    <row r="1816" spans="1:103" ht="11.25" customHeight="1" x14ac:dyDescent="0.2">
      <c r="A1816" s="72">
        <v>1776</v>
      </c>
      <c r="B1816" s="241">
        <v>2049</v>
      </c>
      <c r="C1816" s="32" t="s">
        <v>7685</v>
      </c>
      <c r="D1816" s="32"/>
      <c r="E1816" s="40"/>
      <c r="F1816" s="40" t="s">
        <v>5609</v>
      </c>
      <c r="G1816" s="242">
        <v>143679</v>
      </c>
      <c r="H1816" s="41" t="s">
        <v>5610</v>
      </c>
      <c r="I1816" s="41" t="s">
        <v>8218</v>
      </c>
      <c r="J1816" s="41" t="s">
        <v>5611</v>
      </c>
      <c r="K1816" s="41" t="s">
        <v>5270</v>
      </c>
      <c r="L1816" s="41"/>
      <c r="M1816" s="41"/>
      <c r="N1816" s="36"/>
      <c r="O1816" s="41"/>
      <c r="P1816" s="41"/>
      <c r="Q1816" s="41"/>
      <c r="R1816" s="41"/>
      <c r="S1816" s="41"/>
      <c r="T1816" s="33">
        <v>811</v>
      </c>
      <c r="U1816" s="250"/>
      <c r="V1816" s="250">
        <v>4.4580000000000002E-2</v>
      </c>
      <c r="W1816" s="250">
        <v>122.74981724817637</v>
      </c>
      <c r="X1816" s="250">
        <v>122.74981724817637</v>
      </c>
      <c r="Y1816" s="415">
        <v>8.92</v>
      </c>
      <c r="Z1816" s="33">
        <v>4.32</v>
      </c>
      <c r="AA1816" s="33">
        <v>3.7</v>
      </c>
      <c r="AB1816" s="33">
        <v>4.1500000000000004</v>
      </c>
      <c r="AC1816" s="33">
        <v>0.64670000000000005</v>
      </c>
      <c r="AD1816" s="33">
        <v>4.16</v>
      </c>
      <c r="AE1816" s="33">
        <v>4.18</v>
      </c>
      <c r="AF1816" s="33">
        <f t="shared" si="476"/>
        <v>3.7</v>
      </c>
      <c r="AG1816" s="34">
        <v>4.16</v>
      </c>
      <c r="AH1816" s="250">
        <v>1.0299999999999999E-27</v>
      </c>
      <c r="AI1816" s="250"/>
      <c r="AJ1816" s="34">
        <f t="shared" si="477"/>
        <v>-25.37572910160748</v>
      </c>
      <c r="AK1816" s="34"/>
      <c r="AL1816" s="34">
        <f t="shared" si="478"/>
        <v>-25.37572910160748</v>
      </c>
      <c r="AM1816" s="34">
        <v>-40.175600000000003</v>
      </c>
      <c r="AN1816" s="251"/>
      <c r="AO1816" s="417">
        <v>11.36</v>
      </c>
      <c r="AP1816" s="417">
        <v>7.9</v>
      </c>
      <c r="AQ1816" s="251" t="s">
        <v>6311</v>
      </c>
      <c r="AR1816" s="251" t="s">
        <v>6312</v>
      </c>
      <c r="AS1816" s="252" t="s">
        <v>5466</v>
      </c>
      <c r="AT1816" s="35" t="s">
        <v>266</v>
      </c>
      <c r="AU1816" s="33">
        <v>1</v>
      </c>
      <c r="AV1816" s="33">
        <v>48</v>
      </c>
      <c r="AW1816" s="33">
        <v>48</v>
      </c>
      <c r="AX1816" s="33">
        <v>26</v>
      </c>
      <c r="AY1816" s="33" t="s">
        <v>267</v>
      </c>
      <c r="AZ1816" s="33" t="s">
        <v>5612</v>
      </c>
      <c r="BA1816" s="33">
        <v>10</v>
      </c>
      <c r="BB1816" s="41" t="s">
        <v>5613</v>
      </c>
      <c r="BC1816" s="41" t="s">
        <v>538</v>
      </c>
      <c r="BD1816" s="41"/>
      <c r="BE1816" s="33"/>
      <c r="BF1816" s="33"/>
      <c r="BG1816" s="33"/>
      <c r="BH1816" s="33" t="s">
        <v>5614</v>
      </c>
      <c r="BI1816" s="250"/>
      <c r="BJ1816" s="250"/>
      <c r="BK1816" s="254"/>
      <c r="BL1816" s="263">
        <v>5.4957738616859038</v>
      </c>
      <c r="BM1816" s="33"/>
      <c r="BN1816" s="33"/>
      <c r="BO1816" s="33">
        <v>2.4735500000000004</v>
      </c>
      <c r="BP1816" s="33"/>
      <c r="BQ1816" s="33"/>
      <c r="BR1816" s="33"/>
      <c r="BS1816" s="33"/>
      <c r="BT1816" s="33"/>
      <c r="BU1816" s="246"/>
      <c r="BV1816" s="33"/>
      <c r="BW1816" s="33"/>
      <c r="BX1816" s="33"/>
      <c r="BY1816" s="33"/>
      <c r="BZ1816" s="33"/>
      <c r="CA1816" s="33"/>
      <c r="CB1816" s="33"/>
      <c r="CC1816" s="33"/>
      <c r="CD1816" s="33"/>
      <c r="CE1816" s="33"/>
      <c r="CF1816" s="33"/>
      <c r="CG1816" s="33"/>
      <c r="CH1816" s="33"/>
      <c r="CI1816" s="250">
        <v>2.4735500000000004</v>
      </c>
      <c r="CJ1816" s="243">
        <f t="shared" si="468"/>
        <v>0.39332069355794191</v>
      </c>
      <c r="CK1816" s="38"/>
      <c r="CL1816" s="247">
        <f t="shared" si="469"/>
        <v>2.221816361782015</v>
      </c>
      <c r="CM1816" s="247"/>
      <c r="CN1816" s="247"/>
      <c r="CO1816" s="41"/>
      <c r="CP1816" s="143" t="s">
        <v>5615</v>
      </c>
      <c r="CQ1816" s="241" t="s">
        <v>272</v>
      </c>
      <c r="CR1816" s="241"/>
      <c r="CS1816" s="33"/>
      <c r="CT1816" s="33"/>
      <c r="CU1816" s="250">
        <f t="shared" si="470"/>
        <v>49.624958965121529</v>
      </c>
      <c r="CV1816" s="337"/>
      <c r="CW1816" s="330">
        <f t="shared" si="471"/>
        <v>1</v>
      </c>
      <c r="CX1816" s="330"/>
      <c r="CY1816" s="143" t="s">
        <v>5921</v>
      </c>
    </row>
    <row r="1817" spans="1:103" ht="11.25" customHeight="1" x14ac:dyDescent="0.2">
      <c r="A1817" s="72">
        <v>1694</v>
      </c>
      <c r="B1817" s="241">
        <v>2048</v>
      </c>
      <c r="C1817" s="32" t="s">
        <v>7638</v>
      </c>
      <c r="D1817" s="32"/>
      <c r="E1817" s="40"/>
      <c r="F1817" s="40" t="s">
        <v>4218</v>
      </c>
      <c r="G1817" s="242">
        <v>95147</v>
      </c>
      <c r="H1817" s="41" t="s">
        <v>4219</v>
      </c>
      <c r="I1817" s="41" t="s">
        <v>4219</v>
      </c>
      <c r="J1817" s="41" t="s">
        <v>5607</v>
      </c>
      <c r="K1817" s="41" t="s">
        <v>4221</v>
      </c>
      <c r="L1817" s="41"/>
      <c r="M1817" s="41"/>
      <c r="N1817" s="36"/>
      <c r="O1817" s="41"/>
      <c r="P1817" s="41"/>
      <c r="Q1817" s="41"/>
      <c r="R1817" s="41"/>
      <c r="S1817" s="41"/>
      <c r="T1817" s="33">
        <v>119.12</v>
      </c>
      <c r="U1817" s="250">
        <v>19800</v>
      </c>
      <c r="V1817" s="250">
        <v>5957</v>
      </c>
      <c r="W1817" s="250">
        <v>18449.503564485472</v>
      </c>
      <c r="X1817" s="250">
        <v>19800</v>
      </c>
      <c r="Y1817" s="415">
        <v>4.97</v>
      </c>
      <c r="Z1817" s="33">
        <v>1.17</v>
      </c>
      <c r="AA1817" s="33">
        <v>1.44</v>
      </c>
      <c r="AB1817" s="33">
        <v>1.61</v>
      </c>
      <c r="AC1817" s="33">
        <v>0.86890000000000001</v>
      </c>
      <c r="AD1817" s="33">
        <v>1.54</v>
      </c>
      <c r="AE1817" s="33">
        <v>1.34</v>
      </c>
      <c r="AF1817" s="33">
        <f t="shared" si="476"/>
        <v>1.44</v>
      </c>
      <c r="AG1817" s="34">
        <v>1.54</v>
      </c>
      <c r="AH1817" s="250">
        <v>1.4700000000000001E-7</v>
      </c>
      <c r="AI1817" s="250"/>
      <c r="AJ1817" s="34">
        <f t="shared" si="477"/>
        <v>-5.221248991564476</v>
      </c>
      <c r="AK1817" s="34"/>
      <c r="AL1817" s="34">
        <f t="shared" si="478"/>
        <v>-5.221248991564476</v>
      </c>
      <c r="AM1817" s="34">
        <v>-9.7054899999999993</v>
      </c>
      <c r="AN1817" s="251"/>
      <c r="AO1817" s="417">
        <v>8.3800000000000008</v>
      </c>
      <c r="AP1817" s="417">
        <v>1.17</v>
      </c>
      <c r="AQ1817" s="251" t="s">
        <v>6311</v>
      </c>
      <c r="AR1817" s="251" t="s">
        <v>6311</v>
      </c>
      <c r="AS1817" s="252" t="s">
        <v>5466</v>
      </c>
      <c r="AT1817" s="35" t="s">
        <v>266</v>
      </c>
      <c r="AU1817" s="33">
        <v>2</v>
      </c>
      <c r="AV1817" s="33">
        <v>144</v>
      </c>
      <c r="AW1817" s="33">
        <v>142</v>
      </c>
      <c r="AX1817" s="33">
        <v>27</v>
      </c>
      <c r="AY1817" s="33"/>
      <c r="AZ1817" s="33" t="s">
        <v>5595</v>
      </c>
      <c r="BA1817" s="33">
        <v>100</v>
      </c>
      <c r="BB1817" s="41" t="s">
        <v>5596</v>
      </c>
      <c r="BC1817" s="41" t="s">
        <v>5597</v>
      </c>
      <c r="BD1817" s="41"/>
      <c r="BE1817" s="33" t="s">
        <v>5598</v>
      </c>
      <c r="BF1817" s="33"/>
      <c r="BG1817" s="33"/>
      <c r="BH1817" s="33" t="s">
        <v>1820</v>
      </c>
      <c r="BI1817" s="250">
        <v>9.9941680000000012E-3</v>
      </c>
      <c r="BJ1817" s="250">
        <v>0.99941679999999999</v>
      </c>
      <c r="BK1817" s="254" t="s">
        <v>5599</v>
      </c>
      <c r="BL1817" s="263">
        <v>544.51228778082145</v>
      </c>
      <c r="BM1817" s="33"/>
      <c r="BN1817" s="33"/>
      <c r="BO1817" s="33"/>
      <c r="BP1817" s="33"/>
      <c r="BQ1817" s="33"/>
      <c r="BR1817" s="33"/>
      <c r="BS1817" s="33"/>
      <c r="BT1817" s="33" t="e">
        <v>#VALUE!</v>
      </c>
      <c r="BU1817" s="246"/>
      <c r="BV1817" s="33"/>
      <c r="BW1817" s="33"/>
      <c r="BX1817" s="33"/>
      <c r="BY1817" s="33"/>
      <c r="BZ1817" s="33"/>
      <c r="CA1817" s="33"/>
      <c r="CB1817" s="33"/>
      <c r="CC1817" s="33"/>
      <c r="CD1817" s="33"/>
      <c r="CE1817" s="33"/>
      <c r="CF1817" s="33"/>
      <c r="CG1817" s="33"/>
      <c r="CH1817" s="33"/>
      <c r="CI1817" s="250"/>
      <c r="CJ1817" s="243"/>
      <c r="CK1817" s="38">
        <f>BL1817/BJ1817</f>
        <v>544.83003265586638</v>
      </c>
      <c r="CL1817" s="247"/>
      <c r="CM1817" s="247"/>
      <c r="CN1817" s="247"/>
      <c r="CO1817" s="41"/>
      <c r="CP1817" s="143" t="s">
        <v>5601</v>
      </c>
      <c r="CQ1817" s="241" t="s">
        <v>272</v>
      </c>
      <c r="CR1817" s="241"/>
      <c r="CS1817" s="33"/>
      <c r="CT1817" s="33" t="s">
        <v>6310</v>
      </c>
      <c r="CU1817" s="250"/>
      <c r="CV1817" s="337">
        <f>X1817/BJ1817</f>
        <v>19811.55409835016</v>
      </c>
      <c r="CW1817" s="330">
        <f>IF(CV1817&lt;1,0,1)</f>
        <v>1</v>
      </c>
      <c r="CX1817" s="330" t="s">
        <v>539</v>
      </c>
      <c r="CY1817" s="143" t="s">
        <v>6351</v>
      </c>
    </row>
    <row r="1818" spans="1:103" ht="11.25" customHeight="1" x14ac:dyDescent="0.2">
      <c r="A1818" s="72">
        <v>1850</v>
      </c>
      <c r="B1818" s="241">
        <v>2046</v>
      </c>
      <c r="C1818" s="32" t="s">
        <v>7734</v>
      </c>
      <c r="D1818" s="32"/>
      <c r="E1818" s="40"/>
      <c r="F1818" s="40" t="s">
        <v>5592</v>
      </c>
      <c r="G1818" s="242">
        <v>2440224</v>
      </c>
      <c r="H1818" s="36" t="s">
        <v>5593</v>
      </c>
      <c r="I1818" s="36" t="s">
        <v>5593</v>
      </c>
      <c r="J1818" s="41" t="s">
        <v>5594</v>
      </c>
      <c r="K1818" s="41" t="s">
        <v>3051</v>
      </c>
      <c r="L1818" s="41"/>
      <c r="M1818" s="41"/>
      <c r="N1818" s="36"/>
      <c r="O1818" s="41"/>
      <c r="P1818" s="41"/>
      <c r="Q1818" s="41"/>
      <c r="R1818" s="41"/>
      <c r="S1818" s="41"/>
      <c r="T1818" s="33">
        <v>225.25</v>
      </c>
      <c r="U1818" s="250"/>
      <c r="V1818" s="250">
        <v>25.59</v>
      </c>
      <c r="W1818" s="250">
        <v>16.698013185303139</v>
      </c>
      <c r="X1818" s="250">
        <v>16.698013185303139</v>
      </c>
      <c r="Y1818" s="415">
        <v>6.01</v>
      </c>
      <c r="Z1818" s="33">
        <v>3</v>
      </c>
      <c r="AA1818" s="33">
        <v>4.3099999999999996</v>
      </c>
      <c r="AB1818" s="33">
        <v>3.27</v>
      </c>
      <c r="AC1818" s="33">
        <v>0.84440000000000004</v>
      </c>
      <c r="AD1818" s="33">
        <v>3.5</v>
      </c>
      <c r="AE1818" s="33">
        <v>4.3</v>
      </c>
      <c r="AF1818" s="33">
        <f t="shared" si="476"/>
        <v>4.3099999999999996</v>
      </c>
      <c r="AG1818" s="34">
        <v>3.5</v>
      </c>
      <c r="AH1818" s="250">
        <v>6.1199999999999994E-14</v>
      </c>
      <c r="AI1818" s="250"/>
      <c r="AJ1818" s="34">
        <f t="shared" si="477"/>
        <v>-11.601814904167091</v>
      </c>
      <c r="AK1818" s="34"/>
      <c r="AL1818" s="34">
        <f t="shared" si="478"/>
        <v>-11.601814904167091</v>
      </c>
      <c r="AM1818" s="34">
        <v>-12.74907</v>
      </c>
      <c r="AN1818" s="251"/>
      <c r="AO1818" s="417">
        <v>8.15</v>
      </c>
      <c r="AP1818" s="417">
        <v>0.74</v>
      </c>
      <c r="AQ1818" s="251" t="s">
        <v>6311</v>
      </c>
      <c r="AR1818" s="251" t="s">
        <v>6311</v>
      </c>
      <c r="AS1818" s="252" t="s">
        <v>5466</v>
      </c>
      <c r="AT1818" s="35" t="s">
        <v>266</v>
      </c>
      <c r="AU1818" s="33">
        <v>2</v>
      </c>
      <c r="AV1818" s="33">
        <v>144</v>
      </c>
      <c r="AW1818" s="33">
        <v>142</v>
      </c>
      <c r="AX1818" s="33">
        <v>27</v>
      </c>
      <c r="AY1818" s="33"/>
      <c r="AZ1818" s="33" t="s">
        <v>5595</v>
      </c>
      <c r="BA1818" s="33">
        <v>100</v>
      </c>
      <c r="BB1818" s="41" t="s">
        <v>5596</v>
      </c>
      <c r="BC1818" s="41" t="s">
        <v>5597</v>
      </c>
      <c r="BD1818" s="41"/>
      <c r="BE1818" s="33" t="s">
        <v>5598</v>
      </c>
      <c r="BF1818" s="33"/>
      <c r="BG1818" s="33"/>
      <c r="BH1818" s="33" t="s">
        <v>1820</v>
      </c>
      <c r="BI1818" s="250">
        <v>1.0001100000000001E-2</v>
      </c>
      <c r="BJ1818" s="250">
        <v>1.0001100000000001</v>
      </c>
      <c r="BK1818" s="254" t="s">
        <v>5599</v>
      </c>
      <c r="BL1818" s="263">
        <v>23.397249144569553</v>
      </c>
      <c r="BM1818" s="33"/>
      <c r="BN1818" s="33"/>
      <c r="BO1818" s="33"/>
      <c r="BP1818" s="33"/>
      <c r="BQ1818" s="33"/>
      <c r="BR1818" s="33"/>
      <c r="BS1818" s="33"/>
      <c r="BT1818" s="33" t="e">
        <v>#VALUE!</v>
      </c>
      <c r="BU1818" s="246"/>
      <c r="BV1818" s="33"/>
      <c r="BW1818" s="33"/>
      <c r="BX1818" s="33"/>
      <c r="BY1818" s="33"/>
      <c r="BZ1818" s="33"/>
      <c r="CA1818" s="33"/>
      <c r="CB1818" s="33"/>
      <c r="CC1818" s="33"/>
      <c r="CD1818" s="33"/>
      <c r="CE1818" s="33"/>
      <c r="CF1818" s="33"/>
      <c r="CG1818" s="33"/>
      <c r="CH1818" s="33"/>
      <c r="CI1818" s="250"/>
      <c r="CJ1818" s="243"/>
      <c r="CK1818" s="38">
        <f>BL1818/BJ1818</f>
        <v>23.394675730239225</v>
      </c>
      <c r="CL1818" s="247"/>
      <c r="CM1818" s="247"/>
      <c r="CN1818" s="247"/>
      <c r="CO1818" s="41"/>
      <c r="CP1818" s="143" t="s">
        <v>5601</v>
      </c>
      <c r="CQ1818" s="241" t="s">
        <v>272</v>
      </c>
      <c r="CR1818" s="241"/>
      <c r="CS1818" s="33"/>
      <c r="CT1818" s="33" t="s">
        <v>6310</v>
      </c>
      <c r="CU1818" s="250"/>
      <c r="CV1818" s="337">
        <f>X1818/BJ1818</f>
        <v>16.696176605876492</v>
      </c>
      <c r="CW1818" s="330">
        <f>IF(CV1818&lt;1,0,1)</f>
        <v>1</v>
      </c>
      <c r="CX1818" s="330" t="s">
        <v>539</v>
      </c>
      <c r="CY1818" s="143" t="s">
        <v>6351</v>
      </c>
    </row>
    <row r="1819" spans="1:103" ht="11.25" customHeight="1" x14ac:dyDescent="0.2">
      <c r="A1819" s="72">
        <v>1856</v>
      </c>
      <c r="B1819" s="241">
        <v>2047</v>
      </c>
      <c r="C1819" s="32" t="s">
        <v>5602</v>
      </c>
      <c r="D1819" s="32"/>
      <c r="E1819" s="40"/>
      <c r="F1819" s="40" t="s">
        <v>5603</v>
      </c>
      <c r="G1819" s="242">
        <v>3896115</v>
      </c>
      <c r="H1819" s="36" t="s">
        <v>5604</v>
      </c>
      <c r="I1819" s="36" t="s">
        <v>8241</v>
      </c>
      <c r="J1819" s="41" t="s">
        <v>5605</v>
      </c>
      <c r="K1819" s="41" t="s">
        <v>3051</v>
      </c>
      <c r="L1819" s="41"/>
      <c r="M1819" s="41"/>
      <c r="N1819" s="36"/>
      <c r="O1819" s="41"/>
      <c r="P1819" s="41"/>
      <c r="Q1819" s="41"/>
      <c r="R1819" s="41"/>
      <c r="S1819" s="41"/>
      <c r="T1819" s="33">
        <v>315.8</v>
      </c>
      <c r="U1819" s="250"/>
      <c r="V1819" s="250">
        <v>0.68379999999999996</v>
      </c>
      <c r="W1819" s="250">
        <v>0.46710242898351934</v>
      </c>
      <c r="X1819" s="250">
        <v>0.46710242898351934</v>
      </c>
      <c r="Y1819" s="415">
        <v>6.97</v>
      </c>
      <c r="Z1819" s="33">
        <v>5.55</v>
      </c>
      <c r="AA1819" s="33"/>
      <c r="AB1819" s="33">
        <v>4.47</v>
      </c>
      <c r="AC1819" s="33">
        <v>0.58909999999999996</v>
      </c>
      <c r="AD1819" s="33">
        <v>5.38</v>
      </c>
      <c r="AE1819" s="33">
        <v>6.58</v>
      </c>
      <c r="AF1819" s="33">
        <f t="shared" si="476"/>
        <v>5.38</v>
      </c>
      <c r="AG1819" s="34">
        <v>5.38</v>
      </c>
      <c r="AH1819" s="250">
        <v>1.1700000000000001E-13</v>
      </c>
      <c r="AI1819" s="250"/>
      <c r="AJ1819" s="34">
        <f t="shared" si="477"/>
        <v>-11.32038046456649</v>
      </c>
      <c r="AK1819" s="34"/>
      <c r="AL1819" s="34">
        <f t="shared" si="478"/>
        <v>-11.32038046456649</v>
      </c>
      <c r="AM1819" s="34">
        <v>-13.510029999999997</v>
      </c>
      <c r="AN1819" s="251"/>
      <c r="AO1819" s="417">
        <v>9.31</v>
      </c>
      <c r="AP1819" s="417">
        <v>-0.76</v>
      </c>
      <c r="AQ1819" s="251" t="s">
        <v>5921</v>
      </c>
      <c r="AR1819" s="251" t="s">
        <v>5921</v>
      </c>
      <c r="AS1819" s="252" t="s">
        <v>5466</v>
      </c>
      <c r="AT1819" s="35" t="s">
        <v>266</v>
      </c>
      <c r="AU1819" s="33">
        <v>2</v>
      </c>
      <c r="AV1819" s="33">
        <v>144</v>
      </c>
      <c r="AW1819" s="33">
        <v>142</v>
      </c>
      <c r="AX1819" s="33">
        <v>27</v>
      </c>
      <c r="AY1819" s="33"/>
      <c r="AZ1819" s="33" t="s">
        <v>5595</v>
      </c>
      <c r="BA1819" s="33">
        <v>100</v>
      </c>
      <c r="BB1819" s="41" t="s">
        <v>5596</v>
      </c>
      <c r="BC1819" s="41" t="s">
        <v>5597</v>
      </c>
      <c r="BD1819" s="41"/>
      <c r="BE1819" s="33" t="s">
        <v>5598</v>
      </c>
      <c r="BF1819" s="33"/>
      <c r="BG1819" s="33"/>
      <c r="BH1819" s="33" t="s">
        <v>1820</v>
      </c>
      <c r="BI1819" s="250">
        <v>1.001086E-2</v>
      </c>
      <c r="BJ1819" s="250">
        <v>0.49896400000000002</v>
      </c>
      <c r="BK1819" s="254" t="s">
        <v>5599</v>
      </c>
      <c r="BL1819" s="263">
        <v>0.16817333075143093</v>
      </c>
      <c r="BM1819" s="33"/>
      <c r="BN1819" s="33"/>
      <c r="BO1819" s="33"/>
      <c r="BP1819" s="33"/>
      <c r="BQ1819" s="33"/>
      <c r="BR1819" s="33"/>
      <c r="BS1819" s="33"/>
      <c r="BT1819" s="33" t="e">
        <v>#VALUE!</v>
      </c>
      <c r="BU1819" s="246"/>
      <c r="BV1819" s="33"/>
      <c r="BW1819" s="33"/>
      <c r="BX1819" s="33"/>
      <c r="BY1819" s="33"/>
      <c r="BZ1819" s="33"/>
      <c r="CA1819" s="33"/>
      <c r="CB1819" s="33"/>
      <c r="CC1819" s="33"/>
      <c r="CD1819" s="33"/>
      <c r="CE1819" s="33"/>
      <c r="CF1819" s="33"/>
      <c r="CG1819" s="33"/>
      <c r="CH1819" s="33"/>
      <c r="CI1819" s="250"/>
      <c r="CJ1819" s="243"/>
      <c r="CK1819" s="38">
        <f>BL1819/BJ1819</f>
        <v>0.33704501878177767</v>
      </c>
      <c r="CL1819" s="247"/>
      <c r="CM1819" s="247"/>
      <c r="CN1819" s="247"/>
      <c r="CO1819" s="41"/>
      <c r="CP1819" s="143" t="s">
        <v>5601</v>
      </c>
      <c r="CQ1819" s="241" t="s">
        <v>272</v>
      </c>
      <c r="CR1819" s="241"/>
      <c r="CS1819" s="33"/>
      <c r="CT1819" s="33" t="s">
        <v>6310</v>
      </c>
      <c r="CU1819" s="250"/>
      <c r="CV1819" s="337">
        <f>X1819/BJ1819</f>
        <v>0.93614454947354786</v>
      </c>
      <c r="CW1819" s="330">
        <f>IF(CV1819&lt;1,0,1)</f>
        <v>0</v>
      </c>
      <c r="CX1819" s="330" t="s">
        <v>539</v>
      </c>
      <c r="CY1819" s="143" t="s">
        <v>6351</v>
      </c>
    </row>
    <row r="1820" spans="1:103" ht="11.25" customHeight="1" x14ac:dyDescent="0.2">
      <c r="A1820" s="72">
        <v>1656</v>
      </c>
      <c r="B1820" s="241">
        <v>553</v>
      </c>
      <c r="C1820" s="32" t="s">
        <v>466</v>
      </c>
      <c r="D1820" s="32" t="s">
        <v>8557</v>
      </c>
      <c r="E1820" s="40"/>
      <c r="F1820" s="40" t="s">
        <v>1724</v>
      </c>
      <c r="G1820" s="242">
        <v>67561</v>
      </c>
      <c r="H1820" s="36" t="s">
        <v>1725</v>
      </c>
      <c r="I1820" s="36" t="s">
        <v>1725</v>
      </c>
      <c r="J1820" s="36" t="s">
        <v>1726</v>
      </c>
      <c r="K1820" s="36" t="s">
        <v>426</v>
      </c>
      <c r="L1820" s="36"/>
      <c r="M1820" s="36" t="s">
        <v>6616</v>
      </c>
      <c r="N1820" s="36" t="s">
        <v>6082</v>
      </c>
      <c r="O1820" s="36"/>
      <c r="P1820" s="41"/>
      <c r="Q1820" s="41" t="s">
        <v>6173</v>
      </c>
      <c r="R1820" s="41" t="s">
        <v>6185</v>
      </c>
      <c r="S1820" s="41" t="s">
        <v>6176</v>
      </c>
      <c r="T1820" s="37">
        <v>32.04</v>
      </c>
      <c r="U1820" s="243">
        <v>1000000</v>
      </c>
      <c r="V1820" s="243">
        <v>1000000</v>
      </c>
      <c r="W1820" s="243">
        <v>243048.25503935048</v>
      </c>
      <c r="X1820" s="243">
        <v>1000000</v>
      </c>
      <c r="Y1820" s="414">
        <v>6.91</v>
      </c>
      <c r="Z1820" s="37">
        <v>-0.63</v>
      </c>
      <c r="AA1820" s="37">
        <v>-0.77</v>
      </c>
      <c r="AB1820" s="37">
        <v>-0.46</v>
      </c>
      <c r="AC1820" s="37">
        <v>0.91890000000000005</v>
      </c>
      <c r="AD1820" s="37">
        <v>-0.52</v>
      </c>
      <c r="AE1820" s="37">
        <v>-0.72</v>
      </c>
      <c r="AF1820" s="37">
        <f t="shared" si="476"/>
        <v>-0.77</v>
      </c>
      <c r="AG1820" s="38">
        <v>-0.28999999999999998</v>
      </c>
      <c r="AH1820" s="243">
        <v>4.2699999999999998E-6</v>
      </c>
      <c r="AI1820" s="243">
        <v>4.5499999999999996E-6</v>
      </c>
      <c r="AJ1820" s="34">
        <f t="shared" si="477"/>
        <v>-3.7581384512876279</v>
      </c>
      <c r="AK1820" s="34">
        <f>LOG10(AI1820*1000/(0.08206*298.15))</f>
        <v>-3.7305549296555394</v>
      </c>
      <c r="AL1820" s="34">
        <f t="shared" si="478"/>
        <v>-3.7305549296555394</v>
      </c>
      <c r="AM1820" s="34">
        <v>-2.9972799999999999</v>
      </c>
      <c r="AN1820" s="244">
        <v>-3.7</v>
      </c>
      <c r="AO1820" s="417">
        <v>15.17</v>
      </c>
      <c r="AP1820" s="417"/>
      <c r="AQ1820" s="244" t="s">
        <v>6311</v>
      </c>
      <c r="AR1820" s="244" t="s">
        <v>6311</v>
      </c>
      <c r="AS1820" s="241" t="s">
        <v>6</v>
      </c>
      <c r="AT1820" s="39" t="s">
        <v>266</v>
      </c>
      <c r="AU1820" s="37">
        <v>2</v>
      </c>
      <c r="AV1820" s="37">
        <v>48</v>
      </c>
      <c r="AW1820" s="37">
        <v>48</v>
      </c>
      <c r="AX1820" s="37" t="s">
        <v>8722</v>
      </c>
      <c r="AY1820" s="37" t="s">
        <v>8722</v>
      </c>
      <c r="AZ1820" s="37" t="s">
        <v>8722</v>
      </c>
      <c r="BA1820" s="37" t="s">
        <v>8722</v>
      </c>
      <c r="BB1820" s="36" t="s">
        <v>8722</v>
      </c>
      <c r="BC1820" s="36" t="s">
        <v>8722</v>
      </c>
      <c r="BD1820" s="36"/>
      <c r="BE1820" s="37" t="s">
        <v>8722</v>
      </c>
      <c r="BF1820" s="37" t="s">
        <v>8722</v>
      </c>
      <c r="BG1820" s="37" t="s">
        <v>8722</v>
      </c>
      <c r="BH1820" s="37" t="s">
        <v>8722</v>
      </c>
      <c r="BI1820" s="243" t="s">
        <v>8722</v>
      </c>
      <c r="BJ1820" s="243" t="s">
        <v>8722</v>
      </c>
      <c r="BK1820" s="37"/>
      <c r="BL1820" s="263">
        <v>6057.5290759183545</v>
      </c>
      <c r="BM1820" s="36" t="s">
        <v>1640</v>
      </c>
      <c r="BN1820" s="37"/>
      <c r="BO1820" s="37">
        <v>22100</v>
      </c>
      <c r="BP1820" s="37"/>
      <c r="BQ1820" s="37"/>
      <c r="BR1820" s="37"/>
      <c r="BS1820" s="37"/>
      <c r="BT1820" s="37"/>
      <c r="BU1820" s="246"/>
      <c r="BV1820" s="37"/>
      <c r="BW1820" s="37"/>
      <c r="BX1820" s="37"/>
      <c r="BY1820" s="37"/>
      <c r="BZ1820" s="37"/>
      <c r="CA1820" s="37"/>
      <c r="CB1820" s="37"/>
      <c r="CC1820" s="37"/>
      <c r="CD1820" s="37"/>
      <c r="CE1820" s="37"/>
      <c r="CF1820" s="37"/>
      <c r="CG1820" s="37"/>
      <c r="CH1820" s="37"/>
      <c r="CI1820" s="243">
        <v>22100</v>
      </c>
      <c r="CJ1820" s="243">
        <f t="shared" ref="CJ1820:CJ1832" si="479">LOG10(CI1820)</f>
        <v>4.344392273685111</v>
      </c>
      <c r="CK1820" s="38"/>
      <c r="CL1820" s="247">
        <f t="shared" ref="CL1820:CL1825" si="480">BL1820/CI1820</f>
        <v>0.27409633827684859</v>
      </c>
      <c r="CM1820" s="247"/>
      <c r="CN1820" s="247"/>
      <c r="CO1820" s="36" t="s">
        <v>1641</v>
      </c>
      <c r="CP1820" s="496" t="s">
        <v>1643</v>
      </c>
      <c r="CQ1820" s="241">
        <v>4.178109832373929</v>
      </c>
      <c r="CR1820" s="241">
        <f>10^(CJ1820-CQ1820)</f>
        <v>1.4665012628834955</v>
      </c>
      <c r="CS1820" s="33"/>
      <c r="CT1820" s="33"/>
      <c r="CU1820" s="250">
        <f t="shared" ref="CU1820:CU1825" si="481">X1820/CI1820</f>
        <v>45.248868778280546</v>
      </c>
      <c r="CV1820" s="337"/>
      <c r="CW1820" s="330">
        <f t="shared" ref="CW1820:CW1832" si="482">IF(CU1820&lt;2,0,1)</f>
        <v>1</v>
      </c>
      <c r="CX1820" s="330"/>
      <c r="CY1820" s="143" t="s">
        <v>6351</v>
      </c>
    </row>
    <row r="1821" spans="1:103" ht="11.25" customHeight="1" x14ac:dyDescent="0.2">
      <c r="A1821" s="72">
        <v>1689</v>
      </c>
      <c r="B1821" s="241">
        <v>578</v>
      </c>
      <c r="C1821" s="32" t="s">
        <v>1756</v>
      </c>
      <c r="D1821" s="32"/>
      <c r="E1821" s="40"/>
      <c r="F1821" s="40" t="s">
        <v>1757</v>
      </c>
      <c r="G1821" s="242">
        <v>87865</v>
      </c>
      <c r="H1821" s="36" t="s">
        <v>1758</v>
      </c>
      <c r="I1821" s="36" t="s">
        <v>7866</v>
      </c>
      <c r="J1821" s="36" t="s">
        <v>1759</v>
      </c>
      <c r="K1821" s="36" t="s">
        <v>349</v>
      </c>
      <c r="L1821" s="36" t="s">
        <v>6134</v>
      </c>
      <c r="M1821" s="36" t="s">
        <v>497</v>
      </c>
      <c r="N1821" s="36" t="s">
        <v>6381</v>
      </c>
      <c r="O1821" s="36" t="s">
        <v>6086</v>
      </c>
      <c r="P1821" s="41"/>
      <c r="Q1821" s="41" t="s">
        <v>6173</v>
      </c>
      <c r="R1821" s="41" t="s">
        <v>6180</v>
      </c>
      <c r="S1821" s="41" t="s">
        <v>6176</v>
      </c>
      <c r="T1821" s="37">
        <v>266.33999999999997</v>
      </c>
      <c r="U1821" s="243">
        <v>14</v>
      </c>
      <c r="V1821" s="243">
        <v>3.09</v>
      </c>
      <c r="W1821" s="243">
        <v>10.125964381601822</v>
      </c>
      <c r="X1821" s="243">
        <v>14</v>
      </c>
      <c r="Y1821" s="414">
        <v>4.71</v>
      </c>
      <c r="Z1821" s="37">
        <v>4.74</v>
      </c>
      <c r="AA1821" s="37">
        <v>5.12</v>
      </c>
      <c r="AB1821" s="37">
        <v>5.1100000000000003</v>
      </c>
      <c r="AC1821" s="37">
        <v>0.88800000000000001</v>
      </c>
      <c r="AD1821" s="37">
        <v>5.04</v>
      </c>
      <c r="AE1821" s="37">
        <v>4.78</v>
      </c>
      <c r="AF1821" s="37">
        <f t="shared" si="476"/>
        <v>5.12</v>
      </c>
      <c r="AG1821" s="38">
        <v>4.8499999999999996</v>
      </c>
      <c r="AH1821" s="243">
        <v>1.2499999999999999E-7</v>
      </c>
      <c r="AI1821" s="243">
        <v>2.4500000000000001E-8</v>
      </c>
      <c r="AJ1821" s="34">
        <f t="shared" si="477"/>
        <v>-5.2916563133045953</v>
      </c>
      <c r="AK1821" s="34">
        <f>LOG10(AI1821*1000/(0.08206*298.15))</f>
        <v>-5.9994002419481189</v>
      </c>
      <c r="AL1821" s="34">
        <f t="shared" si="478"/>
        <v>-5.9994002419481189</v>
      </c>
      <c r="AM1821" s="34">
        <v>-7.034559999999999</v>
      </c>
      <c r="AN1821" s="244">
        <v>-3.97</v>
      </c>
      <c r="AO1821" s="417">
        <v>4.68</v>
      </c>
      <c r="AP1821" s="417"/>
      <c r="AQ1821" s="244" t="s">
        <v>6311</v>
      </c>
      <c r="AR1821" s="244" t="s">
        <v>6311</v>
      </c>
      <c r="AS1821" s="241" t="s">
        <v>6</v>
      </c>
      <c r="AT1821" s="39" t="s">
        <v>266</v>
      </c>
      <c r="AU1821" s="37">
        <v>2</v>
      </c>
      <c r="AV1821" s="37">
        <v>48</v>
      </c>
      <c r="AW1821" s="37">
        <v>48</v>
      </c>
      <c r="AX1821" s="37" t="s">
        <v>8722</v>
      </c>
      <c r="AY1821" s="37" t="s">
        <v>8722</v>
      </c>
      <c r="AZ1821" s="37" t="s">
        <v>8722</v>
      </c>
      <c r="BA1821" s="37" t="s">
        <v>8722</v>
      </c>
      <c r="BB1821" s="36" t="s">
        <v>8722</v>
      </c>
      <c r="BC1821" s="36" t="s">
        <v>8722</v>
      </c>
      <c r="BD1821" s="36"/>
      <c r="BE1821" s="37" t="s">
        <v>8722</v>
      </c>
      <c r="BF1821" s="37" t="s">
        <v>8722</v>
      </c>
      <c r="BG1821" s="37" t="s">
        <v>8722</v>
      </c>
      <c r="BH1821" s="37" t="s">
        <v>8722</v>
      </c>
      <c r="BI1821" s="243" t="s">
        <v>8722</v>
      </c>
      <c r="BJ1821" s="243" t="s">
        <v>8722</v>
      </c>
      <c r="BK1821" s="37"/>
      <c r="BL1821" s="263">
        <v>0.75725542865225259</v>
      </c>
      <c r="BM1821" s="36" t="s">
        <v>1640</v>
      </c>
      <c r="BN1821" s="37"/>
      <c r="BO1821" s="37">
        <v>0.38</v>
      </c>
      <c r="BP1821" s="37"/>
      <c r="BQ1821" s="37"/>
      <c r="BR1821" s="37"/>
      <c r="BS1821" s="37"/>
      <c r="BT1821" s="37"/>
      <c r="BU1821" s="246"/>
      <c r="BV1821" s="37"/>
      <c r="BW1821" s="37"/>
      <c r="BX1821" s="37"/>
      <c r="BY1821" s="37"/>
      <c r="BZ1821" s="37"/>
      <c r="CA1821" s="37"/>
      <c r="CB1821" s="37"/>
      <c r="CC1821" s="37"/>
      <c r="CD1821" s="37"/>
      <c r="CE1821" s="37"/>
      <c r="CF1821" s="37"/>
      <c r="CG1821" s="37"/>
      <c r="CH1821" s="37"/>
      <c r="CI1821" s="243">
        <v>0.38</v>
      </c>
      <c r="CJ1821" s="243">
        <f t="shared" si="479"/>
        <v>-0.42021640338318983</v>
      </c>
      <c r="CK1821" s="38"/>
      <c r="CL1821" s="247">
        <f t="shared" si="480"/>
        <v>1.9927774438217174</v>
      </c>
      <c r="CM1821" s="247">
        <v>-0.85054537395088958</v>
      </c>
      <c r="CN1821" s="247"/>
      <c r="CO1821" s="36" t="s">
        <v>1641</v>
      </c>
      <c r="CP1821" s="496" t="s">
        <v>1643</v>
      </c>
      <c r="CQ1821" s="241">
        <v>-0.72193980992494822</v>
      </c>
      <c r="CR1821" s="241">
        <f>10^(CJ1821-CQ1821)</f>
        <v>2.0031958257097324</v>
      </c>
      <c r="CS1821" s="33"/>
      <c r="CT1821" s="33"/>
      <c r="CU1821" s="250">
        <f t="shared" si="481"/>
        <v>36.842105263157897</v>
      </c>
      <c r="CV1821" s="337"/>
      <c r="CW1821" s="330">
        <f t="shared" si="482"/>
        <v>1</v>
      </c>
      <c r="CX1821" s="330"/>
      <c r="CY1821" s="143" t="s">
        <v>5921</v>
      </c>
    </row>
    <row r="1822" spans="1:103" ht="11.25" customHeight="1" x14ac:dyDescent="0.2">
      <c r="A1822" s="72">
        <v>1708</v>
      </c>
      <c r="B1822" s="241">
        <v>572</v>
      </c>
      <c r="C1822" s="32" t="s">
        <v>1751</v>
      </c>
      <c r="D1822" s="32"/>
      <c r="E1822" s="40"/>
      <c r="F1822" s="40" t="s">
        <v>1752</v>
      </c>
      <c r="G1822" s="242">
        <v>100027</v>
      </c>
      <c r="H1822" s="36" t="s">
        <v>1753</v>
      </c>
      <c r="I1822" s="36" t="s">
        <v>1753</v>
      </c>
      <c r="J1822" s="36" t="s">
        <v>1754</v>
      </c>
      <c r="K1822" s="36" t="s">
        <v>349</v>
      </c>
      <c r="L1822" s="36"/>
      <c r="M1822" s="36" t="s">
        <v>1694</v>
      </c>
      <c r="N1822" s="36" t="s">
        <v>6381</v>
      </c>
      <c r="O1822" s="36" t="s">
        <v>1755</v>
      </c>
      <c r="P1822" s="41" t="s">
        <v>6184</v>
      </c>
      <c r="Q1822" s="41" t="s">
        <v>6182</v>
      </c>
      <c r="R1822" s="41" t="s">
        <v>6185</v>
      </c>
      <c r="S1822" s="41" t="s">
        <v>6176</v>
      </c>
      <c r="T1822" s="37">
        <v>139.11000000000001</v>
      </c>
      <c r="U1822" s="243">
        <v>11600</v>
      </c>
      <c r="V1822" s="243">
        <v>7507</v>
      </c>
      <c r="W1822" s="243">
        <v>3744.1940657427303</v>
      </c>
      <c r="X1822" s="243">
        <v>11600</v>
      </c>
      <c r="Y1822" s="414">
        <v>4.4000000000000004</v>
      </c>
      <c r="Z1822" s="37">
        <v>1.91</v>
      </c>
      <c r="AA1822" s="37">
        <v>1.91</v>
      </c>
      <c r="AB1822" s="37">
        <v>1.74</v>
      </c>
      <c r="AC1822" s="37">
        <v>0.92979999999999996</v>
      </c>
      <c r="AD1822" s="37">
        <v>1.71</v>
      </c>
      <c r="AE1822" s="37">
        <v>1.57</v>
      </c>
      <c r="AF1822" s="37">
        <f t="shared" si="476"/>
        <v>1.91</v>
      </c>
      <c r="AG1822" s="38">
        <v>1.08</v>
      </c>
      <c r="AH1822" s="243">
        <v>2.21E-9</v>
      </c>
      <c r="AI1822" s="243">
        <v>4.1500000000000001E-10</v>
      </c>
      <c r="AJ1822" s="34">
        <f t="shared" si="477"/>
        <v>-7.0441740526275414</v>
      </c>
      <c r="AK1822" s="34">
        <f>LOG10(AI1822*1000/(0.08206*298.15))</f>
        <v>-7.770518229600559</v>
      </c>
      <c r="AL1822" s="34">
        <f t="shared" si="478"/>
        <v>-7.770518229600559</v>
      </c>
      <c r="AM1822" s="34">
        <v>-9.7192299999999996</v>
      </c>
      <c r="AN1822" s="244">
        <v>-6.89</v>
      </c>
      <c r="AO1822" s="417">
        <v>7.23</v>
      </c>
      <c r="AP1822" s="417"/>
      <c r="AQ1822" s="244" t="s">
        <v>6311</v>
      </c>
      <c r="AR1822" s="244" t="s">
        <v>6311</v>
      </c>
      <c r="AS1822" s="241" t="s">
        <v>6</v>
      </c>
      <c r="AT1822" s="39" t="s">
        <v>266</v>
      </c>
      <c r="AU1822" s="37">
        <v>2</v>
      </c>
      <c r="AV1822" s="37">
        <v>48</v>
      </c>
      <c r="AW1822" s="37">
        <v>48</v>
      </c>
      <c r="AX1822" s="37" t="s">
        <v>8722</v>
      </c>
      <c r="AY1822" s="37" t="s">
        <v>8722</v>
      </c>
      <c r="AZ1822" s="37" t="s">
        <v>8722</v>
      </c>
      <c r="BA1822" s="37" t="s">
        <v>8722</v>
      </c>
      <c r="BB1822" s="36" t="s">
        <v>8722</v>
      </c>
      <c r="BC1822" s="36" t="s">
        <v>8722</v>
      </c>
      <c r="BD1822" s="36"/>
      <c r="BE1822" s="37" t="s">
        <v>8722</v>
      </c>
      <c r="BF1822" s="37" t="s">
        <v>8722</v>
      </c>
      <c r="BG1822" s="37" t="s">
        <v>8722</v>
      </c>
      <c r="BH1822" s="37" t="s">
        <v>8722</v>
      </c>
      <c r="BI1822" s="243" t="s">
        <v>8722</v>
      </c>
      <c r="BJ1822" s="243" t="s">
        <v>8722</v>
      </c>
      <c r="BK1822" s="37"/>
      <c r="BL1822" s="263">
        <v>137.65352925672985</v>
      </c>
      <c r="BM1822" s="36" t="s">
        <v>1640</v>
      </c>
      <c r="BN1822" s="37"/>
      <c r="BO1822" s="37">
        <v>57.2</v>
      </c>
      <c r="BP1822" s="37"/>
      <c r="BQ1822" s="37"/>
      <c r="BR1822" s="37"/>
      <c r="BS1822" s="37"/>
      <c r="BT1822" s="37"/>
      <c r="BU1822" s="246"/>
      <c r="BV1822" s="37"/>
      <c r="BW1822" s="37"/>
      <c r="BX1822" s="37"/>
      <c r="BY1822" s="37"/>
      <c r="BZ1822" s="37"/>
      <c r="CA1822" s="37"/>
      <c r="CB1822" s="37"/>
      <c r="CC1822" s="37"/>
      <c r="CD1822" s="37"/>
      <c r="CE1822" s="37"/>
      <c r="CF1822" s="37"/>
      <c r="CG1822" s="37"/>
      <c r="CH1822" s="37"/>
      <c r="CI1822" s="243">
        <v>57.2</v>
      </c>
      <c r="CJ1822" s="243">
        <f t="shared" si="479"/>
        <v>1.7573960287930241</v>
      </c>
      <c r="CK1822" s="38"/>
      <c r="CL1822" s="247">
        <f t="shared" si="480"/>
        <v>2.4065302317610113</v>
      </c>
      <c r="CM1822" s="247"/>
      <c r="CN1822" s="247"/>
      <c r="CO1822" s="36" t="s">
        <v>1641</v>
      </c>
      <c r="CP1822" s="496" t="s">
        <v>1643</v>
      </c>
      <c r="CQ1822" s="241">
        <v>1.2322608872357181</v>
      </c>
      <c r="CR1822" s="241">
        <f>10^(CJ1822-CQ1822)</f>
        <v>3.3506968822569156</v>
      </c>
      <c r="CS1822" s="33"/>
      <c r="CT1822" s="33"/>
      <c r="CU1822" s="250">
        <f t="shared" si="481"/>
        <v>202.7972027972028</v>
      </c>
      <c r="CV1822" s="337"/>
      <c r="CW1822" s="330">
        <f t="shared" si="482"/>
        <v>1</v>
      </c>
      <c r="CX1822" s="330"/>
      <c r="CY1822" s="143" t="s">
        <v>6351</v>
      </c>
    </row>
    <row r="1823" spans="1:103" ht="11.25" customHeight="1" x14ac:dyDescent="0.2">
      <c r="A1823" s="72">
        <v>1719</v>
      </c>
      <c r="B1823" s="241">
        <v>511</v>
      </c>
      <c r="C1823" s="32" t="s">
        <v>1635</v>
      </c>
      <c r="D1823" s="32"/>
      <c r="E1823" s="40"/>
      <c r="F1823" s="40" t="s">
        <v>1636</v>
      </c>
      <c r="G1823" s="242">
        <v>106489</v>
      </c>
      <c r="H1823" s="36" t="s">
        <v>1637</v>
      </c>
      <c r="I1823" s="36" t="s">
        <v>8214</v>
      </c>
      <c r="J1823" s="36" t="s">
        <v>1638</v>
      </c>
      <c r="K1823" s="36" t="s">
        <v>349</v>
      </c>
      <c r="L1823" s="36" t="s">
        <v>5527</v>
      </c>
      <c r="M1823" s="36" t="s">
        <v>497</v>
      </c>
      <c r="N1823" s="36" t="s">
        <v>6381</v>
      </c>
      <c r="O1823" s="36" t="s">
        <v>498</v>
      </c>
      <c r="P1823" s="41" t="s">
        <v>6184</v>
      </c>
      <c r="Q1823" s="41" t="s">
        <v>6182</v>
      </c>
      <c r="R1823" s="41" t="s">
        <v>6185</v>
      </c>
      <c r="S1823" s="41" t="s">
        <v>6176</v>
      </c>
      <c r="T1823" s="37">
        <v>128.56</v>
      </c>
      <c r="U1823" s="243">
        <v>24000</v>
      </c>
      <c r="V1823" s="243">
        <v>3222</v>
      </c>
      <c r="W1823" s="243">
        <v>2084.999061164639</v>
      </c>
      <c r="X1823" s="243">
        <v>24000</v>
      </c>
      <c r="Y1823" s="414">
        <v>5.63</v>
      </c>
      <c r="Z1823" s="37">
        <v>2.16</v>
      </c>
      <c r="AA1823" s="37">
        <v>2.39</v>
      </c>
      <c r="AB1823" s="37">
        <v>2.5099999999999998</v>
      </c>
      <c r="AC1823" s="37">
        <v>0.89249999999999996</v>
      </c>
      <c r="AD1823" s="37">
        <v>2.4900000000000002</v>
      </c>
      <c r="AE1823" s="37">
        <v>2.4300000000000002</v>
      </c>
      <c r="AF1823" s="37">
        <f t="shared" si="476"/>
        <v>2.39</v>
      </c>
      <c r="AG1823" s="38">
        <v>2.15</v>
      </c>
      <c r="AH1823" s="243">
        <v>4.15E-7</v>
      </c>
      <c r="AI1823" s="243">
        <v>6.2699999999999999E-7</v>
      </c>
      <c r="AJ1823" s="34">
        <f t="shared" si="477"/>
        <v>-4.770518229600559</v>
      </c>
      <c r="AK1823" s="34">
        <f>LOG10(AI1823*1000/(0.08206*298.15))</f>
        <v>-4.5912987854819356</v>
      </c>
      <c r="AL1823" s="34">
        <f t="shared" si="478"/>
        <v>-4.5912987854819356</v>
      </c>
      <c r="AM1823" s="34">
        <v>-7.63727</v>
      </c>
      <c r="AN1823" s="244">
        <v>-4.8600000000000003</v>
      </c>
      <c r="AO1823" s="417">
        <v>9.4700000000000006</v>
      </c>
      <c r="AP1823" s="417"/>
      <c r="AQ1823" s="244" t="s">
        <v>6311</v>
      </c>
      <c r="AR1823" s="244" t="s">
        <v>6311</v>
      </c>
      <c r="AS1823" s="241" t="s">
        <v>6</v>
      </c>
      <c r="AT1823" s="39" t="s">
        <v>266</v>
      </c>
      <c r="AU1823" s="37">
        <v>2</v>
      </c>
      <c r="AV1823" s="37">
        <v>48</v>
      </c>
      <c r="AW1823" s="37">
        <v>48</v>
      </c>
      <c r="AX1823" s="37" t="s">
        <v>8722</v>
      </c>
      <c r="AY1823" s="37" t="s">
        <v>8722</v>
      </c>
      <c r="AZ1823" s="37" t="s">
        <v>8722</v>
      </c>
      <c r="BA1823" s="37" t="s">
        <v>8722</v>
      </c>
      <c r="BB1823" s="36" t="s">
        <v>8722</v>
      </c>
      <c r="BC1823" s="36" t="s">
        <v>8722</v>
      </c>
      <c r="BD1823" s="36"/>
      <c r="BE1823" s="37" t="s">
        <v>8722</v>
      </c>
      <c r="BF1823" s="37" t="s">
        <v>8722</v>
      </c>
      <c r="BG1823" s="37" t="s">
        <v>8722</v>
      </c>
      <c r="BH1823" s="37" t="s">
        <v>8722</v>
      </c>
      <c r="BI1823" s="243" t="s">
        <v>8722</v>
      </c>
      <c r="BJ1823" s="243" t="s">
        <v>8722</v>
      </c>
      <c r="BK1823" s="37"/>
      <c r="BL1823" s="263">
        <v>75.859480414180325</v>
      </c>
      <c r="BM1823" s="36" t="s">
        <v>1640</v>
      </c>
      <c r="BN1823" s="37"/>
      <c r="BO1823" s="37">
        <v>37.799999999999997</v>
      </c>
      <c r="BP1823" s="37"/>
      <c r="BQ1823" s="37"/>
      <c r="BR1823" s="37"/>
      <c r="BS1823" s="37"/>
      <c r="BT1823" s="37"/>
      <c r="BU1823" s="246"/>
      <c r="BV1823" s="37"/>
      <c r="BW1823" s="37"/>
      <c r="BX1823" s="37"/>
      <c r="BY1823" s="37"/>
      <c r="BZ1823" s="37"/>
      <c r="CA1823" s="37"/>
      <c r="CB1823" s="37"/>
      <c r="CC1823" s="37"/>
      <c r="CD1823" s="37"/>
      <c r="CE1823" s="37"/>
      <c r="CF1823" s="37"/>
      <c r="CG1823" s="37"/>
      <c r="CH1823" s="37"/>
      <c r="CI1823" s="243">
        <v>37.799999999999997</v>
      </c>
      <c r="CJ1823" s="243">
        <f t="shared" si="479"/>
        <v>1.5774917998372253</v>
      </c>
      <c r="CK1823" s="38"/>
      <c r="CL1823" s="247">
        <f t="shared" si="480"/>
        <v>2.0068645612217018</v>
      </c>
      <c r="CM1823" s="247">
        <v>0.27971818245026747</v>
      </c>
      <c r="CN1823" s="247"/>
      <c r="CO1823" s="36" t="s">
        <v>1641</v>
      </c>
      <c r="CP1823" s="496" t="s">
        <v>1643</v>
      </c>
      <c r="CQ1823" s="241">
        <v>0.54533072722344478</v>
      </c>
      <c r="CR1823" s="241">
        <f>10^(CJ1823-CQ1823)</f>
        <v>10.7686453075305</v>
      </c>
      <c r="CS1823" s="33"/>
      <c r="CT1823" s="33"/>
      <c r="CU1823" s="250">
        <f t="shared" si="481"/>
        <v>634.92063492063494</v>
      </c>
      <c r="CV1823" s="337"/>
      <c r="CW1823" s="330">
        <f t="shared" si="482"/>
        <v>1</v>
      </c>
      <c r="CX1823" s="330"/>
      <c r="CY1823" s="143" t="s">
        <v>6351</v>
      </c>
    </row>
    <row r="1824" spans="1:103" ht="11.25" customHeight="1" x14ac:dyDescent="0.2">
      <c r="A1824" s="72">
        <v>1737</v>
      </c>
      <c r="B1824" s="241">
        <v>583</v>
      </c>
      <c r="C1824" s="32" t="s">
        <v>494</v>
      </c>
      <c r="D1824" s="32"/>
      <c r="E1824" s="40"/>
      <c r="F1824" s="40" t="s">
        <v>1767</v>
      </c>
      <c r="G1824" s="242">
        <v>108952</v>
      </c>
      <c r="H1824" s="36" t="s">
        <v>495</v>
      </c>
      <c r="I1824" s="36" t="s">
        <v>495</v>
      </c>
      <c r="J1824" s="36" t="s">
        <v>496</v>
      </c>
      <c r="K1824" s="36" t="s">
        <v>349</v>
      </c>
      <c r="L1824" s="42" t="s">
        <v>5527</v>
      </c>
      <c r="M1824" s="36" t="s">
        <v>497</v>
      </c>
      <c r="N1824" s="36" t="s">
        <v>6381</v>
      </c>
      <c r="O1824" s="36" t="s">
        <v>6086</v>
      </c>
      <c r="P1824" s="41" t="s">
        <v>6184</v>
      </c>
      <c r="Q1824" s="41" t="s">
        <v>6176</v>
      </c>
      <c r="R1824" s="41" t="s">
        <v>6185</v>
      </c>
      <c r="S1824" s="41" t="s">
        <v>6176</v>
      </c>
      <c r="T1824" s="37">
        <v>94.11</v>
      </c>
      <c r="U1824" s="243">
        <v>39463.059105431312</v>
      </c>
      <c r="V1824" s="263">
        <v>31626.823083067095</v>
      </c>
      <c r="W1824" s="263">
        <v>103189.56303903516</v>
      </c>
      <c r="X1824" s="243">
        <v>39463.059105431312</v>
      </c>
      <c r="Y1824" s="417">
        <v>4.91</v>
      </c>
      <c r="Z1824" s="40">
        <v>1.64</v>
      </c>
      <c r="AA1824" s="40">
        <v>1.23</v>
      </c>
      <c r="AB1824" s="40">
        <v>1.67</v>
      </c>
      <c r="AC1824" s="40">
        <v>0.93669999999999998</v>
      </c>
      <c r="AD1824" s="40">
        <v>1.63</v>
      </c>
      <c r="AE1824" s="40">
        <v>1.48</v>
      </c>
      <c r="AF1824" s="40">
        <f t="shared" si="476"/>
        <v>1.23</v>
      </c>
      <c r="AG1824" s="38">
        <v>1.46</v>
      </c>
      <c r="AH1824" s="243">
        <v>5.6100000000000001E-7</v>
      </c>
      <c r="AI1824" s="243">
        <v>3.3299999999999998E-7</v>
      </c>
      <c r="AJ1824" s="34">
        <f t="shared" si="477"/>
        <v>-4.6396034650564904</v>
      </c>
      <c r="AK1824" s="34">
        <f>LOG10(AI1824*1000/(0.08206*298.15))</f>
        <v>-4.8661220928063322</v>
      </c>
      <c r="AL1824" s="34">
        <f t="shared" si="478"/>
        <v>-4.8661220928063322</v>
      </c>
      <c r="AM1824" s="34">
        <v>-6.4734600000000002</v>
      </c>
      <c r="AN1824" s="244">
        <v>-4.68</v>
      </c>
      <c r="AO1824" s="417">
        <v>9.86</v>
      </c>
      <c r="AP1824" s="417"/>
      <c r="AQ1824" s="244" t="s">
        <v>6311</v>
      </c>
      <c r="AR1824" s="244" t="s">
        <v>6311</v>
      </c>
      <c r="AS1824" s="241" t="s">
        <v>282</v>
      </c>
      <c r="AT1824" s="39" t="s">
        <v>266</v>
      </c>
      <c r="AU1824" s="37">
        <v>2</v>
      </c>
      <c r="AV1824" s="37">
        <v>48</v>
      </c>
      <c r="AW1824" s="37">
        <v>48</v>
      </c>
      <c r="AX1824" s="37" t="s">
        <v>8722</v>
      </c>
      <c r="AY1824" s="37" t="s">
        <v>8722</v>
      </c>
      <c r="AZ1824" s="37" t="s">
        <v>8722</v>
      </c>
      <c r="BA1824" s="37" t="s">
        <v>8722</v>
      </c>
      <c r="BB1824" s="36" t="s">
        <v>8722</v>
      </c>
      <c r="BC1824" s="36" t="s">
        <v>8722</v>
      </c>
      <c r="BD1824" s="36"/>
      <c r="BE1824" s="37" t="s">
        <v>8722</v>
      </c>
      <c r="BF1824" s="37" t="s">
        <v>8722</v>
      </c>
      <c r="BG1824" s="37" t="s">
        <v>8722</v>
      </c>
      <c r="BH1824" s="37" t="s">
        <v>8722</v>
      </c>
      <c r="BI1824" s="243" t="s">
        <v>8722</v>
      </c>
      <c r="BJ1824" s="243" t="s">
        <v>8722</v>
      </c>
      <c r="BK1824" s="37"/>
      <c r="BL1824" s="263">
        <v>162.76153364945489</v>
      </c>
      <c r="BM1824" s="36" t="s">
        <v>1640</v>
      </c>
      <c r="BN1824" s="37"/>
      <c r="BO1824" s="37">
        <v>49.8</v>
      </c>
      <c r="BP1824" s="37"/>
      <c r="BQ1824" s="37"/>
      <c r="BR1824" s="37"/>
      <c r="BS1824" s="37"/>
      <c r="BT1824" s="37"/>
      <c r="BU1824" s="246"/>
      <c r="BV1824" s="37"/>
      <c r="BW1824" s="37"/>
      <c r="BX1824" s="37"/>
      <c r="BY1824" s="37"/>
      <c r="BZ1824" s="37"/>
      <c r="CA1824" s="37"/>
      <c r="CB1824" s="37"/>
      <c r="CC1824" s="37"/>
      <c r="CD1824" s="37"/>
      <c r="CE1824" s="37"/>
      <c r="CF1824" s="37"/>
      <c r="CG1824" s="37"/>
      <c r="CH1824" s="37"/>
      <c r="CI1824" s="243">
        <v>49.8</v>
      </c>
      <c r="CJ1824" s="243">
        <f t="shared" si="479"/>
        <v>1.6972293427597176</v>
      </c>
      <c r="CK1824" s="38"/>
      <c r="CL1824" s="247">
        <f t="shared" si="480"/>
        <v>3.2683038885432709</v>
      </c>
      <c r="CM1824" s="247">
        <v>0.96044207232975776</v>
      </c>
      <c r="CN1824" s="247"/>
      <c r="CO1824" s="36" t="s">
        <v>1641</v>
      </c>
      <c r="CP1824" s="496" t="s">
        <v>1643</v>
      </c>
      <c r="CQ1824" s="241">
        <v>1.2958965951606112</v>
      </c>
      <c r="CR1824" s="241">
        <f>10^(CJ1824-CQ1824)</f>
        <v>2.5196066597812741</v>
      </c>
      <c r="CS1824" s="33"/>
      <c r="CT1824" s="33"/>
      <c r="CU1824" s="250">
        <f t="shared" si="481"/>
        <v>792.43090573155246</v>
      </c>
      <c r="CV1824" s="337"/>
      <c r="CW1824" s="330">
        <f t="shared" si="482"/>
        <v>1</v>
      </c>
      <c r="CX1824" s="330"/>
      <c r="CY1824" s="143" t="s">
        <v>6351</v>
      </c>
    </row>
    <row r="1825" spans="1:103" ht="11.25" customHeight="1" x14ac:dyDescent="0.2">
      <c r="A1825" s="72">
        <v>282</v>
      </c>
      <c r="B1825" s="149">
        <v>2045</v>
      </c>
      <c r="C1825" s="54" t="s">
        <v>5589</v>
      </c>
      <c r="D1825" s="54"/>
      <c r="E1825" s="59"/>
      <c r="F1825" s="167" t="s">
        <v>5590</v>
      </c>
      <c r="G1825" s="151">
        <v>56573854</v>
      </c>
      <c r="H1825" s="67" t="s">
        <v>3584</v>
      </c>
      <c r="I1825" s="67" t="s">
        <v>7791</v>
      </c>
      <c r="J1825" s="67" t="s">
        <v>5591</v>
      </c>
      <c r="K1825" s="67" t="s">
        <v>403</v>
      </c>
      <c r="L1825" s="67"/>
      <c r="M1825" s="67"/>
      <c r="N1825" s="60"/>
      <c r="O1825" s="67"/>
      <c r="P1825" s="67">
        <v>3</v>
      </c>
      <c r="Q1825" s="67" t="s">
        <v>6173</v>
      </c>
      <c r="R1825" s="67">
        <v>1</v>
      </c>
      <c r="S1825" s="67" t="s">
        <v>6173</v>
      </c>
      <c r="T1825" s="61">
        <v>325.51</v>
      </c>
      <c r="U1825" s="111">
        <v>17</v>
      </c>
      <c r="V1825" s="111">
        <v>114.8</v>
      </c>
      <c r="W1825" s="111">
        <v>0.36522822705983149</v>
      </c>
      <c r="X1825" s="111">
        <v>17</v>
      </c>
      <c r="Y1825" s="411">
        <v>7</v>
      </c>
      <c r="Z1825" s="61">
        <v>4.7</v>
      </c>
      <c r="AA1825" s="61">
        <v>2.2000000000000002</v>
      </c>
      <c r="AB1825" s="61">
        <v>3.52</v>
      </c>
      <c r="AC1825" s="61">
        <v>0.58020000000000005</v>
      </c>
      <c r="AD1825" s="61">
        <v>3.68</v>
      </c>
      <c r="AE1825" s="61">
        <v>3.85</v>
      </c>
      <c r="AF1825" s="61">
        <f t="shared" si="476"/>
        <v>2.2000000000000002</v>
      </c>
      <c r="AG1825" s="62">
        <v>3.68</v>
      </c>
      <c r="AH1825" s="103">
        <v>3.99</v>
      </c>
      <c r="AI1825" s="153"/>
      <c r="AJ1825" s="62">
        <f t="shared" si="477"/>
        <v>2.2124065693740964</v>
      </c>
      <c r="AK1825" s="62"/>
      <c r="AL1825" s="62">
        <f t="shared" si="478"/>
        <v>2.2124065693740964</v>
      </c>
      <c r="AM1825" s="62">
        <v>-1.06331</v>
      </c>
      <c r="AN1825" s="152"/>
      <c r="AO1825" s="410"/>
      <c r="AP1825" s="410"/>
      <c r="AQ1825" s="163" t="s">
        <v>6311</v>
      </c>
      <c r="AR1825" s="163" t="s">
        <v>6311</v>
      </c>
      <c r="AS1825" s="164" t="s">
        <v>5466</v>
      </c>
      <c r="AT1825" s="63" t="s">
        <v>266</v>
      </c>
      <c r="AU1825" s="61">
        <v>3</v>
      </c>
      <c r="AV1825" s="61">
        <v>96</v>
      </c>
      <c r="AW1825" s="61">
        <v>96</v>
      </c>
      <c r="AX1825" s="61">
        <v>28.5</v>
      </c>
      <c r="AY1825" s="174">
        <v>0.59027777777777779</v>
      </c>
      <c r="AZ1825" s="178" t="s">
        <v>6249</v>
      </c>
      <c r="BA1825" s="61">
        <v>20</v>
      </c>
      <c r="BB1825" s="67" t="s">
        <v>6247</v>
      </c>
      <c r="BC1825" s="67" t="s">
        <v>6248</v>
      </c>
      <c r="BD1825" s="67"/>
      <c r="BE1825" s="61" t="s">
        <v>271</v>
      </c>
      <c r="BF1825" s="61" t="s">
        <v>272</v>
      </c>
      <c r="BG1825" s="61" t="s">
        <v>272</v>
      </c>
      <c r="BH1825" s="61" t="s">
        <v>6246</v>
      </c>
      <c r="BI1825" s="153">
        <v>1E-3</v>
      </c>
      <c r="BJ1825" s="153">
        <v>9.9999999999999992E-2</v>
      </c>
      <c r="BK1825" s="165"/>
      <c r="BL1825" s="153">
        <v>1.0052968808841718</v>
      </c>
      <c r="BM1825" s="61" t="s">
        <v>6250</v>
      </c>
      <c r="BN1825" s="61"/>
      <c r="BO1825" s="61"/>
      <c r="BP1825" s="61"/>
      <c r="BQ1825" s="61"/>
      <c r="BR1825" s="61"/>
      <c r="BS1825" s="61"/>
      <c r="BT1825" s="61"/>
      <c r="BU1825" s="158">
        <v>3.9999999999999994E-2</v>
      </c>
      <c r="BV1825" s="61"/>
      <c r="BW1825" s="61"/>
      <c r="BX1825" s="61"/>
      <c r="BY1825" s="61"/>
      <c r="BZ1825" s="61"/>
      <c r="CA1825" s="61"/>
      <c r="CB1825" s="61"/>
      <c r="CC1825" s="61"/>
      <c r="CD1825" s="61"/>
      <c r="CE1825" s="61"/>
      <c r="CF1825" s="61"/>
      <c r="CG1825" s="61"/>
      <c r="CH1825" s="61"/>
      <c r="CI1825" s="111">
        <v>3.9999999999999994E-2</v>
      </c>
      <c r="CJ1825" s="103">
        <f t="shared" si="479"/>
        <v>-1.3979400086720377</v>
      </c>
      <c r="CK1825" s="57">
        <f>BL1825/BJ1825</f>
        <v>10.052968808841719</v>
      </c>
      <c r="CL1825" s="160">
        <f t="shared" si="480"/>
        <v>25.132422022104297</v>
      </c>
      <c r="CM1825" s="160"/>
      <c r="CN1825" s="160"/>
      <c r="CO1825" s="67"/>
      <c r="CP1825" s="161" t="s">
        <v>6251</v>
      </c>
      <c r="CQ1825" s="149" t="s">
        <v>272</v>
      </c>
      <c r="CR1825" s="349"/>
      <c r="CS1825" s="61" t="s">
        <v>539</v>
      </c>
      <c r="CT1825" s="61"/>
      <c r="CU1825" s="111">
        <f t="shared" si="481"/>
        <v>425.00000000000006</v>
      </c>
      <c r="CV1825" s="331">
        <f>X1825/BJ1825</f>
        <v>170</v>
      </c>
      <c r="CW1825" s="326">
        <f t="shared" si="482"/>
        <v>1</v>
      </c>
      <c r="CX1825" s="326"/>
      <c r="CY1825" s="161" t="s">
        <v>5921</v>
      </c>
    </row>
    <row r="1826" spans="1:103" ht="11.25" customHeight="1" x14ac:dyDescent="0.2">
      <c r="A1826" s="72">
        <v>1997</v>
      </c>
      <c r="B1826" s="282">
        <v>1975</v>
      </c>
      <c r="C1826" s="115" t="s">
        <v>5543</v>
      </c>
      <c r="D1826" s="115"/>
      <c r="E1826" s="116">
        <v>1</v>
      </c>
      <c r="F1826" s="116" t="s">
        <v>5544</v>
      </c>
      <c r="G1826" s="283">
        <v>18540299</v>
      </c>
      <c r="H1826" s="286" t="s">
        <v>5545</v>
      </c>
      <c r="I1826" s="286"/>
      <c r="J1826" s="286"/>
      <c r="K1826" s="286"/>
      <c r="L1826" s="286"/>
      <c r="M1826" s="286"/>
      <c r="N1826" s="284"/>
      <c r="O1826" s="286"/>
      <c r="P1826" s="286"/>
      <c r="Q1826" s="286"/>
      <c r="R1826" s="286"/>
      <c r="S1826" s="286"/>
      <c r="T1826" s="123">
        <v>52</v>
      </c>
      <c r="U1826" s="300"/>
      <c r="V1826" s="300"/>
      <c r="W1826" s="300"/>
      <c r="X1826" s="300"/>
      <c r="Y1826" s="419"/>
      <c r="Z1826" s="125"/>
      <c r="AA1826" s="125"/>
      <c r="AB1826" s="125"/>
      <c r="AC1826" s="125"/>
      <c r="AD1826" s="125"/>
      <c r="AE1826" s="125"/>
      <c r="AF1826" s="125">
        <f t="shared" si="476"/>
        <v>0</v>
      </c>
      <c r="AG1826" s="119" t="s">
        <v>404</v>
      </c>
      <c r="AH1826" s="300"/>
      <c r="AI1826" s="300"/>
      <c r="AJ1826" s="125"/>
      <c r="AK1826" s="125"/>
      <c r="AL1826" s="125"/>
      <c r="AM1826" s="125">
        <v>-9.3597699999999993</v>
      </c>
      <c r="AN1826" s="301"/>
      <c r="AO1826" s="420"/>
      <c r="AP1826" s="420"/>
      <c r="AQ1826" s="301" t="s">
        <v>6311</v>
      </c>
      <c r="AR1826" s="301" t="s">
        <v>6311</v>
      </c>
      <c r="AS1826" s="298" t="s">
        <v>5466</v>
      </c>
      <c r="AT1826" s="124" t="s">
        <v>266</v>
      </c>
      <c r="AU1826" s="123">
        <v>0</v>
      </c>
      <c r="AV1826" s="123">
        <v>144</v>
      </c>
      <c r="AW1826" s="123">
        <v>144</v>
      </c>
      <c r="AX1826" s="123">
        <v>27</v>
      </c>
      <c r="AY1826" s="344" t="s">
        <v>5670</v>
      </c>
      <c r="AZ1826" s="123" t="s">
        <v>6298</v>
      </c>
      <c r="BA1826" s="123">
        <v>72</v>
      </c>
      <c r="BB1826" s="286" t="s">
        <v>6215</v>
      </c>
      <c r="BC1826" s="286" t="s">
        <v>5697</v>
      </c>
      <c r="BD1826" s="286"/>
      <c r="BE1826" s="123" t="s">
        <v>2449</v>
      </c>
      <c r="BF1826" s="123" t="s">
        <v>6203</v>
      </c>
      <c r="BG1826" s="123" t="s">
        <v>6203</v>
      </c>
      <c r="BH1826" s="123"/>
      <c r="BI1826" s="300">
        <v>21</v>
      </c>
      <c r="BJ1826" s="300">
        <v>119.99999999999999</v>
      </c>
      <c r="BK1826" s="306" t="s">
        <v>6306</v>
      </c>
      <c r="BL1826" s="287"/>
      <c r="BM1826" s="123" t="s">
        <v>6296</v>
      </c>
      <c r="BN1826" s="123"/>
      <c r="BO1826" s="123"/>
      <c r="BP1826" s="123"/>
      <c r="BQ1826" s="123"/>
      <c r="BR1826" s="123"/>
      <c r="BS1826" s="123"/>
      <c r="BT1826" s="123">
        <v>145.6</v>
      </c>
      <c r="BU1826" s="293"/>
      <c r="BV1826" s="123"/>
      <c r="BW1826" s="123"/>
      <c r="BX1826" s="123"/>
      <c r="BY1826" s="123"/>
      <c r="BZ1826" s="123"/>
      <c r="CA1826" s="123"/>
      <c r="CB1826" s="123"/>
      <c r="CC1826" s="123"/>
      <c r="CD1826" s="123"/>
      <c r="CE1826" s="123"/>
      <c r="CF1826" s="123"/>
      <c r="CG1826" s="123"/>
      <c r="CH1826" s="123"/>
      <c r="CI1826" s="300">
        <v>145.6</v>
      </c>
      <c r="CJ1826" s="292">
        <f t="shared" si="479"/>
        <v>2.1631613749770184</v>
      </c>
      <c r="CK1826" s="120" t="s">
        <v>404</v>
      </c>
      <c r="CL1826" s="294"/>
      <c r="CM1826" s="294"/>
      <c r="CN1826" s="294">
        <f t="shared" ref="CN1826:CN1831" si="483">BJ1826/(10^CM1826)</f>
        <v>119.99999999999999</v>
      </c>
      <c r="CO1826" s="286"/>
      <c r="CP1826" s="295" t="s">
        <v>8385</v>
      </c>
      <c r="CQ1826" s="282"/>
      <c r="CR1826" s="282">
        <f t="shared" ref="CR1826:CR1835" si="484">10^(CJ1826-CQ1826)</f>
        <v>145.60000000000011</v>
      </c>
      <c r="CS1826" s="123"/>
      <c r="CT1826" s="123" t="s">
        <v>6310</v>
      </c>
      <c r="CU1826" s="300" t="s">
        <v>6310</v>
      </c>
      <c r="CV1826" s="338" t="s">
        <v>6310</v>
      </c>
      <c r="CW1826" s="339">
        <f t="shared" si="482"/>
        <v>1</v>
      </c>
      <c r="CX1826" s="339" t="s">
        <v>539</v>
      </c>
      <c r="CY1826" s="295" t="s">
        <v>5921</v>
      </c>
    </row>
    <row r="1827" spans="1:103" ht="11.25" customHeight="1" x14ac:dyDescent="0.2">
      <c r="A1827" s="72">
        <v>223</v>
      </c>
      <c r="B1827" s="149">
        <v>2000</v>
      </c>
      <c r="C1827" s="54" t="s">
        <v>1392</v>
      </c>
      <c r="D1827" s="54" t="s">
        <v>6529</v>
      </c>
      <c r="E1827" s="59"/>
      <c r="F1827" s="167" t="s">
        <v>1393</v>
      </c>
      <c r="G1827" s="151">
        <v>67747095</v>
      </c>
      <c r="H1827" s="67" t="s">
        <v>1394</v>
      </c>
      <c r="I1827" s="67" t="s">
        <v>7941</v>
      </c>
      <c r="J1827" s="67" t="s">
        <v>1395</v>
      </c>
      <c r="K1827" s="67" t="s">
        <v>1064</v>
      </c>
      <c r="L1827" s="55" t="s">
        <v>6007</v>
      </c>
      <c r="M1827" s="55" t="s">
        <v>6008</v>
      </c>
      <c r="N1827" s="60" t="s">
        <v>6386</v>
      </c>
      <c r="O1827" s="55" t="s">
        <v>6009</v>
      </c>
      <c r="P1827" s="67"/>
      <c r="Q1827" s="67"/>
      <c r="R1827" s="67"/>
      <c r="S1827" s="67"/>
      <c r="T1827" s="61">
        <v>376.67</v>
      </c>
      <c r="U1827" s="111">
        <v>34</v>
      </c>
      <c r="V1827" s="111">
        <v>1.3440000000000001</v>
      </c>
      <c r="W1827" s="111">
        <v>24.8863401061021</v>
      </c>
      <c r="X1827" s="111">
        <v>34</v>
      </c>
      <c r="Y1827" s="411">
        <v>7.37</v>
      </c>
      <c r="Z1827" s="61">
        <v>4.13</v>
      </c>
      <c r="AA1827" s="61">
        <v>4.0999999999999996</v>
      </c>
      <c r="AB1827" s="61">
        <v>4.1100000000000003</v>
      </c>
      <c r="AC1827" s="61">
        <v>0.85909999999999997</v>
      </c>
      <c r="AD1827" s="61">
        <v>4.08</v>
      </c>
      <c r="AE1827" s="61">
        <v>3.98</v>
      </c>
      <c r="AF1827" s="61">
        <f t="shared" si="476"/>
        <v>4.0999999999999996</v>
      </c>
      <c r="AG1827" s="62">
        <v>4.18</v>
      </c>
      <c r="AH1827" s="111">
        <v>7.5799999999999996E-12</v>
      </c>
      <c r="AI1827" s="111">
        <v>1.6400000000000001E-8</v>
      </c>
      <c r="AJ1827" s="62">
        <f t="shared" ref="AJ1827:AK1833" si="485">LOG10(AH1827*1000/(0.08206*298.15))</f>
        <v>-9.508897120680599</v>
      </c>
      <c r="AK1827" s="62">
        <f t="shared" si="485"/>
        <v>-6.1737224782649536</v>
      </c>
      <c r="AL1827" s="62">
        <f t="shared" ref="AL1827:AL1833" si="486">IF(AK1827=0,AJ1827,AK1827)</f>
        <v>-6.1737224782649536</v>
      </c>
      <c r="AM1827" s="62">
        <v>-16.703500000000002</v>
      </c>
      <c r="AN1827" s="163">
        <v>-6.1421000000000001</v>
      </c>
      <c r="AO1827" s="410"/>
      <c r="AP1827" s="410">
        <v>4.84</v>
      </c>
      <c r="AQ1827" s="163" t="s">
        <v>6311</v>
      </c>
      <c r="AR1827" s="163" t="s">
        <v>6311</v>
      </c>
      <c r="AS1827" s="164" t="s">
        <v>5466</v>
      </c>
      <c r="AT1827" s="63" t="s">
        <v>266</v>
      </c>
      <c r="AU1827" s="61">
        <v>1</v>
      </c>
      <c r="AV1827" s="61">
        <v>96</v>
      </c>
      <c r="AW1827" s="61">
        <v>95</v>
      </c>
      <c r="AX1827" s="61">
        <v>27</v>
      </c>
      <c r="AY1827" s="174" t="s">
        <v>6256</v>
      </c>
      <c r="AZ1827" s="178" t="s">
        <v>536</v>
      </c>
      <c r="BA1827" s="61">
        <v>72</v>
      </c>
      <c r="BB1827" s="67" t="s">
        <v>6253</v>
      </c>
      <c r="BC1827" s="67" t="s">
        <v>1584</v>
      </c>
      <c r="BD1827" s="67"/>
      <c r="BE1827" s="61" t="s">
        <v>271</v>
      </c>
      <c r="BF1827" s="61" t="s">
        <v>272</v>
      </c>
      <c r="BG1827" s="61" t="s">
        <v>272</v>
      </c>
      <c r="BH1827" s="61" t="s">
        <v>2135</v>
      </c>
      <c r="BI1827" s="153">
        <v>0.3</v>
      </c>
      <c r="BJ1827" s="153">
        <v>9.6</v>
      </c>
      <c r="BK1827" s="165"/>
      <c r="BL1827" s="153">
        <v>3.7810117941216199</v>
      </c>
      <c r="BM1827" s="61">
        <v>10</v>
      </c>
      <c r="BN1827" s="61"/>
      <c r="BO1827" s="61"/>
      <c r="BP1827" s="61"/>
      <c r="BQ1827" s="61">
        <v>8.5127419999999994</v>
      </c>
      <c r="BR1827" s="61"/>
      <c r="BS1827" s="61"/>
      <c r="BT1827" s="61"/>
      <c r="BU1827" s="158"/>
      <c r="BV1827" s="61"/>
      <c r="BW1827" s="61"/>
      <c r="BX1827" s="61"/>
      <c r="BY1827" s="61"/>
      <c r="BZ1827" s="61"/>
      <c r="CA1827" s="61"/>
      <c r="CB1827" s="61"/>
      <c r="CC1827" s="61"/>
      <c r="CD1827" s="61"/>
      <c r="CE1827" s="61"/>
      <c r="CF1827" s="61"/>
      <c r="CG1827" s="61"/>
      <c r="CH1827" s="61"/>
      <c r="CI1827" s="111">
        <v>8.5127419999999994</v>
      </c>
      <c r="CJ1827" s="103">
        <f t="shared" si="479"/>
        <v>0.93006947120815164</v>
      </c>
      <c r="CK1827" s="57">
        <f t="shared" ref="CK1827:CK1833" si="487">BL1827/BJ1827</f>
        <v>0.3938553952210021</v>
      </c>
      <c r="CL1827" s="160">
        <f t="shared" ref="CL1827:CL1832" si="488">BL1827/CI1827</f>
        <v>0.44415909634306083</v>
      </c>
      <c r="CM1827" s="160">
        <v>-0.23427264607322798</v>
      </c>
      <c r="CN1827" s="160">
        <f t="shared" si="483"/>
        <v>16.464323058568745</v>
      </c>
      <c r="CO1827" s="67"/>
      <c r="CP1827" s="161" t="s">
        <v>6255</v>
      </c>
      <c r="CQ1827" s="149">
        <v>-0.23428417606624358</v>
      </c>
      <c r="CR1827" s="349">
        <f t="shared" si="484"/>
        <v>14.600026608129738</v>
      </c>
      <c r="CS1827" s="61" t="s">
        <v>539</v>
      </c>
      <c r="CT1827" s="61"/>
      <c r="CU1827" s="111">
        <f t="shared" ref="CU1827:CU1832" si="489">X1827/CI1827</f>
        <v>3.9940127399608731</v>
      </c>
      <c r="CV1827" s="331">
        <f t="shared" ref="CV1827:CV1835" si="490">X1827/BJ1827</f>
        <v>3.541666666666667</v>
      </c>
      <c r="CW1827" s="326">
        <f t="shared" si="482"/>
        <v>1</v>
      </c>
      <c r="CX1827" s="326"/>
      <c r="CY1827" s="161" t="s">
        <v>5921</v>
      </c>
    </row>
    <row r="1828" spans="1:103" ht="11.25" customHeight="1" x14ac:dyDescent="0.2">
      <c r="A1828" s="72">
        <v>455</v>
      </c>
      <c r="B1828" s="149">
        <v>740</v>
      </c>
      <c r="C1828" s="54" t="s">
        <v>1359</v>
      </c>
      <c r="D1828" s="54" t="s">
        <v>6523</v>
      </c>
      <c r="E1828" s="59"/>
      <c r="F1828" s="59" t="s">
        <v>1360</v>
      </c>
      <c r="G1828" s="151">
        <v>52645531</v>
      </c>
      <c r="H1828" s="55" t="s">
        <v>1361</v>
      </c>
      <c r="I1828" s="55" t="s">
        <v>7889</v>
      </c>
      <c r="J1828" s="55" t="s">
        <v>1362</v>
      </c>
      <c r="K1828" s="55" t="s">
        <v>1363</v>
      </c>
      <c r="L1828" s="64" t="s">
        <v>279</v>
      </c>
      <c r="M1828" s="55" t="s">
        <v>1364</v>
      </c>
      <c r="N1828" s="60" t="s">
        <v>6376</v>
      </c>
      <c r="O1828" s="55" t="s">
        <v>281</v>
      </c>
      <c r="P1828" s="67" t="s">
        <v>6178</v>
      </c>
      <c r="Q1828" s="67" t="s">
        <v>6173</v>
      </c>
      <c r="R1828" s="67" t="s">
        <v>6181</v>
      </c>
      <c r="S1828" s="67" t="s">
        <v>6176</v>
      </c>
      <c r="T1828" s="56">
        <v>391.29</v>
      </c>
      <c r="U1828" s="103">
        <v>6.0000000000000001E-3</v>
      </c>
      <c r="V1828" s="103">
        <v>9.7470000000000005E-3</v>
      </c>
      <c r="W1828" s="103">
        <v>5.1582067922973561E-2</v>
      </c>
      <c r="X1828" s="103">
        <v>6.0000000000000001E-3</v>
      </c>
      <c r="Y1828" s="162">
        <v>7</v>
      </c>
      <c r="Z1828" s="56">
        <v>7.43</v>
      </c>
      <c r="AA1828" s="56">
        <v>6.5</v>
      </c>
      <c r="AB1828" s="56">
        <v>6.33</v>
      </c>
      <c r="AC1828" s="56">
        <v>0.93520000000000003</v>
      </c>
      <c r="AD1828" s="56">
        <v>6.47</v>
      </c>
      <c r="AE1828" s="56">
        <v>7.15</v>
      </c>
      <c r="AF1828" s="56">
        <f t="shared" si="476"/>
        <v>6.5</v>
      </c>
      <c r="AG1828" s="57">
        <v>5.3</v>
      </c>
      <c r="AH1828" s="103">
        <v>2.8799999999999998E-7</v>
      </c>
      <c r="AI1828" s="103">
        <v>1.8700000000000001E-6</v>
      </c>
      <c r="AJ1828" s="62">
        <f t="shared" si="485"/>
        <v>-4.9291738385534209</v>
      </c>
      <c r="AK1828" s="62">
        <f t="shared" si="485"/>
        <v>-4.116724719776153</v>
      </c>
      <c r="AL1828" s="62">
        <f t="shared" si="486"/>
        <v>-4.116724719776153</v>
      </c>
      <c r="AM1828" s="62">
        <v>-12.603410000000002</v>
      </c>
      <c r="AN1828" s="154">
        <v>-4.92</v>
      </c>
      <c r="AO1828" s="410"/>
      <c r="AP1828" s="410"/>
      <c r="AQ1828" s="154" t="s">
        <v>6311</v>
      </c>
      <c r="AR1828" s="154" t="s">
        <v>6312</v>
      </c>
      <c r="AS1828" s="149" t="s">
        <v>6</v>
      </c>
      <c r="AT1828" s="58" t="s">
        <v>266</v>
      </c>
      <c r="AU1828" s="56">
        <v>2</v>
      </c>
      <c r="AV1828" s="56">
        <v>120</v>
      </c>
      <c r="AW1828" s="56">
        <v>120</v>
      </c>
      <c r="AX1828" s="56">
        <v>28</v>
      </c>
      <c r="AY1828" s="56" t="s">
        <v>8722</v>
      </c>
      <c r="AZ1828" s="56" t="s">
        <v>536</v>
      </c>
      <c r="BA1828" s="56" t="s">
        <v>8722</v>
      </c>
      <c r="BB1828" s="55" t="s">
        <v>2087</v>
      </c>
      <c r="BC1828" s="55" t="s">
        <v>2088</v>
      </c>
      <c r="BD1828" s="55"/>
      <c r="BE1828" s="56" t="s">
        <v>271</v>
      </c>
      <c r="BF1828" s="56" t="s">
        <v>272</v>
      </c>
      <c r="BG1828" s="56" t="s">
        <v>272</v>
      </c>
      <c r="BH1828" s="56" t="s">
        <v>2089</v>
      </c>
      <c r="BI1828" s="153">
        <v>9.9997444416049075E-2</v>
      </c>
      <c r="BJ1828" s="153">
        <v>0.49998722208024532</v>
      </c>
      <c r="BK1828" s="56"/>
      <c r="BL1828" s="153">
        <v>4.2698807781093792E-3</v>
      </c>
      <c r="BM1828" s="56" t="s">
        <v>2090</v>
      </c>
      <c r="BN1828" s="56"/>
      <c r="BO1828" s="56"/>
      <c r="BP1828" s="56"/>
      <c r="BQ1828" s="56"/>
      <c r="BR1828" s="56"/>
      <c r="BS1828" s="56"/>
      <c r="BT1828" s="56">
        <v>0.29999233324814717</v>
      </c>
      <c r="BU1828" s="158"/>
      <c r="BV1828" s="56"/>
      <c r="BW1828" s="56"/>
      <c r="BX1828" s="56"/>
      <c r="BY1828" s="56"/>
      <c r="BZ1828" s="56"/>
      <c r="CA1828" s="56"/>
      <c r="CB1828" s="56"/>
      <c r="CC1828" s="56"/>
      <c r="CD1828" s="56"/>
      <c r="CE1828" s="56"/>
      <c r="CF1828" s="56"/>
      <c r="CG1828" s="56"/>
      <c r="CH1828" s="56"/>
      <c r="CI1828" s="103">
        <v>0.29999233324814717</v>
      </c>
      <c r="CJ1828" s="103">
        <f t="shared" si="479"/>
        <v>-0.52288984418223838</v>
      </c>
      <c r="CK1828" s="57">
        <f t="shared" si="487"/>
        <v>8.5399798025720067E-3</v>
      </c>
      <c r="CL1828" s="160">
        <f t="shared" si="488"/>
        <v>1.4233299670953345E-2</v>
      </c>
      <c r="CM1828" s="160">
        <v>-2.6020599913279625</v>
      </c>
      <c r="CN1828" s="160">
        <f t="shared" si="483"/>
        <v>199.99488883209824</v>
      </c>
      <c r="CO1828" s="55" t="s">
        <v>2096</v>
      </c>
      <c r="CP1828" s="497" t="s">
        <v>2091</v>
      </c>
      <c r="CQ1828" s="149">
        <v>-2.0868585448471388</v>
      </c>
      <c r="CR1828" s="349">
        <f t="shared" si="484"/>
        <v>36.641116666974746</v>
      </c>
      <c r="CS1828" s="61" t="s">
        <v>539</v>
      </c>
      <c r="CT1828" s="61"/>
      <c r="CU1828" s="111">
        <f t="shared" si="489"/>
        <v>2.0000511129852541E-2</v>
      </c>
      <c r="CV1828" s="331">
        <f t="shared" si="490"/>
        <v>1.2000306677911524E-2</v>
      </c>
      <c r="CW1828" s="326">
        <f t="shared" si="482"/>
        <v>0</v>
      </c>
      <c r="CX1828" s="326"/>
      <c r="CY1828" s="161" t="s">
        <v>5921</v>
      </c>
    </row>
    <row r="1829" spans="1:103" ht="11.25" customHeight="1" x14ac:dyDescent="0.2">
      <c r="A1829" s="72">
        <v>467</v>
      </c>
      <c r="B1829" s="149">
        <v>739</v>
      </c>
      <c r="C1829" s="54" t="s">
        <v>2101</v>
      </c>
      <c r="D1829" s="54" t="s">
        <v>6567</v>
      </c>
      <c r="E1829" s="59"/>
      <c r="F1829" s="59" t="s">
        <v>2102</v>
      </c>
      <c r="G1829" s="151">
        <v>82657043</v>
      </c>
      <c r="H1829" s="55" t="s">
        <v>2103</v>
      </c>
      <c r="I1829" s="55" t="s">
        <v>7896</v>
      </c>
      <c r="J1829" s="55" t="s">
        <v>2104</v>
      </c>
      <c r="K1829" s="55" t="s">
        <v>1363</v>
      </c>
      <c r="L1829" s="55" t="s">
        <v>617</v>
      </c>
      <c r="M1829" s="55" t="s">
        <v>1086</v>
      </c>
      <c r="N1829" s="60" t="s">
        <v>6376</v>
      </c>
      <c r="O1829" s="55" t="s">
        <v>918</v>
      </c>
      <c r="P1829" s="67"/>
      <c r="Q1829" s="67"/>
      <c r="R1829" s="67"/>
      <c r="S1829" s="67"/>
      <c r="T1829" s="56">
        <v>422.87</v>
      </c>
      <c r="U1829" s="103">
        <v>0.1</v>
      </c>
      <c r="V1829" s="103">
        <v>2.407E-4</v>
      </c>
      <c r="W1829" s="103">
        <v>0.12479778456804128</v>
      </c>
      <c r="X1829" s="103">
        <v>0.1</v>
      </c>
      <c r="Y1829" s="162">
        <v>7</v>
      </c>
      <c r="Z1829" s="56">
        <v>8.15</v>
      </c>
      <c r="AA1829" s="56"/>
      <c r="AB1829" s="56">
        <v>6.84</v>
      </c>
      <c r="AC1829" s="56">
        <v>0.85719999999999996</v>
      </c>
      <c r="AD1829" s="56">
        <v>6.93</v>
      </c>
      <c r="AE1829" s="56">
        <v>7.3</v>
      </c>
      <c r="AF1829" s="56">
        <f t="shared" si="476"/>
        <v>6.93</v>
      </c>
      <c r="AG1829" s="57">
        <v>6.43</v>
      </c>
      <c r="AH1829" s="103">
        <v>1.91E-5</v>
      </c>
      <c r="AI1829" s="103">
        <v>9.9999999999999995E-7</v>
      </c>
      <c r="AJ1829" s="62">
        <f t="shared" si="485"/>
        <v>-3.1075329590649243</v>
      </c>
      <c r="AK1829" s="62">
        <f t="shared" si="485"/>
        <v>-4.3885663263126515</v>
      </c>
      <c r="AL1829" s="62">
        <f t="shared" si="486"/>
        <v>-4.3885663263126515</v>
      </c>
      <c r="AM1829" s="62">
        <v>-9.5165900000000008</v>
      </c>
      <c r="AN1829" s="154">
        <v>-4.72</v>
      </c>
      <c r="AO1829" s="410"/>
      <c r="AP1829" s="410"/>
      <c r="AQ1829" s="154" t="s">
        <v>6311</v>
      </c>
      <c r="AR1829" s="154" t="s">
        <v>6312</v>
      </c>
      <c r="AS1829" s="149" t="s">
        <v>6</v>
      </c>
      <c r="AT1829" s="58" t="s">
        <v>266</v>
      </c>
      <c r="AU1829" s="56">
        <v>2</v>
      </c>
      <c r="AV1829" s="56">
        <v>120</v>
      </c>
      <c r="AW1829" s="56">
        <v>120</v>
      </c>
      <c r="AX1829" s="56">
        <v>28</v>
      </c>
      <c r="AY1829" s="56" t="s">
        <v>8722</v>
      </c>
      <c r="AZ1829" s="56" t="s">
        <v>536</v>
      </c>
      <c r="BA1829" s="56" t="s">
        <v>8722</v>
      </c>
      <c r="BB1829" s="55" t="s">
        <v>2087</v>
      </c>
      <c r="BC1829" s="55" t="s">
        <v>2088</v>
      </c>
      <c r="BD1829" s="55"/>
      <c r="BE1829" s="56" t="s">
        <v>271</v>
      </c>
      <c r="BF1829" s="56" t="s">
        <v>272</v>
      </c>
      <c r="BG1829" s="56" t="s">
        <v>272</v>
      </c>
      <c r="BH1829" s="56" t="s">
        <v>2089</v>
      </c>
      <c r="BI1829" s="153">
        <v>4.9998817631479384E-2</v>
      </c>
      <c r="BJ1829" s="153">
        <v>0.49998817631479381</v>
      </c>
      <c r="BK1829" s="56"/>
      <c r="BL1829" s="153">
        <v>1.0410986318262474E-3</v>
      </c>
      <c r="BM1829" s="56" t="s">
        <v>2090</v>
      </c>
      <c r="BN1829" s="56"/>
      <c r="BO1829" s="56"/>
      <c r="BP1829" s="56"/>
      <c r="BQ1829" s="56"/>
      <c r="BR1829" s="56"/>
      <c r="BS1829" s="56"/>
      <c r="BT1829" s="56">
        <v>0.18999550699962164</v>
      </c>
      <c r="BU1829" s="158"/>
      <c r="BV1829" s="56"/>
      <c r="BW1829" s="56"/>
      <c r="BX1829" s="56"/>
      <c r="BY1829" s="56"/>
      <c r="BZ1829" s="56"/>
      <c r="CA1829" s="56"/>
      <c r="CB1829" s="56"/>
      <c r="CC1829" s="56"/>
      <c r="CD1829" s="56"/>
      <c r="CE1829" s="56"/>
      <c r="CF1829" s="56"/>
      <c r="CG1829" s="56"/>
      <c r="CH1829" s="56"/>
      <c r="CI1829" s="103">
        <v>0.18999550699962164</v>
      </c>
      <c r="CJ1829" s="103">
        <f t="shared" si="479"/>
        <v>-0.72125666909108288</v>
      </c>
      <c r="CK1829" s="57">
        <f t="shared" si="487"/>
        <v>2.0822465033068483E-3</v>
      </c>
      <c r="CL1829" s="160">
        <f t="shared" si="488"/>
        <v>5.4795960613338119E-3</v>
      </c>
      <c r="CM1829" s="160">
        <v>-3.4634415574284714</v>
      </c>
      <c r="CN1829" s="160">
        <f t="shared" si="483"/>
        <v>1453.4540009151044</v>
      </c>
      <c r="CO1829" s="55" t="s">
        <v>2096</v>
      </c>
      <c r="CP1829" s="497" t="s">
        <v>2091</v>
      </c>
      <c r="CQ1829" s="149">
        <v>-2.9037207463261767</v>
      </c>
      <c r="CR1829" s="349">
        <f t="shared" si="484"/>
        <v>152.21732207757097</v>
      </c>
      <c r="CS1829" s="61" t="s">
        <v>539</v>
      </c>
      <c r="CT1829" s="61"/>
      <c r="CU1829" s="111">
        <f t="shared" si="489"/>
        <v>0.52632823575243359</v>
      </c>
      <c r="CV1829" s="331">
        <f t="shared" si="490"/>
        <v>0.20000472958592475</v>
      </c>
      <c r="CW1829" s="326">
        <f t="shared" si="482"/>
        <v>0</v>
      </c>
      <c r="CX1829" s="326"/>
      <c r="CY1829" s="161" t="s">
        <v>5921</v>
      </c>
    </row>
    <row r="1830" spans="1:103" ht="11.25" customHeight="1" x14ac:dyDescent="0.2">
      <c r="A1830" s="72">
        <v>477</v>
      </c>
      <c r="B1830" s="149">
        <v>738</v>
      </c>
      <c r="C1830" s="54" t="s">
        <v>2097</v>
      </c>
      <c r="D1830" s="54" t="s">
        <v>6769</v>
      </c>
      <c r="E1830" s="59"/>
      <c r="F1830" s="59" t="s">
        <v>2098</v>
      </c>
      <c r="G1830" s="151">
        <v>68085858</v>
      </c>
      <c r="H1830" s="55" t="s">
        <v>2099</v>
      </c>
      <c r="I1830" s="55" t="s">
        <v>7900</v>
      </c>
      <c r="J1830" s="55" t="s">
        <v>2100</v>
      </c>
      <c r="K1830" s="55" t="s">
        <v>2086</v>
      </c>
      <c r="L1830" s="55" t="s">
        <v>617</v>
      </c>
      <c r="M1830" s="55" t="s">
        <v>1086</v>
      </c>
      <c r="N1830" s="60" t="s">
        <v>6376</v>
      </c>
      <c r="O1830" s="55" t="s">
        <v>918</v>
      </c>
      <c r="P1830" s="67"/>
      <c r="Q1830" s="67"/>
      <c r="R1830" s="67"/>
      <c r="S1830" s="67"/>
      <c r="T1830" s="56">
        <v>449.85</v>
      </c>
      <c r="U1830" s="103">
        <v>5.0000000000000001E-3</v>
      </c>
      <c r="V1830" s="103">
        <v>8.5329999999999998E-4</v>
      </c>
      <c r="W1830" s="103">
        <v>6.2096586143160659E-2</v>
      </c>
      <c r="X1830" s="103">
        <v>5.0000000000000001E-3</v>
      </c>
      <c r="Y1830" s="162">
        <v>7</v>
      </c>
      <c r="Z1830" s="56">
        <v>6.85</v>
      </c>
      <c r="AA1830" s="56">
        <v>7</v>
      </c>
      <c r="AB1830" s="56">
        <v>6.34</v>
      </c>
      <c r="AC1830" s="56">
        <v>0.89419999999999999</v>
      </c>
      <c r="AD1830" s="56">
        <v>6.32</v>
      </c>
      <c r="AE1830" s="56">
        <v>6.2</v>
      </c>
      <c r="AF1830" s="56">
        <f t="shared" si="476"/>
        <v>7</v>
      </c>
      <c r="AG1830" s="57">
        <v>5.56</v>
      </c>
      <c r="AH1830" s="103">
        <v>1.3499999999999999E-5</v>
      </c>
      <c r="AI1830" s="103">
        <v>1.48E-6</v>
      </c>
      <c r="AJ1830" s="62">
        <f t="shared" si="485"/>
        <v>-3.2582325578176459</v>
      </c>
      <c r="AK1830" s="62">
        <f t="shared" si="485"/>
        <v>-4.218304610917694</v>
      </c>
      <c r="AL1830" s="62">
        <f t="shared" si="486"/>
        <v>-4.218304610917694</v>
      </c>
      <c r="AM1830" s="62">
        <v>-13.49095</v>
      </c>
      <c r="AN1830" s="154">
        <v>-4.4400000000000004</v>
      </c>
      <c r="AO1830" s="410"/>
      <c r="AP1830" s="410"/>
      <c r="AQ1830" s="154" t="s">
        <v>6311</v>
      </c>
      <c r="AR1830" s="154" t="s">
        <v>6312</v>
      </c>
      <c r="AS1830" s="149" t="s">
        <v>6</v>
      </c>
      <c r="AT1830" s="58" t="s">
        <v>266</v>
      </c>
      <c r="AU1830" s="56">
        <v>2</v>
      </c>
      <c r="AV1830" s="56">
        <v>120</v>
      </c>
      <c r="AW1830" s="56">
        <v>120</v>
      </c>
      <c r="AX1830" s="56">
        <v>28</v>
      </c>
      <c r="AY1830" s="56" t="s">
        <v>8722</v>
      </c>
      <c r="AZ1830" s="56" t="s">
        <v>536</v>
      </c>
      <c r="BA1830" s="56" t="s">
        <v>8722</v>
      </c>
      <c r="BB1830" s="55" t="s">
        <v>2087</v>
      </c>
      <c r="BC1830" s="55" t="s">
        <v>2088</v>
      </c>
      <c r="BD1830" s="55"/>
      <c r="BE1830" s="56" t="s">
        <v>271</v>
      </c>
      <c r="BF1830" s="56" t="s">
        <v>272</v>
      </c>
      <c r="BG1830" s="56" t="s">
        <v>272</v>
      </c>
      <c r="BH1830" s="56" t="s">
        <v>2089</v>
      </c>
      <c r="BI1830" s="153">
        <v>9.9997777086204605E-3</v>
      </c>
      <c r="BJ1830" s="153">
        <v>0.19999555417240919</v>
      </c>
      <c r="BK1830" s="56"/>
      <c r="BL1830" s="153">
        <v>1.6288561233042734E-2</v>
      </c>
      <c r="BM1830" s="56" t="s">
        <v>2090</v>
      </c>
      <c r="BN1830" s="56"/>
      <c r="BO1830" s="56"/>
      <c r="BP1830" s="56"/>
      <c r="BQ1830" s="56"/>
      <c r="BR1830" s="56"/>
      <c r="BS1830" s="56"/>
      <c r="BT1830" s="56">
        <v>0.10999755479482508</v>
      </c>
      <c r="BU1830" s="158"/>
      <c r="BV1830" s="56"/>
      <c r="BW1830" s="56"/>
      <c r="BX1830" s="56"/>
      <c r="BY1830" s="56"/>
      <c r="BZ1830" s="56"/>
      <c r="CA1830" s="56"/>
      <c r="CB1830" s="56"/>
      <c r="CC1830" s="56"/>
      <c r="CD1830" s="56"/>
      <c r="CE1830" s="56"/>
      <c r="CF1830" s="56"/>
      <c r="CG1830" s="56"/>
      <c r="CH1830" s="56"/>
      <c r="CI1830" s="103">
        <v>0.10999755479482508</v>
      </c>
      <c r="CJ1830" s="103">
        <f t="shared" si="479"/>
        <v>-0.95861696894102733</v>
      </c>
      <c r="CK1830" s="57">
        <f t="shared" si="487"/>
        <v>8.1444616608831885E-2</v>
      </c>
      <c r="CL1830" s="160">
        <f t="shared" si="488"/>
        <v>0.14808112110696703</v>
      </c>
      <c r="CM1830" s="160">
        <v>-3.3372421683184261</v>
      </c>
      <c r="CN1830" s="160">
        <f t="shared" si="483"/>
        <v>434.77294385306396</v>
      </c>
      <c r="CO1830" s="55" t="s">
        <v>2096</v>
      </c>
      <c r="CP1830" s="497" t="s">
        <v>2091</v>
      </c>
      <c r="CQ1830" s="149">
        <v>-3.3024242042477288</v>
      </c>
      <c r="CR1830" s="349">
        <f t="shared" si="484"/>
        <v>220.70249118872772</v>
      </c>
      <c r="CS1830" s="61" t="s">
        <v>539</v>
      </c>
      <c r="CT1830" s="61"/>
      <c r="CU1830" s="111">
        <f t="shared" si="489"/>
        <v>4.5455555892368153E-2</v>
      </c>
      <c r="CV1830" s="331">
        <f t="shared" si="490"/>
        <v>2.5000555740802489E-2</v>
      </c>
      <c r="CW1830" s="326">
        <f t="shared" si="482"/>
        <v>0</v>
      </c>
      <c r="CX1830" s="326"/>
      <c r="CY1830" s="161" t="s">
        <v>5921</v>
      </c>
    </row>
    <row r="1831" spans="1:103" ht="11.25" customHeight="1" x14ac:dyDescent="0.2">
      <c r="A1831" s="72">
        <v>488</v>
      </c>
      <c r="B1831" s="149">
        <v>737</v>
      </c>
      <c r="C1831" s="54" t="s">
        <v>2092</v>
      </c>
      <c r="D1831" s="54" t="s">
        <v>6594</v>
      </c>
      <c r="E1831" s="59"/>
      <c r="F1831" s="59" t="s">
        <v>2093</v>
      </c>
      <c r="G1831" s="151">
        <v>52315078</v>
      </c>
      <c r="H1831" s="55" t="s">
        <v>2094</v>
      </c>
      <c r="I1831" s="55" t="s">
        <v>7906</v>
      </c>
      <c r="J1831" s="55" t="s">
        <v>2095</v>
      </c>
      <c r="K1831" s="55" t="s">
        <v>2086</v>
      </c>
      <c r="L1831" s="55" t="s">
        <v>617</v>
      </c>
      <c r="M1831" s="55" t="s">
        <v>1086</v>
      </c>
      <c r="N1831" s="60" t="s">
        <v>6376</v>
      </c>
      <c r="O1831" s="55" t="s">
        <v>918</v>
      </c>
      <c r="P1831" s="67"/>
      <c r="Q1831" s="67"/>
      <c r="R1831" s="67"/>
      <c r="S1831" s="67"/>
      <c r="T1831" s="56">
        <v>416.3</v>
      </c>
      <c r="U1831" s="103">
        <v>0.115</v>
      </c>
      <c r="V1831" s="103">
        <v>1.5590000000000001E-3</v>
      </c>
      <c r="W1831" s="103">
        <v>4.6709628252590681E-2</v>
      </c>
      <c r="X1831" s="103">
        <v>0.115</v>
      </c>
      <c r="Y1831" s="162">
        <v>7</v>
      </c>
      <c r="Z1831" s="56">
        <v>6.38</v>
      </c>
      <c r="AA1831" s="56">
        <v>6.94</v>
      </c>
      <c r="AB1831" s="56">
        <v>6.02</v>
      </c>
      <c r="AC1831" s="56">
        <v>0.95830000000000004</v>
      </c>
      <c r="AD1831" s="56">
        <v>6.05</v>
      </c>
      <c r="AE1831" s="56">
        <v>6.27</v>
      </c>
      <c r="AF1831" s="56">
        <f t="shared" si="476"/>
        <v>6.94</v>
      </c>
      <c r="AG1831" s="57">
        <v>5.09</v>
      </c>
      <c r="AH1831" s="103">
        <v>7.8899999999999998E-7</v>
      </c>
      <c r="AI1831" s="103">
        <v>4.2E-7</v>
      </c>
      <c r="AJ1831" s="62">
        <f t="shared" si="485"/>
        <v>-4.4914893231032318</v>
      </c>
      <c r="AK1831" s="62">
        <f t="shared" si="485"/>
        <v>-4.7653170359147516</v>
      </c>
      <c r="AL1831" s="62">
        <f t="shared" si="486"/>
        <v>-4.7653170359147516</v>
      </c>
      <c r="AM1831" s="62">
        <v>-15.410480000000002</v>
      </c>
      <c r="AN1831" s="154">
        <v>-4.5599999999999996</v>
      </c>
      <c r="AO1831" s="410"/>
      <c r="AP1831" s="410"/>
      <c r="AQ1831" s="154" t="s">
        <v>6311</v>
      </c>
      <c r="AR1831" s="154" t="s">
        <v>6312</v>
      </c>
      <c r="AS1831" s="149" t="s">
        <v>6</v>
      </c>
      <c r="AT1831" s="58" t="s">
        <v>266</v>
      </c>
      <c r="AU1831" s="56">
        <v>2</v>
      </c>
      <c r="AV1831" s="56">
        <v>120</v>
      </c>
      <c r="AW1831" s="56">
        <v>120</v>
      </c>
      <c r="AX1831" s="56">
        <v>28</v>
      </c>
      <c r="AY1831" s="56" t="s">
        <v>8722</v>
      </c>
      <c r="AZ1831" s="56" t="s">
        <v>536</v>
      </c>
      <c r="BA1831" s="56" t="s">
        <v>8722</v>
      </c>
      <c r="BB1831" s="55" t="s">
        <v>2087</v>
      </c>
      <c r="BC1831" s="55" t="s">
        <v>2088</v>
      </c>
      <c r="BD1831" s="55"/>
      <c r="BE1831" s="56" t="s">
        <v>271</v>
      </c>
      <c r="BF1831" s="56" t="s">
        <v>272</v>
      </c>
      <c r="BG1831" s="56" t="s">
        <v>272</v>
      </c>
      <c r="BH1831" s="56" t="s">
        <v>2089</v>
      </c>
      <c r="BI1831" s="153">
        <v>9.999759794383993E-3</v>
      </c>
      <c r="BJ1831" s="153">
        <v>0.19999519588767986</v>
      </c>
      <c r="BK1831" s="56"/>
      <c r="BL1831" s="153">
        <v>3.9840833066549695E-2</v>
      </c>
      <c r="BM1831" s="56" t="s">
        <v>2090</v>
      </c>
      <c r="BN1831" s="56"/>
      <c r="BO1831" s="56"/>
      <c r="BP1831" s="56"/>
      <c r="BQ1831" s="56"/>
      <c r="BR1831" s="56"/>
      <c r="BS1831" s="56"/>
      <c r="BT1831" s="56">
        <v>6.4998438663495958E-2</v>
      </c>
      <c r="BU1831" s="158"/>
      <c r="BV1831" s="56"/>
      <c r="BW1831" s="56"/>
      <c r="BX1831" s="56"/>
      <c r="BY1831" s="56"/>
      <c r="BZ1831" s="56"/>
      <c r="CA1831" s="56"/>
      <c r="CB1831" s="56"/>
      <c r="CC1831" s="56"/>
      <c r="CD1831" s="56"/>
      <c r="CE1831" s="56"/>
      <c r="CF1831" s="56"/>
      <c r="CG1831" s="56"/>
      <c r="CH1831" s="56"/>
      <c r="CI1831" s="103">
        <v>6.4998438663495958E-2</v>
      </c>
      <c r="CJ1831" s="103">
        <f t="shared" si="479"/>
        <v>-1.1870970754797929</v>
      </c>
      <c r="CK1831" s="57">
        <f t="shared" si="487"/>
        <v>0.19920895044361403</v>
      </c>
      <c r="CL1831" s="160">
        <f t="shared" si="488"/>
        <v>0.61295061674958151</v>
      </c>
      <c r="CM1831" s="160">
        <v>-2.771769496998286</v>
      </c>
      <c r="CN1831" s="160">
        <f t="shared" si="483"/>
        <v>118.24670847991671</v>
      </c>
      <c r="CO1831" s="55" t="s">
        <v>2096</v>
      </c>
      <c r="CP1831" s="497" t="s">
        <v>2091</v>
      </c>
      <c r="CQ1831" s="149">
        <v>-2.7046840545453876</v>
      </c>
      <c r="CR1831" s="349">
        <f t="shared" si="484"/>
        <v>32.929639712536947</v>
      </c>
      <c r="CS1831" s="61" t="s">
        <v>539</v>
      </c>
      <c r="CT1831" s="61"/>
      <c r="CU1831" s="111">
        <f t="shared" si="489"/>
        <v>1.7692732681682957</v>
      </c>
      <c r="CV1831" s="331">
        <f t="shared" si="490"/>
        <v>0.57501381215469616</v>
      </c>
      <c r="CW1831" s="326">
        <f t="shared" si="482"/>
        <v>0</v>
      </c>
      <c r="CX1831" s="326"/>
      <c r="CY1831" s="161" t="s">
        <v>5921</v>
      </c>
    </row>
    <row r="1832" spans="1:103" ht="11.25" customHeight="1" x14ac:dyDescent="0.2">
      <c r="A1832" s="72">
        <v>496</v>
      </c>
      <c r="B1832" s="149">
        <v>736</v>
      </c>
      <c r="C1832" s="54" t="s">
        <v>2082</v>
      </c>
      <c r="D1832" s="54" t="s">
        <v>6784</v>
      </c>
      <c r="E1832" s="59"/>
      <c r="F1832" s="59" t="s">
        <v>2083</v>
      </c>
      <c r="G1832" s="151">
        <v>52918635</v>
      </c>
      <c r="H1832" s="55" t="s">
        <v>2084</v>
      </c>
      <c r="I1832" s="55" t="s">
        <v>7909</v>
      </c>
      <c r="J1832" s="55" t="s">
        <v>2085</v>
      </c>
      <c r="K1832" s="55" t="s">
        <v>2086</v>
      </c>
      <c r="L1832" s="55" t="s">
        <v>617</v>
      </c>
      <c r="M1832" s="55" t="s">
        <v>1086</v>
      </c>
      <c r="N1832" s="60" t="s">
        <v>6376</v>
      </c>
      <c r="O1832" s="55" t="s">
        <v>918</v>
      </c>
      <c r="P1832" s="67" t="s">
        <v>6172</v>
      </c>
      <c r="Q1832" s="67" t="s">
        <v>6179</v>
      </c>
      <c r="R1832" s="67" t="s">
        <v>6174</v>
      </c>
      <c r="S1832" s="67" t="s">
        <v>6173</v>
      </c>
      <c r="T1832" s="56">
        <v>505.2</v>
      </c>
      <c r="U1832" s="103">
        <v>2E-3</v>
      </c>
      <c r="V1832" s="103">
        <v>1.8270000000000001E-3</v>
      </c>
      <c r="W1832" s="103">
        <v>5.0519999999999995E-2</v>
      </c>
      <c r="X1832" s="103">
        <v>2E-3</v>
      </c>
      <c r="Y1832" s="162">
        <v>7</v>
      </c>
      <c r="Z1832" s="56">
        <v>6.18</v>
      </c>
      <c r="AA1832" s="56">
        <v>6.2</v>
      </c>
      <c r="AB1832" s="56">
        <v>6.1</v>
      </c>
      <c r="AC1832" s="56">
        <v>0.91710000000000003</v>
      </c>
      <c r="AD1832" s="56">
        <v>6.12</v>
      </c>
      <c r="AE1832" s="56">
        <v>6.2</v>
      </c>
      <c r="AF1832" s="56">
        <f t="shared" si="476"/>
        <v>6.2</v>
      </c>
      <c r="AG1832" s="57">
        <v>5.34</v>
      </c>
      <c r="AH1832" s="103">
        <v>6.06E-8</v>
      </c>
      <c r="AI1832" s="103">
        <v>4.9899999999999997E-6</v>
      </c>
      <c r="AJ1832" s="62">
        <f t="shared" si="485"/>
        <v>-5.6060937021463655</v>
      </c>
      <c r="AK1832" s="62">
        <f t="shared" si="485"/>
        <v>-3.6904657806892618</v>
      </c>
      <c r="AL1832" s="62">
        <f t="shared" si="486"/>
        <v>-3.6904657806892618</v>
      </c>
      <c r="AM1832" s="62">
        <v>-16.417359999999999</v>
      </c>
      <c r="AN1832" s="154">
        <v>-4.7300000000000004</v>
      </c>
      <c r="AO1832" s="410"/>
      <c r="AP1832" s="410"/>
      <c r="AQ1832" s="154" t="s">
        <v>6311</v>
      </c>
      <c r="AR1832" s="154" t="s">
        <v>6312</v>
      </c>
      <c r="AS1832" s="149" t="s">
        <v>6</v>
      </c>
      <c r="AT1832" s="58" t="s">
        <v>266</v>
      </c>
      <c r="AU1832" s="56">
        <v>2</v>
      </c>
      <c r="AV1832" s="56">
        <v>120</v>
      </c>
      <c r="AW1832" s="56">
        <v>120</v>
      </c>
      <c r="AX1832" s="56">
        <v>28</v>
      </c>
      <c r="AY1832" s="56" t="s">
        <v>8722</v>
      </c>
      <c r="AZ1832" s="56" t="s">
        <v>536</v>
      </c>
      <c r="BA1832" s="56" t="s">
        <v>8722</v>
      </c>
      <c r="BB1832" s="55" t="s">
        <v>2087</v>
      </c>
      <c r="BC1832" s="55" t="s">
        <v>2088</v>
      </c>
      <c r="BD1832" s="55"/>
      <c r="BE1832" s="56" t="s">
        <v>271</v>
      </c>
      <c r="BF1832" s="56" t="s">
        <v>272</v>
      </c>
      <c r="BG1832" s="56" t="s">
        <v>272</v>
      </c>
      <c r="BH1832" s="56" t="s">
        <v>2089</v>
      </c>
      <c r="BI1832" s="153">
        <v>9.99980206250866E-3</v>
      </c>
      <c r="BJ1832" s="153">
        <v>9.99980206250866E-2</v>
      </c>
      <c r="BK1832" s="56"/>
      <c r="BL1832" s="153">
        <v>7.3114807665242601E-2</v>
      </c>
      <c r="BM1832" s="56" t="s">
        <v>2090</v>
      </c>
      <c r="BN1832" s="56"/>
      <c r="BO1832" s="56"/>
      <c r="BP1832" s="56"/>
      <c r="BQ1832" s="56"/>
      <c r="BR1832" s="56"/>
      <c r="BS1832" s="56"/>
      <c r="BT1832" s="56">
        <v>3.999920825003464E-2</v>
      </c>
      <c r="BU1832" s="158"/>
      <c r="BV1832" s="56"/>
      <c r="BW1832" s="56"/>
      <c r="BX1832" s="56"/>
      <c r="BY1832" s="56"/>
      <c r="BZ1832" s="56"/>
      <c r="CA1832" s="56"/>
      <c r="CB1832" s="56"/>
      <c r="CC1832" s="56"/>
      <c r="CD1832" s="56"/>
      <c r="CE1832" s="56"/>
      <c r="CF1832" s="56"/>
      <c r="CG1832" s="56"/>
      <c r="CH1832" s="56"/>
      <c r="CI1832" s="103">
        <v>3.999920825003464E-2</v>
      </c>
      <c r="CJ1832" s="103">
        <f t="shared" si="479"/>
        <v>-1.3979486050731404</v>
      </c>
      <c r="CK1832" s="57">
        <f t="shared" si="487"/>
        <v>0.73116254910049905</v>
      </c>
      <c r="CL1832" s="160">
        <f t="shared" si="488"/>
        <v>1.8279063727512477</v>
      </c>
      <c r="CM1832" s="160"/>
      <c r="CN1832" s="160"/>
      <c r="CO1832" s="55"/>
      <c r="CP1832" s="497" t="s">
        <v>2091</v>
      </c>
      <c r="CQ1832" s="149">
        <v>-3.2487144304995215</v>
      </c>
      <c r="CR1832" s="349">
        <f t="shared" si="484"/>
        <v>70.919526188154791</v>
      </c>
      <c r="CS1832" s="61" t="s">
        <v>539</v>
      </c>
      <c r="CT1832" s="61"/>
      <c r="CU1832" s="111">
        <f t="shared" si="489"/>
        <v>5.0000989707046715E-2</v>
      </c>
      <c r="CV1832" s="331">
        <f t="shared" si="490"/>
        <v>2.0000395882818687E-2</v>
      </c>
      <c r="CW1832" s="326">
        <f t="shared" si="482"/>
        <v>0</v>
      </c>
      <c r="CX1832" s="326"/>
      <c r="CY1832" s="161" t="s">
        <v>5921</v>
      </c>
    </row>
    <row r="1833" spans="1:103" ht="11.25" customHeight="1" x14ac:dyDescent="0.2">
      <c r="A1833" s="72">
        <v>1873</v>
      </c>
      <c r="B1833" s="241">
        <v>1313</v>
      </c>
      <c r="C1833" s="32" t="s">
        <v>4014</v>
      </c>
      <c r="D1833" s="32"/>
      <c r="E1833" s="40"/>
      <c r="F1833" s="40" t="s">
        <v>4015</v>
      </c>
      <c r="G1833" s="242">
        <v>10453868</v>
      </c>
      <c r="H1833" s="36" t="s">
        <v>4016</v>
      </c>
      <c r="I1833" s="36" t="s">
        <v>4016</v>
      </c>
      <c r="J1833" s="36" t="s">
        <v>4017</v>
      </c>
      <c r="K1833" s="36" t="s">
        <v>4018</v>
      </c>
      <c r="L1833" s="36" t="s">
        <v>617</v>
      </c>
      <c r="M1833" s="36" t="s">
        <v>1086</v>
      </c>
      <c r="N1833" s="36" t="s">
        <v>6376</v>
      </c>
      <c r="O1833" s="36" t="s">
        <v>918</v>
      </c>
      <c r="P1833" s="41"/>
      <c r="Q1833" s="41"/>
      <c r="R1833" s="41"/>
      <c r="S1833" s="41"/>
      <c r="T1833" s="37">
        <v>338.44</v>
      </c>
      <c r="U1833" s="243">
        <v>0.3</v>
      </c>
      <c r="V1833" s="243">
        <v>4.1500000000000002E-2</v>
      </c>
      <c r="W1833" s="243">
        <v>0.83077168542444046</v>
      </c>
      <c r="X1833" s="243">
        <v>0.3</v>
      </c>
      <c r="Y1833" s="414">
        <v>7</v>
      </c>
      <c r="Z1833" s="37">
        <v>7.11</v>
      </c>
      <c r="AA1833" s="37">
        <v>6.14</v>
      </c>
      <c r="AB1833" s="37">
        <v>6.42</v>
      </c>
      <c r="AC1833" s="37">
        <v>0.85070000000000001</v>
      </c>
      <c r="AD1833" s="37">
        <v>6.47</v>
      </c>
      <c r="AE1833" s="37">
        <v>6.63</v>
      </c>
      <c r="AF1833" s="37">
        <f t="shared" si="476"/>
        <v>6.14</v>
      </c>
      <c r="AG1833" s="38">
        <v>5.17</v>
      </c>
      <c r="AH1833" s="243">
        <v>5.5600000000000001E-6</v>
      </c>
      <c r="AI1833" s="243">
        <v>1.3300000000000001E-7</v>
      </c>
      <c r="AJ1833" s="34">
        <f t="shared" si="485"/>
        <v>-3.6434915347305945</v>
      </c>
      <c r="AK1833" s="34">
        <f t="shared" si="485"/>
        <v>-5.2647146853455657</v>
      </c>
      <c r="AL1833" s="34">
        <f t="shared" si="486"/>
        <v>-5.2647146853455657</v>
      </c>
      <c r="AM1833" s="34">
        <v>-9.6268199999999986</v>
      </c>
      <c r="AN1833" s="244">
        <v>-4.79</v>
      </c>
      <c r="AO1833" s="417"/>
      <c r="AP1833" s="417"/>
      <c r="AQ1833" s="244" t="s">
        <v>6311</v>
      </c>
      <c r="AR1833" s="244" t="s">
        <v>6312</v>
      </c>
      <c r="AS1833" s="241" t="s">
        <v>6</v>
      </c>
      <c r="AT1833" s="39" t="s">
        <v>266</v>
      </c>
      <c r="AU1833" s="37">
        <v>2</v>
      </c>
      <c r="AV1833" s="37">
        <v>120</v>
      </c>
      <c r="AW1833" s="37">
        <v>120</v>
      </c>
      <c r="AX1833" s="37">
        <v>28</v>
      </c>
      <c r="AY1833" s="37" t="s">
        <v>8722</v>
      </c>
      <c r="AZ1833" s="37" t="s">
        <v>536</v>
      </c>
      <c r="BA1833" s="37" t="s">
        <v>8722</v>
      </c>
      <c r="BB1833" s="36" t="s">
        <v>2087</v>
      </c>
      <c r="BC1833" s="36" t="s">
        <v>2088</v>
      </c>
      <c r="BD1833" s="36"/>
      <c r="BE1833" s="37" t="s">
        <v>271</v>
      </c>
      <c r="BF1833" s="37" t="s">
        <v>272</v>
      </c>
      <c r="BG1833" s="37" t="s">
        <v>272</v>
      </c>
      <c r="BH1833" s="37" t="s">
        <v>2089</v>
      </c>
      <c r="BI1833" s="250">
        <v>4.9998522676909449E-2</v>
      </c>
      <c r="BJ1833" s="250">
        <v>0.29999113606145666</v>
      </c>
      <c r="BK1833" s="37"/>
      <c r="BL1833" s="263">
        <v>7.1579833916065915E-3</v>
      </c>
      <c r="BM1833" s="37" t="s">
        <v>2090</v>
      </c>
      <c r="BN1833" s="37"/>
      <c r="BO1833" s="37"/>
      <c r="BP1833" s="37"/>
      <c r="BQ1833" s="37"/>
      <c r="BR1833" s="37"/>
      <c r="BS1833" s="37"/>
      <c r="BT1833" s="37"/>
      <c r="BU1833" s="246"/>
      <c r="BV1833" s="37"/>
      <c r="BW1833" s="37"/>
      <c r="BX1833" s="37"/>
      <c r="BY1833" s="37"/>
      <c r="BZ1833" s="37"/>
      <c r="CA1833" s="37"/>
      <c r="CB1833" s="37"/>
      <c r="CC1833" s="37"/>
      <c r="CD1833" s="37"/>
      <c r="CE1833" s="37"/>
      <c r="CF1833" s="37"/>
      <c r="CG1833" s="37"/>
      <c r="CH1833" s="37"/>
      <c r="CI1833" s="243"/>
      <c r="CJ1833" s="243"/>
      <c r="CK1833" s="38">
        <f t="shared" si="487"/>
        <v>2.3860649636461912E-2</v>
      </c>
      <c r="CL1833" s="247"/>
      <c r="CM1833" s="247"/>
      <c r="CN1833" s="247"/>
      <c r="CO1833" s="36" t="s">
        <v>2096</v>
      </c>
      <c r="CP1833" s="496" t="s">
        <v>2091</v>
      </c>
      <c r="CQ1833" s="241">
        <v>-2.6286079694666098</v>
      </c>
      <c r="CR1833" s="241">
        <f t="shared" si="484"/>
        <v>425.21440574423031</v>
      </c>
      <c r="CS1833" s="33"/>
      <c r="CT1833" s="33"/>
      <c r="CU1833" s="250"/>
      <c r="CV1833" s="337">
        <f t="shared" si="490"/>
        <v>1.0000295473348302</v>
      </c>
      <c r="CW1833" s="330">
        <f>IF(CV1833&lt;1,0,1)</f>
        <v>1</v>
      </c>
      <c r="CX1833" s="330"/>
      <c r="CY1833" s="143" t="s">
        <v>5921</v>
      </c>
    </row>
    <row r="1834" spans="1:103" ht="11.25" customHeight="1" x14ac:dyDescent="0.2">
      <c r="A1834" s="72">
        <v>1994</v>
      </c>
      <c r="B1834" s="241">
        <v>2159</v>
      </c>
      <c r="C1834" s="32" t="s">
        <v>1411</v>
      </c>
      <c r="D1834" s="32"/>
      <c r="E1834" s="40"/>
      <c r="F1834" s="37" t="s">
        <v>1412</v>
      </c>
      <c r="G1834" s="43">
        <v>60207901</v>
      </c>
      <c r="H1834" s="277"/>
      <c r="I1834" s="277" t="s">
        <v>7877</v>
      </c>
      <c r="J1834" s="277"/>
      <c r="K1834" s="277"/>
      <c r="L1834" s="278" t="s">
        <v>5990</v>
      </c>
      <c r="M1834" s="278" t="s">
        <v>6082</v>
      </c>
      <c r="N1834" s="36" t="s">
        <v>6082</v>
      </c>
      <c r="O1834" s="278"/>
      <c r="P1834" s="41"/>
      <c r="Q1834" s="41"/>
      <c r="R1834" s="41"/>
      <c r="S1834" s="41"/>
      <c r="T1834" s="277">
        <v>342.22430000000003</v>
      </c>
      <c r="U1834" s="281"/>
      <c r="V1834" s="281"/>
      <c r="W1834" s="281">
        <v>10.575741911851592</v>
      </c>
      <c r="X1834" s="281">
        <v>10.575741911851592</v>
      </c>
      <c r="Y1834" s="418">
        <v>7.01</v>
      </c>
      <c r="Z1834" s="277"/>
      <c r="AA1834" s="277"/>
      <c r="AB1834" s="277"/>
      <c r="AC1834" s="277"/>
      <c r="AD1834" s="277"/>
      <c r="AE1834" s="277"/>
      <c r="AF1834" s="277"/>
      <c r="AG1834" s="277"/>
      <c r="AH1834" s="281"/>
      <c r="AI1834" s="277"/>
      <c r="AJ1834" s="34"/>
      <c r="AK1834" s="34"/>
      <c r="AL1834" s="34"/>
      <c r="AM1834" s="34"/>
      <c r="AN1834" s="277"/>
      <c r="AO1834" s="417"/>
      <c r="AP1834" s="417">
        <v>2.94</v>
      </c>
      <c r="AQ1834" s="277"/>
      <c r="AR1834" s="277"/>
      <c r="AS1834" s="277"/>
      <c r="AT1834" s="35" t="s">
        <v>266</v>
      </c>
      <c r="AU1834" s="277">
        <v>1</v>
      </c>
      <c r="AV1834" s="277">
        <v>49</v>
      </c>
      <c r="AW1834" s="277">
        <v>48</v>
      </c>
      <c r="AX1834" s="277">
        <v>26</v>
      </c>
      <c r="AY1834" s="277" t="s">
        <v>5935</v>
      </c>
      <c r="AZ1834" s="277" t="s">
        <v>4080</v>
      </c>
      <c r="BA1834" s="277">
        <v>40</v>
      </c>
      <c r="BB1834" s="279" t="s">
        <v>5934</v>
      </c>
      <c r="BC1834" s="280" t="s">
        <v>5937</v>
      </c>
      <c r="BD1834" s="280"/>
      <c r="BE1834" s="277"/>
      <c r="BF1834" s="277"/>
      <c r="BG1834" s="277"/>
      <c r="BH1834" s="277" t="s">
        <v>4089</v>
      </c>
      <c r="BI1834" s="250">
        <v>2.5</v>
      </c>
      <c r="BJ1834" s="250">
        <v>25</v>
      </c>
      <c r="BK1834" s="277" t="s">
        <v>5933</v>
      </c>
      <c r="BL1834" s="263"/>
      <c r="BM1834" s="277"/>
      <c r="BN1834" s="277"/>
      <c r="BO1834" s="277"/>
      <c r="BP1834" s="277"/>
      <c r="BQ1834" s="277"/>
      <c r="BR1834" s="277"/>
      <c r="BS1834" s="277"/>
      <c r="BT1834" s="277"/>
      <c r="BU1834" s="277"/>
      <c r="BV1834" s="277"/>
      <c r="BW1834" s="277"/>
      <c r="BX1834" s="277"/>
      <c r="BY1834" s="277"/>
      <c r="BZ1834" s="277"/>
      <c r="CA1834" s="277"/>
      <c r="CB1834" s="277"/>
      <c r="CC1834" s="277"/>
      <c r="CD1834" s="277"/>
      <c r="CE1834" s="277"/>
      <c r="CF1834" s="277"/>
      <c r="CG1834" s="277"/>
      <c r="CH1834" s="277"/>
      <c r="CI1834" s="277"/>
      <c r="CJ1834" s="243"/>
      <c r="CK1834" s="277"/>
      <c r="CL1834" s="277"/>
      <c r="CM1834" s="277"/>
      <c r="CN1834" s="247"/>
      <c r="CO1834" s="277"/>
      <c r="CP1834" s="502" t="s">
        <v>5938</v>
      </c>
      <c r="CQ1834" s="241">
        <v>0.57823061849061996</v>
      </c>
      <c r="CR1834" s="241">
        <f t="shared" si="484"/>
        <v>0.2641005961350687</v>
      </c>
      <c r="CS1834" s="37"/>
      <c r="CT1834" s="37" t="s">
        <v>6310</v>
      </c>
      <c r="CU1834" s="250"/>
      <c r="CV1834" s="337">
        <f t="shared" si="490"/>
        <v>0.4230296764740637</v>
      </c>
      <c r="CW1834" s="330">
        <f>IF(CV1834&lt;1,0,1)</f>
        <v>0</v>
      </c>
      <c r="CX1834" s="330" t="s">
        <v>539</v>
      </c>
      <c r="CY1834" s="143" t="s">
        <v>5921</v>
      </c>
    </row>
    <row r="1835" spans="1:103" ht="11.25" customHeight="1" x14ac:dyDescent="0.2">
      <c r="A1835" s="72">
        <v>1995</v>
      </c>
      <c r="B1835" s="241">
        <v>2160</v>
      </c>
      <c r="C1835" s="32" t="s">
        <v>1176</v>
      </c>
      <c r="D1835" s="32" t="s">
        <v>6533</v>
      </c>
      <c r="E1835" s="40"/>
      <c r="F1835" s="40" t="s">
        <v>1177</v>
      </c>
      <c r="G1835" s="242">
        <v>72490018</v>
      </c>
      <c r="H1835" s="36" t="s">
        <v>1178</v>
      </c>
      <c r="I1835" s="36" t="s">
        <v>1178</v>
      </c>
      <c r="J1835" s="36" t="s">
        <v>1179</v>
      </c>
      <c r="K1835" s="36" t="s">
        <v>1180</v>
      </c>
      <c r="L1835" s="36" t="s">
        <v>617</v>
      </c>
      <c r="M1835" s="36" t="s">
        <v>8507</v>
      </c>
      <c r="N1835" s="36" t="s">
        <v>6082</v>
      </c>
      <c r="O1835" s="36" t="s">
        <v>918</v>
      </c>
      <c r="P1835" s="41"/>
      <c r="Q1835" s="41"/>
      <c r="R1835" s="41"/>
      <c r="S1835" s="41"/>
      <c r="T1835" s="37">
        <v>301.33999999999997</v>
      </c>
      <c r="U1835" s="243">
        <v>6</v>
      </c>
      <c r="V1835" s="243">
        <v>2.5649999999999999</v>
      </c>
      <c r="W1835" s="243">
        <v>21.333238266631586</v>
      </c>
      <c r="X1835" s="243">
        <v>6</v>
      </c>
      <c r="Y1835" s="414">
        <v>7</v>
      </c>
      <c r="Z1835" s="37">
        <v>4.24</v>
      </c>
      <c r="AA1835" s="37">
        <v>4.3</v>
      </c>
      <c r="AB1835" s="37">
        <v>3.95</v>
      </c>
      <c r="AC1835" s="37">
        <v>0.76349999999999996</v>
      </c>
      <c r="AD1835" s="37">
        <v>3.91</v>
      </c>
      <c r="AE1835" s="37">
        <v>3.83</v>
      </c>
      <c r="AF1835" s="37">
        <f t="shared" ref="AF1835:AF1842" si="491">IF(AA1835=0,AD1835,AA1835)</f>
        <v>4.3</v>
      </c>
      <c r="AG1835" s="38">
        <v>3.1</v>
      </c>
      <c r="AH1835" s="243">
        <v>1.45E-11</v>
      </c>
      <c r="AI1835" s="243">
        <v>4.3000000000000001E-10</v>
      </c>
      <c r="AJ1835" s="34">
        <f>LOG10(AH1835*1000/(0.08206*298.15))</f>
        <v>-9.2271983240776763</v>
      </c>
      <c r="AK1835" s="34">
        <f>LOG10(AI1835*1000/(0.08206*298.15))</f>
        <v>-7.7550978707330653</v>
      </c>
      <c r="AL1835" s="34">
        <f t="shared" ref="AL1835:AL1842" si="492">IF(AK1835=0,AJ1835,AK1835)</f>
        <v>-7.7550978707330653</v>
      </c>
      <c r="AM1835" s="34">
        <v>-14.524919999999998</v>
      </c>
      <c r="AN1835" s="244">
        <v>-6.97</v>
      </c>
      <c r="AO1835" s="417">
        <v>12.13</v>
      </c>
      <c r="AP1835" s="417">
        <v>-1.49</v>
      </c>
      <c r="AQ1835" s="244" t="s">
        <v>6311</v>
      </c>
      <c r="AR1835" s="244" t="s">
        <v>6312</v>
      </c>
      <c r="AS1835" s="241" t="s">
        <v>6</v>
      </c>
      <c r="AT1835" s="35" t="s">
        <v>266</v>
      </c>
      <c r="AU1835" s="277">
        <v>1</v>
      </c>
      <c r="AV1835" s="277">
        <v>49</v>
      </c>
      <c r="AW1835" s="277">
        <v>48</v>
      </c>
      <c r="AX1835" s="277">
        <v>26</v>
      </c>
      <c r="AY1835" s="277" t="s">
        <v>5935</v>
      </c>
      <c r="AZ1835" s="277" t="s">
        <v>4080</v>
      </c>
      <c r="BA1835" s="277">
        <v>40</v>
      </c>
      <c r="BB1835" s="279" t="s">
        <v>5934</v>
      </c>
      <c r="BC1835" s="280" t="s">
        <v>5937</v>
      </c>
      <c r="BD1835" s="280"/>
      <c r="BE1835" s="277"/>
      <c r="BF1835" s="277"/>
      <c r="BG1835" s="277"/>
      <c r="BH1835" s="277" t="s">
        <v>4089</v>
      </c>
      <c r="BI1835" s="250">
        <v>7.5</v>
      </c>
      <c r="BJ1835" s="250">
        <v>20</v>
      </c>
      <c r="BK1835" s="277" t="s">
        <v>5933</v>
      </c>
      <c r="BL1835" s="263"/>
      <c r="BM1835" s="277"/>
      <c r="BN1835" s="277"/>
      <c r="BO1835" s="277"/>
      <c r="BP1835" s="277"/>
      <c r="BQ1835" s="277"/>
      <c r="BR1835" s="277"/>
      <c r="BS1835" s="277"/>
      <c r="BT1835" s="277"/>
      <c r="BU1835" s="277"/>
      <c r="BV1835" s="277"/>
      <c r="BW1835" s="277"/>
      <c r="BX1835" s="277"/>
      <c r="BY1835" s="277"/>
      <c r="BZ1835" s="277"/>
      <c r="CA1835" s="277"/>
      <c r="CB1835" s="277"/>
      <c r="CC1835" s="277"/>
      <c r="CD1835" s="277"/>
      <c r="CE1835" s="277"/>
      <c r="CF1835" s="277"/>
      <c r="CG1835" s="277"/>
      <c r="CH1835" s="277"/>
      <c r="CI1835" s="281"/>
      <c r="CJ1835" s="243"/>
      <c r="CK1835" s="277"/>
      <c r="CL1835" s="277"/>
      <c r="CM1835" s="277"/>
      <c r="CN1835" s="247"/>
      <c r="CO1835" s="278"/>
      <c r="CP1835" s="502" t="s">
        <v>5938</v>
      </c>
      <c r="CQ1835" s="241">
        <v>9.7725620805236613E-2</v>
      </c>
      <c r="CR1835" s="241">
        <f t="shared" si="484"/>
        <v>0.79849900479600888</v>
      </c>
      <c r="CS1835" s="37"/>
      <c r="CT1835" s="37" t="s">
        <v>6310</v>
      </c>
      <c r="CU1835" s="250"/>
      <c r="CV1835" s="337">
        <f t="shared" si="490"/>
        <v>0.3</v>
      </c>
      <c r="CW1835" s="330">
        <f>IF(CV1835&lt;1,0,1)</f>
        <v>0</v>
      </c>
      <c r="CX1835" s="330" t="s">
        <v>539</v>
      </c>
      <c r="CY1835" s="143" t="s">
        <v>5921</v>
      </c>
    </row>
    <row r="1836" spans="1:103" ht="11.25" customHeight="1" x14ac:dyDescent="0.2">
      <c r="A1836" s="72">
        <v>1996</v>
      </c>
      <c r="B1836" s="241">
        <v>2161</v>
      </c>
      <c r="C1836" s="32" t="s">
        <v>5932</v>
      </c>
      <c r="D1836" s="32"/>
      <c r="E1836" s="40"/>
      <c r="F1836" s="40" t="s">
        <v>909</v>
      </c>
      <c r="G1836" s="242">
        <v>555406536</v>
      </c>
      <c r="H1836" s="36" t="s">
        <v>910</v>
      </c>
      <c r="I1836" s="36" t="s">
        <v>7867</v>
      </c>
      <c r="J1836" s="36" t="s">
        <v>911</v>
      </c>
      <c r="K1836" s="36" t="s">
        <v>912</v>
      </c>
      <c r="L1836" s="36" t="s">
        <v>5576</v>
      </c>
      <c r="M1836" s="36" t="s">
        <v>5931</v>
      </c>
      <c r="N1836" s="36"/>
      <c r="O1836" s="36" t="s">
        <v>5940</v>
      </c>
      <c r="P1836" s="41"/>
      <c r="Q1836" s="41"/>
      <c r="R1836" s="41"/>
      <c r="S1836" s="41"/>
      <c r="T1836" s="37">
        <v>281.08999999999997</v>
      </c>
      <c r="U1836" s="243"/>
      <c r="V1836" s="243">
        <v>126.6</v>
      </c>
      <c r="W1836" s="243">
        <v>70.606615703302708</v>
      </c>
      <c r="X1836" s="243">
        <v>70.606615703302708</v>
      </c>
      <c r="Y1836" s="414">
        <v>6.99</v>
      </c>
      <c r="Z1836" s="37">
        <v>2.4500000000000002</v>
      </c>
      <c r="AA1836" s="37"/>
      <c r="AB1836" s="37">
        <v>2.06</v>
      </c>
      <c r="AC1836" s="37">
        <v>0.52690000000000003</v>
      </c>
      <c r="AD1836" s="37">
        <v>3.2</v>
      </c>
      <c r="AE1836" s="37">
        <v>4.4400000000000004</v>
      </c>
      <c r="AF1836" s="37">
        <f t="shared" si="491"/>
        <v>3.2</v>
      </c>
      <c r="AG1836" s="38">
        <v>5.26</v>
      </c>
      <c r="AH1836" s="243">
        <v>8.9299999999999996E-9</v>
      </c>
      <c r="AI1836" s="243"/>
      <c r="AJ1836" s="34">
        <f t="shared" ref="AJ1836:AJ1842" si="493">LOG10(AH1836*1000/(0.08206*298.15))</f>
        <v>-6.4377148674241056</v>
      </c>
      <c r="AK1836" s="34"/>
      <c r="AL1836" s="34">
        <f t="shared" si="492"/>
        <v>-6.4377148674241056</v>
      </c>
      <c r="AM1836" s="34">
        <v>-8.67258</v>
      </c>
      <c r="AN1836" s="244">
        <v>-6.64</v>
      </c>
      <c r="AO1836" s="417">
        <v>12.03</v>
      </c>
      <c r="AP1836" s="417">
        <v>-1.55</v>
      </c>
      <c r="AQ1836" s="244" t="s">
        <v>6311</v>
      </c>
      <c r="AR1836" s="244" t="s">
        <v>6315</v>
      </c>
      <c r="AS1836" s="241" t="s">
        <v>63</v>
      </c>
      <c r="AT1836" s="35" t="s">
        <v>266</v>
      </c>
      <c r="AU1836" s="277">
        <v>1</v>
      </c>
      <c r="AV1836" s="277">
        <v>49</v>
      </c>
      <c r="AW1836" s="277">
        <v>48</v>
      </c>
      <c r="AX1836" s="33">
        <v>26</v>
      </c>
      <c r="AY1836" s="277" t="s">
        <v>5935</v>
      </c>
      <c r="AZ1836" s="33" t="s">
        <v>4080</v>
      </c>
      <c r="BA1836" s="143">
        <v>40</v>
      </c>
      <c r="BB1836" s="279" t="s">
        <v>5934</v>
      </c>
      <c r="BC1836" s="280" t="s">
        <v>5937</v>
      </c>
      <c r="BD1836" s="280"/>
      <c r="BE1836" s="143"/>
      <c r="BF1836" s="143"/>
      <c r="BG1836" s="277"/>
      <c r="BH1836" s="143" t="s">
        <v>5936</v>
      </c>
      <c r="BI1836" s="143"/>
      <c r="BJ1836" s="143"/>
      <c r="BK1836" s="277" t="s">
        <v>5933</v>
      </c>
      <c r="BL1836" s="263"/>
      <c r="BM1836" s="143"/>
      <c r="BN1836" s="143"/>
      <c r="BO1836" s="143"/>
      <c r="BP1836" s="143"/>
      <c r="BQ1836" s="143"/>
      <c r="BR1836" s="143"/>
      <c r="BS1836" s="143"/>
      <c r="BT1836" s="143"/>
      <c r="BU1836" s="143"/>
      <c r="BV1836" s="143"/>
      <c r="BW1836" s="143"/>
      <c r="BX1836" s="143"/>
      <c r="BY1836" s="143"/>
      <c r="BZ1836" s="143"/>
      <c r="CA1836" s="143"/>
      <c r="CB1836" s="143"/>
      <c r="CC1836" s="143"/>
      <c r="CD1836" s="143"/>
      <c r="CE1836" s="143"/>
      <c r="CF1836" s="143"/>
      <c r="CG1836" s="143"/>
      <c r="CH1836" s="143"/>
      <c r="CI1836" s="143"/>
      <c r="CJ1836" s="243"/>
      <c r="CK1836" s="143"/>
      <c r="CL1836" s="143"/>
      <c r="CM1836" s="143"/>
      <c r="CN1836" s="247"/>
      <c r="CO1836" s="143"/>
      <c r="CP1836" s="502" t="s">
        <v>5938</v>
      </c>
      <c r="CQ1836" s="241" t="s">
        <v>272</v>
      </c>
      <c r="CR1836" s="241"/>
      <c r="CS1836" s="143"/>
      <c r="CT1836" s="143" t="s">
        <v>6310</v>
      </c>
      <c r="CU1836" s="250" t="s">
        <v>6310</v>
      </c>
      <c r="CV1836" s="337" t="s">
        <v>6310</v>
      </c>
      <c r="CW1836" s="330">
        <f>IF(CV1836&lt;1,0,1)</f>
        <v>1</v>
      </c>
      <c r="CX1836" s="330" t="s">
        <v>539</v>
      </c>
      <c r="CY1836" s="143" t="s">
        <v>5921</v>
      </c>
    </row>
    <row r="1837" spans="1:103" ht="11.25" customHeight="1" x14ac:dyDescent="0.2">
      <c r="A1837" s="72">
        <v>92</v>
      </c>
      <c r="B1837" s="149">
        <v>727</v>
      </c>
      <c r="C1837" s="54" t="s">
        <v>2053</v>
      </c>
      <c r="D1837" s="54" t="s">
        <v>6536</v>
      </c>
      <c r="E1837" s="59"/>
      <c r="F1837" s="59" t="s">
        <v>2054</v>
      </c>
      <c r="G1837" s="151">
        <v>52686</v>
      </c>
      <c r="H1837" s="55" t="s">
        <v>2055</v>
      </c>
      <c r="I1837" s="55" t="s">
        <v>7976</v>
      </c>
      <c r="J1837" s="55" t="s">
        <v>2056</v>
      </c>
      <c r="K1837" s="55" t="s">
        <v>2057</v>
      </c>
      <c r="L1837" s="55" t="s">
        <v>617</v>
      </c>
      <c r="M1837" s="55" t="s">
        <v>946</v>
      </c>
      <c r="N1837" s="60" t="s">
        <v>6376</v>
      </c>
      <c r="O1837" s="55" t="s">
        <v>918</v>
      </c>
      <c r="P1837" s="67"/>
      <c r="Q1837" s="67"/>
      <c r="R1837" s="67"/>
      <c r="S1837" s="67"/>
      <c r="T1837" s="56">
        <v>257.44</v>
      </c>
      <c r="U1837" s="103">
        <v>120000</v>
      </c>
      <c r="V1837" s="103">
        <v>25530</v>
      </c>
      <c r="W1837" s="103">
        <v>102488.70998729233</v>
      </c>
      <c r="X1837" s="103">
        <v>120000</v>
      </c>
      <c r="Y1837" s="162">
        <v>5.35</v>
      </c>
      <c r="Z1837" s="56">
        <v>0.42</v>
      </c>
      <c r="AA1837" s="56">
        <v>0.51</v>
      </c>
      <c r="AB1837" s="56">
        <v>0.84</v>
      </c>
      <c r="AC1837" s="56">
        <v>0.75449999999999995</v>
      </c>
      <c r="AD1837" s="56">
        <v>0.73</v>
      </c>
      <c r="AE1837" s="56">
        <v>0.48</v>
      </c>
      <c r="AF1837" s="56">
        <f t="shared" si="491"/>
        <v>0.51</v>
      </c>
      <c r="AG1837" s="57">
        <v>0.9</v>
      </c>
      <c r="AH1837" s="103">
        <v>2.6499999999999998E-12</v>
      </c>
      <c r="AI1837" s="103">
        <v>1.6999999999999999E-11</v>
      </c>
      <c r="AJ1837" s="62">
        <f t="shared" si="493"/>
        <v>-9.9653204523758436</v>
      </c>
      <c r="AK1837" s="62">
        <f>LOG10(AI1837*1000/(0.08206*298.15))</f>
        <v>-9.1581174049343783</v>
      </c>
      <c r="AL1837" s="62">
        <f t="shared" si="492"/>
        <v>-9.1581174049343783</v>
      </c>
      <c r="AM1837" s="62">
        <v>-11.525370000000001</v>
      </c>
      <c r="AN1837" s="154">
        <v>-8.69</v>
      </c>
      <c r="AO1837" s="410">
        <v>10.3</v>
      </c>
      <c r="AP1837" s="410"/>
      <c r="AQ1837" s="154" t="s">
        <v>6312</v>
      </c>
      <c r="AR1837" s="154" t="s">
        <v>6312</v>
      </c>
      <c r="AS1837" s="149" t="s">
        <v>6</v>
      </c>
      <c r="AT1837" s="58" t="s">
        <v>266</v>
      </c>
      <c r="AU1837" s="56">
        <v>2</v>
      </c>
      <c r="AV1837" s="56">
        <v>96</v>
      </c>
      <c r="AW1837" s="56">
        <v>96</v>
      </c>
      <c r="AX1837" s="56">
        <v>27</v>
      </c>
      <c r="AY1837" s="56" t="s">
        <v>1780</v>
      </c>
      <c r="AZ1837" s="56" t="s">
        <v>2058</v>
      </c>
      <c r="BA1837" s="56" t="s">
        <v>2059</v>
      </c>
      <c r="BB1837" s="55" t="s">
        <v>1764</v>
      </c>
      <c r="BC1837" s="55" t="s">
        <v>2060</v>
      </c>
      <c r="BD1837" s="55"/>
      <c r="BE1837" s="56" t="s">
        <v>271</v>
      </c>
      <c r="BF1837" s="56" t="s">
        <v>272</v>
      </c>
      <c r="BG1837" s="56" t="s">
        <v>272</v>
      </c>
      <c r="BH1837" s="56" t="s">
        <v>272</v>
      </c>
      <c r="BI1837" s="153">
        <v>2.5</v>
      </c>
      <c r="BJ1837" s="153">
        <v>160</v>
      </c>
      <c r="BK1837" s="56"/>
      <c r="BL1837" s="153">
        <v>5549.7577552808461</v>
      </c>
      <c r="BM1837" s="56" t="s">
        <v>2061</v>
      </c>
      <c r="BN1837" s="56"/>
      <c r="BO1837" s="56"/>
      <c r="BP1837" s="56">
        <v>45.13</v>
      </c>
      <c r="BQ1837" s="56">
        <v>25.4</v>
      </c>
      <c r="BR1837" s="56"/>
      <c r="BS1837" s="56"/>
      <c r="BT1837" s="56"/>
      <c r="BU1837" s="158"/>
      <c r="BV1837" s="56"/>
      <c r="BW1837" s="56"/>
      <c r="BX1837" s="56"/>
      <c r="BY1837" s="56"/>
      <c r="BZ1837" s="56"/>
      <c r="CA1837" s="56"/>
      <c r="CB1837" s="56"/>
      <c r="CC1837" s="56"/>
      <c r="CD1837" s="56"/>
      <c r="CE1837" s="56"/>
      <c r="CF1837" s="56"/>
      <c r="CG1837" s="56"/>
      <c r="CH1837" s="56"/>
      <c r="CI1837" s="103">
        <v>25.4</v>
      </c>
      <c r="CJ1837" s="103">
        <f t="shared" ref="CJ1837:CJ1851" si="494">LOG10(CI1837)</f>
        <v>1.4048337166199381</v>
      </c>
      <c r="CK1837" s="57">
        <f>BL1837/BJ1837</f>
        <v>34.685985970505286</v>
      </c>
      <c r="CL1837" s="160">
        <f t="shared" ref="CL1837:CL1842" si="495">BL1837/CI1837</f>
        <v>218.49439981420656</v>
      </c>
      <c r="CM1837" s="160"/>
      <c r="CN1837" s="160"/>
      <c r="CO1837" s="55"/>
      <c r="CP1837" s="497" t="s">
        <v>2062</v>
      </c>
      <c r="CQ1837" s="149">
        <v>0.33760324502253658</v>
      </c>
      <c r="CR1837" s="349">
        <f t="shared" ref="CR1837:CR1843" si="496">10^(CJ1837-CQ1837)</f>
        <v>11.674289844591225</v>
      </c>
      <c r="CS1837" s="61" t="s">
        <v>539</v>
      </c>
      <c r="CT1837" s="61"/>
      <c r="CU1837" s="111">
        <f t="shared" ref="CU1837:CU1842" si="497">X1837/CI1837</f>
        <v>4724.4094488188975</v>
      </c>
      <c r="CV1837" s="331">
        <f>X1837/BJ1837</f>
        <v>750</v>
      </c>
      <c r="CW1837" s="326">
        <f t="shared" ref="CW1837:CW1851" si="498">IF(CU1837&lt;2,0,1)</f>
        <v>1</v>
      </c>
      <c r="CX1837" s="326"/>
      <c r="CY1837" s="161" t="s">
        <v>5921</v>
      </c>
    </row>
    <row r="1838" spans="1:103" ht="11.25" customHeight="1" x14ac:dyDescent="0.2">
      <c r="A1838" s="72">
        <v>177</v>
      </c>
      <c r="B1838" s="149">
        <v>1944</v>
      </c>
      <c r="C1838" s="54" t="s">
        <v>977</v>
      </c>
      <c r="D1838" s="54" t="s">
        <v>6447</v>
      </c>
      <c r="E1838" s="59"/>
      <c r="F1838" s="167" t="s">
        <v>978</v>
      </c>
      <c r="G1838" s="151">
        <v>80057</v>
      </c>
      <c r="H1838" s="67" t="s">
        <v>979</v>
      </c>
      <c r="I1838" s="67" t="s">
        <v>979</v>
      </c>
      <c r="J1838" s="67" t="s">
        <v>980</v>
      </c>
      <c r="K1838" s="67" t="s">
        <v>376</v>
      </c>
      <c r="L1838" s="67" t="s">
        <v>5492</v>
      </c>
      <c r="M1838" s="67" t="s">
        <v>602</v>
      </c>
      <c r="N1838" s="60" t="s">
        <v>6386</v>
      </c>
      <c r="O1838" s="67" t="s">
        <v>5511</v>
      </c>
      <c r="P1838" s="67"/>
      <c r="Q1838" s="67"/>
      <c r="R1838" s="67"/>
      <c r="S1838" s="67"/>
      <c r="T1838" s="61">
        <v>228.29</v>
      </c>
      <c r="U1838" s="111">
        <v>119.99999999999999</v>
      </c>
      <c r="V1838" s="111">
        <v>172.7</v>
      </c>
      <c r="W1838" s="111">
        <v>88.815116150744203</v>
      </c>
      <c r="X1838" s="111">
        <v>119.99999999999999</v>
      </c>
      <c r="Y1838" s="411">
        <v>6.76</v>
      </c>
      <c r="Z1838" s="61">
        <v>3.64</v>
      </c>
      <c r="AA1838" s="61">
        <v>3.32</v>
      </c>
      <c r="AB1838" s="61">
        <v>3.73</v>
      </c>
      <c r="AC1838" s="61">
        <v>0.77510000000000001</v>
      </c>
      <c r="AD1838" s="61">
        <v>3.63</v>
      </c>
      <c r="AE1838" s="61">
        <v>3.43</v>
      </c>
      <c r="AF1838" s="61">
        <f t="shared" si="491"/>
        <v>3.32</v>
      </c>
      <c r="AG1838" s="62">
        <v>3.7</v>
      </c>
      <c r="AH1838" s="111">
        <v>9.1600000000000006E-12</v>
      </c>
      <c r="AI1838" s="111"/>
      <c r="AJ1838" s="62">
        <f t="shared" si="493"/>
        <v>-9.4266708526448006</v>
      </c>
      <c r="AK1838" s="62"/>
      <c r="AL1838" s="62">
        <f t="shared" si="492"/>
        <v>-9.4266708526448006</v>
      </c>
      <c r="AM1838" s="62">
        <v>-13.641390000000001</v>
      </c>
      <c r="AN1838" s="163">
        <v>-10.218999999999999</v>
      </c>
      <c r="AO1838" s="410">
        <v>10.29</v>
      </c>
      <c r="AP1838" s="410"/>
      <c r="AQ1838" s="163" t="s">
        <v>6311</v>
      </c>
      <c r="AR1838" s="163" t="s">
        <v>6311</v>
      </c>
      <c r="AS1838" s="164" t="s">
        <v>5466</v>
      </c>
      <c r="AT1838" s="63" t="s">
        <v>266</v>
      </c>
      <c r="AU1838" s="61">
        <v>0</v>
      </c>
      <c r="AV1838" s="61">
        <v>96</v>
      </c>
      <c r="AW1838" s="61">
        <v>96</v>
      </c>
      <c r="AX1838" s="61">
        <v>26</v>
      </c>
      <c r="AY1838" s="61" t="s">
        <v>267</v>
      </c>
      <c r="AZ1838" s="61"/>
      <c r="BA1838" s="61">
        <v>10</v>
      </c>
      <c r="BB1838" s="67" t="s">
        <v>5487</v>
      </c>
      <c r="BC1838" s="55" t="s">
        <v>8726</v>
      </c>
      <c r="BD1838" s="67" t="s">
        <v>8374</v>
      </c>
      <c r="BE1838" s="61" t="s">
        <v>2449</v>
      </c>
      <c r="BF1838" s="61"/>
      <c r="BG1838" s="61"/>
      <c r="BH1838" s="61" t="s">
        <v>5512</v>
      </c>
      <c r="BI1838" s="111"/>
      <c r="BJ1838" s="111"/>
      <c r="BK1838" s="61"/>
      <c r="BL1838" s="153">
        <v>6.3125217586499822</v>
      </c>
      <c r="BM1838" s="61"/>
      <c r="BN1838" s="61"/>
      <c r="BO1838" s="61"/>
      <c r="BP1838" s="61"/>
      <c r="BQ1838" s="61">
        <v>8.0409999994699994</v>
      </c>
      <c r="BR1838" s="61"/>
      <c r="BS1838" s="61"/>
      <c r="BT1838" s="61"/>
      <c r="BU1838" s="158"/>
      <c r="BV1838" s="61"/>
      <c r="BW1838" s="61"/>
      <c r="BX1838" s="61"/>
      <c r="BY1838" s="61"/>
      <c r="BZ1838" s="61"/>
      <c r="CA1838" s="61"/>
      <c r="CB1838" s="61"/>
      <c r="CC1838" s="61"/>
      <c r="CD1838" s="61"/>
      <c r="CE1838" s="61"/>
      <c r="CF1838" s="61"/>
      <c r="CG1838" s="61"/>
      <c r="CH1838" s="61"/>
      <c r="CI1838" s="111">
        <v>8.0409999994699994</v>
      </c>
      <c r="CJ1838" s="103">
        <f t="shared" si="494"/>
        <v>0.90531006208746012</v>
      </c>
      <c r="CK1838" s="57"/>
      <c r="CL1838" s="160">
        <f t="shared" si="495"/>
        <v>0.78504188024699106</v>
      </c>
      <c r="CM1838" s="160">
        <v>0.66742784480864559</v>
      </c>
      <c r="CN1838" s="160"/>
      <c r="CO1838" s="67"/>
      <c r="CP1838" s="161" t="s">
        <v>5513</v>
      </c>
      <c r="CQ1838" s="149">
        <v>0.76399462909803484</v>
      </c>
      <c r="CR1838" s="349">
        <f t="shared" si="496"/>
        <v>1.384571643889587</v>
      </c>
      <c r="CS1838" s="61" t="s">
        <v>539</v>
      </c>
      <c r="CT1838" s="61"/>
      <c r="CU1838" s="111">
        <f t="shared" si="497"/>
        <v>14.923516976484201</v>
      </c>
      <c r="CV1838" s="331"/>
      <c r="CW1838" s="326">
        <f t="shared" si="498"/>
        <v>1</v>
      </c>
      <c r="CX1838" s="326"/>
      <c r="CY1838" s="161" t="s">
        <v>6351</v>
      </c>
    </row>
    <row r="1839" spans="1:103" ht="11.25" customHeight="1" x14ac:dyDescent="0.2">
      <c r="A1839" s="72">
        <v>319</v>
      </c>
      <c r="B1839" s="149">
        <v>1948</v>
      </c>
      <c r="C1839" s="54" t="s">
        <v>5515</v>
      </c>
      <c r="D1839" s="54" t="s">
        <v>6446</v>
      </c>
      <c r="E1839" s="59"/>
      <c r="F1839" s="59" t="s">
        <v>2269</v>
      </c>
      <c r="G1839" s="151">
        <v>79947</v>
      </c>
      <c r="H1839" s="67" t="s">
        <v>2270</v>
      </c>
      <c r="I1839" s="67" t="s">
        <v>2270</v>
      </c>
      <c r="J1839" s="67" t="s">
        <v>2271</v>
      </c>
      <c r="K1839" s="67" t="s">
        <v>376</v>
      </c>
      <c r="L1839" s="67" t="s">
        <v>5492</v>
      </c>
      <c r="M1839" s="60" t="s">
        <v>2342</v>
      </c>
      <c r="N1839" s="60" t="s">
        <v>2342</v>
      </c>
      <c r="O1839" s="67"/>
      <c r="P1839" s="67">
        <v>3</v>
      </c>
      <c r="Q1839" s="67" t="s">
        <v>6173</v>
      </c>
      <c r="R1839" s="67">
        <v>1</v>
      </c>
      <c r="S1839" s="67" t="s">
        <v>6173</v>
      </c>
      <c r="T1839" s="61">
        <v>543.88</v>
      </c>
      <c r="U1839" s="111"/>
      <c r="V1839" s="111">
        <v>1.0020000000000001E-3</v>
      </c>
      <c r="W1839" s="111">
        <v>0.29888429047368459</v>
      </c>
      <c r="X1839" s="111">
        <v>0.29888429047368459</v>
      </c>
      <c r="Y1839" s="411">
        <v>6.97</v>
      </c>
      <c r="Z1839" s="62">
        <v>7.2</v>
      </c>
      <c r="AA1839" s="62">
        <v>0</v>
      </c>
      <c r="AB1839" s="62">
        <v>6.4</v>
      </c>
      <c r="AC1839" s="62">
        <v>0.56699999999999995</v>
      </c>
      <c r="AD1839" s="62">
        <v>6.8</v>
      </c>
      <c r="AE1839" s="62">
        <v>7.29</v>
      </c>
      <c r="AF1839" s="62">
        <f t="shared" si="491"/>
        <v>6.8</v>
      </c>
      <c r="AG1839" s="62">
        <v>6.88</v>
      </c>
      <c r="AH1839" s="111">
        <v>2.3099999999999997E-13</v>
      </c>
      <c r="AI1839" s="111"/>
      <c r="AJ1839" s="62">
        <f t="shared" si="493"/>
        <v>-11.024954346420508</v>
      </c>
      <c r="AK1839" s="62"/>
      <c r="AL1839" s="62">
        <f t="shared" si="492"/>
        <v>-11.024954346420508</v>
      </c>
      <c r="AM1839" s="62">
        <v>-12.1549</v>
      </c>
      <c r="AN1839" s="163"/>
      <c r="AO1839" s="410">
        <v>8.5</v>
      </c>
      <c r="AP1839" s="410"/>
      <c r="AQ1839" s="163" t="s">
        <v>6311</v>
      </c>
      <c r="AR1839" s="163" t="s">
        <v>6311</v>
      </c>
      <c r="AS1839" s="164" t="s">
        <v>5466</v>
      </c>
      <c r="AT1839" s="63" t="s">
        <v>266</v>
      </c>
      <c r="AU1839" s="61">
        <v>0</v>
      </c>
      <c r="AV1839" s="61">
        <v>96</v>
      </c>
      <c r="AW1839" s="61">
        <v>96</v>
      </c>
      <c r="AX1839" s="61">
        <v>26</v>
      </c>
      <c r="AY1839" s="61" t="s">
        <v>267</v>
      </c>
      <c r="AZ1839" s="61"/>
      <c r="BA1839" s="61">
        <v>10</v>
      </c>
      <c r="BB1839" s="67" t="s">
        <v>5487</v>
      </c>
      <c r="BC1839" s="55" t="s">
        <v>8726</v>
      </c>
      <c r="BD1839" s="67" t="s">
        <v>8374</v>
      </c>
      <c r="BE1839" s="61" t="s">
        <v>2449</v>
      </c>
      <c r="BF1839" s="61"/>
      <c r="BG1839" s="61"/>
      <c r="BH1839" s="61" t="s">
        <v>5512</v>
      </c>
      <c r="BI1839" s="111"/>
      <c r="BJ1839" s="111"/>
      <c r="BK1839" s="165"/>
      <c r="BL1839" s="153">
        <v>9.5495540000302657E-3</v>
      </c>
      <c r="BM1839" s="61"/>
      <c r="BN1839" s="61"/>
      <c r="BO1839" s="61"/>
      <c r="BP1839" s="61"/>
      <c r="BQ1839" s="61">
        <v>5.2699997715599993</v>
      </c>
      <c r="BR1839" s="61"/>
      <c r="BS1839" s="61"/>
      <c r="BT1839" s="61"/>
      <c r="BU1839" s="158"/>
      <c r="BV1839" s="61"/>
      <c r="BW1839" s="61"/>
      <c r="BX1839" s="61"/>
      <c r="BY1839" s="61"/>
      <c r="BZ1839" s="61"/>
      <c r="CA1839" s="61"/>
      <c r="CB1839" s="61"/>
      <c r="CC1839" s="61"/>
      <c r="CD1839" s="61"/>
      <c r="CE1839" s="61"/>
      <c r="CF1839" s="61"/>
      <c r="CG1839" s="61"/>
      <c r="CH1839" s="61"/>
      <c r="CI1839" s="111">
        <v>5.2699997715599993</v>
      </c>
      <c r="CJ1839" s="103">
        <f t="shared" si="494"/>
        <v>0.72181059638707523</v>
      </c>
      <c r="CK1839" s="57"/>
      <c r="CL1839" s="160">
        <f t="shared" si="495"/>
        <v>1.8120596610962383E-3</v>
      </c>
      <c r="CM1839" s="160">
        <v>-0.39793202348275891</v>
      </c>
      <c r="CN1839" s="160">
        <f>BJ1839/(10^CM1839)</f>
        <v>0</v>
      </c>
      <c r="CO1839" s="67"/>
      <c r="CP1839" s="161" t="s">
        <v>5513</v>
      </c>
      <c r="CQ1839" s="149">
        <v>-0.14907664058159587</v>
      </c>
      <c r="CR1839" s="349">
        <f t="shared" si="496"/>
        <v>7.4282624064033476</v>
      </c>
      <c r="CS1839" s="61" t="s">
        <v>539</v>
      </c>
      <c r="CT1839" s="61"/>
      <c r="CU1839" s="111">
        <f t="shared" si="497"/>
        <v>5.6714289075805849E-2</v>
      </c>
      <c r="CV1839" s="331"/>
      <c r="CW1839" s="326">
        <f t="shared" si="498"/>
        <v>0</v>
      </c>
      <c r="CX1839" s="326"/>
      <c r="CY1839" s="161" t="s">
        <v>6351</v>
      </c>
    </row>
    <row r="1840" spans="1:103" ht="11.25" customHeight="1" x14ac:dyDescent="0.2">
      <c r="A1840" s="72">
        <v>368</v>
      </c>
      <c r="B1840" s="149">
        <v>1946</v>
      </c>
      <c r="C1840" s="54" t="s">
        <v>4919</v>
      </c>
      <c r="D1840" s="54" t="s">
        <v>6680</v>
      </c>
      <c r="E1840" s="59"/>
      <c r="F1840" s="167" t="s">
        <v>4920</v>
      </c>
      <c r="G1840" s="151">
        <v>76448</v>
      </c>
      <c r="H1840" s="67" t="s">
        <v>5514</v>
      </c>
      <c r="I1840" s="67" t="s">
        <v>5514</v>
      </c>
      <c r="J1840" s="67" t="s">
        <v>4922</v>
      </c>
      <c r="K1840" s="67" t="s">
        <v>1139</v>
      </c>
      <c r="L1840" s="55" t="s">
        <v>617</v>
      </c>
      <c r="M1840" s="168" t="s">
        <v>6080</v>
      </c>
      <c r="N1840" s="60" t="s">
        <v>6376</v>
      </c>
      <c r="O1840" s="55" t="s">
        <v>6083</v>
      </c>
      <c r="P1840" s="67"/>
      <c r="Q1840" s="67"/>
      <c r="R1840" s="67"/>
      <c r="S1840" s="67"/>
      <c r="T1840" s="61">
        <v>373.32</v>
      </c>
      <c r="U1840" s="111">
        <v>0.18</v>
      </c>
      <c r="V1840" s="111">
        <v>9.5259999999999984E-2</v>
      </c>
      <c r="W1840" s="111">
        <v>0.14193230543439181</v>
      </c>
      <c r="X1840" s="111">
        <v>0.18</v>
      </c>
      <c r="Y1840" s="411">
        <v>7</v>
      </c>
      <c r="Z1840" s="62">
        <v>5.86</v>
      </c>
      <c r="AA1840" s="62">
        <v>5.47</v>
      </c>
      <c r="AB1840" s="62"/>
      <c r="AC1840" s="62"/>
      <c r="AD1840" s="62"/>
      <c r="AE1840" s="62"/>
      <c r="AF1840" s="62">
        <f t="shared" si="491"/>
        <v>5.47</v>
      </c>
      <c r="AG1840" s="62">
        <v>4.68</v>
      </c>
      <c r="AH1840" s="111">
        <v>1.76E-4</v>
      </c>
      <c r="AI1840" s="111">
        <v>2.9399999999999999E-4</v>
      </c>
      <c r="AJ1840" s="62">
        <f t="shared" si="493"/>
        <v>-2.143053658498502</v>
      </c>
      <c r="AK1840" s="62">
        <f>LOG10(AI1840*1000/(0.08206*298.15))</f>
        <v>-1.9202189959004945</v>
      </c>
      <c r="AL1840" s="62">
        <f t="shared" si="492"/>
        <v>-1.9202189959004945</v>
      </c>
      <c r="AM1840" s="62"/>
      <c r="AN1840" s="163"/>
      <c r="AO1840" s="410"/>
      <c r="AP1840" s="410"/>
      <c r="AQ1840" s="163" t="s">
        <v>6311</v>
      </c>
      <c r="AR1840" s="163" t="s">
        <v>6311</v>
      </c>
      <c r="AS1840" s="164" t="s">
        <v>5466</v>
      </c>
      <c r="AT1840" s="63" t="s">
        <v>266</v>
      </c>
      <c r="AU1840" s="61">
        <v>0</v>
      </c>
      <c r="AV1840" s="61">
        <v>96</v>
      </c>
      <c r="AW1840" s="61">
        <v>96</v>
      </c>
      <c r="AX1840" s="61">
        <v>26</v>
      </c>
      <c r="AY1840" s="61" t="s">
        <v>267</v>
      </c>
      <c r="AZ1840" s="61"/>
      <c r="BA1840" s="61">
        <v>10</v>
      </c>
      <c r="BB1840" s="67" t="s">
        <v>5487</v>
      </c>
      <c r="BC1840" s="55" t="s">
        <v>8726</v>
      </c>
      <c r="BD1840" s="67" t="s">
        <v>8374</v>
      </c>
      <c r="BE1840" s="61" t="s">
        <v>2449</v>
      </c>
      <c r="BF1840" s="61"/>
      <c r="BG1840" s="61"/>
      <c r="BH1840" s="61" t="s">
        <v>5512</v>
      </c>
      <c r="BI1840" s="153"/>
      <c r="BJ1840" s="153"/>
      <c r="BK1840" s="61"/>
      <c r="BL1840" s="153">
        <v>0.10471653352661424</v>
      </c>
      <c r="BM1840" s="61"/>
      <c r="BN1840" s="61"/>
      <c r="BO1840" s="61"/>
      <c r="BP1840" s="61"/>
      <c r="BQ1840" s="61">
        <v>1.7379998463599999</v>
      </c>
      <c r="BR1840" s="61"/>
      <c r="BS1840" s="61"/>
      <c r="BT1840" s="61"/>
      <c r="BU1840" s="158"/>
      <c r="BV1840" s="61"/>
      <c r="BW1840" s="61"/>
      <c r="BX1840" s="61"/>
      <c r="BY1840" s="61"/>
      <c r="BZ1840" s="61"/>
      <c r="CA1840" s="61"/>
      <c r="CB1840" s="61"/>
      <c r="CC1840" s="61"/>
      <c r="CD1840" s="61"/>
      <c r="CE1840" s="61"/>
      <c r="CF1840" s="61"/>
      <c r="CG1840" s="61"/>
      <c r="CH1840" s="61"/>
      <c r="CI1840" s="111">
        <v>1.7379998463599999</v>
      </c>
      <c r="CJ1840" s="103">
        <f t="shared" si="494"/>
        <v>0.24004973372081384</v>
      </c>
      <c r="CK1840" s="57"/>
      <c r="CL1840" s="160">
        <f t="shared" si="495"/>
        <v>6.0251175364559741E-2</v>
      </c>
      <c r="CM1840" s="160">
        <v>-1.8532685174701502</v>
      </c>
      <c r="CN1840" s="160"/>
      <c r="CO1840" s="67"/>
      <c r="CP1840" s="161" t="s">
        <v>5513</v>
      </c>
      <c r="CQ1840" s="149">
        <v>-1.7201414601608911</v>
      </c>
      <c r="CR1840" s="349">
        <f t="shared" si="496"/>
        <v>91.241243156573745</v>
      </c>
      <c r="CS1840" s="61" t="s">
        <v>539</v>
      </c>
      <c r="CT1840" s="61"/>
      <c r="CU1840" s="111">
        <f t="shared" si="497"/>
        <v>0.10356732791259163</v>
      </c>
      <c r="CV1840" s="331"/>
      <c r="CW1840" s="326">
        <f t="shared" si="498"/>
        <v>0</v>
      </c>
      <c r="CX1840" s="326"/>
      <c r="CY1840" s="161" t="s">
        <v>5921</v>
      </c>
    </row>
    <row r="1841" spans="1:103" ht="11.25" customHeight="1" x14ac:dyDescent="0.2">
      <c r="A1841" s="72">
        <v>369</v>
      </c>
      <c r="B1841" s="149">
        <v>1947</v>
      </c>
      <c r="C1841" s="54" t="s">
        <v>1298</v>
      </c>
      <c r="D1841" s="54" t="s">
        <v>6649</v>
      </c>
      <c r="E1841" s="59"/>
      <c r="F1841" s="59" t="s">
        <v>1299</v>
      </c>
      <c r="G1841" s="151">
        <v>72435</v>
      </c>
      <c r="H1841" s="67" t="s">
        <v>1300</v>
      </c>
      <c r="I1841" s="67" t="s">
        <v>7923</v>
      </c>
      <c r="J1841" s="67" t="s">
        <v>1301</v>
      </c>
      <c r="K1841" s="67" t="s">
        <v>426</v>
      </c>
      <c r="L1841" s="67" t="s">
        <v>617</v>
      </c>
      <c r="M1841" s="67" t="s">
        <v>1086</v>
      </c>
      <c r="N1841" s="60" t="s">
        <v>6376</v>
      </c>
      <c r="O1841" s="67" t="s">
        <v>918</v>
      </c>
      <c r="P1841" s="67" t="s">
        <v>6631</v>
      </c>
      <c r="Q1841" s="67" t="s">
        <v>6173</v>
      </c>
      <c r="R1841" s="67" t="s">
        <v>6082</v>
      </c>
      <c r="S1841" s="67" t="s">
        <v>6173</v>
      </c>
      <c r="T1841" s="61">
        <v>345.66</v>
      </c>
      <c r="U1841" s="111">
        <v>0.10000289309995662</v>
      </c>
      <c r="V1841" s="111">
        <v>0.30200873716186899</v>
      </c>
      <c r="W1841" s="111">
        <v>6.1468006087405369</v>
      </c>
      <c r="X1841" s="111">
        <v>0.10000289309995662</v>
      </c>
      <c r="Y1841" s="411">
        <v>7</v>
      </c>
      <c r="Z1841" s="62">
        <v>5.67</v>
      </c>
      <c r="AA1841" s="62">
        <v>5.08</v>
      </c>
      <c r="AB1841" s="62">
        <v>5.83</v>
      </c>
      <c r="AC1841" s="62">
        <v>0.84089999999999998</v>
      </c>
      <c r="AD1841" s="62">
        <v>5.51</v>
      </c>
      <c r="AE1841" s="62">
        <v>4.5599999999999996</v>
      </c>
      <c r="AF1841" s="62">
        <f t="shared" si="491"/>
        <v>5.08</v>
      </c>
      <c r="AG1841" s="62">
        <v>5.14</v>
      </c>
      <c r="AH1841" s="111">
        <v>9.7500000000000006E-8</v>
      </c>
      <c r="AI1841" s="111">
        <v>2.03E-7</v>
      </c>
      <c r="AJ1841" s="62">
        <f t="shared" si="493"/>
        <v>-5.3995617106141154</v>
      </c>
      <c r="AK1841" s="62">
        <f>LOG10(AI1841*1000/(0.08206*298.15))</f>
        <v>-5.081070288399439</v>
      </c>
      <c r="AL1841" s="62">
        <f t="shared" si="492"/>
        <v>-5.081070288399439</v>
      </c>
      <c r="AM1841" s="62">
        <v>-9.6148900000000008</v>
      </c>
      <c r="AN1841" s="163"/>
      <c r="AO1841" s="410"/>
      <c r="AP1841" s="410"/>
      <c r="AQ1841" s="163" t="s">
        <v>6311</v>
      </c>
      <c r="AR1841" s="163" t="s">
        <v>6311</v>
      </c>
      <c r="AS1841" s="164" t="s">
        <v>5466</v>
      </c>
      <c r="AT1841" s="63" t="s">
        <v>266</v>
      </c>
      <c r="AU1841" s="61">
        <v>0</v>
      </c>
      <c r="AV1841" s="61">
        <v>96</v>
      </c>
      <c r="AW1841" s="61">
        <v>96</v>
      </c>
      <c r="AX1841" s="61">
        <v>26</v>
      </c>
      <c r="AY1841" s="61" t="s">
        <v>267</v>
      </c>
      <c r="AZ1841" s="61"/>
      <c r="BA1841" s="61">
        <v>10</v>
      </c>
      <c r="BB1841" s="67" t="s">
        <v>5487</v>
      </c>
      <c r="BC1841" s="55" t="s">
        <v>8726</v>
      </c>
      <c r="BD1841" s="67" t="s">
        <v>8374</v>
      </c>
      <c r="BE1841" s="61" t="s">
        <v>2449</v>
      </c>
      <c r="BF1841" s="61"/>
      <c r="BG1841" s="61"/>
      <c r="BH1841" s="61" t="s">
        <v>5512</v>
      </c>
      <c r="BI1841" s="153"/>
      <c r="BJ1841" s="153"/>
      <c r="BK1841" s="165"/>
      <c r="BL1841" s="153">
        <v>0.14362238210462702</v>
      </c>
      <c r="BM1841" s="61"/>
      <c r="BN1841" s="61"/>
      <c r="BO1841" s="61"/>
      <c r="BP1841" s="61"/>
      <c r="BQ1841" s="61">
        <v>1.5860000738400002</v>
      </c>
      <c r="BR1841" s="61"/>
      <c r="BS1841" s="61"/>
      <c r="BT1841" s="61"/>
      <c r="BU1841" s="158"/>
      <c r="BV1841" s="61"/>
      <c r="BW1841" s="61"/>
      <c r="BX1841" s="61"/>
      <c r="BY1841" s="61"/>
      <c r="BZ1841" s="61"/>
      <c r="CA1841" s="61"/>
      <c r="CB1841" s="61"/>
      <c r="CC1841" s="61"/>
      <c r="CD1841" s="61"/>
      <c r="CE1841" s="61"/>
      <c r="CF1841" s="61"/>
      <c r="CG1841" s="61"/>
      <c r="CH1841" s="61"/>
      <c r="CI1841" s="111">
        <v>1.5860000738400002</v>
      </c>
      <c r="CJ1841" s="103">
        <f t="shared" si="494"/>
        <v>0.20030320320119652</v>
      </c>
      <c r="CK1841" s="57"/>
      <c r="CL1841" s="160">
        <f t="shared" si="495"/>
        <v>9.0556352722538411E-2</v>
      </c>
      <c r="CM1841" s="160"/>
      <c r="CN1841" s="160"/>
      <c r="CO1841" s="67"/>
      <c r="CP1841" s="161" t="s">
        <v>5513</v>
      </c>
      <c r="CQ1841" s="149">
        <v>-1.5198053616643368</v>
      </c>
      <c r="CR1841" s="349">
        <f t="shared" si="496"/>
        <v>52.493866793419627</v>
      </c>
      <c r="CS1841" s="61" t="s">
        <v>539</v>
      </c>
      <c r="CT1841" s="61"/>
      <c r="CU1841" s="111">
        <f t="shared" si="497"/>
        <v>6.3053523609132675E-2</v>
      </c>
      <c r="CV1841" s="331"/>
      <c r="CW1841" s="326">
        <f t="shared" si="498"/>
        <v>0</v>
      </c>
      <c r="CX1841" s="326"/>
      <c r="CY1841" s="161" t="s">
        <v>5921</v>
      </c>
    </row>
    <row r="1842" spans="1:103" ht="11.25" customHeight="1" x14ac:dyDescent="0.2">
      <c r="A1842" s="72">
        <v>458</v>
      </c>
      <c r="B1842" s="149">
        <v>1945</v>
      </c>
      <c r="C1842" s="54" t="s">
        <v>1135</v>
      </c>
      <c r="D1842" s="54" t="s">
        <v>6654</v>
      </c>
      <c r="E1842" s="59"/>
      <c r="F1842" s="167" t="s">
        <v>1136</v>
      </c>
      <c r="G1842" s="151">
        <v>115297</v>
      </c>
      <c r="H1842" s="67" t="s">
        <v>1137</v>
      </c>
      <c r="I1842" s="67" t="s">
        <v>7890</v>
      </c>
      <c r="J1842" s="67" t="s">
        <v>1138</v>
      </c>
      <c r="K1842" s="67" t="s">
        <v>1139</v>
      </c>
      <c r="L1842" s="67" t="s">
        <v>617</v>
      </c>
      <c r="M1842" s="67" t="s">
        <v>1140</v>
      </c>
      <c r="N1842" s="60" t="s">
        <v>6376</v>
      </c>
      <c r="O1842" s="67" t="s">
        <v>918</v>
      </c>
      <c r="P1842" s="67" t="s">
        <v>6172</v>
      </c>
      <c r="Q1842" s="67" t="s">
        <v>6176</v>
      </c>
      <c r="R1842" s="67" t="s">
        <v>6181</v>
      </c>
      <c r="S1842" s="67" t="s">
        <v>6173</v>
      </c>
      <c r="T1842" s="61">
        <v>406.93</v>
      </c>
      <c r="U1842" s="111">
        <v>0.45001105868475372</v>
      </c>
      <c r="V1842" s="111">
        <v>1.4870365428093975</v>
      </c>
      <c r="W1842" s="111">
        <v>1.1735989395673072</v>
      </c>
      <c r="X1842" s="111">
        <v>0.45001105868475372</v>
      </c>
      <c r="Y1842" s="411">
        <v>7</v>
      </c>
      <c r="Z1842" s="61">
        <v>3.5</v>
      </c>
      <c r="AA1842" s="61">
        <v>3.83</v>
      </c>
      <c r="AB1842" s="61">
        <v>4.1900000000000004</v>
      </c>
      <c r="AC1842" s="61">
        <v>0.72519999999999996</v>
      </c>
      <c r="AD1842" s="61">
        <v>3.87</v>
      </c>
      <c r="AE1842" s="61">
        <v>3.12</v>
      </c>
      <c r="AF1842" s="61">
        <f t="shared" si="491"/>
        <v>3.83</v>
      </c>
      <c r="AG1842" s="62">
        <v>3.04</v>
      </c>
      <c r="AH1842" s="111">
        <v>9.0299999999999995E-8</v>
      </c>
      <c r="AI1842" s="111">
        <v>6.4999999999999994E-5</v>
      </c>
      <c r="AJ1842" s="62">
        <f t="shared" si="493"/>
        <v>-5.4328785759991458</v>
      </c>
      <c r="AK1842" s="62">
        <f>LOG10(AI1842*1000/(0.08206*298.15))</f>
        <v>-2.5756529696697963</v>
      </c>
      <c r="AL1842" s="62">
        <f t="shared" si="492"/>
        <v>-2.5756529696697963</v>
      </c>
      <c r="AM1842" s="62">
        <v>-16.826589999999999</v>
      </c>
      <c r="AN1842" s="163">
        <v>0.3</v>
      </c>
      <c r="AO1842" s="410"/>
      <c r="AP1842" s="410"/>
      <c r="AQ1842" s="163" t="s">
        <v>6311</v>
      </c>
      <c r="AR1842" s="163" t="s">
        <v>6311</v>
      </c>
      <c r="AS1842" s="164" t="s">
        <v>5466</v>
      </c>
      <c r="AT1842" s="63" t="s">
        <v>266</v>
      </c>
      <c r="AU1842" s="61">
        <v>0</v>
      </c>
      <c r="AV1842" s="61">
        <v>96</v>
      </c>
      <c r="AW1842" s="61">
        <v>96</v>
      </c>
      <c r="AX1842" s="61">
        <v>26</v>
      </c>
      <c r="AY1842" s="61" t="s">
        <v>267</v>
      </c>
      <c r="AZ1842" s="61"/>
      <c r="BA1842" s="61">
        <v>10</v>
      </c>
      <c r="BB1842" s="67" t="s">
        <v>5487</v>
      </c>
      <c r="BC1842" s="55" t="s">
        <v>8726</v>
      </c>
      <c r="BD1842" s="67" t="s">
        <v>8374</v>
      </c>
      <c r="BE1842" s="61" t="s">
        <v>2449</v>
      </c>
      <c r="BF1842" s="61"/>
      <c r="BG1842" s="61"/>
      <c r="BH1842" s="61" t="s">
        <v>5512</v>
      </c>
      <c r="BI1842" s="153"/>
      <c r="BJ1842" s="153"/>
      <c r="BK1842" s="61"/>
      <c r="BL1842" s="153">
        <v>15.030371271814309</v>
      </c>
      <c r="BM1842" s="61"/>
      <c r="BN1842" s="61"/>
      <c r="BO1842" s="61"/>
      <c r="BP1842" s="61"/>
      <c r="BQ1842" s="61">
        <v>0.23799992831</v>
      </c>
      <c r="BR1842" s="61"/>
      <c r="BS1842" s="61"/>
      <c r="BT1842" s="61"/>
      <c r="BU1842" s="158"/>
      <c r="BV1842" s="61"/>
      <c r="BW1842" s="61"/>
      <c r="BX1842" s="61"/>
      <c r="BY1842" s="61"/>
      <c r="BZ1842" s="61"/>
      <c r="CA1842" s="61"/>
      <c r="CB1842" s="61"/>
      <c r="CC1842" s="61"/>
      <c r="CD1842" s="61"/>
      <c r="CE1842" s="61"/>
      <c r="CF1842" s="61"/>
      <c r="CG1842" s="61"/>
      <c r="CH1842" s="61"/>
      <c r="CI1842" s="111">
        <v>0.23799992831</v>
      </c>
      <c r="CJ1842" s="103">
        <f t="shared" si="494"/>
        <v>-0.62342317376103462</v>
      </c>
      <c r="CK1842" s="57"/>
      <c r="CL1842" s="160">
        <f t="shared" si="495"/>
        <v>63.152839492610809</v>
      </c>
      <c r="CM1842" s="160">
        <v>-3.0487322513850232</v>
      </c>
      <c r="CN1842" s="160"/>
      <c r="CO1842" s="67"/>
      <c r="CP1842" s="161" t="s">
        <v>5513</v>
      </c>
      <c r="CQ1842" s="149">
        <v>-2.9310762821809169</v>
      </c>
      <c r="CR1842" s="349">
        <f t="shared" si="496"/>
        <v>203.07343192425853</v>
      </c>
      <c r="CS1842" s="61" t="s">
        <v>539</v>
      </c>
      <c r="CT1842" s="61"/>
      <c r="CU1842" s="111">
        <f t="shared" si="497"/>
        <v>1.89080333712792</v>
      </c>
      <c r="CV1842" s="331"/>
      <c r="CW1842" s="326">
        <f t="shared" si="498"/>
        <v>0</v>
      </c>
      <c r="CX1842" s="326"/>
      <c r="CY1842" s="161" t="s">
        <v>5921</v>
      </c>
    </row>
    <row r="1843" spans="1:103" ht="11.25" customHeight="1" x14ac:dyDescent="0.2">
      <c r="A1843" s="72">
        <v>2025</v>
      </c>
      <c r="B1843" s="282">
        <v>501</v>
      </c>
      <c r="C1843" s="115" t="s">
        <v>1611</v>
      </c>
      <c r="D1843" s="115"/>
      <c r="E1843" s="116">
        <v>1</v>
      </c>
      <c r="F1843" s="116" t="s">
        <v>401</v>
      </c>
      <c r="G1843" s="283">
        <v>10108642</v>
      </c>
      <c r="H1843" s="284" t="s">
        <v>402</v>
      </c>
      <c r="I1843" s="284"/>
      <c r="J1843" s="284"/>
      <c r="K1843" s="284" t="s">
        <v>416</v>
      </c>
      <c r="L1843" s="284"/>
      <c r="M1843" s="284"/>
      <c r="N1843" s="284"/>
      <c r="O1843" s="284"/>
      <c r="P1843" s="286"/>
      <c r="Q1843" s="286"/>
      <c r="R1843" s="286"/>
      <c r="S1843" s="286"/>
      <c r="T1843" s="119">
        <v>112.411</v>
      </c>
      <c r="U1843" s="292"/>
      <c r="V1843" s="287"/>
      <c r="W1843" s="287"/>
      <c r="X1843" s="287"/>
      <c r="Y1843" s="370"/>
      <c r="Z1843" s="116"/>
      <c r="AA1843" s="116"/>
      <c r="AB1843" s="116"/>
      <c r="AC1843" s="116"/>
      <c r="AD1843" s="116"/>
      <c r="AE1843" s="116"/>
      <c r="AF1843" s="116"/>
      <c r="AG1843" s="117" t="s">
        <v>404</v>
      </c>
      <c r="AH1843" s="292"/>
      <c r="AI1843" s="292"/>
      <c r="AJ1843" s="125"/>
      <c r="AK1843" s="125"/>
      <c r="AL1843" s="125"/>
      <c r="AM1843" s="125"/>
      <c r="AN1843" s="297"/>
      <c r="AO1843" s="420"/>
      <c r="AP1843" s="420"/>
      <c r="AQ1843" s="297" t="s">
        <v>6311</v>
      </c>
      <c r="AR1843" s="297" t="s">
        <v>6311</v>
      </c>
      <c r="AS1843" s="282" t="s">
        <v>6</v>
      </c>
      <c r="AT1843" s="118" t="s">
        <v>266</v>
      </c>
      <c r="AU1843" s="119">
        <v>2</v>
      </c>
      <c r="AV1843" s="119">
        <v>28</v>
      </c>
      <c r="AW1843" s="119">
        <v>28</v>
      </c>
      <c r="AX1843" s="119">
        <v>28.5</v>
      </c>
      <c r="AY1843" s="119" t="s">
        <v>8722</v>
      </c>
      <c r="AZ1843" s="119" t="s">
        <v>1612</v>
      </c>
      <c r="BA1843" s="119">
        <v>20</v>
      </c>
      <c r="BB1843" s="284" t="s">
        <v>1613</v>
      </c>
      <c r="BC1843" s="284" t="s">
        <v>1614</v>
      </c>
      <c r="BD1843" s="284" t="s">
        <v>8374</v>
      </c>
      <c r="BE1843" s="119" t="s">
        <v>271</v>
      </c>
      <c r="BF1843" s="119" t="s">
        <v>272</v>
      </c>
      <c r="BG1843" s="119" t="s">
        <v>1615</v>
      </c>
      <c r="BH1843" s="119" t="s">
        <v>272</v>
      </c>
      <c r="BI1843" s="291">
        <v>1E-3</v>
      </c>
      <c r="BJ1843" s="291">
        <v>1</v>
      </c>
      <c r="BK1843" s="119"/>
      <c r="BL1843" s="287"/>
      <c r="BM1843" s="119" t="s">
        <v>1616</v>
      </c>
      <c r="BN1843" s="119">
        <v>18.885000000000002</v>
      </c>
      <c r="BO1843" s="119"/>
      <c r="BP1843" s="119"/>
      <c r="BQ1843" s="119"/>
      <c r="BR1843" s="119"/>
      <c r="BS1843" s="119"/>
      <c r="BT1843" s="119"/>
      <c r="BU1843" s="293"/>
      <c r="BV1843" s="119"/>
      <c r="BW1843" s="119"/>
      <c r="BX1843" s="119"/>
      <c r="BY1843" s="119"/>
      <c r="BZ1843" s="119"/>
      <c r="CA1843" s="119"/>
      <c r="CB1843" s="119"/>
      <c r="CC1843" s="119"/>
      <c r="CD1843" s="119"/>
      <c r="CE1843" s="119"/>
      <c r="CF1843" s="119"/>
      <c r="CG1843" s="119"/>
      <c r="CH1843" s="119"/>
      <c r="CI1843" s="292">
        <v>18.885000000000002</v>
      </c>
      <c r="CJ1843" s="292">
        <f t="shared" si="494"/>
        <v>1.2761169891635438</v>
      </c>
      <c r="CK1843" s="120" t="s">
        <v>404</v>
      </c>
      <c r="CL1843" s="120"/>
      <c r="CM1843" s="294"/>
      <c r="CN1843" s="294">
        <f>BJ1843/(10^CM1843)</f>
        <v>1</v>
      </c>
      <c r="CO1843" s="284"/>
      <c r="CP1843" s="498" t="s">
        <v>1617</v>
      </c>
      <c r="CQ1843" s="282">
        <v>-1.2180114951458934</v>
      </c>
      <c r="CR1843" s="282">
        <f t="shared" si="496"/>
        <v>311.98124317789154</v>
      </c>
      <c r="CS1843" s="123"/>
      <c r="CT1843" s="123"/>
      <c r="CU1843" s="300" t="s">
        <v>6310</v>
      </c>
      <c r="CV1843" s="338" t="s">
        <v>6310</v>
      </c>
      <c r="CW1843" s="339">
        <f t="shared" si="498"/>
        <v>1</v>
      </c>
      <c r="CX1843" s="339"/>
      <c r="CY1843" s="295" t="s">
        <v>6351</v>
      </c>
    </row>
    <row r="1844" spans="1:103" ht="11.25" customHeight="1" x14ac:dyDescent="0.2">
      <c r="A1844" s="72">
        <v>267</v>
      </c>
      <c r="B1844" s="149">
        <v>779</v>
      </c>
      <c r="C1844" s="54" t="s">
        <v>2186</v>
      </c>
      <c r="D1844" s="54"/>
      <c r="E1844" s="59"/>
      <c r="F1844" s="59" t="s">
        <v>2187</v>
      </c>
      <c r="G1844" s="151">
        <v>43210679</v>
      </c>
      <c r="H1844" s="55" t="s">
        <v>2188</v>
      </c>
      <c r="I1844" s="55" t="s">
        <v>2188</v>
      </c>
      <c r="J1844" s="55" t="s">
        <v>2189</v>
      </c>
      <c r="K1844" s="55" t="s">
        <v>967</v>
      </c>
      <c r="L1844" s="55"/>
      <c r="M1844" s="55"/>
      <c r="N1844" s="60"/>
      <c r="O1844" s="55"/>
      <c r="P1844" s="67">
        <v>3</v>
      </c>
      <c r="Q1844" s="67" t="s">
        <v>6173</v>
      </c>
      <c r="R1844" s="67">
        <v>1</v>
      </c>
      <c r="S1844" s="67" t="s">
        <v>6173</v>
      </c>
      <c r="T1844" s="56">
        <v>299.35000000000002</v>
      </c>
      <c r="U1844" s="103"/>
      <c r="V1844" s="103">
        <v>6.3789999999999996</v>
      </c>
      <c r="W1844" s="103">
        <v>5.574157843600279</v>
      </c>
      <c r="X1844" s="103">
        <v>5.574157843600279</v>
      </c>
      <c r="Y1844" s="162">
        <v>7.34</v>
      </c>
      <c r="Z1844" s="56">
        <v>3.85</v>
      </c>
      <c r="AA1844" s="56"/>
      <c r="AB1844" s="56">
        <v>3.5</v>
      </c>
      <c r="AC1844" s="56">
        <v>0.83860000000000001</v>
      </c>
      <c r="AD1844" s="56">
        <v>3.55</v>
      </c>
      <c r="AE1844" s="56">
        <v>3.75</v>
      </c>
      <c r="AF1844" s="56">
        <f t="shared" ref="AF1844:AF1857" si="499">IF(AA1844=0,AD1844,AA1844)</f>
        <v>3.55</v>
      </c>
      <c r="AG1844" s="57">
        <v>3.07</v>
      </c>
      <c r="AH1844" s="103">
        <v>8.6599999999999995E-15</v>
      </c>
      <c r="AI1844" s="103"/>
      <c r="AJ1844" s="62">
        <f t="shared" ref="AJ1844:AJ1857" si="500">LOG10(AH1844*1000/(0.08206*298.15))</f>
        <v>-12.451048434295306</v>
      </c>
      <c r="AK1844" s="62"/>
      <c r="AL1844" s="62">
        <f t="shared" ref="AL1844:AL1857" si="501">IF(AK1844=0,AJ1844,AK1844)</f>
        <v>-12.451048434295306</v>
      </c>
      <c r="AM1844" s="62">
        <v>-18.746079999999999</v>
      </c>
      <c r="AN1844" s="154">
        <v>-11.9</v>
      </c>
      <c r="AO1844" s="410">
        <v>10.51</v>
      </c>
      <c r="AP1844" s="410">
        <v>5.25</v>
      </c>
      <c r="AQ1844" s="56" t="s">
        <v>6311</v>
      </c>
      <c r="AR1844" s="56" t="s">
        <v>6312</v>
      </c>
      <c r="AS1844" s="149" t="s">
        <v>6</v>
      </c>
      <c r="AT1844" s="58" t="s">
        <v>266</v>
      </c>
      <c r="AU1844" s="56">
        <v>0</v>
      </c>
      <c r="AV1844" s="56">
        <v>144</v>
      </c>
      <c r="AW1844" s="56">
        <v>144</v>
      </c>
      <c r="AX1844" s="56">
        <v>25</v>
      </c>
      <c r="AY1844" s="56" t="s">
        <v>8722</v>
      </c>
      <c r="AZ1844" s="56" t="s">
        <v>2175</v>
      </c>
      <c r="BA1844" s="56" t="s">
        <v>8722</v>
      </c>
      <c r="BB1844" s="55" t="s">
        <v>2176</v>
      </c>
      <c r="BC1844" s="55" t="s">
        <v>538</v>
      </c>
      <c r="BD1844" s="55"/>
      <c r="BE1844" s="56" t="s">
        <v>271</v>
      </c>
      <c r="BF1844" s="56" t="s">
        <v>1974</v>
      </c>
      <c r="BG1844" s="56" t="s">
        <v>1974</v>
      </c>
      <c r="BH1844" s="56" t="s">
        <v>2177</v>
      </c>
      <c r="BI1844" s="153">
        <v>0.59870000000000001</v>
      </c>
      <c r="BJ1844" s="153">
        <v>59.870000000000005</v>
      </c>
      <c r="BK1844" s="56" t="s">
        <v>2178</v>
      </c>
      <c r="BL1844" s="153">
        <v>5.3615981727431645</v>
      </c>
      <c r="BM1844" s="56" t="s">
        <v>541</v>
      </c>
      <c r="BN1844" s="56"/>
      <c r="BO1844" s="56"/>
      <c r="BP1844" s="56"/>
      <c r="BQ1844" s="56"/>
      <c r="BR1844" s="56">
        <v>2.4E-2</v>
      </c>
      <c r="BS1844" s="56"/>
      <c r="BT1844" s="56"/>
      <c r="BU1844" s="158"/>
      <c r="BV1844" s="56"/>
      <c r="BW1844" s="56"/>
      <c r="BX1844" s="56"/>
      <c r="BY1844" s="56"/>
      <c r="BZ1844" s="56"/>
      <c r="CA1844" s="56"/>
      <c r="CB1844" s="56"/>
      <c r="CC1844" s="56"/>
      <c r="CD1844" s="56"/>
      <c r="CE1844" s="56"/>
      <c r="CF1844" s="56"/>
      <c r="CG1844" s="56"/>
      <c r="CH1844" s="56"/>
      <c r="CI1844" s="103">
        <v>2.4E-2</v>
      </c>
      <c r="CJ1844" s="103">
        <f t="shared" si="494"/>
        <v>-1.6197887582883939</v>
      </c>
      <c r="CK1844" s="57">
        <f t="shared" ref="CK1844:CK1860" si="502">BL1844/BJ1844</f>
        <v>8.9554003219361356E-2</v>
      </c>
      <c r="CL1844" s="160">
        <f t="shared" ref="CL1844:CL1851" si="503">BL1844/CI1844</f>
        <v>223.39992386429853</v>
      </c>
      <c r="CM1844" s="160"/>
      <c r="CN1844" s="160"/>
      <c r="CO1844" s="55" t="s">
        <v>2179</v>
      </c>
      <c r="CP1844" s="497" t="s">
        <v>2180</v>
      </c>
      <c r="CQ1844" s="149" t="s">
        <v>272</v>
      </c>
      <c r="CR1844" s="349"/>
      <c r="CS1844" s="61" t="s">
        <v>539</v>
      </c>
      <c r="CT1844" s="61" t="s">
        <v>6310</v>
      </c>
      <c r="CU1844" s="111">
        <f t="shared" ref="CU1844:CU1851" si="504">X1844/CI1844</f>
        <v>232.25657681667829</v>
      </c>
      <c r="CV1844" s="331">
        <f t="shared" ref="CV1844:CV1860" si="505">X1844/BJ1844</f>
        <v>9.3104356833143123E-2</v>
      </c>
      <c r="CW1844" s="326">
        <f t="shared" si="498"/>
        <v>1</v>
      </c>
      <c r="CX1844" s="326" t="s">
        <v>539</v>
      </c>
      <c r="CY1844" s="161" t="s">
        <v>5921</v>
      </c>
    </row>
    <row r="1845" spans="1:103" ht="11.25" customHeight="1" x14ac:dyDescent="0.2">
      <c r="A1845" s="72">
        <v>277</v>
      </c>
      <c r="B1845" s="149">
        <v>780</v>
      </c>
      <c r="C1845" s="54" t="s">
        <v>2190</v>
      </c>
      <c r="D1845" s="54"/>
      <c r="E1845" s="59"/>
      <c r="F1845" s="59" t="s">
        <v>2191</v>
      </c>
      <c r="G1845" s="151">
        <v>53716500</v>
      </c>
      <c r="H1845" s="55" t="s">
        <v>2192</v>
      </c>
      <c r="I1845" s="55" t="s">
        <v>2192</v>
      </c>
      <c r="J1845" s="55" t="s">
        <v>2193</v>
      </c>
      <c r="K1845" s="55" t="s">
        <v>967</v>
      </c>
      <c r="L1845" s="55"/>
      <c r="M1845" s="55"/>
      <c r="N1845" s="60"/>
      <c r="O1845" s="55"/>
      <c r="P1845" s="67">
        <v>3</v>
      </c>
      <c r="Q1845" s="67" t="s">
        <v>6173</v>
      </c>
      <c r="R1845" s="67">
        <v>1</v>
      </c>
      <c r="S1845" s="67" t="s">
        <v>6173</v>
      </c>
      <c r="T1845" s="56">
        <v>315.35000000000002</v>
      </c>
      <c r="U1845" s="103"/>
      <c r="V1845" s="103">
        <v>407.2</v>
      </c>
      <c r="W1845" s="103">
        <v>61.488349453369956</v>
      </c>
      <c r="X1845" s="103">
        <v>61.488349453369956</v>
      </c>
      <c r="Y1845" s="162">
        <v>6.84</v>
      </c>
      <c r="Z1845" s="56">
        <v>1.63</v>
      </c>
      <c r="AA1845" s="56"/>
      <c r="AB1845" s="56">
        <v>1.7</v>
      </c>
      <c r="AC1845" s="56">
        <v>0.77759999999999996</v>
      </c>
      <c r="AD1845" s="56">
        <v>1.62</v>
      </c>
      <c r="AE1845" s="56">
        <v>1.36</v>
      </c>
      <c r="AF1845" s="56">
        <f t="shared" si="499"/>
        <v>1.62</v>
      </c>
      <c r="AG1845" s="57">
        <v>1.59</v>
      </c>
      <c r="AH1845" s="103">
        <v>5.4600000000000002E-19</v>
      </c>
      <c r="AI1845" s="103"/>
      <c r="AJ1845" s="62">
        <f t="shared" si="500"/>
        <v>-16.651373683607915</v>
      </c>
      <c r="AK1845" s="62"/>
      <c r="AL1845" s="62">
        <f t="shared" si="501"/>
        <v>-16.651373683607915</v>
      </c>
      <c r="AM1845" s="62">
        <v>-24.770359999999997</v>
      </c>
      <c r="AN1845" s="154">
        <v>-24.5</v>
      </c>
      <c r="AO1845" s="410">
        <v>9.7899999999999991</v>
      </c>
      <c r="AP1845" s="410">
        <v>4.47</v>
      </c>
      <c r="AQ1845" s="56" t="s">
        <v>6311</v>
      </c>
      <c r="AR1845" s="56" t="s">
        <v>6312</v>
      </c>
      <c r="AS1845" s="149" t="s">
        <v>6</v>
      </c>
      <c r="AT1845" s="58" t="s">
        <v>266</v>
      </c>
      <c r="AU1845" s="56">
        <v>0</v>
      </c>
      <c r="AV1845" s="56">
        <v>144</v>
      </c>
      <c r="AW1845" s="56">
        <v>144</v>
      </c>
      <c r="AX1845" s="56">
        <v>25</v>
      </c>
      <c r="AY1845" s="56" t="s">
        <v>8722</v>
      </c>
      <c r="AZ1845" s="56" t="s">
        <v>2175</v>
      </c>
      <c r="BA1845" s="56" t="s">
        <v>8722</v>
      </c>
      <c r="BB1845" s="55" t="s">
        <v>2176</v>
      </c>
      <c r="BC1845" s="55" t="s">
        <v>538</v>
      </c>
      <c r="BD1845" s="55"/>
      <c r="BE1845" s="56" t="s">
        <v>271</v>
      </c>
      <c r="BF1845" s="56" t="s">
        <v>1974</v>
      </c>
      <c r="BG1845" s="56" t="s">
        <v>1974</v>
      </c>
      <c r="BH1845" s="56" t="s">
        <v>2177</v>
      </c>
      <c r="BI1845" s="153">
        <v>31.535000000000004</v>
      </c>
      <c r="BJ1845" s="153">
        <v>3153.5</v>
      </c>
      <c r="BK1845" s="56" t="s">
        <v>2178</v>
      </c>
      <c r="BL1845" s="153">
        <v>556.78795977250354</v>
      </c>
      <c r="BM1845" s="56" t="s">
        <v>541</v>
      </c>
      <c r="BN1845" s="56"/>
      <c r="BO1845" s="56"/>
      <c r="BP1845" s="56"/>
      <c r="BQ1845" s="56"/>
      <c r="BR1845" s="56">
        <v>6.8</v>
      </c>
      <c r="BS1845" s="56"/>
      <c r="BT1845" s="56"/>
      <c r="BU1845" s="158"/>
      <c r="BV1845" s="56"/>
      <c r="BW1845" s="56"/>
      <c r="BX1845" s="56"/>
      <c r="BY1845" s="56"/>
      <c r="BZ1845" s="56"/>
      <c r="CA1845" s="56"/>
      <c r="CB1845" s="56"/>
      <c r="CC1845" s="56"/>
      <c r="CD1845" s="56"/>
      <c r="CE1845" s="56"/>
      <c r="CF1845" s="56"/>
      <c r="CG1845" s="56"/>
      <c r="CH1845" s="56"/>
      <c r="CI1845" s="103">
        <v>6.8</v>
      </c>
      <c r="CJ1845" s="103">
        <f t="shared" si="494"/>
        <v>0.83250891270623628</v>
      </c>
      <c r="CK1845" s="57">
        <f t="shared" si="502"/>
        <v>0.17656190257571064</v>
      </c>
      <c r="CL1845" s="160">
        <f t="shared" si="503"/>
        <v>81.880582319485811</v>
      </c>
      <c r="CM1845" s="160"/>
      <c r="CN1845" s="160"/>
      <c r="CO1845" s="55" t="s">
        <v>2179</v>
      </c>
      <c r="CP1845" s="497" t="s">
        <v>2180</v>
      </c>
      <c r="CQ1845" s="149" t="s">
        <v>272</v>
      </c>
      <c r="CR1845" s="349"/>
      <c r="CS1845" s="61" t="s">
        <v>539</v>
      </c>
      <c r="CT1845" s="61" t="s">
        <v>6310</v>
      </c>
      <c r="CU1845" s="111">
        <f t="shared" si="504"/>
        <v>9.0424043313779343</v>
      </c>
      <c r="CV1845" s="331">
        <f t="shared" si="505"/>
        <v>1.9498445997580452E-2</v>
      </c>
      <c r="CW1845" s="326">
        <f t="shared" si="498"/>
        <v>1</v>
      </c>
      <c r="CX1845" s="326" t="s">
        <v>539</v>
      </c>
      <c r="CY1845" s="161" t="s">
        <v>5921</v>
      </c>
    </row>
    <row r="1846" spans="1:103" ht="11.25" customHeight="1" x14ac:dyDescent="0.2">
      <c r="A1846" s="72">
        <v>278</v>
      </c>
      <c r="B1846" s="149">
        <v>777</v>
      </c>
      <c r="C1846" s="54" t="s">
        <v>2170</v>
      </c>
      <c r="D1846" s="54"/>
      <c r="E1846" s="59"/>
      <c r="F1846" s="59" t="s">
        <v>2171</v>
      </c>
      <c r="G1846" s="151">
        <v>54965218</v>
      </c>
      <c r="H1846" s="55" t="s">
        <v>2172</v>
      </c>
      <c r="I1846" s="55" t="s">
        <v>2172</v>
      </c>
      <c r="J1846" s="55" t="s">
        <v>2173</v>
      </c>
      <c r="K1846" s="55" t="s">
        <v>967</v>
      </c>
      <c r="L1846" s="64" t="s">
        <v>279</v>
      </c>
      <c r="M1846" s="55" t="s">
        <v>2174</v>
      </c>
      <c r="N1846" s="60"/>
      <c r="O1846" s="55" t="s">
        <v>281</v>
      </c>
      <c r="P1846" s="67">
        <v>3</v>
      </c>
      <c r="Q1846" s="67" t="s">
        <v>6173</v>
      </c>
      <c r="R1846" s="67">
        <v>1</v>
      </c>
      <c r="S1846" s="67" t="s">
        <v>6173</v>
      </c>
      <c r="T1846" s="56">
        <v>265.33</v>
      </c>
      <c r="U1846" s="103"/>
      <c r="V1846" s="103">
        <v>46.39</v>
      </c>
      <c r="W1846" s="103">
        <v>8.1994808710882978</v>
      </c>
      <c r="X1846" s="103">
        <v>8.1994808710882978</v>
      </c>
      <c r="Y1846" s="162">
        <v>7.5</v>
      </c>
      <c r="Z1846" s="56">
        <v>3.14</v>
      </c>
      <c r="AA1846" s="56">
        <v>3.07</v>
      </c>
      <c r="AB1846" s="56">
        <v>3.12</v>
      </c>
      <c r="AC1846" s="56">
        <v>0.77380000000000004</v>
      </c>
      <c r="AD1846" s="56">
        <v>3.11</v>
      </c>
      <c r="AE1846" s="56">
        <v>3.07</v>
      </c>
      <c r="AF1846" s="56">
        <f t="shared" si="499"/>
        <v>3.07</v>
      </c>
      <c r="AG1846" s="57">
        <v>2.52</v>
      </c>
      <c r="AH1846" s="103">
        <v>7.6300000000000001E-14</v>
      </c>
      <c r="AI1846" s="103"/>
      <c r="AJ1846" s="62">
        <f t="shared" si="500"/>
        <v>-11.506041788357772</v>
      </c>
      <c r="AK1846" s="62"/>
      <c r="AL1846" s="62">
        <f t="shared" si="501"/>
        <v>-11.506041788357772</v>
      </c>
      <c r="AM1846" s="62">
        <v>-16.298100000000002</v>
      </c>
      <c r="AN1846" s="154">
        <v>-10.6</v>
      </c>
      <c r="AO1846" s="410">
        <v>10.72</v>
      </c>
      <c r="AP1846" s="410">
        <v>5.37</v>
      </c>
      <c r="AQ1846" s="56" t="s">
        <v>6311</v>
      </c>
      <c r="AR1846" s="56" t="s">
        <v>6312</v>
      </c>
      <c r="AS1846" s="149" t="s">
        <v>6</v>
      </c>
      <c r="AT1846" s="58" t="s">
        <v>266</v>
      </c>
      <c r="AU1846" s="56">
        <v>0</v>
      </c>
      <c r="AV1846" s="56">
        <v>144</v>
      </c>
      <c r="AW1846" s="56">
        <v>144</v>
      </c>
      <c r="AX1846" s="56">
        <v>25</v>
      </c>
      <c r="AY1846" s="56" t="s">
        <v>8722</v>
      </c>
      <c r="AZ1846" s="56" t="s">
        <v>2175</v>
      </c>
      <c r="BA1846" s="56" t="s">
        <v>8722</v>
      </c>
      <c r="BB1846" s="55" t="s">
        <v>2176</v>
      </c>
      <c r="BC1846" s="55" t="s">
        <v>538</v>
      </c>
      <c r="BD1846" s="55"/>
      <c r="BE1846" s="56" t="s">
        <v>271</v>
      </c>
      <c r="BF1846" s="56" t="s">
        <v>1974</v>
      </c>
      <c r="BG1846" s="56" t="s">
        <v>1974</v>
      </c>
      <c r="BH1846" s="56" t="s">
        <v>2177</v>
      </c>
      <c r="BI1846" s="153">
        <v>0.58372599999999997</v>
      </c>
      <c r="BJ1846" s="153">
        <v>58.372599999999998</v>
      </c>
      <c r="BK1846" s="56" t="s">
        <v>2178</v>
      </c>
      <c r="BL1846" s="153">
        <v>20.632523908055891</v>
      </c>
      <c r="BM1846" s="56" t="s">
        <v>541</v>
      </c>
      <c r="BN1846" s="56"/>
      <c r="BO1846" s="56"/>
      <c r="BP1846" s="56"/>
      <c r="BQ1846" s="56"/>
      <c r="BR1846" s="56">
        <v>4.2000000000000003E-2</v>
      </c>
      <c r="BS1846" s="56"/>
      <c r="BT1846" s="56"/>
      <c r="BU1846" s="158"/>
      <c r="BV1846" s="56"/>
      <c r="BW1846" s="56"/>
      <c r="BX1846" s="56"/>
      <c r="BY1846" s="56"/>
      <c r="BZ1846" s="56"/>
      <c r="CA1846" s="56"/>
      <c r="CB1846" s="56"/>
      <c r="CC1846" s="56"/>
      <c r="CD1846" s="56"/>
      <c r="CE1846" s="56"/>
      <c r="CF1846" s="56"/>
      <c r="CG1846" s="56"/>
      <c r="CH1846" s="56"/>
      <c r="CI1846" s="103">
        <v>4.2000000000000003E-2</v>
      </c>
      <c r="CJ1846" s="103">
        <f t="shared" si="494"/>
        <v>-1.3767507096020994</v>
      </c>
      <c r="CK1846" s="57">
        <f t="shared" si="502"/>
        <v>0.35346247910930628</v>
      </c>
      <c r="CL1846" s="160">
        <f t="shared" si="503"/>
        <v>491.25056923942594</v>
      </c>
      <c r="CM1846" s="160"/>
      <c r="CN1846" s="160"/>
      <c r="CO1846" s="55" t="s">
        <v>2179</v>
      </c>
      <c r="CP1846" s="497" t="s">
        <v>2180</v>
      </c>
      <c r="CQ1846" s="149" t="s">
        <v>272</v>
      </c>
      <c r="CR1846" s="349"/>
      <c r="CS1846" s="61" t="s">
        <v>539</v>
      </c>
      <c r="CT1846" s="61" t="s">
        <v>6310</v>
      </c>
      <c r="CU1846" s="111">
        <f t="shared" si="504"/>
        <v>195.22573502591183</v>
      </c>
      <c r="CV1846" s="331">
        <f t="shared" si="505"/>
        <v>0.14046797420516299</v>
      </c>
      <c r="CW1846" s="326">
        <f t="shared" si="498"/>
        <v>1</v>
      </c>
      <c r="CX1846" s="326" t="s">
        <v>539</v>
      </c>
      <c r="CY1846" s="161" t="s">
        <v>5921</v>
      </c>
    </row>
    <row r="1847" spans="1:103" ht="11.25" customHeight="1" x14ac:dyDescent="0.2">
      <c r="A1847" s="72">
        <v>284</v>
      </c>
      <c r="B1847" s="149">
        <v>778</v>
      </c>
      <c r="C1847" s="54" t="s">
        <v>2181</v>
      </c>
      <c r="D1847" s="54"/>
      <c r="E1847" s="59"/>
      <c r="F1847" s="59" t="s">
        <v>2182</v>
      </c>
      <c r="G1847" s="151">
        <v>58306302</v>
      </c>
      <c r="H1847" s="55" t="s">
        <v>2183</v>
      </c>
      <c r="I1847" s="55" t="s">
        <v>2183</v>
      </c>
      <c r="J1847" s="55" t="s">
        <v>2184</v>
      </c>
      <c r="K1847" s="55" t="s">
        <v>2185</v>
      </c>
      <c r="L1847" s="55"/>
      <c r="M1847" s="55"/>
      <c r="N1847" s="60"/>
      <c r="O1847" s="55"/>
      <c r="P1847" s="67">
        <v>3</v>
      </c>
      <c r="Q1847" s="67" t="s">
        <v>6173</v>
      </c>
      <c r="R1847" s="67">
        <v>1</v>
      </c>
      <c r="S1847" s="67" t="s">
        <v>6173</v>
      </c>
      <c r="T1847" s="56">
        <v>446.48</v>
      </c>
      <c r="U1847" s="103"/>
      <c r="V1847" s="103">
        <v>76.92</v>
      </c>
      <c r="W1847" s="103">
        <v>15.128713883303117</v>
      </c>
      <c r="X1847" s="103">
        <v>15.128713883303117</v>
      </c>
      <c r="Y1847" s="162">
        <v>6.07</v>
      </c>
      <c r="Z1847" s="56">
        <v>1.53</v>
      </c>
      <c r="AA1847" s="56"/>
      <c r="AB1847" s="56">
        <v>2.67</v>
      </c>
      <c r="AC1847" s="56">
        <v>0.59419999999999995</v>
      </c>
      <c r="AD1847" s="56">
        <v>2.54</v>
      </c>
      <c r="AE1847" s="56">
        <v>2.36</v>
      </c>
      <c r="AF1847" s="56">
        <f t="shared" si="499"/>
        <v>2.54</v>
      </c>
      <c r="AG1847" s="57">
        <v>2.57</v>
      </c>
      <c r="AH1847" s="103">
        <v>1.4900000000000001E-21</v>
      </c>
      <c r="AI1847" s="103"/>
      <c r="AJ1847" s="62">
        <f t="shared" si="500"/>
        <v>-19.215380057900379</v>
      </c>
      <c r="AK1847" s="62"/>
      <c r="AL1847" s="62">
        <f t="shared" si="501"/>
        <v>-19.215380057900379</v>
      </c>
      <c r="AM1847" s="62">
        <v>-28.317799999999998</v>
      </c>
      <c r="AN1847" s="154">
        <v>-24.4</v>
      </c>
      <c r="AO1847" s="410">
        <v>7.6</v>
      </c>
      <c r="AP1847" s="410">
        <v>1.67</v>
      </c>
      <c r="AQ1847" s="56" t="s">
        <v>6311</v>
      </c>
      <c r="AR1847" s="56" t="s">
        <v>6311</v>
      </c>
      <c r="AS1847" s="149" t="s">
        <v>6</v>
      </c>
      <c r="AT1847" s="58" t="s">
        <v>266</v>
      </c>
      <c r="AU1847" s="56">
        <v>0</v>
      </c>
      <c r="AV1847" s="56">
        <v>144</v>
      </c>
      <c r="AW1847" s="56">
        <v>144</v>
      </c>
      <c r="AX1847" s="56">
        <v>25</v>
      </c>
      <c r="AY1847" s="56" t="s">
        <v>8722</v>
      </c>
      <c r="AZ1847" s="56" t="s">
        <v>2175</v>
      </c>
      <c r="BA1847" s="56" t="s">
        <v>8722</v>
      </c>
      <c r="BB1847" s="55" t="s">
        <v>2176</v>
      </c>
      <c r="BC1847" s="55" t="s">
        <v>538</v>
      </c>
      <c r="BD1847" s="55"/>
      <c r="BE1847" s="56" t="s">
        <v>271</v>
      </c>
      <c r="BF1847" s="56" t="s">
        <v>1974</v>
      </c>
      <c r="BG1847" s="56" t="s">
        <v>1974</v>
      </c>
      <c r="BH1847" s="56" t="s">
        <v>2177</v>
      </c>
      <c r="BI1847" s="153">
        <v>8.9296000000000006</v>
      </c>
      <c r="BJ1847" s="153">
        <v>892.96</v>
      </c>
      <c r="BK1847" s="56" t="s">
        <v>2178</v>
      </c>
      <c r="BL1847" s="153">
        <v>969.41337972752729</v>
      </c>
      <c r="BM1847" s="56" t="s">
        <v>541</v>
      </c>
      <c r="BN1847" s="56"/>
      <c r="BO1847" s="56"/>
      <c r="BP1847" s="56"/>
      <c r="BQ1847" s="56"/>
      <c r="BR1847" s="56">
        <v>0.33999238504781742</v>
      </c>
      <c r="BS1847" s="56"/>
      <c r="BT1847" s="56"/>
      <c r="BU1847" s="158"/>
      <c r="BV1847" s="56"/>
      <c r="BW1847" s="56"/>
      <c r="BX1847" s="56"/>
      <c r="BY1847" s="56"/>
      <c r="BZ1847" s="56"/>
      <c r="CA1847" s="56"/>
      <c r="CB1847" s="56"/>
      <c r="CC1847" s="56"/>
      <c r="CD1847" s="56"/>
      <c r="CE1847" s="56"/>
      <c r="CF1847" s="56"/>
      <c r="CG1847" s="56"/>
      <c r="CH1847" s="56"/>
      <c r="CI1847" s="103">
        <v>0.33999238504781742</v>
      </c>
      <c r="CJ1847" s="103">
        <f t="shared" si="494"/>
        <v>-0.46853080992465129</v>
      </c>
      <c r="CK1847" s="57">
        <f t="shared" si="502"/>
        <v>1.0856179221102034</v>
      </c>
      <c r="CL1847" s="160">
        <f t="shared" si="503"/>
        <v>2851.2796826057925</v>
      </c>
      <c r="CM1847" s="160"/>
      <c r="CN1847" s="160"/>
      <c r="CO1847" s="55" t="s">
        <v>2179</v>
      </c>
      <c r="CP1847" s="497" t="s">
        <v>2180</v>
      </c>
      <c r="CQ1847" s="149" t="s">
        <v>272</v>
      </c>
      <c r="CR1847" s="349"/>
      <c r="CS1847" s="61" t="s">
        <v>539</v>
      </c>
      <c r="CT1847" s="61" t="s">
        <v>6310</v>
      </c>
      <c r="CU1847" s="111">
        <f t="shared" si="504"/>
        <v>44.497213904291932</v>
      </c>
      <c r="CV1847" s="331">
        <f t="shared" si="505"/>
        <v>1.6942207806960128E-2</v>
      </c>
      <c r="CW1847" s="326">
        <f t="shared" si="498"/>
        <v>1</v>
      </c>
      <c r="CX1847" s="326" t="s">
        <v>539</v>
      </c>
      <c r="CY1847" s="161" t="s">
        <v>5921</v>
      </c>
    </row>
    <row r="1848" spans="1:103" ht="11.25" customHeight="1" x14ac:dyDescent="0.2">
      <c r="A1848" s="72">
        <v>296</v>
      </c>
      <c r="B1848" s="149">
        <v>784</v>
      </c>
      <c r="C1848" s="54" t="s">
        <v>2205</v>
      </c>
      <c r="D1848" s="54"/>
      <c r="E1848" s="59"/>
      <c r="F1848" s="59" t="s">
        <v>2206</v>
      </c>
      <c r="G1848" s="151">
        <v>69004031</v>
      </c>
      <c r="H1848" s="55" t="s">
        <v>2207</v>
      </c>
      <c r="I1848" s="55" t="s">
        <v>8323</v>
      </c>
      <c r="J1848" s="55" t="s">
        <v>2208</v>
      </c>
      <c r="K1848" s="55" t="s">
        <v>940</v>
      </c>
      <c r="L1848" s="55"/>
      <c r="M1848" s="55"/>
      <c r="N1848" s="60"/>
      <c r="O1848" s="55"/>
      <c r="P1848" s="67">
        <v>3</v>
      </c>
      <c r="Q1848" s="67" t="s">
        <v>6173</v>
      </c>
      <c r="R1848" s="67">
        <v>1</v>
      </c>
      <c r="S1848" s="67" t="s">
        <v>6173</v>
      </c>
      <c r="T1848" s="56">
        <v>425.38</v>
      </c>
      <c r="U1848" s="103"/>
      <c r="V1848" s="103">
        <v>5.9420000000000002E-3</v>
      </c>
      <c r="W1848" s="103">
        <v>2.5048231411516002</v>
      </c>
      <c r="X1848" s="103">
        <v>2.5048231411516002</v>
      </c>
      <c r="Y1848" s="162">
        <v>5.9</v>
      </c>
      <c r="Z1848" s="56">
        <v>6.5</v>
      </c>
      <c r="AA1848" s="56"/>
      <c r="AB1848" s="56">
        <v>3.84</v>
      </c>
      <c r="AC1848" s="56">
        <v>0.70809999999999995</v>
      </c>
      <c r="AD1848" s="56">
        <v>3.61</v>
      </c>
      <c r="AE1848" s="56">
        <v>2.9</v>
      </c>
      <c r="AF1848" s="56">
        <f t="shared" si="499"/>
        <v>3.61</v>
      </c>
      <c r="AG1848" s="57">
        <v>5.18</v>
      </c>
      <c r="AH1848" s="103">
        <v>5.4700000000000001E-16</v>
      </c>
      <c r="AI1848" s="103"/>
      <c r="AJ1848" s="62">
        <f t="shared" si="500"/>
        <v>-13.650578999979221</v>
      </c>
      <c r="AK1848" s="62"/>
      <c r="AL1848" s="62">
        <f t="shared" si="501"/>
        <v>-13.650578999979221</v>
      </c>
      <c r="AM1848" s="62">
        <v>-18.39526</v>
      </c>
      <c r="AN1848" s="154">
        <v>-3.62</v>
      </c>
      <c r="AO1848" s="410">
        <v>6.47</v>
      </c>
      <c r="AP1848" s="410">
        <v>-0.91</v>
      </c>
      <c r="AQ1848" s="56" t="s">
        <v>6311</v>
      </c>
      <c r="AR1848" s="56" t="s">
        <v>6311</v>
      </c>
      <c r="AS1848" s="149" t="s">
        <v>1154</v>
      </c>
      <c r="AT1848" s="58" t="s">
        <v>266</v>
      </c>
      <c r="AU1848" s="56">
        <v>0</v>
      </c>
      <c r="AV1848" s="56">
        <v>144</v>
      </c>
      <c r="AW1848" s="56">
        <v>144</v>
      </c>
      <c r="AX1848" s="56">
        <v>25</v>
      </c>
      <c r="AY1848" s="56" t="s">
        <v>8722</v>
      </c>
      <c r="AZ1848" s="56" t="s">
        <v>2175</v>
      </c>
      <c r="BA1848" s="56" t="s">
        <v>8722</v>
      </c>
      <c r="BB1848" s="55" t="s">
        <v>2176</v>
      </c>
      <c r="BC1848" s="55" t="s">
        <v>538</v>
      </c>
      <c r="BD1848" s="55"/>
      <c r="BE1848" s="56" t="s">
        <v>271</v>
      </c>
      <c r="BF1848" s="56" t="s">
        <v>1974</v>
      </c>
      <c r="BG1848" s="56" t="s">
        <v>1974</v>
      </c>
      <c r="BH1848" s="56" t="s">
        <v>2177</v>
      </c>
      <c r="BI1848" s="153">
        <v>42.538000000000004</v>
      </c>
      <c r="BJ1848" s="153">
        <v>4253.8</v>
      </c>
      <c r="BK1848" s="56" t="s">
        <v>2178</v>
      </c>
      <c r="BL1848" s="153">
        <v>3.1763406082696413E-2</v>
      </c>
      <c r="BM1848" s="56" t="s">
        <v>541</v>
      </c>
      <c r="BN1848" s="56"/>
      <c r="BO1848" s="56"/>
      <c r="BP1848" s="56"/>
      <c r="BQ1848" s="56"/>
      <c r="BR1848" s="56">
        <v>1.1000000000000001</v>
      </c>
      <c r="BS1848" s="56"/>
      <c r="BT1848" s="56"/>
      <c r="BU1848" s="158"/>
      <c r="BV1848" s="56"/>
      <c r="BW1848" s="56"/>
      <c r="BX1848" s="56"/>
      <c r="BY1848" s="56"/>
      <c r="BZ1848" s="56"/>
      <c r="CA1848" s="56"/>
      <c r="CB1848" s="56"/>
      <c r="CC1848" s="56"/>
      <c r="CD1848" s="56"/>
      <c r="CE1848" s="56"/>
      <c r="CF1848" s="56"/>
      <c r="CG1848" s="56"/>
      <c r="CH1848" s="56"/>
      <c r="CI1848" s="103">
        <v>1.1000000000000001</v>
      </c>
      <c r="CJ1848" s="103">
        <f t="shared" si="494"/>
        <v>4.1392685158225077E-2</v>
      </c>
      <c r="CK1848" s="57">
        <f t="shared" si="502"/>
        <v>7.4670661720570813E-6</v>
      </c>
      <c r="CL1848" s="160">
        <f t="shared" si="503"/>
        <v>2.8875823711542192E-2</v>
      </c>
      <c r="CM1848" s="160"/>
      <c r="CN1848" s="160"/>
      <c r="CO1848" s="55" t="s">
        <v>2179</v>
      </c>
      <c r="CP1848" s="497" t="s">
        <v>2180</v>
      </c>
      <c r="CQ1848" s="149" t="s">
        <v>272</v>
      </c>
      <c r="CR1848" s="349"/>
      <c r="CS1848" s="61" t="s">
        <v>539</v>
      </c>
      <c r="CT1848" s="61" t="s">
        <v>6310</v>
      </c>
      <c r="CU1848" s="111">
        <f t="shared" si="504"/>
        <v>2.2771119465014547</v>
      </c>
      <c r="CV1848" s="331">
        <f t="shared" si="505"/>
        <v>5.8884365535558797E-4</v>
      </c>
      <c r="CW1848" s="326">
        <f t="shared" si="498"/>
        <v>1</v>
      </c>
      <c r="CX1848" s="326" t="s">
        <v>539</v>
      </c>
      <c r="CY1848" s="161" t="s">
        <v>5921</v>
      </c>
    </row>
    <row r="1849" spans="1:103" ht="11.25" customHeight="1" x14ac:dyDescent="0.2">
      <c r="A1849" s="72">
        <v>298</v>
      </c>
      <c r="B1849" s="149">
        <v>783</v>
      </c>
      <c r="C1849" s="54" t="s">
        <v>2201</v>
      </c>
      <c r="D1849" s="54"/>
      <c r="E1849" s="59"/>
      <c r="F1849" s="59" t="s">
        <v>2202</v>
      </c>
      <c r="G1849" s="151">
        <v>69770452</v>
      </c>
      <c r="H1849" s="55" t="s">
        <v>2203</v>
      </c>
      <c r="I1849" s="55" t="s">
        <v>8324</v>
      </c>
      <c r="J1849" s="55" t="s">
        <v>2204</v>
      </c>
      <c r="K1849" s="55" t="s">
        <v>2086</v>
      </c>
      <c r="L1849" s="55" t="s">
        <v>617</v>
      </c>
      <c r="M1849" s="55" t="s">
        <v>1086</v>
      </c>
      <c r="N1849" s="60"/>
      <c r="O1849" s="55" t="s">
        <v>918</v>
      </c>
      <c r="P1849" s="67">
        <v>3</v>
      </c>
      <c r="Q1849" s="67" t="s">
        <v>6173</v>
      </c>
      <c r="R1849" s="67">
        <v>1</v>
      </c>
      <c r="S1849" s="67" t="s">
        <v>6173</v>
      </c>
      <c r="T1849" s="56">
        <v>510.38</v>
      </c>
      <c r="U1849" s="103"/>
      <c r="V1849" s="103">
        <v>9.7330000000000005E-5</v>
      </c>
      <c r="W1849" s="103">
        <v>8.8693878697710489E-4</v>
      </c>
      <c r="X1849" s="103">
        <v>8.8693878697710489E-4</v>
      </c>
      <c r="Y1849" s="162">
        <v>7</v>
      </c>
      <c r="Z1849" s="56">
        <v>7.65</v>
      </c>
      <c r="AA1849" s="56"/>
      <c r="AB1849" s="56">
        <v>7.1</v>
      </c>
      <c r="AC1849" s="56">
        <v>0.70569999999999999</v>
      </c>
      <c r="AD1849" s="56">
        <v>7.33</v>
      </c>
      <c r="AE1849" s="56">
        <v>7.8</v>
      </c>
      <c r="AF1849" s="56">
        <f t="shared" si="499"/>
        <v>7.33</v>
      </c>
      <c r="AG1849" s="57">
        <v>7.33</v>
      </c>
      <c r="AH1849" s="103">
        <v>4.2499999999999997E-8</v>
      </c>
      <c r="AI1849" s="103"/>
      <c r="AJ1849" s="62">
        <f t="shared" si="500"/>
        <v>-5.7601773962623399</v>
      </c>
      <c r="AK1849" s="62"/>
      <c r="AL1849" s="62">
        <f t="shared" si="501"/>
        <v>-5.7601773962623399</v>
      </c>
      <c r="AM1849" s="62">
        <v>-17.930540000000001</v>
      </c>
      <c r="AN1849" s="154"/>
      <c r="AO1849" s="410"/>
      <c r="AP1849" s="410"/>
      <c r="AQ1849" s="56" t="s">
        <v>6311</v>
      </c>
      <c r="AR1849" s="56" t="s">
        <v>6312</v>
      </c>
      <c r="AS1849" s="149" t="s">
        <v>1154</v>
      </c>
      <c r="AT1849" s="58" t="s">
        <v>266</v>
      </c>
      <c r="AU1849" s="56">
        <v>0</v>
      </c>
      <c r="AV1849" s="56">
        <v>144</v>
      </c>
      <c r="AW1849" s="56">
        <v>144</v>
      </c>
      <c r="AX1849" s="56">
        <v>25</v>
      </c>
      <c r="AY1849" s="56" t="s">
        <v>8722</v>
      </c>
      <c r="AZ1849" s="56" t="s">
        <v>2175</v>
      </c>
      <c r="BA1849" s="56" t="s">
        <v>8722</v>
      </c>
      <c r="BB1849" s="55" t="s">
        <v>2176</v>
      </c>
      <c r="BC1849" s="55" t="s">
        <v>538</v>
      </c>
      <c r="BD1849" s="55"/>
      <c r="BE1849" s="56" t="s">
        <v>271</v>
      </c>
      <c r="BF1849" s="56" t="s">
        <v>1974</v>
      </c>
      <c r="BG1849" s="56" t="s">
        <v>1974</v>
      </c>
      <c r="BH1849" s="56" t="s">
        <v>2177</v>
      </c>
      <c r="BI1849" s="153">
        <v>5.1037999999999997</v>
      </c>
      <c r="BJ1849" s="153">
        <v>510.38</v>
      </c>
      <c r="BK1849" s="56"/>
      <c r="BL1849" s="153">
        <v>3.5336916279613511E-3</v>
      </c>
      <c r="BM1849" s="56" t="s">
        <v>541</v>
      </c>
      <c r="BN1849" s="56"/>
      <c r="BO1849" s="56"/>
      <c r="BP1849" s="56"/>
      <c r="BQ1849" s="56"/>
      <c r="BR1849" s="56">
        <v>0.10999568965517242</v>
      </c>
      <c r="BS1849" s="56"/>
      <c r="BT1849" s="56"/>
      <c r="BU1849" s="158"/>
      <c r="BV1849" s="56"/>
      <c r="BW1849" s="56"/>
      <c r="BX1849" s="56"/>
      <c r="BY1849" s="56"/>
      <c r="BZ1849" s="56"/>
      <c r="CA1849" s="56"/>
      <c r="CB1849" s="56"/>
      <c r="CC1849" s="56"/>
      <c r="CD1849" s="56"/>
      <c r="CE1849" s="56"/>
      <c r="CF1849" s="56"/>
      <c r="CG1849" s="56"/>
      <c r="CH1849" s="56"/>
      <c r="CI1849" s="103">
        <v>0.10999568965517242</v>
      </c>
      <c r="CJ1849" s="103">
        <f t="shared" si="494"/>
        <v>-0.95862433298405669</v>
      </c>
      <c r="CK1849" s="57">
        <f t="shared" si="502"/>
        <v>6.9236483168645932E-6</v>
      </c>
      <c r="CL1849" s="160">
        <f t="shared" si="503"/>
        <v>3.2125728190251709E-2</v>
      </c>
      <c r="CM1849" s="160"/>
      <c r="CN1849" s="160"/>
      <c r="CO1849" s="55" t="s">
        <v>2179</v>
      </c>
      <c r="CP1849" s="497" t="s">
        <v>2180</v>
      </c>
      <c r="CQ1849" s="149" t="s">
        <v>272</v>
      </c>
      <c r="CR1849" s="349"/>
      <c r="CS1849" s="61" t="s">
        <v>539</v>
      </c>
      <c r="CT1849" s="61"/>
      <c r="CU1849" s="111">
        <f t="shared" si="504"/>
        <v>8.0633958453970884E-3</v>
      </c>
      <c r="CV1849" s="331">
        <f t="shared" si="505"/>
        <v>1.7378008287493727E-6</v>
      </c>
      <c r="CW1849" s="326">
        <f t="shared" si="498"/>
        <v>0</v>
      </c>
      <c r="CX1849" s="326"/>
      <c r="CY1849" s="161" t="s">
        <v>5921</v>
      </c>
    </row>
    <row r="1850" spans="1:103" ht="11.25" customHeight="1" x14ac:dyDescent="0.2">
      <c r="A1850" s="72">
        <v>300</v>
      </c>
      <c r="B1850" s="149">
        <v>782</v>
      </c>
      <c r="C1850" s="54" t="s">
        <v>2197</v>
      </c>
      <c r="D1850" s="54"/>
      <c r="E1850" s="59"/>
      <c r="F1850" s="59" t="s">
        <v>2198</v>
      </c>
      <c r="G1850" s="151">
        <v>70288867</v>
      </c>
      <c r="H1850" s="55" t="s">
        <v>2199</v>
      </c>
      <c r="I1850" s="55" t="s">
        <v>8325</v>
      </c>
      <c r="J1850" s="55"/>
      <c r="K1850" s="55" t="s">
        <v>1318</v>
      </c>
      <c r="L1850" s="64" t="s">
        <v>279</v>
      </c>
      <c r="M1850" s="55" t="s">
        <v>2200</v>
      </c>
      <c r="N1850" s="60"/>
      <c r="O1850" s="55" t="s">
        <v>281</v>
      </c>
      <c r="P1850" s="67">
        <v>3</v>
      </c>
      <c r="Q1850" s="67" t="s">
        <v>6173</v>
      </c>
      <c r="R1850" s="67">
        <v>1</v>
      </c>
      <c r="S1850" s="67" t="s">
        <v>6173</v>
      </c>
      <c r="T1850" s="56">
        <v>861.09</v>
      </c>
      <c r="U1850" s="103"/>
      <c r="V1850" s="103">
        <v>8.8769999999999995E-4</v>
      </c>
      <c r="W1850" s="103">
        <v>305.52626133513922</v>
      </c>
      <c r="X1850" s="103">
        <v>305.52626133513922</v>
      </c>
      <c r="Y1850" s="162">
        <v>7</v>
      </c>
      <c r="Z1850" s="56">
        <v>4.1100000000000003</v>
      </c>
      <c r="AA1850" s="56"/>
      <c r="AB1850" s="56">
        <v>5.52</v>
      </c>
      <c r="AC1850" s="56">
        <v>0.54579999999999995</v>
      </c>
      <c r="AD1850" s="56">
        <v>5.76</v>
      </c>
      <c r="AE1850" s="56">
        <v>6.08</v>
      </c>
      <c r="AF1850" s="56">
        <f t="shared" si="499"/>
        <v>5.76</v>
      </c>
      <c r="AG1850" s="57">
        <v>5.76</v>
      </c>
      <c r="AH1850" s="103">
        <v>1.18E-27</v>
      </c>
      <c r="AI1850" s="103"/>
      <c r="AJ1850" s="62">
        <f t="shared" si="500"/>
        <v>-25.316684319006526</v>
      </c>
      <c r="AK1850" s="62"/>
      <c r="AL1850" s="62">
        <f t="shared" si="501"/>
        <v>-25.316684319006526</v>
      </c>
      <c r="AM1850" s="62">
        <v>-39.275649999999999</v>
      </c>
      <c r="AN1850" s="154"/>
      <c r="AO1850" s="410">
        <v>12.42</v>
      </c>
      <c r="AP1850" s="410"/>
      <c r="AQ1850" s="56" t="s">
        <v>6311</v>
      </c>
      <c r="AR1850" s="56" t="s">
        <v>6311</v>
      </c>
      <c r="AS1850" s="149" t="s">
        <v>6</v>
      </c>
      <c r="AT1850" s="58" t="s">
        <v>266</v>
      </c>
      <c r="AU1850" s="56">
        <v>0</v>
      </c>
      <c r="AV1850" s="56">
        <v>144</v>
      </c>
      <c r="AW1850" s="56">
        <v>144</v>
      </c>
      <c r="AX1850" s="56">
        <v>25</v>
      </c>
      <c r="AY1850" s="56" t="s">
        <v>8722</v>
      </c>
      <c r="AZ1850" s="56" t="s">
        <v>2175</v>
      </c>
      <c r="BA1850" s="56" t="s">
        <v>8722</v>
      </c>
      <c r="BB1850" s="55" t="s">
        <v>2176</v>
      </c>
      <c r="BC1850" s="55" t="s">
        <v>538</v>
      </c>
      <c r="BD1850" s="55"/>
      <c r="BE1850" s="56" t="s">
        <v>271</v>
      </c>
      <c r="BF1850" s="56" t="s">
        <v>1974</v>
      </c>
      <c r="BG1850" s="56" t="s">
        <v>1974</v>
      </c>
      <c r="BH1850" s="56" t="s">
        <v>2177</v>
      </c>
      <c r="BI1850" s="153">
        <v>86.109000000000009</v>
      </c>
      <c r="BJ1850" s="153">
        <v>8610.9</v>
      </c>
      <c r="BK1850" s="56" t="s">
        <v>2178</v>
      </c>
      <c r="BL1850" s="153">
        <v>9.0086050181776312</v>
      </c>
      <c r="BM1850" s="56" t="s">
        <v>541</v>
      </c>
      <c r="BN1850" s="56"/>
      <c r="BO1850" s="56"/>
      <c r="BP1850" s="56"/>
      <c r="BQ1850" s="56"/>
      <c r="BR1850" s="56">
        <v>0.44</v>
      </c>
      <c r="BS1850" s="56"/>
      <c r="BT1850" s="56"/>
      <c r="BU1850" s="158"/>
      <c r="BV1850" s="56"/>
      <c r="BW1850" s="56"/>
      <c r="BX1850" s="56"/>
      <c r="BY1850" s="56"/>
      <c r="BZ1850" s="56"/>
      <c r="CA1850" s="56"/>
      <c r="CB1850" s="56"/>
      <c r="CC1850" s="56"/>
      <c r="CD1850" s="56"/>
      <c r="CE1850" s="56"/>
      <c r="CF1850" s="56"/>
      <c r="CG1850" s="56"/>
      <c r="CH1850" s="56"/>
      <c r="CI1850" s="103">
        <v>0.44</v>
      </c>
      <c r="CJ1850" s="103">
        <f t="shared" si="494"/>
        <v>-0.35654732351381258</v>
      </c>
      <c r="CK1850" s="57">
        <f t="shared" si="502"/>
        <v>1.0461862311927478E-3</v>
      </c>
      <c r="CL1850" s="160">
        <f t="shared" si="503"/>
        <v>20.474102314040071</v>
      </c>
      <c r="CM1850" s="160"/>
      <c r="CN1850" s="160"/>
      <c r="CO1850" s="55" t="s">
        <v>2179</v>
      </c>
      <c r="CP1850" s="497" t="s">
        <v>2180</v>
      </c>
      <c r="CQ1850" s="149" t="s">
        <v>272</v>
      </c>
      <c r="CR1850" s="349"/>
      <c r="CS1850" s="61" t="s">
        <v>539</v>
      </c>
      <c r="CT1850" s="61" t="s">
        <v>6310</v>
      </c>
      <c r="CU1850" s="111">
        <f t="shared" si="504"/>
        <v>694.37786667077091</v>
      </c>
      <c r="CV1850" s="331">
        <f t="shared" si="505"/>
        <v>3.5481338923357517E-2</v>
      </c>
      <c r="CW1850" s="326">
        <f t="shared" si="498"/>
        <v>1</v>
      </c>
      <c r="CX1850" s="326" t="s">
        <v>539</v>
      </c>
      <c r="CY1850" s="161" t="s">
        <v>5921</v>
      </c>
    </row>
    <row r="1851" spans="1:103" ht="11.25" customHeight="1" x14ac:dyDescent="0.2">
      <c r="A1851" s="72">
        <v>351</v>
      </c>
      <c r="B1851" s="149">
        <v>781</v>
      </c>
      <c r="C1851" s="54" t="s">
        <v>6668</v>
      </c>
      <c r="D1851" s="54"/>
      <c r="E1851" s="59"/>
      <c r="F1851" s="59" t="s">
        <v>2194</v>
      </c>
      <c r="G1851" s="151">
        <v>117704253</v>
      </c>
      <c r="H1851" s="55" t="s">
        <v>2195</v>
      </c>
      <c r="I1851" s="55" t="s">
        <v>8335</v>
      </c>
      <c r="J1851" s="55" t="s">
        <v>2196</v>
      </c>
      <c r="K1851" s="55" t="s">
        <v>1318</v>
      </c>
      <c r="L1851" s="55"/>
      <c r="M1851" s="168" t="s">
        <v>6081</v>
      </c>
      <c r="N1851" s="60"/>
      <c r="O1851" s="55" t="s">
        <v>6083</v>
      </c>
      <c r="P1851" s="67"/>
      <c r="Q1851" s="67"/>
      <c r="R1851" s="67"/>
      <c r="S1851" s="67"/>
      <c r="T1851" s="56">
        <v>899.11</v>
      </c>
      <c r="U1851" s="103"/>
      <c r="V1851" s="103">
        <v>5.1459999999999999E-5</v>
      </c>
      <c r="W1851" s="103">
        <v>71.41884591229487</v>
      </c>
      <c r="X1851" s="103">
        <v>71.41884591229487</v>
      </c>
      <c r="Y1851" s="162">
        <v>7</v>
      </c>
      <c r="Z1851" s="56">
        <v>5.26</v>
      </c>
      <c r="AA1851" s="56"/>
      <c r="AB1851" s="56">
        <v>5.74</v>
      </c>
      <c r="AC1851" s="56">
        <v>0.46970000000000001</v>
      </c>
      <c r="AD1851" s="56">
        <v>6.43</v>
      </c>
      <c r="AE1851" s="56">
        <v>7.15</v>
      </c>
      <c r="AF1851" s="56">
        <f t="shared" si="499"/>
        <v>6.43</v>
      </c>
      <c r="AG1851" s="57">
        <v>4.45</v>
      </c>
      <c r="AH1851" s="103">
        <v>1.0700000000000001E-27</v>
      </c>
      <c r="AI1851" s="103"/>
      <c r="AJ1851" s="62">
        <f t="shared" si="500"/>
        <v>-25.359182548627441</v>
      </c>
      <c r="AK1851" s="62"/>
      <c r="AL1851" s="62">
        <f t="shared" si="501"/>
        <v>-25.359182548627441</v>
      </c>
      <c r="AM1851" s="62">
        <v>-40.735749999999996</v>
      </c>
      <c r="AN1851" s="154">
        <v>-7.5</v>
      </c>
      <c r="AO1851" s="410">
        <v>12.42</v>
      </c>
      <c r="AP1851" s="410"/>
      <c r="AQ1851" s="56" t="s">
        <v>6311</v>
      </c>
      <c r="AR1851" s="56" t="s">
        <v>6311</v>
      </c>
      <c r="AS1851" s="149" t="s">
        <v>1154</v>
      </c>
      <c r="AT1851" s="58" t="s">
        <v>266</v>
      </c>
      <c r="AU1851" s="56">
        <v>0</v>
      </c>
      <c r="AV1851" s="56">
        <v>144</v>
      </c>
      <c r="AW1851" s="56">
        <v>144</v>
      </c>
      <c r="AX1851" s="56">
        <v>25</v>
      </c>
      <c r="AY1851" s="56" t="s">
        <v>8722</v>
      </c>
      <c r="AZ1851" s="56" t="s">
        <v>2175</v>
      </c>
      <c r="BA1851" s="56" t="s">
        <v>8722</v>
      </c>
      <c r="BB1851" s="55" t="s">
        <v>2176</v>
      </c>
      <c r="BC1851" s="55" t="s">
        <v>538</v>
      </c>
      <c r="BD1851" s="55"/>
      <c r="BE1851" s="56" t="s">
        <v>271</v>
      </c>
      <c r="BF1851" s="56" t="s">
        <v>1974</v>
      </c>
      <c r="BG1851" s="56" t="s">
        <v>1974</v>
      </c>
      <c r="BH1851" s="56" t="s">
        <v>2177</v>
      </c>
      <c r="BI1851" s="153">
        <v>89.911000000000001</v>
      </c>
      <c r="BJ1851" s="153">
        <v>8991.1</v>
      </c>
      <c r="BK1851" s="56" t="s">
        <v>2178</v>
      </c>
      <c r="BL1851" s="153">
        <v>0.87218141450171605</v>
      </c>
      <c r="BM1851" s="56" t="s">
        <v>541</v>
      </c>
      <c r="BN1851" s="56"/>
      <c r="BO1851" s="56"/>
      <c r="BP1851" s="56"/>
      <c r="BQ1851" s="56"/>
      <c r="BR1851" s="56">
        <v>0.57999999999999996</v>
      </c>
      <c r="BS1851" s="56"/>
      <c r="BT1851" s="56"/>
      <c r="BU1851" s="158"/>
      <c r="BV1851" s="56"/>
      <c r="BW1851" s="56"/>
      <c r="BX1851" s="56"/>
      <c r="BY1851" s="56"/>
      <c r="BZ1851" s="56"/>
      <c r="CA1851" s="56"/>
      <c r="CB1851" s="56"/>
      <c r="CC1851" s="56"/>
      <c r="CD1851" s="56"/>
      <c r="CE1851" s="56"/>
      <c r="CF1851" s="56"/>
      <c r="CG1851" s="56"/>
      <c r="CH1851" s="56"/>
      <c r="CI1851" s="103">
        <v>0.57999999999999996</v>
      </c>
      <c r="CJ1851" s="103">
        <f t="shared" si="494"/>
        <v>-0.23657200643706275</v>
      </c>
      <c r="CK1851" s="57">
        <f t="shared" si="502"/>
        <v>9.7004973195906615E-5</v>
      </c>
      <c r="CL1851" s="160">
        <f t="shared" si="503"/>
        <v>1.5037610594857174</v>
      </c>
      <c r="CM1851" s="160"/>
      <c r="CN1851" s="160"/>
      <c r="CO1851" s="55" t="s">
        <v>2179</v>
      </c>
      <c r="CP1851" s="497" t="s">
        <v>2180</v>
      </c>
      <c r="CQ1851" s="149" t="s">
        <v>272</v>
      </c>
      <c r="CR1851" s="349"/>
      <c r="CS1851" s="61" t="s">
        <v>539</v>
      </c>
      <c r="CT1851" s="61" t="s">
        <v>6310</v>
      </c>
      <c r="CU1851" s="111">
        <f t="shared" si="504"/>
        <v>123.13594122809461</v>
      </c>
      <c r="CV1851" s="331">
        <f t="shared" si="505"/>
        <v>7.9432823472428138E-3</v>
      </c>
      <c r="CW1851" s="326">
        <f t="shared" si="498"/>
        <v>1</v>
      </c>
      <c r="CX1851" s="326" t="s">
        <v>539</v>
      </c>
      <c r="CY1851" s="161" t="s">
        <v>5921</v>
      </c>
    </row>
    <row r="1852" spans="1:103" ht="11.25" customHeight="1" x14ac:dyDescent="0.2">
      <c r="A1852" s="72">
        <v>813</v>
      </c>
      <c r="B1852" s="224">
        <v>1329</v>
      </c>
      <c r="C1852" s="46" t="s">
        <v>7020</v>
      </c>
      <c r="D1852" s="46"/>
      <c r="E1852" s="114"/>
      <c r="F1852" s="114" t="s">
        <v>558</v>
      </c>
      <c r="G1852" s="225">
        <v>79572</v>
      </c>
      <c r="H1852" s="47" t="s">
        <v>559</v>
      </c>
      <c r="I1852" s="47" t="s">
        <v>8001</v>
      </c>
      <c r="J1852" s="47" t="s">
        <v>560</v>
      </c>
      <c r="K1852" s="47" t="s">
        <v>561</v>
      </c>
      <c r="L1852" s="51" t="s">
        <v>279</v>
      </c>
      <c r="M1852" s="47" t="s">
        <v>8521</v>
      </c>
      <c r="N1852" s="47"/>
      <c r="O1852" s="47" t="s">
        <v>281</v>
      </c>
      <c r="P1852" s="53"/>
      <c r="Q1852" s="53"/>
      <c r="R1852" s="53"/>
      <c r="S1852" s="53"/>
      <c r="T1852" s="48">
        <v>460.43</v>
      </c>
      <c r="U1852" s="98">
        <v>313</v>
      </c>
      <c r="V1852" s="98">
        <v>1399</v>
      </c>
      <c r="W1852" s="98">
        <v>3335.5204909732734</v>
      </c>
      <c r="X1852" s="98">
        <v>313</v>
      </c>
      <c r="Y1852" s="233">
        <v>5.66</v>
      </c>
      <c r="Z1852" s="48">
        <v>-2.87</v>
      </c>
      <c r="AA1852" s="48">
        <v>-0.9</v>
      </c>
      <c r="AB1852" s="48">
        <v>-1.27</v>
      </c>
      <c r="AC1852" s="48">
        <v>0.77769999999999995</v>
      </c>
      <c r="AD1852" s="48">
        <v>-1.32</v>
      </c>
      <c r="AE1852" s="48">
        <v>-1.5</v>
      </c>
      <c r="AF1852" s="48">
        <f t="shared" si="499"/>
        <v>-0.9</v>
      </c>
      <c r="AG1852" s="49">
        <v>-2.12</v>
      </c>
      <c r="AH1852" s="98">
        <v>1.7E-25</v>
      </c>
      <c r="AI1852" s="98"/>
      <c r="AJ1852" s="483">
        <f t="shared" si="500"/>
        <v>-23.158117404934377</v>
      </c>
      <c r="AK1852" s="483"/>
      <c r="AL1852" s="483">
        <f t="shared" si="501"/>
        <v>-23.158117404934377</v>
      </c>
      <c r="AM1852" s="483">
        <v>-41.229529999999997</v>
      </c>
      <c r="AN1852" s="226">
        <v>-32.4</v>
      </c>
      <c r="AO1852" s="484">
        <v>4.5</v>
      </c>
      <c r="AP1852" s="484">
        <v>10.8</v>
      </c>
      <c r="AQ1852" s="48" t="s">
        <v>6311</v>
      </c>
      <c r="AR1852" s="48" t="s">
        <v>6311</v>
      </c>
      <c r="AS1852" s="224" t="s">
        <v>6</v>
      </c>
      <c r="AT1852" s="50" t="s">
        <v>266</v>
      </c>
      <c r="AU1852" s="48">
        <v>0</v>
      </c>
      <c r="AV1852" s="48">
        <v>144</v>
      </c>
      <c r="AW1852" s="48">
        <v>144</v>
      </c>
      <c r="AX1852" s="48">
        <v>25</v>
      </c>
      <c r="AY1852" s="48" t="s">
        <v>8722</v>
      </c>
      <c r="AZ1852" s="48" t="s">
        <v>2175</v>
      </c>
      <c r="BA1852" s="48" t="s">
        <v>8722</v>
      </c>
      <c r="BB1852" s="47" t="s">
        <v>2176</v>
      </c>
      <c r="BC1852" s="47" t="s">
        <v>538</v>
      </c>
      <c r="BD1852" s="47"/>
      <c r="BE1852" s="48" t="s">
        <v>271</v>
      </c>
      <c r="BF1852" s="48" t="s">
        <v>1974</v>
      </c>
      <c r="BG1852" s="48" t="s">
        <v>1974</v>
      </c>
      <c r="BH1852" s="48" t="s">
        <v>2177</v>
      </c>
      <c r="BI1852" s="98" t="e">
        <v>#VALUE!</v>
      </c>
      <c r="BJ1852" s="98">
        <v>10</v>
      </c>
      <c r="BK1852" s="48" t="s">
        <v>2178</v>
      </c>
      <c r="BL1852" s="487">
        <v>8943563.8731396105</v>
      </c>
      <c r="BM1852" s="48" t="s">
        <v>541</v>
      </c>
      <c r="BN1852" s="48"/>
      <c r="BO1852" s="48"/>
      <c r="BP1852" s="48"/>
      <c r="BQ1852" s="48"/>
      <c r="BR1852" s="48"/>
      <c r="BS1852" s="48"/>
      <c r="BT1852" s="48"/>
      <c r="BU1852" s="228"/>
      <c r="BV1852" s="48"/>
      <c r="BW1852" s="48"/>
      <c r="BX1852" s="48"/>
      <c r="BY1852" s="48"/>
      <c r="BZ1852" s="48"/>
      <c r="CA1852" s="48"/>
      <c r="CB1852" s="48"/>
      <c r="CC1852" s="48"/>
      <c r="CD1852" s="48"/>
      <c r="CE1852" s="48"/>
      <c r="CF1852" s="48"/>
      <c r="CG1852" s="48"/>
      <c r="CH1852" s="48"/>
      <c r="CI1852" s="98"/>
      <c r="CJ1852" s="98"/>
      <c r="CK1852" s="49">
        <f t="shared" si="502"/>
        <v>894356.38731396105</v>
      </c>
      <c r="CL1852" s="229"/>
      <c r="CM1852" s="229"/>
      <c r="CN1852" s="229"/>
      <c r="CO1852" s="47"/>
      <c r="CP1852" s="500" t="s">
        <v>2180</v>
      </c>
      <c r="CQ1852" s="224" t="s">
        <v>272</v>
      </c>
      <c r="CR1852" s="224"/>
      <c r="CS1852" s="230" t="s">
        <v>539</v>
      </c>
      <c r="CT1852" s="230" t="s">
        <v>6310</v>
      </c>
      <c r="CU1852" s="230"/>
      <c r="CV1852" s="335">
        <f t="shared" si="505"/>
        <v>31.3</v>
      </c>
      <c r="CW1852" s="230">
        <f t="shared" ref="CW1852:CW1860" si="506">IF(CV1852&lt;1,0,1)</f>
        <v>1</v>
      </c>
      <c r="CX1852" s="336" t="s">
        <v>539</v>
      </c>
      <c r="CY1852" s="230" t="s">
        <v>5921</v>
      </c>
    </row>
    <row r="1853" spans="1:103" ht="11.25" customHeight="1" x14ac:dyDescent="0.2">
      <c r="A1853" s="72">
        <v>924</v>
      </c>
      <c r="B1853" s="224">
        <v>1333</v>
      </c>
      <c r="C1853" s="46" t="s">
        <v>7116</v>
      </c>
      <c r="D1853" s="46"/>
      <c r="E1853" s="114"/>
      <c r="F1853" s="114" t="s">
        <v>4142</v>
      </c>
      <c r="G1853" s="225">
        <v>102658</v>
      </c>
      <c r="H1853" s="47" t="s">
        <v>4143</v>
      </c>
      <c r="I1853" s="47" t="s">
        <v>8026</v>
      </c>
      <c r="J1853" s="47" t="s">
        <v>4144</v>
      </c>
      <c r="K1853" s="47" t="s">
        <v>3315</v>
      </c>
      <c r="L1853" s="47"/>
      <c r="M1853" s="47"/>
      <c r="N1853" s="47"/>
      <c r="O1853" s="47"/>
      <c r="P1853" s="53"/>
      <c r="Q1853" s="53"/>
      <c r="R1853" s="53"/>
      <c r="S1853" s="53"/>
      <c r="T1853" s="48">
        <v>284.72000000000003</v>
      </c>
      <c r="U1853" s="98"/>
      <c r="V1853" s="98">
        <v>8235</v>
      </c>
      <c r="W1853" s="98">
        <v>402.17768970499014</v>
      </c>
      <c r="X1853" s="98">
        <v>402.17768970499014</v>
      </c>
      <c r="Y1853" s="233">
        <v>3.9</v>
      </c>
      <c r="Z1853" s="48">
        <v>0.31</v>
      </c>
      <c r="AA1853" s="48"/>
      <c r="AB1853" s="48">
        <v>1.23</v>
      </c>
      <c r="AC1853" s="48">
        <v>0.85089999999999999</v>
      </c>
      <c r="AD1853" s="48">
        <v>1.25</v>
      </c>
      <c r="AE1853" s="48">
        <v>1.33</v>
      </c>
      <c r="AF1853" s="48">
        <f t="shared" si="499"/>
        <v>1.25</v>
      </c>
      <c r="AG1853" s="49">
        <v>2.77</v>
      </c>
      <c r="AH1853" s="98">
        <v>2.0900000000000002E-12</v>
      </c>
      <c r="AI1853" s="98"/>
      <c r="AJ1853" s="483">
        <f t="shared" si="500"/>
        <v>-10.068420040201598</v>
      </c>
      <c r="AK1853" s="483"/>
      <c r="AL1853" s="483">
        <f t="shared" si="501"/>
        <v>-10.068420040201598</v>
      </c>
      <c r="AM1853" s="483">
        <v>-19.053699999999999</v>
      </c>
      <c r="AN1853" s="226">
        <v>-9.35</v>
      </c>
      <c r="AO1853" s="484">
        <v>4.83</v>
      </c>
      <c r="AP1853" s="484">
        <v>1.1200000000000001</v>
      </c>
      <c r="AQ1853" s="48" t="s">
        <v>6311</v>
      </c>
      <c r="AR1853" s="48" t="s">
        <v>6311</v>
      </c>
      <c r="AS1853" s="224" t="s">
        <v>1154</v>
      </c>
      <c r="AT1853" s="50" t="s">
        <v>266</v>
      </c>
      <c r="AU1853" s="48">
        <v>0</v>
      </c>
      <c r="AV1853" s="48">
        <v>144</v>
      </c>
      <c r="AW1853" s="48">
        <v>144</v>
      </c>
      <c r="AX1853" s="48">
        <v>25</v>
      </c>
      <c r="AY1853" s="48" t="s">
        <v>8722</v>
      </c>
      <c r="AZ1853" s="48" t="s">
        <v>2175</v>
      </c>
      <c r="BA1853" s="48" t="s">
        <v>8722</v>
      </c>
      <c r="BB1853" s="47" t="s">
        <v>2176</v>
      </c>
      <c r="BC1853" s="47" t="s">
        <v>538</v>
      </c>
      <c r="BD1853" s="47"/>
      <c r="BE1853" s="48" t="s">
        <v>271</v>
      </c>
      <c r="BF1853" s="48" t="s">
        <v>1974</v>
      </c>
      <c r="BG1853" s="48" t="s">
        <v>1974</v>
      </c>
      <c r="BH1853" s="48" t="s">
        <v>2177</v>
      </c>
      <c r="BI1853" s="98" t="e">
        <v>#VALUE!</v>
      </c>
      <c r="BJ1853" s="98">
        <v>10</v>
      </c>
      <c r="BK1853" s="48" t="s">
        <v>2178</v>
      </c>
      <c r="BL1853" s="487">
        <v>7705.6091214030112</v>
      </c>
      <c r="BM1853" s="48" t="s">
        <v>541</v>
      </c>
      <c r="BN1853" s="48"/>
      <c r="BO1853" s="48"/>
      <c r="BP1853" s="48"/>
      <c r="BQ1853" s="48"/>
      <c r="BR1853" s="48"/>
      <c r="BS1853" s="48"/>
      <c r="BT1853" s="48"/>
      <c r="BU1853" s="228"/>
      <c r="BV1853" s="48"/>
      <c r="BW1853" s="48"/>
      <c r="BX1853" s="48"/>
      <c r="BY1853" s="48"/>
      <c r="BZ1853" s="48"/>
      <c r="CA1853" s="48"/>
      <c r="CB1853" s="48"/>
      <c r="CC1853" s="48"/>
      <c r="CD1853" s="48"/>
      <c r="CE1853" s="48"/>
      <c r="CF1853" s="48"/>
      <c r="CG1853" s="48"/>
      <c r="CH1853" s="48"/>
      <c r="CI1853" s="98"/>
      <c r="CJ1853" s="98"/>
      <c r="CK1853" s="49">
        <f t="shared" si="502"/>
        <v>770.56091214030107</v>
      </c>
      <c r="CL1853" s="229"/>
      <c r="CM1853" s="229"/>
      <c r="CN1853" s="229"/>
      <c r="CO1853" s="47"/>
      <c r="CP1853" s="500" t="s">
        <v>2180</v>
      </c>
      <c r="CQ1853" s="224" t="s">
        <v>272</v>
      </c>
      <c r="CR1853" s="224"/>
      <c r="CS1853" s="230" t="s">
        <v>539</v>
      </c>
      <c r="CT1853" s="230" t="s">
        <v>6310</v>
      </c>
      <c r="CU1853" s="230"/>
      <c r="CV1853" s="335">
        <f t="shared" si="505"/>
        <v>40.217768970499016</v>
      </c>
      <c r="CW1853" s="230">
        <f t="shared" si="506"/>
        <v>1</v>
      </c>
      <c r="CX1853" s="336" t="s">
        <v>539</v>
      </c>
      <c r="CY1853" s="230" t="s">
        <v>5921</v>
      </c>
    </row>
    <row r="1854" spans="1:103" ht="11.25" customHeight="1" x14ac:dyDescent="0.2">
      <c r="A1854" s="72">
        <v>1151</v>
      </c>
      <c r="B1854" s="224">
        <v>1335</v>
      </c>
      <c r="C1854" s="46" t="s">
        <v>7298</v>
      </c>
      <c r="D1854" s="46"/>
      <c r="E1854" s="114"/>
      <c r="F1854" s="114" t="s">
        <v>3697</v>
      </c>
      <c r="G1854" s="225">
        <v>738705</v>
      </c>
      <c r="H1854" s="47" t="s">
        <v>3698</v>
      </c>
      <c r="I1854" s="47" t="s">
        <v>3698</v>
      </c>
      <c r="J1854" s="47" t="s">
        <v>3699</v>
      </c>
      <c r="K1854" s="47" t="s">
        <v>3700</v>
      </c>
      <c r="L1854" s="51" t="s">
        <v>279</v>
      </c>
      <c r="M1854" s="47" t="s">
        <v>3701</v>
      </c>
      <c r="N1854" s="47"/>
      <c r="O1854" s="47" t="s">
        <v>281</v>
      </c>
      <c r="P1854" s="53"/>
      <c r="Q1854" s="53"/>
      <c r="R1854" s="53"/>
      <c r="S1854" s="53"/>
      <c r="T1854" s="48">
        <v>290.32</v>
      </c>
      <c r="U1854" s="98">
        <v>400</v>
      </c>
      <c r="V1854" s="98">
        <v>2334</v>
      </c>
      <c r="W1854" s="98">
        <v>592.75736009645766</v>
      </c>
      <c r="X1854" s="98">
        <v>400</v>
      </c>
      <c r="Y1854" s="233">
        <v>9.11</v>
      </c>
      <c r="Z1854" s="48">
        <v>0.73</v>
      </c>
      <c r="AA1854" s="48">
        <v>0.91</v>
      </c>
      <c r="AB1854" s="48">
        <v>1.22</v>
      </c>
      <c r="AC1854" s="48">
        <v>0.85780000000000001</v>
      </c>
      <c r="AD1854" s="48">
        <v>1.1200000000000001</v>
      </c>
      <c r="AE1854" s="48">
        <v>0.79</v>
      </c>
      <c r="AF1854" s="48">
        <f t="shared" si="499"/>
        <v>0.91</v>
      </c>
      <c r="AG1854" s="49">
        <v>1.18</v>
      </c>
      <c r="AH1854" s="98">
        <v>2.3900000000000001E-14</v>
      </c>
      <c r="AI1854" s="98"/>
      <c r="AJ1854" s="483">
        <f t="shared" si="500"/>
        <v>-12.010168425364514</v>
      </c>
      <c r="AK1854" s="483"/>
      <c r="AL1854" s="483">
        <f t="shared" si="501"/>
        <v>-12.010168425364514</v>
      </c>
      <c r="AM1854" s="483">
        <v>-20.178329999999999</v>
      </c>
      <c r="AN1854" s="226">
        <v>-14.6</v>
      </c>
      <c r="AO1854" s="484"/>
      <c r="AP1854" s="484">
        <v>6.9</v>
      </c>
      <c r="AQ1854" s="48" t="s">
        <v>6311</v>
      </c>
      <c r="AR1854" s="48" t="s">
        <v>6311</v>
      </c>
      <c r="AS1854" s="224" t="s">
        <v>6</v>
      </c>
      <c r="AT1854" s="50" t="s">
        <v>266</v>
      </c>
      <c r="AU1854" s="48">
        <v>0</v>
      </c>
      <c r="AV1854" s="48">
        <v>144</v>
      </c>
      <c r="AW1854" s="48">
        <v>144</v>
      </c>
      <c r="AX1854" s="48">
        <v>25</v>
      </c>
      <c r="AY1854" s="48" t="s">
        <v>8722</v>
      </c>
      <c r="AZ1854" s="48" t="s">
        <v>2175</v>
      </c>
      <c r="BA1854" s="48" t="s">
        <v>8722</v>
      </c>
      <c r="BB1854" s="47" t="s">
        <v>2176</v>
      </c>
      <c r="BC1854" s="47" t="s">
        <v>538</v>
      </c>
      <c r="BD1854" s="47"/>
      <c r="BE1854" s="48" t="s">
        <v>271</v>
      </c>
      <c r="BF1854" s="48" t="s">
        <v>1974</v>
      </c>
      <c r="BG1854" s="48" t="s">
        <v>1974</v>
      </c>
      <c r="BH1854" s="48" t="s">
        <v>2177</v>
      </c>
      <c r="BI1854" s="98" t="e">
        <v>#VALUE!</v>
      </c>
      <c r="BJ1854" s="98">
        <v>10.000000000000002</v>
      </c>
      <c r="BK1854" s="48" t="s">
        <v>2178</v>
      </c>
      <c r="BL1854" s="487">
        <v>3296.5825482699597</v>
      </c>
      <c r="BM1854" s="48" t="s">
        <v>541</v>
      </c>
      <c r="BN1854" s="48"/>
      <c r="BO1854" s="48"/>
      <c r="BP1854" s="48"/>
      <c r="BQ1854" s="48"/>
      <c r="BR1854" s="48"/>
      <c r="BS1854" s="48"/>
      <c r="BT1854" s="48"/>
      <c r="BU1854" s="228"/>
      <c r="BV1854" s="48"/>
      <c r="BW1854" s="48"/>
      <c r="BX1854" s="48"/>
      <c r="BY1854" s="48"/>
      <c r="BZ1854" s="48"/>
      <c r="CA1854" s="48"/>
      <c r="CB1854" s="48"/>
      <c r="CC1854" s="48"/>
      <c r="CD1854" s="48"/>
      <c r="CE1854" s="48"/>
      <c r="CF1854" s="48"/>
      <c r="CG1854" s="48"/>
      <c r="CH1854" s="48"/>
      <c r="CI1854" s="98"/>
      <c r="CJ1854" s="98"/>
      <c r="CK1854" s="49">
        <f t="shared" si="502"/>
        <v>329.65825482699591</v>
      </c>
      <c r="CL1854" s="229"/>
      <c r="CM1854" s="229"/>
      <c r="CN1854" s="229"/>
      <c r="CO1854" s="47"/>
      <c r="CP1854" s="500" t="s">
        <v>2180</v>
      </c>
      <c r="CQ1854" s="224" t="s">
        <v>272</v>
      </c>
      <c r="CR1854" s="224"/>
      <c r="CS1854" s="230" t="s">
        <v>539</v>
      </c>
      <c r="CT1854" s="230" t="s">
        <v>6310</v>
      </c>
      <c r="CU1854" s="230"/>
      <c r="CV1854" s="335">
        <f t="shared" si="505"/>
        <v>39.999999999999993</v>
      </c>
      <c r="CW1854" s="230">
        <f t="shared" si="506"/>
        <v>1</v>
      </c>
      <c r="CX1854" s="336" t="s">
        <v>539</v>
      </c>
      <c r="CY1854" s="230" t="s">
        <v>5921</v>
      </c>
    </row>
    <row r="1855" spans="1:103" ht="11.25" customHeight="1" x14ac:dyDescent="0.2">
      <c r="A1855" s="72">
        <v>1184</v>
      </c>
      <c r="B1855" s="224">
        <v>1337</v>
      </c>
      <c r="C1855" s="46" t="s">
        <v>7325</v>
      </c>
      <c r="D1855" s="46"/>
      <c r="E1855" s="114"/>
      <c r="F1855" s="114" t="s">
        <v>4145</v>
      </c>
      <c r="G1855" s="225">
        <v>1401690</v>
      </c>
      <c r="H1855" s="47" t="s">
        <v>4146</v>
      </c>
      <c r="I1855" s="47" t="s">
        <v>8069</v>
      </c>
      <c r="J1855" s="47" t="s">
        <v>4147</v>
      </c>
      <c r="K1855" s="47" t="s">
        <v>4148</v>
      </c>
      <c r="L1855" s="47"/>
      <c r="M1855" s="47"/>
      <c r="N1855" s="47"/>
      <c r="O1855" s="47"/>
      <c r="P1855" s="53"/>
      <c r="Q1855" s="53"/>
      <c r="R1855" s="53"/>
      <c r="S1855" s="53"/>
      <c r="T1855" s="48">
        <v>916.1</v>
      </c>
      <c r="U1855" s="98">
        <v>5</v>
      </c>
      <c r="V1855" s="98">
        <v>0.50649999999999995</v>
      </c>
      <c r="W1855" s="98">
        <v>39078.949717413881</v>
      </c>
      <c r="X1855" s="98">
        <v>5</v>
      </c>
      <c r="Y1855" s="233">
        <v>9.82</v>
      </c>
      <c r="Z1855" s="48">
        <v>1.05</v>
      </c>
      <c r="AA1855" s="48">
        <v>1.63</v>
      </c>
      <c r="AB1855" s="48">
        <v>1.32</v>
      </c>
      <c r="AC1855" s="48">
        <v>0.83620000000000005</v>
      </c>
      <c r="AD1855" s="48">
        <v>1.7</v>
      </c>
      <c r="AE1855" s="48">
        <v>3.27</v>
      </c>
      <c r="AF1855" s="48">
        <f t="shared" si="499"/>
        <v>1.63</v>
      </c>
      <c r="AG1855" s="49">
        <v>2.23</v>
      </c>
      <c r="AH1855" s="98">
        <v>5.7700000000000003E-38</v>
      </c>
      <c r="AI1855" s="98"/>
      <c r="AJ1855" s="483">
        <f t="shared" si="500"/>
        <v>-35.627390513156918</v>
      </c>
      <c r="AK1855" s="483"/>
      <c r="AL1855" s="483">
        <f t="shared" si="501"/>
        <v>-35.627390513156918</v>
      </c>
      <c r="AM1855" s="483">
        <v>-52.056750000000001</v>
      </c>
      <c r="AN1855" s="226">
        <v>-41.6</v>
      </c>
      <c r="AO1855" s="484">
        <v>13.06</v>
      </c>
      <c r="AP1855" s="484">
        <v>7.39</v>
      </c>
      <c r="AQ1855" s="48" t="s">
        <v>6311</v>
      </c>
      <c r="AR1855" s="48" t="s">
        <v>6311</v>
      </c>
      <c r="AS1855" s="224" t="s">
        <v>6</v>
      </c>
      <c r="AT1855" s="50" t="s">
        <v>266</v>
      </c>
      <c r="AU1855" s="48">
        <v>0</v>
      </c>
      <c r="AV1855" s="48">
        <v>144</v>
      </c>
      <c r="AW1855" s="48">
        <v>144</v>
      </c>
      <c r="AX1855" s="48">
        <v>25</v>
      </c>
      <c r="AY1855" s="48" t="s">
        <v>8722</v>
      </c>
      <c r="AZ1855" s="48" t="s">
        <v>2175</v>
      </c>
      <c r="BA1855" s="48" t="s">
        <v>8722</v>
      </c>
      <c r="BB1855" s="47" t="s">
        <v>2176</v>
      </c>
      <c r="BC1855" s="47" t="s">
        <v>538</v>
      </c>
      <c r="BD1855" s="47"/>
      <c r="BE1855" s="48" t="s">
        <v>271</v>
      </c>
      <c r="BF1855" s="48" t="s">
        <v>1974</v>
      </c>
      <c r="BG1855" s="48" t="s">
        <v>1974</v>
      </c>
      <c r="BH1855" s="48" t="s">
        <v>272</v>
      </c>
      <c r="BI1855" s="98" t="e">
        <v>#VALUE!</v>
      </c>
      <c r="BJ1855" s="98">
        <v>10</v>
      </c>
      <c r="BK1855" s="48" t="s">
        <v>2178</v>
      </c>
      <c r="BL1855" s="487">
        <v>5367.0777057043397</v>
      </c>
      <c r="BM1855" s="48" t="s">
        <v>541</v>
      </c>
      <c r="BN1855" s="48"/>
      <c r="BO1855" s="48"/>
      <c r="BP1855" s="48"/>
      <c r="BQ1855" s="48"/>
      <c r="BR1855" s="48"/>
      <c r="BS1855" s="48"/>
      <c r="BT1855" s="48"/>
      <c r="BU1855" s="228"/>
      <c r="BV1855" s="48"/>
      <c r="BW1855" s="48"/>
      <c r="BX1855" s="48"/>
      <c r="BY1855" s="48"/>
      <c r="BZ1855" s="48"/>
      <c r="CA1855" s="48"/>
      <c r="CB1855" s="48"/>
      <c r="CC1855" s="48"/>
      <c r="CD1855" s="48"/>
      <c r="CE1855" s="48"/>
      <c r="CF1855" s="48"/>
      <c r="CG1855" s="48"/>
      <c r="CH1855" s="48"/>
      <c r="CI1855" s="98"/>
      <c r="CJ1855" s="98"/>
      <c r="CK1855" s="49">
        <f t="shared" si="502"/>
        <v>536.70777057043392</v>
      </c>
      <c r="CL1855" s="229"/>
      <c r="CM1855" s="229"/>
      <c r="CN1855" s="229"/>
      <c r="CO1855" s="47"/>
      <c r="CP1855" s="500" t="s">
        <v>2180</v>
      </c>
      <c r="CQ1855" s="224" t="s">
        <v>272</v>
      </c>
      <c r="CR1855" s="224"/>
      <c r="CS1855" s="230" t="s">
        <v>539</v>
      </c>
      <c r="CT1855" s="230" t="s">
        <v>6310</v>
      </c>
      <c r="CU1855" s="230"/>
      <c r="CV1855" s="335">
        <f t="shared" si="505"/>
        <v>0.5</v>
      </c>
      <c r="CW1855" s="230">
        <f t="shared" si="506"/>
        <v>0</v>
      </c>
      <c r="CX1855" s="336" t="s">
        <v>539</v>
      </c>
      <c r="CY1855" s="230" t="s">
        <v>5921</v>
      </c>
    </row>
    <row r="1856" spans="1:103" ht="11.25" customHeight="1" x14ac:dyDescent="0.2">
      <c r="A1856" s="72">
        <v>1316</v>
      </c>
      <c r="B1856" s="224">
        <v>1331</v>
      </c>
      <c r="C1856" s="46" t="s">
        <v>7415</v>
      </c>
      <c r="D1856" s="46"/>
      <c r="E1856" s="114"/>
      <c r="F1856" s="114" t="s">
        <v>4138</v>
      </c>
      <c r="G1856" s="225">
        <v>22204246</v>
      </c>
      <c r="H1856" s="47" t="s">
        <v>4139</v>
      </c>
      <c r="I1856" s="47" t="s">
        <v>8107</v>
      </c>
      <c r="J1856" s="47" t="s">
        <v>4140</v>
      </c>
      <c r="K1856" s="47" t="s">
        <v>4141</v>
      </c>
      <c r="L1856" s="47"/>
      <c r="M1856" s="47"/>
      <c r="N1856" s="47"/>
      <c r="O1856" s="47"/>
      <c r="P1856" s="53"/>
      <c r="Q1856" s="53"/>
      <c r="R1856" s="53"/>
      <c r="S1856" s="53"/>
      <c r="T1856" s="48">
        <v>206.31</v>
      </c>
      <c r="U1856" s="98"/>
      <c r="V1856" s="98">
        <v>84.53</v>
      </c>
      <c r="W1856" s="98">
        <v>3503.6464793938221</v>
      </c>
      <c r="X1856" s="98">
        <v>3503.6464793938221</v>
      </c>
      <c r="Y1856" s="233">
        <v>12.03</v>
      </c>
      <c r="Z1856" s="48">
        <v>3.14</v>
      </c>
      <c r="AA1856" s="48"/>
      <c r="AB1856" s="48">
        <v>2.85</v>
      </c>
      <c r="AC1856" s="48">
        <v>0.69679999999999997</v>
      </c>
      <c r="AD1856" s="48">
        <v>2.4</v>
      </c>
      <c r="AE1856" s="48">
        <v>1.51</v>
      </c>
      <c r="AF1856" s="48">
        <f t="shared" si="499"/>
        <v>2.4</v>
      </c>
      <c r="AG1856" s="49">
        <v>1.71</v>
      </c>
      <c r="AH1856" s="98">
        <v>4.4999999999999999E-8</v>
      </c>
      <c r="AI1856" s="98"/>
      <c r="AJ1856" s="483">
        <f t="shared" si="500"/>
        <v>-5.7353538125373085</v>
      </c>
      <c r="AK1856" s="483"/>
      <c r="AL1856" s="483">
        <f t="shared" si="501"/>
        <v>-5.7353538125373085</v>
      </c>
      <c r="AM1856" s="483">
        <v>-7.0945299999999998</v>
      </c>
      <c r="AN1856" s="226">
        <v>-17.600000000000001</v>
      </c>
      <c r="AO1856" s="484"/>
      <c r="AP1856" s="484">
        <v>12.6</v>
      </c>
      <c r="AQ1856" s="48" t="s">
        <v>6311</v>
      </c>
      <c r="AR1856" s="48" t="s">
        <v>6311</v>
      </c>
      <c r="AS1856" s="224" t="s">
        <v>6</v>
      </c>
      <c r="AT1856" s="50" t="s">
        <v>266</v>
      </c>
      <c r="AU1856" s="48">
        <v>0</v>
      </c>
      <c r="AV1856" s="48">
        <v>144</v>
      </c>
      <c r="AW1856" s="48">
        <v>144</v>
      </c>
      <c r="AX1856" s="48">
        <v>25</v>
      </c>
      <c r="AY1856" s="48" t="s">
        <v>8722</v>
      </c>
      <c r="AZ1856" s="48" t="s">
        <v>2175</v>
      </c>
      <c r="BA1856" s="48" t="s">
        <v>8722</v>
      </c>
      <c r="BB1856" s="47" t="s">
        <v>2176</v>
      </c>
      <c r="BC1856" s="47" t="s">
        <v>538</v>
      </c>
      <c r="BD1856" s="47"/>
      <c r="BE1856" s="48" t="s">
        <v>271</v>
      </c>
      <c r="BF1856" s="48" t="s">
        <v>1974</v>
      </c>
      <c r="BG1856" s="48" t="s">
        <v>1974</v>
      </c>
      <c r="BH1856" s="48" t="s">
        <v>2177</v>
      </c>
      <c r="BI1856" s="98" t="e">
        <v>#VALUE!</v>
      </c>
      <c r="BJ1856" s="98">
        <v>10</v>
      </c>
      <c r="BK1856" s="48" t="s">
        <v>2178</v>
      </c>
      <c r="BL1856" s="487">
        <v>16.043025694309016</v>
      </c>
      <c r="BM1856" s="48" t="s">
        <v>541</v>
      </c>
      <c r="BN1856" s="48"/>
      <c r="BO1856" s="48"/>
      <c r="BP1856" s="48"/>
      <c r="BQ1856" s="48"/>
      <c r="BR1856" s="48"/>
      <c r="BS1856" s="48"/>
      <c r="BT1856" s="48"/>
      <c r="BU1856" s="228"/>
      <c r="BV1856" s="48"/>
      <c r="BW1856" s="48"/>
      <c r="BX1856" s="48"/>
      <c r="BY1856" s="48"/>
      <c r="BZ1856" s="48"/>
      <c r="CA1856" s="48"/>
      <c r="CB1856" s="48"/>
      <c r="CC1856" s="48"/>
      <c r="CD1856" s="48"/>
      <c r="CE1856" s="48"/>
      <c r="CF1856" s="48"/>
      <c r="CG1856" s="48"/>
      <c r="CH1856" s="48"/>
      <c r="CI1856" s="98"/>
      <c r="CJ1856" s="98"/>
      <c r="CK1856" s="49">
        <f t="shared" si="502"/>
        <v>1.6043025694309017</v>
      </c>
      <c r="CL1856" s="229"/>
      <c r="CM1856" s="229"/>
      <c r="CN1856" s="229"/>
      <c r="CO1856" s="47"/>
      <c r="CP1856" s="500" t="s">
        <v>2180</v>
      </c>
      <c r="CQ1856" s="224" t="s">
        <v>272</v>
      </c>
      <c r="CR1856" s="224"/>
      <c r="CS1856" s="230" t="s">
        <v>539</v>
      </c>
      <c r="CT1856" s="230" t="s">
        <v>6310</v>
      </c>
      <c r="CU1856" s="230"/>
      <c r="CV1856" s="335">
        <f t="shared" si="505"/>
        <v>350.36464793938222</v>
      </c>
      <c r="CW1856" s="230">
        <f t="shared" si="506"/>
        <v>1</v>
      </c>
      <c r="CX1856" s="336" t="s">
        <v>539</v>
      </c>
      <c r="CY1856" s="230" t="s">
        <v>5921</v>
      </c>
    </row>
    <row r="1857" spans="1:103" ht="11.25" customHeight="1" x14ac:dyDescent="0.2">
      <c r="A1857" s="72">
        <v>1452</v>
      </c>
      <c r="B1857" s="224">
        <v>1341</v>
      </c>
      <c r="C1857" s="46" t="s">
        <v>7490</v>
      </c>
      <c r="D1857" s="46"/>
      <c r="E1857" s="114"/>
      <c r="F1857" s="114" t="s">
        <v>4151</v>
      </c>
      <c r="G1857" s="225">
        <v>93106606</v>
      </c>
      <c r="H1857" s="47" t="s">
        <v>4152</v>
      </c>
      <c r="I1857" s="47" t="s">
        <v>8155</v>
      </c>
      <c r="J1857" s="47" t="s">
        <v>4153</v>
      </c>
      <c r="K1857" s="47" t="s">
        <v>2752</v>
      </c>
      <c r="L1857" s="47"/>
      <c r="M1857" s="47"/>
      <c r="N1857" s="47"/>
      <c r="O1857" s="47"/>
      <c r="P1857" s="53"/>
      <c r="Q1857" s="53"/>
      <c r="R1857" s="53"/>
      <c r="S1857" s="53"/>
      <c r="T1857" s="48">
        <v>359.39</v>
      </c>
      <c r="U1857" s="98"/>
      <c r="V1857" s="98">
        <v>3397</v>
      </c>
      <c r="W1857" s="98">
        <v>184.31725279265652</v>
      </c>
      <c r="X1857" s="98">
        <v>184.31725279265652</v>
      </c>
      <c r="Y1857" s="233">
        <v>6.93</v>
      </c>
      <c r="Z1857" s="48">
        <v>0.7</v>
      </c>
      <c r="AA1857" s="48"/>
      <c r="AB1857" s="48">
        <v>0.14000000000000001</v>
      </c>
      <c r="AC1857" s="48">
        <v>0.80120000000000002</v>
      </c>
      <c r="AD1857" s="48">
        <v>0.37</v>
      </c>
      <c r="AE1857" s="48">
        <v>1.88</v>
      </c>
      <c r="AF1857" s="48">
        <f t="shared" si="499"/>
        <v>0.37</v>
      </c>
      <c r="AG1857" s="49">
        <v>2.09</v>
      </c>
      <c r="AH1857" s="98">
        <v>1.48E-18</v>
      </c>
      <c r="AI1857" s="98"/>
      <c r="AJ1857" s="483">
        <f t="shared" si="500"/>
        <v>-16.218304610917695</v>
      </c>
      <c r="AK1857" s="483"/>
      <c r="AL1857" s="483">
        <f t="shared" si="501"/>
        <v>-16.218304610917695</v>
      </c>
      <c r="AM1857" s="483">
        <v>-21.762619999999998</v>
      </c>
      <c r="AN1857" s="226">
        <v>-10.9</v>
      </c>
      <c r="AO1857" s="484">
        <v>6.43</v>
      </c>
      <c r="AP1857" s="484">
        <v>7.76</v>
      </c>
      <c r="AQ1857" s="48" t="s">
        <v>6311</v>
      </c>
      <c r="AR1857" s="48" t="s">
        <v>6311</v>
      </c>
      <c r="AS1857" s="224" t="s">
        <v>6</v>
      </c>
      <c r="AT1857" s="50" t="s">
        <v>266</v>
      </c>
      <c r="AU1857" s="48">
        <v>0</v>
      </c>
      <c r="AV1857" s="48">
        <v>144</v>
      </c>
      <c r="AW1857" s="48">
        <v>144</v>
      </c>
      <c r="AX1857" s="48">
        <v>25</v>
      </c>
      <c r="AY1857" s="48" t="s">
        <v>8722</v>
      </c>
      <c r="AZ1857" s="48" t="s">
        <v>2175</v>
      </c>
      <c r="BA1857" s="48" t="s">
        <v>8722</v>
      </c>
      <c r="BB1857" s="47" t="s">
        <v>2176</v>
      </c>
      <c r="BC1857" s="47" t="s">
        <v>538</v>
      </c>
      <c r="BD1857" s="47"/>
      <c r="BE1857" s="48" t="s">
        <v>271</v>
      </c>
      <c r="BF1857" s="48" t="s">
        <v>1974</v>
      </c>
      <c r="BG1857" s="48" t="s">
        <v>1974</v>
      </c>
      <c r="BH1857" s="48" t="s">
        <v>2177</v>
      </c>
      <c r="BI1857" s="98" t="e">
        <v>#VALUE!</v>
      </c>
      <c r="BJ1857" s="98">
        <v>1</v>
      </c>
      <c r="BK1857" s="48" t="s">
        <v>2178</v>
      </c>
      <c r="BL1857" s="487">
        <v>4342.0616831263706</v>
      </c>
      <c r="BM1857" s="48" t="s">
        <v>541</v>
      </c>
      <c r="BN1857" s="48"/>
      <c r="BO1857" s="48"/>
      <c r="BP1857" s="48"/>
      <c r="BQ1857" s="48"/>
      <c r="BR1857" s="48"/>
      <c r="BS1857" s="48"/>
      <c r="BT1857" s="48"/>
      <c r="BU1857" s="228"/>
      <c r="BV1857" s="48"/>
      <c r="BW1857" s="48"/>
      <c r="BX1857" s="48"/>
      <c r="BY1857" s="48"/>
      <c r="BZ1857" s="48"/>
      <c r="CA1857" s="48"/>
      <c r="CB1857" s="48"/>
      <c r="CC1857" s="48"/>
      <c r="CD1857" s="48"/>
      <c r="CE1857" s="48"/>
      <c r="CF1857" s="48"/>
      <c r="CG1857" s="48"/>
      <c r="CH1857" s="48"/>
      <c r="CI1857" s="98"/>
      <c r="CJ1857" s="98"/>
      <c r="CK1857" s="49">
        <f t="shared" si="502"/>
        <v>4342.0616831263706</v>
      </c>
      <c r="CL1857" s="229"/>
      <c r="CM1857" s="229"/>
      <c r="CN1857" s="229"/>
      <c r="CO1857" s="47"/>
      <c r="CP1857" s="500" t="s">
        <v>2180</v>
      </c>
      <c r="CQ1857" s="224" t="s">
        <v>272</v>
      </c>
      <c r="CR1857" s="224"/>
      <c r="CS1857" s="230" t="s">
        <v>539</v>
      </c>
      <c r="CT1857" s="230" t="s">
        <v>6310</v>
      </c>
      <c r="CU1857" s="230"/>
      <c r="CV1857" s="335">
        <f t="shared" si="505"/>
        <v>184.31725279265652</v>
      </c>
      <c r="CW1857" s="230">
        <f t="shared" si="506"/>
        <v>1</v>
      </c>
      <c r="CX1857" s="336" t="s">
        <v>539</v>
      </c>
      <c r="CY1857" s="230" t="s">
        <v>5921</v>
      </c>
    </row>
    <row r="1858" spans="1:103" ht="11.25" customHeight="1" x14ac:dyDescent="0.2">
      <c r="A1858" s="72">
        <v>1475</v>
      </c>
      <c r="B1858" s="224">
        <v>1339</v>
      </c>
      <c r="C1858" s="46" t="s">
        <v>7505</v>
      </c>
      <c r="D1858" s="46"/>
      <c r="E1858" s="114"/>
      <c r="F1858" s="114" t="s">
        <v>4149</v>
      </c>
      <c r="G1858" s="225">
        <v>112398080</v>
      </c>
      <c r="H1858" s="47"/>
      <c r="I1858" s="47"/>
      <c r="J1858" s="47" t="s">
        <v>4150</v>
      </c>
      <c r="K1858" s="47"/>
      <c r="L1858" s="47"/>
      <c r="M1858" s="47"/>
      <c r="N1858" s="47"/>
      <c r="O1858" s="47"/>
      <c r="P1858" s="53"/>
      <c r="Q1858" s="53"/>
      <c r="R1858" s="53"/>
      <c r="S1858" s="53"/>
      <c r="T1858" s="48">
        <v>357.38299999999998</v>
      </c>
      <c r="U1858" s="98"/>
      <c r="V1858" s="98"/>
      <c r="W1858" s="98">
        <v>2.2549342864236452</v>
      </c>
      <c r="X1858" s="98">
        <v>2.2549342864236452</v>
      </c>
      <c r="Y1858" s="233">
        <v>8.57</v>
      </c>
      <c r="Z1858" s="48"/>
      <c r="AA1858" s="48"/>
      <c r="AB1858" s="48"/>
      <c r="AC1858" s="48"/>
      <c r="AD1858" s="48"/>
      <c r="AE1858" s="48"/>
      <c r="AF1858" s="48"/>
      <c r="AG1858" s="49">
        <v>-1.75</v>
      </c>
      <c r="AH1858" s="98"/>
      <c r="AI1858" s="98"/>
      <c r="AJ1858" s="483"/>
      <c r="AK1858" s="483"/>
      <c r="AL1858" s="483"/>
      <c r="AM1858" s="483"/>
      <c r="AN1858" s="226">
        <v>-13.4</v>
      </c>
      <c r="AO1858" s="484"/>
      <c r="AP1858" s="484">
        <v>9.09</v>
      </c>
      <c r="AQ1858" s="48" t="s">
        <v>6311</v>
      </c>
      <c r="AR1858" s="48" t="s">
        <v>6311</v>
      </c>
      <c r="AS1858" s="224" t="s">
        <v>1154</v>
      </c>
      <c r="AT1858" s="50" t="s">
        <v>266</v>
      </c>
      <c r="AU1858" s="48">
        <v>0</v>
      </c>
      <c r="AV1858" s="48">
        <v>144</v>
      </c>
      <c r="AW1858" s="48">
        <v>144</v>
      </c>
      <c r="AX1858" s="48">
        <v>25</v>
      </c>
      <c r="AY1858" s="48" t="s">
        <v>8722</v>
      </c>
      <c r="AZ1858" s="48" t="s">
        <v>2175</v>
      </c>
      <c r="BA1858" s="48" t="s">
        <v>8722</v>
      </c>
      <c r="BB1858" s="47" t="s">
        <v>2176</v>
      </c>
      <c r="BC1858" s="47" t="s">
        <v>538</v>
      </c>
      <c r="BD1858" s="47"/>
      <c r="BE1858" s="48" t="s">
        <v>271</v>
      </c>
      <c r="BF1858" s="48" t="s">
        <v>1974</v>
      </c>
      <c r="BG1858" s="48" t="s">
        <v>1974</v>
      </c>
      <c r="BH1858" s="48" t="s">
        <v>2177</v>
      </c>
      <c r="BI1858" s="98" t="e">
        <v>#VALUE!</v>
      </c>
      <c r="BJ1858" s="98">
        <v>1</v>
      </c>
      <c r="BK1858" s="48" t="s">
        <v>2178</v>
      </c>
      <c r="BL1858" s="487"/>
      <c r="BM1858" s="48" t="s">
        <v>541</v>
      </c>
      <c r="BN1858" s="48"/>
      <c r="BO1858" s="48"/>
      <c r="BP1858" s="48"/>
      <c r="BQ1858" s="48"/>
      <c r="BR1858" s="48"/>
      <c r="BS1858" s="48"/>
      <c r="BT1858" s="48"/>
      <c r="BU1858" s="228"/>
      <c r="BV1858" s="48"/>
      <c r="BW1858" s="48"/>
      <c r="BX1858" s="48"/>
      <c r="BY1858" s="48"/>
      <c r="BZ1858" s="48"/>
      <c r="CA1858" s="48"/>
      <c r="CB1858" s="48"/>
      <c r="CC1858" s="48"/>
      <c r="CD1858" s="48"/>
      <c r="CE1858" s="48"/>
      <c r="CF1858" s="48"/>
      <c r="CG1858" s="48"/>
      <c r="CH1858" s="48"/>
      <c r="CI1858" s="98"/>
      <c r="CJ1858" s="98"/>
      <c r="CK1858" s="49">
        <f t="shared" si="502"/>
        <v>0</v>
      </c>
      <c r="CL1858" s="229"/>
      <c r="CM1858" s="229"/>
      <c r="CN1858" s="229"/>
      <c r="CO1858" s="47"/>
      <c r="CP1858" s="500" t="s">
        <v>2180</v>
      </c>
      <c r="CQ1858" s="224" t="s">
        <v>272</v>
      </c>
      <c r="CR1858" s="224"/>
      <c r="CS1858" s="230" t="s">
        <v>539</v>
      </c>
      <c r="CT1858" s="230" t="s">
        <v>6310</v>
      </c>
      <c r="CU1858" s="230"/>
      <c r="CV1858" s="335">
        <f t="shared" si="505"/>
        <v>2.2549342864236452</v>
      </c>
      <c r="CW1858" s="230">
        <f t="shared" si="506"/>
        <v>1</v>
      </c>
      <c r="CX1858" s="336" t="s">
        <v>539</v>
      </c>
      <c r="CY1858" s="230" t="s">
        <v>5921</v>
      </c>
    </row>
    <row r="1859" spans="1:103" ht="11.25" customHeight="1" x14ac:dyDescent="0.2">
      <c r="A1859" s="72">
        <v>1627</v>
      </c>
      <c r="B1859" s="241">
        <v>1943</v>
      </c>
      <c r="C1859" s="32" t="s">
        <v>7617</v>
      </c>
      <c r="D1859" s="32" t="s">
        <v>8543</v>
      </c>
      <c r="E1859" s="40"/>
      <c r="F1859" s="40" t="s">
        <v>3089</v>
      </c>
      <c r="G1859" s="242">
        <v>56531</v>
      </c>
      <c r="H1859" s="41" t="s">
        <v>3090</v>
      </c>
      <c r="I1859" s="41" t="s">
        <v>3090</v>
      </c>
      <c r="J1859" s="41" t="s">
        <v>3091</v>
      </c>
      <c r="K1859" s="41" t="s">
        <v>376</v>
      </c>
      <c r="L1859" s="41" t="s">
        <v>5509</v>
      </c>
      <c r="M1859" s="41" t="s">
        <v>3092</v>
      </c>
      <c r="N1859" s="36"/>
      <c r="O1859" s="41" t="s">
        <v>281</v>
      </c>
      <c r="P1859" s="41"/>
      <c r="Q1859" s="41"/>
      <c r="R1859" s="41"/>
      <c r="S1859" s="41"/>
      <c r="T1859" s="33">
        <v>268.36</v>
      </c>
      <c r="U1859" s="250">
        <v>12.000447177193964</v>
      </c>
      <c r="V1859" s="250">
        <v>3.3211237562884297</v>
      </c>
      <c r="W1859" s="250">
        <v>3.5376737835899692</v>
      </c>
      <c r="X1859" s="250">
        <v>12.000447177193964</v>
      </c>
      <c r="Y1859" s="415">
        <v>6.98</v>
      </c>
      <c r="Z1859" s="33">
        <v>5.64</v>
      </c>
      <c r="AA1859" s="33">
        <v>5.07</v>
      </c>
      <c r="AB1859" s="33">
        <v>4.07</v>
      </c>
      <c r="AC1859" s="33">
        <v>0.68459999999999999</v>
      </c>
      <c r="AD1859" s="33">
        <v>4.79</v>
      </c>
      <c r="AE1859" s="33">
        <v>5.93</v>
      </c>
      <c r="AF1859" s="33">
        <f t="shared" ref="AF1859:AF1875" si="507">IF(AA1859=0,AD1859,AA1859)</f>
        <v>5.07</v>
      </c>
      <c r="AG1859" s="34">
        <v>4.84</v>
      </c>
      <c r="AH1859" s="250">
        <v>5.8000000000000003E-12</v>
      </c>
      <c r="AI1859" s="250"/>
      <c r="AJ1859" s="34">
        <f t="shared" ref="AJ1859:AJ1875" si="508">LOG10(AH1859*1000/(0.08206*298.15))</f>
        <v>-9.6251383327497138</v>
      </c>
      <c r="AK1859" s="34"/>
      <c r="AL1859" s="34">
        <f t="shared" ref="AL1859:AL1875" si="509">IF(AK1859=0,AJ1859,AK1859)</f>
        <v>-9.6251383327497138</v>
      </c>
      <c r="AM1859" s="34">
        <v>-14.59704</v>
      </c>
      <c r="AN1859" s="251">
        <v>-10.596</v>
      </c>
      <c r="AO1859" s="417">
        <v>10.18</v>
      </c>
      <c r="AP1859" s="417"/>
      <c r="AQ1859" s="251" t="s">
        <v>6311</v>
      </c>
      <c r="AR1859" s="251" t="s">
        <v>6311</v>
      </c>
      <c r="AS1859" s="252" t="s">
        <v>5466</v>
      </c>
      <c r="AT1859" s="35" t="s">
        <v>266</v>
      </c>
      <c r="AU1859" s="33">
        <v>12</v>
      </c>
      <c r="AV1859" s="33">
        <v>48</v>
      </c>
      <c r="AW1859" s="33">
        <v>36</v>
      </c>
      <c r="AX1859" s="33">
        <v>28.5</v>
      </c>
      <c r="AY1859" s="33" t="s">
        <v>267</v>
      </c>
      <c r="AZ1859" s="33" t="s">
        <v>5504</v>
      </c>
      <c r="BA1859" s="33">
        <v>20</v>
      </c>
      <c r="BB1859" s="41" t="s">
        <v>5505</v>
      </c>
      <c r="BC1859" s="41" t="s">
        <v>5506</v>
      </c>
      <c r="BD1859" s="41"/>
      <c r="BE1859" s="33" t="s">
        <v>2449</v>
      </c>
      <c r="BF1859" s="33"/>
      <c r="BG1859" s="33"/>
      <c r="BH1859" s="33"/>
      <c r="BI1859" s="250"/>
      <c r="BJ1859" s="250">
        <v>0.26836000000000004</v>
      </c>
      <c r="BK1859" s="33"/>
      <c r="BL1859" s="263">
        <v>0.11864072260997981</v>
      </c>
      <c r="BM1859" s="33"/>
      <c r="BN1859" s="33"/>
      <c r="BO1859" s="33"/>
      <c r="BP1859" s="33"/>
      <c r="BQ1859" s="33"/>
      <c r="BR1859" s="33"/>
      <c r="BS1859" s="33"/>
      <c r="BT1859" s="33"/>
      <c r="BU1859" s="246"/>
      <c r="BV1859" s="33"/>
      <c r="BW1859" s="33"/>
      <c r="BX1859" s="33" t="e">
        <v>#VALUE!</v>
      </c>
      <c r="BY1859" s="33"/>
      <c r="BZ1859" s="33"/>
      <c r="CA1859" s="33"/>
      <c r="CB1859" s="33"/>
      <c r="CC1859" s="33"/>
      <c r="CD1859" s="33"/>
      <c r="CE1859" s="33"/>
      <c r="CF1859" s="33"/>
      <c r="CG1859" s="33"/>
      <c r="CH1859" s="33"/>
      <c r="CI1859" s="250"/>
      <c r="CJ1859" s="243"/>
      <c r="CK1859" s="38">
        <f t="shared" si="502"/>
        <v>0.44209540397220071</v>
      </c>
      <c r="CL1859" s="247"/>
      <c r="CM1859" s="247"/>
      <c r="CN1859" s="247"/>
      <c r="CO1859" s="41"/>
      <c r="CP1859" s="143" t="s">
        <v>5508</v>
      </c>
      <c r="CQ1859" s="241" t="s">
        <v>272</v>
      </c>
      <c r="CR1859" s="241"/>
      <c r="CS1859" s="33"/>
      <c r="CT1859" s="33"/>
      <c r="CU1859" s="250"/>
      <c r="CV1859" s="337">
        <f t="shared" si="505"/>
        <v>44.717719396310784</v>
      </c>
      <c r="CW1859" s="330">
        <f t="shared" si="506"/>
        <v>1</v>
      </c>
      <c r="CX1859" s="330"/>
      <c r="CY1859" s="143" t="s">
        <v>5921</v>
      </c>
    </row>
    <row r="1860" spans="1:103" ht="11.25" customHeight="1" x14ac:dyDescent="0.2">
      <c r="A1860" s="72">
        <v>1841</v>
      </c>
      <c r="B1860" s="241">
        <v>1942</v>
      </c>
      <c r="C1860" s="32" t="s">
        <v>7729</v>
      </c>
      <c r="D1860" s="32"/>
      <c r="E1860" s="40"/>
      <c r="F1860" s="40" t="s">
        <v>5500</v>
      </c>
      <c r="G1860" s="242">
        <v>1689834</v>
      </c>
      <c r="H1860" s="41" t="s">
        <v>5501</v>
      </c>
      <c r="I1860" s="41" t="s">
        <v>8238</v>
      </c>
      <c r="J1860" s="41" t="s">
        <v>5502</v>
      </c>
      <c r="K1860" s="41" t="s">
        <v>349</v>
      </c>
      <c r="L1860" s="41" t="s">
        <v>5503</v>
      </c>
      <c r="M1860" s="41"/>
      <c r="N1860" s="36"/>
      <c r="O1860" s="41"/>
      <c r="P1860" s="41"/>
      <c r="Q1860" s="41" t="s">
        <v>6173</v>
      </c>
      <c r="R1860" s="41" t="s">
        <v>6180</v>
      </c>
      <c r="S1860" s="41" t="s">
        <v>6176</v>
      </c>
      <c r="T1860" s="33">
        <v>370.92</v>
      </c>
      <c r="U1860" s="250">
        <v>50</v>
      </c>
      <c r="V1860" s="250">
        <v>11.24</v>
      </c>
      <c r="W1860" s="250">
        <v>169.54315129194944</v>
      </c>
      <c r="X1860" s="250">
        <v>50</v>
      </c>
      <c r="Y1860" s="415">
        <v>4.18</v>
      </c>
      <c r="Z1860" s="33">
        <v>3.94</v>
      </c>
      <c r="AA1860" s="33">
        <v>3.43</v>
      </c>
      <c r="AB1860" s="33">
        <v>3.66</v>
      </c>
      <c r="AC1860" s="33">
        <v>0.82569999999999999</v>
      </c>
      <c r="AD1860" s="33">
        <v>3.65</v>
      </c>
      <c r="AE1860" s="33">
        <v>3.6</v>
      </c>
      <c r="AF1860" s="33">
        <f t="shared" si="507"/>
        <v>3.43</v>
      </c>
      <c r="AG1860" s="34">
        <v>3.65</v>
      </c>
      <c r="AH1860" s="250">
        <v>2.9099999999999998E-10</v>
      </c>
      <c r="AI1860" s="250"/>
      <c r="AJ1860" s="34">
        <f t="shared" si="508"/>
        <v>-7.9246733373267446</v>
      </c>
      <c r="AK1860" s="34"/>
      <c r="AL1860" s="34">
        <f t="shared" si="509"/>
        <v>-7.9246733373267446</v>
      </c>
      <c r="AM1860" s="34">
        <v>-10.13049</v>
      </c>
      <c r="AN1860" s="251"/>
      <c r="AO1860" s="417">
        <v>4.95</v>
      </c>
      <c r="AP1860" s="417"/>
      <c r="AQ1860" s="251" t="s">
        <v>6311</v>
      </c>
      <c r="AR1860" s="251" t="s">
        <v>6311</v>
      </c>
      <c r="AS1860" s="252" t="s">
        <v>5466</v>
      </c>
      <c r="AT1860" s="35" t="s">
        <v>266</v>
      </c>
      <c r="AU1860" s="33">
        <v>12</v>
      </c>
      <c r="AV1860" s="33">
        <v>48</v>
      </c>
      <c r="AW1860" s="33">
        <v>36</v>
      </c>
      <c r="AX1860" s="33">
        <v>28.5</v>
      </c>
      <c r="AY1860" s="33" t="s">
        <v>267</v>
      </c>
      <c r="AZ1860" s="33" t="s">
        <v>5504</v>
      </c>
      <c r="BA1860" s="33">
        <v>20</v>
      </c>
      <c r="BB1860" s="41" t="s">
        <v>5505</v>
      </c>
      <c r="BC1860" s="41" t="s">
        <v>5506</v>
      </c>
      <c r="BD1860" s="41"/>
      <c r="BE1860" s="33" t="s">
        <v>2449</v>
      </c>
      <c r="BF1860" s="33"/>
      <c r="BG1860" s="33"/>
      <c r="BH1860" s="33"/>
      <c r="BI1860" s="250"/>
      <c r="BJ1860" s="250">
        <v>0.37092000000000003</v>
      </c>
      <c r="BK1860" s="33"/>
      <c r="BL1860" s="263">
        <v>5.5152633065591852</v>
      </c>
      <c r="BM1860" s="33"/>
      <c r="BN1860" s="33"/>
      <c r="BO1860" s="33"/>
      <c r="BP1860" s="33"/>
      <c r="BQ1860" s="33"/>
      <c r="BR1860" s="33"/>
      <c r="BS1860" s="33"/>
      <c r="BT1860" s="33"/>
      <c r="BU1860" s="246"/>
      <c r="BV1860" s="33"/>
      <c r="BW1860" s="33"/>
      <c r="BX1860" s="33" t="e">
        <v>#VALUE!</v>
      </c>
      <c r="BY1860" s="33"/>
      <c r="BZ1860" s="33"/>
      <c r="CA1860" s="33"/>
      <c r="CB1860" s="33"/>
      <c r="CC1860" s="33"/>
      <c r="CD1860" s="33"/>
      <c r="CE1860" s="33"/>
      <c r="CF1860" s="33"/>
      <c r="CG1860" s="33"/>
      <c r="CH1860" s="33"/>
      <c r="CI1860" s="250"/>
      <c r="CJ1860" s="243"/>
      <c r="CK1860" s="38">
        <f t="shared" si="502"/>
        <v>14.869145116357124</v>
      </c>
      <c r="CL1860" s="247"/>
      <c r="CM1860" s="247"/>
      <c r="CN1860" s="247"/>
      <c r="CO1860" s="41"/>
      <c r="CP1860" s="143" t="s">
        <v>5508</v>
      </c>
      <c r="CQ1860" s="241">
        <v>0.82930377283102497</v>
      </c>
      <c r="CR1860" s="241">
        <f t="shared" ref="CR1860:CR1875" si="510">10^(CJ1860-CQ1860)</f>
        <v>0.14814814814814811</v>
      </c>
      <c r="CS1860" s="33"/>
      <c r="CT1860" s="33"/>
      <c r="CU1860" s="250"/>
      <c r="CV1860" s="337">
        <f t="shared" si="505"/>
        <v>134.79995686401378</v>
      </c>
      <c r="CW1860" s="330">
        <f t="shared" si="506"/>
        <v>1</v>
      </c>
      <c r="CX1860" s="330"/>
      <c r="CY1860" s="143" t="s">
        <v>5921</v>
      </c>
    </row>
    <row r="1861" spans="1:103" ht="11.25" customHeight="1" x14ac:dyDescent="0.2">
      <c r="A1861" s="72">
        <v>454</v>
      </c>
      <c r="B1861" s="149">
        <v>1941</v>
      </c>
      <c r="C1861" s="54" t="s">
        <v>5208</v>
      </c>
      <c r="D1861" s="54" t="s">
        <v>6757</v>
      </c>
      <c r="E1861" s="59"/>
      <c r="F1861" s="167" t="s">
        <v>5209</v>
      </c>
      <c r="G1861" s="151">
        <v>85018</v>
      </c>
      <c r="H1861" s="67" t="s">
        <v>5491</v>
      </c>
      <c r="I1861" s="67" t="s">
        <v>7888</v>
      </c>
      <c r="J1861" s="67" t="s">
        <v>5211</v>
      </c>
      <c r="K1861" s="67" t="s">
        <v>426</v>
      </c>
      <c r="L1861" s="67" t="s">
        <v>5492</v>
      </c>
      <c r="M1861" s="67" t="s">
        <v>866</v>
      </c>
      <c r="N1861" s="60" t="s">
        <v>6082</v>
      </c>
      <c r="O1861" s="67" t="s">
        <v>6086</v>
      </c>
      <c r="P1861" s="67"/>
      <c r="Q1861" s="67"/>
      <c r="R1861" s="67"/>
      <c r="S1861" s="67"/>
      <c r="T1861" s="61">
        <v>178.23</v>
      </c>
      <c r="U1861" s="111">
        <v>1.1499999999999999</v>
      </c>
      <c r="V1861" s="111">
        <v>0.67700000000000005</v>
      </c>
      <c r="W1861" s="111">
        <v>0.45812164036289388</v>
      </c>
      <c r="X1861" s="111">
        <v>1.1499999999999999</v>
      </c>
      <c r="Y1861" s="411">
        <v>7</v>
      </c>
      <c r="Z1861" s="61">
        <v>4.3499999999999996</v>
      </c>
      <c r="AA1861" s="61">
        <v>4.46</v>
      </c>
      <c r="AB1861" s="61">
        <v>4.72</v>
      </c>
      <c r="AC1861" s="61">
        <v>0.88919999999999999</v>
      </c>
      <c r="AD1861" s="61">
        <v>4.71</v>
      </c>
      <c r="AE1861" s="61">
        <v>4.68</v>
      </c>
      <c r="AF1861" s="61">
        <f t="shared" si="507"/>
        <v>4.46</v>
      </c>
      <c r="AG1861" s="62">
        <v>4.09</v>
      </c>
      <c r="AH1861" s="111">
        <v>5.13E-5</v>
      </c>
      <c r="AI1861" s="111">
        <v>4.2299999999999998E-5</v>
      </c>
      <c r="AJ1861" s="62">
        <f t="shared" si="508"/>
        <v>-2.6784489612008358</v>
      </c>
      <c r="AK1861" s="62">
        <f>LOG10(AI1861*1000/(0.08206*298.15))</f>
        <v>-2.7622259589376097</v>
      </c>
      <c r="AL1861" s="62">
        <f t="shared" si="509"/>
        <v>-2.7622259589376097</v>
      </c>
      <c r="AM1861" s="62">
        <v>-6.7898499999999995</v>
      </c>
      <c r="AN1861" s="163">
        <v>-2.7795000000000001</v>
      </c>
      <c r="AO1861" s="410"/>
      <c r="AP1861" s="410"/>
      <c r="AQ1861" s="163" t="s">
        <v>6311</v>
      </c>
      <c r="AR1861" s="163" t="s">
        <v>6311</v>
      </c>
      <c r="AS1861" s="164" t="s">
        <v>5466</v>
      </c>
      <c r="AT1861" s="63" t="s">
        <v>266</v>
      </c>
      <c r="AU1861" s="61">
        <v>0</v>
      </c>
      <c r="AV1861" s="61">
        <v>120</v>
      </c>
      <c r="AW1861" s="61">
        <v>120</v>
      </c>
      <c r="AX1861" s="61">
        <v>28</v>
      </c>
      <c r="AY1861" s="61" t="s">
        <v>647</v>
      </c>
      <c r="AZ1861" s="61"/>
      <c r="BA1861" s="61">
        <v>20</v>
      </c>
      <c r="BB1861" s="67" t="s">
        <v>5493</v>
      </c>
      <c r="BC1861" s="67" t="s">
        <v>5494</v>
      </c>
      <c r="BD1861" s="67"/>
      <c r="BE1861" s="61" t="s">
        <v>5495</v>
      </c>
      <c r="BF1861" s="61"/>
      <c r="BG1861" s="61"/>
      <c r="BH1861" s="61" t="s">
        <v>5496</v>
      </c>
      <c r="BI1861" s="111"/>
      <c r="BJ1861" s="111"/>
      <c r="BK1861" s="61" t="s">
        <v>5497</v>
      </c>
      <c r="BL1861" s="153">
        <v>1.1351305369535005</v>
      </c>
      <c r="BM1861" s="61"/>
      <c r="BN1861" s="61"/>
      <c r="BO1861" s="61"/>
      <c r="BP1861" s="61"/>
      <c r="BQ1861" s="61"/>
      <c r="BR1861" s="61" t="e">
        <v>#VALUE!</v>
      </c>
      <c r="BS1861" s="61"/>
      <c r="BT1861" s="61">
        <v>0.15999992267999999</v>
      </c>
      <c r="BU1861" s="158"/>
      <c r="BV1861" s="61"/>
      <c r="BW1861" s="61"/>
      <c r="BX1861" s="61"/>
      <c r="BY1861" s="61"/>
      <c r="BZ1861" s="61"/>
      <c r="CA1861" s="61"/>
      <c r="CB1861" s="61"/>
      <c r="CC1861" s="61"/>
      <c r="CD1861" s="61"/>
      <c r="CE1861" s="61"/>
      <c r="CF1861" s="61"/>
      <c r="CG1861" s="61"/>
      <c r="CH1861" s="61"/>
      <c r="CI1861" s="111">
        <v>0.15999992267999999</v>
      </c>
      <c r="CJ1861" s="103">
        <f t="shared" ref="CJ1861:CJ1892" si="511">LOG10(CI1861)</f>
        <v>-0.7958802272169343</v>
      </c>
      <c r="CK1861" s="57"/>
      <c r="CL1861" s="160">
        <f t="shared" ref="CL1861:CL1878" si="512">BL1861/CI1861</f>
        <v>7.0945692844099852</v>
      </c>
      <c r="CM1861" s="160">
        <v>-0.63078414258985727</v>
      </c>
      <c r="CN1861" s="160"/>
      <c r="CO1861" s="67"/>
      <c r="CP1861" s="161" t="s">
        <v>5499</v>
      </c>
      <c r="CQ1861" s="149">
        <v>-0.18386763218074403</v>
      </c>
      <c r="CR1861" s="349">
        <f t="shared" si="510"/>
        <v>0.24433596914436684</v>
      </c>
      <c r="CS1861" s="61" t="s">
        <v>539</v>
      </c>
      <c r="CT1861" s="61" t="s">
        <v>6310</v>
      </c>
      <c r="CU1861" s="111">
        <f t="shared" ref="CU1861:CU1875" si="513">X1861/CI1861</f>
        <v>7.187503473361053</v>
      </c>
      <c r="CV1861" s="331"/>
      <c r="CW1861" s="326">
        <f t="shared" ref="CW1861:CW1892" si="514">IF(CU1861&lt;2,0,1)</f>
        <v>1</v>
      </c>
      <c r="CX1861" s="326" t="s">
        <v>539</v>
      </c>
      <c r="CY1861" s="161" t="s">
        <v>5921</v>
      </c>
    </row>
    <row r="1862" spans="1:103" ht="11.25" customHeight="1" x14ac:dyDescent="0.2">
      <c r="A1862" s="72">
        <v>255</v>
      </c>
      <c r="B1862" s="149">
        <v>2165</v>
      </c>
      <c r="C1862" s="54" t="s">
        <v>1669</v>
      </c>
      <c r="D1862" s="54" t="s">
        <v>6457</v>
      </c>
      <c r="E1862" s="59"/>
      <c r="F1862" s="59" t="s">
        <v>1670</v>
      </c>
      <c r="G1862" s="151">
        <v>95761</v>
      </c>
      <c r="H1862" s="55" t="s">
        <v>1671</v>
      </c>
      <c r="I1862" s="55" t="s">
        <v>8213</v>
      </c>
      <c r="J1862" s="55" t="s">
        <v>1672</v>
      </c>
      <c r="K1862" s="55" t="s">
        <v>1573</v>
      </c>
      <c r="L1862" s="55" t="s">
        <v>5527</v>
      </c>
      <c r="M1862" s="55" t="s">
        <v>1629</v>
      </c>
      <c r="N1862" s="60" t="s">
        <v>6385</v>
      </c>
      <c r="O1862" s="55" t="s">
        <v>498</v>
      </c>
      <c r="P1862" s="67">
        <v>3</v>
      </c>
      <c r="Q1862" s="67" t="s">
        <v>6173</v>
      </c>
      <c r="R1862" s="67">
        <v>1</v>
      </c>
      <c r="S1862" s="67" t="s">
        <v>6173</v>
      </c>
      <c r="T1862" s="56">
        <v>162.02000000000001</v>
      </c>
      <c r="U1862" s="103">
        <v>92</v>
      </c>
      <c r="V1862" s="103">
        <v>337.9</v>
      </c>
      <c r="W1862" s="103">
        <v>294.82793311198913</v>
      </c>
      <c r="X1862" s="103">
        <v>92</v>
      </c>
      <c r="Y1862" s="162">
        <v>7.2</v>
      </c>
      <c r="Z1862" s="56">
        <v>2.37</v>
      </c>
      <c r="AA1862" s="56">
        <v>2.69</v>
      </c>
      <c r="AB1862" s="56">
        <v>2.62</v>
      </c>
      <c r="AC1862" s="56">
        <v>0.89139999999999997</v>
      </c>
      <c r="AD1862" s="56">
        <v>2.6</v>
      </c>
      <c r="AE1862" s="56">
        <v>2.5099999999999998</v>
      </c>
      <c r="AF1862" s="56">
        <f t="shared" si="507"/>
        <v>2.69</v>
      </c>
      <c r="AG1862" s="57">
        <v>2.4700000000000002</v>
      </c>
      <c r="AH1862" s="103">
        <v>1.0499999999999999E-6</v>
      </c>
      <c r="AI1862" s="103">
        <v>1.4600000000000001E-5</v>
      </c>
      <c r="AJ1862" s="62">
        <f t="shared" si="508"/>
        <v>-4.3673770272427141</v>
      </c>
      <c r="AK1862" s="62">
        <f>LOG10(AI1862*1000/(0.08206*298.15))</f>
        <v>-3.2242134705282148</v>
      </c>
      <c r="AL1862" s="62">
        <f t="shared" si="509"/>
        <v>-3.2242134705282148</v>
      </c>
      <c r="AM1862" s="62">
        <v>-7.2924100000000003</v>
      </c>
      <c r="AN1862" s="154">
        <v>-4.37</v>
      </c>
      <c r="AO1862" s="410"/>
      <c r="AP1862" s="410">
        <v>2.9</v>
      </c>
      <c r="AQ1862" s="154" t="s">
        <v>6311</v>
      </c>
      <c r="AR1862" s="154" t="s">
        <v>6311</v>
      </c>
      <c r="AS1862" s="149" t="s">
        <v>6</v>
      </c>
      <c r="AT1862" s="58" t="s">
        <v>266</v>
      </c>
      <c r="AU1862" s="56">
        <v>0</v>
      </c>
      <c r="AV1862" s="56">
        <v>96</v>
      </c>
      <c r="AW1862" s="56">
        <v>96</v>
      </c>
      <c r="AX1862" s="56">
        <v>26</v>
      </c>
      <c r="AY1862" s="472" t="s">
        <v>6360</v>
      </c>
      <c r="AZ1862" s="56" t="s">
        <v>536</v>
      </c>
      <c r="BA1862" s="56">
        <v>20</v>
      </c>
      <c r="BB1862" s="55" t="s">
        <v>1764</v>
      </c>
      <c r="BC1862" s="55" t="s">
        <v>6359</v>
      </c>
      <c r="BD1862" s="55"/>
      <c r="BE1862" s="56" t="s">
        <v>1712</v>
      </c>
      <c r="BF1862" s="56" t="s">
        <v>539</v>
      </c>
      <c r="BG1862" s="56" t="s">
        <v>539</v>
      </c>
      <c r="BH1862" s="56" t="s">
        <v>272</v>
      </c>
      <c r="BI1862" s="153">
        <v>0.5</v>
      </c>
      <c r="BJ1862" s="153">
        <v>8</v>
      </c>
      <c r="BK1862" s="56" t="s">
        <v>6365</v>
      </c>
      <c r="BL1862" s="153">
        <v>61.925800289105773</v>
      </c>
      <c r="BM1862" s="56" t="s">
        <v>541</v>
      </c>
      <c r="BN1862" s="56"/>
      <c r="BO1862" s="56">
        <v>3</v>
      </c>
      <c r="BP1862" s="56"/>
      <c r="BQ1862" s="56">
        <v>2.7</v>
      </c>
      <c r="BR1862" s="56"/>
      <c r="BS1862" s="56"/>
      <c r="BT1862" s="56"/>
      <c r="BU1862" s="158"/>
      <c r="BV1862" s="56"/>
      <c r="BW1862" s="56"/>
      <c r="BX1862" s="56"/>
      <c r="BY1862" s="56"/>
      <c r="BZ1862" s="56"/>
      <c r="CA1862" s="56"/>
      <c r="CB1862" s="56"/>
      <c r="CC1862" s="56"/>
      <c r="CD1862" s="56"/>
      <c r="CE1862" s="56"/>
      <c r="CF1862" s="56"/>
      <c r="CG1862" s="56"/>
      <c r="CH1862" s="56"/>
      <c r="CI1862" s="103">
        <v>2.7</v>
      </c>
      <c r="CJ1862" s="103">
        <f t="shared" si="511"/>
        <v>0.43136376415898736</v>
      </c>
      <c r="CK1862" s="57">
        <f>BL1862/BJ1862</f>
        <v>7.7407250361382216</v>
      </c>
      <c r="CL1862" s="160">
        <f t="shared" si="512"/>
        <v>22.935481588557693</v>
      </c>
      <c r="CM1862" s="160">
        <v>0.35012181688711158</v>
      </c>
      <c r="CN1862" s="160">
        <f>BJ1862/(10^CM1862)</f>
        <v>3.5724665421283341</v>
      </c>
      <c r="CO1862" s="55"/>
      <c r="CP1862" s="497" t="s">
        <v>6364</v>
      </c>
      <c r="CQ1862" s="149">
        <v>0.74774431752431614</v>
      </c>
      <c r="CR1862" s="349">
        <f t="shared" si="510"/>
        <v>0.48263570401992734</v>
      </c>
      <c r="CS1862" s="61" t="s">
        <v>539</v>
      </c>
      <c r="CT1862" s="61" t="s">
        <v>6310</v>
      </c>
      <c r="CU1862" s="111">
        <f t="shared" si="513"/>
        <v>34.074074074074069</v>
      </c>
      <c r="CV1862" s="331">
        <f>X1862/BJ1862</f>
        <v>11.5</v>
      </c>
      <c r="CW1862" s="326">
        <f t="shared" si="514"/>
        <v>1</v>
      </c>
      <c r="CX1862" s="326" t="s">
        <v>539</v>
      </c>
      <c r="CY1862" s="161" t="s">
        <v>6351</v>
      </c>
    </row>
    <row r="1863" spans="1:103" ht="11.25" customHeight="1" x14ac:dyDescent="0.2">
      <c r="A1863" s="72">
        <v>258</v>
      </c>
      <c r="B1863" s="149">
        <v>2166</v>
      </c>
      <c r="C1863" s="54" t="s">
        <v>1894</v>
      </c>
      <c r="D1863" s="54" t="s">
        <v>6427</v>
      </c>
      <c r="E1863" s="59"/>
      <c r="F1863" s="59" t="s">
        <v>1696</v>
      </c>
      <c r="G1863" s="151">
        <v>51285</v>
      </c>
      <c r="H1863" s="55" t="s">
        <v>1697</v>
      </c>
      <c r="I1863" s="55" t="s">
        <v>1697</v>
      </c>
      <c r="J1863" s="55" t="s">
        <v>1698</v>
      </c>
      <c r="K1863" s="55" t="s">
        <v>1693</v>
      </c>
      <c r="L1863" s="55" t="s">
        <v>6110</v>
      </c>
      <c r="M1863" s="55" t="s">
        <v>497</v>
      </c>
      <c r="N1863" s="60" t="s">
        <v>6381</v>
      </c>
      <c r="O1863" s="55" t="s">
        <v>6086</v>
      </c>
      <c r="P1863" s="67">
        <v>3</v>
      </c>
      <c r="Q1863" s="67" t="s">
        <v>6173</v>
      </c>
      <c r="R1863" s="67">
        <v>1</v>
      </c>
      <c r="S1863" s="67" t="s">
        <v>6173</v>
      </c>
      <c r="T1863" s="56">
        <v>184.11</v>
      </c>
      <c r="U1863" s="103">
        <v>2790</v>
      </c>
      <c r="V1863" s="103">
        <v>1971</v>
      </c>
      <c r="W1863" s="103">
        <v>1135.2130579271745</v>
      </c>
      <c r="X1863" s="103">
        <v>2790</v>
      </c>
      <c r="Y1863" s="162">
        <v>3.15</v>
      </c>
      <c r="Z1863" s="56">
        <v>1.73</v>
      </c>
      <c r="AA1863" s="56">
        <v>1.67</v>
      </c>
      <c r="AB1863" s="56">
        <v>1.62</v>
      </c>
      <c r="AC1863" s="56">
        <v>0.79949999999999999</v>
      </c>
      <c r="AD1863" s="56">
        <v>1.66</v>
      </c>
      <c r="AE1863" s="56">
        <v>1.74</v>
      </c>
      <c r="AF1863" s="56">
        <f t="shared" si="507"/>
        <v>1.67</v>
      </c>
      <c r="AG1863" s="57">
        <v>0.7</v>
      </c>
      <c r="AH1863" s="103">
        <v>2.7599999999999999E-8</v>
      </c>
      <c r="AI1863" s="103">
        <v>8.6000000000000002E-8</v>
      </c>
      <c r="AJ1863" s="62">
        <f t="shared" si="508"/>
        <v>-5.9476572442474342</v>
      </c>
      <c r="AK1863" s="62">
        <f>LOG10(AI1863*1000/(0.08206*298.15))</f>
        <v>-5.4540678750690841</v>
      </c>
      <c r="AL1863" s="62">
        <f t="shared" si="509"/>
        <v>-5.4540678750690841</v>
      </c>
      <c r="AM1863" s="62">
        <v>-9.2873400000000004</v>
      </c>
      <c r="AN1863" s="154">
        <v>-5.58</v>
      </c>
      <c r="AO1863" s="410">
        <v>4.04</v>
      </c>
      <c r="AP1863" s="410"/>
      <c r="AQ1863" s="56" t="s">
        <v>6311</v>
      </c>
      <c r="AR1863" s="56" t="s">
        <v>6311</v>
      </c>
      <c r="AS1863" s="155"/>
      <c r="AT1863" s="58" t="s">
        <v>266</v>
      </c>
      <c r="AU1863" s="56">
        <v>0</v>
      </c>
      <c r="AV1863" s="56">
        <v>96</v>
      </c>
      <c r="AW1863" s="56">
        <v>96</v>
      </c>
      <c r="AX1863" s="56">
        <v>26</v>
      </c>
      <c r="AY1863" s="472" t="s">
        <v>6360</v>
      </c>
      <c r="AZ1863" s="56" t="s">
        <v>536</v>
      </c>
      <c r="BA1863" s="56">
        <v>20</v>
      </c>
      <c r="BB1863" s="55" t="s">
        <v>1764</v>
      </c>
      <c r="BC1863" s="55" t="s">
        <v>6359</v>
      </c>
      <c r="BD1863" s="55"/>
      <c r="BE1863" s="56" t="s">
        <v>1712</v>
      </c>
      <c r="BF1863" s="56" t="s">
        <v>539</v>
      </c>
      <c r="BG1863" s="56" t="s">
        <v>539</v>
      </c>
      <c r="BH1863" s="56" t="s">
        <v>272</v>
      </c>
      <c r="BI1863" s="153">
        <v>0.625</v>
      </c>
      <c r="BJ1863" s="153">
        <v>10</v>
      </c>
      <c r="BK1863" s="56"/>
      <c r="BL1863" s="153">
        <v>264.34090833793243</v>
      </c>
      <c r="BM1863" s="56" t="s">
        <v>2046</v>
      </c>
      <c r="BN1863" s="56"/>
      <c r="BO1863" s="56">
        <v>4.0999999999999996</v>
      </c>
      <c r="BP1863" s="56"/>
      <c r="BQ1863" s="56">
        <v>3</v>
      </c>
      <c r="BR1863" s="65"/>
      <c r="BS1863" s="56"/>
      <c r="BT1863" s="56"/>
      <c r="BU1863" s="158"/>
      <c r="BV1863" s="56"/>
      <c r="BW1863" s="56"/>
      <c r="BX1863" s="56"/>
      <c r="BY1863" s="56"/>
      <c r="BZ1863" s="56"/>
      <c r="CA1863" s="56"/>
      <c r="CB1863" s="56"/>
      <c r="CC1863" s="56"/>
      <c r="CD1863" s="56"/>
      <c r="CE1863" s="56"/>
      <c r="CF1863" s="56"/>
      <c r="CG1863" s="56"/>
      <c r="CH1863" s="56"/>
      <c r="CI1863" s="103">
        <v>3</v>
      </c>
      <c r="CJ1863" s="103">
        <f t="shared" si="511"/>
        <v>0.47712125471966244</v>
      </c>
      <c r="CK1863" s="57">
        <f>BL1863/BJ1863</f>
        <v>26.434090833793242</v>
      </c>
      <c r="CL1863" s="160">
        <f t="shared" si="512"/>
        <v>88.113636112644144</v>
      </c>
      <c r="CM1863" s="160">
        <v>5.5476152000535031E-2</v>
      </c>
      <c r="CN1863" s="160">
        <f>BJ1863/(10^CM1863)</f>
        <v>8.8008343754449907</v>
      </c>
      <c r="CO1863" s="55"/>
      <c r="CP1863" s="497" t="s">
        <v>6364</v>
      </c>
      <c r="CQ1863" s="149">
        <v>0.73554580874365427</v>
      </c>
      <c r="CR1863" s="349">
        <f t="shared" si="510"/>
        <v>0.55153800767253536</v>
      </c>
      <c r="CS1863" s="61" t="s">
        <v>539</v>
      </c>
      <c r="CT1863" s="61"/>
      <c r="CU1863" s="111">
        <f t="shared" si="513"/>
        <v>930</v>
      </c>
      <c r="CV1863" s="331">
        <f>X1863/BJ1863</f>
        <v>279</v>
      </c>
      <c r="CW1863" s="326">
        <f t="shared" si="514"/>
        <v>1</v>
      </c>
      <c r="CX1863" s="326" t="s">
        <v>539</v>
      </c>
      <c r="CY1863" s="161" t="s">
        <v>6351</v>
      </c>
    </row>
    <row r="1864" spans="1:103" ht="11.25" customHeight="1" x14ac:dyDescent="0.2">
      <c r="A1864" s="72">
        <v>2</v>
      </c>
      <c r="B1864" s="149">
        <v>2172</v>
      </c>
      <c r="C1864" s="54" t="s">
        <v>504</v>
      </c>
      <c r="D1864" s="54" t="s">
        <v>6440</v>
      </c>
      <c r="E1864" s="59"/>
      <c r="F1864" s="59" t="s">
        <v>1689</v>
      </c>
      <c r="G1864" s="151">
        <v>67685</v>
      </c>
      <c r="H1864" s="55" t="s">
        <v>505</v>
      </c>
      <c r="I1864" s="55" t="s">
        <v>505</v>
      </c>
      <c r="J1864" s="55" t="s">
        <v>506</v>
      </c>
      <c r="K1864" s="55" t="s">
        <v>426</v>
      </c>
      <c r="L1864" s="64" t="s">
        <v>279</v>
      </c>
      <c r="M1864" s="55" t="s">
        <v>507</v>
      </c>
      <c r="N1864" s="60" t="s">
        <v>6082</v>
      </c>
      <c r="O1864" s="55" t="s">
        <v>281</v>
      </c>
      <c r="P1864" s="67"/>
      <c r="Q1864" s="67" t="s">
        <v>6173</v>
      </c>
      <c r="R1864" s="67" t="s">
        <v>6185</v>
      </c>
      <c r="S1864" s="67" t="s">
        <v>6176</v>
      </c>
      <c r="T1864" s="59">
        <v>78.13</v>
      </c>
      <c r="U1864" s="153">
        <v>999999.99999999988</v>
      </c>
      <c r="V1864" s="153">
        <v>999999.99999999988</v>
      </c>
      <c r="W1864" s="153">
        <v>1006509.3747378461</v>
      </c>
      <c r="X1864" s="153">
        <v>999999.99999999988</v>
      </c>
      <c r="Y1864" s="410">
        <v>7</v>
      </c>
      <c r="Z1864" s="59">
        <v>-1.22</v>
      </c>
      <c r="AA1864" s="59">
        <v>-1.35</v>
      </c>
      <c r="AB1864" s="59">
        <v>-0.67</v>
      </c>
      <c r="AC1864" s="59">
        <v>0.73660000000000003</v>
      </c>
      <c r="AD1864" s="59">
        <v>-0.91</v>
      </c>
      <c r="AE1864" s="59">
        <v>-1.35</v>
      </c>
      <c r="AF1864" s="62">
        <f t="shared" si="507"/>
        <v>-1.35</v>
      </c>
      <c r="AG1864" s="57">
        <v>-0.34</v>
      </c>
      <c r="AH1864" s="103">
        <v>4.9600000000000001E-8</v>
      </c>
      <c r="AI1864" s="103">
        <v>1.51E-9</v>
      </c>
      <c r="AJ1864" s="62">
        <f t="shared" si="508"/>
        <v>-5.6930846498224543</v>
      </c>
      <c r="AK1864" s="62">
        <f>LOG10(AI1864*1000/(0.08206*298.15))</f>
        <v>-7.2095893790194827</v>
      </c>
      <c r="AL1864" s="62">
        <f t="shared" si="509"/>
        <v>-7.2095893790194827</v>
      </c>
      <c r="AM1864" s="62">
        <v>-7.0543600000000009</v>
      </c>
      <c r="AN1864" s="154">
        <v>2.0099999999999998</v>
      </c>
      <c r="AO1864" s="410"/>
      <c r="AP1864" s="410"/>
      <c r="AQ1864" s="154" t="s">
        <v>6311</v>
      </c>
      <c r="AR1864" s="154" t="s">
        <v>6311</v>
      </c>
      <c r="AS1864" s="149" t="s">
        <v>282</v>
      </c>
      <c r="AT1864" s="58" t="s">
        <v>266</v>
      </c>
      <c r="AU1864" s="56">
        <v>0</v>
      </c>
      <c r="AV1864" s="56">
        <v>96</v>
      </c>
      <c r="AW1864" s="56">
        <v>96</v>
      </c>
      <c r="AX1864" s="56">
        <v>26</v>
      </c>
      <c r="AY1864" s="472" t="s">
        <v>6360</v>
      </c>
      <c r="AZ1864" s="56" t="s">
        <v>536</v>
      </c>
      <c r="BA1864" s="56">
        <v>20</v>
      </c>
      <c r="BB1864" s="55" t="s">
        <v>1764</v>
      </c>
      <c r="BC1864" s="55" t="s">
        <v>6359</v>
      </c>
      <c r="BD1864" s="55"/>
      <c r="BE1864" s="56" t="s">
        <v>1712</v>
      </c>
      <c r="BF1864" s="56" t="s">
        <v>539</v>
      </c>
      <c r="BG1864" s="56" t="s">
        <v>539</v>
      </c>
      <c r="BH1864" s="56" t="s">
        <v>272</v>
      </c>
      <c r="BI1864" s="56" t="s">
        <v>6374</v>
      </c>
      <c r="BJ1864" s="56"/>
      <c r="BK1864" s="56"/>
      <c r="BL1864" s="153">
        <v>50037.986350047962</v>
      </c>
      <c r="BM1864" s="56" t="s">
        <v>541</v>
      </c>
      <c r="BN1864" s="56"/>
      <c r="BO1864" s="56">
        <v>40200</v>
      </c>
      <c r="BP1864" s="56"/>
      <c r="BQ1864" s="56">
        <v>34100</v>
      </c>
      <c r="BR1864" s="56"/>
      <c r="BS1864" s="56"/>
      <c r="BT1864" s="56"/>
      <c r="BU1864" s="158"/>
      <c r="BV1864" s="56"/>
      <c r="BW1864" s="56"/>
      <c r="BX1864" s="56"/>
      <c r="BY1864" s="56"/>
      <c r="BZ1864" s="56"/>
      <c r="CA1864" s="56"/>
      <c r="CB1864" s="56"/>
      <c r="CC1864" s="56"/>
      <c r="CD1864" s="56"/>
      <c r="CE1864" s="56"/>
      <c r="CF1864" s="56"/>
      <c r="CG1864" s="56"/>
      <c r="CH1864" s="56"/>
      <c r="CI1864" s="103">
        <v>34100</v>
      </c>
      <c r="CJ1864" s="103">
        <f t="shared" si="511"/>
        <v>4.5327543789924976</v>
      </c>
      <c r="CK1864" s="57"/>
      <c r="CL1864" s="160">
        <f t="shared" si="512"/>
        <v>1.4673896290336645</v>
      </c>
      <c r="CM1864" s="153">
        <v>4.5321166480173769</v>
      </c>
      <c r="CN1864" s="160">
        <f>BJ1864/(10^CM1864)</f>
        <v>0</v>
      </c>
      <c r="CO1864" s="55"/>
      <c r="CP1864" s="497" t="s">
        <v>6355</v>
      </c>
      <c r="CQ1864" s="153">
        <v>4.5498980085144174</v>
      </c>
      <c r="CR1864" s="349">
        <f t="shared" si="510"/>
        <v>0.96129430732647514</v>
      </c>
      <c r="CS1864" s="61" t="s">
        <v>539</v>
      </c>
      <c r="CT1864" s="61"/>
      <c r="CU1864" s="111">
        <f t="shared" si="513"/>
        <v>29.325513196480934</v>
      </c>
      <c r="CV1864" s="331"/>
      <c r="CW1864" s="326">
        <f t="shared" si="514"/>
        <v>1</v>
      </c>
      <c r="CX1864" s="326" t="s">
        <v>539</v>
      </c>
      <c r="CY1864" s="161" t="s">
        <v>6351</v>
      </c>
    </row>
    <row r="1865" spans="1:103" ht="11.25" customHeight="1" x14ac:dyDescent="0.2">
      <c r="A1865" s="72">
        <v>4</v>
      </c>
      <c r="B1865" s="149">
        <v>2173</v>
      </c>
      <c r="C1865" s="54" t="s">
        <v>1795</v>
      </c>
      <c r="D1865" s="54" t="s">
        <v>6551</v>
      </c>
      <c r="E1865" s="59"/>
      <c r="F1865" s="59" t="s">
        <v>1796</v>
      </c>
      <c r="G1865" s="151">
        <v>112276</v>
      </c>
      <c r="H1865" s="55" t="s">
        <v>1797</v>
      </c>
      <c r="I1865" s="55" t="s">
        <v>1797</v>
      </c>
      <c r="J1865" s="55" t="s">
        <v>1798</v>
      </c>
      <c r="K1865" s="55" t="s">
        <v>426</v>
      </c>
      <c r="L1865" s="55" t="s">
        <v>5527</v>
      </c>
      <c r="M1865" s="55" t="s">
        <v>6616</v>
      </c>
      <c r="N1865" s="60" t="s">
        <v>6082</v>
      </c>
      <c r="O1865" s="55"/>
      <c r="P1865" s="67"/>
      <c r="Q1865" s="67" t="s">
        <v>6176</v>
      </c>
      <c r="R1865" s="67" t="s">
        <v>6185</v>
      </c>
      <c r="S1865" s="67" t="s">
        <v>6176</v>
      </c>
      <c r="T1865" s="56">
        <v>150.16999999999999</v>
      </c>
      <c r="U1865" s="103">
        <v>1000000</v>
      </c>
      <c r="V1865" s="103">
        <v>1000000</v>
      </c>
      <c r="W1865" s="103">
        <v>992163.35087300697</v>
      </c>
      <c r="X1865" s="103">
        <v>1000000</v>
      </c>
      <c r="Y1865" s="162">
        <v>6.58</v>
      </c>
      <c r="Z1865" s="56">
        <v>-1.75</v>
      </c>
      <c r="AA1865" s="56">
        <v>-1.75</v>
      </c>
      <c r="AB1865" s="56">
        <v>-1.01</v>
      </c>
      <c r="AC1865" s="56">
        <v>0.8387</v>
      </c>
      <c r="AD1865" s="56">
        <v>-1.24</v>
      </c>
      <c r="AE1865" s="56">
        <v>-1.87</v>
      </c>
      <c r="AF1865" s="62">
        <f t="shared" si="507"/>
        <v>-1.75</v>
      </c>
      <c r="AG1865" s="57">
        <v>-0.93</v>
      </c>
      <c r="AH1865" s="103">
        <v>3.1599999999999999E-11</v>
      </c>
      <c r="AI1865" s="103"/>
      <c r="AJ1865" s="62">
        <f t="shared" si="508"/>
        <v>-8.8888792436942481</v>
      </c>
      <c r="AK1865" s="62"/>
      <c r="AL1865" s="62">
        <f t="shared" si="509"/>
        <v>-8.8888792436942481</v>
      </c>
      <c r="AM1865" s="62">
        <v>-10.47321</v>
      </c>
      <c r="AN1865" s="154">
        <v>-9.2100000000000009</v>
      </c>
      <c r="AO1865" s="410">
        <v>14.06</v>
      </c>
      <c r="AP1865" s="410"/>
      <c r="AQ1865" s="154" t="s">
        <v>6311</v>
      </c>
      <c r="AR1865" s="154" t="s">
        <v>6311</v>
      </c>
      <c r="AS1865" s="149" t="s">
        <v>6</v>
      </c>
      <c r="AT1865" s="58" t="s">
        <v>266</v>
      </c>
      <c r="AU1865" s="56">
        <v>0</v>
      </c>
      <c r="AV1865" s="56">
        <v>96</v>
      </c>
      <c r="AW1865" s="56">
        <v>96</v>
      </c>
      <c r="AX1865" s="56">
        <v>26</v>
      </c>
      <c r="AY1865" s="472" t="s">
        <v>6360</v>
      </c>
      <c r="AZ1865" s="56" t="s">
        <v>536</v>
      </c>
      <c r="BA1865" s="56">
        <v>20</v>
      </c>
      <c r="BB1865" s="55" t="s">
        <v>1764</v>
      </c>
      <c r="BC1865" s="55" t="s">
        <v>6359</v>
      </c>
      <c r="BD1865" s="55"/>
      <c r="BE1865" s="56" t="s">
        <v>1712</v>
      </c>
      <c r="BF1865" s="56" t="s">
        <v>539</v>
      </c>
      <c r="BG1865" s="56" t="s">
        <v>539</v>
      </c>
      <c r="BH1865" s="56" t="s">
        <v>272</v>
      </c>
      <c r="BI1865" s="56" t="s">
        <v>6374</v>
      </c>
      <c r="BJ1865" s="157"/>
      <c r="BK1865" s="56"/>
      <c r="BL1865" s="153">
        <v>287778.39145830373</v>
      </c>
      <c r="BM1865" s="56" t="s">
        <v>541</v>
      </c>
      <c r="BN1865" s="56"/>
      <c r="BO1865" s="56">
        <v>71300</v>
      </c>
      <c r="BP1865" s="56"/>
      <c r="BQ1865" s="56">
        <v>54799.999999999993</v>
      </c>
      <c r="BR1865" s="56"/>
      <c r="BS1865" s="56"/>
      <c r="BT1865" s="56"/>
      <c r="BU1865" s="158"/>
      <c r="BV1865" s="56"/>
      <c r="BW1865" s="56"/>
      <c r="BX1865" s="56"/>
      <c r="BY1865" s="56"/>
      <c r="BZ1865" s="56"/>
      <c r="CA1865" s="56"/>
      <c r="CB1865" s="56"/>
      <c r="CC1865" s="56"/>
      <c r="CD1865" s="56"/>
      <c r="CE1865" s="56"/>
      <c r="CF1865" s="56"/>
      <c r="CG1865" s="56"/>
      <c r="CH1865" s="56"/>
      <c r="CI1865" s="103">
        <v>54799.999999999993</v>
      </c>
      <c r="CJ1865" s="103">
        <f t="shared" si="511"/>
        <v>4.7387805584843692</v>
      </c>
      <c r="CK1865" s="57"/>
      <c r="CL1865" s="160">
        <f t="shared" si="512"/>
        <v>5.2514305010639371</v>
      </c>
      <c r="CM1865" s="160"/>
      <c r="CN1865" s="160"/>
      <c r="CO1865" s="55"/>
      <c r="CP1865" s="497" t="s">
        <v>6355</v>
      </c>
      <c r="CQ1865" s="153">
        <v>4.8629941487295589</v>
      </c>
      <c r="CR1865" s="349">
        <f t="shared" si="510"/>
        <v>0.75125332946239287</v>
      </c>
      <c r="CS1865" s="61" t="s">
        <v>539</v>
      </c>
      <c r="CT1865" s="61"/>
      <c r="CU1865" s="111">
        <f t="shared" si="513"/>
        <v>18.248175182481756</v>
      </c>
      <c r="CV1865" s="331"/>
      <c r="CW1865" s="326">
        <f t="shared" si="514"/>
        <v>1</v>
      </c>
      <c r="CX1865" s="326" t="s">
        <v>539</v>
      </c>
      <c r="CY1865" s="161" t="s">
        <v>6351</v>
      </c>
    </row>
    <row r="1866" spans="1:103" ht="11.25" customHeight="1" x14ac:dyDescent="0.2">
      <c r="A1866" s="72">
        <v>6</v>
      </c>
      <c r="B1866" s="149">
        <v>690</v>
      </c>
      <c r="C1866" s="54" t="s">
        <v>422</v>
      </c>
      <c r="D1866" s="54" t="s">
        <v>6438</v>
      </c>
      <c r="E1866" s="59"/>
      <c r="F1866" s="59" t="s">
        <v>423</v>
      </c>
      <c r="G1866" s="151">
        <v>64175</v>
      </c>
      <c r="H1866" s="55" t="s">
        <v>424</v>
      </c>
      <c r="I1866" s="55" t="s">
        <v>424</v>
      </c>
      <c r="J1866" s="55" t="s">
        <v>425</v>
      </c>
      <c r="K1866" s="55" t="s">
        <v>426</v>
      </c>
      <c r="L1866" s="64" t="s">
        <v>279</v>
      </c>
      <c r="M1866" s="64" t="s">
        <v>8502</v>
      </c>
      <c r="N1866" s="60" t="s">
        <v>6082</v>
      </c>
      <c r="O1866" s="55" t="s">
        <v>281</v>
      </c>
      <c r="P1866" s="67" t="s">
        <v>6183</v>
      </c>
      <c r="Q1866" s="67" t="s">
        <v>6176</v>
      </c>
      <c r="R1866" s="67" t="s">
        <v>6185</v>
      </c>
      <c r="S1866" s="67" t="s">
        <v>6176</v>
      </c>
      <c r="T1866" s="59">
        <v>46.07</v>
      </c>
      <c r="U1866" s="153">
        <v>1000000.0000000001</v>
      </c>
      <c r="V1866" s="153">
        <v>792099.99999999988</v>
      </c>
      <c r="W1866" s="153">
        <v>183407.97347399619</v>
      </c>
      <c r="X1866" s="153">
        <v>1000000.0000000001</v>
      </c>
      <c r="Y1866" s="410">
        <v>6.96</v>
      </c>
      <c r="Z1866" s="59">
        <v>-0.14000000000000001</v>
      </c>
      <c r="AA1866" s="59">
        <v>-0.31</v>
      </c>
      <c r="AB1866" s="59">
        <v>-0.24</v>
      </c>
      <c r="AC1866" s="59">
        <v>0.90610000000000002</v>
      </c>
      <c r="AD1866" s="59">
        <v>-0.23</v>
      </c>
      <c r="AE1866" s="59">
        <v>-0.19</v>
      </c>
      <c r="AF1866" s="62">
        <f t="shared" si="507"/>
        <v>-0.31</v>
      </c>
      <c r="AG1866" s="57">
        <v>0.09</v>
      </c>
      <c r="AH1866" s="103">
        <v>5.6699999999999999E-6</v>
      </c>
      <c r="AI1866" s="103">
        <v>5.0000000000000004E-6</v>
      </c>
      <c r="AJ1866" s="62">
        <f t="shared" si="508"/>
        <v>-3.6349832674197451</v>
      </c>
      <c r="AK1866" s="62">
        <f>LOG10(AI1866*1000/(0.08206*298.15))</f>
        <v>-3.6895963219766328</v>
      </c>
      <c r="AL1866" s="62">
        <f t="shared" si="509"/>
        <v>-3.6895963219766328</v>
      </c>
      <c r="AM1866" s="62">
        <v>-3.1772200000000002</v>
      </c>
      <c r="AN1866" s="154">
        <v>-3.57</v>
      </c>
      <c r="AO1866" s="410">
        <v>15.24</v>
      </c>
      <c r="AP1866" s="410"/>
      <c r="AQ1866" s="154" t="s">
        <v>6311</v>
      </c>
      <c r="AR1866" s="154" t="s">
        <v>6311</v>
      </c>
      <c r="AS1866" s="149" t="s">
        <v>282</v>
      </c>
      <c r="AT1866" s="58" t="s">
        <v>266</v>
      </c>
      <c r="AU1866" s="56">
        <v>2</v>
      </c>
      <c r="AV1866" s="56">
        <v>96</v>
      </c>
      <c r="AW1866" s="56">
        <v>96</v>
      </c>
      <c r="AX1866" s="56">
        <v>26</v>
      </c>
      <c r="AY1866" s="56" t="s">
        <v>6360</v>
      </c>
      <c r="AZ1866" s="56" t="s">
        <v>536</v>
      </c>
      <c r="BA1866" s="56">
        <v>20</v>
      </c>
      <c r="BB1866" s="55" t="s">
        <v>1764</v>
      </c>
      <c r="BC1866" s="55" t="s">
        <v>6372</v>
      </c>
      <c r="BD1866" s="55"/>
      <c r="BE1866" s="56" t="s">
        <v>6361</v>
      </c>
      <c r="BF1866" s="56" t="s">
        <v>1974</v>
      </c>
      <c r="BG1866" s="56" t="s">
        <v>1974</v>
      </c>
      <c r="BH1866" s="56" t="s">
        <v>272</v>
      </c>
      <c r="BI1866" s="153">
        <v>5300</v>
      </c>
      <c r="BJ1866" s="153">
        <v>27000</v>
      </c>
      <c r="BK1866" s="56" t="s">
        <v>6373</v>
      </c>
      <c r="BL1866" s="153">
        <v>3161.9297169680549</v>
      </c>
      <c r="BM1866" s="56" t="s">
        <v>541</v>
      </c>
      <c r="BN1866" s="56"/>
      <c r="BO1866" s="56">
        <v>13200</v>
      </c>
      <c r="BP1866" s="56"/>
      <c r="BQ1866" s="56">
        <v>12000</v>
      </c>
      <c r="BR1866" s="56"/>
      <c r="BS1866" s="56"/>
      <c r="BT1866" s="56"/>
      <c r="BU1866" s="158"/>
      <c r="BV1866" s="56"/>
      <c r="BW1866" s="56"/>
      <c r="BX1866" s="56"/>
      <c r="BY1866" s="56"/>
      <c r="BZ1866" s="56"/>
      <c r="CA1866" s="56"/>
      <c r="CB1866" s="56"/>
      <c r="CC1866" s="56"/>
      <c r="CD1866" s="56"/>
      <c r="CE1866" s="56"/>
      <c r="CF1866" s="56"/>
      <c r="CG1866" s="56"/>
      <c r="CH1866" s="56"/>
      <c r="CI1866" s="103">
        <v>12000</v>
      </c>
      <c r="CJ1866" s="103">
        <f t="shared" si="511"/>
        <v>4.0791812460476251</v>
      </c>
      <c r="CK1866" s="57">
        <f t="shared" ref="CK1866:CK1878" si="515">BL1866/BJ1866</f>
        <v>0.11710850803585389</v>
      </c>
      <c r="CL1866" s="160">
        <f t="shared" si="512"/>
        <v>0.26349414308067126</v>
      </c>
      <c r="CM1866" s="160">
        <v>2.8171348229570792</v>
      </c>
      <c r="CN1866" s="160">
        <f>BJ1866/(10^CM1866)</f>
        <v>41.136651853112646</v>
      </c>
      <c r="CO1866" s="55"/>
      <c r="CP1866" s="497" t="s">
        <v>6355</v>
      </c>
      <c r="CQ1866" s="153">
        <v>3.7646752173993483</v>
      </c>
      <c r="CR1866" s="349">
        <f t="shared" si="510"/>
        <v>2.0630323050446546</v>
      </c>
      <c r="CS1866" s="61" t="s">
        <v>539</v>
      </c>
      <c r="CT1866" s="61" t="s">
        <v>6310</v>
      </c>
      <c r="CU1866" s="111">
        <f t="shared" si="513"/>
        <v>83.333333333333343</v>
      </c>
      <c r="CV1866" s="331">
        <f t="shared" ref="CV1866:CV1875" si="516">X1866/BJ1866</f>
        <v>37.037037037037038</v>
      </c>
      <c r="CW1866" s="326">
        <f t="shared" si="514"/>
        <v>1</v>
      </c>
      <c r="CX1866" s="326" t="s">
        <v>539</v>
      </c>
      <c r="CY1866" s="161" t="s">
        <v>6351</v>
      </c>
    </row>
    <row r="1867" spans="1:103" ht="11.25" customHeight="1" x14ac:dyDescent="0.2">
      <c r="A1867" s="72">
        <v>44</v>
      </c>
      <c r="B1867" s="149">
        <v>687</v>
      </c>
      <c r="C1867" s="54" t="s">
        <v>1982</v>
      </c>
      <c r="D1867" s="54" t="s">
        <v>6549</v>
      </c>
      <c r="E1867" s="59"/>
      <c r="F1867" s="59" t="s">
        <v>1983</v>
      </c>
      <c r="G1867" s="151">
        <v>110930</v>
      </c>
      <c r="H1867" s="55" t="s">
        <v>1984</v>
      </c>
      <c r="I1867" s="55" t="s">
        <v>1984</v>
      </c>
      <c r="J1867" s="55" t="s">
        <v>1985</v>
      </c>
      <c r="K1867" s="55" t="s">
        <v>426</v>
      </c>
      <c r="L1867" s="55"/>
      <c r="M1867" s="55" t="s">
        <v>6616</v>
      </c>
      <c r="N1867" s="60" t="s">
        <v>6082</v>
      </c>
      <c r="O1867" s="55"/>
      <c r="P1867" s="67" t="s">
        <v>6183</v>
      </c>
      <c r="Q1867" s="67" t="s">
        <v>6173</v>
      </c>
      <c r="R1867" s="67" t="s">
        <v>6185</v>
      </c>
      <c r="S1867" s="67" t="s">
        <v>6176</v>
      </c>
      <c r="T1867" s="56">
        <v>126.2</v>
      </c>
      <c r="U1867" s="103"/>
      <c r="V1867" s="103">
        <v>1651</v>
      </c>
      <c r="W1867" s="103">
        <v>6935.2058280832198</v>
      </c>
      <c r="X1867" s="103">
        <v>6935.2058280832198</v>
      </c>
      <c r="Y1867" s="162">
        <v>7</v>
      </c>
      <c r="Z1867" s="56">
        <v>2.06</v>
      </c>
      <c r="AA1867" s="56"/>
      <c r="AB1867" s="56">
        <v>2.61</v>
      </c>
      <c r="AC1867" s="56">
        <v>0.61699999999999999</v>
      </c>
      <c r="AD1867" s="56">
        <v>2.37</v>
      </c>
      <c r="AE1867" s="56">
        <v>2.09</v>
      </c>
      <c r="AF1867" s="56">
        <f t="shared" si="507"/>
        <v>2.37</v>
      </c>
      <c r="AG1867" s="57">
        <v>1.9</v>
      </c>
      <c r="AH1867" s="103">
        <v>2.12E-4</v>
      </c>
      <c r="AI1867" s="103"/>
      <c r="AJ1867" s="62">
        <f t="shared" si="508"/>
        <v>-2.0622304653839003</v>
      </c>
      <c r="AK1867" s="62"/>
      <c r="AL1867" s="62">
        <f t="shared" si="509"/>
        <v>-2.0622304653839003</v>
      </c>
      <c r="AM1867" s="62">
        <v>-3.9925299999999995</v>
      </c>
      <c r="AN1867" s="154">
        <v>-2.71</v>
      </c>
      <c r="AO1867" s="410"/>
      <c r="AP1867" s="410"/>
      <c r="AQ1867" s="154" t="s">
        <v>6311</v>
      </c>
      <c r="AR1867" s="154" t="s">
        <v>6311</v>
      </c>
      <c r="AS1867" s="149" t="s">
        <v>6</v>
      </c>
      <c r="AT1867" s="58" t="s">
        <v>266</v>
      </c>
      <c r="AU1867" s="56">
        <v>2</v>
      </c>
      <c r="AV1867" s="56">
        <v>96</v>
      </c>
      <c r="AW1867" s="56">
        <v>96</v>
      </c>
      <c r="AX1867" s="56">
        <v>26</v>
      </c>
      <c r="AY1867" s="56" t="s">
        <v>6360</v>
      </c>
      <c r="AZ1867" s="56" t="s">
        <v>536</v>
      </c>
      <c r="BA1867" s="56">
        <v>20</v>
      </c>
      <c r="BB1867" s="55" t="s">
        <v>1764</v>
      </c>
      <c r="BC1867" s="55" t="s">
        <v>6372</v>
      </c>
      <c r="BD1867" s="55"/>
      <c r="BE1867" s="56" t="s">
        <v>6361</v>
      </c>
      <c r="BF1867" s="56" t="s">
        <v>1974</v>
      </c>
      <c r="BG1867" s="56" t="s">
        <v>1974</v>
      </c>
      <c r="BH1867" s="56" t="s">
        <v>272</v>
      </c>
      <c r="BI1867" s="153">
        <v>25</v>
      </c>
      <c r="BJ1867" s="153">
        <v>208.03</v>
      </c>
      <c r="BK1867" s="56" t="s">
        <v>6370</v>
      </c>
      <c r="BL1867" s="153">
        <v>91.57424672358276</v>
      </c>
      <c r="BM1867" s="56" t="s">
        <v>541</v>
      </c>
      <c r="BN1867" s="56"/>
      <c r="BO1867" s="56">
        <v>279</v>
      </c>
      <c r="BP1867" s="56"/>
      <c r="BQ1867" s="56">
        <v>243</v>
      </c>
      <c r="BR1867" s="56"/>
      <c r="BS1867" s="56"/>
      <c r="BT1867" s="56"/>
      <c r="BU1867" s="158"/>
      <c r="BV1867" s="56"/>
      <c r="BW1867" s="56"/>
      <c r="BX1867" s="56"/>
      <c r="BY1867" s="56"/>
      <c r="BZ1867" s="56"/>
      <c r="CA1867" s="56"/>
      <c r="CB1867" s="56"/>
      <c r="CC1867" s="56"/>
      <c r="CD1867" s="56"/>
      <c r="CE1867" s="56"/>
      <c r="CF1867" s="56"/>
      <c r="CG1867" s="56"/>
      <c r="CH1867" s="56"/>
      <c r="CI1867" s="103">
        <v>243</v>
      </c>
      <c r="CJ1867" s="103">
        <f t="shared" si="511"/>
        <v>2.3856062735983121</v>
      </c>
      <c r="CK1867" s="57">
        <f t="shared" si="515"/>
        <v>0.44019731155882691</v>
      </c>
      <c r="CL1867" s="160">
        <f t="shared" si="512"/>
        <v>0.37684875194890027</v>
      </c>
      <c r="CM1867" s="160"/>
      <c r="CN1867" s="160"/>
      <c r="CO1867" s="55"/>
      <c r="CP1867" s="497" t="s">
        <v>6355</v>
      </c>
      <c r="CQ1867" s="149">
        <v>1.9319649265453607</v>
      </c>
      <c r="CR1867" s="349">
        <f t="shared" si="510"/>
        <v>2.8421130388616711</v>
      </c>
      <c r="CS1867" s="61" t="s">
        <v>539</v>
      </c>
      <c r="CT1867" s="61" t="s">
        <v>6310</v>
      </c>
      <c r="CU1867" s="111">
        <f t="shared" si="513"/>
        <v>28.539941679354815</v>
      </c>
      <c r="CV1867" s="331">
        <f t="shared" si="516"/>
        <v>33.337527414715282</v>
      </c>
      <c r="CW1867" s="326">
        <f t="shared" si="514"/>
        <v>1</v>
      </c>
      <c r="CX1867" s="326" t="s">
        <v>539</v>
      </c>
      <c r="CY1867" s="161" t="s">
        <v>6351</v>
      </c>
    </row>
    <row r="1868" spans="1:103" ht="11.25" customHeight="1" x14ac:dyDescent="0.2">
      <c r="A1868" s="72">
        <v>56</v>
      </c>
      <c r="B1868" s="149">
        <v>2171</v>
      </c>
      <c r="C1868" s="54" t="s">
        <v>1923</v>
      </c>
      <c r="D1868" s="54" t="s">
        <v>6560</v>
      </c>
      <c r="E1868" s="59"/>
      <c r="F1868" s="59" t="s">
        <v>1924</v>
      </c>
      <c r="G1868" s="151">
        <v>298464</v>
      </c>
      <c r="H1868" s="55" t="s">
        <v>1925</v>
      </c>
      <c r="I1868" s="55" t="s">
        <v>1925</v>
      </c>
      <c r="J1868" s="55" t="s">
        <v>1926</v>
      </c>
      <c r="K1868" s="55" t="s">
        <v>1292</v>
      </c>
      <c r="L1868" s="64" t="s">
        <v>279</v>
      </c>
      <c r="M1868" s="55" t="s">
        <v>1927</v>
      </c>
      <c r="N1868" s="60" t="s">
        <v>6376</v>
      </c>
      <c r="O1868" s="55" t="s">
        <v>281</v>
      </c>
      <c r="P1868" s="67"/>
      <c r="Q1868" s="67"/>
      <c r="R1868" s="67"/>
      <c r="S1868" s="67"/>
      <c r="T1868" s="56">
        <v>236.27</v>
      </c>
      <c r="U1868" s="103">
        <v>112</v>
      </c>
      <c r="V1868" s="103">
        <v>17.66</v>
      </c>
      <c r="W1868" s="103">
        <v>78.236350072691764</v>
      </c>
      <c r="X1868" s="103">
        <v>112</v>
      </c>
      <c r="Y1868" s="162">
        <v>7</v>
      </c>
      <c r="Z1868" s="56">
        <v>2.25</v>
      </c>
      <c r="AA1868" s="56">
        <v>2.4500000000000002</v>
      </c>
      <c r="AB1868" s="56">
        <v>2.17</v>
      </c>
      <c r="AC1868" s="56">
        <v>0.88529999999999998</v>
      </c>
      <c r="AD1868" s="56">
        <v>2.2799999999999998</v>
      </c>
      <c r="AE1868" s="56">
        <v>2.67</v>
      </c>
      <c r="AF1868" s="56">
        <f t="shared" si="507"/>
        <v>2.4500000000000002</v>
      </c>
      <c r="AG1868" s="57">
        <v>2.52</v>
      </c>
      <c r="AH1868" s="103">
        <v>1.08E-10</v>
      </c>
      <c r="AI1868" s="103"/>
      <c r="AJ1868" s="62">
        <f t="shared" si="508"/>
        <v>-8.3551425708257021</v>
      </c>
      <c r="AK1868" s="62"/>
      <c r="AL1868" s="62">
        <f t="shared" si="509"/>
        <v>-8.3551425708257021</v>
      </c>
      <c r="AM1868" s="62">
        <v>-14.371929999999999</v>
      </c>
      <c r="AN1868" s="154">
        <v>-9.82</v>
      </c>
      <c r="AO1868" s="410">
        <v>13.94</v>
      </c>
      <c r="AP1868" s="410">
        <v>-0.49</v>
      </c>
      <c r="AQ1868" s="154" t="s">
        <v>6311</v>
      </c>
      <c r="AR1868" s="154" t="s">
        <v>6311</v>
      </c>
      <c r="AS1868" s="149" t="s">
        <v>90</v>
      </c>
      <c r="AT1868" s="58" t="s">
        <v>266</v>
      </c>
      <c r="AU1868" s="56">
        <v>0</v>
      </c>
      <c r="AV1868" s="56">
        <v>96</v>
      </c>
      <c r="AW1868" s="56">
        <v>96</v>
      </c>
      <c r="AX1868" s="56">
        <v>26</v>
      </c>
      <c r="AY1868" s="472" t="s">
        <v>6360</v>
      </c>
      <c r="AZ1868" s="56" t="s">
        <v>536</v>
      </c>
      <c r="BA1868" s="56">
        <v>20</v>
      </c>
      <c r="BB1868" s="55" t="s">
        <v>1764</v>
      </c>
      <c r="BC1868" s="55" t="s">
        <v>6359</v>
      </c>
      <c r="BD1868" s="55"/>
      <c r="BE1868" s="56" t="s">
        <v>1712</v>
      </c>
      <c r="BF1868" s="56" t="s">
        <v>539</v>
      </c>
      <c r="BG1868" s="56" t="s">
        <v>539</v>
      </c>
      <c r="BH1868" s="56" t="s">
        <v>272</v>
      </c>
      <c r="BI1868" s="153">
        <v>54.7</v>
      </c>
      <c r="BJ1868" s="153">
        <v>210</v>
      </c>
      <c r="BK1868" s="56" t="s">
        <v>6369</v>
      </c>
      <c r="BL1868" s="153">
        <v>115.74002752106692</v>
      </c>
      <c r="BM1868" s="56" t="s">
        <v>541</v>
      </c>
      <c r="BN1868" s="56"/>
      <c r="BO1868" s="56">
        <v>177</v>
      </c>
      <c r="BP1868" s="56"/>
      <c r="BQ1868" s="56">
        <v>153</v>
      </c>
      <c r="BR1868" s="56"/>
      <c r="BS1868" s="56"/>
      <c r="BT1868" s="56"/>
      <c r="BU1868" s="158"/>
      <c r="BV1868" s="56"/>
      <c r="BW1868" s="56"/>
      <c r="BX1868" s="56"/>
      <c r="BY1868" s="56"/>
      <c r="BZ1868" s="56"/>
      <c r="CA1868" s="56"/>
      <c r="CB1868" s="56"/>
      <c r="CC1868" s="56"/>
      <c r="CD1868" s="56"/>
      <c r="CE1868" s="56"/>
      <c r="CF1868" s="56"/>
      <c r="CG1868" s="56"/>
      <c r="CH1868" s="56"/>
      <c r="CI1868" s="103">
        <v>153</v>
      </c>
      <c r="CJ1868" s="103">
        <f t="shared" si="511"/>
        <v>2.1846914308175989</v>
      </c>
      <c r="CK1868" s="57">
        <f t="shared" si="515"/>
        <v>0.55114298819555674</v>
      </c>
      <c r="CL1868" s="160">
        <f t="shared" si="512"/>
        <v>0.75647076811154845</v>
      </c>
      <c r="CM1868" s="160"/>
      <c r="CN1868" s="160"/>
      <c r="CO1868" s="55" t="s">
        <v>3683</v>
      </c>
      <c r="CP1868" s="497" t="s">
        <v>6355</v>
      </c>
      <c r="CQ1868" s="149">
        <v>1.4661607659946467</v>
      </c>
      <c r="CR1868" s="349">
        <f t="shared" si="510"/>
        <v>5.2303489551677709</v>
      </c>
      <c r="CS1868" s="61" t="s">
        <v>539</v>
      </c>
      <c r="CT1868" s="61"/>
      <c r="CU1868" s="111">
        <f t="shared" si="513"/>
        <v>0.73202614379084963</v>
      </c>
      <c r="CV1868" s="331">
        <f t="shared" si="516"/>
        <v>0.53333333333333333</v>
      </c>
      <c r="CW1868" s="326">
        <f t="shared" si="514"/>
        <v>0</v>
      </c>
      <c r="CX1868" s="326" t="s">
        <v>539</v>
      </c>
      <c r="CY1868" s="161" t="s">
        <v>5921</v>
      </c>
    </row>
    <row r="1869" spans="1:103" ht="11.25" customHeight="1" x14ac:dyDescent="0.2">
      <c r="A1869" s="72">
        <v>84</v>
      </c>
      <c r="B1869" s="149">
        <v>2170</v>
      </c>
      <c r="C1869" s="54" t="s">
        <v>676</v>
      </c>
      <c r="D1869" s="54" t="s">
        <v>6550</v>
      </c>
      <c r="E1869" s="59"/>
      <c r="F1869" s="59" t="s">
        <v>677</v>
      </c>
      <c r="G1869" s="151">
        <v>111875</v>
      </c>
      <c r="H1869" s="55" t="s">
        <v>678</v>
      </c>
      <c r="I1869" s="55" t="s">
        <v>678</v>
      </c>
      <c r="J1869" s="55" t="s">
        <v>679</v>
      </c>
      <c r="K1869" s="55" t="s">
        <v>426</v>
      </c>
      <c r="L1869" s="55" t="s">
        <v>5527</v>
      </c>
      <c r="M1869" s="55" t="s">
        <v>6082</v>
      </c>
      <c r="N1869" s="60" t="s">
        <v>6082</v>
      </c>
      <c r="O1869" s="55" t="s">
        <v>6083</v>
      </c>
      <c r="P1869" s="67" t="s">
        <v>6183</v>
      </c>
      <c r="Q1869" s="67" t="s">
        <v>6179</v>
      </c>
      <c r="R1869" s="67" t="s">
        <v>6185</v>
      </c>
      <c r="S1869" s="67" t="s">
        <v>6176</v>
      </c>
      <c r="T1869" s="56">
        <v>130.22999999999999</v>
      </c>
      <c r="U1869" s="103">
        <v>540</v>
      </c>
      <c r="V1869" s="103">
        <v>814</v>
      </c>
      <c r="W1869" s="103">
        <v>1058.5491812005059</v>
      </c>
      <c r="X1869" s="103">
        <v>540</v>
      </c>
      <c r="Y1869" s="162">
        <v>7</v>
      </c>
      <c r="Z1869" s="56">
        <v>2.81</v>
      </c>
      <c r="AA1869" s="56">
        <v>3</v>
      </c>
      <c r="AB1869" s="56">
        <v>2.99</v>
      </c>
      <c r="AC1869" s="56">
        <v>0.92889999999999995</v>
      </c>
      <c r="AD1869" s="56">
        <v>2.99</v>
      </c>
      <c r="AE1869" s="56">
        <v>3</v>
      </c>
      <c r="AF1869" s="56">
        <f t="shared" si="507"/>
        <v>3</v>
      </c>
      <c r="AG1869" s="57">
        <v>2.65</v>
      </c>
      <c r="AH1869" s="103">
        <v>3.1000000000000001E-5</v>
      </c>
      <c r="AI1869" s="103">
        <v>2.4499999999999999E-5</v>
      </c>
      <c r="AJ1869" s="62">
        <f t="shared" si="508"/>
        <v>-2.8972046324783789</v>
      </c>
      <c r="AK1869" s="62">
        <f>LOG10(AI1869*1000/(0.08206*298.15))</f>
        <v>-2.9994002419481194</v>
      </c>
      <c r="AL1869" s="62">
        <f t="shared" si="509"/>
        <v>-2.9994002419481194</v>
      </c>
      <c r="AM1869" s="62">
        <v>-3.9046099999999999</v>
      </c>
      <c r="AN1869" s="154">
        <v>-2.78</v>
      </c>
      <c r="AO1869" s="410">
        <v>15.27</v>
      </c>
      <c r="AP1869" s="410"/>
      <c r="AQ1869" s="56" t="s">
        <v>6311</v>
      </c>
      <c r="AR1869" s="56" t="s">
        <v>6311</v>
      </c>
      <c r="AS1869" s="155"/>
      <c r="AT1869" s="58" t="s">
        <v>266</v>
      </c>
      <c r="AU1869" s="56">
        <v>0</v>
      </c>
      <c r="AV1869" s="56">
        <v>96</v>
      </c>
      <c r="AW1869" s="56">
        <v>96</v>
      </c>
      <c r="AX1869" s="56">
        <v>26</v>
      </c>
      <c r="AY1869" s="472" t="s">
        <v>6360</v>
      </c>
      <c r="AZ1869" s="56" t="s">
        <v>536</v>
      </c>
      <c r="BA1869" s="56">
        <v>20</v>
      </c>
      <c r="BB1869" s="55" t="s">
        <v>1764</v>
      </c>
      <c r="BC1869" s="55" t="s">
        <v>6359</v>
      </c>
      <c r="BD1869" s="55"/>
      <c r="BE1869" s="56" t="s">
        <v>1712</v>
      </c>
      <c r="BF1869" s="56" t="s">
        <v>539</v>
      </c>
      <c r="BG1869" s="56" t="s">
        <v>539</v>
      </c>
      <c r="BH1869" s="56" t="s">
        <v>272</v>
      </c>
      <c r="BI1869" s="153">
        <v>325.57499999999999</v>
      </c>
      <c r="BJ1869" s="153">
        <v>5209.2</v>
      </c>
      <c r="BK1869" s="56" t="s">
        <v>6368</v>
      </c>
      <c r="BL1869" s="153">
        <v>20.037800139305784</v>
      </c>
      <c r="BM1869" s="56" t="s">
        <v>541</v>
      </c>
      <c r="BN1869" s="56"/>
      <c r="BO1869" s="56">
        <v>20.7</v>
      </c>
      <c r="BP1869" s="56"/>
      <c r="BQ1869" s="56">
        <v>20.7</v>
      </c>
      <c r="BR1869" s="55"/>
      <c r="BS1869" s="56"/>
      <c r="BT1869" s="56"/>
      <c r="BU1869" s="158"/>
      <c r="BV1869" s="56"/>
      <c r="BW1869" s="56"/>
      <c r="BX1869" s="56"/>
      <c r="BY1869" s="56"/>
      <c r="BZ1869" s="56"/>
      <c r="CA1869" s="56"/>
      <c r="CB1869" s="56"/>
      <c r="CC1869" s="56"/>
      <c r="CD1869" s="56"/>
      <c r="CE1869" s="56"/>
      <c r="CF1869" s="56"/>
      <c r="CG1869" s="56"/>
      <c r="CH1869" s="56"/>
      <c r="CI1869" s="103">
        <v>20.7</v>
      </c>
      <c r="CJ1869" s="103">
        <f t="shared" si="511"/>
        <v>1.3159703454569178</v>
      </c>
      <c r="CK1869" s="57">
        <f t="shared" si="515"/>
        <v>3.8466175495864593E-3</v>
      </c>
      <c r="CL1869" s="160">
        <f t="shared" si="512"/>
        <v>0.96800966856549686</v>
      </c>
      <c r="CM1869" s="160"/>
      <c r="CN1869" s="160"/>
      <c r="CO1869" s="55"/>
      <c r="CP1869" s="497" t="s">
        <v>6355</v>
      </c>
      <c r="CQ1869" s="149">
        <v>1.1455836013269163</v>
      </c>
      <c r="CR1869" s="349">
        <f t="shared" si="510"/>
        <v>1.4804261375035037</v>
      </c>
      <c r="CS1869" s="61" t="s">
        <v>539</v>
      </c>
      <c r="CT1869" s="61"/>
      <c r="CU1869" s="111">
        <f t="shared" si="513"/>
        <v>26.086956521739133</v>
      </c>
      <c r="CV1869" s="331">
        <f t="shared" si="516"/>
        <v>0.10366275051831375</v>
      </c>
      <c r="CW1869" s="326">
        <f t="shared" si="514"/>
        <v>1</v>
      </c>
      <c r="CX1869" s="326" t="s">
        <v>539</v>
      </c>
      <c r="CY1869" s="61" t="s">
        <v>6351</v>
      </c>
    </row>
    <row r="1870" spans="1:103" ht="11.25" customHeight="1" x14ac:dyDescent="0.2">
      <c r="A1870" s="72">
        <v>96</v>
      </c>
      <c r="B1870" s="149">
        <v>684</v>
      </c>
      <c r="C1870" s="54" t="s">
        <v>1975</v>
      </c>
      <c r="D1870" s="54" t="s">
        <v>6557</v>
      </c>
      <c r="E1870" s="59"/>
      <c r="F1870" s="59" t="s">
        <v>1976</v>
      </c>
      <c r="G1870" s="151">
        <v>2416946</v>
      </c>
      <c r="H1870" s="55" t="s">
        <v>1977</v>
      </c>
      <c r="I1870" s="55" t="s">
        <v>1977</v>
      </c>
      <c r="J1870" s="55" t="s">
        <v>1978</v>
      </c>
      <c r="K1870" s="55" t="s">
        <v>349</v>
      </c>
      <c r="L1870" s="55" t="s">
        <v>6025</v>
      </c>
      <c r="M1870" s="55" t="s">
        <v>6082</v>
      </c>
      <c r="N1870" s="55" t="s">
        <v>6082</v>
      </c>
      <c r="O1870" s="55"/>
      <c r="P1870" s="67" t="s">
        <v>6184</v>
      </c>
      <c r="Q1870" s="67" t="s">
        <v>6173</v>
      </c>
      <c r="R1870" s="67" t="s">
        <v>6185</v>
      </c>
      <c r="S1870" s="67" t="s">
        <v>6176</v>
      </c>
      <c r="T1870" s="56">
        <v>136.19</v>
      </c>
      <c r="U1870" s="103">
        <v>1580</v>
      </c>
      <c r="V1870" s="103">
        <v>1732</v>
      </c>
      <c r="W1870" s="103">
        <v>2109.3333532969073</v>
      </c>
      <c r="X1870" s="103">
        <v>1580</v>
      </c>
      <c r="Y1870" s="162">
        <v>6.28</v>
      </c>
      <c r="Z1870" s="56">
        <v>3.15</v>
      </c>
      <c r="AA1870" s="56">
        <v>2.67</v>
      </c>
      <c r="AB1870" s="56">
        <v>2.72</v>
      </c>
      <c r="AC1870" s="56">
        <v>0.95220000000000005</v>
      </c>
      <c r="AD1870" s="56">
        <v>2.75</v>
      </c>
      <c r="AE1870" s="56">
        <v>2.86</v>
      </c>
      <c r="AF1870" s="56">
        <f t="shared" si="507"/>
        <v>2.67</v>
      </c>
      <c r="AG1870" s="57">
        <v>2.83</v>
      </c>
      <c r="AH1870" s="103">
        <v>7.5300000000000003E-7</v>
      </c>
      <c r="AI1870" s="103">
        <v>3.9400000000000004E-6</v>
      </c>
      <c r="AJ1870" s="62">
        <f t="shared" si="508"/>
        <v>-4.5117713501119514</v>
      </c>
      <c r="AK1870" s="62">
        <f>LOG10(AI1870*1000/(0.08206*298.15))</f>
        <v>-3.7930701044870778</v>
      </c>
      <c r="AL1870" s="62">
        <f t="shared" si="509"/>
        <v>-3.7930701044870778</v>
      </c>
      <c r="AM1870" s="62">
        <v>-5.6314799999999998</v>
      </c>
      <c r="AN1870" s="154">
        <v>-3.82</v>
      </c>
      <c r="AO1870" s="410">
        <v>10.77</v>
      </c>
      <c r="AP1870" s="410"/>
      <c r="AQ1870" s="154" t="s">
        <v>6311</v>
      </c>
      <c r="AR1870" s="154" t="s">
        <v>6311</v>
      </c>
      <c r="AS1870" s="149" t="s">
        <v>6</v>
      </c>
      <c r="AT1870" s="58" t="s">
        <v>266</v>
      </c>
      <c r="AU1870" s="56">
        <v>2</v>
      </c>
      <c r="AV1870" s="56">
        <v>96</v>
      </c>
      <c r="AW1870" s="56">
        <v>96</v>
      </c>
      <c r="AX1870" s="56">
        <v>26</v>
      </c>
      <c r="AY1870" s="56" t="s">
        <v>6360</v>
      </c>
      <c r="AZ1870" s="56" t="s">
        <v>536</v>
      </c>
      <c r="BA1870" s="56">
        <v>20</v>
      </c>
      <c r="BB1870" s="55" t="s">
        <v>1764</v>
      </c>
      <c r="BC1870" s="55" t="s">
        <v>6372</v>
      </c>
      <c r="BD1870" s="55"/>
      <c r="BE1870" s="56" t="s">
        <v>6361</v>
      </c>
      <c r="BF1870" s="56" t="s">
        <v>1974</v>
      </c>
      <c r="BG1870" s="56" t="s">
        <v>1974</v>
      </c>
      <c r="BH1870" s="56" t="s">
        <v>272</v>
      </c>
      <c r="BI1870" s="153">
        <v>7.9994126284875193</v>
      </c>
      <c r="BJ1870" s="153">
        <v>40.497026431718069</v>
      </c>
      <c r="BK1870" s="56"/>
      <c r="BL1870" s="153">
        <v>10.373617246808909</v>
      </c>
      <c r="BM1870" s="56" t="s">
        <v>541</v>
      </c>
      <c r="BN1870" s="56"/>
      <c r="BO1870" s="56">
        <v>10.9</v>
      </c>
      <c r="BP1870" s="56"/>
      <c r="BQ1870" s="56">
        <v>10.8</v>
      </c>
      <c r="BR1870" s="56"/>
      <c r="BS1870" s="56"/>
      <c r="BT1870" s="56"/>
      <c r="BU1870" s="158"/>
      <c r="BV1870" s="56"/>
      <c r="BW1870" s="56"/>
      <c r="BX1870" s="56"/>
      <c r="BY1870" s="56"/>
      <c r="BZ1870" s="56"/>
      <c r="CA1870" s="56"/>
      <c r="CB1870" s="56"/>
      <c r="CC1870" s="56"/>
      <c r="CD1870" s="56"/>
      <c r="CE1870" s="56"/>
      <c r="CF1870" s="56"/>
      <c r="CG1870" s="56"/>
      <c r="CH1870" s="56"/>
      <c r="CI1870" s="103">
        <v>10.8</v>
      </c>
      <c r="CJ1870" s="103">
        <f t="shared" si="511"/>
        <v>1.0334237554869496</v>
      </c>
      <c r="CK1870" s="57">
        <f t="shared" si="515"/>
        <v>0.25615750490470796</v>
      </c>
      <c r="CL1870" s="160">
        <f t="shared" si="512"/>
        <v>0.96052011544526927</v>
      </c>
      <c r="CM1870" s="160"/>
      <c r="CN1870" s="160"/>
      <c r="CO1870" s="55"/>
      <c r="CP1870" s="497" t="s">
        <v>6355</v>
      </c>
      <c r="CQ1870" s="149">
        <v>0.91407850475157881</v>
      </c>
      <c r="CR1870" s="349">
        <f t="shared" si="510"/>
        <v>1.3162708111258781</v>
      </c>
      <c r="CS1870" s="61" t="s">
        <v>539</v>
      </c>
      <c r="CT1870" s="61"/>
      <c r="CU1870" s="111">
        <f t="shared" si="513"/>
        <v>146.29629629629628</v>
      </c>
      <c r="CV1870" s="331">
        <f t="shared" si="516"/>
        <v>39.015210231892802</v>
      </c>
      <c r="CW1870" s="326">
        <f t="shared" si="514"/>
        <v>1</v>
      </c>
      <c r="CX1870" s="326" t="s">
        <v>539</v>
      </c>
      <c r="CY1870" s="161" t="s">
        <v>6351</v>
      </c>
    </row>
    <row r="1871" spans="1:103" ht="11.25" customHeight="1" x14ac:dyDescent="0.2">
      <c r="A1871" s="72">
        <v>291</v>
      </c>
      <c r="B1871" s="149">
        <v>2168</v>
      </c>
      <c r="C1871" s="54" t="s">
        <v>620</v>
      </c>
      <c r="D1871" s="54" t="s">
        <v>6472</v>
      </c>
      <c r="E1871" s="59"/>
      <c r="F1871" s="59" t="s">
        <v>621</v>
      </c>
      <c r="G1871" s="151">
        <v>121755</v>
      </c>
      <c r="H1871" s="55" t="s">
        <v>622</v>
      </c>
      <c r="I1871" s="55" t="s">
        <v>622</v>
      </c>
      <c r="J1871" s="55" t="s">
        <v>623</v>
      </c>
      <c r="K1871" s="55" t="s">
        <v>624</v>
      </c>
      <c r="L1871" s="64" t="s">
        <v>316</v>
      </c>
      <c r="M1871" s="55" t="s">
        <v>946</v>
      </c>
      <c r="N1871" s="60" t="s">
        <v>6376</v>
      </c>
      <c r="O1871" s="55" t="s">
        <v>281</v>
      </c>
      <c r="P1871" s="67">
        <v>3</v>
      </c>
      <c r="Q1871" s="67" t="s">
        <v>6173</v>
      </c>
      <c r="R1871" s="67">
        <v>1</v>
      </c>
      <c r="S1871" s="67" t="s">
        <v>6173</v>
      </c>
      <c r="T1871" s="56">
        <v>330.36</v>
      </c>
      <c r="U1871" s="103">
        <v>143</v>
      </c>
      <c r="V1871" s="103">
        <v>78.45</v>
      </c>
      <c r="W1871" s="103">
        <v>185.77508018988354</v>
      </c>
      <c r="X1871" s="103">
        <v>143</v>
      </c>
      <c r="Y1871" s="162">
        <v>7</v>
      </c>
      <c r="Z1871" s="56">
        <v>2.29</v>
      </c>
      <c r="AA1871" s="56">
        <v>2.36</v>
      </c>
      <c r="AB1871" s="56">
        <v>2.69</v>
      </c>
      <c r="AC1871" s="56">
        <v>0.8125</v>
      </c>
      <c r="AD1871" s="56">
        <v>2.76</v>
      </c>
      <c r="AE1871" s="56">
        <v>2.93</v>
      </c>
      <c r="AF1871" s="56">
        <f t="shared" si="507"/>
        <v>2.36</v>
      </c>
      <c r="AG1871" s="57">
        <v>2.3199999999999998</v>
      </c>
      <c r="AH1871" s="103">
        <v>8.39E-10</v>
      </c>
      <c r="AI1871" s="103">
        <v>4.8900000000000003E-9</v>
      </c>
      <c r="AJ1871" s="62">
        <f t="shared" si="508"/>
        <v>-7.4648043654839515</v>
      </c>
      <c r="AK1871" s="62">
        <f>LOG10(AI1871*1000/(0.08206*298.15))</f>
        <v>-6.6992574671890317</v>
      </c>
      <c r="AL1871" s="62">
        <f t="shared" si="509"/>
        <v>-6.6992574671890317</v>
      </c>
      <c r="AM1871" s="62">
        <v>-12.449109999999999</v>
      </c>
      <c r="AN1871" s="154">
        <v>-5.94</v>
      </c>
      <c r="AO1871" s="410"/>
      <c r="AP1871" s="410"/>
      <c r="AQ1871" s="154" t="s">
        <v>6312</v>
      </c>
      <c r="AR1871" s="154" t="s">
        <v>6312</v>
      </c>
      <c r="AS1871" s="149" t="s">
        <v>6</v>
      </c>
      <c r="AT1871" s="58" t="s">
        <v>266</v>
      </c>
      <c r="AU1871" s="56">
        <v>0</v>
      </c>
      <c r="AV1871" s="56">
        <v>96</v>
      </c>
      <c r="AW1871" s="56">
        <v>96</v>
      </c>
      <c r="AX1871" s="56">
        <v>26</v>
      </c>
      <c r="AY1871" s="472" t="s">
        <v>6360</v>
      </c>
      <c r="AZ1871" s="56" t="s">
        <v>536</v>
      </c>
      <c r="BA1871" s="56">
        <v>20</v>
      </c>
      <c r="BB1871" s="55" t="s">
        <v>1764</v>
      </c>
      <c r="BC1871" s="55" t="s">
        <v>6359</v>
      </c>
      <c r="BD1871" s="55"/>
      <c r="BE1871" s="56" t="s">
        <v>1712</v>
      </c>
      <c r="BF1871" s="56" t="s">
        <v>539</v>
      </c>
      <c r="BG1871" s="56" t="s">
        <v>539</v>
      </c>
      <c r="BH1871" s="56" t="s">
        <v>272</v>
      </c>
      <c r="BI1871" s="153">
        <v>0.49999999999999994</v>
      </c>
      <c r="BJ1871" s="153">
        <v>7.9999999999999991</v>
      </c>
      <c r="BK1871" s="56"/>
      <c r="BL1871" s="153">
        <v>148.98359766722712</v>
      </c>
      <c r="BM1871" s="56" t="s">
        <v>541</v>
      </c>
      <c r="BN1871" s="56"/>
      <c r="BO1871" s="56">
        <v>6.1230000000000002</v>
      </c>
      <c r="BP1871" s="56"/>
      <c r="BQ1871" s="56">
        <v>4.5599999999999996</v>
      </c>
      <c r="BR1871" s="56"/>
      <c r="BS1871" s="56"/>
      <c r="BT1871" s="56"/>
      <c r="BU1871" s="158"/>
      <c r="BV1871" s="56"/>
      <c r="BW1871" s="56"/>
      <c r="BX1871" s="56"/>
      <c r="BY1871" s="56"/>
      <c r="BZ1871" s="56"/>
      <c r="CA1871" s="56"/>
      <c r="CB1871" s="56"/>
      <c r="CC1871" s="56"/>
      <c r="CD1871" s="56"/>
      <c r="CE1871" s="56"/>
      <c r="CF1871" s="56"/>
      <c r="CG1871" s="56"/>
      <c r="CH1871" s="56"/>
      <c r="CI1871" s="103">
        <v>4.5599999999999996</v>
      </c>
      <c r="CJ1871" s="103">
        <f t="shared" si="511"/>
        <v>0.658964842664435</v>
      </c>
      <c r="CK1871" s="57">
        <f t="shared" si="515"/>
        <v>18.622949708403393</v>
      </c>
      <c r="CL1871" s="160">
        <f t="shared" si="512"/>
        <v>32.671841593690161</v>
      </c>
      <c r="CM1871" s="160">
        <v>-1.0170155211093046</v>
      </c>
      <c r="CN1871" s="160">
        <f>BJ1871/(10^CM1871)</f>
        <v>83.196586548954244</v>
      </c>
      <c r="CO1871" s="55"/>
      <c r="CP1871" s="497" t="s">
        <v>6355</v>
      </c>
      <c r="CQ1871" s="149">
        <v>-0.606977785182086</v>
      </c>
      <c r="CR1871" s="349">
        <f t="shared" si="510"/>
        <v>18.44771700871425</v>
      </c>
      <c r="CS1871" s="61" t="s">
        <v>539</v>
      </c>
      <c r="CT1871" s="61"/>
      <c r="CU1871" s="111">
        <f t="shared" si="513"/>
        <v>31.359649122807021</v>
      </c>
      <c r="CV1871" s="331">
        <f t="shared" si="516"/>
        <v>17.875000000000004</v>
      </c>
      <c r="CW1871" s="326">
        <f t="shared" si="514"/>
        <v>1</v>
      </c>
      <c r="CX1871" s="326" t="s">
        <v>539</v>
      </c>
      <c r="CY1871" s="161" t="s">
        <v>5921</v>
      </c>
    </row>
    <row r="1872" spans="1:103" ht="11.25" customHeight="1" x14ac:dyDescent="0.2">
      <c r="A1872" s="72">
        <v>302</v>
      </c>
      <c r="B1872" s="149">
        <v>2169</v>
      </c>
      <c r="C1872" s="54" t="s">
        <v>1392</v>
      </c>
      <c r="D1872" s="54" t="s">
        <v>6529</v>
      </c>
      <c r="E1872" s="59"/>
      <c r="F1872" s="59" t="s">
        <v>1393</v>
      </c>
      <c r="G1872" s="151">
        <v>67747095</v>
      </c>
      <c r="H1872" s="55" t="s">
        <v>1394</v>
      </c>
      <c r="I1872" s="55" t="s">
        <v>7941</v>
      </c>
      <c r="J1872" s="55" t="s">
        <v>1395</v>
      </c>
      <c r="K1872" s="55" t="s">
        <v>1064</v>
      </c>
      <c r="L1872" s="55" t="s">
        <v>6007</v>
      </c>
      <c r="M1872" s="55" t="s">
        <v>6008</v>
      </c>
      <c r="N1872" s="60" t="s">
        <v>6386</v>
      </c>
      <c r="O1872" s="55" t="s">
        <v>6009</v>
      </c>
      <c r="P1872" s="67">
        <v>3</v>
      </c>
      <c r="Q1872" s="67" t="s">
        <v>6173</v>
      </c>
      <c r="R1872" s="67">
        <v>1</v>
      </c>
      <c r="S1872" s="67" t="s">
        <v>6173</v>
      </c>
      <c r="T1872" s="56">
        <v>376.66</v>
      </c>
      <c r="U1872" s="103">
        <v>33.999097353120767</v>
      </c>
      <c r="V1872" s="103">
        <v>1.3439643188998329</v>
      </c>
      <c r="W1872" s="103">
        <v>24.885679412654092</v>
      </c>
      <c r="X1872" s="103">
        <v>33.999097353120767</v>
      </c>
      <c r="Y1872" s="162">
        <v>7.37</v>
      </c>
      <c r="Z1872" s="56">
        <v>4.13</v>
      </c>
      <c r="AA1872" s="56">
        <v>4.0999999999999996</v>
      </c>
      <c r="AB1872" s="56">
        <v>4.1100000000000003</v>
      </c>
      <c r="AC1872" s="56">
        <v>0.85909999999999997</v>
      </c>
      <c r="AD1872" s="56">
        <v>4.08</v>
      </c>
      <c r="AE1872" s="56">
        <v>3.98</v>
      </c>
      <c r="AF1872" s="56">
        <f t="shared" si="507"/>
        <v>4.0999999999999996</v>
      </c>
      <c r="AG1872" s="57">
        <v>4.18</v>
      </c>
      <c r="AH1872" s="103">
        <v>7.5799999999999996E-12</v>
      </c>
      <c r="AI1872" s="103">
        <v>1.6400000000000001E-8</v>
      </c>
      <c r="AJ1872" s="62">
        <f t="shared" si="508"/>
        <v>-9.508897120680599</v>
      </c>
      <c r="AK1872" s="62">
        <f>LOG10(AI1872*1000/(0.08206*298.15))</f>
        <v>-6.1737224782649536</v>
      </c>
      <c r="AL1872" s="62">
        <f t="shared" si="509"/>
        <v>-6.1737224782649536</v>
      </c>
      <c r="AM1872" s="62">
        <v>-16.703500000000002</v>
      </c>
      <c r="AN1872" s="154">
        <v>-6.14</v>
      </c>
      <c r="AO1872" s="410"/>
      <c r="AP1872" s="410">
        <v>4.84</v>
      </c>
      <c r="AQ1872" s="154" t="s">
        <v>6311</v>
      </c>
      <c r="AR1872" s="154" t="s">
        <v>6311</v>
      </c>
      <c r="AS1872" s="149" t="s">
        <v>6</v>
      </c>
      <c r="AT1872" s="58" t="s">
        <v>266</v>
      </c>
      <c r="AU1872" s="56">
        <v>0</v>
      </c>
      <c r="AV1872" s="56">
        <v>96</v>
      </c>
      <c r="AW1872" s="56">
        <v>96</v>
      </c>
      <c r="AX1872" s="56">
        <v>26</v>
      </c>
      <c r="AY1872" s="472" t="s">
        <v>6360</v>
      </c>
      <c r="AZ1872" s="56" t="s">
        <v>536</v>
      </c>
      <c r="BA1872" s="56">
        <v>20</v>
      </c>
      <c r="BB1872" s="55" t="s">
        <v>1764</v>
      </c>
      <c r="BC1872" s="55" t="s">
        <v>6359</v>
      </c>
      <c r="BD1872" s="55"/>
      <c r="BE1872" s="56" t="s">
        <v>1712</v>
      </c>
      <c r="BF1872" s="56" t="s">
        <v>539</v>
      </c>
      <c r="BG1872" s="56" t="s">
        <v>539</v>
      </c>
      <c r="BH1872" s="56" t="s">
        <v>272</v>
      </c>
      <c r="BI1872" s="153">
        <v>0.5</v>
      </c>
      <c r="BJ1872" s="153">
        <v>8</v>
      </c>
      <c r="BK1872" s="56" t="s">
        <v>6367</v>
      </c>
      <c r="BL1872" s="153">
        <v>3.7809114141658466</v>
      </c>
      <c r="BM1872" s="56" t="s">
        <v>541</v>
      </c>
      <c r="BN1872" s="162"/>
      <c r="BO1872" s="474">
        <v>4.4610000000000003</v>
      </c>
      <c r="BP1872" s="162"/>
      <c r="BQ1872" s="474">
        <v>5.6</v>
      </c>
      <c r="BR1872" s="162"/>
      <c r="BS1872" s="56"/>
      <c r="BT1872" s="162"/>
      <c r="BU1872" s="158"/>
      <c r="BV1872" s="162"/>
      <c r="BW1872" s="162"/>
      <c r="BX1872" s="162"/>
      <c r="BY1872" s="162"/>
      <c r="BZ1872" s="162"/>
      <c r="CA1872" s="162"/>
      <c r="CB1872" s="162"/>
      <c r="CC1872" s="56"/>
      <c r="CD1872" s="56"/>
      <c r="CE1872" s="56"/>
      <c r="CF1872" s="56"/>
      <c r="CG1872" s="56"/>
      <c r="CH1872" s="56"/>
      <c r="CI1872" s="103">
        <v>4.4610000000000003</v>
      </c>
      <c r="CJ1872" s="103">
        <f t="shared" si="511"/>
        <v>0.64943222324161665</v>
      </c>
      <c r="CK1872" s="57">
        <f t="shared" si="515"/>
        <v>0.47261392677073083</v>
      </c>
      <c r="CL1872" s="160">
        <f t="shared" si="512"/>
        <v>0.84754795206587008</v>
      </c>
      <c r="CM1872" s="160">
        <v>-0.23428417606624372</v>
      </c>
      <c r="CN1872" s="160">
        <f>BJ1872/(10^CM1872)</f>
        <v>13.720633476855982</v>
      </c>
      <c r="CO1872" s="55"/>
      <c r="CP1872" s="497" t="s">
        <v>6355</v>
      </c>
      <c r="CQ1872" s="149">
        <v>-0.23428417606624358</v>
      </c>
      <c r="CR1872" s="349">
        <f t="shared" si="510"/>
        <v>7.6509682425318157</v>
      </c>
      <c r="CS1872" s="61" t="s">
        <v>539</v>
      </c>
      <c r="CT1872" s="61" t="s">
        <v>6310</v>
      </c>
      <c r="CU1872" s="111">
        <f t="shared" si="513"/>
        <v>7.6214071627708506</v>
      </c>
      <c r="CV1872" s="331">
        <f t="shared" si="516"/>
        <v>4.2498871691400959</v>
      </c>
      <c r="CW1872" s="326">
        <f t="shared" si="514"/>
        <v>1</v>
      </c>
      <c r="CX1872" s="326" t="s">
        <v>539</v>
      </c>
      <c r="CY1872" s="161" t="s">
        <v>5921</v>
      </c>
    </row>
    <row r="1873" spans="1:103" ht="11.25" customHeight="1" x14ac:dyDescent="0.2">
      <c r="A1873" s="72">
        <v>374</v>
      </c>
      <c r="B1873" s="149">
        <v>831</v>
      </c>
      <c r="C1873" s="54" t="s">
        <v>6685</v>
      </c>
      <c r="D1873" s="54" t="s">
        <v>6686</v>
      </c>
      <c r="E1873" s="59"/>
      <c r="F1873" s="59" t="s">
        <v>2375</v>
      </c>
      <c r="G1873" s="151">
        <v>26062793</v>
      </c>
      <c r="H1873" s="55" t="s">
        <v>2376</v>
      </c>
      <c r="I1873" s="55" t="s">
        <v>8337</v>
      </c>
      <c r="J1873" s="55" t="s">
        <v>2377</v>
      </c>
      <c r="K1873" s="55" t="s">
        <v>426</v>
      </c>
      <c r="L1873" s="55"/>
      <c r="M1873" s="55" t="s">
        <v>6025</v>
      </c>
      <c r="N1873" s="60" t="s">
        <v>2342</v>
      </c>
      <c r="O1873" s="60" t="s">
        <v>2342</v>
      </c>
      <c r="P1873" s="67"/>
      <c r="Q1873" s="67"/>
      <c r="R1873" s="67"/>
      <c r="S1873" s="67"/>
      <c r="T1873" s="56">
        <v>161.68</v>
      </c>
      <c r="U1873" s="103"/>
      <c r="V1873" s="103">
        <v>1000000</v>
      </c>
      <c r="W1873" s="103">
        <v>308074.88888029783</v>
      </c>
      <c r="X1873" s="103">
        <v>308074.88888029783</v>
      </c>
      <c r="Y1873" s="162">
        <v>7</v>
      </c>
      <c r="Z1873" s="56">
        <v>-2.4900000000000002</v>
      </c>
      <c r="AA1873" s="56"/>
      <c r="AB1873" s="56">
        <v>-2.72</v>
      </c>
      <c r="AC1873" s="56">
        <v>0.66339999999999999</v>
      </c>
      <c r="AD1873" s="56">
        <v>-2.54</v>
      </c>
      <c r="AE1873" s="56">
        <v>-2.2999999999999998</v>
      </c>
      <c r="AF1873" s="56">
        <f t="shared" si="507"/>
        <v>-2.54</v>
      </c>
      <c r="AG1873" s="57">
        <v>7.38</v>
      </c>
      <c r="AH1873" s="103">
        <v>7.2E-12</v>
      </c>
      <c r="AI1873" s="103"/>
      <c r="AJ1873" s="62">
        <f t="shared" si="508"/>
        <v>-9.5312338298813835</v>
      </c>
      <c r="AK1873" s="62"/>
      <c r="AL1873" s="62">
        <f t="shared" si="509"/>
        <v>-9.5312338298813835</v>
      </c>
      <c r="AM1873" s="62">
        <v>-0.9079600000000001</v>
      </c>
      <c r="AN1873" s="154">
        <v>-20.9</v>
      </c>
      <c r="AO1873" s="410"/>
      <c r="AP1873" s="410"/>
      <c r="AQ1873" s="56" t="s">
        <v>6311</v>
      </c>
      <c r="AR1873" s="56" t="s">
        <v>6311</v>
      </c>
      <c r="AS1873" s="149" t="s">
        <v>6</v>
      </c>
      <c r="AT1873" s="58" t="s">
        <v>266</v>
      </c>
      <c r="AU1873" s="61">
        <v>0</v>
      </c>
      <c r="AV1873" s="56">
        <v>96</v>
      </c>
      <c r="AW1873" s="56">
        <v>96</v>
      </c>
      <c r="AX1873" s="56">
        <v>26</v>
      </c>
      <c r="AY1873" s="56" t="s">
        <v>6360</v>
      </c>
      <c r="AZ1873" s="56" t="s">
        <v>536</v>
      </c>
      <c r="BA1873" s="56">
        <v>20</v>
      </c>
      <c r="BB1873" s="55" t="s">
        <v>1764</v>
      </c>
      <c r="BC1873" s="55" t="s">
        <v>6372</v>
      </c>
      <c r="BD1873" s="55"/>
      <c r="BE1873" s="56" t="s">
        <v>6361</v>
      </c>
      <c r="BF1873" s="56" t="s">
        <v>1974</v>
      </c>
      <c r="BG1873" s="56" t="s">
        <v>1974</v>
      </c>
      <c r="BH1873" s="56" t="s">
        <v>272</v>
      </c>
      <c r="BI1873" s="153">
        <v>0.10000000000000002</v>
      </c>
      <c r="BJ1873" s="153">
        <v>1.6000000000000003</v>
      </c>
      <c r="BK1873" s="56"/>
      <c r="BL1873" s="153">
        <v>1431282.2997118118</v>
      </c>
      <c r="BM1873" s="56" t="s">
        <v>541</v>
      </c>
      <c r="BN1873" s="56"/>
      <c r="BO1873" s="56"/>
      <c r="BP1873" s="56"/>
      <c r="BQ1873" s="56">
        <v>0.51658333685333335</v>
      </c>
      <c r="BR1873" s="56"/>
      <c r="BS1873" s="56"/>
      <c r="BT1873" s="56"/>
      <c r="BU1873" s="158"/>
      <c r="BV1873" s="56"/>
      <c r="BW1873" s="56"/>
      <c r="BX1873" s="56"/>
      <c r="BY1873" s="56"/>
      <c r="BZ1873" s="56"/>
      <c r="CA1873" s="56"/>
      <c r="CB1873" s="56"/>
      <c r="CC1873" s="56"/>
      <c r="CD1873" s="56"/>
      <c r="CE1873" s="56"/>
      <c r="CF1873" s="56"/>
      <c r="CG1873" s="56"/>
      <c r="CH1873" s="56"/>
      <c r="CI1873" s="103">
        <v>0.51658333685333335</v>
      </c>
      <c r="CJ1873" s="103">
        <f t="shared" si="511"/>
        <v>-0.28685960673676775</v>
      </c>
      <c r="CK1873" s="57">
        <f t="shared" si="515"/>
        <v>894551.43731988221</v>
      </c>
      <c r="CL1873" s="160">
        <f t="shared" si="512"/>
        <v>2770670.6693835477</v>
      </c>
      <c r="CM1873" s="160"/>
      <c r="CN1873" s="160"/>
      <c r="CO1873" s="55"/>
      <c r="CP1873" s="497" t="s">
        <v>6355</v>
      </c>
      <c r="CQ1873" s="149">
        <v>-0.88414232762315625</v>
      </c>
      <c r="CR1873" s="349">
        <f t="shared" si="510"/>
        <v>3.956240831423294</v>
      </c>
      <c r="CS1873" s="61" t="s">
        <v>539</v>
      </c>
      <c r="CT1873" s="61"/>
      <c r="CU1873" s="111">
        <f t="shared" si="513"/>
        <v>596370.16315097571</v>
      </c>
      <c r="CV1873" s="331">
        <f t="shared" si="516"/>
        <v>192546.80555018611</v>
      </c>
      <c r="CW1873" s="326">
        <f t="shared" si="514"/>
        <v>1</v>
      </c>
      <c r="CX1873" s="326" t="s">
        <v>539</v>
      </c>
      <c r="CY1873" s="161" t="s">
        <v>5921</v>
      </c>
    </row>
    <row r="1874" spans="1:103" ht="11.25" customHeight="1" x14ac:dyDescent="0.2">
      <c r="A1874" s="72">
        <v>378</v>
      </c>
      <c r="B1874" s="149">
        <v>688</v>
      </c>
      <c r="C1874" s="54" t="s">
        <v>6690</v>
      </c>
      <c r="D1874" s="54" t="s">
        <v>6691</v>
      </c>
      <c r="E1874" s="59"/>
      <c r="F1874" s="59" t="s">
        <v>1986</v>
      </c>
      <c r="G1874" s="151">
        <v>105760</v>
      </c>
      <c r="H1874" s="55" t="s">
        <v>1987</v>
      </c>
      <c r="I1874" s="55" t="s">
        <v>1987</v>
      </c>
      <c r="J1874" s="55" t="s">
        <v>1988</v>
      </c>
      <c r="K1874" s="55" t="s">
        <v>357</v>
      </c>
      <c r="L1874" s="55"/>
      <c r="M1874" s="55" t="s">
        <v>6624</v>
      </c>
      <c r="N1874" s="60" t="s">
        <v>6088</v>
      </c>
      <c r="O1874" s="55"/>
      <c r="P1874" s="67" t="s">
        <v>6172</v>
      </c>
      <c r="Q1874" s="67" t="s">
        <v>6173</v>
      </c>
      <c r="R1874" s="67" t="s">
        <v>6175</v>
      </c>
      <c r="S1874" s="67" t="s">
        <v>6176</v>
      </c>
      <c r="T1874" s="56">
        <v>228.28</v>
      </c>
      <c r="U1874" s="103">
        <v>499.99999999999994</v>
      </c>
      <c r="V1874" s="103">
        <v>8.7089999999999996</v>
      </c>
      <c r="W1874" s="103">
        <v>189.87503366731758</v>
      </c>
      <c r="X1874" s="103">
        <v>499.99999999999994</v>
      </c>
      <c r="Y1874" s="162">
        <v>7</v>
      </c>
      <c r="Z1874" s="56">
        <v>4.16</v>
      </c>
      <c r="AA1874" s="56"/>
      <c r="AB1874" s="56">
        <v>2.61</v>
      </c>
      <c r="AC1874" s="56">
        <v>0.73299999999999998</v>
      </c>
      <c r="AD1874" s="56">
        <v>3.04</v>
      </c>
      <c r="AE1874" s="56">
        <v>3.81</v>
      </c>
      <c r="AF1874" s="56">
        <f t="shared" si="507"/>
        <v>3.04</v>
      </c>
      <c r="AG1874" s="57">
        <v>2.89</v>
      </c>
      <c r="AH1874" s="103">
        <v>7.5799999999999998E-7</v>
      </c>
      <c r="AI1874" s="103">
        <v>3.7399999999999999E-7</v>
      </c>
      <c r="AJ1874" s="62">
        <f t="shared" si="508"/>
        <v>-4.5088971206805981</v>
      </c>
      <c r="AK1874" s="62">
        <f>LOG10(AI1874*1000/(0.08206*298.15))</f>
        <v>-4.8156947241121717</v>
      </c>
      <c r="AL1874" s="62">
        <f t="shared" si="509"/>
        <v>-4.8156947241121717</v>
      </c>
      <c r="AM1874" s="62">
        <v>-7.2245500000000007</v>
      </c>
      <c r="AN1874" s="154">
        <v>-3.96</v>
      </c>
      <c r="AO1874" s="410"/>
      <c r="AP1874" s="410"/>
      <c r="AQ1874" s="154" t="s">
        <v>6311</v>
      </c>
      <c r="AR1874" s="154" t="s">
        <v>6312</v>
      </c>
      <c r="AS1874" s="149" t="s">
        <v>6</v>
      </c>
      <c r="AT1874" s="58" t="s">
        <v>266</v>
      </c>
      <c r="AU1874" s="56">
        <v>2</v>
      </c>
      <c r="AV1874" s="56">
        <v>96</v>
      </c>
      <c r="AW1874" s="56">
        <v>96</v>
      </c>
      <c r="AX1874" s="56">
        <v>26</v>
      </c>
      <c r="AY1874" s="56" t="s">
        <v>6360</v>
      </c>
      <c r="AZ1874" s="56" t="s">
        <v>536</v>
      </c>
      <c r="BA1874" s="56">
        <v>20</v>
      </c>
      <c r="BB1874" s="55" t="s">
        <v>1764</v>
      </c>
      <c r="BC1874" s="55" t="s">
        <v>6372</v>
      </c>
      <c r="BD1874" s="55"/>
      <c r="BE1874" s="56" t="s">
        <v>6361</v>
      </c>
      <c r="BF1874" s="56" t="s">
        <v>1974</v>
      </c>
      <c r="BG1874" s="56" t="s">
        <v>1974</v>
      </c>
      <c r="BH1874" s="56" t="s">
        <v>272</v>
      </c>
      <c r="BI1874" s="153">
        <v>0.25</v>
      </c>
      <c r="BJ1874" s="153">
        <v>4</v>
      </c>
      <c r="BK1874" s="56" t="s">
        <v>6362</v>
      </c>
      <c r="BL1874" s="153">
        <v>2.153633826214266</v>
      </c>
      <c r="BM1874" s="56" t="s">
        <v>541</v>
      </c>
      <c r="BN1874" s="56"/>
      <c r="BO1874" s="56">
        <v>1.38</v>
      </c>
      <c r="BP1874" s="56"/>
      <c r="BQ1874" s="56">
        <v>0.7</v>
      </c>
      <c r="BR1874" s="56"/>
      <c r="BS1874" s="56"/>
      <c r="BT1874" s="56"/>
      <c r="BU1874" s="158"/>
      <c r="BV1874" s="56"/>
      <c r="BW1874" s="56"/>
      <c r="BX1874" s="56"/>
      <c r="BY1874" s="56"/>
      <c r="BZ1874" s="56"/>
      <c r="CA1874" s="56"/>
      <c r="CB1874" s="56"/>
      <c r="CC1874" s="56"/>
      <c r="CD1874" s="56"/>
      <c r="CE1874" s="56"/>
      <c r="CF1874" s="56"/>
      <c r="CG1874" s="56"/>
      <c r="CH1874" s="56"/>
      <c r="CI1874" s="103">
        <v>0.7</v>
      </c>
      <c r="CJ1874" s="103">
        <f t="shared" si="511"/>
        <v>-0.15490195998574319</v>
      </c>
      <c r="CK1874" s="57">
        <f t="shared" si="515"/>
        <v>0.53840845655356651</v>
      </c>
      <c r="CL1874" s="160">
        <f t="shared" si="512"/>
        <v>3.0766197517346661</v>
      </c>
      <c r="CM1874" s="160"/>
      <c r="CN1874" s="160"/>
      <c r="CO1874" s="55"/>
      <c r="CP1874" s="497" t="s">
        <v>6355</v>
      </c>
      <c r="CQ1874" s="149">
        <v>-7.1333751784365768E-2</v>
      </c>
      <c r="CR1874" s="349">
        <f t="shared" si="510"/>
        <v>0.82495791138430541</v>
      </c>
      <c r="CS1874" s="61" t="s">
        <v>539</v>
      </c>
      <c r="CT1874" s="61" t="s">
        <v>6310</v>
      </c>
      <c r="CU1874" s="111">
        <f t="shared" si="513"/>
        <v>714.28571428571422</v>
      </c>
      <c r="CV1874" s="331">
        <f t="shared" si="516"/>
        <v>124.99999999999999</v>
      </c>
      <c r="CW1874" s="326">
        <f t="shared" si="514"/>
        <v>1</v>
      </c>
      <c r="CX1874" s="326" t="s">
        <v>539</v>
      </c>
      <c r="CY1874" s="161" t="s">
        <v>6351</v>
      </c>
    </row>
    <row r="1875" spans="1:103" ht="11.25" customHeight="1" x14ac:dyDescent="0.2">
      <c r="A1875" s="72">
        <v>391</v>
      </c>
      <c r="B1875" s="149">
        <v>2164</v>
      </c>
      <c r="C1875" s="54" t="s">
        <v>6701</v>
      </c>
      <c r="D1875" s="54" t="s">
        <v>6702</v>
      </c>
      <c r="E1875" s="59"/>
      <c r="F1875" s="59" t="s">
        <v>1690</v>
      </c>
      <c r="G1875" s="151">
        <v>534521</v>
      </c>
      <c r="H1875" s="55" t="s">
        <v>1691</v>
      </c>
      <c r="I1875" s="55" t="s">
        <v>1691</v>
      </c>
      <c r="J1875" s="55" t="s">
        <v>1692</v>
      </c>
      <c r="K1875" s="55" t="s">
        <v>1693</v>
      </c>
      <c r="L1875" s="55" t="s">
        <v>617</v>
      </c>
      <c r="M1875" s="55" t="s">
        <v>1694</v>
      </c>
      <c r="N1875" s="60" t="s">
        <v>6381</v>
      </c>
      <c r="O1875" s="55" t="s">
        <v>1695</v>
      </c>
      <c r="P1875" s="67"/>
      <c r="Q1875" s="67" t="s">
        <v>6173</v>
      </c>
      <c r="R1875" s="67" t="s">
        <v>6180</v>
      </c>
      <c r="S1875" s="67" t="s">
        <v>6176</v>
      </c>
      <c r="T1875" s="56">
        <v>198.13</v>
      </c>
      <c r="U1875" s="103">
        <v>198</v>
      </c>
      <c r="V1875" s="103">
        <v>678.4</v>
      </c>
      <c r="W1875" s="103">
        <v>571.41316171447409</v>
      </c>
      <c r="X1875" s="103">
        <v>198</v>
      </c>
      <c r="Y1875" s="162">
        <v>3.5</v>
      </c>
      <c r="Z1875" s="56">
        <v>2.27</v>
      </c>
      <c r="AA1875" s="56">
        <v>2.13</v>
      </c>
      <c r="AB1875" s="56">
        <v>2.29</v>
      </c>
      <c r="AC1875" s="56">
        <v>0.86</v>
      </c>
      <c r="AD1875" s="56">
        <v>2.27</v>
      </c>
      <c r="AE1875" s="56">
        <v>2.2000000000000002</v>
      </c>
      <c r="AF1875" s="56">
        <f t="shared" si="507"/>
        <v>2.13</v>
      </c>
      <c r="AG1875" s="57">
        <v>1.1499999999999999</v>
      </c>
      <c r="AH1875" s="103">
        <v>3.0500000000000002E-8</v>
      </c>
      <c r="AI1875" s="103">
        <v>1.3999999999999999E-6</v>
      </c>
      <c r="AJ1875" s="62">
        <f t="shared" si="508"/>
        <v>-5.9042664869658656</v>
      </c>
      <c r="AK1875" s="62">
        <f>LOG10(AI1875*1000/(0.08206*298.15))</f>
        <v>-4.2424382906344134</v>
      </c>
      <c r="AL1875" s="62">
        <f t="shared" si="509"/>
        <v>-4.2424382906344134</v>
      </c>
      <c r="AM1875" s="62">
        <v>-9.2475299999999994</v>
      </c>
      <c r="AN1875" s="154">
        <v>-5.07</v>
      </c>
      <c r="AO1875" s="410">
        <v>4.42</v>
      </c>
      <c r="AP1875" s="410"/>
      <c r="AQ1875" s="154" t="s">
        <v>6311</v>
      </c>
      <c r="AR1875" s="154" t="s">
        <v>6311</v>
      </c>
      <c r="AS1875" s="149" t="s">
        <v>6</v>
      </c>
      <c r="AT1875" s="58" t="s">
        <v>266</v>
      </c>
      <c r="AU1875" s="56">
        <v>0</v>
      </c>
      <c r="AV1875" s="56">
        <v>96</v>
      </c>
      <c r="AW1875" s="56">
        <v>96</v>
      </c>
      <c r="AX1875" s="56">
        <v>26</v>
      </c>
      <c r="AY1875" s="472" t="s">
        <v>6360</v>
      </c>
      <c r="AZ1875" s="56" t="s">
        <v>536</v>
      </c>
      <c r="BA1875" s="56">
        <v>20</v>
      </c>
      <c r="BB1875" s="55" t="s">
        <v>1764</v>
      </c>
      <c r="BC1875" s="55" t="s">
        <v>6359</v>
      </c>
      <c r="BD1875" s="55"/>
      <c r="BE1875" s="56" t="s">
        <v>1712</v>
      </c>
      <c r="BF1875" s="56" t="s">
        <v>539</v>
      </c>
      <c r="BG1875" s="56" t="s">
        <v>539</v>
      </c>
      <c r="BH1875" s="56" t="s">
        <v>272</v>
      </c>
      <c r="BI1875" s="153">
        <v>0.18</v>
      </c>
      <c r="BJ1875" s="153">
        <v>1.89</v>
      </c>
      <c r="BK1875" s="56"/>
      <c r="BL1875" s="153">
        <v>93.124346806769523</v>
      </c>
      <c r="BM1875" s="56" t="s">
        <v>541</v>
      </c>
      <c r="BN1875" s="56"/>
      <c r="BO1875" s="56">
        <v>0.72299999999999998</v>
      </c>
      <c r="BP1875" s="56"/>
      <c r="BQ1875" s="56">
        <v>0.56699999999999995</v>
      </c>
      <c r="BR1875" s="56"/>
      <c r="BS1875" s="56"/>
      <c r="BT1875" s="56"/>
      <c r="BU1875" s="158"/>
      <c r="BV1875" s="56"/>
      <c r="BW1875" s="56"/>
      <c r="BX1875" s="56"/>
      <c r="BY1875" s="56"/>
      <c r="BZ1875" s="56"/>
      <c r="CA1875" s="56"/>
      <c r="CB1875" s="56"/>
      <c r="CC1875" s="56"/>
      <c r="CD1875" s="56"/>
      <c r="CE1875" s="56"/>
      <c r="CF1875" s="56"/>
      <c r="CG1875" s="56"/>
      <c r="CH1875" s="56"/>
      <c r="CI1875" s="103">
        <v>0.56699999999999995</v>
      </c>
      <c r="CJ1875" s="103">
        <f t="shared" si="511"/>
        <v>-0.24641694110709347</v>
      </c>
      <c r="CK1875" s="57">
        <f t="shared" si="515"/>
        <v>49.272141167602925</v>
      </c>
      <c r="CL1875" s="160">
        <f t="shared" si="512"/>
        <v>164.24047055867644</v>
      </c>
      <c r="CM1875" s="160"/>
      <c r="CN1875" s="160"/>
      <c r="CO1875" s="55"/>
      <c r="CP1875" s="497" t="s">
        <v>6355</v>
      </c>
      <c r="CQ1875" s="149">
        <v>-0.11350532493431179</v>
      </c>
      <c r="CR1875" s="349">
        <f t="shared" si="510"/>
        <v>0.73635693919243261</v>
      </c>
      <c r="CS1875" s="61" t="s">
        <v>539</v>
      </c>
      <c r="CT1875" s="61"/>
      <c r="CU1875" s="111">
        <f t="shared" si="513"/>
        <v>349.20634920634922</v>
      </c>
      <c r="CV1875" s="331">
        <f t="shared" si="516"/>
        <v>104.76190476190477</v>
      </c>
      <c r="CW1875" s="326">
        <f t="shared" si="514"/>
        <v>1</v>
      </c>
      <c r="CX1875" s="326" t="s">
        <v>539</v>
      </c>
      <c r="CY1875" s="161" t="s">
        <v>6351</v>
      </c>
    </row>
    <row r="1876" spans="1:103" ht="11.25" customHeight="1" x14ac:dyDescent="0.2">
      <c r="A1876" s="72">
        <v>429</v>
      </c>
      <c r="B1876" s="149">
        <v>2167</v>
      </c>
      <c r="C1876" s="54" t="s">
        <v>6737</v>
      </c>
      <c r="D1876" s="54"/>
      <c r="E1876" s="59"/>
      <c r="F1876" s="59" t="s">
        <v>2131</v>
      </c>
      <c r="G1876" s="151">
        <v>95144244</v>
      </c>
      <c r="H1876" s="55"/>
      <c r="I1876" s="55" t="s">
        <v>7877</v>
      </c>
      <c r="J1876" s="55" t="s">
        <v>2132</v>
      </c>
      <c r="K1876" s="55"/>
      <c r="L1876" s="55" t="s">
        <v>5527</v>
      </c>
      <c r="M1876" s="55" t="s">
        <v>526</v>
      </c>
      <c r="N1876" s="60"/>
      <c r="O1876" s="55" t="s">
        <v>2342</v>
      </c>
      <c r="P1876" s="67"/>
      <c r="Q1876" s="67"/>
      <c r="R1876" s="67"/>
      <c r="S1876" s="67"/>
      <c r="T1876" s="56">
        <v>400000</v>
      </c>
      <c r="U1876" s="103"/>
      <c r="V1876" s="103"/>
      <c r="W1876" s="103"/>
      <c r="X1876" s="103"/>
      <c r="Y1876" s="162"/>
      <c r="Z1876" s="56"/>
      <c r="AA1876" s="56"/>
      <c r="AB1876" s="56"/>
      <c r="AC1876" s="56"/>
      <c r="AD1876" s="56"/>
      <c r="AE1876" s="56"/>
      <c r="AF1876" s="56"/>
      <c r="AG1876" s="57">
        <v>1.29</v>
      </c>
      <c r="AH1876" s="103"/>
      <c r="AI1876" s="103"/>
      <c r="AJ1876" s="62"/>
      <c r="AK1876" s="62"/>
      <c r="AL1876" s="62"/>
      <c r="AM1876" s="62"/>
      <c r="AN1876" s="154">
        <v>-12.6</v>
      </c>
      <c r="AO1876" s="410"/>
      <c r="AP1876" s="410"/>
      <c r="AQ1876" s="154" t="s">
        <v>6317</v>
      </c>
      <c r="AR1876" s="154" t="s">
        <v>6317</v>
      </c>
      <c r="AS1876" s="149" t="s">
        <v>6</v>
      </c>
      <c r="AT1876" s="58" t="s">
        <v>266</v>
      </c>
      <c r="AU1876" s="56">
        <v>0</v>
      </c>
      <c r="AV1876" s="56">
        <v>96</v>
      </c>
      <c r="AW1876" s="56">
        <v>96</v>
      </c>
      <c r="AX1876" s="56">
        <v>26</v>
      </c>
      <c r="AY1876" s="472" t="s">
        <v>6360</v>
      </c>
      <c r="AZ1876" s="56" t="s">
        <v>536</v>
      </c>
      <c r="BA1876" s="56">
        <v>20</v>
      </c>
      <c r="BB1876" s="55" t="s">
        <v>1764</v>
      </c>
      <c r="BC1876" s="55" t="s">
        <v>6359</v>
      </c>
      <c r="BD1876" s="55"/>
      <c r="BE1876" s="56" t="s">
        <v>1712</v>
      </c>
      <c r="BF1876" s="56" t="s">
        <v>539</v>
      </c>
      <c r="BG1876" s="56" t="s">
        <v>539</v>
      </c>
      <c r="BH1876" s="56" t="s">
        <v>272</v>
      </c>
      <c r="BI1876" s="153">
        <v>0.156</v>
      </c>
      <c r="BJ1876" s="153">
        <v>2.5</v>
      </c>
      <c r="BK1876" s="56"/>
      <c r="BL1876" s="153"/>
      <c r="BM1876" s="56" t="s">
        <v>2046</v>
      </c>
      <c r="BN1876" s="56"/>
      <c r="BO1876" s="56"/>
      <c r="BP1876" s="56"/>
      <c r="BQ1876" s="56">
        <v>0.87600000000000011</v>
      </c>
      <c r="BR1876" s="56"/>
      <c r="BS1876" s="56"/>
      <c r="BT1876" s="56"/>
      <c r="BU1876" s="158"/>
      <c r="BV1876" s="56"/>
      <c r="BW1876" s="56"/>
      <c r="BX1876" s="56"/>
      <c r="BY1876" s="56"/>
      <c r="BZ1876" s="56"/>
      <c r="CA1876" s="56"/>
      <c r="CB1876" s="56"/>
      <c r="CC1876" s="56"/>
      <c r="CD1876" s="56"/>
      <c r="CE1876" s="56"/>
      <c r="CF1876" s="56"/>
      <c r="CG1876" s="56"/>
      <c r="CH1876" s="56"/>
      <c r="CI1876" s="103">
        <v>0.87600000000000011</v>
      </c>
      <c r="CJ1876" s="103">
        <f t="shared" si="511"/>
        <v>-5.7495893831919213E-2</v>
      </c>
      <c r="CK1876" s="57">
        <f t="shared" si="515"/>
        <v>0</v>
      </c>
      <c r="CL1876" s="160">
        <f t="shared" si="512"/>
        <v>0</v>
      </c>
      <c r="CM1876" s="160"/>
      <c r="CN1876" s="160"/>
      <c r="CO1876" s="55"/>
      <c r="CP1876" s="497" t="s">
        <v>6355</v>
      </c>
      <c r="CQ1876" s="149" t="s">
        <v>272</v>
      </c>
      <c r="CR1876" s="349"/>
      <c r="CS1876" s="61" t="s">
        <v>539</v>
      </c>
      <c r="CT1876" s="61"/>
      <c r="CU1876" s="111" t="s">
        <v>6310</v>
      </c>
      <c r="CV1876" s="331"/>
      <c r="CW1876" s="326">
        <f t="shared" si="514"/>
        <v>1</v>
      </c>
      <c r="CX1876" s="326" t="s">
        <v>539</v>
      </c>
      <c r="CY1876" s="161" t="s">
        <v>5921</v>
      </c>
    </row>
    <row r="1877" spans="1:103" ht="11.25" customHeight="1" x14ac:dyDescent="0.2">
      <c r="A1877" s="72">
        <v>446</v>
      </c>
      <c r="B1877" s="149">
        <v>816</v>
      </c>
      <c r="C1877" s="54" t="s">
        <v>6752</v>
      </c>
      <c r="D1877" s="54" t="s">
        <v>6492</v>
      </c>
      <c r="E1877" s="59"/>
      <c r="F1877" s="59" t="s">
        <v>2321</v>
      </c>
      <c r="G1877" s="151">
        <v>1191500</v>
      </c>
      <c r="H1877" s="55" t="s">
        <v>2322</v>
      </c>
      <c r="I1877" s="55" t="s">
        <v>2322</v>
      </c>
      <c r="J1877" s="55" t="s">
        <v>2323</v>
      </c>
      <c r="K1877" s="55" t="s">
        <v>426</v>
      </c>
      <c r="L1877" s="64" t="s">
        <v>279</v>
      </c>
      <c r="M1877" s="55" t="s">
        <v>2324</v>
      </c>
      <c r="N1877" s="60" t="s">
        <v>6383</v>
      </c>
      <c r="O1877" s="55" t="s">
        <v>281</v>
      </c>
      <c r="P1877" s="67"/>
      <c r="Q1877" s="67"/>
      <c r="R1877" s="67"/>
      <c r="S1877" s="67"/>
      <c r="T1877" s="56">
        <v>294.45</v>
      </c>
      <c r="U1877" s="103"/>
      <c r="V1877" s="103">
        <v>16.38</v>
      </c>
      <c r="W1877" s="103">
        <v>8689.8355679191682</v>
      </c>
      <c r="X1877" s="103">
        <v>8689.8355679191682</v>
      </c>
      <c r="Y1877" s="162">
        <v>1.53</v>
      </c>
      <c r="Z1877" s="56">
        <v>3.4</v>
      </c>
      <c r="AA1877" s="56"/>
      <c r="AB1877" s="56">
        <v>3.19</v>
      </c>
      <c r="AC1877" s="56">
        <v>0.39860000000000001</v>
      </c>
      <c r="AD1877" s="56">
        <v>5.0999999999999996</v>
      </c>
      <c r="AE1877" s="56">
        <v>6.46</v>
      </c>
      <c r="AF1877" s="56">
        <f>IF(AA1877=0,AD1877,AA1877)</f>
        <v>5.0999999999999996</v>
      </c>
      <c r="AG1877" s="57">
        <v>5.0999999999999996</v>
      </c>
      <c r="AH1877" s="103">
        <v>3.2399999999999999E-7</v>
      </c>
      <c r="AI1877" s="103"/>
      <c r="AJ1877" s="62">
        <f t="shared" ref="AJ1877:AJ1919" si="517">LOG10(AH1877*1000/(0.08206*298.15))</f>
        <v>-4.8780213161060395</v>
      </c>
      <c r="AK1877" s="62"/>
      <c r="AL1877" s="62">
        <f>IF(AK1877=0,AJ1877,AK1877)</f>
        <v>-4.8780213161060395</v>
      </c>
      <c r="AM1877" s="62">
        <v>-11.363960000000001</v>
      </c>
      <c r="AN1877" s="154"/>
      <c r="AO1877" s="410">
        <v>-3.29</v>
      </c>
      <c r="AP1877" s="410"/>
      <c r="AQ1877" s="154" t="s">
        <v>6311</v>
      </c>
      <c r="AR1877" s="154" t="s">
        <v>6311</v>
      </c>
      <c r="AS1877" s="149" t="s">
        <v>6</v>
      </c>
      <c r="AT1877" s="58" t="s">
        <v>266</v>
      </c>
      <c r="AU1877" s="61">
        <v>0</v>
      </c>
      <c r="AV1877" s="56">
        <v>96</v>
      </c>
      <c r="AW1877" s="56">
        <v>96</v>
      </c>
      <c r="AX1877" s="56">
        <v>26</v>
      </c>
      <c r="AY1877" s="56" t="s">
        <v>6360</v>
      </c>
      <c r="AZ1877" s="56" t="s">
        <v>536</v>
      </c>
      <c r="BA1877" s="56">
        <v>20</v>
      </c>
      <c r="BB1877" s="55" t="s">
        <v>1764</v>
      </c>
      <c r="BC1877" s="55" t="s">
        <v>6372</v>
      </c>
      <c r="BD1877" s="55"/>
      <c r="BE1877" s="56" t="s">
        <v>6361</v>
      </c>
      <c r="BF1877" s="56" t="s">
        <v>1974</v>
      </c>
      <c r="BG1877" s="56" t="s">
        <v>1974</v>
      </c>
      <c r="BH1877" s="56" t="s">
        <v>272</v>
      </c>
      <c r="BI1877" s="153">
        <v>0.156</v>
      </c>
      <c r="BJ1877" s="153">
        <v>2.5</v>
      </c>
      <c r="BK1877" s="56" t="s">
        <v>6366</v>
      </c>
      <c r="BL1877" s="153">
        <v>13.374315335782061</v>
      </c>
      <c r="BM1877" s="56" t="s">
        <v>541</v>
      </c>
      <c r="BN1877" s="56"/>
      <c r="BO1877" s="155">
        <v>0.33725002512500002</v>
      </c>
      <c r="BP1877" s="56"/>
      <c r="BQ1877" s="56">
        <v>0.33883335638749995</v>
      </c>
      <c r="BR1877" s="56"/>
      <c r="BS1877" s="56"/>
      <c r="BT1877" s="56"/>
      <c r="BU1877" s="158"/>
      <c r="BV1877" s="56"/>
      <c r="BW1877" s="56"/>
      <c r="BX1877" s="56"/>
      <c r="BY1877" s="56"/>
      <c r="BZ1877" s="56"/>
      <c r="CA1877" s="56"/>
      <c r="CB1877" s="56"/>
      <c r="CC1877" s="56"/>
      <c r="CD1877" s="56"/>
      <c r="CE1877" s="56"/>
      <c r="CF1877" s="56"/>
      <c r="CG1877" s="56"/>
      <c r="CH1877" s="56"/>
      <c r="CI1877" s="103">
        <v>0.33725002512500002</v>
      </c>
      <c r="CJ1877" s="103">
        <f t="shared" si="511"/>
        <v>-0.47204800930128138</v>
      </c>
      <c r="CK1877" s="57">
        <f t="shared" si="515"/>
        <v>5.3497261343128244</v>
      </c>
      <c r="CL1877" s="160">
        <f t="shared" si="512"/>
        <v>39.656973578652632</v>
      </c>
      <c r="CM1877" s="160">
        <v>0.49692964807321482</v>
      </c>
      <c r="CN1877" s="160">
        <f>BJ1877/(10^CM1877)</f>
        <v>0.79617834394904463</v>
      </c>
      <c r="CO1877" s="55"/>
      <c r="CP1877" s="497" t="s">
        <v>6355</v>
      </c>
      <c r="CQ1877" s="149">
        <v>0.52357900056415452</v>
      </c>
      <c r="CR1877" s="349">
        <f t="shared" ref="CR1877:CR1882" si="518">10^(CJ1877-CQ1877)</f>
        <v>0.10101200466866095</v>
      </c>
      <c r="CS1877" s="61" t="s">
        <v>539</v>
      </c>
      <c r="CT1877" s="61" t="s">
        <v>6310</v>
      </c>
      <c r="CU1877" s="111">
        <f>X1877/CI1877</f>
        <v>25766.745501941252</v>
      </c>
      <c r="CV1877" s="331">
        <f>X1877/BJ1877</f>
        <v>3475.9342271676674</v>
      </c>
      <c r="CW1877" s="326">
        <f t="shared" si="514"/>
        <v>1</v>
      </c>
      <c r="CX1877" s="326" t="s">
        <v>539</v>
      </c>
      <c r="CY1877" s="161" t="s">
        <v>5921</v>
      </c>
    </row>
    <row r="1878" spans="1:103" ht="11.25" customHeight="1" x14ac:dyDescent="0.2">
      <c r="A1878" s="72">
        <v>449</v>
      </c>
      <c r="B1878" s="149">
        <v>683</v>
      </c>
      <c r="C1878" s="54" t="s">
        <v>1535</v>
      </c>
      <c r="D1878" s="54" t="s">
        <v>6500</v>
      </c>
      <c r="E1878" s="59"/>
      <c r="F1878" s="59" t="s">
        <v>1536</v>
      </c>
      <c r="G1878" s="151">
        <v>3380345</v>
      </c>
      <c r="H1878" s="55" t="s">
        <v>1537</v>
      </c>
      <c r="I1878" s="55" t="s">
        <v>7884</v>
      </c>
      <c r="J1878" s="55" t="s">
        <v>1538</v>
      </c>
      <c r="K1878" s="55" t="s">
        <v>349</v>
      </c>
      <c r="L1878" s="55" t="s">
        <v>6067</v>
      </c>
      <c r="M1878" s="55" t="s">
        <v>6082</v>
      </c>
      <c r="N1878" s="60" t="s">
        <v>6082</v>
      </c>
      <c r="O1878" s="65" t="s">
        <v>6083</v>
      </c>
      <c r="P1878" s="67"/>
      <c r="Q1878" s="67"/>
      <c r="R1878" s="67"/>
      <c r="S1878" s="67"/>
      <c r="T1878" s="56">
        <v>289.54000000000002</v>
      </c>
      <c r="U1878" s="103">
        <v>10.000000000000002</v>
      </c>
      <c r="V1878" s="103">
        <v>4.6210000000000004</v>
      </c>
      <c r="W1878" s="103">
        <v>1.4181055935993983</v>
      </c>
      <c r="X1878" s="103">
        <v>10.000000000000002</v>
      </c>
      <c r="Y1878" s="162">
        <v>6.54</v>
      </c>
      <c r="Z1878" s="56">
        <v>4.66</v>
      </c>
      <c r="AA1878" s="56">
        <v>4.76</v>
      </c>
      <c r="AB1878" s="56">
        <v>5.3</v>
      </c>
      <c r="AC1878" s="56">
        <v>0.87380000000000002</v>
      </c>
      <c r="AD1878" s="56">
        <v>5.27</v>
      </c>
      <c r="AE1878" s="56">
        <v>5.17</v>
      </c>
      <c r="AF1878" s="56">
        <f>IF(AA1878=0,AD1878,AA1878)</f>
        <v>4.76</v>
      </c>
      <c r="AG1878" s="57">
        <v>4.8499999999999996</v>
      </c>
      <c r="AH1878" s="103">
        <v>4.9900000000000003E-9</v>
      </c>
      <c r="AI1878" s="103"/>
      <c r="AJ1878" s="62">
        <f t="shared" si="517"/>
        <v>-6.6904657806892622</v>
      </c>
      <c r="AK1878" s="62"/>
      <c r="AL1878" s="62">
        <f>IF(AK1878=0,AJ1878,AK1878)</f>
        <v>-6.6904657806892622</v>
      </c>
      <c r="AM1878" s="62">
        <v>-10.51848</v>
      </c>
      <c r="AN1878" s="154">
        <v>-3.91</v>
      </c>
      <c r="AO1878" s="410">
        <v>7.8</v>
      </c>
      <c r="AP1878" s="410"/>
      <c r="AQ1878" s="154" t="s">
        <v>6311</v>
      </c>
      <c r="AR1878" s="154" t="s">
        <v>6311</v>
      </c>
      <c r="AS1878" s="149" t="s">
        <v>6</v>
      </c>
      <c r="AT1878" s="58" t="s">
        <v>266</v>
      </c>
      <c r="AU1878" s="56">
        <v>2</v>
      </c>
      <c r="AV1878" s="56">
        <v>96</v>
      </c>
      <c r="AW1878" s="56">
        <v>96</v>
      </c>
      <c r="AX1878" s="56">
        <v>26</v>
      </c>
      <c r="AY1878" s="56" t="s">
        <v>6360</v>
      </c>
      <c r="AZ1878" s="56" t="s">
        <v>536</v>
      </c>
      <c r="BA1878" s="56">
        <v>20</v>
      </c>
      <c r="BB1878" s="55" t="s">
        <v>1764</v>
      </c>
      <c r="BC1878" s="55" t="s">
        <v>6372</v>
      </c>
      <c r="BD1878" s="55"/>
      <c r="BE1878" s="56" t="s">
        <v>6361</v>
      </c>
      <c r="BF1878" s="56" t="s">
        <v>1974</v>
      </c>
      <c r="BG1878" s="56" t="s">
        <v>1974</v>
      </c>
      <c r="BH1878" s="56" t="s">
        <v>272</v>
      </c>
      <c r="BI1878" s="153">
        <v>7.4999999999999997E-2</v>
      </c>
      <c r="BJ1878" s="153">
        <v>1.2</v>
      </c>
      <c r="BK1878" s="56"/>
      <c r="BL1878" s="153">
        <v>0.97132053426667619</v>
      </c>
      <c r="BM1878" s="56" t="s">
        <v>541</v>
      </c>
      <c r="BN1878" s="56"/>
      <c r="BO1878" s="56">
        <v>0.42</v>
      </c>
      <c r="BP1878" s="56"/>
      <c r="BQ1878" s="477">
        <v>0.3</v>
      </c>
      <c r="BR1878" s="56"/>
      <c r="BS1878" s="56"/>
      <c r="BT1878" s="56"/>
      <c r="BU1878" s="158"/>
      <c r="BV1878" s="56"/>
      <c r="BW1878" s="56"/>
      <c r="BX1878" s="56"/>
      <c r="BY1878" s="56"/>
      <c r="BZ1878" s="56"/>
      <c r="CA1878" s="56"/>
      <c r="CB1878" s="56"/>
      <c r="CC1878" s="56"/>
      <c r="CD1878" s="56"/>
      <c r="CE1878" s="56"/>
      <c r="CF1878" s="56"/>
      <c r="CG1878" s="56"/>
      <c r="CH1878" s="56"/>
      <c r="CI1878" s="103">
        <v>0.3</v>
      </c>
      <c r="CJ1878" s="103">
        <f t="shared" si="511"/>
        <v>-0.52287874528033762</v>
      </c>
      <c r="CK1878" s="57">
        <f t="shared" si="515"/>
        <v>0.80943377855556353</v>
      </c>
      <c r="CL1878" s="160">
        <f t="shared" si="512"/>
        <v>3.2377351142222541</v>
      </c>
      <c r="CM1878" s="160">
        <v>-0.56863623584101308</v>
      </c>
      <c r="CN1878" s="160">
        <f>BJ1878/(10^CM1878)</f>
        <v>4.4444444444444491</v>
      </c>
      <c r="CO1878" s="55"/>
      <c r="CP1878" s="497" t="s">
        <v>6355</v>
      </c>
      <c r="CQ1878" s="149">
        <v>-3.048771733266693E-2</v>
      </c>
      <c r="CR1878" s="349">
        <f t="shared" si="518"/>
        <v>0.32181699263022778</v>
      </c>
      <c r="CS1878" s="61" t="s">
        <v>539</v>
      </c>
      <c r="CT1878" s="61"/>
      <c r="CU1878" s="111">
        <f>X1878/CI1878</f>
        <v>33.333333333333343</v>
      </c>
      <c r="CV1878" s="331">
        <f>X1878/BJ1878</f>
        <v>8.3333333333333357</v>
      </c>
      <c r="CW1878" s="326">
        <f t="shared" si="514"/>
        <v>1</v>
      </c>
      <c r="CX1878" s="326" t="s">
        <v>539</v>
      </c>
      <c r="CY1878" s="161" t="s">
        <v>6351</v>
      </c>
    </row>
    <row r="1879" spans="1:103" ht="11.25" customHeight="1" x14ac:dyDescent="0.2">
      <c r="A1879" s="72">
        <v>491</v>
      </c>
      <c r="B1879" s="149">
        <v>2163</v>
      </c>
      <c r="C1879" s="54" t="s">
        <v>6778</v>
      </c>
      <c r="D1879" s="54" t="s">
        <v>6779</v>
      </c>
      <c r="E1879" s="59"/>
      <c r="F1879" s="59" t="s">
        <v>643</v>
      </c>
      <c r="G1879" s="151">
        <v>115093</v>
      </c>
      <c r="H1879" s="55" t="s">
        <v>644</v>
      </c>
      <c r="I1879" s="55" t="s">
        <v>7907</v>
      </c>
      <c r="J1879" s="55" t="s">
        <v>645</v>
      </c>
      <c r="K1879" s="55" t="s">
        <v>6357</v>
      </c>
      <c r="L1879" s="55"/>
      <c r="M1879" s="55" t="s">
        <v>2342</v>
      </c>
      <c r="N1879" s="60" t="s">
        <v>2342</v>
      </c>
      <c r="O1879" s="55"/>
      <c r="P1879" s="67"/>
      <c r="Q1879" s="67"/>
      <c r="R1879" s="67"/>
      <c r="S1879" s="67"/>
      <c r="T1879" s="56">
        <v>251.08</v>
      </c>
      <c r="U1879" s="103"/>
      <c r="V1879" s="103">
        <v>10420</v>
      </c>
      <c r="W1879" s="103"/>
      <c r="X1879" s="103">
        <v>10420</v>
      </c>
      <c r="Y1879" s="162"/>
      <c r="Z1879" s="56">
        <v>0.39</v>
      </c>
      <c r="AA1879" s="56">
        <v>0.41</v>
      </c>
      <c r="AB1879" s="56"/>
      <c r="AC1879" s="56"/>
      <c r="AD1879" s="56"/>
      <c r="AE1879" s="56"/>
      <c r="AF1879" s="56">
        <f>IF(AA1879=0,AD1879,AA1879)</f>
        <v>0.41</v>
      </c>
      <c r="AG1879" s="57" t="s">
        <v>404</v>
      </c>
      <c r="AH1879" s="103">
        <v>7.1999999999999998E-3</v>
      </c>
      <c r="AI1879" s="103">
        <v>3.6699999999999999E-7</v>
      </c>
      <c r="AJ1879" s="62">
        <f t="shared" si="517"/>
        <v>-0.53123382988138335</v>
      </c>
      <c r="AK1879" s="62">
        <f>LOG10(AI1879*1000/(0.08206*298.15))</f>
        <v>-4.8239002620605627</v>
      </c>
      <c r="AL1879" s="62">
        <f>IF(AK1879=0,AJ1879,AK1879)</f>
        <v>-4.8239002620605627</v>
      </c>
      <c r="AM1879" s="62"/>
      <c r="AN1879" s="154"/>
      <c r="AO1879" s="410"/>
      <c r="AP1879" s="410"/>
      <c r="AQ1879" s="154" t="s">
        <v>6311</v>
      </c>
      <c r="AR1879" s="154" t="s">
        <v>6311</v>
      </c>
      <c r="AS1879" s="149" t="s">
        <v>6</v>
      </c>
      <c r="AT1879" s="58" t="s">
        <v>266</v>
      </c>
      <c r="AU1879" s="56">
        <v>0</v>
      </c>
      <c r="AV1879" s="56">
        <v>96</v>
      </c>
      <c r="AW1879" s="56">
        <v>96</v>
      </c>
      <c r="AX1879" s="56">
        <v>26</v>
      </c>
      <c r="AY1879" s="472" t="s">
        <v>6360</v>
      </c>
      <c r="AZ1879" s="56" t="s">
        <v>536</v>
      </c>
      <c r="BA1879" s="56">
        <v>20</v>
      </c>
      <c r="BB1879" s="55" t="s">
        <v>1764</v>
      </c>
      <c r="BC1879" s="55" t="s">
        <v>6359</v>
      </c>
      <c r="BD1879" s="55"/>
      <c r="BE1879" s="56" t="s">
        <v>1712</v>
      </c>
      <c r="BF1879" s="56" t="s">
        <v>539</v>
      </c>
      <c r="BG1879" s="56" t="s">
        <v>539</v>
      </c>
      <c r="BH1879" s="56" t="s">
        <v>272</v>
      </c>
      <c r="BI1879" s="153">
        <v>6.2500000000000003E-3</v>
      </c>
      <c r="BJ1879" s="153">
        <v>0.1</v>
      </c>
      <c r="BK1879" s="56"/>
      <c r="BL1879" s="153" t="e">
        <v>#VALUE!</v>
      </c>
      <c r="BM1879" s="56" t="s">
        <v>2046</v>
      </c>
      <c r="BN1879" s="56"/>
      <c r="BO1879" s="56">
        <v>4.2000000000000003E-2</v>
      </c>
      <c r="BP1879" s="56"/>
      <c r="BQ1879" s="56">
        <v>2.8000000000000001E-2</v>
      </c>
      <c r="BR1879" s="56"/>
      <c r="BS1879" s="56"/>
      <c r="BT1879" s="56"/>
      <c r="BU1879" s="158"/>
      <c r="BV1879" s="56"/>
      <c r="BW1879" s="56"/>
      <c r="BX1879" s="56"/>
      <c r="BY1879" s="56"/>
      <c r="BZ1879" s="56"/>
      <c r="CA1879" s="56"/>
      <c r="CB1879" s="56"/>
      <c r="CC1879" s="56"/>
      <c r="CD1879" s="56"/>
      <c r="CE1879" s="56"/>
      <c r="CF1879" s="56"/>
      <c r="CG1879" s="56"/>
      <c r="CH1879" s="56"/>
      <c r="CI1879" s="103">
        <v>2.8000000000000001E-2</v>
      </c>
      <c r="CJ1879" s="103">
        <f t="shared" si="511"/>
        <v>-1.5528419686577808</v>
      </c>
      <c r="CK1879" s="57"/>
      <c r="CL1879" s="160"/>
      <c r="CM1879" s="160"/>
      <c r="CN1879" s="160"/>
      <c r="CO1879" s="55"/>
      <c r="CP1879" s="497" t="s">
        <v>6355</v>
      </c>
      <c r="CQ1879" s="149">
        <v>-1.4426945078839135</v>
      </c>
      <c r="CR1879" s="349">
        <f t="shared" si="518"/>
        <v>0.77598359366317071</v>
      </c>
      <c r="CS1879" s="61" t="s">
        <v>539</v>
      </c>
      <c r="CT1879" s="61"/>
      <c r="CU1879" s="111">
        <f>X1879/CI1879</f>
        <v>372142.85714285716</v>
      </c>
      <c r="CV1879" s="331">
        <f>X1879/BJ1879</f>
        <v>104200</v>
      </c>
      <c r="CW1879" s="326">
        <f t="shared" si="514"/>
        <v>1</v>
      </c>
      <c r="CX1879" s="326" t="s">
        <v>539</v>
      </c>
      <c r="CY1879" s="161"/>
    </row>
    <row r="1880" spans="1:103" ht="11.25" customHeight="1" x14ac:dyDescent="0.2">
      <c r="A1880" s="72">
        <v>2009</v>
      </c>
      <c r="B1880" s="282">
        <v>819</v>
      </c>
      <c r="C1880" s="115" t="s">
        <v>6356</v>
      </c>
      <c r="D1880" s="115"/>
      <c r="E1880" s="116">
        <v>1</v>
      </c>
      <c r="F1880" s="116" t="s">
        <v>2328</v>
      </c>
      <c r="G1880" s="283">
        <v>7440508</v>
      </c>
      <c r="H1880" s="284" t="s">
        <v>2329</v>
      </c>
      <c r="I1880" s="284"/>
      <c r="J1880" s="284"/>
      <c r="K1880" s="284" t="s">
        <v>416</v>
      </c>
      <c r="L1880" s="284"/>
      <c r="M1880" s="284"/>
      <c r="N1880" s="284"/>
      <c r="O1880" s="284"/>
      <c r="P1880" s="286"/>
      <c r="Q1880" s="286"/>
      <c r="R1880" s="286"/>
      <c r="S1880" s="286"/>
      <c r="T1880" s="119">
        <v>63.55</v>
      </c>
      <c r="U1880" s="292"/>
      <c r="V1880" s="292"/>
      <c r="W1880" s="292"/>
      <c r="X1880" s="292"/>
      <c r="Y1880" s="370"/>
      <c r="Z1880" s="116"/>
      <c r="AA1880" s="116"/>
      <c r="AB1880" s="116"/>
      <c r="AC1880" s="116"/>
      <c r="AD1880" s="116"/>
      <c r="AE1880" s="116"/>
      <c r="AF1880" s="116"/>
      <c r="AG1880" s="117" t="s">
        <v>404</v>
      </c>
      <c r="AH1880" s="292">
        <v>2.4500000000000001E-2</v>
      </c>
      <c r="AI1880" s="292"/>
      <c r="AJ1880" s="125">
        <f t="shared" si="517"/>
        <v>5.9975805188064034E-4</v>
      </c>
      <c r="AK1880" s="125"/>
      <c r="AL1880" s="125"/>
      <c r="AM1880" s="125"/>
      <c r="AN1880" s="297"/>
      <c r="AO1880" s="420"/>
      <c r="AP1880" s="420"/>
      <c r="AQ1880" s="297" t="s">
        <v>6311</v>
      </c>
      <c r="AR1880" s="297" t="s">
        <v>6311</v>
      </c>
      <c r="AS1880" s="282" t="s">
        <v>6</v>
      </c>
      <c r="AT1880" s="118" t="s">
        <v>266</v>
      </c>
      <c r="AU1880" s="289"/>
      <c r="AV1880" s="289">
        <v>0</v>
      </c>
      <c r="AW1880" s="119">
        <v>48</v>
      </c>
      <c r="AX1880" s="119">
        <v>26</v>
      </c>
      <c r="AY1880" s="119" t="s">
        <v>6360</v>
      </c>
      <c r="AZ1880" s="119" t="s">
        <v>536</v>
      </c>
      <c r="BA1880" s="119">
        <v>20</v>
      </c>
      <c r="BB1880" s="284" t="s">
        <v>1764</v>
      </c>
      <c r="BC1880" s="284" t="s">
        <v>6372</v>
      </c>
      <c r="BD1880" s="284"/>
      <c r="BE1880" s="119" t="s">
        <v>1712</v>
      </c>
      <c r="BF1880" s="119" t="s">
        <v>539</v>
      </c>
      <c r="BG1880" s="119" t="s">
        <v>539</v>
      </c>
      <c r="BH1880" s="119" t="s">
        <v>272</v>
      </c>
      <c r="BI1880" s="292">
        <v>3.8178868952258888E-2</v>
      </c>
      <c r="BJ1880" s="292">
        <v>0.6108619032361422</v>
      </c>
      <c r="BK1880" s="119" t="s">
        <v>6358</v>
      </c>
      <c r="BL1880" s="287"/>
      <c r="BM1880" s="119" t="s">
        <v>541</v>
      </c>
      <c r="BN1880" s="119"/>
      <c r="BO1880" s="119">
        <v>0.35966666911666667</v>
      </c>
      <c r="BP1880" s="119"/>
      <c r="BQ1880" s="119">
        <v>0.27654545677727271</v>
      </c>
      <c r="BR1880" s="119"/>
      <c r="BS1880" s="119"/>
      <c r="BT1880" s="119"/>
      <c r="BU1880" s="293"/>
      <c r="BV1880" s="119"/>
      <c r="BW1880" s="119"/>
      <c r="BX1880" s="119"/>
      <c r="BY1880" s="119"/>
      <c r="BZ1880" s="119"/>
      <c r="CA1880" s="119"/>
      <c r="CB1880" s="119"/>
      <c r="CC1880" s="119"/>
      <c r="CD1880" s="119"/>
      <c r="CE1880" s="119"/>
      <c r="CF1880" s="119"/>
      <c r="CG1880" s="119"/>
      <c r="CH1880" s="119"/>
      <c r="CI1880" s="292">
        <v>0.27654545677727271</v>
      </c>
      <c r="CJ1880" s="292">
        <f t="shared" si="511"/>
        <v>-0.55823347193633766</v>
      </c>
      <c r="CK1880" s="120" t="s">
        <v>404</v>
      </c>
      <c r="CL1880" s="294"/>
      <c r="CM1880" s="294"/>
      <c r="CN1880" s="294">
        <f>BJ1880/(10^CM1880)</f>
        <v>0.6108619032361422</v>
      </c>
      <c r="CO1880" s="284"/>
      <c r="CP1880" s="498" t="s">
        <v>6355</v>
      </c>
      <c r="CQ1880" s="282">
        <v>-0.12041008753119722</v>
      </c>
      <c r="CR1880" s="282">
        <f t="shared" si="518"/>
        <v>0.36490231246775667</v>
      </c>
      <c r="CS1880" s="123"/>
      <c r="CT1880" s="123" t="s">
        <v>6310</v>
      </c>
      <c r="CU1880" s="300" t="s">
        <v>6310</v>
      </c>
      <c r="CV1880" s="338" t="s">
        <v>6310</v>
      </c>
      <c r="CW1880" s="339">
        <f t="shared" si="514"/>
        <v>1</v>
      </c>
      <c r="CX1880" s="339" t="s">
        <v>539</v>
      </c>
      <c r="CY1880" s="295" t="s">
        <v>6351</v>
      </c>
    </row>
    <row r="1881" spans="1:103" ht="11.25" customHeight="1" x14ac:dyDescent="0.2">
      <c r="A1881" s="72">
        <v>2014</v>
      </c>
      <c r="B1881" s="282">
        <v>686</v>
      </c>
      <c r="C1881" s="115" t="s">
        <v>1772</v>
      </c>
      <c r="D1881" s="115"/>
      <c r="E1881" s="116">
        <v>1</v>
      </c>
      <c r="F1881" s="116" t="s">
        <v>1773</v>
      </c>
      <c r="G1881" s="283">
        <v>7647145</v>
      </c>
      <c r="H1881" s="284" t="s">
        <v>1774</v>
      </c>
      <c r="I1881" s="284"/>
      <c r="J1881" s="284"/>
      <c r="K1881" s="284" t="s">
        <v>416</v>
      </c>
      <c r="L1881" s="284"/>
      <c r="M1881" s="284"/>
      <c r="N1881" s="284"/>
      <c r="O1881" s="284"/>
      <c r="P1881" s="286"/>
      <c r="Q1881" s="286"/>
      <c r="R1881" s="286"/>
      <c r="S1881" s="286"/>
      <c r="T1881" s="119">
        <v>58.44</v>
      </c>
      <c r="U1881" s="292"/>
      <c r="V1881" s="292"/>
      <c r="W1881" s="292"/>
      <c r="X1881" s="292"/>
      <c r="Y1881" s="370"/>
      <c r="Z1881" s="116"/>
      <c r="AA1881" s="116"/>
      <c r="AB1881" s="116"/>
      <c r="AC1881" s="116"/>
      <c r="AD1881" s="116"/>
      <c r="AE1881" s="116"/>
      <c r="AF1881" s="116"/>
      <c r="AG1881" s="117" t="s">
        <v>404</v>
      </c>
      <c r="AH1881" s="292">
        <v>7.7299999999999999E-3</v>
      </c>
      <c r="AI1881" s="292"/>
      <c r="AJ1881" s="125">
        <f t="shared" si="517"/>
        <v>-0.50038683239432691</v>
      </c>
      <c r="AK1881" s="125"/>
      <c r="AL1881" s="125">
        <f t="shared" ref="AL1881:AL1919" si="519">IF(AK1881=0,AJ1881,AK1881)</f>
        <v>-0.50038683239432691</v>
      </c>
      <c r="AM1881" s="125"/>
      <c r="AN1881" s="297"/>
      <c r="AO1881" s="420"/>
      <c r="AP1881" s="420"/>
      <c r="AQ1881" s="297" t="s">
        <v>6311</v>
      </c>
      <c r="AR1881" s="297" t="s">
        <v>6312</v>
      </c>
      <c r="AS1881" s="282" t="s">
        <v>6</v>
      </c>
      <c r="AT1881" s="118" t="s">
        <v>266</v>
      </c>
      <c r="AU1881" s="119">
        <v>2</v>
      </c>
      <c r="AV1881" s="119">
        <v>96</v>
      </c>
      <c r="AW1881" s="119">
        <v>96</v>
      </c>
      <c r="AX1881" s="119">
        <v>26</v>
      </c>
      <c r="AY1881" s="119" t="s">
        <v>6360</v>
      </c>
      <c r="AZ1881" s="119" t="s">
        <v>536</v>
      </c>
      <c r="BA1881" s="119">
        <v>20</v>
      </c>
      <c r="BB1881" s="284" t="s">
        <v>1764</v>
      </c>
      <c r="BC1881" s="284" t="s">
        <v>6372</v>
      </c>
      <c r="BD1881" s="284"/>
      <c r="BE1881" s="119" t="s">
        <v>6371</v>
      </c>
      <c r="BF1881" s="119" t="s">
        <v>1974</v>
      </c>
      <c r="BG1881" s="119" t="s">
        <v>1974</v>
      </c>
      <c r="BH1881" s="119" t="s">
        <v>272</v>
      </c>
      <c r="BI1881" s="291">
        <v>1000.0000000000001</v>
      </c>
      <c r="BJ1881" s="291">
        <v>16000.000000000002</v>
      </c>
      <c r="BK1881" s="119"/>
      <c r="BL1881" s="287"/>
      <c r="BM1881" s="119" t="s">
        <v>541</v>
      </c>
      <c r="BN1881" s="119"/>
      <c r="BO1881" s="119">
        <v>5340</v>
      </c>
      <c r="BP1881" s="119"/>
      <c r="BQ1881" s="119">
        <v>5140</v>
      </c>
      <c r="BR1881" s="119"/>
      <c r="BS1881" s="119"/>
      <c r="BT1881" s="119"/>
      <c r="BU1881" s="293"/>
      <c r="BV1881" s="119"/>
      <c r="BW1881" s="119"/>
      <c r="BX1881" s="119"/>
      <c r="BY1881" s="119"/>
      <c r="BZ1881" s="119"/>
      <c r="CA1881" s="119"/>
      <c r="CB1881" s="119"/>
      <c r="CC1881" s="119"/>
      <c r="CD1881" s="119"/>
      <c r="CE1881" s="119"/>
      <c r="CF1881" s="119"/>
      <c r="CG1881" s="119"/>
      <c r="CH1881" s="119"/>
      <c r="CI1881" s="292">
        <v>5140</v>
      </c>
      <c r="CJ1881" s="292">
        <f t="shared" si="511"/>
        <v>3.7109631189952759</v>
      </c>
      <c r="CK1881" s="120" t="s">
        <v>404</v>
      </c>
      <c r="CL1881" s="120"/>
      <c r="CM1881" s="294"/>
      <c r="CN1881" s="294">
        <f>BJ1881/(10^CM1881)</f>
        <v>16000.000000000002</v>
      </c>
      <c r="CO1881" s="284"/>
      <c r="CP1881" s="498" t="s">
        <v>6355</v>
      </c>
      <c r="CQ1881" s="282">
        <v>3.772051968667959</v>
      </c>
      <c r="CR1881" s="282">
        <f t="shared" si="518"/>
        <v>0.86878267212881621</v>
      </c>
      <c r="CS1881" s="123"/>
      <c r="CT1881" s="123"/>
      <c r="CU1881" s="300" t="s">
        <v>6310</v>
      </c>
      <c r="CV1881" s="338" t="s">
        <v>6310</v>
      </c>
      <c r="CW1881" s="339">
        <f t="shared" si="514"/>
        <v>1</v>
      </c>
      <c r="CX1881" s="339" t="s">
        <v>539</v>
      </c>
      <c r="CY1881" s="295" t="s">
        <v>6351</v>
      </c>
    </row>
    <row r="1882" spans="1:103" ht="11.25" customHeight="1" x14ac:dyDescent="0.2">
      <c r="A1882" s="72">
        <v>1671</v>
      </c>
      <c r="B1882" s="241">
        <v>135</v>
      </c>
      <c r="C1882" s="32" t="s">
        <v>773</v>
      </c>
      <c r="D1882" s="32" t="s">
        <v>6443</v>
      </c>
      <c r="E1882" s="40"/>
      <c r="F1882" s="40" t="s">
        <v>774</v>
      </c>
      <c r="G1882" s="242">
        <v>75310</v>
      </c>
      <c r="H1882" s="36" t="s">
        <v>775</v>
      </c>
      <c r="I1882" s="36" t="s">
        <v>775</v>
      </c>
      <c r="J1882" s="36" t="s">
        <v>776</v>
      </c>
      <c r="K1882" s="36" t="s">
        <v>300</v>
      </c>
      <c r="L1882" s="41" t="s">
        <v>6627</v>
      </c>
      <c r="M1882" s="41" t="s">
        <v>6025</v>
      </c>
      <c r="N1882" s="36" t="s">
        <v>2342</v>
      </c>
      <c r="O1882" s="41" t="s">
        <v>2342</v>
      </c>
      <c r="P1882" s="41" t="s">
        <v>1639</v>
      </c>
      <c r="Q1882" s="41" t="s">
        <v>6173</v>
      </c>
      <c r="R1882" s="41" t="s">
        <v>6082</v>
      </c>
      <c r="S1882" s="41" t="s">
        <v>6173</v>
      </c>
      <c r="T1882" s="37">
        <v>59.11</v>
      </c>
      <c r="U1882" s="243">
        <v>999999.99999999988</v>
      </c>
      <c r="V1882" s="243">
        <v>838100</v>
      </c>
      <c r="W1882" s="243">
        <v>120687.1299094159</v>
      </c>
      <c r="X1882" s="243">
        <v>999999.99999999988</v>
      </c>
      <c r="Y1882" s="414">
        <v>12.49</v>
      </c>
      <c r="Z1882" s="37">
        <v>0.27</v>
      </c>
      <c r="AA1882" s="37">
        <v>0.26</v>
      </c>
      <c r="AB1882" s="37">
        <v>0.37</v>
      </c>
      <c r="AC1882" s="37">
        <v>0.90820000000000001</v>
      </c>
      <c r="AD1882" s="37">
        <v>0.34</v>
      </c>
      <c r="AE1882" s="37">
        <v>0.21</v>
      </c>
      <c r="AF1882" s="37">
        <f t="shared" ref="AF1882:AF1919" si="520">IF(AA1882=0,AD1882,AA1882)</f>
        <v>0.26</v>
      </c>
      <c r="AG1882" s="38">
        <v>-0.03</v>
      </c>
      <c r="AH1882" s="243">
        <v>1.34E-5</v>
      </c>
      <c r="AI1882" s="243">
        <v>4.5099999999999998E-5</v>
      </c>
      <c r="AJ1882" s="34">
        <f t="shared" si="517"/>
        <v>-3.2614615279478443</v>
      </c>
      <c r="AK1882" s="34">
        <f>LOG10(AI1882*1000/(0.08206*298.15))</f>
        <v>-2.7343897844346912</v>
      </c>
      <c r="AL1882" s="34">
        <f t="shared" si="519"/>
        <v>-2.7343897844346912</v>
      </c>
      <c r="AM1882" s="34">
        <v>-4.3610199999999999</v>
      </c>
      <c r="AN1882" s="244">
        <v>-3.31</v>
      </c>
      <c r="AO1882" s="417"/>
      <c r="AP1882" s="417">
        <v>10.68</v>
      </c>
      <c r="AQ1882" s="244" t="s">
        <v>6311</v>
      </c>
      <c r="AR1882" s="244" t="s">
        <v>6311</v>
      </c>
      <c r="AS1882" s="241" t="s">
        <v>75</v>
      </c>
      <c r="AT1882" s="39" t="s">
        <v>266</v>
      </c>
      <c r="AU1882" s="37">
        <v>0</v>
      </c>
      <c r="AV1882" s="37">
        <v>48</v>
      </c>
      <c r="AW1882" s="37">
        <v>48</v>
      </c>
      <c r="AX1882" s="37">
        <v>26</v>
      </c>
      <c r="AY1882" s="37" t="s">
        <v>8722</v>
      </c>
      <c r="AZ1882" s="37" t="s">
        <v>536</v>
      </c>
      <c r="BA1882" s="37">
        <v>20</v>
      </c>
      <c r="BB1882" s="36" t="s">
        <v>537</v>
      </c>
      <c r="BC1882" s="36" t="s">
        <v>648</v>
      </c>
      <c r="BD1882" s="36"/>
      <c r="BE1882" s="245" t="s">
        <v>649</v>
      </c>
      <c r="BF1882" s="37" t="s">
        <v>539</v>
      </c>
      <c r="BG1882" s="37" t="s">
        <v>272</v>
      </c>
      <c r="BH1882" s="37" t="s">
        <v>272</v>
      </c>
      <c r="BI1882" s="248">
        <v>52.1</v>
      </c>
      <c r="BJ1882" s="248">
        <v>200</v>
      </c>
      <c r="BK1882" s="37"/>
      <c r="BL1882" s="263">
        <v>1737.6966319191611</v>
      </c>
      <c r="BM1882" s="37" t="s">
        <v>541</v>
      </c>
      <c r="BN1882" s="37"/>
      <c r="BO1882" s="37">
        <v>149.60741000000002</v>
      </c>
      <c r="BP1882" s="37"/>
      <c r="BQ1882" s="37"/>
      <c r="BR1882" s="37"/>
      <c r="BS1882" s="37"/>
      <c r="BT1882" s="37"/>
      <c r="BU1882" s="246"/>
      <c r="BV1882" s="37"/>
      <c r="BW1882" s="37"/>
      <c r="BX1882" s="37"/>
      <c r="BY1882" s="37"/>
      <c r="BZ1882" s="37"/>
      <c r="CA1882" s="37"/>
      <c r="CB1882" s="37"/>
      <c r="CC1882" s="37"/>
      <c r="CD1882" s="37"/>
      <c r="CE1882" s="37"/>
      <c r="CF1882" s="37"/>
      <c r="CG1882" s="37"/>
      <c r="CH1882" s="37"/>
      <c r="CI1882" s="243">
        <v>149.60741000000002</v>
      </c>
      <c r="CJ1882" s="243">
        <f t="shared" si="511"/>
        <v>2.1749531045071415</v>
      </c>
      <c r="CK1882" s="38">
        <f t="shared" ref="CK1882:CK1919" si="521">BL1882/BJ1882</f>
        <v>8.6884831595958048</v>
      </c>
      <c r="CL1882" s="247">
        <f t="shared" ref="CL1882:CL1919" si="522">BL1882/CI1882</f>
        <v>11.615043879973332</v>
      </c>
      <c r="CM1882" s="247"/>
      <c r="CN1882" s="247"/>
      <c r="CO1882" s="36"/>
      <c r="CP1882" s="496" t="s">
        <v>772</v>
      </c>
      <c r="CQ1882" s="241">
        <v>3.7316557976773037</v>
      </c>
      <c r="CR1882" s="241">
        <f t="shared" si="518"/>
        <v>2.7752192982456118E-2</v>
      </c>
      <c r="CS1882" s="33"/>
      <c r="CT1882" s="33"/>
      <c r="CU1882" s="250">
        <f t="shared" ref="CU1882:CU1919" si="523">X1882/CI1882</f>
        <v>6684.1608981801091</v>
      </c>
      <c r="CV1882" s="337">
        <f t="shared" ref="CV1882:CV1919" si="524">X1882/BJ1882</f>
        <v>4999.9999999999991</v>
      </c>
      <c r="CW1882" s="330">
        <f t="shared" si="514"/>
        <v>1</v>
      </c>
      <c r="CX1882" s="330"/>
      <c r="CY1882" s="143" t="s">
        <v>6351</v>
      </c>
    </row>
    <row r="1883" spans="1:103" ht="11.25" customHeight="1" x14ac:dyDescent="0.2">
      <c r="A1883" s="72">
        <v>1675</v>
      </c>
      <c r="B1883" s="241">
        <v>138</v>
      </c>
      <c r="C1883" s="32" t="s">
        <v>7632</v>
      </c>
      <c r="D1883" s="32"/>
      <c r="E1883" s="40"/>
      <c r="F1883" s="40" t="s">
        <v>784</v>
      </c>
      <c r="G1883" s="242">
        <v>78819</v>
      </c>
      <c r="H1883" s="36" t="s">
        <v>785</v>
      </c>
      <c r="I1883" s="36" t="s">
        <v>785</v>
      </c>
      <c r="J1883" s="36" t="s">
        <v>786</v>
      </c>
      <c r="K1883" s="36" t="s">
        <v>300</v>
      </c>
      <c r="L1883" s="36"/>
      <c r="M1883" s="36"/>
      <c r="N1883" s="36"/>
      <c r="O1883" s="36"/>
      <c r="P1883" s="41"/>
      <c r="Q1883" s="41"/>
      <c r="R1883" s="41"/>
      <c r="S1883" s="41"/>
      <c r="T1883" s="37">
        <v>73.14</v>
      </c>
      <c r="U1883" s="243">
        <v>1000000</v>
      </c>
      <c r="V1883" s="243">
        <v>325300</v>
      </c>
      <c r="W1883" s="243">
        <v>58097.167087733949</v>
      </c>
      <c r="X1883" s="243">
        <v>1000000</v>
      </c>
      <c r="Y1883" s="414">
        <v>12.3</v>
      </c>
      <c r="Z1883" s="37">
        <v>0.76</v>
      </c>
      <c r="AA1883" s="37">
        <v>0.73</v>
      </c>
      <c r="AB1883" s="37">
        <v>0.69</v>
      </c>
      <c r="AC1883" s="37">
        <v>0.94269999999999998</v>
      </c>
      <c r="AD1883" s="37">
        <v>0.7</v>
      </c>
      <c r="AE1883" s="37">
        <v>0.75</v>
      </c>
      <c r="AF1883" s="37">
        <f t="shared" si="520"/>
        <v>0.73</v>
      </c>
      <c r="AG1883" s="38">
        <v>0.43</v>
      </c>
      <c r="AH1883" s="243">
        <v>1.77E-5</v>
      </c>
      <c r="AI1883" s="243">
        <v>1.36E-5</v>
      </c>
      <c r="AJ1883" s="34">
        <f t="shared" si="517"/>
        <v>-3.1405930599508451</v>
      </c>
      <c r="AK1883" s="34">
        <f>LOG10(AI1883*1000/(0.08206*298.15))</f>
        <v>-3.2550274179424341</v>
      </c>
      <c r="AL1883" s="34">
        <f t="shared" si="519"/>
        <v>-3.2550274179424341</v>
      </c>
      <c r="AM1883" s="34">
        <v>-4.5409600000000001</v>
      </c>
      <c r="AN1883" s="244">
        <v>-3.18</v>
      </c>
      <c r="AO1883" s="417"/>
      <c r="AP1883" s="417">
        <v>10.72</v>
      </c>
      <c r="AQ1883" s="244" t="s">
        <v>6311</v>
      </c>
      <c r="AR1883" s="244" t="s">
        <v>6311</v>
      </c>
      <c r="AS1883" s="241" t="s">
        <v>75</v>
      </c>
      <c r="AT1883" s="39" t="s">
        <v>266</v>
      </c>
      <c r="AU1883" s="37">
        <v>0</v>
      </c>
      <c r="AV1883" s="37">
        <v>48</v>
      </c>
      <c r="AW1883" s="37">
        <v>48</v>
      </c>
      <c r="AX1883" s="37">
        <v>26</v>
      </c>
      <c r="AY1883" s="37" t="s">
        <v>8722</v>
      </c>
      <c r="AZ1883" s="37" t="s">
        <v>536</v>
      </c>
      <c r="BA1883" s="37">
        <v>20</v>
      </c>
      <c r="BB1883" s="36" t="s">
        <v>537</v>
      </c>
      <c r="BC1883" s="36" t="s">
        <v>648</v>
      </c>
      <c r="BD1883" s="36"/>
      <c r="BE1883" s="245" t="s">
        <v>649</v>
      </c>
      <c r="BF1883" s="37" t="s">
        <v>539</v>
      </c>
      <c r="BG1883" s="37" t="s">
        <v>272</v>
      </c>
      <c r="BH1883" s="37" t="s">
        <v>272</v>
      </c>
      <c r="BI1883" s="248">
        <v>19.8</v>
      </c>
      <c r="BJ1883" s="248">
        <v>100</v>
      </c>
      <c r="BK1883" s="37"/>
      <c r="BL1883" s="263">
        <v>780.54681511204205</v>
      </c>
      <c r="BM1883" s="37" t="s">
        <v>541</v>
      </c>
      <c r="BN1883" s="37"/>
      <c r="BO1883" s="37">
        <v>92.668379999999999</v>
      </c>
      <c r="BP1883" s="37"/>
      <c r="BQ1883" s="37"/>
      <c r="BR1883" s="37"/>
      <c r="BS1883" s="37"/>
      <c r="BT1883" s="37"/>
      <c r="BU1883" s="246"/>
      <c r="BV1883" s="37"/>
      <c r="BW1883" s="37"/>
      <c r="BX1883" s="37"/>
      <c r="BY1883" s="37"/>
      <c r="BZ1883" s="37"/>
      <c r="CA1883" s="37"/>
      <c r="CB1883" s="37"/>
      <c r="CC1883" s="37"/>
      <c r="CD1883" s="37"/>
      <c r="CE1883" s="37"/>
      <c r="CF1883" s="37"/>
      <c r="CG1883" s="37"/>
      <c r="CH1883" s="37"/>
      <c r="CI1883" s="243">
        <v>92.668379999999999</v>
      </c>
      <c r="CJ1883" s="243">
        <f t="shared" si="511"/>
        <v>1.9669315708854669</v>
      </c>
      <c r="CK1883" s="38">
        <f t="shared" si="521"/>
        <v>7.8054681511204205</v>
      </c>
      <c r="CL1883" s="247">
        <f t="shared" si="522"/>
        <v>8.423011334740524</v>
      </c>
      <c r="CM1883" s="247"/>
      <c r="CN1883" s="247"/>
      <c r="CO1883" s="36"/>
      <c r="CP1883" s="496" t="s">
        <v>772</v>
      </c>
      <c r="CQ1883" s="241" t="s">
        <v>272</v>
      </c>
      <c r="CR1883" s="241"/>
      <c r="CS1883" s="33"/>
      <c r="CT1883" s="33"/>
      <c r="CU1883" s="250">
        <f t="shared" si="523"/>
        <v>10791.16738632962</v>
      </c>
      <c r="CV1883" s="337">
        <f t="shared" si="524"/>
        <v>10000</v>
      </c>
      <c r="CW1883" s="330">
        <f t="shared" si="514"/>
        <v>1</v>
      </c>
      <c r="CX1883" s="330"/>
      <c r="CY1883" s="143" t="s">
        <v>5921</v>
      </c>
    </row>
    <row r="1884" spans="1:103" ht="11.25" customHeight="1" x14ac:dyDescent="0.2">
      <c r="A1884" s="72">
        <v>1705</v>
      </c>
      <c r="B1884" s="241">
        <v>166</v>
      </c>
      <c r="C1884" s="32" t="s">
        <v>7646</v>
      </c>
      <c r="D1884" s="32"/>
      <c r="E1884" s="40"/>
      <c r="F1884" s="40" t="s">
        <v>870</v>
      </c>
      <c r="G1884" s="242">
        <v>98942</v>
      </c>
      <c r="H1884" s="36" t="s">
        <v>871</v>
      </c>
      <c r="I1884" s="36" t="s">
        <v>871</v>
      </c>
      <c r="J1884" s="36" t="s">
        <v>872</v>
      </c>
      <c r="K1884" s="36" t="s">
        <v>300</v>
      </c>
      <c r="L1884" s="36"/>
      <c r="M1884" s="36"/>
      <c r="N1884" s="36"/>
      <c r="O1884" s="36"/>
      <c r="P1884" s="41"/>
      <c r="Q1884" s="41"/>
      <c r="R1884" s="41"/>
      <c r="S1884" s="41"/>
      <c r="T1884" s="37">
        <v>127.23</v>
      </c>
      <c r="U1884" s="243">
        <v>1522.3923089618747</v>
      </c>
      <c r="V1884" s="243">
        <v>1110.8214226770092</v>
      </c>
      <c r="W1884" s="243">
        <v>10829.029260048832</v>
      </c>
      <c r="X1884" s="243">
        <v>1522.3923089618747</v>
      </c>
      <c r="Y1884" s="414">
        <v>11.81</v>
      </c>
      <c r="Z1884" s="37">
        <v>2.17</v>
      </c>
      <c r="AA1884" s="37">
        <v>2.31</v>
      </c>
      <c r="AB1884" s="37">
        <v>2.37</v>
      </c>
      <c r="AC1884" s="37">
        <v>0.7359</v>
      </c>
      <c r="AD1884" s="37">
        <v>2.2799999999999998</v>
      </c>
      <c r="AE1884" s="37">
        <v>2.12</v>
      </c>
      <c r="AF1884" s="37">
        <f t="shared" si="520"/>
        <v>2.31</v>
      </c>
      <c r="AG1884" s="38">
        <v>1.75</v>
      </c>
      <c r="AH1884" s="243">
        <v>6.6400000000000001E-5</v>
      </c>
      <c r="AI1884" s="243">
        <v>2.3499999999999999E-5</v>
      </c>
      <c r="AJ1884" s="34">
        <f t="shared" si="517"/>
        <v>-2.5663982469446345</v>
      </c>
      <c r="AK1884" s="34">
        <f>LOG10(AI1884*1000/(0.08206*298.15))</f>
        <v>-3.0174984640409157</v>
      </c>
      <c r="AL1884" s="34">
        <f t="shared" si="519"/>
        <v>-3.0174984640409157</v>
      </c>
      <c r="AM1884" s="34">
        <v>-3.7972600000000005</v>
      </c>
      <c r="AN1884" s="244">
        <v>-2.5099999999999998</v>
      </c>
      <c r="AO1884" s="417"/>
      <c r="AP1884" s="417">
        <v>10.72</v>
      </c>
      <c r="AQ1884" s="244" t="s">
        <v>6311</v>
      </c>
      <c r="AR1884" s="244" t="s">
        <v>6311</v>
      </c>
      <c r="AS1884" s="241" t="s">
        <v>81</v>
      </c>
      <c r="AT1884" s="39" t="s">
        <v>266</v>
      </c>
      <c r="AU1884" s="37">
        <v>0</v>
      </c>
      <c r="AV1884" s="37">
        <v>48</v>
      </c>
      <c r="AW1884" s="37">
        <v>48</v>
      </c>
      <c r="AX1884" s="37">
        <v>26</v>
      </c>
      <c r="AY1884" s="37" t="s">
        <v>8722</v>
      </c>
      <c r="AZ1884" s="37" t="s">
        <v>536</v>
      </c>
      <c r="BA1884" s="37">
        <v>20</v>
      </c>
      <c r="BB1884" s="36" t="s">
        <v>537</v>
      </c>
      <c r="BC1884" s="36" t="s">
        <v>648</v>
      </c>
      <c r="BD1884" s="36"/>
      <c r="BE1884" s="245" t="s">
        <v>649</v>
      </c>
      <c r="BF1884" s="37" t="s">
        <v>539</v>
      </c>
      <c r="BG1884" s="37" t="s">
        <v>272</v>
      </c>
      <c r="BH1884" s="37" t="s">
        <v>272</v>
      </c>
      <c r="BI1884" s="250">
        <v>21.982722060786934</v>
      </c>
      <c r="BJ1884" s="250">
        <v>84.933244325767689</v>
      </c>
      <c r="BK1884" s="37"/>
      <c r="BL1884" s="263">
        <v>73.538120716426803</v>
      </c>
      <c r="BM1884" s="37" t="s">
        <v>541</v>
      </c>
      <c r="BN1884" s="37"/>
      <c r="BO1884" s="37">
        <v>53.05491</v>
      </c>
      <c r="BP1884" s="37"/>
      <c r="BQ1884" s="37"/>
      <c r="BR1884" s="37"/>
      <c r="BS1884" s="37"/>
      <c r="BT1884" s="37"/>
      <c r="BU1884" s="246"/>
      <c r="BV1884" s="37"/>
      <c r="BW1884" s="37"/>
      <c r="BX1884" s="37"/>
      <c r="BY1884" s="37"/>
      <c r="BZ1884" s="37"/>
      <c r="CA1884" s="37"/>
      <c r="CB1884" s="37"/>
      <c r="CC1884" s="37"/>
      <c r="CD1884" s="37"/>
      <c r="CE1884" s="37"/>
      <c r="CF1884" s="37"/>
      <c r="CG1884" s="37"/>
      <c r="CH1884" s="37"/>
      <c r="CI1884" s="243">
        <v>53.05491</v>
      </c>
      <c r="CJ1884" s="243">
        <f t="shared" si="511"/>
        <v>1.7247255821531295</v>
      </c>
      <c r="CK1884" s="38">
        <f t="shared" si="521"/>
        <v>0.86583435379397433</v>
      </c>
      <c r="CL1884" s="247">
        <f t="shared" si="522"/>
        <v>1.3860756849163782</v>
      </c>
      <c r="CM1884" s="247"/>
      <c r="CN1884" s="247"/>
      <c r="CO1884" s="36"/>
      <c r="CP1884" s="496" t="s">
        <v>772</v>
      </c>
      <c r="CQ1884" s="241">
        <v>1.4487063199050798</v>
      </c>
      <c r="CR1884" s="241">
        <f>10^(CJ1884-CQ1884)</f>
        <v>1.8880750889679718</v>
      </c>
      <c r="CS1884" s="33"/>
      <c r="CT1884" s="33"/>
      <c r="CU1884" s="250">
        <f t="shared" si="523"/>
        <v>28.694654443139658</v>
      </c>
      <c r="CV1884" s="337">
        <f t="shared" si="524"/>
        <v>17.924575012378277</v>
      </c>
      <c r="CW1884" s="330">
        <f t="shared" si="514"/>
        <v>1</v>
      </c>
      <c r="CX1884" s="330"/>
      <c r="CY1884" s="143" t="s">
        <v>6351</v>
      </c>
    </row>
    <row r="1885" spans="1:103" ht="11.25" customHeight="1" x14ac:dyDescent="0.2">
      <c r="A1885" s="72">
        <v>1710</v>
      </c>
      <c r="B1885" s="241">
        <v>159</v>
      </c>
      <c r="C1885" s="32" t="s">
        <v>7647</v>
      </c>
      <c r="D1885" s="32"/>
      <c r="E1885" s="40"/>
      <c r="F1885" s="40" t="s">
        <v>848</v>
      </c>
      <c r="G1885" s="242">
        <v>101837</v>
      </c>
      <c r="H1885" s="36" t="s">
        <v>849</v>
      </c>
      <c r="I1885" s="36" t="s">
        <v>849</v>
      </c>
      <c r="J1885" s="36" t="s">
        <v>850</v>
      </c>
      <c r="K1885" s="36" t="s">
        <v>300</v>
      </c>
      <c r="L1885" s="36"/>
      <c r="M1885" s="36"/>
      <c r="N1885" s="36"/>
      <c r="O1885" s="36"/>
      <c r="P1885" s="41"/>
      <c r="Q1885" s="41"/>
      <c r="R1885" s="41"/>
      <c r="S1885" s="41"/>
      <c r="T1885" s="37">
        <v>181.32</v>
      </c>
      <c r="U1885" s="243">
        <v>56.789741165346882</v>
      </c>
      <c r="V1885" s="243">
        <v>68.158404443919153</v>
      </c>
      <c r="W1885" s="243">
        <v>1254.4279164702148</v>
      </c>
      <c r="X1885" s="243">
        <v>56.789741165346882</v>
      </c>
      <c r="Y1885" s="414">
        <v>11.5</v>
      </c>
      <c r="Z1885" s="37">
        <v>3.29</v>
      </c>
      <c r="AA1885" s="37">
        <v>3.5</v>
      </c>
      <c r="AB1885" s="37">
        <v>3.67</v>
      </c>
      <c r="AC1885" s="37">
        <v>0.84609999999999996</v>
      </c>
      <c r="AD1885" s="37">
        <v>3.68</v>
      </c>
      <c r="AE1885" s="37">
        <v>3.69</v>
      </c>
      <c r="AF1885" s="37">
        <f t="shared" si="520"/>
        <v>3.5</v>
      </c>
      <c r="AG1885" s="38">
        <v>2.84</v>
      </c>
      <c r="AH1885" s="243">
        <v>5.5000000000000002E-5</v>
      </c>
      <c r="AI1885" s="243"/>
      <c r="AJ1885" s="34">
        <f t="shared" si="517"/>
        <v>-2.6482036368184079</v>
      </c>
      <c r="AK1885" s="34"/>
      <c r="AL1885" s="34">
        <f t="shared" si="519"/>
        <v>-2.6482036368184079</v>
      </c>
      <c r="AM1885" s="34">
        <v>-5.0706100000000003</v>
      </c>
      <c r="AN1885" s="244">
        <v>-3.52</v>
      </c>
      <c r="AO1885" s="417"/>
      <c r="AP1885" s="417">
        <v>11.43</v>
      </c>
      <c r="AQ1885" s="244" t="s">
        <v>6311</v>
      </c>
      <c r="AR1885" s="244" t="s">
        <v>6311</v>
      </c>
      <c r="AS1885" s="241" t="s">
        <v>81</v>
      </c>
      <c r="AT1885" s="39" t="s">
        <v>266</v>
      </c>
      <c r="AU1885" s="37">
        <v>0</v>
      </c>
      <c r="AV1885" s="37">
        <v>48</v>
      </c>
      <c r="AW1885" s="37">
        <v>48</v>
      </c>
      <c r="AX1885" s="37">
        <v>26</v>
      </c>
      <c r="AY1885" s="37" t="s">
        <v>8722</v>
      </c>
      <c r="AZ1885" s="37" t="s">
        <v>536</v>
      </c>
      <c r="BA1885" s="37">
        <v>20</v>
      </c>
      <c r="BB1885" s="36" t="s">
        <v>537</v>
      </c>
      <c r="BC1885" s="36" t="s">
        <v>648</v>
      </c>
      <c r="BD1885" s="36"/>
      <c r="BE1885" s="245" t="s">
        <v>649</v>
      </c>
      <c r="BF1885" s="37" t="s">
        <v>539</v>
      </c>
      <c r="BG1885" s="37" t="s">
        <v>272</v>
      </c>
      <c r="BH1885" s="37" t="s">
        <v>272</v>
      </c>
      <c r="BI1885" s="250">
        <v>19.8</v>
      </c>
      <c r="BJ1885" s="250">
        <v>99.999999999999986</v>
      </c>
      <c r="BK1885" s="37"/>
      <c r="BL1885" s="263">
        <v>10.339432692308639</v>
      </c>
      <c r="BM1885" s="37" t="s">
        <v>541</v>
      </c>
      <c r="BN1885" s="37"/>
      <c r="BO1885" s="37">
        <v>31.187039999999996</v>
      </c>
      <c r="BP1885" s="37"/>
      <c r="BQ1885" s="37"/>
      <c r="BR1885" s="37"/>
      <c r="BS1885" s="37"/>
      <c r="BT1885" s="37"/>
      <c r="BU1885" s="246"/>
      <c r="BV1885" s="37"/>
      <c r="BW1885" s="37"/>
      <c r="BX1885" s="37"/>
      <c r="BY1885" s="37"/>
      <c r="BZ1885" s="37"/>
      <c r="CA1885" s="37"/>
      <c r="CB1885" s="37"/>
      <c r="CC1885" s="37"/>
      <c r="CD1885" s="37"/>
      <c r="CE1885" s="37"/>
      <c r="CF1885" s="37"/>
      <c r="CG1885" s="37"/>
      <c r="CH1885" s="37"/>
      <c r="CI1885" s="243">
        <v>31.187039999999996</v>
      </c>
      <c r="CJ1885" s="243">
        <f t="shared" si="511"/>
        <v>1.4939741572941991</v>
      </c>
      <c r="CK1885" s="38">
        <f t="shared" si="521"/>
        <v>0.10339432692308641</v>
      </c>
      <c r="CL1885" s="247">
        <f t="shared" si="522"/>
        <v>0.33152978584401216</v>
      </c>
      <c r="CM1885" s="247"/>
      <c r="CN1885" s="247"/>
      <c r="CO1885" s="36"/>
      <c r="CP1885" s="496" t="s">
        <v>772</v>
      </c>
      <c r="CQ1885" s="241">
        <v>1.7923916894982539</v>
      </c>
      <c r="CR1885" s="241">
        <f>10^(CJ1885-CQ1885)</f>
        <v>0.5030167741935484</v>
      </c>
      <c r="CS1885" s="33"/>
      <c r="CT1885" s="33"/>
      <c r="CU1885" s="250">
        <f t="shared" si="523"/>
        <v>1.8209404023384999</v>
      </c>
      <c r="CV1885" s="337">
        <f t="shared" si="524"/>
        <v>0.56789741165346885</v>
      </c>
      <c r="CW1885" s="330">
        <f t="shared" si="514"/>
        <v>0</v>
      </c>
      <c r="CX1885" s="330"/>
      <c r="CY1885" s="143" t="s">
        <v>6351</v>
      </c>
    </row>
    <row r="1886" spans="1:103" ht="11.25" customHeight="1" x14ac:dyDescent="0.2">
      <c r="A1886" s="72">
        <v>1711</v>
      </c>
      <c r="B1886" s="241">
        <v>168</v>
      </c>
      <c r="C1886" s="32" t="s">
        <v>7648</v>
      </c>
      <c r="D1886" s="32"/>
      <c r="E1886" s="40"/>
      <c r="F1886" s="40" t="s">
        <v>877</v>
      </c>
      <c r="G1886" s="242">
        <v>102692</v>
      </c>
      <c r="H1886" s="36" t="s">
        <v>878</v>
      </c>
      <c r="I1886" s="36" t="s">
        <v>878</v>
      </c>
      <c r="J1886" s="36" t="s">
        <v>879</v>
      </c>
      <c r="K1886" s="36" t="s">
        <v>300</v>
      </c>
      <c r="L1886" s="36"/>
      <c r="M1886" s="36"/>
      <c r="N1886" s="36"/>
      <c r="O1886" s="36"/>
      <c r="P1886" s="41"/>
      <c r="Q1886" s="41"/>
      <c r="R1886" s="41"/>
      <c r="S1886" s="41"/>
      <c r="T1886" s="37">
        <v>143.27000000000001</v>
      </c>
      <c r="U1886" s="243">
        <v>748</v>
      </c>
      <c r="V1886" s="243">
        <v>3423</v>
      </c>
      <c r="W1886" s="243">
        <v>3134.406078632524</v>
      </c>
      <c r="X1886" s="243">
        <v>748</v>
      </c>
      <c r="Y1886" s="414">
        <v>11.15</v>
      </c>
      <c r="Z1886" s="37">
        <v>2.99</v>
      </c>
      <c r="AA1886" s="37">
        <v>2.79</v>
      </c>
      <c r="AB1886" s="37">
        <v>2.91</v>
      </c>
      <c r="AC1886" s="37">
        <v>0.88800000000000001</v>
      </c>
      <c r="AD1886" s="37">
        <v>3</v>
      </c>
      <c r="AE1886" s="37">
        <v>3.25</v>
      </c>
      <c r="AF1886" s="37">
        <f t="shared" si="520"/>
        <v>2.79</v>
      </c>
      <c r="AG1886" s="38">
        <v>2.66</v>
      </c>
      <c r="AH1886" s="243">
        <v>2.0000000000000001E-4</v>
      </c>
      <c r="AI1886" s="243">
        <v>3.8099999999999999E-4</v>
      </c>
      <c r="AJ1886" s="34">
        <f t="shared" si="517"/>
        <v>-2.0875363306486707</v>
      </c>
      <c r="AK1886" s="34">
        <f>LOG10(AI1886*1000/(0.08206*298.15))</f>
        <v>-1.8076413506370326</v>
      </c>
      <c r="AL1886" s="34">
        <f t="shared" si="519"/>
        <v>-1.8076413506370326</v>
      </c>
      <c r="AM1886" s="34">
        <v>-3.4843500000000009</v>
      </c>
      <c r="AN1886" s="244">
        <v>-1.51</v>
      </c>
      <c r="AO1886" s="417"/>
      <c r="AP1886" s="417">
        <v>9.99</v>
      </c>
      <c r="AQ1886" s="244" t="s">
        <v>6311</v>
      </c>
      <c r="AR1886" s="244" t="s">
        <v>6311</v>
      </c>
      <c r="AS1886" s="241" t="s">
        <v>72</v>
      </c>
      <c r="AT1886" s="39" t="s">
        <v>266</v>
      </c>
      <c r="AU1886" s="37">
        <v>0</v>
      </c>
      <c r="AV1886" s="37">
        <v>48</v>
      </c>
      <c r="AW1886" s="37">
        <v>48</v>
      </c>
      <c r="AX1886" s="37">
        <v>26</v>
      </c>
      <c r="AY1886" s="37" t="s">
        <v>8722</v>
      </c>
      <c r="AZ1886" s="37" t="s">
        <v>536</v>
      </c>
      <c r="BA1886" s="37">
        <v>20</v>
      </c>
      <c r="BB1886" s="36" t="s">
        <v>537</v>
      </c>
      <c r="BC1886" s="36" t="s">
        <v>648</v>
      </c>
      <c r="BD1886" s="36"/>
      <c r="BE1886" s="245" t="s">
        <v>649</v>
      </c>
      <c r="BF1886" s="37" t="s">
        <v>539</v>
      </c>
      <c r="BG1886" s="37" t="s">
        <v>272</v>
      </c>
      <c r="BH1886" s="37" t="s">
        <v>272</v>
      </c>
      <c r="BI1886" s="250">
        <v>59.3</v>
      </c>
      <c r="BJ1886" s="250">
        <v>300</v>
      </c>
      <c r="BK1886" s="37"/>
      <c r="BL1886" s="263">
        <v>15.19274543132696</v>
      </c>
      <c r="BM1886" s="37" t="s">
        <v>541</v>
      </c>
      <c r="BN1886" s="37"/>
      <c r="BO1886" s="37">
        <v>188.82986000000002</v>
      </c>
      <c r="BP1886" s="37"/>
      <c r="BQ1886" s="37"/>
      <c r="BR1886" s="37"/>
      <c r="BS1886" s="37"/>
      <c r="BT1886" s="37"/>
      <c r="BU1886" s="246"/>
      <c r="BV1886" s="37"/>
      <c r="BW1886" s="37"/>
      <c r="BX1886" s="37"/>
      <c r="BY1886" s="37"/>
      <c r="BZ1886" s="37"/>
      <c r="CA1886" s="37"/>
      <c r="CB1886" s="37"/>
      <c r="CC1886" s="37"/>
      <c r="CD1886" s="37"/>
      <c r="CE1886" s="37"/>
      <c r="CF1886" s="37"/>
      <c r="CG1886" s="37"/>
      <c r="CH1886" s="37"/>
      <c r="CI1886" s="243">
        <v>188.82986000000002</v>
      </c>
      <c r="CJ1886" s="243">
        <f t="shared" si="511"/>
        <v>2.2760706711476781</v>
      </c>
      <c r="CK1886" s="38">
        <f t="shared" si="521"/>
        <v>5.0642484771089867E-2</v>
      </c>
      <c r="CL1886" s="247">
        <f t="shared" si="522"/>
        <v>8.0457325082627068E-2</v>
      </c>
      <c r="CM1886" s="247"/>
      <c r="CN1886" s="247"/>
      <c r="CO1886" s="36"/>
      <c r="CP1886" s="496" t="s">
        <v>772</v>
      </c>
      <c r="CQ1886" s="241">
        <v>1.706290747310339</v>
      </c>
      <c r="CR1886" s="241">
        <f>10^(CJ1886-CQ1886)</f>
        <v>3.7134700351018588</v>
      </c>
      <c r="CS1886" s="33"/>
      <c r="CT1886" s="33"/>
      <c r="CU1886" s="250">
        <f t="shared" si="523"/>
        <v>3.9612379101483204</v>
      </c>
      <c r="CV1886" s="337">
        <f t="shared" si="524"/>
        <v>2.4933333333333332</v>
      </c>
      <c r="CW1886" s="330">
        <f t="shared" si="514"/>
        <v>1</v>
      </c>
      <c r="CX1886" s="330"/>
      <c r="CY1886" s="143" t="s">
        <v>6351</v>
      </c>
    </row>
    <row r="1887" spans="1:103" ht="11.25" customHeight="1" x14ac:dyDescent="0.2">
      <c r="A1887" s="72">
        <v>1712</v>
      </c>
      <c r="B1887" s="241">
        <v>169</v>
      </c>
      <c r="C1887" s="32" t="s">
        <v>7119</v>
      </c>
      <c r="D1887" s="32"/>
      <c r="E1887" s="40"/>
      <c r="F1887" s="40" t="s">
        <v>880</v>
      </c>
      <c r="G1887" s="242">
        <v>102829</v>
      </c>
      <c r="H1887" s="36" t="s">
        <v>881</v>
      </c>
      <c r="I1887" s="36" t="s">
        <v>881</v>
      </c>
      <c r="J1887" s="36" t="s">
        <v>882</v>
      </c>
      <c r="K1887" s="36" t="s">
        <v>300</v>
      </c>
      <c r="L1887" s="36" t="s">
        <v>5527</v>
      </c>
      <c r="M1887" s="36" t="s">
        <v>5960</v>
      </c>
      <c r="N1887" s="36"/>
      <c r="O1887" s="36"/>
      <c r="P1887" s="41"/>
      <c r="Q1887" s="41"/>
      <c r="R1887" s="41"/>
      <c r="S1887" s="41"/>
      <c r="T1887" s="37">
        <v>185.35</v>
      </c>
      <c r="U1887" s="243">
        <v>142</v>
      </c>
      <c r="V1887" s="243">
        <v>82.23</v>
      </c>
      <c r="W1887" s="243">
        <v>369.82187007948153</v>
      </c>
      <c r="X1887" s="243">
        <v>142</v>
      </c>
      <c r="Y1887" s="414">
        <v>10.59</v>
      </c>
      <c r="Z1887" s="37">
        <v>4.46</v>
      </c>
      <c r="AA1887" s="37"/>
      <c r="AB1887" s="37">
        <v>3.88</v>
      </c>
      <c r="AC1887" s="37">
        <v>0.83279999999999998</v>
      </c>
      <c r="AD1887" s="37">
        <v>4.16</v>
      </c>
      <c r="AE1887" s="37">
        <v>4.84</v>
      </c>
      <c r="AF1887" s="37">
        <f t="shared" si="520"/>
        <v>4.16</v>
      </c>
      <c r="AG1887" s="38">
        <v>3.83</v>
      </c>
      <c r="AH1887" s="243">
        <v>4.6799999999999999E-4</v>
      </c>
      <c r="AI1887" s="243">
        <v>1.6000000000000001E-4</v>
      </c>
      <c r="AJ1887" s="34">
        <f t="shared" si="517"/>
        <v>-1.7183204732385278</v>
      </c>
      <c r="AK1887" s="34">
        <f>LOG10(AI1887*1000/(0.08206*298.15))</f>
        <v>-2.184446343656727</v>
      </c>
      <c r="AL1887" s="34">
        <f t="shared" si="519"/>
        <v>-2.184446343656727</v>
      </c>
      <c r="AM1887" s="34">
        <v>-3.9047200000000002</v>
      </c>
      <c r="AN1887" s="244">
        <v>-1.1100000000000001</v>
      </c>
      <c r="AO1887" s="417"/>
      <c r="AP1887" s="417">
        <v>9.99</v>
      </c>
      <c r="AQ1887" s="244" t="s">
        <v>6311</v>
      </c>
      <c r="AR1887" s="244" t="s">
        <v>6311</v>
      </c>
      <c r="AS1887" s="241" t="s">
        <v>81</v>
      </c>
      <c r="AT1887" s="39" t="s">
        <v>266</v>
      </c>
      <c r="AU1887" s="37">
        <v>0</v>
      </c>
      <c r="AV1887" s="37">
        <v>48</v>
      </c>
      <c r="AW1887" s="37">
        <v>48</v>
      </c>
      <c r="AX1887" s="37">
        <v>26</v>
      </c>
      <c r="AY1887" s="37" t="s">
        <v>8722</v>
      </c>
      <c r="AZ1887" s="37" t="s">
        <v>536</v>
      </c>
      <c r="BA1887" s="37">
        <v>20</v>
      </c>
      <c r="BB1887" s="36" t="s">
        <v>537</v>
      </c>
      <c r="BC1887" s="36" t="s">
        <v>648</v>
      </c>
      <c r="BD1887" s="36"/>
      <c r="BE1887" s="245" t="s">
        <v>649</v>
      </c>
      <c r="BF1887" s="37" t="s">
        <v>539</v>
      </c>
      <c r="BG1887" s="37" t="s">
        <v>272</v>
      </c>
      <c r="BH1887" s="37" t="s">
        <v>272</v>
      </c>
      <c r="BI1887" s="250">
        <v>60.996709106603355</v>
      </c>
      <c r="BJ1887" s="250">
        <v>399.97842037116959</v>
      </c>
      <c r="BK1887" s="37"/>
      <c r="BL1887" s="263">
        <v>0.94030033398520951</v>
      </c>
      <c r="BM1887" s="37" t="s">
        <v>541</v>
      </c>
      <c r="BN1887" s="37"/>
      <c r="BO1887" s="37">
        <v>301.19374999999997</v>
      </c>
      <c r="BP1887" s="37"/>
      <c r="BQ1887" s="37"/>
      <c r="BR1887" s="37"/>
      <c r="BS1887" s="37"/>
      <c r="BT1887" s="37"/>
      <c r="BU1887" s="246"/>
      <c r="BV1887" s="37"/>
      <c r="BW1887" s="37"/>
      <c r="BX1887" s="37"/>
      <c r="BY1887" s="37"/>
      <c r="BZ1887" s="37"/>
      <c r="CA1887" s="37"/>
      <c r="CB1887" s="37"/>
      <c r="CC1887" s="37"/>
      <c r="CD1887" s="37"/>
      <c r="CE1887" s="37"/>
      <c r="CF1887" s="37"/>
      <c r="CG1887" s="37"/>
      <c r="CH1887" s="37"/>
      <c r="CI1887" s="243">
        <v>301.19374999999997</v>
      </c>
      <c r="CJ1887" s="243">
        <f t="shared" si="511"/>
        <v>2.4788459556804754</v>
      </c>
      <c r="CK1887" s="38">
        <f t="shared" si="521"/>
        <v>2.3508776626314869E-3</v>
      </c>
      <c r="CL1887" s="247">
        <f t="shared" si="522"/>
        <v>3.1219118390909827E-3</v>
      </c>
      <c r="CM1887" s="247"/>
      <c r="CN1887" s="247"/>
      <c r="CO1887" s="36"/>
      <c r="CP1887" s="496" t="s">
        <v>772</v>
      </c>
      <c r="CQ1887" s="241" t="s">
        <v>272</v>
      </c>
      <c r="CR1887" s="241"/>
      <c r="CS1887" s="33"/>
      <c r="CT1887" s="33"/>
      <c r="CU1887" s="250">
        <f t="shared" si="523"/>
        <v>0.47145732605673263</v>
      </c>
      <c r="CV1887" s="337">
        <f t="shared" si="524"/>
        <v>0.3550191529538711</v>
      </c>
      <c r="CW1887" s="330">
        <f t="shared" si="514"/>
        <v>0</v>
      </c>
      <c r="CX1887" s="330"/>
      <c r="CY1887" s="143" t="s">
        <v>6351</v>
      </c>
    </row>
    <row r="1888" spans="1:103" ht="11.25" customHeight="1" x14ac:dyDescent="0.2">
      <c r="A1888" s="72">
        <v>1726</v>
      </c>
      <c r="B1888" s="241">
        <v>134</v>
      </c>
      <c r="C1888" s="32" t="s">
        <v>7655</v>
      </c>
      <c r="D1888" s="32"/>
      <c r="E1888" s="40"/>
      <c r="F1888" s="40" t="s">
        <v>769</v>
      </c>
      <c r="G1888" s="242">
        <v>107108</v>
      </c>
      <c r="H1888" s="36" t="s">
        <v>770</v>
      </c>
      <c r="I1888" s="36" t="s">
        <v>770</v>
      </c>
      <c r="J1888" s="36" t="s">
        <v>771</v>
      </c>
      <c r="K1888" s="36" t="s">
        <v>300</v>
      </c>
      <c r="L1888" s="36"/>
      <c r="M1888" s="36"/>
      <c r="N1888" s="36"/>
      <c r="O1888" s="36"/>
      <c r="P1888" s="41"/>
      <c r="Q1888" s="41"/>
      <c r="R1888" s="41"/>
      <c r="S1888" s="41"/>
      <c r="T1888" s="37">
        <v>59.11</v>
      </c>
      <c r="U1888" s="243">
        <v>999999.99999999988</v>
      </c>
      <c r="V1888" s="243">
        <v>543800</v>
      </c>
      <c r="W1888" s="243">
        <v>110067.9706481421</v>
      </c>
      <c r="X1888" s="243">
        <v>999999.99999999988</v>
      </c>
      <c r="Y1888" s="414">
        <v>12.46</v>
      </c>
      <c r="Z1888" s="37">
        <v>0.34</v>
      </c>
      <c r="AA1888" s="37">
        <v>0.48</v>
      </c>
      <c r="AB1888" s="37">
        <v>0.42</v>
      </c>
      <c r="AC1888" s="37">
        <v>0.90149999999999997</v>
      </c>
      <c r="AD1888" s="37">
        <v>0.42</v>
      </c>
      <c r="AE1888" s="37">
        <v>0.4</v>
      </c>
      <c r="AF1888" s="37">
        <f t="shared" si="520"/>
        <v>0.48</v>
      </c>
      <c r="AG1888" s="38">
        <v>0.13</v>
      </c>
      <c r="AH1888" s="243">
        <v>1.34E-5</v>
      </c>
      <c r="AI1888" s="243">
        <v>1.4800000000000001E-5</v>
      </c>
      <c r="AJ1888" s="34">
        <f t="shared" si="517"/>
        <v>-3.2614615279478443</v>
      </c>
      <c r="AK1888" s="34">
        <f>LOG10(AI1888*1000/(0.08206*298.15))</f>
        <v>-3.2183046109176945</v>
      </c>
      <c r="AL1888" s="34">
        <f t="shared" si="519"/>
        <v>-3.2183046109176945</v>
      </c>
      <c r="AM1888" s="34">
        <v>-4.3348100000000001</v>
      </c>
      <c r="AN1888" s="244">
        <v>-3.31</v>
      </c>
      <c r="AO1888" s="417"/>
      <c r="AP1888" s="417">
        <v>10.66</v>
      </c>
      <c r="AQ1888" s="244" t="s">
        <v>6311</v>
      </c>
      <c r="AR1888" s="244" t="s">
        <v>6311</v>
      </c>
      <c r="AS1888" s="241" t="s">
        <v>72</v>
      </c>
      <c r="AT1888" s="39" t="s">
        <v>266</v>
      </c>
      <c r="AU1888" s="37">
        <v>0</v>
      </c>
      <c r="AV1888" s="37">
        <v>48</v>
      </c>
      <c r="AW1888" s="37">
        <v>48</v>
      </c>
      <c r="AX1888" s="37">
        <v>26</v>
      </c>
      <c r="AY1888" s="37" t="s">
        <v>8722</v>
      </c>
      <c r="AZ1888" s="37" t="s">
        <v>536</v>
      </c>
      <c r="BA1888" s="37">
        <v>20</v>
      </c>
      <c r="BB1888" s="36" t="s">
        <v>537</v>
      </c>
      <c r="BC1888" s="36" t="s">
        <v>648</v>
      </c>
      <c r="BD1888" s="36"/>
      <c r="BE1888" s="245" t="s">
        <v>649</v>
      </c>
      <c r="BF1888" s="37" t="s">
        <v>539</v>
      </c>
      <c r="BG1888" s="37" t="s">
        <v>272</v>
      </c>
      <c r="BH1888" s="37" t="s">
        <v>272</v>
      </c>
      <c r="BI1888" s="250">
        <v>38.5</v>
      </c>
      <c r="BJ1888" s="250">
        <v>110</v>
      </c>
      <c r="BK1888" s="37"/>
      <c r="BL1888" s="263">
        <v>1503.5122099968398</v>
      </c>
      <c r="BM1888" s="37" t="s">
        <v>541</v>
      </c>
      <c r="BN1888" s="37"/>
      <c r="BO1888" s="37">
        <v>79.148290000000003</v>
      </c>
      <c r="BP1888" s="37"/>
      <c r="BQ1888" s="37"/>
      <c r="BR1888" s="37"/>
      <c r="BS1888" s="37"/>
      <c r="BT1888" s="37"/>
      <c r="BU1888" s="246"/>
      <c r="BV1888" s="37"/>
      <c r="BW1888" s="37"/>
      <c r="BX1888" s="37"/>
      <c r="BY1888" s="37"/>
      <c r="BZ1888" s="37"/>
      <c r="CA1888" s="37"/>
      <c r="CB1888" s="37"/>
      <c r="CC1888" s="37"/>
      <c r="CD1888" s="37"/>
      <c r="CE1888" s="37"/>
      <c r="CF1888" s="37"/>
      <c r="CG1888" s="37"/>
      <c r="CH1888" s="37"/>
      <c r="CI1888" s="243">
        <v>79.148290000000003</v>
      </c>
      <c r="CJ1888" s="243">
        <f t="shared" si="511"/>
        <v>1.8984415363608964</v>
      </c>
      <c r="CK1888" s="38">
        <f t="shared" si="521"/>
        <v>13.668292818153089</v>
      </c>
      <c r="CL1888" s="247">
        <f t="shared" si="522"/>
        <v>18.996142683522788</v>
      </c>
      <c r="CM1888" s="247"/>
      <c r="CN1888" s="247"/>
      <c r="CO1888" s="36"/>
      <c r="CP1888" s="496" t="s">
        <v>772</v>
      </c>
      <c r="CQ1888" s="241">
        <v>2.4899562051673585</v>
      </c>
      <c r="CR1888" s="241">
        <f>10^(CJ1888-CQ1888)</f>
        <v>0.25614467467530366</v>
      </c>
      <c r="CS1888" s="33"/>
      <c r="CT1888" s="33"/>
      <c r="CU1888" s="250">
        <f t="shared" si="523"/>
        <v>12634.511750032752</v>
      </c>
      <c r="CV1888" s="337">
        <f t="shared" si="524"/>
        <v>9090.9090909090901</v>
      </c>
      <c r="CW1888" s="330">
        <f t="shared" si="514"/>
        <v>1</v>
      </c>
      <c r="CX1888" s="330"/>
      <c r="CY1888" s="143" t="s">
        <v>6351</v>
      </c>
    </row>
    <row r="1889" spans="1:103" ht="11.25" customHeight="1" x14ac:dyDescent="0.2">
      <c r="A1889" s="72">
        <v>1731</v>
      </c>
      <c r="B1889" s="241">
        <v>140</v>
      </c>
      <c r="C1889" s="32" t="s">
        <v>7657</v>
      </c>
      <c r="D1889" s="32"/>
      <c r="E1889" s="40"/>
      <c r="F1889" s="40" t="s">
        <v>790</v>
      </c>
      <c r="G1889" s="242">
        <v>107857</v>
      </c>
      <c r="H1889" s="36" t="s">
        <v>791</v>
      </c>
      <c r="I1889" s="36" t="s">
        <v>791</v>
      </c>
      <c r="J1889" s="36" t="s">
        <v>792</v>
      </c>
      <c r="K1889" s="36" t="s">
        <v>300</v>
      </c>
      <c r="L1889" s="36"/>
      <c r="M1889" s="36"/>
      <c r="N1889" s="36"/>
      <c r="O1889" s="36"/>
      <c r="P1889" s="41"/>
      <c r="Q1889" s="41"/>
      <c r="R1889" s="41"/>
      <c r="S1889" s="41"/>
      <c r="T1889" s="37">
        <v>87.16</v>
      </c>
      <c r="U1889" s="243"/>
      <c r="V1889" s="243">
        <v>109700</v>
      </c>
      <c r="W1889" s="243">
        <v>28204.423137986396</v>
      </c>
      <c r="X1889" s="243">
        <v>28204.423137986396</v>
      </c>
      <c r="Y1889" s="414">
        <v>12.11</v>
      </c>
      <c r="Z1889" s="37">
        <v>1.25</v>
      </c>
      <c r="AA1889" s="37"/>
      <c r="AB1889" s="37">
        <v>0.92</v>
      </c>
      <c r="AC1889" s="37">
        <v>0.92579999999999996</v>
      </c>
      <c r="AD1889" s="37">
        <v>1</v>
      </c>
      <c r="AE1889" s="37">
        <v>1.28</v>
      </c>
      <c r="AF1889" s="37">
        <f t="shared" si="520"/>
        <v>1</v>
      </c>
      <c r="AG1889" s="38">
        <v>0.8</v>
      </c>
      <c r="AH1889" s="243">
        <v>2.3499999999999999E-5</v>
      </c>
      <c r="AI1889" s="243"/>
      <c r="AJ1889" s="34">
        <f t="shared" si="517"/>
        <v>-3.0174984640409157</v>
      </c>
      <c r="AK1889" s="34"/>
      <c r="AL1889" s="34">
        <f t="shared" si="519"/>
        <v>-3.0174984640409157</v>
      </c>
      <c r="AM1889" s="34">
        <v>-4.6474599999999997</v>
      </c>
      <c r="AN1889" s="244">
        <v>-3.05</v>
      </c>
      <c r="AO1889" s="417"/>
      <c r="AP1889" s="417">
        <v>10.72</v>
      </c>
      <c r="AQ1889" s="244" t="s">
        <v>6311</v>
      </c>
      <c r="AR1889" s="244" t="s">
        <v>6311</v>
      </c>
      <c r="AS1889" s="241" t="s">
        <v>81</v>
      </c>
      <c r="AT1889" s="39" t="s">
        <v>266</v>
      </c>
      <c r="AU1889" s="37">
        <v>0</v>
      </c>
      <c r="AV1889" s="37">
        <v>48</v>
      </c>
      <c r="AW1889" s="37">
        <v>48</v>
      </c>
      <c r="AX1889" s="37">
        <v>26</v>
      </c>
      <c r="AY1889" s="37" t="s">
        <v>8722</v>
      </c>
      <c r="AZ1889" s="37" t="s">
        <v>536</v>
      </c>
      <c r="BA1889" s="37">
        <v>20</v>
      </c>
      <c r="BB1889" s="36" t="s">
        <v>537</v>
      </c>
      <c r="BC1889" s="36" t="s">
        <v>648</v>
      </c>
      <c r="BD1889" s="36"/>
      <c r="BE1889" s="245" t="s">
        <v>649</v>
      </c>
      <c r="BF1889" s="37" t="s">
        <v>539</v>
      </c>
      <c r="BG1889" s="37" t="s">
        <v>272</v>
      </c>
      <c r="BH1889" s="37" t="s">
        <v>272</v>
      </c>
      <c r="BI1889" s="250">
        <v>29.796581392680963</v>
      </c>
      <c r="BJ1889" s="250">
        <v>84.990248938855103</v>
      </c>
      <c r="BK1889" s="37"/>
      <c r="BL1889" s="263">
        <v>337.66980075721051</v>
      </c>
      <c r="BM1889" s="37" t="s">
        <v>541</v>
      </c>
      <c r="BN1889" s="37"/>
      <c r="BO1889" s="37">
        <v>59.094480000000004</v>
      </c>
      <c r="BP1889" s="37"/>
      <c r="BQ1889" s="37"/>
      <c r="BR1889" s="37"/>
      <c r="BS1889" s="37"/>
      <c r="BT1889" s="37"/>
      <c r="BU1889" s="246"/>
      <c r="BV1889" s="37"/>
      <c r="BW1889" s="37"/>
      <c r="BX1889" s="37"/>
      <c r="BY1889" s="37"/>
      <c r="BZ1889" s="37"/>
      <c r="CA1889" s="37"/>
      <c r="CB1889" s="37"/>
      <c r="CC1889" s="37"/>
      <c r="CD1889" s="37"/>
      <c r="CE1889" s="37"/>
      <c r="CF1889" s="37"/>
      <c r="CG1889" s="37"/>
      <c r="CH1889" s="37"/>
      <c r="CI1889" s="243">
        <v>59.094480000000004</v>
      </c>
      <c r="CJ1889" s="243">
        <f t="shared" si="511"/>
        <v>1.7715469154412813</v>
      </c>
      <c r="CK1889" s="38">
        <f t="shared" si="521"/>
        <v>3.9730416721116057</v>
      </c>
      <c r="CL1889" s="247">
        <f t="shared" si="522"/>
        <v>5.7140667073677696</v>
      </c>
      <c r="CM1889" s="247"/>
      <c r="CN1889" s="247"/>
      <c r="CO1889" s="36"/>
      <c r="CP1889" s="496" t="s">
        <v>772</v>
      </c>
      <c r="CQ1889" s="241" t="s">
        <v>272</v>
      </c>
      <c r="CR1889" s="241"/>
      <c r="CS1889" s="33"/>
      <c r="CT1889" s="33"/>
      <c r="CU1889" s="250">
        <f t="shared" si="523"/>
        <v>477.27678013219497</v>
      </c>
      <c r="CV1889" s="337">
        <f t="shared" si="524"/>
        <v>331.8548126418317</v>
      </c>
      <c r="CW1889" s="330">
        <f t="shared" si="514"/>
        <v>1</v>
      </c>
      <c r="CX1889" s="330"/>
      <c r="CY1889" s="143" t="s">
        <v>6351</v>
      </c>
    </row>
    <row r="1890" spans="1:103" ht="11.25" customHeight="1" x14ac:dyDescent="0.2">
      <c r="A1890" s="72">
        <v>1732</v>
      </c>
      <c r="B1890" s="241">
        <v>153</v>
      </c>
      <c r="C1890" s="32" t="s">
        <v>7658</v>
      </c>
      <c r="D1890" s="32" t="s">
        <v>8689</v>
      </c>
      <c r="E1890" s="40"/>
      <c r="F1890" s="40" t="s">
        <v>829</v>
      </c>
      <c r="G1890" s="242">
        <v>108189</v>
      </c>
      <c r="H1890" s="36" t="s">
        <v>830</v>
      </c>
      <c r="I1890" s="36" t="s">
        <v>830</v>
      </c>
      <c r="J1890" s="36" t="s">
        <v>831</v>
      </c>
      <c r="K1890" s="36" t="s">
        <v>300</v>
      </c>
      <c r="L1890" s="36" t="s">
        <v>5527</v>
      </c>
      <c r="M1890" s="36" t="s">
        <v>2342</v>
      </c>
      <c r="N1890" s="36" t="s">
        <v>2342</v>
      </c>
      <c r="O1890" s="36" t="s">
        <v>498</v>
      </c>
      <c r="P1890" s="41" t="s">
        <v>6183</v>
      </c>
      <c r="Q1890" s="41" t="s">
        <v>6173</v>
      </c>
      <c r="R1890" s="41" t="s">
        <v>6183</v>
      </c>
      <c r="S1890" s="41" t="s">
        <v>6173</v>
      </c>
      <c r="T1890" s="37">
        <v>101.19</v>
      </c>
      <c r="U1890" s="243">
        <v>110000</v>
      </c>
      <c r="V1890" s="243">
        <v>75310</v>
      </c>
      <c r="W1890" s="243">
        <v>34287.640159725903</v>
      </c>
      <c r="X1890" s="243">
        <v>110000</v>
      </c>
      <c r="Y1890" s="414">
        <v>12.14</v>
      </c>
      <c r="Z1890" s="37">
        <v>1.64</v>
      </c>
      <c r="AA1890" s="37">
        <v>1.4</v>
      </c>
      <c r="AB1890" s="37">
        <v>1.51</v>
      </c>
      <c r="AC1890" s="37">
        <v>0.86470000000000002</v>
      </c>
      <c r="AD1890" s="37">
        <v>1.46</v>
      </c>
      <c r="AE1890" s="37">
        <v>1.33</v>
      </c>
      <c r="AF1890" s="37">
        <f t="shared" si="520"/>
        <v>1.4</v>
      </c>
      <c r="AG1890" s="38">
        <v>1.52</v>
      </c>
      <c r="AH1890" s="243">
        <v>5.1700000000000003E-5</v>
      </c>
      <c r="AI1890" s="243">
        <v>9.6000000000000002E-5</v>
      </c>
      <c r="AJ1890" s="34">
        <f t="shared" si="517"/>
        <v>-2.6750757832187091</v>
      </c>
      <c r="AK1890" s="34">
        <f>LOG10(AI1890*1000/(0.08206*298.15))</f>
        <v>-2.4062950932730836</v>
      </c>
      <c r="AL1890" s="34">
        <f t="shared" si="519"/>
        <v>-2.4062950932730836</v>
      </c>
      <c r="AM1890" s="34">
        <v>-3.5732600000000003</v>
      </c>
      <c r="AN1890" s="244">
        <v>-2.57</v>
      </c>
      <c r="AO1890" s="417"/>
      <c r="AP1890" s="417">
        <v>10.76</v>
      </c>
      <c r="AQ1890" s="244" t="s">
        <v>6311</v>
      </c>
      <c r="AR1890" s="244" t="s">
        <v>6311</v>
      </c>
      <c r="AS1890" s="241" t="s">
        <v>78</v>
      </c>
      <c r="AT1890" s="39" t="s">
        <v>266</v>
      </c>
      <c r="AU1890" s="37">
        <v>0</v>
      </c>
      <c r="AV1890" s="37">
        <v>48</v>
      </c>
      <c r="AW1890" s="37">
        <v>48</v>
      </c>
      <c r="AX1890" s="37">
        <v>26</v>
      </c>
      <c r="AY1890" s="37" t="s">
        <v>8722</v>
      </c>
      <c r="AZ1890" s="37" t="s">
        <v>536</v>
      </c>
      <c r="BA1890" s="37">
        <v>20</v>
      </c>
      <c r="BB1890" s="36" t="s">
        <v>537</v>
      </c>
      <c r="BC1890" s="36" t="s">
        <v>648</v>
      </c>
      <c r="BD1890" s="36"/>
      <c r="BE1890" s="245" t="s">
        <v>649</v>
      </c>
      <c r="BF1890" s="37" t="s">
        <v>539</v>
      </c>
      <c r="BG1890" s="37" t="s">
        <v>272</v>
      </c>
      <c r="BH1890" s="37" t="s">
        <v>272</v>
      </c>
      <c r="BI1890" s="250">
        <v>42</v>
      </c>
      <c r="BJ1890" s="250">
        <v>119.99999999999999</v>
      </c>
      <c r="BK1890" s="37"/>
      <c r="BL1890" s="263">
        <v>175.00626490264946</v>
      </c>
      <c r="BM1890" s="37" t="s">
        <v>541</v>
      </c>
      <c r="BN1890" s="37"/>
      <c r="BO1890" s="37">
        <v>91.475759999999994</v>
      </c>
      <c r="BP1890" s="37"/>
      <c r="BQ1890" s="37"/>
      <c r="BR1890" s="37"/>
      <c r="BS1890" s="37"/>
      <c r="BT1890" s="37"/>
      <c r="BU1890" s="246"/>
      <c r="BV1890" s="37"/>
      <c r="BW1890" s="37"/>
      <c r="BX1890" s="37"/>
      <c r="BY1890" s="37"/>
      <c r="BZ1890" s="37"/>
      <c r="CA1890" s="37"/>
      <c r="CB1890" s="37"/>
      <c r="CC1890" s="37"/>
      <c r="CD1890" s="37"/>
      <c r="CE1890" s="37"/>
      <c r="CF1890" s="37"/>
      <c r="CG1890" s="37"/>
      <c r="CH1890" s="37"/>
      <c r="CI1890" s="243">
        <v>91.475759999999994</v>
      </c>
      <c r="CJ1890" s="243">
        <f t="shared" si="511"/>
        <v>1.9613060263842272</v>
      </c>
      <c r="CK1890" s="38">
        <f t="shared" si="521"/>
        <v>1.4583855408554123</v>
      </c>
      <c r="CL1890" s="247">
        <f t="shared" si="522"/>
        <v>1.9131436011315945</v>
      </c>
      <c r="CM1890" s="247"/>
      <c r="CN1890" s="247"/>
      <c r="CO1890" s="36"/>
      <c r="CP1890" s="496" t="s">
        <v>772</v>
      </c>
      <c r="CQ1890" s="241">
        <v>2.3528223997161581</v>
      </c>
      <c r="CR1890" s="241">
        <f>10^(CJ1890-CQ1890)</f>
        <v>0.40596035785565304</v>
      </c>
      <c r="CS1890" s="33"/>
      <c r="CT1890" s="33"/>
      <c r="CU1890" s="250">
        <f t="shared" si="523"/>
        <v>1202.5043574385172</v>
      </c>
      <c r="CV1890" s="337">
        <f t="shared" si="524"/>
        <v>916.66666666666674</v>
      </c>
      <c r="CW1890" s="330">
        <f t="shared" si="514"/>
        <v>1</v>
      </c>
      <c r="CX1890" s="330"/>
      <c r="CY1890" s="143" t="s">
        <v>6351</v>
      </c>
    </row>
    <row r="1891" spans="1:103" ht="11.25" customHeight="1" x14ac:dyDescent="0.2">
      <c r="A1891" s="72">
        <v>1736</v>
      </c>
      <c r="B1891" s="241">
        <v>141</v>
      </c>
      <c r="C1891" s="32" t="s">
        <v>7152</v>
      </c>
      <c r="D1891" s="32" t="s">
        <v>8690</v>
      </c>
      <c r="E1891" s="40"/>
      <c r="F1891" s="40" t="s">
        <v>793</v>
      </c>
      <c r="G1891" s="242">
        <v>108918</v>
      </c>
      <c r="H1891" s="36" t="s">
        <v>794</v>
      </c>
      <c r="I1891" s="36" t="s">
        <v>794</v>
      </c>
      <c r="J1891" s="36" t="s">
        <v>795</v>
      </c>
      <c r="K1891" s="36" t="s">
        <v>300</v>
      </c>
      <c r="L1891" s="36" t="s">
        <v>5527</v>
      </c>
      <c r="M1891" s="36" t="s">
        <v>2342</v>
      </c>
      <c r="N1891" s="36" t="s">
        <v>2342</v>
      </c>
      <c r="O1891" s="36" t="s">
        <v>498</v>
      </c>
      <c r="P1891" s="41" t="s">
        <v>6184</v>
      </c>
      <c r="Q1891" s="41" t="s">
        <v>6173</v>
      </c>
      <c r="R1891" s="41" t="s">
        <v>6183</v>
      </c>
      <c r="S1891" s="41" t="s">
        <v>6173</v>
      </c>
      <c r="T1891" s="37">
        <v>99.17</v>
      </c>
      <c r="U1891" s="243">
        <v>38334.800816063573</v>
      </c>
      <c r="V1891" s="243">
        <v>22170.29313862343</v>
      </c>
      <c r="W1891" s="243">
        <v>19787.016377546381</v>
      </c>
      <c r="X1891" s="243">
        <v>38334.800816063573</v>
      </c>
      <c r="Y1891" s="414">
        <v>11.93</v>
      </c>
      <c r="Z1891" s="37">
        <v>1.08</v>
      </c>
      <c r="AA1891" s="37">
        <v>0.9</v>
      </c>
      <c r="AB1891" s="37">
        <v>1.25</v>
      </c>
      <c r="AC1891" s="37">
        <v>0.78800000000000003</v>
      </c>
      <c r="AD1891" s="37">
        <v>1.3</v>
      </c>
      <c r="AE1891" s="37">
        <v>1.4</v>
      </c>
      <c r="AF1891" s="37">
        <f t="shared" si="520"/>
        <v>0.9</v>
      </c>
      <c r="AG1891" s="38">
        <v>0.9</v>
      </c>
      <c r="AH1891" s="243">
        <v>1.38E-5</v>
      </c>
      <c r="AI1891" s="243">
        <v>4.16E-6</v>
      </c>
      <c r="AJ1891" s="34">
        <f t="shared" si="517"/>
        <v>-3.2486872399114155</v>
      </c>
      <c r="AK1891" s="34">
        <f>LOG10(AI1891*1000/(0.08206*298.15))</f>
        <v>-3.7694729956859092</v>
      </c>
      <c r="AL1891" s="34">
        <f t="shared" si="519"/>
        <v>-3.7694729956859092</v>
      </c>
      <c r="AM1891" s="34">
        <v>-5.1368099999999997</v>
      </c>
      <c r="AN1891" s="244">
        <v>-3.79</v>
      </c>
      <c r="AO1891" s="417"/>
      <c r="AP1891" s="417">
        <v>10.57</v>
      </c>
      <c r="AQ1891" s="244" t="s">
        <v>6311</v>
      </c>
      <c r="AR1891" s="244" t="s">
        <v>6311</v>
      </c>
      <c r="AS1891" s="241" t="s">
        <v>75</v>
      </c>
      <c r="AT1891" s="39" t="s">
        <v>266</v>
      </c>
      <c r="AU1891" s="37">
        <v>0</v>
      </c>
      <c r="AV1891" s="37">
        <v>48</v>
      </c>
      <c r="AW1891" s="37">
        <v>48</v>
      </c>
      <c r="AX1891" s="37">
        <v>26</v>
      </c>
      <c r="AY1891" s="37" t="s">
        <v>8722</v>
      </c>
      <c r="AZ1891" s="37" t="s">
        <v>536</v>
      </c>
      <c r="BA1891" s="37">
        <v>20</v>
      </c>
      <c r="BB1891" s="36" t="s">
        <v>537</v>
      </c>
      <c r="BC1891" s="36" t="s">
        <v>648</v>
      </c>
      <c r="BD1891" s="36"/>
      <c r="BE1891" s="245" t="s">
        <v>649</v>
      </c>
      <c r="BF1891" s="37" t="s">
        <v>539</v>
      </c>
      <c r="BG1891" s="37" t="s">
        <v>272</v>
      </c>
      <c r="BH1891" s="37" t="s">
        <v>272</v>
      </c>
      <c r="BI1891" s="250">
        <v>34.996471062714257</v>
      </c>
      <c r="BJ1891" s="250">
        <v>99.989917322040725</v>
      </c>
      <c r="BK1891" s="37"/>
      <c r="BL1891" s="263">
        <v>546.04987652124771</v>
      </c>
      <c r="BM1891" s="37" t="s">
        <v>541</v>
      </c>
      <c r="BN1891" s="37"/>
      <c r="BO1891" s="37">
        <v>63.369630000000001</v>
      </c>
      <c r="BP1891" s="37"/>
      <c r="BQ1891" s="37"/>
      <c r="BR1891" s="37"/>
      <c r="BS1891" s="37"/>
      <c r="BT1891" s="37"/>
      <c r="BU1891" s="246"/>
      <c r="BV1891" s="37"/>
      <c r="BW1891" s="37"/>
      <c r="BX1891" s="37"/>
      <c r="BY1891" s="37"/>
      <c r="BZ1891" s="37"/>
      <c r="CA1891" s="37"/>
      <c r="CB1891" s="37"/>
      <c r="CC1891" s="37"/>
      <c r="CD1891" s="37"/>
      <c r="CE1891" s="37"/>
      <c r="CF1891" s="37"/>
      <c r="CG1891" s="37"/>
      <c r="CH1891" s="37"/>
      <c r="CI1891" s="243">
        <v>63.369630000000001</v>
      </c>
      <c r="CJ1891" s="243">
        <f t="shared" si="511"/>
        <v>1.8018811713918104</v>
      </c>
      <c r="CK1891" s="38">
        <f t="shared" si="521"/>
        <v>5.4610493852351869</v>
      </c>
      <c r="CL1891" s="247">
        <f t="shared" si="522"/>
        <v>8.6169017638456733</v>
      </c>
      <c r="CM1891" s="247"/>
      <c r="CN1891" s="247"/>
      <c r="CO1891" s="36"/>
      <c r="CP1891" s="496" t="s">
        <v>772</v>
      </c>
      <c r="CQ1891" s="241">
        <v>2.0899310146204098</v>
      </c>
      <c r="CR1891" s="241">
        <f>10^(CJ1891-CQ1891)</f>
        <v>0.51516951607200834</v>
      </c>
      <c r="CS1891" s="33"/>
      <c r="CT1891" s="33"/>
      <c r="CU1891" s="250">
        <f t="shared" si="523"/>
        <v>604.93963458621386</v>
      </c>
      <c r="CV1891" s="337">
        <f t="shared" si="524"/>
        <v>383.38666380328584</v>
      </c>
      <c r="CW1891" s="330">
        <f t="shared" si="514"/>
        <v>1</v>
      </c>
      <c r="CX1891" s="330"/>
      <c r="CY1891" s="143" t="s">
        <v>6351</v>
      </c>
    </row>
    <row r="1892" spans="1:103" ht="11.25" customHeight="1" x14ac:dyDescent="0.2">
      <c r="A1892" s="72">
        <v>1739</v>
      </c>
      <c r="B1892" s="241">
        <v>150</v>
      </c>
      <c r="C1892" s="32" t="s">
        <v>7660</v>
      </c>
      <c r="D1892" s="32"/>
      <c r="E1892" s="40"/>
      <c r="F1892" s="40" t="s">
        <v>820</v>
      </c>
      <c r="G1892" s="242">
        <v>109057</v>
      </c>
      <c r="H1892" s="36" t="s">
        <v>821</v>
      </c>
      <c r="I1892" s="36" t="s">
        <v>821</v>
      </c>
      <c r="J1892" s="36" t="s">
        <v>822</v>
      </c>
      <c r="K1892" s="36" t="s">
        <v>300</v>
      </c>
      <c r="L1892" s="36"/>
      <c r="M1892" s="36"/>
      <c r="N1892" s="36"/>
      <c r="O1892" s="36"/>
      <c r="P1892" s="41"/>
      <c r="Q1892" s="41"/>
      <c r="R1892" s="41"/>
      <c r="S1892" s="41"/>
      <c r="T1892" s="37">
        <v>99.17</v>
      </c>
      <c r="U1892" s="243"/>
      <c r="V1892" s="243">
        <v>50929.999999999993</v>
      </c>
      <c r="W1892" s="243">
        <v>37703.382433110055</v>
      </c>
      <c r="X1892" s="243">
        <v>37703.382433110055</v>
      </c>
      <c r="Y1892" s="414">
        <v>12.1</v>
      </c>
      <c r="Z1892" s="37">
        <v>1.61</v>
      </c>
      <c r="AA1892" s="37"/>
      <c r="AB1892" s="37">
        <v>1.4</v>
      </c>
      <c r="AC1892" s="37">
        <v>0.85260000000000002</v>
      </c>
      <c r="AD1892" s="37">
        <v>1.41</v>
      </c>
      <c r="AE1892" s="37">
        <v>1.42</v>
      </c>
      <c r="AF1892" s="37">
        <f t="shared" si="520"/>
        <v>1.41</v>
      </c>
      <c r="AG1892" s="38">
        <v>1.1200000000000001</v>
      </c>
      <c r="AH1892" s="243">
        <v>2.2799999999999999E-5</v>
      </c>
      <c r="AI1892" s="243"/>
      <c r="AJ1892" s="34">
        <f t="shared" si="517"/>
        <v>-3.030631479312198</v>
      </c>
      <c r="AK1892" s="34"/>
      <c r="AL1892" s="34">
        <f t="shared" si="519"/>
        <v>-3.030631479312198</v>
      </c>
      <c r="AM1892" s="34">
        <v>-3.85859</v>
      </c>
      <c r="AN1892" s="244">
        <v>-3.58</v>
      </c>
      <c r="AO1892" s="417"/>
      <c r="AP1892" s="417">
        <v>10.63</v>
      </c>
      <c r="AQ1892" s="244" t="s">
        <v>6311</v>
      </c>
      <c r="AR1892" s="244" t="s">
        <v>6311</v>
      </c>
      <c r="AS1892" s="241" t="s">
        <v>81</v>
      </c>
      <c r="AT1892" s="39" t="s">
        <v>266</v>
      </c>
      <c r="AU1892" s="37">
        <v>0</v>
      </c>
      <c r="AV1892" s="37">
        <v>48</v>
      </c>
      <c r="AW1892" s="37">
        <v>48</v>
      </c>
      <c r="AX1892" s="37">
        <v>26</v>
      </c>
      <c r="AY1892" s="37" t="s">
        <v>8722</v>
      </c>
      <c r="AZ1892" s="37" t="s">
        <v>536</v>
      </c>
      <c r="BA1892" s="37">
        <v>20</v>
      </c>
      <c r="BB1892" s="36" t="s">
        <v>537</v>
      </c>
      <c r="BC1892" s="36" t="s">
        <v>648</v>
      </c>
      <c r="BD1892" s="36"/>
      <c r="BE1892" s="245" t="s">
        <v>649</v>
      </c>
      <c r="BF1892" s="37" t="s">
        <v>539</v>
      </c>
      <c r="BG1892" s="37" t="s">
        <v>272</v>
      </c>
      <c r="BH1892" s="37" t="s">
        <v>272</v>
      </c>
      <c r="BI1892" s="250">
        <v>52.494706594071381</v>
      </c>
      <c r="BJ1892" s="250">
        <v>149.98487598306107</v>
      </c>
      <c r="BK1892" s="37"/>
      <c r="BL1892" s="263">
        <v>182.49010170948307</v>
      </c>
      <c r="BM1892" s="37" t="s">
        <v>541</v>
      </c>
      <c r="BN1892" s="37"/>
      <c r="BO1892" s="37">
        <v>102.34344</v>
      </c>
      <c r="BP1892" s="37"/>
      <c r="BQ1892" s="37"/>
      <c r="BR1892" s="37"/>
      <c r="BS1892" s="37"/>
      <c r="BT1892" s="37"/>
      <c r="BU1892" s="246"/>
      <c r="BV1892" s="37"/>
      <c r="BW1892" s="37"/>
      <c r="BX1892" s="37"/>
      <c r="BY1892" s="37"/>
      <c r="BZ1892" s="37"/>
      <c r="CA1892" s="37"/>
      <c r="CB1892" s="37"/>
      <c r="CC1892" s="37"/>
      <c r="CD1892" s="37"/>
      <c r="CE1892" s="37"/>
      <c r="CF1892" s="37"/>
      <c r="CG1892" s="37"/>
      <c r="CH1892" s="37"/>
      <c r="CI1892" s="243">
        <v>102.34344</v>
      </c>
      <c r="CJ1892" s="243">
        <f t="shared" si="511"/>
        <v>2.0100600105246027</v>
      </c>
      <c r="CK1892" s="38">
        <f t="shared" si="521"/>
        <v>1.2167233563608977</v>
      </c>
      <c r="CL1892" s="247">
        <f t="shared" si="522"/>
        <v>1.7831147918174635</v>
      </c>
      <c r="CM1892" s="247"/>
      <c r="CN1892" s="247"/>
      <c r="CO1892" s="36"/>
      <c r="CP1892" s="496" t="s">
        <v>772</v>
      </c>
      <c r="CQ1892" s="241" t="s">
        <v>272</v>
      </c>
      <c r="CR1892" s="241"/>
      <c r="CS1892" s="33"/>
      <c r="CT1892" s="33"/>
      <c r="CU1892" s="250">
        <f t="shared" si="523"/>
        <v>368.40057783000117</v>
      </c>
      <c r="CV1892" s="337">
        <f t="shared" si="524"/>
        <v>251.38122884715511</v>
      </c>
      <c r="CW1892" s="330">
        <f t="shared" si="514"/>
        <v>1</v>
      </c>
      <c r="CX1892" s="330"/>
      <c r="CY1892" s="143" t="s">
        <v>5921</v>
      </c>
    </row>
    <row r="1893" spans="1:103" ht="11.25" customHeight="1" x14ac:dyDescent="0.2">
      <c r="A1893" s="72">
        <v>1740</v>
      </c>
      <c r="B1893" s="241">
        <v>136</v>
      </c>
      <c r="C1893" s="32" t="s">
        <v>7661</v>
      </c>
      <c r="D1893" s="32" t="s">
        <v>8705</v>
      </c>
      <c r="E1893" s="40"/>
      <c r="F1893" s="40" t="s">
        <v>777</v>
      </c>
      <c r="G1893" s="242">
        <v>109739</v>
      </c>
      <c r="H1893" s="36" t="s">
        <v>778</v>
      </c>
      <c r="I1893" s="36" t="s">
        <v>778</v>
      </c>
      <c r="J1893" s="36" t="s">
        <v>779</v>
      </c>
      <c r="K1893" s="36" t="s">
        <v>300</v>
      </c>
      <c r="L1893" s="36"/>
      <c r="M1893" s="36" t="s">
        <v>2342</v>
      </c>
      <c r="N1893" s="36" t="s">
        <v>2342</v>
      </c>
      <c r="O1893" s="36" t="s">
        <v>498</v>
      </c>
      <c r="P1893" s="41" t="s">
        <v>6184</v>
      </c>
      <c r="Q1893" s="41" t="s">
        <v>6173</v>
      </c>
      <c r="R1893" s="41" t="s">
        <v>6183</v>
      </c>
      <c r="S1893" s="41" t="s">
        <v>6173</v>
      </c>
      <c r="T1893" s="37">
        <v>73.14</v>
      </c>
      <c r="U1893" s="243">
        <v>1000000</v>
      </c>
      <c r="V1893" s="243">
        <v>202900</v>
      </c>
      <c r="W1893" s="243">
        <v>52985.246119884774</v>
      </c>
      <c r="X1893" s="243">
        <v>1000000</v>
      </c>
      <c r="Y1893" s="414">
        <v>12.27</v>
      </c>
      <c r="Z1893" s="37">
        <v>0.83</v>
      </c>
      <c r="AA1893" s="37">
        <v>0.97</v>
      </c>
      <c r="AB1893" s="37">
        <v>0.73</v>
      </c>
      <c r="AC1893" s="37">
        <v>0.94399999999999995</v>
      </c>
      <c r="AD1893" s="37">
        <v>0.77</v>
      </c>
      <c r="AE1893" s="37">
        <v>0.93</v>
      </c>
      <c r="AF1893" s="37">
        <f t="shared" si="520"/>
        <v>0.97</v>
      </c>
      <c r="AG1893" s="38">
        <v>0.52</v>
      </c>
      <c r="AH1893" s="243">
        <v>1.77E-5</v>
      </c>
      <c r="AI1893" s="243">
        <v>1.7399999999999999E-5</v>
      </c>
      <c r="AJ1893" s="34">
        <f t="shared" si="517"/>
        <v>-3.1405930599508451</v>
      </c>
      <c r="AK1893" s="34">
        <f t="shared" ref="AK1893:AK1900" si="525">LOG10(AI1893*1000/(0.08206*298.15))</f>
        <v>-3.148017078030052</v>
      </c>
      <c r="AL1893" s="34">
        <f t="shared" si="519"/>
        <v>-3.148017078030052</v>
      </c>
      <c r="AM1893" s="34">
        <v>-4.4413099999999996</v>
      </c>
      <c r="AN1893" s="244">
        <v>-3.18</v>
      </c>
      <c r="AO1893" s="417"/>
      <c r="AP1893" s="417">
        <v>10.69</v>
      </c>
      <c r="AQ1893" s="244" t="s">
        <v>6311</v>
      </c>
      <c r="AR1893" s="244" t="s">
        <v>6311</v>
      </c>
      <c r="AS1893" s="241" t="s">
        <v>72</v>
      </c>
      <c r="AT1893" s="39" t="s">
        <v>266</v>
      </c>
      <c r="AU1893" s="37">
        <v>0</v>
      </c>
      <c r="AV1893" s="37">
        <v>48</v>
      </c>
      <c r="AW1893" s="37">
        <v>48</v>
      </c>
      <c r="AX1893" s="37">
        <v>26</v>
      </c>
      <c r="AY1893" s="37" t="s">
        <v>8722</v>
      </c>
      <c r="AZ1893" s="37" t="s">
        <v>536</v>
      </c>
      <c r="BA1893" s="37">
        <v>20</v>
      </c>
      <c r="BB1893" s="36" t="s">
        <v>537</v>
      </c>
      <c r="BC1893" s="36" t="s">
        <v>648</v>
      </c>
      <c r="BD1893" s="36"/>
      <c r="BE1893" s="245" t="s">
        <v>649</v>
      </c>
      <c r="BF1893" s="37" t="s">
        <v>539</v>
      </c>
      <c r="BG1893" s="37" t="s">
        <v>272</v>
      </c>
      <c r="BH1893" s="37" t="s">
        <v>272</v>
      </c>
      <c r="BI1893" s="250">
        <v>9568.0000000000018</v>
      </c>
      <c r="BJ1893" s="250">
        <v>36800</v>
      </c>
      <c r="BK1893" s="37"/>
      <c r="BL1893" s="263">
        <v>675.35474572393434</v>
      </c>
      <c r="BM1893" s="37" t="s">
        <v>541</v>
      </c>
      <c r="BN1893" s="37"/>
      <c r="BO1893" s="37">
        <v>35.911740000000002</v>
      </c>
      <c r="BP1893" s="37"/>
      <c r="BQ1893" s="37"/>
      <c r="BR1893" s="37"/>
      <c r="BS1893" s="37"/>
      <c r="BT1893" s="37"/>
      <c r="BU1893" s="246"/>
      <c r="BV1893" s="37"/>
      <c r="BW1893" s="37"/>
      <c r="BX1893" s="37"/>
      <c r="BY1893" s="37"/>
      <c r="BZ1893" s="37"/>
      <c r="CA1893" s="37"/>
      <c r="CB1893" s="37"/>
      <c r="CC1893" s="37"/>
      <c r="CD1893" s="37"/>
      <c r="CE1893" s="37"/>
      <c r="CF1893" s="37"/>
      <c r="CG1893" s="37"/>
      <c r="CH1893" s="37"/>
      <c r="CI1893" s="243">
        <v>35.911740000000002</v>
      </c>
      <c r="CJ1893" s="243">
        <f t="shared" ref="CJ1893:CJ1923" si="526">LOG10(CI1893)</f>
        <v>1.5552364481249941</v>
      </c>
      <c r="CK1893" s="38">
        <f t="shared" si="521"/>
        <v>1.8352031133802564E-2</v>
      </c>
      <c r="CL1893" s="247">
        <f t="shared" si="522"/>
        <v>18.805959993136906</v>
      </c>
      <c r="CM1893" s="247"/>
      <c r="CN1893" s="247"/>
      <c r="CO1893" s="36"/>
      <c r="CP1893" s="496" t="s">
        <v>772</v>
      </c>
      <c r="CQ1893" s="241">
        <v>2.1193888029932539</v>
      </c>
      <c r="CR1893" s="241">
        <f>10^(CJ1893-CQ1893)</f>
        <v>0.27280205978845584</v>
      </c>
      <c r="CS1893" s="33"/>
      <c r="CT1893" s="33"/>
      <c r="CU1893" s="250">
        <f t="shared" si="523"/>
        <v>27846.047003013497</v>
      </c>
      <c r="CV1893" s="337">
        <f t="shared" si="524"/>
        <v>27.173913043478262</v>
      </c>
      <c r="CW1893" s="330">
        <f t="shared" ref="CW1893:CW1923" si="527">IF(CU1893&lt;2,0,1)</f>
        <v>1</v>
      </c>
      <c r="CX1893" s="330"/>
      <c r="CY1893" s="143" t="s">
        <v>6351</v>
      </c>
    </row>
    <row r="1894" spans="1:103" ht="11.25" customHeight="1" x14ac:dyDescent="0.2">
      <c r="A1894" s="72">
        <v>1741</v>
      </c>
      <c r="B1894" s="241">
        <v>147</v>
      </c>
      <c r="C1894" s="32" t="s">
        <v>7662</v>
      </c>
      <c r="D1894" s="32" t="s">
        <v>8686</v>
      </c>
      <c r="E1894" s="40"/>
      <c r="F1894" s="40" t="s">
        <v>811</v>
      </c>
      <c r="G1894" s="242">
        <v>109897</v>
      </c>
      <c r="H1894" s="36" t="s">
        <v>812</v>
      </c>
      <c r="I1894" s="36" t="s">
        <v>812</v>
      </c>
      <c r="J1894" s="36" t="s">
        <v>813</v>
      </c>
      <c r="K1894" s="36" t="s">
        <v>300</v>
      </c>
      <c r="L1894" s="36" t="s">
        <v>5527</v>
      </c>
      <c r="M1894" s="36" t="s">
        <v>6616</v>
      </c>
      <c r="N1894" s="36" t="s">
        <v>6082</v>
      </c>
      <c r="O1894" s="36" t="s">
        <v>498</v>
      </c>
      <c r="P1894" s="41" t="s">
        <v>6183</v>
      </c>
      <c r="Q1894" s="41" t="s">
        <v>6173</v>
      </c>
      <c r="R1894" s="41" t="s">
        <v>6185</v>
      </c>
      <c r="S1894" s="41" t="s">
        <v>6182</v>
      </c>
      <c r="T1894" s="37">
        <v>73.14</v>
      </c>
      <c r="U1894" s="243">
        <v>1000000</v>
      </c>
      <c r="V1894" s="243">
        <v>436900</v>
      </c>
      <c r="W1894" s="243">
        <v>124209.54074105198</v>
      </c>
      <c r="X1894" s="243">
        <v>1000000</v>
      </c>
      <c r="Y1894" s="414">
        <v>12.49</v>
      </c>
      <c r="Z1894" s="37">
        <v>0.81</v>
      </c>
      <c r="AA1894" s="37">
        <v>0.57999999999999996</v>
      </c>
      <c r="AB1894" s="37">
        <v>0.73</v>
      </c>
      <c r="AC1894" s="37">
        <v>0.89100000000000001</v>
      </c>
      <c r="AD1894" s="37">
        <v>0.7</v>
      </c>
      <c r="AE1894" s="37">
        <v>0.63</v>
      </c>
      <c r="AF1894" s="37">
        <f t="shared" si="520"/>
        <v>0.57999999999999996</v>
      </c>
      <c r="AG1894" s="38">
        <v>0.6</v>
      </c>
      <c r="AH1894" s="243">
        <v>2.9300000000000001E-5</v>
      </c>
      <c r="AI1894" s="243">
        <v>2.55E-5</v>
      </c>
      <c r="AJ1894" s="34">
        <f t="shared" si="517"/>
        <v>-2.9216987059585424</v>
      </c>
      <c r="AK1894" s="34">
        <f t="shared" si="525"/>
        <v>-2.9820261458786965</v>
      </c>
      <c r="AL1894" s="34">
        <f t="shared" si="519"/>
        <v>-2.9820261458786965</v>
      </c>
      <c r="AM1894" s="34">
        <v>-3.1630899999999995</v>
      </c>
      <c r="AN1894" s="244">
        <v>-2.83</v>
      </c>
      <c r="AO1894" s="417"/>
      <c r="AP1894" s="417">
        <v>10.76</v>
      </c>
      <c r="AQ1894" s="244" t="s">
        <v>6311</v>
      </c>
      <c r="AR1894" s="244" t="s">
        <v>6311</v>
      </c>
      <c r="AS1894" s="241" t="s">
        <v>72</v>
      </c>
      <c r="AT1894" s="39" t="s">
        <v>266</v>
      </c>
      <c r="AU1894" s="37">
        <v>0</v>
      </c>
      <c r="AV1894" s="37">
        <v>48</v>
      </c>
      <c r="AW1894" s="37">
        <v>48</v>
      </c>
      <c r="AX1894" s="37">
        <v>26</v>
      </c>
      <c r="AY1894" s="37" t="s">
        <v>8722</v>
      </c>
      <c r="AZ1894" s="37" t="s">
        <v>536</v>
      </c>
      <c r="BA1894" s="37">
        <v>20</v>
      </c>
      <c r="BB1894" s="36" t="s">
        <v>537</v>
      </c>
      <c r="BC1894" s="36" t="s">
        <v>648</v>
      </c>
      <c r="BD1894" s="36"/>
      <c r="BE1894" s="245" t="s">
        <v>649</v>
      </c>
      <c r="BF1894" s="37" t="s">
        <v>539</v>
      </c>
      <c r="BG1894" s="37" t="s">
        <v>272</v>
      </c>
      <c r="BH1894" s="37" t="s">
        <v>272</v>
      </c>
      <c r="BI1894" s="250">
        <v>38.5</v>
      </c>
      <c r="BJ1894" s="250">
        <v>110</v>
      </c>
      <c r="BK1894" s="37"/>
      <c r="BL1894" s="263">
        <v>703.87243220260734</v>
      </c>
      <c r="BM1894" s="37" t="s">
        <v>541</v>
      </c>
      <c r="BN1894" s="37"/>
      <c r="BO1894" s="37">
        <v>93.253499999999988</v>
      </c>
      <c r="BP1894" s="37"/>
      <c r="BQ1894" s="37"/>
      <c r="BR1894" s="37"/>
      <c r="BS1894" s="37"/>
      <c r="BT1894" s="37"/>
      <c r="BU1894" s="246"/>
      <c r="BV1894" s="37"/>
      <c r="BW1894" s="37"/>
      <c r="BX1894" s="37"/>
      <c r="BY1894" s="37"/>
      <c r="BZ1894" s="37"/>
      <c r="CA1894" s="37"/>
      <c r="CB1894" s="37"/>
      <c r="CC1894" s="37"/>
      <c r="CD1894" s="37"/>
      <c r="CE1894" s="37"/>
      <c r="CF1894" s="37"/>
      <c r="CG1894" s="37"/>
      <c r="CH1894" s="37"/>
      <c r="CI1894" s="243">
        <v>93.253499999999988</v>
      </c>
      <c r="CJ1894" s="243">
        <f t="shared" si="526"/>
        <v>1.9696651407719994</v>
      </c>
      <c r="CK1894" s="38">
        <f t="shared" si="521"/>
        <v>6.3988402927509762</v>
      </c>
      <c r="CL1894" s="247">
        <f t="shared" si="522"/>
        <v>7.5479465350105617</v>
      </c>
      <c r="CM1894" s="247"/>
      <c r="CN1894" s="247"/>
      <c r="CO1894" s="36"/>
      <c r="CP1894" s="496" t="s">
        <v>772</v>
      </c>
      <c r="CQ1894" s="241">
        <v>2.3809926688041316</v>
      </c>
      <c r="CR1894" s="241">
        <f>10^(CJ1894-CQ1894)</f>
        <v>0.38785774841297499</v>
      </c>
      <c r="CS1894" s="33"/>
      <c r="CT1894" s="33"/>
      <c r="CU1894" s="250">
        <f t="shared" si="523"/>
        <v>10723.458100768337</v>
      </c>
      <c r="CV1894" s="337">
        <f t="shared" si="524"/>
        <v>9090.9090909090901</v>
      </c>
      <c r="CW1894" s="330">
        <f t="shared" si="527"/>
        <v>1</v>
      </c>
      <c r="CX1894" s="330"/>
      <c r="CY1894" s="143" t="s">
        <v>6351</v>
      </c>
    </row>
    <row r="1895" spans="1:103" ht="11.25" customHeight="1" x14ac:dyDescent="0.2">
      <c r="A1895" s="72">
        <v>1743</v>
      </c>
      <c r="B1895" s="241">
        <v>139</v>
      </c>
      <c r="C1895" s="32" t="s">
        <v>7664</v>
      </c>
      <c r="D1895" s="32"/>
      <c r="E1895" s="40"/>
      <c r="F1895" s="40" t="s">
        <v>787</v>
      </c>
      <c r="G1895" s="242">
        <v>110587</v>
      </c>
      <c r="H1895" s="36" t="s">
        <v>788</v>
      </c>
      <c r="I1895" s="36" t="s">
        <v>788</v>
      </c>
      <c r="J1895" s="36" t="s">
        <v>789</v>
      </c>
      <c r="K1895" s="36" t="s">
        <v>300</v>
      </c>
      <c r="L1895" s="36"/>
      <c r="M1895" s="36"/>
      <c r="N1895" s="36"/>
      <c r="O1895" s="36"/>
      <c r="P1895" s="41"/>
      <c r="Q1895" s="41"/>
      <c r="R1895" s="41"/>
      <c r="S1895" s="41"/>
      <c r="T1895" s="37">
        <v>87.16</v>
      </c>
      <c r="U1895" s="243">
        <v>1000000.0000000001</v>
      </c>
      <c r="V1895" s="243">
        <v>68760</v>
      </c>
      <c r="W1895" s="243">
        <v>25722.739619624208</v>
      </c>
      <c r="X1895" s="243">
        <v>1000000.0000000001</v>
      </c>
      <c r="Y1895" s="414">
        <v>12.07</v>
      </c>
      <c r="Z1895" s="37">
        <v>1.33</v>
      </c>
      <c r="AA1895" s="37">
        <v>1.49</v>
      </c>
      <c r="AB1895" s="37">
        <v>1.58</v>
      </c>
      <c r="AC1895" s="37">
        <v>0.8649</v>
      </c>
      <c r="AD1895" s="37">
        <v>1.55</v>
      </c>
      <c r="AE1895" s="37">
        <v>1.46</v>
      </c>
      <c r="AF1895" s="37">
        <f t="shared" si="520"/>
        <v>1.49</v>
      </c>
      <c r="AG1895" s="38">
        <v>0.96</v>
      </c>
      <c r="AH1895" s="243">
        <v>2.3499999999999999E-5</v>
      </c>
      <c r="AI1895" s="243">
        <v>2.4300000000000001E-5</v>
      </c>
      <c r="AJ1895" s="34">
        <f t="shared" si="517"/>
        <v>-3.0174984640409157</v>
      </c>
      <c r="AK1895" s="34">
        <f t="shared" si="525"/>
        <v>-3.0029600527143394</v>
      </c>
      <c r="AL1895" s="34">
        <f t="shared" si="519"/>
        <v>-3.0029600527143394</v>
      </c>
      <c r="AM1895" s="34">
        <v>-4.5731099999999998</v>
      </c>
      <c r="AN1895" s="244">
        <v>-3.05</v>
      </c>
      <c r="AO1895" s="417"/>
      <c r="AP1895" s="417">
        <v>10.69</v>
      </c>
      <c r="AQ1895" s="244" t="s">
        <v>6311</v>
      </c>
      <c r="AR1895" s="244" t="s">
        <v>6311</v>
      </c>
      <c r="AS1895" s="241" t="s">
        <v>72</v>
      </c>
      <c r="AT1895" s="39" t="s">
        <v>266</v>
      </c>
      <c r="AU1895" s="37">
        <v>0</v>
      </c>
      <c r="AV1895" s="37">
        <v>48</v>
      </c>
      <c r="AW1895" s="37">
        <v>48</v>
      </c>
      <c r="AX1895" s="37">
        <v>26</v>
      </c>
      <c r="AY1895" s="37" t="s">
        <v>8722</v>
      </c>
      <c r="AZ1895" s="37" t="s">
        <v>536</v>
      </c>
      <c r="BA1895" s="37">
        <v>20</v>
      </c>
      <c r="BB1895" s="36" t="s">
        <v>537</v>
      </c>
      <c r="BC1895" s="36" t="s">
        <v>648</v>
      </c>
      <c r="BD1895" s="36"/>
      <c r="BE1895" s="245" t="s">
        <v>649</v>
      </c>
      <c r="BF1895" s="37" t="s">
        <v>539</v>
      </c>
      <c r="BG1895" s="37" t="s">
        <v>272</v>
      </c>
      <c r="BH1895" s="37" t="s">
        <v>272</v>
      </c>
      <c r="BI1895" s="250">
        <v>26.296982906963404</v>
      </c>
      <c r="BJ1895" s="250">
        <v>74.991396122519205</v>
      </c>
      <c r="BK1895" s="37"/>
      <c r="BL1895" s="263">
        <v>286.18325672064975</v>
      </c>
      <c r="BM1895" s="37" t="s">
        <v>541</v>
      </c>
      <c r="BN1895" s="37"/>
      <c r="BO1895" s="37">
        <v>30.854639999999996</v>
      </c>
      <c r="BP1895" s="37"/>
      <c r="BQ1895" s="37"/>
      <c r="BR1895" s="37"/>
      <c r="BS1895" s="37"/>
      <c r="BT1895" s="37"/>
      <c r="BU1895" s="246"/>
      <c r="BV1895" s="37"/>
      <c r="BW1895" s="37"/>
      <c r="BX1895" s="37"/>
      <c r="BY1895" s="37"/>
      <c r="BZ1895" s="37"/>
      <c r="CA1895" s="37"/>
      <c r="CB1895" s="37"/>
      <c r="CC1895" s="37"/>
      <c r="CD1895" s="37"/>
      <c r="CE1895" s="37"/>
      <c r="CF1895" s="37"/>
      <c r="CG1895" s="37"/>
      <c r="CH1895" s="37"/>
      <c r="CI1895" s="243">
        <v>30.854639999999996</v>
      </c>
      <c r="CJ1895" s="243">
        <f t="shared" si="526"/>
        <v>1.4893204836000058</v>
      </c>
      <c r="CK1895" s="38">
        <f t="shared" si="521"/>
        <v>3.8162145461739394</v>
      </c>
      <c r="CL1895" s="247">
        <f t="shared" si="522"/>
        <v>9.2752097162906377</v>
      </c>
      <c r="CM1895" s="247"/>
      <c r="CN1895" s="247"/>
      <c r="CO1895" s="36"/>
      <c r="CP1895" s="496" t="s">
        <v>772</v>
      </c>
      <c r="CQ1895" s="241">
        <v>2.2491966343353504</v>
      </c>
      <c r="CR1895" s="241">
        <f>10^(CJ1895-CQ1895)</f>
        <v>0.17382964741119705</v>
      </c>
      <c r="CS1895" s="33"/>
      <c r="CT1895" s="33"/>
      <c r="CU1895" s="250">
        <f t="shared" si="523"/>
        <v>32410.036221456488</v>
      </c>
      <c r="CV1895" s="337">
        <f t="shared" si="524"/>
        <v>13334.86308704299</v>
      </c>
      <c r="CW1895" s="330">
        <f t="shared" si="527"/>
        <v>1</v>
      </c>
      <c r="CX1895" s="330"/>
      <c r="CY1895" s="143" t="s">
        <v>5921</v>
      </c>
    </row>
    <row r="1896" spans="1:103" ht="11.25" customHeight="1" x14ac:dyDescent="0.2">
      <c r="A1896" s="72">
        <v>1745</v>
      </c>
      <c r="B1896" s="241">
        <v>149</v>
      </c>
      <c r="C1896" s="32" t="s">
        <v>7666</v>
      </c>
      <c r="D1896" s="32"/>
      <c r="E1896" s="40"/>
      <c r="F1896" s="40" t="s">
        <v>817</v>
      </c>
      <c r="G1896" s="242">
        <v>110894</v>
      </c>
      <c r="H1896" s="36" t="s">
        <v>818</v>
      </c>
      <c r="I1896" s="36" t="s">
        <v>818</v>
      </c>
      <c r="J1896" s="36" t="s">
        <v>819</v>
      </c>
      <c r="K1896" s="36" t="s">
        <v>300</v>
      </c>
      <c r="L1896" s="36"/>
      <c r="M1896" s="36"/>
      <c r="N1896" s="36"/>
      <c r="O1896" s="36"/>
      <c r="P1896" s="41"/>
      <c r="Q1896" s="41"/>
      <c r="R1896" s="41"/>
      <c r="S1896" s="41"/>
      <c r="T1896" s="37">
        <v>85.15</v>
      </c>
      <c r="U1896" s="243">
        <v>999999.99999999988</v>
      </c>
      <c r="V1896" s="243">
        <v>249400</v>
      </c>
      <c r="W1896" s="243">
        <v>69212.518451373049</v>
      </c>
      <c r="X1896" s="243">
        <v>999999.99999999988</v>
      </c>
      <c r="Y1896" s="414">
        <v>12.18</v>
      </c>
      <c r="Z1896" s="37">
        <v>1.19</v>
      </c>
      <c r="AA1896" s="37">
        <v>0.84</v>
      </c>
      <c r="AB1896" s="37">
        <v>1.03</v>
      </c>
      <c r="AC1896" s="37">
        <v>0.87309999999999999</v>
      </c>
      <c r="AD1896" s="37">
        <v>1.01</v>
      </c>
      <c r="AE1896" s="37">
        <v>0.93</v>
      </c>
      <c r="AF1896" s="37">
        <f t="shared" si="520"/>
        <v>0.84</v>
      </c>
      <c r="AG1896" s="38">
        <v>0.72</v>
      </c>
      <c r="AH1896" s="243">
        <v>1.7200000000000001E-5</v>
      </c>
      <c r="AI1896" s="243">
        <v>4.4499999999999997E-6</v>
      </c>
      <c r="AJ1896" s="34">
        <f t="shared" si="517"/>
        <v>-3.1530378794051028</v>
      </c>
      <c r="AK1896" s="34">
        <f t="shared" si="525"/>
        <v>-3.7402063153317204</v>
      </c>
      <c r="AL1896" s="34">
        <f t="shared" si="519"/>
        <v>-3.7402063153317204</v>
      </c>
      <c r="AM1896" s="34">
        <v>-3.6524400000000004</v>
      </c>
      <c r="AN1896" s="244">
        <v>-3.8</v>
      </c>
      <c r="AO1896" s="417"/>
      <c r="AP1896" s="417">
        <v>10.45</v>
      </c>
      <c r="AQ1896" s="244" t="s">
        <v>6311</v>
      </c>
      <c r="AR1896" s="244" t="s">
        <v>6311</v>
      </c>
      <c r="AS1896" s="241" t="s">
        <v>72</v>
      </c>
      <c r="AT1896" s="39" t="s">
        <v>266</v>
      </c>
      <c r="AU1896" s="37">
        <v>0</v>
      </c>
      <c r="AV1896" s="37">
        <v>48</v>
      </c>
      <c r="AW1896" s="37">
        <v>48</v>
      </c>
      <c r="AX1896" s="37">
        <v>26</v>
      </c>
      <c r="AY1896" s="37" t="s">
        <v>8722</v>
      </c>
      <c r="AZ1896" s="37" t="s">
        <v>536</v>
      </c>
      <c r="BA1896" s="37">
        <v>20</v>
      </c>
      <c r="BB1896" s="36" t="s">
        <v>537</v>
      </c>
      <c r="BC1896" s="36" t="s">
        <v>648</v>
      </c>
      <c r="BD1896" s="36"/>
      <c r="BE1896" s="245" t="s">
        <v>649</v>
      </c>
      <c r="BF1896" s="37" t="s">
        <v>539</v>
      </c>
      <c r="BG1896" s="37" t="s">
        <v>272</v>
      </c>
      <c r="BH1896" s="37" t="s">
        <v>272</v>
      </c>
      <c r="BI1896" s="250">
        <v>49</v>
      </c>
      <c r="BJ1896" s="250">
        <v>140</v>
      </c>
      <c r="BK1896" s="37"/>
      <c r="BL1896" s="263">
        <v>373.4613409891935</v>
      </c>
      <c r="BM1896" s="37" t="s">
        <v>541</v>
      </c>
      <c r="BN1896" s="37"/>
      <c r="BO1896" s="37">
        <v>110.43955</v>
      </c>
      <c r="BP1896" s="37"/>
      <c r="BQ1896" s="37"/>
      <c r="BR1896" s="37"/>
      <c r="BS1896" s="37"/>
      <c r="BT1896" s="37"/>
      <c r="BU1896" s="246"/>
      <c r="BV1896" s="37"/>
      <c r="BW1896" s="37"/>
      <c r="BX1896" s="37"/>
      <c r="BY1896" s="37"/>
      <c r="BZ1896" s="37"/>
      <c r="CA1896" s="37"/>
      <c r="CB1896" s="37"/>
      <c r="CC1896" s="37"/>
      <c r="CD1896" s="37"/>
      <c r="CE1896" s="37"/>
      <c r="CF1896" s="37"/>
      <c r="CG1896" s="37"/>
      <c r="CH1896" s="37"/>
      <c r="CI1896" s="243">
        <v>110.43955</v>
      </c>
      <c r="CJ1896" s="243">
        <f t="shared" si="526"/>
        <v>2.0431246283826998</v>
      </c>
      <c r="CK1896" s="38">
        <f t="shared" si="521"/>
        <v>2.6675810070656678</v>
      </c>
      <c r="CL1896" s="247">
        <f t="shared" si="522"/>
        <v>3.3815905713957863</v>
      </c>
      <c r="CM1896" s="247"/>
      <c r="CN1896" s="247"/>
      <c r="CO1896" s="36"/>
      <c r="CP1896" s="496" t="s">
        <v>772</v>
      </c>
      <c r="CQ1896" s="241" t="s">
        <v>272</v>
      </c>
      <c r="CR1896" s="241"/>
      <c r="CS1896" s="33"/>
      <c r="CT1896" s="33"/>
      <c r="CU1896" s="250">
        <f t="shared" si="523"/>
        <v>9054.7272240786915</v>
      </c>
      <c r="CV1896" s="337">
        <f t="shared" si="524"/>
        <v>7142.8571428571422</v>
      </c>
      <c r="CW1896" s="330">
        <f t="shared" si="527"/>
        <v>1</v>
      </c>
      <c r="CX1896" s="330"/>
      <c r="CY1896" s="143" t="s">
        <v>6351</v>
      </c>
    </row>
    <row r="1897" spans="1:103" ht="11.25" customHeight="1" x14ac:dyDescent="0.2">
      <c r="A1897" s="72">
        <v>1746</v>
      </c>
      <c r="B1897" s="241">
        <v>148</v>
      </c>
      <c r="C1897" s="32" t="s">
        <v>7667</v>
      </c>
      <c r="D1897" s="32" t="s">
        <v>8587</v>
      </c>
      <c r="E1897" s="40"/>
      <c r="F1897" s="40" t="s">
        <v>814</v>
      </c>
      <c r="G1897" s="242">
        <v>110918</v>
      </c>
      <c r="H1897" s="36" t="s">
        <v>815</v>
      </c>
      <c r="I1897" s="36" t="s">
        <v>815</v>
      </c>
      <c r="J1897" s="36" t="s">
        <v>816</v>
      </c>
      <c r="K1897" s="36" t="s">
        <v>300</v>
      </c>
      <c r="L1897" s="36"/>
      <c r="M1897" s="36" t="s">
        <v>2342</v>
      </c>
      <c r="N1897" s="36" t="s">
        <v>2342</v>
      </c>
      <c r="O1897" s="36"/>
      <c r="P1897" s="41" t="s">
        <v>8537</v>
      </c>
      <c r="Q1897" s="41" t="s">
        <v>6173</v>
      </c>
      <c r="R1897" s="41" t="s">
        <v>6183</v>
      </c>
      <c r="S1897" s="41" t="s">
        <v>6173</v>
      </c>
      <c r="T1897" s="37">
        <v>87.12</v>
      </c>
      <c r="U1897" s="243">
        <v>1000000</v>
      </c>
      <c r="V1897" s="243">
        <v>1000000</v>
      </c>
      <c r="W1897" s="243">
        <v>891492.85487499321</v>
      </c>
      <c r="X1897" s="243">
        <v>1000000</v>
      </c>
      <c r="Y1897" s="414">
        <v>11.99</v>
      </c>
      <c r="Z1897" s="37">
        <v>-0.56000000000000005</v>
      </c>
      <c r="AA1897" s="37">
        <v>-0.86</v>
      </c>
      <c r="AB1897" s="37">
        <v>-0.42</v>
      </c>
      <c r="AC1897" s="37">
        <v>0.878</v>
      </c>
      <c r="AD1897" s="37">
        <v>-0.57999999999999996</v>
      </c>
      <c r="AE1897" s="37">
        <v>-1.08</v>
      </c>
      <c r="AF1897" s="37">
        <f t="shared" si="520"/>
        <v>-0.86</v>
      </c>
      <c r="AG1897" s="38">
        <v>-0.23</v>
      </c>
      <c r="AH1897" s="243">
        <v>1.14E-7</v>
      </c>
      <c r="AI1897" s="243">
        <v>1.1599999999999999E-6</v>
      </c>
      <c r="AJ1897" s="34">
        <f t="shared" si="517"/>
        <v>-5.3316614749761788</v>
      </c>
      <c r="AK1897" s="34">
        <f t="shared" si="525"/>
        <v>-4.3241083370857334</v>
      </c>
      <c r="AL1897" s="34">
        <f t="shared" si="519"/>
        <v>-4.3241083370857334</v>
      </c>
      <c r="AM1897" s="34">
        <v>-5.1810700000000001</v>
      </c>
      <c r="AN1897" s="244">
        <v>-4.8</v>
      </c>
      <c r="AO1897" s="417"/>
      <c r="AP1897" s="417">
        <v>8.9700000000000006</v>
      </c>
      <c r="AQ1897" s="244" t="s">
        <v>6311</v>
      </c>
      <c r="AR1897" s="244" t="s">
        <v>6311</v>
      </c>
      <c r="AS1897" s="241" t="s">
        <v>85</v>
      </c>
      <c r="AT1897" s="39" t="s">
        <v>266</v>
      </c>
      <c r="AU1897" s="37">
        <v>0</v>
      </c>
      <c r="AV1897" s="37">
        <v>48</v>
      </c>
      <c r="AW1897" s="37">
        <v>48</v>
      </c>
      <c r="AX1897" s="37">
        <v>26</v>
      </c>
      <c r="AY1897" s="37" t="s">
        <v>8722</v>
      </c>
      <c r="AZ1897" s="37" t="s">
        <v>536</v>
      </c>
      <c r="BA1897" s="37">
        <v>20</v>
      </c>
      <c r="BB1897" s="36" t="s">
        <v>537</v>
      </c>
      <c r="BC1897" s="36" t="s">
        <v>648</v>
      </c>
      <c r="BD1897" s="36"/>
      <c r="BE1897" s="245" t="s">
        <v>649</v>
      </c>
      <c r="BF1897" s="37" t="s">
        <v>539</v>
      </c>
      <c r="BG1897" s="37" t="s">
        <v>272</v>
      </c>
      <c r="BH1897" s="37" t="s">
        <v>272</v>
      </c>
      <c r="BI1897" s="250">
        <v>249.99999999999997</v>
      </c>
      <c r="BJ1897" s="250">
        <v>1638.4</v>
      </c>
      <c r="BK1897" s="37"/>
      <c r="BL1897" s="263">
        <v>14251.279797984631</v>
      </c>
      <c r="BM1897" s="37" t="s">
        <v>541</v>
      </c>
      <c r="BN1897" s="37"/>
      <c r="BO1897" s="37">
        <v>601.21512000000007</v>
      </c>
      <c r="BP1897" s="37"/>
      <c r="BQ1897" s="37"/>
      <c r="BR1897" s="37"/>
      <c r="BS1897" s="37"/>
      <c r="BT1897" s="37"/>
      <c r="BU1897" s="246"/>
      <c r="BV1897" s="37"/>
      <c r="BW1897" s="37"/>
      <c r="BX1897" s="37"/>
      <c r="BY1897" s="37"/>
      <c r="BZ1897" s="37"/>
      <c r="CA1897" s="37"/>
      <c r="CB1897" s="37"/>
      <c r="CC1897" s="37"/>
      <c r="CD1897" s="37"/>
      <c r="CE1897" s="37"/>
      <c r="CF1897" s="37"/>
      <c r="CG1897" s="37"/>
      <c r="CH1897" s="37"/>
      <c r="CI1897" s="243">
        <v>601.21512000000007</v>
      </c>
      <c r="CJ1897" s="243">
        <f t="shared" si="526"/>
        <v>2.7790298941537173</v>
      </c>
      <c r="CK1897" s="38">
        <f t="shared" si="521"/>
        <v>8.6982908923246036</v>
      </c>
      <c r="CL1897" s="247">
        <f t="shared" si="522"/>
        <v>23.704127397834952</v>
      </c>
      <c r="CM1897" s="247"/>
      <c r="CN1897" s="247"/>
      <c r="CO1897" s="36"/>
      <c r="CP1897" s="496" t="s">
        <v>772</v>
      </c>
      <c r="CQ1897" s="241">
        <v>2.4597080486901306</v>
      </c>
      <c r="CR1897" s="241">
        <f>10^(CJ1897-CQ1897)</f>
        <v>2.0860362229811207</v>
      </c>
      <c r="CS1897" s="33"/>
      <c r="CT1897" s="33"/>
      <c r="CU1897" s="250">
        <f t="shared" si="523"/>
        <v>1663.2981552426691</v>
      </c>
      <c r="CV1897" s="337">
        <f t="shared" si="524"/>
        <v>610.3515625</v>
      </c>
      <c r="CW1897" s="330">
        <f t="shared" si="527"/>
        <v>1</v>
      </c>
      <c r="CX1897" s="330"/>
      <c r="CY1897" s="143" t="s">
        <v>6351</v>
      </c>
    </row>
    <row r="1898" spans="1:103" ht="11.25" customHeight="1" x14ac:dyDescent="0.2">
      <c r="A1898" s="72">
        <v>1747</v>
      </c>
      <c r="B1898" s="241">
        <v>156</v>
      </c>
      <c r="C1898" s="32" t="s">
        <v>7668</v>
      </c>
      <c r="D1898" s="32"/>
      <c r="E1898" s="40"/>
      <c r="F1898" s="40" t="s">
        <v>839</v>
      </c>
      <c r="G1898" s="242">
        <v>110963</v>
      </c>
      <c r="H1898" s="36" t="s">
        <v>840</v>
      </c>
      <c r="I1898" s="36" t="s">
        <v>840</v>
      </c>
      <c r="J1898" s="36" t="s">
        <v>841</v>
      </c>
      <c r="K1898" s="36" t="s">
        <v>300</v>
      </c>
      <c r="L1898" s="36"/>
      <c r="M1898" s="36"/>
      <c r="N1898" s="36"/>
      <c r="O1898" s="36"/>
      <c r="P1898" s="41"/>
      <c r="Q1898" s="41"/>
      <c r="R1898" s="41"/>
      <c r="S1898" s="41"/>
      <c r="T1898" s="37">
        <v>129.24</v>
      </c>
      <c r="U1898" s="243">
        <v>2200</v>
      </c>
      <c r="V1898" s="243">
        <v>5383</v>
      </c>
      <c r="W1898" s="243">
        <v>8154.4927200620168</v>
      </c>
      <c r="X1898" s="243">
        <v>2200</v>
      </c>
      <c r="Y1898" s="414">
        <v>11.91</v>
      </c>
      <c r="Z1898" s="37">
        <v>2.63</v>
      </c>
      <c r="AA1898" s="37"/>
      <c r="AB1898" s="37">
        <v>2.39</v>
      </c>
      <c r="AC1898" s="37">
        <v>0.76929999999999998</v>
      </c>
      <c r="AD1898" s="37">
        <v>2.39</v>
      </c>
      <c r="AE1898" s="37">
        <v>2.39</v>
      </c>
      <c r="AF1898" s="37">
        <f t="shared" si="520"/>
        <v>2.39</v>
      </c>
      <c r="AG1898" s="38">
        <v>2.02</v>
      </c>
      <c r="AH1898" s="243">
        <v>9.1100000000000005E-5</v>
      </c>
      <c r="AI1898" s="243">
        <v>5.62E-4</v>
      </c>
      <c r="AJ1898" s="34">
        <f t="shared" si="517"/>
        <v>-2.4290479493396537</v>
      </c>
      <c r="AK1898" s="34">
        <f t="shared" si="525"/>
        <v>-1.6388300107435907</v>
      </c>
      <c r="AL1898" s="34">
        <f t="shared" si="519"/>
        <v>-1.6388300107435907</v>
      </c>
      <c r="AM1898" s="34">
        <v>-3.8115600000000005</v>
      </c>
      <c r="AN1898" s="244">
        <v>-2.2999999999999998</v>
      </c>
      <c r="AO1898" s="417"/>
      <c r="AP1898" s="417">
        <v>11.07</v>
      </c>
      <c r="AQ1898" s="244" t="s">
        <v>6311</v>
      </c>
      <c r="AR1898" s="244" t="s">
        <v>6311</v>
      </c>
      <c r="AS1898" s="241" t="s">
        <v>72</v>
      </c>
      <c r="AT1898" s="39" t="s">
        <v>266</v>
      </c>
      <c r="AU1898" s="37">
        <v>0</v>
      </c>
      <c r="AV1898" s="37">
        <v>48</v>
      </c>
      <c r="AW1898" s="37">
        <v>48</v>
      </c>
      <c r="AX1898" s="37">
        <v>26</v>
      </c>
      <c r="AY1898" s="37" t="s">
        <v>8722</v>
      </c>
      <c r="AZ1898" s="37" t="s">
        <v>536</v>
      </c>
      <c r="BA1898" s="37">
        <v>20</v>
      </c>
      <c r="BB1898" s="36" t="s">
        <v>537</v>
      </c>
      <c r="BC1898" s="36" t="s">
        <v>648</v>
      </c>
      <c r="BD1898" s="36"/>
      <c r="BE1898" s="245" t="s">
        <v>649</v>
      </c>
      <c r="BF1898" s="37" t="s">
        <v>539</v>
      </c>
      <c r="BG1898" s="37" t="s">
        <v>272</v>
      </c>
      <c r="BH1898" s="37" t="s">
        <v>272</v>
      </c>
      <c r="BI1898" s="250">
        <v>34.997292069632493</v>
      </c>
      <c r="BJ1898" s="250">
        <v>99.992263056092838</v>
      </c>
      <c r="BK1898" s="37"/>
      <c r="BL1898" s="263">
        <v>28.853197556018657</v>
      </c>
      <c r="BM1898" s="37" t="s">
        <v>541</v>
      </c>
      <c r="BN1898" s="37"/>
      <c r="BO1898" s="37">
        <v>47.172600000000003</v>
      </c>
      <c r="BP1898" s="37"/>
      <c r="BQ1898" s="37"/>
      <c r="BR1898" s="37"/>
      <c r="BS1898" s="37"/>
      <c r="BT1898" s="37"/>
      <c r="BU1898" s="246"/>
      <c r="BV1898" s="37"/>
      <c r="BW1898" s="37"/>
      <c r="BX1898" s="37"/>
      <c r="BY1898" s="37"/>
      <c r="BZ1898" s="37"/>
      <c r="CA1898" s="37"/>
      <c r="CB1898" s="37"/>
      <c r="CC1898" s="37"/>
      <c r="CD1898" s="37"/>
      <c r="CE1898" s="37"/>
      <c r="CF1898" s="37"/>
      <c r="CG1898" s="37"/>
      <c r="CH1898" s="37"/>
      <c r="CI1898" s="243">
        <v>47.172600000000003</v>
      </c>
      <c r="CJ1898" s="243">
        <f t="shared" si="526"/>
        <v>1.673689813802081</v>
      </c>
      <c r="CK1898" s="38">
        <f t="shared" si="521"/>
        <v>0.28855430084458461</v>
      </c>
      <c r="CL1898" s="247">
        <f t="shared" si="522"/>
        <v>0.61165162734338696</v>
      </c>
      <c r="CM1898" s="247"/>
      <c r="CN1898" s="247"/>
      <c r="CO1898" s="36"/>
      <c r="CP1898" s="496" t="s">
        <v>772</v>
      </c>
      <c r="CQ1898" s="241" t="s">
        <v>272</v>
      </c>
      <c r="CR1898" s="241"/>
      <c r="CS1898" s="33"/>
      <c r="CT1898" s="33"/>
      <c r="CU1898" s="250">
        <f t="shared" si="523"/>
        <v>46.637242806205293</v>
      </c>
      <c r="CV1898" s="337">
        <f t="shared" si="524"/>
        <v>22.001702259362428</v>
      </c>
      <c r="CW1898" s="330">
        <f t="shared" si="527"/>
        <v>1</v>
      </c>
      <c r="CX1898" s="330"/>
      <c r="CY1898" s="143" t="s">
        <v>5921</v>
      </c>
    </row>
    <row r="1899" spans="1:103" ht="11.25" customHeight="1" x14ac:dyDescent="0.2">
      <c r="A1899" s="72">
        <v>1748</v>
      </c>
      <c r="B1899" s="241">
        <v>142</v>
      </c>
      <c r="C1899" s="32" t="s">
        <v>7669</v>
      </c>
      <c r="D1899" s="32"/>
      <c r="E1899" s="40"/>
      <c r="F1899" s="40" t="s">
        <v>796</v>
      </c>
      <c r="G1899" s="242">
        <v>111262</v>
      </c>
      <c r="H1899" s="36" t="s">
        <v>797</v>
      </c>
      <c r="I1899" s="36" t="s">
        <v>797</v>
      </c>
      <c r="J1899" s="36" t="s">
        <v>798</v>
      </c>
      <c r="K1899" s="36" t="s">
        <v>300</v>
      </c>
      <c r="L1899" s="36"/>
      <c r="M1899" s="36"/>
      <c r="N1899" s="36"/>
      <c r="O1899" s="36"/>
      <c r="P1899" s="41"/>
      <c r="Q1899" s="41"/>
      <c r="R1899" s="41"/>
      <c r="S1899" s="41"/>
      <c r="T1899" s="37">
        <v>101.19</v>
      </c>
      <c r="U1899" s="243">
        <v>12000</v>
      </c>
      <c r="V1899" s="243">
        <v>20570</v>
      </c>
      <c r="W1899" s="243">
        <v>12165.713813893601</v>
      </c>
      <c r="X1899" s="243">
        <v>12000</v>
      </c>
      <c r="Y1899" s="414">
        <v>11.87</v>
      </c>
      <c r="Z1899" s="37">
        <v>1.82</v>
      </c>
      <c r="AA1899" s="37">
        <v>2.06</v>
      </c>
      <c r="AB1899" s="37">
        <v>1.82</v>
      </c>
      <c r="AC1899" s="37">
        <v>0.87109999999999999</v>
      </c>
      <c r="AD1899" s="37">
        <v>1.87</v>
      </c>
      <c r="AE1899" s="37">
        <v>1.99</v>
      </c>
      <c r="AF1899" s="37">
        <f t="shared" si="520"/>
        <v>2.06</v>
      </c>
      <c r="AG1899" s="38">
        <v>1.4</v>
      </c>
      <c r="AH1899" s="243">
        <v>3.1199999999999999E-5</v>
      </c>
      <c r="AI1899" s="243">
        <v>2.6800000000000001E-5</v>
      </c>
      <c r="AJ1899" s="34">
        <f t="shared" si="517"/>
        <v>-2.8944117322942091</v>
      </c>
      <c r="AK1899" s="34">
        <f t="shared" si="525"/>
        <v>-2.960431532283863</v>
      </c>
      <c r="AL1899" s="34">
        <f t="shared" si="519"/>
        <v>-2.960431532283863</v>
      </c>
      <c r="AM1899" s="34">
        <v>-4.7277499999999995</v>
      </c>
      <c r="AN1899" s="244">
        <v>-2.92</v>
      </c>
      <c r="AO1899" s="417"/>
      <c r="AP1899" s="417">
        <v>10.69</v>
      </c>
      <c r="AQ1899" s="244" t="s">
        <v>6311</v>
      </c>
      <c r="AR1899" s="244" t="s">
        <v>6311</v>
      </c>
      <c r="AS1899" s="241" t="s">
        <v>72</v>
      </c>
      <c r="AT1899" s="39" t="s">
        <v>266</v>
      </c>
      <c r="AU1899" s="37">
        <v>0</v>
      </c>
      <c r="AV1899" s="37">
        <v>48</v>
      </c>
      <c r="AW1899" s="37">
        <v>48</v>
      </c>
      <c r="AX1899" s="37">
        <v>26</v>
      </c>
      <c r="AY1899" s="37" t="s">
        <v>8722</v>
      </c>
      <c r="AZ1899" s="37" t="s">
        <v>536</v>
      </c>
      <c r="BA1899" s="37">
        <v>20</v>
      </c>
      <c r="BB1899" s="36" t="s">
        <v>537</v>
      </c>
      <c r="BC1899" s="36" t="s">
        <v>648</v>
      </c>
      <c r="BD1899" s="36"/>
      <c r="BE1899" s="245" t="s">
        <v>649</v>
      </c>
      <c r="BF1899" s="37" t="s">
        <v>539</v>
      </c>
      <c r="BG1899" s="37" t="s">
        <v>272</v>
      </c>
      <c r="BH1899" s="37" t="s">
        <v>272</v>
      </c>
      <c r="BI1899" s="250">
        <v>24.5</v>
      </c>
      <c r="BJ1899" s="250">
        <v>70</v>
      </c>
      <c r="BK1899" s="37"/>
      <c r="BL1899" s="263">
        <v>120.61340995439251</v>
      </c>
      <c r="BM1899" s="37" t="s">
        <v>541</v>
      </c>
      <c r="BN1899" s="37"/>
      <c r="BO1899" s="37">
        <v>42.297419999999995</v>
      </c>
      <c r="BP1899" s="37"/>
      <c r="BQ1899" s="37"/>
      <c r="BR1899" s="37"/>
      <c r="BS1899" s="37"/>
      <c r="BT1899" s="37"/>
      <c r="BU1899" s="246"/>
      <c r="BV1899" s="37"/>
      <c r="BW1899" s="37"/>
      <c r="BX1899" s="37"/>
      <c r="BY1899" s="37"/>
      <c r="BZ1899" s="37"/>
      <c r="CA1899" s="37"/>
      <c r="CB1899" s="37"/>
      <c r="CC1899" s="37"/>
      <c r="CD1899" s="37"/>
      <c r="CE1899" s="37"/>
      <c r="CF1899" s="37"/>
      <c r="CG1899" s="37"/>
      <c r="CH1899" s="37"/>
      <c r="CI1899" s="243">
        <v>42.297419999999995</v>
      </c>
      <c r="CJ1899" s="243">
        <f t="shared" si="526"/>
        <v>1.626313877683899</v>
      </c>
      <c r="CK1899" s="38">
        <f t="shared" si="521"/>
        <v>1.7230487136341788</v>
      </c>
      <c r="CL1899" s="247">
        <f t="shared" si="522"/>
        <v>2.8515547746030969</v>
      </c>
      <c r="CM1899" s="247"/>
      <c r="CN1899" s="247"/>
      <c r="CO1899" s="36"/>
      <c r="CP1899" s="496" t="s">
        <v>772</v>
      </c>
      <c r="CQ1899" s="241">
        <v>1.7539643487916714</v>
      </c>
      <c r="CR1899" s="241">
        <f>10^(CJ1899-CQ1899)</f>
        <v>0.74533159036504837</v>
      </c>
      <c r="CS1899" s="33"/>
      <c r="CT1899" s="33"/>
      <c r="CU1899" s="250">
        <f t="shared" si="523"/>
        <v>283.70524727040095</v>
      </c>
      <c r="CV1899" s="337">
        <f t="shared" si="524"/>
        <v>171.42857142857142</v>
      </c>
      <c r="CW1899" s="330">
        <f t="shared" si="527"/>
        <v>1</v>
      </c>
      <c r="CX1899" s="330"/>
      <c r="CY1899" s="143" t="s">
        <v>5921</v>
      </c>
    </row>
    <row r="1900" spans="1:103" ht="11.25" customHeight="1" x14ac:dyDescent="0.2">
      <c r="A1900" s="72">
        <v>1750</v>
      </c>
      <c r="B1900" s="241">
        <v>152</v>
      </c>
      <c r="C1900" s="32" t="s">
        <v>7671</v>
      </c>
      <c r="D1900" s="32"/>
      <c r="E1900" s="40"/>
      <c r="F1900" s="40" t="s">
        <v>826</v>
      </c>
      <c r="G1900" s="242">
        <v>111499</v>
      </c>
      <c r="H1900" s="36" t="s">
        <v>827</v>
      </c>
      <c r="I1900" s="36" t="s">
        <v>827</v>
      </c>
      <c r="J1900" s="36" t="s">
        <v>828</v>
      </c>
      <c r="K1900" s="36" t="s">
        <v>300</v>
      </c>
      <c r="L1900" s="36"/>
      <c r="M1900" s="36"/>
      <c r="N1900" s="36"/>
      <c r="O1900" s="36"/>
      <c r="P1900" s="41"/>
      <c r="Q1900" s="41"/>
      <c r="R1900" s="41"/>
      <c r="S1900" s="41"/>
      <c r="T1900" s="37">
        <v>99.17</v>
      </c>
      <c r="U1900" s="243">
        <v>170000</v>
      </c>
      <c r="V1900" s="243">
        <v>44080</v>
      </c>
      <c r="W1900" s="243">
        <v>42303.890879553946</v>
      </c>
      <c r="X1900" s="243">
        <v>170000</v>
      </c>
      <c r="Y1900" s="414">
        <v>12.42</v>
      </c>
      <c r="Z1900" s="37">
        <v>1.68</v>
      </c>
      <c r="AA1900" s="37"/>
      <c r="AB1900" s="37">
        <v>1.1299999999999999</v>
      </c>
      <c r="AC1900" s="37">
        <v>0.78710000000000002</v>
      </c>
      <c r="AD1900" s="37">
        <v>1.25</v>
      </c>
      <c r="AE1900" s="37">
        <v>1.5</v>
      </c>
      <c r="AF1900" s="37">
        <f t="shared" si="520"/>
        <v>1.25</v>
      </c>
      <c r="AG1900" s="38">
        <v>1.04</v>
      </c>
      <c r="AH1900" s="243">
        <v>2.2799999999999999E-5</v>
      </c>
      <c r="AI1900" s="243">
        <v>6.1399999999999997E-6</v>
      </c>
      <c r="AJ1900" s="34">
        <f t="shared" si="517"/>
        <v>-3.030631479312198</v>
      </c>
      <c r="AK1900" s="34">
        <f t="shared" si="525"/>
        <v>-3.6003979551714842</v>
      </c>
      <c r="AL1900" s="34">
        <f t="shared" si="519"/>
        <v>-3.6003979551714842</v>
      </c>
      <c r="AM1900" s="34">
        <v>-3.78424</v>
      </c>
      <c r="AN1900" s="244">
        <v>-3.75</v>
      </c>
      <c r="AO1900" s="417"/>
      <c r="AP1900" s="417">
        <v>11.24</v>
      </c>
      <c r="AQ1900" s="244" t="s">
        <v>6311</v>
      </c>
      <c r="AR1900" s="244" t="s">
        <v>6311</v>
      </c>
      <c r="AS1900" s="241" t="s">
        <v>81</v>
      </c>
      <c r="AT1900" s="39" t="s">
        <v>266</v>
      </c>
      <c r="AU1900" s="37">
        <v>0</v>
      </c>
      <c r="AV1900" s="37">
        <v>48</v>
      </c>
      <c r="AW1900" s="37">
        <v>48</v>
      </c>
      <c r="AX1900" s="37">
        <v>26</v>
      </c>
      <c r="AY1900" s="37" t="s">
        <v>8722</v>
      </c>
      <c r="AZ1900" s="37" t="s">
        <v>536</v>
      </c>
      <c r="BA1900" s="37">
        <v>20</v>
      </c>
      <c r="BB1900" s="36" t="s">
        <v>537</v>
      </c>
      <c r="BC1900" s="36" t="s">
        <v>648</v>
      </c>
      <c r="BD1900" s="36"/>
      <c r="BE1900" s="245" t="s">
        <v>649</v>
      </c>
      <c r="BF1900" s="37" t="s">
        <v>539</v>
      </c>
      <c r="BG1900" s="37" t="s">
        <v>272</v>
      </c>
      <c r="BH1900" s="37" t="s">
        <v>272</v>
      </c>
      <c r="BI1900" s="250">
        <v>52.494706594071381</v>
      </c>
      <c r="BJ1900" s="250">
        <v>149.98487598306107</v>
      </c>
      <c r="BK1900" s="37"/>
      <c r="BL1900" s="263">
        <v>157.89643087513187</v>
      </c>
      <c r="BM1900" s="37" t="s">
        <v>541</v>
      </c>
      <c r="BN1900" s="37"/>
      <c r="BO1900" s="37">
        <v>115.33471</v>
      </c>
      <c r="BP1900" s="37"/>
      <c r="BQ1900" s="37"/>
      <c r="BR1900" s="37"/>
      <c r="BS1900" s="37"/>
      <c r="BT1900" s="37"/>
      <c r="BU1900" s="246"/>
      <c r="BV1900" s="37"/>
      <c r="BW1900" s="37"/>
      <c r="BX1900" s="37"/>
      <c r="BY1900" s="37"/>
      <c r="BZ1900" s="37"/>
      <c r="CA1900" s="37"/>
      <c r="CB1900" s="37"/>
      <c r="CC1900" s="37"/>
      <c r="CD1900" s="37"/>
      <c r="CE1900" s="37"/>
      <c r="CF1900" s="37"/>
      <c r="CG1900" s="37"/>
      <c r="CH1900" s="37"/>
      <c r="CI1900" s="243">
        <v>115.33471</v>
      </c>
      <c r="CJ1900" s="243">
        <f t="shared" si="526"/>
        <v>2.0619600279618586</v>
      </c>
      <c r="CK1900" s="38">
        <f t="shared" si="521"/>
        <v>1.0527490177940628</v>
      </c>
      <c r="CL1900" s="247">
        <f t="shared" si="522"/>
        <v>1.369027857053023</v>
      </c>
      <c r="CM1900" s="247"/>
      <c r="CN1900" s="247"/>
      <c r="CO1900" s="36"/>
      <c r="CP1900" s="496" t="s">
        <v>772</v>
      </c>
      <c r="CQ1900" s="241" t="s">
        <v>272</v>
      </c>
      <c r="CR1900" s="241"/>
      <c r="CS1900" s="33"/>
      <c r="CT1900" s="33"/>
      <c r="CU1900" s="250">
        <f t="shared" si="523"/>
        <v>1473.9708453769035</v>
      </c>
      <c r="CV1900" s="337">
        <f t="shared" si="524"/>
        <v>1133.4476152062118</v>
      </c>
      <c r="CW1900" s="330">
        <f t="shared" si="527"/>
        <v>1</v>
      </c>
      <c r="CX1900" s="330"/>
      <c r="CY1900" s="143" t="s">
        <v>6351</v>
      </c>
    </row>
    <row r="1901" spans="1:103" ht="11.25" customHeight="1" x14ac:dyDescent="0.2">
      <c r="A1901" s="72">
        <v>1751</v>
      </c>
      <c r="B1901" s="241">
        <v>143</v>
      </c>
      <c r="C1901" s="32" t="s">
        <v>7672</v>
      </c>
      <c r="D1901" s="32"/>
      <c r="E1901" s="40"/>
      <c r="F1901" s="40" t="s">
        <v>799</v>
      </c>
      <c r="G1901" s="242">
        <v>111682</v>
      </c>
      <c r="H1901" s="36" t="s">
        <v>800</v>
      </c>
      <c r="I1901" s="36" t="s">
        <v>800</v>
      </c>
      <c r="J1901" s="36" t="s">
        <v>801</v>
      </c>
      <c r="K1901" s="36" t="s">
        <v>300</v>
      </c>
      <c r="L1901" s="36"/>
      <c r="M1901" s="36"/>
      <c r="N1901" s="36"/>
      <c r="O1901" s="36"/>
      <c r="P1901" s="41"/>
      <c r="Q1901" s="41"/>
      <c r="R1901" s="41"/>
      <c r="S1901" s="41"/>
      <c r="T1901" s="37">
        <v>115.22</v>
      </c>
      <c r="U1901" s="243"/>
      <c r="V1901" s="243">
        <v>6791</v>
      </c>
      <c r="W1901" s="243">
        <v>5774.6793058534286</v>
      </c>
      <c r="X1901" s="243">
        <v>5774.6793058534286</v>
      </c>
      <c r="Y1901" s="414">
        <v>11.67</v>
      </c>
      <c r="Z1901" s="37">
        <v>2.31</v>
      </c>
      <c r="AA1901" s="37">
        <v>2.57</v>
      </c>
      <c r="AB1901" s="37">
        <v>2.48</v>
      </c>
      <c r="AC1901" s="37">
        <v>0.86770000000000003</v>
      </c>
      <c r="AD1901" s="37">
        <v>2.4900000000000002</v>
      </c>
      <c r="AE1901" s="37">
        <v>2.52</v>
      </c>
      <c r="AF1901" s="37">
        <f t="shared" si="520"/>
        <v>2.57</v>
      </c>
      <c r="AG1901" s="38">
        <v>1.84</v>
      </c>
      <c r="AH1901" s="243">
        <v>4.1499999999999999E-5</v>
      </c>
      <c r="AI1901" s="243"/>
      <c r="AJ1901" s="34">
        <f t="shared" si="517"/>
        <v>-2.770518229600559</v>
      </c>
      <c r="AK1901" s="34"/>
      <c r="AL1901" s="34">
        <f t="shared" si="519"/>
        <v>-2.770518229600559</v>
      </c>
      <c r="AM1901" s="34">
        <v>-4.8595499999999996</v>
      </c>
      <c r="AN1901" s="244">
        <v>-2.79</v>
      </c>
      <c r="AO1901" s="417"/>
      <c r="AP1901" s="417">
        <v>10.69</v>
      </c>
      <c r="AQ1901" s="244" t="s">
        <v>6311</v>
      </c>
      <c r="AR1901" s="244" t="s">
        <v>6311</v>
      </c>
      <c r="AS1901" s="241" t="s">
        <v>72</v>
      </c>
      <c r="AT1901" s="39" t="s">
        <v>266</v>
      </c>
      <c r="AU1901" s="37">
        <v>0</v>
      </c>
      <c r="AV1901" s="37">
        <v>48</v>
      </c>
      <c r="AW1901" s="37">
        <v>48</v>
      </c>
      <c r="AX1901" s="37">
        <v>26</v>
      </c>
      <c r="AY1901" s="37" t="s">
        <v>8722</v>
      </c>
      <c r="AZ1901" s="37" t="s">
        <v>536</v>
      </c>
      <c r="BA1901" s="37">
        <v>20</v>
      </c>
      <c r="BB1901" s="36" t="s">
        <v>537</v>
      </c>
      <c r="BC1901" s="36" t="s">
        <v>648</v>
      </c>
      <c r="BD1901" s="36"/>
      <c r="BE1901" s="245" t="s">
        <v>649</v>
      </c>
      <c r="BF1901" s="37" t="s">
        <v>539</v>
      </c>
      <c r="BG1901" s="37" t="s">
        <v>272</v>
      </c>
      <c r="BH1901" s="37" t="s">
        <v>272</v>
      </c>
      <c r="BI1901" s="250">
        <v>17.5</v>
      </c>
      <c r="BJ1901" s="250">
        <v>50</v>
      </c>
      <c r="BK1901" s="37"/>
      <c r="BL1901" s="263">
        <v>49.855935625410858</v>
      </c>
      <c r="BM1901" s="37" t="s">
        <v>541</v>
      </c>
      <c r="BN1901" s="37"/>
      <c r="BO1901" s="37">
        <v>28.459340000000001</v>
      </c>
      <c r="BP1901" s="37"/>
      <c r="BQ1901" s="37"/>
      <c r="BR1901" s="37"/>
      <c r="BS1901" s="37"/>
      <c r="BT1901" s="37"/>
      <c r="BU1901" s="246"/>
      <c r="BV1901" s="37"/>
      <c r="BW1901" s="37"/>
      <c r="BX1901" s="37"/>
      <c r="BY1901" s="37"/>
      <c r="BZ1901" s="37"/>
      <c r="CA1901" s="37"/>
      <c r="CB1901" s="37"/>
      <c r="CC1901" s="37"/>
      <c r="CD1901" s="37"/>
      <c r="CE1901" s="37"/>
      <c r="CF1901" s="37"/>
      <c r="CG1901" s="37"/>
      <c r="CH1901" s="37"/>
      <c r="CI1901" s="243">
        <v>28.459340000000001</v>
      </c>
      <c r="CJ1901" s="243">
        <f t="shared" si="526"/>
        <v>1.4542248241501736</v>
      </c>
      <c r="CK1901" s="38">
        <f t="shared" si="521"/>
        <v>0.99711871250821715</v>
      </c>
      <c r="CL1901" s="247">
        <f t="shared" si="522"/>
        <v>1.7518303525454511</v>
      </c>
      <c r="CM1901" s="247"/>
      <c r="CN1901" s="247"/>
      <c r="CO1901" s="36"/>
      <c r="CP1901" s="496" t="s">
        <v>772</v>
      </c>
      <c r="CQ1901" s="241">
        <v>1.3404395872134054</v>
      </c>
      <c r="CR1901" s="241">
        <f>10^(CJ1901-CQ1901)</f>
        <v>1.2995267898246889</v>
      </c>
      <c r="CS1901" s="33"/>
      <c r="CT1901" s="33"/>
      <c r="CU1901" s="250">
        <f t="shared" si="523"/>
        <v>202.90981118513037</v>
      </c>
      <c r="CV1901" s="337">
        <f t="shared" si="524"/>
        <v>115.49358611706857</v>
      </c>
      <c r="CW1901" s="330">
        <f t="shared" si="527"/>
        <v>1</v>
      </c>
      <c r="CX1901" s="330"/>
      <c r="CY1901" s="143" t="s">
        <v>5921</v>
      </c>
    </row>
    <row r="1902" spans="1:103" ht="11.25" customHeight="1" x14ac:dyDescent="0.2">
      <c r="A1902" s="72">
        <v>1752</v>
      </c>
      <c r="B1902" s="241">
        <v>144</v>
      </c>
      <c r="C1902" s="32" t="s">
        <v>7673</v>
      </c>
      <c r="D1902" s="32"/>
      <c r="E1902" s="40"/>
      <c r="F1902" s="40" t="s">
        <v>802</v>
      </c>
      <c r="G1902" s="242">
        <v>111864</v>
      </c>
      <c r="H1902" s="36" t="s">
        <v>803</v>
      </c>
      <c r="I1902" s="36" t="s">
        <v>803</v>
      </c>
      <c r="J1902" s="36" t="s">
        <v>804</v>
      </c>
      <c r="K1902" s="36" t="s">
        <v>300</v>
      </c>
      <c r="L1902" s="36"/>
      <c r="M1902" s="36"/>
      <c r="N1902" s="36"/>
      <c r="O1902" s="36"/>
      <c r="P1902" s="41"/>
      <c r="Q1902" s="41"/>
      <c r="R1902" s="41"/>
      <c r="S1902" s="41"/>
      <c r="T1902" s="37">
        <v>129.24</v>
      </c>
      <c r="U1902" s="243">
        <v>200</v>
      </c>
      <c r="V1902" s="243">
        <v>3147</v>
      </c>
      <c r="W1902" s="243">
        <v>2893.3231994857215</v>
      </c>
      <c r="X1902" s="243">
        <v>200</v>
      </c>
      <c r="Y1902" s="414">
        <v>11.52</v>
      </c>
      <c r="Z1902" s="37">
        <v>2.8</v>
      </c>
      <c r="AA1902" s="37">
        <v>2.9</v>
      </c>
      <c r="AB1902" s="37">
        <v>2.76</v>
      </c>
      <c r="AC1902" s="37">
        <v>0.87229999999999996</v>
      </c>
      <c r="AD1902" s="37">
        <v>2.83</v>
      </c>
      <c r="AE1902" s="37">
        <v>3.06</v>
      </c>
      <c r="AF1902" s="37">
        <f t="shared" si="520"/>
        <v>2.9</v>
      </c>
      <c r="AG1902" s="38">
        <v>2.2799999999999998</v>
      </c>
      <c r="AH1902" s="243">
        <v>5.5099999999999998E-5</v>
      </c>
      <c r="AI1902" s="243">
        <v>8.2399999999999997E-4</v>
      </c>
      <c r="AJ1902" s="34">
        <f t="shared" si="517"/>
        <v>-2.6474147274608666</v>
      </c>
      <c r="AK1902" s="34">
        <f>LOG10(AI1902*1000/(0.08206*298.15))</f>
        <v>-1.472639114615536</v>
      </c>
      <c r="AL1902" s="34">
        <f t="shared" si="519"/>
        <v>-1.472639114615536</v>
      </c>
      <c r="AM1902" s="34">
        <v>-4.9578299999999995</v>
      </c>
      <c r="AN1902" s="244">
        <v>-2.65</v>
      </c>
      <c r="AO1902" s="417"/>
      <c r="AP1902" s="417">
        <v>10.75</v>
      </c>
      <c r="AQ1902" s="244" t="s">
        <v>6311</v>
      </c>
      <c r="AR1902" s="244" t="s">
        <v>6311</v>
      </c>
      <c r="AS1902" s="241" t="s">
        <v>72</v>
      </c>
      <c r="AT1902" s="39" t="s">
        <v>266</v>
      </c>
      <c r="AU1902" s="37">
        <v>0</v>
      </c>
      <c r="AV1902" s="37">
        <v>48</v>
      </c>
      <c r="AW1902" s="37">
        <v>48</v>
      </c>
      <c r="AX1902" s="37">
        <v>26</v>
      </c>
      <c r="AY1902" s="37" t="s">
        <v>8722</v>
      </c>
      <c r="AZ1902" s="37" t="s">
        <v>536</v>
      </c>
      <c r="BA1902" s="37">
        <v>20</v>
      </c>
      <c r="BB1902" s="36" t="s">
        <v>537</v>
      </c>
      <c r="BC1902" s="36" t="s">
        <v>648</v>
      </c>
      <c r="BD1902" s="36"/>
      <c r="BE1902" s="245" t="s">
        <v>649</v>
      </c>
      <c r="BF1902" s="37" t="s">
        <v>539</v>
      </c>
      <c r="BG1902" s="37" t="s">
        <v>272</v>
      </c>
      <c r="BH1902" s="37" t="s">
        <v>272</v>
      </c>
      <c r="BI1902" s="250">
        <v>20.998375241779499</v>
      </c>
      <c r="BJ1902" s="250">
        <v>59.99535783365571</v>
      </c>
      <c r="BK1902" s="37"/>
      <c r="BL1902" s="263">
        <v>20.300977475688523</v>
      </c>
      <c r="BM1902" s="37" t="s">
        <v>541</v>
      </c>
      <c r="BN1902" s="37"/>
      <c r="BO1902" s="37">
        <v>25.460280000000004</v>
      </c>
      <c r="BP1902" s="37"/>
      <c r="BQ1902" s="37"/>
      <c r="BR1902" s="37"/>
      <c r="BS1902" s="37"/>
      <c r="BT1902" s="37"/>
      <c r="BU1902" s="246"/>
      <c r="BV1902" s="37"/>
      <c r="BW1902" s="37"/>
      <c r="BX1902" s="37"/>
      <c r="BY1902" s="37"/>
      <c r="BZ1902" s="37"/>
      <c r="CA1902" s="37"/>
      <c r="CB1902" s="37"/>
      <c r="CC1902" s="37"/>
      <c r="CD1902" s="37"/>
      <c r="CE1902" s="37"/>
      <c r="CF1902" s="37"/>
      <c r="CG1902" s="37"/>
      <c r="CH1902" s="37"/>
      <c r="CI1902" s="243">
        <v>25.460280000000004</v>
      </c>
      <c r="CJ1902" s="243">
        <f t="shared" si="526"/>
        <v>1.4058631755071995</v>
      </c>
      <c r="CK1902" s="38">
        <f t="shared" si="521"/>
        <v>0.33837580454100141</v>
      </c>
      <c r="CL1902" s="247">
        <f t="shared" si="522"/>
        <v>0.79735876729118926</v>
      </c>
      <c r="CM1902" s="247"/>
      <c r="CN1902" s="247"/>
      <c r="CO1902" s="36"/>
      <c r="CP1902" s="496" t="s">
        <v>772</v>
      </c>
      <c r="CQ1902" s="241">
        <v>0.71348729344482442</v>
      </c>
      <c r="CR1902" s="241">
        <f>10^(CJ1902-CQ1902)</f>
        <v>4.9246558045727999</v>
      </c>
      <c r="CS1902" s="33"/>
      <c r="CT1902" s="33"/>
      <c r="CU1902" s="250">
        <f t="shared" si="523"/>
        <v>7.8553731537909233</v>
      </c>
      <c r="CV1902" s="337">
        <f t="shared" si="524"/>
        <v>3.3335912514185493</v>
      </c>
      <c r="CW1902" s="330">
        <f t="shared" si="527"/>
        <v>1</v>
      </c>
      <c r="CX1902" s="330"/>
      <c r="CY1902" s="143" t="s">
        <v>6351</v>
      </c>
    </row>
    <row r="1903" spans="1:103" ht="11.25" customHeight="1" x14ac:dyDescent="0.2">
      <c r="A1903" s="72">
        <v>1755</v>
      </c>
      <c r="B1903" s="241">
        <v>157</v>
      </c>
      <c r="C1903" s="32" t="s">
        <v>7674</v>
      </c>
      <c r="D1903" s="32"/>
      <c r="E1903" s="40"/>
      <c r="F1903" s="40" t="s">
        <v>842</v>
      </c>
      <c r="G1903" s="242">
        <v>111922</v>
      </c>
      <c r="H1903" s="36" t="s">
        <v>843</v>
      </c>
      <c r="I1903" s="36" t="s">
        <v>843</v>
      </c>
      <c r="J1903" s="36" t="s">
        <v>844</v>
      </c>
      <c r="K1903" s="36" t="s">
        <v>300</v>
      </c>
      <c r="L1903" s="36"/>
      <c r="M1903" s="36"/>
      <c r="N1903" s="36"/>
      <c r="O1903" s="36"/>
      <c r="P1903" s="41"/>
      <c r="Q1903" s="41"/>
      <c r="R1903" s="41"/>
      <c r="S1903" s="41"/>
      <c r="T1903" s="37">
        <v>129.24</v>
      </c>
      <c r="U1903" s="243">
        <v>3500</v>
      </c>
      <c r="V1903" s="243">
        <v>3610.9999999999995</v>
      </c>
      <c r="W1903" s="243">
        <v>6782.6116162680592</v>
      </c>
      <c r="X1903" s="243">
        <v>3500</v>
      </c>
      <c r="Y1903" s="414">
        <v>11.85</v>
      </c>
      <c r="Z1903" s="37">
        <v>2.77</v>
      </c>
      <c r="AA1903" s="37">
        <v>2.83</v>
      </c>
      <c r="AB1903" s="37">
        <v>2.4900000000000002</v>
      </c>
      <c r="AC1903" s="37">
        <v>0.87190000000000001</v>
      </c>
      <c r="AD1903" s="37">
        <v>2.56</v>
      </c>
      <c r="AE1903" s="37">
        <v>2.76</v>
      </c>
      <c r="AF1903" s="37">
        <f t="shared" si="520"/>
        <v>2.83</v>
      </c>
      <c r="AG1903" s="38">
        <v>2.2000000000000002</v>
      </c>
      <c r="AH1903" s="243">
        <v>9.1100000000000005E-5</v>
      </c>
      <c r="AI1903" s="243">
        <v>8.8999999999999995E-5</v>
      </c>
      <c r="AJ1903" s="34">
        <f t="shared" si="517"/>
        <v>-2.4290479493396537</v>
      </c>
      <c r="AK1903" s="34">
        <f>LOG10(AI1903*1000/(0.08206*298.15))</f>
        <v>-2.4391763196677392</v>
      </c>
      <c r="AL1903" s="34">
        <f t="shared" si="519"/>
        <v>-2.4391763196677392</v>
      </c>
      <c r="AM1903" s="34">
        <v>-3.6856999999999998</v>
      </c>
      <c r="AN1903" s="244">
        <v>-2.2999999999999998</v>
      </c>
      <c r="AO1903" s="417"/>
      <c r="AP1903" s="417">
        <v>11.03</v>
      </c>
      <c r="AQ1903" s="244" t="s">
        <v>6311</v>
      </c>
      <c r="AR1903" s="244" t="s">
        <v>6311</v>
      </c>
      <c r="AS1903" s="241" t="s">
        <v>81</v>
      </c>
      <c r="AT1903" s="39" t="s">
        <v>266</v>
      </c>
      <c r="AU1903" s="37">
        <v>0</v>
      </c>
      <c r="AV1903" s="37">
        <v>48</v>
      </c>
      <c r="AW1903" s="37">
        <v>48</v>
      </c>
      <c r="AX1903" s="37">
        <v>26</v>
      </c>
      <c r="AY1903" s="37" t="s">
        <v>8722</v>
      </c>
      <c r="AZ1903" s="37" t="s">
        <v>536</v>
      </c>
      <c r="BA1903" s="37">
        <v>20</v>
      </c>
      <c r="BB1903" s="36" t="s">
        <v>537</v>
      </c>
      <c r="BC1903" s="36" t="s">
        <v>648</v>
      </c>
      <c r="BD1903" s="36"/>
      <c r="BE1903" s="245" t="s">
        <v>649</v>
      </c>
      <c r="BF1903" s="37" t="s">
        <v>539</v>
      </c>
      <c r="BG1903" s="37" t="s">
        <v>272</v>
      </c>
      <c r="BH1903" s="37" t="s">
        <v>272</v>
      </c>
      <c r="BI1903" s="250">
        <v>27.997833655706</v>
      </c>
      <c r="BJ1903" s="250">
        <v>79.993810444874285</v>
      </c>
      <c r="BK1903" s="37"/>
      <c r="BL1903" s="263">
        <v>21.600308274606149</v>
      </c>
      <c r="BM1903" s="37" t="s">
        <v>541</v>
      </c>
      <c r="BN1903" s="37"/>
      <c r="BO1903" s="37">
        <v>40.452120000000001</v>
      </c>
      <c r="BP1903" s="37"/>
      <c r="BQ1903" s="37"/>
      <c r="BR1903" s="37"/>
      <c r="BS1903" s="37"/>
      <c r="BT1903" s="37"/>
      <c r="BU1903" s="246"/>
      <c r="BV1903" s="37"/>
      <c r="BW1903" s="37"/>
      <c r="BX1903" s="37"/>
      <c r="BY1903" s="37"/>
      <c r="BZ1903" s="37"/>
      <c r="CA1903" s="37"/>
      <c r="CB1903" s="37"/>
      <c r="CC1903" s="37"/>
      <c r="CD1903" s="37"/>
      <c r="CE1903" s="37"/>
      <c r="CF1903" s="37"/>
      <c r="CG1903" s="37"/>
      <c r="CH1903" s="37"/>
      <c r="CI1903" s="243">
        <v>40.452120000000001</v>
      </c>
      <c r="CJ1903" s="243">
        <f t="shared" si="526"/>
        <v>1.606941286892055</v>
      </c>
      <c r="CK1903" s="38">
        <f t="shared" si="521"/>
        <v>0.27002474509564034</v>
      </c>
      <c r="CL1903" s="247">
        <f t="shared" si="522"/>
        <v>0.53397221887520729</v>
      </c>
      <c r="CM1903" s="247"/>
      <c r="CN1903" s="247"/>
      <c r="CO1903" s="36"/>
      <c r="CP1903" s="496" t="s">
        <v>772</v>
      </c>
      <c r="CQ1903" s="241">
        <v>1.1542822067806193</v>
      </c>
      <c r="CR1903" s="241">
        <f>10^(CJ1903-CQ1903)</f>
        <v>2.8356921445296965</v>
      </c>
      <c r="CS1903" s="33"/>
      <c r="CT1903" s="33"/>
      <c r="CU1903" s="250">
        <f t="shared" si="523"/>
        <v>86.522041366435175</v>
      </c>
      <c r="CV1903" s="337">
        <f t="shared" si="524"/>
        <v>43.753385174868455</v>
      </c>
      <c r="CW1903" s="330">
        <f t="shared" si="527"/>
        <v>1</v>
      </c>
      <c r="CX1903" s="330"/>
      <c r="CY1903" s="143" t="s">
        <v>6351</v>
      </c>
    </row>
    <row r="1904" spans="1:103" ht="11.25" customHeight="1" x14ac:dyDescent="0.2">
      <c r="A1904" s="72">
        <v>1757</v>
      </c>
      <c r="B1904" s="241">
        <v>145</v>
      </c>
      <c r="C1904" s="32" t="s">
        <v>7676</v>
      </c>
      <c r="D1904" s="32"/>
      <c r="E1904" s="40"/>
      <c r="F1904" s="40" t="s">
        <v>805</v>
      </c>
      <c r="G1904" s="242">
        <v>112209</v>
      </c>
      <c r="H1904" s="36" t="s">
        <v>806</v>
      </c>
      <c r="I1904" s="36" t="s">
        <v>806</v>
      </c>
      <c r="J1904" s="36" t="s">
        <v>807</v>
      </c>
      <c r="K1904" s="36" t="s">
        <v>300</v>
      </c>
      <c r="L1904" s="36"/>
      <c r="M1904" s="36"/>
      <c r="N1904" s="36"/>
      <c r="O1904" s="36"/>
      <c r="P1904" s="41"/>
      <c r="Q1904" s="41"/>
      <c r="R1904" s="41"/>
      <c r="S1904" s="41"/>
      <c r="T1904" s="37">
        <v>143.27000000000001</v>
      </c>
      <c r="U1904" s="243"/>
      <c r="V1904" s="243">
        <v>1280</v>
      </c>
      <c r="W1904" s="243">
        <v>1432.7</v>
      </c>
      <c r="X1904" s="243">
        <v>1432.7</v>
      </c>
      <c r="Y1904" s="414">
        <v>11.32</v>
      </c>
      <c r="Z1904" s="37">
        <v>3.29</v>
      </c>
      <c r="AA1904" s="37"/>
      <c r="AB1904" s="37">
        <v>3.58</v>
      </c>
      <c r="AC1904" s="37">
        <v>0.86890000000000001</v>
      </c>
      <c r="AD1904" s="37">
        <v>3.58</v>
      </c>
      <c r="AE1904" s="37">
        <v>3.59</v>
      </c>
      <c r="AF1904" s="37">
        <f t="shared" si="520"/>
        <v>3.58</v>
      </c>
      <c r="AG1904" s="38">
        <v>2.72</v>
      </c>
      <c r="AH1904" s="243">
        <v>7.3100000000000001E-5</v>
      </c>
      <c r="AI1904" s="243"/>
      <c r="AJ1904" s="34">
        <f t="shared" si="517"/>
        <v>-2.5246489493547912</v>
      </c>
      <c r="AK1904" s="34"/>
      <c r="AL1904" s="34">
        <f t="shared" si="519"/>
        <v>-2.5246489493547912</v>
      </c>
      <c r="AM1904" s="34">
        <v>-5.0621999999999998</v>
      </c>
      <c r="AN1904" s="244">
        <v>-2.52</v>
      </c>
      <c r="AO1904" s="417"/>
      <c r="AP1904" s="417">
        <v>10.75</v>
      </c>
      <c r="AQ1904" s="244" t="s">
        <v>6311</v>
      </c>
      <c r="AR1904" s="244" t="s">
        <v>6311</v>
      </c>
      <c r="AS1904" s="241" t="s">
        <v>81</v>
      </c>
      <c r="AT1904" s="39" t="s">
        <v>266</v>
      </c>
      <c r="AU1904" s="37">
        <v>0</v>
      </c>
      <c r="AV1904" s="37">
        <v>48</v>
      </c>
      <c r="AW1904" s="37">
        <v>48</v>
      </c>
      <c r="AX1904" s="37">
        <v>26</v>
      </c>
      <c r="AY1904" s="37" t="s">
        <v>8722</v>
      </c>
      <c r="AZ1904" s="37" t="s">
        <v>536</v>
      </c>
      <c r="BA1904" s="37">
        <v>20</v>
      </c>
      <c r="BB1904" s="36" t="s">
        <v>537</v>
      </c>
      <c r="BC1904" s="36" t="s">
        <v>648</v>
      </c>
      <c r="BD1904" s="36"/>
      <c r="BE1904" s="245" t="s">
        <v>649</v>
      </c>
      <c r="BF1904" s="37" t="s">
        <v>539</v>
      </c>
      <c r="BG1904" s="37" t="s">
        <v>272</v>
      </c>
      <c r="BH1904" s="37" t="s">
        <v>272</v>
      </c>
      <c r="BI1904" s="250">
        <v>10.8</v>
      </c>
      <c r="BJ1904" s="250">
        <v>30.800000000000004</v>
      </c>
      <c r="BK1904" s="37"/>
      <c r="BL1904" s="263">
        <v>8.1697028558739184</v>
      </c>
      <c r="BM1904" s="37" t="s">
        <v>541</v>
      </c>
      <c r="BN1904" s="37"/>
      <c r="BO1904" s="37">
        <v>11.461600000000001</v>
      </c>
      <c r="BP1904" s="37"/>
      <c r="BQ1904" s="37"/>
      <c r="BR1904" s="37"/>
      <c r="BS1904" s="37"/>
      <c r="BT1904" s="37"/>
      <c r="BU1904" s="246"/>
      <c r="BV1904" s="37"/>
      <c r="BW1904" s="37"/>
      <c r="BX1904" s="37"/>
      <c r="BY1904" s="37"/>
      <c r="BZ1904" s="37"/>
      <c r="CA1904" s="37"/>
      <c r="CB1904" s="37"/>
      <c r="CC1904" s="37"/>
      <c r="CD1904" s="37"/>
      <c r="CE1904" s="37"/>
      <c r="CF1904" s="37"/>
      <c r="CG1904" s="37"/>
      <c r="CH1904" s="37"/>
      <c r="CI1904" s="243">
        <v>11.461600000000001</v>
      </c>
      <c r="CJ1904" s="243">
        <f t="shared" si="526"/>
        <v>1.0592452478816308</v>
      </c>
      <c r="CK1904" s="38">
        <f t="shared" si="521"/>
        <v>0.26525009272317912</v>
      </c>
      <c r="CL1904" s="247">
        <f t="shared" si="522"/>
        <v>0.71278903956462603</v>
      </c>
      <c r="CM1904" s="247"/>
      <c r="CN1904" s="247"/>
      <c r="CO1904" s="36"/>
      <c r="CP1904" s="496" t="s">
        <v>772</v>
      </c>
      <c r="CQ1904" s="241">
        <v>0.33545674249973018</v>
      </c>
      <c r="CR1904" s="241">
        <f>10^(CJ1904-CQ1904)</f>
        <v>5.294055688767739</v>
      </c>
      <c r="CS1904" s="33"/>
      <c r="CT1904" s="33"/>
      <c r="CU1904" s="250">
        <f t="shared" si="523"/>
        <v>125</v>
      </c>
      <c r="CV1904" s="337">
        <f t="shared" si="524"/>
        <v>46.516233766233761</v>
      </c>
      <c r="CW1904" s="330">
        <f t="shared" si="527"/>
        <v>1</v>
      </c>
      <c r="CX1904" s="330"/>
      <c r="CY1904" s="143" t="s">
        <v>5921</v>
      </c>
    </row>
    <row r="1905" spans="1:103" ht="11.25" customHeight="1" x14ac:dyDescent="0.2">
      <c r="A1905" s="72">
        <v>1765</v>
      </c>
      <c r="B1905" s="241">
        <v>164</v>
      </c>
      <c r="C1905" s="32" t="s">
        <v>7679</v>
      </c>
      <c r="D1905" s="32"/>
      <c r="E1905" s="40"/>
      <c r="F1905" s="40" t="s">
        <v>863</v>
      </c>
      <c r="G1905" s="242">
        <v>121448</v>
      </c>
      <c r="H1905" s="36" t="s">
        <v>864</v>
      </c>
      <c r="I1905" s="36" t="s">
        <v>864</v>
      </c>
      <c r="J1905" s="36" t="s">
        <v>865</v>
      </c>
      <c r="K1905" s="36" t="s">
        <v>300</v>
      </c>
      <c r="L1905" s="36"/>
      <c r="M1905" s="36" t="s">
        <v>866</v>
      </c>
      <c r="N1905" s="36"/>
      <c r="O1905" s="36" t="s">
        <v>498</v>
      </c>
      <c r="P1905" s="41" t="s">
        <v>6183</v>
      </c>
      <c r="Q1905" s="41" t="s">
        <v>6173</v>
      </c>
      <c r="R1905" s="41" t="s">
        <v>6185</v>
      </c>
      <c r="S1905" s="41" t="s">
        <v>6182</v>
      </c>
      <c r="T1905" s="37">
        <v>101.19</v>
      </c>
      <c r="U1905" s="243">
        <v>68600</v>
      </c>
      <c r="V1905" s="243">
        <v>68260</v>
      </c>
      <c r="W1905" s="243">
        <v>30558.891458747996</v>
      </c>
      <c r="X1905" s="243">
        <v>68600</v>
      </c>
      <c r="Y1905" s="414">
        <v>12.04</v>
      </c>
      <c r="Z1905" s="37">
        <v>1.51</v>
      </c>
      <c r="AA1905" s="37">
        <v>1.45</v>
      </c>
      <c r="AB1905" s="37">
        <v>1.68</v>
      </c>
      <c r="AC1905" s="37">
        <v>0.88290000000000002</v>
      </c>
      <c r="AD1905" s="37">
        <v>1.68</v>
      </c>
      <c r="AE1905" s="37">
        <v>1.66</v>
      </c>
      <c r="AF1905" s="37">
        <f t="shared" si="520"/>
        <v>1.45</v>
      </c>
      <c r="AG1905" s="38">
        <v>1.43</v>
      </c>
      <c r="AH1905" s="243">
        <v>8.5400000000000002E-5</v>
      </c>
      <c r="AI1905" s="243">
        <v>1.4899999999999999E-4</v>
      </c>
      <c r="AJ1905" s="34">
        <f t="shared" si="517"/>
        <v>-2.4571084556236467</v>
      </c>
      <c r="AK1905" s="34">
        <f>LOG10(AI1905*1000/(0.08206*298.15))</f>
        <v>-2.215380057900378</v>
      </c>
      <c r="AL1905" s="34">
        <f t="shared" si="519"/>
        <v>-2.215380057900378</v>
      </c>
      <c r="AM1905" s="34">
        <v>-3.1017600000000005</v>
      </c>
      <c r="AN1905" s="244">
        <v>-1.9</v>
      </c>
      <c r="AO1905" s="417"/>
      <c r="AP1905" s="417">
        <v>10.62</v>
      </c>
      <c r="AQ1905" s="244" t="s">
        <v>6311</v>
      </c>
      <c r="AR1905" s="244" t="s">
        <v>6311</v>
      </c>
      <c r="AS1905" s="241" t="s">
        <v>72</v>
      </c>
      <c r="AT1905" s="39" t="s">
        <v>266</v>
      </c>
      <c r="AU1905" s="37">
        <v>0</v>
      </c>
      <c r="AV1905" s="37">
        <v>48</v>
      </c>
      <c r="AW1905" s="37">
        <v>48</v>
      </c>
      <c r="AX1905" s="37">
        <v>26</v>
      </c>
      <c r="AY1905" s="37" t="s">
        <v>8722</v>
      </c>
      <c r="AZ1905" s="37" t="s">
        <v>536</v>
      </c>
      <c r="BA1905" s="37">
        <v>20</v>
      </c>
      <c r="BB1905" s="36" t="s">
        <v>537</v>
      </c>
      <c r="BC1905" s="36" t="s">
        <v>648</v>
      </c>
      <c r="BD1905" s="36"/>
      <c r="BE1905" s="245" t="s">
        <v>649</v>
      </c>
      <c r="BF1905" s="37" t="s">
        <v>539</v>
      </c>
      <c r="BG1905" s="37" t="s">
        <v>272</v>
      </c>
      <c r="BH1905" s="37" t="s">
        <v>272</v>
      </c>
      <c r="BI1905" s="250">
        <v>13.7</v>
      </c>
      <c r="BJ1905" s="250">
        <v>90</v>
      </c>
      <c r="BK1905" s="37"/>
      <c r="BL1905" s="263">
        <v>228.98476892294985</v>
      </c>
      <c r="BM1905" s="37" t="s">
        <v>541</v>
      </c>
      <c r="BN1905" s="37"/>
      <c r="BO1905" s="37">
        <v>60.511619999999994</v>
      </c>
      <c r="BP1905" s="37"/>
      <c r="BQ1905" s="37"/>
      <c r="BR1905" s="37"/>
      <c r="BS1905" s="37"/>
      <c r="BT1905" s="37"/>
      <c r="BU1905" s="246"/>
      <c r="BV1905" s="37"/>
      <c r="BW1905" s="37"/>
      <c r="BX1905" s="37"/>
      <c r="BY1905" s="37"/>
      <c r="BZ1905" s="37"/>
      <c r="CA1905" s="37"/>
      <c r="CB1905" s="37"/>
      <c r="CC1905" s="37"/>
      <c r="CD1905" s="37"/>
      <c r="CE1905" s="37"/>
      <c r="CF1905" s="37"/>
      <c r="CG1905" s="37"/>
      <c r="CH1905" s="37"/>
      <c r="CI1905" s="243">
        <v>60.511619999999994</v>
      </c>
      <c r="CJ1905" s="243">
        <f t="shared" si="526"/>
        <v>1.7818387798972748</v>
      </c>
      <c r="CK1905" s="38">
        <f t="shared" si="521"/>
        <v>2.5442752102549986</v>
      </c>
      <c r="CL1905" s="247">
        <f t="shared" si="522"/>
        <v>3.7841454074928067</v>
      </c>
      <c r="CM1905" s="247"/>
      <c r="CN1905" s="247"/>
      <c r="CO1905" s="36"/>
      <c r="CP1905" s="496" t="s">
        <v>772</v>
      </c>
      <c r="CQ1905" s="241" t="s">
        <v>272</v>
      </c>
      <c r="CR1905" s="241"/>
      <c r="CS1905" s="33"/>
      <c r="CT1905" s="33"/>
      <c r="CU1905" s="250">
        <f t="shared" si="523"/>
        <v>1133.6665585882515</v>
      </c>
      <c r="CV1905" s="337">
        <f t="shared" si="524"/>
        <v>762.22222222222217</v>
      </c>
      <c r="CW1905" s="330">
        <f t="shared" si="527"/>
        <v>1</v>
      </c>
      <c r="CX1905" s="330"/>
      <c r="CY1905" s="143" t="s">
        <v>6351</v>
      </c>
    </row>
    <row r="1906" spans="1:103" ht="11.25" customHeight="1" x14ac:dyDescent="0.2">
      <c r="A1906" s="72">
        <v>1775</v>
      </c>
      <c r="B1906" s="241">
        <v>154</v>
      </c>
      <c r="C1906" s="32" t="s">
        <v>7684</v>
      </c>
      <c r="D1906" s="32"/>
      <c r="E1906" s="40"/>
      <c r="F1906" s="40" t="s">
        <v>832</v>
      </c>
      <c r="G1906" s="242">
        <v>142847</v>
      </c>
      <c r="H1906" s="36" t="s">
        <v>833</v>
      </c>
      <c r="I1906" s="36" t="s">
        <v>833</v>
      </c>
      <c r="J1906" s="36" t="s">
        <v>834</v>
      </c>
      <c r="K1906" s="36" t="s">
        <v>300</v>
      </c>
      <c r="L1906" s="36"/>
      <c r="M1906" s="36"/>
      <c r="N1906" s="36"/>
      <c r="O1906" s="36"/>
      <c r="P1906" s="41"/>
      <c r="Q1906" s="41"/>
      <c r="R1906" s="41"/>
      <c r="S1906" s="41"/>
      <c r="T1906" s="37">
        <v>101.19</v>
      </c>
      <c r="U1906" s="243">
        <v>35100</v>
      </c>
      <c r="V1906" s="243">
        <v>44290</v>
      </c>
      <c r="W1906" s="243">
        <v>28519.216881464999</v>
      </c>
      <c r="X1906" s="243">
        <v>35100</v>
      </c>
      <c r="Y1906" s="414">
        <v>12.19</v>
      </c>
      <c r="Z1906" s="37">
        <v>1.79</v>
      </c>
      <c r="AA1906" s="37">
        <v>1.67</v>
      </c>
      <c r="AB1906" s="37">
        <v>1.73</v>
      </c>
      <c r="AC1906" s="37">
        <v>0.92459999999999998</v>
      </c>
      <c r="AD1906" s="37">
        <v>1.72</v>
      </c>
      <c r="AE1906" s="37">
        <v>1.7</v>
      </c>
      <c r="AF1906" s="37">
        <f t="shared" si="520"/>
        <v>1.67</v>
      </c>
      <c r="AG1906" s="38">
        <v>1.42</v>
      </c>
      <c r="AH1906" s="243">
        <v>5.1700000000000003E-5</v>
      </c>
      <c r="AI1906" s="243">
        <v>5.1E-5</v>
      </c>
      <c r="AJ1906" s="34">
        <f t="shared" si="517"/>
        <v>-2.6750757832187091</v>
      </c>
      <c r="AK1906" s="34">
        <f>LOG10(AI1906*1000/(0.08206*298.15))</f>
        <v>-2.6809961502147157</v>
      </c>
      <c r="AL1906" s="34">
        <f t="shared" si="519"/>
        <v>-2.6809961502147157</v>
      </c>
      <c r="AM1906" s="34">
        <v>-3.3992599999999995</v>
      </c>
      <c r="AN1906" s="244">
        <v>-2.57</v>
      </c>
      <c r="AO1906" s="417"/>
      <c r="AP1906" s="417">
        <v>10.94</v>
      </c>
      <c r="AQ1906" s="244" t="s">
        <v>6311</v>
      </c>
      <c r="AR1906" s="244" t="s">
        <v>6311</v>
      </c>
      <c r="AS1906" s="241" t="s">
        <v>835</v>
      </c>
      <c r="AT1906" s="39" t="s">
        <v>266</v>
      </c>
      <c r="AU1906" s="37">
        <v>0</v>
      </c>
      <c r="AV1906" s="37">
        <v>48</v>
      </c>
      <c r="AW1906" s="37">
        <v>48</v>
      </c>
      <c r="AX1906" s="37">
        <v>26</v>
      </c>
      <c r="AY1906" s="37" t="s">
        <v>8722</v>
      </c>
      <c r="AZ1906" s="37" t="s">
        <v>536</v>
      </c>
      <c r="BA1906" s="37">
        <v>20</v>
      </c>
      <c r="BB1906" s="36" t="s">
        <v>537</v>
      </c>
      <c r="BC1906" s="36" t="s">
        <v>648</v>
      </c>
      <c r="BD1906" s="36"/>
      <c r="BE1906" s="245" t="s">
        <v>649</v>
      </c>
      <c r="BF1906" s="37" t="s">
        <v>539</v>
      </c>
      <c r="BG1906" s="37" t="s">
        <v>272</v>
      </c>
      <c r="BH1906" s="37" t="s">
        <v>272</v>
      </c>
      <c r="BI1906" s="250">
        <v>21</v>
      </c>
      <c r="BJ1906" s="250">
        <v>59.999999999999993</v>
      </c>
      <c r="BK1906" s="37"/>
      <c r="BL1906" s="263">
        <v>128.33307362595212</v>
      </c>
      <c r="BM1906" s="37" t="s">
        <v>541</v>
      </c>
      <c r="BN1906" s="37"/>
      <c r="BO1906" s="37">
        <v>31.166519999999998</v>
      </c>
      <c r="BP1906" s="37"/>
      <c r="BQ1906" s="37"/>
      <c r="BR1906" s="37"/>
      <c r="BS1906" s="37"/>
      <c r="BT1906" s="37"/>
      <c r="BU1906" s="246"/>
      <c r="BV1906" s="37"/>
      <c r="BW1906" s="37"/>
      <c r="BX1906" s="37"/>
      <c r="BY1906" s="37"/>
      <c r="BZ1906" s="37"/>
      <c r="CA1906" s="37"/>
      <c r="CB1906" s="37"/>
      <c r="CC1906" s="37"/>
      <c r="CD1906" s="37"/>
      <c r="CE1906" s="37"/>
      <c r="CF1906" s="37"/>
      <c r="CG1906" s="37"/>
      <c r="CH1906" s="37"/>
      <c r="CI1906" s="243">
        <v>31.166519999999998</v>
      </c>
      <c r="CJ1906" s="243">
        <f t="shared" si="526"/>
        <v>1.4936883124093081</v>
      </c>
      <c r="CK1906" s="38">
        <f t="shared" si="521"/>
        <v>2.1388845604325355</v>
      </c>
      <c r="CL1906" s="247">
        <f t="shared" si="522"/>
        <v>4.1176581031809816</v>
      </c>
      <c r="CM1906" s="247"/>
      <c r="CN1906" s="247"/>
      <c r="CO1906" s="36"/>
      <c r="CP1906" s="496" t="s">
        <v>772</v>
      </c>
      <c r="CQ1906" s="241" t="s">
        <v>272</v>
      </c>
      <c r="CR1906" s="241"/>
      <c r="CS1906" s="33"/>
      <c r="CT1906" s="33"/>
      <c r="CU1906" s="250">
        <f t="shared" si="523"/>
        <v>1126.2085083608949</v>
      </c>
      <c r="CV1906" s="337">
        <f t="shared" si="524"/>
        <v>585.00000000000011</v>
      </c>
      <c r="CW1906" s="330">
        <f t="shared" si="527"/>
        <v>1</v>
      </c>
      <c r="CX1906" s="330"/>
      <c r="CY1906" s="143" t="s">
        <v>6351</v>
      </c>
    </row>
    <row r="1907" spans="1:103" ht="11.25" customHeight="1" x14ac:dyDescent="0.2">
      <c r="A1907" s="72">
        <v>1815</v>
      </c>
      <c r="B1907" s="241">
        <v>160</v>
      </c>
      <c r="C1907" s="32" t="s">
        <v>7705</v>
      </c>
      <c r="D1907" s="32"/>
      <c r="E1907" s="40"/>
      <c r="F1907" s="40" t="s">
        <v>851</v>
      </c>
      <c r="G1907" s="242">
        <v>598561</v>
      </c>
      <c r="H1907" s="36" t="s">
        <v>852</v>
      </c>
      <c r="I1907" s="36" t="s">
        <v>852</v>
      </c>
      <c r="J1907" s="36" t="s">
        <v>853</v>
      </c>
      <c r="K1907" s="36" t="s">
        <v>300</v>
      </c>
      <c r="L1907" s="36"/>
      <c r="M1907" s="36"/>
      <c r="N1907" s="36"/>
      <c r="O1907" s="36"/>
      <c r="P1907" s="41"/>
      <c r="Q1907" s="41"/>
      <c r="R1907" s="41"/>
      <c r="S1907" s="41"/>
      <c r="T1907" s="37">
        <v>73.14</v>
      </c>
      <c r="U1907" s="243"/>
      <c r="V1907" s="243">
        <v>345100</v>
      </c>
      <c r="W1907" s="243">
        <v>130063.35605024683</v>
      </c>
      <c r="X1907" s="243">
        <v>130063.35605024683</v>
      </c>
      <c r="Y1907" s="414">
        <v>12.04</v>
      </c>
      <c r="Z1907" s="37">
        <v>0.53</v>
      </c>
      <c r="AA1907" s="37">
        <v>0.7</v>
      </c>
      <c r="AB1907" s="37">
        <v>0.57999999999999996</v>
      </c>
      <c r="AC1907" s="37">
        <v>0.89590000000000003</v>
      </c>
      <c r="AD1907" s="37">
        <v>0.57999999999999996</v>
      </c>
      <c r="AE1907" s="37">
        <v>0.59</v>
      </c>
      <c r="AF1907" s="37">
        <f t="shared" si="520"/>
        <v>0.7</v>
      </c>
      <c r="AG1907" s="38">
        <v>0.74</v>
      </c>
      <c r="AH1907" s="243">
        <v>4.85E-5</v>
      </c>
      <c r="AI1907" s="243"/>
      <c r="AJ1907" s="34">
        <f t="shared" si="517"/>
        <v>-2.702824587710388</v>
      </c>
      <c r="AK1907" s="34"/>
      <c r="AL1907" s="34">
        <f t="shared" si="519"/>
        <v>-2.702824587710388</v>
      </c>
      <c r="AM1907" s="34">
        <v>-2.8634600000000003</v>
      </c>
      <c r="AN1907" s="244">
        <v>-2.17</v>
      </c>
      <c r="AO1907" s="417"/>
      <c r="AP1907" s="417">
        <v>9.83</v>
      </c>
      <c r="AQ1907" s="244" t="s">
        <v>6311</v>
      </c>
      <c r="AR1907" s="244" t="s">
        <v>6311</v>
      </c>
      <c r="AS1907" s="241" t="s">
        <v>72</v>
      </c>
      <c r="AT1907" s="39" t="s">
        <v>266</v>
      </c>
      <c r="AU1907" s="37">
        <v>0</v>
      </c>
      <c r="AV1907" s="37">
        <v>48</v>
      </c>
      <c r="AW1907" s="37">
        <v>48</v>
      </c>
      <c r="AX1907" s="37">
        <v>26</v>
      </c>
      <c r="AY1907" s="37" t="s">
        <v>8722</v>
      </c>
      <c r="AZ1907" s="37" t="s">
        <v>536</v>
      </c>
      <c r="BA1907" s="37">
        <v>20</v>
      </c>
      <c r="BB1907" s="36" t="s">
        <v>537</v>
      </c>
      <c r="BC1907" s="36" t="s">
        <v>648</v>
      </c>
      <c r="BD1907" s="36"/>
      <c r="BE1907" s="245" t="s">
        <v>649</v>
      </c>
      <c r="BF1907" s="37" t="s">
        <v>539</v>
      </c>
      <c r="BG1907" s="37" t="s">
        <v>272</v>
      </c>
      <c r="BH1907" s="37" t="s">
        <v>272</v>
      </c>
      <c r="BI1907" s="250">
        <v>29.604047586489816</v>
      </c>
      <c r="BJ1907" s="250">
        <v>150.02051141802272</v>
      </c>
      <c r="BK1907" s="37"/>
      <c r="BL1907" s="263">
        <v>1255.9199408635911</v>
      </c>
      <c r="BM1907" s="37" t="s">
        <v>541</v>
      </c>
      <c r="BN1907" s="37"/>
      <c r="BO1907" s="37">
        <v>82.867620000000002</v>
      </c>
      <c r="BP1907" s="37"/>
      <c r="BQ1907" s="37"/>
      <c r="BR1907" s="37"/>
      <c r="BS1907" s="37"/>
      <c r="BT1907" s="37"/>
      <c r="BU1907" s="246"/>
      <c r="BV1907" s="37"/>
      <c r="BW1907" s="37"/>
      <c r="BX1907" s="37"/>
      <c r="BY1907" s="37"/>
      <c r="BZ1907" s="37"/>
      <c r="CA1907" s="37"/>
      <c r="CB1907" s="37"/>
      <c r="CC1907" s="37"/>
      <c r="CD1907" s="37"/>
      <c r="CE1907" s="37"/>
      <c r="CF1907" s="37"/>
      <c r="CG1907" s="37"/>
      <c r="CH1907" s="37"/>
      <c r="CI1907" s="243">
        <v>82.867620000000002</v>
      </c>
      <c r="CJ1907" s="243">
        <f t="shared" si="526"/>
        <v>1.9183848658654228</v>
      </c>
      <c r="CK1907" s="38">
        <f t="shared" si="521"/>
        <v>8.3716548423438528</v>
      </c>
      <c r="CL1907" s="247">
        <f t="shared" si="522"/>
        <v>15.155738041753716</v>
      </c>
      <c r="CM1907" s="247"/>
      <c r="CN1907" s="247"/>
      <c r="CO1907" s="36"/>
      <c r="CP1907" s="496" t="s">
        <v>772</v>
      </c>
      <c r="CQ1907" s="241" t="s">
        <v>272</v>
      </c>
      <c r="CR1907" s="241"/>
      <c r="CS1907" s="33"/>
      <c r="CT1907" s="33"/>
      <c r="CU1907" s="250">
        <f t="shared" si="523"/>
        <v>1569.5316946504174</v>
      </c>
      <c r="CV1907" s="337">
        <f t="shared" si="524"/>
        <v>866.97048837430953</v>
      </c>
      <c r="CW1907" s="330">
        <f t="shared" si="527"/>
        <v>1</v>
      </c>
      <c r="CX1907" s="330"/>
      <c r="CY1907" s="143" t="s">
        <v>6351</v>
      </c>
    </row>
    <row r="1908" spans="1:103" ht="11.25" customHeight="1" x14ac:dyDescent="0.2">
      <c r="A1908" s="72">
        <v>1820</v>
      </c>
      <c r="B1908" s="241">
        <v>161</v>
      </c>
      <c r="C1908" s="32" t="s">
        <v>7710</v>
      </c>
      <c r="D1908" s="32"/>
      <c r="E1908" s="40"/>
      <c r="F1908" s="40" t="s">
        <v>854</v>
      </c>
      <c r="G1908" s="242">
        <v>616397</v>
      </c>
      <c r="H1908" s="36" t="s">
        <v>855</v>
      </c>
      <c r="I1908" s="36" t="s">
        <v>855</v>
      </c>
      <c r="J1908" s="36" t="s">
        <v>856</v>
      </c>
      <c r="K1908" s="36" t="s">
        <v>300</v>
      </c>
      <c r="L1908" s="36"/>
      <c r="M1908" s="36"/>
      <c r="N1908" s="36"/>
      <c r="O1908" s="36"/>
      <c r="P1908" s="41"/>
      <c r="Q1908" s="41"/>
      <c r="R1908" s="41"/>
      <c r="S1908" s="41"/>
      <c r="T1908" s="37">
        <v>87.16</v>
      </c>
      <c r="U1908" s="243">
        <v>1000000.0000000001</v>
      </c>
      <c r="V1908" s="243">
        <v>173000</v>
      </c>
      <c r="W1908" s="243">
        <v>63141.838280136129</v>
      </c>
      <c r="X1908" s="243">
        <v>1000000.0000000001</v>
      </c>
      <c r="Y1908" s="414">
        <v>12.2</v>
      </c>
      <c r="Z1908" s="37">
        <v>1.02</v>
      </c>
      <c r="AA1908" s="37"/>
      <c r="AB1908" s="37">
        <v>1.18</v>
      </c>
      <c r="AC1908" s="37">
        <v>0.87419999999999998</v>
      </c>
      <c r="AD1908" s="37">
        <v>1.1599999999999999</v>
      </c>
      <c r="AE1908" s="37">
        <v>1.1299999999999999</v>
      </c>
      <c r="AF1908" s="37">
        <f t="shared" si="520"/>
        <v>1.1599999999999999</v>
      </c>
      <c r="AG1908" s="38">
        <v>1.1299999999999999</v>
      </c>
      <c r="AH1908" s="243">
        <v>6.4399999999999993E-5</v>
      </c>
      <c r="AI1908" s="243"/>
      <c r="AJ1908" s="34">
        <f t="shared" si="517"/>
        <v>-2.5796804589528399</v>
      </c>
      <c r="AK1908" s="34"/>
      <c r="AL1908" s="34">
        <f t="shared" si="519"/>
        <v>-2.5796804589528399</v>
      </c>
      <c r="AM1908" s="34">
        <v>-2.9699600000000004</v>
      </c>
      <c r="AN1908" s="244">
        <v>-2.04</v>
      </c>
      <c r="AO1908" s="417"/>
      <c r="AP1908" s="417">
        <v>10.55</v>
      </c>
      <c r="AQ1908" s="244" t="s">
        <v>6311</v>
      </c>
      <c r="AR1908" s="244" t="s">
        <v>6311</v>
      </c>
      <c r="AS1908" s="241" t="s">
        <v>81</v>
      </c>
      <c r="AT1908" s="39" t="s">
        <v>266</v>
      </c>
      <c r="AU1908" s="37">
        <v>0</v>
      </c>
      <c r="AV1908" s="37">
        <v>48</v>
      </c>
      <c r="AW1908" s="37">
        <v>48</v>
      </c>
      <c r="AX1908" s="37">
        <v>26</v>
      </c>
      <c r="AY1908" s="37" t="s">
        <v>8722</v>
      </c>
      <c r="AZ1908" s="37" t="s">
        <v>536</v>
      </c>
      <c r="BA1908" s="37">
        <v>20</v>
      </c>
      <c r="BB1908" s="36" t="s">
        <v>537</v>
      </c>
      <c r="BC1908" s="36" t="s">
        <v>648</v>
      </c>
      <c r="BD1908" s="36"/>
      <c r="BE1908" s="245" t="s">
        <v>649</v>
      </c>
      <c r="BF1908" s="37" t="s">
        <v>539</v>
      </c>
      <c r="BG1908" s="37" t="s">
        <v>272</v>
      </c>
      <c r="BH1908" s="37" t="s">
        <v>272</v>
      </c>
      <c r="BI1908" s="250">
        <v>29.603396442914512</v>
      </c>
      <c r="BJ1908" s="250">
        <v>150.01721170395868</v>
      </c>
      <c r="BK1908" s="37"/>
      <c r="BL1908" s="263">
        <v>543.31941145329233</v>
      </c>
      <c r="BM1908" s="37" t="s">
        <v>541</v>
      </c>
      <c r="BN1908" s="37"/>
      <c r="BO1908" s="37">
        <v>69.98948</v>
      </c>
      <c r="BP1908" s="37"/>
      <c r="BQ1908" s="37"/>
      <c r="BR1908" s="37"/>
      <c r="BS1908" s="37"/>
      <c r="BT1908" s="37"/>
      <c r="BU1908" s="246"/>
      <c r="BV1908" s="37"/>
      <c r="BW1908" s="37"/>
      <c r="BX1908" s="37"/>
      <c r="BY1908" s="37"/>
      <c r="BZ1908" s="37"/>
      <c r="CA1908" s="37"/>
      <c r="CB1908" s="37"/>
      <c r="CC1908" s="37"/>
      <c r="CD1908" s="37"/>
      <c r="CE1908" s="37"/>
      <c r="CF1908" s="37"/>
      <c r="CG1908" s="37"/>
      <c r="CH1908" s="37"/>
      <c r="CI1908" s="243">
        <v>69.98948</v>
      </c>
      <c r="CJ1908" s="243">
        <f t="shared" si="526"/>
        <v>1.845032766852899</v>
      </c>
      <c r="CK1908" s="38">
        <f t="shared" si="521"/>
        <v>3.6217138372460171</v>
      </c>
      <c r="CL1908" s="247">
        <f t="shared" si="522"/>
        <v>7.7628725267467669</v>
      </c>
      <c r="CM1908" s="247"/>
      <c r="CN1908" s="247"/>
      <c r="CO1908" s="36"/>
      <c r="CP1908" s="496" t="s">
        <v>772</v>
      </c>
      <c r="CQ1908" s="241" t="s">
        <v>272</v>
      </c>
      <c r="CR1908" s="241"/>
      <c r="CS1908" s="33"/>
      <c r="CT1908" s="33"/>
      <c r="CU1908" s="250">
        <f t="shared" si="523"/>
        <v>14287.861547192522</v>
      </c>
      <c r="CV1908" s="337">
        <f t="shared" si="524"/>
        <v>6665.9017898118418</v>
      </c>
      <c r="CW1908" s="330">
        <f t="shared" si="527"/>
        <v>1</v>
      </c>
      <c r="CX1908" s="330"/>
      <c r="CY1908" s="143" t="s">
        <v>5921</v>
      </c>
    </row>
    <row r="1909" spans="1:103" ht="11.25" customHeight="1" x14ac:dyDescent="0.2">
      <c r="A1909" s="72">
        <v>1825</v>
      </c>
      <c r="B1909" s="241">
        <v>151</v>
      </c>
      <c r="C1909" s="32" t="s">
        <v>7714</v>
      </c>
      <c r="D1909" s="32"/>
      <c r="E1909" s="40"/>
      <c r="F1909" s="40" t="s">
        <v>823</v>
      </c>
      <c r="G1909" s="242">
        <v>626584</v>
      </c>
      <c r="H1909" s="36" t="s">
        <v>824</v>
      </c>
      <c r="I1909" s="36" t="s">
        <v>824</v>
      </c>
      <c r="J1909" s="36" t="s">
        <v>825</v>
      </c>
      <c r="K1909" s="36" t="s">
        <v>300</v>
      </c>
      <c r="L1909" s="36"/>
      <c r="M1909" s="36"/>
      <c r="N1909" s="36"/>
      <c r="O1909" s="36"/>
      <c r="P1909" s="41"/>
      <c r="Q1909" s="41"/>
      <c r="R1909" s="41"/>
      <c r="S1909" s="41"/>
      <c r="T1909" s="37">
        <v>99.17</v>
      </c>
      <c r="U1909" s="243"/>
      <c r="V1909" s="243">
        <v>50929.999999999993</v>
      </c>
      <c r="W1909" s="243">
        <v>38581.607029082807</v>
      </c>
      <c r="X1909" s="243">
        <v>38581.607029082807</v>
      </c>
      <c r="Y1909" s="414">
        <v>12.13</v>
      </c>
      <c r="Z1909" s="37">
        <v>1.61</v>
      </c>
      <c r="AA1909" s="37"/>
      <c r="AB1909" s="37">
        <v>1.4</v>
      </c>
      <c r="AC1909" s="37">
        <v>0.84950000000000003</v>
      </c>
      <c r="AD1909" s="37">
        <v>1.41</v>
      </c>
      <c r="AE1909" s="37">
        <v>1.42</v>
      </c>
      <c r="AF1909" s="37">
        <f t="shared" si="520"/>
        <v>1.41</v>
      </c>
      <c r="AG1909" s="38">
        <v>1.02</v>
      </c>
      <c r="AH1909" s="243">
        <v>2.2799999999999999E-5</v>
      </c>
      <c r="AI1909" s="243"/>
      <c r="AJ1909" s="34">
        <f t="shared" si="517"/>
        <v>-3.030631479312198</v>
      </c>
      <c r="AK1909" s="34"/>
      <c r="AL1909" s="34">
        <f t="shared" si="519"/>
        <v>-3.030631479312198</v>
      </c>
      <c r="AM1909" s="34">
        <v>-3.85859</v>
      </c>
      <c r="AN1909" s="244">
        <v>-3.58</v>
      </c>
      <c r="AO1909" s="417"/>
      <c r="AP1909" s="417">
        <v>10.69</v>
      </c>
      <c r="AQ1909" s="244" t="s">
        <v>6311</v>
      </c>
      <c r="AR1909" s="244" t="s">
        <v>6311</v>
      </c>
      <c r="AS1909" s="241" t="s">
        <v>81</v>
      </c>
      <c r="AT1909" s="39" t="s">
        <v>266</v>
      </c>
      <c r="AU1909" s="37">
        <v>0</v>
      </c>
      <c r="AV1909" s="37">
        <v>48</v>
      </c>
      <c r="AW1909" s="37">
        <v>48</v>
      </c>
      <c r="AX1909" s="37">
        <v>26</v>
      </c>
      <c r="AY1909" s="37" t="s">
        <v>8722</v>
      </c>
      <c r="AZ1909" s="37" t="s">
        <v>536</v>
      </c>
      <c r="BA1909" s="37">
        <v>20</v>
      </c>
      <c r="BB1909" s="36" t="s">
        <v>537</v>
      </c>
      <c r="BC1909" s="36" t="s">
        <v>648</v>
      </c>
      <c r="BD1909" s="36"/>
      <c r="BE1909" s="245" t="s">
        <v>649</v>
      </c>
      <c r="BF1909" s="37" t="s">
        <v>539</v>
      </c>
      <c r="BG1909" s="37" t="s">
        <v>272</v>
      </c>
      <c r="BH1909" s="37" t="s">
        <v>272</v>
      </c>
      <c r="BI1909" s="250">
        <v>41.995765275257106</v>
      </c>
      <c r="BJ1909" s="250">
        <v>119.98790078644888</v>
      </c>
      <c r="BK1909" s="37"/>
      <c r="BL1909" s="263">
        <v>182.49010170948307</v>
      </c>
      <c r="BM1909" s="37" t="s">
        <v>541</v>
      </c>
      <c r="BN1909" s="37"/>
      <c r="BO1909" s="37">
        <v>92.922290000000004</v>
      </c>
      <c r="BP1909" s="37"/>
      <c r="BQ1909" s="37"/>
      <c r="BR1909" s="37"/>
      <c r="BS1909" s="37"/>
      <c r="BT1909" s="37"/>
      <c r="BU1909" s="246"/>
      <c r="BV1909" s="37"/>
      <c r="BW1909" s="37"/>
      <c r="BX1909" s="37"/>
      <c r="BY1909" s="37"/>
      <c r="BZ1909" s="37"/>
      <c r="CA1909" s="37"/>
      <c r="CB1909" s="37"/>
      <c r="CC1909" s="37"/>
      <c r="CD1909" s="37"/>
      <c r="CE1909" s="37"/>
      <c r="CF1909" s="37"/>
      <c r="CG1909" s="37"/>
      <c r="CH1909" s="37"/>
      <c r="CI1909" s="243">
        <v>92.922290000000004</v>
      </c>
      <c r="CJ1909" s="243">
        <f t="shared" si="526"/>
        <v>1.9681199041211883</v>
      </c>
      <c r="CK1909" s="38">
        <f t="shared" si="521"/>
        <v>1.520904195451122</v>
      </c>
      <c r="CL1909" s="247">
        <f t="shared" si="522"/>
        <v>1.9639001762600024</v>
      </c>
      <c r="CM1909" s="247"/>
      <c r="CN1909" s="247"/>
      <c r="CO1909" s="36"/>
      <c r="CP1909" s="496" t="s">
        <v>772</v>
      </c>
      <c r="CQ1909" s="241" t="s">
        <v>272</v>
      </c>
      <c r="CR1909" s="241"/>
      <c r="CS1909" s="33"/>
      <c r="CT1909" s="33"/>
      <c r="CU1909" s="250">
        <f t="shared" si="523"/>
        <v>415.20292955632931</v>
      </c>
      <c r="CV1909" s="337">
        <f t="shared" si="524"/>
        <v>321.54581233777293</v>
      </c>
      <c r="CW1909" s="330">
        <f t="shared" si="527"/>
        <v>1</v>
      </c>
      <c r="CX1909" s="330"/>
      <c r="CY1909" s="143" t="s">
        <v>5921</v>
      </c>
    </row>
    <row r="1910" spans="1:103" ht="11.25" customHeight="1" x14ac:dyDescent="0.2">
      <c r="A1910" s="72">
        <v>1826</v>
      </c>
      <c r="B1910" s="241">
        <v>162</v>
      </c>
      <c r="C1910" s="32" t="s">
        <v>7715</v>
      </c>
      <c r="D1910" s="32"/>
      <c r="E1910" s="40"/>
      <c r="F1910" s="40" t="s">
        <v>857</v>
      </c>
      <c r="G1910" s="242">
        <v>626675</v>
      </c>
      <c r="H1910" s="36" t="s">
        <v>858</v>
      </c>
      <c r="I1910" s="36" t="s">
        <v>858</v>
      </c>
      <c r="J1910" s="36" t="s">
        <v>859</v>
      </c>
      <c r="K1910" s="36" t="s">
        <v>300</v>
      </c>
      <c r="L1910" s="36"/>
      <c r="M1910" s="36"/>
      <c r="N1910" s="36"/>
      <c r="O1910" s="36"/>
      <c r="P1910" s="41"/>
      <c r="Q1910" s="41"/>
      <c r="R1910" s="41"/>
      <c r="S1910" s="41"/>
      <c r="T1910" s="37">
        <v>99.17</v>
      </c>
      <c r="U1910" s="243">
        <v>167000</v>
      </c>
      <c r="V1910" s="243">
        <v>92940</v>
      </c>
      <c r="W1910" s="243">
        <v>48571.365516768805</v>
      </c>
      <c r="X1910" s="243">
        <v>167000</v>
      </c>
      <c r="Y1910" s="414">
        <v>11.64</v>
      </c>
      <c r="Z1910" s="37">
        <v>1.4</v>
      </c>
      <c r="AA1910" s="37">
        <v>1.3</v>
      </c>
      <c r="AB1910" s="37">
        <v>1.33</v>
      </c>
      <c r="AC1910" s="37">
        <v>0.8911</v>
      </c>
      <c r="AD1910" s="37">
        <v>1.33</v>
      </c>
      <c r="AE1910" s="37">
        <v>1.32</v>
      </c>
      <c r="AF1910" s="37">
        <f t="shared" si="520"/>
        <v>1.3</v>
      </c>
      <c r="AG1910" s="38">
        <v>1.01</v>
      </c>
      <c r="AH1910" s="243">
        <v>3.7700000000000002E-5</v>
      </c>
      <c r="AI1910" s="243">
        <v>3.4600000000000001E-5</v>
      </c>
      <c r="AJ1910" s="34">
        <f t="shared" si="517"/>
        <v>-2.812224976106859</v>
      </c>
      <c r="AK1910" s="34">
        <f>LOG10(AI1910*1000/(0.08206*298.15))</f>
        <v>-2.8494902275198752</v>
      </c>
      <c r="AL1910" s="34">
        <f t="shared" si="519"/>
        <v>-2.8494902275198752</v>
      </c>
      <c r="AM1910" s="34">
        <v>-3.4867400000000002</v>
      </c>
      <c r="AN1910" s="244">
        <v>-3</v>
      </c>
      <c r="AO1910" s="417"/>
      <c r="AP1910" s="417">
        <v>9.59</v>
      </c>
      <c r="AQ1910" s="244" t="s">
        <v>6311</v>
      </c>
      <c r="AR1910" s="244" t="s">
        <v>6311</v>
      </c>
      <c r="AS1910" s="241" t="s">
        <v>72</v>
      </c>
      <c r="AT1910" s="39" t="s">
        <v>266</v>
      </c>
      <c r="AU1910" s="37">
        <v>0</v>
      </c>
      <c r="AV1910" s="37">
        <v>48</v>
      </c>
      <c r="AW1910" s="37">
        <v>48</v>
      </c>
      <c r="AX1910" s="37">
        <v>26</v>
      </c>
      <c r="AY1910" s="37" t="s">
        <v>8722</v>
      </c>
      <c r="AZ1910" s="37" t="s">
        <v>536</v>
      </c>
      <c r="BA1910" s="37">
        <v>20</v>
      </c>
      <c r="BB1910" s="36" t="s">
        <v>537</v>
      </c>
      <c r="BC1910" s="36" t="s">
        <v>648</v>
      </c>
      <c r="BD1910" s="36"/>
      <c r="BE1910" s="245" t="s">
        <v>649</v>
      </c>
      <c r="BF1910" s="37" t="s">
        <v>539</v>
      </c>
      <c r="BG1910" s="37" t="s">
        <v>272</v>
      </c>
      <c r="BH1910" s="37" t="s">
        <v>272</v>
      </c>
      <c r="BI1910" s="250">
        <v>27.297247428917121</v>
      </c>
      <c r="BJ1910" s="250">
        <v>77.992135511191762</v>
      </c>
      <c r="BK1910" s="37"/>
      <c r="BL1910" s="263">
        <v>281.73468238657523</v>
      </c>
      <c r="BM1910" s="37" t="s">
        <v>541</v>
      </c>
      <c r="BN1910" s="37"/>
      <c r="BO1910" s="37">
        <v>68.328130000000002</v>
      </c>
      <c r="BP1910" s="37"/>
      <c r="BQ1910" s="37"/>
      <c r="BR1910" s="37"/>
      <c r="BS1910" s="37"/>
      <c r="BT1910" s="37"/>
      <c r="BU1910" s="246"/>
      <c r="BV1910" s="37"/>
      <c r="BW1910" s="37"/>
      <c r="BX1910" s="37"/>
      <c r="BY1910" s="37"/>
      <c r="BZ1910" s="37"/>
      <c r="CA1910" s="37"/>
      <c r="CB1910" s="37"/>
      <c r="CC1910" s="37"/>
      <c r="CD1910" s="37"/>
      <c r="CE1910" s="37"/>
      <c r="CF1910" s="37"/>
      <c r="CG1910" s="37"/>
      <c r="CH1910" s="37"/>
      <c r="CI1910" s="243">
        <v>68.328130000000002</v>
      </c>
      <c r="CJ1910" s="243">
        <f t="shared" si="526"/>
        <v>1.834599535141036</v>
      </c>
      <c r="CK1910" s="38">
        <f t="shared" si="521"/>
        <v>3.6123473288681356</v>
      </c>
      <c r="CL1910" s="247">
        <f t="shared" si="522"/>
        <v>4.1232605427160856</v>
      </c>
      <c r="CM1910" s="247"/>
      <c r="CN1910" s="247"/>
      <c r="CO1910" s="36"/>
      <c r="CP1910" s="496" t="s">
        <v>772</v>
      </c>
      <c r="CQ1910" s="241" t="s">
        <v>272</v>
      </c>
      <c r="CR1910" s="241"/>
      <c r="CS1910" s="33"/>
      <c r="CT1910" s="33"/>
      <c r="CU1910" s="250">
        <f t="shared" si="523"/>
        <v>2444.0885474254892</v>
      </c>
      <c r="CV1910" s="337">
        <f t="shared" si="524"/>
        <v>2141.2415355139974</v>
      </c>
      <c r="CW1910" s="330">
        <f t="shared" si="527"/>
        <v>1</v>
      </c>
      <c r="CX1910" s="330"/>
      <c r="CY1910" s="143" t="s">
        <v>6351</v>
      </c>
    </row>
    <row r="1911" spans="1:103" ht="11.25" customHeight="1" x14ac:dyDescent="0.2">
      <c r="A1911" s="72">
        <v>1832</v>
      </c>
      <c r="B1911" s="241">
        <v>165</v>
      </c>
      <c r="C1911" s="32" t="s">
        <v>7720</v>
      </c>
      <c r="D1911" s="32"/>
      <c r="E1911" s="40"/>
      <c r="F1911" s="40" t="s">
        <v>867</v>
      </c>
      <c r="G1911" s="242">
        <v>766096</v>
      </c>
      <c r="H1911" s="36" t="s">
        <v>868</v>
      </c>
      <c r="I1911" s="36" t="s">
        <v>868</v>
      </c>
      <c r="J1911" s="36" t="s">
        <v>869</v>
      </c>
      <c r="K1911" s="36" t="s">
        <v>300</v>
      </c>
      <c r="L1911" s="36"/>
      <c r="M1911" s="36"/>
      <c r="N1911" s="36"/>
      <c r="O1911" s="36"/>
      <c r="P1911" s="41"/>
      <c r="Q1911" s="41"/>
      <c r="R1911" s="41"/>
      <c r="S1911" s="41"/>
      <c r="T1911" s="37">
        <v>113.2</v>
      </c>
      <c r="U1911" s="243"/>
      <c r="V1911" s="243">
        <v>34610</v>
      </c>
      <c r="W1911" s="243">
        <v>23112.473533659067</v>
      </c>
      <c r="X1911" s="243">
        <v>23112.473533659067</v>
      </c>
      <c r="Y1911" s="414">
        <v>11.46</v>
      </c>
      <c r="Z1911" s="37">
        <v>1.89</v>
      </c>
      <c r="AA1911" s="37">
        <v>1.75</v>
      </c>
      <c r="AB1911" s="37">
        <v>1.77</v>
      </c>
      <c r="AC1911" s="37">
        <v>0.82599999999999996</v>
      </c>
      <c r="AD1911" s="37">
        <v>1.79</v>
      </c>
      <c r="AE1911" s="37">
        <v>1.86</v>
      </c>
      <c r="AF1911" s="37">
        <f t="shared" si="520"/>
        <v>1.75</v>
      </c>
      <c r="AG1911" s="38">
        <v>1.42</v>
      </c>
      <c r="AH1911" s="243">
        <v>5.0000000000000002E-5</v>
      </c>
      <c r="AI1911" s="243"/>
      <c r="AJ1911" s="34">
        <f t="shared" si="517"/>
        <v>-2.6895963219766328</v>
      </c>
      <c r="AK1911" s="34"/>
      <c r="AL1911" s="34">
        <f t="shared" si="519"/>
        <v>-2.6895963219766328</v>
      </c>
      <c r="AM1911" s="34">
        <v>-3.59111</v>
      </c>
      <c r="AN1911" s="244">
        <v>-2.87</v>
      </c>
      <c r="AO1911" s="417"/>
      <c r="AP1911" s="417">
        <v>9.6199999999999992</v>
      </c>
      <c r="AQ1911" s="244" t="s">
        <v>6311</v>
      </c>
      <c r="AR1911" s="244" t="s">
        <v>6311</v>
      </c>
      <c r="AS1911" s="241" t="s">
        <v>72</v>
      </c>
      <c r="AT1911" s="39" t="s">
        <v>266</v>
      </c>
      <c r="AU1911" s="37">
        <v>0</v>
      </c>
      <c r="AV1911" s="37">
        <v>48</v>
      </c>
      <c r="AW1911" s="37">
        <v>48</v>
      </c>
      <c r="AX1911" s="37">
        <v>26</v>
      </c>
      <c r="AY1911" s="37" t="s">
        <v>8722</v>
      </c>
      <c r="AZ1911" s="37" t="s">
        <v>536</v>
      </c>
      <c r="BA1911" s="37">
        <v>20</v>
      </c>
      <c r="BB1911" s="36" t="s">
        <v>537</v>
      </c>
      <c r="BC1911" s="36" t="s">
        <v>648</v>
      </c>
      <c r="BD1911" s="36"/>
      <c r="BE1911" s="245" t="s">
        <v>649</v>
      </c>
      <c r="BF1911" s="37" t="s">
        <v>539</v>
      </c>
      <c r="BG1911" s="37" t="s">
        <v>272</v>
      </c>
      <c r="BH1911" s="37" t="s">
        <v>272</v>
      </c>
      <c r="BI1911" s="250">
        <v>35</v>
      </c>
      <c r="BJ1911" s="250">
        <v>100</v>
      </c>
      <c r="BK1911" s="37"/>
      <c r="BL1911" s="263">
        <v>116.74476810612336</v>
      </c>
      <c r="BM1911" s="37" t="s">
        <v>541</v>
      </c>
      <c r="BN1911" s="37"/>
      <c r="BO1911" s="37">
        <v>71.316000000000003</v>
      </c>
      <c r="BP1911" s="37"/>
      <c r="BQ1911" s="37"/>
      <c r="BR1911" s="37"/>
      <c r="BS1911" s="37"/>
      <c r="BT1911" s="37"/>
      <c r="BU1911" s="246"/>
      <c r="BV1911" s="37"/>
      <c r="BW1911" s="37"/>
      <c r="BX1911" s="37"/>
      <c r="BY1911" s="37"/>
      <c r="BZ1911" s="37"/>
      <c r="CA1911" s="37"/>
      <c r="CB1911" s="37"/>
      <c r="CC1911" s="37"/>
      <c r="CD1911" s="37"/>
      <c r="CE1911" s="37"/>
      <c r="CF1911" s="37"/>
      <c r="CG1911" s="37"/>
      <c r="CH1911" s="37"/>
      <c r="CI1911" s="243">
        <v>71.316000000000003</v>
      </c>
      <c r="CJ1911" s="243">
        <f t="shared" si="526"/>
        <v>1.8531869763058344</v>
      </c>
      <c r="CK1911" s="38">
        <f t="shared" si="521"/>
        <v>1.1674476810612335</v>
      </c>
      <c r="CL1911" s="247">
        <f t="shared" si="522"/>
        <v>1.6370066760071142</v>
      </c>
      <c r="CM1911" s="247"/>
      <c r="CN1911" s="247"/>
      <c r="CO1911" s="36"/>
      <c r="CP1911" s="496" t="s">
        <v>772</v>
      </c>
      <c r="CQ1911" s="241" t="s">
        <v>272</v>
      </c>
      <c r="CR1911" s="241"/>
      <c r="CS1911" s="33"/>
      <c r="CT1911" s="33"/>
      <c r="CU1911" s="250">
        <f t="shared" si="523"/>
        <v>324.08538804278237</v>
      </c>
      <c r="CV1911" s="337">
        <f t="shared" si="524"/>
        <v>231.12473533659067</v>
      </c>
      <c r="CW1911" s="330">
        <f t="shared" si="527"/>
        <v>1</v>
      </c>
      <c r="CX1911" s="330"/>
      <c r="CY1911" s="143" t="s">
        <v>6351</v>
      </c>
    </row>
    <row r="1912" spans="1:103" ht="11.25" customHeight="1" x14ac:dyDescent="0.2">
      <c r="A1912" s="72">
        <v>1834</v>
      </c>
      <c r="B1912" s="241">
        <v>163</v>
      </c>
      <c r="C1912" s="32" t="s">
        <v>7722</v>
      </c>
      <c r="D1912" s="32"/>
      <c r="E1912" s="40"/>
      <c r="F1912" s="40" t="s">
        <v>860</v>
      </c>
      <c r="G1912" s="242">
        <v>927628</v>
      </c>
      <c r="H1912" s="36" t="s">
        <v>861</v>
      </c>
      <c r="I1912" s="36" t="s">
        <v>861</v>
      </c>
      <c r="J1912" s="36" t="s">
        <v>862</v>
      </c>
      <c r="K1912" s="36" t="s">
        <v>300</v>
      </c>
      <c r="L1912" s="36"/>
      <c r="M1912" s="36"/>
      <c r="N1912" s="36"/>
      <c r="O1912" s="36"/>
      <c r="P1912" s="41"/>
      <c r="Q1912" s="41"/>
      <c r="R1912" s="41"/>
      <c r="S1912" s="41"/>
      <c r="T1912" s="37">
        <v>101.19</v>
      </c>
      <c r="U1912" s="243"/>
      <c r="V1912" s="243">
        <v>41750</v>
      </c>
      <c r="W1912" s="243">
        <v>29863.286164637146</v>
      </c>
      <c r="X1912" s="243">
        <v>29863.286164637146</v>
      </c>
      <c r="Y1912" s="414">
        <v>11.64</v>
      </c>
      <c r="Z1912" s="37">
        <v>1.51</v>
      </c>
      <c r="AA1912" s="37">
        <v>1.7</v>
      </c>
      <c r="AB1912" s="37">
        <v>1.68</v>
      </c>
      <c r="AC1912" s="37">
        <v>0.88290000000000002</v>
      </c>
      <c r="AD1912" s="37">
        <v>1.68</v>
      </c>
      <c r="AE1912" s="37">
        <v>1.66</v>
      </c>
      <c r="AF1912" s="37">
        <f t="shared" si="520"/>
        <v>1.7</v>
      </c>
      <c r="AG1912" s="38">
        <v>1.54</v>
      </c>
      <c r="AH1912" s="243">
        <v>8.5400000000000002E-5</v>
      </c>
      <c r="AI1912" s="243"/>
      <c r="AJ1912" s="34">
        <f t="shared" si="517"/>
        <v>-2.4571084556236467</v>
      </c>
      <c r="AK1912" s="34"/>
      <c r="AL1912" s="34">
        <f t="shared" si="519"/>
        <v>-2.4571084556236467</v>
      </c>
      <c r="AM1912" s="34">
        <v>-3.1017600000000005</v>
      </c>
      <c r="AN1912" s="244">
        <v>-1.9</v>
      </c>
      <c r="AO1912" s="417"/>
      <c r="AP1912" s="417">
        <v>9.83</v>
      </c>
      <c r="AQ1912" s="244" t="s">
        <v>6311</v>
      </c>
      <c r="AR1912" s="244" t="s">
        <v>6311</v>
      </c>
      <c r="AS1912" s="241" t="s">
        <v>72</v>
      </c>
      <c r="AT1912" s="39" t="s">
        <v>266</v>
      </c>
      <c r="AU1912" s="37">
        <v>0</v>
      </c>
      <c r="AV1912" s="37">
        <v>48</v>
      </c>
      <c r="AW1912" s="37">
        <v>48</v>
      </c>
      <c r="AX1912" s="37">
        <v>26</v>
      </c>
      <c r="AY1912" s="37" t="s">
        <v>8722</v>
      </c>
      <c r="AZ1912" s="37" t="s">
        <v>536</v>
      </c>
      <c r="BA1912" s="37">
        <v>20</v>
      </c>
      <c r="BB1912" s="36" t="s">
        <v>537</v>
      </c>
      <c r="BC1912" s="36" t="s">
        <v>648</v>
      </c>
      <c r="BD1912" s="36"/>
      <c r="BE1912" s="245" t="s">
        <v>649</v>
      </c>
      <c r="BF1912" s="37" t="s">
        <v>539</v>
      </c>
      <c r="BG1912" s="37" t="s">
        <v>272</v>
      </c>
      <c r="BH1912" s="37" t="s">
        <v>272</v>
      </c>
      <c r="BI1912" s="250">
        <v>19.8</v>
      </c>
      <c r="BJ1912" s="250">
        <v>100</v>
      </c>
      <c r="BK1912" s="37"/>
      <c r="BL1912" s="263">
        <v>228.98476892294985</v>
      </c>
      <c r="BM1912" s="37" t="s">
        <v>541</v>
      </c>
      <c r="BN1912" s="37"/>
      <c r="BO1912" s="37">
        <v>50.999760000000002</v>
      </c>
      <c r="BP1912" s="37"/>
      <c r="BQ1912" s="37"/>
      <c r="BR1912" s="37"/>
      <c r="BS1912" s="37"/>
      <c r="BT1912" s="37"/>
      <c r="BU1912" s="246"/>
      <c r="BV1912" s="37"/>
      <c r="BW1912" s="37"/>
      <c r="BX1912" s="37"/>
      <c r="BY1912" s="37"/>
      <c r="BZ1912" s="37"/>
      <c r="CA1912" s="37"/>
      <c r="CB1912" s="37"/>
      <c r="CC1912" s="37"/>
      <c r="CD1912" s="37"/>
      <c r="CE1912" s="37"/>
      <c r="CF1912" s="37"/>
      <c r="CG1912" s="37"/>
      <c r="CH1912" s="37"/>
      <c r="CI1912" s="243">
        <v>50.999760000000002</v>
      </c>
      <c r="CJ1912" s="243">
        <f t="shared" si="526"/>
        <v>1.7075681323543892</v>
      </c>
      <c r="CK1912" s="38">
        <f t="shared" si="521"/>
        <v>2.2898476892294983</v>
      </c>
      <c r="CL1912" s="247">
        <f t="shared" si="522"/>
        <v>4.4899185588902739</v>
      </c>
      <c r="CM1912" s="247"/>
      <c r="CN1912" s="247"/>
      <c r="CO1912" s="36"/>
      <c r="CP1912" s="496" t="s">
        <v>772</v>
      </c>
      <c r="CQ1912" s="241" t="s">
        <v>272</v>
      </c>
      <c r="CR1912" s="241"/>
      <c r="CS1912" s="33"/>
      <c r="CT1912" s="33"/>
      <c r="CU1912" s="250">
        <f t="shared" si="523"/>
        <v>585.55738624333026</v>
      </c>
      <c r="CV1912" s="337">
        <f t="shared" si="524"/>
        <v>298.63286164637145</v>
      </c>
      <c r="CW1912" s="330">
        <f t="shared" si="527"/>
        <v>1</v>
      </c>
      <c r="CX1912" s="330"/>
      <c r="CY1912" s="143" t="s">
        <v>6351</v>
      </c>
    </row>
    <row r="1913" spans="1:103" ht="11.25" customHeight="1" x14ac:dyDescent="0.2">
      <c r="A1913" s="72">
        <v>1840</v>
      </c>
      <c r="B1913" s="241">
        <v>155</v>
      </c>
      <c r="C1913" s="32" t="s">
        <v>7728</v>
      </c>
      <c r="D1913" s="32"/>
      <c r="E1913" s="40"/>
      <c r="F1913" s="40" t="s">
        <v>836</v>
      </c>
      <c r="G1913" s="242">
        <v>1484806</v>
      </c>
      <c r="H1913" s="36" t="s">
        <v>837</v>
      </c>
      <c r="I1913" s="36" t="s">
        <v>837</v>
      </c>
      <c r="J1913" s="36" t="s">
        <v>838</v>
      </c>
      <c r="K1913" s="36" t="s">
        <v>300</v>
      </c>
      <c r="L1913" s="36"/>
      <c r="M1913" s="36"/>
      <c r="N1913" s="36"/>
      <c r="O1913" s="36"/>
      <c r="P1913" s="41"/>
      <c r="Q1913" s="41"/>
      <c r="R1913" s="41"/>
      <c r="S1913" s="41"/>
      <c r="T1913" s="37">
        <v>113.2</v>
      </c>
      <c r="U1913" s="243">
        <v>51000</v>
      </c>
      <c r="V1913" s="243">
        <v>17490</v>
      </c>
      <c r="W1913" s="243">
        <v>17940.990938659801</v>
      </c>
      <c r="X1913" s="243">
        <v>51000</v>
      </c>
      <c r="Y1913" s="414">
        <v>11.9</v>
      </c>
      <c r="Z1913" s="37">
        <v>2.1</v>
      </c>
      <c r="AA1913" s="37"/>
      <c r="AB1913" s="37">
        <v>2</v>
      </c>
      <c r="AC1913" s="37">
        <v>0.76939999999999997</v>
      </c>
      <c r="AD1913" s="37">
        <v>1.98</v>
      </c>
      <c r="AE1913" s="37">
        <v>1.96</v>
      </c>
      <c r="AF1913" s="37">
        <f t="shared" si="520"/>
        <v>1.98</v>
      </c>
      <c r="AG1913" s="38">
        <v>1.54</v>
      </c>
      <c r="AH1913" s="243">
        <v>3.0199999999999999E-5</v>
      </c>
      <c r="AI1913" s="243"/>
      <c r="AJ1913" s="34">
        <f t="shared" si="517"/>
        <v>-2.908559383355501</v>
      </c>
      <c r="AK1913" s="34"/>
      <c r="AL1913" s="34">
        <f t="shared" si="519"/>
        <v>-2.908559383355501</v>
      </c>
      <c r="AM1913" s="34">
        <v>-3.9903900000000001</v>
      </c>
      <c r="AN1913" s="244">
        <v>-3.45</v>
      </c>
      <c r="AO1913" s="417"/>
      <c r="AP1913" s="417">
        <v>10.62</v>
      </c>
      <c r="AQ1913" s="244" t="s">
        <v>6311</v>
      </c>
      <c r="AR1913" s="244" t="s">
        <v>6311</v>
      </c>
      <c r="AS1913" s="241" t="s">
        <v>81</v>
      </c>
      <c r="AT1913" s="39" t="s">
        <v>266</v>
      </c>
      <c r="AU1913" s="37">
        <v>0</v>
      </c>
      <c r="AV1913" s="37">
        <v>48</v>
      </c>
      <c r="AW1913" s="37">
        <v>48</v>
      </c>
      <c r="AX1913" s="37">
        <v>26</v>
      </c>
      <c r="AY1913" s="37" t="s">
        <v>8722</v>
      </c>
      <c r="AZ1913" s="37" t="s">
        <v>536</v>
      </c>
      <c r="BA1913" s="37">
        <v>20</v>
      </c>
      <c r="BB1913" s="36" t="s">
        <v>537</v>
      </c>
      <c r="BC1913" s="36" t="s">
        <v>648</v>
      </c>
      <c r="BD1913" s="36"/>
      <c r="BE1913" s="245" t="s">
        <v>649</v>
      </c>
      <c r="BF1913" s="37" t="s">
        <v>539</v>
      </c>
      <c r="BG1913" s="37" t="s">
        <v>272</v>
      </c>
      <c r="BH1913" s="37" t="s">
        <v>272</v>
      </c>
      <c r="BI1913" s="250">
        <v>35</v>
      </c>
      <c r="BJ1913" s="250">
        <v>100</v>
      </c>
      <c r="BK1913" s="37"/>
      <c r="BL1913" s="263">
        <v>75.61995713578375</v>
      </c>
      <c r="BM1913" s="37" t="s">
        <v>541</v>
      </c>
      <c r="BN1913" s="37"/>
      <c r="BO1913" s="37">
        <v>93.956000000000003</v>
      </c>
      <c r="BP1913" s="37"/>
      <c r="BQ1913" s="37"/>
      <c r="BR1913" s="37"/>
      <c r="BS1913" s="37"/>
      <c r="BT1913" s="37"/>
      <c r="BU1913" s="246"/>
      <c r="BV1913" s="37"/>
      <c r="BW1913" s="37"/>
      <c r="BX1913" s="37"/>
      <c r="BY1913" s="37"/>
      <c r="BZ1913" s="37"/>
      <c r="CA1913" s="37"/>
      <c r="CB1913" s="37"/>
      <c r="CC1913" s="37"/>
      <c r="CD1913" s="37"/>
      <c r="CE1913" s="37"/>
      <c r="CF1913" s="37"/>
      <c r="CG1913" s="37"/>
      <c r="CH1913" s="37"/>
      <c r="CI1913" s="243">
        <v>93.956000000000003</v>
      </c>
      <c r="CJ1913" s="243">
        <f t="shared" si="526"/>
        <v>1.9729245192283265</v>
      </c>
      <c r="CK1913" s="38">
        <f t="shared" si="521"/>
        <v>0.75619957135783755</v>
      </c>
      <c r="CL1913" s="247">
        <f t="shared" si="522"/>
        <v>0.80484436476418475</v>
      </c>
      <c r="CM1913" s="247"/>
      <c r="CN1913" s="247"/>
      <c r="CO1913" s="36"/>
      <c r="CP1913" s="496" t="s">
        <v>772</v>
      </c>
      <c r="CQ1913" s="241" t="s">
        <v>272</v>
      </c>
      <c r="CR1913" s="241"/>
      <c r="CS1913" s="33"/>
      <c r="CT1913" s="33"/>
      <c r="CU1913" s="250">
        <f t="shared" si="523"/>
        <v>542.80727148878202</v>
      </c>
      <c r="CV1913" s="337">
        <f t="shared" si="524"/>
        <v>510</v>
      </c>
      <c r="CW1913" s="330">
        <f t="shared" si="527"/>
        <v>1</v>
      </c>
      <c r="CX1913" s="330"/>
      <c r="CY1913" s="143" t="s">
        <v>5921</v>
      </c>
    </row>
    <row r="1914" spans="1:103" ht="11.25" customHeight="1" x14ac:dyDescent="0.2">
      <c r="A1914" s="72">
        <v>1847</v>
      </c>
      <c r="B1914" s="241">
        <v>146</v>
      </c>
      <c r="C1914" s="32" t="s">
        <v>7732</v>
      </c>
      <c r="D1914" s="32"/>
      <c r="E1914" s="40"/>
      <c r="F1914" s="40" t="s">
        <v>808</v>
      </c>
      <c r="G1914" s="242">
        <v>2016571</v>
      </c>
      <c r="H1914" s="36" t="s">
        <v>809</v>
      </c>
      <c r="I1914" s="36" t="s">
        <v>809</v>
      </c>
      <c r="J1914" s="36" t="s">
        <v>810</v>
      </c>
      <c r="K1914" s="36" t="s">
        <v>300</v>
      </c>
      <c r="L1914" s="36"/>
      <c r="M1914" s="36"/>
      <c r="N1914" s="36"/>
      <c r="O1914" s="36"/>
      <c r="P1914" s="41"/>
      <c r="Q1914" s="41"/>
      <c r="R1914" s="41"/>
      <c r="S1914" s="41"/>
      <c r="T1914" s="37">
        <v>157.30000000000001</v>
      </c>
      <c r="U1914" s="243">
        <v>550</v>
      </c>
      <c r="V1914" s="243">
        <v>422.89999999999992</v>
      </c>
      <c r="W1914" s="243">
        <v>718.99972226419857</v>
      </c>
      <c r="X1914" s="243">
        <v>550</v>
      </c>
      <c r="Y1914" s="414">
        <v>11.11</v>
      </c>
      <c r="Z1914" s="37">
        <v>3.78</v>
      </c>
      <c r="AA1914" s="37"/>
      <c r="AB1914" s="37">
        <v>3.9</v>
      </c>
      <c r="AC1914" s="37">
        <v>0.85129999999999995</v>
      </c>
      <c r="AD1914" s="37">
        <v>3.96</v>
      </c>
      <c r="AE1914" s="37">
        <v>4.12</v>
      </c>
      <c r="AF1914" s="37">
        <f t="shared" si="520"/>
        <v>3.96</v>
      </c>
      <c r="AG1914" s="38">
        <v>3.16</v>
      </c>
      <c r="AH1914" s="243">
        <v>9.7E-5</v>
      </c>
      <c r="AI1914" s="243">
        <v>3.7599999999999999E-5</v>
      </c>
      <c r="AJ1914" s="34">
        <f t="shared" si="517"/>
        <v>-2.4017945920464068</v>
      </c>
      <c r="AK1914" s="34">
        <f>LOG10(AI1914*1000/(0.08206*298.15))</f>
        <v>-2.8133784813849907</v>
      </c>
      <c r="AL1914" s="34">
        <f t="shared" si="519"/>
        <v>-2.8133784813849907</v>
      </c>
      <c r="AM1914" s="34">
        <v>-5.2442700000000002</v>
      </c>
      <c r="AN1914" s="244">
        <v>-2.39</v>
      </c>
      <c r="AO1914" s="417"/>
      <c r="AP1914" s="417">
        <v>10.7</v>
      </c>
      <c r="AQ1914" s="244" t="s">
        <v>6311</v>
      </c>
      <c r="AR1914" s="244" t="s">
        <v>6311</v>
      </c>
      <c r="AS1914" s="241" t="s">
        <v>81</v>
      </c>
      <c r="AT1914" s="39" t="s">
        <v>266</v>
      </c>
      <c r="AU1914" s="37">
        <v>0</v>
      </c>
      <c r="AV1914" s="37">
        <v>48</v>
      </c>
      <c r="AW1914" s="37">
        <v>48</v>
      </c>
      <c r="AX1914" s="37">
        <v>26</v>
      </c>
      <c r="AY1914" s="37" t="s">
        <v>8722</v>
      </c>
      <c r="AZ1914" s="37" t="s">
        <v>536</v>
      </c>
      <c r="BA1914" s="37">
        <v>20</v>
      </c>
      <c r="BB1914" s="36" t="s">
        <v>537</v>
      </c>
      <c r="BC1914" s="36" t="s">
        <v>648</v>
      </c>
      <c r="BD1914" s="36"/>
      <c r="BE1914" s="245" t="s">
        <v>649</v>
      </c>
      <c r="BF1914" s="37" t="s">
        <v>539</v>
      </c>
      <c r="BG1914" s="37" t="s">
        <v>272</v>
      </c>
      <c r="BH1914" s="37" t="s">
        <v>272</v>
      </c>
      <c r="BI1914" s="250">
        <v>2.1</v>
      </c>
      <c r="BJ1914" s="250">
        <v>8</v>
      </c>
      <c r="BK1914" s="37"/>
      <c r="BL1914" s="263">
        <v>3.25619738076362</v>
      </c>
      <c r="BM1914" s="37" t="s">
        <v>541</v>
      </c>
      <c r="BN1914" s="37"/>
      <c r="BO1914" s="37">
        <v>3.1460000000000004</v>
      </c>
      <c r="BP1914" s="37"/>
      <c r="BQ1914" s="37"/>
      <c r="BR1914" s="37"/>
      <c r="BS1914" s="37"/>
      <c r="BT1914" s="37"/>
      <c r="BU1914" s="246"/>
      <c r="BV1914" s="37"/>
      <c r="BW1914" s="37"/>
      <c r="BX1914" s="37"/>
      <c r="BY1914" s="37"/>
      <c r="BZ1914" s="37"/>
      <c r="CA1914" s="37"/>
      <c r="CB1914" s="37"/>
      <c r="CC1914" s="37"/>
      <c r="CD1914" s="37"/>
      <c r="CE1914" s="37"/>
      <c r="CF1914" s="37"/>
      <c r="CG1914" s="37"/>
      <c r="CH1914" s="37"/>
      <c r="CI1914" s="243">
        <v>3.1460000000000004</v>
      </c>
      <c r="CJ1914" s="243">
        <f t="shared" si="526"/>
        <v>0.49775871828726809</v>
      </c>
      <c r="CK1914" s="38">
        <f t="shared" si="521"/>
        <v>0.4070246725954525</v>
      </c>
      <c r="CL1914" s="247">
        <f t="shared" si="522"/>
        <v>1.0350277751950476</v>
      </c>
      <c r="CM1914" s="247"/>
      <c r="CN1914" s="247"/>
      <c r="CO1914" s="36"/>
      <c r="CP1914" s="496" t="s">
        <v>772</v>
      </c>
      <c r="CQ1914" s="241">
        <v>1.703333929878037E-2</v>
      </c>
      <c r="CR1914" s="241">
        <f>10^(CJ1914-CQ1914)</f>
        <v>3.0250000000000004</v>
      </c>
      <c r="CS1914" s="33"/>
      <c r="CT1914" s="33"/>
      <c r="CU1914" s="250">
        <f t="shared" si="523"/>
        <v>174.8251748251748</v>
      </c>
      <c r="CV1914" s="337">
        <f t="shared" si="524"/>
        <v>68.75</v>
      </c>
      <c r="CW1914" s="330">
        <f t="shared" si="527"/>
        <v>1</v>
      </c>
      <c r="CX1914" s="330"/>
      <c r="CY1914" s="143" t="s">
        <v>5921</v>
      </c>
    </row>
    <row r="1915" spans="1:103" ht="11.25" customHeight="1" x14ac:dyDescent="0.2">
      <c r="A1915" s="72">
        <v>1848</v>
      </c>
      <c r="B1915" s="241">
        <v>158</v>
      </c>
      <c r="C1915" s="32" t="s">
        <v>7733</v>
      </c>
      <c r="D1915" s="32"/>
      <c r="E1915" s="40"/>
      <c r="F1915" s="40" t="s">
        <v>845</v>
      </c>
      <c r="G1915" s="242">
        <v>2050922</v>
      </c>
      <c r="H1915" s="36" t="s">
        <v>846</v>
      </c>
      <c r="I1915" s="36" t="s">
        <v>846</v>
      </c>
      <c r="J1915" s="36" t="s">
        <v>847</v>
      </c>
      <c r="K1915" s="36" t="s">
        <v>300</v>
      </c>
      <c r="L1915" s="36"/>
      <c r="M1915" s="36"/>
      <c r="N1915" s="36"/>
      <c r="O1915" s="36"/>
      <c r="P1915" s="41"/>
      <c r="Q1915" s="41"/>
      <c r="R1915" s="41"/>
      <c r="S1915" s="41"/>
      <c r="T1915" s="37">
        <v>157.30000000000001</v>
      </c>
      <c r="U1915" s="243"/>
      <c r="V1915" s="243">
        <v>444.4</v>
      </c>
      <c r="W1915" s="243">
        <v>1891.16195565319</v>
      </c>
      <c r="X1915" s="243">
        <v>1891.16195565319</v>
      </c>
      <c r="Y1915" s="414">
        <v>11.58</v>
      </c>
      <c r="Z1915" s="37">
        <v>3.76</v>
      </c>
      <c r="AA1915" s="37"/>
      <c r="AB1915" s="37">
        <v>3.5</v>
      </c>
      <c r="AC1915" s="37">
        <v>0.50870000000000004</v>
      </c>
      <c r="AD1915" s="37">
        <v>3.68</v>
      </c>
      <c r="AE1915" s="37">
        <v>3.82</v>
      </c>
      <c r="AF1915" s="37">
        <f t="shared" si="520"/>
        <v>3.68</v>
      </c>
      <c r="AG1915" s="38">
        <v>3.08</v>
      </c>
      <c r="AH1915" s="243">
        <v>1.6000000000000001E-4</v>
      </c>
      <c r="AI1915" s="243"/>
      <c r="AJ1915" s="34">
        <f t="shared" si="517"/>
        <v>-2.184446343656727</v>
      </c>
      <c r="AK1915" s="34"/>
      <c r="AL1915" s="34">
        <f t="shared" si="519"/>
        <v>-2.184446343656727</v>
      </c>
      <c r="AM1915" s="34">
        <v>-3.9639199999999999</v>
      </c>
      <c r="AN1915" s="244">
        <v>-2.04</v>
      </c>
      <c r="AO1915" s="417"/>
      <c r="AP1915" s="417">
        <v>11.25</v>
      </c>
      <c r="AQ1915" s="244" t="s">
        <v>6311</v>
      </c>
      <c r="AR1915" s="244" t="s">
        <v>6311</v>
      </c>
      <c r="AS1915" s="241" t="s">
        <v>81</v>
      </c>
      <c r="AT1915" s="39" t="s">
        <v>266</v>
      </c>
      <c r="AU1915" s="37">
        <v>0</v>
      </c>
      <c r="AV1915" s="37">
        <v>48</v>
      </c>
      <c r="AW1915" s="37">
        <v>48</v>
      </c>
      <c r="AX1915" s="37">
        <v>26</v>
      </c>
      <c r="AY1915" s="37" t="s">
        <v>8722</v>
      </c>
      <c r="AZ1915" s="37" t="s">
        <v>536</v>
      </c>
      <c r="BA1915" s="37">
        <v>20</v>
      </c>
      <c r="BB1915" s="36" t="s">
        <v>537</v>
      </c>
      <c r="BC1915" s="36" t="s">
        <v>648</v>
      </c>
      <c r="BD1915" s="36"/>
      <c r="BE1915" s="245" t="s">
        <v>649</v>
      </c>
      <c r="BF1915" s="37" t="s">
        <v>539</v>
      </c>
      <c r="BG1915" s="37" t="s">
        <v>272</v>
      </c>
      <c r="BH1915" s="37" t="s">
        <v>272</v>
      </c>
      <c r="BI1915" s="250">
        <v>28</v>
      </c>
      <c r="BJ1915" s="250">
        <v>80</v>
      </c>
      <c r="BK1915" s="37"/>
      <c r="BL1915" s="263">
        <v>3.3936943282645315</v>
      </c>
      <c r="BM1915" s="37" t="s">
        <v>541</v>
      </c>
      <c r="BN1915" s="37"/>
      <c r="BO1915" s="37">
        <v>42.785600000000009</v>
      </c>
      <c r="BP1915" s="37"/>
      <c r="BQ1915" s="37"/>
      <c r="BR1915" s="37"/>
      <c r="BS1915" s="37"/>
      <c r="BT1915" s="37"/>
      <c r="BU1915" s="246"/>
      <c r="BV1915" s="37"/>
      <c r="BW1915" s="37"/>
      <c r="BX1915" s="37"/>
      <c r="BY1915" s="37"/>
      <c r="BZ1915" s="37"/>
      <c r="CA1915" s="37"/>
      <c r="CB1915" s="37"/>
      <c r="CC1915" s="37"/>
      <c r="CD1915" s="37"/>
      <c r="CE1915" s="37"/>
      <c r="CF1915" s="37"/>
      <c r="CG1915" s="37"/>
      <c r="CH1915" s="37"/>
      <c r="CI1915" s="243">
        <v>42.785600000000009</v>
      </c>
      <c r="CJ1915" s="243">
        <f t="shared" si="526"/>
        <v>1.6312976266574857</v>
      </c>
      <c r="CK1915" s="38">
        <f t="shared" si="521"/>
        <v>4.2421179103306644E-2</v>
      </c>
      <c r="CL1915" s="247">
        <f t="shared" si="522"/>
        <v>7.9318610192787548E-2</v>
      </c>
      <c r="CM1915" s="247"/>
      <c r="CN1915" s="247"/>
      <c r="CO1915" s="36"/>
      <c r="CP1915" s="496" t="s">
        <v>772</v>
      </c>
      <c r="CQ1915" s="241" t="s">
        <v>272</v>
      </c>
      <c r="CR1915" s="241"/>
      <c r="CS1915" s="33"/>
      <c r="CT1915" s="33"/>
      <c r="CU1915" s="250">
        <f t="shared" si="523"/>
        <v>44.200898331522509</v>
      </c>
      <c r="CV1915" s="337">
        <f t="shared" si="524"/>
        <v>23.639524445664875</v>
      </c>
      <c r="CW1915" s="330">
        <f t="shared" si="527"/>
        <v>1</v>
      </c>
      <c r="CX1915" s="330"/>
      <c r="CY1915" s="143" t="s">
        <v>5921</v>
      </c>
    </row>
    <row r="1916" spans="1:103" ht="11.25" customHeight="1" x14ac:dyDescent="0.2">
      <c r="A1916" s="72">
        <v>1867</v>
      </c>
      <c r="B1916" s="241">
        <v>167</v>
      </c>
      <c r="C1916" s="32" t="s">
        <v>873</v>
      </c>
      <c r="D1916" s="32"/>
      <c r="E1916" s="40"/>
      <c r="F1916" s="40" t="s">
        <v>874</v>
      </c>
      <c r="G1916" s="242">
        <v>7087685</v>
      </c>
      <c r="H1916" s="36" t="s">
        <v>875</v>
      </c>
      <c r="I1916" s="36" t="s">
        <v>875</v>
      </c>
      <c r="J1916" s="36" t="s">
        <v>876</v>
      </c>
      <c r="K1916" s="36" t="s">
        <v>300</v>
      </c>
      <c r="L1916" s="36"/>
      <c r="M1916" s="36"/>
      <c r="N1916" s="36"/>
      <c r="O1916" s="36"/>
      <c r="P1916" s="41"/>
      <c r="Q1916" s="41"/>
      <c r="R1916" s="41"/>
      <c r="S1916" s="41"/>
      <c r="T1916" s="37">
        <v>129.24</v>
      </c>
      <c r="U1916" s="243"/>
      <c r="V1916" s="243">
        <v>9334</v>
      </c>
      <c r="W1916" s="243">
        <v>8538.8021220501687</v>
      </c>
      <c r="X1916" s="243">
        <v>8538.8021220501687</v>
      </c>
      <c r="Y1916" s="414">
        <v>11.87</v>
      </c>
      <c r="Z1916" s="37">
        <v>2.35</v>
      </c>
      <c r="AA1916" s="37"/>
      <c r="AB1916" s="37">
        <v>2.4700000000000002</v>
      </c>
      <c r="AC1916" s="37">
        <v>0.70730000000000004</v>
      </c>
      <c r="AD1916" s="37">
        <v>2.42</v>
      </c>
      <c r="AE1916" s="37">
        <v>2.35</v>
      </c>
      <c r="AF1916" s="37">
        <f t="shared" si="520"/>
        <v>2.42</v>
      </c>
      <c r="AG1916" s="38">
        <v>2.19</v>
      </c>
      <c r="AH1916" s="243">
        <v>1.5100000000000001E-4</v>
      </c>
      <c r="AI1916" s="243"/>
      <c r="AJ1916" s="34">
        <f t="shared" si="517"/>
        <v>-2.2095893790194823</v>
      </c>
      <c r="AK1916" s="34"/>
      <c r="AL1916" s="34">
        <f t="shared" si="519"/>
        <v>-2.2095893790194823</v>
      </c>
      <c r="AM1916" s="34">
        <v>-3.5539799999999997</v>
      </c>
      <c r="AN1916" s="244">
        <v>-1.64</v>
      </c>
      <c r="AO1916" s="417"/>
      <c r="AP1916" s="417">
        <v>10.98</v>
      </c>
      <c r="AQ1916" s="244" t="s">
        <v>6311</v>
      </c>
      <c r="AR1916" s="244" t="s">
        <v>6311</v>
      </c>
      <c r="AS1916" s="241" t="s">
        <v>81</v>
      </c>
      <c r="AT1916" s="39" t="s">
        <v>266</v>
      </c>
      <c r="AU1916" s="37">
        <v>0</v>
      </c>
      <c r="AV1916" s="37">
        <v>48</v>
      </c>
      <c r="AW1916" s="37">
        <v>48</v>
      </c>
      <c r="AX1916" s="37">
        <v>26</v>
      </c>
      <c r="AY1916" s="37" t="s">
        <v>8722</v>
      </c>
      <c r="AZ1916" s="37" t="s">
        <v>536</v>
      </c>
      <c r="BA1916" s="37">
        <v>20</v>
      </c>
      <c r="BB1916" s="36" t="s">
        <v>537</v>
      </c>
      <c r="BC1916" s="36" t="s">
        <v>648</v>
      </c>
      <c r="BD1916" s="36"/>
      <c r="BE1916" s="245" t="s">
        <v>649</v>
      </c>
      <c r="BF1916" s="37" t="s">
        <v>539</v>
      </c>
      <c r="BG1916" s="37" t="s">
        <v>272</v>
      </c>
      <c r="BH1916" s="37" t="s">
        <v>272</v>
      </c>
      <c r="BI1916" s="250">
        <v>57.795528046421659</v>
      </c>
      <c r="BJ1916" s="250">
        <v>164.98723404255321</v>
      </c>
      <c r="BK1916" s="37"/>
      <c r="BL1916" s="263">
        <v>51.482775159817145</v>
      </c>
      <c r="BM1916" s="37" t="s">
        <v>541</v>
      </c>
      <c r="BN1916" s="37"/>
      <c r="BO1916" s="37">
        <v>104.55516000000001</v>
      </c>
      <c r="BP1916" s="37"/>
      <c r="BQ1916" s="37"/>
      <c r="BR1916" s="37"/>
      <c r="BS1916" s="37"/>
      <c r="BT1916" s="37"/>
      <c r="BU1916" s="246"/>
      <c r="BV1916" s="37"/>
      <c r="BW1916" s="37"/>
      <c r="BX1916" s="37"/>
      <c r="BY1916" s="37"/>
      <c r="BZ1916" s="37"/>
      <c r="CA1916" s="37"/>
      <c r="CB1916" s="37"/>
      <c r="CC1916" s="37"/>
      <c r="CD1916" s="37"/>
      <c r="CE1916" s="37"/>
      <c r="CF1916" s="37"/>
      <c r="CG1916" s="37"/>
      <c r="CH1916" s="37"/>
      <c r="CI1916" s="243">
        <v>104.55516000000001</v>
      </c>
      <c r="CJ1916" s="243">
        <f t="shared" si="526"/>
        <v>2.0193454709578789</v>
      </c>
      <c r="CK1916" s="38">
        <f t="shared" si="521"/>
        <v>0.31204096158457206</v>
      </c>
      <c r="CL1916" s="247">
        <f t="shared" si="522"/>
        <v>0.492398224629154</v>
      </c>
      <c r="CM1916" s="247"/>
      <c r="CN1916" s="247"/>
      <c r="CO1916" s="36"/>
      <c r="CP1916" s="496" t="s">
        <v>772</v>
      </c>
      <c r="CQ1916" s="241" t="s">
        <v>272</v>
      </c>
      <c r="CR1916" s="241"/>
      <c r="CS1916" s="33"/>
      <c r="CT1916" s="33"/>
      <c r="CU1916" s="250">
        <f t="shared" si="523"/>
        <v>81.667916935425922</v>
      </c>
      <c r="CV1916" s="337">
        <f t="shared" si="524"/>
        <v>51.754320093928335</v>
      </c>
      <c r="CW1916" s="330">
        <f t="shared" si="527"/>
        <v>1</v>
      </c>
      <c r="CX1916" s="330"/>
      <c r="CY1916" s="143" t="s">
        <v>6351</v>
      </c>
    </row>
    <row r="1917" spans="1:103" ht="11.25" customHeight="1" x14ac:dyDescent="0.2">
      <c r="A1917" s="72">
        <v>1874</v>
      </c>
      <c r="B1917" s="241">
        <v>137</v>
      </c>
      <c r="C1917" s="32" t="s">
        <v>780</v>
      </c>
      <c r="D1917" s="32"/>
      <c r="E1917" s="40"/>
      <c r="F1917" s="40" t="s">
        <v>781</v>
      </c>
      <c r="G1917" s="242">
        <v>13952846</v>
      </c>
      <c r="H1917" s="36" t="s">
        <v>782</v>
      </c>
      <c r="I1917" s="36" t="s">
        <v>782</v>
      </c>
      <c r="J1917" s="36" t="s">
        <v>783</v>
      </c>
      <c r="K1917" s="36" t="s">
        <v>300</v>
      </c>
      <c r="L1917" s="36"/>
      <c r="M1917" s="36"/>
      <c r="N1917" s="36"/>
      <c r="O1917" s="36"/>
      <c r="P1917" s="41"/>
      <c r="Q1917" s="41"/>
      <c r="R1917" s="41"/>
      <c r="S1917" s="41"/>
      <c r="T1917" s="37">
        <v>73.14</v>
      </c>
      <c r="U1917" s="243">
        <v>112000</v>
      </c>
      <c r="V1917" s="243">
        <v>319000</v>
      </c>
      <c r="W1917" s="243">
        <v>58097.167087733949</v>
      </c>
      <c r="X1917" s="243">
        <v>112000</v>
      </c>
      <c r="Y1917" s="414">
        <v>12.31</v>
      </c>
      <c r="Z1917" s="37">
        <v>0.76</v>
      </c>
      <c r="AA1917" s="37">
        <v>0.74</v>
      </c>
      <c r="AB1917" s="37">
        <v>0.69</v>
      </c>
      <c r="AC1917" s="37">
        <v>0.94269999999999998</v>
      </c>
      <c r="AD1917" s="37">
        <v>0.7</v>
      </c>
      <c r="AE1917" s="37">
        <v>0.75</v>
      </c>
      <c r="AF1917" s="37">
        <f t="shared" si="520"/>
        <v>0.74</v>
      </c>
      <c r="AG1917" s="38">
        <v>0.37</v>
      </c>
      <c r="AH1917" s="243">
        <v>1.77E-5</v>
      </c>
      <c r="AI1917" s="243">
        <v>1.5300000000000001E-4</v>
      </c>
      <c r="AJ1917" s="34">
        <f t="shared" si="517"/>
        <v>-3.1405930599508451</v>
      </c>
      <c r="AK1917" s="34">
        <f>LOG10(AI1917*1000/(0.08206*298.15))</f>
        <v>-2.2038748954950531</v>
      </c>
      <c r="AL1917" s="34">
        <f t="shared" si="519"/>
        <v>-2.2038748954950531</v>
      </c>
      <c r="AM1917" s="34">
        <v>-4.5409600000000001</v>
      </c>
      <c r="AN1917" s="244">
        <v>-3.18</v>
      </c>
      <c r="AO1917" s="417"/>
      <c r="AP1917" s="417">
        <v>10.74</v>
      </c>
      <c r="AQ1917" s="244" t="s">
        <v>6311</v>
      </c>
      <c r="AR1917" s="244" t="s">
        <v>6311</v>
      </c>
      <c r="AS1917" s="241" t="s">
        <v>78</v>
      </c>
      <c r="AT1917" s="39" t="s">
        <v>266</v>
      </c>
      <c r="AU1917" s="37">
        <v>0</v>
      </c>
      <c r="AV1917" s="37">
        <v>48</v>
      </c>
      <c r="AW1917" s="37">
        <v>48</v>
      </c>
      <c r="AX1917" s="37">
        <v>26</v>
      </c>
      <c r="AY1917" s="37" t="s">
        <v>8722</v>
      </c>
      <c r="AZ1917" s="37" t="s">
        <v>536</v>
      </c>
      <c r="BA1917" s="37">
        <v>20</v>
      </c>
      <c r="BB1917" s="36" t="s">
        <v>537</v>
      </c>
      <c r="BC1917" s="36" t="s">
        <v>648</v>
      </c>
      <c r="BD1917" s="36"/>
      <c r="BE1917" s="245" t="s">
        <v>649</v>
      </c>
      <c r="BF1917" s="37" t="s">
        <v>539</v>
      </c>
      <c r="BG1917" s="37" t="s">
        <v>272</v>
      </c>
      <c r="BH1917" s="37" t="s">
        <v>272</v>
      </c>
      <c r="BI1917" s="250">
        <v>38.999999999999993</v>
      </c>
      <c r="BJ1917" s="250">
        <v>150</v>
      </c>
      <c r="BK1917" s="37"/>
      <c r="BL1917" s="263">
        <v>780.54681511204205</v>
      </c>
      <c r="BM1917" s="37" t="s">
        <v>541</v>
      </c>
      <c r="BN1917" s="37"/>
      <c r="BO1917" s="37">
        <v>95.155140000000003</v>
      </c>
      <c r="BP1917" s="37"/>
      <c r="BQ1917" s="37"/>
      <c r="BR1917" s="37"/>
      <c r="BS1917" s="37"/>
      <c r="BT1917" s="37"/>
      <c r="BU1917" s="246"/>
      <c r="BV1917" s="37"/>
      <c r="BW1917" s="37"/>
      <c r="BX1917" s="37"/>
      <c r="BY1917" s="37"/>
      <c r="BZ1917" s="37"/>
      <c r="CA1917" s="37"/>
      <c r="CB1917" s="37"/>
      <c r="CC1917" s="37"/>
      <c r="CD1917" s="37"/>
      <c r="CE1917" s="37"/>
      <c r="CF1917" s="37"/>
      <c r="CG1917" s="37"/>
      <c r="CH1917" s="37"/>
      <c r="CI1917" s="243">
        <v>95.155140000000003</v>
      </c>
      <c r="CJ1917" s="243">
        <f t="shared" si="526"/>
        <v>1.9784322525636118</v>
      </c>
      <c r="CK1917" s="38">
        <f t="shared" si="521"/>
        <v>5.20364543408028</v>
      </c>
      <c r="CL1917" s="247">
        <f t="shared" si="522"/>
        <v>8.2028865189210176</v>
      </c>
      <c r="CM1917" s="247"/>
      <c r="CN1917" s="247"/>
      <c r="CO1917" s="36"/>
      <c r="CP1917" s="496" t="s">
        <v>772</v>
      </c>
      <c r="CQ1917" s="241">
        <v>2.4393326938302629</v>
      </c>
      <c r="CR1917" s="241">
        <f>10^(CJ1917-CQ1917)</f>
        <v>0.34601869090909071</v>
      </c>
      <c r="CS1917" s="33"/>
      <c r="CT1917" s="33"/>
      <c r="CU1917" s="250">
        <f t="shared" si="523"/>
        <v>1177.0252242811055</v>
      </c>
      <c r="CV1917" s="337">
        <f t="shared" si="524"/>
        <v>746.66666666666663</v>
      </c>
      <c r="CW1917" s="330">
        <f t="shared" si="527"/>
        <v>1</v>
      </c>
      <c r="CX1917" s="330"/>
      <c r="CY1917" s="143" t="s">
        <v>5921</v>
      </c>
    </row>
    <row r="1918" spans="1:103" ht="11.25" customHeight="1" x14ac:dyDescent="0.2">
      <c r="A1918" s="72">
        <v>24</v>
      </c>
      <c r="B1918" s="149">
        <v>771</v>
      </c>
      <c r="C1918" s="54" t="s">
        <v>2161</v>
      </c>
      <c r="D1918" s="54" t="s">
        <v>6491</v>
      </c>
      <c r="E1918" s="59"/>
      <c r="F1918" s="59" t="s">
        <v>2162</v>
      </c>
      <c r="G1918" s="151">
        <v>994058</v>
      </c>
      <c r="H1918" s="55" t="s">
        <v>2163</v>
      </c>
      <c r="I1918" s="55" t="s">
        <v>2163</v>
      </c>
      <c r="J1918" s="55" t="s">
        <v>2164</v>
      </c>
      <c r="K1918" s="55" t="s">
        <v>426</v>
      </c>
      <c r="L1918" s="55" t="s">
        <v>5527</v>
      </c>
      <c r="M1918" s="55" t="s">
        <v>6025</v>
      </c>
      <c r="N1918" s="60" t="s">
        <v>2342</v>
      </c>
      <c r="O1918" s="55" t="s">
        <v>2342</v>
      </c>
      <c r="P1918" s="67" t="s">
        <v>1639</v>
      </c>
      <c r="Q1918" s="67" t="s">
        <v>6173</v>
      </c>
      <c r="R1918" s="67" t="s">
        <v>6082</v>
      </c>
      <c r="S1918" s="67" t="s">
        <v>6173</v>
      </c>
      <c r="T1918" s="56">
        <v>102.17</v>
      </c>
      <c r="U1918" s="103"/>
      <c r="V1918" s="103">
        <v>2640</v>
      </c>
      <c r="W1918" s="103">
        <v>12862.440932301</v>
      </c>
      <c r="X1918" s="103">
        <v>12862.440932301</v>
      </c>
      <c r="Y1918" s="162">
        <v>7</v>
      </c>
      <c r="Z1918" s="56">
        <v>1.92</v>
      </c>
      <c r="AA1918" s="56"/>
      <c r="AB1918" s="56">
        <v>1.8</v>
      </c>
      <c r="AC1918" s="56">
        <v>0.83069999999999999</v>
      </c>
      <c r="AD1918" s="56">
        <v>1.76</v>
      </c>
      <c r="AE1918" s="56">
        <v>1.68</v>
      </c>
      <c r="AF1918" s="56">
        <f t="shared" si="520"/>
        <v>1.76</v>
      </c>
      <c r="AG1918" s="57">
        <v>1.84</v>
      </c>
      <c r="AH1918" s="103">
        <v>2.6800000000000001E-3</v>
      </c>
      <c r="AI1918" s="103">
        <v>1.32E-3</v>
      </c>
      <c r="AJ1918" s="62">
        <f t="shared" si="517"/>
        <v>-0.96043153228386291</v>
      </c>
      <c r="AK1918" s="62">
        <f>LOG10(AI1918*1000/(0.08206*298.15))</f>
        <v>-1.267992395106802</v>
      </c>
      <c r="AL1918" s="62">
        <f t="shared" si="519"/>
        <v>-1.267992395106802</v>
      </c>
      <c r="AM1918" s="62">
        <v>-1.4995500000000002</v>
      </c>
      <c r="AN1918" s="154">
        <v>-1.1100000000000001</v>
      </c>
      <c r="AO1918" s="410"/>
      <c r="AP1918" s="410"/>
      <c r="AQ1918" s="56" t="s">
        <v>6311</v>
      </c>
      <c r="AR1918" s="56" t="s">
        <v>6311</v>
      </c>
      <c r="AS1918" s="155" t="s">
        <v>2156</v>
      </c>
      <c r="AT1918" s="58" t="s">
        <v>266</v>
      </c>
      <c r="AU1918" s="56">
        <v>3</v>
      </c>
      <c r="AV1918" s="56">
        <v>120</v>
      </c>
      <c r="AW1918" s="56">
        <v>120</v>
      </c>
      <c r="AX1918" s="56">
        <v>25</v>
      </c>
      <c r="AY1918" s="56" t="s">
        <v>8722</v>
      </c>
      <c r="AZ1918" s="56" t="s">
        <v>2157</v>
      </c>
      <c r="BA1918" s="56">
        <v>45</v>
      </c>
      <c r="BB1918" s="55" t="s">
        <v>2158</v>
      </c>
      <c r="BC1918" s="55" t="s">
        <v>2159</v>
      </c>
      <c r="BD1918" s="55"/>
      <c r="BE1918" s="56" t="s">
        <v>271</v>
      </c>
      <c r="BF1918" s="56" t="s">
        <v>272</v>
      </c>
      <c r="BG1918" s="56" t="s">
        <v>272</v>
      </c>
      <c r="BH1918" s="56" t="s">
        <v>272</v>
      </c>
      <c r="BI1918" s="153">
        <v>255.42500000000001</v>
      </c>
      <c r="BJ1918" s="153">
        <v>4086.8</v>
      </c>
      <c r="BK1918" s="56"/>
      <c r="BL1918" s="153">
        <v>99.031052188433122</v>
      </c>
      <c r="BM1918" s="56">
        <v>0</v>
      </c>
      <c r="BN1918" s="56"/>
      <c r="BO1918" s="56"/>
      <c r="BP1918" s="56"/>
      <c r="BQ1918" s="56"/>
      <c r="BR1918" s="56">
        <v>1016.5915</v>
      </c>
      <c r="BS1918" s="56"/>
      <c r="BT1918" s="56"/>
      <c r="BU1918" s="158"/>
      <c r="BV1918" s="56"/>
      <c r="BW1918" s="56"/>
      <c r="BX1918" s="56"/>
      <c r="BY1918" s="56"/>
      <c r="BZ1918" s="56"/>
      <c r="CA1918" s="56"/>
      <c r="CB1918" s="56"/>
      <c r="CC1918" s="56"/>
      <c r="CD1918" s="56"/>
      <c r="CE1918" s="56"/>
      <c r="CF1918" s="56"/>
      <c r="CG1918" s="56"/>
      <c r="CH1918" s="56"/>
      <c r="CI1918" s="103">
        <v>1016.5915</v>
      </c>
      <c r="CJ1918" s="103">
        <f t="shared" si="526"/>
        <v>3.0071464741267389</v>
      </c>
      <c r="CK1918" s="57">
        <f t="shared" si="521"/>
        <v>2.4231930162580288E-2</v>
      </c>
      <c r="CL1918" s="160">
        <f t="shared" si="522"/>
        <v>9.7414794623438342E-2</v>
      </c>
      <c r="CM1918" s="160"/>
      <c r="CN1918" s="160"/>
      <c r="CO1918" s="55"/>
      <c r="CP1918" s="497" t="s">
        <v>2160</v>
      </c>
      <c r="CQ1918" s="149">
        <v>2.7634279935629373</v>
      </c>
      <c r="CR1918" s="349">
        <f>10^(CJ1918-CQ1918)</f>
        <v>1.752743965517241</v>
      </c>
      <c r="CS1918" s="61" t="s">
        <v>539</v>
      </c>
      <c r="CT1918" s="61"/>
      <c r="CU1918" s="111">
        <f t="shared" si="523"/>
        <v>12.652516701448912</v>
      </c>
      <c r="CV1918" s="331">
        <f t="shared" si="524"/>
        <v>3.1473135294854164</v>
      </c>
      <c r="CW1918" s="326">
        <f t="shared" si="527"/>
        <v>1</v>
      </c>
      <c r="CX1918" s="326"/>
      <c r="CY1918" s="161" t="s">
        <v>6351</v>
      </c>
    </row>
    <row r="1919" spans="1:103" ht="11.25" customHeight="1" x14ac:dyDescent="0.2">
      <c r="A1919" s="72">
        <v>158</v>
      </c>
      <c r="B1919" s="149">
        <v>770</v>
      </c>
      <c r="C1919" s="54" t="s">
        <v>2152</v>
      </c>
      <c r="D1919" s="54"/>
      <c r="E1919" s="59"/>
      <c r="F1919" s="59" t="s">
        <v>2153</v>
      </c>
      <c r="G1919" s="151">
        <v>637923</v>
      </c>
      <c r="H1919" s="55" t="s">
        <v>2154</v>
      </c>
      <c r="I1919" s="55" t="s">
        <v>2154</v>
      </c>
      <c r="J1919" s="55" t="s">
        <v>2155</v>
      </c>
      <c r="K1919" s="55" t="s">
        <v>426</v>
      </c>
      <c r="L1919" s="55"/>
      <c r="M1919" s="55"/>
      <c r="N1919" s="60"/>
      <c r="O1919" s="55"/>
      <c r="P1919" s="67"/>
      <c r="Q1919" s="67"/>
      <c r="R1919" s="67"/>
      <c r="S1919" s="67"/>
      <c r="T1919" s="56">
        <v>102.17</v>
      </c>
      <c r="U1919" s="103">
        <v>12000</v>
      </c>
      <c r="V1919" s="103">
        <v>2640</v>
      </c>
      <c r="W1919" s="103">
        <v>12862.440932301</v>
      </c>
      <c r="X1919" s="103">
        <v>12000</v>
      </c>
      <c r="Y1919" s="162">
        <v>7</v>
      </c>
      <c r="Z1919" s="56">
        <v>1.92</v>
      </c>
      <c r="AA1919" s="56"/>
      <c r="AB1919" s="56">
        <v>1.8</v>
      </c>
      <c r="AC1919" s="56">
        <v>0.83069999999999999</v>
      </c>
      <c r="AD1919" s="56">
        <v>1.76</v>
      </c>
      <c r="AE1919" s="56">
        <v>1.68</v>
      </c>
      <c r="AF1919" s="56">
        <f t="shared" si="520"/>
        <v>1.76</v>
      </c>
      <c r="AG1919" s="57">
        <v>1.83</v>
      </c>
      <c r="AH1919" s="103">
        <v>2.6800000000000001E-3</v>
      </c>
      <c r="AI1919" s="103">
        <v>1.64E-3</v>
      </c>
      <c r="AJ1919" s="62">
        <f t="shared" si="517"/>
        <v>-0.96043153228386291</v>
      </c>
      <c r="AK1919" s="62">
        <f>LOG10(AI1919*1000/(0.08206*298.15))</f>
        <v>-1.173722478264954</v>
      </c>
      <c r="AL1919" s="62">
        <f t="shared" si="519"/>
        <v>-1.173722478264954</v>
      </c>
      <c r="AM1919" s="62">
        <v>-1.4995500000000002</v>
      </c>
      <c r="AN1919" s="154">
        <v>-1.1100000000000001</v>
      </c>
      <c r="AO1919" s="410"/>
      <c r="AP1919" s="410"/>
      <c r="AQ1919" s="56" t="s">
        <v>6311</v>
      </c>
      <c r="AR1919" s="56" t="s">
        <v>6311</v>
      </c>
      <c r="AS1919" s="155" t="s">
        <v>2156</v>
      </c>
      <c r="AT1919" s="58" t="s">
        <v>266</v>
      </c>
      <c r="AU1919" s="56">
        <v>3</v>
      </c>
      <c r="AV1919" s="56">
        <v>120</v>
      </c>
      <c r="AW1919" s="56">
        <v>120</v>
      </c>
      <c r="AX1919" s="56">
        <v>25</v>
      </c>
      <c r="AY1919" s="56" t="s">
        <v>8722</v>
      </c>
      <c r="AZ1919" s="56" t="s">
        <v>2157</v>
      </c>
      <c r="BA1919" s="56">
        <v>45</v>
      </c>
      <c r="BB1919" s="55" t="s">
        <v>2158</v>
      </c>
      <c r="BC1919" s="55" t="s">
        <v>2159</v>
      </c>
      <c r="BD1919" s="55"/>
      <c r="BE1919" s="56" t="s">
        <v>271</v>
      </c>
      <c r="BF1919" s="56" t="s">
        <v>272</v>
      </c>
      <c r="BG1919" s="56" t="s">
        <v>272</v>
      </c>
      <c r="BH1919" s="56" t="s">
        <v>272</v>
      </c>
      <c r="BI1919" s="153">
        <v>255.42500000000001</v>
      </c>
      <c r="BJ1919" s="153">
        <v>4086.8</v>
      </c>
      <c r="BK1919" s="56"/>
      <c r="BL1919" s="153">
        <v>99.031052188433122</v>
      </c>
      <c r="BM1919" s="56">
        <v>0</v>
      </c>
      <c r="BN1919" s="56"/>
      <c r="BO1919" s="56"/>
      <c r="BP1919" s="56"/>
      <c r="BQ1919" s="56"/>
      <c r="BR1919" s="56">
        <v>1430.38</v>
      </c>
      <c r="BS1919" s="56"/>
      <c r="BT1919" s="56"/>
      <c r="BU1919" s="158"/>
      <c r="BV1919" s="56"/>
      <c r="BW1919" s="56"/>
      <c r="BX1919" s="56"/>
      <c r="BY1919" s="56"/>
      <c r="BZ1919" s="56"/>
      <c r="CA1919" s="56"/>
      <c r="CB1919" s="56"/>
      <c r="CC1919" s="56"/>
      <c r="CD1919" s="56"/>
      <c r="CE1919" s="56"/>
      <c r="CF1919" s="56"/>
      <c r="CG1919" s="56"/>
      <c r="CH1919" s="56"/>
      <c r="CI1919" s="103">
        <v>1430.38</v>
      </c>
      <c r="CJ1919" s="103">
        <f t="shared" si="526"/>
        <v>3.1554514290592515</v>
      </c>
      <c r="CK1919" s="57">
        <f t="shared" si="521"/>
        <v>2.4231930162580288E-2</v>
      </c>
      <c r="CL1919" s="160">
        <f t="shared" si="522"/>
        <v>6.9234086178800822E-2</v>
      </c>
      <c r="CM1919" s="160"/>
      <c r="CN1919" s="160"/>
      <c r="CO1919" s="55"/>
      <c r="CP1919" s="497" t="s">
        <v>2160</v>
      </c>
      <c r="CQ1919" s="149" t="s">
        <v>272</v>
      </c>
      <c r="CR1919" s="349"/>
      <c r="CS1919" s="61" t="s">
        <v>539</v>
      </c>
      <c r="CT1919" s="61"/>
      <c r="CU1919" s="111">
        <f t="shared" si="523"/>
        <v>8.3893790461276012</v>
      </c>
      <c r="CV1919" s="331">
        <f t="shared" si="524"/>
        <v>2.9362826661446606</v>
      </c>
      <c r="CW1919" s="326">
        <f t="shared" si="527"/>
        <v>1</v>
      </c>
      <c r="CX1919" s="326"/>
      <c r="CY1919" s="161" t="s">
        <v>6351</v>
      </c>
    </row>
    <row r="1920" spans="1:103" ht="11.25" customHeight="1" x14ac:dyDescent="0.2">
      <c r="A1920" s="72">
        <v>2024</v>
      </c>
      <c r="B1920" s="282">
        <v>1967</v>
      </c>
      <c r="C1920" s="115" t="s">
        <v>1917</v>
      </c>
      <c r="D1920" s="115"/>
      <c r="E1920" s="116">
        <v>1</v>
      </c>
      <c r="F1920" s="122" t="s">
        <v>401</v>
      </c>
      <c r="G1920" s="283">
        <v>10108642</v>
      </c>
      <c r="H1920" s="286" t="s">
        <v>402</v>
      </c>
      <c r="I1920" s="286"/>
      <c r="J1920" s="286"/>
      <c r="K1920" s="284" t="s">
        <v>416</v>
      </c>
      <c r="L1920" s="286"/>
      <c r="M1920" s="286"/>
      <c r="N1920" s="286"/>
      <c r="O1920" s="286"/>
      <c r="P1920" s="286"/>
      <c r="Q1920" s="286"/>
      <c r="R1920" s="286"/>
      <c r="S1920" s="286"/>
      <c r="T1920" s="123">
        <v>201.32</v>
      </c>
      <c r="U1920" s="300"/>
      <c r="V1920" s="300"/>
      <c r="W1920" s="300"/>
      <c r="X1920" s="300"/>
      <c r="Y1920" s="419"/>
      <c r="Z1920" s="116"/>
      <c r="AA1920" s="116"/>
      <c r="AB1920" s="116"/>
      <c r="AC1920" s="116"/>
      <c r="AD1920" s="116"/>
      <c r="AE1920" s="116"/>
      <c r="AF1920" s="116"/>
      <c r="AG1920" s="117" t="s">
        <v>404</v>
      </c>
      <c r="AH1920" s="300"/>
      <c r="AI1920" s="292"/>
      <c r="AJ1920" s="125"/>
      <c r="AK1920" s="125"/>
      <c r="AL1920" s="125"/>
      <c r="AM1920" s="125"/>
      <c r="AN1920" s="301"/>
      <c r="AO1920" s="420"/>
      <c r="AP1920" s="420"/>
      <c r="AQ1920" s="301" t="s">
        <v>6311</v>
      </c>
      <c r="AR1920" s="301" t="s">
        <v>6311</v>
      </c>
      <c r="AS1920" s="298" t="s">
        <v>5466</v>
      </c>
      <c r="AT1920" s="124" t="s">
        <v>266</v>
      </c>
      <c r="AU1920" s="123">
        <v>72</v>
      </c>
      <c r="AV1920" s="123">
        <v>168</v>
      </c>
      <c r="AW1920" s="123">
        <v>96</v>
      </c>
      <c r="AX1920" s="123">
        <v>28.5</v>
      </c>
      <c r="AY1920" s="123" t="s">
        <v>267</v>
      </c>
      <c r="AZ1920" s="123" t="s">
        <v>6212</v>
      </c>
      <c r="BA1920" s="123">
        <v>25</v>
      </c>
      <c r="BB1920" s="286" t="s">
        <v>6213</v>
      </c>
      <c r="BC1920" s="286" t="s">
        <v>8390</v>
      </c>
      <c r="BD1920" s="286"/>
      <c r="BE1920" s="123" t="s">
        <v>6207</v>
      </c>
      <c r="BF1920" s="123" t="s">
        <v>6203</v>
      </c>
      <c r="BG1920" s="123" t="s">
        <v>6203</v>
      </c>
      <c r="BH1920" s="123"/>
      <c r="BI1920" s="300"/>
      <c r="BJ1920" s="300">
        <v>25165</v>
      </c>
      <c r="BK1920" s="306"/>
      <c r="BL1920" s="287"/>
      <c r="BM1920" s="123" t="s">
        <v>1584</v>
      </c>
      <c r="BN1920" s="123"/>
      <c r="BO1920" s="123"/>
      <c r="BP1920" s="123"/>
      <c r="BQ1920" s="123"/>
      <c r="BR1920" s="123"/>
      <c r="BS1920" s="123"/>
      <c r="BT1920" s="123"/>
      <c r="BU1920" s="293"/>
      <c r="BV1920" s="123"/>
      <c r="BW1920" s="123"/>
      <c r="BX1920" s="123"/>
      <c r="BY1920" s="123"/>
      <c r="BZ1920" s="123"/>
      <c r="CA1920" s="123"/>
      <c r="CB1920" s="123"/>
      <c r="CC1920" s="123"/>
      <c r="CD1920" s="123"/>
      <c r="CE1920" s="123"/>
      <c r="CF1920" s="123">
        <v>3.7848160000000002</v>
      </c>
      <c r="CG1920" s="123"/>
      <c r="CH1920" s="123"/>
      <c r="CI1920" s="300">
        <v>3.7848160000000002</v>
      </c>
      <c r="CJ1920" s="292">
        <f t="shared" si="526"/>
        <v>0.57804477098878171</v>
      </c>
      <c r="CK1920" s="120" t="s">
        <v>404</v>
      </c>
      <c r="CL1920" s="294"/>
      <c r="CM1920" s="294"/>
      <c r="CN1920" s="294">
        <f>BJ1920/(10^CM1920)</f>
        <v>25165</v>
      </c>
      <c r="CO1920" s="286"/>
      <c r="CP1920" s="295" t="s">
        <v>8389</v>
      </c>
      <c r="CQ1920" s="282">
        <v>-1.2180114951458934</v>
      </c>
      <c r="CR1920" s="282">
        <f>10^(CJ1920-CQ1920)</f>
        <v>62.525369387321952</v>
      </c>
      <c r="CS1920" s="123"/>
      <c r="CT1920" s="123"/>
      <c r="CU1920" s="300" t="s">
        <v>6310</v>
      </c>
      <c r="CV1920" s="338" t="s">
        <v>6310</v>
      </c>
      <c r="CW1920" s="339">
        <f t="shared" si="527"/>
        <v>1</v>
      </c>
      <c r="CX1920" s="339" t="s">
        <v>539</v>
      </c>
      <c r="CY1920" s="295" t="s">
        <v>6351</v>
      </c>
    </row>
    <row r="1921" spans="1:103" ht="11.25" customHeight="1" x14ac:dyDescent="0.2">
      <c r="A1921" s="72">
        <v>1680</v>
      </c>
      <c r="B1921" s="241">
        <v>579</v>
      </c>
      <c r="C1921" s="32" t="s">
        <v>7634</v>
      </c>
      <c r="D1921" s="32"/>
      <c r="E1921" s="40"/>
      <c r="F1921" s="40" t="s">
        <v>1760</v>
      </c>
      <c r="G1921" s="242">
        <v>80466</v>
      </c>
      <c r="H1921" s="36" t="s">
        <v>1761</v>
      </c>
      <c r="I1921" s="36" t="s">
        <v>1761</v>
      </c>
      <c r="J1921" s="36" t="s">
        <v>1762</v>
      </c>
      <c r="K1921" s="36" t="s">
        <v>349</v>
      </c>
      <c r="L1921" s="36"/>
      <c r="M1921" s="36" t="s">
        <v>8506</v>
      </c>
      <c r="N1921" s="36" t="s">
        <v>6082</v>
      </c>
      <c r="O1921" s="36" t="s">
        <v>1763</v>
      </c>
      <c r="P1921" s="41" t="s">
        <v>6184</v>
      </c>
      <c r="Q1921" s="41" t="s">
        <v>6173</v>
      </c>
      <c r="R1921" s="41" t="s">
        <v>6185</v>
      </c>
      <c r="S1921" s="41" t="s">
        <v>6176</v>
      </c>
      <c r="T1921" s="37">
        <v>164.24</v>
      </c>
      <c r="U1921" s="243">
        <v>168</v>
      </c>
      <c r="V1921" s="243">
        <v>113.2</v>
      </c>
      <c r="W1921" s="243">
        <v>462.89121263087367</v>
      </c>
      <c r="X1921" s="243">
        <v>168</v>
      </c>
      <c r="Y1921" s="414">
        <v>6.38</v>
      </c>
      <c r="Z1921" s="37">
        <v>3.91</v>
      </c>
      <c r="AA1921" s="37"/>
      <c r="AB1921" s="37">
        <v>3.65</v>
      </c>
      <c r="AC1921" s="37">
        <v>0.90659999999999996</v>
      </c>
      <c r="AD1921" s="37">
        <v>3.66</v>
      </c>
      <c r="AE1921" s="37">
        <v>3.7</v>
      </c>
      <c r="AF1921" s="37">
        <f t="shared" ref="AF1921:AF1956" si="528">IF(AA1921=0,AD1921,AA1921)</f>
        <v>3.66</v>
      </c>
      <c r="AG1921" s="38">
        <v>3.54</v>
      </c>
      <c r="AH1921" s="243">
        <v>1.9199999999999998E-6</v>
      </c>
      <c r="AI1921" s="243"/>
      <c r="AJ1921" s="34">
        <f t="shared" ref="AJ1921:AJ1956" si="529">LOG10(AH1921*1000/(0.08206*298.15))</f>
        <v>-4.1052650976091023</v>
      </c>
      <c r="AK1921" s="34"/>
      <c r="AL1921" s="34">
        <f t="shared" ref="AL1921:AL1956" si="530">IF(AK1921=0,AJ1921,AK1921)</f>
        <v>-4.1052650976091023</v>
      </c>
      <c r="AM1921" s="34">
        <v>-6.8975099999999996</v>
      </c>
      <c r="AN1921" s="244">
        <v>-4.1500000000000004</v>
      </c>
      <c r="AO1921" s="417">
        <v>10.24</v>
      </c>
      <c r="AP1921" s="417"/>
      <c r="AQ1921" s="244" t="s">
        <v>6311</v>
      </c>
      <c r="AR1921" s="244" t="s">
        <v>6311</v>
      </c>
      <c r="AS1921" s="241" t="s">
        <v>6</v>
      </c>
      <c r="AT1921" s="39" t="s">
        <v>266</v>
      </c>
      <c r="AU1921" s="37">
        <v>2</v>
      </c>
      <c r="AV1921" s="37">
        <v>24</v>
      </c>
      <c r="AW1921" s="37">
        <v>24</v>
      </c>
      <c r="AX1921" s="37">
        <v>27</v>
      </c>
      <c r="AY1921" s="37" t="s">
        <v>8722</v>
      </c>
      <c r="AZ1921" s="37" t="s">
        <v>536</v>
      </c>
      <c r="BA1921" s="37">
        <v>20</v>
      </c>
      <c r="BB1921" s="36" t="s">
        <v>1764</v>
      </c>
      <c r="BC1921" s="36" t="s">
        <v>538</v>
      </c>
      <c r="BD1921" s="36"/>
      <c r="BE1921" s="37" t="s">
        <v>649</v>
      </c>
      <c r="BF1921" s="37" t="s">
        <v>272</v>
      </c>
      <c r="BG1921" s="37" t="s">
        <v>272</v>
      </c>
      <c r="BH1921" s="37" t="s">
        <v>1765</v>
      </c>
      <c r="BI1921" s="250">
        <v>0.1</v>
      </c>
      <c r="BJ1921" s="250">
        <v>5</v>
      </c>
      <c r="BK1921" s="37"/>
      <c r="BL1921" s="263">
        <v>2.5984115401162948</v>
      </c>
      <c r="BM1921" s="37" t="s">
        <v>541</v>
      </c>
      <c r="BN1921" s="37">
        <v>3.5</v>
      </c>
      <c r="BO1921" s="37">
        <v>3.5</v>
      </c>
      <c r="BP1921" s="37">
        <v>3.5</v>
      </c>
      <c r="BQ1921" s="37"/>
      <c r="BR1921" s="37"/>
      <c r="BS1921" s="37"/>
      <c r="BT1921" s="37"/>
      <c r="BU1921" s="246"/>
      <c r="BV1921" s="37"/>
      <c r="BW1921" s="37"/>
      <c r="BX1921" s="37"/>
      <c r="BY1921" s="37"/>
      <c r="BZ1921" s="37"/>
      <c r="CA1921" s="37"/>
      <c r="CB1921" s="37"/>
      <c r="CC1921" s="37"/>
      <c r="CD1921" s="37"/>
      <c r="CE1921" s="37"/>
      <c r="CF1921" s="37"/>
      <c r="CG1921" s="37"/>
      <c r="CH1921" s="37"/>
      <c r="CI1921" s="243">
        <v>3.5</v>
      </c>
      <c r="CJ1921" s="243">
        <f t="shared" si="526"/>
        <v>0.54406804435027567</v>
      </c>
      <c r="CK1921" s="38">
        <f t="shared" ref="CK1921:CK1962" si="531">BL1921/BJ1921</f>
        <v>0.51968230802325899</v>
      </c>
      <c r="CL1921" s="247">
        <f>BL1921/CI1921</f>
        <v>0.74240329717608422</v>
      </c>
      <c r="CM1921" s="247">
        <v>0.40873770690803563</v>
      </c>
      <c r="CN1921" s="247">
        <f>BJ1921/(10^CM1921)</f>
        <v>1.9508878205732381</v>
      </c>
      <c r="CO1921" s="36"/>
      <c r="CP1921" s="496" t="s">
        <v>1766</v>
      </c>
      <c r="CQ1921" s="241">
        <v>0.40873770690803574</v>
      </c>
      <c r="CR1921" s="241">
        <f>10^(CJ1921-CQ1921)</f>
        <v>1.3656214744012665</v>
      </c>
      <c r="CS1921" s="33"/>
      <c r="CT1921" s="33"/>
      <c r="CU1921" s="250">
        <f>X1921/CI1921</f>
        <v>48</v>
      </c>
      <c r="CV1921" s="337">
        <f t="shared" ref="CV1921:CV1963" si="532">X1921/BJ1921</f>
        <v>33.6</v>
      </c>
      <c r="CW1921" s="330">
        <f t="shared" si="527"/>
        <v>1</v>
      </c>
      <c r="CX1921" s="330"/>
      <c r="CY1921" s="143" t="s">
        <v>6351</v>
      </c>
    </row>
    <row r="1922" spans="1:103" ht="11.25" customHeight="1" x14ac:dyDescent="0.2">
      <c r="A1922" s="72">
        <v>1929</v>
      </c>
      <c r="B1922" s="241">
        <v>586</v>
      </c>
      <c r="C1922" s="32" t="s">
        <v>1392</v>
      </c>
      <c r="D1922" s="32"/>
      <c r="E1922" s="40"/>
      <c r="F1922" s="40" t="s">
        <v>1393</v>
      </c>
      <c r="G1922" s="242">
        <v>67747095</v>
      </c>
      <c r="H1922" s="36" t="s">
        <v>1394</v>
      </c>
      <c r="I1922" s="36" t="s">
        <v>7941</v>
      </c>
      <c r="J1922" s="36" t="s">
        <v>1395</v>
      </c>
      <c r="K1922" s="36" t="s">
        <v>1064</v>
      </c>
      <c r="L1922" s="36" t="s">
        <v>6007</v>
      </c>
      <c r="M1922" s="36" t="s">
        <v>6008</v>
      </c>
      <c r="N1922" s="36" t="s">
        <v>6386</v>
      </c>
      <c r="O1922" s="36" t="s">
        <v>6009</v>
      </c>
      <c r="P1922" s="41"/>
      <c r="Q1922" s="41"/>
      <c r="R1922" s="41"/>
      <c r="S1922" s="41"/>
      <c r="T1922" s="37">
        <v>376.66</v>
      </c>
      <c r="U1922" s="243">
        <v>33.999097353120767</v>
      </c>
      <c r="V1922" s="243">
        <v>1.3439643188998329</v>
      </c>
      <c r="W1922" s="243">
        <v>24.885679412654092</v>
      </c>
      <c r="X1922" s="243">
        <v>33.999097353120767</v>
      </c>
      <c r="Y1922" s="414">
        <v>7.37</v>
      </c>
      <c r="Z1922" s="37">
        <v>4.13</v>
      </c>
      <c r="AA1922" s="37">
        <v>4.0999999999999996</v>
      </c>
      <c r="AB1922" s="37">
        <v>4.1100000000000003</v>
      </c>
      <c r="AC1922" s="37">
        <v>0.85909999999999997</v>
      </c>
      <c r="AD1922" s="37">
        <v>4.08</v>
      </c>
      <c r="AE1922" s="37">
        <v>3.98</v>
      </c>
      <c r="AF1922" s="37">
        <f t="shared" si="528"/>
        <v>4.0999999999999996</v>
      </c>
      <c r="AG1922" s="38">
        <v>4.18</v>
      </c>
      <c r="AH1922" s="243">
        <v>7.5799999999999996E-12</v>
      </c>
      <c r="AI1922" s="243">
        <v>1.6400000000000001E-8</v>
      </c>
      <c r="AJ1922" s="34">
        <f t="shared" si="529"/>
        <v>-9.508897120680599</v>
      </c>
      <c r="AK1922" s="34">
        <f>LOG10(AI1922*1000/(0.08206*298.15))</f>
        <v>-6.1737224782649536</v>
      </c>
      <c r="AL1922" s="34">
        <f t="shared" si="530"/>
        <v>-6.1737224782649536</v>
      </c>
      <c r="AM1922" s="34">
        <v>-16.703500000000002</v>
      </c>
      <c r="AN1922" s="244">
        <v>-6.14</v>
      </c>
      <c r="AO1922" s="417"/>
      <c r="AP1922" s="417">
        <v>4.84</v>
      </c>
      <c r="AQ1922" s="244" t="s">
        <v>6311</v>
      </c>
      <c r="AR1922" s="244" t="s">
        <v>6311</v>
      </c>
      <c r="AS1922" s="241" t="s">
        <v>6</v>
      </c>
      <c r="AT1922" s="39" t="s">
        <v>266</v>
      </c>
      <c r="AU1922" s="37">
        <v>2</v>
      </c>
      <c r="AV1922" s="37">
        <v>24</v>
      </c>
      <c r="AW1922" s="37">
        <v>24</v>
      </c>
      <c r="AX1922" s="37">
        <v>27</v>
      </c>
      <c r="AY1922" s="37" t="s">
        <v>8722</v>
      </c>
      <c r="AZ1922" s="37" t="s">
        <v>536</v>
      </c>
      <c r="BA1922" s="37">
        <v>20</v>
      </c>
      <c r="BB1922" s="36" t="s">
        <v>1764</v>
      </c>
      <c r="BC1922" s="36" t="s">
        <v>538</v>
      </c>
      <c r="BD1922" s="36"/>
      <c r="BE1922" s="37" t="s">
        <v>649</v>
      </c>
      <c r="BF1922" s="37" t="s">
        <v>272</v>
      </c>
      <c r="BG1922" s="37" t="s">
        <v>272</v>
      </c>
      <c r="BH1922" s="37" t="s">
        <v>1765</v>
      </c>
      <c r="BI1922" s="250">
        <v>0.4999867257811878</v>
      </c>
      <c r="BJ1922" s="250">
        <v>4.9998672578118786</v>
      </c>
      <c r="BK1922" s="37"/>
      <c r="BL1922" s="263">
        <v>3.7809114141658466</v>
      </c>
      <c r="BM1922" s="37" t="s">
        <v>541</v>
      </c>
      <c r="BN1922" s="37">
        <v>2.8999230095308888</v>
      </c>
      <c r="BO1922" s="37">
        <v>2.8999230095308888</v>
      </c>
      <c r="BP1922" s="37">
        <v>2.8999230095308888</v>
      </c>
      <c r="BQ1922" s="37"/>
      <c r="BR1922" s="37"/>
      <c r="BS1922" s="37"/>
      <c r="BT1922" s="37"/>
      <c r="BU1922" s="246"/>
      <c r="BV1922" s="37"/>
      <c r="BW1922" s="37"/>
      <c r="BX1922" s="37"/>
      <c r="BY1922" s="37"/>
      <c r="BZ1922" s="37"/>
      <c r="CA1922" s="37"/>
      <c r="CB1922" s="37"/>
      <c r="CC1922" s="37"/>
      <c r="CD1922" s="37"/>
      <c r="CE1922" s="37"/>
      <c r="CF1922" s="37"/>
      <c r="CG1922" s="37"/>
      <c r="CH1922" s="37"/>
      <c r="CI1922" s="243">
        <v>2.8999230095308888</v>
      </c>
      <c r="CJ1922" s="243">
        <f t="shared" si="526"/>
        <v>0.46238646790594023</v>
      </c>
      <c r="CK1922" s="38">
        <f t="shared" si="531"/>
        <v>0.75620235882432396</v>
      </c>
      <c r="CL1922" s="247">
        <f>BL1922/CI1922</f>
        <v>1.3037971703867657</v>
      </c>
      <c r="CM1922" s="247">
        <v>-0.23428417606624372</v>
      </c>
      <c r="CN1922" s="247">
        <f>BJ1922/(10^CM1922)</f>
        <v>8.5751682596712211</v>
      </c>
      <c r="CO1922" s="36"/>
      <c r="CP1922" s="496" t="s">
        <v>1766</v>
      </c>
      <c r="CQ1922" s="241">
        <v>-0.23428417606624358</v>
      </c>
      <c r="CR1922" s="241">
        <f>10^(CJ1922-CQ1922)</f>
        <v>4.9735975906093062</v>
      </c>
      <c r="CS1922" s="33"/>
      <c r="CT1922" s="33"/>
      <c r="CU1922" s="250">
        <f>X1922/CI1922</f>
        <v>11.724137931034484</v>
      </c>
      <c r="CV1922" s="337">
        <f t="shared" si="532"/>
        <v>6.7999999999999989</v>
      </c>
      <c r="CW1922" s="330">
        <f t="shared" si="527"/>
        <v>1</v>
      </c>
      <c r="CX1922" s="330"/>
      <c r="CY1922" s="143" t="s">
        <v>5921</v>
      </c>
    </row>
    <row r="1923" spans="1:103" ht="11.25" customHeight="1" x14ac:dyDescent="0.2">
      <c r="A1923" s="72">
        <v>237</v>
      </c>
      <c r="B1923" s="149">
        <v>1940</v>
      </c>
      <c r="C1923" s="54" t="s">
        <v>5482</v>
      </c>
      <c r="D1923" s="54"/>
      <c r="E1923" s="59"/>
      <c r="F1923" s="167" t="s">
        <v>5483</v>
      </c>
      <c r="G1923" s="151">
        <v>17924924</v>
      </c>
      <c r="H1923" s="67" t="s">
        <v>5484</v>
      </c>
      <c r="I1923" s="67" t="s">
        <v>5484</v>
      </c>
      <c r="J1923" s="67" t="s">
        <v>5485</v>
      </c>
      <c r="K1923" s="67" t="s">
        <v>3383</v>
      </c>
      <c r="L1923" s="67" t="s">
        <v>5486</v>
      </c>
      <c r="M1923" s="67"/>
      <c r="N1923" s="60"/>
      <c r="O1923" s="67"/>
      <c r="P1923" s="67"/>
      <c r="Q1923" s="67"/>
      <c r="R1923" s="67"/>
      <c r="S1923" s="67"/>
      <c r="T1923" s="61">
        <v>318.36</v>
      </c>
      <c r="U1923" s="111"/>
      <c r="V1923" s="111">
        <v>31.759999999999998</v>
      </c>
      <c r="W1923" s="111">
        <v>391.66836587582952</v>
      </c>
      <c r="X1923" s="111">
        <v>391.66836587582952</v>
      </c>
      <c r="Y1923" s="411">
        <v>5.16</v>
      </c>
      <c r="Z1923" s="61">
        <v>3.58</v>
      </c>
      <c r="AA1923" s="61"/>
      <c r="AB1923" s="61">
        <v>4.0599999999999996</v>
      </c>
      <c r="AC1923" s="61">
        <v>0.55669999999999997</v>
      </c>
      <c r="AD1923" s="61">
        <v>3.96</v>
      </c>
      <c r="AE1923" s="61">
        <v>3.83</v>
      </c>
      <c r="AF1923" s="61">
        <f t="shared" si="528"/>
        <v>3.96</v>
      </c>
      <c r="AG1923" s="62">
        <v>3.96</v>
      </c>
      <c r="AH1923" s="111">
        <v>4.6500000000000004E-13</v>
      </c>
      <c r="AI1923" s="111"/>
      <c r="AJ1923" s="62">
        <f t="shared" si="529"/>
        <v>-10.721113373422698</v>
      </c>
      <c r="AK1923" s="62"/>
      <c r="AL1923" s="62">
        <f t="shared" si="530"/>
        <v>-10.721113373422698</v>
      </c>
      <c r="AM1923" s="62">
        <v>-15.808870000000001</v>
      </c>
      <c r="AN1923" s="163"/>
      <c r="AO1923" s="410">
        <v>7.58</v>
      </c>
      <c r="AP1923" s="410"/>
      <c r="AQ1923" s="163" t="s">
        <v>6311</v>
      </c>
      <c r="AR1923" s="163" t="s">
        <v>6311</v>
      </c>
      <c r="AS1923" s="164" t="s">
        <v>5466</v>
      </c>
      <c r="AT1923" s="63" t="s">
        <v>266</v>
      </c>
      <c r="AU1923" s="61">
        <v>0</v>
      </c>
      <c r="AV1923" s="61">
        <v>120</v>
      </c>
      <c r="AW1923" s="61">
        <v>120</v>
      </c>
      <c r="AX1923" s="61">
        <v>27.5</v>
      </c>
      <c r="AY1923" s="61" t="s">
        <v>267</v>
      </c>
      <c r="AZ1923" s="61"/>
      <c r="BA1923" s="61">
        <v>24</v>
      </c>
      <c r="BB1923" s="67" t="s">
        <v>5487</v>
      </c>
      <c r="BC1923" s="67" t="s">
        <v>1584</v>
      </c>
      <c r="BD1923" s="67"/>
      <c r="BE1923" s="61" t="s">
        <v>6340</v>
      </c>
      <c r="BF1923" s="61"/>
      <c r="BG1923" s="61"/>
      <c r="BH1923" s="61" t="s">
        <v>5488</v>
      </c>
      <c r="BI1923" s="153">
        <v>1.0000005960000001E-5</v>
      </c>
      <c r="BJ1923" s="153">
        <v>5.0000001147599997</v>
      </c>
      <c r="BK1923" s="61" t="s">
        <v>5489</v>
      </c>
      <c r="BL1923" s="153">
        <v>9.9659911237699017</v>
      </c>
      <c r="BM1923" s="61"/>
      <c r="BN1923" s="61">
        <v>2.8539999818400004</v>
      </c>
      <c r="BO1923" s="61">
        <v>2.0670000540000002</v>
      </c>
      <c r="BP1923" s="61">
        <v>1.2979998822000001</v>
      </c>
      <c r="BQ1923" s="61">
        <v>1.0990000501200001</v>
      </c>
      <c r="BR1923" s="61">
        <v>0.89300011836000004</v>
      </c>
      <c r="BS1923" s="61"/>
      <c r="BT1923" s="61"/>
      <c r="BU1923" s="158"/>
      <c r="BV1923" s="61"/>
      <c r="BW1923" s="61"/>
      <c r="BX1923" s="61"/>
      <c r="BY1923" s="61"/>
      <c r="BZ1923" s="61"/>
      <c r="CA1923" s="61"/>
      <c r="CB1923" s="61"/>
      <c r="CC1923" s="61"/>
      <c r="CD1923" s="61"/>
      <c r="CE1923" s="61"/>
      <c r="CF1923" s="61"/>
      <c r="CG1923" s="61"/>
      <c r="CH1923" s="61"/>
      <c r="CI1923" s="111">
        <v>0.89300011836000004</v>
      </c>
      <c r="CJ1923" s="103">
        <f t="shared" si="526"/>
        <v>-4.9148483549201066E-2</v>
      </c>
      <c r="CK1923" s="57">
        <f t="shared" si="531"/>
        <v>1.9931981790060957</v>
      </c>
      <c r="CL1923" s="160">
        <f>BL1923/CI1923</f>
        <v>11.160122959527154</v>
      </c>
      <c r="CM1923" s="160"/>
      <c r="CN1923" s="160"/>
      <c r="CO1923" s="67"/>
      <c r="CP1923" s="161" t="s">
        <v>5490</v>
      </c>
      <c r="CQ1923" s="149" t="s">
        <v>272</v>
      </c>
      <c r="CR1923" s="349"/>
      <c r="CS1923" s="61" t="s">
        <v>539</v>
      </c>
      <c r="CT1923" s="61" t="s">
        <v>6310</v>
      </c>
      <c r="CU1923" s="111">
        <f>X1923/CI1923</f>
        <v>438.59833590518531</v>
      </c>
      <c r="CV1923" s="331">
        <f t="shared" si="532"/>
        <v>78.333671377251477</v>
      </c>
      <c r="CW1923" s="326">
        <f t="shared" si="527"/>
        <v>1</v>
      </c>
      <c r="CX1923" s="326" t="s">
        <v>539</v>
      </c>
      <c r="CY1923" s="161" t="s">
        <v>5921</v>
      </c>
    </row>
    <row r="1924" spans="1:103" ht="11.25" customHeight="1" x14ac:dyDescent="0.2">
      <c r="A1924" s="72">
        <v>1635</v>
      </c>
      <c r="B1924" s="241">
        <v>1317</v>
      </c>
      <c r="C1924" s="32" t="s">
        <v>2238</v>
      </c>
      <c r="D1924" s="32" t="s">
        <v>8354</v>
      </c>
      <c r="E1924" s="40"/>
      <c r="F1924" s="40" t="s">
        <v>2239</v>
      </c>
      <c r="G1924" s="242">
        <v>58559</v>
      </c>
      <c r="H1924" s="36" t="s">
        <v>2240</v>
      </c>
      <c r="I1924" s="36" t="s">
        <v>2240</v>
      </c>
      <c r="J1924" s="36" t="s">
        <v>2241</v>
      </c>
      <c r="K1924" s="36" t="s">
        <v>333</v>
      </c>
      <c r="L1924" s="42" t="s">
        <v>279</v>
      </c>
      <c r="M1924" s="36" t="s">
        <v>2242</v>
      </c>
      <c r="N1924" s="36"/>
      <c r="O1924" s="36" t="s">
        <v>281</v>
      </c>
      <c r="P1924" s="41"/>
      <c r="Q1924" s="41"/>
      <c r="R1924" s="41"/>
      <c r="S1924" s="41"/>
      <c r="T1924" s="37">
        <v>180.16</v>
      </c>
      <c r="U1924" s="243">
        <v>7360.0000000000009</v>
      </c>
      <c r="V1924" s="243">
        <v>2912.0000000000005</v>
      </c>
      <c r="W1924" s="243">
        <v>9454.9312038599001</v>
      </c>
      <c r="X1924" s="243">
        <v>7360.0000000000009</v>
      </c>
      <c r="Y1924" s="414">
        <v>5.28</v>
      </c>
      <c r="Z1924" s="37">
        <v>-0.39</v>
      </c>
      <c r="AA1924" s="37">
        <v>-0.04</v>
      </c>
      <c r="AB1924" s="37">
        <v>0.1</v>
      </c>
      <c r="AC1924" s="37">
        <v>0.69630000000000003</v>
      </c>
      <c r="AD1924" s="37">
        <v>0</v>
      </c>
      <c r="AE1924" s="37">
        <v>-0.17</v>
      </c>
      <c r="AF1924" s="37">
        <f t="shared" si="528"/>
        <v>-0.04</v>
      </c>
      <c r="AG1924" s="38">
        <v>-0.21</v>
      </c>
      <c r="AH1924" s="243">
        <v>1.6799999999999999E-12</v>
      </c>
      <c r="AI1924" s="243"/>
      <c r="AJ1924" s="34">
        <f t="shared" si="529"/>
        <v>-10.163257044586789</v>
      </c>
      <c r="AK1924" s="34"/>
      <c r="AL1924" s="34">
        <f t="shared" si="530"/>
        <v>-10.163257044586789</v>
      </c>
      <c r="AM1924" s="34">
        <v>-15.289169999999999</v>
      </c>
      <c r="AN1924" s="244">
        <v>-9.16</v>
      </c>
      <c r="AO1924" s="417">
        <v>8.6</v>
      </c>
      <c r="AP1924" s="417">
        <v>1.64</v>
      </c>
      <c r="AQ1924" s="37" t="s">
        <v>6311</v>
      </c>
      <c r="AR1924" s="37" t="s">
        <v>6311</v>
      </c>
      <c r="AS1924" s="245" t="s">
        <v>6</v>
      </c>
      <c r="AT1924" s="39" t="s">
        <v>266</v>
      </c>
      <c r="AU1924" s="37">
        <v>1</v>
      </c>
      <c r="AV1924" s="37">
        <v>72</v>
      </c>
      <c r="AW1924" s="37">
        <v>73</v>
      </c>
      <c r="AX1924" s="37">
        <v>28</v>
      </c>
      <c r="AY1924" s="37" t="s">
        <v>8722</v>
      </c>
      <c r="AZ1924" s="37" t="s">
        <v>4122</v>
      </c>
      <c r="BA1924" s="37">
        <v>20</v>
      </c>
      <c r="BB1924" s="36" t="s">
        <v>4107</v>
      </c>
      <c r="BC1924" s="36" t="s">
        <v>8722</v>
      </c>
      <c r="BD1924" s="36"/>
      <c r="BE1924" s="37" t="s">
        <v>271</v>
      </c>
      <c r="BF1924" s="37" t="s">
        <v>272</v>
      </c>
      <c r="BG1924" s="37" t="s">
        <v>272</v>
      </c>
      <c r="BH1924" s="37" t="s">
        <v>272</v>
      </c>
      <c r="BI1924" s="243">
        <v>1.8016000000000001</v>
      </c>
      <c r="BJ1924" s="243">
        <v>360.32</v>
      </c>
      <c r="BK1924" s="37"/>
      <c r="BL1924" s="263">
        <v>20735.636604380754</v>
      </c>
      <c r="BM1924" s="37" t="s">
        <v>2046</v>
      </c>
      <c r="BN1924" s="37"/>
      <c r="BO1924" s="37"/>
      <c r="BP1924" s="37"/>
      <c r="BQ1924" s="37"/>
      <c r="BR1924" s="37"/>
      <c r="BS1924" s="37"/>
      <c r="BT1924" s="37"/>
      <c r="BU1924" s="246"/>
      <c r="BV1924" s="37"/>
      <c r="BW1924" s="37"/>
      <c r="BX1924" s="37"/>
      <c r="BY1924" s="37"/>
      <c r="BZ1924" s="37"/>
      <c r="CA1924" s="37"/>
      <c r="CB1924" s="37"/>
      <c r="CC1924" s="37"/>
      <c r="CD1924" s="37"/>
      <c r="CE1924" s="37"/>
      <c r="CF1924" s="37"/>
      <c r="CG1924" s="37"/>
      <c r="CH1924" s="37"/>
      <c r="CI1924" s="243"/>
      <c r="CJ1924" s="243"/>
      <c r="CK1924" s="38">
        <f t="shared" si="531"/>
        <v>57.547836934893304</v>
      </c>
      <c r="CL1924" s="247"/>
      <c r="CM1924" s="247"/>
      <c r="CN1924" s="247"/>
      <c r="CO1924" s="36" t="s">
        <v>4123</v>
      </c>
      <c r="CP1924" s="496" t="s">
        <v>4124</v>
      </c>
      <c r="CQ1924" s="241" t="s">
        <v>272</v>
      </c>
      <c r="CR1924" s="241"/>
      <c r="CS1924" s="33"/>
      <c r="CT1924" s="33"/>
      <c r="CU1924" s="250"/>
      <c r="CV1924" s="337">
        <f t="shared" si="532"/>
        <v>20.426287744227356</v>
      </c>
      <c r="CW1924" s="330">
        <f>IF(CV1924&lt;1,0,1)</f>
        <v>1</v>
      </c>
      <c r="CX1924" s="330"/>
      <c r="CY1924" s="143" t="s">
        <v>6351</v>
      </c>
    </row>
    <row r="1925" spans="1:103" ht="11.25" customHeight="1" x14ac:dyDescent="0.2">
      <c r="A1925" s="72">
        <v>11</v>
      </c>
      <c r="B1925" s="149">
        <v>128</v>
      </c>
      <c r="C1925" s="54" t="s">
        <v>747</v>
      </c>
      <c r="D1925" s="54" t="s">
        <v>6548</v>
      </c>
      <c r="E1925" s="59"/>
      <c r="F1925" s="59" t="s">
        <v>748</v>
      </c>
      <c r="G1925" s="151">
        <v>109864</v>
      </c>
      <c r="H1925" s="55" t="s">
        <v>749</v>
      </c>
      <c r="I1925" s="55" t="s">
        <v>749</v>
      </c>
      <c r="J1925" s="55" t="s">
        <v>750</v>
      </c>
      <c r="K1925" s="55" t="s">
        <v>426</v>
      </c>
      <c r="L1925" s="55" t="s">
        <v>5527</v>
      </c>
      <c r="M1925" s="55" t="s">
        <v>6082</v>
      </c>
      <c r="N1925" s="55" t="s">
        <v>6082</v>
      </c>
      <c r="O1925" s="55"/>
      <c r="P1925" s="67"/>
      <c r="Q1925" s="67" t="s">
        <v>6176</v>
      </c>
      <c r="R1925" s="67" t="s">
        <v>6185</v>
      </c>
      <c r="S1925" s="67" t="s">
        <v>6179</v>
      </c>
      <c r="T1925" s="56">
        <v>76.09</v>
      </c>
      <c r="U1925" s="103">
        <v>1000000</v>
      </c>
      <c r="V1925" s="103">
        <v>1000000</v>
      </c>
      <c r="W1925" s="103">
        <v>853743.8418783641</v>
      </c>
      <c r="X1925" s="103">
        <v>1000000</v>
      </c>
      <c r="Y1925" s="162">
        <v>6.64</v>
      </c>
      <c r="Z1925" s="56">
        <v>-0.91</v>
      </c>
      <c r="AA1925" s="56">
        <v>-0.77</v>
      </c>
      <c r="AB1925" s="56">
        <v>-0.59</v>
      </c>
      <c r="AC1925" s="56">
        <v>0.89429999999999998</v>
      </c>
      <c r="AD1925" s="56">
        <v>-0.64</v>
      </c>
      <c r="AE1925" s="56">
        <v>-0.8</v>
      </c>
      <c r="AF1925" s="56">
        <f t="shared" si="528"/>
        <v>-0.77</v>
      </c>
      <c r="AG1925" s="57">
        <v>-0.34</v>
      </c>
      <c r="AH1925" s="103">
        <v>4.1899999999999998E-8</v>
      </c>
      <c r="AI1925" s="103">
        <v>3.3000000000000002E-7</v>
      </c>
      <c r="AJ1925" s="62">
        <f t="shared" si="529"/>
        <v>-5.7663523033463564</v>
      </c>
      <c r="AK1925" s="62">
        <f t="shared" ref="AK1925:AK1930" si="533">LOG10(AI1925*1000/(0.08206*298.15))</f>
        <v>-4.8700523864347645</v>
      </c>
      <c r="AL1925" s="62">
        <f t="shared" si="530"/>
        <v>-4.8700523864347645</v>
      </c>
      <c r="AM1925" s="62">
        <v>-4.8682600000000003</v>
      </c>
      <c r="AN1925" s="154">
        <v>-4.6500000000000004</v>
      </c>
      <c r="AO1925" s="410">
        <v>14.43</v>
      </c>
      <c r="AP1925" s="410"/>
      <c r="AQ1925" s="154" t="s">
        <v>6311</v>
      </c>
      <c r="AR1925" s="154" t="s">
        <v>6311</v>
      </c>
      <c r="AS1925" s="149" t="s">
        <v>6</v>
      </c>
      <c r="AT1925" s="58" t="s">
        <v>266</v>
      </c>
      <c r="AU1925" s="56">
        <v>0</v>
      </c>
      <c r="AV1925" s="56" t="s">
        <v>646</v>
      </c>
      <c r="AW1925" s="56" t="s">
        <v>646</v>
      </c>
      <c r="AX1925" s="56">
        <v>26</v>
      </c>
      <c r="AY1925" s="56" t="s">
        <v>647</v>
      </c>
      <c r="AZ1925" s="56" t="s">
        <v>536</v>
      </c>
      <c r="BA1925" s="56">
        <v>20</v>
      </c>
      <c r="BB1925" s="55" t="s">
        <v>537</v>
      </c>
      <c r="BC1925" s="55" t="s">
        <v>648</v>
      </c>
      <c r="BD1925" s="55"/>
      <c r="BE1925" s="155" t="s">
        <v>649</v>
      </c>
      <c r="BF1925" s="155" t="s">
        <v>650</v>
      </c>
      <c r="BG1925" s="155" t="s">
        <v>540</v>
      </c>
      <c r="BH1925" s="155" t="s">
        <v>272</v>
      </c>
      <c r="BI1925" s="153">
        <v>9998.2260000000006</v>
      </c>
      <c r="BJ1925" s="153">
        <v>38410.232000000004</v>
      </c>
      <c r="BK1925" s="56"/>
      <c r="BL1925" s="153">
        <v>25668.387331722472</v>
      </c>
      <c r="BM1925" s="56" t="s">
        <v>541</v>
      </c>
      <c r="BN1925" s="56"/>
      <c r="BO1925" s="56">
        <v>23831.387999999999</v>
      </c>
      <c r="BP1925" s="56"/>
      <c r="BQ1925" s="56"/>
      <c r="BR1925" s="56">
        <v>17241.993999999999</v>
      </c>
      <c r="BS1925" s="56"/>
      <c r="BT1925" s="56"/>
      <c r="BU1925" s="158"/>
      <c r="BV1925" s="56"/>
      <c r="BW1925" s="56"/>
      <c r="BX1925" s="56"/>
      <c r="BY1925" s="56"/>
      <c r="BZ1925" s="56"/>
      <c r="CA1925" s="56"/>
      <c r="CB1925" s="56"/>
      <c r="CC1925" s="56"/>
      <c r="CD1925" s="56"/>
      <c r="CE1925" s="56"/>
      <c r="CF1925" s="56"/>
      <c r="CG1925" s="56"/>
      <c r="CH1925" s="56"/>
      <c r="CI1925" s="103">
        <v>17241.993999999999</v>
      </c>
      <c r="CJ1925" s="103">
        <f t="shared" ref="CJ1925:CJ1936" si="534">LOG10(CI1925)</f>
        <v>4.2365874896279294</v>
      </c>
      <c r="CK1925" s="57">
        <f t="shared" si="531"/>
        <v>0.6682695207808812</v>
      </c>
      <c r="CL1925" s="160">
        <f t="shared" ref="CL1925:CL1936" si="535">BL1925/CI1925</f>
        <v>1.4887133896301363</v>
      </c>
      <c r="CM1925" s="160"/>
      <c r="CN1925" s="160"/>
      <c r="CO1925" s="55"/>
      <c r="CP1925" s="497" t="s">
        <v>651</v>
      </c>
      <c r="CQ1925" s="153">
        <v>2.5786392099680722</v>
      </c>
      <c r="CR1925" s="349">
        <f t="shared" ref="CR1925:CR1930" si="536">10^(CJ1925-CQ1925)</f>
        <v>45.493387862796837</v>
      </c>
      <c r="CS1925" s="61" t="s">
        <v>539</v>
      </c>
      <c r="CT1925" s="61"/>
      <c r="CU1925" s="111">
        <f t="shared" ref="CU1925:CU1936" si="537">X1925/CI1925</f>
        <v>57.99793225771915</v>
      </c>
      <c r="CV1925" s="331">
        <f t="shared" si="532"/>
        <v>26.034729496036366</v>
      </c>
      <c r="CW1925" s="326">
        <f t="shared" ref="CW1925:CW1936" si="538">IF(CU1925&lt;2,0,1)</f>
        <v>1</v>
      </c>
      <c r="CX1925" s="326"/>
      <c r="CY1925" s="161" t="s">
        <v>6351</v>
      </c>
    </row>
    <row r="1926" spans="1:103" ht="11.25" customHeight="1" x14ac:dyDescent="0.2">
      <c r="A1926" s="72">
        <v>13</v>
      </c>
      <c r="B1926" s="149">
        <v>124</v>
      </c>
      <c r="C1926" s="54" t="s">
        <v>740</v>
      </c>
      <c r="D1926" s="54" t="s">
        <v>6546</v>
      </c>
      <c r="E1926" s="59"/>
      <c r="F1926" s="59" t="s">
        <v>741</v>
      </c>
      <c r="G1926" s="151">
        <v>107982</v>
      </c>
      <c r="H1926" s="55" t="s">
        <v>742</v>
      </c>
      <c r="I1926" s="55" t="s">
        <v>742</v>
      </c>
      <c r="J1926" s="55" t="s">
        <v>743</v>
      </c>
      <c r="K1926" s="55" t="s">
        <v>426</v>
      </c>
      <c r="L1926" s="55" t="s">
        <v>5527</v>
      </c>
      <c r="M1926" s="55" t="s">
        <v>6082</v>
      </c>
      <c r="N1926" s="55" t="s">
        <v>6082</v>
      </c>
      <c r="O1926" s="55"/>
      <c r="P1926" s="67"/>
      <c r="Q1926" s="67"/>
      <c r="R1926" s="67"/>
      <c r="S1926" s="67"/>
      <c r="T1926" s="56">
        <v>90.12</v>
      </c>
      <c r="U1926" s="103">
        <v>1000000</v>
      </c>
      <c r="V1926" s="103">
        <v>1000000</v>
      </c>
      <c r="W1926" s="103">
        <v>431341.43920116173</v>
      </c>
      <c r="X1926" s="103">
        <v>1000000</v>
      </c>
      <c r="Y1926" s="162">
        <v>6.8</v>
      </c>
      <c r="Z1926" s="56">
        <v>-0.49</v>
      </c>
      <c r="AA1926" s="56"/>
      <c r="AB1926" s="56">
        <v>-0.14000000000000001</v>
      </c>
      <c r="AC1926" s="56">
        <v>0.86470000000000002</v>
      </c>
      <c r="AD1926" s="56">
        <v>-0.22</v>
      </c>
      <c r="AE1926" s="56">
        <v>-0.45</v>
      </c>
      <c r="AF1926" s="56">
        <f t="shared" si="528"/>
        <v>-0.22</v>
      </c>
      <c r="AG1926" s="57">
        <v>0.14000000000000001</v>
      </c>
      <c r="AH1926" s="103">
        <v>5.5600000000000002E-8</v>
      </c>
      <c r="AI1926" s="103">
        <v>9.1999999999999998E-7</v>
      </c>
      <c r="AJ1926" s="62">
        <f t="shared" si="529"/>
        <v>-5.6434915347305941</v>
      </c>
      <c r="AK1926" s="62">
        <f t="shared" si="533"/>
        <v>-4.4247784989670969</v>
      </c>
      <c r="AL1926" s="62">
        <f t="shared" si="530"/>
        <v>-4.4247784989670969</v>
      </c>
      <c r="AM1926" s="62">
        <v>-5.0744100000000003</v>
      </c>
      <c r="AN1926" s="154">
        <v>-4.1100000000000003</v>
      </c>
      <c r="AO1926" s="410">
        <v>14.49</v>
      </c>
      <c r="AP1926" s="410"/>
      <c r="AQ1926" s="154" t="s">
        <v>6311</v>
      </c>
      <c r="AR1926" s="154" t="s">
        <v>6311</v>
      </c>
      <c r="AS1926" s="149" t="s">
        <v>6</v>
      </c>
      <c r="AT1926" s="58" t="s">
        <v>266</v>
      </c>
      <c r="AU1926" s="56">
        <v>0</v>
      </c>
      <c r="AV1926" s="56" t="s">
        <v>646</v>
      </c>
      <c r="AW1926" s="56" t="s">
        <v>646</v>
      </c>
      <c r="AX1926" s="56">
        <v>26</v>
      </c>
      <c r="AY1926" s="56" t="s">
        <v>647</v>
      </c>
      <c r="AZ1926" s="56" t="s">
        <v>536</v>
      </c>
      <c r="BA1926" s="56">
        <v>20</v>
      </c>
      <c r="BB1926" s="55" t="s">
        <v>537</v>
      </c>
      <c r="BC1926" s="55" t="s">
        <v>648</v>
      </c>
      <c r="BD1926" s="55"/>
      <c r="BE1926" s="155" t="s">
        <v>649</v>
      </c>
      <c r="BF1926" s="155" t="s">
        <v>650</v>
      </c>
      <c r="BG1926" s="155" t="s">
        <v>540</v>
      </c>
      <c r="BH1926" s="155" t="s">
        <v>272</v>
      </c>
      <c r="BI1926" s="153">
        <v>6001.9920000000002</v>
      </c>
      <c r="BJ1926" s="153">
        <v>23052.696000000004</v>
      </c>
      <c r="BK1926" s="56"/>
      <c r="BL1926" s="153">
        <v>12755.285477583609</v>
      </c>
      <c r="BM1926" s="56" t="s">
        <v>541</v>
      </c>
      <c r="BN1926" s="56"/>
      <c r="BO1926" s="56">
        <v>16338.756000000001</v>
      </c>
      <c r="BP1926" s="56"/>
      <c r="BQ1926" s="56"/>
      <c r="BR1926" s="56">
        <v>13914.528000000002</v>
      </c>
      <c r="BS1926" s="56"/>
      <c r="BT1926" s="56"/>
      <c r="BU1926" s="158"/>
      <c r="BV1926" s="56"/>
      <c r="BW1926" s="56"/>
      <c r="BX1926" s="56"/>
      <c r="BY1926" s="56"/>
      <c r="BZ1926" s="56"/>
      <c r="CA1926" s="56"/>
      <c r="CB1926" s="56"/>
      <c r="CC1926" s="56"/>
      <c r="CD1926" s="56"/>
      <c r="CE1926" s="56"/>
      <c r="CF1926" s="56"/>
      <c r="CG1926" s="56"/>
      <c r="CH1926" s="56"/>
      <c r="CI1926" s="103">
        <v>13914.528000000002</v>
      </c>
      <c r="CJ1926" s="103">
        <f t="shared" si="534"/>
        <v>4.1434684790515108</v>
      </c>
      <c r="CK1926" s="57">
        <f t="shared" si="531"/>
        <v>0.55330992425283387</v>
      </c>
      <c r="CL1926" s="160">
        <f t="shared" si="535"/>
        <v>0.91668833305618469</v>
      </c>
      <c r="CM1926" s="160"/>
      <c r="CN1926" s="160"/>
      <c r="CO1926" s="55"/>
      <c r="CP1926" s="497" t="s">
        <v>651</v>
      </c>
      <c r="CQ1926" s="153">
        <v>4.318063334962762</v>
      </c>
      <c r="CR1926" s="349">
        <f t="shared" si="536"/>
        <v>0.66896769230769204</v>
      </c>
      <c r="CS1926" s="61" t="s">
        <v>539</v>
      </c>
      <c r="CT1926" s="61"/>
      <c r="CU1926" s="111">
        <f t="shared" si="537"/>
        <v>71.867331755701656</v>
      </c>
      <c r="CV1926" s="331">
        <f t="shared" si="532"/>
        <v>43.378874210634621</v>
      </c>
      <c r="CW1926" s="326">
        <f t="shared" si="538"/>
        <v>1</v>
      </c>
      <c r="CX1926" s="326"/>
      <c r="CY1926" s="161" t="s">
        <v>6351</v>
      </c>
    </row>
    <row r="1927" spans="1:103" ht="11.25" customHeight="1" x14ac:dyDescent="0.2">
      <c r="A1927" s="72">
        <v>14</v>
      </c>
      <c r="B1927" s="149">
        <v>123</v>
      </c>
      <c r="C1927" s="54" t="s">
        <v>736</v>
      </c>
      <c r="D1927" s="54" t="s">
        <v>6602</v>
      </c>
      <c r="E1927" s="59"/>
      <c r="F1927" s="59" t="s">
        <v>737</v>
      </c>
      <c r="G1927" s="151">
        <v>67630</v>
      </c>
      <c r="H1927" s="55" t="s">
        <v>738</v>
      </c>
      <c r="I1927" s="55" t="s">
        <v>738</v>
      </c>
      <c r="J1927" s="55" t="s">
        <v>739</v>
      </c>
      <c r="K1927" s="55" t="s">
        <v>426</v>
      </c>
      <c r="L1927" s="55" t="s">
        <v>5527</v>
      </c>
      <c r="M1927" s="55" t="s">
        <v>6616</v>
      </c>
      <c r="N1927" s="60" t="s">
        <v>6082</v>
      </c>
      <c r="O1927" s="55"/>
      <c r="P1927" s="67" t="s">
        <v>6183</v>
      </c>
      <c r="Q1927" s="67" t="s">
        <v>6176</v>
      </c>
      <c r="R1927" s="67" t="s">
        <v>6185</v>
      </c>
      <c r="S1927" s="67" t="s">
        <v>6176</v>
      </c>
      <c r="T1927" s="56">
        <v>60.1</v>
      </c>
      <c r="U1927" s="103">
        <v>999999.99999999988</v>
      </c>
      <c r="V1927" s="103">
        <v>402400</v>
      </c>
      <c r="W1927" s="103">
        <v>140888.15180072733</v>
      </c>
      <c r="X1927" s="103">
        <v>999999.99999999988</v>
      </c>
      <c r="Y1927" s="162">
        <v>6.98</v>
      </c>
      <c r="Z1927" s="56">
        <v>0.28000000000000003</v>
      </c>
      <c r="AA1927" s="56">
        <v>0.05</v>
      </c>
      <c r="AB1927" s="56">
        <v>0.27</v>
      </c>
      <c r="AC1927" s="56">
        <v>0.88790000000000002</v>
      </c>
      <c r="AD1927" s="56">
        <v>0.24</v>
      </c>
      <c r="AE1927" s="56">
        <v>0.16</v>
      </c>
      <c r="AF1927" s="56">
        <f t="shared" si="528"/>
        <v>0.05</v>
      </c>
      <c r="AG1927" s="57">
        <v>0.47</v>
      </c>
      <c r="AH1927" s="103">
        <v>7.52E-6</v>
      </c>
      <c r="AI1927" s="103">
        <v>8.1000000000000004E-6</v>
      </c>
      <c r="AJ1927" s="62">
        <f t="shared" si="529"/>
        <v>-3.5123484857210094</v>
      </c>
      <c r="AK1927" s="62">
        <f t="shared" si="533"/>
        <v>-3.480081307434002</v>
      </c>
      <c r="AL1927" s="62">
        <f t="shared" si="530"/>
        <v>-3.480081307434002</v>
      </c>
      <c r="AM1927" s="62">
        <v>-3.3559399999999999</v>
      </c>
      <c r="AN1927" s="154">
        <v>-3.44</v>
      </c>
      <c r="AO1927" s="410">
        <v>15.31</v>
      </c>
      <c r="AP1927" s="410"/>
      <c r="AQ1927" s="154" t="s">
        <v>6311</v>
      </c>
      <c r="AR1927" s="154" t="s">
        <v>6311</v>
      </c>
      <c r="AS1927" s="149" t="s">
        <v>87</v>
      </c>
      <c r="AT1927" s="58" t="s">
        <v>266</v>
      </c>
      <c r="AU1927" s="56">
        <v>0</v>
      </c>
      <c r="AV1927" s="56" t="s">
        <v>646</v>
      </c>
      <c r="AW1927" s="56" t="s">
        <v>646</v>
      </c>
      <c r="AX1927" s="56">
        <v>26</v>
      </c>
      <c r="AY1927" s="56" t="s">
        <v>647</v>
      </c>
      <c r="AZ1927" s="56" t="s">
        <v>536</v>
      </c>
      <c r="BA1927" s="56">
        <v>20</v>
      </c>
      <c r="BB1927" s="55" t="s">
        <v>537</v>
      </c>
      <c r="BC1927" s="55" t="s">
        <v>648</v>
      </c>
      <c r="BD1927" s="55"/>
      <c r="BE1927" s="155" t="s">
        <v>649</v>
      </c>
      <c r="BF1927" s="155" t="s">
        <v>650</v>
      </c>
      <c r="BG1927" s="155" t="s">
        <v>540</v>
      </c>
      <c r="BH1927" s="155" t="s">
        <v>272</v>
      </c>
      <c r="BI1927" s="153">
        <v>3131.21</v>
      </c>
      <c r="BJ1927" s="153">
        <v>11989.95</v>
      </c>
      <c r="BK1927" s="56"/>
      <c r="BL1927" s="153">
        <v>1730.6389429145686</v>
      </c>
      <c r="BM1927" s="56" t="s">
        <v>541</v>
      </c>
      <c r="BN1927" s="56"/>
      <c r="BO1927" s="56">
        <v>10138.869999999999</v>
      </c>
      <c r="BP1927" s="56"/>
      <c r="BQ1927" s="56"/>
      <c r="BR1927" s="56">
        <v>8618.34</v>
      </c>
      <c r="BS1927" s="56"/>
      <c r="BT1927" s="56"/>
      <c r="BU1927" s="158"/>
      <c r="BV1927" s="56"/>
      <c r="BW1927" s="56"/>
      <c r="BX1927" s="56"/>
      <c r="BY1927" s="56"/>
      <c r="BZ1927" s="56"/>
      <c r="CA1927" s="56"/>
      <c r="CB1927" s="56"/>
      <c r="CC1927" s="56"/>
      <c r="CD1927" s="56"/>
      <c r="CE1927" s="56"/>
      <c r="CF1927" s="56"/>
      <c r="CG1927" s="56"/>
      <c r="CH1927" s="56"/>
      <c r="CI1927" s="103">
        <v>8618.34</v>
      </c>
      <c r="CJ1927" s="103">
        <f t="shared" si="534"/>
        <v>3.935423623334521</v>
      </c>
      <c r="CK1927" s="57">
        <f t="shared" si="531"/>
        <v>0.14434079732730901</v>
      </c>
      <c r="CL1927" s="160">
        <f t="shared" si="535"/>
        <v>0.20080884983820185</v>
      </c>
      <c r="CM1927" s="160"/>
      <c r="CN1927" s="160"/>
      <c r="CO1927" s="55"/>
      <c r="CP1927" s="497" t="s">
        <v>651</v>
      </c>
      <c r="CQ1927" s="153">
        <v>3.9415633585409018</v>
      </c>
      <c r="CR1927" s="349">
        <f t="shared" si="536"/>
        <v>0.98596219908031912</v>
      </c>
      <c r="CS1927" s="61" t="s">
        <v>539</v>
      </c>
      <c r="CT1927" s="61"/>
      <c r="CU1927" s="111">
        <f t="shared" si="537"/>
        <v>116.03162557986803</v>
      </c>
      <c r="CV1927" s="331">
        <f t="shared" si="532"/>
        <v>83.403183499514157</v>
      </c>
      <c r="CW1927" s="326">
        <f t="shared" si="538"/>
        <v>1</v>
      </c>
      <c r="CX1927" s="326"/>
      <c r="CY1927" s="161" t="s">
        <v>6351</v>
      </c>
    </row>
    <row r="1928" spans="1:103" ht="11.25" customHeight="1" x14ac:dyDescent="0.2">
      <c r="A1928" s="72">
        <v>23</v>
      </c>
      <c r="B1928" s="149">
        <v>115</v>
      </c>
      <c r="C1928" s="54" t="s">
        <v>707</v>
      </c>
      <c r="D1928" s="54" t="s">
        <v>6556</v>
      </c>
      <c r="E1928" s="59"/>
      <c r="F1928" s="59" t="s">
        <v>708</v>
      </c>
      <c r="G1928" s="151">
        <v>123513</v>
      </c>
      <c r="H1928" s="55" t="s">
        <v>709</v>
      </c>
      <c r="I1928" s="55" t="s">
        <v>709</v>
      </c>
      <c r="J1928" s="55" t="s">
        <v>710</v>
      </c>
      <c r="K1928" s="55" t="s">
        <v>426</v>
      </c>
      <c r="L1928" s="55"/>
      <c r="M1928" s="55" t="s">
        <v>6025</v>
      </c>
      <c r="N1928" s="60" t="s">
        <v>2342</v>
      </c>
      <c r="O1928" s="55"/>
      <c r="P1928" s="67" t="s">
        <v>6183</v>
      </c>
      <c r="Q1928" s="67" t="s">
        <v>6173</v>
      </c>
      <c r="R1928" s="67">
        <v>1</v>
      </c>
      <c r="S1928" s="67" t="s">
        <v>6082</v>
      </c>
      <c r="T1928" s="56">
        <v>88.15</v>
      </c>
      <c r="U1928" s="103">
        <v>26700.000000000004</v>
      </c>
      <c r="V1928" s="103">
        <v>41580</v>
      </c>
      <c r="W1928" s="103">
        <v>29869.112363670705</v>
      </c>
      <c r="X1928" s="103">
        <v>26700.000000000004</v>
      </c>
      <c r="Y1928" s="162">
        <v>7</v>
      </c>
      <c r="Z1928" s="56">
        <v>1.26</v>
      </c>
      <c r="AA1928" s="56">
        <v>1.1599999999999999</v>
      </c>
      <c r="AB1928" s="56">
        <v>1.1100000000000001</v>
      </c>
      <c r="AC1928" s="56">
        <v>0.91549999999999998</v>
      </c>
      <c r="AD1928" s="56">
        <v>1.1399999999999999</v>
      </c>
      <c r="AE1928" s="56">
        <v>1.22</v>
      </c>
      <c r="AF1928" s="56">
        <f t="shared" si="528"/>
        <v>1.1599999999999999</v>
      </c>
      <c r="AG1928" s="57">
        <v>1.18</v>
      </c>
      <c r="AH1928" s="103">
        <v>1.33E-5</v>
      </c>
      <c r="AI1928" s="103">
        <v>1.4100000000000001E-5</v>
      </c>
      <c r="AJ1928" s="62">
        <f t="shared" si="529"/>
        <v>-3.2647146853455662</v>
      </c>
      <c r="AK1928" s="62">
        <f t="shared" si="533"/>
        <v>-3.2393472136572719</v>
      </c>
      <c r="AL1928" s="62">
        <f t="shared" si="530"/>
        <v>-3.2393472136572719</v>
      </c>
      <c r="AM1928" s="62">
        <v>-3.58602</v>
      </c>
      <c r="AN1928" s="154">
        <v>-3.17</v>
      </c>
      <c r="AO1928" s="410">
        <v>15.24</v>
      </c>
      <c r="AP1928" s="410"/>
      <c r="AQ1928" s="154" t="s">
        <v>6311</v>
      </c>
      <c r="AR1928" s="154" t="s">
        <v>6311</v>
      </c>
      <c r="AS1928" s="149" t="s">
        <v>87</v>
      </c>
      <c r="AT1928" s="58" t="s">
        <v>266</v>
      </c>
      <c r="AU1928" s="56">
        <v>0</v>
      </c>
      <c r="AV1928" s="56" t="s">
        <v>646</v>
      </c>
      <c r="AW1928" s="56" t="s">
        <v>646</v>
      </c>
      <c r="AX1928" s="56">
        <v>26</v>
      </c>
      <c r="AY1928" s="56" t="s">
        <v>647</v>
      </c>
      <c r="AZ1928" s="56" t="s">
        <v>536</v>
      </c>
      <c r="BA1928" s="56">
        <v>20</v>
      </c>
      <c r="BB1928" s="55" t="s">
        <v>537</v>
      </c>
      <c r="BC1928" s="55" t="s">
        <v>648</v>
      </c>
      <c r="BD1928" s="55"/>
      <c r="BE1928" s="155" t="s">
        <v>649</v>
      </c>
      <c r="BF1928" s="155" t="s">
        <v>650</v>
      </c>
      <c r="BG1928" s="155" t="s">
        <v>540</v>
      </c>
      <c r="BH1928" s="155" t="s">
        <v>272</v>
      </c>
      <c r="BI1928" s="153">
        <v>387.86000000000007</v>
      </c>
      <c r="BJ1928" s="153">
        <v>1101.875</v>
      </c>
      <c r="BK1928" s="56"/>
      <c r="BL1928" s="153">
        <v>334.51555448693102</v>
      </c>
      <c r="BM1928" s="56" t="s">
        <v>541</v>
      </c>
      <c r="BN1928" s="56"/>
      <c r="BO1928" s="56">
        <v>1075.43</v>
      </c>
      <c r="BP1928" s="56"/>
      <c r="BQ1928" s="56"/>
      <c r="BR1928" s="56">
        <v>1022.5400000000001</v>
      </c>
      <c r="BS1928" s="56"/>
      <c r="BT1928" s="56"/>
      <c r="BU1928" s="158"/>
      <c r="BV1928" s="56"/>
      <c r="BW1928" s="56"/>
      <c r="BX1928" s="56"/>
      <c r="BY1928" s="56"/>
      <c r="BZ1928" s="56"/>
      <c r="CA1928" s="56"/>
      <c r="CB1928" s="56"/>
      <c r="CC1928" s="56"/>
      <c r="CD1928" s="56"/>
      <c r="CE1928" s="56"/>
      <c r="CF1928" s="56"/>
      <c r="CG1928" s="56"/>
      <c r="CH1928" s="56"/>
      <c r="CI1928" s="103">
        <v>1022.5400000000001</v>
      </c>
      <c r="CJ1928" s="103">
        <f t="shared" si="534"/>
        <v>3.0096803058622594</v>
      </c>
      <c r="CK1928" s="57">
        <f t="shared" si="531"/>
        <v>0.30358757071984666</v>
      </c>
      <c r="CL1928" s="160">
        <f t="shared" si="535"/>
        <v>0.32714177879293815</v>
      </c>
      <c r="CM1928" s="160"/>
      <c r="CN1928" s="160"/>
      <c r="CO1928" s="55"/>
      <c r="CP1928" s="497" t="s">
        <v>651</v>
      </c>
      <c r="CQ1928" s="149">
        <v>2.8450980400142569</v>
      </c>
      <c r="CR1928" s="349">
        <f t="shared" si="536"/>
        <v>1.4607714285714288</v>
      </c>
      <c r="CS1928" s="61" t="s">
        <v>539</v>
      </c>
      <c r="CT1928" s="61"/>
      <c r="CU1928" s="111">
        <f t="shared" si="537"/>
        <v>26.111447962915879</v>
      </c>
      <c r="CV1928" s="331">
        <f t="shared" si="532"/>
        <v>24.231423709585936</v>
      </c>
      <c r="CW1928" s="326">
        <f t="shared" si="538"/>
        <v>1</v>
      </c>
      <c r="CX1928" s="326"/>
      <c r="CY1928" s="161" t="s">
        <v>6351</v>
      </c>
    </row>
    <row r="1929" spans="1:103" ht="11.25" customHeight="1" x14ac:dyDescent="0.2">
      <c r="A1929" s="72">
        <v>32</v>
      </c>
      <c r="B1929" s="149">
        <v>113</v>
      </c>
      <c r="C1929" s="54" t="s">
        <v>700</v>
      </c>
      <c r="D1929" s="54" t="s">
        <v>6552</v>
      </c>
      <c r="E1929" s="59"/>
      <c r="F1929" s="59" t="s">
        <v>701</v>
      </c>
      <c r="G1929" s="151">
        <v>112345</v>
      </c>
      <c r="H1929" s="55" t="s">
        <v>702</v>
      </c>
      <c r="I1929" s="55" t="s">
        <v>702</v>
      </c>
      <c r="J1929" s="55" t="s">
        <v>703</v>
      </c>
      <c r="K1929" s="55" t="s">
        <v>426</v>
      </c>
      <c r="L1929" s="55" t="s">
        <v>5527</v>
      </c>
      <c r="M1929" s="55" t="s">
        <v>6082</v>
      </c>
      <c r="N1929" s="55" t="s">
        <v>6082</v>
      </c>
      <c r="O1929" s="55" t="s">
        <v>6083</v>
      </c>
      <c r="P1929" s="67" t="s">
        <v>6183</v>
      </c>
      <c r="Q1929" s="67" t="s">
        <v>6176</v>
      </c>
      <c r="R1929" s="67" t="s">
        <v>6185</v>
      </c>
      <c r="S1929" s="67" t="s">
        <v>6176</v>
      </c>
      <c r="T1929" s="56">
        <v>162.22999999999999</v>
      </c>
      <c r="U1929" s="103">
        <v>1000000</v>
      </c>
      <c r="V1929" s="103">
        <v>71920</v>
      </c>
      <c r="W1929" s="103">
        <v>128863.86951932019</v>
      </c>
      <c r="X1929" s="103">
        <v>1000000</v>
      </c>
      <c r="Y1929" s="162">
        <v>6.94</v>
      </c>
      <c r="Z1929" s="56">
        <v>0.28999999999999998</v>
      </c>
      <c r="AA1929" s="56">
        <v>0.56000000000000005</v>
      </c>
      <c r="AB1929" s="56">
        <v>0.59</v>
      </c>
      <c r="AC1929" s="56">
        <v>0.8196</v>
      </c>
      <c r="AD1929" s="56">
        <v>0.55000000000000004</v>
      </c>
      <c r="AE1929" s="56">
        <v>0.44</v>
      </c>
      <c r="AF1929" s="56">
        <f t="shared" si="528"/>
        <v>0.56000000000000005</v>
      </c>
      <c r="AG1929" s="57">
        <v>0.89</v>
      </c>
      <c r="AH1929" s="103">
        <v>1.5199999999999999E-9</v>
      </c>
      <c r="AI1929" s="103">
        <v>7.2E-9</v>
      </c>
      <c r="AJ1929" s="62">
        <f t="shared" si="529"/>
        <v>-7.2067227383678789</v>
      </c>
      <c r="AK1929" s="62">
        <f t="shared" si="533"/>
        <v>-6.5312338298813835</v>
      </c>
      <c r="AL1929" s="62">
        <f t="shared" si="530"/>
        <v>-6.5312338298813835</v>
      </c>
      <c r="AM1929" s="62">
        <v>-7.0506599999999997</v>
      </c>
      <c r="AN1929" s="154">
        <v>-5.8</v>
      </c>
      <c r="AO1929" s="410">
        <v>14.37</v>
      </c>
      <c r="AP1929" s="410"/>
      <c r="AQ1929" s="154" t="s">
        <v>6311</v>
      </c>
      <c r="AR1929" s="154" t="s">
        <v>6311</v>
      </c>
      <c r="AS1929" s="149" t="s">
        <v>6</v>
      </c>
      <c r="AT1929" s="58" t="s">
        <v>266</v>
      </c>
      <c r="AU1929" s="56">
        <v>0</v>
      </c>
      <c r="AV1929" s="56" t="s">
        <v>646</v>
      </c>
      <c r="AW1929" s="56" t="s">
        <v>646</v>
      </c>
      <c r="AX1929" s="56">
        <v>26</v>
      </c>
      <c r="AY1929" s="56" t="s">
        <v>647</v>
      </c>
      <c r="AZ1929" s="56" t="s">
        <v>536</v>
      </c>
      <c r="BA1929" s="56">
        <v>20</v>
      </c>
      <c r="BB1929" s="55" t="s">
        <v>537</v>
      </c>
      <c r="BC1929" s="55" t="s">
        <v>648</v>
      </c>
      <c r="BD1929" s="55"/>
      <c r="BE1929" s="155" t="s">
        <v>649</v>
      </c>
      <c r="BF1929" s="155" t="s">
        <v>650</v>
      </c>
      <c r="BG1929" s="155" t="s">
        <v>540</v>
      </c>
      <c r="BH1929" s="155" t="s">
        <v>272</v>
      </c>
      <c r="BI1929" s="153">
        <v>600.25099999999998</v>
      </c>
      <c r="BJ1929" s="153">
        <v>1703.415</v>
      </c>
      <c r="BK1929" s="56"/>
      <c r="BL1929" s="153">
        <v>4575.9594594355985</v>
      </c>
      <c r="BM1929" s="56" t="s">
        <v>541</v>
      </c>
      <c r="BN1929" s="56"/>
      <c r="BO1929" s="56">
        <v>1281.617</v>
      </c>
      <c r="BP1929" s="56"/>
      <c r="BQ1929" s="56"/>
      <c r="BR1929" s="56">
        <v>1281.617</v>
      </c>
      <c r="BS1929" s="56"/>
      <c r="BT1929" s="56"/>
      <c r="BU1929" s="158"/>
      <c r="BV1929" s="56"/>
      <c r="BW1929" s="56"/>
      <c r="BX1929" s="56"/>
      <c r="BY1929" s="56"/>
      <c r="BZ1929" s="56"/>
      <c r="CA1929" s="56"/>
      <c r="CB1929" s="56"/>
      <c r="CC1929" s="56"/>
      <c r="CD1929" s="56"/>
      <c r="CE1929" s="56"/>
      <c r="CF1929" s="56"/>
      <c r="CG1929" s="56"/>
      <c r="CH1929" s="56"/>
      <c r="CI1929" s="103">
        <v>1281.617</v>
      </c>
      <c r="CJ1929" s="103">
        <f t="shared" si="534"/>
        <v>3.1077582594745774</v>
      </c>
      <c r="CK1929" s="57">
        <f t="shared" si="531"/>
        <v>2.6863444665190799</v>
      </c>
      <c r="CL1929" s="160">
        <f t="shared" si="535"/>
        <v>3.5704578352468785</v>
      </c>
      <c r="CM1929" s="160"/>
      <c r="CN1929" s="160"/>
      <c r="CO1929" s="55"/>
      <c r="CP1929" s="497" t="s">
        <v>651</v>
      </c>
      <c r="CQ1929" s="149">
        <v>3.1139433523068369</v>
      </c>
      <c r="CR1929" s="349">
        <f t="shared" si="536"/>
        <v>0.98585923076923032</v>
      </c>
      <c r="CS1929" s="61" t="s">
        <v>539</v>
      </c>
      <c r="CT1929" s="61"/>
      <c r="CU1929" s="111">
        <f t="shared" si="537"/>
        <v>780.2643067312622</v>
      </c>
      <c r="CV1929" s="331">
        <f t="shared" si="532"/>
        <v>587.05600220733061</v>
      </c>
      <c r="CW1929" s="326">
        <f t="shared" si="538"/>
        <v>1</v>
      </c>
      <c r="CX1929" s="326"/>
      <c r="CY1929" s="161" t="s">
        <v>6351</v>
      </c>
    </row>
    <row r="1930" spans="1:103" ht="11.25" customHeight="1" x14ac:dyDescent="0.2">
      <c r="A1930" s="72">
        <v>83</v>
      </c>
      <c r="B1930" s="149">
        <v>106</v>
      </c>
      <c r="C1930" s="54" t="s">
        <v>439</v>
      </c>
      <c r="D1930" s="54" t="s">
        <v>6441</v>
      </c>
      <c r="E1930" s="59"/>
      <c r="F1930" s="59" t="s">
        <v>440</v>
      </c>
      <c r="G1930" s="151">
        <v>69727</v>
      </c>
      <c r="H1930" s="55" t="s">
        <v>441</v>
      </c>
      <c r="I1930" s="55" t="s">
        <v>441</v>
      </c>
      <c r="J1930" s="55" t="s">
        <v>442</v>
      </c>
      <c r="K1930" s="55" t="s">
        <v>349</v>
      </c>
      <c r="L1930" s="64" t="s">
        <v>279</v>
      </c>
      <c r="M1930" s="55" t="s">
        <v>443</v>
      </c>
      <c r="N1930" s="60" t="s">
        <v>6384</v>
      </c>
      <c r="O1930" s="55" t="s">
        <v>281</v>
      </c>
      <c r="P1930" s="67"/>
      <c r="Q1930" s="67"/>
      <c r="R1930" s="67"/>
      <c r="S1930" s="67"/>
      <c r="T1930" s="59">
        <v>138.12</v>
      </c>
      <c r="U1930" s="153">
        <v>2240</v>
      </c>
      <c r="V1930" s="153">
        <v>3808</v>
      </c>
      <c r="W1930" s="153">
        <v>8516.4101657107931</v>
      </c>
      <c r="X1930" s="153">
        <v>2240</v>
      </c>
      <c r="Y1930" s="410">
        <v>1.76</v>
      </c>
      <c r="Z1930" s="59">
        <v>2.2400000000000002</v>
      </c>
      <c r="AA1930" s="59">
        <v>2.2599999999999998</v>
      </c>
      <c r="AB1930" s="59">
        <v>2.4700000000000002</v>
      </c>
      <c r="AC1930" s="59">
        <v>0.87809999999999999</v>
      </c>
      <c r="AD1930" s="59">
        <v>2.37</v>
      </c>
      <c r="AE1930" s="59">
        <v>2.06</v>
      </c>
      <c r="AF1930" s="59">
        <f t="shared" si="528"/>
        <v>2.2599999999999998</v>
      </c>
      <c r="AG1930" s="57">
        <v>1.27</v>
      </c>
      <c r="AH1930" s="103">
        <v>1.42E-8</v>
      </c>
      <c r="AI1930" s="103">
        <v>7.3399999999999999E-9</v>
      </c>
      <c r="AJ1930" s="62">
        <f t="shared" si="529"/>
        <v>-6.2362779819295957</v>
      </c>
      <c r="AK1930" s="62">
        <f t="shared" si="533"/>
        <v>-6.5228702663965814</v>
      </c>
      <c r="AL1930" s="62">
        <f t="shared" si="530"/>
        <v>-6.5228702663965814</v>
      </c>
      <c r="AM1930" s="62">
        <v>-8.2730999999999995</v>
      </c>
      <c r="AN1930" s="154">
        <v>-6.16</v>
      </c>
      <c r="AO1930" s="410">
        <v>3.01</v>
      </c>
      <c r="AP1930" s="410"/>
      <c r="AQ1930" s="154" t="s">
        <v>6311</v>
      </c>
      <c r="AR1930" s="154" t="s">
        <v>6311</v>
      </c>
      <c r="AS1930" s="149" t="s">
        <v>282</v>
      </c>
      <c r="AT1930" s="58" t="s">
        <v>266</v>
      </c>
      <c r="AU1930" s="56">
        <v>0</v>
      </c>
      <c r="AV1930" s="56" t="s">
        <v>646</v>
      </c>
      <c r="AW1930" s="56" t="s">
        <v>646</v>
      </c>
      <c r="AX1930" s="56">
        <v>26</v>
      </c>
      <c r="AY1930" s="56" t="s">
        <v>647</v>
      </c>
      <c r="AZ1930" s="56" t="s">
        <v>536</v>
      </c>
      <c r="BA1930" s="56">
        <v>20</v>
      </c>
      <c r="BB1930" s="55" t="s">
        <v>537</v>
      </c>
      <c r="BC1930" s="55" t="s">
        <v>648</v>
      </c>
      <c r="BD1930" s="55"/>
      <c r="BE1930" s="155" t="s">
        <v>649</v>
      </c>
      <c r="BF1930" s="155" t="s">
        <v>650</v>
      </c>
      <c r="BG1930" s="155" t="s">
        <v>540</v>
      </c>
      <c r="BH1930" s="155" t="s">
        <v>272</v>
      </c>
      <c r="BI1930" s="153">
        <v>14.502599999999999</v>
      </c>
      <c r="BJ1930" s="153">
        <v>29.97204</v>
      </c>
      <c r="BK1930" s="56"/>
      <c r="BL1930" s="153">
        <v>69.073676085754386</v>
      </c>
      <c r="BM1930" s="56" t="s">
        <v>541</v>
      </c>
      <c r="BN1930" s="56"/>
      <c r="BO1930" s="56">
        <v>24.585359999999998</v>
      </c>
      <c r="BP1930" s="56"/>
      <c r="BQ1930" s="56"/>
      <c r="BR1930" s="56">
        <v>22.79</v>
      </c>
      <c r="BS1930" s="56"/>
      <c r="BT1930" s="56"/>
      <c r="BU1930" s="158"/>
      <c r="BV1930" s="56"/>
      <c r="BW1930" s="56"/>
      <c r="BX1930" s="56"/>
      <c r="BY1930" s="56"/>
      <c r="BZ1930" s="56"/>
      <c r="CA1930" s="56"/>
      <c r="CB1930" s="56"/>
      <c r="CC1930" s="56"/>
      <c r="CD1930" s="56"/>
      <c r="CE1930" s="56"/>
      <c r="CF1930" s="56"/>
      <c r="CG1930" s="56"/>
      <c r="CH1930" s="56"/>
      <c r="CI1930" s="103">
        <v>22.79</v>
      </c>
      <c r="CJ1930" s="103">
        <f t="shared" si="534"/>
        <v>1.3577443251803756</v>
      </c>
      <c r="CK1930" s="57">
        <f t="shared" si="531"/>
        <v>2.3046037602296803</v>
      </c>
      <c r="CL1930" s="160">
        <f t="shared" si="535"/>
        <v>3.0308765285543831</v>
      </c>
      <c r="CM1930" s="160">
        <v>2.3138672203691533</v>
      </c>
      <c r="CN1930" s="160">
        <f>BJ1930/(10^CM1930)</f>
        <v>0.14549533980582521</v>
      </c>
      <c r="CO1930" s="55"/>
      <c r="CP1930" s="497" t="s">
        <v>651</v>
      </c>
      <c r="CQ1930" s="149">
        <v>2.774697833638351</v>
      </c>
      <c r="CR1930" s="349">
        <f t="shared" si="536"/>
        <v>3.8286572717931247E-2</v>
      </c>
      <c r="CS1930" s="61" t="s">
        <v>539</v>
      </c>
      <c r="CT1930" s="61"/>
      <c r="CU1930" s="111">
        <f t="shared" si="537"/>
        <v>98.288723124177281</v>
      </c>
      <c r="CV1930" s="331">
        <f t="shared" si="532"/>
        <v>74.736320917762015</v>
      </c>
      <c r="CW1930" s="326">
        <f t="shared" si="538"/>
        <v>1</v>
      </c>
      <c r="CX1930" s="326"/>
      <c r="CY1930" s="161" t="s">
        <v>6351</v>
      </c>
    </row>
    <row r="1931" spans="1:103" ht="11.25" customHeight="1" x14ac:dyDescent="0.2">
      <c r="A1931" s="72">
        <v>436</v>
      </c>
      <c r="B1931" s="149">
        <v>100</v>
      </c>
      <c r="C1931" s="54" t="s">
        <v>6744</v>
      </c>
      <c r="D1931" s="54" t="s">
        <v>8357</v>
      </c>
      <c r="E1931" s="59"/>
      <c r="F1931" s="59" t="s">
        <v>665</v>
      </c>
      <c r="G1931" s="151">
        <v>66819</v>
      </c>
      <c r="H1931" s="55" t="s">
        <v>666</v>
      </c>
      <c r="I1931" s="55" t="s">
        <v>666</v>
      </c>
      <c r="J1931" s="55" t="s">
        <v>667</v>
      </c>
      <c r="K1931" s="55" t="s">
        <v>668</v>
      </c>
      <c r="L1931" s="55"/>
      <c r="M1931" s="55"/>
      <c r="N1931" s="60"/>
      <c r="O1931" s="55"/>
      <c r="P1931" s="67"/>
      <c r="Q1931" s="67"/>
      <c r="R1931" s="67"/>
      <c r="S1931" s="67"/>
      <c r="T1931" s="56">
        <v>281.35000000000002</v>
      </c>
      <c r="U1931" s="103">
        <v>21000</v>
      </c>
      <c r="V1931" s="103">
        <v>5337</v>
      </c>
      <c r="W1931" s="103">
        <v>8303.227159225873</v>
      </c>
      <c r="X1931" s="103">
        <v>21000</v>
      </c>
      <c r="Y1931" s="162">
        <v>6.54</v>
      </c>
      <c r="Z1931" s="56">
        <v>0.08</v>
      </c>
      <c r="AA1931" s="56">
        <v>0.55000000000000004</v>
      </c>
      <c r="AB1931" s="56">
        <v>0.96</v>
      </c>
      <c r="AC1931" s="56">
        <v>0.76439999999999997</v>
      </c>
      <c r="AD1931" s="56">
        <v>0.83</v>
      </c>
      <c r="AE1931" s="56">
        <v>0.56000000000000005</v>
      </c>
      <c r="AF1931" s="56">
        <f t="shared" si="528"/>
        <v>0.55000000000000004</v>
      </c>
      <c r="AG1931" s="57">
        <v>0.8</v>
      </c>
      <c r="AH1931" s="103">
        <v>3.52E-15</v>
      </c>
      <c r="AI1931" s="103"/>
      <c r="AJ1931" s="62">
        <f t="shared" si="529"/>
        <v>-12.842023662834521</v>
      </c>
      <c r="AK1931" s="62"/>
      <c r="AL1931" s="62">
        <f t="shared" si="530"/>
        <v>-12.842023662834521</v>
      </c>
      <c r="AM1931" s="62">
        <v>-17.743000000000002</v>
      </c>
      <c r="AN1931" s="154">
        <v>-11.6</v>
      </c>
      <c r="AO1931" s="410">
        <v>11.61</v>
      </c>
      <c r="AP1931" s="410">
        <v>-4.79</v>
      </c>
      <c r="AQ1931" s="154" t="s">
        <v>6311</v>
      </c>
      <c r="AR1931" s="154" t="s">
        <v>6311</v>
      </c>
      <c r="AS1931" s="149" t="s">
        <v>6</v>
      </c>
      <c r="AT1931" s="58" t="s">
        <v>266</v>
      </c>
      <c r="AU1931" s="56">
        <v>0</v>
      </c>
      <c r="AV1931" s="56" t="s">
        <v>646</v>
      </c>
      <c r="AW1931" s="56" t="s">
        <v>646</v>
      </c>
      <c r="AX1931" s="56">
        <v>26</v>
      </c>
      <c r="AY1931" s="56" t="s">
        <v>647</v>
      </c>
      <c r="AZ1931" s="56" t="s">
        <v>536</v>
      </c>
      <c r="BA1931" s="56">
        <v>20</v>
      </c>
      <c r="BB1931" s="55" t="s">
        <v>537</v>
      </c>
      <c r="BC1931" s="55" t="s">
        <v>648</v>
      </c>
      <c r="BD1931" s="55"/>
      <c r="BE1931" s="155" t="s">
        <v>649</v>
      </c>
      <c r="BF1931" s="155" t="s">
        <v>650</v>
      </c>
      <c r="BG1931" s="155" t="s">
        <v>540</v>
      </c>
      <c r="BH1931" s="155" t="s">
        <v>272</v>
      </c>
      <c r="BI1931" s="153">
        <v>0.50643000000000005</v>
      </c>
      <c r="BJ1931" s="153">
        <v>7.9903400000000007</v>
      </c>
      <c r="BK1931" s="56"/>
      <c r="BL1931" s="153">
        <v>12251.772375384669</v>
      </c>
      <c r="BM1931" s="56" t="s">
        <v>541</v>
      </c>
      <c r="BN1931" s="56"/>
      <c r="BO1931" s="56">
        <v>1.46302</v>
      </c>
      <c r="BP1931" s="56"/>
      <c r="BQ1931" s="56"/>
      <c r="BR1931" s="56">
        <v>1.2939999999999987</v>
      </c>
      <c r="BS1931" s="56"/>
      <c r="BT1931" s="56"/>
      <c r="BU1931" s="158"/>
      <c r="BV1931" s="56"/>
      <c r="BW1931" s="56"/>
      <c r="BX1931" s="56"/>
      <c r="BY1931" s="56"/>
      <c r="BZ1931" s="56"/>
      <c r="CA1931" s="56"/>
      <c r="CB1931" s="56"/>
      <c r="CC1931" s="56"/>
      <c r="CD1931" s="56"/>
      <c r="CE1931" s="56"/>
      <c r="CF1931" s="56"/>
      <c r="CG1931" s="56"/>
      <c r="CH1931" s="56"/>
      <c r="CI1931" s="103">
        <v>1.2939999999999987</v>
      </c>
      <c r="CJ1931" s="103">
        <f t="shared" si="534"/>
        <v>0.11193427633268115</v>
      </c>
      <c r="CK1931" s="57">
        <f t="shared" si="531"/>
        <v>1533.3230344872268</v>
      </c>
      <c r="CL1931" s="160">
        <f t="shared" si="535"/>
        <v>9468.1393936512231</v>
      </c>
      <c r="CM1931" s="160"/>
      <c r="CN1931" s="160"/>
      <c r="CO1931" s="55"/>
      <c r="CP1931" s="497" t="s">
        <v>651</v>
      </c>
      <c r="CQ1931" s="149" t="s">
        <v>272</v>
      </c>
      <c r="CR1931" s="349"/>
      <c r="CS1931" s="61" t="s">
        <v>539</v>
      </c>
      <c r="CT1931" s="61"/>
      <c r="CU1931" s="111">
        <f t="shared" si="537"/>
        <v>16228.748068006198</v>
      </c>
      <c r="CV1931" s="331">
        <f t="shared" si="532"/>
        <v>2628.1735195248261</v>
      </c>
      <c r="CW1931" s="326">
        <f t="shared" si="538"/>
        <v>1</v>
      </c>
      <c r="CX1931" s="326"/>
      <c r="CY1931" s="161" t="s">
        <v>5921</v>
      </c>
    </row>
    <row r="1932" spans="1:103" ht="11.25" customHeight="1" x14ac:dyDescent="0.2">
      <c r="A1932" s="72">
        <v>437</v>
      </c>
      <c r="B1932" s="149">
        <v>101</v>
      </c>
      <c r="C1932" s="54" t="s">
        <v>6745</v>
      </c>
      <c r="D1932" s="54"/>
      <c r="E1932" s="59"/>
      <c r="F1932" s="59" t="s">
        <v>669</v>
      </c>
      <c r="G1932" s="151">
        <v>477305</v>
      </c>
      <c r="H1932" s="55" t="s">
        <v>670</v>
      </c>
      <c r="I1932" s="55" t="s">
        <v>670</v>
      </c>
      <c r="J1932" s="55" t="s">
        <v>671</v>
      </c>
      <c r="K1932" s="55" t="s">
        <v>672</v>
      </c>
      <c r="L1932" s="55"/>
      <c r="M1932" s="55"/>
      <c r="N1932" s="60"/>
      <c r="O1932" s="55"/>
      <c r="P1932" s="67"/>
      <c r="Q1932" s="67"/>
      <c r="R1932" s="67"/>
      <c r="S1932" s="67"/>
      <c r="T1932" s="56">
        <v>371.43</v>
      </c>
      <c r="U1932" s="103"/>
      <c r="V1932" s="103">
        <v>3161.0000000000005</v>
      </c>
      <c r="W1932" s="103">
        <v>512.71612740144928</v>
      </c>
      <c r="X1932" s="103">
        <v>512.71612740144928</v>
      </c>
      <c r="Y1932" s="162">
        <v>9.8000000000000007</v>
      </c>
      <c r="Z1932" s="56">
        <v>2.38</v>
      </c>
      <c r="AA1932" s="56">
        <v>1.37</v>
      </c>
      <c r="AB1932" s="56">
        <v>1.42</v>
      </c>
      <c r="AC1932" s="56">
        <v>0.84379999999999999</v>
      </c>
      <c r="AD1932" s="56">
        <v>1.44</v>
      </c>
      <c r="AE1932" s="56">
        <v>1.52</v>
      </c>
      <c r="AF1932" s="56">
        <f t="shared" si="528"/>
        <v>1.37</v>
      </c>
      <c r="AG1932" s="57">
        <v>2.9</v>
      </c>
      <c r="AH1932" s="103">
        <v>1.21E-14</v>
      </c>
      <c r="AI1932" s="103"/>
      <c r="AJ1932" s="62">
        <f t="shared" si="529"/>
        <v>-12.305780955996202</v>
      </c>
      <c r="AK1932" s="62"/>
      <c r="AL1932" s="62">
        <f t="shared" si="530"/>
        <v>-12.305780955996202</v>
      </c>
      <c r="AM1932" s="62">
        <v>-20.44172</v>
      </c>
      <c r="AN1932" s="154">
        <v>-15.5</v>
      </c>
      <c r="AO1932" s="410"/>
      <c r="AP1932" s="410">
        <v>8.48</v>
      </c>
      <c r="AQ1932" s="154" t="s">
        <v>6311</v>
      </c>
      <c r="AR1932" s="154" t="s">
        <v>6311</v>
      </c>
      <c r="AS1932" s="149" t="s">
        <v>6</v>
      </c>
      <c r="AT1932" s="58" t="s">
        <v>266</v>
      </c>
      <c r="AU1932" s="56">
        <v>0</v>
      </c>
      <c r="AV1932" s="56" t="s">
        <v>646</v>
      </c>
      <c r="AW1932" s="56" t="s">
        <v>646</v>
      </c>
      <c r="AX1932" s="56">
        <v>26</v>
      </c>
      <c r="AY1932" s="56" t="s">
        <v>647</v>
      </c>
      <c r="AZ1932" s="56" t="s">
        <v>536</v>
      </c>
      <c r="BA1932" s="56">
        <v>20</v>
      </c>
      <c r="BB1932" s="55" t="s">
        <v>537</v>
      </c>
      <c r="BC1932" s="55" t="s">
        <v>648</v>
      </c>
      <c r="BD1932" s="55"/>
      <c r="BE1932" s="155" t="s">
        <v>649</v>
      </c>
      <c r="BF1932" s="155" t="s">
        <v>650</v>
      </c>
      <c r="BG1932" s="155" t="s">
        <v>540</v>
      </c>
      <c r="BH1932" s="155" t="s">
        <v>272</v>
      </c>
      <c r="BI1932" s="153">
        <v>1188.576</v>
      </c>
      <c r="BJ1932" s="153">
        <v>9917.1810000000005</v>
      </c>
      <c r="BK1932" s="56"/>
      <c r="BL1932" s="153">
        <v>139.05896040819744</v>
      </c>
      <c r="BM1932" s="56" t="s">
        <v>541</v>
      </c>
      <c r="BN1932" s="56"/>
      <c r="BO1932" s="56">
        <v>3.4171559999999999</v>
      </c>
      <c r="BP1932" s="56"/>
      <c r="BQ1932" s="56"/>
      <c r="BR1932" s="56">
        <v>3.7175638840070149</v>
      </c>
      <c r="BS1932" s="56"/>
      <c r="BT1932" s="56"/>
      <c r="BU1932" s="158"/>
      <c r="BV1932" s="56"/>
      <c r="BW1932" s="56"/>
      <c r="BX1932" s="56"/>
      <c r="BY1932" s="56"/>
      <c r="BZ1932" s="56"/>
      <c r="CA1932" s="56"/>
      <c r="CB1932" s="56"/>
      <c r="CC1932" s="56"/>
      <c r="CD1932" s="56"/>
      <c r="CE1932" s="56"/>
      <c r="CF1932" s="56"/>
      <c r="CG1932" s="56"/>
      <c r="CH1932" s="56"/>
      <c r="CI1932" s="103">
        <v>3.4171559999999999</v>
      </c>
      <c r="CJ1932" s="103">
        <f t="shared" si="534"/>
        <v>0.53366480566229613</v>
      </c>
      <c r="CK1932" s="57">
        <f t="shared" si="531"/>
        <v>1.4022025050082017E-2</v>
      </c>
      <c r="CL1932" s="160">
        <f t="shared" si="535"/>
        <v>40.694355308390207</v>
      </c>
      <c r="CM1932" s="160"/>
      <c r="CN1932" s="160"/>
      <c r="CO1932" s="55"/>
      <c r="CP1932" s="497" t="s">
        <v>651</v>
      </c>
      <c r="CQ1932" s="149" t="s">
        <v>272</v>
      </c>
      <c r="CR1932" s="349"/>
      <c r="CS1932" s="61" t="s">
        <v>539</v>
      </c>
      <c r="CT1932" s="61"/>
      <c r="CU1932" s="111">
        <f t="shared" si="537"/>
        <v>150.04176789161787</v>
      </c>
      <c r="CV1932" s="331">
        <f t="shared" si="532"/>
        <v>5.1699785191119257E-2</v>
      </c>
      <c r="CW1932" s="326">
        <f t="shared" si="538"/>
        <v>1</v>
      </c>
      <c r="CX1932" s="326"/>
      <c r="CY1932" s="161" t="s">
        <v>5921</v>
      </c>
    </row>
    <row r="1933" spans="1:103" ht="11.25" customHeight="1" x14ac:dyDescent="0.2">
      <c r="A1933" s="72">
        <v>439</v>
      </c>
      <c r="B1933" s="149">
        <v>107</v>
      </c>
      <c r="C1933" s="54" t="s">
        <v>6746</v>
      </c>
      <c r="D1933" s="54"/>
      <c r="E1933" s="59"/>
      <c r="F1933" s="59" t="s">
        <v>531</v>
      </c>
      <c r="G1933" s="151">
        <v>50782</v>
      </c>
      <c r="H1933" s="55" t="s">
        <v>532</v>
      </c>
      <c r="I1933" s="55" t="s">
        <v>532</v>
      </c>
      <c r="J1933" s="55" t="s">
        <v>533</v>
      </c>
      <c r="K1933" s="55" t="s">
        <v>357</v>
      </c>
      <c r="L1933" s="64" t="s">
        <v>279</v>
      </c>
      <c r="M1933" s="55" t="s">
        <v>8513</v>
      </c>
      <c r="N1933" s="60"/>
      <c r="O1933" s="55" t="s">
        <v>281</v>
      </c>
      <c r="P1933" s="67"/>
      <c r="Q1933" s="67"/>
      <c r="R1933" s="67"/>
      <c r="S1933" s="67"/>
      <c r="T1933" s="56">
        <v>180.16</v>
      </c>
      <c r="U1933" s="103">
        <v>4600</v>
      </c>
      <c r="V1933" s="103">
        <v>5295</v>
      </c>
      <c r="W1933" s="103">
        <v>2374.9713401832237</v>
      </c>
      <c r="X1933" s="103">
        <v>4600</v>
      </c>
      <c r="Y1933" s="162">
        <v>2.72</v>
      </c>
      <c r="Z1933" s="56">
        <v>1.1299999999999999</v>
      </c>
      <c r="AA1933" s="56">
        <v>1.19</v>
      </c>
      <c r="AB1933" s="56">
        <v>1.44</v>
      </c>
      <c r="AC1933" s="56">
        <v>0.93910000000000005</v>
      </c>
      <c r="AD1933" s="56">
        <v>1.39</v>
      </c>
      <c r="AE1933" s="56">
        <v>1.19</v>
      </c>
      <c r="AF1933" s="56">
        <f t="shared" si="528"/>
        <v>1.19</v>
      </c>
      <c r="AG1933" s="57">
        <v>1.24</v>
      </c>
      <c r="AH1933" s="103">
        <v>1.3000000000000001E-9</v>
      </c>
      <c r="AI1933" s="103">
        <v>1.3000000000000001E-9</v>
      </c>
      <c r="AJ1933" s="62">
        <f t="shared" si="529"/>
        <v>-7.2746229740058146</v>
      </c>
      <c r="AK1933" s="62">
        <f>LOG10(AI1933*1000/(0.08206*298.15))</f>
        <v>-7.2746229740058146</v>
      </c>
      <c r="AL1933" s="62">
        <f t="shared" si="530"/>
        <v>-7.2746229740058146</v>
      </c>
      <c r="AM1933" s="62">
        <v>-10.548029999999999</v>
      </c>
      <c r="AN1933" s="154">
        <v>-7.7</v>
      </c>
      <c r="AO1933" s="410">
        <v>3.48</v>
      </c>
      <c r="AP1933" s="410"/>
      <c r="AQ1933" s="154" t="s">
        <v>6311</v>
      </c>
      <c r="AR1933" s="154" t="s">
        <v>6314</v>
      </c>
      <c r="AS1933" s="149" t="s">
        <v>6</v>
      </c>
      <c r="AT1933" s="58" t="s">
        <v>266</v>
      </c>
      <c r="AU1933" s="56">
        <v>0</v>
      </c>
      <c r="AV1933" s="56" t="s">
        <v>646</v>
      </c>
      <c r="AW1933" s="56" t="s">
        <v>646</v>
      </c>
      <c r="AX1933" s="56">
        <v>26</v>
      </c>
      <c r="AY1933" s="56" t="s">
        <v>647</v>
      </c>
      <c r="AZ1933" s="56" t="s">
        <v>536</v>
      </c>
      <c r="BA1933" s="56">
        <v>20</v>
      </c>
      <c r="BB1933" s="55" t="s">
        <v>537</v>
      </c>
      <c r="BC1933" s="55" t="s">
        <v>648</v>
      </c>
      <c r="BD1933" s="55"/>
      <c r="BE1933" s="155" t="s">
        <v>649</v>
      </c>
      <c r="BF1933" s="155" t="s">
        <v>650</v>
      </c>
      <c r="BG1933" s="155" t="s">
        <v>540</v>
      </c>
      <c r="BH1933" s="155" t="s">
        <v>272</v>
      </c>
      <c r="BI1933" s="153">
        <v>19.99776</v>
      </c>
      <c r="BJ1933" s="153">
        <v>76.928319999999999</v>
      </c>
      <c r="BK1933" s="56"/>
      <c r="BL1933" s="153">
        <v>894.55155126681882</v>
      </c>
      <c r="BM1933" s="56" t="s">
        <v>541</v>
      </c>
      <c r="BN1933" s="56"/>
      <c r="BO1933" s="56">
        <v>53.327359999999999</v>
      </c>
      <c r="BP1933" s="56"/>
      <c r="BQ1933" s="56"/>
      <c r="BR1933" s="56">
        <v>48.102749999999979</v>
      </c>
      <c r="BS1933" s="56"/>
      <c r="BT1933" s="56"/>
      <c r="BU1933" s="158"/>
      <c r="BV1933" s="56"/>
      <c r="BW1933" s="56"/>
      <c r="BX1933" s="56"/>
      <c r="BY1933" s="56"/>
      <c r="BZ1933" s="56"/>
      <c r="CA1933" s="56"/>
      <c r="CB1933" s="56"/>
      <c r="CC1933" s="56"/>
      <c r="CD1933" s="56"/>
      <c r="CE1933" s="56"/>
      <c r="CF1933" s="56"/>
      <c r="CG1933" s="56"/>
      <c r="CH1933" s="56"/>
      <c r="CI1933" s="103">
        <v>48.102749999999979</v>
      </c>
      <c r="CJ1933" s="103">
        <f t="shared" si="534"/>
        <v>1.6821699053901655</v>
      </c>
      <c r="CK1933" s="57">
        <f t="shared" si="531"/>
        <v>11.628377576253047</v>
      </c>
      <c r="CL1933" s="160">
        <f t="shared" si="535"/>
        <v>18.596682128710295</v>
      </c>
      <c r="CM1933" s="160"/>
      <c r="CN1933" s="160"/>
      <c r="CO1933" s="55"/>
      <c r="CP1933" s="497" t="s">
        <v>651</v>
      </c>
      <c r="CQ1933" s="149" t="s">
        <v>272</v>
      </c>
      <c r="CR1933" s="349"/>
      <c r="CS1933" s="61" t="s">
        <v>539</v>
      </c>
      <c r="CT1933" s="61"/>
      <c r="CU1933" s="111">
        <f t="shared" si="537"/>
        <v>95.628628300876812</v>
      </c>
      <c r="CV1933" s="331">
        <f t="shared" si="532"/>
        <v>59.795924309799048</v>
      </c>
      <c r="CW1933" s="326">
        <f t="shared" si="538"/>
        <v>1</v>
      </c>
      <c r="CX1933" s="326"/>
      <c r="CY1933" s="161" t="s">
        <v>6351</v>
      </c>
    </row>
    <row r="1934" spans="1:103" ht="11.25" customHeight="1" x14ac:dyDescent="0.2">
      <c r="A1934" s="72">
        <v>440</v>
      </c>
      <c r="B1934" s="149">
        <v>114</v>
      </c>
      <c r="C1934" s="54" t="s">
        <v>6747</v>
      </c>
      <c r="D1934" s="54"/>
      <c r="E1934" s="59"/>
      <c r="F1934" s="59" t="s">
        <v>704</v>
      </c>
      <c r="G1934" s="151">
        <v>2430275</v>
      </c>
      <c r="H1934" s="55" t="s">
        <v>705</v>
      </c>
      <c r="I1934" s="55" t="s">
        <v>705</v>
      </c>
      <c r="J1934" s="55" t="s">
        <v>706</v>
      </c>
      <c r="K1934" s="55" t="s">
        <v>471</v>
      </c>
      <c r="L1934" s="55"/>
      <c r="M1934" s="55"/>
      <c r="N1934" s="60"/>
      <c r="O1934" s="55"/>
      <c r="P1934" s="67"/>
      <c r="Q1934" s="67"/>
      <c r="R1934" s="67"/>
      <c r="S1934" s="67"/>
      <c r="T1934" s="56">
        <v>143.22999999999999</v>
      </c>
      <c r="U1934" s="103"/>
      <c r="V1934" s="103">
        <v>2805.9999999999995</v>
      </c>
      <c r="W1934" s="103">
        <v>1367.8358809585022</v>
      </c>
      <c r="X1934" s="103">
        <v>1367.8358809585022</v>
      </c>
      <c r="Y1934" s="162">
        <v>7</v>
      </c>
      <c r="Z1934" s="56">
        <v>1.71</v>
      </c>
      <c r="AA1934" s="56"/>
      <c r="AB1934" s="56">
        <v>2.13</v>
      </c>
      <c r="AC1934" s="56">
        <v>0.82830000000000004</v>
      </c>
      <c r="AD1934" s="56">
        <v>2.0299999999999998</v>
      </c>
      <c r="AE1934" s="56">
        <v>1.77</v>
      </c>
      <c r="AF1934" s="56">
        <f t="shared" si="528"/>
        <v>2.0299999999999998</v>
      </c>
      <c r="AG1934" s="57">
        <v>1.72</v>
      </c>
      <c r="AH1934" s="103">
        <v>6.1200000000000005E-8</v>
      </c>
      <c r="AI1934" s="103"/>
      <c r="AJ1934" s="62">
        <f t="shared" si="529"/>
        <v>-5.6018149041670906</v>
      </c>
      <c r="AK1934" s="62"/>
      <c r="AL1934" s="62">
        <f t="shared" si="530"/>
        <v>-5.6018149041670906</v>
      </c>
      <c r="AM1934" s="62">
        <v>-8.1777200000000008</v>
      </c>
      <c r="AN1934" s="154">
        <v>-6.78</v>
      </c>
      <c r="AO1934" s="410">
        <v>16.760000000000002</v>
      </c>
      <c r="AP1934" s="410">
        <v>-0.55000000000000004</v>
      </c>
      <c r="AQ1934" s="154" t="s">
        <v>6311</v>
      </c>
      <c r="AR1934" s="154" t="s">
        <v>6311</v>
      </c>
      <c r="AS1934" s="149" t="s">
        <v>6</v>
      </c>
      <c r="AT1934" s="58" t="s">
        <v>266</v>
      </c>
      <c r="AU1934" s="56">
        <v>0</v>
      </c>
      <c r="AV1934" s="56" t="s">
        <v>646</v>
      </c>
      <c r="AW1934" s="56" t="s">
        <v>646</v>
      </c>
      <c r="AX1934" s="56">
        <v>26</v>
      </c>
      <c r="AY1934" s="56" t="s">
        <v>647</v>
      </c>
      <c r="AZ1934" s="56" t="s">
        <v>536</v>
      </c>
      <c r="BA1934" s="56">
        <v>20</v>
      </c>
      <c r="BB1934" s="55" t="s">
        <v>537</v>
      </c>
      <c r="BC1934" s="55" t="s">
        <v>648</v>
      </c>
      <c r="BD1934" s="55"/>
      <c r="BE1934" s="155" t="s">
        <v>649</v>
      </c>
      <c r="BF1934" s="155" t="s">
        <v>650</v>
      </c>
      <c r="BG1934" s="155" t="s">
        <v>540</v>
      </c>
      <c r="BH1934" s="155" t="s">
        <v>272</v>
      </c>
      <c r="BI1934" s="153">
        <v>515.62799999999993</v>
      </c>
      <c r="BJ1934" s="153">
        <v>2005.2199999999998</v>
      </c>
      <c r="BK1934" s="56"/>
      <c r="BL1934" s="153">
        <v>214.33001379990483</v>
      </c>
      <c r="BM1934" s="56" t="s">
        <v>541</v>
      </c>
      <c r="BN1934" s="56"/>
      <c r="BO1934" s="56">
        <v>1131.5170000000001</v>
      </c>
      <c r="BP1934" s="56"/>
      <c r="BQ1934" s="56"/>
      <c r="BR1934" s="56">
        <v>1016.9260000000005</v>
      </c>
      <c r="BS1934" s="56"/>
      <c r="BT1934" s="56"/>
      <c r="BU1934" s="158"/>
      <c r="BV1934" s="56"/>
      <c r="BW1934" s="56"/>
      <c r="BX1934" s="56"/>
      <c r="BY1934" s="56"/>
      <c r="BZ1934" s="56"/>
      <c r="CA1934" s="56"/>
      <c r="CB1934" s="56"/>
      <c r="CC1934" s="56"/>
      <c r="CD1934" s="56"/>
      <c r="CE1934" s="56"/>
      <c r="CF1934" s="56"/>
      <c r="CG1934" s="56"/>
      <c r="CH1934" s="56"/>
      <c r="CI1934" s="103">
        <v>1016.9260000000005</v>
      </c>
      <c r="CJ1934" s="103">
        <f t="shared" si="534"/>
        <v>3.0072893511912411</v>
      </c>
      <c r="CK1934" s="57">
        <f t="shared" si="531"/>
        <v>0.10688603435029814</v>
      </c>
      <c r="CL1934" s="160">
        <f t="shared" si="535"/>
        <v>0.2107626452661302</v>
      </c>
      <c r="CM1934" s="160"/>
      <c r="CN1934" s="160"/>
      <c r="CO1934" s="55"/>
      <c r="CP1934" s="497" t="s">
        <v>651</v>
      </c>
      <c r="CQ1934" s="149" t="s">
        <v>272</v>
      </c>
      <c r="CR1934" s="349"/>
      <c r="CS1934" s="61" t="s">
        <v>539</v>
      </c>
      <c r="CT1934" s="61"/>
      <c r="CU1934" s="111">
        <f t="shared" si="537"/>
        <v>1.3450692390188681</v>
      </c>
      <c r="CV1934" s="331">
        <f t="shared" si="532"/>
        <v>0.6821375614438826</v>
      </c>
      <c r="CW1934" s="326">
        <f t="shared" si="538"/>
        <v>0</v>
      </c>
      <c r="CX1934" s="326"/>
      <c r="CY1934" s="161" t="s">
        <v>5921</v>
      </c>
    </row>
    <row r="1935" spans="1:103" ht="11.25" customHeight="1" x14ac:dyDescent="0.2">
      <c r="A1935" s="72">
        <v>443</v>
      </c>
      <c r="B1935" s="149">
        <v>118</v>
      </c>
      <c r="C1935" s="54" t="s">
        <v>6750</v>
      </c>
      <c r="D1935" s="54"/>
      <c r="E1935" s="59"/>
      <c r="F1935" s="59" t="s">
        <v>717</v>
      </c>
      <c r="G1935" s="151">
        <v>127071</v>
      </c>
      <c r="H1935" s="55" t="s">
        <v>718</v>
      </c>
      <c r="I1935" s="55" t="s">
        <v>718</v>
      </c>
      <c r="J1935" s="55" t="s">
        <v>719</v>
      </c>
      <c r="K1935" s="55" t="s">
        <v>426</v>
      </c>
      <c r="L1935" s="64" t="s">
        <v>279</v>
      </c>
      <c r="M1935" s="55" t="s">
        <v>720</v>
      </c>
      <c r="N1935" s="60"/>
      <c r="O1935" s="55" t="s">
        <v>281</v>
      </c>
      <c r="P1935" s="67"/>
      <c r="Q1935" s="67"/>
      <c r="R1935" s="67"/>
      <c r="S1935" s="67"/>
      <c r="T1935" s="56">
        <v>76.05</v>
      </c>
      <c r="U1935" s="103">
        <v>1000000.0000000001</v>
      </c>
      <c r="V1935" s="103">
        <v>224200</v>
      </c>
      <c r="W1935" s="103">
        <v>979713.78406262887</v>
      </c>
      <c r="X1935" s="103">
        <v>1000000.0000000001</v>
      </c>
      <c r="Y1935" s="162">
        <v>4.55</v>
      </c>
      <c r="Z1935" s="56">
        <v>-1.68</v>
      </c>
      <c r="AA1935" s="56">
        <v>-1.8</v>
      </c>
      <c r="AB1935" s="56">
        <v>-1.36</v>
      </c>
      <c r="AC1935" s="56">
        <v>0.70209999999999995</v>
      </c>
      <c r="AD1935" s="56">
        <v>-1.54</v>
      </c>
      <c r="AE1935" s="56">
        <v>-1.8</v>
      </c>
      <c r="AF1935" s="56">
        <f t="shared" si="528"/>
        <v>-1.8</v>
      </c>
      <c r="AG1935" s="57">
        <v>-1.34</v>
      </c>
      <c r="AH1935" s="103">
        <v>5.4199999999999998E-11</v>
      </c>
      <c r="AI1935" s="103"/>
      <c r="AJ1935" s="62">
        <f t="shared" si="529"/>
        <v>-8.654567039774264</v>
      </c>
      <c r="AK1935" s="62"/>
      <c r="AL1935" s="62">
        <f t="shared" si="530"/>
        <v>-8.654567039774264</v>
      </c>
      <c r="AM1935" s="62">
        <v>-12.359780000000001</v>
      </c>
      <c r="AN1935" s="154">
        <v>-13.5</v>
      </c>
      <c r="AO1935" s="410">
        <v>10.56</v>
      </c>
      <c r="AP1935" s="410">
        <v>-0.47</v>
      </c>
      <c r="AQ1935" s="154" t="s">
        <v>6311</v>
      </c>
      <c r="AR1935" s="154" t="s">
        <v>6311</v>
      </c>
      <c r="AS1935" s="149" t="s">
        <v>6</v>
      </c>
      <c r="AT1935" s="58" t="s">
        <v>266</v>
      </c>
      <c r="AU1935" s="56">
        <v>0</v>
      </c>
      <c r="AV1935" s="56" t="s">
        <v>646</v>
      </c>
      <c r="AW1935" s="56" t="s">
        <v>646</v>
      </c>
      <c r="AX1935" s="56">
        <v>26</v>
      </c>
      <c r="AY1935" s="56" t="s">
        <v>647</v>
      </c>
      <c r="AZ1935" s="56" t="s">
        <v>536</v>
      </c>
      <c r="BA1935" s="56">
        <v>20</v>
      </c>
      <c r="BB1935" s="55" t="s">
        <v>537</v>
      </c>
      <c r="BC1935" s="55" t="s">
        <v>648</v>
      </c>
      <c r="BD1935" s="55"/>
      <c r="BE1935" s="155" t="s">
        <v>649</v>
      </c>
      <c r="BF1935" s="155" t="s">
        <v>650</v>
      </c>
      <c r="BG1935" s="155" t="s">
        <v>540</v>
      </c>
      <c r="BH1935" s="155" t="s">
        <v>272</v>
      </c>
      <c r="BI1935" s="153">
        <v>699.66</v>
      </c>
      <c r="BJ1935" s="153">
        <v>3543.93</v>
      </c>
      <c r="BK1935" s="56"/>
      <c r="BL1935" s="153">
        <v>126097.7154463983</v>
      </c>
      <c r="BM1935" s="56" t="s">
        <v>541</v>
      </c>
      <c r="BN1935" s="56"/>
      <c r="BO1935" s="56">
        <v>2311.9199999999996</v>
      </c>
      <c r="BP1935" s="56"/>
      <c r="BQ1935" s="56"/>
      <c r="BR1935" s="476">
        <v>2311.9199999999996</v>
      </c>
      <c r="BS1935" s="56"/>
      <c r="BT1935" s="476"/>
      <c r="BU1935" s="158"/>
      <c r="BV1935" s="56"/>
      <c r="BW1935" s="56"/>
      <c r="BX1935" s="56"/>
      <c r="BY1935" s="56"/>
      <c r="BZ1935" s="56"/>
      <c r="CA1935" s="56"/>
      <c r="CB1935" s="56"/>
      <c r="CC1935" s="56"/>
      <c r="CD1935" s="56"/>
      <c r="CE1935" s="56"/>
      <c r="CF1935" s="56"/>
      <c r="CG1935" s="56"/>
      <c r="CH1935" s="56"/>
      <c r="CI1935" s="103">
        <v>2311.9199999999996</v>
      </c>
      <c r="CJ1935" s="103">
        <f t="shared" si="534"/>
        <v>3.3639728019977708</v>
      </c>
      <c r="CK1935" s="57">
        <f t="shared" si="531"/>
        <v>35.581322273972205</v>
      </c>
      <c r="CL1935" s="160">
        <f t="shared" si="535"/>
        <v>54.542421643654762</v>
      </c>
      <c r="CM1935" s="160"/>
      <c r="CN1935" s="160"/>
      <c r="CO1935" s="55"/>
      <c r="CP1935" s="497" t="s">
        <v>651</v>
      </c>
      <c r="CQ1935" s="149" t="s">
        <v>272</v>
      </c>
      <c r="CR1935" s="349"/>
      <c r="CS1935" s="61" t="s">
        <v>539</v>
      </c>
      <c r="CT1935" s="61"/>
      <c r="CU1935" s="111">
        <f t="shared" si="537"/>
        <v>432.54091837087799</v>
      </c>
      <c r="CV1935" s="331">
        <f t="shared" si="532"/>
        <v>282.17261627628091</v>
      </c>
      <c r="CW1935" s="326">
        <f t="shared" si="538"/>
        <v>1</v>
      </c>
      <c r="CX1935" s="326"/>
      <c r="CY1935" s="161" t="s">
        <v>5921</v>
      </c>
    </row>
    <row r="1936" spans="1:103" ht="11.25" customHeight="1" x14ac:dyDescent="0.2">
      <c r="A1936" s="72">
        <v>447</v>
      </c>
      <c r="B1936" s="149">
        <v>130</v>
      </c>
      <c r="C1936" s="54" t="s">
        <v>755</v>
      </c>
      <c r="D1936" s="54" t="s">
        <v>8366</v>
      </c>
      <c r="E1936" s="59"/>
      <c r="F1936" s="59" t="s">
        <v>756</v>
      </c>
      <c r="G1936" s="151">
        <v>123397</v>
      </c>
      <c r="H1936" s="55" t="s">
        <v>757</v>
      </c>
      <c r="I1936" s="55" t="s">
        <v>757</v>
      </c>
      <c r="J1936" s="55" t="s">
        <v>758</v>
      </c>
      <c r="K1936" s="55" t="s">
        <v>471</v>
      </c>
      <c r="L1936" s="55"/>
      <c r="M1936" s="55"/>
      <c r="N1936" s="60"/>
      <c r="O1936" s="55"/>
      <c r="P1936" s="67"/>
      <c r="Q1936" s="67"/>
      <c r="R1936" s="67"/>
      <c r="S1936" s="67"/>
      <c r="T1936" s="56">
        <v>59.07</v>
      </c>
      <c r="U1936" s="103">
        <v>1000000</v>
      </c>
      <c r="V1936" s="103">
        <v>924100</v>
      </c>
      <c r="W1936" s="103">
        <v>81539.298510092412</v>
      </c>
      <c r="X1936" s="103">
        <v>1000000</v>
      </c>
      <c r="Y1936" s="162">
        <v>7.08</v>
      </c>
      <c r="Z1936" s="56">
        <v>-1.1399999999999999</v>
      </c>
      <c r="AA1936" s="56">
        <v>-0.97</v>
      </c>
      <c r="AB1936" s="56">
        <v>-0.89</v>
      </c>
      <c r="AC1936" s="56">
        <v>0.85619999999999996</v>
      </c>
      <c r="AD1936" s="56">
        <v>-0.81</v>
      </c>
      <c r="AE1936" s="56">
        <v>-0.6</v>
      </c>
      <c r="AF1936" s="56">
        <f t="shared" si="528"/>
        <v>-0.97</v>
      </c>
      <c r="AG1936" s="57">
        <v>-0.26</v>
      </c>
      <c r="AH1936" s="103">
        <v>3.3600000000000003E-8</v>
      </c>
      <c r="AI1936" s="103">
        <v>1.9700000000000001E-8</v>
      </c>
      <c r="AJ1936" s="62">
        <f t="shared" si="529"/>
        <v>-5.8622270489228079</v>
      </c>
      <c r="AK1936" s="62">
        <f>LOG10(AI1936*1000/(0.08206*298.15))</f>
        <v>-6.0941001001510591</v>
      </c>
      <c r="AL1936" s="62">
        <f t="shared" si="530"/>
        <v>-6.0941001001510591</v>
      </c>
      <c r="AM1936" s="62">
        <v>-6.36416</v>
      </c>
      <c r="AN1936" s="154">
        <v>-6.79</v>
      </c>
      <c r="AO1936" s="410">
        <v>16.48</v>
      </c>
      <c r="AP1936" s="410">
        <v>-0.47</v>
      </c>
      <c r="AQ1936" s="154" t="s">
        <v>6311</v>
      </c>
      <c r="AR1936" s="154" t="s">
        <v>6311</v>
      </c>
      <c r="AS1936" s="149" t="s">
        <v>87</v>
      </c>
      <c r="AT1936" s="58" t="s">
        <v>266</v>
      </c>
      <c r="AU1936" s="56">
        <v>0</v>
      </c>
      <c r="AV1936" s="56" t="s">
        <v>646</v>
      </c>
      <c r="AW1936" s="56" t="s">
        <v>646</v>
      </c>
      <c r="AX1936" s="56">
        <v>26</v>
      </c>
      <c r="AY1936" s="56" t="s">
        <v>647</v>
      </c>
      <c r="AZ1936" s="56" t="s">
        <v>536</v>
      </c>
      <c r="BA1936" s="56">
        <v>20</v>
      </c>
      <c r="BB1936" s="55" t="s">
        <v>537</v>
      </c>
      <c r="BC1936" s="55" t="s">
        <v>648</v>
      </c>
      <c r="BD1936" s="55"/>
      <c r="BE1936" s="155" t="s">
        <v>649</v>
      </c>
      <c r="BF1936" s="155" t="s">
        <v>650</v>
      </c>
      <c r="BG1936" s="155" t="s">
        <v>540</v>
      </c>
      <c r="BH1936" s="155" t="s">
        <v>272</v>
      </c>
      <c r="BI1936" s="153">
        <v>7998.0780000000004</v>
      </c>
      <c r="BJ1936" s="153">
        <v>30698.679000000004</v>
      </c>
      <c r="BK1936" s="56"/>
      <c r="BL1936" s="153">
        <v>32062.764920729347</v>
      </c>
      <c r="BM1936" s="56" t="s">
        <v>541</v>
      </c>
      <c r="BN1936" s="56"/>
      <c r="BO1936" s="56">
        <v>22316.646000000001</v>
      </c>
      <c r="BP1936" s="56"/>
      <c r="BQ1936" s="56"/>
      <c r="BR1936" s="56">
        <v>17371.839999999989</v>
      </c>
      <c r="BS1936" s="56"/>
      <c r="BT1936" s="56"/>
      <c r="BU1936" s="158"/>
      <c r="BV1936" s="56"/>
      <c r="BW1936" s="56"/>
      <c r="BX1936" s="56"/>
      <c r="BY1936" s="56"/>
      <c r="BZ1936" s="56"/>
      <c r="CA1936" s="56"/>
      <c r="CB1936" s="56"/>
      <c r="CC1936" s="56"/>
      <c r="CD1936" s="56"/>
      <c r="CE1936" s="56"/>
      <c r="CF1936" s="56"/>
      <c r="CG1936" s="56"/>
      <c r="CH1936" s="56"/>
      <c r="CI1936" s="103">
        <v>17371.839999999989</v>
      </c>
      <c r="CJ1936" s="103">
        <f t="shared" si="534"/>
        <v>4.2398458207225937</v>
      </c>
      <c r="CK1936" s="57">
        <f t="shared" si="531"/>
        <v>1.0444346781413409</v>
      </c>
      <c r="CL1936" s="160">
        <f t="shared" si="535"/>
        <v>1.8456746620236755</v>
      </c>
      <c r="CM1936" s="160"/>
      <c r="CN1936" s="160"/>
      <c r="CO1936" s="55"/>
      <c r="CP1936" s="497" t="s">
        <v>651</v>
      </c>
      <c r="CQ1936" s="149" t="s">
        <v>272</v>
      </c>
      <c r="CR1936" s="349"/>
      <c r="CS1936" s="61" t="s">
        <v>539</v>
      </c>
      <c r="CT1936" s="61"/>
      <c r="CU1936" s="111">
        <f t="shared" si="537"/>
        <v>57.564426105697535</v>
      </c>
      <c r="CV1936" s="331">
        <f t="shared" si="532"/>
        <v>32.574691568975979</v>
      </c>
      <c r="CW1936" s="326">
        <f t="shared" si="538"/>
        <v>1</v>
      </c>
      <c r="CX1936" s="326"/>
      <c r="CY1936" s="161" t="s">
        <v>6351</v>
      </c>
    </row>
    <row r="1937" spans="1:103" ht="11.25" customHeight="1" x14ac:dyDescent="0.2">
      <c r="A1937" s="72">
        <v>1613</v>
      </c>
      <c r="B1937" s="241">
        <v>1321</v>
      </c>
      <c r="C1937" s="32" t="s">
        <v>6939</v>
      </c>
      <c r="D1937" s="32"/>
      <c r="E1937" s="40"/>
      <c r="F1937" s="40" t="s">
        <v>3560</v>
      </c>
      <c r="G1937" s="242">
        <v>50351</v>
      </c>
      <c r="H1937" s="36" t="s">
        <v>3561</v>
      </c>
      <c r="I1937" s="36" t="s">
        <v>3561</v>
      </c>
      <c r="J1937" s="36" t="s">
        <v>3562</v>
      </c>
      <c r="K1937" s="36" t="s">
        <v>1314</v>
      </c>
      <c r="L1937" s="42" t="s">
        <v>279</v>
      </c>
      <c r="M1937" s="36" t="s">
        <v>3563</v>
      </c>
      <c r="N1937" s="36" t="s">
        <v>2342</v>
      </c>
      <c r="O1937" s="36" t="s">
        <v>281</v>
      </c>
      <c r="P1937" s="41" t="s">
        <v>8537</v>
      </c>
      <c r="Q1937" s="41" t="s">
        <v>6173</v>
      </c>
      <c r="R1937" s="41" t="s">
        <v>6183</v>
      </c>
      <c r="S1937" s="41" t="s">
        <v>6173</v>
      </c>
      <c r="T1937" s="37">
        <v>258.23</v>
      </c>
      <c r="U1937" s="243">
        <v>545</v>
      </c>
      <c r="V1937" s="243">
        <v>544.79999999999995</v>
      </c>
      <c r="W1937" s="243">
        <v>1786.5151162039685</v>
      </c>
      <c r="X1937" s="243">
        <v>545</v>
      </c>
      <c r="Y1937" s="414">
        <v>6.41</v>
      </c>
      <c r="Z1937" s="37">
        <v>-0.24</v>
      </c>
      <c r="AA1937" s="37">
        <v>0.33</v>
      </c>
      <c r="AB1937" s="37">
        <v>0.45</v>
      </c>
      <c r="AC1937" s="37">
        <v>0.73229999999999995</v>
      </c>
      <c r="AD1937" s="37">
        <v>0.48</v>
      </c>
      <c r="AE1937" s="37">
        <v>0.54</v>
      </c>
      <c r="AF1937" s="37">
        <f t="shared" si="528"/>
        <v>0.33</v>
      </c>
      <c r="AG1937" s="38">
        <v>-0.12</v>
      </c>
      <c r="AH1937" s="243">
        <v>1.29E-16</v>
      </c>
      <c r="AI1937" s="243"/>
      <c r="AJ1937" s="34">
        <f t="shared" si="529"/>
        <v>-14.277976616013403</v>
      </c>
      <c r="AK1937" s="34"/>
      <c r="AL1937" s="34">
        <f t="shared" si="530"/>
        <v>-14.277976616013403</v>
      </c>
      <c r="AM1937" s="34">
        <v>-19.407769999999999</v>
      </c>
      <c r="AN1937" s="244">
        <v>-10.1</v>
      </c>
      <c r="AO1937" s="417">
        <v>10.7</v>
      </c>
      <c r="AP1937" s="417">
        <v>-2.5499999999999998</v>
      </c>
      <c r="AQ1937" s="37" t="s">
        <v>6311</v>
      </c>
      <c r="AR1937" s="37" t="s">
        <v>6311</v>
      </c>
      <c r="AS1937" s="245" t="s">
        <v>6</v>
      </c>
      <c r="AT1937" s="39" t="s">
        <v>266</v>
      </c>
      <c r="AU1937" s="37">
        <v>0</v>
      </c>
      <c r="AV1937" s="37">
        <v>48</v>
      </c>
      <c r="AW1937" s="37">
        <v>48</v>
      </c>
      <c r="AX1937" s="37">
        <v>26</v>
      </c>
      <c r="AY1937" s="37" t="s">
        <v>647</v>
      </c>
      <c r="AZ1937" s="37" t="s">
        <v>536</v>
      </c>
      <c r="BA1937" s="37">
        <v>20</v>
      </c>
      <c r="BB1937" s="36" t="s">
        <v>537</v>
      </c>
      <c r="BC1937" s="36" t="s">
        <v>648</v>
      </c>
      <c r="BD1937" s="36"/>
      <c r="BE1937" s="245" t="s">
        <v>649</v>
      </c>
      <c r="BF1937" s="245" t="s">
        <v>650</v>
      </c>
      <c r="BG1937" s="245" t="s">
        <v>540</v>
      </c>
      <c r="BH1937" s="245" t="s">
        <v>272</v>
      </c>
      <c r="BI1937" s="243">
        <v>5.0096620000000005</v>
      </c>
      <c r="BJ1937" s="243">
        <v>79.999654000000007</v>
      </c>
      <c r="BK1937" s="37"/>
      <c r="BL1937" s="263">
        <v>21794.689954597859</v>
      </c>
      <c r="BM1937" s="37" t="s">
        <v>541</v>
      </c>
      <c r="BN1937" s="37"/>
      <c r="BO1937" s="37"/>
      <c r="BP1937" s="37"/>
      <c r="BQ1937" s="37"/>
      <c r="BR1937" s="37"/>
      <c r="BS1937" s="37"/>
      <c r="BT1937" s="37"/>
      <c r="BU1937" s="246"/>
      <c r="BV1937" s="37"/>
      <c r="BW1937" s="37"/>
      <c r="BX1937" s="37"/>
      <c r="BY1937" s="37"/>
      <c r="BZ1937" s="37"/>
      <c r="CA1937" s="37"/>
      <c r="CB1937" s="37"/>
      <c r="CC1937" s="37"/>
      <c r="CD1937" s="37"/>
      <c r="CE1937" s="37"/>
      <c r="CF1937" s="37"/>
      <c r="CG1937" s="37"/>
      <c r="CH1937" s="37"/>
      <c r="CI1937" s="243"/>
      <c r="CJ1937" s="243"/>
      <c r="CK1937" s="38">
        <f t="shared" si="531"/>
        <v>272.43480271299495</v>
      </c>
      <c r="CL1937" s="247"/>
      <c r="CM1937" s="247"/>
      <c r="CN1937" s="247"/>
      <c r="CO1937" s="36" t="s">
        <v>4127</v>
      </c>
      <c r="CP1937" s="496" t="s">
        <v>651</v>
      </c>
      <c r="CQ1937" s="241" t="s">
        <v>272</v>
      </c>
      <c r="CR1937" s="241"/>
      <c r="CS1937" s="33"/>
      <c r="CT1937" s="33"/>
      <c r="CU1937" s="250"/>
      <c r="CV1937" s="337">
        <f t="shared" si="532"/>
        <v>6.8125294641899323</v>
      </c>
      <c r="CW1937" s="330">
        <f>IF(CV1937&lt;1,0,1)</f>
        <v>1</v>
      </c>
      <c r="CX1937" s="330"/>
      <c r="CY1937" s="143" t="s">
        <v>5921</v>
      </c>
    </row>
    <row r="1938" spans="1:103" ht="11.25" customHeight="1" x14ac:dyDescent="0.2">
      <c r="A1938" s="72">
        <v>1625</v>
      </c>
      <c r="B1938" s="241">
        <v>127</v>
      </c>
      <c r="C1938" s="32" t="s">
        <v>479</v>
      </c>
      <c r="D1938" s="32" t="s">
        <v>8352</v>
      </c>
      <c r="E1938" s="40"/>
      <c r="F1938" s="40" t="s">
        <v>480</v>
      </c>
      <c r="G1938" s="242">
        <v>54853</v>
      </c>
      <c r="H1938" s="36" t="s">
        <v>481</v>
      </c>
      <c r="I1938" s="36" t="s">
        <v>481</v>
      </c>
      <c r="J1938" s="36" t="s">
        <v>482</v>
      </c>
      <c r="K1938" s="36" t="s">
        <v>483</v>
      </c>
      <c r="L1938" s="42" t="s">
        <v>279</v>
      </c>
      <c r="M1938" s="36" t="s">
        <v>484</v>
      </c>
      <c r="N1938" s="36"/>
      <c r="O1938" s="36" t="s">
        <v>281</v>
      </c>
      <c r="P1938" s="41"/>
      <c r="Q1938" s="41"/>
      <c r="R1938" s="41"/>
      <c r="S1938" s="41"/>
      <c r="T1938" s="37">
        <v>137.13999999999999</v>
      </c>
      <c r="U1938" s="243">
        <v>140000</v>
      </c>
      <c r="V1938" s="243">
        <v>16690</v>
      </c>
      <c r="W1938" s="243"/>
      <c r="X1938" s="243">
        <v>140000</v>
      </c>
      <c r="Y1938" s="414">
        <v>7.32</v>
      </c>
      <c r="Z1938" s="37">
        <v>-0.81</v>
      </c>
      <c r="AA1938" s="37">
        <v>-0.7</v>
      </c>
      <c r="AB1938" s="37">
        <v>-0.52</v>
      </c>
      <c r="AC1938" s="37">
        <v>0.80269999999999997</v>
      </c>
      <c r="AD1938" s="37">
        <v>-0.63</v>
      </c>
      <c r="AE1938" s="37">
        <v>-0.89</v>
      </c>
      <c r="AF1938" s="37">
        <f t="shared" si="528"/>
        <v>-0.7</v>
      </c>
      <c r="AG1938" s="38">
        <v>-0.67</v>
      </c>
      <c r="AH1938" s="243">
        <v>1.21E-14</v>
      </c>
      <c r="AI1938" s="243"/>
      <c r="AJ1938" s="34">
        <f t="shared" si="529"/>
        <v>-12.305780955996202</v>
      </c>
      <c r="AK1938" s="34"/>
      <c r="AL1938" s="34">
        <f t="shared" si="530"/>
        <v>-12.305780955996202</v>
      </c>
      <c r="AM1938" s="34">
        <v>-14.64358</v>
      </c>
      <c r="AN1938" s="244">
        <v>-11.7</v>
      </c>
      <c r="AO1938" s="417">
        <v>11.4</v>
      </c>
      <c r="AP1938" s="417">
        <v>3.79</v>
      </c>
      <c r="AQ1938" s="244" t="s">
        <v>6311</v>
      </c>
      <c r="AR1938" s="244" t="s">
        <v>6311</v>
      </c>
      <c r="AS1938" s="241" t="s">
        <v>6</v>
      </c>
      <c r="AT1938" s="39" t="s">
        <v>266</v>
      </c>
      <c r="AU1938" s="37">
        <v>0</v>
      </c>
      <c r="AV1938" s="37" t="s">
        <v>646</v>
      </c>
      <c r="AW1938" s="37" t="s">
        <v>646</v>
      </c>
      <c r="AX1938" s="37">
        <v>26</v>
      </c>
      <c r="AY1938" s="37" t="s">
        <v>647</v>
      </c>
      <c r="AZ1938" s="37" t="s">
        <v>536</v>
      </c>
      <c r="BA1938" s="37">
        <v>20</v>
      </c>
      <c r="BB1938" s="36" t="s">
        <v>537</v>
      </c>
      <c r="BC1938" s="36" t="s">
        <v>648</v>
      </c>
      <c r="BD1938" s="36"/>
      <c r="BE1938" s="245" t="s">
        <v>649</v>
      </c>
      <c r="BF1938" s="245" t="s">
        <v>650</v>
      </c>
      <c r="BG1938" s="245" t="s">
        <v>540</v>
      </c>
      <c r="BH1938" s="245" t="s">
        <v>272</v>
      </c>
      <c r="BI1938" s="243">
        <v>21997.255999999998</v>
      </c>
      <c r="BJ1938" s="243">
        <v>62796.405999999988</v>
      </c>
      <c r="BK1938" s="37"/>
      <c r="BL1938" s="263">
        <v>37620.550400801134</v>
      </c>
      <c r="BM1938" s="37" t="s">
        <v>541</v>
      </c>
      <c r="BN1938" s="37"/>
      <c r="BO1938" s="37">
        <v>42389.974000000002</v>
      </c>
      <c r="BP1938" s="37"/>
      <c r="BQ1938" s="37"/>
      <c r="BR1938" s="37"/>
      <c r="BS1938" s="37"/>
      <c r="BT1938" s="37"/>
      <c r="BU1938" s="246"/>
      <c r="BV1938" s="37"/>
      <c r="BW1938" s="37"/>
      <c r="BX1938" s="37"/>
      <c r="BY1938" s="37"/>
      <c r="BZ1938" s="37"/>
      <c r="CA1938" s="37"/>
      <c r="CB1938" s="37"/>
      <c r="CC1938" s="37"/>
      <c r="CD1938" s="37"/>
      <c r="CE1938" s="37"/>
      <c r="CF1938" s="37"/>
      <c r="CG1938" s="37"/>
      <c r="CH1938" s="37"/>
      <c r="CI1938" s="243">
        <v>42389.974000000002</v>
      </c>
      <c r="CJ1938" s="243">
        <f t="shared" ref="CJ1938:CJ1958" si="539">LOG10(CI1938)</f>
        <v>4.6272631501926611</v>
      </c>
      <c r="CK1938" s="38">
        <f t="shared" si="531"/>
        <v>0.5990876356968764</v>
      </c>
      <c r="CL1938" s="247">
        <f t="shared" ref="CL1938:CL1958" si="540">BL1938/CI1938</f>
        <v>0.88748698927725533</v>
      </c>
      <c r="CM1938" s="247"/>
      <c r="CN1938" s="247"/>
      <c r="CO1938" s="36"/>
      <c r="CP1938" s="496" t="s">
        <v>651</v>
      </c>
      <c r="CQ1938" s="241" t="s">
        <v>272</v>
      </c>
      <c r="CR1938" s="241"/>
      <c r="CS1938" s="33"/>
      <c r="CT1938" s="33"/>
      <c r="CU1938" s="250">
        <f t="shared" ref="CU1938:CU1958" si="541">X1938/CI1938</f>
        <v>3.3026677487464369</v>
      </c>
      <c r="CV1938" s="337">
        <f t="shared" si="532"/>
        <v>2.2294269515997462</v>
      </c>
      <c r="CW1938" s="330">
        <f t="shared" ref="CW1938:CW1958" si="542">IF(CU1938&lt;2,0,1)</f>
        <v>1</v>
      </c>
      <c r="CX1938" s="330"/>
      <c r="CY1938" s="143" t="s">
        <v>5921</v>
      </c>
    </row>
    <row r="1939" spans="1:103" ht="11.25" customHeight="1" x14ac:dyDescent="0.2">
      <c r="A1939" s="72">
        <v>1651</v>
      </c>
      <c r="B1939" s="241">
        <v>126</v>
      </c>
      <c r="C1939" s="32" t="s">
        <v>422</v>
      </c>
      <c r="D1939" s="32"/>
      <c r="E1939" s="40"/>
      <c r="F1939" s="40" t="s">
        <v>423</v>
      </c>
      <c r="G1939" s="242">
        <v>64175</v>
      </c>
      <c r="H1939" s="36" t="s">
        <v>424</v>
      </c>
      <c r="I1939" s="36" t="s">
        <v>424</v>
      </c>
      <c r="J1939" s="36" t="s">
        <v>425</v>
      </c>
      <c r="K1939" s="36" t="s">
        <v>426</v>
      </c>
      <c r="L1939" s="42" t="s">
        <v>279</v>
      </c>
      <c r="M1939" s="42" t="s">
        <v>8502</v>
      </c>
      <c r="N1939" s="36" t="s">
        <v>6082</v>
      </c>
      <c r="O1939" s="36" t="s">
        <v>281</v>
      </c>
      <c r="P1939" s="41" t="s">
        <v>6183</v>
      </c>
      <c r="Q1939" s="41" t="s">
        <v>6176</v>
      </c>
      <c r="R1939" s="41" t="s">
        <v>6185</v>
      </c>
      <c r="S1939" s="41" t="s">
        <v>6176</v>
      </c>
      <c r="T1939" s="40">
        <v>46.07</v>
      </c>
      <c r="U1939" s="263">
        <v>1000000.0000000001</v>
      </c>
      <c r="V1939" s="263">
        <v>792099.99999999988</v>
      </c>
      <c r="W1939" s="263">
        <v>183407.97347399619</v>
      </c>
      <c r="X1939" s="263">
        <v>1000000.0000000001</v>
      </c>
      <c r="Y1939" s="417">
        <v>6.96</v>
      </c>
      <c r="Z1939" s="40">
        <v>-0.14000000000000001</v>
      </c>
      <c r="AA1939" s="40">
        <v>-0.31</v>
      </c>
      <c r="AB1939" s="40">
        <v>-0.24</v>
      </c>
      <c r="AC1939" s="40">
        <v>0.90610000000000002</v>
      </c>
      <c r="AD1939" s="40">
        <v>-0.23</v>
      </c>
      <c r="AE1939" s="40">
        <v>-0.19</v>
      </c>
      <c r="AF1939" s="40">
        <f t="shared" si="528"/>
        <v>-0.31</v>
      </c>
      <c r="AG1939" s="38">
        <v>0.09</v>
      </c>
      <c r="AH1939" s="243">
        <v>5.6699999999999999E-6</v>
      </c>
      <c r="AI1939" s="243">
        <v>5.0000000000000004E-6</v>
      </c>
      <c r="AJ1939" s="34">
        <f t="shared" si="529"/>
        <v>-3.6349832674197451</v>
      </c>
      <c r="AK1939" s="34">
        <f>LOG10(AI1939*1000/(0.08206*298.15))</f>
        <v>-3.6895963219766328</v>
      </c>
      <c r="AL1939" s="34">
        <f t="shared" si="530"/>
        <v>-3.6895963219766328</v>
      </c>
      <c r="AM1939" s="34">
        <v>-3.1772200000000002</v>
      </c>
      <c r="AN1939" s="244">
        <v>-3.57</v>
      </c>
      <c r="AO1939" s="417">
        <v>15.24</v>
      </c>
      <c r="AP1939" s="417"/>
      <c r="AQ1939" s="244" t="s">
        <v>6311</v>
      </c>
      <c r="AR1939" s="244" t="s">
        <v>6311</v>
      </c>
      <c r="AS1939" s="241" t="s">
        <v>282</v>
      </c>
      <c r="AT1939" s="39" t="s">
        <v>266</v>
      </c>
      <c r="AU1939" s="37">
        <v>0</v>
      </c>
      <c r="AV1939" s="37">
        <v>48</v>
      </c>
      <c r="AW1939" s="37">
        <v>48</v>
      </c>
      <c r="AX1939" s="37">
        <v>26</v>
      </c>
      <c r="AY1939" s="37" t="s">
        <v>647</v>
      </c>
      <c r="AZ1939" s="37" t="s">
        <v>536</v>
      </c>
      <c r="BA1939" s="37">
        <v>20</v>
      </c>
      <c r="BB1939" s="36" t="s">
        <v>537</v>
      </c>
      <c r="BC1939" s="36" t="s">
        <v>648</v>
      </c>
      <c r="BD1939" s="36"/>
      <c r="BE1939" s="245" t="s">
        <v>649</v>
      </c>
      <c r="BF1939" s="245" t="s">
        <v>650</v>
      </c>
      <c r="BG1939" s="245" t="s">
        <v>540</v>
      </c>
      <c r="BH1939" s="245" t="s">
        <v>272</v>
      </c>
      <c r="BI1939" s="243">
        <v>6500.4769999999999</v>
      </c>
      <c r="BJ1939" s="243">
        <v>13498.51</v>
      </c>
      <c r="BK1939" s="37"/>
      <c r="BL1939" s="263">
        <v>3161.9297169680549</v>
      </c>
      <c r="BM1939" s="37" t="s">
        <v>541</v>
      </c>
      <c r="BN1939" s="37"/>
      <c r="BO1939" s="37">
        <v>11992.021000000001</v>
      </c>
      <c r="BP1939" s="37"/>
      <c r="BQ1939" s="37"/>
      <c r="BR1939" s="37"/>
      <c r="BS1939" s="37"/>
      <c r="BT1939" s="37"/>
      <c r="BU1939" s="246"/>
      <c r="BV1939" s="37"/>
      <c r="BW1939" s="37"/>
      <c r="BX1939" s="37"/>
      <c r="BY1939" s="37"/>
      <c r="BZ1939" s="37"/>
      <c r="CA1939" s="37"/>
      <c r="CB1939" s="37"/>
      <c r="CC1939" s="37"/>
      <c r="CD1939" s="37"/>
      <c r="CE1939" s="37"/>
      <c r="CF1939" s="37"/>
      <c r="CG1939" s="37"/>
      <c r="CH1939" s="37"/>
      <c r="CI1939" s="243">
        <v>11992.021000000001</v>
      </c>
      <c r="CJ1939" s="243">
        <f t="shared" si="539"/>
        <v>4.078892380361915</v>
      </c>
      <c r="CK1939" s="38">
        <f t="shared" si="531"/>
        <v>0.23424286954397594</v>
      </c>
      <c r="CL1939" s="247">
        <f t="shared" si="540"/>
        <v>0.26366946129998059</v>
      </c>
      <c r="CM1939" s="247">
        <v>2.8171348229570792</v>
      </c>
      <c r="CN1939" s="247">
        <f>BJ1939/(10^CM1939)</f>
        <v>20.566055792805912</v>
      </c>
      <c r="CO1939" s="36"/>
      <c r="CP1939" s="496" t="s">
        <v>651</v>
      </c>
      <c r="CQ1939" s="241">
        <v>3.7646752173993483</v>
      </c>
      <c r="CR1939" s="241">
        <f>10^(CJ1939-CQ1939)</f>
        <v>2.061660560481156</v>
      </c>
      <c r="CS1939" s="33"/>
      <c r="CT1939" s="33"/>
      <c r="CU1939" s="250">
        <f t="shared" si="541"/>
        <v>83.388779922917081</v>
      </c>
      <c r="CV1939" s="337">
        <f t="shared" si="532"/>
        <v>74.082250559506207</v>
      </c>
      <c r="CW1939" s="330">
        <f t="shared" si="542"/>
        <v>1</v>
      </c>
      <c r="CX1939" s="330"/>
      <c r="CY1939" s="143" t="s">
        <v>6351</v>
      </c>
    </row>
    <row r="1940" spans="1:103" ht="11.25" customHeight="1" x14ac:dyDescent="0.2">
      <c r="A1940" s="72">
        <v>1653</v>
      </c>
      <c r="B1940" s="241">
        <v>105</v>
      </c>
      <c r="C1940" s="32" t="s">
        <v>6994</v>
      </c>
      <c r="D1940" s="32"/>
      <c r="E1940" s="40"/>
      <c r="F1940" s="40" t="s">
        <v>680</v>
      </c>
      <c r="G1940" s="242">
        <v>65850</v>
      </c>
      <c r="H1940" s="36" t="s">
        <v>681</v>
      </c>
      <c r="I1940" s="36" t="s">
        <v>681</v>
      </c>
      <c r="J1940" s="36" t="s">
        <v>682</v>
      </c>
      <c r="K1940" s="36" t="s">
        <v>426</v>
      </c>
      <c r="L1940" s="36" t="s">
        <v>6115</v>
      </c>
      <c r="M1940" s="36" t="s">
        <v>5960</v>
      </c>
      <c r="N1940" s="36"/>
      <c r="O1940" s="36"/>
      <c r="P1940" s="41"/>
      <c r="Q1940" s="41"/>
      <c r="R1940" s="41"/>
      <c r="S1940" s="41"/>
      <c r="T1940" s="37">
        <v>122.12</v>
      </c>
      <c r="U1940" s="243">
        <v>3400</v>
      </c>
      <c r="V1940" s="243">
        <v>2493</v>
      </c>
      <c r="W1940" s="243">
        <v>4234.3504177263158</v>
      </c>
      <c r="X1940" s="243">
        <v>3400</v>
      </c>
      <c r="Y1940" s="414">
        <v>2.84</v>
      </c>
      <c r="Z1940" s="37">
        <v>1.87</v>
      </c>
      <c r="AA1940" s="37">
        <v>1.87</v>
      </c>
      <c r="AB1940" s="37">
        <v>1.87</v>
      </c>
      <c r="AC1940" s="37">
        <v>0.87239999999999995</v>
      </c>
      <c r="AD1940" s="37">
        <v>1.87</v>
      </c>
      <c r="AE1940" s="37">
        <v>1.89</v>
      </c>
      <c r="AF1940" s="37">
        <f t="shared" si="528"/>
        <v>1.87</v>
      </c>
      <c r="AG1940" s="38">
        <v>1.44</v>
      </c>
      <c r="AH1940" s="243">
        <v>1.08E-7</v>
      </c>
      <c r="AI1940" s="243">
        <v>3.8099999999999997E-8</v>
      </c>
      <c r="AJ1940" s="34">
        <f t="shared" si="529"/>
        <v>-5.3551425708257021</v>
      </c>
      <c r="AK1940" s="34">
        <f>LOG10(AI1940*1000/(0.08206*298.15))</f>
        <v>-5.8076413506370326</v>
      </c>
      <c r="AL1940" s="34">
        <f t="shared" si="530"/>
        <v>-5.8076413506370326</v>
      </c>
      <c r="AM1940" s="34">
        <v>-7.6162700000000001</v>
      </c>
      <c r="AN1940" s="244">
        <v>-5.58</v>
      </c>
      <c r="AO1940" s="417">
        <v>4.2</v>
      </c>
      <c r="AP1940" s="417"/>
      <c r="AQ1940" s="244" t="s">
        <v>6311</v>
      </c>
      <c r="AR1940" s="244" t="s">
        <v>6311</v>
      </c>
      <c r="AS1940" s="241" t="s">
        <v>6</v>
      </c>
      <c r="AT1940" s="39" t="s">
        <v>266</v>
      </c>
      <c r="AU1940" s="37">
        <v>0</v>
      </c>
      <c r="AV1940" s="37">
        <v>48</v>
      </c>
      <c r="AW1940" s="37">
        <v>48</v>
      </c>
      <c r="AX1940" s="37">
        <v>26</v>
      </c>
      <c r="AY1940" s="37" t="s">
        <v>647</v>
      </c>
      <c r="AZ1940" s="37" t="s">
        <v>536</v>
      </c>
      <c r="BA1940" s="37">
        <v>20</v>
      </c>
      <c r="BB1940" s="36" t="s">
        <v>537</v>
      </c>
      <c r="BC1940" s="36" t="s">
        <v>648</v>
      </c>
      <c r="BD1940" s="36"/>
      <c r="BE1940" s="245" t="s">
        <v>649</v>
      </c>
      <c r="BF1940" s="245" t="s">
        <v>650</v>
      </c>
      <c r="BG1940" s="245" t="s">
        <v>540</v>
      </c>
      <c r="BH1940" s="245" t="s">
        <v>272</v>
      </c>
      <c r="BI1940" s="243">
        <v>15.8756</v>
      </c>
      <c r="BJ1940" s="243">
        <v>78.156800000000004</v>
      </c>
      <c r="BK1940" s="37"/>
      <c r="BL1940" s="263">
        <v>131.26223527730363</v>
      </c>
      <c r="BM1940" s="37" t="s">
        <v>541</v>
      </c>
      <c r="BN1940" s="37"/>
      <c r="BO1940" s="37">
        <v>19.539200000000001</v>
      </c>
      <c r="BP1940" s="37"/>
      <c r="BQ1940" s="37"/>
      <c r="BR1940" s="37"/>
      <c r="BS1940" s="37"/>
      <c r="BT1940" s="37"/>
      <c r="BU1940" s="246"/>
      <c r="BV1940" s="37"/>
      <c r="BW1940" s="37"/>
      <c r="BX1940" s="37"/>
      <c r="BY1940" s="37"/>
      <c r="BZ1940" s="37"/>
      <c r="CA1940" s="37"/>
      <c r="CB1940" s="37"/>
      <c r="CC1940" s="37"/>
      <c r="CD1940" s="37"/>
      <c r="CE1940" s="37"/>
      <c r="CF1940" s="37"/>
      <c r="CG1940" s="37"/>
      <c r="CH1940" s="37"/>
      <c r="CI1940" s="243">
        <v>19.539200000000001</v>
      </c>
      <c r="CJ1940" s="243">
        <f t="shared" si="539"/>
        <v>1.290906778282549</v>
      </c>
      <c r="CK1940" s="38">
        <f t="shared" si="531"/>
        <v>1.6794729988600303</v>
      </c>
      <c r="CL1940" s="247">
        <f t="shared" si="540"/>
        <v>6.7178919954401213</v>
      </c>
      <c r="CM1940" s="247"/>
      <c r="CN1940" s="247"/>
      <c r="CO1940" s="36"/>
      <c r="CP1940" s="496" t="s">
        <v>651</v>
      </c>
      <c r="CQ1940" s="241">
        <v>2.255272505103306</v>
      </c>
      <c r="CR1940" s="241">
        <f>10^(CJ1940-CQ1940)</f>
        <v>0.10855111111111113</v>
      </c>
      <c r="CS1940" s="33"/>
      <c r="CT1940" s="33"/>
      <c r="CU1940" s="250">
        <f t="shared" si="541"/>
        <v>174.00917130691121</v>
      </c>
      <c r="CV1940" s="337">
        <f t="shared" si="532"/>
        <v>43.502292826727803</v>
      </c>
      <c r="CW1940" s="330">
        <f t="shared" si="542"/>
        <v>1</v>
      </c>
      <c r="CX1940" s="330"/>
      <c r="CY1940" s="143" t="s">
        <v>6351</v>
      </c>
    </row>
    <row r="1941" spans="1:103" ht="11.25" customHeight="1" x14ac:dyDescent="0.2">
      <c r="A1941" s="72">
        <v>1658</v>
      </c>
      <c r="B1941" s="241">
        <v>125</v>
      </c>
      <c r="C1941" s="32" t="s">
        <v>7624</v>
      </c>
      <c r="D1941" s="32" t="s">
        <v>8558</v>
      </c>
      <c r="E1941" s="40"/>
      <c r="F1941" s="40" t="s">
        <v>744</v>
      </c>
      <c r="G1941" s="242">
        <v>67641</v>
      </c>
      <c r="H1941" s="36" t="s">
        <v>745</v>
      </c>
      <c r="I1941" s="36" t="s">
        <v>745</v>
      </c>
      <c r="J1941" s="36" t="s">
        <v>746</v>
      </c>
      <c r="K1941" s="36" t="s">
        <v>426</v>
      </c>
      <c r="L1941" s="36"/>
      <c r="M1941" s="36" t="s">
        <v>6082</v>
      </c>
      <c r="N1941" s="36" t="s">
        <v>6082</v>
      </c>
      <c r="O1941" s="36"/>
      <c r="P1941" s="41" t="s">
        <v>6183</v>
      </c>
      <c r="Q1941" s="41" t="s">
        <v>6176</v>
      </c>
      <c r="R1941" s="41" t="s">
        <v>6185</v>
      </c>
      <c r="S1941" s="41" t="s">
        <v>6176</v>
      </c>
      <c r="T1941" s="37">
        <v>58.08</v>
      </c>
      <c r="U1941" s="243">
        <v>1000000</v>
      </c>
      <c r="V1941" s="243">
        <v>219900</v>
      </c>
      <c r="W1941" s="243">
        <v>103282.46813506066</v>
      </c>
      <c r="X1941" s="243">
        <v>1000000</v>
      </c>
      <c r="Y1941" s="414">
        <v>7</v>
      </c>
      <c r="Z1941" s="37">
        <v>-0.24</v>
      </c>
      <c r="AA1941" s="37">
        <v>-0.24</v>
      </c>
      <c r="AB1941" s="37">
        <v>0.17</v>
      </c>
      <c r="AC1941" s="37">
        <v>0.90069999999999995</v>
      </c>
      <c r="AD1941" s="37">
        <v>0.09</v>
      </c>
      <c r="AE1941" s="37">
        <v>-0.16</v>
      </c>
      <c r="AF1941" s="37">
        <f t="shared" si="528"/>
        <v>-0.24</v>
      </c>
      <c r="AG1941" s="38">
        <v>0.21</v>
      </c>
      <c r="AH1941" s="243">
        <v>4.9599999999999999E-5</v>
      </c>
      <c r="AI1941" s="243">
        <v>3.4999999999999997E-5</v>
      </c>
      <c r="AJ1941" s="34">
        <f t="shared" si="529"/>
        <v>-2.6930846498224543</v>
      </c>
      <c r="AK1941" s="34">
        <f>LOG10(AI1941*1000/(0.08206*298.15))</f>
        <v>-2.8444982819623763</v>
      </c>
      <c r="AL1941" s="34">
        <f t="shared" si="530"/>
        <v>-2.8444982819623763</v>
      </c>
      <c r="AM1941" s="34">
        <v>-2.79976</v>
      </c>
      <c r="AN1941" s="244">
        <v>-2.73</v>
      </c>
      <c r="AO1941" s="417"/>
      <c r="AP1941" s="417"/>
      <c r="AQ1941" s="244" t="s">
        <v>6311</v>
      </c>
      <c r="AR1941" s="244" t="s">
        <v>6311</v>
      </c>
      <c r="AS1941" s="241" t="s">
        <v>6</v>
      </c>
      <c r="AT1941" s="39" t="s">
        <v>266</v>
      </c>
      <c r="AU1941" s="37">
        <v>0</v>
      </c>
      <c r="AV1941" s="37" t="s">
        <v>646</v>
      </c>
      <c r="AW1941" s="37" t="s">
        <v>646</v>
      </c>
      <c r="AX1941" s="37">
        <v>26</v>
      </c>
      <c r="AY1941" s="37" t="s">
        <v>647</v>
      </c>
      <c r="AZ1941" s="37" t="s">
        <v>536</v>
      </c>
      <c r="BA1941" s="37">
        <v>20</v>
      </c>
      <c r="BB1941" s="36" t="s">
        <v>537</v>
      </c>
      <c r="BC1941" s="36" t="s">
        <v>648</v>
      </c>
      <c r="BD1941" s="36"/>
      <c r="BE1941" s="245" t="s">
        <v>649</v>
      </c>
      <c r="BF1941" s="245" t="s">
        <v>650</v>
      </c>
      <c r="BG1941" s="245" t="s">
        <v>540</v>
      </c>
      <c r="BH1941" s="245" t="s">
        <v>272</v>
      </c>
      <c r="BI1941" s="243">
        <v>6499.152</v>
      </c>
      <c r="BJ1941" s="243">
        <v>13497.791999999999</v>
      </c>
      <c r="BK1941" s="37"/>
      <c r="BL1941" s="263">
        <v>4901.9695332186175</v>
      </c>
      <c r="BM1941" s="37" t="s">
        <v>541</v>
      </c>
      <c r="BN1941" s="37"/>
      <c r="BO1941" s="37">
        <v>13091.232</v>
      </c>
      <c r="BP1941" s="37"/>
      <c r="BQ1941" s="37"/>
      <c r="BR1941" s="37"/>
      <c r="BS1941" s="37"/>
      <c r="BT1941" s="37"/>
      <c r="BU1941" s="246"/>
      <c r="BV1941" s="37"/>
      <c r="BW1941" s="37"/>
      <c r="BX1941" s="37"/>
      <c r="BY1941" s="37"/>
      <c r="BZ1941" s="37"/>
      <c r="CA1941" s="37"/>
      <c r="CB1941" s="37"/>
      <c r="CC1941" s="37"/>
      <c r="CD1941" s="37"/>
      <c r="CE1941" s="37"/>
      <c r="CF1941" s="37"/>
      <c r="CG1941" s="37"/>
      <c r="CH1941" s="37"/>
      <c r="CI1941" s="243">
        <v>13091.232</v>
      </c>
      <c r="CJ1941" s="243">
        <f t="shared" si="539"/>
        <v>4.1169805194021247</v>
      </c>
      <c r="CK1941" s="38">
        <f t="shared" si="531"/>
        <v>0.36316825249778761</v>
      </c>
      <c r="CL1941" s="247">
        <f t="shared" si="540"/>
        <v>0.37444676965610396</v>
      </c>
      <c r="CM1941" s="247"/>
      <c r="CN1941" s="247"/>
      <c r="CO1941" s="36"/>
      <c r="CP1941" s="496" t="s">
        <v>651</v>
      </c>
      <c r="CQ1941" s="241">
        <v>3.8908610132968491</v>
      </c>
      <c r="CR1941" s="241">
        <f>10^(CJ1941-CQ1941)</f>
        <v>1.6831371512124056</v>
      </c>
      <c r="CS1941" s="33"/>
      <c r="CT1941" s="33"/>
      <c r="CU1941" s="250">
        <f t="shared" si="541"/>
        <v>76.387004676106883</v>
      </c>
      <c r="CV1941" s="337">
        <f t="shared" si="532"/>
        <v>74.086191282248237</v>
      </c>
      <c r="CW1941" s="330">
        <f t="shared" si="542"/>
        <v>1</v>
      </c>
      <c r="CX1941" s="330"/>
      <c r="CY1941" s="143" t="s">
        <v>6351</v>
      </c>
    </row>
    <row r="1942" spans="1:103" ht="18.75" customHeight="1" x14ac:dyDescent="0.2">
      <c r="A1942" s="72">
        <v>1662</v>
      </c>
      <c r="B1942" s="241">
        <v>122</v>
      </c>
      <c r="C1942" s="32" t="s">
        <v>7625</v>
      </c>
      <c r="D1942" s="32"/>
      <c r="E1942" s="40"/>
      <c r="F1942" s="40" t="s">
        <v>733</v>
      </c>
      <c r="G1942" s="242">
        <v>68122</v>
      </c>
      <c r="H1942" s="36" t="s">
        <v>734</v>
      </c>
      <c r="I1942" s="36" t="s">
        <v>734</v>
      </c>
      <c r="J1942" s="36" t="s">
        <v>735</v>
      </c>
      <c r="K1942" s="36" t="s">
        <v>471</v>
      </c>
      <c r="L1942" s="36"/>
      <c r="M1942" s="36" t="s">
        <v>2342</v>
      </c>
      <c r="N1942" s="36" t="s">
        <v>2342</v>
      </c>
      <c r="O1942" s="36"/>
      <c r="P1942" s="41" t="s">
        <v>8537</v>
      </c>
      <c r="Q1942" s="41" t="s">
        <v>6173</v>
      </c>
      <c r="R1942" s="41" t="s">
        <v>8539</v>
      </c>
      <c r="S1942" s="41" t="s">
        <v>6173</v>
      </c>
      <c r="T1942" s="37">
        <v>73.09</v>
      </c>
      <c r="U1942" s="243">
        <v>1000000</v>
      </c>
      <c r="V1942" s="243">
        <v>977900</v>
      </c>
      <c r="W1942" s="243">
        <v>1008922.8589982488</v>
      </c>
      <c r="X1942" s="243">
        <v>1000000</v>
      </c>
      <c r="Y1942" s="414">
        <v>7.39</v>
      </c>
      <c r="Z1942" s="37">
        <v>-0.93</v>
      </c>
      <c r="AA1942" s="37">
        <v>-1.01</v>
      </c>
      <c r="AB1942" s="37">
        <v>-0.7</v>
      </c>
      <c r="AC1942" s="37">
        <v>0.86360000000000003</v>
      </c>
      <c r="AD1942" s="37">
        <v>-0.78</v>
      </c>
      <c r="AE1942" s="37">
        <v>-1.01</v>
      </c>
      <c r="AF1942" s="37">
        <f t="shared" si="528"/>
        <v>-1.01</v>
      </c>
      <c r="AG1942" s="38">
        <v>-0.09</v>
      </c>
      <c r="AH1942" s="243">
        <v>7.3799999999999999E-8</v>
      </c>
      <c r="AI1942" s="243">
        <v>7.3900000000000007E-8</v>
      </c>
      <c r="AJ1942" s="34">
        <f t="shared" si="529"/>
        <v>-5.5205099644896105</v>
      </c>
      <c r="AK1942" s="34">
        <f>LOG10(AI1942*1000/(0.08206*298.15))</f>
        <v>-5.5199218879178265</v>
      </c>
      <c r="AL1942" s="34">
        <f t="shared" si="530"/>
        <v>-5.5199218879178265</v>
      </c>
      <c r="AM1942" s="34">
        <v>-5.7034300000000009</v>
      </c>
      <c r="AN1942" s="244">
        <v>-5.99</v>
      </c>
      <c r="AO1942" s="417"/>
      <c r="AP1942" s="417">
        <v>-0.44</v>
      </c>
      <c r="AQ1942" s="244" t="s">
        <v>6311</v>
      </c>
      <c r="AR1942" s="244" t="s">
        <v>6311</v>
      </c>
      <c r="AS1942" s="241" t="s">
        <v>87</v>
      </c>
      <c r="AT1942" s="39" t="s">
        <v>266</v>
      </c>
      <c r="AU1942" s="37">
        <v>0</v>
      </c>
      <c r="AV1942" s="37" t="s">
        <v>646</v>
      </c>
      <c r="AW1942" s="37" t="s">
        <v>646</v>
      </c>
      <c r="AX1942" s="37">
        <v>26</v>
      </c>
      <c r="AY1942" s="37" t="s">
        <v>647</v>
      </c>
      <c r="AZ1942" s="37" t="s">
        <v>536</v>
      </c>
      <c r="BA1942" s="37">
        <v>20</v>
      </c>
      <c r="BB1942" s="36" t="s">
        <v>537</v>
      </c>
      <c r="BC1942" s="36" t="s">
        <v>648</v>
      </c>
      <c r="BD1942" s="36"/>
      <c r="BE1942" s="245" t="s">
        <v>649</v>
      </c>
      <c r="BF1942" s="245" t="s">
        <v>650</v>
      </c>
      <c r="BG1942" s="245" t="s">
        <v>540</v>
      </c>
      <c r="BH1942" s="245" t="s">
        <v>272</v>
      </c>
      <c r="BI1942" s="243">
        <v>3998.0230000000006</v>
      </c>
      <c r="BJ1942" s="243">
        <v>11423.967000000001</v>
      </c>
      <c r="BK1942" s="37"/>
      <c r="BL1942" s="263">
        <v>25697.505156875439</v>
      </c>
      <c r="BM1942" s="37" t="s">
        <v>541</v>
      </c>
      <c r="BN1942" s="37"/>
      <c r="BO1942" s="37">
        <v>10020.638999999999</v>
      </c>
      <c r="BP1942" s="37"/>
      <c r="BQ1942" s="37"/>
      <c r="BR1942" s="37"/>
      <c r="BS1942" s="37"/>
      <c r="BT1942" s="37"/>
      <c r="BU1942" s="246"/>
      <c r="BV1942" s="37"/>
      <c r="BW1942" s="37"/>
      <c r="BX1942" s="37"/>
      <c r="BY1942" s="37"/>
      <c r="BZ1942" s="37"/>
      <c r="CA1942" s="37"/>
      <c r="CB1942" s="37"/>
      <c r="CC1942" s="37"/>
      <c r="CD1942" s="37"/>
      <c r="CE1942" s="37"/>
      <c r="CF1942" s="37"/>
      <c r="CG1942" s="37"/>
      <c r="CH1942" s="37"/>
      <c r="CI1942" s="243">
        <v>10020.638999999999</v>
      </c>
      <c r="CJ1942" s="243">
        <f t="shared" si="539"/>
        <v>4.0008954166734858</v>
      </c>
      <c r="CK1942" s="38">
        <f t="shared" si="531"/>
        <v>2.2494379716674109</v>
      </c>
      <c r="CL1942" s="247">
        <f t="shared" si="540"/>
        <v>2.5644577313757577</v>
      </c>
      <c r="CM1942" s="247"/>
      <c r="CN1942" s="247"/>
      <c r="CO1942" s="36"/>
      <c r="CP1942" s="496" t="s">
        <v>651</v>
      </c>
      <c r="CQ1942" s="241">
        <v>4.0010327659684135</v>
      </c>
      <c r="CR1942" s="241">
        <f>10^(CJ1942-CQ1942)</f>
        <v>0.99968379156539477</v>
      </c>
      <c r="CS1942" s="33"/>
      <c r="CT1942" s="33"/>
      <c r="CU1942" s="250">
        <f t="shared" si="541"/>
        <v>99.79403509097574</v>
      </c>
      <c r="CV1942" s="337">
        <f t="shared" si="532"/>
        <v>87.535266864828998</v>
      </c>
      <c r="CW1942" s="330">
        <f t="shared" si="542"/>
        <v>1</v>
      </c>
      <c r="CX1942" s="330"/>
      <c r="CY1942" s="143" t="s">
        <v>6351</v>
      </c>
    </row>
    <row r="1943" spans="1:103" ht="11.25" customHeight="1" x14ac:dyDescent="0.2">
      <c r="A1943" s="72">
        <v>1664</v>
      </c>
      <c r="B1943" s="241">
        <v>98</v>
      </c>
      <c r="C1943" s="32" t="s">
        <v>7626</v>
      </c>
      <c r="D1943" s="32"/>
      <c r="E1943" s="40"/>
      <c r="F1943" s="40" t="s">
        <v>656</v>
      </c>
      <c r="G1943" s="242">
        <v>68268</v>
      </c>
      <c r="H1943" s="36" t="s">
        <v>657</v>
      </c>
      <c r="I1943" s="36" t="s">
        <v>657</v>
      </c>
      <c r="J1943" s="36" t="s">
        <v>658</v>
      </c>
      <c r="K1943" s="36" t="s">
        <v>659</v>
      </c>
      <c r="L1943" s="42" t="s">
        <v>279</v>
      </c>
      <c r="M1943" s="36" t="s">
        <v>660</v>
      </c>
      <c r="N1943" s="36" t="s">
        <v>6383</v>
      </c>
      <c r="O1943" s="36" t="s">
        <v>281</v>
      </c>
      <c r="P1943" s="41"/>
      <c r="Q1943" s="41"/>
      <c r="R1943" s="41"/>
      <c r="S1943" s="41"/>
      <c r="T1943" s="37">
        <v>286.45</v>
      </c>
      <c r="U1943" s="243"/>
      <c r="V1943" s="243">
        <v>0.6712999999999999</v>
      </c>
      <c r="W1943" s="243">
        <v>3.9541107259549561E-2</v>
      </c>
      <c r="X1943" s="243">
        <v>3.9541107259549561E-2</v>
      </c>
      <c r="Y1943" s="414">
        <v>7</v>
      </c>
      <c r="Z1943" s="37">
        <v>7.62</v>
      </c>
      <c r="AA1943" s="37">
        <v>5.68</v>
      </c>
      <c r="AB1943" s="37">
        <v>5.66</v>
      </c>
      <c r="AC1943" s="37">
        <v>0.80779999999999996</v>
      </c>
      <c r="AD1943" s="37">
        <v>6.01</v>
      </c>
      <c r="AE1943" s="37">
        <v>6.84</v>
      </c>
      <c r="AF1943" s="37">
        <f t="shared" si="528"/>
        <v>5.68</v>
      </c>
      <c r="AG1943" s="38">
        <v>5.97</v>
      </c>
      <c r="AH1943" s="243">
        <v>1.16E-4</v>
      </c>
      <c r="AI1943" s="243"/>
      <c r="AJ1943" s="34">
        <f t="shared" si="529"/>
        <v>-2.3241083370857334</v>
      </c>
      <c r="AK1943" s="34"/>
      <c r="AL1943" s="34">
        <f t="shared" si="530"/>
        <v>-2.3241083370857334</v>
      </c>
      <c r="AM1943" s="34">
        <v>-8.7534200000000002</v>
      </c>
      <c r="AN1943" s="244">
        <v>-6.03</v>
      </c>
      <c r="AO1943" s="417">
        <v>14.09</v>
      </c>
      <c r="AP1943" s="417"/>
      <c r="AQ1943" s="244" t="s">
        <v>6311</v>
      </c>
      <c r="AR1943" s="244" t="s">
        <v>6311</v>
      </c>
      <c r="AS1943" s="241" t="s">
        <v>6</v>
      </c>
      <c r="AT1943" s="39" t="s">
        <v>266</v>
      </c>
      <c r="AU1943" s="37">
        <v>0</v>
      </c>
      <c r="AV1943" s="37" t="s">
        <v>646</v>
      </c>
      <c r="AW1943" s="37" t="s">
        <v>646</v>
      </c>
      <c r="AX1943" s="37">
        <v>26</v>
      </c>
      <c r="AY1943" s="37" t="s">
        <v>647</v>
      </c>
      <c r="AZ1943" s="37" t="s">
        <v>536</v>
      </c>
      <c r="BA1943" s="37">
        <v>20</v>
      </c>
      <c r="BB1943" s="36" t="s">
        <v>537</v>
      </c>
      <c r="BC1943" s="36" t="s">
        <v>648</v>
      </c>
      <c r="BD1943" s="36"/>
      <c r="BE1943" s="245" t="s">
        <v>649</v>
      </c>
      <c r="BF1943" s="245" t="s">
        <v>650</v>
      </c>
      <c r="BG1943" s="245" t="s">
        <v>540</v>
      </c>
      <c r="BH1943" s="245" t="s">
        <v>272</v>
      </c>
      <c r="BI1943" s="243">
        <v>1.2030899999999999E-2</v>
      </c>
      <c r="BJ1943" s="243">
        <v>0.99999695</v>
      </c>
      <c r="BK1943" s="37"/>
      <c r="BL1943" s="263">
        <v>2.1102155868985293E-3</v>
      </c>
      <c r="BM1943" s="37" t="s">
        <v>541</v>
      </c>
      <c r="BN1943" s="37"/>
      <c r="BO1943" s="37">
        <v>0.60154499999999989</v>
      </c>
      <c r="BP1943" s="37"/>
      <c r="BQ1943" s="37"/>
      <c r="BR1943" s="37"/>
      <c r="BS1943" s="37"/>
      <c r="BT1943" s="37"/>
      <c r="BU1943" s="246"/>
      <c r="BV1943" s="37"/>
      <c r="BW1943" s="37"/>
      <c r="BX1943" s="37"/>
      <c r="BY1943" s="37"/>
      <c r="BZ1943" s="37"/>
      <c r="CA1943" s="37"/>
      <c r="CB1943" s="37"/>
      <c r="CC1943" s="37"/>
      <c r="CD1943" s="37"/>
      <c r="CE1943" s="37"/>
      <c r="CF1943" s="37"/>
      <c r="CG1943" s="37"/>
      <c r="CH1943" s="37"/>
      <c r="CI1943" s="243">
        <v>0.60154499999999989</v>
      </c>
      <c r="CJ1943" s="243">
        <f t="shared" si="539"/>
        <v>-0.22073187868044947</v>
      </c>
      <c r="CK1943" s="38">
        <f t="shared" si="531"/>
        <v>2.1102220230756995E-3</v>
      </c>
      <c r="CL1943" s="247">
        <f t="shared" si="540"/>
        <v>3.5079928964558424E-3</v>
      </c>
      <c r="CM1943" s="247"/>
      <c r="CN1943" s="247"/>
      <c r="CO1943" s="36"/>
      <c r="CP1943" s="496" t="s">
        <v>651</v>
      </c>
      <c r="CQ1943" s="241">
        <v>1.2069084602177049</v>
      </c>
      <c r="CR1943" s="241">
        <f>10^(CJ1943-CQ1943)</f>
        <v>3.7355939305171351E-2</v>
      </c>
      <c r="CS1943" s="33"/>
      <c r="CT1943" s="33"/>
      <c r="CU1943" s="250">
        <f t="shared" si="541"/>
        <v>6.5732584028708685E-2</v>
      </c>
      <c r="CV1943" s="337">
        <f t="shared" si="532"/>
        <v>3.9541227860294535E-2</v>
      </c>
      <c r="CW1943" s="330">
        <f t="shared" si="542"/>
        <v>0</v>
      </c>
      <c r="CX1943" s="330"/>
      <c r="CY1943" s="143" t="s">
        <v>6351</v>
      </c>
    </row>
    <row r="1944" spans="1:103" ht="11.25" customHeight="1" x14ac:dyDescent="0.2">
      <c r="A1944" s="72">
        <v>1665</v>
      </c>
      <c r="B1944" s="241">
        <v>116</v>
      </c>
      <c r="C1944" s="32" t="s">
        <v>7627</v>
      </c>
      <c r="D1944" s="32"/>
      <c r="E1944" s="40"/>
      <c r="F1944" s="40" t="s">
        <v>711</v>
      </c>
      <c r="G1944" s="242">
        <v>69578</v>
      </c>
      <c r="H1944" s="36" t="s">
        <v>712</v>
      </c>
      <c r="I1944" s="36" t="s">
        <v>712</v>
      </c>
      <c r="J1944" s="36" t="s">
        <v>713</v>
      </c>
      <c r="K1944" s="36" t="s">
        <v>471</v>
      </c>
      <c r="L1944" s="36"/>
      <c r="M1944" s="36"/>
      <c r="N1944" s="36"/>
      <c r="O1944" s="36"/>
      <c r="P1944" s="41"/>
      <c r="Q1944" s="41"/>
      <c r="R1944" s="41"/>
      <c r="S1944" s="41"/>
      <c r="T1944" s="37">
        <v>334.39</v>
      </c>
      <c r="U1944" s="243"/>
      <c r="V1944" s="243">
        <v>210.4</v>
      </c>
      <c r="W1944" s="243">
        <v>802.14573979092677</v>
      </c>
      <c r="X1944" s="243">
        <v>802.14573979092677</v>
      </c>
      <c r="Y1944" s="414">
        <v>2.79</v>
      </c>
      <c r="Z1944" s="37">
        <v>1.85</v>
      </c>
      <c r="AA1944" s="37">
        <v>1.83</v>
      </c>
      <c r="AB1944" s="37">
        <v>2.14</v>
      </c>
      <c r="AC1944" s="37">
        <v>0.87660000000000005</v>
      </c>
      <c r="AD1944" s="37">
        <v>2.02</v>
      </c>
      <c r="AE1944" s="37">
        <v>1.67</v>
      </c>
      <c r="AF1944" s="37">
        <f t="shared" si="528"/>
        <v>1.83</v>
      </c>
      <c r="AG1944" s="38">
        <v>2.02</v>
      </c>
      <c r="AH1944" s="243">
        <v>1.1600000000000001E-14</v>
      </c>
      <c r="AI1944" s="243"/>
      <c r="AJ1944" s="34">
        <f t="shared" si="529"/>
        <v>-12.324108337085733</v>
      </c>
      <c r="AK1944" s="34"/>
      <c r="AL1944" s="34">
        <f t="shared" si="530"/>
        <v>-12.324108337085733</v>
      </c>
      <c r="AM1944" s="34">
        <v>-24.348099999999999</v>
      </c>
      <c r="AN1944" s="244"/>
      <c r="AO1944" s="417">
        <v>2.4500000000000002</v>
      </c>
      <c r="AP1944" s="417">
        <v>-1.32</v>
      </c>
      <c r="AQ1944" s="244" t="s">
        <v>6311</v>
      </c>
      <c r="AR1944" s="244" t="s">
        <v>6311</v>
      </c>
      <c r="AS1944" s="241" t="s">
        <v>6</v>
      </c>
      <c r="AT1944" s="39" t="s">
        <v>266</v>
      </c>
      <c r="AU1944" s="37">
        <v>0</v>
      </c>
      <c r="AV1944" s="37" t="s">
        <v>646</v>
      </c>
      <c r="AW1944" s="37" t="s">
        <v>646</v>
      </c>
      <c r="AX1944" s="37">
        <v>26</v>
      </c>
      <c r="AY1944" s="37" t="s">
        <v>647</v>
      </c>
      <c r="AZ1944" s="37" t="s">
        <v>536</v>
      </c>
      <c r="BA1944" s="37">
        <v>20</v>
      </c>
      <c r="BB1944" s="36" t="s">
        <v>537</v>
      </c>
      <c r="BC1944" s="36" t="s">
        <v>648</v>
      </c>
      <c r="BD1944" s="36"/>
      <c r="BE1944" s="245" t="s">
        <v>649</v>
      </c>
      <c r="BF1944" s="245" t="s">
        <v>650</v>
      </c>
      <c r="BG1944" s="245" t="s">
        <v>540</v>
      </c>
      <c r="BH1944" s="245" t="s">
        <v>272</v>
      </c>
      <c r="BI1944" s="243">
        <v>1839.145</v>
      </c>
      <c r="BJ1944" s="243">
        <v>9362.92</v>
      </c>
      <c r="BK1944" s="37"/>
      <c r="BL1944" s="263">
        <v>374.60043839770714</v>
      </c>
      <c r="BM1944" s="37" t="s">
        <v>541</v>
      </c>
      <c r="BN1944" s="37"/>
      <c r="BO1944" s="37">
        <v>5116.1670000000004</v>
      </c>
      <c r="BP1944" s="37"/>
      <c r="BQ1944" s="37"/>
      <c r="BR1944" s="37"/>
      <c r="BS1944" s="37"/>
      <c r="BT1944" s="37"/>
      <c r="BU1944" s="246"/>
      <c r="BV1944" s="37"/>
      <c r="BW1944" s="37"/>
      <c r="BX1944" s="37"/>
      <c r="BY1944" s="37"/>
      <c r="BZ1944" s="37"/>
      <c r="CA1944" s="37"/>
      <c r="CB1944" s="37"/>
      <c r="CC1944" s="37"/>
      <c r="CD1944" s="37"/>
      <c r="CE1944" s="37"/>
      <c r="CF1944" s="37"/>
      <c r="CG1944" s="37"/>
      <c r="CH1944" s="37"/>
      <c r="CI1944" s="243">
        <v>5116.1670000000004</v>
      </c>
      <c r="CJ1944" s="243">
        <f t="shared" si="539"/>
        <v>3.7089447121152097</v>
      </c>
      <c r="CK1944" s="38">
        <f t="shared" si="531"/>
        <v>4.0008932939479047E-2</v>
      </c>
      <c r="CL1944" s="247">
        <f t="shared" si="540"/>
        <v>7.3218962242183869E-2</v>
      </c>
      <c r="CM1944" s="247"/>
      <c r="CN1944" s="247"/>
      <c r="CO1944" s="36"/>
      <c r="CP1944" s="496" t="s">
        <v>651</v>
      </c>
      <c r="CQ1944" s="241" t="s">
        <v>272</v>
      </c>
      <c r="CR1944" s="241"/>
      <c r="CS1944" s="33"/>
      <c r="CT1944" s="33"/>
      <c r="CU1944" s="250">
        <f t="shared" si="541"/>
        <v>0.15678646529539139</v>
      </c>
      <c r="CV1944" s="337">
        <f t="shared" si="532"/>
        <v>8.5672604250696019E-2</v>
      </c>
      <c r="CW1944" s="330">
        <f t="shared" si="542"/>
        <v>0</v>
      </c>
      <c r="CX1944" s="330"/>
      <c r="CY1944" s="143" t="s">
        <v>5921</v>
      </c>
    </row>
    <row r="1945" spans="1:103" ht="11.25" customHeight="1" x14ac:dyDescent="0.2">
      <c r="A1945" s="72">
        <v>1666</v>
      </c>
      <c r="B1945" s="241">
        <v>131</v>
      </c>
      <c r="C1945" s="32" t="s">
        <v>7000</v>
      </c>
      <c r="D1945" s="32"/>
      <c r="E1945" s="40"/>
      <c r="F1945" s="40" t="s">
        <v>759</v>
      </c>
      <c r="G1945" s="242">
        <v>69658</v>
      </c>
      <c r="H1945" s="36" t="s">
        <v>760</v>
      </c>
      <c r="I1945" s="36" t="s">
        <v>760</v>
      </c>
      <c r="J1945" s="36" t="s">
        <v>761</v>
      </c>
      <c r="K1945" s="36" t="s">
        <v>426</v>
      </c>
      <c r="L1945" s="42" t="s">
        <v>279</v>
      </c>
      <c r="M1945" s="36" t="s">
        <v>8519</v>
      </c>
      <c r="N1945" s="36"/>
      <c r="O1945" s="36" t="s">
        <v>281</v>
      </c>
      <c r="P1945" s="41"/>
      <c r="Q1945" s="41"/>
      <c r="R1945" s="41"/>
      <c r="S1945" s="41"/>
      <c r="T1945" s="37">
        <v>182.17</v>
      </c>
      <c r="U1945" s="243">
        <v>31000</v>
      </c>
      <c r="V1945" s="243">
        <v>1000000.0000000001</v>
      </c>
      <c r="W1945" s="243">
        <v>1001098.6099064347</v>
      </c>
      <c r="X1945" s="243">
        <v>31000</v>
      </c>
      <c r="Y1945" s="414">
        <v>6.07</v>
      </c>
      <c r="Z1945" s="37">
        <v>-3.01</v>
      </c>
      <c r="AA1945" s="37">
        <v>-3.1</v>
      </c>
      <c r="AB1945" s="37">
        <v>-2.97</v>
      </c>
      <c r="AC1945" s="37">
        <v>0.83179999999999998</v>
      </c>
      <c r="AD1945" s="37">
        <v>-3.29</v>
      </c>
      <c r="AE1945" s="37">
        <v>-4.67</v>
      </c>
      <c r="AF1945" s="37">
        <f t="shared" si="528"/>
        <v>-3.1</v>
      </c>
      <c r="AG1945" s="38">
        <v>-3.1</v>
      </c>
      <c r="AH1945" s="243">
        <v>7.2600000000000004E-13</v>
      </c>
      <c r="AI1945" s="243"/>
      <c r="AJ1945" s="34">
        <f t="shared" si="529"/>
        <v>-10.527629705612558</v>
      </c>
      <c r="AK1945" s="34"/>
      <c r="AL1945" s="34">
        <f t="shared" si="530"/>
        <v>-10.527629705612558</v>
      </c>
      <c r="AM1945" s="34">
        <v>-21.092560000000002</v>
      </c>
      <c r="AN1945" s="244">
        <v>-16</v>
      </c>
      <c r="AO1945" s="417">
        <v>13.14</v>
      </c>
      <c r="AP1945" s="417"/>
      <c r="AQ1945" s="244" t="s">
        <v>6311</v>
      </c>
      <c r="AR1945" s="244" t="s">
        <v>6311</v>
      </c>
      <c r="AS1945" s="241" t="s">
        <v>87</v>
      </c>
      <c r="AT1945" s="39" t="s">
        <v>266</v>
      </c>
      <c r="AU1945" s="37">
        <v>0</v>
      </c>
      <c r="AV1945" s="37" t="s">
        <v>646</v>
      </c>
      <c r="AW1945" s="37" t="s">
        <v>646</v>
      </c>
      <c r="AX1945" s="37">
        <v>26</v>
      </c>
      <c r="AY1945" s="37" t="s">
        <v>647</v>
      </c>
      <c r="AZ1945" s="37" t="s">
        <v>536</v>
      </c>
      <c r="BA1945" s="37">
        <v>20</v>
      </c>
      <c r="BB1945" s="36" t="s">
        <v>537</v>
      </c>
      <c r="BC1945" s="36" t="s">
        <v>648</v>
      </c>
      <c r="BD1945" s="36"/>
      <c r="BE1945" s="245" t="s">
        <v>649</v>
      </c>
      <c r="BF1945" s="245" t="s">
        <v>650</v>
      </c>
      <c r="BG1945" s="245" t="s">
        <v>540</v>
      </c>
      <c r="BH1945" s="245" t="s">
        <v>272</v>
      </c>
      <c r="BI1945" s="243">
        <v>20002.266</v>
      </c>
      <c r="BJ1945" s="243">
        <v>76821.088999999993</v>
      </c>
      <c r="BK1945" s="37"/>
      <c r="BL1945" s="263">
        <v>4726698.0353453439</v>
      </c>
      <c r="BM1945" s="37" t="s">
        <v>541</v>
      </c>
      <c r="BN1945" s="37"/>
      <c r="BO1945" s="37">
        <v>77768.372999999992</v>
      </c>
      <c r="BP1945" s="37"/>
      <c r="BQ1945" s="37"/>
      <c r="BR1945" s="37"/>
      <c r="BS1945" s="37"/>
      <c r="BT1945" s="37"/>
      <c r="BU1945" s="246"/>
      <c r="BV1945" s="37"/>
      <c r="BW1945" s="37"/>
      <c r="BX1945" s="37"/>
      <c r="BY1945" s="37"/>
      <c r="BZ1945" s="37"/>
      <c r="CA1945" s="37"/>
      <c r="CB1945" s="37"/>
      <c r="CC1945" s="37"/>
      <c r="CD1945" s="37"/>
      <c r="CE1945" s="37"/>
      <c r="CF1945" s="37"/>
      <c r="CG1945" s="37"/>
      <c r="CH1945" s="37"/>
      <c r="CI1945" s="243">
        <v>77768.372999999992</v>
      </c>
      <c r="CJ1945" s="243">
        <f t="shared" si="539"/>
        <v>4.8908030131313698</v>
      </c>
      <c r="CK1945" s="38">
        <f t="shared" si="531"/>
        <v>61.528651791767025</v>
      </c>
      <c r="CL1945" s="247">
        <f t="shared" si="540"/>
        <v>60.779181214776656</v>
      </c>
      <c r="CM1945" s="247"/>
      <c r="CN1945" s="247"/>
      <c r="CO1945" s="36"/>
      <c r="CP1945" s="496" t="s">
        <v>651</v>
      </c>
      <c r="CQ1945" s="241" t="s">
        <v>272</v>
      </c>
      <c r="CR1945" s="241"/>
      <c r="CS1945" s="33"/>
      <c r="CT1945" s="33"/>
      <c r="CU1945" s="250">
        <f t="shared" si="541"/>
        <v>0.39861962908752124</v>
      </c>
      <c r="CV1945" s="337">
        <f t="shared" si="532"/>
        <v>0.40353502408694053</v>
      </c>
      <c r="CW1945" s="330">
        <f t="shared" si="542"/>
        <v>0</v>
      </c>
      <c r="CX1945" s="330"/>
      <c r="CY1945" s="143" t="s">
        <v>5921</v>
      </c>
    </row>
    <row r="1946" spans="1:103" ht="11.25" customHeight="1" x14ac:dyDescent="0.2">
      <c r="A1946" s="72">
        <v>1706</v>
      </c>
      <c r="B1946" s="241">
        <v>605</v>
      </c>
      <c r="C1946" s="32" t="s">
        <v>7094</v>
      </c>
      <c r="D1946" s="32"/>
      <c r="E1946" s="40"/>
      <c r="F1946" s="40" t="s">
        <v>569</v>
      </c>
      <c r="G1946" s="242">
        <v>99661</v>
      </c>
      <c r="H1946" s="36" t="s">
        <v>570</v>
      </c>
      <c r="I1946" s="36" t="s">
        <v>8021</v>
      </c>
      <c r="J1946" s="36" t="s">
        <v>571</v>
      </c>
      <c r="K1946" s="36" t="s">
        <v>426</v>
      </c>
      <c r="L1946" s="42" t="s">
        <v>279</v>
      </c>
      <c r="M1946" s="36" t="s">
        <v>572</v>
      </c>
      <c r="N1946" s="36"/>
      <c r="O1946" s="36" t="s">
        <v>281</v>
      </c>
      <c r="P1946" s="41"/>
      <c r="Q1946" s="41"/>
      <c r="R1946" s="41"/>
      <c r="S1946" s="41"/>
      <c r="T1946" s="37">
        <v>144.21</v>
      </c>
      <c r="U1946" s="243">
        <v>2000</v>
      </c>
      <c r="V1946" s="243">
        <v>894.6</v>
      </c>
      <c r="W1946" s="243">
        <v>2084.4686933927019</v>
      </c>
      <c r="X1946" s="243">
        <v>2000</v>
      </c>
      <c r="Y1946" s="414">
        <v>3.33</v>
      </c>
      <c r="Z1946" s="37">
        <v>2.96</v>
      </c>
      <c r="AA1946" s="37">
        <v>2.75</v>
      </c>
      <c r="AB1946" s="37">
        <v>2.64</v>
      </c>
      <c r="AC1946" s="37">
        <v>0.93820000000000003</v>
      </c>
      <c r="AD1946" s="37">
        <v>2.65</v>
      </c>
      <c r="AE1946" s="37">
        <v>2.72</v>
      </c>
      <c r="AF1946" s="37">
        <f t="shared" si="528"/>
        <v>2.75</v>
      </c>
      <c r="AG1946" s="38">
        <v>2.3199999999999998</v>
      </c>
      <c r="AH1946" s="243">
        <v>3.0000000000000001E-6</v>
      </c>
      <c r="AI1946" s="243"/>
      <c r="AJ1946" s="34">
        <f t="shared" si="529"/>
        <v>-3.9114450715929894</v>
      </c>
      <c r="AK1946" s="34"/>
      <c r="AL1946" s="34">
        <f t="shared" si="530"/>
        <v>-3.9114450715929894</v>
      </c>
      <c r="AM1946" s="34">
        <v>-5.7235100000000001</v>
      </c>
      <c r="AN1946" s="244">
        <v>-3.88</v>
      </c>
      <c r="AO1946" s="417">
        <v>4.82</v>
      </c>
      <c r="AP1946" s="417"/>
      <c r="AQ1946" s="244" t="s">
        <v>6311</v>
      </c>
      <c r="AR1946" s="244" t="s">
        <v>6311</v>
      </c>
      <c r="AS1946" s="241" t="s">
        <v>90</v>
      </c>
      <c r="AT1946" s="39" t="s">
        <v>266</v>
      </c>
      <c r="AU1946" s="37">
        <v>2</v>
      </c>
      <c r="AV1946" s="37">
        <v>48</v>
      </c>
      <c r="AW1946" s="37">
        <v>48</v>
      </c>
      <c r="AX1946" s="37">
        <v>26</v>
      </c>
      <c r="AY1946" s="37" t="s">
        <v>647</v>
      </c>
      <c r="AZ1946" s="37" t="s">
        <v>536</v>
      </c>
      <c r="BA1946" s="37">
        <v>20</v>
      </c>
      <c r="BB1946" s="36" t="s">
        <v>537</v>
      </c>
      <c r="BC1946" s="36" t="s">
        <v>648</v>
      </c>
      <c r="BD1946" s="36"/>
      <c r="BE1946" s="245" t="s">
        <v>649</v>
      </c>
      <c r="BF1946" s="245" t="s">
        <v>650</v>
      </c>
      <c r="BG1946" s="245" t="s">
        <v>540</v>
      </c>
      <c r="BH1946" s="245" t="s">
        <v>272</v>
      </c>
      <c r="BI1946" s="250">
        <v>8.0757600000000007</v>
      </c>
      <c r="BJ1946" s="250">
        <v>22.929390000000001</v>
      </c>
      <c r="BK1946" s="37"/>
      <c r="BL1946" s="263">
        <v>16.271192264769432</v>
      </c>
      <c r="BM1946" s="37" t="s">
        <v>541</v>
      </c>
      <c r="BN1946" s="37"/>
      <c r="BO1946" s="37">
        <v>20.189</v>
      </c>
      <c r="BP1946" s="37"/>
      <c r="BQ1946" s="37"/>
      <c r="BR1946" s="37"/>
      <c r="BS1946" s="37"/>
      <c r="BT1946" s="37"/>
      <c r="BU1946" s="246"/>
      <c r="BV1946" s="37"/>
      <c r="BW1946" s="37"/>
      <c r="BX1946" s="37"/>
      <c r="BY1946" s="37"/>
      <c r="BZ1946" s="37"/>
      <c r="CA1946" s="37"/>
      <c r="CB1946" s="37"/>
      <c r="CC1946" s="37"/>
      <c r="CD1946" s="37"/>
      <c r="CE1946" s="37"/>
      <c r="CF1946" s="37"/>
      <c r="CG1946" s="37"/>
      <c r="CH1946" s="37"/>
      <c r="CI1946" s="243">
        <v>20.189</v>
      </c>
      <c r="CJ1946" s="243">
        <f t="shared" si="539"/>
        <v>1.3051148080353954</v>
      </c>
      <c r="CK1946" s="38">
        <f t="shared" si="531"/>
        <v>0.70962168050564933</v>
      </c>
      <c r="CL1946" s="247">
        <f t="shared" si="540"/>
        <v>0.80594344765810255</v>
      </c>
      <c r="CM1946" s="247"/>
      <c r="CN1946" s="247"/>
      <c r="CO1946" s="36"/>
      <c r="CP1946" s="496" t="s">
        <v>651</v>
      </c>
      <c r="CQ1946" s="241" t="s">
        <v>272</v>
      </c>
      <c r="CR1946" s="241"/>
      <c r="CS1946" s="33"/>
      <c r="CT1946" s="33"/>
      <c r="CU1946" s="250">
        <f t="shared" si="541"/>
        <v>99.063846649165384</v>
      </c>
      <c r="CV1946" s="337">
        <f t="shared" si="532"/>
        <v>87.224300341177852</v>
      </c>
      <c r="CW1946" s="330">
        <f t="shared" si="542"/>
        <v>1</v>
      </c>
      <c r="CX1946" s="330"/>
      <c r="CY1946" s="143" t="s">
        <v>6351</v>
      </c>
    </row>
    <row r="1947" spans="1:103" ht="11.25" customHeight="1" x14ac:dyDescent="0.2">
      <c r="A1947" s="72">
        <v>1727</v>
      </c>
      <c r="B1947" s="241">
        <v>112</v>
      </c>
      <c r="C1947" s="32" t="s">
        <v>7656</v>
      </c>
      <c r="D1947" s="32"/>
      <c r="E1947" s="40"/>
      <c r="F1947" s="40" t="s">
        <v>697</v>
      </c>
      <c r="G1947" s="242">
        <v>107153</v>
      </c>
      <c r="H1947" s="36" t="s">
        <v>698</v>
      </c>
      <c r="I1947" s="36" t="s">
        <v>698</v>
      </c>
      <c r="J1947" s="36" t="s">
        <v>699</v>
      </c>
      <c r="K1947" s="36" t="s">
        <v>300</v>
      </c>
      <c r="L1947" s="36"/>
      <c r="M1947" s="36"/>
      <c r="N1947" s="36"/>
      <c r="O1947" s="36"/>
      <c r="P1947" s="41"/>
      <c r="Q1947" s="41"/>
      <c r="R1947" s="41"/>
      <c r="S1947" s="41"/>
      <c r="T1947" s="37">
        <v>60.1</v>
      </c>
      <c r="U1947" s="243">
        <v>999999.99999999988</v>
      </c>
      <c r="V1947" s="243">
        <v>999999.99999999988</v>
      </c>
      <c r="W1947" s="243">
        <v>997411.73136997432</v>
      </c>
      <c r="X1947" s="243">
        <v>999999.99999999988</v>
      </c>
      <c r="Y1947" s="414">
        <v>12.56</v>
      </c>
      <c r="Z1947" s="37">
        <v>-1.62</v>
      </c>
      <c r="AA1947" s="37">
        <v>-2.04</v>
      </c>
      <c r="AB1947" s="37">
        <v>-1.55</v>
      </c>
      <c r="AC1947" s="37">
        <v>0.84570000000000001</v>
      </c>
      <c r="AD1947" s="37">
        <v>-1.67</v>
      </c>
      <c r="AE1947" s="37">
        <v>-2.04</v>
      </c>
      <c r="AF1947" s="37">
        <f t="shared" si="528"/>
        <v>-2.04</v>
      </c>
      <c r="AG1947" s="38">
        <v>-1.53</v>
      </c>
      <c r="AH1947" s="243">
        <v>1.03E-9</v>
      </c>
      <c r="AI1947" s="243">
        <v>1.73E-9</v>
      </c>
      <c r="AJ1947" s="34">
        <f t="shared" si="529"/>
        <v>-7.3757291016074795</v>
      </c>
      <c r="AK1947" s="34">
        <f>LOG10(AI1947*1000/(0.08206*298.15))</f>
        <v>-7.1505202231838565</v>
      </c>
      <c r="AL1947" s="34">
        <f t="shared" si="530"/>
        <v>-7.1505202231838565</v>
      </c>
      <c r="AM1947" s="34">
        <v>-8.9075900000000008</v>
      </c>
      <c r="AN1947" s="244">
        <v>-8.16</v>
      </c>
      <c r="AO1947" s="417"/>
      <c r="AP1947" s="417">
        <v>9.89</v>
      </c>
      <c r="AQ1947" s="244" t="s">
        <v>6311</v>
      </c>
      <c r="AR1947" s="244" t="s">
        <v>6311</v>
      </c>
      <c r="AS1947" s="241" t="s">
        <v>6</v>
      </c>
      <c r="AT1947" s="39" t="s">
        <v>266</v>
      </c>
      <c r="AU1947" s="37">
        <v>0</v>
      </c>
      <c r="AV1947" s="37" t="s">
        <v>646</v>
      </c>
      <c r="AW1947" s="37" t="s">
        <v>646</v>
      </c>
      <c r="AX1947" s="37">
        <v>26</v>
      </c>
      <c r="AY1947" s="37" t="s">
        <v>647</v>
      </c>
      <c r="AZ1947" s="37" t="s">
        <v>536</v>
      </c>
      <c r="BA1947" s="37">
        <v>20</v>
      </c>
      <c r="BB1947" s="36" t="s">
        <v>537</v>
      </c>
      <c r="BC1947" s="36" t="s">
        <v>648</v>
      </c>
      <c r="BD1947" s="36"/>
      <c r="BE1947" s="245" t="s">
        <v>649</v>
      </c>
      <c r="BF1947" s="245" t="s">
        <v>650</v>
      </c>
      <c r="BG1947" s="245" t="s">
        <v>540</v>
      </c>
      <c r="BH1947" s="245" t="s">
        <v>272</v>
      </c>
      <c r="BI1947" s="250">
        <v>264.44000000000005</v>
      </c>
      <c r="BJ1947" s="250">
        <v>751.25</v>
      </c>
      <c r="BK1947" s="37"/>
      <c r="BL1947" s="263">
        <v>88023.06199966243</v>
      </c>
      <c r="BM1947" s="37" t="s">
        <v>541</v>
      </c>
      <c r="BN1947" s="37"/>
      <c r="BO1947" s="37">
        <v>396.65999999999997</v>
      </c>
      <c r="BP1947" s="37"/>
      <c r="BQ1947" s="37"/>
      <c r="BR1947" s="37"/>
      <c r="BS1947" s="37"/>
      <c r="BT1947" s="37"/>
      <c r="BU1947" s="246"/>
      <c r="BV1947" s="37"/>
      <c r="BW1947" s="37"/>
      <c r="BX1947" s="37"/>
      <c r="BY1947" s="37"/>
      <c r="BZ1947" s="37"/>
      <c r="CA1947" s="37"/>
      <c r="CB1947" s="37"/>
      <c r="CC1947" s="37"/>
      <c r="CD1947" s="37"/>
      <c r="CE1947" s="37"/>
      <c r="CF1947" s="37"/>
      <c r="CG1947" s="37"/>
      <c r="CH1947" s="37"/>
      <c r="CI1947" s="243">
        <v>396.65999999999997</v>
      </c>
      <c r="CJ1947" s="243">
        <f t="shared" si="539"/>
        <v>2.598418407544608</v>
      </c>
      <c r="CK1947" s="38">
        <f t="shared" si="531"/>
        <v>117.16880133066546</v>
      </c>
      <c r="CL1947" s="247">
        <f t="shared" si="540"/>
        <v>221.91060858080581</v>
      </c>
      <c r="CM1947" s="247"/>
      <c r="CN1947" s="247"/>
      <c r="CO1947" s="36"/>
      <c r="CP1947" s="496" t="s">
        <v>651</v>
      </c>
      <c r="CQ1947" s="241">
        <v>2.2021676306513696</v>
      </c>
      <c r="CR1947" s="241">
        <f>10^(CJ1947-CQ1947)</f>
        <v>2.4902948869579404</v>
      </c>
      <c r="CS1947" s="33"/>
      <c r="CT1947" s="33"/>
      <c r="CU1947" s="250">
        <f t="shared" si="541"/>
        <v>2521.0507739625873</v>
      </c>
      <c r="CV1947" s="337">
        <f t="shared" si="532"/>
        <v>1331.1148086522462</v>
      </c>
      <c r="CW1947" s="330">
        <f t="shared" si="542"/>
        <v>1</v>
      </c>
      <c r="CX1947" s="330"/>
      <c r="CY1947" s="143" t="s">
        <v>6351</v>
      </c>
    </row>
    <row r="1948" spans="1:103" ht="11.25" customHeight="1" x14ac:dyDescent="0.2">
      <c r="A1948" s="72">
        <v>1742</v>
      </c>
      <c r="B1948" s="241">
        <v>119</v>
      </c>
      <c r="C1948" s="32" t="s">
        <v>7663</v>
      </c>
      <c r="D1948" s="32"/>
      <c r="E1948" s="40"/>
      <c r="F1948" s="40" t="s">
        <v>721</v>
      </c>
      <c r="G1948" s="242">
        <v>110134</v>
      </c>
      <c r="H1948" s="36" t="s">
        <v>722</v>
      </c>
      <c r="I1948" s="36" t="s">
        <v>722</v>
      </c>
      <c r="J1948" s="36" t="s">
        <v>723</v>
      </c>
      <c r="K1948" s="36" t="s">
        <v>426</v>
      </c>
      <c r="L1948" s="36"/>
      <c r="M1948" s="36"/>
      <c r="N1948" s="36"/>
      <c r="O1948" s="36"/>
      <c r="P1948" s="41"/>
      <c r="Q1948" s="41"/>
      <c r="R1948" s="41"/>
      <c r="S1948" s="41"/>
      <c r="T1948" s="37">
        <v>114.14</v>
      </c>
      <c r="U1948" s="243"/>
      <c r="V1948" s="243">
        <v>179100</v>
      </c>
      <c r="W1948" s="243">
        <v>80804.931829605499</v>
      </c>
      <c r="X1948" s="243">
        <v>80804.931829605499</v>
      </c>
      <c r="Y1948" s="414">
        <v>7</v>
      </c>
      <c r="Z1948" s="37">
        <v>-0.81</v>
      </c>
      <c r="AA1948" s="37">
        <v>-0.27</v>
      </c>
      <c r="AB1948" s="37">
        <v>-0.11</v>
      </c>
      <c r="AC1948" s="37">
        <v>0.87050000000000005</v>
      </c>
      <c r="AD1948" s="37">
        <v>-0.15</v>
      </c>
      <c r="AE1948" s="37">
        <v>-0.27</v>
      </c>
      <c r="AF1948" s="37">
        <f t="shared" si="528"/>
        <v>-0.27</v>
      </c>
      <c r="AG1948" s="38">
        <v>0.11</v>
      </c>
      <c r="AH1948" s="243">
        <v>4.43E-8</v>
      </c>
      <c r="AI1948" s="243"/>
      <c r="AJ1948" s="34">
        <f t="shared" si="529"/>
        <v>-5.742162600089582</v>
      </c>
      <c r="AK1948" s="34"/>
      <c r="AL1948" s="34">
        <f t="shared" si="530"/>
        <v>-5.742162600089582</v>
      </c>
      <c r="AM1948" s="34">
        <v>-6.3219000000000003</v>
      </c>
      <c r="AN1948" s="244">
        <v>-5.71</v>
      </c>
      <c r="AO1948" s="417"/>
      <c r="AP1948" s="417"/>
      <c r="AQ1948" s="244" t="s">
        <v>6311</v>
      </c>
      <c r="AR1948" s="244" t="s">
        <v>6311</v>
      </c>
      <c r="AS1948" s="241" t="s">
        <v>6</v>
      </c>
      <c r="AT1948" s="39" t="s">
        <v>266</v>
      </c>
      <c r="AU1948" s="37">
        <v>0</v>
      </c>
      <c r="AV1948" s="37" t="s">
        <v>646</v>
      </c>
      <c r="AW1948" s="37" t="s">
        <v>646</v>
      </c>
      <c r="AX1948" s="37">
        <v>26</v>
      </c>
      <c r="AY1948" s="37" t="s">
        <v>647</v>
      </c>
      <c r="AZ1948" s="37" t="s">
        <v>536</v>
      </c>
      <c r="BA1948" s="37">
        <v>20</v>
      </c>
      <c r="BB1948" s="36" t="s">
        <v>537</v>
      </c>
      <c r="BC1948" s="36" t="s">
        <v>648</v>
      </c>
      <c r="BD1948" s="36"/>
      <c r="BE1948" s="245" t="s">
        <v>649</v>
      </c>
      <c r="BF1948" s="245" t="s">
        <v>650</v>
      </c>
      <c r="BG1948" s="245" t="s">
        <v>540</v>
      </c>
      <c r="BH1948" s="245" t="s">
        <v>272</v>
      </c>
      <c r="BI1948" s="250">
        <v>1198.47</v>
      </c>
      <c r="BJ1948" s="250">
        <v>6072.2480000000005</v>
      </c>
      <c r="BK1948" s="37"/>
      <c r="BL1948" s="263">
        <v>31311.139147932347</v>
      </c>
      <c r="BM1948" s="37" t="s">
        <v>541</v>
      </c>
      <c r="BN1948" s="37"/>
      <c r="BO1948" s="37">
        <v>4668.326</v>
      </c>
      <c r="BP1948" s="37"/>
      <c r="BQ1948" s="37"/>
      <c r="BR1948" s="37"/>
      <c r="BS1948" s="37"/>
      <c r="BT1948" s="37"/>
      <c r="BU1948" s="246"/>
      <c r="BV1948" s="37"/>
      <c r="BW1948" s="37"/>
      <c r="BX1948" s="37"/>
      <c r="BY1948" s="37"/>
      <c r="BZ1948" s="37"/>
      <c r="CA1948" s="37"/>
      <c r="CB1948" s="37"/>
      <c r="CC1948" s="37"/>
      <c r="CD1948" s="37"/>
      <c r="CE1948" s="37"/>
      <c r="CF1948" s="37"/>
      <c r="CG1948" s="37"/>
      <c r="CH1948" s="37"/>
      <c r="CI1948" s="243">
        <v>4668.326</v>
      </c>
      <c r="CJ1948" s="243">
        <f t="shared" si="539"/>
        <v>3.6691611762202809</v>
      </c>
      <c r="CK1948" s="38">
        <f t="shared" si="531"/>
        <v>5.1564328643909709</v>
      </c>
      <c r="CL1948" s="247">
        <f t="shared" si="540"/>
        <v>6.7071449483031707</v>
      </c>
      <c r="CM1948" s="247"/>
      <c r="CN1948" s="247"/>
      <c r="CO1948" s="36"/>
      <c r="CP1948" s="496" t="s">
        <v>651</v>
      </c>
      <c r="CQ1948" s="241" t="s">
        <v>272</v>
      </c>
      <c r="CR1948" s="241"/>
      <c r="CS1948" s="33"/>
      <c r="CT1948" s="33"/>
      <c r="CU1948" s="250">
        <f t="shared" si="541"/>
        <v>17.309187882252761</v>
      </c>
      <c r="CV1948" s="337">
        <f t="shared" si="532"/>
        <v>13.307251586168004</v>
      </c>
      <c r="CW1948" s="330">
        <f t="shared" si="542"/>
        <v>1</v>
      </c>
      <c r="CX1948" s="330"/>
      <c r="CY1948" s="143" t="s">
        <v>5921</v>
      </c>
    </row>
    <row r="1949" spans="1:103" ht="11.25" customHeight="1" x14ac:dyDescent="0.2">
      <c r="A1949" s="72">
        <v>1749</v>
      </c>
      <c r="B1949" s="241">
        <v>133</v>
      </c>
      <c r="C1949" s="32" t="s">
        <v>7670</v>
      </c>
      <c r="D1949" s="32"/>
      <c r="E1949" s="40"/>
      <c r="F1949" s="40" t="s">
        <v>766</v>
      </c>
      <c r="G1949" s="242">
        <v>111466</v>
      </c>
      <c r="H1949" s="36" t="s">
        <v>767</v>
      </c>
      <c r="I1949" s="36" t="s">
        <v>767</v>
      </c>
      <c r="J1949" s="36" t="s">
        <v>768</v>
      </c>
      <c r="K1949" s="36" t="s">
        <v>426</v>
      </c>
      <c r="L1949" s="36" t="s">
        <v>5527</v>
      </c>
      <c r="M1949" s="36" t="s">
        <v>6082</v>
      </c>
      <c r="N1949" s="36" t="s">
        <v>6082</v>
      </c>
      <c r="O1949" s="36" t="s">
        <v>6083</v>
      </c>
      <c r="P1949" s="41"/>
      <c r="Q1949" s="41" t="s">
        <v>6176</v>
      </c>
      <c r="R1949" s="41" t="s">
        <v>6185</v>
      </c>
      <c r="S1949" s="41" t="s">
        <v>6176</v>
      </c>
      <c r="T1949" s="37">
        <v>106.12</v>
      </c>
      <c r="U1949" s="243">
        <v>1000000.0000000001</v>
      </c>
      <c r="V1949" s="243">
        <v>1000000.0000000001</v>
      </c>
      <c r="W1949" s="243">
        <v>990369.46400576702</v>
      </c>
      <c r="X1949" s="243">
        <v>1000000.0000000001</v>
      </c>
      <c r="Y1949" s="414">
        <v>6.51</v>
      </c>
      <c r="Z1949" s="37">
        <v>-1.47</v>
      </c>
      <c r="AA1949" s="37"/>
      <c r="AB1949" s="37">
        <v>-0.94</v>
      </c>
      <c r="AC1949" s="37">
        <v>0.85299999999999998</v>
      </c>
      <c r="AD1949" s="37">
        <v>-1.0900000000000001</v>
      </c>
      <c r="AE1949" s="37">
        <v>-1.51</v>
      </c>
      <c r="AF1949" s="37">
        <f t="shared" si="528"/>
        <v>-1.0900000000000001</v>
      </c>
      <c r="AG1949" s="38">
        <v>-0.89</v>
      </c>
      <c r="AH1949" s="243">
        <v>2.0299999999999998E-9</v>
      </c>
      <c r="AI1949" s="243"/>
      <c r="AJ1949" s="34">
        <f t="shared" si="529"/>
        <v>-7.081070288399439</v>
      </c>
      <c r="AK1949" s="34"/>
      <c r="AL1949" s="34">
        <f t="shared" si="530"/>
        <v>-7.081070288399439</v>
      </c>
      <c r="AM1949" s="34">
        <v>-8.6747399999999999</v>
      </c>
      <c r="AN1949" s="244">
        <v>-7.67</v>
      </c>
      <c r="AO1949" s="417">
        <v>14.03</v>
      </c>
      <c r="AP1949" s="417"/>
      <c r="AQ1949" s="244" t="s">
        <v>6311</v>
      </c>
      <c r="AR1949" s="244" t="s">
        <v>6311</v>
      </c>
      <c r="AS1949" s="241" t="s">
        <v>87</v>
      </c>
      <c r="AT1949" s="39" t="s">
        <v>266</v>
      </c>
      <c r="AU1949" s="37">
        <v>0</v>
      </c>
      <c r="AV1949" s="37" t="s">
        <v>646</v>
      </c>
      <c r="AW1949" s="37" t="s">
        <v>646</v>
      </c>
      <c r="AX1949" s="37">
        <v>26</v>
      </c>
      <c r="AY1949" s="37" t="s">
        <v>647</v>
      </c>
      <c r="AZ1949" s="37" t="s">
        <v>536</v>
      </c>
      <c r="BA1949" s="37">
        <v>20</v>
      </c>
      <c r="BB1949" s="36" t="s">
        <v>537</v>
      </c>
      <c r="BC1949" s="36" t="s">
        <v>648</v>
      </c>
      <c r="BD1949" s="36"/>
      <c r="BE1949" s="245" t="s">
        <v>649</v>
      </c>
      <c r="BF1949" s="245" t="s">
        <v>650</v>
      </c>
      <c r="BG1949" s="245" t="s">
        <v>540</v>
      </c>
      <c r="BH1949" s="245" t="s">
        <v>272</v>
      </c>
      <c r="BI1949" s="250">
        <v>38457.887999999999</v>
      </c>
      <c r="BJ1949" s="250">
        <v>109844.81199999999</v>
      </c>
      <c r="BK1949" s="37"/>
      <c r="BL1949" s="263">
        <v>113973.59346012931</v>
      </c>
      <c r="BM1949" s="37" t="s">
        <v>541</v>
      </c>
      <c r="BN1949" s="37"/>
      <c r="BO1949" s="37">
        <v>50799.644</v>
      </c>
      <c r="BP1949" s="37"/>
      <c r="BQ1949" s="37"/>
      <c r="BR1949" s="37"/>
      <c r="BS1949" s="37"/>
      <c r="BT1949" s="37"/>
      <c r="BU1949" s="246"/>
      <c r="BV1949" s="37"/>
      <c r="BW1949" s="37"/>
      <c r="BX1949" s="37"/>
      <c r="BY1949" s="37"/>
      <c r="BZ1949" s="37"/>
      <c r="CA1949" s="37"/>
      <c r="CB1949" s="37"/>
      <c r="CC1949" s="37"/>
      <c r="CD1949" s="37"/>
      <c r="CE1949" s="37"/>
      <c r="CF1949" s="37"/>
      <c r="CG1949" s="37"/>
      <c r="CH1949" s="37"/>
      <c r="CI1949" s="243">
        <v>50799.644</v>
      </c>
      <c r="CJ1949" s="243">
        <f t="shared" si="539"/>
        <v>4.7058606687922397</v>
      </c>
      <c r="CK1949" s="38">
        <f t="shared" si="531"/>
        <v>1.037587405221553</v>
      </c>
      <c r="CL1949" s="247">
        <f t="shared" si="540"/>
        <v>2.2435903972108409</v>
      </c>
      <c r="CM1949" s="247"/>
      <c r="CN1949" s="247"/>
      <c r="CO1949" s="36"/>
      <c r="CP1949" s="496" t="s">
        <v>651</v>
      </c>
      <c r="CQ1949" s="241">
        <v>4.8759288887979055</v>
      </c>
      <c r="CR1949" s="241">
        <f>10^(CJ1949-CQ1949)</f>
        <v>0.67597678301787489</v>
      </c>
      <c r="CS1949" s="33"/>
      <c r="CT1949" s="33"/>
      <c r="CU1949" s="250">
        <f t="shared" si="541"/>
        <v>19.685177321321387</v>
      </c>
      <c r="CV1949" s="337">
        <f t="shared" si="532"/>
        <v>9.1037526651691127</v>
      </c>
      <c r="CW1949" s="330">
        <f t="shared" si="542"/>
        <v>1</v>
      </c>
      <c r="CX1949" s="330"/>
      <c r="CY1949" s="143" t="s">
        <v>6351</v>
      </c>
    </row>
    <row r="1950" spans="1:103" ht="11.25" customHeight="1" x14ac:dyDescent="0.2">
      <c r="A1950" s="72">
        <v>1753</v>
      </c>
      <c r="B1950" s="241">
        <v>103</v>
      </c>
      <c r="C1950" s="32" t="s">
        <v>676</v>
      </c>
      <c r="D1950" s="32"/>
      <c r="E1950" s="40"/>
      <c r="F1950" s="40" t="s">
        <v>677</v>
      </c>
      <c r="G1950" s="242">
        <v>111875</v>
      </c>
      <c r="H1950" s="36" t="s">
        <v>678</v>
      </c>
      <c r="I1950" s="36" t="s">
        <v>678</v>
      </c>
      <c r="J1950" s="36" t="s">
        <v>679</v>
      </c>
      <c r="K1950" s="36" t="s">
        <v>426</v>
      </c>
      <c r="L1950" s="36" t="s">
        <v>5527</v>
      </c>
      <c r="M1950" s="36" t="s">
        <v>6082</v>
      </c>
      <c r="N1950" s="36" t="s">
        <v>6082</v>
      </c>
      <c r="O1950" s="36" t="s">
        <v>6083</v>
      </c>
      <c r="P1950" s="41" t="s">
        <v>6183</v>
      </c>
      <c r="Q1950" s="41" t="s">
        <v>6179</v>
      </c>
      <c r="R1950" s="41" t="s">
        <v>6185</v>
      </c>
      <c r="S1950" s="41" t="s">
        <v>6176</v>
      </c>
      <c r="T1950" s="37">
        <v>130.22999999999999</v>
      </c>
      <c r="U1950" s="243">
        <v>540</v>
      </c>
      <c r="V1950" s="243">
        <v>814</v>
      </c>
      <c r="W1950" s="243">
        <v>1058.5491812005059</v>
      </c>
      <c r="X1950" s="243">
        <v>540</v>
      </c>
      <c r="Y1950" s="414">
        <v>7</v>
      </c>
      <c r="Z1950" s="37">
        <v>2.81</v>
      </c>
      <c r="AA1950" s="37">
        <v>3</v>
      </c>
      <c r="AB1950" s="37">
        <v>2.99</v>
      </c>
      <c r="AC1950" s="37">
        <v>0.92889999999999995</v>
      </c>
      <c r="AD1950" s="37">
        <v>2.99</v>
      </c>
      <c r="AE1950" s="37">
        <v>3</v>
      </c>
      <c r="AF1950" s="37">
        <f t="shared" si="528"/>
        <v>3</v>
      </c>
      <c r="AG1950" s="38">
        <v>2.65</v>
      </c>
      <c r="AH1950" s="243">
        <v>3.1000000000000001E-5</v>
      </c>
      <c r="AI1950" s="243">
        <v>2.4499999999999999E-5</v>
      </c>
      <c r="AJ1950" s="34">
        <f t="shared" si="529"/>
        <v>-2.8972046324783789</v>
      </c>
      <c r="AK1950" s="34">
        <f>LOG10(AI1950*1000/(0.08206*298.15))</f>
        <v>-2.9994002419481194</v>
      </c>
      <c r="AL1950" s="34">
        <f t="shared" si="530"/>
        <v>-2.9994002419481194</v>
      </c>
      <c r="AM1950" s="34">
        <v>-3.9046099999999999</v>
      </c>
      <c r="AN1950" s="244">
        <v>-2.78</v>
      </c>
      <c r="AO1950" s="417">
        <v>15.27</v>
      </c>
      <c r="AP1950" s="417"/>
      <c r="AQ1950" s="244" t="s">
        <v>6311</v>
      </c>
      <c r="AR1950" s="244" t="s">
        <v>6311</v>
      </c>
      <c r="AS1950" s="241" t="s">
        <v>6</v>
      </c>
      <c r="AT1950" s="39" t="s">
        <v>266</v>
      </c>
      <c r="AU1950" s="37">
        <v>0</v>
      </c>
      <c r="AV1950" s="37" t="s">
        <v>646</v>
      </c>
      <c r="AW1950" s="37" t="s">
        <v>646</v>
      </c>
      <c r="AX1950" s="37">
        <v>26</v>
      </c>
      <c r="AY1950" s="37" t="s">
        <v>647</v>
      </c>
      <c r="AZ1950" s="37" t="s">
        <v>536</v>
      </c>
      <c r="BA1950" s="37">
        <v>20</v>
      </c>
      <c r="BB1950" s="36" t="s">
        <v>537</v>
      </c>
      <c r="BC1950" s="36" t="s">
        <v>648</v>
      </c>
      <c r="BD1950" s="36"/>
      <c r="BE1950" s="245" t="s">
        <v>649</v>
      </c>
      <c r="BF1950" s="245" t="s">
        <v>650</v>
      </c>
      <c r="BG1950" s="245" t="s">
        <v>540</v>
      </c>
      <c r="BH1950" s="245" t="s">
        <v>272</v>
      </c>
      <c r="BI1950" s="250">
        <v>6.5114999999999998</v>
      </c>
      <c r="BJ1950" s="250">
        <v>33.8598</v>
      </c>
      <c r="BK1950" s="37"/>
      <c r="BL1950" s="263">
        <v>20.037800139305784</v>
      </c>
      <c r="BM1950" s="37" t="s">
        <v>541</v>
      </c>
      <c r="BN1950" s="37"/>
      <c r="BO1950" s="37">
        <v>15.627599999999997</v>
      </c>
      <c r="BP1950" s="37"/>
      <c r="BQ1950" s="37"/>
      <c r="BR1950" s="37"/>
      <c r="BS1950" s="37"/>
      <c r="BT1950" s="37"/>
      <c r="BU1950" s="246"/>
      <c r="BV1950" s="37"/>
      <c r="BW1950" s="37"/>
      <c r="BX1950" s="37"/>
      <c r="BY1950" s="37"/>
      <c r="BZ1950" s="37"/>
      <c r="CA1950" s="37"/>
      <c r="CB1950" s="37"/>
      <c r="CC1950" s="37"/>
      <c r="CD1950" s="37"/>
      <c r="CE1950" s="37"/>
      <c r="CF1950" s="37"/>
      <c r="CG1950" s="37"/>
      <c r="CH1950" s="37"/>
      <c r="CI1950" s="243">
        <v>15.627599999999997</v>
      </c>
      <c r="CJ1950" s="243">
        <f t="shared" si="539"/>
        <v>1.1938922866059871</v>
      </c>
      <c r="CK1950" s="38">
        <f t="shared" si="531"/>
        <v>0.59178731532099371</v>
      </c>
      <c r="CL1950" s="247">
        <f t="shared" si="540"/>
        <v>1.2822058498621534</v>
      </c>
      <c r="CM1950" s="247"/>
      <c r="CN1950" s="247"/>
      <c r="CO1950" s="36"/>
      <c r="CP1950" s="496" t="s">
        <v>651</v>
      </c>
      <c r="CQ1950" s="241">
        <v>1.1455836013269163</v>
      </c>
      <c r="CR1950" s="241">
        <f>10^(CJ1950-CQ1950)</f>
        <v>1.1176573674613404</v>
      </c>
      <c r="CS1950" s="33"/>
      <c r="CT1950" s="33"/>
      <c r="CU1950" s="250">
        <f t="shared" si="541"/>
        <v>34.554250172771255</v>
      </c>
      <c r="CV1950" s="337">
        <f t="shared" si="532"/>
        <v>15.948115464355961</v>
      </c>
      <c r="CW1950" s="330">
        <f t="shared" si="542"/>
        <v>1</v>
      </c>
      <c r="CX1950" s="330"/>
      <c r="CY1950" s="143" t="s">
        <v>6351</v>
      </c>
    </row>
    <row r="1951" spans="1:103" ht="11.25" customHeight="1" x14ac:dyDescent="0.2">
      <c r="A1951" s="72">
        <v>1756</v>
      </c>
      <c r="B1951" s="241">
        <v>120</v>
      </c>
      <c r="C1951" s="32" t="s">
        <v>7675</v>
      </c>
      <c r="D1951" s="32"/>
      <c r="E1951" s="40"/>
      <c r="F1951" s="40" t="s">
        <v>724</v>
      </c>
      <c r="G1951" s="242">
        <v>111966</v>
      </c>
      <c r="H1951" s="36" t="s">
        <v>725</v>
      </c>
      <c r="I1951" s="36" t="s">
        <v>725</v>
      </c>
      <c r="J1951" s="36" t="s">
        <v>726</v>
      </c>
      <c r="K1951" s="36" t="s">
        <v>426</v>
      </c>
      <c r="L1951" s="36"/>
      <c r="M1951" s="36"/>
      <c r="N1951" s="36"/>
      <c r="O1951" s="36"/>
      <c r="P1951" s="41"/>
      <c r="Q1951" s="41"/>
      <c r="R1951" s="41"/>
      <c r="S1951" s="41"/>
      <c r="T1951" s="37">
        <v>134.16999999999999</v>
      </c>
      <c r="U1951" s="243">
        <v>1000000</v>
      </c>
      <c r="V1951" s="243">
        <v>179600</v>
      </c>
      <c r="W1951" s="243">
        <v>534140.39073162724</v>
      </c>
      <c r="X1951" s="243">
        <v>1000000</v>
      </c>
      <c r="Y1951" s="414">
        <v>7</v>
      </c>
      <c r="Z1951" s="37">
        <v>-0.48</v>
      </c>
      <c r="AA1951" s="37">
        <v>-0.36</v>
      </c>
      <c r="AB1951" s="37">
        <v>-0.04</v>
      </c>
      <c r="AC1951" s="37">
        <v>0.92410000000000003</v>
      </c>
      <c r="AD1951" s="37">
        <v>-0.18</v>
      </c>
      <c r="AE1951" s="37">
        <v>-0.8</v>
      </c>
      <c r="AF1951" s="37">
        <f t="shared" si="528"/>
        <v>-0.36</v>
      </c>
      <c r="AG1951" s="38">
        <v>0.37</v>
      </c>
      <c r="AH1951" s="243">
        <v>2.0800000000000001E-7</v>
      </c>
      <c r="AI1951" s="243">
        <v>5.2300000000000001E-7</v>
      </c>
      <c r="AJ1951" s="34">
        <f t="shared" si="529"/>
        <v>-5.0705029913498905</v>
      </c>
      <c r="AK1951" s="34">
        <f>LOG10(AI1951*1000/(0.08206*298.15))</f>
        <v>-4.6700646374453774</v>
      </c>
      <c r="AL1951" s="34">
        <f t="shared" si="530"/>
        <v>-4.6700646374453774</v>
      </c>
      <c r="AM1951" s="34">
        <v>-4.7041600000000008</v>
      </c>
      <c r="AN1951" s="244">
        <v>-4.71</v>
      </c>
      <c r="AO1951" s="417"/>
      <c r="AP1951" s="417"/>
      <c r="AQ1951" s="244" t="s">
        <v>6311</v>
      </c>
      <c r="AR1951" s="244" t="s">
        <v>6311</v>
      </c>
      <c r="AS1951" s="241" t="s">
        <v>6</v>
      </c>
      <c r="AT1951" s="39" t="s">
        <v>266</v>
      </c>
      <c r="AU1951" s="37">
        <v>0</v>
      </c>
      <c r="AV1951" s="37" t="s">
        <v>646</v>
      </c>
      <c r="AW1951" s="37" t="s">
        <v>646</v>
      </c>
      <c r="AX1951" s="37">
        <v>26</v>
      </c>
      <c r="AY1951" s="37" t="s">
        <v>647</v>
      </c>
      <c r="AZ1951" s="37" t="s">
        <v>536</v>
      </c>
      <c r="BA1951" s="37">
        <v>20</v>
      </c>
      <c r="BB1951" s="36" t="s">
        <v>537</v>
      </c>
      <c r="BC1951" s="36" t="s">
        <v>648</v>
      </c>
      <c r="BD1951" s="36"/>
      <c r="BE1951" s="245" t="s">
        <v>649</v>
      </c>
      <c r="BF1951" s="245" t="s">
        <v>650</v>
      </c>
      <c r="BG1951" s="245" t="s">
        <v>540</v>
      </c>
      <c r="BH1951" s="245" t="s">
        <v>272</v>
      </c>
      <c r="BI1951" s="250">
        <v>3998.2659999999996</v>
      </c>
      <c r="BJ1951" s="250">
        <v>15362.464999999998</v>
      </c>
      <c r="BK1951" s="37"/>
      <c r="BL1951" s="263">
        <v>18601.305255484916</v>
      </c>
      <c r="BM1951" s="37" t="s">
        <v>541</v>
      </c>
      <c r="BN1951" s="37"/>
      <c r="BO1951" s="37">
        <v>11055.608</v>
      </c>
      <c r="BP1951" s="37"/>
      <c r="BQ1951" s="37"/>
      <c r="BR1951" s="37"/>
      <c r="BS1951" s="37"/>
      <c r="BT1951" s="37"/>
      <c r="BU1951" s="246"/>
      <c r="BV1951" s="37"/>
      <c r="BW1951" s="37"/>
      <c r="BX1951" s="37"/>
      <c r="BY1951" s="37"/>
      <c r="BZ1951" s="37"/>
      <c r="CA1951" s="37"/>
      <c r="CB1951" s="37"/>
      <c r="CC1951" s="37"/>
      <c r="CD1951" s="37"/>
      <c r="CE1951" s="37"/>
      <c r="CF1951" s="37"/>
      <c r="CG1951" s="37"/>
      <c r="CH1951" s="37"/>
      <c r="CI1951" s="243">
        <v>11055.608</v>
      </c>
      <c r="CJ1951" s="243">
        <f t="shared" si="539"/>
        <v>4.0435826314723231</v>
      </c>
      <c r="CK1951" s="38">
        <f t="shared" si="531"/>
        <v>1.2108281617230645</v>
      </c>
      <c r="CL1951" s="247">
        <f t="shared" si="540"/>
        <v>1.682522142200132</v>
      </c>
      <c r="CM1951" s="247"/>
      <c r="CN1951" s="247"/>
      <c r="CO1951" s="36"/>
      <c r="CP1951" s="496" t="s">
        <v>651</v>
      </c>
      <c r="CQ1951" s="241" t="s">
        <v>272</v>
      </c>
      <c r="CR1951" s="241"/>
      <c r="CS1951" s="33"/>
      <c r="CT1951" s="33"/>
      <c r="CU1951" s="250">
        <f t="shared" si="541"/>
        <v>90.451832228494354</v>
      </c>
      <c r="CV1951" s="337">
        <f t="shared" si="532"/>
        <v>65.093720311161007</v>
      </c>
      <c r="CW1951" s="330">
        <f t="shared" si="542"/>
        <v>1</v>
      </c>
      <c r="CX1951" s="330"/>
      <c r="CY1951" s="143" t="s">
        <v>6351</v>
      </c>
    </row>
    <row r="1952" spans="1:103" ht="11.25" customHeight="1" x14ac:dyDescent="0.2">
      <c r="A1952" s="72">
        <v>1762</v>
      </c>
      <c r="B1952" s="241">
        <v>96</v>
      </c>
      <c r="C1952" s="32" t="s">
        <v>6778</v>
      </c>
      <c r="D1952" s="32"/>
      <c r="E1952" s="40"/>
      <c r="F1952" s="40" t="s">
        <v>643</v>
      </c>
      <c r="G1952" s="242">
        <v>115093</v>
      </c>
      <c r="H1952" s="36" t="s">
        <v>644</v>
      </c>
      <c r="I1952" s="36" t="s">
        <v>7907</v>
      </c>
      <c r="J1952" s="36" t="s">
        <v>645</v>
      </c>
      <c r="K1952" s="36" t="s">
        <v>403</v>
      </c>
      <c r="L1952" s="36"/>
      <c r="M1952" s="36" t="s">
        <v>2342</v>
      </c>
      <c r="N1952" s="36" t="s">
        <v>2342</v>
      </c>
      <c r="O1952" s="36"/>
      <c r="P1952" s="41"/>
      <c r="Q1952" s="41"/>
      <c r="R1952" s="41"/>
      <c r="S1952" s="41"/>
      <c r="T1952" s="37">
        <v>251.08</v>
      </c>
      <c r="U1952" s="243"/>
      <c r="V1952" s="243">
        <v>10420</v>
      </c>
      <c r="W1952" s="243"/>
      <c r="X1952" s="243">
        <v>10420</v>
      </c>
      <c r="Y1952" s="414"/>
      <c r="Z1952" s="37">
        <v>0.39</v>
      </c>
      <c r="AA1952" s="37">
        <v>0.41</v>
      </c>
      <c r="AB1952" s="37">
        <v>0</v>
      </c>
      <c r="AC1952" s="37">
        <v>0</v>
      </c>
      <c r="AD1952" s="37">
        <v>0</v>
      </c>
      <c r="AE1952" s="37">
        <v>0</v>
      </c>
      <c r="AF1952" s="37">
        <f t="shared" si="528"/>
        <v>0.41</v>
      </c>
      <c r="AG1952" s="38" t="s">
        <v>404</v>
      </c>
      <c r="AH1952" s="243">
        <v>3.6099999999999999E-4</v>
      </c>
      <c r="AI1952" s="243">
        <v>3.6699999999999999E-7</v>
      </c>
      <c r="AJ1952" s="34">
        <f t="shared" si="529"/>
        <v>-1.8310591244069938</v>
      </c>
      <c r="AK1952" s="34">
        <f>LOG10(AI1952*1000/(0.08206*298.15))</f>
        <v>-4.8239002620605627</v>
      </c>
      <c r="AL1952" s="34">
        <f t="shared" si="530"/>
        <v>-4.8239002620605627</v>
      </c>
      <c r="AM1952" s="34"/>
      <c r="AN1952" s="244"/>
      <c r="AO1952" s="417"/>
      <c r="AP1952" s="417"/>
      <c r="AQ1952" s="244" t="s">
        <v>6311</v>
      </c>
      <c r="AR1952" s="244" t="s">
        <v>6311</v>
      </c>
      <c r="AS1952" s="241" t="s">
        <v>6</v>
      </c>
      <c r="AT1952" s="39" t="s">
        <v>266</v>
      </c>
      <c r="AU1952" s="37">
        <v>0</v>
      </c>
      <c r="AV1952" s="37" t="s">
        <v>646</v>
      </c>
      <c r="AW1952" s="37" t="s">
        <v>646</v>
      </c>
      <c r="AX1952" s="37">
        <v>26</v>
      </c>
      <c r="AY1952" s="37" t="s">
        <v>647</v>
      </c>
      <c r="AZ1952" s="37" t="s">
        <v>536</v>
      </c>
      <c r="BA1952" s="37">
        <v>20</v>
      </c>
      <c r="BB1952" s="36" t="s">
        <v>537</v>
      </c>
      <c r="BC1952" s="36" t="s">
        <v>648</v>
      </c>
      <c r="BD1952" s="36"/>
      <c r="BE1952" s="245" t="s">
        <v>649</v>
      </c>
      <c r="BF1952" s="245" t="s">
        <v>650</v>
      </c>
      <c r="BG1952" s="245" t="s">
        <v>540</v>
      </c>
      <c r="BH1952" s="245" t="s">
        <v>272</v>
      </c>
      <c r="BI1952" s="250">
        <v>3.490012E-2</v>
      </c>
      <c r="BJ1952" s="250">
        <v>0.30004060000000005</v>
      </c>
      <c r="BK1952" s="37"/>
      <c r="BL1952" s="263">
        <v>5759.0801137175322</v>
      </c>
      <c r="BM1952" s="37" t="s">
        <v>541</v>
      </c>
      <c r="BN1952" s="37"/>
      <c r="BO1952" s="37">
        <v>0.150648</v>
      </c>
      <c r="BP1952" s="37"/>
      <c r="BQ1952" s="37"/>
      <c r="BR1952" s="37"/>
      <c r="BS1952" s="37"/>
      <c r="BT1952" s="37"/>
      <c r="BU1952" s="246"/>
      <c r="BV1952" s="37"/>
      <c r="BW1952" s="37"/>
      <c r="BX1952" s="37"/>
      <c r="BY1952" s="37"/>
      <c r="BZ1952" s="37"/>
      <c r="CA1952" s="37"/>
      <c r="CB1952" s="37"/>
      <c r="CC1952" s="37"/>
      <c r="CD1952" s="37"/>
      <c r="CE1952" s="37"/>
      <c r="CF1952" s="37"/>
      <c r="CG1952" s="37"/>
      <c r="CH1952" s="37"/>
      <c r="CI1952" s="243">
        <v>0.150648</v>
      </c>
      <c r="CJ1952" s="243">
        <f t="shared" si="539"/>
        <v>-0.8220366296376832</v>
      </c>
      <c r="CK1952" s="38">
        <f t="shared" si="531"/>
        <v>19194.336078909091</v>
      </c>
      <c r="CL1952" s="247">
        <f t="shared" si="540"/>
        <v>38228.719357160611</v>
      </c>
      <c r="CM1952" s="247"/>
      <c r="CN1952" s="247"/>
      <c r="CO1952" s="36"/>
      <c r="CP1952" s="496" t="s">
        <v>651</v>
      </c>
      <c r="CQ1952" s="241">
        <v>-1.4426945078839135</v>
      </c>
      <c r="CR1952" s="241">
        <f>10^(CJ1952-CQ1952)</f>
        <v>4.1750134435060486</v>
      </c>
      <c r="CS1952" s="33"/>
      <c r="CT1952" s="33"/>
      <c r="CU1952" s="250">
        <f t="shared" si="541"/>
        <v>69167.861504965214</v>
      </c>
      <c r="CV1952" s="337">
        <f t="shared" si="532"/>
        <v>34728.633391614327</v>
      </c>
      <c r="CW1952" s="330">
        <f t="shared" si="542"/>
        <v>1</v>
      </c>
      <c r="CX1952" s="330"/>
      <c r="CY1952" s="143" t="s">
        <v>5921</v>
      </c>
    </row>
    <row r="1953" spans="1:103" ht="11.25" customHeight="1" x14ac:dyDescent="0.2">
      <c r="A1953" s="72">
        <v>1774</v>
      </c>
      <c r="B1953" s="241">
        <v>117</v>
      </c>
      <c r="C1953" s="32" t="s">
        <v>7683</v>
      </c>
      <c r="D1953" s="32" t="s">
        <v>8688</v>
      </c>
      <c r="E1953" s="40"/>
      <c r="F1953" s="40" t="s">
        <v>714</v>
      </c>
      <c r="G1953" s="242">
        <v>141786</v>
      </c>
      <c r="H1953" s="36" t="s">
        <v>715</v>
      </c>
      <c r="I1953" s="36" t="s">
        <v>715</v>
      </c>
      <c r="J1953" s="36" t="s">
        <v>716</v>
      </c>
      <c r="K1953" s="36" t="s">
        <v>357</v>
      </c>
      <c r="L1953" s="36" t="s">
        <v>5527</v>
      </c>
      <c r="M1953" s="36" t="s">
        <v>6616</v>
      </c>
      <c r="N1953" s="36" t="s">
        <v>6082</v>
      </c>
      <c r="O1953" s="36" t="s">
        <v>498</v>
      </c>
      <c r="P1953" s="41" t="s">
        <v>404</v>
      </c>
      <c r="Q1953" s="41" t="s">
        <v>6173</v>
      </c>
      <c r="R1953" s="41" t="s">
        <v>6183</v>
      </c>
      <c r="S1953" s="41" t="s">
        <v>6176</v>
      </c>
      <c r="T1953" s="37">
        <v>88.11</v>
      </c>
      <c r="U1953" s="243">
        <v>80000</v>
      </c>
      <c r="V1953" s="243">
        <v>29930.000000000004</v>
      </c>
      <c r="W1953" s="243">
        <v>40274.040386966641</v>
      </c>
      <c r="X1953" s="243">
        <v>80000</v>
      </c>
      <c r="Y1953" s="414">
        <v>7</v>
      </c>
      <c r="Z1953" s="37">
        <v>0.86</v>
      </c>
      <c r="AA1953" s="37">
        <v>0.73</v>
      </c>
      <c r="AB1953" s="37">
        <v>0.9</v>
      </c>
      <c r="AC1953" s="37">
        <v>0.94299999999999995</v>
      </c>
      <c r="AD1953" s="37">
        <v>0.87</v>
      </c>
      <c r="AE1953" s="37">
        <v>0.71</v>
      </c>
      <c r="AF1953" s="37">
        <f t="shared" si="528"/>
        <v>0.73</v>
      </c>
      <c r="AG1953" s="38">
        <v>0.57999999999999996</v>
      </c>
      <c r="AH1953" s="243">
        <v>2.33E-4</v>
      </c>
      <c r="AI1953" s="243">
        <v>1.34E-4</v>
      </c>
      <c r="AJ1953" s="34">
        <f t="shared" si="529"/>
        <v>-2.0212104052866326</v>
      </c>
      <c r="AK1953" s="34">
        <f>LOG10(AI1953*1000/(0.08206*298.15))</f>
        <v>-2.2614615279478443</v>
      </c>
      <c r="AL1953" s="34">
        <f t="shared" si="530"/>
        <v>-2.2614615279478443</v>
      </c>
      <c r="AM1953" s="34">
        <v>-2.6110699999999998</v>
      </c>
      <c r="AN1953" s="244">
        <v>-2.3199999999999998</v>
      </c>
      <c r="AO1953" s="417"/>
      <c r="AP1953" s="417"/>
      <c r="AQ1953" s="244" t="s">
        <v>6311</v>
      </c>
      <c r="AR1953" s="244" t="s">
        <v>6312</v>
      </c>
      <c r="AS1953" s="241" t="s">
        <v>87</v>
      </c>
      <c r="AT1953" s="39" t="s">
        <v>266</v>
      </c>
      <c r="AU1953" s="37">
        <v>0</v>
      </c>
      <c r="AV1953" s="37" t="s">
        <v>646</v>
      </c>
      <c r="AW1953" s="37" t="s">
        <v>646</v>
      </c>
      <c r="AX1953" s="37">
        <v>26</v>
      </c>
      <c r="AY1953" s="37" t="s">
        <v>647</v>
      </c>
      <c r="AZ1953" s="37" t="s">
        <v>536</v>
      </c>
      <c r="BA1953" s="37">
        <v>20</v>
      </c>
      <c r="BB1953" s="36" t="s">
        <v>537</v>
      </c>
      <c r="BC1953" s="36" t="s">
        <v>648</v>
      </c>
      <c r="BD1953" s="36"/>
      <c r="BE1953" s="245" t="s">
        <v>649</v>
      </c>
      <c r="BF1953" s="245" t="s">
        <v>650</v>
      </c>
      <c r="BG1953" s="245" t="s">
        <v>540</v>
      </c>
      <c r="BH1953" s="245" t="s">
        <v>272</v>
      </c>
      <c r="BI1953" s="250">
        <v>1101.375</v>
      </c>
      <c r="BJ1953" s="250">
        <v>5559.741</v>
      </c>
      <c r="BK1953" s="37"/>
      <c r="BL1953" s="263">
        <v>764.64385242473702</v>
      </c>
      <c r="BM1953" s="37" t="s">
        <v>541</v>
      </c>
      <c r="BN1953" s="37"/>
      <c r="BO1953" s="37">
        <v>1859.1210000000001</v>
      </c>
      <c r="BP1953" s="37"/>
      <c r="BQ1953" s="37"/>
      <c r="BR1953" s="37"/>
      <c r="BS1953" s="37"/>
      <c r="BT1953" s="37"/>
      <c r="BU1953" s="246"/>
      <c r="BV1953" s="37"/>
      <c r="BW1953" s="37"/>
      <c r="BX1953" s="37"/>
      <c r="BY1953" s="37"/>
      <c r="BZ1953" s="37"/>
      <c r="CA1953" s="37"/>
      <c r="CB1953" s="37"/>
      <c r="CC1953" s="37"/>
      <c r="CD1953" s="37"/>
      <c r="CE1953" s="37"/>
      <c r="CF1953" s="37"/>
      <c r="CG1953" s="37"/>
      <c r="CH1953" s="37"/>
      <c r="CI1953" s="243">
        <v>1859.1210000000001</v>
      </c>
      <c r="CJ1953" s="243">
        <f t="shared" si="539"/>
        <v>3.2693076565401555</v>
      </c>
      <c r="CK1953" s="38">
        <f t="shared" si="531"/>
        <v>0.13753227936782253</v>
      </c>
      <c r="CL1953" s="247">
        <f t="shared" si="540"/>
        <v>0.4112932146023508</v>
      </c>
      <c r="CM1953" s="247"/>
      <c r="CN1953" s="247"/>
      <c r="CO1953" s="36"/>
      <c r="CP1953" s="496" t="s">
        <v>651</v>
      </c>
      <c r="CQ1953" s="241">
        <v>2.5101891413167321</v>
      </c>
      <c r="CR1953" s="241">
        <f>10^(CJ1953-CQ1953)</f>
        <v>5.7427315502394167</v>
      </c>
      <c r="CS1953" s="33"/>
      <c r="CT1953" s="33"/>
      <c r="CU1953" s="250">
        <f t="shared" si="541"/>
        <v>43.031088347665374</v>
      </c>
      <c r="CV1953" s="337">
        <f t="shared" si="532"/>
        <v>14.389159495019642</v>
      </c>
      <c r="CW1953" s="330">
        <f t="shared" si="542"/>
        <v>1</v>
      </c>
      <c r="CX1953" s="330"/>
      <c r="CY1953" s="143" t="s">
        <v>6351</v>
      </c>
    </row>
    <row r="1954" spans="1:103" ht="11.25" customHeight="1" x14ac:dyDescent="0.2">
      <c r="A1954" s="72">
        <v>1786</v>
      </c>
      <c r="B1954" s="241">
        <v>99</v>
      </c>
      <c r="C1954" s="32" t="s">
        <v>6782</v>
      </c>
      <c r="D1954" s="32"/>
      <c r="E1954" s="40"/>
      <c r="F1954" s="40" t="s">
        <v>661</v>
      </c>
      <c r="G1954" s="242">
        <v>302794</v>
      </c>
      <c r="H1954" s="36" t="s">
        <v>662</v>
      </c>
      <c r="I1954" s="36" t="s">
        <v>662</v>
      </c>
      <c r="J1954" s="36" t="s">
        <v>663</v>
      </c>
      <c r="K1954" s="36" t="s">
        <v>426</v>
      </c>
      <c r="L1954" s="42" t="s">
        <v>279</v>
      </c>
      <c r="M1954" s="36" t="s">
        <v>664</v>
      </c>
      <c r="N1954" s="36"/>
      <c r="O1954" s="36" t="s">
        <v>281</v>
      </c>
      <c r="P1954" s="41"/>
      <c r="Q1954" s="41"/>
      <c r="R1954" s="41"/>
      <c r="S1954" s="41"/>
      <c r="T1954" s="37">
        <v>300.44</v>
      </c>
      <c r="U1954" s="243"/>
      <c r="V1954" s="243">
        <v>0.1263</v>
      </c>
      <c r="W1954" s="243">
        <v>14.714914849105602</v>
      </c>
      <c r="X1954" s="243">
        <v>14.714914849105602</v>
      </c>
      <c r="Y1954" s="414">
        <v>4.6500000000000004</v>
      </c>
      <c r="Z1954" s="37">
        <v>7.85</v>
      </c>
      <c r="AA1954" s="37">
        <v>6.3</v>
      </c>
      <c r="AB1954" s="37">
        <v>5.52</v>
      </c>
      <c r="AC1954" s="37">
        <v>0.80679999999999996</v>
      </c>
      <c r="AD1954" s="37">
        <v>5.9</v>
      </c>
      <c r="AE1954" s="37">
        <v>6.83</v>
      </c>
      <c r="AF1954" s="37">
        <f t="shared" si="528"/>
        <v>6.3</v>
      </c>
      <c r="AG1954" s="38">
        <v>5.9</v>
      </c>
      <c r="AH1954" s="243">
        <v>9.5000000000000005E-6</v>
      </c>
      <c r="AI1954" s="243"/>
      <c r="AJ1954" s="34">
        <f t="shared" si="529"/>
        <v>-3.4108427210238039</v>
      </c>
      <c r="AK1954" s="34"/>
      <c r="AL1954" s="34">
        <f t="shared" si="530"/>
        <v>-3.4108427210238039</v>
      </c>
      <c r="AM1954" s="34">
        <v>-10.49797</v>
      </c>
      <c r="AN1954" s="244">
        <v>-7.02</v>
      </c>
      <c r="AO1954" s="417">
        <v>4.7300000000000004</v>
      </c>
      <c r="AP1954" s="417"/>
      <c r="AQ1954" s="244" t="s">
        <v>6311</v>
      </c>
      <c r="AR1954" s="244" t="s">
        <v>6311</v>
      </c>
      <c r="AS1954" s="241" t="s">
        <v>6</v>
      </c>
      <c r="AT1954" s="39" t="s">
        <v>266</v>
      </c>
      <c r="AU1954" s="37">
        <v>0</v>
      </c>
      <c r="AV1954" s="37" t="s">
        <v>646</v>
      </c>
      <c r="AW1954" s="37" t="s">
        <v>646</v>
      </c>
      <c r="AX1954" s="37">
        <v>26</v>
      </c>
      <c r="AY1954" s="37" t="s">
        <v>647</v>
      </c>
      <c r="AZ1954" s="37" t="s">
        <v>536</v>
      </c>
      <c r="BA1954" s="37">
        <v>20</v>
      </c>
      <c r="BB1954" s="36" t="s">
        <v>537</v>
      </c>
      <c r="BC1954" s="36" t="s">
        <v>648</v>
      </c>
      <c r="BD1954" s="36"/>
      <c r="BE1954" s="245" t="s">
        <v>649</v>
      </c>
      <c r="BF1954" s="245" t="s">
        <v>650</v>
      </c>
      <c r="BG1954" s="245" t="s">
        <v>540</v>
      </c>
      <c r="BH1954" s="245" t="s">
        <v>272</v>
      </c>
      <c r="BI1954" s="250">
        <v>0.62491519999999989</v>
      </c>
      <c r="BJ1954" s="250">
        <v>10.000145400000001</v>
      </c>
      <c r="BK1954" s="37"/>
      <c r="BL1954" s="263">
        <v>1.3755385092719082E-3</v>
      </c>
      <c r="BM1954" s="37" t="s">
        <v>541</v>
      </c>
      <c r="BN1954" s="37"/>
      <c r="BO1954" s="37">
        <v>1.0815839999999999</v>
      </c>
      <c r="BP1954" s="37"/>
      <c r="BQ1954" s="37"/>
      <c r="BR1954" s="37"/>
      <c r="BS1954" s="37"/>
      <c r="BT1954" s="37"/>
      <c r="BU1954" s="246"/>
      <c r="BV1954" s="37"/>
      <c r="BW1954" s="37"/>
      <c r="BX1954" s="37"/>
      <c r="BY1954" s="37"/>
      <c r="BZ1954" s="37"/>
      <c r="CA1954" s="37"/>
      <c r="CB1954" s="37"/>
      <c r="CC1954" s="37"/>
      <c r="CD1954" s="37"/>
      <c r="CE1954" s="37"/>
      <c r="CF1954" s="37"/>
      <c r="CG1954" s="37"/>
      <c r="CH1954" s="37"/>
      <c r="CI1954" s="243">
        <v>1.0815839999999999</v>
      </c>
      <c r="CJ1954" s="243">
        <f t="shared" si="539"/>
        <v>3.406025407545752E-2</v>
      </c>
      <c r="CK1954" s="38">
        <f t="shared" si="531"/>
        <v>1.3755185092327837E-4</v>
      </c>
      <c r="CL1954" s="247">
        <f t="shared" si="540"/>
        <v>1.2717814883281449E-3</v>
      </c>
      <c r="CM1954" s="247"/>
      <c r="CN1954" s="247"/>
      <c r="CO1954" s="36"/>
      <c r="CP1954" s="496" t="s">
        <v>651</v>
      </c>
      <c r="CQ1954" s="241" t="s">
        <v>272</v>
      </c>
      <c r="CR1954" s="241"/>
      <c r="CS1954" s="33"/>
      <c r="CT1954" s="33"/>
      <c r="CU1954" s="250">
        <f t="shared" si="541"/>
        <v>13.604967204679067</v>
      </c>
      <c r="CV1954" s="337">
        <f t="shared" si="532"/>
        <v>1.4714700897354553</v>
      </c>
      <c r="CW1954" s="330">
        <f t="shared" si="542"/>
        <v>1</v>
      </c>
      <c r="CX1954" s="330"/>
      <c r="CY1954" s="143" t="s">
        <v>5921</v>
      </c>
    </row>
    <row r="1955" spans="1:103" ht="11.25" customHeight="1" x14ac:dyDescent="0.2">
      <c r="A1955" s="72">
        <v>1802</v>
      </c>
      <c r="B1955" s="241">
        <v>132</v>
      </c>
      <c r="C1955" s="32" t="s">
        <v>7697</v>
      </c>
      <c r="D1955" s="32"/>
      <c r="E1955" s="40"/>
      <c r="F1955" s="40" t="s">
        <v>763</v>
      </c>
      <c r="G1955" s="242">
        <v>492626</v>
      </c>
      <c r="H1955" s="36" t="s">
        <v>764</v>
      </c>
      <c r="I1955" s="36" t="s">
        <v>764</v>
      </c>
      <c r="J1955" s="36" t="s">
        <v>765</v>
      </c>
      <c r="K1955" s="36" t="s">
        <v>426</v>
      </c>
      <c r="L1955" s="36"/>
      <c r="M1955" s="36"/>
      <c r="N1955" s="36"/>
      <c r="O1955" s="36"/>
      <c r="P1955" s="41"/>
      <c r="Q1955" s="41"/>
      <c r="R1955" s="41"/>
      <c r="S1955" s="41"/>
      <c r="T1955" s="37">
        <v>180.16</v>
      </c>
      <c r="U1955" s="243">
        <v>500000</v>
      </c>
      <c r="V1955" s="243">
        <v>1000000</v>
      </c>
      <c r="W1955" s="243">
        <v>596565.82846303622</v>
      </c>
      <c r="X1955" s="243">
        <v>500000</v>
      </c>
      <c r="Y1955" s="414">
        <v>5.77</v>
      </c>
      <c r="Z1955" s="37">
        <v>-2.89</v>
      </c>
      <c r="AA1955" s="37">
        <v>-3.24</v>
      </c>
      <c r="AB1955" s="37">
        <v>-3.07</v>
      </c>
      <c r="AC1955" s="37">
        <v>0.88200000000000001</v>
      </c>
      <c r="AD1955" s="37">
        <v>-2.79</v>
      </c>
      <c r="AE1955" s="37">
        <v>-1.88</v>
      </c>
      <c r="AF1955" s="37">
        <f t="shared" si="528"/>
        <v>-3.24</v>
      </c>
      <c r="AG1955" s="38">
        <v>-2.75</v>
      </c>
      <c r="AH1955" s="243">
        <v>9.7200000000000002E-15</v>
      </c>
      <c r="AI1955" s="243"/>
      <c r="AJ1955" s="34">
        <f t="shared" si="529"/>
        <v>-12.400900061386377</v>
      </c>
      <c r="AK1955" s="34"/>
      <c r="AL1955" s="34">
        <f t="shared" si="530"/>
        <v>-12.400900061386377</v>
      </c>
      <c r="AM1955" s="34">
        <v>-19.83588</v>
      </c>
      <c r="AN1955" s="244">
        <v>-13.7</v>
      </c>
      <c r="AO1955" s="417">
        <v>12.12</v>
      </c>
      <c r="AP1955" s="417"/>
      <c r="AQ1955" s="244" t="s">
        <v>6311</v>
      </c>
      <c r="AR1955" s="244" t="s">
        <v>6311</v>
      </c>
      <c r="AS1955" s="241" t="s">
        <v>87</v>
      </c>
      <c r="AT1955" s="39" t="s">
        <v>266</v>
      </c>
      <c r="AU1955" s="37">
        <v>0</v>
      </c>
      <c r="AV1955" s="37" t="s">
        <v>646</v>
      </c>
      <c r="AW1955" s="37" t="s">
        <v>646</v>
      </c>
      <c r="AX1955" s="37">
        <v>26</v>
      </c>
      <c r="AY1955" s="37" t="s">
        <v>647</v>
      </c>
      <c r="AZ1955" s="37" t="s">
        <v>536</v>
      </c>
      <c r="BA1955" s="37">
        <v>20</v>
      </c>
      <c r="BB1955" s="36" t="s">
        <v>537</v>
      </c>
      <c r="BC1955" s="36" t="s">
        <v>648</v>
      </c>
      <c r="BD1955" s="36"/>
      <c r="BE1955" s="245" t="s">
        <v>649</v>
      </c>
      <c r="BF1955" s="245" t="s">
        <v>650</v>
      </c>
      <c r="BG1955" s="245" t="s">
        <v>540</v>
      </c>
      <c r="BH1955" s="245" t="s">
        <v>272</v>
      </c>
      <c r="BI1955" s="250">
        <v>39995.519999999997</v>
      </c>
      <c r="BJ1955" s="250">
        <v>114239.45600000001</v>
      </c>
      <c r="BK1955" s="37"/>
      <c r="BL1955" s="263">
        <v>3647265.4543183041</v>
      </c>
      <c r="BM1955" s="37" t="s">
        <v>541</v>
      </c>
      <c r="BN1955" s="37"/>
      <c r="BO1955" s="37">
        <v>77072.448000000004</v>
      </c>
      <c r="BP1955" s="37"/>
      <c r="BQ1955" s="37"/>
      <c r="BR1955" s="37"/>
      <c r="BS1955" s="37"/>
      <c r="BT1955" s="37"/>
      <c r="BU1955" s="246"/>
      <c r="BV1955" s="37"/>
      <c r="BW1955" s="37"/>
      <c r="BX1955" s="37"/>
      <c r="BY1955" s="37"/>
      <c r="BZ1955" s="37"/>
      <c r="CA1955" s="37"/>
      <c r="CB1955" s="37"/>
      <c r="CC1955" s="37"/>
      <c r="CD1955" s="37"/>
      <c r="CE1955" s="37"/>
      <c r="CF1955" s="37"/>
      <c r="CG1955" s="37"/>
      <c r="CH1955" s="37"/>
      <c r="CI1955" s="243">
        <v>77072.448000000004</v>
      </c>
      <c r="CJ1955" s="243">
        <f t="shared" si="539"/>
        <v>4.8868991534067616</v>
      </c>
      <c r="CK1955" s="38">
        <f t="shared" si="531"/>
        <v>31.926495293520166</v>
      </c>
      <c r="CL1955" s="247">
        <f t="shared" si="540"/>
        <v>47.322558825668857</v>
      </c>
      <c r="CM1955" s="247"/>
      <c r="CN1955" s="247"/>
      <c r="CO1955" s="36"/>
      <c r="CP1955" s="496" t="s">
        <v>651</v>
      </c>
      <c r="CQ1955" s="241" t="s">
        <v>272</v>
      </c>
      <c r="CR1955" s="241"/>
      <c r="CS1955" s="33"/>
      <c r="CT1955" s="33"/>
      <c r="CU1955" s="250">
        <f t="shared" si="541"/>
        <v>6.4874026059221572</v>
      </c>
      <c r="CV1955" s="337">
        <f t="shared" si="532"/>
        <v>4.3767715420493598</v>
      </c>
      <c r="CW1955" s="330">
        <f t="shared" si="542"/>
        <v>1</v>
      </c>
      <c r="CX1955" s="330"/>
      <c r="CY1955" s="143" t="s">
        <v>5921</v>
      </c>
    </row>
    <row r="1956" spans="1:103" ht="11.25" customHeight="1" x14ac:dyDescent="0.2">
      <c r="A1956" s="72">
        <v>1822</v>
      </c>
      <c r="B1956" s="241">
        <v>108</v>
      </c>
      <c r="C1956" s="32" t="s">
        <v>7712</v>
      </c>
      <c r="D1956" s="32"/>
      <c r="E1956" s="40"/>
      <c r="F1956" s="40" t="s">
        <v>683</v>
      </c>
      <c r="G1956" s="242">
        <v>625456</v>
      </c>
      <c r="H1956" s="36" t="s">
        <v>684</v>
      </c>
      <c r="I1956" s="36" t="s">
        <v>684</v>
      </c>
      <c r="J1956" s="36" t="s">
        <v>685</v>
      </c>
      <c r="K1956" s="36" t="s">
        <v>426</v>
      </c>
      <c r="L1956" s="36"/>
      <c r="M1956" s="36"/>
      <c r="N1956" s="36"/>
      <c r="O1956" s="36"/>
      <c r="P1956" s="41"/>
      <c r="Q1956" s="41"/>
      <c r="R1956" s="41"/>
      <c r="S1956" s="41"/>
      <c r="T1956" s="37">
        <v>90.08</v>
      </c>
      <c r="U1956" s="243">
        <v>1000000</v>
      </c>
      <c r="V1956" s="243">
        <v>1000000</v>
      </c>
      <c r="W1956" s="243">
        <v>637717.56257323141</v>
      </c>
      <c r="X1956" s="243">
        <v>1000000</v>
      </c>
      <c r="Y1956" s="414">
        <v>1.35</v>
      </c>
      <c r="Z1956" s="37">
        <v>-0.68</v>
      </c>
      <c r="AA1956" s="37"/>
      <c r="AB1956" s="37">
        <v>-0.56999999999999995</v>
      </c>
      <c r="AC1956" s="37">
        <v>0.80059999999999998</v>
      </c>
      <c r="AD1956" s="37">
        <v>-0.69</v>
      </c>
      <c r="AE1956" s="37">
        <v>-0.96</v>
      </c>
      <c r="AF1956" s="37">
        <f t="shared" si="528"/>
        <v>-0.69</v>
      </c>
      <c r="AG1956" s="38">
        <v>-0.31</v>
      </c>
      <c r="AH1956" s="243">
        <v>4.5400000000000003E-8</v>
      </c>
      <c r="AI1956" s="243">
        <v>6.4199999999999998E-9</v>
      </c>
      <c r="AJ1956" s="34">
        <f t="shared" si="529"/>
        <v>-5.7315104734555478</v>
      </c>
      <c r="AK1956" s="34">
        <f>LOG10(AI1956*1000/(0.08206*298.15))</f>
        <v>-6.5810312982437988</v>
      </c>
      <c r="AL1956" s="34">
        <f t="shared" si="530"/>
        <v>-6.5810312982437988</v>
      </c>
      <c r="AM1956" s="34">
        <v>-6.5623499999999995</v>
      </c>
      <c r="AN1956" s="244">
        <v>-7.78</v>
      </c>
      <c r="AO1956" s="417">
        <v>3.55</v>
      </c>
      <c r="AP1956" s="417"/>
      <c r="AQ1956" s="244" t="s">
        <v>6311</v>
      </c>
      <c r="AR1956" s="244" t="s">
        <v>6311</v>
      </c>
      <c r="AS1956" s="241" t="s">
        <v>6</v>
      </c>
      <c r="AT1956" s="39" t="s">
        <v>266</v>
      </c>
      <c r="AU1956" s="37">
        <v>0</v>
      </c>
      <c r="AV1956" s="37" t="s">
        <v>646</v>
      </c>
      <c r="AW1956" s="37" t="s">
        <v>646</v>
      </c>
      <c r="AX1956" s="37">
        <v>26</v>
      </c>
      <c r="AY1956" s="37" t="s">
        <v>647</v>
      </c>
      <c r="AZ1956" s="37" t="s">
        <v>536</v>
      </c>
      <c r="BA1956" s="37">
        <v>20</v>
      </c>
      <c r="BB1956" s="36" t="s">
        <v>537</v>
      </c>
      <c r="BC1956" s="36" t="s">
        <v>648</v>
      </c>
      <c r="BD1956" s="36"/>
      <c r="BE1956" s="245" t="s">
        <v>649</v>
      </c>
      <c r="BF1956" s="245" t="s">
        <v>650</v>
      </c>
      <c r="BG1956" s="245" t="s">
        <v>540</v>
      </c>
      <c r="BH1956" s="245" t="s">
        <v>272</v>
      </c>
      <c r="BI1956" s="250">
        <v>9.9988799999999998</v>
      </c>
      <c r="BJ1956" s="250">
        <v>83.504159999999999</v>
      </c>
      <c r="BK1956" s="37"/>
      <c r="BL1956" s="263">
        <v>18885.843107752273</v>
      </c>
      <c r="BM1956" s="37" t="s">
        <v>541</v>
      </c>
      <c r="BN1956" s="37"/>
      <c r="BO1956" s="37">
        <v>53.687679999999993</v>
      </c>
      <c r="BP1956" s="37"/>
      <c r="BQ1956" s="37"/>
      <c r="BR1956" s="37"/>
      <c r="BS1956" s="37"/>
      <c r="BT1956" s="37"/>
      <c r="BU1956" s="246"/>
      <c r="BV1956" s="37"/>
      <c r="BW1956" s="37"/>
      <c r="BX1956" s="37"/>
      <c r="BY1956" s="37"/>
      <c r="BZ1956" s="37"/>
      <c r="CA1956" s="37"/>
      <c r="CB1956" s="37"/>
      <c r="CC1956" s="37"/>
      <c r="CD1956" s="37"/>
      <c r="CE1956" s="37"/>
      <c r="CF1956" s="37"/>
      <c r="CG1956" s="37"/>
      <c r="CH1956" s="37"/>
      <c r="CI1956" s="243">
        <v>53.687679999999993</v>
      </c>
      <c r="CJ1956" s="243">
        <f t="shared" si="539"/>
        <v>1.7298746372475073</v>
      </c>
      <c r="CK1956" s="38">
        <f t="shared" si="531"/>
        <v>226.16649407349612</v>
      </c>
      <c r="CL1956" s="247">
        <f t="shared" si="540"/>
        <v>351.77238256062236</v>
      </c>
      <c r="CM1956" s="247"/>
      <c r="CN1956" s="247"/>
      <c r="CO1956" s="36"/>
      <c r="CP1956" s="496" t="s">
        <v>651</v>
      </c>
      <c r="CQ1956" s="241">
        <v>2.1662198727227846</v>
      </c>
      <c r="CR1956" s="241">
        <f>10^(CJ1956-CQ1956)</f>
        <v>0.36614639668824017</v>
      </c>
      <c r="CS1956" s="33"/>
      <c r="CT1956" s="33"/>
      <c r="CU1956" s="250">
        <f t="shared" si="541"/>
        <v>18626.247213513419</v>
      </c>
      <c r="CV1956" s="337">
        <f t="shared" si="532"/>
        <v>11975.451282906146</v>
      </c>
      <c r="CW1956" s="330">
        <f t="shared" si="542"/>
        <v>1</v>
      </c>
      <c r="CX1956" s="330"/>
      <c r="CY1956" s="143" t="s">
        <v>6351</v>
      </c>
    </row>
    <row r="1957" spans="1:103" ht="11.25" customHeight="1" x14ac:dyDescent="0.2">
      <c r="A1957" s="72">
        <v>1868</v>
      </c>
      <c r="B1957" s="241">
        <v>110</v>
      </c>
      <c r="C1957" s="32" t="s">
        <v>691</v>
      </c>
      <c r="D1957" s="32"/>
      <c r="E1957" s="40"/>
      <c r="F1957" s="40" t="s">
        <v>692</v>
      </c>
      <c r="G1957" s="242">
        <v>7324176</v>
      </c>
      <c r="H1957" s="36"/>
      <c r="I1957" s="36" t="s">
        <v>7877</v>
      </c>
      <c r="J1957" s="36" t="s">
        <v>693</v>
      </c>
      <c r="K1957" s="36"/>
      <c r="L1957" s="36"/>
      <c r="M1957" s="36"/>
      <c r="N1957" s="36"/>
      <c r="O1957" s="36"/>
      <c r="P1957" s="41"/>
      <c r="Q1957" s="41"/>
      <c r="R1957" s="41"/>
      <c r="S1957" s="41"/>
      <c r="T1957" s="37">
        <v>178.21</v>
      </c>
      <c r="U1957" s="243"/>
      <c r="V1957" s="243"/>
      <c r="W1957" s="243">
        <v>6470.4140140579766</v>
      </c>
      <c r="X1957" s="243">
        <v>6470.4140140579766</v>
      </c>
      <c r="Y1957" s="414">
        <v>4.82</v>
      </c>
      <c r="Z1957" s="37"/>
      <c r="AA1957" s="37"/>
      <c r="AB1957" s="37"/>
      <c r="AC1957" s="37"/>
      <c r="AD1957" s="37"/>
      <c r="AE1957" s="37"/>
      <c r="AF1957" s="37"/>
      <c r="AG1957" s="38">
        <v>4.92</v>
      </c>
      <c r="AH1957" s="243"/>
      <c r="AI1957" s="243"/>
      <c r="AJ1957" s="34"/>
      <c r="AK1957" s="34"/>
      <c r="AL1957" s="34"/>
      <c r="AM1957" s="34"/>
      <c r="AN1957" s="244">
        <v>-30.5</v>
      </c>
      <c r="AO1957" s="417">
        <v>1.95</v>
      </c>
      <c r="AP1957" s="417">
        <v>8.02</v>
      </c>
      <c r="AQ1957" s="244" t="s">
        <v>6317</v>
      </c>
      <c r="AR1957" s="244" t="s">
        <v>6317</v>
      </c>
      <c r="AS1957" s="241" t="s">
        <v>63</v>
      </c>
      <c r="AT1957" s="39" t="s">
        <v>266</v>
      </c>
      <c r="AU1957" s="37">
        <v>0</v>
      </c>
      <c r="AV1957" s="37" t="s">
        <v>646</v>
      </c>
      <c r="AW1957" s="37" t="s">
        <v>646</v>
      </c>
      <c r="AX1957" s="37">
        <v>26</v>
      </c>
      <c r="AY1957" s="37" t="s">
        <v>647</v>
      </c>
      <c r="AZ1957" s="37" t="s">
        <v>536</v>
      </c>
      <c r="BA1957" s="37">
        <v>20</v>
      </c>
      <c r="BB1957" s="36" t="s">
        <v>537</v>
      </c>
      <c r="BC1957" s="36" t="s">
        <v>648</v>
      </c>
      <c r="BD1957" s="36"/>
      <c r="BE1957" s="245" t="s">
        <v>649</v>
      </c>
      <c r="BF1957" s="245" t="s">
        <v>650</v>
      </c>
      <c r="BG1957" s="245" t="s">
        <v>540</v>
      </c>
      <c r="BH1957" s="245" t="s">
        <v>272</v>
      </c>
      <c r="BI1957" s="250">
        <v>153.08239</v>
      </c>
      <c r="BJ1957" s="250">
        <v>776.99560000000008</v>
      </c>
      <c r="BK1957" s="37"/>
      <c r="BL1957" s="263"/>
      <c r="BM1957" s="37" t="s">
        <v>541</v>
      </c>
      <c r="BN1957" s="37"/>
      <c r="BO1957" s="37">
        <v>313.47138999999999</v>
      </c>
      <c r="BP1957" s="37"/>
      <c r="BQ1957" s="37"/>
      <c r="BR1957" s="37"/>
      <c r="BS1957" s="37"/>
      <c r="BT1957" s="37"/>
      <c r="BU1957" s="246"/>
      <c r="BV1957" s="37"/>
      <c r="BW1957" s="37"/>
      <c r="BX1957" s="37"/>
      <c r="BY1957" s="37"/>
      <c r="BZ1957" s="37"/>
      <c r="CA1957" s="37"/>
      <c r="CB1957" s="37"/>
      <c r="CC1957" s="37"/>
      <c r="CD1957" s="37"/>
      <c r="CE1957" s="37"/>
      <c r="CF1957" s="37"/>
      <c r="CG1957" s="37"/>
      <c r="CH1957" s="37"/>
      <c r="CI1957" s="243">
        <v>313.47138999999999</v>
      </c>
      <c r="CJ1957" s="243">
        <f t="shared" si="539"/>
        <v>2.4961979096575746</v>
      </c>
      <c r="CK1957" s="38">
        <f t="shared" si="531"/>
        <v>0</v>
      </c>
      <c r="CL1957" s="247">
        <f t="shared" si="540"/>
        <v>0</v>
      </c>
      <c r="CM1957" s="247"/>
      <c r="CN1957" s="247"/>
      <c r="CO1957" s="36"/>
      <c r="CP1957" s="496" t="s">
        <v>651</v>
      </c>
      <c r="CQ1957" s="241" t="s">
        <v>272</v>
      </c>
      <c r="CR1957" s="241"/>
      <c r="CS1957" s="33"/>
      <c r="CT1957" s="33"/>
      <c r="CU1957" s="250">
        <f t="shared" si="541"/>
        <v>20.641162863564606</v>
      </c>
      <c r="CV1957" s="337">
        <f t="shared" si="532"/>
        <v>8.3274783204151674</v>
      </c>
      <c r="CW1957" s="330">
        <f t="shared" si="542"/>
        <v>1</v>
      </c>
      <c r="CX1957" s="330"/>
      <c r="CY1957" s="143" t="s">
        <v>5921</v>
      </c>
    </row>
    <row r="1958" spans="1:103" ht="11.25" customHeight="1" x14ac:dyDescent="0.2">
      <c r="A1958" s="72">
        <v>1885</v>
      </c>
      <c r="B1958" s="241">
        <v>102</v>
      </c>
      <c r="C1958" s="32" t="s">
        <v>673</v>
      </c>
      <c r="D1958" s="32"/>
      <c r="E1958" s="40"/>
      <c r="F1958" s="40" t="s">
        <v>674</v>
      </c>
      <c r="G1958" s="242">
        <v>17640210</v>
      </c>
      <c r="H1958" s="36"/>
      <c r="I1958" s="36" t="s">
        <v>7877</v>
      </c>
      <c r="J1958" s="36" t="s">
        <v>675</v>
      </c>
      <c r="K1958" s="36"/>
      <c r="L1958" s="36"/>
      <c r="M1958" s="36"/>
      <c r="N1958" s="36"/>
      <c r="O1958" s="36"/>
      <c r="P1958" s="41"/>
      <c r="Q1958" s="41"/>
      <c r="R1958" s="41"/>
      <c r="S1958" s="41"/>
      <c r="T1958" s="37">
        <v>132.16</v>
      </c>
      <c r="U1958" s="243"/>
      <c r="V1958" s="243"/>
      <c r="W1958" s="243">
        <v>39003.181139622939</v>
      </c>
      <c r="X1958" s="243">
        <v>39003.181139622939</v>
      </c>
      <c r="Y1958" s="414">
        <v>7</v>
      </c>
      <c r="Z1958" s="37"/>
      <c r="AA1958" s="37"/>
      <c r="AB1958" s="37"/>
      <c r="AC1958" s="37"/>
      <c r="AD1958" s="37"/>
      <c r="AE1958" s="37"/>
      <c r="AF1958" s="37"/>
      <c r="AG1958" s="38">
        <v>0.76</v>
      </c>
      <c r="AH1958" s="243"/>
      <c r="AI1958" s="243"/>
      <c r="AJ1958" s="34"/>
      <c r="AK1958" s="34"/>
      <c r="AL1958" s="34"/>
      <c r="AM1958" s="34"/>
      <c r="AN1958" s="244">
        <v>-3.19</v>
      </c>
      <c r="AO1958" s="417"/>
      <c r="AP1958" s="417"/>
      <c r="AQ1958" s="244" t="s">
        <v>6311</v>
      </c>
      <c r="AR1958" s="244" t="s">
        <v>6314</v>
      </c>
      <c r="AS1958" s="241" t="s">
        <v>63</v>
      </c>
      <c r="AT1958" s="39" t="s">
        <v>266</v>
      </c>
      <c r="AU1958" s="37">
        <v>0</v>
      </c>
      <c r="AV1958" s="37" t="s">
        <v>646</v>
      </c>
      <c r="AW1958" s="37" t="s">
        <v>646</v>
      </c>
      <c r="AX1958" s="37">
        <v>26</v>
      </c>
      <c r="AY1958" s="37" t="s">
        <v>647</v>
      </c>
      <c r="AZ1958" s="37" t="s">
        <v>536</v>
      </c>
      <c r="BA1958" s="37">
        <v>20</v>
      </c>
      <c r="BB1958" s="36" t="s">
        <v>537</v>
      </c>
      <c r="BC1958" s="36" t="s">
        <v>648</v>
      </c>
      <c r="BD1958" s="36"/>
      <c r="BE1958" s="245" t="s">
        <v>649</v>
      </c>
      <c r="BF1958" s="245" t="s">
        <v>650</v>
      </c>
      <c r="BG1958" s="245" t="s">
        <v>540</v>
      </c>
      <c r="BH1958" s="245" t="s">
        <v>272</v>
      </c>
      <c r="BI1958" s="250">
        <v>4.6256000000000004</v>
      </c>
      <c r="BJ1958" s="250">
        <v>17.8416</v>
      </c>
      <c r="BK1958" s="37"/>
      <c r="BL1958" s="263"/>
      <c r="BM1958" s="37" t="s">
        <v>541</v>
      </c>
      <c r="BN1958" s="37"/>
      <c r="BO1958" s="37">
        <v>10.04416</v>
      </c>
      <c r="BP1958" s="37"/>
      <c r="BQ1958" s="37"/>
      <c r="BR1958" s="37"/>
      <c r="BS1958" s="37"/>
      <c r="BT1958" s="37"/>
      <c r="BU1958" s="246"/>
      <c r="BV1958" s="37"/>
      <c r="BW1958" s="37"/>
      <c r="BX1958" s="37"/>
      <c r="BY1958" s="37"/>
      <c r="BZ1958" s="37"/>
      <c r="CA1958" s="37"/>
      <c r="CB1958" s="37"/>
      <c r="CC1958" s="37"/>
      <c r="CD1958" s="37"/>
      <c r="CE1958" s="37"/>
      <c r="CF1958" s="37"/>
      <c r="CG1958" s="37"/>
      <c r="CH1958" s="37"/>
      <c r="CI1958" s="243">
        <v>10.04416</v>
      </c>
      <c r="CJ1958" s="243">
        <f t="shared" si="539"/>
        <v>1.0019136222570983</v>
      </c>
      <c r="CK1958" s="38">
        <f t="shared" si="531"/>
        <v>0</v>
      </c>
      <c r="CL1958" s="247">
        <f t="shared" si="540"/>
        <v>0</v>
      </c>
      <c r="CM1958" s="247"/>
      <c r="CN1958" s="247"/>
      <c r="CO1958" s="36"/>
      <c r="CP1958" s="496" t="s">
        <v>651</v>
      </c>
      <c r="CQ1958" s="241" t="s">
        <v>272</v>
      </c>
      <c r="CR1958" s="241"/>
      <c r="CS1958" s="33"/>
      <c r="CT1958" s="33"/>
      <c r="CU1958" s="250">
        <f t="shared" si="541"/>
        <v>3883.1700350873484</v>
      </c>
      <c r="CV1958" s="337">
        <f t="shared" si="532"/>
        <v>2186.0809086417662</v>
      </c>
      <c r="CW1958" s="330">
        <f t="shared" si="542"/>
        <v>1</v>
      </c>
      <c r="CX1958" s="330"/>
      <c r="CY1958" s="143" t="s">
        <v>5921</v>
      </c>
    </row>
    <row r="1959" spans="1:103" ht="11.25" customHeight="1" x14ac:dyDescent="0.2">
      <c r="A1959" s="72">
        <v>1893</v>
      </c>
      <c r="B1959" s="241">
        <v>1323</v>
      </c>
      <c r="C1959" s="32" t="s">
        <v>4128</v>
      </c>
      <c r="D1959" s="32"/>
      <c r="E1959" s="40"/>
      <c r="F1959" s="40" t="s">
        <v>4129</v>
      </c>
      <c r="G1959" s="242">
        <v>26581817</v>
      </c>
      <c r="H1959" s="36" t="s">
        <v>4130</v>
      </c>
      <c r="I1959" s="36" t="s">
        <v>4130</v>
      </c>
      <c r="J1959" s="36" t="s">
        <v>4131</v>
      </c>
      <c r="K1959" s="36" t="s">
        <v>1314</v>
      </c>
      <c r="L1959" s="36"/>
      <c r="M1959" s="36"/>
      <c r="N1959" s="36"/>
      <c r="O1959" s="36"/>
      <c r="P1959" s="41"/>
      <c r="Q1959" s="41"/>
      <c r="R1959" s="41"/>
      <c r="S1959" s="41"/>
      <c r="T1959" s="37">
        <v>256.20999999999998</v>
      </c>
      <c r="U1959" s="243"/>
      <c r="V1959" s="243">
        <v>2608</v>
      </c>
      <c r="W1959" s="243">
        <v>573.58274291259397</v>
      </c>
      <c r="X1959" s="243">
        <v>573.58274291259397</v>
      </c>
      <c r="Y1959" s="414">
        <v>5.6</v>
      </c>
      <c r="Z1959" s="37">
        <v>-0.45</v>
      </c>
      <c r="AA1959" s="37"/>
      <c r="AB1959" s="37">
        <v>0.35</v>
      </c>
      <c r="AC1959" s="37">
        <v>0.69840000000000002</v>
      </c>
      <c r="AD1959" s="37">
        <v>0.35</v>
      </c>
      <c r="AE1959" s="37">
        <v>0.35</v>
      </c>
      <c r="AF1959" s="37">
        <f>IF(AA1959=0,AD1959,AA1959)</f>
        <v>0.35</v>
      </c>
      <c r="AG1959" s="38">
        <v>3.39</v>
      </c>
      <c r="AH1959" s="243">
        <v>6.0499999999999997E-17</v>
      </c>
      <c r="AI1959" s="243"/>
      <c r="AJ1959" s="34">
        <f>LOG10(AH1959*1000/(0.08206*298.15))</f>
        <v>-14.606810951660183</v>
      </c>
      <c r="AK1959" s="34"/>
      <c r="AL1959" s="34">
        <f>IF(AK1959=0,AJ1959,AK1959)</f>
        <v>-14.606810951660183</v>
      </c>
      <c r="AM1959" s="34">
        <v>-19.932430000000004</v>
      </c>
      <c r="AN1959" s="244">
        <v>-12.8</v>
      </c>
      <c r="AO1959" s="417">
        <v>8.56</v>
      </c>
      <c r="AP1959" s="417">
        <v>-2.7</v>
      </c>
      <c r="AQ1959" s="37" t="s">
        <v>6311</v>
      </c>
      <c r="AR1959" s="37" t="s">
        <v>6311</v>
      </c>
      <c r="AS1959" s="245" t="s">
        <v>63</v>
      </c>
      <c r="AT1959" s="39" t="s">
        <v>266</v>
      </c>
      <c r="AU1959" s="37">
        <v>0</v>
      </c>
      <c r="AV1959" s="37">
        <v>48</v>
      </c>
      <c r="AW1959" s="37">
        <v>48</v>
      </c>
      <c r="AX1959" s="37">
        <v>26</v>
      </c>
      <c r="AY1959" s="37" t="s">
        <v>647</v>
      </c>
      <c r="AZ1959" s="37" t="s">
        <v>536</v>
      </c>
      <c r="BA1959" s="37">
        <v>20</v>
      </c>
      <c r="BB1959" s="36" t="s">
        <v>537</v>
      </c>
      <c r="BC1959" s="36" t="s">
        <v>648</v>
      </c>
      <c r="BD1959" s="36"/>
      <c r="BE1959" s="245" t="s">
        <v>649</v>
      </c>
      <c r="BF1959" s="245" t="s">
        <v>650</v>
      </c>
      <c r="BG1959" s="245" t="s">
        <v>540</v>
      </c>
      <c r="BH1959" s="245" t="s">
        <v>272</v>
      </c>
      <c r="BI1959" s="250">
        <v>6.6358389999999989</v>
      </c>
      <c r="BJ1959" s="250">
        <v>106.19904499999998</v>
      </c>
      <c r="BK1959" s="37"/>
      <c r="BL1959" s="263">
        <v>33384.207914131439</v>
      </c>
      <c r="BM1959" s="37" t="s">
        <v>541</v>
      </c>
      <c r="BN1959" s="37"/>
      <c r="BO1959" s="37"/>
      <c r="BP1959" s="37"/>
      <c r="BQ1959" s="37"/>
      <c r="BR1959" s="37"/>
      <c r="BS1959" s="37"/>
      <c r="BT1959" s="37"/>
      <c r="BU1959" s="246"/>
      <c r="BV1959" s="37"/>
      <c r="BW1959" s="37"/>
      <c r="BX1959" s="37"/>
      <c r="BY1959" s="37"/>
      <c r="BZ1959" s="37"/>
      <c r="CA1959" s="37"/>
      <c r="CB1959" s="37"/>
      <c r="CC1959" s="37"/>
      <c r="CD1959" s="37"/>
      <c r="CE1959" s="37"/>
      <c r="CF1959" s="37"/>
      <c r="CG1959" s="37"/>
      <c r="CH1959" s="37"/>
      <c r="CI1959" s="243"/>
      <c r="CJ1959" s="243"/>
      <c r="CK1959" s="38">
        <f t="shared" si="531"/>
        <v>314.35506707363936</v>
      </c>
      <c r="CL1959" s="247"/>
      <c r="CM1959" s="247"/>
      <c r="CN1959" s="247"/>
      <c r="CO1959" s="36" t="s">
        <v>4132</v>
      </c>
      <c r="CP1959" s="496" t="s">
        <v>651</v>
      </c>
      <c r="CQ1959" s="241" t="s">
        <v>272</v>
      </c>
      <c r="CR1959" s="241"/>
      <c r="CS1959" s="33"/>
      <c r="CT1959" s="33"/>
      <c r="CU1959" s="250"/>
      <c r="CV1959" s="337">
        <f t="shared" si="532"/>
        <v>5.4010160158464142</v>
      </c>
      <c r="CW1959" s="330">
        <f>IF(CV1959&lt;1,0,1)</f>
        <v>1</v>
      </c>
      <c r="CX1959" s="330"/>
      <c r="CY1959" s="143" t="s">
        <v>5921</v>
      </c>
    </row>
    <row r="1960" spans="1:103" ht="11.25" customHeight="1" x14ac:dyDescent="0.2">
      <c r="A1960" s="72">
        <v>1899</v>
      </c>
      <c r="B1960" s="241">
        <v>109</v>
      </c>
      <c r="C1960" s="32" t="s">
        <v>686</v>
      </c>
      <c r="D1960" s="32"/>
      <c r="E1960" s="40"/>
      <c r="F1960" s="40" t="s">
        <v>687</v>
      </c>
      <c r="G1960" s="242">
        <v>38126737</v>
      </c>
      <c r="H1960" s="36" t="s">
        <v>688</v>
      </c>
      <c r="I1960" s="36" t="s">
        <v>8258</v>
      </c>
      <c r="J1960" s="36" t="s">
        <v>689</v>
      </c>
      <c r="K1960" s="36" t="s">
        <v>690</v>
      </c>
      <c r="L1960" s="36"/>
      <c r="M1960" s="36"/>
      <c r="N1960" s="36"/>
      <c r="O1960" s="36"/>
      <c r="P1960" s="41"/>
      <c r="Q1960" s="41"/>
      <c r="R1960" s="41"/>
      <c r="S1960" s="41"/>
      <c r="T1960" s="37">
        <v>364.38</v>
      </c>
      <c r="U1960" s="243"/>
      <c r="V1960" s="243">
        <v>202500.00000000003</v>
      </c>
      <c r="W1960" s="243">
        <v>2049.0593207285924</v>
      </c>
      <c r="X1960" s="243">
        <v>2049.0593207285924</v>
      </c>
      <c r="Y1960" s="414">
        <v>2.95</v>
      </c>
      <c r="Z1960" s="37">
        <v>-5.83</v>
      </c>
      <c r="AA1960" s="37"/>
      <c r="AB1960" s="37">
        <v>-2.41</v>
      </c>
      <c r="AC1960" s="37">
        <v>0.43990000000000001</v>
      </c>
      <c r="AD1960" s="37">
        <v>-1.71</v>
      </c>
      <c r="AE1960" s="37">
        <v>-1.05</v>
      </c>
      <c r="AF1960" s="37">
        <f>IF(AA1960=0,AD1960,AA1960)</f>
        <v>-1.71</v>
      </c>
      <c r="AG1960" s="38">
        <v>2.2999999999999998</v>
      </c>
      <c r="AH1960" s="243">
        <v>3.1700000000000002E-26</v>
      </c>
      <c r="AI1960" s="243"/>
      <c r="AJ1960" s="34">
        <f>LOG10(AH1960*1000/(0.08206*298.15))</f>
        <v>-23.887507064094901</v>
      </c>
      <c r="AK1960" s="34"/>
      <c r="AL1960" s="34">
        <f>IF(AK1960=0,AJ1960,AK1960)</f>
        <v>-23.887507064094901</v>
      </c>
      <c r="AM1960" s="34">
        <v>-38.113280000000003</v>
      </c>
      <c r="AN1960" s="244">
        <v>-58.3</v>
      </c>
      <c r="AO1960" s="417">
        <v>2.21</v>
      </c>
      <c r="AP1960" s="417">
        <v>9.2899999999999991</v>
      </c>
      <c r="AQ1960" s="244" t="s">
        <v>6311</v>
      </c>
      <c r="AR1960" s="244" t="s">
        <v>6311</v>
      </c>
      <c r="AS1960" s="241" t="s">
        <v>63</v>
      </c>
      <c r="AT1960" s="39" t="s">
        <v>266</v>
      </c>
      <c r="AU1960" s="37">
        <v>0</v>
      </c>
      <c r="AV1960" s="37" t="s">
        <v>646</v>
      </c>
      <c r="AW1960" s="37" t="s">
        <v>646</v>
      </c>
      <c r="AX1960" s="37">
        <v>26</v>
      </c>
      <c r="AY1960" s="37" t="s">
        <v>647</v>
      </c>
      <c r="AZ1960" s="37" t="s">
        <v>536</v>
      </c>
      <c r="BA1960" s="37">
        <v>20</v>
      </c>
      <c r="BB1960" s="36" t="s">
        <v>537</v>
      </c>
      <c r="BC1960" s="36" t="s">
        <v>648</v>
      </c>
      <c r="BD1960" s="36"/>
      <c r="BE1960" s="245" t="s">
        <v>649</v>
      </c>
      <c r="BF1960" s="245" t="s">
        <v>650</v>
      </c>
      <c r="BG1960" s="245" t="s">
        <v>540</v>
      </c>
      <c r="BH1960" s="245" t="s">
        <v>272</v>
      </c>
      <c r="BI1960" s="250">
        <v>150.12456</v>
      </c>
      <c r="BJ1960" s="250">
        <v>761.18981999999994</v>
      </c>
      <c r="BK1960" s="37"/>
      <c r="BL1960" s="263">
        <v>3223127840.6280832</v>
      </c>
      <c r="BM1960" s="37" t="s">
        <v>541</v>
      </c>
      <c r="BN1960" s="37"/>
      <c r="BO1960" s="37">
        <v>275.83566000000002</v>
      </c>
      <c r="BP1960" s="37"/>
      <c r="BQ1960" s="37"/>
      <c r="BR1960" s="37"/>
      <c r="BS1960" s="37"/>
      <c r="BT1960" s="37"/>
      <c r="BU1960" s="246"/>
      <c r="BV1960" s="37"/>
      <c r="BW1960" s="37"/>
      <c r="BX1960" s="37"/>
      <c r="BY1960" s="37"/>
      <c r="BZ1960" s="37"/>
      <c r="CA1960" s="37"/>
      <c r="CB1960" s="37"/>
      <c r="CC1960" s="37"/>
      <c r="CD1960" s="37"/>
      <c r="CE1960" s="37"/>
      <c r="CF1960" s="37"/>
      <c r="CG1960" s="37"/>
      <c r="CH1960" s="37"/>
      <c r="CI1960" s="243">
        <v>275.83566000000002</v>
      </c>
      <c r="CJ1960" s="243">
        <f t="shared" ref="CJ1960:CJ1991" si="543">LOG10(CI1960)</f>
        <v>2.4406504110062799</v>
      </c>
      <c r="CK1960" s="38">
        <f t="shared" si="531"/>
        <v>4234328.6207218105</v>
      </c>
      <c r="CL1960" s="247">
        <f>BL1960/CI1960</f>
        <v>11684957.052427823</v>
      </c>
      <c r="CM1960" s="247"/>
      <c r="CN1960" s="247"/>
      <c r="CO1960" s="36"/>
      <c r="CP1960" s="496" t="s">
        <v>651</v>
      </c>
      <c r="CQ1960" s="241" t="s">
        <v>272</v>
      </c>
      <c r="CR1960" s="241"/>
      <c r="CS1960" s="33"/>
      <c r="CT1960" s="33"/>
      <c r="CU1960" s="250">
        <f>X1960/CI1960</f>
        <v>7.4285511914180793</v>
      </c>
      <c r="CV1960" s="337">
        <f t="shared" si="532"/>
        <v>2.691916348445901</v>
      </c>
      <c r="CW1960" s="330">
        <f t="shared" ref="CW1960:CW1991" si="544">IF(CU1960&lt;2,0,1)</f>
        <v>1</v>
      </c>
      <c r="CX1960" s="330"/>
      <c r="CY1960" s="143" t="s">
        <v>5921</v>
      </c>
    </row>
    <row r="1961" spans="1:103" ht="11.25" customHeight="1" x14ac:dyDescent="0.2">
      <c r="A1961" s="72">
        <v>1942</v>
      </c>
      <c r="B1961" s="241">
        <v>121</v>
      </c>
      <c r="C1961" s="32" t="s">
        <v>727</v>
      </c>
      <c r="D1961" s="32"/>
      <c r="E1961" s="40"/>
      <c r="F1961" s="40" t="s">
        <v>728</v>
      </c>
      <c r="G1961" s="242">
        <v>82385420</v>
      </c>
      <c r="H1961" s="36" t="s">
        <v>729</v>
      </c>
      <c r="I1961" s="36" t="s">
        <v>8271</v>
      </c>
      <c r="J1961" s="36" t="s">
        <v>730</v>
      </c>
      <c r="K1961" s="36" t="s">
        <v>731</v>
      </c>
      <c r="L1961" s="36"/>
      <c r="M1961" s="36"/>
      <c r="N1961" s="36"/>
      <c r="O1961" s="36"/>
      <c r="P1961" s="41"/>
      <c r="Q1961" s="41"/>
      <c r="R1961" s="41"/>
      <c r="S1961" s="41"/>
      <c r="T1961" s="37">
        <v>183.19</v>
      </c>
      <c r="U1961" s="243"/>
      <c r="V1961" s="243">
        <v>20950</v>
      </c>
      <c r="W1961" s="243">
        <v>6065.9910144395853</v>
      </c>
      <c r="X1961" s="243">
        <v>6065.9910144395853</v>
      </c>
      <c r="Y1961" s="414">
        <v>1.63</v>
      </c>
      <c r="Z1961" s="37">
        <v>-0.89</v>
      </c>
      <c r="AA1961" s="37"/>
      <c r="AB1961" s="37">
        <v>0.61</v>
      </c>
      <c r="AC1961" s="37">
        <v>0.80649999999999999</v>
      </c>
      <c r="AD1961" s="37">
        <v>0.7</v>
      </c>
      <c r="AE1961" s="37">
        <v>0.91</v>
      </c>
      <c r="AF1961" s="37">
        <f>IF(AA1961=0,AD1961,AA1961)</f>
        <v>0.7</v>
      </c>
      <c r="AG1961" s="38">
        <v>3.93</v>
      </c>
      <c r="AH1961" s="243">
        <v>1.1800000000000001E-9</v>
      </c>
      <c r="AI1961" s="243"/>
      <c r="AJ1961" s="34">
        <f>LOG10(AH1961*1000/(0.08206*298.15))</f>
        <v>-7.3166843190065265</v>
      </c>
      <c r="AK1961" s="34"/>
      <c r="AL1961" s="34">
        <f>IF(AK1961=0,AJ1961,AK1961)</f>
        <v>-7.3166843190065265</v>
      </c>
      <c r="AM1961" s="34">
        <v>-14.266269999999999</v>
      </c>
      <c r="AN1961" s="244"/>
      <c r="AO1961" s="417">
        <v>1.1599999999999999</v>
      </c>
      <c r="AP1961" s="417">
        <v>-6.9</v>
      </c>
      <c r="AQ1961" s="244" t="s">
        <v>6311</v>
      </c>
      <c r="AR1961" s="244" t="s">
        <v>6311</v>
      </c>
      <c r="AS1961" s="241" t="s">
        <v>732</v>
      </c>
      <c r="AT1961" s="39" t="s">
        <v>266</v>
      </c>
      <c r="AU1961" s="37">
        <v>0</v>
      </c>
      <c r="AV1961" s="37" t="s">
        <v>646</v>
      </c>
      <c r="AW1961" s="37" t="s">
        <v>646</v>
      </c>
      <c r="AX1961" s="37">
        <v>26</v>
      </c>
      <c r="AY1961" s="37" t="s">
        <v>647</v>
      </c>
      <c r="AZ1961" s="37" t="s">
        <v>536</v>
      </c>
      <c r="BA1961" s="37">
        <v>20</v>
      </c>
      <c r="BB1961" s="36" t="s">
        <v>537</v>
      </c>
      <c r="BC1961" s="36" t="s">
        <v>648</v>
      </c>
      <c r="BD1961" s="36"/>
      <c r="BE1961" s="245" t="s">
        <v>649</v>
      </c>
      <c r="BF1961" s="245" t="s">
        <v>650</v>
      </c>
      <c r="BG1961" s="245" t="s">
        <v>540</v>
      </c>
      <c r="BH1961" s="245" t="s">
        <v>272</v>
      </c>
      <c r="BI1961" s="250">
        <v>8518.3349999999991</v>
      </c>
      <c r="BJ1961" s="250">
        <v>24309.312999999998</v>
      </c>
      <c r="BK1961" s="37"/>
      <c r="BL1961" s="263">
        <v>59294.001859417011</v>
      </c>
      <c r="BM1961" s="37" t="s">
        <v>541</v>
      </c>
      <c r="BN1961" s="37"/>
      <c r="BO1961" s="37">
        <v>18703.699000000001</v>
      </c>
      <c r="BP1961" s="37"/>
      <c r="BQ1961" s="37"/>
      <c r="BR1961" s="37"/>
      <c r="BS1961" s="37"/>
      <c r="BT1961" s="37"/>
      <c r="BU1961" s="246"/>
      <c r="BV1961" s="37"/>
      <c r="BW1961" s="37"/>
      <c r="BX1961" s="37"/>
      <c r="BY1961" s="37"/>
      <c r="BZ1961" s="37"/>
      <c r="CA1961" s="37"/>
      <c r="CB1961" s="37"/>
      <c r="CC1961" s="37"/>
      <c r="CD1961" s="37"/>
      <c r="CE1961" s="37"/>
      <c r="CF1961" s="37"/>
      <c r="CG1961" s="37"/>
      <c r="CH1961" s="37"/>
      <c r="CI1961" s="243">
        <v>18703.699000000001</v>
      </c>
      <c r="CJ1961" s="243">
        <f t="shared" si="543"/>
        <v>4.2719275047410479</v>
      </c>
      <c r="CK1961" s="38">
        <f t="shared" si="531"/>
        <v>2.4391475752283505</v>
      </c>
      <c r="CL1961" s="247">
        <f>BL1961/CI1961</f>
        <v>3.1701751540920866</v>
      </c>
      <c r="CM1961" s="247"/>
      <c r="CN1961" s="247"/>
      <c r="CO1961" s="36"/>
      <c r="CP1961" s="496" t="s">
        <v>651</v>
      </c>
      <c r="CQ1961" s="241" t="s">
        <v>272</v>
      </c>
      <c r="CR1961" s="241"/>
      <c r="CS1961" s="33"/>
      <c r="CT1961" s="33"/>
      <c r="CU1961" s="250">
        <f>X1961/CI1961</f>
        <v>0.32432039322486877</v>
      </c>
      <c r="CV1961" s="337">
        <f t="shared" si="532"/>
        <v>0.24953362583465794</v>
      </c>
      <c r="CW1961" s="330">
        <f t="shared" si="544"/>
        <v>0</v>
      </c>
      <c r="CX1961" s="330"/>
      <c r="CY1961" s="143" t="s">
        <v>5921</v>
      </c>
    </row>
    <row r="1962" spans="1:103" ht="11.25" customHeight="1" x14ac:dyDescent="0.2">
      <c r="A1962" s="72">
        <v>1971</v>
      </c>
      <c r="B1962" s="241">
        <v>111</v>
      </c>
      <c r="C1962" s="32" t="s">
        <v>694</v>
      </c>
      <c r="D1962" s="32"/>
      <c r="E1962" s="40"/>
      <c r="F1962" s="241" t="s">
        <v>6398</v>
      </c>
      <c r="G1962" s="241" t="s">
        <v>6398</v>
      </c>
      <c r="H1962" s="36" t="s">
        <v>695</v>
      </c>
      <c r="I1962" s="36" t="s">
        <v>7752</v>
      </c>
      <c r="J1962" s="36" t="s">
        <v>696</v>
      </c>
      <c r="K1962" s="36" t="s">
        <v>357</v>
      </c>
      <c r="L1962" s="36"/>
      <c r="M1962" s="36"/>
      <c r="N1962" s="36"/>
      <c r="O1962" s="36"/>
      <c r="P1962" s="41"/>
      <c r="Q1962" s="41"/>
      <c r="R1962" s="41"/>
      <c r="S1962" s="41"/>
      <c r="T1962" s="37">
        <v>318.32</v>
      </c>
      <c r="U1962" s="243"/>
      <c r="V1962" s="243">
        <v>688.2</v>
      </c>
      <c r="W1962" s="243">
        <v>493.01930613222072</v>
      </c>
      <c r="X1962" s="243">
        <v>493.01930613222072</v>
      </c>
      <c r="Y1962" s="414">
        <v>7</v>
      </c>
      <c r="Z1962" s="37">
        <v>1.34</v>
      </c>
      <c r="AA1962" s="37"/>
      <c r="AB1962" s="37">
        <v>1.51</v>
      </c>
      <c r="AC1962" s="37">
        <v>0.75149999999999995</v>
      </c>
      <c r="AD1962" s="37">
        <v>2.16</v>
      </c>
      <c r="AE1962" s="37">
        <v>3.73</v>
      </c>
      <c r="AF1962" s="37">
        <f>IF(AA1962=0,AD1962,AA1962)</f>
        <v>2.16</v>
      </c>
      <c r="AG1962" s="38">
        <v>0.97</v>
      </c>
      <c r="AH1962" s="243">
        <v>6.9099999999999999E-11</v>
      </c>
      <c r="AI1962" s="243"/>
      <c r="AJ1962" s="34">
        <f>LOG10(AH1962*1000/(0.08206*298.15))</f>
        <v>-8.5490882789384539</v>
      </c>
      <c r="AK1962" s="34"/>
      <c r="AL1962" s="34">
        <f>IF(AK1962=0,AJ1962,AK1962)</f>
        <v>-8.5490882789384539</v>
      </c>
      <c r="AM1962" s="34">
        <v>-12.35515</v>
      </c>
      <c r="AN1962" s="244">
        <v>-10</v>
      </c>
      <c r="AO1962" s="417"/>
      <c r="AP1962" s="417"/>
      <c r="AQ1962" s="244" t="s">
        <v>6311</v>
      </c>
      <c r="AR1962" s="244" t="s">
        <v>6311</v>
      </c>
      <c r="AS1962" s="241" t="s">
        <v>63</v>
      </c>
      <c r="AT1962" s="39" t="s">
        <v>266</v>
      </c>
      <c r="AU1962" s="37">
        <v>0</v>
      </c>
      <c r="AV1962" s="37" t="s">
        <v>646</v>
      </c>
      <c r="AW1962" s="37" t="s">
        <v>646</v>
      </c>
      <c r="AX1962" s="37">
        <v>26</v>
      </c>
      <c r="AY1962" s="37" t="s">
        <v>647</v>
      </c>
      <c r="AZ1962" s="37" t="s">
        <v>536</v>
      </c>
      <c r="BA1962" s="37">
        <v>20</v>
      </c>
      <c r="BB1962" s="36" t="s">
        <v>537</v>
      </c>
      <c r="BC1962" s="36" t="s">
        <v>648</v>
      </c>
      <c r="BD1962" s="36"/>
      <c r="BE1962" s="245" t="s">
        <v>649</v>
      </c>
      <c r="BF1962" s="245" t="s">
        <v>650</v>
      </c>
      <c r="BG1962" s="245" t="s">
        <v>540</v>
      </c>
      <c r="BH1962" s="245" t="s">
        <v>272</v>
      </c>
      <c r="BI1962" s="250">
        <v>798.66487999999993</v>
      </c>
      <c r="BJ1962" s="250">
        <v>2524.2775999999999</v>
      </c>
      <c r="BK1962" s="37"/>
      <c r="BL1962" s="263">
        <v>1023.7877438414201</v>
      </c>
      <c r="BM1962" s="37" t="s">
        <v>541</v>
      </c>
      <c r="BN1962" s="37"/>
      <c r="BO1962" s="37">
        <v>1276.4631999999999</v>
      </c>
      <c r="BP1962" s="37"/>
      <c r="BQ1962" s="37"/>
      <c r="BR1962" s="37"/>
      <c r="BS1962" s="37"/>
      <c r="BT1962" s="37"/>
      <c r="BU1962" s="246"/>
      <c r="BV1962" s="37"/>
      <c r="BW1962" s="37"/>
      <c r="BX1962" s="37"/>
      <c r="BY1962" s="37"/>
      <c r="BZ1962" s="37"/>
      <c r="CA1962" s="37"/>
      <c r="CB1962" s="37"/>
      <c r="CC1962" s="37"/>
      <c r="CD1962" s="37"/>
      <c r="CE1962" s="37"/>
      <c r="CF1962" s="37"/>
      <c r="CG1962" s="37"/>
      <c r="CH1962" s="37"/>
      <c r="CI1962" s="243">
        <v>1276.4631999999999</v>
      </c>
      <c r="CJ1962" s="243">
        <f t="shared" si="543"/>
        <v>3.106008298758514</v>
      </c>
      <c r="CK1962" s="38">
        <f t="shared" si="531"/>
        <v>0.40557652765346419</v>
      </c>
      <c r="CL1962" s="247">
        <f>BL1962/CI1962</f>
        <v>0.80205034022243671</v>
      </c>
      <c r="CM1962" s="247"/>
      <c r="CN1962" s="247"/>
      <c r="CO1962" s="36"/>
      <c r="CP1962" s="496" t="s">
        <v>651</v>
      </c>
      <c r="CQ1962" s="241" t="s">
        <v>272</v>
      </c>
      <c r="CR1962" s="241"/>
      <c r="CS1962" s="33"/>
      <c r="CT1962" s="33"/>
      <c r="CU1962" s="250">
        <f>X1962/CI1962</f>
        <v>0.38623855833228937</v>
      </c>
      <c r="CV1962" s="337">
        <f t="shared" si="532"/>
        <v>0.19531104904318794</v>
      </c>
      <c r="CW1962" s="330">
        <f t="shared" si="544"/>
        <v>0</v>
      </c>
      <c r="CX1962" s="330"/>
      <c r="CY1962" s="143" t="s">
        <v>5921</v>
      </c>
    </row>
    <row r="1963" spans="1:103" ht="11.25" customHeight="1" x14ac:dyDescent="0.2">
      <c r="A1963" s="72">
        <v>2006</v>
      </c>
      <c r="B1963" s="282">
        <v>129</v>
      </c>
      <c r="C1963" s="115" t="s">
        <v>751</v>
      </c>
      <c r="D1963" s="115"/>
      <c r="E1963" s="116">
        <v>1</v>
      </c>
      <c r="F1963" s="116" t="s">
        <v>752</v>
      </c>
      <c r="G1963" s="283">
        <v>57136</v>
      </c>
      <c r="H1963" s="284" t="s">
        <v>753</v>
      </c>
      <c r="I1963" s="284"/>
      <c r="J1963" s="284" t="s">
        <v>754</v>
      </c>
      <c r="K1963" s="284" t="s">
        <v>416</v>
      </c>
      <c r="L1963" s="284"/>
      <c r="M1963" s="284"/>
      <c r="N1963" s="284"/>
      <c r="O1963" s="284"/>
      <c r="P1963" s="286"/>
      <c r="Q1963" s="286"/>
      <c r="R1963" s="286"/>
      <c r="S1963" s="286"/>
      <c r="T1963" s="119">
        <v>60.06</v>
      </c>
      <c r="U1963" s="292"/>
      <c r="V1963" s="292"/>
      <c r="W1963" s="292">
        <v>996747.89660699933</v>
      </c>
      <c r="X1963" s="292">
        <v>996747.89660699933</v>
      </c>
      <c r="Y1963" s="370">
        <v>6.41</v>
      </c>
      <c r="Z1963" s="119"/>
      <c r="AA1963" s="119"/>
      <c r="AB1963" s="116">
        <v>-1.59</v>
      </c>
      <c r="AC1963" s="116">
        <v>0.81310000000000004</v>
      </c>
      <c r="AD1963" s="116">
        <v>-1.75</v>
      </c>
      <c r="AE1963" s="116">
        <v>-2.11</v>
      </c>
      <c r="AF1963" s="116">
        <f>IF(AA1963=0,AD1963,AA1963)</f>
        <v>-1.75</v>
      </c>
      <c r="AG1963" s="120">
        <v>-1.32</v>
      </c>
      <c r="AH1963" s="292">
        <v>3.6499999999999998E-10</v>
      </c>
      <c r="AI1963" s="292">
        <v>1.7400000000000001E-12</v>
      </c>
      <c r="AJ1963" s="125">
        <f>LOG10(AH1963*1000/(0.08206*298.15))</f>
        <v>-7.8262734618561769</v>
      </c>
      <c r="AK1963" s="125">
        <f>LOG10(AI1963*1000/(0.08206*298.15))</f>
        <v>-10.148017078030053</v>
      </c>
      <c r="AL1963" s="125">
        <f>IF(AK1963=0,AJ1963,AK1963)</f>
        <v>-10.148017078030053</v>
      </c>
      <c r="AM1963" s="125"/>
      <c r="AN1963" s="297">
        <v>-9</v>
      </c>
      <c r="AO1963" s="420">
        <v>14.43</v>
      </c>
      <c r="AP1963" s="420">
        <v>0.1</v>
      </c>
      <c r="AQ1963" s="297" t="s">
        <v>6311</v>
      </c>
      <c r="AR1963" s="297" t="s">
        <v>6311</v>
      </c>
      <c r="AS1963" s="282" t="s">
        <v>6</v>
      </c>
      <c r="AT1963" s="118" t="s">
        <v>266</v>
      </c>
      <c r="AU1963" s="119">
        <v>0</v>
      </c>
      <c r="AV1963" s="119" t="s">
        <v>646</v>
      </c>
      <c r="AW1963" s="119" t="s">
        <v>646</v>
      </c>
      <c r="AX1963" s="119">
        <v>26</v>
      </c>
      <c r="AY1963" s="119" t="s">
        <v>647</v>
      </c>
      <c r="AZ1963" s="119" t="s">
        <v>536</v>
      </c>
      <c r="BA1963" s="119">
        <v>20</v>
      </c>
      <c r="BB1963" s="284" t="s">
        <v>537</v>
      </c>
      <c r="BC1963" s="284" t="s">
        <v>648</v>
      </c>
      <c r="BD1963" s="284"/>
      <c r="BE1963" s="289" t="s">
        <v>649</v>
      </c>
      <c r="BF1963" s="289" t="s">
        <v>650</v>
      </c>
      <c r="BG1963" s="289" t="s">
        <v>540</v>
      </c>
      <c r="BH1963" s="289" t="s">
        <v>272</v>
      </c>
      <c r="BI1963" s="292">
        <v>4996.9920000000002</v>
      </c>
      <c r="BJ1963" s="292">
        <v>24996.972000000002</v>
      </c>
      <c r="BK1963" s="119"/>
      <c r="BL1963" s="287"/>
      <c r="BM1963" s="119" t="s">
        <v>541</v>
      </c>
      <c r="BN1963" s="119"/>
      <c r="BO1963" s="119">
        <v>22360.338</v>
      </c>
      <c r="BP1963" s="119"/>
      <c r="BQ1963" s="119"/>
      <c r="BR1963" s="119"/>
      <c r="BS1963" s="119"/>
      <c r="BT1963" s="119"/>
      <c r="BU1963" s="293"/>
      <c r="BV1963" s="119"/>
      <c r="BW1963" s="119"/>
      <c r="BX1963" s="119"/>
      <c r="BY1963" s="119"/>
      <c r="BZ1963" s="119"/>
      <c r="CA1963" s="119"/>
      <c r="CB1963" s="119"/>
      <c r="CC1963" s="119"/>
      <c r="CD1963" s="119"/>
      <c r="CE1963" s="119"/>
      <c r="CF1963" s="119"/>
      <c r="CG1963" s="119"/>
      <c r="CH1963" s="119"/>
      <c r="CI1963" s="292">
        <v>22360.338</v>
      </c>
      <c r="CJ1963" s="292">
        <f t="shared" si="543"/>
        <v>4.3494783640813548</v>
      </c>
      <c r="CK1963" s="120" t="s">
        <v>404</v>
      </c>
      <c r="CL1963" s="294"/>
      <c r="CM1963" s="294"/>
      <c r="CN1963" s="294">
        <f>BJ1963/(10^CM1963)</f>
        <v>24996.972000000002</v>
      </c>
      <c r="CO1963" s="284"/>
      <c r="CP1963" s="498" t="s">
        <v>651</v>
      </c>
      <c r="CQ1963" s="282"/>
      <c r="CR1963" s="282">
        <f>10^(CJ1963-CQ1963)</f>
        <v>22360.338000000036</v>
      </c>
      <c r="CS1963" s="123"/>
      <c r="CT1963" s="123"/>
      <c r="CU1963" s="300">
        <f>X1963/CI1963</f>
        <v>44.576602402298185</v>
      </c>
      <c r="CV1963" s="338">
        <f t="shared" si="532"/>
        <v>39.874745493454135</v>
      </c>
      <c r="CW1963" s="339">
        <f t="shared" si="544"/>
        <v>1</v>
      </c>
      <c r="CX1963" s="339"/>
      <c r="CY1963" s="295" t="s">
        <v>6351</v>
      </c>
    </row>
    <row r="1964" spans="1:103" ht="11.25" customHeight="1" x14ac:dyDescent="0.2">
      <c r="A1964" s="72">
        <v>2017</v>
      </c>
      <c r="B1964" s="282">
        <v>97</v>
      </c>
      <c r="C1964" s="115" t="s">
        <v>652</v>
      </c>
      <c r="D1964" s="115"/>
      <c r="E1964" s="116">
        <v>1</v>
      </c>
      <c r="F1964" s="116" t="s">
        <v>653</v>
      </c>
      <c r="G1964" s="283">
        <v>7758998</v>
      </c>
      <c r="H1964" s="284" t="s">
        <v>654</v>
      </c>
      <c r="I1964" s="284"/>
      <c r="J1964" s="284" t="s">
        <v>655</v>
      </c>
      <c r="K1964" s="284" t="s">
        <v>416</v>
      </c>
      <c r="L1964" s="284"/>
      <c r="M1964" s="284"/>
      <c r="N1964" s="284"/>
      <c r="O1964" s="284"/>
      <c r="P1964" s="286"/>
      <c r="Q1964" s="286"/>
      <c r="R1964" s="286"/>
      <c r="S1964" s="286"/>
      <c r="T1964" s="119">
        <v>249.68</v>
      </c>
      <c r="U1964" s="292"/>
      <c r="V1964" s="292"/>
      <c r="W1964" s="292"/>
      <c r="X1964" s="292"/>
      <c r="Y1964" s="370"/>
      <c r="Z1964" s="116"/>
      <c r="AA1964" s="116"/>
      <c r="AB1964" s="116"/>
      <c r="AC1964" s="116"/>
      <c r="AD1964" s="116"/>
      <c r="AE1964" s="116"/>
      <c r="AF1964" s="116"/>
      <c r="AG1964" s="117" t="s">
        <v>404</v>
      </c>
      <c r="AH1964" s="292"/>
      <c r="AI1964" s="292"/>
      <c r="AJ1964" s="125"/>
      <c r="AK1964" s="125"/>
      <c r="AL1964" s="125"/>
      <c r="AM1964" s="125"/>
      <c r="AN1964" s="297"/>
      <c r="AO1964" s="420"/>
      <c r="AP1964" s="420"/>
      <c r="AQ1964" s="297" t="s">
        <v>6311</v>
      </c>
      <c r="AR1964" s="297" t="s">
        <v>6311</v>
      </c>
      <c r="AS1964" s="282" t="s">
        <v>6</v>
      </c>
      <c r="AT1964" s="118" t="s">
        <v>266</v>
      </c>
      <c r="AU1964" s="119">
        <v>0</v>
      </c>
      <c r="AV1964" s="119" t="s">
        <v>646</v>
      </c>
      <c r="AW1964" s="119" t="s">
        <v>646</v>
      </c>
      <c r="AX1964" s="119">
        <v>26</v>
      </c>
      <c r="AY1964" s="119" t="s">
        <v>647</v>
      </c>
      <c r="AZ1964" s="119" t="s">
        <v>536</v>
      </c>
      <c r="BA1964" s="119">
        <v>20</v>
      </c>
      <c r="BB1964" s="284" t="s">
        <v>537</v>
      </c>
      <c r="BC1964" s="284" t="s">
        <v>648</v>
      </c>
      <c r="BD1964" s="284"/>
      <c r="BE1964" s="289" t="s">
        <v>649</v>
      </c>
      <c r="BF1964" s="289" t="s">
        <v>650</v>
      </c>
      <c r="BG1964" s="289" t="s">
        <v>540</v>
      </c>
      <c r="BH1964" s="289" t="s">
        <v>272</v>
      </c>
      <c r="BI1964" s="292">
        <v>0.149808</v>
      </c>
      <c r="BJ1964" s="292">
        <v>0.79897600000000002</v>
      </c>
      <c r="BK1964" s="119"/>
      <c r="BL1964" s="287"/>
      <c r="BM1964" s="119" t="s">
        <v>541</v>
      </c>
      <c r="BN1964" s="119"/>
      <c r="BO1964" s="119">
        <v>0.49936000000000003</v>
      </c>
      <c r="BP1964" s="119"/>
      <c r="BQ1964" s="119"/>
      <c r="BR1964" s="119"/>
      <c r="BS1964" s="119"/>
      <c r="BT1964" s="119"/>
      <c r="BU1964" s="293"/>
      <c r="BV1964" s="119"/>
      <c r="BW1964" s="119"/>
      <c r="BX1964" s="119"/>
      <c r="BY1964" s="119"/>
      <c r="BZ1964" s="119"/>
      <c r="CA1964" s="119"/>
      <c r="CB1964" s="119"/>
      <c r="CC1964" s="119"/>
      <c r="CD1964" s="119"/>
      <c r="CE1964" s="119"/>
      <c r="CF1964" s="119"/>
      <c r="CG1964" s="119"/>
      <c r="CH1964" s="119"/>
      <c r="CI1964" s="292">
        <v>0.49936000000000003</v>
      </c>
      <c r="CJ1964" s="292">
        <f t="shared" si="543"/>
        <v>-0.30158624867874251</v>
      </c>
      <c r="CK1964" s="120" t="s">
        <v>404</v>
      </c>
      <c r="CL1964" s="294"/>
      <c r="CM1964" s="294"/>
      <c r="CN1964" s="294">
        <f>BJ1964/(10^CM1964)</f>
        <v>0.79897600000000002</v>
      </c>
      <c r="CO1964" s="284"/>
      <c r="CP1964" s="498" t="s">
        <v>651</v>
      </c>
      <c r="CQ1964" s="282"/>
      <c r="CR1964" s="282">
        <f>10^(CJ1964-CQ1964)</f>
        <v>0.49935999999999992</v>
      </c>
      <c r="CS1964" s="123"/>
      <c r="CT1964" s="123"/>
      <c r="CU1964" s="300" t="s">
        <v>6310</v>
      </c>
      <c r="CV1964" s="338" t="s">
        <v>6310</v>
      </c>
      <c r="CW1964" s="339">
        <f t="shared" si="544"/>
        <v>1</v>
      </c>
      <c r="CX1964" s="339"/>
      <c r="CY1964" s="295" t="s">
        <v>5921</v>
      </c>
    </row>
    <row r="1965" spans="1:103" ht="11.25" customHeight="1" x14ac:dyDescent="0.2">
      <c r="A1965" s="72">
        <v>88</v>
      </c>
      <c r="B1965" s="149">
        <v>860</v>
      </c>
      <c r="C1965" s="54" t="s">
        <v>612</v>
      </c>
      <c r="D1965" s="54" t="s">
        <v>6437</v>
      </c>
      <c r="E1965" s="59"/>
      <c r="F1965" s="59" t="s">
        <v>613</v>
      </c>
      <c r="G1965" s="151">
        <v>63252</v>
      </c>
      <c r="H1965" s="55" t="s">
        <v>614</v>
      </c>
      <c r="I1965" s="55" t="s">
        <v>614</v>
      </c>
      <c r="J1965" s="55" t="s">
        <v>615</v>
      </c>
      <c r="K1965" s="55" t="s">
        <v>616</v>
      </c>
      <c r="L1965" s="60" t="s">
        <v>617</v>
      </c>
      <c r="M1965" s="60" t="s">
        <v>618</v>
      </c>
      <c r="N1965" s="60" t="s">
        <v>6376</v>
      </c>
      <c r="O1965" s="60" t="s">
        <v>619</v>
      </c>
      <c r="P1965" s="67"/>
      <c r="Q1965" s="67" t="s">
        <v>6173</v>
      </c>
      <c r="R1965" s="67" t="s">
        <v>6185</v>
      </c>
      <c r="S1965" s="67" t="s">
        <v>6176</v>
      </c>
      <c r="T1965" s="154">
        <v>201.22</v>
      </c>
      <c r="U1965" s="103">
        <v>110</v>
      </c>
      <c r="V1965" s="103">
        <v>416.2</v>
      </c>
      <c r="W1965" s="103">
        <v>96.309947177161263</v>
      </c>
      <c r="X1965" s="103">
        <v>110</v>
      </c>
      <c r="Y1965" s="162">
        <v>6.99</v>
      </c>
      <c r="Z1965" s="56">
        <v>2.35</v>
      </c>
      <c r="AA1965" s="56">
        <v>2.36</v>
      </c>
      <c r="AB1965" s="56">
        <v>2.4500000000000002</v>
      </c>
      <c r="AC1965" s="56">
        <v>0.83340000000000003</v>
      </c>
      <c r="AD1965" s="56">
        <v>2.44</v>
      </c>
      <c r="AE1965" s="56">
        <v>2.4</v>
      </c>
      <c r="AF1965" s="56">
        <f>IF(AA1965=0,AD1965,AA1965)</f>
        <v>2.36</v>
      </c>
      <c r="AG1965" s="57">
        <v>2.38</v>
      </c>
      <c r="AH1965" s="103">
        <v>3.1399999999999999E-9</v>
      </c>
      <c r="AI1965" s="103">
        <v>3.2700000000000001E-9</v>
      </c>
      <c r="AJ1965" s="62">
        <f t="shared" ref="AJ1965:AK1967" si="545">LOG10(AH1965*1000/(0.08206*298.15))</f>
        <v>-6.8916366782394372</v>
      </c>
      <c r="AK1965" s="62">
        <f t="shared" si="545"/>
        <v>-6.874018573652366</v>
      </c>
      <c r="AL1965" s="62">
        <f t="shared" ref="AL1965:AL2005" si="546">IF(AK1965=0,AJ1965,AK1965)</f>
        <v>-6.874018573652366</v>
      </c>
      <c r="AM1965" s="62">
        <v>-10.500939999999998</v>
      </c>
      <c r="AN1965" s="154">
        <v>-6.44</v>
      </c>
      <c r="AO1965" s="410">
        <v>12.02</v>
      </c>
      <c r="AP1965" s="410">
        <v>-1.55</v>
      </c>
      <c r="AQ1965" s="154" t="s">
        <v>6311</v>
      </c>
      <c r="AR1965" s="154" t="s">
        <v>6314</v>
      </c>
      <c r="AS1965" s="149" t="s">
        <v>6</v>
      </c>
      <c r="AT1965" s="58" t="s">
        <v>266</v>
      </c>
      <c r="AU1965" s="56">
        <v>0</v>
      </c>
      <c r="AV1965" s="56">
        <v>96</v>
      </c>
      <c r="AW1965" s="56"/>
      <c r="AX1965" s="56"/>
      <c r="AY1965" s="56"/>
      <c r="AZ1965" s="56"/>
      <c r="BA1965" s="56"/>
      <c r="BB1965" s="55"/>
      <c r="BC1965" s="55" t="s">
        <v>5494</v>
      </c>
      <c r="BD1965" s="55"/>
      <c r="BE1965" s="56" t="s">
        <v>2449</v>
      </c>
      <c r="BF1965" s="56"/>
      <c r="BG1965" s="56" t="s">
        <v>1974</v>
      </c>
      <c r="BH1965" s="56"/>
      <c r="BI1965" s="103"/>
      <c r="BJ1965" s="103"/>
      <c r="BK1965" s="56" t="s">
        <v>6338</v>
      </c>
      <c r="BL1965" s="153">
        <v>80.156019944741601</v>
      </c>
      <c r="BM1965" s="56" t="s">
        <v>541</v>
      </c>
      <c r="BN1965" s="56">
        <v>24.398787457138596</v>
      </c>
      <c r="BO1965" s="56">
        <v>30.79846941310938</v>
      </c>
      <c r="BP1965" s="56">
        <v>25.298742732196992</v>
      </c>
      <c r="BQ1965" s="56">
        <v>22.69887193758386</v>
      </c>
      <c r="BR1965" s="56"/>
      <c r="BS1965" s="56"/>
      <c r="BT1965" s="56"/>
      <c r="BU1965" s="158"/>
      <c r="BV1965" s="56"/>
      <c r="BW1965" s="56"/>
      <c r="BX1965" s="56"/>
      <c r="BY1965" s="56"/>
      <c r="BZ1965" s="56"/>
      <c r="CA1965" s="56"/>
      <c r="CB1965" s="56"/>
      <c r="CC1965" s="56"/>
      <c r="CD1965" s="56"/>
      <c r="CE1965" s="56"/>
      <c r="CF1965" s="56"/>
      <c r="CG1965" s="56"/>
      <c r="CH1965" s="56"/>
      <c r="CI1965" s="103">
        <v>22.69887193758386</v>
      </c>
      <c r="CJ1965" s="103">
        <f t="shared" si="543"/>
        <v>1.356004274662026</v>
      </c>
      <c r="CK1965" s="57"/>
      <c r="CL1965" s="160">
        <f t="shared" ref="CL1965:CL1996" si="547">BL1965/CI1965</f>
        <v>3.5312776848625043</v>
      </c>
      <c r="CM1965" s="160">
        <v>0.27580627284202597</v>
      </c>
      <c r="CN1965" s="160"/>
      <c r="CO1965" s="55"/>
      <c r="CP1965" s="497" t="s">
        <v>2444</v>
      </c>
      <c r="CQ1965" s="149">
        <v>0.61609346580285851</v>
      </c>
      <c r="CR1965" s="349">
        <f>10^(CJ1965-CQ1965)</f>
        <v>5.4942802613140511</v>
      </c>
      <c r="CS1965" s="61" t="s">
        <v>539</v>
      </c>
      <c r="CT1965" s="61" t="s">
        <v>6310</v>
      </c>
      <c r="CU1965" s="111">
        <f t="shared" ref="CU1965:CU1996" si="548">X1965/CI1965</f>
        <v>4.846055799709875</v>
      </c>
      <c r="CV1965" s="331"/>
      <c r="CW1965" s="326">
        <f t="shared" si="544"/>
        <v>1</v>
      </c>
      <c r="CX1965" s="326" t="s">
        <v>539</v>
      </c>
      <c r="CY1965" s="161" t="s">
        <v>5921</v>
      </c>
    </row>
    <row r="1966" spans="1:103" ht="11.25" customHeight="1" x14ac:dyDescent="0.2">
      <c r="A1966" s="72">
        <v>1</v>
      </c>
      <c r="B1966" s="149">
        <v>35</v>
      </c>
      <c r="C1966" s="54" t="s">
        <v>422</v>
      </c>
      <c r="D1966" s="54" t="s">
        <v>6438</v>
      </c>
      <c r="E1966" s="59"/>
      <c r="F1966" s="59" t="s">
        <v>423</v>
      </c>
      <c r="G1966" s="151">
        <v>64175</v>
      </c>
      <c r="H1966" s="55" t="s">
        <v>424</v>
      </c>
      <c r="I1966" s="55" t="s">
        <v>424</v>
      </c>
      <c r="J1966" s="55" t="s">
        <v>425</v>
      </c>
      <c r="K1966" s="55" t="s">
        <v>426</v>
      </c>
      <c r="L1966" s="64" t="s">
        <v>279</v>
      </c>
      <c r="M1966" s="64" t="s">
        <v>8724</v>
      </c>
      <c r="N1966" s="60" t="s">
        <v>6183</v>
      </c>
      <c r="O1966" s="55" t="s">
        <v>281</v>
      </c>
      <c r="P1966" s="67" t="s">
        <v>6183</v>
      </c>
      <c r="Q1966" s="67" t="s">
        <v>6176</v>
      </c>
      <c r="R1966" s="67" t="s">
        <v>6185</v>
      </c>
      <c r="S1966" s="67" t="s">
        <v>6176</v>
      </c>
      <c r="T1966" s="59">
        <v>46.07</v>
      </c>
      <c r="U1966" s="153">
        <v>1000000.0000000001</v>
      </c>
      <c r="V1966" s="153">
        <v>792099.99999999988</v>
      </c>
      <c r="W1966" s="153">
        <v>183407.97347399619</v>
      </c>
      <c r="X1966" s="153">
        <v>1000000.0000000001</v>
      </c>
      <c r="Y1966" s="410">
        <v>6.96</v>
      </c>
      <c r="Z1966" s="59">
        <v>-0.14000000000000001</v>
      </c>
      <c r="AA1966" s="59">
        <v>-0.31</v>
      </c>
      <c r="AB1966" s="59">
        <v>-0.24</v>
      </c>
      <c r="AC1966" s="59">
        <v>0.90610000000000002</v>
      </c>
      <c r="AD1966" s="59">
        <v>-0.23</v>
      </c>
      <c r="AE1966" s="59">
        <v>-0.19</v>
      </c>
      <c r="AF1966" s="62">
        <f>IF(AA1966=0,AD1966,AA1966)</f>
        <v>-0.31</v>
      </c>
      <c r="AG1966" s="57">
        <v>0.09</v>
      </c>
      <c r="AH1966" s="103">
        <v>5.6699999999999999E-6</v>
      </c>
      <c r="AI1966" s="103">
        <v>5.0000000000000004E-6</v>
      </c>
      <c r="AJ1966" s="62">
        <f t="shared" si="545"/>
        <v>-3.6349832674197451</v>
      </c>
      <c r="AK1966" s="62">
        <f t="shared" si="545"/>
        <v>-3.6895963219766328</v>
      </c>
      <c r="AL1966" s="62">
        <f t="shared" si="546"/>
        <v>-3.6895963219766328</v>
      </c>
      <c r="AM1966" s="62">
        <v>-3.1772200000000002</v>
      </c>
      <c r="AN1966" s="154">
        <v>-3.57</v>
      </c>
      <c r="AO1966" s="410">
        <v>15.24</v>
      </c>
      <c r="AP1966" s="410"/>
      <c r="AQ1966" s="154" t="s">
        <v>6311</v>
      </c>
      <c r="AR1966" s="154" t="s">
        <v>6311</v>
      </c>
      <c r="AS1966" s="149" t="s">
        <v>282</v>
      </c>
      <c r="AT1966" s="58" t="s">
        <v>266</v>
      </c>
      <c r="AU1966" s="155">
        <v>24</v>
      </c>
      <c r="AV1966" s="155">
        <v>120</v>
      </c>
      <c r="AW1966" s="155">
        <v>96</v>
      </c>
      <c r="AX1966" s="155">
        <v>28</v>
      </c>
      <c r="AY1966" s="155" t="s">
        <v>267</v>
      </c>
      <c r="AZ1966" s="155" t="s">
        <v>268</v>
      </c>
      <c r="BA1966" s="155">
        <v>48</v>
      </c>
      <c r="BB1966" s="55" t="s">
        <v>269</v>
      </c>
      <c r="BC1966" s="156" t="s">
        <v>270</v>
      </c>
      <c r="BD1966" s="156" t="s">
        <v>8374</v>
      </c>
      <c r="BE1966" s="155" t="s">
        <v>271</v>
      </c>
      <c r="BF1966" s="155" t="s">
        <v>272</v>
      </c>
      <c r="BG1966" s="155" t="s">
        <v>272</v>
      </c>
      <c r="BH1966" s="155" t="s">
        <v>272</v>
      </c>
      <c r="BI1966" s="153">
        <v>1</v>
      </c>
      <c r="BJ1966" s="153">
        <v>16000</v>
      </c>
      <c r="BK1966" s="56"/>
      <c r="BL1966" s="153">
        <v>3161.9297169680549</v>
      </c>
      <c r="BM1966" s="56">
        <v>0</v>
      </c>
      <c r="BN1966" s="153"/>
      <c r="BO1966" s="153"/>
      <c r="BP1966" s="153"/>
      <c r="BQ1966" s="153"/>
      <c r="BR1966" s="153"/>
      <c r="BS1966" s="153"/>
      <c r="BT1966" s="153"/>
      <c r="BU1966" s="153"/>
      <c r="BV1966" s="153"/>
      <c r="BW1966" s="153"/>
      <c r="BX1966" s="153"/>
      <c r="BY1966" s="153"/>
      <c r="BZ1966" s="153"/>
      <c r="CA1966" s="153"/>
      <c r="CB1966" s="153">
        <v>36211.941399999996</v>
      </c>
      <c r="CC1966" s="153"/>
      <c r="CD1966" s="153"/>
      <c r="CE1966" s="153"/>
      <c r="CF1966" s="153"/>
      <c r="CG1966" s="153"/>
      <c r="CH1966" s="153"/>
      <c r="CI1966" s="153">
        <v>36211.941399999996</v>
      </c>
      <c r="CJ1966" s="103">
        <f t="shared" si="543"/>
        <v>4.5588518089016707</v>
      </c>
      <c r="CK1966" s="57">
        <f t="shared" ref="CK1966:CK1997" si="549">BL1966/BJ1966</f>
        <v>0.19762060731050343</v>
      </c>
      <c r="CL1966" s="160">
        <f t="shared" si="547"/>
        <v>8.7317321157712222E-2</v>
      </c>
      <c r="CM1966" s="153">
        <v>2.8171348229570792</v>
      </c>
      <c r="CN1966" s="160">
        <f>BJ1966/(10^CM1966)</f>
        <v>24.377275172214901</v>
      </c>
      <c r="CO1966" s="55" t="s">
        <v>273</v>
      </c>
      <c r="CP1966" s="503" t="s">
        <v>274</v>
      </c>
      <c r="CQ1966" s="153">
        <v>3.7646752173993483</v>
      </c>
      <c r="CR1966" s="349">
        <f>10^(CJ1966-CQ1966)</f>
        <v>6.2255337447153254</v>
      </c>
      <c r="CS1966" s="61" t="s">
        <v>539</v>
      </c>
      <c r="CT1966" s="61"/>
      <c r="CU1966" s="111">
        <f t="shared" si="548"/>
        <v>27.615199885416811</v>
      </c>
      <c r="CV1966" s="331">
        <f t="shared" ref="CV1966:CV1997" si="550">X1966/BJ1966</f>
        <v>62.500000000000007</v>
      </c>
      <c r="CW1966" s="326">
        <f t="shared" si="544"/>
        <v>1</v>
      </c>
      <c r="CX1966" s="326"/>
      <c r="CY1966" s="161" t="s">
        <v>6351</v>
      </c>
    </row>
    <row r="1967" spans="1:103" ht="11.25" customHeight="1" x14ac:dyDescent="0.2">
      <c r="A1967" s="72">
        <v>7</v>
      </c>
      <c r="B1967" s="149">
        <v>36</v>
      </c>
      <c r="C1967" s="54" t="s">
        <v>428</v>
      </c>
      <c r="D1967" s="54" t="s">
        <v>6432</v>
      </c>
      <c r="E1967" s="59"/>
      <c r="F1967" s="150" t="str">
        <f>HYPERLINK("http://www.sigmaaldrich.com/catalog/Lookup.do?N5=CAS+No.&amp;N3=mode+matchpartialmax&amp;N4=56-81-5&amp;D7=0&amp;D10=&amp;N25=0&amp;N1=S_ID&amp;ST=RS&amp;F=PR","56-81-5")</f>
        <v>56-81-5</v>
      </c>
      <c r="G1967" s="151">
        <v>56815</v>
      </c>
      <c r="H1967" s="55" t="s">
        <v>429</v>
      </c>
      <c r="I1967" s="55" t="s">
        <v>429</v>
      </c>
      <c r="J1967" s="55" t="s">
        <v>430</v>
      </c>
      <c r="K1967" s="55" t="s">
        <v>426</v>
      </c>
      <c r="L1967" s="64" t="s">
        <v>6147</v>
      </c>
      <c r="M1967" s="55" t="s">
        <v>6025</v>
      </c>
      <c r="N1967" s="60" t="s">
        <v>2342</v>
      </c>
      <c r="O1967" s="55"/>
      <c r="P1967" s="67" t="s">
        <v>1639</v>
      </c>
      <c r="Q1967" s="67" t="s">
        <v>6173</v>
      </c>
      <c r="R1967" s="67">
        <v>1</v>
      </c>
      <c r="S1967" s="67" t="s">
        <v>6173</v>
      </c>
      <c r="T1967" s="59">
        <v>92.09</v>
      </c>
      <c r="U1967" s="153">
        <v>1000000</v>
      </c>
      <c r="V1967" s="153">
        <v>1000000</v>
      </c>
      <c r="W1967" s="153">
        <v>1009746.7708282595</v>
      </c>
      <c r="X1967" s="153">
        <v>1000000</v>
      </c>
      <c r="Y1967" s="410">
        <v>6.27</v>
      </c>
      <c r="Z1967" s="59">
        <v>-1.65</v>
      </c>
      <c r="AA1967" s="59">
        <v>-1.76</v>
      </c>
      <c r="AB1967" s="59">
        <v>-1.57</v>
      </c>
      <c r="AC1967" s="59">
        <v>0.88339999999999996</v>
      </c>
      <c r="AD1967" s="59">
        <v>-1.73</v>
      </c>
      <c r="AE1967" s="59">
        <v>-2.3199999999999998</v>
      </c>
      <c r="AF1967" s="59">
        <f>IF(AA1967=0,AD1967,AA1967)</f>
        <v>-1.76</v>
      </c>
      <c r="AG1967" s="57">
        <v>-1.41</v>
      </c>
      <c r="AH1967" s="103">
        <v>6.3499999999999998E-9</v>
      </c>
      <c r="AI1967" s="103">
        <v>1.7299999999999999E-8</v>
      </c>
      <c r="AJ1967" s="62">
        <f t="shared" si="545"/>
        <v>-6.5857926010206764</v>
      </c>
      <c r="AK1967" s="62">
        <f t="shared" si="545"/>
        <v>-6.1505202231838565</v>
      </c>
      <c r="AL1967" s="62">
        <f t="shared" si="546"/>
        <v>-6.1505202231838565</v>
      </c>
      <c r="AM1967" s="62">
        <v>-10.09398</v>
      </c>
      <c r="AN1967" s="154">
        <v>-7.48</v>
      </c>
      <c r="AO1967" s="410">
        <v>13.68</v>
      </c>
      <c r="AP1967" s="410"/>
      <c r="AQ1967" s="154" t="s">
        <v>6311</v>
      </c>
      <c r="AR1967" s="154" t="s">
        <v>6311</v>
      </c>
      <c r="AS1967" s="149" t="s">
        <v>282</v>
      </c>
      <c r="AT1967" s="58" t="s">
        <v>266</v>
      </c>
      <c r="AU1967" s="155">
        <v>24</v>
      </c>
      <c r="AV1967" s="155">
        <v>120</v>
      </c>
      <c r="AW1967" s="155">
        <v>96</v>
      </c>
      <c r="AX1967" s="155">
        <v>28</v>
      </c>
      <c r="AY1967" s="155" t="s">
        <v>267</v>
      </c>
      <c r="AZ1967" s="155" t="s">
        <v>268</v>
      </c>
      <c r="BA1967" s="155">
        <v>48</v>
      </c>
      <c r="BB1967" s="55" t="s">
        <v>269</v>
      </c>
      <c r="BC1967" s="156" t="s">
        <v>270</v>
      </c>
      <c r="BD1967" s="156" t="s">
        <v>8374</v>
      </c>
      <c r="BE1967" s="155" t="s">
        <v>271</v>
      </c>
      <c r="BF1967" s="155" t="s">
        <v>272</v>
      </c>
      <c r="BG1967" s="155" t="s">
        <v>272</v>
      </c>
      <c r="BH1967" s="155" t="s">
        <v>272</v>
      </c>
      <c r="BI1967" s="153">
        <v>0.99978286830962981</v>
      </c>
      <c r="BJ1967" s="153">
        <v>1599.6525892954078</v>
      </c>
      <c r="BK1967" s="56"/>
      <c r="BL1967" s="153">
        <v>143508.4497404694</v>
      </c>
      <c r="BM1967" s="56">
        <v>0</v>
      </c>
      <c r="BN1967" s="56"/>
      <c r="BO1967" s="56"/>
      <c r="BP1967" s="56"/>
      <c r="BQ1967" s="56"/>
      <c r="BR1967" s="56"/>
      <c r="BS1967" s="56"/>
      <c r="BT1967" s="56"/>
      <c r="BU1967" s="158"/>
      <c r="BV1967" s="56"/>
      <c r="BW1967" s="56"/>
      <c r="BX1967" s="56"/>
      <c r="BY1967" s="56"/>
      <c r="BZ1967" s="56"/>
      <c r="CA1967" s="56"/>
      <c r="CB1967" s="56">
        <v>23352.182200000003</v>
      </c>
      <c r="CC1967" s="56"/>
      <c r="CD1967" s="56"/>
      <c r="CE1967" s="56"/>
      <c r="CF1967" s="56"/>
      <c r="CG1967" s="56"/>
      <c r="CH1967" s="56"/>
      <c r="CI1967" s="103">
        <v>23352.182200000003</v>
      </c>
      <c r="CJ1967" s="103">
        <f t="shared" si="543"/>
        <v>4.3683274704754149</v>
      </c>
      <c r="CK1967" s="57">
        <f t="shared" si="549"/>
        <v>89.712260462554539</v>
      </c>
      <c r="CL1967" s="160">
        <f t="shared" si="547"/>
        <v>6.1453978266951594</v>
      </c>
      <c r="CM1967" s="160"/>
      <c r="CN1967" s="160"/>
      <c r="CO1967" s="55" t="s">
        <v>273</v>
      </c>
      <c r="CP1967" s="503" t="s">
        <v>274</v>
      </c>
      <c r="CQ1967" s="153">
        <v>4.7323937598229682</v>
      </c>
      <c r="CR1967" s="349">
        <f>10^(CJ1967-CQ1967)</f>
        <v>0.43244781851851882</v>
      </c>
      <c r="CS1967" s="61" t="s">
        <v>539</v>
      </c>
      <c r="CT1967" s="61"/>
      <c r="CU1967" s="111">
        <f t="shared" si="548"/>
        <v>42.822550433851951</v>
      </c>
      <c r="CV1967" s="331">
        <f t="shared" si="550"/>
        <v>625.13573677923762</v>
      </c>
      <c r="CW1967" s="326">
        <f t="shared" si="544"/>
        <v>1</v>
      </c>
      <c r="CX1967" s="326"/>
      <c r="CY1967" s="161" t="s">
        <v>6351</v>
      </c>
    </row>
    <row r="1968" spans="1:103" ht="11.25" customHeight="1" x14ac:dyDescent="0.2">
      <c r="A1968" s="72">
        <v>8</v>
      </c>
      <c r="B1968" s="149">
        <v>2</v>
      </c>
      <c r="C1968" s="54" t="s">
        <v>275</v>
      </c>
      <c r="D1968" s="54" t="s">
        <v>8542</v>
      </c>
      <c r="E1968" s="59"/>
      <c r="F1968" s="59" t="s">
        <v>276</v>
      </c>
      <c r="G1968" s="151">
        <v>51558</v>
      </c>
      <c r="H1968" s="55" t="s">
        <v>277</v>
      </c>
      <c r="I1968" s="55" t="s">
        <v>277</v>
      </c>
      <c r="J1968" s="55" t="s">
        <v>278</v>
      </c>
      <c r="K1968" s="55" t="s">
        <v>264</v>
      </c>
      <c r="L1968" s="64" t="s">
        <v>279</v>
      </c>
      <c r="M1968" s="55" t="s">
        <v>280</v>
      </c>
      <c r="N1968" s="60"/>
      <c r="O1968" s="55" t="s">
        <v>281</v>
      </c>
      <c r="P1968" s="67"/>
      <c r="Q1968" s="67"/>
      <c r="R1968" s="67"/>
      <c r="S1968" s="67"/>
      <c r="T1968" s="59">
        <v>289.37</v>
      </c>
      <c r="U1968" s="153">
        <v>3560</v>
      </c>
      <c r="V1968" s="153">
        <v>3944</v>
      </c>
      <c r="W1968" s="153">
        <v>2639.0857658441932</v>
      </c>
      <c r="X1968" s="153">
        <v>3560</v>
      </c>
      <c r="Y1968" s="410">
        <v>10.95</v>
      </c>
      <c r="Z1968" s="59">
        <v>1.91</v>
      </c>
      <c r="AA1968" s="59">
        <v>1.83</v>
      </c>
      <c r="AB1968" s="59">
        <v>1.95</v>
      </c>
      <c r="AC1968" s="59">
        <v>0.89380000000000004</v>
      </c>
      <c r="AD1968" s="59">
        <v>1.86</v>
      </c>
      <c r="AE1968" s="59">
        <v>1.53</v>
      </c>
      <c r="AF1968" s="59">
        <f>IF(AA1968=0,AD1968,AA1968)</f>
        <v>1.83</v>
      </c>
      <c r="AG1968" s="57">
        <v>1.91</v>
      </c>
      <c r="AH1968" s="103">
        <v>2.73E-13</v>
      </c>
      <c r="AI1968" s="103"/>
      <c r="AJ1968" s="62">
        <f t="shared" ref="AJ1968:AJ2005" si="551">LOG10(AH1968*1000/(0.08206*298.15))</f>
        <v>-10.952403679271896</v>
      </c>
      <c r="AK1968" s="62"/>
      <c r="AL1968" s="62">
        <f t="shared" si="546"/>
        <v>-10.952403679271896</v>
      </c>
      <c r="AM1968" s="62">
        <v>-14.121339999999998</v>
      </c>
      <c r="AN1968" s="154">
        <v>-9.2200000000000006</v>
      </c>
      <c r="AO1968" s="410">
        <v>14.12</v>
      </c>
      <c r="AP1968" s="410">
        <v>9.98</v>
      </c>
      <c r="AQ1968" s="154" t="s">
        <v>6311</v>
      </c>
      <c r="AR1968" s="154" t="s">
        <v>6312</v>
      </c>
      <c r="AS1968" s="149" t="s">
        <v>282</v>
      </c>
      <c r="AT1968" s="58" t="s">
        <v>266</v>
      </c>
      <c r="AU1968" s="155">
        <v>24</v>
      </c>
      <c r="AV1968" s="155">
        <v>120</v>
      </c>
      <c r="AW1968" s="155">
        <v>96</v>
      </c>
      <c r="AX1968" s="155">
        <v>28</v>
      </c>
      <c r="AY1968" s="155" t="s">
        <v>267</v>
      </c>
      <c r="AZ1968" s="155" t="s">
        <v>268</v>
      </c>
      <c r="BA1968" s="155">
        <v>48</v>
      </c>
      <c r="BB1968" s="55" t="s">
        <v>269</v>
      </c>
      <c r="BC1968" s="156" t="s">
        <v>270</v>
      </c>
      <c r="BD1968" s="156" t="s">
        <v>8374</v>
      </c>
      <c r="BE1968" s="155" t="s">
        <v>271</v>
      </c>
      <c r="BF1968" s="155" t="s">
        <v>272</v>
      </c>
      <c r="BG1968" s="155" t="s">
        <v>272</v>
      </c>
      <c r="BH1968" s="155" t="s">
        <v>272</v>
      </c>
      <c r="BI1968" s="153">
        <v>0.99996544336166981</v>
      </c>
      <c r="BJ1968" s="153">
        <v>1599.9447093786719</v>
      </c>
      <c r="BK1968" s="56"/>
      <c r="BL1968" s="153">
        <v>286.34031889166783</v>
      </c>
      <c r="BM1968" s="56">
        <v>0</v>
      </c>
      <c r="BN1968" s="56"/>
      <c r="BO1968" s="56"/>
      <c r="BP1968" s="56"/>
      <c r="BQ1968" s="56"/>
      <c r="BR1968" s="56"/>
      <c r="BS1968" s="56"/>
      <c r="BT1968" s="56"/>
      <c r="BU1968" s="158"/>
      <c r="BV1968" s="56"/>
      <c r="BW1968" s="56"/>
      <c r="BX1968" s="56"/>
      <c r="BY1968" s="56">
        <v>3443.5030000000002</v>
      </c>
      <c r="BZ1968" s="56">
        <v>3330.6487000000002</v>
      </c>
      <c r="CA1968" s="56">
        <v>1186.4169999999999</v>
      </c>
      <c r="CB1968" s="56">
        <v>607.67700000000002</v>
      </c>
      <c r="CC1968" s="56"/>
      <c r="CD1968" s="56"/>
      <c r="CE1968" s="56"/>
      <c r="CF1968" s="56"/>
      <c r="CG1968" s="56"/>
      <c r="CH1968" s="56"/>
      <c r="CI1968" s="103">
        <v>607.67700000000002</v>
      </c>
      <c r="CJ1968" s="103">
        <f t="shared" si="543"/>
        <v>2.7836727990227907</v>
      </c>
      <c r="CK1968" s="57">
        <f t="shared" si="549"/>
        <v>0.17896888387028465</v>
      </c>
      <c r="CL1968" s="160">
        <f t="shared" si="547"/>
        <v>0.47120479941098287</v>
      </c>
      <c r="CM1968" s="160"/>
      <c r="CN1968" s="160"/>
      <c r="CO1968" s="55" t="s">
        <v>273</v>
      </c>
      <c r="CP1968" s="503" t="s">
        <v>274</v>
      </c>
      <c r="CQ1968" s="149" t="s">
        <v>272</v>
      </c>
      <c r="CR1968" s="349"/>
      <c r="CS1968" s="61" t="s">
        <v>539</v>
      </c>
      <c r="CT1968" s="61"/>
      <c r="CU1968" s="111">
        <f t="shared" si="548"/>
        <v>5.8583754198365252</v>
      </c>
      <c r="CV1968" s="331">
        <f t="shared" si="550"/>
        <v>2.2250768911773853</v>
      </c>
      <c r="CW1968" s="326">
        <f t="shared" si="544"/>
        <v>1</v>
      </c>
      <c r="CX1968" s="326"/>
      <c r="CY1968" s="161" t="s">
        <v>5921</v>
      </c>
    </row>
    <row r="1969" spans="1:103" ht="11.25" customHeight="1" x14ac:dyDescent="0.2">
      <c r="A1969" s="72">
        <v>9</v>
      </c>
      <c r="B1969" s="149">
        <v>7</v>
      </c>
      <c r="C1969" s="54" t="s">
        <v>307</v>
      </c>
      <c r="D1969" s="54"/>
      <c r="E1969" s="59"/>
      <c r="F1969" s="59" t="s">
        <v>308</v>
      </c>
      <c r="G1969" s="151">
        <v>52266</v>
      </c>
      <c r="H1969" s="55" t="s">
        <v>309</v>
      </c>
      <c r="I1969" s="55" t="s">
        <v>8278</v>
      </c>
      <c r="J1969" s="55" t="s">
        <v>310</v>
      </c>
      <c r="K1969" s="55" t="s">
        <v>311</v>
      </c>
      <c r="L1969" s="64"/>
      <c r="M1969" s="55"/>
      <c r="N1969" s="60"/>
      <c r="O1969" s="55"/>
      <c r="P1969" s="67"/>
      <c r="Q1969" s="67"/>
      <c r="R1969" s="67"/>
      <c r="S1969" s="67"/>
      <c r="T1969" s="59">
        <v>423.89</v>
      </c>
      <c r="U1969" s="153"/>
      <c r="V1969" s="103">
        <v>28560</v>
      </c>
      <c r="W1969" s="103"/>
      <c r="X1969" s="103">
        <v>28560</v>
      </c>
      <c r="Y1969" s="410"/>
      <c r="Z1969" s="59">
        <v>-0.57999999999999996</v>
      </c>
      <c r="AA1969" s="59"/>
      <c r="AB1969" s="59"/>
      <c r="AC1969" s="59"/>
      <c r="AD1969" s="59"/>
      <c r="AE1969" s="59"/>
      <c r="AF1969" s="59"/>
      <c r="AG1969" s="68">
        <v>1.85</v>
      </c>
      <c r="AH1969" s="103">
        <v>8.4100000000000001E-24</v>
      </c>
      <c r="AI1969" s="153"/>
      <c r="AJ1969" s="62">
        <f t="shared" si="551"/>
        <v>-21.463770330514741</v>
      </c>
      <c r="AK1969" s="62"/>
      <c r="AL1969" s="62">
        <f t="shared" si="546"/>
        <v>-21.463770330514741</v>
      </c>
      <c r="AM1969" s="62"/>
      <c r="AN1969" s="152">
        <v>-14.2</v>
      </c>
      <c r="AO1969" s="410"/>
      <c r="AP1969" s="410"/>
      <c r="AQ1969" s="152" t="s">
        <v>6311</v>
      </c>
      <c r="AR1969" s="152" t="s">
        <v>6311</v>
      </c>
      <c r="AS1969" s="149" t="s">
        <v>301</v>
      </c>
      <c r="AT1969" s="58" t="s">
        <v>266</v>
      </c>
      <c r="AU1969" s="155">
        <v>24</v>
      </c>
      <c r="AV1969" s="155">
        <v>120</v>
      </c>
      <c r="AW1969" s="155">
        <v>96</v>
      </c>
      <c r="AX1969" s="155">
        <v>28</v>
      </c>
      <c r="AY1969" s="155" t="s">
        <v>267</v>
      </c>
      <c r="AZ1969" s="155" t="s">
        <v>268</v>
      </c>
      <c r="BA1969" s="155">
        <v>48</v>
      </c>
      <c r="BB1969" s="55" t="s">
        <v>269</v>
      </c>
      <c r="BC1969" s="156" t="s">
        <v>270</v>
      </c>
      <c r="BD1969" s="156" t="s">
        <v>8374</v>
      </c>
      <c r="BE1969" s="155" t="s">
        <v>271</v>
      </c>
      <c r="BF1969" s="155" t="s">
        <v>272</v>
      </c>
      <c r="BG1969" s="155" t="s">
        <v>272</v>
      </c>
      <c r="BH1969" s="155" t="s">
        <v>272</v>
      </c>
      <c r="BI1969" s="153">
        <v>1</v>
      </c>
      <c r="BJ1969" s="153">
        <v>16000.000000000002</v>
      </c>
      <c r="BK1969" s="56"/>
      <c r="BL1969" s="153">
        <v>72268.854543921887</v>
      </c>
      <c r="BM1969" s="56">
        <v>0</v>
      </c>
      <c r="BN1969" s="56"/>
      <c r="BO1969" s="56"/>
      <c r="BP1969" s="56"/>
      <c r="BQ1969" s="56"/>
      <c r="BR1969" s="56"/>
      <c r="BS1969" s="56"/>
      <c r="BT1969" s="56"/>
      <c r="BU1969" s="158"/>
      <c r="BV1969" s="56"/>
      <c r="BW1969" s="56"/>
      <c r="BX1969" s="56"/>
      <c r="BY1969" s="56">
        <v>52507.254300000001</v>
      </c>
      <c r="BZ1969" s="56">
        <v>52507.254300000001</v>
      </c>
      <c r="CA1969" s="56">
        <v>52507.254300000001</v>
      </c>
      <c r="CB1969" s="56">
        <v>9914.7870999999996</v>
      </c>
      <c r="CC1969" s="56"/>
      <c r="CD1969" s="56"/>
      <c r="CE1969" s="56"/>
      <c r="CF1969" s="56"/>
      <c r="CG1969" s="56"/>
      <c r="CH1969" s="56"/>
      <c r="CI1969" s="103">
        <v>9914.7870999999996</v>
      </c>
      <c r="CJ1969" s="103">
        <f t="shared" si="543"/>
        <v>3.9962833930458199</v>
      </c>
      <c r="CK1969" s="57">
        <f t="shared" si="549"/>
        <v>4.5168034089951172</v>
      </c>
      <c r="CL1969" s="160">
        <f t="shared" si="547"/>
        <v>7.2889971125977979</v>
      </c>
      <c r="CM1969" s="160"/>
      <c r="CN1969" s="160"/>
      <c r="CO1969" s="55" t="s">
        <v>273</v>
      </c>
      <c r="CP1969" s="503" t="s">
        <v>274</v>
      </c>
      <c r="CQ1969" s="149" t="s">
        <v>272</v>
      </c>
      <c r="CR1969" s="349"/>
      <c r="CS1969" s="61" t="s">
        <v>539</v>
      </c>
      <c r="CT1969" s="61"/>
      <c r="CU1969" s="111">
        <f t="shared" si="548"/>
        <v>2.8805459675478056</v>
      </c>
      <c r="CV1969" s="331">
        <f t="shared" si="550"/>
        <v>1.7849999999999997</v>
      </c>
      <c r="CW1969" s="326">
        <f t="shared" si="544"/>
        <v>1</v>
      </c>
      <c r="CX1969" s="326"/>
      <c r="CY1969" s="161" t="s">
        <v>5921</v>
      </c>
    </row>
    <row r="1970" spans="1:103" ht="11.25" customHeight="1" x14ac:dyDescent="0.2">
      <c r="A1970" s="72">
        <v>10</v>
      </c>
      <c r="B1970" s="149">
        <v>54</v>
      </c>
      <c r="C1970" s="54" t="s">
        <v>504</v>
      </c>
      <c r="D1970" s="54" t="s">
        <v>6440</v>
      </c>
      <c r="E1970" s="59"/>
      <c r="F1970" s="150" t="str">
        <f>HYPERLINK("http://www.sigmaaldrich.com/catalog/Lookup.do?N5=CAS+No.&amp;N3=mode+matchpartialmax&amp;N4=67-68-5&amp;D7=0&amp;D10=&amp;N25=0&amp;N1=S_ID&amp;ST=RS&amp;F=PR","67-68-5")</f>
        <v>67-68-5</v>
      </c>
      <c r="G1970" s="151">
        <v>67685</v>
      </c>
      <c r="H1970" s="55" t="s">
        <v>505</v>
      </c>
      <c r="I1970" s="55" t="s">
        <v>505</v>
      </c>
      <c r="J1970" s="55" t="s">
        <v>506</v>
      </c>
      <c r="K1970" s="55" t="s">
        <v>426</v>
      </c>
      <c r="L1970" s="64" t="s">
        <v>279</v>
      </c>
      <c r="M1970" s="55" t="s">
        <v>507</v>
      </c>
      <c r="N1970" s="60" t="s">
        <v>6082</v>
      </c>
      <c r="O1970" s="55" t="s">
        <v>6091</v>
      </c>
      <c r="P1970" s="67"/>
      <c r="Q1970" s="67" t="s">
        <v>6173</v>
      </c>
      <c r="R1970" s="67" t="s">
        <v>6185</v>
      </c>
      <c r="S1970" s="67" t="s">
        <v>6176</v>
      </c>
      <c r="T1970" s="59">
        <v>78.13</v>
      </c>
      <c r="U1970" s="153">
        <v>999999.99999999988</v>
      </c>
      <c r="V1970" s="153">
        <v>999999.99999999988</v>
      </c>
      <c r="W1970" s="153">
        <v>1006509.3747378461</v>
      </c>
      <c r="X1970" s="153">
        <v>999999.99999999988</v>
      </c>
      <c r="Y1970" s="410">
        <v>7</v>
      </c>
      <c r="Z1970" s="59">
        <v>-1.22</v>
      </c>
      <c r="AA1970" s="59">
        <v>-1.35</v>
      </c>
      <c r="AB1970" s="59">
        <v>-0.67</v>
      </c>
      <c r="AC1970" s="59">
        <v>0.73660000000000003</v>
      </c>
      <c r="AD1970" s="59">
        <v>-0.91</v>
      </c>
      <c r="AE1970" s="59">
        <v>-1.35</v>
      </c>
      <c r="AF1970" s="59">
        <f>IF(AA1970=0,AD1970,AA1970)</f>
        <v>-1.35</v>
      </c>
      <c r="AG1970" s="57">
        <v>-0.34</v>
      </c>
      <c r="AH1970" s="103">
        <v>4.9600000000000001E-8</v>
      </c>
      <c r="AI1970" s="103">
        <v>1.51E-9</v>
      </c>
      <c r="AJ1970" s="62">
        <f t="shared" si="551"/>
        <v>-5.6930846498224543</v>
      </c>
      <c r="AK1970" s="62">
        <f>LOG10(AI1970*1000/(0.08206*298.15))</f>
        <v>-7.2095893790194827</v>
      </c>
      <c r="AL1970" s="62">
        <f t="shared" si="546"/>
        <v>-7.2095893790194827</v>
      </c>
      <c r="AM1970" s="62">
        <v>-7.0543600000000009</v>
      </c>
      <c r="AN1970" s="154">
        <v>2.0099999999999998</v>
      </c>
      <c r="AO1970" s="410"/>
      <c r="AP1970" s="410"/>
      <c r="AQ1970" s="154" t="s">
        <v>6311</v>
      </c>
      <c r="AR1970" s="154" t="s">
        <v>6311</v>
      </c>
      <c r="AS1970" s="149" t="s">
        <v>282</v>
      </c>
      <c r="AT1970" s="58" t="s">
        <v>266</v>
      </c>
      <c r="AU1970" s="155">
        <v>24</v>
      </c>
      <c r="AV1970" s="155">
        <v>120</v>
      </c>
      <c r="AW1970" s="155">
        <v>96</v>
      </c>
      <c r="AX1970" s="155">
        <v>28</v>
      </c>
      <c r="AY1970" s="155" t="s">
        <v>267</v>
      </c>
      <c r="AZ1970" s="155" t="s">
        <v>268</v>
      </c>
      <c r="BA1970" s="155">
        <v>48</v>
      </c>
      <c r="BB1970" s="55" t="s">
        <v>269</v>
      </c>
      <c r="BC1970" s="156" t="s">
        <v>270</v>
      </c>
      <c r="BD1970" s="156" t="s">
        <v>8374</v>
      </c>
      <c r="BE1970" s="155" t="s">
        <v>271</v>
      </c>
      <c r="BF1970" s="155" t="s">
        <v>272</v>
      </c>
      <c r="BG1970" s="155" t="s">
        <v>272</v>
      </c>
      <c r="BH1970" s="155" t="s">
        <v>272</v>
      </c>
      <c r="BI1970" s="153">
        <v>0.99999999999999989</v>
      </c>
      <c r="BJ1970" s="153">
        <v>32000</v>
      </c>
      <c r="BK1970" s="56"/>
      <c r="BL1970" s="153">
        <v>50037.986350047962</v>
      </c>
      <c r="BM1970" s="56">
        <v>0</v>
      </c>
      <c r="BN1970" s="56"/>
      <c r="BO1970" s="56"/>
      <c r="BP1970" s="56"/>
      <c r="BQ1970" s="56"/>
      <c r="BR1970" s="56"/>
      <c r="BS1970" s="56"/>
      <c r="BT1970" s="56"/>
      <c r="BU1970" s="158"/>
      <c r="BV1970" s="56"/>
      <c r="BW1970" s="56"/>
      <c r="BX1970" s="56"/>
      <c r="BY1970" s="56"/>
      <c r="BZ1970" s="56">
        <v>31187.152099999999</v>
      </c>
      <c r="CA1970" s="56">
        <v>18816.047900000001</v>
      </c>
      <c r="CB1970" s="56">
        <v>20964.622899999998</v>
      </c>
      <c r="CC1970" s="56"/>
      <c r="CD1970" s="56"/>
      <c r="CE1970" s="56"/>
      <c r="CF1970" s="56"/>
      <c r="CG1970" s="56"/>
      <c r="CH1970" s="56"/>
      <c r="CI1970" s="103">
        <v>18816.047900000001</v>
      </c>
      <c r="CJ1970" s="103">
        <f t="shared" si="543"/>
        <v>4.2745284099806113</v>
      </c>
      <c r="CK1970" s="57">
        <f t="shared" si="549"/>
        <v>1.5636870734389989</v>
      </c>
      <c r="CL1970" s="160">
        <f t="shared" si="547"/>
        <v>2.6593249876903191</v>
      </c>
      <c r="CM1970" s="160">
        <v>4.5321166480173769</v>
      </c>
      <c r="CN1970" s="160">
        <f>BJ1970/(10^CM1970)</f>
        <v>0.93979543320367398</v>
      </c>
      <c r="CO1970" s="55" t="s">
        <v>273</v>
      </c>
      <c r="CP1970" s="503" t="s">
        <v>274</v>
      </c>
      <c r="CQ1970" s="153">
        <v>4.5498980085144174</v>
      </c>
      <c r="CR1970" s="349">
        <f>10^(CJ1970-CQ1970)</f>
        <v>0.53043283673467145</v>
      </c>
      <c r="CS1970" s="61" t="s">
        <v>539</v>
      </c>
      <c r="CT1970" s="61"/>
      <c r="CU1970" s="111">
        <f t="shared" si="548"/>
        <v>53.146123209008188</v>
      </c>
      <c r="CV1970" s="331">
        <f t="shared" si="550"/>
        <v>31.249999999999996</v>
      </c>
      <c r="CW1970" s="326">
        <f t="shared" si="544"/>
        <v>1</v>
      </c>
      <c r="CX1970" s="326"/>
      <c r="CY1970" s="161" t="s">
        <v>6351</v>
      </c>
    </row>
    <row r="1971" spans="1:103" ht="11.25" customHeight="1" x14ac:dyDescent="0.2">
      <c r="A1971" s="72">
        <v>12</v>
      </c>
      <c r="B1971" s="149">
        <v>48</v>
      </c>
      <c r="C1971" s="54" t="s">
        <v>479</v>
      </c>
      <c r="D1971" s="54" t="s">
        <v>8352</v>
      </c>
      <c r="E1971" s="59"/>
      <c r="F1971" s="59" t="s">
        <v>480</v>
      </c>
      <c r="G1971" s="151">
        <v>54853</v>
      </c>
      <c r="H1971" s="55" t="s">
        <v>481</v>
      </c>
      <c r="I1971" s="55" t="s">
        <v>481</v>
      </c>
      <c r="J1971" s="55" t="s">
        <v>482</v>
      </c>
      <c r="K1971" s="55" t="s">
        <v>483</v>
      </c>
      <c r="L1971" s="64" t="s">
        <v>279</v>
      </c>
      <c r="M1971" s="55" t="s">
        <v>484</v>
      </c>
      <c r="N1971" s="60"/>
      <c r="O1971" s="55" t="s">
        <v>281</v>
      </c>
      <c r="P1971" s="67"/>
      <c r="Q1971" s="67"/>
      <c r="R1971" s="67"/>
      <c r="S1971" s="67"/>
      <c r="T1971" s="59">
        <v>137.13999999999999</v>
      </c>
      <c r="U1971" s="153">
        <v>140000</v>
      </c>
      <c r="V1971" s="153">
        <v>16690</v>
      </c>
      <c r="W1971" s="153"/>
      <c r="X1971" s="153">
        <v>140000</v>
      </c>
      <c r="Y1971" s="410">
        <v>7.32</v>
      </c>
      <c r="Z1971" s="59">
        <v>-0.81</v>
      </c>
      <c r="AA1971" s="59">
        <v>-0.7</v>
      </c>
      <c r="AB1971" s="59">
        <v>-0.52</v>
      </c>
      <c r="AC1971" s="59">
        <v>0.80269999999999997</v>
      </c>
      <c r="AD1971" s="59">
        <v>-0.63</v>
      </c>
      <c r="AE1971" s="59">
        <v>-0.89</v>
      </c>
      <c r="AF1971" s="59">
        <f>IF(AA1971=0,AD1971,AA1971)</f>
        <v>-0.7</v>
      </c>
      <c r="AG1971" s="57">
        <v>-0.67</v>
      </c>
      <c r="AH1971" s="103">
        <v>1.21E-14</v>
      </c>
      <c r="AI1971" s="103"/>
      <c r="AJ1971" s="62">
        <f t="shared" si="551"/>
        <v>-12.305780955996202</v>
      </c>
      <c r="AK1971" s="62"/>
      <c r="AL1971" s="62">
        <f t="shared" si="546"/>
        <v>-12.305780955996202</v>
      </c>
      <c r="AM1971" s="62">
        <v>-14.64358</v>
      </c>
      <c r="AN1971" s="154">
        <v>-11.7</v>
      </c>
      <c r="AO1971" s="410">
        <v>11.4</v>
      </c>
      <c r="AP1971" s="410">
        <v>3.79</v>
      </c>
      <c r="AQ1971" s="154" t="s">
        <v>6311</v>
      </c>
      <c r="AR1971" s="154" t="s">
        <v>6311</v>
      </c>
      <c r="AS1971" s="149" t="s">
        <v>282</v>
      </c>
      <c r="AT1971" s="58" t="s">
        <v>266</v>
      </c>
      <c r="AU1971" s="155">
        <v>24</v>
      </c>
      <c r="AV1971" s="155">
        <v>120</v>
      </c>
      <c r="AW1971" s="155">
        <v>96</v>
      </c>
      <c r="AX1971" s="155">
        <v>28</v>
      </c>
      <c r="AY1971" s="155" t="s">
        <v>267</v>
      </c>
      <c r="AZ1971" s="155" t="s">
        <v>268</v>
      </c>
      <c r="BA1971" s="155">
        <v>48</v>
      </c>
      <c r="BB1971" s="55" t="s">
        <v>269</v>
      </c>
      <c r="BC1971" s="156" t="s">
        <v>270</v>
      </c>
      <c r="BD1971" s="156" t="s">
        <v>8374</v>
      </c>
      <c r="BE1971" s="155" t="s">
        <v>271</v>
      </c>
      <c r="BF1971" s="155" t="s">
        <v>272</v>
      </c>
      <c r="BG1971" s="155" t="s">
        <v>272</v>
      </c>
      <c r="BH1971" s="155" t="s">
        <v>272</v>
      </c>
      <c r="BI1971" s="153">
        <v>1</v>
      </c>
      <c r="BJ1971" s="153">
        <v>3200</v>
      </c>
      <c r="BK1971" s="56"/>
      <c r="BL1971" s="153">
        <v>37620.550400801134</v>
      </c>
      <c r="BM1971" s="56">
        <v>0</v>
      </c>
      <c r="BN1971" s="56"/>
      <c r="BO1971" s="56"/>
      <c r="BP1971" s="56"/>
      <c r="BQ1971" s="56"/>
      <c r="BR1971" s="56"/>
      <c r="BS1971" s="56"/>
      <c r="BT1971" s="56"/>
      <c r="BU1971" s="158"/>
      <c r="BV1971" s="56"/>
      <c r="BW1971" s="56"/>
      <c r="BX1971" s="56"/>
      <c r="BY1971" s="56"/>
      <c r="BZ1971" s="56"/>
      <c r="CA1971" s="56">
        <v>3499.8127999999997</v>
      </c>
      <c r="CB1971" s="56">
        <v>1297.3444</v>
      </c>
      <c r="CC1971" s="56"/>
      <c r="CD1971" s="56"/>
      <c r="CE1971" s="56"/>
      <c r="CF1971" s="56"/>
      <c r="CG1971" s="56"/>
      <c r="CH1971" s="56"/>
      <c r="CI1971" s="103">
        <v>1297.3444</v>
      </c>
      <c r="CJ1971" s="103">
        <f t="shared" si="543"/>
        <v>3.1130552815311487</v>
      </c>
      <c r="CK1971" s="57">
        <f t="shared" si="549"/>
        <v>11.756422000250355</v>
      </c>
      <c r="CL1971" s="160">
        <f t="shared" si="547"/>
        <v>28.998121393826601</v>
      </c>
      <c r="CM1971" s="160"/>
      <c r="CN1971" s="160"/>
      <c r="CO1971" s="55" t="s">
        <v>273</v>
      </c>
      <c r="CP1971" s="503" t="s">
        <v>274</v>
      </c>
      <c r="CQ1971" s="149" t="s">
        <v>272</v>
      </c>
      <c r="CR1971" s="349"/>
      <c r="CS1971" s="61" t="s">
        <v>539</v>
      </c>
      <c r="CT1971" s="61"/>
      <c r="CU1971" s="111">
        <f t="shared" si="548"/>
        <v>107.91274853462195</v>
      </c>
      <c r="CV1971" s="331">
        <f t="shared" si="550"/>
        <v>43.75</v>
      </c>
      <c r="CW1971" s="326">
        <f t="shared" si="544"/>
        <v>1</v>
      </c>
      <c r="CX1971" s="326"/>
      <c r="CY1971" s="161" t="s">
        <v>5921</v>
      </c>
    </row>
    <row r="1972" spans="1:103" ht="11.25" customHeight="1" x14ac:dyDescent="0.2">
      <c r="A1972" s="72">
        <v>16</v>
      </c>
      <c r="B1972" s="149">
        <v>34</v>
      </c>
      <c r="C1972" s="54" t="s">
        <v>417</v>
      </c>
      <c r="D1972" s="54" t="s">
        <v>8353</v>
      </c>
      <c r="E1972" s="59"/>
      <c r="F1972" s="150" t="str">
        <f>HYPERLINK("http://www.sigmaaldrich.com/catalog/Lookup.do?N5=CAS+No.&amp;N3=mode+matchpartialmax&amp;N4=56-75-7&amp;D7=0&amp;D10=&amp;N25=0&amp;N1=S_ID&amp;ST=RS&amp;F=PR","56-75-7")</f>
        <v>56-75-7</v>
      </c>
      <c r="G1972" s="151">
        <v>56757</v>
      </c>
      <c r="H1972" s="55" t="s">
        <v>418</v>
      </c>
      <c r="I1972" s="55" t="s">
        <v>8208</v>
      </c>
      <c r="J1972" s="55" t="s">
        <v>419</v>
      </c>
      <c r="K1972" s="55" t="s">
        <v>420</v>
      </c>
      <c r="L1972" s="64" t="s">
        <v>279</v>
      </c>
      <c r="M1972" s="55" t="s">
        <v>8503</v>
      </c>
      <c r="N1972" s="60"/>
      <c r="O1972" s="55" t="s">
        <v>281</v>
      </c>
      <c r="P1972" s="67"/>
      <c r="Q1972" s="67"/>
      <c r="R1972" s="67"/>
      <c r="S1972" s="67"/>
      <c r="T1972" s="59">
        <v>323.13</v>
      </c>
      <c r="U1972" s="153">
        <v>2500</v>
      </c>
      <c r="V1972" s="153">
        <v>388.5</v>
      </c>
      <c r="W1972" s="153">
        <v>1069.9839928466963</v>
      </c>
      <c r="X1972" s="153">
        <v>2500</v>
      </c>
      <c r="Y1972" s="410">
        <v>6.58</v>
      </c>
      <c r="Z1972" s="59">
        <v>0.92</v>
      </c>
      <c r="AA1972" s="59">
        <v>1.1399999999999999</v>
      </c>
      <c r="AB1972" s="59">
        <v>1.02</v>
      </c>
      <c r="AC1972" s="59">
        <v>0.92410000000000003</v>
      </c>
      <c r="AD1972" s="59">
        <v>1.02</v>
      </c>
      <c r="AE1972" s="59">
        <v>1.02</v>
      </c>
      <c r="AF1972" s="59">
        <f>IF(AA1972=0,AD1972,AA1972)</f>
        <v>1.1399999999999999</v>
      </c>
      <c r="AG1972" s="57">
        <v>0.82</v>
      </c>
      <c r="AH1972" s="103">
        <v>2.2900000000000001E-18</v>
      </c>
      <c r="AI1972" s="103"/>
      <c r="AJ1972" s="62">
        <f t="shared" si="551"/>
        <v>-16.028730843972763</v>
      </c>
      <c r="AK1972" s="62"/>
      <c r="AL1972" s="62">
        <f t="shared" si="546"/>
        <v>-16.028730843972763</v>
      </c>
      <c r="AM1972" s="62">
        <v>-21.30564</v>
      </c>
      <c r="AN1972" s="154">
        <v>-15</v>
      </c>
      <c r="AO1972" s="410">
        <v>11.03</v>
      </c>
      <c r="AP1972" s="410">
        <v>-1.73</v>
      </c>
      <c r="AQ1972" s="154" t="s">
        <v>6311</v>
      </c>
      <c r="AR1972" s="154" t="s">
        <v>6311</v>
      </c>
      <c r="AS1972" s="149" t="s">
        <v>282</v>
      </c>
      <c r="AT1972" s="58" t="s">
        <v>266</v>
      </c>
      <c r="AU1972" s="155">
        <v>24</v>
      </c>
      <c r="AV1972" s="155">
        <v>120</v>
      </c>
      <c r="AW1972" s="155">
        <v>96</v>
      </c>
      <c r="AX1972" s="155">
        <v>28</v>
      </c>
      <c r="AY1972" s="155" t="s">
        <v>267</v>
      </c>
      <c r="AZ1972" s="155" t="s">
        <v>268</v>
      </c>
      <c r="BA1972" s="155">
        <v>48</v>
      </c>
      <c r="BB1972" s="55" t="s">
        <v>269</v>
      </c>
      <c r="BC1972" s="156" t="s">
        <v>270</v>
      </c>
      <c r="BD1972" s="156" t="s">
        <v>8374</v>
      </c>
      <c r="BE1972" s="155" t="s">
        <v>271</v>
      </c>
      <c r="BF1972" s="155" t="s">
        <v>272</v>
      </c>
      <c r="BG1972" s="155" t="s">
        <v>272</v>
      </c>
      <c r="BH1972" s="155" t="s">
        <v>272</v>
      </c>
      <c r="BI1972" s="153">
        <v>0.99993810923719639</v>
      </c>
      <c r="BJ1972" s="153">
        <v>1599.9009747795142</v>
      </c>
      <c r="BK1972" s="56"/>
      <c r="BL1972" s="153">
        <v>2476.9958593985561</v>
      </c>
      <c r="BM1972" s="56">
        <v>0</v>
      </c>
      <c r="BN1972" s="56"/>
      <c r="BO1972" s="56"/>
      <c r="BP1972" s="56"/>
      <c r="BQ1972" s="56"/>
      <c r="BR1972" s="56"/>
      <c r="BS1972" s="56"/>
      <c r="BT1972" s="56"/>
      <c r="BU1972" s="158"/>
      <c r="BV1972" s="56"/>
      <c r="BW1972" s="56"/>
      <c r="BX1972" s="56"/>
      <c r="BY1972" s="56">
        <v>7548.3167999999996</v>
      </c>
      <c r="BZ1972" s="56">
        <v>7548.3167999999996</v>
      </c>
      <c r="CA1972" s="56">
        <v>7548.3167999999996</v>
      </c>
      <c r="CB1972" s="56">
        <v>523.47059999999999</v>
      </c>
      <c r="CC1972" s="56"/>
      <c r="CD1972" s="56"/>
      <c r="CE1972" s="56"/>
      <c r="CF1972" s="56"/>
      <c r="CG1972" s="56"/>
      <c r="CH1972" s="56"/>
      <c r="CI1972" s="103">
        <v>523.47059999999999</v>
      </c>
      <c r="CJ1972" s="103">
        <f t="shared" si="543"/>
        <v>2.7188922951527466</v>
      </c>
      <c r="CK1972" s="57">
        <f t="shared" si="549"/>
        <v>1.5482182325314955</v>
      </c>
      <c r="CL1972" s="160">
        <f t="shared" si="547"/>
        <v>4.7318719702664414</v>
      </c>
      <c r="CM1972" s="160"/>
      <c r="CN1972" s="160"/>
      <c r="CO1972" s="55" t="s">
        <v>273</v>
      </c>
      <c r="CP1972" s="503" t="s">
        <v>274</v>
      </c>
      <c r="CQ1972" s="149" t="s">
        <v>272</v>
      </c>
      <c r="CR1972" s="349"/>
      <c r="CS1972" s="61" t="s">
        <v>539</v>
      </c>
      <c r="CT1972" s="61"/>
      <c r="CU1972" s="111">
        <f t="shared" si="548"/>
        <v>4.7758174002513227</v>
      </c>
      <c r="CV1972" s="331">
        <f t="shared" si="550"/>
        <v>1.562596710302355</v>
      </c>
      <c r="CW1972" s="326">
        <f t="shared" si="544"/>
        <v>1</v>
      </c>
      <c r="CX1972" s="326"/>
      <c r="CY1972" s="161" t="s">
        <v>5921</v>
      </c>
    </row>
    <row r="1973" spans="1:103" ht="14.45" customHeight="1" x14ac:dyDescent="0.2">
      <c r="A1973" s="72">
        <v>22</v>
      </c>
      <c r="B1973" s="149">
        <v>45</v>
      </c>
      <c r="C1973" s="54" t="s">
        <v>467</v>
      </c>
      <c r="D1973" s="54" t="s">
        <v>8355</v>
      </c>
      <c r="E1973" s="59"/>
      <c r="F1973" s="59" t="s">
        <v>468</v>
      </c>
      <c r="G1973" s="151">
        <v>62442</v>
      </c>
      <c r="H1973" s="55" t="s">
        <v>469</v>
      </c>
      <c r="I1973" s="55" t="s">
        <v>469</v>
      </c>
      <c r="J1973" s="55" t="s">
        <v>470</v>
      </c>
      <c r="K1973" s="55" t="s">
        <v>471</v>
      </c>
      <c r="L1973" s="64"/>
      <c r="M1973" s="55"/>
      <c r="N1973" s="60"/>
      <c r="O1973" s="55"/>
      <c r="P1973" s="67"/>
      <c r="Q1973" s="67" t="s">
        <v>6173</v>
      </c>
      <c r="R1973" s="67" t="s">
        <v>6185</v>
      </c>
      <c r="S1973" s="67" t="s">
        <v>6182</v>
      </c>
      <c r="T1973" s="59">
        <v>179.22</v>
      </c>
      <c r="U1973" s="153">
        <v>766.00000000000011</v>
      </c>
      <c r="V1973" s="153">
        <v>2485</v>
      </c>
      <c r="W1973" s="153">
        <v>2057.7209204467131</v>
      </c>
      <c r="X1973" s="153">
        <v>766.00000000000011</v>
      </c>
      <c r="Y1973" s="410">
        <v>7.06</v>
      </c>
      <c r="Z1973" s="59">
        <v>1.67</v>
      </c>
      <c r="AA1973" s="59">
        <v>1.58</v>
      </c>
      <c r="AB1973" s="59">
        <v>1.74</v>
      </c>
      <c r="AC1973" s="59">
        <v>0.79330000000000001</v>
      </c>
      <c r="AD1973" s="59">
        <v>1.7</v>
      </c>
      <c r="AE1973" s="59">
        <v>1.63</v>
      </c>
      <c r="AF1973" s="59">
        <f>IF(AA1973=0,AD1973,AA1973)</f>
        <v>1.58</v>
      </c>
      <c r="AG1973" s="57">
        <v>1.61</v>
      </c>
      <c r="AH1973" s="103">
        <v>4.8499999999999998E-10</v>
      </c>
      <c r="AI1973" s="103">
        <v>2.1299999999999999E-10</v>
      </c>
      <c r="AJ1973" s="62">
        <f t="shared" si="551"/>
        <v>-7.7028245877103885</v>
      </c>
      <c r="AK1973" s="62">
        <f>LOG10(AI1973*1000/(0.08206*298.15))</f>
        <v>-8.0601867228739135</v>
      </c>
      <c r="AL1973" s="62">
        <f t="shared" si="546"/>
        <v>-8.0601867228739135</v>
      </c>
      <c r="AM1973" s="62">
        <v>-11.08128</v>
      </c>
      <c r="AN1973" s="154">
        <v>-8.64</v>
      </c>
      <c r="AO1973" s="410">
        <v>14.57</v>
      </c>
      <c r="AP1973" s="410">
        <v>1.42</v>
      </c>
      <c r="AQ1973" s="154" t="s">
        <v>6311</v>
      </c>
      <c r="AR1973" s="154" t="s">
        <v>6311</v>
      </c>
      <c r="AS1973" s="149" t="s">
        <v>282</v>
      </c>
      <c r="AT1973" s="58" t="s">
        <v>266</v>
      </c>
      <c r="AU1973" s="155">
        <v>24</v>
      </c>
      <c r="AV1973" s="155">
        <v>120</v>
      </c>
      <c r="AW1973" s="155">
        <v>96</v>
      </c>
      <c r="AX1973" s="155">
        <v>28</v>
      </c>
      <c r="AY1973" s="155" t="s">
        <v>267</v>
      </c>
      <c r="AZ1973" s="155" t="s">
        <v>268</v>
      </c>
      <c r="BA1973" s="155">
        <v>48</v>
      </c>
      <c r="BB1973" s="55" t="s">
        <v>269</v>
      </c>
      <c r="BC1973" s="156" t="s">
        <v>270</v>
      </c>
      <c r="BD1973" s="156" t="s">
        <v>8374</v>
      </c>
      <c r="BE1973" s="155" t="s">
        <v>271</v>
      </c>
      <c r="BF1973" s="155" t="s">
        <v>272</v>
      </c>
      <c r="BG1973" s="155" t="s">
        <v>272</v>
      </c>
      <c r="BH1973" s="155" t="s">
        <v>272</v>
      </c>
      <c r="BI1973" s="153">
        <v>1</v>
      </c>
      <c r="BJ1973" s="153">
        <v>1000.0000000000001</v>
      </c>
      <c r="BK1973" s="56"/>
      <c r="BL1973" s="153">
        <v>291.31273658877001</v>
      </c>
      <c r="BM1973" s="56">
        <v>0</v>
      </c>
      <c r="BN1973" s="56"/>
      <c r="BO1973" s="56"/>
      <c r="BP1973" s="56"/>
      <c r="BQ1973" s="56"/>
      <c r="BR1973" s="56"/>
      <c r="BS1973" s="56"/>
      <c r="BT1973" s="56"/>
      <c r="BU1973" s="158"/>
      <c r="BV1973" s="56"/>
      <c r="BW1973" s="56"/>
      <c r="BX1973" s="56"/>
      <c r="BY1973" s="56">
        <v>1517.9934000000001</v>
      </c>
      <c r="BZ1973" s="56">
        <v>2358.5351999999998</v>
      </c>
      <c r="CA1973" s="56">
        <v>2057.4456</v>
      </c>
      <c r="CB1973" s="56">
        <v>310.05059999999997</v>
      </c>
      <c r="CC1973" s="56"/>
      <c r="CD1973" s="56"/>
      <c r="CE1973" s="56"/>
      <c r="CF1973" s="56"/>
      <c r="CG1973" s="56"/>
      <c r="CH1973" s="56"/>
      <c r="CI1973" s="103">
        <v>310.05059999999997</v>
      </c>
      <c r="CJ1973" s="103">
        <f t="shared" si="543"/>
        <v>2.4914325761165674</v>
      </c>
      <c r="CK1973" s="57">
        <f t="shared" si="549"/>
        <v>0.29131273658876999</v>
      </c>
      <c r="CL1973" s="160">
        <f t="shared" si="547"/>
        <v>0.93956514384674639</v>
      </c>
      <c r="CM1973" s="160"/>
      <c r="CN1973" s="160"/>
      <c r="CO1973" s="55" t="s">
        <v>273</v>
      </c>
      <c r="CP1973" s="503" t="s">
        <v>274</v>
      </c>
      <c r="CQ1973" s="149" t="s">
        <v>272</v>
      </c>
      <c r="CR1973" s="349"/>
      <c r="CS1973" s="61" t="s">
        <v>539</v>
      </c>
      <c r="CT1973" s="61"/>
      <c r="CU1973" s="111">
        <f t="shared" si="548"/>
        <v>2.4705644820555102</v>
      </c>
      <c r="CV1973" s="331">
        <f t="shared" si="550"/>
        <v>0.76600000000000001</v>
      </c>
      <c r="CW1973" s="326">
        <f t="shared" si="544"/>
        <v>1</v>
      </c>
      <c r="CX1973" s="326"/>
      <c r="CY1973" s="161" t="s">
        <v>5921</v>
      </c>
    </row>
    <row r="1974" spans="1:103" ht="12.75" customHeight="1" x14ac:dyDescent="0.2">
      <c r="A1974" s="72">
        <v>28</v>
      </c>
      <c r="B1974" s="149">
        <v>4</v>
      </c>
      <c r="C1974" s="54" t="s">
        <v>290</v>
      </c>
      <c r="D1974" s="54" t="s">
        <v>8356</v>
      </c>
      <c r="E1974" s="59"/>
      <c r="F1974" s="59" t="s">
        <v>291</v>
      </c>
      <c r="G1974" s="151">
        <v>64868</v>
      </c>
      <c r="H1974" s="55" t="s">
        <v>292</v>
      </c>
      <c r="I1974" s="55" t="s">
        <v>7990</v>
      </c>
      <c r="J1974" s="55" t="s">
        <v>293</v>
      </c>
      <c r="K1974" s="55" t="s">
        <v>294</v>
      </c>
      <c r="L1974" s="64"/>
      <c r="M1974" s="55" t="s">
        <v>295</v>
      </c>
      <c r="N1974" s="60"/>
      <c r="O1974" s="55"/>
      <c r="P1974" s="67"/>
      <c r="Q1974" s="67"/>
      <c r="R1974" s="67"/>
      <c r="S1974" s="67"/>
      <c r="T1974" s="59">
        <v>399.44</v>
      </c>
      <c r="U1974" s="153">
        <v>45000</v>
      </c>
      <c r="V1974" s="153">
        <v>239.5</v>
      </c>
      <c r="W1974" s="153">
        <v>214.51198074213363</v>
      </c>
      <c r="X1974" s="153">
        <v>45000</v>
      </c>
      <c r="Y1974" s="410">
        <v>7</v>
      </c>
      <c r="Z1974" s="59">
        <v>1.86</v>
      </c>
      <c r="AA1974" s="59">
        <v>1.3</v>
      </c>
      <c r="AB1974" s="59">
        <v>1.1399999999999999</v>
      </c>
      <c r="AC1974" s="59">
        <v>0.92149999999999999</v>
      </c>
      <c r="AD1974" s="59">
        <v>1.1000000000000001</v>
      </c>
      <c r="AE1974" s="59">
        <v>0.92</v>
      </c>
      <c r="AF1974" s="59">
        <f>IF(AA1974=0,AD1974,AA1974)</f>
        <v>1.3</v>
      </c>
      <c r="AG1974" s="57">
        <v>2.73</v>
      </c>
      <c r="AH1974" s="103">
        <v>1.7899999999999999E-17</v>
      </c>
      <c r="AI1974" s="103"/>
      <c r="AJ1974" s="62">
        <f t="shared" si="551"/>
        <v>-15.135713295332758</v>
      </c>
      <c r="AK1974" s="62"/>
      <c r="AL1974" s="62">
        <f t="shared" si="546"/>
        <v>-15.135713295332758</v>
      </c>
      <c r="AM1974" s="62">
        <v>-23.910819999999998</v>
      </c>
      <c r="AN1974" s="154">
        <v>-19.5</v>
      </c>
      <c r="AO1974" s="410">
        <v>14.75</v>
      </c>
      <c r="AP1974" s="410">
        <v>-0.91</v>
      </c>
      <c r="AQ1974" s="154" t="s">
        <v>6311</v>
      </c>
      <c r="AR1974" s="154" t="s">
        <v>6311</v>
      </c>
      <c r="AS1974" s="149" t="s">
        <v>282</v>
      </c>
      <c r="AT1974" s="58" t="s">
        <v>266</v>
      </c>
      <c r="AU1974" s="155">
        <v>24</v>
      </c>
      <c r="AV1974" s="155">
        <v>120</v>
      </c>
      <c r="AW1974" s="155">
        <v>96</v>
      </c>
      <c r="AX1974" s="155">
        <v>28</v>
      </c>
      <c r="AY1974" s="155" t="s">
        <v>267</v>
      </c>
      <c r="AZ1974" s="155" t="s">
        <v>268</v>
      </c>
      <c r="BA1974" s="155">
        <v>48</v>
      </c>
      <c r="BB1974" s="55" t="s">
        <v>269</v>
      </c>
      <c r="BC1974" s="156" t="s">
        <v>270</v>
      </c>
      <c r="BD1974" s="156" t="s">
        <v>8374</v>
      </c>
      <c r="BE1974" s="155" t="s">
        <v>271</v>
      </c>
      <c r="BF1974" s="155" t="s">
        <v>272</v>
      </c>
      <c r="BG1974" s="155" t="s">
        <v>272</v>
      </c>
      <c r="BH1974" s="155" t="s">
        <v>272</v>
      </c>
      <c r="BI1974" s="153">
        <v>0.99999999999999989</v>
      </c>
      <c r="BJ1974" s="153">
        <v>1000</v>
      </c>
      <c r="BK1974" s="56"/>
      <c r="BL1974" s="153">
        <v>438.31421250608264</v>
      </c>
      <c r="BM1974" s="56">
        <v>0</v>
      </c>
      <c r="BN1974" s="56"/>
      <c r="BO1974" s="56"/>
      <c r="BP1974" s="56"/>
      <c r="BQ1974" s="56"/>
      <c r="BR1974" s="56"/>
      <c r="BS1974" s="56"/>
      <c r="BT1974" s="56"/>
      <c r="BU1974" s="158"/>
      <c r="BV1974" s="56"/>
      <c r="BW1974" s="56"/>
      <c r="BX1974" s="56"/>
      <c r="BY1974" s="56"/>
      <c r="BZ1974" s="56">
        <v>243.6584</v>
      </c>
      <c r="CA1974" s="56">
        <v>63.910400000000003</v>
      </c>
      <c r="CB1974" s="56">
        <v>39.944000000000003</v>
      </c>
      <c r="CC1974" s="56"/>
      <c r="CD1974" s="56"/>
      <c r="CE1974" s="56"/>
      <c r="CF1974" s="56"/>
      <c r="CG1974" s="56"/>
      <c r="CH1974" s="56"/>
      <c r="CI1974" s="103">
        <v>39.944000000000003</v>
      </c>
      <c r="CJ1974" s="103">
        <f t="shared" si="543"/>
        <v>1.6014515530470534</v>
      </c>
      <c r="CK1974" s="57">
        <f t="shared" si="549"/>
        <v>0.43831421250608266</v>
      </c>
      <c r="CL1974" s="160">
        <f t="shared" si="547"/>
        <v>10.973217817596701</v>
      </c>
      <c r="CM1974" s="160"/>
      <c r="CN1974" s="160"/>
      <c r="CO1974" s="55" t="s">
        <v>273</v>
      </c>
      <c r="CP1974" s="503" t="s">
        <v>274</v>
      </c>
      <c r="CQ1974" s="149" t="s">
        <v>272</v>
      </c>
      <c r="CR1974" s="349"/>
      <c r="CS1974" s="61" t="s">
        <v>539</v>
      </c>
      <c r="CT1974" s="61"/>
      <c r="CU1974" s="111">
        <f t="shared" si="548"/>
        <v>1126.5772080913277</v>
      </c>
      <c r="CV1974" s="331">
        <f t="shared" si="550"/>
        <v>45</v>
      </c>
      <c r="CW1974" s="326">
        <f t="shared" si="544"/>
        <v>1</v>
      </c>
      <c r="CX1974" s="326"/>
      <c r="CY1974" s="161" t="s">
        <v>6351</v>
      </c>
    </row>
    <row r="1975" spans="1:103" ht="12.6" customHeight="1" x14ac:dyDescent="0.2">
      <c r="A1975" s="72">
        <v>29</v>
      </c>
      <c r="B1975" s="149">
        <v>14</v>
      </c>
      <c r="C1975" s="54" t="s">
        <v>338</v>
      </c>
      <c r="D1975" s="54"/>
      <c r="E1975" s="59"/>
      <c r="F1975" s="150" t="str">
        <f>HYPERLINK("http://www.sigmaaldrich.com/catalog/Lookup.do?N5=CAS+No.&amp;N3=mode+matchpartialmax&amp;N4=65-19-0&amp;D7=0&amp;D10=&amp;N25=0&amp;N1=S_ID&amp;ST=RS&amp;F=PR","65-19-0")</f>
        <v>65-19-0</v>
      </c>
      <c r="G1975" s="151">
        <v>65190</v>
      </c>
      <c r="H1975" s="55" t="s">
        <v>339</v>
      </c>
      <c r="I1975" s="55" t="s">
        <v>8280</v>
      </c>
      <c r="J1975" s="55" t="s">
        <v>340</v>
      </c>
      <c r="K1975" s="55" t="s">
        <v>341</v>
      </c>
      <c r="L1975" s="64"/>
      <c r="M1975" s="55"/>
      <c r="N1975" s="60"/>
      <c r="O1975" s="55"/>
      <c r="P1975" s="67"/>
      <c r="Q1975" s="67"/>
      <c r="R1975" s="67"/>
      <c r="S1975" s="67"/>
      <c r="T1975" s="59">
        <v>390.9</v>
      </c>
      <c r="U1975" s="153">
        <v>7300</v>
      </c>
      <c r="V1975" s="153">
        <v>790.29999999999984</v>
      </c>
      <c r="W1975" s="153"/>
      <c r="X1975" s="153">
        <v>7300</v>
      </c>
      <c r="Y1975" s="410"/>
      <c r="Z1975" s="59">
        <v>0.75</v>
      </c>
      <c r="AA1975" s="59"/>
      <c r="AB1975" s="59"/>
      <c r="AC1975" s="59"/>
      <c r="AD1975" s="59"/>
      <c r="AE1975" s="59"/>
      <c r="AF1975" s="59"/>
      <c r="AG1975" s="57">
        <v>8.3699999999999992</v>
      </c>
      <c r="AH1975" s="103">
        <v>1.83E-24</v>
      </c>
      <c r="AI1975" s="103"/>
      <c r="AJ1975" s="62">
        <f t="shared" si="551"/>
        <v>-22.126115236582223</v>
      </c>
      <c r="AK1975" s="62"/>
      <c r="AL1975" s="62">
        <f t="shared" si="546"/>
        <v>-22.126115236582223</v>
      </c>
      <c r="AM1975" s="62"/>
      <c r="AN1975" s="154">
        <v>-3.26</v>
      </c>
      <c r="AO1975" s="410"/>
      <c r="AP1975" s="410"/>
      <c r="AQ1975" s="154" t="s">
        <v>6311</v>
      </c>
      <c r="AR1975" s="154" t="s">
        <v>6312</v>
      </c>
      <c r="AS1975" s="149" t="s">
        <v>282</v>
      </c>
      <c r="AT1975" s="58" t="s">
        <v>266</v>
      </c>
      <c r="AU1975" s="155">
        <v>24</v>
      </c>
      <c r="AV1975" s="155">
        <v>120</v>
      </c>
      <c r="AW1975" s="155">
        <v>96</v>
      </c>
      <c r="AX1975" s="155">
        <v>28</v>
      </c>
      <c r="AY1975" s="155" t="s">
        <v>267</v>
      </c>
      <c r="AZ1975" s="155" t="s">
        <v>268</v>
      </c>
      <c r="BA1975" s="155">
        <v>48</v>
      </c>
      <c r="BB1975" s="55" t="s">
        <v>269</v>
      </c>
      <c r="BC1975" s="156" t="s">
        <v>270</v>
      </c>
      <c r="BD1975" s="156" t="s">
        <v>8374</v>
      </c>
      <c r="BE1975" s="155" t="s">
        <v>271</v>
      </c>
      <c r="BF1975" s="155" t="s">
        <v>272</v>
      </c>
      <c r="BG1975" s="155" t="s">
        <v>272</v>
      </c>
      <c r="BH1975" s="155" t="s">
        <v>272</v>
      </c>
      <c r="BI1975" s="153">
        <v>1</v>
      </c>
      <c r="BJ1975" s="153">
        <v>1600</v>
      </c>
      <c r="BK1975" s="56"/>
      <c r="BL1975" s="153">
        <v>4258.8335868997374</v>
      </c>
      <c r="BM1975" s="56">
        <v>0</v>
      </c>
      <c r="BN1975" s="56"/>
      <c r="BO1975" s="56"/>
      <c r="BP1975" s="56"/>
      <c r="BQ1975" s="56"/>
      <c r="BR1975" s="56"/>
      <c r="BS1975" s="56"/>
      <c r="BT1975" s="56"/>
      <c r="BU1975" s="158"/>
      <c r="BV1975" s="56"/>
      <c r="BW1975" s="56"/>
      <c r="BX1975" s="56"/>
      <c r="BY1975" s="56"/>
      <c r="BZ1975" s="56">
        <v>254.08500000000001</v>
      </c>
      <c r="CA1975" s="56">
        <v>148.542</v>
      </c>
      <c r="CB1975" s="56">
        <v>93.815999999999988</v>
      </c>
      <c r="CC1975" s="56"/>
      <c r="CD1975" s="56"/>
      <c r="CE1975" s="56"/>
      <c r="CF1975" s="56"/>
      <c r="CG1975" s="56"/>
      <c r="CH1975" s="56"/>
      <c r="CI1975" s="103">
        <v>93.815999999999988</v>
      </c>
      <c r="CJ1975" s="103">
        <f t="shared" si="543"/>
        <v>1.972276912143853</v>
      </c>
      <c r="CK1975" s="57">
        <f t="shared" si="549"/>
        <v>2.661770991812336</v>
      </c>
      <c r="CL1975" s="160">
        <f t="shared" si="547"/>
        <v>45.395599758034216</v>
      </c>
      <c r="CM1975" s="160"/>
      <c r="CN1975" s="160"/>
      <c r="CO1975" s="55" t="s">
        <v>273</v>
      </c>
      <c r="CP1975" s="503" t="s">
        <v>274</v>
      </c>
      <c r="CQ1975" s="149" t="s">
        <v>272</v>
      </c>
      <c r="CR1975" s="349"/>
      <c r="CS1975" s="61" t="s">
        <v>539</v>
      </c>
      <c r="CT1975" s="61"/>
      <c r="CU1975" s="111">
        <f t="shared" si="548"/>
        <v>77.811887098149583</v>
      </c>
      <c r="CV1975" s="331">
        <f t="shared" si="550"/>
        <v>4.5625</v>
      </c>
      <c r="CW1975" s="326">
        <f t="shared" si="544"/>
        <v>1</v>
      </c>
      <c r="CX1975" s="326"/>
      <c r="CY1975" s="161" t="s">
        <v>5921</v>
      </c>
    </row>
    <row r="1976" spans="1:103" ht="12.6" customHeight="1" x14ac:dyDescent="0.2">
      <c r="A1976" s="72">
        <v>33</v>
      </c>
      <c r="B1976" s="149">
        <v>47</v>
      </c>
      <c r="C1976" s="54" t="s">
        <v>476</v>
      </c>
      <c r="D1976" s="54"/>
      <c r="E1976" s="59"/>
      <c r="F1976" s="150" t="str">
        <f>HYPERLINK("http://www.sigmaaldrich.com/catalog/Lookup.do?N5=CAS+No.&amp;N3=mode+matchpartialmax&amp;N4=69-09-0&amp;D7=0&amp;D10=&amp;N25=0&amp;N1=S_ID&amp;ST=RS&amp;F=PR","69-09-0")</f>
        <v>69-09-0</v>
      </c>
      <c r="G1976" s="151">
        <v>69090</v>
      </c>
      <c r="H1976" s="55" t="s">
        <v>477</v>
      </c>
      <c r="I1976" s="55" t="s">
        <v>8281</v>
      </c>
      <c r="J1976" s="55" t="s">
        <v>478</v>
      </c>
      <c r="K1976" s="55" t="s">
        <v>426</v>
      </c>
      <c r="L1976" s="64"/>
      <c r="M1976" s="55"/>
      <c r="N1976" s="60"/>
      <c r="O1976" s="55"/>
      <c r="P1976" s="67"/>
      <c r="Q1976" s="67"/>
      <c r="R1976" s="67"/>
      <c r="S1976" s="67"/>
      <c r="T1976" s="59">
        <v>355.33</v>
      </c>
      <c r="U1976" s="153"/>
      <c r="V1976" s="153">
        <v>0.31690000000000002</v>
      </c>
      <c r="W1976" s="153"/>
      <c r="X1976" s="153">
        <v>0.31690000000000002</v>
      </c>
      <c r="Y1976" s="410"/>
      <c r="Z1976" s="59">
        <v>3.69</v>
      </c>
      <c r="AA1976" s="59"/>
      <c r="AB1976" s="59"/>
      <c r="AC1976" s="59"/>
      <c r="AD1976" s="59"/>
      <c r="AE1976" s="59"/>
      <c r="AF1976" s="59"/>
      <c r="AG1976" s="57">
        <v>3.31</v>
      </c>
      <c r="AH1976" s="103">
        <v>2.3300000000000001E-17</v>
      </c>
      <c r="AI1976" s="103"/>
      <c r="AJ1976" s="62">
        <f t="shared" si="551"/>
        <v>-15.021210405286633</v>
      </c>
      <c r="AK1976" s="62"/>
      <c r="AL1976" s="62">
        <f t="shared" si="546"/>
        <v>-15.021210405286633</v>
      </c>
      <c r="AM1976" s="62"/>
      <c r="AN1976" s="154">
        <v>-24.9</v>
      </c>
      <c r="AO1976" s="410"/>
      <c r="AP1976" s="410"/>
      <c r="AQ1976" s="154" t="s">
        <v>6311</v>
      </c>
      <c r="AR1976" s="154" t="s">
        <v>6311</v>
      </c>
      <c r="AS1976" s="149" t="s">
        <v>289</v>
      </c>
      <c r="AT1976" s="58" t="s">
        <v>266</v>
      </c>
      <c r="AU1976" s="155">
        <v>24</v>
      </c>
      <c r="AV1976" s="155">
        <v>120</v>
      </c>
      <c r="AW1976" s="155">
        <v>96</v>
      </c>
      <c r="AX1976" s="155">
        <v>28</v>
      </c>
      <c r="AY1976" s="155" t="s">
        <v>267</v>
      </c>
      <c r="AZ1976" s="155" t="s">
        <v>268</v>
      </c>
      <c r="BA1976" s="155">
        <v>48</v>
      </c>
      <c r="BB1976" s="55" t="s">
        <v>269</v>
      </c>
      <c r="BC1976" s="156" t="s">
        <v>270</v>
      </c>
      <c r="BD1976" s="156" t="s">
        <v>8374</v>
      </c>
      <c r="BE1976" s="155" t="s">
        <v>271</v>
      </c>
      <c r="BF1976" s="155" t="s">
        <v>272</v>
      </c>
      <c r="BG1976" s="155" t="s">
        <v>272</v>
      </c>
      <c r="BH1976" s="155" t="s">
        <v>272</v>
      </c>
      <c r="BI1976" s="153">
        <v>1</v>
      </c>
      <c r="BJ1976" s="153">
        <v>1000</v>
      </c>
      <c r="BK1976" s="56"/>
      <c r="BL1976" s="153">
        <v>8.8601867519993149</v>
      </c>
      <c r="BM1976" s="56">
        <v>0</v>
      </c>
      <c r="BN1976" s="56"/>
      <c r="BO1976" s="56"/>
      <c r="BP1976" s="56"/>
      <c r="BQ1976" s="56"/>
      <c r="BR1976" s="56"/>
      <c r="BS1976" s="56"/>
      <c r="BT1976" s="56"/>
      <c r="BU1976" s="158"/>
      <c r="BV1976" s="56"/>
      <c r="BW1976" s="56"/>
      <c r="BX1976" s="56"/>
      <c r="BY1976" s="56">
        <v>7.1066000000000003</v>
      </c>
      <c r="BZ1976" s="56">
        <v>7.1066000000000003</v>
      </c>
      <c r="CA1976" s="56">
        <v>7.1066000000000003</v>
      </c>
      <c r="CB1976" s="56">
        <v>7.1066000000000003</v>
      </c>
      <c r="CC1976" s="56"/>
      <c r="CD1976" s="56"/>
      <c r="CE1976" s="56"/>
      <c r="CF1976" s="56"/>
      <c r="CG1976" s="56"/>
      <c r="CH1976" s="56"/>
      <c r="CI1976" s="103">
        <v>7.1066000000000003</v>
      </c>
      <c r="CJ1976" s="103">
        <f t="shared" si="543"/>
        <v>0.85166187155870954</v>
      </c>
      <c r="CK1976" s="57">
        <f t="shared" si="549"/>
        <v>8.8601867519993143E-3</v>
      </c>
      <c r="CL1976" s="160">
        <f t="shared" si="547"/>
        <v>1.2467546719949505</v>
      </c>
      <c r="CM1976" s="160"/>
      <c r="CN1976" s="160"/>
      <c r="CO1976" s="55" t="s">
        <v>273</v>
      </c>
      <c r="CP1976" s="503" t="s">
        <v>274</v>
      </c>
      <c r="CQ1976" s="149" t="s">
        <v>272</v>
      </c>
      <c r="CR1976" s="349"/>
      <c r="CS1976" s="61" t="s">
        <v>539</v>
      </c>
      <c r="CT1976" s="61"/>
      <c r="CU1976" s="111">
        <f t="shared" si="548"/>
        <v>4.4592350772521321E-2</v>
      </c>
      <c r="CV1976" s="331">
        <f t="shared" si="550"/>
        <v>3.1690000000000001E-4</v>
      </c>
      <c r="CW1976" s="326">
        <f t="shared" si="544"/>
        <v>0</v>
      </c>
      <c r="CX1976" s="326"/>
      <c r="CY1976" s="161" t="s">
        <v>5921</v>
      </c>
    </row>
    <row r="1977" spans="1:103" ht="12.6" customHeight="1" x14ac:dyDescent="0.2">
      <c r="A1977" s="72">
        <v>35</v>
      </c>
      <c r="B1977" s="149">
        <v>42</v>
      </c>
      <c r="C1977" s="54" t="s">
        <v>451</v>
      </c>
      <c r="D1977" s="54"/>
      <c r="E1977" s="59"/>
      <c r="F1977" s="59" t="s">
        <v>452</v>
      </c>
      <c r="G1977" s="151">
        <v>69523</v>
      </c>
      <c r="H1977" s="55" t="s">
        <v>453</v>
      </c>
      <c r="I1977" s="55" t="s">
        <v>453</v>
      </c>
      <c r="J1977" s="55" t="s">
        <v>454</v>
      </c>
      <c r="K1977" s="55" t="s">
        <v>455</v>
      </c>
      <c r="L1977" s="64"/>
      <c r="M1977" s="55"/>
      <c r="N1977" s="60"/>
      <c r="O1977" s="55"/>
      <c r="P1977" s="67"/>
      <c r="Q1977" s="67"/>
      <c r="R1977" s="67"/>
      <c r="S1977" s="67"/>
      <c r="T1977" s="59">
        <v>349.41</v>
      </c>
      <c r="U1977" s="153">
        <v>7560</v>
      </c>
      <c r="V1977" s="153">
        <v>439.3</v>
      </c>
      <c r="W1977" s="153">
        <v>236.23015243171218</v>
      </c>
      <c r="X1977" s="153">
        <v>7560</v>
      </c>
      <c r="Y1977" s="410">
        <v>4.8499999999999996</v>
      </c>
      <c r="Z1977" s="59">
        <v>1.45</v>
      </c>
      <c r="AA1977" s="59">
        <v>1.35</v>
      </c>
      <c r="AB1977" s="59">
        <v>0.81</v>
      </c>
      <c r="AC1977" s="59">
        <v>0.8629</v>
      </c>
      <c r="AD1977" s="59">
        <v>0.94</v>
      </c>
      <c r="AE1977" s="59">
        <v>1.35</v>
      </c>
      <c r="AF1977" s="59">
        <f t="shared" ref="AF1977:AF1988" si="552">IF(AA1977=0,AD1977,AA1977)</f>
        <v>1.35</v>
      </c>
      <c r="AG1977" s="57">
        <v>0.87</v>
      </c>
      <c r="AH1977" s="103">
        <v>2.3900000000000001E-17</v>
      </c>
      <c r="AI1977" s="103"/>
      <c r="AJ1977" s="62">
        <f t="shared" si="551"/>
        <v>-15.010168425364514</v>
      </c>
      <c r="AK1977" s="62"/>
      <c r="AL1977" s="62">
        <f t="shared" si="546"/>
        <v>-15.010168425364514</v>
      </c>
      <c r="AM1977" s="62">
        <v>-29.116879999999998</v>
      </c>
      <c r="AN1977" s="154">
        <v>-31.1</v>
      </c>
      <c r="AO1977" s="410">
        <v>2.44</v>
      </c>
      <c r="AP1977" s="410">
        <v>6.81</v>
      </c>
      <c r="AQ1977" s="154" t="s">
        <v>6311</v>
      </c>
      <c r="AR1977" s="154" t="s">
        <v>6311</v>
      </c>
      <c r="AS1977" s="149" t="s">
        <v>289</v>
      </c>
      <c r="AT1977" s="58" t="s">
        <v>266</v>
      </c>
      <c r="AU1977" s="155">
        <v>24</v>
      </c>
      <c r="AV1977" s="155">
        <v>120</v>
      </c>
      <c r="AW1977" s="155">
        <v>96</v>
      </c>
      <c r="AX1977" s="155">
        <v>28</v>
      </c>
      <c r="AY1977" s="155" t="s">
        <v>267</v>
      </c>
      <c r="AZ1977" s="155" t="s">
        <v>268</v>
      </c>
      <c r="BA1977" s="155">
        <v>48</v>
      </c>
      <c r="BB1977" s="55" t="s">
        <v>269</v>
      </c>
      <c r="BC1977" s="156" t="s">
        <v>270</v>
      </c>
      <c r="BD1977" s="156" t="s">
        <v>8374</v>
      </c>
      <c r="BE1977" s="155" t="s">
        <v>271</v>
      </c>
      <c r="BF1977" s="155" t="s">
        <v>272</v>
      </c>
      <c r="BG1977" s="155" t="s">
        <v>272</v>
      </c>
      <c r="BH1977" s="155" t="s">
        <v>272</v>
      </c>
      <c r="BI1977" s="153">
        <v>0.94079159935379664</v>
      </c>
      <c r="BJ1977" s="153">
        <v>3763.1663974151861</v>
      </c>
      <c r="BK1977" s="56"/>
      <c r="BL1977" s="153">
        <v>895.13869294262713</v>
      </c>
      <c r="BM1977" s="56">
        <v>0</v>
      </c>
      <c r="BN1977" s="56"/>
      <c r="BO1977" s="56"/>
      <c r="BP1977" s="56"/>
      <c r="BQ1977" s="56"/>
      <c r="BR1977" s="56"/>
      <c r="BS1977" s="56"/>
      <c r="BT1977" s="56"/>
      <c r="BU1977" s="158"/>
      <c r="BV1977" s="56"/>
      <c r="BW1977" s="56"/>
      <c r="BX1977" s="56"/>
      <c r="BY1977" s="56"/>
      <c r="BZ1977" s="56"/>
      <c r="CA1977" s="56"/>
      <c r="CB1977" s="56">
        <v>5709.3594000000003</v>
      </c>
      <c r="CC1977" s="56"/>
      <c r="CD1977" s="56"/>
      <c r="CE1977" s="56"/>
      <c r="CF1977" s="56"/>
      <c r="CG1977" s="56"/>
      <c r="CH1977" s="56"/>
      <c r="CI1977" s="103">
        <v>5709.3594000000003</v>
      </c>
      <c r="CJ1977" s="103">
        <f t="shared" si="543"/>
        <v>3.7565873823873033</v>
      </c>
      <c r="CK1977" s="57">
        <f t="shared" si="549"/>
        <v>0.23786848584677864</v>
      </c>
      <c r="CL1977" s="160">
        <f t="shared" si="547"/>
        <v>0.15678443591108085</v>
      </c>
      <c r="CM1977" s="160"/>
      <c r="CN1977" s="160"/>
      <c r="CO1977" s="55" t="s">
        <v>273</v>
      </c>
      <c r="CP1977" s="503" t="s">
        <v>274</v>
      </c>
      <c r="CQ1977" s="149" t="s">
        <v>272</v>
      </c>
      <c r="CR1977" s="349"/>
      <c r="CS1977" s="61" t="s">
        <v>539</v>
      </c>
      <c r="CT1977" s="61"/>
      <c r="CU1977" s="111">
        <f t="shared" si="548"/>
        <v>1.3241415490501438</v>
      </c>
      <c r="CV1977" s="331">
        <f t="shared" si="550"/>
        <v>2.0089465098308574</v>
      </c>
      <c r="CW1977" s="326">
        <f t="shared" si="544"/>
        <v>0</v>
      </c>
      <c r="CX1977" s="326"/>
      <c r="CY1977" s="161" t="s">
        <v>5921</v>
      </c>
    </row>
    <row r="1978" spans="1:103" ht="12.6" customHeight="1" x14ac:dyDescent="0.2">
      <c r="A1978" s="72">
        <v>37</v>
      </c>
      <c r="B1978" s="149">
        <v>19</v>
      </c>
      <c r="C1978" s="54" t="s">
        <v>358</v>
      </c>
      <c r="D1978" s="54" t="s">
        <v>8358</v>
      </c>
      <c r="E1978" s="59"/>
      <c r="F1978" s="150" t="str">
        <f>HYPERLINK("http://www.sigmaaldrich.com/catalog/Lookup.do?N5=CAS+No.&amp;N3=mode+matchpartialmax&amp;N4=71-63-6&amp;D7=0&amp;D10=&amp;N25=0&amp;N1=S_ID&amp;ST=RS&amp;F=PR","71-63-6")</f>
        <v>71-63-6</v>
      </c>
      <c r="G1978" s="151">
        <v>71636</v>
      </c>
      <c r="H1978" s="55" t="s">
        <v>359</v>
      </c>
      <c r="I1978" s="55" t="s">
        <v>8282</v>
      </c>
      <c r="J1978" s="55" t="s">
        <v>360</v>
      </c>
      <c r="K1978" s="55" t="s">
        <v>361</v>
      </c>
      <c r="L1978" s="64" t="s">
        <v>279</v>
      </c>
      <c r="M1978" s="55" t="s">
        <v>362</v>
      </c>
      <c r="N1978" s="60"/>
      <c r="O1978" s="55" t="s">
        <v>281</v>
      </c>
      <c r="P1978" s="67"/>
      <c r="Q1978" s="67"/>
      <c r="R1978" s="67"/>
      <c r="S1978" s="67"/>
      <c r="T1978" s="59">
        <v>764.94</v>
      </c>
      <c r="U1978" s="153">
        <v>3.9</v>
      </c>
      <c r="V1978" s="153">
        <v>0.33950000000000002</v>
      </c>
      <c r="W1978" s="153">
        <v>69.763357145690932</v>
      </c>
      <c r="X1978" s="153">
        <v>3.9</v>
      </c>
      <c r="Y1978" s="410">
        <v>7</v>
      </c>
      <c r="Z1978" s="59">
        <v>2.04</v>
      </c>
      <c r="AA1978" s="59">
        <v>1.85</v>
      </c>
      <c r="AB1978" s="59">
        <v>2.42</v>
      </c>
      <c r="AC1978" s="59">
        <v>0.86639999999999995</v>
      </c>
      <c r="AD1978" s="59">
        <v>2.4300000000000002</v>
      </c>
      <c r="AE1978" s="59">
        <v>2.44</v>
      </c>
      <c r="AF1978" s="59">
        <f t="shared" si="552"/>
        <v>1.85</v>
      </c>
      <c r="AG1978" s="57">
        <v>3.38</v>
      </c>
      <c r="AH1978" s="103">
        <v>1.2700000000000001E-25</v>
      </c>
      <c r="AI1978" s="103"/>
      <c r="AJ1978" s="62">
        <f t="shared" si="551"/>
        <v>-23.284762605356693</v>
      </c>
      <c r="AK1978" s="62"/>
      <c r="AL1978" s="62">
        <f t="shared" si="546"/>
        <v>-23.284762605356693</v>
      </c>
      <c r="AM1978" s="62">
        <v>-43.169989999999991</v>
      </c>
      <c r="AN1978" s="154">
        <v>-28.9</v>
      </c>
      <c r="AO1978" s="410">
        <v>13.5</v>
      </c>
      <c r="AP1978" s="410"/>
      <c r="AQ1978" s="154" t="s">
        <v>6311</v>
      </c>
      <c r="AR1978" s="154" t="s">
        <v>6311</v>
      </c>
      <c r="AS1978" s="149" t="s">
        <v>282</v>
      </c>
      <c r="AT1978" s="58" t="s">
        <v>266</v>
      </c>
      <c r="AU1978" s="155">
        <v>24</v>
      </c>
      <c r="AV1978" s="155">
        <v>120</v>
      </c>
      <c r="AW1978" s="155">
        <v>96</v>
      </c>
      <c r="AX1978" s="155">
        <v>28</v>
      </c>
      <c r="AY1978" s="155" t="s">
        <v>267</v>
      </c>
      <c r="AZ1978" s="155" t="s">
        <v>268</v>
      </c>
      <c r="BA1978" s="155">
        <v>48</v>
      </c>
      <c r="BB1978" s="55" t="s">
        <v>269</v>
      </c>
      <c r="BC1978" s="156" t="s">
        <v>270</v>
      </c>
      <c r="BD1978" s="156" t="s">
        <v>8374</v>
      </c>
      <c r="BE1978" s="155" t="s">
        <v>271</v>
      </c>
      <c r="BF1978" s="155" t="s">
        <v>272</v>
      </c>
      <c r="BG1978" s="155" t="s">
        <v>272</v>
      </c>
      <c r="BH1978" s="155" t="s">
        <v>272</v>
      </c>
      <c r="BI1978" s="153">
        <v>0.49999999999999994</v>
      </c>
      <c r="BJ1978" s="153">
        <v>999.99999999999989</v>
      </c>
      <c r="BK1978" s="56"/>
      <c r="BL1978" s="153">
        <v>578.50001094634536</v>
      </c>
      <c r="BM1978" s="56">
        <v>0</v>
      </c>
      <c r="BN1978" s="56"/>
      <c r="BO1978" s="56"/>
      <c r="BP1978" s="56"/>
      <c r="BQ1978" s="56"/>
      <c r="BR1978" s="56"/>
      <c r="BS1978" s="56"/>
      <c r="BT1978" s="56"/>
      <c r="BU1978" s="158"/>
      <c r="BV1978" s="56"/>
      <c r="BW1978" s="56"/>
      <c r="BX1978" s="56"/>
      <c r="BY1978" s="56">
        <v>15.298800000000002</v>
      </c>
      <c r="BZ1978" s="56">
        <v>15.298800000000002</v>
      </c>
      <c r="CA1978" s="56">
        <v>15.298800000000002</v>
      </c>
      <c r="CB1978" s="56">
        <v>0.76494000000000006</v>
      </c>
      <c r="CC1978" s="56"/>
      <c r="CD1978" s="56"/>
      <c r="CE1978" s="56"/>
      <c r="CF1978" s="56"/>
      <c r="CG1978" s="56"/>
      <c r="CH1978" s="56"/>
      <c r="CI1978" s="103">
        <v>0.76494000000000006</v>
      </c>
      <c r="CJ1978" s="103">
        <f t="shared" si="543"/>
        <v>-0.11637262849453529</v>
      </c>
      <c r="CK1978" s="57">
        <f t="shared" si="549"/>
        <v>0.5785000109463454</v>
      </c>
      <c r="CL1978" s="160">
        <f t="shared" si="547"/>
        <v>756.26847981063258</v>
      </c>
      <c r="CM1978" s="160"/>
      <c r="CN1978" s="160"/>
      <c r="CO1978" s="55" t="s">
        <v>273</v>
      </c>
      <c r="CP1978" s="503" t="s">
        <v>274</v>
      </c>
      <c r="CQ1978" s="149" t="s">
        <v>272</v>
      </c>
      <c r="CR1978" s="349"/>
      <c r="CS1978" s="61" t="s">
        <v>539</v>
      </c>
      <c r="CT1978" s="61"/>
      <c r="CU1978" s="111">
        <f t="shared" si="548"/>
        <v>5.0984390932622157</v>
      </c>
      <c r="CV1978" s="331">
        <f t="shared" si="550"/>
        <v>3.9000000000000003E-3</v>
      </c>
      <c r="CW1978" s="326">
        <f t="shared" si="544"/>
        <v>1</v>
      </c>
      <c r="CX1978" s="326"/>
      <c r="CY1978" s="161" t="s">
        <v>5921</v>
      </c>
    </row>
    <row r="1979" spans="1:103" ht="12.6" customHeight="1" x14ac:dyDescent="0.2">
      <c r="A1979" s="72">
        <v>39</v>
      </c>
      <c r="B1979" s="149">
        <v>44</v>
      </c>
      <c r="C1979" s="54" t="s">
        <v>461</v>
      </c>
      <c r="D1979" s="54" t="s">
        <v>6461</v>
      </c>
      <c r="E1979" s="59"/>
      <c r="F1979" s="150" t="str">
        <f>HYPERLINK("http://www.sigmaaldrich.com/catalog/Lookup.do?N5=CAS+No.&amp;N3=mode+matchpartialmax&amp;N4=103-90-2&amp;D7=0&amp;D10=&amp;N25=0&amp;N1=S_ID&amp;ST=RS&amp;F=PR","103-90-2")</f>
        <v>103-90-2</v>
      </c>
      <c r="G1979" s="151">
        <v>103902</v>
      </c>
      <c r="H1979" s="55" t="s">
        <v>462</v>
      </c>
      <c r="I1979" s="55" t="s">
        <v>462</v>
      </c>
      <c r="J1979" s="55" t="s">
        <v>463</v>
      </c>
      <c r="K1979" s="55" t="s">
        <v>464</v>
      </c>
      <c r="L1979" s="64" t="s">
        <v>279</v>
      </c>
      <c r="M1979" s="55" t="s">
        <v>465</v>
      </c>
      <c r="N1979" s="60" t="s">
        <v>6384</v>
      </c>
      <c r="O1979" s="55" t="s">
        <v>281</v>
      </c>
      <c r="P1979" s="67"/>
      <c r="Q1979" s="67" t="s">
        <v>6173</v>
      </c>
      <c r="R1979" s="67" t="s">
        <v>6175</v>
      </c>
      <c r="S1979" s="67" t="s">
        <v>6182</v>
      </c>
      <c r="T1979" s="59">
        <v>151.16</v>
      </c>
      <c r="U1979" s="153">
        <v>14000</v>
      </c>
      <c r="V1979" s="153">
        <v>30350</v>
      </c>
      <c r="W1979" s="153">
        <v>17759.751440465923</v>
      </c>
      <c r="X1979" s="153">
        <v>14000</v>
      </c>
      <c r="Y1979" s="410">
        <v>5.7</v>
      </c>
      <c r="Z1979" s="59">
        <v>0.27</v>
      </c>
      <c r="AA1979" s="59">
        <v>0.46</v>
      </c>
      <c r="AB1979" s="59">
        <v>0.43</v>
      </c>
      <c r="AC1979" s="59">
        <v>0.85150000000000003</v>
      </c>
      <c r="AD1979" s="59">
        <v>0.4</v>
      </c>
      <c r="AE1979" s="59">
        <v>0.34</v>
      </c>
      <c r="AF1979" s="59">
        <f t="shared" si="552"/>
        <v>0.46</v>
      </c>
      <c r="AG1979" s="57">
        <v>0.91</v>
      </c>
      <c r="AH1979" s="103">
        <v>6.4199999999999999E-13</v>
      </c>
      <c r="AI1979" s="103"/>
      <c r="AJ1979" s="62">
        <f t="shared" si="551"/>
        <v>-10.581031298243799</v>
      </c>
      <c r="AK1979" s="62"/>
      <c r="AL1979" s="62">
        <f t="shared" si="546"/>
        <v>-10.581031298243799</v>
      </c>
      <c r="AM1979" s="62">
        <v>-13.617180000000001</v>
      </c>
      <c r="AN1979" s="154">
        <v>-11.6</v>
      </c>
      <c r="AO1979" s="410">
        <v>9.86</v>
      </c>
      <c r="AP1979" s="410">
        <v>1.72</v>
      </c>
      <c r="AQ1979" s="154" t="s">
        <v>6311</v>
      </c>
      <c r="AR1979" s="154" t="s">
        <v>6311</v>
      </c>
      <c r="AS1979" s="149" t="s">
        <v>282</v>
      </c>
      <c r="AT1979" s="58" t="s">
        <v>266</v>
      </c>
      <c r="AU1979" s="155">
        <v>24</v>
      </c>
      <c r="AV1979" s="155">
        <v>120</v>
      </c>
      <c r="AW1979" s="155">
        <v>96</v>
      </c>
      <c r="AX1979" s="155">
        <v>28</v>
      </c>
      <c r="AY1979" s="155" t="s">
        <v>267</v>
      </c>
      <c r="AZ1979" s="155" t="s">
        <v>268</v>
      </c>
      <c r="BA1979" s="155">
        <v>48</v>
      </c>
      <c r="BB1979" s="55" t="s">
        <v>269</v>
      </c>
      <c r="BC1979" s="156" t="s">
        <v>270</v>
      </c>
      <c r="BD1979" s="156" t="s">
        <v>8374</v>
      </c>
      <c r="BE1979" s="155" t="s">
        <v>271</v>
      </c>
      <c r="BF1979" s="155" t="s">
        <v>272</v>
      </c>
      <c r="BG1979" s="155" t="s">
        <v>272</v>
      </c>
      <c r="BH1979" s="155" t="s">
        <v>272</v>
      </c>
      <c r="BI1979" s="153">
        <v>0.99993384930872531</v>
      </c>
      <c r="BJ1979" s="153">
        <v>999.93384930872537</v>
      </c>
      <c r="BK1979" s="56"/>
      <c r="BL1979" s="153">
        <v>4443.7527132617224</v>
      </c>
      <c r="BM1979" s="56">
        <v>0</v>
      </c>
      <c r="BN1979" s="56"/>
      <c r="BO1979" s="56"/>
      <c r="BP1979" s="56"/>
      <c r="BQ1979" s="56"/>
      <c r="BR1979" s="56"/>
      <c r="BS1979" s="56"/>
      <c r="BT1979" s="56"/>
      <c r="BU1979" s="158"/>
      <c r="BV1979" s="56"/>
      <c r="BW1979" s="56"/>
      <c r="BX1979" s="56"/>
      <c r="BY1979" s="56"/>
      <c r="BZ1979" s="56">
        <v>888.82079999999996</v>
      </c>
      <c r="CA1979" s="56">
        <v>816.26400000000001</v>
      </c>
      <c r="CB1979" s="56">
        <v>535.10640000000001</v>
      </c>
      <c r="CC1979" s="56"/>
      <c r="CD1979" s="56"/>
      <c r="CE1979" s="56"/>
      <c r="CF1979" s="56"/>
      <c r="CG1979" s="56"/>
      <c r="CH1979" s="56"/>
      <c r="CI1979" s="103">
        <v>535.10640000000001</v>
      </c>
      <c r="CJ1979" s="103">
        <f t="shared" si="543"/>
        <v>2.7284401452707647</v>
      </c>
      <c r="CK1979" s="57">
        <f t="shared" si="549"/>
        <v>4.4440466900223239</v>
      </c>
      <c r="CL1979" s="160">
        <f t="shared" si="547"/>
        <v>8.3044282655967532</v>
      </c>
      <c r="CM1979" s="160">
        <v>2.9100902170651883</v>
      </c>
      <c r="CN1979" s="160">
        <f>BJ1979/(10^CM1979)</f>
        <v>1.229931864359989</v>
      </c>
      <c r="CO1979" s="55" t="s">
        <v>466</v>
      </c>
      <c r="CP1979" s="503" t="s">
        <v>274</v>
      </c>
      <c r="CQ1979" s="149">
        <v>2.9100902170651883</v>
      </c>
      <c r="CR1979" s="349">
        <f>10^(CJ1979-CQ1979)</f>
        <v>0.65818795177096101</v>
      </c>
      <c r="CS1979" s="61" t="s">
        <v>539</v>
      </c>
      <c r="CT1979" s="61"/>
      <c r="CU1979" s="111">
        <f t="shared" si="548"/>
        <v>26.163021036563944</v>
      </c>
      <c r="CV1979" s="331">
        <f t="shared" si="550"/>
        <v>14.000926170944693</v>
      </c>
      <c r="CW1979" s="326">
        <f t="shared" si="544"/>
        <v>1</v>
      </c>
      <c r="CX1979" s="326"/>
      <c r="CY1979" s="161" t="s">
        <v>6351</v>
      </c>
    </row>
    <row r="1980" spans="1:103" ht="12.6" customHeight="1" x14ac:dyDescent="0.2">
      <c r="A1980" s="72">
        <v>40</v>
      </c>
      <c r="B1980" s="149">
        <v>38</v>
      </c>
      <c r="C1980" s="54" t="s">
        <v>435</v>
      </c>
      <c r="D1980" s="54" t="s">
        <v>6439</v>
      </c>
      <c r="E1980" s="59"/>
      <c r="F1980" s="59" t="s">
        <v>436</v>
      </c>
      <c r="G1980" s="151">
        <v>64197</v>
      </c>
      <c r="H1980" s="55" t="s">
        <v>437</v>
      </c>
      <c r="I1980" s="55" t="s">
        <v>437</v>
      </c>
      <c r="J1980" s="55" t="s">
        <v>438</v>
      </c>
      <c r="K1980" s="55" t="s">
        <v>426</v>
      </c>
      <c r="L1980" s="64" t="s">
        <v>5527</v>
      </c>
      <c r="M1980" s="55" t="s">
        <v>6082</v>
      </c>
      <c r="N1980" s="60" t="s">
        <v>6082</v>
      </c>
      <c r="O1980" s="55" t="s">
        <v>6083</v>
      </c>
      <c r="P1980" s="67"/>
      <c r="Q1980" s="67"/>
      <c r="R1980" s="67"/>
      <c r="S1980" s="67"/>
      <c r="T1980" s="59">
        <v>60.05</v>
      </c>
      <c r="U1980" s="153">
        <v>1000000</v>
      </c>
      <c r="V1980" s="153">
        <v>475900</v>
      </c>
      <c r="W1980" s="153">
        <v>198844.23845029599</v>
      </c>
      <c r="X1980" s="153">
        <v>1000000</v>
      </c>
      <c r="Y1980" s="410">
        <v>2.14</v>
      </c>
      <c r="Z1980" s="59">
        <v>0.09</v>
      </c>
      <c r="AA1980" s="59">
        <v>-0.17</v>
      </c>
      <c r="AB1980" s="59">
        <v>0.02</v>
      </c>
      <c r="AC1980" s="59">
        <v>0.81850000000000001</v>
      </c>
      <c r="AD1980" s="59">
        <v>-7.0000000000000007E-2</v>
      </c>
      <c r="AE1980" s="59">
        <v>-0.28999999999999998</v>
      </c>
      <c r="AF1980" s="59">
        <f t="shared" si="552"/>
        <v>-0.17</v>
      </c>
      <c r="AG1980" s="57">
        <v>-0.15</v>
      </c>
      <c r="AH1980" s="103">
        <v>5.4799999999999998E-7</v>
      </c>
      <c r="AI1980" s="103">
        <v>9.9999999999999995E-8</v>
      </c>
      <c r="AJ1980" s="62">
        <f t="shared" si="551"/>
        <v>-4.6497857678282823</v>
      </c>
      <c r="AK1980" s="62">
        <f>LOG10(AI1980*1000/(0.08206*298.15))</f>
        <v>-5.3885663263126515</v>
      </c>
      <c r="AL1980" s="62">
        <f t="shared" si="546"/>
        <v>-5.3885663263126515</v>
      </c>
      <c r="AM1980" s="62">
        <v>-4.8964699999999999</v>
      </c>
      <c r="AN1980" s="154">
        <v>-5.0199999999999996</v>
      </c>
      <c r="AO1980" s="410">
        <v>4.79</v>
      </c>
      <c r="AP1980" s="410"/>
      <c r="AQ1980" s="154" t="s">
        <v>6311</v>
      </c>
      <c r="AR1980" s="154" t="s">
        <v>6311</v>
      </c>
      <c r="AS1980" s="149" t="s">
        <v>282</v>
      </c>
      <c r="AT1980" s="58" t="s">
        <v>266</v>
      </c>
      <c r="AU1980" s="155">
        <v>24</v>
      </c>
      <c r="AV1980" s="155">
        <v>120</v>
      </c>
      <c r="AW1980" s="155">
        <v>96</v>
      </c>
      <c r="AX1980" s="155">
        <v>28</v>
      </c>
      <c r="AY1980" s="155" t="s">
        <v>267</v>
      </c>
      <c r="AZ1980" s="155" t="s">
        <v>268</v>
      </c>
      <c r="BA1980" s="155">
        <v>48</v>
      </c>
      <c r="BB1980" s="55" t="s">
        <v>269</v>
      </c>
      <c r="BC1980" s="156" t="s">
        <v>270</v>
      </c>
      <c r="BD1980" s="156" t="s">
        <v>8374</v>
      </c>
      <c r="BE1980" s="155" t="s">
        <v>271</v>
      </c>
      <c r="BF1980" s="155" t="s">
        <v>272</v>
      </c>
      <c r="BG1980" s="155" t="s">
        <v>272</v>
      </c>
      <c r="BH1980" s="155" t="s">
        <v>272</v>
      </c>
      <c r="BI1980" s="153">
        <v>0.99999999999999989</v>
      </c>
      <c r="BJ1980" s="153">
        <v>999.99999999999989</v>
      </c>
      <c r="BK1980" s="56"/>
      <c r="BL1980" s="153">
        <v>2561.4389646887184</v>
      </c>
      <c r="BM1980" s="56">
        <v>0</v>
      </c>
      <c r="BN1980" s="56"/>
      <c r="BO1980" s="56"/>
      <c r="BP1980" s="56"/>
      <c r="BQ1980" s="56"/>
      <c r="BR1980" s="56"/>
      <c r="BS1980" s="56"/>
      <c r="BT1980" s="56"/>
      <c r="BU1980" s="158"/>
      <c r="BV1980" s="56"/>
      <c r="BW1980" s="56"/>
      <c r="BX1980" s="56"/>
      <c r="BY1980" s="56">
        <v>377.11399999999998</v>
      </c>
      <c r="BZ1980" s="56">
        <v>360.90049999999997</v>
      </c>
      <c r="CA1980" s="56">
        <v>329.07400000000001</v>
      </c>
      <c r="CB1980" s="56">
        <v>186.155</v>
      </c>
      <c r="CC1980" s="56"/>
      <c r="CD1980" s="56"/>
      <c r="CE1980" s="56"/>
      <c r="CF1980" s="56"/>
      <c r="CG1980" s="56"/>
      <c r="CH1980" s="56"/>
      <c r="CI1980" s="103">
        <v>186.155</v>
      </c>
      <c r="CJ1980" s="103">
        <f t="shared" si="543"/>
        <v>2.2698747055731974</v>
      </c>
      <c r="CK1980" s="57">
        <f t="shared" si="549"/>
        <v>2.5614389646887186</v>
      </c>
      <c r="CL1980" s="160">
        <f t="shared" si="547"/>
        <v>13.759710803839372</v>
      </c>
      <c r="CM1980" s="160">
        <v>1.8750612633917001</v>
      </c>
      <c r="CN1980" s="160">
        <f>BJ1980/(10^CM1980)</f>
        <v>13.333333333333325</v>
      </c>
      <c r="CO1980" s="55" t="s">
        <v>273</v>
      </c>
      <c r="CP1980" s="503" t="s">
        <v>274</v>
      </c>
      <c r="CQ1980" s="149">
        <v>1.8868932224905968</v>
      </c>
      <c r="CR1980" s="349">
        <f>10^(CJ1980-CQ1980)</f>
        <v>2.4153578491731378</v>
      </c>
      <c r="CS1980" s="61" t="s">
        <v>539</v>
      </c>
      <c r="CT1980" s="61"/>
      <c r="CU1980" s="111">
        <f t="shared" si="548"/>
        <v>5371.8675297467162</v>
      </c>
      <c r="CV1980" s="331">
        <f t="shared" si="550"/>
        <v>1000.0000000000001</v>
      </c>
      <c r="CW1980" s="326">
        <f t="shared" si="544"/>
        <v>1</v>
      </c>
      <c r="CX1980" s="326"/>
      <c r="CY1980" s="161" t="s">
        <v>6351</v>
      </c>
    </row>
    <row r="1981" spans="1:103" ht="12.6" customHeight="1" x14ac:dyDescent="0.2">
      <c r="A1981" s="72">
        <v>42</v>
      </c>
      <c r="B1981" s="149">
        <v>40</v>
      </c>
      <c r="C1981" s="54" t="s">
        <v>444</v>
      </c>
      <c r="D1981" s="54" t="s">
        <v>6435</v>
      </c>
      <c r="E1981" s="59"/>
      <c r="F1981" s="150" t="str">
        <f>HYPERLINK("http://www.sigmaaldrich.com/catalog/Lookup.do?N5=CAS+No.&amp;N3=mode+matchpartialmax&amp;N4=62-76-0&amp;D7=0&amp;D10=&amp;N25=0&amp;N1=S_ID&amp;ST=RS&amp;F=PR","62-76-0")</f>
        <v>62-76-0</v>
      </c>
      <c r="G1981" s="151">
        <v>62760</v>
      </c>
      <c r="H1981" s="55" t="s">
        <v>445</v>
      </c>
      <c r="I1981" s="55" t="s">
        <v>445</v>
      </c>
      <c r="J1981" s="55" t="s">
        <v>446</v>
      </c>
      <c r="K1981" s="55" t="s">
        <v>426</v>
      </c>
      <c r="L1981" s="64" t="s">
        <v>6025</v>
      </c>
      <c r="M1981" s="55" t="s">
        <v>5960</v>
      </c>
      <c r="N1981" s="60" t="s">
        <v>2342</v>
      </c>
      <c r="O1981" s="55"/>
      <c r="P1981" s="67"/>
      <c r="Q1981" s="67"/>
      <c r="R1981" s="67"/>
      <c r="S1981" s="67"/>
      <c r="T1981" s="59">
        <v>90.03</v>
      </c>
      <c r="U1981" s="153">
        <v>1350</v>
      </c>
      <c r="V1981" s="153">
        <v>1000000</v>
      </c>
      <c r="W1981" s="153">
        <v>366764.46410704276</v>
      </c>
      <c r="X1981" s="153">
        <v>1350</v>
      </c>
      <c r="Y1981" s="410">
        <v>0.4</v>
      </c>
      <c r="Z1981" s="59">
        <v>-1.74</v>
      </c>
      <c r="AA1981" s="59"/>
      <c r="AB1981" s="59">
        <v>-0.83</v>
      </c>
      <c r="AC1981" s="59">
        <v>0.53039999999999998</v>
      </c>
      <c r="AD1981" s="59">
        <v>-1.01</v>
      </c>
      <c r="AE1981" s="59">
        <v>-1.19</v>
      </c>
      <c r="AF1981" s="59">
        <f t="shared" si="552"/>
        <v>-1.01</v>
      </c>
      <c r="AG1981" s="57">
        <v>-1.7618</v>
      </c>
      <c r="AH1981" s="103">
        <v>2.4099999999999999E-11</v>
      </c>
      <c r="AI1981" s="103">
        <v>1.43E-10</v>
      </c>
      <c r="AJ1981" s="62">
        <f t="shared" si="551"/>
        <v>-9.0065492837377832</v>
      </c>
      <c r="AK1981" s="62">
        <f>LOG10(AI1981*1000/(0.08206*298.15))</f>
        <v>-8.2332302888475901</v>
      </c>
      <c r="AL1981" s="62">
        <f t="shared" si="546"/>
        <v>-8.2332302888475901</v>
      </c>
      <c r="AM1981" s="62">
        <v>-10.270619999999999</v>
      </c>
      <c r="AN1981" s="154">
        <v>-1.25</v>
      </c>
      <c r="AO1981" s="410">
        <v>1.38</v>
      </c>
      <c r="AP1981" s="410"/>
      <c r="AQ1981" s="154" t="s">
        <v>6311</v>
      </c>
      <c r="AR1981" s="154" t="s">
        <v>6311</v>
      </c>
      <c r="AS1981" s="149" t="s">
        <v>282</v>
      </c>
      <c r="AT1981" s="58" t="s">
        <v>266</v>
      </c>
      <c r="AU1981" s="155">
        <v>24</v>
      </c>
      <c r="AV1981" s="155">
        <v>120</v>
      </c>
      <c r="AW1981" s="155">
        <v>96</v>
      </c>
      <c r="AX1981" s="155">
        <v>28</v>
      </c>
      <c r="AY1981" s="155" t="s">
        <v>267</v>
      </c>
      <c r="AZ1981" s="155" t="s">
        <v>268</v>
      </c>
      <c r="BA1981" s="155">
        <v>48</v>
      </c>
      <c r="BB1981" s="55" t="s">
        <v>269</v>
      </c>
      <c r="BC1981" s="156" t="s">
        <v>270</v>
      </c>
      <c r="BD1981" s="156" t="s">
        <v>8374</v>
      </c>
      <c r="BE1981" s="155" t="s">
        <v>271</v>
      </c>
      <c r="BF1981" s="155" t="s">
        <v>272</v>
      </c>
      <c r="BG1981" s="155" t="s">
        <v>272</v>
      </c>
      <c r="BH1981" s="155" t="s">
        <v>272</v>
      </c>
      <c r="BI1981" s="153">
        <v>0.67186567164179101</v>
      </c>
      <c r="BJ1981" s="153">
        <v>1074.9850746268658</v>
      </c>
      <c r="BK1981" s="56"/>
      <c r="BL1981" s="153">
        <v>168997.8774782148</v>
      </c>
      <c r="BM1981" s="56">
        <v>0</v>
      </c>
      <c r="BN1981" s="56"/>
      <c r="BO1981" s="56"/>
      <c r="BP1981" s="56"/>
      <c r="BQ1981" s="56"/>
      <c r="BR1981" s="56"/>
      <c r="BS1981" s="56"/>
      <c r="BT1981" s="56"/>
      <c r="BU1981" s="158"/>
      <c r="BV1981" s="56"/>
      <c r="BW1981" s="56"/>
      <c r="BX1981" s="56"/>
      <c r="BY1981" s="56"/>
      <c r="BZ1981" s="56">
        <v>2971.8903</v>
      </c>
      <c r="CA1981" s="56">
        <v>308.80290000000002</v>
      </c>
      <c r="CB1981" s="56">
        <v>250.28339999999997</v>
      </c>
      <c r="CC1981" s="56"/>
      <c r="CD1981" s="56"/>
      <c r="CE1981" s="56"/>
      <c r="CF1981" s="56"/>
      <c r="CG1981" s="56"/>
      <c r="CH1981" s="56"/>
      <c r="CI1981" s="103">
        <v>250.28339999999997</v>
      </c>
      <c r="CJ1981" s="103">
        <f t="shared" si="543"/>
        <v>2.3984320460625912</v>
      </c>
      <c r="CK1981" s="57">
        <f t="shared" si="549"/>
        <v>157.20951059425178</v>
      </c>
      <c r="CL1981" s="160">
        <f t="shared" si="547"/>
        <v>675.22607363578572</v>
      </c>
      <c r="CM1981" s="160">
        <v>2.7993405494535817</v>
      </c>
      <c r="CN1981" s="160">
        <f>BJ1981/(10^CM1981)</f>
        <v>1.7063255152807377</v>
      </c>
      <c r="CO1981" s="55" t="s">
        <v>273</v>
      </c>
      <c r="CP1981" s="503" t="s">
        <v>274</v>
      </c>
      <c r="CQ1981" s="149">
        <v>2.7993405494535817</v>
      </c>
      <c r="CR1981" s="349">
        <f>10^(CJ1981-CQ1981)</f>
        <v>0.3972752380952379</v>
      </c>
      <c r="CS1981" s="61" t="s">
        <v>539</v>
      </c>
      <c r="CT1981" s="61"/>
      <c r="CU1981" s="111">
        <f t="shared" si="548"/>
        <v>5.3938854914069418</v>
      </c>
      <c r="CV1981" s="331">
        <f t="shared" si="550"/>
        <v>1.2558313895368209</v>
      </c>
      <c r="CW1981" s="326">
        <f t="shared" si="544"/>
        <v>1</v>
      </c>
      <c r="CX1981" s="326"/>
      <c r="CY1981" s="161" t="s">
        <v>5921</v>
      </c>
    </row>
    <row r="1982" spans="1:103" ht="12.6" customHeight="1" x14ac:dyDescent="0.2">
      <c r="A1982" s="72">
        <v>54</v>
      </c>
      <c r="B1982" s="149">
        <v>52</v>
      </c>
      <c r="C1982" s="54" t="s">
        <v>494</v>
      </c>
      <c r="D1982" s="54" t="s">
        <v>6466</v>
      </c>
      <c r="E1982" s="59"/>
      <c r="F1982" s="150" t="str">
        <f>HYPERLINK("http://www.sigmaaldrich.com/catalog/Lookup.do?N5=CAS+No.&amp;N3=mode+matchpartialmax&amp;N4=108-95-2&amp;D7=0&amp;D10=&amp;N25=0&amp;N1=S_ID&amp;ST=RS&amp;F=PR","108-95-2")</f>
        <v>108-95-2</v>
      </c>
      <c r="G1982" s="151">
        <v>108952</v>
      </c>
      <c r="H1982" s="55" t="s">
        <v>495</v>
      </c>
      <c r="I1982" s="55" t="s">
        <v>495</v>
      </c>
      <c r="J1982" s="55" t="s">
        <v>496</v>
      </c>
      <c r="K1982" s="55" t="s">
        <v>349</v>
      </c>
      <c r="L1982" s="64" t="s">
        <v>5527</v>
      </c>
      <c r="M1982" s="55" t="s">
        <v>497</v>
      </c>
      <c r="N1982" s="60" t="s">
        <v>6381</v>
      </c>
      <c r="O1982" s="55" t="s">
        <v>6086</v>
      </c>
      <c r="P1982" s="67" t="s">
        <v>6184</v>
      </c>
      <c r="Q1982" s="67" t="s">
        <v>6176</v>
      </c>
      <c r="R1982" s="67" t="s">
        <v>6185</v>
      </c>
      <c r="S1982" s="67" t="s">
        <v>6176</v>
      </c>
      <c r="T1982" s="59">
        <v>94.11</v>
      </c>
      <c r="U1982" s="153">
        <v>39463.059105431312</v>
      </c>
      <c r="V1982" s="153">
        <v>31626.823083067095</v>
      </c>
      <c r="W1982" s="153">
        <v>103189.56303903516</v>
      </c>
      <c r="X1982" s="153">
        <v>39463.059105431312</v>
      </c>
      <c r="Y1982" s="410">
        <v>4.91</v>
      </c>
      <c r="Z1982" s="59">
        <v>1.64</v>
      </c>
      <c r="AA1982" s="59">
        <v>1.23</v>
      </c>
      <c r="AB1982" s="59">
        <v>1.67</v>
      </c>
      <c r="AC1982" s="59">
        <v>0.93669999999999998</v>
      </c>
      <c r="AD1982" s="59">
        <v>1.63</v>
      </c>
      <c r="AE1982" s="59">
        <v>1.48</v>
      </c>
      <c r="AF1982" s="59">
        <f t="shared" si="552"/>
        <v>1.23</v>
      </c>
      <c r="AG1982" s="57">
        <v>1.46</v>
      </c>
      <c r="AH1982" s="103">
        <v>5.6100000000000001E-7</v>
      </c>
      <c r="AI1982" s="103">
        <v>3.3299999999999998E-7</v>
      </c>
      <c r="AJ1982" s="62">
        <f t="shared" si="551"/>
        <v>-4.6396034650564904</v>
      </c>
      <c r="AK1982" s="62">
        <f>LOG10(AI1982*1000/(0.08206*298.15))</f>
        <v>-4.8661220928063322</v>
      </c>
      <c r="AL1982" s="62">
        <f t="shared" si="546"/>
        <v>-4.8661220928063322</v>
      </c>
      <c r="AM1982" s="62">
        <v>-6.4734600000000002</v>
      </c>
      <c r="AN1982" s="154">
        <v>-4.68</v>
      </c>
      <c r="AO1982" s="410">
        <v>9.86</v>
      </c>
      <c r="AP1982" s="410"/>
      <c r="AQ1982" s="154" t="s">
        <v>6311</v>
      </c>
      <c r="AR1982" s="154" t="s">
        <v>6311</v>
      </c>
      <c r="AS1982" s="149" t="s">
        <v>282</v>
      </c>
      <c r="AT1982" s="58" t="s">
        <v>266</v>
      </c>
      <c r="AU1982" s="155">
        <v>24</v>
      </c>
      <c r="AV1982" s="155">
        <v>120</v>
      </c>
      <c r="AW1982" s="155">
        <v>96</v>
      </c>
      <c r="AX1982" s="155">
        <v>28</v>
      </c>
      <c r="AY1982" s="155" t="s">
        <v>267</v>
      </c>
      <c r="AZ1982" s="155" t="s">
        <v>268</v>
      </c>
      <c r="BA1982" s="155">
        <v>48</v>
      </c>
      <c r="BB1982" s="55" t="s">
        <v>269</v>
      </c>
      <c r="BC1982" s="156" t="s">
        <v>270</v>
      </c>
      <c r="BD1982" s="156" t="s">
        <v>8374</v>
      </c>
      <c r="BE1982" s="155" t="s">
        <v>271</v>
      </c>
      <c r="BF1982" s="155" t="s">
        <v>272</v>
      </c>
      <c r="BG1982" s="155" t="s">
        <v>272</v>
      </c>
      <c r="BH1982" s="155" t="s">
        <v>272</v>
      </c>
      <c r="BI1982" s="153">
        <v>1</v>
      </c>
      <c r="BJ1982" s="153">
        <v>1000</v>
      </c>
      <c r="BK1982" s="56"/>
      <c r="BL1982" s="153">
        <v>162.76153364945489</v>
      </c>
      <c r="BM1982" s="56">
        <v>0</v>
      </c>
      <c r="BN1982" s="56"/>
      <c r="BO1982" s="56"/>
      <c r="BP1982" s="56"/>
      <c r="BQ1982" s="56"/>
      <c r="BR1982" s="56"/>
      <c r="BS1982" s="56"/>
      <c r="BT1982" s="56"/>
      <c r="BU1982" s="158"/>
      <c r="BV1982" s="56"/>
      <c r="BW1982" s="56"/>
      <c r="BX1982" s="56"/>
      <c r="BY1982" s="56">
        <v>255.97920000000002</v>
      </c>
      <c r="BZ1982" s="56">
        <v>354.79469999999998</v>
      </c>
      <c r="CA1982" s="56">
        <v>173.16240000000002</v>
      </c>
      <c r="CB1982" s="56">
        <v>86.58120000000001</v>
      </c>
      <c r="CC1982" s="56"/>
      <c r="CD1982" s="56"/>
      <c r="CE1982" s="56"/>
      <c r="CF1982" s="56"/>
      <c r="CG1982" s="56"/>
      <c r="CH1982" s="56"/>
      <c r="CI1982" s="103">
        <v>86.58120000000001</v>
      </c>
      <c r="CJ1982" s="103">
        <f t="shared" si="543"/>
        <v>1.9374236007629628</v>
      </c>
      <c r="CK1982" s="57">
        <f t="shared" si="549"/>
        <v>0.16276153364945489</v>
      </c>
      <c r="CL1982" s="160">
        <f t="shared" si="547"/>
        <v>1.8798715385032185</v>
      </c>
      <c r="CM1982" s="160">
        <v>0.96044207232975776</v>
      </c>
      <c r="CN1982" s="160">
        <f>BJ1982/(10^CM1982)</f>
        <v>109.53626488066465</v>
      </c>
      <c r="CO1982" s="55" t="s">
        <v>273</v>
      </c>
      <c r="CP1982" s="503" t="s">
        <v>274</v>
      </c>
      <c r="CQ1982" s="149">
        <v>1.2958965951606112</v>
      </c>
      <c r="CR1982" s="349">
        <f>10^(CJ1982-CQ1982)</f>
        <v>4.3805334966235829</v>
      </c>
      <c r="CS1982" s="61" t="s">
        <v>539</v>
      </c>
      <c r="CT1982" s="61"/>
      <c r="CU1982" s="111">
        <f t="shared" si="548"/>
        <v>455.79247117655228</v>
      </c>
      <c r="CV1982" s="331">
        <f t="shared" si="550"/>
        <v>39.463059105431313</v>
      </c>
      <c r="CW1982" s="326">
        <f t="shared" si="544"/>
        <v>1</v>
      </c>
      <c r="CX1982" s="326"/>
      <c r="CY1982" s="161" t="s">
        <v>6351</v>
      </c>
    </row>
    <row r="1983" spans="1:103" ht="12.6" customHeight="1" x14ac:dyDescent="0.2">
      <c r="A1983" s="72">
        <v>59</v>
      </c>
      <c r="B1983" s="149">
        <v>12</v>
      </c>
      <c r="C1983" s="54" t="s">
        <v>330</v>
      </c>
      <c r="D1983" s="54" t="s">
        <v>8360</v>
      </c>
      <c r="E1983" s="59"/>
      <c r="F1983" s="150" t="str">
        <f>HYPERLINK("http://www.sigmaaldrich.com/catalog/Lookup.do?N5=CAS+No.&amp;N3=mode+matchpartialmax&amp;N4=83-67-0&amp;D7=0&amp;D10=&amp;N25=0&amp;N1=S_ID&amp;ST=RS&amp;F=PR","83-67-0")</f>
        <v>83-67-0</v>
      </c>
      <c r="G1983" s="151">
        <v>83670</v>
      </c>
      <c r="H1983" s="55" t="s">
        <v>331</v>
      </c>
      <c r="I1983" s="55" t="s">
        <v>331</v>
      </c>
      <c r="J1983" s="55" t="s">
        <v>332</v>
      </c>
      <c r="K1983" s="55" t="s">
        <v>333</v>
      </c>
      <c r="L1983" s="64" t="s">
        <v>279</v>
      </c>
      <c r="M1983" s="55" t="s">
        <v>334</v>
      </c>
      <c r="N1983" s="60"/>
      <c r="O1983" s="55" t="s">
        <v>281</v>
      </c>
      <c r="P1983" s="67"/>
      <c r="Q1983" s="67"/>
      <c r="R1983" s="67"/>
      <c r="S1983" s="67"/>
      <c r="T1983" s="59">
        <v>180.16</v>
      </c>
      <c r="U1983" s="153">
        <v>330</v>
      </c>
      <c r="V1983" s="153">
        <v>12480</v>
      </c>
      <c r="W1983" s="153">
        <v>7339.3630849188949</v>
      </c>
      <c r="X1983" s="153">
        <v>330</v>
      </c>
      <c r="Y1983" s="410">
        <v>5.67</v>
      </c>
      <c r="Z1983" s="59">
        <v>-0.05</v>
      </c>
      <c r="AA1983" s="59">
        <v>-0.78</v>
      </c>
      <c r="AB1983" s="59">
        <v>-0.23</v>
      </c>
      <c r="AC1983" s="59">
        <v>0.84499999999999997</v>
      </c>
      <c r="AD1983" s="59">
        <v>-0.34</v>
      </c>
      <c r="AE1983" s="59">
        <v>-0.72</v>
      </c>
      <c r="AF1983" s="59">
        <f t="shared" si="552"/>
        <v>-0.78</v>
      </c>
      <c r="AG1983" s="57">
        <v>-0.25</v>
      </c>
      <c r="AH1983" s="103">
        <v>1.6300000000000001E-11</v>
      </c>
      <c r="AI1983" s="103"/>
      <c r="AJ1983" s="62">
        <f t="shared" si="551"/>
        <v>-9.1763787219086943</v>
      </c>
      <c r="AK1983" s="62"/>
      <c r="AL1983" s="62">
        <f t="shared" si="546"/>
        <v>-9.1763787219086943</v>
      </c>
      <c r="AM1983" s="62">
        <v>-13.55288</v>
      </c>
      <c r="AN1983" s="154">
        <v>-7.34</v>
      </c>
      <c r="AO1983" s="410">
        <v>9.9</v>
      </c>
      <c r="AP1983" s="410">
        <v>0.41</v>
      </c>
      <c r="AQ1983" s="154" t="s">
        <v>6311</v>
      </c>
      <c r="AR1983" s="154" t="s">
        <v>6311</v>
      </c>
      <c r="AS1983" s="149" t="s">
        <v>282</v>
      </c>
      <c r="AT1983" s="58" t="s">
        <v>266</v>
      </c>
      <c r="AU1983" s="155">
        <v>24</v>
      </c>
      <c r="AV1983" s="155">
        <v>120</v>
      </c>
      <c r="AW1983" s="155">
        <v>96</v>
      </c>
      <c r="AX1983" s="155">
        <v>28</v>
      </c>
      <c r="AY1983" s="155" t="s">
        <v>267</v>
      </c>
      <c r="AZ1983" s="155" t="s">
        <v>268</v>
      </c>
      <c r="BA1983" s="155">
        <v>48</v>
      </c>
      <c r="BB1983" s="55" t="s">
        <v>269</v>
      </c>
      <c r="BC1983" s="156" t="s">
        <v>270</v>
      </c>
      <c r="BD1983" s="156" t="s">
        <v>8374</v>
      </c>
      <c r="BE1983" s="155" t="s">
        <v>271</v>
      </c>
      <c r="BF1983" s="155" t="s">
        <v>272</v>
      </c>
      <c r="BG1983" s="155" t="s">
        <v>272</v>
      </c>
      <c r="BH1983" s="155" t="s">
        <v>272</v>
      </c>
      <c r="BI1983" s="153">
        <v>1</v>
      </c>
      <c r="BJ1983" s="153">
        <v>1000.0000000000001</v>
      </c>
      <c r="BK1983" s="56"/>
      <c r="BL1983" s="153">
        <v>10265.104459156777</v>
      </c>
      <c r="BM1983" s="56">
        <v>0</v>
      </c>
      <c r="BN1983" s="56"/>
      <c r="BO1983" s="56"/>
      <c r="BP1983" s="56"/>
      <c r="BQ1983" s="56"/>
      <c r="BR1983" s="56"/>
      <c r="BS1983" s="56"/>
      <c r="BT1983" s="56"/>
      <c r="BU1983" s="158"/>
      <c r="BV1983" s="56"/>
      <c r="BW1983" s="56"/>
      <c r="BX1983" s="56"/>
      <c r="BY1983" s="56"/>
      <c r="BZ1983" s="56">
        <v>567.50400000000002</v>
      </c>
      <c r="CA1983" s="56">
        <v>419.77280000000002</v>
      </c>
      <c r="CB1983" s="56">
        <v>149.53279999999998</v>
      </c>
      <c r="CC1983" s="56"/>
      <c r="CD1983" s="56"/>
      <c r="CE1983" s="56"/>
      <c r="CF1983" s="56"/>
      <c r="CG1983" s="56"/>
      <c r="CH1983" s="56"/>
      <c r="CI1983" s="103">
        <v>149.53279999999998</v>
      </c>
      <c r="CJ1983" s="103">
        <f t="shared" si="543"/>
        <v>2.1747364655473262</v>
      </c>
      <c r="CK1983" s="57">
        <f t="shared" si="549"/>
        <v>10.265104459156776</v>
      </c>
      <c r="CL1983" s="160">
        <f t="shared" si="547"/>
        <v>68.647844881904021</v>
      </c>
      <c r="CM1983" s="160"/>
      <c r="CN1983" s="160"/>
      <c r="CO1983" s="55" t="s">
        <v>273</v>
      </c>
      <c r="CP1983" s="503" t="s">
        <v>274</v>
      </c>
      <c r="CQ1983" s="149" t="s">
        <v>272</v>
      </c>
      <c r="CR1983" s="349"/>
      <c r="CS1983" s="61" t="s">
        <v>539</v>
      </c>
      <c r="CT1983" s="61"/>
      <c r="CU1983" s="111">
        <f t="shared" si="548"/>
        <v>2.2068736758757947</v>
      </c>
      <c r="CV1983" s="331">
        <f t="shared" si="550"/>
        <v>0.32999999999999996</v>
      </c>
      <c r="CW1983" s="326">
        <f t="shared" si="544"/>
        <v>1</v>
      </c>
      <c r="CX1983" s="326"/>
      <c r="CY1983" s="161" t="s">
        <v>5921</v>
      </c>
    </row>
    <row r="1984" spans="1:103" ht="12.6" customHeight="1" x14ac:dyDescent="0.2">
      <c r="A1984" s="72">
        <v>63</v>
      </c>
      <c r="B1984" s="149">
        <v>41</v>
      </c>
      <c r="C1984" s="54" t="s">
        <v>447</v>
      </c>
      <c r="D1984" s="54" t="s">
        <v>6444</v>
      </c>
      <c r="E1984" s="59"/>
      <c r="F1984" s="150" t="str">
        <f>HYPERLINK("http://www.commonchemistry.org/ChemicalDetail.aspx?ref=76-03-9","76-03-9")</f>
        <v>76-03-9</v>
      </c>
      <c r="G1984" s="151">
        <v>76039</v>
      </c>
      <c r="H1984" s="55" t="s">
        <v>448</v>
      </c>
      <c r="I1984" s="55" t="s">
        <v>7996</v>
      </c>
      <c r="J1984" s="55" t="s">
        <v>449</v>
      </c>
      <c r="K1984" s="55" t="s">
        <v>450</v>
      </c>
      <c r="L1984" s="64" t="s">
        <v>6103</v>
      </c>
      <c r="M1984" s="60" t="s">
        <v>2342</v>
      </c>
      <c r="N1984" s="60" t="s">
        <v>2342</v>
      </c>
      <c r="O1984" s="55"/>
      <c r="P1984" s="67"/>
      <c r="Q1984" s="67"/>
      <c r="R1984" s="67"/>
      <c r="S1984" s="67"/>
      <c r="T1984" s="59">
        <v>163.38999999999999</v>
      </c>
      <c r="U1984" s="153">
        <v>54600.000000000007</v>
      </c>
      <c r="V1984" s="153">
        <v>11990</v>
      </c>
      <c r="W1984" s="153">
        <v>54103.513939040546</v>
      </c>
      <c r="X1984" s="153">
        <v>54600.000000000007</v>
      </c>
      <c r="Y1984" s="410">
        <v>0.6</v>
      </c>
      <c r="Z1984" s="59">
        <v>1.44</v>
      </c>
      <c r="AA1984" s="59">
        <v>1.33</v>
      </c>
      <c r="AB1984" s="59">
        <v>1.45</v>
      </c>
      <c r="AC1984" s="59">
        <v>0.74429999999999996</v>
      </c>
      <c r="AD1984" s="59">
        <v>1.52</v>
      </c>
      <c r="AE1984" s="59">
        <v>1.67</v>
      </c>
      <c r="AF1984" s="59">
        <f t="shared" si="552"/>
        <v>1.33</v>
      </c>
      <c r="AG1984" s="57">
        <v>1.41</v>
      </c>
      <c r="AH1984" s="103">
        <v>2.3899999999999999E-8</v>
      </c>
      <c r="AI1984" s="103">
        <v>1.35E-8</v>
      </c>
      <c r="AJ1984" s="62">
        <f t="shared" si="551"/>
        <v>-6.0101684253645145</v>
      </c>
      <c r="AK1984" s="62">
        <f>LOG10(AI1984*1000/(0.08206*298.15))</f>
        <v>-6.2582325578176459</v>
      </c>
      <c r="AL1984" s="62">
        <f t="shared" si="546"/>
        <v>-6.2582325578176459</v>
      </c>
      <c r="AM1984" s="62">
        <v>-7.3551800000000007</v>
      </c>
      <c r="AN1984" s="154">
        <v>-6.88</v>
      </c>
      <c r="AO1984" s="410">
        <v>0.09</v>
      </c>
      <c r="AP1984" s="410"/>
      <c r="AQ1984" s="154" t="s">
        <v>6311</v>
      </c>
      <c r="AR1984" s="154" t="s">
        <v>6311</v>
      </c>
      <c r="AS1984" s="149" t="s">
        <v>282</v>
      </c>
      <c r="AT1984" s="58" t="s">
        <v>266</v>
      </c>
      <c r="AU1984" s="155">
        <v>24</v>
      </c>
      <c r="AV1984" s="155">
        <v>120</v>
      </c>
      <c r="AW1984" s="155">
        <v>96</v>
      </c>
      <c r="AX1984" s="155">
        <v>28</v>
      </c>
      <c r="AY1984" s="155" t="s">
        <v>267</v>
      </c>
      <c r="AZ1984" s="155" t="s">
        <v>268</v>
      </c>
      <c r="BA1984" s="155">
        <v>48</v>
      </c>
      <c r="BB1984" s="55" t="s">
        <v>269</v>
      </c>
      <c r="BC1984" s="156" t="s">
        <v>270</v>
      </c>
      <c r="BD1984" s="156" t="s">
        <v>8374</v>
      </c>
      <c r="BE1984" s="155" t="s">
        <v>271</v>
      </c>
      <c r="BF1984" s="155" t="s">
        <v>272</v>
      </c>
      <c r="BG1984" s="155" t="s">
        <v>272</v>
      </c>
      <c r="BH1984" s="155" t="s">
        <v>272</v>
      </c>
      <c r="BI1984" s="153">
        <v>1.0000612070020809</v>
      </c>
      <c r="BJ1984" s="153">
        <v>1000.061207002081</v>
      </c>
      <c r="BK1984" s="56"/>
      <c r="BL1984" s="153">
        <v>427.32812059013713</v>
      </c>
      <c r="BM1984" s="56">
        <v>0</v>
      </c>
      <c r="BN1984" s="56"/>
      <c r="BO1984" s="56"/>
      <c r="BP1984" s="56"/>
      <c r="BQ1984" s="56"/>
      <c r="BR1984" s="56"/>
      <c r="BS1984" s="56"/>
      <c r="BT1984" s="56"/>
      <c r="BU1984" s="158"/>
      <c r="BV1984" s="56"/>
      <c r="BW1984" s="56"/>
      <c r="BX1984" s="56"/>
      <c r="BY1984" s="56">
        <v>86.596699999999998</v>
      </c>
      <c r="BZ1984" s="56">
        <v>86.596699999999998</v>
      </c>
      <c r="CA1984" s="56">
        <v>86.596699999999998</v>
      </c>
      <c r="CB1984" s="56">
        <v>66.989899999999992</v>
      </c>
      <c r="CC1984" s="56"/>
      <c r="CD1984" s="56"/>
      <c r="CE1984" s="56"/>
      <c r="CF1984" s="56"/>
      <c r="CG1984" s="56"/>
      <c r="CH1984" s="56"/>
      <c r="CI1984" s="103">
        <v>66.989899999999992</v>
      </c>
      <c r="CJ1984" s="103">
        <f t="shared" si="543"/>
        <v>1.8260093294931363</v>
      </c>
      <c r="CK1984" s="57">
        <f t="shared" si="549"/>
        <v>0.42730196671777104</v>
      </c>
      <c r="CL1984" s="160">
        <f t="shared" si="547"/>
        <v>6.3789932600307981</v>
      </c>
      <c r="CM1984" s="160">
        <v>3.3021130265422349</v>
      </c>
      <c r="CN1984" s="160">
        <f>BJ1984/(10^CM1984)</f>
        <v>0.4987851953318217</v>
      </c>
      <c r="CO1984" s="55" t="s">
        <v>273</v>
      </c>
      <c r="CP1984" s="503" t="s">
        <v>274</v>
      </c>
      <c r="CQ1984" s="149">
        <v>3.3021130265422349</v>
      </c>
      <c r="CR1984" s="349">
        <f>10^(CJ1984-CQ1984)</f>
        <v>3.3411525337458337E-2</v>
      </c>
      <c r="CS1984" s="61" t="s">
        <v>539</v>
      </c>
      <c r="CT1984" s="61"/>
      <c r="CU1984" s="111">
        <f t="shared" si="548"/>
        <v>815.04823861507498</v>
      </c>
      <c r="CV1984" s="331">
        <f t="shared" si="550"/>
        <v>54.596658302221684</v>
      </c>
      <c r="CW1984" s="326">
        <f t="shared" si="544"/>
        <v>1</v>
      </c>
      <c r="CX1984" s="326"/>
      <c r="CY1984" s="161" t="s">
        <v>6351</v>
      </c>
    </row>
    <row r="1985" spans="1:103" ht="12.6" customHeight="1" x14ac:dyDescent="0.2">
      <c r="A1985" s="72">
        <v>64</v>
      </c>
      <c r="B1985" s="149">
        <v>55</v>
      </c>
      <c r="C1985" s="54" t="s">
        <v>508</v>
      </c>
      <c r="D1985" s="54" t="s">
        <v>6424</v>
      </c>
      <c r="E1985" s="59"/>
      <c r="F1985" s="150" t="str">
        <f>HYPERLINK("http://www.sigmaaldrich.com/catalog/Lookup.do?N5=CAS+No.&amp;N3=mode+matchpartialmax&amp;N4=50-00-0&amp;D7=0&amp;D10=&amp;N25=0&amp;N1=S_ID&amp;ST=RS&amp;F=PR","50-00-0")</f>
        <v>50-00-0</v>
      </c>
      <c r="G1985" s="151">
        <v>50000</v>
      </c>
      <c r="H1985" s="55" t="s">
        <v>509</v>
      </c>
      <c r="I1985" s="55" t="s">
        <v>509</v>
      </c>
      <c r="J1985" s="55" t="s">
        <v>510</v>
      </c>
      <c r="K1985" s="55" t="s">
        <v>511</v>
      </c>
      <c r="L1985" s="73" t="s">
        <v>6105</v>
      </c>
      <c r="M1985" s="60" t="s">
        <v>6088</v>
      </c>
      <c r="N1985" s="60" t="s">
        <v>6088</v>
      </c>
      <c r="O1985" s="60" t="s">
        <v>6083</v>
      </c>
      <c r="P1985" s="67"/>
      <c r="Q1985" s="67" t="s">
        <v>6176</v>
      </c>
      <c r="R1985" s="67" t="s">
        <v>6175</v>
      </c>
      <c r="S1985" s="67" t="s">
        <v>6173</v>
      </c>
      <c r="T1985" s="152">
        <v>30.03</v>
      </c>
      <c r="U1985" s="153">
        <v>400000</v>
      </c>
      <c r="V1985" s="153">
        <v>57020</v>
      </c>
      <c r="W1985" s="153">
        <v>198406.24243668112</v>
      </c>
      <c r="X1985" s="153">
        <v>400000</v>
      </c>
      <c r="Y1985" s="410">
        <v>7</v>
      </c>
      <c r="Z1985" s="59">
        <v>0.35</v>
      </c>
      <c r="AA1985" s="59">
        <v>0.35</v>
      </c>
      <c r="AB1985" s="59">
        <v>0.27</v>
      </c>
      <c r="AC1985" s="59">
        <v>0.88849999999999996</v>
      </c>
      <c r="AD1985" s="59">
        <v>0.28999999999999998</v>
      </c>
      <c r="AE1985" s="59">
        <v>0.35</v>
      </c>
      <c r="AF1985" s="59">
        <f t="shared" si="552"/>
        <v>0.35</v>
      </c>
      <c r="AG1985" s="57">
        <v>-0.36</v>
      </c>
      <c r="AH1985" s="103">
        <v>9.2899999999999995E-5</v>
      </c>
      <c r="AI1985" s="103">
        <v>3.3700000000000001E-7</v>
      </c>
      <c r="AJ1985" s="62">
        <f t="shared" si="551"/>
        <v>-2.4205506123190101</v>
      </c>
      <c r="AK1985" s="62">
        <f>LOG10(AI1985*1000/(0.08206*298.15))</f>
        <v>-4.860936425441313</v>
      </c>
      <c r="AL1985" s="62">
        <f t="shared" si="546"/>
        <v>-4.860936425441313</v>
      </c>
      <c r="AM1985" s="62">
        <v>-2.4347099999999999</v>
      </c>
      <c r="AN1985" s="154">
        <v>-1.64</v>
      </c>
      <c r="AO1985" s="410"/>
      <c r="AP1985" s="410"/>
      <c r="AQ1985" s="154" t="s">
        <v>6311</v>
      </c>
      <c r="AR1985" s="154" t="s">
        <v>6311</v>
      </c>
      <c r="AS1985" s="149" t="s">
        <v>282</v>
      </c>
      <c r="AT1985" s="58" t="s">
        <v>266</v>
      </c>
      <c r="AU1985" s="155">
        <v>24</v>
      </c>
      <c r="AV1985" s="155">
        <v>120</v>
      </c>
      <c r="AW1985" s="155">
        <v>96</v>
      </c>
      <c r="AX1985" s="155">
        <v>28</v>
      </c>
      <c r="AY1985" s="155" t="s">
        <v>267</v>
      </c>
      <c r="AZ1985" s="155" t="s">
        <v>268</v>
      </c>
      <c r="BA1985" s="155">
        <v>48</v>
      </c>
      <c r="BB1985" s="55" t="s">
        <v>269</v>
      </c>
      <c r="BC1985" s="156" t="s">
        <v>270</v>
      </c>
      <c r="BD1985" s="156" t="s">
        <v>8374</v>
      </c>
      <c r="BE1985" s="155" t="s">
        <v>271</v>
      </c>
      <c r="BF1985" s="155" t="s">
        <v>272</v>
      </c>
      <c r="BG1985" s="155" t="s">
        <v>272</v>
      </c>
      <c r="BH1985" s="155" t="s">
        <v>272</v>
      </c>
      <c r="BI1985" s="153">
        <v>0.99999999999999989</v>
      </c>
      <c r="BJ1985" s="153">
        <v>1000</v>
      </c>
      <c r="BK1985" s="56"/>
      <c r="BL1985" s="153">
        <v>748.20452809700032</v>
      </c>
      <c r="BM1985" s="56">
        <v>0</v>
      </c>
      <c r="BN1985" s="56"/>
      <c r="BO1985" s="56"/>
      <c r="BP1985" s="56"/>
      <c r="BQ1985" s="56"/>
      <c r="BR1985" s="56"/>
      <c r="BS1985" s="56"/>
      <c r="BT1985" s="56"/>
      <c r="BU1985" s="158"/>
      <c r="BV1985" s="56"/>
      <c r="BW1985" s="56"/>
      <c r="BX1985" s="56"/>
      <c r="BY1985" s="56"/>
      <c r="BZ1985" s="56">
        <v>12.9129</v>
      </c>
      <c r="CA1985" s="56">
        <v>11.1111</v>
      </c>
      <c r="CB1985" s="56">
        <v>12.6126</v>
      </c>
      <c r="CC1985" s="56"/>
      <c r="CD1985" s="56"/>
      <c r="CE1985" s="56"/>
      <c r="CF1985" s="56"/>
      <c r="CG1985" s="56"/>
      <c r="CH1985" s="56"/>
      <c r="CI1985" s="103">
        <v>11.1111</v>
      </c>
      <c r="CJ1985" s="103">
        <f t="shared" si="543"/>
        <v>1.0457570562659761</v>
      </c>
      <c r="CK1985" s="57">
        <f t="shared" si="549"/>
        <v>0.74820452809700033</v>
      </c>
      <c r="CL1985" s="160">
        <f t="shared" si="547"/>
        <v>67.338474867204894</v>
      </c>
      <c r="CM1985" s="160">
        <v>1.298125098812464</v>
      </c>
      <c r="CN1985" s="160">
        <f>BJ1985/(10^CM1985)</f>
        <v>50.335559599138364</v>
      </c>
      <c r="CO1985" s="55" t="s">
        <v>273</v>
      </c>
      <c r="CP1985" s="503" t="s">
        <v>274</v>
      </c>
      <c r="CQ1985" s="149">
        <v>1.4982719919411001</v>
      </c>
      <c r="CR1985" s="349">
        <f>10^(CJ1985-CQ1985)</f>
        <v>0.35276465459994366</v>
      </c>
      <c r="CS1985" s="61" t="s">
        <v>539</v>
      </c>
      <c r="CT1985" s="61"/>
      <c r="CU1985" s="111">
        <f t="shared" si="548"/>
        <v>36000.036000036001</v>
      </c>
      <c r="CV1985" s="331">
        <f t="shared" si="550"/>
        <v>400</v>
      </c>
      <c r="CW1985" s="326">
        <f t="shared" si="544"/>
        <v>1</v>
      </c>
      <c r="CX1985" s="326"/>
      <c r="CY1985" s="161" t="s">
        <v>6351</v>
      </c>
    </row>
    <row r="1986" spans="1:103" ht="12.6" customHeight="1" x14ac:dyDescent="0.2">
      <c r="A1986" s="72">
        <v>67</v>
      </c>
      <c r="B1986" s="149">
        <v>39</v>
      </c>
      <c r="C1986" s="54" t="s">
        <v>439</v>
      </c>
      <c r="D1986" s="54" t="s">
        <v>6441</v>
      </c>
      <c r="E1986" s="59"/>
      <c r="F1986" s="59" t="s">
        <v>440</v>
      </c>
      <c r="G1986" s="151">
        <v>69727</v>
      </c>
      <c r="H1986" s="55" t="s">
        <v>441</v>
      </c>
      <c r="I1986" s="55" t="s">
        <v>441</v>
      </c>
      <c r="J1986" s="55" t="s">
        <v>442</v>
      </c>
      <c r="K1986" s="55" t="s">
        <v>349</v>
      </c>
      <c r="L1986" s="64" t="s">
        <v>279</v>
      </c>
      <c r="M1986" s="55" t="s">
        <v>443</v>
      </c>
      <c r="N1986" s="60" t="s">
        <v>6384</v>
      </c>
      <c r="O1986" s="55" t="s">
        <v>281</v>
      </c>
      <c r="P1986" s="67"/>
      <c r="Q1986" s="67"/>
      <c r="R1986" s="67"/>
      <c r="S1986" s="67"/>
      <c r="T1986" s="59">
        <v>138.12</v>
      </c>
      <c r="U1986" s="153">
        <v>2240</v>
      </c>
      <c r="V1986" s="153">
        <v>3808</v>
      </c>
      <c r="W1986" s="153">
        <v>8516.4101657107931</v>
      </c>
      <c r="X1986" s="153">
        <v>2240</v>
      </c>
      <c r="Y1986" s="410">
        <v>1.76</v>
      </c>
      <c r="Z1986" s="59">
        <v>2.2400000000000002</v>
      </c>
      <c r="AA1986" s="59">
        <v>2.2599999999999998</v>
      </c>
      <c r="AB1986" s="59">
        <v>2.4700000000000002</v>
      </c>
      <c r="AC1986" s="59">
        <v>0.87809999999999999</v>
      </c>
      <c r="AD1986" s="59">
        <v>2.37</v>
      </c>
      <c r="AE1986" s="59">
        <v>2.06</v>
      </c>
      <c r="AF1986" s="59">
        <f t="shared" si="552"/>
        <v>2.2599999999999998</v>
      </c>
      <c r="AG1986" s="57">
        <v>1.27</v>
      </c>
      <c r="AH1986" s="103">
        <v>1.42E-8</v>
      </c>
      <c r="AI1986" s="103">
        <v>7.3399999999999999E-9</v>
      </c>
      <c r="AJ1986" s="62">
        <f t="shared" si="551"/>
        <v>-6.2362779819295957</v>
      </c>
      <c r="AK1986" s="62">
        <f>LOG10(AI1986*1000/(0.08206*298.15))</f>
        <v>-6.5228702663965814</v>
      </c>
      <c r="AL1986" s="62">
        <f t="shared" si="546"/>
        <v>-6.5228702663965814</v>
      </c>
      <c r="AM1986" s="62">
        <v>-8.2730999999999995</v>
      </c>
      <c r="AN1986" s="154">
        <v>-6.16</v>
      </c>
      <c r="AO1986" s="410">
        <v>3.01</v>
      </c>
      <c r="AP1986" s="410"/>
      <c r="AQ1986" s="154" t="s">
        <v>6311</v>
      </c>
      <c r="AR1986" s="154" t="s">
        <v>6311</v>
      </c>
      <c r="AS1986" s="149" t="s">
        <v>282</v>
      </c>
      <c r="AT1986" s="58" t="s">
        <v>266</v>
      </c>
      <c r="AU1986" s="155">
        <v>24</v>
      </c>
      <c r="AV1986" s="155">
        <v>120</v>
      </c>
      <c r="AW1986" s="155">
        <v>96</v>
      </c>
      <c r="AX1986" s="155">
        <v>28</v>
      </c>
      <c r="AY1986" s="155" t="s">
        <v>267</v>
      </c>
      <c r="AZ1986" s="155" t="s">
        <v>268</v>
      </c>
      <c r="BA1986" s="155">
        <v>48</v>
      </c>
      <c r="BB1986" s="55" t="s">
        <v>269</v>
      </c>
      <c r="BC1986" s="156" t="s">
        <v>270</v>
      </c>
      <c r="BD1986" s="156" t="s">
        <v>8374</v>
      </c>
      <c r="BE1986" s="155" t="s">
        <v>271</v>
      </c>
      <c r="BF1986" s="155" t="s">
        <v>272</v>
      </c>
      <c r="BG1986" s="155" t="s">
        <v>272</v>
      </c>
      <c r="BH1986" s="155" t="s">
        <v>272</v>
      </c>
      <c r="BI1986" s="153">
        <v>1</v>
      </c>
      <c r="BJ1986" s="153">
        <v>1000</v>
      </c>
      <c r="BK1986" s="56"/>
      <c r="BL1986" s="153">
        <v>69.073676085754386</v>
      </c>
      <c r="BM1986" s="56">
        <v>0</v>
      </c>
      <c r="BN1986" s="56"/>
      <c r="BO1986" s="56"/>
      <c r="BP1986" s="56"/>
      <c r="BQ1986" s="56"/>
      <c r="BR1986" s="56"/>
      <c r="BS1986" s="56"/>
      <c r="BT1986" s="56"/>
      <c r="BU1986" s="158"/>
      <c r="BV1986" s="56"/>
      <c r="BW1986" s="56"/>
      <c r="BX1986" s="56"/>
      <c r="BY1986" s="56">
        <v>46.960800000000006</v>
      </c>
      <c r="BZ1986" s="56">
        <v>46.960800000000006</v>
      </c>
      <c r="CA1986" s="56">
        <v>46.960800000000006</v>
      </c>
      <c r="CB1986" s="56">
        <v>46.960800000000006</v>
      </c>
      <c r="CC1986" s="56"/>
      <c r="CD1986" s="56"/>
      <c r="CE1986" s="56"/>
      <c r="CF1986" s="56"/>
      <c r="CG1986" s="56"/>
      <c r="CH1986" s="56"/>
      <c r="CI1986" s="103">
        <v>46.960800000000006</v>
      </c>
      <c r="CJ1986" s="103">
        <f t="shared" si="543"/>
        <v>1.6717354867196719</v>
      </c>
      <c r="CK1986" s="57">
        <f t="shared" si="549"/>
        <v>6.907367608575439E-2</v>
      </c>
      <c r="CL1986" s="160">
        <f t="shared" si="547"/>
        <v>1.4708794587348251</v>
      </c>
      <c r="CM1986" s="160">
        <v>2.3138672203691533</v>
      </c>
      <c r="CN1986" s="160">
        <f>BJ1986/(10^CM1986)</f>
        <v>4.8543689320388346</v>
      </c>
      <c r="CO1986" s="55" t="s">
        <v>273</v>
      </c>
      <c r="CP1986" s="503" t="s">
        <v>274</v>
      </c>
      <c r="CQ1986" s="149">
        <v>2.774697833638351</v>
      </c>
      <c r="CR1986" s="349">
        <f>10^(CJ1986-CQ1986)</f>
        <v>7.889285143011085E-2</v>
      </c>
      <c r="CS1986" s="61" t="s">
        <v>539</v>
      </c>
      <c r="CT1986" s="61"/>
      <c r="CU1986" s="111">
        <f t="shared" si="548"/>
        <v>47.699357762218696</v>
      </c>
      <c r="CV1986" s="331">
        <f t="shared" si="550"/>
        <v>2.2400000000000002</v>
      </c>
      <c r="CW1986" s="326">
        <f t="shared" si="544"/>
        <v>1</v>
      </c>
      <c r="CX1986" s="326"/>
      <c r="CY1986" s="161" t="s">
        <v>6351</v>
      </c>
    </row>
    <row r="1987" spans="1:103" ht="12.6" customHeight="1" x14ac:dyDescent="0.2">
      <c r="A1987" s="72">
        <v>72</v>
      </c>
      <c r="B1987" s="149">
        <v>18</v>
      </c>
      <c r="C1987" s="54" t="s">
        <v>354</v>
      </c>
      <c r="D1987" s="54" t="s">
        <v>8361</v>
      </c>
      <c r="E1987" s="59"/>
      <c r="F1987" s="150" t="str">
        <f>HYPERLINK("http://www.sigmaaldrich.com/catalog/Lookup.do?N5=CAS+No.&amp;N3=mode+matchpartialmax&amp;N4=91-64-5&amp;D7=0&amp;D10=&amp;N25=0&amp;N1=S_ID&amp;ST=RS&amp;F=PR","91-64-5")</f>
        <v>91-64-5</v>
      </c>
      <c r="G1987" s="151">
        <v>91645</v>
      </c>
      <c r="H1987" s="55" t="s">
        <v>355</v>
      </c>
      <c r="I1987" s="55" t="s">
        <v>355</v>
      </c>
      <c r="J1987" s="55" t="s">
        <v>356</v>
      </c>
      <c r="K1987" s="55" t="s">
        <v>357</v>
      </c>
      <c r="L1987" s="64"/>
      <c r="M1987" s="55"/>
      <c r="N1987" s="60"/>
      <c r="O1987" s="55"/>
      <c r="P1987" s="67"/>
      <c r="Q1987" s="67"/>
      <c r="R1987" s="67"/>
      <c r="S1987" s="67"/>
      <c r="T1987" s="59">
        <v>146.13999999999999</v>
      </c>
      <c r="U1987" s="153">
        <v>1900</v>
      </c>
      <c r="V1987" s="153">
        <v>5126.0000000000009</v>
      </c>
      <c r="W1987" s="153">
        <v>4728.9977023695847</v>
      </c>
      <c r="X1987" s="153">
        <v>1900</v>
      </c>
      <c r="Y1987" s="410">
        <v>7</v>
      </c>
      <c r="Z1987" s="59">
        <v>1.51</v>
      </c>
      <c r="AA1987" s="59">
        <v>1.39</v>
      </c>
      <c r="AB1987" s="59">
        <v>2.06</v>
      </c>
      <c r="AC1987" s="59">
        <v>0.79700000000000004</v>
      </c>
      <c r="AD1987" s="59">
        <v>1.85</v>
      </c>
      <c r="AE1987" s="59">
        <v>1.39</v>
      </c>
      <c r="AF1987" s="59">
        <f t="shared" si="552"/>
        <v>1.39</v>
      </c>
      <c r="AG1987" s="57">
        <v>2.06</v>
      </c>
      <c r="AH1987" s="103">
        <v>6.9500000000000004E-6</v>
      </c>
      <c r="AI1987" s="103">
        <v>9.9200000000000002E-8</v>
      </c>
      <c r="AJ1987" s="62">
        <f t="shared" si="551"/>
        <v>-3.5465815217225378</v>
      </c>
      <c r="AK1987" s="62">
        <f>LOG10(AI1987*1000/(0.08206*298.15))</f>
        <v>-5.3920546541584731</v>
      </c>
      <c r="AL1987" s="62">
        <f t="shared" si="546"/>
        <v>-5.3920546541584731</v>
      </c>
      <c r="AM1987" s="62">
        <v>-6.2431699999999992</v>
      </c>
      <c r="AN1987" s="154">
        <v>-4.9400000000000004</v>
      </c>
      <c r="AO1987" s="410"/>
      <c r="AP1987" s="410"/>
      <c r="AQ1987" s="154" t="s">
        <v>6311</v>
      </c>
      <c r="AR1987" s="154" t="s">
        <v>6311</v>
      </c>
      <c r="AS1987" s="149" t="s">
        <v>282</v>
      </c>
      <c r="AT1987" s="58" t="s">
        <v>266</v>
      </c>
      <c r="AU1987" s="155">
        <v>24</v>
      </c>
      <c r="AV1987" s="155">
        <v>120</v>
      </c>
      <c r="AW1987" s="155">
        <v>96</v>
      </c>
      <c r="AX1987" s="155">
        <v>28</v>
      </c>
      <c r="AY1987" s="155" t="s">
        <v>267</v>
      </c>
      <c r="AZ1987" s="155" t="s">
        <v>268</v>
      </c>
      <c r="BA1987" s="155">
        <v>48</v>
      </c>
      <c r="BB1987" s="55" t="s">
        <v>269</v>
      </c>
      <c r="BC1987" s="156" t="s">
        <v>270</v>
      </c>
      <c r="BD1987" s="156" t="s">
        <v>8374</v>
      </c>
      <c r="BE1987" s="155" t="s">
        <v>271</v>
      </c>
      <c r="BF1987" s="155" t="s">
        <v>272</v>
      </c>
      <c r="BG1987" s="155" t="s">
        <v>272</v>
      </c>
      <c r="BH1987" s="155" t="s">
        <v>272</v>
      </c>
      <c r="BI1987" s="153">
        <v>3.8092606687449815E-4</v>
      </c>
      <c r="BJ1987" s="153">
        <v>0.42663719489943802</v>
      </c>
      <c r="BK1987" s="56"/>
      <c r="BL1987" s="153">
        <v>330.70297589089722</v>
      </c>
      <c r="BM1987" s="56">
        <v>0</v>
      </c>
      <c r="BN1987" s="56"/>
      <c r="BO1987" s="56"/>
      <c r="BP1987" s="56"/>
      <c r="BQ1987" s="56"/>
      <c r="BR1987" s="56"/>
      <c r="BS1987" s="56"/>
      <c r="BT1987" s="56"/>
      <c r="BU1987" s="158"/>
      <c r="BV1987" s="56"/>
      <c r="BW1987" s="56"/>
      <c r="BX1987" s="56"/>
      <c r="BY1987" s="56">
        <v>526.10399999999993</v>
      </c>
      <c r="BZ1987" s="56">
        <v>493.95319999999992</v>
      </c>
      <c r="CA1987" s="56">
        <v>473.49360000000001</v>
      </c>
      <c r="CB1987" s="56">
        <v>241.13099999999997</v>
      </c>
      <c r="CC1987" s="56"/>
      <c r="CD1987" s="56"/>
      <c r="CE1987" s="56"/>
      <c r="CF1987" s="56"/>
      <c r="CG1987" s="56"/>
      <c r="CH1987" s="56"/>
      <c r="CI1987" s="103">
        <v>241.13099999999997</v>
      </c>
      <c r="CJ1987" s="103">
        <f t="shared" si="543"/>
        <v>2.3822530472231045</v>
      </c>
      <c r="CK1987" s="57">
        <f t="shared" si="549"/>
        <v>775.13864202310515</v>
      </c>
      <c r="CL1987" s="160">
        <f t="shared" si="547"/>
        <v>1.3714660325337567</v>
      </c>
      <c r="CM1987" s="160"/>
      <c r="CN1987" s="160"/>
      <c r="CO1987" s="55" t="s">
        <v>273</v>
      </c>
      <c r="CP1987" s="503" t="s">
        <v>274</v>
      </c>
      <c r="CQ1987" s="149" t="s">
        <v>272</v>
      </c>
      <c r="CR1987" s="349"/>
      <c r="CS1987" s="61" t="s">
        <v>539</v>
      </c>
      <c r="CT1987" s="61"/>
      <c r="CU1987" s="111">
        <f t="shared" si="548"/>
        <v>7.8795343609905002</v>
      </c>
      <c r="CV1987" s="331">
        <f t="shared" si="550"/>
        <v>4453.4326184285128</v>
      </c>
      <c r="CW1987" s="326">
        <f t="shared" si="544"/>
        <v>1</v>
      </c>
      <c r="CX1987" s="326"/>
      <c r="CY1987" s="161" t="s">
        <v>6351</v>
      </c>
    </row>
    <row r="1988" spans="1:103" ht="12.6" customHeight="1" x14ac:dyDescent="0.2">
      <c r="A1988" s="72">
        <v>78</v>
      </c>
      <c r="B1988" s="149">
        <v>8</v>
      </c>
      <c r="C1988" s="54" t="s">
        <v>312</v>
      </c>
      <c r="D1988" s="54" t="s">
        <v>6429</v>
      </c>
      <c r="E1988" s="59"/>
      <c r="F1988" s="150" t="str">
        <f>HYPERLINK("http://www.sigmaaldrich.com/catalog/Lookup.do?N5=CAS+No.&amp;N3=mode+matchpartialmax&amp;N4=54-11-5&amp;D7=0&amp;D10=&amp;N25=0&amp;N1=S_ID&amp;ST=RS&amp;F=PR","54-11-5")</f>
        <v>54-11-5</v>
      </c>
      <c r="G1988" s="151">
        <v>54115</v>
      </c>
      <c r="H1988" s="55" t="s">
        <v>313</v>
      </c>
      <c r="I1988" s="55" t="s">
        <v>313</v>
      </c>
      <c r="J1988" s="55" t="s">
        <v>314</v>
      </c>
      <c r="K1988" s="55" t="s">
        <v>315</v>
      </c>
      <c r="L1988" s="64" t="s">
        <v>316</v>
      </c>
      <c r="M1988" s="55" t="s">
        <v>317</v>
      </c>
      <c r="N1988" s="60" t="s">
        <v>6376</v>
      </c>
      <c r="O1988" s="55" t="s">
        <v>318</v>
      </c>
      <c r="P1988" s="67"/>
      <c r="Q1988" s="67" t="s">
        <v>6173</v>
      </c>
      <c r="R1988" s="67" t="s">
        <v>6185</v>
      </c>
      <c r="S1988" s="67" t="s">
        <v>6176</v>
      </c>
      <c r="T1988" s="59">
        <v>162.22999999999999</v>
      </c>
      <c r="U1988" s="153">
        <v>1000000</v>
      </c>
      <c r="V1988" s="153">
        <v>1000000</v>
      </c>
      <c r="W1988" s="153">
        <v>44681.852254255064</v>
      </c>
      <c r="X1988" s="153">
        <v>1000000</v>
      </c>
      <c r="Y1988" s="410">
        <v>11</v>
      </c>
      <c r="Z1988" s="59">
        <v>1</v>
      </c>
      <c r="AA1988" s="59">
        <v>1.17</v>
      </c>
      <c r="AB1988" s="59">
        <v>0.86</v>
      </c>
      <c r="AC1988" s="59">
        <v>0.84609999999999996</v>
      </c>
      <c r="AD1988" s="59">
        <v>0.82</v>
      </c>
      <c r="AE1988" s="59">
        <v>0.72</v>
      </c>
      <c r="AF1988" s="59">
        <f t="shared" si="552"/>
        <v>1.17</v>
      </c>
      <c r="AG1988" s="57">
        <v>1.37</v>
      </c>
      <c r="AH1988" s="103">
        <v>3E-9</v>
      </c>
      <c r="AI1988" s="103"/>
      <c r="AJ1988" s="62">
        <f t="shared" si="551"/>
        <v>-6.9114450715929898</v>
      </c>
      <c r="AK1988" s="62"/>
      <c r="AL1988" s="62">
        <f t="shared" si="546"/>
        <v>-6.9114450715929898</v>
      </c>
      <c r="AM1988" s="62">
        <v>-8.0645500000000006</v>
      </c>
      <c r="AN1988" s="154">
        <v>-6.79</v>
      </c>
      <c r="AO1988" s="410"/>
      <c r="AP1988" s="410">
        <v>8</v>
      </c>
      <c r="AQ1988" s="154" t="s">
        <v>6311</v>
      </c>
      <c r="AR1988" s="154" t="s">
        <v>6311</v>
      </c>
      <c r="AS1988" s="149" t="s">
        <v>282</v>
      </c>
      <c r="AT1988" s="58" t="s">
        <v>266</v>
      </c>
      <c r="AU1988" s="155">
        <v>24</v>
      </c>
      <c r="AV1988" s="155">
        <v>120</v>
      </c>
      <c r="AW1988" s="155">
        <v>96</v>
      </c>
      <c r="AX1988" s="155">
        <v>28</v>
      </c>
      <c r="AY1988" s="155" t="s">
        <v>267</v>
      </c>
      <c r="AZ1988" s="155" t="s">
        <v>268</v>
      </c>
      <c r="BA1988" s="155">
        <v>48</v>
      </c>
      <c r="BB1988" s="55" t="s">
        <v>269</v>
      </c>
      <c r="BC1988" s="156" t="s">
        <v>270</v>
      </c>
      <c r="BD1988" s="156" t="s">
        <v>8374</v>
      </c>
      <c r="BE1988" s="155" t="s">
        <v>271</v>
      </c>
      <c r="BF1988" s="155" t="s">
        <v>272</v>
      </c>
      <c r="BG1988" s="155" t="s">
        <v>272</v>
      </c>
      <c r="BH1988" s="155" t="s">
        <v>272</v>
      </c>
      <c r="BI1988" s="153">
        <v>0.9998151115493652</v>
      </c>
      <c r="BJ1988" s="153">
        <v>999.81511154936527</v>
      </c>
      <c r="BK1988" s="56"/>
      <c r="BL1988" s="153">
        <v>1053.977083545846</v>
      </c>
      <c r="BM1988" s="56">
        <v>0</v>
      </c>
      <c r="BN1988" s="56"/>
      <c r="BO1988" s="56"/>
      <c r="BP1988" s="56"/>
      <c r="BQ1988" s="56"/>
      <c r="BR1988" s="56"/>
      <c r="BS1988" s="56"/>
      <c r="BT1988" s="56"/>
      <c r="BU1988" s="158"/>
      <c r="BV1988" s="56"/>
      <c r="BW1988" s="56"/>
      <c r="BX1988" s="56"/>
      <c r="BY1988" s="56">
        <v>76.248099999999994</v>
      </c>
      <c r="BZ1988" s="56">
        <v>45.424399999999999</v>
      </c>
      <c r="CA1988" s="56">
        <v>29.201399999999996</v>
      </c>
      <c r="CB1988" s="56">
        <v>35.690599999999996</v>
      </c>
      <c r="CC1988" s="56"/>
      <c r="CD1988" s="56"/>
      <c r="CE1988" s="56"/>
      <c r="CF1988" s="56"/>
      <c r="CG1988" s="56"/>
      <c r="CH1988" s="56"/>
      <c r="CI1988" s="103">
        <v>29.201399999999996</v>
      </c>
      <c r="CJ1988" s="103">
        <f t="shared" si="543"/>
        <v>1.465403673287442</v>
      </c>
      <c r="CK1988" s="57">
        <f t="shared" si="549"/>
        <v>1.0541719877713676</v>
      </c>
      <c r="CL1988" s="160">
        <f t="shared" si="547"/>
        <v>36.093375096599686</v>
      </c>
      <c r="CM1988" s="160">
        <v>0.6020599913279624</v>
      </c>
      <c r="CN1988" s="160">
        <f>BJ1988/(10^CM1988)</f>
        <v>249.95377788734126</v>
      </c>
      <c r="CO1988" s="55" t="s">
        <v>273</v>
      </c>
      <c r="CP1988" s="503" t="s">
        <v>274</v>
      </c>
      <c r="CQ1988" s="149">
        <v>0.66922824680230242</v>
      </c>
      <c r="CR1988" s="349">
        <f>10^(CJ1988-CQ1988)</f>
        <v>6.2542527254763574</v>
      </c>
      <c r="CS1988" s="61" t="s">
        <v>539</v>
      </c>
      <c r="CT1988" s="61"/>
      <c r="CU1988" s="111">
        <f t="shared" si="548"/>
        <v>34244.93346209429</v>
      </c>
      <c r="CV1988" s="331">
        <f t="shared" si="550"/>
        <v>1000.1849226406953</v>
      </c>
      <c r="CW1988" s="326">
        <f t="shared" si="544"/>
        <v>1</v>
      </c>
      <c r="CX1988" s="326"/>
      <c r="CY1988" s="161" t="s">
        <v>6351</v>
      </c>
    </row>
    <row r="1989" spans="1:103" ht="12.6" customHeight="1" x14ac:dyDescent="0.2">
      <c r="A1989" s="72">
        <v>119</v>
      </c>
      <c r="B1989" s="149">
        <v>6</v>
      </c>
      <c r="C1989" s="54" t="s">
        <v>302</v>
      </c>
      <c r="D1989" s="54"/>
      <c r="E1989" s="59"/>
      <c r="F1989" s="59" t="s">
        <v>303</v>
      </c>
      <c r="G1989" s="151">
        <v>134634</v>
      </c>
      <c r="H1989" s="55" t="s">
        <v>304</v>
      </c>
      <c r="I1989" s="55" t="s">
        <v>8289</v>
      </c>
      <c r="J1989" s="55" t="s">
        <v>305</v>
      </c>
      <c r="K1989" s="55" t="s">
        <v>306</v>
      </c>
      <c r="L1989" s="64"/>
      <c r="M1989" s="55"/>
      <c r="N1989" s="60"/>
      <c r="O1989" s="55"/>
      <c r="P1989" s="67"/>
      <c r="Q1989" s="67"/>
      <c r="R1989" s="67"/>
      <c r="S1989" s="67"/>
      <c r="T1989" s="59">
        <v>373.92</v>
      </c>
      <c r="U1989" s="153"/>
      <c r="V1989" s="153">
        <v>659.5</v>
      </c>
      <c r="W1989" s="153"/>
      <c r="X1989" s="153">
        <v>659.5</v>
      </c>
      <c r="Y1989" s="410"/>
      <c r="Z1989" s="59">
        <v>0.97</v>
      </c>
      <c r="AA1989" s="59"/>
      <c r="AB1989" s="59"/>
      <c r="AC1989" s="59"/>
      <c r="AD1989" s="59"/>
      <c r="AE1989" s="59"/>
      <c r="AF1989" s="59"/>
      <c r="AG1989" s="57">
        <v>4.8600000000000003</v>
      </c>
      <c r="AH1989" s="103">
        <v>2.1900000000000002E-21</v>
      </c>
      <c r="AI1989" s="103"/>
      <c r="AJ1989" s="62">
        <f t="shared" si="551"/>
        <v>-19.048122211472535</v>
      </c>
      <c r="AK1989" s="62"/>
      <c r="AL1989" s="62">
        <f t="shared" si="546"/>
        <v>-19.048122211472535</v>
      </c>
      <c r="AM1989" s="62"/>
      <c r="AN1989" s="154">
        <v>-10.4</v>
      </c>
      <c r="AO1989" s="410"/>
      <c r="AP1989" s="410"/>
      <c r="AQ1989" s="154" t="s">
        <v>6311</v>
      </c>
      <c r="AR1989" s="154" t="s">
        <v>6311</v>
      </c>
      <c r="AS1989" s="149" t="s">
        <v>289</v>
      </c>
      <c r="AT1989" s="58" t="s">
        <v>266</v>
      </c>
      <c r="AU1989" s="155">
        <v>24</v>
      </c>
      <c r="AV1989" s="155">
        <v>120</v>
      </c>
      <c r="AW1989" s="155">
        <v>96</v>
      </c>
      <c r="AX1989" s="155">
        <v>28</v>
      </c>
      <c r="AY1989" s="155" t="s">
        <v>267</v>
      </c>
      <c r="AZ1989" s="155" t="s">
        <v>268</v>
      </c>
      <c r="BA1989" s="155">
        <v>48</v>
      </c>
      <c r="BB1989" s="55" t="s">
        <v>269</v>
      </c>
      <c r="BC1989" s="156" t="s">
        <v>270</v>
      </c>
      <c r="BD1989" s="156" t="s">
        <v>8374</v>
      </c>
      <c r="BE1989" s="155" t="s">
        <v>271</v>
      </c>
      <c r="BF1989" s="155" t="s">
        <v>272</v>
      </c>
      <c r="BG1989" s="155" t="s">
        <v>272</v>
      </c>
      <c r="BH1989" s="155" t="s">
        <v>272</v>
      </c>
      <c r="BI1989" s="153">
        <v>0.99999999999999989</v>
      </c>
      <c r="BJ1989" s="153">
        <v>1000.0000000000001</v>
      </c>
      <c r="BK1989" s="56"/>
      <c r="BL1989" s="153">
        <v>2584.7687538781547</v>
      </c>
      <c r="BM1989" s="56">
        <v>0</v>
      </c>
      <c r="BN1989" s="56"/>
      <c r="BO1989" s="56"/>
      <c r="BP1989" s="56"/>
      <c r="BQ1989" s="56"/>
      <c r="BR1989" s="56"/>
      <c r="BS1989" s="56"/>
      <c r="BT1989" s="56"/>
      <c r="BU1989" s="158"/>
      <c r="BV1989" s="56"/>
      <c r="BW1989" s="56"/>
      <c r="BX1989" s="56"/>
      <c r="BY1989" s="56">
        <v>224.352</v>
      </c>
      <c r="BZ1989" s="56">
        <v>168.26400000000001</v>
      </c>
      <c r="CA1989" s="56">
        <v>104.69760000000001</v>
      </c>
      <c r="CB1989" s="56">
        <v>29.913600000000002</v>
      </c>
      <c r="CC1989" s="56"/>
      <c r="CD1989" s="56"/>
      <c r="CE1989" s="56"/>
      <c r="CF1989" s="56"/>
      <c r="CG1989" s="56"/>
      <c r="CH1989" s="56"/>
      <c r="CI1989" s="103">
        <v>29.913600000000002</v>
      </c>
      <c r="CJ1989" s="103">
        <f t="shared" si="543"/>
        <v>1.4758686820400952</v>
      </c>
      <c r="CK1989" s="57">
        <f t="shared" si="549"/>
        <v>2.5847687538781545</v>
      </c>
      <c r="CL1989" s="160">
        <f t="shared" si="547"/>
        <v>86.407812963941296</v>
      </c>
      <c r="CM1989" s="160"/>
      <c r="CN1989" s="160"/>
      <c r="CO1989" s="55" t="s">
        <v>273</v>
      </c>
      <c r="CP1989" s="503" t="s">
        <v>274</v>
      </c>
      <c r="CQ1989" s="149" t="s">
        <v>272</v>
      </c>
      <c r="CR1989" s="349"/>
      <c r="CS1989" s="61" t="s">
        <v>539</v>
      </c>
      <c r="CT1989" s="61"/>
      <c r="CU1989" s="111">
        <f t="shared" si="548"/>
        <v>22.046828198545143</v>
      </c>
      <c r="CV1989" s="331">
        <f t="shared" si="550"/>
        <v>0.65949999999999998</v>
      </c>
      <c r="CW1989" s="326">
        <f t="shared" si="544"/>
        <v>1</v>
      </c>
      <c r="CX1989" s="326"/>
      <c r="CY1989" s="161" t="s">
        <v>5921</v>
      </c>
    </row>
    <row r="1990" spans="1:103" ht="12.6" customHeight="1" x14ac:dyDescent="0.2">
      <c r="A1990" s="72">
        <v>128</v>
      </c>
      <c r="B1990" s="149">
        <v>60</v>
      </c>
      <c r="C1990" s="54" t="s">
        <v>527</v>
      </c>
      <c r="D1990" s="54"/>
      <c r="E1990" s="59"/>
      <c r="F1990" s="59" t="s">
        <v>528</v>
      </c>
      <c r="G1990" s="151">
        <v>144025</v>
      </c>
      <c r="H1990" s="55" t="s">
        <v>529</v>
      </c>
      <c r="I1990" s="55" t="s">
        <v>8290</v>
      </c>
      <c r="J1990" s="55" t="s">
        <v>530</v>
      </c>
      <c r="K1990" s="55" t="s">
        <v>471</v>
      </c>
      <c r="L1990" s="64"/>
      <c r="M1990" s="55"/>
      <c r="N1990" s="60"/>
      <c r="O1990" s="55"/>
      <c r="P1990" s="67"/>
      <c r="Q1990" s="67"/>
      <c r="R1990" s="67"/>
      <c r="S1990" s="67"/>
      <c r="T1990" s="59">
        <v>184.19</v>
      </c>
      <c r="U1990" s="153"/>
      <c r="V1990" s="153">
        <v>6441</v>
      </c>
      <c r="W1990" s="153">
        <v>6843.3073847408205</v>
      </c>
      <c r="X1990" s="153">
        <v>6843.3073847408205</v>
      </c>
      <c r="Y1990" s="410">
        <v>3.49</v>
      </c>
      <c r="Z1990" s="59">
        <v>-0.47</v>
      </c>
      <c r="AA1990" s="59"/>
      <c r="AB1990" s="59">
        <v>-0.19</v>
      </c>
      <c r="AC1990" s="59">
        <v>0.4884</v>
      </c>
      <c r="AD1990" s="59">
        <v>0.09</v>
      </c>
      <c r="AE1990" s="59">
        <v>0.37</v>
      </c>
      <c r="AF1990" s="59">
        <f>IF(AA1990=0,AD1990,AA1990)</f>
        <v>0.09</v>
      </c>
      <c r="AG1990" s="57">
        <v>3.18</v>
      </c>
      <c r="AH1990" s="103">
        <v>1.43E-13</v>
      </c>
      <c r="AI1990" s="103"/>
      <c r="AJ1990" s="62">
        <f t="shared" si="551"/>
        <v>-11.23323028884759</v>
      </c>
      <c r="AK1990" s="62"/>
      <c r="AL1990" s="62">
        <f t="shared" si="546"/>
        <v>-11.23323028884759</v>
      </c>
      <c r="AM1990" s="62">
        <v>-14.821860000000001</v>
      </c>
      <c r="AN1990" s="154">
        <v>-3.5</v>
      </c>
      <c r="AO1990" s="410">
        <v>7.7</v>
      </c>
      <c r="AP1990" s="410">
        <v>-1.87</v>
      </c>
      <c r="AQ1990" s="154" t="s">
        <v>6311</v>
      </c>
      <c r="AR1990" s="154" t="s">
        <v>6311</v>
      </c>
      <c r="AS1990" s="149" t="s">
        <v>289</v>
      </c>
      <c r="AT1990" s="58" t="s">
        <v>266</v>
      </c>
      <c r="AU1990" s="155">
        <v>24</v>
      </c>
      <c r="AV1990" s="155">
        <v>120</v>
      </c>
      <c r="AW1990" s="155">
        <v>96</v>
      </c>
      <c r="AX1990" s="155">
        <v>28</v>
      </c>
      <c r="AY1990" s="155" t="s">
        <v>267</v>
      </c>
      <c r="AZ1990" s="155" t="s">
        <v>268</v>
      </c>
      <c r="BA1990" s="155">
        <v>48</v>
      </c>
      <c r="BB1990" s="55" t="s">
        <v>269</v>
      </c>
      <c r="BC1990" s="156" t="s">
        <v>270</v>
      </c>
      <c r="BD1990" s="156" t="s">
        <v>8374</v>
      </c>
      <c r="BE1990" s="155" t="s">
        <v>271</v>
      </c>
      <c r="BF1990" s="155" t="s">
        <v>272</v>
      </c>
      <c r="BG1990" s="155" t="s">
        <v>272</v>
      </c>
      <c r="BH1990" s="155" t="s">
        <v>272</v>
      </c>
      <c r="BI1990" s="153">
        <v>0.89325897187196901</v>
      </c>
      <c r="BJ1990" s="153">
        <v>7146.0717749757523</v>
      </c>
      <c r="BK1990" s="56"/>
      <c r="BL1990" s="153">
        <v>25013.418415372515</v>
      </c>
      <c r="BM1990" s="56">
        <v>0</v>
      </c>
      <c r="BN1990" s="56"/>
      <c r="BO1990" s="56"/>
      <c r="BP1990" s="56"/>
      <c r="BQ1990" s="56"/>
      <c r="BR1990" s="56"/>
      <c r="BS1990" s="56"/>
      <c r="BT1990" s="56"/>
      <c r="BU1990" s="158"/>
      <c r="BV1990" s="56"/>
      <c r="BW1990" s="56"/>
      <c r="BX1990" s="56"/>
      <c r="BY1990" s="56"/>
      <c r="BZ1990" s="56"/>
      <c r="CA1990" s="56"/>
      <c r="CB1990" s="56">
        <v>3486.7166999999999</v>
      </c>
      <c r="CC1990" s="56"/>
      <c r="CD1990" s="56"/>
      <c r="CE1990" s="56"/>
      <c r="CF1990" s="56"/>
      <c r="CG1990" s="56"/>
      <c r="CH1990" s="56"/>
      <c r="CI1990" s="103">
        <v>3486.7166999999999</v>
      </c>
      <c r="CJ1990" s="103">
        <f t="shared" si="543"/>
        <v>3.5424166618511741</v>
      </c>
      <c r="CK1990" s="57">
        <f t="shared" si="549"/>
        <v>3.5003032719269584</v>
      </c>
      <c r="CL1990" s="160">
        <f t="shared" si="547"/>
        <v>7.173917632990519</v>
      </c>
      <c r="CM1990" s="160"/>
      <c r="CN1990" s="160"/>
      <c r="CO1990" s="55" t="s">
        <v>273</v>
      </c>
      <c r="CP1990" s="503" t="s">
        <v>274</v>
      </c>
      <c r="CQ1990" s="149" t="s">
        <v>272</v>
      </c>
      <c r="CR1990" s="349"/>
      <c r="CS1990" s="61" t="s">
        <v>539</v>
      </c>
      <c r="CT1990" s="61"/>
      <c r="CU1990" s="111">
        <f t="shared" si="548"/>
        <v>1.9626794986644085</v>
      </c>
      <c r="CV1990" s="331">
        <f t="shared" si="550"/>
        <v>0.95763205299796206</v>
      </c>
      <c r="CW1990" s="326">
        <f t="shared" si="544"/>
        <v>0</v>
      </c>
      <c r="CX1990" s="326"/>
      <c r="CY1990" s="161" t="s">
        <v>5921</v>
      </c>
    </row>
    <row r="1991" spans="1:103" ht="12.6" customHeight="1" x14ac:dyDescent="0.2">
      <c r="A1991" s="72">
        <v>132</v>
      </c>
      <c r="B1991" s="149">
        <v>51</v>
      </c>
      <c r="C1991" s="54" t="s">
        <v>491</v>
      </c>
      <c r="D1991" s="54"/>
      <c r="E1991" s="59"/>
      <c r="F1991" s="150" t="str">
        <f>HYPERLINK("http://www.sigmaaldrich.com/catalog/Lookup.do?N5=CAS+No.&amp;N3=mode+matchpartialmax&amp;N4=152-11-4&amp;D7=0&amp;D10=&amp;N25=0&amp;N1=S_ID&amp;ST=RS&amp;F=PR","152-11-4")</f>
        <v>152-11-4</v>
      </c>
      <c r="G1991" s="151">
        <v>152114</v>
      </c>
      <c r="H1991" s="55" t="s">
        <v>492</v>
      </c>
      <c r="I1991" s="55" t="s">
        <v>7750</v>
      </c>
      <c r="J1991" s="55" t="s">
        <v>493</v>
      </c>
      <c r="K1991" s="55" t="s">
        <v>345</v>
      </c>
      <c r="L1991" s="64"/>
      <c r="M1991" s="55"/>
      <c r="N1991" s="60"/>
      <c r="O1991" s="55"/>
      <c r="P1991" s="67"/>
      <c r="Q1991" s="67"/>
      <c r="R1991" s="67"/>
      <c r="S1991" s="67"/>
      <c r="T1991" s="59">
        <v>491.1</v>
      </c>
      <c r="U1991" s="153"/>
      <c r="V1991" s="153">
        <v>0.50660000000000005</v>
      </c>
      <c r="W1991" s="153">
        <v>0.20006445442959955</v>
      </c>
      <c r="X1991" s="153">
        <v>0.20006445442959955</v>
      </c>
      <c r="Y1991" s="410">
        <v>7</v>
      </c>
      <c r="Z1991" s="59">
        <v>3.45</v>
      </c>
      <c r="AA1991" s="59"/>
      <c r="AB1991" s="59"/>
      <c r="AC1991" s="59"/>
      <c r="AD1991" s="59"/>
      <c r="AE1991" s="59"/>
      <c r="AF1991" s="59"/>
      <c r="AG1991" s="57">
        <v>5.94</v>
      </c>
      <c r="AH1991" s="103">
        <v>4.0600000000000002E-22</v>
      </c>
      <c r="AI1991" s="103"/>
      <c r="AJ1991" s="62">
        <f t="shared" si="551"/>
        <v>-19.780040292735457</v>
      </c>
      <c r="AK1991" s="62"/>
      <c r="AL1991" s="62">
        <f t="shared" si="546"/>
        <v>-19.780040292735457</v>
      </c>
      <c r="AM1991" s="62"/>
      <c r="AN1991" s="154">
        <v>-14.5</v>
      </c>
      <c r="AO1991" s="410"/>
      <c r="AP1991" s="410">
        <v>-1.86</v>
      </c>
      <c r="AQ1991" s="154" t="s">
        <v>6311</v>
      </c>
      <c r="AR1991" s="154" t="s">
        <v>6311</v>
      </c>
      <c r="AS1991" s="149" t="s">
        <v>289</v>
      </c>
      <c r="AT1991" s="58" t="s">
        <v>266</v>
      </c>
      <c r="AU1991" s="155">
        <v>24</v>
      </c>
      <c r="AV1991" s="155">
        <v>120</v>
      </c>
      <c r="AW1991" s="155">
        <v>96</v>
      </c>
      <c r="AX1991" s="155">
        <v>28</v>
      </c>
      <c r="AY1991" s="155" t="s">
        <v>267</v>
      </c>
      <c r="AZ1991" s="155" t="s">
        <v>268</v>
      </c>
      <c r="BA1991" s="155">
        <v>48</v>
      </c>
      <c r="BB1991" s="55" t="s">
        <v>269</v>
      </c>
      <c r="BC1991" s="156" t="s">
        <v>270</v>
      </c>
      <c r="BD1991" s="156" t="s">
        <v>8374</v>
      </c>
      <c r="BE1991" s="155" t="s">
        <v>271</v>
      </c>
      <c r="BF1991" s="155" t="s">
        <v>272</v>
      </c>
      <c r="BG1991" s="155" t="s">
        <v>272</v>
      </c>
      <c r="BH1991" s="155" t="s">
        <v>272</v>
      </c>
      <c r="BI1991" s="153">
        <v>1</v>
      </c>
      <c r="BJ1991" s="153">
        <v>999.99999999999989</v>
      </c>
      <c r="BK1991" s="56"/>
      <c r="BL1991" s="153">
        <v>20.115226823565045</v>
      </c>
      <c r="BM1991" s="56">
        <v>0</v>
      </c>
      <c r="BN1991" s="56"/>
      <c r="BO1991" s="56"/>
      <c r="BP1991" s="56"/>
      <c r="BQ1991" s="56"/>
      <c r="BR1991" s="56"/>
      <c r="BS1991" s="56"/>
      <c r="BT1991" s="56"/>
      <c r="BU1991" s="158"/>
      <c r="BV1991" s="56"/>
      <c r="BW1991" s="56"/>
      <c r="BX1991" s="56"/>
      <c r="BY1991" s="56">
        <v>63.843000000000004</v>
      </c>
      <c r="BZ1991" s="56">
        <v>122.77500000000001</v>
      </c>
      <c r="CA1991" s="56">
        <v>88.397999999999996</v>
      </c>
      <c r="CB1991" s="56">
        <v>83.487000000000009</v>
      </c>
      <c r="CC1991" s="56"/>
      <c r="CD1991" s="56"/>
      <c r="CE1991" s="56"/>
      <c r="CF1991" s="56"/>
      <c r="CG1991" s="56"/>
      <c r="CH1991" s="56"/>
      <c r="CI1991" s="103">
        <v>63.843000000000004</v>
      </c>
      <c r="CJ1991" s="103">
        <f t="shared" si="543"/>
        <v>1.8051132864384407</v>
      </c>
      <c r="CK1991" s="57">
        <f t="shared" si="549"/>
        <v>2.0115226823565046E-2</v>
      </c>
      <c r="CL1991" s="160">
        <f t="shared" si="547"/>
        <v>0.31507333338917415</v>
      </c>
      <c r="CM1991" s="160"/>
      <c r="CN1991" s="160"/>
      <c r="CO1991" s="55" t="s">
        <v>273</v>
      </c>
      <c r="CP1991" s="503" t="s">
        <v>274</v>
      </c>
      <c r="CQ1991" s="149" t="s">
        <v>272</v>
      </c>
      <c r="CR1991" s="349"/>
      <c r="CS1991" s="61" t="s">
        <v>539</v>
      </c>
      <c r="CT1991" s="61"/>
      <c r="CU1991" s="111">
        <f t="shared" si="548"/>
        <v>3.1336944446470174E-3</v>
      </c>
      <c r="CV1991" s="331">
        <f t="shared" si="550"/>
        <v>2.0006445442959957E-4</v>
      </c>
      <c r="CW1991" s="326">
        <f t="shared" si="544"/>
        <v>0</v>
      </c>
      <c r="CX1991" s="326"/>
      <c r="CY1991" s="161" t="s">
        <v>5921</v>
      </c>
    </row>
    <row r="1992" spans="1:103" ht="12.6" customHeight="1" x14ac:dyDescent="0.2">
      <c r="A1992" s="72">
        <v>133</v>
      </c>
      <c r="B1992" s="149">
        <v>49</v>
      </c>
      <c r="C1992" s="54" t="s">
        <v>485</v>
      </c>
      <c r="D1992" s="54"/>
      <c r="E1992" s="59"/>
      <c r="F1992" s="150" t="str">
        <f>HYPERLINK("http://www.sigmaaldrich.com/catalog/Lookup.do?N5=CAS+No.&amp;N3=mode+matchpartialmax&amp;N4=156-51-4&amp;D7=0&amp;D10=&amp;N25=0&amp;N1=S_ID&amp;ST=RS&amp;F=PR","156-51-4")</f>
        <v>156-51-4</v>
      </c>
      <c r="G1992" s="151">
        <v>156514</v>
      </c>
      <c r="H1992" s="55" t="s">
        <v>486</v>
      </c>
      <c r="I1992" s="55" t="s">
        <v>486</v>
      </c>
      <c r="J1992" s="55" t="s">
        <v>487</v>
      </c>
      <c r="K1992" s="55" t="s">
        <v>426</v>
      </c>
      <c r="L1992" s="64"/>
      <c r="M1992" s="55"/>
      <c r="N1992" s="60"/>
      <c r="O1992" s="55"/>
      <c r="P1992" s="67"/>
      <c r="Q1992" s="67"/>
      <c r="R1992" s="67"/>
      <c r="S1992" s="67"/>
      <c r="T1992" s="59">
        <v>234.27</v>
      </c>
      <c r="U1992" s="153"/>
      <c r="V1992" s="153">
        <v>999999.99999999988</v>
      </c>
      <c r="W1992" s="153">
        <v>4894.5940457517563</v>
      </c>
      <c r="X1992" s="153">
        <v>4894.5940457517563</v>
      </c>
      <c r="Y1992" s="410">
        <v>1.72</v>
      </c>
      <c r="Z1992" s="59">
        <v>-4.09</v>
      </c>
      <c r="AA1992" s="59"/>
      <c r="AB1992" s="59"/>
      <c r="AC1992" s="59"/>
      <c r="AD1992" s="59"/>
      <c r="AE1992" s="59"/>
      <c r="AF1992" s="59"/>
      <c r="AG1992" s="57">
        <v>-1.1499999999999999</v>
      </c>
      <c r="AH1992" s="103">
        <v>9.9E-23</v>
      </c>
      <c r="AI1992" s="103"/>
      <c r="AJ1992" s="62">
        <f t="shared" si="551"/>
        <v>-20.392931131715102</v>
      </c>
      <c r="AK1992" s="62"/>
      <c r="AL1992" s="62">
        <f t="shared" si="546"/>
        <v>-20.392931131715102</v>
      </c>
      <c r="AM1992" s="62"/>
      <c r="AN1992" s="154">
        <v>-16.7</v>
      </c>
      <c r="AO1992" s="410">
        <v>-4.3099999999999996</v>
      </c>
      <c r="AP1992" s="410">
        <v>0.67</v>
      </c>
      <c r="AQ1992" s="154" t="s">
        <v>6311</v>
      </c>
      <c r="AR1992" s="154" t="s">
        <v>6311</v>
      </c>
      <c r="AS1992" s="149" t="s">
        <v>289</v>
      </c>
      <c r="AT1992" s="58" t="s">
        <v>266</v>
      </c>
      <c r="AU1992" s="155">
        <v>24</v>
      </c>
      <c r="AV1992" s="155">
        <v>120</v>
      </c>
      <c r="AW1992" s="155">
        <v>96</v>
      </c>
      <c r="AX1992" s="155">
        <v>28</v>
      </c>
      <c r="AY1992" s="155" t="s">
        <v>267</v>
      </c>
      <c r="AZ1992" s="155" t="s">
        <v>268</v>
      </c>
      <c r="BA1992" s="155">
        <v>48</v>
      </c>
      <c r="BB1992" s="55" t="s">
        <v>269</v>
      </c>
      <c r="BC1992" s="156" t="s">
        <v>270</v>
      </c>
      <c r="BD1992" s="156" t="s">
        <v>8374</v>
      </c>
      <c r="BE1992" s="155" t="s">
        <v>271</v>
      </c>
      <c r="BF1992" s="155" t="s">
        <v>272</v>
      </c>
      <c r="BG1992" s="155" t="s">
        <v>272</v>
      </c>
      <c r="BH1992" s="155" t="s">
        <v>272</v>
      </c>
      <c r="BI1992" s="153">
        <v>1</v>
      </c>
      <c r="BJ1992" s="153">
        <v>1000</v>
      </c>
      <c r="BK1992" s="56"/>
      <c r="BL1992" s="153">
        <v>56721234.910063155</v>
      </c>
      <c r="BM1992" s="56">
        <v>0</v>
      </c>
      <c r="BN1992" s="56"/>
      <c r="BO1992" s="56"/>
      <c r="BP1992" s="56"/>
      <c r="BQ1992" s="56"/>
      <c r="BR1992" s="56"/>
      <c r="BS1992" s="56"/>
      <c r="BT1992" s="56"/>
      <c r="BU1992" s="158"/>
      <c r="BV1992" s="56"/>
      <c r="BW1992" s="56"/>
      <c r="BX1992" s="56"/>
      <c r="BY1992" s="56">
        <v>86.679900000000004</v>
      </c>
      <c r="BZ1992" s="56">
        <v>21.084299999999999</v>
      </c>
      <c r="CA1992" s="56">
        <v>2.3427000000000002</v>
      </c>
      <c r="CB1992" s="56">
        <v>11.713500000000002</v>
      </c>
      <c r="CC1992" s="56"/>
      <c r="CD1992" s="56"/>
      <c r="CE1992" s="56"/>
      <c r="CF1992" s="56"/>
      <c r="CG1992" s="56"/>
      <c r="CH1992" s="56"/>
      <c r="CI1992" s="103">
        <v>2.3427000000000002</v>
      </c>
      <c r="CJ1992" s="103">
        <f t="shared" ref="CJ1992:CJ2023" si="553">LOG10(CI1992)</f>
        <v>0.36971667754856063</v>
      </c>
      <c r="CK1992" s="57">
        <f t="shared" si="549"/>
        <v>56721.234910063155</v>
      </c>
      <c r="CL1992" s="160">
        <f t="shared" si="547"/>
        <v>24211907.162702501</v>
      </c>
      <c r="CM1992" s="160"/>
      <c r="CN1992" s="160"/>
      <c r="CO1992" s="55" t="s">
        <v>273</v>
      </c>
      <c r="CP1992" s="503" t="s">
        <v>274</v>
      </c>
      <c r="CQ1992" s="149" t="s">
        <v>272</v>
      </c>
      <c r="CR1992" s="349"/>
      <c r="CS1992" s="61" t="s">
        <v>539</v>
      </c>
      <c r="CT1992" s="61"/>
      <c r="CU1992" s="111">
        <f t="shared" si="548"/>
        <v>2089.2961308540384</v>
      </c>
      <c r="CV1992" s="331">
        <f t="shared" si="550"/>
        <v>4.8945940457517567</v>
      </c>
      <c r="CW1992" s="326">
        <f t="shared" ref="CW1992:CW2023" si="554">IF(CU1992&lt;2,0,1)</f>
        <v>1</v>
      </c>
      <c r="CX1992" s="326"/>
      <c r="CY1992" s="161" t="s">
        <v>5921</v>
      </c>
    </row>
    <row r="1993" spans="1:103" ht="12.6" customHeight="1" x14ac:dyDescent="0.2">
      <c r="A1993" s="72">
        <v>135</v>
      </c>
      <c r="B1993" s="149">
        <v>1</v>
      </c>
      <c r="C1993" s="54" t="s">
        <v>260</v>
      </c>
      <c r="D1993" s="54" t="s">
        <v>8369</v>
      </c>
      <c r="E1993" s="59"/>
      <c r="F1993" s="59" t="s">
        <v>261</v>
      </c>
      <c r="G1993" s="151">
        <v>302272</v>
      </c>
      <c r="H1993" s="55" t="s">
        <v>262</v>
      </c>
      <c r="I1993" s="55" t="s">
        <v>8291</v>
      </c>
      <c r="J1993" s="55" t="s">
        <v>263</v>
      </c>
      <c r="K1993" s="55" t="s">
        <v>264</v>
      </c>
      <c r="L1993" s="64"/>
      <c r="M1993" s="55"/>
      <c r="N1993" s="60"/>
      <c r="O1993" s="55"/>
      <c r="P1993" s="67"/>
      <c r="Q1993" s="67"/>
      <c r="R1993" s="67"/>
      <c r="S1993" s="67"/>
      <c r="T1993" s="59">
        <v>645.74</v>
      </c>
      <c r="U1993" s="153">
        <v>310</v>
      </c>
      <c r="V1993" s="153">
        <v>629</v>
      </c>
      <c r="W1993" s="153">
        <v>2188.0522538532837</v>
      </c>
      <c r="X1993" s="153">
        <v>310</v>
      </c>
      <c r="Y1993" s="162">
        <v>8.4600000000000009</v>
      </c>
      <c r="Z1993" s="56">
        <v>0.13</v>
      </c>
      <c r="AA1993" s="56"/>
      <c r="AB1993" s="56">
        <v>3.63</v>
      </c>
      <c r="AC1993" s="56">
        <v>0.3508</v>
      </c>
      <c r="AD1993" s="56">
        <v>1.62</v>
      </c>
      <c r="AE1993" s="56">
        <v>0.39</v>
      </c>
      <c r="AF1993" s="56">
        <f>IF(AA1993=0,AD1993,AA1993)</f>
        <v>1.62</v>
      </c>
      <c r="AG1993" s="57">
        <v>0.14000000000000001</v>
      </c>
      <c r="AH1993" s="103">
        <v>4.5299999999999998E-26</v>
      </c>
      <c r="AI1993" s="103"/>
      <c r="AJ1993" s="62">
        <f t="shared" si="551"/>
        <v>-23.732468124299821</v>
      </c>
      <c r="AK1993" s="62"/>
      <c r="AL1993" s="62">
        <f t="shared" si="546"/>
        <v>-23.732468124299821</v>
      </c>
      <c r="AM1993" s="62">
        <v>-34.302030000000002</v>
      </c>
      <c r="AN1993" s="154">
        <v>-11.6</v>
      </c>
      <c r="AO1993" s="410">
        <v>12.14</v>
      </c>
      <c r="AP1993" s="410">
        <v>5.15</v>
      </c>
      <c r="AQ1993" s="154" t="s">
        <v>6311</v>
      </c>
      <c r="AR1993" s="154" t="s">
        <v>6312</v>
      </c>
      <c r="AS1993" s="149" t="s">
        <v>265</v>
      </c>
      <c r="AT1993" s="58" t="s">
        <v>266</v>
      </c>
      <c r="AU1993" s="155">
        <v>24</v>
      </c>
      <c r="AV1993" s="155">
        <v>120</v>
      </c>
      <c r="AW1993" s="155">
        <v>96</v>
      </c>
      <c r="AX1993" s="155">
        <v>28</v>
      </c>
      <c r="AY1993" s="155" t="s">
        <v>267</v>
      </c>
      <c r="AZ1993" s="155" t="s">
        <v>268</v>
      </c>
      <c r="BA1993" s="155">
        <v>48</v>
      </c>
      <c r="BB1993" s="55" t="s">
        <v>269</v>
      </c>
      <c r="BC1993" s="156" t="s">
        <v>270</v>
      </c>
      <c r="BD1993" s="156" t="s">
        <v>8374</v>
      </c>
      <c r="BE1993" s="155" t="s">
        <v>271</v>
      </c>
      <c r="BF1993" s="155" t="s">
        <v>272</v>
      </c>
      <c r="BG1993" s="155" t="s">
        <v>272</v>
      </c>
      <c r="BH1993" s="155" t="s">
        <v>272</v>
      </c>
      <c r="BI1993" s="153">
        <v>1</v>
      </c>
      <c r="BJ1993" s="153">
        <v>1000</v>
      </c>
      <c r="BK1993" s="59" t="s">
        <v>6310</v>
      </c>
      <c r="BL1993" s="153">
        <v>25357.398125652857</v>
      </c>
      <c r="BM1993" s="56">
        <v>0</v>
      </c>
      <c r="BN1993" s="56"/>
      <c r="BO1993" s="176"/>
      <c r="BP1993" s="176"/>
      <c r="BQ1993" s="176"/>
      <c r="BR1993" s="176"/>
      <c r="BS1993" s="176"/>
      <c r="BT1993" s="176"/>
      <c r="BU1993" s="177"/>
      <c r="BV1993" s="176"/>
      <c r="BW1993" s="176"/>
      <c r="BX1993" s="176"/>
      <c r="BY1993" s="176"/>
      <c r="BZ1993" s="176">
        <v>581.16600000000005</v>
      </c>
      <c r="CA1993" s="176">
        <v>129.148</v>
      </c>
      <c r="CB1993" s="176">
        <v>32.286999999999999</v>
      </c>
      <c r="CC1993" s="176"/>
      <c r="CD1993" s="176"/>
      <c r="CE1993" s="176"/>
      <c r="CF1993" s="176"/>
      <c r="CG1993" s="176"/>
      <c r="CH1993" s="176"/>
      <c r="CI1993" s="159">
        <v>32.286999999999999</v>
      </c>
      <c r="CJ1993" s="103">
        <f t="shared" si="553"/>
        <v>1.5090276937017817</v>
      </c>
      <c r="CK1993" s="57">
        <f t="shared" si="549"/>
        <v>25.357398125652857</v>
      </c>
      <c r="CL1993" s="160">
        <f t="shared" si="547"/>
        <v>785.37486064523978</v>
      </c>
      <c r="CM1993" s="160"/>
      <c r="CN1993" s="160"/>
      <c r="CO1993" s="55" t="s">
        <v>273</v>
      </c>
      <c r="CP1993" s="503" t="s">
        <v>274</v>
      </c>
      <c r="CQ1993" s="149" t="s">
        <v>272</v>
      </c>
      <c r="CR1993" s="349"/>
      <c r="CS1993" s="61" t="s">
        <v>539</v>
      </c>
      <c r="CT1993" s="61"/>
      <c r="CU1993" s="111">
        <f t="shared" si="548"/>
        <v>9.6013875553628392</v>
      </c>
      <c r="CV1993" s="331">
        <f t="shared" si="550"/>
        <v>0.31</v>
      </c>
      <c r="CW1993" s="326">
        <f t="shared" si="554"/>
        <v>1</v>
      </c>
      <c r="CX1993" s="326" t="s">
        <v>539</v>
      </c>
      <c r="CY1993" s="161" t="s">
        <v>5921</v>
      </c>
    </row>
    <row r="1994" spans="1:103" ht="12.6" customHeight="1" x14ac:dyDescent="0.2">
      <c r="A1994" s="72">
        <v>146</v>
      </c>
      <c r="B1994" s="149">
        <v>16</v>
      </c>
      <c r="C1994" s="54" t="s">
        <v>346</v>
      </c>
      <c r="D1994" s="54"/>
      <c r="E1994" s="59"/>
      <c r="F1994" s="150" t="str">
        <f>HYPERLINK("http://www.sigmaaldrich.com/catalog/Lookup.do?N5=CAS+No.&amp;N3=mode+matchpartialmax&amp;N4=497-76-7&amp;D7=0&amp;D10=&amp;N25=0&amp;N1=S_ID&amp;ST=RS&amp;F=PR","497-76-7")</f>
        <v>497-76-7</v>
      </c>
      <c r="G1994" s="151">
        <v>497767</v>
      </c>
      <c r="H1994" s="55" t="s">
        <v>347</v>
      </c>
      <c r="I1994" s="55" t="s">
        <v>347</v>
      </c>
      <c r="J1994" s="55" t="s">
        <v>348</v>
      </c>
      <c r="K1994" s="55" t="s">
        <v>349</v>
      </c>
      <c r="L1994" s="64"/>
      <c r="M1994" s="55"/>
      <c r="N1994" s="60"/>
      <c r="O1994" s="55"/>
      <c r="P1994" s="67"/>
      <c r="Q1994" s="67"/>
      <c r="R1994" s="67"/>
      <c r="S1994" s="67"/>
      <c r="T1994" s="59">
        <v>272.25</v>
      </c>
      <c r="U1994" s="153"/>
      <c r="V1994" s="153">
        <v>959100</v>
      </c>
      <c r="W1994" s="153">
        <v>98848.000411160087</v>
      </c>
      <c r="X1994" s="153">
        <v>98848.000411160087</v>
      </c>
      <c r="Y1994" s="410">
        <v>5.25</v>
      </c>
      <c r="Z1994" s="59">
        <v>-0.98</v>
      </c>
      <c r="AA1994" s="59">
        <v>-1.35</v>
      </c>
      <c r="AB1994" s="59">
        <v>-1.07</v>
      </c>
      <c r="AC1994" s="59">
        <v>0.86560000000000004</v>
      </c>
      <c r="AD1994" s="59">
        <v>-1.1399999999999999</v>
      </c>
      <c r="AE1994" s="59">
        <v>-1.35</v>
      </c>
      <c r="AF1994" s="59">
        <f>IF(AA1994=0,AD1994,AA1994)</f>
        <v>-1.35</v>
      </c>
      <c r="AG1994" s="57">
        <v>-1.03</v>
      </c>
      <c r="AH1994" s="103">
        <v>1.2000000000000001E-19</v>
      </c>
      <c r="AI1994" s="103"/>
      <c r="AJ1994" s="62">
        <f t="shared" si="551"/>
        <v>-17.309385080265027</v>
      </c>
      <c r="AK1994" s="62"/>
      <c r="AL1994" s="62">
        <f t="shared" si="546"/>
        <v>-17.309385080265027</v>
      </c>
      <c r="AM1994" s="62">
        <v>-24.98301</v>
      </c>
      <c r="AN1994" s="154">
        <v>-18.100000000000001</v>
      </c>
      <c r="AO1994" s="410">
        <v>10.1</v>
      </c>
      <c r="AP1994" s="410"/>
      <c r="AQ1994" s="154" t="s">
        <v>6311</v>
      </c>
      <c r="AR1994" s="154" t="s">
        <v>6311</v>
      </c>
      <c r="AS1994" s="149" t="s">
        <v>282</v>
      </c>
      <c r="AT1994" s="58" t="s">
        <v>266</v>
      </c>
      <c r="AU1994" s="155">
        <v>24</v>
      </c>
      <c r="AV1994" s="155">
        <v>120</v>
      </c>
      <c r="AW1994" s="155">
        <v>96</v>
      </c>
      <c r="AX1994" s="155">
        <v>28</v>
      </c>
      <c r="AY1994" s="155" t="s">
        <v>267</v>
      </c>
      <c r="AZ1994" s="155" t="s">
        <v>268</v>
      </c>
      <c r="BA1994" s="155">
        <v>48</v>
      </c>
      <c r="BB1994" s="55" t="s">
        <v>269</v>
      </c>
      <c r="BC1994" s="156" t="s">
        <v>270</v>
      </c>
      <c r="BD1994" s="156" t="s">
        <v>8374</v>
      </c>
      <c r="BE1994" s="155" t="s">
        <v>271</v>
      </c>
      <c r="BF1994" s="155" t="s">
        <v>272</v>
      </c>
      <c r="BG1994" s="155" t="s">
        <v>272</v>
      </c>
      <c r="BH1994" s="155" t="s">
        <v>272</v>
      </c>
      <c r="BI1994" s="153">
        <v>1</v>
      </c>
      <c r="BJ1994" s="153">
        <v>1000</v>
      </c>
      <c r="BK1994" s="56"/>
      <c r="BL1994" s="153">
        <v>106146.55128004549</v>
      </c>
      <c r="BM1994" s="56">
        <v>0</v>
      </c>
      <c r="BN1994" s="56"/>
      <c r="BO1994" s="56"/>
      <c r="BP1994" s="56"/>
      <c r="BQ1994" s="56"/>
      <c r="BR1994" s="56"/>
      <c r="BS1994" s="56"/>
      <c r="BT1994" s="56"/>
      <c r="BU1994" s="158"/>
      <c r="BV1994" s="56"/>
      <c r="BW1994" s="56"/>
      <c r="BX1994" s="56"/>
      <c r="BY1994" s="56"/>
      <c r="BZ1994" s="56"/>
      <c r="CA1994" s="56">
        <v>255.91499999999999</v>
      </c>
      <c r="CB1994" s="56">
        <v>119.79</v>
      </c>
      <c r="CC1994" s="56"/>
      <c r="CD1994" s="56"/>
      <c r="CE1994" s="56"/>
      <c r="CF1994" s="56"/>
      <c r="CG1994" s="56"/>
      <c r="CH1994" s="56"/>
      <c r="CI1994" s="103">
        <v>119.79</v>
      </c>
      <c r="CJ1994" s="103">
        <f t="shared" si="553"/>
        <v>2.078420564914</v>
      </c>
      <c r="CK1994" s="57">
        <f t="shared" si="549"/>
        <v>106.14655128004549</v>
      </c>
      <c r="CL1994" s="160">
        <f t="shared" si="547"/>
        <v>886.10527823729433</v>
      </c>
      <c r="CM1994" s="160"/>
      <c r="CN1994" s="160"/>
      <c r="CO1994" s="55" t="s">
        <v>273</v>
      </c>
      <c r="CP1994" s="503" t="s">
        <v>274</v>
      </c>
      <c r="CQ1994" s="149" t="s">
        <v>272</v>
      </c>
      <c r="CR1994" s="349"/>
      <c r="CS1994" s="61" t="s">
        <v>539</v>
      </c>
      <c r="CT1994" s="61"/>
      <c r="CU1994" s="111">
        <f t="shared" si="548"/>
        <v>825.17739720477573</v>
      </c>
      <c r="CV1994" s="331">
        <f t="shared" si="550"/>
        <v>98.848000411160086</v>
      </c>
      <c r="CW1994" s="326">
        <f t="shared" si="554"/>
        <v>1</v>
      </c>
      <c r="CX1994" s="326"/>
      <c r="CY1994" s="161" t="s">
        <v>5921</v>
      </c>
    </row>
    <row r="1995" spans="1:103" ht="12.6" customHeight="1" x14ac:dyDescent="0.2">
      <c r="A1995" s="72">
        <v>147</v>
      </c>
      <c r="B1995" s="149">
        <v>17</v>
      </c>
      <c r="C1995" s="54" t="s">
        <v>350</v>
      </c>
      <c r="D1995" s="54"/>
      <c r="E1995" s="59"/>
      <c r="F1995" s="150" t="str">
        <f>HYPERLINK("http://www.sigmaaldrich.com/catalog/Lookup.do?N5=CAS+No.&amp;N3=mode+matchpartialmax&amp;N4=508-75-8&amp;D7=0&amp;D10=&amp;N25=0&amp;N1=S_ID&amp;ST=RS&amp;F=PR","508-75-8")</f>
        <v>508-75-8</v>
      </c>
      <c r="G1995" s="151">
        <v>508758</v>
      </c>
      <c r="H1995" s="55" t="s">
        <v>351</v>
      </c>
      <c r="I1995" s="55" t="s">
        <v>8293</v>
      </c>
      <c r="J1995" s="55" t="s">
        <v>352</v>
      </c>
      <c r="K1995" s="55" t="s">
        <v>353</v>
      </c>
      <c r="L1995" s="64"/>
      <c r="M1995" s="55"/>
      <c r="N1995" s="60"/>
      <c r="O1995" s="55"/>
      <c r="P1995" s="67"/>
      <c r="Q1995" s="67"/>
      <c r="R1995" s="67"/>
      <c r="S1995" s="67"/>
      <c r="T1995" s="59">
        <v>550.64</v>
      </c>
      <c r="U1995" s="153">
        <v>500</v>
      </c>
      <c r="V1995" s="153">
        <v>867.1</v>
      </c>
      <c r="W1995" s="153">
        <v>166.29062153221659</v>
      </c>
      <c r="X1995" s="153">
        <v>500</v>
      </c>
      <c r="Y1995" s="410">
        <v>7</v>
      </c>
      <c r="Z1995" s="59">
        <v>-0.78</v>
      </c>
      <c r="AA1995" s="59">
        <v>-0.48</v>
      </c>
      <c r="AB1995" s="59">
        <v>-0.43</v>
      </c>
      <c r="AC1995" s="59">
        <v>0.87909999999999999</v>
      </c>
      <c r="AD1995" s="59">
        <v>-0.21</v>
      </c>
      <c r="AE1995" s="59">
        <v>0.81</v>
      </c>
      <c r="AF1995" s="59">
        <f>IF(AA1995=0,AD1995,AA1995)</f>
        <v>-0.48</v>
      </c>
      <c r="AG1995" s="57">
        <v>-0.21</v>
      </c>
      <c r="AH1995" s="103">
        <v>2.5100000000000001E-21</v>
      </c>
      <c r="AI1995" s="103"/>
      <c r="AJ1995" s="62">
        <f t="shared" si="551"/>
        <v>-18.988892604831612</v>
      </c>
      <c r="AK1995" s="62"/>
      <c r="AL1995" s="62">
        <f t="shared" si="546"/>
        <v>-18.988892604831612</v>
      </c>
      <c r="AM1995" s="62">
        <v>-37.000100000000003</v>
      </c>
      <c r="AN1995" s="343">
        <v>-18.950582333316184</v>
      </c>
      <c r="AO1995" s="410">
        <v>13.04</v>
      </c>
      <c r="AP1995" s="410"/>
      <c r="AQ1995" s="154" t="s">
        <v>6311</v>
      </c>
      <c r="AR1995" s="154" t="s">
        <v>6311</v>
      </c>
      <c r="AS1995" s="149" t="s">
        <v>282</v>
      </c>
      <c r="AT1995" s="58" t="s">
        <v>266</v>
      </c>
      <c r="AU1995" s="155">
        <v>24</v>
      </c>
      <c r="AV1995" s="155">
        <v>120</v>
      </c>
      <c r="AW1995" s="155">
        <v>96</v>
      </c>
      <c r="AX1995" s="155">
        <v>28</v>
      </c>
      <c r="AY1995" s="155" t="s">
        <v>267</v>
      </c>
      <c r="AZ1995" s="155" t="s">
        <v>268</v>
      </c>
      <c r="BA1995" s="155">
        <v>48</v>
      </c>
      <c r="BB1995" s="55" t="s">
        <v>269</v>
      </c>
      <c r="BC1995" s="156" t="s">
        <v>270</v>
      </c>
      <c r="BD1995" s="156" t="s">
        <v>8374</v>
      </c>
      <c r="BE1995" s="155" t="s">
        <v>271</v>
      </c>
      <c r="BF1995" s="155" t="s">
        <v>272</v>
      </c>
      <c r="BG1995" s="155" t="s">
        <v>272</v>
      </c>
      <c r="BH1995" s="155" t="s">
        <v>272</v>
      </c>
      <c r="BI1995" s="153">
        <v>1</v>
      </c>
      <c r="BJ1995" s="153">
        <v>1000</v>
      </c>
      <c r="BK1995" s="56"/>
      <c r="BL1995" s="153">
        <v>141966.46111542679</v>
      </c>
      <c r="BM1995" s="56">
        <v>0</v>
      </c>
      <c r="BN1995" s="56"/>
      <c r="BO1995" s="56"/>
      <c r="BP1995" s="56"/>
      <c r="BQ1995" s="56"/>
      <c r="BR1995" s="56"/>
      <c r="BS1995" s="56"/>
      <c r="BT1995" s="56"/>
      <c r="BU1995" s="158"/>
      <c r="BV1995" s="56"/>
      <c r="BW1995" s="56"/>
      <c r="BX1995" s="56"/>
      <c r="BY1995" s="56">
        <v>743.36400000000003</v>
      </c>
      <c r="BZ1995" s="56">
        <v>545.1336</v>
      </c>
      <c r="CA1995" s="56">
        <v>523.10799999999995</v>
      </c>
      <c r="CB1995" s="56">
        <v>38.544800000000002</v>
      </c>
      <c r="CC1995" s="56"/>
      <c r="CD1995" s="56"/>
      <c r="CE1995" s="56"/>
      <c r="CF1995" s="56"/>
      <c r="CG1995" s="56"/>
      <c r="CH1995" s="56"/>
      <c r="CI1995" s="103">
        <v>38.544800000000002</v>
      </c>
      <c r="CJ1995" s="103">
        <f t="shared" si="553"/>
        <v>1.5859657965599336</v>
      </c>
      <c r="CK1995" s="57">
        <f t="shared" si="549"/>
        <v>141.9664611154268</v>
      </c>
      <c r="CL1995" s="160">
        <f t="shared" si="547"/>
        <v>3683.1546957158107</v>
      </c>
      <c r="CM1995" s="160"/>
      <c r="CN1995" s="160"/>
      <c r="CO1995" s="55" t="s">
        <v>273</v>
      </c>
      <c r="CP1995" s="503" t="s">
        <v>274</v>
      </c>
      <c r="CQ1995" s="149" t="s">
        <v>272</v>
      </c>
      <c r="CR1995" s="349"/>
      <c r="CS1995" s="61" t="s">
        <v>539</v>
      </c>
      <c r="CT1995" s="61"/>
      <c r="CU1995" s="111">
        <f t="shared" si="548"/>
        <v>12.971918391067017</v>
      </c>
      <c r="CV1995" s="331">
        <f t="shared" si="550"/>
        <v>0.5</v>
      </c>
      <c r="CW1995" s="326">
        <f t="shared" si="554"/>
        <v>1</v>
      </c>
      <c r="CX1995" s="326"/>
      <c r="CY1995" s="161" t="s">
        <v>5921</v>
      </c>
    </row>
    <row r="1996" spans="1:103" ht="12.6" customHeight="1" x14ac:dyDescent="0.2">
      <c r="A1996" s="72">
        <v>149</v>
      </c>
      <c r="B1996" s="149">
        <v>22</v>
      </c>
      <c r="C1996" s="54" t="s">
        <v>372</v>
      </c>
      <c r="D1996" s="54"/>
      <c r="E1996" s="59"/>
      <c r="F1996" s="59" t="s">
        <v>373</v>
      </c>
      <c r="G1996" s="490">
        <v>520263</v>
      </c>
      <c r="H1996" s="55" t="s">
        <v>374</v>
      </c>
      <c r="I1996" s="55" t="s">
        <v>8294</v>
      </c>
      <c r="J1996" s="55" t="s">
        <v>375</v>
      </c>
      <c r="K1996" s="55" t="s">
        <v>376</v>
      </c>
      <c r="L1996" s="64"/>
      <c r="M1996" s="55"/>
      <c r="N1996" s="60"/>
      <c r="O1996" s="55"/>
      <c r="P1996" s="67"/>
      <c r="Q1996" s="67"/>
      <c r="R1996" s="67"/>
      <c r="S1996" s="67"/>
      <c r="T1996" s="59">
        <v>610.55999999999995</v>
      </c>
      <c r="U1996" s="153"/>
      <c r="V1996" s="153">
        <v>2125</v>
      </c>
      <c r="W1996" s="153">
        <v>44.231161978338612</v>
      </c>
      <c r="X1996" s="153">
        <v>44.231161978338612</v>
      </c>
      <c r="Y1996" s="410">
        <v>5.64</v>
      </c>
      <c r="Z1996" s="59">
        <v>-0.72</v>
      </c>
      <c r="AA1996" s="59"/>
      <c r="AB1996" s="59">
        <v>-0.4</v>
      </c>
      <c r="AC1996" s="59">
        <v>0.75980000000000003</v>
      </c>
      <c r="AD1996" s="59">
        <v>0.19</v>
      </c>
      <c r="AE1996" s="59">
        <v>1.78</v>
      </c>
      <c r="AF1996" s="59">
        <f>IF(AA1996=0,AD1996,AA1996)</f>
        <v>0.19</v>
      </c>
      <c r="AG1996" s="57">
        <v>-0.59</v>
      </c>
      <c r="AH1996" s="103">
        <v>4.47E-33</v>
      </c>
      <c r="AI1996" s="103"/>
      <c r="AJ1996" s="62">
        <f t="shared" si="551"/>
        <v>-30.738258803180717</v>
      </c>
      <c r="AK1996" s="62"/>
      <c r="AL1996" s="62">
        <f t="shared" si="546"/>
        <v>-30.738258803180717</v>
      </c>
      <c r="AM1996" s="62">
        <v>-44.38006</v>
      </c>
      <c r="AN1996" s="154">
        <v>-30.5</v>
      </c>
      <c r="AO1996" s="410">
        <v>7.15</v>
      </c>
      <c r="AP1996" s="410"/>
      <c r="AQ1996" s="154" t="s">
        <v>6311</v>
      </c>
      <c r="AR1996" s="154" t="s">
        <v>6311</v>
      </c>
      <c r="AS1996" s="149" t="s">
        <v>282</v>
      </c>
      <c r="AT1996" s="58" t="s">
        <v>266</v>
      </c>
      <c r="AU1996" s="155">
        <v>24</v>
      </c>
      <c r="AV1996" s="155">
        <v>120</v>
      </c>
      <c r="AW1996" s="155">
        <v>96</v>
      </c>
      <c r="AX1996" s="155">
        <v>28</v>
      </c>
      <c r="AY1996" s="155" t="s">
        <v>267</v>
      </c>
      <c r="AZ1996" s="155" t="s">
        <v>268</v>
      </c>
      <c r="BA1996" s="155">
        <v>48</v>
      </c>
      <c r="BB1996" s="55" t="s">
        <v>269</v>
      </c>
      <c r="BC1996" s="156" t="s">
        <v>270</v>
      </c>
      <c r="BD1996" s="156" t="s">
        <v>8374</v>
      </c>
      <c r="BE1996" s="155" t="s">
        <v>271</v>
      </c>
      <c r="BF1996" s="155" t="s">
        <v>272</v>
      </c>
      <c r="BG1996" s="155" t="s">
        <v>272</v>
      </c>
      <c r="BH1996" s="155" t="s">
        <v>272</v>
      </c>
      <c r="BI1996" s="153">
        <v>1</v>
      </c>
      <c r="BJ1996" s="153">
        <v>1000</v>
      </c>
      <c r="BK1996" s="56"/>
      <c r="BL1996" s="153">
        <v>139046.59194085159</v>
      </c>
      <c r="BM1996" s="56">
        <v>0</v>
      </c>
      <c r="BN1996" s="56"/>
      <c r="BO1996" s="56"/>
      <c r="BP1996" s="56"/>
      <c r="BQ1996" s="56"/>
      <c r="BR1996" s="56"/>
      <c r="BS1996" s="56"/>
      <c r="BT1996" s="56"/>
      <c r="BU1996" s="158"/>
      <c r="BV1996" s="56"/>
      <c r="BW1996" s="56"/>
      <c r="BX1996" s="56"/>
      <c r="BY1996" s="56"/>
      <c r="BZ1996" s="56">
        <v>433.49759999999992</v>
      </c>
      <c r="CA1996" s="56">
        <v>73.267199999999988</v>
      </c>
      <c r="CB1996" s="56">
        <v>79.372799999999998</v>
      </c>
      <c r="CC1996" s="56"/>
      <c r="CD1996" s="56"/>
      <c r="CE1996" s="56"/>
      <c r="CF1996" s="56"/>
      <c r="CG1996" s="56"/>
      <c r="CH1996" s="56"/>
      <c r="CI1996" s="103">
        <v>73.267199999999988</v>
      </c>
      <c r="CJ1996" s="103">
        <f t="shared" si="553"/>
        <v>1.8649095947356071</v>
      </c>
      <c r="CK1996" s="57">
        <f t="shared" si="549"/>
        <v>139.04659194085158</v>
      </c>
      <c r="CL1996" s="160">
        <f t="shared" si="547"/>
        <v>1897.8013618761413</v>
      </c>
      <c r="CM1996" s="160"/>
      <c r="CN1996" s="160"/>
      <c r="CO1996" s="55" t="s">
        <v>273</v>
      </c>
      <c r="CP1996" s="503" t="s">
        <v>274</v>
      </c>
      <c r="CQ1996" s="149" t="s">
        <v>272</v>
      </c>
      <c r="CR1996" s="349"/>
      <c r="CS1996" s="61" t="s">
        <v>539</v>
      </c>
      <c r="CT1996" s="61"/>
      <c r="CU1996" s="111">
        <f t="shared" si="548"/>
        <v>0.60369663339582535</v>
      </c>
      <c r="CV1996" s="331">
        <f t="shared" si="550"/>
        <v>4.423116197833861E-2</v>
      </c>
      <c r="CW1996" s="326">
        <f t="shared" si="554"/>
        <v>0</v>
      </c>
      <c r="CX1996" s="326"/>
      <c r="CY1996" s="161" t="s">
        <v>6351</v>
      </c>
    </row>
    <row r="1997" spans="1:103" ht="12.6" customHeight="1" x14ac:dyDescent="0.2">
      <c r="A1997" s="72">
        <v>152</v>
      </c>
      <c r="B1997" s="149">
        <v>58</v>
      </c>
      <c r="C1997" s="54" t="s">
        <v>519</v>
      </c>
      <c r="D1997" s="54" t="s">
        <v>8546</v>
      </c>
      <c r="E1997" s="59"/>
      <c r="F1997" s="150" t="str">
        <f>HYPERLINK("http://www.sigmaaldrich.com/catalog/Lookup.do?N5=CAS+No.&amp;N3=mode+matchpartialmax&amp;N4=549-18-8&amp;D7=0&amp;D10=&amp;N25=0&amp;N1=S_ID&amp;ST=RS&amp;F=PR","549-18-8")</f>
        <v>549-18-8</v>
      </c>
      <c r="G1997" s="151">
        <v>549188</v>
      </c>
      <c r="H1997" s="55" t="s">
        <v>520</v>
      </c>
      <c r="I1997" s="55" t="s">
        <v>8296</v>
      </c>
      <c r="J1997" s="55" t="s">
        <v>521</v>
      </c>
      <c r="K1997" s="55" t="s">
        <v>426</v>
      </c>
      <c r="L1997" s="67" t="s">
        <v>6060</v>
      </c>
      <c r="M1997" s="67" t="s">
        <v>6059</v>
      </c>
      <c r="N1997" s="60"/>
      <c r="O1997" s="67" t="s">
        <v>6061</v>
      </c>
      <c r="P1997" s="67"/>
      <c r="Q1997" s="67"/>
      <c r="R1997" s="67"/>
      <c r="S1997" s="67"/>
      <c r="T1997" s="59">
        <v>313.87</v>
      </c>
      <c r="U1997" s="153"/>
      <c r="V1997" s="153">
        <v>10.84</v>
      </c>
      <c r="W1997" s="153"/>
      <c r="X1997" s="153">
        <v>10.84</v>
      </c>
      <c r="Y1997" s="410"/>
      <c r="Z1997" s="59">
        <v>2.1800000000000002</v>
      </c>
      <c r="AA1997" s="59"/>
      <c r="AB1997" s="59"/>
      <c r="AC1997" s="59"/>
      <c r="AD1997" s="59"/>
      <c r="AE1997" s="59"/>
      <c r="AF1997" s="59"/>
      <c r="AG1997" s="57">
        <v>3.71</v>
      </c>
      <c r="AH1997" s="103">
        <v>4.3299999999999998E-15</v>
      </c>
      <c r="AI1997" s="103"/>
      <c r="AJ1997" s="62">
        <f t="shared" si="551"/>
        <v>-12.752078429959287</v>
      </c>
      <c r="AK1997" s="62"/>
      <c r="AL1997" s="62">
        <f t="shared" si="546"/>
        <v>-12.752078429959287</v>
      </c>
      <c r="AM1997" s="62"/>
      <c r="AN1997" s="154">
        <v>-8.36</v>
      </c>
      <c r="AO1997" s="410"/>
      <c r="AP1997" s="410"/>
      <c r="AQ1997" s="154" t="s">
        <v>6311</v>
      </c>
      <c r="AR1997" s="154" t="s">
        <v>6311</v>
      </c>
      <c r="AS1997" s="149" t="s">
        <v>289</v>
      </c>
      <c r="AT1997" s="58" t="s">
        <v>266</v>
      </c>
      <c r="AU1997" s="155">
        <v>24</v>
      </c>
      <c r="AV1997" s="155">
        <v>120</v>
      </c>
      <c r="AW1997" s="155">
        <v>96</v>
      </c>
      <c r="AX1997" s="155">
        <v>28</v>
      </c>
      <c r="AY1997" s="155" t="s">
        <v>267</v>
      </c>
      <c r="AZ1997" s="155" t="s">
        <v>268</v>
      </c>
      <c r="BA1997" s="155">
        <v>48</v>
      </c>
      <c r="BB1997" s="55" t="s">
        <v>269</v>
      </c>
      <c r="BC1997" s="156" t="s">
        <v>270</v>
      </c>
      <c r="BD1997" s="156" t="s">
        <v>8374</v>
      </c>
      <c r="BE1997" s="155" t="s">
        <v>271</v>
      </c>
      <c r="BF1997" s="155" t="s">
        <v>272</v>
      </c>
      <c r="BG1997" s="155" t="s">
        <v>272</v>
      </c>
      <c r="BH1997" s="155" t="s">
        <v>272</v>
      </c>
      <c r="BI1997" s="153">
        <v>1</v>
      </c>
      <c r="BJ1997" s="153">
        <v>1000</v>
      </c>
      <c r="BK1997" s="56"/>
      <c r="BL1997" s="153">
        <v>177.70179200281697</v>
      </c>
      <c r="BM1997" s="56">
        <v>0</v>
      </c>
      <c r="BN1997" s="56"/>
      <c r="BO1997" s="56"/>
      <c r="BP1997" s="56"/>
      <c r="BQ1997" s="56"/>
      <c r="BR1997" s="56"/>
      <c r="BS1997" s="56"/>
      <c r="BT1997" s="56"/>
      <c r="BU1997" s="158"/>
      <c r="BV1997" s="56"/>
      <c r="BW1997" s="56"/>
      <c r="BX1997" s="56"/>
      <c r="BY1997" s="56">
        <v>87.883600000000015</v>
      </c>
      <c r="BZ1997" s="56">
        <v>81.606200000000001</v>
      </c>
      <c r="CA1997" s="56">
        <v>81.606200000000001</v>
      </c>
      <c r="CB1997" s="56">
        <v>9.4161000000000001</v>
      </c>
      <c r="CC1997" s="56"/>
      <c r="CD1997" s="56"/>
      <c r="CE1997" s="56"/>
      <c r="CF1997" s="56"/>
      <c r="CG1997" s="56"/>
      <c r="CH1997" s="56"/>
      <c r="CI1997" s="103">
        <v>9.4161000000000001</v>
      </c>
      <c r="CJ1997" s="103">
        <f t="shared" si="553"/>
        <v>0.97387106211422036</v>
      </c>
      <c r="CK1997" s="57">
        <f t="shared" si="549"/>
        <v>0.17770179200281697</v>
      </c>
      <c r="CL1997" s="160">
        <f t="shared" ref="CL1997:CL2020" si="555">BL1997/CI1997</f>
        <v>18.872122428905488</v>
      </c>
      <c r="CM1997" s="160"/>
      <c r="CN1997" s="160"/>
      <c r="CO1997" s="55" t="s">
        <v>273</v>
      </c>
      <c r="CP1997" s="503" t="s">
        <v>274</v>
      </c>
      <c r="CQ1997" s="149" t="s">
        <v>272</v>
      </c>
      <c r="CR1997" s="349"/>
      <c r="CS1997" s="61" t="s">
        <v>539</v>
      </c>
      <c r="CT1997" s="61"/>
      <c r="CU1997" s="111">
        <f t="shared" ref="CU1997:CU2020" si="556">X1997/CI1997</f>
        <v>1.1512197194167437</v>
      </c>
      <c r="CV1997" s="331">
        <f t="shared" si="550"/>
        <v>1.0840000000000001E-2</v>
      </c>
      <c r="CW1997" s="326">
        <f t="shared" si="554"/>
        <v>0</v>
      </c>
      <c r="CX1997" s="326"/>
      <c r="CY1997" s="161" t="s">
        <v>5921</v>
      </c>
    </row>
    <row r="1998" spans="1:103" ht="12.6" customHeight="1" x14ac:dyDescent="0.2">
      <c r="A1998" s="72">
        <v>157</v>
      </c>
      <c r="B1998" s="149">
        <v>3</v>
      </c>
      <c r="C1998" s="54" t="s">
        <v>283</v>
      </c>
      <c r="D1998" s="54"/>
      <c r="E1998" s="59"/>
      <c r="F1998" s="59" t="s">
        <v>284</v>
      </c>
      <c r="G1998" s="151">
        <v>633658</v>
      </c>
      <c r="H1998" s="55" t="s">
        <v>285</v>
      </c>
      <c r="I1998" s="55" t="s">
        <v>8298</v>
      </c>
      <c r="J1998" s="55" t="s">
        <v>286</v>
      </c>
      <c r="K1998" s="55" t="s">
        <v>287</v>
      </c>
      <c r="L1998" s="64"/>
      <c r="M1998" s="55"/>
      <c r="N1998" s="60"/>
      <c r="O1998" s="55"/>
      <c r="P1998" s="67"/>
      <c r="Q1998" s="67"/>
      <c r="R1998" s="67"/>
      <c r="S1998" s="67"/>
      <c r="T1998" s="59">
        <v>371.81</v>
      </c>
      <c r="U1998" s="153"/>
      <c r="V1998" s="103">
        <v>408.09999999999997</v>
      </c>
      <c r="W1998" s="103">
        <v>162300.9515852161</v>
      </c>
      <c r="X1998" s="103">
        <v>162300.9515852161</v>
      </c>
      <c r="Y1998" s="162">
        <v>7</v>
      </c>
      <c r="Z1998" s="56">
        <v>-7.0000000000000007E-2</v>
      </c>
      <c r="AA1998" s="56"/>
      <c r="AB1998" s="56"/>
      <c r="AC1998" s="56"/>
      <c r="AD1998" s="56"/>
      <c r="AE1998" s="56"/>
      <c r="AF1998" s="56"/>
      <c r="AG1998" s="57">
        <v>-1.33</v>
      </c>
      <c r="AH1998" s="103">
        <v>2.2300000000000001E-18</v>
      </c>
      <c r="AI1998" s="103"/>
      <c r="AJ1998" s="62">
        <f t="shared" si="551"/>
        <v>-16.040261463264493</v>
      </c>
      <c r="AK1998" s="62"/>
      <c r="AL1998" s="62">
        <f t="shared" si="546"/>
        <v>-16.040261463264493</v>
      </c>
      <c r="AM1998" s="62"/>
      <c r="AN1998" s="154"/>
      <c r="AO1998" s="410"/>
      <c r="AP1998" s="410"/>
      <c r="AQ1998" s="154" t="s">
        <v>6311</v>
      </c>
      <c r="AR1998" s="154" t="s">
        <v>6311</v>
      </c>
      <c r="AS1998" s="149" t="s">
        <v>289</v>
      </c>
      <c r="AT1998" s="58" t="s">
        <v>266</v>
      </c>
      <c r="AU1998" s="155">
        <v>24</v>
      </c>
      <c r="AV1998" s="155">
        <v>120</v>
      </c>
      <c r="AW1998" s="155">
        <v>96</v>
      </c>
      <c r="AX1998" s="155">
        <v>28</v>
      </c>
      <c r="AY1998" s="155" t="s">
        <v>267</v>
      </c>
      <c r="AZ1998" s="155" t="s">
        <v>268</v>
      </c>
      <c r="BA1998" s="155">
        <v>48</v>
      </c>
      <c r="BB1998" s="55" t="s">
        <v>269</v>
      </c>
      <c r="BC1998" s="156" t="s">
        <v>270</v>
      </c>
      <c r="BD1998" s="156" t="s">
        <v>8374</v>
      </c>
      <c r="BE1998" s="155" t="s">
        <v>271</v>
      </c>
      <c r="BF1998" s="155" t="s">
        <v>272</v>
      </c>
      <c r="BG1998" s="155" t="s">
        <v>272</v>
      </c>
      <c r="BH1998" s="155" t="s">
        <v>272</v>
      </c>
      <c r="BI1998" s="153">
        <v>1</v>
      </c>
      <c r="BJ1998" s="153">
        <v>1000</v>
      </c>
      <c r="BK1998" s="56"/>
      <c r="BL1998" s="153">
        <v>22079.440606992499</v>
      </c>
      <c r="BM1998" s="56">
        <v>0</v>
      </c>
      <c r="BN1998" s="56"/>
      <c r="BO1998" s="56"/>
      <c r="BP1998" s="56"/>
      <c r="BQ1998" s="56"/>
      <c r="BR1998" s="56"/>
      <c r="BS1998" s="56"/>
      <c r="BT1998" s="56"/>
      <c r="BU1998" s="158"/>
      <c r="BV1998" s="56"/>
      <c r="BW1998" s="56"/>
      <c r="BX1998" s="56"/>
      <c r="BY1998" s="56"/>
      <c r="BZ1998" s="56"/>
      <c r="CA1998" s="56">
        <v>286.2937</v>
      </c>
      <c r="CB1998" s="56">
        <v>130.1335</v>
      </c>
      <c r="CC1998" s="56"/>
      <c r="CD1998" s="56"/>
      <c r="CE1998" s="56"/>
      <c r="CF1998" s="56"/>
      <c r="CG1998" s="56"/>
      <c r="CH1998" s="56"/>
      <c r="CI1998" s="103">
        <v>130.1335</v>
      </c>
      <c r="CJ1998" s="103">
        <f t="shared" si="553"/>
        <v>2.1143891104919534</v>
      </c>
      <c r="CK1998" s="57">
        <f t="shared" ref="CK1998:CK2020" si="557">BL1998/BJ1998</f>
        <v>22.079440606992499</v>
      </c>
      <c r="CL1998" s="160">
        <f t="shared" si="555"/>
        <v>169.6676152335294</v>
      </c>
      <c r="CM1998" s="160"/>
      <c r="CN1998" s="160"/>
      <c r="CO1998" s="55" t="s">
        <v>273</v>
      </c>
      <c r="CP1998" s="503" t="s">
        <v>274</v>
      </c>
      <c r="CQ1998" s="149" t="s">
        <v>272</v>
      </c>
      <c r="CR1998" s="349"/>
      <c r="CS1998" s="61" t="s">
        <v>539</v>
      </c>
      <c r="CT1998" s="61"/>
      <c r="CU1998" s="111">
        <f t="shared" si="556"/>
        <v>1247.1880921147599</v>
      </c>
      <c r="CV1998" s="331">
        <f t="shared" ref="CV1998:CV2020" si="558">X1998/BJ1998</f>
        <v>162.3009515852161</v>
      </c>
      <c r="CW1998" s="326">
        <f t="shared" si="554"/>
        <v>1</v>
      </c>
      <c r="CX1998" s="326"/>
      <c r="CY1998" s="161" t="s">
        <v>5921</v>
      </c>
    </row>
    <row r="1999" spans="1:103" ht="11.25" customHeight="1" x14ac:dyDescent="0.2">
      <c r="A1999" s="72">
        <v>164</v>
      </c>
      <c r="B1999" s="149">
        <v>56</v>
      </c>
      <c r="C1999" s="54" t="s">
        <v>512</v>
      </c>
      <c r="D1999" s="54"/>
      <c r="E1999" s="59"/>
      <c r="F1999" s="150" t="str">
        <f>HYPERLINK("http://www.sigmaaldrich.com/catalog/Lookup.do?N5=CAS+No.&amp;N3=mode+matchpartialmax&amp;N4=834-28-6&amp;D7=0&amp;D10=&amp;N25=0&amp;N1=S_ID&amp;ST=RS&amp;F=PR","834-28-6")</f>
        <v>834-28-6</v>
      </c>
      <c r="G1999" s="151">
        <v>834286</v>
      </c>
      <c r="H1999" s="55" t="s">
        <v>513</v>
      </c>
      <c r="I1999" s="55" t="s">
        <v>8299</v>
      </c>
      <c r="J1999" s="55" t="s">
        <v>514</v>
      </c>
      <c r="K1999" s="55" t="s">
        <v>300</v>
      </c>
      <c r="L1999" s="64"/>
      <c r="M1999" s="55"/>
      <c r="N1999" s="60"/>
      <c r="O1999" s="55"/>
      <c r="P1999" s="67"/>
      <c r="Q1999" s="67"/>
      <c r="R1999" s="67"/>
      <c r="S1999" s="67"/>
      <c r="T1999" s="59">
        <v>241.72</v>
      </c>
      <c r="U1999" s="153"/>
      <c r="V1999" s="153">
        <v>1000000</v>
      </c>
      <c r="W1999" s="153">
        <v>621.31606861088972</v>
      </c>
      <c r="X1999" s="153">
        <v>621.31606861088972</v>
      </c>
      <c r="Y1999" s="410">
        <v>9.48</v>
      </c>
      <c r="Z1999" s="59">
        <v>-5.15</v>
      </c>
      <c r="AA1999" s="59"/>
      <c r="AB1999" s="59"/>
      <c r="AC1999" s="59"/>
      <c r="AD1999" s="59"/>
      <c r="AE1999" s="59"/>
      <c r="AF1999" s="59"/>
      <c r="AG1999" s="57">
        <v>1.99</v>
      </c>
      <c r="AH1999" s="103">
        <v>2.85E-24</v>
      </c>
      <c r="AI1999" s="103"/>
      <c r="AJ1999" s="62">
        <f t="shared" si="551"/>
        <v>-21.933721466304142</v>
      </c>
      <c r="AK1999" s="62"/>
      <c r="AL1999" s="62">
        <f t="shared" si="546"/>
        <v>-21.933721466304142</v>
      </c>
      <c r="AM1999" s="62"/>
      <c r="AN1999" s="154">
        <v>-16.5</v>
      </c>
      <c r="AO1999" s="410"/>
      <c r="AP1999" s="410">
        <v>7.55</v>
      </c>
      <c r="AQ1999" s="154" t="s">
        <v>6311</v>
      </c>
      <c r="AR1999" s="154" t="s">
        <v>6311</v>
      </c>
      <c r="AS1999" s="149" t="s">
        <v>289</v>
      </c>
      <c r="AT1999" s="58" t="s">
        <v>266</v>
      </c>
      <c r="AU1999" s="155">
        <v>24</v>
      </c>
      <c r="AV1999" s="155">
        <v>120</v>
      </c>
      <c r="AW1999" s="155">
        <v>96</v>
      </c>
      <c r="AX1999" s="155">
        <v>28</v>
      </c>
      <c r="AY1999" s="155" t="s">
        <v>267</v>
      </c>
      <c r="AZ1999" s="155" t="s">
        <v>268</v>
      </c>
      <c r="BA1999" s="155">
        <v>48</v>
      </c>
      <c r="BB1999" s="55" t="s">
        <v>269</v>
      </c>
      <c r="BC1999" s="156" t="s">
        <v>270</v>
      </c>
      <c r="BD1999" s="156" t="s">
        <v>8374</v>
      </c>
      <c r="BE1999" s="155" t="s">
        <v>271</v>
      </c>
      <c r="BF1999" s="155" t="s">
        <v>272</v>
      </c>
      <c r="BG1999" s="155" t="s">
        <v>272</v>
      </c>
      <c r="BH1999" s="155" t="s">
        <v>272</v>
      </c>
      <c r="BI1999" s="153">
        <v>1</v>
      </c>
      <c r="BJ1999" s="153">
        <v>1600</v>
      </c>
      <c r="BK1999" s="56"/>
      <c r="BL1999" s="153">
        <v>523995534.06906062</v>
      </c>
      <c r="BM1999" s="56">
        <v>0</v>
      </c>
      <c r="BN1999" s="56"/>
      <c r="BO1999" s="56"/>
      <c r="BP1999" s="56"/>
      <c r="BQ1999" s="56"/>
      <c r="BR1999" s="56"/>
      <c r="BS1999" s="56"/>
      <c r="BT1999" s="56"/>
      <c r="BU1999" s="158"/>
      <c r="BV1999" s="56"/>
      <c r="BW1999" s="56"/>
      <c r="BX1999" s="56"/>
      <c r="BY1999" s="56"/>
      <c r="BZ1999" s="56">
        <v>1041.8131999999998</v>
      </c>
      <c r="CA1999" s="56">
        <v>788.0071999999999</v>
      </c>
      <c r="CB1999" s="56">
        <v>507.61200000000002</v>
      </c>
      <c r="CC1999" s="56"/>
      <c r="CD1999" s="56"/>
      <c r="CE1999" s="56"/>
      <c r="CF1999" s="56"/>
      <c r="CG1999" s="56"/>
      <c r="CH1999" s="56"/>
      <c r="CI1999" s="103">
        <v>507.61200000000002</v>
      </c>
      <c r="CJ1999" s="103">
        <f t="shared" si="553"/>
        <v>2.7055318803103381</v>
      </c>
      <c r="CK1999" s="57">
        <f t="shared" si="557"/>
        <v>327497.20879316289</v>
      </c>
      <c r="CL1999" s="160">
        <f t="shared" si="555"/>
        <v>1032275.7028381138</v>
      </c>
      <c r="CM1999" s="160"/>
      <c r="CN1999" s="160"/>
      <c r="CO1999" s="55" t="s">
        <v>273</v>
      </c>
      <c r="CP1999" s="503" t="s">
        <v>274</v>
      </c>
      <c r="CQ1999" s="149" t="s">
        <v>272</v>
      </c>
      <c r="CR1999" s="349"/>
      <c r="CS1999" s="61" t="s">
        <v>539</v>
      </c>
      <c r="CT1999" s="61"/>
      <c r="CU1999" s="111">
        <f t="shared" si="556"/>
        <v>1.2239979917946968</v>
      </c>
      <c r="CV1999" s="331">
        <f t="shared" si="558"/>
        <v>0.38832254288180607</v>
      </c>
      <c r="CW1999" s="326">
        <f t="shared" si="554"/>
        <v>0</v>
      </c>
      <c r="CX1999" s="326"/>
      <c r="CY1999" s="161" t="s">
        <v>5921</v>
      </c>
    </row>
    <row r="2000" spans="1:103" ht="11.25" customHeight="1" x14ac:dyDescent="0.2">
      <c r="A2000" s="72">
        <v>170</v>
      </c>
      <c r="B2000" s="149">
        <v>50</v>
      </c>
      <c r="C2000" s="54" t="s">
        <v>488</v>
      </c>
      <c r="D2000" s="54"/>
      <c r="E2000" s="59"/>
      <c r="F2000" s="150" t="str">
        <f>HYPERLINK("http://www.sigmaaldrich.com/catalog/Lookup.do?N5=CAS+No.&amp;N3=mode+matchpartialmax&amp;N4=1070-11-7&amp;D7=0&amp;D10=&amp;N25=0&amp;N1=S_ID&amp;ST=RS&amp;F=PR","1070-11-7")</f>
        <v>1070-11-7</v>
      </c>
      <c r="G2000" s="151">
        <v>1070117</v>
      </c>
      <c r="H2000" s="55" t="s">
        <v>489</v>
      </c>
      <c r="I2000" s="55" t="s">
        <v>489</v>
      </c>
      <c r="J2000" s="55" t="s">
        <v>490</v>
      </c>
      <c r="K2000" s="55" t="s">
        <v>300</v>
      </c>
      <c r="L2000" s="64"/>
      <c r="M2000" s="55"/>
      <c r="N2000" s="60"/>
      <c r="O2000" s="55"/>
      <c r="P2000" s="67"/>
      <c r="Q2000" s="67"/>
      <c r="R2000" s="67"/>
      <c r="S2000" s="67"/>
      <c r="T2000" s="59">
        <v>204.31</v>
      </c>
      <c r="U2000" s="153"/>
      <c r="V2000" s="153">
        <v>948800.00000000012</v>
      </c>
      <c r="W2000" s="153">
        <v>501521.57856360864</v>
      </c>
      <c r="X2000" s="153">
        <v>501521.57856360864</v>
      </c>
      <c r="Y2000" s="410">
        <v>11.95</v>
      </c>
      <c r="Z2000" s="59">
        <v>-0.41</v>
      </c>
      <c r="AA2000" s="59"/>
      <c r="AB2000" s="59">
        <v>0.26</v>
      </c>
      <c r="AC2000" s="59">
        <v>0.71440000000000003</v>
      </c>
      <c r="AD2000" s="59">
        <v>0.15</v>
      </c>
      <c r="AE2000" s="59">
        <v>-0.05</v>
      </c>
      <c r="AF2000" s="59">
        <f t="shared" ref="AF2000:AF2005" si="559">IF(AA2000=0,AD2000,AA2000)</f>
        <v>0.15</v>
      </c>
      <c r="AG2000" s="57">
        <v>-0.12</v>
      </c>
      <c r="AH2000" s="103">
        <v>3.6500000000000002E-14</v>
      </c>
      <c r="AI2000" s="103"/>
      <c r="AJ2000" s="62">
        <f t="shared" si="551"/>
        <v>-11.826273461856177</v>
      </c>
      <c r="AK2000" s="62"/>
      <c r="AL2000" s="62">
        <f t="shared" si="546"/>
        <v>-11.826273461856177</v>
      </c>
      <c r="AM2000" s="62">
        <v>-14.9612</v>
      </c>
      <c r="AN2000" s="154">
        <v>-13</v>
      </c>
      <c r="AO2000" s="410">
        <v>14.43</v>
      </c>
      <c r="AP2000" s="410">
        <v>9.59</v>
      </c>
      <c r="AQ2000" s="154" t="s">
        <v>6311</v>
      </c>
      <c r="AR2000" s="154" t="s">
        <v>6311</v>
      </c>
      <c r="AS2000" s="149" t="s">
        <v>301</v>
      </c>
      <c r="AT2000" s="58" t="s">
        <v>266</v>
      </c>
      <c r="AU2000" s="155">
        <v>24</v>
      </c>
      <c r="AV2000" s="155">
        <v>120</v>
      </c>
      <c r="AW2000" s="155">
        <v>96</v>
      </c>
      <c r="AX2000" s="155">
        <v>28</v>
      </c>
      <c r="AY2000" s="155" t="s">
        <v>267</v>
      </c>
      <c r="AZ2000" s="155" t="s">
        <v>268</v>
      </c>
      <c r="BA2000" s="155">
        <v>48</v>
      </c>
      <c r="BB2000" s="55" t="s">
        <v>269</v>
      </c>
      <c r="BC2000" s="156" t="s">
        <v>270</v>
      </c>
      <c r="BD2000" s="156" t="s">
        <v>8374</v>
      </c>
      <c r="BE2000" s="155" t="s">
        <v>271</v>
      </c>
      <c r="BF2000" s="155" t="s">
        <v>272</v>
      </c>
      <c r="BG2000" s="155" t="s">
        <v>272</v>
      </c>
      <c r="BH2000" s="155" t="s">
        <v>272</v>
      </c>
      <c r="BI2000" s="153">
        <v>0.73704906204906206</v>
      </c>
      <c r="BJ2000" s="153">
        <v>11792.784992784993</v>
      </c>
      <c r="BK2000" s="56"/>
      <c r="BL2000" s="153">
        <v>24508.155308368179</v>
      </c>
      <c r="BM2000" s="56">
        <v>0</v>
      </c>
      <c r="BN2000" s="56"/>
      <c r="BO2000" s="56"/>
      <c r="BP2000" s="56"/>
      <c r="BQ2000" s="56"/>
      <c r="BR2000" s="56"/>
      <c r="BS2000" s="56"/>
      <c r="BT2000" s="56"/>
      <c r="BU2000" s="158"/>
      <c r="BV2000" s="56"/>
      <c r="BW2000" s="56"/>
      <c r="BX2000" s="56"/>
      <c r="BY2000" s="56">
        <v>3172.9342999999999</v>
      </c>
      <c r="BZ2000" s="56">
        <v>3172.9342999999999</v>
      </c>
      <c r="CA2000" s="56">
        <v>26807.515100000001</v>
      </c>
      <c r="CB2000" s="56">
        <v>4662.3541999999998</v>
      </c>
      <c r="CC2000" s="56"/>
      <c r="CD2000" s="56"/>
      <c r="CE2000" s="56"/>
      <c r="CF2000" s="56"/>
      <c r="CG2000" s="56"/>
      <c r="CH2000" s="56"/>
      <c r="CI2000" s="103">
        <v>3172.9342999999999</v>
      </c>
      <c r="CJ2000" s="103">
        <f t="shared" si="553"/>
        <v>3.5014610795246579</v>
      </c>
      <c r="CK2000" s="57">
        <f t="shared" si="557"/>
        <v>2.0782330317531139</v>
      </c>
      <c r="CL2000" s="160">
        <f t="shared" si="555"/>
        <v>7.7241294622356911</v>
      </c>
      <c r="CM2000" s="160"/>
      <c r="CN2000" s="160"/>
      <c r="CO2000" s="55" t="s">
        <v>273</v>
      </c>
      <c r="CP2000" s="503" t="s">
        <v>274</v>
      </c>
      <c r="CQ2000" s="149" t="s">
        <v>272</v>
      </c>
      <c r="CR2000" s="349"/>
      <c r="CS2000" s="61" t="s">
        <v>539</v>
      </c>
      <c r="CT2000" s="61"/>
      <c r="CU2000" s="111">
        <f t="shared" si="556"/>
        <v>158.06238993464461</v>
      </c>
      <c r="CV2000" s="331">
        <f t="shared" si="558"/>
        <v>42.527831964243155</v>
      </c>
      <c r="CW2000" s="326">
        <f t="shared" si="554"/>
        <v>1</v>
      </c>
      <c r="CX2000" s="326"/>
      <c r="CY2000" s="161" t="s">
        <v>5921</v>
      </c>
    </row>
    <row r="2001" spans="1:103" ht="11.25" customHeight="1" x14ac:dyDescent="0.2">
      <c r="A2001" s="72">
        <v>172</v>
      </c>
      <c r="B2001" s="149">
        <v>11</v>
      </c>
      <c r="C2001" s="54" t="s">
        <v>326</v>
      </c>
      <c r="D2001" s="54"/>
      <c r="E2001" s="59"/>
      <c r="F2001" s="150" t="str">
        <f>HYPERLINK("http://www.sigmaaldrich.com/catalog/Lookup.do?N5=CAS+No.&amp;N3=mode+matchpartialmax&amp;N4=1421-86-9&amp;D7=0&amp;D10=&amp;N25=0&amp;N1=S_ID&amp;ST=RS&amp;F=PR","1421-86-9")</f>
        <v>1421-86-9</v>
      </c>
      <c r="G2001" s="151">
        <v>1421869</v>
      </c>
      <c r="H2001" s="55" t="s">
        <v>327</v>
      </c>
      <c r="I2001" s="55" t="s">
        <v>8301</v>
      </c>
      <c r="J2001" s="55" t="s">
        <v>328</v>
      </c>
      <c r="K2001" s="55"/>
      <c r="L2001" s="64"/>
      <c r="M2001" s="55"/>
      <c r="N2001" s="60"/>
      <c r="O2001" s="55"/>
      <c r="P2001" s="67"/>
      <c r="Q2001" s="67"/>
      <c r="R2001" s="67"/>
      <c r="S2001" s="67"/>
      <c r="T2001" s="59">
        <v>334.41</v>
      </c>
      <c r="U2001" s="153">
        <v>160</v>
      </c>
      <c r="V2001" s="153">
        <v>172.8</v>
      </c>
      <c r="W2001" s="153">
        <v>278.15012269444401</v>
      </c>
      <c r="X2001" s="153">
        <v>160</v>
      </c>
      <c r="Y2001" s="410">
        <v>9.65</v>
      </c>
      <c r="Z2001" s="59">
        <v>1.85</v>
      </c>
      <c r="AA2001" s="59">
        <v>1.93</v>
      </c>
      <c r="AB2001" s="59">
        <v>1.6</v>
      </c>
      <c r="AC2001" s="59">
        <v>0.88100000000000001</v>
      </c>
      <c r="AD2001" s="59">
        <v>1.62</v>
      </c>
      <c r="AE2001" s="59">
        <v>1.74</v>
      </c>
      <c r="AF2001" s="59">
        <f t="shared" si="559"/>
        <v>1.93</v>
      </c>
      <c r="AG2001" s="68">
        <v>2.93</v>
      </c>
      <c r="AH2001" s="103">
        <v>5.9600000000000006E-14</v>
      </c>
      <c r="AI2001" s="153"/>
      <c r="AJ2001" s="62">
        <f t="shared" si="551"/>
        <v>-11.613320066572415</v>
      </c>
      <c r="AK2001" s="62"/>
      <c r="AL2001" s="62">
        <f t="shared" si="546"/>
        <v>-11.613320066572415</v>
      </c>
      <c r="AM2001" s="62">
        <v>-17.42351</v>
      </c>
      <c r="AN2001" s="152">
        <v>-8.2200000000000006</v>
      </c>
      <c r="AO2001" s="410"/>
      <c r="AP2001" s="410">
        <v>8.3699999999999992</v>
      </c>
      <c r="AQ2001" s="152" t="s">
        <v>6311</v>
      </c>
      <c r="AR2001" s="152" t="s">
        <v>6316</v>
      </c>
      <c r="AS2001" s="149" t="s">
        <v>329</v>
      </c>
      <c r="AT2001" s="58" t="s">
        <v>266</v>
      </c>
      <c r="AU2001" s="155">
        <v>24</v>
      </c>
      <c r="AV2001" s="155">
        <v>120</v>
      </c>
      <c r="AW2001" s="155">
        <v>96</v>
      </c>
      <c r="AX2001" s="155">
        <v>28</v>
      </c>
      <c r="AY2001" s="155" t="s">
        <v>267</v>
      </c>
      <c r="AZ2001" s="155" t="s">
        <v>268</v>
      </c>
      <c r="BA2001" s="155">
        <v>48</v>
      </c>
      <c r="BB2001" s="55" t="s">
        <v>269</v>
      </c>
      <c r="BC2001" s="156" t="s">
        <v>270</v>
      </c>
      <c r="BD2001" s="156" t="s">
        <v>8374</v>
      </c>
      <c r="BE2001" s="155" t="s">
        <v>271</v>
      </c>
      <c r="BF2001" s="155" t="s">
        <v>272</v>
      </c>
      <c r="BG2001" s="155" t="s">
        <v>272</v>
      </c>
      <c r="BH2001" s="155" t="s">
        <v>272</v>
      </c>
      <c r="BI2001" s="153">
        <v>0.90169061935449091</v>
      </c>
      <c r="BJ2001" s="153">
        <v>901.69061935449076</v>
      </c>
      <c r="BK2001" s="56"/>
      <c r="BL2001" s="153"/>
      <c r="BM2001" s="56">
        <v>0</v>
      </c>
      <c r="BN2001" s="56"/>
      <c r="BO2001" s="56"/>
      <c r="BP2001" s="56"/>
      <c r="BQ2001" s="56"/>
      <c r="BR2001" s="56"/>
      <c r="BS2001" s="56"/>
      <c r="BT2001" s="56"/>
      <c r="BU2001" s="158"/>
      <c r="BV2001" s="56"/>
      <c r="BW2001" s="56"/>
      <c r="BX2001" s="56"/>
      <c r="BY2001" s="56"/>
      <c r="BZ2001" s="56">
        <v>150.48450000000003</v>
      </c>
      <c r="CA2001" s="56">
        <v>107.01120000000002</v>
      </c>
      <c r="CB2001" s="56">
        <v>20.064600000000002</v>
      </c>
      <c r="CC2001" s="56"/>
      <c r="CD2001" s="56"/>
      <c r="CE2001" s="56"/>
      <c r="CF2001" s="56"/>
      <c r="CG2001" s="56"/>
      <c r="CH2001" s="56"/>
      <c r="CI2001" s="103">
        <v>20.064600000000002</v>
      </c>
      <c r="CJ2001" s="103">
        <f t="shared" si="553"/>
        <v>1.302430506231615</v>
      </c>
      <c r="CK2001" s="57">
        <f t="shared" si="557"/>
        <v>0</v>
      </c>
      <c r="CL2001" s="160">
        <f t="shared" si="555"/>
        <v>0</v>
      </c>
      <c r="CM2001" s="160"/>
      <c r="CN2001" s="160"/>
      <c r="CO2001" s="55" t="s">
        <v>273</v>
      </c>
      <c r="CP2001" s="503" t="s">
        <v>274</v>
      </c>
      <c r="CQ2001" s="149" t="s">
        <v>272</v>
      </c>
      <c r="CR2001" s="349"/>
      <c r="CS2001" s="61" t="s">
        <v>539</v>
      </c>
      <c r="CT2001" s="61"/>
      <c r="CU2001" s="111">
        <f t="shared" si="556"/>
        <v>7.9742431944818231</v>
      </c>
      <c r="CV2001" s="331">
        <f t="shared" si="558"/>
        <v>0.17744445441224843</v>
      </c>
      <c r="CW2001" s="326">
        <f t="shared" si="554"/>
        <v>1</v>
      </c>
      <c r="CX2001" s="326"/>
      <c r="CY2001" s="161" t="s">
        <v>5921</v>
      </c>
    </row>
    <row r="2002" spans="1:103" ht="11.25" customHeight="1" x14ac:dyDescent="0.2">
      <c r="A2002" s="72">
        <v>201</v>
      </c>
      <c r="B2002" s="149">
        <v>5</v>
      </c>
      <c r="C2002" s="54" t="s">
        <v>296</v>
      </c>
      <c r="D2002" s="54"/>
      <c r="E2002" s="59"/>
      <c r="F2002" s="59" t="s">
        <v>297</v>
      </c>
      <c r="G2002" s="151">
        <v>3238606</v>
      </c>
      <c r="H2002" s="55" t="s">
        <v>298</v>
      </c>
      <c r="I2002" s="55" t="s">
        <v>298</v>
      </c>
      <c r="J2002" s="55" t="s">
        <v>299</v>
      </c>
      <c r="K2002" s="55" t="s">
        <v>300</v>
      </c>
      <c r="L2002" s="64"/>
      <c r="M2002" s="55"/>
      <c r="N2002" s="60"/>
      <c r="O2002" s="55"/>
      <c r="P2002" s="67"/>
      <c r="Q2002" s="67"/>
      <c r="R2002" s="67"/>
      <c r="S2002" s="67"/>
      <c r="T2002" s="59">
        <v>127.23</v>
      </c>
      <c r="U2002" s="153">
        <v>18000</v>
      </c>
      <c r="V2002" s="153">
        <v>5917</v>
      </c>
      <c r="W2002" s="153">
        <v>8406.0027390006417</v>
      </c>
      <c r="X2002" s="153">
        <v>18000</v>
      </c>
      <c r="Y2002" s="410">
        <v>11.71</v>
      </c>
      <c r="Z2002" s="74">
        <v>2.59</v>
      </c>
      <c r="AA2002" s="74"/>
      <c r="AB2002" s="74">
        <v>2.42</v>
      </c>
      <c r="AC2002" s="74">
        <v>0.7056</v>
      </c>
      <c r="AD2002" s="74">
        <v>2.4500000000000002</v>
      </c>
      <c r="AE2002" s="74">
        <v>2.4900000000000002</v>
      </c>
      <c r="AF2002" s="74">
        <f t="shared" si="559"/>
        <v>2.4500000000000002</v>
      </c>
      <c r="AG2002" s="68">
        <v>1.94</v>
      </c>
      <c r="AH2002" s="103">
        <v>4.0099999999999999E-5</v>
      </c>
      <c r="AI2002" s="153"/>
      <c r="AJ2002" s="62">
        <f t="shared" si="551"/>
        <v>-2.7854219536924694</v>
      </c>
      <c r="AK2002" s="62"/>
      <c r="AL2002" s="62">
        <f t="shared" si="546"/>
        <v>-2.7854219536924694</v>
      </c>
      <c r="AM2002" s="62">
        <v>-4.0968900000000001</v>
      </c>
      <c r="AN2002" s="152">
        <v>-3.32</v>
      </c>
      <c r="AO2002" s="410"/>
      <c r="AP2002" s="410">
        <v>10.63</v>
      </c>
      <c r="AQ2002" s="152" t="s">
        <v>6311</v>
      </c>
      <c r="AR2002" s="152" t="s">
        <v>6311</v>
      </c>
      <c r="AS2002" s="149" t="s">
        <v>301</v>
      </c>
      <c r="AT2002" s="58" t="s">
        <v>266</v>
      </c>
      <c r="AU2002" s="155">
        <v>24</v>
      </c>
      <c r="AV2002" s="155">
        <v>120</v>
      </c>
      <c r="AW2002" s="155">
        <v>96</v>
      </c>
      <c r="AX2002" s="155">
        <v>28</v>
      </c>
      <c r="AY2002" s="155" t="s">
        <v>267</v>
      </c>
      <c r="AZ2002" s="155" t="s">
        <v>268</v>
      </c>
      <c r="BA2002" s="155">
        <v>48</v>
      </c>
      <c r="BB2002" s="55" t="s">
        <v>269</v>
      </c>
      <c r="BC2002" s="156" t="s">
        <v>270</v>
      </c>
      <c r="BD2002" s="156" t="s">
        <v>8374</v>
      </c>
      <c r="BE2002" s="155" t="s">
        <v>271</v>
      </c>
      <c r="BF2002" s="155" t="s">
        <v>272</v>
      </c>
      <c r="BG2002" s="155" t="s">
        <v>272</v>
      </c>
      <c r="BH2002" s="155" t="s">
        <v>272</v>
      </c>
      <c r="BI2002" s="153">
        <v>1</v>
      </c>
      <c r="BJ2002" s="153">
        <v>1000</v>
      </c>
      <c r="BK2002" s="56"/>
      <c r="BL2002" s="153">
        <v>30.853932649882069</v>
      </c>
      <c r="BM2002" s="56">
        <v>0</v>
      </c>
      <c r="BN2002" s="56"/>
      <c r="BO2002" s="56"/>
      <c r="BP2002" s="56"/>
      <c r="BQ2002" s="56"/>
      <c r="BR2002" s="56"/>
      <c r="BS2002" s="56"/>
      <c r="BT2002" s="56"/>
      <c r="BU2002" s="158"/>
      <c r="BV2002" s="56"/>
      <c r="BW2002" s="56"/>
      <c r="BX2002" s="56"/>
      <c r="BY2002" s="56">
        <v>464.3895</v>
      </c>
      <c r="BZ2002" s="56">
        <v>309.16890000000001</v>
      </c>
      <c r="CA2002" s="56">
        <v>234.10320000000002</v>
      </c>
      <c r="CB2002" s="56">
        <v>54.7089</v>
      </c>
      <c r="CC2002" s="56"/>
      <c r="CD2002" s="56"/>
      <c r="CE2002" s="56"/>
      <c r="CF2002" s="56"/>
      <c r="CG2002" s="56"/>
      <c r="CH2002" s="56"/>
      <c r="CI2002" s="103">
        <v>54.7089</v>
      </c>
      <c r="CJ2002" s="103">
        <f t="shared" si="553"/>
        <v>1.7380579827589586</v>
      </c>
      <c r="CK2002" s="57">
        <f t="shared" si="557"/>
        <v>3.0853932649882069E-2</v>
      </c>
      <c r="CL2002" s="160">
        <f t="shared" si="555"/>
        <v>0.5639655092659891</v>
      </c>
      <c r="CM2002" s="160"/>
      <c r="CN2002" s="160"/>
      <c r="CO2002" s="55" t="s">
        <v>273</v>
      </c>
      <c r="CP2002" s="503" t="s">
        <v>274</v>
      </c>
      <c r="CQ2002" s="149" t="s">
        <v>272</v>
      </c>
      <c r="CR2002" s="349"/>
      <c r="CS2002" s="61" t="s">
        <v>539</v>
      </c>
      <c r="CT2002" s="61"/>
      <c r="CU2002" s="111">
        <f t="shared" si="556"/>
        <v>329.01410922171715</v>
      </c>
      <c r="CV2002" s="331">
        <f t="shared" si="558"/>
        <v>18</v>
      </c>
      <c r="CW2002" s="326">
        <f t="shared" si="554"/>
        <v>1</v>
      </c>
      <c r="CX2002" s="326"/>
      <c r="CY2002" s="161" t="s">
        <v>5921</v>
      </c>
    </row>
    <row r="2003" spans="1:103" ht="11.25" customHeight="1" x14ac:dyDescent="0.2">
      <c r="A2003" s="72">
        <v>205</v>
      </c>
      <c r="B2003" s="149">
        <v>29</v>
      </c>
      <c r="C2003" s="54" t="s">
        <v>397</v>
      </c>
      <c r="D2003" s="54"/>
      <c r="E2003" s="59"/>
      <c r="F2003" s="150" t="str">
        <f>HYPERLINK("http://www.sigmaaldrich.com/catalog/Lookup.do?N5=CAS+No.&amp;N3=mode+matchpartialmax&amp;N4=3810-74-0&amp;D7=0&amp;D10=&amp;N25=0&amp;N1=S_ID&amp;ST=RS&amp;F=PR","3810-74-0")</f>
        <v>3810-74-0</v>
      </c>
      <c r="G2003" s="151">
        <v>3810740</v>
      </c>
      <c r="H2003" s="55" t="s">
        <v>398</v>
      </c>
      <c r="I2003" s="55" t="s">
        <v>8304</v>
      </c>
      <c r="J2003" s="55"/>
      <c r="K2003" s="55" t="s">
        <v>399</v>
      </c>
      <c r="L2003" s="64"/>
      <c r="M2003" s="55"/>
      <c r="N2003" s="60"/>
      <c r="O2003" s="55"/>
      <c r="P2003" s="67"/>
      <c r="Q2003" s="67"/>
      <c r="R2003" s="67"/>
      <c r="S2003" s="67"/>
      <c r="T2003" s="59">
        <v>677.65</v>
      </c>
      <c r="U2003" s="153"/>
      <c r="V2003" s="153">
        <v>1000000</v>
      </c>
      <c r="W2003" s="153">
        <v>9795.0226064597755</v>
      </c>
      <c r="X2003" s="153">
        <v>9795.0226064597755</v>
      </c>
      <c r="Y2003" s="410">
        <v>9.85</v>
      </c>
      <c r="Z2003" s="59">
        <v>-11.83</v>
      </c>
      <c r="AA2003" s="59"/>
      <c r="AB2003" s="59">
        <v>-9.25</v>
      </c>
      <c r="AC2003" s="59">
        <v>3.6900000000000002E-2</v>
      </c>
      <c r="AD2003" s="59">
        <v>-3.28</v>
      </c>
      <c r="AE2003" s="59">
        <v>-1.97</v>
      </c>
      <c r="AF2003" s="59">
        <f t="shared" si="559"/>
        <v>-3.28</v>
      </c>
      <c r="AG2003" s="68">
        <v>-3.28</v>
      </c>
      <c r="AH2003" s="103">
        <v>8.9160000000000008E-37</v>
      </c>
      <c r="AI2003" s="153"/>
      <c r="AJ2003" s="62">
        <f t="shared" si="551"/>
        <v>-34.438396266504455</v>
      </c>
      <c r="AK2003" s="62"/>
      <c r="AL2003" s="62">
        <f t="shared" si="546"/>
        <v>-34.438396266504455</v>
      </c>
      <c r="AM2003" s="62">
        <v>-67.623559999999998</v>
      </c>
      <c r="AN2003" s="152"/>
      <c r="AO2003" s="410">
        <v>-4.45</v>
      </c>
      <c r="AP2003" s="410">
        <v>13.1</v>
      </c>
      <c r="AQ2003" s="152" t="s">
        <v>6311</v>
      </c>
      <c r="AR2003" s="152" t="s">
        <v>6311</v>
      </c>
      <c r="AS2003" s="149" t="s">
        <v>289</v>
      </c>
      <c r="AT2003" s="58" t="s">
        <v>266</v>
      </c>
      <c r="AU2003" s="155">
        <v>24</v>
      </c>
      <c r="AV2003" s="155">
        <v>120</v>
      </c>
      <c r="AW2003" s="155">
        <v>96</v>
      </c>
      <c r="AX2003" s="155">
        <v>28</v>
      </c>
      <c r="AY2003" s="155" t="s">
        <v>267</v>
      </c>
      <c r="AZ2003" s="155" t="s">
        <v>268</v>
      </c>
      <c r="BA2003" s="155">
        <v>48</v>
      </c>
      <c r="BB2003" s="55" t="s">
        <v>269</v>
      </c>
      <c r="BC2003" s="156" t="s">
        <v>270</v>
      </c>
      <c r="BD2003" s="156" t="s">
        <v>8374</v>
      </c>
      <c r="BE2003" s="155" t="s">
        <v>271</v>
      </c>
      <c r="BF2003" s="155" t="s">
        <v>272</v>
      </c>
      <c r="BG2003" s="155" t="s">
        <v>272</v>
      </c>
      <c r="BH2003" s="155" t="s">
        <v>272</v>
      </c>
      <c r="BI2003" s="153">
        <v>1</v>
      </c>
      <c r="BJ2003" s="153">
        <v>4000</v>
      </c>
      <c r="BK2003" s="56"/>
      <c r="BL2003" s="153">
        <v>1466656605898524.2</v>
      </c>
      <c r="BM2003" s="56">
        <v>0</v>
      </c>
      <c r="BN2003" s="56"/>
      <c r="BO2003" s="56"/>
      <c r="BP2003" s="56"/>
      <c r="BQ2003" s="56"/>
      <c r="BR2003" s="56"/>
      <c r="BS2003" s="56"/>
      <c r="BT2003" s="56"/>
      <c r="BU2003" s="158"/>
      <c r="BV2003" s="56"/>
      <c r="BW2003" s="56"/>
      <c r="BX2003" s="56"/>
      <c r="BY2003" s="56"/>
      <c r="BZ2003" s="56"/>
      <c r="CA2003" s="56"/>
      <c r="CB2003" s="56">
        <v>1470.5004999999999</v>
      </c>
      <c r="CC2003" s="56"/>
      <c r="CD2003" s="56"/>
      <c r="CE2003" s="56"/>
      <c r="CF2003" s="56"/>
      <c r="CG2003" s="56"/>
      <c r="CH2003" s="56"/>
      <c r="CI2003" s="103">
        <v>1470.5004999999999</v>
      </c>
      <c r="CJ2003" s="103">
        <f t="shared" si="553"/>
        <v>3.1674651765120472</v>
      </c>
      <c r="CK2003" s="57">
        <f t="shared" si="557"/>
        <v>366664151474.63104</v>
      </c>
      <c r="CL2003" s="160">
        <f t="shared" si="555"/>
        <v>997385996059.52148</v>
      </c>
      <c r="CM2003" s="160"/>
      <c r="CN2003" s="160"/>
      <c r="CO2003" s="55" t="s">
        <v>273</v>
      </c>
      <c r="CP2003" s="503" t="s">
        <v>274</v>
      </c>
      <c r="CQ2003" s="149" t="s">
        <v>272</v>
      </c>
      <c r="CR2003" s="349"/>
      <c r="CS2003" s="61" t="s">
        <v>539</v>
      </c>
      <c r="CT2003" s="61"/>
      <c r="CU2003" s="111">
        <f t="shared" si="556"/>
        <v>6.6610127684144116</v>
      </c>
      <c r="CV2003" s="331">
        <f t="shared" si="558"/>
        <v>2.448755651614944</v>
      </c>
      <c r="CW2003" s="326">
        <f t="shared" si="554"/>
        <v>1</v>
      </c>
      <c r="CX2003" s="326"/>
      <c r="CY2003" s="161" t="s">
        <v>5921</v>
      </c>
    </row>
    <row r="2004" spans="1:103" ht="11.25" customHeight="1" x14ac:dyDescent="0.2">
      <c r="A2004" s="72">
        <v>214</v>
      </c>
      <c r="B2004" s="149">
        <v>43</v>
      </c>
      <c r="C2004" s="54" t="s">
        <v>456</v>
      </c>
      <c r="D2004" s="54" t="s">
        <v>8552</v>
      </c>
      <c r="E2004" s="59"/>
      <c r="F2004" s="150" t="str">
        <f>HYPERLINK("http://www.sigmaaldrich.com/catalog/Lookup.do?N5=CAS+No.&amp;N3=mode+matchpartialmax&amp;N4=6055-19-2&amp;D7=0&amp;D10=&amp;N25=0&amp;N1=S_ID&amp;ST=RS&amp;F=PR","6055-19-2")</f>
        <v>6055-19-2</v>
      </c>
      <c r="G2004" s="151">
        <v>6055192</v>
      </c>
      <c r="H2004" s="55" t="s">
        <v>457</v>
      </c>
      <c r="I2004" s="55" t="s">
        <v>8247</v>
      </c>
      <c r="J2004" s="55" t="s">
        <v>458</v>
      </c>
      <c r="K2004" s="55"/>
      <c r="L2004" s="64" t="s">
        <v>279</v>
      </c>
      <c r="M2004" s="55" t="s">
        <v>459</v>
      </c>
      <c r="N2004" s="60"/>
      <c r="O2004" s="55" t="s">
        <v>281</v>
      </c>
      <c r="P2004" s="67"/>
      <c r="Q2004" s="67"/>
      <c r="R2004" s="67"/>
      <c r="S2004" s="67"/>
      <c r="T2004" s="56">
        <v>261.08999999999997</v>
      </c>
      <c r="U2004" s="153">
        <v>40000</v>
      </c>
      <c r="V2004" s="153">
        <v>5943</v>
      </c>
      <c r="W2004" s="153">
        <v>40438.053103185957</v>
      </c>
      <c r="X2004" s="153">
        <v>40000</v>
      </c>
      <c r="Y2004" s="410">
        <v>8.02</v>
      </c>
      <c r="Z2004" s="59">
        <v>0.97</v>
      </c>
      <c r="AA2004" s="59">
        <v>9.6300000000000008</v>
      </c>
      <c r="AB2004" s="59">
        <v>0.71</v>
      </c>
      <c r="AC2004" s="59">
        <v>0.69450000000000001</v>
      </c>
      <c r="AD2004" s="59">
        <v>0.53</v>
      </c>
      <c r="AE2004" s="59">
        <v>0.23</v>
      </c>
      <c r="AF2004" s="59">
        <f t="shared" si="559"/>
        <v>9.6300000000000008</v>
      </c>
      <c r="AG2004" s="57">
        <v>2.73</v>
      </c>
      <c r="AH2004" s="103">
        <v>1.36E-11</v>
      </c>
      <c r="AI2004" s="103"/>
      <c r="AJ2004" s="62">
        <f t="shared" si="551"/>
        <v>-9.2550274179424346</v>
      </c>
      <c r="AK2004" s="62"/>
      <c r="AL2004" s="62">
        <f t="shared" si="546"/>
        <v>-9.2550274179424346</v>
      </c>
      <c r="AM2004" s="62">
        <v>-13.003439999999999</v>
      </c>
      <c r="AN2004" s="152">
        <v>-18.399999999999999</v>
      </c>
      <c r="AO2004" s="410"/>
      <c r="AP2004" s="410">
        <v>2.84</v>
      </c>
      <c r="AQ2004" s="152" t="s">
        <v>6311</v>
      </c>
      <c r="AR2004" s="152" t="s">
        <v>6311</v>
      </c>
      <c r="AS2004" s="149" t="s">
        <v>460</v>
      </c>
      <c r="AT2004" s="58" t="s">
        <v>266</v>
      </c>
      <c r="AU2004" s="155">
        <v>24</v>
      </c>
      <c r="AV2004" s="155">
        <v>120</v>
      </c>
      <c r="AW2004" s="155">
        <v>96</v>
      </c>
      <c r="AX2004" s="155">
        <v>28</v>
      </c>
      <c r="AY2004" s="155" t="s">
        <v>267</v>
      </c>
      <c r="AZ2004" s="155" t="s">
        <v>268</v>
      </c>
      <c r="BA2004" s="155">
        <v>48</v>
      </c>
      <c r="BB2004" s="55" t="s">
        <v>269</v>
      </c>
      <c r="BC2004" s="156" t="s">
        <v>270</v>
      </c>
      <c r="BD2004" s="156" t="s">
        <v>8374</v>
      </c>
      <c r="BE2004" s="155" t="s">
        <v>271</v>
      </c>
      <c r="BF2004" s="155" t="s">
        <v>272</v>
      </c>
      <c r="BG2004" s="155" t="s">
        <v>272</v>
      </c>
      <c r="BH2004" s="155" t="s">
        <v>272</v>
      </c>
      <c r="BI2004" s="153">
        <v>1</v>
      </c>
      <c r="BJ2004" s="153">
        <v>16000</v>
      </c>
      <c r="BK2004" s="56"/>
      <c r="BL2004" s="153"/>
      <c r="BM2004" s="56">
        <v>0</v>
      </c>
      <c r="BN2004" s="56"/>
      <c r="BO2004" s="56"/>
      <c r="BP2004" s="56"/>
      <c r="BQ2004" s="56"/>
      <c r="BR2004" s="56"/>
      <c r="BS2004" s="56"/>
      <c r="BT2004" s="56"/>
      <c r="BU2004" s="158"/>
      <c r="BV2004" s="56"/>
      <c r="BW2004" s="56"/>
      <c r="BX2004" s="56"/>
      <c r="BY2004" s="56">
        <v>6508.9736999999996</v>
      </c>
      <c r="BZ2004" s="56">
        <v>4206.1598999999997</v>
      </c>
      <c r="CA2004" s="56">
        <v>3973.7897999999996</v>
      </c>
      <c r="CB2004" s="56">
        <v>1663.1433</v>
      </c>
      <c r="CC2004" s="56"/>
      <c r="CD2004" s="56"/>
      <c r="CE2004" s="56"/>
      <c r="CF2004" s="56"/>
      <c r="CG2004" s="56"/>
      <c r="CH2004" s="56"/>
      <c r="CI2004" s="103">
        <v>1663.1433</v>
      </c>
      <c r="CJ2004" s="103">
        <f t="shared" si="553"/>
        <v>3.2209296705773394</v>
      </c>
      <c r="CK2004" s="57">
        <f t="shared" si="557"/>
        <v>0</v>
      </c>
      <c r="CL2004" s="160">
        <f t="shared" si="555"/>
        <v>0</v>
      </c>
      <c r="CM2004" s="160"/>
      <c r="CN2004" s="160"/>
      <c r="CO2004" s="55" t="s">
        <v>273</v>
      </c>
      <c r="CP2004" s="503" t="s">
        <v>274</v>
      </c>
      <c r="CQ2004" s="149" t="s">
        <v>272</v>
      </c>
      <c r="CR2004" s="349"/>
      <c r="CS2004" s="61" t="s">
        <v>539</v>
      </c>
      <c r="CT2004" s="61"/>
      <c r="CU2004" s="111">
        <f t="shared" si="556"/>
        <v>24.050843965159228</v>
      </c>
      <c r="CV2004" s="331">
        <f t="shared" si="558"/>
        <v>2.5</v>
      </c>
      <c r="CW2004" s="326">
        <f t="shared" si="554"/>
        <v>1</v>
      </c>
      <c r="CX2004" s="326"/>
      <c r="CY2004" s="161" t="s">
        <v>5921</v>
      </c>
    </row>
    <row r="2005" spans="1:103" ht="11.25" customHeight="1" x14ac:dyDescent="0.2">
      <c r="A2005" s="72">
        <v>218</v>
      </c>
      <c r="B2005" s="149">
        <v>10</v>
      </c>
      <c r="C2005" s="54" t="s">
        <v>322</v>
      </c>
      <c r="D2005" s="54"/>
      <c r="E2005" s="59"/>
      <c r="F2005" s="150" t="str">
        <f>HYPERLINK("http://www.sigmaaldrich.com/catalog/Lookup.do?N5=CAS+No.&amp;N3=mode+matchpartialmax&amp;N4=6533-68-2&amp;D7=0&amp;D10=&amp;N25=0&amp;N1=S_ID&amp;ST=RS&amp;F=PR","6533-68-2")</f>
        <v>6533-68-2</v>
      </c>
      <c r="G2005" s="151">
        <v>6533682</v>
      </c>
      <c r="H2005" s="55" t="s">
        <v>323</v>
      </c>
      <c r="I2005" s="55" t="s">
        <v>8306</v>
      </c>
      <c r="J2005" s="55" t="s">
        <v>324</v>
      </c>
      <c r="K2005" s="55"/>
      <c r="L2005" s="64"/>
      <c r="M2005" s="55"/>
      <c r="N2005" s="60"/>
      <c r="O2005" s="55"/>
      <c r="P2005" s="67"/>
      <c r="Q2005" s="67"/>
      <c r="R2005" s="67"/>
      <c r="S2005" s="67"/>
      <c r="T2005" s="59">
        <v>303.35000000000002</v>
      </c>
      <c r="U2005" s="153"/>
      <c r="V2005" s="153">
        <v>55308.176753691987</v>
      </c>
      <c r="W2005" s="153">
        <v>2465.7213707837946</v>
      </c>
      <c r="X2005" s="153">
        <v>2465.7213707837946</v>
      </c>
      <c r="Y2005" s="410">
        <v>9.9600000000000009</v>
      </c>
      <c r="Z2005" s="69">
        <v>0.39</v>
      </c>
      <c r="AA2005" s="69"/>
      <c r="AB2005" s="69">
        <v>1.1599999999999999</v>
      </c>
      <c r="AC2005" s="69">
        <v>0.67379999999999995</v>
      </c>
      <c r="AD2005" s="69">
        <v>1.01</v>
      </c>
      <c r="AE2005" s="69">
        <v>0.76</v>
      </c>
      <c r="AF2005" s="69">
        <f t="shared" si="559"/>
        <v>1.01</v>
      </c>
      <c r="AG2005" s="68">
        <v>1.01</v>
      </c>
      <c r="AH2005" s="103">
        <v>3.3599999999999999E-16</v>
      </c>
      <c r="AI2005" s="153"/>
      <c r="AJ2005" s="62">
        <f t="shared" si="551"/>
        <v>-13.862227048922808</v>
      </c>
      <c r="AK2005" s="62"/>
      <c r="AL2005" s="62">
        <f t="shared" si="546"/>
        <v>-13.862227048922808</v>
      </c>
      <c r="AM2005" s="62">
        <v>-16.166260000000001</v>
      </c>
      <c r="AN2005" s="152"/>
      <c r="AO2005" s="410">
        <v>14.11</v>
      </c>
      <c r="AP2005" s="410">
        <v>8.01</v>
      </c>
      <c r="AQ2005" s="152" t="s">
        <v>6316</v>
      </c>
      <c r="AR2005" s="152" t="s">
        <v>6316</v>
      </c>
      <c r="AS2005" s="149" t="s">
        <v>325</v>
      </c>
      <c r="AT2005" s="58" t="s">
        <v>266</v>
      </c>
      <c r="AU2005" s="155">
        <v>24</v>
      </c>
      <c r="AV2005" s="155">
        <v>120</v>
      </c>
      <c r="AW2005" s="155">
        <v>96</v>
      </c>
      <c r="AX2005" s="155">
        <v>28</v>
      </c>
      <c r="AY2005" s="155" t="s">
        <v>267</v>
      </c>
      <c r="AZ2005" s="155" t="s">
        <v>268</v>
      </c>
      <c r="BA2005" s="155">
        <v>48</v>
      </c>
      <c r="BB2005" s="55" t="s">
        <v>269</v>
      </c>
      <c r="BC2005" s="156" t="s">
        <v>270</v>
      </c>
      <c r="BD2005" s="156" t="s">
        <v>8374</v>
      </c>
      <c r="BE2005" s="155" t="s">
        <v>271</v>
      </c>
      <c r="BF2005" s="155" t="s">
        <v>272</v>
      </c>
      <c r="BG2005" s="155" t="s">
        <v>272</v>
      </c>
      <c r="BH2005" s="155" t="s">
        <v>272</v>
      </c>
      <c r="BI2005" s="153">
        <v>0.69209007323583771</v>
      </c>
      <c r="BJ2005" s="153">
        <v>11073.441171773402</v>
      </c>
      <c r="BK2005" s="56"/>
      <c r="BL2005" s="153"/>
      <c r="BM2005" s="56">
        <v>0</v>
      </c>
      <c r="BN2005" s="56"/>
      <c r="BO2005" s="56"/>
      <c r="BP2005" s="56"/>
      <c r="BQ2005" s="56"/>
      <c r="BR2005" s="56"/>
      <c r="BS2005" s="56"/>
      <c r="BT2005" s="56"/>
      <c r="BU2005" s="158"/>
      <c r="BV2005" s="56"/>
      <c r="BW2005" s="56"/>
      <c r="BX2005" s="56"/>
      <c r="BY2005" s="56"/>
      <c r="BZ2005" s="56"/>
      <c r="CA2005" s="56"/>
      <c r="CB2005" s="56">
        <v>7935.6360000000004</v>
      </c>
      <c r="CC2005" s="56"/>
      <c r="CD2005" s="56"/>
      <c r="CE2005" s="56"/>
      <c r="CF2005" s="56"/>
      <c r="CG2005" s="56"/>
      <c r="CH2005" s="56"/>
      <c r="CI2005" s="103">
        <v>7935.6360000000004</v>
      </c>
      <c r="CJ2005" s="103">
        <f t="shared" si="553"/>
        <v>3.8995817389322966</v>
      </c>
      <c r="CK2005" s="57">
        <f t="shared" si="557"/>
        <v>0</v>
      </c>
      <c r="CL2005" s="160">
        <f t="shared" si="555"/>
        <v>0</v>
      </c>
      <c r="CM2005" s="160"/>
      <c r="CN2005" s="160"/>
      <c r="CO2005" s="55" t="s">
        <v>273</v>
      </c>
      <c r="CP2005" s="503" t="s">
        <v>274</v>
      </c>
      <c r="CQ2005" s="149" t="s">
        <v>272</v>
      </c>
      <c r="CR2005" s="349"/>
      <c r="CS2005" s="61" t="s">
        <v>539</v>
      </c>
      <c r="CT2005" s="61"/>
      <c r="CU2005" s="111">
        <f t="shared" si="556"/>
        <v>0.31071502911471677</v>
      </c>
      <c r="CV2005" s="331">
        <f t="shared" si="558"/>
        <v>0.22266983971242893</v>
      </c>
      <c r="CW2005" s="326">
        <f t="shared" si="554"/>
        <v>0</v>
      </c>
      <c r="CX2005" s="326"/>
      <c r="CY2005" s="161" t="s">
        <v>5921</v>
      </c>
    </row>
    <row r="2006" spans="1:103" ht="11.25" customHeight="1" x14ac:dyDescent="0.2">
      <c r="A2006" s="72">
        <v>221</v>
      </c>
      <c r="B2006" s="149">
        <v>13</v>
      </c>
      <c r="C2006" s="54" t="s">
        <v>335</v>
      </c>
      <c r="D2006" s="54"/>
      <c r="E2006" s="59"/>
      <c r="F2006" s="150" t="str">
        <f>HYPERLINK("http://www.sigmaaldrich.com/catalog/Lookup.do?N5=CAS+No.&amp;N3=mode+matchpartialmax&amp;N4=6989-98-6&amp;D7=0&amp;D10=&amp;N25=0&amp;N1=S_ID&amp;ST=RS&amp;F=PR","6989-98-6")</f>
        <v>6989-98-6</v>
      </c>
      <c r="G2006" s="151">
        <v>6989986</v>
      </c>
      <c r="H2006" s="55" t="s">
        <v>8404</v>
      </c>
      <c r="I2006" s="55" t="s">
        <v>8307</v>
      </c>
      <c r="J2006" s="55" t="s">
        <v>336</v>
      </c>
      <c r="K2006" s="55"/>
      <c r="L2006" s="64" t="s">
        <v>279</v>
      </c>
      <c r="M2006" s="55" t="s">
        <v>337</v>
      </c>
      <c r="N2006" s="60"/>
      <c r="O2006" s="55" t="s">
        <v>281</v>
      </c>
      <c r="P2006" s="67"/>
      <c r="Q2006" s="67"/>
      <c r="R2006" s="67"/>
      <c r="S2006" s="67"/>
      <c r="T2006" s="59">
        <v>771.72</v>
      </c>
      <c r="U2006" s="153"/>
      <c r="V2006" s="153">
        <v>2.869E-3</v>
      </c>
      <c r="W2006" s="153">
        <v>6272.7756593415843</v>
      </c>
      <c r="X2006" s="153">
        <v>6272.7756593415843</v>
      </c>
      <c r="Y2006" s="410">
        <v>9.9600000000000009</v>
      </c>
      <c r="Z2006" s="74">
        <v>6.04</v>
      </c>
      <c r="AA2006" s="74"/>
      <c r="AB2006" s="74">
        <v>0.23</v>
      </c>
      <c r="AC2006" s="74">
        <v>0.57450000000000001</v>
      </c>
      <c r="AD2006" s="74">
        <v>0.17</v>
      </c>
      <c r="AE2006" s="74">
        <v>0.08</v>
      </c>
      <c r="AF2006" s="74"/>
      <c r="AG2006" s="68">
        <v>2.08</v>
      </c>
      <c r="AH2006" s="103"/>
      <c r="AI2006" s="153"/>
      <c r="AJ2006" s="62"/>
      <c r="AK2006" s="62"/>
      <c r="AL2006" s="62"/>
      <c r="AM2006" s="62">
        <v>-25.080459999999999</v>
      </c>
      <c r="AN2006" s="152">
        <v>-28.9</v>
      </c>
      <c r="AO2006" s="410">
        <v>14.11</v>
      </c>
      <c r="AP2006" s="410">
        <v>8.01</v>
      </c>
      <c r="AQ2006" s="152" t="s">
        <v>6316</v>
      </c>
      <c r="AR2006" s="152" t="s">
        <v>6316</v>
      </c>
      <c r="AS2006" s="149" t="s">
        <v>301</v>
      </c>
      <c r="AT2006" s="58" t="s">
        <v>266</v>
      </c>
      <c r="AU2006" s="155">
        <v>24</v>
      </c>
      <c r="AV2006" s="155">
        <v>120</v>
      </c>
      <c r="AW2006" s="155">
        <v>96</v>
      </c>
      <c r="AX2006" s="155">
        <v>28</v>
      </c>
      <c r="AY2006" s="155" t="s">
        <v>267</v>
      </c>
      <c r="AZ2006" s="155" t="s">
        <v>268</v>
      </c>
      <c r="BA2006" s="155">
        <v>48</v>
      </c>
      <c r="BB2006" s="55" t="s">
        <v>269</v>
      </c>
      <c r="BC2006" s="156" t="s">
        <v>270</v>
      </c>
      <c r="BD2006" s="156" t="s">
        <v>8374</v>
      </c>
      <c r="BE2006" s="155" t="s">
        <v>271</v>
      </c>
      <c r="BF2006" s="155" t="s">
        <v>272</v>
      </c>
      <c r="BG2006" s="155" t="s">
        <v>272</v>
      </c>
      <c r="BH2006" s="155" t="s">
        <v>272</v>
      </c>
      <c r="BI2006" s="153">
        <v>1.1321352600308077</v>
      </c>
      <c r="BJ2006" s="153">
        <v>1132.1352600308078</v>
      </c>
      <c r="BK2006" s="56"/>
      <c r="BL2006" s="153"/>
      <c r="BM2006" s="56">
        <v>0</v>
      </c>
      <c r="BN2006" s="56"/>
      <c r="BO2006" s="56"/>
      <c r="BP2006" s="56"/>
      <c r="BQ2006" s="56"/>
      <c r="BR2006" s="56"/>
      <c r="BS2006" s="56"/>
      <c r="BT2006" s="56"/>
      <c r="BU2006" s="158"/>
      <c r="BV2006" s="56"/>
      <c r="BW2006" s="56"/>
      <c r="BX2006" s="56"/>
      <c r="BY2006" s="56">
        <v>4275.3288000000002</v>
      </c>
      <c r="BZ2006" s="56">
        <v>6775.7015999999994</v>
      </c>
      <c r="CA2006" s="56">
        <v>872.04359999999997</v>
      </c>
      <c r="CB2006" s="56">
        <v>470.74920000000003</v>
      </c>
      <c r="CC2006" s="56"/>
      <c r="CD2006" s="56"/>
      <c r="CE2006" s="56"/>
      <c r="CF2006" s="56"/>
      <c r="CG2006" s="56"/>
      <c r="CH2006" s="56"/>
      <c r="CI2006" s="103">
        <v>470.74920000000003</v>
      </c>
      <c r="CJ2006" s="103">
        <f t="shared" si="553"/>
        <v>2.6727895906411598</v>
      </c>
      <c r="CK2006" s="57">
        <f t="shared" si="557"/>
        <v>0</v>
      </c>
      <c r="CL2006" s="160">
        <f t="shared" si="555"/>
        <v>0</v>
      </c>
      <c r="CM2006" s="160"/>
      <c r="CN2006" s="160"/>
      <c r="CO2006" s="55" t="s">
        <v>273</v>
      </c>
      <c r="CP2006" s="503" t="s">
        <v>274</v>
      </c>
      <c r="CQ2006" s="149" t="s">
        <v>272</v>
      </c>
      <c r="CR2006" s="349"/>
      <c r="CS2006" s="61" t="s">
        <v>539</v>
      </c>
      <c r="CT2006" s="61"/>
      <c r="CU2006" s="111">
        <f t="shared" si="556"/>
        <v>13.325090428919653</v>
      </c>
      <c r="CV2006" s="331">
        <f t="shared" si="558"/>
        <v>5.5406592134325798</v>
      </c>
      <c r="CW2006" s="326">
        <f t="shared" si="554"/>
        <v>1</v>
      </c>
      <c r="CX2006" s="326"/>
      <c r="CY2006" s="161" t="s">
        <v>5921</v>
      </c>
    </row>
    <row r="2007" spans="1:103" ht="11.25" customHeight="1" x14ac:dyDescent="0.2">
      <c r="A2007" s="72">
        <v>222</v>
      </c>
      <c r="B2007" s="149">
        <v>27</v>
      </c>
      <c r="C2007" s="54" t="s">
        <v>391</v>
      </c>
      <c r="D2007" s="54"/>
      <c r="E2007" s="59"/>
      <c r="F2007" s="59" t="s">
        <v>392</v>
      </c>
      <c r="G2007" s="151">
        <v>7061543</v>
      </c>
      <c r="H2007" s="55" t="s">
        <v>393</v>
      </c>
      <c r="I2007" s="55" t="s">
        <v>8308</v>
      </c>
      <c r="J2007" s="55" t="s">
        <v>394</v>
      </c>
      <c r="K2007" s="55"/>
      <c r="L2007" s="64"/>
      <c r="M2007" s="55"/>
      <c r="N2007" s="60"/>
      <c r="O2007" s="55"/>
      <c r="P2007" s="67"/>
      <c r="Q2007" s="67"/>
      <c r="R2007" s="67"/>
      <c r="S2007" s="67"/>
      <c r="T2007" s="59">
        <v>436.41</v>
      </c>
      <c r="U2007" s="153"/>
      <c r="V2007" s="153">
        <v>1678</v>
      </c>
      <c r="W2007" s="153">
        <v>1819.2596764028904</v>
      </c>
      <c r="X2007" s="153">
        <v>1819.2596764028904</v>
      </c>
      <c r="Y2007" s="410">
        <v>4.66</v>
      </c>
      <c r="Z2007" s="59">
        <v>0.72</v>
      </c>
      <c r="AA2007" s="59"/>
      <c r="AB2007" s="59">
        <v>0.76</v>
      </c>
      <c r="AC2007" s="59">
        <v>0.63939999999999997</v>
      </c>
      <c r="AD2007" s="59">
        <v>0.63</v>
      </c>
      <c r="AE2007" s="59">
        <v>0.45</v>
      </c>
      <c r="AF2007" s="59">
        <f t="shared" ref="AF2007:AF2019" si="560">IF(AA2007=0,AD2007,AA2007)</f>
        <v>0.63</v>
      </c>
      <c r="AG2007" s="68">
        <v>0.63</v>
      </c>
      <c r="AH2007" s="103" t="s">
        <v>8405</v>
      </c>
      <c r="AI2007" s="153"/>
      <c r="AJ2007" s="62"/>
      <c r="AK2007" s="62"/>
      <c r="AL2007" s="62"/>
      <c r="AM2007" s="62">
        <v>-36.200230000000005</v>
      </c>
      <c r="AN2007" s="152"/>
      <c r="AO2007" s="410">
        <v>7.15</v>
      </c>
      <c r="AP2007" s="410"/>
      <c r="AQ2007" s="152" t="s">
        <v>6311</v>
      </c>
      <c r="AR2007" s="152" t="s">
        <v>6311</v>
      </c>
      <c r="AS2007" s="149" t="s">
        <v>301</v>
      </c>
      <c r="AT2007" s="58" t="s">
        <v>266</v>
      </c>
      <c r="AU2007" s="155">
        <v>24</v>
      </c>
      <c r="AV2007" s="155">
        <v>120</v>
      </c>
      <c r="AW2007" s="155">
        <v>96</v>
      </c>
      <c r="AX2007" s="155">
        <v>28</v>
      </c>
      <c r="AY2007" s="155" t="s">
        <v>267</v>
      </c>
      <c r="AZ2007" s="155" t="s">
        <v>268</v>
      </c>
      <c r="BA2007" s="155">
        <v>48</v>
      </c>
      <c r="BB2007" s="55" t="s">
        <v>269</v>
      </c>
      <c r="BC2007" s="156" t="s">
        <v>270</v>
      </c>
      <c r="BD2007" s="156" t="s">
        <v>8374</v>
      </c>
      <c r="BE2007" s="155" t="s">
        <v>271</v>
      </c>
      <c r="BF2007" s="155" t="s">
        <v>272</v>
      </c>
      <c r="BG2007" s="155" t="s">
        <v>272</v>
      </c>
      <c r="BH2007" s="155" t="s">
        <v>272</v>
      </c>
      <c r="BI2007" s="153">
        <v>0.92373634747269506</v>
      </c>
      <c r="BJ2007" s="153">
        <v>923.73634747269512</v>
      </c>
      <c r="BK2007" s="56"/>
      <c r="BL2007" s="153"/>
      <c r="BM2007" s="56">
        <v>0</v>
      </c>
      <c r="BN2007" s="56"/>
      <c r="BO2007" s="56"/>
      <c r="BP2007" s="56"/>
      <c r="BQ2007" s="56"/>
      <c r="BR2007" s="56"/>
      <c r="BS2007" s="56"/>
      <c r="BT2007" s="56"/>
      <c r="BU2007" s="158"/>
      <c r="BV2007" s="56"/>
      <c r="BW2007" s="56"/>
      <c r="BX2007" s="56"/>
      <c r="BY2007" s="56"/>
      <c r="BZ2007" s="56"/>
      <c r="CA2007" s="56">
        <v>1671.4503000000002</v>
      </c>
      <c r="CB2007" s="56">
        <v>733.16880000000003</v>
      </c>
      <c r="CC2007" s="56"/>
      <c r="CD2007" s="56"/>
      <c r="CE2007" s="56"/>
      <c r="CF2007" s="56"/>
      <c r="CG2007" s="56"/>
      <c r="CH2007" s="56"/>
      <c r="CI2007" s="103">
        <v>733.16880000000003</v>
      </c>
      <c r="CJ2007" s="103">
        <f t="shared" si="553"/>
        <v>2.8652039752807119</v>
      </c>
      <c r="CK2007" s="57">
        <f t="shared" si="557"/>
        <v>0</v>
      </c>
      <c r="CL2007" s="160">
        <f t="shared" si="555"/>
        <v>0</v>
      </c>
      <c r="CM2007" s="160"/>
      <c r="CN2007" s="160"/>
      <c r="CO2007" s="55" t="s">
        <v>273</v>
      </c>
      <c r="CP2007" s="503" t="s">
        <v>274</v>
      </c>
      <c r="CQ2007" s="149" t="s">
        <v>272</v>
      </c>
      <c r="CR2007" s="349"/>
      <c r="CS2007" s="61" t="s">
        <v>539</v>
      </c>
      <c r="CT2007" s="61"/>
      <c r="CU2007" s="111">
        <f t="shared" si="556"/>
        <v>2.481365377799615</v>
      </c>
      <c r="CV2007" s="331">
        <f t="shared" si="558"/>
        <v>1.9694577152672519</v>
      </c>
      <c r="CW2007" s="326">
        <f t="shared" si="554"/>
        <v>1</v>
      </c>
      <c r="CX2007" s="326"/>
      <c r="CY2007" s="161" t="s">
        <v>5921</v>
      </c>
    </row>
    <row r="2008" spans="1:103" ht="11.25" customHeight="1" x14ac:dyDescent="0.2">
      <c r="A2008" s="72">
        <v>225</v>
      </c>
      <c r="B2008" s="149">
        <v>37</v>
      </c>
      <c r="C2008" s="54" t="s">
        <v>431</v>
      </c>
      <c r="D2008" s="54"/>
      <c r="E2008" s="59"/>
      <c r="F2008" s="59" t="s">
        <v>432</v>
      </c>
      <c r="G2008" s="151">
        <v>9005656</v>
      </c>
      <c r="H2008" s="55" t="s">
        <v>433</v>
      </c>
      <c r="I2008" s="55" t="s">
        <v>8309</v>
      </c>
      <c r="J2008" s="55" t="s">
        <v>434</v>
      </c>
      <c r="K2008" s="55" t="s">
        <v>357</v>
      </c>
      <c r="L2008" s="64"/>
      <c r="M2008" s="55"/>
      <c r="N2008" s="60"/>
      <c r="O2008" s="55"/>
      <c r="P2008" s="67"/>
      <c r="Q2008" s="67"/>
      <c r="R2008" s="67"/>
      <c r="S2008" s="67"/>
      <c r="T2008" s="59">
        <v>1089.3900000000001</v>
      </c>
      <c r="U2008" s="153"/>
      <c r="V2008" s="103">
        <v>1.9990000000000001E-2</v>
      </c>
      <c r="W2008" s="103">
        <v>993535.48828593444</v>
      </c>
      <c r="X2008" s="103">
        <v>993535.48828593444</v>
      </c>
      <c r="Y2008" s="410">
        <v>6.83</v>
      </c>
      <c r="Z2008" s="59">
        <v>0.7</v>
      </c>
      <c r="AA2008" s="59"/>
      <c r="AB2008" s="59">
        <v>5.17</v>
      </c>
      <c r="AC2008" s="59">
        <v>0.57920000000000005</v>
      </c>
      <c r="AD2008" s="59">
        <v>3.56</v>
      </c>
      <c r="AE2008" s="59">
        <v>1.05</v>
      </c>
      <c r="AF2008" s="59">
        <f t="shared" si="560"/>
        <v>3.56</v>
      </c>
      <c r="AG2008" s="57">
        <v>5.19</v>
      </c>
      <c r="AH2008" s="103">
        <v>1.05E-39</v>
      </c>
      <c r="AI2008" s="103"/>
      <c r="AJ2008" s="62">
        <f t="shared" ref="AJ2008:AJ2015" si="561">LOG10(AH2008*1000/(0.08206*298.15))</f>
        <v>-37.367377027242711</v>
      </c>
      <c r="AK2008" s="62"/>
      <c r="AL2008" s="62">
        <f t="shared" ref="AL2008:AL2015" si="562">IF(AK2008=0,AJ2008,AK2008)</f>
        <v>-37.367377027242711</v>
      </c>
      <c r="AM2008" s="62">
        <v>-46.398559999999996</v>
      </c>
      <c r="AN2008" s="154">
        <v>-17.2</v>
      </c>
      <c r="AO2008" s="410">
        <v>13.88</v>
      </c>
      <c r="AP2008" s="410"/>
      <c r="AQ2008" s="154" t="s">
        <v>6311</v>
      </c>
      <c r="AR2008" s="154" t="s">
        <v>6312</v>
      </c>
      <c r="AS2008" s="149" t="s">
        <v>301</v>
      </c>
      <c r="AT2008" s="58" t="s">
        <v>266</v>
      </c>
      <c r="AU2008" s="155">
        <v>24</v>
      </c>
      <c r="AV2008" s="155">
        <v>120</v>
      </c>
      <c r="AW2008" s="155">
        <v>96</v>
      </c>
      <c r="AX2008" s="155">
        <v>28</v>
      </c>
      <c r="AY2008" s="155" t="s">
        <v>267</v>
      </c>
      <c r="AZ2008" s="155" t="s">
        <v>268</v>
      </c>
      <c r="BA2008" s="155">
        <v>48</v>
      </c>
      <c r="BB2008" s="55" t="s">
        <v>269</v>
      </c>
      <c r="BC2008" s="156" t="s">
        <v>270</v>
      </c>
      <c r="BD2008" s="156" t="s">
        <v>8374</v>
      </c>
      <c r="BE2008" s="155" t="s">
        <v>271</v>
      </c>
      <c r="BF2008" s="155" t="s">
        <v>272</v>
      </c>
      <c r="BG2008" s="155" t="s">
        <v>272</v>
      </c>
      <c r="BH2008" s="155" t="s">
        <v>272</v>
      </c>
      <c r="BI2008" s="153">
        <v>0.83159541984732832</v>
      </c>
      <c r="BJ2008" s="153">
        <v>831.59541984732834</v>
      </c>
      <c r="BK2008" s="56"/>
      <c r="BL2008" s="153">
        <v>13161.742332788996</v>
      </c>
      <c r="BM2008" s="56">
        <v>0</v>
      </c>
      <c r="BN2008" s="56"/>
      <c r="BO2008" s="56"/>
      <c r="BP2008" s="56"/>
      <c r="BQ2008" s="56"/>
      <c r="BR2008" s="56"/>
      <c r="BS2008" s="56"/>
      <c r="BT2008" s="56"/>
      <c r="BU2008" s="158"/>
      <c r="BV2008" s="56"/>
      <c r="BW2008" s="56"/>
      <c r="BX2008" s="56"/>
      <c r="BY2008" s="56">
        <v>599.16450000000009</v>
      </c>
      <c r="BZ2008" s="56">
        <v>599.16450000000009</v>
      </c>
      <c r="CA2008" s="56">
        <v>577.37670000000003</v>
      </c>
      <c r="CB2008" s="56">
        <v>272.34750000000003</v>
      </c>
      <c r="CC2008" s="56"/>
      <c r="CD2008" s="56"/>
      <c r="CE2008" s="56"/>
      <c r="CF2008" s="56"/>
      <c r="CG2008" s="56"/>
      <c r="CH2008" s="56"/>
      <c r="CI2008" s="103">
        <v>272.34750000000003</v>
      </c>
      <c r="CJ2008" s="103">
        <f t="shared" si="553"/>
        <v>2.4351233930433791</v>
      </c>
      <c r="CK2008" s="57">
        <f t="shared" si="557"/>
        <v>15.827098152134297</v>
      </c>
      <c r="CL2008" s="160">
        <f t="shared" si="555"/>
        <v>48.327017258425336</v>
      </c>
      <c r="CM2008" s="160"/>
      <c r="CN2008" s="160"/>
      <c r="CO2008" s="55" t="s">
        <v>273</v>
      </c>
      <c r="CP2008" s="503" t="s">
        <v>274</v>
      </c>
      <c r="CQ2008" s="149" t="s">
        <v>272</v>
      </c>
      <c r="CR2008" s="349"/>
      <c r="CS2008" s="61" t="s">
        <v>539</v>
      </c>
      <c r="CT2008" s="61"/>
      <c r="CU2008" s="111">
        <f t="shared" si="556"/>
        <v>3648.0433574236386</v>
      </c>
      <c r="CV2008" s="331">
        <f t="shared" si="558"/>
        <v>1194.7341995562415</v>
      </c>
      <c r="CW2008" s="326">
        <f t="shared" si="554"/>
        <v>1</v>
      </c>
      <c r="CX2008" s="326"/>
      <c r="CY2008" s="161" t="s">
        <v>6351</v>
      </c>
    </row>
    <row r="2009" spans="1:103" ht="11.25" customHeight="1" x14ac:dyDescent="0.2">
      <c r="A2009" s="72">
        <v>226</v>
      </c>
      <c r="B2009" s="149">
        <v>24</v>
      </c>
      <c r="C2009" s="54" t="s">
        <v>381</v>
      </c>
      <c r="D2009" s="54"/>
      <c r="E2009" s="59"/>
      <c r="F2009" s="59" t="s">
        <v>382</v>
      </c>
      <c r="G2009" s="151">
        <v>10236472</v>
      </c>
      <c r="H2009" s="55" t="s">
        <v>383</v>
      </c>
      <c r="I2009" s="55" t="s">
        <v>8310</v>
      </c>
      <c r="J2009" s="55" t="s">
        <v>384</v>
      </c>
      <c r="K2009" s="55" t="s">
        <v>376</v>
      </c>
      <c r="L2009" s="64"/>
      <c r="M2009" s="55"/>
      <c r="N2009" s="60"/>
      <c r="O2009" s="55"/>
      <c r="P2009" s="67"/>
      <c r="Q2009" s="67"/>
      <c r="R2009" s="67"/>
      <c r="S2009" s="67"/>
      <c r="T2009" s="59">
        <v>580.53</v>
      </c>
      <c r="U2009" s="153">
        <v>1000</v>
      </c>
      <c r="V2009" s="153">
        <v>1946</v>
      </c>
      <c r="W2009" s="153">
        <v>23.111315572142125</v>
      </c>
      <c r="X2009" s="153">
        <v>1000</v>
      </c>
      <c r="Y2009" s="410">
        <v>5.79</v>
      </c>
      <c r="Z2009" s="59">
        <v>-0.52</v>
      </c>
      <c r="AA2009" s="59">
        <v>-0.44</v>
      </c>
      <c r="AB2009" s="59">
        <v>-0.28000000000000003</v>
      </c>
      <c r="AC2009" s="59">
        <v>0.82450000000000001</v>
      </c>
      <c r="AD2009" s="59">
        <v>0.39</v>
      </c>
      <c r="AE2009" s="59">
        <v>2.73</v>
      </c>
      <c r="AF2009" s="59">
        <f t="shared" si="560"/>
        <v>-0.44</v>
      </c>
      <c r="AG2009" s="57">
        <v>0.39</v>
      </c>
      <c r="AH2009" s="103">
        <v>7.5599999999999997E-32</v>
      </c>
      <c r="AI2009" s="103"/>
      <c r="AJ2009" s="62">
        <f t="shared" si="561"/>
        <v>-29.510044530811445</v>
      </c>
      <c r="AK2009" s="62"/>
      <c r="AL2009" s="62">
        <f t="shared" si="562"/>
        <v>-29.510044530811445</v>
      </c>
      <c r="AM2009" s="62">
        <v>-44.709600000000002</v>
      </c>
      <c r="AN2009" s="154"/>
      <c r="AO2009" s="410">
        <v>7.17</v>
      </c>
      <c r="AP2009" s="410"/>
      <c r="AQ2009" s="154" t="s">
        <v>6311</v>
      </c>
      <c r="AR2009" s="154" t="s">
        <v>6311</v>
      </c>
      <c r="AS2009" s="149" t="s">
        <v>282</v>
      </c>
      <c r="AT2009" s="58" t="s">
        <v>266</v>
      </c>
      <c r="AU2009" s="155">
        <v>24</v>
      </c>
      <c r="AV2009" s="155">
        <v>120</v>
      </c>
      <c r="AW2009" s="155">
        <v>96</v>
      </c>
      <c r="AX2009" s="155">
        <v>28</v>
      </c>
      <c r="AY2009" s="155" t="s">
        <v>267</v>
      </c>
      <c r="AZ2009" s="155" t="s">
        <v>268</v>
      </c>
      <c r="BA2009" s="155">
        <v>48</v>
      </c>
      <c r="BB2009" s="55" t="s">
        <v>269</v>
      </c>
      <c r="BC2009" s="156" t="s">
        <v>270</v>
      </c>
      <c r="BD2009" s="156" t="s">
        <v>8374</v>
      </c>
      <c r="BE2009" s="155" t="s">
        <v>271</v>
      </c>
      <c r="BF2009" s="155" t="s">
        <v>272</v>
      </c>
      <c r="BG2009" s="155" t="s">
        <v>272</v>
      </c>
      <c r="BH2009" s="155" t="s">
        <v>272</v>
      </c>
      <c r="BI2009" s="153">
        <v>1</v>
      </c>
      <c r="BJ2009" s="153">
        <v>1000</v>
      </c>
      <c r="BK2009" s="56"/>
      <c r="BL2009" s="153">
        <v>87425.206673043867</v>
      </c>
      <c r="BM2009" s="56">
        <v>0</v>
      </c>
      <c r="BN2009" s="56"/>
      <c r="BO2009" s="56"/>
      <c r="BP2009" s="56"/>
      <c r="BQ2009" s="56"/>
      <c r="BR2009" s="56"/>
      <c r="BS2009" s="56"/>
      <c r="BT2009" s="56"/>
      <c r="BU2009" s="158"/>
      <c r="BV2009" s="56"/>
      <c r="BW2009" s="56"/>
      <c r="BX2009" s="56"/>
      <c r="BY2009" s="56"/>
      <c r="BZ2009" s="56"/>
      <c r="CA2009" s="56">
        <v>359.92859999999996</v>
      </c>
      <c r="CB2009" s="56">
        <v>847.57379999999989</v>
      </c>
      <c r="CC2009" s="56"/>
      <c r="CD2009" s="56"/>
      <c r="CE2009" s="56"/>
      <c r="CF2009" s="56"/>
      <c r="CG2009" s="56"/>
      <c r="CH2009" s="56"/>
      <c r="CI2009" s="103">
        <v>359.92859999999996</v>
      </c>
      <c r="CJ2009" s="103">
        <f t="shared" si="553"/>
        <v>2.5562163571521856</v>
      </c>
      <c r="CK2009" s="57">
        <f t="shared" si="557"/>
        <v>87.425206673043874</v>
      </c>
      <c r="CL2009" s="160">
        <f t="shared" si="555"/>
        <v>242.89597068152926</v>
      </c>
      <c r="CM2009" s="160"/>
      <c r="CN2009" s="160"/>
      <c r="CO2009" s="55" t="s">
        <v>273</v>
      </c>
      <c r="CP2009" s="503" t="s">
        <v>274</v>
      </c>
      <c r="CQ2009" s="149" t="s">
        <v>272</v>
      </c>
      <c r="CR2009" s="349"/>
      <c r="CS2009" s="61" t="s">
        <v>539</v>
      </c>
      <c r="CT2009" s="61"/>
      <c r="CU2009" s="111">
        <f t="shared" si="556"/>
        <v>2.7783288129923549</v>
      </c>
      <c r="CV2009" s="331">
        <f t="shared" si="558"/>
        <v>1</v>
      </c>
      <c r="CW2009" s="326">
        <f t="shared" si="554"/>
        <v>1</v>
      </c>
      <c r="CX2009" s="326"/>
      <c r="CY2009" s="161" t="s">
        <v>5921</v>
      </c>
    </row>
    <row r="2010" spans="1:103" ht="11.25" customHeight="1" x14ac:dyDescent="0.2">
      <c r="A2010" s="72">
        <v>227</v>
      </c>
      <c r="B2010" s="149">
        <v>26</v>
      </c>
      <c r="C2010" s="54" t="s">
        <v>388</v>
      </c>
      <c r="D2010" s="54"/>
      <c r="E2010" s="59"/>
      <c r="F2010" s="150" t="str">
        <f>HYPERLINK("http://www.sigmaaldrich.com/catalog/Lookup.do?N5=CAS+No.&amp;N3=mode+matchpartialmax&amp;N4=11018-89-6&amp;D7=0&amp;D10=&amp;N25=0&amp;N1=S_ID&amp;ST=RS&amp;F=PR","11018-89-6")</f>
        <v>11018-89-6</v>
      </c>
      <c r="G2010" s="151">
        <v>11018896</v>
      </c>
      <c r="H2010" s="55" t="s">
        <v>389</v>
      </c>
      <c r="I2010" s="55" t="s">
        <v>8311</v>
      </c>
      <c r="J2010" s="55" t="s">
        <v>390</v>
      </c>
      <c r="K2010" s="55" t="s">
        <v>361</v>
      </c>
      <c r="L2010" s="64"/>
      <c r="M2010" s="55"/>
      <c r="N2010" s="60"/>
      <c r="O2010" s="55"/>
      <c r="P2010" s="67"/>
      <c r="Q2010" s="67"/>
      <c r="R2010" s="67"/>
      <c r="S2010" s="67"/>
      <c r="T2010" s="59">
        <v>584.65</v>
      </c>
      <c r="U2010" s="153">
        <v>13300.000000000002</v>
      </c>
      <c r="V2010" s="153">
        <v>10340</v>
      </c>
      <c r="W2010" s="153">
        <v>558.33641541743225</v>
      </c>
      <c r="X2010" s="153">
        <v>13300.000000000002</v>
      </c>
      <c r="Y2010" s="410">
        <v>7</v>
      </c>
      <c r="Z2010" s="59">
        <v>-2.83</v>
      </c>
      <c r="AA2010" s="59">
        <v>-2</v>
      </c>
      <c r="AB2010" s="59">
        <v>-1.56</v>
      </c>
      <c r="AC2010" s="59">
        <v>0.7994</v>
      </c>
      <c r="AD2010" s="59">
        <v>-1.58</v>
      </c>
      <c r="AE2010" s="59">
        <v>-1.64</v>
      </c>
      <c r="AF2010" s="59">
        <f t="shared" si="560"/>
        <v>-2</v>
      </c>
      <c r="AG2010" s="57">
        <v>-1.58</v>
      </c>
      <c r="AH2010" s="103">
        <v>1.7700000000000001E-22</v>
      </c>
      <c r="AI2010" s="103"/>
      <c r="AJ2010" s="62">
        <f t="shared" si="561"/>
        <v>-20.140593059950845</v>
      </c>
      <c r="AK2010" s="62"/>
      <c r="AL2010" s="62">
        <f t="shared" si="562"/>
        <v>-20.140593059950845</v>
      </c>
      <c r="AM2010" s="62">
        <v>-44.8</v>
      </c>
      <c r="AN2010" s="154"/>
      <c r="AO2010" s="410">
        <v>13.04</v>
      </c>
      <c r="AP2010" s="410"/>
      <c r="AQ2010" s="154" t="s">
        <v>6311</v>
      </c>
      <c r="AR2010" s="154" t="s">
        <v>6311</v>
      </c>
      <c r="AS2010" s="149" t="s">
        <v>282</v>
      </c>
      <c r="AT2010" s="58" t="s">
        <v>266</v>
      </c>
      <c r="AU2010" s="155">
        <v>24</v>
      </c>
      <c r="AV2010" s="155">
        <v>120</v>
      </c>
      <c r="AW2010" s="155">
        <v>96</v>
      </c>
      <c r="AX2010" s="155">
        <v>28</v>
      </c>
      <c r="AY2010" s="155" t="s">
        <v>267</v>
      </c>
      <c r="AZ2010" s="155" t="s">
        <v>268</v>
      </c>
      <c r="BA2010" s="155">
        <v>48</v>
      </c>
      <c r="BB2010" s="55" t="s">
        <v>269</v>
      </c>
      <c r="BC2010" s="156" t="s">
        <v>270</v>
      </c>
      <c r="BD2010" s="156" t="s">
        <v>8374</v>
      </c>
      <c r="BE2010" s="155" t="s">
        <v>271</v>
      </c>
      <c r="BF2010" s="155" t="s">
        <v>272</v>
      </c>
      <c r="BG2010" s="155" t="s">
        <v>272</v>
      </c>
      <c r="BH2010" s="155" t="s">
        <v>272</v>
      </c>
      <c r="BI2010" s="153">
        <v>1.0000171045429664</v>
      </c>
      <c r="BJ2010" s="153">
        <v>1000.0171045429666</v>
      </c>
      <c r="BK2010" s="56"/>
      <c r="BL2010" s="153">
        <v>10454877.63170003</v>
      </c>
      <c r="BM2010" s="56">
        <v>0</v>
      </c>
      <c r="BN2010" s="56"/>
      <c r="BO2010" s="56"/>
      <c r="BP2010" s="56"/>
      <c r="BQ2010" s="56"/>
      <c r="BR2010" s="56"/>
      <c r="BS2010" s="56"/>
      <c r="BT2010" s="56"/>
      <c r="BU2010" s="158"/>
      <c r="BV2010" s="56"/>
      <c r="BW2010" s="56"/>
      <c r="BX2010" s="56"/>
      <c r="BY2010" s="56"/>
      <c r="BZ2010" s="56">
        <v>1192.6859999999999</v>
      </c>
      <c r="CA2010" s="56">
        <v>321.5575</v>
      </c>
      <c r="CB2010" s="56">
        <v>146.16249999999999</v>
      </c>
      <c r="CC2010" s="56"/>
      <c r="CD2010" s="56"/>
      <c r="CE2010" s="56"/>
      <c r="CF2010" s="56"/>
      <c r="CG2010" s="56"/>
      <c r="CH2010" s="56"/>
      <c r="CI2010" s="103">
        <v>146.16249999999999</v>
      </c>
      <c r="CJ2010" s="103">
        <f t="shared" si="553"/>
        <v>2.1648359626895783</v>
      </c>
      <c r="CK2010" s="57">
        <f t="shared" si="557"/>
        <v>10454.69880885505</v>
      </c>
      <c r="CL2010" s="160">
        <f t="shared" si="555"/>
        <v>71529.137991619122</v>
      </c>
      <c r="CM2010" s="160"/>
      <c r="CN2010" s="160"/>
      <c r="CO2010" s="55" t="s">
        <v>273</v>
      </c>
      <c r="CP2010" s="503" t="s">
        <v>274</v>
      </c>
      <c r="CQ2010" s="149" t="s">
        <v>272</v>
      </c>
      <c r="CR2010" s="349"/>
      <c r="CS2010" s="61" t="s">
        <v>539</v>
      </c>
      <c r="CT2010" s="61"/>
      <c r="CU2010" s="111">
        <f t="shared" si="556"/>
        <v>90.994612161122049</v>
      </c>
      <c r="CV2010" s="331">
        <f t="shared" si="558"/>
        <v>13.299772513469598</v>
      </c>
      <c r="CW2010" s="326">
        <f t="shared" si="554"/>
        <v>1</v>
      </c>
      <c r="CX2010" s="326"/>
      <c r="CY2010" s="161" t="s">
        <v>5921</v>
      </c>
    </row>
    <row r="2011" spans="1:103" ht="11.25" customHeight="1" x14ac:dyDescent="0.2">
      <c r="A2011" s="72">
        <v>229</v>
      </c>
      <c r="B2011" s="149">
        <v>25</v>
      </c>
      <c r="C2011" s="54" t="s">
        <v>385</v>
      </c>
      <c r="D2011" s="54"/>
      <c r="E2011" s="59"/>
      <c r="F2011" s="150" t="str">
        <f>HYPERLINK("http://www.sigmaaldrich.com/catalog/Lookup.do?N5=CAS+No.&amp;N3=mode+matchpartialmax&amp;N4=13241-33-3&amp;D7=0&amp;D10=&amp;N25=0&amp;N1=S_ID&amp;ST=RS&amp;F=PR","13241-33-3")</f>
        <v>13241-33-3</v>
      </c>
      <c r="G2011" s="151">
        <v>13241333</v>
      </c>
      <c r="H2011" s="55" t="s">
        <v>386</v>
      </c>
      <c r="I2011" s="55" t="s">
        <v>8312</v>
      </c>
      <c r="J2011" s="55" t="s">
        <v>387</v>
      </c>
      <c r="K2011" s="55" t="s">
        <v>376</v>
      </c>
      <c r="L2011" s="64"/>
      <c r="M2011" s="55"/>
      <c r="N2011" s="60"/>
      <c r="O2011" s="55"/>
      <c r="P2011" s="67"/>
      <c r="Q2011" s="67"/>
      <c r="R2011" s="67"/>
      <c r="S2011" s="67"/>
      <c r="T2011" s="59">
        <v>610.55999999999995</v>
      </c>
      <c r="U2011" s="153"/>
      <c r="V2011" s="153">
        <v>2041</v>
      </c>
      <c r="W2011" s="153">
        <v>26.045239099950017</v>
      </c>
      <c r="X2011" s="153">
        <v>26.045239099950017</v>
      </c>
      <c r="Y2011" s="410">
        <v>5.76</v>
      </c>
      <c r="Z2011" s="59">
        <v>-0.69</v>
      </c>
      <c r="AA2011" s="59"/>
      <c r="AB2011" s="59">
        <v>-0.39</v>
      </c>
      <c r="AC2011" s="59">
        <v>0.72440000000000004</v>
      </c>
      <c r="AD2011" s="59">
        <v>0.47</v>
      </c>
      <c r="AE2011" s="59">
        <v>2.44</v>
      </c>
      <c r="AF2011" s="59">
        <f t="shared" si="560"/>
        <v>0.47</v>
      </c>
      <c r="AG2011" s="68">
        <v>0.47</v>
      </c>
      <c r="AH2011" s="103">
        <v>4.47E-33</v>
      </c>
      <c r="AI2011" s="153"/>
      <c r="AJ2011" s="62">
        <f t="shared" si="561"/>
        <v>-30.738258803180717</v>
      </c>
      <c r="AK2011" s="62"/>
      <c r="AL2011" s="62">
        <f t="shared" si="562"/>
        <v>-30.738258803180717</v>
      </c>
      <c r="AM2011" s="62">
        <v>-44.547989999999999</v>
      </c>
      <c r="AN2011" s="152"/>
      <c r="AO2011" s="410">
        <v>7.14</v>
      </c>
      <c r="AP2011" s="410"/>
      <c r="AQ2011" s="152" t="s">
        <v>6311</v>
      </c>
      <c r="AR2011" s="152" t="s">
        <v>6311</v>
      </c>
      <c r="AS2011" s="149" t="s">
        <v>301</v>
      </c>
      <c r="AT2011" s="58" t="s">
        <v>266</v>
      </c>
      <c r="AU2011" s="155">
        <v>24</v>
      </c>
      <c r="AV2011" s="155">
        <v>120</v>
      </c>
      <c r="AW2011" s="155">
        <v>96</v>
      </c>
      <c r="AX2011" s="155">
        <v>28</v>
      </c>
      <c r="AY2011" s="155" t="s">
        <v>267</v>
      </c>
      <c r="AZ2011" s="155" t="s">
        <v>268</v>
      </c>
      <c r="BA2011" s="155">
        <v>48</v>
      </c>
      <c r="BB2011" s="55" t="s">
        <v>269</v>
      </c>
      <c r="BC2011" s="156" t="s">
        <v>270</v>
      </c>
      <c r="BD2011" s="156" t="s">
        <v>8374</v>
      </c>
      <c r="BE2011" s="155" t="s">
        <v>271</v>
      </c>
      <c r="BF2011" s="155" t="s">
        <v>272</v>
      </c>
      <c r="BG2011" s="155" t="s">
        <v>272</v>
      </c>
      <c r="BH2011" s="155" t="s">
        <v>272</v>
      </c>
      <c r="BI2011" s="153">
        <v>1</v>
      </c>
      <c r="BJ2011" s="153">
        <v>1000</v>
      </c>
      <c r="BK2011" s="56"/>
      <c r="BL2011" s="153">
        <v>130682.47430436028</v>
      </c>
      <c r="BM2011" s="56">
        <v>0</v>
      </c>
      <c r="BN2011" s="56"/>
      <c r="BO2011" s="56"/>
      <c r="BP2011" s="56"/>
      <c r="BQ2011" s="56"/>
      <c r="BR2011" s="56"/>
      <c r="BS2011" s="56"/>
      <c r="BT2011" s="56"/>
      <c r="BU2011" s="158"/>
      <c r="BV2011" s="56"/>
      <c r="BW2011" s="56"/>
      <c r="BX2011" s="56"/>
      <c r="BY2011" s="56"/>
      <c r="BZ2011" s="56"/>
      <c r="CA2011" s="56">
        <v>164.85120000000001</v>
      </c>
      <c r="CB2011" s="56">
        <v>201.48479999999998</v>
      </c>
      <c r="CC2011" s="56"/>
      <c r="CD2011" s="56"/>
      <c r="CE2011" s="56"/>
      <c r="CF2011" s="56"/>
      <c r="CG2011" s="56"/>
      <c r="CH2011" s="56"/>
      <c r="CI2011" s="103">
        <v>164.85120000000001</v>
      </c>
      <c r="CJ2011" s="103">
        <f t="shared" si="553"/>
        <v>2.2170921128469696</v>
      </c>
      <c r="CK2011" s="57">
        <f t="shared" si="557"/>
        <v>130.68247430436028</v>
      </c>
      <c r="CL2011" s="160">
        <f t="shared" si="555"/>
        <v>792.72989401569578</v>
      </c>
      <c r="CM2011" s="160"/>
      <c r="CN2011" s="160"/>
      <c r="CO2011" s="55" t="s">
        <v>273</v>
      </c>
      <c r="CP2011" s="503" t="s">
        <v>274</v>
      </c>
      <c r="CQ2011" s="149" t="s">
        <v>272</v>
      </c>
      <c r="CR2011" s="349"/>
      <c r="CS2011" s="61" t="s">
        <v>539</v>
      </c>
      <c r="CT2011" s="61"/>
      <c r="CU2011" s="111">
        <f t="shared" si="556"/>
        <v>0.15799241437096009</v>
      </c>
      <c r="CV2011" s="331">
        <f t="shared" si="558"/>
        <v>2.6045239099950018E-2</v>
      </c>
      <c r="CW2011" s="326">
        <f t="shared" si="554"/>
        <v>0</v>
      </c>
      <c r="CX2011" s="326"/>
      <c r="CY2011" s="161" t="s">
        <v>5921</v>
      </c>
    </row>
    <row r="2012" spans="1:103" ht="11.25" customHeight="1" x14ac:dyDescent="0.2">
      <c r="A2012" s="72">
        <v>230</v>
      </c>
      <c r="B2012" s="149">
        <v>46</v>
      </c>
      <c r="C2012" s="54" t="s">
        <v>472</v>
      </c>
      <c r="D2012" s="54"/>
      <c r="E2012" s="59"/>
      <c r="F2012" s="150" t="str">
        <f>HYPERLINK("http://www.sigmaaldrich.com/catalog/Lookup.do?N5=CAS+No.&amp;N3=mode+matchpartialmax&amp;N4=14919-77-8&amp;D7=0&amp;D10=&amp;N25=0&amp;N1=S_ID&amp;ST=RS&amp;F=PR","14919-77-8")</f>
        <v>14919-77-8</v>
      </c>
      <c r="G2012" s="151">
        <v>14919778</v>
      </c>
      <c r="H2012" s="55" t="s">
        <v>473</v>
      </c>
      <c r="I2012" s="55" t="s">
        <v>473</v>
      </c>
      <c r="J2012" s="55" t="s">
        <v>474</v>
      </c>
      <c r="K2012" s="55" t="s">
        <v>475</v>
      </c>
      <c r="L2012" s="64"/>
      <c r="M2012" s="55"/>
      <c r="N2012" s="60"/>
      <c r="O2012" s="55"/>
      <c r="P2012" s="67"/>
      <c r="Q2012" s="67"/>
      <c r="R2012" s="67"/>
      <c r="S2012" s="67"/>
      <c r="T2012" s="59">
        <v>257.24</v>
      </c>
      <c r="U2012" s="153"/>
      <c r="V2012" s="153">
        <v>76830</v>
      </c>
      <c r="W2012" s="153">
        <v>282058.05117587297</v>
      </c>
      <c r="X2012" s="153">
        <v>282058.05117587297</v>
      </c>
      <c r="Y2012" s="410">
        <v>7.55</v>
      </c>
      <c r="Z2012" s="59">
        <v>-1.5</v>
      </c>
      <c r="AA2012" s="59"/>
      <c r="AB2012" s="59">
        <v>-1.85</v>
      </c>
      <c r="AC2012" s="59">
        <v>0.40610000000000002</v>
      </c>
      <c r="AD2012" s="59">
        <v>-1.9</v>
      </c>
      <c r="AE2012" s="59">
        <v>-1.93</v>
      </c>
      <c r="AF2012" s="59">
        <f t="shared" si="560"/>
        <v>-1.9</v>
      </c>
      <c r="AG2012" s="57">
        <v>4.0199999999999996</v>
      </c>
      <c r="AH2012" s="103">
        <v>5.6200000000000003E-31</v>
      </c>
      <c r="AI2012" s="103"/>
      <c r="AJ2012" s="62">
        <f t="shared" si="561"/>
        <v>-28.63883001074359</v>
      </c>
      <c r="AK2012" s="62"/>
      <c r="AL2012" s="62">
        <f t="shared" si="562"/>
        <v>-28.63883001074359</v>
      </c>
      <c r="AM2012" s="62">
        <v>-31.208459999999999</v>
      </c>
      <c r="AN2012" s="154">
        <v>-11.4</v>
      </c>
      <c r="AO2012" s="410">
        <v>9.6199999999999992</v>
      </c>
      <c r="AP2012" s="410">
        <v>5.88</v>
      </c>
      <c r="AQ2012" s="154" t="s">
        <v>6311</v>
      </c>
      <c r="AR2012" s="154" t="s">
        <v>6311</v>
      </c>
      <c r="AS2012" s="149" t="s">
        <v>289</v>
      </c>
      <c r="AT2012" s="58" t="s">
        <v>266</v>
      </c>
      <c r="AU2012" s="155">
        <v>24</v>
      </c>
      <c r="AV2012" s="155">
        <v>120</v>
      </c>
      <c r="AW2012" s="155">
        <v>96</v>
      </c>
      <c r="AX2012" s="155">
        <v>28</v>
      </c>
      <c r="AY2012" s="155" t="s">
        <v>267</v>
      </c>
      <c r="AZ2012" s="155" t="s">
        <v>268</v>
      </c>
      <c r="BA2012" s="155">
        <v>48</v>
      </c>
      <c r="BB2012" s="55" t="s">
        <v>269</v>
      </c>
      <c r="BC2012" s="156" t="s">
        <v>270</v>
      </c>
      <c r="BD2012" s="156" t="s">
        <v>8374</v>
      </c>
      <c r="BE2012" s="155" t="s">
        <v>271</v>
      </c>
      <c r="BF2012" s="155" t="s">
        <v>272</v>
      </c>
      <c r="BG2012" s="155" t="s">
        <v>272</v>
      </c>
      <c r="BH2012" s="155" t="s">
        <v>272</v>
      </c>
      <c r="BI2012" s="153">
        <v>0.87585972080354102</v>
      </c>
      <c r="BJ2012" s="153">
        <v>875.85972080354111</v>
      </c>
      <c r="BK2012" s="56"/>
      <c r="BL2012" s="153">
        <v>293960.17747693299</v>
      </c>
      <c r="BM2012" s="56">
        <v>0</v>
      </c>
      <c r="BN2012" s="56"/>
      <c r="BO2012" s="56"/>
      <c r="BP2012" s="56"/>
      <c r="BQ2012" s="56"/>
      <c r="BR2012" s="56"/>
      <c r="BS2012" s="56"/>
      <c r="BT2012" s="56"/>
      <c r="BU2012" s="158"/>
      <c r="BV2012" s="56"/>
      <c r="BW2012" s="56"/>
      <c r="BX2012" s="56"/>
      <c r="BY2012" s="56"/>
      <c r="BZ2012" s="56"/>
      <c r="CA2012" s="56">
        <v>1232.1796000000002</v>
      </c>
      <c r="CB2012" s="56">
        <v>4159.5708000000004</v>
      </c>
      <c r="CC2012" s="56"/>
      <c r="CD2012" s="56"/>
      <c r="CE2012" s="56"/>
      <c r="CF2012" s="56"/>
      <c r="CG2012" s="56"/>
      <c r="CH2012" s="56"/>
      <c r="CI2012" s="103">
        <v>1232.1796000000002</v>
      </c>
      <c r="CJ2012" s="103">
        <f t="shared" si="553"/>
        <v>3.0906740143252933</v>
      </c>
      <c r="CK2012" s="57">
        <f t="shared" si="557"/>
        <v>335.62472447898932</v>
      </c>
      <c r="CL2012" s="160">
        <f t="shared" si="555"/>
        <v>238.56926171877294</v>
      </c>
      <c r="CM2012" s="160"/>
      <c r="CN2012" s="160"/>
      <c r="CO2012" s="55" t="s">
        <v>273</v>
      </c>
      <c r="CP2012" s="503" t="s">
        <v>274</v>
      </c>
      <c r="CQ2012" s="149" t="s">
        <v>272</v>
      </c>
      <c r="CR2012" s="349"/>
      <c r="CS2012" s="61" t="s">
        <v>539</v>
      </c>
      <c r="CT2012" s="61"/>
      <c r="CU2012" s="111">
        <f t="shared" si="556"/>
        <v>228.90985305703236</v>
      </c>
      <c r="CV2012" s="331">
        <f t="shared" si="558"/>
        <v>322.03564620725348</v>
      </c>
      <c r="CW2012" s="326">
        <f t="shared" si="554"/>
        <v>1</v>
      </c>
      <c r="CX2012" s="326"/>
      <c r="CY2012" s="161" t="s">
        <v>5921</v>
      </c>
    </row>
    <row r="2013" spans="1:103" ht="11.25" customHeight="1" x14ac:dyDescent="0.2">
      <c r="A2013" s="72">
        <v>249</v>
      </c>
      <c r="B2013" s="149">
        <v>23</v>
      </c>
      <c r="C2013" s="54" t="s">
        <v>377</v>
      </c>
      <c r="D2013" s="54"/>
      <c r="E2013" s="59"/>
      <c r="F2013" s="59" t="s">
        <v>378</v>
      </c>
      <c r="G2013" s="151">
        <v>25389940</v>
      </c>
      <c r="H2013" s="55" t="s">
        <v>379</v>
      </c>
      <c r="I2013" s="55" t="s">
        <v>379</v>
      </c>
      <c r="J2013" s="55" t="s">
        <v>380</v>
      </c>
      <c r="K2013" s="55" t="s">
        <v>300</v>
      </c>
      <c r="L2013" s="64"/>
      <c r="M2013" s="55"/>
      <c r="N2013" s="60"/>
      <c r="O2013" s="55"/>
      <c r="P2013" s="67">
        <v>3</v>
      </c>
      <c r="Q2013" s="67" t="s">
        <v>6173</v>
      </c>
      <c r="R2013" s="67">
        <v>1</v>
      </c>
      <c r="S2013" s="67" t="s">
        <v>6173</v>
      </c>
      <c r="T2013" s="59">
        <v>406.47</v>
      </c>
      <c r="U2013" s="153"/>
      <c r="V2013" s="153">
        <v>1000000</v>
      </c>
      <c r="W2013" s="153">
        <v>774512.6180305212</v>
      </c>
      <c r="X2013" s="153">
        <v>774512.6180305212</v>
      </c>
      <c r="Y2013" s="410">
        <v>11.23</v>
      </c>
      <c r="Z2013" s="59">
        <v>-4.3499999999999996</v>
      </c>
      <c r="AA2013" s="59"/>
      <c r="AB2013" s="59">
        <v>-4.2</v>
      </c>
      <c r="AC2013" s="59">
        <v>0.1903</v>
      </c>
      <c r="AD2013" s="59">
        <v>-2.33</v>
      </c>
      <c r="AE2013" s="59">
        <v>-1.68</v>
      </c>
      <c r="AF2013" s="59">
        <f t="shared" si="560"/>
        <v>-2.33</v>
      </c>
      <c r="AG2013" s="57">
        <v>-2.33</v>
      </c>
      <c r="AH2013" s="103">
        <v>1.23E-32</v>
      </c>
      <c r="AI2013" s="103"/>
      <c r="AJ2013" s="62">
        <f t="shared" si="561"/>
        <v>-30.298661214873253</v>
      </c>
      <c r="AK2013" s="62"/>
      <c r="AL2013" s="62">
        <f t="shared" si="562"/>
        <v>-30.298661214873253</v>
      </c>
      <c r="AM2013" s="62">
        <v>-39.066200000000002</v>
      </c>
      <c r="AN2013" s="154"/>
      <c r="AO2013" s="410">
        <v>13.24</v>
      </c>
      <c r="AP2013" s="410">
        <v>9.52</v>
      </c>
      <c r="AQ2013" s="154" t="s">
        <v>6311</v>
      </c>
      <c r="AR2013" s="154" t="s">
        <v>6311</v>
      </c>
      <c r="AS2013" s="149" t="s">
        <v>289</v>
      </c>
      <c r="AT2013" s="58" t="s">
        <v>266</v>
      </c>
      <c r="AU2013" s="155">
        <v>24</v>
      </c>
      <c r="AV2013" s="155">
        <v>120</v>
      </c>
      <c r="AW2013" s="155">
        <v>96</v>
      </c>
      <c r="AX2013" s="155">
        <v>28</v>
      </c>
      <c r="AY2013" s="155" t="s">
        <v>267</v>
      </c>
      <c r="AZ2013" s="155" t="s">
        <v>268</v>
      </c>
      <c r="BA2013" s="155">
        <v>48</v>
      </c>
      <c r="BB2013" s="55" t="s">
        <v>269</v>
      </c>
      <c r="BC2013" s="156" t="s">
        <v>270</v>
      </c>
      <c r="BD2013" s="156" t="s">
        <v>8374</v>
      </c>
      <c r="BE2013" s="155" t="s">
        <v>271</v>
      </c>
      <c r="BF2013" s="155" t="s">
        <v>272</v>
      </c>
      <c r="BG2013" s="155" t="s">
        <v>272</v>
      </c>
      <c r="BH2013" s="155" t="s">
        <v>272</v>
      </c>
      <c r="BI2013" s="153">
        <v>0.69768280123583937</v>
      </c>
      <c r="BJ2013" s="153">
        <v>2790.7312049433576</v>
      </c>
      <c r="BK2013" s="56"/>
      <c r="BL2013" s="153">
        <v>168485874.9240123</v>
      </c>
      <c r="BM2013" s="56">
        <v>0</v>
      </c>
      <c r="BN2013" s="56"/>
      <c r="BO2013" s="56"/>
      <c r="BP2013" s="56"/>
      <c r="BQ2013" s="56"/>
      <c r="BR2013" s="56"/>
      <c r="BS2013" s="56"/>
      <c r="BT2013" s="56"/>
      <c r="BU2013" s="158"/>
      <c r="BV2013" s="56"/>
      <c r="BW2013" s="56"/>
      <c r="BX2013" s="56"/>
      <c r="BY2013" s="56"/>
      <c r="BZ2013" s="56"/>
      <c r="CA2013" s="56"/>
      <c r="CB2013" s="56">
        <v>1247.8629000000001</v>
      </c>
      <c r="CC2013" s="56"/>
      <c r="CD2013" s="56"/>
      <c r="CE2013" s="56"/>
      <c r="CF2013" s="56"/>
      <c r="CG2013" s="56"/>
      <c r="CH2013" s="56"/>
      <c r="CI2013" s="103">
        <v>1247.8629000000001</v>
      </c>
      <c r="CJ2013" s="103">
        <f t="shared" si="553"/>
        <v>3.0961668729712351</v>
      </c>
      <c r="CK2013" s="57">
        <f t="shared" si="557"/>
        <v>60373.379788624967</v>
      </c>
      <c r="CL2013" s="160">
        <f t="shared" si="555"/>
        <v>135019.54014660767</v>
      </c>
      <c r="CM2013" s="160"/>
      <c r="CN2013" s="160"/>
      <c r="CO2013" s="55" t="s">
        <v>273</v>
      </c>
      <c r="CP2013" s="503" t="s">
        <v>274</v>
      </c>
      <c r="CQ2013" s="149" t="s">
        <v>272</v>
      </c>
      <c r="CR2013" s="349"/>
      <c r="CS2013" s="61" t="s">
        <v>539</v>
      </c>
      <c r="CT2013" s="61"/>
      <c r="CU2013" s="111">
        <f t="shared" si="556"/>
        <v>620.67124363623691</v>
      </c>
      <c r="CV2013" s="331">
        <f t="shared" si="558"/>
        <v>277.53035357134695</v>
      </c>
      <c r="CW2013" s="326">
        <f t="shared" si="554"/>
        <v>1</v>
      </c>
      <c r="CX2013" s="326"/>
      <c r="CY2013" s="161" t="s">
        <v>5921</v>
      </c>
    </row>
    <row r="2014" spans="1:103" ht="11.25" customHeight="1" x14ac:dyDescent="0.2">
      <c r="A2014" s="72">
        <v>256</v>
      </c>
      <c r="B2014" s="149">
        <v>15</v>
      </c>
      <c r="C2014" s="54" t="s">
        <v>342</v>
      </c>
      <c r="D2014" s="54"/>
      <c r="E2014" s="59"/>
      <c r="F2014" s="150" t="str">
        <f>HYPERLINK("http://www.sigmaaldrich.com/catalog/Lookup.do?N5=CAS+No.&amp;N3=mode+matchpartialmax&amp;N4=29883-15-6&amp;D7=0&amp;D10=&amp;N25=0&amp;N1=S_ID&amp;ST=RS&amp;F=PR","29883-15-6")</f>
        <v>29883-15-6</v>
      </c>
      <c r="G2014" s="151">
        <v>29883156</v>
      </c>
      <c r="H2014" s="55" t="s">
        <v>343</v>
      </c>
      <c r="I2014" s="55"/>
      <c r="J2014" s="55" t="s">
        <v>344</v>
      </c>
      <c r="K2014" s="55" t="s">
        <v>345</v>
      </c>
      <c r="L2014" s="64"/>
      <c r="M2014" s="55"/>
      <c r="N2014" s="60"/>
      <c r="O2014" s="55"/>
      <c r="P2014" s="67">
        <v>3</v>
      </c>
      <c r="Q2014" s="67" t="s">
        <v>6173</v>
      </c>
      <c r="R2014" s="67">
        <v>1</v>
      </c>
      <c r="S2014" s="67" t="s">
        <v>6173</v>
      </c>
      <c r="T2014" s="59">
        <v>457.43</v>
      </c>
      <c r="U2014" s="153"/>
      <c r="V2014" s="153">
        <v>1000000</v>
      </c>
      <c r="W2014" s="153">
        <v>3893.3607281491322</v>
      </c>
      <c r="X2014" s="153">
        <v>3893.3607281491322</v>
      </c>
      <c r="Y2014" s="410">
        <v>6.9</v>
      </c>
      <c r="Z2014" s="59">
        <v>-4.34</v>
      </c>
      <c r="AA2014" s="59"/>
      <c r="AB2014" s="59">
        <v>-2.17</v>
      </c>
      <c r="AC2014" s="59">
        <v>0.64680000000000004</v>
      </c>
      <c r="AD2014" s="59">
        <v>-1.48</v>
      </c>
      <c r="AE2014" s="59">
        <v>-0.36</v>
      </c>
      <c r="AF2014" s="59">
        <f t="shared" si="560"/>
        <v>-1.48</v>
      </c>
      <c r="AG2014" s="57">
        <v>-2.73</v>
      </c>
      <c r="AH2014" s="103">
        <v>3.1600000000000002E-23</v>
      </c>
      <c r="AI2014" s="103"/>
      <c r="AJ2014" s="62">
        <f t="shared" si="561"/>
        <v>-20.888879243694248</v>
      </c>
      <c r="AK2014" s="62"/>
      <c r="AL2014" s="62">
        <f t="shared" si="562"/>
        <v>-20.888879243694248</v>
      </c>
      <c r="AM2014" s="62">
        <v>-38.782359999999997</v>
      </c>
      <c r="AN2014" s="154">
        <v>-27.7</v>
      </c>
      <c r="AO2014" s="410">
        <v>12.69</v>
      </c>
      <c r="AP2014" s="410"/>
      <c r="AQ2014" s="154" t="s">
        <v>6311</v>
      </c>
      <c r="AR2014" s="154" t="s">
        <v>6311</v>
      </c>
      <c r="AS2014" s="149" t="s">
        <v>282</v>
      </c>
      <c r="AT2014" s="58" t="s">
        <v>266</v>
      </c>
      <c r="AU2014" s="155">
        <v>24</v>
      </c>
      <c r="AV2014" s="155">
        <v>120</v>
      </c>
      <c r="AW2014" s="155">
        <v>96</v>
      </c>
      <c r="AX2014" s="155">
        <v>28</v>
      </c>
      <c r="AY2014" s="155" t="s">
        <v>267</v>
      </c>
      <c r="AZ2014" s="155" t="s">
        <v>268</v>
      </c>
      <c r="BA2014" s="155">
        <v>48</v>
      </c>
      <c r="BB2014" s="55" t="s">
        <v>269</v>
      </c>
      <c r="BC2014" s="156" t="s">
        <v>270</v>
      </c>
      <c r="BD2014" s="156" t="s">
        <v>8374</v>
      </c>
      <c r="BE2014" s="155" t="s">
        <v>271</v>
      </c>
      <c r="BF2014" s="155" t="s">
        <v>272</v>
      </c>
      <c r="BG2014" s="155" t="s">
        <v>272</v>
      </c>
      <c r="BH2014" s="155" t="s">
        <v>272</v>
      </c>
      <c r="BI2014" s="153">
        <v>1</v>
      </c>
      <c r="BJ2014" s="153">
        <v>1000</v>
      </c>
      <c r="BK2014" s="56"/>
      <c r="BL2014" s="153">
        <v>185728539.61691174</v>
      </c>
      <c r="BM2014" s="56">
        <v>0</v>
      </c>
      <c r="BN2014" s="56"/>
      <c r="BO2014" s="56"/>
      <c r="BP2014" s="56"/>
      <c r="BQ2014" s="56"/>
      <c r="BR2014" s="56"/>
      <c r="BS2014" s="56"/>
      <c r="BT2014" s="56"/>
      <c r="BU2014" s="158"/>
      <c r="BV2014" s="56"/>
      <c r="BW2014" s="56"/>
      <c r="BX2014" s="56"/>
      <c r="BY2014" s="56"/>
      <c r="BZ2014" s="56"/>
      <c r="CA2014" s="56"/>
      <c r="CB2014" s="56">
        <v>269.88369999999998</v>
      </c>
      <c r="CC2014" s="56"/>
      <c r="CD2014" s="56"/>
      <c r="CE2014" s="56"/>
      <c r="CF2014" s="56"/>
      <c r="CG2014" s="56"/>
      <c r="CH2014" s="56"/>
      <c r="CI2014" s="103">
        <v>269.88369999999998</v>
      </c>
      <c r="CJ2014" s="103">
        <f t="shared" si="553"/>
        <v>2.4311766555316048</v>
      </c>
      <c r="CK2014" s="57">
        <f t="shared" si="557"/>
        <v>185728.53961691173</v>
      </c>
      <c r="CL2014" s="160">
        <f t="shared" si="555"/>
        <v>688179.90718562016</v>
      </c>
      <c r="CM2014" s="160"/>
      <c r="CN2014" s="160"/>
      <c r="CO2014" s="55" t="s">
        <v>273</v>
      </c>
      <c r="CP2014" s="503" t="s">
        <v>274</v>
      </c>
      <c r="CQ2014" s="149" t="s">
        <v>272</v>
      </c>
      <c r="CR2014" s="349"/>
      <c r="CS2014" s="61" t="s">
        <v>539</v>
      </c>
      <c r="CT2014" s="61"/>
      <c r="CU2014" s="111">
        <f t="shared" si="556"/>
        <v>14.426068444108083</v>
      </c>
      <c r="CV2014" s="331">
        <f t="shared" si="558"/>
        <v>3.893360728149132</v>
      </c>
      <c r="CW2014" s="326">
        <f t="shared" si="554"/>
        <v>1</v>
      </c>
      <c r="CX2014" s="326"/>
      <c r="CY2014" s="161" t="s">
        <v>5921</v>
      </c>
    </row>
    <row r="2015" spans="1:103" ht="11.25" customHeight="1" x14ac:dyDescent="0.2">
      <c r="A2015" s="72">
        <v>317</v>
      </c>
      <c r="B2015" s="149">
        <v>59</v>
      </c>
      <c r="C2015" s="54" t="s">
        <v>522</v>
      </c>
      <c r="D2015" s="54" t="s">
        <v>6483</v>
      </c>
      <c r="E2015" s="59"/>
      <c r="F2015" s="59" t="s">
        <v>523</v>
      </c>
      <c r="G2015" s="151">
        <v>151213</v>
      </c>
      <c r="H2015" s="55" t="s">
        <v>524</v>
      </c>
      <c r="I2015" s="55" t="s">
        <v>524</v>
      </c>
      <c r="J2015" s="55" t="s">
        <v>525</v>
      </c>
      <c r="K2015" s="55" t="s">
        <v>426</v>
      </c>
      <c r="L2015" s="64" t="s">
        <v>6106</v>
      </c>
      <c r="M2015" s="55" t="s">
        <v>1884</v>
      </c>
      <c r="N2015" s="60" t="s">
        <v>526</v>
      </c>
      <c r="O2015" s="55" t="s">
        <v>281</v>
      </c>
      <c r="P2015" s="67">
        <v>3</v>
      </c>
      <c r="Q2015" s="67" t="s">
        <v>6173</v>
      </c>
      <c r="R2015" s="67">
        <v>1</v>
      </c>
      <c r="S2015" s="67" t="s">
        <v>6173</v>
      </c>
      <c r="T2015" s="59">
        <v>266.39999999999998</v>
      </c>
      <c r="U2015" s="153"/>
      <c r="V2015" s="153">
        <v>163.69999999999999</v>
      </c>
      <c r="W2015" s="153">
        <v>42221.554647164048</v>
      </c>
      <c r="X2015" s="153">
        <v>42221.554647164048</v>
      </c>
      <c r="Y2015" s="410">
        <v>0.8</v>
      </c>
      <c r="Z2015" s="59">
        <v>2.42</v>
      </c>
      <c r="AA2015" s="59"/>
      <c r="AB2015" s="59">
        <v>2.4300000000000002</v>
      </c>
      <c r="AC2015" s="59">
        <v>0.41520000000000001</v>
      </c>
      <c r="AD2015" s="59">
        <v>4.12</v>
      </c>
      <c r="AE2015" s="59">
        <v>5.39</v>
      </c>
      <c r="AF2015" s="59">
        <f t="shared" si="560"/>
        <v>4.12</v>
      </c>
      <c r="AG2015" s="57">
        <v>4.12</v>
      </c>
      <c r="AH2015" s="103">
        <v>1.8400000000000001E-7</v>
      </c>
      <c r="AI2015" s="103"/>
      <c r="AJ2015" s="62">
        <f t="shared" si="561"/>
        <v>-5.1237485033031156</v>
      </c>
      <c r="AK2015" s="62"/>
      <c r="AL2015" s="62">
        <f t="shared" si="562"/>
        <v>-5.1237485033031156</v>
      </c>
      <c r="AM2015" s="62">
        <v>-11.085739999999999</v>
      </c>
      <c r="AN2015" s="341">
        <v>-5.0854382317876849</v>
      </c>
      <c r="AO2015" s="410">
        <v>-3.29</v>
      </c>
      <c r="AP2015" s="410"/>
      <c r="AQ2015" s="154" t="s">
        <v>6311</v>
      </c>
      <c r="AR2015" s="154" t="s">
        <v>6311</v>
      </c>
      <c r="AS2015" s="149" t="s">
        <v>282</v>
      </c>
      <c r="AT2015" s="58" t="s">
        <v>266</v>
      </c>
      <c r="AU2015" s="155">
        <v>24</v>
      </c>
      <c r="AV2015" s="155">
        <v>120</v>
      </c>
      <c r="AW2015" s="155">
        <v>96</v>
      </c>
      <c r="AX2015" s="155">
        <v>28</v>
      </c>
      <c r="AY2015" s="155" t="s">
        <v>267</v>
      </c>
      <c r="AZ2015" s="155" t="s">
        <v>268</v>
      </c>
      <c r="BA2015" s="155">
        <v>48</v>
      </c>
      <c r="BB2015" s="55" t="s">
        <v>269</v>
      </c>
      <c r="BC2015" s="156" t="s">
        <v>270</v>
      </c>
      <c r="BD2015" s="156" t="s">
        <v>8374</v>
      </c>
      <c r="BE2015" s="155" t="s">
        <v>271</v>
      </c>
      <c r="BF2015" s="155" t="s">
        <v>272</v>
      </c>
      <c r="BG2015" s="155" t="s">
        <v>272</v>
      </c>
      <c r="BH2015" s="155" t="s">
        <v>272</v>
      </c>
      <c r="BI2015" s="153">
        <v>0.92042981031682958</v>
      </c>
      <c r="BJ2015" s="153">
        <v>920.4298103168295</v>
      </c>
      <c r="BK2015" s="56"/>
      <c r="BL2015" s="153">
        <v>91.81892852707891</v>
      </c>
      <c r="BM2015" s="56">
        <v>0</v>
      </c>
      <c r="BN2015" s="56"/>
      <c r="BO2015" s="56"/>
      <c r="BP2015" s="56"/>
      <c r="BQ2015" s="56"/>
      <c r="BR2015" s="56"/>
      <c r="BS2015" s="56"/>
      <c r="BT2015" s="56"/>
      <c r="BU2015" s="158"/>
      <c r="BV2015" s="56"/>
      <c r="BW2015" s="56"/>
      <c r="BX2015" s="56"/>
      <c r="BY2015" s="56">
        <v>5.3279999999999994</v>
      </c>
      <c r="BZ2015" s="56">
        <v>2.6639999999999997</v>
      </c>
      <c r="CA2015" s="56">
        <v>2.6639999999999997</v>
      </c>
      <c r="CB2015" s="56">
        <v>2.6639999999999997</v>
      </c>
      <c r="CC2015" s="56"/>
      <c r="CD2015" s="56"/>
      <c r="CE2015" s="56"/>
      <c r="CF2015" s="56"/>
      <c r="CG2015" s="56"/>
      <c r="CH2015" s="56"/>
      <c r="CI2015" s="103">
        <v>2.6639999999999997</v>
      </c>
      <c r="CJ2015" s="103">
        <f t="shared" si="553"/>
        <v>0.42553422049826339</v>
      </c>
      <c r="CK2015" s="57">
        <f t="shared" si="557"/>
        <v>9.9756578391863554E-2</v>
      </c>
      <c r="CL2015" s="160">
        <f t="shared" si="555"/>
        <v>34.466564762417015</v>
      </c>
      <c r="CM2015" s="160">
        <v>0.65321251377534384</v>
      </c>
      <c r="CN2015" s="160">
        <f>BJ2015/(10^CM2015)</f>
        <v>204.5399578481842</v>
      </c>
      <c r="CO2015" s="55" t="s">
        <v>273</v>
      </c>
      <c r="CP2015" s="503" t="s">
        <v>274</v>
      </c>
      <c r="CQ2015" s="149">
        <v>1.0143413694582426</v>
      </c>
      <c r="CR2015" s="349">
        <f>10^(CJ2015-CQ2015)</f>
        <v>0.25774654417341281</v>
      </c>
      <c r="CS2015" s="61" t="s">
        <v>539</v>
      </c>
      <c r="CT2015" s="61"/>
      <c r="CU2015" s="111">
        <f t="shared" si="556"/>
        <v>15848.931924611132</v>
      </c>
      <c r="CV2015" s="331">
        <f t="shared" si="558"/>
        <v>45.871563669402001</v>
      </c>
      <c r="CW2015" s="326">
        <f t="shared" si="554"/>
        <v>1</v>
      </c>
      <c r="CX2015" s="326"/>
      <c r="CY2015" s="161" t="s">
        <v>6351</v>
      </c>
    </row>
    <row r="2016" spans="1:103" ht="11.25" customHeight="1" x14ac:dyDescent="0.2">
      <c r="A2016" s="72">
        <v>331</v>
      </c>
      <c r="B2016" s="149">
        <v>57</v>
      </c>
      <c r="C2016" s="54" t="s">
        <v>6651</v>
      </c>
      <c r="D2016" s="54"/>
      <c r="E2016" s="59"/>
      <c r="F2016" s="59" t="s">
        <v>515</v>
      </c>
      <c r="G2016" s="151">
        <v>91374208</v>
      </c>
      <c r="H2016" s="55" t="s">
        <v>516</v>
      </c>
      <c r="I2016" s="55" t="s">
        <v>8331</v>
      </c>
      <c r="J2016" s="55" t="s">
        <v>517</v>
      </c>
      <c r="K2016" s="55"/>
      <c r="L2016" s="64"/>
      <c r="M2016" s="55"/>
      <c r="N2016" s="60"/>
      <c r="O2016" s="55"/>
      <c r="P2016" s="67">
        <v>3</v>
      </c>
      <c r="Q2016" s="67" t="s">
        <v>6173</v>
      </c>
      <c r="R2016" s="67">
        <v>1</v>
      </c>
      <c r="S2016" s="67" t="s">
        <v>6173</v>
      </c>
      <c r="T2016" s="59">
        <v>260.37</v>
      </c>
      <c r="U2016" s="153"/>
      <c r="V2016" s="153">
        <v>102.4</v>
      </c>
      <c r="W2016" s="153">
        <v>496.1248071360904</v>
      </c>
      <c r="X2016" s="153">
        <v>496.1248071360904</v>
      </c>
      <c r="Y2016" s="410">
        <v>10.33</v>
      </c>
      <c r="Z2016" s="59">
        <v>3.03</v>
      </c>
      <c r="AA2016" s="59">
        <v>2.7</v>
      </c>
      <c r="AB2016" s="59">
        <v>3.22</v>
      </c>
      <c r="AC2016" s="59">
        <v>0.83579999999999999</v>
      </c>
      <c r="AD2016" s="59">
        <v>3.21</v>
      </c>
      <c r="AE2016" s="59">
        <v>3.19</v>
      </c>
      <c r="AF2016" s="59">
        <f t="shared" si="560"/>
        <v>2.7</v>
      </c>
      <c r="AG2016" s="57">
        <v>1.95</v>
      </c>
      <c r="AH2016" s="103" t="s">
        <v>8406</v>
      </c>
      <c r="AI2016" s="103"/>
      <c r="AJ2016" s="62"/>
      <c r="AK2016" s="62"/>
      <c r="AL2016" s="62"/>
      <c r="AM2016" s="62">
        <v>-13.820359999999999</v>
      </c>
      <c r="AN2016" s="152">
        <v>-12.9</v>
      </c>
      <c r="AO2016" s="410">
        <v>14.17</v>
      </c>
      <c r="AP2016" s="410">
        <v>9.4499999999999993</v>
      </c>
      <c r="AQ2016" s="152" t="s">
        <v>6311</v>
      </c>
      <c r="AR2016" s="152" t="s">
        <v>6316</v>
      </c>
      <c r="AS2016" s="149" t="s">
        <v>518</v>
      </c>
      <c r="AT2016" s="58" t="s">
        <v>266</v>
      </c>
      <c r="AU2016" s="155">
        <v>24</v>
      </c>
      <c r="AV2016" s="155">
        <v>120</v>
      </c>
      <c r="AW2016" s="155">
        <v>96</v>
      </c>
      <c r="AX2016" s="155">
        <v>28</v>
      </c>
      <c r="AY2016" s="155" t="s">
        <v>267</v>
      </c>
      <c r="AZ2016" s="155" t="s">
        <v>268</v>
      </c>
      <c r="BA2016" s="155">
        <v>48</v>
      </c>
      <c r="BB2016" s="55" t="s">
        <v>269</v>
      </c>
      <c r="BC2016" s="156" t="s">
        <v>270</v>
      </c>
      <c r="BD2016" s="156" t="s">
        <v>8374</v>
      </c>
      <c r="BE2016" s="155" t="s">
        <v>271</v>
      </c>
      <c r="BF2016" s="155" t="s">
        <v>272</v>
      </c>
      <c r="BG2016" s="155" t="s">
        <v>272</v>
      </c>
      <c r="BH2016" s="155" t="s">
        <v>272</v>
      </c>
      <c r="BI2016" s="153">
        <v>0.87713919956879138</v>
      </c>
      <c r="BJ2016" s="153">
        <v>1403.4227193100662</v>
      </c>
      <c r="BK2016" s="56"/>
      <c r="BL2016" s="153"/>
      <c r="BM2016" s="56">
        <v>0</v>
      </c>
      <c r="BN2016" s="56"/>
      <c r="BO2016" s="56"/>
      <c r="BP2016" s="56"/>
      <c r="BQ2016" s="56"/>
      <c r="BR2016" s="56"/>
      <c r="BS2016" s="56"/>
      <c r="BT2016" s="56"/>
      <c r="BU2016" s="158"/>
      <c r="BV2016" s="56"/>
      <c r="BW2016" s="56"/>
      <c r="BX2016" s="56"/>
      <c r="BY2016" s="56">
        <v>770.6952</v>
      </c>
      <c r="BZ2016" s="56">
        <v>468.666</v>
      </c>
      <c r="CA2016" s="56">
        <v>398.36610000000002</v>
      </c>
      <c r="CB2016" s="56">
        <v>382.7439</v>
      </c>
      <c r="CC2016" s="56"/>
      <c r="CD2016" s="56"/>
      <c r="CE2016" s="56"/>
      <c r="CF2016" s="56"/>
      <c r="CG2016" s="56"/>
      <c r="CH2016" s="56"/>
      <c r="CI2016" s="103">
        <v>382.7439</v>
      </c>
      <c r="CJ2016" s="103">
        <f t="shared" si="553"/>
        <v>2.5829082778354837</v>
      </c>
      <c r="CK2016" s="57">
        <f t="shared" si="557"/>
        <v>0</v>
      </c>
      <c r="CL2016" s="160">
        <f t="shared" si="555"/>
        <v>0</v>
      </c>
      <c r="CM2016" s="160"/>
      <c r="CN2016" s="160"/>
      <c r="CO2016" s="55" t="s">
        <v>273</v>
      </c>
      <c r="CP2016" s="503" t="s">
        <v>274</v>
      </c>
      <c r="CQ2016" s="149" t="s">
        <v>272</v>
      </c>
      <c r="CR2016" s="349"/>
      <c r="CS2016" s="61" t="s">
        <v>539</v>
      </c>
      <c r="CT2016" s="61"/>
      <c r="CU2016" s="111">
        <f t="shared" si="556"/>
        <v>1.2962317809273782</v>
      </c>
      <c r="CV2016" s="331">
        <f t="shared" si="558"/>
        <v>0.35351059970013121</v>
      </c>
      <c r="CW2016" s="326">
        <f t="shared" si="554"/>
        <v>0</v>
      </c>
      <c r="CX2016" s="326"/>
      <c r="CY2016" s="161" t="s">
        <v>5921</v>
      </c>
    </row>
    <row r="2017" spans="1:103" ht="11.25" customHeight="1" x14ac:dyDescent="0.2">
      <c r="A2017" s="72">
        <v>399</v>
      </c>
      <c r="B2017" s="149">
        <v>9</v>
      </c>
      <c r="C2017" s="54" t="s">
        <v>6708</v>
      </c>
      <c r="D2017" s="54"/>
      <c r="E2017" s="59"/>
      <c r="F2017" s="59" t="s">
        <v>319</v>
      </c>
      <c r="G2017" s="151">
        <v>207671441</v>
      </c>
      <c r="H2017" s="55" t="s">
        <v>320</v>
      </c>
      <c r="I2017" s="55" t="s">
        <v>7864</v>
      </c>
      <c r="J2017" s="55" t="s">
        <v>321</v>
      </c>
      <c r="K2017" s="55"/>
      <c r="L2017" s="64"/>
      <c r="M2017" s="55"/>
      <c r="N2017" s="60"/>
      <c r="O2017" s="55"/>
      <c r="P2017" s="67"/>
      <c r="Q2017" s="67"/>
      <c r="R2017" s="67"/>
      <c r="S2017" s="67"/>
      <c r="T2017" s="59">
        <v>324.42</v>
      </c>
      <c r="U2017" s="153">
        <v>500</v>
      </c>
      <c r="V2017" s="153">
        <v>103.50000000000001</v>
      </c>
      <c r="W2017" s="153">
        <v>155.27717455131031</v>
      </c>
      <c r="X2017" s="153">
        <v>500</v>
      </c>
      <c r="Y2017" s="410">
        <v>9.92</v>
      </c>
      <c r="Z2017" s="59">
        <v>3.29</v>
      </c>
      <c r="AA2017" s="59">
        <v>3.44</v>
      </c>
      <c r="AB2017" s="59">
        <v>2.86</v>
      </c>
      <c r="AC2017" s="59">
        <v>0.8165</v>
      </c>
      <c r="AD2017" s="59">
        <v>3.02</v>
      </c>
      <c r="AE2017" s="59">
        <v>3.44</v>
      </c>
      <c r="AF2017" s="59">
        <f t="shared" si="560"/>
        <v>3.44</v>
      </c>
      <c r="AG2017" s="68">
        <v>3.02</v>
      </c>
      <c r="AH2017" s="103">
        <v>8.5800000000000004E-16</v>
      </c>
      <c r="AI2017" s="153"/>
      <c r="AJ2017" s="62">
        <f>LOG10(AH2017*1000/(0.08206*298.15))</f>
        <v>-13.455079038463946</v>
      </c>
      <c r="AK2017" s="62"/>
      <c r="AL2017" s="62">
        <f>IF(AK2017=0,AJ2017,AK2017)</f>
        <v>-13.455079038463946</v>
      </c>
      <c r="AM2017" s="62">
        <v>-17.699870000000001</v>
      </c>
      <c r="AN2017" s="152"/>
      <c r="AO2017" s="410">
        <v>12.8</v>
      </c>
      <c r="AP2017" s="410">
        <v>9.2799999999999994</v>
      </c>
      <c r="AQ2017" s="152" t="s">
        <v>6311</v>
      </c>
      <c r="AR2017" s="152" t="s">
        <v>6311</v>
      </c>
      <c r="AS2017" s="149" t="s">
        <v>282</v>
      </c>
      <c r="AT2017" s="58" t="s">
        <v>266</v>
      </c>
      <c r="AU2017" s="155">
        <v>24</v>
      </c>
      <c r="AV2017" s="155">
        <v>120</v>
      </c>
      <c r="AW2017" s="155">
        <v>96</v>
      </c>
      <c r="AX2017" s="155">
        <v>28</v>
      </c>
      <c r="AY2017" s="155" t="s">
        <v>267</v>
      </c>
      <c r="AZ2017" s="155" t="s">
        <v>268</v>
      </c>
      <c r="BA2017" s="155">
        <v>48</v>
      </c>
      <c r="BB2017" s="55" t="s">
        <v>269</v>
      </c>
      <c r="BC2017" s="156" t="s">
        <v>270</v>
      </c>
      <c r="BD2017" s="156" t="s">
        <v>8374</v>
      </c>
      <c r="BE2017" s="155" t="s">
        <v>271</v>
      </c>
      <c r="BF2017" s="155" t="s">
        <v>272</v>
      </c>
      <c r="BG2017" s="155" t="s">
        <v>272</v>
      </c>
      <c r="BH2017" s="155" t="s">
        <v>272</v>
      </c>
      <c r="BI2017" s="153">
        <v>0.82872250747183684</v>
      </c>
      <c r="BJ2017" s="153">
        <v>828.72250747183693</v>
      </c>
      <c r="BK2017" s="56"/>
      <c r="BL2017" s="153"/>
      <c r="BM2017" s="56">
        <v>0</v>
      </c>
      <c r="BN2017" s="56"/>
      <c r="BO2017" s="56"/>
      <c r="BP2017" s="56"/>
      <c r="BQ2017" s="56"/>
      <c r="BR2017" s="56"/>
      <c r="BS2017" s="56"/>
      <c r="BT2017" s="56"/>
      <c r="BU2017" s="158"/>
      <c r="BV2017" s="56"/>
      <c r="BW2017" s="56"/>
      <c r="BX2017" s="56"/>
      <c r="BY2017" s="56"/>
      <c r="BZ2017" s="56"/>
      <c r="CA2017" s="56"/>
      <c r="CB2017" s="56">
        <v>467.16480000000001</v>
      </c>
      <c r="CC2017" s="56"/>
      <c r="CD2017" s="56"/>
      <c r="CE2017" s="56"/>
      <c r="CF2017" s="56"/>
      <c r="CG2017" s="56"/>
      <c r="CH2017" s="56"/>
      <c r="CI2017" s="103">
        <v>467.16480000000001</v>
      </c>
      <c r="CJ2017" s="103">
        <f t="shared" si="553"/>
        <v>2.6694701120545181</v>
      </c>
      <c r="CK2017" s="57">
        <f t="shared" si="557"/>
        <v>0</v>
      </c>
      <c r="CL2017" s="160">
        <f t="shared" si="555"/>
        <v>0</v>
      </c>
      <c r="CM2017" s="160"/>
      <c r="CN2017" s="160"/>
      <c r="CO2017" s="55" t="s">
        <v>273</v>
      </c>
      <c r="CP2017" s="503" t="s">
        <v>274</v>
      </c>
      <c r="CQ2017" s="149" t="s">
        <v>272</v>
      </c>
      <c r="CR2017" s="349"/>
      <c r="CS2017" s="61" t="s">
        <v>539</v>
      </c>
      <c r="CT2017" s="61"/>
      <c r="CU2017" s="111">
        <f t="shared" si="556"/>
        <v>1.0702861174472049</v>
      </c>
      <c r="CV2017" s="331">
        <f t="shared" si="558"/>
        <v>0.60333826521176248</v>
      </c>
      <c r="CW2017" s="326">
        <f t="shared" si="554"/>
        <v>0</v>
      </c>
      <c r="CX2017" s="326"/>
      <c r="CY2017" s="161" t="s">
        <v>5921</v>
      </c>
    </row>
    <row r="2018" spans="1:103" ht="11.25" customHeight="1" x14ac:dyDescent="0.2">
      <c r="A2018" s="72">
        <v>400</v>
      </c>
      <c r="B2018" s="149">
        <v>28</v>
      </c>
      <c r="C2018" s="54" t="s">
        <v>6709</v>
      </c>
      <c r="D2018" s="54"/>
      <c r="E2018" s="59"/>
      <c r="F2018" s="150" t="str">
        <f>HYPERLINK("http://www.sigmaaldrich.com/catalog/Lookup.do?N5=CAS+No.&amp;N3=mode+matchpartialmax&amp;N4=207671-50-9&amp;D7=0&amp;D10=&amp;N25=0&amp;N1=S_ID&amp;ST=RS&amp;F=PR","207671-50-9")</f>
        <v>207671-50-9</v>
      </c>
      <c r="G2018" s="151">
        <v>207671509</v>
      </c>
      <c r="H2018" s="55" t="s">
        <v>395</v>
      </c>
      <c r="I2018" s="55" t="s">
        <v>7865</v>
      </c>
      <c r="J2018" s="55" t="s">
        <v>396</v>
      </c>
      <c r="K2018" s="55"/>
      <c r="L2018" s="64"/>
      <c r="M2018" s="55"/>
      <c r="N2018" s="60"/>
      <c r="O2018" s="55"/>
      <c r="P2018" s="67"/>
      <c r="Q2018" s="67"/>
      <c r="R2018" s="67"/>
      <c r="S2018" s="67"/>
      <c r="T2018" s="59">
        <v>610.52</v>
      </c>
      <c r="U2018" s="153"/>
      <c r="V2018" s="103">
        <v>4614</v>
      </c>
      <c r="W2018" s="103">
        <v>313.1121321544079</v>
      </c>
      <c r="X2018" s="103">
        <v>313.1121321544079</v>
      </c>
      <c r="Y2018" s="410">
        <v>4.74</v>
      </c>
      <c r="Z2018" s="68">
        <v>-1.1100000000000001</v>
      </c>
      <c r="AA2018" s="68"/>
      <c r="AB2018" s="68">
        <v>-1.08</v>
      </c>
      <c r="AC2018" s="68">
        <v>0.58050000000000002</v>
      </c>
      <c r="AD2018" s="68">
        <v>-0.21</v>
      </c>
      <c r="AE2018" s="68">
        <v>1.76</v>
      </c>
      <c r="AF2018" s="68">
        <f t="shared" si="560"/>
        <v>-0.21</v>
      </c>
      <c r="AG2018" s="68">
        <v>-0.21</v>
      </c>
      <c r="AH2018" s="103">
        <v>1.5899999999999999E-38</v>
      </c>
      <c r="AI2018" s="153"/>
      <c r="AJ2018" s="62">
        <f>LOG10(AH2018*1000/(0.08206*298.15))</f>
        <v>-36.187169201992198</v>
      </c>
      <c r="AK2018" s="62"/>
      <c r="AL2018" s="62">
        <f>IF(AK2018=0,AJ2018,AK2018)</f>
        <v>-36.187169201992198</v>
      </c>
      <c r="AM2018" s="62">
        <v>-52.42886</v>
      </c>
      <c r="AN2018" s="152"/>
      <c r="AO2018" s="410">
        <v>6.17</v>
      </c>
      <c r="AP2018" s="410"/>
      <c r="AQ2018" s="152" t="s">
        <v>6317</v>
      </c>
      <c r="AR2018" s="152" t="s">
        <v>6317</v>
      </c>
      <c r="AS2018" s="149" t="s">
        <v>301</v>
      </c>
      <c r="AT2018" s="58" t="s">
        <v>266</v>
      </c>
      <c r="AU2018" s="155">
        <v>24</v>
      </c>
      <c r="AV2018" s="155">
        <v>120</v>
      </c>
      <c r="AW2018" s="155">
        <v>96</v>
      </c>
      <c r="AX2018" s="155">
        <v>28</v>
      </c>
      <c r="AY2018" s="155" t="s">
        <v>267</v>
      </c>
      <c r="AZ2018" s="155" t="s">
        <v>268</v>
      </c>
      <c r="BA2018" s="155">
        <v>48</v>
      </c>
      <c r="BB2018" s="55" t="s">
        <v>269</v>
      </c>
      <c r="BC2018" s="156" t="s">
        <v>270</v>
      </c>
      <c r="BD2018" s="156" t="s">
        <v>8374</v>
      </c>
      <c r="BE2018" s="155" t="s">
        <v>271</v>
      </c>
      <c r="BF2018" s="155" t="s">
        <v>272</v>
      </c>
      <c r="BG2018" s="155" t="s">
        <v>272</v>
      </c>
      <c r="BH2018" s="155" t="s">
        <v>272</v>
      </c>
      <c r="BI2018" s="153">
        <v>1</v>
      </c>
      <c r="BJ2018" s="153">
        <v>1600</v>
      </c>
      <c r="BK2018" s="56"/>
      <c r="BL2018" s="153"/>
      <c r="BM2018" s="56">
        <v>0</v>
      </c>
      <c r="BN2018" s="56"/>
      <c r="BO2018" s="56"/>
      <c r="BP2018" s="56"/>
      <c r="BQ2018" s="56"/>
      <c r="BR2018" s="56"/>
      <c r="BS2018" s="56"/>
      <c r="BT2018" s="56"/>
      <c r="BU2018" s="158"/>
      <c r="BV2018" s="56"/>
      <c r="BW2018" s="56"/>
      <c r="BX2018" s="56"/>
      <c r="BY2018" s="56"/>
      <c r="BZ2018" s="56">
        <v>12741.5524</v>
      </c>
      <c r="CA2018" s="56">
        <v>17955.393199999999</v>
      </c>
      <c r="CB2018" s="56">
        <v>8724.3307999999997</v>
      </c>
      <c r="CC2018" s="56"/>
      <c r="CD2018" s="56"/>
      <c r="CE2018" s="56"/>
      <c r="CF2018" s="56"/>
      <c r="CG2018" s="56"/>
      <c r="CH2018" s="56"/>
      <c r="CI2018" s="103">
        <v>8724.3307999999997</v>
      </c>
      <c r="CJ2018" s="103">
        <f t="shared" si="553"/>
        <v>3.9407321243402844</v>
      </c>
      <c r="CK2018" s="57">
        <f t="shared" si="557"/>
        <v>0</v>
      </c>
      <c r="CL2018" s="160">
        <f t="shared" si="555"/>
        <v>0</v>
      </c>
      <c r="CM2018" s="160"/>
      <c r="CN2018" s="160"/>
      <c r="CO2018" s="55" t="s">
        <v>273</v>
      </c>
      <c r="CP2018" s="503" t="s">
        <v>274</v>
      </c>
      <c r="CQ2018" s="149" t="s">
        <v>272</v>
      </c>
      <c r="CR2018" s="349"/>
      <c r="CS2018" s="61" t="s">
        <v>539</v>
      </c>
      <c r="CT2018" s="61"/>
      <c r="CU2018" s="111">
        <f t="shared" si="556"/>
        <v>3.5889530020389401E-2</v>
      </c>
      <c r="CV2018" s="331">
        <f t="shared" si="558"/>
        <v>0.19569508259650495</v>
      </c>
      <c r="CW2018" s="326">
        <f t="shared" si="554"/>
        <v>0</v>
      </c>
      <c r="CX2018" s="326"/>
      <c r="CY2018" s="161" t="s">
        <v>5921</v>
      </c>
    </row>
    <row r="2019" spans="1:103" ht="11.25" customHeight="1" x14ac:dyDescent="0.2">
      <c r="A2019" s="72">
        <v>414</v>
      </c>
      <c r="B2019" s="149">
        <v>20</v>
      </c>
      <c r="C2019" s="54" t="s">
        <v>6722</v>
      </c>
      <c r="D2019" s="54"/>
      <c r="E2019" s="59"/>
      <c r="F2019" s="59" t="s">
        <v>363</v>
      </c>
      <c r="G2019" s="151" t="s">
        <v>364</v>
      </c>
      <c r="H2019" s="55" t="s">
        <v>365</v>
      </c>
      <c r="I2019" s="55" t="s">
        <v>365</v>
      </c>
      <c r="J2019" s="55" t="s">
        <v>366</v>
      </c>
      <c r="K2019" s="55" t="s">
        <v>300</v>
      </c>
      <c r="L2019" s="64"/>
      <c r="M2019" s="55"/>
      <c r="N2019" s="60"/>
      <c r="O2019" s="55"/>
      <c r="P2019" s="67"/>
      <c r="Q2019" s="67"/>
      <c r="R2019" s="67"/>
      <c r="S2019" s="67"/>
      <c r="T2019" s="59">
        <v>418.53</v>
      </c>
      <c r="U2019" s="153"/>
      <c r="V2019" s="103">
        <v>961800</v>
      </c>
      <c r="W2019" s="103">
        <v>1003983.5415972274</v>
      </c>
      <c r="X2019" s="103">
        <v>1003983.5415972274</v>
      </c>
      <c r="Y2019" s="410">
        <v>11.7</v>
      </c>
      <c r="Z2019" s="68">
        <v>-1.88</v>
      </c>
      <c r="AA2019" s="68">
        <v>0</v>
      </c>
      <c r="AB2019" s="68">
        <v>-1.71</v>
      </c>
      <c r="AC2019" s="68">
        <v>0.49399999999999999</v>
      </c>
      <c r="AD2019" s="68">
        <v>-2.16</v>
      </c>
      <c r="AE2019" s="68">
        <v>-2.57</v>
      </c>
      <c r="AF2019" s="68">
        <f t="shared" si="560"/>
        <v>-2.16</v>
      </c>
      <c r="AG2019" s="68">
        <v>-3.48</v>
      </c>
      <c r="AH2019" s="103">
        <v>9.7799999999999999E-31</v>
      </c>
      <c r="AI2019" s="153"/>
      <c r="AJ2019" s="62">
        <f>LOG10(AH2019*1000/(0.08206*298.15))</f>
        <v>-28.39822747152505</v>
      </c>
      <c r="AK2019" s="62"/>
      <c r="AL2019" s="62">
        <f>IF(AK2019=0,AJ2019,AK2019)</f>
        <v>-28.39822747152505</v>
      </c>
      <c r="AM2019" s="62">
        <v>-34.734479999999998</v>
      </c>
      <c r="AN2019" s="152">
        <v>-32</v>
      </c>
      <c r="AO2019" s="410">
        <v>13.48</v>
      </c>
      <c r="AP2019" s="410">
        <v>9.77</v>
      </c>
      <c r="AQ2019" s="152" t="s">
        <v>5921</v>
      </c>
      <c r="AR2019" s="152" t="s">
        <v>5921</v>
      </c>
      <c r="AS2019" s="149" t="s">
        <v>301</v>
      </c>
      <c r="AT2019" s="58" t="s">
        <v>266</v>
      </c>
      <c r="AU2019" s="155">
        <v>24</v>
      </c>
      <c r="AV2019" s="155">
        <v>120</v>
      </c>
      <c r="AW2019" s="155">
        <v>96</v>
      </c>
      <c r="AX2019" s="155">
        <v>28</v>
      </c>
      <c r="AY2019" s="155" t="s">
        <v>267</v>
      </c>
      <c r="AZ2019" s="155" t="s">
        <v>268</v>
      </c>
      <c r="BA2019" s="155">
        <v>48</v>
      </c>
      <c r="BB2019" s="55" t="s">
        <v>269</v>
      </c>
      <c r="BC2019" s="156" t="s">
        <v>270</v>
      </c>
      <c r="BD2019" s="156" t="s">
        <v>8374</v>
      </c>
      <c r="BE2019" s="155" t="s">
        <v>271</v>
      </c>
      <c r="BF2019" s="155" t="s">
        <v>272</v>
      </c>
      <c r="BG2019" s="155" t="s">
        <v>272</v>
      </c>
      <c r="BH2019" s="155" t="s">
        <v>272</v>
      </c>
      <c r="BI2019" s="153">
        <v>0.72703111157433953</v>
      </c>
      <c r="BJ2019" s="153">
        <v>1163.2497785189432</v>
      </c>
      <c r="BK2019" s="56"/>
      <c r="BL2019" s="153">
        <v>1049432.7021236208</v>
      </c>
      <c r="BM2019" s="56">
        <v>0</v>
      </c>
      <c r="BN2019" s="56"/>
      <c r="BO2019" s="56"/>
      <c r="BP2019" s="56"/>
      <c r="BQ2019" s="56"/>
      <c r="BR2019" s="56"/>
      <c r="BS2019" s="56"/>
      <c r="BT2019" s="56"/>
      <c r="BU2019" s="158"/>
      <c r="BV2019" s="56"/>
      <c r="BW2019" s="56"/>
      <c r="BX2019" s="56"/>
      <c r="BY2019" s="56"/>
      <c r="BZ2019" s="56"/>
      <c r="CA2019" s="56">
        <v>1167.6986999999999</v>
      </c>
      <c r="CB2019" s="56">
        <v>184.1532</v>
      </c>
      <c r="CC2019" s="56"/>
      <c r="CD2019" s="56"/>
      <c r="CE2019" s="56"/>
      <c r="CF2019" s="56"/>
      <c r="CG2019" s="56"/>
      <c r="CH2019" s="56"/>
      <c r="CI2019" s="103">
        <v>184.1532</v>
      </c>
      <c r="CJ2019" s="103">
        <f t="shared" si="553"/>
        <v>2.2651792699205942</v>
      </c>
      <c r="CK2019" s="57">
        <f t="shared" si="557"/>
        <v>902.15594406539662</v>
      </c>
      <c r="CL2019" s="160">
        <f t="shared" si="555"/>
        <v>5698.6938164724852</v>
      </c>
      <c r="CM2019" s="160"/>
      <c r="CN2019" s="160"/>
      <c r="CO2019" s="55" t="s">
        <v>273</v>
      </c>
      <c r="CP2019" s="503" t="s">
        <v>274</v>
      </c>
      <c r="CQ2019" s="149" t="s">
        <v>272</v>
      </c>
      <c r="CR2019" s="349"/>
      <c r="CS2019" s="61" t="s">
        <v>539</v>
      </c>
      <c r="CT2019" s="61"/>
      <c r="CU2019" s="111">
        <f t="shared" si="556"/>
        <v>5451.8929977715698</v>
      </c>
      <c r="CV2019" s="331">
        <f t="shared" si="558"/>
        <v>863.08509155746879</v>
      </c>
      <c r="CW2019" s="326">
        <f t="shared" si="554"/>
        <v>1</v>
      </c>
      <c r="CX2019" s="326"/>
      <c r="CY2019" s="161" t="s">
        <v>5921</v>
      </c>
    </row>
    <row r="2020" spans="1:103" ht="11.25" customHeight="1" x14ac:dyDescent="0.2">
      <c r="A2020" s="72">
        <v>415</v>
      </c>
      <c r="B2020" s="149">
        <v>21</v>
      </c>
      <c r="C2020" s="54" t="s">
        <v>6723</v>
      </c>
      <c r="D2020" s="54"/>
      <c r="E2020" s="59"/>
      <c r="F2020" s="59" t="s">
        <v>367</v>
      </c>
      <c r="G2020" s="151" t="s">
        <v>368</v>
      </c>
      <c r="H2020" s="55" t="s">
        <v>369</v>
      </c>
      <c r="I2020" s="55" t="s">
        <v>7869</v>
      </c>
      <c r="J2020" s="55" t="s">
        <v>370</v>
      </c>
      <c r="K2020" s="55" t="s">
        <v>371</v>
      </c>
      <c r="L2020" s="64"/>
      <c r="M2020" s="55"/>
      <c r="N2020" s="60"/>
      <c r="O2020" s="55"/>
      <c r="P2020" s="67"/>
      <c r="Q2020" s="67"/>
      <c r="R2020" s="67"/>
      <c r="S2020" s="67"/>
      <c r="T2020" s="59">
        <v>822.92</v>
      </c>
      <c r="U2020" s="153"/>
      <c r="V2020" s="153">
        <v>5.3550000000000004</v>
      </c>
      <c r="W2020" s="153">
        <v>23.193036817961421</v>
      </c>
      <c r="X2020" s="153">
        <v>23.193036817961421</v>
      </c>
      <c r="Y2020" s="410">
        <v>4.43</v>
      </c>
      <c r="Z2020" s="59">
        <v>0.32</v>
      </c>
      <c r="AA2020" s="59"/>
      <c r="AB2020" s="59"/>
      <c r="AC2020" s="59"/>
      <c r="AD2020" s="59"/>
      <c r="AE2020" s="59"/>
      <c r="AF2020" s="59"/>
      <c r="AG2020" s="57">
        <v>3.48</v>
      </c>
      <c r="AH2020" s="103">
        <v>5.89E-44</v>
      </c>
      <c r="AI2020" s="103"/>
      <c r="AJ2020" s="62">
        <f>LOG10(AH2020*1000/(0.08206*298.15))</f>
        <v>-41.618451031525552</v>
      </c>
      <c r="AK2020" s="62"/>
      <c r="AL2020" s="62">
        <f>IF(AK2020=0,AJ2020,AK2020)</f>
        <v>-41.618451031525552</v>
      </c>
      <c r="AM2020" s="62"/>
      <c r="AN2020" s="154"/>
      <c r="AO2020" s="410">
        <v>2.76</v>
      </c>
      <c r="AP2020" s="410">
        <v>-1.67</v>
      </c>
      <c r="AQ2020" s="154" t="s">
        <v>5921</v>
      </c>
      <c r="AR2020" s="154" t="s">
        <v>5921</v>
      </c>
      <c r="AS2020" s="149" t="s">
        <v>6</v>
      </c>
      <c r="AT2020" s="58" t="s">
        <v>266</v>
      </c>
      <c r="AU2020" s="155">
        <v>24</v>
      </c>
      <c r="AV2020" s="155">
        <v>120</v>
      </c>
      <c r="AW2020" s="155">
        <v>96</v>
      </c>
      <c r="AX2020" s="155">
        <v>28</v>
      </c>
      <c r="AY2020" s="155" t="s">
        <v>267</v>
      </c>
      <c r="AZ2020" s="155" t="s">
        <v>268</v>
      </c>
      <c r="BA2020" s="155">
        <v>48</v>
      </c>
      <c r="BB2020" s="55" t="s">
        <v>269</v>
      </c>
      <c r="BC2020" s="156" t="s">
        <v>270</v>
      </c>
      <c r="BD2020" s="156" t="s">
        <v>8374</v>
      </c>
      <c r="BE2020" s="155" t="s">
        <v>271</v>
      </c>
      <c r="BF2020" s="155" t="s">
        <v>272</v>
      </c>
      <c r="BG2020" s="155" t="s">
        <v>272</v>
      </c>
      <c r="BH2020" s="155" t="s">
        <v>272</v>
      </c>
      <c r="BI2020" s="153">
        <v>0.99999999999999989</v>
      </c>
      <c r="BJ2020" s="153">
        <v>999.99999999999989</v>
      </c>
      <c r="BK2020" s="56"/>
      <c r="BL2020" s="153">
        <v>21815.522412171551</v>
      </c>
      <c r="BM2020" s="56">
        <v>0</v>
      </c>
      <c r="BN2020" s="56"/>
      <c r="BO2020" s="56"/>
      <c r="BP2020" s="56"/>
      <c r="BQ2020" s="56"/>
      <c r="BR2020" s="56"/>
      <c r="BS2020" s="56"/>
      <c r="BT2020" s="56"/>
      <c r="BU2020" s="158"/>
      <c r="BV2020" s="56"/>
      <c r="BW2020" s="56"/>
      <c r="BX2020" s="56"/>
      <c r="BY2020" s="56">
        <v>82.292000000000002</v>
      </c>
      <c r="BZ2020" s="56">
        <v>411.46</v>
      </c>
      <c r="CA2020" s="56">
        <v>148.12559999999999</v>
      </c>
      <c r="CB2020" s="56">
        <v>57.604400000000005</v>
      </c>
      <c r="CC2020" s="56"/>
      <c r="CD2020" s="56"/>
      <c r="CE2020" s="56"/>
      <c r="CF2020" s="56"/>
      <c r="CG2020" s="56"/>
      <c r="CH2020" s="56"/>
      <c r="CI2020" s="103">
        <v>57.604400000000005</v>
      </c>
      <c r="CJ2020" s="103">
        <f t="shared" si="553"/>
        <v>1.7604556574290886</v>
      </c>
      <c r="CK2020" s="57">
        <f t="shared" si="557"/>
        <v>21.815522412171553</v>
      </c>
      <c r="CL2020" s="160">
        <f t="shared" si="555"/>
        <v>378.71277909624177</v>
      </c>
      <c r="CM2020" s="160"/>
      <c r="CN2020" s="160"/>
      <c r="CO2020" s="55" t="s">
        <v>273</v>
      </c>
      <c r="CP2020" s="503" t="s">
        <v>274</v>
      </c>
      <c r="CQ2020" s="149" t="s">
        <v>272</v>
      </c>
      <c r="CR2020" s="349"/>
      <c r="CS2020" s="61" t="s">
        <v>539</v>
      </c>
      <c r="CT2020" s="61"/>
      <c r="CU2020" s="111">
        <f t="shared" si="556"/>
        <v>0.40262613303777867</v>
      </c>
      <c r="CV2020" s="331">
        <f t="shared" si="558"/>
        <v>2.3193036817961424E-2</v>
      </c>
      <c r="CW2020" s="326">
        <f t="shared" si="554"/>
        <v>0</v>
      </c>
      <c r="CX2020" s="326"/>
      <c r="CY2020" s="161" t="s">
        <v>5921</v>
      </c>
    </row>
    <row r="2021" spans="1:103" ht="11.25" customHeight="1" x14ac:dyDescent="0.2">
      <c r="A2021" s="72">
        <v>1999</v>
      </c>
      <c r="B2021" s="282">
        <v>32</v>
      </c>
      <c r="C2021" s="115" t="s">
        <v>409</v>
      </c>
      <c r="D2021" s="115"/>
      <c r="E2021" s="116">
        <v>1</v>
      </c>
      <c r="F2021" s="116" t="s">
        <v>410</v>
      </c>
      <c r="G2021" s="283">
        <v>6080564</v>
      </c>
      <c r="H2021" s="284" t="s">
        <v>411</v>
      </c>
      <c r="I2021" s="284"/>
      <c r="J2021" s="284" t="s">
        <v>412</v>
      </c>
      <c r="K2021" s="284" t="s">
        <v>416</v>
      </c>
      <c r="L2021" s="285"/>
      <c r="M2021" s="284"/>
      <c r="N2021" s="284"/>
      <c r="O2021" s="284"/>
      <c r="P2021" s="286"/>
      <c r="Q2021" s="286"/>
      <c r="R2021" s="286"/>
      <c r="S2021" s="286"/>
      <c r="T2021" s="116">
        <v>325.27999999999997</v>
      </c>
      <c r="U2021" s="287"/>
      <c r="V2021" s="287"/>
      <c r="W2021" s="287"/>
      <c r="X2021" s="287"/>
      <c r="Y2021" s="420"/>
      <c r="Z2021" s="116"/>
      <c r="AA2021" s="116"/>
      <c r="AB2021" s="116"/>
      <c r="AC2021" s="116"/>
      <c r="AD2021" s="116"/>
      <c r="AE2021" s="116"/>
      <c r="AF2021" s="116"/>
      <c r="AG2021" s="117" t="s">
        <v>404</v>
      </c>
      <c r="AH2021" s="292"/>
      <c r="AI2021" s="292"/>
      <c r="AJ2021" s="125"/>
      <c r="AK2021" s="125"/>
      <c r="AL2021" s="125"/>
      <c r="AM2021" s="125"/>
      <c r="AN2021" s="288"/>
      <c r="AO2021" s="420"/>
      <c r="AP2021" s="420"/>
      <c r="AQ2021" s="288" t="s">
        <v>6311</v>
      </c>
      <c r="AR2021" s="288" t="s">
        <v>6311</v>
      </c>
      <c r="AS2021" s="282" t="s">
        <v>289</v>
      </c>
      <c r="AT2021" s="118" t="s">
        <v>266</v>
      </c>
      <c r="AU2021" s="289">
        <v>24</v>
      </c>
      <c r="AV2021" s="289">
        <v>120</v>
      </c>
      <c r="AW2021" s="289">
        <v>96</v>
      </c>
      <c r="AX2021" s="289">
        <v>28</v>
      </c>
      <c r="AY2021" s="289" t="s">
        <v>267</v>
      </c>
      <c r="AZ2021" s="289" t="s">
        <v>268</v>
      </c>
      <c r="BA2021" s="289">
        <v>48</v>
      </c>
      <c r="BB2021" s="284" t="s">
        <v>269</v>
      </c>
      <c r="BC2021" s="290" t="s">
        <v>270</v>
      </c>
      <c r="BD2021" s="290" t="s">
        <v>8374</v>
      </c>
      <c r="BE2021" s="289" t="s">
        <v>271</v>
      </c>
      <c r="BF2021" s="289" t="s">
        <v>272</v>
      </c>
      <c r="BG2021" s="289" t="s">
        <v>272</v>
      </c>
      <c r="BH2021" s="289" t="s">
        <v>272</v>
      </c>
      <c r="BI2021" s="291">
        <v>1</v>
      </c>
      <c r="BJ2021" s="291">
        <v>1000</v>
      </c>
      <c r="BK2021" s="119"/>
      <c r="BL2021" s="287"/>
      <c r="BM2021" s="119">
        <v>0</v>
      </c>
      <c r="BN2021" s="119"/>
      <c r="BO2021" s="119"/>
      <c r="BP2021" s="119"/>
      <c r="BQ2021" s="119"/>
      <c r="BR2021" s="119"/>
      <c r="BS2021" s="119"/>
      <c r="BT2021" s="119"/>
      <c r="BU2021" s="293"/>
      <c r="BV2021" s="119"/>
      <c r="BW2021" s="119"/>
      <c r="BX2021" s="119"/>
      <c r="BY2021" s="119">
        <v>32.527999999999999</v>
      </c>
      <c r="BZ2021" s="119">
        <v>32.527999999999999</v>
      </c>
      <c r="CA2021" s="119">
        <v>139.87039999999999</v>
      </c>
      <c r="CB2021" s="119">
        <v>52.044799999999995</v>
      </c>
      <c r="CC2021" s="119"/>
      <c r="CD2021" s="119"/>
      <c r="CE2021" s="119"/>
      <c r="CF2021" s="119"/>
      <c r="CG2021" s="119"/>
      <c r="CH2021" s="119"/>
      <c r="CI2021" s="292">
        <v>32.527999999999999</v>
      </c>
      <c r="CJ2021" s="292">
        <f t="shared" si="553"/>
        <v>1.5122573612939634</v>
      </c>
      <c r="CK2021" s="120" t="s">
        <v>404</v>
      </c>
      <c r="CL2021" s="294"/>
      <c r="CM2021" s="294"/>
      <c r="CN2021" s="294">
        <f>BJ2021/(10^CM2021)</f>
        <v>1000</v>
      </c>
      <c r="CO2021" s="284" t="s">
        <v>273</v>
      </c>
      <c r="CP2021" s="504" t="s">
        <v>274</v>
      </c>
      <c r="CQ2021" s="282"/>
      <c r="CR2021" s="282">
        <f>10^(CJ2021-CQ2021)</f>
        <v>32.528000000000013</v>
      </c>
      <c r="CS2021" s="123" t="s">
        <v>539</v>
      </c>
      <c r="CT2021" s="123"/>
      <c r="CU2021" s="300" t="s">
        <v>6310</v>
      </c>
      <c r="CV2021" s="338" t="s">
        <v>6310</v>
      </c>
      <c r="CW2021" s="339">
        <f t="shared" si="554"/>
        <v>1</v>
      </c>
      <c r="CX2021" s="339"/>
      <c r="CY2021" s="295" t="s">
        <v>5921</v>
      </c>
    </row>
    <row r="2022" spans="1:103" ht="11.25" customHeight="1" x14ac:dyDescent="0.2">
      <c r="A2022" s="72">
        <v>2000</v>
      </c>
      <c r="B2022" s="282">
        <v>33</v>
      </c>
      <c r="C2022" s="115" t="s">
        <v>413</v>
      </c>
      <c r="D2022" s="115"/>
      <c r="E2022" s="116">
        <v>1</v>
      </c>
      <c r="F2022" s="116" t="s">
        <v>414</v>
      </c>
      <c r="G2022" s="283">
        <v>7447418</v>
      </c>
      <c r="H2022" s="284" t="s">
        <v>415</v>
      </c>
      <c r="I2022" s="284"/>
      <c r="J2022" s="284"/>
      <c r="K2022" s="284" t="s">
        <v>416</v>
      </c>
      <c r="L2022" s="285"/>
      <c r="M2022" s="284"/>
      <c r="N2022" s="284"/>
      <c r="O2022" s="284"/>
      <c r="P2022" s="286"/>
      <c r="Q2022" s="286"/>
      <c r="R2022" s="286"/>
      <c r="S2022" s="286"/>
      <c r="T2022" s="116">
        <v>42.39</v>
      </c>
      <c r="U2022" s="287"/>
      <c r="V2022" s="287"/>
      <c r="W2022" s="287"/>
      <c r="X2022" s="287"/>
      <c r="Y2022" s="370"/>
      <c r="Z2022" s="116"/>
      <c r="AA2022" s="116"/>
      <c r="AB2022" s="116"/>
      <c r="AC2022" s="116"/>
      <c r="AD2022" s="116"/>
      <c r="AE2022" s="116"/>
      <c r="AF2022" s="116"/>
      <c r="AG2022" s="117" t="s">
        <v>404</v>
      </c>
      <c r="AH2022" s="292">
        <v>4.8200000000000001E-4</v>
      </c>
      <c r="AI2022" s="292"/>
      <c r="AJ2022" s="125">
        <f>LOG10(AH2022*1000/(0.08206*298.15))</f>
        <v>-1.7055192880738022</v>
      </c>
      <c r="AK2022" s="125"/>
      <c r="AL2022" s="125">
        <f>IF(AK2022=0,AJ2022,AK2022)</f>
        <v>-1.7055192880738022</v>
      </c>
      <c r="AM2022" s="125"/>
      <c r="AN2022" s="297"/>
      <c r="AO2022" s="420"/>
      <c r="AP2022" s="420"/>
      <c r="AQ2022" s="297" t="s">
        <v>6311</v>
      </c>
      <c r="AR2022" s="297" t="s">
        <v>6311</v>
      </c>
      <c r="AS2022" s="282" t="s">
        <v>301</v>
      </c>
      <c r="AT2022" s="118" t="s">
        <v>266</v>
      </c>
      <c r="AU2022" s="289">
        <v>24</v>
      </c>
      <c r="AV2022" s="289">
        <v>120</v>
      </c>
      <c r="AW2022" s="289">
        <v>96</v>
      </c>
      <c r="AX2022" s="289">
        <v>28</v>
      </c>
      <c r="AY2022" s="289" t="s">
        <v>267</v>
      </c>
      <c r="AZ2022" s="289" t="s">
        <v>268</v>
      </c>
      <c r="BA2022" s="289">
        <v>48</v>
      </c>
      <c r="BB2022" s="284" t="s">
        <v>269</v>
      </c>
      <c r="BC2022" s="290" t="s">
        <v>270</v>
      </c>
      <c r="BD2022" s="290" t="s">
        <v>8374</v>
      </c>
      <c r="BE2022" s="289" t="s">
        <v>271</v>
      </c>
      <c r="BF2022" s="289" t="s">
        <v>272</v>
      </c>
      <c r="BG2022" s="289" t="s">
        <v>272</v>
      </c>
      <c r="BH2022" s="289" t="s">
        <v>272</v>
      </c>
      <c r="BI2022" s="291">
        <v>1</v>
      </c>
      <c r="BJ2022" s="291">
        <v>16000.000000000002</v>
      </c>
      <c r="BK2022" s="119"/>
      <c r="BL2022" s="287"/>
      <c r="BM2022" s="119">
        <v>0</v>
      </c>
      <c r="BN2022" s="119"/>
      <c r="BO2022" s="119"/>
      <c r="BP2022" s="119"/>
      <c r="BQ2022" s="119"/>
      <c r="BR2022" s="119"/>
      <c r="BS2022" s="119"/>
      <c r="BT2022" s="119"/>
      <c r="BU2022" s="293"/>
      <c r="BV2022" s="119"/>
      <c r="BW2022" s="119"/>
      <c r="BX2022" s="119"/>
      <c r="BY2022" s="119">
        <v>11782.300499999999</v>
      </c>
      <c r="BZ2022" s="119">
        <v>9329.1912000000011</v>
      </c>
      <c r="CA2022" s="119">
        <v>7218.5931</v>
      </c>
      <c r="CB2022" s="119">
        <v>3324.2238000000002</v>
      </c>
      <c r="CC2022" s="119"/>
      <c r="CD2022" s="119"/>
      <c r="CE2022" s="119"/>
      <c r="CF2022" s="119"/>
      <c r="CG2022" s="119"/>
      <c r="CH2022" s="119"/>
      <c r="CI2022" s="292">
        <v>3324.2238000000002</v>
      </c>
      <c r="CJ2022" s="292">
        <f t="shared" si="553"/>
        <v>3.5216902545324089</v>
      </c>
      <c r="CK2022" s="120" t="s">
        <v>404</v>
      </c>
      <c r="CL2022" s="294"/>
      <c r="CM2022" s="294"/>
      <c r="CN2022" s="294">
        <f>BJ2022/(10^CM2022)</f>
        <v>16000.000000000002</v>
      </c>
      <c r="CO2022" s="284" t="s">
        <v>273</v>
      </c>
      <c r="CP2022" s="504" t="s">
        <v>274</v>
      </c>
      <c r="CQ2022" s="282"/>
      <c r="CR2022" s="282">
        <f>10^(CJ2022-CQ2022)</f>
        <v>3324.2237999999998</v>
      </c>
      <c r="CS2022" s="123" t="s">
        <v>539</v>
      </c>
      <c r="CT2022" s="123"/>
      <c r="CU2022" s="300" t="s">
        <v>6310</v>
      </c>
      <c r="CV2022" s="338" t="s">
        <v>6310</v>
      </c>
      <c r="CW2022" s="339">
        <f t="shared" si="554"/>
        <v>1</v>
      </c>
      <c r="CX2022" s="339"/>
      <c r="CY2022" s="295" t="s">
        <v>6351</v>
      </c>
    </row>
    <row r="2023" spans="1:103" ht="11.25" customHeight="1" x14ac:dyDescent="0.2">
      <c r="A2023" s="72">
        <v>2001</v>
      </c>
      <c r="B2023" s="282">
        <v>30</v>
      </c>
      <c r="C2023" s="115" t="s">
        <v>400</v>
      </c>
      <c r="D2023" s="115"/>
      <c r="E2023" s="116">
        <v>1</v>
      </c>
      <c r="F2023" s="116" t="s">
        <v>401</v>
      </c>
      <c r="G2023" s="283">
        <v>10108642</v>
      </c>
      <c r="H2023" s="284" t="s">
        <v>402</v>
      </c>
      <c r="I2023" s="284"/>
      <c r="J2023" s="284"/>
      <c r="K2023" s="284" t="s">
        <v>416</v>
      </c>
      <c r="L2023" s="285"/>
      <c r="M2023" s="284"/>
      <c r="N2023" s="284"/>
      <c r="O2023" s="284"/>
      <c r="P2023" s="286"/>
      <c r="Q2023" s="286"/>
      <c r="R2023" s="286"/>
      <c r="S2023" s="286"/>
      <c r="T2023" s="116">
        <v>479.67</v>
      </c>
      <c r="U2023" s="287"/>
      <c r="V2023" s="287"/>
      <c r="W2023" s="287"/>
      <c r="X2023" s="287"/>
      <c r="Y2023" s="420"/>
      <c r="Z2023" s="116"/>
      <c r="AA2023" s="116"/>
      <c r="AB2023" s="116"/>
      <c r="AC2023" s="116"/>
      <c r="AD2023" s="116"/>
      <c r="AE2023" s="116"/>
      <c r="AF2023" s="116"/>
      <c r="AG2023" s="117" t="s">
        <v>404</v>
      </c>
      <c r="AH2023" s="292">
        <v>4.8200000000000001E-4</v>
      </c>
      <c r="AI2023" s="292"/>
      <c r="AJ2023" s="125">
        <f>LOG10(AH2023*1000/(0.08206*298.15))</f>
        <v>-1.7055192880738022</v>
      </c>
      <c r="AK2023" s="125"/>
      <c r="AL2023" s="125">
        <f>IF(AK2023=0,AJ2023,AK2023)</f>
        <v>-1.7055192880738022</v>
      </c>
      <c r="AM2023" s="125"/>
      <c r="AN2023" s="288"/>
      <c r="AO2023" s="420"/>
      <c r="AP2023" s="420"/>
      <c r="AQ2023" s="288" t="s">
        <v>6311</v>
      </c>
      <c r="AR2023" s="288" t="s">
        <v>6311</v>
      </c>
      <c r="AS2023" s="282" t="s">
        <v>289</v>
      </c>
      <c r="AT2023" s="118" t="s">
        <v>266</v>
      </c>
      <c r="AU2023" s="289">
        <v>24</v>
      </c>
      <c r="AV2023" s="289">
        <v>120</v>
      </c>
      <c r="AW2023" s="289">
        <v>96</v>
      </c>
      <c r="AX2023" s="289">
        <v>28</v>
      </c>
      <c r="AY2023" s="289" t="s">
        <v>267</v>
      </c>
      <c r="AZ2023" s="289" t="s">
        <v>268</v>
      </c>
      <c r="BA2023" s="289">
        <v>48</v>
      </c>
      <c r="BB2023" s="284" t="s">
        <v>269</v>
      </c>
      <c r="BC2023" s="290" t="s">
        <v>270</v>
      </c>
      <c r="BD2023" s="290" t="s">
        <v>8374</v>
      </c>
      <c r="BE2023" s="289" t="s">
        <v>271</v>
      </c>
      <c r="BF2023" s="289" t="s">
        <v>272</v>
      </c>
      <c r="BG2023" s="289" t="s">
        <v>272</v>
      </c>
      <c r="BH2023" s="289" t="s">
        <v>272</v>
      </c>
      <c r="BI2023" s="291">
        <v>1</v>
      </c>
      <c r="BJ2023" s="291">
        <v>1000.0000000000001</v>
      </c>
      <c r="BK2023" s="119"/>
      <c r="BL2023" s="287"/>
      <c r="BM2023" s="119">
        <v>0</v>
      </c>
      <c r="BN2023" s="119"/>
      <c r="BO2023" s="119"/>
      <c r="BP2023" s="119"/>
      <c r="BQ2023" s="119"/>
      <c r="BR2023" s="119"/>
      <c r="BS2023" s="119"/>
      <c r="BT2023" s="119"/>
      <c r="BU2023" s="293"/>
      <c r="BV2023" s="119"/>
      <c r="BW2023" s="119"/>
      <c r="BX2023" s="119"/>
      <c r="BY2023" s="119">
        <v>254.22510000000003</v>
      </c>
      <c r="BZ2023" s="119">
        <v>407.71949999999998</v>
      </c>
      <c r="CA2023" s="119">
        <v>326.17560000000003</v>
      </c>
      <c r="CB2023" s="119">
        <v>28.780200000000001</v>
      </c>
      <c r="CC2023" s="119"/>
      <c r="CD2023" s="119"/>
      <c r="CE2023" s="119"/>
      <c r="CF2023" s="119"/>
      <c r="CG2023" s="119"/>
      <c r="CH2023" s="119"/>
      <c r="CI2023" s="292">
        <v>28.780200000000001</v>
      </c>
      <c r="CJ2023" s="292">
        <f t="shared" si="553"/>
        <v>1.4590938076198561</v>
      </c>
      <c r="CK2023" s="120" t="s">
        <v>404</v>
      </c>
      <c r="CL2023" s="294"/>
      <c r="CM2023" s="294"/>
      <c r="CN2023" s="294">
        <f>BJ2023/(10^CM2023)</f>
        <v>1000.0000000000001</v>
      </c>
      <c r="CO2023" s="284" t="s">
        <v>273</v>
      </c>
      <c r="CP2023" s="504" t="s">
        <v>274</v>
      </c>
      <c r="CQ2023" s="282">
        <v>-1.2180114951458934</v>
      </c>
      <c r="CR2023" s="282">
        <f>10^(CJ2023-CQ2023)</f>
        <v>475.45049377327854</v>
      </c>
      <c r="CS2023" s="123" t="s">
        <v>539</v>
      </c>
      <c r="CT2023" s="123"/>
      <c r="CU2023" s="300" t="s">
        <v>6310</v>
      </c>
      <c r="CV2023" s="338" t="s">
        <v>6310</v>
      </c>
      <c r="CW2023" s="339">
        <f t="shared" si="554"/>
        <v>1</v>
      </c>
      <c r="CX2023" s="339"/>
      <c r="CY2023" s="295" t="s">
        <v>6351</v>
      </c>
    </row>
    <row r="2024" spans="1:103" ht="11.25" customHeight="1" x14ac:dyDescent="0.2">
      <c r="A2024" s="72">
        <v>2029</v>
      </c>
      <c r="B2024" s="282">
        <v>31</v>
      </c>
      <c r="C2024" s="115" t="s">
        <v>405</v>
      </c>
      <c r="D2024" s="115"/>
      <c r="E2024" s="116">
        <v>1</v>
      </c>
      <c r="F2024" s="116" t="s">
        <v>406</v>
      </c>
      <c r="G2024" s="283">
        <v>10031433</v>
      </c>
      <c r="H2024" s="284" t="s">
        <v>407</v>
      </c>
      <c r="I2024" s="284"/>
      <c r="J2024" s="284" t="s">
        <v>408</v>
      </c>
      <c r="K2024" s="284"/>
      <c r="L2024" s="285"/>
      <c r="M2024" s="284"/>
      <c r="N2024" s="350"/>
      <c r="O2024" s="284"/>
      <c r="P2024" s="286"/>
      <c r="Q2024" s="286"/>
      <c r="R2024" s="286"/>
      <c r="S2024" s="286"/>
      <c r="T2024" s="116">
        <v>241.6</v>
      </c>
      <c r="U2024" s="287"/>
      <c r="V2024" s="287"/>
      <c r="W2024" s="287"/>
      <c r="X2024" s="287"/>
      <c r="Y2024" s="420"/>
      <c r="Z2024" s="116"/>
      <c r="AA2024" s="116"/>
      <c r="AB2024" s="116"/>
      <c r="AC2024" s="116"/>
      <c r="AD2024" s="116"/>
      <c r="AE2024" s="116"/>
      <c r="AF2024" s="116"/>
      <c r="AG2024" s="117" t="s">
        <v>404</v>
      </c>
      <c r="AH2024" s="292"/>
      <c r="AI2024" s="287"/>
      <c r="AJ2024" s="125"/>
      <c r="AK2024" s="125"/>
      <c r="AL2024" s="125"/>
      <c r="AM2024" s="125"/>
      <c r="AN2024" s="288"/>
      <c r="AO2024" s="420"/>
      <c r="AP2024" s="420"/>
      <c r="AQ2024" s="288" t="s">
        <v>6311</v>
      </c>
      <c r="AR2024" s="288" t="s">
        <v>6311</v>
      </c>
      <c r="AS2024" s="282" t="s">
        <v>289</v>
      </c>
      <c r="AT2024" s="118" t="s">
        <v>266</v>
      </c>
      <c r="AU2024" s="289">
        <v>24</v>
      </c>
      <c r="AV2024" s="289">
        <v>120</v>
      </c>
      <c r="AW2024" s="289">
        <v>96</v>
      </c>
      <c r="AX2024" s="289">
        <v>28</v>
      </c>
      <c r="AY2024" s="289" t="s">
        <v>267</v>
      </c>
      <c r="AZ2024" s="289" t="s">
        <v>268</v>
      </c>
      <c r="BA2024" s="289">
        <v>48</v>
      </c>
      <c r="BB2024" s="284" t="s">
        <v>269</v>
      </c>
      <c r="BC2024" s="290" t="s">
        <v>270</v>
      </c>
      <c r="BD2024" s="290" t="s">
        <v>8374</v>
      </c>
      <c r="BE2024" s="289" t="s">
        <v>271</v>
      </c>
      <c r="BF2024" s="289" t="s">
        <v>272</v>
      </c>
      <c r="BG2024" s="289" t="s">
        <v>272</v>
      </c>
      <c r="BH2024" s="289" t="s">
        <v>272</v>
      </c>
      <c r="BI2024" s="291">
        <v>1</v>
      </c>
      <c r="BJ2024" s="291">
        <v>1000.0000000000001</v>
      </c>
      <c r="BK2024" s="119"/>
      <c r="BL2024" s="287"/>
      <c r="BM2024" s="119">
        <v>0</v>
      </c>
      <c r="BN2024" s="119"/>
      <c r="BO2024" s="119"/>
      <c r="BP2024" s="119"/>
      <c r="BQ2024" s="119"/>
      <c r="BR2024" s="119"/>
      <c r="BS2024" s="119"/>
      <c r="BT2024" s="119"/>
      <c r="BU2024" s="293"/>
      <c r="BV2024" s="119"/>
      <c r="BW2024" s="119"/>
      <c r="BX2024" s="119"/>
      <c r="BY2024" s="119">
        <v>72.47999999999999</v>
      </c>
      <c r="BZ2024" s="119">
        <v>72.47999999999999</v>
      </c>
      <c r="CA2024" s="119">
        <v>67.64800000000001</v>
      </c>
      <c r="CB2024" s="119">
        <v>57.983999999999995</v>
      </c>
      <c r="CC2024" s="119"/>
      <c r="CD2024" s="119"/>
      <c r="CE2024" s="119"/>
      <c r="CF2024" s="119"/>
      <c r="CG2024" s="119"/>
      <c r="CH2024" s="119"/>
      <c r="CI2024" s="292">
        <v>57.983999999999995</v>
      </c>
      <c r="CJ2024" s="292">
        <f t="shared" ref="CJ2024:CJ2038" si="563">LOG10(CI2024)</f>
        <v>1.7633081716607002</v>
      </c>
      <c r="CK2024" s="120" t="s">
        <v>404</v>
      </c>
      <c r="CL2024" s="294"/>
      <c r="CM2024" s="294"/>
      <c r="CN2024" s="294">
        <f>BJ2024/(10^CM2024)</f>
        <v>1000.0000000000001</v>
      </c>
      <c r="CO2024" s="284" t="s">
        <v>273</v>
      </c>
      <c r="CP2024" s="504" t="s">
        <v>274</v>
      </c>
      <c r="CQ2024" s="282"/>
      <c r="CR2024" s="352">
        <f>10^(CJ2024-CQ2024)</f>
        <v>57.984000000000016</v>
      </c>
      <c r="CS2024" s="123" t="s">
        <v>539</v>
      </c>
      <c r="CT2024" s="123"/>
      <c r="CU2024" s="300" t="s">
        <v>6310</v>
      </c>
      <c r="CV2024" s="338" t="s">
        <v>6310</v>
      </c>
      <c r="CW2024" s="339">
        <f t="shared" ref="CW2024:CW2038" si="564">IF(CU2024&lt;2,0,1)</f>
        <v>1</v>
      </c>
      <c r="CX2024" s="339"/>
      <c r="CY2024" s="295" t="s">
        <v>5921</v>
      </c>
    </row>
    <row r="2025" spans="1:103" ht="11.25" customHeight="1" x14ac:dyDescent="0.2">
      <c r="A2025" s="72">
        <v>2032</v>
      </c>
      <c r="B2025" s="282">
        <v>53</v>
      </c>
      <c r="C2025" s="115" t="s">
        <v>499</v>
      </c>
      <c r="D2025" s="115"/>
      <c r="E2025" s="116">
        <v>1</v>
      </c>
      <c r="F2025" s="116" t="s">
        <v>500</v>
      </c>
      <c r="G2025" s="283">
        <v>26628228</v>
      </c>
      <c r="H2025" s="284" t="s">
        <v>501</v>
      </c>
      <c r="I2025" s="284"/>
      <c r="J2025" s="284" t="s">
        <v>502</v>
      </c>
      <c r="K2025" s="284" t="s">
        <v>416</v>
      </c>
      <c r="L2025" s="285"/>
      <c r="M2025" s="284"/>
      <c r="N2025" s="350"/>
      <c r="O2025" s="284"/>
      <c r="P2025" s="286">
        <v>3</v>
      </c>
      <c r="Q2025" s="286" t="s">
        <v>6173</v>
      </c>
      <c r="R2025" s="286">
        <v>1</v>
      </c>
      <c r="S2025" s="286" t="s">
        <v>6173</v>
      </c>
      <c r="T2025" s="116">
        <v>65.010000000000005</v>
      </c>
      <c r="U2025" s="287"/>
      <c r="V2025" s="287"/>
      <c r="W2025" s="287"/>
      <c r="X2025" s="287"/>
      <c r="Y2025" s="420"/>
      <c r="Z2025" s="116"/>
      <c r="AA2025" s="116"/>
      <c r="AB2025" s="116"/>
      <c r="AC2025" s="116"/>
      <c r="AD2025" s="116"/>
      <c r="AE2025" s="116"/>
      <c r="AF2025" s="116"/>
      <c r="AG2025" s="117" t="s">
        <v>404</v>
      </c>
      <c r="AH2025" s="292">
        <v>8.0799999999999999E-5</v>
      </c>
      <c r="AI2025" s="287"/>
      <c r="AJ2025" s="125">
        <f t="shared" ref="AJ2025:AJ2038" si="565">LOG10(AH2025*1000/(0.08206*298.15))</f>
        <v>-2.4811549655380656</v>
      </c>
      <c r="AK2025" s="125"/>
      <c r="AL2025" s="125">
        <f t="shared" ref="AL2025:AL2038" si="566">IF(AK2025=0,AJ2025,AK2025)</f>
        <v>-2.4811549655380656</v>
      </c>
      <c r="AM2025" s="125"/>
      <c r="AN2025" s="288"/>
      <c r="AO2025" s="420"/>
      <c r="AP2025" s="420"/>
      <c r="AQ2025" s="288" t="s">
        <v>6311</v>
      </c>
      <c r="AR2025" s="288" t="s">
        <v>6311</v>
      </c>
      <c r="AS2025" s="282" t="s">
        <v>503</v>
      </c>
      <c r="AT2025" s="118" t="s">
        <v>266</v>
      </c>
      <c r="AU2025" s="289">
        <v>24</v>
      </c>
      <c r="AV2025" s="289">
        <v>120</v>
      </c>
      <c r="AW2025" s="289">
        <v>96</v>
      </c>
      <c r="AX2025" s="289">
        <v>28</v>
      </c>
      <c r="AY2025" s="289" t="s">
        <v>267</v>
      </c>
      <c r="AZ2025" s="289" t="s">
        <v>268</v>
      </c>
      <c r="BA2025" s="289">
        <v>48</v>
      </c>
      <c r="BB2025" s="284" t="s">
        <v>269</v>
      </c>
      <c r="BC2025" s="290" t="s">
        <v>270</v>
      </c>
      <c r="BD2025" s="290" t="s">
        <v>8374</v>
      </c>
      <c r="BE2025" s="289" t="s">
        <v>271</v>
      </c>
      <c r="BF2025" s="289" t="s">
        <v>272</v>
      </c>
      <c r="BG2025" s="289" t="s">
        <v>272</v>
      </c>
      <c r="BH2025" s="289" t="s">
        <v>272</v>
      </c>
      <c r="BI2025" s="291">
        <v>1</v>
      </c>
      <c r="BJ2025" s="291">
        <v>1000</v>
      </c>
      <c r="BK2025" s="119"/>
      <c r="BL2025" s="287"/>
      <c r="BM2025" s="119">
        <v>0</v>
      </c>
      <c r="BN2025" s="119"/>
      <c r="BO2025" s="119"/>
      <c r="BP2025" s="119"/>
      <c r="BQ2025" s="119"/>
      <c r="BR2025" s="119"/>
      <c r="BS2025" s="119"/>
      <c r="BT2025" s="119"/>
      <c r="BU2025" s="293"/>
      <c r="BV2025" s="119"/>
      <c r="BW2025" s="119"/>
      <c r="BX2025" s="119"/>
      <c r="BY2025" s="119">
        <v>1.9503000000000001</v>
      </c>
      <c r="BZ2025" s="119">
        <v>5.2008000000000001</v>
      </c>
      <c r="CA2025" s="119">
        <v>3.9006000000000003</v>
      </c>
      <c r="CB2025" s="119">
        <v>1.3002</v>
      </c>
      <c r="CC2025" s="119"/>
      <c r="CD2025" s="119"/>
      <c r="CE2025" s="119"/>
      <c r="CF2025" s="119"/>
      <c r="CG2025" s="119"/>
      <c r="CH2025" s="119"/>
      <c r="CI2025" s="292">
        <v>1.3002</v>
      </c>
      <c r="CJ2025" s="292">
        <f t="shared" si="563"/>
        <v>0.11401016170346161</v>
      </c>
      <c r="CK2025" s="120" t="s">
        <v>404</v>
      </c>
      <c r="CL2025" s="294"/>
      <c r="CM2025" s="294"/>
      <c r="CN2025" s="294">
        <f>BJ2025/(10^CM2025)</f>
        <v>1000</v>
      </c>
      <c r="CO2025" s="284" t="s">
        <v>273</v>
      </c>
      <c r="CP2025" s="504" t="s">
        <v>274</v>
      </c>
      <c r="CQ2025" s="282"/>
      <c r="CR2025" s="352">
        <f>10^(CJ2025-CQ2025)</f>
        <v>1.3002</v>
      </c>
      <c r="CS2025" s="123" t="s">
        <v>539</v>
      </c>
      <c r="CT2025" s="123"/>
      <c r="CU2025" s="300" t="s">
        <v>6310</v>
      </c>
      <c r="CV2025" s="338" t="s">
        <v>6310</v>
      </c>
      <c r="CW2025" s="339">
        <f t="shared" si="564"/>
        <v>1</v>
      </c>
      <c r="CX2025" s="339"/>
      <c r="CY2025" s="295" t="s">
        <v>6351</v>
      </c>
    </row>
    <row r="2026" spans="1:103" ht="11.25" customHeight="1" x14ac:dyDescent="0.2">
      <c r="A2026" s="72">
        <v>189</v>
      </c>
      <c r="B2026" s="149">
        <v>1937</v>
      </c>
      <c r="C2026" s="54" t="s">
        <v>5459</v>
      </c>
      <c r="D2026" s="54" t="s">
        <v>8549</v>
      </c>
      <c r="E2026" s="59"/>
      <c r="F2026" s="59" t="s">
        <v>5460</v>
      </c>
      <c r="G2026" s="151">
        <v>1972083</v>
      </c>
      <c r="H2026" s="67" t="s">
        <v>5461</v>
      </c>
      <c r="I2026" s="67" t="s">
        <v>5461</v>
      </c>
      <c r="J2026" s="67" t="s">
        <v>5462</v>
      </c>
      <c r="K2026" s="67" t="s">
        <v>349</v>
      </c>
      <c r="L2026" s="67" t="s">
        <v>5463</v>
      </c>
      <c r="M2026" s="67" t="s">
        <v>5464</v>
      </c>
      <c r="N2026" s="60"/>
      <c r="O2026" s="67" t="s">
        <v>5465</v>
      </c>
      <c r="P2026" s="67"/>
      <c r="Q2026" s="67"/>
      <c r="R2026" s="67"/>
      <c r="S2026" s="67"/>
      <c r="T2026" s="61">
        <v>314.45</v>
      </c>
      <c r="U2026" s="111">
        <v>2800</v>
      </c>
      <c r="V2026" s="111">
        <v>4.2840000000000003E-2</v>
      </c>
      <c r="W2026" s="111">
        <v>0.50997818511451476</v>
      </c>
      <c r="X2026" s="111">
        <v>2800</v>
      </c>
      <c r="Y2026" s="411">
        <v>6.99</v>
      </c>
      <c r="Z2026" s="61">
        <v>7.6</v>
      </c>
      <c r="AA2026" s="61">
        <v>6.97</v>
      </c>
      <c r="AB2026" s="61">
        <v>7.11</v>
      </c>
      <c r="AC2026" s="61">
        <v>0.85470000000000002</v>
      </c>
      <c r="AD2026" s="61">
        <v>7.25</v>
      </c>
      <c r="AE2026" s="61">
        <v>7.68</v>
      </c>
      <c r="AF2026" s="61">
        <f t="shared" ref="AF2026:AF2038" si="567">IF(AA2026=0,AD2026,AA2026)</f>
        <v>6.97</v>
      </c>
      <c r="AG2026" s="62">
        <v>7.6</v>
      </c>
      <c r="AH2026" s="111">
        <v>2.4400000000000001E-7</v>
      </c>
      <c r="AI2026" s="111"/>
      <c r="AJ2026" s="62">
        <f t="shared" si="565"/>
        <v>-5.0011764999739219</v>
      </c>
      <c r="AK2026" s="62"/>
      <c r="AL2026" s="62">
        <f t="shared" si="566"/>
        <v>-5.0011764999739219</v>
      </c>
      <c r="AM2026" s="62">
        <v>-10.52154</v>
      </c>
      <c r="AN2026" s="163"/>
      <c r="AO2026" s="410">
        <v>9.81</v>
      </c>
      <c r="AP2026" s="410"/>
      <c r="AQ2026" s="163" t="s">
        <v>5921</v>
      </c>
      <c r="AR2026" s="163" t="s">
        <v>5921</v>
      </c>
      <c r="AS2026" s="164" t="s">
        <v>5466</v>
      </c>
      <c r="AT2026" s="63" t="s">
        <v>266</v>
      </c>
      <c r="AU2026" s="61">
        <v>24</v>
      </c>
      <c r="AV2026" s="61">
        <v>120</v>
      </c>
      <c r="AW2026" s="61">
        <v>96</v>
      </c>
      <c r="AX2026" s="61">
        <v>25</v>
      </c>
      <c r="AY2026" s="61" t="s">
        <v>267</v>
      </c>
      <c r="AZ2026" s="61" t="s">
        <v>268</v>
      </c>
      <c r="BA2026" s="61" t="s">
        <v>5467</v>
      </c>
      <c r="BB2026" s="67" t="s">
        <v>5468</v>
      </c>
      <c r="BC2026" s="67" t="s">
        <v>5469</v>
      </c>
      <c r="BD2026" s="67" t="s">
        <v>8374</v>
      </c>
      <c r="BE2026" s="61" t="s">
        <v>2449</v>
      </c>
      <c r="BF2026" s="61"/>
      <c r="BG2026" s="61"/>
      <c r="BH2026" s="61" t="s">
        <v>5470</v>
      </c>
      <c r="BI2026" s="153">
        <v>12.5000000486</v>
      </c>
      <c r="BJ2026" s="153">
        <v>100.00000007435</v>
      </c>
      <c r="BK2026" s="61"/>
      <c r="BL2026" s="153">
        <v>2.4143020273210388E-3</v>
      </c>
      <c r="BM2026" s="61" t="s">
        <v>1584</v>
      </c>
      <c r="BN2026" s="61"/>
      <c r="BO2026" s="61"/>
      <c r="BP2026" s="61"/>
      <c r="BQ2026" s="61"/>
      <c r="BR2026" s="61"/>
      <c r="BS2026" s="61"/>
      <c r="BT2026" s="61"/>
      <c r="BU2026" s="158"/>
      <c r="BV2026" s="61"/>
      <c r="BW2026" s="61"/>
      <c r="BX2026" s="61"/>
      <c r="BY2026" s="61"/>
      <c r="BZ2026" s="61"/>
      <c r="CA2026" s="61"/>
      <c r="CB2026" s="61">
        <v>3.3699999562499996</v>
      </c>
      <c r="CC2026" s="61"/>
      <c r="CD2026" s="61"/>
      <c r="CE2026" s="61"/>
      <c r="CF2026" s="61"/>
      <c r="CG2026" s="61"/>
      <c r="CH2026" s="61"/>
      <c r="CI2026" s="111">
        <v>3.3699999562499996</v>
      </c>
      <c r="CJ2026" s="103">
        <f t="shared" si="563"/>
        <v>0.52762989523324255</v>
      </c>
      <c r="CK2026" s="57">
        <f t="shared" ref="CK2026:CK2038" si="568">BL2026/BJ2026</f>
        <v>2.4143020255260054E-5</v>
      </c>
      <c r="CL2026" s="160">
        <f t="shared" ref="CL2026:CL2038" si="569">BL2026/CI2026</f>
        <v>7.1641010642848105E-4</v>
      </c>
      <c r="CM2026" s="160"/>
      <c r="CN2026" s="160"/>
      <c r="CO2026" s="67"/>
      <c r="CP2026" s="161" t="s">
        <v>5471</v>
      </c>
      <c r="CQ2026" s="149" t="s">
        <v>272</v>
      </c>
      <c r="CR2026" s="349"/>
      <c r="CS2026" s="61" t="s">
        <v>539</v>
      </c>
      <c r="CT2026" s="61"/>
      <c r="CU2026" s="111">
        <f t="shared" ref="CU2026:CU2038" si="570">X2026/CI2026</f>
        <v>830.86054491102345</v>
      </c>
      <c r="CV2026" s="331">
        <f t="shared" ref="CV2026:CV2038" si="571">X2026/BJ2026</f>
        <v>27.999999979182</v>
      </c>
      <c r="CW2026" s="326">
        <f t="shared" si="564"/>
        <v>1</v>
      </c>
      <c r="CX2026" s="326"/>
      <c r="CY2026" s="161" t="s">
        <v>5921</v>
      </c>
    </row>
    <row r="2027" spans="1:103" ht="11.25" customHeight="1" x14ac:dyDescent="0.2">
      <c r="A2027" s="72">
        <v>320</v>
      </c>
      <c r="B2027" s="149">
        <v>1939</v>
      </c>
      <c r="C2027" s="54" t="s">
        <v>5477</v>
      </c>
      <c r="D2027" s="54"/>
      <c r="E2027" s="59"/>
      <c r="F2027" s="59" t="s">
        <v>5478</v>
      </c>
      <c r="G2027" s="151">
        <v>83002044</v>
      </c>
      <c r="H2027" s="67" t="s">
        <v>5479</v>
      </c>
      <c r="I2027" s="67" t="s">
        <v>5479</v>
      </c>
      <c r="J2027" s="67" t="s">
        <v>5480</v>
      </c>
      <c r="K2027" s="67" t="s">
        <v>349</v>
      </c>
      <c r="L2027" s="67"/>
      <c r="M2027" s="67" t="s">
        <v>5464</v>
      </c>
      <c r="N2027" s="60"/>
      <c r="O2027" s="67" t="s">
        <v>5481</v>
      </c>
      <c r="P2027" s="67">
        <v>3</v>
      </c>
      <c r="Q2027" s="67" t="s">
        <v>6173</v>
      </c>
      <c r="R2027" s="67">
        <v>1</v>
      </c>
      <c r="S2027" s="67" t="s">
        <v>6173</v>
      </c>
      <c r="T2027" s="61">
        <v>376.58</v>
      </c>
      <c r="U2027" s="111"/>
      <c r="V2027" s="111">
        <v>9.4469999999999998E-2</v>
      </c>
      <c r="W2027" s="111">
        <v>4.424429212391277</v>
      </c>
      <c r="X2027" s="111">
        <v>4.424429212391277</v>
      </c>
      <c r="Y2027" s="411">
        <v>6.99</v>
      </c>
      <c r="Z2027" s="61">
        <v>7.5</v>
      </c>
      <c r="AA2027" s="61">
        <v>6.13</v>
      </c>
      <c r="AB2027" s="61">
        <v>6.2</v>
      </c>
      <c r="AC2027" s="61">
        <v>0.90280000000000005</v>
      </c>
      <c r="AD2027" s="61">
        <v>6.15</v>
      </c>
      <c r="AE2027" s="61">
        <v>5.97</v>
      </c>
      <c r="AF2027" s="61">
        <f t="shared" si="567"/>
        <v>6.13</v>
      </c>
      <c r="AG2027" s="62">
        <v>7.5</v>
      </c>
      <c r="AH2027" s="111">
        <v>3.75E-11</v>
      </c>
      <c r="AI2027" s="111"/>
      <c r="AJ2027" s="62">
        <f t="shared" si="565"/>
        <v>-8.8145350585849336</v>
      </c>
      <c r="AK2027" s="62"/>
      <c r="AL2027" s="62">
        <f t="shared" si="566"/>
        <v>-8.8145350585849336</v>
      </c>
      <c r="AM2027" s="62">
        <v>-16.274500000000003</v>
      </c>
      <c r="AN2027" s="163"/>
      <c r="AO2027" s="410">
        <v>10.25</v>
      </c>
      <c r="AP2027" s="410"/>
      <c r="AQ2027" s="163" t="s">
        <v>6311</v>
      </c>
      <c r="AR2027" s="163" t="s">
        <v>6311</v>
      </c>
      <c r="AS2027" s="164" t="s">
        <v>5466</v>
      </c>
      <c r="AT2027" s="63" t="s">
        <v>266</v>
      </c>
      <c r="AU2027" s="61">
        <v>24</v>
      </c>
      <c r="AV2027" s="61">
        <v>120</v>
      </c>
      <c r="AW2027" s="61">
        <v>96</v>
      </c>
      <c r="AX2027" s="61">
        <v>25</v>
      </c>
      <c r="AY2027" s="61" t="s">
        <v>267</v>
      </c>
      <c r="AZ2027" s="61" t="s">
        <v>268</v>
      </c>
      <c r="BA2027" s="61" t="s">
        <v>5467</v>
      </c>
      <c r="BB2027" s="67" t="s">
        <v>5468</v>
      </c>
      <c r="BC2027" s="67" t="s">
        <v>5469</v>
      </c>
      <c r="BD2027" s="67" t="s">
        <v>8374</v>
      </c>
      <c r="BE2027" s="61" t="s">
        <v>2449</v>
      </c>
      <c r="BF2027" s="61"/>
      <c r="BG2027" s="61"/>
      <c r="BH2027" s="61" t="s">
        <v>5470</v>
      </c>
      <c r="BI2027" s="153">
        <v>12.499999945239999</v>
      </c>
      <c r="BJ2027" s="153">
        <v>99.999999938499997</v>
      </c>
      <c r="BK2027" s="61"/>
      <c r="BL2027" s="153">
        <v>3.5555537726101529E-3</v>
      </c>
      <c r="BM2027" s="61" t="s">
        <v>1584</v>
      </c>
      <c r="BN2027" s="61"/>
      <c r="BO2027" s="61"/>
      <c r="BP2027" s="61"/>
      <c r="BQ2027" s="61"/>
      <c r="BR2027" s="61"/>
      <c r="BS2027" s="61"/>
      <c r="BT2027" s="61"/>
      <c r="BU2027" s="158"/>
      <c r="BV2027" s="61"/>
      <c r="BW2027" s="61"/>
      <c r="BX2027" s="61"/>
      <c r="BY2027" s="61"/>
      <c r="BZ2027" s="61"/>
      <c r="CA2027" s="61"/>
      <c r="CB2027" s="61">
        <v>16.919999993360001</v>
      </c>
      <c r="CC2027" s="61"/>
      <c r="CD2027" s="61"/>
      <c r="CE2027" s="61"/>
      <c r="CF2027" s="61"/>
      <c r="CG2027" s="61"/>
      <c r="CH2027" s="61"/>
      <c r="CI2027" s="111">
        <v>16.919999993360001</v>
      </c>
      <c r="CJ2027" s="103">
        <f t="shared" si="563"/>
        <v>1.2284003585325725</v>
      </c>
      <c r="CK2027" s="57">
        <f t="shared" si="568"/>
        <v>3.5555537747968185E-5</v>
      </c>
      <c r="CL2027" s="160">
        <f t="shared" si="569"/>
        <v>2.1013911193885795E-4</v>
      </c>
      <c r="CM2027" s="160"/>
      <c r="CN2027" s="160"/>
      <c r="CO2027" s="67"/>
      <c r="CP2027" s="161" t="s">
        <v>5471</v>
      </c>
      <c r="CQ2027" s="149" t="s">
        <v>272</v>
      </c>
      <c r="CR2027" s="349"/>
      <c r="CS2027" s="61" t="s">
        <v>539</v>
      </c>
      <c r="CT2027" s="61"/>
      <c r="CU2027" s="111">
        <f t="shared" si="570"/>
        <v>0.2614910883054124</v>
      </c>
      <c r="CV2027" s="331">
        <f t="shared" si="571"/>
        <v>4.4244292151123008E-2</v>
      </c>
      <c r="CW2027" s="326">
        <f t="shared" si="564"/>
        <v>0</v>
      </c>
      <c r="CX2027" s="326"/>
      <c r="CY2027" s="161" t="s">
        <v>5921</v>
      </c>
    </row>
    <row r="2028" spans="1:103" ht="11.25" customHeight="1" x14ac:dyDescent="0.2">
      <c r="A2028" s="72">
        <v>370</v>
      </c>
      <c r="B2028" s="149">
        <v>1938</v>
      </c>
      <c r="C2028" s="54" t="s">
        <v>6681</v>
      </c>
      <c r="D2028" s="54"/>
      <c r="E2028" s="59"/>
      <c r="F2028" s="167" t="s">
        <v>5472</v>
      </c>
      <c r="G2028" s="151">
        <v>131543232</v>
      </c>
      <c r="H2028" s="67" t="s">
        <v>5473</v>
      </c>
      <c r="I2028" s="67"/>
      <c r="J2028" s="67" t="s">
        <v>5474</v>
      </c>
      <c r="K2028" s="67"/>
      <c r="L2028" s="67"/>
      <c r="M2028" s="67" t="s">
        <v>5475</v>
      </c>
      <c r="N2028" s="60"/>
      <c r="O2028" s="67" t="s">
        <v>5476</v>
      </c>
      <c r="P2028" s="67"/>
      <c r="Q2028" s="67"/>
      <c r="R2028" s="67"/>
      <c r="S2028" s="67"/>
      <c r="T2028" s="61">
        <v>426.52</v>
      </c>
      <c r="U2028" s="111"/>
      <c r="V2028" s="111">
        <v>0.16520000000000001</v>
      </c>
      <c r="W2028" s="111">
        <v>1.0963252092665741</v>
      </c>
      <c r="X2028" s="111">
        <v>1.0963252092665741</v>
      </c>
      <c r="Y2028" s="411">
        <v>7.53</v>
      </c>
      <c r="Z2028" s="61">
        <v>4.68</v>
      </c>
      <c r="AA2028" s="61"/>
      <c r="AB2028" s="61">
        <v>4</v>
      </c>
      <c r="AC2028" s="61">
        <v>0.42359999999999998</v>
      </c>
      <c r="AD2028" s="61">
        <v>4.13</v>
      </c>
      <c r="AE2028" s="61">
        <v>4.28</v>
      </c>
      <c r="AF2028" s="61">
        <f t="shared" si="567"/>
        <v>4.13</v>
      </c>
      <c r="AG2028" s="62">
        <v>4.13</v>
      </c>
      <c r="AH2028" s="111">
        <v>8.6300000000000005E-17</v>
      </c>
      <c r="AI2028" s="111"/>
      <c r="AJ2028" s="62">
        <f t="shared" si="565"/>
        <v>-14.452555530597442</v>
      </c>
      <c r="AK2028" s="62"/>
      <c r="AL2028" s="62">
        <f t="shared" si="566"/>
        <v>-14.452555530597442</v>
      </c>
      <c r="AM2028" s="62">
        <v>-20.964419999999997</v>
      </c>
      <c r="AN2028" s="163"/>
      <c r="AO2028" s="410"/>
      <c r="AP2028" s="410">
        <v>6.66</v>
      </c>
      <c r="AQ2028" s="163" t="s">
        <v>6311</v>
      </c>
      <c r="AR2028" s="163" t="s">
        <v>6311</v>
      </c>
      <c r="AS2028" s="164" t="s">
        <v>5466</v>
      </c>
      <c r="AT2028" s="63" t="s">
        <v>266</v>
      </c>
      <c r="AU2028" s="61">
        <v>24</v>
      </c>
      <c r="AV2028" s="61">
        <v>120</v>
      </c>
      <c r="AW2028" s="61">
        <v>96</v>
      </c>
      <c r="AX2028" s="61">
        <v>25</v>
      </c>
      <c r="AY2028" s="61" t="s">
        <v>267</v>
      </c>
      <c r="AZ2028" s="61" t="s">
        <v>268</v>
      </c>
      <c r="BA2028" s="61" t="s">
        <v>5467</v>
      </c>
      <c r="BB2028" s="67" t="s">
        <v>5468</v>
      </c>
      <c r="BC2028" s="67" t="s">
        <v>5469</v>
      </c>
      <c r="BD2028" s="67" t="s">
        <v>8374</v>
      </c>
      <c r="BE2028" s="61" t="s">
        <v>2449</v>
      </c>
      <c r="BF2028" s="61"/>
      <c r="BG2028" s="61"/>
      <c r="BH2028" s="61" t="s">
        <v>5470</v>
      </c>
      <c r="BI2028" s="153">
        <v>12.49999988748</v>
      </c>
      <c r="BJ2028" s="153">
        <v>99.999999952879989</v>
      </c>
      <c r="BK2028" s="61"/>
      <c r="BL2028" s="153"/>
      <c r="BM2028" s="61" t="s">
        <v>1584</v>
      </c>
      <c r="BN2028" s="61"/>
      <c r="BO2028" s="61"/>
      <c r="BP2028" s="61"/>
      <c r="BQ2028" s="61"/>
      <c r="BR2028" s="61"/>
      <c r="BS2028" s="61"/>
      <c r="BT2028" s="61"/>
      <c r="BU2028" s="158"/>
      <c r="BV2028" s="61"/>
      <c r="BW2028" s="61"/>
      <c r="BX2028" s="61"/>
      <c r="BY2028" s="61"/>
      <c r="BZ2028" s="61"/>
      <c r="CA2028" s="61"/>
      <c r="CB2028" s="61">
        <v>1.8000001305199997</v>
      </c>
      <c r="CC2028" s="61"/>
      <c r="CD2028" s="61"/>
      <c r="CE2028" s="61"/>
      <c r="CF2028" s="61"/>
      <c r="CG2028" s="61"/>
      <c r="CH2028" s="61"/>
      <c r="CI2028" s="111">
        <v>1.8000001305199997</v>
      </c>
      <c r="CJ2028" s="103">
        <f t="shared" si="563"/>
        <v>0.25527253659448029</v>
      </c>
      <c r="CK2028" s="57">
        <f t="shared" si="568"/>
        <v>0</v>
      </c>
      <c r="CL2028" s="160">
        <f t="shared" si="569"/>
        <v>0</v>
      </c>
      <c r="CM2028" s="160"/>
      <c r="CN2028" s="160"/>
      <c r="CO2028" s="67"/>
      <c r="CP2028" s="161" t="s">
        <v>5471</v>
      </c>
      <c r="CQ2028" s="149" t="s">
        <v>272</v>
      </c>
      <c r="CR2028" s="349"/>
      <c r="CS2028" s="61" t="s">
        <v>539</v>
      </c>
      <c r="CT2028" s="61"/>
      <c r="CU2028" s="111">
        <f t="shared" si="570"/>
        <v>0.60906951653934494</v>
      </c>
      <c r="CV2028" s="331">
        <f t="shared" si="571"/>
        <v>1.0963252097831626E-2</v>
      </c>
      <c r="CW2028" s="326">
        <f t="shared" si="564"/>
        <v>0</v>
      </c>
      <c r="CX2028" s="326"/>
      <c r="CY2028" s="161" t="s">
        <v>5921</v>
      </c>
    </row>
    <row r="2029" spans="1:103" ht="11.25" customHeight="1" x14ac:dyDescent="0.2">
      <c r="A2029" s="72">
        <v>1878</v>
      </c>
      <c r="B2029" s="241">
        <v>1971</v>
      </c>
      <c r="C2029" s="32" t="s">
        <v>5535</v>
      </c>
      <c r="D2029" s="32"/>
      <c r="E2029" s="40"/>
      <c r="F2029" s="40" t="s">
        <v>5536</v>
      </c>
      <c r="G2029" s="242">
        <v>15263533</v>
      </c>
      <c r="H2029" s="41" t="s">
        <v>5537</v>
      </c>
      <c r="I2029" s="41" t="s">
        <v>5537</v>
      </c>
      <c r="J2029" s="41" t="s">
        <v>5538</v>
      </c>
      <c r="K2029" s="41" t="s">
        <v>5539</v>
      </c>
      <c r="L2029" s="41"/>
      <c r="M2029" s="41"/>
      <c r="N2029" s="36"/>
      <c r="O2029" s="41"/>
      <c r="P2029" s="41"/>
      <c r="Q2029" s="41"/>
      <c r="R2029" s="41"/>
      <c r="S2029" s="41"/>
      <c r="T2029" s="33">
        <v>237.34</v>
      </c>
      <c r="U2029" s="250">
        <v>200000</v>
      </c>
      <c r="V2029" s="250">
        <v>89130</v>
      </c>
      <c r="W2029" s="250">
        <v>1929.1719470638725</v>
      </c>
      <c r="X2029" s="250">
        <v>200000</v>
      </c>
      <c r="Y2029" s="415">
        <v>9.68</v>
      </c>
      <c r="Z2029" s="33">
        <v>-0.95</v>
      </c>
      <c r="AA2029" s="33"/>
      <c r="AB2029" s="33">
        <v>-0.94</v>
      </c>
      <c r="AC2029" s="33">
        <v>0.68679999999999997</v>
      </c>
      <c r="AD2029" s="33">
        <v>-0.43</v>
      </c>
      <c r="AE2029" s="33">
        <v>0.53</v>
      </c>
      <c r="AF2029" s="33">
        <f t="shared" si="567"/>
        <v>-0.43</v>
      </c>
      <c r="AG2029" s="34">
        <v>-0.43</v>
      </c>
      <c r="AH2029" s="250">
        <v>2.0500000000000001E-13</v>
      </c>
      <c r="AI2029" s="250"/>
      <c r="AJ2029" s="34">
        <f t="shared" si="565"/>
        <v>-11.076812465256898</v>
      </c>
      <c r="AK2029" s="34"/>
      <c r="AL2029" s="34">
        <f t="shared" si="566"/>
        <v>-11.076812465256898</v>
      </c>
      <c r="AM2029" s="34">
        <v>-22.048919999999999</v>
      </c>
      <c r="AN2029" s="251"/>
      <c r="AO2029" s="417">
        <v>13.39</v>
      </c>
      <c r="AP2029" s="417">
        <v>7.72</v>
      </c>
      <c r="AQ2029" s="251" t="s">
        <v>6311</v>
      </c>
      <c r="AR2029" s="251" t="s">
        <v>6311</v>
      </c>
      <c r="AS2029" s="252" t="s">
        <v>5466</v>
      </c>
      <c r="AT2029" s="35" t="s">
        <v>266</v>
      </c>
      <c r="AU2029" s="33">
        <v>0</v>
      </c>
      <c r="AV2029" s="33">
        <v>144</v>
      </c>
      <c r="AW2029" s="33">
        <v>144</v>
      </c>
      <c r="AX2029" s="33">
        <v>28</v>
      </c>
      <c r="AY2029" s="262" t="s">
        <v>267</v>
      </c>
      <c r="AZ2029" s="33" t="s">
        <v>6301</v>
      </c>
      <c r="BA2029" s="33">
        <v>25</v>
      </c>
      <c r="BB2029" s="41" t="s">
        <v>6302</v>
      </c>
      <c r="BC2029" s="41" t="s">
        <v>6303</v>
      </c>
      <c r="BD2029" s="41"/>
      <c r="BE2029" s="33" t="s">
        <v>2449</v>
      </c>
      <c r="BF2029" s="33" t="s">
        <v>6203</v>
      </c>
      <c r="BG2029" s="33" t="s">
        <v>6203</v>
      </c>
      <c r="BH2029" s="33"/>
      <c r="BI2029" s="250">
        <v>2.5000000000000001E-2</v>
      </c>
      <c r="BJ2029" s="250">
        <v>1</v>
      </c>
      <c r="BK2029" s="254"/>
      <c r="BL2029" s="263">
        <v>86969.292690168557</v>
      </c>
      <c r="BM2029" s="33" t="s">
        <v>6250</v>
      </c>
      <c r="BN2029" s="33"/>
      <c r="BO2029" s="33"/>
      <c r="BP2029" s="33"/>
      <c r="BQ2029" s="33"/>
      <c r="BR2029" s="33"/>
      <c r="BS2029" s="33"/>
      <c r="BT2029" s="33">
        <v>0.29904839999999999</v>
      </c>
      <c r="BU2029" s="246"/>
      <c r="BV2029" s="33"/>
      <c r="BW2029" s="33"/>
      <c r="BX2029" s="33"/>
      <c r="BY2029" s="33"/>
      <c r="BZ2029" s="33"/>
      <c r="CA2029" s="33"/>
      <c r="CB2029" s="33"/>
      <c r="CC2029" s="33"/>
      <c r="CD2029" s="33"/>
      <c r="CE2029" s="33"/>
      <c r="CF2029" s="33"/>
      <c r="CG2029" s="33"/>
      <c r="CH2029" s="33"/>
      <c r="CI2029" s="250">
        <v>0.29904839999999999</v>
      </c>
      <c r="CJ2029" s="243">
        <f t="shared" si="563"/>
        <v>-0.52425851685337865</v>
      </c>
      <c r="CK2029" s="38">
        <f t="shared" si="568"/>
        <v>86969.292690168557</v>
      </c>
      <c r="CL2029" s="247">
        <f t="shared" si="569"/>
        <v>290820.12373304309</v>
      </c>
      <c r="CM2029" s="247"/>
      <c r="CN2029" s="247"/>
      <c r="CO2029" s="41"/>
      <c r="CP2029" s="143" t="s">
        <v>6195</v>
      </c>
      <c r="CQ2029" s="241" t="s">
        <v>272</v>
      </c>
      <c r="CR2029" s="241"/>
      <c r="CS2029" s="33"/>
      <c r="CT2029" s="33"/>
      <c r="CU2029" s="250">
        <f t="shared" si="570"/>
        <v>668788.06240060134</v>
      </c>
      <c r="CV2029" s="337">
        <f t="shared" si="571"/>
        <v>200000</v>
      </c>
      <c r="CW2029" s="330">
        <f t="shared" si="564"/>
        <v>1</v>
      </c>
      <c r="CX2029" s="330"/>
      <c r="CY2029" s="143" t="s">
        <v>5921</v>
      </c>
    </row>
    <row r="2030" spans="1:103" ht="11.25" customHeight="1" x14ac:dyDescent="0.2">
      <c r="A2030" s="72">
        <v>1688</v>
      </c>
      <c r="B2030" s="241">
        <v>2039</v>
      </c>
      <c r="C2030" s="32" t="s">
        <v>1756</v>
      </c>
      <c r="D2030" s="32"/>
      <c r="E2030" s="40"/>
      <c r="F2030" s="40" t="s">
        <v>1757</v>
      </c>
      <c r="G2030" s="242">
        <v>87865</v>
      </c>
      <c r="H2030" s="41" t="s">
        <v>1758</v>
      </c>
      <c r="I2030" s="41" t="s">
        <v>7866</v>
      </c>
      <c r="J2030" s="41" t="s">
        <v>1759</v>
      </c>
      <c r="K2030" s="41" t="s">
        <v>349</v>
      </c>
      <c r="L2030" s="36" t="s">
        <v>6134</v>
      </c>
      <c r="M2030" s="36" t="s">
        <v>497</v>
      </c>
      <c r="N2030" s="36" t="s">
        <v>6381</v>
      </c>
      <c r="O2030" s="36" t="s">
        <v>6086</v>
      </c>
      <c r="P2030" s="41"/>
      <c r="Q2030" s="41" t="s">
        <v>6173</v>
      </c>
      <c r="R2030" s="41" t="s">
        <v>6180</v>
      </c>
      <c r="S2030" s="41" t="s">
        <v>6176</v>
      </c>
      <c r="T2030" s="33">
        <v>266.33999999999997</v>
      </c>
      <c r="U2030" s="250">
        <v>14</v>
      </c>
      <c r="V2030" s="250">
        <v>3.09</v>
      </c>
      <c r="W2030" s="250">
        <v>10.125964381601822</v>
      </c>
      <c r="X2030" s="250">
        <v>14</v>
      </c>
      <c r="Y2030" s="415">
        <v>4.71</v>
      </c>
      <c r="Z2030" s="33">
        <v>4.74</v>
      </c>
      <c r="AA2030" s="33">
        <v>5.12</v>
      </c>
      <c r="AB2030" s="33">
        <v>5.1100000000000003</v>
      </c>
      <c r="AC2030" s="33">
        <v>0.88800000000000001</v>
      </c>
      <c r="AD2030" s="33">
        <v>5.04</v>
      </c>
      <c r="AE2030" s="33">
        <v>4.78</v>
      </c>
      <c r="AF2030" s="33">
        <f t="shared" si="567"/>
        <v>5.12</v>
      </c>
      <c r="AG2030" s="34">
        <v>4.8499999999999996</v>
      </c>
      <c r="AH2030" s="250">
        <v>1.2499999999999999E-7</v>
      </c>
      <c r="AI2030" s="250">
        <v>2.4500000000000001E-8</v>
      </c>
      <c r="AJ2030" s="34">
        <f t="shared" si="565"/>
        <v>-5.2916563133045953</v>
      </c>
      <c r="AK2030" s="34">
        <f>LOG10(AI2030*1000/(0.08206*298.15))</f>
        <v>-5.9994002419481189</v>
      </c>
      <c r="AL2030" s="34">
        <f t="shared" si="566"/>
        <v>-5.9994002419481189</v>
      </c>
      <c r="AM2030" s="34">
        <v>-7.034559999999999</v>
      </c>
      <c r="AN2030" s="251">
        <v>-3.9674999999999998</v>
      </c>
      <c r="AO2030" s="417">
        <v>4.68</v>
      </c>
      <c r="AP2030" s="417"/>
      <c r="AQ2030" s="251" t="s">
        <v>6311</v>
      </c>
      <c r="AR2030" s="251" t="s">
        <v>6311</v>
      </c>
      <c r="AS2030" s="252" t="s">
        <v>5466</v>
      </c>
      <c r="AT2030" s="35" t="s">
        <v>266</v>
      </c>
      <c r="AU2030" s="33">
        <v>0</v>
      </c>
      <c r="AV2030" s="33">
        <v>24</v>
      </c>
      <c r="AW2030" s="33">
        <v>24</v>
      </c>
      <c r="AX2030" s="33">
        <v>26</v>
      </c>
      <c r="AY2030" s="262" t="s">
        <v>267</v>
      </c>
      <c r="AZ2030" s="33" t="s">
        <v>6298</v>
      </c>
      <c r="BA2030" s="33" t="s">
        <v>1584</v>
      </c>
      <c r="BB2030" s="41" t="s">
        <v>6215</v>
      </c>
      <c r="BC2030" s="41" t="s">
        <v>6227</v>
      </c>
      <c r="BD2030" s="41"/>
      <c r="BE2030" s="33" t="s">
        <v>2449</v>
      </c>
      <c r="BF2030" s="33" t="s">
        <v>6203</v>
      </c>
      <c r="BG2030" s="33" t="s">
        <v>6203</v>
      </c>
      <c r="BH2030" s="33" t="s">
        <v>6299</v>
      </c>
      <c r="BI2030" s="250">
        <v>0.01</v>
      </c>
      <c r="BJ2030" s="250">
        <v>1</v>
      </c>
      <c r="BK2030" s="254" t="s">
        <v>5681</v>
      </c>
      <c r="BL2030" s="263">
        <v>0.75725542865225259</v>
      </c>
      <c r="BM2030" s="33">
        <v>0</v>
      </c>
      <c r="BN2030" s="33">
        <v>0.75906899999999999</v>
      </c>
      <c r="BO2030" s="33"/>
      <c r="BP2030" s="33"/>
      <c r="BQ2030" s="33"/>
      <c r="BR2030" s="33"/>
      <c r="BS2030" s="33"/>
      <c r="BT2030" s="33"/>
      <c r="BU2030" s="246"/>
      <c r="BV2030" s="33"/>
      <c r="BW2030" s="33"/>
      <c r="BX2030" s="33"/>
      <c r="BY2030" s="33"/>
      <c r="BZ2030" s="33"/>
      <c r="CA2030" s="33"/>
      <c r="CB2030" s="33"/>
      <c r="CC2030" s="33"/>
      <c r="CD2030" s="33"/>
      <c r="CE2030" s="33"/>
      <c r="CF2030" s="33"/>
      <c r="CG2030" s="33"/>
      <c r="CH2030" s="33"/>
      <c r="CI2030" s="250">
        <v>0.75906899999999999</v>
      </c>
      <c r="CJ2030" s="243">
        <f t="shared" si="563"/>
        <v>-0.11971874458247952</v>
      </c>
      <c r="CK2030" s="38">
        <f t="shared" si="568"/>
        <v>0.75725542865225259</v>
      </c>
      <c r="CL2030" s="247">
        <f t="shared" si="569"/>
        <v>0.99761079513489892</v>
      </c>
      <c r="CM2030" s="247">
        <v>-0.85054537395088958</v>
      </c>
      <c r="CN2030" s="247">
        <f t="shared" ref="CN2030:CN2036" si="572">BJ2030/(10^CM2030)</f>
        <v>7.0883535984598689</v>
      </c>
      <c r="CO2030" s="494"/>
      <c r="CP2030" s="143" t="s">
        <v>6200</v>
      </c>
      <c r="CQ2030" s="241">
        <v>-0.72193980992494822</v>
      </c>
      <c r="CR2030" s="241">
        <f t="shared" ref="CR2030:CR2038" si="573">10^(CJ2030-CQ2030)</f>
        <v>4.0014838216464756</v>
      </c>
      <c r="CS2030" s="33"/>
      <c r="CT2030" s="33" t="s">
        <v>6310</v>
      </c>
      <c r="CU2030" s="250">
        <f t="shared" si="570"/>
        <v>18.443646098049058</v>
      </c>
      <c r="CV2030" s="337">
        <f t="shared" si="571"/>
        <v>14</v>
      </c>
      <c r="CW2030" s="330">
        <f t="shared" si="564"/>
        <v>1</v>
      </c>
      <c r="CX2030" s="330" t="s">
        <v>539</v>
      </c>
      <c r="CY2030" s="143" t="s">
        <v>5921</v>
      </c>
    </row>
    <row r="2031" spans="1:103" ht="11.25" customHeight="1" x14ac:dyDescent="0.2">
      <c r="A2031" s="72">
        <v>1679</v>
      </c>
      <c r="B2031" s="241">
        <v>2020</v>
      </c>
      <c r="C2031" s="32" t="s">
        <v>977</v>
      </c>
      <c r="D2031" s="32"/>
      <c r="E2031" s="40"/>
      <c r="F2031" s="40" t="s">
        <v>978</v>
      </c>
      <c r="G2031" s="242">
        <v>80057</v>
      </c>
      <c r="H2031" s="41" t="s">
        <v>979</v>
      </c>
      <c r="I2031" s="41" t="s">
        <v>979</v>
      </c>
      <c r="J2031" s="41" t="s">
        <v>980</v>
      </c>
      <c r="K2031" s="41" t="s">
        <v>376</v>
      </c>
      <c r="L2031" s="41" t="s">
        <v>5527</v>
      </c>
      <c r="M2031" s="41" t="s">
        <v>602</v>
      </c>
      <c r="N2031" s="36" t="s">
        <v>6386</v>
      </c>
      <c r="O2031" s="41" t="s">
        <v>981</v>
      </c>
      <c r="P2031" s="41"/>
      <c r="Q2031" s="41"/>
      <c r="R2031" s="41"/>
      <c r="S2031" s="41"/>
      <c r="T2031" s="33">
        <v>228.29</v>
      </c>
      <c r="U2031" s="250">
        <v>119.99999999999999</v>
      </c>
      <c r="V2031" s="250">
        <v>172.7</v>
      </c>
      <c r="W2031" s="250">
        <v>88.815116150744203</v>
      </c>
      <c r="X2031" s="250">
        <v>119.99999999999999</v>
      </c>
      <c r="Y2031" s="415">
        <v>6.76</v>
      </c>
      <c r="Z2031" s="33">
        <v>3.64</v>
      </c>
      <c r="AA2031" s="33">
        <v>3.32</v>
      </c>
      <c r="AB2031" s="33">
        <v>3.73</v>
      </c>
      <c r="AC2031" s="33">
        <v>0.77510000000000001</v>
      </c>
      <c r="AD2031" s="33">
        <v>3.63</v>
      </c>
      <c r="AE2031" s="33">
        <v>3.43</v>
      </c>
      <c r="AF2031" s="33">
        <f t="shared" si="567"/>
        <v>3.32</v>
      </c>
      <c r="AG2031" s="34">
        <v>3.7</v>
      </c>
      <c r="AH2031" s="250">
        <v>9.1600000000000006E-12</v>
      </c>
      <c r="AI2031" s="250"/>
      <c r="AJ2031" s="34">
        <f t="shared" si="565"/>
        <v>-9.4266708526448006</v>
      </c>
      <c r="AK2031" s="34"/>
      <c r="AL2031" s="34">
        <f t="shared" si="566"/>
        <v>-9.4266708526448006</v>
      </c>
      <c r="AM2031" s="34">
        <v>-13.641390000000001</v>
      </c>
      <c r="AN2031" s="251">
        <v>-10.218999999999999</v>
      </c>
      <c r="AO2031" s="417">
        <v>10.29</v>
      </c>
      <c r="AP2031" s="417"/>
      <c r="AQ2031" s="251" t="s">
        <v>6311</v>
      </c>
      <c r="AR2031" s="251" t="s">
        <v>6311</v>
      </c>
      <c r="AS2031" s="252" t="s">
        <v>5466</v>
      </c>
      <c r="AT2031" s="35" t="s">
        <v>266</v>
      </c>
      <c r="AU2031" s="33">
        <v>0</v>
      </c>
      <c r="AV2031" s="33">
        <v>24</v>
      </c>
      <c r="AW2031" s="33">
        <v>24</v>
      </c>
      <c r="AX2031" s="33">
        <v>26</v>
      </c>
      <c r="AY2031" s="262" t="s">
        <v>267</v>
      </c>
      <c r="AZ2031" s="33" t="s">
        <v>6298</v>
      </c>
      <c r="BA2031" s="33" t="s">
        <v>1584</v>
      </c>
      <c r="BB2031" s="41" t="s">
        <v>6215</v>
      </c>
      <c r="BC2031" s="41" t="s">
        <v>6227</v>
      </c>
      <c r="BD2031" s="41"/>
      <c r="BE2031" s="33" t="s">
        <v>2449</v>
      </c>
      <c r="BF2031" s="33" t="s">
        <v>6203</v>
      </c>
      <c r="BG2031" s="33" t="s">
        <v>6203</v>
      </c>
      <c r="BH2031" s="33" t="s">
        <v>6299</v>
      </c>
      <c r="BI2031" s="250">
        <v>2</v>
      </c>
      <c r="BJ2031" s="250">
        <v>25</v>
      </c>
      <c r="BK2031" s="254" t="s">
        <v>5681</v>
      </c>
      <c r="BL2031" s="263">
        <v>6.3125217586499822</v>
      </c>
      <c r="BM2031" s="33">
        <v>0</v>
      </c>
      <c r="BN2031" s="33">
        <v>34.015209999999996</v>
      </c>
      <c r="BO2031" s="33"/>
      <c r="BP2031" s="33"/>
      <c r="BQ2031" s="33"/>
      <c r="BR2031" s="33"/>
      <c r="BS2031" s="33"/>
      <c r="BT2031" s="33"/>
      <c r="BU2031" s="246"/>
      <c r="BV2031" s="33"/>
      <c r="BW2031" s="33"/>
      <c r="BX2031" s="33"/>
      <c r="BY2031" s="33"/>
      <c r="BZ2031" s="33"/>
      <c r="CA2031" s="33"/>
      <c r="CB2031" s="33"/>
      <c r="CC2031" s="33"/>
      <c r="CD2031" s="33"/>
      <c r="CE2031" s="33"/>
      <c r="CF2031" s="33"/>
      <c r="CG2031" s="33"/>
      <c r="CH2031" s="33"/>
      <c r="CI2031" s="250">
        <v>34.015209999999996</v>
      </c>
      <c r="CJ2031" s="243">
        <f t="shared" si="563"/>
        <v>1.5316731565125106</v>
      </c>
      <c r="CK2031" s="38">
        <f t="shared" si="568"/>
        <v>0.25250087034599927</v>
      </c>
      <c r="CL2031" s="247">
        <f t="shared" si="569"/>
        <v>0.18557938518239289</v>
      </c>
      <c r="CM2031" s="247">
        <v>0.66742784480864559</v>
      </c>
      <c r="CN2031" s="247">
        <f t="shared" si="572"/>
        <v>5.3766549202417551</v>
      </c>
      <c r="CO2031" s="41"/>
      <c r="CP2031" s="143" t="s">
        <v>6193</v>
      </c>
      <c r="CQ2031" s="241">
        <v>0.76399462909803484</v>
      </c>
      <c r="CR2031" s="241">
        <f t="shared" si="573"/>
        <v>5.8570445504357362</v>
      </c>
      <c r="CS2031" s="33"/>
      <c r="CT2031" s="33" t="s">
        <v>6310</v>
      </c>
      <c r="CU2031" s="250">
        <f t="shared" si="570"/>
        <v>3.5278335779787926</v>
      </c>
      <c r="CV2031" s="337">
        <f t="shared" si="571"/>
        <v>4.8</v>
      </c>
      <c r="CW2031" s="330">
        <f t="shared" si="564"/>
        <v>1</v>
      </c>
      <c r="CX2031" s="330" t="s">
        <v>539</v>
      </c>
      <c r="CY2031" s="143" t="s">
        <v>6351</v>
      </c>
    </row>
    <row r="2032" spans="1:103" ht="11.25" customHeight="1" x14ac:dyDescent="0.2">
      <c r="A2032" s="72">
        <v>36</v>
      </c>
      <c r="B2032" s="149">
        <v>1960</v>
      </c>
      <c r="C2032" s="54" t="s">
        <v>4580</v>
      </c>
      <c r="D2032" s="54" t="s">
        <v>6445</v>
      </c>
      <c r="E2032" s="59"/>
      <c r="F2032" s="167" t="s">
        <v>4581</v>
      </c>
      <c r="G2032" s="151">
        <v>79061</v>
      </c>
      <c r="H2032" s="67" t="s">
        <v>4582</v>
      </c>
      <c r="I2032" s="67" t="s">
        <v>4582</v>
      </c>
      <c r="J2032" s="67" t="s">
        <v>4583</v>
      </c>
      <c r="K2032" s="67" t="s">
        <v>3832</v>
      </c>
      <c r="L2032" s="67" t="s">
        <v>5527</v>
      </c>
      <c r="M2032" s="67" t="s">
        <v>4294</v>
      </c>
      <c r="N2032" s="60" t="s">
        <v>6088</v>
      </c>
      <c r="O2032" s="67" t="s">
        <v>498</v>
      </c>
      <c r="P2032" s="67"/>
      <c r="Q2032" s="67" t="s">
        <v>6176</v>
      </c>
      <c r="R2032" s="67" t="s">
        <v>6175</v>
      </c>
      <c r="S2032" s="67" t="s">
        <v>6173</v>
      </c>
      <c r="T2032" s="61">
        <v>71.08</v>
      </c>
      <c r="U2032" s="111">
        <v>390000</v>
      </c>
      <c r="V2032" s="111">
        <v>504000</v>
      </c>
      <c r="W2032" s="111">
        <v>36454.187174106213</v>
      </c>
      <c r="X2032" s="111">
        <v>390000</v>
      </c>
      <c r="Y2032" s="411">
        <v>7.01</v>
      </c>
      <c r="Z2032" s="61">
        <v>-0.81</v>
      </c>
      <c r="AA2032" s="61">
        <v>-0.67</v>
      </c>
      <c r="AB2032" s="61">
        <v>-0.64</v>
      </c>
      <c r="AC2032" s="61">
        <v>0.87749999999999995</v>
      </c>
      <c r="AD2032" s="61">
        <v>-0.67</v>
      </c>
      <c r="AE2032" s="61">
        <v>-0.78</v>
      </c>
      <c r="AF2032" s="61">
        <f t="shared" si="567"/>
        <v>-0.67</v>
      </c>
      <c r="AG2032" s="62">
        <v>-0.25</v>
      </c>
      <c r="AH2032" s="111">
        <v>5.8999999999999999E-9</v>
      </c>
      <c r="AI2032" s="111">
        <v>1.6999999999999999E-9</v>
      </c>
      <c r="AJ2032" s="62">
        <f t="shared" si="565"/>
        <v>-6.6177143146705077</v>
      </c>
      <c r="AK2032" s="62">
        <f>LOG10(AI2032*1000/(0.08206*298.15))</f>
        <v>-7.1581174049343783</v>
      </c>
      <c r="AL2032" s="62">
        <f t="shared" si="566"/>
        <v>-7.1581174049343783</v>
      </c>
      <c r="AM2032" s="62">
        <v>-7.9461899999999996</v>
      </c>
      <c r="AN2032" s="163">
        <v>-7.8235000000000001</v>
      </c>
      <c r="AO2032" s="410">
        <v>15.35</v>
      </c>
      <c r="AP2032" s="410">
        <v>-0.83</v>
      </c>
      <c r="AQ2032" s="163" t="s">
        <v>6311</v>
      </c>
      <c r="AR2032" s="163" t="s">
        <v>6311</v>
      </c>
      <c r="AS2032" s="164" t="s">
        <v>5466</v>
      </c>
      <c r="AT2032" s="63" t="s">
        <v>266</v>
      </c>
      <c r="AU2032" s="61">
        <v>2</v>
      </c>
      <c r="AV2032" s="61">
        <v>96</v>
      </c>
      <c r="AW2032" s="61">
        <v>94</v>
      </c>
      <c r="AX2032" s="61">
        <v>26</v>
      </c>
      <c r="AY2032" s="321" t="s">
        <v>267</v>
      </c>
      <c r="AZ2032" s="61" t="s">
        <v>1584</v>
      </c>
      <c r="BA2032" s="61">
        <v>15</v>
      </c>
      <c r="BB2032" s="67" t="s">
        <v>6297</v>
      </c>
      <c r="BC2032" s="67" t="s">
        <v>6227</v>
      </c>
      <c r="BD2032" s="67"/>
      <c r="BE2032" s="61" t="s">
        <v>2449</v>
      </c>
      <c r="BF2032" s="61" t="s">
        <v>6203</v>
      </c>
      <c r="BG2032" s="61" t="s">
        <v>6203</v>
      </c>
      <c r="BH2032" s="61" t="s">
        <v>5626</v>
      </c>
      <c r="BI2032" s="153">
        <v>110.8848</v>
      </c>
      <c r="BJ2032" s="153">
        <v>1777</v>
      </c>
      <c r="BK2032" s="165"/>
      <c r="BL2032" s="153">
        <v>19498.823993648424</v>
      </c>
      <c r="BM2032" s="61">
        <v>0</v>
      </c>
      <c r="BN2032" s="61"/>
      <c r="BO2032" s="61"/>
      <c r="BP2032" s="61"/>
      <c r="BQ2032" s="61">
        <v>304.22239999999999</v>
      </c>
      <c r="BR2032" s="61"/>
      <c r="BS2032" s="61"/>
      <c r="BT2032" s="61"/>
      <c r="BU2032" s="158"/>
      <c r="BV2032" s="61"/>
      <c r="BW2032" s="61"/>
      <c r="BX2032" s="61"/>
      <c r="BY2032" s="61"/>
      <c r="BZ2032" s="61"/>
      <c r="CA2032" s="61"/>
      <c r="CB2032" s="61"/>
      <c r="CC2032" s="61"/>
      <c r="CD2032" s="61"/>
      <c r="CE2032" s="61"/>
      <c r="CF2032" s="61"/>
      <c r="CG2032" s="61"/>
      <c r="CH2032" s="61"/>
      <c r="CI2032" s="111">
        <v>304.22239999999999</v>
      </c>
      <c r="CJ2032" s="103">
        <f t="shared" si="563"/>
        <v>2.4831911881464359</v>
      </c>
      <c r="CK2032" s="57">
        <f t="shared" si="568"/>
        <v>10.972889135423987</v>
      </c>
      <c r="CL2032" s="160">
        <f t="shared" si="569"/>
        <v>64.093978594766284</v>
      </c>
      <c r="CM2032" s="160">
        <v>2</v>
      </c>
      <c r="CN2032" s="160">
        <f t="shared" si="572"/>
        <v>17.77</v>
      </c>
      <c r="CO2032" s="67"/>
      <c r="CP2032" s="161" t="s">
        <v>6194</v>
      </c>
      <c r="CQ2032" s="149">
        <v>2.0851633451628415</v>
      </c>
      <c r="CR2032" s="349">
        <f t="shared" si="573"/>
        <v>2.5005056660738512</v>
      </c>
      <c r="CS2032" s="61" t="s">
        <v>539</v>
      </c>
      <c r="CT2032" s="61"/>
      <c r="CU2032" s="111">
        <f t="shared" si="570"/>
        <v>1281.9568841742093</v>
      </c>
      <c r="CV2032" s="331">
        <f t="shared" si="571"/>
        <v>219.47101857062464</v>
      </c>
      <c r="CW2032" s="326">
        <f t="shared" si="564"/>
        <v>1</v>
      </c>
      <c r="CX2032" s="326"/>
      <c r="CY2032" s="161" t="s">
        <v>6351</v>
      </c>
    </row>
    <row r="2033" spans="1:103" ht="11.25" customHeight="1" x14ac:dyDescent="0.2">
      <c r="A2033" s="72">
        <v>102</v>
      </c>
      <c r="B2033" s="149">
        <v>2021</v>
      </c>
      <c r="C2033" s="54" t="s">
        <v>977</v>
      </c>
      <c r="D2033" s="54" t="s">
        <v>6447</v>
      </c>
      <c r="E2033" s="59"/>
      <c r="F2033" s="167" t="s">
        <v>978</v>
      </c>
      <c r="G2033" s="151">
        <v>80057</v>
      </c>
      <c r="H2033" s="67" t="s">
        <v>979</v>
      </c>
      <c r="I2033" s="67" t="s">
        <v>979</v>
      </c>
      <c r="J2033" s="67" t="s">
        <v>980</v>
      </c>
      <c r="K2033" s="67" t="s">
        <v>376</v>
      </c>
      <c r="L2033" s="67" t="s">
        <v>5527</v>
      </c>
      <c r="M2033" s="67" t="s">
        <v>602</v>
      </c>
      <c r="N2033" s="60" t="s">
        <v>6386</v>
      </c>
      <c r="O2033" s="67" t="s">
        <v>981</v>
      </c>
      <c r="P2033" s="67"/>
      <c r="Q2033" s="67"/>
      <c r="R2033" s="67"/>
      <c r="S2033" s="67"/>
      <c r="T2033" s="61">
        <v>228.29</v>
      </c>
      <c r="U2033" s="111">
        <v>119.99999999999999</v>
      </c>
      <c r="V2033" s="111">
        <v>172.7</v>
      </c>
      <c r="W2033" s="111">
        <v>88.815116150744203</v>
      </c>
      <c r="X2033" s="111">
        <v>119.99999999999999</v>
      </c>
      <c r="Y2033" s="411">
        <v>6.76</v>
      </c>
      <c r="Z2033" s="61">
        <v>3.64</v>
      </c>
      <c r="AA2033" s="61">
        <v>3.32</v>
      </c>
      <c r="AB2033" s="61">
        <v>3.73</v>
      </c>
      <c r="AC2033" s="61">
        <v>0.77510000000000001</v>
      </c>
      <c r="AD2033" s="61">
        <v>3.63</v>
      </c>
      <c r="AE2033" s="61">
        <v>3.43</v>
      </c>
      <c r="AF2033" s="61">
        <f t="shared" si="567"/>
        <v>3.32</v>
      </c>
      <c r="AG2033" s="62">
        <v>3.7</v>
      </c>
      <c r="AH2033" s="111">
        <v>9.1600000000000006E-12</v>
      </c>
      <c r="AI2033" s="111"/>
      <c r="AJ2033" s="62">
        <f t="shared" si="565"/>
        <v>-9.4266708526448006</v>
      </c>
      <c r="AK2033" s="62"/>
      <c r="AL2033" s="62">
        <f t="shared" si="566"/>
        <v>-9.4266708526448006</v>
      </c>
      <c r="AM2033" s="62">
        <v>-13.641390000000001</v>
      </c>
      <c r="AN2033" s="163">
        <v>-10.218999999999999</v>
      </c>
      <c r="AO2033" s="410">
        <v>10.29</v>
      </c>
      <c r="AP2033" s="410"/>
      <c r="AQ2033" s="163" t="s">
        <v>6311</v>
      </c>
      <c r="AR2033" s="163" t="s">
        <v>6311</v>
      </c>
      <c r="AS2033" s="164" t="s">
        <v>5466</v>
      </c>
      <c r="AT2033" s="63" t="s">
        <v>266</v>
      </c>
      <c r="AU2033" s="61">
        <v>2</v>
      </c>
      <c r="AV2033" s="61">
        <v>96</v>
      </c>
      <c r="AW2033" s="61">
        <v>94</v>
      </c>
      <c r="AX2033" s="61">
        <v>26</v>
      </c>
      <c r="AY2033" s="321" t="s">
        <v>267</v>
      </c>
      <c r="AZ2033" s="61" t="s">
        <v>1584</v>
      </c>
      <c r="BA2033" s="61">
        <v>15</v>
      </c>
      <c r="BB2033" s="67" t="s">
        <v>6297</v>
      </c>
      <c r="BC2033" s="67" t="s">
        <v>6227</v>
      </c>
      <c r="BD2033" s="67"/>
      <c r="BE2033" s="61" t="s">
        <v>2449</v>
      </c>
      <c r="BF2033" s="61" t="s">
        <v>6203</v>
      </c>
      <c r="BG2033" s="61" t="s">
        <v>6203</v>
      </c>
      <c r="BH2033" s="61" t="s">
        <v>5626</v>
      </c>
      <c r="BI2033" s="153">
        <v>1.7121749999999998</v>
      </c>
      <c r="BJ2033" s="153">
        <v>27.394799999999996</v>
      </c>
      <c r="BK2033" s="165"/>
      <c r="BL2033" s="153">
        <v>6.3125217586499822</v>
      </c>
      <c r="BM2033" s="61">
        <v>0</v>
      </c>
      <c r="BN2033" s="61"/>
      <c r="BO2033" s="61"/>
      <c r="BP2033" s="61"/>
      <c r="BQ2033" s="61">
        <v>13.925689999999999</v>
      </c>
      <c r="BR2033" s="61"/>
      <c r="BS2033" s="61"/>
      <c r="BT2033" s="61"/>
      <c r="BU2033" s="158"/>
      <c r="BV2033" s="61"/>
      <c r="BW2033" s="61"/>
      <c r="BX2033" s="61"/>
      <c r="BY2033" s="61"/>
      <c r="BZ2033" s="61"/>
      <c r="CA2033" s="61"/>
      <c r="CB2033" s="61"/>
      <c r="CC2033" s="61"/>
      <c r="CD2033" s="61"/>
      <c r="CE2033" s="61"/>
      <c r="CF2033" s="61"/>
      <c r="CG2033" s="61"/>
      <c r="CH2033" s="61"/>
      <c r="CI2033" s="111">
        <v>13.925689999999999</v>
      </c>
      <c r="CJ2033" s="103">
        <f t="shared" si="563"/>
        <v>1.1438167231110037</v>
      </c>
      <c r="CK2033" s="57">
        <f t="shared" si="568"/>
        <v>0.2304277366014712</v>
      </c>
      <c r="CL2033" s="160">
        <f t="shared" si="569"/>
        <v>0.45330046544551705</v>
      </c>
      <c r="CM2033" s="160">
        <v>0.66742784480864559</v>
      </c>
      <c r="CN2033" s="160">
        <f t="shared" si="572"/>
        <v>5.8916954483615527</v>
      </c>
      <c r="CO2033" s="67"/>
      <c r="CP2033" s="161" t="s">
        <v>6194</v>
      </c>
      <c r="CQ2033" s="149">
        <v>0.76399462909803484</v>
      </c>
      <c r="CR2033" s="349">
        <f t="shared" si="573"/>
        <v>2.3978504535340939</v>
      </c>
      <c r="CS2033" s="61" t="s">
        <v>539</v>
      </c>
      <c r="CT2033" s="61"/>
      <c r="CU2033" s="111">
        <f t="shared" si="570"/>
        <v>8.6171672642432799</v>
      </c>
      <c r="CV2033" s="331">
        <f t="shared" si="571"/>
        <v>4.3803933593236675</v>
      </c>
      <c r="CW2033" s="326">
        <f t="shared" si="564"/>
        <v>1</v>
      </c>
      <c r="CX2033" s="326"/>
      <c r="CY2033" s="161" t="s">
        <v>6351</v>
      </c>
    </row>
    <row r="2034" spans="1:103" ht="11.25" customHeight="1" x14ac:dyDescent="0.2">
      <c r="A2034" s="72">
        <v>66</v>
      </c>
      <c r="B2034" s="149">
        <v>1957</v>
      </c>
      <c r="C2034" s="54" t="s">
        <v>1631</v>
      </c>
      <c r="D2034" s="54" t="s">
        <v>6462</v>
      </c>
      <c r="E2034" s="59"/>
      <c r="F2034" s="167" t="s">
        <v>1632</v>
      </c>
      <c r="G2034" s="151">
        <v>106478</v>
      </c>
      <c r="H2034" s="67" t="s">
        <v>1633</v>
      </c>
      <c r="I2034" s="67" t="s">
        <v>8029</v>
      </c>
      <c r="J2034" s="67" t="s">
        <v>1634</v>
      </c>
      <c r="K2034" s="67" t="s">
        <v>1573</v>
      </c>
      <c r="L2034" s="55" t="s">
        <v>5527</v>
      </c>
      <c r="M2034" s="55" t="s">
        <v>866</v>
      </c>
      <c r="N2034" s="60" t="s">
        <v>6082</v>
      </c>
      <c r="O2034" s="55" t="s">
        <v>6086</v>
      </c>
      <c r="P2034" s="67" t="s">
        <v>6184</v>
      </c>
      <c r="Q2034" s="67" t="s">
        <v>6176</v>
      </c>
      <c r="R2034" s="67" t="s">
        <v>6185</v>
      </c>
      <c r="S2034" s="67" t="s">
        <v>6176</v>
      </c>
      <c r="T2034" s="61">
        <v>127.6</v>
      </c>
      <c r="U2034" s="111">
        <v>3900</v>
      </c>
      <c r="V2034" s="111">
        <v>2572</v>
      </c>
      <c r="W2034" s="111">
        <v>1465.0440210300223</v>
      </c>
      <c r="X2034" s="111">
        <v>3900</v>
      </c>
      <c r="Y2034" s="411">
        <v>8.02</v>
      </c>
      <c r="Z2034" s="61">
        <v>1.72</v>
      </c>
      <c r="AA2034" s="61">
        <v>1.83</v>
      </c>
      <c r="AB2034" s="61">
        <v>1.8</v>
      </c>
      <c r="AC2034" s="61">
        <v>0.91020000000000001</v>
      </c>
      <c r="AD2034" s="61">
        <v>1.79</v>
      </c>
      <c r="AE2034" s="61">
        <v>1.76</v>
      </c>
      <c r="AF2034" s="61">
        <f t="shared" si="567"/>
        <v>1.83</v>
      </c>
      <c r="AG2034" s="62">
        <v>1.8</v>
      </c>
      <c r="AH2034" s="111">
        <v>1.4100000000000001E-6</v>
      </c>
      <c r="AI2034" s="111">
        <v>1.1599999999999999E-6</v>
      </c>
      <c r="AJ2034" s="62">
        <f t="shared" si="565"/>
        <v>-4.2393472136572719</v>
      </c>
      <c r="AK2034" s="62">
        <f>LOG10(AI2034*1000/(0.08206*298.15))</f>
        <v>-4.3241083370857334</v>
      </c>
      <c r="AL2034" s="62">
        <f t="shared" si="566"/>
        <v>-4.3241083370857334</v>
      </c>
      <c r="AM2034" s="62">
        <v>-6.9352299999999998</v>
      </c>
      <c r="AN2034" s="163">
        <v>-4.1336000000000004</v>
      </c>
      <c r="AO2034" s="410"/>
      <c r="AP2034" s="410">
        <v>3.97</v>
      </c>
      <c r="AQ2034" s="163" t="s">
        <v>6311</v>
      </c>
      <c r="AR2034" s="163" t="s">
        <v>6311</v>
      </c>
      <c r="AS2034" s="164" t="s">
        <v>5466</v>
      </c>
      <c r="AT2034" s="63" t="s">
        <v>266</v>
      </c>
      <c r="AU2034" s="61">
        <v>5</v>
      </c>
      <c r="AV2034" s="61">
        <v>96</v>
      </c>
      <c r="AW2034" s="61">
        <v>96</v>
      </c>
      <c r="AX2034" s="61">
        <v>27.5</v>
      </c>
      <c r="AY2034" s="174">
        <v>0.59027777777777779</v>
      </c>
      <c r="AZ2034" s="61" t="s">
        <v>1584</v>
      </c>
      <c r="BA2034" s="61">
        <v>10</v>
      </c>
      <c r="BB2034" s="67" t="s">
        <v>6229</v>
      </c>
      <c r="BC2034" s="67" t="s">
        <v>6230</v>
      </c>
      <c r="BD2034" s="67"/>
      <c r="BE2034" s="61" t="s">
        <v>6210</v>
      </c>
      <c r="BF2034" s="61" t="s">
        <v>6203</v>
      </c>
      <c r="BG2034" s="61" t="s">
        <v>6203</v>
      </c>
      <c r="BH2034" s="61"/>
      <c r="BI2034" s="153">
        <v>0.05</v>
      </c>
      <c r="BJ2034" s="153">
        <v>50</v>
      </c>
      <c r="BK2034" s="165"/>
      <c r="BL2034" s="153">
        <v>187.03318708177929</v>
      </c>
      <c r="BM2034" s="61" t="s">
        <v>6250</v>
      </c>
      <c r="BN2034" s="61"/>
      <c r="BO2034" s="61"/>
      <c r="BP2034" s="61"/>
      <c r="BQ2034" s="61">
        <v>44.021999999999991</v>
      </c>
      <c r="BR2034" s="61"/>
      <c r="BS2034" s="61"/>
      <c r="BT2034" s="61"/>
      <c r="BU2034" s="158"/>
      <c r="BV2034" s="61"/>
      <c r="BW2034" s="61"/>
      <c r="BX2034" s="61"/>
      <c r="BY2034" s="61"/>
      <c r="BZ2034" s="61"/>
      <c r="CA2034" s="61"/>
      <c r="CB2034" s="61"/>
      <c r="CC2034" s="61"/>
      <c r="CD2034" s="61"/>
      <c r="CE2034" s="61"/>
      <c r="CF2034" s="61"/>
      <c r="CG2034" s="61"/>
      <c r="CH2034" s="61"/>
      <c r="CI2034" s="111">
        <v>44.021999999999991</v>
      </c>
      <c r="CJ2034" s="103">
        <f t="shared" si="563"/>
        <v>1.6436697694584175</v>
      </c>
      <c r="CK2034" s="57">
        <f t="shared" si="568"/>
        <v>3.7406637416355859</v>
      </c>
      <c r="CL2034" s="160">
        <f t="shared" si="569"/>
        <v>4.2486299368901763</v>
      </c>
      <c r="CM2034" s="160">
        <v>0.38031336056975623</v>
      </c>
      <c r="CN2034" s="160">
        <f t="shared" si="572"/>
        <v>20.828435214211083</v>
      </c>
      <c r="CO2034" s="67"/>
      <c r="CP2034" s="161" t="s">
        <v>6192</v>
      </c>
      <c r="CQ2034" s="149">
        <v>1.2387924988193562</v>
      </c>
      <c r="CR2034" s="349">
        <f t="shared" si="573"/>
        <v>2.5402547413347278</v>
      </c>
      <c r="CS2034" s="61" t="s">
        <v>539</v>
      </c>
      <c r="CT2034" s="61"/>
      <c r="CU2034" s="111">
        <f t="shared" si="570"/>
        <v>88.592067602562366</v>
      </c>
      <c r="CV2034" s="331">
        <f t="shared" si="571"/>
        <v>78</v>
      </c>
      <c r="CW2034" s="326">
        <f t="shared" si="564"/>
        <v>1</v>
      </c>
      <c r="CX2034" s="326" t="s">
        <v>539</v>
      </c>
      <c r="CY2034" s="161" t="s">
        <v>6351</v>
      </c>
    </row>
    <row r="2035" spans="1:103" ht="11.25" customHeight="1" x14ac:dyDescent="0.2">
      <c r="A2035" s="72">
        <v>1788</v>
      </c>
      <c r="B2035" s="241">
        <v>2022</v>
      </c>
      <c r="C2035" s="32" t="s">
        <v>1087</v>
      </c>
      <c r="D2035" s="32"/>
      <c r="E2035" s="40"/>
      <c r="F2035" s="249" t="s">
        <v>1088</v>
      </c>
      <c r="G2035" s="242">
        <v>333415</v>
      </c>
      <c r="H2035" s="41" t="s">
        <v>1089</v>
      </c>
      <c r="I2035" s="41" t="s">
        <v>1089</v>
      </c>
      <c r="J2035" s="41" t="s">
        <v>1090</v>
      </c>
      <c r="K2035" s="41" t="s">
        <v>628</v>
      </c>
      <c r="L2035" s="41" t="s">
        <v>617</v>
      </c>
      <c r="M2035" s="41" t="s">
        <v>946</v>
      </c>
      <c r="N2035" s="36" t="s">
        <v>6376</v>
      </c>
      <c r="O2035" s="41" t="s">
        <v>918</v>
      </c>
      <c r="P2035" s="41" t="s">
        <v>6178</v>
      </c>
      <c r="Q2035" s="41" t="s">
        <v>6173</v>
      </c>
      <c r="R2035" s="41" t="s">
        <v>6177</v>
      </c>
      <c r="S2035" s="41" t="s">
        <v>6176</v>
      </c>
      <c r="T2035" s="33">
        <v>304.35000000000002</v>
      </c>
      <c r="U2035" s="250">
        <v>40</v>
      </c>
      <c r="V2035" s="250">
        <v>6.4560000000000004</v>
      </c>
      <c r="W2035" s="250">
        <v>16.344562722528643</v>
      </c>
      <c r="X2035" s="250">
        <v>40</v>
      </c>
      <c r="Y2035" s="415">
        <v>7</v>
      </c>
      <c r="Z2035" s="33">
        <v>3.86</v>
      </c>
      <c r="AA2035" s="33">
        <v>3.81</v>
      </c>
      <c r="AB2035" s="33">
        <v>3.79</v>
      </c>
      <c r="AC2035" s="33">
        <v>0.7823</v>
      </c>
      <c r="AD2035" s="33">
        <v>3.8</v>
      </c>
      <c r="AE2035" s="33">
        <v>3.81</v>
      </c>
      <c r="AF2035" s="33">
        <f t="shared" si="567"/>
        <v>3.81</v>
      </c>
      <c r="AG2035" s="34">
        <v>4.32</v>
      </c>
      <c r="AH2035" s="250">
        <v>8.7299999999999994E-8</v>
      </c>
      <c r="AI2035" s="250">
        <v>1.1300000000000001E-7</v>
      </c>
      <c r="AJ2035" s="34">
        <f t="shared" si="565"/>
        <v>-5.447552082607082</v>
      </c>
      <c r="AK2035" s="34">
        <f>LOG10(AI2035*1000/(0.08206*298.15))</f>
        <v>-5.3354878828292325</v>
      </c>
      <c r="AL2035" s="34">
        <f t="shared" si="566"/>
        <v>-5.3354878828292325</v>
      </c>
      <c r="AM2035" s="34">
        <v>-11.566619999999999</v>
      </c>
      <c r="AN2035" s="251">
        <v>-2.7926000000000002</v>
      </c>
      <c r="AO2035" s="417"/>
      <c r="AP2035" s="417">
        <v>1.21</v>
      </c>
      <c r="AQ2035" s="251" t="s">
        <v>6312</v>
      </c>
      <c r="AR2035" s="251" t="s">
        <v>6312</v>
      </c>
      <c r="AS2035" s="252" t="s">
        <v>5466</v>
      </c>
      <c r="AT2035" s="35" t="s">
        <v>266</v>
      </c>
      <c r="AU2035" s="33">
        <v>0</v>
      </c>
      <c r="AV2035" s="33">
        <v>144</v>
      </c>
      <c r="AW2035" s="33" t="s">
        <v>5584</v>
      </c>
      <c r="AX2035" s="33">
        <v>26</v>
      </c>
      <c r="AY2035" s="253">
        <v>0.5083333333333333</v>
      </c>
      <c r="AZ2035" s="33" t="s">
        <v>1584</v>
      </c>
      <c r="BA2035" s="33">
        <v>10</v>
      </c>
      <c r="BB2035" s="41" t="s">
        <v>6229</v>
      </c>
      <c r="BC2035" s="41" t="s">
        <v>6227</v>
      </c>
      <c r="BD2035" s="41"/>
      <c r="BE2035" s="33" t="s">
        <v>2449</v>
      </c>
      <c r="BF2035" s="33" t="s">
        <v>6203</v>
      </c>
      <c r="BG2035" s="33" t="s">
        <v>6203</v>
      </c>
      <c r="BH2035" s="33"/>
      <c r="BI2035" s="250">
        <v>0.1</v>
      </c>
      <c r="BJ2035" s="250">
        <v>3</v>
      </c>
      <c r="BK2035" s="254"/>
      <c r="BL2035" s="263">
        <v>5.3395825622052628</v>
      </c>
      <c r="BM2035" s="33">
        <v>0</v>
      </c>
      <c r="BN2035" s="33"/>
      <c r="BO2035" s="33"/>
      <c r="BP2035" s="33"/>
      <c r="BQ2035" s="33"/>
      <c r="BR2035" s="33"/>
      <c r="BS2035" s="33"/>
      <c r="BT2035" s="33">
        <v>4.991340000000001</v>
      </c>
      <c r="BU2035" s="246"/>
      <c r="BV2035" s="33"/>
      <c r="BW2035" s="33"/>
      <c r="BX2035" s="33"/>
      <c r="BY2035" s="33"/>
      <c r="BZ2035" s="33"/>
      <c r="CA2035" s="33"/>
      <c r="CB2035" s="33"/>
      <c r="CC2035" s="33"/>
      <c r="CD2035" s="33"/>
      <c r="CE2035" s="33"/>
      <c r="CF2035" s="33"/>
      <c r="CG2035" s="33"/>
      <c r="CH2035" s="33"/>
      <c r="CI2035" s="250">
        <v>4.991340000000001</v>
      </c>
      <c r="CJ2035" s="243">
        <f t="shared" si="563"/>
        <v>0.69821715413672525</v>
      </c>
      <c r="CK2035" s="38">
        <f t="shared" si="568"/>
        <v>1.7798608540684209</v>
      </c>
      <c r="CL2035" s="247">
        <f t="shared" si="569"/>
        <v>1.0697693529603798</v>
      </c>
      <c r="CM2035" s="247">
        <v>-0.7518228197217347</v>
      </c>
      <c r="CN2035" s="247">
        <f t="shared" si="572"/>
        <v>16.941196289275712</v>
      </c>
      <c r="CO2035" s="41"/>
      <c r="CP2035" s="143" t="s">
        <v>6198</v>
      </c>
      <c r="CQ2035" s="241">
        <v>2.3058777017553444E-2</v>
      </c>
      <c r="CR2035" s="241">
        <f t="shared" si="573"/>
        <v>4.733238377113425</v>
      </c>
      <c r="CS2035" s="33"/>
      <c r="CT2035" s="33"/>
      <c r="CU2035" s="250">
        <f t="shared" si="570"/>
        <v>8.0138800402296759</v>
      </c>
      <c r="CV2035" s="337">
        <f t="shared" si="571"/>
        <v>13.333333333333334</v>
      </c>
      <c r="CW2035" s="330">
        <f t="shared" si="564"/>
        <v>1</v>
      </c>
      <c r="CX2035" s="330"/>
      <c r="CY2035" s="143" t="s">
        <v>5921</v>
      </c>
    </row>
    <row r="2036" spans="1:103" ht="11.25" customHeight="1" x14ac:dyDescent="0.2">
      <c r="A2036" s="72">
        <v>1699</v>
      </c>
      <c r="B2036" s="241">
        <v>1956</v>
      </c>
      <c r="C2036" s="32" t="s">
        <v>7642</v>
      </c>
      <c r="D2036" s="32"/>
      <c r="E2036" s="40"/>
      <c r="F2036" s="40" t="s">
        <v>1670</v>
      </c>
      <c r="G2036" s="242">
        <v>95761</v>
      </c>
      <c r="H2036" s="41" t="s">
        <v>1671</v>
      </c>
      <c r="I2036" s="41" t="s">
        <v>8213</v>
      </c>
      <c r="J2036" s="41" t="s">
        <v>1672</v>
      </c>
      <c r="K2036" s="41" t="s">
        <v>1573</v>
      </c>
      <c r="L2036" s="41" t="s">
        <v>5521</v>
      </c>
      <c r="M2036" s="41" t="s">
        <v>1629</v>
      </c>
      <c r="N2036" s="36" t="s">
        <v>6385</v>
      </c>
      <c r="O2036" s="41" t="s">
        <v>498</v>
      </c>
      <c r="P2036" s="41" t="s">
        <v>6184</v>
      </c>
      <c r="Q2036" s="41" t="s">
        <v>6176</v>
      </c>
      <c r="R2036" s="41" t="s">
        <v>6185</v>
      </c>
      <c r="S2036" s="41" t="s">
        <v>6176</v>
      </c>
      <c r="T2036" s="33">
        <v>162.02000000000001</v>
      </c>
      <c r="U2036" s="250">
        <v>92</v>
      </c>
      <c r="V2036" s="250">
        <v>337.9</v>
      </c>
      <c r="W2036" s="250">
        <v>294.82793311198913</v>
      </c>
      <c r="X2036" s="250">
        <v>92</v>
      </c>
      <c r="Y2036" s="415">
        <v>7.2</v>
      </c>
      <c r="Z2036" s="33">
        <v>2.37</v>
      </c>
      <c r="AA2036" s="33">
        <v>2.69</v>
      </c>
      <c r="AB2036" s="33">
        <v>2.62</v>
      </c>
      <c r="AC2036" s="33">
        <v>0.89139999999999997</v>
      </c>
      <c r="AD2036" s="33">
        <v>2.6</v>
      </c>
      <c r="AE2036" s="33">
        <v>2.5099999999999998</v>
      </c>
      <c r="AF2036" s="33">
        <f t="shared" si="567"/>
        <v>2.69</v>
      </c>
      <c r="AG2036" s="34">
        <v>2.4700000000000002</v>
      </c>
      <c r="AH2036" s="250">
        <v>1.0499999999999999E-6</v>
      </c>
      <c r="AI2036" s="250">
        <v>1.4600000000000001E-5</v>
      </c>
      <c r="AJ2036" s="34">
        <f t="shared" si="565"/>
        <v>-4.3673770272427141</v>
      </c>
      <c r="AK2036" s="34">
        <f>LOG10(AI2036*1000/(0.08206*298.15))</f>
        <v>-3.2242134705282148</v>
      </c>
      <c r="AL2036" s="34">
        <f t="shared" si="566"/>
        <v>-3.2242134705282148</v>
      </c>
      <c r="AM2036" s="34">
        <v>-7.2924100000000003</v>
      </c>
      <c r="AN2036" s="251">
        <v>-4.3684000000000003</v>
      </c>
      <c r="AO2036" s="417"/>
      <c r="AP2036" s="417">
        <v>2.9</v>
      </c>
      <c r="AQ2036" s="251" t="s">
        <v>6311</v>
      </c>
      <c r="AR2036" s="251" t="s">
        <v>6311</v>
      </c>
      <c r="AS2036" s="252" t="s">
        <v>5466</v>
      </c>
      <c r="AT2036" s="35" t="s">
        <v>266</v>
      </c>
      <c r="AU2036" s="33">
        <v>1</v>
      </c>
      <c r="AV2036" s="33">
        <v>168</v>
      </c>
      <c r="AW2036" s="33" t="s">
        <v>5522</v>
      </c>
      <c r="AX2036" s="33">
        <v>26</v>
      </c>
      <c r="AY2036" s="253">
        <v>0.5083333333333333</v>
      </c>
      <c r="AZ2036" s="33" t="s">
        <v>1584</v>
      </c>
      <c r="BA2036" s="33">
        <v>10</v>
      </c>
      <c r="BB2036" s="41" t="s">
        <v>6229</v>
      </c>
      <c r="BC2036" s="41" t="s">
        <v>6227</v>
      </c>
      <c r="BD2036" s="41"/>
      <c r="BE2036" s="33" t="s">
        <v>2449</v>
      </c>
      <c r="BF2036" s="33" t="s">
        <v>6203</v>
      </c>
      <c r="BG2036" s="33" t="s">
        <v>6203</v>
      </c>
      <c r="BH2036" s="33"/>
      <c r="BI2036" s="250">
        <v>0.5</v>
      </c>
      <c r="BJ2036" s="250">
        <v>2.5</v>
      </c>
      <c r="BK2036" s="254"/>
      <c r="BL2036" s="263">
        <v>61.925800289105773</v>
      </c>
      <c r="BM2036" s="33">
        <v>0</v>
      </c>
      <c r="BN2036" s="33"/>
      <c r="BO2036" s="33"/>
      <c r="BP2036" s="33"/>
      <c r="BQ2036" s="33"/>
      <c r="BR2036" s="33"/>
      <c r="BS2036" s="33"/>
      <c r="BT2036" s="33">
        <v>0.99966340000000009</v>
      </c>
      <c r="BU2036" s="246"/>
      <c r="BV2036" s="33"/>
      <c r="BW2036" s="33"/>
      <c r="BX2036" s="33"/>
      <c r="BY2036" s="33"/>
      <c r="BZ2036" s="33"/>
      <c r="CA2036" s="33"/>
      <c r="CB2036" s="33"/>
      <c r="CC2036" s="33"/>
      <c r="CD2036" s="33"/>
      <c r="CE2036" s="33"/>
      <c r="CF2036" s="33"/>
      <c r="CG2036" s="33"/>
      <c r="CH2036" s="33"/>
      <c r="CI2036" s="250">
        <v>0.99966340000000009</v>
      </c>
      <c r="CJ2036" s="243">
        <f t="shared" si="563"/>
        <v>-1.4620813081768719E-4</v>
      </c>
      <c r="CK2036" s="38">
        <f t="shared" si="568"/>
        <v>24.77032011564231</v>
      </c>
      <c r="CL2036" s="247">
        <f t="shared" si="569"/>
        <v>61.946651532011444</v>
      </c>
      <c r="CM2036" s="247">
        <v>0.35012181688711158</v>
      </c>
      <c r="CN2036" s="247">
        <f t="shared" si="572"/>
        <v>1.1163957944151044</v>
      </c>
      <c r="CO2036" s="41"/>
      <c r="CP2036" s="143" t="s">
        <v>6228</v>
      </c>
      <c r="CQ2036" s="241">
        <v>0.74774431752431614</v>
      </c>
      <c r="CR2036" s="241">
        <f t="shared" si="573"/>
        <v>0.17869379586739045</v>
      </c>
      <c r="CS2036" s="33"/>
      <c r="CT2036" s="33"/>
      <c r="CU2036" s="250">
        <f t="shared" si="570"/>
        <v>92.030977627069262</v>
      </c>
      <c r="CV2036" s="337">
        <f t="shared" si="571"/>
        <v>36.799999999999997</v>
      </c>
      <c r="CW2036" s="330">
        <f t="shared" si="564"/>
        <v>1</v>
      </c>
      <c r="CX2036" s="330"/>
      <c r="CY2036" s="143" t="s">
        <v>6351</v>
      </c>
    </row>
    <row r="2037" spans="1:103" ht="11.25" customHeight="1" x14ac:dyDescent="0.2">
      <c r="A2037" s="72">
        <v>1764</v>
      </c>
      <c r="B2037" s="241">
        <v>1952</v>
      </c>
      <c r="C2037" s="32" t="s">
        <v>7678</v>
      </c>
      <c r="D2037" s="32"/>
      <c r="E2037" s="40"/>
      <c r="F2037" s="40" t="s">
        <v>2297</v>
      </c>
      <c r="G2037" s="242">
        <v>120832</v>
      </c>
      <c r="H2037" s="41" t="s">
        <v>2298</v>
      </c>
      <c r="I2037" s="41" t="s">
        <v>8039</v>
      </c>
      <c r="J2037" s="41" t="s">
        <v>2299</v>
      </c>
      <c r="K2037" s="41" t="s">
        <v>349</v>
      </c>
      <c r="L2037" s="36" t="s">
        <v>5527</v>
      </c>
      <c r="M2037" s="36" t="s">
        <v>6109</v>
      </c>
      <c r="N2037" s="36" t="s">
        <v>6381</v>
      </c>
      <c r="O2037" s="36" t="s">
        <v>6086</v>
      </c>
      <c r="P2037" s="41" t="s">
        <v>6184</v>
      </c>
      <c r="Q2037" s="41" t="s">
        <v>6176</v>
      </c>
      <c r="R2037" s="41" t="s">
        <v>6185</v>
      </c>
      <c r="S2037" s="41" t="s">
        <v>6176</v>
      </c>
      <c r="T2037" s="33">
        <v>163</v>
      </c>
      <c r="U2037" s="250">
        <v>4500</v>
      </c>
      <c r="V2037" s="250">
        <v>614.20000000000005</v>
      </c>
      <c r="W2037" s="250">
        <v>492.25213042552821</v>
      </c>
      <c r="X2037" s="250">
        <v>4500</v>
      </c>
      <c r="Y2037" s="415">
        <v>5.28</v>
      </c>
      <c r="Z2037" s="33">
        <v>2.8</v>
      </c>
      <c r="AA2037" s="33">
        <v>3.06</v>
      </c>
      <c r="AB2037" s="33">
        <v>3.2</v>
      </c>
      <c r="AC2037" s="33">
        <v>0.86060000000000003</v>
      </c>
      <c r="AD2037" s="33">
        <v>3.14</v>
      </c>
      <c r="AE2037" s="33">
        <v>2.99</v>
      </c>
      <c r="AF2037" s="33">
        <f t="shared" si="567"/>
        <v>3.06</v>
      </c>
      <c r="AG2037" s="34">
        <v>2.82</v>
      </c>
      <c r="AH2037" s="250">
        <v>3.0800000000000001E-7</v>
      </c>
      <c r="AI2037" s="250">
        <v>4.2899999999999996E-6</v>
      </c>
      <c r="AJ2037" s="34">
        <f t="shared" si="565"/>
        <v>-4.9000156098122076</v>
      </c>
      <c r="AK2037" s="34">
        <f>LOG10(AI2037*1000/(0.08206*298.15))</f>
        <v>-3.7561090341279275</v>
      </c>
      <c r="AL2037" s="34">
        <f t="shared" si="566"/>
        <v>-3.7561090341279275</v>
      </c>
      <c r="AM2037" s="34">
        <v>-6.1948599999999994</v>
      </c>
      <c r="AN2037" s="251">
        <v>-3.2084999999999999</v>
      </c>
      <c r="AO2037" s="417">
        <v>8.0500000000000007</v>
      </c>
      <c r="AP2037" s="417"/>
      <c r="AQ2037" s="251" t="s">
        <v>6311</v>
      </c>
      <c r="AR2037" s="251" t="s">
        <v>6311</v>
      </c>
      <c r="AS2037" s="252" t="s">
        <v>5466</v>
      </c>
      <c r="AT2037" s="35" t="s">
        <v>266</v>
      </c>
      <c r="AU2037" s="33">
        <v>2</v>
      </c>
      <c r="AV2037" s="33">
        <v>72</v>
      </c>
      <c r="AW2037" s="33">
        <v>70</v>
      </c>
      <c r="AX2037" s="33">
        <v>26</v>
      </c>
      <c r="AY2037" s="253">
        <v>0.5083333333333333</v>
      </c>
      <c r="AZ2037" s="33" t="s">
        <v>6294</v>
      </c>
      <c r="BA2037" s="33">
        <v>30</v>
      </c>
      <c r="BB2037" s="41" t="s">
        <v>6226</v>
      </c>
      <c r="BC2037" s="41" t="s">
        <v>6227</v>
      </c>
      <c r="BD2037" s="41"/>
      <c r="BE2037" s="33" t="s">
        <v>2449</v>
      </c>
      <c r="BF2037" s="33" t="s">
        <v>6203</v>
      </c>
      <c r="BG2037" s="33" t="s">
        <v>6203</v>
      </c>
      <c r="BH2037" s="33"/>
      <c r="BI2037" s="250">
        <v>0.24938999999999997</v>
      </c>
      <c r="BJ2037" s="250">
        <v>149.96</v>
      </c>
      <c r="BK2037" s="254"/>
      <c r="BL2037" s="263">
        <v>25.603987376487378</v>
      </c>
      <c r="BM2037" s="33" t="s">
        <v>6250</v>
      </c>
      <c r="BN2037" s="33"/>
      <c r="BO2037" s="33"/>
      <c r="BP2037" s="33">
        <v>6.3406999999999991</v>
      </c>
      <c r="BQ2037" s="33"/>
      <c r="BR2037" s="33"/>
      <c r="BS2037" s="33"/>
      <c r="BT2037" s="33"/>
      <c r="BU2037" s="246"/>
      <c r="BV2037" s="33"/>
      <c r="BW2037" s="33"/>
      <c r="BX2037" s="33"/>
      <c r="BY2037" s="33"/>
      <c r="BZ2037" s="33"/>
      <c r="CA2037" s="33"/>
      <c r="CB2037" s="33"/>
      <c r="CC2037" s="33"/>
      <c r="CD2037" s="33"/>
      <c r="CE2037" s="33"/>
      <c r="CF2037" s="33"/>
      <c r="CG2037" s="33"/>
      <c r="CH2037" s="33"/>
      <c r="CI2037" s="250">
        <v>6.3406999999999991</v>
      </c>
      <c r="CJ2037" s="243">
        <f t="shared" si="563"/>
        <v>0.80213720572966551</v>
      </c>
      <c r="CK2037" s="38">
        <f t="shared" si="568"/>
        <v>0.17073877951778726</v>
      </c>
      <c r="CL2037" s="247">
        <f t="shared" si="569"/>
        <v>4.0380379731713187</v>
      </c>
      <c r="CM2037" s="247"/>
      <c r="CN2037" s="247"/>
      <c r="CO2037" s="41"/>
      <c r="CP2037" s="143" t="s">
        <v>6196</v>
      </c>
      <c r="CQ2037" s="241">
        <v>0.62849284084610069</v>
      </c>
      <c r="CR2037" s="241">
        <f t="shared" si="573"/>
        <v>1.4915724902882423</v>
      </c>
      <c r="CS2037" s="33"/>
      <c r="CT2037" s="33"/>
      <c r="CU2037" s="250">
        <f t="shared" si="570"/>
        <v>709.7008216758403</v>
      </c>
      <c r="CV2037" s="337">
        <f t="shared" si="571"/>
        <v>30.008002133902373</v>
      </c>
      <c r="CW2037" s="330">
        <f t="shared" si="564"/>
        <v>1</v>
      </c>
      <c r="CX2037" s="330"/>
      <c r="CY2037" s="143" t="s">
        <v>6351</v>
      </c>
    </row>
    <row r="2038" spans="1:103" ht="11.25" customHeight="1" x14ac:dyDescent="0.2">
      <c r="A2038" s="72">
        <v>1687</v>
      </c>
      <c r="B2038" s="241">
        <v>2040</v>
      </c>
      <c r="C2038" s="32" t="s">
        <v>1756</v>
      </c>
      <c r="D2038" s="32"/>
      <c r="E2038" s="40"/>
      <c r="F2038" s="40" t="s">
        <v>1757</v>
      </c>
      <c r="G2038" s="242">
        <v>87865</v>
      </c>
      <c r="H2038" s="41" t="s">
        <v>1758</v>
      </c>
      <c r="I2038" s="41" t="s">
        <v>7866</v>
      </c>
      <c r="J2038" s="41" t="s">
        <v>1759</v>
      </c>
      <c r="K2038" s="41" t="s">
        <v>349</v>
      </c>
      <c r="L2038" s="36" t="s">
        <v>6134</v>
      </c>
      <c r="M2038" s="36" t="s">
        <v>497</v>
      </c>
      <c r="N2038" s="36" t="s">
        <v>6381</v>
      </c>
      <c r="O2038" s="36" t="s">
        <v>6086</v>
      </c>
      <c r="P2038" s="41"/>
      <c r="Q2038" s="41" t="s">
        <v>6173</v>
      </c>
      <c r="R2038" s="41" t="s">
        <v>6180</v>
      </c>
      <c r="S2038" s="41" t="s">
        <v>6176</v>
      </c>
      <c r="T2038" s="33">
        <v>266.33999999999997</v>
      </c>
      <c r="U2038" s="250">
        <v>14</v>
      </c>
      <c r="V2038" s="250">
        <v>3.09</v>
      </c>
      <c r="W2038" s="250">
        <v>10.125964381601822</v>
      </c>
      <c r="X2038" s="250">
        <v>14</v>
      </c>
      <c r="Y2038" s="415">
        <v>4.71</v>
      </c>
      <c r="Z2038" s="33">
        <v>4.74</v>
      </c>
      <c r="AA2038" s="33">
        <v>5.12</v>
      </c>
      <c r="AB2038" s="33">
        <v>5.1100000000000003</v>
      </c>
      <c r="AC2038" s="33">
        <v>0.88800000000000001</v>
      </c>
      <c r="AD2038" s="33">
        <v>5.04</v>
      </c>
      <c r="AE2038" s="33">
        <v>4.78</v>
      </c>
      <c r="AF2038" s="33">
        <f t="shared" si="567"/>
        <v>5.12</v>
      </c>
      <c r="AG2038" s="34">
        <v>4.8499999999999996</v>
      </c>
      <c r="AH2038" s="250">
        <v>1.2499999999999999E-7</v>
      </c>
      <c r="AI2038" s="250">
        <v>2.4500000000000001E-8</v>
      </c>
      <c r="AJ2038" s="34">
        <f t="shared" si="565"/>
        <v>-5.2916563133045953</v>
      </c>
      <c r="AK2038" s="34">
        <f>LOG10(AI2038*1000/(0.08206*298.15))</f>
        <v>-5.9994002419481189</v>
      </c>
      <c r="AL2038" s="34">
        <f t="shared" si="566"/>
        <v>-5.9994002419481189</v>
      </c>
      <c r="AM2038" s="34">
        <v>-7.034559999999999</v>
      </c>
      <c r="AN2038" s="251">
        <v>-3.9674999999999998</v>
      </c>
      <c r="AO2038" s="417">
        <v>4.68</v>
      </c>
      <c r="AP2038" s="417"/>
      <c r="AQ2038" s="251" t="s">
        <v>6311</v>
      </c>
      <c r="AR2038" s="251" t="s">
        <v>6311</v>
      </c>
      <c r="AS2038" s="252" t="s">
        <v>5466</v>
      </c>
      <c r="AT2038" s="35" t="s">
        <v>266</v>
      </c>
      <c r="AU2038" s="33">
        <v>1</v>
      </c>
      <c r="AV2038" s="33">
        <v>72</v>
      </c>
      <c r="AW2038" s="33">
        <v>71</v>
      </c>
      <c r="AX2038" s="33">
        <v>26</v>
      </c>
      <c r="AY2038" s="253">
        <v>0.5083333333333333</v>
      </c>
      <c r="AZ2038" s="33" t="s">
        <v>6294</v>
      </c>
      <c r="BA2038" s="33">
        <v>30</v>
      </c>
      <c r="BB2038" s="41" t="s">
        <v>6226</v>
      </c>
      <c r="BC2038" s="41" t="s">
        <v>6227</v>
      </c>
      <c r="BD2038" s="41"/>
      <c r="BE2038" s="33" t="s">
        <v>2449</v>
      </c>
      <c r="BF2038" s="33" t="s">
        <v>6203</v>
      </c>
      <c r="BG2038" s="33" t="s">
        <v>6203</v>
      </c>
      <c r="BH2038" s="33"/>
      <c r="BI2038" s="250">
        <v>3.0096419999999995E-2</v>
      </c>
      <c r="BJ2038" s="250">
        <v>0.20002133999999999</v>
      </c>
      <c r="BK2038" s="254"/>
      <c r="BL2038" s="263">
        <v>0.75725542865225259</v>
      </c>
      <c r="BM2038" s="33" t="s">
        <v>6250</v>
      </c>
      <c r="BN2038" s="33"/>
      <c r="BO2038" s="33"/>
      <c r="BP2038" s="33">
        <v>0.1225164</v>
      </c>
      <c r="BQ2038" s="33"/>
      <c r="BR2038" s="33"/>
      <c r="BS2038" s="33"/>
      <c r="BT2038" s="33"/>
      <c r="BU2038" s="246"/>
      <c r="BV2038" s="33"/>
      <c r="BW2038" s="33"/>
      <c r="BX2038" s="33"/>
      <c r="BY2038" s="33"/>
      <c r="BZ2038" s="33"/>
      <c r="CA2038" s="33"/>
      <c r="CB2038" s="33"/>
      <c r="CC2038" s="33"/>
      <c r="CD2038" s="33"/>
      <c r="CE2038" s="33"/>
      <c r="CF2038" s="33"/>
      <c r="CG2038" s="33"/>
      <c r="CH2038" s="33"/>
      <c r="CI2038" s="250">
        <v>0.1225164</v>
      </c>
      <c r="CJ2038" s="243">
        <f t="shared" si="563"/>
        <v>-0.91180577290941567</v>
      </c>
      <c r="CK2038" s="38">
        <f t="shared" si="568"/>
        <v>3.7858731905918268</v>
      </c>
      <c r="CL2038" s="247">
        <f t="shared" si="569"/>
        <v>6.1808494915966561</v>
      </c>
      <c r="CM2038" s="247">
        <v>-0.85054537395088958</v>
      </c>
      <c r="CN2038" s="247">
        <f>BJ2038/(10^CM2038)</f>
        <v>1.4178219851577649</v>
      </c>
      <c r="CO2038" s="41"/>
      <c r="CP2038" s="143" t="s">
        <v>6199</v>
      </c>
      <c r="CQ2038" s="241">
        <v>-0.72193980992494822</v>
      </c>
      <c r="CR2038" s="241">
        <f t="shared" si="573"/>
        <v>0.6458535291078521</v>
      </c>
      <c r="CS2038" s="33"/>
      <c r="CT2038" s="33"/>
      <c r="CU2038" s="250">
        <f t="shared" si="570"/>
        <v>114.27041604226046</v>
      </c>
      <c r="CV2038" s="337">
        <f t="shared" si="571"/>
        <v>69.992531796857278</v>
      </c>
      <c r="CW2038" s="330">
        <f t="shared" si="564"/>
        <v>1</v>
      </c>
      <c r="CX2038" s="330"/>
      <c r="CY2038" s="143" t="s">
        <v>5921</v>
      </c>
    </row>
    <row r="2039" spans="1:103" ht="11.25" customHeight="1" x14ac:dyDescent="0.2">
      <c r="B2039" s="353"/>
      <c r="C2039" s="354"/>
      <c r="D2039" s="354"/>
      <c r="E2039" s="355"/>
      <c r="F2039" s="355"/>
      <c r="G2039" s="356"/>
      <c r="H2039" s="357"/>
      <c r="I2039" s="357"/>
      <c r="J2039" s="357"/>
      <c r="K2039" s="357"/>
      <c r="L2039" s="357"/>
      <c r="M2039" s="357"/>
      <c r="N2039" s="358"/>
      <c r="O2039" s="357"/>
      <c r="P2039" s="357"/>
      <c r="Q2039" s="357"/>
      <c r="R2039" s="357"/>
      <c r="S2039" s="357"/>
      <c r="T2039" s="359"/>
      <c r="U2039" s="359"/>
      <c r="V2039" s="360"/>
      <c r="W2039" s="360"/>
      <c r="X2039" s="360"/>
      <c r="Y2039" s="361"/>
      <c r="Z2039" s="359"/>
      <c r="AA2039" s="359"/>
      <c r="AB2039" s="359"/>
      <c r="AC2039" s="359"/>
      <c r="AD2039" s="359"/>
      <c r="AE2039" s="359"/>
      <c r="AF2039" s="359"/>
      <c r="AG2039" s="362"/>
      <c r="AH2039" s="360"/>
      <c r="AI2039" s="363"/>
      <c r="AJ2039" s="362"/>
      <c r="AK2039" s="362"/>
      <c r="AL2039" s="362"/>
      <c r="AM2039" s="362"/>
      <c r="AN2039" s="364"/>
      <c r="AO2039" s="361"/>
      <c r="AP2039" s="361"/>
      <c r="AQ2039" s="361"/>
      <c r="AR2039" s="361"/>
      <c r="AS2039" s="353"/>
      <c r="AT2039" s="365"/>
      <c r="AU2039" s="359"/>
      <c r="AV2039" s="359"/>
      <c r="AW2039" s="359"/>
      <c r="AX2039" s="359"/>
      <c r="AY2039" s="359"/>
      <c r="AZ2039" s="359"/>
      <c r="BA2039" s="359"/>
      <c r="BB2039" s="357"/>
      <c r="BC2039" s="357"/>
      <c r="BD2039" s="357"/>
      <c r="BE2039" s="359"/>
      <c r="BF2039" s="359"/>
      <c r="BG2039" s="359"/>
      <c r="BH2039" s="359"/>
      <c r="BI2039" s="360"/>
      <c r="BJ2039" s="360"/>
      <c r="BK2039" s="359"/>
      <c r="BL2039" s="360"/>
      <c r="BM2039" s="359"/>
      <c r="BN2039" s="359"/>
      <c r="BO2039" s="359"/>
      <c r="BP2039" s="359"/>
      <c r="BQ2039" s="359"/>
      <c r="BR2039" s="359"/>
      <c r="BS2039" s="359"/>
      <c r="BT2039" s="359"/>
      <c r="BU2039" s="359"/>
      <c r="BV2039" s="359"/>
      <c r="BW2039" s="359"/>
      <c r="BX2039" s="359"/>
      <c r="BY2039" s="359"/>
      <c r="BZ2039" s="359"/>
      <c r="CA2039" s="359"/>
      <c r="CB2039" s="359"/>
      <c r="CC2039" s="359"/>
      <c r="CD2039" s="359"/>
      <c r="CE2039" s="359"/>
      <c r="CF2039" s="359"/>
      <c r="CG2039" s="359"/>
      <c r="CH2039" s="359"/>
      <c r="CI2039" s="360"/>
      <c r="CJ2039" s="360"/>
      <c r="CK2039" s="362"/>
      <c r="CL2039" s="366"/>
      <c r="CM2039" s="366"/>
      <c r="CN2039" s="366"/>
      <c r="CO2039" s="357"/>
      <c r="CP2039" s="325"/>
      <c r="CQ2039" s="353"/>
      <c r="CR2039" s="367"/>
      <c r="CS2039" s="359"/>
      <c r="CT2039" s="359"/>
      <c r="CU2039" s="360"/>
      <c r="CV2039" s="369"/>
      <c r="CW2039" s="368"/>
      <c r="CX2039" s="368"/>
      <c r="CY2039" s="325"/>
    </row>
    <row r="2040" spans="1:103" ht="15" customHeight="1" x14ac:dyDescent="0.2">
      <c r="C2040" s="19" t="s">
        <v>6324</v>
      </c>
      <c r="D2040" s="19"/>
      <c r="E2040" s="142"/>
    </row>
    <row r="2041" spans="1:103" ht="15" customHeight="1" x14ac:dyDescent="0.2">
      <c r="C2041" s="310" t="s">
        <v>6343</v>
      </c>
      <c r="D2041" s="310"/>
      <c r="E2041" s="311"/>
      <c r="F2041" s="311"/>
      <c r="G2041" s="311"/>
      <c r="H2041" s="311"/>
      <c r="I2041" s="311"/>
    </row>
    <row r="2042" spans="1:103" ht="15" customHeight="1" x14ac:dyDescent="0.2">
      <c r="C2042" s="312" t="s">
        <v>6380</v>
      </c>
      <c r="D2042" s="312"/>
      <c r="E2042" s="313"/>
      <c r="F2042" s="313"/>
      <c r="G2042" s="313"/>
      <c r="H2042" s="313"/>
      <c r="I2042" s="313"/>
    </row>
    <row r="2043" spans="1:103" ht="15" customHeight="1" x14ac:dyDescent="0.2">
      <c r="B2043" s="72"/>
      <c r="C2043" s="314" t="s">
        <v>6325</v>
      </c>
      <c r="D2043" s="314"/>
      <c r="E2043" s="315"/>
      <c r="F2043" s="315"/>
      <c r="G2043" s="315"/>
      <c r="H2043" s="315"/>
      <c r="I2043" s="315"/>
      <c r="K2043" s="72"/>
      <c r="L2043" s="72"/>
      <c r="M2043" s="72"/>
      <c r="N2043" s="72"/>
      <c r="O2043" s="72"/>
      <c r="P2043" s="72"/>
      <c r="Q2043" s="72"/>
      <c r="R2043" s="72"/>
      <c r="S2043" s="72"/>
      <c r="T2043" s="72"/>
      <c r="U2043" s="72"/>
      <c r="V2043" s="72"/>
      <c r="W2043" s="72"/>
      <c r="X2043" s="72"/>
      <c r="Y2043" s="72"/>
      <c r="Z2043" s="72"/>
      <c r="AA2043" s="72"/>
      <c r="AB2043" s="72"/>
      <c r="AC2043" s="72"/>
      <c r="AD2043" s="72"/>
      <c r="AE2043" s="72"/>
      <c r="AF2043" s="72"/>
      <c r="AG2043" s="72"/>
      <c r="AH2043" s="425"/>
      <c r="AI2043" s="72"/>
      <c r="AJ2043" s="72"/>
      <c r="AK2043" s="72"/>
      <c r="AL2043" s="72"/>
      <c r="AM2043" s="72"/>
      <c r="AN2043" s="72"/>
      <c r="AO2043" s="72"/>
      <c r="AP2043" s="72"/>
      <c r="AQ2043" s="72"/>
      <c r="AR2043" s="72"/>
      <c r="AS2043" s="72"/>
      <c r="AT2043" s="72"/>
      <c r="AU2043" s="72"/>
      <c r="AV2043" s="72"/>
      <c r="AW2043" s="72"/>
      <c r="AX2043" s="72"/>
      <c r="AY2043" s="72"/>
      <c r="AZ2043" s="72"/>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row>
    <row r="2044" spans="1:103" ht="15" customHeight="1" x14ac:dyDescent="0.2">
      <c r="B2044" s="72"/>
      <c r="C2044" s="316" t="s">
        <v>6342</v>
      </c>
      <c r="D2044" s="316"/>
      <c r="E2044" s="317"/>
      <c r="F2044" s="317"/>
      <c r="G2044" s="317"/>
      <c r="H2044" s="317"/>
      <c r="I2044" s="317"/>
      <c r="K2044" s="72"/>
      <c r="L2044" s="72"/>
      <c r="M2044" s="72"/>
      <c r="N2044" s="72"/>
      <c r="O2044" s="72"/>
      <c r="P2044" s="72"/>
      <c r="Q2044" s="72"/>
      <c r="R2044" s="72"/>
      <c r="S2044" s="72"/>
      <c r="T2044" s="72"/>
      <c r="U2044" s="72"/>
      <c r="V2044" s="72"/>
      <c r="W2044" s="72"/>
      <c r="X2044" s="72"/>
      <c r="Y2044" s="72"/>
      <c r="Z2044" s="72"/>
      <c r="AA2044" s="72"/>
      <c r="AB2044" s="72"/>
      <c r="AC2044" s="72"/>
      <c r="AD2044" s="72"/>
      <c r="AE2044" s="72"/>
      <c r="AF2044" s="72"/>
      <c r="AG2044" s="72"/>
      <c r="AH2044" s="425"/>
      <c r="AI2044" s="72"/>
      <c r="AJ2044" s="72"/>
      <c r="AK2044" s="72"/>
      <c r="AL2044" s="72"/>
      <c r="AM2044" s="72"/>
      <c r="AN2044" s="72"/>
      <c r="AO2044" s="72"/>
      <c r="AP2044" s="72"/>
      <c r="AQ2044" s="72"/>
      <c r="AR2044" s="72"/>
      <c r="AS2044" s="72"/>
      <c r="AT2044" s="72"/>
      <c r="AU2044" s="72"/>
      <c r="AV2044" s="72"/>
      <c r="AW2044" s="72"/>
      <c r="AX2044" s="72"/>
      <c r="AY2044" s="72"/>
      <c r="AZ2044" s="72"/>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row>
    <row r="2045" spans="1:103" ht="15" customHeight="1" x14ac:dyDescent="0.2">
      <c r="B2045" s="72"/>
      <c r="C2045" s="318" t="s">
        <v>6350</v>
      </c>
      <c r="D2045" s="318"/>
      <c r="E2045" s="319"/>
      <c r="F2045" s="319"/>
      <c r="G2045" s="319"/>
      <c r="H2045" s="319"/>
      <c r="I2045" s="319"/>
      <c r="J2045" s="319"/>
      <c r="K2045" s="72"/>
      <c r="L2045" s="72"/>
      <c r="M2045" s="72"/>
      <c r="N2045" s="72"/>
      <c r="O2045" s="72"/>
      <c r="P2045" s="72"/>
      <c r="Q2045" s="72"/>
      <c r="R2045" s="72"/>
      <c r="S2045" s="72"/>
      <c r="T2045" s="72"/>
      <c r="U2045" s="72"/>
      <c r="V2045" s="72"/>
      <c r="W2045" s="72"/>
      <c r="X2045" s="72"/>
      <c r="Y2045" s="72"/>
      <c r="Z2045" s="72"/>
      <c r="AA2045" s="72"/>
      <c r="AB2045" s="72"/>
      <c r="AC2045" s="72"/>
      <c r="AD2045" s="72"/>
      <c r="AE2045" s="72"/>
      <c r="AF2045" s="72"/>
      <c r="AG2045" s="72"/>
      <c r="AH2045" s="425"/>
      <c r="AI2045" s="72"/>
      <c r="AJ2045" s="72"/>
      <c r="AK2045" s="72"/>
      <c r="AL2045" s="72"/>
      <c r="AM2045" s="72"/>
      <c r="AN2045" s="72"/>
      <c r="AO2045" s="72"/>
      <c r="AP2045" s="72"/>
      <c r="AQ2045" s="72"/>
      <c r="AR2045" s="72"/>
      <c r="AS2045" s="72"/>
      <c r="AT2045" s="72"/>
      <c r="AU2045" s="72"/>
      <c r="AV2045" s="72"/>
      <c r="AW2045" s="72"/>
      <c r="AX2045" s="72"/>
      <c r="AY2045" s="72"/>
      <c r="AZ2045" s="72"/>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row>
    <row r="2046" spans="1:103" ht="15" customHeight="1" x14ac:dyDescent="0.2">
      <c r="B2046" s="72"/>
      <c r="C2046" s="320" t="s">
        <v>6349</v>
      </c>
      <c r="D2046" s="320"/>
      <c r="E2046" s="296"/>
      <c r="F2046" s="296"/>
      <c r="G2046" s="296"/>
      <c r="K2046" s="72"/>
      <c r="L2046" s="72"/>
      <c r="M2046" s="72"/>
      <c r="N2046" s="72"/>
      <c r="O2046" s="72"/>
      <c r="P2046" s="72"/>
      <c r="Q2046" s="72"/>
      <c r="R2046" s="72"/>
      <c r="S2046" s="72"/>
      <c r="T2046" s="72"/>
      <c r="U2046" s="72"/>
      <c r="V2046" s="72"/>
      <c r="W2046" s="72"/>
      <c r="X2046" s="72"/>
      <c r="Y2046" s="72"/>
      <c r="Z2046" s="72"/>
      <c r="AA2046" s="72"/>
      <c r="AB2046" s="72"/>
      <c r="AC2046" s="72"/>
      <c r="AD2046" s="72"/>
      <c r="AE2046" s="72"/>
      <c r="AF2046" s="72"/>
      <c r="AG2046" s="72"/>
      <c r="AH2046" s="425"/>
      <c r="AI2046" s="72"/>
      <c r="AJ2046" s="72"/>
      <c r="AK2046" s="72"/>
      <c r="AL2046" s="72"/>
      <c r="AM2046" s="72"/>
      <c r="AN2046" s="72"/>
      <c r="AO2046" s="72"/>
      <c r="AP2046" s="72"/>
      <c r="AQ2046" s="72"/>
      <c r="AR2046" s="72"/>
      <c r="AS2046" s="72"/>
      <c r="AT2046" s="72"/>
      <c r="AU2046" s="72"/>
      <c r="AV2046" s="72"/>
      <c r="AW2046" s="72"/>
      <c r="AX2046" s="72"/>
      <c r="AY2046" s="72"/>
      <c r="AZ2046" s="72"/>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row>
  </sheetData>
  <autoFilter ref="A2:CY2038">
    <sortState ref="A3:CY2038">
      <sortCondition descending="1" ref="CP2:CP2038"/>
    </sortState>
  </autoFilter>
  <hyperlinks>
    <hyperlink ref="F2005" r:id="rId1" display="http://www.sigmaaldrich.com/catalog/Lookup.do?N5=CAS+No.&amp;N3=mode+matchpartialmax&amp;N4=6533-68-2&amp;D7=0&amp;D10=&amp;N25=0&amp;N1=S_ID&amp;ST=RS&amp;F=PR"/>
    <hyperlink ref="F2001" r:id="rId2" display="http://www.sigmaaldrich.com/catalog/Lookup.do?N5=CAS+No.&amp;N3=mode+matchpartialmax&amp;N4=1421-86-9&amp;D7=0&amp;D10=&amp;N25=0&amp;N1=S_ID&amp;ST=RS&amp;F=PR"/>
    <hyperlink ref="F1983" r:id="rId3" display="http://www.sigmaaldrich.com/catalog/Lookup.do?N5=CAS+No.&amp;N3=mode+matchpartialmax&amp;N4=83-67-0&amp;D7=0&amp;D10=&amp;N25=0&amp;N1=S_ID&amp;ST=RS&amp;F=PR"/>
    <hyperlink ref="F2006" r:id="rId4" display="http://www.sigmaaldrich.com/catalog/Lookup.do?N5=CAS+No.&amp;N3=mode+matchpartialmax&amp;N4=6989-98-6&amp;D7=0&amp;D10=&amp;N25=0&amp;N1=S_ID&amp;ST=RS&amp;F=PR"/>
    <hyperlink ref="F1975" r:id="rId5" display="http://www.sigmaaldrich.com/catalog/Lookup.do?N5=CAS+No.&amp;N3=mode+matchpartialmax&amp;N4=65-19-0&amp;D7=0&amp;D10=&amp;N25=0&amp;N1=S_ID&amp;ST=RS&amp;F=PR"/>
    <hyperlink ref="F2014" r:id="rId6" display="http://www.sigmaaldrich.com/catalog/Lookup.do?N5=CAS+No.&amp;N3=mode+matchpartialmax&amp;N4=29883-15-6&amp;D7=0&amp;D10=&amp;N25=0&amp;N1=S_ID&amp;ST=RS&amp;F=PR"/>
    <hyperlink ref="F1994" r:id="rId7" display="http://www.sigmaaldrich.com/catalog/Lookup.do?N5=CAS+No.&amp;N3=mode+matchpartialmax&amp;N4=497-76-7&amp;D7=0&amp;D10=&amp;N25=0&amp;N1=S_ID&amp;ST=RS&amp;F=PR"/>
    <hyperlink ref="F1995" r:id="rId8" display="http://www.sigmaaldrich.com/catalog/Lookup.do?N5=CAS+No.&amp;N3=mode+matchpartialmax&amp;N4=508-75-8&amp;D7=0&amp;D10=&amp;N25=0&amp;N1=S_ID&amp;ST=RS&amp;F=PR"/>
    <hyperlink ref="F1987" r:id="rId9" display="http://www.sigmaaldrich.com/catalog/Lookup.do?N5=CAS+No.&amp;N3=mode+matchpartialmax&amp;N4=91-64-5&amp;D7=0&amp;D10=&amp;N25=0&amp;N1=S_ID&amp;ST=RS&amp;F=PR"/>
    <hyperlink ref="F1978" r:id="rId10" display="http://www.sigmaaldrich.com/catalog/Lookup.do?N5=CAS+No.&amp;N3=mode+matchpartialmax&amp;N4=71-63-6&amp;D7=0&amp;D10=&amp;N25=0&amp;N1=S_ID&amp;ST=RS&amp;F=PR"/>
    <hyperlink ref="F2011" r:id="rId11" display="http://www.sigmaaldrich.com/catalog/Lookup.do?N5=CAS+No.&amp;N3=mode+matchpartialmax&amp;N4=13241-33-3&amp;D7=0&amp;D10=&amp;N25=0&amp;N1=S_ID&amp;ST=RS&amp;F=PR"/>
    <hyperlink ref="F2010" r:id="rId12" display="http://www.sigmaaldrich.com/catalog/Lookup.do?N5=CAS+No.&amp;N3=mode+matchpartialmax&amp;N4=11018-89-6&amp;D7=0&amp;D10=&amp;N25=0&amp;N1=S_ID&amp;ST=RS&amp;F=PR"/>
    <hyperlink ref="F2018" r:id="rId13" display="http://www.sigmaaldrich.com/catalog/Lookup.do?N5=CAS+No.&amp;N3=mode+matchpartialmax&amp;N4=207671-50-9&amp;D7=0&amp;D10=&amp;N25=0&amp;N1=S_ID&amp;ST=RS&amp;F=PR"/>
    <hyperlink ref="F2003" r:id="rId14" display="http://www.sigmaaldrich.com/catalog/Lookup.do?N5=CAS+No.&amp;N3=mode+matchpartialmax&amp;N4=3810-74-0&amp;D7=0&amp;D10=&amp;N25=0&amp;N1=S_ID&amp;ST=RS&amp;F=PR"/>
    <hyperlink ref="F1967" r:id="rId15" display="http://www.sigmaaldrich.com/catalog/Lookup.do?N5=CAS+No.&amp;N3=mode+matchpartialmax&amp;N4=56-81-5&amp;D7=0&amp;D10=&amp;N25=0&amp;N1=S_ID&amp;ST=RS&amp;F=PR"/>
    <hyperlink ref="F1981" r:id="rId16" display="http://www.sigmaaldrich.com/catalog/Lookup.do?N5=CAS+No.&amp;N3=mode+matchpartialmax&amp;N4=62-76-0&amp;D7=0&amp;D10=&amp;N25=0&amp;N1=S_ID&amp;ST=RS&amp;F=PR"/>
    <hyperlink ref="F1984" r:id="rId17" display="http://www.commonchemistry.org/ChemicalDetail.aspx?ref=76-03-9"/>
    <hyperlink ref="F2004" r:id="rId18" display="http://www.sigmaaldrich.com/catalog/Lookup.do?N5=CAS+No.&amp;N3=mode+matchpartialmax&amp;N4=6055-19-2&amp;D7=0&amp;D10=&amp;N25=0&amp;N1=S_ID&amp;ST=RS&amp;F=PR"/>
    <hyperlink ref="F1979" r:id="rId19" display="http://www.sigmaaldrich.com/catalog/Lookup.do?N5=CAS+No.&amp;N3=mode+matchpartialmax&amp;N4=103-90-2&amp;D7=0&amp;D10=&amp;N25=0&amp;N1=S_ID&amp;ST=RS&amp;F=PR"/>
    <hyperlink ref="F2012" r:id="rId20" display="http://www.sigmaaldrich.com/catalog/Lookup.do?N5=CAS+No.&amp;N3=mode+matchpartialmax&amp;N4=14919-77-8&amp;D7=0&amp;D10=&amp;N25=0&amp;N1=S_ID&amp;ST=RS&amp;F=PR"/>
    <hyperlink ref="F1976" r:id="rId21" display="http://www.sigmaaldrich.com/catalog/Lookup.do?N5=CAS+No.&amp;N3=mode+matchpartialmax&amp;N4=69-09-0&amp;D7=0&amp;D10=&amp;N25=0&amp;N1=S_ID&amp;ST=RS&amp;F=PR"/>
    <hyperlink ref="F1992" r:id="rId22" display="http://www.sigmaaldrich.com/catalog/Lookup.do?N5=CAS+No.&amp;N3=mode+matchpartialmax&amp;N4=156-51-4&amp;D7=0&amp;D10=&amp;N25=0&amp;N1=S_ID&amp;ST=RS&amp;F=PR"/>
    <hyperlink ref="F2000" r:id="rId23" display="http://www.sigmaaldrich.com/catalog/Lookup.do?N5=CAS+No.&amp;N3=mode+matchpartialmax&amp;N4=1070-11-7&amp;D7=0&amp;D10=&amp;N25=0&amp;N1=S_ID&amp;ST=RS&amp;F=PR"/>
    <hyperlink ref="F1991" r:id="rId24" display="http://www.sigmaaldrich.com/catalog/Lookup.do?N5=CAS+No.&amp;N3=mode+matchpartialmax&amp;N4=152-11-4&amp;D7=0&amp;D10=&amp;N25=0&amp;N1=S_ID&amp;ST=RS&amp;F=PR"/>
    <hyperlink ref="F1982" r:id="rId25" display="http://www.sigmaaldrich.com/catalog/Lookup.do?N5=CAS+No.&amp;N3=mode+matchpartialmax&amp;N4=108-95-2&amp;D7=0&amp;D10=&amp;N25=0&amp;N1=S_ID&amp;ST=RS&amp;F=PR"/>
    <hyperlink ref="F1970" r:id="rId26" display="http://www.sigmaaldrich.com/catalog/Lookup.do?N5=CAS+No.&amp;N3=mode+matchpartialmax&amp;N4=67-68-5&amp;D7=0&amp;D10=&amp;N25=0&amp;N1=S_ID&amp;ST=RS&amp;F=PR"/>
    <hyperlink ref="F1985" r:id="rId27" display="http://www.sigmaaldrich.com/catalog/Lookup.do?N5=CAS+No.&amp;N3=mode+matchpartialmax&amp;N4=50-00-0&amp;D7=0&amp;D10=&amp;N25=0&amp;N1=S_ID&amp;ST=RS&amp;F=PR"/>
    <hyperlink ref="F1999" r:id="rId28" display="http://www.sigmaaldrich.com/catalog/Lookup.do?N5=CAS+No.&amp;N3=mode+matchpartialmax&amp;N4=834-28-6&amp;D7=0&amp;D10=&amp;N25=0&amp;N1=S_ID&amp;ST=RS&amp;F=PR"/>
    <hyperlink ref="F1997" r:id="rId29" display="http://www.sigmaaldrich.com/catalog/Lookup.do?N5=CAS+No.&amp;N3=mode+matchpartialmax&amp;N4=549-18-8&amp;D7=0&amp;D10=&amp;N25=0&amp;N1=S_ID&amp;ST=RS&amp;F=PR"/>
  </hyperlinks>
  <pageMargins left="0.7" right="0.7" top="0.75" bottom="0.75" header="0.3" footer="0.3"/>
  <pageSetup paperSize="9" orientation="portrait" r:id="rId30"/>
  <drawing r:id="rId31"/>
  <legacyDrawing r:id="rId3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31"/>
  <sheetViews>
    <sheetView workbookViewId="0">
      <selection activeCell="CA26" sqref="CA26"/>
    </sheetView>
  </sheetViews>
  <sheetFormatPr defaultColWidth="11.42578125" defaultRowHeight="12.75" x14ac:dyDescent="0.2"/>
  <cols>
    <col min="2" max="2" width="19" customWidth="1"/>
    <col min="82" max="82" width="16.42578125" customWidth="1"/>
  </cols>
  <sheetData>
    <row r="1" spans="1:87" s="70" customFormat="1" ht="27" customHeight="1" x14ac:dyDescent="0.2">
      <c r="A1" s="512" t="s">
        <v>8</v>
      </c>
      <c r="B1" s="513" t="s">
        <v>9</v>
      </c>
      <c r="C1" s="511"/>
      <c r="D1" s="511"/>
      <c r="E1" s="511"/>
      <c r="F1" s="511"/>
      <c r="G1" s="507"/>
      <c r="H1" s="6" t="s">
        <v>26</v>
      </c>
      <c r="I1" s="7"/>
      <c r="J1" s="7"/>
      <c r="K1" s="514" t="s">
        <v>6186</v>
      </c>
      <c r="L1" s="514"/>
      <c r="M1" s="514" t="s">
        <v>6187</v>
      </c>
      <c r="N1" s="514"/>
      <c r="O1" s="11"/>
      <c r="P1" s="11"/>
      <c r="Q1" s="11"/>
      <c r="R1" s="11"/>
      <c r="S1" s="11"/>
      <c r="T1" s="11"/>
      <c r="U1" s="11"/>
      <c r="V1" s="11"/>
      <c r="W1" s="11" t="s">
        <v>95</v>
      </c>
      <c r="X1" s="11" t="s">
        <v>97</v>
      </c>
      <c r="Y1" s="11" t="s">
        <v>98</v>
      </c>
      <c r="Z1" s="11" t="s">
        <v>101</v>
      </c>
      <c r="AA1" s="513" t="s">
        <v>6320</v>
      </c>
      <c r="AB1" s="515"/>
      <c r="AC1" s="12"/>
      <c r="AD1" s="516" t="s">
        <v>128</v>
      </c>
      <c r="AE1" s="512" t="s">
        <v>141</v>
      </c>
      <c r="AF1" s="512" t="s">
        <v>143</v>
      </c>
      <c r="AG1" s="512" t="s">
        <v>146</v>
      </c>
      <c r="AH1" s="510" t="s">
        <v>149</v>
      </c>
      <c r="AI1" s="511"/>
      <c r="AJ1" s="511"/>
      <c r="AK1" s="511"/>
      <c r="AL1" s="511"/>
      <c r="AM1" s="511"/>
      <c r="AN1" s="511"/>
      <c r="AO1" s="511"/>
      <c r="AP1" s="511"/>
      <c r="AQ1" s="507"/>
      <c r="AR1" s="506" t="s">
        <v>167</v>
      </c>
      <c r="AS1" s="507"/>
      <c r="AT1" s="508" t="s">
        <v>182</v>
      </c>
      <c r="AU1" s="517" t="s">
        <v>192</v>
      </c>
      <c r="AV1" s="507"/>
      <c r="AW1" s="11" t="s">
        <v>196</v>
      </c>
      <c r="AX1" s="21" t="s">
        <v>197</v>
      </c>
      <c r="AY1" s="21"/>
      <c r="AZ1" s="21"/>
      <c r="BA1" s="21"/>
      <c r="BB1" s="21"/>
      <c r="BC1" s="21"/>
      <c r="BD1" s="21"/>
      <c r="BE1" s="21"/>
      <c r="BF1" s="21"/>
      <c r="BG1" s="21"/>
      <c r="BH1" s="21"/>
      <c r="BI1" s="21"/>
      <c r="BJ1" s="21"/>
      <c r="BK1" s="21"/>
      <c r="BL1" s="21"/>
      <c r="BM1" s="21"/>
      <c r="BN1" s="21"/>
      <c r="BO1" s="21"/>
      <c r="BP1" s="21"/>
      <c r="BQ1" s="21"/>
      <c r="BR1" s="21"/>
      <c r="BS1" s="21"/>
      <c r="BT1" s="96"/>
      <c r="BU1" s="513" t="s">
        <v>5919</v>
      </c>
      <c r="BV1" s="507"/>
      <c r="BW1" s="508" t="s">
        <v>198</v>
      </c>
      <c r="BX1" s="508" t="s">
        <v>199</v>
      </c>
      <c r="BY1" s="147" t="s">
        <v>5920</v>
      </c>
      <c r="BZ1" s="147" t="s">
        <v>6191</v>
      </c>
      <c r="CA1" s="147" t="s">
        <v>6190</v>
      </c>
      <c r="CB1" s="519" t="s">
        <v>200</v>
      </c>
      <c r="CC1" s="520" t="s">
        <v>201</v>
      </c>
      <c r="CD1" s="518" t="s">
        <v>6189</v>
      </c>
      <c r="CE1" s="518"/>
      <c r="CF1" s="518"/>
      <c r="CG1" s="518"/>
      <c r="CH1" s="512" t="s">
        <v>6352</v>
      </c>
    </row>
    <row r="2" spans="1:87" s="70" customFormat="1" ht="45" customHeight="1" x14ac:dyDescent="0.2">
      <c r="A2" s="509"/>
      <c r="B2" s="22" t="s">
        <v>202</v>
      </c>
      <c r="C2" s="94" t="s">
        <v>203</v>
      </c>
      <c r="D2" s="94" t="s">
        <v>204</v>
      </c>
      <c r="E2" s="95" t="s">
        <v>205</v>
      </c>
      <c r="F2" s="95" t="s">
        <v>206</v>
      </c>
      <c r="G2" s="95" t="s">
        <v>207</v>
      </c>
      <c r="H2" s="94" t="s">
        <v>208</v>
      </c>
      <c r="I2" s="95" t="s">
        <v>5981</v>
      </c>
      <c r="J2" s="94" t="s">
        <v>209</v>
      </c>
      <c r="K2" s="23" t="s">
        <v>6170</v>
      </c>
      <c r="L2" s="23" t="s">
        <v>6171</v>
      </c>
      <c r="M2" s="23" t="s">
        <v>6170</v>
      </c>
      <c r="N2" s="23" t="s">
        <v>6171</v>
      </c>
      <c r="O2" s="94" t="s">
        <v>210</v>
      </c>
      <c r="P2" s="24" t="s">
        <v>211</v>
      </c>
      <c r="Q2" s="25" t="s">
        <v>212</v>
      </c>
      <c r="R2" s="94" t="s">
        <v>213</v>
      </c>
      <c r="S2" s="26" t="s">
        <v>214</v>
      </c>
      <c r="T2" s="24" t="s">
        <v>215</v>
      </c>
      <c r="U2" s="26" t="s">
        <v>216</v>
      </c>
      <c r="V2" s="25" t="s">
        <v>217</v>
      </c>
      <c r="W2" s="25" t="s">
        <v>218</v>
      </c>
      <c r="X2" s="25" t="s">
        <v>218</v>
      </c>
      <c r="Y2" s="25" t="s">
        <v>219</v>
      </c>
      <c r="Z2" s="25" t="s">
        <v>219</v>
      </c>
      <c r="AA2" s="25" t="s">
        <v>6318</v>
      </c>
      <c r="AB2" s="25" t="s">
        <v>6319</v>
      </c>
      <c r="AC2" s="94" t="s">
        <v>220</v>
      </c>
      <c r="AD2" s="509"/>
      <c r="AE2" s="509"/>
      <c r="AF2" s="509"/>
      <c r="AG2" s="509"/>
      <c r="AH2" s="94" t="s">
        <v>221</v>
      </c>
      <c r="AI2" s="94" t="s">
        <v>222</v>
      </c>
      <c r="AJ2" s="94" t="s">
        <v>223</v>
      </c>
      <c r="AK2" s="27" t="s">
        <v>224</v>
      </c>
      <c r="AL2" s="27" t="s">
        <v>225</v>
      </c>
      <c r="AM2" s="27" t="s">
        <v>226</v>
      </c>
      <c r="AN2" s="94" t="s">
        <v>227</v>
      </c>
      <c r="AO2" s="94" t="s">
        <v>228</v>
      </c>
      <c r="AP2" s="94" t="s">
        <v>229</v>
      </c>
      <c r="AQ2" s="94" t="s">
        <v>230</v>
      </c>
      <c r="AR2" s="28" t="s">
        <v>231</v>
      </c>
      <c r="AS2" s="28" t="s">
        <v>232</v>
      </c>
      <c r="AT2" s="509"/>
      <c r="AU2" s="24" t="s">
        <v>233</v>
      </c>
      <c r="AV2" s="24" t="s">
        <v>234</v>
      </c>
      <c r="AW2" s="94" t="s">
        <v>235</v>
      </c>
      <c r="AX2" s="94" t="s">
        <v>236</v>
      </c>
      <c r="AY2" s="94" t="s">
        <v>237</v>
      </c>
      <c r="AZ2" s="94" t="s">
        <v>238</v>
      </c>
      <c r="BA2" s="94" t="s">
        <v>239</v>
      </c>
      <c r="BB2" s="29" t="s">
        <v>240</v>
      </c>
      <c r="BC2" s="29" t="s">
        <v>241</v>
      </c>
      <c r="BD2" s="29" t="s">
        <v>242</v>
      </c>
      <c r="BE2" s="30" t="s">
        <v>243</v>
      </c>
      <c r="BF2" s="94" t="s">
        <v>244</v>
      </c>
      <c r="BG2" s="94" t="s">
        <v>245</v>
      </c>
      <c r="BH2" s="29" t="s">
        <v>246</v>
      </c>
      <c r="BI2" s="29" t="s">
        <v>247</v>
      </c>
      <c r="BJ2" s="29" t="s">
        <v>248</v>
      </c>
      <c r="BK2" s="29" t="s">
        <v>249</v>
      </c>
      <c r="BL2" s="29" t="s">
        <v>250</v>
      </c>
      <c r="BM2" s="29" t="s">
        <v>251</v>
      </c>
      <c r="BN2" s="29" t="s">
        <v>252</v>
      </c>
      <c r="BO2" s="29" t="s">
        <v>253</v>
      </c>
      <c r="BP2" s="29" t="s">
        <v>254</v>
      </c>
      <c r="BQ2" s="94" t="s">
        <v>255</v>
      </c>
      <c r="BR2" s="94" t="s">
        <v>256</v>
      </c>
      <c r="BS2" s="94" t="s">
        <v>257</v>
      </c>
      <c r="BT2" s="94" t="s">
        <v>6344</v>
      </c>
      <c r="BU2" s="27" t="s">
        <v>258</v>
      </c>
      <c r="BV2" s="27" t="s">
        <v>259</v>
      </c>
      <c r="BW2" s="509"/>
      <c r="BX2" s="509"/>
      <c r="BY2" s="148" t="s">
        <v>5922</v>
      </c>
      <c r="BZ2" s="148"/>
      <c r="CA2" s="148"/>
      <c r="CB2" s="509"/>
      <c r="CC2" s="509"/>
      <c r="CD2" s="145" t="s">
        <v>5993</v>
      </c>
      <c r="CE2" s="145" t="s">
        <v>6309</v>
      </c>
      <c r="CF2" s="146" t="s">
        <v>6197</v>
      </c>
      <c r="CG2" s="145" t="s">
        <v>6321</v>
      </c>
      <c r="CH2" s="509"/>
    </row>
    <row r="3" spans="1:87" s="71" customFormat="1" ht="11.25" customHeight="1" x14ac:dyDescent="0.2">
      <c r="A3" s="75">
        <v>516</v>
      </c>
      <c r="B3" s="77" t="s">
        <v>1036</v>
      </c>
      <c r="C3" s="78" t="s">
        <v>1037</v>
      </c>
      <c r="D3" s="79">
        <v>2921882</v>
      </c>
      <c r="E3" s="80" t="s">
        <v>1038</v>
      </c>
      <c r="F3" s="80" t="s">
        <v>1039</v>
      </c>
      <c r="G3" s="80" t="s">
        <v>1040</v>
      </c>
      <c r="H3" s="90" t="s">
        <v>617</v>
      </c>
      <c r="I3" s="80" t="s">
        <v>618</v>
      </c>
      <c r="J3" s="80" t="s">
        <v>1041</v>
      </c>
      <c r="K3" s="31" t="s">
        <v>6178</v>
      </c>
      <c r="L3" s="31" t="s">
        <v>6173</v>
      </c>
      <c r="M3" s="31" t="s">
        <v>6177</v>
      </c>
      <c r="N3" s="31" t="s">
        <v>6176</v>
      </c>
      <c r="O3" s="81">
        <v>350.59</v>
      </c>
      <c r="P3" s="82">
        <v>3.1946147922074222E-3</v>
      </c>
      <c r="Q3" s="83">
        <v>-6.1623000000000001</v>
      </c>
      <c r="R3" s="84">
        <v>4.96</v>
      </c>
      <c r="S3" s="85">
        <v>5.16</v>
      </c>
      <c r="T3" s="82">
        <v>2.9299999999999999E-6</v>
      </c>
      <c r="U3" s="86">
        <v>-3.8833884344431118</v>
      </c>
      <c r="V3" s="83">
        <v>-2.64</v>
      </c>
      <c r="W3" s="83"/>
      <c r="X3" s="83"/>
      <c r="Y3" s="83"/>
      <c r="Z3" s="83">
        <v>-5.28</v>
      </c>
      <c r="AA3" s="83" t="s">
        <v>6312</v>
      </c>
      <c r="AB3" s="83" t="s">
        <v>6312</v>
      </c>
      <c r="AC3" s="75" t="s">
        <v>6</v>
      </c>
      <c r="AD3" s="87" t="s">
        <v>1646</v>
      </c>
      <c r="AE3" s="81">
        <v>2</v>
      </c>
      <c r="AF3" s="81">
        <v>96</v>
      </c>
      <c r="AG3" s="81">
        <v>96</v>
      </c>
      <c r="AH3" s="81">
        <v>25</v>
      </c>
      <c r="AI3" s="81" t="s">
        <v>8722</v>
      </c>
      <c r="AJ3" s="81" t="s">
        <v>1647</v>
      </c>
      <c r="AK3" s="81">
        <v>10</v>
      </c>
      <c r="AL3" s="80" t="s">
        <v>1648</v>
      </c>
      <c r="AM3" s="80" t="s">
        <v>1649</v>
      </c>
      <c r="AN3" s="81" t="s">
        <v>271</v>
      </c>
      <c r="AO3" s="81" t="s">
        <v>272</v>
      </c>
      <c r="AP3" s="81" t="s">
        <v>272</v>
      </c>
      <c r="AQ3" s="81" t="s">
        <v>272</v>
      </c>
      <c r="AR3" s="126">
        <v>2.2533443623605923E-4</v>
      </c>
      <c r="AS3" s="126">
        <v>2.4016657634273655E-3</v>
      </c>
      <c r="AT3" s="81"/>
      <c r="AU3" s="82">
        <f t="shared" ref="AU3:AV5" si="0">10^((-0.8981*R3)+1.7108)</f>
        <v>1.803947939524484E-3</v>
      </c>
      <c r="AV3" s="82">
        <f t="shared" si="0"/>
        <v>1.1928998940203253E-3</v>
      </c>
      <c r="AW3" s="81"/>
      <c r="AX3" s="81"/>
      <c r="AY3" s="81"/>
      <c r="AZ3" s="81"/>
      <c r="BA3" s="81">
        <v>3.4799475155456675E-4</v>
      </c>
      <c r="BB3" s="81"/>
      <c r="BC3" s="81"/>
      <c r="BD3" s="81"/>
      <c r="BE3" s="81"/>
      <c r="BF3" s="81"/>
      <c r="BG3" s="81"/>
      <c r="BH3" s="81"/>
      <c r="BI3" s="81"/>
      <c r="BJ3" s="81"/>
      <c r="BK3" s="81"/>
      <c r="BL3" s="81"/>
      <c r="BM3" s="81"/>
      <c r="BN3" s="81"/>
      <c r="BO3" s="81"/>
      <c r="BP3" s="81"/>
      <c r="BQ3" s="81"/>
      <c r="BR3" s="81"/>
      <c r="BS3" s="82">
        <f>MIN(AX3:BR3)</f>
        <v>3.4799475155456675E-4</v>
      </c>
      <c r="BT3" s="82">
        <f>LOG10(BS3)</f>
        <v>-3.4584273060191628</v>
      </c>
      <c r="BU3" s="86">
        <f>AU3/AS3</f>
        <v>0.75112364384547359</v>
      </c>
      <c r="BV3" s="86">
        <f>AV3/AS3</f>
        <v>0.49669688105057697</v>
      </c>
      <c r="BW3" s="88">
        <f>BS3/P3</f>
        <v>0.10893167852456745</v>
      </c>
      <c r="BX3" s="88">
        <f>BS3/((10^Q3)*1000)</f>
        <v>0.50567640986167406</v>
      </c>
      <c r="BY3" s="88">
        <f>AU3/BS3</f>
        <v>5.1838366281843733</v>
      </c>
      <c r="BZ3" s="88">
        <v>-4.7871813037708</v>
      </c>
      <c r="CA3" s="88">
        <f>AS3/(10^BZ3)</f>
        <v>147.12750521501727</v>
      </c>
      <c r="CB3" s="80"/>
      <c r="CC3" s="80" t="s">
        <v>1650</v>
      </c>
      <c r="CD3" s="75" t="s">
        <v>539</v>
      </c>
      <c r="CE3" s="89" t="s">
        <v>539</v>
      </c>
      <c r="CF3" s="89"/>
      <c r="CG3" s="91"/>
      <c r="CH3" s="144" t="s">
        <v>5921</v>
      </c>
      <c r="CI3" s="70"/>
    </row>
    <row r="4" spans="1:87" s="70" customFormat="1" ht="11.25" customHeight="1" x14ac:dyDescent="0.2">
      <c r="A4" s="75">
        <v>544</v>
      </c>
      <c r="B4" s="77" t="s">
        <v>1707</v>
      </c>
      <c r="C4" s="78" t="s">
        <v>1708</v>
      </c>
      <c r="D4" s="79">
        <v>51630581</v>
      </c>
      <c r="E4" s="80" t="s">
        <v>1709</v>
      </c>
      <c r="F4" s="80" t="s">
        <v>1710</v>
      </c>
      <c r="G4" s="80" t="s">
        <v>1711</v>
      </c>
      <c r="H4" s="80"/>
      <c r="I4" s="80" t="s">
        <v>1364</v>
      </c>
      <c r="J4" s="80" t="s">
        <v>1365</v>
      </c>
      <c r="K4" s="31"/>
      <c r="L4" s="31" t="s">
        <v>6173</v>
      </c>
      <c r="M4" s="31" t="s">
        <v>6174</v>
      </c>
      <c r="N4" s="31" t="s">
        <v>6176</v>
      </c>
      <c r="O4" s="81">
        <v>419.9</v>
      </c>
      <c r="P4" s="82">
        <v>5.7155104665285415E-5</v>
      </c>
      <c r="Q4" s="83">
        <v>-7.6875999999999998</v>
      </c>
      <c r="R4" s="84">
        <v>6.2</v>
      </c>
      <c r="S4" s="85">
        <v>6.03</v>
      </c>
      <c r="T4" s="82">
        <v>3.4499999999999998E-8</v>
      </c>
      <c r="U4" s="86">
        <v>-5.8124369597239474</v>
      </c>
      <c r="V4" s="83">
        <v>-6.07</v>
      </c>
      <c r="W4" s="83"/>
      <c r="X4" s="83"/>
      <c r="Y4" s="83"/>
      <c r="Z4" s="83"/>
      <c r="AA4" s="83" t="s">
        <v>6311</v>
      </c>
      <c r="AB4" s="83" t="s">
        <v>6312</v>
      </c>
      <c r="AC4" s="75" t="s">
        <v>6</v>
      </c>
      <c r="AD4" s="87" t="s">
        <v>1646</v>
      </c>
      <c r="AE4" s="81">
        <v>2</v>
      </c>
      <c r="AF4" s="81">
        <v>96</v>
      </c>
      <c r="AG4" s="81">
        <v>96</v>
      </c>
      <c r="AH4" s="81">
        <v>25</v>
      </c>
      <c r="AI4" s="81" t="s">
        <v>8722</v>
      </c>
      <c r="AJ4" s="81" t="s">
        <v>1647</v>
      </c>
      <c r="AK4" s="81">
        <v>10</v>
      </c>
      <c r="AL4" s="80" t="s">
        <v>1648</v>
      </c>
      <c r="AM4" s="80" t="s">
        <v>1649</v>
      </c>
      <c r="AN4" s="81" t="s">
        <v>1712</v>
      </c>
      <c r="AO4" s="81" t="s">
        <v>272</v>
      </c>
      <c r="AP4" s="81" t="s">
        <v>272</v>
      </c>
      <c r="AQ4" s="81" t="s">
        <v>272</v>
      </c>
      <c r="AR4" s="126">
        <v>1.4288776166321354E-7</v>
      </c>
      <c r="AS4" s="126">
        <v>3.8341549379628965E-5</v>
      </c>
      <c r="AT4" s="81"/>
      <c r="AU4" s="82">
        <f t="shared" si="0"/>
        <v>1.3886090776162139E-4</v>
      </c>
      <c r="AV4" s="82">
        <f t="shared" si="0"/>
        <v>1.9735902910351173E-4</v>
      </c>
      <c r="AW4" s="81"/>
      <c r="AX4" s="81"/>
      <c r="AY4" s="81"/>
      <c r="AZ4" s="81"/>
      <c r="BA4" s="81">
        <v>2.0242914979757085E-6</v>
      </c>
      <c r="BB4" s="81"/>
      <c r="BC4" s="81"/>
      <c r="BD4" s="81"/>
      <c r="BE4" s="81"/>
      <c r="BF4" s="81"/>
      <c r="BG4" s="81"/>
      <c r="BH4" s="81"/>
      <c r="BI4" s="81"/>
      <c r="BJ4" s="81"/>
      <c r="BK4" s="81"/>
      <c r="BL4" s="81"/>
      <c r="BM4" s="81"/>
      <c r="BN4" s="81"/>
      <c r="BO4" s="81"/>
      <c r="BP4" s="81"/>
      <c r="BQ4" s="81"/>
      <c r="BR4" s="81"/>
      <c r="BS4" s="82">
        <f>MIN(AX4:BR4)</f>
        <v>2.0242914979757085E-6</v>
      </c>
      <c r="BT4" s="82">
        <f>LOG10(BS4)</f>
        <v>-5.6937269489236471</v>
      </c>
      <c r="BU4" s="86">
        <f>AU4/AS4</f>
        <v>3.6216822222473564</v>
      </c>
      <c r="BV4" s="86">
        <f>AV4/AS4</f>
        <v>5.1473931621649456</v>
      </c>
      <c r="BW4" s="88">
        <f>BS4/P4</f>
        <v>3.5417510121457489E-2</v>
      </c>
      <c r="BX4" s="88">
        <f>BS4/((10^Q4)*1000)</f>
        <v>9.8599122771768549E-2</v>
      </c>
      <c r="BY4" s="88">
        <f>AU4/BS4</f>
        <v>68.597288434240966</v>
      </c>
      <c r="BZ4" s="88">
        <v>-5.7538858610952248</v>
      </c>
      <c r="CA4" s="88">
        <f>AS4/(10^BZ4)</f>
        <v>21.754821278667553</v>
      </c>
      <c r="CB4" s="80"/>
      <c r="CC4" s="80" t="s">
        <v>1650</v>
      </c>
      <c r="CD4" s="75" t="s">
        <v>539</v>
      </c>
      <c r="CE4" s="89" t="s">
        <v>539</v>
      </c>
      <c r="CF4" s="89"/>
      <c r="CG4" s="91"/>
      <c r="CH4" s="144" t="s">
        <v>5921</v>
      </c>
    </row>
    <row r="5" spans="1:87" s="70" customFormat="1" ht="11.25" customHeight="1" x14ac:dyDescent="0.2">
      <c r="A5" s="75">
        <v>2138</v>
      </c>
      <c r="B5" s="77" t="s">
        <v>491</v>
      </c>
      <c r="C5" s="78" t="s">
        <v>5834</v>
      </c>
      <c r="D5" s="79">
        <v>152114</v>
      </c>
      <c r="E5" s="80" t="s">
        <v>492</v>
      </c>
      <c r="F5" s="80" t="s">
        <v>5835</v>
      </c>
      <c r="G5" s="80" t="s">
        <v>345</v>
      </c>
      <c r="H5" s="80"/>
      <c r="I5" s="80"/>
      <c r="J5" s="80"/>
      <c r="K5" s="31"/>
      <c r="L5" s="31"/>
      <c r="M5" s="31"/>
      <c r="N5" s="31"/>
      <c r="O5" s="81">
        <v>491.1</v>
      </c>
      <c r="P5" s="82">
        <v>1.031562E-3</v>
      </c>
      <c r="Q5" s="83">
        <v>-7.1048999999999998</v>
      </c>
      <c r="R5" s="84">
        <v>3.45</v>
      </c>
      <c r="S5" s="85">
        <v>5.94</v>
      </c>
      <c r="T5" s="82">
        <v>4.0600000000000002E-22</v>
      </c>
      <c r="U5" s="86">
        <v>-19.742000000000001</v>
      </c>
      <c r="V5" s="83">
        <v>-14.523</v>
      </c>
      <c r="W5" s="83"/>
      <c r="X5" s="83">
        <v>8.7200000000000006</v>
      </c>
      <c r="Y5" s="83"/>
      <c r="Z5" s="83">
        <v>8.9700000000000006</v>
      </c>
      <c r="AA5" s="83" t="s">
        <v>6311</v>
      </c>
      <c r="AB5" s="83" t="s">
        <v>6311</v>
      </c>
      <c r="AC5" s="75" t="s">
        <v>5466</v>
      </c>
      <c r="AD5" s="87" t="s">
        <v>5836</v>
      </c>
      <c r="AE5" s="81" t="s">
        <v>5837</v>
      </c>
      <c r="AF5" s="81" t="s">
        <v>5838</v>
      </c>
      <c r="AG5" s="81">
        <v>96</v>
      </c>
      <c r="AH5" s="81">
        <v>20</v>
      </c>
      <c r="AI5" s="81" t="s">
        <v>1780</v>
      </c>
      <c r="AJ5" s="81" t="s">
        <v>5839</v>
      </c>
      <c r="AK5" s="81"/>
      <c r="AL5" s="80" t="s">
        <v>5840</v>
      </c>
      <c r="AM5" s="91"/>
      <c r="AN5" s="90" t="s">
        <v>1712</v>
      </c>
      <c r="AO5" s="81" t="s">
        <v>5681</v>
      </c>
      <c r="AP5" s="81">
        <v>7.9</v>
      </c>
      <c r="AQ5" s="81"/>
      <c r="AR5" s="82">
        <v>4.07249E-5</v>
      </c>
      <c r="AS5" s="82">
        <v>4.0724903E-2</v>
      </c>
      <c r="AT5" s="92" t="s">
        <v>5841</v>
      </c>
      <c r="AU5" s="82">
        <f t="shared" si="0"/>
        <v>4.0959533340592637E-2</v>
      </c>
      <c r="AV5" s="82">
        <f t="shared" si="0"/>
        <v>2.3773110006523377E-4</v>
      </c>
      <c r="AW5" s="81"/>
      <c r="AX5" s="81"/>
      <c r="AY5" s="81"/>
      <c r="AZ5" s="81"/>
      <c r="BA5" s="81"/>
      <c r="BB5" s="81"/>
      <c r="BC5" s="81"/>
      <c r="BD5" s="81"/>
      <c r="BE5" s="81"/>
      <c r="BF5" s="81"/>
      <c r="BG5" s="81"/>
      <c r="BH5" s="81"/>
      <c r="BI5" s="81"/>
      <c r="BJ5" s="81"/>
      <c r="BK5" s="81"/>
      <c r="BL5" s="81"/>
      <c r="BM5" s="81"/>
      <c r="BN5" s="81"/>
      <c r="BO5" s="81"/>
      <c r="BP5" s="81"/>
      <c r="BQ5" s="81">
        <v>3.3394421000000001E-2</v>
      </c>
      <c r="BR5" s="81"/>
      <c r="BS5" s="82">
        <f>MIN(AX5:BR5)</f>
        <v>3.3394421000000001E-2</v>
      </c>
      <c r="BT5" s="82">
        <f>LOG10(BS5)</f>
        <v>-1.476326082029608</v>
      </c>
      <c r="BU5" s="86">
        <f>AU5/AS5</f>
        <v>1.0057613480526311</v>
      </c>
      <c r="BV5" s="86">
        <f>AV5/AS5</f>
        <v>5.8374872020010406E-3</v>
      </c>
      <c r="BW5" s="88">
        <f>BS5/P5</f>
        <v>32.372674642920153</v>
      </c>
      <c r="BX5" s="88">
        <f>BS5/((10^Q5)*1000)</f>
        <v>425.18106749169402</v>
      </c>
      <c r="BY5" s="88">
        <f>AU5/BS5</f>
        <v>1.226538209498905</v>
      </c>
      <c r="BZ5" s="88"/>
      <c r="CA5" s="88"/>
      <c r="CB5" s="80" t="s">
        <v>5842</v>
      </c>
      <c r="CC5" s="80" t="s">
        <v>5843</v>
      </c>
      <c r="CD5" s="75"/>
      <c r="CE5" s="89" t="s">
        <v>539</v>
      </c>
      <c r="CF5" s="89" t="s">
        <v>272</v>
      </c>
      <c r="CG5" s="91"/>
      <c r="CH5" s="144" t="s">
        <v>5921</v>
      </c>
    </row>
    <row r="6" spans="1:87" s="70" customFormat="1" ht="11.25" customHeight="1" x14ac:dyDescent="0.2">
      <c r="A6" s="75">
        <v>848</v>
      </c>
      <c r="B6" s="77" t="s">
        <v>2422</v>
      </c>
      <c r="C6" s="78" t="s">
        <v>2423</v>
      </c>
      <c r="D6" s="79">
        <v>1184572</v>
      </c>
      <c r="E6" s="80" t="s">
        <v>2424</v>
      </c>
      <c r="F6" s="80" t="s">
        <v>2425</v>
      </c>
      <c r="G6" s="80" t="s">
        <v>403</v>
      </c>
      <c r="H6" s="31"/>
      <c r="I6" s="127"/>
      <c r="J6" s="127"/>
      <c r="K6" s="31"/>
      <c r="L6" s="31"/>
      <c r="M6" s="31"/>
      <c r="N6" s="31"/>
      <c r="O6" s="83">
        <v>232.63</v>
      </c>
      <c r="P6" s="82"/>
      <c r="Q6" s="83">
        <v>-2.4784000000000002</v>
      </c>
      <c r="R6" s="84" t="s">
        <v>404</v>
      </c>
      <c r="S6" s="85">
        <v>1.49</v>
      </c>
      <c r="T6" s="82"/>
      <c r="U6" s="86"/>
      <c r="V6" s="83">
        <v>-17.2</v>
      </c>
      <c r="W6" s="83">
        <v>2.33</v>
      </c>
      <c r="X6" s="83">
        <v>4.8899999999999997</v>
      </c>
      <c r="Y6" s="83">
        <v>2.2999999999999998</v>
      </c>
      <c r="Z6" s="83">
        <v>5.15</v>
      </c>
      <c r="AA6" s="83" t="s">
        <v>6311</v>
      </c>
      <c r="AB6" s="83" t="s">
        <v>6311</v>
      </c>
      <c r="AC6" s="75" t="s">
        <v>6</v>
      </c>
      <c r="AD6" s="87" t="s">
        <v>1646</v>
      </c>
      <c r="AE6" s="76">
        <v>0</v>
      </c>
      <c r="AF6" s="76">
        <v>96</v>
      </c>
      <c r="AG6" s="81">
        <v>96</v>
      </c>
      <c r="AH6" s="81">
        <v>24</v>
      </c>
      <c r="AI6" s="81" t="s">
        <v>1780</v>
      </c>
      <c r="AJ6" s="81" t="s">
        <v>2426</v>
      </c>
      <c r="AK6" s="81">
        <v>50</v>
      </c>
      <c r="AL6" s="80" t="s">
        <v>2427</v>
      </c>
      <c r="AM6" s="80" t="s">
        <v>8722</v>
      </c>
      <c r="AN6" s="81" t="s">
        <v>2289</v>
      </c>
      <c r="AO6" s="81" t="s">
        <v>8722</v>
      </c>
      <c r="AP6" s="81" t="s">
        <v>8722</v>
      </c>
      <c r="AQ6" s="81" t="s">
        <v>272</v>
      </c>
      <c r="AR6" s="82" t="s">
        <v>8722</v>
      </c>
      <c r="AS6" s="82" t="s">
        <v>8722</v>
      </c>
      <c r="AT6" s="81" t="s">
        <v>2290</v>
      </c>
      <c r="AU6" s="82"/>
      <c r="AV6" s="82">
        <f t="shared" ref="AV6:AV27" si="1">10^((-0.8981*S6)+1.7108)</f>
        <v>2.3584734954327344</v>
      </c>
      <c r="AW6" s="80" t="s">
        <v>1640</v>
      </c>
      <c r="AX6" s="81">
        <f>221/216.6/1000</f>
        <v>1.0203139427516158E-3</v>
      </c>
      <c r="AY6" s="81">
        <f>72.7/216.6/1000</f>
        <v>3.3564173591874426E-4</v>
      </c>
      <c r="AZ6" s="81">
        <f>42.9/216.6/1000</f>
        <v>1.9806094182825486E-4</v>
      </c>
      <c r="BA6" s="81">
        <f>41/216.6/1000</f>
        <v>1.8928901200369343E-4</v>
      </c>
      <c r="BB6" s="81"/>
      <c r="BC6" s="81"/>
      <c r="BD6" s="81"/>
      <c r="BE6" s="81"/>
      <c r="BF6" s="81"/>
      <c r="BG6" s="81"/>
      <c r="BH6" s="81"/>
      <c r="BI6" s="81"/>
      <c r="BJ6" s="81"/>
      <c r="BK6" s="81"/>
      <c r="BL6" s="81"/>
      <c r="BM6" s="81"/>
      <c r="BN6" s="81"/>
      <c r="BO6" s="81"/>
      <c r="BP6" s="81"/>
      <c r="BQ6" s="81"/>
      <c r="BR6" s="81"/>
      <c r="BS6" s="82">
        <f>MIN(AX6:BR6)</f>
        <v>1.8928901200369343E-4</v>
      </c>
      <c r="BT6" s="82">
        <f t="shared" ref="BT6:BT27" si="2">LOG10(BS6)</f>
        <v>-3.7228745955695661</v>
      </c>
      <c r="BU6" s="86"/>
      <c r="BV6" s="86"/>
      <c r="BW6" s="88"/>
      <c r="BX6" s="88">
        <f>BS6/((10^Q6)*1000)</f>
        <v>5.6954153897726171E-5</v>
      </c>
      <c r="BY6" s="88">
        <f t="shared" ref="BY6:BY27" si="3">AU6/BS6</f>
        <v>0</v>
      </c>
      <c r="BZ6" s="88"/>
      <c r="CA6" s="88"/>
      <c r="CB6" s="80"/>
      <c r="CC6" s="80" t="s">
        <v>2428</v>
      </c>
      <c r="CD6" s="75"/>
      <c r="CE6" s="89" t="s">
        <v>539</v>
      </c>
      <c r="CF6" s="89"/>
      <c r="CG6" s="91"/>
      <c r="CH6" s="144" t="s">
        <v>5921</v>
      </c>
    </row>
    <row r="7" spans="1:87" s="70" customFormat="1" ht="11.25" customHeight="1" x14ac:dyDescent="0.2">
      <c r="A7" s="75">
        <v>2061</v>
      </c>
      <c r="B7" s="77" t="s">
        <v>5674</v>
      </c>
      <c r="C7" s="78" t="s">
        <v>5675</v>
      </c>
      <c r="D7" s="79">
        <v>7664417</v>
      </c>
      <c r="E7" s="80" t="s">
        <v>5676</v>
      </c>
      <c r="F7" s="80" t="s">
        <v>5677</v>
      </c>
      <c r="G7" s="80" t="s">
        <v>416</v>
      </c>
      <c r="H7" s="80"/>
      <c r="I7" s="80"/>
      <c r="J7" s="80"/>
      <c r="K7" s="31"/>
      <c r="L7" s="31"/>
      <c r="M7" s="31"/>
      <c r="N7" s="31"/>
      <c r="O7" s="81">
        <v>17.03</v>
      </c>
      <c r="P7" s="82"/>
      <c r="Q7" s="83"/>
      <c r="R7" s="85" t="s">
        <v>404</v>
      </c>
      <c r="S7" s="85" t="s">
        <v>5921</v>
      </c>
      <c r="T7" s="82"/>
      <c r="U7" s="86"/>
      <c r="V7" s="83"/>
      <c r="W7" s="83"/>
      <c r="X7" s="83"/>
      <c r="Y7" s="83"/>
      <c r="Z7" s="83"/>
      <c r="AA7" s="83" t="s">
        <v>6311</v>
      </c>
      <c r="AB7" s="83" t="s">
        <v>6311</v>
      </c>
      <c r="AC7" s="75" t="s">
        <v>5466</v>
      </c>
      <c r="AD7" s="87" t="s">
        <v>266</v>
      </c>
      <c r="AE7" s="81">
        <v>0</v>
      </c>
      <c r="AF7" s="81">
        <v>96</v>
      </c>
      <c r="AG7" s="81">
        <v>96</v>
      </c>
      <c r="AH7" s="81">
        <v>27.8</v>
      </c>
      <c r="AI7" s="81" t="s">
        <v>5670</v>
      </c>
      <c r="AJ7" s="81" t="s">
        <v>5671</v>
      </c>
      <c r="AK7" s="81">
        <v>20</v>
      </c>
      <c r="AL7" s="80" t="s">
        <v>5487</v>
      </c>
      <c r="AM7" s="80" t="s">
        <v>5494</v>
      </c>
      <c r="AN7" s="81" t="s">
        <v>5598</v>
      </c>
      <c r="AO7" s="81"/>
      <c r="AP7" s="81">
        <v>8.1999999999999993</v>
      </c>
      <c r="AQ7" s="81"/>
      <c r="AR7" s="82">
        <v>7.3400000000000007E-2</v>
      </c>
      <c r="AS7" s="82">
        <v>1.17</v>
      </c>
      <c r="AT7" s="92" t="s">
        <v>5672</v>
      </c>
      <c r="AU7" s="82"/>
      <c r="AV7" s="82"/>
      <c r="AW7" s="81"/>
      <c r="AX7" s="81"/>
      <c r="AY7" s="81"/>
      <c r="AZ7" s="81"/>
      <c r="BA7" s="81">
        <v>0.67938931300000005</v>
      </c>
      <c r="BB7" s="81"/>
      <c r="BC7" s="81"/>
      <c r="BD7" s="81"/>
      <c r="BE7" s="81"/>
      <c r="BF7" s="81"/>
      <c r="BG7" s="81"/>
      <c r="BH7" s="81"/>
      <c r="BI7" s="81"/>
      <c r="BJ7" s="81"/>
      <c r="BK7" s="81"/>
      <c r="BL7" s="81"/>
      <c r="BM7" s="81"/>
      <c r="BN7" s="81"/>
      <c r="BO7" s="81"/>
      <c r="BP7" s="81"/>
      <c r="BQ7" s="81"/>
      <c r="BR7" s="81"/>
      <c r="BS7" s="82">
        <f>MIN(AX7:BR7)</f>
        <v>0.67938931300000005</v>
      </c>
      <c r="BT7" s="82">
        <f t="shared" si="2"/>
        <v>-0.1678812889962123</v>
      </c>
      <c r="BU7" s="86">
        <f t="shared" ref="BU7:BU27" si="4">AU7/AS7</f>
        <v>0</v>
      </c>
      <c r="BV7" s="86">
        <f t="shared" ref="BV7:BV27" si="5">AV7/AS7</f>
        <v>0</v>
      </c>
      <c r="BW7" s="88"/>
      <c r="BX7" s="88">
        <f>BS7/((10^Q7)*1000)</f>
        <v>6.7938931300000002E-4</v>
      </c>
      <c r="BY7" s="88">
        <f t="shared" si="3"/>
        <v>0</v>
      </c>
      <c r="BZ7" s="88"/>
      <c r="CA7" s="88"/>
      <c r="CB7" s="80" t="s">
        <v>5494</v>
      </c>
      <c r="CC7" s="80" t="s">
        <v>5673</v>
      </c>
      <c r="CD7" s="75" t="s">
        <v>539</v>
      </c>
      <c r="CE7" s="89" t="s">
        <v>539</v>
      </c>
      <c r="CF7" s="89"/>
      <c r="CG7" s="91"/>
      <c r="CH7" s="144" t="s">
        <v>6351</v>
      </c>
    </row>
    <row r="8" spans="1:87" s="70" customFormat="1" ht="11.25" customHeight="1" x14ac:dyDescent="0.2">
      <c r="A8" s="75">
        <v>2058</v>
      </c>
      <c r="B8" s="77" t="s">
        <v>5653</v>
      </c>
      <c r="C8" s="78" t="s">
        <v>5455</v>
      </c>
      <c r="D8" s="79">
        <v>5436431</v>
      </c>
      <c r="E8" s="80" t="s">
        <v>5654</v>
      </c>
      <c r="F8" s="80" t="s">
        <v>5517</v>
      </c>
      <c r="G8" s="80" t="s">
        <v>426</v>
      </c>
      <c r="H8" s="80"/>
      <c r="I8" s="80"/>
      <c r="J8" s="80"/>
      <c r="K8" s="31"/>
      <c r="L8" s="31"/>
      <c r="M8" s="31"/>
      <c r="N8" s="31"/>
      <c r="O8" s="81">
        <v>485.5</v>
      </c>
      <c r="P8" s="82">
        <v>3.0092700000000002E-6</v>
      </c>
      <c r="Q8" s="83"/>
      <c r="R8" s="84">
        <v>6.77</v>
      </c>
      <c r="S8" s="85">
        <v>6.36</v>
      </c>
      <c r="T8" s="82">
        <v>2.9699999999999999E-6</v>
      </c>
      <c r="U8" s="86">
        <v>-3.9159999999999999</v>
      </c>
      <c r="V8" s="83"/>
      <c r="W8" s="83"/>
      <c r="X8" s="83"/>
      <c r="Y8" s="83"/>
      <c r="Z8" s="83"/>
      <c r="AA8" s="83" t="s">
        <v>6311</v>
      </c>
      <c r="AB8" s="83" t="s">
        <v>6311</v>
      </c>
      <c r="AC8" s="75" t="s">
        <v>5466</v>
      </c>
      <c r="AD8" s="87" t="s">
        <v>1655</v>
      </c>
      <c r="AE8" s="81">
        <v>0</v>
      </c>
      <c r="AF8" s="81">
        <v>96</v>
      </c>
      <c r="AG8" s="81">
        <v>96</v>
      </c>
      <c r="AH8" s="81">
        <v>25</v>
      </c>
      <c r="AI8" s="81"/>
      <c r="AJ8" s="81" t="s">
        <v>5655</v>
      </c>
      <c r="AK8" s="81">
        <v>5</v>
      </c>
      <c r="AL8" s="80" t="s">
        <v>5487</v>
      </c>
      <c r="AM8" s="80" t="s">
        <v>5656</v>
      </c>
      <c r="AN8" s="81"/>
      <c r="AO8" s="81"/>
      <c r="AP8" s="81" t="s">
        <v>5657</v>
      </c>
      <c r="AQ8" s="81" t="s">
        <v>5658</v>
      </c>
      <c r="AR8" s="82">
        <v>1.0298659999999999E-3</v>
      </c>
      <c r="AS8" s="82">
        <v>2.0597322000000001E-2</v>
      </c>
      <c r="AT8" s="92"/>
      <c r="AU8" s="82">
        <f t="shared" ref="AU8:AU27" si="6">10^((-0.8981*R8)+1.7108)</f>
        <v>4.2723123836706247E-5</v>
      </c>
      <c r="AV8" s="82">
        <f t="shared" si="1"/>
        <v>9.9743361385038008E-5</v>
      </c>
      <c r="AW8" s="81"/>
      <c r="AX8" s="81"/>
      <c r="AY8" s="81"/>
      <c r="AZ8" s="81"/>
      <c r="BA8" s="81" t="s">
        <v>5659</v>
      </c>
      <c r="BB8" s="81"/>
      <c r="BC8" s="81"/>
      <c r="BD8" s="81"/>
      <c r="BE8" s="81"/>
      <c r="BF8" s="81"/>
      <c r="BG8" s="81"/>
      <c r="BH8" s="81"/>
      <c r="BI8" s="81"/>
      <c r="BJ8" s="81"/>
      <c r="BK8" s="81"/>
      <c r="BL8" s="81"/>
      <c r="BM8" s="81"/>
      <c r="BN8" s="81"/>
      <c r="BO8" s="81"/>
      <c r="BP8" s="81"/>
      <c r="BQ8" s="81"/>
      <c r="BR8" s="81"/>
      <c r="BS8" s="82"/>
      <c r="BT8" s="82"/>
      <c r="BU8" s="86">
        <f t="shared" si="4"/>
        <v>2.0742076973261983E-3</v>
      </c>
      <c r="BV8" s="86">
        <f t="shared" si="5"/>
        <v>4.8425402770825255E-3</v>
      </c>
      <c r="BW8" s="88">
        <f t="shared" ref="BW8:BW25" si="7">BS8/P8</f>
        <v>0</v>
      </c>
      <c r="BX8" s="88"/>
      <c r="BY8" s="88"/>
      <c r="BZ8" s="88"/>
      <c r="CA8" s="88"/>
      <c r="CB8" s="80"/>
      <c r="CC8" s="80" t="s">
        <v>5660</v>
      </c>
      <c r="CD8" s="75"/>
      <c r="CE8" s="89" t="s">
        <v>539</v>
      </c>
      <c r="CF8" s="89"/>
      <c r="CG8" s="91"/>
      <c r="CH8" s="144" t="s">
        <v>5921</v>
      </c>
    </row>
    <row r="9" spans="1:87" s="70" customFormat="1" ht="11.25" customHeight="1" x14ac:dyDescent="0.2">
      <c r="A9" s="75">
        <v>2077</v>
      </c>
      <c r="B9" s="77" t="s">
        <v>2226</v>
      </c>
      <c r="C9" s="78" t="s">
        <v>2227</v>
      </c>
      <c r="D9" s="79">
        <v>1746016</v>
      </c>
      <c r="E9" s="80" t="s">
        <v>5519</v>
      </c>
      <c r="F9" s="80" t="s">
        <v>5520</v>
      </c>
      <c r="G9" s="80" t="s">
        <v>426</v>
      </c>
      <c r="H9" s="80"/>
      <c r="I9" s="80"/>
      <c r="J9" s="80"/>
      <c r="K9" s="31"/>
      <c r="L9" s="31"/>
      <c r="M9" s="31"/>
      <c r="N9" s="31"/>
      <c r="O9" s="81">
        <v>321.98</v>
      </c>
      <c r="P9" s="82">
        <v>3.42568E-6</v>
      </c>
      <c r="Q9" s="83">
        <v>-5.7302</v>
      </c>
      <c r="R9" s="84">
        <v>6.8</v>
      </c>
      <c r="S9" s="85">
        <v>5.56</v>
      </c>
      <c r="T9" s="82">
        <v>3.5300000000000001E-6</v>
      </c>
      <c r="U9" s="86">
        <v>-2.6890000000000001</v>
      </c>
      <c r="V9" s="83">
        <v>-3.2486000000000002</v>
      </c>
      <c r="W9" s="83"/>
      <c r="X9" s="83"/>
      <c r="Y9" s="83"/>
      <c r="Z9" s="83"/>
      <c r="AA9" s="83" t="s">
        <v>6311</v>
      </c>
      <c r="AB9" s="83" t="s">
        <v>6311</v>
      </c>
      <c r="AC9" s="75" t="s">
        <v>5466</v>
      </c>
      <c r="AD9" s="87" t="s">
        <v>5722</v>
      </c>
      <c r="AE9" s="81">
        <v>6</v>
      </c>
      <c r="AF9" s="81">
        <v>126</v>
      </c>
      <c r="AG9" s="81">
        <v>1</v>
      </c>
      <c r="AH9" s="81">
        <v>23</v>
      </c>
      <c r="AI9" s="81" t="s">
        <v>5670</v>
      </c>
      <c r="AJ9" s="81"/>
      <c r="AK9" s="81" t="s">
        <v>5723</v>
      </c>
      <c r="AL9" s="80"/>
      <c r="AM9" s="80"/>
      <c r="AN9" s="81"/>
      <c r="AO9" s="81"/>
      <c r="AP9" s="81"/>
      <c r="AQ9" s="81" t="s">
        <v>5626</v>
      </c>
      <c r="AR9" s="82">
        <v>3.9754E-7</v>
      </c>
      <c r="AS9" s="82">
        <v>1.55289E-5</v>
      </c>
      <c r="AT9" s="92" t="s">
        <v>5724</v>
      </c>
      <c r="AU9" s="82">
        <f t="shared" si="6"/>
        <v>4.0153185022811301E-5</v>
      </c>
      <c r="AV9" s="82">
        <f t="shared" si="1"/>
        <v>5.2163172886347299E-4</v>
      </c>
      <c r="AW9" s="81"/>
      <c r="AX9" s="81"/>
      <c r="AY9" s="81"/>
      <c r="AZ9" s="81"/>
      <c r="BA9" s="81"/>
      <c r="BB9" s="81"/>
      <c r="BC9" s="81"/>
      <c r="BD9" s="81"/>
      <c r="BE9" s="81"/>
      <c r="BF9" s="81"/>
      <c r="BG9" s="81"/>
      <c r="BH9" s="81"/>
      <c r="BI9" s="81"/>
      <c r="BJ9" s="81"/>
      <c r="BK9" s="81"/>
      <c r="BL9" s="81"/>
      <c r="BM9" s="81"/>
      <c r="BN9" s="81"/>
      <c r="BO9" s="81"/>
      <c r="BP9" s="81"/>
      <c r="BQ9" s="81"/>
      <c r="BR9" s="81"/>
      <c r="BS9" s="82"/>
      <c r="BT9" s="82"/>
      <c r="BU9" s="86">
        <f t="shared" si="4"/>
        <v>2.5857069736305407</v>
      </c>
      <c r="BV9" s="86">
        <f t="shared" si="5"/>
        <v>33.591028911479434</v>
      </c>
      <c r="BW9" s="88">
        <f t="shared" si="7"/>
        <v>0</v>
      </c>
      <c r="BX9" s="88">
        <f t="shared" ref="BX9:BX17" si="8">BS9/((10^Q9)*1000)</f>
        <v>0</v>
      </c>
      <c r="BY9" s="88"/>
      <c r="BZ9" s="88"/>
      <c r="CA9" s="88"/>
      <c r="CB9" s="80"/>
      <c r="CC9" s="80" t="s">
        <v>5725</v>
      </c>
      <c r="CD9" s="75"/>
      <c r="CE9" s="89" t="s">
        <v>539</v>
      </c>
      <c r="CF9" s="89"/>
      <c r="CG9" s="91"/>
      <c r="CH9" s="144" t="s">
        <v>5921</v>
      </c>
    </row>
    <row r="10" spans="1:87" s="70" customFormat="1" ht="11.25" customHeight="1" x14ac:dyDescent="0.2">
      <c r="A10" s="75">
        <v>767</v>
      </c>
      <c r="B10" s="77" t="s">
        <v>2221</v>
      </c>
      <c r="C10" s="78" t="s">
        <v>2222</v>
      </c>
      <c r="D10" s="79">
        <v>60571</v>
      </c>
      <c r="E10" s="80" t="s">
        <v>1703</v>
      </c>
      <c r="F10" s="80" t="s">
        <v>2223</v>
      </c>
      <c r="G10" s="80" t="s">
        <v>1705</v>
      </c>
      <c r="H10" s="80"/>
      <c r="I10" s="80" t="s">
        <v>1286</v>
      </c>
      <c r="J10" s="80" t="s">
        <v>2224</v>
      </c>
      <c r="K10" s="31" t="s">
        <v>6172</v>
      </c>
      <c r="L10" s="31" t="s">
        <v>6176</v>
      </c>
      <c r="M10" s="31" t="s">
        <v>6181</v>
      </c>
      <c r="N10" s="31" t="s">
        <v>6173</v>
      </c>
      <c r="O10" s="81">
        <v>380.91</v>
      </c>
      <c r="P10" s="82">
        <v>5.2505841274841825E-4</v>
      </c>
      <c r="Q10" s="83">
        <v>-6.5004999999999997</v>
      </c>
      <c r="R10" s="84">
        <v>4.55</v>
      </c>
      <c r="S10" s="85">
        <v>4.05</v>
      </c>
      <c r="T10" s="82">
        <v>1.0000000000000001E-5</v>
      </c>
      <c r="U10" s="86"/>
      <c r="V10" s="83">
        <v>-4.32</v>
      </c>
      <c r="W10" s="81"/>
      <c r="X10" s="81"/>
      <c r="Y10" s="81"/>
      <c r="Z10" s="81"/>
      <c r="AA10" s="81" t="s">
        <v>6312</v>
      </c>
      <c r="AB10" s="81" t="s">
        <v>6311</v>
      </c>
      <c r="AC10" s="76" t="s">
        <v>5449</v>
      </c>
      <c r="AD10" s="87" t="s">
        <v>5438</v>
      </c>
      <c r="AE10" s="81">
        <v>72</v>
      </c>
      <c r="AF10" s="81" t="s">
        <v>5445</v>
      </c>
      <c r="AG10" s="81" t="s">
        <v>5446</v>
      </c>
      <c r="AH10" s="81">
        <v>14</v>
      </c>
      <c r="AI10" s="81" t="s">
        <v>8722</v>
      </c>
      <c r="AJ10" s="81" t="s">
        <v>5439</v>
      </c>
      <c r="AK10" s="81">
        <v>50</v>
      </c>
      <c r="AL10" s="80" t="s">
        <v>2087</v>
      </c>
      <c r="AM10" s="80" t="s">
        <v>5440</v>
      </c>
      <c r="AN10" s="81" t="s">
        <v>5441</v>
      </c>
      <c r="AO10" s="81" t="s">
        <v>5442</v>
      </c>
      <c r="AP10" s="81">
        <v>8.2899999999999991</v>
      </c>
      <c r="AQ10" s="81" t="s">
        <v>5447</v>
      </c>
      <c r="AR10" s="126">
        <v>1.640807539838807E-5</v>
      </c>
      <c r="AS10" s="126">
        <v>5.2505841274841825E-4</v>
      </c>
      <c r="AT10" s="81"/>
      <c r="AU10" s="82">
        <f t="shared" si="6"/>
        <v>4.2115794701602432E-3</v>
      </c>
      <c r="AV10" s="82">
        <f t="shared" si="1"/>
        <v>1.1843907311164631E-2</v>
      </c>
      <c r="AW10" s="81" t="s">
        <v>2046</v>
      </c>
      <c r="AX10" s="81"/>
      <c r="AY10" s="81"/>
      <c r="AZ10" s="81"/>
      <c r="BA10" s="81"/>
      <c r="BB10" s="81"/>
      <c r="BC10" s="81"/>
      <c r="BD10" s="81"/>
      <c r="BE10" s="81"/>
      <c r="BF10" s="81"/>
      <c r="BG10" s="81"/>
      <c r="BH10" s="81"/>
      <c r="BI10" s="81"/>
      <c r="BJ10" s="81"/>
      <c r="BK10" s="81"/>
      <c r="BL10" s="81"/>
      <c r="BM10" s="81"/>
      <c r="BN10" s="81"/>
      <c r="BO10" s="81">
        <v>3.8299999999999999E-4</v>
      </c>
      <c r="BP10" s="81">
        <v>2.5500000000000002E-4</v>
      </c>
      <c r="BQ10" s="81"/>
      <c r="BR10" s="81"/>
      <c r="BS10" s="82">
        <f t="shared" ref="BS10:BS19" si="9">MIN(AX10:BR10)</f>
        <v>2.5500000000000002E-4</v>
      </c>
      <c r="BT10" s="82">
        <f t="shared" si="2"/>
        <v>-3.593459819566045</v>
      </c>
      <c r="BU10" s="86">
        <f t="shared" si="4"/>
        <v>8.0211636798936912</v>
      </c>
      <c r="BV10" s="86">
        <f t="shared" si="5"/>
        <v>22.557313669478599</v>
      </c>
      <c r="BW10" s="88">
        <f t="shared" si="7"/>
        <v>0.48566025000000007</v>
      </c>
      <c r="BX10" s="88">
        <f t="shared" si="8"/>
        <v>0.80730971817522112</v>
      </c>
      <c r="BY10" s="88">
        <f t="shared" si="3"/>
        <v>16.51599792219703</v>
      </c>
      <c r="BZ10" s="88">
        <v>-4.7442025151171459</v>
      </c>
      <c r="CA10" s="88">
        <f t="shared" ref="CA10:CA22" si="10">AS10/(10^BZ10)</f>
        <v>29.134672223614778</v>
      </c>
      <c r="CB10" s="80"/>
      <c r="CC10" s="80" t="s">
        <v>5448</v>
      </c>
      <c r="CD10" s="75" t="s">
        <v>539</v>
      </c>
      <c r="CE10" s="89"/>
      <c r="CF10" s="89"/>
      <c r="CG10" s="91"/>
      <c r="CH10" s="144" t="s">
        <v>5921</v>
      </c>
    </row>
    <row r="11" spans="1:87" s="70" customFormat="1" ht="11.25" customHeight="1" x14ac:dyDescent="0.2">
      <c r="A11" s="75">
        <v>768</v>
      </c>
      <c r="B11" s="77" t="s">
        <v>3837</v>
      </c>
      <c r="C11" s="78" t="s">
        <v>3838</v>
      </c>
      <c r="D11" s="79">
        <v>330541</v>
      </c>
      <c r="E11" s="80" t="s">
        <v>3839</v>
      </c>
      <c r="F11" s="80" t="s">
        <v>3840</v>
      </c>
      <c r="G11" s="80" t="s">
        <v>1292</v>
      </c>
      <c r="H11" s="90" t="s">
        <v>6095</v>
      </c>
      <c r="I11" s="80" t="s">
        <v>3841</v>
      </c>
      <c r="J11" s="80" t="s">
        <v>3842</v>
      </c>
      <c r="K11" s="31"/>
      <c r="L11" s="31" t="s">
        <v>6173</v>
      </c>
      <c r="M11" s="31" t="s">
        <v>6185</v>
      </c>
      <c r="N11" s="31" t="s">
        <v>6176</v>
      </c>
      <c r="O11" s="81">
        <v>233.09</v>
      </c>
      <c r="P11" s="82">
        <v>0.15615615615615616</v>
      </c>
      <c r="Q11" s="83">
        <v>-3.5627</v>
      </c>
      <c r="R11" s="84">
        <v>2.68</v>
      </c>
      <c r="S11" s="85">
        <v>2.54</v>
      </c>
      <c r="T11" s="82">
        <v>5.0400000000000002E-10</v>
      </c>
      <c r="U11" s="86"/>
      <c r="V11" s="83">
        <v>-8.02</v>
      </c>
      <c r="W11" s="81">
        <v>13.76</v>
      </c>
      <c r="X11" s="81">
        <v>-1.63</v>
      </c>
      <c r="Y11" s="81">
        <v>13.55</v>
      </c>
      <c r="Z11" s="81">
        <v>-1.0900000000000001</v>
      </c>
      <c r="AA11" s="81" t="s">
        <v>6311</v>
      </c>
      <c r="AB11" s="81" t="s">
        <v>6311</v>
      </c>
      <c r="AC11" s="76" t="s">
        <v>5449</v>
      </c>
      <c r="AD11" s="87" t="s">
        <v>5438</v>
      </c>
      <c r="AE11" s="81">
        <v>72</v>
      </c>
      <c r="AF11" s="81" t="s">
        <v>5445</v>
      </c>
      <c r="AG11" s="81" t="s">
        <v>5446</v>
      </c>
      <c r="AH11" s="81">
        <v>14</v>
      </c>
      <c r="AI11" s="81" t="s">
        <v>8722</v>
      </c>
      <c r="AJ11" s="81" t="s">
        <v>5439</v>
      </c>
      <c r="AK11" s="81">
        <v>50</v>
      </c>
      <c r="AL11" s="80" t="s">
        <v>2087</v>
      </c>
      <c r="AM11" s="80" t="s">
        <v>5440</v>
      </c>
      <c r="AN11" s="81" t="s">
        <v>5441</v>
      </c>
      <c r="AO11" s="81" t="s">
        <v>5442</v>
      </c>
      <c r="AP11" s="81">
        <v>8.2899999999999991</v>
      </c>
      <c r="AQ11" s="81" t="s">
        <v>5447</v>
      </c>
      <c r="AR11" s="126">
        <v>5.3625053625053626E-3</v>
      </c>
      <c r="AS11" s="126">
        <v>0.1716001716001716</v>
      </c>
      <c r="AT11" s="81"/>
      <c r="AU11" s="82">
        <f t="shared" si="6"/>
        <v>0.2013223540807503</v>
      </c>
      <c r="AV11" s="82">
        <f t="shared" si="1"/>
        <v>0.26892179411918804</v>
      </c>
      <c r="AW11" s="81" t="s">
        <v>2046</v>
      </c>
      <c r="AX11" s="81"/>
      <c r="AY11" s="81"/>
      <c r="AZ11" s="81"/>
      <c r="BA11" s="81"/>
      <c r="BB11" s="81"/>
      <c r="BC11" s="81"/>
      <c r="BD11" s="81"/>
      <c r="BE11" s="81"/>
      <c r="BF11" s="81"/>
      <c r="BG11" s="81"/>
      <c r="BH11" s="81"/>
      <c r="BI11" s="81"/>
      <c r="BJ11" s="81"/>
      <c r="BK11" s="81"/>
      <c r="BL11" s="81"/>
      <c r="BM11" s="81"/>
      <c r="BN11" s="81"/>
      <c r="BO11" s="81">
        <v>4.6299999999999997E-6</v>
      </c>
      <c r="BP11" s="81">
        <v>3.3599999999999997E-5</v>
      </c>
      <c r="BQ11" s="81"/>
      <c r="BR11" s="81"/>
      <c r="BS11" s="82">
        <f t="shared" si="9"/>
        <v>4.6299999999999997E-6</v>
      </c>
      <c r="BT11" s="82">
        <f t="shared" si="2"/>
        <v>-5.3344190089820467</v>
      </c>
      <c r="BU11" s="86">
        <f t="shared" si="4"/>
        <v>1.1732060184055724</v>
      </c>
      <c r="BV11" s="86">
        <f t="shared" si="5"/>
        <v>1.5671417552295683</v>
      </c>
      <c r="BW11" s="88">
        <f t="shared" si="7"/>
        <v>2.964980769230769E-5</v>
      </c>
      <c r="BX11" s="88">
        <f t="shared" si="8"/>
        <v>1.6915350105103992E-5</v>
      </c>
      <c r="BY11" s="88">
        <f t="shared" si="3"/>
        <v>43482.149909449312</v>
      </c>
      <c r="BZ11" s="88"/>
      <c r="CA11" s="88"/>
      <c r="CB11" s="80"/>
      <c r="CC11" s="80" t="s">
        <v>5448</v>
      </c>
      <c r="CD11" s="75" t="s">
        <v>539</v>
      </c>
      <c r="CE11" s="89"/>
      <c r="CF11" s="89"/>
      <c r="CG11" s="91"/>
      <c r="CH11" s="144" t="s">
        <v>6351</v>
      </c>
    </row>
    <row r="12" spans="1:87" s="70" customFormat="1" ht="11.25" customHeight="1" x14ac:dyDescent="0.2">
      <c r="A12" s="75">
        <v>520</v>
      </c>
      <c r="B12" s="77" t="s">
        <v>1087</v>
      </c>
      <c r="C12" s="78" t="s">
        <v>1088</v>
      </c>
      <c r="D12" s="79">
        <v>333415</v>
      </c>
      <c r="E12" s="80" t="s">
        <v>1089</v>
      </c>
      <c r="F12" s="80" t="s">
        <v>1090</v>
      </c>
      <c r="G12" s="80" t="s">
        <v>628</v>
      </c>
      <c r="H12" s="80" t="s">
        <v>617</v>
      </c>
      <c r="I12" s="80" t="s">
        <v>946</v>
      </c>
      <c r="J12" s="80" t="s">
        <v>918</v>
      </c>
      <c r="K12" s="31" t="s">
        <v>6178</v>
      </c>
      <c r="L12" s="31" t="s">
        <v>6173</v>
      </c>
      <c r="M12" s="31" t="s">
        <v>6177</v>
      </c>
      <c r="N12" s="31" t="s">
        <v>6176</v>
      </c>
      <c r="O12" s="81">
        <v>304.35000000000002</v>
      </c>
      <c r="P12" s="82">
        <v>0.1314276326597667</v>
      </c>
      <c r="Q12" s="83">
        <v>-5.1090999999999998</v>
      </c>
      <c r="R12" s="84">
        <v>3.81</v>
      </c>
      <c r="S12" s="85">
        <v>4.32</v>
      </c>
      <c r="T12" s="82">
        <v>1.1300000000000001E-7</v>
      </c>
      <c r="U12" s="86">
        <v>-5.2971776113138018</v>
      </c>
      <c r="V12" s="83">
        <v>-2.79</v>
      </c>
      <c r="W12" s="83"/>
      <c r="X12" s="83">
        <v>1.6</v>
      </c>
      <c r="Y12" s="83"/>
      <c r="Z12" s="83">
        <v>1.21</v>
      </c>
      <c r="AA12" s="83" t="s">
        <v>6312</v>
      </c>
      <c r="AB12" s="83" t="s">
        <v>6312</v>
      </c>
      <c r="AC12" s="75" t="s">
        <v>6</v>
      </c>
      <c r="AD12" s="87" t="s">
        <v>1655</v>
      </c>
      <c r="AE12" s="81">
        <v>2</v>
      </c>
      <c r="AF12" s="81">
        <v>24</v>
      </c>
      <c r="AG12" s="81">
        <v>24</v>
      </c>
      <c r="AH12" s="81">
        <v>25</v>
      </c>
      <c r="AI12" s="81" t="s">
        <v>8722</v>
      </c>
      <c r="AJ12" s="81" t="s">
        <v>1656</v>
      </c>
      <c r="AK12" s="81">
        <v>25</v>
      </c>
      <c r="AL12" s="80" t="s">
        <v>1657</v>
      </c>
      <c r="AM12" s="80" t="s">
        <v>1658</v>
      </c>
      <c r="AN12" s="81" t="s">
        <v>271</v>
      </c>
      <c r="AO12" s="81" t="s">
        <v>272</v>
      </c>
      <c r="AP12" s="81" t="s">
        <v>539</v>
      </c>
      <c r="AQ12" s="81" t="s">
        <v>272</v>
      </c>
      <c r="AR12" s="82" t="s">
        <v>8722</v>
      </c>
      <c r="AS12" s="82" t="s">
        <v>8722</v>
      </c>
      <c r="AT12" s="81"/>
      <c r="AU12" s="82">
        <f t="shared" si="6"/>
        <v>1.9455347843946244E-2</v>
      </c>
      <c r="AV12" s="82">
        <f t="shared" si="1"/>
        <v>6.776539903435146E-3</v>
      </c>
      <c r="AW12" s="81" t="s">
        <v>1584</v>
      </c>
      <c r="AX12" s="81">
        <v>0.10200105145560887</v>
      </c>
      <c r="AY12" s="81"/>
      <c r="AZ12" s="81"/>
      <c r="BA12" s="81"/>
      <c r="BB12" s="81">
        <v>0.102999934284024</v>
      </c>
      <c r="BC12" s="81"/>
      <c r="BD12" s="81"/>
      <c r="BE12" s="81"/>
      <c r="BF12" s="81"/>
      <c r="BG12" s="81"/>
      <c r="BH12" s="81"/>
      <c r="BI12" s="81"/>
      <c r="BJ12" s="81"/>
      <c r="BK12" s="81"/>
      <c r="BL12" s="81"/>
      <c r="BM12" s="81"/>
      <c r="BN12" s="81"/>
      <c r="BO12" s="81"/>
      <c r="BP12" s="81"/>
      <c r="BQ12" s="81"/>
      <c r="BR12" s="81"/>
      <c r="BS12" s="82">
        <f t="shared" si="9"/>
        <v>0.10200105145560887</v>
      </c>
      <c r="BT12" s="82">
        <f t="shared" si="2"/>
        <v>-0.99139535138499135</v>
      </c>
      <c r="BU12" s="86"/>
      <c r="BV12" s="86"/>
      <c r="BW12" s="88">
        <f t="shared" si="7"/>
        <v>0.77610050026286403</v>
      </c>
      <c r="BX12" s="88">
        <f t="shared" si="8"/>
        <v>13.113078123838422</v>
      </c>
      <c r="BY12" s="88">
        <f t="shared" si="3"/>
        <v>0.19073673816404985</v>
      </c>
      <c r="BZ12" s="88">
        <v>-3.2351961258107615</v>
      </c>
      <c r="CA12" s="88"/>
      <c r="CB12" s="80"/>
      <c r="CC12" s="80" t="s">
        <v>1659</v>
      </c>
      <c r="CD12" s="75" t="s">
        <v>539</v>
      </c>
      <c r="CE12" s="89"/>
      <c r="CF12" s="89"/>
      <c r="CG12" s="91"/>
      <c r="CH12" s="144" t="s">
        <v>5921</v>
      </c>
    </row>
    <row r="13" spans="1:87" s="70" customFormat="1" ht="11.25" customHeight="1" x14ac:dyDescent="0.2">
      <c r="A13" s="75">
        <v>762</v>
      </c>
      <c r="B13" s="77" t="s">
        <v>1087</v>
      </c>
      <c r="C13" s="78" t="s">
        <v>1088</v>
      </c>
      <c r="D13" s="79">
        <v>333415</v>
      </c>
      <c r="E13" s="80" t="s">
        <v>1089</v>
      </c>
      <c r="F13" s="80" t="s">
        <v>1090</v>
      </c>
      <c r="G13" s="80" t="s">
        <v>628</v>
      </c>
      <c r="H13" s="90" t="s">
        <v>617</v>
      </c>
      <c r="I13" s="90" t="s">
        <v>618</v>
      </c>
      <c r="J13" s="90" t="s">
        <v>918</v>
      </c>
      <c r="K13" s="31" t="s">
        <v>6178</v>
      </c>
      <c r="L13" s="31" t="s">
        <v>6173</v>
      </c>
      <c r="M13" s="31" t="s">
        <v>6177</v>
      </c>
      <c r="N13" s="31" t="s">
        <v>6176</v>
      </c>
      <c r="O13" s="81">
        <v>304.35000000000002</v>
      </c>
      <c r="P13" s="82">
        <v>0.1314276326597667</v>
      </c>
      <c r="Q13" s="83">
        <v>-5.1090999999999998</v>
      </c>
      <c r="R13" s="84">
        <v>3.81</v>
      </c>
      <c r="S13" s="85">
        <v>4.32</v>
      </c>
      <c r="T13" s="82">
        <v>1.1300000000000001E-7</v>
      </c>
      <c r="U13" s="86"/>
      <c r="V13" s="83">
        <v>-2.79</v>
      </c>
      <c r="W13" s="81"/>
      <c r="X13" s="81">
        <v>1.6</v>
      </c>
      <c r="Y13" s="81"/>
      <c r="Z13" s="81">
        <v>1.21</v>
      </c>
      <c r="AA13" s="81" t="s">
        <v>6312</v>
      </c>
      <c r="AB13" s="81" t="s">
        <v>6312</v>
      </c>
      <c r="AC13" s="76" t="s">
        <v>6</v>
      </c>
      <c r="AD13" s="87" t="s">
        <v>5438</v>
      </c>
      <c r="AE13" s="81">
        <v>72</v>
      </c>
      <c r="AF13" s="81">
        <v>216</v>
      </c>
      <c r="AG13" s="81">
        <v>144</v>
      </c>
      <c r="AH13" s="81">
        <v>18</v>
      </c>
      <c r="AI13" s="81"/>
      <c r="AJ13" s="81" t="s">
        <v>5439</v>
      </c>
      <c r="AK13" s="81">
        <v>50</v>
      </c>
      <c r="AL13" s="80" t="s">
        <v>2087</v>
      </c>
      <c r="AM13" s="80" t="s">
        <v>8722</v>
      </c>
      <c r="AN13" s="81" t="s">
        <v>5441</v>
      </c>
      <c r="AO13" s="81" t="s">
        <v>272</v>
      </c>
      <c r="AP13" s="81" t="s">
        <v>272</v>
      </c>
      <c r="AQ13" s="81" t="s">
        <v>5443</v>
      </c>
      <c r="AR13" s="126">
        <v>2.6285526531953343E-3</v>
      </c>
      <c r="AS13" s="126">
        <v>2.9571217348447507E-2</v>
      </c>
      <c r="AT13" s="81"/>
      <c r="AU13" s="82">
        <f t="shared" si="6"/>
        <v>1.9455347843946244E-2</v>
      </c>
      <c r="AV13" s="82">
        <f t="shared" si="1"/>
        <v>6.776539903435146E-3</v>
      </c>
      <c r="AW13" s="81" t="s">
        <v>2046</v>
      </c>
      <c r="AX13" s="81"/>
      <c r="AY13" s="81"/>
      <c r="AZ13" s="81"/>
      <c r="BA13" s="81"/>
      <c r="BB13" s="81"/>
      <c r="BC13" s="81"/>
      <c r="BD13" s="81"/>
      <c r="BE13" s="81"/>
      <c r="BF13" s="81"/>
      <c r="BG13" s="81"/>
      <c r="BH13" s="81"/>
      <c r="BI13" s="81"/>
      <c r="BJ13" s="81"/>
      <c r="BK13" s="81"/>
      <c r="BL13" s="81"/>
      <c r="BM13" s="81"/>
      <c r="BN13" s="81">
        <f>3.3/304.35</f>
        <v>1.0842779694430753E-2</v>
      </c>
      <c r="BO13" s="81">
        <f>2.1/304.35</f>
        <v>6.8999507146377519E-3</v>
      </c>
      <c r="BP13" s="81">
        <f>1.3/304.35</f>
        <v>4.271398061442418E-3</v>
      </c>
      <c r="BQ13" s="81"/>
      <c r="BR13" s="81"/>
      <c r="BS13" s="82">
        <f t="shared" si="9"/>
        <v>4.271398061442418E-3</v>
      </c>
      <c r="BT13" s="82">
        <f t="shared" si="2"/>
        <v>-2.3694299537821903</v>
      </c>
      <c r="BU13" s="86">
        <f t="shared" si="4"/>
        <v>0.65791501292278221</v>
      </c>
      <c r="BV13" s="86">
        <f t="shared" si="5"/>
        <v>0.22915999106783189</v>
      </c>
      <c r="BW13" s="88">
        <f t="shared" si="7"/>
        <v>3.2500000000000001E-2</v>
      </c>
      <c r="BX13" s="88">
        <f t="shared" si="8"/>
        <v>0.54912352057549751</v>
      </c>
      <c r="BY13" s="88">
        <f t="shared" si="3"/>
        <v>4.5547962433115687</v>
      </c>
      <c r="BZ13" s="88">
        <v>-3.2351961258107615</v>
      </c>
      <c r="CA13" s="88">
        <f t="shared" si="10"/>
        <v>50.823588867827141</v>
      </c>
      <c r="CB13" s="80" t="s">
        <v>5450</v>
      </c>
      <c r="CC13" s="80" t="s">
        <v>5451</v>
      </c>
      <c r="CD13" s="75" t="s">
        <v>539</v>
      </c>
      <c r="CE13" s="89"/>
      <c r="CF13" s="89"/>
      <c r="CG13" s="91"/>
      <c r="CH13" s="144" t="s">
        <v>5921</v>
      </c>
    </row>
    <row r="14" spans="1:87" s="70" customFormat="1" ht="11.25" customHeight="1" x14ac:dyDescent="0.2">
      <c r="A14" s="75">
        <v>763</v>
      </c>
      <c r="B14" s="77" t="s">
        <v>1087</v>
      </c>
      <c r="C14" s="78" t="s">
        <v>1088</v>
      </c>
      <c r="D14" s="79">
        <v>333415</v>
      </c>
      <c r="E14" s="80" t="s">
        <v>1089</v>
      </c>
      <c r="F14" s="80" t="s">
        <v>1090</v>
      </c>
      <c r="G14" s="80" t="s">
        <v>628</v>
      </c>
      <c r="H14" s="90" t="s">
        <v>617</v>
      </c>
      <c r="I14" s="90" t="s">
        <v>5971</v>
      </c>
      <c r="J14" s="90" t="s">
        <v>918</v>
      </c>
      <c r="K14" s="31" t="s">
        <v>6178</v>
      </c>
      <c r="L14" s="31" t="s">
        <v>6173</v>
      </c>
      <c r="M14" s="31" t="s">
        <v>6177</v>
      </c>
      <c r="N14" s="31" t="s">
        <v>6176</v>
      </c>
      <c r="O14" s="81">
        <v>304.35000000000002</v>
      </c>
      <c r="P14" s="82">
        <v>0.19714144898965005</v>
      </c>
      <c r="Q14" s="83">
        <v>-5.1090999999999998</v>
      </c>
      <c r="R14" s="84">
        <v>3.81</v>
      </c>
      <c r="S14" s="85">
        <v>4.32</v>
      </c>
      <c r="T14" s="82">
        <v>1.1300000000000001E-7</v>
      </c>
      <c r="U14" s="86"/>
      <c r="V14" s="83">
        <v>-2.79</v>
      </c>
      <c r="W14" s="81"/>
      <c r="X14" s="81">
        <v>1.6</v>
      </c>
      <c r="Y14" s="81"/>
      <c r="Z14" s="81">
        <v>1.21</v>
      </c>
      <c r="AA14" s="81" t="s">
        <v>6312</v>
      </c>
      <c r="AB14" s="81" t="s">
        <v>6312</v>
      </c>
      <c r="AC14" s="76" t="s">
        <v>5452</v>
      </c>
      <c r="AD14" s="87" t="s">
        <v>5438</v>
      </c>
      <c r="AE14" s="81">
        <v>72</v>
      </c>
      <c r="AF14" s="81" t="s">
        <v>5445</v>
      </c>
      <c r="AG14" s="81" t="s">
        <v>5446</v>
      </c>
      <c r="AH14" s="81">
        <v>14</v>
      </c>
      <c r="AI14" s="81" t="s">
        <v>8722</v>
      </c>
      <c r="AJ14" s="81" t="s">
        <v>5439</v>
      </c>
      <c r="AK14" s="81">
        <v>50</v>
      </c>
      <c r="AL14" s="80" t="s">
        <v>2087</v>
      </c>
      <c r="AM14" s="80" t="s">
        <v>5440</v>
      </c>
      <c r="AN14" s="81" t="s">
        <v>5441</v>
      </c>
      <c r="AO14" s="81" t="s">
        <v>5442</v>
      </c>
      <c r="AP14" s="81">
        <v>8.2899999999999991</v>
      </c>
      <c r="AQ14" s="81" t="s">
        <v>5447</v>
      </c>
      <c r="AR14" s="126">
        <v>6.5713816329883358E-4</v>
      </c>
      <c r="AS14" s="126">
        <v>2.4314112042056843E-2</v>
      </c>
      <c r="AT14" s="81"/>
      <c r="AU14" s="82">
        <f t="shared" si="6"/>
        <v>1.9455347843946244E-2</v>
      </c>
      <c r="AV14" s="82">
        <f t="shared" si="1"/>
        <v>6.776539903435146E-3</v>
      </c>
      <c r="AW14" s="81" t="s">
        <v>2046</v>
      </c>
      <c r="AX14" s="81"/>
      <c r="AY14" s="81"/>
      <c r="AZ14" s="81"/>
      <c r="BA14" s="81"/>
      <c r="BB14" s="81"/>
      <c r="BC14" s="81"/>
      <c r="BD14" s="81"/>
      <c r="BE14" s="81"/>
      <c r="BF14" s="81"/>
      <c r="BG14" s="81"/>
      <c r="BH14" s="81"/>
      <c r="BI14" s="81"/>
      <c r="BJ14" s="81"/>
      <c r="BK14" s="81"/>
      <c r="BL14" s="81"/>
      <c r="BM14" s="81"/>
      <c r="BN14" s="81"/>
      <c r="BO14" s="81">
        <f>1.837/304.35</f>
        <v>6.0358140298997862E-3</v>
      </c>
      <c r="BP14" s="81">
        <f>1.23/304.35</f>
        <v>4.0413997042878262E-3</v>
      </c>
      <c r="BQ14" s="81"/>
      <c r="BR14" s="81"/>
      <c r="BS14" s="82">
        <f t="shared" si="9"/>
        <v>4.0413997042878262E-3</v>
      </c>
      <c r="BT14" s="82">
        <f t="shared" si="2"/>
        <v>-2.3934681946496292</v>
      </c>
      <c r="BU14" s="86">
        <f t="shared" si="4"/>
        <v>0.80016690760878906</v>
      </c>
      <c r="BV14" s="86">
        <f t="shared" si="5"/>
        <v>0.27870809724466034</v>
      </c>
      <c r="BW14" s="88">
        <f t="shared" si="7"/>
        <v>2.0500000000000001E-2</v>
      </c>
      <c r="BX14" s="88">
        <f t="shared" si="8"/>
        <v>0.51955533100604767</v>
      </c>
      <c r="BY14" s="88">
        <f t="shared" si="3"/>
        <v>4.8140122896788942</v>
      </c>
      <c r="BZ14" s="88">
        <v>-3.2351961258107615</v>
      </c>
      <c r="CA14" s="88">
        <f t="shared" si="10"/>
        <v>41.788284180213431</v>
      </c>
      <c r="CB14" s="80" t="s">
        <v>5453</v>
      </c>
      <c r="CC14" s="80" t="s">
        <v>5448</v>
      </c>
      <c r="CD14" s="75" t="s">
        <v>539</v>
      </c>
      <c r="CE14" s="89"/>
      <c r="CF14" s="89"/>
      <c r="CG14" s="91"/>
      <c r="CH14" s="144" t="s">
        <v>5921</v>
      </c>
    </row>
    <row r="15" spans="1:87" s="70" customFormat="1" ht="11.25" customHeight="1" x14ac:dyDescent="0.2">
      <c r="A15" s="75">
        <v>765</v>
      </c>
      <c r="B15" s="77" t="s">
        <v>1574</v>
      </c>
      <c r="C15" s="78" t="s">
        <v>1575</v>
      </c>
      <c r="D15" s="79">
        <v>1912249</v>
      </c>
      <c r="E15" s="80" t="s">
        <v>1576</v>
      </c>
      <c r="F15" s="80" t="s">
        <v>1577</v>
      </c>
      <c r="G15" s="80" t="s">
        <v>940</v>
      </c>
      <c r="H15" s="90" t="s">
        <v>6152</v>
      </c>
      <c r="I15" s="90" t="s">
        <v>6082</v>
      </c>
      <c r="J15" s="90" t="s">
        <v>6083</v>
      </c>
      <c r="K15" s="31"/>
      <c r="L15" s="31"/>
      <c r="M15" s="31"/>
      <c r="N15" s="31"/>
      <c r="O15" s="81">
        <v>215.68</v>
      </c>
      <c r="P15" s="82">
        <v>0.12981593954286244</v>
      </c>
      <c r="Q15" s="83">
        <v>-4.1607000000000003</v>
      </c>
      <c r="R15" s="84">
        <v>2.61</v>
      </c>
      <c r="S15" s="85">
        <v>2.41</v>
      </c>
      <c r="T15" s="82">
        <v>2.3600000000000001E-9</v>
      </c>
      <c r="U15" s="86"/>
      <c r="V15" s="83">
        <v>-8.32</v>
      </c>
      <c r="W15" s="81"/>
      <c r="X15" s="81">
        <v>1.7</v>
      </c>
      <c r="Y15" s="81"/>
      <c r="Z15" s="81">
        <v>2.27</v>
      </c>
      <c r="AA15" s="81" t="s">
        <v>6311</v>
      </c>
      <c r="AB15" s="81" t="s">
        <v>6311</v>
      </c>
      <c r="AC15" s="76" t="s">
        <v>5449</v>
      </c>
      <c r="AD15" s="87" t="s">
        <v>5438</v>
      </c>
      <c r="AE15" s="81">
        <v>72</v>
      </c>
      <c r="AF15" s="81" t="s">
        <v>5445</v>
      </c>
      <c r="AG15" s="81" t="s">
        <v>5446</v>
      </c>
      <c r="AH15" s="81">
        <v>14</v>
      </c>
      <c r="AI15" s="81" t="s">
        <v>8722</v>
      </c>
      <c r="AJ15" s="81" t="s">
        <v>5439</v>
      </c>
      <c r="AK15" s="81">
        <v>50</v>
      </c>
      <c r="AL15" s="80" t="s">
        <v>2087</v>
      </c>
      <c r="AM15" s="80" t="s">
        <v>5440</v>
      </c>
      <c r="AN15" s="81" t="s">
        <v>5441</v>
      </c>
      <c r="AO15" s="81" t="s">
        <v>5442</v>
      </c>
      <c r="AP15" s="81">
        <v>8.2899999999999991</v>
      </c>
      <c r="AQ15" s="81" t="s">
        <v>5447</v>
      </c>
      <c r="AR15" s="126">
        <v>5.7953544438777875E-6</v>
      </c>
      <c r="AS15" s="126">
        <v>0.18545134220408921</v>
      </c>
      <c r="AT15" s="81"/>
      <c r="AU15" s="82">
        <f t="shared" si="6"/>
        <v>0.23267997046521618</v>
      </c>
      <c r="AV15" s="82">
        <f t="shared" si="1"/>
        <v>0.35186737411361746</v>
      </c>
      <c r="AW15" s="81" t="s">
        <v>2046</v>
      </c>
      <c r="AX15" s="81"/>
      <c r="AY15" s="81"/>
      <c r="AZ15" s="81"/>
      <c r="BA15" s="81"/>
      <c r="BB15" s="81"/>
      <c r="BC15" s="81"/>
      <c r="BD15" s="81"/>
      <c r="BE15" s="81"/>
      <c r="BF15" s="81"/>
      <c r="BG15" s="81"/>
      <c r="BH15" s="81"/>
      <c r="BI15" s="81"/>
      <c r="BJ15" s="81"/>
      <c r="BK15" s="81"/>
      <c r="BL15" s="81"/>
      <c r="BM15" s="81"/>
      <c r="BN15" s="81"/>
      <c r="BO15" s="81">
        <v>5.4799999999999997E-5</v>
      </c>
      <c r="BP15" s="81">
        <v>4.6199999999999998E-5</v>
      </c>
      <c r="BQ15" s="81"/>
      <c r="BR15" s="81"/>
      <c r="BS15" s="82">
        <f t="shared" si="9"/>
        <v>4.6199999999999998E-5</v>
      </c>
      <c r="BT15" s="82">
        <f t="shared" si="2"/>
        <v>-4.3353580244438747</v>
      </c>
      <c r="BU15" s="86">
        <f t="shared" si="4"/>
        <v>1.2546685707410619</v>
      </c>
      <c r="BV15" s="86">
        <f t="shared" si="5"/>
        <v>1.8973568480641536</v>
      </c>
      <c r="BW15" s="88">
        <f t="shared" si="7"/>
        <v>3.5588850000000001E-4</v>
      </c>
      <c r="BX15" s="88">
        <f t="shared" si="8"/>
        <v>6.6887039741633716E-4</v>
      </c>
      <c r="BY15" s="88">
        <f t="shared" si="3"/>
        <v>5036.3629970826014</v>
      </c>
      <c r="BZ15" s="88">
        <v>-1.3009357260238847</v>
      </c>
      <c r="CA15" s="88">
        <f t="shared" si="10"/>
        <v>3.708221835740737</v>
      </c>
      <c r="CB15" s="80" t="s">
        <v>5450</v>
      </c>
      <c r="CC15" s="80" t="s">
        <v>5448</v>
      </c>
      <c r="CD15" s="75" t="s">
        <v>539</v>
      </c>
      <c r="CE15" s="89"/>
      <c r="CF15" s="89"/>
      <c r="CG15" s="91"/>
      <c r="CH15" s="144" t="s">
        <v>6351</v>
      </c>
    </row>
    <row r="16" spans="1:87" s="70" customFormat="1" ht="11.25" customHeight="1" x14ac:dyDescent="0.2">
      <c r="A16" s="75">
        <v>766</v>
      </c>
      <c r="B16" s="77" t="s">
        <v>1036</v>
      </c>
      <c r="C16" s="78" t="s">
        <v>1037</v>
      </c>
      <c r="D16" s="79">
        <v>2921882</v>
      </c>
      <c r="E16" s="80" t="s">
        <v>1038</v>
      </c>
      <c r="F16" s="80" t="s">
        <v>1039</v>
      </c>
      <c r="G16" s="80" t="s">
        <v>1040</v>
      </c>
      <c r="H16" s="90" t="s">
        <v>617</v>
      </c>
      <c r="I16" s="80" t="s">
        <v>618</v>
      </c>
      <c r="J16" s="80" t="s">
        <v>1041</v>
      </c>
      <c r="K16" s="31" t="s">
        <v>6178</v>
      </c>
      <c r="L16" s="31" t="s">
        <v>6173</v>
      </c>
      <c r="M16" s="31" t="s">
        <v>6177</v>
      </c>
      <c r="N16" s="31" t="s">
        <v>6176</v>
      </c>
      <c r="O16" s="81">
        <v>350.59</v>
      </c>
      <c r="P16" s="82">
        <v>3.362877254980193E-3</v>
      </c>
      <c r="Q16" s="83">
        <v>-6.1623000000000001</v>
      </c>
      <c r="R16" s="84">
        <v>4.8</v>
      </c>
      <c r="S16" s="85">
        <v>5.16</v>
      </c>
      <c r="T16" s="82">
        <v>2.9299999999999999E-6</v>
      </c>
      <c r="U16" s="86"/>
      <c r="V16" s="83">
        <v>-2.64</v>
      </c>
      <c r="W16" s="81"/>
      <c r="X16" s="81"/>
      <c r="Y16" s="81"/>
      <c r="Z16" s="81">
        <v>-5.28</v>
      </c>
      <c r="AA16" s="81" t="s">
        <v>6312</v>
      </c>
      <c r="AB16" s="81" t="s">
        <v>6312</v>
      </c>
      <c r="AC16" s="76" t="s">
        <v>5449</v>
      </c>
      <c r="AD16" s="87" t="s">
        <v>5438</v>
      </c>
      <c r="AE16" s="81">
        <v>72</v>
      </c>
      <c r="AF16" s="81" t="s">
        <v>5445</v>
      </c>
      <c r="AG16" s="81" t="s">
        <v>5446</v>
      </c>
      <c r="AH16" s="81">
        <v>14</v>
      </c>
      <c r="AI16" s="81" t="s">
        <v>8722</v>
      </c>
      <c r="AJ16" s="81" t="s">
        <v>5439</v>
      </c>
      <c r="AK16" s="81">
        <v>50</v>
      </c>
      <c r="AL16" s="80" t="s">
        <v>2087</v>
      </c>
      <c r="AM16" s="80" t="s">
        <v>5440</v>
      </c>
      <c r="AN16" s="81" t="s">
        <v>5441</v>
      </c>
      <c r="AO16" s="81" t="s">
        <v>5442</v>
      </c>
      <c r="AP16" s="81">
        <v>8.2899999999999991</v>
      </c>
      <c r="AQ16" s="81" t="s">
        <v>5447</v>
      </c>
      <c r="AR16" s="126">
        <v>1.781184986747984E-5</v>
      </c>
      <c r="AS16" s="126">
        <v>5.6997919575935488E-4</v>
      </c>
      <c r="AT16" s="81"/>
      <c r="AU16" s="82">
        <f t="shared" si="6"/>
        <v>2.5114237675436129E-3</v>
      </c>
      <c r="AV16" s="82">
        <f t="shared" si="1"/>
        <v>1.1928998940203253E-3</v>
      </c>
      <c r="AW16" s="81" t="s">
        <v>2046</v>
      </c>
      <c r="AX16" s="81"/>
      <c r="AY16" s="81"/>
      <c r="AZ16" s="81"/>
      <c r="BA16" s="81"/>
      <c r="BB16" s="81"/>
      <c r="BC16" s="81"/>
      <c r="BD16" s="81"/>
      <c r="BE16" s="81"/>
      <c r="BF16" s="81"/>
      <c r="BG16" s="81"/>
      <c r="BH16" s="81"/>
      <c r="BI16" s="81"/>
      <c r="BJ16" s="81"/>
      <c r="BK16" s="81"/>
      <c r="BL16" s="81"/>
      <c r="BM16" s="81"/>
      <c r="BN16" s="81"/>
      <c r="BO16" s="81">
        <v>3.3199999999999999E-4</v>
      </c>
      <c r="BP16" s="81">
        <v>2.7E-4</v>
      </c>
      <c r="BQ16" s="81"/>
      <c r="BR16" s="81"/>
      <c r="BS16" s="82">
        <f t="shared" si="9"/>
        <v>2.7E-4</v>
      </c>
      <c r="BT16" s="82">
        <f t="shared" si="2"/>
        <v>-3.5686362358410126</v>
      </c>
      <c r="BU16" s="86">
        <f t="shared" si="4"/>
        <v>4.4061674289668913</v>
      </c>
      <c r="BV16" s="86">
        <f t="shared" si="5"/>
        <v>2.0928832190639595</v>
      </c>
      <c r="BW16" s="88">
        <f t="shared" si="7"/>
        <v>8.0288389830508483E-2</v>
      </c>
      <c r="BX16" s="88">
        <f t="shared" si="8"/>
        <v>0.39234106276813552</v>
      </c>
      <c r="BY16" s="88">
        <f t="shared" si="3"/>
        <v>9.3015695094207889</v>
      </c>
      <c r="BZ16" s="88">
        <v>-4.7871813037708</v>
      </c>
      <c r="CA16" s="88">
        <f t="shared" si="10"/>
        <v>34.917272158995836</v>
      </c>
      <c r="CB16" s="80"/>
      <c r="CC16" s="80" t="s">
        <v>5448</v>
      </c>
      <c r="CD16" s="75" t="s">
        <v>539</v>
      </c>
      <c r="CE16" s="89"/>
      <c r="CF16" s="89"/>
      <c r="CG16" s="91"/>
      <c r="CH16" s="144" t="s">
        <v>5921</v>
      </c>
    </row>
    <row r="17" spans="1:86" s="70" customFormat="1" ht="11.25" customHeight="1" x14ac:dyDescent="0.2">
      <c r="A17" s="75">
        <v>772</v>
      </c>
      <c r="B17" s="77" t="s">
        <v>5454</v>
      </c>
      <c r="C17" s="78" t="s">
        <v>5455</v>
      </c>
      <c r="D17" s="79">
        <v>5436431</v>
      </c>
      <c r="E17" s="80" t="s">
        <v>5456</v>
      </c>
      <c r="F17" s="80" t="s">
        <v>5457</v>
      </c>
      <c r="G17" s="80" t="s">
        <v>426</v>
      </c>
      <c r="H17" s="80"/>
      <c r="I17" s="80"/>
      <c r="J17" s="80"/>
      <c r="K17" s="31"/>
      <c r="L17" s="31"/>
      <c r="M17" s="31"/>
      <c r="N17" s="31"/>
      <c r="O17" s="81">
        <v>485.79</v>
      </c>
      <c r="P17" s="82">
        <v>3.0053519967064632E-6</v>
      </c>
      <c r="Q17" s="83">
        <v>-9.2004999999999999</v>
      </c>
      <c r="R17" s="84">
        <v>6.77</v>
      </c>
      <c r="S17" s="85">
        <v>6.36</v>
      </c>
      <c r="T17" s="82">
        <v>2.9699999999999999E-6</v>
      </c>
      <c r="U17" s="86"/>
      <c r="V17" s="83">
        <v>-2.74</v>
      </c>
      <c r="W17" s="81"/>
      <c r="X17" s="81"/>
      <c r="Y17" s="81"/>
      <c r="Z17" s="81"/>
      <c r="AA17" s="81" t="s">
        <v>6311</v>
      </c>
      <c r="AB17" s="81" t="s">
        <v>6311</v>
      </c>
      <c r="AC17" s="76" t="s">
        <v>5458</v>
      </c>
      <c r="AD17" s="87" t="s">
        <v>5438</v>
      </c>
      <c r="AE17" s="81">
        <v>72</v>
      </c>
      <c r="AF17" s="81">
        <v>216</v>
      </c>
      <c r="AG17" s="81">
        <v>144</v>
      </c>
      <c r="AH17" s="81">
        <v>14</v>
      </c>
      <c r="AI17" s="81" t="s">
        <v>8722</v>
      </c>
      <c r="AJ17" s="81" t="s">
        <v>5439</v>
      </c>
      <c r="AK17" s="81">
        <v>50</v>
      </c>
      <c r="AL17" s="80" t="s">
        <v>2087</v>
      </c>
      <c r="AM17" s="80" t="s">
        <v>5440</v>
      </c>
      <c r="AN17" s="81" t="s">
        <v>5441</v>
      </c>
      <c r="AO17" s="81" t="s">
        <v>5442</v>
      </c>
      <c r="AP17" s="81">
        <v>8.2899999999999991</v>
      </c>
      <c r="AQ17" s="81" t="s">
        <v>5443</v>
      </c>
      <c r="AR17" s="126">
        <v>3.9110745162618364E-7</v>
      </c>
      <c r="AS17" s="126">
        <v>2.6801152737752161E-4</v>
      </c>
      <c r="AT17" s="81" t="s">
        <v>2233</v>
      </c>
      <c r="AU17" s="82">
        <f t="shared" si="6"/>
        <v>4.2723123836706247E-5</v>
      </c>
      <c r="AV17" s="82">
        <f t="shared" si="1"/>
        <v>9.9743361385038008E-5</v>
      </c>
      <c r="AW17" s="81" t="s">
        <v>541</v>
      </c>
      <c r="AX17" s="81"/>
      <c r="AY17" s="81"/>
      <c r="AZ17" s="81"/>
      <c r="BA17" s="81"/>
      <c r="BB17" s="81"/>
      <c r="BC17" s="81"/>
      <c r="BD17" s="81"/>
      <c r="BE17" s="81"/>
      <c r="BF17" s="81"/>
      <c r="BG17" s="81"/>
      <c r="BH17" s="81"/>
      <c r="BI17" s="81"/>
      <c r="BJ17" s="81"/>
      <c r="BK17" s="81"/>
      <c r="BL17" s="81"/>
      <c r="BM17" s="81"/>
      <c r="BN17" s="81"/>
      <c r="BO17" s="81">
        <v>5.63E-5</v>
      </c>
      <c r="BP17" s="81">
        <v>2.9099999999999999E-5</v>
      </c>
      <c r="BQ17" s="81"/>
      <c r="BR17" s="81"/>
      <c r="BS17" s="82">
        <f t="shared" si="9"/>
        <v>2.9099999999999999E-5</v>
      </c>
      <c r="BT17" s="82">
        <f t="shared" si="2"/>
        <v>-4.5361070110140931</v>
      </c>
      <c r="BU17" s="86">
        <f t="shared" si="4"/>
        <v>0.15940778463803298</v>
      </c>
      <c r="BV17" s="86">
        <f t="shared" si="5"/>
        <v>0.37216071398503431</v>
      </c>
      <c r="BW17" s="88">
        <f t="shared" si="7"/>
        <v>9.682726027397262</v>
      </c>
      <c r="BX17" s="88">
        <f t="shared" si="8"/>
        <v>46.17352054149098</v>
      </c>
      <c r="BY17" s="88">
        <f t="shared" si="3"/>
        <v>1.468148585453823</v>
      </c>
      <c r="BZ17" s="88"/>
      <c r="CA17" s="88"/>
      <c r="CB17" s="80"/>
      <c r="CC17" s="80" t="s">
        <v>5444</v>
      </c>
      <c r="CD17" s="75"/>
      <c r="CE17" s="89"/>
      <c r="CF17" s="89"/>
      <c r="CG17" s="91"/>
      <c r="CH17" s="144" t="s">
        <v>5921</v>
      </c>
    </row>
    <row r="18" spans="1:86" s="70" customFormat="1" ht="11.25" customHeight="1" x14ac:dyDescent="0.2">
      <c r="A18" s="75">
        <v>824</v>
      </c>
      <c r="B18" s="77" t="s">
        <v>2339</v>
      </c>
      <c r="C18" s="78" t="s">
        <v>2340</v>
      </c>
      <c r="D18" s="79">
        <v>7778509</v>
      </c>
      <c r="E18" s="80" t="s">
        <v>2341</v>
      </c>
      <c r="F18" s="80"/>
      <c r="G18" s="80" t="s">
        <v>403</v>
      </c>
      <c r="H18" s="80"/>
      <c r="I18" s="80" t="s">
        <v>2342</v>
      </c>
      <c r="J18" s="80" t="s">
        <v>498</v>
      </c>
      <c r="K18" s="31"/>
      <c r="L18" s="31"/>
      <c r="M18" s="31"/>
      <c r="N18" s="31"/>
      <c r="O18" s="81">
        <v>294.2</v>
      </c>
      <c r="P18" s="82">
        <v>0.41810425412580521</v>
      </c>
      <c r="Q18" s="83"/>
      <c r="R18" s="84" t="s">
        <v>404</v>
      </c>
      <c r="S18" s="85" t="s">
        <v>5921</v>
      </c>
      <c r="T18" s="82"/>
      <c r="U18" s="86"/>
      <c r="V18" s="83"/>
      <c r="W18" s="81"/>
      <c r="X18" s="81"/>
      <c r="Y18" s="81"/>
      <c r="Z18" s="81"/>
      <c r="AA18" s="81" t="s">
        <v>6311</v>
      </c>
      <c r="AB18" s="81" t="s">
        <v>6311</v>
      </c>
      <c r="AC18" s="75" t="s">
        <v>6</v>
      </c>
      <c r="AD18" s="87" t="s">
        <v>2343</v>
      </c>
      <c r="AE18" s="76"/>
      <c r="AF18" s="76">
        <v>0</v>
      </c>
      <c r="AG18" s="81">
        <v>120</v>
      </c>
      <c r="AH18" s="81">
        <v>25</v>
      </c>
      <c r="AI18" s="81" t="s">
        <v>1780</v>
      </c>
      <c r="AJ18" s="81" t="s">
        <v>536</v>
      </c>
      <c r="AK18" s="81" t="s">
        <v>8722</v>
      </c>
      <c r="AL18" s="80" t="s">
        <v>1764</v>
      </c>
      <c r="AM18" s="80" t="s">
        <v>1802</v>
      </c>
      <c r="AN18" s="81" t="s">
        <v>889</v>
      </c>
      <c r="AO18" s="81" t="s">
        <v>650</v>
      </c>
      <c r="AP18" s="81">
        <v>7.2</v>
      </c>
      <c r="AQ18" s="81" t="s">
        <v>272</v>
      </c>
      <c r="AR18" s="82" t="s">
        <v>8722</v>
      </c>
      <c r="AS18" s="82" t="s">
        <v>8722</v>
      </c>
      <c r="AT18" s="81"/>
      <c r="AU18" s="82"/>
      <c r="AV18" s="82"/>
      <c r="AW18" s="81" t="s">
        <v>1584</v>
      </c>
      <c r="AX18" s="81"/>
      <c r="AY18" s="81"/>
      <c r="AZ18" s="81"/>
      <c r="BA18" s="81"/>
      <c r="BB18" s="81">
        <v>0.38656819755365796</v>
      </c>
      <c r="BC18" s="81"/>
      <c r="BD18" s="81"/>
      <c r="BE18" s="81"/>
      <c r="BF18" s="81"/>
      <c r="BG18" s="81"/>
      <c r="BH18" s="81"/>
      <c r="BI18" s="81"/>
      <c r="BJ18" s="81"/>
      <c r="BK18" s="81"/>
      <c r="BL18" s="81"/>
      <c r="BM18" s="81"/>
      <c r="BN18" s="81"/>
      <c r="BO18" s="81"/>
      <c r="BP18" s="81"/>
      <c r="BQ18" s="81"/>
      <c r="BR18" s="81"/>
      <c r="BS18" s="82">
        <f t="shared" si="9"/>
        <v>0.38656819755365796</v>
      </c>
      <c r="BT18" s="82">
        <f t="shared" si="2"/>
        <v>-0.4127738776615108</v>
      </c>
      <c r="BU18" s="86"/>
      <c r="BV18" s="86"/>
      <c r="BW18" s="88">
        <f t="shared" si="7"/>
        <v>0.92457370079124279</v>
      </c>
      <c r="BX18" s="88"/>
      <c r="BY18" s="88">
        <f t="shared" si="3"/>
        <v>0</v>
      </c>
      <c r="BZ18" s="88"/>
      <c r="CA18" s="88"/>
      <c r="CB18" s="80"/>
      <c r="CC18" s="80" t="s">
        <v>1803</v>
      </c>
      <c r="CD18" s="75"/>
      <c r="CE18" s="89"/>
      <c r="CF18" s="89"/>
      <c r="CG18" s="91"/>
      <c r="CH18" s="144" t="s">
        <v>6351</v>
      </c>
    </row>
    <row r="19" spans="1:86" s="70" customFormat="1" ht="11.25" customHeight="1" x14ac:dyDescent="0.2">
      <c r="A19" s="75">
        <v>764</v>
      </c>
      <c r="B19" s="77" t="s">
        <v>925</v>
      </c>
      <c r="C19" s="78" t="s">
        <v>926</v>
      </c>
      <c r="D19" s="79">
        <v>15972608</v>
      </c>
      <c r="E19" s="80" t="s">
        <v>927</v>
      </c>
      <c r="F19" s="80" t="s">
        <v>928</v>
      </c>
      <c r="G19" s="80" t="s">
        <v>924</v>
      </c>
      <c r="H19" s="90" t="s">
        <v>5941</v>
      </c>
      <c r="I19" s="90" t="s">
        <v>6082</v>
      </c>
      <c r="J19" s="93" t="s">
        <v>6084</v>
      </c>
      <c r="K19" s="31" t="s">
        <v>6172</v>
      </c>
      <c r="L19" s="31" t="s">
        <v>6173</v>
      </c>
      <c r="M19" s="31" t="s">
        <v>6175</v>
      </c>
      <c r="N19" s="31" t="s">
        <v>6176</v>
      </c>
      <c r="O19" s="81">
        <v>269.77</v>
      </c>
      <c r="P19" s="82">
        <f>212/O19</f>
        <v>0.78585461689587432</v>
      </c>
      <c r="Q19" s="83">
        <v>-3.2000999999999999</v>
      </c>
      <c r="R19" s="84">
        <v>3.52</v>
      </c>
      <c r="S19" s="85">
        <v>3.3</v>
      </c>
      <c r="T19" s="82">
        <v>8.3199999999999994E-9</v>
      </c>
      <c r="U19" s="86"/>
      <c r="V19" s="83">
        <v>-5.33</v>
      </c>
      <c r="W19" s="81"/>
      <c r="X19" s="81"/>
      <c r="Y19" s="81"/>
      <c r="Z19" s="81">
        <v>1.2</v>
      </c>
      <c r="AA19" s="81" t="s">
        <v>6311</v>
      </c>
      <c r="AB19" s="81" t="s">
        <v>6311</v>
      </c>
      <c r="AC19" s="76" t="s">
        <v>135</v>
      </c>
      <c r="AD19" s="87" t="s">
        <v>5438</v>
      </c>
      <c r="AE19" s="81">
        <v>72</v>
      </c>
      <c r="AF19" s="81" t="s">
        <v>5445</v>
      </c>
      <c r="AG19" s="81" t="s">
        <v>5446</v>
      </c>
      <c r="AH19" s="81">
        <v>14</v>
      </c>
      <c r="AI19" s="81" t="s">
        <v>8722</v>
      </c>
      <c r="AJ19" s="81" t="s">
        <v>5439</v>
      </c>
      <c r="AK19" s="81">
        <v>50</v>
      </c>
      <c r="AL19" s="80" t="s">
        <v>2087</v>
      </c>
      <c r="AM19" s="80" t="s">
        <v>5440</v>
      </c>
      <c r="AN19" s="81" t="s">
        <v>5441</v>
      </c>
      <c r="AO19" s="81" t="s">
        <v>5442</v>
      </c>
      <c r="AP19" s="81">
        <v>8.2899999999999991</v>
      </c>
      <c r="AQ19" s="81" t="s">
        <v>5447</v>
      </c>
      <c r="AR19" s="126">
        <v>1.1583941876413242E-3</v>
      </c>
      <c r="AS19" s="126">
        <v>3.7068614004522375E-2</v>
      </c>
      <c r="AT19" s="81"/>
      <c r="AU19" s="82">
        <f t="shared" si="6"/>
        <v>3.5439533784064246E-2</v>
      </c>
      <c r="AV19" s="82">
        <f t="shared" si="1"/>
        <v>5.5856021675172299E-2</v>
      </c>
      <c r="AW19" s="81" t="s">
        <v>2046</v>
      </c>
      <c r="AX19" s="81"/>
      <c r="AY19" s="81"/>
      <c r="AZ19" s="81"/>
      <c r="BA19" s="81"/>
      <c r="BB19" s="81"/>
      <c r="BC19" s="81"/>
      <c r="BD19" s="81"/>
      <c r="BE19" s="81"/>
      <c r="BF19" s="81"/>
      <c r="BG19" s="81"/>
      <c r="BH19" s="81"/>
      <c r="BI19" s="81"/>
      <c r="BJ19" s="81"/>
      <c r="BK19" s="81"/>
      <c r="BL19" s="81"/>
      <c r="BM19" s="81"/>
      <c r="BN19" s="81"/>
      <c r="BO19" s="81">
        <v>8.080957852985878E-6</v>
      </c>
      <c r="BP19" s="81">
        <v>6.8206249768321171E-6</v>
      </c>
      <c r="BQ19" s="81"/>
      <c r="BR19" s="81"/>
      <c r="BS19" s="82">
        <f t="shared" si="9"/>
        <v>6.8206249768321171E-6</v>
      </c>
      <c r="BT19" s="82">
        <f t="shared" si="2"/>
        <v>-5.1661758289280115</v>
      </c>
      <c r="BU19" s="86">
        <f t="shared" si="4"/>
        <v>0.95605230289270104</v>
      </c>
      <c r="BV19" s="86">
        <f t="shared" si="5"/>
        <v>1.5068278967311228</v>
      </c>
      <c r="BW19" s="88">
        <f t="shared" si="7"/>
        <v>8.6792452830188675E-6</v>
      </c>
      <c r="BX19" s="88">
        <f>BS19/((10^Q19)*1000)</f>
        <v>1.0812451466457425E-5</v>
      </c>
      <c r="BY19" s="88">
        <f t="shared" si="3"/>
        <v>5195.9364287646795</v>
      </c>
      <c r="BZ19" s="88">
        <v>-2.0724164104677936</v>
      </c>
      <c r="CA19" s="88">
        <f t="shared" si="10"/>
        <v>4.3794821293897375</v>
      </c>
      <c r="CB19" s="80"/>
      <c r="CC19" s="80" t="s">
        <v>5448</v>
      </c>
      <c r="CD19" s="75" t="s">
        <v>539</v>
      </c>
      <c r="CE19" s="89"/>
      <c r="CF19" s="89"/>
      <c r="CG19" s="91"/>
      <c r="CH19" s="144" t="s">
        <v>5921</v>
      </c>
    </row>
    <row r="20" spans="1:86" s="70" customFormat="1" ht="11.25" customHeight="1" x14ac:dyDescent="0.2">
      <c r="A20" s="75">
        <v>1315</v>
      </c>
      <c r="B20" s="77" t="s">
        <v>3946</v>
      </c>
      <c r="C20" s="78" t="s">
        <v>3947</v>
      </c>
      <c r="D20" s="79">
        <v>21087649</v>
      </c>
      <c r="E20" s="80" t="s">
        <v>3948</v>
      </c>
      <c r="F20" s="80" t="s">
        <v>3949</v>
      </c>
      <c r="G20" s="80" t="s">
        <v>483</v>
      </c>
      <c r="H20" s="80"/>
      <c r="I20" s="80"/>
      <c r="J20" s="80"/>
      <c r="K20" s="31"/>
      <c r="L20" s="31"/>
      <c r="M20" s="31"/>
      <c r="N20" s="31"/>
      <c r="O20" s="81">
        <v>214.29</v>
      </c>
      <c r="P20" s="82">
        <v>1200</v>
      </c>
      <c r="Q20" s="83">
        <v>-1.9009</v>
      </c>
      <c r="R20" s="84">
        <v>1.7</v>
      </c>
      <c r="S20" s="85">
        <v>1.33</v>
      </c>
      <c r="T20" s="82">
        <v>1.1700000000000001E-10</v>
      </c>
      <c r="U20" s="86"/>
      <c r="V20" s="83">
        <v>-6.13</v>
      </c>
      <c r="W20" s="81"/>
      <c r="X20" s="81">
        <v>7.9</v>
      </c>
      <c r="Y20" s="81"/>
      <c r="Z20" s="81">
        <v>-0.16</v>
      </c>
      <c r="AA20" s="81" t="s">
        <v>6311</v>
      </c>
      <c r="AB20" s="81" t="s">
        <v>6311</v>
      </c>
      <c r="AC20" s="75" t="s">
        <v>6</v>
      </c>
      <c r="AD20" s="87" t="s">
        <v>4111</v>
      </c>
      <c r="AE20" s="81">
        <v>24</v>
      </c>
      <c r="AF20" s="81" t="s">
        <v>4112</v>
      </c>
      <c r="AG20" s="81">
        <v>720</v>
      </c>
      <c r="AH20" s="81" t="s">
        <v>4113</v>
      </c>
      <c r="AI20" s="81" t="s">
        <v>8722</v>
      </c>
      <c r="AJ20" s="81" t="s">
        <v>4114</v>
      </c>
      <c r="AK20" s="81">
        <v>100</v>
      </c>
      <c r="AL20" s="80" t="s">
        <v>1886</v>
      </c>
      <c r="AM20" s="80" t="s">
        <v>2149</v>
      </c>
      <c r="AN20" s="81" t="s">
        <v>4115</v>
      </c>
      <c r="AO20" s="81" t="s">
        <v>4116</v>
      </c>
      <c r="AP20" s="81" t="s">
        <v>4117</v>
      </c>
      <c r="AQ20" s="81" t="s">
        <v>272</v>
      </c>
      <c r="AR20" s="126">
        <v>4.1999160016799666E-3</v>
      </c>
      <c r="AS20" s="126">
        <v>0.1493303467263988</v>
      </c>
      <c r="AT20" s="81" t="s">
        <v>4118</v>
      </c>
      <c r="AU20" s="82">
        <f t="shared" si="6"/>
        <v>1.5276715824077349</v>
      </c>
      <c r="AV20" s="82">
        <f t="shared" si="1"/>
        <v>3.283424239566886</v>
      </c>
      <c r="AW20" s="81" t="s">
        <v>4119</v>
      </c>
      <c r="AX20" s="81"/>
      <c r="AY20" s="81"/>
      <c r="AZ20" s="81"/>
      <c r="BA20" s="81"/>
      <c r="BB20" s="81"/>
      <c r="BC20" s="81"/>
      <c r="BD20" s="81"/>
      <c r="BE20" s="81"/>
      <c r="BF20" s="81"/>
      <c r="BG20" s="81"/>
      <c r="BH20" s="81"/>
      <c r="BI20" s="81"/>
      <c r="BJ20" s="81"/>
      <c r="BK20" s="81"/>
      <c r="BL20" s="81"/>
      <c r="BM20" s="81"/>
      <c r="BN20" s="81"/>
      <c r="BO20" s="81"/>
      <c r="BP20" s="81"/>
      <c r="BQ20" s="81"/>
      <c r="BR20" s="81"/>
      <c r="BS20" s="82"/>
      <c r="BT20" s="82"/>
      <c r="BU20" s="86">
        <f t="shared" si="4"/>
        <v>10.230148231067297</v>
      </c>
      <c r="BV20" s="86">
        <f t="shared" si="5"/>
        <v>21.987655634274624</v>
      </c>
      <c r="BW20" s="88">
        <f t="shared" si="7"/>
        <v>0</v>
      </c>
      <c r="BX20" s="88">
        <f>BS20/((10^Q20)*1000)</f>
        <v>0</v>
      </c>
      <c r="BY20" s="88" t="e">
        <f t="shared" si="3"/>
        <v>#DIV/0!</v>
      </c>
      <c r="BZ20" s="88"/>
      <c r="CA20" s="88"/>
      <c r="CB20" s="80" t="s">
        <v>4120</v>
      </c>
      <c r="CC20" s="80" t="s">
        <v>4121</v>
      </c>
      <c r="CD20" s="75"/>
      <c r="CE20" s="89"/>
      <c r="CF20" s="89"/>
      <c r="CG20" s="91"/>
      <c r="CH20" s="144" t="s">
        <v>5921</v>
      </c>
    </row>
    <row r="21" spans="1:86" s="70" customFormat="1" ht="11.25" customHeight="1" x14ac:dyDescent="0.2">
      <c r="A21" s="75">
        <v>2155</v>
      </c>
      <c r="B21" s="77" t="s">
        <v>5901</v>
      </c>
      <c r="C21" s="78" t="s">
        <v>5902</v>
      </c>
      <c r="D21" s="79">
        <v>24017478</v>
      </c>
      <c r="E21" s="80" t="s">
        <v>5903</v>
      </c>
      <c r="F21" s="80" t="s">
        <v>5904</v>
      </c>
      <c r="G21" s="80" t="s">
        <v>3909</v>
      </c>
      <c r="H21" s="80" t="s">
        <v>617</v>
      </c>
      <c r="I21" s="80" t="s">
        <v>946</v>
      </c>
      <c r="J21" s="80" t="s">
        <v>918</v>
      </c>
      <c r="K21" s="31"/>
      <c r="L21" s="31"/>
      <c r="M21" s="31"/>
      <c r="N21" s="31"/>
      <c r="O21" s="81">
        <v>313.31</v>
      </c>
      <c r="P21" s="82">
        <v>0.124477355</v>
      </c>
      <c r="Q21" s="83"/>
      <c r="R21" s="84">
        <v>3.34</v>
      </c>
      <c r="S21" s="85">
        <v>3.46</v>
      </c>
      <c r="T21" s="82">
        <v>4.8400000000000003E-8</v>
      </c>
      <c r="U21" s="86">
        <v>-5.7039999999999997</v>
      </c>
      <c r="V21" s="83"/>
      <c r="W21" s="83"/>
      <c r="X21" s="83">
        <v>0.56999999999999995</v>
      </c>
      <c r="Y21" s="83"/>
      <c r="Z21" s="83">
        <v>-0.15</v>
      </c>
      <c r="AA21" s="83" t="s">
        <v>6312</v>
      </c>
      <c r="AB21" s="83" t="s">
        <v>6312</v>
      </c>
      <c r="AC21" s="75" t="s">
        <v>5466</v>
      </c>
      <c r="AD21" s="87" t="s">
        <v>5905</v>
      </c>
      <c r="AE21" s="81">
        <v>0</v>
      </c>
      <c r="AF21" s="81">
        <v>72</v>
      </c>
      <c r="AG21" s="81">
        <v>72</v>
      </c>
      <c r="AH21" s="81">
        <v>25</v>
      </c>
      <c r="AI21" s="81" t="s">
        <v>5670</v>
      </c>
      <c r="AJ21" s="81" t="s">
        <v>5671</v>
      </c>
      <c r="AK21" s="81">
        <v>30</v>
      </c>
      <c r="AL21" s="80" t="s">
        <v>5487</v>
      </c>
      <c r="AM21" s="80" t="s">
        <v>5906</v>
      </c>
      <c r="AN21" s="81" t="s">
        <v>5733</v>
      </c>
      <c r="AO21" s="81"/>
      <c r="AP21" s="81"/>
      <c r="AQ21" s="80" t="s">
        <v>5907</v>
      </c>
      <c r="AR21" s="82">
        <v>3.1917270000000001E-3</v>
      </c>
      <c r="AS21" s="82">
        <v>4.7875906000000003E-2</v>
      </c>
      <c r="AT21" s="92"/>
      <c r="AU21" s="82">
        <f t="shared" si="6"/>
        <v>5.1421649050346505E-2</v>
      </c>
      <c r="AV21" s="82">
        <f t="shared" si="1"/>
        <v>4.0121207943140245E-2</v>
      </c>
      <c r="AW21" s="81"/>
      <c r="AX21" s="81"/>
      <c r="AY21" s="81"/>
      <c r="AZ21" s="81">
        <v>2.3746448999999999E-2</v>
      </c>
      <c r="BA21" s="81"/>
      <c r="BB21" s="81"/>
      <c r="BC21" s="81"/>
      <c r="BD21" s="81"/>
      <c r="BE21" s="81"/>
      <c r="BF21" s="81"/>
      <c r="BG21" s="81"/>
      <c r="BH21" s="81"/>
      <c r="BI21" s="81"/>
      <c r="BJ21" s="81"/>
      <c r="BK21" s="81"/>
      <c r="BL21" s="81"/>
      <c r="BM21" s="81"/>
      <c r="BN21" s="81"/>
      <c r="BO21" s="81"/>
      <c r="BP21" s="81"/>
      <c r="BQ21" s="81"/>
      <c r="BR21" s="81"/>
      <c r="BS21" s="82">
        <f t="shared" ref="BS21:BS27" si="11">MIN(AX21:BR21)</f>
        <v>2.3746448999999999E-2</v>
      </c>
      <c r="BT21" s="82">
        <f t="shared" si="2"/>
        <v>-1.6244013247762448</v>
      </c>
      <c r="BU21" s="86">
        <f t="shared" si="4"/>
        <v>1.0740611164694513</v>
      </c>
      <c r="BV21" s="86">
        <f t="shared" si="5"/>
        <v>0.83802503796252426</v>
      </c>
      <c r="BW21" s="88">
        <f t="shared" si="7"/>
        <v>0.19076922866813806</v>
      </c>
      <c r="BX21" s="88"/>
      <c r="BY21" s="88">
        <f t="shared" si="3"/>
        <v>2.1654458336211242</v>
      </c>
      <c r="BZ21" s="88"/>
      <c r="CA21" s="88"/>
      <c r="CB21" s="80"/>
      <c r="CC21" s="80" t="s">
        <v>5908</v>
      </c>
      <c r="CD21" s="75"/>
      <c r="CE21" s="89"/>
      <c r="CF21" s="89"/>
      <c r="CG21" s="91"/>
      <c r="CH21" s="144" t="s">
        <v>5921</v>
      </c>
    </row>
    <row r="22" spans="1:86" s="70" customFormat="1" ht="11.25" customHeight="1" x14ac:dyDescent="0.2">
      <c r="A22" s="75">
        <v>769</v>
      </c>
      <c r="B22" s="77" t="s">
        <v>1379</v>
      </c>
      <c r="C22" s="78" t="s">
        <v>1380</v>
      </c>
      <c r="D22" s="79">
        <v>29232937</v>
      </c>
      <c r="E22" s="80" t="s">
        <v>1381</v>
      </c>
      <c r="F22" s="80" t="s">
        <v>1382</v>
      </c>
      <c r="G22" s="80" t="s">
        <v>628</v>
      </c>
      <c r="H22" s="80"/>
      <c r="I22" s="80"/>
      <c r="J22" s="80"/>
      <c r="K22" s="31" t="s">
        <v>6178</v>
      </c>
      <c r="L22" s="31" t="s">
        <v>6176</v>
      </c>
      <c r="M22" s="31" t="s">
        <v>6177</v>
      </c>
      <c r="N22" s="31" t="s">
        <v>6173</v>
      </c>
      <c r="O22" s="81">
        <v>305.33</v>
      </c>
      <c r="P22" s="82">
        <v>1.3100150651732496E-2</v>
      </c>
      <c r="Q22" s="83">
        <v>-4.6593</v>
      </c>
      <c r="R22" s="84">
        <v>4.2</v>
      </c>
      <c r="S22" s="85">
        <v>3.79</v>
      </c>
      <c r="T22" s="82">
        <v>7.0100000000000004E-7</v>
      </c>
      <c r="U22" s="86"/>
      <c r="V22" s="83">
        <v>-4.0199999999999996</v>
      </c>
      <c r="W22" s="81"/>
      <c r="X22" s="81">
        <v>3.2</v>
      </c>
      <c r="Y22" s="81"/>
      <c r="Z22" s="81">
        <v>3.74</v>
      </c>
      <c r="AA22" s="81" t="s">
        <v>6312</v>
      </c>
      <c r="AB22" s="81" t="s">
        <v>6312</v>
      </c>
      <c r="AC22" s="76" t="s">
        <v>5449</v>
      </c>
      <c r="AD22" s="87" t="s">
        <v>5438</v>
      </c>
      <c r="AE22" s="81">
        <v>72</v>
      </c>
      <c r="AF22" s="81" t="s">
        <v>5445</v>
      </c>
      <c r="AG22" s="81" t="s">
        <v>5446</v>
      </c>
      <c r="AH22" s="81">
        <v>14</v>
      </c>
      <c r="AI22" s="81" t="s">
        <v>8722</v>
      </c>
      <c r="AJ22" s="81" t="s">
        <v>5439</v>
      </c>
      <c r="AK22" s="81">
        <v>50</v>
      </c>
      <c r="AL22" s="80" t="s">
        <v>2087</v>
      </c>
      <c r="AM22" s="80" t="s">
        <v>5440</v>
      </c>
      <c r="AN22" s="81" t="s">
        <v>5441</v>
      </c>
      <c r="AO22" s="81" t="s">
        <v>5442</v>
      </c>
      <c r="AP22" s="81">
        <v>8.2899999999999991</v>
      </c>
      <c r="AQ22" s="81" t="s">
        <v>5447</v>
      </c>
      <c r="AR22" s="126">
        <v>3.2750376629331243E-4</v>
      </c>
      <c r="AS22" s="126">
        <v>2.0960241042771995E-2</v>
      </c>
      <c r="AT22" s="81"/>
      <c r="AU22" s="82">
        <f t="shared" si="6"/>
        <v>8.6852035258746345E-3</v>
      </c>
      <c r="AV22" s="82">
        <f t="shared" si="1"/>
        <v>2.0276873884386589E-2</v>
      </c>
      <c r="AW22" s="81" t="s">
        <v>2046</v>
      </c>
      <c r="AX22" s="81"/>
      <c r="AY22" s="81"/>
      <c r="AZ22" s="81"/>
      <c r="BA22" s="81"/>
      <c r="BB22" s="81"/>
      <c r="BC22" s="81"/>
      <c r="BD22" s="81"/>
      <c r="BE22" s="81"/>
      <c r="BF22" s="81"/>
      <c r="BG22" s="81"/>
      <c r="BH22" s="81"/>
      <c r="BI22" s="81"/>
      <c r="BJ22" s="81"/>
      <c r="BK22" s="81"/>
      <c r="BL22" s="81"/>
      <c r="BM22" s="81"/>
      <c r="BN22" s="81"/>
      <c r="BO22" s="81">
        <v>1.83E-3</v>
      </c>
      <c r="BP22" s="81">
        <v>1.48E-3</v>
      </c>
      <c r="BQ22" s="81"/>
      <c r="BR22" s="81"/>
      <c r="BS22" s="82">
        <f t="shared" si="11"/>
        <v>1.48E-3</v>
      </c>
      <c r="BT22" s="82">
        <f t="shared" si="2"/>
        <v>-2.8297382846050425</v>
      </c>
      <c r="BU22" s="86">
        <f t="shared" si="4"/>
        <v>0.41436563196727505</v>
      </c>
      <c r="BV22" s="86">
        <f t="shared" si="5"/>
        <v>0.9673969799779063</v>
      </c>
      <c r="BW22" s="88">
        <f t="shared" si="7"/>
        <v>0.11297579999999999</v>
      </c>
      <c r="BX22" s="88">
        <f>BS22/((10^Q22)*1000)</f>
        <v>6.75401025003773E-2</v>
      </c>
      <c r="BY22" s="88">
        <f t="shared" si="3"/>
        <v>5.8683807607261045</v>
      </c>
      <c r="BZ22" s="88">
        <v>-2.6493498005474119</v>
      </c>
      <c r="CA22" s="88">
        <f t="shared" si="10"/>
        <v>9.3485891363237954</v>
      </c>
      <c r="CB22" s="80"/>
      <c r="CC22" s="80" t="s">
        <v>5448</v>
      </c>
      <c r="CD22" s="75" t="s">
        <v>539</v>
      </c>
      <c r="CE22" s="89"/>
      <c r="CF22" s="89"/>
      <c r="CG22" s="91"/>
      <c r="CH22" s="144" t="s">
        <v>5921</v>
      </c>
    </row>
    <row r="23" spans="1:86" s="70" customFormat="1" ht="11.25" customHeight="1" x14ac:dyDescent="0.2">
      <c r="A23" s="75">
        <v>773</v>
      </c>
      <c r="B23" s="77" t="s">
        <v>5433</v>
      </c>
      <c r="C23" s="78" t="s">
        <v>5434</v>
      </c>
      <c r="D23" s="79">
        <v>60348609</v>
      </c>
      <c r="E23" s="80" t="s">
        <v>5435</v>
      </c>
      <c r="F23" s="80" t="s">
        <v>5436</v>
      </c>
      <c r="G23" s="80" t="s">
        <v>426</v>
      </c>
      <c r="H23" s="80"/>
      <c r="I23" s="80"/>
      <c r="J23" s="80"/>
      <c r="K23" s="31"/>
      <c r="L23" s="31"/>
      <c r="M23" s="31"/>
      <c r="N23" s="31"/>
      <c r="O23" s="81">
        <v>564.69000000000005</v>
      </c>
      <c r="P23" s="82">
        <v>1.3919141475854007E-7</v>
      </c>
      <c r="Q23" s="83">
        <v>-10.587999999999999</v>
      </c>
      <c r="R23" s="84">
        <v>7.66</v>
      </c>
      <c r="S23" s="85">
        <v>7.15</v>
      </c>
      <c r="T23" s="82">
        <v>1.1799999999999999E-6</v>
      </c>
      <c r="U23" s="86"/>
      <c r="V23" s="83">
        <v>-3.15</v>
      </c>
      <c r="W23" s="81"/>
      <c r="X23" s="81"/>
      <c r="Y23" s="81"/>
      <c r="Z23" s="81"/>
      <c r="AA23" s="81" t="s">
        <v>6311</v>
      </c>
      <c r="AB23" s="81" t="s">
        <v>6311</v>
      </c>
      <c r="AC23" s="76" t="s">
        <v>5437</v>
      </c>
      <c r="AD23" s="87" t="s">
        <v>5438</v>
      </c>
      <c r="AE23" s="81">
        <v>72</v>
      </c>
      <c r="AF23" s="81">
        <v>216</v>
      </c>
      <c r="AG23" s="81">
        <v>144</v>
      </c>
      <c r="AH23" s="81">
        <v>14</v>
      </c>
      <c r="AI23" s="81" t="s">
        <v>8722</v>
      </c>
      <c r="AJ23" s="81" t="s">
        <v>5439</v>
      </c>
      <c r="AK23" s="81">
        <v>50</v>
      </c>
      <c r="AL23" s="80" t="s">
        <v>2087</v>
      </c>
      <c r="AM23" s="80" t="s">
        <v>5440</v>
      </c>
      <c r="AN23" s="81" t="s">
        <v>5441</v>
      </c>
      <c r="AO23" s="81" t="s">
        <v>5442</v>
      </c>
      <c r="AP23" s="81">
        <v>8.2899999999999991</v>
      </c>
      <c r="AQ23" s="81" t="s">
        <v>5443</v>
      </c>
      <c r="AR23" s="126">
        <v>1.4167065115373036E-6</v>
      </c>
      <c r="AS23" s="126">
        <v>3.426658874780853E-4</v>
      </c>
      <c r="AT23" s="81" t="s">
        <v>2233</v>
      </c>
      <c r="AU23" s="82">
        <f t="shared" si="6"/>
        <v>6.7819408862942234E-6</v>
      </c>
      <c r="AV23" s="82">
        <f t="shared" si="1"/>
        <v>1.9470853987453082E-5</v>
      </c>
      <c r="AW23" s="81" t="s">
        <v>541</v>
      </c>
      <c r="AX23" s="81"/>
      <c r="AY23" s="81"/>
      <c r="AZ23" s="81"/>
      <c r="BA23" s="81"/>
      <c r="BB23" s="81"/>
      <c r="BC23" s="81"/>
      <c r="BD23" s="81"/>
      <c r="BE23" s="81"/>
      <c r="BF23" s="81"/>
      <c r="BG23" s="81"/>
      <c r="BH23" s="81"/>
      <c r="BI23" s="81"/>
      <c r="BJ23" s="81"/>
      <c r="BK23" s="81"/>
      <c r="BL23" s="81"/>
      <c r="BM23" s="81"/>
      <c r="BN23" s="81"/>
      <c r="BO23" s="81">
        <v>6.7799999999999995E-5</v>
      </c>
      <c r="BP23" s="81">
        <v>5.2500000000000002E-5</v>
      </c>
      <c r="BQ23" s="81"/>
      <c r="BR23" s="81"/>
      <c r="BS23" s="82">
        <f t="shared" si="11"/>
        <v>5.2500000000000002E-5</v>
      </c>
      <c r="BT23" s="82">
        <f t="shared" si="2"/>
        <v>-4.279840696594043</v>
      </c>
      <c r="BU23" s="86">
        <f t="shared" si="4"/>
        <v>1.9791701287242818E-2</v>
      </c>
      <c r="BV23" s="86">
        <f t="shared" si="5"/>
        <v>5.68216875357875E-2</v>
      </c>
      <c r="BW23" s="88">
        <f t="shared" si="7"/>
        <v>377.17843511450388</v>
      </c>
      <c r="BX23" s="88">
        <f>BS23/((10^Q23)*1000)</f>
        <v>2033.1026358384911</v>
      </c>
      <c r="BY23" s="88">
        <f t="shared" si="3"/>
        <v>0.12917982640560424</v>
      </c>
      <c r="BZ23" s="88"/>
      <c r="CA23" s="88"/>
      <c r="CB23" s="80"/>
      <c r="CC23" s="80" t="s">
        <v>5444</v>
      </c>
      <c r="CD23" s="75"/>
      <c r="CE23" s="89"/>
      <c r="CF23" s="89" t="s">
        <v>272</v>
      </c>
      <c r="CG23" s="91"/>
      <c r="CH23" s="144" t="s">
        <v>5921</v>
      </c>
    </row>
    <row r="24" spans="1:86" s="70" customFormat="1" ht="11.25" customHeight="1" x14ac:dyDescent="0.2">
      <c r="A24" s="75">
        <v>2074</v>
      </c>
      <c r="B24" s="77" t="s">
        <v>993</v>
      </c>
      <c r="C24" s="78" t="s">
        <v>994</v>
      </c>
      <c r="D24" s="79">
        <v>69327760</v>
      </c>
      <c r="E24" s="80"/>
      <c r="F24" s="80" t="s">
        <v>5709</v>
      </c>
      <c r="G24" s="80" t="s">
        <v>426</v>
      </c>
      <c r="H24" s="80" t="s">
        <v>617</v>
      </c>
      <c r="I24" s="80" t="s">
        <v>997</v>
      </c>
      <c r="J24" s="80" t="s">
        <v>918</v>
      </c>
      <c r="K24" s="31"/>
      <c r="L24" s="31"/>
      <c r="M24" s="31"/>
      <c r="N24" s="31"/>
      <c r="O24" s="81">
        <v>305.44</v>
      </c>
      <c r="P24" s="82">
        <v>2.946569E-3</v>
      </c>
      <c r="Q24" s="83"/>
      <c r="R24" s="85">
        <v>4.3</v>
      </c>
      <c r="S24" s="85">
        <v>4.0199999999999996</v>
      </c>
      <c r="T24" s="82"/>
      <c r="U24" s="86"/>
      <c r="V24" s="83"/>
      <c r="W24" s="83"/>
      <c r="X24" s="83"/>
      <c r="Y24" s="83"/>
      <c r="Z24" s="83"/>
      <c r="AA24" s="83" t="s">
        <v>6311</v>
      </c>
      <c r="AB24" s="83" t="s">
        <v>6311</v>
      </c>
      <c r="AC24" s="75" t="s">
        <v>5466</v>
      </c>
      <c r="AD24" s="87" t="s">
        <v>5710</v>
      </c>
      <c r="AE24" s="81">
        <v>24</v>
      </c>
      <c r="AF24" s="81">
        <v>72</v>
      </c>
      <c r="AG24" s="81">
        <v>24</v>
      </c>
      <c r="AH24" s="81">
        <v>25</v>
      </c>
      <c r="AI24" s="81"/>
      <c r="AJ24" s="81"/>
      <c r="AK24" s="81">
        <v>200</v>
      </c>
      <c r="AL24" s="80" t="s">
        <v>5711</v>
      </c>
      <c r="AM24" s="80"/>
      <c r="AN24" s="81"/>
      <c r="AO24" s="81" t="s">
        <v>5681</v>
      </c>
      <c r="AP24" s="81">
        <v>7.5</v>
      </c>
      <c r="AQ24" s="81"/>
      <c r="AR24" s="82">
        <v>1.6369799999999999E-4</v>
      </c>
      <c r="AS24" s="82">
        <v>0.32739654299999998</v>
      </c>
      <c r="AT24" s="92"/>
      <c r="AU24" s="82">
        <f t="shared" si="6"/>
        <v>7.0626876525995306E-3</v>
      </c>
      <c r="AV24" s="82">
        <f t="shared" si="1"/>
        <v>1.2601957191637207E-2</v>
      </c>
      <c r="AW24" s="81"/>
      <c r="AX24" s="81"/>
      <c r="AY24" s="81"/>
      <c r="AZ24" s="81"/>
      <c r="BA24" s="81"/>
      <c r="BB24" s="81"/>
      <c r="BC24" s="81"/>
      <c r="BD24" s="81"/>
      <c r="BE24" s="81"/>
      <c r="BF24" s="81"/>
      <c r="BG24" s="81"/>
      <c r="BH24" s="81"/>
      <c r="BI24" s="81">
        <v>1.8668151000000001E-2</v>
      </c>
      <c r="BJ24" s="81">
        <v>1.5197748000000001E-2</v>
      </c>
      <c r="BK24" s="81"/>
      <c r="BL24" s="81"/>
      <c r="BM24" s="81"/>
      <c r="BN24" s="81"/>
      <c r="BO24" s="81"/>
      <c r="BP24" s="81"/>
      <c r="BQ24" s="81"/>
      <c r="BR24" s="81"/>
      <c r="BS24" s="82">
        <f t="shared" si="11"/>
        <v>1.5197748000000001E-2</v>
      </c>
      <c r="BT24" s="82">
        <f t="shared" si="2"/>
        <v>-1.8182207609783803</v>
      </c>
      <c r="BU24" s="86">
        <f t="shared" si="4"/>
        <v>2.157227314583933E-2</v>
      </c>
      <c r="BV24" s="86">
        <f t="shared" si="5"/>
        <v>3.8491418009985547E-2</v>
      </c>
      <c r="BW24" s="88">
        <f t="shared" si="7"/>
        <v>5.1577777408233105</v>
      </c>
      <c r="BX24" s="88"/>
      <c r="BY24" s="88">
        <f t="shared" si="3"/>
        <v>0.4647193553018204</v>
      </c>
      <c r="BZ24" s="88"/>
      <c r="CA24" s="88"/>
      <c r="CB24" s="80"/>
      <c r="CC24" s="80" t="s">
        <v>5712</v>
      </c>
      <c r="CD24" s="75"/>
      <c r="CE24" s="89"/>
      <c r="CF24" s="89"/>
      <c r="CG24" s="91"/>
      <c r="CH24" s="144" t="s">
        <v>5921</v>
      </c>
    </row>
    <row r="25" spans="1:86" s="70" customFormat="1" ht="11.25" customHeight="1" x14ac:dyDescent="0.2">
      <c r="A25" s="75">
        <v>2074</v>
      </c>
      <c r="B25" s="77" t="s">
        <v>993</v>
      </c>
      <c r="C25" s="78" t="s">
        <v>994</v>
      </c>
      <c r="D25" s="79">
        <v>69327760</v>
      </c>
      <c r="E25" s="80" t="s">
        <v>995</v>
      </c>
      <c r="F25" s="80" t="s">
        <v>5709</v>
      </c>
      <c r="G25" s="80" t="s">
        <v>426</v>
      </c>
      <c r="H25" s="80" t="s">
        <v>617</v>
      </c>
      <c r="I25" s="80" t="s">
        <v>997</v>
      </c>
      <c r="J25" s="80" t="s">
        <v>918</v>
      </c>
      <c r="K25" s="31"/>
      <c r="L25" s="31"/>
      <c r="M25" s="31"/>
      <c r="N25" s="31"/>
      <c r="O25" s="81">
        <v>305.44</v>
      </c>
      <c r="P25" s="82">
        <v>2.946569E-3</v>
      </c>
      <c r="Q25" s="83"/>
      <c r="R25" s="84">
        <v>4.3</v>
      </c>
      <c r="S25" s="85">
        <v>4.0199999999999996</v>
      </c>
      <c r="T25" s="82"/>
      <c r="U25" s="86"/>
      <c r="V25" s="83"/>
      <c r="W25" s="83"/>
      <c r="X25" s="83">
        <v>1.8</v>
      </c>
      <c r="Y25" s="83"/>
      <c r="Z25" s="83">
        <v>3.02</v>
      </c>
      <c r="AA25" s="83" t="s">
        <v>6311</v>
      </c>
      <c r="AB25" s="83" t="s">
        <v>6311</v>
      </c>
      <c r="AC25" s="75" t="s">
        <v>5466</v>
      </c>
      <c r="AD25" s="87" t="s">
        <v>5710</v>
      </c>
      <c r="AE25" s="81">
        <v>0</v>
      </c>
      <c r="AF25" s="81">
        <v>24</v>
      </c>
      <c r="AG25" s="81">
        <v>24</v>
      </c>
      <c r="AH25" s="81">
        <v>25</v>
      </c>
      <c r="AI25" s="81"/>
      <c r="AJ25" s="81"/>
      <c r="AK25" s="81">
        <v>200</v>
      </c>
      <c r="AL25" s="80" t="s">
        <v>5711</v>
      </c>
      <c r="AM25" s="80"/>
      <c r="AN25" s="81"/>
      <c r="AO25" s="81" t="s">
        <v>5681</v>
      </c>
      <c r="AP25" s="81">
        <v>7.5</v>
      </c>
      <c r="AQ25" s="81"/>
      <c r="AR25" s="82">
        <v>1.6369799999999999E-4</v>
      </c>
      <c r="AS25" s="82">
        <v>0.32739654299999998</v>
      </c>
      <c r="AT25" s="92"/>
      <c r="AU25" s="82">
        <f t="shared" si="6"/>
        <v>7.0626876525995306E-3</v>
      </c>
      <c r="AV25" s="82">
        <f t="shared" si="1"/>
        <v>1.2601957191637207E-2</v>
      </c>
      <c r="AW25" s="81"/>
      <c r="AX25" s="81">
        <v>2.2017417000000001E-2</v>
      </c>
      <c r="AY25" s="81"/>
      <c r="AZ25" s="81"/>
      <c r="BA25" s="81"/>
      <c r="BB25" s="81"/>
      <c r="BC25" s="81"/>
      <c r="BD25" s="81"/>
      <c r="BE25" s="81"/>
      <c r="BF25" s="81"/>
      <c r="BG25" s="81"/>
      <c r="BH25" s="81"/>
      <c r="BI25" s="81"/>
      <c r="BJ25" s="81"/>
      <c r="BK25" s="81"/>
      <c r="BL25" s="81"/>
      <c r="BM25" s="81"/>
      <c r="BN25" s="81"/>
      <c r="BO25" s="81"/>
      <c r="BP25" s="81"/>
      <c r="BQ25" s="81"/>
      <c r="BR25" s="81"/>
      <c r="BS25" s="82">
        <f t="shared" si="11"/>
        <v>2.2017417000000001E-2</v>
      </c>
      <c r="BT25" s="82">
        <f t="shared" si="2"/>
        <v>-1.6572336321601722</v>
      </c>
      <c r="BU25" s="86">
        <f t="shared" si="4"/>
        <v>2.157227314583933E-2</v>
      </c>
      <c r="BV25" s="86">
        <f t="shared" si="5"/>
        <v>3.8491418009985547E-2</v>
      </c>
      <c r="BW25" s="88">
        <f t="shared" si="7"/>
        <v>7.4722217602913767</v>
      </c>
      <c r="BX25" s="88"/>
      <c r="BY25" s="88">
        <f t="shared" si="3"/>
        <v>0.32077730337757288</v>
      </c>
      <c r="BZ25" s="88"/>
      <c r="CA25" s="88"/>
      <c r="CB25" s="80"/>
      <c r="CC25" s="80" t="s">
        <v>5712</v>
      </c>
      <c r="CD25" s="75"/>
      <c r="CE25" s="89"/>
      <c r="CF25" s="89"/>
      <c r="CG25" s="91"/>
      <c r="CH25" s="144" t="s">
        <v>5921</v>
      </c>
    </row>
    <row r="26" spans="1:86" s="70" customFormat="1" ht="11.25" customHeight="1" x14ac:dyDescent="0.2">
      <c r="A26" s="75">
        <v>546</v>
      </c>
      <c r="B26" s="77" t="s">
        <v>1717</v>
      </c>
      <c r="C26" s="78" t="s">
        <v>1718</v>
      </c>
      <c r="D26" s="79">
        <v>343978245</v>
      </c>
      <c r="E26" s="80"/>
      <c r="F26" s="80"/>
      <c r="G26" s="80"/>
      <c r="H26" s="80"/>
      <c r="I26" s="80"/>
      <c r="J26" s="80"/>
      <c r="K26" s="31"/>
      <c r="L26" s="31"/>
      <c r="M26" s="31"/>
      <c r="N26" s="31"/>
      <c r="O26" s="81"/>
      <c r="P26" s="82"/>
      <c r="Q26" s="83"/>
      <c r="R26" s="84" t="s">
        <v>404</v>
      </c>
      <c r="S26" s="85" t="s">
        <v>5921</v>
      </c>
      <c r="T26" s="82"/>
      <c r="U26" s="86"/>
      <c r="V26" s="83"/>
      <c r="W26" s="83"/>
      <c r="X26" s="83"/>
      <c r="Y26" s="83"/>
      <c r="Z26" s="83"/>
      <c r="AA26" s="83" t="s">
        <v>6317</v>
      </c>
      <c r="AB26" s="83" t="s">
        <v>6317</v>
      </c>
      <c r="AC26" s="75" t="s">
        <v>1687</v>
      </c>
      <c r="AD26" s="87" t="s">
        <v>1646</v>
      </c>
      <c r="AE26" s="81">
        <v>2</v>
      </c>
      <c r="AF26" s="81">
        <v>48</v>
      </c>
      <c r="AG26" s="81">
        <v>48</v>
      </c>
      <c r="AH26" s="81" t="s">
        <v>404</v>
      </c>
      <c r="AI26" s="81" t="s">
        <v>8722</v>
      </c>
      <c r="AJ26" s="81" t="s">
        <v>8722</v>
      </c>
      <c r="AK26" s="81" t="s">
        <v>8722</v>
      </c>
      <c r="AL26" s="80" t="s">
        <v>8722</v>
      </c>
      <c r="AM26" s="80" t="s">
        <v>8722</v>
      </c>
      <c r="AN26" s="81" t="s">
        <v>8722</v>
      </c>
      <c r="AO26" s="81" t="s">
        <v>8722</v>
      </c>
      <c r="AP26" s="81" t="s">
        <v>8722</v>
      </c>
      <c r="AQ26" s="81" t="s">
        <v>8722</v>
      </c>
      <c r="AR26" s="82" t="s">
        <v>8722</v>
      </c>
      <c r="AS26" s="82" t="s">
        <v>8722</v>
      </c>
      <c r="AT26" s="81"/>
      <c r="AU26" s="82"/>
      <c r="AV26" s="82"/>
      <c r="AW26" s="80" t="s">
        <v>1640</v>
      </c>
      <c r="AX26" s="81"/>
      <c r="AY26" s="81">
        <v>5.3824362606232296E-4</v>
      </c>
      <c r="AZ26" s="81"/>
      <c r="BA26" s="81"/>
      <c r="BB26" s="81"/>
      <c r="BC26" s="81"/>
      <c r="BD26" s="81"/>
      <c r="BE26" s="81"/>
      <c r="BF26" s="81"/>
      <c r="BG26" s="81"/>
      <c r="BH26" s="81"/>
      <c r="BI26" s="81"/>
      <c r="BJ26" s="81"/>
      <c r="BK26" s="81"/>
      <c r="BL26" s="81"/>
      <c r="BM26" s="81"/>
      <c r="BN26" s="81"/>
      <c r="BO26" s="81"/>
      <c r="BP26" s="81"/>
      <c r="BQ26" s="81"/>
      <c r="BR26" s="81"/>
      <c r="BS26" s="82">
        <f t="shared" si="11"/>
        <v>5.3824362606232296E-4</v>
      </c>
      <c r="BT26" s="82">
        <f t="shared" si="2"/>
        <v>-3.2690211044349935</v>
      </c>
      <c r="BU26" s="86"/>
      <c r="BV26" s="86"/>
      <c r="BW26" s="88"/>
      <c r="BX26" s="88"/>
      <c r="BY26" s="88">
        <f t="shared" si="3"/>
        <v>0</v>
      </c>
      <c r="BZ26" s="88"/>
      <c r="CA26" s="88"/>
      <c r="CB26" s="80" t="s">
        <v>1641</v>
      </c>
      <c r="CC26" s="80" t="s">
        <v>1688</v>
      </c>
      <c r="CD26" s="75"/>
      <c r="CE26" s="89"/>
      <c r="CF26" s="89"/>
      <c r="CG26" s="91"/>
      <c r="CH26" s="144" t="s">
        <v>5921</v>
      </c>
    </row>
    <row r="27" spans="1:86" s="71" customFormat="1" ht="12.6" customHeight="1" x14ac:dyDescent="0.2">
      <c r="A27" s="75">
        <v>702</v>
      </c>
      <c r="B27" s="77" t="s">
        <v>2010</v>
      </c>
      <c r="C27" s="78" t="s">
        <v>2011</v>
      </c>
      <c r="D27" s="79" t="s">
        <v>2011</v>
      </c>
      <c r="E27" s="80"/>
      <c r="F27" s="80"/>
      <c r="G27" s="80"/>
      <c r="H27" s="80"/>
      <c r="I27" s="80"/>
      <c r="J27" s="80"/>
      <c r="K27" s="31"/>
      <c r="L27" s="31"/>
      <c r="M27" s="31"/>
      <c r="N27" s="31"/>
      <c r="O27" s="81">
        <v>265.35000000000002</v>
      </c>
      <c r="P27" s="82"/>
      <c r="Q27" s="83"/>
      <c r="R27" s="84">
        <v>6.2</v>
      </c>
      <c r="S27" s="85">
        <v>4.0199999999999996</v>
      </c>
      <c r="T27" s="82"/>
      <c r="U27" s="86"/>
      <c r="V27" s="83"/>
      <c r="W27" s="83"/>
      <c r="X27" s="83"/>
      <c r="Y27" s="83"/>
      <c r="Z27" s="83"/>
      <c r="AA27" s="83" t="s">
        <v>5921</v>
      </c>
      <c r="AB27" s="83" t="s">
        <v>5921</v>
      </c>
      <c r="AC27" s="75" t="s">
        <v>1687</v>
      </c>
      <c r="AD27" s="87" t="s">
        <v>1655</v>
      </c>
      <c r="AE27" s="76">
        <v>144</v>
      </c>
      <c r="AF27" s="76">
        <v>240</v>
      </c>
      <c r="AG27" s="81">
        <v>96</v>
      </c>
      <c r="AH27" s="81">
        <v>26</v>
      </c>
      <c r="AI27" s="81" t="s">
        <v>2012</v>
      </c>
      <c r="AJ27" s="81" t="s">
        <v>1656</v>
      </c>
      <c r="AK27" s="81" t="s">
        <v>8722</v>
      </c>
      <c r="AL27" s="80" t="s">
        <v>2013</v>
      </c>
      <c r="AM27" s="80" t="s">
        <v>2014</v>
      </c>
      <c r="AN27" s="81" t="s">
        <v>271</v>
      </c>
      <c r="AO27" s="81" t="s">
        <v>272</v>
      </c>
      <c r="AP27" s="81" t="s">
        <v>272</v>
      </c>
      <c r="AQ27" s="81" t="s">
        <v>8722</v>
      </c>
      <c r="AR27" s="82">
        <f>0.062/320.339</f>
        <v>1.9354496330449929E-4</v>
      </c>
      <c r="AS27" s="82">
        <f>1/320.339</f>
        <v>3.121692956524182E-3</v>
      </c>
      <c r="AT27" s="81"/>
      <c r="AU27" s="82">
        <f t="shared" si="6"/>
        <v>1.3886090776162139E-4</v>
      </c>
      <c r="AV27" s="82">
        <f t="shared" si="1"/>
        <v>1.2601957191637207E-2</v>
      </c>
      <c r="AW27" s="81" t="s">
        <v>1584</v>
      </c>
      <c r="AX27" s="81"/>
      <c r="AY27" s="81"/>
      <c r="AZ27" s="81"/>
      <c r="BA27" s="81"/>
      <c r="BB27" s="81"/>
      <c r="BC27" s="81"/>
      <c r="BD27" s="81"/>
      <c r="BE27" s="81"/>
      <c r="BF27" s="81"/>
      <c r="BG27" s="81"/>
      <c r="BH27" s="81"/>
      <c r="BI27" s="81"/>
      <c r="BJ27" s="81"/>
      <c r="BK27" s="81"/>
      <c r="BL27" s="81"/>
      <c r="BM27" s="81"/>
      <c r="BN27" s="81"/>
      <c r="BO27" s="81"/>
      <c r="BP27" s="81"/>
      <c r="BQ27" s="81">
        <f>0.56/320.339</f>
        <v>1.7481480556535423E-3</v>
      </c>
      <c r="BR27" s="81"/>
      <c r="BS27" s="82">
        <f t="shared" si="11"/>
        <v>1.7481480556535423E-3</v>
      </c>
      <c r="BT27" s="82">
        <f t="shared" si="2"/>
        <v>-2.7574217885034429</v>
      </c>
      <c r="BU27" s="86">
        <f t="shared" si="4"/>
        <v>4.4482564331450036E-2</v>
      </c>
      <c r="BV27" s="86">
        <f t="shared" si="5"/>
        <v>4.0368983648118713</v>
      </c>
      <c r="BW27" s="88"/>
      <c r="BX27" s="88"/>
      <c r="BY27" s="88">
        <f t="shared" si="3"/>
        <v>7.9433150591875043E-2</v>
      </c>
      <c r="BZ27" s="88"/>
      <c r="CA27" s="88"/>
      <c r="CB27" s="80"/>
      <c r="CC27" s="80" t="s">
        <v>2015</v>
      </c>
      <c r="CD27" s="75"/>
      <c r="CE27" s="89"/>
      <c r="CF27" s="89"/>
      <c r="CG27" s="91"/>
      <c r="CH27" s="144" t="s">
        <v>5921</v>
      </c>
    </row>
    <row r="28" spans="1:86" s="70" customFormat="1" ht="11.25" customHeight="1" x14ac:dyDescent="0.2">
      <c r="A28" s="75">
        <v>593</v>
      </c>
      <c r="B28" s="75" t="s">
        <v>1776</v>
      </c>
      <c r="C28" s="75" t="s">
        <v>1777</v>
      </c>
      <c r="D28" s="75">
        <v>127184</v>
      </c>
      <c r="E28" s="75" t="s">
        <v>1778</v>
      </c>
      <c r="F28" s="75" t="s">
        <v>1779</v>
      </c>
      <c r="G28" s="75" t="s">
        <v>1139</v>
      </c>
      <c r="H28" s="75" t="s">
        <v>5527</v>
      </c>
      <c r="I28" s="75" t="s">
        <v>866</v>
      </c>
      <c r="J28" s="75" t="s">
        <v>498</v>
      </c>
      <c r="K28" s="75" t="s">
        <v>6183</v>
      </c>
      <c r="L28" s="75" t="s">
        <v>6176</v>
      </c>
      <c r="M28" s="75" t="s">
        <v>6185</v>
      </c>
      <c r="N28" s="75" t="s">
        <v>6176</v>
      </c>
      <c r="O28" s="75">
        <v>165.83</v>
      </c>
      <c r="P28" s="75">
        <v>1.2422360248447204</v>
      </c>
      <c r="Q28" s="75">
        <v>-2.5609999999999999</v>
      </c>
      <c r="R28" s="75">
        <v>2.97</v>
      </c>
      <c r="S28" s="75">
        <v>2.52</v>
      </c>
      <c r="T28" s="75">
        <v>1.77E-2</v>
      </c>
      <c r="U28" s="75">
        <v>-0.1022827884354147</v>
      </c>
      <c r="V28" s="75">
        <v>0.47299999999999998</v>
      </c>
      <c r="W28" s="75"/>
      <c r="X28" s="75"/>
      <c r="Y28" s="75"/>
      <c r="Z28" s="75"/>
      <c r="AA28" s="75" t="s">
        <v>6311</v>
      </c>
      <c r="AB28" s="75" t="s">
        <v>6311</v>
      </c>
      <c r="AC28" s="75" t="s">
        <v>6</v>
      </c>
      <c r="AD28" s="75" t="s">
        <v>1655</v>
      </c>
      <c r="AE28" s="75">
        <v>2</v>
      </c>
      <c r="AF28" s="75">
        <v>96</v>
      </c>
      <c r="AG28" s="75">
        <v>96</v>
      </c>
      <c r="AH28" s="75">
        <v>25</v>
      </c>
      <c r="AI28" s="75" t="s">
        <v>1780</v>
      </c>
      <c r="AJ28" s="75" t="s">
        <v>1781</v>
      </c>
      <c r="AK28" s="75">
        <v>20</v>
      </c>
      <c r="AL28" s="75" t="s">
        <v>1782</v>
      </c>
      <c r="AM28" s="75" t="s">
        <v>1783</v>
      </c>
      <c r="AN28" s="75" t="s">
        <v>1712</v>
      </c>
      <c r="AO28" s="75" t="s">
        <v>539</v>
      </c>
      <c r="AP28" s="75">
        <v>7.5</v>
      </c>
      <c r="AQ28" s="75" t="s">
        <v>272</v>
      </c>
      <c r="AR28" s="75">
        <v>0.12060543930531266</v>
      </c>
      <c r="AS28" s="75">
        <v>0.48242175722125064</v>
      </c>
      <c r="AT28" s="75"/>
      <c r="AU28" s="75">
        <f t="shared" ref="AU28:AV31" si="12">10^((-0.8981*R28)+1.7108)</f>
        <v>0.11052054045824757</v>
      </c>
      <c r="AV28" s="75">
        <f t="shared" si="12"/>
        <v>0.28027734830834611</v>
      </c>
      <c r="AW28" s="75" t="s">
        <v>1584</v>
      </c>
      <c r="AX28" s="75"/>
      <c r="AY28" s="75"/>
      <c r="AZ28" s="75"/>
      <c r="BA28" s="75">
        <v>0.16161128866911897</v>
      </c>
      <c r="BB28" s="75"/>
      <c r="BC28" s="75"/>
      <c r="BD28" s="75"/>
      <c r="BE28" s="75"/>
      <c r="BF28" s="75"/>
      <c r="BG28" s="75"/>
      <c r="BH28" s="75"/>
      <c r="BI28" s="75"/>
      <c r="BJ28" s="75"/>
      <c r="BK28" s="75"/>
      <c r="BL28" s="75"/>
      <c r="BM28" s="75"/>
      <c r="BN28" s="75"/>
      <c r="BO28" s="75"/>
      <c r="BP28" s="75"/>
      <c r="BQ28" s="75"/>
      <c r="BR28" s="75"/>
      <c r="BS28" s="75">
        <f>MIN(AX28:BR28)</f>
        <v>0.16161128866911897</v>
      </c>
      <c r="BT28" s="75">
        <f>LOG10(BS28)</f>
        <v>-0.79152830670823315</v>
      </c>
      <c r="BU28" s="75">
        <f>AU28/AS28</f>
        <v>0.22909526530238994</v>
      </c>
      <c r="BV28" s="75">
        <f>AV28/AS28</f>
        <v>0.58097990837466296</v>
      </c>
      <c r="BW28" s="75">
        <f>BS28/P28</f>
        <v>0.13009708737864079</v>
      </c>
      <c r="BX28" s="75">
        <f>BS28/((10^Q28)*1000)</f>
        <v>5.8812777954586941E-2</v>
      </c>
      <c r="BY28" s="75">
        <f>AU28/BS28</f>
        <v>0.68386646358922365</v>
      </c>
      <c r="BZ28" s="75"/>
      <c r="CA28" s="75"/>
      <c r="CB28" s="75"/>
      <c r="CC28" s="75" t="s">
        <v>1784</v>
      </c>
      <c r="CD28" s="75" t="s">
        <v>539</v>
      </c>
      <c r="CE28" s="75" t="s">
        <v>539</v>
      </c>
      <c r="CF28" s="75"/>
      <c r="CG28" s="91"/>
      <c r="CH28" s="144" t="s">
        <v>6351</v>
      </c>
    </row>
    <row r="29" spans="1:86" s="70" customFormat="1" ht="11.25" customHeight="1" x14ac:dyDescent="0.2">
      <c r="A29" s="75">
        <v>542</v>
      </c>
      <c r="B29" s="75" t="s">
        <v>1701</v>
      </c>
      <c r="C29" s="75" t="s">
        <v>1702</v>
      </c>
      <c r="D29" s="75">
        <v>72208</v>
      </c>
      <c r="E29" s="75" t="s">
        <v>1703</v>
      </c>
      <c r="F29" s="75" t="s">
        <v>1704</v>
      </c>
      <c r="G29" s="75" t="s">
        <v>1705</v>
      </c>
      <c r="H29" s="75"/>
      <c r="I29" s="75" t="s">
        <v>1286</v>
      </c>
      <c r="J29" s="75" t="s">
        <v>1706</v>
      </c>
      <c r="K29" s="75" t="s">
        <v>6172</v>
      </c>
      <c r="L29" s="75" t="s">
        <v>6176</v>
      </c>
      <c r="M29" s="75" t="s">
        <v>6181</v>
      </c>
      <c r="N29" s="75" t="s">
        <v>6173</v>
      </c>
      <c r="O29" s="75">
        <v>380.91</v>
      </c>
      <c r="P29" s="75">
        <v>6.5634024678393286E-4</v>
      </c>
      <c r="Q29" s="75">
        <v>-6.5004999999999997</v>
      </c>
      <c r="R29" s="75">
        <v>5.2</v>
      </c>
      <c r="S29" s="75">
        <v>4.05</v>
      </c>
      <c r="T29" s="75">
        <v>6.3600000000000001E-6</v>
      </c>
      <c r="U29" s="75">
        <v>-3.5467989391488075</v>
      </c>
      <c r="V29" s="75">
        <v>-4.32</v>
      </c>
      <c r="W29" s="75"/>
      <c r="X29" s="75"/>
      <c r="Y29" s="75"/>
      <c r="Z29" s="75"/>
      <c r="AA29" s="75" t="s">
        <v>6312</v>
      </c>
      <c r="AB29" s="75" t="s">
        <v>6311</v>
      </c>
      <c r="AC29" s="75" t="s">
        <v>6</v>
      </c>
      <c r="AD29" s="75" t="s">
        <v>1646</v>
      </c>
      <c r="AE29" s="75">
        <v>2</v>
      </c>
      <c r="AF29" s="75">
        <v>96</v>
      </c>
      <c r="AG29" s="75">
        <v>96</v>
      </c>
      <c r="AH29" s="75">
        <v>25</v>
      </c>
      <c r="AI29" s="75" t="s">
        <v>8722</v>
      </c>
      <c r="AJ29" s="75" t="s">
        <v>1647</v>
      </c>
      <c r="AK29" s="75">
        <v>10</v>
      </c>
      <c r="AL29" s="75" t="s">
        <v>1648</v>
      </c>
      <c r="AM29" s="75" t="s">
        <v>1649</v>
      </c>
      <c r="AN29" s="75" t="s">
        <v>271</v>
      </c>
      <c r="AO29" s="75" t="s">
        <v>272</v>
      </c>
      <c r="AP29" s="75" t="s">
        <v>272</v>
      </c>
      <c r="AQ29" s="75" t="s">
        <v>272</v>
      </c>
      <c r="AR29" s="75">
        <v>1.5752165922814388E-7</v>
      </c>
      <c r="AS29" s="75">
        <v>1.837752690995012E-5</v>
      </c>
      <c r="AT29" s="75"/>
      <c r="AU29" s="75">
        <f t="shared" si="12"/>
        <v>1.0981963602641333E-3</v>
      </c>
      <c r="AV29" s="75">
        <f t="shared" si="12"/>
        <v>1.1843907311164631E-2</v>
      </c>
      <c r="AW29" s="75"/>
      <c r="AX29" s="75"/>
      <c r="AY29" s="75"/>
      <c r="AZ29" s="75"/>
      <c r="BA29" s="75">
        <v>1.8377526909950118E-6</v>
      </c>
      <c r="BB29" s="75"/>
      <c r="BC29" s="75"/>
      <c r="BD29" s="75"/>
      <c r="BE29" s="75"/>
      <c r="BF29" s="75"/>
      <c r="BG29" s="75"/>
      <c r="BH29" s="75"/>
      <c r="BI29" s="75"/>
      <c r="BJ29" s="75"/>
      <c r="BK29" s="75"/>
      <c r="BL29" s="75"/>
      <c r="BM29" s="75"/>
      <c r="BN29" s="75"/>
      <c r="BO29" s="75"/>
      <c r="BP29" s="75"/>
      <c r="BQ29" s="75"/>
      <c r="BR29" s="75"/>
      <c r="BS29" s="75">
        <f>MIN(AX29:BR29)</f>
        <v>1.8377526909950118E-6</v>
      </c>
      <c r="BT29" s="75">
        <f>LOG10(BS29)</f>
        <v>-5.7357129326466891</v>
      </c>
      <c r="BU29" s="75">
        <f>AU29/AS29</f>
        <v>59.757570517801184</v>
      </c>
      <c r="BV29" s="75">
        <f>AV29/AS29</f>
        <v>644.47775640322971</v>
      </c>
      <c r="BW29" s="75">
        <f>BS29/P29</f>
        <v>2.8E-3</v>
      </c>
      <c r="BX29" s="75">
        <f>BS29/((10^Q29)*1000)</f>
        <v>5.8181788511487732E-3</v>
      </c>
      <c r="BY29" s="75">
        <f>AU29/BS29</f>
        <v>597.57570517801196</v>
      </c>
      <c r="BZ29" s="75"/>
      <c r="CA29" s="75"/>
      <c r="CB29" s="75"/>
      <c r="CC29" s="75" t="s">
        <v>1650</v>
      </c>
      <c r="CD29" s="75" t="s">
        <v>539</v>
      </c>
      <c r="CE29" s="75" t="s">
        <v>539</v>
      </c>
      <c r="CF29" s="75"/>
      <c r="CG29" s="91"/>
      <c r="CH29" s="144" t="s">
        <v>5921</v>
      </c>
    </row>
    <row r="30" spans="1:86" s="70" customFormat="1" ht="11.25" customHeight="1" x14ac:dyDescent="0.2">
      <c r="A30" s="75">
        <v>2062</v>
      </c>
      <c r="B30" s="75" t="s">
        <v>5669</v>
      </c>
      <c r="C30" s="75" t="s">
        <v>1670</v>
      </c>
      <c r="D30" s="75">
        <v>95761</v>
      </c>
      <c r="E30" s="75" t="s">
        <v>1671</v>
      </c>
      <c r="F30" s="75" t="s">
        <v>1672</v>
      </c>
      <c r="G30" s="75" t="s">
        <v>1573</v>
      </c>
      <c r="H30" s="75" t="s">
        <v>617</v>
      </c>
      <c r="I30" s="75" t="s">
        <v>1629</v>
      </c>
      <c r="J30" s="75" t="s">
        <v>498</v>
      </c>
      <c r="K30" s="75" t="s">
        <v>6184</v>
      </c>
      <c r="L30" s="75" t="s">
        <v>6176</v>
      </c>
      <c r="M30" s="75" t="s">
        <v>6185</v>
      </c>
      <c r="N30" s="75" t="s">
        <v>6176</v>
      </c>
      <c r="O30" s="75">
        <v>162.02000000000001</v>
      </c>
      <c r="P30" s="75">
        <v>0.56783113200000002</v>
      </c>
      <c r="Q30" s="75">
        <v>-2.9607999999999999</v>
      </c>
      <c r="R30" s="75">
        <v>2.37</v>
      </c>
      <c r="S30" s="75">
        <v>2.4700000000000002</v>
      </c>
      <c r="T30" s="75">
        <v>1.4600000000000001E-5</v>
      </c>
      <c r="U30" s="75">
        <v>-3.1859031990000002</v>
      </c>
      <c r="V30" s="75">
        <v>-4.3684000000000003</v>
      </c>
      <c r="W30" s="75"/>
      <c r="X30" s="75">
        <v>2.87</v>
      </c>
      <c r="Y30" s="75"/>
      <c r="Z30" s="75">
        <v>2.9</v>
      </c>
      <c r="AA30" s="75" t="s">
        <v>6311</v>
      </c>
      <c r="AB30" s="75" t="s">
        <v>6311</v>
      </c>
      <c r="AC30" s="75" t="s">
        <v>5466</v>
      </c>
      <c r="AD30" s="75" t="s">
        <v>1646</v>
      </c>
      <c r="AE30" s="75">
        <v>0</v>
      </c>
      <c r="AF30" s="75">
        <v>120</v>
      </c>
      <c r="AG30" s="75">
        <v>120</v>
      </c>
      <c r="AH30" s="75">
        <v>26.3</v>
      </c>
      <c r="AI30" s="75" t="s">
        <v>5670</v>
      </c>
      <c r="AJ30" s="75" t="s">
        <v>5671</v>
      </c>
      <c r="AK30" s="75">
        <v>20</v>
      </c>
      <c r="AL30" s="75" t="s">
        <v>5487</v>
      </c>
      <c r="AM30" s="75" t="s">
        <v>5494</v>
      </c>
      <c r="AN30" s="75" t="s">
        <v>5598</v>
      </c>
      <c r="AO30" s="75"/>
      <c r="AP30" s="75">
        <v>7.4</v>
      </c>
      <c r="AQ30" s="75"/>
      <c r="AR30" s="75">
        <v>3.0899999999999999E-3</v>
      </c>
      <c r="AS30" s="75">
        <v>0.19800000000000001</v>
      </c>
      <c r="AT30" s="75" t="s">
        <v>5672</v>
      </c>
      <c r="AU30" s="75">
        <f t="shared" si="12"/>
        <v>0.38221083995251059</v>
      </c>
      <c r="AV30" s="75">
        <f t="shared" si="12"/>
        <v>0.31080858059114314</v>
      </c>
      <c r="AW30" s="75"/>
      <c r="AX30" s="75"/>
      <c r="AY30" s="75"/>
      <c r="AZ30" s="75"/>
      <c r="BA30" s="75"/>
      <c r="BB30" s="75">
        <v>3.6476978E-2</v>
      </c>
      <c r="BC30" s="75"/>
      <c r="BD30" s="75"/>
      <c r="BE30" s="75"/>
      <c r="BF30" s="75"/>
      <c r="BG30" s="75"/>
      <c r="BH30" s="75"/>
      <c r="BI30" s="75"/>
      <c r="BJ30" s="75"/>
      <c r="BK30" s="75"/>
      <c r="BL30" s="75"/>
      <c r="BM30" s="75"/>
      <c r="BN30" s="75"/>
      <c r="BO30" s="75"/>
      <c r="BP30" s="75"/>
      <c r="BQ30" s="75"/>
      <c r="BR30" s="75"/>
      <c r="BS30" s="75">
        <f>MIN(AX30:BR30)</f>
        <v>3.6476978E-2</v>
      </c>
      <c r="BT30" s="75">
        <f>LOG10(BS30)</f>
        <v>-1.4379811487506509</v>
      </c>
      <c r="BU30" s="75">
        <f>AU30/AS30</f>
        <v>1.9303577775379321</v>
      </c>
      <c r="BV30" s="75">
        <f>AV30/AS30</f>
        <v>1.5697403060158743</v>
      </c>
      <c r="BW30" s="75">
        <f>BS30/P30</f>
        <v>6.4239130164494049E-2</v>
      </c>
      <c r="BX30" s="75">
        <f>BS30/((10^Q30)*1000)</f>
        <v>3.3328736613546212E-2</v>
      </c>
      <c r="BY30" s="75">
        <f>AU30/BS30</f>
        <v>10.478138840133923</v>
      </c>
      <c r="BZ30" s="75">
        <v>-1.8594468109488289</v>
      </c>
      <c r="CA30" s="75">
        <f>AS30/(10^BZ30)</f>
        <v>14.325572971601913</v>
      </c>
      <c r="CB30" s="75" t="s">
        <v>5494</v>
      </c>
      <c r="CC30" s="75" t="s">
        <v>5673</v>
      </c>
      <c r="CD30" s="75" t="s">
        <v>539</v>
      </c>
      <c r="CE30" s="75" t="s">
        <v>539</v>
      </c>
      <c r="CF30" s="75"/>
      <c r="CG30" s="91"/>
      <c r="CH30" s="144" t="s">
        <v>6351</v>
      </c>
    </row>
    <row r="31" spans="1:86" s="70" customFormat="1" ht="11.25" customHeight="1" x14ac:dyDescent="0.2">
      <c r="A31" s="75">
        <v>806</v>
      </c>
      <c r="B31" s="75" t="s">
        <v>2282</v>
      </c>
      <c r="C31" s="75" t="s">
        <v>2283</v>
      </c>
      <c r="D31" s="75">
        <v>108883</v>
      </c>
      <c r="E31" s="75" t="s">
        <v>2284</v>
      </c>
      <c r="F31" s="75" t="s">
        <v>2285</v>
      </c>
      <c r="G31" s="75" t="s">
        <v>426</v>
      </c>
      <c r="H31" s="75" t="s">
        <v>5527</v>
      </c>
      <c r="I31" s="75" t="s">
        <v>866</v>
      </c>
      <c r="J31" s="75" t="s">
        <v>6086</v>
      </c>
      <c r="K31" s="75" t="s">
        <v>6183</v>
      </c>
      <c r="L31" s="75" t="s">
        <v>6176</v>
      </c>
      <c r="M31" s="75" t="s">
        <v>6185</v>
      </c>
      <c r="N31" s="75" t="s">
        <v>6182</v>
      </c>
      <c r="O31" s="75">
        <v>92.14</v>
      </c>
      <c r="P31" s="75">
        <v>5.708134199754312</v>
      </c>
      <c r="Q31" s="75">
        <v>-2.3003999999999998</v>
      </c>
      <c r="R31" s="75">
        <v>2.73</v>
      </c>
      <c r="S31" s="75">
        <v>2.27</v>
      </c>
      <c r="T31" s="75">
        <v>6.6400000000000001E-3</v>
      </c>
      <c r="U31" s="75">
        <v>-0.52808797542920383</v>
      </c>
      <c r="V31" s="75">
        <v>-0.56499999999999995</v>
      </c>
      <c r="W31" s="75"/>
      <c r="X31" s="75"/>
      <c r="Y31" s="75"/>
      <c r="Z31" s="75"/>
      <c r="AA31" s="75" t="s">
        <v>6311</v>
      </c>
      <c r="AB31" s="75" t="s">
        <v>6311</v>
      </c>
      <c r="AC31" s="75" t="s">
        <v>6</v>
      </c>
      <c r="AD31" s="75" t="s">
        <v>1646</v>
      </c>
      <c r="AE31" s="75">
        <v>0</v>
      </c>
      <c r="AF31" s="75">
        <v>96</v>
      </c>
      <c r="AG31" s="75">
        <v>96</v>
      </c>
      <c r="AH31" s="75">
        <v>25</v>
      </c>
      <c r="AI31" s="75" t="s">
        <v>8722</v>
      </c>
      <c r="AJ31" s="75" t="s">
        <v>2286</v>
      </c>
      <c r="AK31" s="75" t="s">
        <v>2287</v>
      </c>
      <c r="AL31" s="75" t="s">
        <v>2288</v>
      </c>
      <c r="AM31" s="75" t="s">
        <v>2264</v>
      </c>
      <c r="AN31" s="75" t="s">
        <v>2289</v>
      </c>
      <c r="AO31" s="75" t="s">
        <v>8722</v>
      </c>
      <c r="AP31" s="75" t="s">
        <v>1974</v>
      </c>
      <c r="AQ31" s="75" t="s">
        <v>272</v>
      </c>
      <c r="AR31" s="75">
        <v>4.3407864636914921E-2</v>
      </c>
      <c r="AS31" s="75">
        <v>1.3022359391074476</v>
      </c>
      <c r="AT31" s="75" t="s">
        <v>2290</v>
      </c>
      <c r="AU31" s="75">
        <f t="shared" si="12"/>
        <v>0.18154613186555818</v>
      </c>
      <c r="AV31" s="75">
        <f t="shared" si="12"/>
        <v>0.47001638725467887</v>
      </c>
      <c r="AW31" s="75" t="s">
        <v>1640</v>
      </c>
      <c r="AX31" s="75"/>
      <c r="AY31" s="75"/>
      <c r="AZ31" s="75"/>
      <c r="BA31" s="75">
        <f>(72+66+59+55)/4/92.1492</f>
        <v>0.68367386803140995</v>
      </c>
      <c r="BB31" s="75"/>
      <c r="BC31" s="75"/>
      <c r="BD31" s="75"/>
      <c r="BE31" s="75"/>
      <c r="BF31" s="75"/>
      <c r="BG31" s="75"/>
      <c r="BH31" s="75"/>
      <c r="BI31" s="75"/>
      <c r="BJ31" s="75"/>
      <c r="BK31" s="75"/>
      <c r="BL31" s="75"/>
      <c r="BM31" s="75"/>
      <c r="BN31" s="75"/>
      <c r="BO31" s="75"/>
      <c r="BP31" s="75"/>
      <c r="BQ31" s="75"/>
      <c r="BR31" s="75"/>
      <c r="BS31" s="75">
        <f>MIN(AX31:BR31)</f>
        <v>0.68367386803140995</v>
      </c>
      <c r="BT31" s="75">
        <f>LOG10(BS31)</f>
        <v>-0.16515101975866053</v>
      </c>
      <c r="BU31" s="75">
        <f>AU31/AS31</f>
        <v>0.13941109012088077</v>
      </c>
      <c r="BV31" s="75">
        <f>AV31/AS31</f>
        <v>0.36093028393674043</v>
      </c>
      <c r="BW31" s="75">
        <f>BS31/P31</f>
        <v>0.11977186311787072</v>
      </c>
      <c r="BX31" s="75">
        <f>BS31/((10^Q31)*1000)</f>
        <v>0.13653656739263678</v>
      </c>
      <c r="BY31" s="75">
        <f>AU31/BS31</f>
        <v>0.26554493356358244</v>
      </c>
      <c r="BZ31" s="75"/>
      <c r="CA31" s="75"/>
      <c r="CB31" s="75"/>
      <c r="CC31" s="75" t="s">
        <v>2291</v>
      </c>
      <c r="CD31" s="75" t="s">
        <v>539</v>
      </c>
      <c r="CE31" s="75" t="s">
        <v>539</v>
      </c>
      <c r="CF31" s="75"/>
      <c r="CG31" s="91"/>
      <c r="CH31" s="144" t="s">
        <v>6351</v>
      </c>
    </row>
  </sheetData>
  <mergeCells count="20">
    <mergeCell ref="AU1:AV1"/>
    <mergeCell ref="BU1:BV1"/>
    <mergeCell ref="BW1:BW2"/>
    <mergeCell ref="CH1:CH2"/>
    <mergeCell ref="CD1:CG1"/>
    <mergeCell ref="CB1:CB2"/>
    <mergeCell ref="CC1:CC2"/>
    <mergeCell ref="BX1:BX2"/>
    <mergeCell ref="AR1:AS1"/>
    <mergeCell ref="AT1:AT2"/>
    <mergeCell ref="AH1:AQ1"/>
    <mergeCell ref="A1:A2"/>
    <mergeCell ref="B1:G1"/>
    <mergeCell ref="K1:L1"/>
    <mergeCell ref="M1:N1"/>
    <mergeCell ref="AA1:AB1"/>
    <mergeCell ref="AD1:AD2"/>
    <mergeCell ref="AE1:AE2"/>
    <mergeCell ref="AF1:AF2"/>
    <mergeCell ref="AG1:AG2"/>
  </mergeCells>
  <pageMargins left="0.7" right="0.7" top="0.78740157499999996" bottom="0.78740157499999996"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F1000"/>
  <sheetViews>
    <sheetView workbookViewId="0">
      <selection activeCell="B2" sqref="B2"/>
    </sheetView>
  </sheetViews>
  <sheetFormatPr defaultColWidth="17.28515625" defaultRowHeight="15" customHeight="1" x14ac:dyDescent="0.2"/>
  <cols>
    <col min="1" max="1" width="11.42578125" customWidth="1"/>
    <col min="2" max="2" width="76.7109375" customWidth="1"/>
    <col min="3" max="6" width="9.140625" customWidth="1"/>
  </cols>
  <sheetData>
    <row r="1" spans="1:6" ht="30" customHeight="1" x14ac:dyDescent="0.2">
      <c r="A1" s="1"/>
      <c r="B1" s="2" t="s">
        <v>1</v>
      </c>
      <c r="C1" s="1"/>
      <c r="D1" s="1"/>
      <c r="E1" s="1"/>
      <c r="F1" s="1"/>
    </row>
    <row r="2" spans="1:6" ht="15" customHeight="1" x14ac:dyDescent="0.2">
      <c r="A2" s="4"/>
      <c r="B2" s="5"/>
      <c r="C2" s="4"/>
      <c r="D2" s="4"/>
      <c r="E2" s="4"/>
      <c r="F2" s="4"/>
    </row>
    <row r="3" spans="1:6" ht="18" customHeight="1" x14ac:dyDescent="0.2">
      <c r="A3" s="4" t="s">
        <v>3</v>
      </c>
      <c r="B3" s="5" t="s">
        <v>4</v>
      </c>
      <c r="C3" s="4"/>
      <c r="D3" s="4" t="s">
        <v>5</v>
      </c>
      <c r="E3" s="4"/>
      <c r="F3" s="4"/>
    </row>
    <row r="4" spans="1:6" ht="18" customHeight="1" x14ac:dyDescent="0.2">
      <c r="A4" s="4" t="s">
        <v>6</v>
      </c>
      <c r="B4" s="5" t="s">
        <v>7</v>
      </c>
      <c r="C4" s="4"/>
      <c r="D4" s="8" t="str">
        <f>HYPERLINK("http://chem.sis.nlm.nih.gov/chemidplus/","http://chem.sis.nlm.nih.gov/chemidplus/")</f>
        <v>http://chem.sis.nlm.nih.gov/chemidplus/</v>
      </c>
      <c r="E4" s="4"/>
      <c r="F4" s="4"/>
    </row>
    <row r="5" spans="1:6" ht="18" customHeight="1" x14ac:dyDescent="0.2">
      <c r="A5" s="4" t="s">
        <v>46</v>
      </c>
      <c r="B5" s="5" t="s">
        <v>47</v>
      </c>
      <c r="C5" s="4"/>
      <c r="D5" s="9" t="str">
        <f>HYPERLINK("http://www.syrres.com/what-we-do/databaseforms.aspx?id=386","http://www.syrres.com/what-we-do/databaseforms.aspx?id=386")</f>
        <v>http://www.syrres.com/what-we-do/databaseforms.aspx?id=386</v>
      </c>
      <c r="E5" s="4"/>
      <c r="F5" s="4"/>
    </row>
    <row r="6" spans="1:6" ht="18" customHeight="1" x14ac:dyDescent="0.2">
      <c r="A6" s="4" t="s">
        <v>55</v>
      </c>
      <c r="B6" s="5" t="s">
        <v>57</v>
      </c>
      <c r="C6" s="4"/>
      <c r="D6" s="4" t="s">
        <v>58</v>
      </c>
      <c r="E6" s="4"/>
      <c r="F6" s="4"/>
    </row>
    <row r="7" spans="1:6" ht="18" customHeight="1" x14ac:dyDescent="0.2">
      <c r="A7" s="4" t="s">
        <v>60</v>
      </c>
      <c r="B7" s="5" t="s">
        <v>61</v>
      </c>
      <c r="C7" s="4"/>
      <c r="D7" s="4"/>
      <c r="E7" s="4"/>
      <c r="F7" s="4"/>
    </row>
    <row r="8" spans="1:6" ht="18" customHeight="1" x14ac:dyDescent="0.2">
      <c r="A8" s="4" t="s">
        <v>63</v>
      </c>
      <c r="B8" s="10" t="s">
        <v>64</v>
      </c>
      <c r="C8" s="4"/>
      <c r="D8" s="4"/>
    </row>
    <row r="9" spans="1:6" ht="18" customHeight="1" x14ac:dyDescent="0.2">
      <c r="A9" s="4" t="s">
        <v>69</v>
      </c>
      <c r="B9" s="5" t="s">
        <v>71</v>
      </c>
      <c r="C9" s="4"/>
      <c r="D9" s="4"/>
      <c r="E9" s="4"/>
      <c r="F9" s="4"/>
    </row>
    <row r="10" spans="1:6" ht="30" customHeight="1" x14ac:dyDescent="0.2">
      <c r="A10" s="4" t="s">
        <v>72</v>
      </c>
      <c r="B10" s="10" t="s">
        <v>74</v>
      </c>
      <c r="C10" s="4"/>
      <c r="D10" s="4"/>
      <c r="E10" s="4"/>
      <c r="F10" s="4"/>
    </row>
    <row r="11" spans="1:6" ht="39.75" customHeight="1" x14ac:dyDescent="0.2">
      <c r="A11" s="4" t="s">
        <v>75</v>
      </c>
      <c r="B11" s="10" t="s">
        <v>77</v>
      </c>
      <c r="C11" s="4"/>
      <c r="D11" s="4"/>
      <c r="E11" s="4"/>
      <c r="F11" s="4"/>
    </row>
    <row r="12" spans="1:6" ht="39.75" customHeight="1" x14ac:dyDescent="0.2">
      <c r="A12" s="4" t="s">
        <v>78</v>
      </c>
      <c r="B12" s="10" t="s">
        <v>80</v>
      </c>
      <c r="C12" s="4"/>
      <c r="D12" s="4"/>
      <c r="E12" s="4"/>
      <c r="F12" s="4"/>
    </row>
    <row r="13" spans="1:6" ht="39.75" customHeight="1" x14ac:dyDescent="0.2">
      <c r="A13" s="4" t="s">
        <v>81</v>
      </c>
      <c r="B13" s="10" t="s">
        <v>83</v>
      </c>
      <c r="C13" s="4"/>
      <c r="D13" s="4"/>
      <c r="E13" s="4"/>
      <c r="F13" s="4"/>
    </row>
    <row r="14" spans="1:6" ht="39.75" customHeight="1" x14ac:dyDescent="0.2">
      <c r="A14" s="4" t="s">
        <v>85</v>
      </c>
      <c r="B14" s="10" t="s">
        <v>86</v>
      </c>
      <c r="C14" s="4"/>
      <c r="D14" s="4"/>
      <c r="E14" s="4"/>
      <c r="F14" s="4"/>
    </row>
    <row r="15" spans="1:6" ht="39.75" customHeight="1" x14ac:dyDescent="0.2">
      <c r="A15" s="4" t="s">
        <v>87</v>
      </c>
      <c r="B15" s="10" t="s">
        <v>12</v>
      </c>
      <c r="C15" s="4"/>
      <c r="D15" s="4"/>
      <c r="E15" s="4"/>
      <c r="F15" s="4"/>
    </row>
    <row r="16" spans="1:6" ht="53.25" customHeight="1" x14ac:dyDescent="0.2">
      <c r="A16" s="4" t="s">
        <v>90</v>
      </c>
      <c r="B16" s="10" t="s">
        <v>91</v>
      </c>
      <c r="C16" s="4"/>
      <c r="D16" s="4"/>
      <c r="E16" s="4"/>
      <c r="F16" s="4"/>
    </row>
    <row r="17" spans="1:6" ht="27" customHeight="1" x14ac:dyDescent="0.2">
      <c r="A17" s="4" t="s">
        <v>93</v>
      </c>
      <c r="B17" s="10" t="s">
        <v>94</v>
      </c>
      <c r="C17" s="4"/>
      <c r="D17" s="4"/>
      <c r="E17" s="4"/>
      <c r="F17" s="4"/>
    </row>
    <row r="18" spans="1:6" ht="39.75" customHeight="1" x14ac:dyDescent="0.2">
      <c r="A18" s="4" t="s">
        <v>96</v>
      </c>
      <c r="B18" s="10" t="s">
        <v>100</v>
      </c>
      <c r="C18" s="4"/>
      <c r="D18" s="4"/>
      <c r="E18" s="4"/>
      <c r="F18" s="4"/>
    </row>
    <row r="19" spans="1:6" ht="39" customHeight="1" x14ac:dyDescent="0.2">
      <c r="A19" s="4" t="s">
        <v>102</v>
      </c>
      <c r="B19" s="10" t="s">
        <v>103</v>
      </c>
      <c r="C19" s="4"/>
      <c r="D19" s="4"/>
      <c r="E19" s="4"/>
      <c r="F19" s="4"/>
    </row>
    <row r="20" spans="1:6" ht="30" customHeight="1" x14ac:dyDescent="0.2">
      <c r="A20" s="4" t="s">
        <v>105</v>
      </c>
      <c r="B20" s="10" t="s">
        <v>106</v>
      </c>
      <c r="C20" s="4"/>
      <c r="D20" s="4"/>
      <c r="E20" s="4"/>
      <c r="F20" s="4"/>
    </row>
    <row r="21" spans="1:6" ht="16.5" customHeight="1" x14ac:dyDescent="0.2">
      <c r="A21" s="4" t="s">
        <v>107</v>
      </c>
      <c r="B21" s="10" t="s">
        <v>108</v>
      </c>
      <c r="C21" s="4"/>
      <c r="D21" s="4"/>
      <c r="E21" s="4"/>
      <c r="F21" s="4"/>
    </row>
    <row r="22" spans="1:6" ht="39" customHeight="1" x14ac:dyDescent="0.2">
      <c r="A22" s="4" t="s">
        <v>109</v>
      </c>
      <c r="B22" s="10" t="s">
        <v>111</v>
      </c>
      <c r="C22" s="4"/>
      <c r="D22" s="4"/>
      <c r="E22" s="4"/>
      <c r="F22" s="4"/>
    </row>
    <row r="23" spans="1:6" ht="30" customHeight="1" x14ac:dyDescent="0.2">
      <c r="A23" s="4" t="s">
        <v>112</v>
      </c>
      <c r="B23" s="10" t="s">
        <v>114</v>
      </c>
      <c r="C23" s="4"/>
      <c r="D23" s="4"/>
      <c r="E23" s="4"/>
      <c r="F23" s="4"/>
    </row>
    <row r="24" spans="1:6" ht="39" customHeight="1" x14ac:dyDescent="0.2">
      <c r="A24" s="4" t="s">
        <v>115</v>
      </c>
      <c r="B24" s="10" t="s">
        <v>116</v>
      </c>
      <c r="C24" s="4"/>
      <c r="D24" s="4"/>
      <c r="E24" s="4"/>
      <c r="F24" s="4"/>
    </row>
    <row r="25" spans="1:6" ht="13.5" customHeight="1" x14ac:dyDescent="0.2">
      <c r="A25" s="4" t="s">
        <v>118</v>
      </c>
      <c r="B25" s="10" t="s">
        <v>47</v>
      </c>
      <c r="C25" s="4"/>
      <c r="D25" s="4" t="s">
        <v>119</v>
      </c>
      <c r="E25" s="4"/>
      <c r="F25" s="4"/>
    </row>
    <row r="26" spans="1:6" ht="51.75" customHeight="1" x14ac:dyDescent="0.2">
      <c r="A26" s="4" t="s">
        <v>120</v>
      </c>
      <c r="B26" s="10" t="s">
        <v>122</v>
      </c>
      <c r="C26" s="4"/>
      <c r="D26" s="5" t="s">
        <v>123</v>
      </c>
      <c r="E26" s="4" t="s">
        <v>124</v>
      </c>
      <c r="F26" s="4"/>
    </row>
    <row r="27" spans="1:6" ht="30" customHeight="1" x14ac:dyDescent="0.2">
      <c r="A27" s="4" t="s">
        <v>125</v>
      </c>
      <c r="B27" s="13" t="s">
        <v>127</v>
      </c>
      <c r="C27" s="4"/>
      <c r="D27" s="4"/>
      <c r="E27" s="4"/>
      <c r="F27" s="4"/>
    </row>
    <row r="28" spans="1:6" ht="30" customHeight="1" x14ac:dyDescent="0.2">
      <c r="A28" s="4" t="s">
        <v>135</v>
      </c>
      <c r="B28" s="14" t="s">
        <v>136</v>
      </c>
      <c r="C28" s="4"/>
      <c r="D28" s="4"/>
      <c r="E28" s="4"/>
      <c r="F28" s="4"/>
    </row>
    <row r="29" spans="1:6" ht="30" customHeight="1" x14ac:dyDescent="0.2">
      <c r="A29" s="4" t="s">
        <v>145</v>
      </c>
      <c r="B29" s="14" t="s">
        <v>147</v>
      </c>
      <c r="C29" s="4"/>
      <c r="D29" s="4"/>
      <c r="E29" s="4"/>
      <c r="F29" s="4"/>
    </row>
    <row r="30" spans="1:6" ht="30" customHeight="1" x14ac:dyDescent="0.2">
      <c r="A30" s="4" t="s">
        <v>148</v>
      </c>
      <c r="B30" s="14" t="s">
        <v>151</v>
      </c>
      <c r="C30" s="4"/>
      <c r="D30" s="4"/>
      <c r="E30" s="4"/>
      <c r="F30" s="4"/>
    </row>
    <row r="31" spans="1:6" ht="30" customHeight="1" x14ac:dyDescent="0.2">
      <c r="A31" s="4" t="s">
        <v>152</v>
      </c>
      <c r="B31" s="14" t="s">
        <v>153</v>
      </c>
      <c r="C31" s="4"/>
      <c r="D31" s="4"/>
      <c r="E31" s="4"/>
      <c r="F31" s="4"/>
    </row>
    <row r="32" spans="1:6" ht="30" customHeight="1" x14ac:dyDescent="0.2">
      <c r="A32" s="15" t="s">
        <v>155</v>
      </c>
      <c r="B32" s="16" t="s">
        <v>169</v>
      </c>
      <c r="C32" s="17" t="s">
        <v>173</v>
      </c>
      <c r="D32" s="18"/>
      <c r="E32" s="4"/>
      <c r="F32" s="4"/>
    </row>
    <row r="33" spans="1:6" ht="21" customHeight="1" x14ac:dyDescent="0.2">
      <c r="A33" s="16" t="s">
        <v>194</v>
      </c>
      <c r="B33" s="16" t="s">
        <v>195</v>
      </c>
      <c r="C33" s="19"/>
      <c r="D33" s="19"/>
      <c r="E33" s="18"/>
      <c r="F33" s="20"/>
    </row>
    <row r="34" spans="1:6" ht="12.75" x14ac:dyDescent="0.2">
      <c r="A34" s="3"/>
      <c r="B34" s="3"/>
      <c r="C34" s="3"/>
      <c r="D34" s="3"/>
      <c r="E34" s="3"/>
      <c r="F34" s="3"/>
    </row>
    <row r="35" spans="1:6" ht="12.75" x14ac:dyDescent="0.2">
      <c r="A35" s="3"/>
      <c r="B35" s="3"/>
      <c r="C35" s="3"/>
      <c r="D35" s="3"/>
      <c r="E35" s="3"/>
      <c r="F35" s="3"/>
    </row>
    <row r="36" spans="1:6" ht="12.75" x14ac:dyDescent="0.2">
      <c r="A36" s="3"/>
      <c r="B36" s="3"/>
      <c r="C36" s="3"/>
      <c r="D36" s="3"/>
      <c r="E36" s="3"/>
      <c r="F36" s="3"/>
    </row>
    <row r="37" spans="1:6" ht="12.75" x14ac:dyDescent="0.2">
      <c r="A37" s="3"/>
      <c r="B37" s="3"/>
      <c r="C37" s="3"/>
      <c r="D37" s="3"/>
      <c r="E37" s="3"/>
      <c r="F37" s="3"/>
    </row>
    <row r="38" spans="1:6" ht="12.75" x14ac:dyDescent="0.2">
      <c r="A38" s="3"/>
      <c r="B38" s="3"/>
      <c r="C38" s="3"/>
      <c r="D38" s="3"/>
      <c r="E38" s="3"/>
      <c r="F38" s="3"/>
    </row>
    <row r="39" spans="1:6" ht="12.75" x14ac:dyDescent="0.2">
      <c r="A39" s="3"/>
      <c r="B39" s="3"/>
      <c r="C39" s="3"/>
      <c r="D39" s="3"/>
      <c r="E39" s="3"/>
      <c r="F39" s="3"/>
    </row>
    <row r="40" spans="1:6" ht="12.75" x14ac:dyDescent="0.2">
      <c r="A40" s="3"/>
      <c r="B40" s="3"/>
      <c r="C40" s="3"/>
      <c r="D40" s="3"/>
      <c r="E40" s="3"/>
      <c r="F40" s="3"/>
    </row>
    <row r="41" spans="1:6" ht="12.75" x14ac:dyDescent="0.2">
      <c r="A41" s="3"/>
      <c r="B41" s="3"/>
      <c r="C41" s="3"/>
      <c r="D41" s="3"/>
      <c r="E41" s="3"/>
      <c r="F41" s="3"/>
    </row>
    <row r="42" spans="1:6" ht="12.75" x14ac:dyDescent="0.2">
      <c r="A42" s="3"/>
      <c r="B42" s="3"/>
      <c r="C42" s="3"/>
      <c r="D42" s="3"/>
      <c r="E42" s="3"/>
      <c r="F42" s="3"/>
    </row>
    <row r="43" spans="1:6" ht="12.75" x14ac:dyDescent="0.2">
      <c r="A43" s="3"/>
      <c r="B43" s="3"/>
      <c r="C43" s="3"/>
      <c r="D43" s="3"/>
      <c r="E43" s="3"/>
      <c r="F43" s="3"/>
    </row>
    <row r="44" spans="1:6" ht="12.75" x14ac:dyDescent="0.2">
      <c r="A44" s="3"/>
      <c r="B44" s="3"/>
      <c r="C44" s="3"/>
      <c r="D44" s="3"/>
      <c r="E44" s="3"/>
      <c r="F44" s="3"/>
    </row>
    <row r="45" spans="1:6" ht="12.75" x14ac:dyDescent="0.2">
      <c r="A45" s="3"/>
      <c r="B45" s="3"/>
      <c r="C45" s="3"/>
      <c r="D45" s="3"/>
      <c r="E45" s="3"/>
      <c r="F45" s="3"/>
    </row>
    <row r="46" spans="1:6" ht="12.75" x14ac:dyDescent="0.2">
      <c r="A46" s="3"/>
      <c r="B46" s="3"/>
      <c r="C46" s="3"/>
      <c r="D46" s="3"/>
      <c r="E46" s="3"/>
      <c r="F46" s="3"/>
    </row>
    <row r="47" spans="1:6" ht="12.75" x14ac:dyDescent="0.2">
      <c r="A47" s="3"/>
      <c r="B47" s="3"/>
      <c r="C47" s="3"/>
      <c r="D47" s="3"/>
      <c r="E47" s="3"/>
      <c r="F47" s="3"/>
    </row>
    <row r="48" spans="1:6" ht="12.75" x14ac:dyDescent="0.2">
      <c r="A48" s="3"/>
      <c r="B48" s="3"/>
      <c r="C48" s="3"/>
      <c r="D48" s="3"/>
      <c r="E48" s="3"/>
      <c r="F48" s="3"/>
    </row>
    <row r="49" spans="1:6" ht="12.75" x14ac:dyDescent="0.2">
      <c r="A49" s="3"/>
      <c r="B49" s="3"/>
      <c r="C49" s="3"/>
      <c r="D49" s="3"/>
      <c r="E49" s="3"/>
      <c r="F49" s="3"/>
    </row>
    <row r="50" spans="1:6" ht="12.75" x14ac:dyDescent="0.2">
      <c r="A50" s="3"/>
      <c r="B50" s="3"/>
      <c r="C50" s="3"/>
      <c r="D50" s="3"/>
      <c r="E50" s="3"/>
      <c r="F50" s="3"/>
    </row>
    <row r="51" spans="1:6" ht="12.75" x14ac:dyDescent="0.2">
      <c r="A51" s="3"/>
      <c r="B51" s="3"/>
      <c r="C51" s="3"/>
      <c r="D51" s="3"/>
      <c r="E51" s="3"/>
      <c r="F51" s="3"/>
    </row>
    <row r="52" spans="1:6" ht="12.75" x14ac:dyDescent="0.2">
      <c r="A52" s="3"/>
      <c r="B52" s="3"/>
      <c r="C52" s="3"/>
      <c r="D52" s="3"/>
      <c r="E52" s="3"/>
      <c r="F52" s="3"/>
    </row>
    <row r="53" spans="1:6" ht="12.75" x14ac:dyDescent="0.2">
      <c r="A53" s="3"/>
      <c r="B53" s="3"/>
      <c r="C53" s="3"/>
      <c r="D53" s="3"/>
      <c r="E53" s="3"/>
      <c r="F53" s="3"/>
    </row>
    <row r="54" spans="1:6" ht="12.75" x14ac:dyDescent="0.2">
      <c r="A54" s="3"/>
      <c r="B54" s="3"/>
      <c r="C54" s="3"/>
      <c r="D54" s="3"/>
      <c r="E54" s="3"/>
      <c r="F54" s="3"/>
    </row>
    <row r="55" spans="1:6" ht="12.75" x14ac:dyDescent="0.2">
      <c r="A55" s="3"/>
      <c r="B55" s="3"/>
      <c r="C55" s="3"/>
      <c r="D55" s="3"/>
      <c r="E55" s="3"/>
      <c r="F55" s="3"/>
    </row>
    <row r="56" spans="1:6" ht="12.75" x14ac:dyDescent="0.2">
      <c r="A56" s="3"/>
      <c r="B56" s="3"/>
      <c r="C56" s="3"/>
      <c r="D56" s="3"/>
      <c r="E56" s="3"/>
      <c r="F56" s="3"/>
    </row>
    <row r="57" spans="1:6" ht="12.75" x14ac:dyDescent="0.2">
      <c r="A57" s="3"/>
      <c r="B57" s="3"/>
      <c r="C57" s="3"/>
      <c r="D57" s="3"/>
      <c r="E57" s="3"/>
      <c r="F57" s="3"/>
    </row>
    <row r="58" spans="1:6" ht="12.75" x14ac:dyDescent="0.2">
      <c r="A58" s="3"/>
      <c r="B58" s="3"/>
      <c r="C58" s="3"/>
      <c r="D58" s="3"/>
      <c r="E58" s="3"/>
      <c r="F58" s="3"/>
    </row>
    <row r="59" spans="1:6" ht="12.75" x14ac:dyDescent="0.2">
      <c r="A59" s="3"/>
      <c r="B59" s="3"/>
      <c r="C59" s="3"/>
      <c r="D59" s="3"/>
      <c r="E59" s="3"/>
      <c r="F59" s="3"/>
    </row>
    <row r="60" spans="1:6" ht="12.75" x14ac:dyDescent="0.2">
      <c r="A60" s="3"/>
      <c r="B60" s="3"/>
      <c r="C60" s="3"/>
      <c r="D60" s="3"/>
      <c r="E60" s="3"/>
      <c r="F60" s="3"/>
    </row>
    <row r="61" spans="1:6" ht="12.75" x14ac:dyDescent="0.2">
      <c r="A61" s="3"/>
      <c r="B61" s="3"/>
      <c r="C61" s="3"/>
      <c r="D61" s="3"/>
      <c r="E61" s="3"/>
      <c r="F61" s="3"/>
    </row>
    <row r="62" spans="1:6" ht="12.75" x14ac:dyDescent="0.2">
      <c r="A62" s="3"/>
      <c r="B62" s="3"/>
      <c r="C62" s="3"/>
      <c r="D62" s="3"/>
      <c r="E62" s="3"/>
      <c r="F62" s="3"/>
    </row>
    <row r="63" spans="1:6" ht="12.75" x14ac:dyDescent="0.2">
      <c r="A63" s="3"/>
      <c r="B63" s="3"/>
      <c r="C63" s="3"/>
      <c r="D63" s="3"/>
      <c r="E63" s="3"/>
      <c r="F63" s="3"/>
    </row>
    <row r="64" spans="1:6" ht="12.75" x14ac:dyDescent="0.2">
      <c r="A64" s="3"/>
      <c r="B64" s="3"/>
      <c r="C64" s="3"/>
      <c r="D64" s="3"/>
      <c r="E64" s="3"/>
      <c r="F64" s="3"/>
    </row>
    <row r="65" spans="1:6" ht="12.75" x14ac:dyDescent="0.2">
      <c r="A65" s="3"/>
      <c r="B65" s="3"/>
      <c r="C65" s="3"/>
      <c r="D65" s="3"/>
      <c r="E65" s="3"/>
      <c r="F65" s="3"/>
    </row>
    <row r="66" spans="1:6" ht="12.75" x14ac:dyDescent="0.2">
      <c r="A66" s="3"/>
      <c r="B66" s="3"/>
      <c r="C66" s="3"/>
      <c r="D66" s="3"/>
      <c r="E66" s="3"/>
      <c r="F66" s="3"/>
    </row>
    <row r="67" spans="1:6" ht="12.75" x14ac:dyDescent="0.2">
      <c r="A67" s="3"/>
      <c r="B67" s="3"/>
      <c r="C67" s="3"/>
      <c r="D67" s="3"/>
      <c r="E67" s="3"/>
      <c r="F67" s="3"/>
    </row>
    <row r="68" spans="1:6" ht="12.75" x14ac:dyDescent="0.2">
      <c r="A68" s="3"/>
      <c r="B68" s="3"/>
      <c r="C68" s="3"/>
      <c r="D68" s="3"/>
      <c r="E68" s="3"/>
      <c r="F68" s="3"/>
    </row>
    <row r="69" spans="1:6" ht="12.75" x14ac:dyDescent="0.2">
      <c r="A69" s="3"/>
      <c r="B69" s="3"/>
      <c r="C69" s="3"/>
      <c r="D69" s="3"/>
      <c r="E69" s="3"/>
      <c r="F69" s="3"/>
    </row>
    <row r="70" spans="1:6" ht="12.75" x14ac:dyDescent="0.2">
      <c r="A70" s="3"/>
      <c r="B70" s="3"/>
      <c r="C70" s="3"/>
      <c r="D70" s="3"/>
      <c r="E70" s="3"/>
      <c r="F70" s="3"/>
    </row>
    <row r="71" spans="1:6" ht="12.75" x14ac:dyDescent="0.2">
      <c r="A71" s="3"/>
      <c r="B71" s="3"/>
      <c r="C71" s="3"/>
      <c r="D71" s="3"/>
      <c r="E71" s="3"/>
      <c r="F71" s="3"/>
    </row>
    <row r="72" spans="1:6" ht="12.75" x14ac:dyDescent="0.2">
      <c r="A72" s="3"/>
      <c r="B72" s="3"/>
      <c r="C72" s="3"/>
      <c r="D72" s="3"/>
      <c r="E72" s="3"/>
      <c r="F72" s="3"/>
    </row>
    <row r="73" spans="1:6" ht="12.75" x14ac:dyDescent="0.2">
      <c r="A73" s="3"/>
      <c r="B73" s="3"/>
      <c r="C73" s="3"/>
      <c r="D73" s="3"/>
      <c r="E73" s="3"/>
      <c r="F73" s="3"/>
    </row>
    <row r="74" spans="1:6" ht="12.75" x14ac:dyDescent="0.2">
      <c r="A74" s="3"/>
      <c r="B74" s="3"/>
      <c r="C74" s="3"/>
      <c r="D74" s="3"/>
      <c r="E74" s="3"/>
      <c r="F74" s="3"/>
    </row>
    <row r="75" spans="1:6" ht="12.75" x14ac:dyDescent="0.2">
      <c r="A75" s="3"/>
      <c r="B75" s="3"/>
      <c r="C75" s="3"/>
      <c r="D75" s="3"/>
      <c r="E75" s="3"/>
      <c r="F75" s="3"/>
    </row>
    <row r="76" spans="1:6" ht="12.75" x14ac:dyDescent="0.2">
      <c r="A76" s="3"/>
      <c r="B76" s="3"/>
      <c r="C76" s="3"/>
      <c r="D76" s="3"/>
      <c r="E76" s="3"/>
      <c r="F76" s="3"/>
    </row>
    <row r="77" spans="1:6" ht="12.75" x14ac:dyDescent="0.2">
      <c r="A77" s="3"/>
      <c r="B77" s="3"/>
      <c r="C77" s="3"/>
      <c r="D77" s="3"/>
      <c r="E77" s="3"/>
      <c r="F77" s="3"/>
    </row>
    <row r="78" spans="1:6" ht="12.75" x14ac:dyDescent="0.2">
      <c r="A78" s="3"/>
      <c r="B78" s="3"/>
      <c r="C78" s="3"/>
      <c r="D78" s="3"/>
      <c r="E78" s="3"/>
      <c r="F78" s="3"/>
    </row>
    <row r="79" spans="1:6" ht="12.75" x14ac:dyDescent="0.2">
      <c r="A79" s="3"/>
      <c r="B79" s="3"/>
      <c r="C79" s="3"/>
      <c r="D79" s="3"/>
      <c r="E79" s="3"/>
      <c r="F79" s="3"/>
    </row>
    <row r="80" spans="1:6" ht="12.75" x14ac:dyDescent="0.2">
      <c r="A80" s="3"/>
      <c r="B80" s="3"/>
      <c r="C80" s="3"/>
      <c r="D80" s="3"/>
      <c r="E80" s="3"/>
      <c r="F80" s="3"/>
    </row>
    <row r="81" spans="1:6" ht="12.75" x14ac:dyDescent="0.2">
      <c r="A81" s="3"/>
      <c r="B81" s="3"/>
      <c r="C81" s="3"/>
      <c r="D81" s="3"/>
      <c r="E81" s="3"/>
      <c r="F81" s="3"/>
    </row>
    <row r="82" spans="1:6" ht="12.75" x14ac:dyDescent="0.2">
      <c r="A82" s="3"/>
      <c r="B82" s="3"/>
      <c r="C82" s="3"/>
      <c r="D82" s="3"/>
      <c r="E82" s="3"/>
      <c r="F82" s="3"/>
    </row>
    <row r="83" spans="1:6" ht="12.75" x14ac:dyDescent="0.2">
      <c r="A83" s="3"/>
      <c r="B83" s="3"/>
      <c r="C83" s="3"/>
      <c r="D83" s="3"/>
      <c r="E83" s="3"/>
      <c r="F83" s="3"/>
    </row>
    <row r="84" spans="1:6" ht="12.75" x14ac:dyDescent="0.2">
      <c r="A84" s="3"/>
      <c r="B84" s="3"/>
      <c r="C84" s="3"/>
      <c r="D84" s="3"/>
      <c r="E84" s="3"/>
      <c r="F84" s="3"/>
    </row>
    <row r="85" spans="1:6" ht="12.75" x14ac:dyDescent="0.2">
      <c r="A85" s="3"/>
      <c r="B85" s="3"/>
      <c r="C85" s="3"/>
      <c r="D85" s="3"/>
      <c r="E85" s="3"/>
      <c r="F85" s="3"/>
    </row>
    <row r="86" spans="1:6" ht="12.75" x14ac:dyDescent="0.2">
      <c r="A86" s="3"/>
      <c r="B86" s="3"/>
      <c r="C86" s="3"/>
      <c r="D86" s="3"/>
      <c r="E86" s="3"/>
      <c r="F86" s="3"/>
    </row>
    <row r="87" spans="1:6" ht="12.75" x14ac:dyDescent="0.2">
      <c r="A87" s="3"/>
      <c r="B87" s="3"/>
      <c r="C87" s="3"/>
      <c r="D87" s="3"/>
      <c r="E87" s="3"/>
      <c r="F87" s="3"/>
    </row>
    <row r="88" spans="1:6" ht="12.75" x14ac:dyDescent="0.2">
      <c r="A88" s="3"/>
      <c r="B88" s="3"/>
      <c r="C88" s="3"/>
      <c r="D88" s="3"/>
      <c r="E88" s="3"/>
      <c r="F88" s="3"/>
    </row>
    <row r="89" spans="1:6" ht="12.75" x14ac:dyDescent="0.2">
      <c r="A89" s="3"/>
      <c r="B89" s="3"/>
      <c r="C89" s="3"/>
      <c r="D89" s="3"/>
      <c r="E89" s="3"/>
      <c r="F89" s="3"/>
    </row>
    <row r="90" spans="1:6" ht="12.75" x14ac:dyDescent="0.2">
      <c r="A90" s="3"/>
      <c r="B90" s="3"/>
      <c r="C90" s="3"/>
      <c r="D90" s="3"/>
      <c r="E90" s="3"/>
      <c r="F90" s="3"/>
    </row>
    <row r="91" spans="1:6" ht="12.75" x14ac:dyDescent="0.2">
      <c r="A91" s="3"/>
      <c r="B91" s="3"/>
      <c r="C91" s="3"/>
      <c r="D91" s="3"/>
      <c r="E91" s="3"/>
      <c r="F91" s="3"/>
    </row>
    <row r="92" spans="1:6" ht="12.75" x14ac:dyDescent="0.2">
      <c r="A92" s="3"/>
      <c r="B92" s="3"/>
      <c r="C92" s="3"/>
      <c r="D92" s="3"/>
      <c r="E92" s="3"/>
      <c r="F92" s="3"/>
    </row>
    <row r="93" spans="1:6" ht="12.75" x14ac:dyDescent="0.2">
      <c r="A93" s="3"/>
      <c r="B93" s="3"/>
      <c r="C93" s="3"/>
      <c r="D93" s="3"/>
      <c r="E93" s="3"/>
      <c r="F93" s="3"/>
    </row>
    <row r="94" spans="1:6" ht="12.75" x14ac:dyDescent="0.2">
      <c r="A94" s="3"/>
      <c r="B94" s="3"/>
      <c r="C94" s="3"/>
      <c r="D94" s="3"/>
      <c r="E94" s="3"/>
      <c r="F94" s="3"/>
    </row>
    <row r="95" spans="1:6" ht="12.75" x14ac:dyDescent="0.2">
      <c r="A95" s="3"/>
      <c r="B95" s="3"/>
      <c r="C95" s="3"/>
      <c r="D95" s="3"/>
      <c r="E95" s="3"/>
      <c r="F95" s="3"/>
    </row>
    <row r="96" spans="1:6" ht="12.75" x14ac:dyDescent="0.2">
      <c r="A96" s="3"/>
      <c r="B96" s="3"/>
      <c r="C96" s="3"/>
      <c r="D96" s="3"/>
      <c r="E96" s="3"/>
      <c r="F96" s="3"/>
    </row>
    <row r="97" spans="1:6" ht="12.75" x14ac:dyDescent="0.2">
      <c r="A97" s="3"/>
      <c r="B97" s="3"/>
      <c r="C97" s="3"/>
      <c r="D97" s="3"/>
      <c r="E97" s="3"/>
      <c r="F97" s="3"/>
    </row>
    <row r="98" spans="1:6" ht="12.75" x14ac:dyDescent="0.2">
      <c r="A98" s="3"/>
      <c r="B98" s="3"/>
      <c r="C98" s="3"/>
      <c r="D98" s="3"/>
      <c r="E98" s="3"/>
      <c r="F98" s="3"/>
    </row>
    <row r="99" spans="1:6" ht="12.75" x14ac:dyDescent="0.2">
      <c r="A99" s="3"/>
      <c r="B99" s="3"/>
      <c r="C99" s="3"/>
      <c r="D99" s="3"/>
      <c r="E99" s="3"/>
      <c r="F99" s="3"/>
    </row>
    <row r="100" spans="1:6" ht="12.75" x14ac:dyDescent="0.2">
      <c r="A100" s="3"/>
      <c r="B100" s="3"/>
      <c r="C100" s="3"/>
      <c r="D100" s="3"/>
      <c r="E100" s="3"/>
      <c r="F100" s="3"/>
    </row>
    <row r="101" spans="1:6" ht="12.75" x14ac:dyDescent="0.2">
      <c r="A101" s="3"/>
      <c r="B101" s="3"/>
      <c r="C101" s="3"/>
      <c r="D101" s="3"/>
      <c r="E101" s="3"/>
      <c r="F101" s="3"/>
    </row>
    <row r="102" spans="1:6" ht="12.75" x14ac:dyDescent="0.2">
      <c r="A102" s="3"/>
      <c r="B102" s="3"/>
      <c r="C102" s="3"/>
      <c r="D102" s="3"/>
      <c r="E102" s="3"/>
      <c r="F102" s="3"/>
    </row>
    <row r="103" spans="1:6" ht="12.75" x14ac:dyDescent="0.2">
      <c r="A103" s="3"/>
      <c r="B103" s="3"/>
      <c r="C103" s="3"/>
      <c r="D103" s="3"/>
      <c r="E103" s="3"/>
      <c r="F103" s="3"/>
    </row>
    <row r="104" spans="1:6" ht="12.75" x14ac:dyDescent="0.2">
      <c r="A104" s="3"/>
      <c r="B104" s="3"/>
      <c r="C104" s="3"/>
      <c r="D104" s="3"/>
      <c r="E104" s="3"/>
      <c r="F104" s="3"/>
    </row>
    <row r="105" spans="1:6" ht="12.75" x14ac:dyDescent="0.2">
      <c r="A105" s="3"/>
      <c r="B105" s="3"/>
      <c r="C105" s="3"/>
      <c r="D105" s="3"/>
      <c r="E105" s="3"/>
      <c r="F105" s="3"/>
    </row>
    <row r="106" spans="1:6" ht="12.75" x14ac:dyDescent="0.2">
      <c r="A106" s="3"/>
      <c r="B106" s="3"/>
      <c r="C106" s="3"/>
      <c r="D106" s="3"/>
      <c r="E106" s="3"/>
      <c r="F106" s="3"/>
    </row>
    <row r="107" spans="1:6" ht="12.75" x14ac:dyDescent="0.2">
      <c r="A107" s="3"/>
      <c r="B107" s="3"/>
      <c r="C107" s="3"/>
      <c r="D107" s="3"/>
      <c r="E107" s="3"/>
      <c r="F107" s="3"/>
    </row>
    <row r="108" spans="1:6" ht="12.75" x14ac:dyDescent="0.2">
      <c r="A108" s="3"/>
      <c r="B108" s="3"/>
      <c r="C108" s="3"/>
      <c r="D108" s="3"/>
      <c r="E108" s="3"/>
      <c r="F108" s="3"/>
    </row>
    <row r="109" spans="1:6" ht="12.75" x14ac:dyDescent="0.2">
      <c r="A109" s="3"/>
      <c r="B109" s="3"/>
      <c r="C109" s="3"/>
      <c r="D109" s="3"/>
      <c r="E109" s="3"/>
      <c r="F109" s="3"/>
    </row>
    <row r="110" spans="1:6" ht="12.75" x14ac:dyDescent="0.2">
      <c r="A110" s="3"/>
      <c r="B110" s="3"/>
      <c r="C110" s="3"/>
      <c r="D110" s="3"/>
      <c r="E110" s="3"/>
      <c r="F110" s="3"/>
    </row>
    <row r="111" spans="1:6" ht="12.75" x14ac:dyDescent="0.2">
      <c r="A111" s="3"/>
      <c r="B111" s="3"/>
      <c r="C111" s="3"/>
      <c r="D111" s="3"/>
      <c r="E111" s="3"/>
      <c r="F111" s="3"/>
    </row>
    <row r="112" spans="1:6" ht="12.75" x14ac:dyDescent="0.2">
      <c r="A112" s="3"/>
      <c r="B112" s="3"/>
      <c r="C112" s="3"/>
      <c r="D112" s="3"/>
      <c r="E112" s="3"/>
      <c r="F112" s="3"/>
    </row>
    <row r="113" spans="1:6" ht="12.75" x14ac:dyDescent="0.2">
      <c r="A113" s="3"/>
      <c r="B113" s="3"/>
      <c r="C113" s="3"/>
      <c r="D113" s="3"/>
      <c r="E113" s="3"/>
      <c r="F113" s="3"/>
    </row>
    <row r="114" spans="1:6" ht="12.75" x14ac:dyDescent="0.2">
      <c r="A114" s="3"/>
      <c r="B114" s="3"/>
      <c r="C114" s="3"/>
      <c r="D114" s="3"/>
      <c r="E114" s="3"/>
      <c r="F114" s="3"/>
    </row>
    <row r="115" spans="1:6" ht="12.75" x14ac:dyDescent="0.2">
      <c r="A115" s="3"/>
      <c r="B115" s="3"/>
      <c r="C115" s="3"/>
      <c r="D115" s="3"/>
      <c r="E115" s="3"/>
      <c r="F115" s="3"/>
    </row>
    <row r="116" spans="1:6" ht="12.75" x14ac:dyDescent="0.2">
      <c r="A116" s="3"/>
      <c r="B116" s="3"/>
      <c r="C116" s="3"/>
      <c r="D116" s="3"/>
      <c r="E116" s="3"/>
      <c r="F116" s="3"/>
    </row>
    <row r="117" spans="1:6" ht="12.75" x14ac:dyDescent="0.2">
      <c r="A117" s="3"/>
      <c r="B117" s="3"/>
      <c r="C117" s="3"/>
      <c r="D117" s="3"/>
      <c r="E117" s="3"/>
      <c r="F117" s="3"/>
    </row>
    <row r="118" spans="1:6" ht="12.75" x14ac:dyDescent="0.2">
      <c r="A118" s="3"/>
      <c r="B118" s="3"/>
      <c r="C118" s="3"/>
      <c r="D118" s="3"/>
      <c r="E118" s="3"/>
      <c r="F118" s="3"/>
    </row>
    <row r="119" spans="1:6" ht="12.75" x14ac:dyDescent="0.2">
      <c r="A119" s="3"/>
      <c r="B119" s="3"/>
      <c r="C119" s="3"/>
      <c r="D119" s="3"/>
      <c r="E119" s="3"/>
      <c r="F119" s="3"/>
    </row>
    <row r="120" spans="1:6" ht="12.75" x14ac:dyDescent="0.2">
      <c r="A120" s="3"/>
      <c r="B120" s="3"/>
      <c r="C120" s="3"/>
      <c r="D120" s="3"/>
      <c r="E120" s="3"/>
      <c r="F120" s="3"/>
    </row>
    <row r="121" spans="1:6" ht="12.75" x14ac:dyDescent="0.2">
      <c r="A121" s="3"/>
      <c r="B121" s="3"/>
      <c r="C121" s="3"/>
      <c r="D121" s="3"/>
      <c r="E121" s="3"/>
      <c r="F121" s="3"/>
    </row>
    <row r="122" spans="1:6" ht="12.75" x14ac:dyDescent="0.2">
      <c r="A122" s="3"/>
      <c r="B122" s="3"/>
      <c r="C122" s="3"/>
      <c r="D122" s="3"/>
      <c r="E122" s="3"/>
      <c r="F122" s="3"/>
    </row>
    <row r="123" spans="1:6" ht="12.75" x14ac:dyDescent="0.2">
      <c r="A123" s="3"/>
      <c r="B123" s="3"/>
      <c r="C123" s="3"/>
      <c r="D123" s="3"/>
      <c r="E123" s="3"/>
      <c r="F123" s="3"/>
    </row>
    <row r="124" spans="1:6" ht="12.75" x14ac:dyDescent="0.2">
      <c r="A124" s="3"/>
      <c r="B124" s="3"/>
      <c r="C124" s="3"/>
      <c r="D124" s="3"/>
      <c r="E124" s="3"/>
      <c r="F124" s="3"/>
    </row>
    <row r="125" spans="1:6" ht="12.75" x14ac:dyDescent="0.2">
      <c r="A125" s="3"/>
      <c r="B125" s="3"/>
      <c r="C125" s="3"/>
      <c r="D125" s="3"/>
      <c r="E125" s="3"/>
      <c r="F125" s="3"/>
    </row>
    <row r="126" spans="1:6" ht="12.75" x14ac:dyDescent="0.2">
      <c r="A126" s="3"/>
      <c r="B126" s="3"/>
      <c r="C126" s="3"/>
      <c r="D126" s="3"/>
      <c r="E126" s="3"/>
      <c r="F126" s="3"/>
    </row>
    <row r="127" spans="1:6" ht="12.75" x14ac:dyDescent="0.2">
      <c r="A127" s="3"/>
      <c r="B127" s="3"/>
      <c r="C127" s="3"/>
      <c r="D127" s="3"/>
      <c r="E127" s="3"/>
      <c r="F127" s="3"/>
    </row>
    <row r="128" spans="1:6" ht="12.75" x14ac:dyDescent="0.2">
      <c r="A128" s="3"/>
      <c r="B128" s="3"/>
      <c r="C128" s="3"/>
      <c r="D128" s="3"/>
      <c r="E128" s="3"/>
      <c r="F128" s="3"/>
    </row>
    <row r="129" spans="1:6" ht="12.75" x14ac:dyDescent="0.2">
      <c r="A129" s="3"/>
      <c r="B129" s="3"/>
      <c r="C129" s="3"/>
      <c r="D129" s="3"/>
      <c r="E129" s="3"/>
      <c r="F129" s="3"/>
    </row>
    <row r="130" spans="1:6" ht="12.75" x14ac:dyDescent="0.2">
      <c r="A130" s="3"/>
      <c r="B130" s="3"/>
      <c r="C130" s="3"/>
      <c r="D130" s="3"/>
      <c r="E130" s="3"/>
      <c r="F130" s="3"/>
    </row>
    <row r="131" spans="1:6" ht="12.75" x14ac:dyDescent="0.2">
      <c r="A131" s="3"/>
      <c r="B131" s="3"/>
      <c r="C131" s="3"/>
      <c r="D131" s="3"/>
      <c r="E131" s="3"/>
      <c r="F131" s="3"/>
    </row>
    <row r="132" spans="1:6" ht="12.75" x14ac:dyDescent="0.2">
      <c r="A132" s="3"/>
      <c r="B132" s="3"/>
      <c r="C132" s="3"/>
      <c r="D132" s="3"/>
      <c r="E132" s="3"/>
      <c r="F132" s="3"/>
    </row>
    <row r="133" spans="1:6" ht="12.75" x14ac:dyDescent="0.2">
      <c r="A133" s="3"/>
      <c r="B133" s="3"/>
      <c r="C133" s="3"/>
      <c r="D133" s="3"/>
      <c r="E133" s="3"/>
      <c r="F133" s="3"/>
    </row>
    <row r="134" spans="1:6" ht="12.75" x14ac:dyDescent="0.2">
      <c r="A134" s="3"/>
      <c r="B134" s="3"/>
      <c r="C134" s="3"/>
      <c r="D134" s="3"/>
      <c r="E134" s="3"/>
      <c r="F134" s="3"/>
    </row>
    <row r="135" spans="1:6" ht="12.75" x14ac:dyDescent="0.2">
      <c r="A135" s="3"/>
      <c r="B135" s="3"/>
      <c r="C135" s="3"/>
      <c r="D135" s="3"/>
      <c r="E135" s="3"/>
      <c r="F135" s="3"/>
    </row>
    <row r="136" spans="1:6" ht="12.75" x14ac:dyDescent="0.2">
      <c r="A136" s="3"/>
      <c r="B136" s="3"/>
      <c r="C136" s="3"/>
      <c r="D136" s="3"/>
      <c r="E136" s="3"/>
      <c r="F136" s="3"/>
    </row>
    <row r="137" spans="1:6" ht="12.75" x14ac:dyDescent="0.2">
      <c r="A137" s="3"/>
      <c r="B137" s="3"/>
      <c r="C137" s="3"/>
      <c r="D137" s="3"/>
      <c r="E137" s="3"/>
      <c r="F137" s="3"/>
    </row>
    <row r="138" spans="1:6" ht="12.75" x14ac:dyDescent="0.2">
      <c r="A138" s="3"/>
      <c r="B138" s="3"/>
      <c r="C138" s="3"/>
      <c r="D138" s="3"/>
      <c r="E138" s="3"/>
      <c r="F138" s="3"/>
    </row>
    <row r="139" spans="1:6" ht="12.75" x14ac:dyDescent="0.2">
      <c r="A139" s="3"/>
      <c r="B139" s="3"/>
      <c r="C139" s="3"/>
      <c r="D139" s="3"/>
      <c r="E139" s="3"/>
      <c r="F139" s="3"/>
    </row>
    <row r="140" spans="1:6" ht="12.75" x14ac:dyDescent="0.2">
      <c r="A140" s="3"/>
      <c r="B140" s="3"/>
      <c r="C140" s="3"/>
      <c r="D140" s="3"/>
      <c r="E140" s="3"/>
      <c r="F140" s="3"/>
    </row>
    <row r="141" spans="1:6" ht="12.75" x14ac:dyDescent="0.2">
      <c r="A141" s="3"/>
      <c r="B141" s="3"/>
      <c r="C141" s="3"/>
      <c r="D141" s="3"/>
      <c r="E141" s="3"/>
      <c r="F141" s="3"/>
    </row>
    <row r="142" spans="1:6" ht="12.75" x14ac:dyDescent="0.2">
      <c r="A142" s="3"/>
      <c r="B142" s="3"/>
      <c r="C142" s="3"/>
      <c r="D142" s="3"/>
      <c r="E142" s="3"/>
      <c r="F142" s="3"/>
    </row>
    <row r="143" spans="1:6" ht="12.75" x14ac:dyDescent="0.2">
      <c r="A143" s="3"/>
      <c r="B143" s="3"/>
      <c r="C143" s="3"/>
      <c r="D143" s="3"/>
      <c r="E143" s="3"/>
      <c r="F143" s="3"/>
    </row>
    <row r="144" spans="1:6" ht="12.75" x14ac:dyDescent="0.2">
      <c r="A144" s="3"/>
      <c r="B144" s="3"/>
      <c r="C144" s="3"/>
      <c r="D144" s="3"/>
      <c r="E144" s="3"/>
      <c r="F144" s="3"/>
    </row>
    <row r="145" spans="1:6" ht="12.75" x14ac:dyDescent="0.2">
      <c r="A145" s="3"/>
      <c r="B145" s="3"/>
      <c r="C145" s="3"/>
      <c r="D145" s="3"/>
      <c r="E145" s="3"/>
      <c r="F145" s="3"/>
    </row>
    <row r="146" spans="1:6" ht="12.75" x14ac:dyDescent="0.2">
      <c r="A146" s="3"/>
      <c r="B146" s="3"/>
      <c r="C146" s="3"/>
      <c r="D146" s="3"/>
      <c r="E146" s="3"/>
      <c r="F146" s="3"/>
    </row>
    <row r="147" spans="1:6" ht="12.75" x14ac:dyDescent="0.2">
      <c r="A147" s="3"/>
      <c r="B147" s="3"/>
      <c r="C147" s="3"/>
      <c r="D147" s="3"/>
      <c r="E147" s="3"/>
      <c r="F147" s="3"/>
    </row>
    <row r="148" spans="1:6" ht="12.75" x14ac:dyDescent="0.2">
      <c r="A148" s="3"/>
      <c r="B148" s="3"/>
      <c r="C148" s="3"/>
      <c r="D148" s="3"/>
      <c r="E148" s="3"/>
      <c r="F148" s="3"/>
    </row>
    <row r="149" spans="1:6" ht="12.75" x14ac:dyDescent="0.2">
      <c r="A149" s="3"/>
      <c r="B149" s="3"/>
      <c r="C149" s="3"/>
      <c r="D149" s="3"/>
      <c r="E149" s="3"/>
      <c r="F149" s="3"/>
    </row>
    <row r="150" spans="1:6" ht="12.75" x14ac:dyDescent="0.2">
      <c r="A150" s="3"/>
      <c r="B150" s="3"/>
      <c r="C150" s="3"/>
      <c r="D150" s="3"/>
      <c r="E150" s="3"/>
      <c r="F150" s="3"/>
    </row>
    <row r="151" spans="1:6" ht="12.75" x14ac:dyDescent="0.2">
      <c r="A151" s="3"/>
      <c r="B151" s="3"/>
      <c r="C151" s="3"/>
      <c r="D151" s="3"/>
      <c r="E151" s="3"/>
      <c r="F151" s="3"/>
    </row>
    <row r="152" spans="1:6" ht="12.75" x14ac:dyDescent="0.2">
      <c r="A152" s="3"/>
      <c r="B152" s="3"/>
      <c r="C152" s="3"/>
      <c r="D152" s="3"/>
      <c r="E152" s="3"/>
      <c r="F152" s="3"/>
    </row>
    <row r="153" spans="1:6" ht="12.75" x14ac:dyDescent="0.2">
      <c r="A153" s="3"/>
      <c r="B153" s="3"/>
      <c r="C153" s="3"/>
      <c r="D153" s="3"/>
      <c r="E153" s="3"/>
      <c r="F153" s="3"/>
    </row>
    <row r="154" spans="1:6" ht="12.75" x14ac:dyDescent="0.2">
      <c r="A154" s="3"/>
      <c r="B154" s="3"/>
      <c r="C154" s="3"/>
      <c r="D154" s="3"/>
      <c r="E154" s="3"/>
      <c r="F154" s="3"/>
    </row>
    <row r="155" spans="1:6" ht="12.75" x14ac:dyDescent="0.2">
      <c r="A155" s="3"/>
      <c r="B155" s="3"/>
      <c r="C155" s="3"/>
      <c r="D155" s="3"/>
      <c r="E155" s="3"/>
      <c r="F155" s="3"/>
    </row>
    <row r="156" spans="1:6" ht="12.75" x14ac:dyDescent="0.2">
      <c r="A156" s="3"/>
      <c r="B156" s="3"/>
      <c r="C156" s="3"/>
      <c r="D156" s="3"/>
      <c r="E156" s="3"/>
      <c r="F156" s="3"/>
    </row>
    <row r="157" spans="1:6" ht="12.75" x14ac:dyDescent="0.2">
      <c r="A157" s="3"/>
      <c r="B157" s="3"/>
      <c r="C157" s="3"/>
      <c r="D157" s="3"/>
      <c r="E157" s="3"/>
      <c r="F157" s="3"/>
    </row>
    <row r="158" spans="1:6" ht="12.75" x14ac:dyDescent="0.2">
      <c r="A158" s="3"/>
      <c r="B158" s="3"/>
      <c r="C158" s="3"/>
      <c r="D158" s="3"/>
      <c r="E158" s="3"/>
      <c r="F158" s="3"/>
    </row>
    <row r="159" spans="1:6" ht="12.75" x14ac:dyDescent="0.2">
      <c r="A159" s="3"/>
      <c r="B159" s="3"/>
      <c r="C159" s="3"/>
      <c r="D159" s="3"/>
      <c r="E159" s="3"/>
      <c r="F159" s="3"/>
    </row>
    <row r="160" spans="1:6" ht="12.75" x14ac:dyDescent="0.2">
      <c r="A160" s="3"/>
      <c r="B160" s="3"/>
      <c r="C160" s="3"/>
      <c r="D160" s="3"/>
      <c r="E160" s="3"/>
      <c r="F160" s="3"/>
    </row>
    <row r="161" spans="1:6" ht="12.75" x14ac:dyDescent="0.2">
      <c r="A161" s="3"/>
      <c r="B161" s="3"/>
      <c r="C161" s="3"/>
      <c r="D161" s="3"/>
      <c r="E161" s="3"/>
      <c r="F161" s="3"/>
    </row>
    <row r="162" spans="1:6" ht="12.75" x14ac:dyDescent="0.2">
      <c r="A162" s="3"/>
      <c r="B162" s="3"/>
      <c r="C162" s="3"/>
      <c r="D162" s="3"/>
      <c r="E162" s="3"/>
      <c r="F162" s="3"/>
    </row>
    <row r="163" spans="1:6" ht="12.75" x14ac:dyDescent="0.2">
      <c r="A163" s="3"/>
      <c r="B163" s="3"/>
      <c r="C163" s="3"/>
      <c r="D163" s="3"/>
      <c r="E163" s="3"/>
      <c r="F163" s="3"/>
    </row>
    <row r="164" spans="1:6" ht="12.75" x14ac:dyDescent="0.2">
      <c r="A164" s="3"/>
      <c r="B164" s="3"/>
      <c r="C164" s="3"/>
      <c r="D164" s="3"/>
      <c r="E164" s="3"/>
      <c r="F164" s="3"/>
    </row>
    <row r="165" spans="1:6" ht="12.75" x14ac:dyDescent="0.2">
      <c r="A165" s="3"/>
      <c r="B165" s="3"/>
      <c r="C165" s="3"/>
      <c r="D165" s="3"/>
      <c r="E165" s="3"/>
      <c r="F165" s="3"/>
    </row>
    <row r="166" spans="1:6" ht="12.75" x14ac:dyDescent="0.2">
      <c r="A166" s="3"/>
      <c r="B166" s="3"/>
      <c r="C166" s="3"/>
      <c r="D166" s="3"/>
      <c r="E166" s="3"/>
      <c r="F166" s="3"/>
    </row>
    <row r="167" spans="1:6" ht="12.75" x14ac:dyDescent="0.2">
      <c r="A167" s="3"/>
      <c r="B167" s="3"/>
      <c r="C167" s="3"/>
      <c r="D167" s="3"/>
      <c r="E167" s="3"/>
      <c r="F167" s="3"/>
    </row>
    <row r="168" spans="1:6" ht="12.75" x14ac:dyDescent="0.2">
      <c r="A168" s="3"/>
      <c r="B168" s="3"/>
      <c r="C168" s="3"/>
      <c r="D168" s="3"/>
      <c r="E168" s="3"/>
      <c r="F168" s="3"/>
    </row>
    <row r="169" spans="1:6" ht="12.75" x14ac:dyDescent="0.2">
      <c r="A169" s="3"/>
      <c r="B169" s="3"/>
      <c r="C169" s="3"/>
      <c r="D169" s="3"/>
      <c r="E169" s="3"/>
      <c r="F169" s="3"/>
    </row>
    <row r="170" spans="1:6" ht="12.75" x14ac:dyDescent="0.2">
      <c r="A170" s="3"/>
      <c r="B170" s="3"/>
      <c r="C170" s="3"/>
      <c r="D170" s="3"/>
      <c r="E170" s="3"/>
      <c r="F170" s="3"/>
    </row>
    <row r="171" spans="1:6" ht="12.75" x14ac:dyDescent="0.2">
      <c r="A171" s="3"/>
      <c r="B171" s="3"/>
      <c r="C171" s="3"/>
      <c r="D171" s="3"/>
      <c r="E171" s="3"/>
      <c r="F171" s="3"/>
    </row>
    <row r="172" spans="1:6" ht="12.75" x14ac:dyDescent="0.2">
      <c r="A172" s="3"/>
      <c r="B172" s="3"/>
      <c r="C172" s="3"/>
      <c r="D172" s="3"/>
      <c r="E172" s="3"/>
      <c r="F172" s="3"/>
    </row>
    <row r="173" spans="1:6" ht="12.75" x14ac:dyDescent="0.2">
      <c r="A173" s="3"/>
      <c r="B173" s="3"/>
      <c r="C173" s="3"/>
      <c r="D173" s="3"/>
      <c r="E173" s="3"/>
      <c r="F173" s="3"/>
    </row>
    <row r="174" spans="1:6" ht="12.75" x14ac:dyDescent="0.2">
      <c r="A174" s="3"/>
      <c r="B174" s="3"/>
      <c r="C174" s="3"/>
      <c r="D174" s="3"/>
      <c r="E174" s="3"/>
      <c r="F174" s="3"/>
    </row>
    <row r="175" spans="1:6" ht="12.75" x14ac:dyDescent="0.2">
      <c r="A175" s="3"/>
      <c r="B175" s="3"/>
      <c r="C175" s="3"/>
      <c r="D175" s="3"/>
      <c r="E175" s="3"/>
      <c r="F175" s="3"/>
    </row>
    <row r="176" spans="1:6" ht="12.75" x14ac:dyDescent="0.2">
      <c r="A176" s="3"/>
      <c r="B176" s="3"/>
      <c r="C176" s="3"/>
      <c r="D176" s="3"/>
      <c r="E176" s="3"/>
      <c r="F176" s="3"/>
    </row>
    <row r="177" spans="1:6" ht="12.75" x14ac:dyDescent="0.2">
      <c r="A177" s="3"/>
      <c r="B177" s="3"/>
      <c r="C177" s="3"/>
      <c r="D177" s="3"/>
      <c r="E177" s="3"/>
      <c r="F177" s="3"/>
    </row>
    <row r="178" spans="1:6" ht="12.75" x14ac:dyDescent="0.2">
      <c r="A178" s="3"/>
      <c r="B178" s="3"/>
      <c r="C178" s="3"/>
      <c r="D178" s="3"/>
      <c r="E178" s="3"/>
      <c r="F178" s="3"/>
    </row>
    <row r="179" spans="1:6" ht="12.75" x14ac:dyDescent="0.2">
      <c r="A179" s="3"/>
      <c r="B179" s="3"/>
      <c r="C179" s="3"/>
      <c r="D179" s="3"/>
      <c r="E179" s="3"/>
      <c r="F179" s="3"/>
    </row>
    <row r="180" spans="1:6" ht="12.75" x14ac:dyDescent="0.2">
      <c r="A180" s="3"/>
      <c r="B180" s="3"/>
      <c r="C180" s="3"/>
      <c r="D180" s="3"/>
      <c r="E180" s="3"/>
      <c r="F180" s="3"/>
    </row>
    <row r="181" spans="1:6" ht="12.75" x14ac:dyDescent="0.2">
      <c r="A181" s="3"/>
      <c r="B181" s="3"/>
      <c r="C181" s="3"/>
      <c r="D181" s="3"/>
      <c r="E181" s="3"/>
      <c r="F181" s="3"/>
    </row>
    <row r="182" spans="1:6" ht="12.75" x14ac:dyDescent="0.2">
      <c r="A182" s="3"/>
      <c r="B182" s="3"/>
      <c r="C182" s="3"/>
      <c r="D182" s="3"/>
      <c r="E182" s="3"/>
      <c r="F182" s="3"/>
    </row>
    <row r="183" spans="1:6" ht="12.75" x14ac:dyDescent="0.2">
      <c r="A183" s="3"/>
      <c r="B183" s="3"/>
      <c r="C183" s="3"/>
      <c r="D183" s="3"/>
      <c r="E183" s="3"/>
      <c r="F183" s="3"/>
    </row>
    <row r="184" spans="1:6" ht="12.75" x14ac:dyDescent="0.2">
      <c r="A184" s="3"/>
      <c r="B184" s="3"/>
      <c r="C184" s="3"/>
      <c r="D184" s="3"/>
      <c r="E184" s="3"/>
      <c r="F184" s="3"/>
    </row>
    <row r="185" spans="1:6" ht="12.75" x14ac:dyDescent="0.2">
      <c r="A185" s="3"/>
      <c r="B185" s="3"/>
      <c r="C185" s="3"/>
      <c r="D185" s="3"/>
      <c r="E185" s="3"/>
      <c r="F185" s="3"/>
    </row>
    <row r="186" spans="1:6" ht="12.75" x14ac:dyDescent="0.2">
      <c r="A186" s="3"/>
      <c r="B186" s="3"/>
      <c r="C186" s="3"/>
      <c r="D186" s="3"/>
      <c r="E186" s="3"/>
      <c r="F186" s="3"/>
    </row>
    <row r="187" spans="1:6" ht="12.75" x14ac:dyDescent="0.2">
      <c r="A187" s="3"/>
      <c r="B187" s="3"/>
      <c r="C187" s="3"/>
      <c r="D187" s="3"/>
      <c r="E187" s="3"/>
      <c r="F187" s="3"/>
    </row>
    <row r="188" spans="1:6" ht="12.75" x14ac:dyDescent="0.2">
      <c r="A188" s="3"/>
      <c r="B188" s="3"/>
      <c r="C188" s="3"/>
      <c r="D188" s="3"/>
      <c r="E188" s="3"/>
      <c r="F188" s="3"/>
    </row>
    <row r="189" spans="1:6" ht="12.75" x14ac:dyDescent="0.2">
      <c r="A189" s="3"/>
      <c r="B189" s="3"/>
      <c r="C189" s="3"/>
      <c r="D189" s="3"/>
      <c r="E189" s="3"/>
      <c r="F189" s="3"/>
    </row>
    <row r="190" spans="1:6" ht="12.75" x14ac:dyDescent="0.2">
      <c r="A190" s="3"/>
      <c r="B190" s="3"/>
      <c r="C190" s="3"/>
      <c r="D190" s="3"/>
      <c r="E190" s="3"/>
      <c r="F190" s="3"/>
    </row>
    <row r="191" spans="1:6" ht="12.75" x14ac:dyDescent="0.2">
      <c r="A191" s="3"/>
      <c r="B191" s="3"/>
      <c r="C191" s="3"/>
      <c r="D191" s="3"/>
      <c r="E191" s="3"/>
      <c r="F191" s="3"/>
    </row>
    <row r="192" spans="1:6" ht="12.75" x14ac:dyDescent="0.2">
      <c r="A192" s="3"/>
      <c r="B192" s="3"/>
      <c r="C192" s="3"/>
      <c r="D192" s="3"/>
      <c r="E192" s="3"/>
      <c r="F192" s="3"/>
    </row>
    <row r="193" spans="1:6" ht="12.75" x14ac:dyDescent="0.2">
      <c r="A193" s="3"/>
      <c r="B193" s="3"/>
      <c r="C193" s="3"/>
      <c r="D193" s="3"/>
      <c r="E193" s="3"/>
      <c r="F193" s="3"/>
    </row>
    <row r="194" spans="1:6" ht="12.75" x14ac:dyDescent="0.2">
      <c r="A194" s="3"/>
      <c r="B194" s="3"/>
      <c r="C194" s="3"/>
      <c r="D194" s="3"/>
      <c r="E194" s="3"/>
      <c r="F194" s="3"/>
    </row>
    <row r="195" spans="1:6" ht="12.75" x14ac:dyDescent="0.2">
      <c r="A195" s="3"/>
      <c r="B195" s="3"/>
      <c r="C195" s="3"/>
      <c r="D195" s="3"/>
      <c r="E195" s="3"/>
      <c r="F195" s="3"/>
    </row>
    <row r="196" spans="1:6" ht="12.75" x14ac:dyDescent="0.2">
      <c r="A196" s="3"/>
      <c r="B196" s="3"/>
      <c r="C196" s="3"/>
      <c r="D196" s="3"/>
      <c r="E196" s="3"/>
      <c r="F196" s="3"/>
    </row>
    <row r="197" spans="1:6" ht="12.75" x14ac:dyDescent="0.2">
      <c r="A197" s="3"/>
      <c r="B197" s="3"/>
      <c r="C197" s="3"/>
      <c r="D197" s="3"/>
      <c r="E197" s="3"/>
      <c r="F197" s="3"/>
    </row>
    <row r="198" spans="1:6" ht="12.75" x14ac:dyDescent="0.2">
      <c r="A198" s="3"/>
      <c r="B198" s="3"/>
      <c r="C198" s="3"/>
      <c r="D198" s="3"/>
      <c r="E198" s="3"/>
      <c r="F198" s="3"/>
    </row>
    <row r="199" spans="1:6" ht="12.75" x14ac:dyDescent="0.2">
      <c r="A199" s="3"/>
      <c r="B199" s="3"/>
      <c r="C199" s="3"/>
      <c r="D199" s="3"/>
      <c r="E199" s="3"/>
      <c r="F199" s="3"/>
    </row>
    <row r="200" spans="1:6" ht="12.75" x14ac:dyDescent="0.2">
      <c r="A200" s="3"/>
      <c r="B200" s="3"/>
      <c r="C200" s="3"/>
      <c r="D200" s="3"/>
      <c r="E200" s="3"/>
      <c r="F200" s="3"/>
    </row>
    <row r="201" spans="1:6" ht="12.75" x14ac:dyDescent="0.2">
      <c r="A201" s="3"/>
      <c r="B201" s="3"/>
      <c r="C201" s="3"/>
      <c r="D201" s="3"/>
      <c r="E201" s="3"/>
      <c r="F201" s="3"/>
    </row>
    <row r="202" spans="1:6" ht="12.75" x14ac:dyDescent="0.2">
      <c r="A202" s="3"/>
      <c r="B202" s="3"/>
      <c r="C202" s="3"/>
      <c r="D202" s="3"/>
      <c r="E202" s="3"/>
      <c r="F202" s="3"/>
    </row>
    <row r="203" spans="1:6" ht="12.75" x14ac:dyDescent="0.2">
      <c r="A203" s="3"/>
      <c r="B203" s="3"/>
      <c r="C203" s="3"/>
      <c r="D203" s="3"/>
      <c r="E203" s="3"/>
      <c r="F203" s="3"/>
    </row>
    <row r="204" spans="1:6" ht="12.75" x14ac:dyDescent="0.2">
      <c r="A204" s="3"/>
      <c r="B204" s="3"/>
      <c r="C204" s="3"/>
      <c r="D204" s="3"/>
      <c r="E204" s="3"/>
      <c r="F204" s="3"/>
    </row>
    <row r="205" spans="1:6" ht="12.75" x14ac:dyDescent="0.2">
      <c r="A205" s="3"/>
      <c r="B205" s="3"/>
      <c r="C205" s="3"/>
      <c r="D205" s="3"/>
      <c r="E205" s="3"/>
      <c r="F205" s="3"/>
    </row>
    <row r="206" spans="1:6" ht="12.75" x14ac:dyDescent="0.2">
      <c r="A206" s="3"/>
      <c r="B206" s="3"/>
      <c r="C206" s="3"/>
      <c r="D206" s="3"/>
      <c r="E206" s="3"/>
      <c r="F206" s="3"/>
    </row>
    <row r="207" spans="1:6" ht="12.75" x14ac:dyDescent="0.2">
      <c r="A207" s="3"/>
      <c r="B207" s="3"/>
      <c r="C207" s="3"/>
      <c r="D207" s="3"/>
      <c r="E207" s="3"/>
      <c r="F207" s="3"/>
    </row>
    <row r="208" spans="1:6" ht="12.75" x14ac:dyDescent="0.2">
      <c r="A208" s="3"/>
      <c r="B208" s="3"/>
      <c r="C208" s="3"/>
      <c r="D208" s="3"/>
      <c r="E208" s="3"/>
      <c r="F208" s="3"/>
    </row>
    <row r="209" spans="1:6" ht="12.75" x14ac:dyDescent="0.2">
      <c r="A209" s="3"/>
      <c r="B209" s="3"/>
      <c r="C209" s="3"/>
      <c r="D209" s="3"/>
      <c r="E209" s="3"/>
      <c r="F209" s="3"/>
    </row>
    <row r="210" spans="1:6" ht="12.75" x14ac:dyDescent="0.2">
      <c r="A210" s="3"/>
      <c r="B210" s="3"/>
      <c r="C210" s="3"/>
      <c r="D210" s="3"/>
      <c r="E210" s="3"/>
      <c r="F210" s="3"/>
    </row>
    <row r="211" spans="1:6" ht="12.75" x14ac:dyDescent="0.2">
      <c r="A211" s="3"/>
      <c r="B211" s="3"/>
      <c r="C211" s="3"/>
      <c r="D211" s="3"/>
      <c r="E211" s="3"/>
      <c r="F211" s="3"/>
    </row>
    <row r="212" spans="1:6" ht="12.75" x14ac:dyDescent="0.2">
      <c r="A212" s="3"/>
      <c r="B212" s="3"/>
      <c r="C212" s="3"/>
      <c r="D212" s="3"/>
      <c r="E212" s="3"/>
      <c r="F212" s="3"/>
    </row>
    <row r="213" spans="1:6" ht="12.75" x14ac:dyDescent="0.2">
      <c r="A213" s="3"/>
      <c r="B213" s="3"/>
      <c r="C213" s="3"/>
      <c r="D213" s="3"/>
      <c r="E213" s="3"/>
      <c r="F213" s="3"/>
    </row>
    <row r="214" spans="1:6" ht="12.75" x14ac:dyDescent="0.2">
      <c r="A214" s="3"/>
      <c r="B214" s="3"/>
      <c r="C214" s="3"/>
      <c r="D214" s="3"/>
      <c r="E214" s="3"/>
      <c r="F214" s="3"/>
    </row>
    <row r="215" spans="1:6" ht="12.75" x14ac:dyDescent="0.2">
      <c r="A215" s="3"/>
      <c r="B215" s="3"/>
      <c r="C215" s="3"/>
      <c r="D215" s="3"/>
      <c r="E215" s="3"/>
      <c r="F215" s="3"/>
    </row>
    <row r="216" spans="1:6" ht="12.75" x14ac:dyDescent="0.2">
      <c r="A216" s="3"/>
      <c r="B216" s="3"/>
      <c r="C216" s="3"/>
      <c r="D216" s="3"/>
      <c r="E216" s="3"/>
      <c r="F216" s="3"/>
    </row>
    <row r="217" spans="1:6" ht="12.75" x14ac:dyDescent="0.2">
      <c r="A217" s="3"/>
      <c r="B217" s="3"/>
      <c r="C217" s="3"/>
      <c r="D217" s="3"/>
      <c r="E217" s="3"/>
      <c r="F217" s="3"/>
    </row>
    <row r="218" spans="1:6" ht="12.75" x14ac:dyDescent="0.2">
      <c r="A218" s="3"/>
      <c r="B218" s="3"/>
      <c r="C218" s="3"/>
      <c r="D218" s="3"/>
      <c r="E218" s="3"/>
      <c r="F218" s="3"/>
    </row>
    <row r="219" spans="1:6" ht="12.75" x14ac:dyDescent="0.2">
      <c r="A219" s="3"/>
      <c r="B219" s="3"/>
      <c r="C219" s="3"/>
      <c r="D219" s="3"/>
      <c r="E219" s="3"/>
      <c r="F219" s="3"/>
    </row>
    <row r="220" spans="1:6" ht="12.75" x14ac:dyDescent="0.2">
      <c r="A220" s="3"/>
      <c r="B220" s="3"/>
      <c r="C220" s="3"/>
      <c r="D220" s="3"/>
      <c r="E220" s="3"/>
      <c r="F220" s="3"/>
    </row>
    <row r="221" spans="1:6" ht="12.75" x14ac:dyDescent="0.2">
      <c r="A221" s="3"/>
      <c r="B221" s="3"/>
      <c r="C221" s="3"/>
      <c r="D221" s="3"/>
      <c r="E221" s="3"/>
      <c r="F221" s="3"/>
    </row>
    <row r="222" spans="1:6" ht="12.75" x14ac:dyDescent="0.2">
      <c r="A222" s="3"/>
      <c r="B222" s="3"/>
      <c r="C222" s="3"/>
      <c r="D222" s="3"/>
      <c r="E222" s="3"/>
      <c r="F222" s="3"/>
    </row>
    <row r="223" spans="1:6" ht="12.75" x14ac:dyDescent="0.2">
      <c r="A223" s="3"/>
      <c r="B223" s="3"/>
      <c r="C223" s="3"/>
      <c r="D223" s="3"/>
      <c r="E223" s="3"/>
      <c r="F223" s="3"/>
    </row>
    <row r="224" spans="1:6" ht="12.75" x14ac:dyDescent="0.2">
      <c r="A224" s="3"/>
      <c r="B224" s="3"/>
      <c r="C224" s="3"/>
      <c r="D224" s="3"/>
      <c r="E224" s="3"/>
      <c r="F224" s="3"/>
    </row>
    <row r="225" spans="1:6" ht="12.75" x14ac:dyDescent="0.2">
      <c r="A225" s="3"/>
      <c r="B225" s="3"/>
      <c r="C225" s="3"/>
      <c r="D225" s="3"/>
      <c r="E225" s="3"/>
      <c r="F225" s="3"/>
    </row>
    <row r="226" spans="1:6" ht="12.75" x14ac:dyDescent="0.2">
      <c r="A226" s="3"/>
      <c r="B226" s="3"/>
      <c r="C226" s="3"/>
      <c r="D226" s="3"/>
      <c r="E226" s="3"/>
      <c r="F226" s="3"/>
    </row>
    <row r="227" spans="1:6" ht="12.75" x14ac:dyDescent="0.2">
      <c r="A227" s="3"/>
      <c r="B227" s="3"/>
      <c r="C227" s="3"/>
      <c r="D227" s="3"/>
      <c r="E227" s="3"/>
      <c r="F227" s="3"/>
    </row>
    <row r="228" spans="1:6" ht="12.75" x14ac:dyDescent="0.2">
      <c r="A228" s="3"/>
      <c r="B228" s="3"/>
      <c r="C228" s="3"/>
      <c r="D228" s="3"/>
      <c r="E228" s="3"/>
      <c r="F228" s="3"/>
    </row>
    <row r="229" spans="1:6" ht="12.75" x14ac:dyDescent="0.2">
      <c r="A229" s="3"/>
      <c r="B229" s="3"/>
      <c r="C229" s="3"/>
      <c r="D229" s="3"/>
      <c r="E229" s="3"/>
      <c r="F229" s="3"/>
    </row>
    <row r="230" spans="1:6" ht="12.75" x14ac:dyDescent="0.2">
      <c r="A230" s="3"/>
      <c r="B230" s="3"/>
      <c r="C230" s="3"/>
      <c r="D230" s="3"/>
      <c r="E230" s="3"/>
      <c r="F230" s="3"/>
    </row>
    <row r="231" spans="1:6" ht="12.75" x14ac:dyDescent="0.2">
      <c r="A231" s="3"/>
      <c r="B231" s="3"/>
      <c r="C231" s="3"/>
      <c r="D231" s="3"/>
      <c r="E231" s="3"/>
      <c r="F231" s="3"/>
    </row>
    <row r="232" spans="1:6" ht="12.75" x14ac:dyDescent="0.2">
      <c r="A232" s="3"/>
      <c r="B232" s="3"/>
      <c r="C232" s="3"/>
      <c r="D232" s="3"/>
      <c r="E232" s="3"/>
      <c r="F232" s="3"/>
    </row>
    <row r="233" spans="1:6" ht="12.75" x14ac:dyDescent="0.2">
      <c r="A233" s="3"/>
      <c r="B233" s="3"/>
      <c r="C233" s="3"/>
      <c r="D233" s="3"/>
      <c r="E233" s="3"/>
      <c r="F233" s="3"/>
    </row>
    <row r="234" spans="1:6" ht="12.75" x14ac:dyDescent="0.2">
      <c r="A234" s="3"/>
      <c r="B234" s="3"/>
      <c r="C234" s="3"/>
      <c r="D234" s="3"/>
      <c r="E234" s="3"/>
      <c r="F234" s="3"/>
    </row>
    <row r="235" spans="1:6" ht="12.75" x14ac:dyDescent="0.2">
      <c r="A235" s="3"/>
      <c r="B235" s="3"/>
      <c r="C235" s="3"/>
      <c r="D235" s="3"/>
      <c r="E235" s="3"/>
      <c r="F235" s="3"/>
    </row>
    <row r="236" spans="1:6" ht="12.75" x14ac:dyDescent="0.2">
      <c r="A236" s="3"/>
      <c r="B236" s="3"/>
      <c r="C236" s="3"/>
      <c r="D236" s="3"/>
      <c r="E236" s="3"/>
      <c r="F236" s="3"/>
    </row>
    <row r="237" spans="1:6" ht="12.75" x14ac:dyDescent="0.2">
      <c r="A237" s="3"/>
      <c r="B237" s="3"/>
      <c r="C237" s="3"/>
      <c r="D237" s="3"/>
      <c r="E237" s="3"/>
      <c r="F237" s="3"/>
    </row>
    <row r="238" spans="1:6" ht="12.75" x14ac:dyDescent="0.2">
      <c r="A238" s="3"/>
      <c r="B238" s="3"/>
      <c r="C238" s="3"/>
      <c r="D238" s="3"/>
      <c r="E238" s="3"/>
      <c r="F238" s="3"/>
    </row>
    <row r="239" spans="1:6" ht="12.75" x14ac:dyDescent="0.2">
      <c r="A239" s="3"/>
      <c r="B239" s="3"/>
      <c r="C239" s="3"/>
      <c r="D239" s="3"/>
      <c r="E239" s="3"/>
      <c r="F239" s="3"/>
    </row>
    <row r="240" spans="1:6" ht="12.75" x14ac:dyDescent="0.2">
      <c r="A240" s="3"/>
      <c r="B240" s="3"/>
      <c r="C240" s="3"/>
      <c r="D240" s="3"/>
      <c r="E240" s="3"/>
      <c r="F240" s="3"/>
    </row>
    <row r="241" spans="1:6" ht="12.75" x14ac:dyDescent="0.2">
      <c r="A241" s="3"/>
      <c r="B241" s="3"/>
      <c r="C241" s="3"/>
      <c r="D241" s="3"/>
      <c r="E241" s="3"/>
      <c r="F241" s="3"/>
    </row>
    <row r="242" spans="1:6" ht="12.75" x14ac:dyDescent="0.2">
      <c r="A242" s="3"/>
      <c r="B242" s="3"/>
      <c r="C242" s="3"/>
      <c r="D242" s="3"/>
      <c r="E242" s="3"/>
      <c r="F242" s="3"/>
    </row>
    <row r="243" spans="1:6" ht="12.75" x14ac:dyDescent="0.2">
      <c r="A243" s="3"/>
      <c r="B243" s="3"/>
      <c r="C243" s="3"/>
      <c r="D243" s="3"/>
      <c r="E243" s="3"/>
      <c r="F243" s="3"/>
    </row>
    <row r="244" spans="1:6" ht="12.75" x14ac:dyDescent="0.2">
      <c r="A244" s="3"/>
      <c r="B244" s="3"/>
      <c r="C244" s="3"/>
      <c r="D244" s="3"/>
      <c r="E244" s="3"/>
      <c r="F244" s="3"/>
    </row>
    <row r="245" spans="1:6" ht="12.75" x14ac:dyDescent="0.2">
      <c r="A245" s="3"/>
      <c r="B245" s="3"/>
      <c r="C245" s="3"/>
      <c r="D245" s="3"/>
      <c r="E245" s="3"/>
      <c r="F245" s="3"/>
    </row>
    <row r="246" spans="1:6" ht="12.75" x14ac:dyDescent="0.2">
      <c r="A246" s="3"/>
      <c r="B246" s="3"/>
      <c r="C246" s="3"/>
      <c r="D246" s="3"/>
      <c r="E246" s="3"/>
      <c r="F246" s="3"/>
    </row>
    <row r="247" spans="1:6" ht="12.75" x14ac:dyDescent="0.2">
      <c r="A247" s="3"/>
      <c r="B247" s="3"/>
      <c r="C247" s="3"/>
      <c r="D247" s="3"/>
      <c r="E247" s="3"/>
      <c r="F247" s="3"/>
    </row>
    <row r="248" spans="1:6" ht="12.75" x14ac:dyDescent="0.2">
      <c r="A248" s="3"/>
      <c r="B248" s="3"/>
      <c r="C248" s="3"/>
      <c r="D248" s="3"/>
      <c r="E248" s="3"/>
      <c r="F248" s="3"/>
    </row>
    <row r="249" spans="1:6" ht="12.75" x14ac:dyDescent="0.2">
      <c r="A249" s="3"/>
      <c r="B249" s="3"/>
      <c r="C249" s="3"/>
      <c r="D249" s="3"/>
      <c r="E249" s="3"/>
      <c r="F249" s="3"/>
    </row>
    <row r="250" spans="1:6" ht="12.75" x14ac:dyDescent="0.2">
      <c r="A250" s="3"/>
      <c r="B250" s="3"/>
      <c r="C250" s="3"/>
      <c r="D250" s="3"/>
      <c r="E250" s="3"/>
      <c r="F250" s="3"/>
    </row>
    <row r="251" spans="1:6" ht="12.75" x14ac:dyDescent="0.2">
      <c r="A251" s="3"/>
      <c r="B251" s="3"/>
      <c r="C251" s="3"/>
      <c r="D251" s="3"/>
      <c r="E251" s="3"/>
      <c r="F251" s="3"/>
    </row>
    <row r="252" spans="1:6" ht="12.75" x14ac:dyDescent="0.2">
      <c r="A252" s="3"/>
      <c r="B252" s="3"/>
      <c r="C252" s="3"/>
      <c r="D252" s="3"/>
      <c r="E252" s="3"/>
      <c r="F252" s="3"/>
    </row>
    <row r="253" spans="1:6" ht="12.75" x14ac:dyDescent="0.2">
      <c r="A253" s="3"/>
      <c r="B253" s="3"/>
      <c r="C253" s="3"/>
      <c r="D253" s="3"/>
      <c r="E253" s="3"/>
      <c r="F253" s="3"/>
    </row>
    <row r="254" spans="1:6" ht="12.75" x14ac:dyDescent="0.2">
      <c r="A254" s="3"/>
      <c r="B254" s="3"/>
      <c r="C254" s="3"/>
      <c r="D254" s="3"/>
      <c r="E254" s="3"/>
      <c r="F254" s="3"/>
    </row>
    <row r="255" spans="1:6" ht="12.75" x14ac:dyDescent="0.2">
      <c r="A255" s="3"/>
      <c r="B255" s="3"/>
      <c r="C255" s="3"/>
      <c r="D255" s="3"/>
      <c r="E255" s="3"/>
      <c r="F255" s="3"/>
    </row>
    <row r="256" spans="1:6" ht="12.75" x14ac:dyDescent="0.2">
      <c r="A256" s="3"/>
      <c r="B256" s="3"/>
      <c r="C256" s="3"/>
      <c r="D256" s="3"/>
      <c r="E256" s="3"/>
      <c r="F256" s="3"/>
    </row>
    <row r="257" spans="1:6" ht="12.75" x14ac:dyDescent="0.2">
      <c r="A257" s="3"/>
      <c r="B257" s="3"/>
      <c r="C257" s="3"/>
      <c r="D257" s="3"/>
      <c r="E257" s="3"/>
      <c r="F257" s="3"/>
    </row>
    <row r="258" spans="1:6" ht="12.75" x14ac:dyDescent="0.2">
      <c r="A258" s="3"/>
      <c r="B258" s="3"/>
      <c r="C258" s="3"/>
      <c r="D258" s="3"/>
      <c r="E258" s="3"/>
      <c r="F258" s="3"/>
    </row>
    <row r="259" spans="1:6" ht="12.75" x14ac:dyDescent="0.2">
      <c r="A259" s="3"/>
      <c r="B259" s="3"/>
      <c r="C259" s="3"/>
      <c r="D259" s="3"/>
      <c r="E259" s="3"/>
      <c r="F259" s="3"/>
    </row>
    <row r="260" spans="1:6" ht="12.75" x14ac:dyDescent="0.2">
      <c r="A260" s="3"/>
      <c r="B260" s="3"/>
      <c r="C260" s="3"/>
      <c r="D260" s="3"/>
      <c r="E260" s="3"/>
      <c r="F260" s="3"/>
    </row>
    <row r="261" spans="1:6" ht="12.75" x14ac:dyDescent="0.2">
      <c r="A261" s="3"/>
      <c r="B261" s="3"/>
      <c r="C261" s="3"/>
      <c r="D261" s="3"/>
      <c r="E261" s="3"/>
      <c r="F261" s="3"/>
    </row>
    <row r="262" spans="1:6" ht="12.75" x14ac:dyDescent="0.2">
      <c r="A262" s="3"/>
      <c r="B262" s="3"/>
      <c r="C262" s="3"/>
      <c r="D262" s="3"/>
      <c r="E262" s="3"/>
      <c r="F262" s="3"/>
    </row>
    <row r="263" spans="1:6" ht="12.75" x14ac:dyDescent="0.2">
      <c r="A263" s="3"/>
      <c r="B263" s="3"/>
      <c r="C263" s="3"/>
      <c r="D263" s="3"/>
      <c r="E263" s="3"/>
      <c r="F263" s="3"/>
    </row>
    <row r="264" spans="1:6" ht="12.75" x14ac:dyDescent="0.2">
      <c r="A264" s="3"/>
      <c r="B264" s="3"/>
      <c r="C264" s="3"/>
      <c r="D264" s="3"/>
      <c r="E264" s="3"/>
      <c r="F264" s="3"/>
    </row>
    <row r="265" spans="1:6" ht="12.75" x14ac:dyDescent="0.2">
      <c r="A265" s="3"/>
      <c r="B265" s="3"/>
      <c r="C265" s="3"/>
      <c r="D265" s="3"/>
      <c r="E265" s="3"/>
      <c r="F265" s="3"/>
    </row>
    <row r="266" spans="1:6" ht="12.75" x14ac:dyDescent="0.2">
      <c r="A266" s="3"/>
      <c r="B266" s="3"/>
      <c r="C266" s="3"/>
      <c r="D266" s="3"/>
      <c r="E266" s="3"/>
      <c r="F266" s="3"/>
    </row>
    <row r="267" spans="1:6" ht="12.75" x14ac:dyDescent="0.2">
      <c r="A267" s="3"/>
      <c r="B267" s="3"/>
      <c r="C267" s="3"/>
      <c r="D267" s="3"/>
      <c r="E267" s="3"/>
      <c r="F267" s="3"/>
    </row>
    <row r="268" spans="1:6" ht="12.75" x14ac:dyDescent="0.2">
      <c r="A268" s="3"/>
      <c r="B268" s="3"/>
      <c r="C268" s="3"/>
      <c r="D268" s="3"/>
      <c r="E268" s="3"/>
      <c r="F268" s="3"/>
    </row>
    <row r="269" spans="1:6" ht="12.75" x14ac:dyDescent="0.2">
      <c r="A269" s="3"/>
      <c r="B269" s="3"/>
      <c r="C269" s="3"/>
      <c r="D269" s="3"/>
      <c r="E269" s="3"/>
      <c r="F269" s="3"/>
    </row>
    <row r="270" spans="1:6" ht="12.75" x14ac:dyDescent="0.2">
      <c r="A270" s="3"/>
      <c r="B270" s="3"/>
      <c r="C270" s="3"/>
      <c r="D270" s="3"/>
      <c r="E270" s="3"/>
      <c r="F270" s="3"/>
    </row>
    <row r="271" spans="1:6" ht="12.75" x14ac:dyDescent="0.2">
      <c r="A271" s="3"/>
      <c r="B271" s="3"/>
      <c r="C271" s="3"/>
      <c r="D271" s="3"/>
      <c r="E271" s="3"/>
      <c r="F271" s="3"/>
    </row>
    <row r="272" spans="1:6" ht="12.75" x14ac:dyDescent="0.2">
      <c r="A272" s="3"/>
      <c r="B272" s="3"/>
      <c r="C272" s="3"/>
      <c r="D272" s="3"/>
      <c r="E272" s="3"/>
      <c r="F272" s="3"/>
    </row>
    <row r="273" spans="1:6" ht="12.75" x14ac:dyDescent="0.2">
      <c r="A273" s="3"/>
      <c r="B273" s="3"/>
      <c r="C273" s="3"/>
      <c r="D273" s="3"/>
      <c r="E273" s="3"/>
      <c r="F273" s="3"/>
    </row>
    <row r="274" spans="1:6" ht="12.75" x14ac:dyDescent="0.2">
      <c r="A274" s="3"/>
      <c r="B274" s="3"/>
      <c r="C274" s="3"/>
      <c r="D274" s="3"/>
      <c r="E274" s="3"/>
      <c r="F274" s="3"/>
    </row>
    <row r="275" spans="1:6" ht="12.75" x14ac:dyDescent="0.2">
      <c r="A275" s="3"/>
      <c r="B275" s="3"/>
      <c r="C275" s="3"/>
      <c r="D275" s="3"/>
      <c r="E275" s="3"/>
      <c r="F275" s="3"/>
    </row>
    <row r="276" spans="1:6" ht="12.75" x14ac:dyDescent="0.2">
      <c r="A276" s="3"/>
      <c r="B276" s="3"/>
      <c r="C276" s="3"/>
      <c r="D276" s="3"/>
      <c r="E276" s="3"/>
      <c r="F276" s="3"/>
    </row>
    <row r="277" spans="1:6" ht="12.75" x14ac:dyDescent="0.2">
      <c r="A277" s="3"/>
      <c r="B277" s="3"/>
      <c r="C277" s="3"/>
      <c r="D277" s="3"/>
      <c r="E277" s="3"/>
      <c r="F277" s="3"/>
    </row>
    <row r="278" spans="1:6" ht="12.75" x14ac:dyDescent="0.2">
      <c r="A278" s="3"/>
      <c r="B278" s="3"/>
      <c r="C278" s="3"/>
      <c r="D278" s="3"/>
      <c r="E278" s="3"/>
      <c r="F278" s="3"/>
    </row>
    <row r="279" spans="1:6" ht="12.75" x14ac:dyDescent="0.2">
      <c r="A279" s="3"/>
      <c r="B279" s="3"/>
      <c r="C279" s="3"/>
      <c r="D279" s="3"/>
      <c r="E279" s="3"/>
      <c r="F279" s="3"/>
    </row>
    <row r="280" spans="1:6" ht="12.75" x14ac:dyDescent="0.2">
      <c r="A280" s="3"/>
      <c r="B280" s="3"/>
      <c r="C280" s="3"/>
      <c r="D280" s="3"/>
      <c r="E280" s="3"/>
      <c r="F280" s="3"/>
    </row>
    <row r="281" spans="1:6" ht="12.75" x14ac:dyDescent="0.2">
      <c r="A281" s="3"/>
      <c r="B281" s="3"/>
      <c r="C281" s="3"/>
      <c r="D281" s="3"/>
      <c r="E281" s="3"/>
      <c r="F281" s="3"/>
    </row>
    <row r="282" spans="1:6" ht="12.75" x14ac:dyDescent="0.2">
      <c r="A282" s="3"/>
      <c r="B282" s="3"/>
      <c r="C282" s="3"/>
      <c r="D282" s="3"/>
      <c r="E282" s="3"/>
      <c r="F282" s="3"/>
    </row>
    <row r="283" spans="1:6" ht="12.75" x14ac:dyDescent="0.2">
      <c r="A283" s="3"/>
      <c r="B283" s="3"/>
      <c r="C283" s="3"/>
      <c r="D283" s="3"/>
      <c r="E283" s="3"/>
      <c r="F283" s="3"/>
    </row>
    <row r="284" spans="1:6" ht="12.75" x14ac:dyDescent="0.2">
      <c r="A284" s="3"/>
      <c r="B284" s="3"/>
      <c r="C284" s="3"/>
      <c r="D284" s="3"/>
      <c r="E284" s="3"/>
      <c r="F284" s="3"/>
    </row>
    <row r="285" spans="1:6" ht="12.75" x14ac:dyDescent="0.2">
      <c r="A285" s="3"/>
      <c r="B285" s="3"/>
      <c r="C285" s="3"/>
      <c r="D285" s="3"/>
      <c r="E285" s="3"/>
      <c r="F285" s="3"/>
    </row>
    <row r="286" spans="1:6" ht="12.75" x14ac:dyDescent="0.2">
      <c r="A286" s="3"/>
      <c r="B286" s="3"/>
      <c r="C286" s="3"/>
      <c r="D286" s="3"/>
      <c r="E286" s="3"/>
      <c r="F286" s="3"/>
    </row>
    <row r="287" spans="1:6" ht="12.75" x14ac:dyDescent="0.2">
      <c r="A287" s="3"/>
      <c r="B287" s="3"/>
      <c r="C287" s="3"/>
      <c r="D287" s="3"/>
      <c r="E287" s="3"/>
      <c r="F287" s="3"/>
    </row>
    <row r="288" spans="1:6" ht="12.75" x14ac:dyDescent="0.2">
      <c r="A288" s="3"/>
      <c r="B288" s="3"/>
      <c r="C288" s="3"/>
      <c r="D288" s="3"/>
      <c r="E288" s="3"/>
      <c r="F288" s="3"/>
    </row>
    <row r="289" spans="1:6" ht="12.75" x14ac:dyDescent="0.2">
      <c r="A289" s="3"/>
      <c r="B289" s="3"/>
      <c r="C289" s="3"/>
      <c r="D289" s="3"/>
      <c r="E289" s="3"/>
      <c r="F289" s="3"/>
    </row>
    <row r="290" spans="1:6" ht="12.75" x14ac:dyDescent="0.2">
      <c r="A290" s="3"/>
      <c r="B290" s="3"/>
      <c r="C290" s="3"/>
      <c r="D290" s="3"/>
      <c r="E290" s="3"/>
      <c r="F290" s="3"/>
    </row>
    <row r="291" spans="1:6" ht="12.75" x14ac:dyDescent="0.2">
      <c r="A291" s="3"/>
      <c r="B291" s="3"/>
      <c r="C291" s="3"/>
      <c r="D291" s="3"/>
      <c r="E291" s="3"/>
      <c r="F291" s="3"/>
    </row>
    <row r="292" spans="1:6" ht="12.75" x14ac:dyDescent="0.2">
      <c r="A292" s="3"/>
      <c r="B292" s="3"/>
      <c r="C292" s="3"/>
      <c r="D292" s="3"/>
      <c r="E292" s="3"/>
      <c r="F292" s="3"/>
    </row>
    <row r="293" spans="1:6" ht="12.75" x14ac:dyDescent="0.2">
      <c r="A293" s="3"/>
      <c r="B293" s="3"/>
      <c r="C293" s="3"/>
      <c r="D293" s="3"/>
      <c r="E293" s="3"/>
      <c r="F293" s="3"/>
    </row>
    <row r="294" spans="1:6" ht="12.75" x14ac:dyDescent="0.2">
      <c r="A294" s="3"/>
      <c r="B294" s="3"/>
      <c r="C294" s="3"/>
      <c r="D294" s="3"/>
      <c r="E294" s="3"/>
      <c r="F294" s="3"/>
    </row>
    <row r="295" spans="1:6" ht="12.75" x14ac:dyDescent="0.2">
      <c r="A295" s="3"/>
      <c r="B295" s="3"/>
      <c r="C295" s="3"/>
      <c r="D295" s="3"/>
      <c r="E295" s="3"/>
      <c r="F295" s="3"/>
    </row>
    <row r="296" spans="1:6" ht="12.75" x14ac:dyDescent="0.2">
      <c r="A296" s="3"/>
      <c r="B296" s="3"/>
      <c r="C296" s="3"/>
      <c r="D296" s="3"/>
      <c r="E296" s="3"/>
      <c r="F296" s="3"/>
    </row>
    <row r="297" spans="1:6" ht="12.75" x14ac:dyDescent="0.2">
      <c r="A297" s="3"/>
      <c r="B297" s="3"/>
      <c r="C297" s="3"/>
      <c r="D297" s="3"/>
      <c r="E297" s="3"/>
      <c r="F297" s="3"/>
    </row>
    <row r="298" spans="1:6" ht="12.75" x14ac:dyDescent="0.2">
      <c r="A298" s="3"/>
      <c r="B298" s="3"/>
      <c r="C298" s="3"/>
      <c r="D298" s="3"/>
      <c r="E298" s="3"/>
      <c r="F298" s="3"/>
    </row>
    <row r="299" spans="1:6" ht="12.75" x14ac:dyDescent="0.2">
      <c r="A299" s="3"/>
      <c r="B299" s="3"/>
      <c r="C299" s="3"/>
      <c r="D299" s="3"/>
      <c r="E299" s="3"/>
      <c r="F299" s="3"/>
    </row>
    <row r="300" spans="1:6" ht="12.75" x14ac:dyDescent="0.2">
      <c r="A300" s="3"/>
      <c r="B300" s="3"/>
      <c r="C300" s="3"/>
      <c r="D300" s="3"/>
      <c r="E300" s="3"/>
      <c r="F300" s="3"/>
    </row>
    <row r="301" spans="1:6" ht="12.75" x14ac:dyDescent="0.2">
      <c r="A301" s="3"/>
      <c r="B301" s="3"/>
      <c r="C301" s="3"/>
      <c r="D301" s="3"/>
      <c r="E301" s="3"/>
      <c r="F301" s="3"/>
    </row>
    <row r="302" spans="1:6" ht="12.75" x14ac:dyDescent="0.2">
      <c r="A302" s="3"/>
      <c r="B302" s="3"/>
      <c r="C302" s="3"/>
      <c r="D302" s="3"/>
      <c r="E302" s="3"/>
      <c r="F302" s="3"/>
    </row>
    <row r="303" spans="1:6" ht="12.75" x14ac:dyDescent="0.2">
      <c r="A303" s="3"/>
      <c r="B303" s="3"/>
      <c r="C303" s="3"/>
      <c r="D303" s="3"/>
      <c r="E303" s="3"/>
      <c r="F303" s="3"/>
    </row>
    <row r="304" spans="1:6" ht="12.75" x14ac:dyDescent="0.2">
      <c r="A304" s="3"/>
      <c r="B304" s="3"/>
      <c r="C304" s="3"/>
      <c r="D304" s="3"/>
      <c r="E304" s="3"/>
      <c r="F304" s="3"/>
    </row>
    <row r="305" spans="1:6" ht="12.75" x14ac:dyDescent="0.2">
      <c r="A305" s="3"/>
      <c r="B305" s="3"/>
      <c r="C305" s="3"/>
      <c r="D305" s="3"/>
      <c r="E305" s="3"/>
      <c r="F305" s="3"/>
    </row>
    <row r="306" spans="1:6" ht="12.75" x14ac:dyDescent="0.2">
      <c r="A306" s="3"/>
      <c r="B306" s="3"/>
      <c r="C306" s="3"/>
      <c r="D306" s="3"/>
      <c r="E306" s="3"/>
      <c r="F306" s="3"/>
    </row>
    <row r="307" spans="1:6" ht="12.75" x14ac:dyDescent="0.2">
      <c r="A307" s="3"/>
      <c r="B307" s="3"/>
      <c r="C307" s="3"/>
      <c r="D307" s="3"/>
      <c r="E307" s="3"/>
      <c r="F307" s="3"/>
    </row>
    <row r="308" spans="1:6" ht="12.75" x14ac:dyDescent="0.2">
      <c r="A308" s="3"/>
      <c r="B308" s="3"/>
      <c r="C308" s="3"/>
      <c r="D308" s="3"/>
      <c r="E308" s="3"/>
      <c r="F308" s="3"/>
    </row>
    <row r="309" spans="1:6" ht="12.75" x14ac:dyDescent="0.2">
      <c r="A309" s="3"/>
      <c r="B309" s="3"/>
      <c r="C309" s="3"/>
      <c r="D309" s="3"/>
      <c r="E309" s="3"/>
      <c r="F309" s="3"/>
    </row>
    <row r="310" spans="1:6" ht="12.75" x14ac:dyDescent="0.2">
      <c r="A310" s="3"/>
      <c r="B310" s="3"/>
      <c r="C310" s="3"/>
      <c r="D310" s="3"/>
      <c r="E310" s="3"/>
      <c r="F310" s="3"/>
    </row>
    <row r="311" spans="1:6" ht="12.75" x14ac:dyDescent="0.2">
      <c r="A311" s="3"/>
      <c r="B311" s="3"/>
      <c r="C311" s="3"/>
      <c r="D311" s="3"/>
      <c r="E311" s="3"/>
      <c r="F311" s="3"/>
    </row>
    <row r="312" spans="1:6" ht="12.75" x14ac:dyDescent="0.2">
      <c r="A312" s="3"/>
      <c r="B312" s="3"/>
      <c r="C312" s="3"/>
      <c r="D312" s="3"/>
      <c r="E312" s="3"/>
      <c r="F312" s="3"/>
    </row>
    <row r="313" spans="1:6" ht="12.75" x14ac:dyDescent="0.2">
      <c r="A313" s="3"/>
      <c r="B313" s="3"/>
      <c r="C313" s="3"/>
      <c r="D313" s="3"/>
      <c r="E313" s="3"/>
      <c r="F313" s="3"/>
    </row>
    <row r="314" spans="1:6" ht="12.75" x14ac:dyDescent="0.2">
      <c r="A314" s="3"/>
      <c r="B314" s="3"/>
      <c r="C314" s="3"/>
      <c r="D314" s="3"/>
      <c r="E314" s="3"/>
      <c r="F314" s="3"/>
    </row>
    <row r="315" spans="1:6" ht="12.75" x14ac:dyDescent="0.2">
      <c r="A315" s="3"/>
      <c r="B315" s="3"/>
      <c r="C315" s="3"/>
      <c r="D315" s="3"/>
      <c r="E315" s="3"/>
      <c r="F315" s="3"/>
    </row>
    <row r="316" spans="1:6" ht="12.75" x14ac:dyDescent="0.2">
      <c r="A316" s="3"/>
      <c r="B316" s="3"/>
      <c r="C316" s="3"/>
      <c r="D316" s="3"/>
      <c r="E316" s="3"/>
      <c r="F316" s="3"/>
    </row>
    <row r="317" spans="1:6" ht="12.75" x14ac:dyDescent="0.2">
      <c r="A317" s="3"/>
      <c r="B317" s="3"/>
      <c r="C317" s="3"/>
      <c r="D317" s="3"/>
      <c r="E317" s="3"/>
      <c r="F317" s="3"/>
    </row>
    <row r="318" spans="1:6" ht="12.75" x14ac:dyDescent="0.2">
      <c r="A318" s="3"/>
      <c r="B318" s="3"/>
      <c r="C318" s="3"/>
      <c r="D318" s="3"/>
      <c r="E318" s="3"/>
      <c r="F318" s="3"/>
    </row>
    <row r="319" spans="1:6" ht="12.75" x14ac:dyDescent="0.2">
      <c r="A319" s="3"/>
      <c r="B319" s="3"/>
      <c r="C319" s="3"/>
      <c r="D319" s="3"/>
      <c r="E319" s="3"/>
      <c r="F319" s="3"/>
    </row>
    <row r="320" spans="1:6" ht="12.75" x14ac:dyDescent="0.2">
      <c r="A320" s="3"/>
      <c r="B320" s="3"/>
      <c r="C320" s="3"/>
      <c r="D320" s="3"/>
      <c r="E320" s="3"/>
      <c r="F320" s="3"/>
    </row>
    <row r="321" spans="1:6" ht="12.75" x14ac:dyDescent="0.2">
      <c r="A321" s="3"/>
      <c r="B321" s="3"/>
      <c r="C321" s="3"/>
      <c r="D321" s="3"/>
      <c r="E321" s="3"/>
      <c r="F321" s="3"/>
    </row>
    <row r="322" spans="1:6" ht="12.75" x14ac:dyDescent="0.2">
      <c r="A322" s="3"/>
      <c r="B322" s="3"/>
      <c r="C322" s="3"/>
      <c r="D322" s="3"/>
      <c r="E322" s="3"/>
      <c r="F322" s="3"/>
    </row>
    <row r="323" spans="1:6" ht="12.75" x14ac:dyDescent="0.2">
      <c r="A323" s="3"/>
      <c r="B323" s="3"/>
      <c r="C323" s="3"/>
      <c r="D323" s="3"/>
      <c r="E323" s="3"/>
      <c r="F323" s="3"/>
    </row>
    <row r="324" spans="1:6" ht="12.75" x14ac:dyDescent="0.2">
      <c r="A324" s="3"/>
      <c r="B324" s="3"/>
      <c r="C324" s="3"/>
      <c r="D324" s="3"/>
      <c r="E324" s="3"/>
      <c r="F324" s="3"/>
    </row>
    <row r="325" spans="1:6" ht="12.75" x14ac:dyDescent="0.2">
      <c r="A325" s="3"/>
      <c r="B325" s="3"/>
      <c r="C325" s="3"/>
      <c r="D325" s="3"/>
      <c r="E325" s="3"/>
      <c r="F325" s="3"/>
    </row>
    <row r="326" spans="1:6" ht="12.75" x14ac:dyDescent="0.2">
      <c r="A326" s="3"/>
      <c r="B326" s="3"/>
      <c r="C326" s="3"/>
      <c r="D326" s="3"/>
      <c r="E326" s="3"/>
      <c r="F326" s="3"/>
    </row>
    <row r="327" spans="1:6" ht="12.75" x14ac:dyDescent="0.2">
      <c r="A327" s="3"/>
      <c r="B327" s="3"/>
      <c r="C327" s="3"/>
      <c r="D327" s="3"/>
      <c r="E327" s="3"/>
      <c r="F327" s="3"/>
    </row>
    <row r="328" spans="1:6" ht="12.75" x14ac:dyDescent="0.2">
      <c r="A328" s="3"/>
      <c r="B328" s="3"/>
      <c r="C328" s="3"/>
      <c r="D328" s="3"/>
      <c r="E328" s="3"/>
      <c r="F328" s="3"/>
    </row>
    <row r="329" spans="1:6" ht="12.75" x14ac:dyDescent="0.2">
      <c r="A329" s="3"/>
      <c r="B329" s="3"/>
      <c r="C329" s="3"/>
      <c r="D329" s="3"/>
      <c r="E329" s="3"/>
      <c r="F329" s="3"/>
    </row>
    <row r="330" spans="1:6" ht="12.75" x14ac:dyDescent="0.2">
      <c r="A330" s="3"/>
      <c r="B330" s="3"/>
      <c r="C330" s="3"/>
      <c r="D330" s="3"/>
      <c r="E330" s="3"/>
      <c r="F330" s="3"/>
    </row>
    <row r="331" spans="1:6" ht="12.75" x14ac:dyDescent="0.2">
      <c r="A331" s="3"/>
      <c r="B331" s="3"/>
      <c r="C331" s="3"/>
      <c r="D331" s="3"/>
      <c r="E331" s="3"/>
      <c r="F331" s="3"/>
    </row>
    <row r="332" spans="1:6" ht="12.75" x14ac:dyDescent="0.2">
      <c r="A332" s="3"/>
      <c r="B332" s="3"/>
      <c r="C332" s="3"/>
      <c r="D332" s="3"/>
      <c r="E332" s="3"/>
      <c r="F332" s="3"/>
    </row>
    <row r="333" spans="1:6" ht="12.75" x14ac:dyDescent="0.2">
      <c r="A333" s="3"/>
      <c r="B333" s="3"/>
      <c r="C333" s="3"/>
      <c r="D333" s="3"/>
      <c r="E333" s="3"/>
      <c r="F333" s="3"/>
    </row>
    <row r="334" spans="1:6" ht="12.75" x14ac:dyDescent="0.2">
      <c r="A334" s="3"/>
      <c r="B334" s="3"/>
      <c r="C334" s="3"/>
      <c r="D334" s="3"/>
      <c r="E334" s="3"/>
      <c r="F334" s="3"/>
    </row>
    <row r="335" spans="1:6" ht="12.75" x14ac:dyDescent="0.2">
      <c r="A335" s="3"/>
      <c r="B335" s="3"/>
      <c r="C335" s="3"/>
      <c r="D335" s="3"/>
      <c r="E335" s="3"/>
      <c r="F335" s="3"/>
    </row>
    <row r="336" spans="1:6" ht="12.75" x14ac:dyDescent="0.2">
      <c r="A336" s="3"/>
      <c r="B336" s="3"/>
      <c r="C336" s="3"/>
      <c r="D336" s="3"/>
      <c r="E336" s="3"/>
      <c r="F336" s="3"/>
    </row>
    <row r="337" spans="1:6" ht="12.75" x14ac:dyDescent="0.2">
      <c r="A337" s="3"/>
      <c r="B337" s="3"/>
      <c r="C337" s="3"/>
      <c r="D337" s="3"/>
      <c r="E337" s="3"/>
      <c r="F337" s="3"/>
    </row>
    <row r="338" spans="1:6" ht="12.75" x14ac:dyDescent="0.2">
      <c r="A338" s="3"/>
      <c r="B338" s="3"/>
      <c r="C338" s="3"/>
      <c r="D338" s="3"/>
      <c r="E338" s="3"/>
      <c r="F338" s="3"/>
    </row>
    <row r="339" spans="1:6" ht="12.75" x14ac:dyDescent="0.2">
      <c r="A339" s="3"/>
      <c r="B339" s="3"/>
      <c r="C339" s="3"/>
      <c r="D339" s="3"/>
      <c r="E339" s="3"/>
      <c r="F339" s="3"/>
    </row>
    <row r="340" spans="1:6" ht="12.75" x14ac:dyDescent="0.2">
      <c r="A340" s="3"/>
      <c r="B340" s="3"/>
      <c r="C340" s="3"/>
      <c r="D340" s="3"/>
      <c r="E340" s="3"/>
      <c r="F340" s="3"/>
    </row>
    <row r="341" spans="1:6" ht="12.75" x14ac:dyDescent="0.2">
      <c r="A341" s="3"/>
      <c r="B341" s="3"/>
      <c r="C341" s="3"/>
      <c r="D341" s="3"/>
      <c r="E341" s="3"/>
      <c r="F341" s="3"/>
    </row>
    <row r="342" spans="1:6" ht="12.75" x14ac:dyDescent="0.2">
      <c r="A342" s="3"/>
      <c r="B342" s="3"/>
      <c r="C342" s="3"/>
      <c r="D342" s="3"/>
      <c r="E342" s="3"/>
      <c r="F342" s="3"/>
    </row>
    <row r="343" spans="1:6" ht="12.75" x14ac:dyDescent="0.2">
      <c r="A343" s="3"/>
      <c r="B343" s="3"/>
      <c r="C343" s="3"/>
      <c r="D343" s="3"/>
      <c r="E343" s="3"/>
      <c r="F343" s="3"/>
    </row>
    <row r="344" spans="1:6" ht="12.75" x14ac:dyDescent="0.2">
      <c r="A344" s="3"/>
      <c r="B344" s="3"/>
      <c r="C344" s="3"/>
      <c r="D344" s="3"/>
      <c r="E344" s="3"/>
      <c r="F344" s="3"/>
    </row>
    <row r="345" spans="1:6" ht="12.75" x14ac:dyDescent="0.2">
      <c r="A345" s="3"/>
      <c r="B345" s="3"/>
      <c r="C345" s="3"/>
      <c r="D345" s="3"/>
      <c r="E345" s="3"/>
      <c r="F345" s="3"/>
    </row>
    <row r="346" spans="1:6" ht="12.75" x14ac:dyDescent="0.2">
      <c r="A346" s="3"/>
      <c r="B346" s="3"/>
      <c r="C346" s="3"/>
      <c r="D346" s="3"/>
      <c r="E346" s="3"/>
      <c r="F346" s="3"/>
    </row>
    <row r="347" spans="1:6" ht="12.75" x14ac:dyDescent="0.2">
      <c r="A347" s="3"/>
      <c r="B347" s="3"/>
      <c r="C347" s="3"/>
      <c r="D347" s="3"/>
      <c r="E347" s="3"/>
      <c r="F347" s="3"/>
    </row>
    <row r="348" spans="1:6" ht="12.75" x14ac:dyDescent="0.2">
      <c r="A348" s="3"/>
      <c r="B348" s="3"/>
      <c r="C348" s="3"/>
      <c r="D348" s="3"/>
      <c r="E348" s="3"/>
      <c r="F348" s="3"/>
    </row>
    <row r="349" spans="1:6" ht="12.75" x14ac:dyDescent="0.2">
      <c r="A349" s="3"/>
      <c r="B349" s="3"/>
      <c r="C349" s="3"/>
      <c r="D349" s="3"/>
      <c r="E349" s="3"/>
      <c r="F349" s="3"/>
    </row>
    <row r="350" spans="1:6" ht="12.75" x14ac:dyDescent="0.2">
      <c r="A350" s="3"/>
      <c r="B350" s="3"/>
      <c r="C350" s="3"/>
      <c r="D350" s="3"/>
      <c r="E350" s="3"/>
      <c r="F350" s="3"/>
    </row>
    <row r="351" spans="1:6" ht="12.75" x14ac:dyDescent="0.2">
      <c r="A351" s="3"/>
      <c r="B351" s="3"/>
      <c r="C351" s="3"/>
      <c r="D351" s="3"/>
      <c r="E351" s="3"/>
      <c r="F351" s="3"/>
    </row>
    <row r="352" spans="1:6" ht="12.75" x14ac:dyDescent="0.2">
      <c r="A352" s="3"/>
      <c r="B352" s="3"/>
      <c r="C352" s="3"/>
      <c r="D352" s="3"/>
      <c r="E352" s="3"/>
      <c r="F352" s="3"/>
    </row>
    <row r="353" spans="1:6" ht="12.75" x14ac:dyDescent="0.2">
      <c r="A353" s="3"/>
      <c r="B353" s="3"/>
      <c r="C353" s="3"/>
      <c r="D353" s="3"/>
      <c r="E353" s="3"/>
      <c r="F353" s="3"/>
    </row>
    <row r="354" spans="1:6" ht="12.75" x14ac:dyDescent="0.2">
      <c r="A354" s="3"/>
      <c r="B354" s="3"/>
      <c r="C354" s="3"/>
      <c r="D354" s="3"/>
      <c r="E354" s="3"/>
      <c r="F354" s="3"/>
    </row>
    <row r="355" spans="1:6" ht="12.75" x14ac:dyDescent="0.2">
      <c r="A355" s="3"/>
      <c r="B355" s="3"/>
      <c r="C355" s="3"/>
      <c r="D355" s="3"/>
      <c r="E355" s="3"/>
      <c r="F355" s="3"/>
    </row>
    <row r="356" spans="1:6" ht="12.75" x14ac:dyDescent="0.2">
      <c r="A356" s="3"/>
      <c r="B356" s="3"/>
      <c r="C356" s="3"/>
      <c r="D356" s="3"/>
      <c r="E356" s="3"/>
      <c r="F356" s="3"/>
    </row>
    <row r="357" spans="1:6" ht="12.75" x14ac:dyDescent="0.2">
      <c r="A357" s="3"/>
      <c r="B357" s="3"/>
      <c r="C357" s="3"/>
      <c r="D357" s="3"/>
      <c r="E357" s="3"/>
      <c r="F357" s="3"/>
    </row>
    <row r="358" spans="1:6" ht="12.75" x14ac:dyDescent="0.2">
      <c r="A358" s="3"/>
      <c r="B358" s="3"/>
      <c r="C358" s="3"/>
      <c r="D358" s="3"/>
      <c r="E358" s="3"/>
      <c r="F358" s="3"/>
    </row>
    <row r="359" spans="1:6" ht="12.75" x14ac:dyDescent="0.2">
      <c r="A359" s="3"/>
      <c r="B359" s="3"/>
      <c r="C359" s="3"/>
      <c r="D359" s="3"/>
      <c r="E359" s="3"/>
      <c r="F359" s="3"/>
    </row>
    <row r="360" spans="1:6" ht="12.75" x14ac:dyDescent="0.2">
      <c r="A360" s="3"/>
      <c r="B360" s="3"/>
      <c r="C360" s="3"/>
      <c r="D360" s="3"/>
      <c r="E360" s="3"/>
      <c r="F360" s="3"/>
    </row>
    <row r="361" spans="1:6" ht="12.75" x14ac:dyDescent="0.2">
      <c r="A361" s="3"/>
      <c r="B361" s="3"/>
      <c r="C361" s="3"/>
      <c r="D361" s="3"/>
      <c r="E361" s="3"/>
      <c r="F361" s="3"/>
    </row>
    <row r="362" spans="1:6" ht="12.75" x14ac:dyDescent="0.2">
      <c r="A362" s="3"/>
      <c r="B362" s="3"/>
      <c r="C362" s="3"/>
      <c r="D362" s="3"/>
      <c r="E362" s="3"/>
      <c r="F362" s="3"/>
    </row>
    <row r="363" spans="1:6" ht="12.75" x14ac:dyDescent="0.2">
      <c r="A363" s="3"/>
      <c r="B363" s="3"/>
      <c r="C363" s="3"/>
      <c r="D363" s="3"/>
      <c r="E363" s="3"/>
      <c r="F363" s="3"/>
    </row>
    <row r="364" spans="1:6" ht="12.75" x14ac:dyDescent="0.2">
      <c r="A364" s="3"/>
      <c r="B364" s="3"/>
      <c r="C364" s="3"/>
      <c r="D364" s="3"/>
      <c r="E364" s="3"/>
      <c r="F364" s="3"/>
    </row>
    <row r="365" spans="1:6" ht="12.75" x14ac:dyDescent="0.2">
      <c r="A365" s="3"/>
      <c r="B365" s="3"/>
      <c r="C365" s="3"/>
      <c r="D365" s="3"/>
      <c r="E365" s="3"/>
      <c r="F365" s="3"/>
    </row>
    <row r="366" spans="1:6" ht="12.75" x14ac:dyDescent="0.2">
      <c r="A366" s="3"/>
      <c r="B366" s="3"/>
      <c r="C366" s="3"/>
      <c r="D366" s="3"/>
      <c r="E366" s="3"/>
      <c r="F366" s="3"/>
    </row>
    <row r="367" spans="1:6" ht="12.75" x14ac:dyDescent="0.2">
      <c r="A367" s="3"/>
      <c r="B367" s="3"/>
      <c r="C367" s="3"/>
      <c r="D367" s="3"/>
      <c r="E367" s="3"/>
      <c r="F367" s="3"/>
    </row>
    <row r="368" spans="1:6" ht="12.75" x14ac:dyDescent="0.2">
      <c r="A368" s="3"/>
      <c r="B368" s="3"/>
      <c r="C368" s="3"/>
      <c r="D368" s="3"/>
      <c r="E368" s="3"/>
      <c r="F368" s="3"/>
    </row>
    <row r="369" spans="1:6" ht="12.75" x14ac:dyDescent="0.2">
      <c r="A369" s="3"/>
      <c r="B369" s="3"/>
      <c r="C369" s="3"/>
      <c r="D369" s="3"/>
      <c r="E369" s="3"/>
      <c r="F369" s="3"/>
    </row>
    <row r="370" spans="1:6" ht="12.75" x14ac:dyDescent="0.2">
      <c r="A370" s="3"/>
      <c r="B370" s="3"/>
      <c r="C370" s="3"/>
      <c r="D370" s="3"/>
      <c r="E370" s="3"/>
      <c r="F370" s="3"/>
    </row>
    <row r="371" spans="1:6" ht="12.75" x14ac:dyDescent="0.2">
      <c r="A371" s="3"/>
      <c r="B371" s="3"/>
      <c r="C371" s="3"/>
      <c r="D371" s="3"/>
      <c r="E371" s="3"/>
      <c r="F371" s="3"/>
    </row>
    <row r="372" spans="1:6" ht="12.75" x14ac:dyDescent="0.2">
      <c r="A372" s="3"/>
      <c r="B372" s="3"/>
      <c r="C372" s="3"/>
      <c r="D372" s="3"/>
      <c r="E372" s="3"/>
      <c r="F372" s="3"/>
    </row>
    <row r="373" spans="1:6" ht="12.75" x14ac:dyDescent="0.2">
      <c r="A373" s="3"/>
      <c r="B373" s="3"/>
      <c r="C373" s="3"/>
      <c r="D373" s="3"/>
      <c r="E373" s="3"/>
      <c r="F373" s="3"/>
    </row>
    <row r="374" spans="1:6" ht="12.75" x14ac:dyDescent="0.2">
      <c r="A374" s="3"/>
      <c r="B374" s="3"/>
      <c r="C374" s="3"/>
      <c r="D374" s="3"/>
      <c r="E374" s="3"/>
      <c r="F374" s="3"/>
    </row>
    <row r="375" spans="1:6" ht="12.75" x14ac:dyDescent="0.2">
      <c r="A375" s="3"/>
      <c r="B375" s="3"/>
      <c r="C375" s="3"/>
      <c r="D375" s="3"/>
      <c r="E375" s="3"/>
      <c r="F375" s="3"/>
    </row>
    <row r="376" spans="1:6" ht="12.75" x14ac:dyDescent="0.2">
      <c r="A376" s="3"/>
      <c r="B376" s="3"/>
      <c r="C376" s="3"/>
      <c r="D376" s="3"/>
      <c r="E376" s="3"/>
      <c r="F376" s="3"/>
    </row>
    <row r="377" spans="1:6" ht="12.75" x14ac:dyDescent="0.2">
      <c r="A377" s="3"/>
      <c r="B377" s="3"/>
      <c r="C377" s="3"/>
      <c r="D377" s="3"/>
      <c r="E377" s="3"/>
      <c r="F377" s="3"/>
    </row>
    <row r="378" spans="1:6" ht="12.75" x14ac:dyDescent="0.2">
      <c r="A378" s="3"/>
      <c r="B378" s="3"/>
      <c r="C378" s="3"/>
      <c r="D378" s="3"/>
      <c r="E378" s="3"/>
      <c r="F378" s="3"/>
    </row>
    <row r="379" spans="1:6" ht="12.75" x14ac:dyDescent="0.2">
      <c r="A379" s="3"/>
      <c r="B379" s="3"/>
      <c r="C379" s="3"/>
      <c r="D379" s="3"/>
      <c r="E379" s="3"/>
      <c r="F379" s="3"/>
    </row>
    <row r="380" spans="1:6" ht="12.75" x14ac:dyDescent="0.2">
      <c r="A380" s="3"/>
      <c r="B380" s="3"/>
      <c r="C380" s="3"/>
      <c r="D380" s="3"/>
      <c r="E380" s="3"/>
      <c r="F380" s="3"/>
    </row>
    <row r="381" spans="1:6" ht="12.75" x14ac:dyDescent="0.2">
      <c r="A381" s="3"/>
      <c r="B381" s="3"/>
      <c r="C381" s="3"/>
      <c r="D381" s="3"/>
      <c r="E381" s="3"/>
      <c r="F381" s="3"/>
    </row>
    <row r="382" spans="1:6" ht="12.75" x14ac:dyDescent="0.2">
      <c r="A382" s="3"/>
      <c r="B382" s="3"/>
      <c r="C382" s="3"/>
      <c r="D382" s="3"/>
      <c r="E382" s="3"/>
      <c r="F382" s="3"/>
    </row>
    <row r="383" spans="1:6" ht="12.75" x14ac:dyDescent="0.2">
      <c r="A383" s="3"/>
      <c r="B383" s="3"/>
      <c r="C383" s="3"/>
      <c r="D383" s="3"/>
      <c r="E383" s="3"/>
      <c r="F383" s="3"/>
    </row>
    <row r="384" spans="1:6" ht="12.75" x14ac:dyDescent="0.2">
      <c r="A384" s="3"/>
      <c r="B384" s="3"/>
      <c r="C384" s="3"/>
      <c r="D384" s="3"/>
      <c r="E384" s="3"/>
      <c r="F384" s="3"/>
    </row>
    <row r="385" spans="1:6" ht="12.75" x14ac:dyDescent="0.2">
      <c r="A385" s="3"/>
      <c r="B385" s="3"/>
      <c r="C385" s="3"/>
      <c r="D385" s="3"/>
      <c r="E385" s="3"/>
      <c r="F385" s="3"/>
    </row>
    <row r="386" spans="1:6" ht="12.75" x14ac:dyDescent="0.2">
      <c r="A386" s="3"/>
      <c r="B386" s="3"/>
      <c r="C386" s="3"/>
      <c r="D386" s="3"/>
      <c r="E386" s="3"/>
      <c r="F386" s="3"/>
    </row>
    <row r="387" spans="1:6" ht="12.75" x14ac:dyDescent="0.2">
      <c r="A387" s="3"/>
      <c r="B387" s="3"/>
      <c r="C387" s="3"/>
      <c r="D387" s="3"/>
      <c r="E387" s="3"/>
      <c r="F387" s="3"/>
    </row>
    <row r="388" spans="1:6" ht="12.75" x14ac:dyDescent="0.2">
      <c r="A388" s="3"/>
      <c r="B388" s="3"/>
      <c r="C388" s="3"/>
      <c r="D388" s="3"/>
      <c r="E388" s="3"/>
      <c r="F388" s="3"/>
    </row>
    <row r="389" spans="1:6" ht="12.75" x14ac:dyDescent="0.2">
      <c r="A389" s="3"/>
      <c r="B389" s="3"/>
      <c r="C389" s="3"/>
      <c r="D389" s="3"/>
      <c r="E389" s="3"/>
      <c r="F389" s="3"/>
    </row>
    <row r="390" spans="1:6" ht="12.75" x14ac:dyDescent="0.2">
      <c r="A390" s="3"/>
      <c r="B390" s="3"/>
      <c r="C390" s="3"/>
      <c r="D390" s="3"/>
      <c r="E390" s="3"/>
      <c r="F390" s="3"/>
    </row>
    <row r="391" spans="1:6" ht="12.75" x14ac:dyDescent="0.2">
      <c r="A391" s="3"/>
      <c r="B391" s="3"/>
      <c r="C391" s="3"/>
      <c r="D391" s="3"/>
      <c r="E391" s="3"/>
      <c r="F391" s="3"/>
    </row>
    <row r="392" spans="1:6" ht="12.75" x14ac:dyDescent="0.2">
      <c r="A392" s="3"/>
      <c r="B392" s="3"/>
      <c r="C392" s="3"/>
      <c r="D392" s="3"/>
      <c r="E392" s="3"/>
      <c r="F392" s="3"/>
    </row>
    <row r="393" spans="1:6" ht="12.75" x14ac:dyDescent="0.2">
      <c r="A393" s="3"/>
      <c r="B393" s="3"/>
      <c r="C393" s="3"/>
      <c r="D393" s="3"/>
      <c r="E393" s="3"/>
      <c r="F393" s="3"/>
    </row>
    <row r="394" spans="1:6" ht="12.75" x14ac:dyDescent="0.2">
      <c r="A394" s="3"/>
      <c r="B394" s="3"/>
      <c r="C394" s="3"/>
      <c r="D394" s="3"/>
      <c r="E394" s="3"/>
      <c r="F394" s="3"/>
    </row>
    <row r="395" spans="1:6" ht="12.75" x14ac:dyDescent="0.2">
      <c r="A395" s="3"/>
      <c r="B395" s="3"/>
      <c r="C395" s="3"/>
      <c r="D395" s="3"/>
      <c r="E395" s="3"/>
      <c r="F395" s="3"/>
    </row>
    <row r="396" spans="1:6" ht="12.75" x14ac:dyDescent="0.2">
      <c r="A396" s="3"/>
      <c r="B396" s="3"/>
      <c r="C396" s="3"/>
      <c r="D396" s="3"/>
      <c r="E396" s="3"/>
      <c r="F396" s="3"/>
    </row>
    <row r="397" spans="1:6" ht="12.75" x14ac:dyDescent="0.2">
      <c r="A397" s="3"/>
      <c r="B397" s="3"/>
      <c r="C397" s="3"/>
      <c r="D397" s="3"/>
      <c r="E397" s="3"/>
      <c r="F397" s="3"/>
    </row>
    <row r="398" spans="1:6" ht="12.75" x14ac:dyDescent="0.2">
      <c r="A398" s="3"/>
      <c r="B398" s="3"/>
      <c r="C398" s="3"/>
      <c r="D398" s="3"/>
      <c r="E398" s="3"/>
      <c r="F398" s="3"/>
    </row>
    <row r="399" spans="1:6" ht="12.75" x14ac:dyDescent="0.2">
      <c r="A399" s="3"/>
      <c r="B399" s="3"/>
      <c r="C399" s="3"/>
      <c r="D399" s="3"/>
      <c r="E399" s="3"/>
      <c r="F399" s="3"/>
    </row>
    <row r="400" spans="1:6" ht="12.75" x14ac:dyDescent="0.2">
      <c r="A400" s="3"/>
      <c r="B400" s="3"/>
      <c r="C400" s="3"/>
      <c r="D400" s="3"/>
      <c r="E400" s="3"/>
      <c r="F400" s="3"/>
    </row>
    <row r="401" spans="1:6" ht="12.75" x14ac:dyDescent="0.2">
      <c r="A401" s="3"/>
      <c r="B401" s="3"/>
      <c r="C401" s="3"/>
      <c r="D401" s="3"/>
      <c r="E401" s="3"/>
      <c r="F401" s="3"/>
    </row>
    <row r="402" spans="1:6" ht="12.75" x14ac:dyDescent="0.2">
      <c r="A402" s="3"/>
      <c r="B402" s="3"/>
      <c r="C402" s="3"/>
      <c r="D402" s="3"/>
      <c r="E402" s="3"/>
      <c r="F402" s="3"/>
    </row>
    <row r="403" spans="1:6" ht="12.75" x14ac:dyDescent="0.2">
      <c r="A403" s="3"/>
      <c r="B403" s="3"/>
      <c r="C403" s="3"/>
      <c r="D403" s="3"/>
      <c r="E403" s="3"/>
      <c r="F403" s="3"/>
    </row>
    <row r="404" spans="1:6" ht="12.75" x14ac:dyDescent="0.2">
      <c r="A404" s="3"/>
      <c r="B404" s="3"/>
      <c r="C404" s="3"/>
      <c r="D404" s="3"/>
      <c r="E404" s="3"/>
      <c r="F404" s="3"/>
    </row>
    <row r="405" spans="1:6" ht="12.75" x14ac:dyDescent="0.2">
      <c r="A405" s="3"/>
      <c r="B405" s="3"/>
      <c r="C405" s="3"/>
      <c r="D405" s="3"/>
      <c r="E405" s="3"/>
      <c r="F405" s="3"/>
    </row>
    <row r="406" spans="1:6" ht="12.75" x14ac:dyDescent="0.2">
      <c r="A406" s="3"/>
      <c r="B406" s="3"/>
      <c r="C406" s="3"/>
      <c r="D406" s="3"/>
      <c r="E406" s="3"/>
      <c r="F406" s="3"/>
    </row>
    <row r="407" spans="1:6" ht="12.75" x14ac:dyDescent="0.2">
      <c r="A407" s="3"/>
      <c r="B407" s="3"/>
      <c r="C407" s="3"/>
      <c r="D407" s="3"/>
      <c r="E407" s="3"/>
      <c r="F407" s="3"/>
    </row>
    <row r="408" spans="1:6" ht="12.75" x14ac:dyDescent="0.2">
      <c r="A408" s="3"/>
      <c r="B408" s="3"/>
      <c r="C408" s="3"/>
      <c r="D408" s="3"/>
      <c r="E408" s="3"/>
      <c r="F408" s="3"/>
    </row>
    <row r="409" spans="1:6" ht="12.75" x14ac:dyDescent="0.2">
      <c r="A409" s="3"/>
      <c r="B409" s="3"/>
      <c r="C409" s="3"/>
      <c r="D409" s="3"/>
      <c r="E409" s="3"/>
      <c r="F409" s="3"/>
    </row>
    <row r="410" spans="1:6" ht="12.75" x14ac:dyDescent="0.2">
      <c r="A410" s="3"/>
      <c r="B410" s="3"/>
      <c r="C410" s="3"/>
      <c r="D410" s="3"/>
      <c r="E410" s="3"/>
      <c r="F410" s="3"/>
    </row>
    <row r="411" spans="1:6" ht="12.75" x14ac:dyDescent="0.2">
      <c r="A411" s="3"/>
      <c r="B411" s="3"/>
      <c r="C411" s="3"/>
      <c r="D411" s="3"/>
      <c r="E411" s="3"/>
      <c r="F411" s="3"/>
    </row>
    <row r="412" spans="1:6" ht="12.75" x14ac:dyDescent="0.2">
      <c r="A412" s="3"/>
      <c r="B412" s="3"/>
      <c r="C412" s="3"/>
      <c r="D412" s="3"/>
      <c r="E412" s="3"/>
      <c r="F412" s="3"/>
    </row>
    <row r="413" spans="1:6" ht="12.75" x14ac:dyDescent="0.2">
      <c r="A413" s="3"/>
      <c r="B413" s="3"/>
      <c r="C413" s="3"/>
      <c r="D413" s="3"/>
      <c r="E413" s="3"/>
      <c r="F413" s="3"/>
    </row>
    <row r="414" spans="1:6" ht="12.75" x14ac:dyDescent="0.2">
      <c r="A414" s="3"/>
      <c r="B414" s="3"/>
      <c r="C414" s="3"/>
      <c r="D414" s="3"/>
      <c r="E414" s="3"/>
      <c r="F414" s="3"/>
    </row>
    <row r="415" spans="1:6" ht="12.75" x14ac:dyDescent="0.2">
      <c r="A415" s="3"/>
      <c r="B415" s="3"/>
      <c r="C415" s="3"/>
      <c r="D415" s="3"/>
      <c r="E415" s="3"/>
      <c r="F415" s="3"/>
    </row>
    <row r="416" spans="1:6" ht="12.75" x14ac:dyDescent="0.2">
      <c r="A416" s="3"/>
      <c r="B416" s="3"/>
      <c r="C416" s="3"/>
      <c r="D416" s="3"/>
      <c r="E416" s="3"/>
      <c r="F416" s="3"/>
    </row>
    <row r="417" spans="1:6" ht="12.75" x14ac:dyDescent="0.2">
      <c r="A417" s="3"/>
      <c r="B417" s="3"/>
      <c r="C417" s="3"/>
      <c r="D417" s="3"/>
      <c r="E417" s="3"/>
      <c r="F417" s="3"/>
    </row>
    <row r="418" spans="1:6" ht="12.75" x14ac:dyDescent="0.2">
      <c r="A418" s="3"/>
      <c r="B418" s="3"/>
      <c r="C418" s="3"/>
      <c r="D418" s="3"/>
      <c r="E418" s="3"/>
      <c r="F418" s="3"/>
    </row>
    <row r="419" spans="1:6" ht="12.75" x14ac:dyDescent="0.2">
      <c r="A419" s="3"/>
      <c r="B419" s="3"/>
      <c r="C419" s="3"/>
      <c r="D419" s="3"/>
      <c r="E419" s="3"/>
      <c r="F419" s="3"/>
    </row>
    <row r="420" spans="1:6" ht="12.75" x14ac:dyDescent="0.2">
      <c r="A420" s="3"/>
      <c r="B420" s="3"/>
      <c r="C420" s="3"/>
      <c r="D420" s="3"/>
      <c r="E420" s="3"/>
      <c r="F420" s="3"/>
    </row>
    <row r="421" spans="1:6" ht="12.75" x14ac:dyDescent="0.2">
      <c r="A421" s="3"/>
      <c r="B421" s="3"/>
      <c r="C421" s="3"/>
      <c r="D421" s="3"/>
      <c r="E421" s="3"/>
      <c r="F421" s="3"/>
    </row>
    <row r="422" spans="1:6" ht="12.75" x14ac:dyDescent="0.2">
      <c r="A422" s="3"/>
      <c r="B422" s="3"/>
      <c r="C422" s="3"/>
      <c r="D422" s="3"/>
      <c r="E422" s="3"/>
      <c r="F422" s="3"/>
    </row>
    <row r="423" spans="1:6" ht="12.75" x14ac:dyDescent="0.2">
      <c r="A423" s="3"/>
      <c r="B423" s="3"/>
      <c r="C423" s="3"/>
      <c r="D423" s="3"/>
      <c r="E423" s="3"/>
      <c r="F423" s="3"/>
    </row>
    <row r="424" spans="1:6" ht="12.75" x14ac:dyDescent="0.2">
      <c r="A424" s="3"/>
      <c r="B424" s="3"/>
      <c r="C424" s="3"/>
      <c r="D424" s="3"/>
      <c r="E424" s="3"/>
      <c r="F424" s="3"/>
    </row>
    <row r="425" spans="1:6" ht="12.75" x14ac:dyDescent="0.2">
      <c r="A425" s="3"/>
      <c r="B425" s="3"/>
      <c r="C425" s="3"/>
      <c r="D425" s="3"/>
      <c r="E425" s="3"/>
      <c r="F425" s="3"/>
    </row>
    <row r="426" spans="1:6" ht="12.75" x14ac:dyDescent="0.2">
      <c r="A426" s="3"/>
      <c r="B426" s="3"/>
      <c r="C426" s="3"/>
      <c r="D426" s="3"/>
      <c r="E426" s="3"/>
      <c r="F426" s="3"/>
    </row>
    <row r="427" spans="1:6" ht="12.75" x14ac:dyDescent="0.2">
      <c r="A427" s="3"/>
      <c r="B427" s="3"/>
      <c r="C427" s="3"/>
      <c r="D427" s="3"/>
      <c r="E427" s="3"/>
      <c r="F427" s="3"/>
    </row>
    <row r="428" spans="1:6" ht="12.75" x14ac:dyDescent="0.2">
      <c r="A428" s="3"/>
      <c r="B428" s="3"/>
      <c r="C428" s="3"/>
      <c r="D428" s="3"/>
      <c r="E428" s="3"/>
      <c r="F428" s="3"/>
    </row>
    <row r="429" spans="1:6" ht="12.75" x14ac:dyDescent="0.2">
      <c r="A429" s="3"/>
      <c r="B429" s="3"/>
      <c r="C429" s="3"/>
      <c r="D429" s="3"/>
      <c r="E429" s="3"/>
      <c r="F429" s="3"/>
    </row>
    <row r="430" spans="1:6" ht="12.75" x14ac:dyDescent="0.2">
      <c r="A430" s="3"/>
      <c r="B430" s="3"/>
      <c r="C430" s="3"/>
      <c r="D430" s="3"/>
      <c r="E430" s="3"/>
      <c r="F430" s="3"/>
    </row>
    <row r="431" spans="1:6" ht="12.75" x14ac:dyDescent="0.2">
      <c r="A431" s="3"/>
      <c r="B431" s="3"/>
      <c r="C431" s="3"/>
      <c r="D431" s="3"/>
      <c r="E431" s="3"/>
      <c r="F431" s="3"/>
    </row>
    <row r="432" spans="1:6" ht="12.75" x14ac:dyDescent="0.2">
      <c r="A432" s="3"/>
      <c r="B432" s="3"/>
      <c r="C432" s="3"/>
      <c r="D432" s="3"/>
      <c r="E432" s="3"/>
      <c r="F432" s="3"/>
    </row>
    <row r="433" spans="1:6" ht="12.75" x14ac:dyDescent="0.2">
      <c r="A433" s="3"/>
      <c r="B433" s="3"/>
      <c r="C433" s="3"/>
      <c r="D433" s="3"/>
      <c r="E433" s="3"/>
      <c r="F433" s="3"/>
    </row>
    <row r="434" spans="1:6" ht="12.75" x14ac:dyDescent="0.2">
      <c r="A434" s="3"/>
      <c r="B434" s="3"/>
      <c r="C434" s="3"/>
      <c r="D434" s="3"/>
      <c r="E434" s="3"/>
      <c r="F434" s="3"/>
    </row>
    <row r="435" spans="1:6" ht="12.75" x14ac:dyDescent="0.2">
      <c r="A435" s="3"/>
      <c r="B435" s="3"/>
      <c r="C435" s="3"/>
      <c r="D435" s="3"/>
      <c r="E435" s="3"/>
      <c r="F435" s="3"/>
    </row>
    <row r="436" spans="1:6" ht="12.75" x14ac:dyDescent="0.2">
      <c r="A436" s="3"/>
      <c r="B436" s="3"/>
      <c r="C436" s="3"/>
      <c r="D436" s="3"/>
      <c r="E436" s="3"/>
      <c r="F436" s="3"/>
    </row>
    <row r="437" spans="1:6" ht="12.75" x14ac:dyDescent="0.2">
      <c r="A437" s="3"/>
      <c r="B437" s="3"/>
      <c r="C437" s="3"/>
      <c r="D437" s="3"/>
      <c r="E437" s="3"/>
      <c r="F437" s="3"/>
    </row>
    <row r="438" spans="1:6" ht="12.75" x14ac:dyDescent="0.2">
      <c r="A438" s="3"/>
      <c r="B438" s="3"/>
      <c r="C438" s="3"/>
      <c r="D438" s="3"/>
      <c r="E438" s="3"/>
      <c r="F438" s="3"/>
    </row>
    <row r="439" spans="1:6" ht="12.75" x14ac:dyDescent="0.2">
      <c r="A439" s="3"/>
      <c r="B439" s="3"/>
      <c r="C439" s="3"/>
      <c r="D439" s="3"/>
      <c r="E439" s="3"/>
      <c r="F439" s="3"/>
    </row>
    <row r="440" spans="1:6" ht="12.75" x14ac:dyDescent="0.2">
      <c r="A440" s="3"/>
      <c r="B440" s="3"/>
      <c r="C440" s="3"/>
      <c r="D440" s="3"/>
      <c r="E440" s="3"/>
      <c r="F440" s="3"/>
    </row>
    <row r="441" spans="1:6" ht="12.75" x14ac:dyDescent="0.2">
      <c r="A441" s="3"/>
      <c r="B441" s="3"/>
      <c r="C441" s="3"/>
      <c r="D441" s="3"/>
      <c r="E441" s="3"/>
      <c r="F441" s="3"/>
    </row>
    <row r="442" spans="1:6" ht="12.75" x14ac:dyDescent="0.2">
      <c r="A442" s="3"/>
      <c r="B442" s="3"/>
      <c r="C442" s="3"/>
      <c r="D442" s="3"/>
      <c r="E442" s="3"/>
      <c r="F442" s="3"/>
    </row>
    <row r="443" spans="1:6" ht="12.75" x14ac:dyDescent="0.2">
      <c r="A443" s="3"/>
      <c r="B443" s="3"/>
      <c r="C443" s="3"/>
      <c r="D443" s="3"/>
      <c r="E443" s="3"/>
      <c r="F443" s="3"/>
    </row>
    <row r="444" spans="1:6" ht="12.75" x14ac:dyDescent="0.2">
      <c r="A444" s="3"/>
      <c r="B444" s="3"/>
      <c r="C444" s="3"/>
      <c r="D444" s="3"/>
      <c r="E444" s="3"/>
      <c r="F444" s="3"/>
    </row>
    <row r="445" spans="1:6" ht="12.75" x14ac:dyDescent="0.2">
      <c r="A445" s="3"/>
      <c r="B445" s="3"/>
      <c r="C445" s="3"/>
      <c r="D445" s="3"/>
      <c r="E445" s="3"/>
      <c r="F445" s="3"/>
    </row>
    <row r="446" spans="1:6" ht="12.75" x14ac:dyDescent="0.2">
      <c r="A446" s="3"/>
      <c r="B446" s="3"/>
      <c r="C446" s="3"/>
      <c r="D446" s="3"/>
      <c r="E446" s="3"/>
      <c r="F446" s="3"/>
    </row>
    <row r="447" spans="1:6" ht="12.75" x14ac:dyDescent="0.2">
      <c r="A447" s="3"/>
      <c r="B447" s="3"/>
      <c r="C447" s="3"/>
      <c r="D447" s="3"/>
      <c r="E447" s="3"/>
      <c r="F447" s="3"/>
    </row>
    <row r="448" spans="1:6" ht="12.75" x14ac:dyDescent="0.2">
      <c r="A448" s="3"/>
      <c r="B448" s="3"/>
      <c r="C448" s="3"/>
      <c r="D448" s="3"/>
      <c r="E448" s="3"/>
      <c r="F448" s="3"/>
    </row>
    <row r="449" spans="1:6" ht="12.75" x14ac:dyDescent="0.2">
      <c r="A449" s="3"/>
      <c r="B449" s="3"/>
      <c r="C449" s="3"/>
      <c r="D449" s="3"/>
      <c r="E449" s="3"/>
      <c r="F449" s="3"/>
    </row>
    <row r="450" spans="1:6" ht="12.75" x14ac:dyDescent="0.2">
      <c r="A450" s="3"/>
      <c r="B450" s="3"/>
      <c r="C450" s="3"/>
      <c r="D450" s="3"/>
      <c r="E450" s="3"/>
      <c r="F450" s="3"/>
    </row>
    <row r="451" spans="1:6" ht="12.75" x14ac:dyDescent="0.2">
      <c r="A451" s="3"/>
      <c r="B451" s="3"/>
      <c r="C451" s="3"/>
      <c r="D451" s="3"/>
      <c r="E451" s="3"/>
      <c r="F451" s="3"/>
    </row>
    <row r="452" spans="1:6" ht="12.75" x14ac:dyDescent="0.2">
      <c r="A452" s="3"/>
      <c r="B452" s="3"/>
      <c r="C452" s="3"/>
      <c r="D452" s="3"/>
      <c r="E452" s="3"/>
      <c r="F452" s="3"/>
    </row>
    <row r="453" spans="1:6" ht="12.75" x14ac:dyDescent="0.2">
      <c r="A453" s="3"/>
      <c r="B453" s="3"/>
      <c r="C453" s="3"/>
      <c r="D453" s="3"/>
      <c r="E453" s="3"/>
      <c r="F453" s="3"/>
    </row>
    <row r="454" spans="1:6" ht="12.75" x14ac:dyDescent="0.2">
      <c r="A454" s="3"/>
      <c r="B454" s="3"/>
      <c r="C454" s="3"/>
      <c r="D454" s="3"/>
      <c r="E454" s="3"/>
      <c r="F454" s="3"/>
    </row>
    <row r="455" spans="1:6" ht="12.75" x14ac:dyDescent="0.2">
      <c r="A455" s="3"/>
      <c r="B455" s="3"/>
      <c r="C455" s="3"/>
      <c r="D455" s="3"/>
      <c r="E455" s="3"/>
      <c r="F455" s="3"/>
    </row>
    <row r="456" spans="1:6" ht="12.75" x14ac:dyDescent="0.2">
      <c r="A456" s="3"/>
      <c r="B456" s="3"/>
      <c r="C456" s="3"/>
      <c r="D456" s="3"/>
      <c r="E456" s="3"/>
      <c r="F456" s="3"/>
    </row>
    <row r="457" spans="1:6" ht="12.75" x14ac:dyDescent="0.2">
      <c r="A457" s="3"/>
      <c r="B457" s="3"/>
      <c r="C457" s="3"/>
      <c r="D457" s="3"/>
      <c r="E457" s="3"/>
      <c r="F457" s="3"/>
    </row>
    <row r="458" spans="1:6" ht="12.75" x14ac:dyDescent="0.2">
      <c r="A458" s="3"/>
      <c r="B458" s="3"/>
      <c r="C458" s="3"/>
      <c r="D458" s="3"/>
      <c r="E458" s="3"/>
      <c r="F458" s="3"/>
    </row>
    <row r="459" spans="1:6" ht="12.75" x14ac:dyDescent="0.2">
      <c r="A459" s="3"/>
      <c r="B459" s="3"/>
      <c r="C459" s="3"/>
      <c r="D459" s="3"/>
      <c r="E459" s="3"/>
      <c r="F459" s="3"/>
    </row>
    <row r="460" spans="1:6" ht="12.75" x14ac:dyDescent="0.2">
      <c r="A460" s="3"/>
      <c r="B460" s="3"/>
      <c r="C460" s="3"/>
      <c r="D460" s="3"/>
      <c r="E460" s="3"/>
      <c r="F460" s="3"/>
    </row>
    <row r="461" spans="1:6" ht="12.75" x14ac:dyDescent="0.2">
      <c r="A461" s="3"/>
      <c r="B461" s="3"/>
      <c r="C461" s="3"/>
      <c r="D461" s="3"/>
      <c r="E461" s="3"/>
      <c r="F461" s="3"/>
    </row>
    <row r="462" spans="1:6" ht="12.75" x14ac:dyDescent="0.2">
      <c r="A462" s="3"/>
      <c r="B462" s="3"/>
      <c r="C462" s="3"/>
      <c r="D462" s="3"/>
      <c r="E462" s="3"/>
      <c r="F462" s="3"/>
    </row>
    <row r="463" spans="1:6" ht="12.75" x14ac:dyDescent="0.2">
      <c r="A463" s="3"/>
      <c r="B463" s="3"/>
      <c r="C463" s="3"/>
      <c r="D463" s="3"/>
      <c r="E463" s="3"/>
      <c r="F463" s="3"/>
    </row>
    <row r="464" spans="1:6" ht="12.75" x14ac:dyDescent="0.2">
      <c r="A464" s="3"/>
      <c r="B464" s="3"/>
      <c r="C464" s="3"/>
      <c r="D464" s="3"/>
      <c r="E464" s="3"/>
      <c r="F464" s="3"/>
    </row>
    <row r="465" spans="1:6" ht="12.75" x14ac:dyDescent="0.2">
      <c r="A465" s="3"/>
      <c r="B465" s="3"/>
      <c r="C465" s="3"/>
      <c r="D465" s="3"/>
      <c r="E465" s="3"/>
      <c r="F465" s="3"/>
    </row>
    <row r="466" spans="1:6" ht="12.75" x14ac:dyDescent="0.2">
      <c r="A466" s="3"/>
      <c r="B466" s="3"/>
      <c r="C466" s="3"/>
      <c r="D466" s="3"/>
      <c r="E466" s="3"/>
      <c r="F466" s="3"/>
    </row>
    <row r="467" spans="1:6" ht="12.75" x14ac:dyDescent="0.2">
      <c r="A467" s="3"/>
      <c r="B467" s="3"/>
      <c r="C467" s="3"/>
      <c r="D467" s="3"/>
      <c r="E467" s="3"/>
      <c r="F467" s="3"/>
    </row>
    <row r="468" spans="1:6" ht="12.75" x14ac:dyDescent="0.2">
      <c r="A468" s="3"/>
      <c r="B468" s="3"/>
      <c r="C468" s="3"/>
      <c r="D468" s="3"/>
      <c r="E468" s="3"/>
      <c r="F468" s="3"/>
    </row>
    <row r="469" spans="1:6" ht="12.75" x14ac:dyDescent="0.2">
      <c r="A469" s="3"/>
      <c r="B469" s="3"/>
      <c r="C469" s="3"/>
      <c r="D469" s="3"/>
      <c r="E469" s="3"/>
      <c r="F469" s="3"/>
    </row>
    <row r="470" spans="1:6" ht="12.75" x14ac:dyDescent="0.2">
      <c r="A470" s="3"/>
      <c r="B470" s="3"/>
      <c r="C470" s="3"/>
      <c r="D470" s="3"/>
      <c r="E470" s="3"/>
      <c r="F470" s="3"/>
    </row>
    <row r="471" spans="1:6" ht="12.75" x14ac:dyDescent="0.2">
      <c r="A471" s="3"/>
      <c r="B471" s="3"/>
      <c r="C471" s="3"/>
      <c r="D471" s="3"/>
      <c r="E471" s="3"/>
      <c r="F471" s="3"/>
    </row>
    <row r="472" spans="1:6" ht="12.75" x14ac:dyDescent="0.2">
      <c r="A472" s="3"/>
      <c r="B472" s="3"/>
      <c r="C472" s="3"/>
      <c r="D472" s="3"/>
      <c r="E472" s="3"/>
      <c r="F472" s="3"/>
    </row>
    <row r="473" spans="1:6" ht="12.75" x14ac:dyDescent="0.2">
      <c r="A473" s="3"/>
      <c r="B473" s="3"/>
      <c r="C473" s="3"/>
      <c r="D473" s="3"/>
      <c r="E473" s="3"/>
      <c r="F473" s="3"/>
    </row>
    <row r="474" spans="1:6" ht="12.75" x14ac:dyDescent="0.2">
      <c r="A474" s="3"/>
      <c r="B474" s="3"/>
      <c r="C474" s="3"/>
      <c r="D474" s="3"/>
      <c r="E474" s="3"/>
      <c r="F474" s="3"/>
    </row>
    <row r="475" spans="1:6" ht="12.75" x14ac:dyDescent="0.2">
      <c r="A475" s="3"/>
      <c r="B475" s="3"/>
      <c r="C475" s="3"/>
      <c r="D475" s="3"/>
      <c r="E475" s="3"/>
      <c r="F475" s="3"/>
    </row>
    <row r="476" spans="1:6" ht="12.75" x14ac:dyDescent="0.2">
      <c r="A476" s="3"/>
      <c r="B476" s="3"/>
      <c r="C476" s="3"/>
      <c r="D476" s="3"/>
      <c r="E476" s="3"/>
      <c r="F476" s="3"/>
    </row>
    <row r="477" spans="1:6" ht="12.75" x14ac:dyDescent="0.2">
      <c r="A477" s="3"/>
      <c r="B477" s="3"/>
      <c r="C477" s="3"/>
      <c r="D477" s="3"/>
      <c r="E477" s="3"/>
      <c r="F477" s="3"/>
    </row>
    <row r="478" spans="1:6" ht="12.75" x14ac:dyDescent="0.2">
      <c r="A478" s="3"/>
      <c r="B478" s="3"/>
      <c r="C478" s="3"/>
      <c r="D478" s="3"/>
      <c r="E478" s="3"/>
      <c r="F478" s="3"/>
    </row>
    <row r="479" spans="1:6" ht="12.75" x14ac:dyDescent="0.2">
      <c r="A479" s="3"/>
      <c r="B479" s="3"/>
      <c r="C479" s="3"/>
      <c r="D479" s="3"/>
      <c r="E479" s="3"/>
      <c r="F479" s="3"/>
    </row>
    <row r="480" spans="1:6" ht="12.75" x14ac:dyDescent="0.2">
      <c r="A480" s="3"/>
      <c r="B480" s="3"/>
      <c r="C480" s="3"/>
      <c r="D480" s="3"/>
      <c r="E480" s="3"/>
      <c r="F480" s="3"/>
    </row>
    <row r="481" spans="1:6" ht="12.75" x14ac:dyDescent="0.2">
      <c r="A481" s="3"/>
      <c r="B481" s="3"/>
      <c r="C481" s="3"/>
      <c r="D481" s="3"/>
      <c r="E481" s="3"/>
      <c r="F481" s="3"/>
    </row>
    <row r="482" spans="1:6" ht="12.75" x14ac:dyDescent="0.2">
      <c r="A482" s="3"/>
      <c r="B482" s="3"/>
      <c r="C482" s="3"/>
      <c r="D482" s="3"/>
      <c r="E482" s="3"/>
      <c r="F482" s="3"/>
    </row>
    <row r="483" spans="1:6" ht="12.75" x14ac:dyDescent="0.2">
      <c r="A483" s="3"/>
      <c r="B483" s="3"/>
      <c r="C483" s="3"/>
      <c r="D483" s="3"/>
      <c r="E483" s="3"/>
      <c r="F483" s="3"/>
    </row>
    <row r="484" spans="1:6" ht="12.75" x14ac:dyDescent="0.2">
      <c r="A484" s="3"/>
      <c r="B484" s="3"/>
      <c r="C484" s="3"/>
      <c r="D484" s="3"/>
      <c r="E484" s="3"/>
      <c r="F484" s="3"/>
    </row>
    <row r="485" spans="1:6" ht="12.75" x14ac:dyDescent="0.2">
      <c r="A485" s="3"/>
      <c r="B485" s="3"/>
      <c r="C485" s="3"/>
      <c r="D485" s="3"/>
      <c r="E485" s="3"/>
      <c r="F485" s="3"/>
    </row>
    <row r="486" spans="1:6" ht="12.75" x14ac:dyDescent="0.2">
      <c r="A486" s="3"/>
      <c r="B486" s="3"/>
      <c r="C486" s="3"/>
      <c r="D486" s="3"/>
      <c r="E486" s="3"/>
      <c r="F486" s="3"/>
    </row>
    <row r="487" spans="1:6" ht="12.75" x14ac:dyDescent="0.2">
      <c r="A487" s="3"/>
      <c r="B487" s="3"/>
      <c r="C487" s="3"/>
      <c r="D487" s="3"/>
      <c r="E487" s="3"/>
      <c r="F487" s="3"/>
    </row>
    <row r="488" spans="1:6" ht="12.75" x14ac:dyDescent="0.2">
      <c r="A488" s="3"/>
      <c r="B488" s="3"/>
      <c r="C488" s="3"/>
      <c r="D488" s="3"/>
      <c r="E488" s="3"/>
      <c r="F488" s="3"/>
    </row>
    <row r="489" spans="1:6" ht="12.75" x14ac:dyDescent="0.2">
      <c r="A489" s="3"/>
      <c r="B489" s="3"/>
      <c r="C489" s="3"/>
      <c r="D489" s="3"/>
      <c r="E489" s="3"/>
      <c r="F489" s="3"/>
    </row>
    <row r="490" spans="1:6" ht="12.75" x14ac:dyDescent="0.2">
      <c r="A490" s="3"/>
      <c r="B490" s="3"/>
      <c r="C490" s="3"/>
      <c r="D490" s="3"/>
      <c r="E490" s="3"/>
      <c r="F490" s="3"/>
    </row>
    <row r="491" spans="1:6" ht="12.75" x14ac:dyDescent="0.2">
      <c r="A491" s="3"/>
      <c r="B491" s="3"/>
      <c r="C491" s="3"/>
      <c r="D491" s="3"/>
      <c r="E491" s="3"/>
      <c r="F491" s="3"/>
    </row>
    <row r="492" spans="1:6" ht="12.75" x14ac:dyDescent="0.2">
      <c r="A492" s="3"/>
      <c r="B492" s="3"/>
      <c r="C492" s="3"/>
      <c r="D492" s="3"/>
      <c r="E492" s="3"/>
      <c r="F492" s="3"/>
    </row>
    <row r="493" spans="1:6" ht="12.75" x14ac:dyDescent="0.2">
      <c r="A493" s="3"/>
      <c r="B493" s="3"/>
      <c r="C493" s="3"/>
      <c r="D493" s="3"/>
      <c r="E493" s="3"/>
      <c r="F493" s="3"/>
    </row>
    <row r="494" spans="1:6" ht="12.75" x14ac:dyDescent="0.2">
      <c r="A494" s="3"/>
      <c r="B494" s="3"/>
      <c r="C494" s="3"/>
      <c r="D494" s="3"/>
      <c r="E494" s="3"/>
      <c r="F494" s="3"/>
    </row>
    <row r="495" spans="1:6" ht="12.75" x14ac:dyDescent="0.2">
      <c r="A495" s="3"/>
      <c r="B495" s="3"/>
      <c r="C495" s="3"/>
      <c r="D495" s="3"/>
      <c r="E495" s="3"/>
      <c r="F495" s="3"/>
    </row>
    <row r="496" spans="1:6" ht="12.75" x14ac:dyDescent="0.2">
      <c r="A496" s="3"/>
      <c r="B496" s="3"/>
      <c r="C496" s="3"/>
      <c r="D496" s="3"/>
      <c r="E496" s="3"/>
      <c r="F496" s="3"/>
    </row>
    <row r="497" spans="1:6" ht="12.75" x14ac:dyDescent="0.2">
      <c r="A497" s="3"/>
      <c r="B497" s="3"/>
      <c r="C497" s="3"/>
      <c r="D497" s="3"/>
      <c r="E497" s="3"/>
      <c r="F497" s="3"/>
    </row>
    <row r="498" spans="1:6" ht="12.75" x14ac:dyDescent="0.2">
      <c r="A498" s="3"/>
      <c r="B498" s="3"/>
      <c r="C498" s="3"/>
      <c r="D498" s="3"/>
      <c r="E498" s="3"/>
      <c r="F498" s="3"/>
    </row>
    <row r="499" spans="1:6" ht="12.75" x14ac:dyDescent="0.2">
      <c r="A499" s="3"/>
      <c r="B499" s="3"/>
      <c r="C499" s="3"/>
      <c r="D499" s="3"/>
      <c r="E499" s="3"/>
      <c r="F499" s="3"/>
    </row>
    <row r="500" spans="1:6" ht="12.75" x14ac:dyDescent="0.2">
      <c r="A500" s="3"/>
      <c r="B500" s="3"/>
      <c r="C500" s="3"/>
      <c r="D500" s="3"/>
      <c r="E500" s="3"/>
      <c r="F500" s="3"/>
    </row>
    <row r="501" spans="1:6" ht="12.75" x14ac:dyDescent="0.2">
      <c r="A501" s="3"/>
      <c r="B501" s="3"/>
      <c r="C501" s="3"/>
      <c r="D501" s="3"/>
      <c r="E501" s="3"/>
      <c r="F501" s="3"/>
    </row>
    <row r="502" spans="1:6" ht="12.75" x14ac:dyDescent="0.2">
      <c r="A502" s="3"/>
      <c r="B502" s="3"/>
      <c r="C502" s="3"/>
      <c r="D502" s="3"/>
      <c r="E502" s="3"/>
      <c r="F502" s="3"/>
    </row>
    <row r="503" spans="1:6" ht="12.75" x14ac:dyDescent="0.2">
      <c r="A503" s="3"/>
      <c r="B503" s="3"/>
      <c r="C503" s="3"/>
      <c r="D503" s="3"/>
      <c r="E503" s="3"/>
      <c r="F503" s="3"/>
    </row>
    <row r="504" spans="1:6" ht="12.75" x14ac:dyDescent="0.2">
      <c r="A504" s="3"/>
      <c r="B504" s="3"/>
      <c r="C504" s="3"/>
      <c r="D504" s="3"/>
      <c r="E504" s="3"/>
      <c r="F504" s="3"/>
    </row>
    <row r="505" spans="1:6" ht="12.75" x14ac:dyDescent="0.2">
      <c r="A505" s="3"/>
      <c r="B505" s="3"/>
      <c r="C505" s="3"/>
      <c r="D505" s="3"/>
      <c r="E505" s="3"/>
      <c r="F505" s="3"/>
    </row>
    <row r="506" spans="1:6" ht="12.75" x14ac:dyDescent="0.2">
      <c r="A506" s="3"/>
      <c r="B506" s="3"/>
      <c r="C506" s="3"/>
      <c r="D506" s="3"/>
      <c r="E506" s="3"/>
      <c r="F506" s="3"/>
    </row>
    <row r="507" spans="1:6" ht="12.75" x14ac:dyDescent="0.2">
      <c r="A507" s="3"/>
      <c r="B507" s="3"/>
      <c r="C507" s="3"/>
      <c r="D507" s="3"/>
      <c r="E507" s="3"/>
      <c r="F507" s="3"/>
    </row>
    <row r="508" spans="1:6" ht="12.75" x14ac:dyDescent="0.2">
      <c r="A508" s="3"/>
      <c r="B508" s="3"/>
      <c r="C508" s="3"/>
      <c r="D508" s="3"/>
      <c r="E508" s="3"/>
      <c r="F508" s="3"/>
    </row>
    <row r="509" spans="1:6" ht="12.75" x14ac:dyDescent="0.2">
      <c r="A509" s="3"/>
      <c r="B509" s="3"/>
      <c r="C509" s="3"/>
      <c r="D509" s="3"/>
      <c r="E509" s="3"/>
      <c r="F509" s="3"/>
    </row>
    <row r="510" spans="1:6" ht="12.75" x14ac:dyDescent="0.2">
      <c r="A510" s="3"/>
      <c r="B510" s="3"/>
      <c r="C510" s="3"/>
      <c r="D510" s="3"/>
      <c r="E510" s="3"/>
      <c r="F510" s="3"/>
    </row>
    <row r="511" spans="1:6" ht="12.75" x14ac:dyDescent="0.2">
      <c r="A511" s="3"/>
      <c r="B511" s="3"/>
      <c r="C511" s="3"/>
      <c r="D511" s="3"/>
      <c r="E511" s="3"/>
      <c r="F511" s="3"/>
    </row>
    <row r="512" spans="1:6" ht="12.75" x14ac:dyDescent="0.2">
      <c r="A512" s="3"/>
      <c r="B512" s="3"/>
      <c r="C512" s="3"/>
      <c r="D512" s="3"/>
      <c r="E512" s="3"/>
      <c r="F512" s="3"/>
    </row>
    <row r="513" spans="1:6" ht="12.75" x14ac:dyDescent="0.2">
      <c r="A513" s="3"/>
      <c r="B513" s="3"/>
      <c r="C513" s="3"/>
      <c r="D513" s="3"/>
      <c r="E513" s="3"/>
      <c r="F513" s="3"/>
    </row>
    <row r="514" spans="1:6" ht="12.75" x14ac:dyDescent="0.2">
      <c r="A514" s="3"/>
      <c r="B514" s="3"/>
      <c r="C514" s="3"/>
      <c r="D514" s="3"/>
      <c r="E514" s="3"/>
      <c r="F514" s="3"/>
    </row>
    <row r="515" spans="1:6" ht="12.75" x14ac:dyDescent="0.2">
      <c r="A515" s="3"/>
      <c r="B515" s="3"/>
      <c r="C515" s="3"/>
      <c r="D515" s="3"/>
      <c r="E515" s="3"/>
      <c r="F515" s="3"/>
    </row>
    <row r="516" spans="1:6" ht="12.75" x14ac:dyDescent="0.2">
      <c r="A516" s="3"/>
      <c r="B516" s="3"/>
      <c r="C516" s="3"/>
      <c r="D516" s="3"/>
      <c r="E516" s="3"/>
      <c r="F516" s="3"/>
    </row>
    <row r="517" spans="1:6" ht="12.75" x14ac:dyDescent="0.2">
      <c r="A517" s="3"/>
      <c r="B517" s="3"/>
      <c r="C517" s="3"/>
      <c r="D517" s="3"/>
      <c r="E517" s="3"/>
      <c r="F517" s="3"/>
    </row>
    <row r="518" spans="1:6" ht="12.75" x14ac:dyDescent="0.2">
      <c r="A518" s="3"/>
      <c r="B518" s="3"/>
      <c r="C518" s="3"/>
      <c r="D518" s="3"/>
      <c r="E518" s="3"/>
      <c r="F518" s="3"/>
    </row>
    <row r="519" spans="1:6" ht="12.75" x14ac:dyDescent="0.2">
      <c r="A519" s="3"/>
      <c r="B519" s="3"/>
      <c r="C519" s="3"/>
      <c r="D519" s="3"/>
      <c r="E519" s="3"/>
      <c r="F519" s="3"/>
    </row>
    <row r="520" spans="1:6" ht="12.75" x14ac:dyDescent="0.2">
      <c r="A520" s="3"/>
      <c r="B520" s="3"/>
      <c r="C520" s="3"/>
      <c r="D520" s="3"/>
      <c r="E520" s="3"/>
      <c r="F520" s="3"/>
    </row>
    <row r="521" spans="1:6" ht="12.75" x14ac:dyDescent="0.2">
      <c r="A521" s="3"/>
      <c r="B521" s="3"/>
      <c r="C521" s="3"/>
      <c r="D521" s="3"/>
      <c r="E521" s="3"/>
      <c r="F521" s="3"/>
    </row>
    <row r="522" spans="1:6" ht="12.75" x14ac:dyDescent="0.2">
      <c r="A522" s="3"/>
      <c r="B522" s="3"/>
      <c r="C522" s="3"/>
      <c r="D522" s="3"/>
      <c r="E522" s="3"/>
      <c r="F522" s="3"/>
    </row>
    <row r="523" spans="1:6" ht="12.75" x14ac:dyDescent="0.2">
      <c r="A523" s="3"/>
      <c r="B523" s="3"/>
      <c r="C523" s="3"/>
      <c r="D523" s="3"/>
      <c r="E523" s="3"/>
      <c r="F523" s="3"/>
    </row>
    <row r="524" spans="1:6" ht="12.75" x14ac:dyDescent="0.2">
      <c r="A524" s="3"/>
      <c r="B524" s="3"/>
      <c r="C524" s="3"/>
      <c r="D524" s="3"/>
      <c r="E524" s="3"/>
      <c r="F524" s="3"/>
    </row>
    <row r="525" spans="1:6" ht="12.75" x14ac:dyDescent="0.2">
      <c r="A525" s="3"/>
      <c r="B525" s="3"/>
      <c r="C525" s="3"/>
      <c r="D525" s="3"/>
      <c r="E525" s="3"/>
      <c r="F525" s="3"/>
    </row>
    <row r="526" spans="1:6" ht="12.75" x14ac:dyDescent="0.2">
      <c r="A526" s="3"/>
      <c r="B526" s="3"/>
      <c r="C526" s="3"/>
      <c r="D526" s="3"/>
      <c r="E526" s="3"/>
      <c r="F526" s="3"/>
    </row>
    <row r="527" spans="1:6" ht="12.75" x14ac:dyDescent="0.2">
      <c r="A527" s="3"/>
      <c r="B527" s="3"/>
      <c r="C527" s="3"/>
      <c r="D527" s="3"/>
      <c r="E527" s="3"/>
      <c r="F527" s="3"/>
    </row>
    <row r="528" spans="1:6" ht="12.75" x14ac:dyDescent="0.2">
      <c r="A528" s="3"/>
      <c r="B528" s="3"/>
      <c r="C528" s="3"/>
      <c r="D528" s="3"/>
      <c r="E528" s="3"/>
      <c r="F528" s="3"/>
    </row>
    <row r="529" spans="1:6" ht="12.75" x14ac:dyDescent="0.2">
      <c r="A529" s="3"/>
      <c r="B529" s="3"/>
      <c r="C529" s="3"/>
      <c r="D529" s="3"/>
      <c r="E529" s="3"/>
      <c r="F529" s="3"/>
    </row>
    <row r="530" spans="1:6" ht="12.75" x14ac:dyDescent="0.2">
      <c r="A530" s="3"/>
      <c r="B530" s="3"/>
      <c r="C530" s="3"/>
      <c r="D530" s="3"/>
      <c r="E530" s="3"/>
      <c r="F530" s="3"/>
    </row>
    <row r="531" spans="1:6" ht="12.75" x14ac:dyDescent="0.2">
      <c r="A531" s="3"/>
      <c r="B531" s="3"/>
      <c r="C531" s="3"/>
      <c r="D531" s="3"/>
      <c r="E531" s="3"/>
      <c r="F531" s="3"/>
    </row>
    <row r="532" spans="1:6" ht="12.75" x14ac:dyDescent="0.2">
      <c r="A532" s="3"/>
      <c r="B532" s="3"/>
      <c r="C532" s="3"/>
      <c r="D532" s="3"/>
      <c r="E532" s="3"/>
      <c r="F532" s="3"/>
    </row>
    <row r="533" spans="1:6" ht="12.75" x14ac:dyDescent="0.2">
      <c r="A533" s="3"/>
      <c r="B533" s="3"/>
      <c r="C533" s="3"/>
      <c r="D533" s="3"/>
      <c r="E533" s="3"/>
      <c r="F533" s="3"/>
    </row>
    <row r="534" spans="1:6" ht="12.75" x14ac:dyDescent="0.2">
      <c r="A534" s="3"/>
      <c r="B534" s="3"/>
      <c r="C534" s="3"/>
      <c r="D534" s="3"/>
      <c r="E534" s="3"/>
      <c r="F534" s="3"/>
    </row>
    <row r="535" spans="1:6" ht="12.75" x14ac:dyDescent="0.2">
      <c r="A535" s="3"/>
      <c r="B535" s="3"/>
      <c r="C535" s="3"/>
      <c r="D535" s="3"/>
      <c r="E535" s="3"/>
      <c r="F535" s="3"/>
    </row>
    <row r="536" spans="1:6" ht="12.75" x14ac:dyDescent="0.2">
      <c r="A536" s="3"/>
      <c r="B536" s="3"/>
      <c r="C536" s="3"/>
      <c r="D536" s="3"/>
      <c r="E536" s="3"/>
      <c r="F536" s="3"/>
    </row>
    <row r="537" spans="1:6" ht="12.75" x14ac:dyDescent="0.2">
      <c r="A537" s="3"/>
      <c r="B537" s="3"/>
      <c r="C537" s="3"/>
      <c r="D537" s="3"/>
      <c r="E537" s="3"/>
      <c r="F537" s="3"/>
    </row>
    <row r="538" spans="1:6" ht="12.75" x14ac:dyDescent="0.2">
      <c r="A538" s="3"/>
      <c r="B538" s="3"/>
      <c r="C538" s="3"/>
      <c r="D538" s="3"/>
      <c r="E538" s="3"/>
      <c r="F538" s="3"/>
    </row>
    <row r="539" spans="1:6" ht="12.75" x14ac:dyDescent="0.2">
      <c r="A539" s="3"/>
      <c r="B539" s="3"/>
      <c r="C539" s="3"/>
      <c r="D539" s="3"/>
      <c r="E539" s="3"/>
      <c r="F539" s="3"/>
    </row>
    <row r="540" spans="1:6" ht="12.75" x14ac:dyDescent="0.2">
      <c r="A540" s="3"/>
      <c r="B540" s="3"/>
      <c r="C540" s="3"/>
      <c r="D540" s="3"/>
      <c r="E540" s="3"/>
      <c r="F540" s="3"/>
    </row>
    <row r="541" spans="1:6" ht="12.75" x14ac:dyDescent="0.2">
      <c r="A541" s="3"/>
      <c r="B541" s="3"/>
      <c r="C541" s="3"/>
      <c r="D541" s="3"/>
      <c r="E541" s="3"/>
      <c r="F541" s="3"/>
    </row>
    <row r="542" spans="1:6" ht="12.75" x14ac:dyDescent="0.2">
      <c r="A542" s="3"/>
      <c r="B542" s="3"/>
      <c r="C542" s="3"/>
      <c r="D542" s="3"/>
      <c r="E542" s="3"/>
      <c r="F542" s="3"/>
    </row>
    <row r="543" spans="1:6" ht="12.75" x14ac:dyDescent="0.2">
      <c r="A543" s="3"/>
      <c r="B543" s="3"/>
      <c r="C543" s="3"/>
      <c r="D543" s="3"/>
      <c r="E543" s="3"/>
      <c r="F543" s="3"/>
    </row>
    <row r="544" spans="1:6" ht="12.75" x14ac:dyDescent="0.2">
      <c r="A544" s="3"/>
      <c r="B544" s="3"/>
      <c r="C544" s="3"/>
      <c r="D544" s="3"/>
      <c r="E544" s="3"/>
      <c r="F544" s="3"/>
    </row>
    <row r="545" spans="1:6" ht="12.75" x14ac:dyDescent="0.2">
      <c r="A545" s="3"/>
      <c r="B545" s="3"/>
      <c r="C545" s="3"/>
      <c r="D545" s="3"/>
      <c r="E545" s="3"/>
      <c r="F545" s="3"/>
    </row>
    <row r="546" spans="1:6" ht="12.75" x14ac:dyDescent="0.2">
      <c r="A546" s="3"/>
      <c r="B546" s="3"/>
      <c r="C546" s="3"/>
      <c r="D546" s="3"/>
      <c r="E546" s="3"/>
      <c r="F546" s="3"/>
    </row>
    <row r="547" spans="1:6" ht="12.75" x14ac:dyDescent="0.2">
      <c r="A547" s="3"/>
      <c r="B547" s="3"/>
      <c r="C547" s="3"/>
      <c r="D547" s="3"/>
      <c r="E547" s="3"/>
      <c r="F547" s="3"/>
    </row>
    <row r="548" spans="1:6" ht="12.75" x14ac:dyDescent="0.2">
      <c r="A548" s="3"/>
      <c r="B548" s="3"/>
      <c r="C548" s="3"/>
      <c r="D548" s="3"/>
      <c r="E548" s="3"/>
      <c r="F548" s="3"/>
    </row>
    <row r="549" spans="1:6" ht="12.75" x14ac:dyDescent="0.2">
      <c r="A549" s="3"/>
      <c r="B549" s="3"/>
      <c r="C549" s="3"/>
      <c r="D549" s="3"/>
      <c r="E549" s="3"/>
      <c r="F549" s="3"/>
    </row>
    <row r="550" spans="1:6" ht="12.75" x14ac:dyDescent="0.2">
      <c r="A550" s="3"/>
      <c r="B550" s="3"/>
      <c r="C550" s="3"/>
      <c r="D550" s="3"/>
      <c r="E550" s="3"/>
      <c r="F550" s="3"/>
    </row>
    <row r="551" spans="1:6" ht="12.75" x14ac:dyDescent="0.2">
      <c r="A551" s="3"/>
      <c r="B551" s="3"/>
      <c r="C551" s="3"/>
      <c r="D551" s="3"/>
      <c r="E551" s="3"/>
      <c r="F551" s="3"/>
    </row>
    <row r="552" spans="1:6" ht="12.75" x14ac:dyDescent="0.2">
      <c r="A552" s="3"/>
      <c r="B552" s="3"/>
      <c r="C552" s="3"/>
      <c r="D552" s="3"/>
      <c r="E552" s="3"/>
      <c r="F552" s="3"/>
    </row>
    <row r="553" spans="1:6" ht="12.75" x14ac:dyDescent="0.2">
      <c r="A553" s="3"/>
      <c r="B553" s="3"/>
      <c r="C553" s="3"/>
      <c r="D553" s="3"/>
      <c r="E553" s="3"/>
      <c r="F553" s="3"/>
    </row>
    <row r="554" spans="1:6" ht="12.75" x14ac:dyDescent="0.2">
      <c r="A554" s="3"/>
      <c r="B554" s="3"/>
      <c r="C554" s="3"/>
      <c r="D554" s="3"/>
      <c r="E554" s="3"/>
      <c r="F554" s="3"/>
    </row>
    <row r="555" spans="1:6" ht="12.75" x14ac:dyDescent="0.2">
      <c r="A555" s="3"/>
      <c r="B555" s="3"/>
      <c r="C555" s="3"/>
      <c r="D555" s="3"/>
      <c r="E555" s="3"/>
      <c r="F555" s="3"/>
    </row>
    <row r="556" spans="1:6" ht="12.75" x14ac:dyDescent="0.2">
      <c r="A556" s="3"/>
      <c r="B556" s="3"/>
      <c r="C556" s="3"/>
      <c r="D556" s="3"/>
      <c r="E556" s="3"/>
      <c r="F556" s="3"/>
    </row>
    <row r="557" spans="1:6" ht="12.75" x14ac:dyDescent="0.2">
      <c r="A557" s="3"/>
      <c r="B557" s="3"/>
      <c r="C557" s="3"/>
      <c r="D557" s="3"/>
      <c r="E557" s="3"/>
      <c r="F557" s="3"/>
    </row>
    <row r="558" spans="1:6" ht="12.75" x14ac:dyDescent="0.2">
      <c r="A558" s="3"/>
      <c r="B558" s="3"/>
      <c r="C558" s="3"/>
      <c r="D558" s="3"/>
      <c r="E558" s="3"/>
      <c r="F558" s="3"/>
    </row>
    <row r="559" spans="1:6" ht="12.75" x14ac:dyDescent="0.2">
      <c r="A559" s="3"/>
      <c r="B559" s="3"/>
      <c r="C559" s="3"/>
      <c r="D559" s="3"/>
      <c r="E559" s="3"/>
      <c r="F559" s="3"/>
    </row>
    <row r="560" spans="1:6" ht="12.75" x14ac:dyDescent="0.2">
      <c r="A560" s="3"/>
      <c r="B560" s="3"/>
      <c r="C560" s="3"/>
      <c r="D560" s="3"/>
      <c r="E560" s="3"/>
      <c r="F560" s="3"/>
    </row>
    <row r="561" spans="1:6" ht="12.75" x14ac:dyDescent="0.2">
      <c r="A561" s="3"/>
      <c r="B561" s="3"/>
      <c r="C561" s="3"/>
      <c r="D561" s="3"/>
      <c r="E561" s="3"/>
      <c r="F561" s="3"/>
    </row>
    <row r="562" spans="1:6" ht="12.75" x14ac:dyDescent="0.2">
      <c r="A562" s="3"/>
      <c r="B562" s="3"/>
      <c r="C562" s="3"/>
      <c r="D562" s="3"/>
      <c r="E562" s="3"/>
      <c r="F562" s="3"/>
    </row>
    <row r="563" spans="1:6" ht="12.75" x14ac:dyDescent="0.2">
      <c r="A563" s="3"/>
      <c r="B563" s="3"/>
      <c r="C563" s="3"/>
      <c r="D563" s="3"/>
      <c r="E563" s="3"/>
      <c r="F563" s="3"/>
    </row>
    <row r="564" spans="1:6" ht="12.75" x14ac:dyDescent="0.2">
      <c r="A564" s="3"/>
      <c r="B564" s="3"/>
      <c r="C564" s="3"/>
      <c r="D564" s="3"/>
      <c r="E564" s="3"/>
      <c r="F564" s="3"/>
    </row>
    <row r="565" spans="1:6" ht="12.75" x14ac:dyDescent="0.2">
      <c r="A565" s="3"/>
      <c r="B565" s="3"/>
      <c r="C565" s="3"/>
      <c r="D565" s="3"/>
      <c r="E565" s="3"/>
      <c r="F565" s="3"/>
    </row>
    <row r="566" spans="1:6" ht="12.75" x14ac:dyDescent="0.2">
      <c r="A566" s="3"/>
      <c r="B566" s="3"/>
      <c r="C566" s="3"/>
      <c r="D566" s="3"/>
      <c r="E566" s="3"/>
      <c r="F566" s="3"/>
    </row>
    <row r="567" spans="1:6" ht="12.75" x14ac:dyDescent="0.2">
      <c r="A567" s="3"/>
      <c r="B567" s="3"/>
      <c r="C567" s="3"/>
      <c r="D567" s="3"/>
      <c r="E567" s="3"/>
      <c r="F567" s="3"/>
    </row>
    <row r="568" spans="1:6" ht="12.75" x14ac:dyDescent="0.2">
      <c r="A568" s="3"/>
      <c r="B568" s="3"/>
      <c r="C568" s="3"/>
      <c r="D568" s="3"/>
      <c r="E568" s="3"/>
      <c r="F568" s="3"/>
    </row>
    <row r="569" spans="1:6" ht="12.75" x14ac:dyDescent="0.2">
      <c r="A569" s="3"/>
      <c r="B569" s="3"/>
      <c r="C569" s="3"/>
      <c r="D569" s="3"/>
      <c r="E569" s="3"/>
      <c r="F569" s="3"/>
    </row>
    <row r="570" spans="1:6" ht="12.75" x14ac:dyDescent="0.2">
      <c r="A570" s="3"/>
      <c r="B570" s="3"/>
      <c r="C570" s="3"/>
      <c r="D570" s="3"/>
      <c r="E570" s="3"/>
      <c r="F570" s="3"/>
    </row>
    <row r="571" spans="1:6" ht="12.75" x14ac:dyDescent="0.2">
      <c r="A571" s="3"/>
      <c r="B571" s="3"/>
      <c r="C571" s="3"/>
      <c r="D571" s="3"/>
      <c r="E571" s="3"/>
      <c r="F571" s="3"/>
    </row>
    <row r="572" spans="1:6" ht="12.75" x14ac:dyDescent="0.2">
      <c r="A572" s="3"/>
      <c r="B572" s="3"/>
      <c r="C572" s="3"/>
      <c r="D572" s="3"/>
      <c r="E572" s="3"/>
      <c r="F572" s="3"/>
    </row>
    <row r="573" spans="1:6" ht="12.75" x14ac:dyDescent="0.2">
      <c r="A573" s="3"/>
      <c r="B573" s="3"/>
      <c r="C573" s="3"/>
      <c r="D573" s="3"/>
      <c r="E573" s="3"/>
      <c r="F573" s="3"/>
    </row>
    <row r="574" spans="1:6" ht="12.75" x14ac:dyDescent="0.2">
      <c r="A574" s="3"/>
      <c r="B574" s="3"/>
      <c r="C574" s="3"/>
      <c r="D574" s="3"/>
      <c r="E574" s="3"/>
      <c r="F574" s="3"/>
    </row>
    <row r="575" spans="1:6" ht="12.75" x14ac:dyDescent="0.2">
      <c r="A575" s="3"/>
      <c r="B575" s="3"/>
      <c r="C575" s="3"/>
      <c r="D575" s="3"/>
      <c r="E575" s="3"/>
      <c r="F575" s="3"/>
    </row>
    <row r="576" spans="1:6" ht="12.75" x14ac:dyDescent="0.2">
      <c r="A576" s="3"/>
      <c r="B576" s="3"/>
      <c r="C576" s="3"/>
      <c r="D576" s="3"/>
      <c r="E576" s="3"/>
      <c r="F576" s="3"/>
    </row>
    <row r="577" spans="1:6" ht="12.75" x14ac:dyDescent="0.2">
      <c r="A577" s="3"/>
      <c r="B577" s="3"/>
      <c r="C577" s="3"/>
      <c r="D577" s="3"/>
      <c r="E577" s="3"/>
      <c r="F577" s="3"/>
    </row>
    <row r="578" spans="1:6" ht="12.75" x14ac:dyDescent="0.2">
      <c r="A578" s="3"/>
      <c r="B578" s="3"/>
      <c r="C578" s="3"/>
      <c r="D578" s="3"/>
      <c r="E578" s="3"/>
      <c r="F578" s="3"/>
    </row>
    <row r="579" spans="1:6" ht="12.75" x14ac:dyDescent="0.2">
      <c r="A579" s="3"/>
      <c r="B579" s="3"/>
      <c r="C579" s="3"/>
      <c r="D579" s="3"/>
      <c r="E579" s="3"/>
      <c r="F579" s="3"/>
    </row>
    <row r="580" spans="1:6" ht="12.75" x14ac:dyDescent="0.2">
      <c r="A580" s="3"/>
      <c r="B580" s="3"/>
      <c r="C580" s="3"/>
      <c r="D580" s="3"/>
      <c r="E580" s="3"/>
      <c r="F580" s="3"/>
    </row>
    <row r="581" spans="1:6" ht="12.75" x14ac:dyDescent="0.2">
      <c r="A581" s="3"/>
      <c r="B581" s="3"/>
      <c r="C581" s="3"/>
      <c r="D581" s="3"/>
      <c r="E581" s="3"/>
      <c r="F581" s="3"/>
    </row>
    <row r="582" spans="1:6" ht="12.75" x14ac:dyDescent="0.2">
      <c r="A582" s="3"/>
      <c r="B582" s="3"/>
      <c r="C582" s="3"/>
      <c r="D582" s="3"/>
      <c r="E582" s="3"/>
      <c r="F582" s="3"/>
    </row>
    <row r="583" spans="1:6" ht="12.75" x14ac:dyDescent="0.2">
      <c r="A583" s="3"/>
      <c r="B583" s="3"/>
      <c r="C583" s="3"/>
      <c r="D583" s="3"/>
      <c r="E583" s="3"/>
      <c r="F583" s="3"/>
    </row>
    <row r="584" spans="1:6" ht="12.75" x14ac:dyDescent="0.2">
      <c r="A584" s="3"/>
      <c r="B584" s="3"/>
      <c r="C584" s="3"/>
      <c r="D584" s="3"/>
      <c r="E584" s="3"/>
      <c r="F584" s="3"/>
    </row>
    <row r="585" spans="1:6" ht="12.75" x14ac:dyDescent="0.2">
      <c r="A585" s="3"/>
      <c r="B585" s="3"/>
      <c r="C585" s="3"/>
      <c r="D585" s="3"/>
      <c r="E585" s="3"/>
      <c r="F585" s="3"/>
    </row>
    <row r="586" spans="1:6" ht="12.75" x14ac:dyDescent="0.2">
      <c r="A586" s="3"/>
      <c r="B586" s="3"/>
      <c r="C586" s="3"/>
      <c r="D586" s="3"/>
      <c r="E586" s="3"/>
      <c r="F586" s="3"/>
    </row>
    <row r="587" spans="1:6" ht="12.75" x14ac:dyDescent="0.2">
      <c r="A587" s="3"/>
      <c r="B587" s="3"/>
      <c r="C587" s="3"/>
      <c r="D587" s="3"/>
      <c r="E587" s="3"/>
      <c r="F587" s="3"/>
    </row>
    <row r="588" spans="1:6" ht="12.75" x14ac:dyDescent="0.2">
      <c r="A588" s="3"/>
      <c r="B588" s="3"/>
      <c r="C588" s="3"/>
      <c r="D588" s="3"/>
      <c r="E588" s="3"/>
      <c r="F588" s="3"/>
    </row>
    <row r="589" spans="1:6" ht="12.75" x14ac:dyDescent="0.2">
      <c r="A589" s="3"/>
      <c r="B589" s="3"/>
      <c r="C589" s="3"/>
      <c r="D589" s="3"/>
      <c r="E589" s="3"/>
      <c r="F589" s="3"/>
    </row>
    <row r="590" spans="1:6" ht="12.75" x14ac:dyDescent="0.2">
      <c r="A590" s="3"/>
      <c r="B590" s="3"/>
      <c r="C590" s="3"/>
      <c r="D590" s="3"/>
      <c r="E590" s="3"/>
      <c r="F590" s="3"/>
    </row>
    <row r="591" spans="1:6" ht="12.75" x14ac:dyDescent="0.2">
      <c r="A591" s="3"/>
      <c r="B591" s="3"/>
      <c r="C591" s="3"/>
      <c r="D591" s="3"/>
      <c r="E591" s="3"/>
      <c r="F591" s="3"/>
    </row>
    <row r="592" spans="1:6" ht="12.75" x14ac:dyDescent="0.2">
      <c r="A592" s="3"/>
      <c r="B592" s="3"/>
      <c r="C592" s="3"/>
      <c r="D592" s="3"/>
      <c r="E592" s="3"/>
      <c r="F592" s="3"/>
    </row>
    <row r="593" spans="1:6" ht="12.75" x14ac:dyDescent="0.2">
      <c r="A593" s="3"/>
      <c r="B593" s="3"/>
      <c r="C593" s="3"/>
      <c r="D593" s="3"/>
      <c r="E593" s="3"/>
      <c r="F593" s="3"/>
    </row>
    <row r="594" spans="1:6" ht="12.75" x14ac:dyDescent="0.2">
      <c r="A594" s="3"/>
      <c r="B594" s="3"/>
      <c r="C594" s="3"/>
      <c r="D594" s="3"/>
      <c r="E594" s="3"/>
      <c r="F594" s="3"/>
    </row>
    <row r="595" spans="1:6" ht="12.75" x14ac:dyDescent="0.2">
      <c r="A595" s="3"/>
      <c r="B595" s="3"/>
      <c r="C595" s="3"/>
      <c r="D595" s="3"/>
      <c r="E595" s="3"/>
      <c r="F595" s="3"/>
    </row>
    <row r="596" spans="1:6" ht="12.75" x14ac:dyDescent="0.2">
      <c r="A596" s="3"/>
      <c r="B596" s="3"/>
      <c r="C596" s="3"/>
      <c r="D596" s="3"/>
      <c r="E596" s="3"/>
      <c r="F596" s="3"/>
    </row>
    <row r="597" spans="1:6" ht="12.75" x14ac:dyDescent="0.2">
      <c r="A597" s="3"/>
      <c r="B597" s="3"/>
      <c r="C597" s="3"/>
      <c r="D597" s="3"/>
      <c r="E597" s="3"/>
      <c r="F597" s="3"/>
    </row>
    <row r="598" spans="1:6" ht="12.75" x14ac:dyDescent="0.2">
      <c r="A598" s="3"/>
      <c r="B598" s="3"/>
      <c r="C598" s="3"/>
      <c r="D598" s="3"/>
      <c r="E598" s="3"/>
      <c r="F598" s="3"/>
    </row>
    <row r="599" spans="1:6" ht="12.75" x14ac:dyDescent="0.2">
      <c r="A599" s="3"/>
      <c r="B599" s="3"/>
      <c r="C599" s="3"/>
      <c r="D599" s="3"/>
      <c r="E599" s="3"/>
      <c r="F599" s="3"/>
    </row>
    <row r="600" spans="1:6" ht="12.75" x14ac:dyDescent="0.2">
      <c r="A600" s="3"/>
      <c r="B600" s="3"/>
      <c r="C600" s="3"/>
      <c r="D600" s="3"/>
      <c r="E600" s="3"/>
      <c r="F600" s="3"/>
    </row>
    <row r="601" spans="1:6" ht="12.75" x14ac:dyDescent="0.2">
      <c r="A601" s="3"/>
      <c r="B601" s="3"/>
      <c r="C601" s="3"/>
      <c r="D601" s="3"/>
      <c r="E601" s="3"/>
      <c r="F601" s="3"/>
    </row>
    <row r="602" spans="1:6" ht="12.75" x14ac:dyDescent="0.2">
      <c r="A602" s="3"/>
      <c r="B602" s="3"/>
      <c r="C602" s="3"/>
      <c r="D602" s="3"/>
      <c r="E602" s="3"/>
      <c r="F602" s="3"/>
    </row>
    <row r="603" spans="1:6" ht="12.75" x14ac:dyDescent="0.2">
      <c r="A603" s="3"/>
      <c r="B603" s="3"/>
      <c r="C603" s="3"/>
      <c r="D603" s="3"/>
      <c r="E603" s="3"/>
      <c r="F603" s="3"/>
    </row>
    <row r="604" spans="1:6" ht="12.75" x14ac:dyDescent="0.2">
      <c r="A604" s="3"/>
      <c r="B604" s="3"/>
      <c r="C604" s="3"/>
      <c r="D604" s="3"/>
      <c r="E604" s="3"/>
      <c r="F604" s="3"/>
    </row>
    <row r="605" spans="1:6" ht="12.75" x14ac:dyDescent="0.2">
      <c r="A605" s="3"/>
      <c r="B605" s="3"/>
      <c r="C605" s="3"/>
      <c r="D605" s="3"/>
      <c r="E605" s="3"/>
      <c r="F605" s="3"/>
    </row>
    <row r="606" spans="1:6" ht="12.75" x14ac:dyDescent="0.2">
      <c r="A606" s="3"/>
      <c r="B606" s="3"/>
      <c r="C606" s="3"/>
      <c r="D606" s="3"/>
      <c r="E606" s="3"/>
      <c r="F606" s="3"/>
    </row>
    <row r="607" spans="1:6" ht="12.75" x14ac:dyDescent="0.2">
      <c r="A607" s="3"/>
      <c r="B607" s="3"/>
      <c r="C607" s="3"/>
      <c r="D607" s="3"/>
      <c r="E607" s="3"/>
      <c r="F607" s="3"/>
    </row>
    <row r="608" spans="1:6" ht="12.75" x14ac:dyDescent="0.2">
      <c r="A608" s="3"/>
      <c r="B608" s="3"/>
      <c r="C608" s="3"/>
      <c r="D608" s="3"/>
      <c r="E608" s="3"/>
      <c r="F608" s="3"/>
    </row>
    <row r="609" spans="1:6" ht="12.75" x14ac:dyDescent="0.2">
      <c r="A609" s="3"/>
      <c r="B609" s="3"/>
      <c r="C609" s="3"/>
      <c r="D609" s="3"/>
      <c r="E609" s="3"/>
      <c r="F609" s="3"/>
    </row>
    <row r="610" spans="1:6" ht="12.75" x14ac:dyDescent="0.2">
      <c r="A610" s="3"/>
      <c r="B610" s="3"/>
      <c r="C610" s="3"/>
      <c r="D610" s="3"/>
      <c r="E610" s="3"/>
      <c r="F610" s="3"/>
    </row>
    <row r="611" spans="1:6" ht="12.75" x14ac:dyDescent="0.2">
      <c r="A611" s="3"/>
      <c r="B611" s="3"/>
      <c r="C611" s="3"/>
      <c r="D611" s="3"/>
      <c r="E611" s="3"/>
      <c r="F611" s="3"/>
    </row>
    <row r="612" spans="1:6" ht="12.75" x14ac:dyDescent="0.2">
      <c r="A612" s="3"/>
      <c r="B612" s="3"/>
      <c r="C612" s="3"/>
      <c r="D612" s="3"/>
      <c r="E612" s="3"/>
      <c r="F612" s="3"/>
    </row>
    <row r="613" spans="1:6" ht="12.75" x14ac:dyDescent="0.2">
      <c r="A613" s="3"/>
      <c r="B613" s="3"/>
      <c r="C613" s="3"/>
      <c r="D613" s="3"/>
      <c r="E613" s="3"/>
      <c r="F613" s="3"/>
    </row>
    <row r="614" spans="1:6" ht="12.75" x14ac:dyDescent="0.2">
      <c r="A614" s="3"/>
      <c r="B614" s="3"/>
      <c r="C614" s="3"/>
      <c r="D614" s="3"/>
      <c r="E614" s="3"/>
      <c r="F614" s="3"/>
    </row>
    <row r="615" spans="1:6" ht="12.75" x14ac:dyDescent="0.2">
      <c r="A615" s="3"/>
      <c r="B615" s="3"/>
      <c r="C615" s="3"/>
      <c r="D615" s="3"/>
      <c r="E615" s="3"/>
      <c r="F615" s="3"/>
    </row>
    <row r="616" spans="1:6" ht="12.75" x14ac:dyDescent="0.2">
      <c r="A616" s="3"/>
      <c r="B616" s="3"/>
      <c r="C616" s="3"/>
      <c r="D616" s="3"/>
      <c r="E616" s="3"/>
      <c r="F616" s="3"/>
    </row>
    <row r="617" spans="1:6" ht="12.75" x14ac:dyDescent="0.2">
      <c r="A617" s="3"/>
      <c r="B617" s="3"/>
      <c r="C617" s="3"/>
      <c r="D617" s="3"/>
      <c r="E617" s="3"/>
      <c r="F617" s="3"/>
    </row>
    <row r="618" spans="1:6" ht="12.75" x14ac:dyDescent="0.2">
      <c r="A618" s="3"/>
      <c r="B618" s="3"/>
      <c r="C618" s="3"/>
      <c r="D618" s="3"/>
      <c r="E618" s="3"/>
      <c r="F618" s="3"/>
    </row>
    <row r="619" spans="1:6" ht="12.75" x14ac:dyDescent="0.2">
      <c r="A619" s="3"/>
      <c r="B619" s="3"/>
      <c r="C619" s="3"/>
      <c r="D619" s="3"/>
      <c r="E619" s="3"/>
      <c r="F619" s="3"/>
    </row>
    <row r="620" spans="1:6" ht="12.75" x14ac:dyDescent="0.2">
      <c r="A620" s="3"/>
      <c r="B620" s="3"/>
      <c r="C620" s="3"/>
      <c r="D620" s="3"/>
      <c r="E620" s="3"/>
      <c r="F620" s="3"/>
    </row>
    <row r="621" spans="1:6" ht="12.75" x14ac:dyDescent="0.2">
      <c r="A621" s="3"/>
      <c r="B621" s="3"/>
      <c r="C621" s="3"/>
      <c r="D621" s="3"/>
      <c r="E621" s="3"/>
      <c r="F621" s="3"/>
    </row>
    <row r="622" spans="1:6" ht="12.75" x14ac:dyDescent="0.2">
      <c r="A622" s="3"/>
      <c r="B622" s="3"/>
      <c r="C622" s="3"/>
      <c r="D622" s="3"/>
      <c r="E622" s="3"/>
      <c r="F622" s="3"/>
    </row>
    <row r="623" spans="1:6" ht="12.75" x14ac:dyDescent="0.2">
      <c r="A623" s="3"/>
      <c r="B623" s="3"/>
      <c r="C623" s="3"/>
      <c r="D623" s="3"/>
      <c r="E623" s="3"/>
      <c r="F623" s="3"/>
    </row>
    <row r="624" spans="1:6" ht="12.75" x14ac:dyDescent="0.2">
      <c r="A624" s="3"/>
      <c r="B624" s="3"/>
      <c r="C624" s="3"/>
      <c r="D624" s="3"/>
      <c r="E624" s="3"/>
      <c r="F624" s="3"/>
    </row>
    <row r="625" spans="1:6" ht="12.75" x14ac:dyDescent="0.2">
      <c r="A625" s="3"/>
      <c r="B625" s="3"/>
      <c r="C625" s="3"/>
      <c r="D625" s="3"/>
      <c r="E625" s="3"/>
      <c r="F625" s="3"/>
    </row>
    <row r="626" spans="1:6" ht="12.75" x14ac:dyDescent="0.2">
      <c r="A626" s="3"/>
      <c r="B626" s="3"/>
      <c r="C626" s="3"/>
      <c r="D626" s="3"/>
      <c r="E626" s="3"/>
      <c r="F626" s="3"/>
    </row>
    <row r="627" spans="1:6" ht="12.75" x14ac:dyDescent="0.2">
      <c r="A627" s="3"/>
      <c r="B627" s="3"/>
      <c r="C627" s="3"/>
      <c r="D627" s="3"/>
      <c r="E627" s="3"/>
      <c r="F627" s="3"/>
    </row>
    <row r="628" spans="1:6" ht="12.75" x14ac:dyDescent="0.2">
      <c r="A628" s="3"/>
      <c r="B628" s="3"/>
      <c r="C628" s="3"/>
      <c r="D628" s="3"/>
      <c r="E628" s="3"/>
      <c r="F628" s="3"/>
    </row>
    <row r="629" spans="1:6" ht="12.75" x14ac:dyDescent="0.2">
      <c r="A629" s="3"/>
      <c r="B629" s="3"/>
      <c r="C629" s="3"/>
      <c r="D629" s="3"/>
      <c r="E629" s="3"/>
      <c r="F629" s="3"/>
    </row>
    <row r="630" spans="1:6" ht="12.75" x14ac:dyDescent="0.2">
      <c r="A630" s="3"/>
      <c r="B630" s="3"/>
      <c r="C630" s="3"/>
      <c r="D630" s="3"/>
      <c r="E630" s="3"/>
      <c r="F630" s="3"/>
    </row>
    <row r="631" spans="1:6" ht="12.75" x14ac:dyDescent="0.2">
      <c r="A631" s="3"/>
      <c r="B631" s="3"/>
      <c r="C631" s="3"/>
      <c r="D631" s="3"/>
      <c r="E631" s="3"/>
      <c r="F631" s="3"/>
    </row>
    <row r="632" spans="1:6" ht="12.75" x14ac:dyDescent="0.2">
      <c r="A632" s="3"/>
      <c r="B632" s="3"/>
      <c r="C632" s="3"/>
      <c r="D632" s="3"/>
      <c r="E632" s="3"/>
      <c r="F632" s="3"/>
    </row>
    <row r="633" spans="1:6" ht="12.75" x14ac:dyDescent="0.2">
      <c r="A633" s="3"/>
      <c r="B633" s="3"/>
      <c r="C633" s="3"/>
      <c r="D633" s="3"/>
      <c r="E633" s="3"/>
      <c r="F633" s="3"/>
    </row>
    <row r="634" spans="1:6" ht="12.75" x14ac:dyDescent="0.2">
      <c r="A634" s="3"/>
      <c r="B634" s="3"/>
      <c r="C634" s="3"/>
      <c r="D634" s="3"/>
      <c r="E634" s="3"/>
      <c r="F634" s="3"/>
    </row>
    <row r="635" spans="1:6" ht="12.75" x14ac:dyDescent="0.2">
      <c r="A635" s="3"/>
      <c r="B635" s="3"/>
      <c r="C635" s="3"/>
      <c r="D635" s="3"/>
      <c r="E635" s="3"/>
      <c r="F635" s="3"/>
    </row>
    <row r="636" spans="1:6" ht="12.75" x14ac:dyDescent="0.2">
      <c r="A636" s="3"/>
      <c r="B636" s="3"/>
      <c r="C636" s="3"/>
      <c r="D636" s="3"/>
      <c r="E636" s="3"/>
      <c r="F636" s="3"/>
    </row>
    <row r="637" spans="1:6" ht="12.75" x14ac:dyDescent="0.2">
      <c r="A637" s="3"/>
      <c r="B637" s="3"/>
      <c r="C637" s="3"/>
      <c r="D637" s="3"/>
      <c r="E637" s="3"/>
      <c r="F637" s="3"/>
    </row>
    <row r="638" spans="1:6" ht="12.75" x14ac:dyDescent="0.2">
      <c r="A638" s="3"/>
      <c r="B638" s="3"/>
      <c r="C638" s="3"/>
      <c r="D638" s="3"/>
      <c r="E638" s="3"/>
      <c r="F638" s="3"/>
    </row>
    <row r="639" spans="1:6" ht="12.75" x14ac:dyDescent="0.2">
      <c r="A639" s="3"/>
      <c r="B639" s="3"/>
      <c r="C639" s="3"/>
      <c r="D639" s="3"/>
      <c r="E639" s="3"/>
      <c r="F639" s="3"/>
    </row>
    <row r="640" spans="1:6" ht="12.75" x14ac:dyDescent="0.2">
      <c r="A640" s="3"/>
      <c r="B640" s="3"/>
      <c r="C640" s="3"/>
      <c r="D640" s="3"/>
      <c r="E640" s="3"/>
      <c r="F640" s="3"/>
    </row>
    <row r="641" spans="1:6" ht="12.75" x14ac:dyDescent="0.2">
      <c r="A641" s="3"/>
      <c r="B641" s="3"/>
      <c r="C641" s="3"/>
      <c r="D641" s="3"/>
      <c r="E641" s="3"/>
      <c r="F641" s="3"/>
    </row>
    <row r="642" spans="1:6" ht="12.75" x14ac:dyDescent="0.2">
      <c r="A642" s="3"/>
      <c r="B642" s="3"/>
      <c r="C642" s="3"/>
      <c r="D642" s="3"/>
      <c r="E642" s="3"/>
      <c r="F642" s="3"/>
    </row>
    <row r="643" spans="1:6" ht="12.75" x14ac:dyDescent="0.2">
      <c r="A643" s="3"/>
      <c r="B643" s="3"/>
      <c r="C643" s="3"/>
      <c r="D643" s="3"/>
      <c r="E643" s="3"/>
      <c r="F643" s="3"/>
    </row>
    <row r="644" spans="1:6" ht="12.75" x14ac:dyDescent="0.2">
      <c r="A644" s="3"/>
      <c r="B644" s="3"/>
      <c r="C644" s="3"/>
      <c r="D644" s="3"/>
      <c r="E644" s="3"/>
      <c r="F644" s="3"/>
    </row>
    <row r="645" spans="1:6" ht="12.75" x14ac:dyDescent="0.2">
      <c r="A645" s="3"/>
      <c r="B645" s="3"/>
      <c r="C645" s="3"/>
      <c r="D645" s="3"/>
      <c r="E645" s="3"/>
      <c r="F645" s="3"/>
    </row>
    <row r="646" spans="1:6" ht="12.75" x14ac:dyDescent="0.2">
      <c r="A646" s="3"/>
      <c r="B646" s="3"/>
      <c r="C646" s="3"/>
      <c r="D646" s="3"/>
      <c r="E646" s="3"/>
      <c r="F646" s="3"/>
    </row>
    <row r="647" spans="1:6" ht="12.75" x14ac:dyDescent="0.2">
      <c r="A647" s="3"/>
      <c r="B647" s="3"/>
      <c r="C647" s="3"/>
      <c r="D647" s="3"/>
      <c r="E647" s="3"/>
      <c r="F647" s="3"/>
    </row>
    <row r="648" spans="1:6" ht="12.75" x14ac:dyDescent="0.2">
      <c r="A648" s="3"/>
      <c r="B648" s="3"/>
      <c r="C648" s="3"/>
      <c r="D648" s="3"/>
      <c r="E648" s="3"/>
      <c r="F648" s="3"/>
    </row>
    <row r="649" spans="1:6" ht="12.75" x14ac:dyDescent="0.2">
      <c r="A649" s="3"/>
      <c r="B649" s="3"/>
      <c r="C649" s="3"/>
      <c r="D649" s="3"/>
      <c r="E649" s="3"/>
      <c r="F649" s="3"/>
    </row>
    <row r="650" spans="1:6" ht="12.75" x14ac:dyDescent="0.2">
      <c r="A650" s="3"/>
      <c r="B650" s="3"/>
      <c r="C650" s="3"/>
      <c r="D650" s="3"/>
      <c r="E650" s="3"/>
      <c r="F650" s="3"/>
    </row>
    <row r="651" spans="1:6" ht="12.75" x14ac:dyDescent="0.2">
      <c r="A651" s="3"/>
      <c r="B651" s="3"/>
      <c r="C651" s="3"/>
      <c r="D651" s="3"/>
      <c r="E651" s="3"/>
      <c r="F651" s="3"/>
    </row>
    <row r="652" spans="1:6" ht="12.75" x14ac:dyDescent="0.2">
      <c r="A652" s="3"/>
      <c r="B652" s="3"/>
      <c r="C652" s="3"/>
      <c r="D652" s="3"/>
      <c r="E652" s="3"/>
      <c r="F652" s="3"/>
    </row>
    <row r="653" spans="1:6" ht="12.75" x14ac:dyDescent="0.2">
      <c r="A653" s="3"/>
      <c r="B653" s="3"/>
      <c r="C653" s="3"/>
      <c r="D653" s="3"/>
      <c r="E653" s="3"/>
      <c r="F653" s="3"/>
    </row>
    <row r="654" spans="1:6" ht="12.75" x14ac:dyDescent="0.2">
      <c r="A654" s="3"/>
      <c r="B654" s="3"/>
      <c r="C654" s="3"/>
      <c r="D654" s="3"/>
      <c r="E654" s="3"/>
      <c r="F654" s="3"/>
    </row>
    <row r="655" spans="1:6" ht="12.75" x14ac:dyDescent="0.2">
      <c r="A655" s="3"/>
      <c r="B655" s="3"/>
      <c r="C655" s="3"/>
      <c r="D655" s="3"/>
      <c r="E655" s="3"/>
      <c r="F655" s="3"/>
    </row>
    <row r="656" spans="1:6" ht="12.75" x14ac:dyDescent="0.2">
      <c r="A656" s="3"/>
      <c r="B656" s="3"/>
      <c r="C656" s="3"/>
      <c r="D656" s="3"/>
      <c r="E656" s="3"/>
      <c r="F656" s="3"/>
    </row>
    <row r="657" spans="1:6" ht="12.75" x14ac:dyDescent="0.2">
      <c r="A657" s="3"/>
      <c r="B657" s="3"/>
      <c r="C657" s="3"/>
      <c r="D657" s="3"/>
      <c r="E657" s="3"/>
      <c r="F657" s="3"/>
    </row>
    <row r="658" spans="1:6" ht="12.75" x14ac:dyDescent="0.2">
      <c r="A658" s="3"/>
      <c r="B658" s="3"/>
      <c r="C658" s="3"/>
      <c r="D658" s="3"/>
      <c r="E658" s="3"/>
      <c r="F658" s="3"/>
    </row>
    <row r="659" spans="1:6" ht="12.75" x14ac:dyDescent="0.2">
      <c r="A659" s="3"/>
      <c r="B659" s="3"/>
      <c r="C659" s="3"/>
      <c r="D659" s="3"/>
      <c r="E659" s="3"/>
      <c r="F659" s="3"/>
    </row>
    <row r="660" spans="1:6" ht="12.75" x14ac:dyDescent="0.2">
      <c r="A660" s="3"/>
      <c r="B660" s="3"/>
      <c r="C660" s="3"/>
      <c r="D660" s="3"/>
      <c r="E660" s="3"/>
      <c r="F660" s="3"/>
    </row>
    <row r="661" spans="1:6" ht="12.75" x14ac:dyDescent="0.2">
      <c r="A661" s="3"/>
      <c r="B661" s="3"/>
      <c r="C661" s="3"/>
      <c r="D661" s="3"/>
      <c r="E661" s="3"/>
      <c r="F661" s="3"/>
    </row>
    <row r="662" spans="1:6" ht="12.75" x14ac:dyDescent="0.2">
      <c r="A662" s="3"/>
      <c r="B662" s="3"/>
      <c r="C662" s="3"/>
      <c r="D662" s="3"/>
      <c r="E662" s="3"/>
      <c r="F662" s="3"/>
    </row>
    <row r="663" spans="1:6" ht="12.75" x14ac:dyDescent="0.2">
      <c r="A663" s="3"/>
      <c r="B663" s="3"/>
      <c r="C663" s="3"/>
      <c r="D663" s="3"/>
      <c r="E663" s="3"/>
      <c r="F663" s="3"/>
    </row>
    <row r="664" spans="1:6" ht="12.75" x14ac:dyDescent="0.2">
      <c r="A664" s="3"/>
      <c r="B664" s="3"/>
      <c r="C664" s="3"/>
      <c r="D664" s="3"/>
      <c r="E664" s="3"/>
      <c r="F664" s="3"/>
    </row>
    <row r="665" spans="1:6" ht="12.75" x14ac:dyDescent="0.2">
      <c r="A665" s="3"/>
      <c r="B665" s="3"/>
      <c r="C665" s="3"/>
      <c r="D665" s="3"/>
      <c r="E665" s="3"/>
      <c r="F665" s="3"/>
    </row>
    <row r="666" spans="1:6" ht="12.75" x14ac:dyDescent="0.2">
      <c r="A666" s="3"/>
      <c r="B666" s="3"/>
      <c r="C666" s="3"/>
      <c r="D666" s="3"/>
      <c r="E666" s="3"/>
      <c r="F666" s="3"/>
    </row>
    <row r="667" spans="1:6" ht="12.75" x14ac:dyDescent="0.2">
      <c r="A667" s="3"/>
      <c r="B667" s="3"/>
      <c r="C667" s="3"/>
      <c r="D667" s="3"/>
      <c r="E667" s="3"/>
      <c r="F667" s="3"/>
    </row>
    <row r="668" spans="1:6" ht="12.75" x14ac:dyDescent="0.2">
      <c r="A668" s="3"/>
      <c r="B668" s="3"/>
      <c r="C668" s="3"/>
      <c r="D668" s="3"/>
      <c r="E668" s="3"/>
      <c r="F668" s="3"/>
    </row>
    <row r="669" spans="1:6" ht="12.75" x14ac:dyDescent="0.2">
      <c r="A669" s="3"/>
      <c r="B669" s="3"/>
      <c r="C669" s="3"/>
      <c r="D669" s="3"/>
      <c r="E669" s="3"/>
      <c r="F669" s="3"/>
    </row>
    <row r="670" spans="1:6" ht="12.75" x14ac:dyDescent="0.2">
      <c r="A670" s="3"/>
      <c r="B670" s="3"/>
      <c r="C670" s="3"/>
      <c r="D670" s="3"/>
      <c r="E670" s="3"/>
      <c r="F670" s="3"/>
    </row>
    <row r="671" spans="1:6" ht="12.75" x14ac:dyDescent="0.2">
      <c r="A671" s="3"/>
      <c r="B671" s="3"/>
      <c r="C671" s="3"/>
      <c r="D671" s="3"/>
      <c r="E671" s="3"/>
      <c r="F671" s="3"/>
    </row>
    <row r="672" spans="1:6" ht="12.75" x14ac:dyDescent="0.2">
      <c r="A672" s="3"/>
      <c r="B672" s="3"/>
      <c r="C672" s="3"/>
      <c r="D672" s="3"/>
      <c r="E672" s="3"/>
      <c r="F672" s="3"/>
    </row>
    <row r="673" spans="1:6" ht="12.75" x14ac:dyDescent="0.2">
      <c r="A673" s="3"/>
      <c r="B673" s="3"/>
      <c r="C673" s="3"/>
      <c r="D673" s="3"/>
      <c r="E673" s="3"/>
      <c r="F673" s="3"/>
    </row>
    <row r="674" spans="1:6" ht="12.75" x14ac:dyDescent="0.2">
      <c r="A674" s="3"/>
      <c r="B674" s="3"/>
      <c r="C674" s="3"/>
      <c r="D674" s="3"/>
      <c r="E674" s="3"/>
      <c r="F674" s="3"/>
    </row>
    <row r="675" spans="1:6" ht="12.75" x14ac:dyDescent="0.2">
      <c r="A675" s="3"/>
      <c r="B675" s="3"/>
      <c r="C675" s="3"/>
      <c r="D675" s="3"/>
      <c r="E675" s="3"/>
      <c r="F675" s="3"/>
    </row>
    <row r="676" spans="1:6" ht="12.75" x14ac:dyDescent="0.2">
      <c r="A676" s="3"/>
      <c r="B676" s="3"/>
      <c r="C676" s="3"/>
      <c r="D676" s="3"/>
      <c r="E676" s="3"/>
      <c r="F676" s="3"/>
    </row>
    <row r="677" spans="1:6" ht="12.75" x14ac:dyDescent="0.2">
      <c r="A677" s="3"/>
      <c r="B677" s="3"/>
      <c r="C677" s="3"/>
      <c r="D677" s="3"/>
      <c r="E677" s="3"/>
      <c r="F677" s="3"/>
    </row>
    <row r="678" spans="1:6" ht="12.75" x14ac:dyDescent="0.2">
      <c r="A678" s="3"/>
      <c r="B678" s="3"/>
      <c r="C678" s="3"/>
      <c r="D678" s="3"/>
      <c r="E678" s="3"/>
      <c r="F678" s="3"/>
    </row>
    <row r="679" spans="1:6" ht="12.75" x14ac:dyDescent="0.2">
      <c r="A679" s="3"/>
      <c r="B679" s="3"/>
      <c r="C679" s="3"/>
      <c r="D679" s="3"/>
      <c r="E679" s="3"/>
      <c r="F679" s="3"/>
    </row>
    <row r="680" spans="1:6" ht="12.75" x14ac:dyDescent="0.2">
      <c r="A680" s="3"/>
      <c r="B680" s="3"/>
      <c r="C680" s="3"/>
      <c r="D680" s="3"/>
      <c r="E680" s="3"/>
      <c r="F680" s="3"/>
    </row>
    <row r="681" spans="1:6" ht="12.75" x14ac:dyDescent="0.2">
      <c r="A681" s="3"/>
      <c r="B681" s="3"/>
      <c r="C681" s="3"/>
      <c r="D681" s="3"/>
      <c r="E681" s="3"/>
      <c r="F681" s="3"/>
    </row>
    <row r="682" spans="1:6" ht="12.75" x14ac:dyDescent="0.2">
      <c r="A682" s="3"/>
      <c r="B682" s="3"/>
      <c r="C682" s="3"/>
      <c r="D682" s="3"/>
      <c r="E682" s="3"/>
      <c r="F682" s="3"/>
    </row>
    <row r="683" spans="1:6" ht="12.75" x14ac:dyDescent="0.2">
      <c r="A683" s="3"/>
      <c r="B683" s="3"/>
      <c r="C683" s="3"/>
      <c r="D683" s="3"/>
      <c r="E683" s="3"/>
      <c r="F683" s="3"/>
    </row>
    <row r="684" spans="1:6" ht="12.75" x14ac:dyDescent="0.2">
      <c r="A684" s="3"/>
      <c r="B684" s="3"/>
      <c r="C684" s="3"/>
      <c r="D684" s="3"/>
      <c r="E684" s="3"/>
      <c r="F684" s="3"/>
    </row>
    <row r="685" spans="1:6" ht="12.75" x14ac:dyDescent="0.2">
      <c r="A685" s="3"/>
      <c r="B685" s="3"/>
      <c r="C685" s="3"/>
      <c r="D685" s="3"/>
      <c r="E685" s="3"/>
      <c r="F685" s="3"/>
    </row>
    <row r="686" spans="1:6" ht="12.75" x14ac:dyDescent="0.2">
      <c r="A686" s="3"/>
      <c r="B686" s="3"/>
      <c r="C686" s="3"/>
      <c r="D686" s="3"/>
      <c r="E686" s="3"/>
      <c r="F686" s="3"/>
    </row>
    <row r="687" spans="1:6" ht="12.75" x14ac:dyDescent="0.2">
      <c r="A687" s="3"/>
      <c r="B687" s="3"/>
      <c r="C687" s="3"/>
      <c r="D687" s="3"/>
      <c r="E687" s="3"/>
      <c r="F687" s="3"/>
    </row>
    <row r="688" spans="1:6" ht="12.75" x14ac:dyDescent="0.2">
      <c r="A688" s="3"/>
      <c r="B688" s="3"/>
      <c r="C688" s="3"/>
      <c r="D688" s="3"/>
      <c r="E688" s="3"/>
      <c r="F688" s="3"/>
    </row>
    <row r="689" spans="1:6" ht="12.75" x14ac:dyDescent="0.2">
      <c r="A689" s="3"/>
      <c r="B689" s="3"/>
      <c r="C689" s="3"/>
      <c r="D689" s="3"/>
      <c r="E689" s="3"/>
      <c r="F689" s="3"/>
    </row>
    <row r="690" spans="1:6" ht="12.75" x14ac:dyDescent="0.2">
      <c r="A690" s="3"/>
      <c r="B690" s="3"/>
      <c r="C690" s="3"/>
      <c r="D690" s="3"/>
      <c r="E690" s="3"/>
      <c r="F690" s="3"/>
    </row>
    <row r="691" spans="1:6" ht="12.75" x14ac:dyDescent="0.2">
      <c r="A691" s="3"/>
      <c r="B691" s="3"/>
      <c r="C691" s="3"/>
      <c r="D691" s="3"/>
      <c r="E691" s="3"/>
      <c r="F691" s="3"/>
    </row>
    <row r="692" spans="1:6" ht="12.75" x14ac:dyDescent="0.2">
      <c r="A692" s="3"/>
      <c r="B692" s="3"/>
      <c r="C692" s="3"/>
      <c r="D692" s="3"/>
      <c r="E692" s="3"/>
      <c r="F692" s="3"/>
    </row>
    <row r="693" spans="1:6" ht="12.75" x14ac:dyDescent="0.2">
      <c r="A693" s="3"/>
      <c r="B693" s="3"/>
      <c r="C693" s="3"/>
      <c r="D693" s="3"/>
      <c r="E693" s="3"/>
      <c r="F693" s="3"/>
    </row>
    <row r="694" spans="1:6" ht="12.75" x14ac:dyDescent="0.2">
      <c r="A694" s="3"/>
      <c r="B694" s="3"/>
      <c r="C694" s="3"/>
      <c r="D694" s="3"/>
      <c r="E694" s="3"/>
      <c r="F694" s="3"/>
    </row>
    <row r="695" spans="1:6" ht="12.75" x14ac:dyDescent="0.2">
      <c r="A695" s="3"/>
      <c r="B695" s="3"/>
      <c r="C695" s="3"/>
      <c r="D695" s="3"/>
      <c r="E695" s="3"/>
      <c r="F695" s="3"/>
    </row>
    <row r="696" spans="1:6" ht="12.75" x14ac:dyDescent="0.2">
      <c r="A696" s="3"/>
      <c r="B696" s="3"/>
      <c r="C696" s="3"/>
      <c r="D696" s="3"/>
      <c r="E696" s="3"/>
      <c r="F696" s="3"/>
    </row>
    <row r="697" spans="1:6" ht="12.75" x14ac:dyDescent="0.2">
      <c r="A697" s="3"/>
      <c r="B697" s="3"/>
      <c r="C697" s="3"/>
      <c r="D697" s="3"/>
      <c r="E697" s="3"/>
      <c r="F697" s="3"/>
    </row>
    <row r="698" spans="1:6" ht="12.75" x14ac:dyDescent="0.2">
      <c r="A698" s="3"/>
      <c r="B698" s="3"/>
      <c r="C698" s="3"/>
      <c r="D698" s="3"/>
      <c r="E698" s="3"/>
      <c r="F698" s="3"/>
    </row>
    <row r="699" spans="1:6" ht="12.75" x14ac:dyDescent="0.2">
      <c r="A699" s="3"/>
      <c r="B699" s="3"/>
      <c r="C699" s="3"/>
      <c r="D699" s="3"/>
      <c r="E699" s="3"/>
      <c r="F699" s="3"/>
    </row>
    <row r="700" spans="1:6" ht="12.75" x14ac:dyDescent="0.2">
      <c r="A700" s="3"/>
      <c r="B700" s="3"/>
      <c r="C700" s="3"/>
      <c r="D700" s="3"/>
      <c r="E700" s="3"/>
      <c r="F700" s="3"/>
    </row>
    <row r="701" spans="1:6" ht="12.75" x14ac:dyDescent="0.2">
      <c r="A701" s="3"/>
      <c r="B701" s="3"/>
      <c r="C701" s="3"/>
      <c r="D701" s="3"/>
      <c r="E701" s="3"/>
      <c r="F701" s="3"/>
    </row>
    <row r="702" spans="1:6" ht="12.75" x14ac:dyDescent="0.2">
      <c r="A702" s="3"/>
      <c r="B702" s="3"/>
      <c r="C702" s="3"/>
      <c r="D702" s="3"/>
      <c r="E702" s="3"/>
      <c r="F702" s="3"/>
    </row>
    <row r="703" spans="1:6" ht="12.75" x14ac:dyDescent="0.2">
      <c r="A703" s="3"/>
      <c r="B703" s="3"/>
      <c r="C703" s="3"/>
      <c r="D703" s="3"/>
      <c r="E703" s="3"/>
      <c r="F703" s="3"/>
    </row>
    <row r="704" spans="1:6" ht="12.75" x14ac:dyDescent="0.2">
      <c r="A704" s="3"/>
      <c r="B704" s="3"/>
      <c r="C704" s="3"/>
      <c r="D704" s="3"/>
      <c r="E704" s="3"/>
      <c r="F704" s="3"/>
    </row>
    <row r="705" spans="1:6" ht="12.75" x14ac:dyDescent="0.2">
      <c r="A705" s="3"/>
      <c r="B705" s="3"/>
      <c r="C705" s="3"/>
      <c r="D705" s="3"/>
      <c r="E705" s="3"/>
      <c r="F705" s="3"/>
    </row>
    <row r="706" spans="1:6" ht="12.75" x14ac:dyDescent="0.2">
      <c r="A706" s="3"/>
      <c r="B706" s="3"/>
      <c r="C706" s="3"/>
      <c r="D706" s="3"/>
      <c r="E706" s="3"/>
      <c r="F706" s="3"/>
    </row>
    <row r="707" spans="1:6" ht="12.75" x14ac:dyDescent="0.2">
      <c r="A707" s="3"/>
      <c r="B707" s="3"/>
      <c r="C707" s="3"/>
      <c r="D707" s="3"/>
      <c r="E707" s="3"/>
      <c r="F707" s="3"/>
    </row>
    <row r="708" spans="1:6" ht="12.75" x14ac:dyDescent="0.2">
      <c r="A708" s="3"/>
      <c r="B708" s="3"/>
      <c r="C708" s="3"/>
      <c r="D708" s="3"/>
      <c r="E708" s="3"/>
      <c r="F708" s="3"/>
    </row>
    <row r="709" spans="1:6" ht="12.75" x14ac:dyDescent="0.2">
      <c r="A709" s="3"/>
      <c r="B709" s="3"/>
      <c r="C709" s="3"/>
      <c r="D709" s="3"/>
      <c r="E709" s="3"/>
      <c r="F709" s="3"/>
    </row>
    <row r="710" spans="1:6" ht="12.75" x14ac:dyDescent="0.2">
      <c r="A710" s="3"/>
      <c r="B710" s="3"/>
      <c r="C710" s="3"/>
      <c r="D710" s="3"/>
      <c r="E710" s="3"/>
      <c r="F710" s="3"/>
    </row>
    <row r="711" spans="1:6" ht="12.75" x14ac:dyDescent="0.2">
      <c r="A711" s="3"/>
      <c r="B711" s="3"/>
      <c r="C711" s="3"/>
      <c r="D711" s="3"/>
      <c r="E711" s="3"/>
      <c r="F711" s="3"/>
    </row>
    <row r="712" spans="1:6" ht="12.75" x14ac:dyDescent="0.2">
      <c r="A712" s="3"/>
      <c r="B712" s="3"/>
      <c r="C712" s="3"/>
      <c r="D712" s="3"/>
      <c r="E712" s="3"/>
      <c r="F712" s="3"/>
    </row>
    <row r="713" spans="1:6" ht="12.75" x14ac:dyDescent="0.2">
      <c r="A713" s="3"/>
      <c r="B713" s="3"/>
      <c r="C713" s="3"/>
      <c r="D713" s="3"/>
      <c r="E713" s="3"/>
      <c r="F713" s="3"/>
    </row>
    <row r="714" spans="1:6" ht="12.75" x14ac:dyDescent="0.2">
      <c r="A714" s="3"/>
      <c r="B714" s="3"/>
      <c r="C714" s="3"/>
      <c r="D714" s="3"/>
      <c r="E714" s="3"/>
      <c r="F714" s="3"/>
    </row>
    <row r="715" spans="1:6" ht="12.75" x14ac:dyDescent="0.2">
      <c r="A715" s="3"/>
      <c r="B715" s="3"/>
      <c r="C715" s="3"/>
      <c r="D715" s="3"/>
      <c r="E715" s="3"/>
      <c r="F715" s="3"/>
    </row>
    <row r="716" spans="1:6" ht="12.75" x14ac:dyDescent="0.2">
      <c r="A716" s="3"/>
      <c r="B716" s="3"/>
      <c r="C716" s="3"/>
      <c r="D716" s="3"/>
      <c r="E716" s="3"/>
      <c r="F716" s="3"/>
    </row>
    <row r="717" spans="1:6" ht="12.75" x14ac:dyDescent="0.2">
      <c r="A717" s="3"/>
      <c r="B717" s="3"/>
      <c r="C717" s="3"/>
      <c r="D717" s="3"/>
      <c r="E717" s="3"/>
      <c r="F717" s="3"/>
    </row>
    <row r="718" spans="1:6" ht="12.75" x14ac:dyDescent="0.2">
      <c r="A718" s="3"/>
      <c r="B718" s="3"/>
      <c r="C718" s="3"/>
      <c r="D718" s="3"/>
      <c r="E718" s="3"/>
      <c r="F718" s="3"/>
    </row>
    <row r="719" spans="1:6" ht="12.75" x14ac:dyDescent="0.2">
      <c r="A719" s="3"/>
      <c r="B719" s="3"/>
      <c r="C719" s="3"/>
      <c r="D719" s="3"/>
      <c r="E719" s="3"/>
      <c r="F719" s="3"/>
    </row>
    <row r="720" spans="1:6" ht="12.75" x14ac:dyDescent="0.2">
      <c r="A720" s="3"/>
      <c r="B720" s="3"/>
      <c r="C720" s="3"/>
      <c r="D720" s="3"/>
      <c r="E720" s="3"/>
      <c r="F720" s="3"/>
    </row>
    <row r="721" spans="1:6" ht="12.75" x14ac:dyDescent="0.2">
      <c r="A721" s="3"/>
      <c r="B721" s="3"/>
      <c r="C721" s="3"/>
      <c r="D721" s="3"/>
      <c r="E721" s="3"/>
      <c r="F721" s="3"/>
    </row>
    <row r="722" spans="1:6" ht="12.75" x14ac:dyDescent="0.2">
      <c r="A722" s="3"/>
      <c r="B722" s="3"/>
      <c r="C722" s="3"/>
      <c r="D722" s="3"/>
      <c r="E722" s="3"/>
      <c r="F722" s="3"/>
    </row>
    <row r="723" spans="1:6" ht="12.75" x14ac:dyDescent="0.2">
      <c r="A723" s="3"/>
      <c r="B723" s="3"/>
      <c r="C723" s="3"/>
      <c r="D723" s="3"/>
      <c r="E723" s="3"/>
      <c r="F723" s="3"/>
    </row>
    <row r="724" spans="1:6" ht="12.75" x14ac:dyDescent="0.2">
      <c r="A724" s="3"/>
      <c r="B724" s="3"/>
      <c r="C724" s="3"/>
      <c r="D724" s="3"/>
      <c r="E724" s="3"/>
      <c r="F724" s="3"/>
    </row>
    <row r="725" spans="1:6" ht="12.75" x14ac:dyDescent="0.2">
      <c r="A725" s="3"/>
      <c r="B725" s="3"/>
      <c r="C725" s="3"/>
      <c r="D725" s="3"/>
      <c r="E725" s="3"/>
      <c r="F725" s="3"/>
    </row>
    <row r="726" spans="1:6" ht="12.75" x14ac:dyDescent="0.2">
      <c r="A726" s="3"/>
      <c r="B726" s="3"/>
      <c r="C726" s="3"/>
      <c r="D726" s="3"/>
      <c r="E726" s="3"/>
      <c r="F726" s="3"/>
    </row>
    <row r="727" spans="1:6" ht="12.75" x14ac:dyDescent="0.2">
      <c r="A727" s="3"/>
      <c r="B727" s="3"/>
      <c r="C727" s="3"/>
      <c r="D727" s="3"/>
      <c r="E727" s="3"/>
      <c r="F727" s="3"/>
    </row>
    <row r="728" spans="1:6" ht="12.75" x14ac:dyDescent="0.2">
      <c r="A728" s="3"/>
      <c r="B728" s="3"/>
      <c r="C728" s="3"/>
      <c r="D728" s="3"/>
      <c r="E728" s="3"/>
      <c r="F728" s="3"/>
    </row>
    <row r="729" spans="1:6" ht="12.75" x14ac:dyDescent="0.2">
      <c r="A729" s="3"/>
      <c r="B729" s="3"/>
      <c r="C729" s="3"/>
      <c r="D729" s="3"/>
      <c r="E729" s="3"/>
      <c r="F729" s="3"/>
    </row>
    <row r="730" spans="1:6" ht="12.75" x14ac:dyDescent="0.2">
      <c r="A730" s="3"/>
      <c r="B730" s="3"/>
      <c r="C730" s="3"/>
      <c r="D730" s="3"/>
      <c r="E730" s="3"/>
      <c r="F730" s="3"/>
    </row>
    <row r="731" spans="1:6" ht="12.75" x14ac:dyDescent="0.2">
      <c r="A731" s="3"/>
      <c r="B731" s="3"/>
      <c r="C731" s="3"/>
      <c r="D731" s="3"/>
      <c r="E731" s="3"/>
      <c r="F731" s="3"/>
    </row>
    <row r="732" spans="1:6" ht="12.75" x14ac:dyDescent="0.2">
      <c r="A732" s="3"/>
      <c r="B732" s="3"/>
      <c r="C732" s="3"/>
      <c r="D732" s="3"/>
      <c r="E732" s="3"/>
      <c r="F732" s="3"/>
    </row>
    <row r="733" spans="1:6" ht="12.75" x14ac:dyDescent="0.2">
      <c r="A733" s="3"/>
      <c r="B733" s="3"/>
      <c r="C733" s="3"/>
      <c r="D733" s="3"/>
      <c r="E733" s="3"/>
      <c r="F733" s="3"/>
    </row>
    <row r="734" spans="1:6" ht="12.75" x14ac:dyDescent="0.2">
      <c r="A734" s="3"/>
      <c r="B734" s="3"/>
      <c r="C734" s="3"/>
      <c r="D734" s="3"/>
      <c r="E734" s="3"/>
      <c r="F734" s="3"/>
    </row>
    <row r="735" spans="1:6" ht="12.75" x14ac:dyDescent="0.2">
      <c r="A735" s="3"/>
      <c r="B735" s="3"/>
      <c r="C735" s="3"/>
      <c r="D735" s="3"/>
      <c r="E735" s="3"/>
      <c r="F735" s="3"/>
    </row>
    <row r="736" spans="1:6" ht="12.75" x14ac:dyDescent="0.2">
      <c r="A736" s="3"/>
      <c r="B736" s="3"/>
      <c r="C736" s="3"/>
      <c r="D736" s="3"/>
      <c r="E736" s="3"/>
      <c r="F736" s="3"/>
    </row>
    <row r="737" spans="1:6" ht="12.75" x14ac:dyDescent="0.2">
      <c r="A737" s="3"/>
      <c r="B737" s="3"/>
      <c r="C737" s="3"/>
      <c r="D737" s="3"/>
      <c r="E737" s="3"/>
      <c r="F737" s="3"/>
    </row>
    <row r="738" spans="1:6" ht="12.75" x14ac:dyDescent="0.2">
      <c r="A738" s="3"/>
      <c r="B738" s="3"/>
      <c r="C738" s="3"/>
      <c r="D738" s="3"/>
      <c r="E738" s="3"/>
      <c r="F738" s="3"/>
    </row>
    <row r="739" spans="1:6" ht="12.75" x14ac:dyDescent="0.2">
      <c r="A739" s="3"/>
      <c r="B739" s="3"/>
      <c r="C739" s="3"/>
      <c r="D739" s="3"/>
      <c r="E739" s="3"/>
      <c r="F739" s="3"/>
    </row>
    <row r="740" spans="1:6" ht="12.75" x14ac:dyDescent="0.2">
      <c r="A740" s="3"/>
      <c r="B740" s="3"/>
      <c r="C740" s="3"/>
      <c r="D740" s="3"/>
      <c r="E740" s="3"/>
      <c r="F740" s="3"/>
    </row>
    <row r="741" spans="1:6" ht="12.75" x14ac:dyDescent="0.2">
      <c r="A741" s="3"/>
      <c r="B741" s="3"/>
      <c r="C741" s="3"/>
      <c r="D741" s="3"/>
      <c r="E741" s="3"/>
      <c r="F741" s="3"/>
    </row>
    <row r="742" spans="1:6" ht="12.75" x14ac:dyDescent="0.2">
      <c r="A742" s="3"/>
      <c r="B742" s="3"/>
      <c r="C742" s="3"/>
      <c r="D742" s="3"/>
      <c r="E742" s="3"/>
      <c r="F742" s="3"/>
    </row>
    <row r="743" spans="1:6" ht="12.75" x14ac:dyDescent="0.2">
      <c r="A743" s="3"/>
      <c r="B743" s="3"/>
      <c r="C743" s="3"/>
      <c r="D743" s="3"/>
      <c r="E743" s="3"/>
      <c r="F743" s="3"/>
    </row>
    <row r="744" spans="1:6" ht="12.75" x14ac:dyDescent="0.2">
      <c r="A744" s="3"/>
      <c r="B744" s="3"/>
      <c r="C744" s="3"/>
      <c r="D744" s="3"/>
      <c r="E744" s="3"/>
      <c r="F744" s="3"/>
    </row>
    <row r="745" spans="1:6" ht="12.75" x14ac:dyDescent="0.2">
      <c r="A745" s="3"/>
      <c r="B745" s="3"/>
      <c r="C745" s="3"/>
      <c r="D745" s="3"/>
      <c r="E745" s="3"/>
      <c r="F745" s="3"/>
    </row>
    <row r="746" spans="1:6" ht="12.75" x14ac:dyDescent="0.2">
      <c r="A746" s="3"/>
      <c r="B746" s="3"/>
      <c r="C746" s="3"/>
      <c r="D746" s="3"/>
      <c r="E746" s="3"/>
      <c r="F746" s="3"/>
    </row>
    <row r="747" spans="1:6" ht="12.75" x14ac:dyDescent="0.2">
      <c r="A747" s="3"/>
      <c r="B747" s="3"/>
      <c r="C747" s="3"/>
      <c r="D747" s="3"/>
      <c r="E747" s="3"/>
      <c r="F747" s="3"/>
    </row>
    <row r="748" spans="1:6" ht="12.75" x14ac:dyDescent="0.2">
      <c r="A748" s="3"/>
      <c r="B748" s="3"/>
      <c r="C748" s="3"/>
      <c r="D748" s="3"/>
      <c r="E748" s="3"/>
      <c r="F748" s="3"/>
    </row>
    <row r="749" spans="1:6" ht="12.75" x14ac:dyDescent="0.2">
      <c r="A749" s="3"/>
      <c r="B749" s="3"/>
      <c r="C749" s="3"/>
      <c r="D749" s="3"/>
      <c r="E749" s="3"/>
      <c r="F749" s="3"/>
    </row>
    <row r="750" spans="1:6" ht="12.75" x14ac:dyDescent="0.2">
      <c r="A750" s="3"/>
      <c r="B750" s="3"/>
      <c r="C750" s="3"/>
      <c r="D750" s="3"/>
      <c r="E750" s="3"/>
      <c r="F750" s="3"/>
    </row>
    <row r="751" spans="1:6" ht="12.75" x14ac:dyDescent="0.2">
      <c r="A751" s="3"/>
      <c r="B751" s="3"/>
      <c r="C751" s="3"/>
      <c r="D751" s="3"/>
      <c r="E751" s="3"/>
      <c r="F751" s="3"/>
    </row>
    <row r="752" spans="1:6" ht="12.75" x14ac:dyDescent="0.2">
      <c r="A752" s="3"/>
      <c r="B752" s="3"/>
      <c r="C752" s="3"/>
      <c r="D752" s="3"/>
      <c r="E752" s="3"/>
      <c r="F752" s="3"/>
    </row>
    <row r="753" spans="1:6" ht="12.75" x14ac:dyDescent="0.2">
      <c r="A753" s="3"/>
      <c r="B753" s="3"/>
      <c r="C753" s="3"/>
      <c r="D753" s="3"/>
      <c r="E753" s="3"/>
      <c r="F753" s="3"/>
    </row>
    <row r="754" spans="1:6" ht="12.75" x14ac:dyDescent="0.2">
      <c r="A754" s="3"/>
      <c r="B754" s="3"/>
      <c r="C754" s="3"/>
      <c r="D754" s="3"/>
      <c r="E754" s="3"/>
      <c r="F754" s="3"/>
    </row>
    <row r="755" spans="1:6" ht="12.75" x14ac:dyDescent="0.2">
      <c r="A755" s="3"/>
      <c r="B755" s="3"/>
      <c r="C755" s="3"/>
      <c r="D755" s="3"/>
      <c r="E755" s="3"/>
      <c r="F755" s="3"/>
    </row>
    <row r="756" spans="1:6" ht="12.75" x14ac:dyDescent="0.2">
      <c r="A756" s="3"/>
      <c r="B756" s="3"/>
      <c r="C756" s="3"/>
      <c r="D756" s="3"/>
      <c r="E756" s="3"/>
      <c r="F756" s="3"/>
    </row>
    <row r="757" spans="1:6" ht="12.75" x14ac:dyDescent="0.2">
      <c r="A757" s="3"/>
      <c r="B757" s="3"/>
      <c r="C757" s="3"/>
      <c r="D757" s="3"/>
      <c r="E757" s="3"/>
      <c r="F757" s="3"/>
    </row>
    <row r="758" spans="1:6" ht="12.75" x14ac:dyDescent="0.2">
      <c r="A758" s="3"/>
      <c r="B758" s="3"/>
      <c r="C758" s="3"/>
      <c r="D758" s="3"/>
      <c r="E758" s="3"/>
      <c r="F758" s="3"/>
    </row>
    <row r="759" spans="1:6" ht="12.75" x14ac:dyDescent="0.2">
      <c r="A759" s="3"/>
      <c r="B759" s="3"/>
      <c r="C759" s="3"/>
      <c r="D759" s="3"/>
      <c r="E759" s="3"/>
      <c r="F759" s="3"/>
    </row>
    <row r="760" spans="1:6" ht="12.75" x14ac:dyDescent="0.2">
      <c r="A760" s="3"/>
      <c r="B760" s="3"/>
      <c r="C760" s="3"/>
      <c r="D760" s="3"/>
      <c r="E760" s="3"/>
      <c r="F760" s="3"/>
    </row>
    <row r="761" spans="1:6" ht="12.75" x14ac:dyDescent="0.2">
      <c r="A761" s="3"/>
      <c r="B761" s="3"/>
      <c r="C761" s="3"/>
      <c r="D761" s="3"/>
      <c r="E761" s="3"/>
      <c r="F761" s="3"/>
    </row>
    <row r="762" spans="1:6" ht="12.75" x14ac:dyDescent="0.2">
      <c r="A762" s="3"/>
      <c r="B762" s="3"/>
      <c r="C762" s="3"/>
      <c r="D762" s="3"/>
      <c r="E762" s="3"/>
      <c r="F762" s="3"/>
    </row>
    <row r="763" spans="1:6" ht="12.75" x14ac:dyDescent="0.2">
      <c r="A763" s="3"/>
      <c r="B763" s="3"/>
      <c r="C763" s="3"/>
      <c r="D763" s="3"/>
      <c r="E763" s="3"/>
      <c r="F763" s="3"/>
    </row>
    <row r="764" spans="1:6" ht="12.75" x14ac:dyDescent="0.2">
      <c r="A764" s="3"/>
      <c r="B764" s="3"/>
      <c r="C764" s="3"/>
      <c r="D764" s="3"/>
      <c r="E764" s="3"/>
      <c r="F764" s="3"/>
    </row>
    <row r="765" spans="1:6" ht="12.75" x14ac:dyDescent="0.2">
      <c r="A765" s="3"/>
      <c r="B765" s="3"/>
      <c r="C765" s="3"/>
      <c r="D765" s="3"/>
      <c r="E765" s="3"/>
      <c r="F765" s="3"/>
    </row>
    <row r="766" spans="1:6" ht="12.75" x14ac:dyDescent="0.2">
      <c r="A766" s="3"/>
      <c r="B766" s="3"/>
      <c r="C766" s="3"/>
      <c r="D766" s="3"/>
      <c r="E766" s="3"/>
      <c r="F766" s="3"/>
    </row>
    <row r="767" spans="1:6" ht="12.75" x14ac:dyDescent="0.2">
      <c r="A767" s="3"/>
      <c r="B767" s="3"/>
      <c r="C767" s="3"/>
      <c r="D767" s="3"/>
      <c r="E767" s="3"/>
      <c r="F767" s="3"/>
    </row>
    <row r="768" spans="1:6" ht="12.75" x14ac:dyDescent="0.2">
      <c r="A768" s="3"/>
      <c r="B768" s="3"/>
      <c r="C768" s="3"/>
      <c r="D768" s="3"/>
      <c r="E768" s="3"/>
      <c r="F768" s="3"/>
    </row>
    <row r="769" spans="1:6" ht="12.75" x14ac:dyDescent="0.2">
      <c r="A769" s="3"/>
      <c r="B769" s="3"/>
      <c r="C769" s="3"/>
      <c r="D769" s="3"/>
      <c r="E769" s="3"/>
      <c r="F769" s="3"/>
    </row>
    <row r="770" spans="1:6" ht="12.75" x14ac:dyDescent="0.2">
      <c r="A770" s="3"/>
      <c r="B770" s="3"/>
      <c r="C770" s="3"/>
      <c r="D770" s="3"/>
      <c r="E770" s="3"/>
      <c r="F770" s="3"/>
    </row>
    <row r="771" spans="1:6" ht="12.75" x14ac:dyDescent="0.2">
      <c r="A771" s="3"/>
      <c r="B771" s="3"/>
      <c r="C771" s="3"/>
      <c r="D771" s="3"/>
      <c r="E771" s="3"/>
      <c r="F771" s="3"/>
    </row>
    <row r="772" spans="1:6" ht="12.75" x14ac:dyDescent="0.2">
      <c r="A772" s="3"/>
      <c r="B772" s="3"/>
      <c r="C772" s="3"/>
      <c r="D772" s="3"/>
      <c r="E772" s="3"/>
      <c r="F772" s="3"/>
    </row>
    <row r="773" spans="1:6" ht="12.75" x14ac:dyDescent="0.2">
      <c r="A773" s="3"/>
      <c r="B773" s="3"/>
      <c r="C773" s="3"/>
      <c r="D773" s="3"/>
      <c r="E773" s="3"/>
      <c r="F773" s="3"/>
    </row>
    <row r="774" spans="1:6" ht="12.75" x14ac:dyDescent="0.2">
      <c r="A774" s="3"/>
      <c r="B774" s="3"/>
      <c r="C774" s="3"/>
      <c r="D774" s="3"/>
      <c r="E774" s="3"/>
      <c r="F774" s="3"/>
    </row>
    <row r="775" spans="1:6" ht="12.75" x14ac:dyDescent="0.2">
      <c r="A775" s="3"/>
      <c r="B775" s="3"/>
      <c r="C775" s="3"/>
      <c r="D775" s="3"/>
      <c r="E775" s="3"/>
      <c r="F775" s="3"/>
    </row>
    <row r="776" spans="1:6" ht="12.75" x14ac:dyDescent="0.2">
      <c r="A776" s="3"/>
      <c r="B776" s="3"/>
      <c r="C776" s="3"/>
      <c r="D776" s="3"/>
      <c r="E776" s="3"/>
      <c r="F776" s="3"/>
    </row>
    <row r="777" spans="1:6" ht="12.75" x14ac:dyDescent="0.2">
      <c r="A777" s="3"/>
      <c r="B777" s="3"/>
      <c r="C777" s="3"/>
      <c r="D777" s="3"/>
      <c r="E777" s="3"/>
      <c r="F777" s="3"/>
    </row>
    <row r="778" spans="1:6" ht="12.75" x14ac:dyDescent="0.2">
      <c r="A778" s="3"/>
      <c r="B778" s="3"/>
      <c r="C778" s="3"/>
      <c r="D778" s="3"/>
      <c r="E778" s="3"/>
      <c r="F778" s="3"/>
    </row>
    <row r="779" spans="1:6" ht="12.75" x14ac:dyDescent="0.2">
      <c r="A779" s="3"/>
      <c r="B779" s="3"/>
      <c r="C779" s="3"/>
      <c r="D779" s="3"/>
      <c r="E779" s="3"/>
      <c r="F779" s="3"/>
    </row>
    <row r="780" spans="1:6" ht="12.75" x14ac:dyDescent="0.2">
      <c r="A780" s="3"/>
      <c r="B780" s="3"/>
      <c r="C780" s="3"/>
      <c r="D780" s="3"/>
      <c r="E780" s="3"/>
      <c r="F780" s="3"/>
    </row>
    <row r="781" spans="1:6" ht="12.75" x14ac:dyDescent="0.2">
      <c r="A781" s="3"/>
      <c r="B781" s="3"/>
      <c r="C781" s="3"/>
      <c r="D781" s="3"/>
      <c r="E781" s="3"/>
      <c r="F781" s="3"/>
    </row>
    <row r="782" spans="1:6" ht="12.75" x14ac:dyDescent="0.2">
      <c r="A782" s="3"/>
      <c r="B782" s="3"/>
      <c r="C782" s="3"/>
      <c r="D782" s="3"/>
      <c r="E782" s="3"/>
      <c r="F782" s="3"/>
    </row>
    <row r="783" spans="1:6" ht="12.75" x14ac:dyDescent="0.2">
      <c r="A783" s="3"/>
      <c r="B783" s="3"/>
      <c r="C783" s="3"/>
      <c r="D783" s="3"/>
      <c r="E783" s="3"/>
      <c r="F783" s="3"/>
    </row>
    <row r="784" spans="1:6" ht="12.75" x14ac:dyDescent="0.2">
      <c r="A784" s="3"/>
      <c r="B784" s="3"/>
      <c r="C784" s="3"/>
      <c r="D784" s="3"/>
      <c r="E784" s="3"/>
      <c r="F784" s="3"/>
    </row>
    <row r="785" spans="1:6" ht="12.75" x14ac:dyDescent="0.2">
      <c r="A785" s="3"/>
      <c r="B785" s="3"/>
      <c r="C785" s="3"/>
      <c r="D785" s="3"/>
      <c r="E785" s="3"/>
      <c r="F785" s="3"/>
    </row>
    <row r="786" spans="1:6" ht="12.75" x14ac:dyDescent="0.2">
      <c r="A786" s="3"/>
      <c r="B786" s="3"/>
      <c r="C786" s="3"/>
      <c r="D786" s="3"/>
      <c r="E786" s="3"/>
      <c r="F786" s="3"/>
    </row>
    <row r="787" spans="1:6" ht="12.75" x14ac:dyDescent="0.2">
      <c r="A787" s="3"/>
      <c r="B787" s="3"/>
      <c r="C787" s="3"/>
      <c r="D787" s="3"/>
      <c r="E787" s="3"/>
      <c r="F787" s="3"/>
    </row>
    <row r="788" spans="1:6" ht="12.75" x14ac:dyDescent="0.2">
      <c r="A788" s="3"/>
      <c r="B788" s="3"/>
      <c r="C788" s="3"/>
      <c r="D788" s="3"/>
      <c r="E788" s="3"/>
      <c r="F788" s="3"/>
    </row>
    <row r="789" spans="1:6" ht="12.75" x14ac:dyDescent="0.2">
      <c r="A789" s="3"/>
      <c r="B789" s="3"/>
      <c r="C789" s="3"/>
      <c r="D789" s="3"/>
      <c r="E789" s="3"/>
      <c r="F789" s="3"/>
    </row>
    <row r="790" spans="1:6" ht="12.75" x14ac:dyDescent="0.2">
      <c r="A790" s="3"/>
      <c r="B790" s="3"/>
      <c r="C790" s="3"/>
      <c r="D790" s="3"/>
      <c r="E790" s="3"/>
      <c r="F790" s="3"/>
    </row>
    <row r="791" spans="1:6" ht="12.75" x14ac:dyDescent="0.2">
      <c r="A791" s="3"/>
      <c r="B791" s="3"/>
      <c r="C791" s="3"/>
      <c r="D791" s="3"/>
      <c r="E791" s="3"/>
      <c r="F791" s="3"/>
    </row>
    <row r="792" spans="1:6" ht="12.75" x14ac:dyDescent="0.2">
      <c r="A792" s="3"/>
      <c r="B792" s="3"/>
      <c r="C792" s="3"/>
      <c r="D792" s="3"/>
      <c r="E792" s="3"/>
      <c r="F792" s="3"/>
    </row>
    <row r="793" spans="1:6" ht="12.75" x14ac:dyDescent="0.2">
      <c r="A793" s="3"/>
      <c r="B793" s="3"/>
      <c r="C793" s="3"/>
      <c r="D793" s="3"/>
      <c r="E793" s="3"/>
      <c r="F793" s="3"/>
    </row>
    <row r="794" spans="1:6" ht="12.75" x14ac:dyDescent="0.2">
      <c r="A794" s="3"/>
      <c r="B794" s="3"/>
      <c r="C794" s="3"/>
      <c r="D794" s="3"/>
      <c r="E794" s="3"/>
      <c r="F794" s="3"/>
    </row>
    <row r="795" spans="1:6" ht="12.75" x14ac:dyDescent="0.2">
      <c r="A795" s="3"/>
      <c r="B795" s="3"/>
      <c r="C795" s="3"/>
      <c r="D795" s="3"/>
      <c r="E795" s="3"/>
      <c r="F795" s="3"/>
    </row>
    <row r="796" spans="1:6" ht="12.75" x14ac:dyDescent="0.2">
      <c r="A796" s="3"/>
      <c r="B796" s="3"/>
      <c r="C796" s="3"/>
      <c r="D796" s="3"/>
      <c r="E796" s="3"/>
      <c r="F796" s="3"/>
    </row>
    <row r="797" spans="1:6" ht="12.75" x14ac:dyDescent="0.2">
      <c r="A797" s="3"/>
      <c r="B797" s="3"/>
      <c r="C797" s="3"/>
      <c r="D797" s="3"/>
      <c r="E797" s="3"/>
      <c r="F797" s="3"/>
    </row>
    <row r="798" spans="1:6" ht="12.75" x14ac:dyDescent="0.2">
      <c r="A798" s="3"/>
      <c r="B798" s="3"/>
      <c r="C798" s="3"/>
      <c r="D798" s="3"/>
      <c r="E798" s="3"/>
      <c r="F798" s="3"/>
    </row>
    <row r="799" spans="1:6" ht="12.75" x14ac:dyDescent="0.2">
      <c r="A799" s="3"/>
      <c r="B799" s="3"/>
      <c r="C799" s="3"/>
      <c r="D799" s="3"/>
      <c r="E799" s="3"/>
      <c r="F799" s="3"/>
    </row>
    <row r="800" spans="1:6" ht="12.75" x14ac:dyDescent="0.2">
      <c r="A800" s="3"/>
      <c r="B800" s="3"/>
      <c r="C800" s="3"/>
      <c r="D800" s="3"/>
      <c r="E800" s="3"/>
      <c r="F800" s="3"/>
    </row>
    <row r="801" spans="1:6" ht="12.75" x14ac:dyDescent="0.2">
      <c r="A801" s="3"/>
      <c r="B801" s="3"/>
      <c r="C801" s="3"/>
      <c r="D801" s="3"/>
      <c r="E801" s="3"/>
      <c r="F801" s="3"/>
    </row>
    <row r="802" spans="1:6" ht="12.75" x14ac:dyDescent="0.2">
      <c r="A802" s="3"/>
      <c r="B802" s="3"/>
      <c r="C802" s="3"/>
      <c r="D802" s="3"/>
      <c r="E802" s="3"/>
      <c r="F802" s="3"/>
    </row>
    <row r="803" spans="1:6" ht="12.75" x14ac:dyDescent="0.2">
      <c r="A803" s="3"/>
      <c r="B803" s="3"/>
      <c r="C803" s="3"/>
      <c r="D803" s="3"/>
      <c r="E803" s="3"/>
      <c r="F803" s="3"/>
    </row>
    <row r="804" spans="1:6" ht="12.75" x14ac:dyDescent="0.2">
      <c r="A804" s="3"/>
      <c r="B804" s="3"/>
      <c r="C804" s="3"/>
      <c r="D804" s="3"/>
      <c r="E804" s="3"/>
      <c r="F804" s="3"/>
    </row>
    <row r="805" spans="1:6" ht="12.75" x14ac:dyDescent="0.2">
      <c r="A805" s="3"/>
      <c r="B805" s="3"/>
      <c r="C805" s="3"/>
      <c r="D805" s="3"/>
      <c r="E805" s="3"/>
      <c r="F805" s="3"/>
    </row>
    <row r="806" spans="1:6" ht="12.75" x14ac:dyDescent="0.2">
      <c r="A806" s="3"/>
      <c r="B806" s="3"/>
      <c r="C806" s="3"/>
      <c r="D806" s="3"/>
      <c r="E806" s="3"/>
      <c r="F806" s="3"/>
    </row>
    <row r="807" spans="1:6" ht="12.75" x14ac:dyDescent="0.2">
      <c r="A807" s="3"/>
      <c r="B807" s="3"/>
      <c r="C807" s="3"/>
      <c r="D807" s="3"/>
      <c r="E807" s="3"/>
      <c r="F807" s="3"/>
    </row>
    <row r="808" spans="1:6" ht="12.75" x14ac:dyDescent="0.2">
      <c r="A808" s="3"/>
      <c r="B808" s="3"/>
      <c r="C808" s="3"/>
      <c r="D808" s="3"/>
      <c r="E808" s="3"/>
      <c r="F808" s="3"/>
    </row>
    <row r="809" spans="1:6" ht="12.75" x14ac:dyDescent="0.2">
      <c r="A809" s="3"/>
      <c r="B809" s="3"/>
      <c r="C809" s="3"/>
      <c r="D809" s="3"/>
      <c r="E809" s="3"/>
      <c r="F809" s="3"/>
    </row>
    <row r="810" spans="1:6" ht="12.75" x14ac:dyDescent="0.2">
      <c r="A810" s="3"/>
      <c r="B810" s="3"/>
      <c r="C810" s="3"/>
      <c r="D810" s="3"/>
      <c r="E810" s="3"/>
      <c r="F810" s="3"/>
    </row>
    <row r="811" spans="1:6" ht="12.75" x14ac:dyDescent="0.2">
      <c r="A811" s="3"/>
      <c r="B811" s="3"/>
      <c r="C811" s="3"/>
      <c r="D811" s="3"/>
      <c r="E811" s="3"/>
      <c r="F811" s="3"/>
    </row>
    <row r="812" spans="1:6" ht="12.75" x14ac:dyDescent="0.2">
      <c r="A812" s="3"/>
      <c r="B812" s="3"/>
      <c r="C812" s="3"/>
      <c r="D812" s="3"/>
      <c r="E812" s="3"/>
      <c r="F812" s="3"/>
    </row>
    <row r="813" spans="1:6" ht="12.75" x14ac:dyDescent="0.2">
      <c r="A813" s="3"/>
      <c r="B813" s="3"/>
      <c r="C813" s="3"/>
      <c r="D813" s="3"/>
      <c r="E813" s="3"/>
      <c r="F813" s="3"/>
    </row>
    <row r="814" spans="1:6" ht="12.75" x14ac:dyDescent="0.2">
      <c r="A814" s="3"/>
      <c r="B814" s="3"/>
      <c r="C814" s="3"/>
      <c r="D814" s="3"/>
      <c r="E814" s="3"/>
      <c r="F814" s="3"/>
    </row>
    <row r="815" spans="1:6" ht="12.75" x14ac:dyDescent="0.2">
      <c r="A815" s="3"/>
      <c r="B815" s="3"/>
      <c r="C815" s="3"/>
      <c r="D815" s="3"/>
      <c r="E815" s="3"/>
      <c r="F815" s="3"/>
    </row>
    <row r="816" spans="1:6" ht="12.75" x14ac:dyDescent="0.2">
      <c r="A816" s="3"/>
      <c r="B816" s="3"/>
      <c r="C816" s="3"/>
      <c r="D816" s="3"/>
      <c r="E816" s="3"/>
      <c r="F816" s="3"/>
    </row>
    <row r="817" spans="1:6" ht="12.75" x14ac:dyDescent="0.2">
      <c r="A817" s="3"/>
      <c r="B817" s="3"/>
      <c r="C817" s="3"/>
      <c r="D817" s="3"/>
      <c r="E817" s="3"/>
      <c r="F817" s="3"/>
    </row>
    <row r="818" spans="1:6" ht="12.75" x14ac:dyDescent="0.2">
      <c r="A818" s="3"/>
      <c r="B818" s="3"/>
      <c r="C818" s="3"/>
      <c r="D818" s="3"/>
      <c r="E818" s="3"/>
      <c r="F818" s="3"/>
    </row>
    <row r="819" spans="1:6" ht="12.75" x14ac:dyDescent="0.2">
      <c r="A819" s="3"/>
      <c r="B819" s="3"/>
      <c r="C819" s="3"/>
      <c r="D819" s="3"/>
      <c r="E819" s="3"/>
      <c r="F819" s="3"/>
    </row>
    <row r="820" spans="1:6" ht="12.75" x14ac:dyDescent="0.2">
      <c r="A820" s="3"/>
      <c r="B820" s="3"/>
      <c r="C820" s="3"/>
      <c r="D820" s="3"/>
      <c r="E820" s="3"/>
      <c r="F820" s="3"/>
    </row>
    <row r="821" spans="1:6" ht="12.75" x14ac:dyDescent="0.2">
      <c r="A821" s="3"/>
      <c r="B821" s="3"/>
      <c r="C821" s="3"/>
      <c r="D821" s="3"/>
      <c r="E821" s="3"/>
      <c r="F821" s="3"/>
    </row>
    <row r="822" spans="1:6" ht="12.75" x14ac:dyDescent="0.2">
      <c r="A822" s="3"/>
      <c r="B822" s="3"/>
      <c r="C822" s="3"/>
      <c r="D822" s="3"/>
      <c r="E822" s="3"/>
      <c r="F822" s="3"/>
    </row>
    <row r="823" spans="1:6" ht="12.75" x14ac:dyDescent="0.2">
      <c r="A823" s="3"/>
      <c r="B823" s="3"/>
      <c r="C823" s="3"/>
      <c r="D823" s="3"/>
      <c r="E823" s="3"/>
      <c r="F823" s="3"/>
    </row>
    <row r="824" spans="1:6" ht="12.75" x14ac:dyDescent="0.2">
      <c r="A824" s="3"/>
      <c r="B824" s="3"/>
      <c r="C824" s="3"/>
      <c r="D824" s="3"/>
      <c r="E824" s="3"/>
      <c r="F824" s="3"/>
    </row>
    <row r="825" spans="1:6" ht="12.75" x14ac:dyDescent="0.2">
      <c r="A825" s="3"/>
      <c r="B825" s="3"/>
      <c r="C825" s="3"/>
      <c r="D825" s="3"/>
      <c r="E825" s="3"/>
      <c r="F825" s="3"/>
    </row>
    <row r="826" spans="1:6" ht="12.75" x14ac:dyDescent="0.2">
      <c r="A826" s="3"/>
      <c r="B826" s="3"/>
      <c r="C826" s="3"/>
      <c r="D826" s="3"/>
      <c r="E826" s="3"/>
      <c r="F826" s="3"/>
    </row>
    <row r="827" spans="1:6" ht="12.75" x14ac:dyDescent="0.2">
      <c r="A827" s="3"/>
      <c r="B827" s="3"/>
      <c r="C827" s="3"/>
      <c r="D827" s="3"/>
      <c r="E827" s="3"/>
      <c r="F827" s="3"/>
    </row>
    <row r="828" spans="1:6" ht="12.75" x14ac:dyDescent="0.2">
      <c r="A828" s="3"/>
      <c r="B828" s="3"/>
      <c r="C828" s="3"/>
      <c r="D828" s="3"/>
      <c r="E828" s="3"/>
      <c r="F828" s="3"/>
    </row>
    <row r="829" spans="1:6" ht="12.75" x14ac:dyDescent="0.2">
      <c r="A829" s="3"/>
      <c r="B829" s="3"/>
      <c r="C829" s="3"/>
      <c r="D829" s="3"/>
      <c r="E829" s="3"/>
      <c r="F829" s="3"/>
    </row>
    <row r="830" spans="1:6" ht="12.75" x14ac:dyDescent="0.2">
      <c r="A830" s="3"/>
      <c r="B830" s="3"/>
      <c r="C830" s="3"/>
      <c r="D830" s="3"/>
      <c r="E830" s="3"/>
      <c r="F830" s="3"/>
    </row>
    <row r="831" spans="1:6" ht="12.75" x14ac:dyDescent="0.2">
      <c r="A831" s="3"/>
      <c r="B831" s="3"/>
      <c r="C831" s="3"/>
      <c r="D831" s="3"/>
      <c r="E831" s="3"/>
      <c r="F831" s="3"/>
    </row>
    <row r="832" spans="1:6" ht="12.75" x14ac:dyDescent="0.2">
      <c r="A832" s="3"/>
      <c r="B832" s="3"/>
      <c r="C832" s="3"/>
      <c r="D832" s="3"/>
      <c r="E832" s="3"/>
      <c r="F832" s="3"/>
    </row>
    <row r="833" spans="1:6" ht="12.75" x14ac:dyDescent="0.2">
      <c r="A833" s="3"/>
      <c r="B833" s="3"/>
      <c r="C833" s="3"/>
      <c r="D833" s="3"/>
      <c r="E833" s="3"/>
      <c r="F833" s="3"/>
    </row>
    <row r="834" spans="1:6" ht="12.75" x14ac:dyDescent="0.2">
      <c r="A834" s="3"/>
      <c r="B834" s="3"/>
      <c r="C834" s="3"/>
      <c r="D834" s="3"/>
      <c r="E834" s="3"/>
      <c r="F834" s="3"/>
    </row>
    <row r="835" spans="1:6" ht="12.75" x14ac:dyDescent="0.2">
      <c r="A835" s="3"/>
      <c r="B835" s="3"/>
      <c r="C835" s="3"/>
      <c r="D835" s="3"/>
      <c r="E835" s="3"/>
      <c r="F835" s="3"/>
    </row>
    <row r="836" spans="1:6" ht="12.75" x14ac:dyDescent="0.2">
      <c r="A836" s="3"/>
      <c r="B836" s="3"/>
      <c r="C836" s="3"/>
      <c r="D836" s="3"/>
      <c r="E836" s="3"/>
      <c r="F836" s="3"/>
    </row>
    <row r="837" spans="1:6" ht="12.75" x14ac:dyDescent="0.2">
      <c r="A837" s="3"/>
      <c r="B837" s="3"/>
      <c r="C837" s="3"/>
      <c r="D837" s="3"/>
      <c r="E837" s="3"/>
      <c r="F837" s="3"/>
    </row>
    <row r="838" spans="1:6" ht="12.75" x14ac:dyDescent="0.2">
      <c r="A838" s="3"/>
      <c r="B838" s="3"/>
      <c r="C838" s="3"/>
      <c r="D838" s="3"/>
      <c r="E838" s="3"/>
      <c r="F838" s="3"/>
    </row>
    <row r="839" spans="1:6" ht="12.75" x14ac:dyDescent="0.2">
      <c r="A839" s="3"/>
      <c r="B839" s="3"/>
      <c r="C839" s="3"/>
      <c r="D839" s="3"/>
      <c r="E839" s="3"/>
      <c r="F839" s="3"/>
    </row>
    <row r="840" spans="1:6" ht="12.75" x14ac:dyDescent="0.2">
      <c r="A840" s="3"/>
      <c r="B840" s="3"/>
      <c r="C840" s="3"/>
      <c r="D840" s="3"/>
      <c r="E840" s="3"/>
      <c r="F840" s="3"/>
    </row>
    <row r="841" spans="1:6" ht="12.75" x14ac:dyDescent="0.2">
      <c r="A841" s="3"/>
      <c r="B841" s="3"/>
      <c r="C841" s="3"/>
      <c r="D841" s="3"/>
      <c r="E841" s="3"/>
      <c r="F841" s="3"/>
    </row>
    <row r="842" spans="1:6" ht="12.75" x14ac:dyDescent="0.2">
      <c r="A842" s="3"/>
      <c r="B842" s="3"/>
      <c r="C842" s="3"/>
      <c r="D842" s="3"/>
      <c r="E842" s="3"/>
      <c r="F842" s="3"/>
    </row>
    <row r="843" spans="1:6" ht="12.75" x14ac:dyDescent="0.2">
      <c r="A843" s="3"/>
      <c r="B843" s="3"/>
      <c r="C843" s="3"/>
      <c r="D843" s="3"/>
      <c r="E843" s="3"/>
      <c r="F843" s="3"/>
    </row>
    <row r="844" spans="1:6" ht="12.75" x14ac:dyDescent="0.2">
      <c r="A844" s="3"/>
      <c r="B844" s="3"/>
      <c r="C844" s="3"/>
      <c r="D844" s="3"/>
      <c r="E844" s="3"/>
      <c r="F844" s="3"/>
    </row>
    <row r="845" spans="1:6" ht="12.75" x14ac:dyDescent="0.2">
      <c r="A845" s="3"/>
      <c r="B845" s="3"/>
      <c r="C845" s="3"/>
      <c r="D845" s="3"/>
      <c r="E845" s="3"/>
      <c r="F845" s="3"/>
    </row>
    <row r="846" spans="1:6" ht="12.75" x14ac:dyDescent="0.2">
      <c r="A846" s="3"/>
      <c r="B846" s="3"/>
      <c r="C846" s="3"/>
      <c r="D846" s="3"/>
      <c r="E846" s="3"/>
      <c r="F846" s="3"/>
    </row>
    <row r="847" spans="1:6" ht="12.75" x14ac:dyDescent="0.2">
      <c r="A847" s="3"/>
      <c r="B847" s="3"/>
      <c r="C847" s="3"/>
      <c r="D847" s="3"/>
      <c r="E847" s="3"/>
      <c r="F847" s="3"/>
    </row>
    <row r="848" spans="1:6" ht="12.75" x14ac:dyDescent="0.2">
      <c r="A848" s="3"/>
      <c r="B848" s="3"/>
      <c r="C848" s="3"/>
      <c r="D848" s="3"/>
      <c r="E848" s="3"/>
      <c r="F848" s="3"/>
    </row>
    <row r="849" spans="1:6" ht="12.75" x14ac:dyDescent="0.2">
      <c r="A849" s="3"/>
      <c r="B849" s="3"/>
      <c r="C849" s="3"/>
      <c r="D849" s="3"/>
      <c r="E849" s="3"/>
      <c r="F849" s="3"/>
    </row>
    <row r="850" spans="1:6" ht="12.75" x14ac:dyDescent="0.2">
      <c r="A850" s="3"/>
      <c r="B850" s="3"/>
      <c r="C850" s="3"/>
      <c r="D850" s="3"/>
      <c r="E850" s="3"/>
      <c r="F850" s="3"/>
    </row>
    <row r="851" spans="1:6" ht="12.75" x14ac:dyDescent="0.2">
      <c r="A851" s="3"/>
      <c r="B851" s="3"/>
      <c r="C851" s="3"/>
      <c r="D851" s="3"/>
      <c r="E851" s="3"/>
      <c r="F851" s="3"/>
    </row>
    <row r="852" spans="1:6" ht="12.75" x14ac:dyDescent="0.2">
      <c r="A852" s="3"/>
      <c r="B852" s="3"/>
      <c r="C852" s="3"/>
      <c r="D852" s="3"/>
      <c r="E852" s="3"/>
      <c r="F852" s="3"/>
    </row>
    <row r="853" spans="1:6" ht="12.75" x14ac:dyDescent="0.2">
      <c r="A853" s="3"/>
      <c r="B853" s="3"/>
      <c r="C853" s="3"/>
      <c r="D853" s="3"/>
      <c r="E853" s="3"/>
      <c r="F853" s="3"/>
    </row>
    <row r="854" spans="1:6" ht="12.75" x14ac:dyDescent="0.2">
      <c r="A854" s="3"/>
      <c r="B854" s="3"/>
      <c r="C854" s="3"/>
      <c r="D854" s="3"/>
      <c r="E854" s="3"/>
      <c r="F854" s="3"/>
    </row>
    <row r="855" spans="1:6" ht="12.75" x14ac:dyDescent="0.2">
      <c r="A855" s="3"/>
      <c r="B855" s="3"/>
      <c r="C855" s="3"/>
      <c r="D855" s="3"/>
      <c r="E855" s="3"/>
      <c r="F855" s="3"/>
    </row>
    <row r="856" spans="1:6" ht="12.75" x14ac:dyDescent="0.2">
      <c r="A856" s="3"/>
      <c r="B856" s="3"/>
      <c r="C856" s="3"/>
      <c r="D856" s="3"/>
      <c r="E856" s="3"/>
      <c r="F856" s="3"/>
    </row>
    <row r="857" spans="1:6" ht="12.75" x14ac:dyDescent="0.2">
      <c r="A857" s="3"/>
      <c r="B857" s="3"/>
      <c r="C857" s="3"/>
      <c r="D857" s="3"/>
      <c r="E857" s="3"/>
      <c r="F857" s="3"/>
    </row>
    <row r="858" spans="1:6" ht="12.75" x14ac:dyDescent="0.2">
      <c r="A858" s="3"/>
      <c r="B858" s="3"/>
      <c r="C858" s="3"/>
      <c r="D858" s="3"/>
      <c r="E858" s="3"/>
      <c r="F858" s="3"/>
    </row>
    <row r="859" spans="1:6" ht="12.75" x14ac:dyDescent="0.2">
      <c r="A859" s="3"/>
      <c r="B859" s="3"/>
      <c r="C859" s="3"/>
      <c r="D859" s="3"/>
      <c r="E859" s="3"/>
      <c r="F859" s="3"/>
    </row>
    <row r="860" spans="1:6" ht="12.75" x14ac:dyDescent="0.2">
      <c r="A860" s="3"/>
      <c r="B860" s="3"/>
      <c r="C860" s="3"/>
      <c r="D860" s="3"/>
      <c r="E860" s="3"/>
      <c r="F860" s="3"/>
    </row>
    <row r="861" spans="1:6" ht="12.75" x14ac:dyDescent="0.2">
      <c r="A861" s="3"/>
      <c r="B861" s="3"/>
      <c r="C861" s="3"/>
      <c r="D861" s="3"/>
      <c r="E861" s="3"/>
      <c r="F861" s="3"/>
    </row>
    <row r="862" spans="1:6" ht="12.75" x14ac:dyDescent="0.2">
      <c r="A862" s="3"/>
      <c r="B862" s="3"/>
      <c r="C862" s="3"/>
      <c r="D862" s="3"/>
      <c r="E862" s="3"/>
      <c r="F862" s="3"/>
    </row>
    <row r="863" spans="1:6" ht="12.75" x14ac:dyDescent="0.2">
      <c r="A863" s="3"/>
      <c r="B863" s="3"/>
      <c r="C863" s="3"/>
      <c r="D863" s="3"/>
      <c r="E863" s="3"/>
      <c r="F863" s="3"/>
    </row>
    <row r="864" spans="1:6" ht="12.75" x14ac:dyDescent="0.2">
      <c r="A864" s="3"/>
      <c r="B864" s="3"/>
      <c r="C864" s="3"/>
      <c r="D864" s="3"/>
      <c r="E864" s="3"/>
      <c r="F864" s="3"/>
    </row>
    <row r="865" spans="1:6" ht="12.75" x14ac:dyDescent="0.2">
      <c r="A865" s="3"/>
      <c r="B865" s="3"/>
      <c r="C865" s="3"/>
      <c r="D865" s="3"/>
      <c r="E865" s="3"/>
      <c r="F865" s="3"/>
    </row>
    <row r="866" spans="1:6" ht="12.75" x14ac:dyDescent="0.2">
      <c r="A866" s="3"/>
      <c r="B866" s="3"/>
      <c r="C866" s="3"/>
      <c r="D866" s="3"/>
      <c r="E866" s="3"/>
      <c r="F866" s="3"/>
    </row>
    <row r="867" spans="1:6" ht="12.75" x14ac:dyDescent="0.2">
      <c r="A867" s="3"/>
      <c r="B867" s="3"/>
      <c r="C867" s="3"/>
      <c r="D867" s="3"/>
      <c r="E867" s="3"/>
      <c r="F867" s="3"/>
    </row>
    <row r="868" spans="1:6" ht="12.75" x14ac:dyDescent="0.2">
      <c r="A868" s="3"/>
      <c r="B868" s="3"/>
      <c r="C868" s="3"/>
      <c r="D868" s="3"/>
      <c r="E868" s="3"/>
      <c r="F868" s="3"/>
    </row>
    <row r="869" spans="1:6" ht="12.75" x14ac:dyDescent="0.2">
      <c r="A869" s="3"/>
      <c r="B869" s="3"/>
      <c r="C869" s="3"/>
      <c r="D869" s="3"/>
      <c r="E869" s="3"/>
      <c r="F869" s="3"/>
    </row>
    <row r="870" spans="1:6" ht="12.75" x14ac:dyDescent="0.2">
      <c r="A870" s="3"/>
      <c r="B870" s="3"/>
      <c r="C870" s="3"/>
      <c r="D870" s="3"/>
      <c r="E870" s="3"/>
      <c r="F870" s="3"/>
    </row>
    <row r="871" spans="1:6" ht="12.75" x14ac:dyDescent="0.2">
      <c r="A871" s="3"/>
      <c r="B871" s="3"/>
      <c r="C871" s="3"/>
      <c r="D871" s="3"/>
      <c r="E871" s="3"/>
      <c r="F871" s="3"/>
    </row>
    <row r="872" spans="1:6" ht="12.75" x14ac:dyDescent="0.2">
      <c r="A872" s="3"/>
      <c r="B872" s="3"/>
      <c r="C872" s="3"/>
      <c r="D872" s="3"/>
      <c r="E872" s="3"/>
      <c r="F872" s="3"/>
    </row>
    <row r="873" spans="1:6" ht="12.75" x14ac:dyDescent="0.2">
      <c r="A873" s="3"/>
      <c r="B873" s="3"/>
      <c r="C873" s="3"/>
      <c r="D873" s="3"/>
      <c r="E873" s="3"/>
      <c r="F873" s="3"/>
    </row>
    <row r="874" spans="1:6" ht="12.75" x14ac:dyDescent="0.2">
      <c r="A874" s="3"/>
      <c r="B874" s="3"/>
      <c r="C874" s="3"/>
      <c r="D874" s="3"/>
      <c r="E874" s="3"/>
      <c r="F874" s="3"/>
    </row>
    <row r="875" spans="1:6" ht="12.75" x14ac:dyDescent="0.2">
      <c r="A875" s="3"/>
      <c r="B875" s="3"/>
      <c r="C875" s="3"/>
      <c r="D875" s="3"/>
      <c r="E875" s="3"/>
      <c r="F875" s="3"/>
    </row>
    <row r="876" spans="1:6" ht="12.75" x14ac:dyDescent="0.2">
      <c r="A876" s="3"/>
      <c r="B876" s="3"/>
      <c r="C876" s="3"/>
      <c r="D876" s="3"/>
      <c r="E876" s="3"/>
      <c r="F876" s="3"/>
    </row>
    <row r="877" spans="1:6" ht="12.75" x14ac:dyDescent="0.2">
      <c r="A877" s="3"/>
      <c r="B877" s="3"/>
      <c r="C877" s="3"/>
      <c r="D877" s="3"/>
      <c r="E877" s="3"/>
      <c r="F877" s="3"/>
    </row>
    <row r="878" spans="1:6" ht="12.75" x14ac:dyDescent="0.2">
      <c r="A878" s="3"/>
      <c r="B878" s="3"/>
      <c r="C878" s="3"/>
      <c r="D878" s="3"/>
      <c r="E878" s="3"/>
      <c r="F878" s="3"/>
    </row>
    <row r="879" spans="1:6" ht="12.75" x14ac:dyDescent="0.2">
      <c r="A879" s="3"/>
      <c r="B879" s="3"/>
      <c r="C879" s="3"/>
      <c r="D879" s="3"/>
      <c r="E879" s="3"/>
      <c r="F879" s="3"/>
    </row>
    <row r="880" spans="1:6" ht="12.75" x14ac:dyDescent="0.2">
      <c r="A880" s="3"/>
      <c r="B880" s="3"/>
      <c r="C880" s="3"/>
      <c r="D880" s="3"/>
      <c r="E880" s="3"/>
      <c r="F880" s="3"/>
    </row>
    <row r="881" spans="1:6" ht="12.75" x14ac:dyDescent="0.2">
      <c r="A881" s="3"/>
      <c r="B881" s="3"/>
      <c r="C881" s="3"/>
      <c r="D881" s="3"/>
      <c r="E881" s="3"/>
      <c r="F881" s="3"/>
    </row>
    <row r="882" spans="1:6" ht="12.75" x14ac:dyDescent="0.2">
      <c r="A882" s="3"/>
      <c r="B882" s="3"/>
      <c r="C882" s="3"/>
      <c r="D882" s="3"/>
      <c r="E882" s="3"/>
      <c r="F882" s="3"/>
    </row>
    <row r="883" spans="1:6" ht="12.75" x14ac:dyDescent="0.2">
      <c r="A883" s="3"/>
      <c r="B883" s="3"/>
      <c r="C883" s="3"/>
      <c r="D883" s="3"/>
      <c r="E883" s="3"/>
      <c r="F883" s="3"/>
    </row>
    <row r="884" spans="1:6" ht="12.75" x14ac:dyDescent="0.2">
      <c r="A884" s="3"/>
      <c r="B884" s="3"/>
      <c r="C884" s="3"/>
      <c r="D884" s="3"/>
      <c r="E884" s="3"/>
      <c r="F884" s="3"/>
    </row>
    <row r="885" spans="1:6" ht="12.75" x14ac:dyDescent="0.2">
      <c r="A885" s="3"/>
      <c r="B885" s="3"/>
      <c r="C885" s="3"/>
      <c r="D885" s="3"/>
      <c r="E885" s="3"/>
      <c r="F885" s="3"/>
    </row>
    <row r="886" spans="1:6" ht="12.75" x14ac:dyDescent="0.2">
      <c r="A886" s="3"/>
      <c r="B886" s="3"/>
      <c r="C886" s="3"/>
      <c r="D886" s="3"/>
      <c r="E886" s="3"/>
      <c r="F886" s="3"/>
    </row>
    <row r="887" spans="1:6" ht="12.75" x14ac:dyDescent="0.2">
      <c r="A887" s="3"/>
      <c r="B887" s="3"/>
      <c r="C887" s="3"/>
      <c r="D887" s="3"/>
      <c r="E887" s="3"/>
      <c r="F887" s="3"/>
    </row>
    <row r="888" spans="1:6" ht="12.75" x14ac:dyDescent="0.2">
      <c r="A888" s="3"/>
      <c r="B888" s="3"/>
      <c r="C888" s="3"/>
      <c r="D888" s="3"/>
      <c r="E888" s="3"/>
      <c r="F888" s="3"/>
    </row>
    <row r="889" spans="1:6" ht="12.75" x14ac:dyDescent="0.2">
      <c r="A889" s="3"/>
      <c r="B889" s="3"/>
      <c r="C889" s="3"/>
      <c r="D889" s="3"/>
      <c r="E889" s="3"/>
      <c r="F889" s="3"/>
    </row>
    <row r="890" spans="1:6" ht="12.75" x14ac:dyDescent="0.2">
      <c r="A890" s="3"/>
      <c r="B890" s="3"/>
      <c r="C890" s="3"/>
      <c r="D890" s="3"/>
      <c r="E890" s="3"/>
      <c r="F890" s="3"/>
    </row>
    <row r="891" spans="1:6" ht="12.75" x14ac:dyDescent="0.2">
      <c r="A891" s="3"/>
      <c r="B891" s="3"/>
      <c r="C891" s="3"/>
      <c r="D891" s="3"/>
      <c r="E891" s="3"/>
      <c r="F891" s="3"/>
    </row>
    <row r="892" spans="1:6" ht="12.75" x14ac:dyDescent="0.2">
      <c r="A892" s="3"/>
      <c r="B892" s="3"/>
      <c r="C892" s="3"/>
      <c r="D892" s="3"/>
      <c r="E892" s="3"/>
      <c r="F892" s="3"/>
    </row>
    <row r="893" spans="1:6" ht="12.75" x14ac:dyDescent="0.2">
      <c r="A893" s="3"/>
      <c r="B893" s="3"/>
      <c r="C893" s="3"/>
      <c r="D893" s="3"/>
      <c r="E893" s="3"/>
      <c r="F893" s="3"/>
    </row>
    <row r="894" spans="1:6" ht="12.75" x14ac:dyDescent="0.2">
      <c r="A894" s="3"/>
      <c r="B894" s="3"/>
      <c r="C894" s="3"/>
      <c r="D894" s="3"/>
      <c r="E894" s="3"/>
      <c r="F894" s="3"/>
    </row>
    <row r="895" spans="1:6" ht="12.75" x14ac:dyDescent="0.2">
      <c r="A895" s="3"/>
      <c r="B895" s="3"/>
      <c r="C895" s="3"/>
      <c r="D895" s="3"/>
      <c r="E895" s="3"/>
      <c r="F895" s="3"/>
    </row>
    <row r="896" spans="1:6" ht="12.75" x14ac:dyDescent="0.2">
      <c r="A896" s="3"/>
      <c r="B896" s="3"/>
      <c r="C896" s="3"/>
      <c r="D896" s="3"/>
      <c r="E896" s="3"/>
      <c r="F896" s="3"/>
    </row>
    <row r="897" spans="1:6" ht="12.75" x14ac:dyDescent="0.2">
      <c r="A897" s="3"/>
      <c r="B897" s="3"/>
      <c r="C897" s="3"/>
      <c r="D897" s="3"/>
      <c r="E897" s="3"/>
      <c r="F897" s="3"/>
    </row>
    <row r="898" spans="1:6" ht="12.75" x14ac:dyDescent="0.2">
      <c r="A898" s="3"/>
      <c r="B898" s="3"/>
      <c r="C898" s="3"/>
      <c r="D898" s="3"/>
      <c r="E898" s="3"/>
      <c r="F898" s="3"/>
    </row>
    <row r="899" spans="1:6" ht="12.75" x14ac:dyDescent="0.2">
      <c r="A899" s="3"/>
      <c r="B899" s="3"/>
      <c r="C899" s="3"/>
      <c r="D899" s="3"/>
      <c r="E899" s="3"/>
      <c r="F899" s="3"/>
    </row>
    <row r="900" spans="1:6" ht="12.75" x14ac:dyDescent="0.2">
      <c r="A900" s="3"/>
      <c r="B900" s="3"/>
      <c r="C900" s="3"/>
      <c r="D900" s="3"/>
      <c r="E900" s="3"/>
      <c r="F900" s="3"/>
    </row>
    <row r="901" spans="1:6" ht="12.75" x14ac:dyDescent="0.2">
      <c r="A901" s="3"/>
      <c r="B901" s="3"/>
      <c r="C901" s="3"/>
      <c r="D901" s="3"/>
      <c r="E901" s="3"/>
      <c r="F901" s="3"/>
    </row>
    <row r="902" spans="1:6" ht="12.75" x14ac:dyDescent="0.2">
      <c r="A902" s="3"/>
      <c r="B902" s="3"/>
      <c r="C902" s="3"/>
      <c r="D902" s="3"/>
      <c r="E902" s="3"/>
      <c r="F902" s="3"/>
    </row>
    <row r="903" spans="1:6" ht="12.75" x14ac:dyDescent="0.2">
      <c r="A903" s="3"/>
      <c r="B903" s="3"/>
      <c r="C903" s="3"/>
      <c r="D903" s="3"/>
      <c r="E903" s="3"/>
      <c r="F903" s="3"/>
    </row>
    <row r="904" spans="1:6" ht="12.75" x14ac:dyDescent="0.2">
      <c r="A904" s="3"/>
      <c r="B904" s="3"/>
      <c r="C904" s="3"/>
      <c r="D904" s="3"/>
      <c r="E904" s="3"/>
      <c r="F904" s="3"/>
    </row>
    <row r="905" spans="1:6" ht="12.75" x14ac:dyDescent="0.2">
      <c r="A905" s="3"/>
      <c r="B905" s="3"/>
      <c r="C905" s="3"/>
      <c r="D905" s="3"/>
      <c r="E905" s="3"/>
      <c r="F905" s="3"/>
    </row>
    <row r="906" spans="1:6" ht="12.75" x14ac:dyDescent="0.2">
      <c r="A906" s="3"/>
      <c r="B906" s="3"/>
      <c r="C906" s="3"/>
      <c r="D906" s="3"/>
      <c r="E906" s="3"/>
      <c r="F906" s="3"/>
    </row>
    <row r="907" spans="1:6" ht="12.75" x14ac:dyDescent="0.2">
      <c r="A907" s="3"/>
      <c r="B907" s="3"/>
      <c r="C907" s="3"/>
      <c r="D907" s="3"/>
      <c r="E907" s="3"/>
      <c r="F907" s="3"/>
    </row>
    <row r="908" spans="1:6" ht="12.75" x14ac:dyDescent="0.2">
      <c r="A908" s="3"/>
      <c r="B908" s="3"/>
      <c r="C908" s="3"/>
      <c r="D908" s="3"/>
      <c r="E908" s="3"/>
      <c r="F908" s="3"/>
    </row>
    <row r="909" spans="1:6" ht="12.75" x14ac:dyDescent="0.2">
      <c r="A909" s="3"/>
      <c r="B909" s="3"/>
      <c r="C909" s="3"/>
      <c r="D909" s="3"/>
      <c r="E909" s="3"/>
      <c r="F909" s="3"/>
    </row>
    <row r="910" spans="1:6" ht="12.75" x14ac:dyDescent="0.2">
      <c r="A910" s="3"/>
      <c r="B910" s="3"/>
      <c r="C910" s="3"/>
      <c r="D910" s="3"/>
      <c r="E910" s="3"/>
      <c r="F910" s="3"/>
    </row>
    <row r="911" spans="1:6" ht="12.75" x14ac:dyDescent="0.2">
      <c r="A911" s="3"/>
      <c r="B911" s="3"/>
      <c r="C911" s="3"/>
      <c r="D911" s="3"/>
      <c r="E911" s="3"/>
      <c r="F911" s="3"/>
    </row>
    <row r="912" spans="1:6" ht="12.75" x14ac:dyDescent="0.2">
      <c r="A912" s="3"/>
      <c r="B912" s="3"/>
      <c r="C912" s="3"/>
      <c r="D912" s="3"/>
      <c r="E912" s="3"/>
      <c r="F912" s="3"/>
    </row>
    <row r="913" spans="1:6" ht="12.75" x14ac:dyDescent="0.2">
      <c r="A913" s="3"/>
      <c r="B913" s="3"/>
      <c r="C913" s="3"/>
      <c r="D913" s="3"/>
      <c r="E913" s="3"/>
      <c r="F913" s="3"/>
    </row>
    <row r="914" spans="1:6" ht="12.75" x14ac:dyDescent="0.2">
      <c r="A914" s="3"/>
      <c r="B914" s="3"/>
      <c r="C914" s="3"/>
      <c r="D914" s="3"/>
      <c r="E914" s="3"/>
      <c r="F914" s="3"/>
    </row>
    <row r="915" spans="1:6" ht="12.75" x14ac:dyDescent="0.2">
      <c r="A915" s="3"/>
      <c r="B915" s="3"/>
      <c r="C915" s="3"/>
      <c r="D915" s="3"/>
      <c r="E915" s="3"/>
      <c r="F915" s="3"/>
    </row>
    <row r="916" spans="1:6" ht="12.75" x14ac:dyDescent="0.2">
      <c r="A916" s="3"/>
      <c r="B916" s="3"/>
      <c r="C916" s="3"/>
      <c r="D916" s="3"/>
      <c r="E916" s="3"/>
      <c r="F916" s="3"/>
    </row>
    <row r="917" spans="1:6" ht="12.75" x14ac:dyDescent="0.2">
      <c r="A917" s="3"/>
      <c r="B917" s="3"/>
      <c r="C917" s="3"/>
      <c r="D917" s="3"/>
      <c r="E917" s="3"/>
      <c r="F917" s="3"/>
    </row>
    <row r="918" spans="1:6" ht="12.75" x14ac:dyDescent="0.2">
      <c r="A918" s="3"/>
      <c r="B918" s="3"/>
      <c r="C918" s="3"/>
      <c r="D918" s="3"/>
      <c r="E918" s="3"/>
      <c r="F918" s="3"/>
    </row>
    <row r="919" spans="1:6" ht="12.75" x14ac:dyDescent="0.2">
      <c r="A919" s="3"/>
      <c r="B919" s="3"/>
      <c r="C919" s="3"/>
      <c r="D919" s="3"/>
      <c r="E919" s="3"/>
      <c r="F919" s="3"/>
    </row>
    <row r="920" spans="1:6" ht="12.75" x14ac:dyDescent="0.2">
      <c r="A920" s="3"/>
      <c r="B920" s="3"/>
      <c r="C920" s="3"/>
      <c r="D920" s="3"/>
      <c r="E920" s="3"/>
      <c r="F920" s="3"/>
    </row>
    <row r="921" spans="1:6" ht="12.75" x14ac:dyDescent="0.2">
      <c r="A921" s="3"/>
      <c r="B921" s="3"/>
      <c r="C921" s="3"/>
      <c r="D921" s="3"/>
      <c r="E921" s="3"/>
      <c r="F921" s="3"/>
    </row>
    <row r="922" spans="1:6" ht="12.75" x14ac:dyDescent="0.2">
      <c r="A922" s="3"/>
      <c r="B922" s="3"/>
      <c r="C922" s="3"/>
      <c r="D922" s="3"/>
      <c r="E922" s="3"/>
      <c r="F922" s="3"/>
    </row>
    <row r="923" spans="1:6" ht="12.75" x14ac:dyDescent="0.2">
      <c r="A923" s="3"/>
      <c r="B923" s="3"/>
      <c r="C923" s="3"/>
      <c r="D923" s="3"/>
      <c r="E923" s="3"/>
      <c r="F923" s="3"/>
    </row>
    <row r="924" spans="1:6" ht="12.75" x14ac:dyDescent="0.2">
      <c r="A924" s="3"/>
      <c r="B924" s="3"/>
      <c r="C924" s="3"/>
      <c r="D924" s="3"/>
      <c r="E924" s="3"/>
      <c r="F924" s="3"/>
    </row>
    <row r="925" spans="1:6" ht="12.75" x14ac:dyDescent="0.2">
      <c r="A925" s="3"/>
      <c r="B925" s="3"/>
      <c r="C925" s="3"/>
      <c r="D925" s="3"/>
      <c r="E925" s="3"/>
      <c r="F925" s="3"/>
    </row>
    <row r="926" spans="1:6" ht="12.75" x14ac:dyDescent="0.2">
      <c r="A926" s="3"/>
      <c r="B926" s="3"/>
      <c r="C926" s="3"/>
      <c r="D926" s="3"/>
      <c r="E926" s="3"/>
      <c r="F926" s="3"/>
    </row>
    <row r="927" spans="1:6" ht="12.75" x14ac:dyDescent="0.2">
      <c r="A927" s="3"/>
      <c r="B927" s="3"/>
      <c r="C927" s="3"/>
      <c r="D927" s="3"/>
      <c r="E927" s="3"/>
      <c r="F927" s="3"/>
    </row>
    <row r="928" spans="1:6" ht="12.75" x14ac:dyDescent="0.2">
      <c r="A928" s="3"/>
      <c r="B928" s="3"/>
      <c r="C928" s="3"/>
      <c r="D928" s="3"/>
      <c r="E928" s="3"/>
      <c r="F928" s="3"/>
    </row>
    <row r="929" spans="1:6" ht="12.75" x14ac:dyDescent="0.2">
      <c r="A929" s="3"/>
      <c r="B929" s="3"/>
      <c r="C929" s="3"/>
      <c r="D929" s="3"/>
      <c r="E929" s="3"/>
      <c r="F929" s="3"/>
    </row>
    <row r="930" spans="1:6" ht="12.75" x14ac:dyDescent="0.2">
      <c r="A930" s="3"/>
      <c r="B930" s="3"/>
      <c r="C930" s="3"/>
      <c r="D930" s="3"/>
      <c r="E930" s="3"/>
      <c r="F930" s="3"/>
    </row>
    <row r="931" spans="1:6" ht="12.75" x14ac:dyDescent="0.2">
      <c r="A931" s="3"/>
      <c r="B931" s="3"/>
      <c r="C931" s="3"/>
      <c r="D931" s="3"/>
      <c r="E931" s="3"/>
      <c r="F931" s="3"/>
    </row>
    <row r="932" spans="1:6" ht="12.75" x14ac:dyDescent="0.2">
      <c r="A932" s="3"/>
      <c r="B932" s="3"/>
      <c r="C932" s="3"/>
      <c r="D932" s="3"/>
      <c r="E932" s="3"/>
      <c r="F932" s="3"/>
    </row>
    <row r="933" spans="1:6" ht="12.75" x14ac:dyDescent="0.2">
      <c r="A933" s="3"/>
      <c r="B933" s="3"/>
      <c r="C933" s="3"/>
      <c r="D933" s="3"/>
      <c r="E933" s="3"/>
      <c r="F933" s="3"/>
    </row>
    <row r="934" spans="1:6" ht="12.75" x14ac:dyDescent="0.2">
      <c r="A934" s="3"/>
      <c r="B934" s="3"/>
      <c r="C934" s="3"/>
      <c r="D934" s="3"/>
      <c r="E934" s="3"/>
      <c r="F934" s="3"/>
    </row>
    <row r="935" spans="1:6" ht="12.75" x14ac:dyDescent="0.2">
      <c r="A935" s="3"/>
      <c r="B935" s="3"/>
      <c r="C935" s="3"/>
      <c r="D935" s="3"/>
      <c r="E935" s="3"/>
      <c r="F935" s="3"/>
    </row>
    <row r="936" spans="1:6" ht="12.75" x14ac:dyDescent="0.2">
      <c r="A936" s="3"/>
      <c r="B936" s="3"/>
      <c r="C936" s="3"/>
      <c r="D936" s="3"/>
      <c r="E936" s="3"/>
      <c r="F936" s="3"/>
    </row>
    <row r="937" spans="1:6" ht="12.75" x14ac:dyDescent="0.2">
      <c r="A937" s="3"/>
      <c r="B937" s="3"/>
      <c r="C937" s="3"/>
      <c r="D937" s="3"/>
      <c r="E937" s="3"/>
      <c r="F937" s="3"/>
    </row>
    <row r="938" spans="1:6" ht="12.75" x14ac:dyDescent="0.2">
      <c r="A938" s="3"/>
      <c r="B938" s="3"/>
      <c r="C938" s="3"/>
      <c r="D938" s="3"/>
      <c r="E938" s="3"/>
      <c r="F938" s="3"/>
    </row>
    <row r="939" spans="1:6" ht="12.75" x14ac:dyDescent="0.2">
      <c r="A939" s="3"/>
      <c r="B939" s="3"/>
      <c r="C939" s="3"/>
      <c r="D939" s="3"/>
      <c r="E939" s="3"/>
      <c r="F939" s="3"/>
    </row>
    <row r="940" spans="1:6" ht="12.75" x14ac:dyDescent="0.2">
      <c r="A940" s="3"/>
      <c r="B940" s="3"/>
      <c r="C940" s="3"/>
      <c r="D940" s="3"/>
      <c r="E940" s="3"/>
      <c r="F940" s="3"/>
    </row>
    <row r="941" spans="1:6" ht="12.75" x14ac:dyDescent="0.2">
      <c r="A941" s="3"/>
      <c r="B941" s="3"/>
      <c r="C941" s="3"/>
      <c r="D941" s="3"/>
      <c r="E941" s="3"/>
      <c r="F941" s="3"/>
    </row>
    <row r="942" spans="1:6" ht="12.75" x14ac:dyDescent="0.2">
      <c r="A942" s="3"/>
      <c r="B942" s="3"/>
      <c r="C942" s="3"/>
      <c r="D942" s="3"/>
      <c r="E942" s="3"/>
      <c r="F942" s="3"/>
    </row>
    <row r="943" spans="1:6" ht="12.75" x14ac:dyDescent="0.2">
      <c r="A943" s="3"/>
      <c r="B943" s="3"/>
      <c r="C943" s="3"/>
      <c r="D943" s="3"/>
      <c r="E943" s="3"/>
      <c r="F943" s="3"/>
    </row>
    <row r="944" spans="1:6" ht="12.75" x14ac:dyDescent="0.2">
      <c r="A944" s="3"/>
      <c r="B944" s="3"/>
      <c r="C944" s="3"/>
      <c r="D944" s="3"/>
      <c r="E944" s="3"/>
      <c r="F944" s="3"/>
    </row>
    <row r="945" spans="1:6" ht="12.75" x14ac:dyDescent="0.2">
      <c r="A945" s="3"/>
      <c r="B945" s="3"/>
      <c r="C945" s="3"/>
      <c r="D945" s="3"/>
      <c r="E945" s="3"/>
      <c r="F945" s="3"/>
    </row>
    <row r="946" spans="1:6" ht="12.75" x14ac:dyDescent="0.2">
      <c r="A946" s="3"/>
      <c r="B946" s="3"/>
      <c r="C946" s="3"/>
      <c r="D946" s="3"/>
      <c r="E946" s="3"/>
      <c r="F946" s="3"/>
    </row>
    <row r="947" spans="1:6" ht="12.75" x14ac:dyDescent="0.2">
      <c r="A947" s="3"/>
      <c r="B947" s="3"/>
      <c r="C947" s="3"/>
      <c r="D947" s="3"/>
      <c r="E947" s="3"/>
      <c r="F947" s="3"/>
    </row>
    <row r="948" spans="1:6" ht="12.75" x14ac:dyDescent="0.2">
      <c r="A948" s="3"/>
      <c r="B948" s="3"/>
      <c r="C948" s="3"/>
      <c r="D948" s="3"/>
      <c r="E948" s="3"/>
      <c r="F948" s="3"/>
    </row>
    <row r="949" spans="1:6" ht="12.75" x14ac:dyDescent="0.2">
      <c r="A949" s="3"/>
      <c r="B949" s="3"/>
      <c r="C949" s="3"/>
      <c r="D949" s="3"/>
      <c r="E949" s="3"/>
      <c r="F949" s="3"/>
    </row>
    <row r="950" spans="1:6" ht="12.75" x14ac:dyDescent="0.2">
      <c r="A950" s="3"/>
      <c r="B950" s="3"/>
      <c r="C950" s="3"/>
      <c r="D950" s="3"/>
      <c r="E950" s="3"/>
      <c r="F950" s="3"/>
    </row>
    <row r="951" spans="1:6" ht="12.75" x14ac:dyDescent="0.2">
      <c r="A951" s="3"/>
      <c r="B951" s="3"/>
      <c r="C951" s="3"/>
      <c r="D951" s="3"/>
      <c r="E951" s="3"/>
      <c r="F951" s="3"/>
    </row>
    <row r="952" spans="1:6" ht="12.75" x14ac:dyDescent="0.2">
      <c r="A952" s="3"/>
      <c r="B952" s="3"/>
      <c r="C952" s="3"/>
      <c r="D952" s="3"/>
      <c r="E952" s="3"/>
      <c r="F952" s="3"/>
    </row>
    <row r="953" spans="1:6" ht="12.75" x14ac:dyDescent="0.2">
      <c r="A953" s="3"/>
      <c r="B953" s="3"/>
      <c r="C953" s="3"/>
      <c r="D953" s="3"/>
      <c r="E953" s="3"/>
      <c r="F953" s="3"/>
    </row>
    <row r="954" spans="1:6" ht="12.75" x14ac:dyDescent="0.2">
      <c r="A954" s="3"/>
      <c r="B954" s="3"/>
      <c r="C954" s="3"/>
      <c r="D954" s="3"/>
      <c r="E954" s="3"/>
      <c r="F954" s="3"/>
    </row>
    <row r="955" spans="1:6" ht="12.75" x14ac:dyDescent="0.2">
      <c r="A955" s="3"/>
      <c r="B955" s="3"/>
      <c r="C955" s="3"/>
      <c r="D955" s="3"/>
      <c r="E955" s="3"/>
      <c r="F955" s="3"/>
    </row>
    <row r="956" spans="1:6" ht="12.75" x14ac:dyDescent="0.2">
      <c r="A956" s="3"/>
      <c r="B956" s="3"/>
      <c r="C956" s="3"/>
      <c r="D956" s="3"/>
      <c r="E956" s="3"/>
      <c r="F956" s="3"/>
    </row>
    <row r="957" spans="1:6" ht="12.75" x14ac:dyDescent="0.2">
      <c r="A957" s="3"/>
      <c r="B957" s="3"/>
      <c r="C957" s="3"/>
      <c r="D957" s="3"/>
      <c r="E957" s="3"/>
      <c r="F957" s="3"/>
    </row>
    <row r="958" spans="1:6" ht="12.75" x14ac:dyDescent="0.2">
      <c r="A958" s="3"/>
      <c r="B958" s="3"/>
      <c r="C958" s="3"/>
      <c r="D958" s="3"/>
      <c r="E958" s="3"/>
      <c r="F958" s="3"/>
    </row>
    <row r="959" spans="1:6" ht="12.75" x14ac:dyDescent="0.2">
      <c r="A959" s="3"/>
      <c r="B959" s="3"/>
      <c r="C959" s="3"/>
      <c r="D959" s="3"/>
      <c r="E959" s="3"/>
      <c r="F959" s="3"/>
    </row>
    <row r="960" spans="1:6" ht="12.75" x14ac:dyDescent="0.2">
      <c r="A960" s="3"/>
      <c r="B960" s="3"/>
      <c r="C960" s="3"/>
      <c r="D960" s="3"/>
      <c r="E960" s="3"/>
      <c r="F960" s="3"/>
    </row>
    <row r="961" spans="1:6" ht="12.75" x14ac:dyDescent="0.2">
      <c r="A961" s="3"/>
      <c r="B961" s="3"/>
      <c r="C961" s="3"/>
      <c r="D961" s="3"/>
      <c r="E961" s="3"/>
      <c r="F961" s="3"/>
    </row>
    <row r="962" spans="1:6" ht="12.75" x14ac:dyDescent="0.2">
      <c r="A962" s="3"/>
      <c r="B962" s="3"/>
      <c r="C962" s="3"/>
      <c r="D962" s="3"/>
      <c r="E962" s="3"/>
      <c r="F962" s="3"/>
    </row>
    <row r="963" spans="1:6" ht="12.75" x14ac:dyDescent="0.2">
      <c r="A963" s="3"/>
      <c r="B963" s="3"/>
      <c r="C963" s="3"/>
      <c r="D963" s="3"/>
      <c r="E963" s="3"/>
      <c r="F963" s="3"/>
    </row>
    <row r="964" spans="1:6" ht="12.75" x14ac:dyDescent="0.2">
      <c r="A964" s="3"/>
      <c r="B964" s="3"/>
      <c r="C964" s="3"/>
      <c r="D964" s="3"/>
      <c r="E964" s="3"/>
      <c r="F964" s="3"/>
    </row>
    <row r="965" spans="1:6" ht="12.75" x14ac:dyDescent="0.2">
      <c r="A965" s="3"/>
      <c r="B965" s="3"/>
      <c r="C965" s="3"/>
      <c r="D965" s="3"/>
      <c r="E965" s="3"/>
      <c r="F965" s="3"/>
    </row>
    <row r="966" spans="1:6" ht="12.75" x14ac:dyDescent="0.2">
      <c r="A966" s="3"/>
      <c r="B966" s="3"/>
      <c r="C966" s="3"/>
      <c r="D966" s="3"/>
      <c r="E966" s="3"/>
      <c r="F966" s="3"/>
    </row>
    <row r="967" spans="1:6" ht="12.75" x14ac:dyDescent="0.2">
      <c r="A967" s="3"/>
      <c r="B967" s="3"/>
      <c r="C967" s="3"/>
      <c r="D967" s="3"/>
      <c r="E967" s="3"/>
      <c r="F967" s="3"/>
    </row>
    <row r="968" spans="1:6" ht="12.75" x14ac:dyDescent="0.2">
      <c r="A968" s="3"/>
      <c r="B968" s="3"/>
      <c r="C968" s="3"/>
      <c r="D968" s="3"/>
      <c r="E968" s="3"/>
      <c r="F968" s="3"/>
    </row>
    <row r="969" spans="1:6" ht="12.75" x14ac:dyDescent="0.2">
      <c r="A969" s="3"/>
      <c r="B969" s="3"/>
      <c r="C969" s="3"/>
      <c r="D969" s="3"/>
      <c r="E969" s="3"/>
      <c r="F969" s="3"/>
    </row>
    <row r="970" spans="1:6" ht="12.75" x14ac:dyDescent="0.2">
      <c r="A970" s="3"/>
      <c r="B970" s="3"/>
      <c r="C970" s="3"/>
      <c r="D970" s="3"/>
      <c r="E970" s="3"/>
      <c r="F970" s="3"/>
    </row>
    <row r="971" spans="1:6" ht="12.75" x14ac:dyDescent="0.2">
      <c r="A971" s="3"/>
      <c r="B971" s="3"/>
      <c r="C971" s="3"/>
      <c r="D971" s="3"/>
      <c r="E971" s="3"/>
      <c r="F971" s="3"/>
    </row>
    <row r="972" spans="1:6" ht="12.75" x14ac:dyDescent="0.2">
      <c r="A972" s="3"/>
      <c r="B972" s="3"/>
      <c r="C972" s="3"/>
      <c r="D972" s="3"/>
      <c r="E972" s="3"/>
      <c r="F972" s="3"/>
    </row>
    <row r="973" spans="1:6" ht="12.75" x14ac:dyDescent="0.2">
      <c r="A973" s="3"/>
      <c r="B973" s="3"/>
      <c r="C973" s="3"/>
      <c r="D973" s="3"/>
      <c r="E973" s="3"/>
      <c r="F973" s="3"/>
    </row>
    <row r="974" spans="1:6" ht="12.75" x14ac:dyDescent="0.2">
      <c r="A974" s="3"/>
      <c r="B974" s="3"/>
      <c r="C974" s="3"/>
      <c r="D974" s="3"/>
      <c r="E974" s="3"/>
      <c r="F974" s="3"/>
    </row>
    <row r="975" spans="1:6" ht="12.75" x14ac:dyDescent="0.2">
      <c r="A975" s="3"/>
      <c r="B975" s="3"/>
      <c r="C975" s="3"/>
      <c r="D975" s="3"/>
      <c r="E975" s="3"/>
      <c r="F975" s="3"/>
    </row>
    <row r="976" spans="1:6" ht="12.75" x14ac:dyDescent="0.2">
      <c r="A976" s="3"/>
      <c r="B976" s="3"/>
      <c r="C976" s="3"/>
      <c r="D976" s="3"/>
      <c r="E976" s="3"/>
      <c r="F976" s="3"/>
    </row>
    <row r="977" spans="1:6" ht="12.75" x14ac:dyDescent="0.2">
      <c r="A977" s="3"/>
      <c r="B977" s="3"/>
      <c r="C977" s="3"/>
      <c r="D977" s="3"/>
      <c r="E977" s="3"/>
      <c r="F977" s="3"/>
    </row>
    <row r="978" spans="1:6" ht="12.75" x14ac:dyDescent="0.2">
      <c r="A978" s="3"/>
      <c r="B978" s="3"/>
      <c r="C978" s="3"/>
      <c r="D978" s="3"/>
      <c r="E978" s="3"/>
      <c r="F978" s="3"/>
    </row>
    <row r="979" spans="1:6" ht="12.75" x14ac:dyDescent="0.2">
      <c r="A979" s="3"/>
      <c r="B979" s="3"/>
      <c r="C979" s="3"/>
      <c r="D979" s="3"/>
      <c r="E979" s="3"/>
      <c r="F979" s="3"/>
    </row>
    <row r="980" spans="1:6" ht="12.75" x14ac:dyDescent="0.2">
      <c r="A980" s="3"/>
      <c r="B980" s="3"/>
      <c r="C980" s="3"/>
      <c r="D980" s="3"/>
      <c r="E980" s="3"/>
      <c r="F980" s="3"/>
    </row>
    <row r="981" spans="1:6" ht="12.75" x14ac:dyDescent="0.2">
      <c r="A981" s="3"/>
      <c r="B981" s="3"/>
      <c r="C981" s="3"/>
      <c r="D981" s="3"/>
      <c r="E981" s="3"/>
      <c r="F981" s="3"/>
    </row>
    <row r="982" spans="1:6" ht="12.75" x14ac:dyDescent="0.2">
      <c r="A982" s="3"/>
      <c r="B982" s="3"/>
      <c r="C982" s="3"/>
      <c r="D982" s="3"/>
      <c r="E982" s="3"/>
      <c r="F982" s="3"/>
    </row>
    <row r="983" spans="1:6" ht="12.75" x14ac:dyDescent="0.2">
      <c r="A983" s="3"/>
      <c r="B983" s="3"/>
      <c r="C983" s="3"/>
      <c r="D983" s="3"/>
      <c r="E983" s="3"/>
      <c r="F983" s="3"/>
    </row>
    <row r="984" spans="1:6" ht="12.75" x14ac:dyDescent="0.2">
      <c r="A984" s="3"/>
      <c r="B984" s="3"/>
      <c r="C984" s="3"/>
      <c r="D984" s="3"/>
      <c r="E984" s="3"/>
      <c r="F984" s="3"/>
    </row>
    <row r="985" spans="1:6" ht="12.75" x14ac:dyDescent="0.2">
      <c r="A985" s="3"/>
      <c r="B985" s="3"/>
      <c r="C985" s="3"/>
      <c r="D985" s="3"/>
      <c r="E985" s="3"/>
      <c r="F985" s="3"/>
    </row>
    <row r="986" spans="1:6" ht="12.75" x14ac:dyDescent="0.2">
      <c r="A986" s="3"/>
      <c r="B986" s="3"/>
      <c r="C986" s="3"/>
      <c r="D986" s="3"/>
      <c r="E986" s="3"/>
      <c r="F986" s="3"/>
    </row>
    <row r="987" spans="1:6" ht="12.75" x14ac:dyDescent="0.2">
      <c r="A987" s="3"/>
      <c r="B987" s="3"/>
      <c r="C987" s="3"/>
      <c r="D987" s="3"/>
      <c r="E987" s="3"/>
      <c r="F987" s="3"/>
    </row>
    <row r="988" spans="1:6" ht="12.75" x14ac:dyDescent="0.2">
      <c r="A988" s="3"/>
      <c r="B988" s="3"/>
      <c r="C988" s="3"/>
      <c r="D988" s="3"/>
      <c r="E988" s="3"/>
      <c r="F988" s="3"/>
    </row>
    <row r="989" spans="1:6" ht="12.75" x14ac:dyDescent="0.2">
      <c r="A989" s="3"/>
      <c r="B989" s="3"/>
      <c r="C989" s="3"/>
      <c r="D989" s="3"/>
      <c r="E989" s="3"/>
      <c r="F989" s="3"/>
    </row>
    <row r="990" spans="1:6" ht="12.75" x14ac:dyDescent="0.2">
      <c r="A990" s="3"/>
      <c r="B990" s="3"/>
      <c r="C990" s="3"/>
      <c r="D990" s="3"/>
      <c r="E990" s="3"/>
      <c r="F990" s="3"/>
    </row>
    <row r="991" spans="1:6" ht="12.75" x14ac:dyDescent="0.2">
      <c r="A991" s="3"/>
      <c r="B991" s="3"/>
      <c r="C991" s="3"/>
      <c r="D991" s="3"/>
      <c r="E991" s="3"/>
      <c r="F991" s="3"/>
    </row>
    <row r="992" spans="1:6" ht="12.75" x14ac:dyDescent="0.2">
      <c r="A992" s="3"/>
      <c r="B992" s="3"/>
      <c r="C992" s="3"/>
      <c r="D992" s="3"/>
      <c r="E992" s="3"/>
      <c r="F992" s="3"/>
    </row>
    <row r="993" spans="1:6" ht="12.75" x14ac:dyDescent="0.2">
      <c r="A993" s="3"/>
      <c r="B993" s="3"/>
      <c r="C993" s="3"/>
      <c r="D993" s="3"/>
      <c r="E993" s="3"/>
      <c r="F993" s="3"/>
    </row>
    <row r="994" spans="1:6" ht="12.75" x14ac:dyDescent="0.2">
      <c r="A994" s="3"/>
      <c r="B994" s="3"/>
      <c r="C994" s="3"/>
      <c r="D994" s="3"/>
      <c r="E994" s="3"/>
      <c r="F994" s="3"/>
    </row>
    <row r="995" spans="1:6" ht="12.75" x14ac:dyDescent="0.2">
      <c r="A995" s="3"/>
      <c r="B995" s="3"/>
      <c r="C995" s="3"/>
      <c r="D995" s="3"/>
      <c r="E995" s="3"/>
      <c r="F995" s="3"/>
    </row>
    <row r="996" spans="1:6" ht="12.75" x14ac:dyDescent="0.2">
      <c r="A996" s="3"/>
      <c r="B996" s="3"/>
      <c r="C996" s="3"/>
      <c r="D996" s="3"/>
      <c r="E996" s="3"/>
      <c r="F996" s="3"/>
    </row>
    <row r="997" spans="1:6" ht="12.75" x14ac:dyDescent="0.2">
      <c r="A997" s="3"/>
      <c r="B997" s="3"/>
      <c r="C997" s="3"/>
      <c r="D997" s="3"/>
      <c r="E997" s="3"/>
      <c r="F997" s="3"/>
    </row>
    <row r="998" spans="1:6" ht="12.75" x14ac:dyDescent="0.2">
      <c r="A998" s="3"/>
      <c r="B998" s="3"/>
      <c r="C998" s="3"/>
      <c r="D998" s="3"/>
      <c r="E998" s="3"/>
      <c r="F998" s="3"/>
    </row>
    <row r="999" spans="1:6" ht="12.75" x14ac:dyDescent="0.2">
      <c r="A999" s="3"/>
      <c r="B999" s="3"/>
      <c r="C999" s="3"/>
      <c r="D999" s="3"/>
      <c r="E999" s="3"/>
      <c r="F999" s="3"/>
    </row>
    <row r="1000" spans="1:6" ht="12.75" x14ac:dyDescent="0.2">
      <c r="A1000" s="3"/>
      <c r="B1000" s="3"/>
      <c r="C1000" s="3"/>
      <c r="D1000" s="3"/>
      <c r="E1000" s="3"/>
      <c r="F1000" s="3"/>
    </row>
  </sheetData>
  <hyperlinks>
    <hyperlink ref="D4" r:id="rId1" display="http://chem.sis.nlm.nih.gov/chemidplus/"/>
    <hyperlink ref="D5" r:id="rId2" display="http://www.syrres.com/what-we-do/databaseforms.aspx?id=386"/>
    <hyperlink ref="C32" r:id="rI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F1017"/>
  <sheetViews>
    <sheetView workbookViewId="0"/>
  </sheetViews>
  <sheetFormatPr defaultColWidth="17.28515625" defaultRowHeight="15" customHeight="1" x14ac:dyDescent="0.2"/>
  <cols>
    <col min="1" max="6" width="17.28515625" style="72" customWidth="1"/>
    <col min="7" max="16384" width="17.28515625" style="72"/>
  </cols>
  <sheetData>
    <row r="1" spans="1:6" ht="15" customHeight="1" x14ac:dyDescent="0.2">
      <c r="A1" s="505" t="s">
        <v>0</v>
      </c>
      <c r="B1" s="322"/>
      <c r="C1" s="322"/>
      <c r="D1" s="322"/>
      <c r="E1" s="322"/>
      <c r="F1" s="322"/>
    </row>
    <row r="2" spans="1:6" ht="15" customHeight="1" x14ac:dyDescent="0.2">
      <c r="A2" s="323" t="s">
        <v>2</v>
      </c>
      <c r="B2" s="322"/>
      <c r="C2" s="322"/>
      <c r="D2" s="322"/>
      <c r="E2" s="322"/>
      <c r="F2" s="322"/>
    </row>
    <row r="3" spans="1:6" ht="15" customHeight="1" x14ac:dyDescent="0.2">
      <c r="A3" s="323" t="s">
        <v>10</v>
      </c>
      <c r="B3" s="322"/>
      <c r="C3" s="322"/>
      <c r="D3" s="322"/>
      <c r="E3" s="322"/>
      <c r="F3" s="322"/>
    </row>
    <row r="4" spans="1:6" ht="15" customHeight="1" x14ac:dyDescent="0.2">
      <c r="A4" s="323" t="s">
        <v>11</v>
      </c>
      <c r="B4" s="322"/>
      <c r="C4" s="322"/>
      <c r="D4" s="322"/>
      <c r="E4" s="322"/>
      <c r="F4" s="322"/>
    </row>
    <row r="5" spans="1:6" ht="15" customHeight="1" x14ac:dyDescent="0.2">
      <c r="A5" s="323" t="s">
        <v>12</v>
      </c>
      <c r="B5" s="322"/>
      <c r="C5" s="322"/>
      <c r="D5" s="322"/>
      <c r="E5" s="322"/>
      <c r="F5" s="322"/>
    </row>
    <row r="6" spans="1:6" ht="15" customHeight="1" x14ac:dyDescent="0.2">
      <c r="A6" s="323" t="s">
        <v>13</v>
      </c>
      <c r="B6" s="322"/>
      <c r="C6" s="322"/>
      <c r="D6" s="322"/>
      <c r="E6" s="322"/>
      <c r="F6" s="322"/>
    </row>
    <row r="7" spans="1:6" ht="15" customHeight="1" x14ac:dyDescent="0.2">
      <c r="A7" s="323" t="s">
        <v>14</v>
      </c>
      <c r="B7" s="322"/>
      <c r="C7" s="322"/>
      <c r="D7" s="322"/>
      <c r="E7" s="322"/>
      <c r="F7" s="322"/>
    </row>
    <row r="8" spans="1:6" ht="15" customHeight="1" x14ac:dyDescent="0.2">
      <c r="A8" s="323" t="s">
        <v>15</v>
      </c>
      <c r="B8" s="322"/>
      <c r="C8" s="322"/>
      <c r="D8" s="322"/>
      <c r="E8" s="322"/>
      <c r="F8" s="322"/>
    </row>
    <row r="9" spans="1:6" ht="15" customHeight="1" x14ac:dyDescent="0.2">
      <c r="A9" s="323" t="s">
        <v>16</v>
      </c>
      <c r="B9" s="322"/>
      <c r="C9" s="322"/>
      <c r="D9" s="322"/>
      <c r="E9" s="322"/>
      <c r="F9" s="322"/>
    </row>
    <row r="10" spans="1:6" ht="15" customHeight="1" x14ac:dyDescent="0.2">
      <c r="A10" s="323" t="s">
        <v>17</v>
      </c>
      <c r="B10" s="322"/>
      <c r="C10" s="322"/>
      <c r="D10" s="322"/>
      <c r="E10" s="322"/>
      <c r="F10" s="322"/>
    </row>
    <row r="11" spans="1:6" ht="15" customHeight="1" x14ac:dyDescent="0.2">
      <c r="A11" s="323" t="s">
        <v>18</v>
      </c>
      <c r="B11" s="322"/>
      <c r="C11" s="322"/>
      <c r="D11" s="322"/>
      <c r="E11" s="322"/>
      <c r="F11" s="322"/>
    </row>
    <row r="12" spans="1:6" ht="15" customHeight="1" x14ac:dyDescent="0.2">
      <c r="A12" s="323" t="s">
        <v>19</v>
      </c>
      <c r="B12" s="322"/>
      <c r="C12" s="322"/>
      <c r="D12" s="322"/>
      <c r="E12" s="322"/>
      <c r="F12" s="322"/>
    </row>
    <row r="13" spans="1:6" ht="15" customHeight="1" x14ac:dyDescent="0.2">
      <c r="A13" s="323" t="s">
        <v>6363</v>
      </c>
      <c r="B13" s="322"/>
      <c r="C13" s="322"/>
      <c r="D13" s="322"/>
      <c r="E13" s="322"/>
      <c r="F13" s="322"/>
    </row>
    <row r="14" spans="1:6" ht="15" customHeight="1" x14ac:dyDescent="0.2">
      <c r="A14" s="323" t="s">
        <v>20</v>
      </c>
      <c r="B14" s="322"/>
      <c r="C14" s="322"/>
      <c r="D14" s="322"/>
      <c r="E14" s="322"/>
      <c r="F14" s="322"/>
    </row>
    <row r="15" spans="1:6" ht="15" customHeight="1" x14ac:dyDescent="0.2">
      <c r="A15" s="323" t="s">
        <v>21</v>
      </c>
      <c r="B15" s="322"/>
      <c r="C15" s="322"/>
      <c r="D15" s="322"/>
      <c r="E15" s="322"/>
      <c r="F15" s="322"/>
    </row>
    <row r="16" spans="1:6" ht="15" customHeight="1" x14ac:dyDescent="0.2">
      <c r="A16" s="323" t="s">
        <v>22</v>
      </c>
      <c r="B16" s="322"/>
      <c r="C16" s="322"/>
      <c r="D16" s="322"/>
      <c r="E16" s="322"/>
      <c r="F16" s="322"/>
    </row>
    <row r="17" spans="1:6" ht="15" customHeight="1" x14ac:dyDescent="0.2">
      <c r="A17" s="323" t="s">
        <v>23</v>
      </c>
      <c r="B17" s="322"/>
      <c r="C17" s="322"/>
      <c r="D17" s="322"/>
      <c r="E17" s="322"/>
      <c r="F17" s="322"/>
    </row>
    <row r="18" spans="1:6" ht="15" customHeight="1" x14ac:dyDescent="0.2">
      <c r="A18" s="323" t="s">
        <v>24</v>
      </c>
      <c r="B18" s="322"/>
      <c r="C18" s="322"/>
      <c r="D18" s="322"/>
      <c r="E18" s="322"/>
      <c r="F18" s="322"/>
    </row>
    <row r="19" spans="1:6" ht="15" customHeight="1" x14ac:dyDescent="0.2">
      <c r="A19" s="323" t="s">
        <v>5939</v>
      </c>
      <c r="B19" s="322"/>
      <c r="C19" s="322"/>
      <c r="D19" s="322"/>
      <c r="E19" s="322"/>
      <c r="F19" s="322"/>
    </row>
    <row r="20" spans="1:6" ht="15" customHeight="1" x14ac:dyDescent="0.2">
      <c r="A20" s="323" t="s">
        <v>25</v>
      </c>
      <c r="B20" s="322"/>
      <c r="C20" s="322"/>
      <c r="D20" s="322"/>
      <c r="E20" s="322"/>
      <c r="F20" s="322"/>
    </row>
    <row r="21" spans="1:6" ht="15" customHeight="1" x14ac:dyDescent="0.2">
      <c r="A21" s="323" t="s">
        <v>27</v>
      </c>
      <c r="B21" s="322"/>
      <c r="C21" s="322"/>
      <c r="D21" s="322"/>
      <c r="E21" s="322"/>
      <c r="F21" s="322"/>
    </row>
    <row r="22" spans="1:6" ht="15" customHeight="1" x14ac:dyDescent="0.2">
      <c r="A22" s="323" t="s">
        <v>28</v>
      </c>
      <c r="B22" s="322"/>
      <c r="C22" s="322"/>
      <c r="D22" s="322"/>
      <c r="E22" s="322"/>
      <c r="F22" s="322"/>
    </row>
    <row r="23" spans="1:6" ht="15" customHeight="1" x14ac:dyDescent="0.2">
      <c r="A23" s="323" t="s">
        <v>6254</v>
      </c>
      <c r="B23" s="322"/>
      <c r="C23" s="322"/>
      <c r="D23" s="322"/>
      <c r="E23" s="322"/>
      <c r="F23" s="322"/>
    </row>
    <row r="24" spans="1:6" ht="15" customHeight="1" x14ac:dyDescent="0.2">
      <c r="A24" s="323" t="s">
        <v>6252</v>
      </c>
      <c r="B24" s="322"/>
      <c r="C24" s="322"/>
      <c r="D24" s="322"/>
      <c r="E24" s="322"/>
      <c r="F24" s="322"/>
    </row>
    <row r="25" spans="1:6" ht="15" customHeight="1" x14ac:dyDescent="0.2">
      <c r="A25" s="323" t="s">
        <v>29</v>
      </c>
      <c r="B25" s="322"/>
      <c r="C25" s="322"/>
      <c r="D25" s="322"/>
      <c r="E25" s="322"/>
      <c r="F25" s="322"/>
    </row>
    <row r="26" spans="1:6" ht="15" customHeight="1" x14ac:dyDescent="0.2">
      <c r="A26" s="323" t="s">
        <v>30</v>
      </c>
      <c r="B26" s="322"/>
      <c r="C26" s="322"/>
      <c r="D26" s="322"/>
      <c r="E26" s="322"/>
      <c r="F26" s="322"/>
    </row>
    <row r="27" spans="1:6" ht="15" customHeight="1" x14ac:dyDescent="0.2">
      <c r="A27" s="323" t="s">
        <v>31</v>
      </c>
      <c r="B27" s="322"/>
      <c r="C27" s="322"/>
      <c r="D27" s="322"/>
      <c r="E27" s="322"/>
      <c r="F27" s="322"/>
    </row>
    <row r="28" spans="1:6" ht="15" customHeight="1" x14ac:dyDescent="0.2">
      <c r="A28" s="323" t="s">
        <v>32</v>
      </c>
      <c r="B28" s="322"/>
      <c r="C28" s="322"/>
      <c r="D28" s="322"/>
      <c r="E28" s="322"/>
      <c r="F28" s="322"/>
    </row>
    <row r="29" spans="1:6" ht="15" customHeight="1" x14ac:dyDescent="0.2">
      <c r="A29" s="323" t="s">
        <v>33</v>
      </c>
      <c r="B29" s="322"/>
      <c r="C29" s="322"/>
      <c r="D29" s="322"/>
      <c r="E29" s="322"/>
      <c r="F29" s="322"/>
    </row>
    <row r="30" spans="1:6" ht="15" customHeight="1" x14ac:dyDescent="0.2">
      <c r="A30" s="323" t="s">
        <v>34</v>
      </c>
      <c r="B30" s="322"/>
      <c r="C30" s="322"/>
      <c r="D30" s="322"/>
      <c r="E30" s="322"/>
      <c r="F30" s="322"/>
    </row>
    <row r="31" spans="1:6" ht="15" customHeight="1" x14ac:dyDescent="0.2">
      <c r="A31" s="323" t="s">
        <v>35</v>
      </c>
      <c r="B31" s="322"/>
      <c r="C31" s="322"/>
      <c r="D31" s="322"/>
      <c r="E31" s="322"/>
      <c r="F31" s="322"/>
    </row>
    <row r="32" spans="1:6" ht="15" customHeight="1" x14ac:dyDescent="0.2">
      <c r="A32" s="323" t="s">
        <v>36</v>
      </c>
      <c r="B32" s="322"/>
      <c r="C32" s="322"/>
      <c r="D32" s="322"/>
      <c r="E32" s="322"/>
      <c r="F32" s="322"/>
    </row>
    <row r="33" spans="1:6" ht="15" customHeight="1" x14ac:dyDescent="0.2">
      <c r="A33" s="323" t="s">
        <v>37</v>
      </c>
      <c r="B33" s="322"/>
      <c r="C33" s="322"/>
      <c r="D33" s="322"/>
      <c r="E33" s="322"/>
      <c r="F33" s="322"/>
    </row>
    <row r="34" spans="1:6" ht="15" customHeight="1" x14ac:dyDescent="0.2">
      <c r="A34" s="323" t="s">
        <v>38</v>
      </c>
      <c r="B34" s="322"/>
      <c r="C34" s="322"/>
      <c r="D34" s="322"/>
      <c r="E34" s="322"/>
      <c r="F34" s="322"/>
    </row>
    <row r="35" spans="1:6" ht="15" customHeight="1" x14ac:dyDescent="0.2">
      <c r="A35" s="323" t="s">
        <v>39</v>
      </c>
      <c r="B35" s="322"/>
      <c r="C35" s="322"/>
      <c r="D35" s="322"/>
      <c r="E35" s="322"/>
      <c r="F35" s="322"/>
    </row>
    <row r="36" spans="1:6" ht="15" customHeight="1" x14ac:dyDescent="0.2">
      <c r="A36" s="323" t="s">
        <v>6271</v>
      </c>
      <c r="B36" s="322"/>
      <c r="C36" s="322"/>
      <c r="D36" s="322"/>
      <c r="E36" s="322"/>
      <c r="F36" s="322"/>
    </row>
    <row r="37" spans="1:6" ht="15" customHeight="1" x14ac:dyDescent="0.2">
      <c r="A37" s="323" t="s">
        <v>40</v>
      </c>
      <c r="B37" s="322"/>
      <c r="C37" s="322"/>
      <c r="D37" s="322"/>
      <c r="E37" s="322"/>
      <c r="F37" s="322"/>
    </row>
    <row r="38" spans="1:6" ht="15" customHeight="1" x14ac:dyDescent="0.2">
      <c r="A38" s="323" t="s">
        <v>41</v>
      </c>
      <c r="B38" s="322"/>
      <c r="C38" s="322"/>
      <c r="D38" s="322"/>
      <c r="E38" s="322"/>
      <c r="F38" s="322"/>
    </row>
    <row r="39" spans="1:6" ht="15" customHeight="1" x14ac:dyDescent="0.2">
      <c r="A39" s="323" t="s">
        <v>42</v>
      </c>
      <c r="B39" s="322"/>
      <c r="C39" s="322"/>
      <c r="D39" s="322"/>
      <c r="E39" s="322"/>
      <c r="F39" s="322"/>
    </row>
    <row r="40" spans="1:6" ht="15" customHeight="1" x14ac:dyDescent="0.2">
      <c r="A40" s="323" t="s">
        <v>6379</v>
      </c>
      <c r="B40" s="322"/>
      <c r="C40" s="322"/>
      <c r="D40" s="322"/>
      <c r="E40" s="322"/>
      <c r="F40" s="322"/>
    </row>
    <row r="41" spans="1:6" ht="15" customHeight="1" x14ac:dyDescent="0.2">
      <c r="A41" s="323" t="s">
        <v>43</v>
      </c>
      <c r="B41" s="322"/>
      <c r="C41" s="322"/>
      <c r="D41" s="322"/>
      <c r="E41" s="322"/>
      <c r="F41" s="322"/>
    </row>
    <row r="42" spans="1:6" ht="12.75" customHeight="1" x14ac:dyDescent="0.2">
      <c r="A42" s="323" t="s">
        <v>44</v>
      </c>
      <c r="B42" s="322"/>
      <c r="C42" s="322"/>
      <c r="D42" s="322"/>
      <c r="E42" s="322"/>
      <c r="F42" s="322"/>
    </row>
    <row r="43" spans="1:6" ht="12.75" customHeight="1" x14ac:dyDescent="0.2">
      <c r="A43" s="323" t="s">
        <v>45</v>
      </c>
      <c r="B43" s="322"/>
      <c r="C43" s="322"/>
      <c r="D43" s="322"/>
      <c r="E43" s="322"/>
      <c r="F43" s="322"/>
    </row>
    <row r="44" spans="1:6" ht="12.75" customHeight="1" x14ac:dyDescent="0.2">
      <c r="A44" s="323" t="s">
        <v>48</v>
      </c>
      <c r="B44" s="322"/>
      <c r="C44" s="322"/>
      <c r="D44" s="322"/>
      <c r="E44" s="322"/>
      <c r="F44" s="322"/>
    </row>
    <row r="45" spans="1:6" ht="12.75" customHeight="1" x14ac:dyDescent="0.2">
      <c r="A45" s="323" t="s">
        <v>49</v>
      </c>
      <c r="B45" s="322"/>
      <c r="C45" s="322"/>
      <c r="D45" s="322"/>
      <c r="E45" s="322"/>
      <c r="F45" s="322"/>
    </row>
    <row r="46" spans="1:6" ht="12.75" customHeight="1" x14ac:dyDescent="0.2">
      <c r="A46" s="323" t="s">
        <v>50</v>
      </c>
      <c r="B46" s="322"/>
      <c r="C46" s="322"/>
      <c r="D46" s="322"/>
      <c r="E46" s="322"/>
      <c r="F46" s="322"/>
    </row>
    <row r="47" spans="1:6" ht="12.75" customHeight="1" x14ac:dyDescent="0.2">
      <c r="A47" s="323" t="s">
        <v>51</v>
      </c>
      <c r="B47" s="322"/>
      <c r="C47" s="322"/>
      <c r="D47" s="322"/>
      <c r="E47" s="322"/>
      <c r="F47" s="322"/>
    </row>
    <row r="48" spans="1:6" ht="12.75" customHeight="1" x14ac:dyDescent="0.2">
      <c r="A48" s="323" t="s">
        <v>52</v>
      </c>
      <c r="B48" s="322"/>
      <c r="C48" s="322"/>
      <c r="D48" s="322"/>
      <c r="E48" s="322"/>
      <c r="F48" s="322"/>
    </row>
    <row r="49" spans="1:6" ht="12.75" customHeight="1" x14ac:dyDescent="0.2">
      <c r="A49" s="323" t="s">
        <v>53</v>
      </c>
      <c r="B49" s="322"/>
      <c r="C49" s="322"/>
      <c r="D49" s="322"/>
      <c r="E49" s="322"/>
      <c r="F49" s="322"/>
    </row>
    <row r="50" spans="1:6" ht="12.75" customHeight="1" x14ac:dyDescent="0.2">
      <c r="A50" s="323" t="s">
        <v>54</v>
      </c>
      <c r="B50" s="322"/>
      <c r="C50" s="322"/>
      <c r="D50" s="322"/>
      <c r="E50" s="322"/>
      <c r="F50" s="322"/>
    </row>
    <row r="51" spans="1:6" ht="12.75" customHeight="1" x14ac:dyDescent="0.2">
      <c r="A51" s="323" t="s">
        <v>56</v>
      </c>
      <c r="B51" s="322"/>
      <c r="C51" s="322"/>
      <c r="D51" s="322"/>
      <c r="E51" s="322"/>
      <c r="F51" s="322"/>
    </row>
    <row r="52" spans="1:6" ht="12.75" customHeight="1" x14ac:dyDescent="0.2">
      <c r="A52" s="323" t="s">
        <v>59</v>
      </c>
      <c r="B52" s="322"/>
      <c r="C52" s="322"/>
      <c r="D52" s="322"/>
      <c r="E52" s="322"/>
      <c r="F52" s="322"/>
    </row>
    <row r="53" spans="1:6" ht="12.75" customHeight="1" x14ac:dyDescent="0.2">
      <c r="A53" s="323" t="s">
        <v>62</v>
      </c>
      <c r="B53" s="322"/>
      <c r="C53" s="322"/>
      <c r="D53" s="322"/>
      <c r="E53" s="322"/>
      <c r="F53" s="322"/>
    </row>
    <row r="54" spans="1:6" ht="12.75" customHeight="1" x14ac:dyDescent="0.2">
      <c r="A54" s="323" t="s">
        <v>65</v>
      </c>
      <c r="B54" s="322"/>
      <c r="C54" s="322"/>
      <c r="D54" s="322"/>
      <c r="E54" s="322"/>
      <c r="F54" s="322"/>
    </row>
    <row r="55" spans="1:6" ht="12.75" customHeight="1" x14ac:dyDescent="0.2">
      <c r="A55" s="323" t="s">
        <v>66</v>
      </c>
      <c r="B55" s="322"/>
      <c r="C55" s="322"/>
      <c r="D55" s="322"/>
      <c r="E55" s="322"/>
      <c r="F55" s="322"/>
    </row>
    <row r="56" spans="1:6" ht="12.75" customHeight="1" x14ac:dyDescent="0.2">
      <c r="A56" s="323" t="s">
        <v>67</v>
      </c>
      <c r="B56" s="322"/>
      <c r="C56" s="322"/>
      <c r="D56" s="322"/>
      <c r="E56" s="322"/>
      <c r="F56" s="322"/>
    </row>
    <row r="57" spans="1:6" ht="12.75" customHeight="1" x14ac:dyDescent="0.2">
      <c r="A57" s="323" t="s">
        <v>68</v>
      </c>
      <c r="B57" s="322"/>
      <c r="C57" s="322"/>
      <c r="D57" s="322"/>
      <c r="E57" s="322"/>
      <c r="F57" s="322"/>
    </row>
    <row r="58" spans="1:6" ht="12.75" customHeight="1" x14ac:dyDescent="0.2">
      <c r="A58" s="323" t="s">
        <v>70</v>
      </c>
      <c r="B58" s="322"/>
      <c r="C58" s="322"/>
      <c r="D58" s="322"/>
      <c r="E58" s="322"/>
      <c r="F58" s="322"/>
    </row>
    <row r="59" spans="1:6" ht="12.75" customHeight="1" x14ac:dyDescent="0.2">
      <c r="A59" s="323" t="s">
        <v>73</v>
      </c>
      <c r="B59" s="322"/>
      <c r="C59" s="322"/>
      <c r="D59" s="322"/>
      <c r="E59" s="322"/>
      <c r="F59" s="322"/>
    </row>
    <row r="60" spans="1:6" ht="12.75" customHeight="1" x14ac:dyDescent="0.2">
      <c r="A60" s="323" t="s">
        <v>6258</v>
      </c>
      <c r="B60" s="322"/>
      <c r="C60" s="322"/>
      <c r="D60" s="322"/>
      <c r="E60" s="322"/>
      <c r="F60" s="322"/>
    </row>
    <row r="61" spans="1:6" ht="12.75" customHeight="1" x14ac:dyDescent="0.2">
      <c r="A61" s="323" t="s">
        <v>76</v>
      </c>
      <c r="B61" s="322"/>
      <c r="C61" s="322"/>
      <c r="D61" s="322"/>
      <c r="E61" s="322"/>
      <c r="F61" s="322"/>
    </row>
    <row r="62" spans="1:6" ht="12.75" customHeight="1" x14ac:dyDescent="0.2">
      <c r="A62" s="323" t="s">
        <v>79</v>
      </c>
      <c r="B62" s="322"/>
      <c r="C62" s="322"/>
      <c r="D62" s="322"/>
      <c r="E62" s="322"/>
      <c r="F62" s="322"/>
    </row>
    <row r="63" spans="1:6" ht="12.75" customHeight="1" x14ac:dyDescent="0.2">
      <c r="A63" s="323" t="s">
        <v>6293</v>
      </c>
      <c r="B63" s="322"/>
      <c r="C63" s="322"/>
      <c r="D63" s="322"/>
      <c r="E63" s="322"/>
      <c r="F63" s="322"/>
    </row>
    <row r="64" spans="1:6" ht="12.75" customHeight="1" x14ac:dyDescent="0.2">
      <c r="A64" s="323" t="s">
        <v>82</v>
      </c>
      <c r="B64" s="322"/>
      <c r="C64" s="322"/>
      <c r="D64" s="322"/>
      <c r="E64" s="322"/>
      <c r="F64" s="322"/>
    </row>
    <row r="65" spans="1:6" ht="12.75" customHeight="1" x14ac:dyDescent="0.2">
      <c r="A65" s="323" t="s">
        <v>84</v>
      </c>
      <c r="B65" s="322"/>
      <c r="C65" s="322"/>
      <c r="D65" s="322"/>
      <c r="E65" s="322"/>
      <c r="F65" s="322"/>
    </row>
    <row r="66" spans="1:6" ht="12.75" customHeight="1" x14ac:dyDescent="0.2">
      <c r="A66" s="323" t="s">
        <v>88</v>
      </c>
      <c r="B66" s="322"/>
      <c r="C66" s="322"/>
      <c r="D66" s="322"/>
      <c r="E66" s="322"/>
      <c r="F66" s="322"/>
    </row>
    <row r="67" spans="1:6" ht="12.75" customHeight="1" x14ac:dyDescent="0.2">
      <c r="A67" s="323" t="s">
        <v>89</v>
      </c>
      <c r="B67" s="322"/>
      <c r="C67" s="322"/>
      <c r="D67" s="322"/>
      <c r="E67" s="322"/>
      <c r="F67" s="322"/>
    </row>
    <row r="68" spans="1:6" ht="12.75" customHeight="1" x14ac:dyDescent="0.2">
      <c r="A68" s="323" t="s">
        <v>92</v>
      </c>
      <c r="B68" s="322"/>
      <c r="C68" s="322"/>
      <c r="D68" s="322"/>
      <c r="E68" s="322"/>
      <c r="F68" s="322"/>
    </row>
    <row r="69" spans="1:6" ht="12.75" customHeight="1" x14ac:dyDescent="0.2">
      <c r="A69" s="323" t="s">
        <v>99</v>
      </c>
      <c r="B69" s="322"/>
      <c r="C69" s="322"/>
      <c r="D69" s="322"/>
      <c r="E69" s="322"/>
      <c r="F69" s="322"/>
    </row>
    <row r="70" spans="1:6" ht="12.75" customHeight="1" x14ac:dyDescent="0.2">
      <c r="A70" s="323" t="s">
        <v>6237</v>
      </c>
      <c r="B70" s="322"/>
      <c r="C70" s="322"/>
      <c r="D70" s="322"/>
      <c r="E70" s="322"/>
      <c r="F70" s="322"/>
    </row>
    <row r="71" spans="1:6" ht="12.75" customHeight="1" x14ac:dyDescent="0.2">
      <c r="A71" s="323" t="s">
        <v>104</v>
      </c>
      <c r="B71" s="322"/>
      <c r="C71" s="322"/>
      <c r="D71" s="322"/>
      <c r="E71" s="322"/>
      <c r="F71" s="322"/>
    </row>
    <row r="72" spans="1:6" ht="12.75" customHeight="1" x14ac:dyDescent="0.2">
      <c r="A72" s="323" t="s">
        <v>110</v>
      </c>
      <c r="B72" s="322"/>
      <c r="C72" s="322"/>
      <c r="D72" s="322"/>
      <c r="E72" s="322"/>
      <c r="F72" s="322"/>
    </row>
    <row r="73" spans="1:6" ht="12.75" customHeight="1" x14ac:dyDescent="0.2">
      <c r="A73" s="323" t="s">
        <v>113</v>
      </c>
      <c r="B73" s="322"/>
      <c r="C73" s="322"/>
      <c r="D73" s="322"/>
      <c r="E73" s="322"/>
      <c r="F73" s="322"/>
    </row>
    <row r="74" spans="1:6" ht="12.75" customHeight="1" x14ac:dyDescent="0.2">
      <c r="A74" s="323" t="s">
        <v>117</v>
      </c>
      <c r="B74" s="322"/>
      <c r="C74" s="322"/>
      <c r="D74" s="322"/>
      <c r="E74" s="322"/>
      <c r="F74" s="322"/>
    </row>
    <row r="75" spans="1:6" ht="12.75" customHeight="1" x14ac:dyDescent="0.2">
      <c r="A75" s="323" t="s">
        <v>121</v>
      </c>
      <c r="B75" s="322"/>
      <c r="C75" s="322"/>
      <c r="D75" s="322"/>
      <c r="E75" s="322"/>
      <c r="F75" s="322"/>
    </row>
    <row r="76" spans="1:6" ht="12.75" customHeight="1" x14ac:dyDescent="0.2">
      <c r="A76" s="323" t="s">
        <v>126</v>
      </c>
      <c r="B76" s="322"/>
      <c r="C76" s="322"/>
      <c r="D76" s="322"/>
      <c r="E76" s="322"/>
      <c r="F76" s="322"/>
    </row>
    <row r="77" spans="1:6" ht="12.75" customHeight="1" x14ac:dyDescent="0.2">
      <c r="A77" s="323" t="s">
        <v>129</v>
      </c>
      <c r="B77" s="322"/>
      <c r="C77" s="322"/>
      <c r="D77" s="322"/>
      <c r="E77" s="322"/>
      <c r="F77" s="322"/>
    </row>
    <row r="78" spans="1:6" ht="12.75" customHeight="1" x14ac:dyDescent="0.2">
      <c r="A78" s="323" t="s">
        <v>130</v>
      </c>
      <c r="B78" s="322"/>
      <c r="C78" s="322"/>
      <c r="D78" s="322"/>
      <c r="E78" s="322"/>
      <c r="F78" s="322"/>
    </row>
    <row r="79" spans="1:6" ht="12.75" customHeight="1" x14ac:dyDescent="0.2">
      <c r="A79" s="323" t="s">
        <v>6287</v>
      </c>
      <c r="B79" s="322"/>
      <c r="C79" s="322"/>
      <c r="D79" s="322"/>
      <c r="E79" s="322"/>
      <c r="F79" s="322"/>
    </row>
    <row r="80" spans="1:6" ht="12.75" customHeight="1" x14ac:dyDescent="0.2">
      <c r="A80" s="323" t="s">
        <v>131</v>
      </c>
      <c r="B80" s="322"/>
      <c r="C80" s="322"/>
      <c r="D80" s="322"/>
      <c r="E80" s="322"/>
      <c r="F80" s="322"/>
    </row>
    <row r="81" spans="1:6" ht="12.75" customHeight="1" x14ac:dyDescent="0.2">
      <c r="A81" s="323" t="s">
        <v>132</v>
      </c>
      <c r="B81" s="322"/>
      <c r="C81" s="322"/>
      <c r="D81" s="322"/>
      <c r="E81" s="322"/>
      <c r="F81" s="322"/>
    </row>
    <row r="82" spans="1:6" ht="12.75" customHeight="1" x14ac:dyDescent="0.2">
      <c r="A82" s="323" t="s">
        <v>133</v>
      </c>
      <c r="B82" s="322"/>
      <c r="C82" s="322"/>
      <c r="D82" s="322"/>
      <c r="E82" s="322"/>
      <c r="F82" s="322"/>
    </row>
    <row r="83" spans="1:6" ht="12.75" customHeight="1" x14ac:dyDescent="0.2">
      <c r="A83" s="323" t="s">
        <v>134</v>
      </c>
      <c r="B83" s="322"/>
      <c r="C83" s="322"/>
      <c r="D83" s="322"/>
      <c r="E83" s="322"/>
      <c r="F83" s="322"/>
    </row>
    <row r="84" spans="1:6" ht="12.75" customHeight="1" x14ac:dyDescent="0.2">
      <c r="A84" s="323" t="s">
        <v>137</v>
      </c>
      <c r="B84" s="322"/>
      <c r="C84" s="322"/>
      <c r="D84" s="322"/>
      <c r="E84" s="322"/>
      <c r="F84" s="322"/>
    </row>
    <row r="85" spans="1:6" ht="12.75" customHeight="1" x14ac:dyDescent="0.2">
      <c r="A85" s="323" t="s">
        <v>138</v>
      </c>
      <c r="B85" s="322"/>
      <c r="C85" s="322"/>
      <c r="D85" s="322"/>
      <c r="E85" s="322"/>
      <c r="F85" s="322"/>
    </row>
    <row r="86" spans="1:6" ht="12.75" customHeight="1" x14ac:dyDescent="0.2">
      <c r="A86" s="323" t="s">
        <v>139</v>
      </c>
      <c r="B86" s="322"/>
      <c r="C86" s="322"/>
      <c r="D86" s="322"/>
      <c r="E86" s="322"/>
      <c r="F86" s="322"/>
    </row>
    <row r="87" spans="1:6" ht="12.75" customHeight="1" x14ac:dyDescent="0.2">
      <c r="A87" s="323" t="s">
        <v>6281</v>
      </c>
      <c r="B87" s="322"/>
      <c r="C87" s="322"/>
      <c r="D87" s="322"/>
      <c r="E87" s="322"/>
      <c r="F87" s="322"/>
    </row>
    <row r="88" spans="1:6" ht="12.75" customHeight="1" x14ac:dyDescent="0.2">
      <c r="A88" s="323" t="s">
        <v>140</v>
      </c>
      <c r="B88" s="322"/>
      <c r="C88" s="322"/>
      <c r="D88" s="322"/>
      <c r="E88" s="322"/>
      <c r="F88" s="322"/>
    </row>
    <row r="89" spans="1:6" ht="12.75" customHeight="1" x14ac:dyDescent="0.2">
      <c r="A89" s="323" t="s">
        <v>142</v>
      </c>
      <c r="B89" s="322"/>
      <c r="C89" s="322"/>
      <c r="D89" s="322"/>
      <c r="E89" s="322"/>
      <c r="F89" s="322"/>
    </row>
    <row r="90" spans="1:6" ht="12.75" customHeight="1" x14ac:dyDescent="0.2">
      <c r="A90" s="323" t="s">
        <v>144</v>
      </c>
      <c r="B90" s="322"/>
      <c r="C90" s="322"/>
      <c r="D90" s="322"/>
      <c r="E90" s="322"/>
      <c r="F90" s="322"/>
    </row>
    <row r="91" spans="1:6" ht="12.75" customHeight="1" x14ac:dyDescent="0.2">
      <c r="A91" s="323" t="s">
        <v>8375</v>
      </c>
      <c r="B91" s="322"/>
      <c r="C91" s="322"/>
      <c r="D91" s="322"/>
      <c r="E91" s="322"/>
      <c r="F91" s="322"/>
    </row>
    <row r="92" spans="1:6" ht="12.75" customHeight="1" x14ac:dyDescent="0.2">
      <c r="A92" s="323" t="s">
        <v>150</v>
      </c>
      <c r="B92" s="322"/>
      <c r="C92" s="322"/>
      <c r="D92" s="322"/>
      <c r="E92" s="322"/>
      <c r="F92" s="322"/>
    </row>
    <row r="93" spans="1:6" ht="12.75" customHeight="1" x14ac:dyDescent="0.2">
      <c r="A93" s="323" t="s">
        <v>154</v>
      </c>
      <c r="B93" s="322"/>
      <c r="C93" s="322"/>
      <c r="D93" s="322"/>
      <c r="E93" s="322"/>
      <c r="F93" s="322"/>
    </row>
    <row r="94" spans="1:6" ht="12.75" customHeight="1" x14ac:dyDescent="0.2">
      <c r="A94" s="323" t="s">
        <v>156</v>
      </c>
      <c r="B94" s="322"/>
      <c r="C94" s="322"/>
      <c r="D94" s="322"/>
      <c r="E94" s="322"/>
      <c r="F94" s="322"/>
    </row>
    <row r="95" spans="1:6" ht="12.75" customHeight="1" x14ac:dyDescent="0.2">
      <c r="A95" s="323" t="s">
        <v>157</v>
      </c>
      <c r="B95" s="322"/>
      <c r="C95" s="322"/>
      <c r="D95" s="322"/>
      <c r="E95" s="322"/>
      <c r="F95" s="322"/>
    </row>
    <row r="96" spans="1:6" ht="12.75" customHeight="1" x14ac:dyDescent="0.2">
      <c r="A96" s="323" t="s">
        <v>158</v>
      </c>
      <c r="B96" s="322"/>
      <c r="C96" s="322"/>
      <c r="D96" s="322"/>
      <c r="E96" s="322"/>
      <c r="F96" s="322"/>
    </row>
    <row r="97" spans="1:6" ht="12.75" customHeight="1" x14ac:dyDescent="0.2">
      <c r="A97" s="323" t="s">
        <v>159</v>
      </c>
      <c r="B97" s="322"/>
      <c r="C97" s="322"/>
      <c r="D97" s="322"/>
      <c r="E97" s="322"/>
      <c r="F97" s="322"/>
    </row>
    <row r="98" spans="1:6" ht="12.75" customHeight="1" x14ac:dyDescent="0.2">
      <c r="A98" s="323" t="s">
        <v>160</v>
      </c>
      <c r="B98" s="322"/>
      <c r="C98" s="322"/>
      <c r="D98" s="322"/>
      <c r="E98" s="322"/>
      <c r="F98" s="322"/>
    </row>
    <row r="99" spans="1:6" ht="12.75" customHeight="1" x14ac:dyDescent="0.2">
      <c r="A99" s="323" t="s">
        <v>6322</v>
      </c>
      <c r="B99" s="322"/>
      <c r="C99" s="322"/>
      <c r="D99" s="322"/>
      <c r="E99" s="322"/>
      <c r="F99" s="322"/>
    </row>
    <row r="100" spans="1:6" ht="12.75" customHeight="1" x14ac:dyDescent="0.2">
      <c r="A100" s="323" t="s">
        <v>161</v>
      </c>
      <c r="B100" s="322"/>
      <c r="C100" s="322"/>
      <c r="D100" s="322"/>
      <c r="E100" s="322"/>
      <c r="F100" s="322"/>
    </row>
    <row r="101" spans="1:6" ht="12.75" customHeight="1" x14ac:dyDescent="0.2">
      <c r="A101" s="323" t="s">
        <v>8392</v>
      </c>
      <c r="B101" s="322"/>
      <c r="C101" s="322"/>
      <c r="D101" s="322"/>
      <c r="E101" s="322"/>
      <c r="F101" s="322"/>
    </row>
    <row r="102" spans="1:6" ht="12.75" customHeight="1" x14ac:dyDescent="0.2">
      <c r="A102" s="323" t="s">
        <v>162</v>
      </c>
      <c r="B102" s="322"/>
      <c r="C102" s="322"/>
      <c r="D102" s="322"/>
      <c r="E102" s="322"/>
      <c r="F102" s="322"/>
    </row>
    <row r="103" spans="1:6" ht="12.75" customHeight="1" x14ac:dyDescent="0.2">
      <c r="A103" s="323" t="s">
        <v>163</v>
      </c>
      <c r="B103" s="322"/>
      <c r="C103" s="322"/>
      <c r="D103" s="322"/>
      <c r="E103" s="322"/>
      <c r="F103" s="322"/>
    </row>
    <row r="104" spans="1:6" ht="12.75" customHeight="1" x14ac:dyDescent="0.2">
      <c r="A104" s="323" t="s">
        <v>164</v>
      </c>
      <c r="B104" s="322"/>
      <c r="C104" s="322"/>
      <c r="D104" s="322"/>
      <c r="E104" s="322"/>
      <c r="F104" s="322"/>
    </row>
    <row r="105" spans="1:6" ht="12.75" customHeight="1" x14ac:dyDescent="0.2">
      <c r="A105" s="323" t="s">
        <v>165</v>
      </c>
      <c r="B105" s="322"/>
      <c r="C105" s="322"/>
      <c r="D105" s="322"/>
      <c r="E105" s="322"/>
      <c r="F105" s="322"/>
    </row>
    <row r="106" spans="1:6" ht="12.75" customHeight="1" x14ac:dyDescent="0.2">
      <c r="A106" s="323" t="s">
        <v>166</v>
      </c>
      <c r="B106" s="322"/>
      <c r="C106" s="322"/>
      <c r="D106" s="322"/>
      <c r="E106" s="322"/>
      <c r="F106" s="322"/>
    </row>
    <row r="107" spans="1:6" ht="12.75" customHeight="1" x14ac:dyDescent="0.2">
      <c r="A107" s="323" t="s">
        <v>168</v>
      </c>
      <c r="B107" s="322"/>
      <c r="C107" s="322"/>
      <c r="D107" s="322"/>
      <c r="E107" s="322"/>
      <c r="F107" s="322"/>
    </row>
    <row r="108" spans="1:6" ht="12.75" customHeight="1" x14ac:dyDescent="0.2">
      <c r="A108" s="323" t="s">
        <v>6245</v>
      </c>
      <c r="B108" s="322"/>
      <c r="C108" s="322"/>
      <c r="D108" s="322"/>
      <c r="E108" s="322"/>
      <c r="F108" s="322"/>
    </row>
    <row r="109" spans="1:6" ht="12.75" customHeight="1" x14ac:dyDescent="0.2">
      <c r="A109" s="323" t="s">
        <v>6290</v>
      </c>
      <c r="B109" s="322"/>
      <c r="C109" s="322"/>
      <c r="D109" s="322"/>
      <c r="E109" s="322"/>
      <c r="F109" s="322"/>
    </row>
    <row r="110" spans="1:6" ht="12.75" customHeight="1" x14ac:dyDescent="0.2">
      <c r="A110" s="323" t="s">
        <v>170</v>
      </c>
      <c r="B110" s="322"/>
      <c r="C110" s="322"/>
      <c r="D110" s="322"/>
      <c r="E110" s="322"/>
      <c r="F110" s="322"/>
    </row>
    <row r="111" spans="1:6" ht="12.75" customHeight="1" x14ac:dyDescent="0.2">
      <c r="A111" s="323" t="s">
        <v>171</v>
      </c>
      <c r="B111" s="322"/>
      <c r="C111" s="322"/>
      <c r="D111" s="322"/>
      <c r="E111" s="322"/>
      <c r="F111" s="322"/>
    </row>
    <row r="112" spans="1:6" ht="12.75" customHeight="1" x14ac:dyDescent="0.2">
      <c r="A112" s="323" t="s">
        <v>6263</v>
      </c>
      <c r="B112" s="322"/>
      <c r="C112" s="322"/>
      <c r="D112" s="322"/>
      <c r="E112" s="322"/>
      <c r="F112" s="322"/>
    </row>
    <row r="113" spans="1:6" ht="12.75" customHeight="1" x14ac:dyDescent="0.2">
      <c r="A113" s="323" t="s">
        <v>172</v>
      </c>
      <c r="B113" s="322"/>
      <c r="C113" s="322"/>
      <c r="D113" s="322"/>
      <c r="E113" s="322"/>
      <c r="F113" s="322"/>
    </row>
    <row r="114" spans="1:6" ht="12.75" customHeight="1" x14ac:dyDescent="0.2">
      <c r="A114" s="323" t="s">
        <v>174</v>
      </c>
      <c r="B114" s="322"/>
      <c r="C114" s="322"/>
      <c r="D114" s="322"/>
      <c r="E114" s="322"/>
      <c r="F114" s="322"/>
    </row>
    <row r="115" spans="1:6" ht="12.75" customHeight="1" x14ac:dyDescent="0.2">
      <c r="A115" s="323" t="s">
        <v>175</v>
      </c>
      <c r="B115" s="322"/>
      <c r="C115" s="322"/>
      <c r="D115" s="322"/>
      <c r="E115" s="322"/>
      <c r="F115" s="322"/>
    </row>
    <row r="116" spans="1:6" ht="12.75" customHeight="1" x14ac:dyDescent="0.2">
      <c r="A116" s="323" t="s">
        <v>176</v>
      </c>
      <c r="B116" s="322"/>
      <c r="C116" s="322"/>
      <c r="D116" s="322"/>
      <c r="E116" s="322"/>
      <c r="F116" s="322"/>
    </row>
    <row r="117" spans="1:6" ht="12.75" customHeight="1" x14ac:dyDescent="0.2">
      <c r="A117" s="323" t="s">
        <v>177</v>
      </c>
      <c r="B117" s="322"/>
      <c r="C117" s="322"/>
      <c r="D117" s="322"/>
      <c r="E117" s="322"/>
      <c r="F117" s="322"/>
    </row>
    <row r="118" spans="1:6" ht="12.75" customHeight="1" x14ac:dyDescent="0.2">
      <c r="A118" s="323" t="s">
        <v>178</v>
      </c>
      <c r="B118" s="322"/>
      <c r="C118" s="322"/>
      <c r="D118" s="322"/>
      <c r="E118" s="322"/>
      <c r="F118" s="322"/>
    </row>
    <row r="119" spans="1:6" ht="12.75" customHeight="1" x14ac:dyDescent="0.2">
      <c r="A119" s="323" t="s">
        <v>179</v>
      </c>
      <c r="B119" s="322"/>
      <c r="C119" s="322"/>
      <c r="D119" s="322"/>
      <c r="E119" s="322"/>
      <c r="F119" s="322"/>
    </row>
    <row r="120" spans="1:6" ht="12.75" customHeight="1" x14ac:dyDescent="0.2">
      <c r="A120" s="323" t="s">
        <v>180</v>
      </c>
      <c r="B120" s="322"/>
      <c r="C120" s="322"/>
      <c r="D120" s="322"/>
      <c r="E120" s="322"/>
      <c r="F120" s="322"/>
    </row>
    <row r="121" spans="1:6" ht="12.75" customHeight="1" x14ac:dyDescent="0.2">
      <c r="A121" s="323" t="s">
        <v>181</v>
      </c>
      <c r="B121" s="322"/>
      <c r="C121" s="322"/>
      <c r="D121" s="322"/>
      <c r="E121" s="322"/>
      <c r="F121" s="322"/>
    </row>
    <row r="122" spans="1:6" ht="12.75" customHeight="1" x14ac:dyDescent="0.2">
      <c r="A122" s="323" t="s">
        <v>183</v>
      </c>
      <c r="B122" s="322"/>
      <c r="C122" s="322"/>
      <c r="D122" s="322"/>
      <c r="E122" s="322"/>
      <c r="F122" s="322"/>
    </row>
    <row r="123" spans="1:6" ht="12.75" customHeight="1" x14ac:dyDescent="0.2">
      <c r="A123" s="323" t="s">
        <v>184</v>
      </c>
      <c r="B123" s="322"/>
      <c r="C123" s="322"/>
      <c r="D123" s="322"/>
      <c r="E123" s="322"/>
      <c r="F123" s="322"/>
    </row>
    <row r="124" spans="1:6" ht="12.75" customHeight="1" x14ac:dyDescent="0.2">
      <c r="A124" s="323" t="s">
        <v>185</v>
      </c>
      <c r="B124" s="322"/>
      <c r="C124" s="322"/>
      <c r="D124" s="322"/>
      <c r="E124" s="322"/>
      <c r="F124" s="322"/>
    </row>
    <row r="125" spans="1:6" ht="12.75" customHeight="1" x14ac:dyDescent="0.2">
      <c r="A125" s="323" t="s">
        <v>6234</v>
      </c>
      <c r="B125" s="322"/>
      <c r="C125" s="322"/>
      <c r="D125" s="322"/>
      <c r="E125" s="322"/>
      <c r="F125" s="322"/>
    </row>
    <row r="126" spans="1:6" ht="12.75" customHeight="1" x14ac:dyDescent="0.2">
      <c r="A126" s="323" t="s">
        <v>186</v>
      </c>
      <c r="B126" s="322"/>
      <c r="C126" s="322"/>
      <c r="D126" s="322"/>
      <c r="E126" s="322"/>
      <c r="F126" s="322"/>
    </row>
    <row r="127" spans="1:6" ht="12.75" customHeight="1" x14ac:dyDescent="0.2">
      <c r="A127" s="323" t="s">
        <v>187</v>
      </c>
      <c r="B127" s="322"/>
      <c r="C127" s="322"/>
      <c r="D127" s="322"/>
      <c r="E127" s="322"/>
      <c r="F127" s="322"/>
    </row>
    <row r="128" spans="1:6" ht="12.75" customHeight="1" x14ac:dyDescent="0.2">
      <c r="A128" s="323" t="s">
        <v>188</v>
      </c>
      <c r="B128" s="322"/>
      <c r="C128" s="322"/>
      <c r="D128" s="322"/>
      <c r="E128" s="322"/>
      <c r="F128" s="322"/>
    </row>
    <row r="129" spans="1:6" ht="12.75" customHeight="1" x14ac:dyDescent="0.2">
      <c r="A129" s="323" t="s">
        <v>189</v>
      </c>
      <c r="B129" s="322"/>
      <c r="C129" s="322"/>
      <c r="D129" s="322"/>
      <c r="E129" s="322"/>
      <c r="F129" s="322"/>
    </row>
    <row r="130" spans="1:6" ht="12.75" customHeight="1" x14ac:dyDescent="0.2">
      <c r="A130" s="323" t="s">
        <v>190</v>
      </c>
      <c r="B130" s="322"/>
      <c r="C130" s="322"/>
      <c r="D130" s="322"/>
      <c r="E130" s="322"/>
      <c r="F130" s="322"/>
    </row>
    <row r="131" spans="1:6" ht="12.75" customHeight="1" x14ac:dyDescent="0.2">
      <c r="A131" s="323" t="s">
        <v>191</v>
      </c>
      <c r="B131" s="322"/>
      <c r="C131" s="322"/>
      <c r="D131" s="322"/>
      <c r="E131" s="322"/>
      <c r="F131" s="322"/>
    </row>
    <row r="132" spans="1:6" ht="12.75" customHeight="1" x14ac:dyDescent="0.2">
      <c r="A132" s="323" t="s">
        <v>193</v>
      </c>
      <c r="B132" s="322"/>
      <c r="C132" s="322"/>
      <c r="D132" s="322"/>
      <c r="E132" s="322"/>
      <c r="F132" s="322"/>
    </row>
    <row r="133" spans="1:6" ht="12.75" x14ac:dyDescent="0.2">
      <c r="A133" s="322"/>
      <c r="B133" s="322"/>
      <c r="C133" s="322"/>
      <c r="D133" s="322"/>
      <c r="E133" s="322"/>
      <c r="F133" s="322"/>
    </row>
    <row r="134" spans="1:6" ht="12.75" x14ac:dyDescent="0.2">
      <c r="A134" s="322"/>
      <c r="B134" s="322"/>
      <c r="C134" s="322"/>
      <c r="D134" s="322"/>
      <c r="E134" s="322"/>
      <c r="F134" s="322"/>
    </row>
    <row r="135" spans="1:6" ht="12.75" x14ac:dyDescent="0.2">
      <c r="A135" s="322"/>
      <c r="B135" s="322"/>
      <c r="C135" s="322"/>
      <c r="D135" s="322"/>
      <c r="E135" s="322"/>
      <c r="F135" s="322"/>
    </row>
    <row r="136" spans="1:6" ht="12.75" x14ac:dyDescent="0.2">
      <c r="A136" s="322"/>
      <c r="B136" s="322"/>
      <c r="C136" s="322"/>
      <c r="D136" s="322"/>
      <c r="E136" s="322"/>
      <c r="F136" s="322"/>
    </row>
    <row r="137" spans="1:6" ht="12.75" x14ac:dyDescent="0.2">
      <c r="A137" s="322"/>
      <c r="B137" s="322"/>
      <c r="C137" s="322"/>
      <c r="D137" s="322"/>
      <c r="E137" s="322"/>
      <c r="F137" s="322"/>
    </row>
    <row r="138" spans="1:6" ht="12.75" x14ac:dyDescent="0.2">
      <c r="A138" s="322"/>
      <c r="B138" s="322"/>
      <c r="C138" s="322"/>
      <c r="D138" s="322"/>
      <c r="E138" s="322"/>
      <c r="F138" s="322"/>
    </row>
    <row r="139" spans="1:6" ht="12.75" x14ac:dyDescent="0.2">
      <c r="A139" s="322"/>
      <c r="B139" s="322"/>
      <c r="C139" s="322"/>
      <c r="D139" s="322"/>
      <c r="E139" s="322"/>
      <c r="F139" s="322"/>
    </row>
    <row r="140" spans="1:6" ht="12.75" x14ac:dyDescent="0.2">
      <c r="A140" s="322"/>
      <c r="B140" s="322"/>
      <c r="C140" s="322"/>
      <c r="D140" s="322"/>
      <c r="E140" s="322"/>
      <c r="F140" s="322"/>
    </row>
    <row r="141" spans="1:6" ht="12.75" x14ac:dyDescent="0.2">
      <c r="A141" s="322"/>
      <c r="B141" s="322"/>
      <c r="C141" s="322"/>
      <c r="D141" s="322"/>
      <c r="E141" s="322"/>
      <c r="F141" s="322"/>
    </row>
    <row r="142" spans="1:6" ht="12.75" x14ac:dyDescent="0.2">
      <c r="A142" s="322"/>
      <c r="B142" s="322"/>
      <c r="C142" s="322"/>
      <c r="D142" s="322"/>
      <c r="E142" s="322"/>
      <c r="F142" s="322"/>
    </row>
    <row r="143" spans="1:6" ht="12.75" x14ac:dyDescent="0.2">
      <c r="A143" s="322"/>
      <c r="B143" s="322"/>
      <c r="C143" s="322"/>
      <c r="D143" s="322"/>
      <c r="E143" s="322"/>
      <c r="F143" s="322"/>
    </row>
    <row r="144" spans="1:6" ht="12.75" x14ac:dyDescent="0.2">
      <c r="A144" s="322"/>
      <c r="B144" s="322"/>
      <c r="C144" s="322"/>
      <c r="D144" s="322"/>
      <c r="E144" s="322"/>
      <c r="F144" s="322"/>
    </row>
    <row r="145" spans="1:6" ht="12.75" x14ac:dyDescent="0.2">
      <c r="A145" s="322"/>
      <c r="B145" s="322"/>
      <c r="C145" s="322"/>
      <c r="D145" s="322"/>
      <c r="E145" s="322"/>
      <c r="F145" s="322"/>
    </row>
    <row r="146" spans="1:6" ht="12.75" x14ac:dyDescent="0.2">
      <c r="A146" s="322"/>
      <c r="B146" s="322"/>
      <c r="C146" s="322"/>
      <c r="D146" s="322"/>
      <c r="E146" s="322"/>
      <c r="F146" s="322"/>
    </row>
    <row r="147" spans="1:6" ht="12.75" x14ac:dyDescent="0.2">
      <c r="A147" s="322"/>
      <c r="B147" s="322"/>
      <c r="C147" s="322"/>
      <c r="D147" s="322"/>
      <c r="E147" s="322"/>
      <c r="F147" s="322"/>
    </row>
    <row r="148" spans="1:6" ht="12.75" x14ac:dyDescent="0.2">
      <c r="A148" s="322"/>
      <c r="B148" s="322"/>
      <c r="C148" s="322"/>
      <c r="D148" s="322"/>
      <c r="E148" s="322"/>
      <c r="F148" s="322"/>
    </row>
    <row r="149" spans="1:6" ht="12.75" x14ac:dyDescent="0.2">
      <c r="A149" s="322"/>
      <c r="B149" s="322"/>
      <c r="C149" s="322"/>
      <c r="D149" s="322"/>
      <c r="E149" s="322"/>
      <c r="F149" s="322"/>
    </row>
    <row r="150" spans="1:6" ht="12.75" x14ac:dyDescent="0.2">
      <c r="A150" s="322"/>
      <c r="B150" s="322"/>
      <c r="C150" s="322"/>
      <c r="D150" s="322"/>
      <c r="E150" s="322"/>
      <c r="F150" s="322"/>
    </row>
    <row r="151" spans="1:6" ht="12.75" x14ac:dyDescent="0.2">
      <c r="A151" s="322"/>
      <c r="B151" s="322"/>
      <c r="C151" s="322"/>
      <c r="D151" s="322"/>
      <c r="E151" s="322"/>
      <c r="F151" s="322"/>
    </row>
    <row r="152" spans="1:6" ht="12.75" x14ac:dyDescent="0.2">
      <c r="A152" s="322"/>
      <c r="B152" s="322"/>
      <c r="C152" s="322"/>
      <c r="D152" s="322"/>
      <c r="E152" s="322"/>
      <c r="F152" s="322"/>
    </row>
    <row r="153" spans="1:6" ht="12.75" x14ac:dyDescent="0.2">
      <c r="A153" s="322"/>
      <c r="B153" s="322"/>
      <c r="C153" s="322"/>
      <c r="D153" s="322"/>
      <c r="E153" s="322"/>
      <c r="F153" s="322"/>
    </row>
    <row r="154" spans="1:6" ht="12.75" x14ac:dyDescent="0.2">
      <c r="A154" s="322"/>
      <c r="B154" s="322"/>
      <c r="C154" s="322"/>
      <c r="D154" s="322"/>
      <c r="E154" s="322"/>
      <c r="F154" s="322"/>
    </row>
    <row r="155" spans="1:6" ht="12.75" x14ac:dyDescent="0.2">
      <c r="A155" s="322"/>
      <c r="B155" s="322"/>
      <c r="C155" s="322"/>
      <c r="D155" s="322"/>
      <c r="E155" s="322"/>
      <c r="F155" s="322"/>
    </row>
    <row r="156" spans="1:6" ht="12.75" x14ac:dyDescent="0.2">
      <c r="A156" s="322"/>
      <c r="B156" s="322"/>
      <c r="C156" s="322"/>
      <c r="D156" s="322"/>
      <c r="E156" s="322"/>
      <c r="F156" s="322"/>
    </row>
    <row r="157" spans="1:6" ht="12.75" x14ac:dyDescent="0.2">
      <c r="A157" s="322"/>
      <c r="B157" s="322"/>
      <c r="C157" s="322"/>
      <c r="D157" s="322"/>
      <c r="E157" s="322"/>
      <c r="F157" s="322"/>
    </row>
    <row r="158" spans="1:6" ht="12.75" x14ac:dyDescent="0.2">
      <c r="A158" s="322"/>
      <c r="B158" s="322"/>
      <c r="C158" s="322"/>
      <c r="D158" s="322"/>
      <c r="E158" s="322"/>
      <c r="F158" s="322"/>
    </row>
    <row r="159" spans="1:6" ht="12.75" x14ac:dyDescent="0.2">
      <c r="A159" s="322"/>
      <c r="B159" s="322"/>
      <c r="C159" s="322"/>
      <c r="D159" s="322"/>
      <c r="E159" s="322"/>
      <c r="F159" s="322"/>
    </row>
    <row r="160" spans="1:6" ht="12.75" x14ac:dyDescent="0.2">
      <c r="A160" s="322"/>
      <c r="B160" s="322"/>
      <c r="C160" s="322"/>
      <c r="D160" s="322"/>
      <c r="E160" s="322"/>
      <c r="F160" s="322"/>
    </row>
    <row r="161" spans="1:6" ht="12.75" x14ac:dyDescent="0.2">
      <c r="A161" s="322"/>
      <c r="B161" s="322"/>
      <c r="C161" s="322"/>
      <c r="D161" s="322"/>
      <c r="E161" s="322"/>
      <c r="F161" s="322"/>
    </row>
    <row r="162" spans="1:6" ht="12.75" x14ac:dyDescent="0.2">
      <c r="A162" s="322"/>
      <c r="B162" s="322"/>
      <c r="C162" s="322"/>
      <c r="D162" s="322"/>
      <c r="E162" s="322"/>
      <c r="F162" s="322"/>
    </row>
    <row r="163" spans="1:6" ht="12.75" x14ac:dyDescent="0.2">
      <c r="A163" s="322"/>
      <c r="B163" s="322"/>
      <c r="C163" s="322"/>
      <c r="D163" s="322"/>
      <c r="E163" s="322"/>
      <c r="F163" s="322"/>
    </row>
    <row r="164" spans="1:6" ht="12.75" x14ac:dyDescent="0.2">
      <c r="A164" s="322"/>
      <c r="B164" s="322"/>
      <c r="C164" s="322"/>
      <c r="D164" s="322"/>
      <c r="E164" s="322"/>
      <c r="F164" s="322"/>
    </row>
    <row r="165" spans="1:6" ht="12.75" x14ac:dyDescent="0.2">
      <c r="A165" s="322"/>
      <c r="B165" s="322"/>
      <c r="C165" s="322"/>
      <c r="D165" s="322"/>
      <c r="E165" s="322"/>
      <c r="F165" s="322"/>
    </row>
    <row r="166" spans="1:6" ht="12.75" x14ac:dyDescent="0.2">
      <c r="A166" s="322"/>
      <c r="B166" s="322"/>
      <c r="C166" s="322"/>
      <c r="D166" s="322"/>
      <c r="E166" s="322"/>
      <c r="F166" s="322"/>
    </row>
    <row r="167" spans="1:6" ht="12.75" x14ac:dyDescent="0.2">
      <c r="A167" s="322"/>
      <c r="B167" s="322"/>
      <c r="C167" s="322"/>
      <c r="D167" s="322"/>
      <c r="E167" s="322"/>
      <c r="F167" s="322"/>
    </row>
    <row r="168" spans="1:6" ht="12.75" x14ac:dyDescent="0.2">
      <c r="A168" s="322"/>
      <c r="B168" s="322"/>
      <c r="C168" s="322"/>
      <c r="D168" s="322"/>
      <c r="E168" s="322"/>
      <c r="F168" s="322"/>
    </row>
    <row r="169" spans="1:6" ht="12.75" x14ac:dyDescent="0.2">
      <c r="A169" s="322"/>
      <c r="B169" s="322"/>
      <c r="C169" s="322"/>
      <c r="D169" s="322"/>
      <c r="E169" s="322"/>
      <c r="F169" s="322"/>
    </row>
    <row r="170" spans="1:6" ht="12.75" x14ac:dyDescent="0.2">
      <c r="A170" s="322"/>
      <c r="B170" s="322"/>
      <c r="C170" s="322"/>
      <c r="D170" s="322"/>
      <c r="E170" s="322"/>
      <c r="F170" s="322"/>
    </row>
    <row r="171" spans="1:6" ht="12.75" x14ac:dyDescent="0.2">
      <c r="A171" s="322"/>
      <c r="B171" s="322"/>
      <c r="C171" s="322"/>
      <c r="D171" s="322"/>
      <c r="E171" s="322"/>
      <c r="F171" s="322"/>
    </row>
    <row r="172" spans="1:6" ht="12.75" x14ac:dyDescent="0.2">
      <c r="A172" s="322"/>
      <c r="B172" s="322"/>
      <c r="C172" s="322"/>
      <c r="D172" s="322"/>
      <c r="E172" s="322"/>
      <c r="F172" s="322"/>
    </row>
    <row r="173" spans="1:6" ht="12.75" x14ac:dyDescent="0.2">
      <c r="A173" s="322"/>
      <c r="B173" s="322"/>
      <c r="C173" s="322"/>
      <c r="D173" s="322"/>
      <c r="E173" s="322"/>
      <c r="F173" s="322"/>
    </row>
    <row r="174" spans="1:6" ht="12.75" x14ac:dyDescent="0.2">
      <c r="A174" s="322"/>
      <c r="B174" s="322"/>
      <c r="C174" s="322"/>
      <c r="D174" s="322"/>
      <c r="E174" s="322"/>
      <c r="F174" s="322"/>
    </row>
    <row r="175" spans="1:6" ht="12.75" x14ac:dyDescent="0.2">
      <c r="A175" s="322"/>
      <c r="B175" s="322"/>
      <c r="C175" s="322"/>
      <c r="D175" s="322"/>
      <c r="E175" s="322"/>
      <c r="F175" s="322"/>
    </row>
    <row r="176" spans="1:6" ht="12.75" x14ac:dyDescent="0.2">
      <c r="A176" s="322"/>
      <c r="B176" s="322"/>
      <c r="C176" s="322"/>
      <c r="D176" s="322"/>
      <c r="E176" s="322"/>
      <c r="F176" s="322"/>
    </row>
    <row r="177" spans="1:6" ht="12.75" x14ac:dyDescent="0.2">
      <c r="A177" s="322"/>
      <c r="B177" s="322"/>
      <c r="C177" s="322"/>
      <c r="D177" s="322"/>
      <c r="E177" s="322"/>
      <c r="F177" s="322"/>
    </row>
    <row r="178" spans="1:6" ht="12.75" x14ac:dyDescent="0.2">
      <c r="A178" s="322"/>
      <c r="B178" s="322"/>
      <c r="C178" s="322"/>
      <c r="D178" s="322"/>
      <c r="E178" s="322"/>
      <c r="F178" s="322"/>
    </row>
    <row r="179" spans="1:6" ht="12.75" x14ac:dyDescent="0.2">
      <c r="A179" s="322"/>
      <c r="B179" s="322"/>
      <c r="C179" s="322"/>
      <c r="D179" s="322"/>
      <c r="E179" s="322"/>
      <c r="F179" s="322"/>
    </row>
    <row r="180" spans="1:6" ht="12.75" x14ac:dyDescent="0.2">
      <c r="A180" s="322"/>
      <c r="B180" s="322"/>
      <c r="C180" s="322"/>
      <c r="D180" s="322"/>
      <c r="E180" s="322"/>
      <c r="F180" s="322"/>
    </row>
    <row r="181" spans="1:6" ht="12.75" x14ac:dyDescent="0.2">
      <c r="A181" s="322"/>
      <c r="B181" s="322"/>
      <c r="C181" s="322"/>
      <c r="D181" s="322"/>
      <c r="E181" s="322"/>
      <c r="F181" s="322"/>
    </row>
    <row r="182" spans="1:6" ht="12.75" x14ac:dyDescent="0.2">
      <c r="A182" s="322"/>
      <c r="B182" s="322"/>
      <c r="C182" s="322"/>
      <c r="D182" s="322"/>
      <c r="E182" s="322"/>
      <c r="F182" s="322"/>
    </row>
    <row r="183" spans="1:6" ht="12.75" x14ac:dyDescent="0.2">
      <c r="A183" s="322"/>
      <c r="B183" s="322"/>
      <c r="C183" s="322"/>
      <c r="D183" s="322"/>
      <c r="E183" s="322"/>
      <c r="F183" s="322"/>
    </row>
    <row r="184" spans="1:6" ht="12.75" x14ac:dyDescent="0.2">
      <c r="A184" s="322"/>
      <c r="B184" s="322"/>
      <c r="C184" s="322"/>
      <c r="D184" s="322"/>
      <c r="E184" s="322"/>
      <c r="F184" s="322"/>
    </row>
    <row r="185" spans="1:6" ht="12.75" x14ac:dyDescent="0.2">
      <c r="A185" s="322"/>
      <c r="B185" s="322"/>
      <c r="C185" s="322"/>
      <c r="D185" s="322"/>
      <c r="E185" s="322"/>
      <c r="F185" s="322"/>
    </row>
    <row r="186" spans="1:6" ht="12.75" x14ac:dyDescent="0.2">
      <c r="A186" s="322"/>
      <c r="B186" s="322"/>
      <c r="C186" s="322"/>
      <c r="D186" s="322"/>
      <c r="E186" s="322"/>
      <c r="F186" s="322"/>
    </row>
    <row r="187" spans="1:6" ht="12.75" x14ac:dyDescent="0.2">
      <c r="A187" s="322"/>
      <c r="B187" s="322"/>
      <c r="C187" s="322"/>
      <c r="D187" s="322"/>
      <c r="E187" s="322"/>
      <c r="F187" s="322"/>
    </row>
    <row r="188" spans="1:6" ht="12.75" x14ac:dyDescent="0.2">
      <c r="A188" s="322"/>
      <c r="B188" s="322"/>
      <c r="C188" s="322"/>
      <c r="D188" s="322"/>
      <c r="E188" s="322"/>
      <c r="F188" s="322"/>
    </row>
    <row r="189" spans="1:6" ht="12.75" x14ac:dyDescent="0.2">
      <c r="A189" s="322"/>
      <c r="B189" s="322"/>
      <c r="C189" s="322"/>
      <c r="D189" s="322"/>
      <c r="E189" s="322"/>
      <c r="F189" s="322"/>
    </row>
    <row r="190" spans="1:6" ht="12.75" x14ac:dyDescent="0.2">
      <c r="A190" s="322"/>
      <c r="B190" s="322"/>
      <c r="C190" s="322"/>
      <c r="D190" s="322"/>
      <c r="E190" s="322"/>
      <c r="F190" s="322"/>
    </row>
    <row r="191" spans="1:6" ht="12.75" x14ac:dyDescent="0.2">
      <c r="A191" s="322"/>
      <c r="B191" s="322"/>
      <c r="C191" s="322"/>
      <c r="D191" s="322"/>
      <c r="E191" s="322"/>
      <c r="F191" s="322"/>
    </row>
    <row r="192" spans="1:6" ht="12.75" x14ac:dyDescent="0.2">
      <c r="A192" s="322"/>
      <c r="B192" s="322"/>
      <c r="C192" s="322"/>
      <c r="D192" s="322"/>
      <c r="E192" s="322"/>
      <c r="F192" s="322"/>
    </row>
    <row r="193" spans="1:6" ht="12.75" x14ac:dyDescent="0.2">
      <c r="A193" s="322"/>
      <c r="B193" s="322"/>
      <c r="C193" s="322"/>
      <c r="D193" s="322"/>
      <c r="E193" s="322"/>
      <c r="F193" s="322"/>
    </row>
    <row r="194" spans="1:6" ht="12.75" x14ac:dyDescent="0.2">
      <c r="A194" s="322"/>
      <c r="B194" s="322"/>
      <c r="C194" s="322"/>
      <c r="D194" s="322"/>
      <c r="E194" s="322"/>
      <c r="F194" s="322"/>
    </row>
    <row r="195" spans="1:6" ht="12.75" x14ac:dyDescent="0.2">
      <c r="A195" s="322"/>
      <c r="B195" s="322"/>
      <c r="C195" s="322"/>
      <c r="D195" s="322"/>
      <c r="E195" s="322"/>
      <c r="F195" s="322"/>
    </row>
    <row r="196" spans="1:6" ht="12.75" x14ac:dyDescent="0.2">
      <c r="A196" s="322"/>
      <c r="B196" s="322"/>
      <c r="C196" s="322"/>
      <c r="D196" s="322"/>
      <c r="E196" s="322"/>
      <c r="F196" s="322"/>
    </row>
    <row r="197" spans="1:6" ht="12.75" x14ac:dyDescent="0.2">
      <c r="A197" s="322"/>
      <c r="B197" s="322"/>
      <c r="C197" s="322"/>
      <c r="D197" s="322"/>
      <c r="E197" s="322"/>
      <c r="F197" s="322"/>
    </row>
    <row r="198" spans="1:6" ht="12.75" x14ac:dyDescent="0.2">
      <c r="A198" s="322"/>
      <c r="B198" s="322"/>
      <c r="C198" s="322"/>
      <c r="D198" s="322"/>
      <c r="E198" s="322"/>
      <c r="F198" s="322"/>
    </row>
    <row r="199" spans="1:6" ht="12.75" x14ac:dyDescent="0.2">
      <c r="A199" s="322"/>
      <c r="B199" s="322"/>
      <c r="C199" s="322"/>
      <c r="D199" s="322"/>
      <c r="E199" s="322"/>
      <c r="F199" s="322"/>
    </row>
    <row r="200" spans="1:6" ht="12.75" x14ac:dyDescent="0.2">
      <c r="A200" s="322"/>
      <c r="B200" s="322"/>
      <c r="C200" s="322"/>
      <c r="D200" s="322"/>
      <c r="E200" s="322"/>
      <c r="F200" s="322"/>
    </row>
    <row r="201" spans="1:6" ht="12.75" x14ac:dyDescent="0.2">
      <c r="A201" s="322"/>
      <c r="B201" s="322"/>
      <c r="C201" s="322"/>
      <c r="D201" s="322"/>
      <c r="E201" s="322"/>
      <c r="F201" s="322"/>
    </row>
    <row r="202" spans="1:6" ht="12.75" x14ac:dyDescent="0.2">
      <c r="A202" s="322"/>
      <c r="B202" s="322"/>
      <c r="C202" s="322"/>
      <c r="D202" s="322"/>
      <c r="E202" s="322"/>
      <c r="F202" s="322"/>
    </row>
    <row r="203" spans="1:6" ht="12.75" x14ac:dyDescent="0.2">
      <c r="A203" s="322"/>
      <c r="B203" s="322"/>
      <c r="C203" s="322"/>
      <c r="D203" s="322"/>
      <c r="E203" s="322"/>
      <c r="F203" s="322"/>
    </row>
    <row r="204" spans="1:6" ht="12.75" x14ac:dyDescent="0.2">
      <c r="A204" s="322"/>
      <c r="B204" s="322"/>
      <c r="C204" s="322"/>
      <c r="D204" s="322"/>
      <c r="E204" s="322"/>
      <c r="F204" s="322"/>
    </row>
    <row r="205" spans="1:6" ht="12.75" x14ac:dyDescent="0.2">
      <c r="A205" s="322"/>
      <c r="B205" s="322"/>
      <c r="C205" s="322"/>
      <c r="D205" s="322"/>
      <c r="E205" s="322"/>
      <c r="F205" s="322"/>
    </row>
    <row r="206" spans="1:6" ht="12.75" x14ac:dyDescent="0.2">
      <c r="A206" s="322"/>
      <c r="B206" s="322"/>
      <c r="C206" s="322"/>
      <c r="D206" s="322"/>
      <c r="E206" s="322"/>
      <c r="F206" s="322"/>
    </row>
    <row r="207" spans="1:6" ht="12.75" x14ac:dyDescent="0.2">
      <c r="A207" s="322"/>
      <c r="B207" s="322"/>
      <c r="C207" s="322"/>
      <c r="D207" s="322"/>
      <c r="E207" s="322"/>
      <c r="F207" s="322"/>
    </row>
    <row r="208" spans="1:6" ht="12.75" x14ac:dyDescent="0.2">
      <c r="A208" s="322"/>
      <c r="B208" s="322"/>
      <c r="C208" s="322"/>
      <c r="D208" s="322"/>
      <c r="E208" s="322"/>
      <c r="F208" s="322"/>
    </row>
    <row r="209" spans="1:6" ht="12.75" x14ac:dyDescent="0.2">
      <c r="A209" s="322"/>
      <c r="B209" s="322"/>
      <c r="C209" s="322"/>
      <c r="D209" s="322"/>
      <c r="E209" s="322"/>
      <c r="F209" s="322"/>
    </row>
    <row r="210" spans="1:6" ht="12.75" x14ac:dyDescent="0.2">
      <c r="A210" s="322"/>
      <c r="B210" s="322"/>
      <c r="C210" s="322"/>
      <c r="D210" s="322"/>
      <c r="E210" s="322"/>
      <c r="F210" s="322"/>
    </row>
    <row r="211" spans="1:6" ht="12.75" x14ac:dyDescent="0.2">
      <c r="A211" s="322"/>
      <c r="B211" s="322"/>
      <c r="C211" s="322"/>
      <c r="D211" s="322"/>
      <c r="E211" s="322"/>
      <c r="F211" s="322"/>
    </row>
    <row r="212" spans="1:6" ht="12.75" x14ac:dyDescent="0.2">
      <c r="A212" s="322"/>
      <c r="B212" s="322"/>
      <c r="C212" s="322"/>
      <c r="D212" s="322"/>
      <c r="E212" s="322"/>
      <c r="F212" s="322"/>
    </row>
    <row r="213" spans="1:6" ht="12.75" x14ac:dyDescent="0.2">
      <c r="A213" s="322"/>
      <c r="B213" s="322"/>
      <c r="C213" s="322"/>
      <c r="D213" s="322"/>
      <c r="E213" s="322"/>
      <c r="F213" s="322"/>
    </row>
    <row r="214" spans="1:6" ht="12.75" x14ac:dyDescent="0.2">
      <c r="A214" s="322"/>
      <c r="B214" s="322"/>
      <c r="C214" s="322"/>
      <c r="D214" s="322"/>
      <c r="E214" s="322"/>
      <c r="F214" s="322"/>
    </row>
    <row r="215" spans="1:6" ht="12.75" x14ac:dyDescent="0.2">
      <c r="A215" s="322"/>
      <c r="B215" s="322"/>
      <c r="C215" s="322"/>
      <c r="D215" s="322"/>
      <c r="E215" s="322"/>
      <c r="F215" s="322"/>
    </row>
    <row r="216" spans="1:6" ht="12.75" x14ac:dyDescent="0.2">
      <c r="A216" s="322"/>
      <c r="B216" s="322"/>
      <c r="C216" s="322"/>
      <c r="D216" s="322"/>
      <c r="E216" s="322"/>
      <c r="F216" s="322"/>
    </row>
    <row r="217" spans="1:6" ht="12.75" x14ac:dyDescent="0.2">
      <c r="A217" s="322"/>
      <c r="B217" s="322"/>
      <c r="C217" s="322"/>
      <c r="D217" s="322"/>
      <c r="E217" s="322"/>
      <c r="F217" s="322"/>
    </row>
    <row r="218" spans="1:6" ht="12.75" x14ac:dyDescent="0.2">
      <c r="A218" s="322"/>
      <c r="B218" s="322"/>
      <c r="C218" s="322"/>
      <c r="D218" s="322"/>
      <c r="E218" s="322"/>
      <c r="F218" s="322"/>
    </row>
    <row r="219" spans="1:6" ht="12.75" x14ac:dyDescent="0.2">
      <c r="A219" s="322"/>
      <c r="B219" s="322"/>
      <c r="C219" s="322"/>
      <c r="D219" s="322"/>
      <c r="E219" s="322"/>
      <c r="F219" s="322"/>
    </row>
    <row r="220" spans="1:6" ht="12.75" x14ac:dyDescent="0.2">
      <c r="A220" s="322"/>
      <c r="B220" s="322"/>
      <c r="C220" s="322"/>
      <c r="D220" s="322"/>
      <c r="E220" s="322"/>
      <c r="F220" s="322"/>
    </row>
    <row r="221" spans="1:6" ht="12.75" x14ac:dyDescent="0.2">
      <c r="A221" s="322"/>
      <c r="B221" s="322"/>
      <c r="C221" s="322"/>
      <c r="D221" s="322"/>
      <c r="E221" s="322"/>
      <c r="F221" s="322"/>
    </row>
    <row r="222" spans="1:6" ht="12.75" x14ac:dyDescent="0.2">
      <c r="A222" s="322"/>
      <c r="B222" s="322"/>
      <c r="C222" s="322"/>
      <c r="D222" s="322"/>
      <c r="E222" s="322"/>
      <c r="F222" s="322"/>
    </row>
    <row r="223" spans="1:6" ht="12.75" x14ac:dyDescent="0.2">
      <c r="A223" s="322"/>
      <c r="B223" s="322"/>
      <c r="C223" s="322"/>
      <c r="D223" s="322"/>
      <c r="E223" s="322"/>
      <c r="F223" s="322"/>
    </row>
    <row r="224" spans="1:6" ht="12.75" x14ac:dyDescent="0.2">
      <c r="A224" s="322"/>
      <c r="B224" s="322"/>
      <c r="C224" s="322"/>
      <c r="D224" s="322"/>
      <c r="E224" s="322"/>
      <c r="F224" s="322"/>
    </row>
    <row r="225" spans="1:6" ht="12.75" x14ac:dyDescent="0.2">
      <c r="A225" s="322"/>
      <c r="B225" s="322"/>
      <c r="C225" s="322"/>
      <c r="D225" s="322"/>
      <c r="E225" s="322"/>
      <c r="F225" s="322"/>
    </row>
    <row r="226" spans="1:6" ht="12.75" x14ac:dyDescent="0.2">
      <c r="A226" s="322"/>
      <c r="B226" s="322"/>
      <c r="C226" s="322"/>
      <c r="D226" s="322"/>
      <c r="E226" s="322"/>
      <c r="F226" s="322"/>
    </row>
    <row r="227" spans="1:6" ht="12.75" x14ac:dyDescent="0.2">
      <c r="A227" s="322"/>
      <c r="B227" s="322"/>
      <c r="C227" s="322"/>
      <c r="D227" s="322"/>
      <c r="E227" s="322"/>
      <c r="F227" s="322"/>
    </row>
    <row r="228" spans="1:6" ht="12.75" x14ac:dyDescent="0.2">
      <c r="A228" s="322"/>
      <c r="B228" s="322"/>
      <c r="C228" s="322"/>
      <c r="D228" s="322"/>
      <c r="E228" s="322"/>
      <c r="F228" s="322"/>
    </row>
    <row r="229" spans="1:6" ht="12.75" x14ac:dyDescent="0.2">
      <c r="A229" s="322"/>
      <c r="B229" s="322"/>
      <c r="C229" s="322"/>
      <c r="D229" s="322"/>
      <c r="E229" s="322"/>
      <c r="F229" s="322"/>
    </row>
    <row r="230" spans="1:6" ht="12.75" x14ac:dyDescent="0.2">
      <c r="A230" s="322"/>
      <c r="B230" s="322"/>
      <c r="C230" s="322"/>
      <c r="D230" s="322"/>
      <c r="E230" s="322"/>
      <c r="F230" s="322"/>
    </row>
    <row r="231" spans="1:6" ht="12.75" x14ac:dyDescent="0.2">
      <c r="A231" s="322"/>
      <c r="B231" s="322"/>
      <c r="C231" s="322"/>
      <c r="D231" s="322"/>
      <c r="E231" s="322"/>
      <c r="F231" s="322"/>
    </row>
    <row r="232" spans="1:6" ht="12.75" x14ac:dyDescent="0.2">
      <c r="A232" s="322"/>
      <c r="B232" s="322"/>
      <c r="C232" s="322"/>
      <c r="D232" s="322"/>
      <c r="E232" s="322"/>
      <c r="F232" s="322"/>
    </row>
    <row r="233" spans="1:6" ht="12.75" x14ac:dyDescent="0.2">
      <c r="A233" s="322"/>
      <c r="B233" s="322"/>
      <c r="C233" s="322"/>
      <c r="D233" s="322"/>
      <c r="E233" s="322"/>
      <c r="F233" s="322"/>
    </row>
    <row r="234" spans="1:6" ht="12.75" x14ac:dyDescent="0.2">
      <c r="A234" s="322"/>
      <c r="B234" s="322"/>
      <c r="C234" s="322"/>
      <c r="D234" s="322"/>
      <c r="E234" s="322"/>
      <c r="F234" s="322"/>
    </row>
    <row r="235" spans="1:6" ht="12.75" x14ac:dyDescent="0.2">
      <c r="A235" s="322"/>
      <c r="B235" s="322"/>
      <c r="C235" s="322"/>
      <c r="D235" s="322"/>
      <c r="E235" s="322"/>
      <c r="F235" s="322"/>
    </row>
    <row r="236" spans="1:6" ht="12.75" x14ac:dyDescent="0.2">
      <c r="A236" s="322"/>
      <c r="B236" s="322"/>
      <c r="C236" s="322"/>
      <c r="D236" s="322"/>
      <c r="E236" s="322"/>
      <c r="F236" s="322"/>
    </row>
    <row r="237" spans="1:6" ht="12.75" x14ac:dyDescent="0.2">
      <c r="A237" s="322"/>
      <c r="B237" s="322"/>
      <c r="C237" s="322"/>
      <c r="D237" s="322"/>
      <c r="E237" s="322"/>
      <c r="F237" s="322"/>
    </row>
    <row r="238" spans="1:6" ht="12.75" x14ac:dyDescent="0.2">
      <c r="A238" s="322"/>
      <c r="B238" s="322"/>
      <c r="C238" s="322"/>
      <c r="D238" s="322"/>
      <c r="E238" s="322"/>
      <c r="F238" s="322"/>
    </row>
    <row r="239" spans="1:6" ht="12.75" x14ac:dyDescent="0.2">
      <c r="A239" s="322"/>
      <c r="B239" s="322"/>
      <c r="C239" s="322"/>
      <c r="D239" s="322"/>
      <c r="E239" s="322"/>
      <c r="F239" s="322"/>
    </row>
    <row r="240" spans="1:6" ht="12.75" x14ac:dyDescent="0.2">
      <c r="A240" s="322"/>
      <c r="B240" s="322"/>
      <c r="C240" s="322"/>
      <c r="D240" s="322"/>
      <c r="E240" s="322"/>
      <c r="F240" s="322"/>
    </row>
    <row r="241" spans="1:6" ht="12.75" x14ac:dyDescent="0.2">
      <c r="A241" s="322"/>
      <c r="B241" s="322"/>
      <c r="C241" s="322"/>
      <c r="D241" s="322"/>
      <c r="E241" s="322"/>
      <c r="F241" s="322"/>
    </row>
    <row r="242" spans="1:6" ht="12.75" x14ac:dyDescent="0.2">
      <c r="A242" s="322"/>
      <c r="B242" s="322"/>
      <c r="C242" s="322"/>
      <c r="D242" s="322"/>
      <c r="E242" s="322"/>
      <c r="F242" s="322"/>
    </row>
    <row r="243" spans="1:6" ht="12.75" x14ac:dyDescent="0.2">
      <c r="A243" s="322"/>
      <c r="B243" s="322"/>
      <c r="C243" s="322"/>
      <c r="D243" s="322"/>
      <c r="E243" s="322"/>
      <c r="F243" s="322"/>
    </row>
    <row r="244" spans="1:6" ht="12.75" x14ac:dyDescent="0.2">
      <c r="A244" s="322"/>
      <c r="B244" s="322"/>
      <c r="C244" s="322"/>
      <c r="D244" s="322"/>
      <c r="E244" s="322"/>
      <c r="F244" s="322"/>
    </row>
    <row r="245" spans="1:6" ht="12.75" x14ac:dyDescent="0.2">
      <c r="A245" s="322"/>
      <c r="B245" s="322"/>
      <c r="C245" s="322"/>
      <c r="D245" s="322"/>
      <c r="E245" s="322"/>
      <c r="F245" s="322"/>
    </row>
    <row r="246" spans="1:6" ht="12.75" x14ac:dyDescent="0.2">
      <c r="A246" s="322"/>
      <c r="B246" s="322"/>
      <c r="C246" s="322"/>
      <c r="D246" s="322"/>
      <c r="E246" s="322"/>
      <c r="F246" s="322"/>
    </row>
    <row r="247" spans="1:6" ht="12.75" x14ac:dyDescent="0.2">
      <c r="A247" s="322"/>
      <c r="B247" s="322"/>
      <c r="C247" s="322"/>
      <c r="D247" s="322"/>
      <c r="E247" s="322"/>
      <c r="F247" s="322"/>
    </row>
    <row r="248" spans="1:6" ht="12.75" x14ac:dyDescent="0.2">
      <c r="A248" s="322"/>
      <c r="B248" s="322"/>
      <c r="C248" s="322"/>
      <c r="D248" s="322"/>
      <c r="E248" s="322"/>
      <c r="F248" s="322"/>
    </row>
    <row r="249" spans="1:6" ht="12.75" x14ac:dyDescent="0.2">
      <c r="A249" s="322"/>
      <c r="B249" s="322"/>
      <c r="C249" s="322"/>
      <c r="D249" s="322"/>
      <c r="E249" s="322"/>
      <c r="F249" s="322"/>
    </row>
    <row r="250" spans="1:6" ht="12.75" x14ac:dyDescent="0.2">
      <c r="A250" s="322"/>
      <c r="B250" s="322"/>
      <c r="C250" s="322"/>
      <c r="D250" s="322"/>
      <c r="E250" s="322"/>
      <c r="F250" s="322"/>
    </row>
    <row r="251" spans="1:6" ht="12.75" x14ac:dyDescent="0.2">
      <c r="A251" s="322"/>
      <c r="B251" s="322"/>
      <c r="C251" s="322"/>
      <c r="D251" s="322"/>
      <c r="E251" s="322"/>
      <c r="F251" s="322"/>
    </row>
    <row r="252" spans="1:6" ht="12.75" x14ac:dyDescent="0.2">
      <c r="A252" s="322"/>
      <c r="B252" s="322"/>
      <c r="C252" s="322"/>
      <c r="D252" s="322"/>
      <c r="E252" s="322"/>
      <c r="F252" s="322"/>
    </row>
    <row r="253" spans="1:6" ht="12.75" x14ac:dyDescent="0.2">
      <c r="A253" s="322"/>
      <c r="B253" s="322"/>
      <c r="C253" s="322"/>
      <c r="D253" s="322"/>
      <c r="E253" s="322"/>
      <c r="F253" s="322"/>
    </row>
    <row r="254" spans="1:6" ht="12.75" x14ac:dyDescent="0.2">
      <c r="A254" s="322"/>
      <c r="B254" s="322"/>
      <c r="C254" s="322"/>
      <c r="D254" s="322"/>
      <c r="E254" s="322"/>
      <c r="F254" s="322"/>
    </row>
    <row r="255" spans="1:6" ht="12.75" x14ac:dyDescent="0.2">
      <c r="A255" s="322"/>
      <c r="B255" s="322"/>
      <c r="C255" s="322"/>
      <c r="D255" s="322"/>
      <c r="E255" s="322"/>
      <c r="F255" s="322"/>
    </row>
    <row r="256" spans="1:6" ht="12.75" x14ac:dyDescent="0.2">
      <c r="A256" s="322"/>
      <c r="B256" s="322"/>
      <c r="C256" s="322"/>
      <c r="D256" s="322"/>
      <c r="E256" s="322"/>
      <c r="F256" s="322"/>
    </row>
    <row r="257" spans="1:6" ht="12.75" x14ac:dyDescent="0.2">
      <c r="A257" s="322"/>
      <c r="B257" s="322"/>
      <c r="C257" s="322"/>
      <c r="D257" s="322"/>
      <c r="E257" s="322"/>
      <c r="F257" s="322"/>
    </row>
    <row r="258" spans="1:6" ht="12.75" x14ac:dyDescent="0.2">
      <c r="A258" s="322"/>
      <c r="B258" s="322"/>
      <c r="C258" s="322"/>
      <c r="D258" s="322"/>
      <c r="E258" s="322"/>
      <c r="F258" s="322"/>
    </row>
    <row r="259" spans="1:6" ht="12.75" x14ac:dyDescent="0.2">
      <c r="A259" s="322"/>
      <c r="B259" s="322"/>
      <c r="C259" s="322"/>
      <c r="D259" s="322"/>
      <c r="E259" s="322"/>
      <c r="F259" s="322"/>
    </row>
    <row r="260" spans="1:6" ht="12.75" x14ac:dyDescent="0.2">
      <c r="A260" s="322"/>
      <c r="B260" s="322"/>
      <c r="C260" s="322"/>
      <c r="D260" s="322"/>
      <c r="E260" s="322"/>
      <c r="F260" s="322"/>
    </row>
    <row r="261" spans="1:6" ht="12.75" x14ac:dyDescent="0.2">
      <c r="A261" s="322"/>
      <c r="B261" s="322"/>
      <c r="C261" s="322"/>
      <c r="D261" s="322"/>
      <c r="E261" s="322"/>
      <c r="F261" s="322"/>
    </row>
    <row r="262" spans="1:6" ht="12.75" x14ac:dyDescent="0.2">
      <c r="A262" s="322"/>
      <c r="B262" s="322"/>
      <c r="C262" s="322"/>
      <c r="D262" s="322"/>
      <c r="E262" s="322"/>
      <c r="F262" s="322"/>
    </row>
    <row r="263" spans="1:6" ht="12.75" x14ac:dyDescent="0.2">
      <c r="A263" s="322"/>
      <c r="B263" s="322"/>
      <c r="C263" s="322"/>
      <c r="D263" s="322"/>
      <c r="E263" s="322"/>
      <c r="F263" s="322"/>
    </row>
    <row r="264" spans="1:6" ht="12.75" x14ac:dyDescent="0.2">
      <c r="A264" s="322"/>
      <c r="B264" s="322"/>
      <c r="C264" s="322"/>
      <c r="D264" s="322"/>
      <c r="E264" s="322"/>
      <c r="F264" s="322"/>
    </row>
    <row r="265" spans="1:6" ht="12.75" x14ac:dyDescent="0.2">
      <c r="A265" s="322"/>
      <c r="B265" s="322"/>
      <c r="C265" s="322"/>
      <c r="D265" s="322"/>
      <c r="E265" s="322"/>
      <c r="F265" s="322"/>
    </row>
    <row r="266" spans="1:6" ht="12.75" x14ac:dyDescent="0.2">
      <c r="A266" s="322"/>
      <c r="B266" s="322"/>
      <c r="C266" s="322"/>
      <c r="D266" s="322"/>
      <c r="E266" s="322"/>
      <c r="F266" s="322"/>
    </row>
    <row r="267" spans="1:6" ht="12.75" x14ac:dyDescent="0.2">
      <c r="A267" s="322"/>
      <c r="B267" s="322"/>
      <c r="C267" s="322"/>
      <c r="D267" s="322"/>
      <c r="E267" s="322"/>
      <c r="F267" s="322"/>
    </row>
    <row r="268" spans="1:6" ht="12.75" x14ac:dyDescent="0.2">
      <c r="A268" s="322"/>
      <c r="B268" s="322"/>
      <c r="C268" s="322"/>
      <c r="D268" s="322"/>
      <c r="E268" s="322"/>
      <c r="F268" s="322"/>
    </row>
    <row r="269" spans="1:6" ht="12.75" x14ac:dyDescent="0.2">
      <c r="A269" s="322"/>
      <c r="B269" s="322"/>
      <c r="C269" s="322"/>
      <c r="D269" s="322"/>
      <c r="E269" s="322"/>
      <c r="F269" s="322"/>
    </row>
    <row r="270" spans="1:6" ht="12.75" x14ac:dyDescent="0.2">
      <c r="A270" s="322"/>
      <c r="B270" s="322"/>
      <c r="C270" s="322"/>
      <c r="D270" s="322"/>
      <c r="E270" s="322"/>
      <c r="F270" s="322"/>
    </row>
    <row r="271" spans="1:6" ht="12.75" x14ac:dyDescent="0.2">
      <c r="A271" s="322"/>
      <c r="B271" s="322"/>
      <c r="C271" s="322"/>
      <c r="D271" s="322"/>
      <c r="E271" s="322"/>
      <c r="F271" s="322"/>
    </row>
    <row r="272" spans="1:6" ht="12.75" x14ac:dyDescent="0.2">
      <c r="A272" s="322"/>
      <c r="B272" s="322"/>
      <c r="C272" s="322"/>
      <c r="D272" s="322"/>
      <c r="E272" s="322"/>
      <c r="F272" s="322"/>
    </row>
    <row r="273" spans="1:6" ht="12.75" x14ac:dyDescent="0.2">
      <c r="A273" s="322"/>
      <c r="B273" s="322"/>
      <c r="C273" s="322"/>
      <c r="D273" s="322"/>
      <c r="E273" s="322"/>
      <c r="F273" s="322"/>
    </row>
    <row r="274" spans="1:6" ht="12.75" x14ac:dyDescent="0.2">
      <c r="A274" s="322"/>
      <c r="B274" s="322"/>
      <c r="C274" s="322"/>
      <c r="D274" s="322"/>
      <c r="E274" s="322"/>
      <c r="F274" s="322"/>
    </row>
    <row r="275" spans="1:6" ht="12.75" x14ac:dyDescent="0.2">
      <c r="A275" s="322"/>
      <c r="B275" s="322"/>
      <c r="C275" s="322"/>
      <c r="D275" s="322"/>
      <c r="E275" s="322"/>
      <c r="F275" s="322"/>
    </row>
    <row r="276" spans="1:6" ht="12.75" x14ac:dyDescent="0.2">
      <c r="A276" s="322"/>
      <c r="B276" s="322"/>
      <c r="C276" s="322"/>
      <c r="D276" s="322"/>
      <c r="E276" s="322"/>
      <c r="F276" s="322"/>
    </row>
    <row r="277" spans="1:6" ht="12.75" x14ac:dyDescent="0.2">
      <c r="A277" s="322"/>
      <c r="B277" s="322"/>
      <c r="C277" s="322"/>
      <c r="D277" s="322"/>
      <c r="E277" s="322"/>
      <c r="F277" s="322"/>
    </row>
    <row r="278" spans="1:6" ht="12.75" x14ac:dyDescent="0.2">
      <c r="A278" s="322"/>
      <c r="B278" s="322"/>
      <c r="C278" s="322"/>
      <c r="D278" s="322"/>
      <c r="E278" s="322"/>
      <c r="F278" s="322"/>
    </row>
    <row r="279" spans="1:6" ht="12.75" x14ac:dyDescent="0.2">
      <c r="A279" s="322"/>
      <c r="B279" s="322"/>
      <c r="C279" s="322"/>
      <c r="D279" s="322"/>
      <c r="E279" s="322"/>
      <c r="F279" s="322"/>
    </row>
    <row r="280" spans="1:6" ht="12.75" x14ac:dyDescent="0.2">
      <c r="A280" s="322"/>
      <c r="B280" s="322"/>
      <c r="C280" s="322"/>
      <c r="D280" s="322"/>
      <c r="E280" s="322"/>
      <c r="F280" s="322"/>
    </row>
    <row r="281" spans="1:6" ht="12.75" x14ac:dyDescent="0.2">
      <c r="A281" s="322"/>
      <c r="B281" s="322"/>
      <c r="C281" s="322"/>
      <c r="D281" s="322"/>
      <c r="E281" s="322"/>
      <c r="F281" s="322"/>
    </row>
    <row r="282" spans="1:6" ht="12.75" x14ac:dyDescent="0.2">
      <c r="A282" s="322"/>
      <c r="B282" s="322"/>
      <c r="C282" s="322"/>
      <c r="D282" s="322"/>
      <c r="E282" s="322"/>
      <c r="F282" s="322"/>
    </row>
    <row r="283" spans="1:6" ht="12.75" x14ac:dyDescent="0.2">
      <c r="A283" s="322"/>
      <c r="B283" s="322"/>
      <c r="C283" s="322"/>
      <c r="D283" s="322"/>
      <c r="E283" s="322"/>
      <c r="F283" s="322"/>
    </row>
    <row r="284" spans="1:6" ht="12.75" x14ac:dyDescent="0.2">
      <c r="A284" s="322"/>
      <c r="B284" s="322"/>
      <c r="C284" s="322"/>
      <c r="D284" s="322"/>
      <c r="E284" s="322"/>
      <c r="F284" s="322"/>
    </row>
    <row r="285" spans="1:6" ht="12.75" x14ac:dyDescent="0.2">
      <c r="A285" s="322"/>
      <c r="B285" s="322"/>
      <c r="C285" s="322"/>
      <c r="D285" s="322"/>
      <c r="E285" s="322"/>
      <c r="F285" s="322"/>
    </row>
    <row r="286" spans="1:6" ht="12.75" x14ac:dyDescent="0.2">
      <c r="A286" s="322"/>
      <c r="B286" s="322"/>
      <c r="C286" s="322"/>
      <c r="D286" s="322"/>
      <c r="E286" s="322"/>
      <c r="F286" s="322"/>
    </row>
    <row r="287" spans="1:6" ht="12.75" x14ac:dyDescent="0.2">
      <c r="A287" s="322"/>
      <c r="B287" s="322"/>
      <c r="C287" s="322"/>
      <c r="D287" s="322"/>
      <c r="E287" s="322"/>
      <c r="F287" s="322"/>
    </row>
    <row r="288" spans="1:6" ht="12.75" x14ac:dyDescent="0.2">
      <c r="A288" s="322"/>
      <c r="B288" s="322"/>
      <c r="C288" s="322"/>
      <c r="D288" s="322"/>
      <c r="E288" s="322"/>
      <c r="F288" s="322"/>
    </row>
    <row r="289" spans="1:6" ht="12.75" x14ac:dyDescent="0.2">
      <c r="A289" s="322"/>
      <c r="B289" s="322"/>
      <c r="C289" s="322"/>
      <c r="D289" s="322"/>
      <c r="E289" s="322"/>
      <c r="F289" s="322"/>
    </row>
    <row r="290" spans="1:6" ht="12.75" x14ac:dyDescent="0.2">
      <c r="A290" s="322"/>
      <c r="B290" s="322"/>
      <c r="C290" s="322"/>
      <c r="D290" s="322"/>
      <c r="E290" s="322"/>
      <c r="F290" s="322"/>
    </row>
    <row r="291" spans="1:6" ht="12.75" x14ac:dyDescent="0.2">
      <c r="A291" s="322"/>
      <c r="B291" s="322"/>
      <c r="C291" s="322"/>
      <c r="D291" s="322"/>
      <c r="E291" s="322"/>
      <c r="F291" s="322"/>
    </row>
    <row r="292" spans="1:6" ht="12.75" x14ac:dyDescent="0.2">
      <c r="A292" s="322"/>
      <c r="B292" s="322"/>
      <c r="C292" s="322"/>
      <c r="D292" s="322"/>
      <c r="E292" s="322"/>
      <c r="F292" s="322"/>
    </row>
    <row r="293" spans="1:6" ht="12.75" x14ac:dyDescent="0.2">
      <c r="A293" s="322"/>
      <c r="B293" s="322"/>
      <c r="C293" s="322"/>
      <c r="D293" s="322"/>
      <c r="E293" s="322"/>
      <c r="F293" s="322"/>
    </row>
    <row r="294" spans="1:6" ht="12.75" x14ac:dyDescent="0.2">
      <c r="A294" s="322"/>
      <c r="B294" s="322"/>
      <c r="C294" s="322"/>
      <c r="D294" s="322"/>
      <c r="E294" s="322"/>
      <c r="F294" s="322"/>
    </row>
    <row r="295" spans="1:6" ht="12.75" x14ac:dyDescent="0.2">
      <c r="A295" s="322"/>
      <c r="B295" s="322"/>
      <c r="C295" s="322"/>
      <c r="D295" s="322"/>
      <c r="E295" s="322"/>
      <c r="F295" s="322"/>
    </row>
    <row r="296" spans="1:6" ht="12.75" x14ac:dyDescent="0.2">
      <c r="A296" s="322"/>
      <c r="B296" s="322"/>
      <c r="C296" s="322"/>
      <c r="D296" s="322"/>
      <c r="E296" s="322"/>
      <c r="F296" s="322"/>
    </row>
    <row r="297" spans="1:6" ht="12.75" x14ac:dyDescent="0.2">
      <c r="A297" s="322"/>
      <c r="B297" s="322"/>
      <c r="C297" s="322"/>
      <c r="D297" s="322"/>
      <c r="E297" s="322"/>
      <c r="F297" s="322"/>
    </row>
    <row r="298" spans="1:6" ht="12.75" x14ac:dyDescent="0.2">
      <c r="A298" s="322"/>
      <c r="B298" s="322"/>
      <c r="C298" s="322"/>
      <c r="D298" s="322"/>
      <c r="E298" s="322"/>
      <c r="F298" s="322"/>
    </row>
    <row r="299" spans="1:6" ht="12.75" x14ac:dyDescent="0.2">
      <c r="A299" s="322"/>
      <c r="B299" s="322"/>
      <c r="C299" s="322"/>
      <c r="D299" s="322"/>
      <c r="E299" s="322"/>
      <c r="F299" s="322"/>
    </row>
    <row r="300" spans="1:6" ht="12.75" x14ac:dyDescent="0.2">
      <c r="A300" s="322"/>
      <c r="B300" s="322"/>
      <c r="C300" s="322"/>
      <c r="D300" s="322"/>
      <c r="E300" s="322"/>
      <c r="F300" s="322"/>
    </row>
    <row r="301" spans="1:6" ht="12.75" x14ac:dyDescent="0.2">
      <c r="A301" s="322"/>
      <c r="B301" s="322"/>
      <c r="C301" s="322"/>
      <c r="D301" s="322"/>
      <c r="E301" s="322"/>
      <c r="F301" s="322"/>
    </row>
    <row r="302" spans="1:6" ht="12.75" x14ac:dyDescent="0.2">
      <c r="A302" s="322"/>
      <c r="B302" s="322"/>
      <c r="C302" s="322"/>
      <c r="D302" s="322"/>
      <c r="E302" s="322"/>
      <c r="F302" s="322"/>
    </row>
    <row r="303" spans="1:6" ht="12.75" x14ac:dyDescent="0.2">
      <c r="A303" s="322"/>
      <c r="B303" s="322"/>
      <c r="C303" s="322"/>
      <c r="D303" s="322"/>
      <c r="E303" s="322"/>
      <c r="F303" s="322"/>
    </row>
    <row r="304" spans="1:6" ht="12.75" x14ac:dyDescent="0.2">
      <c r="A304" s="322"/>
      <c r="B304" s="322"/>
      <c r="C304" s="322"/>
      <c r="D304" s="322"/>
      <c r="E304" s="322"/>
      <c r="F304" s="322"/>
    </row>
    <row r="305" spans="1:6" ht="12.75" x14ac:dyDescent="0.2">
      <c r="A305" s="322"/>
      <c r="B305" s="322"/>
      <c r="C305" s="322"/>
      <c r="D305" s="322"/>
      <c r="E305" s="322"/>
      <c r="F305" s="322"/>
    </row>
    <row r="306" spans="1:6" ht="12.75" x14ac:dyDescent="0.2">
      <c r="A306" s="322"/>
      <c r="B306" s="322"/>
      <c r="C306" s="322"/>
      <c r="D306" s="322"/>
      <c r="E306" s="322"/>
      <c r="F306" s="322"/>
    </row>
    <row r="307" spans="1:6" ht="12.75" x14ac:dyDescent="0.2">
      <c r="A307" s="322"/>
      <c r="B307" s="322"/>
      <c r="C307" s="322"/>
      <c r="D307" s="322"/>
      <c r="E307" s="322"/>
      <c r="F307" s="322"/>
    </row>
    <row r="308" spans="1:6" ht="12.75" x14ac:dyDescent="0.2">
      <c r="A308" s="322"/>
      <c r="B308" s="322"/>
      <c r="C308" s="322"/>
      <c r="D308" s="322"/>
      <c r="E308" s="322"/>
      <c r="F308" s="322"/>
    </row>
    <row r="309" spans="1:6" ht="12.75" x14ac:dyDescent="0.2">
      <c r="A309" s="322"/>
      <c r="B309" s="322"/>
      <c r="C309" s="322"/>
      <c r="D309" s="322"/>
      <c r="E309" s="322"/>
      <c r="F309" s="322"/>
    </row>
    <row r="310" spans="1:6" ht="12.75" x14ac:dyDescent="0.2">
      <c r="A310" s="322"/>
      <c r="B310" s="322"/>
      <c r="C310" s="322"/>
      <c r="D310" s="322"/>
      <c r="E310" s="322"/>
      <c r="F310" s="322"/>
    </row>
    <row r="311" spans="1:6" ht="12.75" x14ac:dyDescent="0.2">
      <c r="A311" s="322"/>
      <c r="B311" s="322"/>
      <c r="C311" s="322"/>
      <c r="D311" s="322"/>
      <c r="E311" s="322"/>
      <c r="F311" s="322"/>
    </row>
    <row r="312" spans="1:6" ht="12.75" x14ac:dyDescent="0.2">
      <c r="A312" s="322"/>
      <c r="B312" s="322"/>
      <c r="C312" s="322"/>
      <c r="D312" s="322"/>
      <c r="E312" s="322"/>
      <c r="F312" s="322"/>
    </row>
    <row r="313" spans="1:6" ht="12.75" x14ac:dyDescent="0.2">
      <c r="A313" s="322"/>
      <c r="B313" s="322"/>
      <c r="C313" s="322"/>
      <c r="D313" s="322"/>
      <c r="E313" s="322"/>
      <c r="F313" s="322"/>
    </row>
    <row r="314" spans="1:6" ht="12.75" x14ac:dyDescent="0.2">
      <c r="A314" s="322"/>
      <c r="B314" s="322"/>
      <c r="C314" s="322"/>
      <c r="D314" s="322"/>
      <c r="E314" s="322"/>
      <c r="F314" s="322"/>
    </row>
    <row r="315" spans="1:6" ht="12.75" x14ac:dyDescent="0.2">
      <c r="A315" s="322"/>
      <c r="B315" s="322"/>
      <c r="C315" s="322"/>
      <c r="D315" s="322"/>
      <c r="E315" s="322"/>
      <c r="F315" s="322"/>
    </row>
    <row r="316" spans="1:6" ht="12.75" x14ac:dyDescent="0.2">
      <c r="A316" s="322"/>
      <c r="B316" s="322"/>
      <c r="C316" s="322"/>
      <c r="D316" s="322"/>
      <c r="E316" s="322"/>
      <c r="F316" s="322"/>
    </row>
    <row r="317" spans="1:6" ht="12.75" x14ac:dyDescent="0.2">
      <c r="A317" s="322"/>
      <c r="B317" s="322"/>
      <c r="C317" s="322"/>
      <c r="D317" s="322"/>
      <c r="E317" s="322"/>
      <c r="F317" s="322"/>
    </row>
    <row r="318" spans="1:6" ht="12.75" x14ac:dyDescent="0.2">
      <c r="A318" s="322"/>
      <c r="B318" s="322"/>
      <c r="C318" s="322"/>
      <c r="D318" s="322"/>
      <c r="E318" s="322"/>
      <c r="F318" s="322"/>
    </row>
    <row r="319" spans="1:6" ht="12.75" x14ac:dyDescent="0.2">
      <c r="A319" s="322"/>
      <c r="B319" s="322"/>
      <c r="C319" s="322"/>
      <c r="D319" s="322"/>
      <c r="E319" s="322"/>
      <c r="F319" s="322"/>
    </row>
    <row r="320" spans="1:6" ht="12.75" x14ac:dyDescent="0.2">
      <c r="A320" s="322"/>
      <c r="B320" s="322"/>
      <c r="C320" s="322"/>
      <c r="D320" s="322"/>
      <c r="E320" s="322"/>
      <c r="F320" s="322"/>
    </row>
    <row r="321" spans="1:6" ht="12.75" x14ac:dyDescent="0.2">
      <c r="A321" s="322"/>
      <c r="B321" s="322"/>
      <c r="C321" s="322"/>
      <c r="D321" s="322"/>
      <c r="E321" s="322"/>
      <c r="F321" s="322"/>
    </row>
    <row r="322" spans="1:6" ht="12.75" x14ac:dyDescent="0.2">
      <c r="A322" s="322"/>
      <c r="B322" s="322"/>
      <c r="C322" s="322"/>
      <c r="D322" s="322"/>
      <c r="E322" s="322"/>
      <c r="F322" s="322"/>
    </row>
    <row r="323" spans="1:6" ht="12.75" x14ac:dyDescent="0.2">
      <c r="A323" s="322"/>
      <c r="B323" s="322"/>
      <c r="C323" s="322"/>
      <c r="D323" s="322"/>
      <c r="E323" s="322"/>
      <c r="F323" s="322"/>
    </row>
    <row r="324" spans="1:6" ht="12.75" x14ac:dyDescent="0.2">
      <c r="A324" s="322"/>
      <c r="B324" s="322"/>
      <c r="C324" s="322"/>
      <c r="D324" s="322"/>
      <c r="E324" s="322"/>
      <c r="F324" s="322"/>
    </row>
    <row r="325" spans="1:6" ht="12.75" x14ac:dyDescent="0.2">
      <c r="A325" s="322"/>
      <c r="B325" s="322"/>
      <c r="C325" s="322"/>
      <c r="D325" s="322"/>
      <c r="E325" s="322"/>
      <c r="F325" s="322"/>
    </row>
    <row r="326" spans="1:6" ht="12.75" x14ac:dyDescent="0.2">
      <c r="A326" s="322"/>
      <c r="B326" s="322"/>
      <c r="C326" s="322"/>
      <c r="D326" s="322"/>
      <c r="E326" s="322"/>
      <c r="F326" s="322"/>
    </row>
    <row r="327" spans="1:6" ht="12.75" x14ac:dyDescent="0.2">
      <c r="A327" s="322"/>
      <c r="B327" s="322"/>
      <c r="C327" s="322"/>
      <c r="D327" s="322"/>
      <c r="E327" s="322"/>
      <c r="F327" s="322"/>
    </row>
    <row r="328" spans="1:6" ht="12.75" x14ac:dyDescent="0.2">
      <c r="A328" s="322"/>
      <c r="B328" s="322"/>
      <c r="C328" s="322"/>
      <c r="D328" s="322"/>
      <c r="E328" s="322"/>
      <c r="F328" s="322"/>
    </row>
    <row r="329" spans="1:6" ht="12.75" x14ac:dyDescent="0.2">
      <c r="A329" s="322"/>
      <c r="B329" s="322"/>
      <c r="C329" s="322"/>
      <c r="D329" s="322"/>
      <c r="E329" s="322"/>
      <c r="F329" s="322"/>
    </row>
    <row r="330" spans="1:6" ht="12.75" x14ac:dyDescent="0.2">
      <c r="A330" s="322"/>
      <c r="B330" s="322"/>
      <c r="C330" s="322"/>
      <c r="D330" s="322"/>
      <c r="E330" s="322"/>
      <c r="F330" s="322"/>
    </row>
    <row r="331" spans="1:6" ht="12.75" x14ac:dyDescent="0.2">
      <c r="A331" s="322"/>
      <c r="B331" s="322"/>
      <c r="C331" s="322"/>
      <c r="D331" s="322"/>
      <c r="E331" s="322"/>
      <c r="F331" s="322"/>
    </row>
    <row r="332" spans="1:6" ht="12.75" x14ac:dyDescent="0.2">
      <c r="A332" s="322"/>
      <c r="B332" s="322"/>
      <c r="C332" s="322"/>
      <c r="D332" s="322"/>
      <c r="E332" s="322"/>
      <c r="F332" s="322"/>
    </row>
    <row r="333" spans="1:6" ht="12.75" x14ac:dyDescent="0.2">
      <c r="A333" s="322"/>
      <c r="B333" s="322"/>
      <c r="C333" s="322"/>
      <c r="D333" s="322"/>
      <c r="E333" s="322"/>
      <c r="F333" s="322"/>
    </row>
    <row r="334" spans="1:6" ht="12.75" x14ac:dyDescent="0.2">
      <c r="A334" s="322"/>
      <c r="B334" s="322"/>
      <c r="C334" s="322"/>
      <c r="D334" s="322"/>
      <c r="E334" s="322"/>
      <c r="F334" s="322"/>
    </row>
    <row r="335" spans="1:6" ht="12.75" x14ac:dyDescent="0.2">
      <c r="A335" s="322"/>
      <c r="B335" s="322"/>
      <c r="C335" s="322"/>
      <c r="D335" s="322"/>
      <c r="E335" s="322"/>
      <c r="F335" s="322"/>
    </row>
    <row r="336" spans="1:6" ht="12.75" x14ac:dyDescent="0.2">
      <c r="A336" s="322"/>
      <c r="B336" s="322"/>
      <c r="C336" s="322"/>
      <c r="D336" s="322"/>
      <c r="E336" s="322"/>
      <c r="F336" s="322"/>
    </row>
    <row r="337" spans="1:6" ht="12.75" x14ac:dyDescent="0.2">
      <c r="A337" s="322"/>
      <c r="B337" s="322"/>
      <c r="C337" s="322"/>
      <c r="D337" s="322"/>
      <c r="E337" s="322"/>
      <c r="F337" s="322"/>
    </row>
    <row r="338" spans="1:6" ht="12.75" x14ac:dyDescent="0.2">
      <c r="A338" s="322"/>
      <c r="B338" s="322"/>
      <c r="C338" s="322"/>
      <c r="D338" s="322"/>
      <c r="E338" s="322"/>
      <c r="F338" s="322"/>
    </row>
    <row r="339" spans="1:6" ht="12.75" x14ac:dyDescent="0.2">
      <c r="A339" s="322"/>
      <c r="B339" s="322"/>
      <c r="C339" s="322"/>
      <c r="D339" s="322"/>
      <c r="E339" s="322"/>
      <c r="F339" s="322"/>
    </row>
    <row r="340" spans="1:6" ht="12.75" x14ac:dyDescent="0.2">
      <c r="A340" s="322"/>
      <c r="B340" s="322"/>
      <c r="C340" s="322"/>
      <c r="D340" s="322"/>
      <c r="E340" s="322"/>
      <c r="F340" s="322"/>
    </row>
    <row r="341" spans="1:6" ht="12.75" x14ac:dyDescent="0.2">
      <c r="A341" s="322"/>
      <c r="B341" s="322"/>
      <c r="C341" s="322"/>
      <c r="D341" s="322"/>
      <c r="E341" s="322"/>
      <c r="F341" s="322"/>
    </row>
    <row r="342" spans="1:6" ht="12.75" x14ac:dyDescent="0.2">
      <c r="A342" s="322"/>
      <c r="B342" s="322"/>
      <c r="C342" s="322"/>
      <c r="D342" s="322"/>
      <c r="E342" s="322"/>
      <c r="F342" s="322"/>
    </row>
    <row r="343" spans="1:6" ht="12.75" x14ac:dyDescent="0.2">
      <c r="A343" s="322"/>
      <c r="B343" s="322"/>
      <c r="C343" s="322"/>
      <c r="D343" s="322"/>
      <c r="E343" s="322"/>
      <c r="F343" s="322"/>
    </row>
    <row r="344" spans="1:6" ht="12.75" x14ac:dyDescent="0.2">
      <c r="A344" s="322"/>
      <c r="B344" s="322"/>
      <c r="C344" s="322"/>
      <c r="D344" s="322"/>
      <c r="E344" s="322"/>
      <c r="F344" s="322"/>
    </row>
    <row r="345" spans="1:6" ht="12.75" x14ac:dyDescent="0.2">
      <c r="A345" s="322"/>
      <c r="B345" s="322"/>
      <c r="C345" s="322"/>
      <c r="D345" s="322"/>
      <c r="E345" s="322"/>
      <c r="F345" s="322"/>
    </row>
    <row r="346" spans="1:6" ht="12.75" x14ac:dyDescent="0.2">
      <c r="A346" s="322"/>
      <c r="B346" s="322"/>
      <c r="C346" s="322"/>
      <c r="D346" s="322"/>
      <c r="E346" s="322"/>
      <c r="F346" s="322"/>
    </row>
    <row r="347" spans="1:6" ht="12.75" x14ac:dyDescent="0.2">
      <c r="A347" s="322"/>
      <c r="B347" s="322"/>
      <c r="C347" s="322"/>
      <c r="D347" s="322"/>
      <c r="E347" s="322"/>
      <c r="F347" s="322"/>
    </row>
    <row r="348" spans="1:6" ht="12.75" x14ac:dyDescent="0.2">
      <c r="A348" s="322"/>
      <c r="B348" s="322"/>
      <c r="C348" s="322"/>
      <c r="D348" s="322"/>
      <c r="E348" s="322"/>
      <c r="F348" s="322"/>
    </row>
    <row r="349" spans="1:6" ht="12.75" x14ac:dyDescent="0.2">
      <c r="A349" s="322"/>
      <c r="B349" s="322"/>
      <c r="C349" s="322"/>
      <c r="D349" s="322"/>
      <c r="E349" s="322"/>
      <c r="F349" s="322"/>
    </row>
    <row r="350" spans="1:6" ht="12.75" x14ac:dyDescent="0.2">
      <c r="A350" s="322"/>
      <c r="B350" s="322"/>
      <c r="C350" s="322"/>
      <c r="D350" s="322"/>
      <c r="E350" s="322"/>
      <c r="F350" s="322"/>
    </row>
    <row r="351" spans="1:6" ht="12.75" x14ac:dyDescent="0.2">
      <c r="A351" s="322"/>
      <c r="B351" s="322"/>
      <c r="C351" s="322"/>
      <c r="D351" s="322"/>
      <c r="E351" s="322"/>
      <c r="F351" s="322"/>
    </row>
    <row r="352" spans="1:6" ht="12.75" x14ac:dyDescent="0.2">
      <c r="A352" s="322"/>
      <c r="B352" s="322"/>
      <c r="C352" s="322"/>
      <c r="D352" s="322"/>
      <c r="E352" s="322"/>
      <c r="F352" s="322"/>
    </row>
    <row r="353" spans="1:6" ht="12.75" x14ac:dyDescent="0.2">
      <c r="A353" s="322"/>
      <c r="B353" s="322"/>
      <c r="C353" s="322"/>
      <c r="D353" s="322"/>
      <c r="E353" s="322"/>
      <c r="F353" s="322"/>
    </row>
    <row r="354" spans="1:6" ht="12.75" x14ac:dyDescent="0.2">
      <c r="A354" s="322"/>
      <c r="B354" s="322"/>
      <c r="C354" s="322"/>
      <c r="D354" s="322"/>
      <c r="E354" s="322"/>
      <c r="F354" s="322"/>
    </row>
    <row r="355" spans="1:6" ht="12.75" x14ac:dyDescent="0.2">
      <c r="A355" s="322"/>
      <c r="B355" s="322"/>
      <c r="C355" s="322"/>
      <c r="D355" s="322"/>
      <c r="E355" s="322"/>
      <c r="F355" s="322"/>
    </row>
    <row r="356" spans="1:6" ht="12.75" x14ac:dyDescent="0.2">
      <c r="A356" s="322"/>
      <c r="B356" s="322"/>
      <c r="C356" s="322"/>
      <c r="D356" s="322"/>
      <c r="E356" s="322"/>
      <c r="F356" s="322"/>
    </row>
    <row r="357" spans="1:6" ht="12.75" x14ac:dyDescent="0.2">
      <c r="A357" s="322"/>
      <c r="B357" s="322"/>
      <c r="C357" s="322"/>
      <c r="D357" s="322"/>
      <c r="E357" s="322"/>
      <c r="F357" s="322"/>
    </row>
    <row r="358" spans="1:6" ht="12.75" x14ac:dyDescent="0.2">
      <c r="A358" s="322"/>
      <c r="B358" s="322"/>
      <c r="C358" s="322"/>
      <c r="D358" s="322"/>
      <c r="E358" s="322"/>
      <c r="F358" s="322"/>
    </row>
    <row r="359" spans="1:6" ht="12.75" x14ac:dyDescent="0.2">
      <c r="A359" s="322"/>
      <c r="B359" s="322"/>
      <c r="C359" s="322"/>
      <c r="D359" s="322"/>
      <c r="E359" s="322"/>
      <c r="F359" s="322"/>
    </row>
    <row r="360" spans="1:6" ht="12.75" x14ac:dyDescent="0.2">
      <c r="A360" s="322"/>
      <c r="B360" s="322"/>
      <c r="C360" s="322"/>
      <c r="D360" s="322"/>
      <c r="E360" s="322"/>
      <c r="F360" s="322"/>
    </row>
    <row r="361" spans="1:6" ht="12.75" x14ac:dyDescent="0.2">
      <c r="A361" s="322"/>
      <c r="B361" s="322"/>
      <c r="C361" s="322"/>
      <c r="D361" s="322"/>
      <c r="E361" s="322"/>
      <c r="F361" s="322"/>
    </row>
    <row r="362" spans="1:6" ht="12.75" x14ac:dyDescent="0.2">
      <c r="A362" s="322"/>
      <c r="B362" s="322"/>
      <c r="C362" s="322"/>
      <c r="D362" s="322"/>
      <c r="E362" s="322"/>
      <c r="F362" s="322"/>
    </row>
    <row r="363" spans="1:6" ht="12.75" x14ac:dyDescent="0.2">
      <c r="A363" s="322"/>
      <c r="B363" s="322"/>
      <c r="C363" s="322"/>
      <c r="D363" s="322"/>
      <c r="E363" s="322"/>
      <c r="F363" s="322"/>
    </row>
    <row r="364" spans="1:6" ht="12.75" x14ac:dyDescent="0.2">
      <c r="A364" s="322"/>
      <c r="B364" s="322"/>
      <c r="C364" s="322"/>
      <c r="D364" s="322"/>
      <c r="E364" s="322"/>
      <c r="F364" s="322"/>
    </row>
    <row r="365" spans="1:6" ht="12.75" x14ac:dyDescent="0.2">
      <c r="A365" s="322"/>
      <c r="B365" s="322"/>
      <c r="C365" s="322"/>
      <c r="D365" s="322"/>
      <c r="E365" s="322"/>
      <c r="F365" s="322"/>
    </row>
    <row r="366" spans="1:6" ht="12.75" x14ac:dyDescent="0.2">
      <c r="A366" s="322"/>
      <c r="B366" s="322"/>
      <c r="C366" s="322"/>
      <c r="D366" s="322"/>
      <c r="E366" s="322"/>
      <c r="F366" s="322"/>
    </row>
    <row r="367" spans="1:6" ht="12.75" x14ac:dyDescent="0.2">
      <c r="A367" s="322"/>
      <c r="B367" s="322"/>
      <c r="C367" s="322"/>
      <c r="D367" s="322"/>
      <c r="E367" s="322"/>
      <c r="F367" s="322"/>
    </row>
    <row r="368" spans="1:6" ht="12.75" x14ac:dyDescent="0.2">
      <c r="A368" s="322"/>
      <c r="B368" s="322"/>
      <c r="C368" s="322"/>
      <c r="D368" s="322"/>
      <c r="E368" s="322"/>
      <c r="F368" s="322"/>
    </row>
    <row r="369" spans="1:6" ht="12.75" x14ac:dyDescent="0.2">
      <c r="A369" s="322"/>
      <c r="B369" s="322"/>
      <c r="C369" s="322"/>
      <c r="D369" s="322"/>
      <c r="E369" s="322"/>
      <c r="F369" s="322"/>
    </row>
    <row r="370" spans="1:6" ht="12.75" x14ac:dyDescent="0.2">
      <c r="A370" s="322"/>
      <c r="B370" s="322"/>
      <c r="C370" s="322"/>
      <c r="D370" s="322"/>
      <c r="E370" s="322"/>
      <c r="F370" s="322"/>
    </row>
    <row r="371" spans="1:6" ht="12.75" x14ac:dyDescent="0.2">
      <c r="A371" s="322"/>
      <c r="B371" s="322"/>
      <c r="C371" s="322"/>
      <c r="D371" s="322"/>
      <c r="E371" s="322"/>
      <c r="F371" s="322"/>
    </row>
    <row r="372" spans="1:6" ht="12.75" x14ac:dyDescent="0.2">
      <c r="A372" s="322"/>
      <c r="B372" s="322"/>
      <c r="C372" s="322"/>
      <c r="D372" s="322"/>
      <c r="E372" s="322"/>
      <c r="F372" s="322"/>
    </row>
    <row r="373" spans="1:6" ht="12.75" x14ac:dyDescent="0.2">
      <c r="A373" s="322"/>
      <c r="B373" s="322"/>
      <c r="C373" s="322"/>
      <c r="D373" s="322"/>
      <c r="E373" s="322"/>
      <c r="F373" s="322"/>
    </row>
    <row r="374" spans="1:6" ht="12.75" x14ac:dyDescent="0.2">
      <c r="A374" s="322"/>
      <c r="B374" s="322"/>
      <c r="C374" s="322"/>
      <c r="D374" s="322"/>
      <c r="E374" s="322"/>
      <c r="F374" s="322"/>
    </row>
    <row r="375" spans="1:6" ht="12.75" x14ac:dyDescent="0.2">
      <c r="A375" s="322"/>
      <c r="B375" s="322"/>
      <c r="C375" s="322"/>
      <c r="D375" s="322"/>
      <c r="E375" s="322"/>
      <c r="F375" s="322"/>
    </row>
    <row r="376" spans="1:6" ht="12.75" x14ac:dyDescent="0.2">
      <c r="A376" s="322"/>
      <c r="B376" s="322"/>
      <c r="C376" s="322"/>
      <c r="D376" s="322"/>
      <c r="E376" s="322"/>
      <c r="F376" s="322"/>
    </row>
    <row r="377" spans="1:6" ht="12.75" x14ac:dyDescent="0.2">
      <c r="A377" s="322"/>
      <c r="B377" s="322"/>
      <c r="C377" s="322"/>
      <c r="D377" s="322"/>
      <c r="E377" s="322"/>
      <c r="F377" s="322"/>
    </row>
    <row r="378" spans="1:6" ht="12.75" x14ac:dyDescent="0.2">
      <c r="A378" s="322"/>
      <c r="B378" s="322"/>
      <c r="C378" s="322"/>
      <c r="D378" s="322"/>
      <c r="E378" s="322"/>
      <c r="F378" s="322"/>
    </row>
    <row r="379" spans="1:6" ht="12.75" x14ac:dyDescent="0.2">
      <c r="A379" s="322"/>
      <c r="B379" s="322"/>
      <c r="C379" s="322"/>
      <c r="D379" s="322"/>
      <c r="E379" s="322"/>
      <c r="F379" s="322"/>
    </row>
    <row r="380" spans="1:6" ht="12.75" x14ac:dyDescent="0.2">
      <c r="A380" s="322"/>
      <c r="B380" s="322"/>
      <c r="C380" s="322"/>
      <c r="D380" s="322"/>
      <c r="E380" s="322"/>
      <c r="F380" s="322"/>
    </row>
    <row r="381" spans="1:6" ht="12.75" x14ac:dyDescent="0.2">
      <c r="A381" s="322"/>
      <c r="B381" s="322"/>
      <c r="C381" s="322"/>
      <c r="D381" s="322"/>
      <c r="E381" s="322"/>
      <c r="F381" s="322"/>
    </row>
    <row r="382" spans="1:6" ht="12.75" x14ac:dyDescent="0.2">
      <c r="A382" s="322"/>
      <c r="B382" s="322"/>
      <c r="C382" s="322"/>
      <c r="D382" s="322"/>
      <c r="E382" s="322"/>
      <c r="F382" s="322"/>
    </row>
    <row r="383" spans="1:6" ht="12.75" x14ac:dyDescent="0.2">
      <c r="A383" s="322"/>
      <c r="B383" s="322"/>
      <c r="C383" s="322"/>
      <c r="D383" s="322"/>
      <c r="E383" s="322"/>
      <c r="F383" s="322"/>
    </row>
    <row r="384" spans="1:6" ht="12.75" x14ac:dyDescent="0.2">
      <c r="A384" s="322"/>
      <c r="B384" s="322"/>
      <c r="C384" s="322"/>
      <c r="D384" s="322"/>
      <c r="E384" s="322"/>
      <c r="F384" s="322"/>
    </row>
    <row r="385" spans="1:6" ht="12.75" x14ac:dyDescent="0.2">
      <c r="A385" s="322"/>
      <c r="B385" s="322"/>
      <c r="C385" s="322"/>
      <c r="D385" s="322"/>
      <c r="E385" s="322"/>
      <c r="F385" s="322"/>
    </row>
    <row r="386" spans="1:6" ht="12.75" x14ac:dyDescent="0.2">
      <c r="A386" s="322"/>
      <c r="B386" s="322"/>
      <c r="C386" s="322"/>
      <c r="D386" s="322"/>
      <c r="E386" s="322"/>
      <c r="F386" s="322"/>
    </row>
    <row r="387" spans="1:6" ht="12.75" x14ac:dyDescent="0.2">
      <c r="A387" s="322"/>
      <c r="B387" s="322"/>
      <c r="C387" s="322"/>
      <c r="D387" s="322"/>
      <c r="E387" s="322"/>
      <c r="F387" s="322"/>
    </row>
    <row r="388" spans="1:6" ht="12.75" x14ac:dyDescent="0.2">
      <c r="A388" s="322"/>
      <c r="B388" s="322"/>
      <c r="C388" s="322"/>
      <c r="D388" s="322"/>
      <c r="E388" s="322"/>
      <c r="F388" s="322"/>
    </row>
    <row r="389" spans="1:6" ht="12.75" x14ac:dyDescent="0.2">
      <c r="A389" s="322"/>
      <c r="B389" s="322"/>
      <c r="C389" s="322"/>
      <c r="D389" s="322"/>
      <c r="E389" s="322"/>
      <c r="F389" s="322"/>
    </row>
    <row r="390" spans="1:6" ht="12.75" x14ac:dyDescent="0.2">
      <c r="A390" s="322"/>
      <c r="B390" s="322"/>
      <c r="C390" s="322"/>
      <c r="D390" s="322"/>
      <c r="E390" s="322"/>
      <c r="F390" s="322"/>
    </row>
    <row r="391" spans="1:6" ht="12.75" x14ac:dyDescent="0.2">
      <c r="A391" s="322"/>
      <c r="B391" s="322"/>
      <c r="C391" s="322"/>
      <c r="D391" s="322"/>
      <c r="E391" s="322"/>
      <c r="F391" s="322"/>
    </row>
    <row r="392" spans="1:6" ht="12.75" x14ac:dyDescent="0.2">
      <c r="A392" s="322"/>
      <c r="B392" s="322"/>
      <c r="C392" s="322"/>
      <c r="D392" s="322"/>
      <c r="E392" s="322"/>
      <c r="F392" s="322"/>
    </row>
    <row r="393" spans="1:6" ht="12.75" x14ac:dyDescent="0.2">
      <c r="A393" s="322"/>
      <c r="B393" s="322"/>
      <c r="C393" s="322"/>
      <c r="D393" s="322"/>
      <c r="E393" s="322"/>
      <c r="F393" s="322"/>
    </row>
    <row r="394" spans="1:6" ht="12.75" x14ac:dyDescent="0.2">
      <c r="A394" s="322"/>
      <c r="B394" s="322"/>
      <c r="C394" s="322"/>
      <c r="D394" s="322"/>
      <c r="E394" s="322"/>
      <c r="F394" s="322"/>
    </row>
    <row r="395" spans="1:6" ht="12.75" x14ac:dyDescent="0.2">
      <c r="A395" s="322"/>
      <c r="B395" s="322"/>
      <c r="C395" s="322"/>
      <c r="D395" s="322"/>
      <c r="E395" s="322"/>
      <c r="F395" s="322"/>
    </row>
    <row r="396" spans="1:6" ht="12.75" x14ac:dyDescent="0.2">
      <c r="A396" s="322"/>
      <c r="B396" s="322"/>
      <c r="C396" s="322"/>
      <c r="D396" s="322"/>
      <c r="E396" s="322"/>
      <c r="F396" s="322"/>
    </row>
    <row r="397" spans="1:6" ht="12.75" x14ac:dyDescent="0.2">
      <c r="A397" s="322"/>
      <c r="B397" s="322"/>
      <c r="C397" s="322"/>
      <c r="D397" s="322"/>
      <c r="E397" s="322"/>
      <c r="F397" s="322"/>
    </row>
    <row r="398" spans="1:6" ht="12.75" x14ac:dyDescent="0.2">
      <c r="A398" s="322"/>
      <c r="B398" s="322"/>
      <c r="C398" s="322"/>
      <c r="D398" s="322"/>
      <c r="E398" s="322"/>
      <c r="F398" s="322"/>
    </row>
    <row r="399" spans="1:6" ht="12.75" x14ac:dyDescent="0.2">
      <c r="A399" s="322"/>
      <c r="B399" s="322"/>
      <c r="C399" s="322"/>
      <c r="D399" s="322"/>
      <c r="E399" s="322"/>
      <c r="F399" s="322"/>
    </row>
    <row r="400" spans="1:6" ht="12.75" x14ac:dyDescent="0.2">
      <c r="A400" s="322"/>
      <c r="B400" s="322"/>
      <c r="C400" s="322"/>
      <c r="D400" s="322"/>
      <c r="E400" s="322"/>
      <c r="F400" s="322"/>
    </row>
    <row r="401" spans="1:6" ht="12.75" x14ac:dyDescent="0.2">
      <c r="A401" s="322"/>
      <c r="B401" s="322"/>
      <c r="C401" s="322"/>
      <c r="D401" s="322"/>
      <c r="E401" s="322"/>
      <c r="F401" s="322"/>
    </row>
    <row r="402" spans="1:6" ht="12.75" x14ac:dyDescent="0.2">
      <c r="A402" s="322"/>
      <c r="B402" s="322"/>
      <c r="C402" s="322"/>
      <c r="D402" s="322"/>
      <c r="E402" s="322"/>
      <c r="F402" s="322"/>
    </row>
    <row r="403" spans="1:6" ht="12.75" x14ac:dyDescent="0.2">
      <c r="A403" s="322"/>
      <c r="B403" s="322"/>
      <c r="C403" s="322"/>
      <c r="D403" s="322"/>
      <c r="E403" s="322"/>
      <c r="F403" s="322"/>
    </row>
    <row r="404" spans="1:6" ht="12.75" x14ac:dyDescent="0.2">
      <c r="A404" s="322"/>
      <c r="B404" s="322"/>
      <c r="C404" s="322"/>
      <c r="D404" s="322"/>
      <c r="E404" s="322"/>
      <c r="F404" s="322"/>
    </row>
    <row r="405" spans="1:6" ht="12.75" x14ac:dyDescent="0.2">
      <c r="A405" s="322"/>
      <c r="B405" s="322"/>
      <c r="C405" s="322"/>
      <c r="D405" s="322"/>
      <c r="E405" s="322"/>
      <c r="F405" s="322"/>
    </row>
    <row r="406" spans="1:6" ht="12.75" x14ac:dyDescent="0.2">
      <c r="A406" s="322"/>
      <c r="B406" s="322"/>
      <c r="C406" s="322"/>
      <c r="D406" s="322"/>
      <c r="E406" s="322"/>
      <c r="F406" s="322"/>
    </row>
    <row r="407" spans="1:6" ht="12.75" x14ac:dyDescent="0.2">
      <c r="A407" s="322"/>
      <c r="B407" s="322"/>
      <c r="C407" s="322"/>
      <c r="D407" s="322"/>
      <c r="E407" s="322"/>
      <c r="F407" s="322"/>
    </row>
    <row r="408" spans="1:6" ht="12.75" x14ac:dyDescent="0.2">
      <c r="A408" s="322"/>
      <c r="B408" s="322"/>
      <c r="C408" s="322"/>
      <c r="D408" s="322"/>
      <c r="E408" s="322"/>
      <c r="F408" s="322"/>
    </row>
    <row r="409" spans="1:6" ht="12.75" x14ac:dyDescent="0.2">
      <c r="A409" s="322"/>
      <c r="B409" s="322"/>
      <c r="C409" s="322"/>
      <c r="D409" s="322"/>
      <c r="E409" s="322"/>
      <c r="F409" s="322"/>
    </row>
    <row r="410" spans="1:6" ht="12.75" x14ac:dyDescent="0.2">
      <c r="A410" s="322"/>
      <c r="B410" s="322"/>
      <c r="C410" s="322"/>
      <c r="D410" s="322"/>
      <c r="E410" s="322"/>
      <c r="F410" s="322"/>
    </row>
    <row r="411" spans="1:6" ht="12.75" x14ac:dyDescent="0.2">
      <c r="A411" s="322"/>
      <c r="B411" s="322"/>
      <c r="C411" s="322"/>
      <c r="D411" s="322"/>
      <c r="E411" s="322"/>
      <c r="F411" s="322"/>
    </row>
    <row r="412" spans="1:6" ht="12.75" x14ac:dyDescent="0.2">
      <c r="A412" s="322"/>
      <c r="B412" s="322"/>
      <c r="C412" s="322"/>
      <c r="D412" s="322"/>
      <c r="E412" s="322"/>
      <c r="F412" s="322"/>
    </row>
    <row r="413" spans="1:6" ht="12.75" x14ac:dyDescent="0.2">
      <c r="A413" s="322"/>
      <c r="B413" s="322"/>
      <c r="C413" s="322"/>
      <c r="D413" s="322"/>
      <c r="E413" s="322"/>
      <c r="F413" s="322"/>
    </row>
    <row r="414" spans="1:6" ht="12.75" x14ac:dyDescent="0.2">
      <c r="A414" s="322"/>
      <c r="B414" s="322"/>
      <c r="C414" s="322"/>
      <c r="D414" s="322"/>
      <c r="E414" s="322"/>
      <c r="F414" s="322"/>
    </row>
    <row r="415" spans="1:6" ht="12.75" x14ac:dyDescent="0.2">
      <c r="A415" s="322"/>
      <c r="B415" s="322"/>
      <c r="C415" s="322"/>
      <c r="D415" s="322"/>
      <c r="E415" s="322"/>
      <c r="F415" s="322"/>
    </row>
    <row r="416" spans="1:6" ht="12.75" x14ac:dyDescent="0.2">
      <c r="A416" s="322"/>
      <c r="B416" s="322"/>
      <c r="C416" s="322"/>
      <c r="D416" s="322"/>
      <c r="E416" s="322"/>
      <c r="F416" s="322"/>
    </row>
    <row r="417" spans="1:6" ht="12.75" x14ac:dyDescent="0.2">
      <c r="A417" s="322"/>
      <c r="B417" s="322"/>
      <c r="C417" s="322"/>
      <c r="D417" s="322"/>
      <c r="E417" s="322"/>
      <c r="F417" s="322"/>
    </row>
    <row r="418" spans="1:6" ht="12.75" x14ac:dyDescent="0.2">
      <c r="A418" s="322"/>
      <c r="B418" s="322"/>
      <c r="C418" s="322"/>
      <c r="D418" s="322"/>
      <c r="E418" s="322"/>
      <c r="F418" s="322"/>
    </row>
    <row r="419" spans="1:6" ht="12.75" x14ac:dyDescent="0.2">
      <c r="A419" s="322"/>
      <c r="B419" s="322"/>
      <c r="C419" s="322"/>
      <c r="D419" s="322"/>
      <c r="E419" s="322"/>
      <c r="F419" s="322"/>
    </row>
    <row r="420" spans="1:6" ht="12.75" x14ac:dyDescent="0.2">
      <c r="A420" s="322"/>
      <c r="B420" s="322"/>
      <c r="C420" s="322"/>
      <c r="D420" s="322"/>
      <c r="E420" s="322"/>
      <c r="F420" s="322"/>
    </row>
    <row r="421" spans="1:6" ht="12.75" x14ac:dyDescent="0.2">
      <c r="A421" s="322"/>
      <c r="B421" s="322"/>
      <c r="C421" s="322"/>
      <c r="D421" s="322"/>
      <c r="E421" s="322"/>
      <c r="F421" s="322"/>
    </row>
    <row r="422" spans="1:6" ht="12.75" x14ac:dyDescent="0.2">
      <c r="A422" s="322"/>
      <c r="B422" s="322"/>
      <c r="C422" s="322"/>
      <c r="D422" s="322"/>
      <c r="E422" s="322"/>
      <c r="F422" s="322"/>
    </row>
    <row r="423" spans="1:6" ht="12.75" x14ac:dyDescent="0.2">
      <c r="A423" s="322"/>
      <c r="B423" s="322"/>
      <c r="C423" s="322"/>
      <c r="D423" s="322"/>
      <c r="E423" s="322"/>
      <c r="F423" s="322"/>
    </row>
    <row r="424" spans="1:6" ht="12.75" x14ac:dyDescent="0.2">
      <c r="A424" s="322"/>
      <c r="B424" s="322"/>
      <c r="C424" s="322"/>
      <c r="D424" s="322"/>
      <c r="E424" s="322"/>
      <c r="F424" s="322"/>
    </row>
    <row r="425" spans="1:6" ht="12.75" x14ac:dyDescent="0.2">
      <c r="A425" s="322"/>
      <c r="B425" s="322"/>
      <c r="C425" s="322"/>
      <c r="D425" s="322"/>
      <c r="E425" s="322"/>
      <c r="F425" s="322"/>
    </row>
    <row r="426" spans="1:6" ht="12.75" x14ac:dyDescent="0.2">
      <c r="A426" s="322"/>
      <c r="B426" s="322"/>
      <c r="C426" s="322"/>
      <c r="D426" s="322"/>
      <c r="E426" s="322"/>
      <c r="F426" s="322"/>
    </row>
    <row r="427" spans="1:6" ht="12.75" x14ac:dyDescent="0.2">
      <c r="A427" s="322"/>
      <c r="B427" s="322"/>
      <c r="C427" s="322"/>
      <c r="D427" s="322"/>
      <c r="E427" s="322"/>
      <c r="F427" s="322"/>
    </row>
    <row r="428" spans="1:6" ht="12.75" x14ac:dyDescent="0.2">
      <c r="A428" s="322"/>
      <c r="B428" s="322"/>
      <c r="C428" s="322"/>
      <c r="D428" s="322"/>
      <c r="E428" s="322"/>
      <c r="F428" s="322"/>
    </row>
    <row r="429" spans="1:6" ht="12.75" x14ac:dyDescent="0.2">
      <c r="A429" s="322"/>
      <c r="B429" s="322"/>
      <c r="C429" s="322"/>
      <c r="D429" s="322"/>
      <c r="E429" s="322"/>
      <c r="F429" s="322"/>
    </row>
    <row r="430" spans="1:6" ht="12.75" x14ac:dyDescent="0.2">
      <c r="A430" s="322"/>
      <c r="B430" s="322"/>
      <c r="C430" s="322"/>
      <c r="D430" s="322"/>
      <c r="E430" s="322"/>
      <c r="F430" s="322"/>
    </row>
    <row r="431" spans="1:6" ht="12.75" x14ac:dyDescent="0.2">
      <c r="A431" s="322"/>
      <c r="B431" s="322"/>
      <c r="C431" s="322"/>
      <c r="D431" s="322"/>
      <c r="E431" s="322"/>
      <c r="F431" s="322"/>
    </row>
    <row r="432" spans="1:6" ht="12.75" x14ac:dyDescent="0.2">
      <c r="A432" s="322"/>
      <c r="B432" s="322"/>
      <c r="C432" s="322"/>
      <c r="D432" s="322"/>
      <c r="E432" s="322"/>
      <c r="F432" s="322"/>
    </row>
    <row r="433" spans="1:6" ht="12.75" x14ac:dyDescent="0.2">
      <c r="A433" s="322"/>
      <c r="B433" s="322"/>
      <c r="C433" s="322"/>
      <c r="D433" s="322"/>
      <c r="E433" s="322"/>
      <c r="F433" s="322"/>
    </row>
    <row r="434" spans="1:6" ht="12.75" x14ac:dyDescent="0.2">
      <c r="A434" s="322"/>
      <c r="B434" s="322"/>
      <c r="C434" s="322"/>
      <c r="D434" s="322"/>
      <c r="E434" s="322"/>
      <c r="F434" s="322"/>
    </row>
    <row r="435" spans="1:6" ht="12.75" x14ac:dyDescent="0.2">
      <c r="A435" s="322"/>
      <c r="B435" s="322"/>
      <c r="C435" s="322"/>
      <c r="D435" s="322"/>
      <c r="E435" s="322"/>
      <c r="F435" s="322"/>
    </row>
    <row r="436" spans="1:6" ht="12.75" x14ac:dyDescent="0.2">
      <c r="A436" s="322"/>
      <c r="B436" s="322"/>
      <c r="C436" s="322"/>
      <c r="D436" s="322"/>
      <c r="E436" s="322"/>
      <c r="F436" s="322"/>
    </row>
    <row r="437" spans="1:6" ht="12.75" x14ac:dyDescent="0.2">
      <c r="A437" s="322"/>
      <c r="B437" s="322"/>
      <c r="C437" s="322"/>
      <c r="D437" s="322"/>
      <c r="E437" s="322"/>
      <c r="F437" s="322"/>
    </row>
    <row r="438" spans="1:6" ht="12.75" x14ac:dyDescent="0.2">
      <c r="A438" s="322"/>
      <c r="B438" s="322"/>
      <c r="C438" s="322"/>
      <c r="D438" s="322"/>
      <c r="E438" s="322"/>
      <c r="F438" s="322"/>
    </row>
    <row r="439" spans="1:6" ht="12.75" x14ac:dyDescent="0.2">
      <c r="A439" s="322"/>
      <c r="B439" s="322"/>
      <c r="C439" s="322"/>
      <c r="D439" s="322"/>
      <c r="E439" s="322"/>
      <c r="F439" s="322"/>
    </row>
    <row r="440" spans="1:6" ht="12.75" x14ac:dyDescent="0.2">
      <c r="A440" s="322"/>
      <c r="B440" s="322"/>
      <c r="C440" s="322"/>
      <c r="D440" s="322"/>
      <c r="E440" s="322"/>
      <c r="F440" s="322"/>
    </row>
    <row r="441" spans="1:6" ht="12.75" x14ac:dyDescent="0.2">
      <c r="A441" s="322"/>
      <c r="B441" s="322"/>
      <c r="C441" s="322"/>
      <c r="D441" s="322"/>
      <c r="E441" s="322"/>
      <c r="F441" s="322"/>
    </row>
    <row r="442" spans="1:6" ht="12.75" x14ac:dyDescent="0.2">
      <c r="A442" s="322"/>
      <c r="B442" s="322"/>
      <c r="C442" s="322"/>
      <c r="D442" s="322"/>
      <c r="E442" s="322"/>
      <c r="F442" s="322"/>
    </row>
    <row r="443" spans="1:6" ht="12.75" x14ac:dyDescent="0.2">
      <c r="A443" s="322"/>
      <c r="B443" s="322"/>
      <c r="C443" s="322"/>
      <c r="D443" s="322"/>
      <c r="E443" s="322"/>
      <c r="F443" s="322"/>
    </row>
    <row r="444" spans="1:6" ht="12.75" x14ac:dyDescent="0.2">
      <c r="A444" s="322"/>
      <c r="B444" s="322"/>
      <c r="C444" s="322"/>
      <c r="D444" s="322"/>
      <c r="E444" s="322"/>
      <c r="F444" s="322"/>
    </row>
    <row r="445" spans="1:6" ht="12.75" x14ac:dyDescent="0.2">
      <c r="A445" s="322"/>
      <c r="B445" s="322"/>
      <c r="C445" s="322"/>
      <c r="D445" s="322"/>
      <c r="E445" s="322"/>
      <c r="F445" s="322"/>
    </row>
    <row r="446" spans="1:6" ht="12.75" x14ac:dyDescent="0.2">
      <c r="A446" s="322"/>
      <c r="B446" s="322"/>
      <c r="C446" s="322"/>
      <c r="D446" s="322"/>
      <c r="E446" s="322"/>
      <c r="F446" s="322"/>
    </row>
    <row r="447" spans="1:6" ht="12.75" x14ac:dyDescent="0.2">
      <c r="A447" s="322"/>
      <c r="B447" s="322"/>
      <c r="C447" s="322"/>
      <c r="D447" s="322"/>
      <c r="E447" s="322"/>
      <c r="F447" s="322"/>
    </row>
    <row r="448" spans="1:6" ht="12.75" x14ac:dyDescent="0.2">
      <c r="A448" s="322"/>
      <c r="B448" s="322"/>
      <c r="C448" s="322"/>
      <c r="D448" s="322"/>
      <c r="E448" s="322"/>
      <c r="F448" s="322"/>
    </row>
    <row r="449" spans="1:6" ht="12.75" x14ac:dyDescent="0.2">
      <c r="A449" s="322"/>
      <c r="B449" s="322"/>
      <c r="C449" s="322"/>
      <c r="D449" s="322"/>
      <c r="E449" s="322"/>
      <c r="F449" s="322"/>
    </row>
    <row r="450" spans="1:6" ht="12.75" x14ac:dyDescent="0.2">
      <c r="A450" s="322"/>
      <c r="B450" s="322"/>
      <c r="C450" s="322"/>
      <c r="D450" s="322"/>
      <c r="E450" s="322"/>
      <c r="F450" s="322"/>
    </row>
    <row r="451" spans="1:6" ht="12.75" x14ac:dyDescent="0.2">
      <c r="A451" s="322"/>
      <c r="B451" s="322"/>
      <c r="C451" s="322"/>
      <c r="D451" s="322"/>
      <c r="E451" s="322"/>
      <c r="F451" s="322"/>
    </row>
    <row r="452" spans="1:6" ht="12.75" x14ac:dyDescent="0.2">
      <c r="A452" s="322"/>
      <c r="B452" s="322"/>
      <c r="C452" s="322"/>
      <c r="D452" s="322"/>
      <c r="E452" s="322"/>
      <c r="F452" s="322"/>
    </row>
    <row r="453" spans="1:6" ht="12.75" x14ac:dyDescent="0.2">
      <c r="A453" s="322"/>
      <c r="B453" s="322"/>
      <c r="C453" s="322"/>
      <c r="D453" s="322"/>
      <c r="E453" s="322"/>
      <c r="F453" s="322"/>
    </row>
    <row r="454" spans="1:6" ht="12.75" x14ac:dyDescent="0.2">
      <c r="A454" s="322"/>
      <c r="B454" s="322"/>
      <c r="C454" s="322"/>
      <c r="D454" s="322"/>
      <c r="E454" s="322"/>
      <c r="F454" s="322"/>
    </row>
    <row r="455" spans="1:6" ht="12.75" x14ac:dyDescent="0.2">
      <c r="A455" s="322"/>
      <c r="B455" s="322"/>
      <c r="C455" s="322"/>
      <c r="D455" s="322"/>
      <c r="E455" s="322"/>
      <c r="F455" s="322"/>
    </row>
    <row r="456" spans="1:6" ht="12.75" x14ac:dyDescent="0.2">
      <c r="A456" s="322"/>
      <c r="B456" s="322"/>
      <c r="C456" s="322"/>
      <c r="D456" s="322"/>
      <c r="E456" s="322"/>
      <c r="F456" s="322"/>
    </row>
    <row r="457" spans="1:6" ht="12.75" x14ac:dyDescent="0.2">
      <c r="A457" s="322"/>
      <c r="B457" s="322"/>
      <c r="C457" s="322"/>
      <c r="D457" s="322"/>
      <c r="E457" s="322"/>
      <c r="F457" s="322"/>
    </row>
    <row r="458" spans="1:6" ht="12.75" x14ac:dyDescent="0.2">
      <c r="A458" s="322"/>
      <c r="B458" s="322"/>
      <c r="C458" s="322"/>
      <c r="D458" s="322"/>
      <c r="E458" s="322"/>
      <c r="F458" s="322"/>
    </row>
    <row r="459" spans="1:6" ht="12.75" x14ac:dyDescent="0.2">
      <c r="A459" s="322"/>
      <c r="B459" s="322"/>
      <c r="C459" s="322"/>
      <c r="D459" s="322"/>
      <c r="E459" s="322"/>
      <c r="F459" s="322"/>
    </row>
    <row r="460" spans="1:6" ht="12.75" x14ac:dyDescent="0.2">
      <c r="A460" s="322"/>
      <c r="B460" s="322"/>
      <c r="C460" s="322"/>
      <c r="D460" s="322"/>
      <c r="E460" s="322"/>
      <c r="F460" s="322"/>
    </row>
    <row r="461" spans="1:6" ht="12.75" x14ac:dyDescent="0.2">
      <c r="A461" s="322"/>
      <c r="B461" s="322"/>
      <c r="C461" s="322"/>
      <c r="D461" s="322"/>
      <c r="E461" s="322"/>
      <c r="F461" s="322"/>
    </row>
    <row r="462" spans="1:6" ht="12.75" x14ac:dyDescent="0.2">
      <c r="A462" s="322"/>
      <c r="B462" s="322"/>
      <c r="C462" s="322"/>
      <c r="D462" s="322"/>
      <c r="E462" s="322"/>
      <c r="F462" s="322"/>
    </row>
    <row r="463" spans="1:6" ht="12.75" x14ac:dyDescent="0.2">
      <c r="A463" s="322"/>
      <c r="B463" s="322"/>
      <c r="C463" s="322"/>
      <c r="D463" s="322"/>
      <c r="E463" s="322"/>
      <c r="F463" s="322"/>
    </row>
    <row r="464" spans="1:6" ht="12.75" x14ac:dyDescent="0.2">
      <c r="A464" s="322"/>
      <c r="B464" s="322"/>
      <c r="C464" s="322"/>
      <c r="D464" s="322"/>
      <c r="E464" s="322"/>
      <c r="F464" s="322"/>
    </row>
    <row r="465" spans="1:6" ht="12.75" x14ac:dyDescent="0.2">
      <c r="A465" s="322"/>
      <c r="B465" s="322"/>
      <c r="C465" s="322"/>
      <c r="D465" s="322"/>
      <c r="E465" s="322"/>
      <c r="F465" s="322"/>
    </row>
    <row r="466" spans="1:6" ht="12.75" x14ac:dyDescent="0.2">
      <c r="A466" s="322"/>
      <c r="B466" s="322"/>
      <c r="C466" s="322"/>
      <c r="D466" s="322"/>
      <c r="E466" s="322"/>
      <c r="F466" s="322"/>
    </row>
    <row r="467" spans="1:6" ht="12.75" x14ac:dyDescent="0.2">
      <c r="A467" s="322"/>
      <c r="B467" s="322"/>
      <c r="C467" s="322"/>
      <c r="D467" s="322"/>
      <c r="E467" s="322"/>
      <c r="F467" s="322"/>
    </row>
    <row r="468" spans="1:6" ht="12.75" x14ac:dyDescent="0.2">
      <c r="A468" s="322"/>
      <c r="B468" s="322"/>
      <c r="C468" s="322"/>
      <c r="D468" s="322"/>
      <c r="E468" s="322"/>
      <c r="F468" s="322"/>
    </row>
    <row r="469" spans="1:6" ht="12.75" x14ac:dyDescent="0.2">
      <c r="A469" s="322"/>
      <c r="B469" s="322"/>
      <c r="C469" s="322"/>
      <c r="D469" s="322"/>
      <c r="E469" s="322"/>
      <c r="F469" s="322"/>
    </row>
    <row r="470" spans="1:6" ht="12.75" x14ac:dyDescent="0.2">
      <c r="A470" s="322"/>
      <c r="B470" s="322"/>
      <c r="C470" s="322"/>
      <c r="D470" s="322"/>
      <c r="E470" s="322"/>
      <c r="F470" s="322"/>
    </row>
    <row r="471" spans="1:6" ht="12.75" x14ac:dyDescent="0.2">
      <c r="A471" s="322"/>
      <c r="B471" s="322"/>
      <c r="C471" s="322"/>
      <c r="D471" s="322"/>
      <c r="E471" s="322"/>
      <c r="F471" s="322"/>
    </row>
    <row r="472" spans="1:6" ht="12.75" x14ac:dyDescent="0.2">
      <c r="A472" s="322"/>
      <c r="B472" s="322"/>
      <c r="C472" s="322"/>
      <c r="D472" s="322"/>
      <c r="E472" s="322"/>
      <c r="F472" s="322"/>
    </row>
    <row r="473" spans="1:6" ht="12.75" x14ac:dyDescent="0.2">
      <c r="A473" s="322"/>
      <c r="B473" s="322"/>
      <c r="C473" s="322"/>
      <c r="D473" s="322"/>
      <c r="E473" s="322"/>
      <c r="F473" s="322"/>
    </row>
    <row r="474" spans="1:6" ht="12.75" x14ac:dyDescent="0.2">
      <c r="A474" s="322"/>
      <c r="B474" s="322"/>
      <c r="C474" s="322"/>
      <c r="D474" s="322"/>
      <c r="E474" s="322"/>
      <c r="F474" s="322"/>
    </row>
    <row r="475" spans="1:6" ht="12.75" x14ac:dyDescent="0.2">
      <c r="A475" s="322"/>
      <c r="B475" s="322"/>
      <c r="C475" s="322"/>
      <c r="D475" s="322"/>
      <c r="E475" s="322"/>
      <c r="F475" s="322"/>
    </row>
    <row r="476" spans="1:6" ht="12.75" x14ac:dyDescent="0.2">
      <c r="A476" s="322"/>
      <c r="B476" s="322"/>
      <c r="C476" s="322"/>
      <c r="D476" s="322"/>
      <c r="E476" s="322"/>
      <c r="F476" s="322"/>
    </row>
    <row r="477" spans="1:6" ht="12.75" x14ac:dyDescent="0.2">
      <c r="A477" s="322"/>
      <c r="B477" s="322"/>
      <c r="C477" s="322"/>
      <c r="D477" s="322"/>
      <c r="E477" s="322"/>
      <c r="F477" s="322"/>
    </row>
    <row r="478" spans="1:6" ht="12.75" x14ac:dyDescent="0.2">
      <c r="A478" s="322"/>
      <c r="B478" s="322"/>
      <c r="C478" s="322"/>
      <c r="D478" s="322"/>
      <c r="E478" s="322"/>
      <c r="F478" s="322"/>
    </row>
    <row r="479" spans="1:6" ht="12.75" x14ac:dyDescent="0.2">
      <c r="A479" s="322"/>
      <c r="B479" s="322"/>
      <c r="C479" s="322"/>
      <c r="D479" s="322"/>
      <c r="E479" s="322"/>
      <c r="F479" s="322"/>
    </row>
    <row r="480" spans="1:6" ht="12.75" x14ac:dyDescent="0.2">
      <c r="A480" s="322"/>
      <c r="B480" s="322"/>
      <c r="C480" s="322"/>
      <c r="D480" s="322"/>
      <c r="E480" s="322"/>
      <c r="F480" s="322"/>
    </row>
    <row r="481" spans="1:6" ht="12.75" x14ac:dyDescent="0.2">
      <c r="A481" s="322"/>
      <c r="B481" s="322"/>
      <c r="C481" s="322"/>
      <c r="D481" s="322"/>
      <c r="E481" s="322"/>
      <c r="F481" s="322"/>
    </row>
    <row r="482" spans="1:6" ht="12.75" x14ac:dyDescent="0.2">
      <c r="A482" s="322"/>
      <c r="B482" s="322"/>
      <c r="C482" s="322"/>
      <c r="D482" s="322"/>
      <c r="E482" s="322"/>
      <c r="F482" s="322"/>
    </row>
    <row r="483" spans="1:6" ht="12.75" x14ac:dyDescent="0.2">
      <c r="A483" s="322"/>
      <c r="B483" s="322"/>
      <c r="C483" s="322"/>
      <c r="D483" s="322"/>
      <c r="E483" s="322"/>
      <c r="F483" s="322"/>
    </row>
    <row r="484" spans="1:6" ht="12.75" x14ac:dyDescent="0.2">
      <c r="A484" s="322"/>
      <c r="B484" s="322"/>
      <c r="C484" s="322"/>
      <c r="D484" s="322"/>
      <c r="E484" s="322"/>
      <c r="F484" s="322"/>
    </row>
    <row r="485" spans="1:6" ht="12.75" x14ac:dyDescent="0.2">
      <c r="A485" s="322"/>
      <c r="B485" s="322"/>
      <c r="C485" s="322"/>
      <c r="D485" s="322"/>
      <c r="E485" s="322"/>
      <c r="F485" s="322"/>
    </row>
    <row r="486" spans="1:6" ht="12.75" x14ac:dyDescent="0.2">
      <c r="A486" s="322"/>
      <c r="B486" s="322"/>
      <c r="C486" s="322"/>
      <c r="D486" s="322"/>
      <c r="E486" s="322"/>
      <c r="F486" s="322"/>
    </row>
    <row r="487" spans="1:6" ht="12.75" x14ac:dyDescent="0.2">
      <c r="A487" s="322"/>
      <c r="B487" s="322"/>
      <c r="C487" s="322"/>
      <c r="D487" s="322"/>
      <c r="E487" s="322"/>
      <c r="F487" s="322"/>
    </row>
    <row r="488" spans="1:6" ht="12.75" x14ac:dyDescent="0.2">
      <c r="A488" s="322"/>
      <c r="B488" s="322"/>
      <c r="C488" s="322"/>
      <c r="D488" s="322"/>
      <c r="E488" s="322"/>
      <c r="F488" s="322"/>
    </row>
    <row r="489" spans="1:6" ht="12.75" x14ac:dyDescent="0.2">
      <c r="A489" s="322"/>
      <c r="B489" s="322"/>
      <c r="C489" s="322"/>
      <c r="D489" s="322"/>
      <c r="E489" s="322"/>
      <c r="F489" s="322"/>
    </row>
    <row r="490" spans="1:6" ht="12.75" x14ac:dyDescent="0.2">
      <c r="A490" s="322"/>
      <c r="B490" s="322"/>
      <c r="C490" s="322"/>
      <c r="D490" s="322"/>
      <c r="E490" s="322"/>
      <c r="F490" s="322"/>
    </row>
    <row r="491" spans="1:6" ht="12.75" x14ac:dyDescent="0.2">
      <c r="A491" s="322"/>
      <c r="B491" s="322"/>
      <c r="C491" s="322"/>
      <c r="D491" s="322"/>
      <c r="E491" s="322"/>
      <c r="F491" s="322"/>
    </row>
    <row r="492" spans="1:6" ht="12.75" x14ac:dyDescent="0.2">
      <c r="A492" s="322"/>
      <c r="B492" s="322"/>
      <c r="C492" s="322"/>
      <c r="D492" s="322"/>
      <c r="E492" s="322"/>
      <c r="F492" s="322"/>
    </row>
    <row r="493" spans="1:6" ht="12.75" x14ac:dyDescent="0.2">
      <c r="A493" s="322"/>
      <c r="B493" s="322"/>
      <c r="C493" s="322"/>
      <c r="D493" s="322"/>
      <c r="E493" s="322"/>
      <c r="F493" s="322"/>
    </row>
    <row r="494" spans="1:6" ht="12.75" x14ac:dyDescent="0.2">
      <c r="A494" s="322"/>
      <c r="B494" s="322"/>
      <c r="C494" s="322"/>
      <c r="D494" s="322"/>
      <c r="E494" s="322"/>
      <c r="F494" s="322"/>
    </row>
    <row r="495" spans="1:6" ht="12.75" x14ac:dyDescent="0.2">
      <c r="A495" s="322"/>
      <c r="B495" s="322"/>
      <c r="C495" s="322"/>
      <c r="D495" s="322"/>
      <c r="E495" s="322"/>
      <c r="F495" s="322"/>
    </row>
    <row r="496" spans="1:6" ht="12.75" x14ac:dyDescent="0.2">
      <c r="A496" s="322"/>
      <c r="B496" s="322"/>
      <c r="C496" s="322"/>
      <c r="D496" s="322"/>
      <c r="E496" s="322"/>
      <c r="F496" s="322"/>
    </row>
    <row r="497" spans="1:6" ht="12.75" x14ac:dyDescent="0.2">
      <c r="A497" s="322"/>
      <c r="B497" s="322"/>
      <c r="C497" s="322"/>
      <c r="D497" s="322"/>
      <c r="E497" s="322"/>
      <c r="F497" s="322"/>
    </row>
    <row r="498" spans="1:6" ht="12.75" x14ac:dyDescent="0.2">
      <c r="A498" s="322"/>
      <c r="B498" s="322"/>
      <c r="C498" s="322"/>
      <c r="D498" s="322"/>
      <c r="E498" s="322"/>
      <c r="F498" s="322"/>
    </row>
    <row r="499" spans="1:6" ht="12.75" x14ac:dyDescent="0.2">
      <c r="A499" s="322"/>
      <c r="B499" s="322"/>
      <c r="C499" s="322"/>
      <c r="D499" s="322"/>
      <c r="E499" s="322"/>
      <c r="F499" s="322"/>
    </row>
    <row r="500" spans="1:6" ht="12.75" x14ac:dyDescent="0.2">
      <c r="A500" s="322"/>
      <c r="B500" s="322"/>
      <c r="C500" s="322"/>
      <c r="D500" s="322"/>
      <c r="E500" s="322"/>
      <c r="F500" s="322"/>
    </row>
    <row r="501" spans="1:6" ht="12.75" x14ac:dyDescent="0.2">
      <c r="A501" s="322"/>
      <c r="B501" s="322"/>
      <c r="C501" s="322"/>
      <c r="D501" s="322"/>
      <c r="E501" s="322"/>
      <c r="F501" s="322"/>
    </row>
    <row r="502" spans="1:6" ht="12.75" x14ac:dyDescent="0.2">
      <c r="A502" s="322"/>
      <c r="B502" s="322"/>
      <c r="C502" s="322"/>
      <c r="D502" s="322"/>
      <c r="E502" s="322"/>
      <c r="F502" s="322"/>
    </row>
    <row r="503" spans="1:6" ht="12.75" x14ac:dyDescent="0.2">
      <c r="A503" s="322"/>
      <c r="B503" s="322"/>
      <c r="C503" s="322"/>
      <c r="D503" s="322"/>
      <c r="E503" s="322"/>
      <c r="F503" s="322"/>
    </row>
    <row r="504" spans="1:6" ht="12.75" x14ac:dyDescent="0.2">
      <c r="A504" s="322"/>
      <c r="B504" s="322"/>
      <c r="C504" s="322"/>
      <c r="D504" s="322"/>
      <c r="E504" s="322"/>
      <c r="F504" s="322"/>
    </row>
    <row r="505" spans="1:6" ht="12.75" x14ac:dyDescent="0.2">
      <c r="A505" s="322"/>
      <c r="B505" s="322"/>
      <c r="C505" s="322"/>
      <c r="D505" s="322"/>
      <c r="E505" s="322"/>
      <c r="F505" s="322"/>
    </row>
    <row r="506" spans="1:6" ht="12.75" x14ac:dyDescent="0.2">
      <c r="A506" s="322"/>
      <c r="B506" s="322"/>
      <c r="C506" s="322"/>
      <c r="D506" s="322"/>
      <c r="E506" s="322"/>
      <c r="F506" s="322"/>
    </row>
    <row r="507" spans="1:6" ht="12.75" x14ac:dyDescent="0.2">
      <c r="A507" s="322"/>
      <c r="B507" s="322"/>
      <c r="C507" s="322"/>
      <c r="D507" s="322"/>
      <c r="E507" s="322"/>
      <c r="F507" s="322"/>
    </row>
    <row r="508" spans="1:6" ht="12.75" x14ac:dyDescent="0.2">
      <c r="A508" s="322"/>
      <c r="B508" s="322"/>
      <c r="C508" s="322"/>
      <c r="D508" s="322"/>
      <c r="E508" s="322"/>
      <c r="F508" s="322"/>
    </row>
    <row r="509" spans="1:6" ht="12.75" x14ac:dyDescent="0.2">
      <c r="A509" s="322"/>
      <c r="B509" s="322"/>
      <c r="C509" s="322"/>
      <c r="D509" s="322"/>
      <c r="E509" s="322"/>
      <c r="F509" s="322"/>
    </row>
    <row r="510" spans="1:6" ht="12.75" x14ac:dyDescent="0.2">
      <c r="A510" s="322"/>
      <c r="B510" s="322"/>
      <c r="C510" s="322"/>
      <c r="D510" s="322"/>
      <c r="E510" s="322"/>
      <c r="F510" s="322"/>
    </row>
    <row r="511" spans="1:6" ht="12.75" x14ac:dyDescent="0.2">
      <c r="A511" s="322"/>
      <c r="B511" s="322"/>
      <c r="C511" s="322"/>
      <c r="D511" s="322"/>
      <c r="E511" s="322"/>
      <c r="F511" s="322"/>
    </row>
    <row r="512" spans="1:6" ht="12.75" x14ac:dyDescent="0.2">
      <c r="A512" s="322"/>
      <c r="B512" s="322"/>
      <c r="C512" s="322"/>
      <c r="D512" s="322"/>
      <c r="E512" s="322"/>
      <c r="F512" s="322"/>
    </row>
    <row r="513" spans="1:6" ht="12.75" x14ac:dyDescent="0.2">
      <c r="A513" s="322"/>
      <c r="B513" s="322"/>
      <c r="C513" s="322"/>
      <c r="D513" s="322"/>
      <c r="E513" s="322"/>
      <c r="F513" s="322"/>
    </row>
    <row r="514" spans="1:6" ht="12.75" x14ac:dyDescent="0.2">
      <c r="A514" s="322"/>
      <c r="B514" s="322"/>
      <c r="C514" s="322"/>
      <c r="D514" s="322"/>
      <c r="E514" s="322"/>
      <c r="F514" s="322"/>
    </row>
    <row r="515" spans="1:6" ht="12.75" x14ac:dyDescent="0.2">
      <c r="A515" s="322"/>
      <c r="B515" s="322"/>
      <c r="C515" s="322"/>
      <c r="D515" s="322"/>
      <c r="E515" s="322"/>
      <c r="F515" s="322"/>
    </row>
    <row r="516" spans="1:6" ht="12.75" x14ac:dyDescent="0.2">
      <c r="A516" s="322"/>
      <c r="B516" s="322"/>
      <c r="C516" s="322"/>
      <c r="D516" s="322"/>
      <c r="E516" s="322"/>
      <c r="F516" s="322"/>
    </row>
    <row r="517" spans="1:6" ht="12.75" x14ac:dyDescent="0.2">
      <c r="A517" s="322"/>
      <c r="B517" s="322"/>
      <c r="C517" s="322"/>
      <c r="D517" s="322"/>
      <c r="E517" s="322"/>
      <c r="F517" s="322"/>
    </row>
    <row r="518" spans="1:6" ht="12.75" x14ac:dyDescent="0.2">
      <c r="A518" s="322"/>
      <c r="B518" s="322"/>
      <c r="C518" s="322"/>
      <c r="D518" s="322"/>
      <c r="E518" s="322"/>
      <c r="F518" s="322"/>
    </row>
    <row r="519" spans="1:6" ht="12.75" x14ac:dyDescent="0.2">
      <c r="A519" s="322"/>
      <c r="B519" s="322"/>
      <c r="C519" s="322"/>
      <c r="D519" s="322"/>
      <c r="E519" s="322"/>
      <c r="F519" s="322"/>
    </row>
    <row r="520" spans="1:6" ht="12.75" x14ac:dyDescent="0.2">
      <c r="A520" s="322"/>
      <c r="B520" s="322"/>
      <c r="C520" s="322"/>
      <c r="D520" s="322"/>
      <c r="E520" s="322"/>
      <c r="F520" s="322"/>
    </row>
    <row r="521" spans="1:6" ht="12.75" x14ac:dyDescent="0.2">
      <c r="A521" s="322"/>
      <c r="B521" s="322"/>
      <c r="C521" s="322"/>
      <c r="D521" s="322"/>
      <c r="E521" s="322"/>
      <c r="F521" s="322"/>
    </row>
    <row r="522" spans="1:6" ht="12.75" x14ac:dyDescent="0.2">
      <c r="A522" s="322"/>
      <c r="B522" s="322"/>
      <c r="C522" s="322"/>
      <c r="D522" s="322"/>
      <c r="E522" s="322"/>
      <c r="F522" s="322"/>
    </row>
    <row r="523" spans="1:6" ht="12.75" x14ac:dyDescent="0.2">
      <c r="A523" s="322"/>
      <c r="B523" s="322"/>
      <c r="C523" s="322"/>
      <c r="D523" s="322"/>
      <c r="E523" s="322"/>
      <c r="F523" s="322"/>
    </row>
    <row r="524" spans="1:6" ht="12.75" x14ac:dyDescent="0.2">
      <c r="A524" s="322"/>
      <c r="B524" s="322"/>
      <c r="C524" s="322"/>
      <c r="D524" s="322"/>
      <c r="E524" s="322"/>
      <c r="F524" s="322"/>
    </row>
    <row r="525" spans="1:6" ht="12.75" x14ac:dyDescent="0.2">
      <c r="A525" s="322"/>
      <c r="B525" s="322"/>
      <c r="C525" s="322"/>
      <c r="D525" s="322"/>
      <c r="E525" s="322"/>
      <c r="F525" s="322"/>
    </row>
    <row r="526" spans="1:6" ht="12.75" x14ac:dyDescent="0.2">
      <c r="A526" s="322"/>
      <c r="B526" s="322"/>
      <c r="C526" s="322"/>
      <c r="D526" s="322"/>
      <c r="E526" s="322"/>
      <c r="F526" s="322"/>
    </row>
    <row r="527" spans="1:6" ht="12.75" x14ac:dyDescent="0.2">
      <c r="A527" s="322"/>
      <c r="B527" s="322"/>
      <c r="C527" s="322"/>
      <c r="D527" s="322"/>
      <c r="E527" s="322"/>
      <c r="F527" s="322"/>
    </row>
    <row r="528" spans="1:6" ht="12.75" x14ac:dyDescent="0.2">
      <c r="A528" s="322"/>
      <c r="B528" s="322"/>
      <c r="C528" s="322"/>
      <c r="D528" s="322"/>
      <c r="E528" s="322"/>
      <c r="F528" s="322"/>
    </row>
    <row r="529" spans="1:6" ht="12.75" x14ac:dyDescent="0.2">
      <c r="A529" s="322"/>
      <c r="B529" s="322"/>
      <c r="C529" s="322"/>
      <c r="D529" s="322"/>
      <c r="E529" s="322"/>
      <c r="F529" s="322"/>
    </row>
    <row r="530" spans="1:6" ht="12.75" x14ac:dyDescent="0.2">
      <c r="A530" s="322"/>
      <c r="B530" s="322"/>
      <c r="C530" s="322"/>
      <c r="D530" s="322"/>
      <c r="E530" s="322"/>
      <c r="F530" s="322"/>
    </row>
    <row r="531" spans="1:6" ht="12.75" x14ac:dyDescent="0.2">
      <c r="A531" s="322"/>
      <c r="B531" s="322"/>
      <c r="C531" s="322"/>
      <c r="D531" s="322"/>
      <c r="E531" s="322"/>
      <c r="F531" s="322"/>
    </row>
    <row r="532" spans="1:6" ht="12.75" x14ac:dyDescent="0.2">
      <c r="A532" s="322"/>
      <c r="B532" s="322"/>
      <c r="C532" s="322"/>
      <c r="D532" s="322"/>
      <c r="E532" s="322"/>
      <c r="F532" s="322"/>
    </row>
    <row r="533" spans="1:6" ht="12.75" x14ac:dyDescent="0.2">
      <c r="A533" s="322"/>
      <c r="B533" s="322"/>
      <c r="C533" s="322"/>
      <c r="D533" s="322"/>
      <c r="E533" s="322"/>
      <c r="F533" s="322"/>
    </row>
    <row r="534" spans="1:6" ht="12.75" x14ac:dyDescent="0.2">
      <c r="A534" s="322"/>
      <c r="B534" s="322"/>
      <c r="C534" s="322"/>
      <c r="D534" s="322"/>
      <c r="E534" s="322"/>
      <c r="F534" s="322"/>
    </row>
    <row r="535" spans="1:6" ht="12.75" x14ac:dyDescent="0.2">
      <c r="A535" s="322"/>
      <c r="B535" s="322"/>
      <c r="C535" s="322"/>
      <c r="D535" s="322"/>
      <c r="E535" s="322"/>
      <c r="F535" s="322"/>
    </row>
    <row r="536" spans="1:6" ht="12.75" x14ac:dyDescent="0.2">
      <c r="A536" s="322"/>
      <c r="B536" s="322"/>
      <c r="C536" s="322"/>
      <c r="D536" s="322"/>
      <c r="E536" s="322"/>
      <c r="F536" s="322"/>
    </row>
    <row r="537" spans="1:6" ht="12.75" x14ac:dyDescent="0.2">
      <c r="A537" s="322"/>
      <c r="B537" s="322"/>
      <c r="C537" s="322"/>
      <c r="D537" s="322"/>
      <c r="E537" s="322"/>
      <c r="F537" s="322"/>
    </row>
    <row r="538" spans="1:6" ht="12.75" x14ac:dyDescent="0.2">
      <c r="A538" s="322"/>
      <c r="B538" s="322"/>
      <c r="C538" s="322"/>
      <c r="D538" s="322"/>
      <c r="E538" s="322"/>
      <c r="F538" s="322"/>
    </row>
    <row r="539" spans="1:6" ht="12.75" x14ac:dyDescent="0.2">
      <c r="A539" s="322"/>
      <c r="B539" s="322"/>
      <c r="C539" s="322"/>
      <c r="D539" s="322"/>
      <c r="E539" s="322"/>
      <c r="F539" s="322"/>
    </row>
    <row r="540" spans="1:6" ht="12.75" x14ac:dyDescent="0.2">
      <c r="A540" s="322"/>
      <c r="B540" s="322"/>
      <c r="C540" s="322"/>
      <c r="D540" s="322"/>
      <c r="E540" s="322"/>
      <c r="F540" s="322"/>
    </row>
    <row r="541" spans="1:6" ht="12.75" x14ac:dyDescent="0.2">
      <c r="A541" s="322"/>
      <c r="B541" s="322"/>
      <c r="C541" s="322"/>
      <c r="D541" s="322"/>
      <c r="E541" s="322"/>
      <c r="F541" s="322"/>
    </row>
    <row r="542" spans="1:6" ht="12.75" x14ac:dyDescent="0.2">
      <c r="A542" s="322"/>
      <c r="B542" s="322"/>
      <c r="C542" s="322"/>
      <c r="D542" s="322"/>
      <c r="E542" s="322"/>
      <c r="F542" s="322"/>
    </row>
    <row r="543" spans="1:6" ht="12.75" x14ac:dyDescent="0.2">
      <c r="A543" s="322"/>
      <c r="B543" s="322"/>
      <c r="C543" s="322"/>
      <c r="D543" s="322"/>
      <c r="E543" s="322"/>
      <c r="F543" s="322"/>
    </row>
    <row r="544" spans="1:6" ht="12.75" x14ac:dyDescent="0.2">
      <c r="A544" s="322"/>
      <c r="B544" s="322"/>
      <c r="C544" s="322"/>
      <c r="D544" s="322"/>
      <c r="E544" s="322"/>
      <c r="F544" s="322"/>
    </row>
    <row r="545" spans="1:6" ht="12.75" x14ac:dyDescent="0.2">
      <c r="A545" s="322"/>
      <c r="B545" s="322"/>
      <c r="C545" s="322"/>
      <c r="D545" s="322"/>
      <c r="E545" s="322"/>
      <c r="F545" s="322"/>
    </row>
    <row r="546" spans="1:6" ht="12.75" x14ac:dyDescent="0.2">
      <c r="A546" s="322"/>
      <c r="B546" s="322"/>
      <c r="C546" s="322"/>
      <c r="D546" s="322"/>
      <c r="E546" s="322"/>
      <c r="F546" s="322"/>
    </row>
    <row r="547" spans="1:6" ht="12.75" x14ac:dyDescent="0.2">
      <c r="A547" s="322"/>
      <c r="B547" s="322"/>
      <c r="C547" s="322"/>
      <c r="D547" s="322"/>
      <c r="E547" s="322"/>
      <c r="F547" s="322"/>
    </row>
    <row r="548" spans="1:6" ht="12.75" x14ac:dyDescent="0.2">
      <c r="A548" s="322"/>
      <c r="B548" s="322"/>
      <c r="C548" s="322"/>
      <c r="D548" s="322"/>
      <c r="E548" s="322"/>
      <c r="F548" s="322"/>
    </row>
    <row r="549" spans="1:6" ht="12.75" x14ac:dyDescent="0.2">
      <c r="A549" s="322"/>
      <c r="B549" s="322"/>
      <c r="C549" s="322"/>
      <c r="D549" s="322"/>
      <c r="E549" s="322"/>
      <c r="F549" s="322"/>
    </row>
    <row r="550" spans="1:6" ht="12.75" x14ac:dyDescent="0.2">
      <c r="A550" s="322"/>
      <c r="B550" s="322"/>
      <c r="C550" s="322"/>
      <c r="D550" s="322"/>
      <c r="E550" s="322"/>
      <c r="F550" s="322"/>
    </row>
    <row r="551" spans="1:6" ht="12.75" x14ac:dyDescent="0.2">
      <c r="A551" s="322"/>
      <c r="B551" s="322"/>
      <c r="C551" s="322"/>
      <c r="D551" s="322"/>
      <c r="E551" s="322"/>
      <c r="F551" s="322"/>
    </row>
    <row r="552" spans="1:6" ht="12.75" x14ac:dyDescent="0.2">
      <c r="A552" s="322"/>
      <c r="B552" s="322"/>
      <c r="C552" s="322"/>
      <c r="D552" s="322"/>
      <c r="E552" s="322"/>
      <c r="F552" s="322"/>
    </row>
    <row r="553" spans="1:6" ht="12.75" x14ac:dyDescent="0.2">
      <c r="A553" s="322"/>
      <c r="B553" s="322"/>
      <c r="C553" s="322"/>
      <c r="D553" s="322"/>
      <c r="E553" s="322"/>
      <c r="F553" s="322"/>
    </row>
    <row r="554" spans="1:6" ht="12.75" x14ac:dyDescent="0.2">
      <c r="A554" s="322"/>
      <c r="B554" s="322"/>
      <c r="C554" s="322"/>
      <c r="D554" s="322"/>
      <c r="E554" s="322"/>
      <c r="F554" s="322"/>
    </row>
    <row r="555" spans="1:6" ht="12.75" x14ac:dyDescent="0.2">
      <c r="A555" s="322"/>
      <c r="B555" s="322"/>
      <c r="C555" s="322"/>
      <c r="D555" s="322"/>
      <c r="E555" s="322"/>
      <c r="F555" s="322"/>
    </row>
    <row r="556" spans="1:6" ht="12.75" x14ac:dyDescent="0.2">
      <c r="A556" s="322"/>
      <c r="B556" s="322"/>
      <c r="C556" s="322"/>
      <c r="D556" s="322"/>
      <c r="E556" s="322"/>
      <c r="F556" s="322"/>
    </row>
    <row r="557" spans="1:6" ht="12.75" x14ac:dyDescent="0.2">
      <c r="A557" s="322"/>
      <c r="B557" s="322"/>
      <c r="C557" s="322"/>
      <c r="D557" s="322"/>
      <c r="E557" s="322"/>
      <c r="F557" s="322"/>
    </row>
    <row r="558" spans="1:6" ht="12.75" x14ac:dyDescent="0.2">
      <c r="A558" s="322"/>
      <c r="B558" s="322"/>
      <c r="C558" s="322"/>
      <c r="D558" s="322"/>
      <c r="E558" s="322"/>
      <c r="F558" s="322"/>
    </row>
    <row r="559" spans="1:6" ht="12.75" x14ac:dyDescent="0.2">
      <c r="A559" s="322"/>
      <c r="B559" s="322"/>
      <c r="C559" s="322"/>
      <c r="D559" s="322"/>
      <c r="E559" s="322"/>
      <c r="F559" s="322"/>
    </row>
    <row r="560" spans="1:6" ht="12.75" x14ac:dyDescent="0.2">
      <c r="A560" s="322"/>
      <c r="B560" s="322"/>
      <c r="C560" s="322"/>
      <c r="D560" s="322"/>
      <c r="E560" s="322"/>
      <c r="F560" s="322"/>
    </row>
    <row r="561" spans="1:6" ht="12.75" x14ac:dyDescent="0.2">
      <c r="A561" s="322"/>
      <c r="B561" s="322"/>
      <c r="C561" s="322"/>
      <c r="D561" s="322"/>
      <c r="E561" s="322"/>
      <c r="F561" s="322"/>
    </row>
    <row r="562" spans="1:6" ht="12.75" x14ac:dyDescent="0.2">
      <c r="A562" s="322"/>
      <c r="B562" s="322"/>
      <c r="C562" s="322"/>
      <c r="D562" s="322"/>
      <c r="E562" s="322"/>
      <c r="F562" s="322"/>
    </row>
    <row r="563" spans="1:6" ht="12.75" x14ac:dyDescent="0.2">
      <c r="A563" s="322"/>
      <c r="B563" s="322"/>
      <c r="C563" s="322"/>
      <c r="D563" s="322"/>
      <c r="E563" s="322"/>
      <c r="F563" s="322"/>
    </row>
    <row r="564" spans="1:6" ht="12.75" x14ac:dyDescent="0.2">
      <c r="A564" s="322"/>
      <c r="B564" s="322"/>
      <c r="C564" s="322"/>
      <c r="D564" s="322"/>
      <c r="E564" s="322"/>
      <c r="F564" s="322"/>
    </row>
    <row r="565" spans="1:6" ht="12.75" x14ac:dyDescent="0.2">
      <c r="A565" s="322"/>
      <c r="B565" s="322"/>
      <c r="C565" s="322"/>
      <c r="D565" s="322"/>
      <c r="E565" s="322"/>
      <c r="F565" s="322"/>
    </row>
    <row r="566" spans="1:6" ht="12.75" x14ac:dyDescent="0.2">
      <c r="A566" s="322"/>
      <c r="B566" s="322"/>
      <c r="C566" s="322"/>
      <c r="D566" s="322"/>
      <c r="E566" s="322"/>
      <c r="F566" s="322"/>
    </row>
    <row r="567" spans="1:6" ht="12.75" x14ac:dyDescent="0.2">
      <c r="A567" s="322"/>
      <c r="B567" s="322"/>
      <c r="C567" s="322"/>
      <c r="D567" s="322"/>
      <c r="E567" s="322"/>
      <c r="F567" s="322"/>
    </row>
    <row r="568" spans="1:6" ht="12.75" x14ac:dyDescent="0.2">
      <c r="A568" s="322"/>
      <c r="B568" s="322"/>
      <c r="C568" s="322"/>
      <c r="D568" s="322"/>
      <c r="E568" s="322"/>
      <c r="F568" s="322"/>
    </row>
    <row r="569" spans="1:6" ht="12.75" x14ac:dyDescent="0.2">
      <c r="A569" s="322"/>
      <c r="B569" s="322"/>
      <c r="C569" s="322"/>
      <c r="D569" s="322"/>
      <c r="E569" s="322"/>
      <c r="F569" s="322"/>
    </row>
    <row r="570" spans="1:6" ht="12.75" x14ac:dyDescent="0.2">
      <c r="A570" s="322"/>
      <c r="B570" s="322"/>
      <c r="C570" s="322"/>
      <c r="D570" s="322"/>
      <c r="E570" s="322"/>
      <c r="F570" s="322"/>
    </row>
    <row r="571" spans="1:6" ht="12.75" x14ac:dyDescent="0.2">
      <c r="A571" s="322"/>
      <c r="B571" s="322"/>
      <c r="C571" s="322"/>
      <c r="D571" s="322"/>
      <c r="E571" s="322"/>
      <c r="F571" s="322"/>
    </row>
    <row r="572" spans="1:6" ht="12.75" x14ac:dyDescent="0.2">
      <c r="A572" s="322"/>
      <c r="B572" s="322"/>
      <c r="C572" s="322"/>
      <c r="D572" s="322"/>
      <c r="E572" s="322"/>
      <c r="F572" s="322"/>
    </row>
    <row r="573" spans="1:6" ht="12.75" x14ac:dyDescent="0.2">
      <c r="A573" s="322"/>
      <c r="B573" s="322"/>
      <c r="C573" s="322"/>
      <c r="D573" s="322"/>
      <c r="E573" s="322"/>
      <c r="F573" s="322"/>
    </row>
    <row r="574" spans="1:6" ht="12.75" x14ac:dyDescent="0.2">
      <c r="A574" s="322"/>
      <c r="B574" s="322"/>
      <c r="C574" s="322"/>
      <c r="D574" s="322"/>
      <c r="E574" s="322"/>
      <c r="F574" s="322"/>
    </row>
    <row r="575" spans="1:6" ht="12.75" x14ac:dyDescent="0.2">
      <c r="A575" s="322"/>
      <c r="B575" s="322"/>
      <c r="C575" s="322"/>
      <c r="D575" s="322"/>
      <c r="E575" s="322"/>
      <c r="F575" s="322"/>
    </row>
    <row r="576" spans="1:6" ht="12.75" x14ac:dyDescent="0.2">
      <c r="A576" s="322"/>
      <c r="B576" s="322"/>
      <c r="C576" s="322"/>
      <c r="D576" s="322"/>
      <c r="E576" s="322"/>
      <c r="F576" s="322"/>
    </row>
    <row r="577" spans="1:6" ht="12.75" x14ac:dyDescent="0.2">
      <c r="A577" s="322"/>
      <c r="B577" s="322"/>
      <c r="C577" s="322"/>
      <c r="D577" s="322"/>
      <c r="E577" s="322"/>
      <c r="F577" s="322"/>
    </row>
    <row r="578" spans="1:6" ht="12.75" x14ac:dyDescent="0.2">
      <c r="A578" s="322"/>
      <c r="B578" s="322"/>
      <c r="C578" s="322"/>
      <c r="D578" s="322"/>
      <c r="E578" s="322"/>
      <c r="F578" s="322"/>
    </row>
    <row r="579" spans="1:6" ht="12.75" x14ac:dyDescent="0.2">
      <c r="A579" s="322"/>
      <c r="B579" s="322"/>
      <c r="C579" s="322"/>
      <c r="D579" s="322"/>
      <c r="E579" s="322"/>
      <c r="F579" s="322"/>
    </row>
    <row r="580" spans="1:6" ht="12.75" x14ac:dyDescent="0.2">
      <c r="A580" s="322"/>
      <c r="B580" s="322"/>
      <c r="C580" s="322"/>
      <c r="D580" s="322"/>
      <c r="E580" s="322"/>
      <c r="F580" s="322"/>
    </row>
    <row r="581" spans="1:6" ht="12.75" x14ac:dyDescent="0.2">
      <c r="A581" s="322"/>
      <c r="B581" s="322"/>
      <c r="C581" s="322"/>
      <c r="D581" s="322"/>
      <c r="E581" s="322"/>
      <c r="F581" s="322"/>
    </row>
    <row r="582" spans="1:6" ht="12.75" x14ac:dyDescent="0.2">
      <c r="A582" s="322"/>
      <c r="B582" s="322"/>
      <c r="C582" s="322"/>
      <c r="D582" s="322"/>
      <c r="E582" s="322"/>
      <c r="F582" s="322"/>
    </row>
    <row r="583" spans="1:6" ht="12.75" x14ac:dyDescent="0.2">
      <c r="A583" s="322"/>
      <c r="B583" s="322"/>
      <c r="C583" s="322"/>
      <c r="D583" s="322"/>
      <c r="E583" s="322"/>
      <c r="F583" s="322"/>
    </row>
    <row r="584" spans="1:6" ht="12.75" x14ac:dyDescent="0.2">
      <c r="A584" s="322"/>
      <c r="B584" s="322"/>
      <c r="C584" s="322"/>
      <c r="D584" s="322"/>
      <c r="E584" s="322"/>
      <c r="F584" s="322"/>
    </row>
    <row r="585" spans="1:6" ht="12.75" x14ac:dyDescent="0.2">
      <c r="A585" s="322"/>
      <c r="B585" s="322"/>
      <c r="C585" s="322"/>
      <c r="D585" s="322"/>
      <c r="E585" s="322"/>
      <c r="F585" s="322"/>
    </row>
    <row r="586" spans="1:6" ht="12.75" x14ac:dyDescent="0.2">
      <c r="A586" s="322"/>
      <c r="B586" s="322"/>
      <c r="C586" s="322"/>
      <c r="D586" s="322"/>
      <c r="E586" s="322"/>
      <c r="F586" s="322"/>
    </row>
    <row r="587" spans="1:6" ht="12.75" x14ac:dyDescent="0.2">
      <c r="A587" s="322"/>
      <c r="B587" s="322"/>
      <c r="C587" s="322"/>
      <c r="D587" s="322"/>
      <c r="E587" s="322"/>
      <c r="F587" s="322"/>
    </row>
    <row r="588" spans="1:6" ht="12.75" x14ac:dyDescent="0.2">
      <c r="A588" s="322"/>
      <c r="B588" s="322"/>
      <c r="C588" s="322"/>
      <c r="D588" s="322"/>
      <c r="E588" s="322"/>
      <c r="F588" s="322"/>
    </row>
    <row r="589" spans="1:6" ht="12.75" x14ac:dyDescent="0.2">
      <c r="A589" s="322"/>
      <c r="B589" s="322"/>
      <c r="C589" s="322"/>
      <c r="D589" s="322"/>
      <c r="E589" s="322"/>
      <c r="F589" s="322"/>
    </row>
    <row r="590" spans="1:6" ht="12.75" x14ac:dyDescent="0.2">
      <c r="A590" s="322"/>
      <c r="B590" s="322"/>
      <c r="C590" s="322"/>
      <c r="D590" s="322"/>
      <c r="E590" s="322"/>
      <c r="F590" s="322"/>
    </row>
    <row r="591" spans="1:6" ht="12.75" x14ac:dyDescent="0.2">
      <c r="A591" s="322"/>
      <c r="B591" s="322"/>
      <c r="C591" s="322"/>
      <c r="D591" s="322"/>
      <c r="E591" s="322"/>
      <c r="F591" s="322"/>
    </row>
    <row r="592" spans="1:6" ht="12.75" x14ac:dyDescent="0.2">
      <c r="A592" s="322"/>
      <c r="B592" s="322"/>
      <c r="C592" s="322"/>
      <c r="D592" s="322"/>
      <c r="E592" s="322"/>
      <c r="F592" s="322"/>
    </row>
    <row r="593" spans="1:6" ht="12.75" x14ac:dyDescent="0.2">
      <c r="A593" s="322"/>
      <c r="B593" s="322"/>
      <c r="C593" s="322"/>
      <c r="D593" s="322"/>
      <c r="E593" s="322"/>
      <c r="F593" s="322"/>
    </row>
    <row r="594" spans="1:6" ht="12.75" x14ac:dyDescent="0.2">
      <c r="A594" s="322"/>
      <c r="B594" s="322"/>
      <c r="C594" s="322"/>
      <c r="D594" s="322"/>
      <c r="E594" s="322"/>
      <c r="F594" s="322"/>
    </row>
    <row r="595" spans="1:6" ht="12.75" x14ac:dyDescent="0.2">
      <c r="A595" s="322"/>
      <c r="B595" s="322"/>
      <c r="C595" s="322"/>
      <c r="D595" s="322"/>
      <c r="E595" s="322"/>
      <c r="F595" s="322"/>
    </row>
    <row r="596" spans="1:6" ht="12.75" x14ac:dyDescent="0.2">
      <c r="A596" s="322"/>
      <c r="B596" s="322"/>
      <c r="C596" s="322"/>
      <c r="D596" s="322"/>
      <c r="E596" s="322"/>
      <c r="F596" s="322"/>
    </row>
    <row r="597" spans="1:6" ht="12.75" x14ac:dyDescent="0.2">
      <c r="A597" s="322"/>
      <c r="B597" s="322"/>
      <c r="C597" s="322"/>
      <c r="D597" s="322"/>
      <c r="E597" s="322"/>
      <c r="F597" s="322"/>
    </row>
    <row r="598" spans="1:6" ht="12.75" x14ac:dyDescent="0.2">
      <c r="A598" s="322"/>
      <c r="B598" s="322"/>
      <c r="C598" s="322"/>
      <c r="D598" s="322"/>
      <c r="E598" s="322"/>
      <c r="F598" s="322"/>
    </row>
    <row r="599" spans="1:6" ht="12.75" x14ac:dyDescent="0.2">
      <c r="A599" s="322"/>
      <c r="B599" s="322"/>
      <c r="C599" s="322"/>
      <c r="D599" s="322"/>
      <c r="E599" s="322"/>
      <c r="F599" s="322"/>
    </row>
    <row r="600" spans="1:6" ht="12.75" x14ac:dyDescent="0.2">
      <c r="A600" s="322"/>
      <c r="B600" s="322"/>
      <c r="C600" s="322"/>
      <c r="D600" s="322"/>
      <c r="E600" s="322"/>
      <c r="F600" s="322"/>
    </row>
    <row r="601" spans="1:6" ht="12.75" x14ac:dyDescent="0.2">
      <c r="A601" s="322"/>
      <c r="B601" s="322"/>
      <c r="C601" s="322"/>
      <c r="D601" s="322"/>
      <c r="E601" s="322"/>
      <c r="F601" s="322"/>
    </row>
    <row r="602" spans="1:6" ht="12.75" x14ac:dyDescent="0.2">
      <c r="A602" s="322"/>
      <c r="B602" s="322"/>
      <c r="C602" s="322"/>
      <c r="D602" s="322"/>
      <c r="E602" s="322"/>
      <c r="F602" s="322"/>
    </row>
    <row r="603" spans="1:6" ht="12.75" x14ac:dyDescent="0.2">
      <c r="A603" s="322"/>
      <c r="B603" s="322"/>
      <c r="C603" s="322"/>
      <c r="D603" s="322"/>
      <c r="E603" s="322"/>
      <c r="F603" s="322"/>
    </row>
    <row r="604" spans="1:6" ht="12.75" x14ac:dyDescent="0.2">
      <c r="A604" s="322"/>
      <c r="B604" s="322"/>
      <c r="C604" s="322"/>
      <c r="D604" s="322"/>
      <c r="E604" s="322"/>
      <c r="F604" s="322"/>
    </row>
    <row r="605" spans="1:6" ht="12.75" x14ac:dyDescent="0.2">
      <c r="A605" s="322"/>
      <c r="B605" s="322"/>
      <c r="C605" s="322"/>
      <c r="D605" s="322"/>
      <c r="E605" s="322"/>
      <c r="F605" s="322"/>
    </row>
    <row r="606" spans="1:6" ht="12.75" x14ac:dyDescent="0.2">
      <c r="A606" s="322"/>
      <c r="B606" s="322"/>
      <c r="C606" s="322"/>
      <c r="D606" s="322"/>
      <c r="E606" s="322"/>
      <c r="F606" s="322"/>
    </row>
    <row r="607" spans="1:6" ht="12.75" x14ac:dyDescent="0.2">
      <c r="A607" s="322"/>
      <c r="B607" s="322"/>
      <c r="C607" s="322"/>
      <c r="D607" s="322"/>
      <c r="E607" s="322"/>
      <c r="F607" s="322"/>
    </row>
    <row r="608" spans="1:6" ht="12.75" x14ac:dyDescent="0.2">
      <c r="A608" s="322"/>
      <c r="B608" s="322"/>
      <c r="C608" s="322"/>
      <c r="D608" s="322"/>
      <c r="E608" s="322"/>
      <c r="F608" s="322"/>
    </row>
    <row r="609" spans="1:6" ht="12.75" x14ac:dyDescent="0.2">
      <c r="A609" s="322"/>
      <c r="B609" s="322"/>
      <c r="C609" s="322"/>
      <c r="D609" s="322"/>
      <c r="E609" s="322"/>
      <c r="F609" s="322"/>
    </row>
    <row r="610" spans="1:6" ht="12.75" x14ac:dyDescent="0.2">
      <c r="A610" s="322"/>
      <c r="B610" s="322"/>
      <c r="C610" s="322"/>
      <c r="D610" s="322"/>
      <c r="E610" s="322"/>
      <c r="F610" s="322"/>
    </row>
    <row r="611" spans="1:6" ht="12.75" x14ac:dyDescent="0.2">
      <c r="A611" s="322"/>
      <c r="B611" s="322"/>
      <c r="C611" s="322"/>
      <c r="D611" s="322"/>
      <c r="E611" s="322"/>
      <c r="F611" s="322"/>
    </row>
    <row r="612" spans="1:6" ht="12.75" x14ac:dyDescent="0.2">
      <c r="A612" s="322"/>
      <c r="B612" s="322"/>
      <c r="C612" s="322"/>
      <c r="D612" s="322"/>
      <c r="E612" s="322"/>
      <c r="F612" s="322"/>
    </row>
    <row r="613" spans="1:6" ht="12.75" x14ac:dyDescent="0.2">
      <c r="A613" s="322"/>
      <c r="B613" s="322"/>
      <c r="C613" s="322"/>
      <c r="D613" s="322"/>
      <c r="E613" s="322"/>
      <c r="F613" s="322"/>
    </row>
    <row r="614" spans="1:6" ht="12.75" x14ac:dyDescent="0.2">
      <c r="A614" s="322"/>
      <c r="B614" s="322"/>
      <c r="C614" s="322"/>
      <c r="D614" s="322"/>
      <c r="E614" s="322"/>
      <c r="F614" s="322"/>
    </row>
    <row r="615" spans="1:6" ht="12.75" x14ac:dyDescent="0.2">
      <c r="A615" s="322"/>
      <c r="B615" s="322"/>
      <c r="C615" s="322"/>
      <c r="D615" s="322"/>
      <c r="E615" s="322"/>
      <c r="F615" s="322"/>
    </row>
    <row r="616" spans="1:6" ht="12.75" x14ac:dyDescent="0.2">
      <c r="A616" s="322"/>
      <c r="B616" s="322"/>
      <c r="C616" s="322"/>
      <c r="D616" s="322"/>
      <c r="E616" s="322"/>
      <c r="F616" s="322"/>
    </row>
    <row r="617" spans="1:6" ht="12.75" x14ac:dyDescent="0.2">
      <c r="A617" s="322"/>
      <c r="B617" s="322"/>
      <c r="C617" s="322"/>
      <c r="D617" s="322"/>
      <c r="E617" s="322"/>
      <c r="F617" s="322"/>
    </row>
    <row r="618" spans="1:6" ht="12.75" x14ac:dyDescent="0.2">
      <c r="A618" s="322"/>
      <c r="B618" s="322"/>
      <c r="C618" s="322"/>
      <c r="D618" s="322"/>
      <c r="E618" s="322"/>
      <c r="F618" s="322"/>
    </row>
    <row r="619" spans="1:6" ht="12.75" x14ac:dyDescent="0.2">
      <c r="A619" s="322"/>
      <c r="B619" s="322"/>
      <c r="C619" s="322"/>
      <c r="D619" s="322"/>
      <c r="E619" s="322"/>
      <c r="F619" s="322"/>
    </row>
    <row r="620" spans="1:6" ht="12.75" x14ac:dyDescent="0.2">
      <c r="A620" s="322"/>
      <c r="B620" s="322"/>
      <c r="C620" s="322"/>
      <c r="D620" s="322"/>
      <c r="E620" s="322"/>
      <c r="F620" s="322"/>
    </row>
    <row r="621" spans="1:6" ht="12.75" x14ac:dyDescent="0.2">
      <c r="A621" s="322"/>
      <c r="B621" s="322"/>
      <c r="C621" s="322"/>
      <c r="D621" s="322"/>
      <c r="E621" s="322"/>
      <c r="F621" s="322"/>
    </row>
    <row r="622" spans="1:6" ht="12.75" x14ac:dyDescent="0.2">
      <c r="A622" s="322"/>
      <c r="B622" s="322"/>
      <c r="C622" s="322"/>
      <c r="D622" s="322"/>
      <c r="E622" s="322"/>
      <c r="F622" s="322"/>
    </row>
    <row r="623" spans="1:6" ht="12.75" x14ac:dyDescent="0.2">
      <c r="A623" s="322"/>
      <c r="B623" s="322"/>
      <c r="C623" s="322"/>
      <c r="D623" s="322"/>
      <c r="E623" s="322"/>
      <c r="F623" s="322"/>
    </row>
    <row r="624" spans="1:6" ht="12.75" x14ac:dyDescent="0.2">
      <c r="A624" s="322"/>
      <c r="B624" s="322"/>
      <c r="C624" s="322"/>
      <c r="D624" s="322"/>
      <c r="E624" s="322"/>
      <c r="F624" s="322"/>
    </row>
    <row r="625" spans="1:6" ht="12.75" x14ac:dyDescent="0.2">
      <c r="A625" s="322"/>
      <c r="B625" s="322"/>
      <c r="C625" s="322"/>
      <c r="D625" s="322"/>
      <c r="E625" s="322"/>
      <c r="F625" s="322"/>
    </row>
    <row r="626" spans="1:6" ht="12.75" x14ac:dyDescent="0.2">
      <c r="A626" s="322"/>
      <c r="B626" s="322"/>
      <c r="C626" s="322"/>
      <c r="D626" s="322"/>
      <c r="E626" s="322"/>
      <c r="F626" s="322"/>
    </row>
    <row r="627" spans="1:6" ht="12.75" x14ac:dyDescent="0.2">
      <c r="A627" s="322"/>
      <c r="B627" s="322"/>
      <c r="C627" s="322"/>
      <c r="D627" s="322"/>
      <c r="E627" s="322"/>
      <c r="F627" s="322"/>
    </row>
    <row r="628" spans="1:6" ht="12.75" x14ac:dyDescent="0.2">
      <c r="A628" s="322"/>
      <c r="B628" s="322"/>
      <c r="C628" s="322"/>
      <c r="D628" s="322"/>
      <c r="E628" s="322"/>
      <c r="F628" s="322"/>
    </row>
    <row r="629" spans="1:6" ht="12.75" x14ac:dyDescent="0.2">
      <c r="A629" s="322"/>
      <c r="B629" s="322"/>
      <c r="C629" s="322"/>
      <c r="D629" s="322"/>
      <c r="E629" s="322"/>
      <c r="F629" s="322"/>
    </row>
    <row r="630" spans="1:6" ht="12.75" x14ac:dyDescent="0.2">
      <c r="A630" s="322"/>
      <c r="B630" s="322"/>
      <c r="C630" s="322"/>
      <c r="D630" s="322"/>
      <c r="E630" s="322"/>
      <c r="F630" s="322"/>
    </row>
    <row r="631" spans="1:6" ht="12.75" x14ac:dyDescent="0.2">
      <c r="A631" s="322"/>
      <c r="B631" s="322"/>
      <c r="C631" s="322"/>
      <c r="D631" s="322"/>
      <c r="E631" s="322"/>
      <c r="F631" s="322"/>
    </row>
    <row r="632" spans="1:6" ht="12.75" x14ac:dyDescent="0.2">
      <c r="A632" s="322"/>
      <c r="B632" s="322"/>
      <c r="C632" s="322"/>
      <c r="D632" s="322"/>
      <c r="E632" s="322"/>
      <c r="F632" s="322"/>
    </row>
    <row r="633" spans="1:6" ht="12.75" x14ac:dyDescent="0.2">
      <c r="A633" s="322"/>
      <c r="B633" s="322"/>
      <c r="C633" s="322"/>
      <c r="D633" s="322"/>
      <c r="E633" s="322"/>
      <c r="F633" s="322"/>
    </row>
    <row r="634" spans="1:6" ht="12.75" x14ac:dyDescent="0.2">
      <c r="A634" s="322"/>
      <c r="B634" s="322"/>
      <c r="C634" s="322"/>
      <c r="D634" s="322"/>
      <c r="E634" s="322"/>
      <c r="F634" s="322"/>
    </row>
    <row r="635" spans="1:6" ht="12.75" x14ac:dyDescent="0.2">
      <c r="A635" s="322"/>
      <c r="B635" s="322"/>
      <c r="C635" s="322"/>
      <c r="D635" s="322"/>
      <c r="E635" s="322"/>
      <c r="F635" s="322"/>
    </row>
    <row r="636" spans="1:6" ht="12.75" x14ac:dyDescent="0.2">
      <c r="A636" s="322"/>
      <c r="B636" s="322"/>
      <c r="C636" s="322"/>
      <c r="D636" s="322"/>
      <c r="E636" s="322"/>
      <c r="F636" s="322"/>
    </row>
    <row r="637" spans="1:6" ht="12.75" x14ac:dyDescent="0.2">
      <c r="A637" s="322"/>
      <c r="B637" s="322"/>
      <c r="C637" s="322"/>
      <c r="D637" s="322"/>
      <c r="E637" s="322"/>
      <c r="F637" s="322"/>
    </row>
    <row r="638" spans="1:6" ht="12.75" x14ac:dyDescent="0.2">
      <c r="A638" s="322"/>
      <c r="B638" s="322"/>
      <c r="C638" s="322"/>
      <c r="D638" s="322"/>
      <c r="E638" s="322"/>
      <c r="F638" s="322"/>
    </row>
    <row r="639" spans="1:6" ht="12.75" x14ac:dyDescent="0.2">
      <c r="A639" s="322"/>
      <c r="B639" s="322"/>
      <c r="C639" s="322"/>
      <c r="D639" s="322"/>
      <c r="E639" s="322"/>
      <c r="F639" s="322"/>
    </row>
    <row r="640" spans="1:6" ht="12.75" x14ac:dyDescent="0.2">
      <c r="A640" s="322"/>
      <c r="B640" s="322"/>
      <c r="C640" s="322"/>
      <c r="D640" s="322"/>
      <c r="E640" s="322"/>
      <c r="F640" s="322"/>
    </row>
    <row r="641" spans="1:6" ht="12.75" x14ac:dyDescent="0.2">
      <c r="A641" s="322"/>
      <c r="B641" s="322"/>
      <c r="C641" s="322"/>
      <c r="D641" s="322"/>
      <c r="E641" s="322"/>
      <c r="F641" s="322"/>
    </row>
    <row r="642" spans="1:6" ht="12.75" x14ac:dyDescent="0.2">
      <c r="A642" s="322"/>
      <c r="B642" s="322"/>
      <c r="C642" s="322"/>
      <c r="D642" s="322"/>
      <c r="E642" s="322"/>
      <c r="F642" s="322"/>
    </row>
    <row r="643" spans="1:6" ht="12.75" x14ac:dyDescent="0.2">
      <c r="A643" s="322"/>
      <c r="B643" s="322"/>
      <c r="C643" s="322"/>
      <c r="D643" s="322"/>
      <c r="E643" s="322"/>
      <c r="F643" s="322"/>
    </row>
    <row r="644" spans="1:6" ht="12.75" x14ac:dyDescent="0.2">
      <c r="A644" s="322"/>
      <c r="B644" s="322"/>
      <c r="C644" s="322"/>
      <c r="D644" s="322"/>
      <c r="E644" s="322"/>
      <c r="F644" s="322"/>
    </row>
    <row r="645" spans="1:6" ht="12.75" x14ac:dyDescent="0.2">
      <c r="A645" s="322"/>
      <c r="B645" s="322"/>
      <c r="C645" s="322"/>
      <c r="D645" s="322"/>
      <c r="E645" s="322"/>
      <c r="F645" s="322"/>
    </row>
    <row r="646" spans="1:6" ht="12.75" x14ac:dyDescent="0.2">
      <c r="A646" s="322"/>
      <c r="B646" s="322"/>
      <c r="C646" s="322"/>
      <c r="D646" s="322"/>
      <c r="E646" s="322"/>
      <c r="F646" s="322"/>
    </row>
    <row r="647" spans="1:6" ht="12.75" x14ac:dyDescent="0.2">
      <c r="A647" s="322"/>
      <c r="B647" s="322"/>
      <c r="C647" s="322"/>
      <c r="D647" s="322"/>
      <c r="E647" s="322"/>
      <c r="F647" s="322"/>
    </row>
    <row r="648" spans="1:6" ht="12.75" x14ac:dyDescent="0.2">
      <c r="A648" s="322"/>
      <c r="B648" s="322"/>
      <c r="C648" s="322"/>
      <c r="D648" s="322"/>
      <c r="E648" s="322"/>
      <c r="F648" s="322"/>
    </row>
    <row r="649" spans="1:6" ht="12.75" x14ac:dyDescent="0.2">
      <c r="A649" s="322"/>
      <c r="B649" s="322"/>
      <c r="C649" s="322"/>
      <c r="D649" s="322"/>
      <c r="E649" s="322"/>
      <c r="F649" s="322"/>
    </row>
    <row r="650" spans="1:6" ht="12.75" x14ac:dyDescent="0.2">
      <c r="A650" s="322"/>
      <c r="B650" s="322"/>
      <c r="C650" s="322"/>
      <c r="D650" s="322"/>
      <c r="E650" s="322"/>
      <c r="F650" s="322"/>
    </row>
    <row r="651" spans="1:6" ht="12.75" x14ac:dyDescent="0.2">
      <c r="A651" s="322"/>
      <c r="B651" s="322"/>
      <c r="C651" s="322"/>
      <c r="D651" s="322"/>
      <c r="E651" s="322"/>
      <c r="F651" s="322"/>
    </row>
    <row r="652" spans="1:6" ht="12.75" x14ac:dyDescent="0.2">
      <c r="A652" s="322"/>
      <c r="B652" s="322"/>
      <c r="C652" s="322"/>
      <c r="D652" s="322"/>
      <c r="E652" s="322"/>
      <c r="F652" s="322"/>
    </row>
    <row r="653" spans="1:6" ht="12.75" x14ac:dyDescent="0.2">
      <c r="A653" s="322"/>
      <c r="B653" s="322"/>
      <c r="C653" s="322"/>
      <c r="D653" s="322"/>
      <c r="E653" s="322"/>
      <c r="F653" s="322"/>
    </row>
    <row r="654" spans="1:6" ht="12.75" x14ac:dyDescent="0.2">
      <c r="A654" s="322"/>
      <c r="B654" s="322"/>
      <c r="C654" s="322"/>
      <c r="D654" s="322"/>
      <c r="E654" s="322"/>
      <c r="F654" s="322"/>
    </row>
    <row r="655" spans="1:6" ht="12.75" x14ac:dyDescent="0.2">
      <c r="A655" s="322"/>
      <c r="B655" s="322"/>
      <c r="C655" s="322"/>
      <c r="D655" s="322"/>
      <c r="E655" s="322"/>
      <c r="F655" s="322"/>
    </row>
    <row r="656" spans="1:6" ht="12.75" x14ac:dyDescent="0.2">
      <c r="A656" s="322"/>
      <c r="B656" s="322"/>
      <c r="C656" s="322"/>
      <c r="D656" s="322"/>
      <c r="E656" s="322"/>
      <c r="F656" s="322"/>
    </row>
    <row r="657" spans="1:6" ht="12.75" x14ac:dyDescent="0.2">
      <c r="A657" s="322"/>
      <c r="B657" s="322"/>
      <c r="C657" s="322"/>
      <c r="D657" s="322"/>
      <c r="E657" s="322"/>
      <c r="F657" s="322"/>
    </row>
    <row r="658" spans="1:6" ht="12.75" x14ac:dyDescent="0.2">
      <c r="A658" s="322"/>
      <c r="B658" s="322"/>
      <c r="C658" s="322"/>
      <c r="D658" s="322"/>
      <c r="E658" s="322"/>
      <c r="F658" s="322"/>
    </row>
    <row r="659" spans="1:6" ht="12.75" x14ac:dyDescent="0.2">
      <c r="A659" s="322"/>
      <c r="B659" s="322"/>
      <c r="C659" s="322"/>
      <c r="D659" s="322"/>
      <c r="E659" s="322"/>
      <c r="F659" s="322"/>
    </row>
    <row r="660" spans="1:6" ht="12.75" x14ac:dyDescent="0.2">
      <c r="A660" s="322"/>
      <c r="B660" s="322"/>
      <c r="C660" s="322"/>
      <c r="D660" s="322"/>
      <c r="E660" s="322"/>
      <c r="F660" s="322"/>
    </row>
    <row r="661" spans="1:6" ht="12.75" x14ac:dyDescent="0.2">
      <c r="A661" s="322"/>
      <c r="B661" s="322"/>
      <c r="C661" s="322"/>
      <c r="D661" s="322"/>
      <c r="E661" s="322"/>
      <c r="F661" s="322"/>
    </row>
    <row r="662" spans="1:6" ht="12.75" x14ac:dyDescent="0.2">
      <c r="A662" s="322"/>
      <c r="B662" s="322"/>
      <c r="C662" s="322"/>
      <c r="D662" s="322"/>
      <c r="E662" s="322"/>
      <c r="F662" s="322"/>
    </row>
    <row r="663" spans="1:6" ht="12.75" x14ac:dyDescent="0.2">
      <c r="A663" s="322"/>
      <c r="B663" s="322"/>
      <c r="C663" s="322"/>
      <c r="D663" s="322"/>
      <c r="E663" s="322"/>
      <c r="F663" s="322"/>
    </row>
    <row r="664" spans="1:6" ht="12.75" x14ac:dyDescent="0.2">
      <c r="A664" s="322"/>
      <c r="B664" s="322"/>
      <c r="C664" s="322"/>
      <c r="D664" s="322"/>
      <c r="E664" s="322"/>
      <c r="F664" s="322"/>
    </row>
    <row r="665" spans="1:6" ht="12.75" x14ac:dyDescent="0.2">
      <c r="A665" s="322"/>
      <c r="B665" s="322"/>
      <c r="C665" s="322"/>
      <c r="D665" s="322"/>
      <c r="E665" s="322"/>
      <c r="F665" s="322"/>
    </row>
    <row r="666" spans="1:6" ht="12.75" x14ac:dyDescent="0.2">
      <c r="A666" s="322"/>
      <c r="B666" s="322"/>
      <c r="C666" s="322"/>
      <c r="D666" s="322"/>
      <c r="E666" s="322"/>
      <c r="F666" s="322"/>
    </row>
    <row r="667" spans="1:6" ht="12.75" x14ac:dyDescent="0.2">
      <c r="A667" s="322"/>
      <c r="B667" s="322"/>
      <c r="C667" s="322"/>
      <c r="D667" s="322"/>
      <c r="E667" s="322"/>
      <c r="F667" s="322"/>
    </row>
    <row r="668" spans="1:6" ht="12.75" x14ac:dyDescent="0.2">
      <c r="A668" s="322"/>
      <c r="B668" s="322"/>
      <c r="C668" s="322"/>
      <c r="D668" s="322"/>
      <c r="E668" s="322"/>
      <c r="F668" s="322"/>
    </row>
    <row r="669" spans="1:6" ht="12.75" x14ac:dyDescent="0.2">
      <c r="A669" s="322"/>
      <c r="B669" s="322"/>
      <c r="C669" s="322"/>
      <c r="D669" s="322"/>
      <c r="E669" s="322"/>
      <c r="F669" s="322"/>
    </row>
    <row r="670" spans="1:6" ht="12.75" x14ac:dyDescent="0.2">
      <c r="A670" s="322"/>
      <c r="B670" s="322"/>
      <c r="C670" s="322"/>
      <c r="D670" s="322"/>
      <c r="E670" s="322"/>
      <c r="F670" s="322"/>
    </row>
    <row r="671" spans="1:6" ht="12.75" x14ac:dyDescent="0.2">
      <c r="A671" s="322"/>
      <c r="B671" s="322"/>
      <c r="C671" s="322"/>
      <c r="D671" s="322"/>
      <c r="E671" s="322"/>
      <c r="F671" s="322"/>
    </row>
    <row r="672" spans="1:6" ht="12.75" x14ac:dyDescent="0.2">
      <c r="A672" s="322"/>
      <c r="B672" s="322"/>
      <c r="C672" s="322"/>
      <c r="D672" s="322"/>
      <c r="E672" s="322"/>
      <c r="F672" s="322"/>
    </row>
    <row r="673" spans="1:6" ht="12.75" x14ac:dyDescent="0.2">
      <c r="A673" s="322"/>
      <c r="B673" s="322"/>
      <c r="C673" s="322"/>
      <c r="D673" s="322"/>
      <c r="E673" s="322"/>
      <c r="F673" s="322"/>
    </row>
    <row r="674" spans="1:6" ht="12.75" x14ac:dyDescent="0.2">
      <c r="A674" s="322"/>
      <c r="B674" s="322"/>
      <c r="C674" s="322"/>
      <c r="D674" s="322"/>
      <c r="E674" s="322"/>
      <c r="F674" s="322"/>
    </row>
    <row r="675" spans="1:6" ht="12.75" x14ac:dyDescent="0.2">
      <c r="A675" s="322"/>
      <c r="B675" s="322"/>
      <c r="C675" s="322"/>
      <c r="D675" s="322"/>
      <c r="E675" s="322"/>
      <c r="F675" s="322"/>
    </row>
    <row r="676" spans="1:6" ht="12.75" x14ac:dyDescent="0.2">
      <c r="A676" s="322"/>
      <c r="B676" s="322"/>
      <c r="C676" s="322"/>
      <c r="D676" s="322"/>
      <c r="E676" s="322"/>
      <c r="F676" s="322"/>
    </row>
    <row r="677" spans="1:6" ht="12.75" x14ac:dyDescent="0.2">
      <c r="A677" s="322"/>
      <c r="B677" s="322"/>
      <c r="C677" s="322"/>
      <c r="D677" s="322"/>
      <c r="E677" s="322"/>
      <c r="F677" s="322"/>
    </row>
    <row r="678" spans="1:6" ht="12.75" x14ac:dyDescent="0.2">
      <c r="A678" s="322"/>
      <c r="B678" s="322"/>
      <c r="C678" s="322"/>
      <c r="D678" s="322"/>
      <c r="E678" s="322"/>
      <c r="F678" s="322"/>
    </row>
    <row r="679" spans="1:6" ht="12.75" x14ac:dyDescent="0.2">
      <c r="A679" s="322"/>
      <c r="B679" s="322"/>
      <c r="C679" s="322"/>
      <c r="D679" s="322"/>
      <c r="E679" s="322"/>
      <c r="F679" s="322"/>
    </row>
    <row r="680" spans="1:6" ht="12.75" x14ac:dyDescent="0.2">
      <c r="A680" s="322"/>
      <c r="B680" s="322"/>
      <c r="C680" s="322"/>
      <c r="D680" s="322"/>
      <c r="E680" s="322"/>
      <c r="F680" s="322"/>
    </row>
    <row r="681" spans="1:6" ht="12.75" x14ac:dyDescent="0.2">
      <c r="A681" s="322"/>
      <c r="B681" s="322"/>
      <c r="C681" s="322"/>
      <c r="D681" s="322"/>
      <c r="E681" s="322"/>
      <c r="F681" s="322"/>
    </row>
    <row r="682" spans="1:6" ht="12.75" x14ac:dyDescent="0.2">
      <c r="A682" s="322"/>
      <c r="B682" s="322"/>
      <c r="C682" s="322"/>
      <c r="D682" s="322"/>
      <c r="E682" s="322"/>
      <c r="F682" s="322"/>
    </row>
    <row r="683" spans="1:6" ht="12.75" x14ac:dyDescent="0.2">
      <c r="A683" s="322"/>
      <c r="B683" s="322"/>
      <c r="C683" s="322"/>
      <c r="D683" s="322"/>
      <c r="E683" s="322"/>
      <c r="F683" s="322"/>
    </row>
    <row r="684" spans="1:6" ht="12.75" x14ac:dyDescent="0.2">
      <c r="A684" s="322"/>
      <c r="B684" s="322"/>
      <c r="C684" s="322"/>
      <c r="D684" s="322"/>
      <c r="E684" s="322"/>
      <c r="F684" s="322"/>
    </row>
    <row r="685" spans="1:6" ht="12.75" x14ac:dyDescent="0.2">
      <c r="A685" s="322"/>
      <c r="B685" s="322"/>
      <c r="C685" s="322"/>
      <c r="D685" s="322"/>
      <c r="E685" s="322"/>
      <c r="F685" s="322"/>
    </row>
    <row r="686" spans="1:6" ht="12.75" x14ac:dyDescent="0.2">
      <c r="A686" s="322"/>
      <c r="B686" s="322"/>
      <c r="C686" s="322"/>
      <c r="D686" s="322"/>
      <c r="E686" s="322"/>
      <c r="F686" s="322"/>
    </row>
    <row r="687" spans="1:6" ht="12.75" x14ac:dyDescent="0.2">
      <c r="A687" s="322"/>
      <c r="B687" s="322"/>
      <c r="C687" s="322"/>
      <c r="D687" s="322"/>
      <c r="E687" s="322"/>
      <c r="F687" s="322"/>
    </row>
    <row r="688" spans="1:6" ht="12.75" x14ac:dyDescent="0.2">
      <c r="A688" s="322"/>
      <c r="B688" s="322"/>
      <c r="C688" s="322"/>
      <c r="D688" s="322"/>
      <c r="E688" s="322"/>
      <c r="F688" s="322"/>
    </row>
    <row r="689" spans="1:6" ht="12.75" x14ac:dyDescent="0.2">
      <c r="A689" s="322"/>
      <c r="B689" s="322"/>
      <c r="C689" s="322"/>
      <c r="D689" s="322"/>
      <c r="E689" s="322"/>
      <c r="F689" s="322"/>
    </row>
    <row r="690" spans="1:6" ht="12.75" x14ac:dyDescent="0.2">
      <c r="A690" s="322"/>
      <c r="B690" s="322"/>
      <c r="C690" s="322"/>
      <c r="D690" s="322"/>
      <c r="E690" s="322"/>
      <c r="F690" s="322"/>
    </row>
    <row r="691" spans="1:6" ht="12.75" x14ac:dyDescent="0.2">
      <c r="A691" s="322"/>
      <c r="B691" s="322"/>
      <c r="C691" s="322"/>
      <c r="D691" s="322"/>
      <c r="E691" s="322"/>
      <c r="F691" s="322"/>
    </row>
    <row r="692" spans="1:6" ht="12.75" x14ac:dyDescent="0.2">
      <c r="A692" s="322"/>
      <c r="B692" s="322"/>
      <c r="C692" s="322"/>
      <c r="D692" s="322"/>
      <c r="E692" s="322"/>
      <c r="F692" s="322"/>
    </row>
    <row r="693" spans="1:6" ht="12.75" x14ac:dyDescent="0.2">
      <c r="A693" s="322"/>
      <c r="B693" s="322"/>
      <c r="C693" s="322"/>
      <c r="D693" s="322"/>
      <c r="E693" s="322"/>
      <c r="F693" s="322"/>
    </row>
    <row r="694" spans="1:6" ht="12.75" x14ac:dyDescent="0.2">
      <c r="A694" s="322"/>
      <c r="B694" s="322"/>
      <c r="C694" s="322"/>
      <c r="D694" s="322"/>
      <c r="E694" s="322"/>
      <c r="F694" s="322"/>
    </row>
    <row r="695" spans="1:6" ht="12.75" x14ac:dyDescent="0.2">
      <c r="A695" s="322"/>
      <c r="B695" s="322"/>
      <c r="C695" s="322"/>
      <c r="D695" s="322"/>
      <c r="E695" s="322"/>
      <c r="F695" s="322"/>
    </row>
    <row r="696" spans="1:6" ht="12.75" x14ac:dyDescent="0.2">
      <c r="A696" s="322"/>
      <c r="B696" s="322"/>
      <c r="C696" s="322"/>
      <c r="D696" s="322"/>
      <c r="E696" s="322"/>
      <c r="F696" s="322"/>
    </row>
    <row r="697" spans="1:6" ht="12.75" x14ac:dyDescent="0.2">
      <c r="A697" s="322"/>
      <c r="B697" s="322"/>
      <c r="C697" s="322"/>
      <c r="D697" s="322"/>
      <c r="E697" s="322"/>
      <c r="F697" s="322"/>
    </row>
    <row r="698" spans="1:6" ht="12.75" x14ac:dyDescent="0.2">
      <c r="A698" s="322"/>
      <c r="B698" s="322"/>
      <c r="C698" s="322"/>
      <c r="D698" s="322"/>
      <c r="E698" s="322"/>
      <c r="F698" s="322"/>
    </row>
    <row r="699" spans="1:6" ht="12.75" x14ac:dyDescent="0.2">
      <c r="A699" s="322"/>
      <c r="B699" s="322"/>
      <c r="C699" s="322"/>
      <c r="D699" s="322"/>
      <c r="E699" s="322"/>
      <c r="F699" s="322"/>
    </row>
    <row r="700" spans="1:6" ht="12.75" x14ac:dyDescent="0.2">
      <c r="A700" s="322"/>
      <c r="B700" s="322"/>
      <c r="C700" s="322"/>
      <c r="D700" s="322"/>
      <c r="E700" s="322"/>
      <c r="F700" s="322"/>
    </row>
    <row r="701" spans="1:6" ht="12.75" x14ac:dyDescent="0.2">
      <c r="A701" s="322"/>
      <c r="B701" s="322"/>
      <c r="C701" s="322"/>
      <c r="D701" s="322"/>
      <c r="E701" s="322"/>
      <c r="F701" s="322"/>
    </row>
    <row r="702" spans="1:6" ht="12.75" x14ac:dyDescent="0.2">
      <c r="A702" s="322"/>
      <c r="B702" s="322"/>
      <c r="C702" s="322"/>
      <c r="D702" s="322"/>
      <c r="E702" s="322"/>
      <c r="F702" s="322"/>
    </row>
    <row r="703" spans="1:6" ht="12.75" x14ac:dyDescent="0.2">
      <c r="A703" s="322"/>
      <c r="B703" s="322"/>
      <c r="C703" s="322"/>
      <c r="D703" s="322"/>
      <c r="E703" s="322"/>
      <c r="F703" s="322"/>
    </row>
    <row r="704" spans="1:6" ht="12.75" x14ac:dyDescent="0.2">
      <c r="A704" s="322"/>
      <c r="B704" s="322"/>
      <c r="C704" s="322"/>
      <c r="D704" s="322"/>
      <c r="E704" s="322"/>
      <c r="F704" s="322"/>
    </row>
    <row r="705" spans="1:6" ht="12.75" x14ac:dyDescent="0.2">
      <c r="A705" s="322"/>
      <c r="B705" s="322"/>
      <c r="C705" s="322"/>
      <c r="D705" s="322"/>
      <c r="E705" s="322"/>
      <c r="F705" s="322"/>
    </row>
    <row r="706" spans="1:6" ht="12.75" x14ac:dyDescent="0.2">
      <c r="A706" s="322"/>
      <c r="B706" s="322"/>
      <c r="C706" s="322"/>
      <c r="D706" s="322"/>
      <c r="E706" s="322"/>
      <c r="F706" s="322"/>
    </row>
    <row r="707" spans="1:6" ht="12.75" x14ac:dyDescent="0.2">
      <c r="A707" s="322"/>
      <c r="B707" s="322"/>
      <c r="C707" s="322"/>
      <c r="D707" s="322"/>
      <c r="E707" s="322"/>
      <c r="F707" s="322"/>
    </row>
    <row r="708" spans="1:6" ht="12.75" x14ac:dyDescent="0.2">
      <c r="A708" s="322"/>
      <c r="B708" s="322"/>
      <c r="C708" s="322"/>
      <c r="D708" s="322"/>
      <c r="E708" s="322"/>
      <c r="F708" s="322"/>
    </row>
    <row r="709" spans="1:6" ht="12.75" x14ac:dyDescent="0.2">
      <c r="A709" s="322"/>
      <c r="B709" s="322"/>
      <c r="C709" s="322"/>
      <c r="D709" s="322"/>
      <c r="E709" s="322"/>
      <c r="F709" s="322"/>
    </row>
    <row r="710" spans="1:6" ht="12.75" x14ac:dyDescent="0.2">
      <c r="A710" s="322"/>
      <c r="B710" s="322"/>
      <c r="C710" s="322"/>
      <c r="D710" s="322"/>
      <c r="E710" s="322"/>
      <c r="F710" s="322"/>
    </row>
    <row r="711" spans="1:6" ht="12.75" x14ac:dyDescent="0.2">
      <c r="A711" s="322"/>
      <c r="B711" s="322"/>
      <c r="C711" s="322"/>
      <c r="D711" s="322"/>
      <c r="E711" s="322"/>
      <c r="F711" s="322"/>
    </row>
    <row r="712" spans="1:6" ht="12.75" x14ac:dyDescent="0.2">
      <c r="A712" s="322"/>
      <c r="B712" s="322"/>
      <c r="C712" s="322"/>
      <c r="D712" s="322"/>
      <c r="E712" s="322"/>
      <c r="F712" s="322"/>
    </row>
    <row r="713" spans="1:6" ht="12.75" x14ac:dyDescent="0.2">
      <c r="A713" s="322"/>
      <c r="B713" s="322"/>
      <c r="C713" s="322"/>
      <c r="D713" s="322"/>
      <c r="E713" s="322"/>
      <c r="F713" s="322"/>
    </row>
    <row r="714" spans="1:6" ht="12.75" x14ac:dyDescent="0.2">
      <c r="A714" s="322"/>
      <c r="B714" s="322"/>
      <c r="C714" s="322"/>
      <c r="D714" s="322"/>
      <c r="E714" s="322"/>
      <c r="F714" s="322"/>
    </row>
    <row r="715" spans="1:6" ht="12.75" x14ac:dyDescent="0.2">
      <c r="A715" s="322"/>
      <c r="B715" s="322"/>
      <c r="C715" s="322"/>
      <c r="D715" s="322"/>
      <c r="E715" s="322"/>
      <c r="F715" s="322"/>
    </row>
    <row r="716" spans="1:6" ht="12.75" x14ac:dyDescent="0.2">
      <c r="A716" s="322"/>
      <c r="B716" s="322"/>
      <c r="C716" s="322"/>
      <c r="D716" s="322"/>
      <c r="E716" s="322"/>
      <c r="F716" s="322"/>
    </row>
    <row r="717" spans="1:6" ht="12.75" x14ac:dyDescent="0.2">
      <c r="A717" s="322"/>
      <c r="B717" s="322"/>
      <c r="C717" s="322"/>
      <c r="D717" s="322"/>
      <c r="E717" s="322"/>
      <c r="F717" s="322"/>
    </row>
    <row r="718" spans="1:6" ht="12.75" x14ac:dyDescent="0.2">
      <c r="A718" s="322"/>
      <c r="B718" s="322"/>
      <c r="C718" s="322"/>
      <c r="D718" s="322"/>
      <c r="E718" s="322"/>
      <c r="F718" s="322"/>
    </row>
    <row r="719" spans="1:6" ht="12.75" x14ac:dyDescent="0.2">
      <c r="A719" s="322"/>
      <c r="B719" s="322"/>
      <c r="C719" s="322"/>
      <c r="D719" s="322"/>
      <c r="E719" s="322"/>
      <c r="F719" s="322"/>
    </row>
    <row r="720" spans="1:6" ht="12.75" x14ac:dyDescent="0.2">
      <c r="A720" s="322"/>
      <c r="B720" s="322"/>
      <c r="C720" s="322"/>
      <c r="D720" s="322"/>
      <c r="E720" s="322"/>
      <c r="F720" s="322"/>
    </row>
    <row r="721" spans="1:6" ht="12.75" x14ac:dyDescent="0.2">
      <c r="A721" s="322"/>
      <c r="B721" s="322"/>
      <c r="C721" s="322"/>
      <c r="D721" s="322"/>
      <c r="E721" s="322"/>
      <c r="F721" s="322"/>
    </row>
    <row r="722" spans="1:6" ht="12.75" x14ac:dyDescent="0.2">
      <c r="A722" s="322"/>
      <c r="B722" s="322"/>
      <c r="C722" s="322"/>
      <c r="D722" s="322"/>
      <c r="E722" s="322"/>
      <c r="F722" s="322"/>
    </row>
    <row r="723" spans="1:6" ht="12.75" x14ac:dyDescent="0.2">
      <c r="A723" s="322"/>
      <c r="B723" s="322"/>
      <c r="C723" s="322"/>
      <c r="D723" s="322"/>
      <c r="E723" s="322"/>
      <c r="F723" s="322"/>
    </row>
    <row r="724" spans="1:6" ht="12.75" x14ac:dyDescent="0.2">
      <c r="A724" s="322"/>
      <c r="B724" s="322"/>
      <c r="C724" s="322"/>
      <c r="D724" s="322"/>
      <c r="E724" s="322"/>
      <c r="F724" s="322"/>
    </row>
    <row r="725" spans="1:6" ht="12.75" x14ac:dyDescent="0.2">
      <c r="A725" s="322"/>
      <c r="B725" s="322"/>
      <c r="C725" s="322"/>
      <c r="D725" s="322"/>
      <c r="E725" s="322"/>
      <c r="F725" s="322"/>
    </row>
    <row r="726" spans="1:6" ht="12.75" x14ac:dyDescent="0.2">
      <c r="A726" s="322"/>
      <c r="B726" s="322"/>
      <c r="C726" s="322"/>
      <c r="D726" s="322"/>
      <c r="E726" s="322"/>
      <c r="F726" s="322"/>
    </row>
    <row r="727" spans="1:6" ht="12.75" x14ac:dyDescent="0.2">
      <c r="A727" s="322"/>
      <c r="B727" s="322"/>
      <c r="C727" s="322"/>
      <c r="D727" s="322"/>
      <c r="E727" s="322"/>
      <c r="F727" s="322"/>
    </row>
    <row r="728" spans="1:6" ht="12.75" x14ac:dyDescent="0.2">
      <c r="A728" s="322"/>
      <c r="B728" s="322"/>
      <c r="C728" s="322"/>
      <c r="D728" s="322"/>
      <c r="E728" s="322"/>
      <c r="F728" s="322"/>
    </row>
    <row r="729" spans="1:6" ht="12.75" x14ac:dyDescent="0.2">
      <c r="A729" s="322"/>
      <c r="B729" s="322"/>
      <c r="C729" s="322"/>
      <c r="D729" s="322"/>
      <c r="E729" s="322"/>
      <c r="F729" s="322"/>
    </row>
    <row r="730" spans="1:6" ht="12.75" x14ac:dyDescent="0.2">
      <c r="A730" s="322"/>
      <c r="B730" s="322"/>
      <c r="C730" s="322"/>
      <c r="D730" s="322"/>
      <c r="E730" s="322"/>
      <c r="F730" s="322"/>
    </row>
    <row r="731" spans="1:6" ht="12.75" x14ac:dyDescent="0.2">
      <c r="A731" s="322"/>
      <c r="B731" s="322"/>
      <c r="C731" s="322"/>
      <c r="D731" s="322"/>
      <c r="E731" s="322"/>
      <c r="F731" s="322"/>
    </row>
    <row r="732" spans="1:6" ht="12.75" x14ac:dyDescent="0.2">
      <c r="A732" s="322"/>
      <c r="B732" s="322"/>
      <c r="C732" s="322"/>
      <c r="D732" s="322"/>
      <c r="E732" s="322"/>
      <c r="F732" s="322"/>
    </row>
    <row r="733" spans="1:6" ht="12.75" x14ac:dyDescent="0.2">
      <c r="A733" s="322"/>
      <c r="B733" s="322"/>
      <c r="C733" s="322"/>
      <c r="D733" s="322"/>
      <c r="E733" s="322"/>
      <c r="F733" s="322"/>
    </row>
    <row r="734" spans="1:6" ht="12.75" x14ac:dyDescent="0.2">
      <c r="A734" s="322"/>
      <c r="B734" s="322"/>
      <c r="C734" s="322"/>
      <c r="D734" s="322"/>
      <c r="E734" s="322"/>
      <c r="F734" s="322"/>
    </row>
    <row r="735" spans="1:6" ht="12.75" x14ac:dyDescent="0.2">
      <c r="A735" s="322"/>
      <c r="B735" s="322"/>
      <c r="C735" s="322"/>
      <c r="D735" s="322"/>
      <c r="E735" s="322"/>
      <c r="F735" s="322"/>
    </row>
    <row r="736" spans="1:6" ht="12.75" x14ac:dyDescent="0.2">
      <c r="A736" s="322"/>
      <c r="B736" s="322"/>
      <c r="C736" s="322"/>
      <c r="D736" s="322"/>
      <c r="E736" s="322"/>
      <c r="F736" s="322"/>
    </row>
    <row r="737" spans="1:6" ht="12.75" x14ac:dyDescent="0.2">
      <c r="A737" s="322"/>
      <c r="B737" s="322"/>
      <c r="C737" s="322"/>
      <c r="D737" s="322"/>
      <c r="E737" s="322"/>
      <c r="F737" s="322"/>
    </row>
    <row r="738" spans="1:6" ht="12.75" x14ac:dyDescent="0.2">
      <c r="A738" s="322"/>
      <c r="B738" s="322"/>
      <c r="C738" s="322"/>
      <c r="D738" s="322"/>
      <c r="E738" s="322"/>
      <c r="F738" s="322"/>
    </row>
    <row r="739" spans="1:6" ht="12.75" x14ac:dyDescent="0.2">
      <c r="A739" s="322"/>
      <c r="B739" s="322"/>
      <c r="C739" s="322"/>
      <c r="D739" s="322"/>
      <c r="E739" s="322"/>
      <c r="F739" s="322"/>
    </row>
    <row r="740" spans="1:6" ht="12.75" x14ac:dyDescent="0.2">
      <c r="A740" s="322"/>
      <c r="B740" s="322"/>
      <c r="C740" s="322"/>
      <c r="D740" s="322"/>
      <c r="E740" s="322"/>
      <c r="F740" s="322"/>
    </row>
    <row r="741" spans="1:6" ht="12.75" x14ac:dyDescent="0.2">
      <c r="A741" s="322"/>
      <c r="B741" s="322"/>
      <c r="C741" s="322"/>
      <c r="D741" s="322"/>
      <c r="E741" s="322"/>
      <c r="F741" s="322"/>
    </row>
    <row r="742" spans="1:6" ht="12.75" x14ac:dyDescent="0.2">
      <c r="A742" s="322"/>
      <c r="B742" s="322"/>
      <c r="C742" s="322"/>
      <c r="D742" s="322"/>
      <c r="E742" s="322"/>
      <c r="F742" s="322"/>
    </row>
    <row r="743" spans="1:6" ht="12.75" x14ac:dyDescent="0.2">
      <c r="A743" s="322"/>
      <c r="B743" s="322"/>
      <c r="C743" s="322"/>
      <c r="D743" s="322"/>
      <c r="E743" s="322"/>
      <c r="F743" s="322"/>
    </row>
    <row r="744" spans="1:6" ht="12.75" x14ac:dyDescent="0.2">
      <c r="A744" s="322"/>
      <c r="B744" s="322"/>
      <c r="C744" s="322"/>
      <c r="D744" s="322"/>
      <c r="E744" s="322"/>
      <c r="F744" s="322"/>
    </row>
    <row r="745" spans="1:6" ht="12.75" x14ac:dyDescent="0.2">
      <c r="A745" s="322"/>
      <c r="B745" s="322"/>
      <c r="C745" s="322"/>
      <c r="D745" s="322"/>
      <c r="E745" s="322"/>
      <c r="F745" s="322"/>
    </row>
    <row r="746" spans="1:6" ht="12.75" x14ac:dyDescent="0.2">
      <c r="A746" s="322"/>
      <c r="B746" s="322"/>
      <c r="C746" s="322"/>
      <c r="D746" s="322"/>
      <c r="E746" s="322"/>
      <c r="F746" s="322"/>
    </row>
    <row r="747" spans="1:6" ht="12.75" x14ac:dyDescent="0.2">
      <c r="A747" s="322"/>
      <c r="B747" s="322"/>
      <c r="C747" s="322"/>
      <c r="D747" s="322"/>
      <c r="E747" s="322"/>
      <c r="F747" s="322"/>
    </row>
    <row r="748" spans="1:6" ht="12.75" x14ac:dyDescent="0.2">
      <c r="A748" s="322"/>
      <c r="B748" s="322"/>
      <c r="C748" s="322"/>
      <c r="D748" s="322"/>
      <c r="E748" s="322"/>
      <c r="F748" s="322"/>
    </row>
    <row r="749" spans="1:6" ht="12.75" x14ac:dyDescent="0.2">
      <c r="A749" s="322"/>
      <c r="B749" s="322"/>
      <c r="C749" s="322"/>
      <c r="D749" s="322"/>
      <c r="E749" s="322"/>
      <c r="F749" s="322"/>
    </row>
    <row r="750" spans="1:6" ht="12.75" x14ac:dyDescent="0.2">
      <c r="A750" s="322"/>
      <c r="B750" s="322"/>
      <c r="C750" s="322"/>
      <c r="D750" s="322"/>
      <c r="E750" s="322"/>
      <c r="F750" s="322"/>
    </row>
    <row r="751" spans="1:6" ht="12.75" x14ac:dyDescent="0.2">
      <c r="A751" s="322"/>
      <c r="B751" s="322"/>
      <c r="C751" s="322"/>
      <c r="D751" s="322"/>
      <c r="E751" s="322"/>
      <c r="F751" s="322"/>
    </row>
    <row r="752" spans="1:6" ht="12.75" x14ac:dyDescent="0.2">
      <c r="A752" s="322"/>
      <c r="B752" s="322"/>
      <c r="C752" s="322"/>
      <c r="D752" s="322"/>
      <c r="E752" s="322"/>
      <c r="F752" s="322"/>
    </row>
    <row r="753" spans="1:6" ht="12.75" x14ac:dyDescent="0.2">
      <c r="A753" s="322"/>
      <c r="B753" s="322"/>
      <c r="C753" s="322"/>
      <c r="D753" s="322"/>
      <c r="E753" s="322"/>
      <c r="F753" s="322"/>
    </row>
    <row r="754" spans="1:6" ht="12.75" x14ac:dyDescent="0.2">
      <c r="A754" s="322"/>
      <c r="B754" s="322"/>
      <c r="C754" s="322"/>
      <c r="D754" s="322"/>
      <c r="E754" s="322"/>
      <c r="F754" s="322"/>
    </row>
    <row r="755" spans="1:6" ht="12.75" x14ac:dyDescent="0.2">
      <c r="A755" s="322"/>
      <c r="B755" s="322"/>
      <c r="C755" s="322"/>
      <c r="D755" s="322"/>
      <c r="E755" s="322"/>
      <c r="F755" s="322"/>
    </row>
    <row r="756" spans="1:6" ht="12.75" x14ac:dyDescent="0.2">
      <c r="A756" s="322"/>
      <c r="B756" s="322"/>
      <c r="C756" s="322"/>
      <c r="D756" s="322"/>
      <c r="E756" s="322"/>
      <c r="F756" s="322"/>
    </row>
    <row r="757" spans="1:6" ht="12.75" x14ac:dyDescent="0.2">
      <c r="A757" s="322"/>
      <c r="B757" s="322"/>
      <c r="C757" s="322"/>
      <c r="D757" s="322"/>
      <c r="E757" s="322"/>
      <c r="F757" s="322"/>
    </row>
    <row r="758" spans="1:6" ht="12.75" x14ac:dyDescent="0.2">
      <c r="A758" s="322"/>
      <c r="B758" s="322"/>
      <c r="C758" s="322"/>
      <c r="D758" s="322"/>
      <c r="E758" s="322"/>
      <c r="F758" s="322"/>
    </row>
    <row r="759" spans="1:6" ht="12.75" x14ac:dyDescent="0.2">
      <c r="A759" s="322"/>
      <c r="B759" s="322"/>
      <c r="C759" s="322"/>
      <c r="D759" s="322"/>
      <c r="E759" s="322"/>
      <c r="F759" s="322"/>
    </row>
    <row r="760" spans="1:6" ht="12.75" x14ac:dyDescent="0.2">
      <c r="A760" s="322"/>
      <c r="B760" s="322"/>
      <c r="C760" s="322"/>
      <c r="D760" s="322"/>
      <c r="E760" s="322"/>
      <c r="F760" s="322"/>
    </row>
    <row r="761" spans="1:6" ht="12.75" x14ac:dyDescent="0.2">
      <c r="A761" s="322"/>
      <c r="B761" s="322"/>
      <c r="C761" s="322"/>
      <c r="D761" s="322"/>
      <c r="E761" s="322"/>
      <c r="F761" s="322"/>
    </row>
    <row r="762" spans="1:6" ht="12.75" x14ac:dyDescent="0.2">
      <c r="A762" s="322"/>
      <c r="B762" s="322"/>
      <c r="C762" s="322"/>
      <c r="D762" s="322"/>
      <c r="E762" s="322"/>
      <c r="F762" s="322"/>
    </row>
    <row r="763" spans="1:6" ht="12.75" x14ac:dyDescent="0.2">
      <c r="A763" s="322"/>
      <c r="B763" s="322"/>
      <c r="C763" s="322"/>
      <c r="D763" s="322"/>
      <c r="E763" s="322"/>
      <c r="F763" s="322"/>
    </row>
    <row r="764" spans="1:6" ht="12.75" x14ac:dyDescent="0.2">
      <c r="A764" s="322"/>
      <c r="B764" s="322"/>
      <c r="C764" s="322"/>
      <c r="D764" s="322"/>
      <c r="E764" s="322"/>
      <c r="F764" s="322"/>
    </row>
    <row r="765" spans="1:6" ht="12.75" x14ac:dyDescent="0.2">
      <c r="A765" s="322"/>
      <c r="B765" s="322"/>
      <c r="C765" s="322"/>
      <c r="D765" s="322"/>
      <c r="E765" s="322"/>
      <c r="F765" s="322"/>
    </row>
    <row r="766" spans="1:6" ht="12.75" x14ac:dyDescent="0.2">
      <c r="A766" s="322"/>
      <c r="B766" s="322"/>
      <c r="C766" s="322"/>
      <c r="D766" s="322"/>
      <c r="E766" s="322"/>
      <c r="F766" s="322"/>
    </row>
    <row r="767" spans="1:6" ht="12.75" x14ac:dyDescent="0.2">
      <c r="A767" s="322"/>
      <c r="B767" s="322"/>
      <c r="C767" s="322"/>
      <c r="D767" s="322"/>
      <c r="E767" s="322"/>
      <c r="F767" s="322"/>
    </row>
    <row r="768" spans="1:6" ht="12.75" x14ac:dyDescent="0.2">
      <c r="A768" s="322"/>
      <c r="B768" s="322"/>
      <c r="C768" s="322"/>
      <c r="D768" s="322"/>
      <c r="E768" s="322"/>
      <c r="F768" s="322"/>
    </row>
    <row r="769" spans="1:6" ht="12.75" x14ac:dyDescent="0.2">
      <c r="A769" s="322"/>
      <c r="B769" s="322"/>
      <c r="C769" s="322"/>
      <c r="D769" s="322"/>
      <c r="E769" s="322"/>
      <c r="F769" s="322"/>
    </row>
    <row r="770" spans="1:6" ht="12.75" x14ac:dyDescent="0.2">
      <c r="A770" s="322"/>
      <c r="B770" s="322"/>
      <c r="C770" s="322"/>
      <c r="D770" s="322"/>
      <c r="E770" s="322"/>
      <c r="F770" s="322"/>
    </row>
    <row r="771" spans="1:6" ht="12.75" x14ac:dyDescent="0.2">
      <c r="A771" s="322"/>
      <c r="B771" s="322"/>
      <c r="C771" s="322"/>
      <c r="D771" s="322"/>
      <c r="E771" s="322"/>
      <c r="F771" s="322"/>
    </row>
    <row r="772" spans="1:6" ht="12.75" x14ac:dyDescent="0.2">
      <c r="A772" s="322"/>
      <c r="B772" s="322"/>
      <c r="C772" s="322"/>
      <c r="D772" s="322"/>
      <c r="E772" s="322"/>
      <c r="F772" s="322"/>
    </row>
    <row r="773" spans="1:6" ht="12.75" x14ac:dyDescent="0.2">
      <c r="A773" s="322"/>
      <c r="B773" s="322"/>
      <c r="C773" s="322"/>
      <c r="D773" s="322"/>
      <c r="E773" s="322"/>
      <c r="F773" s="322"/>
    </row>
    <row r="774" spans="1:6" ht="12.75" x14ac:dyDescent="0.2">
      <c r="A774" s="322"/>
      <c r="B774" s="322"/>
      <c r="C774" s="322"/>
      <c r="D774" s="322"/>
      <c r="E774" s="322"/>
      <c r="F774" s="322"/>
    </row>
    <row r="775" spans="1:6" ht="12.75" x14ac:dyDescent="0.2">
      <c r="A775" s="322"/>
      <c r="B775" s="322"/>
      <c r="C775" s="322"/>
      <c r="D775" s="322"/>
      <c r="E775" s="322"/>
      <c r="F775" s="322"/>
    </row>
    <row r="776" spans="1:6" ht="12.75" x14ac:dyDescent="0.2">
      <c r="A776" s="322"/>
      <c r="B776" s="322"/>
      <c r="C776" s="322"/>
      <c r="D776" s="322"/>
      <c r="E776" s="322"/>
      <c r="F776" s="322"/>
    </row>
    <row r="777" spans="1:6" ht="12.75" x14ac:dyDescent="0.2">
      <c r="A777" s="322"/>
      <c r="B777" s="322"/>
      <c r="C777" s="322"/>
      <c r="D777" s="322"/>
      <c r="E777" s="322"/>
      <c r="F777" s="322"/>
    </row>
    <row r="778" spans="1:6" ht="12.75" x14ac:dyDescent="0.2">
      <c r="A778" s="322"/>
      <c r="B778" s="322"/>
      <c r="C778" s="322"/>
      <c r="D778" s="322"/>
      <c r="E778" s="322"/>
      <c r="F778" s="322"/>
    </row>
    <row r="779" spans="1:6" ht="12.75" x14ac:dyDescent="0.2">
      <c r="A779" s="322"/>
      <c r="B779" s="322"/>
      <c r="C779" s="322"/>
      <c r="D779" s="322"/>
      <c r="E779" s="322"/>
      <c r="F779" s="322"/>
    </row>
    <row r="780" spans="1:6" ht="12.75" x14ac:dyDescent="0.2">
      <c r="A780" s="322"/>
      <c r="B780" s="322"/>
      <c r="C780" s="322"/>
      <c r="D780" s="322"/>
      <c r="E780" s="322"/>
      <c r="F780" s="322"/>
    </row>
    <row r="781" spans="1:6" ht="12.75" x14ac:dyDescent="0.2">
      <c r="A781" s="322"/>
      <c r="B781" s="322"/>
      <c r="C781" s="322"/>
      <c r="D781" s="322"/>
      <c r="E781" s="322"/>
      <c r="F781" s="322"/>
    </row>
    <row r="782" spans="1:6" ht="12.75" x14ac:dyDescent="0.2">
      <c r="A782" s="322"/>
      <c r="B782" s="322"/>
      <c r="C782" s="322"/>
      <c r="D782" s="322"/>
      <c r="E782" s="322"/>
      <c r="F782" s="322"/>
    </row>
    <row r="783" spans="1:6" ht="12.75" x14ac:dyDescent="0.2">
      <c r="A783" s="322"/>
      <c r="B783" s="322"/>
      <c r="C783" s="322"/>
      <c r="D783" s="322"/>
      <c r="E783" s="322"/>
      <c r="F783" s="322"/>
    </row>
    <row r="784" spans="1:6" ht="12.75" x14ac:dyDescent="0.2">
      <c r="A784" s="322"/>
      <c r="B784" s="322"/>
      <c r="C784" s="322"/>
      <c r="D784" s="322"/>
      <c r="E784" s="322"/>
      <c r="F784" s="322"/>
    </row>
    <row r="785" spans="1:6" ht="12.75" x14ac:dyDescent="0.2">
      <c r="A785" s="322"/>
      <c r="B785" s="322"/>
      <c r="C785" s="322"/>
      <c r="D785" s="322"/>
      <c r="E785" s="322"/>
      <c r="F785" s="322"/>
    </row>
    <row r="786" spans="1:6" ht="12.75" x14ac:dyDescent="0.2">
      <c r="A786" s="322"/>
      <c r="B786" s="322"/>
      <c r="C786" s="322"/>
      <c r="D786" s="322"/>
      <c r="E786" s="322"/>
      <c r="F786" s="322"/>
    </row>
    <row r="787" spans="1:6" ht="12.75" x14ac:dyDescent="0.2">
      <c r="A787" s="322"/>
      <c r="B787" s="322"/>
      <c r="C787" s="322"/>
      <c r="D787" s="322"/>
      <c r="E787" s="322"/>
      <c r="F787" s="322"/>
    </row>
    <row r="788" spans="1:6" ht="12.75" x14ac:dyDescent="0.2">
      <c r="A788" s="322"/>
      <c r="B788" s="322"/>
      <c r="C788" s="322"/>
      <c r="D788" s="322"/>
      <c r="E788" s="322"/>
      <c r="F788" s="322"/>
    </row>
    <row r="789" spans="1:6" ht="12.75" x14ac:dyDescent="0.2">
      <c r="A789" s="322"/>
      <c r="B789" s="322"/>
      <c r="C789" s="322"/>
      <c r="D789" s="322"/>
      <c r="E789" s="322"/>
      <c r="F789" s="322"/>
    </row>
    <row r="790" spans="1:6" ht="12.75" x14ac:dyDescent="0.2">
      <c r="A790" s="322"/>
      <c r="B790" s="322"/>
      <c r="C790" s="322"/>
      <c r="D790" s="322"/>
      <c r="E790" s="322"/>
      <c r="F790" s="322"/>
    </row>
    <row r="791" spans="1:6" ht="12.75" x14ac:dyDescent="0.2">
      <c r="A791" s="322"/>
      <c r="B791" s="322"/>
      <c r="C791" s="322"/>
      <c r="D791" s="322"/>
      <c r="E791" s="322"/>
      <c r="F791" s="322"/>
    </row>
    <row r="792" spans="1:6" ht="12.75" x14ac:dyDescent="0.2">
      <c r="A792" s="322"/>
      <c r="B792" s="322"/>
      <c r="C792" s="322"/>
      <c r="D792" s="322"/>
      <c r="E792" s="322"/>
      <c r="F792" s="322"/>
    </row>
    <row r="793" spans="1:6" ht="12.75" x14ac:dyDescent="0.2">
      <c r="A793" s="322"/>
      <c r="B793" s="322"/>
      <c r="C793" s="322"/>
      <c r="D793" s="322"/>
      <c r="E793" s="322"/>
      <c r="F793" s="322"/>
    </row>
    <row r="794" spans="1:6" ht="12.75" x14ac:dyDescent="0.2">
      <c r="A794" s="322"/>
      <c r="B794" s="322"/>
      <c r="C794" s="322"/>
      <c r="D794" s="322"/>
      <c r="E794" s="322"/>
      <c r="F794" s="322"/>
    </row>
    <row r="795" spans="1:6" ht="12.75" x14ac:dyDescent="0.2">
      <c r="A795" s="322"/>
      <c r="B795" s="322"/>
      <c r="C795" s="322"/>
      <c r="D795" s="322"/>
      <c r="E795" s="322"/>
      <c r="F795" s="322"/>
    </row>
    <row r="796" spans="1:6" ht="12.75" x14ac:dyDescent="0.2">
      <c r="A796" s="322"/>
      <c r="B796" s="322"/>
      <c r="C796" s="322"/>
      <c r="D796" s="322"/>
      <c r="E796" s="322"/>
      <c r="F796" s="322"/>
    </row>
    <row r="797" spans="1:6" ht="12.75" x14ac:dyDescent="0.2">
      <c r="A797" s="322"/>
      <c r="B797" s="322"/>
      <c r="C797" s="322"/>
      <c r="D797" s="322"/>
      <c r="E797" s="322"/>
      <c r="F797" s="322"/>
    </row>
    <row r="798" spans="1:6" ht="12.75" x14ac:dyDescent="0.2">
      <c r="A798" s="322"/>
      <c r="B798" s="322"/>
      <c r="C798" s="322"/>
      <c r="D798" s="322"/>
      <c r="E798" s="322"/>
      <c r="F798" s="322"/>
    </row>
    <row r="799" spans="1:6" ht="12.75" x14ac:dyDescent="0.2">
      <c r="A799" s="322"/>
      <c r="B799" s="322"/>
      <c r="C799" s="322"/>
      <c r="D799" s="322"/>
      <c r="E799" s="322"/>
      <c r="F799" s="322"/>
    </row>
    <row r="800" spans="1:6" ht="12.75" x14ac:dyDescent="0.2">
      <c r="A800" s="322"/>
      <c r="B800" s="322"/>
      <c r="C800" s="322"/>
      <c r="D800" s="322"/>
      <c r="E800" s="322"/>
      <c r="F800" s="322"/>
    </row>
    <row r="801" spans="1:6" ht="12.75" x14ac:dyDescent="0.2">
      <c r="A801" s="322"/>
      <c r="B801" s="322"/>
      <c r="C801" s="322"/>
      <c r="D801" s="322"/>
      <c r="E801" s="322"/>
      <c r="F801" s="322"/>
    </row>
    <row r="802" spans="1:6" ht="12.75" x14ac:dyDescent="0.2">
      <c r="A802" s="322"/>
      <c r="B802" s="322"/>
      <c r="C802" s="322"/>
      <c r="D802" s="322"/>
      <c r="E802" s="322"/>
      <c r="F802" s="322"/>
    </row>
    <row r="803" spans="1:6" ht="12.75" x14ac:dyDescent="0.2">
      <c r="A803" s="322"/>
      <c r="B803" s="322"/>
      <c r="C803" s="322"/>
      <c r="D803" s="322"/>
      <c r="E803" s="322"/>
      <c r="F803" s="322"/>
    </row>
    <row r="804" spans="1:6" ht="12.75" x14ac:dyDescent="0.2">
      <c r="A804" s="322"/>
      <c r="B804" s="322"/>
      <c r="C804" s="322"/>
      <c r="D804" s="322"/>
      <c r="E804" s="322"/>
      <c r="F804" s="322"/>
    </row>
    <row r="805" spans="1:6" ht="12.75" x14ac:dyDescent="0.2">
      <c r="A805" s="322"/>
      <c r="B805" s="322"/>
      <c r="C805" s="322"/>
      <c r="D805" s="322"/>
      <c r="E805" s="322"/>
      <c r="F805" s="322"/>
    </row>
    <row r="806" spans="1:6" ht="12.75" x14ac:dyDescent="0.2">
      <c r="A806" s="322"/>
      <c r="B806" s="322"/>
      <c r="C806" s="322"/>
      <c r="D806" s="322"/>
      <c r="E806" s="322"/>
      <c r="F806" s="322"/>
    </row>
    <row r="807" spans="1:6" ht="12.75" x14ac:dyDescent="0.2">
      <c r="A807" s="322"/>
      <c r="B807" s="322"/>
      <c r="C807" s="322"/>
      <c r="D807" s="322"/>
      <c r="E807" s="322"/>
      <c r="F807" s="322"/>
    </row>
    <row r="808" spans="1:6" ht="12.75" x14ac:dyDescent="0.2">
      <c r="A808" s="322"/>
      <c r="B808" s="322"/>
      <c r="C808" s="322"/>
      <c r="D808" s="322"/>
      <c r="E808" s="322"/>
      <c r="F808" s="322"/>
    </row>
    <row r="809" spans="1:6" ht="12.75" x14ac:dyDescent="0.2">
      <c r="A809" s="322"/>
      <c r="B809" s="322"/>
      <c r="C809" s="322"/>
      <c r="D809" s="322"/>
      <c r="E809" s="322"/>
      <c r="F809" s="322"/>
    </row>
    <row r="810" spans="1:6" ht="12.75" x14ac:dyDescent="0.2">
      <c r="A810" s="322"/>
      <c r="B810" s="322"/>
      <c r="C810" s="322"/>
      <c r="D810" s="322"/>
      <c r="E810" s="322"/>
      <c r="F810" s="322"/>
    </row>
    <row r="811" spans="1:6" ht="12.75" x14ac:dyDescent="0.2">
      <c r="A811" s="322"/>
      <c r="B811" s="322"/>
      <c r="C811" s="322"/>
      <c r="D811" s="322"/>
      <c r="E811" s="322"/>
      <c r="F811" s="322"/>
    </row>
    <row r="812" spans="1:6" ht="12.75" x14ac:dyDescent="0.2">
      <c r="A812" s="322"/>
      <c r="B812" s="322"/>
      <c r="C812" s="322"/>
      <c r="D812" s="322"/>
      <c r="E812" s="322"/>
      <c r="F812" s="322"/>
    </row>
    <row r="813" spans="1:6" ht="12.75" x14ac:dyDescent="0.2">
      <c r="A813" s="322"/>
      <c r="B813" s="322"/>
      <c r="C813" s="322"/>
      <c r="D813" s="322"/>
      <c r="E813" s="322"/>
      <c r="F813" s="322"/>
    </row>
    <row r="814" spans="1:6" ht="12.75" x14ac:dyDescent="0.2">
      <c r="A814" s="322"/>
      <c r="B814" s="322"/>
      <c r="C814" s="322"/>
      <c r="D814" s="322"/>
      <c r="E814" s="322"/>
      <c r="F814" s="322"/>
    </row>
    <row r="815" spans="1:6" ht="12.75" x14ac:dyDescent="0.2">
      <c r="A815" s="322"/>
      <c r="B815" s="322"/>
      <c r="C815" s="322"/>
      <c r="D815" s="322"/>
      <c r="E815" s="322"/>
      <c r="F815" s="322"/>
    </row>
    <row r="816" spans="1:6" ht="12.75" x14ac:dyDescent="0.2">
      <c r="A816" s="322"/>
      <c r="B816" s="322"/>
      <c r="C816" s="322"/>
      <c r="D816" s="322"/>
      <c r="E816" s="322"/>
      <c r="F816" s="322"/>
    </row>
    <row r="817" spans="1:6" ht="12.75" x14ac:dyDescent="0.2">
      <c r="A817" s="322"/>
      <c r="B817" s="322"/>
      <c r="C817" s="322"/>
      <c r="D817" s="322"/>
      <c r="E817" s="322"/>
      <c r="F817" s="322"/>
    </row>
    <row r="818" spans="1:6" ht="12.75" x14ac:dyDescent="0.2">
      <c r="A818" s="322"/>
      <c r="B818" s="322"/>
      <c r="C818" s="322"/>
      <c r="D818" s="322"/>
      <c r="E818" s="322"/>
      <c r="F818" s="322"/>
    </row>
    <row r="819" spans="1:6" ht="12.75" x14ac:dyDescent="0.2">
      <c r="A819" s="322"/>
      <c r="B819" s="322"/>
      <c r="C819" s="322"/>
      <c r="D819" s="322"/>
      <c r="E819" s="322"/>
      <c r="F819" s="322"/>
    </row>
    <row r="820" spans="1:6" ht="12.75" x14ac:dyDescent="0.2">
      <c r="A820" s="322"/>
      <c r="B820" s="322"/>
      <c r="C820" s="322"/>
      <c r="D820" s="322"/>
      <c r="E820" s="322"/>
      <c r="F820" s="322"/>
    </row>
    <row r="821" spans="1:6" ht="12.75" x14ac:dyDescent="0.2">
      <c r="A821" s="322"/>
      <c r="B821" s="322"/>
      <c r="C821" s="322"/>
      <c r="D821" s="322"/>
      <c r="E821" s="322"/>
      <c r="F821" s="322"/>
    </row>
    <row r="822" spans="1:6" ht="12.75" x14ac:dyDescent="0.2">
      <c r="A822" s="322"/>
      <c r="B822" s="322"/>
      <c r="C822" s="322"/>
      <c r="D822" s="322"/>
      <c r="E822" s="322"/>
      <c r="F822" s="322"/>
    </row>
    <row r="823" spans="1:6" ht="12.75" x14ac:dyDescent="0.2">
      <c r="A823" s="322"/>
      <c r="B823" s="322"/>
      <c r="C823" s="322"/>
      <c r="D823" s="322"/>
      <c r="E823" s="322"/>
      <c r="F823" s="322"/>
    </row>
    <row r="824" spans="1:6" ht="12.75" x14ac:dyDescent="0.2">
      <c r="A824" s="322"/>
      <c r="B824" s="322"/>
      <c r="C824" s="322"/>
      <c r="D824" s="322"/>
      <c r="E824" s="322"/>
      <c r="F824" s="322"/>
    </row>
    <row r="825" spans="1:6" ht="12.75" x14ac:dyDescent="0.2">
      <c r="A825" s="322"/>
      <c r="B825" s="322"/>
      <c r="C825" s="322"/>
      <c r="D825" s="322"/>
      <c r="E825" s="322"/>
      <c r="F825" s="322"/>
    </row>
    <row r="826" spans="1:6" ht="12.75" x14ac:dyDescent="0.2">
      <c r="A826" s="322"/>
      <c r="B826" s="322"/>
      <c r="C826" s="322"/>
      <c r="D826" s="322"/>
      <c r="E826" s="322"/>
      <c r="F826" s="322"/>
    </row>
    <row r="827" spans="1:6" ht="12.75" x14ac:dyDescent="0.2">
      <c r="A827" s="322"/>
      <c r="B827" s="322"/>
      <c r="C827" s="322"/>
      <c r="D827" s="322"/>
      <c r="E827" s="322"/>
      <c r="F827" s="322"/>
    </row>
    <row r="828" spans="1:6" ht="12.75" x14ac:dyDescent="0.2">
      <c r="A828" s="322"/>
      <c r="B828" s="322"/>
      <c r="C828" s="322"/>
      <c r="D828" s="322"/>
      <c r="E828" s="322"/>
      <c r="F828" s="322"/>
    </row>
    <row r="829" spans="1:6" ht="12.75" x14ac:dyDescent="0.2">
      <c r="A829" s="322"/>
      <c r="B829" s="322"/>
      <c r="C829" s="322"/>
      <c r="D829" s="322"/>
      <c r="E829" s="322"/>
      <c r="F829" s="322"/>
    </row>
    <row r="830" spans="1:6" ht="12.75" x14ac:dyDescent="0.2">
      <c r="A830" s="322"/>
      <c r="B830" s="322"/>
      <c r="C830" s="322"/>
      <c r="D830" s="322"/>
      <c r="E830" s="322"/>
      <c r="F830" s="322"/>
    </row>
    <row r="831" spans="1:6" ht="12.75" x14ac:dyDescent="0.2">
      <c r="A831" s="322"/>
      <c r="B831" s="322"/>
      <c r="C831" s="322"/>
      <c r="D831" s="322"/>
      <c r="E831" s="322"/>
      <c r="F831" s="322"/>
    </row>
    <row r="832" spans="1:6" ht="12.75" x14ac:dyDescent="0.2">
      <c r="A832" s="322"/>
      <c r="B832" s="322"/>
      <c r="C832" s="322"/>
      <c r="D832" s="322"/>
      <c r="E832" s="322"/>
      <c r="F832" s="322"/>
    </row>
    <row r="833" spans="1:6" ht="12.75" x14ac:dyDescent="0.2">
      <c r="A833" s="322"/>
      <c r="B833" s="322"/>
      <c r="C833" s="322"/>
      <c r="D833" s="322"/>
      <c r="E833" s="322"/>
      <c r="F833" s="322"/>
    </row>
    <row r="834" spans="1:6" ht="12.75" x14ac:dyDescent="0.2">
      <c r="A834" s="322"/>
      <c r="B834" s="322"/>
      <c r="C834" s="322"/>
      <c r="D834" s="322"/>
      <c r="E834" s="322"/>
      <c r="F834" s="322"/>
    </row>
    <row r="835" spans="1:6" ht="12.75" x14ac:dyDescent="0.2">
      <c r="A835" s="322"/>
      <c r="B835" s="322"/>
      <c r="C835" s="322"/>
      <c r="D835" s="322"/>
      <c r="E835" s="322"/>
      <c r="F835" s="322"/>
    </row>
    <row r="836" spans="1:6" ht="12.75" x14ac:dyDescent="0.2">
      <c r="A836" s="322"/>
      <c r="B836" s="322"/>
      <c r="C836" s="322"/>
      <c r="D836" s="322"/>
      <c r="E836" s="322"/>
      <c r="F836" s="322"/>
    </row>
    <row r="837" spans="1:6" ht="12.75" x14ac:dyDescent="0.2">
      <c r="A837" s="322"/>
      <c r="B837" s="322"/>
      <c r="C837" s="322"/>
      <c r="D837" s="322"/>
      <c r="E837" s="322"/>
      <c r="F837" s="322"/>
    </row>
    <row r="838" spans="1:6" ht="12.75" x14ac:dyDescent="0.2">
      <c r="A838" s="322"/>
      <c r="B838" s="322"/>
      <c r="C838" s="322"/>
      <c r="D838" s="322"/>
      <c r="E838" s="322"/>
      <c r="F838" s="322"/>
    </row>
    <row r="839" spans="1:6" ht="12.75" x14ac:dyDescent="0.2">
      <c r="A839" s="322"/>
      <c r="B839" s="322"/>
      <c r="C839" s="322"/>
      <c r="D839" s="322"/>
      <c r="E839" s="322"/>
      <c r="F839" s="322"/>
    </row>
    <row r="840" spans="1:6" ht="12.75" x14ac:dyDescent="0.2">
      <c r="A840" s="322"/>
      <c r="B840" s="322"/>
      <c r="C840" s="322"/>
      <c r="D840" s="322"/>
      <c r="E840" s="322"/>
      <c r="F840" s="322"/>
    </row>
    <row r="841" spans="1:6" ht="12.75" x14ac:dyDescent="0.2">
      <c r="A841" s="322"/>
      <c r="B841" s="322"/>
      <c r="C841" s="322"/>
      <c r="D841" s="322"/>
      <c r="E841" s="322"/>
      <c r="F841" s="322"/>
    </row>
    <row r="842" spans="1:6" ht="12.75" x14ac:dyDescent="0.2">
      <c r="A842" s="322"/>
      <c r="B842" s="322"/>
      <c r="C842" s="322"/>
      <c r="D842" s="322"/>
      <c r="E842" s="322"/>
      <c r="F842" s="322"/>
    </row>
    <row r="843" spans="1:6" ht="12.75" x14ac:dyDescent="0.2">
      <c r="A843" s="322"/>
      <c r="B843" s="322"/>
      <c r="C843" s="322"/>
      <c r="D843" s="322"/>
      <c r="E843" s="322"/>
      <c r="F843" s="322"/>
    </row>
    <row r="844" spans="1:6" ht="12.75" x14ac:dyDescent="0.2">
      <c r="A844" s="322"/>
      <c r="B844" s="322"/>
      <c r="C844" s="322"/>
      <c r="D844" s="322"/>
      <c r="E844" s="322"/>
      <c r="F844" s="322"/>
    </row>
    <row r="845" spans="1:6" ht="12.75" x14ac:dyDescent="0.2">
      <c r="A845" s="322"/>
      <c r="B845" s="322"/>
      <c r="C845" s="322"/>
      <c r="D845" s="322"/>
      <c r="E845" s="322"/>
      <c r="F845" s="322"/>
    </row>
    <row r="846" spans="1:6" ht="12.75" x14ac:dyDescent="0.2">
      <c r="A846" s="322"/>
      <c r="B846" s="322"/>
      <c r="C846" s="322"/>
      <c r="D846" s="322"/>
      <c r="E846" s="322"/>
      <c r="F846" s="322"/>
    </row>
    <row r="847" spans="1:6" ht="12.75" x14ac:dyDescent="0.2">
      <c r="A847" s="322"/>
      <c r="B847" s="322"/>
      <c r="C847" s="322"/>
      <c r="D847" s="322"/>
      <c r="E847" s="322"/>
      <c r="F847" s="322"/>
    </row>
    <row r="848" spans="1:6" ht="12.75" x14ac:dyDescent="0.2">
      <c r="A848" s="322"/>
      <c r="B848" s="322"/>
      <c r="C848" s="322"/>
      <c r="D848" s="322"/>
      <c r="E848" s="322"/>
      <c r="F848" s="322"/>
    </row>
    <row r="849" spans="1:6" ht="12.75" x14ac:dyDescent="0.2">
      <c r="A849" s="322"/>
      <c r="B849" s="322"/>
      <c r="C849" s="322"/>
      <c r="D849" s="322"/>
      <c r="E849" s="322"/>
      <c r="F849" s="322"/>
    </row>
    <row r="850" spans="1:6" ht="12.75" x14ac:dyDescent="0.2">
      <c r="A850" s="322"/>
      <c r="B850" s="322"/>
      <c r="C850" s="322"/>
      <c r="D850" s="322"/>
      <c r="E850" s="322"/>
      <c r="F850" s="322"/>
    </row>
    <row r="851" spans="1:6" ht="12.75" x14ac:dyDescent="0.2">
      <c r="A851" s="322"/>
      <c r="B851" s="322"/>
      <c r="C851" s="322"/>
      <c r="D851" s="322"/>
      <c r="E851" s="322"/>
      <c r="F851" s="322"/>
    </row>
    <row r="852" spans="1:6" ht="12.75" x14ac:dyDescent="0.2">
      <c r="A852" s="322"/>
      <c r="B852" s="322"/>
      <c r="C852" s="322"/>
      <c r="D852" s="322"/>
      <c r="E852" s="322"/>
      <c r="F852" s="322"/>
    </row>
    <row r="853" spans="1:6" ht="12.75" x14ac:dyDescent="0.2">
      <c r="A853" s="322"/>
      <c r="B853" s="322"/>
      <c r="C853" s="322"/>
      <c r="D853" s="322"/>
      <c r="E853" s="322"/>
      <c r="F853" s="322"/>
    </row>
    <row r="854" spans="1:6" ht="12.75" x14ac:dyDescent="0.2">
      <c r="A854" s="322"/>
      <c r="B854" s="322"/>
      <c r="C854" s="322"/>
      <c r="D854" s="322"/>
      <c r="E854" s="322"/>
      <c r="F854" s="322"/>
    </row>
    <row r="855" spans="1:6" ht="12.75" x14ac:dyDescent="0.2">
      <c r="A855" s="322"/>
      <c r="B855" s="322"/>
      <c r="C855" s="322"/>
      <c r="D855" s="322"/>
      <c r="E855" s="322"/>
      <c r="F855" s="322"/>
    </row>
    <row r="856" spans="1:6" ht="12.75" x14ac:dyDescent="0.2">
      <c r="A856" s="322"/>
      <c r="B856" s="322"/>
      <c r="C856" s="322"/>
      <c r="D856" s="322"/>
      <c r="E856" s="322"/>
      <c r="F856" s="322"/>
    </row>
    <row r="857" spans="1:6" ht="12.75" x14ac:dyDescent="0.2">
      <c r="A857" s="322"/>
      <c r="B857" s="322"/>
      <c r="C857" s="322"/>
      <c r="D857" s="322"/>
      <c r="E857" s="322"/>
      <c r="F857" s="322"/>
    </row>
    <row r="858" spans="1:6" ht="12.75" x14ac:dyDescent="0.2">
      <c r="A858" s="322"/>
      <c r="B858" s="322"/>
      <c r="C858" s="322"/>
      <c r="D858" s="322"/>
      <c r="E858" s="322"/>
      <c r="F858" s="322"/>
    </row>
    <row r="859" spans="1:6" ht="12.75" x14ac:dyDescent="0.2">
      <c r="A859" s="322"/>
      <c r="B859" s="322"/>
      <c r="C859" s="322"/>
      <c r="D859" s="322"/>
      <c r="E859" s="322"/>
      <c r="F859" s="322"/>
    </row>
    <row r="860" spans="1:6" ht="12.75" x14ac:dyDescent="0.2">
      <c r="A860" s="322"/>
      <c r="B860" s="322"/>
      <c r="C860" s="322"/>
      <c r="D860" s="322"/>
      <c r="E860" s="322"/>
      <c r="F860" s="322"/>
    </row>
    <row r="861" spans="1:6" ht="12.75" x14ac:dyDescent="0.2">
      <c r="A861" s="322"/>
      <c r="B861" s="322"/>
      <c r="C861" s="322"/>
      <c r="D861" s="322"/>
      <c r="E861" s="322"/>
      <c r="F861" s="322"/>
    </row>
    <row r="862" spans="1:6" ht="12.75" x14ac:dyDescent="0.2">
      <c r="A862" s="322"/>
      <c r="B862" s="322"/>
      <c r="C862" s="322"/>
      <c r="D862" s="322"/>
      <c r="E862" s="322"/>
      <c r="F862" s="322"/>
    </row>
    <row r="863" spans="1:6" ht="12.75" x14ac:dyDescent="0.2">
      <c r="A863" s="322"/>
      <c r="B863" s="322"/>
      <c r="C863" s="322"/>
      <c r="D863" s="322"/>
      <c r="E863" s="322"/>
      <c r="F863" s="322"/>
    </row>
    <row r="864" spans="1:6" ht="12.75" x14ac:dyDescent="0.2">
      <c r="A864" s="322"/>
      <c r="B864" s="322"/>
      <c r="C864" s="322"/>
      <c r="D864" s="322"/>
      <c r="E864" s="322"/>
      <c r="F864" s="322"/>
    </row>
    <row r="865" spans="1:6" ht="12.75" x14ac:dyDescent="0.2">
      <c r="A865" s="322"/>
      <c r="B865" s="322"/>
      <c r="C865" s="322"/>
      <c r="D865" s="322"/>
      <c r="E865" s="322"/>
      <c r="F865" s="322"/>
    </row>
    <row r="866" spans="1:6" ht="12.75" x14ac:dyDescent="0.2">
      <c r="A866" s="322"/>
      <c r="B866" s="322"/>
      <c r="C866" s="322"/>
      <c r="D866" s="322"/>
      <c r="E866" s="322"/>
      <c r="F866" s="322"/>
    </row>
    <row r="867" spans="1:6" ht="12.75" x14ac:dyDescent="0.2">
      <c r="A867" s="322"/>
      <c r="B867" s="322"/>
      <c r="C867" s="322"/>
      <c r="D867" s="322"/>
      <c r="E867" s="322"/>
      <c r="F867" s="322"/>
    </row>
    <row r="868" spans="1:6" ht="12.75" x14ac:dyDescent="0.2">
      <c r="A868" s="322"/>
      <c r="B868" s="322"/>
      <c r="C868" s="322"/>
      <c r="D868" s="322"/>
      <c r="E868" s="322"/>
      <c r="F868" s="322"/>
    </row>
    <row r="869" spans="1:6" ht="12.75" x14ac:dyDescent="0.2">
      <c r="A869" s="322"/>
      <c r="B869" s="322"/>
      <c r="C869" s="322"/>
      <c r="D869" s="322"/>
      <c r="E869" s="322"/>
      <c r="F869" s="322"/>
    </row>
    <row r="870" spans="1:6" ht="12.75" x14ac:dyDescent="0.2">
      <c r="A870" s="322"/>
      <c r="B870" s="322"/>
      <c r="C870" s="322"/>
      <c r="D870" s="322"/>
      <c r="E870" s="322"/>
      <c r="F870" s="322"/>
    </row>
    <row r="871" spans="1:6" ht="12.75" x14ac:dyDescent="0.2">
      <c r="A871" s="322"/>
      <c r="B871" s="322"/>
      <c r="C871" s="322"/>
      <c r="D871" s="322"/>
      <c r="E871" s="322"/>
      <c r="F871" s="322"/>
    </row>
    <row r="872" spans="1:6" ht="12.75" x14ac:dyDescent="0.2">
      <c r="A872" s="322"/>
      <c r="B872" s="322"/>
      <c r="C872" s="322"/>
      <c r="D872" s="322"/>
      <c r="E872" s="322"/>
      <c r="F872" s="322"/>
    </row>
    <row r="873" spans="1:6" ht="12.75" x14ac:dyDescent="0.2">
      <c r="A873" s="322"/>
      <c r="B873" s="322"/>
      <c r="C873" s="322"/>
      <c r="D873" s="322"/>
      <c r="E873" s="322"/>
      <c r="F873" s="322"/>
    </row>
    <row r="874" spans="1:6" ht="12.75" x14ac:dyDescent="0.2">
      <c r="A874" s="322"/>
      <c r="B874" s="322"/>
      <c r="C874" s="322"/>
      <c r="D874" s="322"/>
      <c r="E874" s="322"/>
      <c r="F874" s="322"/>
    </row>
    <row r="875" spans="1:6" ht="12.75" x14ac:dyDescent="0.2">
      <c r="A875" s="322"/>
      <c r="B875" s="322"/>
      <c r="C875" s="322"/>
      <c r="D875" s="322"/>
      <c r="E875" s="322"/>
      <c r="F875" s="322"/>
    </row>
    <row r="876" spans="1:6" ht="12.75" x14ac:dyDescent="0.2">
      <c r="A876" s="322"/>
      <c r="B876" s="322"/>
      <c r="C876" s="322"/>
      <c r="D876" s="322"/>
      <c r="E876" s="322"/>
      <c r="F876" s="322"/>
    </row>
    <row r="877" spans="1:6" ht="12.75" x14ac:dyDescent="0.2">
      <c r="A877" s="322"/>
      <c r="B877" s="322"/>
      <c r="C877" s="322"/>
      <c r="D877" s="322"/>
      <c r="E877" s="322"/>
      <c r="F877" s="322"/>
    </row>
    <row r="878" spans="1:6" ht="12.75" x14ac:dyDescent="0.2">
      <c r="A878" s="322"/>
      <c r="B878" s="322"/>
      <c r="C878" s="322"/>
      <c r="D878" s="322"/>
      <c r="E878" s="322"/>
      <c r="F878" s="322"/>
    </row>
    <row r="879" spans="1:6" ht="12.75" x14ac:dyDescent="0.2">
      <c r="A879" s="322"/>
      <c r="B879" s="322"/>
      <c r="C879" s="322"/>
      <c r="D879" s="322"/>
      <c r="E879" s="322"/>
      <c r="F879" s="322"/>
    </row>
    <row r="880" spans="1:6" ht="12.75" x14ac:dyDescent="0.2">
      <c r="A880" s="322"/>
      <c r="B880" s="322"/>
      <c r="C880" s="322"/>
      <c r="D880" s="322"/>
      <c r="E880" s="322"/>
      <c r="F880" s="322"/>
    </row>
    <row r="881" spans="1:6" ht="12.75" x14ac:dyDescent="0.2">
      <c r="A881" s="322"/>
      <c r="B881" s="322"/>
      <c r="C881" s="322"/>
      <c r="D881" s="322"/>
      <c r="E881" s="322"/>
      <c r="F881" s="322"/>
    </row>
    <row r="882" spans="1:6" ht="12.75" x14ac:dyDescent="0.2">
      <c r="A882" s="322"/>
      <c r="B882" s="322"/>
      <c r="C882" s="322"/>
      <c r="D882" s="322"/>
      <c r="E882" s="322"/>
      <c r="F882" s="322"/>
    </row>
    <row r="883" spans="1:6" ht="12.75" x14ac:dyDescent="0.2">
      <c r="A883" s="322"/>
      <c r="B883" s="322"/>
      <c r="C883" s="322"/>
      <c r="D883" s="322"/>
      <c r="E883" s="322"/>
      <c r="F883" s="322"/>
    </row>
    <row r="884" spans="1:6" ht="12.75" x14ac:dyDescent="0.2">
      <c r="A884" s="322"/>
      <c r="B884" s="322"/>
      <c r="C884" s="322"/>
      <c r="D884" s="322"/>
      <c r="E884" s="322"/>
      <c r="F884" s="322"/>
    </row>
    <row r="885" spans="1:6" ht="12.75" x14ac:dyDescent="0.2">
      <c r="A885" s="322"/>
      <c r="B885" s="322"/>
      <c r="C885" s="322"/>
      <c r="D885" s="322"/>
      <c r="E885" s="322"/>
      <c r="F885" s="322"/>
    </row>
    <row r="886" spans="1:6" ht="12.75" x14ac:dyDescent="0.2">
      <c r="A886" s="322"/>
      <c r="B886" s="322"/>
      <c r="C886" s="322"/>
      <c r="D886" s="322"/>
      <c r="E886" s="322"/>
      <c r="F886" s="322"/>
    </row>
    <row r="887" spans="1:6" ht="12.75" x14ac:dyDescent="0.2">
      <c r="A887" s="322"/>
      <c r="B887" s="322"/>
      <c r="C887" s="322"/>
      <c r="D887" s="322"/>
      <c r="E887" s="322"/>
      <c r="F887" s="322"/>
    </row>
    <row r="888" spans="1:6" ht="12.75" x14ac:dyDescent="0.2">
      <c r="A888" s="322"/>
      <c r="B888" s="322"/>
      <c r="C888" s="322"/>
      <c r="D888" s="322"/>
      <c r="E888" s="322"/>
      <c r="F888" s="322"/>
    </row>
    <row r="889" spans="1:6" ht="12.75" x14ac:dyDescent="0.2">
      <c r="A889" s="322"/>
      <c r="B889" s="322"/>
      <c r="C889" s="322"/>
      <c r="D889" s="322"/>
      <c r="E889" s="322"/>
      <c r="F889" s="322"/>
    </row>
    <row r="890" spans="1:6" ht="12.75" x14ac:dyDescent="0.2">
      <c r="A890" s="322"/>
      <c r="B890" s="322"/>
      <c r="C890" s="322"/>
      <c r="D890" s="322"/>
      <c r="E890" s="322"/>
      <c r="F890" s="322"/>
    </row>
    <row r="891" spans="1:6" ht="12.75" x14ac:dyDescent="0.2">
      <c r="A891" s="322"/>
      <c r="B891" s="322"/>
      <c r="C891" s="322"/>
      <c r="D891" s="322"/>
      <c r="E891" s="322"/>
      <c r="F891" s="322"/>
    </row>
    <row r="892" spans="1:6" ht="12.75" x14ac:dyDescent="0.2">
      <c r="A892" s="322"/>
      <c r="B892" s="322"/>
      <c r="C892" s="322"/>
      <c r="D892" s="322"/>
      <c r="E892" s="322"/>
      <c r="F892" s="322"/>
    </row>
    <row r="893" spans="1:6" ht="12.75" x14ac:dyDescent="0.2">
      <c r="A893" s="322"/>
      <c r="B893" s="322"/>
      <c r="C893" s="322"/>
      <c r="D893" s="322"/>
      <c r="E893" s="322"/>
      <c r="F893" s="322"/>
    </row>
    <row r="894" spans="1:6" ht="12.75" x14ac:dyDescent="0.2">
      <c r="A894" s="322"/>
      <c r="B894" s="322"/>
      <c r="C894" s="322"/>
      <c r="D894" s="322"/>
      <c r="E894" s="322"/>
      <c r="F894" s="322"/>
    </row>
    <row r="895" spans="1:6" ht="12.75" x14ac:dyDescent="0.2">
      <c r="A895" s="322"/>
      <c r="B895" s="322"/>
      <c r="C895" s="322"/>
      <c r="D895" s="322"/>
      <c r="E895" s="322"/>
      <c r="F895" s="322"/>
    </row>
    <row r="896" spans="1:6" ht="12.75" x14ac:dyDescent="0.2">
      <c r="A896" s="322"/>
      <c r="B896" s="322"/>
      <c r="C896" s="322"/>
      <c r="D896" s="322"/>
      <c r="E896" s="322"/>
      <c r="F896" s="322"/>
    </row>
    <row r="897" spans="1:6" ht="12.75" x14ac:dyDescent="0.2">
      <c r="A897" s="322"/>
      <c r="B897" s="322"/>
      <c r="C897" s="322"/>
      <c r="D897" s="322"/>
      <c r="E897" s="322"/>
      <c r="F897" s="322"/>
    </row>
    <row r="898" spans="1:6" ht="12.75" x14ac:dyDescent="0.2">
      <c r="A898" s="322"/>
      <c r="B898" s="322"/>
      <c r="C898" s="322"/>
      <c r="D898" s="322"/>
      <c r="E898" s="322"/>
      <c r="F898" s="322"/>
    </row>
    <row r="899" spans="1:6" ht="12.75" x14ac:dyDescent="0.2">
      <c r="A899" s="322"/>
      <c r="B899" s="322"/>
      <c r="C899" s="322"/>
      <c r="D899" s="322"/>
      <c r="E899" s="322"/>
      <c r="F899" s="322"/>
    </row>
    <row r="900" spans="1:6" ht="12.75" x14ac:dyDescent="0.2">
      <c r="A900" s="322"/>
      <c r="B900" s="322"/>
      <c r="C900" s="322"/>
      <c r="D900" s="322"/>
      <c r="E900" s="322"/>
      <c r="F900" s="322"/>
    </row>
    <row r="901" spans="1:6" ht="12.75" x14ac:dyDescent="0.2">
      <c r="A901" s="322"/>
      <c r="B901" s="322"/>
      <c r="C901" s="322"/>
      <c r="D901" s="322"/>
      <c r="E901" s="322"/>
      <c r="F901" s="322"/>
    </row>
    <row r="902" spans="1:6" ht="12.75" x14ac:dyDescent="0.2">
      <c r="A902" s="322"/>
      <c r="B902" s="322"/>
      <c r="C902" s="322"/>
      <c r="D902" s="322"/>
      <c r="E902" s="322"/>
      <c r="F902" s="322"/>
    </row>
    <row r="903" spans="1:6" ht="12.75" x14ac:dyDescent="0.2">
      <c r="A903" s="322"/>
      <c r="B903" s="322"/>
      <c r="C903" s="322"/>
      <c r="D903" s="322"/>
      <c r="E903" s="322"/>
      <c r="F903" s="322"/>
    </row>
    <row r="904" spans="1:6" ht="12.75" x14ac:dyDescent="0.2">
      <c r="A904" s="322"/>
      <c r="B904" s="322"/>
      <c r="C904" s="322"/>
      <c r="D904" s="322"/>
      <c r="E904" s="322"/>
      <c r="F904" s="322"/>
    </row>
    <row r="905" spans="1:6" ht="12.75" x14ac:dyDescent="0.2">
      <c r="A905" s="322"/>
      <c r="B905" s="322"/>
      <c r="C905" s="322"/>
      <c r="D905" s="322"/>
      <c r="E905" s="322"/>
      <c r="F905" s="322"/>
    </row>
    <row r="906" spans="1:6" ht="12.75" x14ac:dyDescent="0.2">
      <c r="A906" s="322"/>
      <c r="B906" s="322"/>
      <c r="C906" s="322"/>
      <c r="D906" s="322"/>
      <c r="E906" s="322"/>
      <c r="F906" s="322"/>
    </row>
    <row r="907" spans="1:6" ht="12.75" x14ac:dyDescent="0.2">
      <c r="A907" s="322"/>
      <c r="B907" s="322"/>
      <c r="C907" s="322"/>
      <c r="D907" s="322"/>
      <c r="E907" s="322"/>
      <c r="F907" s="322"/>
    </row>
    <row r="908" spans="1:6" ht="12.75" x14ac:dyDescent="0.2">
      <c r="A908" s="322"/>
      <c r="B908" s="322"/>
      <c r="C908" s="322"/>
      <c r="D908" s="322"/>
      <c r="E908" s="322"/>
      <c r="F908" s="322"/>
    </row>
    <row r="909" spans="1:6" ht="12.75" x14ac:dyDescent="0.2">
      <c r="A909" s="322"/>
      <c r="B909" s="322"/>
      <c r="C909" s="322"/>
      <c r="D909" s="322"/>
      <c r="E909" s="322"/>
      <c r="F909" s="322"/>
    </row>
    <row r="910" spans="1:6" ht="12.75" x14ac:dyDescent="0.2">
      <c r="A910" s="322"/>
      <c r="B910" s="322"/>
      <c r="C910" s="322"/>
      <c r="D910" s="322"/>
      <c r="E910" s="322"/>
      <c r="F910" s="322"/>
    </row>
    <row r="911" spans="1:6" ht="12.75" x14ac:dyDescent="0.2">
      <c r="A911" s="322"/>
      <c r="B911" s="322"/>
      <c r="C911" s="322"/>
      <c r="D911" s="322"/>
      <c r="E911" s="322"/>
      <c r="F911" s="322"/>
    </row>
    <row r="912" spans="1:6" ht="12.75" x14ac:dyDescent="0.2">
      <c r="A912" s="322"/>
      <c r="B912" s="322"/>
      <c r="C912" s="322"/>
      <c r="D912" s="322"/>
      <c r="E912" s="322"/>
      <c r="F912" s="322"/>
    </row>
    <row r="913" spans="1:6" ht="12.75" x14ac:dyDescent="0.2">
      <c r="A913" s="322"/>
      <c r="B913" s="322"/>
      <c r="C913" s="322"/>
      <c r="D913" s="322"/>
      <c r="E913" s="322"/>
      <c r="F913" s="322"/>
    </row>
    <row r="914" spans="1:6" ht="12.75" x14ac:dyDescent="0.2">
      <c r="A914" s="322"/>
      <c r="B914" s="322"/>
      <c r="C914" s="322"/>
      <c r="D914" s="322"/>
      <c r="E914" s="322"/>
      <c r="F914" s="322"/>
    </row>
    <row r="915" spans="1:6" ht="12.75" x14ac:dyDescent="0.2">
      <c r="A915" s="322"/>
      <c r="B915" s="322"/>
      <c r="C915" s="322"/>
      <c r="D915" s="322"/>
      <c r="E915" s="322"/>
      <c r="F915" s="322"/>
    </row>
    <row r="916" spans="1:6" ht="12.75" x14ac:dyDescent="0.2">
      <c r="A916" s="322"/>
      <c r="B916" s="322"/>
      <c r="C916" s="322"/>
      <c r="D916" s="322"/>
      <c r="E916" s="322"/>
      <c r="F916" s="322"/>
    </row>
    <row r="917" spans="1:6" ht="12.75" x14ac:dyDescent="0.2">
      <c r="A917" s="322"/>
      <c r="B917" s="322"/>
      <c r="C917" s="322"/>
      <c r="D917" s="322"/>
      <c r="E917" s="322"/>
      <c r="F917" s="322"/>
    </row>
    <row r="918" spans="1:6" ht="12.75" x14ac:dyDescent="0.2">
      <c r="A918" s="322"/>
      <c r="B918" s="322"/>
      <c r="C918" s="322"/>
      <c r="D918" s="322"/>
      <c r="E918" s="322"/>
      <c r="F918" s="322"/>
    </row>
    <row r="919" spans="1:6" ht="12.75" x14ac:dyDescent="0.2">
      <c r="A919" s="322"/>
      <c r="B919" s="322"/>
      <c r="C919" s="322"/>
      <c r="D919" s="322"/>
      <c r="E919" s="322"/>
      <c r="F919" s="322"/>
    </row>
    <row r="920" spans="1:6" ht="12.75" x14ac:dyDescent="0.2">
      <c r="A920" s="322"/>
      <c r="B920" s="322"/>
      <c r="C920" s="322"/>
      <c r="D920" s="322"/>
      <c r="E920" s="322"/>
      <c r="F920" s="322"/>
    </row>
    <row r="921" spans="1:6" ht="12.75" x14ac:dyDescent="0.2">
      <c r="A921" s="322"/>
      <c r="B921" s="322"/>
      <c r="C921" s="322"/>
      <c r="D921" s="322"/>
      <c r="E921" s="322"/>
      <c r="F921" s="322"/>
    </row>
    <row r="922" spans="1:6" ht="12.75" x14ac:dyDescent="0.2">
      <c r="A922" s="322"/>
      <c r="B922" s="322"/>
      <c r="C922" s="322"/>
      <c r="D922" s="322"/>
      <c r="E922" s="322"/>
      <c r="F922" s="322"/>
    </row>
    <row r="923" spans="1:6" ht="12.75" x14ac:dyDescent="0.2">
      <c r="A923" s="322"/>
      <c r="B923" s="322"/>
      <c r="C923" s="322"/>
      <c r="D923" s="322"/>
      <c r="E923" s="322"/>
      <c r="F923" s="322"/>
    </row>
    <row r="924" spans="1:6" ht="12.75" x14ac:dyDescent="0.2">
      <c r="A924" s="322"/>
      <c r="B924" s="322"/>
      <c r="C924" s="322"/>
      <c r="D924" s="322"/>
      <c r="E924" s="322"/>
      <c r="F924" s="322"/>
    </row>
    <row r="925" spans="1:6" ht="12.75" x14ac:dyDescent="0.2">
      <c r="A925" s="322"/>
      <c r="B925" s="322"/>
      <c r="C925" s="322"/>
      <c r="D925" s="322"/>
      <c r="E925" s="322"/>
      <c r="F925" s="322"/>
    </row>
    <row r="926" spans="1:6" ht="12.75" x14ac:dyDescent="0.2">
      <c r="A926" s="322"/>
      <c r="B926" s="322"/>
      <c r="C926" s="322"/>
      <c r="D926" s="322"/>
      <c r="E926" s="322"/>
      <c r="F926" s="322"/>
    </row>
    <row r="927" spans="1:6" ht="12.75" x14ac:dyDescent="0.2">
      <c r="A927" s="322"/>
      <c r="B927" s="322"/>
      <c r="C927" s="322"/>
      <c r="D927" s="322"/>
      <c r="E927" s="322"/>
      <c r="F927" s="322"/>
    </row>
    <row r="928" spans="1:6" ht="12.75" x14ac:dyDescent="0.2">
      <c r="A928" s="322"/>
      <c r="B928" s="322"/>
      <c r="C928" s="322"/>
      <c r="D928" s="322"/>
      <c r="E928" s="322"/>
      <c r="F928" s="322"/>
    </row>
    <row r="929" spans="1:6" ht="12.75" x14ac:dyDescent="0.2">
      <c r="A929" s="322"/>
      <c r="B929" s="322"/>
      <c r="C929" s="322"/>
      <c r="D929" s="322"/>
      <c r="E929" s="322"/>
      <c r="F929" s="322"/>
    </row>
    <row r="930" spans="1:6" ht="12.75" x14ac:dyDescent="0.2">
      <c r="A930" s="322"/>
      <c r="B930" s="322"/>
      <c r="C930" s="322"/>
      <c r="D930" s="322"/>
      <c r="E930" s="322"/>
      <c r="F930" s="322"/>
    </row>
    <row r="931" spans="1:6" ht="12.75" x14ac:dyDescent="0.2">
      <c r="A931" s="322"/>
      <c r="B931" s="322"/>
      <c r="C931" s="322"/>
      <c r="D931" s="322"/>
      <c r="E931" s="322"/>
      <c r="F931" s="322"/>
    </row>
    <row r="932" spans="1:6" ht="12.75" x14ac:dyDescent="0.2">
      <c r="A932" s="322"/>
      <c r="B932" s="322"/>
      <c r="C932" s="322"/>
      <c r="D932" s="322"/>
      <c r="E932" s="322"/>
      <c r="F932" s="322"/>
    </row>
    <row r="933" spans="1:6" ht="12.75" x14ac:dyDescent="0.2">
      <c r="A933" s="322"/>
      <c r="B933" s="322"/>
      <c r="C933" s="322"/>
      <c r="D933" s="322"/>
      <c r="E933" s="322"/>
      <c r="F933" s="322"/>
    </row>
    <row r="934" spans="1:6" ht="12.75" x14ac:dyDescent="0.2">
      <c r="A934" s="322"/>
      <c r="B934" s="322"/>
      <c r="C934" s="322"/>
      <c r="D934" s="322"/>
      <c r="E934" s="322"/>
      <c r="F934" s="322"/>
    </row>
    <row r="935" spans="1:6" ht="12.75" x14ac:dyDescent="0.2">
      <c r="A935" s="322"/>
      <c r="B935" s="322"/>
      <c r="C935" s="322"/>
      <c r="D935" s="322"/>
      <c r="E935" s="322"/>
      <c r="F935" s="322"/>
    </row>
    <row r="936" spans="1:6" ht="12.75" x14ac:dyDescent="0.2">
      <c r="A936" s="322"/>
      <c r="B936" s="322"/>
      <c r="C936" s="322"/>
      <c r="D936" s="322"/>
      <c r="E936" s="322"/>
      <c r="F936" s="322"/>
    </row>
    <row r="937" spans="1:6" ht="12.75" x14ac:dyDescent="0.2">
      <c r="A937" s="322"/>
      <c r="B937" s="322"/>
      <c r="C937" s="322"/>
      <c r="D937" s="322"/>
      <c r="E937" s="322"/>
      <c r="F937" s="322"/>
    </row>
    <row r="938" spans="1:6" ht="12.75" x14ac:dyDescent="0.2">
      <c r="A938" s="322"/>
      <c r="B938" s="322"/>
      <c r="C938" s="322"/>
      <c r="D938" s="322"/>
      <c r="E938" s="322"/>
      <c r="F938" s="322"/>
    </row>
    <row r="939" spans="1:6" ht="12.75" x14ac:dyDescent="0.2">
      <c r="A939" s="322"/>
      <c r="B939" s="322"/>
      <c r="C939" s="322"/>
      <c r="D939" s="322"/>
      <c r="E939" s="322"/>
      <c r="F939" s="322"/>
    </row>
    <row r="940" spans="1:6" ht="12.75" x14ac:dyDescent="0.2">
      <c r="A940" s="322"/>
      <c r="B940" s="322"/>
      <c r="C940" s="322"/>
      <c r="D940" s="322"/>
      <c r="E940" s="322"/>
      <c r="F940" s="322"/>
    </row>
    <row r="941" spans="1:6" ht="12.75" x14ac:dyDescent="0.2">
      <c r="A941" s="322"/>
      <c r="B941" s="322"/>
      <c r="C941" s="322"/>
      <c r="D941" s="322"/>
      <c r="E941" s="322"/>
      <c r="F941" s="322"/>
    </row>
    <row r="942" spans="1:6" ht="12.75" x14ac:dyDescent="0.2">
      <c r="A942" s="322"/>
      <c r="B942" s="322"/>
      <c r="C942" s="322"/>
      <c r="D942" s="322"/>
      <c r="E942" s="322"/>
      <c r="F942" s="322"/>
    </row>
    <row r="943" spans="1:6" ht="12.75" x14ac:dyDescent="0.2">
      <c r="A943" s="322"/>
      <c r="B943" s="322"/>
      <c r="C943" s="322"/>
      <c r="D943" s="322"/>
      <c r="E943" s="322"/>
      <c r="F943" s="322"/>
    </row>
    <row r="944" spans="1:6" ht="12.75" x14ac:dyDescent="0.2">
      <c r="A944" s="322"/>
      <c r="B944" s="322"/>
      <c r="C944" s="322"/>
      <c r="D944" s="322"/>
      <c r="E944" s="322"/>
      <c r="F944" s="322"/>
    </row>
    <row r="945" spans="1:6" ht="12.75" x14ac:dyDescent="0.2">
      <c r="A945" s="322"/>
      <c r="B945" s="322"/>
      <c r="C945" s="322"/>
      <c r="D945" s="322"/>
      <c r="E945" s="322"/>
      <c r="F945" s="322"/>
    </row>
    <row r="946" spans="1:6" ht="12.75" x14ac:dyDescent="0.2">
      <c r="A946" s="322"/>
      <c r="B946" s="322"/>
      <c r="C946" s="322"/>
      <c r="D946" s="322"/>
      <c r="E946" s="322"/>
      <c r="F946" s="322"/>
    </row>
    <row r="947" spans="1:6" ht="12.75" x14ac:dyDescent="0.2">
      <c r="A947" s="322"/>
      <c r="B947" s="322"/>
      <c r="C947" s="322"/>
      <c r="D947" s="322"/>
      <c r="E947" s="322"/>
      <c r="F947" s="322"/>
    </row>
    <row r="948" spans="1:6" ht="12.75" x14ac:dyDescent="0.2">
      <c r="A948" s="322"/>
      <c r="B948" s="322"/>
      <c r="C948" s="322"/>
      <c r="D948" s="322"/>
      <c r="E948" s="322"/>
      <c r="F948" s="322"/>
    </row>
    <row r="949" spans="1:6" ht="12.75" x14ac:dyDescent="0.2">
      <c r="A949" s="322"/>
      <c r="B949" s="322"/>
      <c r="C949" s="322"/>
      <c r="D949" s="322"/>
      <c r="E949" s="322"/>
      <c r="F949" s="322"/>
    </row>
    <row r="950" spans="1:6" ht="12.75" x14ac:dyDescent="0.2">
      <c r="A950" s="322"/>
      <c r="B950" s="322"/>
      <c r="C950" s="322"/>
      <c r="D950" s="322"/>
      <c r="E950" s="322"/>
      <c r="F950" s="322"/>
    </row>
    <row r="951" spans="1:6" ht="12.75" x14ac:dyDescent="0.2">
      <c r="A951" s="322"/>
      <c r="B951" s="322"/>
      <c r="C951" s="322"/>
      <c r="D951" s="322"/>
      <c r="E951" s="322"/>
      <c r="F951" s="322"/>
    </row>
    <row r="952" spans="1:6" ht="12.75" x14ac:dyDescent="0.2">
      <c r="A952" s="322"/>
      <c r="B952" s="322"/>
      <c r="C952" s="322"/>
      <c r="D952" s="322"/>
      <c r="E952" s="322"/>
      <c r="F952" s="322"/>
    </row>
    <row r="953" spans="1:6" ht="12.75" x14ac:dyDescent="0.2">
      <c r="A953" s="322"/>
      <c r="B953" s="322"/>
      <c r="C953" s="322"/>
      <c r="D953" s="322"/>
      <c r="E953" s="322"/>
      <c r="F953" s="322"/>
    </row>
    <row r="954" spans="1:6" ht="12.75" x14ac:dyDescent="0.2">
      <c r="A954" s="322"/>
      <c r="B954" s="322"/>
      <c r="C954" s="322"/>
      <c r="D954" s="322"/>
      <c r="E954" s="322"/>
      <c r="F954" s="322"/>
    </row>
    <row r="955" spans="1:6" ht="12.75" x14ac:dyDescent="0.2">
      <c r="A955" s="322"/>
      <c r="B955" s="322"/>
      <c r="C955" s="322"/>
      <c r="D955" s="322"/>
      <c r="E955" s="322"/>
      <c r="F955" s="322"/>
    </row>
    <row r="956" spans="1:6" ht="12.75" x14ac:dyDescent="0.2">
      <c r="A956" s="322"/>
      <c r="B956" s="322"/>
      <c r="C956" s="322"/>
      <c r="D956" s="322"/>
      <c r="E956" s="322"/>
      <c r="F956" s="322"/>
    </row>
    <row r="957" spans="1:6" ht="12.75" x14ac:dyDescent="0.2">
      <c r="A957" s="322"/>
      <c r="B957" s="322"/>
      <c r="C957" s="322"/>
      <c r="D957" s="322"/>
      <c r="E957" s="322"/>
      <c r="F957" s="322"/>
    </row>
    <row r="958" spans="1:6" ht="12.75" x14ac:dyDescent="0.2">
      <c r="A958" s="322"/>
      <c r="B958" s="322"/>
      <c r="C958" s="322"/>
      <c r="D958" s="322"/>
      <c r="E958" s="322"/>
      <c r="F958" s="322"/>
    </row>
    <row r="959" spans="1:6" ht="12.75" x14ac:dyDescent="0.2">
      <c r="A959" s="322"/>
      <c r="B959" s="322"/>
      <c r="C959" s="322"/>
      <c r="D959" s="322"/>
      <c r="E959" s="322"/>
      <c r="F959" s="322"/>
    </row>
    <row r="960" spans="1:6" ht="12.75" x14ac:dyDescent="0.2">
      <c r="A960" s="322"/>
      <c r="B960" s="322"/>
      <c r="C960" s="322"/>
      <c r="D960" s="322"/>
      <c r="E960" s="322"/>
      <c r="F960" s="322"/>
    </row>
    <row r="961" spans="1:6" ht="12.75" x14ac:dyDescent="0.2">
      <c r="A961" s="322"/>
      <c r="B961" s="322"/>
      <c r="C961" s="322"/>
      <c r="D961" s="322"/>
      <c r="E961" s="322"/>
      <c r="F961" s="322"/>
    </row>
    <row r="962" spans="1:6" ht="12.75" x14ac:dyDescent="0.2">
      <c r="A962" s="322"/>
      <c r="B962" s="322"/>
      <c r="C962" s="322"/>
      <c r="D962" s="322"/>
      <c r="E962" s="322"/>
      <c r="F962" s="322"/>
    </row>
    <row r="963" spans="1:6" ht="12.75" x14ac:dyDescent="0.2">
      <c r="A963" s="322"/>
      <c r="B963" s="322"/>
      <c r="C963" s="322"/>
      <c r="D963" s="322"/>
      <c r="E963" s="322"/>
      <c r="F963" s="322"/>
    </row>
    <row r="964" spans="1:6" ht="12.75" x14ac:dyDescent="0.2">
      <c r="A964" s="322"/>
      <c r="B964" s="322"/>
      <c r="C964" s="322"/>
      <c r="D964" s="322"/>
      <c r="E964" s="322"/>
      <c r="F964" s="322"/>
    </row>
    <row r="965" spans="1:6" ht="12.75" x14ac:dyDescent="0.2">
      <c r="A965" s="322"/>
      <c r="B965" s="322"/>
      <c r="C965" s="322"/>
      <c r="D965" s="322"/>
      <c r="E965" s="322"/>
      <c r="F965" s="322"/>
    </row>
    <row r="966" spans="1:6" ht="12.75" x14ac:dyDescent="0.2">
      <c r="A966" s="322"/>
      <c r="B966" s="322"/>
      <c r="C966" s="322"/>
      <c r="D966" s="322"/>
      <c r="E966" s="322"/>
      <c r="F966" s="322"/>
    </row>
    <row r="967" spans="1:6" ht="12.75" x14ac:dyDescent="0.2">
      <c r="A967" s="322"/>
      <c r="B967" s="322"/>
      <c r="C967" s="322"/>
      <c r="D967" s="322"/>
      <c r="E967" s="322"/>
      <c r="F967" s="322"/>
    </row>
    <row r="968" spans="1:6" ht="12.75" x14ac:dyDescent="0.2">
      <c r="A968" s="322"/>
      <c r="B968" s="322"/>
      <c r="C968" s="322"/>
      <c r="D968" s="322"/>
      <c r="E968" s="322"/>
      <c r="F968" s="322"/>
    </row>
    <row r="969" spans="1:6" ht="12.75" x14ac:dyDescent="0.2">
      <c r="A969" s="322"/>
      <c r="B969" s="322"/>
      <c r="C969" s="322"/>
      <c r="D969" s="322"/>
      <c r="E969" s="322"/>
      <c r="F969" s="322"/>
    </row>
    <row r="970" spans="1:6" ht="12.75" x14ac:dyDescent="0.2">
      <c r="A970" s="322"/>
      <c r="B970" s="322"/>
      <c r="C970" s="322"/>
      <c r="D970" s="322"/>
      <c r="E970" s="322"/>
      <c r="F970" s="322"/>
    </row>
    <row r="971" spans="1:6" ht="12.75" x14ac:dyDescent="0.2">
      <c r="A971" s="322"/>
      <c r="B971" s="322"/>
      <c r="C971" s="322"/>
      <c r="D971" s="322"/>
      <c r="E971" s="322"/>
      <c r="F971" s="322"/>
    </row>
    <row r="972" spans="1:6" ht="12.75" x14ac:dyDescent="0.2">
      <c r="A972" s="322"/>
      <c r="B972" s="322"/>
      <c r="C972" s="322"/>
      <c r="D972" s="322"/>
      <c r="E972" s="322"/>
      <c r="F972" s="322"/>
    </row>
    <row r="973" spans="1:6" ht="12.75" x14ac:dyDescent="0.2">
      <c r="A973" s="322"/>
      <c r="B973" s="322"/>
      <c r="C973" s="322"/>
      <c r="D973" s="322"/>
      <c r="E973" s="322"/>
      <c r="F973" s="322"/>
    </row>
    <row r="974" spans="1:6" ht="12.75" x14ac:dyDescent="0.2">
      <c r="A974" s="322"/>
      <c r="B974" s="322"/>
      <c r="C974" s="322"/>
      <c r="D974" s="322"/>
      <c r="E974" s="322"/>
      <c r="F974" s="322"/>
    </row>
    <row r="975" spans="1:6" ht="12.75" x14ac:dyDescent="0.2">
      <c r="A975" s="322"/>
      <c r="B975" s="322"/>
      <c r="C975" s="322"/>
      <c r="D975" s="322"/>
      <c r="E975" s="322"/>
      <c r="F975" s="322"/>
    </row>
    <row r="976" spans="1:6" ht="12.75" x14ac:dyDescent="0.2">
      <c r="A976" s="322"/>
      <c r="B976" s="322"/>
      <c r="C976" s="322"/>
      <c r="D976" s="322"/>
      <c r="E976" s="322"/>
      <c r="F976" s="322"/>
    </row>
    <row r="977" spans="1:6" ht="12.75" x14ac:dyDescent="0.2">
      <c r="A977" s="322"/>
      <c r="B977" s="322"/>
      <c r="C977" s="322"/>
      <c r="D977" s="322"/>
      <c r="E977" s="322"/>
      <c r="F977" s="322"/>
    </row>
    <row r="978" spans="1:6" ht="12.75" x14ac:dyDescent="0.2">
      <c r="A978" s="322"/>
      <c r="B978" s="322"/>
      <c r="C978" s="322"/>
      <c r="D978" s="322"/>
      <c r="E978" s="322"/>
      <c r="F978" s="322"/>
    </row>
    <row r="979" spans="1:6" ht="12.75" x14ac:dyDescent="0.2">
      <c r="A979" s="322"/>
      <c r="B979" s="322"/>
      <c r="C979" s="322"/>
      <c r="D979" s="322"/>
      <c r="E979" s="322"/>
      <c r="F979" s="322"/>
    </row>
    <row r="980" spans="1:6" ht="12.75" x14ac:dyDescent="0.2">
      <c r="A980" s="322"/>
      <c r="B980" s="322"/>
      <c r="C980" s="322"/>
      <c r="D980" s="322"/>
      <c r="E980" s="322"/>
      <c r="F980" s="322"/>
    </row>
    <row r="981" spans="1:6" ht="12.75" x14ac:dyDescent="0.2">
      <c r="A981" s="322"/>
      <c r="B981" s="322"/>
      <c r="C981" s="322"/>
      <c r="D981" s="322"/>
      <c r="E981" s="322"/>
      <c r="F981" s="322"/>
    </row>
    <row r="982" spans="1:6" ht="12.75" x14ac:dyDescent="0.2">
      <c r="A982" s="322"/>
      <c r="B982" s="322"/>
      <c r="C982" s="322"/>
      <c r="D982" s="322"/>
      <c r="E982" s="322"/>
      <c r="F982" s="322"/>
    </row>
    <row r="983" spans="1:6" ht="12.75" x14ac:dyDescent="0.2">
      <c r="A983" s="322"/>
      <c r="B983" s="322"/>
      <c r="C983" s="322"/>
      <c r="D983" s="322"/>
      <c r="E983" s="322"/>
      <c r="F983" s="322"/>
    </row>
    <row r="984" spans="1:6" ht="12.75" x14ac:dyDescent="0.2">
      <c r="A984" s="322"/>
      <c r="B984" s="322"/>
      <c r="C984" s="322"/>
      <c r="D984" s="322"/>
      <c r="E984" s="322"/>
      <c r="F984" s="322"/>
    </row>
    <row r="985" spans="1:6" ht="12.75" x14ac:dyDescent="0.2">
      <c r="A985" s="322"/>
      <c r="B985" s="322"/>
      <c r="C985" s="322"/>
      <c r="D985" s="322"/>
      <c r="E985" s="322"/>
      <c r="F985" s="322"/>
    </row>
    <row r="986" spans="1:6" ht="12.75" x14ac:dyDescent="0.2">
      <c r="A986" s="322"/>
      <c r="B986" s="322"/>
      <c r="C986" s="322"/>
      <c r="D986" s="322"/>
      <c r="E986" s="322"/>
      <c r="F986" s="322"/>
    </row>
    <row r="987" spans="1:6" ht="12.75" x14ac:dyDescent="0.2">
      <c r="A987" s="322"/>
      <c r="B987" s="322"/>
      <c r="C987" s="322"/>
      <c r="D987" s="322"/>
      <c r="E987" s="322"/>
      <c r="F987" s="322"/>
    </row>
    <row r="988" spans="1:6" ht="12.75" x14ac:dyDescent="0.2">
      <c r="A988" s="322"/>
      <c r="B988" s="322"/>
      <c r="C988" s="322"/>
      <c r="D988" s="322"/>
      <c r="E988" s="322"/>
      <c r="F988" s="322"/>
    </row>
    <row r="989" spans="1:6" ht="12.75" x14ac:dyDescent="0.2">
      <c r="A989" s="322"/>
      <c r="B989" s="322"/>
      <c r="C989" s="322"/>
      <c r="D989" s="322"/>
      <c r="E989" s="322"/>
      <c r="F989" s="322"/>
    </row>
    <row r="990" spans="1:6" ht="12.75" x14ac:dyDescent="0.2">
      <c r="A990" s="322"/>
      <c r="B990" s="322"/>
      <c r="C990" s="322"/>
      <c r="D990" s="322"/>
      <c r="E990" s="322"/>
      <c r="F990" s="322"/>
    </row>
    <row r="991" spans="1:6" ht="12.75" x14ac:dyDescent="0.2">
      <c r="A991" s="322"/>
      <c r="B991" s="322"/>
      <c r="C991" s="322"/>
      <c r="D991" s="322"/>
      <c r="E991" s="322"/>
      <c r="F991" s="322"/>
    </row>
    <row r="992" spans="1:6" ht="12.75" x14ac:dyDescent="0.2">
      <c r="A992" s="322"/>
      <c r="B992" s="322"/>
      <c r="C992" s="322"/>
      <c r="D992" s="322"/>
      <c r="E992" s="322"/>
      <c r="F992" s="322"/>
    </row>
    <row r="993" spans="1:6" ht="12.75" x14ac:dyDescent="0.2">
      <c r="A993" s="322"/>
      <c r="B993" s="322"/>
      <c r="C993" s="322"/>
      <c r="D993" s="322"/>
      <c r="E993" s="322"/>
      <c r="F993" s="322"/>
    </row>
    <row r="994" spans="1:6" ht="12.75" x14ac:dyDescent="0.2">
      <c r="A994" s="322"/>
      <c r="B994" s="322"/>
      <c r="C994" s="322"/>
      <c r="D994" s="322"/>
      <c r="E994" s="322"/>
      <c r="F994" s="322"/>
    </row>
    <row r="995" spans="1:6" ht="12.75" x14ac:dyDescent="0.2">
      <c r="A995" s="322"/>
      <c r="B995" s="322"/>
      <c r="C995" s="322"/>
      <c r="D995" s="322"/>
      <c r="E995" s="322"/>
      <c r="F995" s="322"/>
    </row>
    <row r="996" spans="1:6" ht="12.75" x14ac:dyDescent="0.2">
      <c r="A996" s="322"/>
      <c r="B996" s="322"/>
      <c r="C996" s="322"/>
      <c r="D996" s="322"/>
      <c r="E996" s="322"/>
      <c r="F996" s="322"/>
    </row>
    <row r="997" spans="1:6" ht="12.75" x14ac:dyDescent="0.2">
      <c r="A997" s="322"/>
      <c r="B997" s="322"/>
      <c r="C997" s="322"/>
      <c r="D997" s="322"/>
      <c r="E997" s="322"/>
      <c r="F997" s="322"/>
    </row>
    <row r="998" spans="1:6" ht="12.75" x14ac:dyDescent="0.2">
      <c r="A998" s="322"/>
      <c r="B998" s="322"/>
      <c r="C998" s="322"/>
      <c r="D998" s="322"/>
      <c r="E998" s="322"/>
      <c r="F998" s="322"/>
    </row>
    <row r="999" spans="1:6" ht="12.75" x14ac:dyDescent="0.2">
      <c r="A999" s="322"/>
      <c r="B999" s="322"/>
      <c r="C999" s="322"/>
      <c r="D999" s="322"/>
      <c r="E999" s="322"/>
      <c r="F999" s="322"/>
    </row>
    <row r="1000" spans="1:6" ht="12.75" x14ac:dyDescent="0.2">
      <c r="A1000" s="322"/>
      <c r="B1000" s="322"/>
      <c r="C1000" s="322"/>
      <c r="D1000" s="322"/>
      <c r="E1000" s="322"/>
      <c r="F1000" s="322"/>
    </row>
    <row r="1001" spans="1:6" ht="12.75" x14ac:dyDescent="0.2">
      <c r="A1001" s="322"/>
      <c r="B1001" s="322"/>
      <c r="C1001" s="322"/>
      <c r="D1001" s="322"/>
      <c r="E1001" s="322"/>
      <c r="F1001" s="322"/>
    </row>
    <row r="1002" spans="1:6" ht="12.75" x14ac:dyDescent="0.2">
      <c r="A1002" s="322"/>
      <c r="B1002" s="322"/>
      <c r="C1002" s="322"/>
      <c r="D1002" s="322"/>
      <c r="E1002" s="322"/>
      <c r="F1002" s="322"/>
    </row>
    <row r="1003" spans="1:6" ht="12.75" x14ac:dyDescent="0.2">
      <c r="A1003" s="322"/>
      <c r="B1003" s="322"/>
      <c r="C1003" s="322"/>
      <c r="D1003" s="322"/>
      <c r="E1003" s="322"/>
      <c r="F1003" s="322"/>
    </row>
    <row r="1004" spans="1:6" ht="12.75" x14ac:dyDescent="0.2">
      <c r="A1004" s="322"/>
      <c r="B1004" s="322"/>
      <c r="C1004" s="322"/>
      <c r="D1004" s="322"/>
      <c r="E1004" s="322"/>
      <c r="F1004" s="322"/>
    </row>
    <row r="1005" spans="1:6" ht="12.75" x14ac:dyDescent="0.2">
      <c r="A1005" s="322"/>
      <c r="B1005" s="322"/>
      <c r="C1005" s="322"/>
      <c r="D1005" s="322"/>
      <c r="E1005" s="322"/>
      <c r="F1005" s="322"/>
    </row>
    <row r="1006" spans="1:6" ht="12.75" x14ac:dyDescent="0.2">
      <c r="A1006" s="322"/>
      <c r="B1006" s="322"/>
      <c r="C1006" s="322"/>
      <c r="D1006" s="322"/>
      <c r="E1006" s="322"/>
      <c r="F1006" s="322"/>
    </row>
    <row r="1007" spans="1:6" ht="12.75" x14ac:dyDescent="0.2">
      <c r="A1007" s="322"/>
      <c r="B1007" s="322"/>
      <c r="C1007" s="322"/>
      <c r="D1007" s="322"/>
      <c r="E1007" s="322"/>
      <c r="F1007" s="322"/>
    </row>
    <row r="1008" spans="1:6" ht="12.75" x14ac:dyDescent="0.2">
      <c r="A1008" s="322"/>
      <c r="B1008" s="322"/>
      <c r="C1008" s="322"/>
      <c r="D1008" s="322"/>
      <c r="E1008" s="322"/>
      <c r="F1008" s="322"/>
    </row>
    <row r="1009" spans="1:6" ht="12.75" x14ac:dyDescent="0.2">
      <c r="A1009" s="322"/>
      <c r="B1009" s="322"/>
      <c r="C1009" s="322"/>
      <c r="D1009" s="322"/>
      <c r="E1009" s="322"/>
      <c r="F1009" s="322"/>
    </row>
    <row r="1010" spans="1:6" ht="12.75" x14ac:dyDescent="0.2">
      <c r="A1010" s="322"/>
      <c r="B1010" s="322"/>
      <c r="C1010" s="322"/>
      <c r="D1010" s="322"/>
      <c r="E1010" s="322"/>
      <c r="F1010" s="322"/>
    </row>
    <row r="1011" spans="1:6" ht="12.75" x14ac:dyDescent="0.2">
      <c r="A1011" s="322"/>
      <c r="B1011" s="322"/>
      <c r="C1011" s="322"/>
      <c r="D1011" s="322"/>
      <c r="E1011" s="322"/>
      <c r="F1011" s="322"/>
    </row>
    <row r="1012" spans="1:6" ht="12.75" x14ac:dyDescent="0.2">
      <c r="A1012" s="322"/>
      <c r="B1012" s="322"/>
      <c r="C1012" s="322"/>
      <c r="D1012" s="322"/>
      <c r="E1012" s="322"/>
      <c r="F1012" s="322"/>
    </row>
    <row r="1013" spans="1:6" ht="12.75" x14ac:dyDescent="0.2">
      <c r="A1013" s="322"/>
      <c r="B1013" s="322"/>
      <c r="C1013" s="322"/>
      <c r="D1013" s="322"/>
      <c r="E1013" s="322"/>
      <c r="F1013" s="322"/>
    </row>
    <row r="1014" spans="1:6" ht="12.75" x14ac:dyDescent="0.2">
      <c r="A1014" s="322"/>
      <c r="B1014" s="322"/>
      <c r="C1014" s="322"/>
      <c r="D1014" s="322"/>
      <c r="E1014" s="322"/>
      <c r="F1014" s="322"/>
    </row>
    <row r="1015" spans="1:6" ht="12.75" x14ac:dyDescent="0.2">
      <c r="A1015" s="322"/>
      <c r="B1015" s="322"/>
      <c r="C1015" s="322"/>
      <c r="D1015" s="322"/>
      <c r="E1015" s="322"/>
      <c r="F1015" s="322"/>
    </row>
    <row r="1016" spans="1:6" ht="12.75" x14ac:dyDescent="0.2">
      <c r="A1016" s="322"/>
      <c r="B1016" s="322"/>
      <c r="C1016" s="322"/>
      <c r="D1016" s="322"/>
      <c r="E1016" s="322"/>
      <c r="F1016" s="322"/>
    </row>
    <row r="1017" spans="1:6" ht="12.75" x14ac:dyDescent="0.2">
      <c r="A1017" s="322"/>
      <c r="B1017" s="322"/>
      <c r="C1017" s="322"/>
      <c r="D1017" s="322"/>
      <c r="E1017" s="322"/>
      <c r="F1017" s="322"/>
    </row>
  </sheetData>
  <pageMargins left="0.7" right="0.7" top="0.75" bottom="0.75" header="0.3" footer="0.3"/>
  <pageSetup paperSize="9" orientation="portrait" horizont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F0BA8FDBB661478A2BDA68E56191E7" ma:contentTypeVersion="4" ma:contentTypeDescription="Create a new document." ma:contentTypeScope="" ma:versionID="ecccab846df6b0a2c29b19409336a683">
  <xsd:schema xmlns:xsd="http://www.w3.org/2001/XMLSchema" xmlns:xs="http://www.w3.org/2001/XMLSchema" xmlns:p="http://schemas.microsoft.com/office/2006/metadata/properties" xmlns:ns2="a239017a-1edf-4036-9c3d-d8191320c327" xmlns:ns3="c94fa512-98ff-4f35-b508-e9c7dec27554" targetNamespace="http://schemas.microsoft.com/office/2006/metadata/properties" ma:root="true" ma:fieldsID="2a9a833e827ea1cf48777b55336b9750" ns2:_="" ns3:_="">
    <xsd:import namespace="a239017a-1edf-4036-9c3d-d8191320c327"/>
    <xsd:import namespace="c94fa512-98ff-4f35-b508-e9c7dec27554"/>
    <xsd:element name="properties">
      <xsd:complexType>
        <xsd:sequence>
          <xsd:element name="documentManagement">
            <xsd:complexType>
              <xsd:all>
                <xsd:element ref="ns2:Event_x0020_type"/>
                <xsd:element ref="ns2:Event_x0020_date" minOccurs="0"/>
                <xsd:element ref="ns2:Doc_x002e__x0020_Type"/>
                <xsd:element ref="ns2:Status"/>
                <xsd:element ref="ns2:Classification" minOccurs="0"/>
                <xsd:element ref="ns2:Location"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239017a-1edf-4036-9c3d-d8191320c327" elementFormDefault="qualified">
    <xsd:import namespace="http://schemas.microsoft.com/office/2006/documentManagement/types"/>
    <xsd:import namespace="http://schemas.microsoft.com/office/infopath/2007/PartnerControls"/>
    <xsd:element name="Event_x0020_type" ma:index="2" ma:displayName="EVENT Type" ma:default="" ma:format="Dropdown" ma:internalName="Event_x0020_type" ma:readOnly="false">
      <xsd:simpleType>
        <xsd:restriction base="dms:Choice">
          <xsd:enumeration value="1 Meeting"/>
          <xsd:enumeration value="2 Training"/>
          <xsd:enumeration value="3 Workshop"/>
          <xsd:enumeration value="4 Written Procedure"/>
          <xsd:enumeration value="5 Social Events"/>
        </xsd:restriction>
      </xsd:simpleType>
    </xsd:element>
    <xsd:element name="Event_x0020_date" ma:index="3" nillable="true" ma:displayName="Event date" ma:description="The date of the event. In case that the event spans to different days, the first day." ma:format="DateOnly" ma:internalName="Event_x0020_date" ma:readOnly="false">
      <xsd:simpleType>
        <xsd:restriction base="dms:DateTime"/>
      </xsd:simpleType>
    </xsd:element>
    <xsd:element name="Doc_x002e__x0020_Type" ma:index="4" ma:displayName="Doc. Type" ma:default="" ma:format="Dropdown" ma:internalName="Doc_x002e__x0020_Type" ma:readOnly="false">
      <xsd:simpleType>
        <xsd:restriction base="dms:Choice">
          <xsd:enumeration value="10 Invitation"/>
          <xsd:enumeration value="11 Procurement"/>
          <xsd:enumeration value="12 Organisation / Logistics"/>
          <xsd:enumeration value="13 Participant List"/>
          <xsd:enumeration value="20 Agenda / Timetable"/>
          <xsd:enumeration value="21 Presentation / Speech"/>
          <xsd:enumeration value="22 Shared Doc."/>
          <xsd:enumeration value="23 Proceedings"/>
          <xsd:enumeration value="30 Minutes"/>
          <xsd:enumeration value="31 (Mission) Report"/>
          <xsd:enumeration value="32 Follow-up Actions"/>
          <xsd:enumeration value="33 Reimbursement"/>
          <xsd:enumeration value="34 Evaluation / Feedback"/>
          <xsd:enumeration value="35 Photos"/>
        </xsd:restriction>
      </xsd:simpleType>
    </xsd:element>
    <xsd:element name="Status" ma:index="5" ma:displayName="Status" ma:default="In Progress" ma:format="Dropdown" ma:internalName="Status" ma:readOnly="false">
      <xsd:simpleType>
        <xsd:restriction base="dms:Choice">
          <xsd:enumeration value="In Progress"/>
          <xsd:enumeration value="Effective"/>
          <xsd:enumeration value="Archive"/>
        </xsd:restriction>
      </xsd:simpleType>
    </xsd:element>
    <xsd:element name="Classification" ma:index="6" nillable="true" ma:displayName="Classification" ma:default="Non-confidential" ma:description="NOTE that this means non-confidential within ECHA, not free disclosure to the outside." ma:format="Dropdown" ma:internalName="Classification" ma:readOnly="false">
      <xsd:simpleType>
        <xsd:restriction base="dms:Choice">
          <xsd:enumeration value="Non-confidential"/>
          <xsd:enumeration value="Partially Confidential"/>
          <xsd:enumeration value="Confidential"/>
        </xsd:restriction>
      </xsd:simpleType>
    </xsd:element>
    <xsd:element name="Location" ma:index="7" nillable="true" ma:displayName="Location" ma:description="Free text field to record storage location of hard copy" ma:internalName="Location"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4fa512-98ff-4f35-b508-e9c7dec27554" elementFormDefault="qualified">
    <xsd:import namespace="http://schemas.microsoft.com/office/2006/documentManagement/types"/>
    <xsd:import namespace="http://schemas.microsoft.com/office/infopath/2007/PartnerControls"/>
    <xsd:element name="_dlc_DocId" ma:index="14" nillable="true" ma:displayName="Document ID Value" ma:description="The value of the document ID assigned to this item." ma:internalName="_dlc_DocId" ma:readOnly="true">
      <xsd:simpleType>
        <xsd:restriction base="dms:Text"/>
      </xsd:simpleType>
    </xsd:element>
    <xsd:element name="_dlc_DocIdUrl" ma:index="1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6"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0" ma:displayName="Content Type" ma:readOnly="tru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c94fa512-98ff-4f35-b508-e9c7dec27554">DXATUXAM6YU5-11-21733</_dlc_DocId>
    <_dlc_DocIdUrl xmlns="c94fa512-98ff-4f35-b508-e9c7dec27554">
      <Url>https://organisation.echa.europa.eu/sites/lgc/docs/_layouts/DocIdRedir.aspx?ID=DXATUXAM6YU5-11-21733</Url>
      <Description>DXATUXAM6YU5-11-21733</Description>
    </_dlc_DocIdUrl>
    <Classification xmlns="a239017a-1edf-4036-9c3d-d8191320c327">Confidential</Classification>
    <Event_x0020_type xmlns="a239017a-1edf-4036-9c3d-d8191320c327">3 Workshop</Event_x0020_type>
    <Event_x0020_date xmlns="a239017a-1edf-4036-9c3d-d8191320c327" xsi:nil="true"/>
    <Status xmlns="a239017a-1edf-4036-9c3d-d8191320c327">In Progress</Status>
    <Doc_x002e__x0020_Type xmlns="a239017a-1edf-4036-9c3d-d8191320c327">22 Shared Doc.</Doc_x002e__x0020_Type>
    <Location xmlns="a239017a-1edf-4036-9c3d-d8191320c327" xsi:nil="true"/>
  </documentManagement>
</p:properties>
</file>

<file path=customXml/itemProps1.xml><?xml version="1.0" encoding="utf-8"?>
<ds:datastoreItem xmlns:ds="http://schemas.openxmlformats.org/officeDocument/2006/customXml" ds:itemID="{58E6A85F-0F43-4403-A796-EFB87A5C54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239017a-1edf-4036-9c3d-d8191320c327"/>
    <ds:schemaRef ds:uri="c94fa512-98ff-4f35-b508-e9c7dec2755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3C2431-CE20-4E37-ADF8-8B08230C52BE}">
  <ds:schemaRefs>
    <ds:schemaRef ds:uri="http://schemas.microsoft.com/sharepoint/events"/>
  </ds:schemaRefs>
</ds:datastoreItem>
</file>

<file path=customXml/itemProps3.xml><?xml version="1.0" encoding="utf-8"?>
<ds:datastoreItem xmlns:ds="http://schemas.openxmlformats.org/officeDocument/2006/customXml" ds:itemID="{2AC0FA47-7113-4CC8-BE22-CD6816956A9C}">
  <ds:schemaRefs>
    <ds:schemaRef ds:uri="http://schemas.microsoft.com/sharepoint/v3/contenttype/forms"/>
  </ds:schemaRefs>
</ds:datastoreItem>
</file>

<file path=customXml/itemProps4.xml><?xml version="1.0" encoding="utf-8"?>
<ds:datastoreItem xmlns:ds="http://schemas.openxmlformats.org/officeDocument/2006/customXml" ds:itemID="{8DC4D1B2-8F9A-4D5A-9265-A8C0C55C1DF4}">
  <ds:schemaRefs>
    <ds:schemaRef ds:uri="http://purl.org/dc/terms/"/>
    <ds:schemaRef ds:uri="http://schemas.microsoft.com/office/2006/documentManagement/types"/>
    <ds:schemaRef ds:uri="http://schemas.microsoft.com/office/infopath/2007/PartnerControls"/>
    <ds:schemaRef ds:uri="http://schemas.microsoft.com/office/2006/metadata/properties"/>
    <ds:schemaRef ds:uri="http://purl.org/dc/dcmitype/"/>
    <ds:schemaRef ds:uri="http://schemas.openxmlformats.org/package/2006/metadata/core-properties"/>
    <ds:schemaRef ds:uri="http://purl.org/dc/elements/1.1/"/>
    <ds:schemaRef ds:uri="c94fa512-98ff-4f35-b508-e9c7dec27554"/>
    <ds:schemaRef ds:uri="a239017a-1edf-4036-9c3d-d8191320c327"/>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ZFET final for AFT comparison</vt:lpstr>
      <vt:lpstr>Zebrafish LC50 mM</vt:lpstr>
      <vt:lpstr>Zebrafish LC50 mg L</vt:lpstr>
      <vt:lpstr>LC50 non-zebrafish</vt:lpstr>
      <vt:lpstr>Phys-chem references</vt:lpstr>
      <vt:lpstr>References FET</vt:lpstr>
      <vt:lpstr>'Zebrafish LC50 mg L'!OLE_LINK2</vt:lpstr>
      <vt:lpstr>'Zebrafish LC50 mM'!OLE_LINK2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Scholz sscholz</dc:creator>
  <cp:lastModifiedBy>GYAMFI Amos</cp:lastModifiedBy>
  <dcterms:created xsi:type="dcterms:W3CDTF">2015-07-27T08:45:46Z</dcterms:created>
  <dcterms:modified xsi:type="dcterms:W3CDTF">2016-05-25T10:09:32Z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c1dde14e-721c-4188-a593-c4cebafab0ce</vt:lpwstr>
  </property>
  <property fmtid="{D5CDD505-2E9C-101B-9397-08002B2CF9AE}" pid="3" name="ContentTypeId">
    <vt:lpwstr>0x0101006DF0BA8FDBB661478A2BDA68E56191E7</vt:lpwstr>
  </property>
</Properties>
</file>